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bookViews>
    <workbookView xWindow="-120" yWindow="-120" windowWidth="20730" windowHeight="11160" tabRatio="887" firstSheet="3" activeTab="12"/>
  </bookViews>
  <sheets>
    <sheet name="pile data ( M30 grade) (2)" sheetId="50" state="hidden" r:id="rId1"/>
    <sheet name="2 in 1 incl. F.E." sheetId="64" state="hidden" r:id="rId2"/>
    <sheet name="pile data " sheetId="32" state="hidden" r:id="rId3"/>
    <sheet name="  Coastal  Elec.Data " sheetId="27" r:id="rId4"/>
    <sheet name="lead  charge" sheetId="4" r:id="rId5"/>
    <sheet name="Elec.Data" sheetId="11" r:id="rId6"/>
    <sheet name="Sliding and french window" sheetId="25" state="hidden" r:id="rId7"/>
    <sheet name="DATA" sheetId="1" r:id="rId8"/>
    <sheet name="Abstract" sheetId="78" r:id="rId9"/>
    <sheet name="building" sheetId="55" r:id="rId10"/>
    <sheet name="DEV-2" sheetId="76" r:id="rId11"/>
    <sheet name="DSP" sheetId="71" r:id="rId12"/>
    <sheet name="G. Abstract" sheetId="72" r:id="rId13"/>
    <sheet name="Sheet1" sheetId="65" state="hidden" r:id="rId14"/>
    <sheet name="Print Data" sheetId="68" r:id="rId15"/>
    <sheet name="O.data" sheetId="77" r:id="rId16"/>
    <sheet name="Sheet5" sheetId="75" r:id="rId17"/>
    <sheet name="door" sheetId="79" r:id="rId18"/>
    <sheet name="CC road" sheetId="80" r:id="rId19"/>
    <sheet name="P.P" sheetId="81" r:id="rId20"/>
    <sheet name="S.drain" sheetId="82" r:id="rId21"/>
    <sheet name="OHT" sheetId="83" r:id="rId22"/>
    <sheet name="UG Sump" sheetId="84" r:id="rId23"/>
    <sheet name="Ext.ele" sheetId="85" r:id="rId24"/>
    <sheet name="water supply" sheetId="86" r:id="rId25"/>
    <sheet name="Numbering" sheetId="87" r:id="rId26"/>
    <sheet name="culvert " sheetId="88" r:id="rId27"/>
    <sheet name="GENSET" sheetId="89" r:id="rId28"/>
    <sheet name="compound" sheetId="90" r:id="rId29"/>
    <sheet name="Septic tank" sheetId="91" r:id="rId30"/>
    <sheet name="CCTV" sheetId="92" r:id="rId31"/>
  </sheets>
  <externalReferences>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s>
  <definedNames>
    <definedName name="________________________________________abs3" localSheetId="26">#REF!</definedName>
    <definedName name="________________________________________abs3" localSheetId="27">#REF!</definedName>
    <definedName name="________________________________________abs3" localSheetId="25">#REF!</definedName>
    <definedName name="________________________________________abs3">#REF!</definedName>
    <definedName name="________________________________________abs32" localSheetId="26">#REF!</definedName>
    <definedName name="________________________________________abs32" localSheetId="27">#REF!</definedName>
    <definedName name="________________________________________abs32" localSheetId="25">#REF!</definedName>
    <definedName name="________________________________________abs32">#REF!</definedName>
    <definedName name="________________________________________wr3" localSheetId="26">#REF!</definedName>
    <definedName name="________________________________________wr3" localSheetId="27">#REF!</definedName>
    <definedName name="________________________________________wr3" localSheetId="25">#REF!</definedName>
    <definedName name="________________________________________wr3">#REF!</definedName>
    <definedName name="______________________________________abs3">#REF!</definedName>
    <definedName name="______________________________________abs32" localSheetId="27">#REF!</definedName>
    <definedName name="______________________________________abs32">#REF!</definedName>
    <definedName name="______________________________________wr3" localSheetId="27">#REF!</definedName>
    <definedName name="______________________________________wr3">#REF!</definedName>
    <definedName name="____________________________________abs3" localSheetId="27">#REF!</definedName>
    <definedName name="____________________________________abs3">#REF!</definedName>
    <definedName name="____________________________________abs32" localSheetId="27">#REF!</definedName>
    <definedName name="____________________________________abs32">#REF!</definedName>
    <definedName name="____________________________________wr3" localSheetId="27">#REF!</definedName>
    <definedName name="____________________________________wr3">#REF!</definedName>
    <definedName name="___________________________________abs3" localSheetId="27">#REF!</definedName>
    <definedName name="___________________________________abs3">#REF!</definedName>
    <definedName name="___________________________________abs32" localSheetId="27">#REF!</definedName>
    <definedName name="___________________________________abs32">#REF!</definedName>
    <definedName name="___________________________________wr3" localSheetId="27">#REF!</definedName>
    <definedName name="___________________________________wr3">#REF!</definedName>
    <definedName name="__________________________________abs3" localSheetId="27">#REF!</definedName>
    <definedName name="__________________________________abs3">#REF!</definedName>
    <definedName name="__________________________________abs32" localSheetId="27">#REF!</definedName>
    <definedName name="__________________________________abs32">#REF!</definedName>
    <definedName name="__________________________________wr3" localSheetId="27">#REF!</definedName>
    <definedName name="__________________________________wr3">#REF!</definedName>
    <definedName name="________________________________abs3">#REF!</definedName>
    <definedName name="________________________________abs32" localSheetId="27">#REF!</definedName>
    <definedName name="________________________________abs32">#REF!</definedName>
    <definedName name="________________________________wr3" localSheetId="27">#REF!</definedName>
    <definedName name="________________________________wr3">#REF!</definedName>
    <definedName name="______________________________abs3">#REF!</definedName>
    <definedName name="______________________________abs32" localSheetId="27">#REF!</definedName>
    <definedName name="______________________________abs32">#REF!</definedName>
    <definedName name="______________________________wr3" localSheetId="27">#REF!</definedName>
    <definedName name="______________________________wr3">#REF!</definedName>
    <definedName name="____________________________abs3">#REF!</definedName>
    <definedName name="____________________________abs32" localSheetId="27">#REF!</definedName>
    <definedName name="____________________________abs32">#REF!</definedName>
    <definedName name="____________________________wr3" localSheetId="27">#REF!</definedName>
    <definedName name="____________________________wr3">#REF!</definedName>
    <definedName name="___________________________abs3" localSheetId="27">#REF!</definedName>
    <definedName name="___________________________abs3">#REF!</definedName>
    <definedName name="___________________________abs32" localSheetId="27">#REF!</definedName>
    <definedName name="___________________________abs32">#REF!</definedName>
    <definedName name="___________________________wr3" localSheetId="27">#REF!</definedName>
    <definedName name="___________________________wr3">#REF!</definedName>
    <definedName name="__________________________abs3" localSheetId="27">#REF!</definedName>
    <definedName name="__________________________abs3">#REF!</definedName>
    <definedName name="__________________________abs32" localSheetId="27">#REF!</definedName>
    <definedName name="__________________________abs32">#REF!</definedName>
    <definedName name="__________________________wr3" localSheetId="27">#REF!</definedName>
    <definedName name="__________________________wr3">#REF!</definedName>
    <definedName name="_________________________abs3" localSheetId="27">#REF!</definedName>
    <definedName name="_________________________abs3">#REF!</definedName>
    <definedName name="_________________________abs32" localSheetId="27">#REF!</definedName>
    <definedName name="_________________________abs32">#REF!</definedName>
    <definedName name="_________________________wr3" localSheetId="27">#REF!</definedName>
    <definedName name="_________________________wr3">#REF!</definedName>
    <definedName name="_______________________abs3">#REF!</definedName>
    <definedName name="_______________________abs32" localSheetId="27">#REF!</definedName>
    <definedName name="_______________________abs32">#REF!</definedName>
    <definedName name="_______________________wr3" localSheetId="27">#REF!</definedName>
    <definedName name="_______________________wr3">#REF!</definedName>
    <definedName name="______________________abs3" localSheetId="27">#REF!</definedName>
    <definedName name="______________________abs3">#REF!</definedName>
    <definedName name="______________________abs32" localSheetId="27">#REF!</definedName>
    <definedName name="______________________abs32">#REF!</definedName>
    <definedName name="______________________wr3" localSheetId="27">#REF!</definedName>
    <definedName name="______________________wr3">#REF!</definedName>
    <definedName name="_____________________abs3" localSheetId="27">#REF!</definedName>
    <definedName name="_____________________abs3">#REF!</definedName>
    <definedName name="_____________________abs32" localSheetId="27">#REF!</definedName>
    <definedName name="_____________________abs32">#REF!</definedName>
    <definedName name="_____________________wr3" localSheetId="27">#REF!</definedName>
    <definedName name="_____________________wr3">#REF!</definedName>
    <definedName name="____________________abs3" localSheetId="27">#REF!</definedName>
    <definedName name="____________________abs3">#REF!</definedName>
    <definedName name="____________________abs32" localSheetId="27">#REF!</definedName>
    <definedName name="____________________abs32">#REF!</definedName>
    <definedName name="____________________wr3" localSheetId="27">#REF!</definedName>
    <definedName name="____________________wr3">#REF!</definedName>
    <definedName name="___________________abs32">#REF!</definedName>
    <definedName name="___________________wr3">#REF!</definedName>
    <definedName name="__________________abs3">#REF!</definedName>
    <definedName name="__________________abs32" localSheetId="27">#REF!</definedName>
    <definedName name="__________________abs32">#REF!</definedName>
    <definedName name="__________________wr3" localSheetId="27">#REF!</definedName>
    <definedName name="__________________wr3">#REF!</definedName>
    <definedName name="_________________abs3" localSheetId="27">#REF!</definedName>
    <definedName name="_________________abs3">#REF!</definedName>
    <definedName name="_________________abs32" localSheetId="27">#REF!</definedName>
    <definedName name="_________________abs32">#REF!</definedName>
    <definedName name="_________________wr3" localSheetId="27">#REF!</definedName>
    <definedName name="_________________wr3">#REF!</definedName>
    <definedName name="________________abs3" localSheetId="30">#REF!</definedName>
    <definedName name="________________abs3" localSheetId="27">#REF!</definedName>
    <definedName name="________________abs3">#REF!</definedName>
    <definedName name="________________abs32" localSheetId="30">#REF!</definedName>
    <definedName name="________________abs32" localSheetId="27">#REF!</definedName>
    <definedName name="________________abs32">#REF!</definedName>
    <definedName name="________________wr3" localSheetId="30">#REF!</definedName>
    <definedName name="________________wr3" localSheetId="27">#REF!</definedName>
    <definedName name="________________wr3">#REF!</definedName>
    <definedName name="_______________abs3" localSheetId="30">#REF!</definedName>
    <definedName name="_______________abs3" localSheetId="27">#REF!</definedName>
    <definedName name="_______________abs3">#REF!</definedName>
    <definedName name="_______________abs32" localSheetId="30">#REF!</definedName>
    <definedName name="_______________abs32" localSheetId="27">#REF!</definedName>
    <definedName name="_______________abs32">#REF!</definedName>
    <definedName name="_______________wr3" localSheetId="30">#REF!</definedName>
    <definedName name="_______________wr3" localSheetId="27">#REF!</definedName>
    <definedName name="_______________wr3">#REF!</definedName>
    <definedName name="______________abs3" localSheetId="27">#REF!</definedName>
    <definedName name="______________abs3">#REF!</definedName>
    <definedName name="______________abs32" localSheetId="27">#REF!</definedName>
    <definedName name="______________abs32">#REF!</definedName>
    <definedName name="______________wr3" localSheetId="27">#REF!</definedName>
    <definedName name="______________wr3">#REF!</definedName>
    <definedName name="_____________abs3" localSheetId="27">#REF!</definedName>
    <definedName name="_____________abs3">#REF!</definedName>
    <definedName name="_____________abs32" localSheetId="27">#REF!</definedName>
    <definedName name="_____________abs32">#REF!</definedName>
    <definedName name="_____________wr3" localSheetId="27">#REF!</definedName>
    <definedName name="_____________wr3">#REF!</definedName>
    <definedName name="____________abs3" localSheetId="27">#REF!</definedName>
    <definedName name="____________abs3">#REF!</definedName>
    <definedName name="____________abs32" localSheetId="27">#REF!</definedName>
    <definedName name="____________abs32">#REF!</definedName>
    <definedName name="____________wr3" localSheetId="27">#REF!</definedName>
    <definedName name="____________wr3">#REF!</definedName>
    <definedName name="___________abs3">#REF!</definedName>
    <definedName name="___________abs32" localSheetId="10">#REF!</definedName>
    <definedName name="___________abs32" localSheetId="12">#REF!</definedName>
    <definedName name="___________abs32">#REF!</definedName>
    <definedName name="___________wr3" localSheetId="10">#REF!</definedName>
    <definedName name="___________wr3" localSheetId="12">#REF!</definedName>
    <definedName name="___________wr3">#REF!</definedName>
    <definedName name="__________abs3" localSheetId="10">#REF!</definedName>
    <definedName name="__________abs3" localSheetId="12">#REF!</definedName>
    <definedName name="__________abs3">#REF!</definedName>
    <definedName name="__________abs32" localSheetId="27">#REF!</definedName>
    <definedName name="__________abs32">#REF!</definedName>
    <definedName name="__________wr3" localSheetId="27">#REF!</definedName>
    <definedName name="__________wr3">#REF!</definedName>
    <definedName name="_________abs3" localSheetId="27">#REF!</definedName>
    <definedName name="_________abs32" localSheetId="27">#REF!</definedName>
    <definedName name="_________wr3" localSheetId="27">#REF!</definedName>
    <definedName name="________abs3" localSheetId="27">#REF!</definedName>
    <definedName name="________abs3">#REF!</definedName>
    <definedName name="________abs32" localSheetId="27">#REF!</definedName>
    <definedName name="________abs32">#REF!</definedName>
    <definedName name="________wr3" localSheetId="27">#REF!</definedName>
    <definedName name="________wr3">#REF!</definedName>
    <definedName name="_______abs3" localSheetId="27">#REF!</definedName>
    <definedName name="_______abs32" localSheetId="27">#REF!</definedName>
    <definedName name="_______RCC115" localSheetId="8">[1]Spec!$B$12</definedName>
    <definedName name="_______RCC115" localSheetId="30">[20]Spec!$B$12</definedName>
    <definedName name="_______RCC115" localSheetId="26">[21]Spec!$B$12</definedName>
    <definedName name="_______RCC115" localSheetId="27">[22]Spec!$B$12</definedName>
    <definedName name="_______RCC115" localSheetId="25">[21]Spec!$B$12</definedName>
    <definedName name="_______RCC115" localSheetId="15">[1]Spec!$B$12</definedName>
    <definedName name="_______RCC115" localSheetId="22">[21]Spec!$B$12</definedName>
    <definedName name="_______RCC115">[2]Spec!$B$12</definedName>
    <definedName name="_______wr3" localSheetId="26">#REF!</definedName>
    <definedName name="_______wr3" localSheetId="27">#REF!</definedName>
    <definedName name="_______wr3" localSheetId="25">#REF!</definedName>
    <definedName name="______abs3" localSheetId="30">#REF!</definedName>
    <definedName name="______abs3" localSheetId="26">#REF!</definedName>
    <definedName name="______abs3" localSheetId="27">#REF!</definedName>
    <definedName name="______abs3" localSheetId="25">#REF!</definedName>
    <definedName name="______abs3">#REF!</definedName>
    <definedName name="______abs32" localSheetId="30">#REF!</definedName>
    <definedName name="______abs32" localSheetId="26">#REF!</definedName>
    <definedName name="______abs32" localSheetId="27">#REF!</definedName>
    <definedName name="______abs32" localSheetId="25">#REF!</definedName>
    <definedName name="______abs32">#REF!</definedName>
    <definedName name="______RCC115" localSheetId="8">[3]Spec!$B$12</definedName>
    <definedName name="______RCC115" localSheetId="30">[23]Spec!$B$12</definedName>
    <definedName name="______RCC115" localSheetId="26">[24]Spec!$B$12</definedName>
    <definedName name="______RCC115" localSheetId="27">[25]Spec!$B$12</definedName>
    <definedName name="______RCC115" localSheetId="25">[24]Spec!$B$12</definedName>
    <definedName name="______RCC115" localSheetId="15">[3]Spec!$B$12</definedName>
    <definedName name="______RCC115" localSheetId="22">[24]Spec!$B$12</definedName>
    <definedName name="______RCC115">[4]Spec!$B$12</definedName>
    <definedName name="______wr3" localSheetId="30">#REF!</definedName>
    <definedName name="______wr3" localSheetId="26">#REF!</definedName>
    <definedName name="______wr3" localSheetId="27">#REF!</definedName>
    <definedName name="______wr3" localSheetId="25">#REF!</definedName>
    <definedName name="______wr3">#REF!</definedName>
    <definedName name="_____abs3" localSheetId="30">#REF!</definedName>
    <definedName name="_____abs3" localSheetId="26">#REF!</definedName>
    <definedName name="_____abs3" localSheetId="27">#REF!</definedName>
    <definedName name="_____abs3" localSheetId="25">#REF!</definedName>
    <definedName name="_____abs3">#REF!</definedName>
    <definedName name="_____abs32" localSheetId="30">#REF!</definedName>
    <definedName name="_____abs32" localSheetId="26">#REF!</definedName>
    <definedName name="_____abs32" localSheetId="27">#REF!</definedName>
    <definedName name="_____abs32" localSheetId="25">#REF!</definedName>
    <definedName name="_____abs32">#REF!</definedName>
    <definedName name="_____RCC115" localSheetId="8">[5]Spec!$B$12</definedName>
    <definedName name="_____RCC115" localSheetId="30">[26]Spec!$B$12</definedName>
    <definedName name="_____RCC115" localSheetId="26">[27]Spec!$B$12</definedName>
    <definedName name="_____RCC115" localSheetId="27">[28]Spec!$B$12</definedName>
    <definedName name="_____RCC115" localSheetId="25">[27]Spec!$B$12</definedName>
    <definedName name="_____RCC115" localSheetId="15">[5]Spec!$B$12</definedName>
    <definedName name="_____RCC115" localSheetId="22">[27]Spec!$B$12</definedName>
    <definedName name="_____RCC115">[6]Spec!$B$12</definedName>
    <definedName name="_____wr3" localSheetId="30">#REF!</definedName>
    <definedName name="_____wr3" localSheetId="26">#REF!</definedName>
    <definedName name="_____wr3" localSheetId="27">#REF!</definedName>
    <definedName name="_____wr3" localSheetId="25">#REF!</definedName>
    <definedName name="_____wr3">#REF!</definedName>
    <definedName name="____A65539" localSheetId="8">#REF!</definedName>
    <definedName name="____A65539" localSheetId="30">#REF!</definedName>
    <definedName name="____A65539" localSheetId="28">#REF!</definedName>
    <definedName name="____A65539" localSheetId="10">#REF!</definedName>
    <definedName name="____A65539" localSheetId="11">#REF!</definedName>
    <definedName name="____A65539" localSheetId="12">#REF!</definedName>
    <definedName name="____A65539" localSheetId="15">#REF!</definedName>
    <definedName name="____A65539">#REF!</definedName>
    <definedName name="____abs3" localSheetId="27">#REF!</definedName>
    <definedName name="____abs3">#REF!</definedName>
    <definedName name="____abs32" localSheetId="27">#REF!</definedName>
    <definedName name="____abs32">#REF!</definedName>
    <definedName name="____RCC115" localSheetId="8">[5]Spec!$B$12</definedName>
    <definedName name="____RCC115" localSheetId="30">[26]Spec!$B$12</definedName>
    <definedName name="____RCC115" localSheetId="26">[27]Spec!$B$12</definedName>
    <definedName name="____RCC115" localSheetId="27">[28]Spec!$B$12</definedName>
    <definedName name="____RCC115" localSheetId="25">[27]Spec!$B$12</definedName>
    <definedName name="____RCC115" localSheetId="15">[5]Spec!$B$12</definedName>
    <definedName name="____RCC115" localSheetId="22">[27]Spec!$B$12</definedName>
    <definedName name="____RCC115">[6]Spec!$B$12</definedName>
    <definedName name="____wr3" localSheetId="30">#REF!</definedName>
    <definedName name="____wr3" localSheetId="26">#REF!</definedName>
    <definedName name="____wr3" localSheetId="27">#REF!</definedName>
    <definedName name="____wr3" localSheetId="25">#REF!</definedName>
    <definedName name="____wr3">#REF!</definedName>
    <definedName name="___A65539" localSheetId="8">#REF!</definedName>
    <definedName name="___A65539" localSheetId="30">#REF!</definedName>
    <definedName name="___A65539" localSheetId="28">#REF!</definedName>
    <definedName name="___A65539" localSheetId="10">#REF!</definedName>
    <definedName name="___A65539" localSheetId="11">#REF!</definedName>
    <definedName name="___A65539" localSheetId="12">#REF!</definedName>
    <definedName name="___A65539" localSheetId="15">#REF!</definedName>
    <definedName name="___A65539">#REF!</definedName>
    <definedName name="___abs3" localSheetId="8">#REF!</definedName>
    <definedName name="___abs3" localSheetId="27">#REF!</definedName>
    <definedName name="___abs3">#REF!</definedName>
    <definedName name="___abs32" localSheetId="8">#REF!</definedName>
    <definedName name="___abs32" localSheetId="27">#REF!</definedName>
    <definedName name="___abs32">#REF!</definedName>
    <definedName name="___RCC115" localSheetId="8">[1]Spec!$B$12</definedName>
    <definedName name="___RCC115" localSheetId="30">[20]Spec!$B$12</definedName>
    <definedName name="___RCC115" localSheetId="26">[21]Spec!$B$12</definedName>
    <definedName name="___RCC115" localSheetId="27">[22]Spec!$B$12</definedName>
    <definedName name="___RCC115" localSheetId="25">[21]Spec!$B$12</definedName>
    <definedName name="___RCC115" localSheetId="15">[1]Spec!$B$12</definedName>
    <definedName name="___RCC115" localSheetId="22">[21]Spec!$B$12</definedName>
    <definedName name="___RCC115">[2]Spec!$B$12</definedName>
    <definedName name="___wr3" localSheetId="8">#REF!</definedName>
    <definedName name="___wr3" localSheetId="30">#REF!</definedName>
    <definedName name="___wr3" localSheetId="26">#REF!</definedName>
    <definedName name="___wr3" localSheetId="27">#REF!</definedName>
    <definedName name="___wr3" localSheetId="25">#REF!</definedName>
    <definedName name="___wr3">#REF!</definedName>
    <definedName name="__A65539" localSheetId="8">#REF!</definedName>
    <definedName name="__A65539" localSheetId="30">#REF!</definedName>
    <definedName name="__A65539" localSheetId="28">#REF!</definedName>
    <definedName name="__A65539" localSheetId="10">#REF!</definedName>
    <definedName name="__A65539" localSheetId="11">#REF!</definedName>
    <definedName name="__A65539" localSheetId="12">#REF!</definedName>
    <definedName name="__A65539" localSheetId="15">#REF!</definedName>
    <definedName name="__A65539">#REF!</definedName>
    <definedName name="__abs3" localSheetId="27">#REF!</definedName>
    <definedName name="__abs3">#REF!</definedName>
    <definedName name="__abs32" localSheetId="27">#REF!</definedName>
    <definedName name="__abs32">#REF!</definedName>
    <definedName name="__RCC115" localSheetId="8">[1]Spec!$B$12</definedName>
    <definedName name="__RCC115" localSheetId="30">[20]Spec!$B$12</definedName>
    <definedName name="__RCC115" localSheetId="26">[21]Spec!$B$12</definedName>
    <definedName name="__RCC115" localSheetId="27">[22]Spec!$B$12</definedName>
    <definedName name="__RCC115" localSheetId="25">[21]Spec!$B$12</definedName>
    <definedName name="__RCC115" localSheetId="15">[1]Spec!$B$12</definedName>
    <definedName name="__RCC115" localSheetId="22">[21]Spec!$B$12</definedName>
    <definedName name="__RCC115">[2]Spec!$B$12</definedName>
    <definedName name="__wr3" localSheetId="30">#REF!</definedName>
    <definedName name="__wr3" localSheetId="26">#REF!</definedName>
    <definedName name="__wr3" localSheetId="27">#REF!</definedName>
    <definedName name="__wr3" localSheetId="25">#REF!</definedName>
    <definedName name="__wr3">#REF!</definedName>
    <definedName name="_A65539" localSheetId="8">#REF!</definedName>
    <definedName name="_A65539" localSheetId="30">#REF!</definedName>
    <definedName name="_A65539" localSheetId="28">#REF!</definedName>
    <definedName name="_A65539" localSheetId="10">#REF!</definedName>
    <definedName name="_A65539" localSheetId="12">#REF!</definedName>
    <definedName name="_A65539" localSheetId="15">#REF!</definedName>
    <definedName name="_A65539">#REF!</definedName>
    <definedName name="_abs3" localSheetId="27">#REF!</definedName>
    <definedName name="_abs3" localSheetId="15">#REF!</definedName>
    <definedName name="_abs3">#REF!</definedName>
    <definedName name="_abs32" localSheetId="27">#REF!</definedName>
    <definedName name="_abs32" localSheetId="15">#REF!</definedName>
    <definedName name="_abs32">#REF!</definedName>
    <definedName name="_Fill" hidden="1">#REF!</definedName>
    <definedName name="_xlnm._FilterDatabase" localSheetId="9" hidden="1">building!$A$4:$T$500</definedName>
    <definedName name="_xlnm._FilterDatabase" localSheetId="10" hidden="1">'DEV-2'!$A$4:$V$499</definedName>
    <definedName name="_m" localSheetId="8">#REF!</definedName>
    <definedName name="_m" localSheetId="18">#REF!</definedName>
    <definedName name="_m" localSheetId="30">#REF!</definedName>
    <definedName name="_m" localSheetId="28">#REF!</definedName>
    <definedName name="_m" localSheetId="26">#REF!</definedName>
    <definedName name="_m" localSheetId="10">#REF!</definedName>
    <definedName name="_m" localSheetId="23">#REF!</definedName>
    <definedName name="_m" localSheetId="12">#REF!</definedName>
    <definedName name="_m" localSheetId="27">#REF!</definedName>
    <definedName name="_m" localSheetId="25">#REF!</definedName>
    <definedName name="_m" localSheetId="15">#REF!</definedName>
    <definedName name="_m" localSheetId="21">#REF!</definedName>
    <definedName name="_m" localSheetId="19">#REF!</definedName>
    <definedName name="_m" localSheetId="20">#REF!</definedName>
    <definedName name="_m" localSheetId="29">#REF!</definedName>
    <definedName name="_m" localSheetId="22">#REF!</definedName>
    <definedName name="_m" localSheetId="24">#REF!</definedName>
    <definedName name="_m">#REF!</definedName>
    <definedName name="_pp1" localSheetId="8">#REF!</definedName>
    <definedName name="_pp1" localSheetId="30">#REF!</definedName>
    <definedName name="_pp1" localSheetId="28">#REF!</definedName>
    <definedName name="_pp1" localSheetId="26">#REF!</definedName>
    <definedName name="_pp1" localSheetId="10">#REF!</definedName>
    <definedName name="_pp1" localSheetId="12">#REF!</definedName>
    <definedName name="_pp1" localSheetId="27">#REF!</definedName>
    <definedName name="_pp1" localSheetId="25">#REF!</definedName>
    <definedName name="_pp1" localSheetId="15">#REF!</definedName>
    <definedName name="_pp1" localSheetId="22">#REF!</definedName>
    <definedName name="_pp1">#REF!</definedName>
    <definedName name="_RCC115" localSheetId="8">[1]Spec!$B$12</definedName>
    <definedName name="_RCC115" localSheetId="30">[20]Spec!$B$12</definedName>
    <definedName name="_RCC115" localSheetId="26">[21]Spec!$B$12</definedName>
    <definedName name="_RCC115" localSheetId="27">[22]Spec!$B$12</definedName>
    <definedName name="_RCC115" localSheetId="25">[21]Spec!$B$12</definedName>
    <definedName name="_RCC115" localSheetId="15">[1]Spec!$B$12</definedName>
    <definedName name="_RCC115" localSheetId="22">[21]Spec!$B$12</definedName>
    <definedName name="_RCC115">[2]Spec!$B$12</definedName>
    <definedName name="_wr3" localSheetId="30">#REF!</definedName>
    <definedName name="_wr3" localSheetId="26">#REF!</definedName>
    <definedName name="_wr3" localSheetId="27">#REF!</definedName>
    <definedName name="_wr3" localSheetId="25">#REF!</definedName>
    <definedName name="_wr3" localSheetId="15">#REF!</definedName>
    <definedName name="_wr3">#REF!</definedName>
    <definedName name="a" localSheetId="8">#REF!</definedName>
    <definedName name="a" localSheetId="30">#REF!</definedName>
    <definedName name="a" localSheetId="28">#REF!</definedName>
    <definedName name="a" localSheetId="10">#REF!</definedName>
    <definedName name="a" localSheetId="11">#REF!</definedName>
    <definedName name="a" localSheetId="12">#REF!</definedName>
    <definedName name="a" localSheetId="15">#REF!</definedName>
    <definedName name="a">#REF!</definedName>
    <definedName name="a3424\" localSheetId="8">#REF!</definedName>
    <definedName name="a3424\" localSheetId="30">#REF!</definedName>
    <definedName name="a3424\" localSheetId="28">#REF!</definedName>
    <definedName name="a3424\" localSheetId="10">#REF!</definedName>
    <definedName name="a3424\" localSheetId="11">#REF!</definedName>
    <definedName name="a3424\" localSheetId="15">#REF!</definedName>
    <definedName name="a3424\">#REF!</definedName>
    <definedName name="aa" localSheetId="8">#REF!</definedName>
    <definedName name="aa" localSheetId="18">#REF!</definedName>
    <definedName name="aa" localSheetId="30">#REF!</definedName>
    <definedName name="aa" localSheetId="28">#REF!</definedName>
    <definedName name="aa" localSheetId="26">#REF!</definedName>
    <definedName name="aa" localSheetId="10">#REF!</definedName>
    <definedName name="aa" localSheetId="23">#REF!</definedName>
    <definedName name="aa" localSheetId="27">#REF!</definedName>
    <definedName name="aa" localSheetId="25">#REF!</definedName>
    <definedName name="aa" localSheetId="15">#REF!</definedName>
    <definedName name="aa" localSheetId="21">#REF!</definedName>
    <definedName name="aa" localSheetId="19">#REF!</definedName>
    <definedName name="aa" localSheetId="20">#REF!</definedName>
    <definedName name="aa" localSheetId="29">#REF!</definedName>
    <definedName name="aa" localSheetId="22">#REF!</definedName>
    <definedName name="aa" localSheetId="24">#REF!</definedName>
    <definedName name="aa">#REF!</definedName>
    <definedName name="aaaaaa" localSheetId="8">#REF!</definedName>
    <definedName name="aaaaaa" localSheetId="30">#REF!</definedName>
    <definedName name="aaaaaa" localSheetId="28">#REF!</definedName>
    <definedName name="aaaaaa" localSheetId="26">#REF!</definedName>
    <definedName name="aaaaaa" localSheetId="10">#REF!</definedName>
    <definedName name="aaaaaa" localSheetId="27">#REF!</definedName>
    <definedName name="aaaaaa" localSheetId="25">#REF!</definedName>
    <definedName name="aaaaaa" localSheetId="15">#REF!</definedName>
    <definedName name="aaaaaa" localSheetId="22">#REF!</definedName>
    <definedName name="aaaaaa">#REF!</definedName>
    <definedName name="aaaaaaa">#REF!</definedName>
    <definedName name="Abs" localSheetId="8">#REF!</definedName>
    <definedName name="Abs" localSheetId="18">#REF!</definedName>
    <definedName name="Abs" localSheetId="30">#REF!</definedName>
    <definedName name="Abs" localSheetId="28">#REF!</definedName>
    <definedName name="Abs" localSheetId="26">#REF!</definedName>
    <definedName name="Abs" localSheetId="10">#REF!</definedName>
    <definedName name="Abs" localSheetId="23">#REF!</definedName>
    <definedName name="Abs" localSheetId="27">#REF!</definedName>
    <definedName name="Abs" localSheetId="25">#REF!</definedName>
    <definedName name="Abs" localSheetId="15">#REF!</definedName>
    <definedName name="Abs" localSheetId="21">#REF!</definedName>
    <definedName name="Abs" localSheetId="19">#REF!</definedName>
    <definedName name="Abs" localSheetId="20">#REF!</definedName>
    <definedName name="Abs" localSheetId="29">#REF!</definedName>
    <definedName name="Abs" localSheetId="22">#REF!</definedName>
    <definedName name="Abs" localSheetId="24">#REF!</definedName>
    <definedName name="Abs">#REF!</definedName>
    <definedName name="abstract" localSheetId="8">#REF!</definedName>
    <definedName name="abstract" localSheetId="30">#REF!</definedName>
    <definedName name="abstract" localSheetId="28">#REF!</definedName>
    <definedName name="abstract" localSheetId="26">#REF!</definedName>
    <definedName name="abstract" localSheetId="10">#REF!</definedName>
    <definedName name="abstract" localSheetId="27">#REF!</definedName>
    <definedName name="abstract" localSheetId="25">#REF!</definedName>
    <definedName name="abstract" localSheetId="15">#REF!</definedName>
    <definedName name="abstract" localSheetId="22">#REF!</definedName>
    <definedName name="abstract">#REF!</definedName>
    <definedName name="adfdsafok" localSheetId="8">#REF!</definedName>
    <definedName name="adfdsafok" localSheetId="30">#REF!</definedName>
    <definedName name="adfdsafok" localSheetId="28">#REF!</definedName>
    <definedName name="adfdsafok" localSheetId="26">#REF!</definedName>
    <definedName name="adfdsafok" localSheetId="10">#REF!</definedName>
    <definedName name="adfdsafok" localSheetId="27">#REF!</definedName>
    <definedName name="adfdsafok" localSheetId="25">#REF!</definedName>
    <definedName name="adfdsafok" localSheetId="15">#REF!</definedName>
    <definedName name="adfdsafok">#REF!</definedName>
    <definedName name="ag" localSheetId="8">#REF!</definedName>
    <definedName name="ag" localSheetId="18">#REF!</definedName>
    <definedName name="ag" localSheetId="30">#REF!</definedName>
    <definedName name="ag" localSheetId="28">#REF!</definedName>
    <definedName name="ag" localSheetId="26">#REF!</definedName>
    <definedName name="ag" localSheetId="10">#REF!</definedName>
    <definedName name="ag" localSheetId="23">#REF!</definedName>
    <definedName name="ag" localSheetId="27">#REF!</definedName>
    <definedName name="ag" localSheetId="25">#REF!</definedName>
    <definedName name="ag" localSheetId="15">#REF!</definedName>
    <definedName name="ag" localSheetId="21">#REF!</definedName>
    <definedName name="ag" localSheetId="19">#REF!</definedName>
    <definedName name="ag" localSheetId="20">#REF!</definedName>
    <definedName name="ag" localSheetId="29">#REF!</definedName>
    <definedName name="ag" localSheetId="22">#REF!</definedName>
    <definedName name="ag" localSheetId="24">#REF!</definedName>
    <definedName name="ag">#REF!</definedName>
    <definedName name="ahfk" localSheetId="8">#REF!</definedName>
    <definedName name="ahfk" localSheetId="18">#REF!</definedName>
    <definedName name="ahfk" localSheetId="30">#REF!</definedName>
    <definedName name="ahfk" localSheetId="28">#REF!</definedName>
    <definedName name="ahfk" localSheetId="26">#REF!</definedName>
    <definedName name="ahfk" localSheetId="10">#REF!</definedName>
    <definedName name="ahfk" localSheetId="12">#REF!</definedName>
    <definedName name="ahfk" localSheetId="27">#REF!</definedName>
    <definedName name="ahfk" localSheetId="25">#REF!</definedName>
    <definedName name="ahfk" localSheetId="15">#REF!</definedName>
    <definedName name="ahfk" localSheetId="21">#REF!</definedName>
    <definedName name="ahfk" localSheetId="19">#REF!</definedName>
    <definedName name="ahfk" localSheetId="14">#REF!</definedName>
    <definedName name="ahfk" localSheetId="20">#REF!</definedName>
    <definedName name="ahfk" localSheetId="29">#REF!</definedName>
    <definedName name="ahfk" localSheetId="22">#REF!</definedName>
    <definedName name="ahfk">#REF!</definedName>
    <definedName name="ahh" localSheetId="8">#REF!</definedName>
    <definedName name="ahh" localSheetId="30">#REF!</definedName>
    <definedName name="ahh" localSheetId="28">#REF!</definedName>
    <definedName name="ahh" localSheetId="10">#REF!</definedName>
    <definedName name="ahh" localSheetId="15">#REF!</definedName>
    <definedName name="ahh">#REF!</definedName>
    <definedName name="anbu\" localSheetId="8">#REF!</definedName>
    <definedName name="anbu\" localSheetId="18">#REF!</definedName>
    <definedName name="anbu\" localSheetId="30">#REF!</definedName>
    <definedName name="anbu\" localSheetId="28">#REF!</definedName>
    <definedName name="anbu\" localSheetId="26">#REF!</definedName>
    <definedName name="anbu\" localSheetId="10">#REF!</definedName>
    <definedName name="anbu\" localSheetId="23">#REF!</definedName>
    <definedName name="anbu\" localSheetId="27">#REF!</definedName>
    <definedName name="anbu\" localSheetId="25">#REF!</definedName>
    <definedName name="anbu\" localSheetId="15">#REF!</definedName>
    <definedName name="anbu\" localSheetId="21">#REF!</definedName>
    <definedName name="anbu\" localSheetId="19">#REF!</definedName>
    <definedName name="anbu\" localSheetId="20">#REF!</definedName>
    <definedName name="anbu\" localSheetId="29">#REF!</definedName>
    <definedName name="anbu\" localSheetId="22">#REF!</definedName>
    <definedName name="anbu\" localSheetId="24">#REF!</definedName>
    <definedName name="anbu\">#REF!</definedName>
    <definedName name="asd" localSheetId="8">#REF!</definedName>
    <definedName name="asd" localSheetId="30">#REF!</definedName>
    <definedName name="asd" localSheetId="28">#REF!</definedName>
    <definedName name="asd" localSheetId="26">#REF!</definedName>
    <definedName name="asd" localSheetId="10">#REF!</definedName>
    <definedName name="asd" localSheetId="27">#REF!</definedName>
    <definedName name="asd" localSheetId="25">#REF!</definedName>
    <definedName name="asd" localSheetId="15">#REF!</definedName>
    <definedName name="asd" localSheetId="22">#REF!</definedName>
    <definedName name="asd">#REF!</definedName>
    <definedName name="asdfg" localSheetId="8">#REF!</definedName>
    <definedName name="asdfg" localSheetId="30">#REF!</definedName>
    <definedName name="asdfg" localSheetId="28">#REF!</definedName>
    <definedName name="asdfg" localSheetId="26">#REF!</definedName>
    <definedName name="asdfg" localSheetId="10">#REF!</definedName>
    <definedName name="asdfg" localSheetId="27">#REF!</definedName>
    <definedName name="asdfg" localSheetId="25">#REF!</definedName>
    <definedName name="asdfg" localSheetId="15">#REF!</definedName>
    <definedName name="asdfg">#REF!</definedName>
    <definedName name="asdfsahgfh" localSheetId="8">#REF!</definedName>
    <definedName name="asdfsahgfh" localSheetId="30">#REF!</definedName>
    <definedName name="asdfsahgfh" localSheetId="28">#REF!</definedName>
    <definedName name="asdfsahgfh" localSheetId="26">#REF!</definedName>
    <definedName name="asdfsahgfh" localSheetId="10">#REF!</definedName>
    <definedName name="asdfsahgfh" localSheetId="27">#REF!</definedName>
    <definedName name="asdfsahgfh" localSheetId="25">#REF!</definedName>
    <definedName name="asdfsahgfh" localSheetId="15">#REF!</definedName>
    <definedName name="asdfsahgfh">#REF!</definedName>
    <definedName name="asr" localSheetId="8">#REF!</definedName>
    <definedName name="asr" localSheetId="30">#REF!</definedName>
    <definedName name="asr" localSheetId="28">#REF!</definedName>
    <definedName name="asr" localSheetId="26">#REF!</definedName>
    <definedName name="asr" localSheetId="10">#REF!</definedName>
    <definedName name="asr" localSheetId="27">#REF!</definedName>
    <definedName name="asr" localSheetId="25">#REF!</definedName>
    <definedName name="asr" localSheetId="15">#REF!</definedName>
    <definedName name="asr" localSheetId="22">#REF!</definedName>
    <definedName name="asr">#REF!</definedName>
    <definedName name="ass" localSheetId="8">#REF!</definedName>
    <definedName name="ass" localSheetId="30">#REF!</definedName>
    <definedName name="ass" localSheetId="28">#REF!</definedName>
    <definedName name="ass" localSheetId="10">#REF!</definedName>
    <definedName name="ass" localSheetId="15">#REF!</definedName>
    <definedName name="ass">#REF!</definedName>
    <definedName name="ASSDD" localSheetId="8">#REF!</definedName>
    <definedName name="ASSDD" localSheetId="30">#REF!</definedName>
    <definedName name="ASSDD" localSheetId="28">#REF!</definedName>
    <definedName name="ASSDD" localSheetId="26">#REF!</definedName>
    <definedName name="ASSDD" localSheetId="10">#REF!</definedName>
    <definedName name="ASSDD" localSheetId="27">#REF!</definedName>
    <definedName name="ASSDD" localSheetId="25">#REF!</definedName>
    <definedName name="ASSDD" localSheetId="15">#REF!</definedName>
    <definedName name="ASSDD" localSheetId="22">#REF!</definedName>
    <definedName name="ASSDD">#REF!</definedName>
    <definedName name="b" localSheetId="8">#REF!</definedName>
    <definedName name="b" localSheetId="18">#REF!</definedName>
    <definedName name="b" localSheetId="30">#REF!</definedName>
    <definedName name="b" localSheetId="28">#REF!</definedName>
    <definedName name="b" localSheetId="26">#REF!</definedName>
    <definedName name="b" localSheetId="10">#REF!</definedName>
    <definedName name="b" localSheetId="23">#REF!</definedName>
    <definedName name="b" localSheetId="27">#REF!</definedName>
    <definedName name="b" localSheetId="25">#REF!</definedName>
    <definedName name="b" localSheetId="15">#REF!</definedName>
    <definedName name="b" localSheetId="21">#REF!</definedName>
    <definedName name="b" localSheetId="19">#REF!</definedName>
    <definedName name="b" localSheetId="20">#REF!</definedName>
    <definedName name="b" localSheetId="29">#REF!</definedName>
    <definedName name="b" localSheetId="22">#REF!</definedName>
    <definedName name="b" localSheetId="24">#REF!</definedName>
    <definedName name="b">#REF!</definedName>
    <definedName name="Basementfill" localSheetId="8">[1]Spec!$B$14</definedName>
    <definedName name="Basementfill" localSheetId="30">[20]Spec!$B$14</definedName>
    <definedName name="Basementfill" localSheetId="26">[21]Spec!$B$14</definedName>
    <definedName name="Basementfill" localSheetId="27">[22]Spec!$B$14</definedName>
    <definedName name="Basementfill" localSheetId="25">[21]Spec!$B$14</definedName>
    <definedName name="Basementfill" localSheetId="15">[1]Spec!$B$14</definedName>
    <definedName name="Basementfill" localSheetId="22">[21]Spec!$B$14</definedName>
    <definedName name="Basementfill">[2]Spec!$B$14</definedName>
    <definedName name="bc" localSheetId="30">#REF!</definedName>
    <definedName name="bc" localSheetId="26">#REF!</definedName>
    <definedName name="bc" localSheetId="25">#REF!</definedName>
    <definedName name="bc">#REF!</definedName>
    <definedName name="be" localSheetId="8">#REF!</definedName>
    <definedName name="be" localSheetId="30">#REF!</definedName>
    <definedName name="be" localSheetId="28">#REF!</definedName>
    <definedName name="be" localSheetId="26">#REF!</definedName>
    <definedName name="be" localSheetId="10">#REF!</definedName>
    <definedName name="be" localSheetId="12">#REF!</definedName>
    <definedName name="be" localSheetId="27">#REF!</definedName>
    <definedName name="be" localSheetId="25">#REF!</definedName>
    <definedName name="be" localSheetId="15">#REF!</definedName>
    <definedName name="be">#REF!</definedName>
    <definedName name="Beg_Bal" localSheetId="8">#REF!</definedName>
    <definedName name="Beg_Bal" localSheetId="30">#REF!</definedName>
    <definedName name="Beg_Bal" localSheetId="28">#REF!</definedName>
    <definedName name="Beg_Bal" localSheetId="10">#REF!</definedName>
    <definedName name="Beg_Bal" localSheetId="12">#REF!</definedName>
    <definedName name="Beg_Bal" localSheetId="15">#REF!</definedName>
    <definedName name="Beg_Bal">#REF!</definedName>
    <definedName name="bghvnbbb" localSheetId="8">#REF!</definedName>
    <definedName name="bghvnbbb" localSheetId="30">#REF!</definedName>
    <definedName name="bghvnbbb" localSheetId="28">#REF!</definedName>
    <definedName name="bghvnbbb" localSheetId="26">#REF!</definedName>
    <definedName name="bghvnbbb" localSheetId="10">#REF!</definedName>
    <definedName name="bghvnbbb" localSheetId="12">#REF!</definedName>
    <definedName name="bghvnbbb" localSheetId="27">#REF!</definedName>
    <definedName name="bghvnbbb" localSheetId="25">#REF!</definedName>
    <definedName name="bghvnbbb" localSheetId="15">#REF!</definedName>
    <definedName name="bghvnbbb" localSheetId="22">#REF!</definedName>
    <definedName name="bghvnbbb">#REF!</definedName>
    <definedName name="bor" localSheetId="8">#REF!</definedName>
    <definedName name="bor" localSheetId="18">#REF!</definedName>
    <definedName name="bor" localSheetId="30">#REF!</definedName>
    <definedName name="bor" localSheetId="28">#REF!</definedName>
    <definedName name="bor" localSheetId="26">#REF!</definedName>
    <definedName name="bor" localSheetId="10">#REF!</definedName>
    <definedName name="bor" localSheetId="23">#REF!</definedName>
    <definedName name="bor" localSheetId="27">#REF!</definedName>
    <definedName name="bor" localSheetId="25">#REF!</definedName>
    <definedName name="bor" localSheetId="15">#REF!</definedName>
    <definedName name="bor" localSheetId="21">#REF!</definedName>
    <definedName name="bor" localSheetId="19">#REF!</definedName>
    <definedName name="bor" localSheetId="20">#REF!</definedName>
    <definedName name="bor" localSheetId="29">#REF!</definedName>
    <definedName name="bor" localSheetId="22">#REF!</definedName>
    <definedName name="bor" localSheetId="24">#REF!</definedName>
    <definedName name="bor">#REF!</definedName>
    <definedName name="Buildingevelopment." localSheetId="8">#REF!</definedName>
    <definedName name="Buildingevelopment." localSheetId="18">#REF!</definedName>
    <definedName name="Buildingevelopment." localSheetId="30">#REF!</definedName>
    <definedName name="Buildingevelopment." localSheetId="28">#REF!</definedName>
    <definedName name="Buildingevelopment." localSheetId="26">#REF!</definedName>
    <definedName name="Buildingevelopment." localSheetId="10">#REF!</definedName>
    <definedName name="Buildingevelopment." localSheetId="23">#REF!</definedName>
    <definedName name="Buildingevelopment." localSheetId="27">#REF!</definedName>
    <definedName name="Buildingevelopment." localSheetId="25">#REF!</definedName>
    <definedName name="Buildingevelopment." localSheetId="15">#REF!</definedName>
    <definedName name="Buildingevelopment." localSheetId="21">#REF!</definedName>
    <definedName name="Buildingevelopment." localSheetId="19">#REF!</definedName>
    <definedName name="Buildingevelopment." localSheetId="20">#REF!</definedName>
    <definedName name="Buildingevelopment." localSheetId="29">#REF!</definedName>
    <definedName name="Buildingevelopment." localSheetId="22">#REF!</definedName>
    <definedName name="Buildingevelopment." localSheetId="24">#REF!</definedName>
    <definedName name="Buildingevelopment.">#REF!</definedName>
    <definedName name="BW" localSheetId="8">[1]Spec!$B$9</definedName>
    <definedName name="BW" localSheetId="30">[20]Spec!$B$9</definedName>
    <definedName name="BW" localSheetId="26">[21]Spec!$B$9</definedName>
    <definedName name="BW" localSheetId="27">[22]Spec!$B$9</definedName>
    <definedName name="BW" localSheetId="25">[21]Spec!$B$9</definedName>
    <definedName name="BW" localSheetId="15">[1]Spec!$B$9</definedName>
    <definedName name="BW" localSheetId="22">[21]Spec!$B$9</definedName>
    <definedName name="BW">[2]Spec!$B$9</definedName>
    <definedName name="c.data" localSheetId="8">#REF!</definedName>
    <definedName name="c.data" localSheetId="18">#REF!</definedName>
    <definedName name="c.data" localSheetId="30">#REF!</definedName>
    <definedName name="c.data" localSheetId="28">#REF!</definedName>
    <definedName name="c.data" localSheetId="26">#REF!</definedName>
    <definedName name="c.data" localSheetId="10">#REF!</definedName>
    <definedName name="c.data" localSheetId="23">#REF!</definedName>
    <definedName name="c.data" localSheetId="12">#REF!</definedName>
    <definedName name="c.data" localSheetId="27">#REF!</definedName>
    <definedName name="c.data" localSheetId="25">#REF!</definedName>
    <definedName name="c.data" localSheetId="15">#REF!</definedName>
    <definedName name="c.data" localSheetId="21">#REF!</definedName>
    <definedName name="c.data" localSheetId="19">#REF!</definedName>
    <definedName name="c.data" localSheetId="20">#REF!</definedName>
    <definedName name="c.data" localSheetId="29">#REF!</definedName>
    <definedName name="c.data" localSheetId="22">#REF!</definedName>
    <definedName name="c.data" localSheetId="24">#REF!</definedName>
    <definedName name="c.data">#REF!</definedName>
    <definedName name="c641." localSheetId="8">#REF!</definedName>
    <definedName name="c641." localSheetId="30">#REF!</definedName>
    <definedName name="c641." localSheetId="28">#REF!</definedName>
    <definedName name="c641." localSheetId="10">#REF!</definedName>
    <definedName name="c641." localSheetId="12">#REF!</definedName>
    <definedName name="c641." localSheetId="15">#REF!</definedName>
    <definedName name="c641.">#REF!</definedName>
    <definedName name="cc" localSheetId="8">#REF!</definedName>
    <definedName name="cc" localSheetId="30">#REF!</definedName>
    <definedName name="cc" localSheetId="28">#REF!</definedName>
    <definedName name="cc" localSheetId="26">#REF!</definedName>
    <definedName name="cc" localSheetId="10">#REF!</definedName>
    <definedName name="cc" localSheetId="12">#REF!</definedName>
    <definedName name="cc" localSheetId="27">#REF!</definedName>
    <definedName name="cc" localSheetId="25">#REF!</definedName>
    <definedName name="cc" localSheetId="15">#REF!</definedName>
    <definedName name="cc">#REF!</definedName>
    <definedName name="ccc" localSheetId="8">#REF!</definedName>
    <definedName name="ccc" localSheetId="30">#REF!</definedName>
    <definedName name="ccc" localSheetId="28">#REF!</definedName>
    <definedName name="ccc" localSheetId="26">#REF!</definedName>
    <definedName name="ccc" localSheetId="10">#REF!</definedName>
    <definedName name="ccc" localSheetId="27">#REF!</definedName>
    <definedName name="ccc" localSheetId="25">#REF!</definedName>
    <definedName name="ccc" localSheetId="15">#REF!</definedName>
    <definedName name="ccc">#REF!</definedName>
    <definedName name="cdscds" localSheetId="27">#REF!</definedName>
    <definedName name="cdscds">#REF!</definedName>
    <definedName name="Ceilingplast" localSheetId="8">[1]Spec!$B$21</definedName>
    <definedName name="Ceilingplast" localSheetId="30">[20]Spec!$B$21</definedName>
    <definedName name="Ceilingplast" localSheetId="26">[21]Spec!$B$21</definedName>
    <definedName name="Ceilingplast" localSheetId="27">[22]Spec!$B$21</definedName>
    <definedName name="Ceilingplast" localSheetId="25">[21]Spec!$B$21</definedName>
    <definedName name="Ceilingplast" localSheetId="15">[1]Spec!$B$21</definedName>
    <definedName name="Ceilingplast" localSheetId="22">[21]Spec!$B$21</definedName>
    <definedName name="Ceilingplast">[2]Spec!$B$21</definedName>
    <definedName name="Centering" localSheetId="8">[1]Spec!$B$11</definedName>
    <definedName name="Centering" localSheetId="30">[20]Spec!$B$11</definedName>
    <definedName name="Centering" localSheetId="26">[21]Spec!$B$11</definedName>
    <definedName name="Centering" localSheetId="27">[22]Spec!$B$11</definedName>
    <definedName name="Centering" localSheetId="25">[21]Spec!$B$11</definedName>
    <definedName name="Centering" localSheetId="15">[1]Spec!$B$11</definedName>
    <definedName name="Centering" localSheetId="22">[21]Spec!$B$11</definedName>
    <definedName name="Centering">[2]Spec!$B$11</definedName>
    <definedName name="ceramic" localSheetId="8">[1]Spec!$B$17</definedName>
    <definedName name="ceramic" localSheetId="30">[20]Spec!$B$17</definedName>
    <definedName name="ceramic" localSheetId="26">[21]Spec!$B$17</definedName>
    <definedName name="ceramic" localSheetId="27">[22]Spec!$B$17</definedName>
    <definedName name="ceramic" localSheetId="25">[21]Spec!$B$17</definedName>
    <definedName name="ceramic" localSheetId="15">[1]Spec!$B$17</definedName>
    <definedName name="ceramic" localSheetId="22">[21]Spec!$B$17</definedName>
    <definedName name="ceramic">[2]Spec!$B$17</definedName>
    <definedName name="Conc14" localSheetId="8">[1]Spec!$B$6</definedName>
    <definedName name="Conc14" localSheetId="30">[20]Spec!$B$6</definedName>
    <definedName name="Conc14" localSheetId="26">[21]Spec!$B$6</definedName>
    <definedName name="Conc14" localSheetId="27">[22]Spec!$B$6</definedName>
    <definedName name="Conc14" localSheetId="25">[21]Spec!$B$6</definedName>
    <definedName name="Conc14" localSheetId="15">[1]Spec!$B$6</definedName>
    <definedName name="Conc14" localSheetId="22">[21]Spec!$B$6</definedName>
    <definedName name="Conc14">[2]Spec!$B$6</definedName>
    <definedName name="CW" localSheetId="8">[1]Spec!$B$23</definedName>
    <definedName name="CW" localSheetId="30">[20]Spec!$B$23</definedName>
    <definedName name="CW" localSheetId="26">[21]Spec!$B$23</definedName>
    <definedName name="CW" localSheetId="27">[22]Spec!$B$23</definedName>
    <definedName name="CW" localSheetId="25">[21]Spec!$B$23</definedName>
    <definedName name="CW" localSheetId="15">[1]Spec!$B$23</definedName>
    <definedName name="CW" localSheetId="22">[21]Spec!$B$23</definedName>
    <definedName name="CW">[2]Spec!$B$23</definedName>
    <definedName name="Data" localSheetId="8">#REF!</definedName>
    <definedName name="Data" localSheetId="30">#REF!</definedName>
    <definedName name="Data" localSheetId="28">#REF!</definedName>
    <definedName name="Data" localSheetId="26">#REF!</definedName>
    <definedName name="Data" localSheetId="10">#REF!</definedName>
    <definedName name="Data" localSheetId="12">#REF!</definedName>
    <definedName name="Data" localSheetId="25">#REF!</definedName>
    <definedName name="Data" localSheetId="15">#REF!</definedName>
    <definedName name="Data">#REF!</definedName>
    <definedName name="datas" localSheetId="27">#REF!</definedName>
    <definedName name="datas">#REF!</definedName>
    <definedName name="dd" localSheetId="8">#REF!</definedName>
    <definedName name="dd" localSheetId="30">#REF!</definedName>
    <definedName name="dd" localSheetId="28">#REF!</definedName>
    <definedName name="dd" localSheetId="10">#REF!</definedName>
    <definedName name="dd" localSheetId="12">#REF!</definedName>
    <definedName name="dd" localSheetId="15">#REF!</definedName>
    <definedName name="dd">#REF!</definedName>
    <definedName name="ddds" localSheetId="8">#REF!</definedName>
    <definedName name="ddds" localSheetId="30">#REF!</definedName>
    <definedName name="ddds" localSheetId="28">#REF!</definedName>
    <definedName name="ddds" localSheetId="26">#REF!</definedName>
    <definedName name="ddds" localSheetId="10">#REF!</definedName>
    <definedName name="ddds" localSheetId="12">#REF!</definedName>
    <definedName name="ddds" localSheetId="27">#REF!</definedName>
    <definedName name="ddds" localSheetId="25">#REF!</definedName>
    <definedName name="ddds" localSheetId="15">#REF!</definedName>
    <definedName name="ddds" localSheetId="22">#REF!</definedName>
    <definedName name="ddds">#REF!</definedName>
    <definedName name="de" localSheetId="8">#REF!</definedName>
    <definedName name="de" localSheetId="30">#REF!</definedName>
    <definedName name="de" localSheetId="28">#REF!</definedName>
    <definedName name="de" localSheetId="26">#REF!</definedName>
    <definedName name="de" localSheetId="10">#REF!</definedName>
    <definedName name="de" localSheetId="27">#REF!</definedName>
    <definedName name="de" localSheetId="25">#REF!</definedName>
    <definedName name="de" localSheetId="15">#REF!</definedName>
    <definedName name="de">#REF!</definedName>
    <definedName name="deatil1" localSheetId="8">#REF!</definedName>
    <definedName name="deatil1" localSheetId="30">#REF!</definedName>
    <definedName name="deatil1" localSheetId="28">#REF!</definedName>
    <definedName name="deatil1" localSheetId="26">#REF!</definedName>
    <definedName name="deatil1" localSheetId="10">#REF!</definedName>
    <definedName name="deatil1" localSheetId="27">#REF!</definedName>
    <definedName name="deatil1" localSheetId="25">#REF!</definedName>
    <definedName name="deatil1" localSheetId="15">#REF!</definedName>
    <definedName name="deatil1" localSheetId="22">#REF!</definedName>
    <definedName name="deatil1">#REF!</definedName>
    <definedName name="DEEE" localSheetId="27">#REF!</definedName>
    <definedName name="DEEE">#REF!</definedName>
    <definedName name="dergh" localSheetId="8">#REF!</definedName>
    <definedName name="dergh" localSheetId="30">#REF!</definedName>
    <definedName name="dergh" localSheetId="28">#REF!</definedName>
    <definedName name="dergh" localSheetId="26">#REF!</definedName>
    <definedName name="dergh" localSheetId="10">#REF!</definedName>
    <definedName name="dergh" localSheetId="27">#REF!</definedName>
    <definedName name="dergh" localSheetId="25">#REF!</definedName>
    <definedName name="dergh" localSheetId="15">#REF!</definedName>
    <definedName name="dergh">#REF!</definedName>
    <definedName name="detail1" localSheetId="8">#REF!</definedName>
    <definedName name="detail1" localSheetId="30">#REF!</definedName>
    <definedName name="detail1" localSheetId="28">#REF!</definedName>
    <definedName name="detail1" localSheetId="26">#REF!</definedName>
    <definedName name="detail1" localSheetId="10">#REF!</definedName>
    <definedName name="detail1" localSheetId="27">#REF!</definedName>
    <definedName name="detail1" localSheetId="25">#REF!</definedName>
    <definedName name="detail1" localSheetId="15">#REF!</definedName>
    <definedName name="detail1">#REF!</definedName>
    <definedName name="details" localSheetId="8">#REF!</definedName>
    <definedName name="details" localSheetId="30">#REF!</definedName>
    <definedName name="details" localSheetId="28">#REF!</definedName>
    <definedName name="details" localSheetId="26">#REF!</definedName>
    <definedName name="details" localSheetId="10">#REF!</definedName>
    <definedName name="details" localSheetId="27">#REF!</definedName>
    <definedName name="details" localSheetId="25">#REF!</definedName>
    <definedName name="details" localSheetId="15">#REF!</definedName>
    <definedName name="details" localSheetId="22">#REF!</definedName>
    <definedName name="details">#REF!</definedName>
    <definedName name="Details_furnished_by_the__CE__TNPHC_to_DIG">#REF!</definedName>
    <definedName name="detpada" localSheetId="8">#REF!</definedName>
    <definedName name="detpada" localSheetId="30">#REF!</definedName>
    <definedName name="detpada" localSheetId="28">#REF!</definedName>
    <definedName name="detpada" localSheetId="10">#REF!</definedName>
    <definedName name="detpada" localSheetId="15">#REF!</definedName>
    <definedName name="detpada">#REF!</definedName>
    <definedName name="df" localSheetId="8">#REF!</definedName>
    <definedName name="df" localSheetId="30">#REF!</definedName>
    <definedName name="df" localSheetId="28">#REF!</definedName>
    <definedName name="df" localSheetId="10">#REF!</definedName>
    <definedName name="df" localSheetId="15">#REF!</definedName>
    <definedName name="df">#REF!</definedName>
    <definedName name="dfshsg" localSheetId="8">#REF!</definedName>
    <definedName name="dfshsg" localSheetId="30">#REF!</definedName>
    <definedName name="dfshsg" localSheetId="28">#REF!</definedName>
    <definedName name="dfshsg" localSheetId="26">#REF!</definedName>
    <definedName name="dfshsg" localSheetId="10">#REF!</definedName>
    <definedName name="dfshsg" localSheetId="27">#REF!</definedName>
    <definedName name="dfshsg" localSheetId="25">#REF!</definedName>
    <definedName name="dfshsg" localSheetId="15">#REF!</definedName>
    <definedName name="dfshsg">#REF!</definedName>
    <definedName name="dsfd" localSheetId="27">#REF!</definedName>
    <definedName name="dsfd">#REF!</definedName>
    <definedName name="dsm" localSheetId="8">#REF!</definedName>
    <definedName name="dsm" localSheetId="30">#REF!</definedName>
    <definedName name="dsm" localSheetId="28">#REF!</definedName>
    <definedName name="dsm" localSheetId="26">#REF!</definedName>
    <definedName name="dsm" localSheetId="10">#REF!</definedName>
    <definedName name="dsm" localSheetId="27">#REF!</definedName>
    <definedName name="dsm" localSheetId="25">#REF!</definedName>
    <definedName name="dsm" localSheetId="15">#REF!</definedName>
    <definedName name="dsm" localSheetId="22">#REF!</definedName>
    <definedName name="dsm">#REF!</definedName>
    <definedName name="ED" localSheetId="8">#REF!</definedName>
    <definedName name="ED" localSheetId="30">#REF!</definedName>
    <definedName name="ED" localSheetId="28">#REF!</definedName>
    <definedName name="ED" localSheetId="26">#REF!</definedName>
    <definedName name="ED" localSheetId="10">#REF!</definedName>
    <definedName name="ED" localSheetId="27">#REF!</definedName>
    <definedName name="ED" localSheetId="25">#REF!</definedName>
    <definedName name="ED" localSheetId="15">#REF!</definedName>
    <definedName name="ED" localSheetId="22">#REF!</definedName>
    <definedName name="ED">#REF!</definedName>
    <definedName name="edf" localSheetId="27">#REF!</definedName>
    <definedName name="edf">#REF!</definedName>
    <definedName name="electri" localSheetId="8">#REF!</definedName>
    <definedName name="electri" localSheetId="18">#REF!</definedName>
    <definedName name="electri" localSheetId="30">#REF!</definedName>
    <definedName name="electri" localSheetId="28">#REF!</definedName>
    <definedName name="electri" localSheetId="26">#REF!</definedName>
    <definedName name="electri" localSheetId="10">#REF!</definedName>
    <definedName name="electri" localSheetId="23">#REF!</definedName>
    <definedName name="electri" localSheetId="12">#REF!</definedName>
    <definedName name="electri" localSheetId="27">#REF!</definedName>
    <definedName name="electri" localSheetId="25">#REF!</definedName>
    <definedName name="electri" localSheetId="15">#REF!</definedName>
    <definedName name="electri" localSheetId="21">#REF!</definedName>
    <definedName name="electri" localSheetId="19">#REF!</definedName>
    <definedName name="electri" localSheetId="14">#REF!</definedName>
    <definedName name="electri" localSheetId="20">#REF!</definedName>
    <definedName name="electri" localSheetId="29">#REF!</definedName>
    <definedName name="electri" localSheetId="22">#REF!</definedName>
    <definedName name="electri" localSheetId="24">#REF!</definedName>
    <definedName name="electri">#REF!</definedName>
    <definedName name="End_Bal" localSheetId="8">#REF!</definedName>
    <definedName name="End_Bal" localSheetId="30">#REF!</definedName>
    <definedName name="End_Bal" localSheetId="28">#REF!</definedName>
    <definedName name="End_Bal" localSheetId="10">#REF!</definedName>
    <definedName name="End_Bal" localSheetId="27">#REF!</definedName>
    <definedName name="End_Bal" localSheetId="15">#REF!</definedName>
    <definedName name="End_Bal" localSheetId="22">#REF!</definedName>
    <definedName name="End_Bal">#REF!</definedName>
    <definedName name="er" localSheetId="8">#REF!</definedName>
    <definedName name="er" localSheetId="30">#REF!</definedName>
    <definedName name="er" localSheetId="28">#REF!</definedName>
    <definedName name="er" localSheetId="10">#REF!</definedName>
    <definedName name="er" localSheetId="15">#REF!</definedName>
    <definedName name="er">#REF!</definedName>
    <definedName name="erd" localSheetId="8">#REF!</definedName>
    <definedName name="erd" localSheetId="30">#REF!</definedName>
    <definedName name="erd" localSheetId="28">#REF!</definedName>
    <definedName name="erd" localSheetId="26">#REF!</definedName>
    <definedName name="erd" localSheetId="10">#REF!</definedName>
    <definedName name="erd" localSheetId="27">#REF!</definedName>
    <definedName name="erd" localSheetId="25">#REF!</definedName>
    <definedName name="erd" localSheetId="15">#REF!</definedName>
    <definedName name="erd" localSheetId="22">#REF!</definedName>
    <definedName name="erd">#REF!</definedName>
    <definedName name="errty" localSheetId="8">#REF!</definedName>
    <definedName name="errty" localSheetId="30">#REF!</definedName>
    <definedName name="errty" localSheetId="28">#REF!</definedName>
    <definedName name="errty" localSheetId="26">#REF!</definedName>
    <definedName name="errty" localSheetId="10">#REF!</definedName>
    <definedName name="errty" localSheetId="27">#REF!</definedName>
    <definedName name="errty" localSheetId="25">#REF!</definedName>
    <definedName name="errty" localSheetId="15">#REF!</definedName>
    <definedName name="errty" localSheetId="22">#REF!</definedName>
    <definedName name="errty">#REF!</definedName>
    <definedName name="EW" localSheetId="8">[1]Spec!$B$5</definedName>
    <definedName name="EW" localSheetId="30">[20]Spec!$B$5</definedName>
    <definedName name="EW" localSheetId="26">[21]Spec!$B$5</definedName>
    <definedName name="EW" localSheetId="27">[22]Spec!$B$5</definedName>
    <definedName name="EW" localSheetId="25">[21]Spec!$B$5</definedName>
    <definedName name="EW" localSheetId="15">[1]Spec!$B$5</definedName>
    <definedName name="EW" localSheetId="22">[21]Spec!$B$5</definedName>
    <definedName name="EW">[2]Spec!$B$5</definedName>
    <definedName name="Excel_BuiltIn__FilterDatabase_6" localSheetId="8">[7]Abstract!#REF!</definedName>
    <definedName name="Excel_BuiltIn__FilterDatabase_6" localSheetId="30">[7]Abstract!#REF!</definedName>
    <definedName name="Excel_BuiltIn__FilterDatabase_6" localSheetId="28">[7]Abstract!#REF!</definedName>
    <definedName name="Excel_BuiltIn__FilterDatabase_6" localSheetId="26">[7]Abstract!#REF!</definedName>
    <definedName name="Excel_BuiltIn__FilterDatabase_6" localSheetId="10">[7]Abstract!#REF!</definedName>
    <definedName name="Excel_BuiltIn__FilterDatabase_6" localSheetId="12">[7]Abstract!#REF!</definedName>
    <definedName name="Excel_BuiltIn__FilterDatabase_6" localSheetId="27">[7]Abstract!#REF!</definedName>
    <definedName name="Excel_BuiltIn__FilterDatabase_6" localSheetId="25">[7]Abstract!#REF!</definedName>
    <definedName name="Excel_BuiltIn__FilterDatabase_6" localSheetId="15">[8]Abstract!#REF!</definedName>
    <definedName name="Excel_BuiltIn__FilterDatabase_6">[7]Abstract!#REF!</definedName>
    <definedName name="Excel_BuiltIn_Print_Area" localSheetId="8">#REF!</definedName>
    <definedName name="Excel_BuiltIn_Print_Area" localSheetId="30">#REF!</definedName>
    <definedName name="Excel_BuiltIn_Print_Area" localSheetId="28">#REF!</definedName>
    <definedName name="Excel_BuiltIn_Print_Area" localSheetId="26">#REF!</definedName>
    <definedName name="Excel_BuiltIn_Print_Area" localSheetId="10">#REF!</definedName>
    <definedName name="Excel_BuiltIn_Print_Area" localSheetId="12">#REF!</definedName>
    <definedName name="Excel_BuiltIn_Print_Area" localSheetId="27">#REF!</definedName>
    <definedName name="Excel_BuiltIn_Print_Area" localSheetId="25">#REF!</definedName>
    <definedName name="Excel_BuiltIn_Print_Area" localSheetId="15">#REF!</definedName>
    <definedName name="Excel_BuiltIn_Print_Area">#REF!</definedName>
    <definedName name="Excel_BuiltIn_Print_Titles" localSheetId="8">#REF!</definedName>
    <definedName name="Excel_BuiltIn_Print_Titles" localSheetId="30">#REF!</definedName>
    <definedName name="Excel_BuiltIn_Print_Titles" localSheetId="28">#REF!</definedName>
    <definedName name="Excel_BuiltIn_Print_Titles" localSheetId="26">#REF!</definedName>
    <definedName name="Excel_BuiltIn_Print_Titles" localSheetId="10">#REF!</definedName>
    <definedName name="Excel_BuiltIn_Print_Titles" localSheetId="12">#REF!</definedName>
    <definedName name="Excel_BuiltIn_Print_Titles" localSheetId="27">#REF!</definedName>
    <definedName name="Excel_BuiltIn_Print_Titles" localSheetId="25">#REF!</definedName>
    <definedName name="Excel_BuiltIn_Print_Titles" localSheetId="15">#REF!</definedName>
    <definedName name="Excel_BuiltIn_Print_Titles">#REF!</definedName>
    <definedName name="Excel_BuiltIn_Print_Titles_3" localSheetId="8">#REF!</definedName>
    <definedName name="Excel_BuiltIn_Print_Titles_3" localSheetId="30">#REF!</definedName>
    <definedName name="Excel_BuiltIn_Print_Titles_3" localSheetId="28">#REF!</definedName>
    <definedName name="Excel_BuiltIn_Print_Titles_3" localSheetId="26">#REF!</definedName>
    <definedName name="Excel_BuiltIn_Print_Titles_3" localSheetId="10">#REF!</definedName>
    <definedName name="Excel_BuiltIn_Print_Titles_3" localSheetId="12">#REF!</definedName>
    <definedName name="Excel_BuiltIn_Print_Titles_3" localSheetId="27">#REF!</definedName>
    <definedName name="Excel_BuiltIn_Print_Titles_3" localSheetId="25">#REF!</definedName>
    <definedName name="Excel_BuiltIn_Print_Titles_3" localSheetId="15">#REF!</definedName>
    <definedName name="Excel_BuiltIn_Print_Titles_3">#REF!</definedName>
    <definedName name="Excel_BuiltIn_Print_Titles_4" localSheetId="8">#REF!</definedName>
    <definedName name="Excel_BuiltIn_Print_Titles_4" localSheetId="30">#REF!</definedName>
    <definedName name="Excel_BuiltIn_Print_Titles_4" localSheetId="28">#REF!</definedName>
    <definedName name="Excel_BuiltIn_Print_Titles_4" localSheetId="26">#REF!</definedName>
    <definedName name="Excel_BuiltIn_Print_Titles_4" localSheetId="10">#REF!</definedName>
    <definedName name="Excel_BuiltIn_Print_Titles_4" localSheetId="27">#REF!</definedName>
    <definedName name="Excel_BuiltIn_Print_Titles_4" localSheetId="25">#REF!</definedName>
    <definedName name="Excel_BuiltIn_Print_Titles_4" localSheetId="15">#REF!</definedName>
    <definedName name="Excel_BuiltIn_Print_Titles_4">#REF!</definedName>
    <definedName name="Extra_Pay" localSheetId="8">#REF!</definedName>
    <definedName name="Extra_Pay" localSheetId="30">#REF!</definedName>
    <definedName name="Extra_Pay" localSheetId="28">#REF!</definedName>
    <definedName name="Extra_Pay" localSheetId="26">#REF!</definedName>
    <definedName name="Extra_Pay" localSheetId="10">#REF!</definedName>
    <definedName name="Extra_Pay" localSheetId="25">#REF!</definedName>
    <definedName name="Extra_Pay" localSheetId="15">#REF!</definedName>
    <definedName name="Extra_Pay">#REF!</definedName>
    <definedName name="f" localSheetId="8">#REF!</definedName>
    <definedName name="f" localSheetId="30">#REF!</definedName>
    <definedName name="f" localSheetId="28">#REF!</definedName>
    <definedName name="f" localSheetId="26">#REF!</definedName>
    <definedName name="f" localSheetId="10">#REF!</definedName>
    <definedName name="f" localSheetId="27">#REF!</definedName>
    <definedName name="f" localSheetId="25">#REF!</definedName>
    <definedName name="f" localSheetId="15">#REF!</definedName>
    <definedName name="f">#REF!</definedName>
    <definedName name="ffsdhipout7yhuyfyfvtrtdc" localSheetId="8">#REF!</definedName>
    <definedName name="ffsdhipout7yhuyfyfvtrtdc" localSheetId="30">#REF!</definedName>
    <definedName name="ffsdhipout7yhuyfyfvtrtdc" localSheetId="28">#REF!</definedName>
    <definedName name="ffsdhipout7yhuyfyfvtrtdc" localSheetId="26">#REF!</definedName>
    <definedName name="ffsdhipout7yhuyfyfvtrtdc" localSheetId="10">#REF!</definedName>
    <definedName name="ffsdhipout7yhuyfyfvtrtdc" localSheetId="27">#REF!</definedName>
    <definedName name="ffsdhipout7yhuyfyfvtrtdc" localSheetId="25">#REF!</definedName>
    <definedName name="ffsdhipout7yhuyfyfvtrtdc" localSheetId="15">#REF!</definedName>
    <definedName name="ffsdhipout7yhuyfyfvtrtdc" localSheetId="22">#REF!</definedName>
    <definedName name="ffsdhipout7yhuyfyfvtrtdc">#REF!</definedName>
    <definedName name="fgfdshs" localSheetId="8">#REF!</definedName>
    <definedName name="fgfdshs" localSheetId="30">#REF!</definedName>
    <definedName name="fgfdshs" localSheetId="28">#REF!</definedName>
    <definedName name="fgfdshs" localSheetId="26">#REF!</definedName>
    <definedName name="fgfdshs" localSheetId="10">#REF!</definedName>
    <definedName name="fgfdshs" localSheetId="27">#REF!</definedName>
    <definedName name="fgfdshs" localSheetId="25">#REF!</definedName>
    <definedName name="fgfdshs" localSheetId="15">#REF!</definedName>
    <definedName name="fgfdshs">#REF!</definedName>
    <definedName name="fgfg" localSheetId="8">#REF!</definedName>
    <definedName name="fgfg" localSheetId="30">#REF!</definedName>
    <definedName name="fgfg" localSheetId="28">#REF!</definedName>
    <definedName name="fgfg" localSheetId="26">#REF!</definedName>
    <definedName name="fgfg" localSheetId="10">#REF!</definedName>
    <definedName name="fgfg" localSheetId="27">#REF!</definedName>
    <definedName name="fgfg" localSheetId="25">#REF!</definedName>
    <definedName name="fgfg" localSheetId="15">#REF!</definedName>
    <definedName name="fgfg" localSheetId="22">#REF!</definedName>
    <definedName name="fgfg">#REF!</definedName>
    <definedName name="fghfg" localSheetId="8">[8]Abstract!#REF!</definedName>
    <definedName name="fghfg" localSheetId="30">[29]Abstract!#REF!</definedName>
    <definedName name="fghfg" localSheetId="28">[9]Abstract!#REF!</definedName>
    <definedName name="fghfg" localSheetId="26">[30]Abstract!#REF!</definedName>
    <definedName name="fghfg" localSheetId="10">[9]Abstract!#REF!</definedName>
    <definedName name="fghfg" localSheetId="27">[31]Abstract!#REF!</definedName>
    <definedName name="fghfg" localSheetId="25">[30]Abstract!#REF!</definedName>
    <definedName name="fghfg" localSheetId="15">[8]Abstract!#REF!</definedName>
    <definedName name="fghfg" localSheetId="22">[30]Abstract!#REF!</definedName>
    <definedName name="fghfg">[9]Abstract!#REF!</definedName>
    <definedName name="fgsgsg" localSheetId="8">#REF!</definedName>
    <definedName name="fgsgsg" localSheetId="30">#REF!</definedName>
    <definedName name="fgsgsg" localSheetId="28">#REF!</definedName>
    <definedName name="fgsgsg" localSheetId="26">#REF!</definedName>
    <definedName name="fgsgsg" localSheetId="10">#REF!</definedName>
    <definedName name="fgsgsg" localSheetId="12">#REF!</definedName>
    <definedName name="fgsgsg" localSheetId="27">#REF!</definedName>
    <definedName name="fgsgsg" localSheetId="25">#REF!</definedName>
    <definedName name="fgsgsg" localSheetId="15">#REF!</definedName>
    <definedName name="fgsgsg" localSheetId="22">#REF!</definedName>
    <definedName name="fgsgsg">#REF!</definedName>
    <definedName name="fhd" localSheetId="8">#REF!</definedName>
    <definedName name="fhd" localSheetId="18">#REF!</definedName>
    <definedName name="fhd" localSheetId="30">#REF!</definedName>
    <definedName name="fhd" localSheetId="28">#REF!</definedName>
    <definedName name="fhd" localSheetId="26">#REF!</definedName>
    <definedName name="fhd" localSheetId="10">#REF!</definedName>
    <definedName name="fhd" localSheetId="12">#REF!</definedName>
    <definedName name="fhd" localSheetId="27">#REF!</definedName>
    <definedName name="fhd" localSheetId="25">#REF!</definedName>
    <definedName name="fhd" localSheetId="15">#REF!</definedName>
    <definedName name="fhd" localSheetId="21">#REF!</definedName>
    <definedName name="fhd" localSheetId="19">#REF!</definedName>
    <definedName name="fhd" localSheetId="14">#REF!</definedName>
    <definedName name="fhd" localSheetId="20">#REF!</definedName>
    <definedName name="fhd" localSheetId="29">#REF!</definedName>
    <definedName name="fhd" localSheetId="22">#REF!</definedName>
    <definedName name="fhd">#REF!</definedName>
    <definedName name="Full_Print" localSheetId="8">#REF!</definedName>
    <definedName name="Full_Print" localSheetId="30">#REF!</definedName>
    <definedName name="Full_Print" localSheetId="28">#REF!</definedName>
    <definedName name="Full_Print" localSheetId="10">#REF!</definedName>
    <definedName name="Full_Print" localSheetId="27">#REF!</definedName>
    <definedName name="Full_Print" localSheetId="15">#REF!</definedName>
    <definedName name="Full_Print" localSheetId="22">#REF!</definedName>
    <definedName name="Full_Print">#REF!</definedName>
    <definedName name="g" localSheetId="8">#REF!</definedName>
    <definedName name="g" localSheetId="30">#REF!</definedName>
    <definedName name="g" localSheetId="28">#REF!</definedName>
    <definedName name="g" localSheetId="26">#REF!</definedName>
    <definedName name="g" localSheetId="10">#REF!</definedName>
    <definedName name="g" localSheetId="27">#REF!</definedName>
    <definedName name="g" localSheetId="25">#REF!</definedName>
    <definedName name="g" localSheetId="15">#REF!</definedName>
    <definedName name="g">#REF!</definedName>
    <definedName name="gfg" localSheetId="8">#REF!</definedName>
    <definedName name="gfg" localSheetId="30">#REF!</definedName>
    <definedName name="gfg" localSheetId="28">#REF!</definedName>
    <definedName name="gfg" localSheetId="26">#REF!</definedName>
    <definedName name="gfg" localSheetId="10">#REF!</definedName>
    <definedName name="gfg" localSheetId="27">#REF!</definedName>
    <definedName name="gfg" localSheetId="25">#REF!</definedName>
    <definedName name="gfg" localSheetId="15">#REF!</definedName>
    <definedName name="gfg" localSheetId="22">#REF!</definedName>
    <definedName name="gfg">#REF!</definedName>
    <definedName name="gg.abs" localSheetId="27">#REF!</definedName>
    <definedName name="gg.abs">#REF!</definedName>
    <definedName name="gib" localSheetId="8">#REF!</definedName>
    <definedName name="gib" localSheetId="30">#REF!</definedName>
    <definedName name="gib" localSheetId="28">#REF!</definedName>
    <definedName name="gib" localSheetId="26">#REF!</definedName>
    <definedName name="gib" localSheetId="10">#REF!</definedName>
    <definedName name="gib" localSheetId="27">#REF!</definedName>
    <definedName name="gib" localSheetId="25">#REF!</definedName>
    <definedName name="gib" localSheetId="15">#REF!</definedName>
    <definedName name="gib" localSheetId="22">#REF!</definedName>
    <definedName name="gib">#REF!</definedName>
    <definedName name="gjkhjkl" localSheetId="8">#REF!</definedName>
    <definedName name="gjkhjkl" localSheetId="30">#REF!</definedName>
    <definedName name="gjkhjkl" localSheetId="28">#REF!</definedName>
    <definedName name="gjkhjkl" localSheetId="26">#REF!</definedName>
    <definedName name="gjkhjkl" localSheetId="10">#REF!</definedName>
    <definedName name="gjkhjkl" localSheetId="27">#REF!</definedName>
    <definedName name="gjkhjkl" localSheetId="25">#REF!</definedName>
    <definedName name="gjkhjkl" localSheetId="15">#REF!</definedName>
    <definedName name="gjkhjkl">#REF!</definedName>
    <definedName name="gsgsg" localSheetId="8">#REF!</definedName>
    <definedName name="gsgsg" localSheetId="30">#REF!</definedName>
    <definedName name="gsgsg" localSheetId="28">#REF!</definedName>
    <definedName name="gsgsg" localSheetId="26">#REF!</definedName>
    <definedName name="gsgsg" localSheetId="10">#REF!</definedName>
    <definedName name="gsgsg" localSheetId="27">#REF!</definedName>
    <definedName name="gsgsg" localSheetId="25">#REF!</definedName>
    <definedName name="gsgsg" localSheetId="15">#REF!</definedName>
    <definedName name="gsgsg" localSheetId="22">#REF!</definedName>
    <definedName name="gsgsg">#REF!</definedName>
    <definedName name="Header_Row" localSheetId="8">ROW(#REF!)</definedName>
    <definedName name="Header_Row" localSheetId="30">ROW(#REF!)</definedName>
    <definedName name="Header_Row" localSheetId="28">ROW(#REF!)</definedName>
    <definedName name="Header_Row" localSheetId="10">ROW(#REF!)</definedName>
    <definedName name="Header_Row" localSheetId="15">ROW(#REF!)</definedName>
    <definedName name="Header_Row" localSheetId="22">ROW(#REF!)</definedName>
    <definedName name="Header_Row">ROW(#REF!)</definedName>
    <definedName name="hh" localSheetId="8">#REF!</definedName>
    <definedName name="hh" localSheetId="30">#REF!</definedName>
    <definedName name="hh" localSheetId="28">#REF!</definedName>
    <definedName name="hh" localSheetId="26">#REF!</definedName>
    <definedName name="hh" localSheetId="10">#REF!</definedName>
    <definedName name="hh" localSheetId="27">#REF!</definedName>
    <definedName name="hh" localSheetId="25">#REF!</definedName>
    <definedName name="hh" localSheetId="15">#REF!</definedName>
    <definedName name="hh" localSheetId="22">#REF!</definedName>
    <definedName name="hh">#REF!</definedName>
    <definedName name="hha" localSheetId="8">#REF!</definedName>
    <definedName name="hha" localSheetId="30">#REF!</definedName>
    <definedName name="hha" localSheetId="28">#REF!</definedName>
    <definedName name="hha" localSheetId="10">#REF!</definedName>
    <definedName name="hha" localSheetId="15">#REF!</definedName>
    <definedName name="hha">#REF!</definedName>
    <definedName name="hia" localSheetId="8">#REF!</definedName>
    <definedName name="hia" localSheetId="9">#REF!</definedName>
    <definedName name="hia" localSheetId="18">#REF!</definedName>
    <definedName name="hia" localSheetId="30">#REF!</definedName>
    <definedName name="hia" localSheetId="28">#REF!</definedName>
    <definedName name="hia" localSheetId="26">#REF!</definedName>
    <definedName name="hia" localSheetId="10">#REF!</definedName>
    <definedName name="hia" localSheetId="12">#REF!</definedName>
    <definedName name="hia" localSheetId="27">#REF!</definedName>
    <definedName name="hia" localSheetId="25">#REF!</definedName>
    <definedName name="hia" localSheetId="15">#REF!</definedName>
    <definedName name="hia" localSheetId="21">#REF!</definedName>
    <definedName name="hia" localSheetId="19">#REF!</definedName>
    <definedName name="hia" localSheetId="0">#REF!</definedName>
    <definedName name="hia" localSheetId="14">#REF!</definedName>
    <definedName name="hia" localSheetId="20">#REF!</definedName>
    <definedName name="hia" localSheetId="29">#REF!</definedName>
    <definedName name="hia" localSheetId="22">#REF!</definedName>
    <definedName name="hia">#REF!</definedName>
    <definedName name="hiuytf" localSheetId="8">#REF!</definedName>
    <definedName name="hiuytf" localSheetId="30">#REF!</definedName>
    <definedName name="hiuytf" localSheetId="28">#REF!</definedName>
    <definedName name="hiuytf" localSheetId="26">#REF!</definedName>
    <definedName name="hiuytf" localSheetId="10">#REF!</definedName>
    <definedName name="hiuytf" localSheetId="27">#REF!</definedName>
    <definedName name="hiuytf" localSheetId="25">#REF!</definedName>
    <definedName name="hiuytf" localSheetId="15">#REF!</definedName>
    <definedName name="hiuytf" localSheetId="22">#REF!</definedName>
    <definedName name="hiuytf">#REF!</definedName>
    <definedName name="hj" localSheetId="8">#REF!</definedName>
    <definedName name="hj" localSheetId="30">#REF!</definedName>
    <definedName name="hj" localSheetId="28">#REF!</definedName>
    <definedName name="hj" localSheetId="10">#REF!</definedName>
    <definedName name="hj" localSheetId="15">#REF!</definedName>
    <definedName name="hj">#REF!</definedName>
    <definedName name="hvbglb">#REF!</definedName>
    <definedName name="i" localSheetId="8">#REF!</definedName>
    <definedName name="i" localSheetId="30">#REF!</definedName>
    <definedName name="i" localSheetId="28">#REF!</definedName>
    <definedName name="i" localSheetId="10">#REF!</definedName>
    <definedName name="i" localSheetId="15">#REF!</definedName>
    <definedName name="i">#REF!</definedName>
    <definedName name="ins" localSheetId="8">#REF!</definedName>
    <definedName name="ins" localSheetId="18">#REF!</definedName>
    <definedName name="ins" localSheetId="30">#REF!</definedName>
    <definedName name="ins" localSheetId="28">#REF!</definedName>
    <definedName name="ins" localSheetId="26">#REF!</definedName>
    <definedName name="ins" localSheetId="10">#REF!</definedName>
    <definedName name="ins" localSheetId="23">#REF!</definedName>
    <definedName name="ins" localSheetId="12">#REF!</definedName>
    <definedName name="ins" localSheetId="27">#REF!</definedName>
    <definedName name="ins" localSheetId="25">#REF!</definedName>
    <definedName name="ins" localSheetId="15">#REF!</definedName>
    <definedName name="ins" localSheetId="21">#REF!</definedName>
    <definedName name="ins" localSheetId="19">#REF!</definedName>
    <definedName name="ins" localSheetId="14">#REF!</definedName>
    <definedName name="ins" localSheetId="20">#REF!</definedName>
    <definedName name="ins" localSheetId="29">#REF!</definedName>
    <definedName name="ins" localSheetId="22">#REF!</definedName>
    <definedName name="ins" localSheetId="24">#REF!</definedName>
    <definedName name="ins">#REF!</definedName>
    <definedName name="ins_block" localSheetId="8">#REF!</definedName>
    <definedName name="ins_block" localSheetId="30">#REF!</definedName>
    <definedName name="ins_block" localSheetId="28">#REF!</definedName>
    <definedName name="ins_block" localSheetId="26">#REF!</definedName>
    <definedName name="ins_block" localSheetId="10">#REF!</definedName>
    <definedName name="ins_block" localSheetId="27">#REF!</definedName>
    <definedName name="ins_block" localSheetId="25">#REF!</definedName>
    <definedName name="ins_block" localSheetId="15">#REF!</definedName>
    <definedName name="ins_block" localSheetId="22">#REF!</definedName>
    <definedName name="ins_block">#REF!</definedName>
    <definedName name="ins_fjjhtt" localSheetId="8">#REF!</definedName>
    <definedName name="ins_fjjhtt" localSheetId="30">#REF!</definedName>
    <definedName name="ins_fjjhtt" localSheetId="28">#REF!</definedName>
    <definedName name="ins_fjjhtt" localSheetId="26">#REF!</definedName>
    <definedName name="ins_fjjhtt" localSheetId="10">#REF!</definedName>
    <definedName name="ins_fjjhtt" localSheetId="27">#REF!</definedName>
    <definedName name="ins_fjjhtt" localSheetId="25">#REF!</definedName>
    <definedName name="ins_fjjhtt" localSheetId="15">#REF!</definedName>
    <definedName name="ins_fjjhtt" localSheetId="22">#REF!</definedName>
    <definedName name="ins_fjjhtt">#REF!</definedName>
    <definedName name="inss" localSheetId="8">#REF!</definedName>
    <definedName name="inss" localSheetId="30">#REF!</definedName>
    <definedName name="inss" localSheetId="28">#REF!</definedName>
    <definedName name="inss" localSheetId="26">#REF!</definedName>
    <definedName name="inss" localSheetId="10">#REF!</definedName>
    <definedName name="inss" localSheetId="27">#REF!</definedName>
    <definedName name="inss" localSheetId="25">#REF!</definedName>
    <definedName name="inss" localSheetId="15">#REF!</definedName>
    <definedName name="inss" localSheetId="22">#REF!</definedName>
    <definedName name="inss">#REF!</definedName>
    <definedName name="Int" localSheetId="8">#REF!</definedName>
    <definedName name="Int" localSheetId="30">#REF!</definedName>
    <definedName name="Int" localSheetId="28">#REF!</definedName>
    <definedName name="Int" localSheetId="10">#REF!</definedName>
    <definedName name="Int" localSheetId="15">#REF!</definedName>
    <definedName name="Int">#REF!</definedName>
    <definedName name="Interest_Rate" localSheetId="8">#REF!</definedName>
    <definedName name="Interest_Rate" localSheetId="30">#REF!</definedName>
    <definedName name="Interest_Rate" localSheetId="28">#REF!</definedName>
    <definedName name="Interest_Rate" localSheetId="10">#REF!</definedName>
    <definedName name="Interest_Rate" localSheetId="27">#REF!</definedName>
    <definedName name="Interest_Rate" localSheetId="15">#REF!</definedName>
    <definedName name="Interest_Rate" localSheetId="22">#REF!</definedName>
    <definedName name="Interest_Rate">#REF!</definedName>
    <definedName name="iuyt" localSheetId="8">#REF!</definedName>
    <definedName name="iuyt" localSheetId="30">#REF!</definedName>
    <definedName name="iuyt" localSheetId="28">#REF!</definedName>
    <definedName name="iuyt" localSheetId="26">#REF!</definedName>
    <definedName name="iuyt" localSheetId="10">#REF!</definedName>
    <definedName name="iuyt" localSheetId="27">#REF!</definedName>
    <definedName name="iuyt" localSheetId="25">#REF!</definedName>
    <definedName name="iuyt" localSheetId="15">#REF!</definedName>
    <definedName name="iuyt">#REF!</definedName>
    <definedName name="jj" localSheetId="8">#REF!</definedName>
    <definedName name="jj" localSheetId="30">#REF!</definedName>
    <definedName name="jj" localSheetId="28">#REF!</definedName>
    <definedName name="jj" localSheetId="26">#REF!</definedName>
    <definedName name="jj" localSheetId="10">#REF!</definedName>
    <definedName name="jj" localSheetId="27">#REF!</definedName>
    <definedName name="jj" localSheetId="25">#REF!</definedName>
    <definedName name="jj" localSheetId="15">#REF!</definedName>
    <definedName name="jj" localSheetId="22">#REF!</definedName>
    <definedName name="jj">#REF!</definedName>
    <definedName name="Junior_Engineer" localSheetId="8">#REF!</definedName>
    <definedName name="Junior_Engineer" localSheetId="18">#REF!</definedName>
    <definedName name="Junior_Engineer" localSheetId="30">#REF!</definedName>
    <definedName name="Junior_Engineer" localSheetId="28">#REF!</definedName>
    <definedName name="Junior_Engineer" localSheetId="26">#REF!</definedName>
    <definedName name="Junior_Engineer" localSheetId="10">#REF!</definedName>
    <definedName name="Junior_Engineer" localSheetId="23">#REF!</definedName>
    <definedName name="Junior_Engineer" localSheetId="27">#REF!</definedName>
    <definedName name="Junior_Engineer" localSheetId="25">#REF!</definedName>
    <definedName name="Junior_Engineer" localSheetId="15">#REF!</definedName>
    <definedName name="Junior_Engineer" localSheetId="21">#REF!</definedName>
    <definedName name="Junior_Engineer" localSheetId="19">#REF!</definedName>
    <definedName name="Junior_Engineer" localSheetId="20">#REF!</definedName>
    <definedName name="Junior_Engineer" localSheetId="29">#REF!</definedName>
    <definedName name="Junior_Engineer" localSheetId="22">#REF!</definedName>
    <definedName name="Junior_Engineer" localSheetId="24">#REF!</definedName>
    <definedName name="Junior_Engineer">#REF!</definedName>
    <definedName name="k" localSheetId="8">#REF!</definedName>
    <definedName name="k" localSheetId="30">#REF!</definedName>
    <definedName name="k" localSheetId="28">#REF!</definedName>
    <definedName name="k" localSheetId="26">#REF!</definedName>
    <definedName name="k" localSheetId="10">#REF!</definedName>
    <definedName name="k" localSheetId="27">#REF!</definedName>
    <definedName name="k" localSheetId="25">#REF!</definedName>
    <definedName name="k" localSheetId="15">#REF!</definedName>
    <definedName name="k" localSheetId="22">#REF!</definedName>
    <definedName name="k">#REF!</definedName>
    <definedName name="k1400\" localSheetId="27">#REF!</definedName>
    <definedName name="k1400\">#REF!</definedName>
    <definedName name="k404." localSheetId="8">#REF!</definedName>
    <definedName name="k404." localSheetId="18">#REF!</definedName>
    <definedName name="k404." localSheetId="30">#REF!</definedName>
    <definedName name="k404." localSheetId="28">#REF!</definedName>
    <definedName name="k404." localSheetId="26">#REF!</definedName>
    <definedName name="k404." localSheetId="10">#REF!</definedName>
    <definedName name="k404." localSheetId="12">#REF!</definedName>
    <definedName name="k404." localSheetId="27">#REF!</definedName>
    <definedName name="k404." localSheetId="25">#REF!</definedName>
    <definedName name="k404." localSheetId="15">#REF!</definedName>
    <definedName name="k404." localSheetId="21">#REF!</definedName>
    <definedName name="k404." localSheetId="19">#REF!</definedName>
    <definedName name="k404." localSheetId="14">#REF!</definedName>
    <definedName name="k404." localSheetId="20">#REF!</definedName>
    <definedName name="k404." localSheetId="29">#REF!</definedName>
    <definedName name="k404." localSheetId="22">#REF!</definedName>
    <definedName name="k404.">#REF!</definedName>
    <definedName name="kasper" localSheetId="8">#REF!</definedName>
    <definedName name="kasper" localSheetId="30">#REF!</definedName>
    <definedName name="kasper" localSheetId="28">#REF!</definedName>
    <definedName name="kasper" localSheetId="10">#REF!</definedName>
    <definedName name="kasper" localSheetId="15">#REF!</definedName>
    <definedName name="kasper">#REF!</definedName>
    <definedName name="kfujrtyer" localSheetId="8">#REF!</definedName>
    <definedName name="kfujrtyer" localSheetId="30">#REF!</definedName>
    <definedName name="kfujrtyer" localSheetId="28">#REF!</definedName>
    <definedName name="kfujrtyer" localSheetId="26">#REF!</definedName>
    <definedName name="kfujrtyer" localSheetId="10">#REF!</definedName>
    <definedName name="kfujrtyer" localSheetId="27">#REF!</definedName>
    <definedName name="kfujrtyer" localSheetId="25">#REF!</definedName>
    <definedName name="kfujrtyer" localSheetId="15">#REF!</definedName>
    <definedName name="kfujrtyer">#REF!</definedName>
    <definedName name="khkg" localSheetId="8">#REF!</definedName>
    <definedName name="khkg" localSheetId="30">#REF!</definedName>
    <definedName name="khkg" localSheetId="28">#REF!</definedName>
    <definedName name="khkg" localSheetId="26">#REF!</definedName>
    <definedName name="khkg" localSheetId="10">#REF!</definedName>
    <definedName name="khkg" localSheetId="27">#REF!</definedName>
    <definedName name="khkg" localSheetId="25">#REF!</definedName>
    <definedName name="khkg" localSheetId="15">#REF!</definedName>
    <definedName name="khkg" localSheetId="22">#REF!</definedName>
    <definedName name="khkg">#REF!</definedName>
    <definedName name="kk" localSheetId="8">#REF!</definedName>
    <definedName name="kk" localSheetId="30">#REF!</definedName>
    <definedName name="kk" localSheetId="28">#REF!</definedName>
    <definedName name="kk" localSheetId="26">#REF!</definedName>
    <definedName name="kk" localSheetId="10">#REF!</definedName>
    <definedName name="kk" localSheetId="27">#REF!</definedName>
    <definedName name="kk" localSheetId="25">#REF!</definedName>
    <definedName name="kk" localSheetId="15">#REF!</definedName>
    <definedName name="kk" localSheetId="22">#REF!</definedName>
    <definedName name="kk">#REF!</definedName>
    <definedName name="Last_Row" localSheetId="8">IF(Abstract!Values_Entered,Abstract!Header_Row+Abstract!Number_of_Payments,Abstract!Header_Row)</definedName>
    <definedName name="Last_Row" localSheetId="30">IF(CCTV!Values_Entered,CCTV!Header_Row+CCTV!Number_of_Payments,CCTV!Header_Row)</definedName>
    <definedName name="Last_Row" localSheetId="28">IF(compound!Values_Entered,compound!Header_Row+compound!Number_of_Payments,compound!Header_Row)</definedName>
    <definedName name="Last_Row" localSheetId="26">#N/A</definedName>
    <definedName name="Last_Row" localSheetId="10">IF('DEV-2'!Values_Entered,'DEV-2'!Header_Row+'DEV-2'!Number_of_Payments,'DEV-2'!Header_Row)</definedName>
    <definedName name="Last_Row" localSheetId="11">#N/A</definedName>
    <definedName name="Last_Row" localSheetId="12">#N/A</definedName>
    <definedName name="Last_Row" localSheetId="27">#N/A</definedName>
    <definedName name="Last_Row" localSheetId="25">#N/A</definedName>
    <definedName name="Last_Row" localSheetId="15">IF(O.data!Values_Entered,O.data!Header_Row+O.data!Number_of_Payments,O.data!Header_Row)</definedName>
    <definedName name="Last_Row" localSheetId="22">IF(compound!Values_Entered,'UG Sump'!Header_Row+compound!Number_of_Payments,'UG Sump'!Header_Row)</definedName>
    <definedName name="Last_Row">IF('DEV-2'!Values_Entered,Header_Row+'DEV-2'!Number_of_Payments,Header_Row)</definedName>
    <definedName name="lerbu" localSheetId="8">#REF!</definedName>
    <definedName name="lerbu" localSheetId="30">#REF!</definedName>
    <definedName name="lerbu" localSheetId="28">#REF!</definedName>
    <definedName name="lerbu" localSheetId="26">#REF!</definedName>
    <definedName name="lerbu" localSheetId="10">#REF!</definedName>
    <definedName name="lerbu" localSheetId="12">#REF!</definedName>
    <definedName name="lerbu" localSheetId="27">#REF!</definedName>
    <definedName name="lerbu" localSheetId="25">#REF!</definedName>
    <definedName name="lerbu" localSheetId="15">#REF!</definedName>
    <definedName name="lerbu">#REF!</definedName>
    <definedName name="ljkjkj" localSheetId="8">#REF!</definedName>
    <definedName name="ljkjkj" localSheetId="30">#REF!</definedName>
    <definedName name="ljkjkj" localSheetId="28">#REF!</definedName>
    <definedName name="ljkjkj" localSheetId="26">#REF!</definedName>
    <definedName name="ljkjkj" localSheetId="10">#REF!</definedName>
    <definedName name="ljkjkj" localSheetId="12">#REF!</definedName>
    <definedName name="ljkjkj" localSheetId="27">#REF!</definedName>
    <definedName name="ljkjkj" localSheetId="25">#REF!</definedName>
    <definedName name="ljkjkj" localSheetId="15">#REF!</definedName>
    <definedName name="ljkjkj">#REF!</definedName>
    <definedName name="lkij" localSheetId="8">#REF!</definedName>
    <definedName name="lkij" localSheetId="30">#REF!</definedName>
    <definedName name="lkij" localSheetId="28">#REF!</definedName>
    <definedName name="lkij" localSheetId="26">#REF!</definedName>
    <definedName name="lkij" localSheetId="10">#REF!</definedName>
    <definedName name="lkij" localSheetId="12">#REF!</definedName>
    <definedName name="lkij" localSheetId="27">#REF!</definedName>
    <definedName name="lkij" localSheetId="25">#REF!</definedName>
    <definedName name="lkij" localSheetId="15">#REF!</definedName>
    <definedName name="lkij">#REF!</definedName>
    <definedName name="llll" localSheetId="27">#REF!</definedName>
    <definedName name="llll">#REF!</definedName>
    <definedName name="Loan_Amount" localSheetId="8">#REF!</definedName>
    <definedName name="Loan_Amount" localSheetId="30">#REF!</definedName>
    <definedName name="Loan_Amount" localSheetId="28">#REF!</definedName>
    <definedName name="Loan_Amount" localSheetId="10">#REF!</definedName>
    <definedName name="Loan_Amount" localSheetId="11">#REF!</definedName>
    <definedName name="Loan_Amount" localSheetId="27">#REF!</definedName>
    <definedName name="Loan_Amount" localSheetId="15">#REF!</definedName>
    <definedName name="Loan_Amount" localSheetId="22">#REF!</definedName>
    <definedName name="Loan_Amount">#REF!</definedName>
    <definedName name="Loan_Start" localSheetId="8">#REF!</definedName>
    <definedName name="Loan_Start" localSheetId="30">#REF!</definedName>
    <definedName name="Loan_Start" localSheetId="28">#REF!</definedName>
    <definedName name="Loan_Start" localSheetId="10">#REF!</definedName>
    <definedName name="Loan_Start" localSheetId="11">#REF!</definedName>
    <definedName name="Loan_Start" localSheetId="27">#REF!</definedName>
    <definedName name="Loan_Start" localSheetId="15">#REF!</definedName>
    <definedName name="Loan_Start" localSheetId="22">#REF!</definedName>
    <definedName name="Loan_Start">#REF!</definedName>
    <definedName name="Loan_Years" localSheetId="8">#REF!</definedName>
    <definedName name="Loan_Years" localSheetId="30">#REF!</definedName>
    <definedName name="Loan_Years" localSheetId="28">#REF!</definedName>
    <definedName name="Loan_Years" localSheetId="10">#REF!</definedName>
    <definedName name="Loan_Years" localSheetId="11">#REF!</definedName>
    <definedName name="Loan_Years" localSheetId="27">#REF!</definedName>
    <definedName name="Loan_Years" localSheetId="15">#REF!</definedName>
    <definedName name="Loan_Years" localSheetId="22">#REF!</definedName>
    <definedName name="Loan_Years">#REF!</definedName>
    <definedName name="lrvht" localSheetId="8">#REF!</definedName>
    <definedName name="lrvht" localSheetId="30">#REF!</definedName>
    <definedName name="lrvht" localSheetId="28">#REF!</definedName>
    <definedName name="lrvht" localSheetId="26">#REF!</definedName>
    <definedName name="lrvht" localSheetId="10">#REF!</definedName>
    <definedName name="lrvht" localSheetId="27">#REF!</definedName>
    <definedName name="lrvht" localSheetId="25">#REF!</definedName>
    <definedName name="lrvht" localSheetId="15">#REF!</definedName>
    <definedName name="lrvht">#REF!</definedName>
    <definedName name="m" localSheetId="8">#REF!</definedName>
    <definedName name="m" localSheetId="30">#REF!</definedName>
    <definedName name="m" localSheetId="28">#REF!</definedName>
    <definedName name="m" localSheetId="26">#REF!</definedName>
    <definedName name="m" localSheetId="10">#REF!</definedName>
    <definedName name="m" localSheetId="27">#REF!</definedName>
    <definedName name="m" localSheetId="25">#REF!</definedName>
    <definedName name="m" localSheetId="15">#REF!</definedName>
    <definedName name="m" localSheetId="22">#REF!</definedName>
    <definedName name="m">#REF!</definedName>
    <definedName name="mani" localSheetId="8">#REF!</definedName>
    <definedName name="mani" localSheetId="30">#REF!</definedName>
    <definedName name="mani" localSheetId="28">#REF!</definedName>
    <definedName name="mani" localSheetId="26">#REF!</definedName>
    <definedName name="mani" localSheetId="10">#REF!</definedName>
    <definedName name="mani" localSheetId="27">#REF!</definedName>
    <definedName name="mani" localSheetId="25">#REF!</definedName>
    <definedName name="mani" localSheetId="15">#REF!</definedName>
    <definedName name="mani">#REF!</definedName>
    <definedName name="mm" localSheetId="8">#REF!</definedName>
    <definedName name="mm" localSheetId="30">#REF!</definedName>
    <definedName name="mm" localSheetId="28">#REF!</definedName>
    <definedName name="mm" localSheetId="26">#REF!</definedName>
    <definedName name="mm" localSheetId="10">#REF!</definedName>
    <definedName name="mm" localSheetId="27">#REF!</definedName>
    <definedName name="mm" localSheetId="25">#REF!</definedName>
    <definedName name="mm" localSheetId="15">#REF!</definedName>
    <definedName name="mm">#REF!</definedName>
    <definedName name="mmm" localSheetId="27">#REF!</definedName>
    <definedName name="mmm">#REF!</definedName>
    <definedName name="mn" localSheetId="8">#REF!</definedName>
    <definedName name="mn" localSheetId="30">#REF!</definedName>
    <definedName name="mn" localSheetId="28">#REF!</definedName>
    <definedName name="mn" localSheetId="26">#REF!</definedName>
    <definedName name="mn" localSheetId="10">#REF!</definedName>
    <definedName name="mn" localSheetId="27">#REF!</definedName>
    <definedName name="mn" localSheetId="25">#REF!</definedName>
    <definedName name="mn" localSheetId="15">#REF!</definedName>
    <definedName name="mn" localSheetId="22">#REF!</definedName>
    <definedName name="mn">#REF!</definedName>
    <definedName name="myufgh" localSheetId="8">#REF!</definedName>
    <definedName name="myufgh" localSheetId="30">#REF!</definedName>
    <definedName name="myufgh" localSheetId="28">#REF!</definedName>
    <definedName name="myufgh" localSheetId="26">#REF!</definedName>
    <definedName name="myufgh" localSheetId="10">#REF!</definedName>
    <definedName name="myufgh" localSheetId="27">#REF!</definedName>
    <definedName name="myufgh" localSheetId="25">#REF!</definedName>
    <definedName name="myufgh" localSheetId="15">#REF!</definedName>
    <definedName name="myufgh" localSheetId="22">#REF!</definedName>
    <definedName name="myufgh">#REF!</definedName>
    <definedName name="n" localSheetId="27">#REF!</definedName>
    <definedName name="n">#REF!</definedName>
    <definedName name="nan" localSheetId="8">#REF!</definedName>
    <definedName name="nan" localSheetId="30">#REF!</definedName>
    <definedName name="nan" localSheetId="28">#REF!</definedName>
    <definedName name="nan" localSheetId="26">#REF!</definedName>
    <definedName name="nan" localSheetId="10">#REF!</definedName>
    <definedName name="nan" localSheetId="27">#REF!</definedName>
    <definedName name="nan" localSheetId="25">#REF!</definedName>
    <definedName name="nan" localSheetId="15">#REF!</definedName>
    <definedName name="nan" localSheetId="22">#REF!</definedName>
    <definedName name="nan">#REF!</definedName>
    <definedName name="nretsg" localSheetId="8">#REF!</definedName>
    <definedName name="nretsg" localSheetId="30">#REF!</definedName>
    <definedName name="nretsg" localSheetId="28">#REF!</definedName>
    <definedName name="nretsg" localSheetId="26">#REF!</definedName>
    <definedName name="nretsg" localSheetId="10">#REF!</definedName>
    <definedName name="nretsg" localSheetId="27">#REF!</definedName>
    <definedName name="nretsg" localSheetId="25">#REF!</definedName>
    <definedName name="nretsg" localSheetId="15">#REF!</definedName>
    <definedName name="nretsg">#REF!</definedName>
    <definedName name="Num_Pmt_Per_Year" localSheetId="8">#REF!</definedName>
    <definedName name="Num_Pmt_Per_Year" localSheetId="30">#REF!</definedName>
    <definedName name="Num_Pmt_Per_Year" localSheetId="28">#REF!</definedName>
    <definedName name="Num_Pmt_Per_Year" localSheetId="10">#REF!</definedName>
    <definedName name="Num_Pmt_Per_Year" localSheetId="15">#REF!</definedName>
    <definedName name="Num_Pmt_Per_Year">#REF!</definedName>
    <definedName name="Number_of_Payments" localSheetId="8">MATCH(0.01,Abstract!End_Bal,-1)+1</definedName>
    <definedName name="Number_of_Payments" localSheetId="30">MATCH(0.01,CCTV!End_Bal,-1)+1</definedName>
    <definedName name="Number_of_Payments" localSheetId="28">MATCH(0.01,compound!End_Bal,-1)+1</definedName>
    <definedName name="Number_of_Payments" localSheetId="26">MATCH(0.01,End_Bal,-1)+1</definedName>
    <definedName name="Number_of_Payments" localSheetId="10">MATCH(0.01,'DEV-2'!End_Bal,-1)+1</definedName>
    <definedName name="Number_of_Payments" localSheetId="11">#N/A</definedName>
    <definedName name="Number_of_Payments" localSheetId="12">MATCH(0.01,End_Bal,-1)+1</definedName>
    <definedName name="Number_of_Payments" localSheetId="25">MATCH(0.01,End_Bal,-1)+1</definedName>
    <definedName name="Number_of_Payments" localSheetId="15">MATCH(0.01,O.data!End_Bal,-1)+1</definedName>
    <definedName name="Number_of_Payments">MATCH(0.01,End_Bal,-1)+1</definedName>
    <definedName name="NW" localSheetId="8">#REF!</definedName>
    <definedName name="NW" localSheetId="30">#REF!</definedName>
    <definedName name="NW" localSheetId="28">#REF!</definedName>
    <definedName name="NW" localSheetId="26">#REF!</definedName>
    <definedName name="NW" localSheetId="10">#REF!</definedName>
    <definedName name="NW" localSheetId="12">#REF!</definedName>
    <definedName name="NW" localSheetId="27">#REF!</definedName>
    <definedName name="NW" localSheetId="25">#REF!</definedName>
    <definedName name="NW" localSheetId="15">#REF!</definedName>
    <definedName name="NW" localSheetId="22">#REF!</definedName>
    <definedName name="NW">#REF!</definedName>
    <definedName name="oyut" localSheetId="8">#REF!</definedName>
    <definedName name="oyut" localSheetId="30">#REF!</definedName>
    <definedName name="oyut" localSheetId="28">#REF!</definedName>
    <definedName name="oyut" localSheetId="26">#REF!</definedName>
    <definedName name="oyut" localSheetId="10">#REF!</definedName>
    <definedName name="oyut" localSheetId="12">#REF!</definedName>
    <definedName name="oyut" localSheetId="27">#REF!</definedName>
    <definedName name="oyut" localSheetId="25">#REF!</definedName>
    <definedName name="oyut" localSheetId="15">#REF!</definedName>
    <definedName name="oyut" localSheetId="22">#REF!</definedName>
    <definedName name="oyut">#REF!</definedName>
    <definedName name="P" localSheetId="8">#REF!</definedName>
    <definedName name="P" localSheetId="18">#REF!</definedName>
    <definedName name="P" localSheetId="30">#REF!</definedName>
    <definedName name="P" localSheetId="28">#REF!</definedName>
    <definedName name="P" localSheetId="26">#REF!</definedName>
    <definedName name="P" localSheetId="10">#REF!</definedName>
    <definedName name="P" localSheetId="23">#REF!</definedName>
    <definedName name="P" localSheetId="12">#REF!</definedName>
    <definedName name="P" localSheetId="27">#REF!</definedName>
    <definedName name="P" localSheetId="25">#REF!</definedName>
    <definedName name="P" localSheetId="15">#REF!</definedName>
    <definedName name="P" localSheetId="21">#REF!</definedName>
    <definedName name="P" localSheetId="19">#REF!</definedName>
    <definedName name="P" localSheetId="20">#REF!</definedName>
    <definedName name="P" localSheetId="29">#REF!</definedName>
    <definedName name="P" localSheetId="22">#REF!</definedName>
    <definedName name="P" localSheetId="24">#REF!</definedName>
    <definedName name="P">#REF!</definedName>
    <definedName name="Paint" localSheetId="8">[1]Spec!$B$24</definedName>
    <definedName name="Paint" localSheetId="30">[20]Spec!$B$24</definedName>
    <definedName name="Paint" localSheetId="26">[21]Spec!$B$24</definedName>
    <definedName name="Paint" localSheetId="27">[22]Spec!$B$24</definedName>
    <definedName name="Paint" localSheetId="25">[21]Spec!$B$24</definedName>
    <definedName name="Paint" localSheetId="15">[1]Spec!$B$24</definedName>
    <definedName name="Paint" localSheetId="22">[21]Spec!$B$24</definedName>
    <definedName name="Paint">[2]Spec!$B$24</definedName>
    <definedName name="Pay_Date" localSheetId="8">#REF!</definedName>
    <definedName name="Pay_Date" localSheetId="30">#REF!</definedName>
    <definedName name="Pay_Date" localSheetId="28">#REF!</definedName>
    <definedName name="Pay_Date" localSheetId="26">#REF!</definedName>
    <definedName name="Pay_Date" localSheetId="10">#REF!</definedName>
    <definedName name="Pay_Date" localSheetId="11">#REF!</definedName>
    <definedName name="Pay_Date" localSheetId="12">#REF!</definedName>
    <definedName name="Pay_Date" localSheetId="25">#REF!</definedName>
    <definedName name="Pay_Date" localSheetId="15">#REF!</definedName>
    <definedName name="Pay_Date">#REF!</definedName>
    <definedName name="Pay_Num" localSheetId="8">#REF!</definedName>
    <definedName name="Pay_Num" localSheetId="30">#REF!</definedName>
    <definedName name="Pay_Num" localSheetId="28">#REF!</definedName>
    <definedName name="Pay_Num" localSheetId="10">#REF!</definedName>
    <definedName name="Pay_Num" localSheetId="11">#REF!</definedName>
    <definedName name="Pay_Num" localSheetId="15">#REF!</definedName>
    <definedName name="Pay_Num">#REF!</definedName>
    <definedName name="payment" localSheetId="8">#REF!</definedName>
    <definedName name="payment" localSheetId="30">#REF!</definedName>
    <definedName name="payment" localSheetId="28">#REF!</definedName>
    <definedName name="payment" localSheetId="10">#REF!</definedName>
    <definedName name="payment" localSheetId="11">#REF!</definedName>
    <definedName name="payment" localSheetId="15">#REF!</definedName>
    <definedName name="payment">#REF!</definedName>
    <definedName name="Payment_Date" localSheetId="8">DATE(YEAR(Abstract!Loan_Start),MONTH(Abstract!Loan_Start)+Payment_Number,DAY(Abstract!Loan_Start))</definedName>
    <definedName name="Payment_Date" localSheetId="30">DATE(YEAR(CCTV!Loan_Start),MONTH(CCTV!Loan_Start)+Payment_Number,DAY(CCTV!Loan_Start))</definedName>
    <definedName name="Payment_Date" localSheetId="28">DATE(YEAR(compound!Loan_Start),MONTH(compound!Loan_Start)+Payment_Number,DAY(compound!Loan_Start))</definedName>
    <definedName name="Payment_Date" localSheetId="26">DATE(YEAR(Loan_Start),MONTH(Loan_Start)+Payment_Number,DAY(Loan_Start))</definedName>
    <definedName name="Payment_Date" localSheetId="10">DATE(YEAR('DEV-2'!Loan_Start),MONTH('DEV-2'!Loan_Start)+Payment_Number,DAY('DEV-2'!Loan_Start))</definedName>
    <definedName name="Payment_Date" localSheetId="11">#N/A</definedName>
    <definedName name="Payment_Date" localSheetId="12">DATE(YEAR(Loan_Start),MONTH(Loan_Start)+Payment_Number,DAY(Loan_Start))</definedName>
    <definedName name="Payment_Date" localSheetId="25">DATE(YEAR(Loan_Start),MONTH(Loan_Start)+Payment_Number,DAY(Loan_Start))</definedName>
    <definedName name="Payment_Date" localSheetId="15">DATE(YEAR(O.data!Loan_Start),MONTH(O.data!Loan_Start)+Payment_Number,DAY(O.data!Loan_Start))</definedName>
    <definedName name="Payment_Date">DATE(YEAR(Loan_Start),MONTH(Loan_Start)+Payment_Number,DAY(Loan_Start))</definedName>
    <definedName name="pc" localSheetId="8">#REF!</definedName>
    <definedName name="pc" localSheetId="18">#REF!</definedName>
    <definedName name="pc" localSheetId="30">#REF!</definedName>
    <definedName name="pc" localSheetId="28">#REF!</definedName>
    <definedName name="pc" localSheetId="26">#REF!</definedName>
    <definedName name="pc" localSheetId="10">#REF!</definedName>
    <definedName name="pc" localSheetId="12">#REF!</definedName>
    <definedName name="pc" localSheetId="27">#REF!</definedName>
    <definedName name="pc" localSheetId="25">#REF!</definedName>
    <definedName name="pc" localSheetId="15">#REF!</definedName>
    <definedName name="pc" localSheetId="21">#REF!</definedName>
    <definedName name="pc" localSheetId="19">#REF!</definedName>
    <definedName name="pc" localSheetId="14">#REF!</definedName>
    <definedName name="pc" localSheetId="20">#REF!</definedName>
    <definedName name="pc" localSheetId="29">#REF!</definedName>
    <definedName name="pc" localSheetId="22">#REF!</definedName>
    <definedName name="pc">#REF!</definedName>
    <definedName name="pc_hchhh" localSheetId="8">#REF!</definedName>
    <definedName name="pc_hchhh" localSheetId="30">#REF!</definedName>
    <definedName name="pc_hchhh" localSheetId="28">#REF!</definedName>
    <definedName name="pc_hchhh" localSheetId="26">#REF!</definedName>
    <definedName name="pc_hchhh" localSheetId="10">#REF!</definedName>
    <definedName name="pc_hchhh" localSheetId="12">#REF!</definedName>
    <definedName name="pc_hchhh" localSheetId="27">#REF!</definedName>
    <definedName name="pc_hchhh" localSheetId="25">#REF!</definedName>
    <definedName name="pc_hchhh" localSheetId="15">#REF!</definedName>
    <definedName name="pc_hchhh" localSheetId="22">#REF!</definedName>
    <definedName name="pc_hchhh">#REF!</definedName>
    <definedName name="pcc" localSheetId="8">#REF!</definedName>
    <definedName name="pcc" localSheetId="30">#REF!</definedName>
    <definedName name="pcc" localSheetId="28">#REF!</definedName>
    <definedName name="pcc" localSheetId="26">#REF!</definedName>
    <definedName name="pcc" localSheetId="10">#REF!</definedName>
    <definedName name="pcc" localSheetId="27">#REF!</definedName>
    <definedName name="pcc" localSheetId="25">#REF!</definedName>
    <definedName name="pcc" localSheetId="15">#REF!</definedName>
    <definedName name="pcc" localSheetId="22">#REF!</definedName>
    <definedName name="pcc">#REF!</definedName>
    <definedName name="pe" localSheetId="8">#REF!</definedName>
    <definedName name="pe" localSheetId="30">#REF!</definedName>
    <definedName name="pe" localSheetId="28">#REF!</definedName>
    <definedName name="pe" localSheetId="26">#REF!</definedName>
    <definedName name="pe" localSheetId="10">#REF!</definedName>
    <definedName name="pe" localSheetId="27">#REF!</definedName>
    <definedName name="pe" localSheetId="25">#REF!</definedName>
    <definedName name="pe" localSheetId="15">#REF!</definedName>
    <definedName name="pe" localSheetId="22">#REF!</definedName>
    <definedName name="pe">#REF!</definedName>
    <definedName name="Plast15" localSheetId="8">[1]Spec!$B$20</definedName>
    <definedName name="Plast15" localSheetId="30">[20]Spec!$B$20</definedName>
    <definedName name="Plast15" localSheetId="26">[21]Spec!$B$20</definedName>
    <definedName name="Plast15" localSheetId="27">[22]Spec!$B$20</definedName>
    <definedName name="Plast15" localSheetId="25">[21]Spec!$B$20</definedName>
    <definedName name="Plast15" localSheetId="15">[1]Spec!$B$20</definedName>
    <definedName name="Plast15" localSheetId="22">[21]Spec!$B$20</definedName>
    <definedName name="Plast15">[2]Spec!$B$20</definedName>
    <definedName name="PRA" localSheetId="30">#REF!</definedName>
    <definedName name="PRA" localSheetId="26">#REF!</definedName>
    <definedName name="PRA" localSheetId="25">#REF!</definedName>
    <definedName name="PRA">#REF!</definedName>
    <definedName name="PRABHU">#REF!</definedName>
    <definedName name="pri" localSheetId="8">#REF!</definedName>
    <definedName name="pri" localSheetId="18">#REF!</definedName>
    <definedName name="pri" localSheetId="30">#REF!</definedName>
    <definedName name="pri" localSheetId="28">#REF!</definedName>
    <definedName name="pri" localSheetId="26">#REF!</definedName>
    <definedName name="pri" localSheetId="10">#REF!</definedName>
    <definedName name="pri" localSheetId="23">#REF!</definedName>
    <definedName name="pri" localSheetId="12">#REF!</definedName>
    <definedName name="pri" localSheetId="27">#REF!</definedName>
    <definedName name="pri" localSheetId="25">#REF!</definedName>
    <definedName name="pri" localSheetId="15">#REF!</definedName>
    <definedName name="pri" localSheetId="21">#REF!</definedName>
    <definedName name="pri" localSheetId="19">#REF!</definedName>
    <definedName name="pri" localSheetId="20">#REF!</definedName>
    <definedName name="pri" localSheetId="29">#REF!</definedName>
    <definedName name="pri" localSheetId="22">#REF!</definedName>
    <definedName name="pri" localSheetId="24">#REF!</definedName>
    <definedName name="pri">#REF!</definedName>
    <definedName name="PRIN_TITLES_MI" localSheetId="8">#REF!</definedName>
    <definedName name="PRIN_TITLES_MI" localSheetId="18">#REF!</definedName>
    <definedName name="PRIN_TITLES_MI" localSheetId="30">#REF!</definedName>
    <definedName name="PRIN_TITLES_MI" localSheetId="28">#REF!</definedName>
    <definedName name="PRIN_TITLES_MI" localSheetId="26">#REF!</definedName>
    <definedName name="PRIN_TITLES_MI" localSheetId="10">#REF!</definedName>
    <definedName name="PRIN_TITLES_MI" localSheetId="23">#REF!</definedName>
    <definedName name="PRIN_TITLES_MI" localSheetId="12">#REF!</definedName>
    <definedName name="PRIN_TITLES_MI" localSheetId="27">#REF!</definedName>
    <definedName name="PRIN_TITLES_MI" localSheetId="25">#REF!</definedName>
    <definedName name="PRIN_TITLES_MI" localSheetId="15">#REF!</definedName>
    <definedName name="PRIN_TITLES_MI" localSheetId="21">#REF!</definedName>
    <definedName name="PRIN_TITLES_MI" localSheetId="19">#REF!</definedName>
    <definedName name="PRIN_TITLES_MI" localSheetId="20">#REF!</definedName>
    <definedName name="PRIN_TITLES_MI" localSheetId="29">#REF!</definedName>
    <definedName name="PRIN_TITLES_MI" localSheetId="22">#REF!</definedName>
    <definedName name="PRIN_TITLES_MI" localSheetId="24">#REF!</definedName>
    <definedName name="PRIN_TITLES_MI">#REF!</definedName>
    <definedName name="Princ" localSheetId="8">#REF!</definedName>
    <definedName name="Princ" localSheetId="30">#REF!</definedName>
    <definedName name="Princ" localSheetId="28">#REF!</definedName>
    <definedName name="Princ" localSheetId="10">#REF!</definedName>
    <definedName name="Princ" localSheetId="12">#REF!</definedName>
    <definedName name="Princ" localSheetId="15">#REF!</definedName>
    <definedName name="Princ">#REF!</definedName>
    <definedName name="print" localSheetId="8">#REF!</definedName>
    <definedName name="print" localSheetId="9">#REF!</definedName>
    <definedName name="print" localSheetId="18">#REF!</definedName>
    <definedName name="print" localSheetId="30">#REF!</definedName>
    <definedName name="print" localSheetId="28">#REF!</definedName>
    <definedName name="print" localSheetId="26">#REF!</definedName>
    <definedName name="print" localSheetId="10">#REF!</definedName>
    <definedName name="print" localSheetId="12">#REF!</definedName>
    <definedName name="print" localSheetId="27">#REF!</definedName>
    <definedName name="print" localSheetId="25">#REF!</definedName>
    <definedName name="print" localSheetId="15">#REF!</definedName>
    <definedName name="print" localSheetId="21">#REF!</definedName>
    <definedName name="print" localSheetId="19">#REF!</definedName>
    <definedName name="print" localSheetId="0">#REF!</definedName>
    <definedName name="print" localSheetId="14">#REF!</definedName>
    <definedName name="print" localSheetId="20">#REF!</definedName>
    <definedName name="print" localSheetId="29">#REF!</definedName>
    <definedName name="print" localSheetId="22">#REF!</definedName>
    <definedName name="print">#REF!</definedName>
    <definedName name="PRINT_ARE" localSheetId="8">#REF!</definedName>
    <definedName name="PRINT_ARE" localSheetId="18">#REF!</definedName>
    <definedName name="PRINT_ARE" localSheetId="30">#REF!</definedName>
    <definedName name="PRINT_ARE" localSheetId="28">#REF!</definedName>
    <definedName name="PRINT_ARE" localSheetId="26">#REF!</definedName>
    <definedName name="PRINT_ARE" localSheetId="10">#REF!</definedName>
    <definedName name="PRINT_ARE" localSheetId="23">#REF!</definedName>
    <definedName name="PRINT_ARE" localSheetId="27">#REF!</definedName>
    <definedName name="PRINT_ARE" localSheetId="25">#REF!</definedName>
    <definedName name="PRINT_ARE" localSheetId="15">#REF!</definedName>
    <definedName name="PRINT_ARE" localSheetId="21">#REF!</definedName>
    <definedName name="PRINT_ARE" localSheetId="19">#REF!</definedName>
    <definedName name="PRINT_ARE" localSheetId="20">#REF!</definedName>
    <definedName name="PRINT_ARE" localSheetId="29">#REF!</definedName>
    <definedName name="PRINT_ARE" localSheetId="22">#REF!</definedName>
    <definedName name="PRINT_ARE" localSheetId="24">#REF!</definedName>
    <definedName name="PRINT_ARE">#REF!</definedName>
    <definedName name="_xlnm.Print_Area" localSheetId="3">'  Coastal  Elec.Data '!$F$2832:$K$2990</definedName>
    <definedName name="_xlnm.Print_Area" localSheetId="1">'2 in 1 incl. F.E.'!$303:$303</definedName>
    <definedName name="_xlnm.Print_Area" localSheetId="8">Abstract!$A$1:$F$274</definedName>
    <definedName name="_xlnm.Print_Area" localSheetId="9">building!$A$1:$T$1007</definedName>
    <definedName name="_xlnm.Print_Area" localSheetId="18">'CC road'!$A$1:$I$36</definedName>
    <definedName name="_xlnm.Print_Area" localSheetId="30">CCTV!$A$1:$I$74</definedName>
    <definedName name="_xlnm.Print_Area" localSheetId="28">compound!$A$1:$I$172</definedName>
    <definedName name="_xlnm.Print_Area" localSheetId="26">'culvert '!$A$1:$I$50</definedName>
    <definedName name="_xlnm.Print_Area" localSheetId="7">DATA!$T$1:$AE$64</definedName>
    <definedName name="_xlnm.Print_Area" localSheetId="10">'DEV-2'!$A$1:$V$1001</definedName>
    <definedName name="_xlnm.Print_Area" localSheetId="17">door!$A$1:$F$85</definedName>
    <definedName name="_xlnm.Print_Area" localSheetId="11">DSP!$A$1:$I$2361</definedName>
    <definedName name="_xlnm.Print_Area" localSheetId="5">Elec.Data!$F$234:$K$964</definedName>
    <definedName name="_xlnm.Print_Area" localSheetId="23">Ext.ele!$A$1:$I$54</definedName>
    <definedName name="_xlnm.Print_Area" localSheetId="12">'G. Abstract'!$A$1:$F$38</definedName>
    <definedName name="_xlnm.Print_Area" localSheetId="27">GENSET!$A$1:$I$80</definedName>
    <definedName name="_xlnm.Print_Area" localSheetId="4">'lead  charge'!$A$1:$S$27</definedName>
    <definedName name="_xlnm.Print_Area" localSheetId="25">Numbering!$A$1:$I$68</definedName>
    <definedName name="_xlnm.Print_Area" localSheetId="15">O.data!$A$1:$F$179</definedName>
    <definedName name="_xlnm.Print_Area" localSheetId="21">#REF!</definedName>
    <definedName name="_xlnm.Print_Area" localSheetId="19">#REF!</definedName>
    <definedName name="_xlnm.Print_Area" localSheetId="2">'pile data '!$A$164:$F$199</definedName>
    <definedName name="_xlnm.Print_Area" localSheetId="0">'pile data ( M30 grade) (2)'!$A$1:$H$162</definedName>
    <definedName name="_xlnm.Print_Area" localSheetId="14">'Print Data'!$A$1:$F$2305</definedName>
    <definedName name="_xlnm.Print_Area" localSheetId="20">S.drain!$A$1:$I$42</definedName>
    <definedName name="_xlnm.Print_Area" localSheetId="29">'Septic tank'!$A$1:$I$86</definedName>
    <definedName name="_xlnm.Print_Area" localSheetId="6">'Sliding and french window'!$A$80:$G$127</definedName>
    <definedName name="_xlnm.Print_Area" localSheetId="22">'UG Sump'!$A$1:$I$55</definedName>
    <definedName name="_xlnm.Print_Area" localSheetId="24">'water supply'!$A$1:$I$51</definedName>
    <definedName name="_xlnm.Print_Area">#REF!</definedName>
    <definedName name="PRINT_AREA_" localSheetId="8">#REF!</definedName>
    <definedName name="PRINT_AREA_" localSheetId="18">#REF!</definedName>
    <definedName name="PRINT_AREA_" localSheetId="30">#REF!</definedName>
    <definedName name="PRINT_AREA_" localSheetId="28">#REF!</definedName>
    <definedName name="PRINT_AREA_" localSheetId="26">#REF!</definedName>
    <definedName name="PRINT_AREA_" localSheetId="10">#REF!</definedName>
    <definedName name="PRINT_AREA_" localSheetId="23">#REF!</definedName>
    <definedName name="PRINT_AREA_" localSheetId="12">#REF!</definedName>
    <definedName name="PRINT_AREA_" localSheetId="27">#REF!</definedName>
    <definedName name="PRINT_AREA_" localSheetId="25">#REF!</definedName>
    <definedName name="PRINT_AREA_" localSheetId="15">#REF!</definedName>
    <definedName name="PRINT_AREA_" localSheetId="21">#REF!</definedName>
    <definedName name="PRINT_AREA_" localSheetId="19">#REF!</definedName>
    <definedName name="PRINT_AREA_" localSheetId="20">#REF!</definedName>
    <definedName name="PRINT_AREA_" localSheetId="29">#REF!</definedName>
    <definedName name="PRINT_AREA_" localSheetId="22">#REF!</definedName>
    <definedName name="PRINT_AREA_" localSheetId="24">#REF!</definedName>
    <definedName name="PRINT_AREA_">#REF!</definedName>
    <definedName name="print_area_copied" localSheetId="8">#REF!</definedName>
    <definedName name="print_area_copied" localSheetId="30">#REF!</definedName>
    <definedName name="print_area_copied" localSheetId="28">#REF!</definedName>
    <definedName name="print_area_copied" localSheetId="26">#REF!</definedName>
    <definedName name="print_area_copied" localSheetId="10">#REF!</definedName>
    <definedName name="print_area_copied" localSheetId="12">#REF!</definedName>
    <definedName name="print_area_copied" localSheetId="27">#REF!</definedName>
    <definedName name="print_area_copied" localSheetId="25">#REF!</definedName>
    <definedName name="print_area_copied" localSheetId="15">#REF!</definedName>
    <definedName name="print_area_copied" localSheetId="22">#REF!</definedName>
    <definedName name="print_area_copied">#REF!</definedName>
    <definedName name="PRINT_AREA_M" localSheetId="8">#REF!</definedName>
    <definedName name="PRINT_AREA_M" localSheetId="18">#REF!</definedName>
    <definedName name="PRINT_AREA_M" localSheetId="30">#REF!</definedName>
    <definedName name="PRINT_AREA_M" localSheetId="28">#REF!</definedName>
    <definedName name="PRINT_AREA_M" localSheetId="26">#REF!</definedName>
    <definedName name="PRINT_AREA_M" localSheetId="10">#REF!</definedName>
    <definedName name="PRINT_AREA_M" localSheetId="23">#REF!</definedName>
    <definedName name="PRINT_AREA_M" localSheetId="27">#REF!</definedName>
    <definedName name="PRINT_AREA_M" localSheetId="25">#REF!</definedName>
    <definedName name="PRINT_AREA_M" localSheetId="15">#REF!</definedName>
    <definedName name="PRINT_AREA_M" localSheetId="21">#REF!</definedName>
    <definedName name="PRINT_AREA_M" localSheetId="19">#REF!</definedName>
    <definedName name="PRINT_AREA_M" localSheetId="20">#REF!</definedName>
    <definedName name="PRINT_AREA_M" localSheetId="29">#REF!</definedName>
    <definedName name="PRINT_AREA_M" localSheetId="22">#REF!</definedName>
    <definedName name="PRINT_AREA_M" localSheetId="24">#REF!</definedName>
    <definedName name="PRINT_AREA_M">#REF!</definedName>
    <definedName name="Print_Area_MI" localSheetId="3">'  Coastal  Elec.Data '!$F$1:$K$213</definedName>
    <definedName name="PRINT_AREA_MI" localSheetId="8">#REF!</definedName>
    <definedName name="PRINT_AREA_MI" localSheetId="18">#REF!</definedName>
    <definedName name="PRINT_AREA_MI" localSheetId="30">#REF!</definedName>
    <definedName name="PRINT_AREA_MI" localSheetId="28">#REF!</definedName>
    <definedName name="PRINT_AREA_MI" localSheetId="26">#REF!</definedName>
    <definedName name="Print_Area_MI" localSheetId="7">DATA!$F$1:$K$214</definedName>
    <definedName name="PRINT_AREA_MI" localSheetId="10">#REF!</definedName>
    <definedName name="Print_Area_MI" localSheetId="5">Elec.Data!#REF!</definedName>
    <definedName name="PRINT_AREA_MI" localSheetId="23">#REF!</definedName>
    <definedName name="PRINT_AREA_MI" localSheetId="12">#REF!</definedName>
    <definedName name="PRINT_AREA_MI" localSheetId="27">#REF!</definedName>
    <definedName name="PRINT_AREA_MI" localSheetId="25">#REF!</definedName>
    <definedName name="PRINT_AREA_MI" localSheetId="15">#REF!</definedName>
    <definedName name="PRINT_AREA_MI" localSheetId="21">#REF!</definedName>
    <definedName name="PRINT_AREA_MI" localSheetId="19">#REF!</definedName>
    <definedName name="PRINT_AREA_MI" localSheetId="2">#REF!</definedName>
    <definedName name="PRINT_AREA_MI" localSheetId="0">#REF!</definedName>
    <definedName name="PRINT_AREA_MI" localSheetId="14">#REF!</definedName>
    <definedName name="PRINT_AREA_MI" localSheetId="20">#REF!</definedName>
    <definedName name="PRINT_AREA_MI" localSheetId="29">#REF!</definedName>
    <definedName name="PRINT_AREA_MI" localSheetId="22">#REF!</definedName>
    <definedName name="PRINT_AREA_MI" localSheetId="24">#REF!</definedName>
    <definedName name="PRINT_AREA_MI">#REF!</definedName>
    <definedName name="PRINT_AREA_MI_2" localSheetId="8">#REF!</definedName>
    <definedName name="PRINT_AREA_MI_2" localSheetId="30">#REF!</definedName>
    <definedName name="PRINT_AREA_MI_2" localSheetId="28">#REF!</definedName>
    <definedName name="PRINT_AREA_MI_2" localSheetId="26">#REF!</definedName>
    <definedName name="PRINT_AREA_MI_2" localSheetId="10">#REF!</definedName>
    <definedName name="PRINT_AREA_MI_2" localSheetId="27">#REF!</definedName>
    <definedName name="PRINT_AREA_MI_2" localSheetId="25">#REF!</definedName>
    <definedName name="PRINT_AREA_MI_2" localSheetId="15">#REF!</definedName>
    <definedName name="PRINT_AREA_MI_2">#REF!</definedName>
    <definedName name="Print_Area_Reset" localSheetId="8">OFFSET(Abstract!Full_Print,0,0,Abstract!Last_Row)</definedName>
    <definedName name="Print_Area_Reset" localSheetId="30">OFFSET(CCTV!Full_Print,0,0,CCTV!Last_Row)</definedName>
    <definedName name="Print_Area_Reset" localSheetId="28">OFFSET(compound!Full_Print,0,0,compound!Last_Row)</definedName>
    <definedName name="Print_Area_Reset" localSheetId="26">OFFSET(Full_Print,0,0,'culvert '!Last_Row)</definedName>
    <definedName name="Print_Area_Reset" localSheetId="10">OFFSET('DEV-2'!Full_Print,0,0,'DEV-2'!Last_Row)</definedName>
    <definedName name="Print_Area_Reset" localSheetId="11">#N/A</definedName>
    <definedName name="Print_Area_Reset" localSheetId="12">OFFSET(Full_Print,0,0,'G. Abstract'!Last_Row)</definedName>
    <definedName name="Print_Area_Reset" localSheetId="25">OFFSET(Full_Print,0,0,Numbering!Last_Row)</definedName>
    <definedName name="Print_Area_Reset" localSheetId="15">OFFSET(O.data!Full_Print,0,0,O.data!Last_Row)</definedName>
    <definedName name="Print_Area_Reset">OFFSET(Full_Print,0,0,Last_Row)</definedName>
    <definedName name="Print_Area1" localSheetId="8">#REF!</definedName>
    <definedName name="Print_Area1" localSheetId="30">#REF!</definedName>
    <definedName name="Print_Area1" localSheetId="28">#REF!</definedName>
    <definedName name="Print_Area1" localSheetId="26">#REF!</definedName>
    <definedName name="Print_Area1" localSheetId="10">#REF!</definedName>
    <definedName name="Print_Area1" localSheetId="12">#REF!</definedName>
    <definedName name="Print_Area1" localSheetId="27">#REF!</definedName>
    <definedName name="Print_Area1" localSheetId="25">#REF!</definedName>
    <definedName name="Print_Area1" localSheetId="15">#REF!</definedName>
    <definedName name="Print_Area1" localSheetId="22">#REF!</definedName>
    <definedName name="Print_Area1">#REF!</definedName>
    <definedName name="Print_T" localSheetId="8">#REF!</definedName>
    <definedName name="Print_T" localSheetId="18">#REF!</definedName>
    <definedName name="Print_T" localSheetId="30">#REF!</definedName>
    <definedName name="Print_T" localSheetId="28">#REF!</definedName>
    <definedName name="Print_T" localSheetId="26">#REF!</definedName>
    <definedName name="Print_T" localSheetId="10">#REF!</definedName>
    <definedName name="Print_T" localSheetId="23">#REF!</definedName>
    <definedName name="Print_T" localSheetId="12">#REF!</definedName>
    <definedName name="Print_T" localSheetId="27">#REF!</definedName>
    <definedName name="Print_T" localSheetId="25">#REF!</definedName>
    <definedName name="Print_T" localSheetId="15">#REF!</definedName>
    <definedName name="Print_T" localSheetId="21">#REF!</definedName>
    <definedName name="Print_T" localSheetId="19">#REF!</definedName>
    <definedName name="Print_T" localSheetId="20">#REF!</definedName>
    <definedName name="Print_T" localSheetId="29">#REF!</definedName>
    <definedName name="Print_T" localSheetId="22">#REF!</definedName>
    <definedName name="Print_T" localSheetId="24">#REF!</definedName>
    <definedName name="Print_T">#REF!</definedName>
    <definedName name="Print_Tit" localSheetId="8">#REF!</definedName>
    <definedName name="Print_Tit" localSheetId="18">#REF!</definedName>
    <definedName name="Print_Tit" localSheetId="30">#REF!</definedName>
    <definedName name="Print_Tit" localSheetId="28">#REF!</definedName>
    <definedName name="Print_Tit" localSheetId="26">#REF!</definedName>
    <definedName name="Print_Tit" localSheetId="10">#REF!</definedName>
    <definedName name="Print_Tit" localSheetId="23">#REF!</definedName>
    <definedName name="Print_Tit" localSheetId="12">#REF!</definedName>
    <definedName name="Print_Tit" localSheetId="27">#REF!</definedName>
    <definedName name="Print_Tit" localSheetId="25">#REF!</definedName>
    <definedName name="Print_Tit" localSheetId="15">#REF!</definedName>
    <definedName name="Print_Tit" localSheetId="21">#REF!</definedName>
    <definedName name="Print_Tit" localSheetId="19">#REF!</definedName>
    <definedName name="Print_Tit" localSheetId="20">#REF!</definedName>
    <definedName name="Print_Tit" localSheetId="29">#REF!</definedName>
    <definedName name="Print_Tit" localSheetId="22">#REF!</definedName>
    <definedName name="Print_Tit" localSheetId="24">#REF!</definedName>
    <definedName name="Print_Tit">#REF!</definedName>
    <definedName name="Print_Titl" localSheetId="8">#REF!</definedName>
    <definedName name="Print_Titl" localSheetId="18">#REF!</definedName>
    <definedName name="Print_Titl" localSheetId="30">#REF!</definedName>
    <definedName name="Print_Titl" localSheetId="28">#REF!</definedName>
    <definedName name="Print_Titl" localSheetId="26">#REF!</definedName>
    <definedName name="Print_Titl" localSheetId="10">#REF!</definedName>
    <definedName name="Print_Titl" localSheetId="23">#REF!</definedName>
    <definedName name="Print_Titl" localSheetId="27">#REF!</definedName>
    <definedName name="Print_Titl" localSheetId="25">#REF!</definedName>
    <definedName name="Print_Titl" localSheetId="15">#REF!</definedName>
    <definedName name="Print_Titl" localSheetId="21">#REF!</definedName>
    <definedName name="Print_Titl" localSheetId="19">#REF!</definedName>
    <definedName name="Print_Titl" localSheetId="20">#REF!</definedName>
    <definedName name="Print_Titl" localSheetId="29">#REF!</definedName>
    <definedName name="Print_Titl" localSheetId="22">#REF!</definedName>
    <definedName name="Print_Titl" localSheetId="24">#REF!</definedName>
    <definedName name="Print_Titl">#REF!</definedName>
    <definedName name="Print_Title" localSheetId="8">#REF!</definedName>
    <definedName name="Print_Title" localSheetId="18">#REF!</definedName>
    <definedName name="Print_Title" localSheetId="30">#REF!</definedName>
    <definedName name="Print_Title" localSheetId="28">#REF!</definedName>
    <definedName name="Print_Title" localSheetId="26">#REF!</definedName>
    <definedName name="Print_Title" localSheetId="10">#REF!</definedName>
    <definedName name="Print_Title" localSheetId="23">#REF!</definedName>
    <definedName name="Print_Title" localSheetId="27">#REF!</definedName>
    <definedName name="Print_Title" localSheetId="25">#REF!</definedName>
    <definedName name="Print_Title" localSheetId="15">#REF!</definedName>
    <definedName name="Print_Title" localSheetId="21">#REF!</definedName>
    <definedName name="Print_Title" localSheetId="19">#REF!</definedName>
    <definedName name="Print_Title" localSheetId="20">#REF!</definedName>
    <definedName name="Print_Title" localSheetId="29">#REF!</definedName>
    <definedName name="Print_Title" localSheetId="22">#REF!</definedName>
    <definedName name="Print_Title" localSheetId="24">#REF!</definedName>
    <definedName name="Print_Title">#REF!</definedName>
    <definedName name="_xlnm.Print_Titles" localSheetId="3">#REF!</definedName>
    <definedName name="_xlnm.Print_Titles" localSheetId="8">#REF!</definedName>
    <definedName name="_xlnm.Print_Titles" localSheetId="9">building!$2:$3</definedName>
    <definedName name="_xlnm.Print_Titles" localSheetId="18">#REF!</definedName>
    <definedName name="_xlnm.Print_Titles" localSheetId="30">#REF!</definedName>
    <definedName name="_xlnm.Print_Titles" localSheetId="28">#REF!</definedName>
    <definedName name="_xlnm.Print_Titles" localSheetId="26">#REF!</definedName>
    <definedName name="_xlnm.Print_Titles" localSheetId="10">'DEV-2'!$2:$3</definedName>
    <definedName name="_xlnm.Print_Titles" localSheetId="11">DSP!$3:$3</definedName>
    <definedName name="_xlnm.Print_Titles" localSheetId="12">'G. Abstract'!$3:$3</definedName>
    <definedName name="_xlnm.Print_Titles" localSheetId="27">#REF!</definedName>
    <definedName name="_xlnm.Print_Titles" localSheetId="25">#REF!</definedName>
    <definedName name="_xlnm.Print_Titles" localSheetId="21">#REF!</definedName>
    <definedName name="_xlnm.Print_Titles" localSheetId="19">#REF!</definedName>
    <definedName name="_xlnm.Print_Titles" localSheetId="2">#REF!</definedName>
    <definedName name="_xlnm.Print_Titles" localSheetId="0">#REF!</definedName>
    <definedName name="_xlnm.Print_Titles" localSheetId="20">#REF!</definedName>
    <definedName name="_xlnm.Print_Titles" localSheetId="29">#REF!</definedName>
    <definedName name="_xlnm.Print_Titles">#REF!</definedName>
    <definedName name="PRINT_TITLES_MI" localSheetId="3">'  Coastal  Elec.Data '!$GJ$7:$IG$7608</definedName>
    <definedName name="PRINT_TITLES_MI" localSheetId="8">#REF!</definedName>
    <definedName name="PRINT_TITLES_MI" localSheetId="18">#REF!</definedName>
    <definedName name="PRINT_TITLES_MI" localSheetId="30">#REF!</definedName>
    <definedName name="PRINT_TITLES_MI" localSheetId="28">#REF!</definedName>
    <definedName name="PRINT_TITLES_MI" localSheetId="26">#REF!</definedName>
    <definedName name="PRINT_TITLES_MI" localSheetId="7">DATA!$GJ$7:$IG$7593</definedName>
    <definedName name="PRINT_TITLES_MI" localSheetId="10">#REF!</definedName>
    <definedName name="PRINT_TITLES_MI" localSheetId="5">Elec.Data!$GJ$1:$IG$4786</definedName>
    <definedName name="PRINT_TITLES_MI" localSheetId="23">#REF!</definedName>
    <definedName name="PRINT_TITLES_MI" localSheetId="12">#REF!</definedName>
    <definedName name="PRINT_TITLES_MI" localSheetId="27">#REF!</definedName>
    <definedName name="PRINT_TITLES_MI" localSheetId="25">#REF!</definedName>
    <definedName name="PRINT_TITLES_MI" localSheetId="15">#REF!</definedName>
    <definedName name="PRINT_TITLES_MI" localSheetId="21">#REF!</definedName>
    <definedName name="PRINT_TITLES_MI" localSheetId="19">#REF!</definedName>
    <definedName name="PRINT_TITLES_MI" localSheetId="2">#REF!</definedName>
    <definedName name="PRINT_TITLES_MI" localSheetId="0">#REF!</definedName>
    <definedName name="PRINT_TITLES_MI" localSheetId="14">#REF!</definedName>
    <definedName name="PRINT_TITLES_MI" localSheetId="20">#REF!</definedName>
    <definedName name="PRINT_TITLES_MI" localSheetId="29">#REF!</definedName>
    <definedName name="PRINT_TITLES_MI" localSheetId="22">#REF!</definedName>
    <definedName name="PRINT_TITLES_MI" localSheetId="24">#REF!</definedName>
    <definedName name="PRINT_TITLES_MI">#REF!</definedName>
    <definedName name="PRINT_TITLES_MI_2" localSheetId="8">#REF!</definedName>
    <definedName name="PRINT_TITLES_MI_2" localSheetId="30">#REF!</definedName>
    <definedName name="PRINT_TITLES_MI_2" localSheetId="28">#REF!</definedName>
    <definedName name="PRINT_TITLES_MI_2" localSheetId="26">#REF!</definedName>
    <definedName name="PRINT_TITLES_MI_2" localSheetId="10">#REF!</definedName>
    <definedName name="PRINT_TITLES_MI_2" localSheetId="27">#REF!</definedName>
    <definedName name="PRINT_TITLES_MI_2" localSheetId="25">#REF!</definedName>
    <definedName name="PRINT_TITLES_MI_2" localSheetId="15">#REF!</definedName>
    <definedName name="PRINT_TITLES_MI_2">#REF!</definedName>
    <definedName name="PRINT_TITLES_NW" localSheetId="8">#REF!</definedName>
    <definedName name="PRINT_TITLES_NW" localSheetId="30">#REF!</definedName>
    <definedName name="PRINT_TITLES_NW" localSheetId="28">#REF!</definedName>
    <definedName name="PRINT_TITLES_NW" localSheetId="26">#REF!</definedName>
    <definedName name="PRINT_TITLES_NW" localSheetId="10">#REF!</definedName>
    <definedName name="PRINT_TITLES_NW" localSheetId="27">#REF!</definedName>
    <definedName name="PRINT_TITLES_NW" localSheetId="25">#REF!</definedName>
    <definedName name="PRINT_TITLES_NW" localSheetId="15">#REF!</definedName>
    <definedName name="PRINT_TITLES_NW">#REF!</definedName>
    <definedName name="Print_titlesnew" localSheetId="8">#REF!</definedName>
    <definedName name="Print_titlesnew" localSheetId="18">#REF!</definedName>
    <definedName name="Print_titlesnew" localSheetId="30">#REF!</definedName>
    <definedName name="Print_titlesnew" localSheetId="28">#REF!</definedName>
    <definedName name="Print_titlesnew" localSheetId="26">#REF!</definedName>
    <definedName name="Print_titlesnew" localSheetId="10">#REF!</definedName>
    <definedName name="Print_titlesnew" localSheetId="23">#REF!</definedName>
    <definedName name="Print_titlesnew" localSheetId="27">#REF!</definedName>
    <definedName name="Print_titlesnew" localSheetId="25">#REF!</definedName>
    <definedName name="Print_titlesnew" localSheetId="15">#REF!</definedName>
    <definedName name="Print_titlesnew" localSheetId="21">#REF!</definedName>
    <definedName name="Print_titlesnew" localSheetId="19">#REF!</definedName>
    <definedName name="Print_titlesnew" localSheetId="20">#REF!</definedName>
    <definedName name="Print_titlesnew" localSheetId="29">#REF!</definedName>
    <definedName name="Print_titlesnew" localSheetId="22">#REF!</definedName>
    <definedName name="Print_titlesnew" localSheetId="24">#REF!</definedName>
    <definedName name="Print_titlesnew">#REF!</definedName>
    <definedName name="printarea1" localSheetId="8">#REF!</definedName>
    <definedName name="printarea1" localSheetId="18">#REF!</definedName>
    <definedName name="printarea1" localSheetId="30">#REF!</definedName>
    <definedName name="printarea1" localSheetId="28">#REF!</definedName>
    <definedName name="printarea1" localSheetId="26">#REF!</definedName>
    <definedName name="printarea1" localSheetId="10">#REF!</definedName>
    <definedName name="printarea1" localSheetId="23">#REF!</definedName>
    <definedName name="printarea1" localSheetId="27">#REF!</definedName>
    <definedName name="printarea1" localSheetId="25">#REF!</definedName>
    <definedName name="printarea1" localSheetId="15">#REF!</definedName>
    <definedName name="printarea1" localSheetId="21">#REF!</definedName>
    <definedName name="printarea1" localSheetId="19">#REF!</definedName>
    <definedName name="printarea1" localSheetId="20">#REF!</definedName>
    <definedName name="printarea1" localSheetId="29">#REF!</definedName>
    <definedName name="printarea1" localSheetId="22">#REF!</definedName>
    <definedName name="printarea1" localSheetId="24">#REF!</definedName>
    <definedName name="printarea1">#REF!</definedName>
    <definedName name="printing" localSheetId="8">#REF!</definedName>
    <definedName name="printing" localSheetId="30">#REF!</definedName>
    <definedName name="printing" localSheetId="10">#REF!</definedName>
    <definedName name="printing" localSheetId="27">#REF!</definedName>
    <definedName name="printing" localSheetId="15">#REF!</definedName>
    <definedName name="printing">#REF!</definedName>
    <definedName name="ps_app" localSheetId="8">#REF!</definedName>
    <definedName name="ps_app" localSheetId="30">#REF!</definedName>
    <definedName name="ps_app" localSheetId="28">#REF!</definedName>
    <definedName name="ps_app" localSheetId="10">#REF!</definedName>
    <definedName name="ps_app" localSheetId="15">#REF!</definedName>
    <definedName name="ps_app">#REF!</definedName>
    <definedName name="ps_est" localSheetId="8">#REF!</definedName>
    <definedName name="ps_est" localSheetId="30">#REF!</definedName>
    <definedName name="ps_est" localSheetId="28">#REF!</definedName>
    <definedName name="ps_est" localSheetId="10">#REF!</definedName>
    <definedName name="ps_est" localSheetId="15">#REF!</definedName>
    <definedName name="ps_est">#REF!</definedName>
    <definedName name="ps_max" localSheetId="8">#REF!</definedName>
    <definedName name="ps_max" localSheetId="30">#REF!</definedName>
    <definedName name="ps_max" localSheetId="28">#REF!</definedName>
    <definedName name="ps_max" localSheetId="10">#REF!</definedName>
    <definedName name="ps_max" localSheetId="15">#REF!</definedName>
    <definedName name="ps_max">#REF!</definedName>
    <definedName name="ps_paid" localSheetId="8">#REF!</definedName>
    <definedName name="ps_paid" localSheetId="30">#REF!</definedName>
    <definedName name="ps_paid" localSheetId="28">#REF!</definedName>
    <definedName name="ps_paid" localSheetId="10">#REF!</definedName>
    <definedName name="ps_paid" localSheetId="15">#REF!</definedName>
    <definedName name="ps_paid">#REF!</definedName>
    <definedName name="ps_quo" localSheetId="8">#REF!</definedName>
    <definedName name="ps_quo" localSheetId="30">#REF!</definedName>
    <definedName name="ps_quo" localSheetId="28">#REF!</definedName>
    <definedName name="ps_quo" localSheetId="10">#REF!</definedName>
    <definedName name="ps_quo" localSheetId="15">#REF!</definedName>
    <definedName name="ps_quo">#REF!</definedName>
    <definedName name="ps_rec" localSheetId="8">#REF!</definedName>
    <definedName name="ps_rec" localSheetId="30">#REF!</definedName>
    <definedName name="ps_rec" localSheetId="28">#REF!</definedName>
    <definedName name="ps_rec" localSheetId="10">#REF!</definedName>
    <definedName name="ps_rec" localSheetId="15">#REF!</definedName>
    <definedName name="ps_rec">#REF!</definedName>
    <definedName name="Q">#REF!</definedName>
    <definedName name="QQE" localSheetId="8">#REF!</definedName>
    <definedName name="QQE" localSheetId="18">#REF!</definedName>
    <definedName name="QQE" localSheetId="30">#REF!</definedName>
    <definedName name="QQE" localSheetId="28">#REF!</definedName>
    <definedName name="QQE" localSheetId="26">#REF!</definedName>
    <definedName name="QQE" localSheetId="10">#REF!</definedName>
    <definedName name="QQE" localSheetId="12">#REF!</definedName>
    <definedName name="QQE" localSheetId="27">#REF!</definedName>
    <definedName name="QQE" localSheetId="25">#REF!</definedName>
    <definedName name="QQE" localSheetId="15">#REF!</definedName>
    <definedName name="QQE" localSheetId="21">#REF!</definedName>
    <definedName name="QQE" localSheetId="19">#REF!</definedName>
    <definedName name="QQE" localSheetId="14">#REF!</definedName>
    <definedName name="QQE" localSheetId="20">#REF!</definedName>
    <definedName name="QQE" localSheetId="29">#REF!</definedName>
    <definedName name="QQE" localSheetId="22">#REF!</definedName>
    <definedName name="QQE">#REF!</definedName>
    <definedName name="QWE" localSheetId="8">#REF!</definedName>
    <definedName name="QWE" localSheetId="18">#REF!</definedName>
    <definedName name="QWE" localSheetId="30">#REF!</definedName>
    <definedName name="QWE" localSheetId="28">#REF!</definedName>
    <definedName name="QWE" localSheetId="26">#REF!</definedName>
    <definedName name="QWE" localSheetId="10">#REF!</definedName>
    <definedName name="QWE" localSheetId="12">#REF!</definedName>
    <definedName name="QWE" localSheetId="27">#REF!</definedName>
    <definedName name="QWE" localSheetId="25">#REF!</definedName>
    <definedName name="QWE" localSheetId="15">#REF!</definedName>
    <definedName name="QWE" localSheetId="21">#REF!</definedName>
    <definedName name="QWE" localSheetId="19">#REF!</definedName>
    <definedName name="QWE" localSheetId="14">#REF!</definedName>
    <definedName name="QWE" localSheetId="20">#REF!</definedName>
    <definedName name="QWE" localSheetId="29">#REF!</definedName>
    <definedName name="QWE" localSheetId="22">#REF!</definedName>
    <definedName name="QWE">#REF!</definedName>
    <definedName name="raja" localSheetId="8">#REF!</definedName>
    <definedName name="raja" localSheetId="30">#REF!</definedName>
    <definedName name="raja" localSheetId="28">#REF!</definedName>
    <definedName name="raja" localSheetId="26">#REF!</definedName>
    <definedName name="raja" localSheetId="10">#REF!</definedName>
    <definedName name="raja" localSheetId="27">#REF!</definedName>
    <definedName name="raja" localSheetId="25">#REF!</definedName>
    <definedName name="raja" localSheetId="15">#REF!</definedName>
    <definedName name="raja">#REF!</definedName>
    <definedName name="red" localSheetId="8">#REF!</definedName>
    <definedName name="red" localSheetId="18">#REF!</definedName>
    <definedName name="red" localSheetId="30">#REF!</definedName>
    <definedName name="red" localSheetId="28">#REF!</definedName>
    <definedName name="red" localSheetId="26">#REF!</definedName>
    <definedName name="red" localSheetId="10">#REF!</definedName>
    <definedName name="red" localSheetId="23">#REF!</definedName>
    <definedName name="red" localSheetId="27">#REF!</definedName>
    <definedName name="red" localSheetId="25">#REF!</definedName>
    <definedName name="red" localSheetId="15">#REF!</definedName>
    <definedName name="red" localSheetId="21">#REF!</definedName>
    <definedName name="red" localSheetId="19">#REF!</definedName>
    <definedName name="red" localSheetId="20">#REF!</definedName>
    <definedName name="red" localSheetId="29">#REF!</definedName>
    <definedName name="red" localSheetId="22">#REF!</definedName>
    <definedName name="red" localSheetId="24">#REF!</definedName>
    <definedName name="red">#REF!</definedName>
    <definedName name="rf" localSheetId="27">#REF!</definedName>
    <definedName name="rf">#REF!</definedName>
    <definedName name="roya" localSheetId="8">#REF!</definedName>
    <definedName name="roya" localSheetId="30">#REF!</definedName>
    <definedName name="roya" localSheetId="28">#REF!</definedName>
    <definedName name="roya" localSheetId="10">#REF!</definedName>
    <definedName name="roya" localSheetId="15">#REF!</definedName>
    <definedName name="roya">#REF!</definedName>
    <definedName name="rrr" localSheetId="8">#REF!</definedName>
    <definedName name="rrr" localSheetId="30">#REF!</definedName>
    <definedName name="rrr" localSheetId="28">#REF!</definedName>
    <definedName name="rrr" localSheetId="26">#REF!</definedName>
    <definedName name="rrr" localSheetId="10">#REF!</definedName>
    <definedName name="rrr" localSheetId="27">#REF!</definedName>
    <definedName name="rrr" localSheetId="25">#REF!</definedName>
    <definedName name="rrr" localSheetId="15">#REF!</definedName>
    <definedName name="rrr">#REF!</definedName>
    <definedName name="rvyt" localSheetId="8">#REF!</definedName>
    <definedName name="rvyt" localSheetId="30">#REF!</definedName>
    <definedName name="rvyt" localSheetId="28">#REF!</definedName>
    <definedName name="rvyt" localSheetId="26">#REF!</definedName>
    <definedName name="rvyt" localSheetId="10">#REF!</definedName>
    <definedName name="rvyt" localSheetId="27">#REF!</definedName>
    <definedName name="rvyt" localSheetId="25">#REF!</definedName>
    <definedName name="rvyt" localSheetId="15">#REF!</definedName>
    <definedName name="rvyt" localSheetId="22">#REF!</definedName>
    <definedName name="rvyt">#REF!</definedName>
    <definedName name="S" localSheetId="8">#REF!</definedName>
    <definedName name="S" localSheetId="18">#REF!</definedName>
    <definedName name="S" localSheetId="30">#REF!</definedName>
    <definedName name="S" localSheetId="28">#REF!</definedName>
    <definedName name="S" localSheetId="26">#REF!</definedName>
    <definedName name="S" localSheetId="10">#REF!</definedName>
    <definedName name="S" localSheetId="23">#REF!</definedName>
    <definedName name="S" localSheetId="27">#REF!</definedName>
    <definedName name="S" localSheetId="25">#REF!</definedName>
    <definedName name="S" localSheetId="15">#REF!</definedName>
    <definedName name="S" localSheetId="21">#REF!</definedName>
    <definedName name="S" localSheetId="19">#REF!</definedName>
    <definedName name="S" localSheetId="20">#REF!</definedName>
    <definedName name="S" localSheetId="29">#REF!</definedName>
    <definedName name="S" localSheetId="22">#REF!</definedName>
    <definedName name="S" localSheetId="24">#REF!</definedName>
    <definedName name="S">#REF!</definedName>
    <definedName name="sa" localSheetId="8">#REF!</definedName>
    <definedName name="sa" localSheetId="30">#REF!</definedName>
    <definedName name="sa" localSheetId="28">#REF!</definedName>
    <definedName name="sa" localSheetId="26">#REF!</definedName>
    <definedName name="sa" localSheetId="10">#REF!</definedName>
    <definedName name="sa" localSheetId="27">#REF!</definedName>
    <definedName name="sa" localSheetId="25">#REF!</definedName>
    <definedName name="sa" localSheetId="15">#REF!</definedName>
    <definedName name="sa">#REF!</definedName>
    <definedName name="Sandfill" localSheetId="8">[1]Spec!$B$15</definedName>
    <definedName name="Sandfill" localSheetId="30">[20]Spec!$B$15</definedName>
    <definedName name="Sandfill" localSheetId="26">[21]Spec!$B$15</definedName>
    <definedName name="Sandfill" localSheetId="27">[22]Spec!$B$15</definedName>
    <definedName name="Sandfill" localSheetId="25">[21]Spec!$B$15</definedName>
    <definedName name="Sandfill" localSheetId="15">[1]Spec!$B$15</definedName>
    <definedName name="Sandfill" localSheetId="22">[21]Spec!$B$15</definedName>
    <definedName name="Sandfill">[2]Spec!$B$15</definedName>
    <definedName name="saran" localSheetId="8">#REF!</definedName>
    <definedName name="saran" localSheetId="30">#REF!</definedName>
    <definedName name="saran" localSheetId="28">#REF!</definedName>
    <definedName name="saran" localSheetId="26">#REF!</definedName>
    <definedName name="saran" localSheetId="10">#REF!</definedName>
    <definedName name="saran" localSheetId="12">#REF!</definedName>
    <definedName name="saran" localSheetId="27">#REF!</definedName>
    <definedName name="saran" localSheetId="25">#REF!</definedName>
    <definedName name="saran" localSheetId="15">#REF!</definedName>
    <definedName name="saran">#REF!</definedName>
    <definedName name="sas" localSheetId="8">#REF!</definedName>
    <definedName name="sas" localSheetId="30">#REF!</definedName>
    <definedName name="sas" localSheetId="28">#REF!</definedName>
    <definedName name="sas" localSheetId="26">#REF!</definedName>
    <definedName name="sas" localSheetId="10">#REF!</definedName>
    <definedName name="sas" localSheetId="12">#REF!</definedName>
    <definedName name="sas" localSheetId="27">#REF!</definedName>
    <definedName name="sas" localSheetId="25">#REF!</definedName>
    <definedName name="sas" localSheetId="15">#REF!</definedName>
    <definedName name="sas" localSheetId="22">#REF!</definedName>
    <definedName name="sas">#REF!</definedName>
    <definedName name="sasi" localSheetId="8">#REF!</definedName>
    <definedName name="sasi" localSheetId="30">#REF!</definedName>
    <definedName name="sasi" localSheetId="28">#REF!</definedName>
    <definedName name="sasi" localSheetId="26">#REF!</definedName>
    <definedName name="sasi" localSheetId="10">#REF!</definedName>
    <definedName name="sasi" localSheetId="12">#REF!</definedName>
    <definedName name="sasi" localSheetId="27">#REF!</definedName>
    <definedName name="sasi" localSheetId="25">#REF!</definedName>
    <definedName name="sasi" localSheetId="15">#REF!</definedName>
    <definedName name="sasi">#REF!</definedName>
    <definedName name="sast" localSheetId="8">#REF!</definedName>
    <definedName name="sast" localSheetId="30">#REF!</definedName>
    <definedName name="sast" localSheetId="28">#REF!</definedName>
    <definedName name="sast" localSheetId="26">#REF!</definedName>
    <definedName name="sast" localSheetId="10">#REF!</definedName>
    <definedName name="sast" localSheetId="27">#REF!</definedName>
    <definedName name="sast" localSheetId="25">#REF!</definedName>
    <definedName name="sast" localSheetId="15">#REF!</definedName>
    <definedName name="sast" localSheetId="22">#REF!</definedName>
    <definedName name="sast">#REF!</definedName>
    <definedName name="Sched_Pay" localSheetId="8">#REF!</definedName>
    <definedName name="Sched_Pay" localSheetId="30">#REF!</definedName>
    <definedName name="Sched_Pay" localSheetId="28">#REF!</definedName>
    <definedName name="Sched_Pay" localSheetId="10">#REF!</definedName>
    <definedName name="Sched_Pay" localSheetId="15">#REF!</definedName>
    <definedName name="Sched_Pay">#REF!</definedName>
    <definedName name="Scheduled_Extra_Payments" localSheetId="8">#REF!</definedName>
    <definedName name="Scheduled_Extra_Payments" localSheetId="30">#REF!</definedName>
    <definedName name="Scheduled_Extra_Payments" localSheetId="28">#REF!</definedName>
    <definedName name="Scheduled_Extra_Payments" localSheetId="10">#REF!</definedName>
    <definedName name="Scheduled_Extra_Payments" localSheetId="15">#REF!</definedName>
    <definedName name="Scheduled_Extra_Payments">#REF!</definedName>
    <definedName name="Scheduled_Interest_Rate" localSheetId="8">#REF!</definedName>
    <definedName name="Scheduled_Interest_Rate" localSheetId="30">#REF!</definedName>
    <definedName name="Scheduled_Interest_Rate" localSheetId="28">#REF!</definedName>
    <definedName name="Scheduled_Interest_Rate" localSheetId="10">#REF!</definedName>
    <definedName name="Scheduled_Interest_Rate" localSheetId="15">#REF!</definedName>
    <definedName name="Scheduled_Interest_Rate">#REF!</definedName>
    <definedName name="Scheduled_Monthly_Payment" localSheetId="8">#REF!</definedName>
    <definedName name="Scheduled_Monthly_Payment" localSheetId="30">#REF!</definedName>
    <definedName name="Scheduled_Monthly_Payment" localSheetId="28">#REF!</definedName>
    <definedName name="Scheduled_Monthly_Payment" localSheetId="10">#REF!</definedName>
    <definedName name="Scheduled_Monthly_Payment" localSheetId="15">#REF!</definedName>
    <definedName name="Scheduled_Monthly_Payment">#REF!</definedName>
    <definedName name="sdudh" localSheetId="8">#REF!</definedName>
    <definedName name="sdudh" localSheetId="30">#REF!</definedName>
    <definedName name="sdudh" localSheetId="28">#REF!</definedName>
    <definedName name="sdudh" localSheetId="26">#REF!</definedName>
    <definedName name="sdudh" localSheetId="10">#REF!</definedName>
    <definedName name="sdudh" localSheetId="27">#REF!</definedName>
    <definedName name="sdudh" localSheetId="25">#REF!</definedName>
    <definedName name="sdudh" localSheetId="15">#REF!</definedName>
    <definedName name="sdudh">#REF!</definedName>
    <definedName name="sheet" localSheetId="8">#REF!</definedName>
    <definedName name="sheet" localSheetId="30">#REF!</definedName>
    <definedName name="sheet" localSheetId="28">#REF!</definedName>
    <definedName name="sheet" localSheetId="10">#REF!</definedName>
    <definedName name="sheet" localSheetId="15">#REF!</definedName>
    <definedName name="sheet">#REF!</definedName>
    <definedName name="si_hhgfttg" localSheetId="8">#REF!</definedName>
    <definedName name="si_hhgfttg" localSheetId="30">#REF!</definedName>
    <definedName name="si_hhgfttg" localSheetId="28">#REF!</definedName>
    <definedName name="si_hhgfttg" localSheetId="26">#REF!</definedName>
    <definedName name="si_hhgfttg" localSheetId="10">#REF!</definedName>
    <definedName name="si_hhgfttg" localSheetId="27">#REF!</definedName>
    <definedName name="si_hhgfttg" localSheetId="25">#REF!</definedName>
    <definedName name="si_hhgfttg" localSheetId="15">#REF!</definedName>
    <definedName name="si_hhgfttg" localSheetId="22">#REF!</definedName>
    <definedName name="si_hhgfttg">#REF!</definedName>
    <definedName name="si8_ghmjk" localSheetId="8">#REF!</definedName>
    <definedName name="si8_ghmjk" localSheetId="30">#REF!</definedName>
    <definedName name="si8_ghmjk" localSheetId="28">#REF!</definedName>
    <definedName name="si8_ghmjk" localSheetId="26">#REF!</definedName>
    <definedName name="si8_ghmjk" localSheetId="10">#REF!</definedName>
    <definedName name="si8_ghmjk" localSheetId="27">#REF!</definedName>
    <definedName name="si8_ghmjk" localSheetId="25">#REF!</definedName>
    <definedName name="si8_ghmjk" localSheetId="15">#REF!</definedName>
    <definedName name="si8_ghmjk" localSheetId="22">#REF!</definedName>
    <definedName name="si8_ghmjk">#REF!</definedName>
    <definedName name="sk" localSheetId="8">#REF!</definedName>
    <definedName name="sk" localSheetId="30">#REF!</definedName>
    <definedName name="sk" localSheetId="28">#REF!</definedName>
    <definedName name="sk" localSheetId="26">#REF!</definedName>
    <definedName name="sk" localSheetId="10">#REF!</definedName>
    <definedName name="sk" localSheetId="27">#REF!</definedName>
    <definedName name="sk" localSheetId="25">#REF!</definedName>
    <definedName name="sk" localSheetId="15">#REF!</definedName>
    <definedName name="sk" localSheetId="22">#REF!</definedName>
    <definedName name="sk">#REF!</definedName>
    <definedName name="sll" localSheetId="27">#REF!</definedName>
    <definedName name="sll">#REF!</definedName>
    <definedName name="sn" localSheetId="8">#REF!</definedName>
    <definedName name="sn" localSheetId="30">#REF!</definedName>
    <definedName name="sn" localSheetId="28">#REF!</definedName>
    <definedName name="sn" localSheetId="26">#REF!</definedName>
    <definedName name="sn" localSheetId="10">#REF!</definedName>
    <definedName name="sn" localSheetId="27">#REF!</definedName>
    <definedName name="sn" localSheetId="25">#REF!</definedName>
    <definedName name="sn" localSheetId="15">#REF!</definedName>
    <definedName name="sn">#REF!</definedName>
    <definedName name="sos" localSheetId="8">#REF!</definedName>
    <definedName name="sos" localSheetId="30">#REF!</definedName>
    <definedName name="sos" localSheetId="28">#REF!</definedName>
    <definedName name="sos" localSheetId="26">#REF!</definedName>
    <definedName name="sos" localSheetId="10">#REF!</definedName>
    <definedName name="sos" localSheetId="27">#REF!</definedName>
    <definedName name="sos" localSheetId="25">#REF!</definedName>
    <definedName name="sos" localSheetId="15">#REF!</definedName>
    <definedName name="sos">#REF!</definedName>
    <definedName name="ss" localSheetId="8">#REF!</definedName>
    <definedName name="ss" localSheetId="18">#REF!</definedName>
    <definedName name="ss" localSheetId="30">#REF!</definedName>
    <definedName name="ss" localSheetId="28">#REF!</definedName>
    <definedName name="ss" localSheetId="26">#REF!</definedName>
    <definedName name="ss" localSheetId="10">#REF!</definedName>
    <definedName name="ss" localSheetId="23">#REF!</definedName>
    <definedName name="ss" localSheetId="27">#REF!</definedName>
    <definedName name="ss" localSheetId="25">#REF!</definedName>
    <definedName name="ss" localSheetId="15">#REF!</definedName>
    <definedName name="ss" localSheetId="21">#REF!</definedName>
    <definedName name="ss" localSheetId="19">#REF!</definedName>
    <definedName name="ss" localSheetId="20">#REF!</definedName>
    <definedName name="ss" localSheetId="29">#REF!</definedName>
    <definedName name="ss" localSheetId="22">#REF!</definedName>
    <definedName name="ss" localSheetId="24">#REF!</definedName>
    <definedName name="ss">#REF!</definedName>
    <definedName name="ssdde" localSheetId="8">#REF!</definedName>
    <definedName name="ssdde" localSheetId="18">#REF!</definedName>
    <definedName name="ssdde" localSheetId="30">#REF!</definedName>
    <definedName name="ssdde" localSheetId="28">#REF!</definedName>
    <definedName name="ssdde" localSheetId="26">#REF!</definedName>
    <definedName name="ssdde" localSheetId="10">#REF!</definedName>
    <definedName name="ssdde" localSheetId="23">#REF!</definedName>
    <definedName name="ssdde" localSheetId="27">#REF!</definedName>
    <definedName name="ssdde" localSheetId="25">#REF!</definedName>
    <definedName name="ssdde" localSheetId="15">#REF!</definedName>
    <definedName name="ssdde" localSheetId="21">#REF!</definedName>
    <definedName name="ssdde" localSheetId="19">#REF!</definedName>
    <definedName name="ssdde" localSheetId="20">#REF!</definedName>
    <definedName name="ssdde" localSheetId="29">#REF!</definedName>
    <definedName name="ssdde" localSheetId="22">#REF!</definedName>
    <definedName name="ssdde" localSheetId="24">#REF!</definedName>
    <definedName name="ssdde">#REF!</definedName>
    <definedName name="sss" localSheetId="8">#REF!</definedName>
    <definedName name="sss" localSheetId="30">#REF!</definedName>
    <definedName name="sss" localSheetId="28">#REF!</definedName>
    <definedName name="sss" localSheetId="10">#REF!</definedName>
    <definedName name="sss" localSheetId="15">#REF!</definedName>
    <definedName name="sss">#REF!</definedName>
    <definedName name="Steel" localSheetId="8">[1]Spec!$B$10</definedName>
    <definedName name="Steel" localSheetId="30">[20]Spec!$B$10</definedName>
    <definedName name="Steel" localSheetId="26">[21]Spec!$B$10</definedName>
    <definedName name="Steel" localSheetId="27">[22]Spec!$B$10</definedName>
    <definedName name="Steel" localSheetId="25">[21]Spec!$B$10</definedName>
    <definedName name="Steel" localSheetId="15">[1]Spec!$B$10</definedName>
    <definedName name="Steel" localSheetId="22">[21]Spec!$B$10</definedName>
    <definedName name="Steel">[2]Spec!$B$10</definedName>
    <definedName name="sump" localSheetId="8">#REF!</definedName>
    <definedName name="sump" localSheetId="30">#REF!</definedName>
    <definedName name="sump" localSheetId="28">#REF!</definedName>
    <definedName name="sump" localSheetId="26">#REF!</definedName>
    <definedName name="sump" localSheetId="10">#REF!</definedName>
    <definedName name="sump" localSheetId="12">#REF!</definedName>
    <definedName name="sump" localSheetId="25">#REF!</definedName>
    <definedName name="sump" localSheetId="15">#REF!</definedName>
    <definedName name="sump">#REF!</definedName>
    <definedName name="Tiles" localSheetId="8">[1]Spec!$B$19</definedName>
    <definedName name="Tiles" localSheetId="30">[20]Spec!$B$19</definedName>
    <definedName name="Tiles" localSheetId="26">[21]Spec!$B$19</definedName>
    <definedName name="Tiles" localSheetId="27">[22]Spec!$B$19</definedName>
    <definedName name="Tiles" localSheetId="25">[21]Spec!$B$19</definedName>
    <definedName name="Tiles" localSheetId="15">[1]Spec!$B$19</definedName>
    <definedName name="Tiles" localSheetId="22">[21]Spec!$B$19</definedName>
    <definedName name="Tiles">[2]Spec!$B$19</definedName>
    <definedName name="tj" localSheetId="8">#REF!</definedName>
    <definedName name="tj" localSheetId="30">#REF!</definedName>
    <definedName name="tj" localSheetId="28">#REF!</definedName>
    <definedName name="tj" localSheetId="26">#REF!</definedName>
    <definedName name="tj" localSheetId="10">#REF!</definedName>
    <definedName name="tj" localSheetId="12">#REF!</definedName>
    <definedName name="tj" localSheetId="27">#REF!</definedName>
    <definedName name="tj" localSheetId="25">#REF!</definedName>
    <definedName name="tj" localSheetId="15">#REF!</definedName>
    <definedName name="tj" localSheetId="22">#REF!</definedName>
    <definedName name="tj">#REF!</definedName>
    <definedName name="Total_Interest" localSheetId="8">#REF!</definedName>
    <definedName name="Total_Interest" localSheetId="30">#REF!</definedName>
    <definedName name="Total_Interest" localSheetId="28">#REF!</definedName>
    <definedName name="Total_Interest" localSheetId="10">#REF!</definedName>
    <definedName name="Total_Interest" localSheetId="12">#REF!</definedName>
    <definedName name="Total_Interest" localSheetId="15">#REF!</definedName>
    <definedName name="Total_Interest">#REF!</definedName>
    <definedName name="Total_Pay" localSheetId="8">#REF!</definedName>
    <definedName name="Total_Pay" localSheetId="30">#REF!</definedName>
    <definedName name="Total_Pay" localSheetId="28">#REF!</definedName>
    <definedName name="Total_Pay" localSheetId="10">#REF!</definedName>
    <definedName name="Total_Pay" localSheetId="12">#REF!</definedName>
    <definedName name="Total_Pay" localSheetId="15">#REF!</definedName>
    <definedName name="Total_Pay">#REF!</definedName>
    <definedName name="Total_Payment" localSheetId="8">Scheduled_Payment+Extra_Payment</definedName>
    <definedName name="Total_Payment" localSheetId="30">Scheduled_Payment+Extra_Payment</definedName>
    <definedName name="Total_Payment" localSheetId="28">Scheduled_Payment+Extra_Payment</definedName>
    <definedName name="Total_Payment" localSheetId="26">Scheduled_Payment+Extra_Payment</definedName>
    <definedName name="Total_Payment" localSheetId="10">Scheduled_Payment+Extra_Payment</definedName>
    <definedName name="Total_Payment" localSheetId="11">Scheduled_Payment+Extra_Payment</definedName>
    <definedName name="Total_Payment" localSheetId="12">Scheduled_Payment+Extra_Payment</definedName>
    <definedName name="Total_Payment" localSheetId="25">Scheduled_Payment+Extra_Payment</definedName>
    <definedName name="Total_Payment" localSheetId="15">Scheduled_Payment+Extra_Payment</definedName>
    <definedName name="Total_Payment">Scheduled_Payment+Extra_Payment</definedName>
    <definedName name="v_app" localSheetId="8">#REF!</definedName>
    <definedName name="v_app" localSheetId="30">#REF!</definedName>
    <definedName name="v_app" localSheetId="28">#REF!</definedName>
    <definedName name="v_app" localSheetId="26">#REF!</definedName>
    <definedName name="v_app" localSheetId="10">#REF!</definedName>
    <definedName name="v_app" localSheetId="11">#REF!</definedName>
    <definedName name="v_app" localSheetId="12">#REF!</definedName>
    <definedName name="v_app" localSheetId="25">#REF!</definedName>
    <definedName name="v_app" localSheetId="15">#REF!</definedName>
    <definedName name="v_app">#REF!</definedName>
    <definedName name="v_est" localSheetId="8">#REF!</definedName>
    <definedName name="v_est" localSheetId="30">#REF!</definedName>
    <definedName name="v_est" localSheetId="28">#REF!</definedName>
    <definedName name="v_est" localSheetId="10">#REF!</definedName>
    <definedName name="v_est" localSheetId="11">#REF!</definedName>
    <definedName name="v_est" localSheetId="15">#REF!</definedName>
    <definedName name="v_est">#REF!</definedName>
    <definedName name="v_paid" localSheetId="8">#REF!</definedName>
    <definedName name="v_paid" localSheetId="30">#REF!</definedName>
    <definedName name="v_paid" localSheetId="28">#REF!</definedName>
    <definedName name="v_paid" localSheetId="10">#REF!</definedName>
    <definedName name="v_paid" localSheetId="11">#REF!</definedName>
    <definedName name="v_paid" localSheetId="15">#REF!</definedName>
    <definedName name="v_paid">#REF!</definedName>
    <definedName name="v_quo" localSheetId="8">#REF!</definedName>
    <definedName name="v_quo" localSheetId="30">#REF!</definedName>
    <definedName name="v_quo" localSheetId="28">#REF!</definedName>
    <definedName name="v_quo" localSheetId="10">#REF!</definedName>
    <definedName name="v_quo" localSheetId="15">#REF!</definedName>
    <definedName name="v_quo">#REF!</definedName>
    <definedName name="v_rec" localSheetId="8">#REF!</definedName>
    <definedName name="v_rec" localSheetId="30">#REF!</definedName>
    <definedName name="v_rec" localSheetId="28">#REF!</definedName>
    <definedName name="v_rec" localSheetId="10">#REF!</definedName>
    <definedName name="v_rec" localSheetId="15">#REF!</definedName>
    <definedName name="v_rec">#REF!</definedName>
    <definedName name="v_tot" localSheetId="8">#REF!</definedName>
    <definedName name="v_tot" localSheetId="30">#REF!</definedName>
    <definedName name="v_tot" localSheetId="28">#REF!</definedName>
    <definedName name="v_tot" localSheetId="10">#REF!</definedName>
    <definedName name="v_tot" localSheetId="15">#REF!</definedName>
    <definedName name="v_tot">#REF!</definedName>
    <definedName name="VAC" localSheetId="8">#REF!</definedName>
    <definedName name="VAC" localSheetId="30">#REF!</definedName>
    <definedName name="VAC" localSheetId="28">#REF!</definedName>
    <definedName name="VAC" localSheetId="26">#REF!</definedName>
    <definedName name="VAC" localSheetId="10">#REF!</definedName>
    <definedName name="VAC" localSheetId="27">#REF!</definedName>
    <definedName name="VAC" localSheetId="25">#REF!</definedName>
    <definedName name="VAC" localSheetId="15">#REF!</definedName>
    <definedName name="VAC" localSheetId="22">#REF!</definedName>
    <definedName name="VAC">#REF!</definedName>
    <definedName name="Values_Entered" localSheetId="8">IF(Abstract!Loan_Amount*Abstract!Interest_Rate*Abstract!Loan_Years*Abstract!Loan_Start&gt;0,1,0)</definedName>
    <definedName name="Values_Entered" localSheetId="30">IF(CCTV!Loan_Amount*CCTV!Interest_Rate*CCTV!Loan_Years*CCTV!Loan_Start&gt;0,1,0)</definedName>
    <definedName name="Values_Entered" localSheetId="28">IF(compound!Loan_Amount*compound!Interest_Rate*compound!Loan_Years*compound!Loan_Start&gt;0,1,0)</definedName>
    <definedName name="Values_Entered" localSheetId="26">IF(Loan_Amount*Interest_Rate*Loan_Years*Loan_Start&gt;0,1,0)</definedName>
    <definedName name="Values_Entered" localSheetId="10">IF('DEV-2'!Loan_Amount*'DEV-2'!Interest_Rate*'DEV-2'!Loan_Years*'DEV-2'!Loan_Start&gt;0,1,0)</definedName>
    <definedName name="Values_Entered" localSheetId="11">#N/A</definedName>
    <definedName name="Values_Entered" localSheetId="12">IF(Loan_Amount*Interest_Rate*Loan_Years*Loan_Start&gt;0,1,0)</definedName>
    <definedName name="Values_Entered" localSheetId="25">IF(Loan_Amount*Interest_Rate*Loan_Years*Loan_Start&gt;0,1,0)</definedName>
    <definedName name="Values_Entered" localSheetId="15">IF(O.data!Loan_Amount*O.data!Interest_Rate*O.data!Loan_Years*O.data!Loan_Start&gt;0,1,0)</definedName>
    <definedName name="Values_Entered">IF(Loan_Amount*Interest_Rate*Loan_Years*Loan_Start&gt;0,1,0)</definedName>
    <definedName name="vignesh" localSheetId="8">#REF!</definedName>
    <definedName name="vignesh" localSheetId="30">#REF!</definedName>
    <definedName name="vignesh" localSheetId="28">#REF!</definedName>
    <definedName name="vignesh" localSheetId="26">#REF!</definedName>
    <definedName name="vignesh" localSheetId="10">#REF!</definedName>
    <definedName name="vignesh" localSheetId="11">#REF!</definedName>
    <definedName name="vignesh" localSheetId="12">#REF!</definedName>
    <definedName name="vignesh" localSheetId="25">#REF!</definedName>
    <definedName name="vignesh" localSheetId="15">#REF!</definedName>
    <definedName name="vignesh">#REF!</definedName>
    <definedName name="vinoth" localSheetId="8">#REF!</definedName>
    <definedName name="vinoth" localSheetId="30">#REF!</definedName>
    <definedName name="vinoth" localSheetId="28">#REF!</definedName>
    <definedName name="vinoth" localSheetId="26">#REF!</definedName>
    <definedName name="vinoth" localSheetId="10">#REF!</definedName>
    <definedName name="vinoth" localSheetId="12">#REF!</definedName>
    <definedName name="vinoth" localSheetId="27">#REF!</definedName>
    <definedName name="vinoth" localSheetId="25">#REF!</definedName>
    <definedName name="vinoth" localSheetId="15">#REF!</definedName>
    <definedName name="vinoth">#REF!</definedName>
    <definedName name="w" localSheetId="8">#REF!</definedName>
    <definedName name="w" localSheetId="30">#REF!</definedName>
    <definedName name="w" localSheetId="28">#REF!</definedName>
    <definedName name="w" localSheetId="26">#REF!</definedName>
    <definedName name="w" localSheetId="10">#REF!</definedName>
    <definedName name="w" localSheetId="27">#REF!</definedName>
    <definedName name="w" localSheetId="25">#REF!</definedName>
    <definedName name="w" localSheetId="15">#REF!</definedName>
    <definedName name="w">#REF!</definedName>
    <definedName name="Weathering" localSheetId="8">[1]Spec!$B$18</definedName>
    <definedName name="Weathering" localSheetId="30">[20]Spec!$B$18</definedName>
    <definedName name="Weathering" localSheetId="26">[21]Spec!$B$18</definedName>
    <definedName name="Weathering" localSheetId="27">[22]Spec!$B$18</definedName>
    <definedName name="Weathering" localSheetId="25">[21]Spec!$B$18</definedName>
    <definedName name="Weathering" localSheetId="15">[1]Spec!$B$18</definedName>
    <definedName name="Weathering" localSheetId="22">[21]Spec!$B$18</definedName>
    <definedName name="Weathering">[2]Spec!$B$18</definedName>
    <definedName name="wfg" localSheetId="8">#REF!</definedName>
    <definedName name="wfg" localSheetId="30">#REF!</definedName>
    <definedName name="wfg" localSheetId="28">#REF!</definedName>
    <definedName name="wfg" localSheetId="26">#REF!</definedName>
    <definedName name="wfg" localSheetId="10">#REF!</definedName>
    <definedName name="wfg" localSheetId="12">#REF!</definedName>
    <definedName name="wfg" localSheetId="27">#REF!</definedName>
    <definedName name="wfg" localSheetId="25">#REF!</definedName>
    <definedName name="wfg" localSheetId="15">#REF!</definedName>
    <definedName name="wfg">#REF!</definedName>
    <definedName name="wswss" localSheetId="8">#REF!</definedName>
    <definedName name="wswss" localSheetId="30">#REF!</definedName>
    <definedName name="wswss" localSheetId="28">#REF!</definedName>
    <definedName name="wswss" localSheetId="26">#REF!</definedName>
    <definedName name="wswss" localSheetId="10">#REF!</definedName>
    <definedName name="wswss" localSheetId="12">#REF!</definedName>
    <definedName name="wswss" localSheetId="27">#REF!</definedName>
    <definedName name="wswss" localSheetId="25">#REF!</definedName>
    <definedName name="wswss" localSheetId="15">#REF!</definedName>
    <definedName name="wswss">#REF!</definedName>
    <definedName name="WW" localSheetId="8">[1]Spec!$B$22</definedName>
    <definedName name="WW" localSheetId="30">[20]Spec!$B$22</definedName>
    <definedName name="WW" localSheetId="26">[21]Spec!$B$22</definedName>
    <definedName name="WW" localSheetId="27">[22]Spec!$B$22</definedName>
    <definedName name="WW" localSheetId="25">[21]Spec!$B$22</definedName>
    <definedName name="WW" localSheetId="15">[1]Spec!$B$22</definedName>
    <definedName name="WW" localSheetId="22">[21]Spec!$B$22</definedName>
    <definedName name="WW">[2]Spec!$B$22</definedName>
    <definedName name="www" localSheetId="8">#REF!</definedName>
    <definedName name="www" localSheetId="30">#REF!</definedName>
    <definedName name="www" localSheetId="28">#REF!</definedName>
    <definedName name="www" localSheetId="26">#REF!</definedName>
    <definedName name="www" localSheetId="10">#REF!</definedName>
    <definedName name="www" localSheetId="12">#REF!</definedName>
    <definedName name="www" localSheetId="27">#REF!</definedName>
    <definedName name="www" localSheetId="25">#REF!</definedName>
    <definedName name="www" localSheetId="15">#REF!</definedName>
    <definedName name="www" localSheetId="22">#REF!</definedName>
    <definedName name="www">#REF!</definedName>
    <definedName name="x" localSheetId="8">#REF!</definedName>
    <definedName name="x" localSheetId="30">#REF!</definedName>
    <definedName name="x" localSheetId="28">#REF!</definedName>
    <definedName name="x" localSheetId="26">#REF!</definedName>
    <definedName name="x" localSheetId="10">#REF!</definedName>
    <definedName name="x" localSheetId="12">#REF!</definedName>
    <definedName name="x" localSheetId="27">#REF!</definedName>
    <definedName name="x" localSheetId="25">#REF!</definedName>
    <definedName name="x" localSheetId="15">#REF!</definedName>
    <definedName name="x">#REF!</definedName>
    <definedName name="xgjhvfxfhkl" localSheetId="8">#REF!</definedName>
    <definedName name="xgjhvfxfhkl" localSheetId="30">#REF!</definedName>
    <definedName name="xgjhvfxfhkl" localSheetId="28">#REF!</definedName>
    <definedName name="xgjhvfxfhkl" localSheetId="10">#REF!</definedName>
    <definedName name="xgjhvfxfhkl" localSheetId="11">#REF!</definedName>
    <definedName name="xgjhvfxfhkl" localSheetId="15">#REF!</definedName>
    <definedName name="xgjhvfxfhkl">#REF!</definedName>
    <definedName name="z" localSheetId="8">#REF!</definedName>
    <definedName name="z" localSheetId="30">#REF!</definedName>
    <definedName name="z" localSheetId="28">#REF!</definedName>
    <definedName name="z" localSheetId="26">#REF!</definedName>
    <definedName name="z" localSheetId="10">#REF!</definedName>
    <definedName name="z" localSheetId="27">#REF!</definedName>
    <definedName name="z" localSheetId="25">#REF!</definedName>
    <definedName name="z" localSheetId="15">#REF!</definedName>
    <definedName name="z">#REF!</definedName>
  </definedNames>
  <calcPr calcId="144525" fullPrecision="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70" i="92" l="1"/>
  <c r="K70" i="92" s="1"/>
  <c r="H68" i="92"/>
  <c r="K68" i="92" s="1"/>
  <c r="H66" i="92"/>
  <c r="K66" i="92" s="1"/>
  <c r="H64" i="92"/>
  <c r="K64" i="92" s="1"/>
  <c r="H62" i="92"/>
  <c r="K62" i="92" s="1"/>
  <c r="H60" i="92"/>
  <c r="K60" i="92" s="1"/>
  <c r="H58" i="92"/>
  <c r="K58" i="92" s="1"/>
  <c r="H56" i="92"/>
  <c r="K56" i="92" s="1"/>
  <c r="H54" i="92"/>
  <c r="K54" i="92" s="1"/>
  <c r="H52" i="92"/>
  <c r="K52" i="92" s="1"/>
  <c r="H50" i="92"/>
  <c r="K50" i="92" s="1"/>
  <c r="H34" i="92"/>
  <c r="K34" i="92" s="1"/>
  <c r="H8" i="92"/>
  <c r="K8" i="92" s="1"/>
  <c r="H81" i="91"/>
  <c r="H79" i="91"/>
  <c r="H75" i="91"/>
  <c r="H74" i="91"/>
  <c r="H73" i="91"/>
  <c r="H72" i="91"/>
  <c r="H76" i="91" s="1"/>
  <c r="H69" i="91"/>
  <c r="J68" i="91"/>
  <c r="H68" i="91"/>
  <c r="H70" i="91" s="1"/>
  <c r="H60" i="91"/>
  <c r="H57" i="91"/>
  <c r="H56" i="91"/>
  <c r="H55" i="91"/>
  <c r="H54" i="91"/>
  <c r="H58" i="91" s="1"/>
  <c r="H51" i="91"/>
  <c r="H50" i="91"/>
  <c r="H49" i="91"/>
  <c r="H48" i="91"/>
  <c r="H47" i="91"/>
  <c r="H46" i="91"/>
  <c r="H52" i="91" s="1"/>
  <c r="H44" i="91"/>
  <c r="H42" i="91"/>
  <c r="E63" i="91" s="1"/>
  <c r="H63" i="91" s="1"/>
  <c r="H38" i="91"/>
  <c r="H37" i="91"/>
  <c r="H36" i="91"/>
  <c r="H35" i="91"/>
  <c r="H34" i="91"/>
  <c r="H33" i="91"/>
  <c r="H39" i="91" s="1"/>
  <c r="H32" i="91"/>
  <c r="H29" i="91"/>
  <c r="H28" i="91"/>
  <c r="H30" i="91" s="1"/>
  <c r="E62" i="91" s="1"/>
  <c r="H62" i="91" s="1"/>
  <c r="H27" i="91"/>
  <c r="H25" i="91"/>
  <c r="H23" i="91"/>
  <c r="H21" i="91"/>
  <c r="H19" i="91"/>
  <c r="H17" i="91"/>
  <c r="H14" i="91"/>
  <c r="H13" i="91"/>
  <c r="H15" i="91" s="1"/>
  <c r="H10" i="91"/>
  <c r="H9" i="91"/>
  <c r="H11" i="91" s="1"/>
  <c r="H8" i="91"/>
  <c r="H168" i="90"/>
  <c r="A167" i="90"/>
  <c r="G166" i="90"/>
  <c r="H164" i="90"/>
  <c r="H163" i="90"/>
  <c r="H161" i="90"/>
  <c r="H160" i="90"/>
  <c r="D144" i="90"/>
  <c r="H144" i="90" s="1"/>
  <c r="H143" i="90"/>
  <c r="D142" i="90"/>
  <c r="D140" i="90"/>
  <c r="D138" i="90"/>
  <c r="F137" i="90"/>
  <c r="H135" i="90"/>
  <c r="C135" i="90"/>
  <c r="F133" i="90"/>
  <c r="F131" i="90"/>
  <c r="F129" i="90"/>
  <c r="H125" i="90"/>
  <c r="H124" i="90"/>
  <c r="H115" i="90"/>
  <c r="H106" i="90"/>
  <c r="H103" i="90"/>
  <c r="E103" i="90"/>
  <c r="F151" i="90" s="1"/>
  <c r="H102" i="90"/>
  <c r="E102" i="90"/>
  <c r="F148" i="90" s="1"/>
  <c r="H101" i="90"/>
  <c r="E101" i="90"/>
  <c r="F145" i="90" s="1"/>
  <c r="H100" i="90"/>
  <c r="H96" i="90"/>
  <c r="H86" i="90"/>
  <c r="H85" i="90"/>
  <c r="H78" i="90"/>
  <c r="E78" i="90"/>
  <c r="H77" i="90"/>
  <c r="G77" i="90"/>
  <c r="H75" i="90"/>
  <c r="H74" i="90"/>
  <c r="H73" i="90"/>
  <c r="H63" i="90"/>
  <c r="H62" i="90"/>
  <c r="H54" i="90"/>
  <c r="H53" i="90"/>
  <c r="H46" i="90"/>
  <c r="H45" i="90"/>
  <c r="H40" i="90"/>
  <c r="H39" i="90"/>
  <c r="H38" i="90"/>
  <c r="H37" i="90"/>
  <c r="D36" i="90"/>
  <c r="D95" i="90" s="1"/>
  <c r="D35" i="90"/>
  <c r="D94" i="90" s="1"/>
  <c r="D34" i="90"/>
  <c r="D93" i="90" s="1"/>
  <c r="D33" i="90"/>
  <c r="D92" i="90" s="1"/>
  <c r="D32" i="90"/>
  <c r="D91" i="90" s="1"/>
  <c r="D31" i="90"/>
  <c r="D90" i="90" s="1"/>
  <c r="H28" i="90"/>
  <c r="H27" i="90"/>
  <c r="H26" i="90"/>
  <c r="H25" i="90"/>
  <c r="H24" i="90"/>
  <c r="D24" i="90"/>
  <c r="H23" i="90"/>
  <c r="D23" i="90"/>
  <c r="H22" i="90"/>
  <c r="D22" i="90"/>
  <c r="H21" i="90"/>
  <c r="D21" i="90"/>
  <c r="H20" i="90"/>
  <c r="D20" i="90"/>
  <c r="H19" i="90"/>
  <c r="H29" i="90" s="1"/>
  <c r="D19" i="90"/>
  <c r="K16" i="90"/>
  <c r="H16" i="90"/>
  <c r="H15" i="90"/>
  <c r="H14" i="90"/>
  <c r="H13" i="90"/>
  <c r="H12" i="90"/>
  <c r="D12" i="90"/>
  <c r="H11" i="90"/>
  <c r="D11" i="90"/>
  <c r="H10" i="90"/>
  <c r="D10" i="90"/>
  <c r="H9" i="90"/>
  <c r="D9" i="90"/>
  <c r="H8" i="90"/>
  <c r="D8" i="90"/>
  <c r="H7" i="90"/>
  <c r="H17" i="90" s="1"/>
  <c r="D7" i="90"/>
  <c r="H73" i="89"/>
  <c r="H74" i="89" s="1"/>
  <c r="H71" i="89"/>
  <c r="H69" i="89"/>
  <c r="H68" i="89"/>
  <c r="H65" i="89"/>
  <c r="H64" i="89"/>
  <c r="H61" i="89"/>
  <c r="H60" i="89"/>
  <c r="H58" i="89"/>
  <c r="H57" i="89"/>
  <c r="H55" i="89"/>
  <c r="H54" i="89"/>
  <c r="H52" i="89"/>
  <c r="H50" i="89"/>
  <c r="H48" i="89"/>
  <c r="H47" i="89"/>
  <c r="E44" i="89"/>
  <c r="H44" i="89" s="1"/>
  <c r="H45" i="89" s="1"/>
  <c r="H40" i="89"/>
  <c r="H39" i="89"/>
  <c r="H41" i="89" s="1"/>
  <c r="H42" i="89" s="1"/>
  <c r="H35" i="89"/>
  <c r="H36" i="89" s="1"/>
  <c r="H31" i="89"/>
  <c r="H29" i="89"/>
  <c r="H28" i="89"/>
  <c r="H27" i="89"/>
  <c r="H32" i="89" s="1"/>
  <c r="H33" i="89" s="1"/>
  <c r="H25" i="89"/>
  <c r="E21" i="89"/>
  <c r="H21" i="89" s="1"/>
  <c r="H22" i="89" s="1"/>
  <c r="H17" i="89"/>
  <c r="H16" i="89"/>
  <c r="H18" i="89" s="1"/>
  <c r="H19" i="89" s="1"/>
  <c r="E16" i="89"/>
  <c r="H12" i="89"/>
  <c r="E11" i="89"/>
  <c r="H11" i="89" s="1"/>
  <c r="H13" i="89" s="1"/>
  <c r="H14" i="89" s="1"/>
  <c r="H8" i="89"/>
  <c r="H9" i="89" s="1"/>
  <c r="E8" i="89"/>
  <c r="H42" i="88"/>
  <c r="H41" i="88"/>
  <c r="H40" i="88"/>
  <c r="H39" i="88"/>
  <c r="H38" i="88"/>
  <c r="H37" i="88"/>
  <c r="H36" i="88"/>
  <c r="H43" i="88" s="1"/>
  <c r="H44" i="88" s="1"/>
  <c r="E46" i="88" s="1"/>
  <c r="H46" i="88" s="1"/>
  <c r="H32" i="88"/>
  <c r="H31" i="88"/>
  <c r="H33" i="88" s="1"/>
  <c r="K28" i="88"/>
  <c r="J28" i="88"/>
  <c r="H28" i="88"/>
  <c r="E28" i="88"/>
  <c r="H27" i="88"/>
  <c r="H26" i="88"/>
  <c r="H25" i="88"/>
  <c r="H24" i="88"/>
  <c r="H29" i="88" s="1"/>
  <c r="H20" i="88"/>
  <c r="J18" i="88"/>
  <c r="H18" i="88"/>
  <c r="F18" i="88"/>
  <c r="H16" i="88"/>
  <c r="H14" i="88"/>
  <c r="H12" i="88"/>
  <c r="H10" i="88"/>
  <c r="H8" i="88"/>
  <c r="H62" i="87"/>
  <c r="H61" i="87"/>
  <c r="H60" i="87"/>
  <c r="H59" i="87"/>
  <c r="H56" i="87"/>
  <c r="H55" i="87"/>
  <c r="H53" i="87"/>
  <c r="H50" i="87"/>
  <c r="H49" i="87"/>
  <c r="H51" i="87" s="1"/>
  <c r="E45" i="87"/>
  <c r="H45" i="87" s="1"/>
  <c r="H46" i="87" s="1"/>
  <c r="H42" i="87"/>
  <c r="H43" i="87" s="1"/>
  <c r="H39" i="87"/>
  <c r="H40" i="87" s="1"/>
  <c r="H38" i="87"/>
  <c r="H37" i="87"/>
  <c r="H32" i="87"/>
  <c r="H30" i="87"/>
  <c r="H29" i="87"/>
  <c r="H28" i="87"/>
  <c r="H33" i="87" s="1"/>
  <c r="H34" i="87" s="1"/>
  <c r="H25" i="87"/>
  <c r="H21" i="87"/>
  <c r="H20" i="87"/>
  <c r="H19" i="87"/>
  <c r="H18" i="87"/>
  <c r="H22" i="87" s="1"/>
  <c r="H16" i="87"/>
  <c r="H14" i="87"/>
  <c r="H11" i="87"/>
  <c r="H12" i="87" s="1"/>
  <c r="H8" i="87"/>
  <c r="H9" i="87" s="1"/>
  <c r="H119" i="86"/>
  <c r="H118" i="86"/>
  <c r="H117" i="86"/>
  <c r="H116" i="86"/>
  <c r="H111" i="86"/>
  <c r="H108" i="86"/>
  <c r="H100" i="86"/>
  <c r="H101" i="86" s="1"/>
  <c r="H96" i="86"/>
  <c r="H95" i="86"/>
  <c r="H97" i="86" s="1"/>
  <c r="H93" i="86"/>
  <c r="H92" i="86"/>
  <c r="H90" i="86"/>
  <c r="H89" i="86"/>
  <c r="H88" i="86"/>
  <c r="H87" i="86"/>
  <c r="H85" i="86"/>
  <c r="H83" i="86"/>
  <c r="H81" i="86"/>
  <c r="H79" i="86"/>
  <c r="H76" i="86"/>
  <c r="H73" i="86"/>
  <c r="E68" i="86"/>
  <c r="E71" i="86" s="1"/>
  <c r="H66" i="86"/>
  <c r="H46" i="86"/>
  <c r="H45" i="86"/>
  <c r="H44" i="86"/>
  <c r="H43" i="86"/>
  <c r="H42" i="86"/>
  <c r="H40" i="86"/>
  <c r="H37" i="86"/>
  <c r="H36" i="86"/>
  <c r="H35" i="86"/>
  <c r="H34" i="86"/>
  <c r="H33" i="86"/>
  <c r="H32" i="86"/>
  <c r="H31" i="86"/>
  <c r="H30" i="86"/>
  <c r="H29" i="86"/>
  <c r="H28" i="86"/>
  <c r="H27" i="86"/>
  <c r="H26" i="86"/>
  <c r="H25" i="86"/>
  <c r="H24" i="86"/>
  <c r="H23" i="86"/>
  <c r="H20" i="86"/>
  <c r="H19" i="86"/>
  <c r="H21" i="86" s="1"/>
  <c r="H16" i="86"/>
  <c r="H15" i="86"/>
  <c r="H17" i="86" s="1"/>
  <c r="H12" i="86"/>
  <c r="H10" i="86"/>
  <c r="H7" i="86"/>
  <c r="H8" i="86" s="1"/>
  <c r="H73" i="85"/>
  <c r="H72" i="85"/>
  <c r="H71" i="85"/>
  <c r="H70" i="85"/>
  <c r="H46" i="85"/>
  <c r="H45" i="85"/>
  <c r="H47" i="85" s="1"/>
  <c r="H48" i="85" s="1"/>
  <c r="H42" i="85"/>
  <c r="H43" i="85" s="1"/>
  <c r="H40" i="85"/>
  <c r="H39" i="85"/>
  <c r="H37" i="85"/>
  <c r="H34" i="85"/>
  <c r="H32" i="85"/>
  <c r="H30" i="85"/>
  <c r="H26" i="85"/>
  <c r="H27" i="85" s="1"/>
  <c r="H28" i="85" s="1"/>
  <c r="H24" i="85"/>
  <c r="H21" i="85"/>
  <c r="H20" i="85"/>
  <c r="H22" i="85" s="1"/>
  <c r="H16" i="85"/>
  <c r="H15" i="85"/>
  <c r="H14" i="85"/>
  <c r="H11" i="85"/>
  <c r="A10" i="85"/>
  <c r="H9" i="85"/>
  <c r="H7" i="85"/>
  <c r="H130" i="84"/>
  <c r="H129" i="84"/>
  <c r="H128" i="84"/>
  <c r="H127" i="84"/>
  <c r="H126" i="84"/>
  <c r="H125" i="84"/>
  <c r="H124" i="84"/>
  <c r="H123" i="84"/>
  <c r="H122" i="84"/>
  <c r="H121" i="84"/>
  <c r="H120" i="84"/>
  <c r="H118" i="84"/>
  <c r="H117" i="84"/>
  <c r="H116" i="84"/>
  <c r="H115" i="84"/>
  <c r="H114" i="84"/>
  <c r="H113" i="84"/>
  <c r="H112" i="84"/>
  <c r="H111" i="84"/>
  <c r="H110" i="84"/>
  <c r="H109" i="84"/>
  <c r="H108" i="84"/>
  <c r="H107" i="84"/>
  <c r="H106" i="84"/>
  <c r="H105" i="84"/>
  <c r="H104" i="84"/>
  <c r="H103" i="84"/>
  <c r="H102" i="84"/>
  <c r="H101" i="84"/>
  <c r="H100" i="84"/>
  <c r="H99" i="84"/>
  <c r="H98" i="84"/>
  <c r="H97" i="84"/>
  <c r="H96" i="84"/>
  <c r="H95" i="84"/>
  <c r="H94" i="84"/>
  <c r="H93" i="84"/>
  <c r="H92" i="84"/>
  <c r="H91" i="84"/>
  <c r="H90" i="84"/>
  <c r="H89" i="84"/>
  <c r="H88" i="84"/>
  <c r="H87" i="84"/>
  <c r="H86" i="84"/>
  <c r="H85" i="84"/>
  <c r="H84" i="84"/>
  <c r="H83" i="84"/>
  <c r="H82" i="84"/>
  <c r="H81" i="84"/>
  <c r="H80" i="84"/>
  <c r="H79" i="84"/>
  <c r="H78" i="84"/>
  <c r="H77" i="84"/>
  <c r="H76" i="84"/>
  <c r="H75" i="84"/>
  <c r="H74" i="84"/>
  <c r="H73" i="84"/>
  <c r="H72" i="84"/>
  <c r="H71" i="84"/>
  <c r="H70" i="84"/>
  <c r="H69" i="84"/>
  <c r="H68" i="84"/>
  <c r="H67" i="84"/>
  <c r="H66" i="84"/>
  <c r="H65" i="84"/>
  <c r="H64" i="84"/>
  <c r="H63" i="84"/>
  <c r="H41" i="84"/>
  <c r="H40" i="84"/>
  <c r="H39" i="84"/>
  <c r="H42" i="84" s="1"/>
  <c r="H36" i="84"/>
  <c r="H35" i="84"/>
  <c r="J34" i="84"/>
  <c r="E34" i="84"/>
  <c r="H34" i="84" s="1"/>
  <c r="J33" i="84"/>
  <c r="H33" i="84"/>
  <c r="E33" i="84"/>
  <c r="H30" i="84"/>
  <c r="H27" i="84"/>
  <c r="H26" i="84"/>
  <c r="H25" i="84"/>
  <c r="J24" i="84"/>
  <c r="H24" i="84"/>
  <c r="J23" i="84"/>
  <c r="E23" i="84"/>
  <c r="H23" i="84" s="1"/>
  <c r="H28" i="84" s="1"/>
  <c r="E44" i="84" s="1"/>
  <c r="H44" i="84" s="1"/>
  <c r="H45" i="84" s="1"/>
  <c r="H46" i="84" s="1"/>
  <c r="E48" i="84" s="1"/>
  <c r="H48" i="84" s="1"/>
  <c r="H17" i="84"/>
  <c r="E17" i="84"/>
  <c r="J16" i="84"/>
  <c r="H16" i="84"/>
  <c r="H18" i="84" s="1"/>
  <c r="J13" i="84"/>
  <c r="H13" i="84"/>
  <c r="H14" i="84" s="1"/>
  <c r="E20" i="84" s="1"/>
  <c r="H20" i="84" s="1"/>
  <c r="H21" i="84" s="1"/>
  <c r="L7" i="84"/>
  <c r="J7" i="84"/>
  <c r="E7" i="84"/>
  <c r="H7" i="84" s="1"/>
  <c r="H55" i="83"/>
  <c r="H54" i="83"/>
  <c r="A53" i="83"/>
  <c r="H43" i="83"/>
  <c r="H44" i="83" s="1"/>
  <c r="H45" i="83" s="1"/>
  <c r="F43" i="83"/>
  <c r="H37" i="83"/>
  <c r="F37" i="83"/>
  <c r="H36" i="83"/>
  <c r="G35" i="83"/>
  <c r="E35" i="83"/>
  <c r="H35" i="83" s="1"/>
  <c r="H34" i="83"/>
  <c r="E33" i="83"/>
  <c r="H33" i="83" s="1"/>
  <c r="H38" i="83" s="1"/>
  <c r="H39" i="83" s="1"/>
  <c r="E41" i="83" s="1"/>
  <c r="H41" i="83" s="1"/>
  <c r="E29" i="83"/>
  <c r="H29" i="83" s="1"/>
  <c r="H30" i="83" s="1"/>
  <c r="H31" i="83" s="1"/>
  <c r="F25" i="83"/>
  <c r="H25" i="83" s="1"/>
  <c r="H24" i="83"/>
  <c r="G23" i="83"/>
  <c r="E23" i="83"/>
  <c r="H23" i="83" s="1"/>
  <c r="H22" i="83"/>
  <c r="H21" i="83"/>
  <c r="E21" i="83"/>
  <c r="H13" i="83"/>
  <c r="F13" i="83"/>
  <c r="H12" i="83"/>
  <c r="G11" i="83"/>
  <c r="E11" i="83"/>
  <c r="H11" i="83" s="1"/>
  <c r="H10" i="83"/>
  <c r="E9" i="83"/>
  <c r="H9" i="83" s="1"/>
  <c r="H8" i="83"/>
  <c r="H37" i="82"/>
  <c r="G36" i="82"/>
  <c r="H36" i="82" s="1"/>
  <c r="H35" i="82"/>
  <c r="H38" i="82" s="1"/>
  <c r="H32" i="82"/>
  <c r="H31" i="82"/>
  <c r="H33" i="82" s="1"/>
  <c r="H28" i="82"/>
  <c r="H27" i="82"/>
  <c r="H29" i="82" s="1"/>
  <c r="H25" i="82"/>
  <c r="H22" i="82"/>
  <c r="H21" i="82"/>
  <c r="H20" i="82"/>
  <c r="H23" i="82" s="1"/>
  <c r="H17" i="82"/>
  <c r="H16" i="82"/>
  <c r="H18" i="82" s="1"/>
  <c r="H13" i="82"/>
  <c r="H12" i="82"/>
  <c r="H14" i="82" s="1"/>
  <c r="H9" i="82"/>
  <c r="H8" i="82"/>
  <c r="H10" i="82" s="1"/>
  <c r="G20" i="81"/>
  <c r="H20" i="81" s="1"/>
  <c r="H19" i="81"/>
  <c r="H18" i="81"/>
  <c r="H16" i="81"/>
  <c r="H15" i="81"/>
  <c r="H17" i="81" s="1"/>
  <c r="H13" i="81"/>
  <c r="H11" i="81"/>
  <c r="F10" i="81"/>
  <c r="H10" i="81" s="1"/>
  <c r="H12" i="81" s="1"/>
  <c r="H8" i="81"/>
  <c r="A1" i="81"/>
  <c r="A1" i="83" s="1"/>
  <c r="A1" i="91" s="1"/>
  <c r="A1" i="85" s="1"/>
  <c r="A1" i="86" s="1"/>
  <c r="H30" i="80"/>
  <c r="H29" i="80"/>
  <c r="H31" i="80" s="1"/>
  <c r="H27" i="80"/>
  <c r="H26" i="80"/>
  <c r="H25" i="80"/>
  <c r="D23" i="80"/>
  <c r="H23" i="80" s="1"/>
  <c r="H20" i="80"/>
  <c r="H19" i="80"/>
  <c r="H21" i="80" s="1"/>
  <c r="H17" i="80"/>
  <c r="H16" i="80"/>
  <c r="H15" i="80"/>
  <c r="H12" i="80"/>
  <c r="H11" i="80"/>
  <c r="H13" i="80" s="1"/>
  <c r="H8" i="80"/>
  <c r="H7" i="80"/>
  <c r="H9" i="80" s="1"/>
  <c r="H14" i="83" l="1"/>
  <c r="H37" i="84"/>
  <c r="D98" i="90"/>
  <c r="H98" i="90" s="1"/>
  <c r="C131" i="90"/>
  <c r="H92" i="90"/>
  <c r="D111" i="90"/>
  <c r="H64" i="91"/>
  <c r="H65" i="91" s="1"/>
  <c r="H71" i="86"/>
  <c r="E104" i="86"/>
  <c r="H104" i="86" s="1"/>
  <c r="H105" i="86" s="1"/>
  <c r="H93" i="90"/>
  <c r="D112" i="90"/>
  <c r="H112" i="90" s="1"/>
  <c r="C132" i="90"/>
  <c r="H132" i="90" s="1"/>
  <c r="E146" i="90"/>
  <c r="H146" i="90" s="1"/>
  <c r="H145" i="90"/>
  <c r="E147" i="90"/>
  <c r="H147" i="90" s="1"/>
  <c r="E152" i="90"/>
  <c r="H152" i="90" s="1"/>
  <c r="H151" i="90"/>
  <c r="E153" i="90"/>
  <c r="H153" i="90" s="1"/>
  <c r="C129" i="90"/>
  <c r="D97" i="90"/>
  <c r="H97" i="90" s="1"/>
  <c r="H90" i="90"/>
  <c r="D109" i="90"/>
  <c r="C133" i="90"/>
  <c r="D99" i="90"/>
  <c r="H99" i="90" s="1"/>
  <c r="H94" i="90"/>
  <c r="D113" i="90"/>
  <c r="A1" i="84"/>
  <c r="A1" i="87"/>
  <c r="A1" i="89" s="1"/>
  <c r="H26" i="83"/>
  <c r="H27" i="83" s="1"/>
  <c r="H91" i="90"/>
  <c r="D110" i="90"/>
  <c r="C130" i="90"/>
  <c r="H130" i="90" s="1"/>
  <c r="H95" i="90"/>
  <c r="C134" i="90"/>
  <c r="H134" i="90" s="1"/>
  <c r="D114" i="90"/>
  <c r="H114" i="90" s="1"/>
  <c r="E150" i="90"/>
  <c r="H150" i="90" s="1"/>
  <c r="E149" i="90"/>
  <c r="H149" i="90" s="1"/>
  <c r="H148" i="90"/>
  <c r="K71" i="92"/>
  <c r="A1" i="82"/>
  <c r="E9" i="84"/>
  <c r="H68" i="86"/>
  <c r="H69" i="86" s="1"/>
  <c r="H31" i="90"/>
  <c r="H33" i="90"/>
  <c r="H35" i="90"/>
  <c r="E116" i="90"/>
  <c r="E118" i="90"/>
  <c r="H32" i="90"/>
  <c r="H34" i="90"/>
  <c r="H36" i="90"/>
  <c r="E117" i="90"/>
  <c r="A1" i="90" l="1"/>
  <c r="A1" i="92" s="1"/>
  <c r="A1" i="88"/>
  <c r="C139" i="90"/>
  <c r="H131" i="90"/>
  <c r="E44" i="90"/>
  <c r="H117" i="90"/>
  <c r="H118" i="90"/>
  <c r="E47" i="90"/>
  <c r="H41" i="90"/>
  <c r="H110" i="90"/>
  <c r="D166" i="90"/>
  <c r="H166" i="90" s="1"/>
  <c r="C141" i="90"/>
  <c r="H133" i="90"/>
  <c r="H129" i="90"/>
  <c r="C137" i="90"/>
  <c r="K76" i="92"/>
  <c r="K72" i="92"/>
  <c r="K73" i="92" s="1"/>
  <c r="K77" i="92" s="1"/>
  <c r="K75" i="92"/>
  <c r="K74" i="92"/>
  <c r="H116" i="90"/>
  <c r="E43" i="90"/>
  <c r="H113" i="90"/>
  <c r="D123" i="90"/>
  <c r="H109" i="90"/>
  <c r="D121" i="90"/>
  <c r="D122" i="90"/>
  <c r="H111" i="90"/>
  <c r="E11" i="84"/>
  <c r="H11" i="84" s="1"/>
  <c r="H9" i="84"/>
  <c r="H104" i="90"/>
  <c r="E47" i="83"/>
  <c r="H47" i="83" s="1"/>
  <c r="H48" i="83" s="1"/>
  <c r="E50" i="83" s="1"/>
  <c r="H50" i="83" s="1"/>
  <c r="H18" i="83"/>
  <c r="E59" i="90" l="1"/>
  <c r="H43" i="90"/>
  <c r="D55" i="90"/>
  <c r="H55" i="90" s="1"/>
  <c r="H123" i="90"/>
  <c r="C142" i="90"/>
  <c r="H142" i="90" s="1"/>
  <c r="H141" i="90"/>
  <c r="H47" i="90"/>
  <c r="E61" i="90"/>
  <c r="H121" i="90"/>
  <c r="H126" i="90" s="1"/>
  <c r="D51" i="90"/>
  <c r="H119" i="90"/>
  <c r="H44" i="90"/>
  <c r="E60" i="90"/>
  <c r="H122" i="90"/>
  <c r="D52" i="90"/>
  <c r="H52" i="90" s="1"/>
  <c r="C138" i="90"/>
  <c r="H138" i="90" s="1"/>
  <c r="H137" i="90"/>
  <c r="H154" i="90" s="1"/>
  <c r="H155" i="90" s="1"/>
  <c r="C140" i="90"/>
  <c r="H140" i="90" s="1"/>
  <c r="H139" i="90"/>
  <c r="E83" i="90" l="1"/>
  <c r="H83" i="90" s="1"/>
  <c r="E69" i="90"/>
  <c r="H60" i="90"/>
  <c r="E84" i="90"/>
  <c r="H84" i="90" s="1"/>
  <c r="H61" i="90"/>
  <c r="E71" i="90"/>
  <c r="D64" i="90"/>
  <c r="H51" i="90"/>
  <c r="H56" i="90" s="1"/>
  <c r="H48" i="90"/>
  <c r="E82" i="90"/>
  <c r="H82" i="90" s="1"/>
  <c r="H59" i="90"/>
  <c r="E67" i="90"/>
  <c r="H64" i="90" l="1"/>
  <c r="H65" i="90" s="1"/>
  <c r="D76" i="90"/>
  <c r="H76" i="90" s="1"/>
  <c r="H87" i="90"/>
  <c r="E72" i="90"/>
  <c r="H72" i="90" s="1"/>
  <c r="H71" i="90"/>
  <c r="E70" i="90"/>
  <c r="H70" i="90" s="1"/>
  <c r="H69" i="90"/>
  <c r="E68" i="90"/>
  <c r="H68" i="90" s="1"/>
  <c r="H67" i="90"/>
  <c r="H79" i="90" l="1"/>
  <c r="E157" i="90" s="1"/>
  <c r="H157" i="90" s="1"/>
  <c r="H158" i="90" s="1"/>
  <c r="E16" i="71" l="1"/>
  <c r="E15" i="71"/>
  <c r="E12" i="71"/>
  <c r="B986" i="55" l="1"/>
  <c r="C942" i="55" l="1"/>
  <c r="C941" i="55"/>
  <c r="C940" i="55"/>
  <c r="C988" i="76" l="1"/>
  <c r="E2290" i="71" l="1"/>
  <c r="C431" i="55" l="1"/>
  <c r="C947" i="55" l="1"/>
  <c r="C941" i="76" s="1"/>
  <c r="C948" i="55"/>
  <c r="C942" i="76" s="1"/>
  <c r="D175" i="78"/>
  <c r="C695" i="55"/>
  <c r="C923" i="55"/>
  <c r="C925" i="55"/>
  <c r="C858" i="55" l="1"/>
  <c r="C857" i="55"/>
  <c r="H19" i="72"/>
  <c r="H23" i="72" s="1"/>
  <c r="F1361" i="68"/>
  <c r="F1360" i="68"/>
  <c r="F1359" i="68"/>
  <c r="F1358" i="68"/>
  <c r="F1357" i="68"/>
  <c r="F1356" i="68"/>
  <c r="F1355" i="68"/>
  <c r="F1354" i="68"/>
  <c r="F1353" i="68"/>
  <c r="F1352" i="68"/>
  <c r="F1350" i="68"/>
  <c r="F1349" i="68"/>
  <c r="F1348" i="68"/>
  <c r="H27" i="72" l="1"/>
  <c r="J27" i="72" s="1"/>
  <c r="H24" i="72"/>
  <c r="H26" i="72"/>
  <c r="H28" i="72"/>
  <c r="H25" i="72"/>
  <c r="F1362" i="68"/>
  <c r="F1364" i="68" s="1"/>
  <c r="C379" i="55"/>
  <c r="C378" i="55"/>
  <c r="C377" i="55"/>
  <c r="C376" i="55"/>
  <c r="I1887" i="1"/>
  <c r="I1886" i="1"/>
  <c r="H29" i="72" l="1"/>
  <c r="H34" i="72" s="1"/>
  <c r="D192" i="78"/>
  <c r="D46" i="78"/>
  <c r="S7" i="55" l="1"/>
  <c r="S8" i="55"/>
  <c r="S9" i="55"/>
  <c r="S10" i="55"/>
  <c r="S11" i="55"/>
  <c r="S12" i="55"/>
  <c r="S13" i="55"/>
  <c r="S14" i="55"/>
  <c r="S15" i="55"/>
  <c r="S16" i="55"/>
  <c r="S17" i="55"/>
  <c r="S19" i="55"/>
  <c r="S20" i="55"/>
  <c r="S21" i="55"/>
  <c r="S22" i="55"/>
  <c r="S24" i="55"/>
  <c r="S25" i="55"/>
  <c r="S26" i="55"/>
  <c r="S27" i="55"/>
  <c r="S28" i="55"/>
  <c r="S29" i="55"/>
  <c r="S30" i="55"/>
  <c r="S31" i="55"/>
  <c r="S32" i="55"/>
  <c r="S33" i="55"/>
  <c r="S34" i="55"/>
  <c r="S35" i="55"/>
  <c r="S36" i="55"/>
  <c r="S37" i="55"/>
  <c r="S39" i="55"/>
  <c r="S40" i="55"/>
  <c r="S41" i="55"/>
  <c r="S42" i="55"/>
  <c r="S43" i="55"/>
  <c r="S44" i="55"/>
  <c r="S47" i="55"/>
  <c r="S48" i="55"/>
  <c r="S49" i="55"/>
  <c r="S50" i="55"/>
  <c r="S51" i="55"/>
  <c r="S52" i="55"/>
  <c r="S53" i="55"/>
  <c r="S54" i="55"/>
  <c r="S55" i="55"/>
  <c r="S56" i="55"/>
  <c r="S57" i="55"/>
  <c r="S58" i="55"/>
  <c r="S59" i="55"/>
  <c r="S60" i="55"/>
  <c r="S61" i="55"/>
  <c r="S62" i="55"/>
  <c r="S63" i="55"/>
  <c r="S64" i="55"/>
  <c r="S65" i="55"/>
  <c r="S66" i="55"/>
  <c r="S67" i="55"/>
  <c r="S68" i="55"/>
  <c r="S69" i="55"/>
  <c r="S70" i="55"/>
  <c r="S71" i="55"/>
  <c r="S72" i="55"/>
  <c r="S73" i="55"/>
  <c r="S74" i="55"/>
  <c r="S75" i="55"/>
  <c r="S76" i="55"/>
  <c r="S77" i="55"/>
  <c r="S78" i="55"/>
  <c r="S79" i="55"/>
  <c r="S80" i="55"/>
  <c r="S81" i="55"/>
  <c r="S82" i="55"/>
  <c r="S83" i="55"/>
  <c r="S84" i="55"/>
  <c r="S85" i="55"/>
  <c r="S86" i="55"/>
  <c r="S87" i="55"/>
  <c r="S88" i="55"/>
  <c r="S89" i="55"/>
  <c r="S90" i="55"/>
  <c r="S91" i="55"/>
  <c r="S92" i="55"/>
  <c r="S93" i="55"/>
  <c r="S94" i="55"/>
  <c r="S95" i="55"/>
  <c r="S96" i="55"/>
  <c r="S97" i="55"/>
  <c r="S98" i="55"/>
  <c r="S99" i="55"/>
  <c r="S100" i="55"/>
  <c r="S101" i="55"/>
  <c r="S102" i="55"/>
  <c r="S103" i="55"/>
  <c r="S104" i="55"/>
  <c r="S105" i="55"/>
  <c r="S106" i="55"/>
  <c r="S107" i="55"/>
  <c r="S108" i="55"/>
  <c r="S109" i="55"/>
  <c r="S110" i="55"/>
  <c r="S111" i="55"/>
  <c r="S112" i="55"/>
  <c r="S113" i="55"/>
  <c r="S114" i="55"/>
  <c r="S115" i="55"/>
  <c r="S116" i="55"/>
  <c r="S117" i="55"/>
  <c r="S118" i="55"/>
  <c r="S119" i="55"/>
  <c r="S120" i="55"/>
  <c r="S121" i="55"/>
  <c r="S122" i="55"/>
  <c r="S123" i="55"/>
  <c r="S124" i="55"/>
  <c r="S125" i="55"/>
  <c r="S126" i="55"/>
  <c r="S127" i="55"/>
  <c r="S128" i="55"/>
  <c r="S129" i="55"/>
  <c r="S130" i="55"/>
  <c r="S131" i="55"/>
  <c r="S132" i="55"/>
  <c r="S133" i="55"/>
  <c r="S134" i="55"/>
  <c r="S135" i="55"/>
  <c r="S136" i="55"/>
  <c r="S137" i="55"/>
  <c r="S138" i="55"/>
  <c r="S139" i="55"/>
  <c r="S140" i="55"/>
  <c r="S141" i="55"/>
  <c r="S142" i="55"/>
  <c r="S143" i="55"/>
  <c r="S144" i="55"/>
  <c r="S145" i="55"/>
  <c r="S146" i="55"/>
  <c r="S147" i="55"/>
  <c r="S148" i="55"/>
  <c r="S149" i="55"/>
  <c r="S150" i="55"/>
  <c r="S151" i="55"/>
  <c r="S152" i="55"/>
  <c r="S153" i="55"/>
  <c r="S154" i="55"/>
  <c r="S155" i="55"/>
  <c r="S156" i="55"/>
  <c r="S157" i="55"/>
  <c r="S158" i="55"/>
  <c r="S159" i="55"/>
  <c r="S160" i="55"/>
  <c r="S161" i="55"/>
  <c r="S162" i="55"/>
  <c r="S163" i="55"/>
  <c r="S164" i="55"/>
  <c r="S165" i="55"/>
  <c r="S166" i="55"/>
  <c r="S167" i="55"/>
  <c r="S168" i="55"/>
  <c r="S169" i="55"/>
  <c r="S170" i="55"/>
  <c r="S171" i="55"/>
  <c r="S172" i="55"/>
  <c r="S173" i="55"/>
  <c r="S174" i="55"/>
  <c r="S175" i="55"/>
  <c r="S176" i="55"/>
  <c r="S177" i="55"/>
  <c r="S178" i="55"/>
  <c r="S179" i="55"/>
  <c r="S180" i="55"/>
  <c r="S181" i="55"/>
  <c r="S182" i="55"/>
  <c r="S183" i="55"/>
  <c r="S184" i="55"/>
  <c r="S185" i="55"/>
  <c r="S186" i="55"/>
  <c r="S187" i="55"/>
  <c r="S188" i="55"/>
  <c r="S189" i="55"/>
  <c r="S190" i="55"/>
  <c r="S191" i="55"/>
  <c r="S192" i="55"/>
  <c r="S193" i="55"/>
  <c r="S194" i="55"/>
  <c r="S195" i="55"/>
  <c r="S196" i="55"/>
  <c r="S197" i="55"/>
  <c r="S198" i="55"/>
  <c r="S199" i="55"/>
  <c r="S200" i="55"/>
  <c r="S201" i="55"/>
  <c r="S202" i="55"/>
  <c r="S203" i="55"/>
  <c r="S204" i="55"/>
  <c r="S205" i="55"/>
  <c r="S206" i="55"/>
  <c r="S207" i="55"/>
  <c r="S208" i="55"/>
  <c r="S209" i="55"/>
  <c r="S210" i="55"/>
  <c r="S211" i="55"/>
  <c r="S212" i="55"/>
  <c r="S213" i="55"/>
  <c r="S214" i="55"/>
  <c r="S215" i="55"/>
  <c r="S216" i="55"/>
  <c r="S217" i="55"/>
  <c r="S218" i="55"/>
  <c r="S219" i="55"/>
  <c r="S220" i="55"/>
  <c r="S221" i="55"/>
  <c r="S222" i="55"/>
  <c r="S223" i="55"/>
  <c r="S224" i="55"/>
  <c r="S225" i="55"/>
  <c r="S226" i="55"/>
  <c r="S227" i="55"/>
  <c r="S228" i="55"/>
  <c r="S230" i="55"/>
  <c r="S231" i="55"/>
  <c r="S232" i="55"/>
  <c r="S233" i="55"/>
  <c r="S234" i="55"/>
  <c r="S235" i="55"/>
  <c r="S236" i="55"/>
  <c r="S237" i="55"/>
  <c r="S238" i="55"/>
  <c r="S239" i="55"/>
  <c r="S240" i="55"/>
  <c r="S241" i="55"/>
  <c r="S242" i="55"/>
  <c r="S243" i="55"/>
  <c r="S244" i="55"/>
  <c r="S245" i="55"/>
  <c r="S246" i="55"/>
  <c r="S247" i="55"/>
  <c r="S248" i="55"/>
  <c r="S249" i="55"/>
  <c r="S250" i="55"/>
  <c r="S251" i="55"/>
  <c r="S254" i="55"/>
  <c r="S255" i="55"/>
  <c r="S256" i="55"/>
  <c r="S257" i="55"/>
  <c r="S258" i="55"/>
  <c r="S259" i="55"/>
  <c r="S260" i="55"/>
  <c r="S261" i="55"/>
  <c r="S262" i="55"/>
  <c r="S263" i="55"/>
  <c r="S264" i="55"/>
  <c r="S265" i="55"/>
  <c r="S266" i="55"/>
  <c r="S267" i="55"/>
  <c r="S268" i="55"/>
  <c r="S269" i="55"/>
  <c r="S270" i="55"/>
  <c r="S271" i="55"/>
  <c r="S272" i="55"/>
  <c r="S273" i="55"/>
  <c r="S274" i="55"/>
  <c r="S275" i="55"/>
  <c r="S276" i="55"/>
  <c r="S277" i="55"/>
  <c r="S278" i="55"/>
  <c r="S279" i="55"/>
  <c r="S280" i="55"/>
  <c r="S281" i="55"/>
  <c r="S282" i="55"/>
  <c r="S283" i="55"/>
  <c r="S284" i="55"/>
  <c r="S285" i="55"/>
  <c r="S286" i="55"/>
  <c r="S287" i="55"/>
  <c r="S288" i="55"/>
  <c r="S289" i="55"/>
  <c r="S292" i="55"/>
  <c r="S293" i="55"/>
  <c r="S294" i="55"/>
  <c r="S295" i="55"/>
  <c r="S296" i="55"/>
  <c r="S297" i="55"/>
  <c r="S298" i="55"/>
  <c r="S299" i="55"/>
  <c r="S300" i="55"/>
  <c r="S301" i="55"/>
  <c r="S302" i="55"/>
  <c r="S303" i="55"/>
  <c r="S304" i="55"/>
  <c r="S305" i="55"/>
  <c r="S306" i="55"/>
  <c r="S308" i="55"/>
  <c r="S309" i="55"/>
  <c r="S310" i="55"/>
  <c r="S311" i="55"/>
  <c r="S312" i="55"/>
  <c r="S313" i="55"/>
  <c r="S314" i="55"/>
  <c r="S315" i="55"/>
  <c r="S316" i="55"/>
  <c r="S317" i="55"/>
  <c r="S318" i="55"/>
  <c r="S319" i="55"/>
  <c r="S320" i="55"/>
  <c r="S321" i="55"/>
  <c r="S324" i="55"/>
  <c r="S325" i="55"/>
  <c r="S326" i="55"/>
  <c r="S327" i="55"/>
  <c r="S328" i="55"/>
  <c r="S329" i="55"/>
  <c r="S338" i="55"/>
  <c r="S340" i="55"/>
  <c r="S345" i="55"/>
  <c r="S349" i="55"/>
  <c r="S350" i="55"/>
  <c r="S351" i="55"/>
  <c r="S352" i="55"/>
  <c r="S356" i="55"/>
  <c r="S357" i="55"/>
  <c r="S358" i="55"/>
  <c r="S359" i="55"/>
  <c r="S360" i="55"/>
  <c r="S361" i="55"/>
  <c r="S362" i="55"/>
  <c r="S363" i="55"/>
  <c r="S364" i="55"/>
  <c r="S369" i="55"/>
  <c r="S370" i="55"/>
  <c r="S374" i="55"/>
  <c r="S375" i="55"/>
  <c r="S378" i="55"/>
  <c r="S380" i="55"/>
  <c r="S381" i="55"/>
  <c r="S382" i="55"/>
  <c r="S383" i="55"/>
  <c r="S384" i="55"/>
  <c r="S385" i="55"/>
  <c r="S386" i="55"/>
  <c r="S387" i="55"/>
  <c r="S388" i="55"/>
  <c r="S389" i="55"/>
  <c r="S390" i="55"/>
  <c r="S391" i="55"/>
  <c r="S392" i="55"/>
  <c r="S393" i="55"/>
  <c r="S394" i="55"/>
  <c r="S395" i="55"/>
  <c r="S396" i="55"/>
  <c r="S397" i="55"/>
  <c r="S398" i="55"/>
  <c r="S399" i="55"/>
  <c r="S401" i="55"/>
  <c r="S403" i="55"/>
  <c r="S404" i="55"/>
  <c r="S405" i="55"/>
  <c r="S406" i="55"/>
  <c r="S407" i="55"/>
  <c r="S408" i="55"/>
  <c r="S409" i="55"/>
  <c r="S410" i="55"/>
  <c r="S411" i="55"/>
  <c r="S412" i="55"/>
  <c r="S413" i="55"/>
  <c r="S414" i="55"/>
  <c r="S415" i="55"/>
  <c r="S416" i="55"/>
  <c r="S417" i="55"/>
  <c r="S418" i="55"/>
  <c r="S419" i="55"/>
  <c r="S420" i="55"/>
  <c r="S421" i="55"/>
  <c r="S422" i="55"/>
  <c r="S423" i="55"/>
  <c r="S424" i="55"/>
  <c r="S425" i="55"/>
  <c r="S426" i="55"/>
  <c r="S427" i="55"/>
  <c r="S428" i="55"/>
  <c r="S429" i="55"/>
  <c r="S432" i="55"/>
  <c r="S434" i="55"/>
  <c r="S435" i="55"/>
  <c r="S436" i="55"/>
  <c r="S438" i="55"/>
  <c r="S439" i="55"/>
  <c r="S440" i="55"/>
  <c r="S444" i="55"/>
  <c r="S445" i="55"/>
  <c r="S446" i="55"/>
  <c r="S447" i="55"/>
  <c r="S448" i="55"/>
  <c r="S449" i="55"/>
  <c r="S450" i="55"/>
  <c r="S453" i="55"/>
  <c r="S455" i="55"/>
  <c r="S456" i="55"/>
  <c r="S457" i="55"/>
  <c r="S458" i="55"/>
  <c r="S459" i="55"/>
  <c r="S460" i="55"/>
  <c r="S461" i="55"/>
  <c r="S462" i="55"/>
  <c r="S463" i="55"/>
  <c r="S464" i="55"/>
  <c r="S465" i="55"/>
  <c r="S466" i="55"/>
  <c r="S467" i="55"/>
  <c r="S468" i="55"/>
  <c r="S469" i="55"/>
  <c r="S470" i="55"/>
  <c r="S471" i="55"/>
  <c r="S472" i="55"/>
  <c r="S473" i="55"/>
  <c r="S474" i="55"/>
  <c r="S475" i="55"/>
  <c r="S476" i="55"/>
  <c r="S477" i="55"/>
  <c r="S478" i="55"/>
  <c r="S479" i="55"/>
  <c r="S480" i="55"/>
  <c r="S481" i="55"/>
  <c r="S482" i="55"/>
  <c r="S483" i="55"/>
  <c r="S484" i="55"/>
  <c r="S485" i="55"/>
  <c r="S486" i="55"/>
  <c r="S487" i="55"/>
  <c r="S488" i="55"/>
  <c r="S489" i="55"/>
  <c r="S490" i="55"/>
  <c r="S491" i="55"/>
  <c r="S492" i="55"/>
  <c r="S493" i="55"/>
  <c r="S494" i="55"/>
  <c r="S495" i="55"/>
  <c r="S496" i="55"/>
  <c r="S497" i="55"/>
  <c r="S498" i="55"/>
  <c r="S499" i="55"/>
  <c r="S500" i="55"/>
  <c r="S501" i="55"/>
  <c r="S502" i="55"/>
  <c r="S503" i="55"/>
  <c r="S504" i="55"/>
  <c r="S505" i="55"/>
  <c r="S506" i="55"/>
  <c r="S507" i="55"/>
  <c r="S508" i="55"/>
  <c r="S509" i="55"/>
  <c r="S514" i="55"/>
  <c r="S515" i="55"/>
  <c r="S516" i="55"/>
  <c r="S517" i="55"/>
  <c r="S518" i="55"/>
  <c r="S519" i="55"/>
  <c r="S520" i="55"/>
  <c r="S521" i="55"/>
  <c r="S522" i="55"/>
  <c r="S523" i="55"/>
  <c r="S524" i="55"/>
  <c r="S525" i="55"/>
  <c r="S526" i="55"/>
  <c r="S527" i="55"/>
  <c r="S528" i="55"/>
  <c r="S529" i="55"/>
  <c r="S530" i="55"/>
  <c r="S531" i="55"/>
  <c r="S532" i="55"/>
  <c r="S533" i="55"/>
  <c r="S535" i="55"/>
  <c r="S539" i="55"/>
  <c r="S540" i="55"/>
  <c r="S541" i="55"/>
  <c r="S542" i="55"/>
  <c r="S547" i="55"/>
  <c r="S548" i="55"/>
  <c r="S549" i="55"/>
  <c r="S550" i="55"/>
  <c r="S553" i="55"/>
  <c r="S554" i="55"/>
  <c r="S555" i="55"/>
  <c r="S556" i="55"/>
  <c r="S559" i="55"/>
  <c r="S560" i="55"/>
  <c r="S561" i="55"/>
  <c r="S562" i="55"/>
  <c r="S563" i="55"/>
  <c r="S564" i="55"/>
  <c r="S565" i="55"/>
  <c r="S566" i="55"/>
  <c r="S567" i="55"/>
  <c r="S568" i="55"/>
  <c r="S569" i="55"/>
  <c r="S570" i="55"/>
  <c r="S571" i="55"/>
  <c r="S572" i="55"/>
  <c r="S573" i="55"/>
  <c r="S574" i="55"/>
  <c r="S575" i="55"/>
  <c r="S576" i="55"/>
  <c r="S577" i="55"/>
  <c r="S578" i="55"/>
  <c r="S579" i="55"/>
  <c r="S580" i="55"/>
  <c r="S581" i="55"/>
  <c r="S582" i="55"/>
  <c r="S583" i="55"/>
  <c r="S584" i="55"/>
  <c r="S585" i="55"/>
  <c r="S586" i="55"/>
  <c r="S587" i="55"/>
  <c r="S589" i="55"/>
  <c r="S593" i="55"/>
  <c r="S594" i="55"/>
  <c r="S596" i="55"/>
  <c r="S597" i="55"/>
  <c r="S598" i="55"/>
  <c r="S599" i="55"/>
  <c r="S600" i="55"/>
  <c r="S601" i="55"/>
  <c r="S602" i="55"/>
  <c r="S603" i="55"/>
  <c r="S604" i="55"/>
  <c r="S605" i="55"/>
  <c r="S606" i="55"/>
  <c r="S607" i="55"/>
  <c r="S608" i="55"/>
  <c r="S610" i="55"/>
  <c r="S611" i="55"/>
  <c r="S612" i="55"/>
  <c r="S613" i="55"/>
  <c r="S614" i="55"/>
  <c r="S615" i="55"/>
  <c r="S616" i="55"/>
  <c r="S617" i="55"/>
  <c r="S618" i="55"/>
  <c r="S619" i="55"/>
  <c r="S621" i="55"/>
  <c r="S622" i="55"/>
  <c r="S623" i="55"/>
  <c r="S624" i="55"/>
  <c r="S625" i="55"/>
  <c r="S629" i="55"/>
  <c r="S630" i="55"/>
  <c r="S631" i="55"/>
  <c r="S632" i="55"/>
  <c r="S633" i="55"/>
  <c r="S634" i="55"/>
  <c r="S635" i="55"/>
  <c r="S637" i="55"/>
  <c r="S638" i="55"/>
  <c r="S639" i="55"/>
  <c r="S640" i="55"/>
  <c r="S641" i="55"/>
  <c r="S642" i="55"/>
  <c r="S643" i="55"/>
  <c r="S644" i="55"/>
  <c r="S645" i="55"/>
  <c r="S646" i="55"/>
  <c r="S647" i="55"/>
  <c r="S648" i="55"/>
  <c r="S649" i="55"/>
  <c r="S650" i="55"/>
  <c r="S651" i="55"/>
  <c r="S652" i="55"/>
  <c r="S653" i="55"/>
  <c r="S654" i="55"/>
  <c r="S655" i="55"/>
  <c r="S656" i="55"/>
  <c r="S657" i="55"/>
  <c r="S658" i="55"/>
  <c r="S659" i="55"/>
  <c r="S660" i="55"/>
  <c r="S661" i="55"/>
  <c r="S663" i="55"/>
  <c r="S665" i="55"/>
  <c r="S666" i="55"/>
  <c r="S667" i="55"/>
  <c r="S668" i="55"/>
  <c r="S669" i="55"/>
  <c r="S670" i="55"/>
  <c r="S671" i="55"/>
  <c r="S674" i="55"/>
  <c r="S675" i="55"/>
  <c r="S676" i="55"/>
  <c r="S678" i="55"/>
  <c r="S679" i="55"/>
  <c r="S680" i="55"/>
  <c r="S681" i="55"/>
  <c r="S685" i="55"/>
  <c r="S686" i="55"/>
  <c r="S687" i="55"/>
  <c r="S688" i="55"/>
  <c r="S689" i="55"/>
  <c r="S690" i="55"/>
  <c r="S691" i="55"/>
  <c r="S692" i="55"/>
  <c r="S693" i="55"/>
  <c r="S694" i="55"/>
  <c r="S697" i="55"/>
  <c r="S700" i="55"/>
  <c r="S701" i="55"/>
  <c r="S703" i="55"/>
  <c r="S706" i="55"/>
  <c r="S710" i="55"/>
  <c r="S713" i="55"/>
  <c r="S715" i="55"/>
  <c r="S716" i="55"/>
  <c r="S717" i="55"/>
  <c r="S721" i="55"/>
  <c r="S722" i="55"/>
  <c r="S723" i="55"/>
  <c r="S724" i="55"/>
  <c r="S727" i="55"/>
  <c r="S732" i="55"/>
  <c r="S733" i="55"/>
  <c r="S734" i="55"/>
  <c r="S737" i="55"/>
  <c r="S738" i="55"/>
  <c r="S739" i="55"/>
  <c r="S740" i="55"/>
  <c r="S741" i="55"/>
  <c r="S742" i="55"/>
  <c r="S743" i="55"/>
  <c r="S744" i="55"/>
  <c r="S745" i="55"/>
  <c r="S746" i="55"/>
  <c r="S747" i="55"/>
  <c r="S748" i="55"/>
  <c r="S749" i="55"/>
  <c r="S752" i="55"/>
  <c r="S753" i="55"/>
  <c r="S754" i="55"/>
  <c r="S755" i="55"/>
  <c r="S756" i="55"/>
  <c r="S757" i="55"/>
  <c r="S758" i="55"/>
  <c r="S759" i="55"/>
  <c r="S760" i="55"/>
  <c r="S761" i="55"/>
  <c r="S762" i="55"/>
  <c r="S763" i="55"/>
  <c r="S764" i="55"/>
  <c r="S765" i="55"/>
  <c r="S766" i="55"/>
  <c r="S767" i="55"/>
  <c r="S768" i="55"/>
  <c r="S769" i="55"/>
  <c r="S770" i="55"/>
  <c r="S771" i="55"/>
  <c r="S772" i="55"/>
  <c r="S773" i="55"/>
  <c r="S774" i="55"/>
  <c r="S775" i="55"/>
  <c r="S776" i="55"/>
  <c r="S777" i="55"/>
  <c r="S778" i="55"/>
  <c r="S779" i="55"/>
  <c r="S780" i="55"/>
  <c r="S783" i="55"/>
  <c r="S785" i="55"/>
  <c r="S786" i="55"/>
  <c r="S787" i="55"/>
  <c r="S788" i="55"/>
  <c r="S789" i="55"/>
  <c r="S790" i="55"/>
  <c r="S791" i="55"/>
  <c r="S792" i="55"/>
  <c r="S793" i="55"/>
  <c r="S794" i="55"/>
  <c r="S795" i="55"/>
  <c r="S796" i="55"/>
  <c r="S797" i="55"/>
  <c r="S798" i="55"/>
  <c r="S799" i="55"/>
  <c r="S802" i="55"/>
  <c r="S803" i="55"/>
  <c r="S804" i="55"/>
  <c r="S805" i="55"/>
  <c r="S806" i="55"/>
  <c r="S807" i="55"/>
  <c r="S808" i="55"/>
  <c r="S809" i="55"/>
  <c r="S810" i="55"/>
  <c r="S812" i="55"/>
  <c r="S814" i="55"/>
  <c r="S815" i="55"/>
  <c r="S816" i="55"/>
  <c r="S817" i="55"/>
  <c r="S818" i="55"/>
  <c r="S819" i="55"/>
  <c r="S820" i="55"/>
  <c r="S821" i="55"/>
  <c r="S822" i="55"/>
  <c r="S824" i="55"/>
  <c r="S825" i="55"/>
  <c r="S826" i="55"/>
  <c r="S827" i="55"/>
  <c r="S828" i="55"/>
  <c r="S829" i="55"/>
  <c r="S830" i="55"/>
  <c r="S831" i="55"/>
  <c r="S832" i="55"/>
  <c r="S833" i="55"/>
  <c r="S834" i="55"/>
  <c r="S835" i="55"/>
  <c r="S836" i="55"/>
  <c r="S837" i="55"/>
  <c r="S838" i="55"/>
  <c r="S839" i="55"/>
  <c r="S840" i="55"/>
  <c r="S841" i="55"/>
  <c r="S842" i="55"/>
  <c r="S843" i="55"/>
  <c r="S844" i="55"/>
  <c r="S845" i="55"/>
  <c r="S846" i="55"/>
  <c r="S847" i="55"/>
  <c r="S848" i="55"/>
  <c r="S849" i="55"/>
  <c r="S850" i="55"/>
  <c r="S851" i="55"/>
  <c r="S852" i="55"/>
  <c r="S853" i="55"/>
  <c r="S854" i="55"/>
  <c r="S855" i="55"/>
  <c r="S856" i="55"/>
  <c r="S859" i="55"/>
  <c r="S861" i="55"/>
  <c r="S862" i="55"/>
  <c r="S864" i="55"/>
  <c r="S868" i="55"/>
  <c r="S879" i="55"/>
  <c r="S880" i="55"/>
  <c r="S881" i="55"/>
  <c r="S882" i="55"/>
  <c r="S883" i="55"/>
  <c r="S884" i="55"/>
  <c r="S887" i="55"/>
  <c r="S889" i="55"/>
  <c r="S890" i="55"/>
  <c r="S891" i="55"/>
  <c r="S892" i="55"/>
  <c r="S893" i="55"/>
  <c r="S894" i="55"/>
  <c r="S895" i="55"/>
  <c r="S896" i="55"/>
  <c r="S897" i="55"/>
  <c r="S898" i="55"/>
  <c r="S899" i="55"/>
  <c r="S900" i="55"/>
  <c r="S901" i="55"/>
  <c r="S902" i="55"/>
  <c r="S903" i="55"/>
  <c r="S904" i="55"/>
  <c r="S905" i="55"/>
  <c r="S906" i="55"/>
  <c r="S907" i="55"/>
  <c r="S908" i="55"/>
  <c r="S909" i="55"/>
  <c r="S910" i="55"/>
  <c r="S911" i="55"/>
  <c r="S912" i="55"/>
  <c r="S914" i="55"/>
  <c r="S915" i="55"/>
  <c r="S916" i="55"/>
  <c r="S917" i="55"/>
  <c r="S918" i="55"/>
  <c r="S919" i="55"/>
  <c r="S920" i="55"/>
  <c r="S921" i="55"/>
  <c r="S922" i="55"/>
  <c r="S928" i="55"/>
  <c r="B158" i="78" s="1"/>
  <c r="S929" i="55"/>
  <c r="S930" i="55"/>
  <c r="S931" i="55"/>
  <c r="S932" i="55"/>
  <c r="S933" i="55"/>
  <c r="S934" i="55"/>
  <c r="S935" i="55"/>
  <c r="S939" i="55"/>
  <c r="T8" i="55"/>
  <c r="T11" i="55"/>
  <c r="T14" i="55"/>
  <c r="T17" i="55"/>
  <c r="T22" i="55"/>
  <c r="T25" i="55"/>
  <c r="T28" i="55"/>
  <c r="T31" i="55"/>
  <c r="T32" i="55"/>
  <c r="T33" i="55"/>
  <c r="T34" i="55"/>
  <c r="T35" i="55"/>
  <c r="T36" i="55"/>
  <c r="T37" i="55"/>
  <c r="T48" i="55"/>
  <c r="T49" i="55"/>
  <c r="T57" i="55"/>
  <c r="T58" i="55"/>
  <c r="T60" i="55"/>
  <c r="T61" i="55"/>
  <c r="T64" i="55"/>
  <c r="T70" i="55"/>
  <c r="T84" i="55"/>
  <c r="T90" i="55"/>
  <c r="T105" i="55"/>
  <c r="T106" i="55"/>
  <c r="T107" i="55"/>
  <c r="T108" i="55"/>
  <c r="T109" i="55"/>
  <c r="T110" i="55"/>
  <c r="T111" i="55"/>
  <c r="T112" i="55"/>
  <c r="T113" i="55"/>
  <c r="T114" i="55"/>
  <c r="T115" i="55"/>
  <c r="T116" i="55"/>
  <c r="T117" i="55"/>
  <c r="T123" i="55"/>
  <c r="T124" i="55"/>
  <c r="T125" i="55"/>
  <c r="T126" i="55"/>
  <c r="T127" i="55"/>
  <c r="T128" i="55"/>
  <c r="T129" i="55"/>
  <c r="T136" i="55"/>
  <c r="T152" i="55"/>
  <c r="T153" i="55"/>
  <c r="T154" i="55"/>
  <c r="T155" i="55"/>
  <c r="T156" i="55"/>
  <c r="T157" i="55"/>
  <c r="T158" i="55"/>
  <c r="T159" i="55"/>
  <c r="T160" i="55"/>
  <c r="T161" i="55"/>
  <c r="T162" i="55"/>
  <c r="T163" i="55"/>
  <c r="T164" i="55"/>
  <c r="T165" i="55"/>
  <c r="T166" i="55"/>
  <c r="T173" i="55"/>
  <c r="T174" i="55"/>
  <c r="T175" i="55"/>
  <c r="T176" i="55"/>
  <c r="T177" i="55"/>
  <c r="T178" i="55"/>
  <c r="T179" i="55"/>
  <c r="T180" i="55"/>
  <c r="T186" i="55"/>
  <c r="T192" i="55"/>
  <c r="T193" i="55"/>
  <c r="T194" i="55"/>
  <c r="T195" i="55"/>
  <c r="T196" i="55"/>
  <c r="T197" i="55"/>
  <c r="T198" i="55"/>
  <c r="T199" i="55"/>
  <c r="T200" i="55"/>
  <c r="T201" i="55"/>
  <c r="T202" i="55"/>
  <c r="T203" i="55"/>
  <c r="T204" i="55"/>
  <c r="T210" i="55"/>
  <c r="T211" i="55"/>
  <c r="T212" i="55"/>
  <c r="T213" i="55"/>
  <c r="T214" i="55"/>
  <c r="T215" i="55"/>
  <c r="T216" i="55"/>
  <c r="T222" i="55"/>
  <c r="T223" i="55"/>
  <c r="T224" i="55"/>
  <c r="T225" i="55"/>
  <c r="T226" i="55"/>
  <c r="T227" i="55"/>
  <c r="T228" i="55"/>
  <c r="T230" i="55"/>
  <c r="T231" i="55"/>
  <c r="T244" i="55"/>
  <c r="T251" i="55"/>
  <c r="T257" i="55"/>
  <c r="T263" i="55"/>
  <c r="T269" i="55"/>
  <c r="T275" i="55"/>
  <c r="T281" i="55"/>
  <c r="T282" i="55"/>
  <c r="T283" i="55"/>
  <c r="T284" i="55"/>
  <c r="T285" i="55"/>
  <c r="T289" i="55"/>
  <c r="T293" i="55"/>
  <c r="T298" i="55"/>
  <c r="T300" i="55"/>
  <c r="T303" i="55"/>
  <c r="T304" i="55"/>
  <c r="T308" i="55"/>
  <c r="T326" i="55"/>
  <c r="T327" i="55"/>
  <c r="T329" i="55"/>
  <c r="T338" i="55"/>
  <c r="T340" i="55"/>
  <c r="T345" i="55"/>
  <c r="T356" i="55"/>
  <c r="T359" i="55"/>
  <c r="T363" i="55"/>
  <c r="T369" i="55"/>
  <c r="T375" i="55"/>
  <c r="T378" i="55"/>
  <c r="T381" i="55"/>
  <c r="T392" i="55"/>
  <c r="T396" i="55"/>
  <c r="T398" i="55"/>
  <c r="T399" i="55"/>
  <c r="T401" i="55"/>
  <c r="T403" i="55"/>
  <c r="T406" i="55"/>
  <c r="T409" i="55"/>
  <c r="T412" i="55"/>
  <c r="T416" i="55"/>
  <c r="T426" i="55"/>
  <c r="T434" i="55"/>
  <c r="T435" i="55"/>
  <c r="T436" i="55"/>
  <c r="T440" i="55"/>
  <c r="T455" i="55"/>
  <c r="T456" i="55"/>
  <c r="T462" i="55"/>
  <c r="T469" i="55"/>
  <c r="T475" i="55"/>
  <c r="T482" i="55"/>
  <c r="T488" i="55"/>
  <c r="T495" i="55"/>
  <c r="T501" i="55"/>
  <c r="T509" i="55"/>
  <c r="T515" i="55"/>
  <c r="T518" i="55"/>
  <c r="T535" i="55"/>
  <c r="T539" i="55"/>
  <c r="T542" i="55"/>
  <c r="T547" i="55"/>
  <c r="T550" i="55"/>
  <c r="T553" i="55"/>
  <c r="T566" i="55"/>
  <c r="T571" i="55"/>
  <c r="T575" i="55"/>
  <c r="T579" i="55"/>
  <c r="T583" i="55"/>
  <c r="T584" i="55"/>
  <c r="T589" i="55"/>
  <c r="T597" i="55"/>
  <c r="T602" i="55"/>
  <c r="T604" i="55"/>
  <c r="T607" i="55"/>
  <c r="T610" i="55"/>
  <c r="T613" i="55"/>
  <c r="T614" i="55"/>
  <c r="T616" i="55"/>
  <c r="T621" i="55"/>
  <c r="T624" i="55"/>
  <c r="T630" i="55"/>
  <c r="T631" i="55"/>
  <c r="T632" i="55"/>
  <c r="T633" i="55"/>
  <c r="T635" i="55"/>
  <c r="T638" i="55"/>
  <c r="T644" i="55"/>
  <c r="T650" i="55"/>
  <c r="T656" i="55"/>
  <c r="T674" i="55"/>
  <c r="T681" i="55"/>
  <c r="T686" i="55"/>
  <c r="T703" i="55"/>
  <c r="T721" i="55"/>
  <c r="T738" i="55"/>
  <c r="T746" i="55"/>
  <c r="T747" i="55"/>
  <c r="T748" i="55"/>
  <c r="T749" i="55"/>
  <c r="T752" i="55"/>
  <c r="T753" i="55"/>
  <c r="T754" i="55"/>
  <c r="T755" i="55"/>
  <c r="T756" i="55"/>
  <c r="T757" i="55"/>
  <c r="T758" i="55"/>
  <c r="T759" i="55"/>
  <c r="T760" i="55"/>
  <c r="T761" i="55"/>
  <c r="T762" i="55"/>
  <c r="T763" i="55"/>
  <c r="T764" i="55"/>
  <c r="T765" i="55"/>
  <c r="T766" i="55"/>
  <c r="T767" i="55"/>
  <c r="T777" i="55"/>
  <c r="T778" i="55"/>
  <c r="T779" i="55"/>
  <c r="T780" i="55"/>
  <c r="T783" i="55"/>
  <c r="T785" i="55"/>
  <c r="T786" i="55"/>
  <c r="T787" i="55"/>
  <c r="T788" i="55"/>
  <c r="T789" i="55"/>
  <c r="T790" i="55"/>
  <c r="T791" i="55"/>
  <c r="T792" i="55"/>
  <c r="T793" i="55"/>
  <c r="T794" i="55"/>
  <c r="T795" i="55"/>
  <c r="T796" i="55"/>
  <c r="T797" i="55"/>
  <c r="T798" i="55"/>
  <c r="T799" i="55"/>
  <c r="T802" i="55"/>
  <c r="T803" i="55"/>
  <c r="T804" i="55"/>
  <c r="T816" i="55"/>
  <c r="T821" i="55"/>
  <c r="T826" i="55"/>
  <c r="T832" i="55"/>
  <c r="T835" i="55"/>
  <c r="T843" i="55"/>
  <c r="T844" i="55"/>
  <c r="T845" i="55"/>
  <c r="T846" i="55"/>
  <c r="T856" i="55"/>
  <c r="T859" i="55"/>
  <c r="T861" i="55"/>
  <c r="T862" i="55"/>
  <c r="T864" i="55"/>
  <c r="T868" i="55"/>
  <c r="T880" i="55"/>
  <c r="T887" i="55"/>
  <c r="T889" i="55"/>
  <c r="T893" i="55"/>
  <c r="T894" i="55"/>
  <c r="T898" i="55"/>
  <c r="T899" i="55"/>
  <c r="T900" i="55"/>
  <c r="T901" i="55"/>
  <c r="T915" i="55"/>
  <c r="T916" i="55"/>
  <c r="T918" i="55"/>
  <c r="T929" i="55"/>
  <c r="T931" i="55"/>
  <c r="T932" i="55"/>
  <c r="T933" i="55"/>
  <c r="T934" i="55"/>
  <c r="T935" i="55"/>
  <c r="T939" i="55"/>
  <c r="C928" i="55"/>
  <c r="P928" i="55" s="1"/>
  <c r="D158" i="78" l="1"/>
  <c r="F158" i="78" s="1"/>
  <c r="T928" i="55"/>
  <c r="B124" i="78" l="1"/>
  <c r="B123" i="78"/>
  <c r="C124" i="78"/>
  <c r="C123" i="78"/>
  <c r="H674" i="55"/>
  <c r="C676" i="55"/>
  <c r="T676" i="55" s="1"/>
  <c r="C675" i="55"/>
  <c r="T675" i="55" s="1"/>
  <c r="H675" i="55" l="1"/>
  <c r="D123" i="78"/>
  <c r="F123" i="78" s="1"/>
  <c r="H676" i="55"/>
  <c r="D124" i="78"/>
  <c r="F124" i="78" s="1"/>
  <c r="D193" i="78" l="1"/>
  <c r="P730" i="55"/>
  <c r="R730" i="55"/>
  <c r="D191" i="78" l="1"/>
  <c r="H2330" i="71"/>
  <c r="E750" i="55" s="1"/>
  <c r="S750" i="55" s="1"/>
  <c r="T750" i="55" s="1"/>
  <c r="E708" i="55" l="1"/>
  <c r="S708" i="55" s="1"/>
  <c r="T708" i="55" s="1"/>
  <c r="F26" i="79"/>
  <c r="F27" i="79"/>
  <c r="F29" i="79"/>
  <c r="F30" i="79"/>
  <c r="F31" i="79"/>
  <c r="F32" i="79"/>
  <c r="F33" i="79"/>
  <c r="F34" i="79"/>
  <c r="F35" i="79"/>
  <c r="F36" i="79"/>
  <c r="F37" i="79"/>
  <c r="F38" i="79"/>
  <c r="F25" i="79"/>
  <c r="F39" i="79" s="1"/>
  <c r="F41" i="79" s="1"/>
  <c r="C628" i="55" s="1"/>
  <c r="D166" i="78" s="1"/>
  <c r="H2194" i="71" l="1"/>
  <c r="F1272" i="71"/>
  <c r="H1272" i="71" s="1"/>
  <c r="F1271" i="71"/>
  <c r="H1271" i="71" s="1"/>
  <c r="F1270" i="71"/>
  <c r="H1270" i="71" s="1"/>
  <c r="H1269" i="71"/>
  <c r="F1268" i="71"/>
  <c r="H1268" i="71" s="1"/>
  <c r="H1267" i="71"/>
  <c r="H1266" i="71"/>
  <c r="H1265" i="71"/>
  <c r="H1264" i="71"/>
  <c r="H1263" i="71"/>
  <c r="H1262" i="71"/>
  <c r="F1261" i="71"/>
  <c r="H1261" i="71" s="1"/>
  <c r="H1260" i="71"/>
  <c r="H1259" i="71"/>
  <c r="H1258" i="71"/>
  <c r="H897" i="71"/>
  <c r="H895" i="71"/>
  <c r="E894" i="71"/>
  <c r="H894" i="71" s="1"/>
  <c r="H893" i="71"/>
  <c r="H892" i="71"/>
  <c r="H891" i="71"/>
  <c r="H890" i="71"/>
  <c r="H889" i="71"/>
  <c r="H888" i="71"/>
  <c r="H887" i="71"/>
  <c r="H886" i="71"/>
  <c r="H885" i="71"/>
  <c r="H884" i="71"/>
  <c r="H883" i="71"/>
  <c r="H882" i="71"/>
  <c r="H881" i="71"/>
  <c r="H880" i="71"/>
  <c r="H879" i="71"/>
  <c r="H878" i="71"/>
  <c r="H877" i="71"/>
  <c r="H876" i="71"/>
  <c r="H875" i="71"/>
  <c r="H874" i="71"/>
  <c r="H873" i="71"/>
  <c r="H872" i="71"/>
  <c r="E870" i="71"/>
  <c r="H870" i="71" s="1"/>
  <c r="H869" i="71"/>
  <c r="E868" i="71"/>
  <c r="H868" i="71" s="1"/>
  <c r="H867" i="71"/>
  <c r="H866" i="71"/>
  <c r="H865" i="71"/>
  <c r="H864" i="71"/>
  <c r="H863" i="71"/>
  <c r="H862" i="71"/>
  <c r="H861" i="71"/>
  <c r="H860" i="71"/>
  <c r="H859" i="71"/>
  <c r="F858" i="71"/>
  <c r="H858" i="71" s="1"/>
  <c r="H857" i="71"/>
  <c r="H856" i="71"/>
  <c r="H855" i="71"/>
  <c r="H854" i="71"/>
  <c r="H853" i="71"/>
  <c r="H898" i="71" l="1"/>
  <c r="H899" i="71" s="1"/>
  <c r="E1925" i="71" l="1"/>
  <c r="H1925" i="71" s="1"/>
  <c r="E343" i="55"/>
  <c r="H573" i="71"/>
  <c r="F343" i="55" l="1"/>
  <c r="B960" i="76"/>
  <c r="B961" i="76"/>
  <c r="B962" i="76"/>
  <c r="B963" i="76"/>
  <c r="B964" i="76"/>
  <c r="B965" i="76"/>
  <c r="B966" i="76"/>
  <c r="B967" i="76"/>
  <c r="C959" i="76"/>
  <c r="B959" i="76"/>
  <c r="C543" i="76"/>
  <c r="C544" i="76"/>
  <c r="C542" i="76"/>
  <c r="C228" i="78"/>
  <c r="C229" i="78"/>
  <c r="C230" i="78"/>
  <c r="C231" i="78"/>
  <c r="C232" i="78"/>
  <c r="C233" i="78"/>
  <c r="C234" i="78"/>
  <c r="C235" i="78"/>
  <c r="C227" i="78"/>
  <c r="D195" i="78"/>
  <c r="B1005" i="55"/>
  <c r="C267" i="78" s="1"/>
  <c r="F260" i="78"/>
  <c r="D199" i="78"/>
  <c r="D190" i="78"/>
  <c r="C190" i="78"/>
  <c r="D189" i="78"/>
  <c r="D188" i="78"/>
  <c r="D156" i="78"/>
  <c r="D157" i="78"/>
  <c r="D143" i="78"/>
  <c r="D141" i="78"/>
  <c r="D185" i="78"/>
  <c r="D186" i="78"/>
  <c r="D127" i="78"/>
  <c r="D126" i="78"/>
  <c r="D125" i="78"/>
  <c r="C127" i="78"/>
  <c r="C126" i="78"/>
  <c r="C125" i="78"/>
  <c r="C179" i="78"/>
  <c r="D194" i="78"/>
  <c r="D196" i="78"/>
  <c r="D183" i="78"/>
  <c r="D187" i="78"/>
  <c r="C176" i="78"/>
  <c r="C173" i="78"/>
  <c r="D173" i="78"/>
  <c r="C76" i="78"/>
  <c r="C103" i="78"/>
  <c r="C85" i="78"/>
  <c r="D81" i="78"/>
  <c r="C68" i="78"/>
  <c r="C59" i="78"/>
  <c r="C58" i="78"/>
  <c r="C37" i="78"/>
  <c r="C11" i="78"/>
  <c r="C10" i="78"/>
  <c r="A12" i="78"/>
  <c r="A13" i="78" s="1"/>
  <c r="C1005" i="55"/>
  <c r="D267" i="78" s="1"/>
  <c r="D1005" i="55"/>
  <c r="E267" i="78" s="1"/>
  <c r="L999" i="76" l="1"/>
  <c r="U999" i="76"/>
  <c r="C430" i="76"/>
  <c r="V999" i="76" l="1"/>
  <c r="Q1005" i="55"/>
  <c r="S1005" i="55" s="1"/>
  <c r="T1005" i="55" s="1"/>
  <c r="R1005" i="55" l="1"/>
  <c r="C1004" i="55"/>
  <c r="D266" i="78" s="1"/>
  <c r="D1004" i="55"/>
  <c r="E266" i="78" s="1"/>
  <c r="B1004" i="55"/>
  <c r="C266" i="78" s="1"/>
  <c r="B267" i="78" l="1"/>
  <c r="F267" i="78" s="1"/>
  <c r="H938" i="55"/>
  <c r="J938" i="55"/>
  <c r="L938" i="55"/>
  <c r="N938" i="55"/>
  <c r="P938" i="55"/>
  <c r="R938" i="55"/>
  <c r="H2159" i="71" l="1"/>
  <c r="H2111" i="71"/>
  <c r="H1996" i="71"/>
  <c r="P8" i="76"/>
  <c r="P11" i="76"/>
  <c r="P14" i="76"/>
  <c r="P17" i="76"/>
  <c r="P22" i="76"/>
  <c r="P25" i="76"/>
  <c r="P28" i="76"/>
  <c r="P31" i="76"/>
  <c r="P32" i="76"/>
  <c r="P33" i="76"/>
  <c r="P34" i="76"/>
  <c r="P35" i="76"/>
  <c r="P36" i="76"/>
  <c r="P37" i="76"/>
  <c r="P48" i="76"/>
  <c r="P49" i="76"/>
  <c r="P57" i="76"/>
  <c r="P58" i="76"/>
  <c r="P60" i="76"/>
  <c r="P61" i="76"/>
  <c r="P64" i="76"/>
  <c r="P70" i="76"/>
  <c r="P84" i="76"/>
  <c r="P90" i="76"/>
  <c r="P105" i="76"/>
  <c r="P106" i="76"/>
  <c r="P107" i="76"/>
  <c r="P108" i="76"/>
  <c r="P109" i="76"/>
  <c r="P110" i="76"/>
  <c r="P111" i="76"/>
  <c r="P112" i="76"/>
  <c r="P113" i="76"/>
  <c r="P114" i="76"/>
  <c r="P115" i="76"/>
  <c r="P116" i="76"/>
  <c r="P117" i="76"/>
  <c r="P123" i="76"/>
  <c r="P124" i="76"/>
  <c r="P125" i="76"/>
  <c r="P126" i="76"/>
  <c r="P127" i="76"/>
  <c r="P128" i="76"/>
  <c r="P129" i="76"/>
  <c r="P136" i="76"/>
  <c r="P152" i="76"/>
  <c r="P153" i="76"/>
  <c r="P154" i="76"/>
  <c r="P155" i="76"/>
  <c r="P156" i="76"/>
  <c r="P157" i="76"/>
  <c r="P158" i="76"/>
  <c r="P159" i="76"/>
  <c r="P160" i="76"/>
  <c r="P161" i="76"/>
  <c r="P162" i="76"/>
  <c r="P163" i="76"/>
  <c r="P164" i="76"/>
  <c r="P165" i="76"/>
  <c r="P166" i="76"/>
  <c r="P173" i="76"/>
  <c r="P174" i="76"/>
  <c r="P175" i="76"/>
  <c r="P176" i="76"/>
  <c r="P177" i="76"/>
  <c r="P178" i="76"/>
  <c r="P179" i="76"/>
  <c r="P180" i="76"/>
  <c r="P186" i="76"/>
  <c r="P192" i="76"/>
  <c r="P193" i="76"/>
  <c r="P194" i="76"/>
  <c r="P195" i="76"/>
  <c r="P196" i="76"/>
  <c r="P197" i="76"/>
  <c r="P198" i="76"/>
  <c r="P199" i="76"/>
  <c r="P200" i="76"/>
  <c r="P201" i="76"/>
  <c r="P202" i="76"/>
  <c r="P203" i="76"/>
  <c r="P204" i="76"/>
  <c r="P210" i="76"/>
  <c r="P211" i="76"/>
  <c r="P212" i="76"/>
  <c r="P213" i="76"/>
  <c r="P214" i="76"/>
  <c r="P215" i="76"/>
  <c r="P216" i="76"/>
  <c r="P222" i="76"/>
  <c r="P223" i="76"/>
  <c r="P224" i="76"/>
  <c r="P225" i="76"/>
  <c r="P226" i="76"/>
  <c r="P227" i="76"/>
  <c r="P228" i="76"/>
  <c r="P230" i="76"/>
  <c r="P231" i="76"/>
  <c r="P244" i="76"/>
  <c r="P251" i="76"/>
  <c r="P257" i="76"/>
  <c r="P263" i="76"/>
  <c r="P269" i="76"/>
  <c r="P275" i="76"/>
  <c r="P281" i="76"/>
  <c r="P282" i="76"/>
  <c r="P283" i="76"/>
  <c r="P284" i="76"/>
  <c r="P285" i="76"/>
  <c r="P289" i="76"/>
  <c r="P293" i="76"/>
  <c r="P298" i="76"/>
  <c r="P300" i="76"/>
  <c r="P303" i="76"/>
  <c r="P304" i="76"/>
  <c r="P308" i="76"/>
  <c r="P326" i="76"/>
  <c r="P327" i="76"/>
  <c r="P329" i="76"/>
  <c r="P331" i="76"/>
  <c r="P338" i="76"/>
  <c r="P340" i="76"/>
  <c r="P344" i="76"/>
  <c r="P355" i="76"/>
  <c r="P358" i="76"/>
  <c r="P362" i="76"/>
  <c r="P368" i="76"/>
  <c r="P374" i="76"/>
  <c r="P380" i="76"/>
  <c r="P391" i="76"/>
  <c r="P395" i="76"/>
  <c r="P397" i="76"/>
  <c r="P398" i="76"/>
  <c r="P400" i="76"/>
  <c r="P402" i="76"/>
  <c r="P405" i="76"/>
  <c r="P408" i="76"/>
  <c r="P411" i="76"/>
  <c r="P415" i="76"/>
  <c r="P425" i="76"/>
  <c r="P430" i="76"/>
  <c r="P433" i="76"/>
  <c r="P434" i="76"/>
  <c r="P435" i="76"/>
  <c r="P439" i="76"/>
  <c r="P450" i="76"/>
  <c r="P454" i="76"/>
  <c r="P455" i="76"/>
  <c r="P461" i="76"/>
  <c r="P468" i="76"/>
  <c r="P474" i="76"/>
  <c r="P481" i="76"/>
  <c r="P487" i="76"/>
  <c r="P500" i="76"/>
  <c r="P508" i="76"/>
  <c r="P514" i="76"/>
  <c r="P517" i="76"/>
  <c r="P534" i="76"/>
  <c r="P541" i="76"/>
  <c r="P549" i="76"/>
  <c r="P566" i="76"/>
  <c r="P571" i="76"/>
  <c r="P575" i="76"/>
  <c r="P579" i="76"/>
  <c r="P583" i="76"/>
  <c r="P584" i="76"/>
  <c r="P589" i="76"/>
  <c r="P597" i="76"/>
  <c r="P602" i="76"/>
  <c r="P604" i="76"/>
  <c r="P607" i="76"/>
  <c r="P610" i="76"/>
  <c r="P613" i="76"/>
  <c r="P614" i="76"/>
  <c r="P616" i="76"/>
  <c r="P621" i="76"/>
  <c r="P624" i="76"/>
  <c r="P629" i="76"/>
  <c r="P630" i="76"/>
  <c r="P631" i="76"/>
  <c r="P632" i="76"/>
  <c r="P634" i="76"/>
  <c r="P637" i="76"/>
  <c r="P643" i="76"/>
  <c r="P649" i="76"/>
  <c r="P655" i="76"/>
  <c r="P677" i="76"/>
  <c r="P682" i="76"/>
  <c r="P699" i="76"/>
  <c r="P704" i="76"/>
  <c r="P705" i="76"/>
  <c r="P717" i="76"/>
  <c r="P721" i="76"/>
  <c r="P733" i="76"/>
  <c r="P741" i="76"/>
  <c r="P742" i="76"/>
  <c r="P743" i="76"/>
  <c r="P744" i="76"/>
  <c r="P745" i="76"/>
  <c r="P746" i="76"/>
  <c r="P747" i="76"/>
  <c r="P748" i="76"/>
  <c r="P749" i="76"/>
  <c r="P750" i="76"/>
  <c r="P751" i="76"/>
  <c r="P752" i="76"/>
  <c r="P753" i="76"/>
  <c r="P754" i="76"/>
  <c r="P755" i="76"/>
  <c r="P756" i="76"/>
  <c r="P757" i="76"/>
  <c r="P758" i="76"/>
  <c r="P759" i="76"/>
  <c r="P760" i="76"/>
  <c r="P761" i="76"/>
  <c r="P762" i="76"/>
  <c r="P772" i="76"/>
  <c r="P773" i="76"/>
  <c r="P774" i="76"/>
  <c r="P775" i="76"/>
  <c r="P776" i="76"/>
  <c r="P777" i="76"/>
  <c r="P778" i="76"/>
  <c r="P779" i="76"/>
  <c r="P780" i="76"/>
  <c r="P781" i="76"/>
  <c r="P782" i="76"/>
  <c r="P783" i="76"/>
  <c r="P784" i="76"/>
  <c r="P785" i="76"/>
  <c r="P786" i="76"/>
  <c r="P787" i="76"/>
  <c r="P788" i="76"/>
  <c r="P789" i="76"/>
  <c r="P790" i="76"/>
  <c r="P791" i="76"/>
  <c r="P792" i="76"/>
  <c r="P793" i="76"/>
  <c r="P794" i="76"/>
  <c r="P795" i="76"/>
  <c r="P796" i="76"/>
  <c r="P797" i="76"/>
  <c r="P798" i="76"/>
  <c r="P799" i="76"/>
  <c r="P811" i="76"/>
  <c r="P816" i="76"/>
  <c r="P821" i="76"/>
  <c r="P827" i="76"/>
  <c r="P830" i="76"/>
  <c r="P838" i="76"/>
  <c r="P839" i="76"/>
  <c r="P840" i="76"/>
  <c r="P841" i="76"/>
  <c r="P851" i="76"/>
  <c r="P854" i="76"/>
  <c r="P855" i="76"/>
  <c r="P856" i="76"/>
  <c r="P857" i="76"/>
  <c r="P858" i="76"/>
  <c r="P859" i="76"/>
  <c r="P864" i="76"/>
  <c r="P876" i="76"/>
  <c r="P883" i="76"/>
  <c r="P885" i="76"/>
  <c r="P889" i="76"/>
  <c r="P890" i="76"/>
  <c r="P894" i="76"/>
  <c r="P895" i="76"/>
  <c r="P896" i="76"/>
  <c r="P897" i="76"/>
  <c r="P909" i="76"/>
  <c r="P911" i="76"/>
  <c r="P912" i="76"/>
  <c r="P914" i="76"/>
  <c r="P919" i="76"/>
  <c r="P923" i="76"/>
  <c r="P924" i="76"/>
  <c r="P926" i="76"/>
  <c r="P927" i="76"/>
  <c r="P928" i="76"/>
  <c r="P929" i="76"/>
  <c r="P930" i="76"/>
  <c r="P931" i="76"/>
  <c r="P932" i="76"/>
  <c r="P1001" i="76"/>
  <c r="P1002" i="76"/>
  <c r="P1003" i="76"/>
  <c r="P1007" i="76"/>
  <c r="P1008" i="76"/>
  <c r="P1009" i="76"/>
  <c r="P1010" i="76"/>
  <c r="P1101" i="76"/>
  <c r="P1102" i="76"/>
  <c r="P1103" i="76"/>
  <c r="U17" i="76"/>
  <c r="U18" i="76"/>
  <c r="U19" i="76"/>
  <c r="U20" i="76"/>
  <c r="U21" i="76"/>
  <c r="U22" i="76"/>
  <c r="U23" i="76"/>
  <c r="U24" i="76"/>
  <c r="U25" i="76"/>
  <c r="U26" i="76"/>
  <c r="U27" i="76"/>
  <c r="U28" i="76"/>
  <c r="U29" i="76"/>
  <c r="U30" i="76"/>
  <c r="U31" i="76"/>
  <c r="U32" i="76"/>
  <c r="U33" i="76"/>
  <c r="U34" i="76"/>
  <c r="U35" i="76"/>
  <c r="U36" i="76"/>
  <c r="U37" i="76"/>
  <c r="U38" i="76"/>
  <c r="U39" i="76"/>
  <c r="U40" i="76"/>
  <c r="U41" i="76"/>
  <c r="U42" i="76"/>
  <c r="U43" i="76"/>
  <c r="U44" i="76"/>
  <c r="U45" i="76"/>
  <c r="U46" i="76"/>
  <c r="U47" i="76"/>
  <c r="U48" i="76"/>
  <c r="U49" i="76"/>
  <c r="U50" i="76"/>
  <c r="U51" i="76"/>
  <c r="U52" i="76"/>
  <c r="U53" i="76"/>
  <c r="U54" i="76"/>
  <c r="U55" i="76"/>
  <c r="U56" i="76"/>
  <c r="U57" i="76"/>
  <c r="U58" i="76"/>
  <c r="U59" i="76"/>
  <c r="U60" i="76"/>
  <c r="U61" i="76"/>
  <c r="U62" i="76"/>
  <c r="U63" i="76"/>
  <c r="U64" i="76"/>
  <c r="U65" i="76"/>
  <c r="U66" i="76"/>
  <c r="U67" i="76"/>
  <c r="U68" i="76"/>
  <c r="U69" i="76"/>
  <c r="U70" i="76"/>
  <c r="U71" i="76"/>
  <c r="U72" i="76"/>
  <c r="U73" i="76"/>
  <c r="U74" i="76"/>
  <c r="U75" i="76"/>
  <c r="U76" i="76"/>
  <c r="U77" i="76"/>
  <c r="U78" i="76"/>
  <c r="U79" i="76"/>
  <c r="U80" i="76"/>
  <c r="U81" i="76"/>
  <c r="U82" i="76"/>
  <c r="U83" i="76"/>
  <c r="U84" i="76"/>
  <c r="U85" i="76"/>
  <c r="U86" i="76"/>
  <c r="U87" i="76"/>
  <c r="U88" i="76"/>
  <c r="U89" i="76"/>
  <c r="U90" i="76"/>
  <c r="U91" i="76"/>
  <c r="U92" i="76"/>
  <c r="U93" i="76"/>
  <c r="U94" i="76"/>
  <c r="U95" i="76"/>
  <c r="U96" i="76"/>
  <c r="U97" i="76"/>
  <c r="U98" i="76"/>
  <c r="U99" i="76"/>
  <c r="U100" i="76"/>
  <c r="U101" i="76"/>
  <c r="U102" i="76"/>
  <c r="U103" i="76"/>
  <c r="U104" i="76"/>
  <c r="U105" i="76"/>
  <c r="U106" i="76"/>
  <c r="U107" i="76"/>
  <c r="U108" i="76"/>
  <c r="U109" i="76"/>
  <c r="U110" i="76"/>
  <c r="U111" i="76"/>
  <c r="U112" i="76"/>
  <c r="U113" i="76"/>
  <c r="U114" i="76"/>
  <c r="U115" i="76"/>
  <c r="U116" i="76"/>
  <c r="U117" i="76"/>
  <c r="U118" i="76"/>
  <c r="U119" i="76"/>
  <c r="U120" i="76"/>
  <c r="U121" i="76"/>
  <c r="U122" i="76"/>
  <c r="U123" i="76"/>
  <c r="U124" i="76"/>
  <c r="U125" i="76"/>
  <c r="U126" i="76"/>
  <c r="U127" i="76"/>
  <c r="U128" i="76"/>
  <c r="U129" i="76"/>
  <c r="U130" i="76"/>
  <c r="U131" i="76"/>
  <c r="U132" i="76"/>
  <c r="U133" i="76"/>
  <c r="U134" i="76"/>
  <c r="U135" i="76"/>
  <c r="U136" i="76"/>
  <c r="U137" i="76"/>
  <c r="U138" i="76"/>
  <c r="U139" i="76"/>
  <c r="U140" i="76"/>
  <c r="U141" i="76"/>
  <c r="U142" i="76"/>
  <c r="U143" i="76"/>
  <c r="U144" i="76"/>
  <c r="U145" i="76"/>
  <c r="U146" i="76"/>
  <c r="U147" i="76"/>
  <c r="U148" i="76"/>
  <c r="U149" i="76"/>
  <c r="U150" i="76"/>
  <c r="U151" i="76"/>
  <c r="U152" i="76"/>
  <c r="U153" i="76"/>
  <c r="U154" i="76"/>
  <c r="U155" i="76"/>
  <c r="U156" i="76"/>
  <c r="U157" i="76"/>
  <c r="U158" i="76"/>
  <c r="U159" i="76"/>
  <c r="U160" i="76"/>
  <c r="U161" i="76"/>
  <c r="U162" i="76"/>
  <c r="U163" i="76"/>
  <c r="U164" i="76"/>
  <c r="U165" i="76"/>
  <c r="U166" i="76"/>
  <c r="U167" i="76"/>
  <c r="U168" i="76"/>
  <c r="U169" i="76"/>
  <c r="U170" i="76"/>
  <c r="U171" i="76"/>
  <c r="U172" i="76"/>
  <c r="U173" i="76"/>
  <c r="U174" i="76"/>
  <c r="U175" i="76"/>
  <c r="U176" i="76"/>
  <c r="U177" i="76"/>
  <c r="U178" i="76"/>
  <c r="U179" i="76"/>
  <c r="U180" i="76"/>
  <c r="U181" i="76"/>
  <c r="U182" i="76"/>
  <c r="U183" i="76"/>
  <c r="U184" i="76"/>
  <c r="U185" i="76"/>
  <c r="U186" i="76"/>
  <c r="U187" i="76"/>
  <c r="U188" i="76"/>
  <c r="U189" i="76"/>
  <c r="U190" i="76"/>
  <c r="U191" i="76"/>
  <c r="U192" i="76"/>
  <c r="U193" i="76"/>
  <c r="U194" i="76"/>
  <c r="U195" i="76"/>
  <c r="U196" i="76"/>
  <c r="U197" i="76"/>
  <c r="U198" i="76"/>
  <c r="U199" i="76"/>
  <c r="U200" i="76"/>
  <c r="U201" i="76"/>
  <c r="U202" i="76"/>
  <c r="U203" i="76"/>
  <c r="U204" i="76"/>
  <c r="U205" i="76"/>
  <c r="U206" i="76"/>
  <c r="U207" i="76"/>
  <c r="U208" i="76"/>
  <c r="U209" i="76"/>
  <c r="U210" i="76"/>
  <c r="U211" i="76"/>
  <c r="U212" i="76"/>
  <c r="U213" i="76"/>
  <c r="U214" i="76"/>
  <c r="U215" i="76"/>
  <c r="U216" i="76"/>
  <c r="U217" i="76"/>
  <c r="U218" i="76"/>
  <c r="U219" i="76"/>
  <c r="U220" i="76"/>
  <c r="U221" i="76"/>
  <c r="U222" i="76"/>
  <c r="U223" i="76"/>
  <c r="U224" i="76"/>
  <c r="U225" i="76"/>
  <c r="U226" i="76"/>
  <c r="U227" i="76"/>
  <c r="U228" i="76"/>
  <c r="U229" i="76"/>
  <c r="U230" i="76"/>
  <c r="U231" i="76"/>
  <c r="U232" i="76"/>
  <c r="U233" i="76"/>
  <c r="U234" i="76"/>
  <c r="U235" i="76"/>
  <c r="U236" i="76"/>
  <c r="U237" i="76"/>
  <c r="U238" i="76"/>
  <c r="U239" i="76"/>
  <c r="U240" i="76"/>
  <c r="U241" i="76"/>
  <c r="U242" i="76"/>
  <c r="U243" i="76"/>
  <c r="U244" i="76"/>
  <c r="U245" i="76"/>
  <c r="U246" i="76"/>
  <c r="U247" i="76"/>
  <c r="U248" i="76"/>
  <c r="U249" i="76"/>
  <c r="U250" i="76"/>
  <c r="U251" i="76"/>
  <c r="U252" i="76"/>
  <c r="U253" i="76"/>
  <c r="U254" i="76"/>
  <c r="U255" i="76"/>
  <c r="U256" i="76"/>
  <c r="U257" i="76"/>
  <c r="U258" i="76"/>
  <c r="U259" i="76"/>
  <c r="U260" i="76"/>
  <c r="U261" i="76"/>
  <c r="U262" i="76"/>
  <c r="U263" i="76"/>
  <c r="U264" i="76"/>
  <c r="U265" i="76"/>
  <c r="U266" i="76"/>
  <c r="U267" i="76"/>
  <c r="U268" i="76"/>
  <c r="U269" i="76"/>
  <c r="U270" i="76"/>
  <c r="U271" i="76"/>
  <c r="U272" i="76"/>
  <c r="U273" i="76"/>
  <c r="U274" i="76"/>
  <c r="U275" i="76"/>
  <c r="U276" i="76"/>
  <c r="U277" i="76"/>
  <c r="U278" i="76"/>
  <c r="U279" i="76"/>
  <c r="U280" i="76"/>
  <c r="U281" i="76"/>
  <c r="U282" i="76"/>
  <c r="U283" i="76"/>
  <c r="U284" i="76"/>
  <c r="U285" i="76"/>
  <c r="U286" i="76"/>
  <c r="U287" i="76"/>
  <c r="U288" i="76"/>
  <c r="U289" i="76"/>
  <c r="U290" i="76"/>
  <c r="U291" i="76"/>
  <c r="U292" i="76"/>
  <c r="U293" i="76"/>
  <c r="U294" i="76"/>
  <c r="U295" i="76"/>
  <c r="U296" i="76"/>
  <c r="U297" i="76"/>
  <c r="U298" i="76"/>
  <c r="U299" i="76"/>
  <c r="U300" i="76"/>
  <c r="U301" i="76"/>
  <c r="U302" i="76"/>
  <c r="U303" i="76"/>
  <c r="U304" i="76"/>
  <c r="U305" i="76"/>
  <c r="U306" i="76"/>
  <c r="U307" i="76"/>
  <c r="U308" i="76"/>
  <c r="U309" i="76"/>
  <c r="U310" i="76"/>
  <c r="U311" i="76"/>
  <c r="U312" i="76"/>
  <c r="U313" i="76"/>
  <c r="U314" i="76"/>
  <c r="U315" i="76"/>
  <c r="U316" i="76"/>
  <c r="U317" i="76"/>
  <c r="U318" i="76"/>
  <c r="U319" i="76"/>
  <c r="U320" i="76"/>
  <c r="U321" i="76"/>
  <c r="U322" i="76"/>
  <c r="U323" i="76"/>
  <c r="U324" i="76"/>
  <c r="U325" i="76"/>
  <c r="U326" i="76"/>
  <c r="U327" i="76"/>
  <c r="U328" i="76"/>
  <c r="U329" i="76"/>
  <c r="U330" i="76"/>
  <c r="U331" i="76"/>
  <c r="Q331" i="55" s="1"/>
  <c r="S331" i="55" s="1"/>
  <c r="T331" i="55" s="1"/>
  <c r="U332" i="76"/>
  <c r="Q332" i="55" s="1"/>
  <c r="S332" i="55" s="1"/>
  <c r="U333" i="76"/>
  <c r="Q333" i="55" s="1"/>
  <c r="S333" i="55" s="1"/>
  <c r="U334" i="76"/>
  <c r="Q334" i="55" s="1"/>
  <c r="S334" i="55" s="1"/>
  <c r="U335" i="76"/>
  <c r="Q335" i="55" s="1"/>
  <c r="S335" i="55" s="1"/>
  <c r="U336" i="76"/>
  <c r="Q336" i="55" s="1"/>
  <c r="S336" i="55" s="1"/>
  <c r="U337" i="76"/>
  <c r="U338" i="76"/>
  <c r="U339" i="76"/>
  <c r="U340" i="76"/>
  <c r="U341" i="76"/>
  <c r="U342" i="76"/>
  <c r="U343" i="76"/>
  <c r="Q343" i="55" s="1"/>
  <c r="S343" i="55" s="1"/>
  <c r="U344" i="76"/>
  <c r="U345" i="76"/>
  <c r="U346" i="76"/>
  <c r="U347" i="76"/>
  <c r="U348" i="76"/>
  <c r="U349" i="76"/>
  <c r="U350" i="76"/>
  <c r="U351" i="76"/>
  <c r="U352" i="76"/>
  <c r="U353" i="76"/>
  <c r="U354" i="76"/>
  <c r="U355" i="76"/>
  <c r="U356" i="76"/>
  <c r="U357" i="76"/>
  <c r="U358" i="76"/>
  <c r="U359" i="76"/>
  <c r="U360" i="76"/>
  <c r="U361" i="76"/>
  <c r="U362" i="76"/>
  <c r="U363" i="76"/>
  <c r="U364" i="76"/>
  <c r="U365" i="76"/>
  <c r="U366" i="76"/>
  <c r="U367" i="76"/>
  <c r="U368" i="76"/>
  <c r="U369" i="76"/>
  <c r="U370" i="76"/>
  <c r="U371" i="76"/>
  <c r="U372" i="76"/>
  <c r="U373" i="76"/>
  <c r="U374" i="76"/>
  <c r="U375" i="76"/>
  <c r="U376" i="76"/>
  <c r="U377" i="76"/>
  <c r="U378" i="76"/>
  <c r="U379" i="76"/>
  <c r="U380" i="76"/>
  <c r="U381" i="76"/>
  <c r="U382" i="76"/>
  <c r="U383" i="76"/>
  <c r="U384" i="76"/>
  <c r="U385" i="76"/>
  <c r="U386" i="76"/>
  <c r="U387" i="76"/>
  <c r="U388" i="76"/>
  <c r="U389" i="76"/>
  <c r="U390" i="76"/>
  <c r="U391" i="76"/>
  <c r="U392" i="76"/>
  <c r="U393" i="76"/>
  <c r="U394" i="76"/>
  <c r="U395" i="76"/>
  <c r="U396" i="76"/>
  <c r="U397" i="76"/>
  <c r="U398" i="76"/>
  <c r="U399" i="76"/>
  <c r="U400" i="76"/>
  <c r="U401" i="76"/>
  <c r="U402" i="76"/>
  <c r="U403" i="76"/>
  <c r="U404" i="76"/>
  <c r="U405" i="76"/>
  <c r="U406" i="76"/>
  <c r="U407" i="76"/>
  <c r="U408" i="76"/>
  <c r="U409" i="76"/>
  <c r="U410" i="76"/>
  <c r="U411" i="76"/>
  <c r="U412" i="76"/>
  <c r="U413" i="76"/>
  <c r="U414" i="76"/>
  <c r="U415" i="76"/>
  <c r="U416" i="76"/>
  <c r="U417" i="76"/>
  <c r="U418" i="76"/>
  <c r="U419" i="76"/>
  <c r="U420" i="76"/>
  <c r="U421" i="76"/>
  <c r="U422" i="76"/>
  <c r="U423" i="76"/>
  <c r="U424" i="76"/>
  <c r="U425" i="76"/>
  <c r="U426" i="76"/>
  <c r="U427" i="76"/>
  <c r="U428" i="76"/>
  <c r="U429" i="76"/>
  <c r="U430" i="76"/>
  <c r="U431" i="76"/>
  <c r="U432" i="76"/>
  <c r="U433" i="76"/>
  <c r="U434" i="76"/>
  <c r="U435" i="76"/>
  <c r="U436" i="76"/>
  <c r="U437" i="76"/>
  <c r="U438" i="76"/>
  <c r="U439" i="76"/>
  <c r="U440" i="76"/>
  <c r="U441" i="76"/>
  <c r="U442" i="76"/>
  <c r="U443" i="76"/>
  <c r="U444" i="76"/>
  <c r="U445" i="76"/>
  <c r="U446" i="76"/>
  <c r="U447" i="76"/>
  <c r="U448" i="76"/>
  <c r="U449" i="76"/>
  <c r="U450" i="76"/>
  <c r="U451" i="76"/>
  <c r="U452" i="76"/>
  <c r="U453" i="76"/>
  <c r="U454" i="76"/>
  <c r="U455" i="76"/>
  <c r="U456" i="76"/>
  <c r="U457" i="76"/>
  <c r="U458" i="76"/>
  <c r="U459" i="76"/>
  <c r="U460" i="76"/>
  <c r="U461" i="76"/>
  <c r="U462" i="76"/>
  <c r="U463" i="76"/>
  <c r="U464" i="76"/>
  <c r="U465" i="76"/>
  <c r="U466" i="76"/>
  <c r="U467" i="76"/>
  <c r="U468" i="76"/>
  <c r="U469" i="76"/>
  <c r="U470" i="76"/>
  <c r="U471" i="76"/>
  <c r="U472" i="76"/>
  <c r="U473" i="76"/>
  <c r="U474" i="76"/>
  <c r="U475" i="76"/>
  <c r="U476" i="76"/>
  <c r="U477" i="76"/>
  <c r="U478" i="76"/>
  <c r="U479" i="76"/>
  <c r="U480" i="76"/>
  <c r="U481" i="76"/>
  <c r="U482" i="76"/>
  <c r="U483" i="76"/>
  <c r="U484" i="76"/>
  <c r="U485" i="76"/>
  <c r="U486" i="76"/>
  <c r="U487" i="76"/>
  <c r="U488" i="76"/>
  <c r="U489" i="76"/>
  <c r="U490" i="76"/>
  <c r="U491" i="76"/>
  <c r="U492" i="76"/>
  <c r="U493" i="76"/>
  <c r="U494" i="76"/>
  <c r="U495" i="76"/>
  <c r="U496" i="76"/>
  <c r="U497" i="76"/>
  <c r="U498" i="76"/>
  <c r="U499" i="76"/>
  <c r="U500" i="76"/>
  <c r="U501" i="76"/>
  <c r="U502" i="76"/>
  <c r="U503" i="76"/>
  <c r="U504" i="76"/>
  <c r="U505" i="76"/>
  <c r="U506" i="76"/>
  <c r="U507" i="76"/>
  <c r="U508" i="76"/>
  <c r="U509" i="76"/>
  <c r="U510" i="76"/>
  <c r="U511" i="76"/>
  <c r="U512" i="76"/>
  <c r="U513" i="76"/>
  <c r="U514" i="76"/>
  <c r="U515" i="76"/>
  <c r="U516" i="76"/>
  <c r="U517" i="76"/>
  <c r="U518" i="76"/>
  <c r="U519" i="76"/>
  <c r="U520" i="76"/>
  <c r="U521" i="76"/>
  <c r="U522" i="76"/>
  <c r="U523" i="76"/>
  <c r="U524" i="76"/>
  <c r="U525" i="76"/>
  <c r="U526" i="76"/>
  <c r="U527" i="76"/>
  <c r="U528" i="76"/>
  <c r="U529" i="76"/>
  <c r="U530" i="76"/>
  <c r="U531" i="76"/>
  <c r="U532" i="76"/>
  <c r="U533" i="76"/>
  <c r="U534" i="76"/>
  <c r="U535" i="76"/>
  <c r="U536" i="76"/>
  <c r="U537" i="76"/>
  <c r="U538" i="76"/>
  <c r="U539" i="76"/>
  <c r="U540" i="76"/>
  <c r="U541" i="76"/>
  <c r="U542" i="76"/>
  <c r="U543" i="76"/>
  <c r="U544" i="76"/>
  <c r="U545" i="76"/>
  <c r="U546" i="76"/>
  <c r="U547" i="76"/>
  <c r="U548" i="76"/>
  <c r="U549" i="76"/>
  <c r="U550" i="76"/>
  <c r="U551" i="76"/>
  <c r="U552" i="76"/>
  <c r="U553" i="76"/>
  <c r="U554" i="76"/>
  <c r="U555" i="76"/>
  <c r="U556" i="76"/>
  <c r="U557" i="76"/>
  <c r="U558" i="76"/>
  <c r="U559" i="76"/>
  <c r="U560" i="76"/>
  <c r="U561" i="76"/>
  <c r="U562" i="76"/>
  <c r="U563" i="76"/>
  <c r="U564" i="76"/>
  <c r="U565" i="76"/>
  <c r="U566" i="76"/>
  <c r="U567" i="76"/>
  <c r="U568" i="76"/>
  <c r="U569" i="76"/>
  <c r="U570" i="76"/>
  <c r="U571" i="76"/>
  <c r="U572" i="76"/>
  <c r="U573" i="76"/>
  <c r="U574" i="76"/>
  <c r="U575" i="76"/>
  <c r="U576" i="76"/>
  <c r="U577" i="76"/>
  <c r="U578" i="76"/>
  <c r="U579" i="76"/>
  <c r="U580" i="76"/>
  <c r="U581" i="76"/>
  <c r="U582" i="76"/>
  <c r="U583" i="76"/>
  <c r="U584" i="76"/>
  <c r="U585" i="76"/>
  <c r="U586" i="76"/>
  <c r="U587" i="76"/>
  <c r="U588" i="76"/>
  <c r="U589" i="76"/>
  <c r="U590" i="76"/>
  <c r="U591" i="76"/>
  <c r="U592" i="76"/>
  <c r="U593" i="76"/>
  <c r="U594" i="76"/>
  <c r="U595" i="76"/>
  <c r="U596" i="76"/>
  <c r="U597" i="76"/>
  <c r="U598" i="76"/>
  <c r="U599" i="76"/>
  <c r="U600" i="76"/>
  <c r="U601" i="76"/>
  <c r="U602" i="76"/>
  <c r="U603" i="76"/>
  <c r="U604" i="76"/>
  <c r="U605" i="76"/>
  <c r="U606" i="76"/>
  <c r="U607" i="76"/>
  <c r="U608" i="76"/>
  <c r="U609" i="76"/>
  <c r="U610" i="76"/>
  <c r="U611" i="76"/>
  <c r="U612" i="76"/>
  <c r="U613" i="76"/>
  <c r="U614" i="76"/>
  <c r="U615" i="76"/>
  <c r="U616" i="76"/>
  <c r="U617" i="76"/>
  <c r="U618" i="76"/>
  <c r="U619" i="76"/>
  <c r="U620" i="76"/>
  <c r="U621" i="76"/>
  <c r="U622" i="76"/>
  <c r="U623" i="76"/>
  <c r="U624" i="76"/>
  <c r="U625" i="76"/>
  <c r="U626" i="76"/>
  <c r="U627" i="76"/>
  <c r="U628" i="76"/>
  <c r="U629" i="76"/>
  <c r="U630" i="76"/>
  <c r="U631" i="76"/>
  <c r="U632" i="76"/>
  <c r="U633" i="76"/>
  <c r="U634" i="76"/>
  <c r="U635" i="76"/>
  <c r="U636" i="76"/>
  <c r="U637" i="76"/>
  <c r="U638" i="76"/>
  <c r="U639" i="76"/>
  <c r="U640" i="76"/>
  <c r="U641" i="76"/>
  <c r="U642" i="76"/>
  <c r="U643" i="76"/>
  <c r="U644" i="76"/>
  <c r="U645" i="76"/>
  <c r="U646" i="76"/>
  <c r="U647" i="76"/>
  <c r="U648" i="76"/>
  <c r="U649" i="76"/>
  <c r="U650" i="76"/>
  <c r="U651" i="76"/>
  <c r="U652" i="76"/>
  <c r="U653" i="76"/>
  <c r="U654" i="76"/>
  <c r="U655" i="76"/>
  <c r="U656" i="76"/>
  <c r="U657" i="76"/>
  <c r="U658" i="76"/>
  <c r="U659" i="76"/>
  <c r="U660" i="76"/>
  <c r="U661" i="76"/>
  <c r="U662" i="76"/>
  <c r="U663" i="76"/>
  <c r="U664" i="76"/>
  <c r="U665" i="76"/>
  <c r="U666" i="76"/>
  <c r="U667" i="76"/>
  <c r="U668" i="76"/>
  <c r="U669" i="76"/>
  <c r="U670" i="76"/>
  <c r="U671" i="76"/>
  <c r="U672" i="76"/>
  <c r="U673" i="76"/>
  <c r="U674" i="76"/>
  <c r="U675" i="76"/>
  <c r="U676" i="76"/>
  <c r="U677" i="76"/>
  <c r="U678" i="76"/>
  <c r="U679" i="76"/>
  <c r="U680" i="76"/>
  <c r="U681" i="76"/>
  <c r="U682" i="76"/>
  <c r="U683" i="76"/>
  <c r="U684" i="76"/>
  <c r="U685" i="76"/>
  <c r="U686" i="76"/>
  <c r="U687" i="76"/>
  <c r="U688" i="76"/>
  <c r="U689" i="76"/>
  <c r="U690" i="76"/>
  <c r="U691" i="76"/>
  <c r="U692" i="76"/>
  <c r="U693" i="76"/>
  <c r="U694" i="76"/>
  <c r="U695" i="76"/>
  <c r="U696" i="76"/>
  <c r="U697" i="76"/>
  <c r="U698" i="76"/>
  <c r="U699" i="76"/>
  <c r="U700" i="76"/>
  <c r="U701" i="76"/>
  <c r="U702" i="76"/>
  <c r="U703" i="76"/>
  <c r="U704" i="76"/>
  <c r="U705" i="76"/>
  <c r="U706" i="76"/>
  <c r="U707" i="76"/>
  <c r="U708" i="76"/>
  <c r="U709" i="76"/>
  <c r="U710" i="76"/>
  <c r="U711" i="76"/>
  <c r="U712" i="76"/>
  <c r="U713" i="76"/>
  <c r="U714" i="76"/>
  <c r="U715" i="76"/>
  <c r="U716" i="76"/>
  <c r="U717" i="76"/>
  <c r="U718" i="76"/>
  <c r="U719" i="76"/>
  <c r="U720" i="76"/>
  <c r="U721" i="76"/>
  <c r="U722" i="76"/>
  <c r="U723" i="76"/>
  <c r="U724" i="76"/>
  <c r="U725" i="76"/>
  <c r="U726" i="76"/>
  <c r="U727" i="76"/>
  <c r="U728" i="76"/>
  <c r="U729" i="76"/>
  <c r="U730" i="76"/>
  <c r="U731" i="76"/>
  <c r="U732" i="76"/>
  <c r="U733" i="76"/>
  <c r="U734" i="76"/>
  <c r="U735" i="76"/>
  <c r="U736" i="76"/>
  <c r="U737" i="76"/>
  <c r="U738" i="76"/>
  <c r="U739" i="76"/>
  <c r="U740" i="76"/>
  <c r="U741" i="76"/>
  <c r="U742" i="76"/>
  <c r="U743" i="76"/>
  <c r="U744" i="76"/>
  <c r="U745" i="76"/>
  <c r="U746" i="76"/>
  <c r="U747" i="76"/>
  <c r="U748" i="76"/>
  <c r="U749" i="76"/>
  <c r="U750" i="76"/>
  <c r="U751" i="76"/>
  <c r="U752" i="76"/>
  <c r="U753" i="76"/>
  <c r="U754" i="76"/>
  <c r="U755" i="76"/>
  <c r="U756" i="76"/>
  <c r="U757" i="76"/>
  <c r="U758" i="76"/>
  <c r="U759" i="76"/>
  <c r="U760" i="76"/>
  <c r="U761" i="76"/>
  <c r="U762" i="76"/>
  <c r="U763" i="76"/>
  <c r="U764" i="76"/>
  <c r="U765" i="76"/>
  <c r="U766" i="76"/>
  <c r="U767" i="76"/>
  <c r="U768" i="76"/>
  <c r="U769" i="76"/>
  <c r="U770" i="76"/>
  <c r="U771" i="76"/>
  <c r="U772" i="76"/>
  <c r="U773" i="76"/>
  <c r="U774" i="76"/>
  <c r="U775" i="76"/>
  <c r="U776" i="76"/>
  <c r="U777" i="76"/>
  <c r="U778" i="76"/>
  <c r="U779" i="76"/>
  <c r="U780" i="76"/>
  <c r="U781" i="76"/>
  <c r="U782" i="76"/>
  <c r="U783" i="76"/>
  <c r="U784" i="76"/>
  <c r="U785" i="76"/>
  <c r="U786" i="76"/>
  <c r="U787" i="76"/>
  <c r="U788" i="76"/>
  <c r="U789" i="76"/>
  <c r="U790" i="76"/>
  <c r="U791" i="76"/>
  <c r="U792" i="76"/>
  <c r="U793" i="76"/>
  <c r="U794" i="76"/>
  <c r="U795" i="76"/>
  <c r="U796" i="76"/>
  <c r="U797" i="76"/>
  <c r="U798" i="76"/>
  <c r="U799" i="76"/>
  <c r="U800" i="76"/>
  <c r="U801" i="76"/>
  <c r="U802" i="76"/>
  <c r="U803" i="76"/>
  <c r="U804" i="76"/>
  <c r="U805" i="76"/>
  <c r="U806" i="76"/>
  <c r="U807" i="76"/>
  <c r="U808" i="76"/>
  <c r="U809" i="76"/>
  <c r="U810" i="76"/>
  <c r="U811" i="76"/>
  <c r="U812" i="76"/>
  <c r="U813" i="76"/>
  <c r="U814" i="76"/>
  <c r="U815" i="76"/>
  <c r="U816" i="76"/>
  <c r="U817" i="76"/>
  <c r="U818" i="76"/>
  <c r="U819" i="76"/>
  <c r="U820" i="76"/>
  <c r="U821" i="76"/>
  <c r="U822" i="76"/>
  <c r="U823" i="76"/>
  <c r="U824" i="76"/>
  <c r="U825" i="76"/>
  <c r="U826" i="76"/>
  <c r="U827" i="76"/>
  <c r="U828" i="76"/>
  <c r="U829" i="76"/>
  <c r="U830" i="76"/>
  <c r="U831" i="76"/>
  <c r="U832" i="76"/>
  <c r="U833" i="76"/>
  <c r="U834" i="76"/>
  <c r="U835" i="76"/>
  <c r="U836" i="76"/>
  <c r="U837" i="76"/>
  <c r="U838" i="76"/>
  <c r="U839" i="76"/>
  <c r="U840" i="76"/>
  <c r="U841" i="76"/>
  <c r="U842" i="76"/>
  <c r="U843" i="76"/>
  <c r="U844" i="76"/>
  <c r="U845" i="76"/>
  <c r="U846" i="76"/>
  <c r="U847" i="76"/>
  <c r="U848" i="76"/>
  <c r="U849" i="76"/>
  <c r="U850" i="76"/>
  <c r="U851" i="76"/>
  <c r="U852" i="76"/>
  <c r="U853" i="76"/>
  <c r="U854" i="76"/>
  <c r="U855" i="76"/>
  <c r="U856" i="76"/>
  <c r="U857" i="76"/>
  <c r="U858" i="76"/>
  <c r="U859" i="76"/>
  <c r="U860" i="76"/>
  <c r="U861" i="76"/>
  <c r="U862" i="76"/>
  <c r="U863" i="76"/>
  <c r="U864" i="76"/>
  <c r="U865" i="76"/>
  <c r="U866" i="76"/>
  <c r="U867" i="76"/>
  <c r="U868" i="76"/>
  <c r="U869" i="76"/>
  <c r="U870" i="76"/>
  <c r="U871" i="76"/>
  <c r="U872" i="76"/>
  <c r="U873" i="76"/>
  <c r="U874" i="76"/>
  <c r="U875" i="76"/>
  <c r="U876" i="76"/>
  <c r="U877" i="76"/>
  <c r="U878" i="76"/>
  <c r="U879" i="76"/>
  <c r="U880" i="76"/>
  <c r="U881" i="76"/>
  <c r="U882" i="76"/>
  <c r="U883" i="76"/>
  <c r="U884" i="76"/>
  <c r="U885" i="76"/>
  <c r="U886" i="76"/>
  <c r="U887" i="76"/>
  <c r="U888" i="76"/>
  <c r="U889" i="76"/>
  <c r="U890" i="76"/>
  <c r="U891" i="76"/>
  <c r="U892" i="76"/>
  <c r="U893" i="76"/>
  <c r="U894" i="76"/>
  <c r="U895" i="76"/>
  <c r="U896" i="76"/>
  <c r="U897" i="76"/>
  <c r="U898" i="76"/>
  <c r="U899" i="76"/>
  <c r="U900" i="76"/>
  <c r="U901" i="76"/>
  <c r="U902" i="76"/>
  <c r="U903" i="76"/>
  <c r="U904" i="76"/>
  <c r="U905" i="76"/>
  <c r="U906" i="76"/>
  <c r="U907" i="76"/>
  <c r="U908" i="76"/>
  <c r="U909" i="76"/>
  <c r="U910" i="76"/>
  <c r="U911" i="76"/>
  <c r="U912" i="76"/>
  <c r="U913" i="76"/>
  <c r="U914" i="76"/>
  <c r="U915" i="76"/>
  <c r="U916" i="76"/>
  <c r="U917" i="76"/>
  <c r="U918" i="76"/>
  <c r="U919" i="76"/>
  <c r="U920" i="76"/>
  <c r="U921" i="76"/>
  <c r="U922" i="76"/>
  <c r="U923" i="76"/>
  <c r="U924" i="76"/>
  <c r="U925" i="76"/>
  <c r="U926" i="76"/>
  <c r="U927" i="76"/>
  <c r="U928" i="76"/>
  <c r="U929" i="76"/>
  <c r="U930" i="76"/>
  <c r="U931" i="76"/>
  <c r="U932" i="76"/>
  <c r="U933" i="76"/>
  <c r="U934" i="76"/>
  <c r="U935" i="76"/>
  <c r="U936" i="76"/>
  <c r="U937" i="76"/>
  <c r="U938" i="76"/>
  <c r="U939" i="76"/>
  <c r="U940" i="76"/>
  <c r="U941" i="76"/>
  <c r="U942" i="76"/>
  <c r="U943" i="76"/>
  <c r="U944" i="76"/>
  <c r="U945" i="76"/>
  <c r="U946" i="76"/>
  <c r="U947" i="76"/>
  <c r="U948" i="76"/>
  <c r="U949" i="76"/>
  <c r="U950" i="76"/>
  <c r="U951" i="76"/>
  <c r="U952" i="76"/>
  <c r="U953" i="76"/>
  <c r="U954" i="76"/>
  <c r="U955" i="76"/>
  <c r="U956" i="76"/>
  <c r="U957" i="76"/>
  <c r="U958" i="76"/>
  <c r="U959" i="76"/>
  <c r="U960" i="76"/>
  <c r="U961" i="76"/>
  <c r="U962" i="76"/>
  <c r="U963" i="76"/>
  <c r="U964" i="76"/>
  <c r="U965" i="76"/>
  <c r="U966" i="76"/>
  <c r="U967" i="76"/>
  <c r="U968" i="76"/>
  <c r="U969" i="76"/>
  <c r="U970" i="76"/>
  <c r="U971" i="76"/>
  <c r="U972" i="76"/>
  <c r="U973" i="76"/>
  <c r="U974" i="76"/>
  <c r="U975" i="76"/>
  <c r="U976" i="76"/>
  <c r="U977" i="76"/>
  <c r="U978" i="76"/>
  <c r="U979" i="76"/>
  <c r="U980" i="76"/>
  <c r="U981" i="76"/>
  <c r="U982" i="76"/>
  <c r="U983" i="76"/>
  <c r="U984" i="76"/>
  <c r="U985" i="76"/>
  <c r="U986" i="76"/>
  <c r="U987" i="76"/>
  <c r="U988" i="76"/>
  <c r="U989" i="76"/>
  <c r="U990" i="76"/>
  <c r="U991" i="76"/>
  <c r="U992" i="76"/>
  <c r="U993" i="76"/>
  <c r="U994" i="76"/>
  <c r="U995" i="76"/>
  <c r="U996" i="76"/>
  <c r="U997" i="76"/>
  <c r="U998" i="76"/>
  <c r="Q1004" i="55" s="1"/>
  <c r="S1004" i="55" s="1"/>
  <c r="T1004" i="55" s="1"/>
  <c r="U1000" i="76"/>
  <c r="U1001" i="76"/>
  <c r="U1002" i="76"/>
  <c r="U1004" i="76"/>
  <c r="U1005" i="76"/>
  <c r="U1006" i="76"/>
  <c r="U1007" i="76"/>
  <c r="U1008" i="76"/>
  <c r="U1009" i="76"/>
  <c r="U1010" i="76"/>
  <c r="U1011" i="76"/>
  <c r="U1012" i="76"/>
  <c r="U1013" i="76"/>
  <c r="U1014" i="76"/>
  <c r="U1015" i="76"/>
  <c r="U1016" i="76"/>
  <c r="U1017" i="76"/>
  <c r="U1018" i="76"/>
  <c r="U1019" i="76"/>
  <c r="U1020" i="76"/>
  <c r="U1021" i="76"/>
  <c r="U1022" i="76"/>
  <c r="U1023" i="76"/>
  <c r="U1024" i="76"/>
  <c r="U1025" i="76"/>
  <c r="U1026" i="76"/>
  <c r="U1027" i="76"/>
  <c r="U1028" i="76"/>
  <c r="U1029" i="76"/>
  <c r="U1030" i="76"/>
  <c r="U1031" i="76"/>
  <c r="U1032" i="76"/>
  <c r="U1033" i="76"/>
  <c r="U1034" i="76"/>
  <c r="U1035" i="76"/>
  <c r="U1036" i="76"/>
  <c r="U1037" i="76"/>
  <c r="U1038" i="76"/>
  <c r="U1039" i="76"/>
  <c r="V992" i="76"/>
  <c r="V993" i="76"/>
  <c r="V994" i="76"/>
  <c r="V995" i="76"/>
  <c r="V996" i="76"/>
  <c r="D9" i="78"/>
  <c r="F9" i="78" s="1"/>
  <c r="B16" i="78"/>
  <c r="B95" i="78"/>
  <c r="B41" i="78"/>
  <c r="B60" i="78"/>
  <c r="B67" i="78"/>
  <c r="B91" i="78"/>
  <c r="B21" i="78"/>
  <c r="B27" i="78"/>
  <c r="B28" i="78"/>
  <c r="B32" i="78"/>
  <c r="B100" i="78"/>
  <c r="B101" i="78"/>
  <c r="B119" i="78"/>
  <c r="R8" i="55"/>
  <c r="R11" i="55"/>
  <c r="R14" i="55"/>
  <c r="R17" i="55"/>
  <c r="R22" i="55"/>
  <c r="R25" i="55"/>
  <c r="R28" i="55"/>
  <c r="R31" i="55"/>
  <c r="R32" i="55"/>
  <c r="R33" i="55"/>
  <c r="R34" i="55"/>
  <c r="R35" i="55"/>
  <c r="R36" i="55"/>
  <c r="R37" i="55"/>
  <c r="R48" i="55"/>
  <c r="R49" i="55"/>
  <c r="R57" i="55"/>
  <c r="R58" i="55"/>
  <c r="R60" i="55"/>
  <c r="R61" i="55"/>
  <c r="R64" i="55"/>
  <c r="R70" i="55"/>
  <c r="R84" i="55"/>
  <c r="R90" i="55"/>
  <c r="R105" i="55"/>
  <c r="R106" i="55"/>
  <c r="R107" i="55"/>
  <c r="R108" i="55"/>
  <c r="R109" i="55"/>
  <c r="R110" i="55"/>
  <c r="R111" i="55"/>
  <c r="R112" i="55"/>
  <c r="R113" i="55"/>
  <c r="R114" i="55"/>
  <c r="R115" i="55"/>
  <c r="R116" i="55"/>
  <c r="R117" i="55"/>
  <c r="R123" i="55"/>
  <c r="R124" i="55"/>
  <c r="R125" i="55"/>
  <c r="R126" i="55"/>
  <c r="R127" i="55"/>
  <c r="R128" i="55"/>
  <c r="R129" i="55"/>
  <c r="R136" i="55"/>
  <c r="R152" i="55"/>
  <c r="R153" i="55"/>
  <c r="R154" i="55"/>
  <c r="R155" i="55"/>
  <c r="R156" i="55"/>
  <c r="R157" i="55"/>
  <c r="R158" i="55"/>
  <c r="R159" i="55"/>
  <c r="R160" i="55"/>
  <c r="R161" i="55"/>
  <c r="R162" i="55"/>
  <c r="R163" i="55"/>
  <c r="R164" i="55"/>
  <c r="R165" i="55"/>
  <c r="R166" i="55"/>
  <c r="R173" i="55"/>
  <c r="R174" i="55"/>
  <c r="R175" i="55"/>
  <c r="R176" i="55"/>
  <c r="R177" i="55"/>
  <c r="R178" i="55"/>
  <c r="R179" i="55"/>
  <c r="R180" i="55"/>
  <c r="R186" i="55"/>
  <c r="R192" i="55"/>
  <c r="R193" i="55"/>
  <c r="R194" i="55"/>
  <c r="R195" i="55"/>
  <c r="R196" i="55"/>
  <c r="R197" i="55"/>
  <c r="R198" i="55"/>
  <c r="R199" i="55"/>
  <c r="R200" i="55"/>
  <c r="R201" i="55"/>
  <c r="R202" i="55"/>
  <c r="R203" i="55"/>
  <c r="R204" i="55"/>
  <c r="R210" i="55"/>
  <c r="R211" i="55"/>
  <c r="R212" i="55"/>
  <c r="R213" i="55"/>
  <c r="R214" i="55"/>
  <c r="R215" i="55"/>
  <c r="R216" i="55"/>
  <c r="R222" i="55"/>
  <c r="R223" i="55"/>
  <c r="R224" i="55"/>
  <c r="R225" i="55"/>
  <c r="R226" i="55"/>
  <c r="R227" i="55"/>
  <c r="R228" i="55"/>
  <c r="R230" i="55"/>
  <c r="R231" i="55"/>
  <c r="R244" i="55"/>
  <c r="R251" i="55"/>
  <c r="R257" i="55"/>
  <c r="R263" i="55"/>
  <c r="R269" i="55"/>
  <c r="R275" i="55"/>
  <c r="R281" i="55"/>
  <c r="R282" i="55"/>
  <c r="R283" i="55"/>
  <c r="R284" i="55"/>
  <c r="R285" i="55"/>
  <c r="R289" i="55"/>
  <c r="R293" i="55"/>
  <c r="R298" i="55"/>
  <c r="R300" i="55"/>
  <c r="R303" i="55"/>
  <c r="R304" i="55"/>
  <c r="R308" i="55"/>
  <c r="R326" i="55"/>
  <c r="R327" i="55"/>
  <c r="R329" i="55"/>
  <c r="R338" i="55"/>
  <c r="R340" i="55"/>
  <c r="R345" i="55"/>
  <c r="R356" i="55"/>
  <c r="R359" i="55"/>
  <c r="R363" i="55"/>
  <c r="R369" i="55"/>
  <c r="R375" i="55"/>
  <c r="R381" i="55"/>
  <c r="R392" i="55"/>
  <c r="R396" i="55"/>
  <c r="R398" i="55"/>
  <c r="R399" i="55"/>
  <c r="R401" i="55"/>
  <c r="R403" i="55"/>
  <c r="R406" i="55"/>
  <c r="R409" i="55"/>
  <c r="R412" i="55"/>
  <c r="R416" i="55"/>
  <c r="R426" i="55"/>
  <c r="R431" i="55"/>
  <c r="R434" i="55"/>
  <c r="R435" i="55"/>
  <c r="R436" i="55"/>
  <c r="R440" i="55"/>
  <c r="R451" i="55"/>
  <c r="R455" i="55"/>
  <c r="R456" i="55"/>
  <c r="R462" i="55"/>
  <c r="R469" i="55"/>
  <c r="R475" i="55"/>
  <c r="R482" i="55"/>
  <c r="R488" i="55"/>
  <c r="R495" i="55"/>
  <c r="R501" i="55"/>
  <c r="R509" i="55"/>
  <c r="R515" i="55"/>
  <c r="R518" i="55"/>
  <c r="R535" i="55"/>
  <c r="R542" i="55"/>
  <c r="R550" i="55"/>
  <c r="R566" i="55"/>
  <c r="R571" i="55"/>
  <c r="R575" i="55"/>
  <c r="R579" i="55"/>
  <c r="R583" i="55"/>
  <c r="R584" i="55"/>
  <c r="R589" i="55"/>
  <c r="R597" i="55"/>
  <c r="R602" i="55"/>
  <c r="R604" i="55"/>
  <c r="R607" i="55"/>
  <c r="R610" i="55"/>
  <c r="R613" i="55"/>
  <c r="R614" i="55"/>
  <c r="R616" i="55"/>
  <c r="R621" i="55"/>
  <c r="R624" i="55"/>
  <c r="R630" i="55"/>
  <c r="R631" i="55"/>
  <c r="R632" i="55"/>
  <c r="R633" i="55"/>
  <c r="R635" i="55"/>
  <c r="R638" i="55"/>
  <c r="R644" i="55"/>
  <c r="R650" i="55"/>
  <c r="R656" i="55"/>
  <c r="R681" i="55"/>
  <c r="R686" i="55"/>
  <c r="R703" i="55"/>
  <c r="R708" i="55"/>
  <c r="R709" i="55"/>
  <c r="R721" i="55"/>
  <c r="R725" i="55"/>
  <c r="R728" i="55"/>
  <c r="R729" i="55"/>
  <c r="R738" i="55"/>
  <c r="R746" i="55"/>
  <c r="R747" i="55"/>
  <c r="R748" i="55"/>
  <c r="R749" i="55"/>
  <c r="R750" i="55"/>
  <c r="R751" i="55"/>
  <c r="R752" i="55"/>
  <c r="R753" i="55"/>
  <c r="R754" i="55"/>
  <c r="R755" i="55"/>
  <c r="R756" i="55"/>
  <c r="R757" i="55"/>
  <c r="R758" i="55"/>
  <c r="R759" i="55"/>
  <c r="R760" i="55"/>
  <c r="R761" i="55"/>
  <c r="R762" i="55"/>
  <c r="R763" i="55"/>
  <c r="R764" i="55"/>
  <c r="R765" i="55"/>
  <c r="R766" i="55"/>
  <c r="R767" i="55"/>
  <c r="R777" i="55"/>
  <c r="R778" i="55"/>
  <c r="R779" i="55"/>
  <c r="R780" i="55"/>
  <c r="R781" i="55"/>
  <c r="R782" i="55"/>
  <c r="R783" i="55"/>
  <c r="R784" i="55"/>
  <c r="R785" i="55"/>
  <c r="R786" i="55"/>
  <c r="R787" i="55"/>
  <c r="R788" i="55"/>
  <c r="R789" i="55"/>
  <c r="R790" i="55"/>
  <c r="R791" i="55"/>
  <c r="R792" i="55"/>
  <c r="R793" i="55"/>
  <c r="R794" i="55"/>
  <c r="R795" i="55"/>
  <c r="R796" i="55"/>
  <c r="R797" i="55"/>
  <c r="R798" i="55"/>
  <c r="R799" i="55"/>
  <c r="R800" i="55"/>
  <c r="R801" i="55"/>
  <c r="R802" i="55"/>
  <c r="R803" i="55"/>
  <c r="R804" i="55"/>
  <c r="R816" i="55"/>
  <c r="R821" i="55"/>
  <c r="R826" i="55"/>
  <c r="R832" i="55"/>
  <c r="R835" i="55"/>
  <c r="R843" i="55"/>
  <c r="R844" i="55"/>
  <c r="R845" i="55"/>
  <c r="R846" i="55"/>
  <c r="R856" i="55"/>
  <c r="R859" i="55"/>
  <c r="R860" i="55"/>
  <c r="R861" i="55"/>
  <c r="R862" i="55"/>
  <c r="R863" i="55"/>
  <c r="R864" i="55"/>
  <c r="R868" i="55"/>
  <c r="R880" i="55"/>
  <c r="R887" i="55"/>
  <c r="R889" i="55"/>
  <c r="R893" i="55"/>
  <c r="R894" i="55"/>
  <c r="R898" i="55"/>
  <c r="R899" i="55"/>
  <c r="R900" i="55"/>
  <c r="R901" i="55"/>
  <c r="R913" i="55"/>
  <c r="R915" i="55"/>
  <c r="R916" i="55"/>
  <c r="R918" i="55"/>
  <c r="R926" i="55"/>
  <c r="R927" i="55"/>
  <c r="R929" i="55"/>
  <c r="R931" i="55"/>
  <c r="R932" i="55"/>
  <c r="R933" i="55"/>
  <c r="R934" i="55"/>
  <c r="R935" i="55"/>
  <c r="R936" i="55"/>
  <c r="R937" i="55"/>
  <c r="R939" i="55"/>
  <c r="B944" i="55"/>
  <c r="D944" i="55"/>
  <c r="B945" i="55"/>
  <c r="C945" i="55"/>
  <c r="D945" i="55"/>
  <c r="A946" i="55"/>
  <c r="B946" i="55"/>
  <c r="C946" i="55"/>
  <c r="D207" i="78" s="1"/>
  <c r="D946" i="55"/>
  <c r="B947" i="55"/>
  <c r="D208" i="78"/>
  <c r="D947" i="55"/>
  <c r="B948" i="55"/>
  <c r="D209" i="78"/>
  <c r="D948" i="55"/>
  <c r="B949" i="55"/>
  <c r="C949" i="55"/>
  <c r="D210" i="78" s="1"/>
  <c r="D949" i="55"/>
  <c r="B950" i="55"/>
  <c r="C950" i="55"/>
  <c r="D950" i="55"/>
  <c r="A951" i="55"/>
  <c r="B951" i="55"/>
  <c r="C951" i="55"/>
  <c r="D213" i="78" s="1"/>
  <c r="D951" i="55"/>
  <c r="B952" i="55"/>
  <c r="C952" i="55"/>
  <c r="D214" i="78" s="1"/>
  <c r="D952" i="55"/>
  <c r="A953" i="55"/>
  <c r="B953" i="55"/>
  <c r="C953" i="55"/>
  <c r="D953" i="55"/>
  <c r="A954" i="55"/>
  <c r="B954" i="55"/>
  <c r="C954" i="55"/>
  <c r="D216" i="78" s="1"/>
  <c r="D954" i="55"/>
  <c r="B955" i="55"/>
  <c r="C955" i="55"/>
  <c r="D217" i="78" s="1"/>
  <c r="D955" i="55"/>
  <c r="B956" i="55"/>
  <c r="C956" i="55"/>
  <c r="D218" i="78" s="1"/>
  <c r="D956" i="55"/>
  <c r="B957" i="55"/>
  <c r="C219" i="78" s="1"/>
  <c r="D957" i="55"/>
  <c r="B958" i="55"/>
  <c r="C958" i="55"/>
  <c r="D958" i="55"/>
  <c r="A959" i="55"/>
  <c r="B959" i="55"/>
  <c r="C959" i="55"/>
  <c r="D221" i="78" s="1"/>
  <c r="D959" i="55"/>
  <c r="A960" i="55"/>
  <c r="B960" i="55"/>
  <c r="C960" i="55"/>
  <c r="D222" i="78" s="1"/>
  <c r="D960" i="55"/>
  <c r="A961" i="55"/>
  <c r="B961" i="55"/>
  <c r="C961" i="55"/>
  <c r="D223" i="78" s="1"/>
  <c r="D961" i="55"/>
  <c r="A962" i="55"/>
  <c r="B962" i="55"/>
  <c r="C962" i="55"/>
  <c r="D224" i="78" s="1"/>
  <c r="D962" i="55"/>
  <c r="A963" i="55"/>
  <c r="B963" i="55"/>
  <c r="C963" i="55"/>
  <c r="D225" i="78" s="1"/>
  <c r="D963" i="55"/>
  <c r="A964" i="55"/>
  <c r="B964" i="55"/>
  <c r="C964" i="55"/>
  <c r="D226" i="78" s="1"/>
  <c r="D964" i="55"/>
  <c r="A965" i="55"/>
  <c r="D227" i="78"/>
  <c r="D965" i="55"/>
  <c r="A966" i="55"/>
  <c r="D228" i="78"/>
  <c r="D966" i="55"/>
  <c r="A967" i="55"/>
  <c r="D229" i="78"/>
  <c r="D967" i="55"/>
  <c r="A968" i="55"/>
  <c r="D230" i="78"/>
  <c r="D968" i="55"/>
  <c r="A969" i="55"/>
  <c r="D231" i="78"/>
  <c r="D969" i="55"/>
  <c r="A970" i="55"/>
  <c r="D970" i="55"/>
  <c r="A971" i="55"/>
  <c r="D233" i="78"/>
  <c r="D971" i="55"/>
  <c r="A972" i="55"/>
  <c r="D234" i="78"/>
  <c r="D972" i="55"/>
  <c r="A973" i="55"/>
  <c r="D235" i="78"/>
  <c r="D973" i="55"/>
  <c r="B974" i="55"/>
  <c r="C974" i="55"/>
  <c r="D974" i="55"/>
  <c r="A975" i="55"/>
  <c r="B975" i="55"/>
  <c r="D975" i="55"/>
  <c r="B976" i="55"/>
  <c r="C976" i="55"/>
  <c r="D976" i="55"/>
  <c r="A977" i="55"/>
  <c r="B977" i="55"/>
  <c r="C239" i="78" s="1"/>
  <c r="C977" i="55"/>
  <c r="D239" i="78" s="1"/>
  <c r="D977" i="55"/>
  <c r="A978" i="55"/>
  <c r="B978" i="55"/>
  <c r="C240" i="78" s="1"/>
  <c r="C978" i="55"/>
  <c r="D240" i="78" s="1"/>
  <c r="D978" i="55"/>
  <c r="A979" i="55"/>
  <c r="B979" i="55"/>
  <c r="C241" i="78" s="1"/>
  <c r="C979" i="55"/>
  <c r="D241" i="78" s="1"/>
  <c r="D979" i="55"/>
  <c r="A980" i="55"/>
  <c r="B980" i="55"/>
  <c r="C242" i="78" s="1"/>
  <c r="C980" i="55"/>
  <c r="D242" i="78" s="1"/>
  <c r="D980" i="55"/>
  <c r="A981" i="55"/>
  <c r="B981" i="55"/>
  <c r="C243" i="78" s="1"/>
  <c r="C981" i="55"/>
  <c r="D243" i="78" s="1"/>
  <c r="D981" i="55"/>
  <c r="A982" i="55"/>
  <c r="B982" i="55"/>
  <c r="C982" i="55"/>
  <c r="D982" i="55"/>
  <c r="A983" i="55"/>
  <c r="B983" i="55"/>
  <c r="C983" i="55"/>
  <c r="D983" i="55"/>
  <c r="B984" i="55"/>
  <c r="C246" i="78" s="1"/>
  <c r="C984" i="55"/>
  <c r="D246" i="78" s="1"/>
  <c r="D984" i="55"/>
  <c r="B985" i="55"/>
  <c r="C985" i="55"/>
  <c r="D247" i="78" s="1"/>
  <c r="D985" i="55"/>
  <c r="C986" i="55"/>
  <c r="D248" i="78" s="1"/>
  <c r="D986" i="55"/>
  <c r="B987" i="55"/>
  <c r="C987" i="55"/>
  <c r="D987" i="55"/>
  <c r="A988" i="55"/>
  <c r="B988" i="55"/>
  <c r="C250" i="78" s="1"/>
  <c r="C988" i="55"/>
  <c r="D250" i="78" s="1"/>
  <c r="D988" i="55"/>
  <c r="B989" i="55"/>
  <c r="C989" i="55"/>
  <c r="D251" i="78" s="1"/>
  <c r="D989" i="55"/>
  <c r="B990" i="55"/>
  <c r="C252" i="78" s="1"/>
  <c r="C990" i="55"/>
  <c r="D252" i="78" s="1"/>
  <c r="D990" i="55"/>
  <c r="B991" i="55"/>
  <c r="C253" i="78" s="1"/>
  <c r="D991" i="55"/>
  <c r="B992" i="55"/>
  <c r="C992" i="55"/>
  <c r="D254" i="78" s="1"/>
  <c r="D992" i="55"/>
  <c r="B993" i="55"/>
  <c r="C993" i="55"/>
  <c r="D255" i="78" s="1"/>
  <c r="D993" i="55"/>
  <c r="B994" i="55"/>
  <c r="C994" i="55"/>
  <c r="D256" i="78" s="1"/>
  <c r="D994" i="55"/>
  <c r="B995" i="55"/>
  <c r="C995" i="55"/>
  <c r="D257" i="78" s="1"/>
  <c r="D995" i="55"/>
  <c r="B996" i="55"/>
  <c r="C996" i="55"/>
  <c r="D258" i="78" s="1"/>
  <c r="D996" i="55"/>
  <c r="B997" i="55"/>
  <c r="C997" i="55"/>
  <c r="D259" i="78" s="1"/>
  <c r="D997" i="55"/>
  <c r="A998" i="55"/>
  <c r="B998" i="55"/>
  <c r="C998" i="55"/>
  <c r="D998" i="55"/>
  <c r="A999" i="55"/>
  <c r="B999" i="55"/>
  <c r="C261" i="78" s="1"/>
  <c r="C999" i="55"/>
  <c r="D261" i="78" s="1"/>
  <c r="D999" i="55"/>
  <c r="E261" i="78" s="1"/>
  <c r="B1000" i="55"/>
  <c r="C262" i="78" s="1"/>
  <c r="C1000" i="55"/>
  <c r="D262" i="78" s="1"/>
  <c r="D1000" i="55"/>
  <c r="E262" i="78" s="1"/>
  <c r="B1001" i="55"/>
  <c r="C263" i="78" s="1"/>
  <c r="C1001" i="55"/>
  <c r="D263" i="78" s="1"/>
  <c r="D1001" i="55"/>
  <c r="E263" i="78" s="1"/>
  <c r="B1002" i="55"/>
  <c r="C264" i="78" s="1"/>
  <c r="C1002" i="55"/>
  <c r="D264" i="78" s="1"/>
  <c r="D1002" i="55"/>
  <c r="E264" i="78" s="1"/>
  <c r="B1003" i="55"/>
  <c r="C265" i="78" s="1"/>
  <c r="D1003" i="55"/>
  <c r="E265" i="78" s="1"/>
  <c r="B941" i="55"/>
  <c r="C200" i="78" s="1"/>
  <c r="D200" i="78"/>
  <c r="D941" i="55"/>
  <c r="B942" i="55"/>
  <c r="C201" i="78" s="1"/>
  <c r="D201" i="78"/>
  <c r="D942" i="55"/>
  <c r="B943" i="55"/>
  <c r="D943" i="55"/>
  <c r="D940" i="55"/>
  <c r="B940" i="55"/>
  <c r="A940" i="55"/>
  <c r="B939" i="55"/>
  <c r="A939" i="55"/>
  <c r="C985" i="76"/>
  <c r="C991" i="55" s="1"/>
  <c r="D253" i="78" s="1"/>
  <c r="A49" i="78"/>
  <c r="A14" i="78"/>
  <c r="B46" i="78" l="1"/>
  <c r="F46" i="78" s="1"/>
  <c r="T343" i="55"/>
  <c r="R331" i="55"/>
  <c r="B191" i="78"/>
  <c r="F191" i="78" s="1"/>
  <c r="V998" i="76"/>
  <c r="A15" i="78"/>
  <c r="A16" i="78" s="1"/>
  <c r="A17" i="78" s="1"/>
  <c r="A22" i="78" s="1"/>
  <c r="A29" i="78" s="1"/>
  <c r="A33" i="78" s="1"/>
  <c r="A34" i="78" s="1"/>
  <c r="R1004" i="55"/>
  <c r="B266" i="78" l="1"/>
  <c r="F266" i="78" s="1"/>
  <c r="A37" i="78"/>
  <c r="A38" i="78" s="1"/>
  <c r="A39" i="78" s="1"/>
  <c r="A40" i="78" s="1"/>
  <c r="A41" i="78" s="1"/>
  <c r="A42" i="78" s="1"/>
  <c r="S1007" i="55"/>
  <c r="S1008" i="55"/>
  <c r="S1009" i="55"/>
  <c r="S1010" i="55"/>
  <c r="S1011" i="55"/>
  <c r="S1012" i="55"/>
  <c r="S1013" i="55"/>
  <c r="S1014" i="55"/>
  <c r="S1015" i="55"/>
  <c r="S1016" i="55"/>
  <c r="S1017" i="55"/>
  <c r="S1018" i="55"/>
  <c r="S1019" i="55"/>
  <c r="S1020" i="55"/>
  <c r="S1021" i="55"/>
  <c r="S1022" i="55"/>
  <c r="S1023" i="55"/>
  <c r="S1024" i="55"/>
  <c r="S1025" i="55"/>
  <c r="S1026" i="55"/>
  <c r="S1027" i="55"/>
  <c r="S1028" i="55"/>
  <c r="S1029" i="55"/>
  <c r="S1030" i="55"/>
  <c r="S1031" i="55"/>
  <c r="S1032" i="55"/>
  <c r="S1033" i="55"/>
  <c r="S1034" i="55"/>
  <c r="S1035" i="55"/>
  <c r="S1036" i="55"/>
  <c r="S1037" i="55"/>
  <c r="S1038" i="55"/>
  <c r="S1039" i="55"/>
  <c r="S1040" i="55"/>
  <c r="S1041" i="55"/>
  <c r="S1042" i="55"/>
  <c r="S1043" i="55"/>
  <c r="S1044" i="55"/>
  <c r="S1045" i="55"/>
  <c r="S1046" i="55"/>
  <c r="S1047" i="55"/>
  <c r="S1048" i="55"/>
  <c r="S1049" i="55"/>
  <c r="S1050" i="55"/>
  <c r="S1051" i="55"/>
  <c r="S1052" i="55"/>
  <c r="S1053" i="55"/>
  <c r="P8" i="55"/>
  <c r="P11" i="55"/>
  <c r="P14" i="55"/>
  <c r="P17" i="55"/>
  <c r="P22" i="55"/>
  <c r="P25" i="55"/>
  <c r="P28" i="55"/>
  <c r="P31" i="55"/>
  <c r="P32" i="55"/>
  <c r="P33" i="55"/>
  <c r="P34" i="55"/>
  <c r="P35" i="55"/>
  <c r="P36" i="55"/>
  <c r="P37" i="55"/>
  <c r="P48" i="55"/>
  <c r="P49" i="55"/>
  <c r="P57" i="55"/>
  <c r="P58" i="55"/>
  <c r="P60" i="55"/>
  <c r="P61" i="55"/>
  <c r="P64" i="55"/>
  <c r="P70" i="55"/>
  <c r="P84" i="55"/>
  <c r="P90" i="55"/>
  <c r="P105" i="55"/>
  <c r="P106" i="55"/>
  <c r="P107" i="55"/>
  <c r="P108" i="55"/>
  <c r="P109" i="55"/>
  <c r="P110" i="55"/>
  <c r="P111" i="55"/>
  <c r="P112" i="55"/>
  <c r="P113" i="55"/>
  <c r="P114" i="55"/>
  <c r="P115" i="55"/>
  <c r="P116" i="55"/>
  <c r="P117" i="55"/>
  <c r="P123" i="55"/>
  <c r="P124" i="55"/>
  <c r="P125" i="55"/>
  <c r="P126" i="55"/>
  <c r="P127" i="55"/>
  <c r="P128" i="55"/>
  <c r="P129" i="55"/>
  <c r="P136" i="55"/>
  <c r="P152" i="55"/>
  <c r="P153" i="55"/>
  <c r="P154" i="55"/>
  <c r="P155" i="55"/>
  <c r="P156" i="55"/>
  <c r="P157" i="55"/>
  <c r="P158" i="55"/>
  <c r="P159" i="55"/>
  <c r="P160" i="55"/>
  <c r="P161" i="55"/>
  <c r="P162" i="55"/>
  <c r="P163" i="55"/>
  <c r="P164" i="55"/>
  <c r="P165" i="55"/>
  <c r="P166" i="55"/>
  <c r="P173" i="55"/>
  <c r="P174" i="55"/>
  <c r="P175" i="55"/>
  <c r="P176" i="55"/>
  <c r="P177" i="55"/>
  <c r="P178" i="55"/>
  <c r="P179" i="55"/>
  <c r="P180" i="55"/>
  <c r="P186" i="55"/>
  <c r="P192" i="55"/>
  <c r="P193" i="55"/>
  <c r="P194" i="55"/>
  <c r="P195" i="55"/>
  <c r="P196" i="55"/>
  <c r="P197" i="55"/>
  <c r="P198" i="55"/>
  <c r="P199" i="55"/>
  <c r="P200" i="55"/>
  <c r="P201" i="55"/>
  <c r="P202" i="55"/>
  <c r="P203" i="55"/>
  <c r="P204" i="55"/>
  <c r="P210" i="55"/>
  <c r="P211" i="55"/>
  <c r="P212" i="55"/>
  <c r="P213" i="55"/>
  <c r="P214" i="55"/>
  <c r="P215" i="55"/>
  <c r="P216" i="55"/>
  <c r="P222" i="55"/>
  <c r="P223" i="55"/>
  <c r="P224" i="55"/>
  <c r="P225" i="55"/>
  <c r="P226" i="55"/>
  <c r="P227" i="55"/>
  <c r="P228" i="55"/>
  <c r="P230" i="55"/>
  <c r="P231" i="55"/>
  <c r="P244" i="55"/>
  <c r="P251" i="55"/>
  <c r="P257" i="55"/>
  <c r="P263" i="55"/>
  <c r="P269" i="55"/>
  <c r="P275" i="55"/>
  <c r="P281" i="55"/>
  <c r="P282" i="55"/>
  <c r="P283" i="55"/>
  <c r="P284" i="55"/>
  <c r="P285" i="55"/>
  <c r="P289" i="55"/>
  <c r="P293" i="55"/>
  <c r="P298" i="55"/>
  <c r="P300" i="55"/>
  <c r="P303" i="55"/>
  <c r="P304" i="55"/>
  <c r="P308" i="55"/>
  <c r="P326" i="55"/>
  <c r="P327" i="55"/>
  <c r="P329" i="55"/>
  <c r="P331" i="55"/>
  <c r="P338" i="55"/>
  <c r="P340" i="55"/>
  <c r="P345" i="55"/>
  <c r="P356" i="55"/>
  <c r="P359" i="55"/>
  <c r="P363" i="55"/>
  <c r="P369" i="55"/>
  <c r="P375" i="55"/>
  <c r="P381" i="55"/>
  <c r="P392" i="55"/>
  <c r="P396" i="55"/>
  <c r="P398" i="55"/>
  <c r="P399" i="55"/>
  <c r="P401" i="55"/>
  <c r="P403" i="55"/>
  <c r="P406" i="55"/>
  <c r="P409" i="55"/>
  <c r="P412" i="55"/>
  <c r="P416" i="55"/>
  <c r="P426" i="55"/>
  <c r="P431" i="55"/>
  <c r="P434" i="55"/>
  <c r="P435" i="55"/>
  <c r="P436" i="55"/>
  <c r="P440" i="55"/>
  <c r="P451" i="55"/>
  <c r="P455" i="55"/>
  <c r="P456" i="55"/>
  <c r="P462" i="55"/>
  <c r="P469" i="55"/>
  <c r="P475" i="55"/>
  <c r="P482" i="55"/>
  <c r="P488" i="55"/>
  <c r="P495" i="55"/>
  <c r="P501" i="55"/>
  <c r="P509" i="55"/>
  <c r="P515" i="55"/>
  <c r="P518" i="55"/>
  <c r="P535" i="55"/>
  <c r="P542" i="55"/>
  <c r="P550" i="55"/>
  <c r="P566" i="55"/>
  <c r="P571" i="55"/>
  <c r="P575" i="55"/>
  <c r="P579" i="55"/>
  <c r="P583" i="55"/>
  <c r="P584" i="55"/>
  <c r="P589" i="55"/>
  <c r="P597" i="55"/>
  <c r="P602" i="55"/>
  <c r="P604" i="55"/>
  <c r="P607" i="55"/>
  <c r="P610" i="55"/>
  <c r="P613" i="55"/>
  <c r="P614" i="55"/>
  <c r="P616" i="55"/>
  <c r="P621" i="55"/>
  <c r="P624" i="55"/>
  <c r="P630" i="55"/>
  <c r="P631" i="55"/>
  <c r="P632" i="55"/>
  <c r="P633" i="55"/>
  <c r="P635" i="55"/>
  <c r="P638" i="55"/>
  <c r="P644" i="55"/>
  <c r="P650" i="55"/>
  <c r="P656" i="55"/>
  <c r="P681" i="55"/>
  <c r="P686" i="55"/>
  <c r="P703" i="55"/>
  <c r="P708" i="55"/>
  <c r="P709" i="55"/>
  <c r="P721" i="55"/>
  <c r="P725" i="55"/>
  <c r="P728" i="55"/>
  <c r="P729" i="55"/>
  <c r="P738" i="55"/>
  <c r="P746" i="55"/>
  <c r="P747" i="55"/>
  <c r="P748" i="55"/>
  <c r="P749" i="55"/>
  <c r="P750" i="55"/>
  <c r="P751" i="55"/>
  <c r="P752" i="55"/>
  <c r="P753" i="55"/>
  <c r="P754" i="55"/>
  <c r="P755" i="55"/>
  <c r="P756" i="55"/>
  <c r="P757" i="55"/>
  <c r="P758" i="55"/>
  <c r="P759" i="55"/>
  <c r="P760" i="55"/>
  <c r="P761" i="55"/>
  <c r="P762" i="55"/>
  <c r="P763" i="55"/>
  <c r="P764" i="55"/>
  <c r="P765" i="55"/>
  <c r="P766" i="55"/>
  <c r="P767" i="55"/>
  <c r="P777" i="55"/>
  <c r="P778" i="55"/>
  <c r="P779" i="55"/>
  <c r="P780" i="55"/>
  <c r="P781" i="55"/>
  <c r="P782" i="55"/>
  <c r="P783" i="55"/>
  <c r="P784" i="55"/>
  <c r="P785" i="55"/>
  <c r="P786" i="55"/>
  <c r="P787" i="55"/>
  <c r="P788" i="55"/>
  <c r="P789" i="55"/>
  <c r="P790" i="55"/>
  <c r="P791" i="55"/>
  <c r="P792" i="55"/>
  <c r="P793" i="55"/>
  <c r="P794" i="55"/>
  <c r="P795" i="55"/>
  <c r="P796" i="55"/>
  <c r="P797" i="55"/>
  <c r="P798" i="55"/>
  <c r="P799" i="55"/>
  <c r="P800" i="55"/>
  <c r="P801" i="55"/>
  <c r="P802" i="55"/>
  <c r="P803" i="55"/>
  <c r="P804" i="55"/>
  <c r="P816" i="55"/>
  <c r="P821" i="55"/>
  <c r="P826" i="55"/>
  <c r="P832" i="55"/>
  <c r="P835" i="55"/>
  <c r="P843" i="55"/>
  <c r="P844" i="55"/>
  <c r="P845" i="55"/>
  <c r="P846" i="55"/>
  <c r="P856" i="55"/>
  <c r="P859" i="55"/>
  <c r="P860" i="55"/>
  <c r="P861" i="55"/>
  <c r="P862" i="55"/>
  <c r="P863" i="55"/>
  <c r="P864" i="55"/>
  <c r="P868" i="55"/>
  <c r="P880" i="55"/>
  <c r="P887" i="55"/>
  <c r="P889" i="55"/>
  <c r="P893" i="55"/>
  <c r="P894" i="55"/>
  <c r="P898" i="55"/>
  <c r="P899" i="55"/>
  <c r="P900" i="55"/>
  <c r="P901" i="55"/>
  <c r="P913" i="55"/>
  <c r="P915" i="55"/>
  <c r="P916" i="55"/>
  <c r="P918" i="55"/>
  <c r="P926" i="55"/>
  <c r="P927" i="55"/>
  <c r="P929" i="55"/>
  <c r="P931" i="55"/>
  <c r="P932" i="55"/>
  <c r="P933" i="55"/>
  <c r="P934" i="55"/>
  <c r="P935" i="55"/>
  <c r="P936" i="55"/>
  <c r="P937" i="55"/>
  <c r="P1007" i="55"/>
  <c r="P1008" i="55"/>
  <c r="P1009" i="55"/>
  <c r="P1013" i="55"/>
  <c r="P1014" i="55"/>
  <c r="P1015" i="55"/>
  <c r="P1016" i="55"/>
  <c r="F117" i="77"/>
  <c r="F118" i="77"/>
  <c r="F116" i="77"/>
  <c r="F109" i="77"/>
  <c r="F110" i="77"/>
  <c r="F108" i="77"/>
  <c r="D79" i="77"/>
  <c r="F79" i="77" s="1"/>
  <c r="C79" i="77"/>
  <c r="C55" i="77"/>
  <c r="F95" i="77"/>
  <c r="F94" i="77"/>
  <c r="F93" i="77"/>
  <c r="F92" i="77"/>
  <c r="F91" i="77"/>
  <c r="F90" i="77"/>
  <c r="F89" i="77"/>
  <c r="F88" i="77"/>
  <c r="F87" i="77"/>
  <c r="F86" i="77"/>
  <c r="F98" i="77" s="1"/>
  <c r="F100" i="77" s="1"/>
  <c r="D80" i="77" s="1"/>
  <c r="F80" i="77" s="1"/>
  <c r="B3857" i="77"/>
  <c r="B3856" i="77"/>
  <c r="B3855" i="77"/>
  <c r="B3854" i="77"/>
  <c r="B3853" i="77"/>
  <c r="B3852" i="77"/>
  <c r="B3851" i="77"/>
  <c r="B3850" i="77"/>
  <c r="B3849" i="77"/>
  <c r="B3848" i="77"/>
  <c r="B3847" i="77"/>
  <c r="B3846" i="77"/>
  <c r="B3845" i="77"/>
  <c r="B3844" i="77"/>
  <c r="B3843" i="77"/>
  <c r="B3842" i="77"/>
  <c r="B3841" i="77"/>
  <c r="B3840" i="77"/>
  <c r="B3839" i="77"/>
  <c r="B3838" i="77"/>
  <c r="B3837" i="77"/>
  <c r="B3836" i="77"/>
  <c r="B3835" i="77"/>
  <c r="B3834" i="77"/>
  <c r="B3833" i="77"/>
  <c r="B3832" i="77"/>
  <c r="B3831" i="77"/>
  <c r="B3830" i="77"/>
  <c r="B3829" i="77"/>
  <c r="B3828" i="77"/>
  <c r="B3827" i="77"/>
  <c r="B3826" i="77"/>
  <c r="B3825" i="77"/>
  <c r="B3824" i="77"/>
  <c r="B3823" i="77"/>
  <c r="B3822" i="77"/>
  <c r="B3821" i="77"/>
  <c r="B3820" i="77"/>
  <c r="B3819" i="77"/>
  <c r="B3818" i="77"/>
  <c r="B3817" i="77"/>
  <c r="B3816" i="77"/>
  <c r="B3815" i="77"/>
  <c r="B3814" i="77"/>
  <c r="B3813" i="77"/>
  <c r="B3812" i="77"/>
  <c r="B3811" i="77"/>
  <c r="B3810" i="77"/>
  <c r="B3809" i="77"/>
  <c r="B3808" i="77"/>
  <c r="B3807" i="77"/>
  <c r="B3806" i="77"/>
  <c r="B3805" i="77"/>
  <c r="B3804" i="77"/>
  <c r="B3803" i="77"/>
  <c r="B3802" i="77"/>
  <c r="B3801" i="77"/>
  <c r="B3800" i="77"/>
  <c r="B3799" i="77"/>
  <c r="B3798" i="77"/>
  <c r="B3797" i="77"/>
  <c r="B3796" i="77"/>
  <c r="B3795" i="77"/>
  <c r="B3794" i="77"/>
  <c r="B3793" i="77"/>
  <c r="B3792" i="77"/>
  <c r="B3791" i="77"/>
  <c r="B3790" i="77"/>
  <c r="B3789" i="77"/>
  <c r="B3788" i="77"/>
  <c r="B3787" i="77"/>
  <c r="B3786" i="77"/>
  <c r="B3785" i="77"/>
  <c r="B3784" i="77"/>
  <c r="B3783" i="77"/>
  <c r="B3782" i="77"/>
  <c r="B3781" i="77"/>
  <c r="B3780" i="77"/>
  <c r="B3779" i="77"/>
  <c r="B3778" i="77"/>
  <c r="B3777" i="77"/>
  <c r="B3776" i="77"/>
  <c r="B3775" i="77"/>
  <c r="B3774" i="77"/>
  <c r="B3773" i="77"/>
  <c r="B3772" i="77"/>
  <c r="B3771" i="77"/>
  <c r="B3770" i="77"/>
  <c r="B3769" i="77"/>
  <c r="B3768" i="77"/>
  <c r="B3767" i="77"/>
  <c r="B3766" i="77"/>
  <c r="B3765" i="77"/>
  <c r="B3764" i="77"/>
  <c r="B3763" i="77"/>
  <c r="B3762" i="77"/>
  <c r="B3761" i="77"/>
  <c r="B3760" i="77"/>
  <c r="B3759" i="77"/>
  <c r="B3758" i="77"/>
  <c r="B3757" i="77"/>
  <c r="B3756" i="77"/>
  <c r="B3755" i="77"/>
  <c r="B3754" i="77"/>
  <c r="B3753" i="77"/>
  <c r="B3752" i="77"/>
  <c r="B3751" i="77"/>
  <c r="B3750" i="77"/>
  <c r="B3749" i="77"/>
  <c r="B3748" i="77"/>
  <c r="B3747" i="77"/>
  <c r="B3746" i="77"/>
  <c r="B3745" i="77"/>
  <c r="B3744" i="77"/>
  <c r="B3743" i="77"/>
  <c r="B3742" i="77"/>
  <c r="B3741" i="77"/>
  <c r="B3740" i="77"/>
  <c r="B3739" i="77"/>
  <c r="B3738" i="77"/>
  <c r="B3737" i="77"/>
  <c r="B3736" i="77"/>
  <c r="B3735" i="77"/>
  <c r="B3734" i="77"/>
  <c r="B3733" i="77"/>
  <c r="B3732" i="77"/>
  <c r="B3731" i="77"/>
  <c r="B3730" i="77"/>
  <c r="B3729" i="77"/>
  <c r="B3728" i="77"/>
  <c r="B3727" i="77"/>
  <c r="B3726" i="77"/>
  <c r="B3725" i="77"/>
  <c r="B3724" i="77"/>
  <c r="B3723" i="77"/>
  <c r="B3722" i="77"/>
  <c r="B3721" i="77"/>
  <c r="B3720" i="77"/>
  <c r="B3719" i="77"/>
  <c r="B3718" i="77"/>
  <c r="B3717" i="77"/>
  <c r="B3716" i="77"/>
  <c r="B3715" i="77"/>
  <c r="B3714" i="77"/>
  <c r="B3713" i="77"/>
  <c r="B3712" i="77"/>
  <c r="B3711" i="77"/>
  <c r="B3710" i="77"/>
  <c r="B3709" i="77"/>
  <c r="B3708" i="77"/>
  <c r="B3707" i="77"/>
  <c r="B3706" i="77"/>
  <c r="B3705" i="77"/>
  <c r="B3704" i="77"/>
  <c r="B3703" i="77"/>
  <c r="B3702" i="77"/>
  <c r="B3701" i="77"/>
  <c r="B3700" i="77"/>
  <c r="B3699" i="77"/>
  <c r="B3698" i="77"/>
  <c r="B3697" i="77"/>
  <c r="B3696" i="77"/>
  <c r="B3695" i="77"/>
  <c r="B3694" i="77"/>
  <c r="B3693" i="77"/>
  <c r="B3692" i="77"/>
  <c r="B3691" i="77"/>
  <c r="B3690" i="77"/>
  <c r="B3689" i="77"/>
  <c r="B3688" i="77"/>
  <c r="B3687" i="77"/>
  <c r="B3686" i="77"/>
  <c r="B3685" i="77"/>
  <c r="B3684" i="77"/>
  <c r="B3683" i="77"/>
  <c r="B3682" i="77"/>
  <c r="B3681" i="77"/>
  <c r="B3680" i="77"/>
  <c r="B3679" i="77"/>
  <c r="B3678" i="77"/>
  <c r="B3677" i="77"/>
  <c r="B3676" i="77"/>
  <c r="B3675" i="77"/>
  <c r="B3674" i="77"/>
  <c r="B3673" i="77"/>
  <c r="B3672" i="77"/>
  <c r="B3671" i="77"/>
  <c r="B3670" i="77"/>
  <c r="B3669" i="77"/>
  <c r="B3668" i="77"/>
  <c r="B3667" i="77"/>
  <c r="B3666" i="77"/>
  <c r="B3665" i="77"/>
  <c r="B3664" i="77"/>
  <c r="B3663" i="77"/>
  <c r="B3662" i="77"/>
  <c r="B3661" i="77"/>
  <c r="B3660" i="77"/>
  <c r="B3659" i="77"/>
  <c r="B3658" i="77"/>
  <c r="B3657" i="77"/>
  <c r="B3656" i="77"/>
  <c r="B3655" i="77"/>
  <c r="B3654" i="77"/>
  <c r="B3653" i="77"/>
  <c r="B3652" i="77"/>
  <c r="B3651" i="77"/>
  <c r="B3650" i="77"/>
  <c r="B3649" i="77"/>
  <c r="B3648" i="77"/>
  <c r="B3647" i="77"/>
  <c r="B3646" i="77"/>
  <c r="B3645" i="77"/>
  <c r="B3644" i="77"/>
  <c r="B3643" i="77"/>
  <c r="B3642" i="77"/>
  <c r="B3641" i="77"/>
  <c r="B3640" i="77"/>
  <c r="B3639" i="77"/>
  <c r="B3638" i="77"/>
  <c r="B3637" i="77"/>
  <c r="B3636" i="77"/>
  <c r="B3635" i="77"/>
  <c r="B3634" i="77"/>
  <c r="B3633" i="77"/>
  <c r="B3632" i="77"/>
  <c r="B3631" i="77"/>
  <c r="B3630" i="77"/>
  <c r="B3629" i="77"/>
  <c r="B3628" i="77"/>
  <c r="B3627" i="77"/>
  <c r="B3626" i="77"/>
  <c r="B3625" i="77"/>
  <c r="B3624" i="77"/>
  <c r="B3623" i="77"/>
  <c r="B3622" i="77"/>
  <c r="B3621" i="77"/>
  <c r="B3620" i="77"/>
  <c r="B3619" i="77"/>
  <c r="B3618" i="77"/>
  <c r="B3617" i="77"/>
  <c r="B3616" i="77"/>
  <c r="B3615" i="77"/>
  <c r="B3614" i="77"/>
  <c r="B3613" i="77"/>
  <c r="B3612" i="77"/>
  <c r="B3611" i="77"/>
  <c r="B3610" i="77"/>
  <c r="B3609" i="77"/>
  <c r="B3608" i="77"/>
  <c r="B3607" i="77"/>
  <c r="B3606" i="77"/>
  <c r="B3605" i="77"/>
  <c r="B3604" i="77"/>
  <c r="B3603" i="77"/>
  <c r="B3602" i="77"/>
  <c r="B3601" i="77"/>
  <c r="B3600" i="77"/>
  <c r="B3599" i="77"/>
  <c r="B3598" i="77"/>
  <c r="B3597" i="77"/>
  <c r="B3596" i="77"/>
  <c r="B3595" i="77"/>
  <c r="B3594" i="77"/>
  <c r="B3593" i="77"/>
  <c r="B3592" i="77"/>
  <c r="B3591" i="77"/>
  <c r="B3590" i="77"/>
  <c r="B3589" i="77"/>
  <c r="B3588" i="77"/>
  <c r="B3587" i="77"/>
  <c r="B3586" i="77"/>
  <c r="B3585" i="77"/>
  <c r="B3584" i="77"/>
  <c r="B3583" i="77"/>
  <c r="B3582" i="77"/>
  <c r="B3581" i="77"/>
  <c r="B3580" i="77"/>
  <c r="B3579" i="77"/>
  <c r="B3578" i="77"/>
  <c r="B3577" i="77"/>
  <c r="B3576" i="77"/>
  <c r="B3575" i="77"/>
  <c r="B3574" i="77"/>
  <c r="B3573" i="77"/>
  <c r="B3572" i="77"/>
  <c r="B3571" i="77"/>
  <c r="B3570" i="77"/>
  <c r="B3569" i="77"/>
  <c r="B3568" i="77"/>
  <c r="B3567" i="77"/>
  <c r="B3566" i="77"/>
  <c r="B3565" i="77"/>
  <c r="B3564" i="77"/>
  <c r="B3563" i="77"/>
  <c r="B3562" i="77"/>
  <c r="B3561" i="77"/>
  <c r="B3560" i="77"/>
  <c r="B3559" i="77"/>
  <c r="B3558" i="77"/>
  <c r="B3557" i="77"/>
  <c r="B3556" i="77"/>
  <c r="B3555" i="77"/>
  <c r="B3554" i="77"/>
  <c r="B3553" i="77"/>
  <c r="B3552" i="77"/>
  <c r="B3551" i="77"/>
  <c r="B3550" i="77"/>
  <c r="B3549" i="77"/>
  <c r="B3548" i="77"/>
  <c r="B3547" i="77"/>
  <c r="B3546" i="77"/>
  <c r="B3545" i="77"/>
  <c r="B3544" i="77"/>
  <c r="B3543" i="77"/>
  <c r="B3542" i="77"/>
  <c r="B3541" i="77"/>
  <c r="B3540" i="77"/>
  <c r="B3539" i="77"/>
  <c r="B3538" i="77"/>
  <c r="B3537" i="77"/>
  <c r="B3536" i="77"/>
  <c r="B3535" i="77"/>
  <c r="B3534" i="77"/>
  <c r="B3533" i="77"/>
  <c r="B3532" i="77"/>
  <c r="B3531" i="77"/>
  <c r="B3530" i="77"/>
  <c r="B3529" i="77"/>
  <c r="B3528" i="77"/>
  <c r="B3527" i="77"/>
  <c r="B3526" i="77"/>
  <c r="B3525" i="77"/>
  <c r="B3524" i="77"/>
  <c r="B3523" i="77"/>
  <c r="B3522" i="77"/>
  <c r="B3521" i="77"/>
  <c r="B3520" i="77"/>
  <c r="B3519" i="77"/>
  <c r="B3518" i="77"/>
  <c r="B3517" i="77"/>
  <c r="B3516" i="77"/>
  <c r="B3515" i="77"/>
  <c r="B3514" i="77"/>
  <c r="B3513" i="77"/>
  <c r="B3512" i="77"/>
  <c r="B3511" i="77"/>
  <c r="B3510" i="77"/>
  <c r="B3509" i="77"/>
  <c r="B3508" i="77"/>
  <c r="B3507" i="77"/>
  <c r="B3506" i="77"/>
  <c r="B3505" i="77"/>
  <c r="B3504" i="77"/>
  <c r="B3503" i="77"/>
  <c r="B3502" i="77"/>
  <c r="B3501" i="77"/>
  <c r="B3500" i="77"/>
  <c r="B3499" i="77"/>
  <c r="B3498" i="77"/>
  <c r="B3497" i="77"/>
  <c r="B3496" i="77"/>
  <c r="B3495" i="77"/>
  <c r="B3494" i="77"/>
  <c r="B3493" i="77"/>
  <c r="B3492" i="77"/>
  <c r="B3491" i="77"/>
  <c r="B3490" i="77"/>
  <c r="B3489" i="77"/>
  <c r="B3488" i="77"/>
  <c r="B3487" i="77"/>
  <c r="B3486" i="77"/>
  <c r="B3485" i="77"/>
  <c r="B3484" i="77"/>
  <c r="B3483" i="77"/>
  <c r="B3482" i="77"/>
  <c r="B3481" i="77"/>
  <c r="B3480" i="77"/>
  <c r="B3479" i="77"/>
  <c r="B3478" i="77"/>
  <c r="B3477" i="77"/>
  <c r="B3476" i="77"/>
  <c r="B3475" i="77"/>
  <c r="B3474" i="77"/>
  <c r="B3473" i="77"/>
  <c r="B3472" i="77"/>
  <c r="B3471" i="77"/>
  <c r="B3470" i="77"/>
  <c r="B3469" i="77"/>
  <c r="B3468" i="77"/>
  <c r="B3467" i="77"/>
  <c r="B3466" i="77"/>
  <c r="B3465" i="77"/>
  <c r="B3464" i="77"/>
  <c r="B3463" i="77"/>
  <c r="B3462" i="77"/>
  <c r="B3461" i="77"/>
  <c r="B3460" i="77"/>
  <c r="B3459" i="77"/>
  <c r="B3458" i="77"/>
  <c r="B3457" i="77"/>
  <c r="B3456" i="77"/>
  <c r="B3455" i="77"/>
  <c r="B3454" i="77"/>
  <c r="B3453" i="77"/>
  <c r="B3452" i="77"/>
  <c r="B3451" i="77"/>
  <c r="B3450" i="77"/>
  <c r="B3449" i="77"/>
  <c r="B3448" i="77"/>
  <c r="B3447" i="77"/>
  <c r="B3446" i="77"/>
  <c r="B3445" i="77"/>
  <c r="B3444" i="77"/>
  <c r="B3443" i="77"/>
  <c r="B3442" i="77"/>
  <c r="B3441" i="77"/>
  <c r="B3440" i="77"/>
  <c r="B3439" i="77"/>
  <c r="B3438" i="77"/>
  <c r="B3437" i="77"/>
  <c r="B3436" i="77"/>
  <c r="B3435" i="77"/>
  <c r="B3434" i="77"/>
  <c r="B3433" i="77"/>
  <c r="B3432" i="77"/>
  <c r="B3431" i="77"/>
  <c r="B3430" i="77"/>
  <c r="B3429" i="77"/>
  <c r="B3428" i="77"/>
  <c r="B3427" i="77"/>
  <c r="B3426" i="77"/>
  <c r="B3425" i="77"/>
  <c r="B3424" i="77"/>
  <c r="B3423" i="77"/>
  <c r="B3422" i="77"/>
  <c r="B3421" i="77"/>
  <c r="B3420" i="77"/>
  <c r="B3419" i="77"/>
  <c r="B3418" i="77"/>
  <c r="B3417" i="77"/>
  <c r="B3416" i="77"/>
  <c r="B3415" i="77"/>
  <c r="B3414" i="77"/>
  <c r="B3413" i="77"/>
  <c r="B3412" i="77"/>
  <c r="B3411" i="77"/>
  <c r="B3410" i="77"/>
  <c r="B3409" i="77"/>
  <c r="B3408" i="77"/>
  <c r="B3407" i="77"/>
  <c r="B3406" i="77"/>
  <c r="B3405" i="77"/>
  <c r="B3404" i="77"/>
  <c r="B3403" i="77"/>
  <c r="B3402" i="77"/>
  <c r="B3401" i="77"/>
  <c r="B3400" i="77"/>
  <c r="B3399" i="77"/>
  <c r="B3398" i="77"/>
  <c r="B3397" i="77"/>
  <c r="B3396" i="77"/>
  <c r="B3395" i="77"/>
  <c r="B3394" i="77"/>
  <c r="B3393" i="77"/>
  <c r="B3392" i="77"/>
  <c r="B3391" i="77"/>
  <c r="B3390" i="77"/>
  <c r="B3389" i="77"/>
  <c r="B3388" i="77"/>
  <c r="B3387" i="77"/>
  <c r="B3386" i="77"/>
  <c r="B3385" i="77"/>
  <c r="B3384" i="77"/>
  <c r="B3383" i="77"/>
  <c r="B3382" i="77"/>
  <c r="B3381" i="77"/>
  <c r="B3380" i="77"/>
  <c r="B3379" i="77"/>
  <c r="B3378" i="77"/>
  <c r="B3377" i="77"/>
  <c r="B3376" i="77"/>
  <c r="B3375" i="77"/>
  <c r="B3374" i="77"/>
  <c r="B3373" i="77"/>
  <c r="B3372" i="77"/>
  <c r="B3371" i="77"/>
  <c r="B3370" i="77"/>
  <c r="B3369" i="77"/>
  <c r="B3368" i="77"/>
  <c r="B3367" i="77"/>
  <c r="B3366" i="77"/>
  <c r="B3365" i="77"/>
  <c r="B3364" i="77"/>
  <c r="B3363" i="77"/>
  <c r="B3362" i="77"/>
  <c r="B3361" i="77"/>
  <c r="B3360" i="77"/>
  <c r="B3359" i="77"/>
  <c r="B3358" i="77"/>
  <c r="B3357" i="77"/>
  <c r="B3356" i="77"/>
  <c r="B3355" i="77"/>
  <c r="B3354" i="77"/>
  <c r="B3353" i="77"/>
  <c r="B3352" i="77"/>
  <c r="B3351" i="77"/>
  <c r="B3350" i="77"/>
  <c r="B3349" i="77"/>
  <c r="B3348" i="77"/>
  <c r="B3347" i="77"/>
  <c r="B3346" i="77"/>
  <c r="B3345" i="77"/>
  <c r="B3344" i="77"/>
  <c r="B3343" i="77"/>
  <c r="B3342" i="77"/>
  <c r="B3341" i="77"/>
  <c r="B3340" i="77"/>
  <c r="B3339" i="77"/>
  <c r="B3338" i="77"/>
  <c r="B3337" i="77"/>
  <c r="B3336" i="77"/>
  <c r="B3335" i="77"/>
  <c r="B3334" i="77"/>
  <c r="B3333" i="77"/>
  <c r="B3332" i="77"/>
  <c r="B3331" i="77"/>
  <c r="B3330" i="77"/>
  <c r="B3329" i="77"/>
  <c r="B3328" i="77"/>
  <c r="B3327" i="77"/>
  <c r="B3326" i="77"/>
  <c r="B3325" i="77"/>
  <c r="B3324" i="77"/>
  <c r="B3323" i="77"/>
  <c r="B3322" i="77"/>
  <c r="B3321" i="77"/>
  <c r="B3320" i="77"/>
  <c r="B3319" i="77"/>
  <c r="B3318" i="77"/>
  <c r="B3317" i="77"/>
  <c r="B3316" i="77"/>
  <c r="B3315" i="77"/>
  <c r="B3314" i="77"/>
  <c r="B3313" i="77"/>
  <c r="B3312" i="77"/>
  <c r="B3311" i="77"/>
  <c r="B3310" i="77"/>
  <c r="B3309" i="77"/>
  <c r="B3308" i="77"/>
  <c r="B3307" i="77"/>
  <c r="B3306" i="77"/>
  <c r="B3305" i="77"/>
  <c r="B3304" i="77"/>
  <c r="B3303" i="77"/>
  <c r="B3302" i="77"/>
  <c r="B3301" i="77"/>
  <c r="B3300" i="77"/>
  <c r="B3299" i="77"/>
  <c r="B3298" i="77"/>
  <c r="B3297" i="77"/>
  <c r="B3296" i="77"/>
  <c r="B3295" i="77"/>
  <c r="B3294" i="77"/>
  <c r="B3293" i="77"/>
  <c r="B3292" i="77"/>
  <c r="B3291" i="77"/>
  <c r="B3290" i="77"/>
  <c r="B3289" i="77"/>
  <c r="B3288" i="77"/>
  <c r="B3287" i="77"/>
  <c r="B3286" i="77"/>
  <c r="B3285" i="77"/>
  <c r="B3284" i="77"/>
  <c r="B3283" i="77"/>
  <c r="B3282" i="77"/>
  <c r="B3281" i="77"/>
  <c r="B3280" i="77"/>
  <c r="B3279" i="77"/>
  <c r="B3278" i="77"/>
  <c r="B3277" i="77"/>
  <c r="B3276" i="77"/>
  <c r="B3275" i="77"/>
  <c r="B3274" i="77"/>
  <c r="B3273" i="77"/>
  <c r="B3272" i="77"/>
  <c r="B3271" i="77"/>
  <c r="B3270" i="77"/>
  <c r="B3269" i="77"/>
  <c r="B3268" i="77"/>
  <c r="B3267" i="77"/>
  <c r="B3266" i="77"/>
  <c r="B3265" i="77"/>
  <c r="B3264" i="77"/>
  <c r="B3263" i="77"/>
  <c r="B3262" i="77"/>
  <c r="B3261" i="77"/>
  <c r="B3260" i="77"/>
  <c r="B3259" i="77"/>
  <c r="B3258" i="77"/>
  <c r="B3257" i="77"/>
  <c r="B3256" i="77"/>
  <c r="B3255" i="77"/>
  <c r="B3254" i="77"/>
  <c r="B3253" i="77"/>
  <c r="B3252" i="77"/>
  <c r="B3251" i="77"/>
  <c r="B3250" i="77"/>
  <c r="B3249" i="77"/>
  <c r="B3248" i="77"/>
  <c r="B3247" i="77"/>
  <c r="B3246" i="77"/>
  <c r="B3245" i="77"/>
  <c r="B3244" i="77"/>
  <c r="B3243" i="77"/>
  <c r="B3242" i="77"/>
  <c r="B3241" i="77"/>
  <c r="B3240" i="77"/>
  <c r="B3239" i="77"/>
  <c r="B3238" i="77"/>
  <c r="B3237" i="77"/>
  <c r="B3236" i="77"/>
  <c r="B3235" i="77"/>
  <c r="B3234" i="77"/>
  <c r="B3233" i="77"/>
  <c r="B3232" i="77"/>
  <c r="B3231" i="77"/>
  <c r="B3230" i="77"/>
  <c r="B3229" i="77"/>
  <c r="B3228" i="77"/>
  <c r="B3227" i="77"/>
  <c r="B3226" i="77"/>
  <c r="B3225" i="77"/>
  <c r="B3224" i="77"/>
  <c r="B3223" i="77"/>
  <c r="B3222" i="77"/>
  <c r="B3221" i="77"/>
  <c r="B3220" i="77"/>
  <c r="B3219" i="77"/>
  <c r="B3218" i="77"/>
  <c r="B3217" i="77"/>
  <c r="B3216" i="77"/>
  <c r="B3215" i="77"/>
  <c r="B3214" i="77"/>
  <c r="B3213" i="77"/>
  <c r="B3212" i="77"/>
  <c r="B3211" i="77"/>
  <c r="B3210" i="77"/>
  <c r="B3209" i="77"/>
  <c r="B3208" i="77"/>
  <c r="B3207" i="77"/>
  <c r="B3206" i="77"/>
  <c r="B3205" i="77"/>
  <c r="B3204" i="77"/>
  <c r="B3203" i="77"/>
  <c r="B3202" i="77"/>
  <c r="B3201" i="77"/>
  <c r="B3200" i="77"/>
  <c r="B3199" i="77"/>
  <c r="B3198" i="77"/>
  <c r="B3197" i="77"/>
  <c r="B3196" i="77"/>
  <c r="B3195" i="77"/>
  <c r="B3194" i="77"/>
  <c r="B3193" i="77"/>
  <c r="B3192" i="77"/>
  <c r="B3191" i="77"/>
  <c r="B3190" i="77"/>
  <c r="B3189" i="77"/>
  <c r="B3188" i="77"/>
  <c r="B3187" i="77"/>
  <c r="B3186" i="77"/>
  <c r="B3185" i="77"/>
  <c r="B3184" i="77"/>
  <c r="B3183" i="77"/>
  <c r="B3182" i="77"/>
  <c r="B3181" i="77"/>
  <c r="B3180" i="77"/>
  <c r="B3179" i="77"/>
  <c r="B3178" i="77"/>
  <c r="B3177" i="77"/>
  <c r="B3176" i="77"/>
  <c r="B3175" i="77"/>
  <c r="B3174" i="77"/>
  <c r="B3173" i="77"/>
  <c r="B3172" i="77"/>
  <c r="B3171" i="77"/>
  <c r="B3170" i="77"/>
  <c r="B3169" i="77"/>
  <c r="B3168" i="77"/>
  <c r="B3167" i="77"/>
  <c r="B3166" i="77"/>
  <c r="B3165" i="77"/>
  <c r="B3164" i="77"/>
  <c r="B3163" i="77"/>
  <c r="B3162" i="77"/>
  <c r="B3161" i="77"/>
  <c r="B3160" i="77"/>
  <c r="B3159" i="77"/>
  <c r="B3158" i="77"/>
  <c r="B3157" i="77"/>
  <c r="B3156" i="77"/>
  <c r="B3155" i="77"/>
  <c r="B3154" i="77"/>
  <c r="B3153" i="77"/>
  <c r="B3152" i="77"/>
  <c r="B3151" i="77"/>
  <c r="B3150" i="77"/>
  <c r="B3149" i="77"/>
  <c r="B3148" i="77"/>
  <c r="B3147" i="77"/>
  <c r="B3146" i="77"/>
  <c r="B3145" i="77"/>
  <c r="B3144" i="77"/>
  <c r="B3143" i="77"/>
  <c r="B3142" i="77"/>
  <c r="B3141" i="77"/>
  <c r="B3140" i="77"/>
  <c r="B3139" i="77"/>
  <c r="B3138" i="77"/>
  <c r="B3137" i="77"/>
  <c r="B3136" i="77"/>
  <c r="B3135" i="77"/>
  <c r="B3134" i="77"/>
  <c r="B3133" i="77"/>
  <c r="B3132" i="77"/>
  <c r="B3131" i="77"/>
  <c r="B3130" i="77"/>
  <c r="B3129" i="77"/>
  <c r="B3128" i="77"/>
  <c r="B3127" i="77"/>
  <c r="B3126" i="77"/>
  <c r="B3125" i="77"/>
  <c r="B3124" i="77"/>
  <c r="B3123" i="77"/>
  <c r="B3122" i="77"/>
  <c r="B3121" i="77"/>
  <c r="B3120" i="77"/>
  <c r="B3119" i="77"/>
  <c r="B3118" i="77"/>
  <c r="B3117" i="77"/>
  <c r="B3116" i="77"/>
  <c r="B3115" i="77"/>
  <c r="B3114" i="77"/>
  <c r="B3113" i="77"/>
  <c r="B3112" i="77"/>
  <c r="B3111" i="77"/>
  <c r="B3110" i="77"/>
  <c r="B3109" i="77"/>
  <c r="B3108" i="77"/>
  <c r="B3107" i="77"/>
  <c r="B3106" i="77"/>
  <c r="B3105" i="77"/>
  <c r="B3104" i="77"/>
  <c r="B3103" i="77"/>
  <c r="B3102" i="77"/>
  <c r="B3101" i="77"/>
  <c r="B3100" i="77"/>
  <c r="B3099" i="77"/>
  <c r="B3098" i="77"/>
  <c r="B3097" i="77"/>
  <c r="B3096" i="77"/>
  <c r="B3095" i="77"/>
  <c r="B3094" i="77"/>
  <c r="B3093" i="77"/>
  <c r="B3092" i="77"/>
  <c r="B3091" i="77"/>
  <c r="B3090" i="77"/>
  <c r="B3089" i="77"/>
  <c r="B3088" i="77"/>
  <c r="B3087" i="77"/>
  <c r="B3086" i="77"/>
  <c r="B3085" i="77"/>
  <c r="B3084" i="77"/>
  <c r="B3083" i="77"/>
  <c r="B3082" i="77"/>
  <c r="B3081" i="77"/>
  <c r="B3080" i="77"/>
  <c r="B3079" i="77"/>
  <c r="B3078" i="77"/>
  <c r="B3077" i="77"/>
  <c r="B3076" i="77"/>
  <c r="B3075" i="77"/>
  <c r="B3074" i="77"/>
  <c r="B3073" i="77"/>
  <c r="B3072" i="77"/>
  <c r="B3071" i="77"/>
  <c r="B3070" i="77"/>
  <c r="B3069" i="77"/>
  <c r="B3068" i="77"/>
  <c r="B3067" i="77"/>
  <c r="B3066" i="77"/>
  <c r="B3065" i="77"/>
  <c r="B3064" i="77"/>
  <c r="B3063" i="77"/>
  <c r="B3062" i="77"/>
  <c r="B3061" i="77"/>
  <c r="B3060" i="77"/>
  <c r="B3059" i="77"/>
  <c r="B3058" i="77"/>
  <c r="B3057" i="77"/>
  <c r="B3056" i="77"/>
  <c r="B3055" i="77"/>
  <c r="B3054" i="77"/>
  <c r="B3053" i="77"/>
  <c r="B3052" i="77"/>
  <c r="B3051" i="77"/>
  <c r="B3050" i="77"/>
  <c r="B3049" i="77"/>
  <c r="B3048" i="77"/>
  <c r="B3047" i="77"/>
  <c r="B3046" i="77"/>
  <c r="B3045" i="77"/>
  <c r="B3044" i="77"/>
  <c r="B3043" i="77"/>
  <c r="B3042" i="77"/>
  <c r="B3041" i="77"/>
  <c r="B3040" i="77"/>
  <c r="B3039" i="77"/>
  <c r="B3038" i="77"/>
  <c r="B3037" i="77"/>
  <c r="B3036" i="77"/>
  <c r="B3035" i="77"/>
  <c r="B3034" i="77"/>
  <c r="B3033" i="77"/>
  <c r="B3032" i="77"/>
  <c r="B3031" i="77"/>
  <c r="B3030" i="77"/>
  <c r="B3029" i="77"/>
  <c r="B3028" i="77"/>
  <c r="B3027" i="77"/>
  <c r="B3026" i="77"/>
  <c r="B3025" i="77"/>
  <c r="B3024" i="77"/>
  <c r="B3023" i="77"/>
  <c r="B3022" i="77"/>
  <c r="B3021" i="77"/>
  <c r="B3020" i="77"/>
  <c r="B3019" i="77"/>
  <c r="B3018" i="77"/>
  <c r="B3017" i="77"/>
  <c r="B3016" i="77"/>
  <c r="B3015" i="77"/>
  <c r="B3014" i="77"/>
  <c r="B3013" i="77"/>
  <c r="B3012" i="77"/>
  <c r="B3011" i="77"/>
  <c r="B3010" i="77"/>
  <c r="B3009" i="77"/>
  <c r="B3008" i="77"/>
  <c r="B3007" i="77"/>
  <c r="B3006" i="77"/>
  <c r="B3005" i="77"/>
  <c r="B3004" i="77"/>
  <c r="B3003" i="77"/>
  <c r="B3002" i="77"/>
  <c r="B3001" i="77"/>
  <c r="B3000" i="77"/>
  <c r="B2999" i="77"/>
  <c r="B2998" i="77"/>
  <c r="B2997" i="77"/>
  <c r="B2996" i="77"/>
  <c r="B2995" i="77"/>
  <c r="B2994" i="77"/>
  <c r="B2993" i="77"/>
  <c r="B2992" i="77"/>
  <c r="B2991" i="77"/>
  <c r="B2990" i="77"/>
  <c r="B2989" i="77"/>
  <c r="B2988" i="77"/>
  <c r="B2987" i="77"/>
  <c r="B2986" i="77"/>
  <c r="B2985" i="77"/>
  <c r="B2984" i="77"/>
  <c r="B2983" i="77"/>
  <c r="B2982" i="77"/>
  <c r="B2981" i="77"/>
  <c r="B2980" i="77"/>
  <c r="B2979" i="77"/>
  <c r="B2978" i="77"/>
  <c r="B2977" i="77"/>
  <c r="B2976" i="77"/>
  <c r="B2975" i="77"/>
  <c r="B2974" i="77"/>
  <c r="B2973" i="77"/>
  <c r="B2972" i="77"/>
  <c r="B2971" i="77"/>
  <c r="B2970" i="77"/>
  <c r="B2969" i="77"/>
  <c r="B2968" i="77"/>
  <c r="B2967" i="77"/>
  <c r="B2966" i="77"/>
  <c r="B2965" i="77"/>
  <c r="B2964" i="77"/>
  <c r="B2963" i="77"/>
  <c r="B2962" i="77"/>
  <c r="B2961" i="77"/>
  <c r="B2960" i="77"/>
  <c r="B2959" i="77"/>
  <c r="B2958" i="77"/>
  <c r="B2957" i="77"/>
  <c r="B2956" i="77"/>
  <c r="B2955" i="77"/>
  <c r="B2954" i="77"/>
  <c r="B2953" i="77"/>
  <c r="B2952" i="77"/>
  <c r="B2951" i="77"/>
  <c r="B2950" i="77"/>
  <c r="B2949" i="77"/>
  <c r="B2948" i="77"/>
  <c r="B2947" i="77"/>
  <c r="B2946" i="77"/>
  <c r="B2945" i="77"/>
  <c r="B2944" i="77"/>
  <c r="B2943" i="77"/>
  <c r="B2942" i="77"/>
  <c r="B2941" i="77"/>
  <c r="B2940" i="77"/>
  <c r="B2939" i="77"/>
  <c r="B2938" i="77"/>
  <c r="B2937" i="77"/>
  <c r="B2936" i="77"/>
  <c r="B2935" i="77"/>
  <c r="B2934" i="77"/>
  <c r="B2933" i="77"/>
  <c r="B2932" i="77"/>
  <c r="B2931" i="77"/>
  <c r="B2930" i="77"/>
  <c r="B2929" i="77"/>
  <c r="B2928" i="77"/>
  <c r="B2927" i="77"/>
  <c r="B2926" i="77"/>
  <c r="B2925" i="77"/>
  <c r="B2924" i="77"/>
  <c r="B2923" i="77"/>
  <c r="B2922" i="77"/>
  <c r="B2921" i="77"/>
  <c r="B2920" i="77"/>
  <c r="B2919" i="77"/>
  <c r="B2918" i="77"/>
  <c r="B2917" i="77"/>
  <c r="B2916" i="77"/>
  <c r="B2915" i="77"/>
  <c r="B2914" i="77"/>
  <c r="B2913" i="77"/>
  <c r="B2912" i="77"/>
  <c r="B2911" i="77"/>
  <c r="B2910" i="77"/>
  <c r="B2909" i="77"/>
  <c r="B2908" i="77"/>
  <c r="B2907" i="77"/>
  <c r="B2906" i="77"/>
  <c r="B2905" i="77"/>
  <c r="B2904" i="77"/>
  <c r="B2903" i="77"/>
  <c r="B2902" i="77"/>
  <c r="B2901" i="77"/>
  <c r="B2900" i="77"/>
  <c r="B2899" i="77"/>
  <c r="B2898" i="77"/>
  <c r="B2897" i="77"/>
  <c r="B2896" i="77"/>
  <c r="B2895" i="77"/>
  <c r="B2894" i="77"/>
  <c r="B2893" i="77"/>
  <c r="B2892" i="77"/>
  <c r="B2891" i="77"/>
  <c r="B2890" i="77"/>
  <c r="B2889" i="77"/>
  <c r="B2888" i="77"/>
  <c r="B2887" i="77"/>
  <c r="B2886" i="77"/>
  <c r="B2885" i="77"/>
  <c r="B2884" i="77"/>
  <c r="B2883" i="77"/>
  <c r="B2882" i="77"/>
  <c r="B2881" i="77"/>
  <c r="B2880" i="77"/>
  <c r="B2879" i="77"/>
  <c r="B2878" i="77"/>
  <c r="B2877" i="77"/>
  <c r="B2876" i="77"/>
  <c r="B2875" i="77"/>
  <c r="B2874" i="77"/>
  <c r="B2873" i="77"/>
  <c r="B2872" i="77"/>
  <c r="B2871" i="77"/>
  <c r="B2870" i="77"/>
  <c r="B2869" i="77"/>
  <c r="B2868" i="77"/>
  <c r="B2867" i="77"/>
  <c r="B2866" i="77"/>
  <c r="B2865" i="77"/>
  <c r="B2864" i="77"/>
  <c r="B2863" i="77"/>
  <c r="B2862" i="77"/>
  <c r="B2861" i="77"/>
  <c r="B2860" i="77"/>
  <c r="B2859" i="77"/>
  <c r="B2858" i="77"/>
  <c r="B2857" i="77"/>
  <c r="B2856" i="77"/>
  <c r="B2855" i="77"/>
  <c r="B2854" i="77"/>
  <c r="B2853" i="77"/>
  <c r="B2852" i="77"/>
  <c r="B2851" i="77"/>
  <c r="B2850" i="77"/>
  <c r="B2849" i="77"/>
  <c r="B2848" i="77"/>
  <c r="B2847" i="77"/>
  <c r="B2846" i="77"/>
  <c r="B2845" i="77"/>
  <c r="B2844" i="77"/>
  <c r="B2843" i="77"/>
  <c r="B2842" i="77"/>
  <c r="B2841" i="77"/>
  <c r="B2840" i="77"/>
  <c r="B2839" i="77"/>
  <c r="B2838" i="77"/>
  <c r="B2837" i="77"/>
  <c r="B2836" i="77"/>
  <c r="B2835" i="77"/>
  <c r="B2834" i="77"/>
  <c r="B2833" i="77"/>
  <c r="B2832" i="77"/>
  <c r="B2831" i="77"/>
  <c r="B2830" i="77"/>
  <c r="B2829" i="77"/>
  <c r="B2828" i="77"/>
  <c r="B2827" i="77"/>
  <c r="B2826" i="77"/>
  <c r="B2825" i="77"/>
  <c r="B2824" i="77"/>
  <c r="B2823" i="77"/>
  <c r="B2822" i="77"/>
  <c r="B2821" i="77"/>
  <c r="B2820" i="77"/>
  <c r="B2819" i="77"/>
  <c r="B2818" i="77"/>
  <c r="B2817" i="77"/>
  <c r="B2816" i="77"/>
  <c r="B2815" i="77"/>
  <c r="B2814" i="77"/>
  <c r="B2813" i="77"/>
  <c r="B2812" i="77"/>
  <c r="B2811" i="77"/>
  <c r="B2810" i="77"/>
  <c r="B2809" i="77"/>
  <c r="B2808" i="77"/>
  <c r="B2807" i="77"/>
  <c r="B2806" i="77"/>
  <c r="B2805" i="77"/>
  <c r="B2804" i="77"/>
  <c r="B2803" i="77"/>
  <c r="B2802" i="77"/>
  <c r="B2801" i="77"/>
  <c r="B2800" i="77"/>
  <c r="B2799" i="77"/>
  <c r="B2798" i="77"/>
  <c r="B2797" i="77"/>
  <c r="B2796" i="77"/>
  <c r="B2795" i="77"/>
  <c r="B2794" i="77"/>
  <c r="B2793" i="77"/>
  <c r="B2792" i="77"/>
  <c r="B2791" i="77"/>
  <c r="B2790" i="77"/>
  <c r="B2789" i="77"/>
  <c r="B2788" i="77"/>
  <c r="B2787" i="77"/>
  <c r="B2786" i="77"/>
  <c r="B2785" i="77"/>
  <c r="B2784" i="77"/>
  <c r="B2783" i="77"/>
  <c r="B2782" i="77"/>
  <c r="B2781" i="77"/>
  <c r="B2780" i="77"/>
  <c r="B2779" i="77"/>
  <c r="B2778" i="77"/>
  <c r="B2777" i="77"/>
  <c r="B2776" i="77"/>
  <c r="B2775" i="77"/>
  <c r="B2774" i="77"/>
  <c r="B2773" i="77"/>
  <c r="B2772" i="77"/>
  <c r="B2771" i="77"/>
  <c r="B2770" i="77"/>
  <c r="B2769" i="77"/>
  <c r="B2768" i="77"/>
  <c r="B2767" i="77"/>
  <c r="B2766" i="77"/>
  <c r="B2765" i="77"/>
  <c r="B2764" i="77"/>
  <c r="B2763" i="77"/>
  <c r="B2762" i="77"/>
  <c r="B2761" i="77"/>
  <c r="B2760" i="77"/>
  <c r="B2759" i="77"/>
  <c r="B2758" i="77"/>
  <c r="B2757" i="77"/>
  <c r="B2756" i="77"/>
  <c r="B2755" i="77"/>
  <c r="B2754" i="77"/>
  <c r="B2753" i="77"/>
  <c r="B2752" i="77"/>
  <c r="B2751" i="77"/>
  <c r="B2750" i="77"/>
  <c r="B2749" i="77"/>
  <c r="B2748" i="77"/>
  <c r="B2747" i="77"/>
  <c r="B2746" i="77"/>
  <c r="B2745" i="77"/>
  <c r="B2744" i="77"/>
  <c r="B2743" i="77"/>
  <c r="B2742" i="77"/>
  <c r="B2741" i="77"/>
  <c r="B2740" i="77"/>
  <c r="B2739" i="77"/>
  <c r="B2738" i="77"/>
  <c r="B2737" i="77"/>
  <c r="B2736" i="77"/>
  <c r="B2735" i="77"/>
  <c r="B2734" i="77"/>
  <c r="B2733" i="77"/>
  <c r="B2732" i="77"/>
  <c r="B2731" i="77"/>
  <c r="B2730" i="77"/>
  <c r="B2729" i="77"/>
  <c r="B2728" i="77"/>
  <c r="B2727" i="77"/>
  <c r="B2726" i="77"/>
  <c r="B2725" i="77"/>
  <c r="B2724" i="77"/>
  <c r="B2723" i="77"/>
  <c r="B2722" i="77"/>
  <c r="B2721" i="77"/>
  <c r="B2720" i="77"/>
  <c r="B2719" i="77"/>
  <c r="B2718" i="77"/>
  <c r="B2717" i="77"/>
  <c r="B2716" i="77"/>
  <c r="B2715" i="77"/>
  <c r="B2714" i="77"/>
  <c r="B2713" i="77"/>
  <c r="B2712" i="77"/>
  <c r="B2711" i="77"/>
  <c r="B2710" i="77"/>
  <c r="B2709" i="77"/>
  <c r="B2708" i="77"/>
  <c r="B2707" i="77"/>
  <c r="B2706" i="77"/>
  <c r="B2705" i="77"/>
  <c r="B2704" i="77"/>
  <c r="B2703" i="77"/>
  <c r="B2702" i="77"/>
  <c r="B2701" i="77"/>
  <c r="B2700" i="77"/>
  <c r="B2699" i="77"/>
  <c r="B2698" i="77"/>
  <c r="B2697" i="77"/>
  <c r="B2696" i="77"/>
  <c r="B2695" i="77"/>
  <c r="B2694" i="77"/>
  <c r="B2693" i="77"/>
  <c r="B2692" i="77"/>
  <c r="B2691" i="77"/>
  <c r="B2690" i="77"/>
  <c r="B2689" i="77"/>
  <c r="B2688" i="77"/>
  <c r="B2687" i="77"/>
  <c r="B2686" i="77"/>
  <c r="B2685" i="77"/>
  <c r="B2684" i="77"/>
  <c r="B2683" i="77"/>
  <c r="B2682" i="77"/>
  <c r="B2681" i="77"/>
  <c r="B2680" i="77"/>
  <c r="B2679" i="77"/>
  <c r="B2678" i="77"/>
  <c r="B2677" i="77"/>
  <c r="B2676" i="77"/>
  <c r="B2675" i="77"/>
  <c r="B2674" i="77"/>
  <c r="B2673" i="77"/>
  <c r="B2672" i="77"/>
  <c r="B2671" i="77"/>
  <c r="B2670" i="77"/>
  <c r="B2669" i="77"/>
  <c r="B2668" i="77"/>
  <c r="B2667" i="77"/>
  <c r="B2666" i="77"/>
  <c r="B2665" i="77"/>
  <c r="B2664" i="77"/>
  <c r="B2663" i="77"/>
  <c r="B2662" i="77"/>
  <c r="B2661" i="77"/>
  <c r="B2660" i="77"/>
  <c r="B2659" i="77"/>
  <c r="B2658" i="77"/>
  <c r="B2657" i="77"/>
  <c r="B2656" i="77"/>
  <c r="B2655" i="77"/>
  <c r="B2654" i="77"/>
  <c r="B2653" i="77"/>
  <c r="B2652" i="77"/>
  <c r="B2651" i="77"/>
  <c r="B2650" i="77"/>
  <c r="B2649" i="77"/>
  <c r="B2648" i="77"/>
  <c r="B2647" i="77"/>
  <c r="B2646" i="77"/>
  <c r="B2645" i="77"/>
  <c r="B2644" i="77"/>
  <c r="B2643" i="77"/>
  <c r="B2642" i="77"/>
  <c r="B2641" i="77"/>
  <c r="B2640" i="77"/>
  <c r="B2639" i="77"/>
  <c r="B2638" i="77"/>
  <c r="B2637" i="77"/>
  <c r="B2636" i="77"/>
  <c r="B2635" i="77"/>
  <c r="B2634" i="77"/>
  <c r="B2633" i="77"/>
  <c r="B2632" i="77"/>
  <c r="B2631" i="77"/>
  <c r="B2630" i="77"/>
  <c r="B2629" i="77"/>
  <c r="B2628" i="77"/>
  <c r="B2627" i="77"/>
  <c r="B2626" i="77"/>
  <c r="B2625" i="77"/>
  <c r="B2624" i="77"/>
  <c r="B2623" i="77"/>
  <c r="B2622" i="77"/>
  <c r="B2621" i="77"/>
  <c r="B2620" i="77"/>
  <c r="B2619" i="77"/>
  <c r="B2618" i="77"/>
  <c r="B2617" i="77"/>
  <c r="B2616" i="77"/>
  <c r="B2615" i="77"/>
  <c r="B2614" i="77"/>
  <c r="B2613" i="77"/>
  <c r="B2612" i="77"/>
  <c r="B2611" i="77"/>
  <c r="B2610" i="77"/>
  <c r="B2609" i="77"/>
  <c r="B2608" i="77"/>
  <c r="B2607" i="77"/>
  <c r="B2606" i="77"/>
  <c r="B2605" i="77"/>
  <c r="B2604" i="77"/>
  <c r="B2603" i="77"/>
  <c r="B2602" i="77"/>
  <c r="B2601" i="77"/>
  <c r="B2600" i="77"/>
  <c r="B2599" i="77"/>
  <c r="B2598" i="77"/>
  <c r="B2597" i="77"/>
  <c r="B2596" i="77"/>
  <c r="B2595" i="77"/>
  <c r="B2594" i="77"/>
  <c r="B2593" i="77"/>
  <c r="B2592" i="77"/>
  <c r="B2591" i="77"/>
  <c r="B2590" i="77"/>
  <c r="B2589" i="77"/>
  <c r="B2588" i="77"/>
  <c r="B2587" i="77"/>
  <c r="B2586" i="77"/>
  <c r="B2585" i="77"/>
  <c r="B2584" i="77"/>
  <c r="B2583" i="77"/>
  <c r="B2582" i="77"/>
  <c r="B2581" i="77"/>
  <c r="B2580" i="77"/>
  <c r="B2579" i="77"/>
  <c r="B2578" i="77"/>
  <c r="B2577" i="77"/>
  <c r="B2576" i="77"/>
  <c r="B2575" i="77"/>
  <c r="B2574" i="77"/>
  <c r="B2573" i="77"/>
  <c r="B2572" i="77"/>
  <c r="B2571" i="77"/>
  <c r="B2570" i="77"/>
  <c r="B2569" i="77"/>
  <c r="B2568" i="77"/>
  <c r="B2567" i="77"/>
  <c r="B2566" i="77"/>
  <c r="B2565" i="77"/>
  <c r="B2564" i="77"/>
  <c r="B2563" i="77"/>
  <c r="B2562" i="77"/>
  <c r="B2561" i="77"/>
  <c r="B2560" i="77"/>
  <c r="B2559" i="77"/>
  <c r="B2558" i="77"/>
  <c r="B2557" i="77"/>
  <c r="B2556" i="77"/>
  <c r="B2555" i="77"/>
  <c r="B2554" i="77"/>
  <c r="B2553" i="77"/>
  <c r="B2552" i="77"/>
  <c r="B2551" i="77"/>
  <c r="B2550" i="77"/>
  <c r="B2549" i="77"/>
  <c r="B2548" i="77"/>
  <c r="B2547" i="77"/>
  <c r="B2546" i="77"/>
  <c r="B2545" i="77"/>
  <c r="B2544" i="77"/>
  <c r="B2543" i="77"/>
  <c r="B2542" i="77"/>
  <c r="B2541" i="77"/>
  <c r="B2540" i="77"/>
  <c r="B2539" i="77"/>
  <c r="B2538" i="77"/>
  <c r="B2537" i="77"/>
  <c r="B2536" i="77"/>
  <c r="B2535" i="77"/>
  <c r="B2534" i="77"/>
  <c r="B2533" i="77"/>
  <c r="B2532" i="77"/>
  <c r="B2531" i="77"/>
  <c r="B2530" i="77"/>
  <c r="B2529" i="77"/>
  <c r="B2528" i="77"/>
  <c r="B2527" i="77"/>
  <c r="B2526" i="77"/>
  <c r="B2525" i="77"/>
  <c r="B2524" i="77"/>
  <c r="B2523" i="77"/>
  <c r="B2522" i="77"/>
  <c r="B2521" i="77"/>
  <c r="B2520" i="77"/>
  <c r="B2519" i="77"/>
  <c r="B2518" i="77"/>
  <c r="B2517" i="77"/>
  <c r="B2516" i="77"/>
  <c r="B2515" i="77"/>
  <c r="B2514" i="77"/>
  <c r="B2513" i="77"/>
  <c r="B2512" i="77"/>
  <c r="B2511" i="77"/>
  <c r="B2510" i="77"/>
  <c r="B2509" i="77"/>
  <c r="B2508" i="77"/>
  <c r="B2507" i="77"/>
  <c r="B2506" i="77"/>
  <c r="B2505" i="77"/>
  <c r="B2504" i="77"/>
  <c r="B2503" i="77"/>
  <c r="B2502" i="77"/>
  <c r="B2501" i="77"/>
  <c r="B2500" i="77"/>
  <c r="B2499" i="77"/>
  <c r="B2498" i="77"/>
  <c r="B2497" i="77"/>
  <c r="B2496" i="77"/>
  <c r="B2495" i="77"/>
  <c r="B2494" i="77"/>
  <c r="B2493" i="77"/>
  <c r="B2492" i="77"/>
  <c r="B2491" i="77"/>
  <c r="B2490" i="77"/>
  <c r="B2489" i="77"/>
  <c r="B2488" i="77"/>
  <c r="B2487" i="77"/>
  <c r="B2486" i="77"/>
  <c r="B2485" i="77"/>
  <c r="B2484" i="77"/>
  <c r="B2483" i="77"/>
  <c r="B2482" i="77"/>
  <c r="B2481" i="77"/>
  <c r="B2480" i="77"/>
  <c r="B2479" i="77"/>
  <c r="B2478" i="77"/>
  <c r="B2477" i="77"/>
  <c r="B2476" i="77"/>
  <c r="B2475" i="77"/>
  <c r="B2474" i="77"/>
  <c r="B2473" i="77"/>
  <c r="B2472" i="77"/>
  <c r="B2471" i="77"/>
  <c r="B2470" i="77"/>
  <c r="B2469" i="77"/>
  <c r="B2468" i="77"/>
  <c r="B2467" i="77"/>
  <c r="B2466" i="77"/>
  <c r="B2465" i="77"/>
  <c r="B2464" i="77"/>
  <c r="B2463" i="77"/>
  <c r="B2462" i="77"/>
  <c r="B2461" i="77"/>
  <c r="B2460" i="77"/>
  <c r="B2459" i="77"/>
  <c r="B2458" i="77"/>
  <c r="B2457" i="77"/>
  <c r="B2456" i="77"/>
  <c r="B2455" i="77"/>
  <c r="B2454" i="77"/>
  <c r="B2453" i="77"/>
  <c r="B2452" i="77"/>
  <c r="B2451" i="77"/>
  <c r="B2450" i="77"/>
  <c r="B2449" i="77"/>
  <c r="B2448" i="77"/>
  <c r="B2447" i="77"/>
  <c r="B2446" i="77"/>
  <c r="B2445" i="77"/>
  <c r="B2444" i="77"/>
  <c r="B2443" i="77"/>
  <c r="B2442" i="77"/>
  <c r="B2441" i="77"/>
  <c r="B2440" i="77"/>
  <c r="B2439" i="77"/>
  <c r="B2438" i="77"/>
  <c r="B2437" i="77"/>
  <c r="B2436" i="77"/>
  <c r="B2435" i="77"/>
  <c r="B2434" i="77"/>
  <c r="B2433" i="77"/>
  <c r="B2432" i="77"/>
  <c r="B2431" i="77"/>
  <c r="B2430" i="77"/>
  <c r="B2429" i="77"/>
  <c r="B2428" i="77"/>
  <c r="B2427" i="77"/>
  <c r="B2426" i="77"/>
  <c r="B2425" i="77"/>
  <c r="B2424" i="77"/>
  <c r="B2423" i="77"/>
  <c r="B2422" i="77"/>
  <c r="B2421" i="77"/>
  <c r="B2420" i="77"/>
  <c r="B2419" i="77"/>
  <c r="B2418" i="77"/>
  <c r="B2417" i="77"/>
  <c r="B2416" i="77"/>
  <c r="B2415" i="77"/>
  <c r="B2414" i="77"/>
  <c r="B2413" i="77"/>
  <c r="B2412" i="77"/>
  <c r="B2411" i="77"/>
  <c r="B2410" i="77"/>
  <c r="B2409" i="77"/>
  <c r="B2408" i="77"/>
  <c r="B2407" i="77"/>
  <c r="B2406" i="77"/>
  <c r="B2405" i="77"/>
  <c r="B2404" i="77"/>
  <c r="B2403" i="77"/>
  <c r="B2402" i="77"/>
  <c r="B2401" i="77"/>
  <c r="B2400" i="77"/>
  <c r="B2399" i="77"/>
  <c r="B2398" i="77"/>
  <c r="B2397" i="77"/>
  <c r="B2396" i="77"/>
  <c r="B2395" i="77"/>
  <c r="B2394" i="77"/>
  <c r="B2393" i="77"/>
  <c r="B2392" i="77"/>
  <c r="B2391" i="77"/>
  <c r="B2390" i="77"/>
  <c r="B2389" i="77"/>
  <c r="B2388" i="77"/>
  <c r="B2387" i="77"/>
  <c r="B2386" i="77"/>
  <c r="B2385" i="77"/>
  <c r="B2384" i="77"/>
  <c r="B2383" i="77"/>
  <c r="B2382" i="77"/>
  <c r="B2381" i="77"/>
  <c r="B2380" i="77"/>
  <c r="B2379" i="77"/>
  <c r="B2378" i="77"/>
  <c r="B2377" i="77"/>
  <c r="B2376" i="77"/>
  <c r="B2375" i="77"/>
  <c r="B2374" i="77"/>
  <c r="B2373" i="77"/>
  <c r="B2372" i="77"/>
  <c r="B2371" i="77"/>
  <c r="B2370" i="77"/>
  <c r="B2369" i="77"/>
  <c r="B2368" i="77"/>
  <c r="B2367" i="77"/>
  <c r="B2366" i="77"/>
  <c r="B2365" i="77"/>
  <c r="B2364" i="77"/>
  <c r="B2363" i="77"/>
  <c r="B2362" i="77"/>
  <c r="B2361" i="77"/>
  <c r="B2360" i="77"/>
  <c r="B2359" i="77"/>
  <c r="B2358" i="77"/>
  <c r="B2357" i="77"/>
  <c r="B2356" i="77"/>
  <c r="B2355" i="77"/>
  <c r="B2354" i="77"/>
  <c r="B2353" i="77"/>
  <c r="B2352" i="77"/>
  <c r="B2351" i="77"/>
  <c r="B2350" i="77"/>
  <c r="B2349" i="77"/>
  <c r="B2348" i="77"/>
  <c r="B2347" i="77"/>
  <c r="B2346" i="77"/>
  <c r="B2345" i="77"/>
  <c r="B2344" i="77"/>
  <c r="B2343" i="77"/>
  <c r="B2342" i="77"/>
  <c r="B2341" i="77"/>
  <c r="B2340" i="77"/>
  <c r="B2339" i="77"/>
  <c r="B2338" i="77"/>
  <c r="B2337" i="77"/>
  <c r="B2336" i="77"/>
  <c r="B2335" i="77"/>
  <c r="B2334" i="77"/>
  <c r="B2333" i="77"/>
  <c r="B2332" i="77"/>
  <c r="B2331" i="77"/>
  <c r="B2330" i="77"/>
  <c r="B2329" i="77"/>
  <c r="B2328" i="77"/>
  <c r="B2327" i="77"/>
  <c r="B2326" i="77"/>
  <c r="B2325" i="77"/>
  <c r="B2324" i="77"/>
  <c r="B2323" i="77"/>
  <c r="B2322" i="77"/>
  <c r="B2321" i="77"/>
  <c r="B2320" i="77"/>
  <c r="B2319" i="77"/>
  <c r="B2318" i="77"/>
  <c r="B2317" i="77"/>
  <c r="B2316" i="77"/>
  <c r="B2315" i="77"/>
  <c r="B2314" i="77"/>
  <c r="B2313" i="77"/>
  <c r="B2312" i="77"/>
  <c r="B2311" i="77"/>
  <c r="B2310" i="77"/>
  <c r="B2309" i="77"/>
  <c r="B2308" i="77"/>
  <c r="B2307" i="77"/>
  <c r="B2306" i="77"/>
  <c r="B2305" i="77"/>
  <c r="B2304" i="77"/>
  <c r="B2303" i="77"/>
  <c r="B2302" i="77"/>
  <c r="B2301" i="77"/>
  <c r="B2300" i="77"/>
  <c r="B2299" i="77"/>
  <c r="B2298" i="77"/>
  <c r="B2297" i="77"/>
  <c r="B2296" i="77"/>
  <c r="B2295" i="77"/>
  <c r="B2294" i="77"/>
  <c r="B2293" i="77"/>
  <c r="B2292" i="77"/>
  <c r="B2291" i="77"/>
  <c r="B2290" i="77"/>
  <c r="B2289" i="77"/>
  <c r="B2288" i="77"/>
  <c r="B2287" i="77"/>
  <c r="B2286" i="77"/>
  <c r="B2285" i="77"/>
  <c r="B2284" i="77"/>
  <c r="B2283" i="77"/>
  <c r="B2282" i="77"/>
  <c r="B2281" i="77"/>
  <c r="B2280" i="77"/>
  <c r="B2279" i="77"/>
  <c r="B2278" i="77"/>
  <c r="B2277" i="77"/>
  <c r="B2276" i="77"/>
  <c r="B2275" i="77"/>
  <c r="B2274" i="77"/>
  <c r="B2273" i="77"/>
  <c r="B2272" i="77"/>
  <c r="B2271" i="77"/>
  <c r="B2270" i="77"/>
  <c r="B2269" i="77"/>
  <c r="B2268" i="77"/>
  <c r="B2267" i="77"/>
  <c r="B2266" i="77"/>
  <c r="B2265" i="77"/>
  <c r="B2264" i="77"/>
  <c r="B2263" i="77"/>
  <c r="B2262" i="77"/>
  <c r="B2261" i="77"/>
  <c r="B2260" i="77"/>
  <c r="B2259" i="77"/>
  <c r="B2258" i="77"/>
  <c r="B2257" i="77"/>
  <c r="B2256" i="77"/>
  <c r="B2255" i="77"/>
  <c r="B2254" i="77"/>
  <c r="B2253" i="77"/>
  <c r="B2252" i="77"/>
  <c r="B2251" i="77"/>
  <c r="B2250" i="77"/>
  <c r="B2249" i="77"/>
  <c r="B2248" i="77"/>
  <c r="B2247" i="77"/>
  <c r="B2246" i="77"/>
  <c r="B2245" i="77"/>
  <c r="B2244" i="77"/>
  <c r="B2243" i="77"/>
  <c r="B2242" i="77"/>
  <c r="B2241" i="77"/>
  <c r="B2240" i="77"/>
  <c r="B2239" i="77"/>
  <c r="B2238" i="77"/>
  <c r="B2237" i="77"/>
  <c r="B2236" i="77"/>
  <c r="B2235" i="77"/>
  <c r="B2234" i="77"/>
  <c r="B2233" i="77"/>
  <c r="B2232" i="77"/>
  <c r="B2231" i="77"/>
  <c r="B2230" i="77"/>
  <c r="B2229" i="77"/>
  <c r="B2228" i="77"/>
  <c r="B2227" i="77"/>
  <c r="B2226" i="77"/>
  <c r="B2225" i="77"/>
  <c r="B2224" i="77"/>
  <c r="B2223" i="77"/>
  <c r="B2222" i="77"/>
  <c r="B2221" i="77"/>
  <c r="B2220" i="77"/>
  <c r="B2219" i="77"/>
  <c r="B2218" i="77"/>
  <c r="B2217" i="77"/>
  <c r="B2216" i="77"/>
  <c r="B2215" i="77"/>
  <c r="B2214" i="77"/>
  <c r="B2213" i="77"/>
  <c r="B2212" i="77"/>
  <c r="B2211" i="77"/>
  <c r="B2210" i="77"/>
  <c r="B2209" i="77"/>
  <c r="B2208" i="77"/>
  <c r="B2207" i="77"/>
  <c r="B2206" i="77"/>
  <c r="B2205" i="77"/>
  <c r="B2204" i="77"/>
  <c r="B2203" i="77"/>
  <c r="B2202" i="77"/>
  <c r="B2201" i="77"/>
  <c r="B2200" i="77"/>
  <c r="B2199" i="77"/>
  <c r="B2198" i="77"/>
  <c r="B2197" i="77"/>
  <c r="B2196" i="77"/>
  <c r="B2195" i="77"/>
  <c r="B2194" i="77"/>
  <c r="B2193" i="77"/>
  <c r="B2192" i="77"/>
  <c r="B2191" i="77"/>
  <c r="B2190" i="77"/>
  <c r="B2189" i="77"/>
  <c r="B2188" i="77"/>
  <c r="B2187" i="77"/>
  <c r="B2186" i="77"/>
  <c r="B2185" i="77"/>
  <c r="B2184" i="77"/>
  <c r="B2183" i="77"/>
  <c r="B2182" i="77"/>
  <c r="B2181" i="77"/>
  <c r="B2180" i="77"/>
  <c r="B2179" i="77"/>
  <c r="B2178" i="77"/>
  <c r="B2177" i="77"/>
  <c r="B2176" i="77"/>
  <c r="B2175" i="77"/>
  <c r="B2174" i="77"/>
  <c r="B2173" i="77"/>
  <c r="B2172" i="77"/>
  <c r="B2171" i="77"/>
  <c r="B2170" i="77"/>
  <c r="B2169" i="77"/>
  <c r="B2168" i="77"/>
  <c r="B2167" i="77"/>
  <c r="B2166" i="77"/>
  <c r="B2165" i="77"/>
  <c r="B2164" i="77"/>
  <c r="B2163" i="77"/>
  <c r="B2162" i="77"/>
  <c r="B2161" i="77"/>
  <c r="B2160" i="77"/>
  <c r="B2159" i="77"/>
  <c r="B2158" i="77"/>
  <c r="B2157" i="77"/>
  <c r="B2156" i="77"/>
  <c r="B2155" i="77"/>
  <c r="B2154" i="77"/>
  <c r="B2153" i="77"/>
  <c r="B2152" i="77"/>
  <c r="B2151" i="77"/>
  <c r="B2150" i="77"/>
  <c r="B2149" i="77"/>
  <c r="B2148" i="77"/>
  <c r="B2147" i="77"/>
  <c r="B2146" i="77"/>
  <c r="B2145" i="77"/>
  <c r="B2144" i="77"/>
  <c r="B2143" i="77"/>
  <c r="B2142" i="77"/>
  <c r="B2141" i="77"/>
  <c r="B2140" i="77"/>
  <c r="B2139" i="77"/>
  <c r="B2138" i="77"/>
  <c r="B2137" i="77"/>
  <c r="B2136" i="77"/>
  <c r="B2135" i="77"/>
  <c r="B2134" i="77"/>
  <c r="B2133" i="77"/>
  <c r="B2132" i="77"/>
  <c r="B2131" i="77"/>
  <c r="B2130" i="77"/>
  <c r="B2129" i="77"/>
  <c r="B2128" i="77"/>
  <c r="B2127" i="77"/>
  <c r="B2126" i="77"/>
  <c r="B2125" i="77"/>
  <c r="B2124" i="77"/>
  <c r="B2123" i="77"/>
  <c r="B2122" i="77"/>
  <c r="B2121" i="77"/>
  <c r="B2120" i="77"/>
  <c r="B2119" i="77"/>
  <c r="B2118" i="77"/>
  <c r="B2117" i="77"/>
  <c r="B2116" i="77"/>
  <c r="B2115" i="77"/>
  <c r="B2114" i="77"/>
  <c r="B2113" i="77"/>
  <c r="B2112" i="77"/>
  <c r="B2111" i="77"/>
  <c r="B2110" i="77"/>
  <c r="B2109" i="77"/>
  <c r="B2108" i="77"/>
  <c r="B2107" i="77"/>
  <c r="B2106" i="77"/>
  <c r="B2105" i="77"/>
  <c r="B2104" i="77"/>
  <c r="B2103" i="77"/>
  <c r="B2102" i="77"/>
  <c r="B2101" i="77"/>
  <c r="B2100" i="77"/>
  <c r="B2099" i="77"/>
  <c r="B2098" i="77"/>
  <c r="B2097" i="77"/>
  <c r="B2096" i="77"/>
  <c r="B2095" i="77"/>
  <c r="B2094" i="77"/>
  <c r="B2093" i="77"/>
  <c r="B2092" i="77"/>
  <c r="B2091" i="77"/>
  <c r="B2090" i="77"/>
  <c r="B2089" i="77"/>
  <c r="B2088" i="77"/>
  <c r="B2087" i="77"/>
  <c r="B2086" i="77"/>
  <c r="B2085" i="77"/>
  <c r="B2084" i="77"/>
  <c r="B2083" i="77"/>
  <c r="B2082" i="77"/>
  <c r="B2081" i="77"/>
  <c r="B2080" i="77"/>
  <c r="B2079" i="77"/>
  <c r="B2078" i="77"/>
  <c r="B2077" i="77"/>
  <c r="B2076" i="77"/>
  <c r="B2075" i="77"/>
  <c r="B2074" i="77"/>
  <c r="B2073" i="77"/>
  <c r="B2072" i="77"/>
  <c r="B2071" i="77"/>
  <c r="B2070" i="77"/>
  <c r="B2069" i="77"/>
  <c r="B2068" i="77"/>
  <c r="B2067" i="77"/>
  <c r="B2066" i="77"/>
  <c r="B2065" i="77"/>
  <c r="B2064" i="77"/>
  <c r="B2063" i="77"/>
  <c r="B2062" i="77"/>
  <c r="B2061" i="77"/>
  <c r="B2060" i="77"/>
  <c r="B2059" i="77"/>
  <c r="B2058" i="77"/>
  <c r="B2057" i="77"/>
  <c r="B2056" i="77"/>
  <c r="B2055" i="77"/>
  <c r="B2054" i="77"/>
  <c r="B2053" i="77"/>
  <c r="B2052" i="77"/>
  <c r="B2051" i="77"/>
  <c r="B2050" i="77"/>
  <c r="B2049" i="77"/>
  <c r="B2048" i="77"/>
  <c r="B2047" i="77"/>
  <c r="B2046" i="77"/>
  <c r="B2045" i="77"/>
  <c r="B2044" i="77"/>
  <c r="B2043" i="77"/>
  <c r="B2042" i="77"/>
  <c r="B2041" i="77"/>
  <c r="B2040" i="77"/>
  <c r="B2039" i="77"/>
  <c r="B2038" i="77"/>
  <c r="B2037" i="77"/>
  <c r="B2036" i="77"/>
  <c r="B2035" i="77"/>
  <c r="B2034" i="77"/>
  <c r="B2033" i="77"/>
  <c r="B2032" i="77"/>
  <c r="B2031" i="77"/>
  <c r="B2030" i="77"/>
  <c r="B2029" i="77"/>
  <c r="B2028" i="77"/>
  <c r="B2027" i="77"/>
  <c r="B2026" i="77"/>
  <c r="B2025" i="77"/>
  <c r="B2024" i="77"/>
  <c r="B2023" i="77"/>
  <c r="B2022" i="77"/>
  <c r="B2021" i="77"/>
  <c r="B2020" i="77"/>
  <c r="B2019" i="77"/>
  <c r="B2018" i="77"/>
  <c r="B2017" i="77"/>
  <c r="B2016" i="77"/>
  <c r="B2015" i="77"/>
  <c r="B2014" i="77"/>
  <c r="B2013" i="77"/>
  <c r="B2012" i="77"/>
  <c r="B2011" i="77"/>
  <c r="B2010" i="77"/>
  <c r="B2009" i="77"/>
  <c r="B2008" i="77"/>
  <c r="B2007" i="77"/>
  <c r="B2006" i="77"/>
  <c r="B2005" i="77"/>
  <c r="B2004" i="77"/>
  <c r="B2003" i="77"/>
  <c r="B2002" i="77"/>
  <c r="B2001" i="77"/>
  <c r="B2000" i="77"/>
  <c r="B1999" i="77"/>
  <c r="B1998" i="77"/>
  <c r="B1997" i="77"/>
  <c r="B1996" i="77"/>
  <c r="B1995" i="77"/>
  <c r="B1994" i="77"/>
  <c r="B1993" i="77"/>
  <c r="B1992" i="77"/>
  <c r="B1991" i="77"/>
  <c r="B1990" i="77"/>
  <c r="B1989" i="77"/>
  <c r="B1988" i="77"/>
  <c r="B1987" i="77"/>
  <c r="B1986" i="77"/>
  <c r="B1985" i="77"/>
  <c r="B1984" i="77"/>
  <c r="B1983" i="77"/>
  <c r="B1982" i="77"/>
  <c r="B1981" i="77"/>
  <c r="B1980" i="77"/>
  <c r="B1979" i="77"/>
  <c r="B1978" i="77"/>
  <c r="B1977" i="77"/>
  <c r="B1976" i="77"/>
  <c r="B1975" i="77"/>
  <c r="B1974" i="77"/>
  <c r="B1973" i="77"/>
  <c r="B1972" i="77"/>
  <c r="B1971" i="77"/>
  <c r="B1970" i="77"/>
  <c r="B1969" i="77"/>
  <c r="B1968" i="77"/>
  <c r="B1967" i="77"/>
  <c r="B1966" i="77"/>
  <c r="B1965" i="77"/>
  <c r="B1964" i="77"/>
  <c r="B1963" i="77"/>
  <c r="B1962" i="77"/>
  <c r="B1961" i="77"/>
  <c r="B1960" i="77"/>
  <c r="B1959" i="77"/>
  <c r="B1958" i="77"/>
  <c r="B1957" i="77"/>
  <c r="B1956" i="77"/>
  <c r="B1955" i="77"/>
  <c r="B1954" i="77"/>
  <c r="B1953" i="77"/>
  <c r="B1952" i="77"/>
  <c r="B1951" i="77"/>
  <c r="B1950" i="77"/>
  <c r="B1949" i="77"/>
  <c r="B1948" i="77"/>
  <c r="B1947" i="77"/>
  <c r="B1946" i="77"/>
  <c r="B1945" i="77"/>
  <c r="B1944" i="77"/>
  <c r="B1943" i="77"/>
  <c r="B1942" i="77"/>
  <c r="B1941" i="77"/>
  <c r="B1940" i="77"/>
  <c r="B1939" i="77"/>
  <c r="B1938" i="77"/>
  <c r="B1937" i="77"/>
  <c r="B1936" i="77"/>
  <c r="B1935" i="77"/>
  <c r="B1934" i="77"/>
  <c r="B1933" i="77"/>
  <c r="B1932" i="77"/>
  <c r="B1931" i="77"/>
  <c r="B1930" i="77"/>
  <c r="B1929" i="77"/>
  <c r="B1928" i="77"/>
  <c r="B1927" i="77"/>
  <c r="B1926" i="77"/>
  <c r="B1925" i="77"/>
  <c r="B1924" i="77"/>
  <c r="B1923" i="77"/>
  <c r="B1922" i="77"/>
  <c r="B1921" i="77"/>
  <c r="B1920" i="77"/>
  <c r="B1919" i="77"/>
  <c r="B1918" i="77"/>
  <c r="B1917" i="77"/>
  <c r="B1916" i="77"/>
  <c r="B1915" i="77"/>
  <c r="B1914" i="77"/>
  <c r="B1913" i="77"/>
  <c r="B1912" i="77"/>
  <c r="B1911" i="77"/>
  <c r="B1910" i="77"/>
  <c r="B1909" i="77"/>
  <c r="B1908" i="77"/>
  <c r="B1907" i="77"/>
  <c r="B1906" i="77"/>
  <c r="B1905" i="77"/>
  <c r="B1904" i="77"/>
  <c r="B1903" i="77"/>
  <c r="B1902" i="77"/>
  <c r="B1901" i="77"/>
  <c r="B1900" i="77"/>
  <c r="B1899" i="77"/>
  <c r="B1898" i="77"/>
  <c r="B1897" i="77"/>
  <c r="B1896" i="77"/>
  <c r="B1895" i="77"/>
  <c r="B1894" i="77"/>
  <c r="B1893" i="77"/>
  <c r="B1892" i="77"/>
  <c r="B1891" i="77"/>
  <c r="B1890" i="77"/>
  <c r="B1889" i="77"/>
  <c r="B1888" i="77"/>
  <c r="B1887" i="77"/>
  <c r="B1886" i="77"/>
  <c r="B1885" i="77"/>
  <c r="B1884" i="77"/>
  <c r="B1883" i="77"/>
  <c r="B1882" i="77"/>
  <c r="B1881" i="77"/>
  <c r="B1880" i="77"/>
  <c r="B1879" i="77"/>
  <c r="B1878" i="77"/>
  <c r="B1877" i="77"/>
  <c r="B1876" i="77"/>
  <c r="B1875" i="77"/>
  <c r="B1874" i="77"/>
  <c r="B1873" i="77"/>
  <c r="B1872" i="77"/>
  <c r="B1871" i="77"/>
  <c r="B1870" i="77"/>
  <c r="B1869" i="77"/>
  <c r="B1868" i="77"/>
  <c r="B1867" i="77"/>
  <c r="B1866" i="77"/>
  <c r="B1865" i="77"/>
  <c r="B1864" i="77"/>
  <c r="B1863" i="77"/>
  <c r="B1862" i="77"/>
  <c r="B1861" i="77"/>
  <c r="B1860" i="77"/>
  <c r="B1859" i="77"/>
  <c r="B1858" i="77"/>
  <c r="B1857" i="77"/>
  <c r="B1856" i="77"/>
  <c r="B1855" i="77"/>
  <c r="B1854" i="77"/>
  <c r="B1853" i="77"/>
  <c r="B1852" i="77"/>
  <c r="B1851" i="77"/>
  <c r="B1850" i="77"/>
  <c r="B1849" i="77"/>
  <c r="B1848" i="77"/>
  <c r="B1847" i="77"/>
  <c r="B1846" i="77"/>
  <c r="B1845" i="77"/>
  <c r="B1844" i="77"/>
  <c r="B1843" i="77"/>
  <c r="B1842" i="77"/>
  <c r="B1841" i="77"/>
  <c r="B1840" i="77"/>
  <c r="B1839" i="77"/>
  <c r="B1838" i="77"/>
  <c r="B1837" i="77"/>
  <c r="B1836" i="77"/>
  <c r="B1835" i="77"/>
  <c r="B1834" i="77"/>
  <c r="B1833" i="77"/>
  <c r="B1832" i="77"/>
  <c r="B1831" i="77"/>
  <c r="B1830" i="77"/>
  <c r="B1829" i="77"/>
  <c r="B1828" i="77"/>
  <c r="B1827" i="77"/>
  <c r="B1826" i="77"/>
  <c r="B1825" i="77"/>
  <c r="B1824" i="77"/>
  <c r="B1823" i="77"/>
  <c r="B1822" i="77"/>
  <c r="B1821" i="77"/>
  <c r="B1820" i="77"/>
  <c r="B1819" i="77"/>
  <c r="B1818" i="77"/>
  <c r="B1817" i="77"/>
  <c r="B1816" i="77"/>
  <c r="B1815" i="77"/>
  <c r="B1814" i="77"/>
  <c r="B1813" i="77"/>
  <c r="B1812" i="77"/>
  <c r="B1811" i="77"/>
  <c r="B1810" i="77"/>
  <c r="B1809" i="77"/>
  <c r="B1808" i="77"/>
  <c r="B1807" i="77"/>
  <c r="B1806" i="77"/>
  <c r="B1805" i="77"/>
  <c r="B1804" i="77"/>
  <c r="B1803" i="77"/>
  <c r="B1802" i="77"/>
  <c r="B1801" i="77"/>
  <c r="B1800" i="77"/>
  <c r="B1799" i="77"/>
  <c r="B1798" i="77"/>
  <c r="B1797" i="77"/>
  <c r="B1796" i="77"/>
  <c r="B1795" i="77"/>
  <c r="B1794" i="77"/>
  <c r="B1793" i="77"/>
  <c r="B1792" i="77"/>
  <c r="B1791" i="77"/>
  <c r="B1790" i="77"/>
  <c r="B1789" i="77"/>
  <c r="B1788" i="77"/>
  <c r="B1787" i="77"/>
  <c r="B1786" i="77"/>
  <c r="B1785" i="77"/>
  <c r="B1784" i="77"/>
  <c r="B1783" i="77"/>
  <c r="B1782" i="77"/>
  <c r="B1781" i="77"/>
  <c r="B1780" i="77"/>
  <c r="B1779" i="77"/>
  <c r="B1778" i="77"/>
  <c r="B1777" i="77"/>
  <c r="B1776" i="77"/>
  <c r="B1775" i="77"/>
  <c r="B1774" i="77"/>
  <c r="B1773" i="77"/>
  <c r="B1772" i="77"/>
  <c r="B1771" i="77"/>
  <c r="B1770" i="77"/>
  <c r="B1769" i="77"/>
  <c r="B1768" i="77"/>
  <c r="B1767" i="77"/>
  <c r="B1766" i="77"/>
  <c r="B1765" i="77"/>
  <c r="B1764" i="77"/>
  <c r="B1763" i="77"/>
  <c r="B1762" i="77"/>
  <c r="B1761" i="77"/>
  <c r="B1760" i="77"/>
  <c r="B1759" i="77"/>
  <c r="B1758" i="77"/>
  <c r="B1757" i="77"/>
  <c r="B1756" i="77"/>
  <c r="B1755" i="77"/>
  <c r="B1754" i="77"/>
  <c r="B1753" i="77"/>
  <c r="B1752" i="77"/>
  <c r="B1751" i="77"/>
  <c r="B1750" i="77"/>
  <c r="B1749" i="77"/>
  <c r="B1748" i="77"/>
  <c r="B1747" i="77"/>
  <c r="B1746" i="77"/>
  <c r="B1745" i="77"/>
  <c r="B1744" i="77"/>
  <c r="B1743" i="77"/>
  <c r="B1742" i="77"/>
  <c r="B1741" i="77"/>
  <c r="B1740" i="77"/>
  <c r="B1739" i="77"/>
  <c r="B1738" i="77"/>
  <c r="B1737" i="77"/>
  <c r="B1736" i="77"/>
  <c r="B1735" i="77"/>
  <c r="B1734" i="77"/>
  <c r="B1733" i="77"/>
  <c r="B1732" i="77"/>
  <c r="B1731" i="77"/>
  <c r="B1730" i="77"/>
  <c r="B1729" i="77"/>
  <c r="B1728" i="77"/>
  <c r="B1727" i="77"/>
  <c r="B1726" i="77"/>
  <c r="B1725" i="77"/>
  <c r="B1724" i="77"/>
  <c r="B1723" i="77"/>
  <c r="B1722" i="77"/>
  <c r="B1721" i="77"/>
  <c r="B1720" i="77"/>
  <c r="B1719" i="77"/>
  <c r="B1718" i="77"/>
  <c r="B1717" i="77"/>
  <c r="B1716" i="77"/>
  <c r="B1715" i="77"/>
  <c r="B1714" i="77"/>
  <c r="B1713" i="77"/>
  <c r="B1712" i="77"/>
  <c r="B1711" i="77"/>
  <c r="B1710" i="77"/>
  <c r="B1709" i="77"/>
  <c r="B1708" i="77"/>
  <c r="B1707" i="77"/>
  <c r="B1706" i="77"/>
  <c r="B1705" i="77"/>
  <c r="B1704" i="77"/>
  <c r="B1703" i="77"/>
  <c r="B1702" i="77"/>
  <c r="B1701" i="77"/>
  <c r="B1700" i="77"/>
  <c r="B1699" i="77"/>
  <c r="B1698" i="77"/>
  <c r="B1697" i="77"/>
  <c r="B1696" i="77"/>
  <c r="B1695" i="77"/>
  <c r="B1694" i="77"/>
  <c r="B1693" i="77"/>
  <c r="B1692" i="77"/>
  <c r="B1691" i="77"/>
  <c r="B1690" i="77"/>
  <c r="B1689" i="77"/>
  <c r="B1688" i="77"/>
  <c r="B1687" i="77"/>
  <c r="B1686" i="77"/>
  <c r="B1685" i="77"/>
  <c r="B1684" i="77"/>
  <c r="B1683" i="77"/>
  <c r="B1682" i="77"/>
  <c r="B1681" i="77"/>
  <c r="B1680" i="77"/>
  <c r="B1679" i="77"/>
  <c r="B1678" i="77"/>
  <c r="B1677" i="77"/>
  <c r="B1676" i="77"/>
  <c r="B1675" i="77"/>
  <c r="B1674" i="77"/>
  <c r="B1673" i="77"/>
  <c r="B1672" i="77"/>
  <c r="B1671" i="77"/>
  <c r="B1670" i="77"/>
  <c r="B1669" i="77"/>
  <c r="B1668" i="77"/>
  <c r="B1667" i="77"/>
  <c r="B1666" i="77"/>
  <c r="B1665" i="77"/>
  <c r="B1664" i="77"/>
  <c r="B1663" i="77"/>
  <c r="B1662" i="77"/>
  <c r="B1661" i="77"/>
  <c r="B1660" i="77"/>
  <c r="B1659" i="77"/>
  <c r="B1658" i="77"/>
  <c r="B1657" i="77"/>
  <c r="B1656" i="77"/>
  <c r="B1655" i="77"/>
  <c r="B1654" i="77"/>
  <c r="B1653" i="77"/>
  <c r="B1652" i="77"/>
  <c r="B1651" i="77"/>
  <c r="B1650" i="77"/>
  <c r="B1649" i="77"/>
  <c r="B1648" i="77"/>
  <c r="B1647" i="77"/>
  <c r="B1646" i="77"/>
  <c r="B1645" i="77"/>
  <c r="B1644" i="77"/>
  <c r="B1643" i="77"/>
  <c r="B1642" i="77"/>
  <c r="B1641" i="77"/>
  <c r="B1640" i="77"/>
  <c r="B1639" i="77"/>
  <c r="B1638" i="77"/>
  <c r="B1637" i="77"/>
  <c r="B1636" i="77"/>
  <c r="B1635" i="77"/>
  <c r="B1634" i="77"/>
  <c r="B1633" i="77"/>
  <c r="B1632" i="77"/>
  <c r="B1631" i="77"/>
  <c r="B1630" i="77"/>
  <c r="B1629" i="77"/>
  <c r="B1628" i="77"/>
  <c r="B1627" i="77"/>
  <c r="B1626" i="77"/>
  <c r="B1625" i="77"/>
  <c r="B1624" i="77"/>
  <c r="B1623" i="77"/>
  <c r="B1622" i="77"/>
  <c r="B1621" i="77"/>
  <c r="B1620" i="77"/>
  <c r="B1619" i="77"/>
  <c r="B1618" i="77"/>
  <c r="B1617" i="77"/>
  <c r="B1616" i="77"/>
  <c r="B1615" i="77"/>
  <c r="B1614" i="77"/>
  <c r="B1613" i="77"/>
  <c r="B1612" i="77"/>
  <c r="B1611" i="77"/>
  <c r="B1610" i="77"/>
  <c r="B1609" i="77"/>
  <c r="B1608" i="77"/>
  <c r="B1607" i="77"/>
  <c r="B1606" i="77"/>
  <c r="B1605" i="77"/>
  <c r="B1604" i="77"/>
  <c r="B1603" i="77"/>
  <c r="B1602" i="77"/>
  <c r="B1601" i="77"/>
  <c r="B1600" i="77"/>
  <c r="B1599" i="77"/>
  <c r="B1598" i="77"/>
  <c r="B1597" i="77"/>
  <c r="B1596" i="77"/>
  <c r="B1595" i="77"/>
  <c r="B1594" i="77"/>
  <c r="B1593" i="77"/>
  <c r="B1592" i="77"/>
  <c r="B1591" i="77"/>
  <c r="B1590" i="77"/>
  <c r="B1589" i="77"/>
  <c r="B1588" i="77"/>
  <c r="B1587" i="77"/>
  <c r="B1586" i="77"/>
  <c r="B1585" i="77"/>
  <c r="B1584" i="77"/>
  <c r="B1583" i="77"/>
  <c r="B1582" i="77"/>
  <c r="B1581" i="77"/>
  <c r="B1580" i="77"/>
  <c r="B1579" i="77"/>
  <c r="B1578" i="77"/>
  <c r="B1577" i="77"/>
  <c r="B1576" i="77"/>
  <c r="B1575" i="77"/>
  <c r="B1574" i="77"/>
  <c r="B1573" i="77"/>
  <c r="B1572" i="77"/>
  <c r="B1571" i="77"/>
  <c r="B1570" i="77"/>
  <c r="B1569" i="77"/>
  <c r="B1568" i="77"/>
  <c r="B1567" i="77"/>
  <c r="B1566" i="77"/>
  <c r="B1565" i="77"/>
  <c r="B1564" i="77"/>
  <c r="B1563" i="77"/>
  <c r="B1562" i="77"/>
  <c r="B1561" i="77"/>
  <c r="B1560" i="77"/>
  <c r="B1559" i="77"/>
  <c r="B1558" i="77"/>
  <c r="B1557" i="77"/>
  <c r="B1556" i="77"/>
  <c r="B1555" i="77"/>
  <c r="B1554" i="77"/>
  <c r="B1553" i="77"/>
  <c r="B1552" i="77"/>
  <c r="B1551" i="77"/>
  <c r="B1550" i="77"/>
  <c r="B1549" i="77"/>
  <c r="B1548" i="77"/>
  <c r="B1547" i="77"/>
  <c r="B1546" i="77"/>
  <c r="B1545" i="77"/>
  <c r="B1544" i="77"/>
  <c r="B1543" i="77"/>
  <c r="B1542" i="77"/>
  <c r="B1541" i="77"/>
  <c r="B1540" i="77"/>
  <c r="B1539" i="77"/>
  <c r="B1538" i="77"/>
  <c r="B1537" i="77"/>
  <c r="B1536" i="77"/>
  <c r="B1535" i="77"/>
  <c r="B1534" i="77"/>
  <c r="B1533" i="77"/>
  <c r="B1532" i="77"/>
  <c r="B1531" i="77"/>
  <c r="B1530" i="77"/>
  <c r="B1529" i="77"/>
  <c r="B1528" i="77"/>
  <c r="B1527" i="77"/>
  <c r="B1526" i="77"/>
  <c r="B1525" i="77"/>
  <c r="B1524" i="77"/>
  <c r="B1523" i="77"/>
  <c r="B1522" i="77"/>
  <c r="B1521" i="77"/>
  <c r="B1520" i="77"/>
  <c r="B1519" i="77"/>
  <c r="B1518" i="77"/>
  <c r="B1517" i="77"/>
  <c r="B1516" i="77"/>
  <c r="B1515" i="77"/>
  <c r="B1514" i="77"/>
  <c r="B1513" i="77"/>
  <c r="B1512" i="77"/>
  <c r="B1511" i="77"/>
  <c r="B1510" i="77"/>
  <c r="B1509" i="77"/>
  <c r="B1508" i="77"/>
  <c r="B1507" i="77"/>
  <c r="B1506" i="77"/>
  <c r="B1505" i="77"/>
  <c r="B1504" i="77"/>
  <c r="B1503" i="77"/>
  <c r="B1502" i="77"/>
  <c r="B1501" i="77"/>
  <c r="B1500" i="77"/>
  <c r="B1499" i="77"/>
  <c r="B1498" i="77"/>
  <c r="B1497" i="77"/>
  <c r="B1496" i="77"/>
  <c r="B1495" i="77"/>
  <c r="B1494" i="77"/>
  <c r="B1493" i="77"/>
  <c r="B1492" i="77"/>
  <c r="B1491" i="77"/>
  <c r="B1490" i="77"/>
  <c r="B1489" i="77"/>
  <c r="B1488" i="77"/>
  <c r="B1487" i="77"/>
  <c r="B1486" i="77"/>
  <c r="B1485" i="77"/>
  <c r="B1484" i="77"/>
  <c r="B1483" i="77"/>
  <c r="B1482" i="77"/>
  <c r="B1481" i="77"/>
  <c r="B1480" i="77"/>
  <c r="B1479" i="77"/>
  <c r="B1478" i="77"/>
  <c r="B1477" i="77"/>
  <c r="B1476" i="77"/>
  <c r="B1475" i="77"/>
  <c r="B1474" i="77"/>
  <c r="B1473" i="77"/>
  <c r="B1472" i="77"/>
  <c r="B1471" i="77"/>
  <c r="B1470" i="77"/>
  <c r="B1469" i="77"/>
  <c r="B1468" i="77"/>
  <c r="B1467" i="77"/>
  <c r="B1466" i="77"/>
  <c r="B1465" i="77"/>
  <c r="B1464" i="77"/>
  <c r="B1463" i="77"/>
  <c r="B1462" i="77"/>
  <c r="B1461" i="77"/>
  <c r="B1460" i="77"/>
  <c r="B1459" i="77"/>
  <c r="B1458" i="77"/>
  <c r="B1457" i="77"/>
  <c r="B1456" i="77"/>
  <c r="B1455" i="77"/>
  <c r="B1454" i="77"/>
  <c r="B1453" i="77"/>
  <c r="B1452" i="77"/>
  <c r="B1451" i="77"/>
  <c r="B1450" i="77"/>
  <c r="B1449" i="77"/>
  <c r="B1448" i="77"/>
  <c r="B1447" i="77"/>
  <c r="B1446" i="77"/>
  <c r="B1445" i="77"/>
  <c r="B1444" i="77"/>
  <c r="B1443" i="77"/>
  <c r="B1442" i="77"/>
  <c r="B1441" i="77"/>
  <c r="B1440" i="77"/>
  <c r="B1439" i="77"/>
  <c r="B1438" i="77"/>
  <c r="B1437" i="77"/>
  <c r="B1436" i="77"/>
  <c r="B1435" i="77"/>
  <c r="B1434" i="77"/>
  <c r="B1433" i="77"/>
  <c r="B1432" i="77"/>
  <c r="B1431" i="77"/>
  <c r="B1430" i="77"/>
  <c r="B1429" i="77"/>
  <c r="B1428" i="77"/>
  <c r="B1427" i="77"/>
  <c r="B1426" i="77"/>
  <c r="B1425" i="77"/>
  <c r="B1424" i="77"/>
  <c r="B1423" i="77"/>
  <c r="B1422" i="77"/>
  <c r="B1421" i="77"/>
  <c r="B1420" i="77"/>
  <c r="B1419" i="77"/>
  <c r="B1418" i="77"/>
  <c r="B1417" i="77"/>
  <c r="B1416" i="77"/>
  <c r="B1415" i="77"/>
  <c r="B1414" i="77"/>
  <c r="B1413" i="77"/>
  <c r="B1412" i="77"/>
  <c r="B1411" i="77"/>
  <c r="B1410" i="77"/>
  <c r="B1409" i="77"/>
  <c r="B1408" i="77"/>
  <c r="B1407" i="77"/>
  <c r="B1406" i="77"/>
  <c r="B1405" i="77"/>
  <c r="B1404" i="77"/>
  <c r="B1403" i="77"/>
  <c r="B1402" i="77"/>
  <c r="B1401" i="77"/>
  <c r="B1400" i="77"/>
  <c r="B1399" i="77"/>
  <c r="B1398" i="77"/>
  <c r="B1397" i="77"/>
  <c r="B1396" i="77"/>
  <c r="B1395" i="77"/>
  <c r="B1394" i="77"/>
  <c r="B1393" i="77"/>
  <c r="B1392" i="77"/>
  <c r="B1391" i="77"/>
  <c r="B1390" i="77"/>
  <c r="B1389" i="77"/>
  <c r="B1388" i="77"/>
  <c r="B1387" i="77"/>
  <c r="B1386" i="77"/>
  <c r="B1385" i="77"/>
  <c r="B1384" i="77"/>
  <c r="B1383" i="77"/>
  <c r="B1382" i="77"/>
  <c r="B1381" i="77"/>
  <c r="B1380" i="77"/>
  <c r="B1379" i="77"/>
  <c r="B1378" i="77"/>
  <c r="B1377" i="77"/>
  <c r="B1376" i="77"/>
  <c r="B1375" i="77"/>
  <c r="B1374" i="77"/>
  <c r="B1373" i="77"/>
  <c r="B1372" i="77"/>
  <c r="B1371" i="77"/>
  <c r="B1370" i="77"/>
  <c r="B1369" i="77"/>
  <c r="B1368" i="77"/>
  <c r="B1367" i="77"/>
  <c r="B1366" i="77"/>
  <c r="B1365" i="77"/>
  <c r="B1364" i="77"/>
  <c r="B1363" i="77"/>
  <c r="B1362" i="77"/>
  <c r="B1361" i="77"/>
  <c r="B1360" i="77"/>
  <c r="B1359" i="77"/>
  <c r="B1358" i="77"/>
  <c r="B1357" i="77"/>
  <c r="B1356" i="77"/>
  <c r="B1355" i="77"/>
  <c r="B1354" i="77"/>
  <c r="B1353" i="77"/>
  <c r="B1352" i="77"/>
  <c r="B1351" i="77"/>
  <c r="B1350" i="77"/>
  <c r="B1349" i="77"/>
  <c r="B1348" i="77"/>
  <c r="B1347" i="77"/>
  <c r="B1346" i="77"/>
  <c r="B1345" i="77"/>
  <c r="B1344" i="77"/>
  <c r="B1343" i="77"/>
  <c r="B1342" i="77"/>
  <c r="B1341" i="77"/>
  <c r="B1340" i="77"/>
  <c r="B1339" i="77"/>
  <c r="B1338" i="77"/>
  <c r="B1337" i="77"/>
  <c r="B1336" i="77"/>
  <c r="B1335" i="77"/>
  <c r="B1334" i="77"/>
  <c r="B1333" i="77"/>
  <c r="B1332" i="77"/>
  <c r="B1331" i="77"/>
  <c r="B1330" i="77"/>
  <c r="B1329" i="77"/>
  <c r="B1328" i="77"/>
  <c r="B1327" i="77"/>
  <c r="B1326" i="77"/>
  <c r="B1325" i="77"/>
  <c r="B1324" i="77"/>
  <c r="B1323" i="77"/>
  <c r="B1322" i="77"/>
  <c r="B1321" i="77"/>
  <c r="B1320" i="77"/>
  <c r="B1319" i="77"/>
  <c r="B1318" i="77"/>
  <c r="B1317" i="77"/>
  <c r="B1316" i="77"/>
  <c r="B1315" i="77"/>
  <c r="B1314" i="77"/>
  <c r="B1313" i="77"/>
  <c r="B1312" i="77"/>
  <c r="B1311" i="77"/>
  <c r="B1310" i="77"/>
  <c r="B1309" i="77"/>
  <c r="B1308" i="77"/>
  <c r="B1307" i="77"/>
  <c r="B1306" i="77"/>
  <c r="B1305" i="77"/>
  <c r="B1304" i="77"/>
  <c r="B1303" i="77"/>
  <c r="B1302" i="77"/>
  <c r="B1301" i="77"/>
  <c r="B1300" i="77"/>
  <c r="B1299" i="77"/>
  <c r="B1298" i="77"/>
  <c r="B1297" i="77"/>
  <c r="B1296" i="77"/>
  <c r="B1295" i="77"/>
  <c r="B1294" i="77"/>
  <c r="B1293" i="77"/>
  <c r="B1292" i="77"/>
  <c r="B1291" i="77"/>
  <c r="B1290" i="77"/>
  <c r="B1289" i="77"/>
  <c r="B1288" i="77"/>
  <c r="B1287" i="77"/>
  <c r="B1286" i="77"/>
  <c r="B1285" i="77"/>
  <c r="B1284" i="77"/>
  <c r="B1283" i="77"/>
  <c r="B1282" i="77"/>
  <c r="B1281" i="77"/>
  <c r="B1280" i="77"/>
  <c r="B1279" i="77"/>
  <c r="B1278" i="77"/>
  <c r="B1277" i="77"/>
  <c r="B1276" i="77"/>
  <c r="B1275" i="77"/>
  <c r="B1274" i="77"/>
  <c r="B1273" i="77"/>
  <c r="B1272" i="77"/>
  <c r="B1271" i="77"/>
  <c r="B1270" i="77"/>
  <c r="B1269" i="77"/>
  <c r="B1268" i="77"/>
  <c r="B1267" i="77"/>
  <c r="B1266" i="77"/>
  <c r="B1265" i="77"/>
  <c r="B1264" i="77"/>
  <c r="B1263" i="77"/>
  <c r="B1262" i="77"/>
  <c r="B1261" i="77"/>
  <c r="B1260" i="77"/>
  <c r="B1259" i="77"/>
  <c r="B1258" i="77"/>
  <c r="B1257" i="77"/>
  <c r="B1256" i="77"/>
  <c r="B1255" i="77"/>
  <c r="B1254" i="77"/>
  <c r="B1253" i="77"/>
  <c r="B1252" i="77"/>
  <c r="B1251" i="77"/>
  <c r="B1250" i="77"/>
  <c r="B1249" i="77"/>
  <c r="B1248" i="77"/>
  <c r="B1247" i="77"/>
  <c r="B1246" i="77"/>
  <c r="B1245" i="77"/>
  <c r="B1244" i="77"/>
  <c r="B1243" i="77"/>
  <c r="B1242" i="77"/>
  <c r="B1241" i="77"/>
  <c r="B1240" i="77"/>
  <c r="B1239" i="77"/>
  <c r="B1238" i="77"/>
  <c r="B1237" i="77"/>
  <c r="B1236" i="77"/>
  <c r="B1235" i="77"/>
  <c r="B1234" i="77"/>
  <c r="B1233" i="77"/>
  <c r="B1232" i="77"/>
  <c r="B1231" i="77"/>
  <c r="B1230" i="77"/>
  <c r="B1229" i="77"/>
  <c r="B1228" i="77"/>
  <c r="B1227" i="77"/>
  <c r="B1226" i="77"/>
  <c r="B1225" i="77"/>
  <c r="B1224" i="77"/>
  <c r="B1223" i="77"/>
  <c r="B1222" i="77"/>
  <c r="B1221" i="77"/>
  <c r="B1220" i="77"/>
  <c r="B1219" i="77"/>
  <c r="B1218" i="77"/>
  <c r="B1217" i="77"/>
  <c r="B1216" i="77"/>
  <c r="B1215" i="77"/>
  <c r="B1214" i="77"/>
  <c r="B1213" i="77"/>
  <c r="B1212" i="77"/>
  <c r="B1211" i="77"/>
  <c r="B1210" i="77"/>
  <c r="B1209" i="77"/>
  <c r="B1208" i="77"/>
  <c r="B1207" i="77"/>
  <c r="B1206" i="77"/>
  <c r="B1205" i="77"/>
  <c r="B1204" i="77"/>
  <c r="B1203" i="77"/>
  <c r="B1202" i="77"/>
  <c r="B1201" i="77"/>
  <c r="B1200" i="77"/>
  <c r="B1199" i="77"/>
  <c r="B1198" i="77"/>
  <c r="B1197" i="77"/>
  <c r="B1196" i="77"/>
  <c r="B1195" i="77"/>
  <c r="B1194" i="77"/>
  <c r="B1193" i="77"/>
  <c r="B1192" i="77"/>
  <c r="B1191" i="77"/>
  <c r="B1190" i="77"/>
  <c r="B1189" i="77"/>
  <c r="B1188" i="77"/>
  <c r="B1187" i="77"/>
  <c r="B1186" i="77"/>
  <c r="B1185" i="77"/>
  <c r="B1184" i="77"/>
  <c r="B1183" i="77"/>
  <c r="B1182" i="77"/>
  <c r="B1181" i="77"/>
  <c r="B1180" i="77"/>
  <c r="B1179" i="77"/>
  <c r="B1178" i="77"/>
  <c r="B1177" i="77"/>
  <c r="B1176" i="77"/>
  <c r="B1175" i="77"/>
  <c r="B1174" i="77"/>
  <c r="B1173" i="77"/>
  <c r="B1172" i="77"/>
  <c r="B1171" i="77"/>
  <c r="B1170" i="77"/>
  <c r="B1169" i="77"/>
  <c r="B1168" i="77"/>
  <c r="B1167" i="77"/>
  <c r="B1166" i="77"/>
  <c r="B1165" i="77"/>
  <c r="B1164" i="77"/>
  <c r="B1163" i="77"/>
  <c r="B1162" i="77"/>
  <c r="B1161" i="77"/>
  <c r="B1160" i="77"/>
  <c r="B1159" i="77"/>
  <c r="B1158" i="77"/>
  <c r="B1157" i="77"/>
  <c r="B1156" i="77"/>
  <c r="B1155" i="77"/>
  <c r="B1154" i="77"/>
  <c r="B1153" i="77"/>
  <c r="B1152" i="77"/>
  <c r="B1151" i="77"/>
  <c r="B1150" i="77"/>
  <c r="B1149" i="77"/>
  <c r="B1148" i="77"/>
  <c r="B1147" i="77"/>
  <c r="B1146" i="77"/>
  <c r="B1145" i="77"/>
  <c r="B1144" i="77"/>
  <c r="B1143" i="77"/>
  <c r="B1142" i="77"/>
  <c r="B1141" i="77"/>
  <c r="B1140" i="77"/>
  <c r="B1139" i="77"/>
  <c r="B1138" i="77"/>
  <c r="B1137" i="77"/>
  <c r="B1136" i="77"/>
  <c r="B1135" i="77"/>
  <c r="B1134" i="77"/>
  <c r="B1133" i="77"/>
  <c r="B1132" i="77"/>
  <c r="B1131" i="77"/>
  <c r="B1130" i="77"/>
  <c r="B1129" i="77"/>
  <c r="B1128" i="77"/>
  <c r="B1127" i="77"/>
  <c r="B1126" i="77"/>
  <c r="B1125" i="77"/>
  <c r="B1124" i="77"/>
  <c r="B1123" i="77"/>
  <c r="B1122" i="77"/>
  <c r="B1121" i="77"/>
  <c r="B1120" i="77"/>
  <c r="B1119" i="77"/>
  <c r="B1118" i="77"/>
  <c r="B1117" i="77"/>
  <c r="B1116" i="77"/>
  <c r="B1115" i="77"/>
  <c r="B1114" i="77"/>
  <c r="B1113" i="77"/>
  <c r="B1112" i="77"/>
  <c r="B1111" i="77"/>
  <c r="B1110" i="77"/>
  <c r="B1109" i="77"/>
  <c r="B1108" i="77"/>
  <c r="B1107" i="77"/>
  <c r="B1106" i="77"/>
  <c r="B1105" i="77"/>
  <c r="B1104" i="77"/>
  <c r="B1103" i="77"/>
  <c r="B1102" i="77"/>
  <c r="B1101" i="77"/>
  <c r="B1100" i="77"/>
  <c r="B1099" i="77"/>
  <c r="B1098" i="77"/>
  <c r="B1097" i="77"/>
  <c r="B1096" i="77"/>
  <c r="B1095" i="77"/>
  <c r="B1094" i="77"/>
  <c r="B1093" i="77"/>
  <c r="B1092" i="77"/>
  <c r="B1091" i="77"/>
  <c r="B1090" i="77"/>
  <c r="B1089" i="77"/>
  <c r="B1088" i="77"/>
  <c r="B1087" i="77"/>
  <c r="B1086" i="77"/>
  <c r="B1085" i="77"/>
  <c r="B1084" i="77"/>
  <c r="B1083" i="77"/>
  <c r="B1082" i="77"/>
  <c r="B1081" i="77"/>
  <c r="B1080" i="77"/>
  <c r="B1079" i="77"/>
  <c r="B1078" i="77"/>
  <c r="B1077" i="77"/>
  <c r="B1076" i="77"/>
  <c r="B1075" i="77"/>
  <c r="B1074" i="77"/>
  <c r="B1073" i="77"/>
  <c r="B1072" i="77"/>
  <c r="B1071" i="77"/>
  <c r="B1070" i="77"/>
  <c r="B1069" i="77"/>
  <c r="B1068" i="77"/>
  <c r="B1067" i="77"/>
  <c r="B1066" i="77"/>
  <c r="B1065" i="77"/>
  <c r="B1064" i="77"/>
  <c r="B1063" i="77"/>
  <c r="B1062" i="77"/>
  <c r="B1061" i="77"/>
  <c r="B1060" i="77"/>
  <c r="B1059" i="77"/>
  <c r="B1058" i="77"/>
  <c r="B1057" i="77"/>
  <c r="B1056" i="77"/>
  <c r="B1055" i="77"/>
  <c r="B1054" i="77"/>
  <c r="B1053" i="77"/>
  <c r="B1052" i="77"/>
  <c r="B1051" i="77"/>
  <c r="B1050" i="77"/>
  <c r="B1049" i="77"/>
  <c r="B1048" i="77"/>
  <c r="B1047" i="77"/>
  <c r="B1046" i="77"/>
  <c r="B1045" i="77"/>
  <c r="B1044" i="77"/>
  <c r="B1043" i="77"/>
  <c r="B1042" i="77"/>
  <c r="B1041" i="77"/>
  <c r="B1040" i="77"/>
  <c r="B1039" i="77"/>
  <c r="B1038" i="77"/>
  <c r="B1037" i="77"/>
  <c r="B1036" i="77"/>
  <c r="B1035" i="77"/>
  <c r="B1034" i="77"/>
  <c r="B1033" i="77"/>
  <c r="B1032" i="77"/>
  <c r="B1031" i="77"/>
  <c r="B1030" i="77"/>
  <c r="B1029" i="77"/>
  <c r="B1028" i="77"/>
  <c r="B1027" i="77"/>
  <c r="B1026" i="77"/>
  <c r="B1025" i="77"/>
  <c r="B1024" i="77"/>
  <c r="B1023" i="77"/>
  <c r="B1022" i="77"/>
  <c r="B1021" i="77"/>
  <c r="B1020" i="77"/>
  <c r="B1019" i="77"/>
  <c r="B1018" i="77"/>
  <c r="B1017" i="77"/>
  <c r="B1016" i="77"/>
  <c r="B1015" i="77"/>
  <c r="B1014" i="77"/>
  <c r="B1013" i="77"/>
  <c r="B1012" i="77"/>
  <c r="B1011" i="77"/>
  <c r="B1010" i="77"/>
  <c r="B1009" i="77"/>
  <c r="B1008" i="77"/>
  <c r="B1007" i="77"/>
  <c r="B1006" i="77"/>
  <c r="B1005" i="77"/>
  <c r="B1004" i="77"/>
  <c r="B1003" i="77"/>
  <c r="B1002" i="77"/>
  <c r="B1001" i="77"/>
  <c r="B1000" i="77"/>
  <c r="B999" i="77"/>
  <c r="B998" i="77"/>
  <c r="B997" i="77"/>
  <c r="B996" i="77"/>
  <c r="B995" i="77"/>
  <c r="B994" i="77"/>
  <c r="B993" i="77"/>
  <c r="B992" i="77"/>
  <c r="B991" i="77"/>
  <c r="B990" i="77"/>
  <c r="B989" i="77"/>
  <c r="B988" i="77"/>
  <c r="B987" i="77"/>
  <c r="B986" i="77"/>
  <c r="B985" i="77"/>
  <c r="B984" i="77"/>
  <c r="B983" i="77"/>
  <c r="B982" i="77"/>
  <c r="B981" i="77"/>
  <c r="B980" i="77"/>
  <c r="B979" i="77"/>
  <c r="B978" i="77"/>
  <c r="B977" i="77"/>
  <c r="B976" i="77"/>
  <c r="B975" i="77"/>
  <c r="B974" i="77"/>
  <c r="B973" i="77"/>
  <c r="B972" i="77"/>
  <c r="B971" i="77"/>
  <c r="B970" i="77"/>
  <c r="B969" i="77"/>
  <c r="B968" i="77"/>
  <c r="B967" i="77"/>
  <c r="B966" i="77"/>
  <c r="B965" i="77"/>
  <c r="B964" i="77"/>
  <c r="B963" i="77"/>
  <c r="B962" i="77"/>
  <c r="B961" i="77"/>
  <c r="B960" i="77"/>
  <c r="B959" i="77"/>
  <c r="B958" i="77"/>
  <c r="B957" i="77"/>
  <c r="B956" i="77"/>
  <c r="B955" i="77"/>
  <c r="B954" i="77"/>
  <c r="B953" i="77"/>
  <c r="B952" i="77"/>
  <c r="B951" i="77"/>
  <c r="B950" i="77"/>
  <c r="B949" i="77"/>
  <c r="B948" i="77"/>
  <c r="B947" i="77"/>
  <c r="B946" i="77"/>
  <c r="B945" i="77"/>
  <c r="B944" i="77"/>
  <c r="B943" i="77"/>
  <c r="B942" i="77"/>
  <c r="B941" i="77"/>
  <c r="B940" i="77"/>
  <c r="B939" i="77"/>
  <c r="B938" i="77"/>
  <c r="B937" i="77"/>
  <c r="B936" i="77"/>
  <c r="B935" i="77"/>
  <c r="B934" i="77"/>
  <c r="B933" i="77"/>
  <c r="B932" i="77"/>
  <c r="B931" i="77"/>
  <c r="B930" i="77"/>
  <c r="B929" i="77"/>
  <c r="B928" i="77"/>
  <c r="B927" i="77"/>
  <c r="B926" i="77"/>
  <c r="B925" i="77"/>
  <c r="B924" i="77"/>
  <c r="B923" i="77"/>
  <c r="B922" i="77"/>
  <c r="B921" i="77"/>
  <c r="B920" i="77"/>
  <c r="B919" i="77"/>
  <c r="B918" i="77"/>
  <c r="B917" i="77"/>
  <c r="B916" i="77"/>
  <c r="B915" i="77"/>
  <c r="B914" i="77"/>
  <c r="B913" i="77"/>
  <c r="B912" i="77"/>
  <c r="B911" i="77"/>
  <c r="B910" i="77"/>
  <c r="B909" i="77"/>
  <c r="B908" i="77"/>
  <c r="B907" i="77"/>
  <c r="B906" i="77"/>
  <c r="B905" i="77"/>
  <c r="B904" i="77"/>
  <c r="B903" i="77"/>
  <c r="B902" i="77"/>
  <c r="B901" i="77"/>
  <c r="B900" i="77"/>
  <c r="B899" i="77"/>
  <c r="B898" i="77"/>
  <c r="B897" i="77"/>
  <c r="B896" i="77"/>
  <c r="B895" i="77"/>
  <c r="B894" i="77"/>
  <c r="B893" i="77"/>
  <c r="B892" i="77"/>
  <c r="B891" i="77"/>
  <c r="B890" i="77"/>
  <c r="B889" i="77"/>
  <c r="B888" i="77"/>
  <c r="B887" i="77"/>
  <c r="B886" i="77"/>
  <c r="B885" i="77"/>
  <c r="B884" i="77"/>
  <c r="B883" i="77"/>
  <c r="B882" i="77"/>
  <c r="B881" i="77"/>
  <c r="B880" i="77"/>
  <c r="B879" i="77"/>
  <c r="B878" i="77"/>
  <c r="B877" i="77"/>
  <c r="B876" i="77"/>
  <c r="B875" i="77"/>
  <c r="B874" i="77"/>
  <c r="B873" i="77"/>
  <c r="B872" i="77"/>
  <c r="B871" i="77"/>
  <c r="B870" i="77"/>
  <c r="B869" i="77"/>
  <c r="B868" i="77"/>
  <c r="B867" i="77"/>
  <c r="B866" i="77"/>
  <c r="B865" i="77"/>
  <c r="B864" i="77"/>
  <c r="B863" i="77"/>
  <c r="B862" i="77"/>
  <c r="B861" i="77"/>
  <c r="B860" i="77"/>
  <c r="B859" i="77"/>
  <c r="B858" i="77"/>
  <c r="B857" i="77"/>
  <c r="B856" i="77"/>
  <c r="B855" i="77"/>
  <c r="B854" i="77"/>
  <c r="B853" i="77"/>
  <c r="B852" i="77"/>
  <c r="B851" i="77"/>
  <c r="B850" i="77"/>
  <c r="B849" i="77"/>
  <c r="B848" i="77"/>
  <c r="B847" i="77"/>
  <c r="B846" i="77"/>
  <c r="B845" i="77"/>
  <c r="B844" i="77"/>
  <c r="B843" i="77"/>
  <c r="B842" i="77"/>
  <c r="B841" i="77"/>
  <c r="B840" i="77"/>
  <c r="B839" i="77"/>
  <c r="B838" i="77"/>
  <c r="B837" i="77"/>
  <c r="B836" i="77"/>
  <c r="B835" i="77"/>
  <c r="B834" i="77"/>
  <c r="B833" i="77"/>
  <c r="B832" i="77"/>
  <c r="B831" i="77"/>
  <c r="B830" i="77"/>
  <c r="B829" i="77"/>
  <c r="B828" i="77"/>
  <c r="B827" i="77"/>
  <c r="B826" i="77"/>
  <c r="B825" i="77"/>
  <c r="B824" i="77"/>
  <c r="B823" i="77"/>
  <c r="B822" i="77"/>
  <c r="B821" i="77"/>
  <c r="B820" i="77"/>
  <c r="B819" i="77"/>
  <c r="B818" i="77"/>
  <c r="B817" i="77"/>
  <c r="B816" i="77"/>
  <c r="B815" i="77"/>
  <c r="B814" i="77"/>
  <c r="B813" i="77"/>
  <c r="B812" i="77"/>
  <c r="B811" i="77"/>
  <c r="B810" i="77"/>
  <c r="B809" i="77"/>
  <c r="B808" i="77"/>
  <c r="B807" i="77"/>
  <c r="B806" i="77"/>
  <c r="B805" i="77"/>
  <c r="B804" i="77"/>
  <c r="B803" i="77"/>
  <c r="B802" i="77"/>
  <c r="B801" i="77"/>
  <c r="B800" i="77"/>
  <c r="B799" i="77"/>
  <c r="B798" i="77"/>
  <c r="B797" i="77"/>
  <c r="B796" i="77"/>
  <c r="B795" i="77"/>
  <c r="B794" i="77"/>
  <c r="B793" i="77"/>
  <c r="B792" i="77"/>
  <c r="B791" i="77"/>
  <c r="B790" i="77"/>
  <c r="B789" i="77"/>
  <c r="B788" i="77"/>
  <c r="B787" i="77"/>
  <c r="B786" i="77"/>
  <c r="B785" i="77"/>
  <c r="B784" i="77"/>
  <c r="B783" i="77"/>
  <c r="B782" i="77"/>
  <c r="B781" i="77"/>
  <c r="B780" i="77"/>
  <c r="B779" i="77"/>
  <c r="B778" i="77"/>
  <c r="B777" i="77"/>
  <c r="B776" i="77"/>
  <c r="B775" i="77"/>
  <c r="B774" i="77"/>
  <c r="B773" i="77"/>
  <c r="B772" i="77"/>
  <c r="B771" i="77"/>
  <c r="B770" i="77"/>
  <c r="B769" i="77"/>
  <c r="B768" i="77"/>
  <c r="B767" i="77"/>
  <c r="B766" i="77"/>
  <c r="B765" i="77"/>
  <c r="B764" i="77"/>
  <c r="B763" i="77"/>
  <c r="B762" i="77"/>
  <c r="B761" i="77"/>
  <c r="B760" i="77"/>
  <c r="B759" i="77"/>
  <c r="B758" i="77"/>
  <c r="B757" i="77"/>
  <c r="F170" i="77"/>
  <c r="F169" i="77"/>
  <c r="F168" i="77"/>
  <c r="F161" i="77"/>
  <c r="D160" i="77"/>
  <c r="F160" i="77" s="1"/>
  <c r="D159" i="77"/>
  <c r="F159" i="77" s="1"/>
  <c r="F158" i="77"/>
  <c r="F157" i="77"/>
  <c r="F156" i="77"/>
  <c r="F143" i="77"/>
  <c r="F142" i="77"/>
  <c r="F115" i="77"/>
  <c r="F121" i="77" s="1"/>
  <c r="F123" i="77" s="1"/>
  <c r="C969" i="76" s="1"/>
  <c r="F71" i="77"/>
  <c r="F70" i="77"/>
  <c r="F69" i="77"/>
  <c r="F68" i="77"/>
  <c r="F67" i="77"/>
  <c r="F66" i="77"/>
  <c r="F65" i="77"/>
  <c r="F64" i="77"/>
  <c r="F63" i="77"/>
  <c r="F62" i="77"/>
  <c r="F55" i="77"/>
  <c r="F45" i="77"/>
  <c r="F44" i="77"/>
  <c r="F43" i="77"/>
  <c r="F42" i="77"/>
  <c r="F41" i="77"/>
  <c r="F40" i="77"/>
  <c r="F31" i="77"/>
  <c r="F21" i="77"/>
  <c r="F20" i="77"/>
  <c r="F19" i="77"/>
  <c r="F18" i="77"/>
  <c r="F17" i="77"/>
  <c r="F16" i="77"/>
  <c r="F7" i="77"/>
  <c r="Q23" i="55"/>
  <c r="S23" i="55" s="1"/>
  <c r="Q38" i="55"/>
  <c r="Q45" i="55"/>
  <c r="Q46" i="55"/>
  <c r="S46" i="55" s="1"/>
  <c r="Q330" i="55"/>
  <c r="Q341" i="55"/>
  <c r="Q342" i="55"/>
  <c r="Q353" i="55"/>
  <c r="Q355" i="55"/>
  <c r="Q454" i="55"/>
  <c r="Q510" i="55"/>
  <c r="Q534" i="55"/>
  <c r="Q543" i="55"/>
  <c r="S543" i="55" s="1"/>
  <c r="T543" i="55" s="1"/>
  <c r="Q557" i="55"/>
  <c r="Q588" i="55"/>
  <c r="S588" i="55" s="1"/>
  <c r="Q590" i="55"/>
  <c r="Q591" i="55"/>
  <c r="Q595" i="55"/>
  <c r="S595" i="55" s="1"/>
  <c r="Q609" i="55"/>
  <c r="S609" i="55" s="1"/>
  <c r="Q673" i="55"/>
  <c r="S673" i="55" s="1"/>
  <c r="Q720" i="55"/>
  <c r="Q877" i="55"/>
  <c r="Q940" i="55"/>
  <c r="S940" i="55" s="1"/>
  <c r="T940" i="55" s="1"/>
  <c r="Q941" i="55"/>
  <c r="S941" i="55" s="1"/>
  <c r="T941" i="55" s="1"/>
  <c r="Q942" i="55"/>
  <c r="S942" i="55" s="1"/>
  <c r="T942" i="55" s="1"/>
  <c r="Q943" i="55"/>
  <c r="S943" i="55" s="1"/>
  <c r="Q944" i="55"/>
  <c r="S944" i="55" s="1"/>
  <c r="Q945" i="55"/>
  <c r="S945" i="55" s="1"/>
  <c r="T945" i="55" s="1"/>
  <c r="Q946" i="55"/>
  <c r="S946" i="55" s="1"/>
  <c r="T946" i="55" s="1"/>
  <c r="Q947" i="55"/>
  <c r="S947" i="55" s="1"/>
  <c r="T947" i="55" s="1"/>
  <c r="Q948" i="55"/>
  <c r="S948" i="55" s="1"/>
  <c r="T948" i="55" s="1"/>
  <c r="Q949" i="55"/>
  <c r="S949" i="55" s="1"/>
  <c r="T949" i="55" s="1"/>
  <c r="Q950" i="55"/>
  <c r="S950" i="55" s="1"/>
  <c r="T950" i="55" s="1"/>
  <c r="Q951" i="55"/>
  <c r="S951" i="55" s="1"/>
  <c r="T951" i="55" s="1"/>
  <c r="Q952" i="55"/>
  <c r="S952" i="55" s="1"/>
  <c r="T952" i="55" s="1"/>
  <c r="Q953" i="55"/>
  <c r="S953" i="55" s="1"/>
  <c r="T953" i="55" s="1"/>
  <c r="Q954" i="55"/>
  <c r="S954" i="55" s="1"/>
  <c r="T954" i="55" s="1"/>
  <c r="Q955" i="55"/>
  <c r="S955" i="55" s="1"/>
  <c r="T955" i="55" s="1"/>
  <c r="Q956" i="55"/>
  <c r="S956" i="55" s="1"/>
  <c r="T956" i="55" s="1"/>
  <c r="Q957" i="55"/>
  <c r="S957" i="55" s="1"/>
  <c r="Q958" i="55"/>
  <c r="S958" i="55" s="1"/>
  <c r="T958" i="55" s="1"/>
  <c r="Q959" i="55"/>
  <c r="S959" i="55" s="1"/>
  <c r="T959" i="55" s="1"/>
  <c r="Q960" i="55"/>
  <c r="S960" i="55" s="1"/>
  <c r="T960" i="55" s="1"/>
  <c r="Q961" i="55"/>
  <c r="S961" i="55" s="1"/>
  <c r="T961" i="55" s="1"/>
  <c r="Q962" i="55"/>
  <c r="S962" i="55" s="1"/>
  <c r="T962" i="55" s="1"/>
  <c r="Q963" i="55"/>
  <c r="S963" i="55" s="1"/>
  <c r="T963" i="55" s="1"/>
  <c r="Q964" i="55"/>
  <c r="S964" i="55" s="1"/>
  <c r="T964" i="55" s="1"/>
  <c r="Q965" i="55"/>
  <c r="S965" i="55" s="1"/>
  <c r="T965" i="55" s="1"/>
  <c r="Q966" i="55"/>
  <c r="S966" i="55" s="1"/>
  <c r="T966" i="55" s="1"/>
  <c r="Q967" i="55"/>
  <c r="S967" i="55" s="1"/>
  <c r="T967" i="55" s="1"/>
  <c r="Q968" i="55"/>
  <c r="S968" i="55" s="1"/>
  <c r="T968" i="55" s="1"/>
  <c r="Q969" i="55"/>
  <c r="S969" i="55" s="1"/>
  <c r="T969" i="55" s="1"/>
  <c r="Q970" i="55"/>
  <c r="S970" i="55" s="1"/>
  <c r="Q971" i="55"/>
  <c r="S971" i="55" s="1"/>
  <c r="T971" i="55" s="1"/>
  <c r="Q972" i="55"/>
  <c r="S972" i="55" s="1"/>
  <c r="T972" i="55" s="1"/>
  <c r="Q973" i="55"/>
  <c r="S973" i="55" s="1"/>
  <c r="T973" i="55" s="1"/>
  <c r="Q974" i="55"/>
  <c r="S974" i="55" s="1"/>
  <c r="T974" i="55" s="1"/>
  <c r="Q975" i="55"/>
  <c r="S975" i="55" s="1"/>
  <c r="Q976" i="55"/>
  <c r="S976" i="55" s="1"/>
  <c r="T976" i="55" s="1"/>
  <c r="Q977" i="55"/>
  <c r="S977" i="55" s="1"/>
  <c r="T977" i="55" s="1"/>
  <c r="Q978" i="55"/>
  <c r="S978" i="55" s="1"/>
  <c r="T978" i="55" s="1"/>
  <c r="Q979" i="55"/>
  <c r="S979" i="55" s="1"/>
  <c r="T979" i="55" s="1"/>
  <c r="Q980" i="55"/>
  <c r="S980" i="55" s="1"/>
  <c r="T980" i="55" s="1"/>
  <c r="Q981" i="55"/>
  <c r="S981" i="55" s="1"/>
  <c r="T981" i="55" s="1"/>
  <c r="Q982" i="55"/>
  <c r="S982" i="55" s="1"/>
  <c r="T982" i="55" s="1"/>
  <c r="Q983" i="55"/>
  <c r="S983" i="55" s="1"/>
  <c r="T983" i="55" s="1"/>
  <c r="Q984" i="55"/>
  <c r="S984" i="55" s="1"/>
  <c r="T984" i="55" s="1"/>
  <c r="Q985" i="55"/>
  <c r="S985" i="55" s="1"/>
  <c r="T985" i="55" s="1"/>
  <c r="Q986" i="55"/>
  <c r="S986" i="55" s="1"/>
  <c r="T986" i="55" s="1"/>
  <c r="Q987" i="55"/>
  <c r="S987" i="55" s="1"/>
  <c r="T987" i="55" s="1"/>
  <c r="Q988" i="55"/>
  <c r="S988" i="55" s="1"/>
  <c r="T988" i="55" s="1"/>
  <c r="Q989" i="55"/>
  <c r="S989" i="55" s="1"/>
  <c r="T989" i="55" s="1"/>
  <c r="Q990" i="55"/>
  <c r="S990" i="55" s="1"/>
  <c r="T990" i="55" s="1"/>
  <c r="Q991" i="55"/>
  <c r="S991" i="55" s="1"/>
  <c r="T991" i="55" s="1"/>
  <c r="Q992" i="55"/>
  <c r="S992" i="55" s="1"/>
  <c r="T992" i="55" s="1"/>
  <c r="Q993" i="55"/>
  <c r="S993" i="55" s="1"/>
  <c r="T993" i="55" s="1"/>
  <c r="Q994" i="55"/>
  <c r="S994" i="55" s="1"/>
  <c r="T994" i="55" s="1"/>
  <c r="Q995" i="55"/>
  <c r="S995" i="55" s="1"/>
  <c r="T995" i="55" s="1"/>
  <c r="Q996" i="55"/>
  <c r="S996" i="55" s="1"/>
  <c r="T996" i="55" s="1"/>
  <c r="Q997" i="55"/>
  <c r="S997" i="55" s="1"/>
  <c r="T997" i="55" s="1"/>
  <c r="Q998" i="55"/>
  <c r="S998" i="55" s="1"/>
  <c r="T998" i="55" s="1"/>
  <c r="Q999" i="55"/>
  <c r="S999" i="55" s="1"/>
  <c r="T999" i="55" s="1"/>
  <c r="Q1000" i="55"/>
  <c r="S1000" i="55" s="1"/>
  <c r="T1000" i="55" s="1"/>
  <c r="Q1001" i="55"/>
  <c r="S1001" i="55" s="1"/>
  <c r="T1001" i="55" s="1"/>
  <c r="Q1002" i="55"/>
  <c r="S1002" i="55" s="1"/>
  <c r="T1002" i="55" s="1"/>
  <c r="Q1003" i="55"/>
  <c r="S1003" i="55" s="1"/>
  <c r="Q18" i="55"/>
  <c r="S18" i="55" s="1"/>
  <c r="L22" i="76"/>
  <c r="L25" i="76"/>
  <c r="L28" i="76"/>
  <c r="L31" i="76"/>
  <c r="L32" i="76"/>
  <c r="L33" i="76"/>
  <c r="L34" i="76"/>
  <c r="L35" i="76"/>
  <c r="L36" i="76"/>
  <c r="L37" i="76"/>
  <c r="L48" i="76"/>
  <c r="L49" i="76"/>
  <c r="L57" i="76"/>
  <c r="L58" i="76"/>
  <c r="L60" i="76"/>
  <c r="L61" i="76"/>
  <c r="L64" i="76"/>
  <c r="L70" i="76"/>
  <c r="L84" i="76"/>
  <c r="L90" i="76"/>
  <c r="L105" i="76"/>
  <c r="L106" i="76"/>
  <c r="L107" i="76"/>
  <c r="L108" i="76"/>
  <c r="L109" i="76"/>
  <c r="L110" i="76"/>
  <c r="L111" i="76"/>
  <c r="L112" i="76"/>
  <c r="L113" i="76"/>
  <c r="L114" i="76"/>
  <c r="L115" i="76"/>
  <c r="L116" i="76"/>
  <c r="L117" i="76"/>
  <c r="L123" i="76"/>
  <c r="L124" i="76"/>
  <c r="L125" i="76"/>
  <c r="L126" i="76"/>
  <c r="L127" i="76"/>
  <c r="L128" i="76"/>
  <c r="L129" i="76"/>
  <c r="L136" i="76"/>
  <c r="L152" i="76"/>
  <c r="L153" i="76"/>
  <c r="L154" i="76"/>
  <c r="L155" i="76"/>
  <c r="L156" i="76"/>
  <c r="L157" i="76"/>
  <c r="L158" i="76"/>
  <c r="L159" i="76"/>
  <c r="L160" i="76"/>
  <c r="L161" i="76"/>
  <c r="L162" i="76"/>
  <c r="L163" i="76"/>
  <c r="L164" i="76"/>
  <c r="L165" i="76"/>
  <c r="L166" i="76"/>
  <c r="L173" i="76"/>
  <c r="L174" i="76"/>
  <c r="L175" i="76"/>
  <c r="L176" i="76"/>
  <c r="L177" i="76"/>
  <c r="L178" i="76"/>
  <c r="L179" i="76"/>
  <c r="L180" i="76"/>
  <c r="L186" i="76"/>
  <c r="L192" i="76"/>
  <c r="L193" i="76"/>
  <c r="L194" i="76"/>
  <c r="L195" i="76"/>
  <c r="L196" i="76"/>
  <c r="L197" i="76"/>
  <c r="L198" i="76"/>
  <c r="L199" i="76"/>
  <c r="L200" i="76"/>
  <c r="L201" i="76"/>
  <c r="L202" i="76"/>
  <c r="L203" i="76"/>
  <c r="L204" i="76"/>
  <c r="L210" i="76"/>
  <c r="L211" i="76"/>
  <c r="L212" i="76"/>
  <c r="L213" i="76"/>
  <c r="L214" i="76"/>
  <c r="L215" i="76"/>
  <c r="L216" i="76"/>
  <c r="L222" i="76"/>
  <c r="L223" i="76"/>
  <c r="L224" i="76"/>
  <c r="L225" i="76"/>
  <c r="L226" i="76"/>
  <c r="L227" i="76"/>
  <c r="L228" i="76"/>
  <c r="L230" i="76"/>
  <c r="L231" i="76"/>
  <c r="L244" i="76"/>
  <c r="L251" i="76"/>
  <c r="L257" i="76"/>
  <c r="L263" i="76"/>
  <c r="L269" i="76"/>
  <c r="L275" i="76"/>
  <c r="L281" i="76"/>
  <c r="L282" i="76"/>
  <c r="L283" i="76"/>
  <c r="L284" i="76"/>
  <c r="L285" i="76"/>
  <c r="L289" i="76"/>
  <c r="L293" i="76"/>
  <c r="L298" i="76"/>
  <c r="L300" i="76"/>
  <c r="L303" i="76"/>
  <c r="L304" i="76"/>
  <c r="L308" i="76"/>
  <c r="L326" i="76"/>
  <c r="L327" i="76"/>
  <c r="L329" i="76"/>
  <c r="L331" i="76"/>
  <c r="L338" i="76"/>
  <c r="L340" i="76"/>
  <c r="L344" i="76"/>
  <c r="L355" i="76"/>
  <c r="L358" i="76"/>
  <c r="L362" i="76"/>
  <c r="L368" i="76"/>
  <c r="L374" i="76"/>
  <c r="L380" i="76"/>
  <c r="L391" i="76"/>
  <c r="L395" i="76"/>
  <c r="L397" i="76"/>
  <c r="L398" i="76"/>
  <c r="L400" i="76"/>
  <c r="L402" i="76"/>
  <c r="L405" i="76"/>
  <c r="L408" i="76"/>
  <c r="L411" i="76"/>
  <c r="L415" i="76"/>
  <c r="L425" i="76"/>
  <c r="L430" i="76"/>
  <c r="L433" i="76"/>
  <c r="L434" i="76"/>
  <c r="L435" i="76"/>
  <c r="L439" i="76"/>
  <c r="L450" i="76"/>
  <c r="L454" i="76"/>
  <c r="L455" i="76"/>
  <c r="L461" i="76"/>
  <c r="L468" i="76"/>
  <c r="L474" i="76"/>
  <c r="L481" i="76"/>
  <c r="L487" i="76"/>
  <c r="L494" i="76"/>
  <c r="L500" i="76"/>
  <c r="L508" i="76"/>
  <c r="L514" i="76"/>
  <c r="L517" i="76"/>
  <c r="L534" i="76"/>
  <c r="L541" i="76"/>
  <c r="L549" i="76"/>
  <c r="L566" i="76"/>
  <c r="L571" i="76"/>
  <c r="L575" i="76"/>
  <c r="L579" i="76"/>
  <c r="L583" i="76"/>
  <c r="L584" i="76"/>
  <c r="L589" i="76"/>
  <c r="L597" i="76"/>
  <c r="L602" i="76"/>
  <c r="L604" i="76"/>
  <c r="L607" i="76"/>
  <c r="L610" i="76"/>
  <c r="L613" i="76"/>
  <c r="L614" i="76"/>
  <c r="L616" i="76"/>
  <c r="L621" i="76"/>
  <c r="L624" i="76"/>
  <c r="L629" i="76"/>
  <c r="L630" i="76"/>
  <c r="L631" i="76"/>
  <c r="L632" i="76"/>
  <c r="L634" i="76"/>
  <c r="L637" i="76"/>
  <c r="L643" i="76"/>
  <c r="L649" i="76"/>
  <c r="L655" i="76"/>
  <c r="L677" i="76"/>
  <c r="L682" i="76"/>
  <c r="L699" i="76"/>
  <c r="L704" i="76"/>
  <c r="L705" i="76"/>
  <c r="L717" i="76"/>
  <c r="L721" i="76"/>
  <c r="L724" i="76"/>
  <c r="L725" i="76"/>
  <c r="L733" i="76"/>
  <c r="L741" i="76"/>
  <c r="L742" i="76"/>
  <c r="L743" i="76"/>
  <c r="L744" i="76"/>
  <c r="L745" i="76"/>
  <c r="L746" i="76"/>
  <c r="L747" i="76"/>
  <c r="L748" i="76"/>
  <c r="L749" i="76"/>
  <c r="L750" i="76"/>
  <c r="L751" i="76"/>
  <c r="L752" i="76"/>
  <c r="L753" i="76"/>
  <c r="L754" i="76"/>
  <c r="L755" i="76"/>
  <c r="L756" i="76"/>
  <c r="L757" i="76"/>
  <c r="L758" i="76"/>
  <c r="L759" i="76"/>
  <c r="L760" i="76"/>
  <c r="L761" i="76"/>
  <c r="L762" i="76"/>
  <c r="L772" i="76"/>
  <c r="L773" i="76"/>
  <c r="L774" i="76"/>
  <c r="L775" i="76"/>
  <c r="L776" i="76"/>
  <c r="L777" i="76"/>
  <c r="L778" i="76"/>
  <c r="L779" i="76"/>
  <c r="L780" i="76"/>
  <c r="L781" i="76"/>
  <c r="L782" i="76"/>
  <c r="L783" i="76"/>
  <c r="L784" i="76"/>
  <c r="L785" i="76"/>
  <c r="L786" i="76"/>
  <c r="L787" i="76"/>
  <c r="L788" i="76"/>
  <c r="L789" i="76"/>
  <c r="L790" i="76"/>
  <c r="L791" i="76"/>
  <c r="L792" i="76"/>
  <c r="L793" i="76"/>
  <c r="L794" i="76"/>
  <c r="L795" i="76"/>
  <c r="L796" i="76"/>
  <c r="L797" i="76"/>
  <c r="L798" i="76"/>
  <c r="L799" i="76"/>
  <c r="L811" i="76"/>
  <c r="L816" i="76"/>
  <c r="L821" i="76"/>
  <c r="L827" i="76"/>
  <c r="L830" i="76"/>
  <c r="L838" i="76"/>
  <c r="L839" i="76"/>
  <c r="L840" i="76"/>
  <c r="L841" i="76"/>
  <c r="L851" i="76"/>
  <c r="L854" i="76"/>
  <c r="L855" i="76"/>
  <c r="L856" i="76"/>
  <c r="L857" i="76"/>
  <c r="L858" i="76"/>
  <c r="L859" i="76"/>
  <c r="L864" i="76"/>
  <c r="L876" i="76"/>
  <c r="L883" i="76"/>
  <c r="L885" i="76"/>
  <c r="L889" i="76"/>
  <c r="L890" i="76"/>
  <c r="L894" i="76"/>
  <c r="L895" i="76"/>
  <c r="L896" i="76"/>
  <c r="L897" i="76"/>
  <c r="L909" i="76"/>
  <c r="L911" i="76"/>
  <c r="L912" i="76"/>
  <c r="L914" i="76"/>
  <c r="L919" i="76"/>
  <c r="L923" i="76"/>
  <c r="L924" i="76"/>
  <c r="L926" i="76"/>
  <c r="L927" i="76"/>
  <c r="L928" i="76"/>
  <c r="L929" i="76"/>
  <c r="L930" i="76"/>
  <c r="L931" i="76"/>
  <c r="L932" i="76"/>
  <c r="L933" i="76"/>
  <c r="L934" i="76"/>
  <c r="L935" i="76"/>
  <c r="L936" i="76"/>
  <c r="L939" i="76"/>
  <c r="L940" i="76"/>
  <c r="L941" i="76"/>
  <c r="L942" i="76"/>
  <c r="L943" i="76"/>
  <c r="L944" i="76"/>
  <c r="L945" i="76"/>
  <c r="L946" i="76"/>
  <c r="L947" i="76"/>
  <c r="L948" i="76"/>
  <c r="L949" i="76"/>
  <c r="L950" i="76"/>
  <c r="L952" i="76"/>
  <c r="L953" i="76"/>
  <c r="L954" i="76"/>
  <c r="L955" i="76"/>
  <c r="L956" i="76"/>
  <c r="L957" i="76"/>
  <c r="L958" i="76"/>
  <c r="L959" i="76"/>
  <c r="L960" i="76"/>
  <c r="L961" i="76"/>
  <c r="L962" i="76"/>
  <c r="L963" i="76"/>
  <c r="L965" i="76"/>
  <c r="L966" i="76"/>
  <c r="L967" i="76"/>
  <c r="L968" i="76"/>
  <c r="L970" i="76"/>
  <c r="L971" i="76"/>
  <c r="L972" i="76"/>
  <c r="L973" i="76"/>
  <c r="L974" i="76"/>
  <c r="L975" i="76"/>
  <c r="L976" i="76"/>
  <c r="L977" i="76"/>
  <c r="L978" i="76"/>
  <c r="L979" i="76"/>
  <c r="L980" i="76"/>
  <c r="L981" i="76"/>
  <c r="L982" i="76"/>
  <c r="L983" i="76"/>
  <c r="L984" i="76"/>
  <c r="L985" i="76"/>
  <c r="L986" i="76"/>
  <c r="L987" i="76"/>
  <c r="L988" i="76"/>
  <c r="L989" i="76"/>
  <c r="L990" i="76"/>
  <c r="L991" i="76"/>
  <c r="L992" i="76"/>
  <c r="L993" i="76"/>
  <c r="L994" i="76"/>
  <c r="L995" i="76"/>
  <c r="L996" i="76"/>
  <c r="L998" i="76"/>
  <c r="A994" i="76"/>
  <c r="A1000" i="55" s="1"/>
  <c r="C975" i="55" l="1"/>
  <c r="D237" i="78" s="1"/>
  <c r="L969" i="76"/>
  <c r="T975" i="55"/>
  <c r="A43" i="78"/>
  <c r="A44" i="78" s="1"/>
  <c r="A45" i="78" s="1"/>
  <c r="B8" i="78"/>
  <c r="R1002" i="55"/>
  <c r="R1000" i="55"/>
  <c r="R998" i="55"/>
  <c r="R996" i="55"/>
  <c r="R994" i="55"/>
  <c r="R992" i="55"/>
  <c r="R990" i="55"/>
  <c r="R988" i="55"/>
  <c r="R986" i="55"/>
  <c r="R984" i="55"/>
  <c r="R982" i="55"/>
  <c r="R980" i="55"/>
  <c r="R978" i="55"/>
  <c r="R976" i="55"/>
  <c r="R974" i="55"/>
  <c r="R972" i="55"/>
  <c r="R968" i="55"/>
  <c r="R966" i="55"/>
  <c r="R964" i="55"/>
  <c r="R962" i="55"/>
  <c r="R960" i="55"/>
  <c r="R958" i="55"/>
  <c r="R956" i="55"/>
  <c r="R954" i="55"/>
  <c r="R952" i="55"/>
  <c r="R951" i="55"/>
  <c r="R949" i="55"/>
  <c r="R947" i="55"/>
  <c r="R945" i="55"/>
  <c r="R941" i="55"/>
  <c r="B103" i="78"/>
  <c r="B102" i="78"/>
  <c r="B11" i="78"/>
  <c r="R1001" i="55"/>
  <c r="R999" i="55"/>
  <c r="R997" i="55"/>
  <c r="R995" i="55"/>
  <c r="R993" i="55"/>
  <c r="R991" i="55"/>
  <c r="R989" i="55"/>
  <c r="R987" i="55"/>
  <c r="R985" i="55"/>
  <c r="R983" i="55"/>
  <c r="R981" i="55"/>
  <c r="R979" i="55"/>
  <c r="R977" i="55"/>
  <c r="R975" i="55"/>
  <c r="R973" i="55"/>
  <c r="R971" i="55"/>
  <c r="R969" i="55"/>
  <c r="R967" i="55"/>
  <c r="R965" i="55"/>
  <c r="R963" i="55"/>
  <c r="R961" i="55"/>
  <c r="R959" i="55"/>
  <c r="R955" i="55"/>
  <c r="R953" i="55"/>
  <c r="R950" i="55"/>
  <c r="R948" i="55"/>
  <c r="R946" i="55"/>
  <c r="R942" i="55"/>
  <c r="R940" i="55"/>
  <c r="B121" i="78"/>
  <c r="B85" i="78"/>
  <c r="B23" i="78"/>
  <c r="B14" i="78"/>
  <c r="A995" i="76"/>
  <c r="F82" i="77"/>
  <c r="C997" i="76" s="1"/>
  <c r="L997" i="76" s="1"/>
  <c r="F74" i="77"/>
  <c r="F76" i="77" s="1"/>
  <c r="D56" i="77" s="1"/>
  <c r="F56" i="77" s="1"/>
  <c r="F58" i="77" s="1"/>
  <c r="C938" i="76" s="1"/>
  <c r="F50" i="77"/>
  <c r="F52" i="77" s="1"/>
  <c r="D32" i="77" s="1"/>
  <c r="F32" i="77" s="1"/>
  <c r="F146" i="77"/>
  <c r="F171" i="77"/>
  <c r="F172" i="77" s="1"/>
  <c r="F163" i="77" s="1"/>
  <c r="F164" i="77" s="1"/>
  <c r="F26" i="77"/>
  <c r="F28" i="77" s="1"/>
  <c r="D8" i="77" s="1"/>
  <c r="F8" i="77" s="1"/>
  <c r="F10" i="77" s="1"/>
  <c r="C937" i="76" s="1"/>
  <c r="F937" i="76" s="1"/>
  <c r="F34" i="77"/>
  <c r="C951" i="76" s="1"/>
  <c r="F938" i="76"/>
  <c r="V991" i="76"/>
  <c r="V990" i="76"/>
  <c r="V989" i="76"/>
  <c r="V988" i="76"/>
  <c r="V987" i="76"/>
  <c r="J987" i="76"/>
  <c r="J988" i="76"/>
  <c r="J989" i="76"/>
  <c r="J990" i="76"/>
  <c r="J991" i="76"/>
  <c r="J986" i="76"/>
  <c r="V986" i="76"/>
  <c r="A978" i="76"/>
  <c r="C1003" i="55" l="1"/>
  <c r="D265" i="78" s="1"/>
  <c r="C957" i="55"/>
  <c r="L951" i="76"/>
  <c r="C943" i="55"/>
  <c r="L937" i="76"/>
  <c r="C944" i="55"/>
  <c r="L938" i="76"/>
  <c r="V997" i="76"/>
  <c r="A46" i="78"/>
  <c r="A47" i="78" s="1"/>
  <c r="A48" i="78" s="1"/>
  <c r="A52" i="78" s="1"/>
  <c r="A53" i="78" s="1"/>
  <c r="A54" i="78" s="1"/>
  <c r="A55" i="78" s="1"/>
  <c r="A56" i="78" s="1"/>
  <c r="A57" i="78" s="1"/>
  <c r="A58" i="78" s="1"/>
  <c r="A59" i="78" s="1"/>
  <c r="A60" i="78" s="1"/>
  <c r="T1003" i="55"/>
  <c r="B199" i="78"/>
  <c r="F199" i="78" s="1"/>
  <c r="B205" i="78"/>
  <c r="B209" i="78"/>
  <c r="F209" i="78" s="1"/>
  <c r="B217" i="78"/>
  <c r="F217" i="78" s="1"/>
  <c r="B201" i="78"/>
  <c r="F201" i="78" s="1"/>
  <c r="B207" i="78"/>
  <c r="F207" i="78" s="1"/>
  <c r="B219" i="78"/>
  <c r="B221" i="78"/>
  <c r="F221" i="78" s="1"/>
  <c r="B223" i="78"/>
  <c r="F223" i="78" s="1"/>
  <c r="B225" i="78"/>
  <c r="F225" i="78" s="1"/>
  <c r="B227" i="78"/>
  <c r="F227" i="78" s="1"/>
  <c r="B229" i="78"/>
  <c r="F229" i="78" s="1"/>
  <c r="B231" i="78"/>
  <c r="F231" i="78" s="1"/>
  <c r="B233" i="78"/>
  <c r="F233" i="78" s="1"/>
  <c r="B235" i="78"/>
  <c r="F235" i="78" s="1"/>
  <c r="B237" i="78"/>
  <c r="F237" i="78" s="1"/>
  <c r="B239" i="78"/>
  <c r="F239" i="78" s="1"/>
  <c r="B241" i="78"/>
  <c r="F241" i="78" s="1"/>
  <c r="B243" i="78"/>
  <c r="F243" i="78" s="1"/>
  <c r="B247" i="78"/>
  <c r="F247" i="78" s="1"/>
  <c r="B251" i="78"/>
  <c r="F251" i="78" s="1"/>
  <c r="B253" i="78"/>
  <c r="F253" i="78" s="1"/>
  <c r="B255" i="78"/>
  <c r="F255" i="78" s="1"/>
  <c r="B257" i="78"/>
  <c r="F257" i="78" s="1"/>
  <c r="B259" i="78"/>
  <c r="F259" i="78" s="1"/>
  <c r="B261" i="78"/>
  <c r="F261" i="78" s="1"/>
  <c r="B263" i="78"/>
  <c r="F263" i="78" s="1"/>
  <c r="B265" i="78"/>
  <c r="F265" i="78" s="1"/>
  <c r="B200" i="78"/>
  <c r="F200" i="78" s="1"/>
  <c r="B203" i="78"/>
  <c r="B208" i="78"/>
  <c r="F208" i="78" s="1"/>
  <c r="B210" i="78"/>
  <c r="F210" i="78" s="1"/>
  <c r="B213" i="78"/>
  <c r="F213" i="78" s="1"/>
  <c r="B214" i="78"/>
  <c r="F214" i="78" s="1"/>
  <c r="B216" i="78"/>
  <c r="F216" i="78" s="1"/>
  <c r="B218" i="78"/>
  <c r="F218" i="78" s="1"/>
  <c r="B222" i="78"/>
  <c r="F222" i="78" s="1"/>
  <c r="B224" i="78"/>
  <c r="F224" i="78" s="1"/>
  <c r="B226" i="78"/>
  <c r="F226" i="78" s="1"/>
  <c r="B228" i="78"/>
  <c r="F228" i="78" s="1"/>
  <c r="B230" i="78"/>
  <c r="F230" i="78" s="1"/>
  <c r="B232" i="78"/>
  <c r="B234" i="78"/>
  <c r="F234" i="78" s="1"/>
  <c r="B240" i="78"/>
  <c r="F240" i="78" s="1"/>
  <c r="B242" i="78"/>
  <c r="F242" i="78" s="1"/>
  <c r="B246" i="78"/>
  <c r="F246" i="78" s="1"/>
  <c r="B248" i="78"/>
  <c r="F248" i="78" s="1"/>
  <c r="B250" i="78"/>
  <c r="F250" i="78" s="1"/>
  <c r="B252" i="78"/>
  <c r="F252" i="78" s="1"/>
  <c r="B254" i="78"/>
  <c r="F254" i="78" s="1"/>
  <c r="B256" i="78"/>
  <c r="F256" i="78" s="1"/>
  <c r="B258" i="78"/>
  <c r="F258" i="78" s="1"/>
  <c r="B262" i="78"/>
  <c r="F262" i="78" s="1"/>
  <c r="B264" i="78"/>
  <c r="F264" i="78" s="1"/>
  <c r="A979" i="76"/>
  <c r="A984" i="55"/>
  <c r="A996" i="76"/>
  <c r="A1001" i="55"/>
  <c r="F985" i="76"/>
  <c r="J985" i="76"/>
  <c r="V876" i="76"/>
  <c r="V883" i="76"/>
  <c r="V885" i="76"/>
  <c r="V889" i="76"/>
  <c r="V890" i="76"/>
  <c r="V894" i="76"/>
  <c r="V895" i="76"/>
  <c r="V896" i="76"/>
  <c r="V897" i="76"/>
  <c r="V909" i="76"/>
  <c r="V911" i="76"/>
  <c r="V912" i="76"/>
  <c r="V914" i="76"/>
  <c r="V919" i="76"/>
  <c r="V923" i="76"/>
  <c r="V924" i="76"/>
  <c r="V926" i="76"/>
  <c r="V927" i="76"/>
  <c r="V928" i="76"/>
  <c r="V929" i="76"/>
  <c r="V930" i="76"/>
  <c r="V931" i="76"/>
  <c r="V932" i="76"/>
  <c r="V933" i="76"/>
  <c r="V934" i="76"/>
  <c r="V935" i="76"/>
  <c r="V936" i="76"/>
  <c r="V937" i="76"/>
  <c r="V938" i="76"/>
  <c r="V939" i="76"/>
  <c r="V940" i="76"/>
  <c r="V941" i="76"/>
  <c r="V942" i="76"/>
  <c r="V943" i="76"/>
  <c r="V944" i="76"/>
  <c r="V945" i="76"/>
  <c r="V946" i="76"/>
  <c r="V947" i="76"/>
  <c r="V948" i="76"/>
  <c r="V949" i="76"/>
  <c r="V950" i="76"/>
  <c r="V951" i="76"/>
  <c r="V952" i="76"/>
  <c r="V953" i="76"/>
  <c r="V954" i="76"/>
  <c r="V955" i="76"/>
  <c r="V956" i="76"/>
  <c r="V957" i="76"/>
  <c r="V958" i="76"/>
  <c r="V959" i="76"/>
  <c r="V960" i="76"/>
  <c r="V961" i="76"/>
  <c r="V962" i="76"/>
  <c r="V963" i="76"/>
  <c r="V965" i="76"/>
  <c r="V966" i="76"/>
  <c r="V967" i="76"/>
  <c r="V968" i="76"/>
  <c r="V969" i="76"/>
  <c r="V970" i="76"/>
  <c r="V971" i="76"/>
  <c r="V972" i="76"/>
  <c r="V973" i="76"/>
  <c r="V974" i="76"/>
  <c r="V975" i="76"/>
  <c r="V976" i="76"/>
  <c r="V977" i="76"/>
  <c r="V978" i="76"/>
  <c r="V979" i="76"/>
  <c r="V980" i="76"/>
  <c r="V981" i="76"/>
  <c r="V982" i="76"/>
  <c r="V983" i="76"/>
  <c r="V984" i="76"/>
  <c r="V985" i="76"/>
  <c r="V48" i="76"/>
  <c r="V49" i="76"/>
  <c r="V57" i="76"/>
  <c r="V58" i="76"/>
  <c r="V60" i="76"/>
  <c r="V61" i="76"/>
  <c r="V64" i="76"/>
  <c r="V70" i="76"/>
  <c r="V84" i="76"/>
  <c r="V90" i="76"/>
  <c r="V105" i="76"/>
  <c r="V106" i="76"/>
  <c r="V107" i="76"/>
  <c r="V108" i="76"/>
  <c r="V109" i="76"/>
  <c r="V110" i="76"/>
  <c r="V111" i="76"/>
  <c r="V112" i="76"/>
  <c r="V113" i="76"/>
  <c r="V114" i="76"/>
  <c r="V115" i="76"/>
  <c r="V116" i="76"/>
  <c r="V117" i="76"/>
  <c r="V123" i="76"/>
  <c r="V124" i="76"/>
  <c r="V125" i="76"/>
  <c r="V126" i="76"/>
  <c r="V127" i="76"/>
  <c r="V128" i="76"/>
  <c r="V129" i="76"/>
  <c r="V136" i="76"/>
  <c r="V152" i="76"/>
  <c r="V153" i="76"/>
  <c r="V154" i="76"/>
  <c r="V155" i="76"/>
  <c r="V156" i="76"/>
  <c r="V157" i="76"/>
  <c r="V158" i="76"/>
  <c r="V159" i="76"/>
  <c r="V160" i="76"/>
  <c r="V161" i="76"/>
  <c r="V162" i="76"/>
  <c r="V163" i="76"/>
  <c r="V164" i="76"/>
  <c r="V165" i="76"/>
  <c r="V166" i="76"/>
  <c r="V173" i="76"/>
  <c r="V174" i="76"/>
  <c r="V175" i="76"/>
  <c r="V176" i="76"/>
  <c r="V177" i="76"/>
  <c r="V178" i="76"/>
  <c r="V179" i="76"/>
  <c r="V180" i="76"/>
  <c r="V186" i="76"/>
  <c r="V192" i="76"/>
  <c r="V193" i="76"/>
  <c r="V194" i="76"/>
  <c r="V195" i="76"/>
  <c r="V196" i="76"/>
  <c r="V197" i="76"/>
  <c r="V198" i="76"/>
  <c r="V199" i="76"/>
  <c r="V200" i="76"/>
  <c r="V201" i="76"/>
  <c r="V202" i="76"/>
  <c r="V203" i="76"/>
  <c r="V204" i="76"/>
  <c r="V210" i="76"/>
  <c r="V211" i="76"/>
  <c r="V212" i="76"/>
  <c r="V213" i="76"/>
  <c r="V214" i="76"/>
  <c r="V215" i="76"/>
  <c r="V216" i="76"/>
  <c r="V222" i="76"/>
  <c r="V223" i="76"/>
  <c r="V224" i="76"/>
  <c r="V225" i="76"/>
  <c r="V226" i="76"/>
  <c r="V227" i="76"/>
  <c r="V228" i="76"/>
  <c r="V230" i="76"/>
  <c r="V231" i="76"/>
  <c r="V244" i="76"/>
  <c r="V251" i="76"/>
  <c r="V257" i="76"/>
  <c r="V263" i="76"/>
  <c r="V269" i="76"/>
  <c r="V275" i="76"/>
  <c r="V281" i="76"/>
  <c r="V282" i="76"/>
  <c r="V283" i="76"/>
  <c r="V284" i="76"/>
  <c r="V285" i="76"/>
  <c r="V289" i="76"/>
  <c r="V293" i="76"/>
  <c r="V298" i="76"/>
  <c r="V300" i="76"/>
  <c r="V303" i="76"/>
  <c r="V304" i="76"/>
  <c r="V308" i="76"/>
  <c r="V326" i="76"/>
  <c r="V327" i="76"/>
  <c r="V329" i="76"/>
  <c r="V331" i="76"/>
  <c r="V338" i="76"/>
  <c r="V340" i="76"/>
  <c r="V344" i="76"/>
  <c r="V355" i="76"/>
  <c r="V358" i="76"/>
  <c r="V362" i="76"/>
  <c r="V368" i="76"/>
  <c r="V374" i="76"/>
  <c r="V380" i="76"/>
  <c r="V391" i="76"/>
  <c r="V395" i="76"/>
  <c r="V397" i="76"/>
  <c r="V398" i="76"/>
  <c r="V400" i="76"/>
  <c r="V402" i="76"/>
  <c r="V405" i="76"/>
  <c r="V408" i="76"/>
  <c r="V411" i="76"/>
  <c r="V415" i="76"/>
  <c r="V425" i="76"/>
  <c r="V430" i="76"/>
  <c r="V433" i="76"/>
  <c r="V434" i="76"/>
  <c r="V435" i="76"/>
  <c r="V439" i="76"/>
  <c r="V450" i="76"/>
  <c r="V454" i="76"/>
  <c r="V455" i="76"/>
  <c r="V461" i="76"/>
  <c r="V468" i="76"/>
  <c r="V474" i="76"/>
  <c r="V481" i="76"/>
  <c r="V487" i="76"/>
  <c r="V494" i="76"/>
  <c r="V500" i="76"/>
  <c r="V508" i="76"/>
  <c r="V514" i="76"/>
  <c r="V517" i="76"/>
  <c r="V534" i="76"/>
  <c r="V541" i="76"/>
  <c r="V549" i="76"/>
  <c r="V566" i="76"/>
  <c r="V571" i="76"/>
  <c r="V575" i="76"/>
  <c r="V579" i="76"/>
  <c r="V583" i="76"/>
  <c r="V584" i="76"/>
  <c r="V589" i="76"/>
  <c r="V597" i="76"/>
  <c r="V602" i="76"/>
  <c r="V604" i="76"/>
  <c r="V607" i="76"/>
  <c r="V610" i="76"/>
  <c r="V613" i="76"/>
  <c r="V614" i="76"/>
  <c r="V616" i="76"/>
  <c r="V621" i="76"/>
  <c r="V624" i="76"/>
  <c r="V629" i="76"/>
  <c r="V630" i="76"/>
  <c r="V631" i="76"/>
  <c r="V632" i="76"/>
  <c r="V634" i="76"/>
  <c r="V637" i="76"/>
  <c r="V643" i="76"/>
  <c r="V649" i="76"/>
  <c r="V655" i="76"/>
  <c r="V677" i="76"/>
  <c r="V682" i="76"/>
  <c r="V699" i="76"/>
  <c r="V704" i="76"/>
  <c r="V705" i="76"/>
  <c r="V717" i="76"/>
  <c r="V721" i="76"/>
  <c r="V724" i="76"/>
  <c r="V725" i="76"/>
  <c r="V733" i="76"/>
  <c r="V741" i="76"/>
  <c r="V742" i="76"/>
  <c r="V743" i="76"/>
  <c r="V744" i="76"/>
  <c r="V745" i="76"/>
  <c r="V746" i="76"/>
  <c r="V747" i="76"/>
  <c r="V748" i="76"/>
  <c r="V749" i="76"/>
  <c r="V750" i="76"/>
  <c r="V751" i="76"/>
  <c r="V752" i="76"/>
  <c r="V753" i="76"/>
  <c r="V754" i="76"/>
  <c r="V755" i="76"/>
  <c r="V756" i="76"/>
  <c r="V757" i="76"/>
  <c r="V758" i="76"/>
  <c r="V759" i="76"/>
  <c r="V760" i="76"/>
  <c r="V761" i="76"/>
  <c r="V762" i="76"/>
  <c r="V772" i="76"/>
  <c r="V773" i="76"/>
  <c r="V774" i="76"/>
  <c r="V775" i="76"/>
  <c r="V776" i="76"/>
  <c r="V777" i="76"/>
  <c r="V778" i="76"/>
  <c r="V779" i="76"/>
  <c r="V780" i="76"/>
  <c r="V781" i="76"/>
  <c r="V782" i="76"/>
  <c r="V783" i="76"/>
  <c r="V784" i="76"/>
  <c r="V785" i="76"/>
  <c r="V786" i="76"/>
  <c r="V787" i="76"/>
  <c r="V788" i="76"/>
  <c r="V789" i="76"/>
  <c r="V790" i="76"/>
  <c r="V791" i="76"/>
  <c r="V792" i="76"/>
  <c r="V793" i="76"/>
  <c r="V794" i="76"/>
  <c r="V795" i="76"/>
  <c r="V796" i="76"/>
  <c r="V797" i="76"/>
  <c r="V798" i="76"/>
  <c r="V799" i="76"/>
  <c r="V811" i="76"/>
  <c r="V816" i="76"/>
  <c r="V821" i="76"/>
  <c r="V827" i="76"/>
  <c r="V830" i="76"/>
  <c r="V838" i="76"/>
  <c r="V839" i="76"/>
  <c r="V840" i="76"/>
  <c r="V841" i="76"/>
  <c r="V851" i="76"/>
  <c r="V854" i="76"/>
  <c r="V855" i="76"/>
  <c r="V856" i="76"/>
  <c r="V857" i="76"/>
  <c r="V858" i="76"/>
  <c r="V859" i="76"/>
  <c r="V864" i="76"/>
  <c r="V22" i="76"/>
  <c r="V25" i="76"/>
  <c r="V28" i="76"/>
  <c r="V31" i="76"/>
  <c r="V32" i="76"/>
  <c r="V33" i="76"/>
  <c r="V34" i="76"/>
  <c r="V35" i="76"/>
  <c r="V36" i="76"/>
  <c r="V37" i="76"/>
  <c r="N22" i="76"/>
  <c r="N25" i="76"/>
  <c r="N28" i="76"/>
  <c r="N31" i="76"/>
  <c r="N32" i="76"/>
  <c r="N33" i="76"/>
  <c r="N34" i="76"/>
  <c r="N35" i="76"/>
  <c r="N36" i="76"/>
  <c r="N37" i="76"/>
  <c r="N48" i="76"/>
  <c r="N49" i="76"/>
  <c r="N57" i="76"/>
  <c r="N58" i="76"/>
  <c r="N60" i="76"/>
  <c r="N61" i="76"/>
  <c r="N64" i="76"/>
  <c r="N70" i="76"/>
  <c r="N84" i="76"/>
  <c r="N90" i="76"/>
  <c r="N105" i="76"/>
  <c r="N106" i="76"/>
  <c r="N107" i="76"/>
  <c r="N108" i="76"/>
  <c r="N109" i="76"/>
  <c r="N110" i="76"/>
  <c r="N111" i="76"/>
  <c r="N112" i="76"/>
  <c r="N113" i="76"/>
  <c r="N114" i="76"/>
  <c r="N115" i="76"/>
  <c r="N116" i="76"/>
  <c r="N117" i="76"/>
  <c r="N123" i="76"/>
  <c r="N124" i="76"/>
  <c r="N125" i="76"/>
  <c r="N126" i="76"/>
  <c r="N127" i="76"/>
  <c r="N128" i="76"/>
  <c r="N129" i="76"/>
  <c r="N136" i="76"/>
  <c r="N152" i="76"/>
  <c r="N153" i="76"/>
  <c r="N154" i="76"/>
  <c r="N155" i="76"/>
  <c r="N156" i="76"/>
  <c r="N157" i="76"/>
  <c r="N158" i="76"/>
  <c r="N159" i="76"/>
  <c r="N160" i="76"/>
  <c r="N161" i="76"/>
  <c r="N162" i="76"/>
  <c r="N163" i="76"/>
  <c r="N164" i="76"/>
  <c r="N165" i="76"/>
  <c r="N166" i="76"/>
  <c r="N173" i="76"/>
  <c r="N174" i="76"/>
  <c r="N175" i="76"/>
  <c r="N176" i="76"/>
  <c r="N177" i="76"/>
  <c r="N178" i="76"/>
  <c r="N179" i="76"/>
  <c r="N180" i="76"/>
  <c r="N186" i="76"/>
  <c r="N192" i="76"/>
  <c r="N193" i="76"/>
  <c r="N194" i="76"/>
  <c r="N195" i="76"/>
  <c r="N196" i="76"/>
  <c r="N197" i="76"/>
  <c r="N198" i="76"/>
  <c r="N199" i="76"/>
  <c r="N200" i="76"/>
  <c r="N201" i="76"/>
  <c r="N202" i="76"/>
  <c r="N203" i="76"/>
  <c r="N204" i="76"/>
  <c r="N210" i="76"/>
  <c r="N211" i="76"/>
  <c r="N212" i="76"/>
  <c r="N213" i="76"/>
  <c r="N214" i="76"/>
  <c r="N215" i="76"/>
  <c r="N216" i="76"/>
  <c r="N222" i="76"/>
  <c r="N223" i="76"/>
  <c r="N224" i="76"/>
  <c r="N225" i="76"/>
  <c r="N226" i="76"/>
  <c r="N227" i="76"/>
  <c r="N228" i="76"/>
  <c r="N230" i="76"/>
  <c r="N231" i="76"/>
  <c r="N244" i="76"/>
  <c r="N251" i="76"/>
  <c r="N257" i="76"/>
  <c r="N263" i="76"/>
  <c r="N269" i="76"/>
  <c r="N275" i="76"/>
  <c r="N281" i="76"/>
  <c r="N282" i="76"/>
  <c r="N283" i="76"/>
  <c r="N284" i="76"/>
  <c r="N285" i="76"/>
  <c r="N289" i="76"/>
  <c r="N293" i="76"/>
  <c r="N298" i="76"/>
  <c r="N300" i="76"/>
  <c r="N303" i="76"/>
  <c r="N304" i="76"/>
  <c r="N308" i="76"/>
  <c r="N326" i="76"/>
  <c r="N327" i="76"/>
  <c r="N329" i="76"/>
  <c r="N331" i="76"/>
  <c r="N338" i="76"/>
  <c r="N340" i="76"/>
  <c r="N344" i="76"/>
  <c r="N355" i="76"/>
  <c r="N358" i="76"/>
  <c r="N362" i="76"/>
  <c r="N368" i="76"/>
  <c r="N374" i="76"/>
  <c r="N380" i="76"/>
  <c r="N391" i="76"/>
  <c r="N395" i="76"/>
  <c r="N397" i="76"/>
  <c r="N398" i="76"/>
  <c r="N400" i="76"/>
  <c r="N402" i="76"/>
  <c r="N405" i="76"/>
  <c r="N408" i="76"/>
  <c r="N411" i="76"/>
  <c r="N415" i="76"/>
  <c r="N425" i="76"/>
  <c r="N430" i="76"/>
  <c r="N433" i="76"/>
  <c r="N434" i="76"/>
  <c r="N435" i="76"/>
  <c r="N439" i="76"/>
  <c r="N450" i="76"/>
  <c r="N454" i="76"/>
  <c r="N455" i="76"/>
  <c r="N461" i="76"/>
  <c r="N468" i="76"/>
  <c r="N474" i="76"/>
  <c r="N481" i="76"/>
  <c r="N487" i="76"/>
  <c r="N494" i="76"/>
  <c r="N500" i="76"/>
  <c r="N508" i="76"/>
  <c r="N514" i="76"/>
  <c r="N517" i="76"/>
  <c r="N534" i="76"/>
  <c r="N541" i="76"/>
  <c r="N549" i="76"/>
  <c r="N566" i="76"/>
  <c r="N571" i="76"/>
  <c r="N575" i="76"/>
  <c r="N579" i="76"/>
  <c r="N583" i="76"/>
  <c r="N584" i="76"/>
  <c r="N589" i="76"/>
  <c r="N597" i="76"/>
  <c r="N602" i="76"/>
  <c r="N604" i="76"/>
  <c r="N607" i="76"/>
  <c r="N610" i="76"/>
  <c r="N613" i="76"/>
  <c r="N614" i="76"/>
  <c r="N616" i="76"/>
  <c r="N621" i="76"/>
  <c r="N624" i="76"/>
  <c r="N629" i="76"/>
  <c r="N630" i="76"/>
  <c r="N631" i="76"/>
  <c r="N632" i="76"/>
  <c r="N634" i="76"/>
  <c r="N637" i="76"/>
  <c r="N643" i="76"/>
  <c r="N649" i="76"/>
  <c r="N655" i="76"/>
  <c r="N677" i="76"/>
  <c r="N682" i="76"/>
  <c r="N699" i="76"/>
  <c r="N704" i="76"/>
  <c r="N705" i="76"/>
  <c r="N717" i="76"/>
  <c r="N721" i="76"/>
  <c r="N724" i="76"/>
  <c r="N725" i="76"/>
  <c r="N733" i="76"/>
  <c r="N741" i="76"/>
  <c r="N742" i="76"/>
  <c r="N743" i="76"/>
  <c r="N744" i="76"/>
  <c r="N745" i="76"/>
  <c r="N746" i="76"/>
  <c r="N747" i="76"/>
  <c r="N748" i="76"/>
  <c r="N749" i="76"/>
  <c r="N750" i="76"/>
  <c r="N751" i="76"/>
  <c r="N752" i="76"/>
  <c r="N753" i="76"/>
  <c r="N754" i="76"/>
  <c r="N755" i="76"/>
  <c r="N756" i="76"/>
  <c r="N757" i="76"/>
  <c r="N758" i="76"/>
  <c r="N759" i="76"/>
  <c r="N760" i="76"/>
  <c r="N761" i="76"/>
  <c r="N762" i="76"/>
  <c r="N772" i="76"/>
  <c r="N773" i="76"/>
  <c r="N774" i="76"/>
  <c r="N775" i="76"/>
  <c r="N776" i="76"/>
  <c r="N777" i="76"/>
  <c r="N778" i="76"/>
  <c r="N779" i="76"/>
  <c r="N780" i="76"/>
  <c r="N781" i="76"/>
  <c r="N782" i="76"/>
  <c r="N783" i="76"/>
  <c r="N784" i="76"/>
  <c r="N785" i="76"/>
  <c r="N786" i="76"/>
  <c r="N787" i="76"/>
  <c r="N788" i="76"/>
  <c r="N789" i="76"/>
  <c r="N790" i="76"/>
  <c r="N791" i="76"/>
  <c r="N792" i="76"/>
  <c r="N793" i="76"/>
  <c r="N794" i="76"/>
  <c r="N795" i="76"/>
  <c r="N796" i="76"/>
  <c r="N797" i="76"/>
  <c r="N798" i="76"/>
  <c r="N799" i="76"/>
  <c r="N811" i="76"/>
  <c r="N816" i="76"/>
  <c r="N821" i="76"/>
  <c r="N827" i="76"/>
  <c r="N830" i="76"/>
  <c r="N838" i="76"/>
  <c r="N839" i="76"/>
  <c r="N840" i="76"/>
  <c r="N841" i="76"/>
  <c r="N851" i="76"/>
  <c r="N854" i="76"/>
  <c r="N855" i="76"/>
  <c r="N856" i="76"/>
  <c r="N857" i="76"/>
  <c r="N858" i="76"/>
  <c r="N859" i="76"/>
  <c r="N864" i="76"/>
  <c r="N876" i="76"/>
  <c r="N883" i="76"/>
  <c r="N885" i="76"/>
  <c r="N889" i="76"/>
  <c r="N890" i="76"/>
  <c r="N894" i="76"/>
  <c r="N895" i="76"/>
  <c r="N896" i="76"/>
  <c r="N897" i="76"/>
  <c r="N909" i="76"/>
  <c r="N911" i="76"/>
  <c r="N912" i="76"/>
  <c r="N914" i="76"/>
  <c r="N919" i="76"/>
  <c r="N923" i="76"/>
  <c r="N924" i="76"/>
  <c r="N926" i="76"/>
  <c r="N927" i="76"/>
  <c r="N928" i="76"/>
  <c r="N929" i="76"/>
  <c r="N930" i="76"/>
  <c r="N931" i="76"/>
  <c r="N932" i="76"/>
  <c r="N933" i="76"/>
  <c r="N934" i="76"/>
  <c r="N935" i="76"/>
  <c r="N936" i="76"/>
  <c r="N937" i="76"/>
  <c r="N938" i="76"/>
  <c r="N939" i="76"/>
  <c r="N940" i="76"/>
  <c r="N941" i="76"/>
  <c r="N942" i="76"/>
  <c r="N943" i="76"/>
  <c r="N944" i="76"/>
  <c r="N945" i="76"/>
  <c r="N946" i="76"/>
  <c r="N947" i="76"/>
  <c r="N948" i="76"/>
  <c r="N949" i="76"/>
  <c r="N950" i="76"/>
  <c r="N951" i="76"/>
  <c r="N952" i="76"/>
  <c r="N953" i="76"/>
  <c r="N954" i="76"/>
  <c r="N955" i="76"/>
  <c r="N956" i="76"/>
  <c r="N957" i="76"/>
  <c r="N958" i="76"/>
  <c r="N959" i="76"/>
  <c r="N960" i="76"/>
  <c r="N961" i="76"/>
  <c r="N962" i="76"/>
  <c r="N963" i="76"/>
  <c r="N965" i="76"/>
  <c r="N966" i="76"/>
  <c r="N967" i="76"/>
  <c r="N968" i="76"/>
  <c r="N969" i="76"/>
  <c r="N970" i="76"/>
  <c r="N971" i="76"/>
  <c r="N972" i="76"/>
  <c r="N973" i="76"/>
  <c r="N974" i="76"/>
  <c r="N975" i="76"/>
  <c r="N976" i="76"/>
  <c r="N977" i="76"/>
  <c r="N978" i="76"/>
  <c r="N979" i="76"/>
  <c r="N980" i="76"/>
  <c r="N981" i="76"/>
  <c r="N982" i="76"/>
  <c r="N983" i="76"/>
  <c r="N984" i="76"/>
  <c r="N985" i="76"/>
  <c r="J22" i="76"/>
  <c r="J25" i="76"/>
  <c r="J28" i="76"/>
  <c r="J31" i="76"/>
  <c r="J32" i="76"/>
  <c r="J33" i="76"/>
  <c r="J34" i="76"/>
  <c r="J35" i="76"/>
  <c r="J36" i="76"/>
  <c r="J37" i="76"/>
  <c r="J48" i="76"/>
  <c r="J49" i="76"/>
  <c r="J57" i="76"/>
  <c r="J58" i="76"/>
  <c r="J60" i="76"/>
  <c r="J61" i="76"/>
  <c r="J64" i="76"/>
  <c r="J70" i="76"/>
  <c r="J84" i="76"/>
  <c r="J90" i="76"/>
  <c r="J105" i="76"/>
  <c r="J106" i="76"/>
  <c r="J107" i="76"/>
  <c r="J108" i="76"/>
  <c r="J109" i="76"/>
  <c r="J110" i="76"/>
  <c r="J111" i="76"/>
  <c r="J112" i="76"/>
  <c r="J113" i="76"/>
  <c r="J114" i="76"/>
  <c r="J115" i="76"/>
  <c r="J116" i="76"/>
  <c r="J117" i="76"/>
  <c r="J123" i="76"/>
  <c r="J124" i="76"/>
  <c r="J125" i="76"/>
  <c r="J126" i="76"/>
  <c r="J127" i="76"/>
  <c r="J128" i="76"/>
  <c r="J129" i="76"/>
  <c r="J136" i="76"/>
  <c r="J152" i="76"/>
  <c r="J153" i="76"/>
  <c r="J154" i="76"/>
  <c r="J155" i="76"/>
  <c r="J156" i="76"/>
  <c r="J157" i="76"/>
  <c r="J158" i="76"/>
  <c r="J159" i="76"/>
  <c r="J160" i="76"/>
  <c r="J161" i="76"/>
  <c r="J162" i="76"/>
  <c r="J163" i="76"/>
  <c r="J164" i="76"/>
  <c r="J165" i="76"/>
  <c r="J166" i="76"/>
  <c r="J173" i="76"/>
  <c r="J174" i="76"/>
  <c r="J175" i="76"/>
  <c r="J176" i="76"/>
  <c r="J177" i="76"/>
  <c r="J178" i="76"/>
  <c r="J179" i="76"/>
  <c r="J180" i="76"/>
  <c r="J186" i="76"/>
  <c r="J192" i="76"/>
  <c r="J193" i="76"/>
  <c r="J194" i="76"/>
  <c r="J195" i="76"/>
  <c r="J196" i="76"/>
  <c r="J197" i="76"/>
  <c r="J198" i="76"/>
  <c r="J199" i="76"/>
  <c r="J200" i="76"/>
  <c r="J201" i="76"/>
  <c r="J202" i="76"/>
  <c r="J203" i="76"/>
  <c r="J204" i="76"/>
  <c r="J210" i="76"/>
  <c r="J211" i="76"/>
  <c r="J212" i="76"/>
  <c r="J213" i="76"/>
  <c r="J214" i="76"/>
  <c r="J215" i="76"/>
  <c r="J216" i="76"/>
  <c r="J222" i="76"/>
  <c r="J223" i="76"/>
  <c r="J224" i="76"/>
  <c r="J225" i="76"/>
  <c r="J226" i="76"/>
  <c r="J227" i="76"/>
  <c r="J228" i="76"/>
  <c r="J230" i="76"/>
  <c r="J231" i="76"/>
  <c r="J244" i="76"/>
  <c r="J251" i="76"/>
  <c r="J257" i="76"/>
  <c r="J263" i="76"/>
  <c r="J269" i="76"/>
  <c r="J275" i="76"/>
  <c r="J281" i="76"/>
  <c r="J282" i="76"/>
  <c r="J283" i="76"/>
  <c r="J284" i="76"/>
  <c r="J285" i="76"/>
  <c r="J289" i="76"/>
  <c r="J293" i="76"/>
  <c r="J298" i="76"/>
  <c r="J300" i="76"/>
  <c r="J303" i="76"/>
  <c r="J304" i="76"/>
  <c r="J308" i="76"/>
  <c r="J326" i="76"/>
  <c r="J327" i="76"/>
  <c r="J329" i="76"/>
  <c r="J331" i="76"/>
  <c r="J338" i="76"/>
  <c r="J340" i="76"/>
  <c r="J344" i="76"/>
  <c r="J355" i="76"/>
  <c r="J358" i="76"/>
  <c r="J362" i="76"/>
  <c r="J368" i="76"/>
  <c r="J374" i="76"/>
  <c r="J380" i="76"/>
  <c r="J391" i="76"/>
  <c r="J395" i="76"/>
  <c r="J397" i="76"/>
  <c r="J398" i="76"/>
  <c r="J400" i="76"/>
  <c r="J402" i="76"/>
  <c r="J405" i="76"/>
  <c r="J408" i="76"/>
  <c r="J411" i="76"/>
  <c r="J415" i="76"/>
  <c r="J425" i="76"/>
  <c r="J430" i="76"/>
  <c r="J433" i="76"/>
  <c r="J434" i="76"/>
  <c r="J435" i="76"/>
  <c r="J439" i="76"/>
  <c r="J450" i="76"/>
  <c r="J454" i="76"/>
  <c r="J455" i="76"/>
  <c r="J461" i="76"/>
  <c r="J468" i="76"/>
  <c r="J474" i="76"/>
  <c r="J481" i="76"/>
  <c r="J487" i="76"/>
  <c r="J494" i="76"/>
  <c r="J500" i="76"/>
  <c r="J508" i="76"/>
  <c r="J514" i="76"/>
  <c r="J517" i="76"/>
  <c r="J534" i="76"/>
  <c r="J541" i="76"/>
  <c r="J549" i="76"/>
  <c r="J566" i="76"/>
  <c r="J571" i="76"/>
  <c r="J575" i="76"/>
  <c r="J579" i="76"/>
  <c r="J583" i="76"/>
  <c r="J584" i="76"/>
  <c r="J589" i="76"/>
  <c r="J597" i="76"/>
  <c r="J602" i="76"/>
  <c r="J604" i="76"/>
  <c r="J607" i="76"/>
  <c r="J610" i="76"/>
  <c r="J613" i="76"/>
  <c r="J614" i="76"/>
  <c r="J616" i="76"/>
  <c r="J621" i="76"/>
  <c r="J624" i="76"/>
  <c r="J629" i="76"/>
  <c r="J630" i="76"/>
  <c r="J631" i="76"/>
  <c r="J632" i="76"/>
  <c r="J634" i="76"/>
  <c r="J637" i="76"/>
  <c r="J643" i="76"/>
  <c r="J649" i="76"/>
  <c r="J655" i="76"/>
  <c r="J677" i="76"/>
  <c r="J682" i="76"/>
  <c r="J699" i="76"/>
  <c r="J704" i="76"/>
  <c r="J705" i="76"/>
  <c r="J717" i="76"/>
  <c r="J721" i="76"/>
  <c r="J724" i="76"/>
  <c r="J725" i="76"/>
  <c r="J733" i="76"/>
  <c r="J741" i="76"/>
  <c r="J742" i="76"/>
  <c r="J743" i="76"/>
  <c r="J744" i="76"/>
  <c r="J745" i="76"/>
  <c r="J746" i="76"/>
  <c r="J747" i="76"/>
  <c r="J748" i="76"/>
  <c r="J749" i="76"/>
  <c r="J750" i="76"/>
  <c r="J751" i="76"/>
  <c r="J752" i="76"/>
  <c r="J753" i="76"/>
  <c r="J754" i="76"/>
  <c r="J755" i="76"/>
  <c r="J756" i="76"/>
  <c r="J757" i="76"/>
  <c r="J758" i="76"/>
  <c r="J759" i="76"/>
  <c r="J760" i="76"/>
  <c r="J761" i="76"/>
  <c r="J762" i="76"/>
  <c r="J772" i="76"/>
  <c r="J773" i="76"/>
  <c r="J774" i="76"/>
  <c r="J775" i="76"/>
  <c r="J776" i="76"/>
  <c r="J777" i="76"/>
  <c r="J778" i="76"/>
  <c r="J779" i="76"/>
  <c r="J780" i="76"/>
  <c r="J781" i="76"/>
  <c r="J782" i="76"/>
  <c r="J783" i="76"/>
  <c r="J784" i="76"/>
  <c r="J785" i="76"/>
  <c r="J786" i="76"/>
  <c r="J787" i="76"/>
  <c r="J788" i="76"/>
  <c r="J789" i="76"/>
  <c r="J790" i="76"/>
  <c r="J791" i="76"/>
  <c r="J792" i="76"/>
  <c r="J793" i="76"/>
  <c r="J794" i="76"/>
  <c r="J795" i="76"/>
  <c r="J796" i="76"/>
  <c r="J797" i="76"/>
  <c r="J798" i="76"/>
  <c r="J799" i="76"/>
  <c r="J811" i="76"/>
  <c r="J816" i="76"/>
  <c r="J821" i="76"/>
  <c r="J827" i="76"/>
  <c r="J830" i="76"/>
  <c r="J838" i="76"/>
  <c r="J839" i="76"/>
  <c r="J840" i="76"/>
  <c r="J841" i="76"/>
  <c r="J851" i="76"/>
  <c r="J854" i="76"/>
  <c r="J855" i="76"/>
  <c r="J856" i="76"/>
  <c r="J857" i="76"/>
  <c r="J858" i="76"/>
  <c r="J859" i="76"/>
  <c r="J864" i="76"/>
  <c r="J876" i="76"/>
  <c r="J883" i="76"/>
  <c r="J885" i="76"/>
  <c r="J889" i="76"/>
  <c r="J890" i="76"/>
  <c r="J894" i="76"/>
  <c r="J895" i="76"/>
  <c r="J896" i="76"/>
  <c r="J897" i="76"/>
  <c r="J909" i="76"/>
  <c r="J911" i="76"/>
  <c r="J912" i="76"/>
  <c r="J914" i="76"/>
  <c r="J919" i="76"/>
  <c r="J923" i="76"/>
  <c r="J924" i="76"/>
  <c r="J926" i="76"/>
  <c r="J927" i="76"/>
  <c r="J928" i="76"/>
  <c r="J929" i="76"/>
  <c r="J930" i="76"/>
  <c r="J931" i="76"/>
  <c r="J932" i="76"/>
  <c r="J933" i="76"/>
  <c r="J934" i="76"/>
  <c r="J935" i="76"/>
  <c r="J936" i="76"/>
  <c r="J937" i="76"/>
  <c r="J938" i="76"/>
  <c r="J939" i="76"/>
  <c r="J940" i="76"/>
  <c r="J941" i="76"/>
  <c r="J942" i="76"/>
  <c r="J943" i="76"/>
  <c r="J944" i="76"/>
  <c r="J945" i="76"/>
  <c r="J946" i="76"/>
  <c r="J947" i="76"/>
  <c r="J948" i="76"/>
  <c r="J949" i="76"/>
  <c r="J950" i="76"/>
  <c r="J951" i="76"/>
  <c r="J952" i="76"/>
  <c r="J953" i="76"/>
  <c r="J954" i="76"/>
  <c r="J955" i="76"/>
  <c r="J956" i="76"/>
  <c r="J957" i="76"/>
  <c r="J958" i="76"/>
  <c r="J959" i="76"/>
  <c r="J960" i="76"/>
  <c r="J961" i="76"/>
  <c r="J962" i="76"/>
  <c r="J963" i="76"/>
  <c r="J965" i="76"/>
  <c r="J966" i="76"/>
  <c r="J967" i="76"/>
  <c r="J968" i="76"/>
  <c r="J969" i="76"/>
  <c r="J970" i="76"/>
  <c r="J971" i="76"/>
  <c r="J972" i="76"/>
  <c r="J973" i="76"/>
  <c r="J974" i="76"/>
  <c r="J975" i="76"/>
  <c r="J976" i="76"/>
  <c r="J977" i="76"/>
  <c r="J978" i="76"/>
  <c r="J979" i="76"/>
  <c r="J980" i="76"/>
  <c r="J981" i="76"/>
  <c r="J982" i="76"/>
  <c r="J983" i="76"/>
  <c r="J984" i="76"/>
  <c r="H22" i="76"/>
  <c r="H25" i="76"/>
  <c r="H28" i="76"/>
  <c r="H31" i="76"/>
  <c r="H32" i="76"/>
  <c r="H33" i="76"/>
  <c r="H34" i="76"/>
  <c r="H35" i="76"/>
  <c r="H36" i="76"/>
  <c r="H37" i="76"/>
  <c r="H48" i="76"/>
  <c r="H49" i="76"/>
  <c r="H57" i="76"/>
  <c r="H58" i="76"/>
  <c r="H60" i="76"/>
  <c r="H61" i="76"/>
  <c r="H64" i="76"/>
  <c r="H70" i="76"/>
  <c r="H84" i="76"/>
  <c r="H90" i="76"/>
  <c r="H105" i="76"/>
  <c r="H106" i="76"/>
  <c r="H107" i="76"/>
  <c r="H108" i="76"/>
  <c r="H109" i="76"/>
  <c r="H110" i="76"/>
  <c r="H111" i="76"/>
  <c r="H112" i="76"/>
  <c r="H113" i="76"/>
  <c r="H114" i="76"/>
  <c r="H115" i="76"/>
  <c r="H116" i="76"/>
  <c r="H117" i="76"/>
  <c r="H123" i="76"/>
  <c r="H124" i="76"/>
  <c r="H125" i="76"/>
  <c r="H126" i="76"/>
  <c r="H127" i="76"/>
  <c r="H128" i="76"/>
  <c r="H129" i="76"/>
  <c r="H136" i="76"/>
  <c r="H152" i="76"/>
  <c r="H153" i="76"/>
  <c r="H154" i="76"/>
  <c r="H155" i="76"/>
  <c r="H156" i="76"/>
  <c r="H157" i="76"/>
  <c r="H158" i="76"/>
  <c r="H159" i="76"/>
  <c r="H160" i="76"/>
  <c r="H161" i="76"/>
  <c r="H162" i="76"/>
  <c r="H163" i="76"/>
  <c r="H164" i="76"/>
  <c r="H165" i="76"/>
  <c r="H166" i="76"/>
  <c r="H173" i="76"/>
  <c r="H174" i="76"/>
  <c r="H175" i="76"/>
  <c r="H176" i="76"/>
  <c r="H177" i="76"/>
  <c r="H178" i="76"/>
  <c r="H179" i="76"/>
  <c r="H180" i="76"/>
  <c r="H186" i="76"/>
  <c r="H192" i="76"/>
  <c r="H193" i="76"/>
  <c r="H194" i="76"/>
  <c r="H195" i="76"/>
  <c r="H196" i="76"/>
  <c r="H197" i="76"/>
  <c r="H198" i="76"/>
  <c r="H199" i="76"/>
  <c r="H200" i="76"/>
  <c r="H201" i="76"/>
  <c r="H202" i="76"/>
  <c r="H203" i="76"/>
  <c r="H204" i="76"/>
  <c r="H210" i="76"/>
  <c r="H211" i="76"/>
  <c r="H212" i="76"/>
  <c r="H213" i="76"/>
  <c r="H214" i="76"/>
  <c r="H215" i="76"/>
  <c r="H216" i="76"/>
  <c r="H222" i="76"/>
  <c r="H223" i="76"/>
  <c r="H224" i="76"/>
  <c r="H225" i="76"/>
  <c r="H226" i="76"/>
  <c r="H227" i="76"/>
  <c r="H228" i="76"/>
  <c r="H230" i="76"/>
  <c r="H231" i="76"/>
  <c r="H244" i="76"/>
  <c r="H251" i="76"/>
  <c r="H257" i="76"/>
  <c r="H263" i="76"/>
  <c r="H269" i="76"/>
  <c r="H275" i="76"/>
  <c r="H281" i="76"/>
  <c r="H282" i="76"/>
  <c r="H283" i="76"/>
  <c r="H284" i="76"/>
  <c r="H285" i="76"/>
  <c r="H289" i="76"/>
  <c r="H293" i="76"/>
  <c r="H298" i="76"/>
  <c r="H300" i="76"/>
  <c r="H303" i="76"/>
  <c r="H304" i="76"/>
  <c r="H308" i="76"/>
  <c r="H326" i="76"/>
  <c r="H327" i="76"/>
  <c r="H329" i="76"/>
  <c r="H331" i="76"/>
  <c r="H338" i="76"/>
  <c r="H340" i="76"/>
  <c r="H344" i="76"/>
  <c r="H355" i="76"/>
  <c r="H358" i="76"/>
  <c r="H362" i="76"/>
  <c r="H368" i="76"/>
  <c r="H374" i="76"/>
  <c r="H380" i="76"/>
  <c r="H391" i="76"/>
  <c r="H395" i="76"/>
  <c r="H397" i="76"/>
  <c r="H398" i="76"/>
  <c r="H400" i="76"/>
  <c r="H402" i="76"/>
  <c r="H405" i="76"/>
  <c r="H408" i="76"/>
  <c r="H411" i="76"/>
  <c r="H415" i="76"/>
  <c r="H425" i="76"/>
  <c r="H430" i="76"/>
  <c r="H433" i="76"/>
  <c r="H434" i="76"/>
  <c r="H435" i="76"/>
  <c r="H439" i="76"/>
  <c r="H450" i="76"/>
  <c r="H454" i="76"/>
  <c r="H455" i="76"/>
  <c r="H461" i="76"/>
  <c r="H468" i="76"/>
  <c r="H474" i="76"/>
  <c r="H481" i="76"/>
  <c r="H487" i="76"/>
  <c r="H494" i="76"/>
  <c r="H500" i="76"/>
  <c r="H508" i="76"/>
  <c r="H514" i="76"/>
  <c r="H517" i="76"/>
  <c r="H534" i="76"/>
  <c r="H541" i="76"/>
  <c r="H549" i="76"/>
  <c r="H566" i="76"/>
  <c r="H571" i="76"/>
  <c r="H575" i="76"/>
  <c r="H579" i="76"/>
  <c r="H583" i="76"/>
  <c r="H584" i="76"/>
  <c r="H589" i="76"/>
  <c r="H597" i="76"/>
  <c r="H602" i="76"/>
  <c r="H604" i="76"/>
  <c r="H607" i="76"/>
  <c r="H610" i="76"/>
  <c r="H613" i="76"/>
  <c r="H614" i="76"/>
  <c r="H616" i="76"/>
  <c r="H621" i="76"/>
  <c r="H624" i="76"/>
  <c r="H629" i="76"/>
  <c r="H630" i="76"/>
  <c r="H631" i="76"/>
  <c r="H632" i="76"/>
  <c r="H634" i="76"/>
  <c r="H637" i="76"/>
  <c r="H643" i="76"/>
  <c r="H649" i="76"/>
  <c r="H655" i="76"/>
  <c r="H677" i="76"/>
  <c r="H682" i="76"/>
  <c r="H699" i="76"/>
  <c r="H704" i="76"/>
  <c r="H705" i="76"/>
  <c r="H717" i="76"/>
  <c r="H721" i="76"/>
  <c r="H724" i="76"/>
  <c r="H725" i="76"/>
  <c r="H733" i="76"/>
  <c r="H741" i="76"/>
  <c r="H742" i="76"/>
  <c r="H743" i="76"/>
  <c r="H744" i="76"/>
  <c r="H745" i="76"/>
  <c r="H746" i="76"/>
  <c r="H747" i="76"/>
  <c r="H748" i="76"/>
  <c r="H749" i="76"/>
  <c r="H750" i="76"/>
  <c r="H751" i="76"/>
  <c r="H752" i="76"/>
  <c r="H753" i="76"/>
  <c r="H754" i="76"/>
  <c r="H755" i="76"/>
  <c r="H756" i="76"/>
  <c r="H757" i="76"/>
  <c r="H758" i="76"/>
  <c r="H759" i="76"/>
  <c r="H760" i="76"/>
  <c r="H761" i="76"/>
  <c r="H762" i="76"/>
  <c r="H772" i="76"/>
  <c r="H773" i="76"/>
  <c r="H774" i="76"/>
  <c r="H775" i="76"/>
  <c r="H776" i="76"/>
  <c r="H777" i="76"/>
  <c r="H778" i="76"/>
  <c r="H779" i="76"/>
  <c r="H780" i="76"/>
  <c r="H781" i="76"/>
  <c r="H782" i="76"/>
  <c r="H783" i="76"/>
  <c r="H784" i="76"/>
  <c r="H785" i="76"/>
  <c r="H786" i="76"/>
  <c r="H787" i="76"/>
  <c r="H788" i="76"/>
  <c r="H789" i="76"/>
  <c r="H790" i="76"/>
  <c r="H791" i="76"/>
  <c r="H792" i="76"/>
  <c r="H793" i="76"/>
  <c r="H794" i="76"/>
  <c r="H795" i="76"/>
  <c r="H796" i="76"/>
  <c r="H797" i="76"/>
  <c r="H798" i="76"/>
  <c r="H799" i="76"/>
  <c r="H811" i="76"/>
  <c r="H816" i="76"/>
  <c r="H821" i="76"/>
  <c r="H827" i="76"/>
  <c r="H830" i="76"/>
  <c r="H838" i="76"/>
  <c r="H839" i="76"/>
  <c r="H840" i="76"/>
  <c r="H841" i="76"/>
  <c r="H851" i="76"/>
  <c r="H854" i="76"/>
  <c r="H855" i="76"/>
  <c r="H856" i="76"/>
  <c r="H857" i="76"/>
  <c r="H858" i="76"/>
  <c r="H859" i="76"/>
  <c r="H864" i="76"/>
  <c r="H876" i="76"/>
  <c r="H883" i="76"/>
  <c r="H885" i="76"/>
  <c r="H889" i="76"/>
  <c r="H890" i="76"/>
  <c r="H894" i="76"/>
  <c r="H895" i="76"/>
  <c r="H896" i="76"/>
  <c r="H897" i="76"/>
  <c r="H909" i="76"/>
  <c r="H911" i="76"/>
  <c r="H912" i="76"/>
  <c r="H914" i="76"/>
  <c r="H919" i="76"/>
  <c r="H923" i="76"/>
  <c r="H924" i="76"/>
  <c r="H926" i="76"/>
  <c r="H927" i="76"/>
  <c r="H928" i="76"/>
  <c r="H929" i="76"/>
  <c r="H930" i="76"/>
  <c r="H931" i="76"/>
  <c r="H932" i="76"/>
  <c r="H933" i="76"/>
  <c r="H934" i="76"/>
  <c r="H935" i="76"/>
  <c r="H936" i="76"/>
  <c r="H937" i="76"/>
  <c r="H938" i="76"/>
  <c r="H939" i="76"/>
  <c r="H940" i="76"/>
  <c r="H941" i="76"/>
  <c r="H942" i="76"/>
  <c r="H943" i="76"/>
  <c r="H944" i="76"/>
  <c r="H945" i="76"/>
  <c r="H946" i="76"/>
  <c r="H947" i="76"/>
  <c r="H948" i="76"/>
  <c r="H949" i="76"/>
  <c r="H950" i="76"/>
  <c r="H951" i="76"/>
  <c r="H952" i="76"/>
  <c r="H953" i="76"/>
  <c r="H954" i="76"/>
  <c r="H955" i="76"/>
  <c r="H956" i="76"/>
  <c r="H957" i="76"/>
  <c r="H958" i="76"/>
  <c r="H959" i="76"/>
  <c r="H960" i="76"/>
  <c r="H961" i="76"/>
  <c r="H962" i="76"/>
  <c r="H963" i="76"/>
  <c r="H965" i="76"/>
  <c r="H966" i="76"/>
  <c r="H967" i="76"/>
  <c r="H968" i="76"/>
  <c r="H969" i="76"/>
  <c r="H970" i="76"/>
  <c r="H971" i="76"/>
  <c r="H972" i="76"/>
  <c r="H973" i="76"/>
  <c r="H974" i="76"/>
  <c r="H975" i="76"/>
  <c r="H976" i="76"/>
  <c r="H977" i="76"/>
  <c r="H978" i="76"/>
  <c r="H979" i="76"/>
  <c r="H980" i="76"/>
  <c r="H981" i="76"/>
  <c r="H982" i="76"/>
  <c r="H983" i="76"/>
  <c r="H984" i="76"/>
  <c r="H985" i="76"/>
  <c r="A949" i="76"/>
  <c r="F935" i="76"/>
  <c r="F355" i="76"/>
  <c r="F358" i="76"/>
  <c r="F362" i="76"/>
  <c r="F368" i="76"/>
  <c r="F374" i="76"/>
  <c r="F380" i="76"/>
  <c r="F391" i="76"/>
  <c r="F395" i="76"/>
  <c r="F397" i="76"/>
  <c r="F398" i="76"/>
  <c r="F400" i="76"/>
  <c r="F402" i="76"/>
  <c r="F405" i="76"/>
  <c r="F408" i="76"/>
  <c r="F411" i="76"/>
  <c r="F415" i="76"/>
  <c r="F425" i="76"/>
  <c r="F430" i="76"/>
  <c r="F433" i="76"/>
  <c r="F434" i="76"/>
  <c r="F435" i="76"/>
  <c r="F439" i="76"/>
  <c r="F450" i="76"/>
  <c r="F454" i="76"/>
  <c r="F455" i="76"/>
  <c r="F461" i="76"/>
  <c r="F468" i="76"/>
  <c r="F474" i="76"/>
  <c r="F481" i="76"/>
  <c r="F487" i="76"/>
  <c r="F494" i="76"/>
  <c r="F500" i="76"/>
  <c r="F508" i="76"/>
  <c r="F514" i="76"/>
  <c r="F517" i="76"/>
  <c r="F534" i="76"/>
  <c r="F541" i="76"/>
  <c r="F549" i="76"/>
  <c r="F566" i="76"/>
  <c r="F571" i="76"/>
  <c r="F575" i="76"/>
  <c r="F579" i="76"/>
  <c r="F583" i="76"/>
  <c r="F584" i="76"/>
  <c r="F589" i="76"/>
  <c r="F597" i="76"/>
  <c r="F602" i="76"/>
  <c r="F604" i="76"/>
  <c r="F607" i="76"/>
  <c r="F610" i="76"/>
  <c r="F613" i="76"/>
  <c r="F614" i="76"/>
  <c r="F616" i="76"/>
  <c r="F621" i="76"/>
  <c r="F624" i="76"/>
  <c r="F629" i="76"/>
  <c r="F630" i="76"/>
  <c r="F631" i="76"/>
  <c r="F632" i="76"/>
  <c r="F634" i="76"/>
  <c r="F637" i="76"/>
  <c r="F643" i="76"/>
  <c r="F649" i="76"/>
  <c r="F655" i="76"/>
  <c r="F677" i="76"/>
  <c r="F682" i="76"/>
  <c r="F699" i="76"/>
  <c r="F704" i="76"/>
  <c r="F705" i="76"/>
  <c r="F717" i="76"/>
  <c r="F721" i="76"/>
  <c r="F724" i="76"/>
  <c r="F725" i="76"/>
  <c r="F733" i="76"/>
  <c r="F741" i="76"/>
  <c r="F742" i="76"/>
  <c r="F743" i="76"/>
  <c r="F744" i="76"/>
  <c r="F745" i="76"/>
  <c r="F746" i="76"/>
  <c r="F747" i="76"/>
  <c r="F748" i="76"/>
  <c r="F749" i="76"/>
  <c r="F750" i="76"/>
  <c r="F751" i="76"/>
  <c r="F752" i="76"/>
  <c r="F753" i="76"/>
  <c r="F754" i="76"/>
  <c r="F755" i="76"/>
  <c r="F756" i="76"/>
  <c r="F757" i="76"/>
  <c r="F758" i="76"/>
  <c r="F759" i="76"/>
  <c r="F760" i="76"/>
  <c r="F761" i="76"/>
  <c r="F762" i="76"/>
  <c r="F772" i="76"/>
  <c r="F773" i="76"/>
  <c r="F774" i="76"/>
  <c r="F775" i="76"/>
  <c r="F776" i="76"/>
  <c r="F777" i="76"/>
  <c r="F778" i="76"/>
  <c r="F779" i="76"/>
  <c r="F780" i="76"/>
  <c r="F781" i="76"/>
  <c r="F782" i="76"/>
  <c r="F783" i="76"/>
  <c r="F784" i="76"/>
  <c r="F785" i="76"/>
  <c r="F786" i="76"/>
  <c r="F787" i="76"/>
  <c r="F788" i="76"/>
  <c r="F789" i="76"/>
  <c r="F790" i="76"/>
  <c r="F791" i="76"/>
  <c r="F792" i="76"/>
  <c r="F793" i="76"/>
  <c r="F794" i="76"/>
  <c r="F795" i="76"/>
  <c r="F796" i="76"/>
  <c r="F797" i="76"/>
  <c r="F798" i="76"/>
  <c r="F799" i="76"/>
  <c r="F811" i="76"/>
  <c r="F816" i="76"/>
  <c r="F821" i="76"/>
  <c r="F827" i="76"/>
  <c r="F830" i="76"/>
  <c r="F838" i="76"/>
  <c r="F839" i="76"/>
  <c r="F840" i="76"/>
  <c r="F841" i="76"/>
  <c r="F851" i="76"/>
  <c r="F854" i="76"/>
  <c r="F855" i="76"/>
  <c r="F856" i="76"/>
  <c r="F857" i="76"/>
  <c r="F858" i="76"/>
  <c r="F859" i="76"/>
  <c r="F864" i="76"/>
  <c r="F876" i="76"/>
  <c r="F883" i="76"/>
  <c r="F885" i="76"/>
  <c r="F889" i="76"/>
  <c r="F890" i="76"/>
  <c r="F894" i="76"/>
  <c r="F895" i="76"/>
  <c r="F896" i="76"/>
  <c r="F897" i="76"/>
  <c r="F909" i="76"/>
  <c r="F911" i="76"/>
  <c r="F912" i="76"/>
  <c r="F914" i="76"/>
  <c r="F919" i="76"/>
  <c r="F923" i="76"/>
  <c r="F924" i="76"/>
  <c r="F926" i="76"/>
  <c r="F927" i="76"/>
  <c r="F928" i="76"/>
  <c r="F929" i="76"/>
  <c r="F930" i="76"/>
  <c r="F931" i="76"/>
  <c r="F932" i="76"/>
  <c r="F933" i="76"/>
  <c r="F934" i="76"/>
  <c r="F936" i="76"/>
  <c r="F939" i="76"/>
  <c r="F940" i="76"/>
  <c r="F941" i="76"/>
  <c r="F942" i="76"/>
  <c r="F943" i="76"/>
  <c r="F944" i="76"/>
  <c r="F945" i="76"/>
  <c r="F946" i="76"/>
  <c r="F947" i="76"/>
  <c r="F948" i="76"/>
  <c r="F949" i="76"/>
  <c r="F950" i="76"/>
  <c r="F952" i="76"/>
  <c r="F953" i="76"/>
  <c r="F954" i="76"/>
  <c r="F955" i="76"/>
  <c r="F956" i="76"/>
  <c r="F957" i="76"/>
  <c r="F958" i="76"/>
  <c r="F959" i="76"/>
  <c r="F960" i="76"/>
  <c r="F961" i="76"/>
  <c r="F962" i="76"/>
  <c r="F963" i="76"/>
  <c r="F965" i="76"/>
  <c r="F966" i="76"/>
  <c r="F967" i="76"/>
  <c r="F968" i="76"/>
  <c r="F969" i="76"/>
  <c r="F970" i="76"/>
  <c r="F971" i="76"/>
  <c r="F972" i="76"/>
  <c r="F973" i="76"/>
  <c r="F974" i="76"/>
  <c r="F975" i="76"/>
  <c r="F976" i="76"/>
  <c r="F977" i="76"/>
  <c r="F978" i="76"/>
  <c r="F979" i="76"/>
  <c r="F980" i="76"/>
  <c r="F981" i="76"/>
  <c r="F982" i="76"/>
  <c r="F983" i="76"/>
  <c r="F984" i="76"/>
  <c r="A935" i="76"/>
  <c r="F8" i="76"/>
  <c r="F11" i="76"/>
  <c r="F14" i="76"/>
  <c r="F17" i="76"/>
  <c r="F22" i="76"/>
  <c r="F25" i="76"/>
  <c r="F28" i="76"/>
  <c r="F31" i="76"/>
  <c r="F32" i="76"/>
  <c r="F33" i="76"/>
  <c r="F34" i="76"/>
  <c r="F35" i="76"/>
  <c r="F36" i="76"/>
  <c r="F37" i="76"/>
  <c r="F48" i="76"/>
  <c r="F49" i="76"/>
  <c r="F57" i="76"/>
  <c r="F58" i="76"/>
  <c r="F60" i="76"/>
  <c r="F61" i="76"/>
  <c r="F64" i="76"/>
  <c r="F70" i="76"/>
  <c r="F84" i="76"/>
  <c r="F90" i="76"/>
  <c r="F105" i="76"/>
  <c r="F106" i="76"/>
  <c r="F107" i="76"/>
  <c r="F108" i="76"/>
  <c r="F109" i="76"/>
  <c r="F110" i="76"/>
  <c r="F111" i="76"/>
  <c r="F112" i="76"/>
  <c r="F113" i="76"/>
  <c r="F114" i="76"/>
  <c r="F115" i="76"/>
  <c r="F116" i="76"/>
  <c r="F117" i="76"/>
  <c r="F123" i="76"/>
  <c r="F124" i="76"/>
  <c r="F125" i="76"/>
  <c r="F126" i="76"/>
  <c r="F127" i="76"/>
  <c r="F128" i="76"/>
  <c r="F129" i="76"/>
  <c r="F136" i="76"/>
  <c r="F152" i="76"/>
  <c r="F153" i="76"/>
  <c r="F154" i="76"/>
  <c r="F155" i="76"/>
  <c r="F156" i="76"/>
  <c r="F157" i="76"/>
  <c r="F158" i="76"/>
  <c r="F159" i="76"/>
  <c r="F160" i="76"/>
  <c r="F161" i="76"/>
  <c r="F162" i="76"/>
  <c r="F163" i="76"/>
  <c r="F164" i="76"/>
  <c r="F165" i="76"/>
  <c r="F166" i="76"/>
  <c r="F173" i="76"/>
  <c r="F174" i="76"/>
  <c r="F175" i="76"/>
  <c r="F176" i="76"/>
  <c r="F177" i="76"/>
  <c r="F178" i="76"/>
  <c r="F179" i="76"/>
  <c r="F180" i="76"/>
  <c r="F186" i="76"/>
  <c r="F192" i="76"/>
  <c r="F193" i="76"/>
  <c r="F194" i="76"/>
  <c r="F195" i="76"/>
  <c r="F196" i="76"/>
  <c r="F197" i="76"/>
  <c r="F198" i="76"/>
  <c r="F199" i="76"/>
  <c r="F200" i="76"/>
  <c r="F201" i="76"/>
  <c r="F202" i="76"/>
  <c r="F203" i="76"/>
  <c r="F204" i="76"/>
  <c r="F210" i="76"/>
  <c r="F211" i="76"/>
  <c r="F212" i="76"/>
  <c r="F213" i="76"/>
  <c r="F214" i="76"/>
  <c r="F215" i="76"/>
  <c r="F216" i="76"/>
  <c r="F222" i="76"/>
  <c r="F223" i="76"/>
  <c r="F224" i="76"/>
  <c r="F225" i="76"/>
  <c r="F226" i="76"/>
  <c r="F227" i="76"/>
  <c r="F228" i="76"/>
  <c r="F230" i="76"/>
  <c r="F231" i="76"/>
  <c r="F244" i="76"/>
  <c r="F251" i="76"/>
  <c r="F257" i="76"/>
  <c r="F263" i="76"/>
  <c r="F269" i="76"/>
  <c r="F275" i="76"/>
  <c r="F281" i="76"/>
  <c r="F282" i="76"/>
  <c r="F283" i="76"/>
  <c r="F284" i="76"/>
  <c r="F285" i="76"/>
  <c r="F289" i="76"/>
  <c r="F293" i="76"/>
  <c r="F298" i="76"/>
  <c r="F300" i="76"/>
  <c r="F303" i="76"/>
  <c r="F304" i="76"/>
  <c r="F308" i="76"/>
  <c r="F326" i="76"/>
  <c r="F327" i="76"/>
  <c r="F329" i="76"/>
  <c r="F331" i="76"/>
  <c r="F338" i="76"/>
  <c r="F340" i="76"/>
  <c r="F344" i="76"/>
  <c r="F1001" i="76"/>
  <c r="F1002" i="76"/>
  <c r="F1003" i="76"/>
  <c r="F1007" i="76"/>
  <c r="F1008" i="76"/>
  <c r="F1009" i="76"/>
  <c r="F1010" i="76"/>
  <c r="F1101" i="76"/>
  <c r="F1102" i="76"/>
  <c r="F1103" i="76"/>
  <c r="S1054" i="55"/>
  <c r="S1055" i="55"/>
  <c r="S1056" i="55"/>
  <c r="S1057" i="55"/>
  <c r="S1058" i="55"/>
  <c r="S1059" i="55"/>
  <c r="S1060" i="55"/>
  <c r="S1061" i="55"/>
  <c r="S1062" i="55"/>
  <c r="S1063" i="55"/>
  <c r="S1064" i="55"/>
  <c r="S1065" i="55"/>
  <c r="S1066" i="55"/>
  <c r="U1103" i="76"/>
  <c r="V1103" i="76" s="1"/>
  <c r="T1103" i="76"/>
  <c r="R1103" i="76"/>
  <c r="N1103" i="76"/>
  <c r="J1103" i="76"/>
  <c r="H1103" i="76"/>
  <c r="U1102" i="76"/>
  <c r="V1102" i="76" s="1"/>
  <c r="T1102" i="76"/>
  <c r="R1102" i="76"/>
  <c r="N1102" i="76"/>
  <c r="J1102" i="76"/>
  <c r="H1102" i="76"/>
  <c r="U1101" i="76"/>
  <c r="V1101" i="76" s="1"/>
  <c r="T1101" i="76"/>
  <c r="R1101" i="76"/>
  <c r="N1101" i="76"/>
  <c r="J1101" i="76"/>
  <c r="H1101" i="76"/>
  <c r="U1100" i="76"/>
  <c r="U1099" i="76"/>
  <c r="U1098" i="76"/>
  <c r="U1097" i="76"/>
  <c r="U1096" i="76"/>
  <c r="U1095" i="76"/>
  <c r="U1094" i="76"/>
  <c r="U1093" i="76"/>
  <c r="U1092" i="76"/>
  <c r="U1091" i="76"/>
  <c r="U1090" i="76"/>
  <c r="U1089" i="76"/>
  <c r="U1088" i="76"/>
  <c r="U1087" i="76"/>
  <c r="U1086" i="76"/>
  <c r="U1085" i="76"/>
  <c r="U1084" i="76"/>
  <c r="U1083" i="76"/>
  <c r="U1082" i="76"/>
  <c r="U1081" i="76"/>
  <c r="U1080" i="76"/>
  <c r="U1079" i="76"/>
  <c r="U1078" i="76"/>
  <c r="U1077" i="76"/>
  <c r="U1076" i="76"/>
  <c r="U1075" i="76"/>
  <c r="U1074" i="76"/>
  <c r="U1073" i="76"/>
  <c r="U1072" i="76"/>
  <c r="C1072" i="76"/>
  <c r="U1071" i="76"/>
  <c r="C1071" i="76"/>
  <c r="U1070" i="76"/>
  <c r="C1070" i="76"/>
  <c r="U1069" i="76"/>
  <c r="C1069" i="76"/>
  <c r="U1068" i="76"/>
  <c r="U1067" i="76"/>
  <c r="C1067" i="76"/>
  <c r="U1066" i="76"/>
  <c r="C1066" i="76"/>
  <c r="U1065" i="76"/>
  <c r="C1065" i="76"/>
  <c r="U1064" i="76"/>
  <c r="C1064" i="76"/>
  <c r="U1063" i="76"/>
  <c r="C1063" i="76"/>
  <c r="U1062" i="76"/>
  <c r="C1062" i="76"/>
  <c r="U1061" i="76"/>
  <c r="C1061" i="76"/>
  <c r="U1060" i="76"/>
  <c r="C1060" i="76"/>
  <c r="U1059" i="76"/>
  <c r="C1059" i="76"/>
  <c r="U1058" i="76"/>
  <c r="C1058" i="76"/>
  <c r="U1057" i="76"/>
  <c r="U1056" i="76"/>
  <c r="U1055" i="76"/>
  <c r="U1054" i="76"/>
  <c r="U1053" i="76"/>
  <c r="U1052" i="76"/>
  <c r="U1051" i="76"/>
  <c r="U1050" i="76"/>
  <c r="U1049" i="76"/>
  <c r="U1048" i="76"/>
  <c r="U1047" i="76"/>
  <c r="U1046" i="76"/>
  <c r="U1045" i="76"/>
  <c r="U1044" i="76"/>
  <c r="U1043" i="76"/>
  <c r="U1042" i="76"/>
  <c r="U1041" i="76"/>
  <c r="U1040" i="76"/>
  <c r="C1034" i="76"/>
  <c r="C1030" i="76"/>
  <c r="C1029" i="76"/>
  <c r="C1028" i="76"/>
  <c r="C1023" i="76"/>
  <c r="C1021" i="76"/>
  <c r="B1019" i="76"/>
  <c r="C1018" i="76"/>
  <c r="C1011" i="76"/>
  <c r="V1010" i="76"/>
  <c r="T1010" i="76"/>
  <c r="R1010" i="76"/>
  <c r="N1010" i="76"/>
  <c r="J1010" i="76"/>
  <c r="H1010" i="76"/>
  <c r="V1009" i="76"/>
  <c r="T1009" i="76"/>
  <c r="R1009" i="76"/>
  <c r="N1009" i="76"/>
  <c r="J1009" i="76"/>
  <c r="H1009" i="76"/>
  <c r="V1008" i="76"/>
  <c r="T1008" i="76"/>
  <c r="R1008" i="76"/>
  <c r="N1008" i="76"/>
  <c r="J1008" i="76"/>
  <c r="H1008" i="76"/>
  <c r="V1007" i="76"/>
  <c r="T1007" i="76"/>
  <c r="R1007" i="76"/>
  <c r="N1007" i="76"/>
  <c r="J1007" i="76"/>
  <c r="H1007" i="76"/>
  <c r="T1003" i="76"/>
  <c r="R1003" i="76"/>
  <c r="N1003" i="76"/>
  <c r="J1003" i="76"/>
  <c r="H1003" i="76"/>
  <c r="V1002" i="76"/>
  <c r="T1002" i="76"/>
  <c r="R1002" i="76"/>
  <c r="N1002" i="76"/>
  <c r="J1002" i="76"/>
  <c r="H1002" i="76"/>
  <c r="V1001" i="76"/>
  <c r="T1001" i="76"/>
  <c r="R1001" i="76"/>
  <c r="N1001" i="76"/>
  <c r="J1001" i="76"/>
  <c r="H1001" i="76"/>
  <c r="C1000" i="76"/>
  <c r="T932" i="76"/>
  <c r="R932" i="76"/>
  <c r="T931" i="76"/>
  <c r="R931" i="76"/>
  <c r="T930" i="76"/>
  <c r="R930" i="76"/>
  <c r="T929" i="76"/>
  <c r="R929" i="76"/>
  <c r="T928" i="76"/>
  <c r="R928" i="76"/>
  <c r="T927" i="76"/>
  <c r="R927" i="76"/>
  <c r="T926" i="76"/>
  <c r="R926" i="76"/>
  <c r="T924" i="76"/>
  <c r="R924" i="76"/>
  <c r="T923" i="76"/>
  <c r="R923" i="76"/>
  <c r="D923" i="76"/>
  <c r="T919" i="76"/>
  <c r="R919" i="76"/>
  <c r="T914" i="76"/>
  <c r="R914" i="76"/>
  <c r="T912" i="76"/>
  <c r="R912" i="76"/>
  <c r="T911" i="76"/>
  <c r="R911" i="76"/>
  <c r="C910" i="76"/>
  <c r="T909" i="76"/>
  <c r="R909" i="76"/>
  <c r="T897" i="76"/>
  <c r="R897" i="76"/>
  <c r="T896" i="76"/>
  <c r="R896" i="76"/>
  <c r="T895" i="76"/>
  <c r="R895" i="76"/>
  <c r="T894" i="76"/>
  <c r="R894" i="76"/>
  <c r="T890" i="76"/>
  <c r="R890" i="76"/>
  <c r="T889" i="76"/>
  <c r="R889" i="76"/>
  <c r="T885" i="76"/>
  <c r="R885" i="76"/>
  <c r="T883" i="76"/>
  <c r="R883" i="76"/>
  <c r="T876" i="76"/>
  <c r="R876" i="76"/>
  <c r="T864" i="76"/>
  <c r="R864" i="76"/>
  <c r="T859" i="76"/>
  <c r="R859" i="76"/>
  <c r="T858" i="76"/>
  <c r="R858" i="76"/>
  <c r="T857" i="76"/>
  <c r="R857" i="76"/>
  <c r="T856" i="76"/>
  <c r="R856" i="76"/>
  <c r="T855" i="76"/>
  <c r="R855" i="76"/>
  <c r="T854" i="76"/>
  <c r="R854" i="76"/>
  <c r="T851" i="76"/>
  <c r="R851" i="76"/>
  <c r="T841" i="76"/>
  <c r="R841" i="76"/>
  <c r="T840" i="76"/>
  <c r="R840" i="76"/>
  <c r="T839" i="76"/>
  <c r="R839" i="76"/>
  <c r="T838" i="76"/>
  <c r="R838" i="76"/>
  <c r="C834" i="76"/>
  <c r="C832" i="76"/>
  <c r="T830" i="76"/>
  <c r="R830" i="76"/>
  <c r="T827" i="76"/>
  <c r="R827" i="76"/>
  <c r="B827" i="76"/>
  <c r="T821" i="76"/>
  <c r="R821" i="76"/>
  <c r="T816" i="76"/>
  <c r="R816" i="76"/>
  <c r="T811" i="76"/>
  <c r="R811" i="76"/>
  <c r="T799" i="76"/>
  <c r="R799" i="76"/>
  <c r="T798" i="76"/>
  <c r="R798" i="76"/>
  <c r="T797" i="76"/>
  <c r="R797" i="76"/>
  <c r="T796" i="76"/>
  <c r="R796" i="76"/>
  <c r="T795" i="76"/>
  <c r="R795" i="76"/>
  <c r="T794" i="76"/>
  <c r="R794" i="76"/>
  <c r="T793" i="76"/>
  <c r="R793" i="76"/>
  <c r="T792" i="76"/>
  <c r="R792" i="76"/>
  <c r="T791" i="76"/>
  <c r="R791" i="76"/>
  <c r="T790" i="76"/>
  <c r="R790" i="76"/>
  <c r="T789" i="76"/>
  <c r="R789" i="76"/>
  <c r="T788" i="76"/>
  <c r="R788" i="76"/>
  <c r="T787" i="76"/>
  <c r="R787" i="76"/>
  <c r="T786" i="76"/>
  <c r="R786" i="76"/>
  <c r="T785" i="76"/>
  <c r="R785" i="76"/>
  <c r="T784" i="76"/>
  <c r="R784" i="76"/>
  <c r="T783" i="76"/>
  <c r="R783" i="76"/>
  <c r="T782" i="76"/>
  <c r="R782" i="76"/>
  <c r="T781" i="76"/>
  <c r="R781" i="76"/>
  <c r="T780" i="76"/>
  <c r="R780" i="76"/>
  <c r="T779" i="76"/>
  <c r="R779" i="76"/>
  <c r="T778" i="76"/>
  <c r="R778" i="76"/>
  <c r="T777" i="76"/>
  <c r="R777" i="76"/>
  <c r="T776" i="76"/>
  <c r="R776" i="76"/>
  <c r="T775" i="76"/>
  <c r="R775" i="76"/>
  <c r="T774" i="76"/>
  <c r="R774" i="76"/>
  <c r="T773" i="76"/>
  <c r="R773" i="76"/>
  <c r="T772" i="76"/>
  <c r="R772" i="76"/>
  <c r="C770" i="76"/>
  <c r="C769" i="76"/>
  <c r="P769" i="76" s="1"/>
  <c r="C768" i="76"/>
  <c r="C764" i="76"/>
  <c r="T762" i="76"/>
  <c r="R762" i="76"/>
  <c r="T761" i="76"/>
  <c r="R761" i="76"/>
  <c r="T760" i="76"/>
  <c r="R760" i="76"/>
  <c r="T759" i="76"/>
  <c r="R759" i="76"/>
  <c r="T758" i="76"/>
  <c r="R758" i="76"/>
  <c r="T757" i="76"/>
  <c r="R757" i="76"/>
  <c r="T756" i="76"/>
  <c r="R756" i="76"/>
  <c r="T755" i="76"/>
  <c r="R755" i="76"/>
  <c r="T754" i="76"/>
  <c r="R754" i="76"/>
  <c r="T753" i="76"/>
  <c r="R753" i="76"/>
  <c r="T752" i="76"/>
  <c r="R752" i="76"/>
  <c r="T751" i="76"/>
  <c r="R751" i="76"/>
  <c r="T750" i="76"/>
  <c r="R750" i="76"/>
  <c r="T749" i="76"/>
  <c r="R749" i="76"/>
  <c r="T748" i="76"/>
  <c r="R748" i="76"/>
  <c r="T747" i="76"/>
  <c r="R747" i="76"/>
  <c r="T746" i="76"/>
  <c r="R746" i="76"/>
  <c r="T745" i="76"/>
  <c r="R745" i="76"/>
  <c r="T744" i="76"/>
  <c r="R744" i="76"/>
  <c r="T743" i="76"/>
  <c r="R743" i="76"/>
  <c r="T742" i="76"/>
  <c r="R742" i="76"/>
  <c r="T741" i="76"/>
  <c r="R741" i="76"/>
  <c r="A741" i="76"/>
  <c r="T733" i="76"/>
  <c r="R733" i="76"/>
  <c r="T721" i="76"/>
  <c r="R721" i="76"/>
  <c r="B720" i="76"/>
  <c r="B719" i="76"/>
  <c r="T717" i="76"/>
  <c r="R717" i="76"/>
  <c r="B713" i="76"/>
  <c r="T705" i="76"/>
  <c r="R705" i="76"/>
  <c r="T704" i="76"/>
  <c r="R704" i="76"/>
  <c r="T699" i="76"/>
  <c r="R699" i="76"/>
  <c r="T682" i="76"/>
  <c r="R682" i="76"/>
  <c r="T677" i="76"/>
  <c r="R677" i="76"/>
  <c r="C674" i="76"/>
  <c r="C672" i="76"/>
  <c r="T655" i="76"/>
  <c r="R655" i="76"/>
  <c r="T649" i="76"/>
  <c r="R649" i="76"/>
  <c r="T643" i="76"/>
  <c r="R643" i="76"/>
  <c r="T637" i="76"/>
  <c r="R637" i="76"/>
  <c r="C635" i="76"/>
  <c r="T634" i="76"/>
  <c r="R634" i="76"/>
  <c r="T632" i="76"/>
  <c r="R632" i="76"/>
  <c r="T631" i="76"/>
  <c r="R631" i="76"/>
  <c r="T630" i="76"/>
  <c r="R630" i="76"/>
  <c r="T629" i="76"/>
  <c r="R629" i="76"/>
  <c r="C628" i="76"/>
  <c r="T624" i="76"/>
  <c r="R624" i="76"/>
  <c r="T621" i="76"/>
  <c r="R621" i="76"/>
  <c r="T616" i="76"/>
  <c r="R616" i="76"/>
  <c r="T614" i="76"/>
  <c r="R614" i="76"/>
  <c r="T613" i="76"/>
  <c r="R613" i="76"/>
  <c r="T610" i="76"/>
  <c r="R610" i="76"/>
  <c r="T607" i="76"/>
  <c r="R607" i="76"/>
  <c r="T604" i="76"/>
  <c r="R604" i="76"/>
  <c r="T602" i="76"/>
  <c r="R602" i="76"/>
  <c r="T597" i="76"/>
  <c r="R597" i="76"/>
  <c r="T589" i="76"/>
  <c r="R589" i="76"/>
  <c r="T584" i="76"/>
  <c r="R584" i="76"/>
  <c r="T583" i="76"/>
  <c r="R583" i="76"/>
  <c r="T579" i="76"/>
  <c r="R579" i="76"/>
  <c r="T575" i="76"/>
  <c r="R575" i="76"/>
  <c r="T571" i="76"/>
  <c r="R571" i="76"/>
  <c r="T566" i="76"/>
  <c r="R566" i="76"/>
  <c r="T549" i="76"/>
  <c r="R549" i="76"/>
  <c r="C548" i="76"/>
  <c r="P543" i="76"/>
  <c r="T541" i="76"/>
  <c r="R541" i="76"/>
  <c r="P535" i="76"/>
  <c r="T534" i="76"/>
  <c r="R534" i="76"/>
  <c r="T517" i="76"/>
  <c r="R517" i="76"/>
  <c r="T514" i="76"/>
  <c r="R514" i="76"/>
  <c r="T508" i="76"/>
  <c r="R508" i="76"/>
  <c r="T500" i="76"/>
  <c r="R500" i="76"/>
  <c r="B499" i="76"/>
  <c r="B498" i="76"/>
  <c r="B497" i="76"/>
  <c r="C493" i="76"/>
  <c r="P493" i="76" s="1"/>
  <c r="T487" i="76"/>
  <c r="R487" i="76"/>
  <c r="T481" i="76"/>
  <c r="R481" i="76"/>
  <c r="T474" i="76"/>
  <c r="R474" i="76"/>
  <c r="T468" i="76"/>
  <c r="R468" i="76"/>
  <c r="T461" i="76"/>
  <c r="R461" i="76"/>
  <c r="T455" i="76"/>
  <c r="R455" i="76"/>
  <c r="T454" i="76"/>
  <c r="R454" i="76"/>
  <c r="T450" i="76"/>
  <c r="R450" i="76"/>
  <c r="T439" i="76"/>
  <c r="R439" i="76"/>
  <c r="T435" i="76"/>
  <c r="R435" i="76"/>
  <c r="T434" i="76"/>
  <c r="R434" i="76"/>
  <c r="T433" i="76"/>
  <c r="R433" i="76"/>
  <c r="T430" i="76"/>
  <c r="R430" i="76"/>
  <c r="C429" i="76"/>
  <c r="P429" i="76" s="1"/>
  <c r="C427" i="76"/>
  <c r="P427" i="76" s="1"/>
  <c r="C426" i="76"/>
  <c r="T425" i="76"/>
  <c r="R425" i="76"/>
  <c r="T415" i="76"/>
  <c r="R415" i="76"/>
  <c r="T411" i="76"/>
  <c r="R411" i="76"/>
  <c r="T408" i="76"/>
  <c r="R408" i="76"/>
  <c r="T405" i="76"/>
  <c r="R405" i="76"/>
  <c r="T402" i="76"/>
  <c r="R402" i="76"/>
  <c r="T400" i="76"/>
  <c r="R400" i="76"/>
  <c r="T398" i="76"/>
  <c r="R398" i="76"/>
  <c r="T397" i="76"/>
  <c r="R397" i="76"/>
  <c r="T395" i="76"/>
  <c r="R395" i="76"/>
  <c r="T391" i="76"/>
  <c r="R391" i="76"/>
  <c r="C384" i="76"/>
  <c r="C383" i="76"/>
  <c r="P383" i="76" s="1"/>
  <c r="C382" i="76"/>
  <c r="C381" i="76"/>
  <c r="P381" i="76" s="1"/>
  <c r="T380" i="76"/>
  <c r="R380" i="76"/>
  <c r="T374" i="76"/>
  <c r="R374" i="76"/>
  <c r="T368" i="76"/>
  <c r="R368" i="76"/>
  <c r="T362" i="76"/>
  <c r="R362" i="76"/>
  <c r="T358" i="76"/>
  <c r="R358" i="76"/>
  <c r="T355" i="76"/>
  <c r="R355" i="76"/>
  <c r="T344" i="76"/>
  <c r="R344" i="76"/>
  <c r="P343" i="76"/>
  <c r="T340" i="76"/>
  <c r="R340" i="76"/>
  <c r="T338" i="76"/>
  <c r="R338" i="76"/>
  <c r="T331" i="76"/>
  <c r="R331" i="76"/>
  <c r="T329" i="76"/>
  <c r="R329" i="76"/>
  <c r="T327" i="76"/>
  <c r="R327" i="76"/>
  <c r="T326" i="76"/>
  <c r="R326" i="76"/>
  <c r="C322" i="76"/>
  <c r="T308" i="76"/>
  <c r="R308" i="76"/>
  <c r="C307" i="76"/>
  <c r="T304" i="76"/>
  <c r="R304" i="76"/>
  <c r="T303" i="76"/>
  <c r="R303" i="76"/>
  <c r="T300" i="76"/>
  <c r="R300" i="76"/>
  <c r="T298" i="76"/>
  <c r="R298" i="76"/>
  <c r="T293" i="76"/>
  <c r="R293" i="76"/>
  <c r="C292" i="76"/>
  <c r="T289" i="76"/>
  <c r="R289" i="76"/>
  <c r="T285" i="76"/>
  <c r="R285" i="76"/>
  <c r="T284" i="76"/>
  <c r="R284" i="76"/>
  <c r="T283" i="76"/>
  <c r="R283" i="76"/>
  <c r="T282" i="76"/>
  <c r="R282" i="76"/>
  <c r="T281" i="76"/>
  <c r="R281" i="76"/>
  <c r="T275" i="76"/>
  <c r="R275" i="76"/>
  <c r="T269" i="76"/>
  <c r="R269" i="76"/>
  <c r="T263" i="76"/>
  <c r="R263" i="76"/>
  <c r="T257" i="76"/>
  <c r="R257" i="76"/>
  <c r="T251" i="76"/>
  <c r="R251" i="76"/>
  <c r="T244" i="76"/>
  <c r="R244" i="76"/>
  <c r="T231" i="76"/>
  <c r="R231" i="76"/>
  <c r="T230" i="76"/>
  <c r="R230" i="76"/>
  <c r="T228" i="76"/>
  <c r="R228" i="76"/>
  <c r="T227" i="76"/>
  <c r="R227" i="76"/>
  <c r="T226" i="76"/>
  <c r="R226" i="76"/>
  <c r="T225" i="76"/>
  <c r="R225" i="76"/>
  <c r="T224" i="76"/>
  <c r="R224" i="76"/>
  <c r="T223" i="76"/>
  <c r="R223" i="76"/>
  <c r="T222" i="76"/>
  <c r="R222" i="76"/>
  <c r="T216" i="76"/>
  <c r="R216" i="76"/>
  <c r="T215" i="76"/>
  <c r="R215" i="76"/>
  <c r="T214" i="76"/>
  <c r="R214" i="76"/>
  <c r="T213" i="76"/>
  <c r="R213" i="76"/>
  <c r="T212" i="76"/>
  <c r="R212" i="76"/>
  <c r="T211" i="76"/>
  <c r="R211" i="76"/>
  <c r="T210" i="76"/>
  <c r="R210" i="76"/>
  <c r="T204" i="76"/>
  <c r="R204" i="76"/>
  <c r="T203" i="76"/>
  <c r="R203" i="76"/>
  <c r="T202" i="76"/>
  <c r="R202" i="76"/>
  <c r="T201" i="76"/>
  <c r="R201" i="76"/>
  <c r="T200" i="76"/>
  <c r="R200" i="76"/>
  <c r="T199" i="76"/>
  <c r="R199" i="76"/>
  <c r="T198" i="76"/>
  <c r="R198" i="76"/>
  <c r="T197" i="76"/>
  <c r="R197" i="76"/>
  <c r="T196" i="76"/>
  <c r="R196" i="76"/>
  <c r="T195" i="76"/>
  <c r="R195" i="76"/>
  <c r="T194" i="76"/>
  <c r="R194" i="76"/>
  <c r="T193" i="76"/>
  <c r="R193" i="76"/>
  <c r="T192" i="76"/>
  <c r="R192" i="76"/>
  <c r="T186" i="76"/>
  <c r="R186" i="76"/>
  <c r="T180" i="76"/>
  <c r="R180" i="76"/>
  <c r="T179" i="76"/>
  <c r="R179" i="76"/>
  <c r="T178" i="76"/>
  <c r="R178" i="76"/>
  <c r="T177" i="76"/>
  <c r="R177" i="76"/>
  <c r="T176" i="76"/>
  <c r="R176" i="76"/>
  <c r="T175" i="76"/>
  <c r="R175" i="76"/>
  <c r="T174" i="76"/>
  <c r="R174" i="76"/>
  <c r="T173" i="76"/>
  <c r="R173" i="76"/>
  <c r="T166" i="76"/>
  <c r="R166" i="76"/>
  <c r="T165" i="76"/>
  <c r="R165" i="76"/>
  <c r="T164" i="76"/>
  <c r="R164" i="76"/>
  <c r="T163" i="76"/>
  <c r="R163" i="76"/>
  <c r="T162" i="76"/>
  <c r="R162" i="76"/>
  <c r="T161" i="76"/>
  <c r="R161" i="76"/>
  <c r="T160" i="76"/>
  <c r="R160" i="76"/>
  <c r="T159" i="76"/>
  <c r="R159" i="76"/>
  <c r="T158" i="76"/>
  <c r="R158" i="76"/>
  <c r="T157" i="76"/>
  <c r="R157" i="76"/>
  <c r="T156" i="76"/>
  <c r="R156" i="76"/>
  <c r="T155" i="76"/>
  <c r="R155" i="76"/>
  <c r="T154" i="76"/>
  <c r="R154" i="76"/>
  <c r="T153" i="76"/>
  <c r="R153" i="76"/>
  <c r="T152" i="76"/>
  <c r="R152" i="76"/>
  <c r="T136" i="76"/>
  <c r="R136" i="76"/>
  <c r="T129" i="76"/>
  <c r="R129" i="76"/>
  <c r="T128" i="76"/>
  <c r="R128" i="76"/>
  <c r="T127" i="76"/>
  <c r="R127" i="76"/>
  <c r="T126" i="76"/>
  <c r="R126" i="76"/>
  <c r="T125" i="76"/>
  <c r="R125" i="76"/>
  <c r="T124" i="76"/>
  <c r="R124" i="76"/>
  <c r="T123" i="76"/>
  <c r="R123" i="76"/>
  <c r="T117" i="76"/>
  <c r="R117" i="76"/>
  <c r="T116" i="76"/>
  <c r="R116" i="76"/>
  <c r="T115" i="76"/>
  <c r="R115" i="76"/>
  <c r="T114" i="76"/>
  <c r="R114" i="76"/>
  <c r="T113" i="76"/>
  <c r="R113" i="76"/>
  <c r="T112" i="76"/>
  <c r="R112" i="76"/>
  <c r="T111" i="76"/>
  <c r="R111" i="76"/>
  <c r="T110" i="76"/>
  <c r="R110" i="76"/>
  <c r="T109" i="76"/>
  <c r="R109" i="76"/>
  <c r="T108" i="76"/>
  <c r="R108" i="76"/>
  <c r="T107" i="76"/>
  <c r="R107" i="76"/>
  <c r="T106" i="76"/>
  <c r="R106" i="76"/>
  <c r="T105" i="76"/>
  <c r="R105" i="76"/>
  <c r="T90" i="76"/>
  <c r="R90" i="76"/>
  <c r="T84" i="76"/>
  <c r="R84" i="76"/>
  <c r="T70" i="76"/>
  <c r="R70" i="76"/>
  <c r="T64" i="76"/>
  <c r="R64" i="76"/>
  <c r="C62" i="76"/>
  <c r="T61" i="76"/>
  <c r="R61" i="76"/>
  <c r="T60" i="76"/>
  <c r="R60" i="76"/>
  <c r="T58" i="76"/>
  <c r="R58" i="76"/>
  <c r="T57" i="76"/>
  <c r="R57" i="76"/>
  <c r="T49" i="76"/>
  <c r="R49" i="76"/>
  <c r="T48" i="76"/>
  <c r="R48" i="76"/>
  <c r="T37" i="76"/>
  <c r="R37" i="76"/>
  <c r="T36" i="76"/>
  <c r="R36" i="76"/>
  <c r="T35" i="76"/>
  <c r="R35" i="76"/>
  <c r="T34" i="76"/>
  <c r="R34" i="76"/>
  <c r="T33" i="76"/>
  <c r="R33" i="76"/>
  <c r="T32" i="76"/>
  <c r="R32" i="76"/>
  <c r="T31" i="76"/>
  <c r="R31" i="76"/>
  <c r="T28" i="76"/>
  <c r="R28" i="76"/>
  <c r="T25" i="76"/>
  <c r="R25" i="76"/>
  <c r="T22" i="76"/>
  <c r="R22" i="76"/>
  <c r="V17" i="76"/>
  <c r="T17" i="76"/>
  <c r="R17" i="76"/>
  <c r="N17" i="76"/>
  <c r="J17" i="76"/>
  <c r="H17" i="76"/>
  <c r="U16" i="76"/>
  <c r="U15" i="76"/>
  <c r="U14" i="76"/>
  <c r="V14" i="76" s="1"/>
  <c r="T14" i="76"/>
  <c r="R14" i="76"/>
  <c r="N14" i="76"/>
  <c r="J14" i="76"/>
  <c r="H14" i="76"/>
  <c r="U13" i="76"/>
  <c r="U12" i="76"/>
  <c r="U11" i="76"/>
  <c r="V11" i="76" s="1"/>
  <c r="T11" i="76"/>
  <c r="R11" i="76"/>
  <c r="N11" i="76"/>
  <c r="J11" i="76"/>
  <c r="H11" i="76"/>
  <c r="U10" i="76"/>
  <c r="U9" i="76"/>
  <c r="U8" i="76"/>
  <c r="V8" i="76" s="1"/>
  <c r="T8" i="76"/>
  <c r="R8" i="76"/>
  <c r="N8" i="76"/>
  <c r="J8" i="76"/>
  <c r="H8" i="76"/>
  <c r="U7" i="76"/>
  <c r="D203" i="78" l="1"/>
  <c r="T943" i="55"/>
  <c r="R943" i="55"/>
  <c r="R1003" i="55"/>
  <c r="D205" i="78"/>
  <c r="R944" i="55"/>
  <c r="T944" i="55"/>
  <c r="D219" i="78"/>
  <c r="F219" i="78" s="1"/>
  <c r="T957" i="55"/>
  <c r="R957" i="55"/>
  <c r="F203" i="78"/>
  <c r="F205" i="78"/>
  <c r="A61" i="78"/>
  <c r="A62" i="78" s="1"/>
  <c r="A63" i="78" s="1"/>
  <c r="A64" i="78" s="1"/>
  <c r="A68" i="78" s="1"/>
  <c r="L426" i="76"/>
  <c r="P426" i="76"/>
  <c r="L542" i="76"/>
  <c r="P542" i="76"/>
  <c r="L544" i="76"/>
  <c r="P544" i="76"/>
  <c r="L548" i="76"/>
  <c r="P548" i="76"/>
  <c r="L672" i="76"/>
  <c r="P672" i="76"/>
  <c r="L674" i="76"/>
  <c r="P674" i="76"/>
  <c r="L768" i="76"/>
  <c r="P768" i="76"/>
  <c r="L770" i="76"/>
  <c r="P770" i="76"/>
  <c r="L832" i="76"/>
  <c r="P832" i="76"/>
  <c r="L834" i="76"/>
  <c r="P834" i="76"/>
  <c r="L910" i="76"/>
  <c r="P910" i="76"/>
  <c r="R1011" i="76"/>
  <c r="P1011" i="76"/>
  <c r="R1028" i="76"/>
  <c r="P1028" i="76"/>
  <c r="R1030" i="76"/>
  <c r="P1030" i="76"/>
  <c r="R1058" i="76"/>
  <c r="P1058" i="76"/>
  <c r="R1059" i="76"/>
  <c r="P1059" i="76"/>
  <c r="R1060" i="76"/>
  <c r="P1060" i="76"/>
  <c r="R1061" i="76"/>
  <c r="P1061" i="76"/>
  <c r="R1062" i="76"/>
  <c r="P1062" i="76"/>
  <c r="R1063" i="76"/>
  <c r="P1063" i="76"/>
  <c r="R1064" i="76"/>
  <c r="P1064" i="76"/>
  <c r="R1065" i="76"/>
  <c r="P1065" i="76"/>
  <c r="R1066" i="76"/>
  <c r="P1066" i="76"/>
  <c r="R1067" i="76"/>
  <c r="P1067" i="76"/>
  <c r="H1069" i="76"/>
  <c r="P1069" i="76"/>
  <c r="R1070" i="76"/>
  <c r="P1070" i="76"/>
  <c r="F1071" i="76"/>
  <c r="P1071" i="76"/>
  <c r="T1072" i="76"/>
  <c r="P1072" i="76"/>
  <c r="L62" i="76"/>
  <c r="P62" i="76"/>
  <c r="L292" i="76"/>
  <c r="P292" i="76"/>
  <c r="L307" i="76"/>
  <c r="P307" i="76"/>
  <c r="L322" i="76"/>
  <c r="P322" i="76"/>
  <c r="L382" i="76"/>
  <c r="P382" i="76"/>
  <c r="L384" i="76"/>
  <c r="P384" i="76"/>
  <c r="L536" i="76"/>
  <c r="P536" i="76"/>
  <c r="L628" i="76"/>
  <c r="P628" i="76"/>
  <c r="L635" i="76"/>
  <c r="P635" i="76"/>
  <c r="L764" i="76"/>
  <c r="P764" i="76"/>
  <c r="R1018" i="76"/>
  <c r="P1018" i="76"/>
  <c r="R1021" i="76"/>
  <c r="P1021" i="76"/>
  <c r="R1023" i="76"/>
  <c r="P1023" i="76"/>
  <c r="R1029" i="76"/>
  <c r="P1029" i="76"/>
  <c r="R1034" i="76"/>
  <c r="P1034" i="76"/>
  <c r="A950" i="76"/>
  <c r="A955" i="55"/>
  <c r="A997" i="76"/>
  <c r="A1002" i="55"/>
  <c r="A980" i="76"/>
  <c r="A985" i="55"/>
  <c r="A936" i="76"/>
  <c r="A941" i="55"/>
  <c r="H343" i="76"/>
  <c r="L343" i="76"/>
  <c r="H381" i="76"/>
  <c r="L381" i="76"/>
  <c r="H383" i="76"/>
  <c r="L383" i="76"/>
  <c r="H427" i="76"/>
  <c r="L427" i="76"/>
  <c r="H429" i="76"/>
  <c r="L429" i="76"/>
  <c r="H493" i="76"/>
  <c r="L493" i="76"/>
  <c r="H535" i="76"/>
  <c r="L535" i="76"/>
  <c r="H543" i="76"/>
  <c r="L543" i="76"/>
  <c r="H769" i="76"/>
  <c r="L769" i="76"/>
  <c r="N62" i="76"/>
  <c r="H62" i="76"/>
  <c r="J62" i="76"/>
  <c r="N292" i="76"/>
  <c r="J292" i="76"/>
  <c r="N307" i="76"/>
  <c r="J307" i="76"/>
  <c r="F382" i="76"/>
  <c r="N382" i="76"/>
  <c r="J382" i="76"/>
  <c r="F384" i="76"/>
  <c r="N384" i="76"/>
  <c r="J384" i="76"/>
  <c r="F426" i="76"/>
  <c r="N426" i="76"/>
  <c r="J426" i="76"/>
  <c r="F536" i="76"/>
  <c r="N536" i="76"/>
  <c r="J536" i="76"/>
  <c r="F542" i="76"/>
  <c r="N542" i="76"/>
  <c r="J542" i="76"/>
  <c r="F544" i="76"/>
  <c r="N544" i="76"/>
  <c r="J544" i="76"/>
  <c r="F548" i="76"/>
  <c r="N548" i="76"/>
  <c r="J548" i="76"/>
  <c r="F635" i="76"/>
  <c r="J635" i="76"/>
  <c r="N635" i="76"/>
  <c r="T764" i="76"/>
  <c r="N764" i="76"/>
  <c r="J764" i="76"/>
  <c r="T768" i="76"/>
  <c r="N768" i="76"/>
  <c r="J768" i="76"/>
  <c r="T770" i="76"/>
  <c r="N770" i="76"/>
  <c r="J770" i="76"/>
  <c r="H635" i="76"/>
  <c r="H307" i="76"/>
  <c r="N322" i="76"/>
  <c r="J322" i="76"/>
  <c r="N343" i="76"/>
  <c r="J343" i="76"/>
  <c r="F381" i="76"/>
  <c r="N381" i="76"/>
  <c r="J381" i="76"/>
  <c r="F383" i="76"/>
  <c r="N383" i="76"/>
  <c r="J383" i="76"/>
  <c r="F427" i="76"/>
  <c r="N427" i="76"/>
  <c r="J427" i="76"/>
  <c r="F429" i="76"/>
  <c r="N429" i="76"/>
  <c r="J429" i="76"/>
  <c r="F493" i="76"/>
  <c r="N493" i="76"/>
  <c r="J493" i="76"/>
  <c r="F535" i="76"/>
  <c r="N535" i="76"/>
  <c r="J535" i="76"/>
  <c r="F543" i="76"/>
  <c r="N543" i="76"/>
  <c r="J543" i="76"/>
  <c r="F628" i="76"/>
  <c r="N628" i="76"/>
  <c r="J628" i="76"/>
  <c r="F672" i="76"/>
  <c r="N672" i="76"/>
  <c r="J672" i="76"/>
  <c r="F674" i="76"/>
  <c r="N674" i="76"/>
  <c r="J674" i="76"/>
  <c r="T769" i="76"/>
  <c r="J769" i="76"/>
  <c r="N769" i="76"/>
  <c r="T832" i="76"/>
  <c r="N832" i="76"/>
  <c r="J832" i="76"/>
  <c r="T834" i="76"/>
  <c r="N834" i="76"/>
  <c r="J834" i="76"/>
  <c r="R910" i="76"/>
  <c r="N910" i="76"/>
  <c r="J910" i="76"/>
  <c r="H910" i="76"/>
  <c r="H834" i="76"/>
  <c r="H832" i="76"/>
  <c r="H770" i="76"/>
  <c r="H768" i="76"/>
  <c r="H764" i="76"/>
  <c r="H674" i="76"/>
  <c r="H672" i="76"/>
  <c r="H628" i="76"/>
  <c r="H548" i="76"/>
  <c r="H544" i="76"/>
  <c r="H542" i="76"/>
  <c r="H536" i="76"/>
  <c r="H426" i="76"/>
  <c r="H384" i="76"/>
  <c r="H382" i="76"/>
  <c r="H322" i="76"/>
  <c r="H292" i="76"/>
  <c r="V834" i="76"/>
  <c r="V832" i="76"/>
  <c r="V769" i="76"/>
  <c r="V307" i="76"/>
  <c r="V770" i="76"/>
  <c r="V768" i="76"/>
  <c r="V764" i="76"/>
  <c r="V674" i="76"/>
  <c r="V672" i="76"/>
  <c r="V628" i="76"/>
  <c r="V548" i="76"/>
  <c r="V544" i="76"/>
  <c r="V542" i="76"/>
  <c r="V536" i="76"/>
  <c r="V426" i="76"/>
  <c r="V384" i="76"/>
  <c r="V382" i="76"/>
  <c r="V322" i="76"/>
  <c r="V292" i="76"/>
  <c r="V62" i="76"/>
  <c r="V910" i="76"/>
  <c r="V635" i="76"/>
  <c r="V543" i="76"/>
  <c r="V535" i="76"/>
  <c r="V493" i="76"/>
  <c r="V429" i="76"/>
  <c r="V427" i="76"/>
  <c r="V383" i="76"/>
  <c r="V381" i="76"/>
  <c r="V343" i="76"/>
  <c r="F769" i="76"/>
  <c r="F910" i="76"/>
  <c r="F834" i="76"/>
  <c r="F832" i="76"/>
  <c r="F770" i="76"/>
  <c r="F768" i="76"/>
  <c r="F764" i="76"/>
  <c r="T62" i="76"/>
  <c r="F62" i="76"/>
  <c r="T322" i="76"/>
  <c r="F322" i="76"/>
  <c r="R381" i="76"/>
  <c r="R382" i="76"/>
  <c r="R383" i="76"/>
  <c r="R384" i="76"/>
  <c r="T535" i="76"/>
  <c r="T536" i="76"/>
  <c r="R628" i="76"/>
  <c r="F1069" i="76"/>
  <c r="F1067" i="76"/>
  <c r="F1065" i="76"/>
  <c r="F1063" i="76"/>
  <c r="F1061" i="76"/>
  <c r="F1059" i="76"/>
  <c r="F1029" i="76"/>
  <c r="F1023" i="76"/>
  <c r="F1021" i="76"/>
  <c r="F1011" i="76"/>
  <c r="R292" i="76"/>
  <c r="F292" i="76"/>
  <c r="T307" i="76"/>
  <c r="F307" i="76"/>
  <c r="T343" i="76"/>
  <c r="F343" i="76"/>
  <c r="T426" i="76"/>
  <c r="T429" i="76"/>
  <c r="R493" i="76"/>
  <c r="R542" i="76"/>
  <c r="T543" i="76"/>
  <c r="T544" i="76"/>
  <c r="R548" i="76"/>
  <c r="T635" i="76"/>
  <c r="R672" i="76"/>
  <c r="R674" i="76"/>
  <c r="F1072" i="76"/>
  <c r="F1070" i="76"/>
  <c r="F1066" i="76"/>
  <c r="F1064" i="76"/>
  <c r="F1062" i="76"/>
  <c r="F1060" i="76"/>
  <c r="F1058" i="76"/>
  <c r="F1034" i="76"/>
  <c r="F1030" i="76"/>
  <c r="F1028" i="76"/>
  <c r="F1018" i="76"/>
  <c r="V1011" i="76"/>
  <c r="R343" i="76"/>
  <c r="R429" i="76"/>
  <c r="T292" i="76"/>
  <c r="R536" i="76"/>
  <c r="R544" i="76"/>
  <c r="R635" i="76"/>
  <c r="T548" i="76"/>
  <c r="T672" i="76"/>
  <c r="T910" i="76"/>
  <c r="J1011" i="76"/>
  <c r="T1011" i="76"/>
  <c r="V1021" i="76"/>
  <c r="V1023" i="76"/>
  <c r="V1028" i="76"/>
  <c r="V1029" i="76"/>
  <c r="V1030" i="76"/>
  <c r="V1034" i="76"/>
  <c r="H1059" i="76"/>
  <c r="H1061" i="76"/>
  <c r="H1063" i="76"/>
  <c r="H1065" i="76"/>
  <c r="H1067" i="76"/>
  <c r="J1018" i="76"/>
  <c r="T1018" i="76"/>
  <c r="V1018" i="76"/>
  <c r="V1072" i="76"/>
  <c r="U6" i="76"/>
  <c r="R62" i="76"/>
  <c r="R307" i="76"/>
  <c r="R322" i="76"/>
  <c r="T381" i="76"/>
  <c r="T382" i="76"/>
  <c r="T383" i="76"/>
  <c r="T384" i="76"/>
  <c r="R426" i="76"/>
  <c r="R427" i="76"/>
  <c r="T493" i="76"/>
  <c r="R535" i="76"/>
  <c r="T542" i="76"/>
  <c r="R543" i="76"/>
  <c r="T427" i="76"/>
  <c r="T628" i="76"/>
  <c r="T674" i="76"/>
  <c r="R764" i="76"/>
  <c r="R768" i="76"/>
  <c r="R769" i="76"/>
  <c r="R770" i="76"/>
  <c r="R832" i="76"/>
  <c r="R834" i="76"/>
  <c r="T1059" i="76"/>
  <c r="J1059" i="76"/>
  <c r="T1061" i="76"/>
  <c r="J1061" i="76"/>
  <c r="T1063" i="76"/>
  <c r="J1063" i="76"/>
  <c r="T1065" i="76"/>
  <c r="J1065" i="76"/>
  <c r="T1067" i="76"/>
  <c r="J1067" i="76"/>
  <c r="T1069" i="76"/>
  <c r="J1069" i="76"/>
  <c r="T1071" i="76"/>
  <c r="J1071" i="76"/>
  <c r="R1071" i="76"/>
  <c r="H1011" i="76"/>
  <c r="N1011" i="76"/>
  <c r="H1018" i="76"/>
  <c r="N1018" i="76"/>
  <c r="J1021" i="76"/>
  <c r="T1021" i="76"/>
  <c r="J1023" i="76"/>
  <c r="T1023" i="76"/>
  <c r="J1028" i="76"/>
  <c r="T1028" i="76"/>
  <c r="J1029" i="76"/>
  <c r="T1029" i="76"/>
  <c r="J1030" i="76"/>
  <c r="T1030" i="76"/>
  <c r="J1034" i="76"/>
  <c r="T1034" i="76"/>
  <c r="H1058" i="76"/>
  <c r="N1059" i="76"/>
  <c r="V1059" i="76"/>
  <c r="H1060" i="76"/>
  <c r="N1061" i="76"/>
  <c r="V1061" i="76"/>
  <c r="H1062" i="76"/>
  <c r="N1063" i="76"/>
  <c r="V1063" i="76"/>
  <c r="H1064" i="76"/>
  <c r="N1065" i="76"/>
  <c r="V1065" i="76"/>
  <c r="H1066" i="76"/>
  <c r="N1067" i="76"/>
  <c r="V1067" i="76"/>
  <c r="N1069" i="76"/>
  <c r="V1069" i="76"/>
  <c r="H1070" i="76"/>
  <c r="N1071" i="76"/>
  <c r="T1058" i="76"/>
  <c r="J1058" i="76"/>
  <c r="T1060" i="76"/>
  <c r="J1060" i="76"/>
  <c r="T1062" i="76"/>
  <c r="J1062" i="76"/>
  <c r="T1064" i="76"/>
  <c r="J1064" i="76"/>
  <c r="T1066" i="76"/>
  <c r="J1066" i="76"/>
  <c r="T1070" i="76"/>
  <c r="J1070" i="76"/>
  <c r="H1021" i="76"/>
  <c r="N1021" i="76"/>
  <c r="H1023" i="76"/>
  <c r="N1023" i="76"/>
  <c r="H1028" i="76"/>
  <c r="N1028" i="76"/>
  <c r="H1029" i="76"/>
  <c r="N1029" i="76"/>
  <c r="H1030" i="76"/>
  <c r="N1030" i="76"/>
  <c r="H1034" i="76"/>
  <c r="N1034" i="76"/>
  <c r="N1058" i="76"/>
  <c r="V1058" i="76"/>
  <c r="N1060" i="76"/>
  <c r="V1060" i="76"/>
  <c r="N1062" i="76"/>
  <c r="V1062" i="76"/>
  <c r="N1064" i="76"/>
  <c r="V1064" i="76"/>
  <c r="N1066" i="76"/>
  <c r="V1066" i="76"/>
  <c r="R1069" i="76"/>
  <c r="N1070" i="76"/>
  <c r="V1070" i="76"/>
  <c r="H1071" i="76"/>
  <c r="V1071" i="76"/>
  <c r="H1072" i="76"/>
  <c r="N1072" i="76"/>
  <c r="R1072" i="76"/>
  <c r="J1072" i="76"/>
  <c r="A69" i="78" l="1"/>
  <c r="A1003" i="55"/>
  <c r="A998" i="76"/>
  <c r="A937" i="76"/>
  <c r="A942" i="55"/>
  <c r="A981" i="76"/>
  <c r="A986" i="55"/>
  <c r="A951" i="76"/>
  <c r="A956" i="55"/>
  <c r="V716" i="76"/>
  <c r="L716" i="76"/>
  <c r="F716" i="76"/>
  <c r="N716" i="76"/>
  <c r="J716" i="76"/>
  <c r="H716" i="76"/>
  <c r="T716" i="76"/>
  <c r="A1004" i="55" l="1"/>
  <c r="A999" i="76"/>
  <c r="A1005" i="55" s="1"/>
  <c r="A70" i="78"/>
  <c r="A71" i="78" s="1"/>
  <c r="A73" i="78" s="1"/>
  <c r="A74" i="78" s="1"/>
  <c r="A75" i="78" s="1"/>
  <c r="A76" i="78" s="1"/>
  <c r="A77" i="78" s="1"/>
  <c r="A952" i="76"/>
  <c r="A957" i="55"/>
  <c r="A983" i="76"/>
  <c r="A987" i="55"/>
  <c r="A938" i="76"/>
  <c r="A943" i="55"/>
  <c r="F935" i="55"/>
  <c r="H935" i="55"/>
  <c r="J935" i="55"/>
  <c r="L935" i="55"/>
  <c r="N935" i="55"/>
  <c r="H936" i="55"/>
  <c r="J936" i="55"/>
  <c r="L936" i="55"/>
  <c r="N936" i="55"/>
  <c r="H937" i="55"/>
  <c r="J937" i="55"/>
  <c r="L937" i="55"/>
  <c r="N937" i="55"/>
  <c r="E1085" i="75"/>
  <c r="A78" i="78" l="1"/>
  <c r="A79" i="78" s="1"/>
  <c r="A80" i="78" s="1"/>
  <c r="A81" i="78" s="1"/>
  <c r="A82" i="78" s="1"/>
  <c r="A84" i="78" s="1"/>
  <c r="A85" i="78" s="1"/>
  <c r="A86" i="78" s="1"/>
  <c r="A939" i="76"/>
  <c r="A944" i="55"/>
  <c r="A984" i="76"/>
  <c r="A989" i="55"/>
  <c r="A968" i="76"/>
  <c r="A958" i="55"/>
  <c r="A92" i="78" l="1"/>
  <c r="A96" i="78" s="1"/>
  <c r="A103" i="78" s="1"/>
  <c r="A104" i="78" s="1"/>
  <c r="A970" i="76"/>
  <c r="A976" i="55" s="1"/>
  <c r="A974" i="55"/>
  <c r="A985" i="76"/>
  <c r="A990" i="55"/>
  <c r="A945" i="55"/>
  <c r="A941" i="76"/>
  <c r="A2" i="72"/>
  <c r="A7" i="72"/>
  <c r="A9" i="72" s="1"/>
  <c r="S1067" i="55"/>
  <c r="S1068" i="55"/>
  <c r="S1069" i="55"/>
  <c r="S1070" i="55"/>
  <c r="S1071" i="55"/>
  <c r="S1072" i="55"/>
  <c r="S1073" i="55"/>
  <c r="S1074" i="55"/>
  <c r="S1075" i="55"/>
  <c r="S1076" i="55"/>
  <c r="S1077" i="55"/>
  <c r="S1078" i="55"/>
  <c r="S1079" i="55"/>
  <c r="S1080" i="55"/>
  <c r="S1081" i="55"/>
  <c r="S1082" i="55"/>
  <c r="S1083" i="55"/>
  <c r="S1084" i="55"/>
  <c r="S1085" i="55"/>
  <c r="S1086" i="55"/>
  <c r="S1087" i="55"/>
  <c r="S1088" i="55"/>
  <c r="S1089" i="55"/>
  <c r="S1090" i="55"/>
  <c r="S1091" i="55"/>
  <c r="S1092" i="55"/>
  <c r="S1093" i="55"/>
  <c r="S1094" i="55"/>
  <c r="S1095" i="55"/>
  <c r="S1096" i="55"/>
  <c r="S1097" i="55"/>
  <c r="S1098" i="55"/>
  <c r="S1099" i="55"/>
  <c r="S1100" i="55"/>
  <c r="S1101" i="55"/>
  <c r="S1102" i="55"/>
  <c r="S1103" i="55"/>
  <c r="S1104" i="55"/>
  <c r="S1105" i="55"/>
  <c r="S1106" i="55"/>
  <c r="S1107" i="55"/>
  <c r="S1108" i="55"/>
  <c r="S1109" i="55"/>
  <c r="A8" i="72"/>
  <c r="A10" i="72" s="1"/>
  <c r="A11" i="72" s="1"/>
  <c r="A12" i="72" s="1"/>
  <c r="H2337" i="71"/>
  <c r="H2336" i="71"/>
  <c r="H989" i="71"/>
  <c r="H2338" i="71" l="1"/>
  <c r="A1" i="77"/>
  <c r="A1" i="78"/>
  <c r="B173" i="78"/>
  <c r="F173" i="78" s="1"/>
  <c r="A105" i="78"/>
  <c r="A108" i="78" s="1"/>
  <c r="A109" i="78" s="1"/>
  <c r="A986" i="76"/>
  <c r="A991" i="55"/>
  <c r="A942" i="76"/>
  <c r="A947" i="55"/>
  <c r="F708" i="55"/>
  <c r="A13" i="72"/>
  <c r="E373" i="55"/>
  <c r="H2355" i="71"/>
  <c r="E938" i="55" s="1"/>
  <c r="S938" i="55" s="1"/>
  <c r="T938" i="55" s="1"/>
  <c r="H2350" i="71"/>
  <c r="H2349" i="71"/>
  <c r="H2348" i="71"/>
  <c r="H2347" i="71"/>
  <c r="H2345" i="71"/>
  <c r="H2344" i="71"/>
  <c r="H2343" i="71"/>
  <c r="H2342" i="71"/>
  <c r="H2341" i="71"/>
  <c r="H2333" i="71"/>
  <c r="H2332" i="71"/>
  <c r="H2328" i="71"/>
  <c r="E730" i="55" s="1"/>
  <c r="H2322" i="71"/>
  <c r="H2323" i="71" s="1"/>
  <c r="E728" i="55" s="1"/>
  <c r="S728" i="55" s="1"/>
  <c r="T728" i="55" s="1"/>
  <c r="H2320" i="71"/>
  <c r="E937" i="55" s="1"/>
  <c r="S937" i="55" s="1"/>
  <c r="T937" i="55" s="1"/>
  <c r="H2318" i="71"/>
  <c r="E936" i="55" s="1"/>
  <c r="S936" i="55" s="1"/>
  <c r="T936" i="55" s="1"/>
  <c r="H2316" i="71"/>
  <c r="E782" i="55" s="1"/>
  <c r="S782" i="55" s="1"/>
  <c r="T782" i="55" s="1"/>
  <c r="H2315" i="71"/>
  <c r="E751" i="55" s="1"/>
  <c r="S751" i="55" s="1"/>
  <c r="T751" i="55" s="1"/>
  <c r="H2309" i="71"/>
  <c r="H2308" i="71"/>
  <c r="H2303" i="71"/>
  <c r="E699" i="55" s="1"/>
  <c r="H2300" i="71"/>
  <c r="H2299" i="71"/>
  <c r="H2297" i="71"/>
  <c r="E718" i="55" s="1"/>
  <c r="H2295" i="71"/>
  <c r="E714" i="55" s="1"/>
  <c r="I2292" i="71"/>
  <c r="H2290" i="71"/>
  <c r="H2287" i="71"/>
  <c r="H2286" i="71"/>
  <c r="H2283" i="71"/>
  <c r="E863" i="55" s="1"/>
  <c r="S863" i="55" s="1"/>
  <c r="T863" i="55" s="1"/>
  <c r="H2281" i="71"/>
  <c r="E860" i="55" s="1"/>
  <c r="S860" i="55" s="1"/>
  <c r="T860" i="55" s="1"/>
  <c r="H2278" i="71"/>
  <c r="E858" i="55" s="1"/>
  <c r="H2276" i="71"/>
  <c r="E857" i="55" s="1"/>
  <c r="H2272" i="71"/>
  <c r="H2271" i="71"/>
  <c r="H2270" i="71"/>
  <c r="H2269" i="71"/>
  <c r="H2268" i="71"/>
  <c r="H2265" i="71"/>
  <c r="H2264" i="71"/>
  <c r="H2262" i="71"/>
  <c r="H2258" i="71"/>
  <c r="H2259" i="71" s="1"/>
  <c r="A2257" i="71"/>
  <c r="E2242" i="71"/>
  <c r="H2242" i="71" s="1"/>
  <c r="E823" i="55" s="1"/>
  <c r="E2241" i="71"/>
  <c r="H2241" i="71" s="1"/>
  <c r="H2240" i="71"/>
  <c r="H2246" i="71"/>
  <c r="H2251" i="71"/>
  <c r="H2250" i="71"/>
  <c r="H2249" i="71"/>
  <c r="H2248" i="71"/>
  <c r="H2247" i="71"/>
  <c r="H2239" i="71"/>
  <c r="H2238" i="71"/>
  <c r="E2237" i="71"/>
  <c r="H2237" i="71" s="1"/>
  <c r="E2236" i="71"/>
  <c r="H2236" i="71" s="1"/>
  <c r="E2235" i="71"/>
  <c r="H2235" i="71" s="1"/>
  <c r="E2231" i="71"/>
  <c r="H2231" i="71" s="1"/>
  <c r="H2230" i="71"/>
  <c r="E2229" i="71"/>
  <c r="H2229" i="71" s="1"/>
  <c r="H2228" i="71"/>
  <c r="E2227" i="71"/>
  <c r="H2227" i="71" s="1"/>
  <c r="H2226" i="71"/>
  <c r="E2225" i="71"/>
  <c r="H2225" i="71" s="1"/>
  <c r="H2224" i="71"/>
  <c r="E2223" i="71"/>
  <c r="H2223" i="71" s="1"/>
  <c r="H2222" i="71"/>
  <c r="E2221" i="71"/>
  <c r="H2221" i="71" s="1"/>
  <c r="H2220" i="71"/>
  <c r="E2219" i="71"/>
  <c r="H2219" i="71" s="1"/>
  <c r="H2218" i="71"/>
  <c r="E2217" i="71"/>
  <c r="H2217" i="71" s="1"/>
  <c r="H2216" i="71"/>
  <c r="F2214" i="71"/>
  <c r="E2215" i="71" s="1"/>
  <c r="H2215" i="71" s="1"/>
  <c r="E2213" i="71"/>
  <c r="H2213" i="71" s="1"/>
  <c r="H2212" i="71"/>
  <c r="E2210" i="71"/>
  <c r="H2210" i="71" s="1"/>
  <c r="H2209" i="71"/>
  <c r="F2207" i="71"/>
  <c r="E2208" i="71" s="1"/>
  <c r="H2208" i="71" s="1"/>
  <c r="F2205" i="71"/>
  <c r="E2206" i="71" s="1"/>
  <c r="H2206" i="71" s="1"/>
  <c r="E2204" i="71"/>
  <c r="H2204" i="71" s="1"/>
  <c r="H2203" i="71"/>
  <c r="E2202" i="71"/>
  <c r="H2202" i="71" s="1"/>
  <c r="H2201" i="71"/>
  <c r="H2200" i="71"/>
  <c r="H2199" i="71"/>
  <c r="H2193" i="71"/>
  <c r="H2192" i="71"/>
  <c r="H2191" i="71"/>
  <c r="H2190" i="71"/>
  <c r="H2189" i="71"/>
  <c r="H2188" i="71"/>
  <c r="H2185" i="71"/>
  <c r="H2186" i="71" s="1"/>
  <c r="H2182" i="71"/>
  <c r="H2183" i="71" s="1"/>
  <c r="H2178" i="71"/>
  <c r="H2179" i="71" s="1"/>
  <c r="H2175" i="71"/>
  <c r="H2176" i="71" s="1"/>
  <c r="H2171" i="71"/>
  <c r="H2172" i="71" s="1"/>
  <c r="H2167" i="71"/>
  <c r="H2166" i="71"/>
  <c r="H2165" i="71"/>
  <c r="H2164" i="71"/>
  <c r="H2163" i="71"/>
  <c r="H2158" i="71"/>
  <c r="H2157" i="71"/>
  <c r="H2156" i="71"/>
  <c r="H2155" i="71"/>
  <c r="H2154" i="71"/>
  <c r="H2153" i="71"/>
  <c r="H2152" i="71"/>
  <c r="H2151" i="71"/>
  <c r="H2144" i="71"/>
  <c r="H2143" i="71"/>
  <c r="H2142" i="71"/>
  <c r="H2141" i="71"/>
  <c r="H2140" i="71"/>
  <c r="H2139" i="71"/>
  <c r="H2138" i="71"/>
  <c r="H2137" i="71"/>
  <c r="H2136" i="71"/>
  <c r="H2135" i="71"/>
  <c r="H2133" i="71"/>
  <c r="H2132" i="71"/>
  <c r="H2131" i="71"/>
  <c r="H2130" i="71"/>
  <c r="H2129" i="71"/>
  <c r="H2128" i="71"/>
  <c r="H2127" i="71"/>
  <c r="H2126" i="71"/>
  <c r="H2125" i="71"/>
  <c r="H2120" i="71"/>
  <c r="H2119" i="71"/>
  <c r="H2118" i="71"/>
  <c r="H2117" i="71"/>
  <c r="H2116" i="71"/>
  <c r="H2115" i="71"/>
  <c r="H2114" i="71"/>
  <c r="H2113" i="71"/>
  <c r="H2110" i="71"/>
  <c r="H2109" i="71"/>
  <c r="H2108" i="71"/>
  <c r="H2107" i="71"/>
  <c r="H2106" i="71"/>
  <c r="H2105" i="71"/>
  <c r="H2104" i="71"/>
  <c r="H2100" i="71"/>
  <c r="H2101" i="71" s="1"/>
  <c r="E925" i="55" s="1"/>
  <c r="H2097" i="71"/>
  <c r="H2096" i="71"/>
  <c r="H2095" i="71"/>
  <c r="H2094" i="71"/>
  <c r="H2093" i="71"/>
  <c r="H2092" i="71"/>
  <c r="H2086" i="71"/>
  <c r="H2085" i="71"/>
  <c r="H2084" i="71"/>
  <c r="H2083" i="71"/>
  <c r="H2082" i="71"/>
  <c r="H2081" i="71"/>
  <c r="H2080" i="71"/>
  <c r="H2079" i="71"/>
  <c r="H2078" i="71"/>
  <c r="H2077" i="71"/>
  <c r="H2076" i="71"/>
  <c r="H2073" i="71"/>
  <c r="H2072" i="71"/>
  <c r="H2071" i="71"/>
  <c r="H2070" i="71"/>
  <c r="H2069" i="71"/>
  <c r="H2068" i="71"/>
  <c r="H2067" i="71"/>
  <c r="H2066" i="71"/>
  <c r="H2065" i="71"/>
  <c r="H2064" i="71"/>
  <c r="H2063" i="71"/>
  <c r="H2062" i="71"/>
  <c r="H2060" i="71"/>
  <c r="E873" i="55" s="1"/>
  <c r="H2057" i="71"/>
  <c r="H2056" i="71"/>
  <c r="H2055" i="71"/>
  <c r="H2054" i="71"/>
  <c r="H2053" i="71"/>
  <c r="H2052" i="71"/>
  <c r="H2051" i="71"/>
  <c r="H2050" i="71"/>
  <c r="H2049" i="71"/>
  <c r="H2048" i="71"/>
  <c r="H2045" i="71"/>
  <c r="H2044" i="71"/>
  <c r="H2043" i="71"/>
  <c r="H2040" i="71"/>
  <c r="H2039" i="71"/>
  <c r="H2038" i="71"/>
  <c r="H2037" i="71"/>
  <c r="H2036" i="71"/>
  <c r="H2035" i="71"/>
  <c r="H2034" i="71"/>
  <c r="H2033" i="71"/>
  <c r="H2032" i="71"/>
  <c r="H2031" i="71"/>
  <c r="H2029" i="71"/>
  <c r="H2028" i="71"/>
  <c r="H2027" i="71"/>
  <c r="H2026" i="71"/>
  <c r="H2025" i="71"/>
  <c r="H2024" i="71"/>
  <c r="H2023" i="71"/>
  <c r="H2022" i="71"/>
  <c r="H2021" i="71"/>
  <c r="H2016" i="71"/>
  <c r="H2015" i="71"/>
  <c r="H2014" i="71"/>
  <c r="H2013" i="71"/>
  <c r="H2012" i="71"/>
  <c r="H2011" i="71"/>
  <c r="H2010" i="71"/>
  <c r="H2009" i="71"/>
  <c r="H2008" i="71"/>
  <c r="H2007" i="71"/>
  <c r="H2005" i="71"/>
  <c r="H2004" i="71"/>
  <c r="H2003" i="71"/>
  <c r="H2002" i="71"/>
  <c r="H2001" i="71"/>
  <c r="H2000" i="71"/>
  <c r="H1999" i="71"/>
  <c r="H1998" i="71"/>
  <c r="H1995" i="71"/>
  <c r="H1994" i="71"/>
  <c r="H1993" i="71"/>
  <c r="H1992" i="71"/>
  <c r="H1991" i="71"/>
  <c r="H1990" i="71"/>
  <c r="H1989" i="71"/>
  <c r="H1984" i="71"/>
  <c r="H1980" i="71"/>
  <c r="H1979" i="71"/>
  <c r="E1978" i="71"/>
  <c r="H1978" i="71" s="1"/>
  <c r="H1973" i="71"/>
  <c r="H1972" i="71"/>
  <c r="H1971" i="71"/>
  <c r="H1967" i="71"/>
  <c r="E866" i="55" s="1"/>
  <c r="H1965" i="71"/>
  <c r="E865" i="55" s="1"/>
  <c r="H1962" i="71"/>
  <c r="H1961" i="71"/>
  <c r="H1956" i="71"/>
  <c r="H1955" i="71"/>
  <c r="H1954" i="71"/>
  <c r="H1952" i="71"/>
  <c r="H1949" i="71"/>
  <c r="H1948" i="71"/>
  <c r="H1944" i="71"/>
  <c r="H1943" i="71"/>
  <c r="H1942" i="71"/>
  <c r="H1941" i="71"/>
  <c r="H1940" i="71"/>
  <c r="H1939" i="71"/>
  <c r="H1935" i="71"/>
  <c r="H1934" i="71"/>
  <c r="E1933" i="71"/>
  <c r="H1933" i="71" s="1"/>
  <c r="H1931" i="71"/>
  <c r="H1929" i="71"/>
  <c r="E1920" i="71"/>
  <c r="H1920" i="71" s="1"/>
  <c r="H1919" i="71"/>
  <c r="E1918" i="71"/>
  <c r="H1918" i="71" s="1"/>
  <c r="H1917" i="71"/>
  <c r="E1916" i="71"/>
  <c r="H1916" i="71" s="1"/>
  <c r="H1915" i="71"/>
  <c r="E1914" i="71"/>
  <c r="H1914" i="71" s="1"/>
  <c r="H1913" i="71"/>
  <c r="E1908" i="71"/>
  <c r="H1908" i="71" s="1"/>
  <c r="H1907" i="71"/>
  <c r="E1906" i="71"/>
  <c r="H1906" i="71" s="1"/>
  <c r="H1905" i="71"/>
  <c r="E1904" i="71"/>
  <c r="H1904" i="71" s="1"/>
  <c r="H1903" i="71"/>
  <c r="H1899" i="71"/>
  <c r="H1898" i="71"/>
  <c r="H1897" i="71"/>
  <c r="H1896" i="71"/>
  <c r="H1895" i="71"/>
  <c r="H1894" i="71"/>
  <c r="H1893" i="71"/>
  <c r="H1892" i="71"/>
  <c r="H1890" i="71"/>
  <c r="H1889" i="71"/>
  <c r="H1888" i="71"/>
  <c r="H1887" i="71"/>
  <c r="E1882" i="71"/>
  <c r="H1882" i="71" s="1"/>
  <c r="H1881" i="71"/>
  <c r="H1880" i="71"/>
  <c r="E1879" i="71"/>
  <c r="H1879" i="71" s="1"/>
  <c r="H1878" i="71"/>
  <c r="H1877" i="71"/>
  <c r="E1876" i="71"/>
  <c r="H1876" i="71" s="1"/>
  <c r="E1875" i="71"/>
  <c r="H1875" i="71" s="1"/>
  <c r="H1874" i="71"/>
  <c r="H1873" i="71"/>
  <c r="E1872" i="71"/>
  <c r="H1872" i="71" s="1"/>
  <c r="H1871" i="71"/>
  <c r="H1870" i="71"/>
  <c r="E1869" i="71"/>
  <c r="H1869" i="71" s="1"/>
  <c r="H1867" i="71"/>
  <c r="H1866" i="71"/>
  <c r="E1865" i="71"/>
  <c r="H1865" i="71" s="1"/>
  <c r="E1864" i="71"/>
  <c r="H1864" i="71" s="1"/>
  <c r="H1863" i="71"/>
  <c r="H1862" i="71"/>
  <c r="E1861" i="71"/>
  <c r="H1861" i="71" s="1"/>
  <c r="H1856" i="71"/>
  <c r="H1854" i="71"/>
  <c r="H1853" i="71"/>
  <c r="H1848" i="71"/>
  <c r="H1847" i="71"/>
  <c r="H1846" i="71"/>
  <c r="H1844" i="71"/>
  <c r="H1843" i="71"/>
  <c r="H1842" i="71"/>
  <c r="H1841" i="71"/>
  <c r="H1840" i="71"/>
  <c r="H1839" i="71"/>
  <c r="H1838" i="71"/>
  <c r="H1837" i="71"/>
  <c r="H1836" i="71"/>
  <c r="H1835" i="71"/>
  <c r="H1833" i="71"/>
  <c r="H1832" i="71"/>
  <c r="H1831" i="71"/>
  <c r="H1830" i="71"/>
  <c r="H1825" i="71"/>
  <c r="H1826" i="71" s="1"/>
  <c r="H1827" i="71" s="1"/>
  <c r="E813" i="55" s="1"/>
  <c r="H1820" i="71"/>
  <c r="H1821" i="71" s="1"/>
  <c r="H1822" i="71" s="1"/>
  <c r="E811" i="55" s="1"/>
  <c r="H1814" i="71"/>
  <c r="H1813" i="71"/>
  <c r="H1811" i="71"/>
  <c r="H1810" i="71"/>
  <c r="H1809" i="71"/>
  <c r="H1808" i="71"/>
  <c r="H1807" i="71"/>
  <c r="H1806" i="71"/>
  <c r="H1805" i="71"/>
  <c r="H1804" i="71"/>
  <c r="H1803" i="71"/>
  <c r="H1802" i="71"/>
  <c r="H1801" i="71"/>
  <c r="H1796" i="71"/>
  <c r="H1795" i="71"/>
  <c r="H1794" i="71"/>
  <c r="H1790" i="71"/>
  <c r="H1789" i="71"/>
  <c r="H1788" i="71"/>
  <c r="H1787" i="71"/>
  <c r="H1786" i="71"/>
  <c r="H1784" i="71"/>
  <c r="H1782" i="71"/>
  <c r="H1781" i="71"/>
  <c r="H1780" i="71"/>
  <c r="H1779" i="71"/>
  <c r="H1777" i="71"/>
  <c r="H1776" i="71"/>
  <c r="E1775" i="71"/>
  <c r="H1775" i="71" s="1"/>
  <c r="H1774" i="71"/>
  <c r="H1773" i="71"/>
  <c r="E1772" i="71"/>
  <c r="H1772" i="71" s="1"/>
  <c r="H1771" i="71"/>
  <c r="E1770" i="71"/>
  <c r="H1770" i="71" s="1"/>
  <c r="E1769" i="71"/>
  <c r="H1769" i="71" s="1"/>
  <c r="E1767" i="71"/>
  <c r="H1767" i="71" s="1"/>
  <c r="E1766" i="71"/>
  <c r="H1766" i="71" s="1"/>
  <c r="E1765" i="71"/>
  <c r="H1765" i="71" s="1"/>
  <c r="E1764" i="71"/>
  <c r="H1764" i="71" s="1"/>
  <c r="E1763" i="71"/>
  <c r="H1763" i="71" s="1"/>
  <c r="E1762" i="71"/>
  <c r="H1762" i="71" s="1"/>
  <c r="H1760" i="71"/>
  <c r="H1759" i="71"/>
  <c r="H1758" i="71"/>
  <c r="H1757" i="71"/>
  <c r="E1756" i="71"/>
  <c r="H1756" i="71" s="1"/>
  <c r="E1755" i="71"/>
  <c r="H1755" i="71" s="1"/>
  <c r="E1754" i="71"/>
  <c r="H1754" i="71" s="1"/>
  <c r="G1752" i="71"/>
  <c r="E1752" i="71"/>
  <c r="G1751" i="71"/>
  <c r="E1751" i="71"/>
  <c r="G1750" i="71"/>
  <c r="E1750" i="71"/>
  <c r="G1749" i="71"/>
  <c r="E1749" i="71"/>
  <c r="G1748" i="71"/>
  <c r="E1748" i="71"/>
  <c r="G1747" i="71"/>
  <c r="E1747" i="71"/>
  <c r="E1745" i="71"/>
  <c r="H1745" i="71" s="1"/>
  <c r="E1744" i="71"/>
  <c r="H1744" i="71" s="1"/>
  <c r="E1743" i="71"/>
  <c r="H1743" i="71" s="1"/>
  <c r="E1742" i="71"/>
  <c r="H1742" i="71" s="1"/>
  <c r="E1741" i="71"/>
  <c r="H1741" i="71" s="1"/>
  <c r="E1740" i="71"/>
  <c r="H1740" i="71" s="1"/>
  <c r="E1738" i="71"/>
  <c r="H1738" i="71" s="1"/>
  <c r="E1737" i="71"/>
  <c r="H1737" i="71" s="1"/>
  <c r="E1736" i="71"/>
  <c r="H1736" i="71" s="1"/>
  <c r="E1735" i="71"/>
  <c r="H1735" i="71" s="1"/>
  <c r="E1734" i="71"/>
  <c r="H1734" i="71" s="1"/>
  <c r="E1733" i="71"/>
  <c r="H1733" i="71" s="1"/>
  <c r="E1728" i="71"/>
  <c r="H1728" i="71" s="1"/>
  <c r="E1727" i="71"/>
  <c r="H1727" i="71" s="1"/>
  <c r="E1726" i="71"/>
  <c r="H1726" i="71" s="1"/>
  <c r="E1725" i="71"/>
  <c r="H1725" i="71" s="1"/>
  <c r="E1723" i="71"/>
  <c r="H1723" i="71" s="1"/>
  <c r="E1722" i="71"/>
  <c r="H1722" i="71" s="1"/>
  <c r="E1721" i="71"/>
  <c r="H1721" i="71" s="1"/>
  <c r="E1720" i="71"/>
  <c r="H1720" i="71" s="1"/>
  <c r="H1718" i="71"/>
  <c r="H1717" i="71"/>
  <c r="H1716" i="71"/>
  <c r="H1714" i="71"/>
  <c r="E1713" i="71"/>
  <c r="H1713" i="71" s="1"/>
  <c r="H1712" i="71"/>
  <c r="H1711" i="71"/>
  <c r="H1710" i="71"/>
  <c r="H1709" i="71"/>
  <c r="H1708" i="71"/>
  <c r="H1707" i="71"/>
  <c r="H1706" i="71"/>
  <c r="H1704" i="71"/>
  <c r="H1703" i="71"/>
  <c r="H1702" i="71"/>
  <c r="H1701" i="71"/>
  <c r="H1700" i="71"/>
  <c r="H1699" i="71"/>
  <c r="H1698" i="71"/>
  <c r="E1697" i="71"/>
  <c r="H1697" i="71" s="1"/>
  <c r="E1696" i="71"/>
  <c r="H1696" i="71" s="1"/>
  <c r="H1695" i="71"/>
  <c r="H1694" i="71"/>
  <c r="H1693" i="71"/>
  <c r="H1692" i="71"/>
  <c r="H1691" i="71"/>
  <c r="E1690" i="71"/>
  <c r="H1690" i="71" s="1"/>
  <c r="E1689" i="71"/>
  <c r="H1689" i="71" s="1"/>
  <c r="E1688" i="71"/>
  <c r="H1688" i="71" s="1"/>
  <c r="E1687" i="71"/>
  <c r="H1687" i="71" s="1"/>
  <c r="H1686" i="71"/>
  <c r="E1685" i="71"/>
  <c r="H1685" i="71" s="1"/>
  <c r="E1684" i="71"/>
  <c r="H1684" i="71" s="1"/>
  <c r="E1683" i="71"/>
  <c r="H1683" i="71" s="1"/>
  <c r="E1682" i="71"/>
  <c r="H1682" i="71" s="1"/>
  <c r="E1680" i="71"/>
  <c r="H1680" i="71" s="1"/>
  <c r="E1679" i="71"/>
  <c r="H1679" i="71" s="1"/>
  <c r="E1678" i="71"/>
  <c r="H1678" i="71" s="1"/>
  <c r="E1677" i="71"/>
  <c r="H1677" i="71" s="1"/>
  <c r="H1676" i="71"/>
  <c r="E1675" i="71"/>
  <c r="H1675" i="71" s="1"/>
  <c r="E1674" i="71"/>
  <c r="H1674" i="71" s="1"/>
  <c r="E1673" i="71"/>
  <c r="H1673" i="71" s="1"/>
  <c r="E1672" i="71"/>
  <c r="H1672" i="71" s="1"/>
  <c r="H1670" i="71"/>
  <c r="H1669" i="71"/>
  <c r="H1668" i="71"/>
  <c r="H1667" i="71"/>
  <c r="H1666" i="71"/>
  <c r="H1665" i="71"/>
  <c r="H1664" i="71"/>
  <c r="H1663" i="71"/>
  <c r="H1662" i="71"/>
  <c r="H1661" i="71"/>
  <c r="H1660" i="71"/>
  <c r="H1659" i="71"/>
  <c r="H1658" i="71"/>
  <c r="H1657" i="71"/>
  <c r="H1656" i="71"/>
  <c r="H1655" i="71"/>
  <c r="H1654" i="71"/>
  <c r="H1653" i="71"/>
  <c r="H1652" i="71"/>
  <c r="H1651" i="71"/>
  <c r="H1650" i="71"/>
  <c r="H1649" i="71"/>
  <c r="H1648" i="71"/>
  <c r="H1647" i="71"/>
  <c r="H1646" i="71"/>
  <c r="H1645" i="71"/>
  <c r="H1643" i="71"/>
  <c r="H1642" i="71"/>
  <c r="H1641" i="71"/>
  <c r="H1640" i="71"/>
  <c r="F1639" i="71"/>
  <c r="H1639" i="71" s="1"/>
  <c r="H1638" i="71"/>
  <c r="H1637" i="71"/>
  <c r="H1636" i="71"/>
  <c r="E1634" i="71"/>
  <c r="H1634" i="71" s="1"/>
  <c r="H1633" i="71"/>
  <c r="E1632" i="71"/>
  <c r="H1632" i="71" s="1"/>
  <c r="H1631" i="71"/>
  <c r="H1629" i="71"/>
  <c r="H1628" i="71"/>
  <c r="H1627" i="71"/>
  <c r="H1626" i="71"/>
  <c r="H1625" i="71"/>
  <c r="H1624" i="71"/>
  <c r="E1623" i="71"/>
  <c r="H1623" i="71" s="1"/>
  <c r="E1622" i="71"/>
  <c r="H1622" i="71" s="1"/>
  <c r="E1621" i="71"/>
  <c r="H1621" i="71" s="1"/>
  <c r="E1620" i="71"/>
  <c r="H1620" i="71" s="1"/>
  <c r="E1619" i="71"/>
  <c r="H1619" i="71" s="1"/>
  <c r="E1618" i="71"/>
  <c r="H1618" i="71" s="1"/>
  <c r="H1617" i="71"/>
  <c r="E1616" i="71"/>
  <c r="H1616" i="71" s="1"/>
  <c r="E1615" i="71"/>
  <c r="H1615" i="71" s="1"/>
  <c r="E1614" i="71"/>
  <c r="H1614" i="71" s="1"/>
  <c r="E1613" i="71"/>
  <c r="H1613" i="71" s="1"/>
  <c r="E1612" i="71"/>
  <c r="H1612" i="71" s="1"/>
  <c r="E1611" i="71"/>
  <c r="H1611" i="71" s="1"/>
  <c r="E1610" i="71"/>
  <c r="H1610" i="71" s="1"/>
  <c r="E1608" i="71"/>
  <c r="H1608" i="71" s="1"/>
  <c r="E1607" i="71"/>
  <c r="H1607" i="71" s="1"/>
  <c r="E1606" i="71"/>
  <c r="H1606" i="71" s="1"/>
  <c r="E1605" i="71"/>
  <c r="H1605" i="71" s="1"/>
  <c r="E1604" i="71"/>
  <c r="H1604" i="71" s="1"/>
  <c r="E1603" i="71"/>
  <c r="H1603" i="71" s="1"/>
  <c r="E1602" i="71"/>
  <c r="H1602" i="71" s="1"/>
  <c r="H1600" i="71"/>
  <c r="H1599" i="71"/>
  <c r="H1598" i="71"/>
  <c r="H1597" i="71"/>
  <c r="H1596" i="71"/>
  <c r="H1595" i="71"/>
  <c r="H1594" i="71"/>
  <c r="H1593" i="71"/>
  <c r="H1592" i="71"/>
  <c r="H1591" i="71"/>
  <c r="H1590" i="71"/>
  <c r="H1589" i="71"/>
  <c r="H1588" i="71"/>
  <c r="H1587" i="71"/>
  <c r="H1586" i="71"/>
  <c r="H1585" i="71"/>
  <c r="H1584" i="71"/>
  <c r="H1583" i="71"/>
  <c r="H1582" i="71"/>
  <c r="H1581" i="71"/>
  <c r="H1580" i="71"/>
  <c r="H1579" i="71"/>
  <c r="H1578" i="71"/>
  <c r="H1577" i="71"/>
  <c r="H1576" i="71"/>
  <c r="H1575" i="71"/>
  <c r="H1574" i="71"/>
  <c r="H1573" i="71"/>
  <c r="H1572" i="71"/>
  <c r="H1571" i="71"/>
  <c r="H1570" i="71"/>
  <c r="H1569" i="71"/>
  <c r="H1568" i="71"/>
  <c r="H1567" i="71"/>
  <c r="H1566" i="71"/>
  <c r="H1565" i="71"/>
  <c r="H1564" i="71"/>
  <c r="H1563" i="71"/>
  <c r="H1562" i="71"/>
  <c r="H1561" i="71"/>
  <c r="H1560" i="71"/>
  <c r="H1559" i="71"/>
  <c r="H1558" i="71"/>
  <c r="H1557" i="71"/>
  <c r="H1555" i="71"/>
  <c r="H1554" i="71"/>
  <c r="H1553" i="71"/>
  <c r="H1552" i="71"/>
  <c r="F1551" i="71"/>
  <c r="H1551" i="71" s="1"/>
  <c r="H1550" i="71"/>
  <c r="H1549" i="71"/>
  <c r="H1548" i="71"/>
  <c r="E1543" i="71"/>
  <c r="H1543" i="71" s="1"/>
  <c r="H1542" i="71"/>
  <c r="H1541" i="71"/>
  <c r="E1540" i="71"/>
  <c r="H1540" i="71" s="1"/>
  <c r="E1539" i="71"/>
  <c r="H1539" i="71" s="1"/>
  <c r="E1538" i="71"/>
  <c r="H1538" i="71" s="1"/>
  <c r="E1537" i="71"/>
  <c r="H1537" i="71" s="1"/>
  <c r="E1536" i="71"/>
  <c r="H1536" i="71" s="1"/>
  <c r="H1535" i="71"/>
  <c r="E1534" i="71"/>
  <c r="H1534" i="71" s="1"/>
  <c r="E1533" i="71"/>
  <c r="H1533" i="71" s="1"/>
  <c r="H1531" i="71"/>
  <c r="E1530" i="71"/>
  <c r="H1530" i="71" s="1"/>
  <c r="E1529" i="71"/>
  <c r="H1529" i="71" s="1"/>
  <c r="E1528" i="71"/>
  <c r="H1528" i="71" s="1"/>
  <c r="E1527" i="71"/>
  <c r="H1527" i="71" s="1"/>
  <c r="E1526" i="71"/>
  <c r="H1526" i="71" s="1"/>
  <c r="E1525" i="71"/>
  <c r="H1525" i="71" s="1"/>
  <c r="E1524" i="71"/>
  <c r="H1524" i="71" s="1"/>
  <c r="E1522" i="71"/>
  <c r="H1522" i="71" s="1"/>
  <c r="E1521" i="71"/>
  <c r="H1521" i="71" s="1"/>
  <c r="H1520" i="71"/>
  <c r="H1519" i="71"/>
  <c r="E1518" i="71"/>
  <c r="H1518" i="71" s="1"/>
  <c r="E1517" i="71"/>
  <c r="H1517" i="71" s="1"/>
  <c r="E1516" i="71"/>
  <c r="H1516" i="71" s="1"/>
  <c r="E1515" i="71"/>
  <c r="H1515" i="71" s="1"/>
  <c r="E1514" i="71"/>
  <c r="H1514" i="71" s="1"/>
  <c r="H1513" i="71"/>
  <c r="E1512" i="71"/>
  <c r="H1512" i="71" s="1"/>
  <c r="E1511" i="71"/>
  <c r="H1511" i="71" s="1"/>
  <c r="H1509" i="71"/>
  <c r="E1508" i="71"/>
  <c r="H1508" i="71" s="1"/>
  <c r="E1507" i="71"/>
  <c r="H1507" i="71" s="1"/>
  <c r="E1506" i="71"/>
  <c r="H1506" i="71" s="1"/>
  <c r="E1505" i="71"/>
  <c r="H1505" i="71" s="1"/>
  <c r="E1504" i="71"/>
  <c r="H1504" i="71" s="1"/>
  <c r="E1503" i="71"/>
  <c r="H1503" i="71" s="1"/>
  <c r="E1502" i="71"/>
  <c r="H1502" i="71" s="1"/>
  <c r="E1500" i="71"/>
  <c r="H1500" i="71" s="1"/>
  <c r="E1499" i="71"/>
  <c r="H1499" i="71" s="1"/>
  <c r="E1498" i="71"/>
  <c r="H1498" i="71" s="1"/>
  <c r="E1497" i="71"/>
  <c r="H1497" i="71" s="1"/>
  <c r="E1496" i="71"/>
  <c r="H1496" i="71" s="1"/>
  <c r="E1495" i="71"/>
  <c r="H1495" i="71" s="1"/>
  <c r="H1490" i="71"/>
  <c r="H1489" i="71"/>
  <c r="H1488" i="71"/>
  <c r="E1486" i="71"/>
  <c r="H1486" i="71" s="1"/>
  <c r="E1485" i="71"/>
  <c r="H1485" i="71" s="1"/>
  <c r="E1484" i="71"/>
  <c r="H1484" i="71" s="1"/>
  <c r="E1483" i="71"/>
  <c r="H1483" i="71" s="1"/>
  <c r="E1481" i="71"/>
  <c r="H1481" i="71" s="1"/>
  <c r="E1480" i="71"/>
  <c r="H1480" i="71" s="1"/>
  <c r="E1479" i="71"/>
  <c r="H1479" i="71" s="1"/>
  <c r="E1478" i="71"/>
  <c r="H1478" i="71" s="1"/>
  <c r="H1476" i="71"/>
  <c r="H1475" i="71"/>
  <c r="H1474" i="71"/>
  <c r="G1473" i="71"/>
  <c r="H1473" i="71" s="1"/>
  <c r="H1471" i="71"/>
  <c r="H1470" i="71"/>
  <c r="H1469" i="71"/>
  <c r="H1468" i="71"/>
  <c r="H1463" i="71"/>
  <c r="E1462" i="71"/>
  <c r="H1462" i="71" s="1"/>
  <c r="H1461" i="71"/>
  <c r="H1460" i="71"/>
  <c r="H1459" i="71"/>
  <c r="H1458" i="71"/>
  <c r="H1457" i="71"/>
  <c r="H1456" i="71"/>
  <c r="H1455" i="71"/>
  <c r="E1453" i="71"/>
  <c r="H1453" i="71" s="1"/>
  <c r="H1452" i="71"/>
  <c r="H1451" i="71"/>
  <c r="E1450" i="71"/>
  <c r="H1450" i="71" s="1"/>
  <c r="H1449" i="71"/>
  <c r="E1448" i="71"/>
  <c r="H1448" i="71" s="1"/>
  <c r="E1447" i="71"/>
  <c r="H1447" i="71" s="1"/>
  <c r="H1445" i="71"/>
  <c r="H1444" i="71"/>
  <c r="H1443" i="71"/>
  <c r="H1442" i="71"/>
  <c r="H1441" i="71"/>
  <c r="H1440" i="71"/>
  <c r="H1439" i="71"/>
  <c r="E1438" i="71"/>
  <c r="H1438" i="71" s="1"/>
  <c r="E1437" i="71"/>
  <c r="H1437" i="71" s="1"/>
  <c r="H1436" i="71"/>
  <c r="H1435" i="71"/>
  <c r="H1434" i="71"/>
  <c r="H1433" i="71"/>
  <c r="H1432" i="71"/>
  <c r="E1431" i="71"/>
  <c r="H1431" i="71" s="1"/>
  <c r="E1430" i="71"/>
  <c r="H1430" i="71" s="1"/>
  <c r="E1429" i="71"/>
  <c r="H1429" i="71" s="1"/>
  <c r="E1428" i="71"/>
  <c r="H1428" i="71" s="1"/>
  <c r="H1427" i="71"/>
  <c r="E1426" i="71"/>
  <c r="H1426" i="71" s="1"/>
  <c r="E1425" i="71"/>
  <c r="H1425" i="71" s="1"/>
  <c r="E1424" i="71"/>
  <c r="H1424" i="71" s="1"/>
  <c r="E1423" i="71"/>
  <c r="H1423" i="71" s="1"/>
  <c r="E1421" i="71"/>
  <c r="H1421" i="71" s="1"/>
  <c r="E1420" i="71"/>
  <c r="H1420" i="71" s="1"/>
  <c r="E1419" i="71"/>
  <c r="H1419" i="71" s="1"/>
  <c r="E1418" i="71"/>
  <c r="H1418" i="71" s="1"/>
  <c r="H1417" i="71"/>
  <c r="E1416" i="71"/>
  <c r="H1416" i="71" s="1"/>
  <c r="E1415" i="71"/>
  <c r="H1415" i="71" s="1"/>
  <c r="E1414" i="71"/>
  <c r="H1414" i="71" s="1"/>
  <c r="E1413" i="71"/>
  <c r="H1413" i="71" s="1"/>
  <c r="H1411" i="71"/>
  <c r="H1410" i="71"/>
  <c r="H1409" i="71"/>
  <c r="H1408" i="71"/>
  <c r="H1407" i="71"/>
  <c r="H1406" i="71"/>
  <c r="H1405" i="71"/>
  <c r="H1404" i="71"/>
  <c r="H1403" i="71"/>
  <c r="H1402" i="71"/>
  <c r="H1401" i="71"/>
  <c r="H1400" i="71"/>
  <c r="H1399" i="71"/>
  <c r="H1397" i="71"/>
  <c r="H1396" i="71"/>
  <c r="H1395" i="71"/>
  <c r="H1394" i="71"/>
  <c r="H1393" i="71"/>
  <c r="H1392" i="71"/>
  <c r="H1391" i="71"/>
  <c r="H1390" i="71"/>
  <c r="H1389" i="71"/>
  <c r="H1388" i="71"/>
  <c r="H1387" i="71"/>
  <c r="H1386" i="71"/>
  <c r="H1385" i="71"/>
  <c r="H1384" i="71"/>
  <c r="H1383" i="71"/>
  <c r="H1381" i="71"/>
  <c r="H1380" i="71"/>
  <c r="F1379" i="71"/>
  <c r="H1379" i="71" s="1"/>
  <c r="H1378" i="71"/>
  <c r="H1377" i="71"/>
  <c r="G1376" i="71"/>
  <c r="H1376" i="71" s="1"/>
  <c r="G1375" i="71"/>
  <c r="H1375" i="71" s="1"/>
  <c r="G1374" i="71"/>
  <c r="H1374" i="71" s="1"/>
  <c r="G1373" i="71"/>
  <c r="H1373" i="71" s="1"/>
  <c r="G1372" i="71"/>
  <c r="H1372" i="71" s="1"/>
  <c r="E1367" i="71"/>
  <c r="H1367" i="71" s="1"/>
  <c r="H1366" i="71"/>
  <c r="E1365" i="71"/>
  <c r="H1365" i="71" s="1"/>
  <c r="H1364" i="71"/>
  <c r="H1362" i="71"/>
  <c r="H1361" i="71"/>
  <c r="E1360" i="71"/>
  <c r="H1360" i="71" s="1"/>
  <c r="E1359" i="71"/>
  <c r="H1359" i="71" s="1"/>
  <c r="E1358" i="71"/>
  <c r="H1358" i="71" s="1"/>
  <c r="H1356" i="71"/>
  <c r="H1355" i="71"/>
  <c r="H1354" i="71"/>
  <c r="H1353" i="71"/>
  <c r="H1352" i="71"/>
  <c r="H1351" i="71"/>
  <c r="E1350" i="71"/>
  <c r="H1350" i="71" s="1"/>
  <c r="E1349" i="71"/>
  <c r="H1349" i="71" s="1"/>
  <c r="E1348" i="71"/>
  <c r="H1348" i="71" s="1"/>
  <c r="E1347" i="71"/>
  <c r="H1347" i="71" s="1"/>
  <c r="E1346" i="71"/>
  <c r="H1346" i="71" s="1"/>
  <c r="E1345" i="71"/>
  <c r="H1345" i="71" s="1"/>
  <c r="H1344" i="71"/>
  <c r="E1343" i="71"/>
  <c r="H1343" i="71" s="1"/>
  <c r="E1342" i="71"/>
  <c r="H1342" i="71" s="1"/>
  <c r="E1341" i="71"/>
  <c r="H1341" i="71" s="1"/>
  <c r="E1340" i="71"/>
  <c r="H1340" i="71" s="1"/>
  <c r="E1339" i="71"/>
  <c r="H1339" i="71" s="1"/>
  <c r="E1338" i="71"/>
  <c r="H1338" i="71" s="1"/>
  <c r="E1337" i="71"/>
  <c r="H1337" i="71" s="1"/>
  <c r="E1335" i="71"/>
  <c r="H1335" i="71" s="1"/>
  <c r="E1334" i="71"/>
  <c r="H1334" i="71" s="1"/>
  <c r="E1333" i="71"/>
  <c r="H1333" i="71" s="1"/>
  <c r="E1332" i="71"/>
  <c r="H1332" i="71" s="1"/>
  <c r="E1331" i="71"/>
  <c r="H1331" i="71" s="1"/>
  <c r="E1330" i="71"/>
  <c r="H1330" i="71" s="1"/>
  <c r="E1329" i="71"/>
  <c r="H1329" i="71" s="1"/>
  <c r="H1327" i="71"/>
  <c r="H1326" i="71"/>
  <c r="H1325" i="71"/>
  <c r="H1324" i="71"/>
  <c r="H1323" i="71"/>
  <c r="H1322" i="71"/>
  <c r="H1321" i="71"/>
  <c r="H1320" i="71"/>
  <c r="H1319" i="71"/>
  <c r="H1318" i="71"/>
  <c r="H1317" i="71"/>
  <c r="H1316" i="71"/>
  <c r="H1315" i="71"/>
  <c r="H1314" i="71"/>
  <c r="H1313" i="71"/>
  <c r="H1311" i="71"/>
  <c r="H1310" i="71"/>
  <c r="H1309" i="71"/>
  <c r="H1308" i="71"/>
  <c r="H1307" i="71"/>
  <c r="H1306" i="71"/>
  <c r="H1305" i="71"/>
  <c r="H1304" i="71"/>
  <c r="H1303" i="71"/>
  <c r="H1302" i="71"/>
  <c r="H1301" i="71"/>
  <c r="H1300" i="71"/>
  <c r="H1299" i="71"/>
  <c r="H1298" i="71"/>
  <c r="H1297" i="71"/>
  <c r="H1296" i="71"/>
  <c r="H1295" i="71"/>
  <c r="H1294" i="71"/>
  <c r="H1293" i="71"/>
  <c r="H1292" i="71"/>
  <c r="H1291" i="71"/>
  <c r="H1290" i="71"/>
  <c r="H1288" i="71"/>
  <c r="H1287" i="71"/>
  <c r="F1286" i="71"/>
  <c r="H1286" i="71" s="1"/>
  <c r="H1285" i="71"/>
  <c r="H1284" i="71"/>
  <c r="E1283" i="71"/>
  <c r="H1283" i="71" s="1"/>
  <c r="G1282" i="71"/>
  <c r="H1282" i="71" s="1"/>
  <c r="G1281" i="71"/>
  <c r="H1281" i="71" s="1"/>
  <c r="G1280" i="71"/>
  <c r="H1280" i="71" s="1"/>
  <c r="G1279" i="71"/>
  <c r="H1279" i="71" s="1"/>
  <c r="G1278" i="71"/>
  <c r="H1278" i="71" s="1"/>
  <c r="G1277" i="71"/>
  <c r="H1277" i="71" s="1"/>
  <c r="E1256" i="71"/>
  <c r="H1256" i="71" s="1"/>
  <c r="H1255" i="71"/>
  <c r="H1254" i="71"/>
  <c r="E1253" i="71"/>
  <c r="H1253" i="71" s="1"/>
  <c r="E1252" i="71"/>
  <c r="H1252" i="71" s="1"/>
  <c r="E1251" i="71"/>
  <c r="H1251" i="71" s="1"/>
  <c r="E1250" i="71"/>
  <c r="H1250" i="71" s="1"/>
  <c r="E1249" i="71"/>
  <c r="H1249" i="71" s="1"/>
  <c r="H1248" i="71"/>
  <c r="E1247" i="71"/>
  <c r="H1247" i="71" s="1"/>
  <c r="E1246" i="71"/>
  <c r="H1246" i="71" s="1"/>
  <c r="H1244" i="71"/>
  <c r="E1243" i="71"/>
  <c r="H1243" i="71" s="1"/>
  <c r="E1242" i="71"/>
  <c r="H1242" i="71" s="1"/>
  <c r="E1241" i="71"/>
  <c r="H1241" i="71" s="1"/>
  <c r="E1240" i="71"/>
  <c r="H1240" i="71" s="1"/>
  <c r="E1239" i="71"/>
  <c r="H1239" i="71" s="1"/>
  <c r="E1238" i="71"/>
  <c r="H1238" i="71" s="1"/>
  <c r="E1237" i="71"/>
  <c r="H1237" i="71" s="1"/>
  <c r="H1235" i="71"/>
  <c r="H1234" i="71"/>
  <c r="H1233" i="71"/>
  <c r="H1232" i="71"/>
  <c r="H1231" i="71"/>
  <c r="H1230" i="71"/>
  <c r="E1228" i="71"/>
  <c r="H1228" i="71" s="1"/>
  <c r="H1227" i="71"/>
  <c r="H1226" i="71"/>
  <c r="E1225" i="71"/>
  <c r="H1225" i="71" s="1"/>
  <c r="E1224" i="71"/>
  <c r="H1224" i="71" s="1"/>
  <c r="E1223" i="71"/>
  <c r="H1223" i="71" s="1"/>
  <c r="E1222" i="71"/>
  <c r="H1222" i="71" s="1"/>
  <c r="E1221" i="71"/>
  <c r="H1221" i="71" s="1"/>
  <c r="H1220" i="71"/>
  <c r="E1219" i="71"/>
  <c r="H1219" i="71" s="1"/>
  <c r="E1218" i="71"/>
  <c r="H1218" i="71" s="1"/>
  <c r="H1216" i="71"/>
  <c r="E1215" i="71"/>
  <c r="H1215" i="71" s="1"/>
  <c r="E1214" i="71"/>
  <c r="H1214" i="71" s="1"/>
  <c r="E1213" i="71"/>
  <c r="H1213" i="71" s="1"/>
  <c r="E1212" i="71"/>
  <c r="H1212" i="71" s="1"/>
  <c r="E1211" i="71"/>
  <c r="H1211" i="71" s="1"/>
  <c r="E1210" i="71"/>
  <c r="H1210" i="71" s="1"/>
  <c r="E1209" i="71"/>
  <c r="H1209" i="71" s="1"/>
  <c r="H1207" i="71"/>
  <c r="H1206" i="71"/>
  <c r="H1205" i="71"/>
  <c r="H1204" i="71"/>
  <c r="H1203" i="71"/>
  <c r="H1202" i="71"/>
  <c r="H1200" i="71"/>
  <c r="H1199" i="71"/>
  <c r="H1198" i="71"/>
  <c r="H1197" i="71"/>
  <c r="H1196" i="71"/>
  <c r="H1195" i="71"/>
  <c r="H1190" i="71"/>
  <c r="H1189" i="71"/>
  <c r="H1188" i="71"/>
  <c r="H1187" i="71"/>
  <c r="H1186" i="71"/>
  <c r="H1185" i="71"/>
  <c r="H1184" i="71"/>
  <c r="H1183" i="71"/>
  <c r="H1182" i="71"/>
  <c r="H1181" i="71"/>
  <c r="H1180" i="71"/>
  <c r="H1175" i="71"/>
  <c r="H1174" i="71"/>
  <c r="H1172" i="71"/>
  <c r="E443" i="55" s="1"/>
  <c r="H1169" i="71"/>
  <c r="H1168" i="71"/>
  <c r="H1166" i="71"/>
  <c r="H1165" i="71"/>
  <c r="H1161" i="71"/>
  <c r="H1160" i="71"/>
  <c r="H1159" i="71"/>
  <c r="H1158" i="71"/>
  <c r="H1157" i="71"/>
  <c r="H1155" i="71"/>
  <c r="E437" i="55" s="1"/>
  <c r="H1152" i="71"/>
  <c r="H1151" i="71"/>
  <c r="H1150" i="71"/>
  <c r="H1149" i="71"/>
  <c r="H1148" i="71"/>
  <c r="H1147" i="71"/>
  <c r="H1146" i="71"/>
  <c r="H1145" i="71"/>
  <c r="H1144" i="71"/>
  <c r="H1141" i="71"/>
  <c r="H1140" i="71"/>
  <c r="H1139" i="71"/>
  <c r="H1138" i="71"/>
  <c r="H1137" i="71"/>
  <c r="H1136" i="71"/>
  <c r="H1135" i="71"/>
  <c r="H1134" i="71"/>
  <c r="H1133" i="71"/>
  <c r="H1132" i="71"/>
  <c r="H1129" i="71"/>
  <c r="H1128" i="71"/>
  <c r="H1127" i="71"/>
  <c r="H1126" i="71"/>
  <c r="H1125" i="71"/>
  <c r="H1124" i="71"/>
  <c r="H1123" i="71"/>
  <c r="H1119" i="71"/>
  <c r="H1118" i="71"/>
  <c r="H1115" i="71"/>
  <c r="H1114" i="71"/>
  <c r="H1113" i="71"/>
  <c r="H1112" i="71"/>
  <c r="H1109" i="71"/>
  <c r="H1108" i="71"/>
  <c r="H1105" i="71"/>
  <c r="E379" i="55" s="1"/>
  <c r="H1101" i="71"/>
  <c r="H1100" i="71"/>
  <c r="H1099" i="71"/>
  <c r="H1098" i="71"/>
  <c r="H1095" i="71"/>
  <c r="H1096" i="71" s="1"/>
  <c r="E376" i="55" s="1"/>
  <c r="H1085" i="71"/>
  <c r="H1088" i="71" s="1"/>
  <c r="E372" i="55" s="1"/>
  <c r="H1082" i="71"/>
  <c r="H1081" i="71"/>
  <c r="H1078" i="71"/>
  <c r="H1077" i="71"/>
  <c r="H1076" i="71"/>
  <c r="H1075" i="71"/>
  <c r="H1071" i="71"/>
  <c r="H1072" i="71" s="1"/>
  <c r="E366" i="55" s="1"/>
  <c r="H1068" i="71"/>
  <c r="H1069" i="71" s="1"/>
  <c r="E365" i="55" s="1"/>
  <c r="G1063" i="71"/>
  <c r="H1063" i="71" s="1"/>
  <c r="G1062" i="71"/>
  <c r="H1062" i="71" s="1"/>
  <c r="H1058" i="71"/>
  <c r="H1057" i="71"/>
  <c r="H1056" i="71"/>
  <c r="H1054" i="71"/>
  <c r="H1053" i="71"/>
  <c r="H1051" i="71"/>
  <c r="H1050" i="71"/>
  <c r="H1049" i="71"/>
  <c r="H1047" i="71"/>
  <c r="H1046" i="71"/>
  <c r="H1044" i="71"/>
  <c r="H1043" i="71"/>
  <c r="H1042" i="71"/>
  <c r="H1041" i="71"/>
  <c r="H1039" i="71"/>
  <c r="H1038" i="71"/>
  <c r="H1036" i="71"/>
  <c r="H1033" i="71"/>
  <c r="H1032" i="71"/>
  <c r="H1031" i="71"/>
  <c r="H1030" i="71"/>
  <c r="H1029" i="71"/>
  <c r="H1027" i="71"/>
  <c r="H1026" i="71"/>
  <c r="H1025" i="71"/>
  <c r="H1024" i="71"/>
  <c r="H1023" i="71"/>
  <c r="H1022" i="71"/>
  <c r="H1021" i="71"/>
  <c r="H1020" i="71"/>
  <c r="H1019" i="71"/>
  <c r="H1018" i="71"/>
  <c r="H1017" i="71"/>
  <c r="H1016" i="71"/>
  <c r="H1014" i="71"/>
  <c r="H1013" i="71"/>
  <c r="H1012" i="71"/>
  <c r="H1011" i="71"/>
  <c r="H1010" i="71"/>
  <c r="H1009" i="71"/>
  <c r="H1008" i="71"/>
  <c r="H1007" i="71"/>
  <c r="H1006" i="71"/>
  <c r="H1001" i="71"/>
  <c r="H1000" i="71"/>
  <c r="H998" i="71"/>
  <c r="H997" i="71"/>
  <c r="H988" i="71"/>
  <c r="H987" i="71"/>
  <c r="H986" i="71"/>
  <c r="H985" i="71"/>
  <c r="H983" i="71"/>
  <c r="H982" i="71"/>
  <c r="H981" i="71"/>
  <c r="H980" i="71"/>
  <c r="H979" i="71"/>
  <c r="H978" i="71"/>
  <c r="H977" i="71"/>
  <c r="H976" i="71"/>
  <c r="H975" i="71"/>
  <c r="H974" i="71"/>
  <c r="H973" i="71"/>
  <c r="H972" i="71"/>
  <c r="H970" i="71"/>
  <c r="H969" i="71"/>
  <c r="H968" i="71"/>
  <c r="H967" i="71"/>
  <c r="H966" i="71"/>
  <c r="H965" i="71"/>
  <c r="H964" i="71"/>
  <c r="H963" i="71"/>
  <c r="E958" i="71"/>
  <c r="H958" i="71" s="1"/>
  <c r="E957" i="71"/>
  <c r="H957" i="71" s="1"/>
  <c r="E956" i="71"/>
  <c r="H956" i="71" s="1"/>
  <c r="E955" i="71"/>
  <c r="H955" i="71" s="1"/>
  <c r="E954" i="71"/>
  <c r="H954" i="71" s="1"/>
  <c r="E953" i="71"/>
  <c r="H953" i="71" s="1"/>
  <c r="E952" i="71"/>
  <c r="H952" i="71" s="1"/>
  <c r="E951" i="71"/>
  <c r="H951" i="71" s="1"/>
  <c r="E950" i="71"/>
  <c r="H950" i="71" s="1"/>
  <c r="E949" i="71"/>
  <c r="H949" i="71" s="1"/>
  <c r="E948" i="71"/>
  <c r="H948" i="71" s="1"/>
  <c r="E947" i="71"/>
  <c r="H947" i="71" s="1"/>
  <c r="E946" i="71"/>
  <c r="H946" i="71" s="1"/>
  <c r="E945" i="71"/>
  <c r="H945" i="71" s="1"/>
  <c r="E939" i="71"/>
  <c r="H939" i="71" s="1"/>
  <c r="H938" i="71"/>
  <c r="E937" i="71"/>
  <c r="H937" i="71" s="1"/>
  <c r="E936" i="71"/>
  <c r="H936" i="71" s="1"/>
  <c r="E935" i="71"/>
  <c r="H931" i="71"/>
  <c r="H930" i="71"/>
  <c r="H929" i="71"/>
  <c r="H924" i="71"/>
  <c r="H923" i="71"/>
  <c r="H922" i="71"/>
  <c r="H920" i="71"/>
  <c r="H919" i="71"/>
  <c r="E918" i="71"/>
  <c r="H918" i="71" s="1"/>
  <c r="H917" i="71"/>
  <c r="H916" i="71"/>
  <c r="E915" i="71"/>
  <c r="H915" i="71" s="1"/>
  <c r="H914" i="71"/>
  <c r="E913" i="71"/>
  <c r="H913" i="71" s="1"/>
  <c r="E912" i="71"/>
  <c r="H912" i="71" s="1"/>
  <c r="H909" i="71"/>
  <c r="H908" i="71"/>
  <c r="H907" i="71"/>
  <c r="H906" i="71"/>
  <c r="E905" i="71"/>
  <c r="H905" i="71" s="1"/>
  <c r="E904" i="71"/>
  <c r="H904" i="71" s="1"/>
  <c r="E903" i="71"/>
  <c r="H903" i="71" s="1"/>
  <c r="H848" i="71"/>
  <c r="H840" i="71"/>
  <c r="H839" i="71"/>
  <c r="H838" i="71"/>
  <c r="H837" i="71"/>
  <c r="H836" i="71"/>
  <c r="H835" i="71"/>
  <c r="H834" i="71"/>
  <c r="H832" i="71"/>
  <c r="H831" i="71"/>
  <c r="E830" i="71"/>
  <c r="H829" i="71"/>
  <c r="H828" i="71"/>
  <c r="E827" i="71"/>
  <c r="H827" i="71" s="1"/>
  <c r="H826" i="71"/>
  <c r="E825" i="71"/>
  <c r="H825" i="71" s="1"/>
  <c r="E824" i="71"/>
  <c r="H824" i="71" s="1"/>
  <c r="H822" i="71"/>
  <c r="H821" i="71"/>
  <c r="H820" i="71"/>
  <c r="H819" i="71"/>
  <c r="E818" i="71"/>
  <c r="H818" i="71" s="1"/>
  <c r="E817" i="71"/>
  <c r="H817" i="71" s="1"/>
  <c r="E816" i="71"/>
  <c r="H816" i="71" s="1"/>
  <c r="E813" i="71"/>
  <c r="H813" i="71" s="1"/>
  <c r="E812" i="71"/>
  <c r="H812" i="71" s="1"/>
  <c r="E811" i="71"/>
  <c r="H811" i="71" s="1"/>
  <c r="E810" i="71"/>
  <c r="H810" i="71" s="1"/>
  <c r="E809" i="71"/>
  <c r="H809" i="71" s="1"/>
  <c r="E808" i="71"/>
  <c r="H808" i="71" s="1"/>
  <c r="E807" i="71"/>
  <c r="H807" i="71" s="1"/>
  <c r="E806" i="71"/>
  <c r="H806" i="71" s="1"/>
  <c r="E805" i="71"/>
  <c r="H805" i="71" s="1"/>
  <c r="E804" i="71"/>
  <c r="H804" i="71" s="1"/>
  <c r="E803" i="71"/>
  <c r="H803" i="71" s="1"/>
  <c r="E802" i="71"/>
  <c r="H802" i="71" s="1"/>
  <c r="H800" i="71"/>
  <c r="H799" i="71"/>
  <c r="H798" i="71"/>
  <c r="H797" i="71"/>
  <c r="H796" i="71"/>
  <c r="H795" i="71"/>
  <c r="H794" i="71"/>
  <c r="H793" i="71"/>
  <c r="H792" i="71"/>
  <c r="H791" i="71"/>
  <c r="H790" i="71"/>
  <c r="H789" i="71"/>
  <c r="H788" i="71"/>
  <c r="H787" i="71"/>
  <c r="H786" i="71"/>
  <c r="E784" i="71"/>
  <c r="H784" i="71" s="1"/>
  <c r="G783" i="71"/>
  <c r="H783" i="71" s="1"/>
  <c r="G782" i="71"/>
  <c r="H782" i="71" s="1"/>
  <c r="H781" i="71"/>
  <c r="H780" i="71"/>
  <c r="G779" i="71"/>
  <c r="H779" i="71" s="1"/>
  <c r="G778" i="71"/>
  <c r="H778" i="71" s="1"/>
  <c r="E775" i="71"/>
  <c r="H775" i="71" s="1"/>
  <c r="E774" i="71"/>
  <c r="H774" i="71" s="1"/>
  <c r="E773" i="71"/>
  <c r="H773" i="71" s="1"/>
  <c r="E772" i="71"/>
  <c r="H772" i="71" s="1"/>
  <c r="E771" i="71"/>
  <c r="H771" i="71" s="1"/>
  <c r="E770" i="71"/>
  <c r="H770" i="71" s="1"/>
  <c r="E769" i="71"/>
  <c r="H769" i="71" s="1"/>
  <c r="H768" i="71"/>
  <c r="H767" i="71"/>
  <c r="H766" i="71"/>
  <c r="H765" i="71"/>
  <c r="H764" i="71"/>
  <c r="H763" i="71"/>
  <c r="H762" i="71"/>
  <c r="H761" i="71"/>
  <c r="G760" i="71"/>
  <c r="E760" i="71"/>
  <c r="H759" i="71"/>
  <c r="E758" i="71"/>
  <c r="H758" i="71" s="1"/>
  <c r="H757" i="71"/>
  <c r="H756" i="71"/>
  <c r="H755" i="71"/>
  <c r="H754" i="71"/>
  <c r="H753" i="71"/>
  <c r="H752" i="71"/>
  <c r="H751" i="71"/>
  <c r="H750" i="71"/>
  <c r="H749" i="71"/>
  <c r="H748" i="71"/>
  <c r="H747" i="71"/>
  <c r="H745" i="71"/>
  <c r="H744" i="71"/>
  <c r="H743" i="71"/>
  <c r="H742" i="71"/>
  <c r="H741" i="71"/>
  <c r="H740" i="71"/>
  <c r="H739" i="71"/>
  <c r="E737" i="71"/>
  <c r="H737" i="71" s="1"/>
  <c r="E736" i="71"/>
  <c r="H736" i="71" s="1"/>
  <c r="E735" i="71"/>
  <c r="H735" i="71" s="1"/>
  <c r="H734" i="71"/>
  <c r="H733" i="71"/>
  <c r="H732" i="71"/>
  <c r="E731" i="71"/>
  <c r="H731" i="71" s="1"/>
  <c r="E730" i="71"/>
  <c r="H730" i="71" s="1"/>
  <c r="E729" i="71"/>
  <c r="H729" i="71" s="1"/>
  <c r="E728" i="71"/>
  <c r="H728" i="71" s="1"/>
  <c r="H727" i="71"/>
  <c r="H726" i="71"/>
  <c r="H725" i="71"/>
  <c r="E724" i="71"/>
  <c r="H724" i="71" s="1"/>
  <c r="E723" i="71"/>
  <c r="H723" i="71" s="1"/>
  <c r="H722" i="71"/>
  <c r="H721" i="71"/>
  <c r="E720" i="71"/>
  <c r="H720" i="71" s="1"/>
  <c r="E719" i="71"/>
  <c r="H719" i="71" s="1"/>
  <c r="E718" i="71"/>
  <c r="H718" i="71" s="1"/>
  <c r="E717" i="71"/>
  <c r="H717" i="71" s="1"/>
  <c r="H716" i="71"/>
  <c r="H715" i="71"/>
  <c r="H714" i="71"/>
  <c r="E713" i="71"/>
  <c r="H713" i="71" s="1"/>
  <c r="E712" i="71"/>
  <c r="H712" i="71" s="1"/>
  <c r="E711" i="71"/>
  <c r="H711" i="71" s="1"/>
  <c r="H710" i="71"/>
  <c r="H709" i="71"/>
  <c r="E708" i="71"/>
  <c r="H708" i="71" s="1"/>
  <c r="E707" i="71"/>
  <c r="H707" i="71" s="1"/>
  <c r="H706" i="71"/>
  <c r="H705" i="71"/>
  <c r="E704" i="71"/>
  <c r="H704" i="71" s="1"/>
  <c r="E703" i="71"/>
  <c r="H703" i="71" s="1"/>
  <c r="E702" i="71"/>
  <c r="H702" i="71" s="1"/>
  <c r="H701" i="71"/>
  <c r="H700" i="71"/>
  <c r="E699" i="71"/>
  <c r="H699" i="71" s="1"/>
  <c r="H698" i="71"/>
  <c r="H697" i="71"/>
  <c r="H696" i="71"/>
  <c r="E695" i="71"/>
  <c r="H695" i="71" s="1"/>
  <c r="E694" i="71"/>
  <c r="H694" i="71" s="1"/>
  <c r="E693" i="71"/>
  <c r="H693" i="71" s="1"/>
  <c r="H692" i="71"/>
  <c r="H691" i="71"/>
  <c r="E690" i="71"/>
  <c r="H690" i="71" s="1"/>
  <c r="E689" i="71"/>
  <c r="H689" i="71" s="1"/>
  <c r="E688" i="71"/>
  <c r="H688" i="71" s="1"/>
  <c r="H687" i="71"/>
  <c r="H686" i="71"/>
  <c r="E685" i="71"/>
  <c r="H685" i="71" s="1"/>
  <c r="H684" i="71"/>
  <c r="H683" i="71"/>
  <c r="E682" i="71"/>
  <c r="H682" i="71" s="1"/>
  <c r="E681" i="71"/>
  <c r="H681" i="71" s="1"/>
  <c r="E680" i="71"/>
  <c r="H680" i="71" s="1"/>
  <c r="H679" i="71"/>
  <c r="H678" i="71"/>
  <c r="E677" i="71"/>
  <c r="H677" i="71" s="1"/>
  <c r="E676" i="71"/>
  <c r="H676" i="71" s="1"/>
  <c r="E675" i="71"/>
  <c r="H675" i="71" s="1"/>
  <c r="E674" i="71"/>
  <c r="H674" i="71" s="1"/>
  <c r="H673" i="71"/>
  <c r="H672" i="71"/>
  <c r="H671" i="71"/>
  <c r="E670" i="71"/>
  <c r="H670" i="71" s="1"/>
  <c r="E669" i="71"/>
  <c r="H669" i="71" s="1"/>
  <c r="E668" i="71"/>
  <c r="H668" i="71" s="1"/>
  <c r="H667" i="71"/>
  <c r="H666" i="71"/>
  <c r="H665" i="71"/>
  <c r="E664" i="71"/>
  <c r="H664" i="71" s="1"/>
  <c r="E663" i="71"/>
  <c r="H663" i="71" s="1"/>
  <c r="E662" i="71"/>
  <c r="H662" i="71" s="1"/>
  <c r="E661" i="71"/>
  <c r="H661" i="71" s="1"/>
  <c r="H660" i="71"/>
  <c r="H659" i="71"/>
  <c r="H658" i="71"/>
  <c r="E657" i="71"/>
  <c r="H657" i="71" s="1"/>
  <c r="E656" i="71"/>
  <c r="H656" i="71" s="1"/>
  <c r="E655" i="71"/>
  <c r="H655" i="71" s="1"/>
  <c r="E654" i="71"/>
  <c r="H654" i="71" s="1"/>
  <c r="E653" i="71"/>
  <c r="H653" i="71" s="1"/>
  <c r="H652" i="71"/>
  <c r="H651" i="71"/>
  <c r="H650" i="71"/>
  <c r="H649" i="71"/>
  <c r="E648" i="71"/>
  <c r="H648" i="71" s="1"/>
  <c r="E646" i="71"/>
  <c r="H646" i="71" s="1"/>
  <c r="H645" i="71"/>
  <c r="E644" i="71"/>
  <c r="H644" i="71" s="1"/>
  <c r="H643" i="71"/>
  <c r="H641" i="71"/>
  <c r="H640" i="71"/>
  <c r="H639" i="71"/>
  <c r="H638" i="71"/>
  <c r="H636" i="71"/>
  <c r="H635" i="71"/>
  <c r="H634" i="71"/>
  <c r="E632" i="71"/>
  <c r="H632" i="71" s="1"/>
  <c r="E631" i="71"/>
  <c r="H631" i="71" s="1"/>
  <c r="H630" i="71"/>
  <c r="H629" i="71"/>
  <c r="E628" i="71"/>
  <c r="H628" i="71" s="1"/>
  <c r="E627" i="71"/>
  <c r="H627" i="71" s="1"/>
  <c r="E626" i="71"/>
  <c r="H626" i="71" s="1"/>
  <c r="H625" i="71"/>
  <c r="H624" i="71"/>
  <c r="E623" i="71"/>
  <c r="H623" i="71" s="1"/>
  <c r="E622" i="71"/>
  <c r="H622" i="71" s="1"/>
  <c r="E621" i="71"/>
  <c r="H621" i="71" s="1"/>
  <c r="E620" i="71"/>
  <c r="H620" i="71" s="1"/>
  <c r="H619" i="71"/>
  <c r="H618" i="71"/>
  <c r="H617" i="71"/>
  <c r="E616" i="71"/>
  <c r="H616" i="71" s="1"/>
  <c r="H615" i="71"/>
  <c r="E614" i="71"/>
  <c r="H614" i="71" s="1"/>
  <c r="E613" i="71"/>
  <c r="H613" i="71" s="1"/>
  <c r="H612" i="71"/>
  <c r="H611" i="71"/>
  <c r="E610" i="71"/>
  <c r="H610" i="71" s="1"/>
  <c r="H609" i="71"/>
  <c r="E608" i="71"/>
  <c r="H608" i="71" s="1"/>
  <c r="E607" i="71"/>
  <c r="H607" i="71" s="1"/>
  <c r="E606" i="71"/>
  <c r="H606" i="71" s="1"/>
  <c r="E605" i="71"/>
  <c r="H605" i="71" s="1"/>
  <c r="H604" i="71"/>
  <c r="H603" i="71"/>
  <c r="E602" i="71"/>
  <c r="H602" i="71" s="1"/>
  <c r="E601" i="71"/>
  <c r="H601" i="71" s="1"/>
  <c r="E600" i="71"/>
  <c r="H600" i="71" s="1"/>
  <c r="E599" i="71"/>
  <c r="H599" i="71" s="1"/>
  <c r="H598" i="71"/>
  <c r="H597" i="71"/>
  <c r="H596" i="71"/>
  <c r="E595" i="71"/>
  <c r="H595" i="71" s="1"/>
  <c r="E594" i="71"/>
  <c r="H594" i="71" s="1"/>
  <c r="H593" i="71"/>
  <c r="H592" i="71"/>
  <c r="G591" i="71"/>
  <c r="E591" i="71"/>
  <c r="E590" i="71"/>
  <c r="H590" i="71" s="1"/>
  <c r="E589" i="71"/>
  <c r="H589" i="71" s="1"/>
  <c r="E588" i="71"/>
  <c r="H588" i="71" s="1"/>
  <c r="E587" i="71"/>
  <c r="H587" i="71" s="1"/>
  <c r="E586" i="71"/>
  <c r="H586" i="71" s="1"/>
  <c r="H585" i="71"/>
  <c r="H584" i="71"/>
  <c r="H583" i="71"/>
  <c r="H582" i="71"/>
  <c r="H581" i="71"/>
  <c r="G580" i="71"/>
  <c r="H580" i="71" s="1"/>
  <c r="G579" i="71"/>
  <c r="E579" i="71"/>
  <c r="H572" i="71"/>
  <c r="H571" i="71"/>
  <c r="H570" i="71"/>
  <c r="F569" i="71"/>
  <c r="H569" i="71" s="1"/>
  <c r="H565" i="71"/>
  <c r="H566" i="71" s="1"/>
  <c r="H567" i="71" s="1"/>
  <c r="E330" i="55" s="1"/>
  <c r="F561" i="71"/>
  <c r="H561" i="71" s="1"/>
  <c r="F560" i="71"/>
  <c r="H560" i="71" s="1"/>
  <c r="F559" i="71"/>
  <c r="H559" i="71" s="1"/>
  <c r="H558" i="71"/>
  <c r="F557" i="71"/>
  <c r="H557" i="71" s="1"/>
  <c r="H556" i="71"/>
  <c r="H555" i="71"/>
  <c r="H554" i="71"/>
  <c r="H553" i="71"/>
  <c r="H552" i="71"/>
  <c r="H551" i="71"/>
  <c r="F550" i="71"/>
  <c r="H550" i="71" s="1"/>
  <c r="H549" i="71"/>
  <c r="H548" i="71"/>
  <c r="H547" i="71"/>
  <c r="H546" i="71"/>
  <c r="H545" i="71"/>
  <c r="H542" i="71"/>
  <c r="H541" i="71"/>
  <c r="H540" i="71"/>
  <c r="H539" i="71"/>
  <c r="H538" i="71"/>
  <c r="H537" i="71"/>
  <c r="H536" i="71"/>
  <c r="H533" i="71"/>
  <c r="H532" i="71"/>
  <c r="H531" i="71"/>
  <c r="H530" i="71"/>
  <c r="H529" i="71"/>
  <c r="H528" i="71"/>
  <c r="H527" i="71"/>
  <c r="H523" i="71"/>
  <c r="H522" i="71"/>
  <c r="H521" i="71"/>
  <c r="H520" i="71"/>
  <c r="H519" i="71"/>
  <c r="H518" i="71"/>
  <c r="H517" i="71"/>
  <c r="H516" i="71"/>
  <c r="H515" i="71"/>
  <c r="H514" i="71"/>
  <c r="H513" i="71"/>
  <c r="H512" i="71"/>
  <c r="H511" i="71"/>
  <c r="H510" i="71"/>
  <c r="H509" i="71"/>
  <c r="H508" i="71"/>
  <c r="H507" i="71"/>
  <c r="H506" i="71"/>
  <c r="H505" i="71"/>
  <c r="H504" i="71"/>
  <c r="H503" i="71"/>
  <c r="H502" i="71"/>
  <c r="H497" i="71"/>
  <c r="H496" i="71"/>
  <c r="H495" i="71"/>
  <c r="H494" i="71"/>
  <c r="H493" i="71"/>
  <c r="H492" i="71"/>
  <c r="H491" i="71"/>
  <c r="H490" i="71"/>
  <c r="H485" i="71"/>
  <c r="H484" i="71"/>
  <c r="H482" i="71"/>
  <c r="H481" i="71"/>
  <c r="H479" i="71"/>
  <c r="H478" i="71"/>
  <c r="H477" i="71"/>
  <c r="H475" i="71"/>
  <c r="H474" i="71"/>
  <c r="H469" i="71"/>
  <c r="H468" i="71"/>
  <c r="H467" i="71"/>
  <c r="H466" i="71"/>
  <c r="H464" i="71"/>
  <c r="H463" i="71"/>
  <c r="H461" i="71"/>
  <c r="H455" i="71"/>
  <c r="H454" i="71"/>
  <c r="H453" i="71"/>
  <c r="H452" i="71"/>
  <c r="H451" i="71"/>
  <c r="H450" i="71"/>
  <c r="H449" i="71"/>
  <c r="H448" i="71"/>
  <c r="H447" i="71"/>
  <c r="H446" i="71"/>
  <c r="H445" i="71"/>
  <c r="H441" i="71"/>
  <c r="H440" i="71"/>
  <c r="H439" i="71"/>
  <c r="H435" i="71"/>
  <c r="H434" i="71"/>
  <c r="H433" i="71"/>
  <c r="H432" i="71"/>
  <c r="H426" i="71"/>
  <c r="H425" i="71"/>
  <c r="H420" i="71"/>
  <c r="H419" i="71"/>
  <c r="H418" i="71"/>
  <c r="H417" i="71"/>
  <c r="H416" i="71"/>
  <c r="H415" i="71"/>
  <c r="E414" i="71"/>
  <c r="H414" i="71" s="1"/>
  <c r="E413" i="71"/>
  <c r="H413" i="71" s="1"/>
  <c r="H411" i="71"/>
  <c r="H410" i="71"/>
  <c r="H408" i="71"/>
  <c r="H407" i="71"/>
  <c r="H406" i="71"/>
  <c r="H405" i="71"/>
  <c r="H404" i="71"/>
  <c r="H403" i="71"/>
  <c r="H402" i="71"/>
  <c r="H400" i="71"/>
  <c r="H399" i="71"/>
  <c r="H398" i="71"/>
  <c r="H397" i="71"/>
  <c r="H396" i="71"/>
  <c r="H395" i="71"/>
  <c r="H394" i="71"/>
  <c r="H392" i="71"/>
  <c r="H391" i="71"/>
  <c r="H390" i="71"/>
  <c r="H389" i="71"/>
  <c r="H388" i="71"/>
  <c r="H387" i="71"/>
  <c r="H381" i="71"/>
  <c r="H380" i="71"/>
  <c r="H379" i="71"/>
  <c r="H378" i="71"/>
  <c r="H377" i="71"/>
  <c r="H376" i="71"/>
  <c r="E375" i="71"/>
  <c r="H375" i="71" s="1"/>
  <c r="E374" i="71"/>
  <c r="H374" i="71" s="1"/>
  <c r="H372" i="71"/>
  <c r="H371" i="71"/>
  <c r="H370" i="71"/>
  <c r="H369" i="71"/>
  <c r="H368" i="71"/>
  <c r="H367" i="71"/>
  <c r="H365" i="71"/>
  <c r="H364" i="71"/>
  <c r="H363" i="71"/>
  <c r="H362" i="71"/>
  <c r="H361" i="71"/>
  <c r="H360" i="71"/>
  <c r="G358" i="71"/>
  <c r="H358" i="71" s="1"/>
  <c r="G357" i="71"/>
  <c r="H357" i="71" s="1"/>
  <c r="G356" i="71"/>
  <c r="H356" i="71" s="1"/>
  <c r="G355" i="71"/>
  <c r="H355" i="71" s="1"/>
  <c r="H349" i="71"/>
  <c r="H348" i="71"/>
  <c r="E346" i="71"/>
  <c r="H346" i="71" s="1"/>
  <c r="E345" i="71"/>
  <c r="H345" i="71" s="1"/>
  <c r="E344" i="71"/>
  <c r="H344" i="71" s="1"/>
  <c r="E343" i="71"/>
  <c r="H343" i="71" s="1"/>
  <c r="E341" i="71"/>
  <c r="H341" i="71" s="1"/>
  <c r="E340" i="71"/>
  <c r="H340" i="71" s="1"/>
  <c r="E339" i="71"/>
  <c r="H339" i="71" s="1"/>
  <c r="E338" i="71"/>
  <c r="H338" i="71" s="1"/>
  <c r="H336" i="71"/>
  <c r="H335" i="71"/>
  <c r="H334" i="71"/>
  <c r="H333" i="71"/>
  <c r="H331" i="71"/>
  <c r="H330" i="71"/>
  <c r="H329" i="71"/>
  <c r="H328" i="71"/>
  <c r="H324" i="71"/>
  <c r="H322" i="71"/>
  <c r="H321" i="71"/>
  <c r="H319" i="71"/>
  <c r="H318" i="71"/>
  <c r="H317" i="71"/>
  <c r="H316" i="71"/>
  <c r="H315" i="71"/>
  <c r="E314" i="71"/>
  <c r="H314" i="71" s="1"/>
  <c r="E313" i="71"/>
  <c r="H313" i="71" s="1"/>
  <c r="E312" i="71"/>
  <c r="H312" i="71" s="1"/>
  <c r="E311" i="71"/>
  <c r="H311" i="71" s="1"/>
  <c r="H310" i="71"/>
  <c r="E309" i="71"/>
  <c r="H309" i="71" s="1"/>
  <c r="E308" i="71"/>
  <c r="H308" i="71" s="1"/>
  <c r="E307" i="71"/>
  <c r="H307" i="71" s="1"/>
  <c r="E306" i="71"/>
  <c r="H306" i="71" s="1"/>
  <c r="E304" i="71"/>
  <c r="H304" i="71" s="1"/>
  <c r="E303" i="71"/>
  <c r="H303" i="71" s="1"/>
  <c r="E302" i="71"/>
  <c r="H302" i="71" s="1"/>
  <c r="E301" i="71"/>
  <c r="H301" i="71" s="1"/>
  <c r="H300" i="71"/>
  <c r="E299" i="71"/>
  <c r="H299" i="71" s="1"/>
  <c r="E298" i="71"/>
  <c r="H298" i="71" s="1"/>
  <c r="E297" i="71"/>
  <c r="H297" i="71" s="1"/>
  <c r="E296" i="71"/>
  <c r="H296" i="71" s="1"/>
  <c r="H294" i="71"/>
  <c r="H293" i="71"/>
  <c r="H292" i="71"/>
  <c r="H291" i="71"/>
  <c r="H290" i="71"/>
  <c r="H289" i="71"/>
  <c r="H288" i="71"/>
  <c r="H287" i="71"/>
  <c r="H286" i="71"/>
  <c r="H285" i="71"/>
  <c r="H284" i="71"/>
  <c r="H283" i="71"/>
  <c r="H282" i="71"/>
  <c r="H281" i="71"/>
  <c r="H279" i="71"/>
  <c r="H278" i="71"/>
  <c r="H277" i="71"/>
  <c r="H276" i="71"/>
  <c r="H275" i="71"/>
  <c r="H274" i="71"/>
  <c r="H273" i="71"/>
  <c r="H272" i="71"/>
  <c r="H271" i="71"/>
  <c r="H270" i="71"/>
  <c r="H269" i="71"/>
  <c r="H268" i="71"/>
  <c r="H267" i="71"/>
  <c r="H266" i="71"/>
  <c r="H264" i="71"/>
  <c r="H262" i="71"/>
  <c r="H259" i="71"/>
  <c r="G258" i="71"/>
  <c r="G261" i="71" s="1"/>
  <c r="G263" i="71" s="1"/>
  <c r="H263" i="71" s="1"/>
  <c r="H256" i="71"/>
  <c r="H252" i="71"/>
  <c r="H251" i="71"/>
  <c r="H250" i="71"/>
  <c r="H249" i="71"/>
  <c r="E247" i="71"/>
  <c r="H247" i="71" s="1"/>
  <c r="E246" i="71"/>
  <c r="H246" i="71" s="1"/>
  <c r="E245" i="71"/>
  <c r="H245" i="71" s="1"/>
  <c r="E244" i="71"/>
  <c r="H244" i="71" s="1"/>
  <c r="H243" i="71"/>
  <c r="E242" i="71"/>
  <c r="H242" i="71" s="1"/>
  <c r="E241" i="71"/>
  <c r="H241" i="71" s="1"/>
  <c r="E240" i="71"/>
  <c r="H240" i="71" s="1"/>
  <c r="E239" i="71"/>
  <c r="H239" i="71" s="1"/>
  <c r="E238" i="71"/>
  <c r="H238" i="71" s="1"/>
  <c r="E237" i="71"/>
  <c r="H237" i="71" s="1"/>
  <c r="E236" i="71"/>
  <c r="H236" i="71" s="1"/>
  <c r="E234" i="71"/>
  <c r="H234" i="71" s="1"/>
  <c r="E233" i="71"/>
  <c r="H233" i="71" s="1"/>
  <c r="E232" i="71"/>
  <c r="H232" i="71" s="1"/>
  <c r="E231" i="71"/>
  <c r="H231" i="71" s="1"/>
  <c r="E230" i="71"/>
  <c r="H230" i="71" s="1"/>
  <c r="E229" i="71"/>
  <c r="H229" i="71" s="1"/>
  <c r="E228" i="71"/>
  <c r="H228" i="71" s="1"/>
  <c r="H226" i="71"/>
  <c r="H225" i="71"/>
  <c r="H224" i="71"/>
  <c r="H223" i="71"/>
  <c r="H222" i="71"/>
  <c r="H221" i="71"/>
  <c r="H220" i="71"/>
  <c r="H219" i="71"/>
  <c r="H218" i="71"/>
  <c r="H217" i="71"/>
  <c r="H216" i="71"/>
  <c r="H215" i="71"/>
  <c r="H214" i="71"/>
  <c r="H213" i="71"/>
  <c r="H211" i="71"/>
  <c r="H210" i="71"/>
  <c r="H209" i="71"/>
  <c r="H208" i="71"/>
  <c r="H207" i="71"/>
  <c r="H206" i="71"/>
  <c r="H205" i="71"/>
  <c r="H203" i="71"/>
  <c r="H202" i="71"/>
  <c r="H201" i="71"/>
  <c r="H199" i="71"/>
  <c r="H198" i="71"/>
  <c r="H197" i="71"/>
  <c r="H195" i="71"/>
  <c r="H194" i="71"/>
  <c r="H193" i="71"/>
  <c r="H192" i="71"/>
  <c r="H187" i="71"/>
  <c r="E186" i="71"/>
  <c r="H186" i="71" s="1"/>
  <c r="E185" i="71"/>
  <c r="H185" i="71" s="1"/>
  <c r="E184" i="71"/>
  <c r="H184" i="71" s="1"/>
  <c r="E183" i="71"/>
  <c r="H183" i="71" s="1"/>
  <c r="E182" i="71"/>
  <c r="H182" i="71" s="1"/>
  <c r="E181" i="71"/>
  <c r="H181" i="71" s="1"/>
  <c r="H180" i="71"/>
  <c r="H179" i="71"/>
  <c r="H178" i="71"/>
  <c r="H177" i="71"/>
  <c r="H176" i="71"/>
  <c r="H175" i="71"/>
  <c r="E173" i="71"/>
  <c r="H173" i="71" s="1"/>
  <c r="H172" i="71"/>
  <c r="H171" i="71"/>
  <c r="E170" i="71"/>
  <c r="H170" i="71" s="1"/>
  <c r="E169" i="71"/>
  <c r="H169" i="71" s="1"/>
  <c r="E168" i="71"/>
  <c r="H168" i="71" s="1"/>
  <c r="E167" i="71"/>
  <c r="H167" i="71" s="1"/>
  <c r="E166" i="71"/>
  <c r="H166" i="71" s="1"/>
  <c r="H165" i="71"/>
  <c r="E164" i="71"/>
  <c r="H164" i="71" s="1"/>
  <c r="E163" i="71"/>
  <c r="H163" i="71" s="1"/>
  <c r="H161" i="71"/>
  <c r="E160" i="71"/>
  <c r="H160" i="71" s="1"/>
  <c r="E159" i="71"/>
  <c r="H159" i="71" s="1"/>
  <c r="E158" i="71"/>
  <c r="H158" i="71" s="1"/>
  <c r="E157" i="71"/>
  <c r="H157" i="71" s="1"/>
  <c r="E156" i="71"/>
  <c r="H156" i="71" s="1"/>
  <c r="E155" i="71"/>
  <c r="E154" i="71"/>
  <c r="E153" i="71"/>
  <c r="E152" i="71"/>
  <c r="H152" i="71" s="1"/>
  <c r="E151" i="71"/>
  <c r="H151" i="71" s="1"/>
  <c r="H147" i="71"/>
  <c r="E146" i="71"/>
  <c r="H146" i="71" s="1"/>
  <c r="E145" i="71"/>
  <c r="H145" i="71" s="1"/>
  <c r="H144" i="71"/>
  <c r="H143" i="71"/>
  <c r="H142" i="71"/>
  <c r="H141" i="71"/>
  <c r="H140" i="71"/>
  <c r="H139" i="71"/>
  <c r="E137" i="71"/>
  <c r="H137" i="71" s="1"/>
  <c r="H136" i="71"/>
  <c r="H135" i="71"/>
  <c r="E134" i="71"/>
  <c r="H134" i="71" s="1"/>
  <c r="E133" i="71"/>
  <c r="H133" i="71" s="1"/>
  <c r="E132" i="71"/>
  <c r="H132" i="71" s="1"/>
  <c r="E131" i="71"/>
  <c r="H131" i="71" s="1"/>
  <c r="E130" i="71"/>
  <c r="H130" i="71" s="1"/>
  <c r="H129" i="71"/>
  <c r="E128" i="71"/>
  <c r="H128" i="71" s="1"/>
  <c r="E127" i="71"/>
  <c r="H127" i="71" s="1"/>
  <c r="H125" i="71"/>
  <c r="E124" i="71"/>
  <c r="H124" i="71" s="1"/>
  <c r="E123" i="71"/>
  <c r="H123" i="71" s="1"/>
  <c r="E122" i="71"/>
  <c r="H122" i="71" s="1"/>
  <c r="E121" i="71"/>
  <c r="H121" i="71" s="1"/>
  <c r="E120" i="71"/>
  <c r="H120" i="71" s="1"/>
  <c r="E119" i="71"/>
  <c r="E118" i="71"/>
  <c r="E117" i="71"/>
  <c r="E116" i="71"/>
  <c r="H116" i="71" s="1"/>
  <c r="E115" i="71"/>
  <c r="H115" i="71" s="1"/>
  <c r="F113" i="71"/>
  <c r="E113" i="71"/>
  <c r="E112" i="71"/>
  <c r="H112" i="71" s="1"/>
  <c r="E111" i="71"/>
  <c r="H111" i="71" s="1"/>
  <c r="E110" i="71"/>
  <c r="H110" i="71" s="1"/>
  <c r="E109" i="71"/>
  <c r="H109" i="71" s="1"/>
  <c r="E108" i="71"/>
  <c r="H108" i="71" s="1"/>
  <c r="F104" i="71"/>
  <c r="H104" i="71" s="1"/>
  <c r="F103" i="71"/>
  <c r="H103" i="71" s="1"/>
  <c r="F102" i="71"/>
  <c r="H102" i="71" s="1"/>
  <c r="H101" i="71"/>
  <c r="F100" i="71"/>
  <c r="H100" i="71" s="1"/>
  <c r="H99" i="71"/>
  <c r="H98" i="71"/>
  <c r="H97" i="71"/>
  <c r="H96" i="71"/>
  <c r="H95" i="71"/>
  <c r="H94" i="71"/>
  <c r="F93" i="71"/>
  <c r="H93" i="71" s="1"/>
  <c r="H92" i="71"/>
  <c r="H91" i="71"/>
  <c r="H90" i="71"/>
  <c r="H89" i="71"/>
  <c r="H88" i="71"/>
  <c r="H87" i="71"/>
  <c r="E86" i="71"/>
  <c r="H86" i="71" s="1"/>
  <c r="E85" i="71"/>
  <c r="H85" i="71" s="1"/>
  <c r="H84" i="71"/>
  <c r="H83" i="71"/>
  <c r="H82" i="71"/>
  <c r="H81" i="71"/>
  <c r="H80" i="71"/>
  <c r="H79" i="71"/>
  <c r="E77" i="71"/>
  <c r="H77" i="71" s="1"/>
  <c r="H76" i="71"/>
  <c r="H75" i="71"/>
  <c r="E74" i="71"/>
  <c r="H74" i="71" s="1"/>
  <c r="E73" i="71"/>
  <c r="H73" i="71" s="1"/>
  <c r="E72" i="71"/>
  <c r="H72" i="71" s="1"/>
  <c r="E71" i="71"/>
  <c r="H71" i="71" s="1"/>
  <c r="E70" i="71"/>
  <c r="H70" i="71" s="1"/>
  <c r="H69" i="71"/>
  <c r="E68" i="71"/>
  <c r="H68" i="71" s="1"/>
  <c r="E67" i="71"/>
  <c r="H67" i="71" s="1"/>
  <c r="H65" i="71"/>
  <c r="E64" i="71"/>
  <c r="H64" i="71" s="1"/>
  <c r="E63" i="71"/>
  <c r="H63" i="71" s="1"/>
  <c r="E62" i="71"/>
  <c r="H62" i="71" s="1"/>
  <c r="E61" i="71"/>
  <c r="H61" i="71" s="1"/>
  <c r="E60" i="71"/>
  <c r="H60" i="71" s="1"/>
  <c r="E59" i="71"/>
  <c r="E58" i="71"/>
  <c r="E57" i="71"/>
  <c r="E56" i="71"/>
  <c r="H56" i="71" s="1"/>
  <c r="E55" i="71"/>
  <c r="H55" i="71" s="1"/>
  <c r="F53" i="71"/>
  <c r="E53" i="71"/>
  <c r="E52" i="71"/>
  <c r="H52" i="71" s="1"/>
  <c r="E51" i="71"/>
  <c r="H51" i="71" s="1"/>
  <c r="E50" i="71"/>
  <c r="H50" i="71" s="1"/>
  <c r="E49" i="71"/>
  <c r="H49" i="71" s="1"/>
  <c r="E48" i="71"/>
  <c r="H48" i="71" s="1"/>
  <c r="H44" i="71"/>
  <c r="E43" i="71"/>
  <c r="H43" i="71" s="1"/>
  <c r="E42" i="71"/>
  <c r="H42" i="71" s="1"/>
  <c r="H41" i="71"/>
  <c r="H40" i="71"/>
  <c r="H39" i="71"/>
  <c r="H38" i="71"/>
  <c r="H37" i="71"/>
  <c r="H36" i="71"/>
  <c r="E34" i="71"/>
  <c r="H34" i="71" s="1"/>
  <c r="H33" i="71"/>
  <c r="H32" i="71"/>
  <c r="E31" i="71"/>
  <c r="H31" i="71" s="1"/>
  <c r="E30" i="71"/>
  <c r="H30" i="71" s="1"/>
  <c r="E29" i="71"/>
  <c r="H29" i="71" s="1"/>
  <c r="E28" i="71"/>
  <c r="H28" i="71" s="1"/>
  <c r="E25" i="71"/>
  <c r="H25" i="71" s="1"/>
  <c r="H27" i="71"/>
  <c r="E26" i="71"/>
  <c r="H26" i="71" s="1"/>
  <c r="E24" i="71"/>
  <c r="H24" i="71" s="1"/>
  <c r="H22" i="71"/>
  <c r="E21" i="71"/>
  <c r="H21" i="71" s="1"/>
  <c r="E20" i="71"/>
  <c r="H20" i="71" s="1"/>
  <c r="E19" i="71"/>
  <c r="H19" i="71" s="1"/>
  <c r="E18" i="71"/>
  <c r="H18" i="71" s="1"/>
  <c r="E17" i="71"/>
  <c r="H17" i="71" s="1"/>
  <c r="E14" i="71"/>
  <c r="E13" i="71"/>
  <c r="H13" i="71" s="1"/>
  <c r="H12" i="71"/>
  <c r="F10" i="71"/>
  <c r="E10" i="71"/>
  <c r="E9" i="71"/>
  <c r="H9" i="71" s="1"/>
  <c r="E8" i="71"/>
  <c r="H8" i="71" s="1"/>
  <c r="E7" i="71"/>
  <c r="H7" i="71" s="1"/>
  <c r="E6" i="71"/>
  <c r="H6" i="71" s="1"/>
  <c r="E5" i="71"/>
  <c r="H5" i="71" s="1"/>
  <c r="H2195" i="71" l="1"/>
  <c r="H188" i="71"/>
  <c r="H1936" i="71"/>
  <c r="H1937" i="71" s="1"/>
  <c r="H1273" i="71"/>
  <c r="H2160" i="71"/>
  <c r="E698" i="55" s="1"/>
  <c r="S698" i="55" s="1"/>
  <c r="B160" i="78" s="1"/>
  <c r="S730" i="55"/>
  <c r="F730" i="55"/>
  <c r="H2351" i="71"/>
  <c r="S330" i="55"/>
  <c r="B40" i="78" s="1"/>
  <c r="S366" i="55"/>
  <c r="B57" i="78" s="1"/>
  <c r="S376" i="55"/>
  <c r="T376" i="55" s="1"/>
  <c r="S437" i="55"/>
  <c r="B77" i="78" s="1"/>
  <c r="S443" i="55"/>
  <c r="B80" i="78" s="1"/>
  <c r="S811" i="55"/>
  <c r="B106" i="78" s="1"/>
  <c r="S865" i="55"/>
  <c r="B130" i="78" s="1"/>
  <c r="S873" i="55"/>
  <c r="B149" i="78" s="1"/>
  <c r="S925" i="55"/>
  <c r="T925" i="55" s="1"/>
  <c r="S857" i="55"/>
  <c r="T857" i="55" s="1"/>
  <c r="S714" i="55"/>
  <c r="B174" i="78" s="1"/>
  <c r="S699" i="55"/>
  <c r="B162" i="78" s="1"/>
  <c r="S365" i="55"/>
  <c r="B56" i="78" s="1"/>
  <c r="S372" i="55"/>
  <c r="B62" i="78" s="1"/>
  <c r="S379" i="55"/>
  <c r="T379" i="55" s="1"/>
  <c r="S813" i="55"/>
  <c r="B107" i="78" s="1"/>
  <c r="S866" i="55"/>
  <c r="B131" i="78" s="1"/>
  <c r="S823" i="55"/>
  <c r="B181" i="78" s="1"/>
  <c r="S858" i="55"/>
  <c r="T858" i="55" s="1"/>
  <c r="S718" i="55"/>
  <c r="B176" i="78" s="1"/>
  <c r="S373" i="55"/>
  <c r="B63" i="78" s="1"/>
  <c r="E704" i="55"/>
  <c r="E627" i="55"/>
  <c r="E620" i="55"/>
  <c r="E709" i="55"/>
  <c r="S709" i="55" s="1"/>
  <c r="T709" i="55" s="1"/>
  <c r="F936" i="55"/>
  <c r="E705" i="55"/>
  <c r="E626" i="55"/>
  <c r="B168" i="78"/>
  <c r="E628" i="55"/>
  <c r="S628" i="55" s="1"/>
  <c r="E711" i="55"/>
  <c r="F937" i="55"/>
  <c r="F938" i="55"/>
  <c r="H2243" i="71"/>
  <c r="H2252" i="71"/>
  <c r="H2253" i="71" s="1"/>
  <c r="E736" i="55" s="1"/>
  <c r="E684" i="55"/>
  <c r="E702" i="55"/>
  <c r="H1797" i="71"/>
  <c r="H1798" i="71" s="1"/>
  <c r="H1849" i="71"/>
  <c r="H1850" i="71" s="1"/>
  <c r="E801" i="55" s="1"/>
  <c r="S801" i="55" s="1"/>
  <c r="T801" i="55" s="1"/>
  <c r="H1079" i="71"/>
  <c r="E367" i="55" s="1"/>
  <c r="H1083" i="71"/>
  <c r="E368" i="55" s="1"/>
  <c r="H1102" i="71"/>
  <c r="H1103" i="71" s="1"/>
  <c r="G1064" i="71" s="1"/>
  <c r="H1064" i="71" s="1"/>
  <c r="H1142" i="71"/>
  <c r="E430" i="55" s="1"/>
  <c r="H1162" i="71"/>
  <c r="E441" i="55" s="1"/>
  <c r="H1176" i="71"/>
  <c r="H1177" i="71" s="1"/>
  <c r="E451" i="55" s="1"/>
  <c r="S451" i="55" s="1"/>
  <c r="T451" i="55" s="1"/>
  <c r="H1191" i="71"/>
  <c r="H1192" i="71" s="1"/>
  <c r="H574" i="71"/>
  <c r="F728" i="55"/>
  <c r="H562" i="71"/>
  <c r="H563" i="71" s="1"/>
  <c r="H189" i="71"/>
  <c r="B141" i="78"/>
  <c r="F141" i="78" s="1"/>
  <c r="B127" i="78"/>
  <c r="F127" i="78" s="1"/>
  <c r="B143" i="78"/>
  <c r="F143" i="78" s="1"/>
  <c r="B125" i="78"/>
  <c r="F125" i="78" s="1"/>
  <c r="A110" i="78"/>
  <c r="A111" i="78" s="1"/>
  <c r="A112" i="78" s="1"/>
  <c r="A948" i="55"/>
  <c r="A943" i="76"/>
  <c r="A987" i="76"/>
  <c r="A992" i="55"/>
  <c r="A14" i="72"/>
  <c r="A15" i="72" s="1"/>
  <c r="A16" i="72" s="1"/>
  <c r="A17" i="72" s="1"/>
  <c r="A18" i="72" s="1"/>
  <c r="H575" i="71"/>
  <c r="E337" i="55" s="1"/>
  <c r="E2292" i="71"/>
  <c r="H2292" i="71" s="1"/>
  <c r="E454" i="55" s="1"/>
  <c r="E877" i="55"/>
  <c r="H2244" i="71"/>
  <c r="E888" i="55" s="1"/>
  <c r="G1059" i="71"/>
  <c r="H1059" i="71" s="1"/>
  <c r="E878" i="55"/>
  <c r="H591" i="71"/>
  <c r="H776" i="71" s="1"/>
  <c r="E843" i="71" s="1"/>
  <c r="H843" i="71" s="1"/>
  <c r="H1981" i="71"/>
  <c r="H1982" i="71" s="1"/>
  <c r="E683" i="55" s="1"/>
  <c r="S683" i="55" s="1"/>
  <c r="H1857" i="71"/>
  <c r="H1858" i="71" s="1"/>
  <c r="E800" i="55" s="1"/>
  <c r="S800" i="55" s="1"/>
  <c r="T800" i="55" s="1"/>
  <c r="H1883" i="71"/>
  <c r="H1884" i="71" s="1"/>
  <c r="H2145" i="71"/>
  <c r="E926" i="55" s="1"/>
  <c r="S926" i="55" s="1"/>
  <c r="T926" i="55" s="1"/>
  <c r="H2310" i="71"/>
  <c r="E707" i="55" s="1"/>
  <c r="H10" i="71"/>
  <c r="H45" i="71" s="1"/>
  <c r="H46" i="71" s="1"/>
  <c r="H113" i="71"/>
  <c r="H148" i="71" s="1"/>
  <c r="H149" i="71" s="1"/>
  <c r="H258" i="71"/>
  <c r="H543" i="71"/>
  <c r="E322" i="55" s="1"/>
  <c r="H579" i="71"/>
  <c r="H849" i="71"/>
  <c r="H850" i="71" s="1"/>
  <c r="H925" i="71"/>
  <c r="B52" i="78" s="1"/>
  <c r="H990" i="71"/>
  <c r="H991" i="71" s="1"/>
  <c r="H1002" i="71"/>
  <c r="H1003" i="71" s="1"/>
  <c r="E354" i="55" s="1"/>
  <c r="H1747" i="71"/>
  <c r="H1950" i="71"/>
  <c r="H1959" i="71"/>
  <c r="E885" i="55" s="1"/>
  <c r="H1974" i="71"/>
  <c r="H1975" i="71" s="1"/>
  <c r="E682" i="55" s="1"/>
  <c r="S682" i="55" s="1"/>
  <c r="H2041" i="71"/>
  <c r="E870" i="55" s="1"/>
  <c r="H2058" i="71"/>
  <c r="H2087" i="71"/>
  <c r="E875" i="55" s="1"/>
  <c r="H2098" i="71"/>
  <c r="H2214" i="71"/>
  <c r="H2273" i="71"/>
  <c r="E913" i="55" s="1"/>
  <c r="S913" i="55" s="1"/>
  <c r="T913" i="55" s="1"/>
  <c r="H2334" i="71"/>
  <c r="E725" i="55"/>
  <c r="S725" i="55" s="1"/>
  <c r="T725" i="55" s="1"/>
  <c r="H1464" i="71"/>
  <c r="H1465" i="71" s="1"/>
  <c r="E512" i="55" s="1"/>
  <c r="H1368" i="71"/>
  <c r="H1369" i="71" s="1"/>
  <c r="E511" i="55" s="1"/>
  <c r="H1491" i="71"/>
  <c r="H1492" i="71" s="1"/>
  <c r="E513" i="55" s="1"/>
  <c r="E371" i="55"/>
  <c r="E377" i="55"/>
  <c r="H53" i="71"/>
  <c r="H105" i="71" s="1"/>
  <c r="H106" i="71" s="1"/>
  <c r="H350" i="71"/>
  <c r="H351" i="71" s="1"/>
  <c r="E538" i="55" s="1"/>
  <c r="H382" i="71"/>
  <c r="H383" i="71" s="1"/>
  <c r="E544" i="55" s="1"/>
  <c r="H421" i="71"/>
  <c r="H422" i="71" s="1"/>
  <c r="E545" i="55" s="1"/>
  <c r="H427" i="71"/>
  <c r="H428" i="71" s="1"/>
  <c r="E546" i="55" s="1"/>
  <c r="H436" i="71"/>
  <c r="H437" i="71" s="1"/>
  <c r="E551" i="55" s="1"/>
  <c r="H442" i="71"/>
  <c r="H443" i="71" s="1"/>
  <c r="E552" i="55" s="1"/>
  <c r="H456" i="71"/>
  <c r="H457" i="71" s="1"/>
  <c r="E229" i="55" s="1"/>
  <c r="H486" i="71"/>
  <c r="H487" i="71" s="1"/>
  <c r="E253" i="55" s="1"/>
  <c r="H470" i="71"/>
  <c r="H471" i="71" s="1"/>
  <c r="E252" i="55" s="1"/>
  <c r="H498" i="71"/>
  <c r="H499" i="71" s="1"/>
  <c r="E290" i="55" s="1"/>
  <c r="H524" i="71"/>
  <c r="H525" i="71" s="1"/>
  <c r="E291" i="55" s="1"/>
  <c r="H534" i="71"/>
  <c r="E307" i="55" s="1"/>
  <c r="H760" i="71"/>
  <c r="H841" i="71"/>
  <c r="E2312" i="71" s="1"/>
  <c r="H2312" i="71" s="1"/>
  <c r="H932" i="71"/>
  <c r="H933" i="71" s="1"/>
  <c r="E346" i="55" s="1"/>
  <c r="H1110" i="71"/>
  <c r="H1116" i="71"/>
  <c r="E402" i="55" s="1"/>
  <c r="H1130" i="71"/>
  <c r="E876" i="55" s="1"/>
  <c r="H1153" i="71"/>
  <c r="E433" i="55" s="1"/>
  <c r="H1170" i="71"/>
  <c r="E442" i="55" s="1"/>
  <c r="H1274" i="71"/>
  <c r="E510" i="55" s="1"/>
  <c r="H1544" i="71"/>
  <c r="H1545" i="71" s="1"/>
  <c r="H1729" i="71"/>
  <c r="H1730" i="71" s="1"/>
  <c r="H1749" i="71"/>
  <c r="H1750" i="71"/>
  <c r="H1751" i="71"/>
  <c r="H1900" i="71"/>
  <c r="H1901" i="71" s="1"/>
  <c r="H1921" i="71"/>
  <c r="H1922" i="71" s="1"/>
  <c r="H2017" i="71"/>
  <c r="E869" i="55" s="1"/>
  <c r="H2046" i="71"/>
  <c r="E871" i="55" s="1"/>
  <c r="H2074" i="71"/>
  <c r="E874" i="55" s="1"/>
  <c r="H2121" i="71"/>
  <c r="E923" i="55" s="1"/>
  <c r="H2168" i="71"/>
  <c r="H2205" i="71"/>
  <c r="H2207" i="71"/>
  <c r="H2266" i="71"/>
  <c r="E726" i="55" s="1"/>
  <c r="H2301" i="71"/>
  <c r="E452" i="55" s="1"/>
  <c r="E342" i="55"/>
  <c r="H253" i="71"/>
  <c r="H254" i="71" s="1"/>
  <c r="E536" i="55" s="1"/>
  <c r="E943" i="71"/>
  <c r="H943" i="71" s="1"/>
  <c r="H959" i="71" s="1"/>
  <c r="H960" i="71" s="1"/>
  <c r="E348" i="55" s="1"/>
  <c r="H935" i="71"/>
  <c r="H940" i="71" s="1"/>
  <c r="H941" i="71" s="1"/>
  <c r="E347" i="55" s="1"/>
  <c r="H926" i="71"/>
  <c r="H261" i="71"/>
  <c r="H325" i="71" s="1"/>
  <c r="H326" i="71" s="1"/>
  <c r="H1120" i="71"/>
  <c r="E400" i="55" s="1"/>
  <c r="H1748" i="71"/>
  <c r="H1752" i="71"/>
  <c r="H1909" i="71"/>
  <c r="H1910" i="71" s="1"/>
  <c r="E339" i="55" s="1"/>
  <c r="H1945" i="71"/>
  <c r="H1946" i="71" s="1"/>
  <c r="H1963" i="71"/>
  <c r="E886" i="55" s="1"/>
  <c r="H2196" i="71"/>
  <c r="E731" i="55" s="1"/>
  <c r="H2288" i="71"/>
  <c r="E431" i="55" s="1"/>
  <c r="S431" i="55" s="1"/>
  <c r="T431" i="55" s="1"/>
  <c r="F8" i="55"/>
  <c r="F11" i="55"/>
  <c r="F14" i="55"/>
  <c r="F17" i="55"/>
  <c r="F22" i="55"/>
  <c r="F25" i="55"/>
  <c r="F28" i="55"/>
  <c r="F31" i="55"/>
  <c r="F32" i="55"/>
  <c r="F33" i="55"/>
  <c r="F34" i="55"/>
  <c r="F35" i="55"/>
  <c r="F36" i="55"/>
  <c r="F37" i="55"/>
  <c r="F48" i="55"/>
  <c r="F49" i="55"/>
  <c r="F57" i="55"/>
  <c r="F58" i="55"/>
  <c r="F60" i="55"/>
  <c r="F61" i="55"/>
  <c r="F64" i="55"/>
  <c r="F70" i="55"/>
  <c r="F84" i="55"/>
  <c r="F90" i="55"/>
  <c r="F105" i="55"/>
  <c r="F106" i="55"/>
  <c r="F107" i="55"/>
  <c r="F108" i="55"/>
  <c r="F109" i="55"/>
  <c r="F110" i="55"/>
  <c r="F111" i="55"/>
  <c r="F112" i="55"/>
  <c r="F113" i="55"/>
  <c r="F114" i="55"/>
  <c r="F115" i="55"/>
  <c r="F116" i="55"/>
  <c r="F117" i="55"/>
  <c r="F123" i="55"/>
  <c r="F124" i="55"/>
  <c r="F125" i="55"/>
  <c r="F126" i="55"/>
  <c r="F127" i="55"/>
  <c r="F128" i="55"/>
  <c r="F129" i="55"/>
  <c r="F136" i="55"/>
  <c r="F152" i="55"/>
  <c r="F153" i="55"/>
  <c r="F154" i="55"/>
  <c r="F155" i="55"/>
  <c r="F156" i="55"/>
  <c r="F157" i="55"/>
  <c r="F158" i="55"/>
  <c r="F159" i="55"/>
  <c r="F160" i="55"/>
  <c r="F161" i="55"/>
  <c r="F162" i="55"/>
  <c r="F163" i="55"/>
  <c r="F164" i="55"/>
  <c r="F165" i="55"/>
  <c r="F166" i="55"/>
  <c r="F173" i="55"/>
  <c r="F174" i="55"/>
  <c r="F175" i="55"/>
  <c r="F176" i="55"/>
  <c r="F177" i="55"/>
  <c r="F178" i="55"/>
  <c r="F179" i="55"/>
  <c r="F180" i="55"/>
  <c r="F186" i="55"/>
  <c r="F192" i="55"/>
  <c r="F193" i="55"/>
  <c r="F194" i="55"/>
  <c r="F195" i="55"/>
  <c r="F196" i="55"/>
  <c r="F197" i="55"/>
  <c r="F198" i="55"/>
  <c r="F199" i="55"/>
  <c r="F200" i="55"/>
  <c r="F201" i="55"/>
  <c r="F202" i="55"/>
  <c r="F203" i="55"/>
  <c r="F204" i="55"/>
  <c r="F210" i="55"/>
  <c r="F211" i="55"/>
  <c r="F212" i="55"/>
  <c r="F213" i="55"/>
  <c r="F214" i="55"/>
  <c r="F215" i="55"/>
  <c r="F216" i="55"/>
  <c r="F222" i="55"/>
  <c r="F223" i="55"/>
  <c r="F224" i="55"/>
  <c r="F225" i="55"/>
  <c r="F226" i="55"/>
  <c r="F227" i="55"/>
  <c r="F228" i="55"/>
  <c r="F230" i="55"/>
  <c r="F231" i="55"/>
  <c r="F244" i="55"/>
  <c r="F251" i="55"/>
  <c r="F257" i="55"/>
  <c r="F263" i="55"/>
  <c r="F269" i="55"/>
  <c r="F275" i="55"/>
  <c r="F281" i="55"/>
  <c r="F282" i="55"/>
  <c r="F283" i="55"/>
  <c r="F284" i="55"/>
  <c r="F285" i="55"/>
  <c r="F289" i="55"/>
  <c r="F293" i="55"/>
  <c r="F298" i="55"/>
  <c r="F300" i="55"/>
  <c r="F303" i="55"/>
  <c r="N8" i="55"/>
  <c r="N11" i="55"/>
  <c r="N14" i="55"/>
  <c r="N17" i="55"/>
  <c r="N22" i="55"/>
  <c r="N25" i="55"/>
  <c r="N28" i="55"/>
  <c r="N31" i="55"/>
  <c r="N32" i="55"/>
  <c r="N33" i="55"/>
  <c r="N34" i="55"/>
  <c r="N35" i="55"/>
  <c r="N36" i="55"/>
  <c r="N37" i="55"/>
  <c r="N48" i="55"/>
  <c r="N49" i="55"/>
  <c r="N57" i="55"/>
  <c r="N58" i="55"/>
  <c r="N60" i="55"/>
  <c r="N61" i="55"/>
  <c r="N64" i="55"/>
  <c r="N70" i="55"/>
  <c r="N84" i="55"/>
  <c r="N90" i="55"/>
  <c r="N105" i="55"/>
  <c r="N106" i="55"/>
  <c r="N107" i="55"/>
  <c r="N108" i="55"/>
  <c r="N109" i="55"/>
  <c r="N110" i="55"/>
  <c r="N111" i="55"/>
  <c r="N112" i="55"/>
  <c r="N113" i="55"/>
  <c r="N114" i="55"/>
  <c r="N115" i="55"/>
  <c r="N116" i="55"/>
  <c r="N117" i="55"/>
  <c r="N123" i="55"/>
  <c r="N124" i="55"/>
  <c r="N125" i="55"/>
  <c r="N126" i="55"/>
  <c r="N127" i="55"/>
  <c r="N128" i="55"/>
  <c r="N129" i="55"/>
  <c r="N136" i="55"/>
  <c r="N152" i="55"/>
  <c r="N153" i="55"/>
  <c r="N154" i="55"/>
  <c r="N155" i="55"/>
  <c r="N156" i="55"/>
  <c r="N157" i="55"/>
  <c r="N158" i="55"/>
  <c r="N159" i="55"/>
  <c r="N160" i="55"/>
  <c r="N161" i="55"/>
  <c r="N162" i="55"/>
  <c r="N163" i="55"/>
  <c r="N164" i="55"/>
  <c r="N165" i="55"/>
  <c r="N166" i="55"/>
  <c r="N173" i="55"/>
  <c r="N174" i="55"/>
  <c r="N175" i="55"/>
  <c r="N176" i="55"/>
  <c r="N177" i="55"/>
  <c r="N178" i="55"/>
  <c r="N179" i="55"/>
  <c r="N180" i="55"/>
  <c r="N186" i="55"/>
  <c r="N192" i="55"/>
  <c r="N193" i="55"/>
  <c r="N194" i="55"/>
  <c r="N195" i="55"/>
  <c r="N196" i="55"/>
  <c r="N197" i="55"/>
  <c r="N198" i="55"/>
  <c r="N199" i="55"/>
  <c r="N200" i="55"/>
  <c r="N201" i="55"/>
  <c r="N202" i="55"/>
  <c r="N203" i="55"/>
  <c r="N204" i="55"/>
  <c r="N210" i="55"/>
  <c r="N211" i="55"/>
  <c r="N212" i="55"/>
  <c r="N213" i="55"/>
  <c r="N214" i="55"/>
  <c r="N215" i="55"/>
  <c r="N216" i="55"/>
  <c r="N222" i="55"/>
  <c r="N223" i="55"/>
  <c r="N224" i="55"/>
  <c r="N225" i="55"/>
  <c r="N226" i="55"/>
  <c r="N227" i="55"/>
  <c r="N228" i="55"/>
  <c r="N230" i="55"/>
  <c r="N231" i="55"/>
  <c r="N244" i="55"/>
  <c r="N251" i="55"/>
  <c r="N257" i="55"/>
  <c r="N263" i="55"/>
  <c r="N269" i="55"/>
  <c r="N275" i="55"/>
  <c r="N281" i="55"/>
  <c r="N282" i="55"/>
  <c r="N283" i="55"/>
  <c r="N284" i="55"/>
  <c r="N285" i="55"/>
  <c r="N289" i="55"/>
  <c r="N293" i="55"/>
  <c r="N298" i="55"/>
  <c r="N300" i="55"/>
  <c r="N303" i="55"/>
  <c r="N304" i="55"/>
  <c r="N308" i="55"/>
  <c r="N326" i="55"/>
  <c r="N327" i="55"/>
  <c r="N329" i="55"/>
  <c r="N331" i="55"/>
  <c r="N338" i="55"/>
  <c r="N340" i="55"/>
  <c r="N345" i="55"/>
  <c r="N356" i="55"/>
  <c r="N359" i="55"/>
  <c r="N363" i="55"/>
  <c r="N369" i="55"/>
  <c r="N375" i="55"/>
  <c r="N381" i="55"/>
  <c r="N392" i="55"/>
  <c r="N396" i="55"/>
  <c r="N398" i="55"/>
  <c r="N399" i="55"/>
  <c r="N401" i="55"/>
  <c r="N403" i="55"/>
  <c r="N406" i="55"/>
  <c r="N409" i="55"/>
  <c r="N412" i="55"/>
  <c r="N416" i="55"/>
  <c r="N426" i="55"/>
  <c r="N434" i="55"/>
  <c r="N435" i="55"/>
  <c r="N436" i="55"/>
  <c r="N440" i="55"/>
  <c r="N451" i="55"/>
  <c r="N455" i="55"/>
  <c r="N456" i="55"/>
  <c r="N462" i="55"/>
  <c r="N469" i="55"/>
  <c r="N475" i="55"/>
  <c r="N482" i="55"/>
  <c r="N488" i="55"/>
  <c r="N501" i="55"/>
  <c r="N509" i="55"/>
  <c r="N515" i="55"/>
  <c r="N518" i="55"/>
  <c r="N535" i="55"/>
  <c r="N542" i="55"/>
  <c r="N550" i="55"/>
  <c r="N566" i="55"/>
  <c r="N571" i="55"/>
  <c r="N575" i="55"/>
  <c r="N579" i="55"/>
  <c r="N583" i="55"/>
  <c r="N584" i="55"/>
  <c r="N589" i="55"/>
  <c r="N597" i="55"/>
  <c r="N602" i="55"/>
  <c r="N604" i="55"/>
  <c r="N607" i="55"/>
  <c r="N610" i="55"/>
  <c r="N613" i="55"/>
  <c r="N614" i="55"/>
  <c r="N616" i="55"/>
  <c r="N621" i="55"/>
  <c r="N624" i="55"/>
  <c r="N630" i="55"/>
  <c r="N631" i="55"/>
  <c r="N632" i="55"/>
  <c r="N633" i="55"/>
  <c r="N635" i="55"/>
  <c r="N638" i="55"/>
  <c r="N644" i="55"/>
  <c r="N650" i="55"/>
  <c r="N656" i="55"/>
  <c r="N681" i="55"/>
  <c r="N686" i="55"/>
  <c r="N703" i="55"/>
  <c r="N709" i="55"/>
  <c r="N721" i="55"/>
  <c r="N725" i="55"/>
  <c r="N738" i="55"/>
  <c r="N746" i="55"/>
  <c r="N747" i="55"/>
  <c r="N748" i="55"/>
  <c r="N749" i="55"/>
  <c r="N750" i="55"/>
  <c r="N751" i="55"/>
  <c r="N752" i="55"/>
  <c r="N753" i="55"/>
  <c r="N754" i="55"/>
  <c r="N755" i="55"/>
  <c r="N756" i="55"/>
  <c r="N757" i="55"/>
  <c r="N758" i="55"/>
  <c r="N759" i="55"/>
  <c r="N760" i="55"/>
  <c r="N761" i="55"/>
  <c r="N762" i="55"/>
  <c r="N763" i="55"/>
  <c r="N764" i="55"/>
  <c r="N765" i="55"/>
  <c r="N766" i="55"/>
  <c r="N767" i="55"/>
  <c r="N777" i="55"/>
  <c r="N778" i="55"/>
  <c r="N779" i="55"/>
  <c r="N780" i="55"/>
  <c r="N781" i="55"/>
  <c r="N782" i="55"/>
  <c r="N783" i="55"/>
  <c r="N784" i="55"/>
  <c r="N785" i="55"/>
  <c r="N786" i="55"/>
  <c r="N787" i="55"/>
  <c r="N788" i="55"/>
  <c r="N789" i="55"/>
  <c r="N790" i="55"/>
  <c r="N791" i="55"/>
  <c r="N792" i="55"/>
  <c r="N793" i="55"/>
  <c r="N794" i="55"/>
  <c r="N795" i="55"/>
  <c r="N796" i="55"/>
  <c r="N797" i="55"/>
  <c r="N798" i="55"/>
  <c r="N799" i="55"/>
  <c r="N800" i="55"/>
  <c r="N801" i="55"/>
  <c r="N802" i="55"/>
  <c r="N803" i="55"/>
  <c r="N804" i="55"/>
  <c r="N816" i="55"/>
  <c r="N821" i="55"/>
  <c r="N826" i="55"/>
  <c r="N832" i="55"/>
  <c r="N835" i="55"/>
  <c r="N843" i="55"/>
  <c r="N844" i="55"/>
  <c r="N845" i="55"/>
  <c r="N846" i="55"/>
  <c r="N856" i="55"/>
  <c r="N859" i="55"/>
  <c r="N860" i="55"/>
  <c r="N861" i="55"/>
  <c r="N862" i="55"/>
  <c r="N863" i="55"/>
  <c r="N864" i="55"/>
  <c r="N868" i="55"/>
  <c r="N880" i="55"/>
  <c r="N887" i="55"/>
  <c r="N889" i="55"/>
  <c r="N893" i="55"/>
  <c r="N894" i="55"/>
  <c r="N898" i="55"/>
  <c r="N899" i="55"/>
  <c r="N900" i="55"/>
  <c r="N901" i="55"/>
  <c r="N913" i="55"/>
  <c r="N915" i="55"/>
  <c r="N916" i="55"/>
  <c r="N918" i="55"/>
  <c r="N926" i="55"/>
  <c r="N927" i="55"/>
  <c r="N929" i="55"/>
  <c r="N931" i="55"/>
  <c r="N932" i="55"/>
  <c r="N933" i="55"/>
  <c r="N934" i="55"/>
  <c r="N1007" i="55"/>
  <c r="N1008" i="55"/>
  <c r="N1009" i="55"/>
  <c r="N1013" i="55"/>
  <c r="N1014" i="55"/>
  <c r="N1015" i="55"/>
  <c r="N1016" i="55"/>
  <c r="N1107" i="55"/>
  <c r="N1108" i="55"/>
  <c r="N1109" i="55"/>
  <c r="T730" i="55" l="1"/>
  <c r="B193" i="78"/>
  <c r="F193" i="78" s="1"/>
  <c r="T628" i="55"/>
  <c r="B166" i="78"/>
  <c r="F166" i="78" s="1"/>
  <c r="S731" i="55"/>
  <c r="B177" i="78" s="1"/>
  <c r="S400" i="55"/>
  <c r="B70" i="78" s="1"/>
  <c r="S348" i="55"/>
  <c r="B51" i="78" s="1"/>
  <c r="S536" i="55"/>
  <c r="T536" i="55" s="1"/>
  <c r="S342" i="55"/>
  <c r="B45" i="78" s="1"/>
  <c r="S726" i="55"/>
  <c r="B184" i="78" s="1"/>
  <c r="S923" i="55"/>
  <c r="B154" i="78" s="1"/>
  <c r="S871" i="55"/>
  <c r="B147" i="78" s="1"/>
  <c r="S442" i="55"/>
  <c r="B79" i="78" s="1"/>
  <c r="S876" i="55"/>
  <c r="B73" i="78" s="1"/>
  <c r="S291" i="55"/>
  <c r="B36" i="78" s="1"/>
  <c r="S252" i="55"/>
  <c r="B93" i="78" s="1"/>
  <c r="S229" i="55"/>
  <c r="B33" i="78" s="1"/>
  <c r="S551" i="55"/>
  <c r="T551" i="55" s="1"/>
  <c r="S545" i="55"/>
  <c r="T545" i="55" s="1"/>
  <c r="S538" i="55"/>
  <c r="T538" i="55" s="1"/>
  <c r="S377" i="55"/>
  <c r="T377" i="55" s="1"/>
  <c r="S513" i="55"/>
  <c r="B90" i="78" s="1"/>
  <c r="S875" i="55"/>
  <c r="B151" i="78" s="1"/>
  <c r="S870" i="55"/>
  <c r="B146" i="78" s="1"/>
  <c r="S885" i="55"/>
  <c r="B128" i="78" s="1"/>
  <c r="S322" i="55"/>
  <c r="B38" i="78" s="1"/>
  <c r="S707" i="55"/>
  <c r="B172" i="78" s="1"/>
  <c r="S877" i="55"/>
  <c r="B114" i="78" s="1"/>
  <c r="S337" i="55"/>
  <c r="B42" i="78" s="1"/>
  <c r="S430" i="55"/>
  <c r="B74" i="78" s="1"/>
  <c r="S368" i="55"/>
  <c r="B59" i="78" s="1"/>
  <c r="S702" i="55"/>
  <c r="B170" i="78" s="1"/>
  <c r="S736" i="55"/>
  <c r="B180" i="78" s="1"/>
  <c r="S711" i="55"/>
  <c r="B178" i="78" s="1"/>
  <c r="S705" i="55"/>
  <c r="B117" i="78" s="1"/>
  <c r="S627" i="55"/>
  <c r="B165" i="78" s="1"/>
  <c r="B139" i="78"/>
  <c r="B68" i="78"/>
  <c r="B138" i="78"/>
  <c r="B153" i="78"/>
  <c r="B65" i="78"/>
  <c r="S886" i="55"/>
  <c r="B129" i="78" s="1"/>
  <c r="S339" i="55"/>
  <c r="B43" i="78" s="1"/>
  <c r="S347" i="55"/>
  <c r="B50" i="78" s="1"/>
  <c r="S452" i="55"/>
  <c r="B76" i="78" s="1"/>
  <c r="S874" i="55"/>
  <c r="B150" i="78" s="1"/>
  <c r="S869" i="55"/>
  <c r="B145" i="78" s="1"/>
  <c r="S510" i="55"/>
  <c r="B87" i="78" s="1"/>
  <c r="S433" i="55"/>
  <c r="B75" i="78" s="1"/>
  <c r="S402" i="55"/>
  <c r="B71" i="78" s="1"/>
  <c r="S346" i="55"/>
  <c r="B49" i="78" s="1"/>
  <c r="S307" i="55"/>
  <c r="B37" i="78" s="1"/>
  <c r="S290" i="55"/>
  <c r="B35" i="78" s="1"/>
  <c r="S253" i="55"/>
  <c r="B94" i="78" s="1"/>
  <c r="S552" i="55"/>
  <c r="T552" i="55" s="1"/>
  <c r="S546" i="55"/>
  <c r="T546" i="55" s="1"/>
  <c r="S544" i="55"/>
  <c r="T544" i="55" s="1"/>
  <c r="S371" i="55"/>
  <c r="B61" i="78" s="1"/>
  <c r="S511" i="55"/>
  <c r="B88" i="78" s="1"/>
  <c r="S512" i="55"/>
  <c r="B89" i="78" s="1"/>
  <c r="S354" i="55"/>
  <c r="B54" i="78" s="1"/>
  <c r="S878" i="55"/>
  <c r="S888" i="55"/>
  <c r="B182" i="78" s="1"/>
  <c r="S454" i="55"/>
  <c r="B82" i="78" s="1"/>
  <c r="S441" i="55"/>
  <c r="B78" i="78" s="1"/>
  <c r="S367" i="55"/>
  <c r="B58" i="78" s="1"/>
  <c r="S684" i="55"/>
  <c r="B136" i="78" s="1"/>
  <c r="S626" i="55"/>
  <c r="B164" i="78" s="1"/>
  <c r="S620" i="55"/>
  <c r="B169" i="78" s="1"/>
  <c r="S704" i="55"/>
  <c r="B116" i="78" s="1"/>
  <c r="B185" i="78"/>
  <c r="F185" i="78" s="1"/>
  <c r="B183" i="78"/>
  <c r="F183" i="78" s="1"/>
  <c r="E537" i="55"/>
  <c r="E664" i="55"/>
  <c r="E677" i="55"/>
  <c r="E636" i="55"/>
  <c r="B189" i="78"/>
  <c r="F189" i="78" s="1"/>
  <c r="B188" i="78"/>
  <c r="F188" i="78" s="1"/>
  <c r="E672" i="55"/>
  <c r="E344" i="55"/>
  <c r="E2313" i="71"/>
  <c r="H2313" i="71" s="1"/>
  <c r="H2314" i="71" s="1"/>
  <c r="E720" i="55" s="1"/>
  <c r="E6" i="55"/>
  <c r="S6" i="55" s="1"/>
  <c r="B5" i="78" s="1"/>
  <c r="B190" i="78"/>
  <c r="F190" i="78" s="1"/>
  <c r="F628" i="55"/>
  <c r="E696" i="55"/>
  <c r="E662" i="55"/>
  <c r="E590" i="55"/>
  <c r="E591" i="55"/>
  <c r="B81" i="78"/>
  <c r="F81" i="78" s="1"/>
  <c r="E558" i="55"/>
  <c r="E844" i="71"/>
  <c r="H844" i="71" s="1"/>
  <c r="H2232" i="71"/>
  <c r="H2233" i="71" s="1"/>
  <c r="E735" i="55" s="1"/>
  <c r="E38" i="55"/>
  <c r="E534" i="55"/>
  <c r="B196" i="78"/>
  <c r="F196" i="78" s="1"/>
  <c r="E45" i="55"/>
  <c r="S45" i="55" s="1"/>
  <c r="B186" i="78"/>
  <c r="F186" i="78" s="1"/>
  <c r="B195" i="78"/>
  <c r="F195" i="78" s="1"/>
  <c r="B187" i="78"/>
  <c r="F187" i="78" s="1"/>
  <c r="B157" i="78"/>
  <c r="F157" i="78" s="1"/>
  <c r="B175" i="78"/>
  <c r="F175" i="78" s="1"/>
  <c r="A113" i="78"/>
  <c r="A114" i="78" s="1"/>
  <c r="A115" i="78" s="1"/>
  <c r="A118" i="78" s="1"/>
  <c r="A119" i="78" s="1"/>
  <c r="A120" i="78" s="1"/>
  <c r="A121" i="78" s="1"/>
  <c r="A122" i="78" s="1"/>
  <c r="A125" i="78" s="1"/>
  <c r="A988" i="76"/>
  <c r="A993" i="55"/>
  <c r="A944" i="76"/>
  <c r="A946" i="76" s="1"/>
  <c r="A949" i="55"/>
  <c r="A24" i="72"/>
  <c r="A20" i="72" s="1"/>
  <c r="A21" i="72" s="1"/>
  <c r="A22" i="72" s="1"/>
  <c r="A26" i="72" s="1"/>
  <c r="A27" i="72" s="1"/>
  <c r="A28" i="72" s="1"/>
  <c r="A30" i="72" s="1"/>
  <c r="A31" i="72" s="1"/>
  <c r="A32" i="72" s="1"/>
  <c r="A33" i="72" s="1"/>
  <c r="E323" i="55"/>
  <c r="E781" i="55"/>
  <c r="S781" i="55" s="1"/>
  <c r="T781" i="55" s="1"/>
  <c r="E784" i="55"/>
  <c r="S784" i="55" s="1"/>
  <c r="T784" i="55" s="1"/>
  <c r="E2325" i="71"/>
  <c r="H2325" i="71" s="1"/>
  <c r="H2326" i="71" s="1"/>
  <c r="E729" i="55" s="1"/>
  <c r="S729" i="55" s="1"/>
  <c r="T729" i="55" s="1"/>
  <c r="E557" i="55"/>
  <c r="E867" i="55"/>
  <c r="E2148" i="71"/>
  <c r="H2148" i="71" s="1"/>
  <c r="H2149" i="71" s="1"/>
  <c r="E927" i="55" s="1"/>
  <c r="S927" i="55" s="1"/>
  <c r="T927" i="55" s="1"/>
  <c r="E924" i="55"/>
  <c r="E2089" i="71"/>
  <c r="H2089" i="71" s="1"/>
  <c r="H2090" i="71" s="1"/>
  <c r="E872" i="55"/>
  <c r="G1060" i="71"/>
  <c r="H1060" i="71" s="1"/>
  <c r="B134" i="78"/>
  <c r="G1061" i="71"/>
  <c r="H1061" i="71" s="1"/>
  <c r="B135" i="78"/>
  <c r="H1791" i="71"/>
  <c r="H1792" i="71" s="1"/>
  <c r="E1924" i="71"/>
  <c r="H1924" i="71" s="1"/>
  <c r="E2353" i="71" s="1"/>
  <c r="H845" i="71"/>
  <c r="H846" i="71" s="1"/>
  <c r="E341" i="55" s="1"/>
  <c r="P13" i="4"/>
  <c r="D11" i="4"/>
  <c r="D12" i="4" s="1"/>
  <c r="I729" i="11"/>
  <c r="C601" i="1"/>
  <c r="Y44" i="1"/>
  <c r="Y37" i="1"/>
  <c r="Y36" i="1"/>
  <c r="B118" i="78" l="1"/>
  <c r="B24" i="78"/>
  <c r="B26" i="78"/>
  <c r="B31" i="78"/>
  <c r="S341" i="55"/>
  <c r="B44" i="78" s="1"/>
  <c r="S557" i="55"/>
  <c r="B110" i="78" s="1"/>
  <c r="S872" i="55"/>
  <c r="B148" i="78" s="1"/>
  <c r="S924" i="55"/>
  <c r="B152" i="78" s="1"/>
  <c r="S867" i="55"/>
  <c r="B132" i="78" s="1"/>
  <c r="S38" i="55"/>
  <c r="B12" i="78" s="1"/>
  <c r="S590" i="55"/>
  <c r="B97" i="78" s="1"/>
  <c r="S696" i="55"/>
  <c r="B161" i="78" s="1"/>
  <c r="S720" i="55"/>
  <c r="T720" i="55" s="1"/>
  <c r="S344" i="55"/>
  <c r="S636" i="55"/>
  <c r="B104" i="78" s="1"/>
  <c r="S664" i="55"/>
  <c r="B109" i="78" s="1"/>
  <c r="B66" i="78"/>
  <c r="B20" i="78"/>
  <c r="B25" i="78"/>
  <c r="B30" i="78"/>
  <c r="B18" i="78"/>
  <c r="S323" i="55"/>
  <c r="B39" i="78" s="1"/>
  <c r="B13" i="78"/>
  <c r="S534" i="55"/>
  <c r="B15" i="78" s="1"/>
  <c r="S735" i="55"/>
  <c r="B179" i="78" s="1"/>
  <c r="S558" i="55"/>
  <c r="S591" i="55"/>
  <c r="B98" i="78" s="1"/>
  <c r="S662" i="55"/>
  <c r="S672" i="55"/>
  <c r="B120" i="78" s="1"/>
  <c r="S677" i="55"/>
  <c r="S537" i="55"/>
  <c r="T537" i="55" s="1"/>
  <c r="E695" i="55"/>
  <c r="H1926" i="71"/>
  <c r="H1927" i="71" s="1"/>
  <c r="E592" i="55"/>
  <c r="E353" i="55"/>
  <c r="E993" i="71"/>
  <c r="H993" i="71" s="1"/>
  <c r="H994" i="71" s="1"/>
  <c r="E712" i="55" s="1"/>
  <c r="H2305" i="71"/>
  <c r="H2306" i="71" s="1"/>
  <c r="F729" i="55"/>
  <c r="B126" i="78"/>
  <c r="F126" i="78" s="1"/>
  <c r="B192" i="78"/>
  <c r="F192" i="78" s="1"/>
  <c r="B156" i="78"/>
  <c r="F156" i="78" s="1"/>
  <c r="A126" i="78"/>
  <c r="A127" i="78" s="1"/>
  <c r="A950" i="55"/>
  <c r="A989" i="76"/>
  <c r="A994" i="55"/>
  <c r="H1065" i="71"/>
  <c r="H1066" i="71" s="1"/>
  <c r="E355" i="55" s="1"/>
  <c r="S355" i="55" l="1"/>
  <c r="B55" i="78" s="1"/>
  <c r="S712" i="55"/>
  <c r="B171" i="78" s="1"/>
  <c r="S592" i="55"/>
  <c r="B99" i="78" s="1"/>
  <c r="S695" i="55"/>
  <c r="B159" i="78" s="1"/>
  <c r="B19" i="78"/>
  <c r="B69" i="78"/>
  <c r="B108" i="78"/>
  <c r="B84" i="78"/>
  <c r="B47" i="78"/>
  <c r="B113" i="78"/>
  <c r="S353" i="55"/>
  <c r="B53" i="78" s="1"/>
  <c r="H2353" i="71"/>
  <c r="B111" i="78" s="1"/>
  <c r="E719" i="55"/>
  <c r="B194" i="78"/>
  <c r="F194" i="78" s="1"/>
  <c r="A128" i="78"/>
  <c r="A129" i="78" s="1"/>
  <c r="A130" i="78" s="1"/>
  <c r="A131" i="78" s="1"/>
  <c r="A132" i="78" s="1"/>
  <c r="A133" i="78" s="1"/>
  <c r="A136" i="78" s="1"/>
  <c r="A137" i="78" s="1"/>
  <c r="A140" i="78" s="1"/>
  <c r="A142" i="78" s="1"/>
  <c r="A144" i="78" s="1"/>
  <c r="A148" i="78" s="1"/>
  <c r="A149" i="78" s="1"/>
  <c r="A150" i="78" s="1"/>
  <c r="A151" i="78" s="1"/>
  <c r="A152" i="78" s="1"/>
  <c r="A153" i="78" s="1"/>
  <c r="A154" i="78" s="1"/>
  <c r="A990" i="76"/>
  <c r="A995" i="55"/>
  <c r="A952" i="55"/>
  <c r="S719" i="55" l="1"/>
  <c r="B112" i="78" s="1"/>
  <c r="A155" i="78"/>
  <c r="A158" i="78" s="1"/>
  <c r="A159" i="78" s="1"/>
  <c r="A991" i="76"/>
  <c r="A997" i="55" s="1"/>
  <c r="A996" i="55"/>
  <c r="A162" i="78" l="1"/>
  <c r="A160" i="78"/>
  <c r="A163" i="78" s="1"/>
  <c r="AE10" i="1"/>
  <c r="AE11" i="1"/>
  <c r="AE12" i="1"/>
  <c r="AE13" i="1"/>
  <c r="AE14" i="1"/>
  <c r="AE15" i="1"/>
  <c r="AE16" i="1"/>
  <c r="AE17" i="1"/>
  <c r="AE18" i="1"/>
  <c r="AE19" i="1"/>
  <c r="AE20" i="1"/>
  <c r="AE21" i="1"/>
  <c r="AE22" i="1"/>
  <c r="AE23" i="1"/>
  <c r="AE24" i="1"/>
  <c r="AE25" i="1"/>
  <c r="AE26" i="1"/>
  <c r="AE27" i="1"/>
  <c r="AE28" i="1"/>
  <c r="AE29" i="1"/>
  <c r="AE30" i="1"/>
  <c r="AE31" i="1"/>
  <c r="AE32" i="1"/>
  <c r="AE33" i="1"/>
  <c r="AE34" i="1"/>
  <c r="AE35" i="1"/>
  <c r="AE36" i="1"/>
  <c r="AE37" i="1"/>
  <c r="AE38" i="1"/>
  <c r="AE39" i="1"/>
  <c r="AE40" i="1"/>
  <c r="AE41" i="1"/>
  <c r="AE42" i="1"/>
  <c r="AE44" i="1"/>
  <c r="AE45" i="1"/>
  <c r="AE47" i="1"/>
  <c r="AE48" i="1"/>
  <c r="AE49" i="1"/>
  <c r="AE50" i="1"/>
  <c r="AE51" i="1"/>
  <c r="AE52" i="1"/>
  <c r="AE53" i="1"/>
  <c r="AE54" i="1"/>
  <c r="AE55" i="1"/>
  <c r="AE56" i="1"/>
  <c r="AE57" i="1"/>
  <c r="AE58" i="1"/>
  <c r="AE59" i="1"/>
  <c r="AE60" i="1"/>
  <c r="AE61" i="1"/>
  <c r="AE62" i="1"/>
  <c r="AE63" i="1"/>
  <c r="AE64" i="1"/>
  <c r="AE65" i="1"/>
  <c r="AE66" i="1"/>
  <c r="AE67" i="1"/>
  <c r="AE68" i="1"/>
  <c r="AE69" i="1"/>
  <c r="AE70" i="1"/>
  <c r="AE71" i="1"/>
  <c r="AE72" i="1"/>
  <c r="AE73" i="1"/>
  <c r="AE74" i="1"/>
  <c r="AE75" i="1"/>
  <c r="AE76" i="1"/>
  <c r="AE77" i="1"/>
  <c r="AE78" i="1"/>
  <c r="AE79" i="1"/>
  <c r="AE80" i="1"/>
  <c r="AE81" i="1"/>
  <c r="AE82" i="1"/>
  <c r="AE83" i="1"/>
  <c r="AE84" i="1"/>
  <c r="AE85" i="1"/>
  <c r="AE86" i="1"/>
  <c r="AE87" i="1"/>
  <c r="AE88" i="1"/>
  <c r="AE89" i="1"/>
  <c r="AE90" i="1"/>
  <c r="AE91" i="1"/>
  <c r="AE92" i="1"/>
  <c r="AE93" i="1"/>
  <c r="AE94" i="1"/>
  <c r="AE95" i="1"/>
  <c r="AE96" i="1"/>
  <c r="AE97" i="1"/>
  <c r="AE98" i="1"/>
  <c r="AE99" i="1"/>
  <c r="AE100" i="1"/>
  <c r="AE101" i="1"/>
  <c r="AE102" i="1"/>
  <c r="AE103" i="1"/>
  <c r="AE104" i="1"/>
  <c r="AE105" i="1"/>
  <c r="AE106" i="1"/>
  <c r="AE9" i="1"/>
  <c r="F3439" i="1"/>
  <c r="F3440" i="1"/>
  <c r="F3441" i="1"/>
  <c r="F3442" i="1"/>
  <c r="AJ67" i="1" l="1"/>
  <c r="AI67" i="1"/>
  <c r="AK67" i="1"/>
  <c r="A161" i="78"/>
  <c r="A167" i="78"/>
  <c r="A170" i="78" s="1"/>
  <c r="A171" i="78" s="1"/>
  <c r="A172" i="78" s="1"/>
  <c r="A173" i="78" s="1"/>
  <c r="A174" i="78" s="1"/>
  <c r="A175" i="78" s="1"/>
  <c r="A176" i="78" s="1"/>
  <c r="A177" i="78" s="1"/>
  <c r="A178" i="78" s="1"/>
  <c r="A179" i="78" s="1"/>
  <c r="A180" i="78" s="1"/>
  <c r="A181" i="78" s="1"/>
  <c r="F3443" i="1"/>
  <c r="K3439" i="1"/>
  <c r="F65" i="65"/>
  <c r="F64" i="65"/>
  <c r="F63" i="65"/>
  <c r="F62" i="65"/>
  <c r="F61" i="65"/>
  <c r="F60" i="65"/>
  <c r="F59" i="65"/>
  <c r="F58" i="65"/>
  <c r="F57" i="65"/>
  <c r="F56" i="65"/>
  <c r="F55" i="65"/>
  <c r="F54" i="65"/>
  <c r="F53" i="65"/>
  <c r="F52" i="65"/>
  <c r="F51" i="65"/>
  <c r="F50" i="65"/>
  <c r="F49" i="65"/>
  <c r="F48" i="65"/>
  <c r="F47" i="65"/>
  <c r="F46" i="65"/>
  <c r="F45" i="65"/>
  <c r="F44" i="65"/>
  <c r="F43" i="65"/>
  <c r="F42" i="65"/>
  <c r="F41" i="65"/>
  <c r="F40" i="65"/>
  <c r="F39" i="65"/>
  <c r="F38" i="65"/>
  <c r="F37" i="65"/>
  <c r="F36" i="65"/>
  <c r="F35" i="65"/>
  <c r="F34" i="65"/>
  <c r="F33" i="65"/>
  <c r="F32" i="65"/>
  <c r="F31" i="65"/>
  <c r="F30" i="65"/>
  <c r="F29" i="65"/>
  <c r="D28" i="65"/>
  <c r="F28" i="65" s="1"/>
  <c r="F27" i="65"/>
  <c r="F26" i="65"/>
  <c r="F25" i="65"/>
  <c r="F24" i="65"/>
  <c r="F23" i="65"/>
  <c r="F22" i="65"/>
  <c r="F21" i="65"/>
  <c r="F20" i="65"/>
  <c r="D12" i="65"/>
  <c r="D11" i="65"/>
  <c r="E10" i="65"/>
  <c r="D10" i="65"/>
  <c r="D9" i="65"/>
  <c r="P1887" i="1"/>
  <c r="P1890" i="1"/>
  <c r="P1889" i="1"/>
  <c r="A182" i="78" l="1"/>
  <c r="A183" i="78" s="1"/>
  <c r="A184" i="78" s="1"/>
  <c r="A185" i="78" s="1"/>
  <c r="F67" i="65"/>
  <c r="F68" i="65" s="1"/>
  <c r="F69" i="65" s="1"/>
  <c r="F72" i="65" s="1"/>
  <c r="D13" i="65"/>
  <c r="D14" i="65" s="1"/>
  <c r="D15" i="65" s="1"/>
  <c r="D16" i="65" s="1"/>
  <c r="I1070" i="11"/>
  <c r="L1056" i="11"/>
  <c r="K1053" i="11"/>
  <c r="L1034" i="11"/>
  <c r="K1030" i="11"/>
  <c r="L992" i="11"/>
  <c r="P433" i="1"/>
  <c r="R3521" i="1"/>
  <c r="I3508" i="1" s="1"/>
  <c r="AH66" i="1"/>
  <c r="AH67" i="1"/>
  <c r="AH68" i="1"/>
  <c r="AH69" i="1"/>
  <c r="AH70" i="1"/>
  <c r="AH71" i="1"/>
  <c r="AH72" i="1"/>
  <c r="AH73" i="1"/>
  <c r="AH74" i="1"/>
  <c r="AG66" i="1"/>
  <c r="AG67" i="1"/>
  <c r="AG68" i="1"/>
  <c r="AG69" i="1"/>
  <c r="AG70" i="1"/>
  <c r="AG71" i="1"/>
  <c r="AG72" i="1"/>
  <c r="AG73" i="1"/>
  <c r="AG74" i="1"/>
  <c r="AG75" i="1"/>
  <c r="AG76" i="1"/>
  <c r="AG77" i="1"/>
  <c r="I3389" i="1"/>
  <c r="H992" i="1"/>
  <c r="H1022" i="1" s="1"/>
  <c r="H1057" i="1" s="1"/>
  <c r="H993" i="1"/>
  <c r="H1023" i="1" s="1"/>
  <c r="H994" i="1"/>
  <c r="H1024" i="1" s="1"/>
  <c r="H995" i="1"/>
  <c r="H1025" i="1" s="1"/>
  <c r="H996" i="1"/>
  <c r="H1026" i="1" s="1"/>
  <c r="H991" i="1"/>
  <c r="H1021" i="1" s="1"/>
  <c r="L668" i="11"/>
  <c r="I3759" i="1"/>
  <c r="L1118" i="11"/>
  <c r="L1095" i="11"/>
  <c r="E15" i="4"/>
  <c r="E14" i="4"/>
  <c r="N12" i="4"/>
  <c r="K12" i="4"/>
  <c r="K11" i="4"/>
  <c r="H11" i="4"/>
  <c r="A186" i="78" l="1"/>
  <c r="A187" i="78" s="1"/>
  <c r="A188" i="78" s="1"/>
  <c r="A189" i="78" s="1"/>
  <c r="K3736" i="1"/>
  <c r="AB1262" i="1"/>
  <c r="A190" i="78" l="1"/>
  <c r="S65" i="11"/>
  <c r="S66" i="11" s="1"/>
  <c r="M3023" i="27"/>
  <c r="H3020" i="27"/>
  <c r="L3011" i="27"/>
  <c r="A191" i="78" l="1"/>
  <c r="A192" i="78" s="1"/>
  <c r="G7" i="32"/>
  <c r="A193" i="78" l="1"/>
  <c r="A194" i="78" s="1"/>
  <c r="A195" i="78" s="1"/>
  <c r="A196" i="78" s="1"/>
  <c r="A198" i="78" s="1"/>
  <c r="A200" i="78" s="1"/>
  <c r="A201" i="78" s="1"/>
  <c r="K977" i="11"/>
  <c r="B499" i="55"/>
  <c r="B500" i="55"/>
  <c r="B498" i="55"/>
  <c r="A208" i="78" l="1"/>
  <c r="A209" i="78" s="1"/>
  <c r="A210" i="78" s="1"/>
  <c r="A211" i="78" s="1"/>
  <c r="A214" i="78" s="1"/>
  <c r="A202" i="78"/>
  <c r="A204" i="78" s="1"/>
  <c r="A206" i="78" s="1"/>
  <c r="E886" i="64"/>
  <c r="C886" i="64"/>
  <c r="G877" i="64"/>
  <c r="E876" i="64"/>
  <c r="C840" i="64"/>
  <c r="C895" i="64" s="1"/>
  <c r="C839" i="64"/>
  <c r="C894" i="64" s="1"/>
  <c r="C838" i="64"/>
  <c r="C893" i="64" s="1"/>
  <c r="C836" i="64"/>
  <c r="C891" i="64" s="1"/>
  <c r="C835" i="64"/>
  <c r="C890" i="64" s="1"/>
  <c r="C834" i="64"/>
  <c r="C889" i="64" s="1"/>
  <c r="C833" i="64"/>
  <c r="C888" i="64" s="1"/>
  <c r="C832" i="64"/>
  <c r="C887" i="64" s="1"/>
  <c r="C830" i="64"/>
  <c r="C885" i="64" s="1"/>
  <c r="C829" i="64"/>
  <c r="C884" i="64" s="1"/>
  <c r="C828" i="64"/>
  <c r="C883" i="64" s="1"/>
  <c r="C827" i="64"/>
  <c r="C882" i="64" s="1"/>
  <c r="C826" i="64"/>
  <c r="C881" i="64" s="1"/>
  <c r="C825" i="64"/>
  <c r="C880" i="64" s="1"/>
  <c r="C824" i="64"/>
  <c r="C879" i="64" s="1"/>
  <c r="C823" i="64"/>
  <c r="C878" i="64" s="1"/>
  <c r="C822" i="64"/>
  <c r="E822" i="64"/>
  <c r="G822" i="64" s="1"/>
  <c r="E819" i="64"/>
  <c r="G819" i="64" s="1"/>
  <c r="C819" i="64"/>
  <c r="E814" i="64"/>
  <c r="G814" i="64" s="1"/>
  <c r="E813" i="64"/>
  <c r="G813" i="64" s="1"/>
  <c r="C813" i="64"/>
  <c r="E812" i="64"/>
  <c r="G812" i="64" s="1"/>
  <c r="C812" i="64"/>
  <c r="A837" i="64"/>
  <c r="A216" i="78" l="1"/>
  <c r="A217" i="78" s="1"/>
  <c r="A218" i="78" s="1"/>
  <c r="E869" i="64"/>
  <c r="G869" i="64" s="1"/>
  <c r="E867" i="64"/>
  <c r="G867" i="64" s="1"/>
  <c r="E874" i="64"/>
  <c r="G874" i="64" s="1"/>
  <c r="E868" i="64"/>
  <c r="G868" i="64" s="1"/>
  <c r="E820" i="64"/>
  <c r="A219" i="78" l="1"/>
  <c r="A220" i="78" s="1"/>
  <c r="A236" i="78" s="1"/>
  <c r="A238" i="78" s="1"/>
  <c r="A245" i="78" s="1"/>
  <c r="A247" i="78" s="1"/>
  <c r="A248" i="78" s="1"/>
  <c r="A250" i="78" s="1"/>
  <c r="A251" i="78" s="1"/>
  <c r="A252" i="78" s="1"/>
  <c r="A253" i="78" s="1"/>
  <c r="A254" i="78" s="1"/>
  <c r="A255" i="78" s="1"/>
  <c r="A256" i="78" s="1"/>
  <c r="A257" i="78" s="1"/>
  <c r="A258" i="78" s="1"/>
  <c r="A259" i="78" s="1"/>
  <c r="A261" i="78" s="1"/>
  <c r="A262" i="78" s="1"/>
  <c r="A263" i="78" s="1"/>
  <c r="A264" i="78" s="1"/>
  <c r="A265" i="78" s="1"/>
  <c r="A266" i="78" s="1"/>
  <c r="A267" i="78" s="1"/>
  <c r="G820" i="64"/>
  <c r="E875" i="64"/>
  <c r="G875" i="64" s="1"/>
  <c r="S288" i="11" l="1"/>
  <c r="P2113" i="1"/>
  <c r="R2113" i="1" s="1"/>
  <c r="AD3627" i="1"/>
  <c r="AB3626" i="1"/>
  <c r="AD3626" i="1" s="1"/>
  <c r="AC3617" i="1"/>
  <c r="Y3618" i="1" s="1"/>
  <c r="Y3619" i="1" s="1"/>
  <c r="I851" i="11"/>
  <c r="X46" i="1"/>
  <c r="X47" i="1" s="1"/>
  <c r="X45" i="1"/>
  <c r="X43" i="1"/>
  <c r="X41" i="1"/>
  <c r="X39" i="1"/>
  <c r="X38" i="1"/>
  <c r="X32" i="1"/>
  <c r="X31" i="1"/>
  <c r="X25" i="1"/>
  <c r="X26" i="1" s="1"/>
  <c r="X27" i="1" s="1"/>
  <c r="X28" i="1" s="1"/>
  <c r="X23" i="1"/>
  <c r="X21" i="1"/>
  <c r="X18" i="1"/>
  <c r="X29" i="1" s="1"/>
  <c r="X34" i="1" s="1"/>
  <c r="X16" i="1"/>
  <c r="X17" i="1" s="1"/>
  <c r="X11" i="1"/>
  <c r="X44" i="1" s="1"/>
  <c r="X10" i="1"/>
  <c r="X9" i="1"/>
  <c r="Z31" i="1"/>
  <c r="Z32" i="1" s="1"/>
  <c r="Z21" i="1"/>
  <c r="R377" i="11"/>
  <c r="R375" i="11"/>
  <c r="L752" i="11"/>
  <c r="I731" i="11"/>
  <c r="K731" i="11" s="1"/>
  <c r="I730" i="11"/>
  <c r="K730" i="11" s="1"/>
  <c r="M735" i="11"/>
  <c r="L707" i="11"/>
  <c r="I522" i="11"/>
  <c r="I755" i="11" s="1"/>
  <c r="K755" i="11" s="1"/>
  <c r="I481" i="11"/>
  <c r="K481" i="11" s="1"/>
  <c r="L481" i="11"/>
  <c r="K479" i="11"/>
  <c r="K478" i="11"/>
  <c r="K1254" i="11"/>
  <c r="K1253" i="11"/>
  <c r="K1252" i="11"/>
  <c r="K1251" i="11"/>
  <c r="K1250" i="11"/>
  <c r="K1249" i="11"/>
  <c r="K1248" i="11"/>
  <c r="K1247" i="11"/>
  <c r="I1246" i="11"/>
  <c r="K1246" i="11" s="1"/>
  <c r="K1243" i="11"/>
  <c r="I1242" i="11"/>
  <c r="K1242" i="11" s="1"/>
  <c r="K1241" i="11"/>
  <c r="K1240" i="11"/>
  <c r="K1238" i="11"/>
  <c r="F1232" i="11"/>
  <c r="K1232" i="11" s="1"/>
  <c r="K1231" i="11"/>
  <c r="I1216" i="11"/>
  <c r="K1216" i="11" s="1"/>
  <c r="K1207" i="11"/>
  <c r="J1198" i="11"/>
  <c r="K1187" i="11"/>
  <c r="K1172" i="11"/>
  <c r="L1156" i="11"/>
  <c r="K1151" i="11"/>
  <c r="I1126" i="11"/>
  <c r="L1119" i="11"/>
  <c r="I1111" i="11"/>
  <c r="K1111" i="11" s="1"/>
  <c r="K1110" i="11"/>
  <c r="I1100" i="11"/>
  <c r="K1100" i="11" s="1"/>
  <c r="I1099" i="11"/>
  <c r="K1099" i="11" s="1"/>
  <c r="I1098" i="11"/>
  <c r="K1098" i="11" s="1"/>
  <c r="I1097" i="11"/>
  <c r="K1097" i="11" s="1"/>
  <c r="L1076" i="11"/>
  <c r="I1071" i="11"/>
  <c r="K1071" i="11" s="1"/>
  <c r="K1070" i="11"/>
  <c r="K1067" i="11"/>
  <c r="K1052" i="11"/>
  <c r="K1031" i="11"/>
  <c r="L1018" i="11"/>
  <c r="H1015" i="11"/>
  <c r="I1004" i="11"/>
  <c r="K1004" i="11" s="1"/>
  <c r="I1003" i="11"/>
  <c r="K1003" i="11" s="1"/>
  <c r="I1002" i="11"/>
  <c r="K1002" i="11" s="1"/>
  <c r="I1001" i="11"/>
  <c r="K1001" i="11" s="1"/>
  <c r="K985" i="11"/>
  <c r="K984" i="11"/>
  <c r="K1050" i="11" s="1"/>
  <c r="K982" i="11"/>
  <c r="I981" i="11"/>
  <c r="I980" i="11"/>
  <c r="K980" i="11" s="1"/>
  <c r="K1014" i="11" s="1"/>
  <c r="K1026" i="11" s="1"/>
  <c r="I978" i="11"/>
  <c r="K978" i="11" s="1"/>
  <c r="K1027" i="11"/>
  <c r="I975" i="11"/>
  <c r="K975" i="11" s="1"/>
  <c r="I974" i="11"/>
  <c r="K974" i="11" s="1"/>
  <c r="I973" i="11"/>
  <c r="K973" i="11" s="1"/>
  <c r="I972" i="11"/>
  <c r="K972" i="11" s="1"/>
  <c r="K955" i="11"/>
  <c r="K954" i="11"/>
  <c r="K946" i="11"/>
  <c r="K945" i="11"/>
  <c r="K939" i="11"/>
  <c r="K938" i="11"/>
  <c r="K934" i="11"/>
  <c r="K933" i="11"/>
  <c r="K927" i="11"/>
  <c r="H927" i="11"/>
  <c r="I926" i="11"/>
  <c r="K925" i="11"/>
  <c r="K908" i="11"/>
  <c r="K907" i="11"/>
  <c r="I893" i="11"/>
  <c r="K893" i="11" s="1"/>
  <c r="K890" i="11"/>
  <c r="K889" i="11"/>
  <c r="K888" i="11"/>
  <c r="H887" i="11"/>
  <c r="H3718" i="27" s="1"/>
  <c r="K886" i="11"/>
  <c r="K878" i="11"/>
  <c r="K876" i="11"/>
  <c r="K867" i="11"/>
  <c r="R865" i="11"/>
  <c r="R864" i="11"/>
  <c r="R863" i="11"/>
  <c r="R862" i="11"/>
  <c r="I862" i="11"/>
  <c r="K862" i="11" s="1"/>
  <c r="R861" i="11"/>
  <c r="M857" i="11"/>
  <c r="L857" i="11"/>
  <c r="I853" i="11"/>
  <c r="K853" i="11" s="1"/>
  <c r="K851" i="11"/>
  <c r="R849" i="11"/>
  <c r="R848" i="11"/>
  <c r="R847" i="11"/>
  <c r="R846" i="11"/>
  <c r="R845" i="11"/>
  <c r="R844" i="11"/>
  <c r="K840" i="11"/>
  <c r="K839" i="11"/>
  <c r="K838" i="11"/>
  <c r="I835" i="11"/>
  <c r="K835" i="11" s="1"/>
  <c r="I834" i="11"/>
  <c r="I887" i="11" s="1"/>
  <c r="K887" i="11" s="1"/>
  <c r="R833" i="11"/>
  <c r="R832" i="11"/>
  <c r="R831" i="11"/>
  <c r="R830" i="11"/>
  <c r="R829" i="11"/>
  <c r="Y813" i="11"/>
  <c r="I812" i="11"/>
  <c r="K812" i="11" s="1"/>
  <c r="P811" i="11"/>
  <c r="R811" i="11" s="1"/>
  <c r="K811" i="11"/>
  <c r="R810" i="11"/>
  <c r="Y803" i="11"/>
  <c r="R803" i="11"/>
  <c r="K803" i="11"/>
  <c r="K802" i="11"/>
  <c r="P782" i="11"/>
  <c r="R782" i="11" s="1"/>
  <c r="I782" i="11"/>
  <c r="I813" i="11" s="1"/>
  <c r="K813" i="11" s="1"/>
  <c r="P781" i="11"/>
  <c r="R781" i="11" s="1"/>
  <c r="K781" i="11"/>
  <c r="K780" i="11"/>
  <c r="L773" i="11"/>
  <c r="K773" i="11"/>
  <c r="J773" i="11"/>
  <c r="I773" i="11"/>
  <c r="K748" i="11"/>
  <c r="K747" i="11"/>
  <c r="K746" i="11"/>
  <c r="L733" i="11"/>
  <c r="N730" i="11"/>
  <c r="N729" i="11"/>
  <c r="M729" i="11"/>
  <c r="L729" i="11"/>
  <c r="K729" i="11"/>
  <c r="M724" i="11"/>
  <c r="I721" i="11"/>
  <c r="K721" i="11" s="1"/>
  <c r="K724" i="11" s="1"/>
  <c r="H721" i="11"/>
  <c r="K713" i="11"/>
  <c r="K715" i="11" s="1"/>
  <c r="I701" i="11"/>
  <c r="K701" i="11" s="1"/>
  <c r="K689" i="11"/>
  <c r="K692" i="11" s="1"/>
  <c r="L692" i="11" s="1"/>
  <c r="K681" i="11"/>
  <c r="K683" i="11" s="1"/>
  <c r="I674" i="11"/>
  <c r="I758" i="11" s="1"/>
  <c r="I673" i="11"/>
  <c r="I792" i="11" s="1"/>
  <c r="I672" i="11"/>
  <c r="I671" i="11"/>
  <c r="P671" i="11" s="1"/>
  <c r="R671" i="11" s="1"/>
  <c r="S669" i="11"/>
  <c r="I665" i="11"/>
  <c r="P665" i="11" s="1"/>
  <c r="R665" i="11" s="1"/>
  <c r="I664" i="11"/>
  <c r="I702" i="11" s="1"/>
  <c r="K702" i="11" s="1"/>
  <c r="P663" i="11"/>
  <c r="R663" i="11" s="1"/>
  <c r="K663" i="11"/>
  <c r="I646" i="11"/>
  <c r="K646" i="11" s="1"/>
  <c r="I644" i="11"/>
  <c r="K644" i="11" s="1"/>
  <c r="K635" i="11"/>
  <c r="I633" i="11"/>
  <c r="I632" i="11"/>
  <c r="K623" i="11"/>
  <c r="I622" i="11"/>
  <c r="K622" i="11" s="1"/>
  <c r="K606" i="11"/>
  <c r="K604" i="11"/>
  <c r="L586" i="11"/>
  <c r="M586" i="11" s="1"/>
  <c r="N586" i="11" s="1"/>
  <c r="O586" i="11" s="1"/>
  <c r="O583" i="11"/>
  <c r="N583" i="11"/>
  <c r="M583" i="11"/>
  <c r="L583" i="11"/>
  <c r="I583" i="11"/>
  <c r="H583" i="11"/>
  <c r="L567" i="11"/>
  <c r="M567" i="11" s="1"/>
  <c r="N567" i="11" s="1"/>
  <c r="O567" i="11" s="1"/>
  <c r="K564" i="11"/>
  <c r="K557" i="11"/>
  <c r="K552" i="11"/>
  <c r="I544" i="11"/>
  <c r="K544" i="11" s="1"/>
  <c r="J536" i="11"/>
  <c r="I521" i="11"/>
  <c r="K521" i="11" s="1"/>
  <c r="I520" i="11"/>
  <c r="I574" i="11" s="1"/>
  <c r="I519" i="11"/>
  <c r="K519" i="11" s="1"/>
  <c r="K513" i="11"/>
  <c r="K484" i="11"/>
  <c r="K483" i="11"/>
  <c r="N482" i="11"/>
  <c r="K482" i="11"/>
  <c r="K480" i="11"/>
  <c r="K477" i="11"/>
  <c r="K476" i="11"/>
  <c r="K475" i="11"/>
  <c r="K474" i="11"/>
  <c r="L462" i="11"/>
  <c r="L460" i="11"/>
  <c r="K458" i="11"/>
  <c r="K457" i="11"/>
  <c r="I428" i="11"/>
  <c r="I443" i="11" s="1"/>
  <c r="I427" i="11"/>
  <c r="K427" i="11" s="1"/>
  <c r="K426" i="11"/>
  <c r="I418" i="11"/>
  <c r="I436" i="11" s="1"/>
  <c r="I449" i="11" s="1"/>
  <c r="I466" i="11" s="1"/>
  <c r="I417" i="11"/>
  <c r="I435" i="11" s="1"/>
  <c r="I416" i="11"/>
  <c r="I434" i="11" s="1"/>
  <c r="L413" i="11"/>
  <c r="R410" i="11"/>
  <c r="K410" i="11"/>
  <c r="K409" i="11"/>
  <c r="R408" i="11"/>
  <c r="I400" i="11"/>
  <c r="K399" i="11"/>
  <c r="N391" i="11"/>
  <c r="I391" i="11" s="1"/>
  <c r="J391" i="11"/>
  <c r="K386" i="11"/>
  <c r="I376" i="11"/>
  <c r="K375" i="11"/>
  <c r="K361" i="11"/>
  <c r="K360" i="11"/>
  <c r="K349" i="11"/>
  <c r="I339" i="11"/>
  <c r="I350" i="11" s="1"/>
  <c r="K350" i="11" s="1"/>
  <c r="K338" i="11"/>
  <c r="I327" i="11"/>
  <c r="I367" i="11" s="1"/>
  <c r="K367" i="11" s="1"/>
  <c r="M323" i="11"/>
  <c r="K320" i="11"/>
  <c r="K319" i="11"/>
  <c r="I309" i="11"/>
  <c r="I328" i="11" s="1"/>
  <c r="I368" i="11" s="1"/>
  <c r="K368" i="11" s="1"/>
  <c r="K369" i="11" s="1"/>
  <c r="K370" i="11" s="1"/>
  <c r="I308" i="11"/>
  <c r="K308" i="11" s="1"/>
  <c r="S302" i="11"/>
  <c r="K302" i="11"/>
  <c r="K301" i="11"/>
  <c r="L302" i="11" s="1"/>
  <c r="R295" i="11"/>
  <c r="L291" i="11"/>
  <c r="L288" i="11"/>
  <c r="P284" i="11"/>
  <c r="P282" i="11"/>
  <c r="R282" i="11" s="1"/>
  <c r="K282" i="11"/>
  <c r="R281" i="11"/>
  <c r="I281" i="11"/>
  <c r="I662" i="11" s="1"/>
  <c r="L274" i="11"/>
  <c r="I270" i="11"/>
  <c r="I284" i="11" s="1"/>
  <c r="K284" i="11" s="1"/>
  <c r="K267" i="11"/>
  <c r="L261" i="11"/>
  <c r="K257" i="11"/>
  <c r="S249" i="11"/>
  <c r="L249" i="11"/>
  <c r="S247" i="11"/>
  <c r="R243" i="11"/>
  <c r="R240" i="11"/>
  <c r="L231" i="11"/>
  <c r="K215" i="11"/>
  <c r="L212" i="11"/>
  <c r="L211" i="11"/>
  <c r="I204" i="11"/>
  <c r="K204" i="11" s="1"/>
  <c r="L191" i="11"/>
  <c r="K189" i="11"/>
  <c r="K3020" i="27" s="1"/>
  <c r="L180" i="11"/>
  <c r="I171" i="11"/>
  <c r="K171" i="11" s="1"/>
  <c r="K188" i="11" s="1"/>
  <c r="I169" i="11"/>
  <c r="I868" i="11" s="1"/>
  <c r="I168" i="11"/>
  <c r="K168" i="11" s="1"/>
  <c r="I166" i="11"/>
  <c r="K166" i="11" s="1"/>
  <c r="I165" i="11"/>
  <c r="K165" i="11" s="1"/>
  <c r="I164" i="11"/>
  <c r="K164" i="11" s="1"/>
  <c r="K153" i="11"/>
  <c r="H143" i="11"/>
  <c r="L133" i="11"/>
  <c r="L126" i="11"/>
  <c r="M126" i="11" s="1"/>
  <c r="N126" i="11" s="1"/>
  <c r="I126" i="11"/>
  <c r="I1087" i="11" s="1"/>
  <c r="K1087" i="11" s="1"/>
  <c r="I125" i="11"/>
  <c r="I155" i="11" s="1"/>
  <c r="L113" i="11"/>
  <c r="M104" i="11"/>
  <c r="I104" i="11"/>
  <c r="I222" i="11" s="1"/>
  <c r="I100" i="11"/>
  <c r="I218" i="11" s="1"/>
  <c r="I92" i="11"/>
  <c r="K94" i="11" s="1"/>
  <c r="L89" i="11"/>
  <c r="I86" i="11"/>
  <c r="K86" i="11" s="1"/>
  <c r="H86" i="11"/>
  <c r="I82" i="11"/>
  <c r="I205" i="11" s="1"/>
  <c r="K205" i="11" s="1"/>
  <c r="H82" i="11"/>
  <c r="H84" i="11" s="1"/>
  <c r="K81" i="11"/>
  <c r="H80" i="11"/>
  <c r="I79" i="11"/>
  <c r="I202" i="11" s="1"/>
  <c r="K202" i="11" s="1"/>
  <c r="H79" i="11"/>
  <c r="H78" i="11"/>
  <c r="H77" i="11"/>
  <c r="I76" i="11"/>
  <c r="I199" i="11" s="1"/>
  <c r="K199" i="11" s="1"/>
  <c r="H76" i="11"/>
  <c r="I75" i="11"/>
  <c r="I101" i="11" s="1"/>
  <c r="H75" i="11"/>
  <c r="I74" i="11"/>
  <c r="I197" i="11" s="1"/>
  <c r="K197" i="11" s="1"/>
  <c r="H74" i="11"/>
  <c r="L67" i="11"/>
  <c r="K65" i="11"/>
  <c r="K64" i="11"/>
  <c r="K63" i="11"/>
  <c r="K1029" i="11" s="1"/>
  <c r="R58" i="11"/>
  <c r="O57" i="11"/>
  <c r="O53" i="11"/>
  <c r="L52" i="11"/>
  <c r="P50" i="11"/>
  <c r="R50" i="11" s="1"/>
  <c r="K50" i="11"/>
  <c r="K1015" i="11" s="1"/>
  <c r="P42" i="11"/>
  <c r="R42" i="11" s="1"/>
  <c r="P41" i="11"/>
  <c r="R41" i="11" s="1"/>
  <c r="I41" i="11"/>
  <c r="K41" i="11" s="1"/>
  <c r="H41" i="11"/>
  <c r="P40" i="11"/>
  <c r="R40" i="11" s="1"/>
  <c r="K40" i="11"/>
  <c r="P39" i="11"/>
  <c r="R39" i="11" s="1"/>
  <c r="K38" i="11"/>
  <c r="K37" i="11"/>
  <c r="K36" i="11"/>
  <c r="K35" i="11"/>
  <c r="S32" i="11"/>
  <c r="T32" i="11" s="1"/>
  <c r="L28" i="11"/>
  <c r="R25" i="11"/>
  <c r="I25" i="11"/>
  <c r="K25" i="11" s="1"/>
  <c r="P24" i="11"/>
  <c r="R24" i="11" s="1"/>
  <c r="I24" i="11"/>
  <c r="K24" i="11" s="1"/>
  <c r="Q23" i="11"/>
  <c r="O23" i="11"/>
  <c r="O56" i="11" s="1"/>
  <c r="I23" i="11"/>
  <c r="K23" i="11" s="1"/>
  <c r="P22" i="11"/>
  <c r="R22" i="11" s="1"/>
  <c r="I21" i="11"/>
  <c r="K21" i="11" s="1"/>
  <c r="K61" i="11" s="1"/>
  <c r="P20" i="11"/>
  <c r="R20" i="11" s="1"/>
  <c r="K20" i="11"/>
  <c r="K49" i="11" s="1"/>
  <c r="K60" i="11" s="1"/>
  <c r="I19" i="11"/>
  <c r="I979" i="11" s="1"/>
  <c r="K979" i="11" s="1"/>
  <c r="P18" i="11"/>
  <c r="R18" i="11" s="1"/>
  <c r="K18" i="11"/>
  <c r="R17" i="11"/>
  <c r="P16" i="11"/>
  <c r="P49" i="11" s="1"/>
  <c r="R49" i="11" s="1"/>
  <c r="K16" i="11"/>
  <c r="P15" i="11"/>
  <c r="R15" i="11" s="1"/>
  <c r="I15" i="11"/>
  <c r="I77" i="11" s="1"/>
  <c r="I103" i="11" s="1"/>
  <c r="K14" i="11"/>
  <c r="K13" i="11"/>
  <c r="K12" i="11"/>
  <c r="AG10" i="1"/>
  <c r="AG11" i="1"/>
  <c r="AG12" i="1"/>
  <c r="AG13" i="1"/>
  <c r="AG14" i="1"/>
  <c r="AG15" i="1"/>
  <c r="AG16" i="1"/>
  <c r="AG17" i="1"/>
  <c r="AG18" i="1"/>
  <c r="AG19" i="1"/>
  <c r="AG20" i="1"/>
  <c r="AG21" i="1"/>
  <c r="AG22" i="1"/>
  <c r="AG23" i="1"/>
  <c r="AG24" i="1"/>
  <c r="AG25" i="1"/>
  <c r="AG26" i="1"/>
  <c r="AG27" i="1"/>
  <c r="AG28" i="1"/>
  <c r="AG29" i="1"/>
  <c r="AG30" i="1"/>
  <c r="AG31" i="1"/>
  <c r="AG32" i="1"/>
  <c r="AG33" i="1"/>
  <c r="AG34" i="1"/>
  <c r="AG35" i="1"/>
  <c r="AG36" i="1"/>
  <c r="AG37" i="1"/>
  <c r="AG38" i="1"/>
  <c r="AG39" i="1"/>
  <c r="AG40" i="1"/>
  <c r="AG41" i="1"/>
  <c r="AG42" i="1"/>
  <c r="AG44" i="1"/>
  <c r="AG45" i="1"/>
  <c r="AG47" i="1"/>
  <c r="AG48" i="1"/>
  <c r="AG49" i="1"/>
  <c r="AG50" i="1"/>
  <c r="AG51" i="1"/>
  <c r="AG52" i="1"/>
  <c r="AG53" i="1"/>
  <c r="AG54" i="1"/>
  <c r="AG55" i="1"/>
  <c r="AG56" i="1"/>
  <c r="AG57" i="1"/>
  <c r="AG58" i="1"/>
  <c r="AG59" i="1"/>
  <c r="AG60" i="1"/>
  <c r="AG61" i="1"/>
  <c r="AG62" i="1"/>
  <c r="AG63" i="1"/>
  <c r="AG64" i="1"/>
  <c r="AG65" i="1"/>
  <c r="AG9" i="1"/>
  <c r="D417" i="64"/>
  <c r="D542" i="64" s="1"/>
  <c r="C417" i="64"/>
  <c r="C416" i="64"/>
  <c r="C413" i="64"/>
  <c r="D413" i="64"/>
  <c r="F413" i="64" s="1"/>
  <c r="D412" i="64"/>
  <c r="D537" i="64" s="1"/>
  <c r="D411" i="64"/>
  <c r="C410" i="64"/>
  <c r="C535" i="64" s="1"/>
  <c r="D532" i="64"/>
  <c r="D407" i="64"/>
  <c r="F407" i="64" s="1"/>
  <c r="D528" i="64"/>
  <c r="D506" i="64"/>
  <c r="C148" i="64"/>
  <c r="C291" i="64"/>
  <c r="C414" i="64" s="1"/>
  <c r="D178" i="64"/>
  <c r="D256" i="64" s="1"/>
  <c r="D265" i="64" s="1"/>
  <c r="D64" i="64"/>
  <c r="AP36" i="64" s="1"/>
  <c r="AR36" i="64" s="1"/>
  <c r="E10" i="50"/>
  <c r="G71" i="50"/>
  <c r="G7" i="50"/>
  <c r="A9" i="50" s="1"/>
  <c r="F15" i="50"/>
  <c r="F11" i="50"/>
  <c r="L4076" i="1"/>
  <c r="I4069" i="1"/>
  <c r="K4069" i="1" s="1"/>
  <c r="I4067" i="1"/>
  <c r="J4060" i="1"/>
  <c r="J4061" i="1" s="1"/>
  <c r="F4067" i="1" s="1"/>
  <c r="K4058" i="1"/>
  <c r="J4058" i="1"/>
  <c r="F4066" i="1" s="1"/>
  <c r="J4055" i="1"/>
  <c r="F4065" i="1" s="1"/>
  <c r="J4050" i="1"/>
  <c r="J4049" i="1"/>
  <c r="I4026" i="1"/>
  <c r="K4026" i="1" s="1"/>
  <c r="K4011" i="1"/>
  <c r="I4009" i="1"/>
  <c r="I4024" i="1" s="1"/>
  <c r="K3993" i="1"/>
  <c r="I3964" i="1"/>
  <c r="I3981" i="1" s="1"/>
  <c r="I3962" i="1"/>
  <c r="K3962" i="1" s="1"/>
  <c r="H3962" i="1"/>
  <c r="H3958" i="1"/>
  <c r="K3948" i="1"/>
  <c r="K3946" i="1"/>
  <c r="I3943" i="1"/>
  <c r="I3959" i="1" s="1"/>
  <c r="I3976" i="1" s="1"/>
  <c r="K3976" i="1" s="1"/>
  <c r="I3942" i="1"/>
  <c r="K3942" i="1" s="1"/>
  <c r="I3941" i="1"/>
  <c r="I3957" i="1" s="1"/>
  <c r="I3940" i="1"/>
  <c r="I3956" i="1" s="1"/>
  <c r="K3928" i="1"/>
  <c r="K3925" i="1"/>
  <c r="K3924" i="1"/>
  <c r="K3923" i="1"/>
  <c r="K3922" i="1"/>
  <c r="E3897" i="1"/>
  <c r="G3897" i="1" s="1"/>
  <c r="G3896" i="1"/>
  <c r="H3885" i="1"/>
  <c r="H3866" i="1"/>
  <c r="H3865" i="1"/>
  <c r="H3864" i="1"/>
  <c r="H3863" i="1"/>
  <c r="I3861" i="1"/>
  <c r="H3855" i="1"/>
  <c r="H3876" i="1" s="1"/>
  <c r="H3892" i="1" s="1"/>
  <c r="J3892" i="1" s="1"/>
  <c r="H3845" i="1"/>
  <c r="H3844" i="1"/>
  <c r="H3843" i="1"/>
  <c r="H3842" i="1"/>
  <c r="I3840" i="1"/>
  <c r="K3821" i="1"/>
  <c r="K3805" i="1"/>
  <c r="K3789" i="1"/>
  <c r="K3788" i="1"/>
  <c r="K3787" i="1"/>
  <c r="K3786" i="1"/>
  <c r="K3785" i="1"/>
  <c r="K3784" i="1"/>
  <c r="K3783" i="1"/>
  <c r="K3782" i="1"/>
  <c r="K3781" i="1"/>
  <c r="K3766" i="1"/>
  <c r="K3765" i="1"/>
  <c r="K3763" i="1"/>
  <c r="K3764" i="1" s="1"/>
  <c r="I3761" i="1"/>
  <c r="K3761" i="1" s="1"/>
  <c r="K3762" i="1" s="1"/>
  <c r="K3734" i="1"/>
  <c r="V3720" i="1"/>
  <c r="X3720" i="1" s="1"/>
  <c r="V3719" i="1"/>
  <c r="X3719" i="1" s="1"/>
  <c r="V3718" i="1"/>
  <c r="X3718" i="1" s="1"/>
  <c r="R3718" i="1"/>
  <c r="V3717" i="1"/>
  <c r="X3717" i="1" s="1"/>
  <c r="J3717" i="1"/>
  <c r="V3716" i="1"/>
  <c r="R3716" i="1"/>
  <c r="K3716" i="1"/>
  <c r="J3716" i="1"/>
  <c r="R3715" i="1"/>
  <c r="K3715" i="1"/>
  <c r="J3715" i="1"/>
  <c r="R3714" i="1"/>
  <c r="K3714" i="1"/>
  <c r="J3714" i="1"/>
  <c r="R3713" i="1"/>
  <c r="K3713" i="1"/>
  <c r="J3713" i="1"/>
  <c r="N3709" i="1"/>
  <c r="X3706" i="1"/>
  <c r="X3705" i="1"/>
  <c r="X3704" i="1"/>
  <c r="X3703" i="1"/>
  <c r="K3703" i="1"/>
  <c r="V3694" i="1"/>
  <c r="X3694" i="1" s="1"/>
  <c r="V3693" i="1"/>
  <c r="X3693" i="1" s="1"/>
  <c r="H3693" i="1"/>
  <c r="V3692" i="1"/>
  <c r="X3692" i="1" s="1"/>
  <c r="I3692" i="1"/>
  <c r="H3692" i="1"/>
  <c r="F3692" i="1"/>
  <c r="V3691" i="1"/>
  <c r="X3691" i="1" s="1"/>
  <c r="I3691" i="1"/>
  <c r="H3691" i="1"/>
  <c r="F3691" i="1"/>
  <c r="V3690" i="1"/>
  <c r="X3690" i="1" s="1"/>
  <c r="V3688" i="1"/>
  <c r="X3688" i="1" s="1"/>
  <c r="H3688" i="1"/>
  <c r="V3687" i="1"/>
  <c r="X3687" i="1" s="1"/>
  <c r="H3687" i="1"/>
  <c r="V3686" i="1"/>
  <c r="X3686" i="1" s="1"/>
  <c r="H3686" i="1"/>
  <c r="V3685" i="1"/>
  <c r="X3685" i="1" s="1"/>
  <c r="H3685" i="1"/>
  <c r="F3685" i="1"/>
  <c r="K3685" i="1" s="1"/>
  <c r="V3684" i="1"/>
  <c r="X3684" i="1" s="1"/>
  <c r="F3683" i="1"/>
  <c r="K3683" i="1" s="1"/>
  <c r="H3682" i="1"/>
  <c r="H3681" i="1"/>
  <c r="F3681" i="1"/>
  <c r="K3671" i="1"/>
  <c r="K3670" i="1"/>
  <c r="AE3667" i="1"/>
  <c r="X3664" i="1"/>
  <c r="K3664" i="1"/>
  <c r="X3663" i="1"/>
  <c r="X3662" i="1"/>
  <c r="K3662" i="1"/>
  <c r="X3661" i="1"/>
  <c r="X3660" i="1"/>
  <c r="AE3659" i="1"/>
  <c r="AG3659" i="1" s="1"/>
  <c r="AG3658" i="1"/>
  <c r="X3658" i="1"/>
  <c r="AG3657" i="1"/>
  <c r="X3657" i="1"/>
  <c r="AG3656" i="1"/>
  <c r="X3656" i="1"/>
  <c r="AE3655" i="1"/>
  <c r="AG3655" i="1" s="1"/>
  <c r="X3655" i="1"/>
  <c r="AE3654" i="1"/>
  <c r="AG3654" i="1" s="1"/>
  <c r="AE3653" i="1"/>
  <c r="AG3653" i="1" s="1"/>
  <c r="V3653" i="1"/>
  <c r="AE3652" i="1" s="1"/>
  <c r="AG3652" i="1" s="1"/>
  <c r="X3644" i="1"/>
  <c r="X3643" i="1"/>
  <c r="X3642" i="1"/>
  <c r="X3641" i="1"/>
  <c r="X3640" i="1"/>
  <c r="X3639" i="1"/>
  <c r="I3639" i="1"/>
  <c r="K3639" i="1" s="1"/>
  <c r="X3638" i="1"/>
  <c r="I3628" i="1"/>
  <c r="K3628" i="1" s="1"/>
  <c r="I3627" i="1"/>
  <c r="K3627" i="1" s="1"/>
  <c r="K3626" i="1"/>
  <c r="H3624" i="1"/>
  <c r="J3617" i="1"/>
  <c r="W3616" i="1"/>
  <c r="S3617" i="1" s="1"/>
  <c r="S3618" i="1" s="1"/>
  <c r="X3611" i="1"/>
  <c r="K3607" i="1"/>
  <c r="K3606" i="1"/>
  <c r="K3605" i="1"/>
  <c r="I3604" i="1"/>
  <c r="K3604" i="1" s="1"/>
  <c r="K3603" i="1"/>
  <c r="I3602" i="1"/>
  <c r="I3624" i="1" s="1"/>
  <c r="K3624" i="1" s="1"/>
  <c r="V3601" i="1"/>
  <c r="S3602" i="1" s="1"/>
  <c r="S3603" i="1" s="1"/>
  <c r="Y3596" i="1"/>
  <c r="X3594" i="1"/>
  <c r="V3584" i="1"/>
  <c r="S3585" i="1" s="1"/>
  <c r="S3586" i="1" s="1"/>
  <c r="I3574" i="1"/>
  <c r="I3584" i="1" s="1"/>
  <c r="K3584" i="1" s="1"/>
  <c r="I3573" i="1"/>
  <c r="I3583" i="1" s="1"/>
  <c r="K3583" i="1" s="1"/>
  <c r="V3569" i="1"/>
  <c r="S3571" i="1" s="1"/>
  <c r="R3565" i="1"/>
  <c r="K3562" i="1"/>
  <c r="R3560" i="1"/>
  <c r="I3560" i="1"/>
  <c r="K3557" i="1"/>
  <c r="AE3553" i="1"/>
  <c r="AB3554" i="1" s="1"/>
  <c r="V3553" i="1"/>
  <c r="S3554" i="1" s="1"/>
  <c r="M3550" i="1"/>
  <c r="M3549" i="1"/>
  <c r="M3548" i="1"/>
  <c r="M3547" i="1"/>
  <c r="M3546" i="1"/>
  <c r="M3545" i="1"/>
  <c r="M3544" i="1"/>
  <c r="P3541" i="1"/>
  <c r="M3543" i="1" s="1"/>
  <c r="AE3538" i="1"/>
  <c r="AE3554" i="1" s="1"/>
  <c r="I3538" i="1"/>
  <c r="AE3537" i="1"/>
  <c r="V3537" i="1"/>
  <c r="S3538" i="1" s="1"/>
  <c r="I3537" i="1"/>
  <c r="F3538" i="1" s="1"/>
  <c r="I3529" i="1"/>
  <c r="I3545" i="1" s="1"/>
  <c r="P3549" i="1" s="1"/>
  <c r="R3549" i="1" s="1"/>
  <c r="I3527" i="1"/>
  <c r="P3531" i="1" s="1"/>
  <c r="R3531" i="1" s="1"/>
  <c r="P3526" i="1"/>
  <c r="I3526" i="1"/>
  <c r="P3525" i="1"/>
  <c r="M3526" i="1" s="1"/>
  <c r="M3527" i="1" s="1"/>
  <c r="I3521" i="1"/>
  <c r="F3522" i="1" s="1"/>
  <c r="V3517" i="1"/>
  <c r="S3519" i="1" s="1"/>
  <c r="K3508" i="1"/>
  <c r="M3507" i="1"/>
  <c r="I3489" i="1"/>
  <c r="K3489" i="1" s="1"/>
  <c r="I3488" i="1"/>
  <c r="K3488" i="1" s="1"/>
  <c r="I3487" i="1"/>
  <c r="K3487" i="1" s="1"/>
  <c r="I3486" i="1"/>
  <c r="K3486" i="1" s="1"/>
  <c r="I3485" i="1"/>
  <c r="K3485" i="1" s="1"/>
  <c r="I3484" i="1"/>
  <c r="K3484" i="1" s="1"/>
  <c r="K3481" i="1"/>
  <c r="J3479" i="1"/>
  <c r="J3478" i="1"/>
  <c r="J3477" i="1"/>
  <c r="I3466" i="1"/>
  <c r="P3462" i="1"/>
  <c r="R3462" i="1" s="1"/>
  <c r="I3462" i="1"/>
  <c r="P3460" i="1"/>
  <c r="R3460" i="1" s="1"/>
  <c r="K3454" i="1"/>
  <c r="P3440" i="1"/>
  <c r="R3440" i="1" s="1"/>
  <c r="P3439" i="1"/>
  <c r="R3439" i="1" s="1"/>
  <c r="R3438" i="1"/>
  <c r="K3427" i="1"/>
  <c r="K3426" i="1"/>
  <c r="K3425" i="1"/>
  <c r="K3424" i="1"/>
  <c r="I3422" i="1"/>
  <c r="I3416" i="1"/>
  <c r="I3415" i="1"/>
  <c r="I3411" i="1"/>
  <c r="I3410" i="1"/>
  <c r="I3409" i="1"/>
  <c r="F3420" i="1" s="1"/>
  <c r="I3408" i="1"/>
  <c r="F3423" i="1" s="1"/>
  <c r="I3366" i="1"/>
  <c r="K3340" i="1"/>
  <c r="P3327" i="1"/>
  <c r="R3327" i="1" s="1"/>
  <c r="P3326" i="1"/>
  <c r="R3326" i="1" s="1"/>
  <c r="K3320" i="1"/>
  <c r="I3310" i="1"/>
  <c r="I3309" i="1"/>
  <c r="I3307" i="1"/>
  <c r="K3307" i="1" s="1"/>
  <c r="I3304" i="1"/>
  <c r="K3304" i="1" s="1"/>
  <c r="I3303" i="1"/>
  <c r="K3303" i="1" s="1"/>
  <c r="I3302" i="1"/>
  <c r="K3302" i="1" s="1"/>
  <c r="I3301" i="1"/>
  <c r="K3301" i="1" s="1"/>
  <c r="P3293" i="1"/>
  <c r="P3325" i="1" s="1"/>
  <c r="I3290" i="1"/>
  <c r="K3289" i="1"/>
  <c r="K3288" i="1"/>
  <c r="K3287" i="1"/>
  <c r="K3286" i="1"/>
  <c r="K3285" i="1"/>
  <c r="K3284" i="1"/>
  <c r="K3281" i="1"/>
  <c r="P3267" i="1"/>
  <c r="I3327" i="1" s="1"/>
  <c r="P3266" i="1"/>
  <c r="I3326" i="1" s="1"/>
  <c r="I3266" i="1"/>
  <c r="K3266" i="1" s="1"/>
  <c r="L3232" i="1" s="1"/>
  <c r="P3265" i="1"/>
  <c r="I3325" i="1" s="1"/>
  <c r="P3264" i="1"/>
  <c r="I3324" i="1" s="1"/>
  <c r="K3262" i="1"/>
  <c r="R3260" i="1"/>
  <c r="V3257" i="1"/>
  <c r="X3257" i="1" s="1"/>
  <c r="V3256" i="1"/>
  <c r="X3256" i="1" s="1"/>
  <c r="V3255" i="1"/>
  <c r="X3255" i="1" s="1"/>
  <c r="V3254" i="1"/>
  <c r="X3254" i="1" s="1"/>
  <c r="V3253" i="1"/>
  <c r="X3253" i="1" s="1"/>
  <c r="V3252" i="1"/>
  <c r="X3252" i="1" s="1"/>
  <c r="V3249" i="1"/>
  <c r="X3249" i="1" s="1"/>
  <c r="L3236" i="1"/>
  <c r="P3233" i="1"/>
  <c r="P3447" i="1" s="1"/>
  <c r="R3447" i="1" s="1"/>
  <c r="P3232" i="1"/>
  <c r="P3446" i="1" s="1"/>
  <c r="R3446" i="1" s="1"/>
  <c r="P3231" i="1"/>
  <c r="P3445" i="1" s="1"/>
  <c r="R3445" i="1" s="1"/>
  <c r="P3230" i="1"/>
  <c r="P3444" i="1" s="1"/>
  <c r="R3444" i="1" s="1"/>
  <c r="P3229" i="1"/>
  <c r="P3296" i="1" s="1"/>
  <c r="P3228" i="1"/>
  <c r="R3226" i="1"/>
  <c r="R3225" i="1"/>
  <c r="R3224" i="1"/>
  <c r="P3223" i="1"/>
  <c r="P3437" i="1" s="1"/>
  <c r="R3437" i="1" s="1"/>
  <c r="L3210" i="1"/>
  <c r="P3199" i="1"/>
  <c r="P3234" i="1" s="1"/>
  <c r="S3198" i="1"/>
  <c r="T3198" i="1" s="1"/>
  <c r="R3198" i="1"/>
  <c r="R3197" i="1"/>
  <c r="R3196" i="1"/>
  <c r="R3195" i="1"/>
  <c r="L3194" i="1"/>
  <c r="R3191" i="1"/>
  <c r="R3190" i="1"/>
  <c r="K3156" i="1"/>
  <c r="I3155" i="1"/>
  <c r="P3162" i="1" s="1"/>
  <c r="R3162" i="1" s="1"/>
  <c r="I3154" i="1"/>
  <c r="U3153" i="1"/>
  <c r="I3153" i="1"/>
  <c r="P3160" i="1" s="1"/>
  <c r="U3152" i="1"/>
  <c r="I3152" i="1"/>
  <c r="K3152" i="1" s="1"/>
  <c r="U3151" i="1"/>
  <c r="I3151" i="1"/>
  <c r="P3158" i="1" s="1"/>
  <c r="I3150" i="1"/>
  <c r="K3150" i="1" s="1"/>
  <c r="U3149" i="1"/>
  <c r="U3148" i="1"/>
  <c r="I3148" i="1"/>
  <c r="F3148" i="1"/>
  <c r="P3147" i="1"/>
  <c r="P3146" i="1"/>
  <c r="P3143" i="1"/>
  <c r="M3154" i="1" s="1"/>
  <c r="P3141" i="1"/>
  <c r="M3153" i="1" s="1"/>
  <c r="P3140" i="1"/>
  <c r="M3156" i="1" s="1"/>
  <c r="V3136" i="1"/>
  <c r="X3136" i="1" s="1"/>
  <c r="V3134" i="1"/>
  <c r="X3134" i="1" s="1"/>
  <c r="R3120" i="1"/>
  <c r="K3120" i="1"/>
  <c r="X3119" i="1"/>
  <c r="R3119" i="1"/>
  <c r="K3119" i="1"/>
  <c r="V3118" i="1"/>
  <c r="X3118" i="1" s="1"/>
  <c r="X3117" i="1"/>
  <c r="V3115" i="1"/>
  <c r="I4066" i="1" s="1"/>
  <c r="K4066" i="1" s="1"/>
  <c r="I3110" i="1"/>
  <c r="K3110" i="1" s="1"/>
  <c r="V3108" i="1"/>
  <c r="V3107" i="1"/>
  <c r="K3105" i="1"/>
  <c r="V3104" i="1"/>
  <c r="V3102" i="1"/>
  <c r="V3101" i="1"/>
  <c r="K3082" i="1"/>
  <c r="F3075" i="1"/>
  <c r="F3056" i="1"/>
  <c r="I3055" i="1"/>
  <c r="K3038" i="1"/>
  <c r="K3017" i="1"/>
  <c r="K3041" i="1" s="1"/>
  <c r="K3014" i="1"/>
  <c r="C703" i="76" s="1"/>
  <c r="K3012" i="1"/>
  <c r="K3009" i="1"/>
  <c r="K2995" i="1"/>
  <c r="I2970" i="1"/>
  <c r="I2967" i="1"/>
  <c r="I2964" i="1"/>
  <c r="I2963" i="1"/>
  <c r="P2925" i="1"/>
  <c r="P2924" i="1"/>
  <c r="P2923" i="1"/>
  <c r="I2884" i="1"/>
  <c r="K2884" i="1" s="1"/>
  <c r="K2883" i="1"/>
  <c r="I2871" i="1"/>
  <c r="K2871" i="1" s="1"/>
  <c r="I2870" i="1"/>
  <c r="K2870" i="1" s="1"/>
  <c r="I2869" i="1"/>
  <c r="K2869" i="1" s="1"/>
  <c r="I2868" i="1"/>
  <c r="K2868" i="1" s="1"/>
  <c r="K2866" i="1"/>
  <c r="M2855" i="1"/>
  <c r="M2854" i="1"/>
  <c r="I2854" i="1"/>
  <c r="K2834" i="1"/>
  <c r="J2831" i="1"/>
  <c r="P2830" i="1"/>
  <c r="P2829" i="1"/>
  <c r="R2829" i="1" s="1"/>
  <c r="P2828" i="1"/>
  <c r="P2827" i="1"/>
  <c r="P2860" i="1" s="1"/>
  <c r="R2860" i="1" s="1"/>
  <c r="P2826" i="1"/>
  <c r="P2859" i="1" s="1"/>
  <c r="R2859" i="1" s="1"/>
  <c r="P2825" i="1"/>
  <c r="R2825" i="1" s="1"/>
  <c r="K2823" i="1"/>
  <c r="M2822" i="1"/>
  <c r="K2822" i="1"/>
  <c r="M2821" i="1"/>
  <c r="K2821" i="1"/>
  <c r="K2820" i="1"/>
  <c r="K2819" i="1"/>
  <c r="K2818" i="1"/>
  <c r="F2814" i="1"/>
  <c r="S2782" i="1" s="1"/>
  <c r="AE2795" i="1"/>
  <c r="AG2795" i="1" s="1"/>
  <c r="AE2794" i="1"/>
  <c r="AG2794" i="1" s="1"/>
  <c r="AE2793" i="1"/>
  <c r="AG2793" i="1" s="1"/>
  <c r="AE2792" i="1"/>
  <c r="AG2792" i="1" s="1"/>
  <c r="S2792" i="1"/>
  <c r="K2792" i="1"/>
  <c r="AE2791" i="1"/>
  <c r="AG2791" i="1" s="1"/>
  <c r="V2791" i="1"/>
  <c r="S2791" i="1"/>
  <c r="AE2790" i="1"/>
  <c r="AG2790" i="1" s="1"/>
  <c r="V2790" i="1"/>
  <c r="S2790" i="1"/>
  <c r="V2789" i="1"/>
  <c r="S2789" i="1"/>
  <c r="AE2788" i="1"/>
  <c r="AG2788" i="1" s="1"/>
  <c r="V2788" i="1"/>
  <c r="S2788" i="1"/>
  <c r="V2787" i="1"/>
  <c r="S2787" i="1"/>
  <c r="V2786" i="1"/>
  <c r="S2786" i="1"/>
  <c r="S2785" i="1"/>
  <c r="V2784" i="1"/>
  <c r="X2784" i="1" s="1"/>
  <c r="S2781" i="1"/>
  <c r="L2778" i="1"/>
  <c r="F2815" i="1" s="1"/>
  <c r="Y2777" i="1"/>
  <c r="K2774" i="1"/>
  <c r="K2773" i="1"/>
  <c r="E2757" i="1"/>
  <c r="E2759" i="1" s="1"/>
  <c r="E2755" i="1"/>
  <c r="E2756" i="1" s="1"/>
  <c r="I2733" i="1"/>
  <c r="K2733" i="1" s="1"/>
  <c r="I2717" i="1"/>
  <c r="K2717" i="1" s="1"/>
  <c r="I2711" i="1"/>
  <c r="L2688" i="1"/>
  <c r="K2685" i="1"/>
  <c r="I2680" i="1"/>
  <c r="K2680" i="1" s="1"/>
  <c r="I2670" i="1"/>
  <c r="I2669" i="1"/>
  <c r="I2668" i="1"/>
  <c r="I3106" i="1" s="1"/>
  <c r="K3106" i="1" s="1"/>
  <c r="I2667" i="1"/>
  <c r="K2667" i="1" s="1"/>
  <c r="K2665" i="1"/>
  <c r="AE2659" i="1"/>
  <c r="AG2659" i="1" s="1"/>
  <c r="AG2657" i="1"/>
  <c r="AG2656" i="1"/>
  <c r="AG2655" i="1"/>
  <c r="AG2654" i="1"/>
  <c r="AG2653" i="1"/>
  <c r="AB2649" i="1"/>
  <c r="AE2645" i="1"/>
  <c r="AE2644" i="1"/>
  <c r="P2642" i="1"/>
  <c r="I2642" i="1"/>
  <c r="V2610" i="1" s="1"/>
  <c r="Z2608" i="1" s="1"/>
  <c r="I2641" i="1"/>
  <c r="P2648" i="1" s="1"/>
  <c r="R2648" i="1" s="1"/>
  <c r="AE2640" i="1"/>
  <c r="M2640" i="1"/>
  <c r="I2640" i="1"/>
  <c r="K2640" i="1" s="1"/>
  <c r="AE2639" i="1"/>
  <c r="I2639" i="1"/>
  <c r="P2646" i="1" s="1"/>
  <c r="R2646" i="1" s="1"/>
  <c r="I2638" i="1"/>
  <c r="P2645" i="1" s="1"/>
  <c r="R2645" i="1" s="1"/>
  <c r="AE2637" i="1"/>
  <c r="AB2652" i="1" s="1"/>
  <c r="P2637" i="1"/>
  <c r="M2642" i="1" s="1"/>
  <c r="R2642" i="1" s="1"/>
  <c r="I2637" i="1"/>
  <c r="K2635" i="1"/>
  <c r="P2632" i="1"/>
  <c r="M2641" i="1" s="1"/>
  <c r="K2629" i="1"/>
  <c r="I2629" i="1"/>
  <c r="I2630" i="1" s="1"/>
  <c r="I2625" i="1"/>
  <c r="AE2623" i="1"/>
  <c r="AG2623" i="1" s="1"/>
  <c r="AB2615" i="1"/>
  <c r="AE2611" i="1"/>
  <c r="AE2610" i="1"/>
  <c r="AE2612" i="1" s="1"/>
  <c r="AB2617" i="1" s="1"/>
  <c r="K2610" i="1"/>
  <c r="X2609" i="1"/>
  <c r="I2609" i="1"/>
  <c r="H3854" i="1" s="1"/>
  <c r="V2608" i="1"/>
  <c r="X2608" i="1" s="1"/>
  <c r="Z2606" i="1" s="1"/>
  <c r="Z2607" i="1"/>
  <c r="V2607" i="1"/>
  <c r="AE2621" i="1" s="1"/>
  <c r="AG2621" i="1" s="1"/>
  <c r="AE2606" i="1"/>
  <c r="AE2605" i="1"/>
  <c r="I2604" i="1"/>
  <c r="AE2603" i="1"/>
  <c r="AB2618" i="1" s="1"/>
  <c r="V2603" i="1"/>
  <c r="AE2617" i="1" s="1"/>
  <c r="Z2601" i="1"/>
  <c r="S2601" i="1"/>
  <c r="V2597" i="1"/>
  <c r="V2596" i="1"/>
  <c r="V2592" i="1"/>
  <c r="V2591" i="1"/>
  <c r="V2589" i="1"/>
  <c r="S2604" i="1" s="1"/>
  <c r="O2580" i="1"/>
  <c r="P2576" i="1"/>
  <c r="R2576" i="1" s="1"/>
  <c r="K2575" i="1"/>
  <c r="H2574" i="1"/>
  <c r="P2569" i="1"/>
  <c r="I2569" i="1"/>
  <c r="K2543" i="1"/>
  <c r="K2540" i="1"/>
  <c r="I2534" i="1"/>
  <c r="N2522" i="1"/>
  <c r="R2517" i="1"/>
  <c r="P2517" i="1"/>
  <c r="K2514" i="1"/>
  <c r="R2510" i="1"/>
  <c r="K2510" i="1"/>
  <c r="I2509" i="1"/>
  <c r="P2516" i="1" s="1"/>
  <c r="R2516" i="1" s="1"/>
  <c r="P2507" i="1"/>
  <c r="P2506" i="1"/>
  <c r="P2505" i="1"/>
  <c r="P2504" i="1"/>
  <c r="I2503" i="1"/>
  <c r="H2487" i="1"/>
  <c r="I2479" i="1"/>
  <c r="I2481" i="1" s="1"/>
  <c r="F2485" i="1" s="1"/>
  <c r="H2472" i="1"/>
  <c r="I2469" i="1"/>
  <c r="I2468" i="1"/>
  <c r="I2467" i="1"/>
  <c r="I2466" i="1"/>
  <c r="I2462" i="1"/>
  <c r="I2442" i="1"/>
  <c r="K2442" i="1" s="1"/>
  <c r="R2437" i="1"/>
  <c r="R2429" i="1"/>
  <c r="K2422" i="1"/>
  <c r="R2408" i="1"/>
  <c r="I2408" i="1"/>
  <c r="K2408" i="1" s="1"/>
  <c r="R2407" i="1"/>
  <c r="R2406" i="1"/>
  <c r="R2405" i="1"/>
  <c r="R2404" i="1"/>
  <c r="R2403" i="1"/>
  <c r="R2402" i="1"/>
  <c r="R2401" i="1"/>
  <c r="R2400" i="1"/>
  <c r="R2399" i="1"/>
  <c r="R2398" i="1"/>
  <c r="R2397" i="1"/>
  <c r="K2397" i="1"/>
  <c r="R2396" i="1"/>
  <c r="R2395" i="1"/>
  <c r="R2394" i="1"/>
  <c r="R2393" i="1"/>
  <c r="R2392" i="1"/>
  <c r="E2392" i="1"/>
  <c r="E2393" i="1" s="1"/>
  <c r="R2391" i="1"/>
  <c r="K2388" i="1"/>
  <c r="K2387" i="1"/>
  <c r="P2372" i="1"/>
  <c r="R2372" i="1" s="1"/>
  <c r="P2371" i="1"/>
  <c r="R2371" i="1" s="1"/>
  <c r="K2366" i="1"/>
  <c r="K2365" i="1"/>
  <c r="K2364" i="1"/>
  <c r="I2347" i="1"/>
  <c r="K2347" i="1" s="1"/>
  <c r="D2347" i="1"/>
  <c r="R2345" i="1"/>
  <c r="R2334" i="1"/>
  <c r="K2327" i="1"/>
  <c r="E2313" i="1"/>
  <c r="K2312" i="1"/>
  <c r="K2311" i="1"/>
  <c r="K2310" i="1"/>
  <c r="I2309" i="1"/>
  <c r="K2309" i="1" s="1"/>
  <c r="L2307" i="1"/>
  <c r="L2308" i="1" s="1"/>
  <c r="I2299" i="1"/>
  <c r="K2299" i="1" s="1"/>
  <c r="H2299" i="1"/>
  <c r="O2299" i="1" s="1"/>
  <c r="I2297" i="1"/>
  <c r="K2297" i="1" s="1"/>
  <c r="R2295" i="1"/>
  <c r="K2295" i="1"/>
  <c r="L2270" i="1"/>
  <c r="L2260" i="1"/>
  <c r="L2259" i="1"/>
  <c r="M2255" i="1"/>
  <c r="K2248" i="1"/>
  <c r="I2247" i="1"/>
  <c r="K2247" i="1" s="1"/>
  <c r="I2246" i="1"/>
  <c r="K2246" i="1" s="1"/>
  <c r="I2245" i="1"/>
  <c r="K2245" i="1" s="1"/>
  <c r="I2244" i="1"/>
  <c r="K2244" i="1" s="1"/>
  <c r="I2221" i="1"/>
  <c r="K2221" i="1" s="1"/>
  <c r="K2225" i="1" s="1"/>
  <c r="I2212" i="1"/>
  <c r="K2212" i="1" s="1"/>
  <c r="K2216" i="1" s="1"/>
  <c r="I2202" i="1"/>
  <c r="K2202" i="1" s="1"/>
  <c r="K2206" i="1" s="1"/>
  <c r="J2197" i="1"/>
  <c r="K2197" i="1" s="1"/>
  <c r="K2200" i="1" s="1"/>
  <c r="C410" i="76" s="1"/>
  <c r="I2189" i="1"/>
  <c r="K2189" i="1" s="1"/>
  <c r="K2193" i="1" s="1"/>
  <c r="I2176" i="1"/>
  <c r="K2176" i="1" s="1"/>
  <c r="H2174" i="1"/>
  <c r="I2163" i="1"/>
  <c r="K2163" i="1" s="1"/>
  <c r="R2151" i="1"/>
  <c r="I2149" i="1"/>
  <c r="P2156" i="1" s="1"/>
  <c r="R2156" i="1" s="1"/>
  <c r="I2144" i="1"/>
  <c r="K2144" i="1" s="1"/>
  <c r="I2129" i="1"/>
  <c r="K2129" i="1" s="1"/>
  <c r="I2124" i="1"/>
  <c r="K2124" i="1" s="1"/>
  <c r="I2116" i="1"/>
  <c r="I2104" i="1"/>
  <c r="K2104" i="1" s="1"/>
  <c r="K2096" i="1"/>
  <c r="K2095" i="1"/>
  <c r="I2094" i="1"/>
  <c r="K2094" i="1" s="1"/>
  <c r="I2093" i="1"/>
  <c r="K2093" i="1" s="1"/>
  <c r="P2080" i="1"/>
  <c r="P2079" i="1"/>
  <c r="I2076" i="1"/>
  <c r="I2075" i="1"/>
  <c r="I2074" i="1"/>
  <c r="I2073" i="1"/>
  <c r="P2072" i="1"/>
  <c r="M2082" i="1" s="1"/>
  <c r="P2071" i="1"/>
  <c r="M2081" i="1" s="1"/>
  <c r="P2070" i="1"/>
  <c r="M2080" i="1" s="1"/>
  <c r="P2069" i="1"/>
  <c r="M2079" i="1" s="1"/>
  <c r="P2067" i="1"/>
  <c r="M2078" i="1" s="1"/>
  <c r="P2064" i="1"/>
  <c r="P2063" i="1"/>
  <c r="P2059" i="1"/>
  <c r="P2058" i="1"/>
  <c r="P2055" i="1"/>
  <c r="P2054" i="1"/>
  <c r="I2052" i="1"/>
  <c r="I2051" i="1"/>
  <c r="P2050" i="1"/>
  <c r="K2050" i="1"/>
  <c r="P2049" i="1"/>
  <c r="I2049" i="1"/>
  <c r="P2047" i="1"/>
  <c r="P2032" i="1"/>
  <c r="I2024" i="1"/>
  <c r="P2014" i="1"/>
  <c r="I2005" i="1"/>
  <c r="K2005" i="1" s="1"/>
  <c r="P1996" i="1"/>
  <c r="P1990" i="1"/>
  <c r="P1988" i="1"/>
  <c r="I1986" i="1"/>
  <c r="P1986" i="1" s="1"/>
  <c r="P1975" i="1"/>
  <c r="I1968" i="1"/>
  <c r="K1968" i="1" s="1"/>
  <c r="N1943" i="1"/>
  <c r="K1941" i="1"/>
  <c r="K1939" i="1"/>
  <c r="K1936" i="1"/>
  <c r="K1925" i="1"/>
  <c r="I1922" i="1"/>
  <c r="I1923" i="1" s="1"/>
  <c r="K1923" i="1" s="1"/>
  <c r="P1909" i="1"/>
  <c r="R1909" i="1" s="1"/>
  <c r="I1909" i="1"/>
  <c r="K1909" i="1" s="1"/>
  <c r="R1908" i="1"/>
  <c r="I1908" i="1"/>
  <c r="K1908" i="1" s="1"/>
  <c r="I1907" i="1"/>
  <c r="K1907" i="1" s="1"/>
  <c r="P1897" i="1"/>
  <c r="I1895" i="1"/>
  <c r="I1896" i="1" s="1"/>
  <c r="K1896" i="1" s="1"/>
  <c r="R1890" i="1"/>
  <c r="R1889" i="1"/>
  <c r="R1887" i="1"/>
  <c r="K1886" i="1"/>
  <c r="P1878" i="1"/>
  <c r="R1878" i="1" s="1"/>
  <c r="I1878" i="1"/>
  <c r="R1877" i="1"/>
  <c r="I1870" i="1"/>
  <c r="K1870" i="1" s="1"/>
  <c r="P1866" i="1"/>
  <c r="P1865" i="1"/>
  <c r="P1896" i="1" s="1"/>
  <c r="P1864" i="1"/>
  <c r="P1895" i="1" s="1"/>
  <c r="P1859" i="1"/>
  <c r="R1859" i="1" s="1"/>
  <c r="P1858" i="1"/>
  <c r="R1858" i="1" s="1"/>
  <c r="P1857" i="1"/>
  <c r="P1888" i="1" s="1"/>
  <c r="K1848" i="1"/>
  <c r="I1843" i="1"/>
  <c r="K1843" i="1" s="1"/>
  <c r="I1842" i="1"/>
  <c r="K1842" i="1" s="1"/>
  <c r="I1840" i="1"/>
  <c r="P1856" i="1" s="1"/>
  <c r="R1856" i="1" s="1"/>
  <c r="K1830" i="1"/>
  <c r="I1825" i="1"/>
  <c r="K1825" i="1" s="1"/>
  <c r="I1824" i="1"/>
  <c r="K1824" i="1" s="1"/>
  <c r="I1822" i="1"/>
  <c r="K1822" i="1" s="1"/>
  <c r="K1812" i="1"/>
  <c r="I1807" i="1"/>
  <c r="I2736" i="1" s="1"/>
  <c r="K2736" i="1" s="1"/>
  <c r="I1806" i="1"/>
  <c r="I2735" i="1" s="1"/>
  <c r="K2735" i="1" s="1"/>
  <c r="I1804" i="1"/>
  <c r="K1804" i="1" s="1"/>
  <c r="M1797" i="1"/>
  <c r="L1797" i="1"/>
  <c r="K1797" i="1"/>
  <c r="K1796" i="1"/>
  <c r="K1793" i="1"/>
  <c r="K1786" i="1"/>
  <c r="I1770" i="1"/>
  <c r="K1770" i="1" s="1"/>
  <c r="I1769" i="1"/>
  <c r="K1769" i="1" s="1"/>
  <c r="K1768" i="1"/>
  <c r="K1756" i="1"/>
  <c r="K1755" i="1"/>
  <c r="K1754" i="1"/>
  <c r="K1751" i="1"/>
  <c r="K1723" i="1"/>
  <c r="K1722" i="1"/>
  <c r="K1721" i="1"/>
  <c r="AE1695" i="1"/>
  <c r="AE1694" i="1"/>
  <c r="K1694" i="1"/>
  <c r="AE1693" i="1"/>
  <c r="AE1692" i="1"/>
  <c r="AE1691" i="1"/>
  <c r="AE1690" i="1"/>
  <c r="AE1689" i="1"/>
  <c r="AE1688" i="1"/>
  <c r="AE1687" i="1"/>
  <c r="K1687" i="1"/>
  <c r="K1690" i="1" s="1"/>
  <c r="AE1686" i="1"/>
  <c r="AE1685" i="1"/>
  <c r="AE1684" i="1"/>
  <c r="AE1683" i="1"/>
  <c r="AE1682" i="1"/>
  <c r="AE1681" i="1"/>
  <c r="AE1680" i="1"/>
  <c r="K1680" i="1"/>
  <c r="AE1679" i="1"/>
  <c r="AE1678" i="1"/>
  <c r="K1678" i="1"/>
  <c r="AE1677" i="1"/>
  <c r="AE1676" i="1"/>
  <c r="AE1675" i="1"/>
  <c r="AE1674" i="1"/>
  <c r="AE1673" i="1"/>
  <c r="AE1672" i="1"/>
  <c r="AE1671" i="1"/>
  <c r="AE1670" i="1"/>
  <c r="AE1669" i="1"/>
  <c r="AE1668" i="1"/>
  <c r="AE1667" i="1"/>
  <c r="K1667" i="1"/>
  <c r="AE1666" i="1"/>
  <c r="K1666" i="1"/>
  <c r="AE1665" i="1"/>
  <c r="AE1664" i="1"/>
  <c r="AE1663" i="1"/>
  <c r="AE1662" i="1"/>
  <c r="AE1661" i="1"/>
  <c r="AE1660" i="1"/>
  <c r="AE1659" i="1"/>
  <c r="AE1658" i="1"/>
  <c r="AE1657" i="1"/>
  <c r="AE1656" i="1"/>
  <c r="AE1655" i="1"/>
  <c r="AE1654" i="1"/>
  <c r="AE1653" i="1"/>
  <c r="AE1652" i="1"/>
  <c r="AE1651" i="1"/>
  <c r="AE1650" i="1"/>
  <c r="AE1649" i="1"/>
  <c r="AE1648" i="1"/>
  <c r="AE1647" i="1"/>
  <c r="AE1646" i="1"/>
  <c r="AE1645" i="1"/>
  <c r="AE1644" i="1"/>
  <c r="AE1643" i="1"/>
  <c r="AE1642" i="1"/>
  <c r="AE1641" i="1"/>
  <c r="AE1640" i="1"/>
  <c r="S1640" i="1"/>
  <c r="AE1639" i="1"/>
  <c r="AE1638" i="1"/>
  <c r="AE1637" i="1"/>
  <c r="AE1636" i="1"/>
  <c r="AE1635" i="1"/>
  <c r="R1635" i="1"/>
  <c r="AE1634" i="1"/>
  <c r="P1634" i="1"/>
  <c r="AE1633" i="1"/>
  <c r="AE1632" i="1"/>
  <c r="Q1632" i="1"/>
  <c r="AE1631" i="1"/>
  <c r="R1631" i="1"/>
  <c r="Q1631" i="1"/>
  <c r="AE1630" i="1"/>
  <c r="Q1630" i="1"/>
  <c r="I1630" i="1"/>
  <c r="P1632" i="1" s="1"/>
  <c r="AE1629" i="1"/>
  <c r="R1629" i="1"/>
  <c r="Q1629" i="1"/>
  <c r="I1629" i="1"/>
  <c r="K1629" i="1" s="1"/>
  <c r="AE1628" i="1"/>
  <c r="Q1628" i="1"/>
  <c r="I1628" i="1"/>
  <c r="P1630" i="1" s="1"/>
  <c r="AE1627" i="1"/>
  <c r="I1627" i="1"/>
  <c r="K1627" i="1" s="1"/>
  <c r="AE1626" i="1"/>
  <c r="I1626" i="1"/>
  <c r="AE1625" i="1"/>
  <c r="AE1624" i="1"/>
  <c r="AE1623" i="1"/>
  <c r="AE1622" i="1"/>
  <c r="AE1621" i="1"/>
  <c r="AE1620" i="1"/>
  <c r="AE1619" i="1"/>
  <c r="AE1618" i="1"/>
  <c r="AE1617" i="1"/>
  <c r="AE1616" i="1"/>
  <c r="AE1615" i="1"/>
  <c r="O1615" i="1"/>
  <c r="AE1614" i="1"/>
  <c r="AE1613" i="1"/>
  <c r="AE1612" i="1"/>
  <c r="AE1611" i="1"/>
  <c r="AE1610" i="1"/>
  <c r="AE1609" i="1"/>
  <c r="AE1608" i="1"/>
  <c r="AE1607" i="1"/>
  <c r="AE1606" i="1"/>
  <c r="AE1605" i="1"/>
  <c r="AE1604" i="1"/>
  <c r="AE1603" i="1"/>
  <c r="P1603" i="1"/>
  <c r="AE1602" i="1"/>
  <c r="AE1601" i="1"/>
  <c r="AE1600" i="1"/>
  <c r="AE1599" i="1"/>
  <c r="AE1598" i="1"/>
  <c r="AE1597" i="1"/>
  <c r="AE1596" i="1"/>
  <c r="AE1595" i="1"/>
  <c r="AE1594" i="1"/>
  <c r="AE1593" i="1"/>
  <c r="AE1592" i="1"/>
  <c r="AE1591" i="1"/>
  <c r="K1591" i="1"/>
  <c r="AE1590" i="1"/>
  <c r="AE1589" i="1"/>
  <c r="AE1588" i="1"/>
  <c r="AE1587" i="1"/>
  <c r="AE1586" i="1"/>
  <c r="AE1585" i="1"/>
  <c r="AE1584" i="1"/>
  <c r="AE1583" i="1"/>
  <c r="AE1582" i="1"/>
  <c r="AE1581" i="1"/>
  <c r="AE1580" i="1"/>
  <c r="AE1579" i="1"/>
  <c r="AE1578" i="1"/>
  <c r="K1578" i="1"/>
  <c r="AE1577" i="1"/>
  <c r="AE1576" i="1"/>
  <c r="AE1575" i="1"/>
  <c r="AE1574" i="1"/>
  <c r="AE1573" i="1"/>
  <c r="AE1572" i="1"/>
  <c r="AE1571" i="1"/>
  <c r="AE1570" i="1"/>
  <c r="AE1569" i="1"/>
  <c r="AE1568" i="1"/>
  <c r="AE1567" i="1"/>
  <c r="AE1566" i="1"/>
  <c r="AE1565" i="1"/>
  <c r="AE1564" i="1"/>
  <c r="AE1563" i="1"/>
  <c r="I1563" i="1"/>
  <c r="K1563" i="1" s="1"/>
  <c r="AE1562" i="1"/>
  <c r="K1562" i="1"/>
  <c r="AE1561" i="1"/>
  <c r="AE1560" i="1"/>
  <c r="AE1559" i="1"/>
  <c r="I1559" i="1"/>
  <c r="K1559" i="1" s="1"/>
  <c r="AE1558" i="1"/>
  <c r="AE1557" i="1"/>
  <c r="AE1556" i="1"/>
  <c r="AE1555" i="1"/>
  <c r="AE1554" i="1"/>
  <c r="AE1553" i="1"/>
  <c r="AE1552" i="1"/>
  <c r="AE1551" i="1"/>
  <c r="AE1550" i="1"/>
  <c r="AE1549" i="1"/>
  <c r="AE1548" i="1"/>
  <c r="AE1547" i="1"/>
  <c r="I1547" i="1"/>
  <c r="I3196" i="1" s="1"/>
  <c r="AE1546" i="1"/>
  <c r="AE1545" i="1"/>
  <c r="AE1544" i="1"/>
  <c r="AE1543" i="1"/>
  <c r="AE1542" i="1"/>
  <c r="AE1541" i="1"/>
  <c r="AE1540" i="1"/>
  <c r="AE1539" i="1"/>
  <c r="AE1538" i="1"/>
  <c r="AE1537" i="1"/>
  <c r="AE1536" i="1"/>
  <c r="AE1535" i="1"/>
  <c r="AE1534" i="1"/>
  <c r="I1534" i="1"/>
  <c r="I3210" i="1" s="1"/>
  <c r="AE1533" i="1"/>
  <c r="AE1532" i="1"/>
  <c r="I1532" i="1"/>
  <c r="AE1531" i="1"/>
  <c r="AE1530" i="1"/>
  <c r="AE1529" i="1"/>
  <c r="AE1528" i="1"/>
  <c r="AE1527" i="1"/>
  <c r="AE1526" i="1"/>
  <c r="AE1525" i="1"/>
  <c r="AE1524" i="1"/>
  <c r="AE1523" i="1"/>
  <c r="AE1522" i="1"/>
  <c r="AE1521" i="1"/>
  <c r="R1521" i="1"/>
  <c r="AE1520" i="1"/>
  <c r="AE1519" i="1"/>
  <c r="AE1518" i="1"/>
  <c r="AE1517" i="1"/>
  <c r="I1517" i="1"/>
  <c r="K1517" i="1" s="1"/>
  <c r="AE1516" i="1"/>
  <c r="AE1515" i="1"/>
  <c r="AE1514" i="1"/>
  <c r="AE1513" i="1"/>
  <c r="AE1512" i="1"/>
  <c r="AE1511" i="1"/>
  <c r="AE1510" i="1"/>
  <c r="AE1509" i="1"/>
  <c r="AE1508" i="1"/>
  <c r="AE1507" i="1"/>
  <c r="AE1506" i="1"/>
  <c r="AE1505" i="1"/>
  <c r="I1505" i="1"/>
  <c r="AE1504" i="1"/>
  <c r="AE1503" i="1"/>
  <c r="AE1502" i="1"/>
  <c r="AE1501" i="1"/>
  <c r="AE1500" i="1"/>
  <c r="M1500" i="1"/>
  <c r="AE1499" i="1"/>
  <c r="AE1498" i="1"/>
  <c r="AE1497" i="1"/>
  <c r="AE1496" i="1"/>
  <c r="O1496" i="1"/>
  <c r="AE1495" i="1"/>
  <c r="O1495" i="1"/>
  <c r="AE1494" i="1"/>
  <c r="O1494" i="1"/>
  <c r="AE1493" i="1"/>
  <c r="AE1492" i="1"/>
  <c r="AE1491" i="1"/>
  <c r="AE1490" i="1"/>
  <c r="AE1489" i="1"/>
  <c r="AE1488" i="1"/>
  <c r="AE1487" i="1"/>
  <c r="AE1486" i="1"/>
  <c r="AE1485" i="1"/>
  <c r="AE1484" i="1"/>
  <c r="AE1483" i="1"/>
  <c r="AE1482" i="1"/>
  <c r="U1482" i="1"/>
  <c r="S1482" i="1"/>
  <c r="T1482" i="1" s="1"/>
  <c r="AE1481" i="1"/>
  <c r="AE1480" i="1"/>
  <c r="AE1479" i="1"/>
  <c r="AE1478" i="1"/>
  <c r="AE1477" i="1"/>
  <c r="AE1476" i="1"/>
  <c r="AE1475" i="1"/>
  <c r="AE1474" i="1"/>
  <c r="AE1473" i="1"/>
  <c r="AE1472" i="1"/>
  <c r="AE1471" i="1"/>
  <c r="AE1470" i="1"/>
  <c r="AE1469" i="1"/>
  <c r="AE1468" i="1"/>
  <c r="AE1467" i="1"/>
  <c r="AE1466" i="1"/>
  <c r="AE1465" i="1"/>
  <c r="AE1464" i="1"/>
  <c r="AE1463" i="1"/>
  <c r="AE1462" i="1"/>
  <c r="AE1461" i="1"/>
  <c r="AE1460" i="1"/>
  <c r="AE1459" i="1"/>
  <c r="AE1458" i="1"/>
  <c r="AE1457" i="1"/>
  <c r="AE1456" i="1"/>
  <c r="AE1455" i="1"/>
  <c r="AE1454" i="1"/>
  <c r="S1454" i="1"/>
  <c r="AE1453" i="1"/>
  <c r="AE1452" i="1"/>
  <c r="M1452" i="1"/>
  <c r="AE1451" i="1"/>
  <c r="AE1450" i="1"/>
  <c r="AE1449" i="1"/>
  <c r="AE1448" i="1"/>
  <c r="AE1447" i="1"/>
  <c r="AE1446" i="1"/>
  <c r="AE1445" i="1"/>
  <c r="AE1444" i="1"/>
  <c r="AE1443" i="1"/>
  <c r="AE1442" i="1"/>
  <c r="AE1441" i="1"/>
  <c r="AE1440" i="1"/>
  <c r="AE1439" i="1"/>
  <c r="AE1438" i="1"/>
  <c r="AE1437" i="1"/>
  <c r="I1437" i="1"/>
  <c r="K1437" i="1" s="1"/>
  <c r="AE1436" i="1"/>
  <c r="AE1435" i="1"/>
  <c r="AE1434" i="1"/>
  <c r="AE1433" i="1"/>
  <c r="U1433" i="1"/>
  <c r="AE1432" i="1"/>
  <c r="AE1431" i="1"/>
  <c r="AE1430" i="1"/>
  <c r="S1430" i="1"/>
  <c r="AE1429" i="1"/>
  <c r="X1429" i="1"/>
  <c r="AE1428" i="1"/>
  <c r="X1428" i="1"/>
  <c r="AE1427" i="1"/>
  <c r="X1427" i="1"/>
  <c r="AE1426" i="1"/>
  <c r="AE1425" i="1"/>
  <c r="AE1424" i="1"/>
  <c r="AE1423" i="1"/>
  <c r="AE1422" i="1"/>
  <c r="AE1421" i="1"/>
  <c r="AE1420" i="1"/>
  <c r="AE1419" i="1"/>
  <c r="Y1419" i="1"/>
  <c r="L1419" i="1"/>
  <c r="AE1418" i="1"/>
  <c r="P1418" i="1"/>
  <c r="P1435" i="1" s="1"/>
  <c r="AE1417" i="1"/>
  <c r="Y1417" i="1"/>
  <c r="P1417" i="1"/>
  <c r="P1434" i="1" s="1"/>
  <c r="AE1416" i="1"/>
  <c r="P1416" i="1"/>
  <c r="P1433" i="1" s="1"/>
  <c r="AE1415" i="1"/>
  <c r="AE1414" i="1"/>
  <c r="P1414" i="1"/>
  <c r="R1414" i="1" s="1"/>
  <c r="AE1413" i="1"/>
  <c r="P1413" i="1"/>
  <c r="R1413" i="1" s="1"/>
  <c r="AE1412" i="1"/>
  <c r="P1412" i="1"/>
  <c r="AE1411" i="1"/>
  <c r="AE1410" i="1"/>
  <c r="AE1409" i="1"/>
  <c r="AE1408" i="1"/>
  <c r="P1408" i="1"/>
  <c r="P1425" i="1" s="1"/>
  <c r="AE1407" i="1"/>
  <c r="AE1406" i="1"/>
  <c r="S1406" i="1"/>
  <c r="AE1405" i="1"/>
  <c r="S1405" i="1"/>
  <c r="AE1404" i="1"/>
  <c r="S1404" i="1"/>
  <c r="L1404" i="1"/>
  <c r="AE1403" i="1"/>
  <c r="S1403" i="1"/>
  <c r="AE1402" i="1"/>
  <c r="S1402" i="1"/>
  <c r="AE1401" i="1"/>
  <c r="R1401" i="1"/>
  <c r="AE1400" i="1"/>
  <c r="R1400" i="1"/>
  <c r="AE1399" i="1"/>
  <c r="R1399" i="1"/>
  <c r="AE1398" i="1"/>
  <c r="AE1397" i="1"/>
  <c r="R1397" i="1"/>
  <c r="AE1396" i="1"/>
  <c r="R1396" i="1"/>
  <c r="AE1395" i="1"/>
  <c r="R1395" i="1"/>
  <c r="AE1394" i="1"/>
  <c r="P1394" i="1"/>
  <c r="AE1393" i="1"/>
  <c r="P1393" i="1"/>
  <c r="V1354" i="1" s="1"/>
  <c r="X1354" i="1" s="1"/>
  <c r="AE1392" i="1"/>
  <c r="P1392" i="1"/>
  <c r="P1409" i="1" s="1"/>
  <c r="AE1391" i="1"/>
  <c r="R1391" i="1"/>
  <c r="AE1390" i="1"/>
  <c r="AE1389" i="1"/>
  <c r="AE1388" i="1"/>
  <c r="AE1387" i="1"/>
  <c r="AE1386" i="1"/>
  <c r="AE1385" i="1"/>
  <c r="AE1384" i="1"/>
  <c r="AE1383" i="1"/>
  <c r="AE1382" i="1"/>
  <c r="AE1381" i="1"/>
  <c r="AE1380" i="1"/>
  <c r="AE1379" i="1"/>
  <c r="AE1378" i="1"/>
  <c r="I1378" i="1"/>
  <c r="K1378" i="1" s="1"/>
  <c r="AE1377" i="1"/>
  <c r="V1377" i="1"/>
  <c r="AE1376" i="1"/>
  <c r="AE1375" i="1"/>
  <c r="V1375" i="1"/>
  <c r="X1375" i="1" s="1"/>
  <c r="AE1374" i="1"/>
  <c r="AE1373" i="1"/>
  <c r="AE1372" i="1"/>
  <c r="P1372" i="1"/>
  <c r="R1372" i="1" s="1"/>
  <c r="AE1371" i="1"/>
  <c r="AE1370" i="1"/>
  <c r="AE1369" i="1"/>
  <c r="AE1368" i="1"/>
  <c r="AE1367" i="1"/>
  <c r="AE1366" i="1"/>
  <c r="AE1365" i="1"/>
  <c r="AE1364" i="1"/>
  <c r="AE1363" i="1"/>
  <c r="AE1362" i="1"/>
  <c r="V1362" i="1"/>
  <c r="X1362" i="1" s="1"/>
  <c r="AE1361" i="1"/>
  <c r="V1361" i="1"/>
  <c r="X1361" i="1" s="1"/>
  <c r="AE1360" i="1"/>
  <c r="V1360" i="1"/>
  <c r="AE1359" i="1"/>
  <c r="AE1358" i="1"/>
  <c r="V1358" i="1"/>
  <c r="AE1357" i="1"/>
  <c r="V1357" i="1"/>
  <c r="AB1355" i="1" s="1"/>
  <c r="AE1356" i="1"/>
  <c r="V1356" i="1"/>
  <c r="AB1354" i="1" s="1"/>
  <c r="I1356" i="1"/>
  <c r="AE1355" i="1"/>
  <c r="R1355" i="1"/>
  <c r="AE1354" i="1"/>
  <c r="AE1353" i="1"/>
  <c r="R1353" i="1"/>
  <c r="AE1352" i="1"/>
  <c r="V1352" i="1"/>
  <c r="X1352" i="1" s="1"/>
  <c r="AE1351" i="1"/>
  <c r="AE1350" i="1"/>
  <c r="AE1349" i="1"/>
  <c r="AE1348" i="1"/>
  <c r="AE1347" i="1"/>
  <c r="Y1347" i="1"/>
  <c r="AE1346" i="1"/>
  <c r="AE1345" i="1"/>
  <c r="AE1344" i="1"/>
  <c r="AE1343" i="1"/>
  <c r="AE1342" i="1"/>
  <c r="X1342" i="1"/>
  <c r="AE1341" i="1"/>
  <c r="AE1340" i="1"/>
  <c r="X1340" i="1"/>
  <c r="AE1339" i="1"/>
  <c r="V1339" i="1"/>
  <c r="X1339" i="1" s="1"/>
  <c r="AE1338" i="1"/>
  <c r="X1338" i="1"/>
  <c r="AE1337" i="1"/>
  <c r="AE1336" i="1"/>
  <c r="AE1335" i="1"/>
  <c r="AE1334" i="1"/>
  <c r="AE1333" i="1"/>
  <c r="AE1332" i="1"/>
  <c r="R1332" i="1"/>
  <c r="AE1331" i="1"/>
  <c r="X1331" i="1"/>
  <c r="AE1330" i="1"/>
  <c r="AE1329" i="1"/>
  <c r="AE1328" i="1"/>
  <c r="AE1327" i="1"/>
  <c r="AE1326" i="1"/>
  <c r="AE1325" i="1"/>
  <c r="AE1324" i="1"/>
  <c r="V1324" i="1"/>
  <c r="X1324" i="1" s="1"/>
  <c r="AE1323" i="1"/>
  <c r="AE1322" i="1"/>
  <c r="AE1321" i="1"/>
  <c r="AE1320" i="1"/>
  <c r="P1320" i="1"/>
  <c r="AE1319" i="1"/>
  <c r="R1319" i="1"/>
  <c r="AE1318" i="1"/>
  <c r="V1318" i="1"/>
  <c r="X1318" i="1" s="1"/>
  <c r="AE1317" i="1"/>
  <c r="AE1316" i="1"/>
  <c r="AE1315" i="1"/>
  <c r="AE1314" i="1"/>
  <c r="AE1313" i="1"/>
  <c r="AE1312" i="1"/>
  <c r="AE1311" i="1"/>
  <c r="AE1310" i="1"/>
  <c r="AE1309" i="1"/>
  <c r="AE1308" i="1"/>
  <c r="AE1307" i="1"/>
  <c r="AE1306" i="1"/>
  <c r="AE1305" i="1"/>
  <c r="V1305" i="1"/>
  <c r="V1325" i="1" s="1"/>
  <c r="AE1304" i="1"/>
  <c r="X1304" i="1"/>
  <c r="AE1303" i="1"/>
  <c r="AE1302" i="1"/>
  <c r="AE1301" i="1"/>
  <c r="P1301" i="1"/>
  <c r="R1301" i="1" s="1"/>
  <c r="AE1300" i="1"/>
  <c r="R1300" i="1"/>
  <c r="AE1299" i="1"/>
  <c r="AE1298" i="1"/>
  <c r="X1298" i="1"/>
  <c r="AE1297" i="1"/>
  <c r="AE1296" i="1"/>
  <c r="AE1295" i="1"/>
  <c r="AE1294" i="1"/>
  <c r="AE1293" i="1"/>
  <c r="AE1292" i="1"/>
  <c r="AE1291" i="1"/>
  <c r="AE1290" i="1"/>
  <c r="AE1289" i="1"/>
  <c r="AE1288" i="1"/>
  <c r="AE1287" i="1"/>
  <c r="AE1286" i="1"/>
  <c r="AE1285" i="1"/>
  <c r="V1285" i="1"/>
  <c r="X1285" i="1" s="1"/>
  <c r="AE1284" i="1"/>
  <c r="AE1283" i="1"/>
  <c r="K1283" i="1"/>
  <c r="AE1282" i="1"/>
  <c r="AE1281" i="1"/>
  <c r="AE1280" i="1"/>
  <c r="AE1279" i="1"/>
  <c r="V1279" i="1"/>
  <c r="AE1278" i="1"/>
  <c r="AE1277" i="1"/>
  <c r="X1277" i="1"/>
  <c r="AE1276" i="1"/>
  <c r="AE1275" i="1"/>
  <c r="AE1274" i="1"/>
  <c r="AE1273" i="1"/>
  <c r="AE1272" i="1"/>
  <c r="AE1271" i="1"/>
  <c r="AE1270" i="1"/>
  <c r="I1270" i="1"/>
  <c r="AE1269" i="1"/>
  <c r="M1269" i="1"/>
  <c r="AE1268" i="1"/>
  <c r="AE1267" i="1"/>
  <c r="AD1267" i="1"/>
  <c r="AE1266" i="1"/>
  <c r="AC1266" i="1"/>
  <c r="AE1265" i="1"/>
  <c r="AC1265" i="1"/>
  <c r="AE1264" i="1"/>
  <c r="AC1264" i="1"/>
  <c r="P1264" i="1"/>
  <c r="P1380" i="1" s="1"/>
  <c r="R1380" i="1" s="1"/>
  <c r="AE1263" i="1"/>
  <c r="AC1263" i="1"/>
  <c r="AB1263" i="1"/>
  <c r="AD1263" i="1" s="1"/>
  <c r="AE1262" i="1"/>
  <c r="AC1262" i="1"/>
  <c r="AD1262" i="1"/>
  <c r="AE1261" i="1"/>
  <c r="AE1260" i="1"/>
  <c r="AE1259" i="1"/>
  <c r="AE1258" i="1"/>
  <c r="R1257" i="1"/>
  <c r="AE1256" i="1"/>
  <c r="K1256" i="1"/>
  <c r="AE1255" i="1"/>
  <c r="AE1254" i="1"/>
  <c r="AE1253" i="1"/>
  <c r="AB1253" i="1"/>
  <c r="AB1225" i="1" s="1"/>
  <c r="AE1252" i="1"/>
  <c r="AE1251" i="1"/>
  <c r="AE1250" i="1"/>
  <c r="AE1249" i="1"/>
  <c r="AD1249" i="1"/>
  <c r="AE1248" i="1"/>
  <c r="AE1247" i="1"/>
  <c r="AE1246" i="1"/>
  <c r="AE1245" i="1"/>
  <c r="AE1244" i="1"/>
  <c r="V1244" i="1"/>
  <c r="X1244" i="1" s="1"/>
  <c r="AE1243" i="1"/>
  <c r="AE1242" i="1"/>
  <c r="AE1241" i="1"/>
  <c r="AD1241" i="1"/>
  <c r="AE1240" i="1"/>
  <c r="AE1239" i="1"/>
  <c r="AE1238" i="1"/>
  <c r="AE1237" i="1"/>
  <c r="X1237" i="1"/>
  <c r="AE1236" i="1"/>
  <c r="AE1235" i="1"/>
  <c r="AE1234" i="1"/>
  <c r="R1234" i="1"/>
  <c r="AE1233" i="1"/>
  <c r="AE1232" i="1"/>
  <c r="I1232" i="1"/>
  <c r="K1232" i="1" s="1"/>
  <c r="AE1231" i="1"/>
  <c r="AE1230" i="1"/>
  <c r="AE1229" i="1"/>
  <c r="AE1228" i="1"/>
  <c r="AE1227" i="1"/>
  <c r="AE1226" i="1"/>
  <c r="AB1226" i="1"/>
  <c r="S1226" i="1"/>
  <c r="AE1225" i="1"/>
  <c r="AE1224" i="1"/>
  <c r="AE1223" i="1"/>
  <c r="AE1222" i="1"/>
  <c r="AE1221" i="1"/>
  <c r="AB1221" i="1"/>
  <c r="AD1221" i="1" s="1"/>
  <c r="AE1220" i="1"/>
  <c r="AE1219" i="1"/>
  <c r="AE1218" i="1"/>
  <c r="AE1217" i="1"/>
  <c r="AE1216" i="1"/>
  <c r="AE1215" i="1"/>
  <c r="AB1215" i="1"/>
  <c r="T1215" i="1"/>
  <c r="R1215" i="1"/>
  <c r="AE1214" i="1"/>
  <c r="AE1213" i="1"/>
  <c r="AD1213" i="1"/>
  <c r="AE1212" i="1"/>
  <c r="AC1212" i="1"/>
  <c r="AE1211" i="1"/>
  <c r="AE1210" i="1"/>
  <c r="AE1209" i="1"/>
  <c r="AE1203" i="1"/>
  <c r="AE1202" i="1"/>
  <c r="I1193" i="1"/>
  <c r="AE1191" i="1"/>
  <c r="I1191" i="1"/>
  <c r="K1191" i="1" s="1"/>
  <c r="AE1190" i="1"/>
  <c r="AE1189" i="1"/>
  <c r="AE1188" i="1"/>
  <c r="AD1188" i="1"/>
  <c r="K1178" i="1"/>
  <c r="K1177" i="1"/>
  <c r="Q1176" i="1"/>
  <c r="K1176" i="1"/>
  <c r="I1160" i="1"/>
  <c r="K1160" i="1" s="1"/>
  <c r="I1159" i="1"/>
  <c r="K1159" i="1" s="1"/>
  <c r="X1153" i="1"/>
  <c r="P1151" i="1"/>
  <c r="P1150" i="1"/>
  <c r="P1149" i="1"/>
  <c r="I1146" i="1"/>
  <c r="K1146" i="1" s="1"/>
  <c r="I1145" i="1"/>
  <c r="K1145" i="1" s="1"/>
  <c r="Q1142" i="1"/>
  <c r="K1135" i="1"/>
  <c r="K1134" i="1"/>
  <c r="I1133" i="1"/>
  <c r="K1133" i="1" s="1"/>
  <c r="I1132" i="1"/>
  <c r="K1132" i="1" s="1"/>
  <c r="K1130" i="1"/>
  <c r="I1107" i="1"/>
  <c r="K1107" i="1" s="1"/>
  <c r="I1106" i="1"/>
  <c r="K1106" i="1" s="1"/>
  <c r="I1105" i="1"/>
  <c r="K1105" i="1" s="1"/>
  <c r="I1103" i="1"/>
  <c r="K1103" i="1" s="1"/>
  <c r="R1092" i="1"/>
  <c r="I1092" i="1"/>
  <c r="K1092" i="1" s="1"/>
  <c r="I1090" i="1"/>
  <c r="K1090" i="1" s="1"/>
  <c r="I1089" i="1"/>
  <c r="K1089" i="1" s="1"/>
  <c r="I1087" i="1"/>
  <c r="K1087" i="1" s="1"/>
  <c r="H1087" i="1"/>
  <c r="H1103" i="1" s="1"/>
  <c r="I1077" i="1"/>
  <c r="K1077" i="1" s="1"/>
  <c r="I1075" i="1"/>
  <c r="K1075" i="1" s="1"/>
  <c r="I1074" i="1"/>
  <c r="K1074" i="1" s="1"/>
  <c r="K1072" i="1"/>
  <c r="I1062" i="1"/>
  <c r="AE1071" i="1" s="1"/>
  <c r="AG1071" i="1" s="1"/>
  <c r="I1061" i="1"/>
  <c r="K1061" i="1" s="1"/>
  <c r="I1060" i="1"/>
  <c r="I1076" i="1" s="1"/>
  <c r="K1076" i="1" s="1"/>
  <c r="I1059" i="1"/>
  <c r="P1070" i="1" s="1"/>
  <c r="I1058" i="1"/>
  <c r="I1057" i="1"/>
  <c r="P1068" i="1" s="1"/>
  <c r="I1055" i="1"/>
  <c r="P1066" i="1" s="1"/>
  <c r="AE1041" i="1"/>
  <c r="AE1040" i="1"/>
  <c r="AE1039" i="1"/>
  <c r="AE1038" i="1"/>
  <c r="AE1037" i="1"/>
  <c r="AE1036" i="1"/>
  <c r="AE1034" i="1"/>
  <c r="AE1033" i="1"/>
  <c r="AE1032" i="1"/>
  <c r="K1032" i="1"/>
  <c r="AE1031" i="1"/>
  <c r="AE1030" i="1"/>
  <c r="AE1029" i="1"/>
  <c r="AE1028" i="1"/>
  <c r="AE1027" i="1"/>
  <c r="AE1026" i="1"/>
  <c r="AE1025" i="1"/>
  <c r="I1025" i="1"/>
  <c r="AE1024" i="1"/>
  <c r="I1024" i="1"/>
  <c r="P1098" i="1" s="1"/>
  <c r="AE1023" i="1"/>
  <c r="I1023" i="1"/>
  <c r="P1097" i="1" s="1"/>
  <c r="R1097" i="1" s="1"/>
  <c r="AE1022" i="1"/>
  <c r="I1022" i="1"/>
  <c r="P1096" i="1" s="1"/>
  <c r="AE1021" i="1"/>
  <c r="I1021" i="1"/>
  <c r="AE1020" i="1"/>
  <c r="I1020" i="1"/>
  <c r="P1094" i="1" s="1"/>
  <c r="R1094" i="1" s="1"/>
  <c r="AE1019" i="1"/>
  <c r="AE1018" i="1"/>
  <c r="AE1017" i="1"/>
  <c r="AE1016" i="1"/>
  <c r="AE1015" i="1"/>
  <c r="AE1014" i="1"/>
  <c r="AE1013" i="1"/>
  <c r="AE1012" i="1"/>
  <c r="AE1011" i="1"/>
  <c r="AE1010" i="1"/>
  <c r="AE1009" i="1"/>
  <c r="AE1008" i="1"/>
  <c r="AE1007" i="1"/>
  <c r="AE1006" i="1"/>
  <c r="AE1004" i="1"/>
  <c r="AE1003" i="1"/>
  <c r="AE1002" i="1"/>
  <c r="AE1001" i="1"/>
  <c r="AE1000" i="1"/>
  <c r="AE999" i="1"/>
  <c r="AE998" i="1"/>
  <c r="AE997" i="1"/>
  <c r="AE996" i="1"/>
  <c r="P996" i="1"/>
  <c r="R996" i="1" s="1"/>
  <c r="I996" i="1"/>
  <c r="I1026" i="1" s="1"/>
  <c r="AE995" i="1"/>
  <c r="I995" i="1"/>
  <c r="I2841" i="1" s="1"/>
  <c r="AE994" i="1"/>
  <c r="I994" i="1"/>
  <c r="I2840" i="1" s="1"/>
  <c r="AE993" i="1"/>
  <c r="P993" i="1"/>
  <c r="R993" i="1" s="1"/>
  <c r="I993" i="1"/>
  <c r="I2839" i="1" s="1"/>
  <c r="AE992" i="1"/>
  <c r="I992" i="1"/>
  <c r="AE991" i="1"/>
  <c r="I991" i="1"/>
  <c r="I2837" i="1" s="1"/>
  <c r="AE990" i="1"/>
  <c r="I990" i="1"/>
  <c r="I2836" i="1" s="1"/>
  <c r="AE989" i="1"/>
  <c r="AE988" i="1"/>
  <c r="AE987" i="1"/>
  <c r="AE986" i="1"/>
  <c r="AE985" i="1"/>
  <c r="AE984" i="1"/>
  <c r="AE983" i="1"/>
  <c r="AE982" i="1"/>
  <c r="AE981" i="1"/>
  <c r="AE980" i="1"/>
  <c r="AE979" i="1"/>
  <c r="AE978" i="1"/>
  <c r="AE977" i="1"/>
  <c r="AE976" i="1"/>
  <c r="AE975" i="1"/>
  <c r="AE974" i="1"/>
  <c r="AE973" i="1"/>
  <c r="AE972" i="1"/>
  <c r="AE971" i="1"/>
  <c r="AE970" i="1"/>
  <c r="AE969" i="1"/>
  <c r="AE968" i="1"/>
  <c r="AE967" i="1"/>
  <c r="AE966" i="1"/>
  <c r="AE965" i="1"/>
  <c r="AE964" i="1"/>
  <c r="AE963" i="1"/>
  <c r="AE962" i="1"/>
  <c r="AE961" i="1"/>
  <c r="K961" i="1"/>
  <c r="AE960" i="1"/>
  <c r="I960" i="1"/>
  <c r="AE959" i="1"/>
  <c r="I959" i="1"/>
  <c r="K959" i="1" s="1"/>
  <c r="AE958" i="1"/>
  <c r="I958" i="1"/>
  <c r="K958" i="1" s="1"/>
  <c r="AE957" i="1"/>
  <c r="I957" i="1"/>
  <c r="AE956" i="1"/>
  <c r="I956" i="1"/>
  <c r="AE955" i="1"/>
  <c r="I955" i="1"/>
  <c r="K955" i="1" s="1"/>
  <c r="AE954" i="1"/>
  <c r="AE953" i="1"/>
  <c r="AE952" i="1"/>
  <c r="AE951" i="1"/>
  <c r="AE950" i="1"/>
  <c r="AE949" i="1"/>
  <c r="AE948" i="1"/>
  <c r="AE947" i="1"/>
  <c r="AE946" i="1"/>
  <c r="AE945" i="1"/>
  <c r="AE944" i="1"/>
  <c r="AE943" i="1"/>
  <c r="AE942" i="1"/>
  <c r="AE941" i="1"/>
  <c r="AE940" i="1"/>
  <c r="AE939" i="1"/>
  <c r="AE938" i="1"/>
  <c r="AE937" i="1"/>
  <c r="AE936" i="1"/>
  <c r="AE935" i="1"/>
  <c r="AE934" i="1"/>
  <c r="AE933" i="1"/>
  <c r="AE932" i="1"/>
  <c r="AE931" i="1"/>
  <c r="AE930" i="1"/>
  <c r="AE929" i="1"/>
  <c r="AE928" i="1"/>
  <c r="AE927" i="1"/>
  <c r="AE926" i="1"/>
  <c r="AE925" i="1"/>
  <c r="AE924" i="1"/>
  <c r="AE923" i="1"/>
  <c r="AE922" i="1"/>
  <c r="AE921" i="1"/>
  <c r="AE920" i="1"/>
  <c r="AE919" i="1"/>
  <c r="AE918" i="1"/>
  <c r="AE917" i="1"/>
  <c r="AE916" i="1"/>
  <c r="AE915" i="1"/>
  <c r="AE914" i="1"/>
  <c r="AE913" i="1"/>
  <c r="AE912" i="1"/>
  <c r="AE911" i="1"/>
  <c r="AE910" i="1"/>
  <c r="AE909" i="1"/>
  <c r="AE908" i="1"/>
  <c r="AE907" i="1"/>
  <c r="AE906" i="1"/>
  <c r="AE905" i="1"/>
  <c r="AE904" i="1"/>
  <c r="AE903" i="1"/>
  <c r="AE902" i="1"/>
  <c r="AE901" i="1"/>
  <c r="K901" i="1"/>
  <c r="H901" i="1"/>
  <c r="AE900" i="1"/>
  <c r="AE899" i="1"/>
  <c r="AE898" i="1"/>
  <c r="AE897" i="1"/>
  <c r="H897" i="1"/>
  <c r="AE896" i="1"/>
  <c r="AE895" i="1"/>
  <c r="AE894" i="1"/>
  <c r="AE893" i="1"/>
  <c r="AE892" i="1"/>
  <c r="AE891" i="1"/>
  <c r="AE890" i="1"/>
  <c r="AE889" i="1"/>
  <c r="AE888" i="1"/>
  <c r="AE887" i="1"/>
  <c r="AE886" i="1"/>
  <c r="AE885" i="1"/>
  <c r="V885" i="1"/>
  <c r="X885" i="1" s="1"/>
  <c r="K885" i="1"/>
  <c r="AE884" i="1"/>
  <c r="AE883" i="1"/>
  <c r="AE882" i="1"/>
  <c r="I882" i="1"/>
  <c r="K882" i="1" s="1"/>
  <c r="AE881" i="1"/>
  <c r="I881" i="1"/>
  <c r="I897" i="1" s="1"/>
  <c r="K897" i="1" s="1"/>
  <c r="AE880" i="1"/>
  <c r="X880" i="1"/>
  <c r="I880" i="1"/>
  <c r="V880" i="1" s="1"/>
  <c r="V896" i="1" s="1"/>
  <c r="X896" i="1" s="1"/>
  <c r="AE879" i="1"/>
  <c r="I879" i="1"/>
  <c r="I895" i="1" s="1"/>
  <c r="K895" i="1" s="1"/>
  <c r="AE878" i="1"/>
  <c r="AE877" i="1"/>
  <c r="AE876" i="1"/>
  <c r="AE875" i="1"/>
  <c r="AE874" i="1"/>
  <c r="AE873" i="1"/>
  <c r="AE872" i="1"/>
  <c r="AE871" i="1"/>
  <c r="AE870" i="1"/>
  <c r="AE869" i="1"/>
  <c r="AE868" i="1"/>
  <c r="AE867" i="1"/>
  <c r="V867" i="1"/>
  <c r="X867" i="1" s="1"/>
  <c r="K867" i="1"/>
  <c r="AE866" i="1"/>
  <c r="AE865" i="1"/>
  <c r="AE864" i="1"/>
  <c r="V864" i="1"/>
  <c r="X864" i="1" s="1"/>
  <c r="K864" i="1"/>
  <c r="AE863" i="1"/>
  <c r="V863" i="1"/>
  <c r="X863" i="1" s="1"/>
  <c r="K863" i="1"/>
  <c r="AE862" i="1"/>
  <c r="V862" i="1"/>
  <c r="X862" i="1" s="1"/>
  <c r="P862" i="1"/>
  <c r="K862" i="1"/>
  <c r="AE861" i="1"/>
  <c r="V861" i="1"/>
  <c r="X861" i="1" s="1"/>
  <c r="K861" i="1"/>
  <c r="AE860" i="1"/>
  <c r="P860" i="1"/>
  <c r="R860" i="1" s="1"/>
  <c r="AE859" i="1"/>
  <c r="AE858" i="1"/>
  <c r="AE857" i="1"/>
  <c r="P857" i="1"/>
  <c r="R857" i="1" s="1"/>
  <c r="AE856" i="1"/>
  <c r="P856" i="1"/>
  <c r="R856" i="1" s="1"/>
  <c r="AE855" i="1"/>
  <c r="P855" i="1"/>
  <c r="R855" i="1" s="1"/>
  <c r="AE854" i="1"/>
  <c r="P854" i="1"/>
  <c r="R854" i="1" s="1"/>
  <c r="AE853" i="1"/>
  <c r="AE852" i="1"/>
  <c r="AE851" i="1"/>
  <c r="AE850" i="1"/>
  <c r="AE849" i="1"/>
  <c r="AE848" i="1"/>
  <c r="AE847" i="1"/>
  <c r="AE846" i="1"/>
  <c r="AE845" i="1"/>
  <c r="AE844" i="1"/>
  <c r="AE843" i="1"/>
  <c r="AE842" i="1"/>
  <c r="AE841" i="1"/>
  <c r="AE840" i="1"/>
  <c r="AE839" i="1"/>
  <c r="AE838" i="1"/>
  <c r="AE837" i="1"/>
  <c r="AE827" i="1"/>
  <c r="AE826" i="1"/>
  <c r="AE825" i="1"/>
  <c r="V825" i="1"/>
  <c r="AE824" i="1"/>
  <c r="V824" i="1"/>
  <c r="AE823" i="1"/>
  <c r="V823" i="1"/>
  <c r="AE822" i="1"/>
  <c r="AE821" i="1"/>
  <c r="AE820" i="1"/>
  <c r="AE819" i="1"/>
  <c r="W819" i="1"/>
  <c r="AE818" i="1"/>
  <c r="AE817" i="1"/>
  <c r="AE816" i="1"/>
  <c r="AE815" i="1"/>
  <c r="AE814" i="1"/>
  <c r="AE813" i="1"/>
  <c r="AE812" i="1"/>
  <c r="AE811" i="1"/>
  <c r="AE810" i="1"/>
  <c r="AE809" i="1"/>
  <c r="AE808" i="1"/>
  <c r="AE807" i="1"/>
  <c r="AE806" i="1"/>
  <c r="AE805" i="1"/>
  <c r="AE804" i="1"/>
  <c r="W804" i="1"/>
  <c r="AE803" i="1"/>
  <c r="AE802" i="1"/>
  <c r="AE801" i="1"/>
  <c r="AE800" i="1"/>
  <c r="AE799" i="1"/>
  <c r="AE798" i="1"/>
  <c r="AE797" i="1"/>
  <c r="AE796" i="1"/>
  <c r="AE795" i="1"/>
  <c r="AE794" i="1"/>
  <c r="AE793" i="1"/>
  <c r="AE792" i="1"/>
  <c r="P792" i="1"/>
  <c r="R792" i="1" s="1"/>
  <c r="AE791" i="1"/>
  <c r="AE790" i="1"/>
  <c r="AE789" i="1"/>
  <c r="K789" i="1"/>
  <c r="AE788" i="1"/>
  <c r="K788" i="1"/>
  <c r="AE787" i="1"/>
  <c r="I787" i="1"/>
  <c r="K787" i="1" s="1"/>
  <c r="AE786" i="1"/>
  <c r="AE785" i="1"/>
  <c r="AE784" i="1"/>
  <c r="A784" i="1"/>
  <c r="AE783" i="1"/>
  <c r="R783" i="1"/>
  <c r="I783" i="1"/>
  <c r="K783" i="1" s="1"/>
  <c r="AE782" i="1"/>
  <c r="AE781" i="1"/>
  <c r="AE780" i="1"/>
  <c r="AE779" i="1"/>
  <c r="AE778" i="1"/>
  <c r="AE777" i="1"/>
  <c r="AE776" i="1"/>
  <c r="AE775" i="1"/>
  <c r="R775" i="1"/>
  <c r="AE774" i="1"/>
  <c r="AE773" i="1"/>
  <c r="AE772" i="1"/>
  <c r="AE771" i="1"/>
  <c r="AE770" i="1"/>
  <c r="R770" i="1"/>
  <c r="AE769" i="1"/>
  <c r="AE768" i="1"/>
  <c r="AE767" i="1"/>
  <c r="AE766" i="1"/>
  <c r="K766" i="1"/>
  <c r="AE765" i="1"/>
  <c r="K765" i="1"/>
  <c r="AE764" i="1"/>
  <c r="AE763" i="1"/>
  <c r="AE762" i="1"/>
  <c r="AE761" i="1"/>
  <c r="K761" i="1"/>
  <c r="AE760" i="1"/>
  <c r="I760" i="1"/>
  <c r="K760" i="1" s="1"/>
  <c r="AE759" i="1"/>
  <c r="I759" i="1"/>
  <c r="K759" i="1" s="1"/>
  <c r="I780" i="1" s="1"/>
  <c r="K780" i="1" s="1"/>
  <c r="AE758" i="1"/>
  <c r="AE757" i="1"/>
  <c r="AE756" i="1"/>
  <c r="P756" i="1"/>
  <c r="R756" i="1" s="1"/>
  <c r="AE755" i="1"/>
  <c r="P755" i="1"/>
  <c r="R755" i="1" s="1"/>
  <c r="AE754" i="1"/>
  <c r="P754" i="1"/>
  <c r="R754" i="1" s="1"/>
  <c r="AE753" i="1"/>
  <c r="P753" i="1"/>
  <c r="R753" i="1" s="1"/>
  <c r="AE752" i="1"/>
  <c r="AE751" i="1"/>
  <c r="P751" i="1"/>
  <c r="R751" i="1" s="1"/>
  <c r="AE750" i="1"/>
  <c r="AE749" i="1"/>
  <c r="AE748" i="1"/>
  <c r="AE747" i="1"/>
  <c r="AE746" i="1"/>
  <c r="AE745" i="1"/>
  <c r="AE744" i="1"/>
  <c r="AE743" i="1"/>
  <c r="AE742" i="1"/>
  <c r="AE741" i="1"/>
  <c r="AE740" i="1"/>
  <c r="P740" i="1"/>
  <c r="R740" i="1" s="1"/>
  <c r="AE739" i="1"/>
  <c r="P739" i="1"/>
  <c r="R739" i="1" s="1"/>
  <c r="AE738" i="1"/>
  <c r="V738" i="1"/>
  <c r="P738" i="1"/>
  <c r="R738" i="1" s="1"/>
  <c r="AE737" i="1"/>
  <c r="V737" i="1"/>
  <c r="P737" i="1"/>
  <c r="R737" i="1" s="1"/>
  <c r="AE736" i="1"/>
  <c r="AE735" i="1"/>
  <c r="P735" i="1"/>
  <c r="R735" i="1" s="1"/>
  <c r="AE734" i="1"/>
  <c r="AE733" i="1"/>
  <c r="AE732" i="1"/>
  <c r="AE731" i="1"/>
  <c r="AE730" i="1"/>
  <c r="AE729" i="1"/>
  <c r="AE728" i="1"/>
  <c r="AE727" i="1"/>
  <c r="AE726" i="1"/>
  <c r="AE725" i="1"/>
  <c r="P725" i="1"/>
  <c r="R725" i="1" s="1"/>
  <c r="AE724" i="1"/>
  <c r="P724" i="1"/>
  <c r="R724" i="1" s="1"/>
  <c r="AE723" i="1"/>
  <c r="P723" i="1"/>
  <c r="R723" i="1" s="1"/>
  <c r="AE722" i="1"/>
  <c r="P722" i="1"/>
  <c r="R722" i="1" s="1"/>
  <c r="AE721" i="1"/>
  <c r="AE720" i="1"/>
  <c r="P720" i="1"/>
  <c r="R720" i="1" s="1"/>
  <c r="I720" i="1"/>
  <c r="K720" i="1" s="1"/>
  <c r="AE719" i="1"/>
  <c r="AE718" i="1"/>
  <c r="I718" i="1"/>
  <c r="K718" i="1" s="1"/>
  <c r="AE717" i="1"/>
  <c r="V717" i="1"/>
  <c r="I717" i="1"/>
  <c r="K717" i="1" s="1"/>
  <c r="AE716" i="1"/>
  <c r="V716" i="1"/>
  <c r="D52" i="32" s="1"/>
  <c r="D115" i="32" s="1"/>
  <c r="AE715" i="1"/>
  <c r="AE714" i="1"/>
  <c r="V714" i="1"/>
  <c r="AE713" i="1"/>
  <c r="V713" i="1"/>
  <c r="D49" i="32" s="1"/>
  <c r="D112" i="32" s="1"/>
  <c r="AE712" i="1"/>
  <c r="AE711" i="1"/>
  <c r="AE710" i="1"/>
  <c r="W710" i="1"/>
  <c r="AE709" i="1"/>
  <c r="S709" i="1"/>
  <c r="P709" i="1"/>
  <c r="R709" i="1" s="1"/>
  <c r="R713" i="1" s="1"/>
  <c r="AE708" i="1"/>
  <c r="AE707" i="1"/>
  <c r="AE706" i="1"/>
  <c r="AE705" i="1"/>
  <c r="AE704" i="1"/>
  <c r="AE703" i="1"/>
  <c r="AE702" i="1"/>
  <c r="AE701" i="1"/>
  <c r="K701" i="1"/>
  <c r="AE700" i="1"/>
  <c r="I700" i="1"/>
  <c r="K700" i="1" s="1"/>
  <c r="AE699" i="1"/>
  <c r="I699" i="1"/>
  <c r="K699" i="1" s="1"/>
  <c r="AE698" i="1"/>
  <c r="P698" i="1"/>
  <c r="R698" i="1" s="1"/>
  <c r="R702" i="1" s="1"/>
  <c r="AE697" i="1"/>
  <c r="AE696" i="1"/>
  <c r="AE695" i="1"/>
  <c r="AE694" i="1"/>
  <c r="AE693" i="1"/>
  <c r="AE692" i="1"/>
  <c r="AF691" i="1"/>
  <c r="AE691" i="1"/>
  <c r="AE690" i="1"/>
  <c r="AF689" i="1"/>
  <c r="AE689" i="1"/>
  <c r="AE688" i="1"/>
  <c r="P688" i="1"/>
  <c r="R688" i="1" s="1"/>
  <c r="R692" i="1" s="1"/>
  <c r="AE687" i="1"/>
  <c r="AE686" i="1"/>
  <c r="AE685" i="1"/>
  <c r="AC685" i="1"/>
  <c r="AE684" i="1"/>
  <c r="AC684" i="1"/>
  <c r="AE683" i="1"/>
  <c r="AA683" i="1"/>
  <c r="AE682" i="1"/>
  <c r="K682" i="1"/>
  <c r="AE681" i="1"/>
  <c r="I681" i="1"/>
  <c r="K681" i="1" s="1"/>
  <c r="AE680" i="1"/>
  <c r="I680" i="1"/>
  <c r="K680" i="1" s="1"/>
  <c r="AE679" i="1"/>
  <c r="AE678" i="1"/>
  <c r="P678" i="1"/>
  <c r="R678" i="1" s="1"/>
  <c r="R682" i="1" s="1"/>
  <c r="AE677" i="1"/>
  <c r="AE676" i="1"/>
  <c r="AE675" i="1"/>
  <c r="AE674" i="1"/>
  <c r="AE673" i="1"/>
  <c r="P660" i="1"/>
  <c r="R660" i="1" s="1"/>
  <c r="P659" i="1"/>
  <c r="R659" i="1" s="1"/>
  <c r="P658" i="1"/>
  <c r="R658" i="1" s="1"/>
  <c r="C658" i="1"/>
  <c r="V648" i="1"/>
  <c r="V709" i="1" s="1"/>
  <c r="X709" i="1" s="1"/>
  <c r="Z709" i="1" s="1"/>
  <c r="P642" i="1"/>
  <c r="R642" i="1" s="1"/>
  <c r="AE637" i="1"/>
  <c r="AE636" i="1"/>
  <c r="AE635" i="1"/>
  <c r="AE634" i="1"/>
  <c r="AE633" i="1"/>
  <c r="AE632" i="1"/>
  <c r="AE631" i="1"/>
  <c r="AE630" i="1"/>
  <c r="AE629" i="1"/>
  <c r="P629" i="1"/>
  <c r="R629" i="1" s="1"/>
  <c r="AE628" i="1"/>
  <c r="AE627" i="1"/>
  <c r="AE626" i="1"/>
  <c r="AE625" i="1"/>
  <c r="AE624" i="1"/>
  <c r="AE623" i="1"/>
  <c r="AE622" i="1"/>
  <c r="AE621" i="1"/>
  <c r="AE620" i="1"/>
  <c r="AE619" i="1"/>
  <c r="I619" i="1"/>
  <c r="K619" i="1" s="1"/>
  <c r="AE618" i="1"/>
  <c r="AE617" i="1"/>
  <c r="AE616" i="1"/>
  <c r="AE615" i="1"/>
  <c r="C615" i="1"/>
  <c r="AE614" i="1"/>
  <c r="AE613" i="1"/>
  <c r="AE612" i="1"/>
  <c r="AE611" i="1"/>
  <c r="AE610" i="1"/>
  <c r="AE609" i="1"/>
  <c r="AE608" i="1"/>
  <c r="C608" i="1"/>
  <c r="AE607" i="1"/>
  <c r="AE606" i="1"/>
  <c r="AE605" i="1"/>
  <c r="AE604" i="1"/>
  <c r="I604" i="1"/>
  <c r="K604" i="1" s="1"/>
  <c r="AE603" i="1"/>
  <c r="AE602" i="1"/>
  <c r="E602" i="1"/>
  <c r="C602" i="1"/>
  <c r="I1269" i="1" s="1"/>
  <c r="AE601" i="1"/>
  <c r="I1248" i="1"/>
  <c r="AE600" i="1"/>
  <c r="AE599" i="1"/>
  <c r="AE598" i="1"/>
  <c r="AE597" i="1"/>
  <c r="AE596" i="1"/>
  <c r="AE595" i="1"/>
  <c r="AE594" i="1"/>
  <c r="AE593" i="1"/>
  <c r="AE592" i="1"/>
  <c r="AE591" i="1"/>
  <c r="AE590" i="1"/>
  <c r="AE589" i="1"/>
  <c r="AE588" i="1"/>
  <c r="AE587" i="1"/>
  <c r="AE586" i="1"/>
  <c r="AE585" i="1"/>
  <c r="V585" i="1"/>
  <c r="P585" i="1"/>
  <c r="R585" i="1" s="1"/>
  <c r="AE584" i="1"/>
  <c r="R584" i="1"/>
  <c r="AE583" i="1"/>
  <c r="R583" i="1"/>
  <c r="AE582" i="1"/>
  <c r="I582" i="1"/>
  <c r="K582" i="1" s="1"/>
  <c r="AE581" i="1"/>
  <c r="AE580" i="1"/>
  <c r="AE579" i="1"/>
  <c r="AE578" i="1"/>
  <c r="P578" i="1"/>
  <c r="R578" i="1" s="1"/>
  <c r="AE577" i="1"/>
  <c r="AE576" i="1"/>
  <c r="AE575" i="1"/>
  <c r="AE574" i="1"/>
  <c r="AE573" i="1"/>
  <c r="AE572" i="1"/>
  <c r="AC572" i="1"/>
  <c r="AB572" i="1"/>
  <c r="AD572" i="1" s="1"/>
  <c r="AC566" i="1"/>
  <c r="AJ566" i="1" s="1"/>
  <c r="AE564" i="1"/>
  <c r="AE563" i="1"/>
  <c r="AE562" i="1"/>
  <c r="M562" i="1"/>
  <c r="AE561" i="1"/>
  <c r="M561" i="1"/>
  <c r="AE560" i="1"/>
  <c r="M560" i="1"/>
  <c r="AE559" i="1"/>
  <c r="M559" i="1"/>
  <c r="AE558" i="1"/>
  <c r="AE557" i="1"/>
  <c r="AE556" i="1"/>
  <c r="AE555" i="1"/>
  <c r="V555" i="1"/>
  <c r="AE554" i="1"/>
  <c r="AE553" i="1"/>
  <c r="R553" i="1"/>
  <c r="E553" i="1"/>
  <c r="AE552" i="1"/>
  <c r="AE551" i="1"/>
  <c r="AE550" i="1"/>
  <c r="AE549" i="1"/>
  <c r="W549" i="1"/>
  <c r="AC549" i="1" s="1"/>
  <c r="AE548" i="1"/>
  <c r="W548" i="1"/>
  <c r="AC548" i="1"/>
  <c r="AJ548" i="1" s="1"/>
  <c r="P548" i="1"/>
  <c r="R548" i="1" s="1"/>
  <c r="AE539" i="1"/>
  <c r="P539" i="1"/>
  <c r="R539" i="1" s="1"/>
  <c r="AE538" i="1"/>
  <c r="AE537" i="1"/>
  <c r="P537" i="1"/>
  <c r="R537" i="1" s="1"/>
  <c r="AE536" i="1"/>
  <c r="AE535" i="1"/>
  <c r="AE534" i="1"/>
  <c r="AE533" i="1"/>
  <c r="AE532" i="1"/>
  <c r="AE531" i="1"/>
  <c r="AB531" i="1"/>
  <c r="AE530" i="1"/>
  <c r="AE529" i="1"/>
  <c r="AE528" i="1"/>
  <c r="AE527" i="1"/>
  <c r="AE526" i="1"/>
  <c r="AE525" i="1"/>
  <c r="R525" i="1"/>
  <c r="AE524" i="1"/>
  <c r="AE523" i="1"/>
  <c r="AE522" i="1"/>
  <c r="AE521" i="1"/>
  <c r="AE520" i="1"/>
  <c r="P520" i="1"/>
  <c r="R520" i="1" s="1"/>
  <c r="AE519" i="1"/>
  <c r="P519" i="1"/>
  <c r="R519" i="1" s="1"/>
  <c r="AE518" i="1"/>
  <c r="AE517" i="1"/>
  <c r="P517" i="1"/>
  <c r="R517" i="1" s="1"/>
  <c r="AE516" i="1"/>
  <c r="AE515" i="1"/>
  <c r="AE514" i="1"/>
  <c r="AE513" i="1"/>
  <c r="AE512" i="1"/>
  <c r="AE511" i="1"/>
  <c r="AE510" i="1"/>
  <c r="AE509" i="1"/>
  <c r="AE508" i="1"/>
  <c r="AE507" i="1"/>
  <c r="R507" i="1"/>
  <c r="AE506" i="1"/>
  <c r="AE505" i="1"/>
  <c r="AE504" i="1"/>
  <c r="AE503" i="1"/>
  <c r="AE502" i="1"/>
  <c r="P502" i="1"/>
  <c r="R502" i="1" s="1"/>
  <c r="AE501" i="1"/>
  <c r="P501" i="1"/>
  <c r="R501" i="1" s="1"/>
  <c r="AE500" i="1"/>
  <c r="AE499" i="1"/>
  <c r="P499" i="1"/>
  <c r="R499" i="1" s="1"/>
  <c r="AE498" i="1"/>
  <c r="AE497" i="1"/>
  <c r="AE496" i="1"/>
  <c r="AE495" i="1"/>
  <c r="AE494" i="1"/>
  <c r="AE493" i="1"/>
  <c r="AE492" i="1"/>
  <c r="I492" i="1"/>
  <c r="K492" i="1" s="1"/>
  <c r="AE491" i="1"/>
  <c r="AE490" i="1"/>
  <c r="AE489" i="1"/>
  <c r="AE488" i="1"/>
  <c r="AE487" i="1"/>
  <c r="AE486" i="1"/>
  <c r="AE485" i="1"/>
  <c r="AE484" i="1"/>
  <c r="P484" i="1"/>
  <c r="R484" i="1" s="1"/>
  <c r="AE483" i="1"/>
  <c r="P483" i="1"/>
  <c r="R483" i="1" s="1"/>
  <c r="AE482" i="1"/>
  <c r="P482" i="1"/>
  <c r="R482" i="1" s="1"/>
  <c r="AE481" i="1"/>
  <c r="AE480" i="1"/>
  <c r="AB480" i="1"/>
  <c r="AE479" i="1"/>
  <c r="AE471" i="1"/>
  <c r="AE470" i="1"/>
  <c r="P470" i="1"/>
  <c r="R470" i="1" s="1"/>
  <c r="AE469" i="1"/>
  <c r="AE468" i="1"/>
  <c r="AE467" i="1"/>
  <c r="AE466" i="1"/>
  <c r="AE465" i="1"/>
  <c r="AE464" i="1"/>
  <c r="P459" i="1"/>
  <c r="R459" i="1" s="1"/>
  <c r="P458" i="1"/>
  <c r="R458" i="1" s="1"/>
  <c r="P457" i="1"/>
  <c r="R457" i="1" s="1"/>
  <c r="P452" i="1"/>
  <c r="R452" i="1" s="1"/>
  <c r="P441" i="1"/>
  <c r="R441" i="1" s="1"/>
  <c r="P440" i="1"/>
  <c r="R440" i="1" s="1"/>
  <c r="P439" i="1"/>
  <c r="R439" i="1" s="1"/>
  <c r="R433" i="1"/>
  <c r="AB432" i="1"/>
  <c r="AB431" i="1"/>
  <c r="AB430" i="1"/>
  <c r="AB429" i="1"/>
  <c r="AB428" i="1"/>
  <c r="AB424" i="1"/>
  <c r="AD422" i="1"/>
  <c r="X416" i="1"/>
  <c r="F411" i="1"/>
  <c r="H410" i="1"/>
  <c r="F410" i="1"/>
  <c r="H408" i="1"/>
  <c r="AD388" i="1"/>
  <c r="AB388" i="1"/>
  <c r="AD386" i="1"/>
  <c r="H379" i="1"/>
  <c r="F379" i="1"/>
  <c r="H377" i="1"/>
  <c r="P367" i="1"/>
  <c r="R367" i="1" s="1"/>
  <c r="AD364" i="1"/>
  <c r="H355" i="1"/>
  <c r="X341" i="1"/>
  <c r="AB336" i="1"/>
  <c r="F336" i="1"/>
  <c r="AD335" i="1"/>
  <c r="AB335" i="1"/>
  <c r="H335" i="1"/>
  <c r="F335" i="1"/>
  <c r="AD333" i="1"/>
  <c r="AD362" i="1" s="1"/>
  <c r="H333" i="1"/>
  <c r="H353" i="1" s="1"/>
  <c r="AD311" i="1"/>
  <c r="AD424" i="1" s="1"/>
  <c r="H311" i="1"/>
  <c r="K257" i="1"/>
  <c r="I256" i="1"/>
  <c r="K256" i="1" s="1"/>
  <c r="K245" i="1"/>
  <c r="I241" i="1"/>
  <c r="K241" i="1" s="1"/>
  <c r="P219" i="1"/>
  <c r="R219" i="1" s="1"/>
  <c r="P218" i="1"/>
  <c r="R218" i="1" s="1"/>
  <c r="P217" i="1"/>
  <c r="R217" i="1" s="1"/>
  <c r="P216" i="1"/>
  <c r="R216" i="1" s="1"/>
  <c r="P215" i="1"/>
  <c r="R215" i="1" s="1"/>
  <c r="P214" i="1"/>
  <c r="R214" i="1" s="1"/>
  <c r="P212" i="1"/>
  <c r="R212" i="1" s="1"/>
  <c r="I186" i="1"/>
  <c r="K186" i="1" s="1"/>
  <c r="I185" i="1"/>
  <c r="K185" i="1" s="1"/>
  <c r="I157" i="1"/>
  <c r="K157" i="1" s="1"/>
  <c r="I155" i="1"/>
  <c r="K155" i="1" s="1"/>
  <c r="I153" i="1"/>
  <c r="K153" i="1" s="1"/>
  <c r="C143" i="1"/>
  <c r="C57" i="1"/>
  <c r="I1231" i="1" s="1"/>
  <c r="K1231" i="1" s="1"/>
  <c r="Y47" i="1"/>
  <c r="AF46" i="1"/>
  <c r="AE46" i="1" s="1"/>
  <c r="AF43" i="1"/>
  <c r="AE43" i="1" s="1"/>
  <c r="X42" i="1"/>
  <c r="Y34" i="1"/>
  <c r="W34" i="1"/>
  <c r="C34" i="1"/>
  <c r="D34" i="1" s="1"/>
  <c r="X33" i="1"/>
  <c r="AC30" i="1"/>
  <c r="C137" i="1" s="1"/>
  <c r="I1218" i="1" s="1"/>
  <c r="K1218" i="1" s="1"/>
  <c r="W29" i="1"/>
  <c r="E29" i="1"/>
  <c r="E27" i="1"/>
  <c r="C28" i="1" s="1"/>
  <c r="I1233" i="1" s="1"/>
  <c r="K1233" i="1" s="1"/>
  <c r="AC22" i="1"/>
  <c r="C84" i="1" s="1"/>
  <c r="AC21" i="1"/>
  <c r="C83" i="1" s="1"/>
  <c r="I1375" i="1" s="1"/>
  <c r="K1375" i="1" s="1"/>
  <c r="W20" i="1"/>
  <c r="W19" i="1"/>
  <c r="Y17" i="1"/>
  <c r="P11" i="1"/>
  <c r="R11" i="1" s="1"/>
  <c r="A11" i="1"/>
  <c r="A12" i="1" s="1"/>
  <c r="A13" i="1" s="1"/>
  <c r="A14" i="1" s="1"/>
  <c r="A15" i="1" s="1"/>
  <c r="A16" i="1" s="1"/>
  <c r="A17" i="1" s="1"/>
  <c r="A18" i="1" s="1"/>
  <c r="A19" i="1" s="1"/>
  <c r="A20" i="1" s="1"/>
  <c r="A21" i="1" s="1"/>
  <c r="A22" i="1" s="1"/>
  <c r="A23" i="1" s="1"/>
  <c r="A24" i="1" s="1"/>
  <c r="A25" i="1" s="1"/>
  <c r="A26" i="1" s="1"/>
  <c r="A27" i="1" s="1"/>
  <c r="A28" i="1" s="1"/>
  <c r="A29" i="1" s="1"/>
  <c r="A30" i="1" s="1"/>
  <c r="A31" i="1" s="1"/>
  <c r="A32" i="1" s="1"/>
  <c r="A33" i="1" s="1"/>
  <c r="A34" i="1" s="1"/>
  <c r="A35" i="1" s="1"/>
  <c r="A38" i="1" s="1"/>
  <c r="A39" i="1" s="1"/>
  <c r="A40" i="1" s="1"/>
  <c r="A41" i="1" s="1"/>
  <c r="A42" i="1" s="1"/>
  <c r="A43" i="1" s="1"/>
  <c r="A44" i="1" s="1"/>
  <c r="A45" i="1" s="1"/>
  <c r="A46" i="1" s="1"/>
  <c r="A47" i="1" s="1"/>
  <c r="A48" i="1" s="1"/>
  <c r="A49" i="1" s="1"/>
  <c r="A50" i="1" s="1"/>
  <c r="A51" i="1" s="1"/>
  <c r="A52" i="1" s="1"/>
  <c r="A53" i="1" s="1"/>
  <c r="A54" i="1" s="1"/>
  <c r="A55" i="1" s="1"/>
  <c r="A56" i="1" s="1"/>
  <c r="A57" i="1" s="1"/>
  <c r="A58" i="1" s="1"/>
  <c r="A60" i="1" s="1"/>
  <c r="A61" i="1" s="1"/>
  <c r="A62" i="1" s="1"/>
  <c r="A63" i="1" s="1"/>
  <c r="A64" i="1" s="1"/>
  <c r="A65" i="1" s="1"/>
  <c r="A66" i="1" s="1"/>
  <c r="A67" i="1" s="1"/>
  <c r="A68" i="1" s="1"/>
  <c r="A69" i="1" s="1"/>
  <c r="A70" i="1" s="1"/>
  <c r="A71" i="1" s="1"/>
  <c r="A72" i="1" s="1"/>
  <c r="A73" i="1" s="1"/>
  <c r="A74" i="1" s="1"/>
  <c r="A75" i="1" s="1"/>
  <c r="A76" i="1" s="1"/>
  <c r="A77" i="1" s="1"/>
  <c r="A78" i="1" s="1"/>
  <c r="A79" i="1" s="1"/>
  <c r="A80" i="1" s="1"/>
  <c r="A81" i="1" s="1"/>
  <c r="A82" i="1" s="1"/>
  <c r="A83" i="1" s="1"/>
  <c r="A84" i="1" s="1"/>
  <c r="A85" i="1" s="1"/>
  <c r="A86" i="1" s="1"/>
  <c r="A87" i="1" s="1"/>
  <c r="A88" i="1" s="1"/>
  <c r="A89" i="1" s="1"/>
  <c r="A90" i="1" s="1"/>
  <c r="A91" i="1" s="1"/>
  <c r="A137" i="1" s="1"/>
  <c r="A138" i="1" s="1"/>
  <c r="A139" i="1" s="1"/>
  <c r="A140" i="1" s="1"/>
  <c r="A141" i="1" s="1"/>
  <c r="A142" i="1" s="1"/>
  <c r="A143" i="1" s="1"/>
  <c r="A145" i="1" s="1"/>
  <c r="A147" i="1" s="1"/>
  <c r="A148" i="1" s="1"/>
  <c r="A192" i="1" s="1"/>
  <c r="A193" i="1" s="1"/>
  <c r="A194" i="1" s="1"/>
  <c r="A195" i="1" s="1"/>
  <c r="A196" i="1" s="1"/>
  <c r="A197" i="1" s="1"/>
  <c r="A198" i="1" s="1"/>
  <c r="A199" i="1" s="1"/>
  <c r="A200" i="1" s="1"/>
  <c r="A201" i="1" s="1"/>
  <c r="A202" i="1" s="1"/>
  <c r="A203" i="1" s="1"/>
  <c r="A204" i="1" s="1"/>
  <c r="A205" i="1" s="1"/>
  <c r="A206" i="1" s="1"/>
  <c r="A265" i="1" s="1"/>
  <c r="A266" i="1" s="1"/>
  <c r="A267" i="1" s="1"/>
  <c r="A268" i="1" s="1"/>
  <c r="A269" i="1" s="1"/>
  <c r="A270" i="1" s="1"/>
  <c r="A271" i="1" s="1"/>
  <c r="A272" i="1" s="1"/>
  <c r="A273" i="1" s="1"/>
  <c r="A274" i="1" s="1"/>
  <c r="A275" i="1" s="1"/>
  <c r="A276" i="1" s="1"/>
  <c r="A277" i="1" s="1"/>
  <c r="A278" i="1" s="1"/>
  <c r="A279" i="1" s="1"/>
  <c r="A280" i="1" s="1"/>
  <c r="A282" i="1" s="1"/>
  <c r="A283" i="1" s="1"/>
  <c r="A284" i="1" s="1"/>
  <c r="A285" i="1" s="1"/>
  <c r="A286" i="1" s="1"/>
  <c r="A287" i="1" s="1"/>
  <c r="A288" i="1" s="1"/>
  <c r="A289" i="1" s="1"/>
  <c r="A290" i="1" s="1"/>
  <c r="A291" i="1" s="1"/>
  <c r="A292" i="1" s="1"/>
  <c r="A293" i="1" s="1"/>
  <c r="A294" i="1" s="1"/>
  <c r="A295" i="1" s="1"/>
  <c r="A296" i="1" s="1"/>
  <c r="A297" i="1" s="1"/>
  <c r="A298" i="1" s="1"/>
  <c r="A299" i="1" s="1"/>
  <c r="A300" i="1" s="1"/>
  <c r="A301" i="1" s="1"/>
  <c r="A302" i="1" s="1"/>
  <c r="A303" i="1" s="1"/>
  <c r="A304" i="1" s="1"/>
  <c r="A305" i="1" s="1"/>
  <c r="A306" i="1" s="1"/>
  <c r="A307" i="1" s="1"/>
  <c r="A308" i="1" s="1"/>
  <c r="A309" i="1" s="1"/>
  <c r="A310" i="1" s="1"/>
  <c r="A311" i="1" s="1"/>
  <c r="A312" i="1" s="1"/>
  <c r="A313" i="1" s="1"/>
  <c r="A314" i="1" s="1"/>
  <c r="A315" i="1" s="1"/>
  <c r="A316" i="1" s="1"/>
  <c r="A317" i="1" s="1"/>
  <c r="A318" i="1" s="1"/>
  <c r="A319" i="1" s="1"/>
  <c r="A320" i="1" s="1"/>
  <c r="A321" i="1" s="1"/>
  <c r="A322" i="1" s="1"/>
  <c r="A323" i="1" s="1"/>
  <c r="A324" i="1" s="1"/>
  <c r="A325" i="1" s="1"/>
  <c r="A326" i="1" s="1"/>
  <c r="A327" i="1" s="1"/>
  <c r="A332" i="1" s="1"/>
  <c r="A333" i="1" s="1"/>
  <c r="A334" i="1" s="1"/>
  <c r="A335" i="1" s="1"/>
  <c r="A336" i="1" s="1"/>
  <c r="A337" i="1" s="1"/>
  <c r="A338" i="1" s="1"/>
  <c r="A339" i="1" s="1"/>
  <c r="A340" i="1" s="1"/>
  <c r="A341" i="1" s="1"/>
  <c r="A342" i="1" s="1"/>
  <c r="A343" i="1" s="1"/>
  <c r="A344" i="1" s="1"/>
  <c r="A345" i="1" s="1"/>
  <c r="A346" i="1" s="1"/>
  <c r="A347" i="1" s="1"/>
  <c r="A348" i="1" s="1"/>
  <c r="A349" i="1" s="1"/>
  <c r="A350" i="1" s="1"/>
  <c r="A351" i="1" s="1"/>
  <c r="A352" i="1" s="1"/>
  <c r="A353" i="1" s="1"/>
  <c r="A354" i="1" s="1"/>
  <c r="A355" i="1" s="1"/>
  <c r="A356" i="1" s="1"/>
  <c r="A357" i="1" s="1"/>
  <c r="A358" i="1" s="1"/>
  <c r="A359" i="1" s="1"/>
  <c r="A360" i="1" s="1"/>
  <c r="A361" i="1" s="1"/>
  <c r="A362" i="1" s="1"/>
  <c r="A363" i="1" s="1"/>
  <c r="A364" i="1" s="1"/>
  <c r="A365" i="1" s="1"/>
  <c r="A366" i="1" s="1"/>
  <c r="A367" i="1" s="1"/>
  <c r="A368" i="1" s="1"/>
  <c r="A369" i="1" s="1"/>
  <c r="A370" i="1" s="1"/>
  <c r="A371" i="1" s="1"/>
  <c r="A372" i="1" s="1"/>
  <c r="A373" i="1" s="1"/>
  <c r="A374" i="1" s="1"/>
  <c r="A375" i="1" s="1"/>
  <c r="A376" i="1" s="1"/>
  <c r="A377" i="1" s="1"/>
  <c r="A378" i="1" s="1"/>
  <c r="A379" i="1" s="1"/>
  <c r="A380" i="1" s="1"/>
  <c r="A381" i="1" s="1"/>
  <c r="A382" i="1" s="1"/>
  <c r="A383" i="1" s="1"/>
  <c r="A384" i="1" s="1"/>
  <c r="A385" i="1" s="1"/>
  <c r="A386" i="1" s="1"/>
  <c r="A387" i="1" s="1"/>
  <c r="A388" i="1" s="1"/>
  <c r="A389" i="1" s="1"/>
  <c r="A390" i="1" s="1"/>
  <c r="A391" i="1" s="1"/>
  <c r="A392" i="1" s="1"/>
  <c r="A393" i="1" s="1"/>
  <c r="A394" i="1" s="1"/>
  <c r="A395" i="1" s="1"/>
  <c r="A396" i="1" s="1"/>
  <c r="A397" i="1" s="1"/>
  <c r="A398" i="1" s="1"/>
  <c r="A399" i="1" s="1"/>
  <c r="A400" i="1" s="1"/>
  <c r="A401" i="1" s="1"/>
  <c r="A402" i="1" s="1"/>
  <c r="A403" i="1" s="1"/>
  <c r="A404" i="1" s="1"/>
  <c r="A405" i="1" s="1"/>
  <c r="A406" i="1" s="1"/>
  <c r="A407" i="1" s="1"/>
  <c r="A408" i="1" s="1"/>
  <c r="A409" i="1" s="1"/>
  <c r="A410" i="1" s="1"/>
  <c r="A411" i="1" s="1"/>
  <c r="A412" i="1" s="1"/>
  <c r="A413" i="1" s="1"/>
  <c r="A414" i="1" s="1"/>
  <c r="A415" i="1" s="1"/>
  <c r="A416" i="1" s="1"/>
  <c r="A417" i="1" s="1"/>
  <c r="A418" i="1" s="1"/>
  <c r="A419" i="1" s="1"/>
  <c r="A420" i="1" s="1"/>
  <c r="A421" i="1" s="1"/>
  <c r="A423" i="1" s="1"/>
  <c r="A424" i="1" s="1"/>
  <c r="A425" i="1" s="1"/>
  <c r="A426" i="1" s="1"/>
  <c r="A427" i="1" s="1"/>
  <c r="A428" i="1" s="1"/>
  <c r="A429" i="1" s="1"/>
  <c r="A430" i="1" s="1"/>
  <c r="A431" i="1" s="1"/>
  <c r="A432" i="1" s="1"/>
  <c r="A433" i="1" s="1"/>
  <c r="A434" i="1" s="1"/>
  <c r="A435" i="1" s="1"/>
  <c r="A436" i="1" s="1"/>
  <c r="A437" i="1" s="1"/>
  <c r="A439" i="1" s="1"/>
  <c r="A440" i="1" s="1"/>
  <c r="A441" i="1" s="1"/>
  <c r="A442" i="1" s="1"/>
  <c r="A443" i="1" s="1"/>
  <c r="A444" i="1" s="1"/>
  <c r="A445" i="1" s="1"/>
  <c r="A446" i="1" s="1"/>
  <c r="A447" i="1" s="1"/>
  <c r="A448" i="1" s="1"/>
  <c r="A449" i="1" s="1"/>
  <c r="A450" i="1" s="1"/>
  <c r="A451" i="1" s="1"/>
  <c r="A452" i="1" s="1"/>
  <c r="A453" i="1" s="1"/>
  <c r="A454" i="1" s="1"/>
  <c r="A455" i="1" s="1"/>
  <c r="A456" i="1" s="1"/>
  <c r="A457" i="1" s="1"/>
  <c r="A458" i="1" s="1"/>
  <c r="A459" i="1" s="1"/>
  <c r="A460" i="1" s="1"/>
  <c r="A461" i="1" s="1"/>
  <c r="A462" i="1" s="1"/>
  <c r="A463" i="1" s="1"/>
  <c r="A464" i="1" s="1"/>
  <c r="A465" i="1" s="1"/>
  <c r="A466" i="1" s="1"/>
  <c r="A467" i="1" s="1"/>
  <c r="A468" i="1" s="1"/>
  <c r="A469" i="1" s="1"/>
  <c r="A470" i="1" s="1"/>
  <c r="A471" i="1" s="1"/>
  <c r="A479" i="1" s="1"/>
  <c r="A480" i="1" s="1"/>
  <c r="A481" i="1" s="1"/>
  <c r="A482" i="1" s="1"/>
  <c r="A483" i="1" s="1"/>
  <c r="A484" i="1" s="1"/>
  <c r="A485" i="1" s="1"/>
  <c r="A486" i="1" s="1"/>
  <c r="A487" i="1" s="1"/>
  <c r="A488" i="1" s="1"/>
  <c r="A489" i="1" s="1"/>
  <c r="A490" i="1" s="1"/>
  <c r="A491" i="1" s="1"/>
  <c r="A492" i="1" s="1"/>
  <c r="A493" i="1" s="1"/>
  <c r="A494" i="1" s="1"/>
  <c r="A495" i="1" s="1"/>
  <c r="A496" i="1" s="1"/>
  <c r="A497" i="1" s="1"/>
  <c r="A499" i="1" s="1"/>
  <c r="A500" i="1" s="1"/>
  <c r="A501" i="1" s="1"/>
  <c r="A502" i="1" s="1"/>
  <c r="A503" i="1" s="1"/>
  <c r="A504" i="1" s="1"/>
  <c r="A505" i="1" s="1"/>
  <c r="A506" i="1" s="1"/>
  <c r="A507" i="1" s="1"/>
  <c r="A508" i="1" s="1"/>
  <c r="A509" i="1" s="1"/>
  <c r="A510" i="1" s="1"/>
  <c r="A511" i="1" s="1"/>
  <c r="A512" i="1" s="1"/>
  <c r="A513" i="1" s="1"/>
  <c r="A514" i="1" s="1"/>
  <c r="A515" i="1" s="1"/>
  <c r="A516" i="1" s="1"/>
  <c r="A517" i="1" s="1"/>
  <c r="A518" i="1" s="1"/>
  <c r="A519" i="1" s="1"/>
  <c r="A520" i="1" s="1"/>
  <c r="A521" i="1" s="1"/>
  <c r="A522" i="1" s="1"/>
  <c r="A523" i="1" s="1"/>
  <c r="A524" i="1" s="1"/>
  <c r="A525" i="1" s="1"/>
  <c r="A526" i="1" s="1"/>
  <c r="A527" i="1" s="1"/>
  <c r="A528" i="1" s="1"/>
  <c r="A529" i="1" s="1"/>
  <c r="A530" i="1" s="1"/>
  <c r="A531" i="1" s="1"/>
  <c r="A532" i="1" s="1"/>
  <c r="A533" i="1" s="1"/>
  <c r="A534" i="1" s="1"/>
  <c r="W10" i="1"/>
  <c r="W11" i="1" s="1"/>
  <c r="W12" i="1" s="1"/>
  <c r="W13" i="1" s="1"/>
  <c r="W14" i="1" s="1"/>
  <c r="W15" i="1" s="1"/>
  <c r="W16" i="1" s="1"/>
  <c r="W17" i="1" s="1"/>
  <c r="W46" i="1" s="1"/>
  <c r="W47" i="1" s="1"/>
  <c r="W3" i="1"/>
  <c r="Q3" i="1"/>
  <c r="O3" i="1"/>
  <c r="J3" i="1"/>
  <c r="H3" i="1"/>
  <c r="AH246" i="11"/>
  <c r="AG243" i="11"/>
  <c r="AG241" i="11"/>
  <c r="AG240" i="11"/>
  <c r="AH10" i="1"/>
  <c r="AI10" i="1"/>
  <c r="AJ10" i="1"/>
  <c r="C11" i="1" s="1"/>
  <c r="I489" i="1" s="1"/>
  <c r="K489" i="1" s="1"/>
  <c r="AK10" i="1"/>
  <c r="AH11" i="1"/>
  <c r="AI11" i="1"/>
  <c r="AJ11" i="1"/>
  <c r="C12" i="1" s="1"/>
  <c r="I448" i="1" s="1"/>
  <c r="K448" i="1" s="1"/>
  <c r="AK11" i="1"/>
  <c r="AH12" i="1"/>
  <c r="AI12" i="1"/>
  <c r="AJ12" i="1"/>
  <c r="C13" i="1" s="1"/>
  <c r="P299" i="1" s="1"/>
  <c r="R299" i="1" s="1"/>
  <c r="AK12" i="1"/>
  <c r="AH13" i="1"/>
  <c r="AI13" i="1"/>
  <c r="AJ13" i="1"/>
  <c r="C14" i="1" s="1"/>
  <c r="I2775" i="1" s="1"/>
  <c r="AK13" i="1"/>
  <c r="AH14" i="1"/>
  <c r="AI14" i="1"/>
  <c r="AJ14" i="1"/>
  <c r="D14" i="1" s="1"/>
  <c r="I1564" i="1" s="1"/>
  <c r="AK14" i="1"/>
  <c r="AH15" i="1"/>
  <c r="AI15" i="1"/>
  <c r="AJ15" i="1"/>
  <c r="C15" i="1" s="1"/>
  <c r="I2409" i="1" s="1"/>
  <c r="K2409" i="1" s="1"/>
  <c r="AK15" i="1"/>
  <c r="AH16" i="1"/>
  <c r="AI16" i="1"/>
  <c r="AJ16" i="1"/>
  <c r="AK16" i="1"/>
  <c r="AH17" i="1"/>
  <c r="AI17" i="1"/>
  <c r="AJ17" i="1"/>
  <c r="C17" i="1" s="1"/>
  <c r="P2336" i="1" s="1"/>
  <c r="R2336" i="1" s="1"/>
  <c r="AK17" i="1"/>
  <c r="AH18" i="1"/>
  <c r="AI18" i="1"/>
  <c r="AJ18" i="1"/>
  <c r="C66" i="1" s="1"/>
  <c r="I764" i="1" s="1"/>
  <c r="K764" i="1" s="1"/>
  <c r="AK18" i="1"/>
  <c r="AH19" i="1"/>
  <c r="AI19" i="1"/>
  <c r="AJ19" i="1"/>
  <c r="C16" i="1" s="1"/>
  <c r="I762" i="1" s="1"/>
  <c r="K762" i="1" s="1"/>
  <c r="AK19" i="1"/>
  <c r="AH20" i="1"/>
  <c r="AI20" i="1"/>
  <c r="AJ20" i="1"/>
  <c r="D16" i="1" s="1"/>
  <c r="I1771" i="1" s="1"/>
  <c r="K1771" i="1" s="1"/>
  <c r="AK20" i="1"/>
  <c r="AH21" i="1"/>
  <c r="AI21" i="1"/>
  <c r="AJ21" i="1"/>
  <c r="I2697" i="1" s="1"/>
  <c r="K2697" i="1" s="1"/>
  <c r="AK21" i="1"/>
  <c r="AH22" i="1"/>
  <c r="AI22" i="1"/>
  <c r="AJ22" i="1"/>
  <c r="C41" i="1" s="1"/>
  <c r="I2737" i="1" s="1"/>
  <c r="K2737" i="1" s="1"/>
  <c r="AK22" i="1"/>
  <c r="AH23" i="1"/>
  <c r="AI23" i="1"/>
  <c r="AJ23" i="1"/>
  <c r="C29" i="1" s="1"/>
  <c r="I1234" i="1" s="1"/>
  <c r="K1234" i="1" s="1"/>
  <c r="AK23" i="1"/>
  <c r="AH24" i="1"/>
  <c r="AI24" i="1"/>
  <c r="AJ24" i="1"/>
  <c r="C18" i="1" s="1"/>
  <c r="I20" i="1" s="1"/>
  <c r="AK24" i="1"/>
  <c r="AH25" i="1"/>
  <c r="AI25" i="1"/>
  <c r="AJ25" i="1"/>
  <c r="C25" i="1" s="1"/>
  <c r="K515" i="1" s="1"/>
  <c r="AK25" i="1"/>
  <c r="AH26" i="1"/>
  <c r="AI26" i="1"/>
  <c r="AJ26" i="1"/>
  <c r="I3510" i="1" s="1"/>
  <c r="K3510" i="1" s="1"/>
  <c r="AK26" i="1"/>
  <c r="AH27" i="1"/>
  <c r="AI27" i="1"/>
  <c r="AJ27" i="1"/>
  <c r="C27" i="1" s="1"/>
  <c r="I141" i="1" s="1"/>
  <c r="AK27" i="1"/>
  <c r="AH28" i="1"/>
  <c r="AI28" i="1"/>
  <c r="AJ28" i="1"/>
  <c r="C26" i="1" s="1"/>
  <c r="I482" i="1" s="1"/>
  <c r="K482" i="1" s="1"/>
  <c r="AK28" i="1"/>
  <c r="AH29" i="1"/>
  <c r="AI29" i="1"/>
  <c r="AJ29" i="1"/>
  <c r="C61" i="1" s="1"/>
  <c r="I1969" i="1" s="1"/>
  <c r="AK29" i="1"/>
  <c r="AH30" i="1"/>
  <c r="AI30" i="1"/>
  <c r="AJ30" i="1"/>
  <c r="C31" i="1" s="1"/>
  <c r="I989" i="1" s="1"/>
  <c r="K989" i="1" s="1"/>
  <c r="AK30" i="1"/>
  <c r="AH31" i="1"/>
  <c r="AI31" i="1"/>
  <c r="AJ31" i="1"/>
  <c r="D30" i="1" s="1"/>
  <c r="I2666" i="1" s="1"/>
  <c r="I3104" i="1" s="1"/>
  <c r="P2078" i="1" s="1"/>
  <c r="AK31" i="1"/>
  <c r="AH32" i="1"/>
  <c r="AI32" i="1"/>
  <c r="AJ32" i="1"/>
  <c r="V3116" i="1" s="1"/>
  <c r="I4065" i="1" s="1"/>
  <c r="K4065" i="1" s="1"/>
  <c r="AK32" i="1"/>
  <c r="AH33" i="1"/>
  <c r="AI33" i="1"/>
  <c r="AJ33" i="1"/>
  <c r="I2664" i="1" s="1"/>
  <c r="K2664" i="1" s="1"/>
  <c r="AK33" i="1"/>
  <c r="AH34" i="1"/>
  <c r="AI34" i="1"/>
  <c r="AJ34" i="1"/>
  <c r="I3625" i="1" s="1"/>
  <c r="K3625" i="1" s="1"/>
  <c r="AK34" i="1"/>
  <c r="AH35" i="1"/>
  <c r="AI35" i="1"/>
  <c r="AJ35" i="1"/>
  <c r="D33" i="1" s="1"/>
  <c r="I2249" i="1" s="1"/>
  <c r="K2249" i="1" s="1"/>
  <c r="AK35" i="1"/>
  <c r="AH36" i="1"/>
  <c r="AI36" i="1"/>
  <c r="AJ36" i="1"/>
  <c r="D61" i="1" s="1"/>
  <c r="I124" i="1" s="1"/>
  <c r="K124" i="1" s="1"/>
  <c r="K127" i="1" s="1"/>
  <c r="K129" i="1" s="1"/>
  <c r="C29" i="76" s="1"/>
  <c r="AK36" i="1"/>
  <c r="AH37" i="1"/>
  <c r="AI37" i="1"/>
  <c r="AJ37" i="1"/>
  <c r="AK37" i="1"/>
  <c r="AH38" i="1"/>
  <c r="AI38" i="1"/>
  <c r="AJ38" i="1"/>
  <c r="AK38" i="1"/>
  <c r="AH39" i="1"/>
  <c r="AI39" i="1"/>
  <c r="AJ39" i="1"/>
  <c r="M94" i="1" s="1"/>
  <c r="M116" i="1" s="1"/>
  <c r="M133" i="1" s="1"/>
  <c r="AK39" i="1"/>
  <c r="AH40" i="1"/>
  <c r="AI40" i="1"/>
  <c r="AJ40" i="1"/>
  <c r="AK40" i="1"/>
  <c r="AH41" i="1"/>
  <c r="AI41" i="1"/>
  <c r="AJ41" i="1"/>
  <c r="C19" i="1" s="1"/>
  <c r="J686" i="1" s="1"/>
  <c r="AK41" i="1"/>
  <c r="AH42" i="1"/>
  <c r="AI42" i="1"/>
  <c r="AJ42" i="1"/>
  <c r="C20" i="1" s="1"/>
  <c r="W403" i="1" s="1"/>
  <c r="W404" i="1" s="1"/>
  <c r="AK42" i="1"/>
  <c r="AJ43" i="1"/>
  <c r="AK43" i="1"/>
  <c r="AH44" i="1"/>
  <c r="AI44" i="1"/>
  <c r="AJ44" i="1"/>
  <c r="C22" i="1" s="1"/>
  <c r="AK44" i="1"/>
  <c r="AH45" i="1"/>
  <c r="AI45" i="1"/>
  <c r="AJ45" i="1"/>
  <c r="AK45" i="1"/>
  <c r="AH46" i="1"/>
  <c r="AI46" i="1"/>
  <c r="AH47" i="1"/>
  <c r="AI47" i="1"/>
  <c r="AJ47" i="1"/>
  <c r="AK47" i="1"/>
  <c r="AH48" i="1"/>
  <c r="AI48" i="1"/>
  <c r="AJ48" i="1"/>
  <c r="AK48" i="1"/>
  <c r="AH49" i="1"/>
  <c r="AI49" i="1"/>
  <c r="AJ49" i="1"/>
  <c r="C460" i="1" s="1"/>
  <c r="P1306" i="1" s="1"/>
  <c r="R1306" i="1" s="1"/>
  <c r="AK49" i="1"/>
  <c r="AH50" i="1"/>
  <c r="AI50" i="1"/>
  <c r="AJ50" i="1"/>
  <c r="AK50" i="1"/>
  <c r="AH51" i="1"/>
  <c r="AI51" i="1"/>
  <c r="AJ51" i="1"/>
  <c r="AK51" i="1"/>
  <c r="AH52" i="1"/>
  <c r="AI52" i="1"/>
  <c r="AJ52" i="1"/>
  <c r="AK52" i="1"/>
  <c r="AH53" i="1"/>
  <c r="AI53" i="1"/>
  <c r="AJ53" i="1"/>
  <c r="AK53" i="1"/>
  <c r="AH54" i="1"/>
  <c r="AI54" i="1"/>
  <c r="AJ54" i="1"/>
  <c r="AK54" i="1"/>
  <c r="AH55" i="1"/>
  <c r="AI55" i="1"/>
  <c r="AJ55" i="1"/>
  <c r="AK55" i="1"/>
  <c r="AH56" i="1"/>
  <c r="AI56" i="1"/>
  <c r="AJ56" i="1"/>
  <c r="I3256" i="1" s="1"/>
  <c r="K3256" i="1" s="1"/>
  <c r="AK56" i="1"/>
  <c r="AH57" i="1"/>
  <c r="AI57" i="1"/>
  <c r="AJ57" i="1"/>
  <c r="I3601" i="1" s="1"/>
  <c r="K3601" i="1" s="1"/>
  <c r="AK57" i="1"/>
  <c r="AH58" i="1"/>
  <c r="AI58" i="1"/>
  <c r="AJ58" i="1"/>
  <c r="AK58" i="1"/>
  <c r="AH59" i="1"/>
  <c r="AI59" i="1"/>
  <c r="AJ59" i="1"/>
  <c r="AK59" i="1"/>
  <c r="AH60" i="1"/>
  <c r="AI60" i="1"/>
  <c r="AJ60" i="1"/>
  <c r="C37" i="1" s="1"/>
  <c r="I2684" i="1" s="1"/>
  <c r="K2684" i="1" s="1"/>
  <c r="AK60" i="1"/>
  <c r="AH61" i="1"/>
  <c r="AI61" i="1"/>
  <c r="AJ61" i="1"/>
  <c r="AK61" i="1"/>
  <c r="AH62" i="1"/>
  <c r="AI62" i="1"/>
  <c r="AJ62" i="1"/>
  <c r="AK62" i="1"/>
  <c r="AH63" i="1"/>
  <c r="AI63" i="1"/>
  <c r="AJ63" i="1"/>
  <c r="AK63" i="1"/>
  <c r="AH64" i="1"/>
  <c r="AI64" i="1"/>
  <c r="AJ64" i="1"/>
  <c r="E26" i="50" s="1"/>
  <c r="AK64" i="1"/>
  <c r="AH65" i="1"/>
  <c r="AI65" i="1"/>
  <c r="AJ65" i="1"/>
  <c r="AK65" i="1"/>
  <c r="AI66" i="1"/>
  <c r="AJ66" i="1"/>
  <c r="AK66" i="1"/>
  <c r="AI68" i="1"/>
  <c r="AJ68" i="1"/>
  <c r="AK68" i="1"/>
  <c r="AI69" i="1"/>
  <c r="AJ69" i="1"/>
  <c r="AK69" i="1"/>
  <c r="AI70" i="1"/>
  <c r="AJ70" i="1"/>
  <c r="AK70" i="1"/>
  <c r="AI71" i="1"/>
  <c r="AJ71" i="1"/>
  <c r="AK71" i="1"/>
  <c r="AI72" i="1"/>
  <c r="AJ72" i="1"/>
  <c r="AK72" i="1"/>
  <c r="AI73" i="1"/>
  <c r="AJ73" i="1"/>
  <c r="AK73" i="1"/>
  <c r="AI74" i="1"/>
  <c r="AJ74" i="1"/>
  <c r="AK74" i="1"/>
  <c r="AH75" i="1"/>
  <c r="AI75" i="1"/>
  <c r="AJ75" i="1"/>
  <c r="AK75" i="1"/>
  <c r="AH76" i="1"/>
  <c r="AI76" i="1"/>
  <c r="AJ76" i="1"/>
  <c r="AK76" i="1"/>
  <c r="AH77" i="1"/>
  <c r="AI77" i="1"/>
  <c r="AJ77" i="1"/>
  <c r="AK77" i="1"/>
  <c r="AH78" i="1"/>
  <c r="AI78" i="1"/>
  <c r="AJ78" i="1"/>
  <c r="AK78" i="1"/>
  <c r="AH79" i="1"/>
  <c r="AI79" i="1"/>
  <c r="AJ79" i="1"/>
  <c r="AK79" i="1"/>
  <c r="AH80" i="1"/>
  <c r="AI80" i="1"/>
  <c r="AJ80" i="1"/>
  <c r="AK80" i="1"/>
  <c r="AH81" i="1"/>
  <c r="AI81" i="1"/>
  <c r="AJ81" i="1"/>
  <c r="AK81" i="1"/>
  <c r="AH82" i="1"/>
  <c r="AI82" i="1"/>
  <c r="AJ82" i="1"/>
  <c r="AK82" i="1"/>
  <c r="AH83" i="1"/>
  <c r="AI83" i="1"/>
  <c r="AJ83" i="1"/>
  <c r="AK83" i="1"/>
  <c r="AH84" i="1"/>
  <c r="AI84" i="1"/>
  <c r="AJ84" i="1"/>
  <c r="AK84" i="1"/>
  <c r="AH85" i="1"/>
  <c r="AI85" i="1"/>
  <c r="AJ85" i="1"/>
  <c r="AK85" i="1"/>
  <c r="AH86" i="1"/>
  <c r="AI86" i="1"/>
  <c r="AJ86" i="1"/>
  <c r="AK86" i="1"/>
  <c r="AH87" i="1"/>
  <c r="AI87" i="1"/>
  <c r="AJ87" i="1"/>
  <c r="AK87" i="1"/>
  <c r="AH88" i="1"/>
  <c r="AI88" i="1"/>
  <c r="AJ88" i="1"/>
  <c r="AK88" i="1"/>
  <c r="AH89" i="1"/>
  <c r="AI89" i="1"/>
  <c r="AJ89" i="1"/>
  <c r="AK89" i="1"/>
  <c r="AH90" i="1"/>
  <c r="AI90" i="1"/>
  <c r="AJ90" i="1"/>
  <c r="AK90" i="1"/>
  <c r="AH91" i="1"/>
  <c r="AI91" i="1"/>
  <c r="AJ91" i="1"/>
  <c r="AK91" i="1"/>
  <c r="AH92" i="1"/>
  <c r="AI92" i="1"/>
  <c r="AJ92" i="1"/>
  <c r="AK92" i="1"/>
  <c r="AH93" i="1"/>
  <c r="AI93" i="1"/>
  <c r="AJ93" i="1"/>
  <c r="AK93" i="1"/>
  <c r="AH94" i="1"/>
  <c r="AI94" i="1"/>
  <c r="AJ94" i="1"/>
  <c r="AK94" i="1"/>
  <c r="AH95" i="1"/>
  <c r="AI95" i="1"/>
  <c r="AJ95" i="1"/>
  <c r="AK95" i="1"/>
  <c r="AH96" i="1"/>
  <c r="AI96" i="1"/>
  <c r="AJ96" i="1"/>
  <c r="AK96" i="1"/>
  <c r="AH97" i="1"/>
  <c r="AI97" i="1"/>
  <c r="AJ97" i="1"/>
  <c r="AK97" i="1"/>
  <c r="AH98" i="1"/>
  <c r="AI98" i="1"/>
  <c r="AJ98" i="1"/>
  <c r="AK98" i="1"/>
  <c r="AK9" i="1"/>
  <c r="AJ9" i="1"/>
  <c r="D11" i="1" s="1"/>
  <c r="AI9" i="1"/>
  <c r="AH9" i="1"/>
  <c r="Q12" i="4"/>
  <c r="Z25" i="1" s="1"/>
  <c r="Q10" i="4"/>
  <c r="Z19" i="1" s="1"/>
  <c r="Q3" i="4"/>
  <c r="N3" i="4"/>
  <c r="K3" i="4"/>
  <c r="K4" i="4" s="1"/>
  <c r="K5" i="4" s="1"/>
  <c r="K6" i="4" s="1"/>
  <c r="H3" i="4"/>
  <c r="H10" i="4" s="1"/>
  <c r="Z18" i="1" s="1"/>
  <c r="AC18" i="1" s="1"/>
  <c r="C80" i="1" s="1"/>
  <c r="E3" i="4"/>
  <c r="E4" i="4" s="1"/>
  <c r="E16" i="4" s="1"/>
  <c r="C3" i="4"/>
  <c r="C4" i="4" s="1"/>
  <c r="C5" i="4" s="1"/>
  <c r="C6" i="4" s="1"/>
  <c r="AQ196" i="1"/>
  <c r="AS196" i="1" s="1"/>
  <c r="X41" i="64"/>
  <c r="X28" i="64"/>
  <c r="W34" i="64"/>
  <c r="W33" i="64"/>
  <c r="W32" i="64"/>
  <c r="W31" i="64"/>
  <c r="W21" i="64"/>
  <c r="W20" i="64"/>
  <c r="W19" i="64"/>
  <c r="W18" i="64"/>
  <c r="C1017" i="55"/>
  <c r="P1017" i="55" s="1"/>
  <c r="F9" i="64"/>
  <c r="F8" i="64"/>
  <c r="F6" i="64"/>
  <c r="F10" i="64"/>
  <c r="F7" i="64"/>
  <c r="AR18" i="64"/>
  <c r="AR19" i="64"/>
  <c r="AR20" i="64"/>
  <c r="AR21" i="64"/>
  <c r="AR24" i="64"/>
  <c r="AP40" i="64"/>
  <c r="AR40" i="64" s="1"/>
  <c r="AP41" i="64"/>
  <c r="AR41" i="64" s="1"/>
  <c r="AP43" i="64"/>
  <c r="AR43" i="64" s="1"/>
  <c r="AT6" i="64"/>
  <c r="AT7" i="64" s="1"/>
  <c r="AT8" i="64" s="1"/>
  <c r="AP39" i="64"/>
  <c r="AR39" i="64" s="1"/>
  <c r="AP34" i="64"/>
  <c r="AR34" i="64" s="1"/>
  <c r="AP32" i="64"/>
  <c r="AR32" i="64" s="1"/>
  <c r="AP29" i="64"/>
  <c r="AR29" i="64" s="1"/>
  <c r="AP30" i="64"/>
  <c r="AR30" i="64" s="1"/>
  <c r="AP31" i="64"/>
  <c r="AR31" i="64" s="1"/>
  <c r="AP26" i="64"/>
  <c r="AR26" i="64" s="1"/>
  <c r="AP27" i="64"/>
  <c r="AR27" i="64" s="1"/>
  <c r="AP28" i="64"/>
  <c r="AR28" i="64" s="1"/>
  <c r="AP25" i="64"/>
  <c r="AR25" i="64" s="1"/>
  <c r="AP22" i="64"/>
  <c r="AR22" i="64" s="1"/>
  <c r="AP16" i="64"/>
  <c r="AR16" i="64" s="1"/>
  <c r="AP15" i="64"/>
  <c r="AR15" i="64" s="1"/>
  <c r="AR10" i="64"/>
  <c r="AT5" i="64"/>
  <c r="AR8" i="64"/>
  <c r="AR9" i="64"/>
  <c r="AR7" i="64"/>
  <c r="AR6" i="64"/>
  <c r="AT4" i="64"/>
  <c r="K637" i="64"/>
  <c r="K634" i="64"/>
  <c r="K635" i="64" s="1"/>
  <c r="J637" i="64"/>
  <c r="J634" i="64"/>
  <c r="J635" i="64" s="1"/>
  <c r="F680" i="64"/>
  <c r="F679" i="64"/>
  <c r="E679" i="64"/>
  <c r="E678" i="64"/>
  <c r="D678" i="64"/>
  <c r="F678" i="64" s="1"/>
  <c r="F677" i="64"/>
  <c r="E677" i="64"/>
  <c r="F676" i="64"/>
  <c r="E676" i="64"/>
  <c r="F675" i="64"/>
  <c r="E675" i="64"/>
  <c r="F674" i="64"/>
  <c r="F673" i="64"/>
  <c r="D672" i="64"/>
  <c r="F672" i="64" s="1"/>
  <c r="F671" i="64"/>
  <c r="E671" i="64"/>
  <c r="F670" i="64"/>
  <c r="E670" i="64"/>
  <c r="A668" i="64"/>
  <c r="E637" i="64"/>
  <c r="D40" i="25"/>
  <c r="D28" i="25"/>
  <c r="D41" i="25" s="1"/>
  <c r="F41" i="25" s="1"/>
  <c r="D25" i="25"/>
  <c r="D38" i="25" s="1"/>
  <c r="C256" i="32"/>
  <c r="E256" i="32"/>
  <c r="G267" i="32"/>
  <c r="A269" i="32" s="1"/>
  <c r="G252" i="32"/>
  <c r="A254" i="32" s="1"/>
  <c r="F260" i="32"/>
  <c r="F256" i="32"/>
  <c r="G224" i="32"/>
  <c r="A226" i="32" s="1"/>
  <c r="G209" i="32"/>
  <c r="A211" i="32" s="1"/>
  <c r="A212" i="32" s="1"/>
  <c r="E213" i="32"/>
  <c r="F213" i="32" s="1"/>
  <c r="F217" i="32"/>
  <c r="AF23" i="64"/>
  <c r="AF22" i="64"/>
  <c r="AF11" i="64"/>
  <c r="AF12" i="64"/>
  <c r="AF13" i="64"/>
  <c r="AF14" i="64"/>
  <c r="AF15" i="64"/>
  <c r="AF10" i="64"/>
  <c r="F600" i="64"/>
  <c r="F601" i="64"/>
  <c r="A591" i="64"/>
  <c r="D571" i="64"/>
  <c r="D572" i="64"/>
  <c r="D573" i="64"/>
  <c r="D574" i="64"/>
  <c r="D575" i="64"/>
  <c r="D576" i="64"/>
  <c r="D577" i="64"/>
  <c r="D578" i="64"/>
  <c r="D580" i="64"/>
  <c r="D581" i="64"/>
  <c r="D582" i="64"/>
  <c r="D583" i="64"/>
  <c r="D584" i="64"/>
  <c r="D585" i="64"/>
  <c r="D586" i="64"/>
  <c r="D587" i="64"/>
  <c r="D588" i="64"/>
  <c r="D589" i="64"/>
  <c r="D595" i="64"/>
  <c r="D596" i="64"/>
  <c r="D607" i="64"/>
  <c r="F594" i="64"/>
  <c r="E17" i="4"/>
  <c r="E25" i="32"/>
  <c r="E189" i="32" s="1"/>
  <c r="E270" i="32" s="1"/>
  <c r="D536" i="64"/>
  <c r="D538" i="64"/>
  <c r="D543" i="64"/>
  <c r="D606" i="64" s="1"/>
  <c r="F606" i="64" s="1"/>
  <c r="F532" i="64"/>
  <c r="D196" i="32"/>
  <c r="F196" i="32" s="1"/>
  <c r="E190" i="32"/>
  <c r="E228" i="32" s="1"/>
  <c r="G186" i="32"/>
  <c r="A188" i="32" s="1"/>
  <c r="A189" i="32" s="1"/>
  <c r="A190" i="32" s="1"/>
  <c r="C174" i="32"/>
  <c r="C212" i="32" s="1"/>
  <c r="C173" i="32"/>
  <c r="C211" i="32" s="1"/>
  <c r="E174" i="32"/>
  <c r="E255" i="32" s="1"/>
  <c r="G171" i="32"/>
  <c r="A173" i="32" s="1"/>
  <c r="F179" i="32"/>
  <c r="F175" i="32"/>
  <c r="E24" i="32"/>
  <c r="E188" i="32" s="1"/>
  <c r="W7" i="64"/>
  <c r="W6" i="64"/>
  <c r="W5" i="64"/>
  <c r="W4" i="64"/>
  <c r="P42" i="64"/>
  <c r="P37" i="64"/>
  <c r="P36" i="64"/>
  <c r="P33" i="64"/>
  <c r="P34" i="64" s="1"/>
  <c r="N29" i="64"/>
  <c r="P29" i="64" s="1"/>
  <c r="N28" i="64"/>
  <c r="P28" i="64" s="1"/>
  <c r="P19" i="64"/>
  <c r="P18" i="64"/>
  <c r="P17" i="64"/>
  <c r="P16" i="64"/>
  <c r="P7" i="64"/>
  <c r="P6" i="64"/>
  <c r="P5" i="64"/>
  <c r="P4" i="64"/>
  <c r="F480" i="64"/>
  <c r="F479" i="64"/>
  <c r="E478" i="64"/>
  <c r="D478" i="64"/>
  <c r="F477" i="64"/>
  <c r="E477" i="64"/>
  <c r="F476" i="64"/>
  <c r="E476" i="64"/>
  <c r="F475" i="64"/>
  <c r="E475" i="64"/>
  <c r="F474" i="64"/>
  <c r="F473" i="64"/>
  <c r="F472" i="64"/>
  <c r="E471" i="64"/>
  <c r="D471" i="64"/>
  <c r="F471" i="64" s="1"/>
  <c r="F470" i="64"/>
  <c r="E470" i="64"/>
  <c r="F469" i="64"/>
  <c r="E469" i="64"/>
  <c r="F468" i="64"/>
  <c r="A467" i="64"/>
  <c r="F467" i="64" s="1"/>
  <c r="F466" i="64"/>
  <c r="F465" i="64"/>
  <c r="F464" i="64"/>
  <c r="F463" i="64"/>
  <c r="F462" i="64"/>
  <c r="F461" i="64"/>
  <c r="F460" i="64"/>
  <c r="F459" i="64"/>
  <c r="F458" i="64"/>
  <c r="F457" i="64"/>
  <c r="F456" i="64"/>
  <c r="F455" i="64"/>
  <c r="F454" i="64"/>
  <c r="F453" i="64"/>
  <c r="D452" i="64"/>
  <c r="F452" i="64" s="1"/>
  <c r="F451" i="64"/>
  <c r="F450" i="64"/>
  <c r="F449" i="64"/>
  <c r="F448" i="64"/>
  <c r="F447" i="64"/>
  <c r="F446" i="64"/>
  <c r="F445" i="64"/>
  <c r="F444" i="64"/>
  <c r="F443" i="64"/>
  <c r="D436" i="64"/>
  <c r="D435" i="64"/>
  <c r="E434" i="64"/>
  <c r="D434" i="64"/>
  <c r="D433" i="64"/>
  <c r="F381" i="64"/>
  <c r="F382" i="64"/>
  <c r="F383" i="64"/>
  <c r="F384" i="64"/>
  <c r="F385" i="64"/>
  <c r="F386" i="64"/>
  <c r="F387" i="64"/>
  <c r="F388" i="64"/>
  <c r="F390" i="64"/>
  <c r="F391" i="64"/>
  <c r="F392" i="64"/>
  <c r="F393" i="64"/>
  <c r="F394" i="64"/>
  <c r="F395" i="64"/>
  <c r="F396" i="64"/>
  <c r="F397" i="64"/>
  <c r="F398" i="64"/>
  <c r="F399" i="64"/>
  <c r="F400" i="64"/>
  <c r="F401" i="64"/>
  <c r="F402" i="64"/>
  <c r="F403" i="64"/>
  <c r="F404" i="64"/>
  <c r="F406" i="64"/>
  <c r="F408" i="64"/>
  <c r="F411" i="64"/>
  <c r="F418" i="64"/>
  <c r="D409" i="64"/>
  <c r="F409" i="64" s="1"/>
  <c r="E409" i="64"/>
  <c r="E416" i="64"/>
  <c r="E415" i="64"/>
  <c r="E414" i="64"/>
  <c r="E413" i="64"/>
  <c r="E408" i="64"/>
  <c r="E407" i="64"/>
  <c r="A405" i="64"/>
  <c r="F405" i="64" s="1"/>
  <c r="D389" i="64"/>
  <c r="F389" i="64" s="1"/>
  <c r="F380" i="64"/>
  <c r="D373" i="64"/>
  <c r="D372" i="64"/>
  <c r="E371" i="64"/>
  <c r="D371" i="64"/>
  <c r="D370" i="64"/>
  <c r="F345" i="64"/>
  <c r="F357" i="64"/>
  <c r="F356" i="64"/>
  <c r="F355" i="64"/>
  <c r="F354" i="64"/>
  <c r="F353" i="64"/>
  <c r="F352" i="64"/>
  <c r="F351" i="64"/>
  <c r="F350" i="64"/>
  <c r="F349" i="64"/>
  <c r="F339" i="64"/>
  <c r="F340" i="64"/>
  <c r="F344" i="64"/>
  <c r="F346" i="64"/>
  <c r="D319" i="64"/>
  <c r="D320" i="64"/>
  <c r="D321" i="64"/>
  <c r="D322" i="64"/>
  <c r="D323" i="64"/>
  <c r="D324" i="64"/>
  <c r="D325" i="64"/>
  <c r="D326" i="64"/>
  <c r="D328" i="64"/>
  <c r="F328" i="64" s="1"/>
  <c r="D329" i="64"/>
  <c r="F329" i="64" s="1"/>
  <c r="D330" i="64"/>
  <c r="F330" i="64" s="1"/>
  <c r="D331" i="64"/>
  <c r="F331" i="64" s="1"/>
  <c r="D332" i="64"/>
  <c r="F332" i="64" s="1"/>
  <c r="D333" i="64"/>
  <c r="F333" i="64" s="1"/>
  <c r="D334" i="64"/>
  <c r="F334" i="64" s="1"/>
  <c r="D335" i="64"/>
  <c r="F335" i="64" s="1"/>
  <c r="D336" i="64"/>
  <c r="F336" i="64" s="1"/>
  <c r="D337" i="64"/>
  <c r="F337" i="64" s="1"/>
  <c r="D338" i="64"/>
  <c r="F338" i="64" s="1"/>
  <c r="D318" i="64"/>
  <c r="F318" i="64" s="1"/>
  <c r="A283" i="64"/>
  <c r="F265" i="64"/>
  <c r="F295" i="64"/>
  <c r="F294" i="64"/>
  <c r="F290" i="64"/>
  <c r="F289" i="64"/>
  <c r="F288" i="64"/>
  <c r="F284" i="64"/>
  <c r="F281" i="64"/>
  <c r="F280" i="64"/>
  <c r="F256" i="64"/>
  <c r="A225" i="64"/>
  <c r="C210" i="64"/>
  <c r="C211" i="64"/>
  <c r="D213" i="64"/>
  <c r="F213" i="64" s="1"/>
  <c r="D214" i="64"/>
  <c r="F214" i="64" s="1"/>
  <c r="D215" i="64"/>
  <c r="F215" i="64" s="1"/>
  <c r="D216" i="64"/>
  <c r="F216" i="64" s="1"/>
  <c r="F217" i="64"/>
  <c r="F218" i="64"/>
  <c r="D220" i="64"/>
  <c r="D224" i="64"/>
  <c r="F224" i="64" s="1"/>
  <c r="D225" i="64"/>
  <c r="D226" i="64"/>
  <c r="F226" i="64" s="1"/>
  <c r="D228" i="64"/>
  <c r="F228" i="64" s="1"/>
  <c r="F212" i="64"/>
  <c r="D171" i="64"/>
  <c r="D170" i="64"/>
  <c r="D169" i="64"/>
  <c r="D168" i="64"/>
  <c r="E169" i="64"/>
  <c r="D187" i="64"/>
  <c r="F187" i="64" s="1"/>
  <c r="F178" i="64"/>
  <c r="D151" i="64"/>
  <c r="D99" i="64"/>
  <c r="D100" i="64"/>
  <c r="D101" i="64"/>
  <c r="D102" i="64"/>
  <c r="D103" i="64"/>
  <c r="D104" i="64"/>
  <c r="D105" i="64"/>
  <c r="D106" i="64"/>
  <c r="D108" i="64"/>
  <c r="D109" i="64"/>
  <c r="D110" i="64"/>
  <c r="D111" i="64"/>
  <c r="D112" i="64"/>
  <c r="D113" i="64"/>
  <c r="D114" i="64"/>
  <c r="D115" i="64"/>
  <c r="D116" i="64"/>
  <c r="D117" i="64"/>
  <c r="D118" i="64"/>
  <c r="D119" i="64"/>
  <c r="D120" i="64"/>
  <c r="D121" i="64"/>
  <c r="D122" i="64"/>
  <c r="D202" i="64" s="1"/>
  <c r="D277" i="64" s="1"/>
  <c r="D341" i="64" s="1"/>
  <c r="F341" i="64" s="1"/>
  <c r="D124" i="64"/>
  <c r="D204" i="64" s="1"/>
  <c r="D125" i="64"/>
  <c r="D205" i="64" s="1"/>
  <c r="D126" i="64"/>
  <c r="D206" i="64" s="1"/>
  <c r="D127" i="64"/>
  <c r="D207" i="64" s="1"/>
  <c r="D128" i="64"/>
  <c r="D208" i="64" s="1"/>
  <c r="D129" i="64"/>
  <c r="D209" i="64" s="1"/>
  <c r="F209" i="64" s="1"/>
  <c r="D130" i="64"/>
  <c r="D131" i="64"/>
  <c r="D133" i="64"/>
  <c r="E823" i="64" s="1"/>
  <c r="D134" i="64"/>
  <c r="E824" i="64" s="1"/>
  <c r="D135" i="64"/>
  <c r="D136" i="64"/>
  <c r="D137" i="64"/>
  <c r="D138" i="64"/>
  <c r="D139" i="64"/>
  <c r="D141" i="64"/>
  <c r="D142" i="64"/>
  <c r="D147" i="64"/>
  <c r="D148" i="64"/>
  <c r="D149" i="64"/>
  <c r="D98" i="64"/>
  <c r="F98" i="64" s="1"/>
  <c r="F132" i="64"/>
  <c r="A123" i="64"/>
  <c r="AU3108" i="1"/>
  <c r="AQ3108" i="1"/>
  <c r="AS3108" i="1" s="1"/>
  <c r="AQ3107" i="1"/>
  <c r="AS3107" i="1" s="1"/>
  <c r="AH3107" i="1"/>
  <c r="C411" i="55"/>
  <c r="T411" i="55" s="1"/>
  <c r="AK1188" i="1"/>
  <c r="AJ452" i="1"/>
  <c r="AS388" i="1"/>
  <c r="AU217" i="1"/>
  <c r="AV217" i="1" s="1"/>
  <c r="AU216" i="1"/>
  <c r="AV216" i="1" s="1"/>
  <c r="AU215" i="1"/>
  <c r="AV215" i="1" s="1"/>
  <c r="AU214" i="1"/>
  <c r="AV214" i="1" s="1"/>
  <c r="AU213" i="1"/>
  <c r="AV213" i="1" s="1"/>
  <c r="AU212" i="1"/>
  <c r="AV212" i="1" s="1"/>
  <c r="AU211" i="1"/>
  <c r="AV211" i="1" s="1"/>
  <c r="AU210" i="1"/>
  <c r="AV210" i="1" s="1"/>
  <c r="AU209" i="1"/>
  <c r="AV209" i="1" s="1"/>
  <c r="AU208" i="1"/>
  <c r="AV208" i="1" s="1"/>
  <c r="AU202" i="1"/>
  <c r="AV202" i="1" s="1"/>
  <c r="AU200" i="1"/>
  <c r="AV200" i="1" s="1"/>
  <c r="AU198" i="1"/>
  <c r="AV198" i="1" s="1"/>
  <c r="AU197" i="1"/>
  <c r="AV197" i="1" s="1"/>
  <c r="AU194" i="1"/>
  <c r="AV194" i="1" s="1"/>
  <c r="AU193" i="1"/>
  <c r="AV193" i="1" s="1"/>
  <c r="AU192" i="1"/>
  <c r="AV192" i="1" s="1"/>
  <c r="AU186" i="1"/>
  <c r="AV186" i="1" s="1"/>
  <c r="AU184" i="1"/>
  <c r="AV184" i="1" s="1"/>
  <c r="AU182" i="1"/>
  <c r="AV182" i="1" s="1"/>
  <c r="AU181" i="1"/>
  <c r="AV181" i="1" s="1"/>
  <c r="AU178" i="1"/>
  <c r="AV178" i="1" s="1"/>
  <c r="AU177" i="1"/>
  <c r="AV177" i="1" s="1"/>
  <c r="AU176" i="1"/>
  <c r="AV176" i="1" s="1"/>
  <c r="AU175" i="1"/>
  <c r="AV175" i="1" s="1"/>
  <c r="AU174" i="1"/>
  <c r="AV174" i="1" s="1"/>
  <c r="AU172" i="1"/>
  <c r="AV172" i="1" s="1"/>
  <c r="AU170" i="1"/>
  <c r="AV170" i="1" s="1"/>
  <c r="AU169" i="1"/>
  <c r="AV169" i="1" s="1"/>
  <c r="AN164" i="1"/>
  <c r="AP163" i="1"/>
  <c r="AN163" i="1"/>
  <c r="AU162" i="1"/>
  <c r="AV162" i="1" s="1"/>
  <c r="AU161" i="1"/>
  <c r="AV161" i="1" s="1"/>
  <c r="AP161" i="1"/>
  <c r="AU160" i="1"/>
  <c r="AV160" i="1" s="1"/>
  <c r="AU154" i="1"/>
  <c r="AV154" i="1" s="1"/>
  <c r="AU152" i="1"/>
  <c r="AV152" i="1" s="1"/>
  <c r="AU150" i="1"/>
  <c r="AV150" i="1" s="1"/>
  <c r="AU149" i="1"/>
  <c r="AV149" i="1" s="1"/>
  <c r="AU146" i="1"/>
  <c r="AV146" i="1" s="1"/>
  <c r="AU145" i="1"/>
  <c r="AV145" i="1" s="1"/>
  <c r="AU144" i="1"/>
  <c r="AV144" i="1" s="1"/>
  <c r="AU143" i="1"/>
  <c r="AV143" i="1" s="1"/>
  <c r="AU141" i="1"/>
  <c r="AV141" i="1" s="1"/>
  <c r="AU139" i="1"/>
  <c r="AV139" i="1" s="1"/>
  <c r="AU138" i="1"/>
  <c r="AV138" i="1" s="1"/>
  <c r="AP132" i="1"/>
  <c r="AN132" i="1"/>
  <c r="AP130" i="1"/>
  <c r="AH123" i="1"/>
  <c r="AH122" i="1"/>
  <c r="AH121" i="1"/>
  <c r="AH120" i="1"/>
  <c r="AH119" i="1"/>
  <c r="AU118" i="1"/>
  <c r="AV118" i="1" s="1"/>
  <c r="AH118" i="1"/>
  <c r="AH117" i="1"/>
  <c r="AU116" i="1"/>
  <c r="AV116" i="1" s="1"/>
  <c r="AH116" i="1"/>
  <c r="AH115" i="1"/>
  <c r="AU114" i="1"/>
  <c r="AV114" i="1" s="1"/>
  <c r="AH114" i="1"/>
  <c r="AU113" i="1"/>
  <c r="AV113" i="1" s="1"/>
  <c r="AH113" i="1"/>
  <c r="AH112" i="1"/>
  <c r="AH111" i="1"/>
  <c r="AH110" i="1"/>
  <c r="AH109" i="1"/>
  <c r="AH108" i="1"/>
  <c r="AP107" i="1"/>
  <c r="AH107" i="1"/>
  <c r="AH106" i="1"/>
  <c r="AH105" i="1"/>
  <c r="AH104" i="1"/>
  <c r="AH103" i="1"/>
  <c r="AH102" i="1"/>
  <c r="AH101" i="1"/>
  <c r="AH100" i="1"/>
  <c r="AH99" i="1"/>
  <c r="AN88" i="1"/>
  <c r="AP87" i="1"/>
  <c r="AN87" i="1"/>
  <c r="AP85" i="1"/>
  <c r="AP105" i="1" s="1"/>
  <c r="AP63" i="1"/>
  <c r="C707" i="55"/>
  <c r="J707" i="55" s="1"/>
  <c r="H19" i="4"/>
  <c r="E19" i="4"/>
  <c r="H18" i="4"/>
  <c r="E18" i="4"/>
  <c r="F63" i="64"/>
  <c r="D26" i="64"/>
  <c r="D515" i="64" s="1"/>
  <c r="F16" i="64"/>
  <c r="H16" i="64"/>
  <c r="C26" i="64"/>
  <c r="F41" i="64"/>
  <c r="C42" i="64"/>
  <c r="C814" i="64" s="1"/>
  <c r="D529" i="64"/>
  <c r="C209" i="64"/>
  <c r="F48" i="64"/>
  <c r="F51" i="64"/>
  <c r="C213" i="64"/>
  <c r="F52" i="64"/>
  <c r="C214" i="64"/>
  <c r="F53" i="64"/>
  <c r="C215" i="64"/>
  <c r="F54" i="64"/>
  <c r="C216" i="64"/>
  <c r="F55" i="64"/>
  <c r="F56" i="64"/>
  <c r="F57" i="64"/>
  <c r="F58" i="64"/>
  <c r="F59" i="64"/>
  <c r="D530" i="64"/>
  <c r="AP37" i="64"/>
  <c r="AR37" i="64" s="1"/>
  <c r="D145" i="64"/>
  <c r="D146" i="64"/>
  <c r="F67" i="64"/>
  <c r="F68" i="64"/>
  <c r="F69" i="64"/>
  <c r="D227" i="64"/>
  <c r="F227" i="64" s="1"/>
  <c r="F71" i="64"/>
  <c r="T1007" i="55"/>
  <c r="T1008" i="55"/>
  <c r="T1013" i="55"/>
  <c r="T1014" i="55"/>
  <c r="T1015" i="55"/>
  <c r="T1016" i="55"/>
  <c r="T1107" i="55"/>
  <c r="T1108" i="55"/>
  <c r="T1109" i="55"/>
  <c r="L8" i="55"/>
  <c r="L11" i="55"/>
  <c r="L14" i="55"/>
  <c r="L17" i="55"/>
  <c r="L22" i="55"/>
  <c r="L25" i="55"/>
  <c r="L28" i="55"/>
  <c r="L31" i="55"/>
  <c r="L32" i="55"/>
  <c r="L33" i="55"/>
  <c r="L34" i="55"/>
  <c r="L35" i="55"/>
  <c r="L36" i="55"/>
  <c r="L37" i="55"/>
  <c r="L48" i="55"/>
  <c r="L49" i="55"/>
  <c r="L57" i="55"/>
  <c r="L58" i="55"/>
  <c r="L60" i="55"/>
  <c r="L61" i="55"/>
  <c r="L64" i="55"/>
  <c r="L70" i="55"/>
  <c r="L84" i="55"/>
  <c r="L90" i="55"/>
  <c r="L105" i="55"/>
  <c r="L106" i="55"/>
  <c r="L107" i="55"/>
  <c r="L108" i="55"/>
  <c r="L109" i="55"/>
  <c r="L110" i="55"/>
  <c r="L111" i="55"/>
  <c r="L112" i="55"/>
  <c r="L113" i="55"/>
  <c r="L114" i="55"/>
  <c r="L115" i="55"/>
  <c r="L116" i="55"/>
  <c r="L117" i="55"/>
  <c r="L123" i="55"/>
  <c r="L124" i="55"/>
  <c r="L125" i="55"/>
  <c r="L126" i="55"/>
  <c r="L127" i="55"/>
  <c r="L128" i="55"/>
  <c r="L129" i="55"/>
  <c r="L136" i="55"/>
  <c r="L152" i="55"/>
  <c r="L153" i="55"/>
  <c r="L154" i="55"/>
  <c r="L155" i="55"/>
  <c r="L156" i="55"/>
  <c r="L157" i="55"/>
  <c r="L158" i="55"/>
  <c r="L159" i="55"/>
  <c r="L160" i="55"/>
  <c r="L161" i="55"/>
  <c r="L162" i="55"/>
  <c r="L163" i="55"/>
  <c r="L164" i="55"/>
  <c r="L165" i="55"/>
  <c r="L166" i="55"/>
  <c r="L173" i="55"/>
  <c r="L174" i="55"/>
  <c r="L175" i="55"/>
  <c r="L176" i="55"/>
  <c r="L177" i="55"/>
  <c r="L178" i="55"/>
  <c r="L179" i="55"/>
  <c r="L180" i="55"/>
  <c r="L186" i="55"/>
  <c r="L192" i="55"/>
  <c r="L193" i="55"/>
  <c r="L194" i="55"/>
  <c r="L195" i="55"/>
  <c r="L196" i="55"/>
  <c r="L197" i="55"/>
  <c r="L198" i="55"/>
  <c r="L199" i="55"/>
  <c r="L200" i="55"/>
  <c r="L201" i="55"/>
  <c r="L202" i="55"/>
  <c r="L203" i="55"/>
  <c r="L204" i="55"/>
  <c r="L210" i="55"/>
  <c r="L211" i="55"/>
  <c r="L212" i="55"/>
  <c r="L213" i="55"/>
  <c r="L214" i="55"/>
  <c r="L215" i="55"/>
  <c r="L216" i="55"/>
  <c r="L222" i="55"/>
  <c r="L223" i="55"/>
  <c r="L224" i="55"/>
  <c r="L225" i="55"/>
  <c r="L226" i="55"/>
  <c r="L227" i="55"/>
  <c r="L228" i="55"/>
  <c r="L230" i="55"/>
  <c r="L231" i="55"/>
  <c r="L244" i="55"/>
  <c r="L251" i="55"/>
  <c r="L257" i="55"/>
  <c r="L263" i="55"/>
  <c r="L269" i="55"/>
  <c r="L275" i="55"/>
  <c r="L281" i="55"/>
  <c r="L282" i="55"/>
  <c r="L283" i="55"/>
  <c r="L284" i="55"/>
  <c r="L285" i="55"/>
  <c r="L289" i="55"/>
  <c r="L293" i="55"/>
  <c r="L298" i="55"/>
  <c r="L300" i="55"/>
  <c r="L303" i="55"/>
  <c r="L304" i="55"/>
  <c r="L308" i="55"/>
  <c r="L326" i="55"/>
  <c r="L327" i="55"/>
  <c r="L329" i="55"/>
  <c r="L331" i="55"/>
  <c r="L338" i="55"/>
  <c r="L340" i="55"/>
  <c r="L345" i="55"/>
  <c r="L356" i="55"/>
  <c r="L359" i="55"/>
  <c r="L363" i="55"/>
  <c r="L369" i="55"/>
  <c r="L375" i="55"/>
  <c r="L381" i="55"/>
  <c r="L392" i="55"/>
  <c r="L396" i="55"/>
  <c r="L398" i="55"/>
  <c r="L399" i="55"/>
  <c r="L401" i="55"/>
  <c r="L403" i="55"/>
  <c r="L406" i="55"/>
  <c r="L409" i="55"/>
  <c r="L412" i="55"/>
  <c r="L416" i="55"/>
  <c r="L426" i="55"/>
  <c r="L434" i="55"/>
  <c r="L435" i="55"/>
  <c r="L436" i="55"/>
  <c r="L451" i="55"/>
  <c r="L455" i="55"/>
  <c r="L456" i="55"/>
  <c r="L462" i="55"/>
  <c r="L469" i="55"/>
  <c r="L475" i="55"/>
  <c r="L482" i="55"/>
  <c r="L488" i="55"/>
  <c r="L501" i="55"/>
  <c r="L509" i="55"/>
  <c r="L515" i="55"/>
  <c r="L518" i="55"/>
  <c r="L535" i="55"/>
  <c r="L542" i="55"/>
  <c r="L550" i="55"/>
  <c r="L566" i="55"/>
  <c r="L571" i="55"/>
  <c r="L575" i="55"/>
  <c r="L579" i="55"/>
  <c r="L583" i="55"/>
  <c r="L584" i="55"/>
  <c r="L589" i="55"/>
  <c r="L597" i="55"/>
  <c r="L602" i="55"/>
  <c r="L604" i="55"/>
  <c r="L607" i="55"/>
  <c r="L610" i="55"/>
  <c r="L613" i="55"/>
  <c r="L614" i="55"/>
  <c r="L616" i="55"/>
  <c r="L621" i="55"/>
  <c r="L624" i="55"/>
  <c r="L630" i="55"/>
  <c r="L631" i="55"/>
  <c r="L632" i="55"/>
  <c r="L633" i="55"/>
  <c r="L635" i="55"/>
  <c r="L638" i="55"/>
  <c r="L644" i="55"/>
  <c r="L650" i="55"/>
  <c r="L656" i="55"/>
  <c r="L681" i="55"/>
  <c r="L686" i="55"/>
  <c r="L703" i="55"/>
  <c r="L709" i="55"/>
  <c r="L721" i="55"/>
  <c r="L725" i="55"/>
  <c r="L738" i="55"/>
  <c r="L746" i="55"/>
  <c r="L747" i="55"/>
  <c r="L748" i="55"/>
  <c r="L749" i="55"/>
  <c r="L750" i="55"/>
  <c r="L751" i="55"/>
  <c r="L752" i="55"/>
  <c r="L753" i="55"/>
  <c r="L754" i="55"/>
  <c r="L755" i="55"/>
  <c r="L756" i="55"/>
  <c r="L757" i="55"/>
  <c r="L758" i="55"/>
  <c r="L759" i="55"/>
  <c r="L760" i="55"/>
  <c r="L761" i="55"/>
  <c r="L762" i="55"/>
  <c r="L763" i="55"/>
  <c r="L764" i="55"/>
  <c r="L765" i="55"/>
  <c r="L766" i="55"/>
  <c r="L767" i="55"/>
  <c r="L777" i="55"/>
  <c r="L778" i="55"/>
  <c r="L779" i="55"/>
  <c r="L780" i="55"/>
  <c r="L781" i="55"/>
  <c r="L782" i="55"/>
  <c r="L783" i="55"/>
  <c r="L784" i="55"/>
  <c r="L785" i="55"/>
  <c r="L786" i="55"/>
  <c r="L787" i="55"/>
  <c r="L788" i="55"/>
  <c r="L789" i="55"/>
  <c r="L790" i="55"/>
  <c r="L791" i="55"/>
  <c r="L792" i="55"/>
  <c r="L793" i="55"/>
  <c r="L794" i="55"/>
  <c r="L795" i="55"/>
  <c r="L796" i="55"/>
  <c r="L797" i="55"/>
  <c r="L798" i="55"/>
  <c r="L799" i="55"/>
  <c r="L800" i="55"/>
  <c r="L801" i="55"/>
  <c r="L802" i="55"/>
  <c r="L803" i="55"/>
  <c r="L804" i="55"/>
  <c r="L816" i="55"/>
  <c r="L821" i="55"/>
  <c r="L826" i="55"/>
  <c r="L832" i="55"/>
  <c r="L835" i="55"/>
  <c r="L843" i="55"/>
  <c r="L844" i="55"/>
  <c r="L845" i="55"/>
  <c r="L846" i="55"/>
  <c r="L856" i="55"/>
  <c r="L859" i="55"/>
  <c r="L860" i="55"/>
  <c r="L861" i="55"/>
  <c r="L862" i="55"/>
  <c r="L863" i="55"/>
  <c r="L864" i="55"/>
  <c r="L868" i="55"/>
  <c r="L880" i="55"/>
  <c r="L887" i="55"/>
  <c r="L889" i="55"/>
  <c r="L894" i="55"/>
  <c r="L898" i="55"/>
  <c r="L899" i="55"/>
  <c r="L900" i="55"/>
  <c r="L901" i="55"/>
  <c r="L913" i="55"/>
  <c r="L915" i="55"/>
  <c r="L916" i="55"/>
  <c r="L918" i="55"/>
  <c r="L926" i="55"/>
  <c r="L927" i="55"/>
  <c r="L929" i="55"/>
  <c r="L931" i="55"/>
  <c r="L932" i="55"/>
  <c r="L933" i="55"/>
  <c r="L934" i="55"/>
  <c r="L1007" i="55"/>
  <c r="L1008" i="55"/>
  <c r="L1009" i="55"/>
  <c r="L1013" i="55"/>
  <c r="L1014" i="55"/>
  <c r="L1015" i="55"/>
  <c r="L1016" i="55"/>
  <c r="L1107" i="55"/>
  <c r="L1108" i="55"/>
  <c r="L1109" i="55"/>
  <c r="J8" i="55"/>
  <c r="J11" i="55"/>
  <c r="J14" i="55"/>
  <c r="J17" i="55"/>
  <c r="J22" i="55"/>
  <c r="J25" i="55"/>
  <c r="J28" i="55"/>
  <c r="J31" i="55"/>
  <c r="J32" i="55"/>
  <c r="J33" i="55"/>
  <c r="J34" i="55"/>
  <c r="J35" i="55"/>
  <c r="J36" i="55"/>
  <c r="J37" i="55"/>
  <c r="J48" i="55"/>
  <c r="J49" i="55"/>
  <c r="J57" i="55"/>
  <c r="J58" i="55"/>
  <c r="J60" i="55"/>
  <c r="J61" i="55"/>
  <c r="J64" i="55"/>
  <c r="J70" i="55"/>
  <c r="J84" i="55"/>
  <c r="J90" i="55"/>
  <c r="J105" i="55"/>
  <c r="J106" i="55"/>
  <c r="J107" i="55"/>
  <c r="J108" i="55"/>
  <c r="J109" i="55"/>
  <c r="J110" i="55"/>
  <c r="J111" i="55"/>
  <c r="J112" i="55"/>
  <c r="J113" i="55"/>
  <c r="J114" i="55"/>
  <c r="J115" i="55"/>
  <c r="J116" i="55"/>
  <c r="J117" i="55"/>
  <c r="J123" i="55"/>
  <c r="J124" i="55"/>
  <c r="J125" i="55"/>
  <c r="J126" i="55"/>
  <c r="J127" i="55"/>
  <c r="J128" i="55"/>
  <c r="J129" i="55"/>
  <c r="J136" i="55"/>
  <c r="J152" i="55"/>
  <c r="J153" i="55"/>
  <c r="J154" i="55"/>
  <c r="J155" i="55"/>
  <c r="J156" i="55"/>
  <c r="J157" i="55"/>
  <c r="J158" i="55"/>
  <c r="J159" i="55"/>
  <c r="J160" i="55"/>
  <c r="J161" i="55"/>
  <c r="J162" i="55"/>
  <c r="J163" i="55"/>
  <c r="J164" i="55"/>
  <c r="J165" i="55"/>
  <c r="J166" i="55"/>
  <c r="J173" i="55"/>
  <c r="J174" i="55"/>
  <c r="J175" i="55"/>
  <c r="J176" i="55"/>
  <c r="J177" i="55"/>
  <c r="J178" i="55"/>
  <c r="J179" i="55"/>
  <c r="J180" i="55"/>
  <c r="J186" i="55"/>
  <c r="J192" i="55"/>
  <c r="J193" i="55"/>
  <c r="J194" i="55"/>
  <c r="J195" i="55"/>
  <c r="J196" i="55"/>
  <c r="J197" i="55"/>
  <c r="J198" i="55"/>
  <c r="J199" i="55"/>
  <c r="J200" i="55"/>
  <c r="J201" i="55"/>
  <c r="J202" i="55"/>
  <c r="J203" i="55"/>
  <c r="J204" i="55"/>
  <c r="J210" i="55"/>
  <c r="J211" i="55"/>
  <c r="J212" i="55"/>
  <c r="J213" i="55"/>
  <c r="J214" i="55"/>
  <c r="J215" i="55"/>
  <c r="J216" i="55"/>
  <c r="J222" i="55"/>
  <c r="J223" i="55"/>
  <c r="J224" i="55"/>
  <c r="J225" i="55"/>
  <c r="J226" i="55"/>
  <c r="J227" i="55"/>
  <c r="J228" i="55"/>
  <c r="J230" i="55"/>
  <c r="J231" i="55"/>
  <c r="J244" i="55"/>
  <c r="J251" i="55"/>
  <c r="J257" i="55"/>
  <c r="J263" i="55"/>
  <c r="J269" i="55"/>
  <c r="J275" i="55"/>
  <c r="J281" i="55"/>
  <c r="J282" i="55"/>
  <c r="J283" i="55"/>
  <c r="J284" i="55"/>
  <c r="J285" i="55"/>
  <c r="J289" i="55"/>
  <c r="J293" i="55"/>
  <c r="J298" i="55"/>
  <c r="J300" i="55"/>
  <c r="J303" i="55"/>
  <c r="J304" i="55"/>
  <c r="J308" i="55"/>
  <c r="J326" i="55"/>
  <c r="J327" i="55"/>
  <c r="J329" i="55"/>
  <c r="J331" i="55"/>
  <c r="J338" i="55"/>
  <c r="J340" i="55"/>
  <c r="J345" i="55"/>
  <c r="J356" i="55"/>
  <c r="J359" i="55"/>
  <c r="J363" i="55"/>
  <c r="J369" i="55"/>
  <c r="J375" i="55"/>
  <c r="J381" i="55"/>
  <c r="J392" i="55"/>
  <c r="J396" i="55"/>
  <c r="J398" i="55"/>
  <c r="J399" i="55"/>
  <c r="J401" i="55"/>
  <c r="J403" i="55"/>
  <c r="J406" i="55"/>
  <c r="J409" i="55"/>
  <c r="J412" i="55"/>
  <c r="J416" i="55"/>
  <c r="J426" i="55"/>
  <c r="J434" i="55"/>
  <c r="J435" i="55"/>
  <c r="J436" i="55"/>
  <c r="J451" i="55"/>
  <c r="J455" i="55"/>
  <c r="J456" i="55"/>
  <c r="J462" i="55"/>
  <c r="J469" i="55"/>
  <c r="J475" i="55"/>
  <c r="J482" i="55"/>
  <c r="J488" i="55"/>
  <c r="J501" i="55"/>
  <c r="J509" i="55"/>
  <c r="J515" i="55"/>
  <c r="J518" i="55"/>
  <c r="J535" i="55"/>
  <c r="J542" i="55"/>
  <c r="J550" i="55"/>
  <c r="J566" i="55"/>
  <c r="J571" i="55"/>
  <c r="J575" i="55"/>
  <c r="J579" i="55"/>
  <c r="J583" i="55"/>
  <c r="J584" i="55"/>
  <c r="J589" i="55"/>
  <c r="J597" i="55"/>
  <c r="J602" i="55"/>
  <c r="J604" i="55"/>
  <c r="J607" i="55"/>
  <c r="J610" i="55"/>
  <c r="J613" i="55"/>
  <c r="J614" i="55"/>
  <c r="J616" i="55"/>
  <c r="J621" i="55"/>
  <c r="J624" i="55"/>
  <c r="J630" i="55"/>
  <c r="J631" i="55"/>
  <c r="J632" i="55"/>
  <c r="J633" i="55"/>
  <c r="J635" i="55"/>
  <c r="J638" i="55"/>
  <c r="J644" i="55"/>
  <c r="J650" i="55"/>
  <c r="J656" i="55"/>
  <c r="J681" i="55"/>
  <c r="J686" i="55"/>
  <c r="J703" i="55"/>
  <c r="J709" i="55"/>
  <c r="J721" i="55"/>
  <c r="J725" i="55"/>
  <c r="J738" i="55"/>
  <c r="J746" i="55"/>
  <c r="J747" i="55"/>
  <c r="J748" i="55"/>
  <c r="J749" i="55"/>
  <c r="J750" i="55"/>
  <c r="J751" i="55"/>
  <c r="J752" i="55"/>
  <c r="J753" i="55"/>
  <c r="J754" i="55"/>
  <c r="J755" i="55"/>
  <c r="J756" i="55"/>
  <c r="J757" i="55"/>
  <c r="J758" i="55"/>
  <c r="J759" i="55"/>
  <c r="J760" i="55"/>
  <c r="J761" i="55"/>
  <c r="J762" i="55"/>
  <c r="J763" i="55"/>
  <c r="J764" i="55"/>
  <c r="J765" i="55"/>
  <c r="J766" i="55"/>
  <c r="J767" i="55"/>
  <c r="J777" i="55"/>
  <c r="J778" i="55"/>
  <c r="J779" i="55"/>
  <c r="J780" i="55"/>
  <c r="J781" i="55"/>
  <c r="J782" i="55"/>
  <c r="J783" i="55"/>
  <c r="J784" i="55"/>
  <c r="J785" i="55"/>
  <c r="J786" i="55"/>
  <c r="J787" i="55"/>
  <c r="J788" i="55"/>
  <c r="J789" i="55"/>
  <c r="J790" i="55"/>
  <c r="J791" i="55"/>
  <c r="J792" i="55"/>
  <c r="J793" i="55"/>
  <c r="J794" i="55"/>
  <c r="J795" i="55"/>
  <c r="J796" i="55"/>
  <c r="J797" i="55"/>
  <c r="J798" i="55"/>
  <c r="J799" i="55"/>
  <c r="J800" i="55"/>
  <c r="J801" i="55"/>
  <c r="J802" i="55"/>
  <c r="J803" i="55"/>
  <c r="J804" i="55"/>
  <c r="J816" i="55"/>
  <c r="J821" i="55"/>
  <c r="J826" i="55"/>
  <c r="J832" i="55"/>
  <c r="J835" i="55"/>
  <c r="J843" i="55"/>
  <c r="J844" i="55"/>
  <c r="J845" i="55"/>
  <c r="J846" i="55"/>
  <c r="J856" i="55"/>
  <c r="J859" i="55"/>
  <c r="J860" i="55"/>
  <c r="J861" i="55"/>
  <c r="J862" i="55"/>
  <c r="J863" i="55"/>
  <c r="J864" i="55"/>
  <c r="J868" i="55"/>
  <c r="J880" i="55"/>
  <c r="J887" i="55"/>
  <c r="J889" i="55"/>
  <c r="J894" i="55"/>
  <c r="J898" i="55"/>
  <c r="J899" i="55"/>
  <c r="J900" i="55"/>
  <c r="J901" i="55"/>
  <c r="J913" i="55"/>
  <c r="J915" i="55"/>
  <c r="J916" i="55"/>
  <c r="J918" i="55"/>
  <c r="J926" i="55"/>
  <c r="J927" i="55"/>
  <c r="J929" i="55"/>
  <c r="J931" i="55"/>
  <c r="J932" i="55"/>
  <c r="J933" i="55"/>
  <c r="J934" i="55"/>
  <c r="J1007" i="55"/>
  <c r="J1008" i="55"/>
  <c r="J1009" i="55"/>
  <c r="J1013" i="55"/>
  <c r="J1014" i="55"/>
  <c r="J1015" i="55"/>
  <c r="J1016" i="55"/>
  <c r="J1107" i="55"/>
  <c r="J1108" i="55"/>
  <c r="J1109" i="55"/>
  <c r="H8" i="55"/>
  <c r="H11" i="55"/>
  <c r="H14" i="55"/>
  <c r="H17" i="55"/>
  <c r="H22" i="55"/>
  <c r="H25" i="55"/>
  <c r="H28" i="55"/>
  <c r="H31" i="55"/>
  <c r="H32" i="55"/>
  <c r="H33" i="55"/>
  <c r="H34" i="55"/>
  <c r="H35" i="55"/>
  <c r="H36" i="55"/>
  <c r="H37" i="55"/>
  <c r="H48" i="55"/>
  <c r="H49" i="55"/>
  <c r="H57" i="55"/>
  <c r="H58" i="55"/>
  <c r="H60" i="55"/>
  <c r="H61" i="55"/>
  <c r="H64" i="55"/>
  <c r="H70" i="55"/>
  <c r="H84" i="55"/>
  <c r="H90" i="55"/>
  <c r="H105" i="55"/>
  <c r="H106" i="55"/>
  <c r="H107" i="55"/>
  <c r="H108" i="55"/>
  <c r="H109" i="55"/>
  <c r="H110" i="55"/>
  <c r="H111" i="55"/>
  <c r="H112" i="55"/>
  <c r="H113" i="55"/>
  <c r="H114" i="55"/>
  <c r="H115" i="55"/>
  <c r="H116" i="55"/>
  <c r="H117" i="55"/>
  <c r="H123" i="55"/>
  <c r="H124" i="55"/>
  <c r="H125" i="55"/>
  <c r="H126" i="55"/>
  <c r="H127" i="55"/>
  <c r="H128" i="55"/>
  <c r="H129" i="55"/>
  <c r="H136" i="55"/>
  <c r="H152" i="55"/>
  <c r="H153" i="55"/>
  <c r="H154" i="55"/>
  <c r="H155" i="55"/>
  <c r="H156" i="55"/>
  <c r="H157" i="55"/>
  <c r="H158" i="55"/>
  <c r="H159" i="55"/>
  <c r="H160" i="55"/>
  <c r="H161" i="55"/>
  <c r="H162" i="55"/>
  <c r="H163" i="55"/>
  <c r="H164" i="55"/>
  <c r="H165" i="55"/>
  <c r="H166" i="55"/>
  <c r="H173" i="55"/>
  <c r="H174" i="55"/>
  <c r="H175" i="55"/>
  <c r="H176" i="55"/>
  <c r="H177" i="55"/>
  <c r="H178" i="55"/>
  <c r="H179" i="55"/>
  <c r="H180" i="55"/>
  <c r="H186" i="55"/>
  <c r="H192" i="55"/>
  <c r="H193" i="55"/>
  <c r="H194" i="55"/>
  <c r="H195" i="55"/>
  <c r="H196" i="55"/>
  <c r="H197" i="55"/>
  <c r="H198" i="55"/>
  <c r="H199" i="55"/>
  <c r="H200" i="55"/>
  <c r="H201" i="55"/>
  <c r="H202" i="55"/>
  <c r="H203" i="55"/>
  <c r="H204" i="55"/>
  <c r="H210" i="55"/>
  <c r="H211" i="55"/>
  <c r="H212" i="55"/>
  <c r="H213" i="55"/>
  <c r="H214" i="55"/>
  <c r="H215" i="55"/>
  <c r="H216" i="55"/>
  <c r="H222" i="55"/>
  <c r="H223" i="55"/>
  <c r="H224" i="55"/>
  <c r="H225" i="55"/>
  <c r="H226" i="55"/>
  <c r="H227" i="55"/>
  <c r="H228" i="55"/>
  <c r="H230" i="55"/>
  <c r="H231" i="55"/>
  <c r="H244" i="55"/>
  <c r="H251" i="55"/>
  <c r="H257" i="55"/>
  <c r="H263" i="55"/>
  <c r="H269" i="55"/>
  <c r="H275" i="55"/>
  <c r="H281" i="55"/>
  <c r="H282" i="55"/>
  <c r="H283" i="55"/>
  <c r="H284" i="55"/>
  <c r="H285" i="55"/>
  <c r="H289" i="55"/>
  <c r="H293" i="55"/>
  <c r="H298" i="55"/>
  <c r="H300" i="55"/>
  <c r="H303" i="55"/>
  <c r="H304" i="55"/>
  <c r="H308" i="55"/>
  <c r="H326" i="55"/>
  <c r="H327" i="55"/>
  <c r="H329" i="55"/>
  <c r="H331" i="55"/>
  <c r="H338" i="55"/>
  <c r="H340" i="55"/>
  <c r="H345" i="55"/>
  <c r="H356" i="55"/>
  <c r="H359" i="55"/>
  <c r="H363" i="55"/>
  <c r="H369" i="55"/>
  <c r="H375" i="55"/>
  <c r="H381" i="55"/>
  <c r="H392" i="55"/>
  <c r="H396" i="55"/>
  <c r="H398" i="55"/>
  <c r="H399" i="55"/>
  <c r="H401" i="55"/>
  <c r="H403" i="55"/>
  <c r="H406" i="55"/>
  <c r="H409" i="55"/>
  <c r="H412" i="55"/>
  <c r="H416" i="55"/>
  <c r="H426" i="55"/>
  <c r="H434" i="55"/>
  <c r="H435" i="55"/>
  <c r="H436" i="55"/>
  <c r="H451" i="55"/>
  <c r="H455" i="55"/>
  <c r="H456" i="55"/>
  <c r="H462" i="55"/>
  <c r="H469" i="55"/>
  <c r="H475" i="55"/>
  <c r="H482" i="55"/>
  <c r="H488" i="55"/>
  <c r="H501" i="55"/>
  <c r="H509" i="55"/>
  <c r="H515" i="55"/>
  <c r="H518" i="55"/>
  <c r="H535" i="55"/>
  <c r="H542" i="55"/>
  <c r="H550" i="55"/>
  <c r="H566" i="55"/>
  <c r="H571" i="55"/>
  <c r="H575" i="55"/>
  <c r="H579" i="55"/>
  <c r="H583" i="55"/>
  <c r="H584" i="55"/>
  <c r="H589" i="55"/>
  <c r="H597" i="55"/>
  <c r="H602" i="55"/>
  <c r="H604" i="55"/>
  <c r="H607" i="55"/>
  <c r="H610" i="55"/>
  <c r="H613" i="55"/>
  <c r="H614" i="55"/>
  <c r="H616" i="55"/>
  <c r="H621" i="55"/>
  <c r="H624" i="55"/>
  <c r="H630" i="55"/>
  <c r="H631" i="55"/>
  <c r="H632" i="55"/>
  <c r="H633" i="55"/>
  <c r="H635" i="55"/>
  <c r="H638" i="55"/>
  <c r="H644" i="55"/>
  <c r="H650" i="55"/>
  <c r="H656" i="55"/>
  <c r="H681" i="55"/>
  <c r="H686" i="55"/>
  <c r="H703" i="55"/>
  <c r="H709" i="55"/>
  <c r="H721" i="55"/>
  <c r="H725" i="55"/>
  <c r="H738" i="55"/>
  <c r="H746" i="55"/>
  <c r="H747" i="55"/>
  <c r="H748" i="55"/>
  <c r="H749" i="55"/>
  <c r="H750" i="55"/>
  <c r="H751" i="55"/>
  <c r="H752" i="55"/>
  <c r="H753" i="55"/>
  <c r="H754" i="55"/>
  <c r="H755" i="55"/>
  <c r="H756" i="55"/>
  <c r="H757" i="55"/>
  <c r="H758" i="55"/>
  <c r="H759" i="55"/>
  <c r="H760" i="55"/>
  <c r="H761" i="55"/>
  <c r="H762" i="55"/>
  <c r="H763" i="55"/>
  <c r="H764" i="55"/>
  <c r="H765" i="55"/>
  <c r="H766" i="55"/>
  <c r="H767" i="55"/>
  <c r="H777" i="55"/>
  <c r="H778" i="55"/>
  <c r="H779" i="55"/>
  <c r="H780" i="55"/>
  <c r="H781" i="55"/>
  <c r="H782" i="55"/>
  <c r="H783" i="55"/>
  <c r="H784" i="55"/>
  <c r="H785" i="55"/>
  <c r="H786" i="55"/>
  <c r="H787" i="55"/>
  <c r="H788" i="55"/>
  <c r="H789" i="55"/>
  <c r="H790" i="55"/>
  <c r="H791" i="55"/>
  <c r="H792" i="55"/>
  <c r="H793" i="55"/>
  <c r="H794" i="55"/>
  <c r="H795" i="55"/>
  <c r="H796" i="55"/>
  <c r="H797" i="55"/>
  <c r="H798" i="55"/>
  <c r="H799" i="55"/>
  <c r="H800" i="55"/>
  <c r="H801" i="55"/>
  <c r="H802" i="55"/>
  <c r="H803" i="55"/>
  <c r="H804" i="55"/>
  <c r="H816" i="55"/>
  <c r="H821" i="55"/>
  <c r="H826" i="55"/>
  <c r="H832" i="55"/>
  <c r="H835" i="55"/>
  <c r="H843" i="55"/>
  <c r="H844" i="55"/>
  <c r="H845" i="55"/>
  <c r="H846" i="55"/>
  <c r="H856" i="55"/>
  <c r="H859" i="55"/>
  <c r="H860" i="55"/>
  <c r="H861" i="55"/>
  <c r="H862" i="55"/>
  <c r="H863" i="55"/>
  <c r="H864" i="55"/>
  <c r="H868" i="55"/>
  <c r="H880" i="55"/>
  <c r="H887" i="55"/>
  <c r="H889" i="55"/>
  <c r="H894" i="55"/>
  <c r="H898" i="55"/>
  <c r="H899" i="55"/>
  <c r="H900" i="55"/>
  <c r="H901" i="55"/>
  <c r="H913" i="55"/>
  <c r="H915" i="55"/>
  <c r="H916" i="55"/>
  <c r="H918" i="55"/>
  <c r="H926" i="55"/>
  <c r="H927" i="55"/>
  <c r="H929" i="55"/>
  <c r="H931" i="55"/>
  <c r="H932" i="55"/>
  <c r="H933" i="55"/>
  <c r="H934" i="55"/>
  <c r="H1007" i="55"/>
  <c r="H1008" i="55"/>
  <c r="H1009" i="55"/>
  <c r="H1013" i="55"/>
  <c r="H1014" i="55"/>
  <c r="H1015" i="55"/>
  <c r="H1016" i="55"/>
  <c r="H1107" i="55"/>
  <c r="H1108" i="55"/>
  <c r="H1109" i="55"/>
  <c r="F304" i="55"/>
  <c r="F308" i="55"/>
  <c r="F326" i="55"/>
  <c r="F327" i="55"/>
  <c r="F329" i="55"/>
  <c r="F331" i="55"/>
  <c r="F338" i="55"/>
  <c r="F340" i="55"/>
  <c r="F345" i="55"/>
  <c r="F356" i="55"/>
  <c r="F359" i="55"/>
  <c r="F363" i="55"/>
  <c r="F369" i="55"/>
  <c r="F375" i="55"/>
  <c r="F381" i="55"/>
  <c r="F392" i="55"/>
  <c r="F396" i="55"/>
  <c r="F398" i="55"/>
  <c r="F399" i="55"/>
  <c r="F401" i="55"/>
  <c r="F403" i="55"/>
  <c r="F406" i="55"/>
  <c r="F409" i="55"/>
  <c r="F412" i="55"/>
  <c r="F416" i="55"/>
  <c r="F426" i="55"/>
  <c r="F434" i="55"/>
  <c r="F435" i="55"/>
  <c r="F436" i="55"/>
  <c r="F451" i="55"/>
  <c r="F455" i="55"/>
  <c r="F456" i="55"/>
  <c r="F462" i="55"/>
  <c r="F469" i="55"/>
  <c r="F475" i="55"/>
  <c r="F482" i="55"/>
  <c r="F488" i="55"/>
  <c r="F501" i="55"/>
  <c r="F509" i="55"/>
  <c r="F515" i="55"/>
  <c r="F518" i="55"/>
  <c r="F535" i="55"/>
  <c r="F542" i="55"/>
  <c r="F550" i="55"/>
  <c r="F566" i="55"/>
  <c r="F571" i="55"/>
  <c r="F575" i="55"/>
  <c r="F579" i="55"/>
  <c r="F583" i="55"/>
  <c r="F584" i="55"/>
  <c r="F589" i="55"/>
  <c r="F597" i="55"/>
  <c r="F602" i="55"/>
  <c r="F604" i="55"/>
  <c r="F607" i="55"/>
  <c r="F610" i="55"/>
  <c r="F613" i="55"/>
  <c r="F614" i="55"/>
  <c r="F616" i="55"/>
  <c r="F621" i="55"/>
  <c r="F624" i="55"/>
  <c r="F630" i="55"/>
  <c r="F631" i="55"/>
  <c r="F632" i="55"/>
  <c r="F633" i="55"/>
  <c r="F635" i="55"/>
  <c r="F638" i="55"/>
  <c r="F644" i="55"/>
  <c r="F650" i="55"/>
  <c r="F656" i="55"/>
  <c r="F681" i="55"/>
  <c r="F686" i="55"/>
  <c r="F703" i="55"/>
  <c r="F709" i="55"/>
  <c r="F721" i="55"/>
  <c r="F725" i="55"/>
  <c r="F738" i="55"/>
  <c r="F746" i="55"/>
  <c r="F747" i="55"/>
  <c r="F748" i="55"/>
  <c r="F749" i="55"/>
  <c r="F750" i="55"/>
  <c r="F751" i="55"/>
  <c r="F752" i="55"/>
  <c r="F753" i="55"/>
  <c r="F754" i="55"/>
  <c r="F755" i="55"/>
  <c r="F756" i="55"/>
  <c r="F757" i="55"/>
  <c r="F758" i="55"/>
  <c r="F759" i="55"/>
  <c r="F760" i="55"/>
  <c r="F761" i="55"/>
  <c r="F762" i="55"/>
  <c r="F763" i="55"/>
  <c r="F764" i="55"/>
  <c r="F765" i="55"/>
  <c r="F766" i="55"/>
  <c r="F767" i="55"/>
  <c r="F777" i="55"/>
  <c r="F778" i="55"/>
  <c r="F779" i="55"/>
  <c r="F780" i="55"/>
  <c r="F781" i="55"/>
  <c r="F782" i="55"/>
  <c r="F783" i="55"/>
  <c r="F784" i="55"/>
  <c r="F785" i="55"/>
  <c r="F786" i="55"/>
  <c r="F787" i="55"/>
  <c r="F788" i="55"/>
  <c r="F789" i="55"/>
  <c r="F790" i="55"/>
  <c r="F791" i="55"/>
  <c r="F792" i="55"/>
  <c r="F793" i="55"/>
  <c r="F794" i="55"/>
  <c r="F795" i="55"/>
  <c r="F796" i="55"/>
  <c r="F797" i="55"/>
  <c r="F798" i="55"/>
  <c r="F799" i="55"/>
  <c r="F800" i="55"/>
  <c r="F801" i="55"/>
  <c r="F802" i="55"/>
  <c r="F803" i="55"/>
  <c r="F804" i="55"/>
  <c r="F816" i="55"/>
  <c r="F821" i="55"/>
  <c r="F826" i="55"/>
  <c r="F832" i="55"/>
  <c r="F835" i="55"/>
  <c r="F843" i="55"/>
  <c r="F844" i="55"/>
  <c r="F845" i="55"/>
  <c r="F846" i="55"/>
  <c r="F856" i="55"/>
  <c r="F859" i="55"/>
  <c r="F860" i="55"/>
  <c r="F861" i="55"/>
  <c r="F862" i="55"/>
  <c r="F863" i="55"/>
  <c r="F864" i="55"/>
  <c r="F868" i="55"/>
  <c r="F880" i="55"/>
  <c r="F887" i="55"/>
  <c r="F889" i="55"/>
  <c r="F894" i="55"/>
  <c r="F898" i="55"/>
  <c r="F899" i="55"/>
  <c r="F900" i="55"/>
  <c r="F901" i="55"/>
  <c r="F913" i="55"/>
  <c r="F915" i="55"/>
  <c r="F916" i="55"/>
  <c r="F918" i="55"/>
  <c r="F926" i="55"/>
  <c r="F927" i="55"/>
  <c r="F929" i="55"/>
  <c r="F931" i="55"/>
  <c r="F932" i="55"/>
  <c r="F933" i="55"/>
  <c r="F934" i="55"/>
  <c r="F1007" i="55"/>
  <c r="F1008" i="55"/>
  <c r="F1009" i="55"/>
  <c r="F1013" i="55"/>
  <c r="F1014" i="55"/>
  <c r="F1015" i="55"/>
  <c r="F1016" i="55"/>
  <c r="F1107" i="55"/>
  <c r="F1108" i="55"/>
  <c r="F1109" i="55"/>
  <c r="C1006" i="55"/>
  <c r="D5" i="25"/>
  <c r="F5" i="25" s="1"/>
  <c r="D6" i="25"/>
  <c r="F6" i="25" s="1"/>
  <c r="D7" i="25"/>
  <c r="F7" i="25" s="1"/>
  <c r="F8" i="25"/>
  <c r="F9" i="25"/>
  <c r="F10" i="25"/>
  <c r="F11" i="25"/>
  <c r="F12" i="25"/>
  <c r="F13" i="25"/>
  <c r="F14" i="25"/>
  <c r="F15" i="25"/>
  <c r="F27" i="25"/>
  <c r="F28" i="25"/>
  <c r="J36" i="25"/>
  <c r="J37" i="25"/>
  <c r="J38" i="25"/>
  <c r="J39" i="25"/>
  <c r="F40" i="25"/>
  <c r="J40" i="25"/>
  <c r="J41" i="25"/>
  <c r="J42" i="25"/>
  <c r="F61" i="25"/>
  <c r="F62" i="25"/>
  <c r="F63" i="25"/>
  <c r="F64" i="25"/>
  <c r="F88" i="25"/>
  <c r="D89" i="25"/>
  <c r="F89" i="25" s="1"/>
  <c r="F90" i="25"/>
  <c r="F91" i="25"/>
  <c r="F92" i="25"/>
  <c r="F110" i="25"/>
  <c r="C112" i="25"/>
  <c r="F112" i="25"/>
  <c r="F113" i="25"/>
  <c r="F114" i="25"/>
  <c r="D136" i="25"/>
  <c r="F136" i="25" s="1"/>
  <c r="C138" i="25"/>
  <c r="C161" i="25" s="1"/>
  <c r="D138" i="25"/>
  <c r="D139" i="25"/>
  <c r="F139" i="25" s="1"/>
  <c r="F140" i="25"/>
  <c r="F163" i="25"/>
  <c r="E187" i="25"/>
  <c r="E188" i="25"/>
  <c r="D194" i="25"/>
  <c r="D195" i="25"/>
  <c r="D196" i="25"/>
  <c r="D198" i="25"/>
  <c r="G198" i="25"/>
  <c r="D199" i="25"/>
  <c r="A199" i="25" s="1"/>
  <c r="D200" i="25"/>
  <c r="A200" i="25" s="1"/>
  <c r="G200" i="25" s="1"/>
  <c r="G201" i="25"/>
  <c r="D203" i="25"/>
  <c r="D204" i="25"/>
  <c r="G206" i="25"/>
  <c r="D207" i="25"/>
  <c r="A207" i="25" s="1"/>
  <c r="G208" i="25"/>
  <c r="G211" i="25"/>
  <c r="G212" i="25"/>
  <c r="G213" i="25"/>
  <c r="G214" i="25"/>
  <c r="F250" i="25"/>
  <c r="F252" i="25"/>
  <c r="F253" i="25"/>
  <c r="F254" i="25"/>
  <c r="F255" i="25"/>
  <c r="F257" i="25"/>
  <c r="F258" i="25"/>
  <c r="F259" i="25"/>
  <c r="F260" i="25"/>
  <c r="F261" i="25"/>
  <c r="D267" i="25"/>
  <c r="F267" i="25" s="1"/>
  <c r="D268" i="25"/>
  <c r="F268" i="25" s="1"/>
  <c r="D269" i="25"/>
  <c r="F269" i="25" s="1"/>
  <c r="F280" i="25"/>
  <c r="F281" i="25"/>
  <c r="F282" i="25"/>
  <c r="F283" i="25"/>
  <c r="F284" i="25"/>
  <c r="F285" i="25"/>
  <c r="D286" i="25"/>
  <c r="F286" i="25" s="1"/>
  <c r="F287" i="25"/>
  <c r="F288" i="25"/>
  <c r="D289" i="25"/>
  <c r="F289" i="25" s="1"/>
  <c r="F290" i="25"/>
  <c r="F291" i="25"/>
  <c r="D306" i="25"/>
  <c r="F306" i="25" s="1"/>
  <c r="G318" i="25"/>
  <c r="G320" i="25"/>
  <c r="G322" i="25"/>
  <c r="G324" i="25"/>
  <c r="G326" i="25"/>
  <c r="G328" i="25"/>
  <c r="G334" i="25"/>
  <c r="G336" i="25"/>
  <c r="G338" i="25"/>
  <c r="G342" i="25"/>
  <c r="A343" i="25"/>
  <c r="G343" i="25" s="1"/>
  <c r="G344" i="25"/>
  <c r="G345" i="25"/>
  <c r="G346" i="25"/>
  <c r="G353" i="25"/>
  <c r="G354" i="25"/>
  <c r="G355" i="25"/>
  <c r="G363" i="25"/>
  <c r="G365" i="25"/>
  <c r="G367" i="25"/>
  <c r="G369" i="25"/>
  <c r="G371" i="25"/>
  <c r="G373" i="25"/>
  <c r="G379" i="25"/>
  <c r="G381" i="25"/>
  <c r="G383" i="25"/>
  <c r="G387" i="25"/>
  <c r="G388" i="25"/>
  <c r="G389" i="25"/>
  <c r="G390" i="25"/>
  <c r="G391" i="25"/>
  <c r="G398" i="25"/>
  <c r="G399" i="25"/>
  <c r="G400" i="25"/>
  <c r="G408" i="25"/>
  <c r="G410" i="25"/>
  <c r="G412" i="25"/>
  <c r="G414" i="25"/>
  <c r="G416" i="25"/>
  <c r="G418" i="25"/>
  <c r="G424" i="25"/>
  <c r="A433" i="25" s="1"/>
  <c r="G433" i="25" s="1"/>
  <c r="G426" i="25"/>
  <c r="G428" i="25"/>
  <c r="G434" i="25"/>
  <c r="G435" i="25"/>
  <c r="G436" i="25"/>
  <c r="G443" i="25"/>
  <c r="G444" i="25"/>
  <c r="G445" i="25"/>
  <c r="G453" i="25"/>
  <c r="G455" i="25"/>
  <c r="G457" i="25"/>
  <c r="G459" i="25"/>
  <c r="G461" i="25"/>
  <c r="G463" i="25"/>
  <c r="G465" i="25"/>
  <c r="G471" i="25"/>
  <c r="G472" i="25"/>
  <c r="G475" i="25"/>
  <c r="G476" i="25"/>
  <c r="G479" i="25"/>
  <c r="G485" i="25"/>
  <c r="G486" i="25"/>
  <c r="G487" i="25"/>
  <c r="G494" i="25"/>
  <c r="G495" i="25"/>
  <c r="G496" i="25"/>
  <c r="G503" i="25"/>
  <c r="G504" i="25"/>
  <c r="G506" i="25"/>
  <c r="A515" i="25" s="1"/>
  <c r="G515" i="25" s="1"/>
  <c r="G508" i="25"/>
  <c r="A516" i="25" s="1"/>
  <c r="G516" i="25" s="1"/>
  <c r="G510" i="25"/>
  <c r="A517" i="25" s="1"/>
  <c r="E531" i="25"/>
  <c r="E532" i="25"/>
  <c r="E537" i="25"/>
  <c r="E540" i="25"/>
  <c r="A548" i="25" s="1"/>
  <c r="F540" i="25"/>
  <c r="E542" i="25"/>
  <c r="E543" i="25" s="1"/>
  <c r="A549" i="25" s="1"/>
  <c r="A547" i="25"/>
  <c r="D548" i="25"/>
  <c r="G558" i="25"/>
  <c r="E567" i="25"/>
  <c r="E568" i="25"/>
  <c r="E573" i="25"/>
  <c r="A584" i="25" s="1"/>
  <c r="E576" i="25"/>
  <c r="A585" i="25" s="1"/>
  <c r="F576" i="25"/>
  <c r="E578" i="25"/>
  <c r="E579" i="25" s="1"/>
  <c r="A586" i="25" s="1"/>
  <c r="E602" i="25"/>
  <c r="E605" i="25" s="1"/>
  <c r="A618" i="25" s="1"/>
  <c r="E603" i="25"/>
  <c r="E608" i="25"/>
  <c r="A619" i="25" s="1"/>
  <c r="E611" i="25"/>
  <c r="A620" i="25" s="1"/>
  <c r="F611" i="25"/>
  <c r="E613" i="25"/>
  <c r="E614" i="25" s="1"/>
  <c r="A621" i="25" s="1"/>
  <c r="E638" i="25"/>
  <c r="E639" i="25"/>
  <c r="E644" i="25"/>
  <c r="A655" i="25" s="1"/>
  <c r="E647" i="25"/>
  <c r="A656" i="25" s="1"/>
  <c r="F647" i="25"/>
  <c r="E649" i="25"/>
  <c r="E650" i="25" s="1"/>
  <c r="A657" i="25" s="1"/>
  <c r="E674" i="25"/>
  <c r="E675" i="25"/>
  <c r="E680" i="25"/>
  <c r="A691" i="25" s="1"/>
  <c r="E683" i="25"/>
  <c r="A692" i="25" s="1"/>
  <c r="F683" i="25"/>
  <c r="E685" i="25"/>
  <c r="E686" i="25" s="1"/>
  <c r="A693" i="25" s="1"/>
  <c r="D843" i="11"/>
  <c r="T12" i="4"/>
  <c r="U14" i="4"/>
  <c r="V14" i="4" s="1"/>
  <c r="U16" i="4"/>
  <c r="U17" i="4"/>
  <c r="U18" i="4"/>
  <c r="U19" i="4"/>
  <c r="E20" i="4"/>
  <c r="E21" i="4"/>
  <c r="H25" i="4"/>
  <c r="H3" i="27"/>
  <c r="J3" i="27"/>
  <c r="O3" i="27"/>
  <c r="Q3" i="27"/>
  <c r="U3" i="27"/>
  <c r="W3" i="27"/>
  <c r="AG6" i="27"/>
  <c r="AK8" i="27"/>
  <c r="X9" i="27"/>
  <c r="X10" i="27" s="1"/>
  <c r="Z9" i="27"/>
  <c r="Z10" i="27" s="1"/>
  <c r="AC10" i="27" s="1"/>
  <c r="C69" i="27" s="1"/>
  <c r="I295" i="27" s="1"/>
  <c r="K295" i="27" s="1"/>
  <c r="AK9" i="27"/>
  <c r="C10" i="27"/>
  <c r="P180" i="27" s="1"/>
  <c r="R180" i="27" s="1"/>
  <c r="W10" i="27"/>
  <c r="AK10" i="27"/>
  <c r="A11" i="27"/>
  <c r="A12" i="27" s="1"/>
  <c r="A13" i="27" s="1"/>
  <c r="A14" i="27" s="1"/>
  <c r="A15" i="27" s="1"/>
  <c r="A16" i="27" s="1"/>
  <c r="A17" i="27" s="1"/>
  <c r="A18" i="27" s="1"/>
  <c r="A19" i="27" s="1"/>
  <c r="A20" i="27" s="1"/>
  <c r="A21" i="27" s="1"/>
  <c r="A22" i="27" s="1"/>
  <c r="A23" i="27" s="1"/>
  <c r="A24" i="27" s="1"/>
  <c r="A25" i="27" s="1"/>
  <c r="A26" i="27" s="1"/>
  <c r="A27" i="27" s="1"/>
  <c r="A28" i="27" s="1"/>
  <c r="A29" i="27" s="1"/>
  <c r="A30" i="27" s="1"/>
  <c r="A31" i="27" s="1"/>
  <c r="A32" i="27" s="1"/>
  <c r="A33" i="27" s="1"/>
  <c r="A34" i="27" s="1"/>
  <c r="A35" i="27" s="1"/>
  <c r="A38" i="27" s="1"/>
  <c r="A39" i="27" s="1"/>
  <c r="A40" i="27" s="1"/>
  <c r="A41" i="27" s="1"/>
  <c r="A42" i="27" s="1"/>
  <c r="A43" i="27" s="1"/>
  <c r="A44" i="27" s="1"/>
  <c r="A45" i="27" s="1"/>
  <c r="A46" i="27" s="1"/>
  <c r="A47" i="27" s="1"/>
  <c r="A48" i="27" s="1"/>
  <c r="A49" i="27" s="1"/>
  <c r="A50" i="27" s="1"/>
  <c r="A51" i="27" s="1"/>
  <c r="A52" i="27" s="1"/>
  <c r="A53" i="27" s="1"/>
  <c r="A54" i="27" s="1"/>
  <c r="A55" i="27" s="1"/>
  <c r="A56" i="27" s="1"/>
  <c r="A57" i="27" s="1"/>
  <c r="A58" i="27" s="1"/>
  <c r="A60" i="27" s="1"/>
  <c r="A61" i="27" s="1"/>
  <c r="A62" i="27" s="1"/>
  <c r="A63" i="27" s="1"/>
  <c r="A64" i="27" s="1"/>
  <c r="A65" i="27" s="1"/>
  <c r="A66" i="27" s="1"/>
  <c r="A67" i="27" s="1"/>
  <c r="A68" i="27" s="1"/>
  <c r="A69" i="27" s="1"/>
  <c r="A70" i="27" s="1"/>
  <c r="A71" i="27" s="1"/>
  <c r="A72" i="27" s="1"/>
  <c r="A73" i="27" s="1"/>
  <c r="A74" i="27" s="1"/>
  <c r="A75" i="27" s="1"/>
  <c r="A76" i="27" s="1"/>
  <c r="A77" i="27" s="1"/>
  <c r="A78" i="27" s="1"/>
  <c r="A79" i="27" s="1"/>
  <c r="A80" i="27" s="1"/>
  <c r="A81" i="27" s="1"/>
  <c r="A82" i="27" s="1"/>
  <c r="A83" i="27" s="1"/>
  <c r="A84" i="27" s="1"/>
  <c r="A85" i="27" s="1"/>
  <c r="A86" i="27" s="1"/>
  <c r="A87" i="27" s="1"/>
  <c r="A88" i="27" s="1"/>
  <c r="A89" i="27" s="1"/>
  <c r="A90" i="27" s="1"/>
  <c r="A91" i="27" s="1"/>
  <c r="A136" i="27" s="1"/>
  <c r="A137" i="27" s="1"/>
  <c r="A138" i="27" s="1"/>
  <c r="A139" i="27" s="1"/>
  <c r="A140" i="27" s="1"/>
  <c r="A141" i="27" s="1"/>
  <c r="A142" i="27" s="1"/>
  <c r="A144" i="27" s="1"/>
  <c r="A179" i="27" s="1"/>
  <c r="A180" i="27" s="1"/>
  <c r="A191" i="27" s="1"/>
  <c r="A192" i="27" s="1"/>
  <c r="A193" i="27" s="1"/>
  <c r="A194" i="27" s="1"/>
  <c r="A195" i="27" s="1"/>
  <c r="A196" i="27" s="1"/>
  <c r="A197" i="27" s="1"/>
  <c r="A198" i="27" s="1"/>
  <c r="A199" i="27" s="1"/>
  <c r="A200" i="27" s="1"/>
  <c r="A201" i="27" s="1"/>
  <c r="A202" i="27" s="1"/>
  <c r="A203" i="27" s="1"/>
  <c r="A204" i="27" s="1"/>
  <c r="A205" i="27" s="1"/>
  <c r="C11" i="27"/>
  <c r="I1895" i="27" s="1"/>
  <c r="K1895" i="27" s="1"/>
  <c r="P11" i="27"/>
  <c r="R11" i="27" s="1"/>
  <c r="X11" i="27"/>
  <c r="X12" i="27" s="1"/>
  <c r="X13" i="27" s="1"/>
  <c r="X14" i="27" s="1"/>
  <c r="X15" i="27" s="1"/>
  <c r="AK11" i="27"/>
  <c r="C12" i="27"/>
  <c r="P53" i="27" s="1"/>
  <c r="R53" i="27" s="1"/>
  <c r="W12" i="27"/>
  <c r="W36" i="27" s="1"/>
  <c r="AK12" i="27"/>
  <c r="C13" i="27"/>
  <c r="I274" i="27" s="1"/>
  <c r="K274" i="27" s="1"/>
  <c r="W13" i="27"/>
  <c r="W37" i="27" s="1"/>
  <c r="AK13" i="27"/>
  <c r="C14" i="27"/>
  <c r="D14" i="27"/>
  <c r="I1495" i="27" s="1"/>
  <c r="K1495" i="27" s="1"/>
  <c r="W14" i="27"/>
  <c r="AK14" i="27"/>
  <c r="C15" i="27"/>
  <c r="I2029" i="27" s="1"/>
  <c r="K2029" i="27" s="1"/>
  <c r="W15" i="27"/>
  <c r="AK15" i="27"/>
  <c r="C16" i="27"/>
  <c r="I2371" i="27" s="1"/>
  <c r="D16" i="27"/>
  <c r="X16" i="27"/>
  <c r="X17" i="27" s="1"/>
  <c r="Z16" i="27"/>
  <c r="AC16" i="27" s="1"/>
  <c r="I2683" i="27" s="1"/>
  <c r="K2683" i="27" s="1"/>
  <c r="AK16" i="27"/>
  <c r="C17" i="27"/>
  <c r="I1534" i="27" s="1"/>
  <c r="K1534" i="27" s="1"/>
  <c r="D17" i="27"/>
  <c r="AK17" i="27"/>
  <c r="C18" i="27"/>
  <c r="I65" i="27" s="1"/>
  <c r="K65" i="27" s="1"/>
  <c r="X18" i="27"/>
  <c r="X34" i="27" s="1"/>
  <c r="Z18" i="27"/>
  <c r="AC18" i="27" s="1"/>
  <c r="C80" i="27" s="1"/>
  <c r="AK18" i="27"/>
  <c r="W19" i="27"/>
  <c r="X19" i="27"/>
  <c r="X20" i="27" s="1"/>
  <c r="Z19" i="27"/>
  <c r="Z20" i="27"/>
  <c r="AC20" i="27" s="1"/>
  <c r="AK19" i="27"/>
  <c r="W20" i="27"/>
  <c r="AK20" i="27"/>
  <c r="X21" i="27"/>
  <c r="AC21" i="27"/>
  <c r="C83" i="27" s="1"/>
  <c r="I1285" i="27" s="1"/>
  <c r="K1285" i="27" s="1"/>
  <c r="AK21" i="27"/>
  <c r="AC22" i="27"/>
  <c r="C84" i="27"/>
  <c r="AK22" i="27"/>
  <c r="X23" i="27"/>
  <c r="Z23" i="27"/>
  <c r="AC23" i="27" s="1"/>
  <c r="C85" i="27" s="1"/>
  <c r="AK23" i="27"/>
  <c r="AC24" i="27"/>
  <c r="C86" i="27" s="1"/>
  <c r="AK24" i="27"/>
  <c r="C25" i="27"/>
  <c r="I783" i="27" s="1"/>
  <c r="K783" i="27" s="1"/>
  <c r="AC25" i="27"/>
  <c r="C87" i="27" s="1"/>
  <c r="I2166" i="27" s="1"/>
  <c r="K2166" i="27" s="1"/>
  <c r="AK25" i="27"/>
  <c r="C26" i="27"/>
  <c r="AC26" i="27"/>
  <c r="C88" i="27" s="1"/>
  <c r="I1083" i="27" s="1"/>
  <c r="AK26" i="27"/>
  <c r="C27" i="27"/>
  <c r="I1688" i="27" s="1"/>
  <c r="K1688" i="27" s="1"/>
  <c r="AC27" i="27"/>
  <c r="C89" i="27" s="1"/>
  <c r="AK27" i="27"/>
  <c r="AC28" i="27"/>
  <c r="C90" i="27" s="1"/>
  <c r="I947" i="27" s="1"/>
  <c r="K947" i="27" s="1"/>
  <c r="AK28" i="27"/>
  <c r="C29" i="27"/>
  <c r="I1184" i="27" s="1"/>
  <c r="K1184" i="27" s="1"/>
  <c r="W29" i="27"/>
  <c r="AK29" i="27"/>
  <c r="C30" i="27"/>
  <c r="D30" i="27"/>
  <c r="AC30" i="27"/>
  <c r="C136" i="27" s="1"/>
  <c r="I1168" i="27" s="1"/>
  <c r="K1168" i="27" s="1"/>
  <c r="AK30" i="27"/>
  <c r="C31" i="27"/>
  <c r="D31" i="27"/>
  <c r="I1031" i="27" s="1"/>
  <c r="K1031" i="27" s="1"/>
  <c r="AK31" i="27"/>
  <c r="D32" i="27"/>
  <c r="I1061" i="27" s="1"/>
  <c r="K1061" i="27" s="1"/>
  <c r="AC32" i="27"/>
  <c r="I2694" i="27" s="1"/>
  <c r="K2694" i="27" s="1"/>
  <c r="AK32" i="27"/>
  <c r="D33" i="27"/>
  <c r="I2172" i="27" s="1"/>
  <c r="K2172" i="27" s="1"/>
  <c r="AC33" i="27"/>
  <c r="AK33" i="27"/>
  <c r="W34" i="27"/>
  <c r="Y34" i="27"/>
  <c r="AK34" i="27"/>
  <c r="W35" i="27"/>
  <c r="AK35" i="27"/>
  <c r="AK36" i="27"/>
  <c r="AC38" i="27"/>
  <c r="C140" i="27" s="1"/>
  <c r="D40" i="27"/>
  <c r="I1490" i="27" s="1"/>
  <c r="K1490" i="27" s="1"/>
  <c r="C41" i="27"/>
  <c r="C61" i="27"/>
  <c r="I2048" i="27" s="1"/>
  <c r="K2048" i="27" s="1"/>
  <c r="D61" i="27"/>
  <c r="I95" i="27" s="1"/>
  <c r="K95" i="27" s="1"/>
  <c r="C66" i="27"/>
  <c r="I727" i="27" s="1"/>
  <c r="K727" i="27" s="1"/>
  <c r="C67" i="27"/>
  <c r="I772" i="27" s="1"/>
  <c r="K772" i="27" s="1"/>
  <c r="P69" i="27"/>
  <c r="R69" i="27" s="1"/>
  <c r="P84" i="27"/>
  <c r="R84" i="27" s="1"/>
  <c r="I140" i="27"/>
  <c r="K140" i="27" s="1"/>
  <c r="C141" i="27"/>
  <c r="I152" i="27"/>
  <c r="K152" i="27" s="1"/>
  <c r="I154" i="27"/>
  <c r="K154" i="27" s="1"/>
  <c r="K156" i="27"/>
  <c r="I184" i="27"/>
  <c r="K184" i="27" s="1"/>
  <c r="K185" i="27"/>
  <c r="P193" i="27"/>
  <c r="R193" i="27" s="1"/>
  <c r="P211" i="27"/>
  <c r="R211" i="27" s="1"/>
  <c r="I213" i="27"/>
  <c r="K213" i="27" s="1"/>
  <c r="P213" i="27"/>
  <c r="R213" i="27" s="1"/>
  <c r="P214" i="27"/>
  <c r="R214" i="27" s="1"/>
  <c r="P215" i="27"/>
  <c r="R215" i="27" s="1"/>
  <c r="P216" i="27"/>
  <c r="R216" i="27" s="1"/>
  <c r="P217" i="27"/>
  <c r="R217" i="27" s="1"/>
  <c r="P218" i="27"/>
  <c r="R218" i="27" s="1"/>
  <c r="I240" i="27"/>
  <c r="K240" i="27" s="1"/>
  <c r="K244" i="27"/>
  <c r="K255" i="27"/>
  <c r="K256" i="27"/>
  <c r="I273" i="27"/>
  <c r="K273" i="27" s="1"/>
  <c r="K282" i="27"/>
  <c r="I300" i="27"/>
  <c r="K300" i="27" s="1"/>
  <c r="H310" i="27"/>
  <c r="I315" i="27"/>
  <c r="K315" i="27" s="1"/>
  <c r="H332" i="27"/>
  <c r="F334" i="27"/>
  <c r="H334" i="27"/>
  <c r="F335" i="27"/>
  <c r="P337" i="27"/>
  <c r="R337" i="27" s="1"/>
  <c r="P338" i="27"/>
  <c r="R338" i="27" s="1"/>
  <c r="P350" i="27"/>
  <c r="R350" i="27" s="1"/>
  <c r="H352" i="27"/>
  <c r="F354" i="27"/>
  <c r="H354" i="27"/>
  <c r="F355" i="27"/>
  <c r="I358" i="27"/>
  <c r="K358" i="27" s="1"/>
  <c r="P365" i="27"/>
  <c r="R365" i="27" s="1"/>
  <c r="P366" i="27"/>
  <c r="R366" i="27" s="1"/>
  <c r="H376" i="27"/>
  <c r="F378" i="27"/>
  <c r="H378" i="27"/>
  <c r="I383" i="27"/>
  <c r="K383" i="27" s="1"/>
  <c r="H407" i="27"/>
  <c r="F409" i="27"/>
  <c r="H409" i="27"/>
  <c r="P432" i="27"/>
  <c r="R432" i="27" s="1"/>
  <c r="P438" i="27"/>
  <c r="R438" i="27" s="1"/>
  <c r="P439" i="27"/>
  <c r="R439" i="27" s="1"/>
  <c r="P440" i="27"/>
  <c r="R440" i="27" s="1"/>
  <c r="P450" i="27"/>
  <c r="R450" i="27" s="1"/>
  <c r="P451" i="27"/>
  <c r="R451" i="27" s="1"/>
  <c r="P456" i="27"/>
  <c r="R456" i="27" s="1"/>
  <c r="P457" i="27"/>
  <c r="R457" i="27" s="1"/>
  <c r="P458" i="27"/>
  <c r="R458" i="27" s="1"/>
  <c r="P469" i="27"/>
  <c r="R469" i="27" s="1"/>
  <c r="P474" i="27"/>
  <c r="R474" i="27" s="1"/>
  <c r="P475" i="27"/>
  <c r="R475" i="27" s="1"/>
  <c r="P476" i="27"/>
  <c r="R476" i="27" s="1"/>
  <c r="I484" i="27"/>
  <c r="K484" i="27" s="1"/>
  <c r="P491" i="27"/>
  <c r="R491" i="27" s="1"/>
  <c r="P493" i="27"/>
  <c r="R493" i="27" s="1"/>
  <c r="P494" i="27"/>
  <c r="R494" i="27" s="1"/>
  <c r="P495" i="27"/>
  <c r="R495" i="27" s="1"/>
  <c r="I499" i="27"/>
  <c r="K499" i="27" s="1"/>
  <c r="R499" i="27"/>
  <c r="I500" i="27"/>
  <c r="K500" i="27" s="1"/>
  <c r="P509" i="27"/>
  <c r="R509" i="27" s="1"/>
  <c r="P511" i="27"/>
  <c r="R511" i="27" s="1"/>
  <c r="P512" i="27"/>
  <c r="R512" i="27" s="1"/>
  <c r="P513" i="27"/>
  <c r="R513" i="27" s="1"/>
  <c r="P516" i="27"/>
  <c r="R516" i="27" s="1"/>
  <c r="R517" i="27"/>
  <c r="J527" i="27"/>
  <c r="J528" i="27"/>
  <c r="J529" i="27"/>
  <c r="P529" i="27"/>
  <c r="R529" i="27" s="1"/>
  <c r="J530" i="27"/>
  <c r="J531" i="27"/>
  <c r="P531" i="27"/>
  <c r="R531" i="27" s="1"/>
  <c r="P532" i="27"/>
  <c r="R532" i="27" s="1"/>
  <c r="R537" i="27"/>
  <c r="J543" i="27"/>
  <c r="J544" i="27"/>
  <c r="J545" i="27"/>
  <c r="J546" i="27"/>
  <c r="J547" i="27"/>
  <c r="P555" i="27"/>
  <c r="R555" i="27" s="1"/>
  <c r="I559" i="27"/>
  <c r="K559" i="27" s="1"/>
  <c r="P560" i="27"/>
  <c r="R560" i="27" s="1"/>
  <c r="I561" i="27"/>
  <c r="K561" i="27" s="1"/>
  <c r="P561" i="27"/>
  <c r="R561" i="27" s="1"/>
  <c r="P562" i="27"/>
  <c r="R562" i="27" s="1"/>
  <c r="J568" i="27"/>
  <c r="J569" i="27"/>
  <c r="J570" i="27"/>
  <c r="J571" i="27"/>
  <c r="J572" i="27"/>
  <c r="I575" i="27"/>
  <c r="K575" i="27" s="1"/>
  <c r="J583" i="27"/>
  <c r="J584" i="27"/>
  <c r="J585" i="27"/>
  <c r="J586" i="27"/>
  <c r="J587" i="27"/>
  <c r="I590" i="27"/>
  <c r="K590" i="27" s="1"/>
  <c r="C593" i="27"/>
  <c r="P607" i="27"/>
  <c r="R607" i="27" s="1"/>
  <c r="P620" i="27"/>
  <c r="R620" i="27" s="1"/>
  <c r="P636" i="27"/>
  <c r="R636" i="27" s="1"/>
  <c r="P637" i="27"/>
  <c r="R637" i="27" s="1"/>
  <c r="P638" i="27"/>
  <c r="R638" i="27" s="1"/>
  <c r="I643" i="27"/>
  <c r="K643" i="27" s="1"/>
  <c r="I644" i="27"/>
  <c r="K644" i="27" s="1"/>
  <c r="K645" i="27"/>
  <c r="P648" i="27"/>
  <c r="R648" i="27" s="1"/>
  <c r="R652" i="27" s="1"/>
  <c r="P658" i="27"/>
  <c r="R658" i="27" s="1"/>
  <c r="R662" i="27" s="1"/>
  <c r="I662" i="27"/>
  <c r="K662" i="27" s="1"/>
  <c r="I663" i="27"/>
  <c r="K663" i="27" s="1"/>
  <c r="K664" i="27"/>
  <c r="P668" i="27"/>
  <c r="R668" i="27" s="1"/>
  <c r="R672" i="27" s="1"/>
  <c r="P679" i="27"/>
  <c r="R679" i="27" s="1"/>
  <c r="R683" i="27" s="1"/>
  <c r="I680" i="27"/>
  <c r="K680" i="27" s="1"/>
  <c r="I681" i="27"/>
  <c r="K681" i="27" s="1"/>
  <c r="I683" i="27"/>
  <c r="K683" i="27" s="1"/>
  <c r="I689" i="27"/>
  <c r="K689" i="27" s="1"/>
  <c r="I690" i="27"/>
  <c r="K690" i="27" s="1"/>
  <c r="P690" i="27"/>
  <c r="R690" i="27" s="1"/>
  <c r="P692" i="27"/>
  <c r="R692" i="27" s="1"/>
  <c r="P693" i="27"/>
  <c r="R693" i="27" s="1"/>
  <c r="P694" i="27"/>
  <c r="R694" i="27" s="1"/>
  <c r="P695" i="27"/>
  <c r="R695" i="27" s="1"/>
  <c r="P705" i="27"/>
  <c r="R705" i="27" s="1"/>
  <c r="I706" i="27"/>
  <c r="P707" i="27"/>
  <c r="R707" i="27" s="1"/>
  <c r="I708" i="27"/>
  <c r="P708" i="27"/>
  <c r="R708" i="27" s="1"/>
  <c r="P709" i="27"/>
  <c r="R709" i="27" s="1"/>
  <c r="P710" i="27"/>
  <c r="R710" i="27" s="1"/>
  <c r="P721" i="27"/>
  <c r="R721" i="27" s="1"/>
  <c r="I722" i="27"/>
  <c r="K722" i="27" s="1"/>
  <c r="I743" i="27" s="1"/>
  <c r="K743" i="27" s="1"/>
  <c r="I723" i="27"/>
  <c r="K723" i="27" s="1"/>
  <c r="P723" i="27"/>
  <c r="R723" i="27" s="1"/>
  <c r="K724" i="27"/>
  <c r="P724" i="27"/>
  <c r="R724" i="27" s="1"/>
  <c r="I725" i="27"/>
  <c r="K725" i="27" s="1"/>
  <c r="P725" i="27"/>
  <c r="R725" i="27" s="1"/>
  <c r="P726" i="27"/>
  <c r="R726" i="27" s="1"/>
  <c r="K728" i="27"/>
  <c r="K729" i="27"/>
  <c r="R740" i="27"/>
  <c r="R745" i="27"/>
  <c r="I746" i="27"/>
  <c r="K746" i="27" s="1"/>
  <c r="I747" i="27"/>
  <c r="K747" i="27" s="1"/>
  <c r="K750" i="27"/>
  <c r="K751" i="27"/>
  <c r="K752" i="27"/>
  <c r="R753" i="27"/>
  <c r="A754" i="27"/>
  <c r="P762" i="27"/>
  <c r="R762" i="27" s="1"/>
  <c r="R769" i="27" s="1"/>
  <c r="R771" i="27" s="1"/>
  <c r="I776" i="27"/>
  <c r="K776" i="27" s="1"/>
  <c r="R779" i="27"/>
  <c r="R792" i="27" s="1"/>
  <c r="P782" i="27"/>
  <c r="R782" i="27" s="1"/>
  <c r="R783" i="27"/>
  <c r="R784" i="27"/>
  <c r="R785" i="27"/>
  <c r="R786" i="27"/>
  <c r="R788" i="27"/>
  <c r="R789" i="27"/>
  <c r="R798" i="27"/>
  <c r="R810" i="27" s="1"/>
  <c r="P801" i="27"/>
  <c r="R801" i="27" s="1"/>
  <c r="R802" i="27"/>
  <c r="R803" i="27"/>
  <c r="R804" i="27"/>
  <c r="R805" i="27"/>
  <c r="R806" i="27"/>
  <c r="R807" i="27"/>
  <c r="K817" i="27"/>
  <c r="K818" i="27"/>
  <c r="K819" i="27"/>
  <c r="K820" i="27"/>
  <c r="I821" i="27"/>
  <c r="K821" i="27" s="1"/>
  <c r="I822" i="27"/>
  <c r="K822" i="27" s="1"/>
  <c r="K823" i="27"/>
  <c r="R834" i="27"/>
  <c r="R847" i="27" s="1"/>
  <c r="K835" i="27"/>
  <c r="K836" i="27"/>
  <c r="K837" i="27"/>
  <c r="P837" i="27"/>
  <c r="R837" i="27" s="1"/>
  <c r="K838" i="27"/>
  <c r="R838" i="27"/>
  <c r="R839" i="27"/>
  <c r="R840" i="27"/>
  <c r="K841" i="27"/>
  <c r="R841" i="27"/>
  <c r="R843" i="27"/>
  <c r="R844" i="27"/>
  <c r="K853" i="27"/>
  <c r="K854" i="27"/>
  <c r="H855" i="27"/>
  <c r="K855" i="27"/>
  <c r="K856" i="27"/>
  <c r="H859" i="27"/>
  <c r="K859" i="27"/>
  <c r="R869" i="27"/>
  <c r="R870" i="27"/>
  <c r="R871" i="27"/>
  <c r="I915" i="27"/>
  <c r="K915" i="27"/>
  <c r="I916" i="27"/>
  <c r="K916" i="27"/>
  <c r="I917" i="27"/>
  <c r="K917" i="27" s="1"/>
  <c r="I918" i="27"/>
  <c r="K918" i="27" s="1"/>
  <c r="I919" i="27"/>
  <c r="K919" i="27" s="1"/>
  <c r="I920" i="27"/>
  <c r="I950" i="27"/>
  <c r="K950" i="27" s="1"/>
  <c r="I951" i="27"/>
  <c r="K951" i="27" s="1"/>
  <c r="I952" i="27"/>
  <c r="K952" i="27" s="1"/>
  <c r="I953" i="27"/>
  <c r="K953" i="27" s="1"/>
  <c r="I954" i="27"/>
  <c r="K954" i="27" s="1"/>
  <c r="I955" i="27"/>
  <c r="K955" i="27" s="1"/>
  <c r="I979" i="27"/>
  <c r="K979" i="27" s="1"/>
  <c r="I980" i="27"/>
  <c r="K980" i="27" s="1"/>
  <c r="I981" i="27"/>
  <c r="K981" i="27" s="1"/>
  <c r="I982" i="27"/>
  <c r="K982" i="27" s="1"/>
  <c r="I983" i="27"/>
  <c r="K983" i="27" s="1"/>
  <c r="I984" i="27"/>
  <c r="K984" i="27" s="1"/>
  <c r="I1013" i="27"/>
  <c r="I2524" i="27" s="1"/>
  <c r="K2524" i="27" s="1"/>
  <c r="I1015" i="27"/>
  <c r="I1016" i="27"/>
  <c r="K1016" i="27" s="1"/>
  <c r="I1017" i="27"/>
  <c r="I1018" i="27"/>
  <c r="K1018" i="27" s="1"/>
  <c r="I1019" i="27"/>
  <c r="I1020" i="27"/>
  <c r="K1020" i="27" s="1"/>
  <c r="I1030" i="27"/>
  <c r="K1030" i="27" s="1"/>
  <c r="I1032" i="27"/>
  <c r="K1032" i="27" s="1"/>
  <c r="I1033" i="27"/>
  <c r="K1033" i="27" s="1"/>
  <c r="I1034" i="27"/>
  <c r="K1034" i="27" s="1"/>
  <c r="I1035" i="27"/>
  <c r="K1035" i="27" s="1"/>
  <c r="I1045" i="27"/>
  <c r="K1045" i="27" s="1"/>
  <c r="I1047" i="27"/>
  <c r="K1047" i="27" s="1"/>
  <c r="I1048" i="27"/>
  <c r="K1048" i="27" s="1"/>
  <c r="I1049" i="27"/>
  <c r="K1049" i="27" s="1"/>
  <c r="I1050" i="27"/>
  <c r="K1050" i="27" s="1"/>
  <c r="I1060" i="27"/>
  <c r="K1060" i="27" s="1"/>
  <c r="I1062" i="27"/>
  <c r="K1062" i="27" s="1"/>
  <c r="I1063" i="27"/>
  <c r="K1063" i="27" s="1"/>
  <c r="I1064" i="27"/>
  <c r="K1064" i="27" s="1"/>
  <c r="I1085" i="27"/>
  <c r="K1086" i="27"/>
  <c r="K1088" i="27"/>
  <c r="I1089" i="27"/>
  <c r="K1089" i="27" s="1"/>
  <c r="K1090" i="27"/>
  <c r="K1091" i="27"/>
  <c r="I1101" i="27"/>
  <c r="K1101" i="27" s="1"/>
  <c r="I1102" i="27"/>
  <c r="K1102" i="27" s="1"/>
  <c r="I1114" i="27"/>
  <c r="K1114" i="27" s="1"/>
  <c r="I1115" i="27"/>
  <c r="K1115" i="27" s="1"/>
  <c r="I1131" i="27"/>
  <c r="K1131" i="27" s="1"/>
  <c r="K1132" i="27"/>
  <c r="K1133" i="27"/>
  <c r="I1146" i="27"/>
  <c r="K1146" i="27" s="1"/>
  <c r="I1181" i="27"/>
  <c r="K1181" i="27" s="1"/>
  <c r="I1182" i="27"/>
  <c r="K1182" i="27" s="1"/>
  <c r="I1183" i="27"/>
  <c r="K1183" i="27" s="1"/>
  <c r="I1185" i="27"/>
  <c r="K1185" i="27" s="1"/>
  <c r="I1198" i="27"/>
  <c r="K1198" i="27" s="1"/>
  <c r="I1204" i="27"/>
  <c r="K1204" i="27" s="1"/>
  <c r="I1205" i="27"/>
  <c r="K1205" i="27" s="1"/>
  <c r="I1206" i="27"/>
  <c r="K1206" i="27" s="1"/>
  <c r="I1209" i="27"/>
  <c r="K1209" i="27" s="1"/>
  <c r="I1219" i="27"/>
  <c r="K1219" i="27" s="1"/>
  <c r="I1220" i="27"/>
  <c r="K1220" i="27" s="1"/>
  <c r="I1239" i="27"/>
  <c r="K1239" i="27" s="1"/>
  <c r="I1257" i="27"/>
  <c r="K1257" i="27" s="1"/>
  <c r="I1271" i="27"/>
  <c r="K1271" i="27" s="1"/>
  <c r="I1288" i="27"/>
  <c r="K1288" i="27" s="1"/>
  <c r="I1292" i="27"/>
  <c r="K1292" i="27" s="1"/>
  <c r="I1307" i="27"/>
  <c r="K1307" i="27" s="1"/>
  <c r="I1310" i="27"/>
  <c r="K1310" i="27" s="1"/>
  <c r="I1327" i="27"/>
  <c r="K1327" i="27" s="1"/>
  <c r="I1340" i="27"/>
  <c r="K1340" i="27" s="1"/>
  <c r="I1352" i="27"/>
  <c r="K1352" i="27" s="1"/>
  <c r="I1368" i="27"/>
  <c r="K1368" i="27" s="1"/>
  <c r="I1424" i="27"/>
  <c r="K1424" i="27" s="1"/>
  <c r="I1436" i="27"/>
  <c r="K1436" i="27" s="1"/>
  <c r="K1448" i="27"/>
  <c r="I1450" i="27"/>
  <c r="K1450" i="27" s="1"/>
  <c r="I1463" i="27"/>
  <c r="K1463" i="27" s="1"/>
  <c r="I1465" i="27"/>
  <c r="K1465" i="27" s="1"/>
  <c r="I1478" i="27"/>
  <c r="K1478" i="27" s="1"/>
  <c r="I1479" i="27"/>
  <c r="K1479" i="27" s="1"/>
  <c r="K1493" i="27"/>
  <c r="I1494" i="27"/>
  <c r="K1494" i="27" s="1"/>
  <c r="I1505" i="27"/>
  <c r="K1505" i="27" s="1"/>
  <c r="O1506" i="27"/>
  <c r="I1507" i="27"/>
  <c r="K1507" i="27" s="1"/>
  <c r="O1507" i="27"/>
  <c r="I1508" i="27"/>
  <c r="K1508" i="27" s="1"/>
  <c r="K1509" i="27"/>
  <c r="I1518" i="27"/>
  <c r="K1518" i="27" s="1"/>
  <c r="I1521" i="27"/>
  <c r="K1521" i="27" s="1"/>
  <c r="K1522" i="27"/>
  <c r="I1533" i="27"/>
  <c r="K1533" i="27" s="1"/>
  <c r="I1545" i="27"/>
  <c r="K1545" i="27" s="1"/>
  <c r="I1557" i="27"/>
  <c r="K1557" i="27" s="1"/>
  <c r="I1558" i="27"/>
  <c r="K1558" i="27" s="1"/>
  <c r="I1559" i="27"/>
  <c r="K1559" i="27" s="1"/>
  <c r="I1560" i="27"/>
  <c r="K1560" i="27" s="1"/>
  <c r="I1561" i="27"/>
  <c r="K1561" i="27" s="1"/>
  <c r="I1579" i="27"/>
  <c r="K1579" i="27" s="1"/>
  <c r="K1597" i="27"/>
  <c r="K1598" i="27"/>
  <c r="K1609" i="27"/>
  <c r="K1613" i="27" s="1"/>
  <c r="K1618" i="27"/>
  <c r="K1621" i="27" s="1"/>
  <c r="K1625" i="27"/>
  <c r="K1628" i="27" s="1"/>
  <c r="I1638" i="27"/>
  <c r="K1638" i="27" s="1"/>
  <c r="I1640" i="27"/>
  <c r="K1640" i="27" s="1"/>
  <c r="K1652" i="27"/>
  <c r="K1653" i="27"/>
  <c r="K1654" i="27"/>
  <c r="K1682" i="27"/>
  <c r="K1685" i="27"/>
  <c r="K1686" i="27"/>
  <c r="K1687" i="27"/>
  <c r="K1699" i="27"/>
  <c r="K1700" i="27"/>
  <c r="K1701" i="27"/>
  <c r="K1713" i="27"/>
  <c r="K1714" i="27"/>
  <c r="I1715" i="27"/>
  <c r="K1715" i="27" s="1"/>
  <c r="K1716" i="27"/>
  <c r="K1717" i="27"/>
  <c r="K1724" i="27"/>
  <c r="K1727" i="27"/>
  <c r="I1735" i="27"/>
  <c r="K1735" i="27" s="1"/>
  <c r="I1737" i="27"/>
  <c r="I1738" i="27"/>
  <c r="K1738" i="27" s="1"/>
  <c r="I1739" i="27"/>
  <c r="K1739" i="27" s="1"/>
  <c r="I1742" i="27"/>
  <c r="K1742" i="27" s="1"/>
  <c r="I1753" i="27"/>
  <c r="K1753" i="27" s="1"/>
  <c r="I1755" i="27"/>
  <c r="K1755" i="27" s="1"/>
  <c r="I1756" i="27"/>
  <c r="K1756" i="27" s="1"/>
  <c r="I1758" i="27"/>
  <c r="K1758" i="27" s="1"/>
  <c r="I1760" i="27"/>
  <c r="K1760" i="27" s="1"/>
  <c r="I1771" i="27"/>
  <c r="K1771" i="27" s="1"/>
  <c r="I1773" i="27"/>
  <c r="K1773" i="27" s="1"/>
  <c r="I1774" i="27"/>
  <c r="K1774" i="27" s="1"/>
  <c r="I1775" i="27"/>
  <c r="K1775" i="27" s="1"/>
  <c r="I1778" i="27"/>
  <c r="K1778" i="27" s="1"/>
  <c r="I1801" i="27"/>
  <c r="I1809" i="27"/>
  <c r="I1817" i="27"/>
  <c r="I1829" i="27"/>
  <c r="K1829" i="27" s="1"/>
  <c r="I1844" i="27"/>
  <c r="K1844" i="27" s="1"/>
  <c r="I1858" i="27"/>
  <c r="K1858" i="27" s="1"/>
  <c r="I1890" i="27"/>
  <c r="K1890" i="27" s="1"/>
  <c r="I1896" i="27"/>
  <c r="K1896" i="27" s="1"/>
  <c r="I1908" i="27"/>
  <c r="K1908" i="27" s="1"/>
  <c r="I1916" i="27"/>
  <c r="K1916" i="27" s="1"/>
  <c r="I1928" i="27"/>
  <c r="K1928" i="27" s="1"/>
  <c r="I1932" i="27"/>
  <c r="K1932" i="27" s="1"/>
  <c r="I1947" i="27"/>
  <c r="K1947" i="27" s="1"/>
  <c r="I1950" i="27"/>
  <c r="K1950" i="27" s="1"/>
  <c r="I1951" i="27"/>
  <c r="K1951" i="27" s="1"/>
  <c r="I1972" i="27"/>
  <c r="K1972" i="27" s="1"/>
  <c r="I1973" i="27"/>
  <c r="K1973" i="27" s="1"/>
  <c r="I1974" i="27"/>
  <c r="K1974" i="27" s="1"/>
  <c r="I1975" i="27"/>
  <c r="K1975" i="27" s="1"/>
  <c r="I1996" i="27"/>
  <c r="K1996" i="27" s="1"/>
  <c r="I1997" i="27"/>
  <c r="K1997" i="27" s="1"/>
  <c r="I1998" i="27"/>
  <c r="K1998" i="27" s="1"/>
  <c r="I1999" i="27"/>
  <c r="K1999" i="27" s="1"/>
  <c r="K2016" i="27"/>
  <c r="K2017" i="27"/>
  <c r="K2018" i="27"/>
  <c r="I2027" i="27"/>
  <c r="K2027" i="27" s="1"/>
  <c r="I2031" i="27"/>
  <c r="K2031" i="27" s="1"/>
  <c r="I2039" i="27"/>
  <c r="K2039" i="27" s="1"/>
  <c r="K2042" i="27" s="1"/>
  <c r="I2047" i="27"/>
  <c r="K2047" i="27" s="1"/>
  <c r="I2052" i="27"/>
  <c r="K2052" i="27" s="1"/>
  <c r="I2054" i="27"/>
  <c r="K2054" i="27" s="1"/>
  <c r="I2055" i="27"/>
  <c r="K2055" i="27" s="1"/>
  <c r="I2056" i="27"/>
  <c r="K2056" i="27" s="1"/>
  <c r="I2067" i="27"/>
  <c r="K2067" i="27" s="1"/>
  <c r="I2069" i="27"/>
  <c r="K2069" i="27" s="1"/>
  <c r="I2072" i="27"/>
  <c r="K2072" i="27" s="1"/>
  <c r="I2073" i="27"/>
  <c r="K2073" i="27" s="1"/>
  <c r="I2074" i="27"/>
  <c r="K2074" i="27" s="1"/>
  <c r="I2076" i="27"/>
  <c r="K2076" i="27" s="1"/>
  <c r="I2086" i="27"/>
  <c r="K2086" i="27" s="1"/>
  <c r="I2087" i="27"/>
  <c r="K2087" i="27" s="1"/>
  <c r="H2097" i="27"/>
  <c r="I2099" i="27"/>
  <c r="K2099" i="27" s="1"/>
  <c r="I2100" i="27"/>
  <c r="K2100" i="27" s="1"/>
  <c r="I2112" i="27"/>
  <c r="K2112" i="27" s="1"/>
  <c r="K2116" i="27" s="1"/>
  <c r="I2125" i="27"/>
  <c r="K2125" i="27" s="1"/>
  <c r="K2129" i="27" s="1"/>
  <c r="I2135" i="27"/>
  <c r="K2135" i="27" s="1"/>
  <c r="K2139" i="27" s="1"/>
  <c r="I2144" i="27"/>
  <c r="K2144" i="27" s="1"/>
  <c r="K2148" i="27" s="1"/>
  <c r="I2167" i="27"/>
  <c r="K2167" i="27" s="1"/>
  <c r="I2168" i="27"/>
  <c r="K2168" i="27" s="1"/>
  <c r="I2169" i="27"/>
  <c r="K2169" i="27" s="1"/>
  <c r="I2170" i="27"/>
  <c r="K2170" i="27" s="1"/>
  <c r="K2171" i="27"/>
  <c r="K2218" i="27"/>
  <c r="I2219" i="27"/>
  <c r="K2219" i="27" s="1"/>
  <c r="I2220" i="27"/>
  <c r="K2220" i="27" s="1"/>
  <c r="I2221" i="27"/>
  <c r="K2221" i="27" s="1"/>
  <c r="I2222" i="27"/>
  <c r="K2222" i="27" s="1"/>
  <c r="K2232" i="27"/>
  <c r="K2233" i="27"/>
  <c r="K2234" i="27"/>
  <c r="K2235" i="27"/>
  <c r="I2236" i="27"/>
  <c r="K2236" i="27" s="1"/>
  <c r="I2237" i="27"/>
  <c r="K2237" i="27" s="1"/>
  <c r="K2263" i="27"/>
  <c r="K2265" i="27"/>
  <c r="K2266" i="27"/>
  <c r="K2267" i="27"/>
  <c r="K2268" i="27"/>
  <c r="I2308" i="27"/>
  <c r="K2308" i="27" s="1"/>
  <c r="K2309" i="27"/>
  <c r="K2310" i="27"/>
  <c r="K2321" i="27"/>
  <c r="K2322" i="27"/>
  <c r="K2323" i="27"/>
  <c r="K2324" i="27"/>
  <c r="K2325" i="27"/>
  <c r="K2326" i="27"/>
  <c r="I2328" i="27"/>
  <c r="K2328" i="27" s="1"/>
  <c r="K2363" i="27"/>
  <c r="I2368" i="27"/>
  <c r="K2368" i="27" s="1"/>
  <c r="I2369" i="27"/>
  <c r="K2370" i="27"/>
  <c r="K2375" i="27"/>
  <c r="I2424" i="27"/>
  <c r="K2424" i="27" s="1"/>
  <c r="K2426" i="27"/>
  <c r="I2427" i="27"/>
  <c r="I2441" i="27" s="1"/>
  <c r="K2441" i="27" s="1"/>
  <c r="K2430" i="27"/>
  <c r="K2431" i="27"/>
  <c r="I2467" i="27"/>
  <c r="K2467" i="27" s="1"/>
  <c r="K2469" i="27"/>
  <c r="K2470" i="27"/>
  <c r="K2490" i="27"/>
  <c r="K2493" i="27" s="1"/>
  <c r="K2497" i="27"/>
  <c r="K2498" i="27"/>
  <c r="K2505" i="27"/>
  <c r="K2506" i="27"/>
  <c r="K2507" i="27"/>
  <c r="I2527" i="27"/>
  <c r="K2527" i="27" s="1"/>
  <c r="K2557" i="27"/>
  <c r="I2559" i="27"/>
  <c r="I2560" i="27"/>
  <c r="I2561" i="27"/>
  <c r="I2592" i="27" s="1"/>
  <c r="K2592" i="27" s="1"/>
  <c r="K2604" i="27"/>
  <c r="K2626" i="27"/>
  <c r="K2633" i="27"/>
  <c r="K2634" i="27"/>
  <c r="K2635" i="27"/>
  <c r="K2636" i="27"/>
  <c r="K2637" i="27"/>
  <c r="K2638" i="27"/>
  <c r="K2639" i="27"/>
  <c r="K2640" i="27"/>
  <c r="I2665" i="27"/>
  <c r="K2665" i="27" s="1"/>
  <c r="I2667" i="27"/>
  <c r="K2667" i="27" s="1"/>
  <c r="I2668" i="27"/>
  <c r="K2668" i="27" s="1"/>
  <c r="I2669" i="27"/>
  <c r="K2669" i="27" s="1"/>
  <c r="I2670" i="27"/>
  <c r="K2670" i="27" s="1"/>
  <c r="K2680" i="27"/>
  <c r="K2700" i="27"/>
  <c r="K2701" i="27"/>
  <c r="K2707" i="27"/>
  <c r="K2708" i="27"/>
  <c r="K2715" i="27"/>
  <c r="K2716" i="27"/>
  <c r="K2723" i="27"/>
  <c r="K2724" i="27"/>
  <c r="K2725" i="27"/>
  <c r="K2732" i="27"/>
  <c r="K2733" i="27"/>
  <c r="K2734" i="27"/>
  <c r="K2735" i="27"/>
  <c r="K2743" i="27"/>
  <c r="K2744" i="27"/>
  <c r="K2752" i="27"/>
  <c r="K2753" i="27"/>
  <c r="K2754" i="27"/>
  <c r="K2755" i="27"/>
  <c r="K2756" i="27"/>
  <c r="K2757" i="27"/>
  <c r="K2783" i="27"/>
  <c r="K2784" i="27"/>
  <c r="K2785" i="27"/>
  <c r="K2786" i="27"/>
  <c r="K2787" i="27"/>
  <c r="K2788" i="27"/>
  <c r="I2790" i="27"/>
  <c r="K2790" i="27" s="1"/>
  <c r="K2798" i="27"/>
  <c r="K2799" i="27"/>
  <c r="K2807" i="27"/>
  <c r="K2808" i="27"/>
  <c r="K2815" i="27"/>
  <c r="K2816" i="27"/>
  <c r="K2817" i="27"/>
  <c r="K2818" i="27"/>
  <c r="K2825" i="27"/>
  <c r="K2826" i="27"/>
  <c r="K2827" i="27"/>
  <c r="I2843" i="27"/>
  <c r="I2844" i="27"/>
  <c r="I3796" i="27" s="1"/>
  <c r="I2845" i="27"/>
  <c r="I2997" i="27" s="1"/>
  <c r="K2997" i="27" s="1"/>
  <c r="K2847" i="27"/>
  <c r="R2848" i="27"/>
  <c r="I2849" i="27"/>
  <c r="I2913" i="27" s="1"/>
  <c r="K2913" i="27" s="1"/>
  <c r="I2850" i="27"/>
  <c r="I3001" i="27" s="1"/>
  <c r="K3001" i="27" s="1"/>
  <c r="I2851" i="27"/>
  <c r="I3002" i="27" s="1"/>
  <c r="K3002" i="27" s="1"/>
  <c r="K3019" i="27" s="1"/>
  <c r="I2852" i="27"/>
  <c r="I2854" i="27"/>
  <c r="R2855" i="27"/>
  <c r="R2856" i="27"/>
  <c r="L2860" i="27"/>
  <c r="R2860" i="27"/>
  <c r="T2863" i="27"/>
  <c r="I2866" i="27"/>
  <c r="I3824" i="27" s="1"/>
  <c r="K3824" i="27" s="1"/>
  <c r="I2867" i="27"/>
  <c r="I2868" i="27"/>
  <c r="K2868" i="27" s="1"/>
  <c r="I2869" i="27"/>
  <c r="I3506" i="27" s="1"/>
  <c r="I3625" i="27" s="1"/>
  <c r="I2870" i="27"/>
  <c r="I2871" i="27"/>
  <c r="K2871" i="27" s="1"/>
  <c r="P2881" i="27"/>
  <c r="R2881" i="27" s="1"/>
  <c r="L2884" i="27"/>
  <c r="P2888" i="27"/>
  <c r="R2888" i="27" s="1"/>
  <c r="R2889" i="27"/>
  <c r="K2895" i="27"/>
  <c r="K2896" i="27"/>
  <c r="S2896" i="27"/>
  <c r="L2899" i="27"/>
  <c r="H2905" i="27"/>
  <c r="H2909" i="27"/>
  <c r="H2937" i="27" s="1"/>
  <c r="H2910" i="27"/>
  <c r="H2936" i="27" s="1"/>
  <c r="H2911" i="27"/>
  <c r="K2912" i="27"/>
  <c r="L2921" i="27"/>
  <c r="I2923" i="27"/>
  <c r="K2925" i="27" s="1"/>
  <c r="I2935" i="27"/>
  <c r="I3053" i="27" s="1"/>
  <c r="M2935" i="27"/>
  <c r="L2945" i="27"/>
  <c r="I2957" i="27"/>
  <c r="I3910" i="27" s="1"/>
  <c r="L2957" i="27"/>
  <c r="M2957" i="27" s="1"/>
  <c r="N2957" i="27" s="1"/>
  <c r="L2965" i="27"/>
  <c r="I2984" i="27"/>
  <c r="K2984" i="27" s="1"/>
  <c r="I2999" i="27"/>
  <c r="K2999" i="27" s="1"/>
  <c r="I3035" i="27"/>
  <c r="K3035" i="27" s="1"/>
  <c r="L3044" i="27"/>
  <c r="L3063" i="27"/>
  <c r="R3071" i="27"/>
  <c r="K3078" i="27"/>
  <c r="L3080" i="27"/>
  <c r="K3088" i="27"/>
  <c r="K3090" i="27"/>
  <c r="L3092" i="27"/>
  <c r="K3098" i="27"/>
  <c r="I3101" i="27"/>
  <c r="L3105" i="27"/>
  <c r="I3112" i="27"/>
  <c r="K3112" i="27" s="1"/>
  <c r="P3112" i="27"/>
  <c r="R3112" i="27" s="1"/>
  <c r="K3113" i="27"/>
  <c r="P3113" i="27"/>
  <c r="R3113" i="27" s="1"/>
  <c r="S3118" i="27"/>
  <c r="L3119" i="27"/>
  <c r="R3126" i="27"/>
  <c r="K3132" i="27"/>
  <c r="K3150" i="27"/>
  <c r="K3151" i="27"/>
  <c r="K3169" i="27"/>
  <c r="I3170" i="27"/>
  <c r="I3181" i="27" s="1"/>
  <c r="K3181" i="27" s="1"/>
  <c r="K3180" i="27"/>
  <c r="K3182" i="27"/>
  <c r="K3191" i="27"/>
  <c r="K3192" i="27"/>
  <c r="K3206" i="27"/>
  <c r="I3207" i="27"/>
  <c r="K3207" i="27" s="1"/>
  <c r="K3217" i="27"/>
  <c r="K3219" i="27"/>
  <c r="J3222" i="27"/>
  <c r="M3222" i="27"/>
  <c r="N3222" i="27"/>
  <c r="I3222" i="27" s="1"/>
  <c r="I3335" i="27" s="1"/>
  <c r="K3230" i="27"/>
  <c r="I3231" i="27"/>
  <c r="K3231" i="27" s="1"/>
  <c r="K3232" i="27"/>
  <c r="K3240" i="27"/>
  <c r="K3241" i="27"/>
  <c r="K3257" i="27"/>
  <c r="I3258" i="27"/>
  <c r="K3258" i="27" s="1"/>
  <c r="I3259" i="27"/>
  <c r="K3289" i="27"/>
  <c r="K3290" i="27"/>
  <c r="I3306" i="27"/>
  <c r="K3306" i="27" s="1"/>
  <c r="I3307" i="27"/>
  <c r="K3307" i="27" s="1"/>
  <c r="I3308" i="27"/>
  <c r="K3308" i="27" s="1"/>
  <c r="I3309" i="27"/>
  <c r="K3309" i="27" s="1"/>
  <c r="I3310" i="27"/>
  <c r="I3311" i="27"/>
  <c r="I3312" i="27"/>
  <c r="K3312" i="27" s="1"/>
  <c r="I3313" i="27"/>
  <c r="K3313" i="27" s="1"/>
  <c r="I3314" i="27"/>
  <c r="K3314" i="27" s="1"/>
  <c r="I3315" i="27"/>
  <c r="K3315" i="27" s="1"/>
  <c r="I3316" i="27"/>
  <c r="K3316" i="27" s="1"/>
  <c r="K3331" i="27"/>
  <c r="K3345" i="27"/>
  <c r="H3354" i="27"/>
  <c r="I3354" i="27"/>
  <c r="J3368" i="27"/>
  <c r="K3376" i="27"/>
  <c r="H3384" i="27"/>
  <c r="I3384" i="27"/>
  <c r="K3384" i="27" s="1"/>
  <c r="I3389" i="27"/>
  <c r="K3389" i="27" s="1"/>
  <c r="I3464" i="27" s="1"/>
  <c r="K3464" i="27" s="1"/>
  <c r="L3399" i="27"/>
  <c r="M3399" i="27" s="1"/>
  <c r="N3399" i="27" s="1"/>
  <c r="O3399" i="27" s="1"/>
  <c r="L3418" i="27"/>
  <c r="K3436" i="27"/>
  <c r="K3438" i="27"/>
  <c r="I3454" i="27"/>
  <c r="K3454" i="27" s="1"/>
  <c r="H3455" i="27"/>
  <c r="I3455" i="27"/>
  <c r="I3465" i="27" s="1"/>
  <c r="K3465" i="27" s="1"/>
  <c r="H3464" i="27"/>
  <c r="H3465" i="27"/>
  <c r="I3478" i="27"/>
  <c r="K3478" i="27" s="1"/>
  <c r="K3480" i="27"/>
  <c r="K3495" i="27"/>
  <c r="P3495" i="27"/>
  <c r="R3495" i="27" s="1"/>
  <c r="I3496" i="27"/>
  <c r="P3496" i="27" s="1"/>
  <c r="R3496" i="27" s="1"/>
  <c r="I3497" i="27"/>
  <c r="R3501" i="27"/>
  <c r="K3513" i="27"/>
  <c r="K3514" i="27"/>
  <c r="K3521" i="27"/>
  <c r="K3524" i="27" s="1"/>
  <c r="L3524" i="27" s="1"/>
  <c r="K3523" i="27"/>
  <c r="I3533" i="27"/>
  <c r="K3533" i="27" s="1"/>
  <c r="H3545" i="27"/>
  <c r="I3545" i="27"/>
  <c r="K3545" i="27" s="1"/>
  <c r="K3547" i="27" s="1"/>
  <c r="H3553" i="27"/>
  <c r="I3553" i="27"/>
  <c r="K3553" i="27" s="1"/>
  <c r="K3556" i="27" s="1"/>
  <c r="K3561" i="27"/>
  <c r="O3561" i="27"/>
  <c r="K3562" i="27"/>
  <c r="I3563" i="27"/>
  <c r="K3563" i="27" s="1"/>
  <c r="H3578" i="27"/>
  <c r="I3578" i="27"/>
  <c r="K3578" i="27" s="1"/>
  <c r="H3579" i="27"/>
  <c r="I3579" i="27"/>
  <c r="K3579" i="27" s="1"/>
  <c r="H3580" i="27"/>
  <c r="I3580" i="27"/>
  <c r="K3580" i="27" s="1"/>
  <c r="I3605" i="27"/>
  <c r="J3605" i="27"/>
  <c r="K3605" i="27"/>
  <c r="L3605" i="27"/>
  <c r="H3612" i="27"/>
  <c r="I3612" i="27"/>
  <c r="K3612" i="27" s="1"/>
  <c r="K3613" i="27"/>
  <c r="R3613" i="27"/>
  <c r="P3614" i="27"/>
  <c r="R3614" i="27" s="1"/>
  <c r="K3618" i="27"/>
  <c r="R3623" i="27"/>
  <c r="R3624" i="27"/>
  <c r="R3625" i="27"/>
  <c r="R3626" i="27"/>
  <c r="H3634" i="27"/>
  <c r="I3634" i="27"/>
  <c r="K3634" i="27" s="1"/>
  <c r="H3635" i="27"/>
  <c r="R3635" i="27"/>
  <c r="K3637" i="27"/>
  <c r="H3643" i="27"/>
  <c r="I3644" i="27"/>
  <c r="K3644" i="27" s="1"/>
  <c r="K3649" i="27"/>
  <c r="I3667" i="27"/>
  <c r="K3667" i="27" s="1"/>
  <c r="H3670" i="27"/>
  <c r="I3670" i="27"/>
  <c r="K3670" i="27" s="1"/>
  <c r="K3671" i="27"/>
  <c r="K3672" i="27"/>
  <c r="D3674" i="27"/>
  <c r="K3675" i="27"/>
  <c r="L3689" i="27"/>
  <c r="H3694" i="27"/>
  <c r="I3694" i="27"/>
  <c r="K3694" i="27" s="1"/>
  <c r="H3699" i="27"/>
  <c r="H3708" i="27"/>
  <c r="I3710" i="27"/>
  <c r="K3710" i="27" s="1"/>
  <c r="H3719" i="27"/>
  <c r="K3720" i="27"/>
  <c r="I3721" i="27"/>
  <c r="K3721" i="27" s="1"/>
  <c r="I3722" i="27"/>
  <c r="K3722" i="27" s="1"/>
  <c r="L3724" i="27"/>
  <c r="K3739" i="27"/>
  <c r="K3740" i="27"/>
  <c r="K3757" i="27"/>
  <c r="I3758" i="27"/>
  <c r="K3758" i="27" s="1"/>
  <c r="K3759" i="27"/>
  <c r="H3765" i="27"/>
  <c r="I3765" i="27"/>
  <c r="K3765" i="27" s="1"/>
  <c r="I3766" i="27"/>
  <c r="K3766" i="27" s="1"/>
  <c r="H3770" i="27"/>
  <c r="I3770" i="27"/>
  <c r="K3770" i="27" s="1"/>
  <c r="R3770" i="27"/>
  <c r="I3771" i="27"/>
  <c r="K3771" i="27" s="1"/>
  <c r="R3771" i="27"/>
  <c r="H3777" i="27"/>
  <c r="I3777" i="27"/>
  <c r="K3777" i="27" s="1"/>
  <c r="R3777" i="27"/>
  <c r="H3778" i="27"/>
  <c r="O3778" i="27"/>
  <c r="P3778" i="27"/>
  <c r="R3778" i="27" s="1"/>
  <c r="K3798" i="27"/>
  <c r="K3800" i="27"/>
  <c r="K3804" i="27"/>
  <c r="K3805" i="27"/>
  <c r="I3806" i="27"/>
  <c r="K3807" i="27"/>
  <c r="K3873" i="27" s="1"/>
  <c r="K3808" i="27"/>
  <c r="K3811" i="27"/>
  <c r="K3813" i="27"/>
  <c r="K3838" i="27"/>
  <c r="K3852" i="27"/>
  <c r="N3852" i="27"/>
  <c r="K3853" i="27"/>
  <c r="K3854" i="27"/>
  <c r="N3856" i="27"/>
  <c r="K3875" i="27"/>
  <c r="K3876" i="27"/>
  <c r="K3890" i="27"/>
  <c r="I3893" i="27"/>
  <c r="M3893" i="27"/>
  <c r="K3894" i="27"/>
  <c r="H3911" i="27"/>
  <c r="L3918" i="27"/>
  <c r="I3935" i="27"/>
  <c r="K3935" i="27" s="1"/>
  <c r="I3949" i="27"/>
  <c r="K3949" i="27" s="1"/>
  <c r="A9" i="32"/>
  <c r="A10" i="32" s="1"/>
  <c r="F10" i="32" s="1"/>
  <c r="F11" i="32"/>
  <c r="F15" i="32"/>
  <c r="A24" i="32"/>
  <c r="A25" i="32" s="1"/>
  <c r="I25" i="32"/>
  <c r="I26" i="32"/>
  <c r="I27" i="32"/>
  <c r="M31" i="32"/>
  <c r="G32" i="32"/>
  <c r="E33" i="32"/>
  <c r="D197" i="32" s="1"/>
  <c r="A45" i="32"/>
  <c r="D50" i="32"/>
  <c r="D113" i="32" s="1"/>
  <c r="A73" i="32"/>
  <c r="A74" i="32" s="1"/>
  <c r="F74" i="32" s="1"/>
  <c r="F75" i="32"/>
  <c r="F79" i="32"/>
  <c r="G86" i="32"/>
  <c r="A88" i="32" s="1"/>
  <c r="A89" i="32" s="1"/>
  <c r="A90" i="32" s="1"/>
  <c r="E88" i="32"/>
  <c r="E89" i="32"/>
  <c r="E90" i="32"/>
  <c r="E97" i="32" s="1"/>
  <c r="E96" i="32"/>
  <c r="G96" i="32" s="1"/>
  <c r="G131" i="32"/>
  <c r="A133" i="32" s="1"/>
  <c r="A134" i="32" s="1"/>
  <c r="F134" i="32" s="1"/>
  <c r="F135" i="32"/>
  <c r="F139" i="32"/>
  <c r="G146" i="32"/>
  <c r="A148" i="32" s="1"/>
  <c r="E148" i="32"/>
  <c r="C62" i="55"/>
  <c r="C292" i="55"/>
  <c r="T292" i="55" s="1"/>
  <c r="C307" i="55"/>
  <c r="C322" i="55"/>
  <c r="C382" i="55"/>
  <c r="T382" i="55" s="1"/>
  <c r="C383" i="55"/>
  <c r="T383" i="55" s="1"/>
  <c r="C384" i="55"/>
  <c r="T384" i="55" s="1"/>
  <c r="C385" i="55"/>
  <c r="T385" i="55" s="1"/>
  <c r="C427" i="55"/>
  <c r="T427" i="55" s="1"/>
  <c r="C428" i="55"/>
  <c r="T428" i="55" s="1"/>
  <c r="C430" i="55"/>
  <c r="J440" i="55"/>
  <c r="C494" i="55"/>
  <c r="T494" i="55" s="1"/>
  <c r="C629" i="55"/>
  <c r="T629" i="55" s="1"/>
  <c r="C636" i="55"/>
  <c r="C673" i="55"/>
  <c r="C678" i="55"/>
  <c r="T678" i="55" s="1"/>
  <c r="B717" i="55"/>
  <c r="B723" i="55"/>
  <c r="B724" i="55"/>
  <c r="A746" i="55"/>
  <c r="B832" i="55"/>
  <c r="D927" i="55"/>
  <c r="D928" i="55" s="1"/>
  <c r="C1024" i="55"/>
  <c r="P1024" i="55" s="1"/>
  <c r="B1025" i="55"/>
  <c r="C1070" i="55"/>
  <c r="C1071" i="55"/>
  <c r="A24" i="50"/>
  <c r="I25" i="50"/>
  <c r="I26" i="50"/>
  <c r="I27" i="50"/>
  <c r="M31" i="50"/>
  <c r="G32" i="50"/>
  <c r="G33" i="50"/>
  <c r="D49" i="50"/>
  <c r="D112" i="50" s="1"/>
  <c r="D50" i="50"/>
  <c r="D113" i="50" s="1"/>
  <c r="A73" i="50"/>
  <c r="A74" i="50" s="1"/>
  <c r="F74" i="50" s="1"/>
  <c r="F75" i="50"/>
  <c r="F79" i="50"/>
  <c r="G86" i="50"/>
  <c r="A88" i="50" s="1"/>
  <c r="A89" i="50" s="1"/>
  <c r="A90" i="50" s="1"/>
  <c r="F90" i="50" s="1"/>
  <c r="G96" i="50"/>
  <c r="E97" i="50"/>
  <c r="G97" i="50" s="1"/>
  <c r="D115" i="50"/>
  <c r="D116" i="50"/>
  <c r="G131" i="50"/>
  <c r="A133" i="50" s="1"/>
  <c r="A134" i="50" s="1"/>
  <c r="F134" i="50" s="1"/>
  <c r="F135" i="50"/>
  <c r="F139" i="50"/>
  <c r="G146" i="50"/>
  <c r="A148" i="50" s="1"/>
  <c r="A149" i="50" s="1"/>
  <c r="A150" i="50" s="1"/>
  <c r="E150" i="50"/>
  <c r="E156" i="50"/>
  <c r="G156" i="50" s="1"/>
  <c r="I3719" i="27"/>
  <c r="K3719" i="27" s="1"/>
  <c r="C1069" i="55"/>
  <c r="C1067" i="55"/>
  <c r="A149" i="32"/>
  <c r="A150" i="32" s="1"/>
  <c r="I3534" i="27"/>
  <c r="K3534" i="27" s="1"/>
  <c r="K3170" i="27"/>
  <c r="K132" i="27"/>
  <c r="K133" i="27" s="1"/>
  <c r="P3127" i="27"/>
  <c r="R3127" i="27" s="1"/>
  <c r="I1831" i="27"/>
  <c r="K1831" i="27" s="1"/>
  <c r="P24" i="27"/>
  <c r="R24" i="27" s="1"/>
  <c r="I11" i="27"/>
  <c r="K11" i="27" s="1"/>
  <c r="I74" i="27"/>
  <c r="K74" i="27" s="1"/>
  <c r="I55" i="27"/>
  <c r="K55" i="27" s="1"/>
  <c r="I53" i="27"/>
  <c r="K53" i="27" s="1"/>
  <c r="I37" i="27"/>
  <c r="K37" i="27" s="1"/>
  <c r="I29" i="27"/>
  <c r="K29" i="27" s="1"/>
  <c r="I20" i="27"/>
  <c r="K20" i="27" s="1"/>
  <c r="I18" i="27"/>
  <c r="K18" i="27" s="1"/>
  <c r="I155" i="27"/>
  <c r="K155" i="27" s="1"/>
  <c r="I40" i="25"/>
  <c r="D305" i="25"/>
  <c r="F305" i="25" s="1"/>
  <c r="C1040" i="55"/>
  <c r="C1065" i="55"/>
  <c r="D554" i="25"/>
  <c r="F554" i="25" s="1"/>
  <c r="C1064" i="55"/>
  <c r="C1068" i="55"/>
  <c r="C1066" i="55"/>
  <c r="C1076" i="55"/>
  <c r="C1072" i="55"/>
  <c r="C1077" i="55"/>
  <c r="C1078" i="55"/>
  <c r="C1073" i="55"/>
  <c r="C837" i="55"/>
  <c r="T837" i="55" s="1"/>
  <c r="C839" i="55"/>
  <c r="T839" i="55" s="1"/>
  <c r="C914" i="55"/>
  <c r="T914" i="55" s="1"/>
  <c r="I42" i="25"/>
  <c r="C769" i="55"/>
  <c r="T769" i="55" s="1"/>
  <c r="C773" i="55"/>
  <c r="T773" i="55" s="1"/>
  <c r="C775" i="55"/>
  <c r="T775" i="55" s="1"/>
  <c r="C774" i="55"/>
  <c r="T774" i="55" s="1"/>
  <c r="K2957" i="27"/>
  <c r="P2851" i="27"/>
  <c r="P2884" i="27" s="1"/>
  <c r="R2884" i="27" s="1"/>
  <c r="I2846" i="27"/>
  <c r="P2850" i="27" s="1"/>
  <c r="R2850" i="27" s="1"/>
  <c r="I2956" i="27"/>
  <c r="I2959" i="27" s="1"/>
  <c r="I3801" i="27"/>
  <c r="K2849" i="27"/>
  <c r="I3000" i="27"/>
  <c r="K3000" i="27" s="1"/>
  <c r="I3922" i="27"/>
  <c r="K3922" i="27" s="1"/>
  <c r="I2906" i="27"/>
  <c r="K2844" i="27"/>
  <c r="C1075" i="55"/>
  <c r="C1029" i="55"/>
  <c r="P1029" i="55" s="1"/>
  <c r="C1027" i="55"/>
  <c r="P1027" i="55" s="1"/>
  <c r="C1036" i="55"/>
  <c r="C1035" i="55"/>
  <c r="C1034" i="55"/>
  <c r="C549" i="55"/>
  <c r="T549" i="55" s="1"/>
  <c r="I3248" i="27"/>
  <c r="I3139" i="27"/>
  <c r="K3139" i="27" s="1"/>
  <c r="I3826" i="27"/>
  <c r="K3826" i="27" s="1"/>
  <c r="I2911" i="27"/>
  <c r="I3034" i="27" s="1"/>
  <c r="K3034" i="27" s="1"/>
  <c r="K2850" i="27"/>
  <c r="K2893" i="27" s="1"/>
  <c r="K3851" i="27" s="1"/>
  <c r="I2974" i="27"/>
  <c r="K2974" i="27" s="1"/>
  <c r="P2872" i="27"/>
  <c r="R2872" i="27" s="1"/>
  <c r="I3352" i="27"/>
  <c r="K3352" i="27" s="1"/>
  <c r="I2910" i="27"/>
  <c r="I2936" i="27" s="1"/>
  <c r="I2996" i="27"/>
  <c r="K2996" i="27" s="1"/>
  <c r="I3505" i="27"/>
  <c r="I3624" i="27" s="1"/>
  <c r="I2760" i="27"/>
  <c r="K2760" i="27" s="1"/>
  <c r="I3923" i="27"/>
  <c r="K3923" i="27" s="1"/>
  <c r="I3353" i="27"/>
  <c r="I3407" i="27" s="1"/>
  <c r="I3140" i="27"/>
  <c r="K3140" i="27" s="1"/>
  <c r="I3827" i="27"/>
  <c r="K3827" i="27" s="1"/>
  <c r="K2869" i="27"/>
  <c r="K3506" i="27"/>
  <c r="I3685" i="27"/>
  <c r="K3685" i="27" s="1"/>
  <c r="K2956" i="27"/>
  <c r="I3803" i="27"/>
  <c r="I3920" i="27"/>
  <c r="K3920" i="27" s="1"/>
  <c r="K2866" i="27"/>
  <c r="I3933" i="27"/>
  <c r="K3933" i="27" s="1"/>
  <c r="I2872" i="27"/>
  <c r="K2872" i="27" s="1"/>
  <c r="I3351" i="27"/>
  <c r="K3351" i="27" s="1"/>
  <c r="I2905" i="27"/>
  <c r="K2905" i="27" s="1"/>
  <c r="I2856" i="27"/>
  <c r="P2846" i="27" s="1"/>
  <c r="R2846" i="27" s="1"/>
  <c r="K2894" i="27"/>
  <c r="I2758" i="27"/>
  <c r="K2758" i="27" s="1"/>
  <c r="I2855" i="27"/>
  <c r="K2911" i="27"/>
  <c r="I3003" i="27"/>
  <c r="K3003" i="27" s="1"/>
  <c r="I3778" i="27"/>
  <c r="K3778" i="27" s="1"/>
  <c r="I3643" i="27"/>
  <c r="K3643" i="27" s="1"/>
  <c r="I3590" i="27"/>
  <c r="K3590" i="27" s="1"/>
  <c r="P3506" i="27"/>
  <c r="R3506" i="27" s="1"/>
  <c r="I3504" i="27"/>
  <c r="K2867" i="27"/>
  <c r="K2845" i="27"/>
  <c r="P2849" i="27"/>
  <c r="P2882" i="27" s="1"/>
  <c r="R2882" i="27" s="1"/>
  <c r="I2907" i="27"/>
  <c r="I3030" i="27" s="1"/>
  <c r="K3030" i="27" s="1"/>
  <c r="I2917" i="27"/>
  <c r="K2917" i="27" s="1"/>
  <c r="K2843" i="27"/>
  <c r="I3572" i="27"/>
  <c r="K3572" i="27" s="1"/>
  <c r="I3666" i="27"/>
  <c r="K3666" i="27" s="1"/>
  <c r="K2881" i="27"/>
  <c r="K2907" i="27"/>
  <c r="I38" i="25"/>
  <c r="D53" i="32"/>
  <c r="D116" i="32" s="1"/>
  <c r="L440" i="55"/>
  <c r="F440" i="55"/>
  <c r="H440" i="55"/>
  <c r="D585" i="25"/>
  <c r="F585" i="25" s="1"/>
  <c r="F190" i="32"/>
  <c r="A174" i="32"/>
  <c r="F174" i="32" s="1"/>
  <c r="F188" i="32"/>
  <c r="E149" i="32"/>
  <c r="F149" i="32" s="1"/>
  <c r="F64" i="64"/>
  <c r="F528" i="64"/>
  <c r="D590" i="64"/>
  <c r="F590" i="64" s="1"/>
  <c r="F538" i="64"/>
  <c r="F602" i="64"/>
  <c r="F515" i="64"/>
  <c r="D579" i="64"/>
  <c r="F579" i="64" s="1"/>
  <c r="F506" i="64"/>
  <c r="D570" i="64"/>
  <c r="D645" i="64" s="1"/>
  <c r="D598" i="64"/>
  <c r="F598" i="64" s="1"/>
  <c r="F529" i="64"/>
  <c r="D591" i="64"/>
  <c r="F542" i="64"/>
  <c r="F605" i="64"/>
  <c r="D599" i="64"/>
  <c r="F599" i="64" s="1"/>
  <c r="F543" i="64"/>
  <c r="D531" i="64"/>
  <c r="F531" i="64" s="1"/>
  <c r="D107" i="64"/>
  <c r="F107" i="64" s="1"/>
  <c r="F225" i="64"/>
  <c r="D374" i="64"/>
  <c r="D375" i="64" s="1"/>
  <c r="D376" i="64" s="1"/>
  <c r="D377" i="64" s="1"/>
  <c r="P21" i="64"/>
  <c r="P22" i="64" s="1"/>
  <c r="D172" i="64"/>
  <c r="D173" i="64" s="1"/>
  <c r="D174" i="64" s="1"/>
  <c r="D175" i="64" s="1"/>
  <c r="P38" i="64"/>
  <c r="P40" i="64" s="1"/>
  <c r="F65" i="64"/>
  <c r="D221" i="64"/>
  <c r="D327" i="64"/>
  <c r="F327" i="64" s="1"/>
  <c r="F134" i="64"/>
  <c r="D437" i="64"/>
  <c r="D438" i="64" s="1"/>
  <c r="D439" i="64" s="1"/>
  <c r="D440" i="64" s="1"/>
  <c r="P10" i="64"/>
  <c r="P11" i="64" s="1"/>
  <c r="W10" i="64"/>
  <c r="D143" i="64"/>
  <c r="F537" i="64"/>
  <c r="F536" i="64"/>
  <c r="F70" i="64"/>
  <c r="F593" i="64"/>
  <c r="D223" i="64"/>
  <c r="F223" i="64" s="1"/>
  <c r="D123" i="64"/>
  <c r="D203" i="64" s="1"/>
  <c r="E209" i="25"/>
  <c r="G209" i="25" s="1"/>
  <c r="L708" i="55"/>
  <c r="D620" i="25"/>
  <c r="D656" i="25" s="1"/>
  <c r="F656" i="25" s="1"/>
  <c r="D547" i="25"/>
  <c r="D24" i="25"/>
  <c r="D23" i="25"/>
  <c r="D36" i="25" s="1"/>
  <c r="D219" i="64"/>
  <c r="D279" i="64" s="1"/>
  <c r="Z17" i="27"/>
  <c r="AC17" i="27" s="1"/>
  <c r="F60" i="64"/>
  <c r="X29" i="27"/>
  <c r="D48" i="25"/>
  <c r="F48" i="25" s="1"/>
  <c r="A255" i="32"/>
  <c r="F255" i="32" s="1"/>
  <c r="A270" i="32"/>
  <c r="A271" i="32" s="1"/>
  <c r="D49" i="25"/>
  <c r="D72" i="25" s="1"/>
  <c r="E199" i="25"/>
  <c r="G199" i="25" s="1"/>
  <c r="E207" i="25"/>
  <c r="G207" i="25" s="1"/>
  <c r="D50" i="25"/>
  <c r="F50" i="25" s="1"/>
  <c r="J411" i="55"/>
  <c r="L893" i="55"/>
  <c r="F893" i="55"/>
  <c r="H893" i="55"/>
  <c r="F570" i="64"/>
  <c r="F478" i="64"/>
  <c r="D222" i="64"/>
  <c r="F222" i="64" s="1"/>
  <c r="D144" i="64"/>
  <c r="E833" i="64" s="1"/>
  <c r="AP35" i="64"/>
  <c r="AR35" i="64" s="1"/>
  <c r="D150" i="64"/>
  <c r="I3682" i="27"/>
  <c r="I3693" i="27" s="1"/>
  <c r="K3693" i="27" s="1"/>
  <c r="K2906" i="27"/>
  <c r="AP38" i="64"/>
  <c r="AR38" i="64" s="1"/>
  <c r="AP42" i="64"/>
  <c r="AR42" i="64" s="1"/>
  <c r="F66" i="64"/>
  <c r="AC19" i="27"/>
  <c r="C81" i="27" s="1"/>
  <c r="P50" i="27" s="1"/>
  <c r="R50" i="27" s="1"/>
  <c r="R57" i="27" s="1"/>
  <c r="R60" i="27" s="1"/>
  <c r="AC9" i="27"/>
  <c r="C68" i="27" s="1"/>
  <c r="I294" i="27" s="1"/>
  <c r="K294" i="27" s="1"/>
  <c r="K303" i="27" s="1"/>
  <c r="K305" i="27" s="1"/>
  <c r="Z29" i="27"/>
  <c r="Z34" i="27" s="1"/>
  <c r="AC34" i="27" s="1"/>
  <c r="C77" i="27" s="1"/>
  <c r="I443" i="27" s="1"/>
  <c r="K443" i="27" s="1"/>
  <c r="K451" i="27" s="1"/>
  <c r="K453" i="27" s="1"/>
  <c r="I458" i="27" s="1"/>
  <c r="K458" i="27" s="1"/>
  <c r="K462" i="27" s="1"/>
  <c r="K464" i="27" s="1"/>
  <c r="K466" i="27" s="1"/>
  <c r="K467" i="27" s="1"/>
  <c r="K468" i="27" s="1"/>
  <c r="K469" i="27" s="1"/>
  <c r="K470" i="27" s="1"/>
  <c r="C78" i="27"/>
  <c r="I10" i="27" s="1"/>
  <c r="K10" i="27" s="1"/>
  <c r="J893" i="55"/>
  <c r="I497" i="27"/>
  <c r="K497" i="27" s="1"/>
  <c r="C450" i="55"/>
  <c r="T450" i="55" s="1"/>
  <c r="K2856" i="27"/>
  <c r="W37" i="64"/>
  <c r="AU196" i="1"/>
  <c r="AV196" i="1" s="1"/>
  <c r="I974" i="27"/>
  <c r="K974" i="27" s="1"/>
  <c r="I1011" i="27"/>
  <c r="E210" i="25"/>
  <c r="G210" i="25" s="1"/>
  <c r="AP23" i="64"/>
  <c r="AR23" i="64" s="1"/>
  <c r="A10" i="50"/>
  <c r="F10" i="50" s="1"/>
  <c r="W42" i="1"/>
  <c r="AC1197" i="1"/>
  <c r="S1182" i="1"/>
  <c r="S1158" i="1"/>
  <c r="J628" i="1"/>
  <c r="J612" i="1"/>
  <c r="V590" i="1" s="1"/>
  <c r="J559" i="1"/>
  <c r="W561" i="1" s="1"/>
  <c r="AC561" i="1" s="1"/>
  <c r="AJ561" i="1" s="1"/>
  <c r="J535" i="1"/>
  <c r="W537" i="1" s="1"/>
  <c r="AC537" i="1" s="1"/>
  <c r="AJ537" i="1" s="1"/>
  <c r="J659" i="1"/>
  <c r="W486" i="1" s="1"/>
  <c r="AC486" i="1" s="1"/>
  <c r="J590" i="1"/>
  <c r="I1577" i="1"/>
  <c r="K1577" i="1" s="1"/>
  <c r="I1910" i="1"/>
  <c r="K1910" i="1" s="1"/>
  <c r="P503" i="1"/>
  <c r="R503" i="1" s="1"/>
  <c r="M95" i="1"/>
  <c r="M101" i="1" s="1"/>
  <c r="A535" i="1"/>
  <c r="A536" i="1" s="1"/>
  <c r="A537" i="1" s="1"/>
  <c r="A538" i="1" s="1"/>
  <c r="A539" i="1" s="1"/>
  <c r="A548" i="1" s="1"/>
  <c r="A549" i="1" s="1"/>
  <c r="A550" i="1" s="1"/>
  <c r="A551" i="1" s="1"/>
  <c r="A552" i="1" s="1"/>
  <c r="A553" i="1" s="1"/>
  <c r="A554" i="1" s="1"/>
  <c r="A555" i="1" s="1"/>
  <c r="A556" i="1" s="1"/>
  <c r="A557" i="1" s="1"/>
  <c r="A558" i="1" s="1"/>
  <c r="A559" i="1" s="1"/>
  <c r="A560" i="1" s="1"/>
  <c r="A561" i="1" s="1"/>
  <c r="A562" i="1" s="1"/>
  <c r="A564" i="1" s="1"/>
  <c r="A572" i="1" s="1"/>
  <c r="A573" i="1" s="1"/>
  <c r="A574" i="1" s="1"/>
  <c r="A575" i="1" s="1"/>
  <c r="A576" i="1" s="1"/>
  <c r="A577" i="1" s="1"/>
  <c r="A578" i="1" s="1"/>
  <c r="A579" i="1" s="1"/>
  <c r="A580" i="1" s="1"/>
  <c r="A581" i="1" s="1"/>
  <c r="A582" i="1" s="1"/>
  <c r="A583" i="1" s="1"/>
  <c r="A584" i="1" s="1"/>
  <c r="A585" i="1" s="1"/>
  <c r="A586" i="1" s="1"/>
  <c r="A587" i="1" s="1"/>
  <c r="A588" i="1" s="1"/>
  <c r="A589" i="1" s="1"/>
  <c r="A590" i="1" s="1"/>
  <c r="A591" i="1" s="1"/>
  <c r="A592" i="1" s="1"/>
  <c r="A593" i="1" s="1"/>
  <c r="A595" i="1" s="1"/>
  <c r="A596" i="1" s="1"/>
  <c r="A597" i="1" s="1"/>
  <c r="A598" i="1" s="1"/>
  <c r="A599" i="1" s="1"/>
  <c r="A600" i="1" s="1"/>
  <c r="A601" i="1" s="1"/>
  <c r="A602" i="1" s="1"/>
  <c r="A603" i="1" s="1"/>
  <c r="A604" i="1" s="1"/>
  <c r="A605" i="1" s="1"/>
  <c r="A606" i="1" s="1"/>
  <c r="A607" i="1" s="1"/>
  <c r="A608" i="1" s="1"/>
  <c r="A610" i="1" s="1"/>
  <c r="A611" i="1" s="1"/>
  <c r="A612" i="1" s="1"/>
  <c r="A613" i="1" s="1"/>
  <c r="A614" i="1" s="1"/>
  <c r="A615" i="1" s="1"/>
  <c r="A616" i="1" s="1"/>
  <c r="A617" i="1" s="1"/>
  <c r="A618" i="1" s="1"/>
  <c r="A619" i="1" s="1"/>
  <c r="A620" i="1" s="1"/>
  <c r="A621" i="1" s="1"/>
  <c r="A622" i="1" s="1"/>
  <c r="A623" i="1" s="1"/>
  <c r="A624" i="1" s="1"/>
  <c r="A625" i="1" s="1"/>
  <c r="A626" i="1" s="1"/>
  <c r="A627" i="1" s="1"/>
  <c r="A628" i="1" s="1"/>
  <c r="A629" i="1" s="1"/>
  <c r="A630" i="1" s="1"/>
  <c r="A631" i="1" s="1"/>
  <c r="A632" i="1" s="1"/>
  <c r="A633" i="1" s="1"/>
  <c r="A634" i="1" s="1"/>
  <c r="A635" i="1" s="1"/>
  <c r="A636" i="1" s="1"/>
  <c r="A638" i="1" s="1"/>
  <c r="A639" i="1" s="1"/>
  <c r="A640" i="1" s="1"/>
  <c r="A641" i="1" s="1"/>
  <c r="A642" i="1" s="1"/>
  <c r="A643" i="1" s="1"/>
  <c r="A644" i="1" s="1"/>
  <c r="A645" i="1" s="1"/>
  <c r="A646" i="1" s="1"/>
  <c r="A647" i="1" s="1"/>
  <c r="A648" i="1" s="1"/>
  <c r="A649" i="1" s="1"/>
  <c r="A650" i="1" s="1"/>
  <c r="A651" i="1" s="1"/>
  <c r="A652" i="1" s="1"/>
  <c r="A653" i="1" s="1"/>
  <c r="A654" i="1" s="1"/>
  <c r="A655" i="1" s="1"/>
  <c r="A656" i="1" s="1"/>
  <c r="A657" i="1" s="1"/>
  <c r="A658" i="1" s="1"/>
  <c r="A659" i="1" s="1"/>
  <c r="A660" i="1" s="1"/>
  <c r="A661" i="1" s="1"/>
  <c r="A662" i="1" s="1"/>
  <c r="A663" i="1" s="1"/>
  <c r="A672" i="1" s="1"/>
  <c r="A673" i="1" s="1"/>
  <c r="A674" i="1" s="1"/>
  <c r="A675" i="1" s="1"/>
  <c r="A676" i="1" s="1"/>
  <c r="A677" i="1" s="1"/>
  <c r="A678" i="1" s="1"/>
  <c r="A679" i="1" s="1"/>
  <c r="A680" i="1" s="1"/>
  <c r="A681" i="1" s="1"/>
  <c r="A682" i="1" s="1"/>
  <c r="A683" i="1" s="1"/>
  <c r="A684" i="1" s="1"/>
  <c r="A685" i="1" s="1"/>
  <c r="A686" i="1" s="1"/>
  <c r="A687" i="1" s="1"/>
  <c r="A688" i="1" s="1"/>
  <c r="A689" i="1" s="1"/>
  <c r="A690" i="1" s="1"/>
  <c r="A691" i="1" s="1"/>
  <c r="A692" i="1" s="1"/>
  <c r="A693" i="1" s="1"/>
  <c r="A694" i="1" s="1"/>
  <c r="A695" i="1" s="1"/>
  <c r="A696" i="1" s="1"/>
  <c r="A697" i="1" s="1"/>
  <c r="A698" i="1" s="1"/>
  <c r="A699" i="1" s="1"/>
  <c r="A700" i="1" s="1"/>
  <c r="A701" i="1" s="1"/>
  <c r="A702" i="1" s="1"/>
  <c r="A703" i="1" s="1"/>
  <c r="A705" i="1" s="1"/>
  <c r="A706" i="1" s="1"/>
  <c r="A707" i="1" s="1"/>
  <c r="A708" i="1" s="1"/>
  <c r="A709" i="1" s="1"/>
  <c r="A710" i="1" s="1"/>
  <c r="A711" i="1" s="1"/>
  <c r="A712" i="1" s="1"/>
  <c r="A713" i="1" s="1"/>
  <c r="A714" i="1" s="1"/>
  <c r="A715" i="1" s="1"/>
  <c r="A716" i="1" s="1"/>
  <c r="A717" i="1" s="1"/>
  <c r="A718" i="1" s="1"/>
  <c r="A719" i="1" s="1"/>
  <c r="A720" i="1" s="1"/>
  <c r="A721" i="1" s="1"/>
  <c r="A722" i="1" s="1"/>
  <c r="A723" i="1" s="1"/>
  <c r="A724" i="1" s="1"/>
  <c r="A725" i="1" s="1"/>
  <c r="A726" i="1" s="1"/>
  <c r="A727" i="1" s="1"/>
  <c r="A728" i="1" s="1"/>
  <c r="A729" i="1" s="1"/>
  <c r="A730" i="1" s="1"/>
  <c r="A731" i="1" s="1"/>
  <c r="A732" i="1" s="1"/>
  <c r="A733" i="1" s="1"/>
  <c r="A734" i="1" s="1"/>
  <c r="A735" i="1" s="1"/>
  <c r="A736" i="1" s="1"/>
  <c r="A737" i="1" s="1"/>
  <c r="A738" i="1" s="1"/>
  <c r="A739" i="1" s="1"/>
  <c r="A740" i="1" s="1"/>
  <c r="A741" i="1" s="1"/>
  <c r="A742" i="1" s="1"/>
  <c r="A743" i="1" s="1"/>
  <c r="A744" i="1" s="1"/>
  <c r="A745" i="1" s="1"/>
  <c r="A746" i="1" s="1"/>
  <c r="A747" i="1" s="1"/>
  <c r="A748" i="1" s="1"/>
  <c r="A749" i="1" s="1"/>
  <c r="A750" i="1" s="1"/>
  <c r="A751" i="1" s="1"/>
  <c r="A752" i="1" s="1"/>
  <c r="A753" i="1" s="1"/>
  <c r="A754" i="1" s="1"/>
  <c r="A755" i="1" s="1"/>
  <c r="A756" i="1" s="1"/>
  <c r="A757" i="1" s="1"/>
  <c r="A758" i="1" s="1"/>
  <c r="A759" i="1" s="1"/>
  <c r="A760" i="1" s="1"/>
  <c r="A761" i="1" s="1"/>
  <c r="A762" i="1" s="1"/>
  <c r="A763" i="1" s="1"/>
  <c r="A765" i="1" s="1"/>
  <c r="A766" i="1" s="1"/>
  <c r="A767" i="1" s="1"/>
  <c r="A768" i="1" s="1"/>
  <c r="A769" i="1" s="1"/>
  <c r="A770" i="1" s="1"/>
  <c r="A771" i="1" s="1"/>
  <c r="A772" i="1" s="1"/>
  <c r="A773" i="1" s="1"/>
  <c r="A774" i="1" s="1"/>
  <c r="A775" i="1" s="1"/>
  <c r="A776" i="1" s="1"/>
  <c r="A777" i="1" s="1"/>
  <c r="A778" i="1" s="1"/>
  <c r="A779" i="1" s="1"/>
  <c r="A780" i="1" s="1"/>
  <c r="A781" i="1" s="1"/>
  <c r="A782" i="1" s="1"/>
  <c r="A783" i="1" s="1"/>
  <c r="A207" i="1"/>
  <c r="A208" i="1" s="1"/>
  <c r="P3294" i="1"/>
  <c r="P3397" i="1" s="1"/>
  <c r="R3397" i="1" s="1"/>
  <c r="P213" i="1"/>
  <c r="R213" i="1" s="1"/>
  <c r="I3172" i="1"/>
  <c r="I786" i="1"/>
  <c r="K786" i="1" s="1"/>
  <c r="P25" i="1"/>
  <c r="R25" i="1" s="1"/>
  <c r="I2125" i="1"/>
  <c r="K2125" i="1" s="1"/>
  <c r="P622" i="1"/>
  <c r="R622" i="1" s="1"/>
  <c r="I110" i="1"/>
  <c r="K110" i="1" s="1"/>
  <c r="K133" i="1"/>
  <c r="C23" i="76" s="1"/>
  <c r="I1019" i="1"/>
  <c r="P1093" i="1" s="1"/>
  <c r="R1093" i="1" s="1"/>
  <c r="I95" i="1"/>
  <c r="K95" i="1" s="1"/>
  <c r="I3748" i="1"/>
  <c r="K3748" i="1" s="1"/>
  <c r="I3253" i="1"/>
  <c r="K3253" i="1" s="1"/>
  <c r="V1334" i="1"/>
  <c r="X1334" i="1" s="1"/>
  <c r="P1375" i="1"/>
  <c r="R1375" i="1" s="1"/>
  <c r="I3795" i="1"/>
  <c r="K3795" i="1" s="1"/>
  <c r="I3723" i="1"/>
  <c r="K3723" i="1" s="1"/>
  <c r="I3706" i="1"/>
  <c r="K3706" i="1" s="1"/>
  <c r="P3515" i="1"/>
  <c r="R3515" i="1" s="1"/>
  <c r="I3769" i="1"/>
  <c r="K3769" i="1" s="1"/>
  <c r="I3749" i="1"/>
  <c r="K3749" i="1" s="1"/>
  <c r="V3671" i="1"/>
  <c r="I3342" i="1"/>
  <c r="AF3106" i="1"/>
  <c r="AQ3106" i="1" s="1"/>
  <c r="P2360" i="1"/>
  <c r="R2360" i="1" s="1"/>
  <c r="P1548" i="1"/>
  <c r="R1548" i="1" s="1"/>
  <c r="P1377" i="1"/>
  <c r="R1377" i="1" s="1"/>
  <c r="V1336" i="1"/>
  <c r="AB1334" i="1" s="1"/>
  <c r="AC1334" i="1" s="1"/>
  <c r="J3044" i="1"/>
  <c r="K3044" i="1" s="1"/>
  <c r="I2106" i="1"/>
  <c r="K2106" i="1" s="1"/>
  <c r="I2077" i="1"/>
  <c r="I2027" i="1"/>
  <c r="K2027" i="1" s="1"/>
  <c r="I3768" i="1"/>
  <c r="K3768" i="1" s="1"/>
  <c r="P3722" i="1"/>
  <c r="R3722" i="1" s="1"/>
  <c r="I3705" i="1"/>
  <c r="K3705" i="1" s="1"/>
  <c r="P2671" i="1"/>
  <c r="I2164" i="1"/>
  <c r="K2164" i="1" s="1"/>
  <c r="I2151" i="1"/>
  <c r="P2158" i="1" s="1"/>
  <c r="R2158" i="1" s="1"/>
  <c r="I2177" i="1"/>
  <c r="K2177" i="1" s="1"/>
  <c r="I2131" i="1"/>
  <c r="K2131" i="1" s="1"/>
  <c r="I3539" i="1"/>
  <c r="I2835" i="1"/>
  <c r="X12" i="1"/>
  <c r="D17" i="1"/>
  <c r="X24" i="1"/>
  <c r="AC31" i="1"/>
  <c r="I3461" i="1" s="1"/>
  <c r="D32" i="1"/>
  <c r="I1104" i="1" s="1"/>
  <c r="K1104" i="1" s="1"/>
  <c r="I229" i="1"/>
  <c r="I360" i="1"/>
  <c r="K360" i="1" s="1"/>
  <c r="P364" i="1"/>
  <c r="R364" i="1" s="1"/>
  <c r="P3514" i="1"/>
  <c r="R3514" i="1" s="1"/>
  <c r="P2359" i="1"/>
  <c r="R2359" i="1" s="1"/>
  <c r="I2298" i="1"/>
  <c r="K2298" i="1" s="1"/>
  <c r="V1335" i="1"/>
  <c r="X1335" i="1" s="1"/>
  <c r="P1376" i="1"/>
  <c r="R1376" i="1" s="1"/>
  <c r="I2739" i="1"/>
  <c r="K2739" i="1" s="1"/>
  <c r="I2369" i="1"/>
  <c r="K2369" i="1" s="1"/>
  <c r="I2132" i="1"/>
  <c r="K2132" i="1" s="1"/>
  <c r="I1810" i="1"/>
  <c r="K1810" i="1" s="1"/>
  <c r="I2686" i="1"/>
  <c r="K2686" i="1" s="1"/>
  <c r="I1944" i="1"/>
  <c r="I3565" i="1" s="1"/>
  <c r="I2055" i="1"/>
  <c r="I1467" i="1"/>
  <c r="K1467" i="1" s="1"/>
  <c r="I1507" i="1"/>
  <c r="K1507" i="1" s="1"/>
  <c r="I1394" i="1"/>
  <c r="I1258" i="1"/>
  <c r="I1435" i="1"/>
  <c r="K1435" i="1" s="1"/>
  <c r="I1224" i="1"/>
  <c r="K1224" i="1" s="1"/>
  <c r="I1381" i="1"/>
  <c r="K1381" i="1" s="1"/>
  <c r="V530" i="1"/>
  <c r="AB530" i="1" s="1"/>
  <c r="I606" i="1"/>
  <c r="K606" i="1" s="1"/>
  <c r="I528" i="1"/>
  <c r="K528" i="1" s="1"/>
  <c r="I785" i="1"/>
  <c r="K785" i="1" s="1"/>
  <c r="P505" i="1"/>
  <c r="R505" i="1" s="1"/>
  <c r="I622" i="1"/>
  <c r="K622" i="1" s="1"/>
  <c r="I3750" i="1"/>
  <c r="K3750" i="1" s="1"/>
  <c r="I3724" i="1"/>
  <c r="P3724" i="1" s="1"/>
  <c r="R3724" i="1" s="1"/>
  <c r="I3343" i="1"/>
  <c r="P3516" i="1"/>
  <c r="R3516" i="1" s="1"/>
  <c r="P2411" i="1"/>
  <c r="R2411" i="1" s="1"/>
  <c r="P1378" i="1"/>
  <c r="R1378" i="1" s="1"/>
  <c r="V1337" i="1"/>
  <c r="X1337" i="1" s="1"/>
  <c r="I2348" i="1"/>
  <c r="K2348" i="1" s="1"/>
  <c r="I784" i="1"/>
  <c r="K784" i="1" s="1"/>
  <c r="I2681" i="1"/>
  <c r="I745" i="1"/>
  <c r="K745" i="1" s="1"/>
  <c r="I743" i="1"/>
  <c r="I1784" i="1" s="1"/>
  <c r="K1784" i="1" s="1"/>
  <c r="I3523" i="1"/>
  <c r="P3527" i="1" s="1"/>
  <c r="R3527" i="1" s="1"/>
  <c r="I2867" i="1"/>
  <c r="K2867" i="1" s="1"/>
  <c r="V83" i="1"/>
  <c r="V111" i="1" s="1"/>
  <c r="X111" i="1" s="1"/>
  <c r="P286" i="1"/>
  <c r="R286" i="1" s="1"/>
  <c r="I339" i="1"/>
  <c r="V339" i="1" s="1"/>
  <c r="X339" i="1" s="1"/>
  <c r="I2790" i="1"/>
  <c r="K2790" i="1" s="1"/>
  <c r="L2756" i="1" s="1"/>
  <c r="I1707" i="1"/>
  <c r="K1707" i="1" s="1"/>
  <c r="I2054" i="1"/>
  <c r="I1227" i="1"/>
  <c r="K1227" i="1" s="1"/>
  <c r="V710" i="1"/>
  <c r="D46" i="32" s="1"/>
  <c r="F46" i="32" s="1"/>
  <c r="H46" i="32" s="1"/>
  <c r="I447" i="1"/>
  <c r="K447" i="1" s="1"/>
  <c r="I2699" i="1"/>
  <c r="K2699" i="1" s="1"/>
  <c r="I2153" i="1"/>
  <c r="K2153" i="1" s="1"/>
  <c r="I2133" i="1"/>
  <c r="K2133" i="1" s="1"/>
  <c r="I1508" i="1"/>
  <c r="K1508" i="1" s="1"/>
  <c r="I1648" i="1"/>
  <c r="I1235" i="1"/>
  <c r="K1235" i="1" s="1"/>
  <c r="I1259" i="1"/>
  <c r="I1225" i="1"/>
  <c r="I1254" i="1"/>
  <c r="P506" i="1"/>
  <c r="R506" i="1" s="1"/>
  <c r="I812" i="1"/>
  <c r="V806" i="1" s="1"/>
  <c r="I415" i="1"/>
  <c r="K415" i="1" s="1"/>
  <c r="P552" i="1"/>
  <c r="R552" i="1" s="1"/>
  <c r="I3735" i="1"/>
  <c r="K3735" i="1" s="1"/>
  <c r="K3737" i="1" s="1"/>
  <c r="K3738" i="1" s="1"/>
  <c r="I3341" i="1"/>
  <c r="P2409" i="1"/>
  <c r="R2409" i="1" s="1"/>
  <c r="P1302" i="1"/>
  <c r="R1302" i="1" s="1"/>
  <c r="I2367" i="1"/>
  <c r="K2367" i="1" s="1"/>
  <c r="P2373" i="1"/>
  <c r="R2373" i="1" s="1"/>
  <c r="V3672" i="1"/>
  <c r="I3796" i="1"/>
  <c r="K3796" i="1" s="1"/>
  <c r="P1549" i="1"/>
  <c r="R1549" i="1" s="1"/>
  <c r="I819" i="1"/>
  <c r="K819" i="1" s="1"/>
  <c r="I1772" i="1"/>
  <c r="K1772" i="1" s="1"/>
  <c r="I1603" i="1"/>
  <c r="I1575" i="1"/>
  <c r="K1575" i="1" s="1"/>
  <c r="P2335" i="1"/>
  <c r="R2335" i="1" s="1"/>
  <c r="I2328" i="1"/>
  <c r="K2328" i="1" s="1"/>
  <c r="I1587" i="1"/>
  <c r="K1587" i="1" s="1"/>
  <c r="I1614" i="1"/>
  <c r="K1614" i="1" s="1"/>
  <c r="I1574" i="1"/>
  <c r="K1574" i="1" s="1"/>
  <c r="P151" i="1"/>
  <c r="R151" i="1" s="1"/>
  <c r="I212" i="1"/>
  <c r="K212" i="1" s="1"/>
  <c r="P310" i="1"/>
  <c r="R310" i="1" s="1"/>
  <c r="I338" i="1"/>
  <c r="V338" i="1" s="1"/>
  <c r="AE338" i="1" s="1"/>
  <c r="AG338" i="1" s="1"/>
  <c r="K723" i="1"/>
  <c r="I725" i="1" s="1"/>
  <c r="K725" i="1" s="1"/>
  <c r="I1548" i="1"/>
  <c r="I1535" i="1"/>
  <c r="I1147" i="1"/>
  <c r="K1147" i="1" s="1"/>
  <c r="P2410" i="1"/>
  <c r="R2410" i="1" s="1"/>
  <c r="P1303" i="1"/>
  <c r="R1303" i="1" s="1"/>
  <c r="I3722" i="1"/>
  <c r="K3722" i="1" s="1"/>
  <c r="V3670" i="1"/>
  <c r="I3794" i="1"/>
  <c r="K3794" i="1" s="1"/>
  <c r="I3767" i="1"/>
  <c r="K3767" i="1" s="1"/>
  <c r="I3704" i="1"/>
  <c r="K3704" i="1" s="1"/>
  <c r="AF3105" i="1"/>
  <c r="P1547" i="1"/>
  <c r="R1547" i="1" s="1"/>
  <c r="P1402" i="1"/>
  <c r="V1363" i="1" s="1"/>
  <c r="J706" i="1"/>
  <c r="I3283" i="1"/>
  <c r="K3283" i="1" s="1"/>
  <c r="I2636" i="1"/>
  <c r="P2643" i="1" s="1"/>
  <c r="R2643" i="1" s="1"/>
  <c r="V3133" i="1"/>
  <c r="V3158" i="1" s="1"/>
  <c r="I1063" i="1"/>
  <c r="P997" i="1" s="1"/>
  <c r="R997" i="1" s="1"/>
  <c r="K1026" i="1"/>
  <c r="P1117" i="1"/>
  <c r="R1117" i="1" s="1"/>
  <c r="R1096" i="1"/>
  <c r="P1119" i="1"/>
  <c r="R1119" i="1" s="1"/>
  <c r="R1098" i="1"/>
  <c r="I55" i="1"/>
  <c r="P68" i="1"/>
  <c r="R68" i="1" s="1"/>
  <c r="I199" i="1"/>
  <c r="I314" i="1"/>
  <c r="P351" i="1"/>
  <c r="R351" i="1" s="1"/>
  <c r="I3103" i="1"/>
  <c r="P2077" i="1" s="1"/>
  <c r="P1048" i="1"/>
  <c r="R1048" i="1" s="1"/>
  <c r="P1426" i="1"/>
  <c r="P1442" i="1" s="1"/>
  <c r="R1409" i="1"/>
  <c r="V1370" i="1"/>
  <c r="V1387" i="1" s="1"/>
  <c r="V1403" i="1" s="1"/>
  <c r="P1441" i="1"/>
  <c r="R1441" i="1" s="1"/>
  <c r="R1425" i="1"/>
  <c r="AD648" i="1"/>
  <c r="AF648" i="1" s="1"/>
  <c r="V879" i="1"/>
  <c r="V895" i="1" s="1"/>
  <c r="X895" i="1" s="1"/>
  <c r="K991" i="1"/>
  <c r="K995" i="1"/>
  <c r="K1022" i="1"/>
  <c r="P1051" i="1"/>
  <c r="R1051" i="1" s="1"/>
  <c r="P1118" i="1"/>
  <c r="R1118" i="1" s="1"/>
  <c r="I2977" i="1"/>
  <c r="K2841" i="1"/>
  <c r="AE1070" i="1"/>
  <c r="AG1070" i="1" s="1"/>
  <c r="P1054" i="1"/>
  <c r="R1054" i="1" s="1"/>
  <c r="P1072" i="1"/>
  <c r="V582" i="1"/>
  <c r="X582" i="1" s="1"/>
  <c r="X648" i="1"/>
  <c r="V679" i="1"/>
  <c r="X679" i="1" s="1"/>
  <c r="AE828" i="1"/>
  <c r="K879" i="1"/>
  <c r="V882" i="1"/>
  <c r="X882" i="1" s="1"/>
  <c r="P952" i="1"/>
  <c r="R952" i="1" s="1"/>
  <c r="K990" i="1"/>
  <c r="K994" i="1"/>
  <c r="K1023" i="1"/>
  <c r="AE1064" i="1"/>
  <c r="AG1064" i="1" s="1"/>
  <c r="I2426" i="1"/>
  <c r="P2433" i="1" s="1"/>
  <c r="P1222" i="1"/>
  <c r="R1222" i="1" s="1"/>
  <c r="T1222" i="1" s="1"/>
  <c r="I2972" i="1"/>
  <c r="K2972" i="1" s="1"/>
  <c r="K2836" i="1"/>
  <c r="I2976" i="1"/>
  <c r="K2840" i="1"/>
  <c r="AE1067" i="1"/>
  <c r="AG1067" i="1" s="1"/>
  <c r="K1058" i="1"/>
  <c r="I3991" i="1"/>
  <c r="I4007" i="1" s="1"/>
  <c r="I36" i="25" s="1"/>
  <c r="AB1371" i="1"/>
  <c r="AD1371" i="1" s="1"/>
  <c r="AD1354" i="1"/>
  <c r="I3992" i="1"/>
  <c r="K3992" i="1" s="1"/>
  <c r="AB1372" i="1"/>
  <c r="AD1372" i="1" s="1"/>
  <c r="AD1355" i="1"/>
  <c r="P1449" i="1"/>
  <c r="R1449" i="1" s="1"/>
  <c r="R1433" i="1"/>
  <c r="I2975" i="1"/>
  <c r="P2982" i="1" s="1"/>
  <c r="R2982" i="1" s="1"/>
  <c r="K2839" i="1"/>
  <c r="P1115" i="1"/>
  <c r="R1115" i="1" s="1"/>
  <c r="P1398" i="1"/>
  <c r="R1398" i="1" s="1"/>
  <c r="K1057" i="1"/>
  <c r="K1060" i="1"/>
  <c r="R1264" i="1"/>
  <c r="AB1350" i="1"/>
  <c r="AD1350" i="1" s="1"/>
  <c r="AB1352" i="1"/>
  <c r="AB1369" i="1" s="1"/>
  <c r="V1374" i="1"/>
  <c r="X1374" i="1" s="1"/>
  <c r="V1378" i="1"/>
  <c r="R1394" i="1"/>
  <c r="P1410" i="1"/>
  <c r="V1371" i="1" s="1"/>
  <c r="R1416" i="1"/>
  <c r="P1430" i="1"/>
  <c r="P1446" i="1" s="1"/>
  <c r="AG2617" i="1"/>
  <c r="AE1069" i="1"/>
  <c r="AG1069" i="1" s="1"/>
  <c r="V1369" i="1"/>
  <c r="V1386" i="1" s="1"/>
  <c r="V1392" i="1"/>
  <c r="X1392" i="1" s="1"/>
  <c r="R1408" i="1"/>
  <c r="R1417" i="1"/>
  <c r="R1418" i="1"/>
  <c r="R1392" i="1"/>
  <c r="I3168" i="1"/>
  <c r="I3181" i="1" s="1"/>
  <c r="K1505" i="1"/>
  <c r="I3225" i="1"/>
  <c r="K3210" i="1"/>
  <c r="L3176" i="1" s="1"/>
  <c r="K3196" i="1"/>
  <c r="I3241" i="1"/>
  <c r="P2861" i="1"/>
  <c r="R2861" i="1" s="1"/>
  <c r="R2828" i="1"/>
  <c r="R3234" i="1"/>
  <c r="P3268" i="1"/>
  <c r="P3335" i="1" s="1"/>
  <c r="R3335" i="1" s="1"/>
  <c r="P3362" i="1"/>
  <c r="R3362" i="1" s="1"/>
  <c r="R3325" i="1"/>
  <c r="K1695" i="1"/>
  <c r="K1697" i="1" s="1"/>
  <c r="I1871" i="1"/>
  <c r="K1871" i="1" s="1"/>
  <c r="N1944" i="1"/>
  <c r="N1945" i="1" s="1"/>
  <c r="P2297" i="1"/>
  <c r="R2297" i="1" s="1"/>
  <c r="I2313" i="1"/>
  <c r="K2313" i="1" s="1"/>
  <c r="K2467" i="1"/>
  <c r="I2487" i="1"/>
  <c r="K2487" i="1" s="1"/>
  <c r="V2605" i="1"/>
  <c r="AE2619" i="1" s="1"/>
  <c r="AG2619" i="1" s="1"/>
  <c r="V2606" i="1"/>
  <c r="P2649" i="1"/>
  <c r="R2649" i="1" s="1"/>
  <c r="I2763" i="1"/>
  <c r="H3875" i="1"/>
  <c r="H3891" i="1" s="1"/>
  <c r="J3891" i="1" s="1"/>
  <c r="J3854" i="1"/>
  <c r="P2863" i="1"/>
  <c r="R2863" i="1" s="1"/>
  <c r="R2830" i="1"/>
  <c r="V3121" i="1"/>
  <c r="I4071" i="1" s="1"/>
  <c r="K4071" i="1" s="1"/>
  <c r="R3160" i="1"/>
  <c r="K1878" i="1"/>
  <c r="P1968" i="1"/>
  <c r="R1968" i="1" s="1"/>
  <c r="P2006" i="1"/>
  <c r="K2149" i="1"/>
  <c r="I2485" i="1"/>
  <c r="K2485" i="1" s="1"/>
  <c r="X2607" i="1"/>
  <c r="K2638" i="1"/>
  <c r="P2674" i="1"/>
  <c r="E2760" i="1"/>
  <c r="P2644" i="1"/>
  <c r="R2644" i="1" s="1"/>
  <c r="I3107" i="1"/>
  <c r="K3107" i="1" s="1"/>
  <c r="K2669" i="1"/>
  <c r="P2676" i="1"/>
  <c r="K1628" i="1"/>
  <c r="K1806" i="1"/>
  <c r="K1840" i="1"/>
  <c r="K2466" i="1"/>
  <c r="K2468" i="1"/>
  <c r="K2509" i="1"/>
  <c r="P3365" i="1"/>
  <c r="R3365" i="1" s="1"/>
  <c r="R3296" i="1"/>
  <c r="P3399" i="1"/>
  <c r="R3399" i="1" s="1"/>
  <c r="K3324" i="1"/>
  <c r="I3393" i="1"/>
  <c r="S2783" i="1"/>
  <c r="I3524" i="1"/>
  <c r="I3540" i="1" s="1"/>
  <c r="P3544" i="1" s="1"/>
  <c r="R3544" i="1" s="1"/>
  <c r="P3329" i="1"/>
  <c r="R3329" i="1" s="1"/>
  <c r="V3617" i="1"/>
  <c r="X3617" i="1" s="1"/>
  <c r="AG3554" i="1"/>
  <c r="K3956" i="1"/>
  <c r="I3973" i="1"/>
  <c r="K3973" i="1" s="1"/>
  <c r="V3135" i="1"/>
  <c r="P3155" i="1"/>
  <c r="V3159" i="1"/>
  <c r="X3159" i="1" s="1"/>
  <c r="V3161" i="1"/>
  <c r="R3223" i="1"/>
  <c r="R3229" i="1"/>
  <c r="R3232" i="1"/>
  <c r="R3267" i="1"/>
  <c r="P3298" i="1"/>
  <c r="P3367" i="1" s="1"/>
  <c r="R3367" i="1" s="1"/>
  <c r="P3299" i="1"/>
  <c r="R3299" i="1" s="1"/>
  <c r="P3300" i="1"/>
  <c r="P3403" i="1" s="1"/>
  <c r="P3331" i="1"/>
  <c r="R3331" i="1" s="1"/>
  <c r="I3417" i="1"/>
  <c r="F3422" i="1" s="1"/>
  <c r="K3422" i="1" s="1"/>
  <c r="P3442" i="1"/>
  <c r="R3442" i="1" s="1"/>
  <c r="I3525" i="1"/>
  <c r="K3525" i="1" s="1"/>
  <c r="P3330" i="1"/>
  <c r="R3330" i="1" s="1"/>
  <c r="X3115" i="1"/>
  <c r="K3153" i="1"/>
  <c r="R3233" i="1"/>
  <c r="P3263" i="1"/>
  <c r="K3290" i="1"/>
  <c r="R3293" i="1"/>
  <c r="P3334" i="1"/>
  <c r="R3334" i="1" s="1"/>
  <c r="I3974" i="1"/>
  <c r="K3974" i="1" s="1"/>
  <c r="K3957" i="1"/>
  <c r="K4024" i="1"/>
  <c r="I4037" i="1"/>
  <c r="K4037" i="1" s="1"/>
  <c r="V3132" i="1"/>
  <c r="V3157" i="1" s="1"/>
  <c r="X3157" i="1" s="1"/>
  <c r="P3297" i="1"/>
  <c r="K3522" i="1"/>
  <c r="F3523" i="1"/>
  <c r="P3443" i="1"/>
  <c r="R3443" i="1" s="1"/>
  <c r="R3526" i="1"/>
  <c r="S3518" i="1"/>
  <c r="F3539" i="1"/>
  <c r="M3542" i="1"/>
  <c r="AE3545" i="1"/>
  <c r="AG3545" i="1" s="1"/>
  <c r="S3555" i="1"/>
  <c r="K3560" i="1"/>
  <c r="K3573" i="1"/>
  <c r="K3574" i="1"/>
  <c r="K3602" i="1"/>
  <c r="V3683" i="1"/>
  <c r="V3701" i="1" s="1"/>
  <c r="X3701" i="1" s="1"/>
  <c r="K3959" i="1"/>
  <c r="S3539" i="1"/>
  <c r="I3543" i="1"/>
  <c r="K3543" i="1" s="1"/>
  <c r="V3554" i="1"/>
  <c r="V3570" i="1" s="1"/>
  <c r="V3585" i="1" s="1"/>
  <c r="X3585" i="1" s="1"/>
  <c r="AB3555" i="1"/>
  <c r="I3806" i="1"/>
  <c r="K3806" i="1" s="1"/>
  <c r="K3527" i="1"/>
  <c r="K3545" i="1"/>
  <c r="V3545" i="1"/>
  <c r="V3561" i="1" s="1"/>
  <c r="V3577" i="1" s="1"/>
  <c r="X3577" i="1" s="1"/>
  <c r="S3570" i="1"/>
  <c r="K4009" i="1"/>
  <c r="AJ1197" i="1"/>
  <c r="AH247" i="11"/>
  <c r="AD1352" i="1"/>
  <c r="I3060" i="1"/>
  <c r="P3067" i="1" s="1"/>
  <c r="R3067" i="1" s="1"/>
  <c r="K2975" i="1"/>
  <c r="P1458" i="1"/>
  <c r="P1489" i="1" s="1"/>
  <c r="V1450" i="1" s="1"/>
  <c r="K3724" i="1"/>
  <c r="P3369" i="1"/>
  <c r="R3369" i="1" s="1"/>
  <c r="R3300" i="1"/>
  <c r="X2605" i="1"/>
  <c r="R1430" i="1"/>
  <c r="I1078" i="1"/>
  <c r="K1078" i="1" s="1"/>
  <c r="P2979" i="1"/>
  <c r="R2979" i="1" s="1"/>
  <c r="I2764" i="1"/>
  <c r="K2764" i="1" s="1"/>
  <c r="K2763" i="1"/>
  <c r="AE2620" i="1"/>
  <c r="AG2620" i="1" s="1"/>
  <c r="X2606" i="1"/>
  <c r="Z2604" i="1"/>
  <c r="K3103" i="1"/>
  <c r="I1602" i="1"/>
  <c r="K1602" i="1" s="1"/>
  <c r="K743" i="1"/>
  <c r="P3401" i="1"/>
  <c r="R3401" i="1" s="1"/>
  <c r="R3298" i="1"/>
  <c r="K3524" i="1"/>
  <c r="R1410" i="1"/>
  <c r="P1427" i="1"/>
  <c r="R1427" i="1" s="1"/>
  <c r="V1391" i="1"/>
  <c r="X1391" i="1" s="1"/>
  <c r="AB1389" i="1"/>
  <c r="AD1389" i="1" s="1"/>
  <c r="K3759" i="1"/>
  <c r="K3760" i="1" s="1"/>
  <c r="P3723" i="1"/>
  <c r="R3723" i="1" s="1"/>
  <c r="D45" i="32"/>
  <c r="F45" i="32" s="1"/>
  <c r="H45" i="32" s="1"/>
  <c r="X1387" i="1"/>
  <c r="P3370" i="1"/>
  <c r="R3370" i="1" s="1"/>
  <c r="V3715" i="1"/>
  <c r="X3715" i="1" s="1"/>
  <c r="X13" i="1"/>
  <c r="X14" i="1"/>
  <c r="K1011" i="27"/>
  <c r="I2522" i="27"/>
  <c r="K2522" i="27" s="1"/>
  <c r="I912" i="27"/>
  <c r="I1421" i="27"/>
  <c r="K1421" i="27" s="1"/>
  <c r="P389" i="27"/>
  <c r="R389" i="27" s="1"/>
  <c r="P375" i="27"/>
  <c r="R375" i="27" s="1"/>
  <c r="I28" i="27"/>
  <c r="K28" i="27" s="1"/>
  <c r="P22" i="27"/>
  <c r="R22" i="27" s="1"/>
  <c r="R28" i="27" s="1"/>
  <c r="R30" i="27" s="1"/>
  <c r="I64" i="27"/>
  <c r="K64" i="27" s="1"/>
  <c r="I36" i="27"/>
  <c r="K36" i="27" s="1"/>
  <c r="I773" i="27"/>
  <c r="K773" i="27" s="1"/>
  <c r="I2051" i="27"/>
  <c r="K2051" i="27" s="1"/>
  <c r="I2071" i="27"/>
  <c r="K2071" i="27" s="1"/>
  <c r="I54" i="27"/>
  <c r="K54" i="27" s="1"/>
  <c r="K58" i="27" s="1"/>
  <c r="I73" i="27"/>
  <c r="K73" i="27" s="1"/>
  <c r="P689" i="27"/>
  <c r="R689" i="27" s="1"/>
  <c r="P704" i="27"/>
  <c r="R704" i="27" s="1"/>
  <c r="P720" i="27"/>
  <c r="R720" i="27" s="1"/>
  <c r="I2165" i="27"/>
  <c r="K2165" i="27" s="1"/>
  <c r="Z11" i="27"/>
  <c r="AC11" i="27" s="1"/>
  <c r="C70" i="27" s="1"/>
  <c r="I881" i="27"/>
  <c r="K881" i="27" s="1"/>
  <c r="P209" i="27"/>
  <c r="R209" i="27" s="1"/>
  <c r="I945" i="27"/>
  <c r="K945" i="27" s="1"/>
  <c r="X35" i="1"/>
  <c r="I910" i="27"/>
  <c r="K3682" i="27"/>
  <c r="W405" i="1"/>
  <c r="W406" i="1" s="1"/>
  <c r="P24" i="1"/>
  <c r="R24" i="1" s="1"/>
  <c r="I2554" i="27"/>
  <c r="I2585" i="27" s="1"/>
  <c r="K2585" i="27" s="1"/>
  <c r="K910" i="27"/>
  <c r="K222" i="11"/>
  <c r="I1066" i="11"/>
  <c r="K1066" i="11" s="1"/>
  <c r="I899" i="11"/>
  <c r="K899" i="11" s="1"/>
  <c r="K792" i="11"/>
  <c r="P793" i="11"/>
  <c r="R793" i="11" s="1"/>
  <c r="I447" i="11"/>
  <c r="I505" i="11" s="1"/>
  <c r="K505" i="11" s="1"/>
  <c r="K434" i="11"/>
  <c r="K574" i="11"/>
  <c r="I593" i="11"/>
  <c r="K593" i="11" s="1"/>
  <c r="I123" i="11"/>
  <c r="K123" i="11" s="1"/>
  <c r="K103" i="11"/>
  <c r="I221" i="11"/>
  <c r="I1065" i="11" s="1"/>
  <c r="K1065" i="11" s="1"/>
  <c r="I241" i="11"/>
  <c r="K241" i="11" s="1"/>
  <c r="K218" i="11"/>
  <c r="I1062" i="11"/>
  <c r="K1062" i="11" s="1"/>
  <c r="I854" i="11"/>
  <c r="K854" i="11" s="1"/>
  <c r="K758" i="11"/>
  <c r="I121" i="11"/>
  <c r="K101" i="11"/>
  <c r="I219" i="11"/>
  <c r="I1063" i="11" s="1"/>
  <c r="K1063" i="11" s="1"/>
  <c r="I877" i="11"/>
  <c r="K877" i="11" s="1"/>
  <c r="K880" i="11" s="1"/>
  <c r="K868" i="11"/>
  <c r="K870" i="11" s="1"/>
  <c r="C1075" i="76" s="1"/>
  <c r="I700" i="11"/>
  <c r="K662" i="11"/>
  <c r="K19" i="11"/>
  <c r="K62" i="11" s="1"/>
  <c r="K1028" i="11" s="1"/>
  <c r="P21" i="11"/>
  <c r="R21" i="11" s="1"/>
  <c r="K75" i="11"/>
  <c r="I78" i="11"/>
  <c r="K78" i="11" s="1"/>
  <c r="K79" i="11"/>
  <c r="I83" i="11"/>
  <c r="I206" i="11" s="1"/>
  <c r="K206" i="11" s="1"/>
  <c r="K100" i="11"/>
  <c r="K104" i="11"/>
  <c r="I108" i="11"/>
  <c r="I226" i="11" s="1"/>
  <c r="I110" i="11"/>
  <c r="K110" i="11" s="1"/>
  <c r="K126" i="11"/>
  <c r="I170" i="11"/>
  <c r="K170" i="11" s="1"/>
  <c r="I176" i="11"/>
  <c r="K176" i="11" s="1"/>
  <c r="K281" i="11"/>
  <c r="P298" i="11"/>
  <c r="R298" i="11" s="1"/>
  <c r="K416" i="11"/>
  <c r="K583" i="11"/>
  <c r="P672" i="11"/>
  <c r="R672" i="11" s="1"/>
  <c r="P673" i="11"/>
  <c r="R673" i="11" s="1"/>
  <c r="P674" i="11"/>
  <c r="R674" i="11" s="1"/>
  <c r="I757" i="11"/>
  <c r="K757" i="11" s="1"/>
  <c r="I784" i="11"/>
  <c r="I815" i="11" s="1"/>
  <c r="K815" i="11" s="1"/>
  <c r="I791" i="11"/>
  <c r="I793" i="11"/>
  <c r="P794" i="11" s="1"/>
  <c r="M909" i="11"/>
  <c r="I976" i="11"/>
  <c r="K976" i="11" s="1"/>
  <c r="I986" i="11"/>
  <c r="K986" i="11" s="1"/>
  <c r="K1051" i="11" s="1"/>
  <c r="I1086" i="11"/>
  <c r="K1086" i="11" s="1"/>
  <c r="P51" i="11"/>
  <c r="R51" i="11" s="1"/>
  <c r="I120" i="11"/>
  <c r="I141" i="11" s="1"/>
  <c r="P662" i="11"/>
  <c r="R662" i="11" s="1"/>
  <c r="R16" i="11"/>
  <c r="K77" i="11"/>
  <c r="I80" i="11"/>
  <c r="I105" i="11"/>
  <c r="K105" i="11" s="1"/>
  <c r="K125" i="11"/>
  <c r="I128" i="11"/>
  <c r="I1089" i="11" s="1"/>
  <c r="K1089" i="11" s="1"/>
  <c r="I143" i="11"/>
  <c r="I198" i="11"/>
  <c r="K198" i="11" s="1"/>
  <c r="I200" i="11"/>
  <c r="K200" i="11" s="1"/>
  <c r="K327" i="11"/>
  <c r="K417" i="11"/>
  <c r="P664" i="11"/>
  <c r="R664" i="11" s="1"/>
  <c r="P23" i="11"/>
  <c r="P56" i="11" s="1"/>
  <c r="R56" i="11" s="1"/>
  <c r="I1490" i="1"/>
  <c r="P376" i="1"/>
  <c r="R376" i="1" s="1"/>
  <c r="P390" i="1"/>
  <c r="AC32" i="1"/>
  <c r="C139" i="1" s="1"/>
  <c r="Z33" i="1"/>
  <c r="AC33" i="1" s="1"/>
  <c r="I3732" i="27"/>
  <c r="K3732" i="27" s="1"/>
  <c r="K3625" i="27"/>
  <c r="C449" i="55"/>
  <c r="T449" i="55" s="1"/>
  <c r="P2879" i="27"/>
  <c r="R2879" i="27" s="1"/>
  <c r="I3718" i="27"/>
  <c r="K3718" i="27" s="1"/>
  <c r="K3141" i="27"/>
  <c r="K3142" i="27" s="1"/>
  <c r="K3134" i="27" s="1"/>
  <c r="K3135" i="27" s="1"/>
  <c r="I3589" i="27"/>
  <c r="K3589" i="27" s="1"/>
  <c r="K219" i="11"/>
  <c r="P818" i="11"/>
  <c r="R818" i="11" s="1"/>
  <c r="K128" i="11"/>
  <c r="I490" i="11"/>
  <c r="K490" i="11" s="1"/>
  <c r="P2854" i="27"/>
  <c r="P2887" i="27" s="1"/>
  <c r="R2887" i="27" s="1"/>
  <c r="P785" i="11"/>
  <c r="R785" i="11" s="1"/>
  <c r="K108" i="11"/>
  <c r="I1139" i="11"/>
  <c r="K700" i="11"/>
  <c r="I3699" i="27"/>
  <c r="K3699" i="27" s="1"/>
  <c r="P57" i="11"/>
  <c r="R57" i="11" s="1"/>
  <c r="C79" i="27"/>
  <c r="I151" i="27" s="1"/>
  <c r="K151" i="27" s="1"/>
  <c r="K160" i="27" s="1"/>
  <c r="I254" i="27"/>
  <c r="K254" i="27" s="1"/>
  <c r="I2617" i="27"/>
  <c r="K2617" i="27" s="1"/>
  <c r="I2260" i="27"/>
  <c r="I2662" i="27" s="1"/>
  <c r="K2662" i="27" s="1"/>
  <c r="K1083" i="27"/>
  <c r="I1084" i="27"/>
  <c r="K1084" i="27" s="1"/>
  <c r="P210" i="27"/>
  <c r="R210" i="27" s="1"/>
  <c r="I888" i="27"/>
  <c r="K888" i="27" s="1"/>
  <c r="I1044" i="27"/>
  <c r="K1044" i="27" s="1"/>
  <c r="I975" i="27"/>
  <c r="K975" i="27" s="1"/>
  <c r="I1059" i="27"/>
  <c r="K1059" i="27" s="1"/>
  <c r="I1029" i="27"/>
  <c r="K1029" i="27" s="1"/>
  <c r="I946" i="27"/>
  <c r="K946" i="27" s="1"/>
  <c r="I911" i="27"/>
  <c r="K911" i="27" s="1"/>
  <c r="I1012" i="27"/>
  <c r="I2523" i="27" s="1"/>
  <c r="K2523" i="27" s="1"/>
  <c r="I224" i="27"/>
  <c r="K224" i="27" s="1"/>
  <c r="K231" i="27" s="1"/>
  <c r="K233" i="27" s="1"/>
  <c r="C82" i="27"/>
  <c r="I1253" i="27" s="1"/>
  <c r="K1253" i="27" s="1"/>
  <c r="K1260" i="27" s="1"/>
  <c r="K1262" i="27" s="1"/>
  <c r="I1909" i="27" s="1"/>
  <c r="K1909" i="27" s="1"/>
  <c r="K1920" i="27" s="1"/>
  <c r="I378" i="27"/>
  <c r="K378" i="27" s="1"/>
  <c r="K386" i="27" s="1"/>
  <c r="K388" i="27" s="1"/>
  <c r="I393" i="27" s="1"/>
  <c r="K393" i="27" s="1"/>
  <c r="K397" i="27" s="1"/>
  <c r="K399" i="27" s="1"/>
  <c r="K401" i="27" s="1"/>
  <c r="K402" i="27" s="1"/>
  <c r="K403" i="27" s="1"/>
  <c r="K404" i="27" s="1"/>
  <c r="K405" i="27" s="1"/>
  <c r="I310" i="27"/>
  <c r="K310" i="27" s="1"/>
  <c r="K318" i="27" s="1"/>
  <c r="K320" i="27" s="1"/>
  <c r="I409" i="27"/>
  <c r="K409" i="27" s="1"/>
  <c r="K417" i="27" s="1"/>
  <c r="K419" i="27" s="1"/>
  <c r="I334" i="27"/>
  <c r="K334" i="27" s="1"/>
  <c r="K342" i="27" s="1"/>
  <c r="K344" i="27" s="1"/>
  <c r="K346" i="27" s="1"/>
  <c r="K347" i="27" s="1"/>
  <c r="K348" i="27" s="1"/>
  <c r="K349" i="27" s="1"/>
  <c r="K350" i="27" s="1"/>
  <c r="I354" i="27"/>
  <c r="K354" i="27" s="1"/>
  <c r="K362" i="27" s="1"/>
  <c r="K364" i="27" s="1"/>
  <c r="K366" i="27" s="1"/>
  <c r="I139" i="27"/>
  <c r="K139" i="27" s="1"/>
  <c r="K143" i="27" s="1"/>
  <c r="K1012" i="27" l="1"/>
  <c r="K784" i="11"/>
  <c r="K447" i="11"/>
  <c r="I130" i="11"/>
  <c r="I1091" i="11" s="1"/>
  <c r="K1091" i="11" s="1"/>
  <c r="K2175" i="27"/>
  <c r="K2178" i="27" s="1"/>
  <c r="K2211" i="27" s="1"/>
  <c r="V3592" i="1"/>
  <c r="X3592" i="1" s="1"/>
  <c r="V1359" i="1"/>
  <c r="I3994" i="1" s="1"/>
  <c r="K3994" i="1" s="1"/>
  <c r="X1336" i="1"/>
  <c r="J3875" i="1"/>
  <c r="X3132" i="1"/>
  <c r="K1063" i="1"/>
  <c r="AB1388" i="1"/>
  <c r="AD1388" i="1" s="1"/>
  <c r="V3543" i="1"/>
  <c r="V3559" i="1" s="1"/>
  <c r="I3185" i="1"/>
  <c r="I3368" i="1" s="1"/>
  <c r="C1089" i="76"/>
  <c r="R2849" i="27"/>
  <c r="R2851" i="27"/>
  <c r="I3797" i="27"/>
  <c r="I3802" i="27"/>
  <c r="K2851" i="27"/>
  <c r="K2880" i="27" s="1"/>
  <c r="K2891" i="27" s="1"/>
  <c r="P2873" i="27"/>
  <c r="R2873" i="27" s="1"/>
  <c r="I3249" i="27"/>
  <c r="K3249" i="27" s="1"/>
  <c r="I2759" i="27"/>
  <c r="K2759" i="27" s="1"/>
  <c r="K3455" i="27"/>
  <c r="I3665" i="27"/>
  <c r="K3665" i="27" s="1"/>
  <c r="E156" i="32"/>
  <c r="G156" i="32" s="1"/>
  <c r="P2847" i="27"/>
  <c r="P2880" i="27" s="1"/>
  <c r="R2880" i="27" s="1"/>
  <c r="I2562" i="27"/>
  <c r="K2021" i="27"/>
  <c r="P535" i="27"/>
  <c r="R535" i="27" s="1"/>
  <c r="I447" i="27"/>
  <c r="K447" i="27" s="1"/>
  <c r="P29" i="76"/>
  <c r="L29" i="76"/>
  <c r="J29" i="76"/>
  <c r="H29" i="76"/>
  <c r="N29" i="76"/>
  <c r="V29" i="76"/>
  <c r="F29" i="76"/>
  <c r="R29" i="76"/>
  <c r="T29" i="76"/>
  <c r="C229" i="55"/>
  <c r="C229" i="76"/>
  <c r="P994" i="1"/>
  <c r="R994" i="1" s="1"/>
  <c r="C321" i="55"/>
  <c r="C321" i="76"/>
  <c r="V1379" i="1"/>
  <c r="C374" i="55"/>
  <c r="C373" i="76"/>
  <c r="C410" i="55"/>
  <c r="T410" i="55" s="1"/>
  <c r="C409" i="76"/>
  <c r="C415" i="55"/>
  <c r="T415" i="55" s="1"/>
  <c r="C414" i="76"/>
  <c r="V2593" i="1"/>
  <c r="S2602" i="1" s="1"/>
  <c r="X2790" i="1"/>
  <c r="J910" i="11"/>
  <c r="K910" i="11" s="1"/>
  <c r="P1475" i="1"/>
  <c r="P1482" i="1" s="1"/>
  <c r="X3561" i="1"/>
  <c r="K3523" i="1"/>
  <c r="I4008" i="1"/>
  <c r="X3121" i="1"/>
  <c r="AE1072" i="1"/>
  <c r="AG1072" i="1" s="1"/>
  <c r="P2081" i="1"/>
  <c r="R2081" i="1" s="1"/>
  <c r="C367" i="55"/>
  <c r="H367" i="55" s="1"/>
  <c r="C366" i="76"/>
  <c r="C855" i="55"/>
  <c r="T855" i="55" s="1"/>
  <c r="C850" i="76"/>
  <c r="L410" i="76"/>
  <c r="P410" i="76"/>
  <c r="F410" i="76"/>
  <c r="N410" i="76"/>
  <c r="J410" i="76"/>
  <c r="V410" i="76"/>
  <c r="H410" i="76"/>
  <c r="T410" i="76"/>
  <c r="R410" i="76"/>
  <c r="P703" i="76"/>
  <c r="L703" i="76"/>
  <c r="F703" i="76"/>
  <c r="N703" i="76"/>
  <c r="J703" i="76"/>
  <c r="H703" i="76"/>
  <c r="V703" i="76"/>
  <c r="T703" i="76"/>
  <c r="R703" i="76"/>
  <c r="K221" i="11"/>
  <c r="I107" i="11"/>
  <c r="K107" i="11" s="1"/>
  <c r="R23" i="11"/>
  <c r="D26" i="25"/>
  <c r="D39" i="25" s="1"/>
  <c r="F39" i="25" s="1"/>
  <c r="V1407" i="1"/>
  <c r="K339" i="1"/>
  <c r="V3138" i="1"/>
  <c r="V3163" i="1" s="1"/>
  <c r="X3163" i="1" s="1"/>
  <c r="Z2603" i="1"/>
  <c r="C368" i="55"/>
  <c r="T368" i="55" s="1"/>
  <c r="C367" i="76"/>
  <c r="P23" i="76"/>
  <c r="L23" i="76"/>
  <c r="N23" i="76"/>
  <c r="J23" i="76"/>
  <c r="H23" i="76"/>
  <c r="F23" i="76"/>
  <c r="V23" i="76"/>
  <c r="T23" i="76"/>
  <c r="R23" i="76"/>
  <c r="R875" i="27"/>
  <c r="D205" i="25"/>
  <c r="A203" i="25" s="1"/>
  <c r="G203" i="25" s="1"/>
  <c r="K1895" i="1"/>
  <c r="C413" i="55"/>
  <c r="T413" i="55" s="1"/>
  <c r="C412" i="76"/>
  <c r="I3412" i="1"/>
  <c r="F3421" i="1" s="1"/>
  <c r="D108" i="32"/>
  <c r="F108" i="32" s="1"/>
  <c r="C930" i="55"/>
  <c r="C925" i="76"/>
  <c r="C414" i="55"/>
  <c r="H414" i="55" s="1"/>
  <c r="C413" i="76"/>
  <c r="F26" i="25"/>
  <c r="F25" i="25"/>
  <c r="L411" i="55"/>
  <c r="D591" i="25"/>
  <c r="H321" i="55"/>
  <c r="T1017" i="55"/>
  <c r="D59" i="78"/>
  <c r="F59" i="78" s="1"/>
  <c r="D121" i="78"/>
  <c r="F121" i="78" s="1"/>
  <c r="T673" i="55"/>
  <c r="D38" i="78"/>
  <c r="F38" i="78" s="1"/>
  <c r="T322" i="55"/>
  <c r="D33" i="78"/>
  <c r="F33" i="78" s="1"/>
  <c r="T229" i="55"/>
  <c r="D111" i="78"/>
  <c r="F111" i="78" s="1"/>
  <c r="T930" i="55"/>
  <c r="D104" i="78"/>
  <c r="F104" i="78" s="1"/>
  <c r="T636" i="55"/>
  <c r="D74" i="78"/>
  <c r="F74" i="78" s="1"/>
  <c r="T430" i="55"/>
  <c r="D37" i="78"/>
  <c r="F37" i="78" s="1"/>
  <c r="T307" i="55"/>
  <c r="D16" i="78"/>
  <c r="F16" i="78" s="1"/>
  <c r="T62" i="55"/>
  <c r="D172" i="78"/>
  <c r="F172" i="78" s="1"/>
  <c r="T707" i="55"/>
  <c r="D58" i="78"/>
  <c r="F58" i="78" s="1"/>
  <c r="T367" i="55"/>
  <c r="M683" i="11"/>
  <c r="C449" i="76"/>
  <c r="K3767" i="27"/>
  <c r="K2201" i="27" s="1"/>
  <c r="P53" i="11"/>
  <c r="R53" i="11" s="1"/>
  <c r="T1075" i="76"/>
  <c r="V1075" i="76"/>
  <c r="N1075" i="76"/>
  <c r="P1075" i="76"/>
  <c r="F1075" i="76"/>
  <c r="H1075" i="76"/>
  <c r="R1075" i="76"/>
  <c r="J1075" i="76"/>
  <c r="C1068" i="76"/>
  <c r="C1032" i="76"/>
  <c r="L724" i="11"/>
  <c r="C448" i="76"/>
  <c r="P930" i="55"/>
  <c r="R930" i="55"/>
  <c r="P774" i="55"/>
  <c r="R774" i="55"/>
  <c r="P773" i="55"/>
  <c r="R773" i="55"/>
  <c r="P839" i="55"/>
  <c r="R839" i="55"/>
  <c r="P678" i="55"/>
  <c r="R678" i="55"/>
  <c r="P636" i="55"/>
  <c r="R636" i="55"/>
  <c r="P494" i="55"/>
  <c r="R494" i="55"/>
  <c r="P430" i="55"/>
  <c r="R430" i="55"/>
  <c r="P427" i="55"/>
  <c r="R427" i="55"/>
  <c r="P384" i="55"/>
  <c r="R384" i="55"/>
  <c r="P382" i="55"/>
  <c r="R382" i="55"/>
  <c r="P307" i="55"/>
  <c r="R307" i="55"/>
  <c r="P62" i="55"/>
  <c r="R62" i="55"/>
  <c r="R707" i="55"/>
  <c r="P367" i="55"/>
  <c r="R367" i="55"/>
  <c r="P855" i="55"/>
  <c r="R855" i="55"/>
  <c r="P410" i="55"/>
  <c r="R410" i="55"/>
  <c r="P413" i="55"/>
  <c r="R413" i="55"/>
  <c r="P415" i="55"/>
  <c r="R415" i="55"/>
  <c r="P449" i="55"/>
  <c r="R449" i="55"/>
  <c r="P368" i="55"/>
  <c r="R368" i="55"/>
  <c r="P450" i="55"/>
  <c r="R450" i="55"/>
  <c r="P549" i="55"/>
  <c r="R549" i="55"/>
  <c r="P775" i="55"/>
  <c r="R775" i="55"/>
  <c r="P769" i="55"/>
  <c r="R769" i="55"/>
  <c r="P914" i="55"/>
  <c r="R914" i="55"/>
  <c r="P837" i="55"/>
  <c r="R837" i="55"/>
  <c r="P673" i="55"/>
  <c r="R673" i="55"/>
  <c r="P629" i="55"/>
  <c r="R629" i="55"/>
  <c r="P428" i="55"/>
  <c r="R428" i="55"/>
  <c r="P385" i="55"/>
  <c r="R385" i="55"/>
  <c r="P383" i="55"/>
  <c r="R383" i="55"/>
  <c r="P322" i="55"/>
  <c r="R322" i="55"/>
  <c r="P292" i="55"/>
  <c r="R292" i="55"/>
  <c r="R411" i="55"/>
  <c r="P229" i="55"/>
  <c r="R229" i="55"/>
  <c r="R321" i="55"/>
  <c r="R374" i="55"/>
  <c r="R414" i="55"/>
  <c r="H707" i="55"/>
  <c r="P707" i="55"/>
  <c r="F411" i="55"/>
  <c r="P411" i="55"/>
  <c r="F321" i="55"/>
  <c r="P321" i="55"/>
  <c r="F374" i="55"/>
  <c r="P374" i="55"/>
  <c r="L414" i="55"/>
  <c r="P414" i="55"/>
  <c r="F414" i="55"/>
  <c r="H411" i="55"/>
  <c r="J321" i="55"/>
  <c r="L374" i="55"/>
  <c r="N1034" i="55"/>
  <c r="J1036" i="55"/>
  <c r="N773" i="55"/>
  <c r="N914" i="55"/>
  <c r="N837" i="55"/>
  <c r="N1072" i="55"/>
  <c r="N1064" i="55"/>
  <c r="F1067" i="55"/>
  <c r="N1070" i="55"/>
  <c r="N636" i="55"/>
  <c r="N494" i="55"/>
  <c r="F430" i="55"/>
  <c r="H427" i="55"/>
  <c r="N322" i="55"/>
  <c r="F292" i="55"/>
  <c r="N1017" i="55"/>
  <c r="F410" i="55"/>
  <c r="H415" i="55"/>
  <c r="N1029" i="55"/>
  <c r="N774" i="55"/>
  <c r="N449" i="55"/>
  <c r="N450" i="55"/>
  <c r="N1035" i="55"/>
  <c r="N1027" i="55"/>
  <c r="N1075" i="55"/>
  <c r="N775" i="55"/>
  <c r="N769" i="55"/>
  <c r="N1073" i="55"/>
  <c r="J1077" i="55"/>
  <c r="N1040" i="55"/>
  <c r="F1069" i="55"/>
  <c r="N1071" i="55"/>
  <c r="J629" i="55"/>
  <c r="F62" i="55"/>
  <c r="F707" i="55"/>
  <c r="J374" i="55"/>
  <c r="H413" i="55"/>
  <c r="J855" i="55"/>
  <c r="J410" i="55"/>
  <c r="F367" i="55"/>
  <c r="L413" i="55"/>
  <c r="F855" i="55"/>
  <c r="J428" i="55"/>
  <c r="H1017" i="55"/>
  <c r="F1017" i="55"/>
  <c r="J292" i="55"/>
  <c r="H1064" i="55"/>
  <c r="H1024" i="55"/>
  <c r="J384" i="55"/>
  <c r="F494" i="55"/>
  <c r="T1065" i="55"/>
  <c r="H410" i="55"/>
  <c r="L410" i="55"/>
  <c r="J367" i="55"/>
  <c r="L367" i="55"/>
  <c r="J415" i="55"/>
  <c r="L415" i="55"/>
  <c r="F415" i="55"/>
  <c r="J413" i="55"/>
  <c r="F413" i="55"/>
  <c r="H855" i="55"/>
  <c r="L855" i="55"/>
  <c r="L1017" i="55"/>
  <c r="L707" i="55"/>
  <c r="J322" i="55"/>
  <c r="F1068" i="55"/>
  <c r="J1069" i="55"/>
  <c r="L1066" i="55"/>
  <c r="L1065" i="55"/>
  <c r="J1067" i="55"/>
  <c r="L292" i="55"/>
  <c r="L837" i="55"/>
  <c r="J636" i="55"/>
  <c r="F1078" i="55"/>
  <c r="J1024" i="55"/>
  <c r="F636" i="55"/>
  <c r="F678" i="55"/>
  <c r="L322" i="55"/>
  <c r="H322" i="55"/>
  <c r="H494" i="55"/>
  <c r="H292" i="55"/>
  <c r="J1070" i="55"/>
  <c r="T1076" i="55"/>
  <c r="F1036" i="55"/>
  <c r="L1073" i="55"/>
  <c r="H1068" i="55"/>
  <c r="H1076" i="55"/>
  <c r="H1077" i="55"/>
  <c r="F1040" i="55"/>
  <c r="H1036" i="55"/>
  <c r="F1076" i="55"/>
  <c r="T1040" i="55"/>
  <c r="J1040" i="55"/>
  <c r="F1073" i="55"/>
  <c r="N229" i="55"/>
  <c r="F229" i="55"/>
  <c r="F428" i="55"/>
  <c r="H1078" i="55"/>
  <c r="F1024" i="55"/>
  <c r="H383" i="55"/>
  <c r="L383" i="55"/>
  <c r="H1065" i="55"/>
  <c r="N678" i="55"/>
  <c r="N629" i="55"/>
  <c r="N385" i="55"/>
  <c r="H385" i="55"/>
  <c r="F1065" i="55"/>
  <c r="F385" i="55"/>
  <c r="L385" i="55"/>
  <c r="J678" i="55"/>
  <c r="F629" i="55"/>
  <c r="H708" i="55"/>
  <c r="T1067" i="55"/>
  <c r="J1065" i="55"/>
  <c r="T1066" i="55"/>
  <c r="F837" i="55"/>
  <c r="H837" i="55"/>
  <c r="J1078" i="55"/>
  <c r="J1064" i="55"/>
  <c r="L1064" i="55"/>
  <c r="L428" i="55"/>
  <c r="H428" i="55"/>
  <c r="H1072" i="55"/>
  <c r="T1024" i="55"/>
  <c r="L1024" i="55"/>
  <c r="L678" i="55"/>
  <c r="F383" i="55"/>
  <c r="J708" i="55"/>
  <c r="J837" i="55"/>
  <c r="H678" i="55"/>
  <c r="F1070" i="55"/>
  <c r="H629" i="55"/>
  <c r="L629" i="55"/>
  <c r="J383" i="55"/>
  <c r="L1070" i="55"/>
  <c r="N930" i="55"/>
  <c r="N1036" i="55"/>
  <c r="J839" i="55"/>
  <c r="N839" i="55"/>
  <c r="N1077" i="55"/>
  <c r="N1076" i="55"/>
  <c r="L1068" i="55"/>
  <c r="N1068" i="55"/>
  <c r="H1069" i="55"/>
  <c r="N1069" i="55"/>
  <c r="N673" i="55"/>
  <c r="N430" i="55"/>
  <c r="N427" i="55"/>
  <c r="H384" i="55"/>
  <c r="N384" i="55"/>
  <c r="N382" i="55"/>
  <c r="L307" i="55"/>
  <c r="N307" i="55"/>
  <c r="N62" i="55"/>
  <c r="N707" i="55"/>
  <c r="N321" i="55"/>
  <c r="N374" i="55"/>
  <c r="N414" i="55"/>
  <c r="N368" i="55"/>
  <c r="N549" i="55"/>
  <c r="N1078" i="55"/>
  <c r="N1066" i="55"/>
  <c r="N1065" i="55"/>
  <c r="N1067" i="55"/>
  <c r="N1024" i="55"/>
  <c r="N708" i="55"/>
  <c r="N428" i="55"/>
  <c r="N383" i="55"/>
  <c r="N292" i="55"/>
  <c r="N411" i="55"/>
  <c r="N367" i="55"/>
  <c r="N855" i="55"/>
  <c r="N410" i="55"/>
  <c r="N413" i="55"/>
  <c r="N415" i="55"/>
  <c r="T1073" i="55"/>
  <c r="H1071" i="55"/>
  <c r="H1073" i="55"/>
  <c r="J1073" i="55"/>
  <c r="F839" i="55"/>
  <c r="J1068" i="55"/>
  <c r="T1068" i="55"/>
  <c r="T1069" i="55"/>
  <c r="L1076" i="55"/>
  <c r="T1077" i="55"/>
  <c r="F1077" i="55"/>
  <c r="L1077" i="55"/>
  <c r="J62" i="55"/>
  <c r="L1040" i="55"/>
  <c r="J1076" i="55"/>
  <c r="L450" i="55"/>
  <c r="L449" i="55"/>
  <c r="J1035" i="55"/>
  <c r="T1075" i="55"/>
  <c r="F773" i="55"/>
  <c r="L839" i="55"/>
  <c r="H1040" i="55"/>
  <c r="L636" i="55"/>
  <c r="F384" i="55"/>
  <c r="J307" i="55"/>
  <c r="F1029" i="55"/>
  <c r="H775" i="55"/>
  <c r="H769" i="55"/>
  <c r="F1064" i="55"/>
  <c r="J385" i="55"/>
  <c r="F322" i="55"/>
  <c r="F775" i="55"/>
  <c r="K309" i="11"/>
  <c r="K310" i="11" s="1"/>
  <c r="K311" i="11" s="1"/>
  <c r="K303" i="11" s="1"/>
  <c r="K436" i="11"/>
  <c r="I3267" i="27"/>
  <c r="K328" i="11"/>
  <c r="I3748" i="27"/>
  <c r="K3748" i="27" s="1"/>
  <c r="K418" i="11"/>
  <c r="K435" i="11"/>
  <c r="I448" i="11"/>
  <c r="I506" i="11" s="1"/>
  <c r="K506" i="11" s="1"/>
  <c r="I1785" i="1"/>
  <c r="K1785" i="1" s="1"/>
  <c r="W435" i="1"/>
  <c r="W436" i="1" s="1"/>
  <c r="W437" i="1" s="1"/>
  <c r="W438" i="1" s="1"/>
  <c r="AF412" i="1"/>
  <c r="AF413" i="1" s="1"/>
  <c r="AF414" i="1" s="1"/>
  <c r="AF415" i="1" s="1"/>
  <c r="AF416" i="1" s="1"/>
  <c r="AF417" i="1" s="1"/>
  <c r="AF418" i="1" s="1"/>
  <c r="AF419" i="1" s="1"/>
  <c r="AF420" i="1" s="1"/>
  <c r="AF421" i="1" s="1"/>
  <c r="AF422" i="1" s="1"/>
  <c r="J707" i="1"/>
  <c r="J708" i="1" s="1"/>
  <c r="J709" i="1" s="1"/>
  <c r="J710" i="1" s="1"/>
  <c r="AF449" i="1"/>
  <c r="J687" i="1"/>
  <c r="J688" i="1" s="1"/>
  <c r="J689" i="1" s="1"/>
  <c r="J690" i="1" s="1"/>
  <c r="W402" i="1"/>
  <c r="W434" i="1"/>
  <c r="AF411" i="1"/>
  <c r="AR400" i="1" s="1"/>
  <c r="AF448" i="1"/>
  <c r="I1615" i="1"/>
  <c r="I94" i="1"/>
  <c r="K94" i="1" s="1"/>
  <c r="I3102" i="1"/>
  <c r="X3116" i="1"/>
  <c r="I1056" i="1"/>
  <c r="I3149" i="1"/>
  <c r="I1131" i="1"/>
  <c r="K1131" i="1" s="1"/>
  <c r="P721" i="1"/>
  <c r="R721" i="1" s="1"/>
  <c r="K1019" i="1"/>
  <c r="P736" i="1"/>
  <c r="R736" i="1" s="1"/>
  <c r="I954" i="1"/>
  <c r="K954" i="1" s="1"/>
  <c r="P752" i="1"/>
  <c r="R752" i="1" s="1"/>
  <c r="K1969" i="1"/>
  <c r="P1969" i="1"/>
  <c r="P431" i="1"/>
  <c r="P450" i="1"/>
  <c r="R450" i="1" s="1"/>
  <c r="P652" i="1"/>
  <c r="R652" i="1" s="1"/>
  <c r="I1750" i="1"/>
  <c r="K1750" i="1" s="1"/>
  <c r="I81" i="1"/>
  <c r="P468" i="1"/>
  <c r="R468" i="1" s="1"/>
  <c r="P640" i="1"/>
  <c r="R640" i="1" s="1"/>
  <c r="I2145" i="1"/>
  <c r="P2152" i="1" s="1"/>
  <c r="R2152" i="1" s="1"/>
  <c r="K136" i="1"/>
  <c r="I82" i="1"/>
  <c r="P576" i="1"/>
  <c r="R576" i="1" s="1"/>
  <c r="I1780" i="1"/>
  <c r="K1780" i="1" s="1"/>
  <c r="H229" i="55"/>
  <c r="P141" i="1"/>
  <c r="I1970" i="1"/>
  <c r="K1970" i="1" s="1"/>
  <c r="P432" i="1"/>
  <c r="I3661" i="1" s="1"/>
  <c r="I176" i="1"/>
  <c r="K176" i="1" s="1"/>
  <c r="P577" i="1"/>
  <c r="R577" i="1" s="1"/>
  <c r="I2126" i="1"/>
  <c r="K2126" i="1" s="1"/>
  <c r="I168" i="1"/>
  <c r="K168" i="1" s="1"/>
  <c r="R141" i="1"/>
  <c r="J229" i="55"/>
  <c r="L229" i="55"/>
  <c r="P451" i="1"/>
  <c r="R451" i="1" s="1"/>
  <c r="I1757" i="1"/>
  <c r="K1757" i="1" s="1"/>
  <c r="P469" i="1"/>
  <c r="R469" i="1" s="1"/>
  <c r="I83" i="1"/>
  <c r="I2146" i="1"/>
  <c r="K2146" i="1" s="1"/>
  <c r="K283" i="1"/>
  <c r="V715" i="1"/>
  <c r="X715" i="1" s="1"/>
  <c r="I37" i="1"/>
  <c r="K37" i="1" s="1"/>
  <c r="I29" i="1"/>
  <c r="I74" i="1"/>
  <c r="I65" i="1"/>
  <c r="P521" i="1"/>
  <c r="R521" i="1" s="1"/>
  <c r="I1826" i="1"/>
  <c r="K1826" i="1" s="1"/>
  <c r="I607" i="1"/>
  <c r="K607" i="1" s="1"/>
  <c r="I1808" i="1"/>
  <c r="K1808" i="1" s="1"/>
  <c r="P549" i="1"/>
  <c r="R549" i="1" s="1"/>
  <c r="I1844" i="1"/>
  <c r="K1844" i="1" s="1"/>
  <c r="I1179" i="1"/>
  <c r="P794" i="1"/>
  <c r="R794" i="1" s="1"/>
  <c r="R798" i="1" s="1"/>
  <c r="R800" i="1" s="1"/>
  <c r="I2368" i="1"/>
  <c r="K2368" i="1" s="1"/>
  <c r="P890" i="1"/>
  <c r="R890" i="1" s="1"/>
  <c r="I726" i="1"/>
  <c r="K726" i="1" s="1"/>
  <c r="I2321" i="1"/>
  <c r="K2321" i="1" s="1"/>
  <c r="I2030" i="1"/>
  <c r="P2030" i="1" s="1"/>
  <c r="R2030" i="1" s="1"/>
  <c r="I1631" i="1"/>
  <c r="I1972" i="1"/>
  <c r="P1972" i="1" s="1"/>
  <c r="I3121" i="1"/>
  <c r="I1943" i="1"/>
  <c r="I1993" i="1"/>
  <c r="K1993" i="1" s="1"/>
  <c r="I2011" i="1"/>
  <c r="P2012" i="1" s="1"/>
  <c r="I2008" i="1"/>
  <c r="K2008" i="1" s="1"/>
  <c r="I2053" i="1"/>
  <c r="K1564" i="1"/>
  <c r="I1590" i="1"/>
  <c r="K1590" i="1" s="1"/>
  <c r="I1506" i="1"/>
  <c r="I3169" i="1" s="1"/>
  <c r="K3169" i="1" s="1"/>
  <c r="I2718" i="1"/>
  <c r="K2718" i="1" s="1"/>
  <c r="I2712" i="1"/>
  <c r="K1548" i="1"/>
  <c r="I1533" i="1"/>
  <c r="P1522" i="1"/>
  <c r="R1522" i="1" s="1"/>
  <c r="I1161" i="1"/>
  <c r="K1161" i="1" s="1"/>
  <c r="I1518" i="1"/>
  <c r="K1518" i="1" s="1"/>
  <c r="P339" i="1"/>
  <c r="R339" i="1" s="1"/>
  <c r="P69" i="1"/>
  <c r="R69" i="1" s="1"/>
  <c r="V712" i="1"/>
  <c r="I449" i="1"/>
  <c r="K449" i="1" s="1"/>
  <c r="I868" i="1"/>
  <c r="V647" i="1"/>
  <c r="I1339" i="1"/>
  <c r="I1307" i="1"/>
  <c r="K1307" i="1" s="1"/>
  <c r="I1395" i="1"/>
  <c r="I1382" i="1"/>
  <c r="K1382" i="1" s="1"/>
  <c r="I1829" i="1"/>
  <c r="K1829" i="1" s="1"/>
  <c r="I1709" i="1"/>
  <c r="K1709" i="1" s="1"/>
  <c r="I2429" i="1"/>
  <c r="I2385" i="1"/>
  <c r="I2714" i="1"/>
  <c r="I275" i="1"/>
  <c r="K275" i="1" s="1"/>
  <c r="P393" i="1"/>
  <c r="I340" i="1"/>
  <c r="K340" i="1" s="1"/>
  <c r="V360" i="1"/>
  <c r="X360" i="1" s="1"/>
  <c r="I384" i="1"/>
  <c r="I214" i="1"/>
  <c r="K214" i="1" s="1"/>
  <c r="I886" i="1"/>
  <c r="K886" i="1" s="1"/>
  <c r="I491" i="1"/>
  <c r="K491" i="1" s="1"/>
  <c r="I902" i="1"/>
  <c r="K902" i="1" s="1"/>
  <c r="I1203" i="1"/>
  <c r="I1360" i="1"/>
  <c r="I1325" i="1"/>
  <c r="K1325" i="1" s="1"/>
  <c r="I1436" i="1"/>
  <c r="K1436" i="1" s="1"/>
  <c r="I1421" i="1"/>
  <c r="I1913" i="1"/>
  <c r="K1913" i="1" s="1"/>
  <c r="I1811" i="1"/>
  <c r="K1811" i="1" s="1"/>
  <c r="I2108" i="1"/>
  <c r="K2108" i="1" s="1"/>
  <c r="I2740" i="1"/>
  <c r="K2740" i="1" s="1"/>
  <c r="I3460" i="1"/>
  <c r="P3466" i="1" s="1"/>
  <c r="R3466" i="1" s="1"/>
  <c r="P379" i="1"/>
  <c r="R379" i="1" s="1"/>
  <c r="P322" i="1"/>
  <c r="R322" i="1" s="1"/>
  <c r="P54" i="1"/>
  <c r="R54" i="1" s="1"/>
  <c r="P366" i="1"/>
  <c r="R366" i="1" s="1"/>
  <c r="I301" i="1"/>
  <c r="K301" i="1" s="1"/>
  <c r="P1147" i="1"/>
  <c r="R1147" i="1" s="1"/>
  <c r="P524" i="1"/>
  <c r="R524" i="1" s="1"/>
  <c r="I508" i="1"/>
  <c r="K508" i="1" s="1"/>
  <c r="I1229" i="1"/>
  <c r="K1229" i="1" s="1"/>
  <c r="I1408" i="1"/>
  <c r="I1520" i="1"/>
  <c r="K1520" i="1" s="1"/>
  <c r="P1524" i="1"/>
  <c r="R1524" i="1" s="1"/>
  <c r="I1493" i="1"/>
  <c r="I2028" i="1"/>
  <c r="P2028" i="1" s="1"/>
  <c r="R2028" i="1" s="1"/>
  <c r="I2009" i="1"/>
  <c r="K2009" i="1" s="1"/>
  <c r="I1847" i="1"/>
  <c r="I2687" i="1"/>
  <c r="K2687" i="1" s="1"/>
  <c r="P287" i="1"/>
  <c r="R287" i="1" s="1"/>
  <c r="P84" i="1"/>
  <c r="R84" i="1" s="1"/>
  <c r="I316" i="1"/>
  <c r="AS3106" i="1"/>
  <c r="I414" i="1"/>
  <c r="K414" i="1" s="1"/>
  <c r="I228" i="1"/>
  <c r="I198" i="1"/>
  <c r="P321" i="1"/>
  <c r="R321" i="1" s="1"/>
  <c r="V646" i="1"/>
  <c r="X646" i="1" s="1"/>
  <c r="P523" i="1"/>
  <c r="R523" i="1" s="1"/>
  <c r="I811" i="1"/>
  <c r="K811" i="1" s="1"/>
  <c r="P551" i="1"/>
  <c r="R551" i="1" s="1"/>
  <c r="I866" i="1"/>
  <c r="I3306" i="1" s="1"/>
  <c r="K3306" i="1" s="1"/>
  <c r="I900" i="1"/>
  <c r="K900" i="1" s="1"/>
  <c r="P1523" i="1"/>
  <c r="R1523" i="1" s="1"/>
  <c r="I1228" i="1"/>
  <c r="K1228" i="1" s="1"/>
  <c r="P1360" i="1"/>
  <c r="R1360" i="1" s="1"/>
  <c r="I1306" i="1"/>
  <c r="P1304" i="1" s="1"/>
  <c r="R1304" i="1" s="1"/>
  <c r="I1407" i="1"/>
  <c r="I2031" i="1"/>
  <c r="K2031" i="1" s="1"/>
  <c r="I1480" i="1"/>
  <c r="K1480" i="1" s="1"/>
  <c r="I2165" i="1"/>
  <c r="K2165" i="1" s="1"/>
  <c r="I1995" i="1"/>
  <c r="P1995" i="1" s="1"/>
  <c r="I2791" i="1"/>
  <c r="K2791" i="1" s="1"/>
  <c r="L2757" i="1" s="1"/>
  <c r="I1912" i="1"/>
  <c r="K1912" i="1" s="1"/>
  <c r="I2152" i="1"/>
  <c r="P2159" i="1" s="1"/>
  <c r="R2159" i="1" s="1"/>
  <c r="I2428" i="1"/>
  <c r="P2435" i="1" s="1"/>
  <c r="R2435" i="1" s="1"/>
  <c r="J3045" i="1"/>
  <c r="K3045" i="1" s="1"/>
  <c r="I383" i="1"/>
  <c r="I3809" i="1"/>
  <c r="K3809" i="1" s="1"/>
  <c r="I490" i="1"/>
  <c r="K490" i="1" s="1"/>
  <c r="P392" i="1"/>
  <c r="P83" i="1"/>
  <c r="R83" i="1" s="1"/>
  <c r="P53" i="1"/>
  <c r="R53" i="1" s="1"/>
  <c r="I359" i="1"/>
  <c r="K359" i="1" s="1"/>
  <c r="I300" i="1"/>
  <c r="K300" i="1" s="1"/>
  <c r="P309" i="1"/>
  <c r="R309" i="1" s="1"/>
  <c r="I652" i="1"/>
  <c r="K652" i="1" s="1"/>
  <c r="V711" i="1"/>
  <c r="X711" i="1" s="1"/>
  <c r="Z711" i="1" s="1"/>
  <c r="I884" i="1"/>
  <c r="K884" i="1" s="1"/>
  <c r="I552" i="1"/>
  <c r="K552" i="1" s="1"/>
  <c r="P1146" i="1"/>
  <c r="I1149" i="1"/>
  <c r="K1149" i="1" s="1"/>
  <c r="I1162" i="1"/>
  <c r="K1162" i="1" s="1"/>
  <c r="I1273" i="1"/>
  <c r="I1420" i="1"/>
  <c r="I1324" i="1"/>
  <c r="K1324" i="1" s="1"/>
  <c r="I1519" i="1"/>
  <c r="K1519" i="1" s="1"/>
  <c r="P2337" i="1"/>
  <c r="R2337" i="1" s="1"/>
  <c r="I1846" i="1"/>
  <c r="K1846" i="1" s="1"/>
  <c r="I2335" i="1"/>
  <c r="K2335" i="1" s="1"/>
  <c r="I2107" i="1"/>
  <c r="K2107" i="1" s="1"/>
  <c r="I1647" i="1"/>
  <c r="I1974" i="1"/>
  <c r="K1974" i="1" s="1"/>
  <c r="I2178" i="1"/>
  <c r="K2178" i="1" s="1"/>
  <c r="I2713" i="1"/>
  <c r="I3459" i="1"/>
  <c r="I3826" i="1" s="1"/>
  <c r="K3826" i="1" s="1"/>
  <c r="I315" i="1"/>
  <c r="V479" i="1"/>
  <c r="AB479" i="1" s="1"/>
  <c r="AD479" i="1" s="1"/>
  <c r="P350" i="1"/>
  <c r="R350" i="1" s="1"/>
  <c r="P298" i="1"/>
  <c r="R298" i="1" s="1"/>
  <c r="I213" i="1"/>
  <c r="K213" i="1" s="1"/>
  <c r="I727" i="1"/>
  <c r="K727" i="1" s="1"/>
  <c r="I763" i="1"/>
  <c r="K763" i="1" s="1"/>
  <c r="P891" i="1"/>
  <c r="R891" i="1" s="1"/>
  <c r="I584" i="1"/>
  <c r="K584" i="1" s="1"/>
  <c r="I507" i="1"/>
  <c r="I1253" i="1"/>
  <c r="I1202" i="1"/>
  <c r="I1338" i="1"/>
  <c r="I1455" i="1"/>
  <c r="K1455" i="1" s="1"/>
  <c r="I1359" i="1"/>
  <c r="I1492" i="1"/>
  <c r="I2349" i="1"/>
  <c r="I2012" i="1"/>
  <c r="P2013" i="1" s="1"/>
  <c r="I1828" i="1"/>
  <c r="K1828" i="1" s="1"/>
  <c r="I2399" i="1"/>
  <c r="I1708" i="1"/>
  <c r="K1708" i="1" s="1"/>
  <c r="I2079" i="1"/>
  <c r="I2322" i="1"/>
  <c r="K2322" i="1" s="1"/>
  <c r="I2994" i="1"/>
  <c r="K2994" i="1" s="1"/>
  <c r="P378" i="1"/>
  <c r="R378" i="1" s="1"/>
  <c r="P338" i="1"/>
  <c r="R338" i="1" s="1"/>
  <c r="I274" i="1"/>
  <c r="K274" i="1" s="1"/>
  <c r="P82" i="1"/>
  <c r="R82" i="1" s="1"/>
  <c r="I382" i="1"/>
  <c r="I506" i="1"/>
  <c r="I2900" i="1" s="1"/>
  <c r="K2900" i="1" s="1"/>
  <c r="I1337" i="1"/>
  <c r="I1252" i="1"/>
  <c r="I2078" i="1"/>
  <c r="I2427" i="1"/>
  <c r="P2434" i="1" s="1"/>
  <c r="R2434" i="1" s="1"/>
  <c r="I2993" i="1"/>
  <c r="K2993" i="1" s="1"/>
  <c r="I413" i="1"/>
  <c r="K413" i="1" s="1"/>
  <c r="I358" i="1"/>
  <c r="V358" i="1" s="1"/>
  <c r="I273" i="1"/>
  <c r="K273" i="1" s="1"/>
  <c r="P67" i="1"/>
  <c r="R67" i="1" s="1"/>
  <c r="I299" i="1"/>
  <c r="K299" i="1" s="1"/>
  <c r="P52" i="1"/>
  <c r="R52" i="1" s="1"/>
  <c r="P391" i="1"/>
  <c r="R391" i="1" s="1"/>
  <c r="R396" i="1" s="1"/>
  <c r="R398" i="1" s="1"/>
  <c r="V645" i="1"/>
  <c r="X645" i="1" s="1"/>
  <c r="I1380" i="1"/>
  <c r="K1380" i="1" s="1"/>
  <c r="I1257" i="1"/>
  <c r="I2334" i="1"/>
  <c r="K2334" i="1" s="1"/>
  <c r="I1994" i="1"/>
  <c r="P1994" i="1" s="1"/>
  <c r="I3458" i="1"/>
  <c r="K3458" i="1" s="1"/>
  <c r="I197" i="1"/>
  <c r="P377" i="1"/>
  <c r="R377" i="1" s="1"/>
  <c r="I810" i="1"/>
  <c r="V804" i="1" s="1"/>
  <c r="X804" i="1" s="1"/>
  <c r="P1145" i="1"/>
  <c r="I1223" i="1"/>
  <c r="K1223" i="1" s="1"/>
  <c r="I1358" i="1"/>
  <c r="I1491" i="1"/>
  <c r="I1973" i="1"/>
  <c r="P285" i="1"/>
  <c r="R285" i="1" s="1"/>
  <c r="I227" i="1"/>
  <c r="I1353" i="1"/>
  <c r="C67" i="1"/>
  <c r="P3467" i="1"/>
  <c r="R3467" i="1" s="1"/>
  <c r="I3828" i="1"/>
  <c r="K3828" i="1" s="1"/>
  <c r="K3461" i="1"/>
  <c r="I18" i="1"/>
  <c r="P1379" i="1"/>
  <c r="R1379" i="1" s="1"/>
  <c r="I2296" i="1"/>
  <c r="K2296" i="1" s="1"/>
  <c r="AB1386" i="1"/>
  <c r="AD1386" i="1" s="1"/>
  <c r="AD1369" i="1"/>
  <c r="I3530" i="1"/>
  <c r="R3403" i="1"/>
  <c r="P1463" i="1"/>
  <c r="R1446" i="1"/>
  <c r="X1403" i="1"/>
  <c r="AB1401" i="1"/>
  <c r="V1402" i="1"/>
  <c r="X1386" i="1"/>
  <c r="I988" i="11"/>
  <c r="K1535" i="1"/>
  <c r="K1408" i="1"/>
  <c r="K1493" i="1"/>
  <c r="P165" i="1"/>
  <c r="R165" i="1" s="1"/>
  <c r="K1407" i="1"/>
  <c r="K3797" i="27"/>
  <c r="F427" i="55"/>
  <c r="J427" i="55"/>
  <c r="L427" i="55"/>
  <c r="L62" i="55"/>
  <c r="P3497" i="27"/>
  <c r="R3497" i="27" s="1"/>
  <c r="I3535" i="27"/>
  <c r="K3535" i="27" s="1"/>
  <c r="K18" i="1"/>
  <c r="R1995" i="1"/>
  <c r="K229" i="1"/>
  <c r="K2077" i="1"/>
  <c r="K3801" i="27"/>
  <c r="I3708" i="27"/>
  <c r="K3708" i="27" s="1"/>
  <c r="K448" i="11"/>
  <c r="I1084" i="11"/>
  <c r="K1084" i="11" s="1"/>
  <c r="I900" i="11"/>
  <c r="K143" i="11"/>
  <c r="K141" i="11"/>
  <c r="Z12" i="27"/>
  <c r="I19" i="27"/>
  <c r="K19" i="27" s="1"/>
  <c r="K23" i="27" s="1"/>
  <c r="I271" i="27"/>
  <c r="K271" i="27" s="1"/>
  <c r="I45" i="27"/>
  <c r="K45" i="27" s="1"/>
  <c r="I976" i="27"/>
  <c r="K976" i="27" s="1"/>
  <c r="K4007" i="1"/>
  <c r="K36" i="25" s="1"/>
  <c r="I1304" i="1"/>
  <c r="K1304" i="1" s="1"/>
  <c r="X3543" i="1"/>
  <c r="D45" i="50"/>
  <c r="P1415" i="1"/>
  <c r="V1376" i="1" s="1"/>
  <c r="P3528" i="1"/>
  <c r="R3528" i="1" s="1"/>
  <c r="R1426" i="1"/>
  <c r="I3057" i="1"/>
  <c r="K3057" i="1" s="1"/>
  <c r="X1369" i="1"/>
  <c r="AE3543" i="1"/>
  <c r="X3554" i="1"/>
  <c r="H62" i="55"/>
  <c r="R392" i="1"/>
  <c r="P199" i="1"/>
  <c r="K2712" i="1"/>
  <c r="V1283" i="1"/>
  <c r="X1283" i="1" s="1"/>
  <c r="K1259" i="1"/>
  <c r="K1358" i="1"/>
  <c r="AB1266" i="1"/>
  <c r="AD1266" i="1" s="1"/>
  <c r="K1420" i="1"/>
  <c r="V383" i="1"/>
  <c r="V414" i="1" s="1"/>
  <c r="X414" i="1" s="1"/>
  <c r="P233" i="1"/>
  <c r="R233" i="1" s="1"/>
  <c r="K20" i="1"/>
  <c r="T1071" i="55"/>
  <c r="H673" i="55"/>
  <c r="F547" i="25"/>
  <c r="D584" i="25"/>
  <c r="D619" i="25" s="1"/>
  <c r="I3686" i="27"/>
  <c r="K3686" i="27" s="1"/>
  <c r="J1071" i="55"/>
  <c r="I2998" i="27"/>
  <c r="K2998" i="27" s="1"/>
  <c r="J914" i="55"/>
  <c r="T1078" i="55"/>
  <c r="F1066" i="55"/>
  <c r="J1066" i="55"/>
  <c r="I3368" i="27"/>
  <c r="K3335" i="27"/>
  <c r="I3330" i="27" s="1"/>
  <c r="K3330" i="27" s="1"/>
  <c r="K920" i="27"/>
  <c r="I2564" i="27"/>
  <c r="K2564" i="27" s="1"/>
  <c r="P600" i="27"/>
  <c r="R600" i="27" s="1"/>
  <c r="I2068" i="27"/>
  <c r="K2068" i="27" s="1"/>
  <c r="I82" i="27"/>
  <c r="K82" i="27" s="1"/>
  <c r="I1711" i="27"/>
  <c r="K1711" i="27" s="1"/>
  <c r="I1891" i="27"/>
  <c r="K1891" i="27" s="1"/>
  <c r="I81" i="27"/>
  <c r="K81" i="27" s="1"/>
  <c r="I110" i="27"/>
  <c r="K110" i="27" s="1"/>
  <c r="K1490" i="1"/>
  <c r="D287" i="64"/>
  <c r="F221" i="64"/>
  <c r="L382" i="55"/>
  <c r="F382" i="55"/>
  <c r="H382" i="55"/>
  <c r="I2261" i="27"/>
  <c r="K1037" i="27"/>
  <c r="K1039" i="27" s="1"/>
  <c r="P635" i="27"/>
  <c r="R635" i="27" s="1"/>
  <c r="I223" i="11"/>
  <c r="P2858" i="27"/>
  <c r="R2858" i="27" s="1"/>
  <c r="R390" i="1"/>
  <c r="Z35" i="27"/>
  <c r="AC35" i="27" s="1"/>
  <c r="I253" i="27" s="1"/>
  <c r="K253" i="27" s="1"/>
  <c r="K258" i="27" s="1"/>
  <c r="K260" i="27" s="1"/>
  <c r="P3404" i="1"/>
  <c r="I37" i="25"/>
  <c r="I3079" i="1"/>
  <c r="K3079" i="1" s="1"/>
  <c r="I2425" i="1"/>
  <c r="P2432" i="1" s="1"/>
  <c r="R2432" i="1" s="1"/>
  <c r="P947" i="1"/>
  <c r="R947" i="1" s="1"/>
  <c r="V733" i="1"/>
  <c r="X733" i="1" s="1"/>
  <c r="V898" i="1"/>
  <c r="X898" i="1" s="1"/>
  <c r="I2507" i="1"/>
  <c r="P2514" i="1" s="1"/>
  <c r="P1466" i="1"/>
  <c r="P3368" i="1"/>
  <c r="R3368" i="1" s="1"/>
  <c r="P3547" i="1"/>
  <c r="R3547" i="1" s="1"/>
  <c r="R2006" i="1"/>
  <c r="R1072" i="1"/>
  <c r="K384" i="1"/>
  <c r="K314" i="1"/>
  <c r="K55" i="1"/>
  <c r="K1533" i="1"/>
  <c r="K74" i="1"/>
  <c r="K1339" i="1"/>
  <c r="K1395" i="1"/>
  <c r="I2720" i="1"/>
  <c r="K2720" i="1" s="1"/>
  <c r="K2054" i="1"/>
  <c r="K1253" i="1"/>
  <c r="K1202" i="1"/>
  <c r="K1338" i="1"/>
  <c r="K1359" i="1"/>
  <c r="K1492" i="1"/>
  <c r="R2013" i="1"/>
  <c r="K2079" i="1"/>
  <c r="R2012" i="1"/>
  <c r="I3007" i="27"/>
  <c r="K3007" i="27" s="1"/>
  <c r="I2908" i="27"/>
  <c r="I3799" i="27"/>
  <c r="K2846" i="27"/>
  <c r="K1085" i="27"/>
  <c r="I2262" i="27"/>
  <c r="I167" i="27"/>
  <c r="C164" i="27" s="1"/>
  <c r="I2049" i="27"/>
  <c r="K2049" i="27" s="1"/>
  <c r="P554" i="27"/>
  <c r="R554" i="27" s="1"/>
  <c r="I1892" i="27"/>
  <c r="K1892" i="27" s="1"/>
  <c r="I1976" i="27"/>
  <c r="K1976" i="27" s="1"/>
  <c r="I1865" i="27"/>
  <c r="K1865" i="27" s="1"/>
  <c r="I1934" i="27"/>
  <c r="K1934" i="27" s="1"/>
  <c r="I1953" i="27"/>
  <c r="K1953" i="27" s="1"/>
  <c r="I1449" i="27"/>
  <c r="K1449" i="27" s="1"/>
  <c r="I1464" i="27"/>
  <c r="K1464" i="27" s="1"/>
  <c r="V1286" i="1"/>
  <c r="X1286" i="1" s="1"/>
  <c r="R393" i="1"/>
  <c r="F1071" i="55"/>
  <c r="L1071" i="55"/>
  <c r="L494" i="55"/>
  <c r="J494" i="55"/>
  <c r="K3806" i="27"/>
  <c r="K3354" i="27"/>
  <c r="I3587" i="27"/>
  <c r="K3587" i="27" s="1"/>
  <c r="C139" i="27"/>
  <c r="C137" i="27"/>
  <c r="AC29" i="27"/>
  <c r="C91" i="27" s="1"/>
  <c r="K1066" i="27"/>
  <c r="K1068" i="27" s="1"/>
  <c r="K1139" i="11"/>
  <c r="K449" i="11"/>
  <c r="R675" i="11"/>
  <c r="R666" i="11" s="1"/>
  <c r="K304" i="11"/>
  <c r="P1443" i="1"/>
  <c r="R1443" i="1" s="1"/>
  <c r="R3268" i="1"/>
  <c r="I1783" i="1"/>
  <c r="K1783" i="1" s="1"/>
  <c r="K3225" i="1"/>
  <c r="L3191" i="1" s="1"/>
  <c r="K2775" i="1"/>
  <c r="K2778" i="1" s="1"/>
  <c r="V382" i="1"/>
  <c r="P166" i="1"/>
  <c r="R166" i="1" s="1"/>
  <c r="K65" i="1"/>
  <c r="K1203" i="1"/>
  <c r="K1360" i="1"/>
  <c r="K1421" i="1"/>
  <c r="K1337" i="1"/>
  <c r="V1281" i="1"/>
  <c r="X1281" i="1" s="1"/>
  <c r="K2078" i="1"/>
  <c r="K1258" i="1"/>
  <c r="K1394" i="1"/>
  <c r="K2055" i="1"/>
  <c r="K316" i="1"/>
  <c r="K29" i="1"/>
  <c r="K2053" i="1"/>
  <c r="K141" i="1"/>
  <c r="I3810" i="27"/>
  <c r="F673" i="55"/>
  <c r="J673" i="55"/>
  <c r="L673" i="55"/>
  <c r="J382" i="55"/>
  <c r="K3222" i="27"/>
  <c r="I3218" i="27" s="1"/>
  <c r="K3218" i="27" s="1"/>
  <c r="I3921" i="27"/>
  <c r="K3921" i="27" s="1"/>
  <c r="P2871" i="27"/>
  <c r="R2871" i="27" s="1"/>
  <c r="I3825" i="27"/>
  <c r="K3825" i="27" s="1"/>
  <c r="I3158" i="27"/>
  <c r="I3247" i="27"/>
  <c r="P2852" i="27"/>
  <c r="K2852" i="27"/>
  <c r="K2892" i="27" s="1"/>
  <c r="K3850" i="27" s="1"/>
  <c r="I2909" i="27"/>
  <c r="I2931" i="27"/>
  <c r="I3725" i="27"/>
  <c r="K3725" i="27" s="1"/>
  <c r="I2995" i="27"/>
  <c r="K2995" i="27" s="1"/>
  <c r="I3795" i="27"/>
  <c r="K1019" i="27"/>
  <c r="I2530" i="27"/>
  <c r="K2530" i="27" s="1"/>
  <c r="K1015" i="27"/>
  <c r="I2526" i="27"/>
  <c r="K2526" i="27" s="1"/>
  <c r="I880" i="27"/>
  <c r="K880" i="27" s="1"/>
  <c r="K883" i="27" s="1"/>
  <c r="I887" i="27"/>
  <c r="K887" i="27" s="1"/>
  <c r="K890" i="27" s="1"/>
  <c r="K3803" i="27"/>
  <c r="K3837" i="27" s="1"/>
  <c r="K3910" i="27"/>
  <c r="F150" i="50"/>
  <c r="K3796" i="27"/>
  <c r="K2745" i="27"/>
  <c r="K2748" i="27" s="1"/>
  <c r="I2563" i="27"/>
  <c r="I1777" i="27"/>
  <c r="K1777" i="27" s="1"/>
  <c r="I1741" i="27"/>
  <c r="K1741" i="27" s="1"/>
  <c r="I1639" i="27"/>
  <c r="K1639" i="27" s="1"/>
  <c r="I1046" i="27"/>
  <c r="K1046" i="27" s="1"/>
  <c r="K1052" i="27" s="1"/>
  <c r="K1054" i="27" s="1"/>
  <c r="I482" i="27"/>
  <c r="K482" i="27" s="1"/>
  <c r="I413" i="27"/>
  <c r="K413" i="27" s="1"/>
  <c r="P320" i="27"/>
  <c r="R320" i="27" s="1"/>
  <c r="F272" i="25"/>
  <c r="D256" i="25" s="1"/>
  <c r="F256" i="25" s="1"/>
  <c r="K3802" i="27"/>
  <c r="K3893" i="27"/>
  <c r="K2810" i="27"/>
  <c r="K2811" i="27" s="1"/>
  <c r="K2802" i="27" s="1"/>
  <c r="I2789" i="27"/>
  <c r="K2789" i="27" s="1"/>
  <c r="I2531" i="27"/>
  <c r="K2531" i="27" s="1"/>
  <c r="K2427" i="27"/>
  <c r="I1917" i="27"/>
  <c r="K1917" i="27" s="1"/>
  <c r="I1866" i="27"/>
  <c r="K1866" i="27" s="1"/>
  <c r="I1835" i="27"/>
  <c r="K1835" i="27" s="1"/>
  <c r="I1759" i="27"/>
  <c r="K1759" i="27" s="1"/>
  <c r="I1451" i="27"/>
  <c r="K1451" i="27" s="1"/>
  <c r="I1439" i="27"/>
  <c r="K1439" i="27" s="1"/>
  <c r="I1367" i="27"/>
  <c r="K1367" i="27" s="1"/>
  <c r="I1314" i="27"/>
  <c r="K1314" i="27" s="1"/>
  <c r="I1158" i="27"/>
  <c r="K1158" i="27" s="1"/>
  <c r="I860" i="27"/>
  <c r="K860" i="27" s="1"/>
  <c r="P856" i="27"/>
  <c r="R856" i="27" s="1"/>
  <c r="I843" i="27"/>
  <c r="K843" i="27" s="1"/>
  <c r="I775" i="27"/>
  <c r="K775" i="27" s="1"/>
  <c r="I536" i="27"/>
  <c r="K536" i="27" s="1"/>
  <c r="P515" i="27"/>
  <c r="R515" i="27" s="1"/>
  <c r="P498" i="27"/>
  <c r="R498" i="27" s="1"/>
  <c r="I448" i="27"/>
  <c r="K448" i="27" s="1"/>
  <c r="I359" i="27"/>
  <c r="K359" i="27" s="1"/>
  <c r="I338" i="27"/>
  <c r="K338" i="27" s="1"/>
  <c r="I314" i="27"/>
  <c r="K314" i="27" s="1"/>
  <c r="G473" i="25"/>
  <c r="A484" i="25" s="1"/>
  <c r="G484" i="25" s="1"/>
  <c r="D162" i="25"/>
  <c r="F162" i="25" s="1"/>
  <c r="K1269" i="1"/>
  <c r="R1068" i="1"/>
  <c r="K1270" i="1"/>
  <c r="R1630" i="1"/>
  <c r="K2052" i="1"/>
  <c r="K2073" i="1"/>
  <c r="I832" i="11"/>
  <c r="K832" i="11" s="1"/>
  <c r="K926" i="11"/>
  <c r="I896" i="1"/>
  <c r="K896" i="1" s="1"/>
  <c r="P1050" i="1"/>
  <c r="R1050" i="1" s="1"/>
  <c r="K1062" i="1"/>
  <c r="K1193" i="1"/>
  <c r="K1532" i="1"/>
  <c r="K2074" i="1"/>
  <c r="I2539" i="1"/>
  <c r="Z2605" i="1"/>
  <c r="AE2641" i="1"/>
  <c r="AB2650" i="1" s="1"/>
  <c r="AE2646" i="1"/>
  <c r="AB2651" i="1" s="1"/>
  <c r="K2711" i="1"/>
  <c r="P3563" i="1"/>
  <c r="R3563" i="1" s="1"/>
  <c r="K155" i="11"/>
  <c r="K1126" i="11"/>
  <c r="F412" i="64"/>
  <c r="K1248" i="1"/>
  <c r="R1066" i="1"/>
  <c r="R1070" i="1"/>
  <c r="R1320" i="1"/>
  <c r="K1356" i="1"/>
  <c r="K1534" i="1"/>
  <c r="K1887" i="1"/>
  <c r="R1986" i="1"/>
  <c r="K2075" i="1"/>
  <c r="K2469" i="1"/>
  <c r="K2471" i="1" s="1"/>
  <c r="K2473" i="1" s="1"/>
  <c r="P376" i="11"/>
  <c r="R376" i="11" s="1"/>
  <c r="K632" i="11"/>
  <c r="J1017" i="55"/>
  <c r="K880" i="1"/>
  <c r="P951" i="1"/>
  <c r="R951" i="1" s="1"/>
  <c r="AE1066" i="1"/>
  <c r="AG1066" i="1" s="1"/>
  <c r="P1241" i="1"/>
  <c r="R1241" i="1" s="1"/>
  <c r="P1538" i="1"/>
  <c r="R1538" i="1" s="1"/>
  <c r="R1632" i="1"/>
  <c r="I1879" i="1"/>
  <c r="K2049" i="1"/>
  <c r="K2051" i="1"/>
  <c r="K2076" i="1"/>
  <c r="K2116" i="1"/>
  <c r="K2119" i="1" s="1"/>
  <c r="I2537" i="1"/>
  <c r="P2510" i="1"/>
  <c r="M2514" i="1" s="1"/>
  <c r="K3585" i="1"/>
  <c r="K3586" i="1" s="1"/>
  <c r="K400" i="11"/>
  <c r="K443" i="11"/>
  <c r="K633" i="11"/>
  <c r="U3" i="1"/>
  <c r="C3" i="68"/>
  <c r="W35" i="1"/>
  <c r="W36" i="1"/>
  <c r="W43" i="1"/>
  <c r="W44" i="1" s="1"/>
  <c r="W37" i="1"/>
  <c r="V682" i="1"/>
  <c r="X682" i="1" s="1"/>
  <c r="K2012" i="1"/>
  <c r="P1993" i="1"/>
  <c r="K868" i="1"/>
  <c r="I1588" i="1"/>
  <c r="K1588" i="1" s="1"/>
  <c r="P1305" i="1"/>
  <c r="R1305" i="1" s="1"/>
  <c r="V584" i="1"/>
  <c r="X584" i="1" s="1"/>
  <c r="V314" i="1"/>
  <c r="AQ66" i="1" s="1"/>
  <c r="AQ90" i="1" s="1"/>
  <c r="AQ110" i="1" s="1"/>
  <c r="AQ135" i="1" s="1"/>
  <c r="P601" i="27"/>
  <c r="R601" i="27" s="1"/>
  <c r="R612" i="27" s="1"/>
  <c r="I1893" i="27"/>
  <c r="K1893" i="27" s="1"/>
  <c r="K1899" i="27" s="1"/>
  <c r="I2028" i="27"/>
  <c r="K2028" i="27" s="1"/>
  <c r="K2034" i="27" s="1"/>
  <c r="I1913" i="27"/>
  <c r="K1913" i="27" s="1"/>
  <c r="P574" i="27"/>
  <c r="R574" i="27" s="1"/>
  <c r="P588" i="27"/>
  <c r="R588" i="27" s="1"/>
  <c r="I2973" i="1"/>
  <c r="K2837" i="1"/>
  <c r="P1450" i="1"/>
  <c r="R1434" i="1"/>
  <c r="P1451" i="1"/>
  <c r="R1435" i="1"/>
  <c r="M715" i="11"/>
  <c r="C1038" i="55"/>
  <c r="C724" i="55" s="1"/>
  <c r="C1074" i="55"/>
  <c r="R1442" i="1"/>
  <c r="P1459" i="1"/>
  <c r="P9" i="27"/>
  <c r="R9" i="27" s="1"/>
  <c r="R14" i="27" s="1"/>
  <c r="P23" i="27"/>
  <c r="R23" i="27" s="1"/>
  <c r="I1254" i="27"/>
  <c r="K1254" i="27" s="1"/>
  <c r="V3575" i="1"/>
  <c r="X3559" i="1"/>
  <c r="K1006" i="11"/>
  <c r="I124" i="11"/>
  <c r="K450" i="11"/>
  <c r="K451" i="11" s="1"/>
  <c r="K444" i="11" s="1"/>
  <c r="I228" i="11"/>
  <c r="K228" i="11" s="1"/>
  <c r="I4010" i="1"/>
  <c r="P1539" i="1" s="1"/>
  <c r="R1539" i="1" s="1"/>
  <c r="K2507" i="1"/>
  <c r="I63" i="1"/>
  <c r="I1226" i="1"/>
  <c r="V765" i="1"/>
  <c r="X765" i="1" s="1"/>
  <c r="V384" i="1"/>
  <c r="V415" i="1" s="1"/>
  <c r="X415" i="1" s="1"/>
  <c r="K1056" i="1"/>
  <c r="I2939" i="27"/>
  <c r="K3497" i="27"/>
  <c r="K2736" i="27"/>
  <c r="I46" i="27"/>
  <c r="K46" i="27" s="1"/>
  <c r="G447" i="25"/>
  <c r="E437" i="25" s="1"/>
  <c r="G437" i="25" s="1"/>
  <c r="V2598" i="1"/>
  <c r="S2603" i="1" s="1"/>
  <c r="X2603" i="1" s="1"/>
  <c r="K82" i="11"/>
  <c r="V3523" i="1"/>
  <c r="X3523" i="1" s="1"/>
  <c r="X3683" i="1"/>
  <c r="K3343" i="1"/>
  <c r="I3442" i="1"/>
  <c r="K3442" i="1" s="1"/>
  <c r="F23" i="25"/>
  <c r="I3036" i="27"/>
  <c r="K3036" i="27" s="1"/>
  <c r="AG43" i="1"/>
  <c r="I898" i="1"/>
  <c r="K898" i="1" s="1"/>
  <c r="K1682" i="1"/>
  <c r="R3266" i="1"/>
  <c r="J3855" i="1"/>
  <c r="F449" i="55"/>
  <c r="K120" i="11"/>
  <c r="D552" i="25"/>
  <c r="F552" i="25" s="1"/>
  <c r="K3060" i="1"/>
  <c r="I44" i="1"/>
  <c r="I1645" i="1"/>
  <c r="K1645" i="1" s="1"/>
  <c r="AE1065" i="1"/>
  <c r="AG1065" i="1" s="1"/>
  <c r="I2915" i="27"/>
  <c r="K2915" i="27" s="1"/>
  <c r="K3496" i="27"/>
  <c r="P25" i="27"/>
  <c r="R25" i="27" s="1"/>
  <c r="D111" i="25"/>
  <c r="C21" i="1"/>
  <c r="AF450" i="1" s="1"/>
  <c r="AF451" i="1" s="1"/>
  <c r="AF452" i="1" s="1"/>
  <c r="AF453" i="1" s="1"/>
  <c r="AF454" i="1" s="1"/>
  <c r="AF455" i="1" s="1"/>
  <c r="AF456" i="1" s="1"/>
  <c r="AF457" i="1" s="1"/>
  <c r="AF458" i="1" s="1"/>
  <c r="AF459" i="1" s="1"/>
  <c r="AF460" i="1" s="1"/>
  <c r="AF461" i="1" s="1"/>
  <c r="AF462" i="1" s="1"/>
  <c r="AF463" i="1" s="1"/>
  <c r="P2647" i="1"/>
  <c r="R2647" i="1" s="1"/>
  <c r="X2791" i="1"/>
  <c r="P3157" i="1"/>
  <c r="R3157" i="1" s="1"/>
  <c r="K834" i="11"/>
  <c r="P430" i="27"/>
  <c r="R430" i="27" s="1"/>
  <c r="U20" i="4"/>
  <c r="AR11" i="64"/>
  <c r="AR12" i="64" s="1"/>
  <c r="AR13" i="64" s="1"/>
  <c r="AS13" i="64" s="1"/>
  <c r="AG46" i="1"/>
  <c r="K74" i="11"/>
  <c r="O729" i="11"/>
  <c r="P54" i="11"/>
  <c r="R54" i="11" s="1"/>
  <c r="I106" i="11"/>
  <c r="I1081" i="11"/>
  <c r="K1081" i="11" s="1"/>
  <c r="P1494" i="1"/>
  <c r="I1093" i="1"/>
  <c r="I72" i="1"/>
  <c r="I1561" i="1"/>
  <c r="V1282" i="1"/>
  <c r="X1282" i="1" s="1"/>
  <c r="K2011" i="1"/>
  <c r="I3541" i="1"/>
  <c r="AE3541" i="1" s="1"/>
  <c r="X879" i="1"/>
  <c r="K3341" i="1"/>
  <c r="I3440" i="1"/>
  <c r="K3440" i="1" s="1"/>
  <c r="K3342" i="1"/>
  <c r="I3441" i="1"/>
  <c r="K3441" i="1" s="1"/>
  <c r="K3515" i="27"/>
  <c r="P2060" i="1"/>
  <c r="I4038" i="1"/>
  <c r="K4038" i="1" s="1"/>
  <c r="I1072" i="11"/>
  <c r="K1072" i="11" s="1"/>
  <c r="I201" i="11"/>
  <c r="K201" i="11" s="1"/>
  <c r="P3712" i="1"/>
  <c r="R3712" i="1" s="1"/>
  <c r="V3540" i="1"/>
  <c r="P1074" i="1"/>
  <c r="I271" i="1"/>
  <c r="K271" i="1" s="1"/>
  <c r="AH3106" i="1"/>
  <c r="K338" i="1"/>
  <c r="AB1367" i="1"/>
  <c r="P3529" i="1"/>
  <c r="R3529" i="1" s="1"/>
  <c r="R2078" i="1"/>
  <c r="K1020" i="1"/>
  <c r="P1073" i="1"/>
  <c r="K130" i="11"/>
  <c r="P2296" i="1"/>
  <c r="R2296" i="1" s="1"/>
  <c r="K3540" i="1"/>
  <c r="X1359" i="1"/>
  <c r="I808" i="1"/>
  <c r="V643" i="1" s="1"/>
  <c r="I3987" i="1"/>
  <c r="AE3561" i="1"/>
  <c r="P990" i="1"/>
  <c r="R990" i="1" s="1"/>
  <c r="P3396" i="1"/>
  <c r="R3396" i="1" s="1"/>
  <c r="K3539" i="1"/>
  <c r="F264" i="25"/>
  <c r="F265" i="25" s="1"/>
  <c r="K2260" i="27"/>
  <c r="R2854" i="27"/>
  <c r="K419" i="11"/>
  <c r="K420" i="11" s="1"/>
  <c r="K412" i="11" s="1"/>
  <c r="V3609" i="1"/>
  <c r="X3609" i="1" s="1"/>
  <c r="P1460" i="1"/>
  <c r="R1460" i="1" s="1"/>
  <c r="AE3540" i="1"/>
  <c r="AB1357" i="1"/>
  <c r="I27" i="1"/>
  <c r="X3570" i="1"/>
  <c r="K3353" i="27"/>
  <c r="P467" i="27"/>
  <c r="R467" i="27" s="1"/>
  <c r="Q4" i="4"/>
  <c r="P1071" i="1"/>
  <c r="K935" i="11"/>
  <c r="D589" i="25"/>
  <c r="D624" i="25" s="1"/>
  <c r="K1306" i="1"/>
  <c r="K1972" i="1"/>
  <c r="P2010" i="1"/>
  <c r="P2160" i="1"/>
  <c r="R2160" i="1" s="1"/>
  <c r="K2151" i="1"/>
  <c r="K2302" i="1"/>
  <c r="K2304" i="1" s="1"/>
  <c r="K2030" i="1"/>
  <c r="K227" i="1"/>
  <c r="V340" i="1"/>
  <c r="X340" i="1" s="1"/>
  <c r="AD646" i="1"/>
  <c r="AF646" i="1" s="1"/>
  <c r="P2298" i="1"/>
  <c r="R2298" i="1" s="1"/>
  <c r="C1095" i="55"/>
  <c r="K2666" i="1"/>
  <c r="K1506" i="1"/>
  <c r="K2428" i="1"/>
  <c r="AB1335" i="1"/>
  <c r="AC1335" i="1" s="1"/>
  <c r="P1974" i="1"/>
  <c r="P2673" i="1"/>
  <c r="R1402" i="1"/>
  <c r="P2031" i="1"/>
  <c r="R2031" i="1" s="1"/>
  <c r="P2027" i="1"/>
  <c r="R2027" i="1" s="1"/>
  <c r="P1862" i="1"/>
  <c r="R1862" i="1" s="1"/>
  <c r="X83" i="1"/>
  <c r="P1860" i="1"/>
  <c r="K506" i="1"/>
  <c r="I3367" i="1"/>
  <c r="K3367" i="1" s="1"/>
  <c r="V2604" i="1"/>
  <c r="Z2602" i="1" s="1"/>
  <c r="I3423" i="1"/>
  <c r="K3423" i="1" s="1"/>
  <c r="P1604" i="1"/>
  <c r="I3271" i="1"/>
  <c r="K3271" i="1" s="1"/>
  <c r="K2152" i="1"/>
  <c r="P859" i="1"/>
  <c r="R859" i="1" s="1"/>
  <c r="P2153" i="1"/>
  <c r="R2153" i="1" s="1"/>
  <c r="K2427" i="1"/>
  <c r="I3465" i="1"/>
  <c r="P3471" i="1" s="1"/>
  <c r="R3471" i="1" s="1"/>
  <c r="K198" i="1"/>
  <c r="K382" i="1"/>
  <c r="K3460" i="1"/>
  <c r="V1303" i="1"/>
  <c r="X1303" i="1" s="1"/>
  <c r="K3172" i="1"/>
  <c r="V685" i="1"/>
  <c r="P1419" i="1"/>
  <c r="P1436" i="1" s="1"/>
  <c r="R1436" i="1" s="1"/>
  <c r="P235" i="1"/>
  <c r="R235" i="1" s="1"/>
  <c r="K1995" i="1"/>
  <c r="K1252" i="1"/>
  <c r="V886" i="1"/>
  <c r="V902" i="1" s="1"/>
  <c r="X902" i="1" s="1"/>
  <c r="AB1361" i="1"/>
  <c r="AD1361" i="1" s="1"/>
  <c r="X1363" i="1"/>
  <c r="X382" i="1"/>
  <c r="V413" i="1"/>
  <c r="X413" i="1" s="1"/>
  <c r="AE391" i="1"/>
  <c r="AG391" i="1" s="1"/>
  <c r="K1615" i="1"/>
  <c r="P1616" i="1"/>
  <c r="R1616" i="1" s="1"/>
  <c r="X383" i="1"/>
  <c r="K2636" i="1"/>
  <c r="K383" i="1"/>
  <c r="I3827" i="1"/>
  <c r="K3827" i="1" s="1"/>
  <c r="K1603" i="1"/>
  <c r="F49" i="25"/>
  <c r="P3543" i="1"/>
  <c r="R3543" i="1" s="1"/>
  <c r="K812" i="1"/>
  <c r="P3465" i="1"/>
  <c r="R3465" i="1" s="1"/>
  <c r="I203" i="11"/>
  <c r="K203" i="11" s="1"/>
  <c r="K80" i="11"/>
  <c r="I495" i="27"/>
  <c r="K495" i="27" s="1"/>
  <c r="K503" i="27" s="1"/>
  <c r="K505" i="27" s="1"/>
  <c r="I1235" i="27"/>
  <c r="K1235" i="27" s="1"/>
  <c r="K1242" i="27" s="1"/>
  <c r="K1244" i="27" s="1"/>
  <c r="R1482" i="1"/>
  <c r="V1443" i="1"/>
  <c r="X1450" i="1"/>
  <c r="AB1448" i="1"/>
  <c r="AD1448" i="1" s="1"/>
  <c r="V1436" i="1"/>
  <c r="R1475" i="1"/>
  <c r="I898" i="11"/>
  <c r="K791" i="11"/>
  <c r="P792" i="11"/>
  <c r="AB1418" i="1"/>
  <c r="AD1418" i="1" s="1"/>
  <c r="AD1401" i="1"/>
  <c r="K900" i="11"/>
  <c r="I916" i="11"/>
  <c r="K916" i="11" s="1"/>
  <c r="I244" i="11"/>
  <c r="I1108" i="11"/>
  <c r="K912" i="27"/>
  <c r="I2556" i="27"/>
  <c r="V1421" i="1"/>
  <c r="X1421" i="1" s="1"/>
  <c r="P1491" i="1"/>
  <c r="K2261" i="27"/>
  <c r="I2663" i="27"/>
  <c r="K2663" i="27" s="1"/>
  <c r="I142" i="11"/>
  <c r="I1082" i="11"/>
  <c r="K1082" i="11" s="1"/>
  <c r="K121" i="11"/>
  <c r="F589" i="25"/>
  <c r="V3520" i="1"/>
  <c r="X3520" i="1" s="1"/>
  <c r="X3540" i="1"/>
  <c r="V3556" i="1"/>
  <c r="X1402" i="1"/>
  <c r="AB1400" i="1"/>
  <c r="V1419" i="1"/>
  <c r="X1419" i="1" s="1"/>
  <c r="V768" i="1"/>
  <c r="X768" i="1" s="1"/>
  <c r="AE369" i="1"/>
  <c r="AG369" i="1" s="1"/>
  <c r="X3138" i="1"/>
  <c r="P1144" i="1"/>
  <c r="P1175" i="1" s="1"/>
  <c r="R1175" i="1" s="1"/>
  <c r="K3991" i="1"/>
  <c r="V3541" i="1"/>
  <c r="P3545" i="1"/>
  <c r="R3545" i="1" s="1"/>
  <c r="K3541" i="1"/>
  <c r="X3161" i="1"/>
  <c r="D550" i="25"/>
  <c r="K2977" i="1"/>
  <c r="P2984" i="1"/>
  <c r="R2984" i="1" s="1"/>
  <c r="I3062" i="1"/>
  <c r="P1220" i="1"/>
  <c r="K1225" i="1"/>
  <c r="I3643" i="1"/>
  <c r="K1648" i="1"/>
  <c r="P1176" i="1"/>
  <c r="R1176" i="1" s="1"/>
  <c r="R1145" i="1"/>
  <c r="K1973" i="1"/>
  <c r="P1973" i="1"/>
  <c r="I3731" i="27"/>
  <c r="K3731" i="27" s="1"/>
  <c r="K3624" i="27"/>
  <c r="P3504" i="27"/>
  <c r="R3504" i="27" s="1"/>
  <c r="I3571" i="27"/>
  <c r="K3571" i="27" s="1"/>
  <c r="I3588" i="27"/>
  <c r="K3588" i="27" s="1"/>
  <c r="I3809" i="27"/>
  <c r="I3006" i="27"/>
  <c r="K3006" i="27" s="1"/>
  <c r="K2855" i="27"/>
  <c r="I4018" i="1"/>
  <c r="I4006" i="1"/>
  <c r="K4006" i="1" s="1"/>
  <c r="V1388" i="1"/>
  <c r="X1371" i="1"/>
  <c r="X3545" i="1"/>
  <c r="V3525" i="1"/>
  <c r="X3525" i="1" s="1"/>
  <c r="P3366" i="1"/>
  <c r="R3366" i="1" s="1"/>
  <c r="R3297" i="1"/>
  <c r="P3400" i="1"/>
  <c r="R3400" i="1" s="1"/>
  <c r="K2976" i="1"/>
  <c r="P2983" i="1"/>
  <c r="R2983" i="1" s="1"/>
  <c r="I3747" i="1"/>
  <c r="R2433" i="1"/>
  <c r="K2681" i="1"/>
  <c r="I2682" i="1"/>
  <c r="K329" i="11"/>
  <c r="K330" i="11" s="1"/>
  <c r="AC12" i="27"/>
  <c r="C71" i="27" s="1"/>
  <c r="K4010" i="1"/>
  <c r="D48" i="50"/>
  <c r="D111" i="50" s="1"/>
  <c r="F111" i="50" s="1"/>
  <c r="R1458" i="1"/>
  <c r="I4022" i="1"/>
  <c r="I3988" i="1"/>
  <c r="K2426" i="1"/>
  <c r="I22" i="11"/>
  <c r="I2147" i="1"/>
  <c r="I1576" i="1"/>
  <c r="K1576" i="1" s="1"/>
  <c r="I1589" i="1"/>
  <c r="K1589" i="1" s="1"/>
  <c r="I2127" i="1"/>
  <c r="K2127" i="1" s="1"/>
  <c r="I1284" i="1"/>
  <c r="K1284" i="1" s="1"/>
  <c r="I504" i="1"/>
  <c r="I9" i="1"/>
  <c r="I53" i="1"/>
  <c r="I2696" i="1"/>
  <c r="K2696" i="1" s="1"/>
  <c r="I2555" i="27"/>
  <c r="I2586" i="27" s="1"/>
  <c r="K2586" i="27" s="1"/>
  <c r="K3591" i="27"/>
  <c r="K3592" i="27" s="1"/>
  <c r="K3582" i="27" s="1"/>
  <c r="K437" i="11"/>
  <c r="K438" i="11" s="1"/>
  <c r="K430" i="11" s="1"/>
  <c r="V736" i="1"/>
  <c r="X736" i="1" s="1"/>
  <c r="K3987" i="1"/>
  <c r="I3061" i="1"/>
  <c r="P1432" i="1"/>
  <c r="R1415" i="1"/>
  <c r="V1408" i="1"/>
  <c r="I3076" i="1"/>
  <c r="K3076" i="1" s="1"/>
  <c r="P3064" i="1"/>
  <c r="R3064" i="1" s="1"/>
  <c r="I3056" i="1"/>
  <c r="K3181" i="1"/>
  <c r="K3168" i="1"/>
  <c r="K2145" i="1"/>
  <c r="P1335" i="1"/>
  <c r="R1335" i="1" s="1"/>
  <c r="V805" i="1"/>
  <c r="I1782" i="1"/>
  <c r="K1782" i="1" s="1"/>
  <c r="V884" i="1"/>
  <c r="X1370" i="1"/>
  <c r="I3323" i="1"/>
  <c r="R3263" i="1"/>
  <c r="X3135" i="1"/>
  <c r="V3160" i="1"/>
  <c r="V1395" i="1"/>
  <c r="X1378" i="1"/>
  <c r="AQ3105" i="1"/>
  <c r="AH3105" i="1"/>
  <c r="AH3109" i="1" s="1"/>
  <c r="K1165" i="1"/>
  <c r="K1167" i="1" s="1"/>
  <c r="K228" i="1"/>
  <c r="P234" i="1"/>
  <c r="R234" i="1" s="1"/>
  <c r="X3672" i="1"/>
  <c r="AE3666" i="1"/>
  <c r="AG3666" i="1" s="1"/>
  <c r="I3308" i="1"/>
  <c r="K3308" i="1" s="1"/>
  <c r="V868" i="1"/>
  <c r="X868" i="1" s="1"/>
  <c r="X647" i="1"/>
  <c r="AD647" i="1"/>
  <c r="AF647" i="1" s="1"/>
  <c r="P2436" i="1"/>
  <c r="R2436" i="1" s="1"/>
  <c r="K2429" i="1"/>
  <c r="V680" i="1"/>
  <c r="V766" i="1" s="1"/>
  <c r="X766" i="1" s="1"/>
  <c r="X710" i="1"/>
  <c r="Z710" i="1" s="1"/>
  <c r="P10" i="27"/>
  <c r="R10" i="27" s="1"/>
  <c r="I1684" i="27"/>
  <c r="K1684" i="27" s="1"/>
  <c r="D667" i="64"/>
  <c r="F667" i="64" s="1"/>
  <c r="F270" i="32"/>
  <c r="D37" i="25"/>
  <c r="F37" i="25" s="1"/>
  <c r="F24" i="25"/>
  <c r="I3700" i="27"/>
  <c r="I3709" i="27" s="1"/>
  <c r="K3709" i="27" s="1"/>
  <c r="K3712" i="27" s="1"/>
  <c r="K3829" i="27"/>
  <c r="K3896" i="27" s="1"/>
  <c r="P3505" i="27"/>
  <c r="R3505" i="27" s="1"/>
  <c r="K3505" i="27"/>
  <c r="K2371" i="27"/>
  <c r="I2388" i="27"/>
  <c r="K2388" i="27" s="1"/>
  <c r="K1152" i="1"/>
  <c r="K1154" i="1" s="1"/>
  <c r="K866" i="1"/>
  <c r="I3927" i="1"/>
  <c r="V866" i="1"/>
  <c r="X866" i="1" s="1"/>
  <c r="K315" i="1"/>
  <c r="V315" i="1"/>
  <c r="I2971" i="1"/>
  <c r="K2835" i="1"/>
  <c r="K3102" i="1"/>
  <c r="P2076" i="1"/>
  <c r="X3671" i="1"/>
  <c r="AE3665" i="1"/>
  <c r="AG3665" i="1" s="1"/>
  <c r="P3192" i="1"/>
  <c r="P3261" i="1" s="1"/>
  <c r="I2817" i="1"/>
  <c r="P2824" i="1" s="1"/>
  <c r="R2824" i="1" s="1"/>
  <c r="I3660" i="1"/>
  <c r="R431" i="1"/>
  <c r="W11" i="64"/>
  <c r="W13" i="64" s="1"/>
  <c r="D668" i="64"/>
  <c r="F668" i="64" s="1"/>
  <c r="F591" i="64"/>
  <c r="I3266" i="27"/>
  <c r="K3248" i="27"/>
  <c r="I3029" i="27"/>
  <c r="K3029" i="27" s="1"/>
  <c r="I2932" i="27"/>
  <c r="J769" i="55"/>
  <c r="F769" i="55"/>
  <c r="L769" i="55"/>
  <c r="V681" i="1"/>
  <c r="D47" i="50" s="1"/>
  <c r="D47" i="32"/>
  <c r="F47" i="32" s="1"/>
  <c r="H47" i="32" s="1"/>
  <c r="I1287" i="1"/>
  <c r="K1287" i="1" s="1"/>
  <c r="K1273" i="1"/>
  <c r="I3642" i="1"/>
  <c r="K1647" i="1"/>
  <c r="I2719" i="1"/>
  <c r="K2719" i="1" s="1"/>
  <c r="K2713" i="1"/>
  <c r="I3464" i="1"/>
  <c r="K3459" i="1"/>
  <c r="AE3539" i="1"/>
  <c r="V3539" i="1"/>
  <c r="P1633" i="1"/>
  <c r="K1631" i="1"/>
  <c r="K3121" i="1"/>
  <c r="K3123" i="1" s="1"/>
  <c r="P3121" i="1"/>
  <c r="R3121" i="1" s="1"/>
  <c r="R3123" i="1" s="1"/>
  <c r="F36" i="25"/>
  <c r="D59" i="25"/>
  <c r="P13" i="64"/>
  <c r="K2959" i="27"/>
  <c r="I3912" i="27"/>
  <c r="L1036" i="55"/>
  <c r="T1036" i="55"/>
  <c r="I2986" i="27"/>
  <c r="K2986" i="27" s="1"/>
  <c r="I3909" i="27"/>
  <c r="I3274" i="27"/>
  <c r="K3274" i="27" s="1"/>
  <c r="K3259" i="27"/>
  <c r="I1845" i="27"/>
  <c r="K1845" i="27" s="1"/>
  <c r="K1017" i="27"/>
  <c r="I2528" i="27"/>
  <c r="K2528" i="27" s="1"/>
  <c r="I1519" i="27"/>
  <c r="K1519" i="27" s="1"/>
  <c r="I1506" i="27"/>
  <c r="K1506" i="27" s="1"/>
  <c r="K3101" i="27"/>
  <c r="P3494" i="27"/>
  <c r="R3494" i="27" s="1"/>
  <c r="P3074" i="27"/>
  <c r="R3074" i="27" s="1"/>
  <c r="K2560" i="27"/>
  <c r="I2591" i="27"/>
  <c r="K2591" i="27" s="1"/>
  <c r="K2509" i="27"/>
  <c r="K2510" i="27" s="1"/>
  <c r="I2499" i="27" s="1"/>
  <c r="K2499" i="27" s="1"/>
  <c r="I44" i="27"/>
  <c r="K44" i="27" s="1"/>
  <c r="K49" i="27" s="1"/>
  <c r="I1236" i="27"/>
  <c r="K1236" i="27" s="1"/>
  <c r="I1492" i="27"/>
  <c r="K1492" i="27" s="1"/>
  <c r="K1498" i="27" s="1"/>
  <c r="P431" i="27"/>
  <c r="R431" i="27" s="1"/>
  <c r="I474" i="27"/>
  <c r="K474" i="27" s="1"/>
  <c r="F620" i="25"/>
  <c r="G505" i="25"/>
  <c r="E190" i="25"/>
  <c r="H1066" i="55"/>
  <c r="H839" i="55"/>
  <c r="I3503" i="27"/>
  <c r="P2853" i="27"/>
  <c r="R2847" i="27"/>
  <c r="L1069" i="55"/>
  <c r="I27" i="27"/>
  <c r="K27" i="27" s="1"/>
  <c r="K32" i="27" s="1"/>
  <c r="I3616" i="27"/>
  <c r="I3115" i="27"/>
  <c r="I2595" i="27"/>
  <c r="K2595" i="27" s="1"/>
  <c r="I2590" i="27"/>
  <c r="K2590" i="27" s="1"/>
  <c r="K2559" i="27"/>
  <c r="I2529" i="27"/>
  <c r="K2529" i="27" s="1"/>
  <c r="I1740" i="27"/>
  <c r="K1740" i="27" s="1"/>
  <c r="I1520" i="27"/>
  <c r="K1520" i="27" s="1"/>
  <c r="I592" i="27"/>
  <c r="K592" i="27" s="1"/>
  <c r="I535" i="27"/>
  <c r="K535" i="27" s="1"/>
  <c r="P468" i="27"/>
  <c r="R468" i="27" s="1"/>
  <c r="I83" i="27"/>
  <c r="I578" i="27"/>
  <c r="K578" i="27" s="1"/>
  <c r="I1757" i="27"/>
  <c r="K1757" i="27" s="1"/>
  <c r="I1134" i="27"/>
  <c r="K1134" i="27" s="1"/>
  <c r="I1702" i="27"/>
  <c r="K1702" i="27" s="1"/>
  <c r="I1562" i="27"/>
  <c r="K1562" i="27" s="1"/>
  <c r="I1894" i="27"/>
  <c r="K1894" i="27" s="1"/>
  <c r="I1915" i="27"/>
  <c r="K1915" i="27" s="1"/>
  <c r="I1931" i="27"/>
  <c r="K1931" i="27" s="1"/>
  <c r="I2000" i="27"/>
  <c r="K2000" i="27" s="1"/>
  <c r="I2605" i="27"/>
  <c r="K2605" i="27" s="1"/>
  <c r="I1116" i="27"/>
  <c r="K1116" i="27" s="1"/>
  <c r="I1466" i="27"/>
  <c r="K1466" i="27" s="1"/>
  <c r="P83" i="27"/>
  <c r="R83" i="27" s="1"/>
  <c r="P68" i="27"/>
  <c r="R68" i="27" s="1"/>
  <c r="P349" i="27"/>
  <c r="R349" i="27" s="1"/>
  <c r="P363" i="27"/>
  <c r="R363" i="27" s="1"/>
  <c r="P497" i="27"/>
  <c r="R497" i="27" s="1"/>
  <c r="I840" i="27"/>
  <c r="K840" i="27" s="1"/>
  <c r="K749" i="1"/>
  <c r="K751" i="1" s="1"/>
  <c r="I757" i="1" s="1"/>
  <c r="K757" i="1" s="1"/>
  <c r="I777" i="1" s="1"/>
  <c r="K3575" i="1"/>
  <c r="K3576" i="1" s="1"/>
  <c r="I3577" i="1" s="1"/>
  <c r="K730" i="1"/>
  <c r="K732" i="1" s="1"/>
  <c r="K801" i="1" s="1"/>
  <c r="T1064" i="55"/>
  <c r="L1078" i="55"/>
  <c r="P2870" i="27"/>
  <c r="R2870" i="27" s="1"/>
  <c r="R2875" i="27" s="1"/>
  <c r="R2877" i="27" s="1"/>
  <c r="P2859" i="27" s="1"/>
  <c r="R2859" i="27" s="1"/>
  <c r="I9" i="27"/>
  <c r="K9" i="27" s="1"/>
  <c r="K2561" i="27"/>
  <c r="R3627" i="27"/>
  <c r="R3628" i="27" s="1"/>
  <c r="K2935" i="27"/>
  <c r="I2070" i="27"/>
  <c r="K2070" i="27" s="1"/>
  <c r="K2079" i="27" s="1"/>
  <c r="K2081" i="27" s="1"/>
  <c r="I2050" i="27"/>
  <c r="K2050" i="27" s="1"/>
  <c r="K2059" i="27" s="1"/>
  <c r="K2061" i="27" s="1"/>
  <c r="I1703" i="27"/>
  <c r="K1703" i="27" s="1"/>
  <c r="I1576" i="27"/>
  <c r="K1576" i="27" s="1"/>
  <c r="I1546" i="27"/>
  <c r="K1546" i="27" s="1"/>
  <c r="I1176" i="27"/>
  <c r="K1176" i="27" s="1"/>
  <c r="K1013" i="27"/>
  <c r="I496" i="27"/>
  <c r="K496" i="27" s="1"/>
  <c r="I175" i="27"/>
  <c r="K175" i="27" s="1"/>
  <c r="I72" i="27"/>
  <c r="K72" i="27" s="1"/>
  <c r="K77" i="27" s="1"/>
  <c r="I949" i="27"/>
  <c r="K949" i="27" s="1"/>
  <c r="P691" i="27"/>
  <c r="R691" i="27" s="1"/>
  <c r="R698" i="27" s="1"/>
  <c r="R700" i="27" s="1"/>
  <c r="I2429" i="27"/>
  <c r="K2429" i="27" s="1"/>
  <c r="I2373" i="27"/>
  <c r="K2373" i="27" s="1"/>
  <c r="P764" i="27"/>
  <c r="R764" i="27" s="1"/>
  <c r="P855" i="27"/>
  <c r="R855" i="27" s="1"/>
  <c r="I312" i="27"/>
  <c r="K312" i="27" s="1"/>
  <c r="I336" i="27"/>
  <c r="K336" i="27" s="1"/>
  <c r="I459" i="27"/>
  <c r="K459" i="27" s="1"/>
  <c r="I480" i="27"/>
  <c r="K480" i="27" s="1"/>
  <c r="I1776" i="27"/>
  <c r="K1776" i="27" s="1"/>
  <c r="K1783" i="27" s="1"/>
  <c r="K1785" i="27" s="1"/>
  <c r="I1819" i="27" s="1"/>
  <c r="K1819" i="27" s="1"/>
  <c r="I1867" i="27"/>
  <c r="K1867" i="27" s="1"/>
  <c r="I2053" i="27"/>
  <c r="K2053" i="27" s="1"/>
  <c r="K2057" i="27" s="1"/>
  <c r="G99" i="50"/>
  <c r="J3742" i="27"/>
  <c r="K3742" i="27" s="1"/>
  <c r="K3760" i="27" s="1"/>
  <c r="E677" i="25"/>
  <c r="A690" i="25" s="1"/>
  <c r="E534" i="25"/>
  <c r="A546" i="25" s="1"/>
  <c r="AF24" i="64"/>
  <c r="AF18" i="64" s="1"/>
  <c r="E5" i="4"/>
  <c r="E6" i="4" s="1"/>
  <c r="H4" i="4"/>
  <c r="H5" i="4" s="1"/>
  <c r="H6" i="4" s="1"/>
  <c r="R1393" i="1"/>
  <c r="P2858" i="1"/>
  <c r="R2858" i="1" s="1"/>
  <c r="R3265" i="1"/>
  <c r="I3745" i="1"/>
  <c r="K3745" i="1" s="1"/>
  <c r="I167" i="11"/>
  <c r="K167" i="11" s="1"/>
  <c r="I172" i="11"/>
  <c r="K172" i="11" s="1"/>
  <c r="I174" i="11"/>
  <c r="K174" i="11" s="1"/>
  <c r="K1059" i="1"/>
  <c r="I2314" i="1"/>
  <c r="K2314" i="1" s="1"/>
  <c r="K2318" i="1" s="1"/>
  <c r="R3199" i="1"/>
  <c r="I102" i="11"/>
  <c r="K270" i="11"/>
  <c r="K664" i="11"/>
  <c r="D282" i="64"/>
  <c r="F282" i="64" s="1"/>
  <c r="F417" i="64"/>
  <c r="AK46" i="1"/>
  <c r="X36" i="1"/>
  <c r="X37" i="1" s="1"/>
  <c r="P1052" i="1"/>
  <c r="R1052" i="1" s="1"/>
  <c r="AE1194" i="1"/>
  <c r="P2051" i="1"/>
  <c r="M2074" i="1" s="1"/>
  <c r="P2299" i="1"/>
  <c r="R2299" i="1" s="1"/>
  <c r="X2788" i="1"/>
  <c r="I4068" i="1"/>
  <c r="K4068" i="1" s="1"/>
  <c r="I3979" i="1"/>
  <c r="K3979" i="1" s="1"/>
  <c r="P19" i="11"/>
  <c r="P55" i="11"/>
  <c r="R55" i="11" s="1"/>
  <c r="K76" i="11"/>
  <c r="K169" i="11"/>
  <c r="P296" i="11"/>
  <c r="R296" i="11" s="1"/>
  <c r="S410" i="11"/>
  <c r="K428" i="11"/>
  <c r="I830" i="11"/>
  <c r="I703" i="11"/>
  <c r="K703" i="11" s="1"/>
  <c r="E25" i="50"/>
  <c r="E89" i="50" s="1"/>
  <c r="E24" i="50"/>
  <c r="E88" i="50" s="1"/>
  <c r="E148" i="50" s="1"/>
  <c r="C36" i="1"/>
  <c r="K134" i="1" s="1"/>
  <c r="P3227" i="1"/>
  <c r="I3212" i="1"/>
  <c r="C1091" i="76" s="1"/>
  <c r="I3198" i="1"/>
  <c r="C1090" i="76" s="1"/>
  <c r="C461" i="1"/>
  <c r="AJ46" i="1"/>
  <c r="C24" i="1" s="1"/>
  <c r="C23" i="1"/>
  <c r="V901" i="1"/>
  <c r="X901" i="1" s="1"/>
  <c r="P991" i="1"/>
  <c r="R991" i="1" s="1"/>
  <c r="P995" i="1"/>
  <c r="R995" i="1" s="1"/>
  <c r="AE1068" i="1"/>
  <c r="AG1068" i="1" s="1"/>
  <c r="AB1359" i="1"/>
  <c r="AB1360" i="1"/>
  <c r="P1431" i="1"/>
  <c r="P2065" i="1"/>
  <c r="M2077" i="1" s="1"/>
  <c r="R2077" i="1" s="1"/>
  <c r="R2079" i="1"/>
  <c r="AE2622" i="1"/>
  <c r="AG2622" i="1" s="1"/>
  <c r="X2787" i="1"/>
  <c r="U3150" i="1"/>
  <c r="R3264" i="1"/>
  <c r="P3333" i="1"/>
  <c r="R3333" i="1" s="1"/>
  <c r="J4052" i="1"/>
  <c r="F4064" i="1" s="1"/>
  <c r="P27" i="11"/>
  <c r="R27" i="11" s="1"/>
  <c r="I987" i="11"/>
  <c r="K987" i="11" s="1"/>
  <c r="P48" i="11"/>
  <c r="R48" i="11" s="1"/>
  <c r="K339" i="11"/>
  <c r="I575" i="11"/>
  <c r="L730" i="11"/>
  <c r="R794" i="11"/>
  <c r="P819" i="11"/>
  <c r="R819" i="11" s="1"/>
  <c r="K226" i="11"/>
  <c r="I1069" i="11"/>
  <c r="K1069" i="11" s="1"/>
  <c r="P179" i="27"/>
  <c r="R179" i="27" s="1"/>
  <c r="I335" i="27"/>
  <c r="K335" i="27" s="1"/>
  <c r="I915" i="11"/>
  <c r="K915" i="11" s="1"/>
  <c r="K898" i="11"/>
  <c r="K901" i="11" s="1"/>
  <c r="K894" i="11" s="1"/>
  <c r="K895" i="11" s="1"/>
  <c r="C1076" i="76" s="1"/>
  <c r="K466" i="11"/>
  <c r="I491" i="11"/>
  <c r="K491" i="11" s="1"/>
  <c r="K492" i="11" s="1"/>
  <c r="K486" i="11" s="1"/>
  <c r="K507" i="11"/>
  <c r="K508" i="11" s="1"/>
  <c r="K500" i="11" s="1"/>
  <c r="I518" i="27"/>
  <c r="K518" i="27" s="1"/>
  <c r="K523" i="27" s="1"/>
  <c r="K525" i="27" s="1"/>
  <c r="I527" i="27" s="1"/>
  <c r="K527" i="27" s="1"/>
  <c r="I528" i="27" s="1"/>
  <c r="K528" i="27" s="1"/>
  <c r="I529" i="27" s="1"/>
  <c r="K529" i="27" s="1"/>
  <c r="I530" i="27" s="1"/>
  <c r="K530" i="27" s="1"/>
  <c r="I531" i="27" s="1"/>
  <c r="K531" i="27" s="1"/>
  <c r="I534" i="27"/>
  <c r="K534" i="27" s="1"/>
  <c r="K539" i="27" s="1"/>
  <c r="K541" i="27" s="1"/>
  <c r="I543" i="27" s="1"/>
  <c r="K543" i="27" s="1"/>
  <c r="I544" i="27" s="1"/>
  <c r="K544" i="27" s="1"/>
  <c r="I545" i="27" s="1"/>
  <c r="K545" i="27" s="1"/>
  <c r="I546" i="27" s="1"/>
  <c r="K546" i="27" s="1"/>
  <c r="I547" i="27" s="1"/>
  <c r="K547" i="27" s="1"/>
  <c r="K509" i="27"/>
  <c r="K511" i="27" s="1"/>
  <c r="K512" i="27" s="1"/>
  <c r="K513" i="27" s="1"/>
  <c r="K514" i="27" s="1"/>
  <c r="K957" i="27"/>
  <c r="K959" i="27" s="1"/>
  <c r="K793" i="11"/>
  <c r="I4025" i="1"/>
  <c r="G97" i="32"/>
  <c r="G99" i="32" s="1"/>
  <c r="E157" i="32"/>
  <c r="G157" i="32" s="1"/>
  <c r="G159" i="32" s="1"/>
  <c r="A26" i="32"/>
  <c r="F26" i="32" s="1"/>
  <c r="F25" i="32"/>
  <c r="M880" i="11"/>
  <c r="K2285" i="1"/>
  <c r="P605" i="27"/>
  <c r="R605" i="27" s="1"/>
  <c r="K2555" i="27"/>
  <c r="I1575" i="27"/>
  <c r="K1575" i="27" s="1"/>
  <c r="K1582" i="27" s="1"/>
  <c r="K1584" i="27" s="1"/>
  <c r="I225" i="11"/>
  <c r="K225" i="11" s="1"/>
  <c r="I852" i="11"/>
  <c r="I465" i="11"/>
  <c r="K465" i="11" s="1"/>
  <c r="K83" i="11"/>
  <c r="I242" i="11"/>
  <c r="K2554" i="27"/>
  <c r="K917" i="11"/>
  <c r="K918" i="11" s="1"/>
  <c r="K911" i="11" s="1"/>
  <c r="I127" i="11"/>
  <c r="I258" i="11"/>
  <c r="K258" i="11" s="1"/>
  <c r="I39" i="25"/>
  <c r="R1489" i="1"/>
  <c r="P1535" i="1"/>
  <c r="R1535" i="1" s="1"/>
  <c r="P3618" i="27"/>
  <c r="R3618" i="27"/>
  <c r="V3602" i="1"/>
  <c r="X3602" i="1" s="1"/>
  <c r="V803" i="1"/>
  <c r="AE340" i="1"/>
  <c r="AG340" i="1" s="1"/>
  <c r="P3402" i="1"/>
  <c r="R3402" i="1" s="1"/>
  <c r="P619" i="27"/>
  <c r="R619" i="27" s="1"/>
  <c r="G833" i="64"/>
  <c r="E888" i="64"/>
  <c r="G888" i="64" s="1"/>
  <c r="F90" i="32"/>
  <c r="C35" i="27"/>
  <c r="P212" i="27"/>
  <c r="R212" i="27" s="1"/>
  <c r="R220" i="27" s="1"/>
  <c r="R223" i="27" s="1"/>
  <c r="I1087" i="27"/>
  <c r="I196" i="27"/>
  <c r="K196" i="27" s="1"/>
  <c r="P67" i="27"/>
  <c r="R67" i="27" s="1"/>
  <c r="I313" i="27"/>
  <c r="K313" i="27" s="1"/>
  <c r="I337" i="27"/>
  <c r="K337" i="27" s="1"/>
  <c r="I774" i="27"/>
  <c r="K774" i="27" s="1"/>
  <c r="P82" i="27"/>
  <c r="R82" i="27" s="1"/>
  <c r="I272" i="27"/>
  <c r="K272" i="27" s="1"/>
  <c r="I357" i="27"/>
  <c r="K357" i="27" s="1"/>
  <c r="I446" i="27"/>
  <c r="K446" i="27" s="1"/>
  <c r="I297" i="27"/>
  <c r="K297" i="27" s="1"/>
  <c r="P81" i="27"/>
  <c r="R81" i="27" s="1"/>
  <c r="I356" i="27"/>
  <c r="K356" i="27" s="1"/>
  <c r="P362" i="27"/>
  <c r="R362" i="27" s="1"/>
  <c r="I445" i="27"/>
  <c r="K445" i="27" s="1"/>
  <c r="P496" i="27"/>
  <c r="R496" i="27" s="1"/>
  <c r="P514" i="27"/>
  <c r="R514" i="27" s="1"/>
  <c r="I560" i="27"/>
  <c r="K560" i="27" s="1"/>
  <c r="P348" i="27"/>
  <c r="R348" i="27" s="1"/>
  <c r="I411" i="27"/>
  <c r="K411" i="27" s="1"/>
  <c r="I426" i="27"/>
  <c r="K426" i="27" s="1"/>
  <c r="P534" i="27"/>
  <c r="R534" i="27" s="1"/>
  <c r="G329" i="25"/>
  <c r="G330" i="25" s="1"/>
  <c r="G331" i="25" s="1"/>
  <c r="F138" i="25"/>
  <c r="D161" i="25"/>
  <c r="F161" i="25" s="1"/>
  <c r="D304" i="25"/>
  <c r="F304" i="25" s="1"/>
  <c r="I3038" i="27"/>
  <c r="K3038" i="27" s="1"/>
  <c r="K3924" i="27"/>
  <c r="I3938" i="27" s="1"/>
  <c r="K3938" i="27" s="1"/>
  <c r="G35" i="50"/>
  <c r="E150" i="32"/>
  <c r="F150" i="32" s="1"/>
  <c r="I3494" i="27"/>
  <c r="K2804" i="27"/>
  <c r="K2710" i="27"/>
  <c r="K2711" i="27" s="1"/>
  <c r="K2703" i="27" s="1"/>
  <c r="K2705" i="27" s="1"/>
  <c r="K1138" i="27"/>
  <c r="K1140" i="27" s="1"/>
  <c r="P722" i="27"/>
  <c r="R722" i="27" s="1"/>
  <c r="R729" i="27" s="1"/>
  <c r="R731" i="27" s="1"/>
  <c r="P706" i="27"/>
  <c r="R706" i="27" s="1"/>
  <c r="R713" i="27" s="1"/>
  <c r="R715" i="27" s="1"/>
  <c r="K564" i="27"/>
  <c r="K567" i="27" s="1"/>
  <c r="I568" i="27" s="1"/>
  <c r="K568" i="27" s="1"/>
  <c r="I569" i="27" s="1"/>
  <c r="K569" i="27" s="1"/>
  <c r="I570" i="27" s="1"/>
  <c r="K570" i="27" s="1"/>
  <c r="I571" i="27" s="1"/>
  <c r="K571" i="27" s="1"/>
  <c r="I572" i="27" s="1"/>
  <c r="K572" i="27" s="1"/>
  <c r="I498" i="27"/>
  <c r="K498" i="27" s="1"/>
  <c r="P364" i="27"/>
  <c r="R364" i="27" s="1"/>
  <c r="P319" i="27"/>
  <c r="R319" i="27" s="1"/>
  <c r="P267" i="27"/>
  <c r="R267" i="27" s="1"/>
  <c r="I63" i="27"/>
  <c r="K63" i="27" s="1"/>
  <c r="K68" i="27" s="1"/>
  <c r="P52" i="27"/>
  <c r="R52" i="27" s="1"/>
  <c r="P54" i="27"/>
  <c r="R54" i="27" s="1"/>
  <c r="I228" i="27"/>
  <c r="K228" i="27" s="1"/>
  <c r="P298" i="27"/>
  <c r="R298" i="27" s="1"/>
  <c r="P309" i="27"/>
  <c r="R309" i="27" s="1"/>
  <c r="I339" i="27"/>
  <c r="K339" i="27" s="1"/>
  <c r="P378" i="27"/>
  <c r="R378" i="27" s="1"/>
  <c r="P392" i="27"/>
  <c r="R392" i="27" s="1"/>
  <c r="I414" i="27"/>
  <c r="K414" i="27" s="1"/>
  <c r="I824" i="27"/>
  <c r="K824" i="27" s="1"/>
  <c r="I1175" i="27"/>
  <c r="K1175" i="27" s="1"/>
  <c r="I1179" i="27"/>
  <c r="K1179" i="27" s="1"/>
  <c r="I198" i="27"/>
  <c r="K198" i="27" s="1"/>
  <c r="P286" i="27"/>
  <c r="R286" i="27" s="1"/>
  <c r="P321" i="27"/>
  <c r="R321" i="27" s="1"/>
  <c r="I483" i="27"/>
  <c r="K483" i="27" s="1"/>
  <c r="P536" i="27"/>
  <c r="R536" i="27" s="1"/>
  <c r="G498" i="25"/>
  <c r="E488" i="25" s="1"/>
  <c r="G419" i="25"/>
  <c r="G420" i="25" s="1"/>
  <c r="G421" i="25" s="1"/>
  <c r="A432" i="25" s="1"/>
  <c r="G432" i="25" s="1"/>
  <c r="G439" i="25" s="1"/>
  <c r="G440" i="25" s="1"/>
  <c r="F150" i="64"/>
  <c r="E839" i="64"/>
  <c r="F584" i="25"/>
  <c r="P43" i="64"/>
  <c r="P2883" i="27"/>
  <c r="R2883" i="27" s="1"/>
  <c r="E157" i="50"/>
  <c r="G157" i="50" s="1"/>
  <c r="G159" i="50" s="1"/>
  <c r="F88" i="32"/>
  <c r="F24" i="32"/>
  <c r="K1455" i="27"/>
  <c r="K1457" i="27" s="1"/>
  <c r="I481" i="27"/>
  <c r="K481" i="27" s="1"/>
  <c r="I412" i="27"/>
  <c r="K412" i="27" s="1"/>
  <c r="P336" i="27"/>
  <c r="R336" i="27" s="1"/>
  <c r="I94" i="27"/>
  <c r="K94" i="27" s="1"/>
  <c r="I123" i="27"/>
  <c r="K123" i="27" s="1"/>
  <c r="K126" i="27" s="1"/>
  <c r="K128" i="27" s="1"/>
  <c r="K129" i="27" s="1"/>
  <c r="G466" i="25"/>
  <c r="R1404" i="1"/>
  <c r="K3241" i="1"/>
  <c r="L3207" i="1" s="1"/>
  <c r="F144" i="64"/>
  <c r="F143" i="64"/>
  <c r="E832" i="64"/>
  <c r="G33" i="32"/>
  <c r="G35" i="32" s="1"/>
  <c r="K3355" i="27"/>
  <c r="K3356" i="27" s="1"/>
  <c r="K2643" i="27"/>
  <c r="K2645" i="27" s="1"/>
  <c r="I35" i="27"/>
  <c r="K35" i="27" s="1"/>
  <c r="K40" i="27" s="1"/>
  <c r="I270" i="27"/>
  <c r="K270" i="27" s="1"/>
  <c r="F111" i="25"/>
  <c r="D137" i="25"/>
  <c r="F137" i="25" s="1"/>
  <c r="K647" i="27"/>
  <c r="K649" i="27" s="1"/>
  <c r="K650" i="27" s="1"/>
  <c r="K651" i="27" s="1"/>
  <c r="K652" i="27" s="1"/>
  <c r="K653" i="27" s="1"/>
  <c r="R443" i="27"/>
  <c r="R445" i="27" s="1"/>
  <c r="E570" i="25"/>
  <c r="A583" i="25" s="1"/>
  <c r="G477" i="25"/>
  <c r="F292" i="25"/>
  <c r="F293" i="25" s="1"/>
  <c r="K1482" i="27"/>
  <c r="K1484" i="27" s="1"/>
  <c r="P553" i="27"/>
  <c r="R553" i="27" s="1"/>
  <c r="R566" i="27" s="1"/>
  <c r="R568" i="27" s="1"/>
  <c r="P533" i="27"/>
  <c r="R533" i="27" s="1"/>
  <c r="P449" i="27"/>
  <c r="R449" i="27" s="1"/>
  <c r="E641" i="25"/>
  <c r="A654" i="25" s="1"/>
  <c r="D292" i="64"/>
  <c r="F292" i="64" s="1"/>
  <c r="E837" i="64"/>
  <c r="F139" i="64"/>
  <c r="E829" i="64"/>
  <c r="F135" i="64"/>
  <c r="E825" i="64"/>
  <c r="G823" i="64"/>
  <c r="E878" i="64"/>
  <c r="G878" i="64" s="1"/>
  <c r="AF16" i="64"/>
  <c r="AF17" i="64" s="1"/>
  <c r="AF19" i="64" s="1"/>
  <c r="K638" i="64"/>
  <c r="V3538" i="1"/>
  <c r="P3542" i="1"/>
  <c r="R3542" i="1" s="1"/>
  <c r="I790" i="11"/>
  <c r="I738" i="11"/>
  <c r="K738" i="11" s="1"/>
  <c r="K671" i="11"/>
  <c r="F146" i="64"/>
  <c r="E835" i="64"/>
  <c r="D291" i="64"/>
  <c r="D414" i="64" s="1"/>
  <c r="D539" i="64" s="1"/>
  <c r="F539" i="64" s="1"/>
  <c r="E836" i="64"/>
  <c r="F138" i="64"/>
  <c r="E828" i="64"/>
  <c r="F151" i="64"/>
  <c r="E840" i="64"/>
  <c r="J638" i="64"/>
  <c r="F11" i="64"/>
  <c r="W24" i="64"/>
  <c r="K684" i="1"/>
  <c r="I686" i="1" s="1"/>
  <c r="K686" i="1" s="1"/>
  <c r="C270" i="76" s="1"/>
  <c r="P989" i="1"/>
  <c r="R989" i="1" s="1"/>
  <c r="K1024" i="1"/>
  <c r="K1055" i="1"/>
  <c r="X1356" i="1"/>
  <c r="X1357" i="1"/>
  <c r="K1547" i="1"/>
  <c r="K1551" i="1" s="1"/>
  <c r="K1553" i="1" s="1"/>
  <c r="C354" i="76" s="1"/>
  <c r="I2538" i="1"/>
  <c r="I2486" i="1"/>
  <c r="AE2607" i="1"/>
  <c r="AB2616" i="1" s="1"/>
  <c r="P3193" i="1"/>
  <c r="R3193" i="1" s="1"/>
  <c r="K2637" i="1"/>
  <c r="I3074" i="1"/>
  <c r="P3062" i="1"/>
  <c r="R3062" i="1" s="1"/>
  <c r="K3151" i="1"/>
  <c r="K3155" i="1"/>
  <c r="K3940" i="1"/>
  <c r="I739" i="11"/>
  <c r="K739" i="11" s="1"/>
  <c r="I756" i="11"/>
  <c r="K756" i="11" s="1"/>
  <c r="K674" i="11"/>
  <c r="L927" i="11"/>
  <c r="G357" i="25"/>
  <c r="E347" i="25" s="1"/>
  <c r="G347" i="25" s="1"/>
  <c r="G349" i="25" s="1"/>
  <c r="G350" i="25" s="1"/>
  <c r="F145" i="64"/>
  <c r="E834" i="64"/>
  <c r="F26" i="64"/>
  <c r="F137" i="64"/>
  <c r="E827" i="64"/>
  <c r="G824" i="64"/>
  <c r="E879" i="64"/>
  <c r="G879" i="64" s="1"/>
  <c r="E13" i="4"/>
  <c r="Z38" i="1" s="1"/>
  <c r="AC38" i="1" s="1"/>
  <c r="E11" i="4"/>
  <c r="AI43" i="1"/>
  <c r="P948" i="1"/>
  <c r="R948" i="1" s="1"/>
  <c r="K1670" i="1"/>
  <c r="P2675" i="1"/>
  <c r="R2826" i="1"/>
  <c r="K672" i="11"/>
  <c r="I740" i="11"/>
  <c r="K740" i="11" s="1"/>
  <c r="R868" i="11"/>
  <c r="R869" i="11" s="1"/>
  <c r="R871" i="11" s="1"/>
  <c r="K1256" i="11"/>
  <c r="K1257" i="11" s="1"/>
  <c r="K1258" i="11" s="1"/>
  <c r="K1262" i="11" s="1"/>
  <c r="K1264" i="11" s="1"/>
  <c r="G402" i="25"/>
  <c r="E392" i="25" s="1"/>
  <c r="G392" i="25" s="1"/>
  <c r="G394" i="25" s="1"/>
  <c r="G395" i="25" s="1"/>
  <c r="G374" i="25"/>
  <c r="D197" i="25"/>
  <c r="A194" i="25" s="1"/>
  <c r="G194" i="25" s="1"/>
  <c r="F149" i="64"/>
  <c r="E838" i="64"/>
  <c r="F136" i="64"/>
  <c r="E826" i="64"/>
  <c r="F133" i="64"/>
  <c r="F129" i="64"/>
  <c r="P30" i="64"/>
  <c r="P31" i="64" s="1"/>
  <c r="P23" i="64" s="1"/>
  <c r="P24" i="64" s="1"/>
  <c r="Z39" i="1"/>
  <c r="AC39" i="1" s="1"/>
  <c r="P125" i="1" s="1"/>
  <c r="R125" i="1" s="1"/>
  <c r="E12" i="4"/>
  <c r="Z9" i="1" s="1"/>
  <c r="E10" i="4"/>
  <c r="Z11" i="1" s="1"/>
  <c r="N4" i="4"/>
  <c r="N5" i="4" s="1"/>
  <c r="N6" i="4" s="1"/>
  <c r="AH43" i="1"/>
  <c r="M563" i="1"/>
  <c r="P1053" i="1"/>
  <c r="R1053" i="1" s="1"/>
  <c r="V1353" i="1"/>
  <c r="R1357" i="1"/>
  <c r="R1358" i="1" s="1"/>
  <c r="R1363" i="1" s="1"/>
  <c r="R1365" i="1" s="1"/>
  <c r="R2080" i="1"/>
  <c r="K2098" i="1"/>
  <c r="K2642" i="1"/>
  <c r="K2668" i="1"/>
  <c r="X2786" i="1"/>
  <c r="V3122" i="1"/>
  <c r="R3231" i="1"/>
  <c r="I3829" i="1"/>
  <c r="K3829" i="1" s="1"/>
  <c r="K3462" i="1"/>
  <c r="AB3539" i="1"/>
  <c r="AB3538" i="1"/>
  <c r="AG3538" i="1" s="1"/>
  <c r="C292" i="64"/>
  <c r="C415" i="64" s="1"/>
  <c r="C837" i="64"/>
  <c r="C892" i="64" s="1"/>
  <c r="K42" i="11"/>
  <c r="I573" i="11"/>
  <c r="N731" i="11"/>
  <c r="K981" i="11"/>
  <c r="I1112" i="11"/>
  <c r="P2056" i="1"/>
  <c r="K2639" i="1"/>
  <c r="X2789" i="1"/>
  <c r="R2827" i="1"/>
  <c r="R3230" i="1"/>
  <c r="X3653" i="1"/>
  <c r="K3691" i="1"/>
  <c r="G3899" i="1"/>
  <c r="G3900" i="1" s="1"/>
  <c r="K665" i="11"/>
  <c r="K3055" i="1"/>
  <c r="K3148" i="1"/>
  <c r="K3538" i="1"/>
  <c r="K3692" i="1"/>
  <c r="H3869" i="1"/>
  <c r="E3873" i="1" s="1"/>
  <c r="R836" i="11"/>
  <c r="X479" i="1"/>
  <c r="AS66" i="1"/>
  <c r="AE339" i="1"/>
  <c r="AG339" i="1" s="1"/>
  <c r="X680" i="1"/>
  <c r="AE393" i="1"/>
  <c r="AE429" i="1" s="1"/>
  <c r="AG429" i="1" s="1"/>
  <c r="K1944" i="1"/>
  <c r="V316" i="1"/>
  <c r="AE316" i="1" s="1"/>
  <c r="AG316" i="1" s="1"/>
  <c r="K83" i="1"/>
  <c r="V735" i="1"/>
  <c r="X735" i="1" s="1"/>
  <c r="K1994" i="1"/>
  <c r="P197" i="1"/>
  <c r="I3463" i="1"/>
  <c r="P3469" i="1" s="1"/>
  <c r="R3469" i="1" s="1"/>
  <c r="P1178" i="1"/>
  <c r="R1178" i="1" s="1"/>
  <c r="AE2618" i="1"/>
  <c r="AG2618" i="1" s="1"/>
  <c r="AE392" i="1"/>
  <c r="P1893" i="1"/>
  <c r="P1114" i="1"/>
  <c r="C23" i="55"/>
  <c r="I3825" i="1"/>
  <c r="K3825" i="1" s="1"/>
  <c r="K1257" i="1"/>
  <c r="K1847" i="1"/>
  <c r="K2028" i="1"/>
  <c r="V554" i="1"/>
  <c r="X554" i="1" s="1"/>
  <c r="K197" i="1"/>
  <c r="D71" i="25"/>
  <c r="AE2652" i="1"/>
  <c r="AG2652" i="1" s="1"/>
  <c r="P3464" i="1"/>
  <c r="R3464" i="1" s="1"/>
  <c r="P1863" i="1"/>
  <c r="V1287" i="1"/>
  <c r="X1287" i="1" s="1"/>
  <c r="V359" i="1"/>
  <c r="P3507" i="1"/>
  <c r="R3507" i="1" s="1"/>
  <c r="R3509" i="1" s="1"/>
  <c r="R3510" i="1" s="1"/>
  <c r="I111" i="1"/>
  <c r="K111" i="1" s="1"/>
  <c r="K114" i="1" s="1"/>
  <c r="K116" i="1" s="1"/>
  <c r="I2902" i="1"/>
  <c r="K2902" i="1" s="1"/>
  <c r="AB1333" i="1"/>
  <c r="AC1333" i="1" s="1"/>
  <c r="P2374" i="1"/>
  <c r="R2374" i="1" s="1"/>
  <c r="R432" i="1"/>
  <c r="K3661" i="1"/>
  <c r="I3682" i="1"/>
  <c r="K3682" i="1" s="1"/>
  <c r="AB1191" i="1"/>
  <c r="R3192" i="1"/>
  <c r="X338" i="1"/>
  <c r="R1552" i="1"/>
  <c r="P1541" i="1" s="1"/>
  <c r="R1541" i="1" s="1"/>
  <c r="AC25" i="1"/>
  <c r="C87" i="1" s="1"/>
  <c r="Z24" i="1"/>
  <c r="AC24" i="1" s="1"/>
  <c r="C86" i="1" s="1"/>
  <c r="Z26" i="1"/>
  <c r="K1807" i="1"/>
  <c r="E212" i="32"/>
  <c r="F212" i="32" s="1"/>
  <c r="V821" i="1"/>
  <c r="X821" i="1" s="1"/>
  <c r="X806" i="1"/>
  <c r="R1220" i="1"/>
  <c r="T1220" i="1" s="1"/>
  <c r="P1262" i="1"/>
  <c r="P1225" i="1"/>
  <c r="AI530" i="1"/>
  <c r="AI554" i="1" s="1"/>
  <c r="AD530" i="1"/>
  <c r="AB554" i="1"/>
  <c r="K3565" i="1"/>
  <c r="P3568" i="1"/>
  <c r="R3568" i="1" s="1"/>
  <c r="X358" i="1"/>
  <c r="AE367" i="1"/>
  <c r="AG367" i="1" s="1"/>
  <c r="K1511" i="1"/>
  <c r="K1513" i="1" s="1"/>
  <c r="D109" i="32"/>
  <c r="F109" i="32" s="1"/>
  <c r="I3182" i="1"/>
  <c r="K3056" i="1"/>
  <c r="V739" i="1"/>
  <c r="X739" i="1" s="1"/>
  <c r="I3832" i="1"/>
  <c r="K3832" i="1" s="1"/>
  <c r="X384" i="1"/>
  <c r="D51" i="32"/>
  <c r="R3294" i="1"/>
  <c r="P2375" i="1"/>
  <c r="R2375" i="1" s="1"/>
  <c r="I3170" i="1"/>
  <c r="P1219" i="1"/>
  <c r="P1218" i="1"/>
  <c r="I3171" i="1"/>
  <c r="V1288" i="1"/>
  <c r="X1288" i="1" s="1"/>
  <c r="K1254" i="1"/>
  <c r="P1321" i="1"/>
  <c r="X3670" i="1"/>
  <c r="R382" i="1"/>
  <c r="R384" i="1" s="1"/>
  <c r="V3555" i="1"/>
  <c r="K3465" i="1"/>
  <c r="X530" i="1"/>
  <c r="P2009" i="1"/>
  <c r="K358" i="1"/>
  <c r="P126" i="1"/>
  <c r="R126" i="1" s="1"/>
  <c r="AE3664" i="1"/>
  <c r="AG3664" i="1" s="1"/>
  <c r="D73" i="25"/>
  <c r="K3772" i="1"/>
  <c r="K3774" i="1" s="1"/>
  <c r="J449" i="55"/>
  <c r="L775" i="55"/>
  <c r="L1072" i="55"/>
  <c r="F1072" i="55"/>
  <c r="L430" i="55"/>
  <c r="H1027" i="55"/>
  <c r="H1067" i="55"/>
  <c r="L1067" i="55"/>
  <c r="J1072" i="55"/>
  <c r="H307" i="55"/>
  <c r="H636" i="55"/>
  <c r="J549" i="55"/>
  <c r="L384" i="55"/>
  <c r="H430" i="55"/>
  <c r="L774" i="55"/>
  <c r="T1072" i="55"/>
  <c r="F307" i="55"/>
  <c r="L549" i="55"/>
  <c r="J430" i="55"/>
  <c r="F549" i="55"/>
  <c r="H549" i="55"/>
  <c r="R284" i="11"/>
  <c r="F48" i="50"/>
  <c r="I3355" i="1"/>
  <c r="K3368" i="1"/>
  <c r="K3185" i="1"/>
  <c r="X3133" i="1"/>
  <c r="R1527" i="1"/>
  <c r="R1529" i="1" s="1"/>
  <c r="V3251" i="1"/>
  <c r="X3251" i="1" s="1"/>
  <c r="K1538" i="1"/>
  <c r="K1540" i="1" s="1"/>
  <c r="C353" i="76" s="1"/>
  <c r="I3808" i="1"/>
  <c r="K3808" i="1" s="1"/>
  <c r="T1070" i="55"/>
  <c r="H1070" i="55"/>
  <c r="F914" i="55"/>
  <c r="F1075" i="55"/>
  <c r="L1027" i="55"/>
  <c r="J774" i="55"/>
  <c r="H449" i="55"/>
  <c r="T1027" i="55"/>
  <c r="J1027" i="55"/>
  <c r="H774" i="55"/>
  <c r="F774" i="55"/>
  <c r="F1027" i="55"/>
  <c r="H914" i="55"/>
  <c r="L914" i="55"/>
  <c r="L773" i="55"/>
  <c r="H1075" i="55"/>
  <c r="J775" i="55"/>
  <c r="H1029" i="55"/>
  <c r="J1029" i="55"/>
  <c r="L1029" i="55"/>
  <c r="T1034" i="55"/>
  <c r="T1029" i="55"/>
  <c r="J1034" i="55"/>
  <c r="L1034" i="55"/>
  <c r="H1034" i="55"/>
  <c r="F1034" i="55"/>
  <c r="T1035" i="55"/>
  <c r="H773" i="55"/>
  <c r="J773" i="55"/>
  <c r="J1075" i="55"/>
  <c r="H1035" i="55"/>
  <c r="L1035" i="55"/>
  <c r="F1035" i="55"/>
  <c r="L1075" i="55"/>
  <c r="J450" i="55"/>
  <c r="H450" i="55"/>
  <c r="F450" i="55"/>
  <c r="V199" i="1"/>
  <c r="X199" i="1" s="1"/>
  <c r="R199" i="1"/>
  <c r="X3158" i="1"/>
  <c r="V1323" i="1"/>
  <c r="X1323" i="1" s="1"/>
  <c r="K3104" i="1"/>
  <c r="P198" i="1"/>
  <c r="K199" i="1"/>
  <c r="K3725" i="1"/>
  <c r="I3717" i="1" s="1"/>
  <c r="K3717" i="1" s="1"/>
  <c r="K3718" i="1" s="1"/>
  <c r="K3719" i="1" s="1"/>
  <c r="K2372" i="1"/>
  <c r="K2374" i="1" s="1"/>
  <c r="K3346" i="1"/>
  <c r="K3348" i="1" s="1"/>
  <c r="P167" i="1"/>
  <c r="R167" i="1" s="1"/>
  <c r="I2336" i="1"/>
  <c r="K2336" i="1" s="1"/>
  <c r="K2337" i="1" s="1"/>
  <c r="K2338" i="1" s="1"/>
  <c r="I2342" i="1" s="1"/>
  <c r="K2342" i="1" s="1"/>
  <c r="AS90" i="1"/>
  <c r="K1524" i="1"/>
  <c r="K1526" i="1" s="1"/>
  <c r="L2759" i="1"/>
  <c r="K2793" i="1" s="1"/>
  <c r="I3109" i="1"/>
  <c r="AK530" i="1"/>
  <c r="R2379" i="1"/>
  <c r="R2381" i="1" s="1"/>
  <c r="K3708" i="1"/>
  <c r="K3709" i="1" s="1"/>
  <c r="K3799" i="1"/>
  <c r="I3789" i="1" s="1"/>
  <c r="R3518" i="1"/>
  <c r="R3519" i="1" s="1"/>
  <c r="I3506" i="1" s="1"/>
  <c r="K3506" i="1" s="1"/>
  <c r="K2167" i="1"/>
  <c r="K2169" i="1" s="1"/>
  <c r="K2085" i="1"/>
  <c r="K2087" i="1" s="1"/>
  <c r="K3046" i="1"/>
  <c r="R1309" i="1"/>
  <c r="R1311" i="1" s="1"/>
  <c r="R2338" i="1"/>
  <c r="R2339" i="1" s="1"/>
  <c r="R893" i="1"/>
  <c r="R895" i="1" s="1"/>
  <c r="R588" i="1"/>
  <c r="R590" i="1" s="1"/>
  <c r="K2180" i="1"/>
  <c r="K2182" i="1" s="1"/>
  <c r="K2184" i="1" s="1"/>
  <c r="K2723" i="1"/>
  <c r="K2725" i="1" s="1"/>
  <c r="R2414" i="1"/>
  <c r="R2416" i="1" s="1"/>
  <c r="R462" i="1"/>
  <c r="R464" i="1" s="1"/>
  <c r="AC19" i="1"/>
  <c r="C81" i="1" s="1"/>
  <c r="Z20" i="1"/>
  <c r="AC20" i="1" s="1"/>
  <c r="I225" i="1" s="1"/>
  <c r="I379" i="1"/>
  <c r="I335" i="1"/>
  <c r="K335" i="1" s="1"/>
  <c r="I311" i="1"/>
  <c r="I410" i="1"/>
  <c r="K410" i="1" s="1"/>
  <c r="I355" i="1"/>
  <c r="K355" i="1" s="1"/>
  <c r="Z29" i="1"/>
  <c r="X19" i="1"/>
  <c r="X20" i="1" s="1"/>
  <c r="F16" i="25"/>
  <c r="F18" i="25" s="1"/>
  <c r="F219" i="64"/>
  <c r="F123" i="64"/>
  <c r="F72" i="25"/>
  <c r="D100" i="25"/>
  <c r="F52" i="25"/>
  <c r="D42" i="25" s="1"/>
  <c r="F42" i="25" s="1"/>
  <c r="K2761" i="27"/>
  <c r="K2764" i="27" s="1"/>
  <c r="I3040" i="27"/>
  <c r="K3040" i="27" s="1"/>
  <c r="K2873" i="27"/>
  <c r="K2857" i="27" s="1"/>
  <c r="K3008" i="27" s="1"/>
  <c r="P79" i="27"/>
  <c r="R79" i="27" s="1"/>
  <c r="R87" i="27" s="1"/>
  <c r="R89" i="27" s="1"/>
  <c r="P144" i="27"/>
  <c r="R144" i="27" s="1"/>
  <c r="R196" i="27" s="1"/>
  <c r="R198" i="27" s="1"/>
  <c r="R201" i="27" s="1"/>
  <c r="R202" i="27" s="1"/>
  <c r="R203" i="27" s="1"/>
  <c r="R204" i="27" s="1"/>
  <c r="K322" i="27"/>
  <c r="K323" i="27" s="1"/>
  <c r="K324" i="27" s="1"/>
  <c r="K325" i="27" s="1"/>
  <c r="K326" i="27" s="1"/>
  <c r="P602" i="27"/>
  <c r="R602" i="27" s="1"/>
  <c r="K367" i="27"/>
  <c r="K368" i="27" s="1"/>
  <c r="K369" i="27" s="1"/>
  <c r="K370" i="27" s="1"/>
  <c r="P266" i="27"/>
  <c r="R266" i="27" s="1"/>
  <c r="R270" i="27" s="1"/>
  <c r="R272" i="27" s="1"/>
  <c r="R274" i="27" s="1"/>
  <c r="R275" i="27" s="1"/>
  <c r="R276" i="27" s="1"/>
  <c r="R277" i="27" s="1"/>
  <c r="I425" i="27"/>
  <c r="K425" i="27" s="1"/>
  <c r="K429" i="27" s="1"/>
  <c r="K431" i="27" s="1"/>
  <c r="K433" i="27" s="1"/>
  <c r="K434" i="27" s="1"/>
  <c r="K435" i="27" s="1"/>
  <c r="K436" i="27" s="1"/>
  <c r="K437" i="27" s="1"/>
  <c r="C1082" i="55"/>
  <c r="M895" i="11"/>
  <c r="K940" i="11"/>
  <c r="K413" i="11"/>
  <c r="K956" i="11" s="1"/>
  <c r="R412" i="11"/>
  <c r="R413" i="11" s="1"/>
  <c r="K533" i="11"/>
  <c r="I1573" i="1"/>
  <c r="K1573" i="1" s="1"/>
  <c r="K1580" i="1" s="1"/>
  <c r="K1582" i="1" s="1"/>
  <c r="I1601" i="1"/>
  <c r="K322" i="11"/>
  <c r="K323" i="11" s="1"/>
  <c r="L323" i="11" s="1"/>
  <c r="K341" i="11"/>
  <c r="K342" i="11" s="1"/>
  <c r="K352" i="11"/>
  <c r="K353" i="11" s="1"/>
  <c r="C1053" i="76" s="1"/>
  <c r="C924" i="55"/>
  <c r="L304" i="11"/>
  <c r="K389" i="11"/>
  <c r="K378" i="11"/>
  <c r="K363" i="11"/>
  <c r="K364" i="11" s="1"/>
  <c r="C1054" i="76" s="1"/>
  <c r="C138" i="1"/>
  <c r="C140" i="1"/>
  <c r="L870" i="11"/>
  <c r="C1081" i="55"/>
  <c r="R668" i="11"/>
  <c r="L930" i="55"/>
  <c r="H930" i="55"/>
  <c r="J930" i="55"/>
  <c r="F930" i="55"/>
  <c r="K3577" i="1"/>
  <c r="H368" i="55"/>
  <c r="J368" i="55"/>
  <c r="L368" i="55"/>
  <c r="F368" i="55"/>
  <c r="V807" i="1"/>
  <c r="V771" i="1" s="1"/>
  <c r="R1148" i="1"/>
  <c r="P1179" i="1" s="1"/>
  <c r="R1179" i="1" s="1"/>
  <c r="R2361" i="1"/>
  <c r="R2363" i="1" s="1"/>
  <c r="R2365" i="1" s="1"/>
  <c r="P2354" i="1" s="1"/>
  <c r="R2354" i="1" s="1"/>
  <c r="S2321" i="1"/>
  <c r="I3279" i="27"/>
  <c r="K3266" i="27"/>
  <c r="R3725" i="1"/>
  <c r="P3717" i="1" s="1"/>
  <c r="R3717" i="1" s="1"/>
  <c r="R3719" i="1" s="1"/>
  <c r="R3720" i="1" s="1"/>
  <c r="I3321" i="1"/>
  <c r="R3261" i="1"/>
  <c r="AG3669" i="1"/>
  <c r="K768" i="1"/>
  <c r="K770" i="1" s="1"/>
  <c r="I2356" i="1" s="1"/>
  <c r="C591" i="76" s="1"/>
  <c r="K777" i="1"/>
  <c r="K792" i="1" s="1"/>
  <c r="K794" i="1" s="1"/>
  <c r="I2872" i="1"/>
  <c r="K2872" i="1" s="1"/>
  <c r="K130" i="1"/>
  <c r="C29" i="55"/>
  <c r="T29" i="55" s="1"/>
  <c r="I3426" i="27"/>
  <c r="I3447" i="27" s="1"/>
  <c r="K3407" i="27"/>
  <c r="R487" i="1"/>
  <c r="R489" i="1" s="1"/>
  <c r="K2323" i="1"/>
  <c r="K2324" i="1" s="1"/>
  <c r="I2329" i="1" s="1"/>
  <c r="K2329" i="1" s="1"/>
  <c r="K2330" i="1" s="1"/>
  <c r="K2331" i="1" s="1"/>
  <c r="F645" i="64"/>
  <c r="D654" i="64"/>
  <c r="F654" i="64" s="1"/>
  <c r="K2061" i="1"/>
  <c r="K2063" i="1" s="1"/>
  <c r="I1818" i="27"/>
  <c r="K1818" i="27" s="1"/>
  <c r="K1817" i="27"/>
  <c r="K1469" i="27"/>
  <c r="K1471" i="27" s="1"/>
  <c r="D278" i="64"/>
  <c r="F203" i="64"/>
  <c r="K706" i="27"/>
  <c r="I2361" i="27"/>
  <c r="AE3555" i="1"/>
  <c r="AG3555" i="1" s="1"/>
  <c r="W38" i="64"/>
  <c r="W40" i="64" s="1"/>
  <c r="K3700" i="27"/>
  <c r="K3702" i="27" s="1"/>
  <c r="I3028" i="27"/>
  <c r="K3028" i="27" s="1"/>
  <c r="P3503" i="27"/>
  <c r="R3503" i="27" s="1"/>
  <c r="R3507" i="27" s="1"/>
  <c r="R3498" i="27" s="1"/>
  <c r="I2941" i="27"/>
  <c r="K2792" i="27"/>
  <c r="K2794" i="27" s="1"/>
  <c r="I173" i="11"/>
  <c r="K173" i="11" s="1"/>
  <c r="K22" i="11"/>
  <c r="I85" i="11"/>
  <c r="K1801" i="27"/>
  <c r="I1802" i="27"/>
  <c r="K1802" i="27" s="1"/>
  <c r="K1737" i="27"/>
  <c r="K1747" i="27" s="1"/>
  <c r="K1749" i="27" s="1"/>
  <c r="I1803" i="27" s="1"/>
  <c r="K1803" i="27" s="1"/>
  <c r="I1830" i="27"/>
  <c r="K1830" i="27" s="1"/>
  <c r="K1765" i="27"/>
  <c r="K1767" i="27" s="1"/>
  <c r="I1811" i="27" s="1"/>
  <c r="K1811" i="27" s="1"/>
  <c r="D343" i="64"/>
  <c r="F343" i="64" s="1"/>
  <c r="F279" i="64"/>
  <c r="K2854" i="27"/>
  <c r="I3005" i="27"/>
  <c r="K3005" i="27" s="1"/>
  <c r="I2914" i="27"/>
  <c r="I2593" i="27"/>
  <c r="K2593" i="27" s="1"/>
  <c r="K2562" i="27"/>
  <c r="K2369" i="27"/>
  <c r="I2387" i="27"/>
  <c r="K2387" i="27" s="1"/>
  <c r="I2425" i="27"/>
  <c r="E517" i="25"/>
  <c r="G517" i="25" s="1"/>
  <c r="G519" i="25" s="1"/>
  <c r="G520" i="25" s="1"/>
  <c r="G488" i="25"/>
  <c r="I3033" i="27"/>
  <c r="K3033" i="27" s="1"/>
  <c r="I2933" i="27"/>
  <c r="I3159" i="27"/>
  <c r="I3405" i="27"/>
  <c r="K3503" i="27"/>
  <c r="K2910" i="27"/>
  <c r="R521" i="27"/>
  <c r="R523" i="27" s="1"/>
  <c r="R503" i="27"/>
  <c r="R505" i="27" s="1"/>
  <c r="R479" i="27"/>
  <c r="R481" i="27" s="1"/>
  <c r="A206" i="27"/>
  <c r="A207" i="27" s="1"/>
  <c r="A264" i="27"/>
  <c r="A265" i="27" s="1"/>
  <c r="A266" i="27" s="1"/>
  <c r="A267" i="27" s="1"/>
  <c r="A268" i="27" s="1"/>
  <c r="A269" i="27" s="1"/>
  <c r="A270" i="27" s="1"/>
  <c r="A271" i="27" s="1"/>
  <c r="A272" i="27" s="1"/>
  <c r="A273" i="27" s="1"/>
  <c r="A274" i="27" s="1"/>
  <c r="A275" i="27" s="1"/>
  <c r="A276" i="27" s="1"/>
  <c r="A277" i="27" s="1"/>
  <c r="A278" i="27" s="1"/>
  <c r="A279" i="27" s="1"/>
  <c r="A281" i="27" s="1"/>
  <c r="A282" i="27" s="1"/>
  <c r="A283" i="27" s="1"/>
  <c r="A284" i="27" s="1"/>
  <c r="A285" i="27" s="1"/>
  <c r="A286" i="27" s="1"/>
  <c r="A287" i="27" s="1"/>
  <c r="A288" i="27" s="1"/>
  <c r="A289" i="27" s="1"/>
  <c r="A290" i="27" s="1"/>
  <c r="A291" i="27" s="1"/>
  <c r="A292" i="27" s="1"/>
  <c r="A293" i="27" s="1"/>
  <c r="A294" i="27" s="1"/>
  <c r="A295" i="27" s="1"/>
  <c r="A296" i="27" s="1"/>
  <c r="A297" i="27" s="1"/>
  <c r="A298" i="27" s="1"/>
  <c r="A299" i="27" s="1"/>
  <c r="A300" i="27" s="1"/>
  <c r="A301" i="27" s="1"/>
  <c r="A302" i="27" s="1"/>
  <c r="A303" i="27" s="1"/>
  <c r="A304" i="27" s="1"/>
  <c r="A305" i="27" s="1"/>
  <c r="A306" i="27" s="1"/>
  <c r="A307" i="27" s="1"/>
  <c r="A308" i="27" s="1"/>
  <c r="A309" i="27" s="1"/>
  <c r="A310" i="27" s="1"/>
  <c r="A311" i="27" s="1"/>
  <c r="A312" i="27" s="1"/>
  <c r="A313" i="27" s="1"/>
  <c r="A314" i="27" s="1"/>
  <c r="A315" i="27" s="1"/>
  <c r="A316" i="27" s="1"/>
  <c r="A317" i="27" s="1"/>
  <c r="A318" i="27" s="1"/>
  <c r="A319" i="27" s="1"/>
  <c r="A320" i="27" s="1"/>
  <c r="A321" i="27" s="1"/>
  <c r="A322" i="27" s="1"/>
  <c r="A323" i="27" s="1"/>
  <c r="A324" i="27" s="1"/>
  <c r="A325" i="27" s="1"/>
  <c r="A326" i="27" s="1"/>
  <c r="A331" i="27" s="1"/>
  <c r="A332" i="27" s="1"/>
  <c r="A333" i="27" s="1"/>
  <c r="A334" i="27" s="1"/>
  <c r="A335" i="27" s="1"/>
  <c r="A336" i="27" s="1"/>
  <c r="A337" i="27" s="1"/>
  <c r="A338" i="27" s="1"/>
  <c r="A339" i="27" s="1"/>
  <c r="A340" i="27" s="1"/>
  <c r="A341" i="27" s="1"/>
  <c r="A342" i="27" s="1"/>
  <c r="A343" i="27" s="1"/>
  <c r="A344" i="27" s="1"/>
  <c r="A345" i="27" s="1"/>
  <c r="A346" i="27" s="1"/>
  <c r="A347" i="27" s="1"/>
  <c r="A348" i="27" s="1"/>
  <c r="A349" i="27" s="1"/>
  <c r="A350" i="27" s="1"/>
  <c r="A351" i="27" s="1"/>
  <c r="A352" i="27" s="1"/>
  <c r="A353" i="27" s="1"/>
  <c r="A354" i="27" s="1"/>
  <c r="A355" i="27" s="1"/>
  <c r="A356" i="27" s="1"/>
  <c r="A357" i="27" s="1"/>
  <c r="A358" i="27" s="1"/>
  <c r="A359" i="27" s="1"/>
  <c r="A360" i="27" s="1"/>
  <c r="A361" i="27" s="1"/>
  <c r="A362" i="27" s="1"/>
  <c r="A363" i="27" s="1"/>
  <c r="A364" i="27" s="1"/>
  <c r="A365" i="27" s="1"/>
  <c r="A366" i="27" s="1"/>
  <c r="A367" i="27" s="1"/>
  <c r="A368" i="27" s="1"/>
  <c r="A369" i="27" s="1"/>
  <c r="A370" i="27" s="1"/>
  <c r="A371" i="27" s="1"/>
  <c r="A372" i="27" s="1"/>
  <c r="A373" i="27" s="1"/>
  <c r="A374" i="27" s="1"/>
  <c r="A375" i="27" s="1"/>
  <c r="A376" i="27" s="1"/>
  <c r="A377" i="27" s="1"/>
  <c r="A378" i="27" s="1"/>
  <c r="A379" i="27" s="1"/>
  <c r="A380" i="27" s="1"/>
  <c r="A381" i="27" s="1"/>
  <c r="A382" i="27" s="1"/>
  <c r="A383" i="27" s="1"/>
  <c r="A384" i="27" s="1"/>
  <c r="A385" i="27" s="1"/>
  <c r="A386" i="27" s="1"/>
  <c r="A387" i="27" s="1"/>
  <c r="A388" i="27" s="1"/>
  <c r="A389" i="27" s="1"/>
  <c r="A390" i="27" s="1"/>
  <c r="A391" i="27" s="1"/>
  <c r="A392" i="27" s="1"/>
  <c r="A393" i="27" s="1"/>
  <c r="A394" i="27" s="1"/>
  <c r="A395" i="27" s="1"/>
  <c r="A396" i="27" s="1"/>
  <c r="A397" i="27" s="1"/>
  <c r="A398" i="27" s="1"/>
  <c r="A399" i="27" s="1"/>
  <c r="A400" i="27" s="1"/>
  <c r="A401" i="27" s="1"/>
  <c r="A402" i="27" s="1"/>
  <c r="A403" i="27" s="1"/>
  <c r="A404" i="27" s="1"/>
  <c r="A405" i="27" s="1"/>
  <c r="A406" i="27" s="1"/>
  <c r="A407" i="27" s="1"/>
  <c r="A408" i="27" s="1"/>
  <c r="A409" i="27" s="1"/>
  <c r="A410" i="27" s="1"/>
  <c r="A411" i="27" s="1"/>
  <c r="A412" i="27" s="1"/>
  <c r="A413" i="27" s="1"/>
  <c r="A414" i="27" s="1"/>
  <c r="A415" i="27" s="1"/>
  <c r="A416" i="27" s="1"/>
  <c r="A417" i="27" s="1"/>
  <c r="A418" i="27" s="1"/>
  <c r="A419" i="27" s="1"/>
  <c r="A420" i="27" s="1"/>
  <c r="A422" i="27" s="1"/>
  <c r="A423" i="27" s="1"/>
  <c r="A424" i="27" s="1"/>
  <c r="A425" i="27" s="1"/>
  <c r="A426" i="27" s="1"/>
  <c r="A427" i="27" s="1"/>
  <c r="A428" i="27" s="1"/>
  <c r="A429" i="27" s="1"/>
  <c r="A430" i="27" s="1"/>
  <c r="A431" i="27" s="1"/>
  <c r="A432" i="27" s="1"/>
  <c r="A433" i="27" s="1"/>
  <c r="A434" i="27" s="1"/>
  <c r="A435" i="27" s="1"/>
  <c r="A436" i="27" s="1"/>
  <c r="A438" i="27" s="1"/>
  <c r="A439" i="27" s="1"/>
  <c r="A440" i="27" s="1"/>
  <c r="A441" i="27" s="1"/>
  <c r="A442" i="27" s="1"/>
  <c r="A443" i="27" s="1"/>
  <c r="A444" i="27" s="1"/>
  <c r="A445" i="27" s="1"/>
  <c r="A446" i="27" s="1"/>
  <c r="A447" i="27" s="1"/>
  <c r="A448" i="27" s="1"/>
  <c r="A449" i="27" s="1"/>
  <c r="A450" i="27" s="1"/>
  <c r="A451" i="27" s="1"/>
  <c r="A452" i="27" s="1"/>
  <c r="A453" i="27" s="1"/>
  <c r="A454" i="27" s="1"/>
  <c r="A455" i="27" s="1"/>
  <c r="A456" i="27" s="1"/>
  <c r="A457" i="27" s="1"/>
  <c r="A458" i="27" s="1"/>
  <c r="A459" i="27" s="1"/>
  <c r="A460" i="27" s="1"/>
  <c r="A461" i="27" s="1"/>
  <c r="A462" i="27" s="1"/>
  <c r="A463" i="27" s="1"/>
  <c r="A464" i="27" s="1"/>
  <c r="A465" i="27" s="1"/>
  <c r="A466" i="27" s="1"/>
  <c r="A467" i="27" s="1"/>
  <c r="A468" i="27" s="1"/>
  <c r="A469" i="27" s="1"/>
  <c r="A470" i="27" s="1"/>
  <c r="A471" i="27" s="1"/>
  <c r="A472" i="27" s="1"/>
  <c r="A473" i="27" s="1"/>
  <c r="A474" i="27" s="1"/>
  <c r="A475" i="27" s="1"/>
  <c r="A476" i="27" s="1"/>
  <c r="A477" i="27" s="1"/>
  <c r="A478" i="27" s="1"/>
  <c r="A479" i="27" s="1"/>
  <c r="A480" i="27" s="1"/>
  <c r="A481" i="27" s="1"/>
  <c r="A482" i="27" s="1"/>
  <c r="A483" i="27" s="1"/>
  <c r="A484" i="27" s="1"/>
  <c r="A485" i="27" s="1"/>
  <c r="A486" i="27" s="1"/>
  <c r="A487" i="27" s="1"/>
  <c r="A488" i="27" s="1"/>
  <c r="A489" i="27" s="1"/>
  <c r="A491" i="27" s="1"/>
  <c r="A492" i="27" s="1"/>
  <c r="A493" i="27" s="1"/>
  <c r="A494" i="27" s="1"/>
  <c r="A495" i="27" s="1"/>
  <c r="A496" i="27" s="1"/>
  <c r="A497" i="27" s="1"/>
  <c r="A498" i="27" s="1"/>
  <c r="A499" i="27" s="1"/>
  <c r="A500" i="27" s="1"/>
  <c r="A501" i="27" s="1"/>
  <c r="A502" i="27" s="1"/>
  <c r="A503" i="27" s="1"/>
  <c r="A504" i="27" s="1"/>
  <c r="A505" i="27" s="1"/>
  <c r="A506" i="27" s="1"/>
  <c r="A507" i="27" s="1"/>
  <c r="A508" i="27" s="1"/>
  <c r="A509" i="27" s="1"/>
  <c r="A510" i="27" s="1"/>
  <c r="A511" i="27" s="1"/>
  <c r="A512" i="27" s="1"/>
  <c r="A513" i="27" s="1"/>
  <c r="A514" i="27" s="1"/>
  <c r="A515" i="27" s="1"/>
  <c r="A516" i="27" s="1"/>
  <c r="A517" i="27" s="1"/>
  <c r="A518" i="27" s="1"/>
  <c r="A519" i="27" s="1"/>
  <c r="A520" i="27" s="1"/>
  <c r="A521" i="27" s="1"/>
  <c r="A522" i="27" s="1"/>
  <c r="A523" i="27" s="1"/>
  <c r="A524" i="27" s="1"/>
  <c r="A525" i="27" s="1"/>
  <c r="A526" i="27" s="1"/>
  <c r="A527" i="27" s="1"/>
  <c r="A528" i="27" s="1"/>
  <c r="A529" i="27" s="1"/>
  <c r="A530" i="27" s="1"/>
  <c r="A531" i="27" s="1"/>
  <c r="A532" i="27" s="1"/>
  <c r="A533" i="27" s="1"/>
  <c r="A534" i="27" s="1"/>
  <c r="A535" i="27" s="1"/>
  <c r="A536" i="27" s="1"/>
  <c r="A537" i="27" s="1"/>
  <c r="A538" i="27" s="1"/>
  <c r="A539" i="27" s="1"/>
  <c r="A540" i="27" s="1"/>
  <c r="A541" i="27" s="1"/>
  <c r="A542" i="27" s="1"/>
  <c r="A543" i="27" s="1"/>
  <c r="A544" i="27" s="1"/>
  <c r="A545" i="27" s="1"/>
  <c r="A546" i="27" s="1"/>
  <c r="A548" i="27" s="1"/>
  <c r="A549" i="27" s="1"/>
  <c r="A550" i="27" s="1"/>
  <c r="A551" i="27" s="1"/>
  <c r="A552" i="27" s="1"/>
  <c r="A553" i="27" s="1"/>
  <c r="A554" i="27" s="1"/>
  <c r="A555" i="27" s="1"/>
  <c r="A556" i="27" s="1"/>
  <c r="A557" i="27" s="1"/>
  <c r="A558" i="27" s="1"/>
  <c r="A559" i="27" s="1"/>
  <c r="A560" i="27" s="1"/>
  <c r="A561" i="27" s="1"/>
  <c r="A562" i="27" s="1"/>
  <c r="A563" i="27" s="1"/>
  <c r="A564" i="27" s="1"/>
  <c r="A566" i="27" s="1"/>
  <c r="A567" i="27" s="1"/>
  <c r="A568" i="27" s="1"/>
  <c r="A569" i="27" s="1"/>
  <c r="A570" i="27" s="1"/>
  <c r="A571" i="27" s="1"/>
  <c r="A573" i="27" s="1"/>
  <c r="A574" i="27" s="1"/>
  <c r="A575" i="27" s="1"/>
  <c r="A576" i="27" s="1"/>
  <c r="A577" i="27" s="1"/>
  <c r="A578" i="27" s="1"/>
  <c r="A579" i="27" s="1"/>
  <c r="A580" i="27" s="1"/>
  <c r="A581" i="27" s="1"/>
  <c r="A582" i="27" s="1"/>
  <c r="A583" i="27" s="1"/>
  <c r="A584" i="27" s="1"/>
  <c r="A585" i="27" s="1"/>
  <c r="A586" i="27" s="1"/>
  <c r="A588" i="27" s="1"/>
  <c r="A589" i="27" s="1"/>
  <c r="A590" i="27" s="1"/>
  <c r="A591" i="27" s="1"/>
  <c r="A592" i="27" s="1"/>
  <c r="A593" i="27" s="1"/>
  <c r="A594" i="27" s="1"/>
  <c r="A595" i="27" s="1"/>
  <c r="A596" i="27" s="1"/>
  <c r="A597" i="27" s="1"/>
  <c r="A598" i="27" s="1"/>
  <c r="A599" i="27" s="1"/>
  <c r="A600" i="27" s="1"/>
  <c r="A601" i="27" s="1"/>
  <c r="A602" i="27" s="1"/>
  <c r="A603" i="27" s="1"/>
  <c r="A604" i="27" s="1"/>
  <c r="A605" i="27" s="1"/>
  <c r="A606" i="27" s="1"/>
  <c r="A607" i="27" s="1"/>
  <c r="A608" i="27" s="1"/>
  <c r="A609" i="27" s="1"/>
  <c r="A610" i="27" s="1"/>
  <c r="A611" i="27" s="1"/>
  <c r="A612" i="27" s="1"/>
  <c r="A613" i="27" s="1"/>
  <c r="A614" i="27" s="1"/>
  <c r="A616" i="27" s="1"/>
  <c r="A617" i="27" s="1"/>
  <c r="A618" i="27" s="1"/>
  <c r="A619" i="27" s="1"/>
  <c r="A620" i="27" s="1"/>
  <c r="A621" i="27" s="1"/>
  <c r="A622" i="27" s="1"/>
  <c r="A623" i="27" s="1"/>
  <c r="A624" i="27" s="1"/>
  <c r="A625" i="27" s="1"/>
  <c r="A626" i="27" s="1"/>
  <c r="A627" i="27" s="1"/>
  <c r="A628" i="27" s="1"/>
  <c r="A629" i="27" s="1"/>
  <c r="A630" i="27" s="1"/>
  <c r="A631" i="27" s="1"/>
  <c r="A632" i="27" s="1"/>
  <c r="A633" i="27" s="1"/>
  <c r="A634" i="27" s="1"/>
  <c r="A635" i="27" s="1"/>
  <c r="A636" i="27" s="1"/>
  <c r="A637" i="27" s="1"/>
  <c r="A638" i="27" s="1"/>
  <c r="A639" i="27" s="1"/>
  <c r="A640" i="27" s="1"/>
  <c r="A641" i="27" s="1"/>
  <c r="A642" i="27" s="1"/>
  <c r="A643" i="27" s="1"/>
  <c r="A644" i="27" s="1"/>
  <c r="A645" i="27" s="1"/>
  <c r="A646" i="27" s="1"/>
  <c r="A647" i="27" s="1"/>
  <c r="A648" i="27" s="1"/>
  <c r="A649" i="27" s="1"/>
  <c r="A650" i="27" s="1"/>
  <c r="A651" i="27" s="1"/>
  <c r="A652" i="27" s="1"/>
  <c r="A653" i="27" s="1"/>
  <c r="A654" i="27" s="1"/>
  <c r="A655" i="27" s="1"/>
  <c r="A656" i="27" s="1"/>
  <c r="A657" i="27" s="1"/>
  <c r="A658" i="27" s="1"/>
  <c r="A659" i="27" s="1"/>
  <c r="A660" i="27" s="1"/>
  <c r="A661" i="27" s="1"/>
  <c r="A662" i="27" s="1"/>
  <c r="A663" i="27" s="1"/>
  <c r="A664" i="27" s="1"/>
  <c r="A665" i="27" s="1"/>
  <c r="A666" i="27" s="1"/>
  <c r="A667" i="27" s="1"/>
  <c r="A668" i="27" s="1"/>
  <c r="A669" i="27" s="1"/>
  <c r="A670" i="27" s="1"/>
  <c r="A671" i="27" s="1"/>
  <c r="A672" i="27" s="1"/>
  <c r="A673" i="27" s="1"/>
  <c r="A675" i="27" s="1"/>
  <c r="A676" i="27" s="1"/>
  <c r="A677" i="27" s="1"/>
  <c r="A678" i="27" s="1"/>
  <c r="A679" i="27" s="1"/>
  <c r="A680" i="27" s="1"/>
  <c r="A681" i="27" s="1"/>
  <c r="A682" i="27" s="1"/>
  <c r="A683" i="27" s="1"/>
  <c r="A684" i="27" s="1"/>
  <c r="A685" i="27" s="1"/>
  <c r="A686" i="27" s="1"/>
  <c r="A687" i="27" s="1"/>
  <c r="A688" i="27" s="1"/>
  <c r="A689" i="27" s="1"/>
  <c r="A690" i="27" s="1"/>
  <c r="A691" i="27" s="1"/>
  <c r="A692" i="27" s="1"/>
  <c r="A693" i="27" s="1"/>
  <c r="A694" i="27" s="1"/>
  <c r="A695" i="27" s="1"/>
  <c r="A696" i="27" s="1"/>
  <c r="A697" i="27" s="1"/>
  <c r="A698" i="27" s="1"/>
  <c r="A699" i="27" s="1"/>
  <c r="A700" i="27" s="1"/>
  <c r="A701" i="27" s="1"/>
  <c r="A702" i="27" s="1"/>
  <c r="A703" i="27" s="1"/>
  <c r="A704" i="27" s="1"/>
  <c r="A705" i="27" s="1"/>
  <c r="A706" i="27" s="1"/>
  <c r="A707" i="27" s="1"/>
  <c r="A708" i="27" s="1"/>
  <c r="A709" i="27" s="1"/>
  <c r="A710" i="27" s="1"/>
  <c r="A711" i="27" s="1"/>
  <c r="A712" i="27" s="1"/>
  <c r="A713" i="27" s="1"/>
  <c r="A714" i="27" s="1"/>
  <c r="A715" i="27" s="1"/>
  <c r="A716" i="27" s="1"/>
  <c r="A717" i="27" s="1"/>
  <c r="A718" i="27" s="1"/>
  <c r="A719" i="27" s="1"/>
  <c r="A720" i="27" s="1"/>
  <c r="A721" i="27" s="1"/>
  <c r="A722" i="27" s="1"/>
  <c r="A723" i="27" s="1"/>
  <c r="A724" i="27" s="1"/>
  <c r="A725" i="27" s="1"/>
  <c r="A726" i="27" s="1"/>
  <c r="A727" i="27" s="1"/>
  <c r="A728" i="27" s="1"/>
  <c r="A729" i="27" s="1"/>
  <c r="A730" i="27" s="1"/>
  <c r="A731" i="27" s="1"/>
  <c r="A732" i="27" s="1"/>
  <c r="A733" i="27" s="1"/>
  <c r="A735" i="27" s="1"/>
  <c r="A736" i="27" s="1"/>
  <c r="A737" i="27" s="1"/>
  <c r="A738" i="27" s="1"/>
  <c r="A739" i="27" s="1"/>
  <c r="A740" i="27" s="1"/>
  <c r="A741" i="27" s="1"/>
  <c r="A742" i="27" s="1"/>
  <c r="A743" i="27" s="1"/>
  <c r="A744" i="27" s="1"/>
  <c r="A745" i="27" s="1"/>
  <c r="A746" i="27" s="1"/>
  <c r="A747" i="27" s="1"/>
  <c r="A748" i="27" s="1"/>
  <c r="A749" i="27" s="1"/>
  <c r="A750" i="27" s="1"/>
  <c r="A751" i="27" s="1"/>
  <c r="A752" i="27" s="1"/>
  <c r="A753" i="27" s="1"/>
  <c r="F148" i="50"/>
  <c r="K2225" i="27"/>
  <c r="K2227" i="27" s="1"/>
  <c r="K1870" i="27"/>
  <c r="R858" i="27"/>
  <c r="R860" i="27" s="1"/>
  <c r="K3053" i="27"/>
  <c r="I3889" i="27"/>
  <c r="K1809" i="27"/>
  <c r="I1810" i="27"/>
  <c r="K1810" i="27" s="1"/>
  <c r="A25" i="50"/>
  <c r="K2829" i="27"/>
  <c r="K2830" i="27" s="1"/>
  <c r="I2819" i="27" s="1"/>
  <c r="K2819" i="27" s="1"/>
  <c r="K2822" i="27" s="1"/>
  <c r="K2739" i="27"/>
  <c r="K2727" i="27"/>
  <c r="K2728" i="27" s="1"/>
  <c r="K2717" i="27" s="1"/>
  <c r="K2720" i="27" s="1"/>
  <c r="K1566" i="27"/>
  <c r="K1569" i="27" s="1"/>
  <c r="K3494" i="27"/>
  <c r="I3532" i="27"/>
  <c r="K3532" i="27" s="1"/>
  <c r="K1087" i="27"/>
  <c r="I2264" i="27"/>
  <c r="K708" i="27"/>
  <c r="I2362" i="27"/>
  <c r="F148" i="32"/>
  <c r="F89" i="32"/>
  <c r="F92" i="32" s="1"/>
  <c r="K2502" i="27"/>
  <c r="K2241" i="27"/>
  <c r="K1601" i="27"/>
  <c r="K686" i="27"/>
  <c r="I688" i="27" s="1"/>
  <c r="K688" i="27" s="1"/>
  <c r="K693" i="27" s="1"/>
  <c r="K695" i="27" s="1"/>
  <c r="K764" i="27" s="1"/>
  <c r="K667" i="27"/>
  <c r="K669" i="27" s="1"/>
  <c r="K670" i="27" s="1"/>
  <c r="K671" i="27" s="1"/>
  <c r="K672" i="27" s="1"/>
  <c r="K673" i="27" s="1"/>
  <c r="R461" i="27"/>
  <c r="R463" i="27" s="1"/>
  <c r="I2625" i="27"/>
  <c r="K2625" i="27" s="1"/>
  <c r="I2607" i="27"/>
  <c r="K2607" i="27" s="1"/>
  <c r="I2428" i="27"/>
  <c r="I2101" i="27"/>
  <c r="K2101" i="27" s="1"/>
  <c r="K2103" i="27" s="1"/>
  <c r="K2105" i="27" s="1"/>
  <c r="K2107" i="27" s="1"/>
  <c r="I2002" i="27"/>
  <c r="K2002" i="27" s="1"/>
  <c r="I1978" i="27"/>
  <c r="K1978" i="27" s="1"/>
  <c r="I1954" i="27"/>
  <c r="K1954" i="27" s="1"/>
  <c r="I1949" i="27"/>
  <c r="K1949" i="27" s="1"/>
  <c r="I1935" i="27"/>
  <c r="K1935" i="27" s="1"/>
  <c r="I1930" i="27"/>
  <c r="K1930" i="27" s="1"/>
  <c r="I1834" i="27"/>
  <c r="K1834" i="27" s="1"/>
  <c r="I1832" i="27"/>
  <c r="K1832" i="27" s="1"/>
  <c r="I1578" i="27"/>
  <c r="K1578" i="27" s="1"/>
  <c r="I1438" i="27"/>
  <c r="K1438" i="27" s="1"/>
  <c r="I1422" i="27"/>
  <c r="K1422" i="27" s="1"/>
  <c r="I1410" i="27"/>
  <c r="K1410" i="27" s="1"/>
  <c r="I1397" i="27"/>
  <c r="K1397" i="27" s="1"/>
  <c r="I1385" i="27"/>
  <c r="K1385" i="27" s="1"/>
  <c r="I1365" i="27"/>
  <c r="K1365" i="27" s="1"/>
  <c r="I1351" i="27"/>
  <c r="K1351" i="27" s="1"/>
  <c r="I1338" i="27"/>
  <c r="K1338" i="27" s="1"/>
  <c r="I1326" i="27"/>
  <c r="K1326" i="27" s="1"/>
  <c r="I1312" i="27"/>
  <c r="K1312" i="27" s="1"/>
  <c r="I1290" i="27"/>
  <c r="K1290" i="27" s="1"/>
  <c r="I1270" i="27"/>
  <c r="K1270" i="27" s="1"/>
  <c r="I1255" i="27"/>
  <c r="K1255" i="27" s="1"/>
  <c r="I1238" i="27"/>
  <c r="K1238" i="27" s="1"/>
  <c r="I1222" i="27"/>
  <c r="K1222" i="27" s="1"/>
  <c r="I1208" i="27"/>
  <c r="K1208" i="27" s="1"/>
  <c r="I1202" i="27"/>
  <c r="K1202" i="27" s="1"/>
  <c r="I1177" i="27"/>
  <c r="K1177" i="27" s="1"/>
  <c r="I1173" i="27"/>
  <c r="K1173" i="27" s="1"/>
  <c r="I1156" i="27"/>
  <c r="K1156" i="27" s="1"/>
  <c r="I1117" i="27"/>
  <c r="K1117" i="27" s="1"/>
  <c r="K1120" i="27" s="1"/>
  <c r="K1122" i="27" s="1"/>
  <c r="I1103" i="27"/>
  <c r="K1103" i="27" s="1"/>
  <c r="I1014" i="27"/>
  <c r="I978" i="27"/>
  <c r="K978" i="27" s="1"/>
  <c r="K986" i="27" s="1"/>
  <c r="K988" i="27" s="1"/>
  <c r="I914" i="27"/>
  <c r="I857" i="27"/>
  <c r="K857" i="27" s="1"/>
  <c r="I839" i="27"/>
  <c r="K839" i="27" s="1"/>
  <c r="I748" i="27"/>
  <c r="K748" i="27" s="1"/>
  <c r="I623" i="27"/>
  <c r="K623" i="27" s="1"/>
  <c r="I593" i="27"/>
  <c r="K593" i="27" s="1"/>
  <c r="I576" i="27"/>
  <c r="K576" i="27" s="1"/>
  <c r="I519" i="27"/>
  <c r="K519" i="27" s="1"/>
  <c r="K507" i="27"/>
  <c r="I394" i="27"/>
  <c r="K394" i="27" s="1"/>
  <c r="P391" i="27"/>
  <c r="R391" i="27" s="1"/>
  <c r="I381" i="27"/>
  <c r="K381" i="27" s="1"/>
  <c r="P377" i="27"/>
  <c r="R377" i="27" s="1"/>
  <c r="P308" i="27"/>
  <c r="R308" i="27" s="1"/>
  <c r="P297" i="27"/>
  <c r="R297" i="27" s="1"/>
  <c r="P296" i="27"/>
  <c r="R296" i="27" s="1"/>
  <c r="P285" i="27"/>
  <c r="R285" i="27" s="1"/>
  <c r="I227" i="27"/>
  <c r="K227" i="27" s="1"/>
  <c r="I212" i="27"/>
  <c r="K212" i="27" s="1"/>
  <c r="I211" i="27"/>
  <c r="K211" i="27" s="1"/>
  <c r="I197" i="27"/>
  <c r="K197" i="27" s="1"/>
  <c r="P191" i="27"/>
  <c r="R191" i="27" s="1"/>
  <c r="C138" i="27"/>
  <c r="D303" i="25"/>
  <c r="F303" i="25" s="1"/>
  <c r="D160" i="25"/>
  <c r="F160" i="25" s="1"/>
  <c r="D278" i="32"/>
  <c r="F278" i="32" s="1"/>
  <c r="D235" i="32"/>
  <c r="F235" i="32" s="1"/>
  <c r="F197" i="32"/>
  <c r="F199" i="32" s="1"/>
  <c r="I2624" i="27"/>
  <c r="K2624" i="27" s="1"/>
  <c r="I2606" i="27"/>
  <c r="K2606" i="27" s="1"/>
  <c r="K2609" i="27" s="1"/>
  <c r="I2466" i="27"/>
  <c r="K2466" i="27" s="1"/>
  <c r="I2372" i="27"/>
  <c r="I2327" i="27"/>
  <c r="K2327" i="27" s="1"/>
  <c r="K2332" i="27" s="1"/>
  <c r="K2336" i="27" s="1"/>
  <c r="I2307" i="27"/>
  <c r="K2307" i="27" s="1"/>
  <c r="I2088" i="27"/>
  <c r="K2088" i="27" s="1"/>
  <c r="K2090" i="27" s="1"/>
  <c r="K2092" i="27" s="1"/>
  <c r="I2075" i="27"/>
  <c r="K2075" i="27" s="1"/>
  <c r="K2077" i="27" s="1"/>
  <c r="I2030" i="27"/>
  <c r="K2030" i="27" s="1"/>
  <c r="I2001" i="27"/>
  <c r="K2001" i="27" s="1"/>
  <c r="I1977" i="27"/>
  <c r="K1977" i="27" s="1"/>
  <c r="I1833" i="27"/>
  <c r="K1833" i="27" s="1"/>
  <c r="I1681" i="27"/>
  <c r="K1681" i="27" s="1"/>
  <c r="I1577" i="27"/>
  <c r="K1577" i="27" s="1"/>
  <c r="I1437" i="27"/>
  <c r="K1437" i="27" s="1"/>
  <c r="I1423" i="27"/>
  <c r="K1423" i="27" s="1"/>
  <c r="I1411" i="27"/>
  <c r="K1411" i="27" s="1"/>
  <c r="I1398" i="27"/>
  <c r="K1398" i="27" s="1"/>
  <c r="I1386" i="27"/>
  <c r="K1386" i="27" s="1"/>
  <c r="I1366" i="27"/>
  <c r="K1366" i="27" s="1"/>
  <c r="I1350" i="27"/>
  <c r="K1350" i="27" s="1"/>
  <c r="I1339" i="27"/>
  <c r="K1339" i="27" s="1"/>
  <c r="I1325" i="27"/>
  <c r="K1325" i="27" s="1"/>
  <c r="I1313" i="27"/>
  <c r="K1313" i="27" s="1"/>
  <c r="I1311" i="27"/>
  <c r="K1311" i="27" s="1"/>
  <c r="I1291" i="27"/>
  <c r="K1291" i="27" s="1"/>
  <c r="I1289" i="27"/>
  <c r="K1289" i="27" s="1"/>
  <c r="I1269" i="27"/>
  <c r="K1269" i="27" s="1"/>
  <c r="I1256" i="27"/>
  <c r="K1256" i="27" s="1"/>
  <c r="I1237" i="27"/>
  <c r="K1237" i="27" s="1"/>
  <c r="I1223" i="27"/>
  <c r="K1223" i="27" s="1"/>
  <c r="I1207" i="27"/>
  <c r="K1207" i="27" s="1"/>
  <c r="I1203" i="27"/>
  <c r="K1203" i="27" s="1"/>
  <c r="I1201" i="27"/>
  <c r="K1201" i="27" s="1"/>
  <c r="I1178" i="27"/>
  <c r="K1178" i="27" s="1"/>
  <c r="I1174" i="27"/>
  <c r="K1174" i="27" s="1"/>
  <c r="I1172" i="27"/>
  <c r="K1172" i="27" s="1"/>
  <c r="I1157" i="27"/>
  <c r="K1157" i="27" s="1"/>
  <c r="I1104" i="27"/>
  <c r="K1104" i="27" s="1"/>
  <c r="I858" i="27"/>
  <c r="K858" i="27" s="1"/>
  <c r="I749" i="27"/>
  <c r="K749" i="27" s="1"/>
  <c r="I726" i="27"/>
  <c r="K726" i="27" s="1"/>
  <c r="P630" i="27"/>
  <c r="R630" i="27" s="1"/>
  <c r="I622" i="27"/>
  <c r="K622" i="27" s="1"/>
  <c r="P618" i="27"/>
  <c r="R618" i="27" s="1"/>
  <c r="R623" i="27" s="1"/>
  <c r="I577" i="27"/>
  <c r="K577" i="27" s="1"/>
  <c r="I520" i="27"/>
  <c r="K520" i="27" s="1"/>
  <c r="P390" i="27"/>
  <c r="R390" i="27" s="1"/>
  <c r="I382" i="27"/>
  <c r="K382" i="27" s="1"/>
  <c r="I380" i="27"/>
  <c r="K380" i="27" s="1"/>
  <c r="P376" i="27"/>
  <c r="R376" i="27" s="1"/>
  <c r="P307" i="27"/>
  <c r="R307" i="27" s="1"/>
  <c r="I299" i="27"/>
  <c r="K299" i="27" s="1"/>
  <c r="I298" i="27"/>
  <c r="K298" i="27" s="1"/>
  <c r="P284" i="27"/>
  <c r="R284" i="27" s="1"/>
  <c r="I243" i="27"/>
  <c r="K243" i="27" s="1"/>
  <c r="I226" i="27"/>
  <c r="K226" i="27" s="1"/>
  <c r="P192" i="27"/>
  <c r="R192" i="27" s="1"/>
  <c r="F548" i="25"/>
  <c r="D302" i="25"/>
  <c r="F302" i="25" s="1"/>
  <c r="D159" i="25"/>
  <c r="F159" i="25" s="1"/>
  <c r="F482" i="64"/>
  <c r="AP33" i="64"/>
  <c r="AR33" i="64" s="1"/>
  <c r="AP17" i="64"/>
  <c r="AR17" i="64" s="1"/>
  <c r="F147" i="64"/>
  <c r="F122" i="64"/>
  <c r="D415" i="64"/>
  <c r="D293" i="64"/>
  <c r="F293" i="64" s="1"/>
  <c r="I156" i="1"/>
  <c r="K156" i="1" s="1"/>
  <c r="I46" i="1"/>
  <c r="I11" i="1"/>
  <c r="F291" i="64"/>
  <c r="F414" i="64"/>
  <c r="F12" i="64"/>
  <c r="F13" i="64" s="1"/>
  <c r="G13" i="64" s="1"/>
  <c r="D140" i="64"/>
  <c r="F42" i="64"/>
  <c r="F73" i="64" s="1"/>
  <c r="F148" i="64"/>
  <c r="F202" i="64"/>
  <c r="F277" i="64"/>
  <c r="D283" i="64"/>
  <c r="F283" i="64" s="1"/>
  <c r="F530" i="64"/>
  <c r="D592" i="64"/>
  <c r="E226" i="32"/>
  <c r="F226" i="32" s="1"/>
  <c r="E269" i="32"/>
  <c r="F269" i="32" s="1"/>
  <c r="K956" i="1"/>
  <c r="P949" i="1"/>
  <c r="R949" i="1" s="1"/>
  <c r="P1069" i="1"/>
  <c r="P992" i="1"/>
  <c r="R992" i="1" s="1"/>
  <c r="X1358" i="1"/>
  <c r="AB1356" i="1"/>
  <c r="X1360" i="1"/>
  <c r="AB1358" i="1"/>
  <c r="AE2624" i="1"/>
  <c r="AG2624" i="1" s="1"/>
  <c r="X2610" i="1"/>
  <c r="AE2658" i="1"/>
  <c r="AG2658" i="1" s="1"/>
  <c r="P3161" i="1"/>
  <c r="K3154" i="1"/>
  <c r="R3158" i="1"/>
  <c r="P3194" i="1"/>
  <c r="I3328" i="1"/>
  <c r="I3430" i="1" s="1"/>
  <c r="V3258" i="1"/>
  <c r="X3258" i="1" s="1"/>
  <c r="K3366" i="1"/>
  <c r="K3370" i="1" s="1"/>
  <c r="K3371" i="1" s="1"/>
  <c r="I3353" i="1"/>
  <c r="D234" i="32"/>
  <c r="F234" i="32" s="1"/>
  <c r="F237" i="32" s="1"/>
  <c r="E271" i="32"/>
  <c r="F271" i="32" s="1"/>
  <c r="C254" i="32"/>
  <c r="C255" i="32"/>
  <c r="X15" i="1"/>
  <c r="I3005" i="1"/>
  <c r="K3005" i="1" s="1"/>
  <c r="C30" i="1"/>
  <c r="P2862" i="1"/>
  <c r="R2862" i="1" s="1"/>
  <c r="K3074" i="1"/>
  <c r="P3148" i="1"/>
  <c r="M3155" i="1" s="1"/>
  <c r="R3155" i="1" s="1"/>
  <c r="I3958" i="1"/>
  <c r="R44" i="11"/>
  <c r="R46" i="11" s="1"/>
  <c r="K1025" i="1"/>
  <c r="P1099" i="1"/>
  <c r="V1394" i="1"/>
  <c r="X1377" i="1"/>
  <c r="V1355" i="1"/>
  <c r="P1411" i="1"/>
  <c r="R1412" i="1"/>
  <c r="P1429" i="1"/>
  <c r="K1626" i="1"/>
  <c r="P1628" i="1"/>
  <c r="K3327" i="1"/>
  <c r="I3396" i="1"/>
  <c r="I3429" i="1" s="1"/>
  <c r="F189" i="32"/>
  <c r="F192" i="32" s="1"/>
  <c r="E227" i="32"/>
  <c r="D277" i="32"/>
  <c r="F277" i="32" s="1"/>
  <c r="P950" i="1"/>
  <c r="R950" i="1" s="1"/>
  <c r="K957" i="1"/>
  <c r="R1603" i="1"/>
  <c r="P1615" i="1"/>
  <c r="R1615" i="1" s="1"/>
  <c r="K2024" i="1"/>
  <c r="P2024" i="1"/>
  <c r="R2024" i="1" s="1"/>
  <c r="K2670" i="1"/>
  <c r="P2677" i="1"/>
  <c r="I3108" i="1"/>
  <c r="K2970" i="1"/>
  <c r="P2977" i="1"/>
  <c r="R2977" i="1" s="1"/>
  <c r="I3395" i="1"/>
  <c r="I3428" i="1" s="1"/>
  <c r="K3428" i="1" s="1"/>
  <c r="K3326" i="1"/>
  <c r="A227" i="32"/>
  <c r="A228" i="32" s="1"/>
  <c r="F228" i="32" s="1"/>
  <c r="C10" i="1"/>
  <c r="D31" i="1"/>
  <c r="V81" i="1"/>
  <c r="AF684" i="1"/>
  <c r="AF686" i="1" s="1"/>
  <c r="K704" i="1"/>
  <c r="I706" i="1" s="1"/>
  <c r="K706" i="1" s="1"/>
  <c r="C276" i="76" s="1"/>
  <c r="P2061" i="1"/>
  <c r="K2886" i="1"/>
  <c r="K2888" i="1" s="1"/>
  <c r="V3109" i="1"/>
  <c r="K4067" i="1"/>
  <c r="K1101" i="11"/>
  <c r="I1115" i="11" s="1"/>
  <c r="K1115" i="11" s="1"/>
  <c r="AI531" i="1"/>
  <c r="AI555" i="1" s="1"/>
  <c r="AB555" i="1"/>
  <c r="K960" i="1"/>
  <c r="P953" i="1"/>
  <c r="K992" i="1"/>
  <c r="I2838" i="1"/>
  <c r="K1021" i="1"/>
  <c r="P1095" i="1"/>
  <c r="P3295" i="1"/>
  <c r="R3228" i="1"/>
  <c r="P3262" i="1"/>
  <c r="K3325" i="1"/>
  <c r="I3394" i="1"/>
  <c r="K3526" i="1"/>
  <c r="P3530" i="1"/>
  <c r="R3530" i="1" s="1"/>
  <c r="I3542" i="1"/>
  <c r="K3529" i="1"/>
  <c r="P3533" i="1"/>
  <c r="R3533" i="1" s="1"/>
  <c r="I503" i="11"/>
  <c r="K391" i="11"/>
  <c r="I387" i="11" s="1"/>
  <c r="K387" i="11" s="1"/>
  <c r="I1091" i="1"/>
  <c r="K1091" i="1" s="1"/>
  <c r="V1373" i="1"/>
  <c r="K3791" i="1"/>
  <c r="K3792" i="1" s="1"/>
  <c r="H3848" i="1"/>
  <c r="K881" i="1"/>
  <c r="K993" i="1"/>
  <c r="K996" i="1"/>
  <c r="K1630" i="1"/>
  <c r="K1922" i="1"/>
  <c r="K1986" i="1"/>
  <c r="K2609" i="1"/>
  <c r="K2641" i="1"/>
  <c r="P3159" i="1"/>
  <c r="R3159" i="1" s="1"/>
  <c r="K3941" i="1"/>
  <c r="K3943" i="1"/>
  <c r="K15" i="11"/>
  <c r="I175" i="11"/>
  <c r="K175" i="11" s="1"/>
  <c r="I84" i="11"/>
  <c r="I209" i="11"/>
  <c r="K209" i="11" s="1"/>
  <c r="I850" i="11"/>
  <c r="K376" i="11"/>
  <c r="K379" i="11" s="1"/>
  <c r="K520" i="11"/>
  <c r="I833" i="11"/>
  <c r="K673" i="11"/>
  <c r="K675" i="11" s="1"/>
  <c r="K782" i="11"/>
  <c r="K759" i="11"/>
  <c r="K760" i="11" s="1"/>
  <c r="K750" i="11" s="1"/>
  <c r="K751" i="11" s="1"/>
  <c r="AE2651" i="1"/>
  <c r="AG2651" i="1" s="1"/>
  <c r="P3332" i="1"/>
  <c r="R3332" i="1" s="1"/>
  <c r="V881" i="1"/>
  <c r="K3378" i="27"/>
  <c r="K3379" i="27" s="1"/>
  <c r="K3347" i="27"/>
  <c r="K3348" i="27" s="1"/>
  <c r="K2192" i="27"/>
  <c r="L3135" i="27"/>
  <c r="K3426" i="27"/>
  <c r="D60" i="25"/>
  <c r="F60" i="25" s="1"/>
  <c r="F38" i="25"/>
  <c r="K2975" i="27"/>
  <c r="K2942" i="27"/>
  <c r="K3060" i="27" s="1"/>
  <c r="K3076" i="27" s="1"/>
  <c r="I3122" i="27"/>
  <c r="K3116" i="27" s="1"/>
  <c r="R3116" i="27" s="1"/>
  <c r="R3130" i="27" s="1"/>
  <c r="H3123" i="27"/>
  <c r="I2934" i="27"/>
  <c r="K2908" i="27"/>
  <c r="I3031" i="27"/>
  <c r="K3031" i="27" s="1"/>
  <c r="I3054" i="27"/>
  <c r="K2936" i="27"/>
  <c r="G218" i="25"/>
  <c r="K3583" i="27"/>
  <c r="K3584" i="27" s="1"/>
  <c r="D692" i="25"/>
  <c r="F692" i="25" s="1"/>
  <c r="I3623" i="27"/>
  <c r="K3504" i="27"/>
  <c r="I2938" i="27"/>
  <c r="K522" i="11"/>
  <c r="I3406" i="27"/>
  <c r="F624" i="25" l="1"/>
  <c r="D660" i="25"/>
  <c r="P403" i="1"/>
  <c r="R403" i="1" s="1"/>
  <c r="C1088" i="76"/>
  <c r="C1094" i="55"/>
  <c r="C908" i="55"/>
  <c r="T908" i="55" s="1"/>
  <c r="C904" i="76"/>
  <c r="L276" i="76"/>
  <c r="P276" i="76"/>
  <c r="N276" i="76"/>
  <c r="J276" i="76"/>
  <c r="V276" i="76"/>
  <c r="H276" i="76"/>
  <c r="T276" i="76"/>
  <c r="F276" i="76"/>
  <c r="R276" i="76"/>
  <c r="C581" i="55"/>
  <c r="T581" i="55" s="1"/>
  <c r="C581" i="76"/>
  <c r="C665" i="55"/>
  <c r="T665" i="55" s="1"/>
  <c r="C664" i="76"/>
  <c r="C407" i="55"/>
  <c r="T407" i="55" s="1"/>
  <c r="C406" i="76"/>
  <c r="I3547" i="1"/>
  <c r="C365" i="55"/>
  <c r="C364" i="76"/>
  <c r="C739" i="55"/>
  <c r="T739" i="55" s="1"/>
  <c r="C734" i="76"/>
  <c r="T3123" i="1"/>
  <c r="C722" i="76"/>
  <c r="C836" i="55"/>
  <c r="T836" i="55" s="1"/>
  <c r="C831" i="76"/>
  <c r="C712" i="55"/>
  <c r="C708" i="76"/>
  <c r="L366" i="76"/>
  <c r="P366" i="76"/>
  <c r="N366" i="76"/>
  <c r="J366" i="76"/>
  <c r="F366" i="76"/>
  <c r="V366" i="76"/>
  <c r="H366" i="76"/>
  <c r="R366" i="76"/>
  <c r="T366" i="76"/>
  <c r="L414" i="76"/>
  <c r="P414" i="76"/>
  <c r="J414" i="76"/>
  <c r="F414" i="76"/>
  <c r="N414" i="76"/>
  <c r="H414" i="76"/>
  <c r="V414" i="76"/>
  <c r="R414" i="76"/>
  <c r="T414" i="76"/>
  <c r="P373" i="76"/>
  <c r="H373" i="76"/>
  <c r="L373" i="76"/>
  <c r="F373" i="76"/>
  <c r="N373" i="76"/>
  <c r="J373" i="76"/>
  <c r="V373" i="76"/>
  <c r="R373" i="76"/>
  <c r="T373" i="76"/>
  <c r="T321" i="55"/>
  <c r="L321" i="55"/>
  <c r="C408" i="55"/>
  <c r="T408" i="55" s="1"/>
  <c r="C407" i="76"/>
  <c r="C351" i="55"/>
  <c r="C350" i="76"/>
  <c r="C394" i="76"/>
  <c r="C681" i="76"/>
  <c r="C741" i="55"/>
  <c r="T741" i="55" s="1"/>
  <c r="C736" i="76"/>
  <c r="L270" i="76"/>
  <c r="P270" i="76"/>
  <c r="J270" i="76"/>
  <c r="N270" i="76"/>
  <c r="F270" i="76"/>
  <c r="H270" i="76"/>
  <c r="V270" i="76"/>
  <c r="T270" i="76"/>
  <c r="R270" i="76"/>
  <c r="C310" i="55"/>
  <c r="C310" i="76"/>
  <c r="C742" i="55"/>
  <c r="T742" i="55" s="1"/>
  <c r="C737" i="76"/>
  <c r="C24" i="55"/>
  <c r="T24" i="55" s="1"/>
  <c r="C24" i="76"/>
  <c r="C1047" i="55"/>
  <c r="T1047" i="55" s="1"/>
  <c r="C1041" i="76"/>
  <c r="C442" i="55"/>
  <c r="C441" i="76"/>
  <c r="C366" i="55"/>
  <c r="C365" i="76"/>
  <c r="C353" i="55"/>
  <c r="C352" i="76"/>
  <c r="P413" i="76"/>
  <c r="H413" i="76"/>
  <c r="L413" i="76"/>
  <c r="J413" i="76"/>
  <c r="F413" i="76"/>
  <c r="N413" i="76"/>
  <c r="V413" i="76"/>
  <c r="T413" i="76"/>
  <c r="R413" i="76"/>
  <c r="K4008" i="1"/>
  <c r="I4023" i="1"/>
  <c r="T374" i="55"/>
  <c r="H374" i="55"/>
  <c r="T1089" i="76"/>
  <c r="P1089" i="76"/>
  <c r="F1089" i="76"/>
  <c r="V1089" i="76"/>
  <c r="N1089" i="76"/>
  <c r="J1089" i="76"/>
  <c r="R1089" i="76"/>
  <c r="H1089" i="76"/>
  <c r="C684" i="55"/>
  <c r="C680" i="76"/>
  <c r="K1957" i="27"/>
  <c r="C879" i="55"/>
  <c r="T879" i="55" s="1"/>
  <c r="C875" i="76"/>
  <c r="P591" i="76"/>
  <c r="H591" i="76"/>
  <c r="L591" i="76"/>
  <c r="J591" i="76"/>
  <c r="N591" i="76"/>
  <c r="F591" i="76"/>
  <c r="V591" i="76"/>
  <c r="T591" i="76"/>
  <c r="C595" i="76"/>
  <c r="R591" i="76"/>
  <c r="C596" i="76"/>
  <c r="C356" i="76"/>
  <c r="C667" i="76"/>
  <c r="C711" i="55"/>
  <c r="C707" i="76"/>
  <c r="C354" i="55"/>
  <c r="C666" i="55"/>
  <c r="T666" i="55" s="1"/>
  <c r="C665" i="76"/>
  <c r="C351" i="76"/>
  <c r="C722" i="55"/>
  <c r="T722" i="55" s="1"/>
  <c r="C718" i="76"/>
  <c r="L116" i="1"/>
  <c r="C15" i="76"/>
  <c r="P1090" i="76"/>
  <c r="T1090" i="76"/>
  <c r="R1090" i="76"/>
  <c r="V1090" i="76"/>
  <c r="F1090" i="76"/>
  <c r="H1090" i="76"/>
  <c r="N1090" i="76"/>
  <c r="J1090" i="76"/>
  <c r="I1136" i="1"/>
  <c r="C1042" i="76"/>
  <c r="Q5" i="4"/>
  <c r="Q6" i="4" s="1"/>
  <c r="Q11" i="4"/>
  <c r="Z23" i="1" s="1"/>
  <c r="AC23" i="1" s="1"/>
  <c r="C85" i="1" s="1"/>
  <c r="C402" i="55"/>
  <c r="C401" i="76"/>
  <c r="T414" i="55"/>
  <c r="J414" i="55"/>
  <c r="P367" i="76"/>
  <c r="H367" i="76"/>
  <c r="L367" i="76"/>
  <c r="N367" i="76"/>
  <c r="J367" i="76"/>
  <c r="F367" i="76"/>
  <c r="V367" i="76"/>
  <c r="R367" i="76"/>
  <c r="T367" i="76"/>
  <c r="P850" i="76"/>
  <c r="L850" i="76"/>
  <c r="T850" i="76"/>
  <c r="H850" i="76"/>
  <c r="N850" i="76"/>
  <c r="J850" i="76"/>
  <c r="V850" i="76"/>
  <c r="R850" i="76"/>
  <c r="F850" i="76"/>
  <c r="P409" i="76"/>
  <c r="H409" i="76"/>
  <c r="L409" i="76"/>
  <c r="N409" i="76"/>
  <c r="J409" i="76"/>
  <c r="F409" i="76"/>
  <c r="V409" i="76"/>
  <c r="R409" i="76"/>
  <c r="T409" i="76"/>
  <c r="X1379" i="1"/>
  <c r="V1396" i="1"/>
  <c r="L229" i="76"/>
  <c r="P229" i="76"/>
  <c r="J229" i="76"/>
  <c r="H229" i="76"/>
  <c r="N229" i="76"/>
  <c r="V229" i="76"/>
  <c r="F229" i="76"/>
  <c r="T229" i="76"/>
  <c r="R229" i="76"/>
  <c r="C1106" i="55"/>
  <c r="C1100" i="76"/>
  <c r="K2008" i="27"/>
  <c r="K2010" i="27" s="1"/>
  <c r="C392" i="76"/>
  <c r="C678" i="76"/>
  <c r="C30" i="55"/>
  <c r="T30" i="55" s="1"/>
  <c r="C30" i="76"/>
  <c r="C745" i="55"/>
  <c r="T745" i="55" s="1"/>
  <c r="C740" i="76"/>
  <c r="C731" i="55"/>
  <c r="D177" i="78" s="1"/>
  <c r="C726" i="76"/>
  <c r="C683" i="55"/>
  <c r="C679" i="76"/>
  <c r="C393" i="76"/>
  <c r="P353" i="76"/>
  <c r="H353" i="76"/>
  <c r="L353" i="76"/>
  <c r="N353" i="76"/>
  <c r="J353" i="76"/>
  <c r="V353" i="76"/>
  <c r="F353" i="76"/>
  <c r="T353" i="76"/>
  <c r="R353" i="76"/>
  <c r="C1092" i="55"/>
  <c r="C1086" i="76"/>
  <c r="P354" i="76"/>
  <c r="L354" i="76"/>
  <c r="N354" i="76"/>
  <c r="J354" i="76"/>
  <c r="V354" i="76"/>
  <c r="H354" i="76"/>
  <c r="F354" i="76"/>
  <c r="T354" i="76"/>
  <c r="R354" i="76"/>
  <c r="P1091" i="76"/>
  <c r="T1091" i="76"/>
  <c r="F1091" i="76"/>
  <c r="J1091" i="76"/>
  <c r="V1091" i="76"/>
  <c r="N1091" i="76"/>
  <c r="H1091" i="76"/>
  <c r="R1091" i="76"/>
  <c r="P925" i="76"/>
  <c r="H925" i="76"/>
  <c r="L925" i="76"/>
  <c r="T925" i="76"/>
  <c r="N925" i="76"/>
  <c r="V925" i="76"/>
  <c r="F925" i="76"/>
  <c r="J925" i="76"/>
  <c r="R925" i="76"/>
  <c r="L412" i="76"/>
  <c r="P412" i="76"/>
  <c r="N412" i="76"/>
  <c r="J412" i="76"/>
  <c r="F412" i="76"/>
  <c r="V412" i="76"/>
  <c r="H412" i="76"/>
  <c r="R412" i="76"/>
  <c r="T412" i="76"/>
  <c r="X1407" i="1"/>
  <c r="AB1405" i="1"/>
  <c r="L321" i="76"/>
  <c r="P321" i="76"/>
  <c r="N321" i="76"/>
  <c r="J321" i="76"/>
  <c r="H321" i="76"/>
  <c r="V321" i="76"/>
  <c r="F321" i="76"/>
  <c r="T321" i="76"/>
  <c r="R321" i="76"/>
  <c r="F591" i="25"/>
  <c r="D626" i="25"/>
  <c r="D136" i="78"/>
  <c r="F136" i="78" s="1"/>
  <c r="T684" i="55"/>
  <c r="D178" i="78"/>
  <c r="F178" i="78" s="1"/>
  <c r="T711" i="55"/>
  <c r="D54" i="78"/>
  <c r="F54" i="78" s="1"/>
  <c r="T354" i="55"/>
  <c r="D11" i="78"/>
  <c r="F11" i="78" s="1"/>
  <c r="T23" i="55"/>
  <c r="D56" i="78"/>
  <c r="F56" i="78" s="1"/>
  <c r="T365" i="55"/>
  <c r="D57" i="78"/>
  <c r="F57" i="78" s="1"/>
  <c r="T366" i="55"/>
  <c r="D53" i="78"/>
  <c r="F53" i="78" s="1"/>
  <c r="T353" i="55"/>
  <c r="D152" i="78"/>
  <c r="F152" i="78" s="1"/>
  <c r="T924" i="55"/>
  <c r="F177" i="78"/>
  <c r="T731" i="55"/>
  <c r="D135" i="78"/>
  <c r="F135" i="78" s="1"/>
  <c r="T683" i="55"/>
  <c r="D79" i="78"/>
  <c r="F79" i="78" s="1"/>
  <c r="T442" i="55"/>
  <c r="D71" i="78"/>
  <c r="F71" i="78" s="1"/>
  <c r="T402" i="55"/>
  <c r="D171" i="78"/>
  <c r="F171" i="78" s="1"/>
  <c r="T712" i="55"/>
  <c r="C709" i="76"/>
  <c r="C1055" i="76"/>
  <c r="R1053" i="76"/>
  <c r="H1053" i="76"/>
  <c r="T1053" i="76"/>
  <c r="N1053" i="76"/>
  <c r="P1053" i="76"/>
  <c r="F1053" i="76"/>
  <c r="J1053" i="76"/>
  <c r="V1053" i="76"/>
  <c r="T1076" i="76"/>
  <c r="F1076" i="76"/>
  <c r="H1076" i="76"/>
  <c r="R1076" i="76"/>
  <c r="J1076" i="76"/>
  <c r="P1076" i="76"/>
  <c r="V1076" i="76"/>
  <c r="N1076" i="76"/>
  <c r="C691" i="76"/>
  <c r="T695" i="55"/>
  <c r="K2269" i="1"/>
  <c r="C921" i="76"/>
  <c r="C714" i="76"/>
  <c r="R1068" i="76"/>
  <c r="T1068" i="76"/>
  <c r="N1068" i="76"/>
  <c r="P1068" i="76"/>
  <c r="F1068" i="76"/>
  <c r="H1068" i="76"/>
  <c r="J1068" i="76"/>
  <c r="V1068" i="76"/>
  <c r="R1054" i="76"/>
  <c r="F1054" i="76"/>
  <c r="H1054" i="76"/>
  <c r="T1054" i="76"/>
  <c r="N1054" i="76"/>
  <c r="P1054" i="76"/>
  <c r="J1054" i="76"/>
  <c r="V1054" i="76"/>
  <c r="K2273" i="1"/>
  <c r="C1052" i="76"/>
  <c r="C441" i="55"/>
  <c r="C440" i="76"/>
  <c r="L448" i="76"/>
  <c r="N448" i="76"/>
  <c r="H448" i="76"/>
  <c r="R448" i="76"/>
  <c r="P448" i="76"/>
  <c r="F448" i="76"/>
  <c r="J448" i="76"/>
  <c r="V448" i="76"/>
  <c r="T448" i="76"/>
  <c r="C720" i="76"/>
  <c r="R1032" i="76"/>
  <c r="F1032" i="76"/>
  <c r="V1032" i="76"/>
  <c r="T1032" i="76"/>
  <c r="H1032" i="76"/>
  <c r="P1032" i="76"/>
  <c r="J1032" i="76"/>
  <c r="N1032" i="76"/>
  <c r="P449" i="76"/>
  <c r="H449" i="76"/>
  <c r="F449" i="76"/>
  <c r="J449" i="76"/>
  <c r="L449" i="76"/>
  <c r="N449" i="76"/>
  <c r="V449" i="76"/>
  <c r="R449" i="76"/>
  <c r="T449" i="76"/>
  <c r="P908" i="55"/>
  <c r="R908" i="55"/>
  <c r="P684" i="55"/>
  <c r="R684" i="55"/>
  <c r="P581" i="55"/>
  <c r="R581" i="55"/>
  <c r="P879" i="55"/>
  <c r="R879" i="55"/>
  <c r="P29" i="55"/>
  <c r="R29" i="55"/>
  <c r="P665" i="55"/>
  <c r="R665" i="55"/>
  <c r="P711" i="55"/>
  <c r="R711" i="55"/>
  <c r="P407" i="55"/>
  <c r="R407" i="55"/>
  <c r="P354" i="55"/>
  <c r="R354" i="55"/>
  <c r="P666" i="55"/>
  <c r="R666" i="55"/>
  <c r="P722" i="55"/>
  <c r="R722" i="55"/>
  <c r="P23" i="55"/>
  <c r="R23" i="55"/>
  <c r="P365" i="55"/>
  <c r="R365" i="55"/>
  <c r="P739" i="55"/>
  <c r="R739" i="55"/>
  <c r="R366" i="55"/>
  <c r="P353" i="55"/>
  <c r="R353" i="55"/>
  <c r="P30" i="55"/>
  <c r="R30" i="55"/>
  <c r="P745" i="55"/>
  <c r="R745" i="55"/>
  <c r="P924" i="55"/>
  <c r="R924" i="55"/>
  <c r="P731" i="55"/>
  <c r="R731" i="55"/>
  <c r="P408" i="55"/>
  <c r="R408" i="55"/>
  <c r="P683" i="55"/>
  <c r="R683" i="55"/>
  <c r="P351" i="55"/>
  <c r="R351" i="55"/>
  <c r="P741" i="55"/>
  <c r="R741" i="55"/>
  <c r="P310" i="55"/>
  <c r="R310" i="55"/>
  <c r="R742" i="55"/>
  <c r="P441" i="55"/>
  <c r="R441" i="55"/>
  <c r="P24" i="55"/>
  <c r="R24" i="55"/>
  <c r="P442" i="55"/>
  <c r="R442" i="55"/>
  <c r="P402" i="55"/>
  <c r="R402" i="55"/>
  <c r="P836" i="55"/>
  <c r="R836" i="55"/>
  <c r="P712" i="55"/>
  <c r="R712" i="55"/>
  <c r="F366" i="55"/>
  <c r="P366" i="55"/>
  <c r="F742" i="55"/>
  <c r="P742" i="55"/>
  <c r="K988" i="11"/>
  <c r="J366" i="55"/>
  <c r="N908" i="55"/>
  <c r="F29" i="55"/>
  <c r="N407" i="55"/>
  <c r="N354" i="55"/>
  <c r="H351" i="55"/>
  <c r="F23" i="55"/>
  <c r="T1074" i="55"/>
  <c r="N879" i="55"/>
  <c r="F30" i="55"/>
  <c r="N731" i="55"/>
  <c r="N408" i="55"/>
  <c r="N365" i="55"/>
  <c r="H310" i="55"/>
  <c r="L742" i="55"/>
  <c r="N441" i="55"/>
  <c r="F24" i="55"/>
  <c r="H1047" i="55"/>
  <c r="N1095" i="55"/>
  <c r="L1038" i="55"/>
  <c r="L731" i="55"/>
  <c r="H441" i="55"/>
  <c r="J742" i="55"/>
  <c r="F1095" i="55"/>
  <c r="J365" i="55"/>
  <c r="F365" i="55"/>
  <c r="J310" i="55"/>
  <c r="T1038" i="55"/>
  <c r="H1095" i="55"/>
  <c r="L1095" i="55"/>
  <c r="J1095" i="55"/>
  <c r="F1038" i="55"/>
  <c r="T724" i="55"/>
  <c r="L441" i="55"/>
  <c r="H742" i="55"/>
  <c r="L712" i="55"/>
  <c r="F712" i="55"/>
  <c r="L365" i="55"/>
  <c r="F441" i="55"/>
  <c r="H365" i="55"/>
  <c r="F1074" i="55"/>
  <c r="L310" i="55"/>
  <c r="N684" i="55"/>
  <c r="N29" i="55"/>
  <c r="N1081" i="55"/>
  <c r="N924" i="55"/>
  <c r="N1082" i="55"/>
  <c r="N683" i="55"/>
  <c r="N722" i="55"/>
  <c r="N1092" i="55"/>
  <c r="N23" i="55"/>
  <c r="N310" i="55"/>
  <c r="N742" i="55"/>
  <c r="N24" i="55"/>
  <c r="N1047" i="55"/>
  <c r="N442" i="55"/>
  <c r="N1038" i="55"/>
  <c r="N402" i="55"/>
  <c r="N353" i="55"/>
  <c r="N712" i="55"/>
  <c r="N1106" i="55"/>
  <c r="N581" i="55"/>
  <c r="N30" i="55"/>
  <c r="N745" i="55"/>
  <c r="N1094" i="55"/>
  <c r="N665" i="55"/>
  <c r="N711" i="55"/>
  <c r="N666" i="55"/>
  <c r="N351" i="55"/>
  <c r="N741" i="55"/>
  <c r="N739" i="55"/>
  <c r="N366" i="55"/>
  <c r="N1074" i="55"/>
  <c r="N836" i="55"/>
  <c r="F351" i="55"/>
  <c r="J351" i="55"/>
  <c r="F1047" i="55"/>
  <c r="J1047" i="55"/>
  <c r="L1047" i="55"/>
  <c r="J741" i="55"/>
  <c r="L741" i="55"/>
  <c r="C718" i="55"/>
  <c r="L1074" i="55"/>
  <c r="H1074" i="55"/>
  <c r="J441" i="55"/>
  <c r="T1095" i="55"/>
  <c r="F408" i="55"/>
  <c r="K3267" i="27"/>
  <c r="I3280" i="27"/>
  <c r="P2892" i="27"/>
  <c r="R2892" i="27" s="1"/>
  <c r="K390" i="11"/>
  <c r="K3831" i="27"/>
  <c r="R2302" i="1"/>
  <c r="R2304" i="1" s="1"/>
  <c r="F88" i="50"/>
  <c r="AR401" i="1"/>
  <c r="AR402" i="1" s="1"/>
  <c r="AR403" i="1" s="1"/>
  <c r="AR404" i="1" s="1"/>
  <c r="AR405" i="1" s="1"/>
  <c r="AR406" i="1" s="1"/>
  <c r="F407" i="55"/>
  <c r="H407" i="55"/>
  <c r="J407" i="55"/>
  <c r="L407" i="55"/>
  <c r="K3149" i="1"/>
  <c r="P3156" i="1"/>
  <c r="R3156" i="1" s="1"/>
  <c r="P1067" i="1"/>
  <c r="R1067" i="1" s="1"/>
  <c r="P1049" i="1"/>
  <c r="R1049" i="1" s="1"/>
  <c r="L82" i="1"/>
  <c r="K82" i="1"/>
  <c r="K81" i="1"/>
  <c r="K86" i="1" s="1"/>
  <c r="K88" i="1" s="1"/>
  <c r="C6" i="76" s="1"/>
  <c r="K3660" i="1"/>
  <c r="R1969" i="1"/>
  <c r="P1970" i="1"/>
  <c r="I96" i="1"/>
  <c r="R1970" i="1"/>
  <c r="K1179" i="1"/>
  <c r="K1183" i="1" s="1"/>
  <c r="K1185" i="1" s="1"/>
  <c r="AS3105" i="1"/>
  <c r="AS3109" i="1" s="1"/>
  <c r="R1972" i="1"/>
  <c r="K1943" i="1"/>
  <c r="I3564" i="1"/>
  <c r="K2714" i="1"/>
  <c r="X712" i="1"/>
  <c r="Z712" i="1" s="1"/>
  <c r="D48" i="32"/>
  <c r="K2385" i="1"/>
  <c r="K2715" i="1"/>
  <c r="K2716" i="1" s="1"/>
  <c r="P861" i="1"/>
  <c r="R861" i="1" s="1"/>
  <c r="I3929" i="1"/>
  <c r="R1974" i="1"/>
  <c r="K2996" i="1"/>
  <c r="I2901" i="1"/>
  <c r="K2901" i="1" s="1"/>
  <c r="K507" i="1"/>
  <c r="AK554" i="1"/>
  <c r="K2349" i="1"/>
  <c r="K2351" i="1" s="1"/>
  <c r="K2352" i="1" s="1"/>
  <c r="K2353" i="1" s="1"/>
  <c r="I3578" i="1"/>
  <c r="P1177" i="1"/>
  <c r="R1177" i="1" s="1"/>
  <c r="R1146" i="1"/>
  <c r="K2399" i="1"/>
  <c r="I2411" i="1"/>
  <c r="K2411" i="1" s="1"/>
  <c r="V819" i="1"/>
  <c r="X819" i="1" s="1"/>
  <c r="R1973" i="1"/>
  <c r="R1994" i="1"/>
  <c r="AD645" i="1"/>
  <c r="AF645" i="1" s="1"/>
  <c r="AE427" i="1"/>
  <c r="AG427" i="1" s="1"/>
  <c r="K1491" i="1"/>
  <c r="K1496" i="1" s="1"/>
  <c r="K1498" i="1" s="1"/>
  <c r="K810" i="1"/>
  <c r="K1353" i="1"/>
  <c r="H442" i="55"/>
  <c r="I3640" i="1"/>
  <c r="K3640" i="1" s="1"/>
  <c r="R1144" i="1"/>
  <c r="K2425" i="1"/>
  <c r="K808" i="1"/>
  <c r="I1255" i="1"/>
  <c r="I35" i="1"/>
  <c r="K1561" i="1"/>
  <c r="K1567" i="1" s="1"/>
  <c r="H836" i="55"/>
  <c r="F836" i="55"/>
  <c r="L836" i="55"/>
  <c r="J836" i="55"/>
  <c r="K3353" i="1"/>
  <c r="C637" i="55"/>
  <c r="T637" i="55" s="1"/>
  <c r="L23" i="55"/>
  <c r="I2574" i="1"/>
  <c r="K2539" i="1"/>
  <c r="I1544" i="27"/>
  <c r="K1544" i="27" s="1"/>
  <c r="K1549" i="27" s="1"/>
  <c r="K1551" i="27" s="1"/>
  <c r="I1517" i="27"/>
  <c r="K1517" i="27" s="1"/>
  <c r="K2262" i="27"/>
  <c r="I2664" i="27"/>
  <c r="K2664" i="27" s="1"/>
  <c r="P1497" i="1"/>
  <c r="R1466" i="1"/>
  <c r="D108" i="50"/>
  <c r="F108" i="50" s="1"/>
  <c r="F45" i="50"/>
  <c r="R1069" i="1"/>
  <c r="F280" i="32"/>
  <c r="R1628" i="1"/>
  <c r="K3889" i="27"/>
  <c r="R378" i="11"/>
  <c r="R379" i="11" s="1"/>
  <c r="R2009" i="1"/>
  <c r="K3809" i="27"/>
  <c r="K3874" i="27" s="1"/>
  <c r="R2010" i="1"/>
  <c r="K63" i="1"/>
  <c r="I3482" i="1"/>
  <c r="K3482" i="1" s="1"/>
  <c r="I2572" i="1"/>
  <c r="K2537" i="1"/>
  <c r="L353" i="55"/>
  <c r="H353" i="55"/>
  <c r="J353" i="55"/>
  <c r="F353" i="55"/>
  <c r="R2852" i="27"/>
  <c r="P2885" i="27"/>
  <c r="R2885" i="27" s="1"/>
  <c r="K3810" i="27"/>
  <c r="R2514" i="1"/>
  <c r="D410" i="64"/>
  <c r="F287" i="64"/>
  <c r="K3530" i="1"/>
  <c r="I3546" i="1"/>
  <c r="P3534" i="1"/>
  <c r="R3534" i="1" s="1"/>
  <c r="K958" i="11"/>
  <c r="C920" i="76" s="1"/>
  <c r="AD554" i="1"/>
  <c r="R541" i="27"/>
  <c r="R543" i="27" s="1"/>
  <c r="K3912" i="27"/>
  <c r="R1633" i="1"/>
  <c r="K3642" i="1"/>
  <c r="K53" i="1"/>
  <c r="K3643" i="1"/>
  <c r="I3996" i="1"/>
  <c r="R1071" i="1"/>
  <c r="K44" i="1"/>
  <c r="K446" i="11"/>
  <c r="R1993" i="1"/>
  <c r="I3049" i="27"/>
  <c r="K2931" i="27"/>
  <c r="I2951" i="27"/>
  <c r="K3247" i="27"/>
  <c r="K3250" i="27" s="1"/>
  <c r="K3251" i="27" s="1"/>
  <c r="K3243" i="27" s="1"/>
  <c r="K3244" i="27" s="1"/>
  <c r="I3265" i="27"/>
  <c r="R3404" i="1"/>
  <c r="P3448" i="1"/>
  <c r="K223" i="11"/>
  <c r="I1068" i="11"/>
  <c r="K1068" i="11" s="1"/>
  <c r="I3402" i="27"/>
  <c r="K3368" i="27"/>
  <c r="I3363" i="27" s="1"/>
  <c r="K3363" i="27" s="1"/>
  <c r="D655" i="25"/>
  <c r="F619" i="25"/>
  <c r="AE3559" i="1"/>
  <c r="AG3543" i="1"/>
  <c r="Z13" i="27"/>
  <c r="Z36" i="27"/>
  <c r="AC36" i="27" s="1"/>
  <c r="I242" i="27" s="1"/>
  <c r="K242" i="27" s="1"/>
  <c r="K487" i="11"/>
  <c r="K1524" i="27"/>
  <c r="K1526" i="27" s="1"/>
  <c r="K3909" i="27"/>
  <c r="K142" i="11"/>
  <c r="R1604" i="1"/>
  <c r="K27" i="1"/>
  <c r="R1073" i="1"/>
  <c r="K72" i="1"/>
  <c r="J402" i="55"/>
  <c r="L402" i="55"/>
  <c r="F402" i="55"/>
  <c r="H402" i="55"/>
  <c r="K1879" i="1"/>
  <c r="I2594" i="27"/>
  <c r="K2594" i="27" s="1"/>
  <c r="K2563" i="27"/>
  <c r="K3849" i="27"/>
  <c r="K3795" i="27"/>
  <c r="I2937" i="27"/>
  <c r="I3032" i="27"/>
  <c r="K3032" i="27" s="1"/>
  <c r="K2909" i="27"/>
  <c r="I3198" i="27"/>
  <c r="K3198" i="27" s="1"/>
  <c r="K3158" i="27"/>
  <c r="K167" i="27"/>
  <c r="C165" i="27"/>
  <c r="K3799" i="27"/>
  <c r="V1393" i="1"/>
  <c r="X1376" i="1"/>
  <c r="I210" i="27"/>
  <c r="K210" i="27" s="1"/>
  <c r="P306" i="27"/>
  <c r="R306" i="27" s="1"/>
  <c r="R312" i="27" s="1"/>
  <c r="R314" i="27" s="1"/>
  <c r="P66" i="27"/>
  <c r="R66" i="27" s="1"/>
  <c r="P318" i="27"/>
  <c r="R318" i="27" s="1"/>
  <c r="R324" i="27" s="1"/>
  <c r="R326" i="27" s="1"/>
  <c r="I1221" i="27"/>
  <c r="K1221" i="27" s="1"/>
  <c r="K1226" i="27" s="1"/>
  <c r="K1228" i="27" s="1"/>
  <c r="V1424" i="1"/>
  <c r="X1424" i="1" s="1"/>
  <c r="R1463" i="1"/>
  <c r="K225" i="1"/>
  <c r="K379" i="1"/>
  <c r="K311" i="1"/>
  <c r="AQ393" i="1"/>
  <c r="AS393" i="1" s="1"/>
  <c r="X314" i="1"/>
  <c r="AS110" i="1"/>
  <c r="F722" i="55"/>
  <c r="AE314" i="1"/>
  <c r="AG314" i="1" s="1"/>
  <c r="AQ3114" i="1"/>
  <c r="AQ3115" i="1" s="1"/>
  <c r="AQ3116" i="1" s="1"/>
  <c r="AR3114" i="1"/>
  <c r="AR3115" i="1" s="1"/>
  <c r="AR3116" i="1" s="1"/>
  <c r="L442" i="55"/>
  <c r="P2857" i="1"/>
  <c r="R2857" i="1" s="1"/>
  <c r="C726" i="55"/>
  <c r="R3124" i="1"/>
  <c r="V2785" i="1"/>
  <c r="X2785" i="1" s="1"/>
  <c r="J442" i="55"/>
  <c r="F442" i="55"/>
  <c r="AE2789" i="1"/>
  <c r="AG2789" i="1" s="1"/>
  <c r="AG3541" i="1"/>
  <c r="AE3557" i="1"/>
  <c r="Q13" i="4"/>
  <c r="Z43" i="1" s="1"/>
  <c r="AC43" i="1" s="1"/>
  <c r="P150" i="1" s="1"/>
  <c r="R150" i="1" s="1"/>
  <c r="R154" i="1" s="1"/>
  <c r="I154" i="11"/>
  <c r="I1085" i="11"/>
  <c r="K1085" i="11" s="1"/>
  <c r="K124" i="11"/>
  <c r="AG3561" i="1"/>
  <c r="V3624" i="1"/>
  <c r="I224" i="11"/>
  <c r="K224" i="11" s="1"/>
  <c r="K106" i="11"/>
  <c r="P1221" i="1"/>
  <c r="K1226" i="1"/>
  <c r="K1008" i="11"/>
  <c r="K1073" i="11"/>
  <c r="J1074" i="55"/>
  <c r="K2973" i="1"/>
  <c r="I3058" i="1"/>
  <c r="P2980" i="1"/>
  <c r="R2980" i="1" s="1"/>
  <c r="P1100" i="1"/>
  <c r="R1074" i="1"/>
  <c r="H1038" i="55"/>
  <c r="J1038" i="55"/>
  <c r="K1813" i="27"/>
  <c r="K2628" i="27"/>
  <c r="K2629" i="27" s="1"/>
  <c r="I2614" i="27" s="1"/>
  <c r="K2614" i="27" s="1"/>
  <c r="V3590" i="1"/>
  <c r="X3575" i="1"/>
  <c r="R395" i="27"/>
  <c r="R397" i="27" s="1"/>
  <c r="K581" i="27"/>
  <c r="K3355" i="1"/>
  <c r="I3443" i="1"/>
  <c r="K3443" i="1" s="1"/>
  <c r="K3445" i="1" s="1"/>
  <c r="K3447" i="1" s="1"/>
  <c r="K3448" i="1" s="1"/>
  <c r="N10" i="4"/>
  <c r="Z41" i="1" s="1"/>
  <c r="X643" i="1"/>
  <c r="AD643" i="1"/>
  <c r="AF643" i="1" s="1"/>
  <c r="V708" i="1"/>
  <c r="AB1374" i="1"/>
  <c r="AD1357" i="1"/>
  <c r="I3057" i="27"/>
  <c r="K2939" i="27"/>
  <c r="P1468" i="1"/>
  <c r="R1451" i="1"/>
  <c r="K1938" i="27"/>
  <c r="AG3540" i="1"/>
  <c r="AE3556" i="1"/>
  <c r="AB1384" i="1"/>
  <c r="AD1384" i="1" s="1"/>
  <c r="AD1367" i="1"/>
  <c r="I1108" i="1"/>
  <c r="K1108" i="1" s="1"/>
  <c r="K1093" i="1"/>
  <c r="R1494" i="1"/>
  <c r="V1455" i="1"/>
  <c r="P1537" i="1"/>
  <c r="R1537" i="1" s="1"/>
  <c r="P1490" i="1"/>
  <c r="R1459" i="1"/>
  <c r="V1420" i="1"/>
  <c r="X1420" i="1" s="1"/>
  <c r="R1450" i="1"/>
  <c r="P1467" i="1"/>
  <c r="C165" i="1"/>
  <c r="J408" i="55"/>
  <c r="X2604" i="1"/>
  <c r="I2671" i="1"/>
  <c r="C1048" i="55"/>
  <c r="F1048" i="55" s="1"/>
  <c r="P402" i="1"/>
  <c r="R402" i="1" s="1"/>
  <c r="H23" i="55"/>
  <c r="I3354" i="1"/>
  <c r="X886" i="1"/>
  <c r="I3491" i="1"/>
  <c r="K3491" i="1" s="1"/>
  <c r="P1452" i="1"/>
  <c r="R1452" i="1" s="1"/>
  <c r="J23" i="55"/>
  <c r="R1419" i="1"/>
  <c r="V1380" i="1"/>
  <c r="V1397" i="1" s="1"/>
  <c r="R1860" i="1"/>
  <c r="P1891" i="1"/>
  <c r="R1891" i="1" s="1"/>
  <c r="K2817" i="1"/>
  <c r="AG393" i="1"/>
  <c r="R444" i="1"/>
  <c r="R446" i="1" s="1"/>
  <c r="D110" i="32"/>
  <c r="F110" i="32" s="1"/>
  <c r="AB1378" i="1"/>
  <c r="D51" i="50"/>
  <c r="X685" i="1"/>
  <c r="AG3113" i="1"/>
  <c r="AG3114" i="1" s="1"/>
  <c r="AG3115" i="1" s="1"/>
  <c r="AF3113" i="1"/>
  <c r="AF3114" i="1" s="1"/>
  <c r="AF3115" i="1" s="1"/>
  <c r="AH3113" i="1"/>
  <c r="AH3114" i="1" s="1"/>
  <c r="AH3115" i="1" s="1"/>
  <c r="X316" i="1"/>
  <c r="X3675" i="1"/>
  <c r="V3659" i="1" s="1"/>
  <c r="V1302" i="1"/>
  <c r="X1302" i="1" s="1"/>
  <c r="I3681" i="1"/>
  <c r="K3681" i="1" s="1"/>
  <c r="K3695" i="1" s="1"/>
  <c r="K3697" i="1" s="1"/>
  <c r="K3675" i="1"/>
  <c r="K3677" i="1" s="1"/>
  <c r="R129" i="1"/>
  <c r="P413" i="1"/>
  <c r="R413" i="1" s="1"/>
  <c r="R1637" i="1"/>
  <c r="T1640" i="1" s="1"/>
  <c r="AQ68" i="1"/>
  <c r="AG3539" i="1"/>
  <c r="I225" i="27"/>
  <c r="K225" i="27" s="1"/>
  <c r="P51" i="27"/>
  <c r="R51" i="27" s="1"/>
  <c r="I1384" i="27"/>
  <c r="K1384" i="27" s="1"/>
  <c r="K1389" i="27" s="1"/>
  <c r="K1391" i="27" s="1"/>
  <c r="I1324" i="27"/>
  <c r="K1324" i="27" s="1"/>
  <c r="K1330" i="27" s="1"/>
  <c r="K1332" i="27" s="1"/>
  <c r="P606" i="27" s="1"/>
  <c r="R606" i="27" s="1"/>
  <c r="I1396" i="27"/>
  <c r="K1396" i="27" s="1"/>
  <c r="K1401" i="27" s="1"/>
  <c r="K1403" i="27" s="1"/>
  <c r="P80" i="27"/>
  <c r="R80" i="27" s="1"/>
  <c r="I296" i="27"/>
  <c r="K296" i="27" s="1"/>
  <c r="I195" i="27"/>
  <c r="K195" i="27" s="1"/>
  <c r="P335" i="27"/>
  <c r="R335" i="27" s="1"/>
  <c r="R341" i="27" s="1"/>
  <c r="R343" i="27" s="1"/>
  <c r="I311" i="27"/>
  <c r="K311" i="27" s="1"/>
  <c r="P603" i="27" s="1"/>
  <c r="R603" i="27" s="1"/>
  <c r="I1409" i="27"/>
  <c r="K1409" i="27" s="1"/>
  <c r="K1414" i="27" s="1"/>
  <c r="K1416" i="27" s="1"/>
  <c r="I1170" i="27"/>
  <c r="K1170" i="27" s="1"/>
  <c r="K1188" i="27" s="1"/>
  <c r="K1191" i="27" s="1"/>
  <c r="P283" i="27" s="1"/>
  <c r="R283" i="27" s="1"/>
  <c r="R288" i="27" s="1"/>
  <c r="R290" i="27" s="1"/>
  <c r="P347" i="27"/>
  <c r="R347" i="27" s="1"/>
  <c r="R353" i="27" s="1"/>
  <c r="R355" i="27" s="1"/>
  <c r="I1364" i="27"/>
  <c r="K1364" i="27" s="1"/>
  <c r="K1371" i="27" s="1"/>
  <c r="K1373" i="27" s="1"/>
  <c r="I1911" i="27" s="1"/>
  <c r="K1911" i="27" s="1"/>
  <c r="I1199" i="27"/>
  <c r="K1199" i="27" s="1"/>
  <c r="K1212" i="27" s="1"/>
  <c r="K1214" i="27" s="1"/>
  <c r="I591" i="27"/>
  <c r="K591" i="27" s="1"/>
  <c r="K596" i="27" s="1"/>
  <c r="K598" i="27" s="1"/>
  <c r="K599" i="27" s="1"/>
  <c r="K600" i="27" s="1"/>
  <c r="K601" i="27" s="1"/>
  <c r="K602" i="27" s="1"/>
  <c r="K603" i="27" s="1"/>
  <c r="I1268" i="27"/>
  <c r="K1268" i="27" s="1"/>
  <c r="K1274" i="27" s="1"/>
  <c r="K1276" i="27" s="1"/>
  <c r="I1286" i="27"/>
  <c r="K1286" i="27" s="1"/>
  <c r="K1295" i="27" s="1"/>
  <c r="K1297" i="27" s="1"/>
  <c r="P295" i="27"/>
  <c r="R295" i="27" s="1"/>
  <c r="R301" i="27" s="1"/>
  <c r="R303" i="27" s="1"/>
  <c r="I1308" i="27"/>
  <c r="K1308" i="27" s="1"/>
  <c r="K1317" i="27" s="1"/>
  <c r="K1319" i="27" s="1"/>
  <c r="I1637" i="27"/>
  <c r="K1637" i="27" s="1"/>
  <c r="I1349" i="27"/>
  <c r="K1349" i="27" s="1"/>
  <c r="K1355" i="27" s="1"/>
  <c r="K1357" i="27" s="1"/>
  <c r="H24" i="55"/>
  <c r="L24" i="55"/>
  <c r="J24" i="55"/>
  <c r="M3712" i="27"/>
  <c r="K2208" i="27"/>
  <c r="K3463" i="1"/>
  <c r="AD1359" i="1"/>
  <c r="AB1376" i="1"/>
  <c r="K3198" i="1"/>
  <c r="C1096" i="55"/>
  <c r="I3243" i="1"/>
  <c r="F24" i="50"/>
  <c r="I3570" i="27"/>
  <c r="K3570" i="27" s="1"/>
  <c r="K3573" i="27" s="1"/>
  <c r="K3564" i="27" s="1"/>
  <c r="K3566" i="27" s="1"/>
  <c r="K3567" i="27" s="1"/>
  <c r="I3622" i="27"/>
  <c r="K3622" i="27" s="1"/>
  <c r="P3470" i="1"/>
  <c r="R3470" i="1" s="1"/>
  <c r="I3831" i="1"/>
  <c r="K3831" i="1" s="1"/>
  <c r="K3464" i="1"/>
  <c r="V767" i="1"/>
  <c r="X767" i="1" s="1"/>
  <c r="X681" i="1"/>
  <c r="I2952" i="27"/>
  <c r="K2932" i="27"/>
  <c r="I3050" i="27"/>
  <c r="V1411" i="1"/>
  <c r="X1395" i="1"/>
  <c r="I3392" i="1"/>
  <c r="K3323" i="1"/>
  <c r="V820" i="1"/>
  <c r="X820" i="1" s="1"/>
  <c r="X805" i="1"/>
  <c r="P3063" i="1"/>
  <c r="R3063" i="1" s="1"/>
  <c r="I3075" i="1"/>
  <c r="K3075" i="1" s="1"/>
  <c r="K9" i="1"/>
  <c r="I3746" i="1"/>
  <c r="K3746" i="1" s="1"/>
  <c r="I3644" i="1"/>
  <c r="K3747" i="1"/>
  <c r="V3521" i="1"/>
  <c r="X3521" i="1" s="1"/>
  <c r="X3541" i="1"/>
  <c r="V3557" i="1"/>
  <c r="AD1400" i="1"/>
  <c r="AB1417" i="1"/>
  <c r="AD1417" i="1" s="1"/>
  <c r="I1114" i="11"/>
  <c r="K1114" i="11" s="1"/>
  <c r="K244" i="11"/>
  <c r="P817" i="11"/>
  <c r="R817" i="11" s="1"/>
  <c r="R792" i="11"/>
  <c r="I594" i="11"/>
  <c r="K575" i="11"/>
  <c r="AC1198" i="1"/>
  <c r="AC1199" i="1" s="1"/>
  <c r="AC1200" i="1" s="1"/>
  <c r="AC1201" i="1" s="1"/>
  <c r="AC1202" i="1" s="1"/>
  <c r="J597" i="1"/>
  <c r="J615" i="1"/>
  <c r="V593" i="1" s="1"/>
  <c r="J660" i="1"/>
  <c r="J661" i="1" s="1"/>
  <c r="J662" i="1" s="1"/>
  <c r="J614" i="1"/>
  <c r="V592" i="1" s="1"/>
  <c r="T1182" i="1"/>
  <c r="J594" i="1"/>
  <c r="J596" i="1"/>
  <c r="J599" i="1"/>
  <c r="J598" i="1"/>
  <c r="T1158" i="1"/>
  <c r="J595" i="1"/>
  <c r="J592" i="1"/>
  <c r="J613" i="1"/>
  <c r="V591" i="1" s="1"/>
  <c r="J591" i="1"/>
  <c r="J593" i="1"/>
  <c r="J560" i="1"/>
  <c r="J536" i="1"/>
  <c r="J537" i="1" s="1"/>
  <c r="J538" i="1" s="1"/>
  <c r="AJ1198" i="1"/>
  <c r="J629" i="1"/>
  <c r="J630" i="1" s="1"/>
  <c r="J631" i="1" s="1"/>
  <c r="J632" i="1" s="1"/>
  <c r="K3212" i="1"/>
  <c r="C1097" i="55"/>
  <c r="I3227" i="1"/>
  <c r="F89" i="50"/>
  <c r="F92" i="50" s="1"/>
  <c r="E149" i="50"/>
  <c r="F149" i="50" s="1"/>
  <c r="F152" i="50" s="1"/>
  <c r="I220" i="11"/>
  <c r="K102" i="11"/>
  <c r="I122" i="11"/>
  <c r="P3115" i="27"/>
  <c r="K3115" i="27"/>
  <c r="V3519" i="1"/>
  <c r="X3519" i="1" s="1"/>
  <c r="X3539" i="1"/>
  <c r="K2971" i="1"/>
  <c r="P2978" i="1"/>
  <c r="R2978" i="1" s="1"/>
  <c r="K3927" i="1"/>
  <c r="I3945" i="1"/>
  <c r="V734" i="1"/>
  <c r="X734" i="1" s="1"/>
  <c r="D46" i="50"/>
  <c r="X3160" i="1"/>
  <c r="D549" i="25"/>
  <c r="P1448" i="1"/>
  <c r="R1432" i="1"/>
  <c r="I2898" i="1"/>
  <c r="K2898" i="1" s="1"/>
  <c r="K504" i="1"/>
  <c r="I3989" i="1"/>
  <c r="K3988" i="1"/>
  <c r="I2683" i="1"/>
  <c r="K2683" i="1" s="1"/>
  <c r="K2682" i="1"/>
  <c r="V1404" i="1"/>
  <c r="X1388" i="1"/>
  <c r="I2587" i="27"/>
  <c r="K2587" i="27" s="1"/>
  <c r="K2556" i="27"/>
  <c r="X1443" i="1"/>
  <c r="V1467" i="1"/>
  <c r="X1467" i="1" s="1"/>
  <c r="P1447" i="1"/>
  <c r="R1431" i="1"/>
  <c r="J616" i="1"/>
  <c r="V594" i="1" s="1"/>
  <c r="AJ1199" i="1"/>
  <c r="P3441" i="1"/>
  <c r="R3441" i="1" s="1"/>
  <c r="R3227" i="1"/>
  <c r="P3328" i="1"/>
  <c r="R19" i="11"/>
  <c r="P52" i="11"/>
  <c r="R52" i="11" s="1"/>
  <c r="K3492" i="1"/>
  <c r="R3301" i="1"/>
  <c r="I111" i="27"/>
  <c r="K111" i="27" s="1"/>
  <c r="K114" i="27" s="1"/>
  <c r="K116" i="27" s="1"/>
  <c r="K118" i="27" s="1"/>
  <c r="K119" i="27" s="1"/>
  <c r="K83" i="27"/>
  <c r="K86" i="27" s="1"/>
  <c r="K88" i="27" s="1"/>
  <c r="I96" i="27"/>
  <c r="K96" i="27" s="1"/>
  <c r="K99" i="27" s="1"/>
  <c r="K101" i="27" s="1"/>
  <c r="P3617" i="27"/>
  <c r="R3617" i="27" s="1"/>
  <c r="R3620" i="27" s="1"/>
  <c r="P3636" i="27" s="1"/>
  <c r="R3636" i="27" s="1"/>
  <c r="R3638" i="27" s="1"/>
  <c r="K3616" i="27"/>
  <c r="I3647" i="27"/>
  <c r="K3647" i="27" s="1"/>
  <c r="X315" i="1"/>
  <c r="AE315" i="1"/>
  <c r="AG315" i="1" s="1"/>
  <c r="AQ67" i="1"/>
  <c r="X884" i="1"/>
  <c r="V900" i="1"/>
  <c r="X900" i="1" s="1"/>
  <c r="P3068" i="1"/>
  <c r="R3068" i="1" s="1"/>
  <c r="I3080" i="1"/>
  <c r="K3080" i="1" s="1"/>
  <c r="K3061" i="1"/>
  <c r="P2154" i="1"/>
  <c r="R2154" i="1" s="1"/>
  <c r="K2147" i="1"/>
  <c r="K4022" i="1"/>
  <c r="I4035" i="1"/>
  <c r="K4035" i="1" s="1"/>
  <c r="D587" i="25"/>
  <c r="F550" i="25"/>
  <c r="X3556" i="1"/>
  <c r="V3572" i="1"/>
  <c r="V1452" i="1"/>
  <c r="R1491" i="1"/>
  <c r="AB1434" i="1"/>
  <c r="AD1434" i="1" s="1"/>
  <c r="X1436" i="1"/>
  <c r="K523" i="11"/>
  <c r="K524" i="11" s="1"/>
  <c r="K515" i="11" s="1"/>
  <c r="K516" i="11" s="1"/>
  <c r="R381" i="27"/>
  <c r="R383" i="27" s="1"/>
  <c r="P412" i="27" s="1"/>
  <c r="R412" i="27" s="1"/>
  <c r="K1442" i="27"/>
  <c r="K1444" i="27" s="1"/>
  <c r="K1984" i="27"/>
  <c r="K1986" i="27" s="1"/>
  <c r="C352" i="55"/>
  <c r="T352" i="55" s="1"/>
  <c r="I3995" i="1"/>
  <c r="AD1360" i="1"/>
  <c r="AB1377" i="1"/>
  <c r="I837" i="11"/>
  <c r="K837" i="11" s="1"/>
  <c r="K830" i="11"/>
  <c r="K14" i="27"/>
  <c r="N14" i="27"/>
  <c r="P2886" i="27"/>
  <c r="R2886" i="27" s="1"/>
  <c r="R2853" i="27"/>
  <c r="D84" i="25"/>
  <c r="F59" i="25"/>
  <c r="X1408" i="1"/>
  <c r="AB1406" i="1"/>
  <c r="K431" i="11"/>
  <c r="L431" i="11" s="1"/>
  <c r="I2853" i="27"/>
  <c r="P26" i="11"/>
  <c r="K4018" i="1"/>
  <c r="I4019" i="1"/>
  <c r="I4033" i="1"/>
  <c r="K4033" i="1" s="1"/>
  <c r="I3081" i="1"/>
  <c r="K3081" i="1" s="1"/>
  <c r="K3062" i="1"/>
  <c r="P3069" i="1"/>
  <c r="R3069" i="1" s="1"/>
  <c r="K1108" i="11"/>
  <c r="I1127" i="11"/>
  <c r="C355" i="55"/>
  <c r="I3490" i="1"/>
  <c r="K3490" i="1" s="1"/>
  <c r="Z35" i="1"/>
  <c r="AC35" i="1" s="1"/>
  <c r="I254" i="1" s="1"/>
  <c r="K254" i="1" s="1"/>
  <c r="Z36" i="1"/>
  <c r="AC36" i="1" s="1"/>
  <c r="I243" i="1" s="1"/>
  <c r="K243" i="1" s="1"/>
  <c r="Z37" i="1"/>
  <c r="AC37" i="1" s="1"/>
  <c r="I242" i="1" s="1"/>
  <c r="K242" i="1" s="1"/>
  <c r="Z44" i="1"/>
  <c r="AC44" i="1" s="1"/>
  <c r="AB1331" i="1" s="1"/>
  <c r="AC1331" i="1" s="1"/>
  <c r="Z12" i="1"/>
  <c r="AC12" i="1" s="1"/>
  <c r="AC11" i="1"/>
  <c r="V642" i="1" s="1"/>
  <c r="C270" i="55"/>
  <c r="T270" i="55" s="1"/>
  <c r="I687" i="1"/>
  <c r="K687" i="1" s="1"/>
  <c r="C271" i="76" s="1"/>
  <c r="K3507" i="27"/>
  <c r="I592" i="11"/>
  <c r="K573" i="11"/>
  <c r="K576" i="11" s="1"/>
  <c r="K577" i="11" s="1"/>
  <c r="K566" i="11" s="1"/>
  <c r="L566" i="11" s="1"/>
  <c r="M566" i="11" s="1"/>
  <c r="N566" i="11" s="1"/>
  <c r="O566" i="11" s="1"/>
  <c r="X1353" i="1"/>
  <c r="AB1351" i="1"/>
  <c r="G834" i="64"/>
  <c r="E889" i="64"/>
  <c r="G889" i="64" s="1"/>
  <c r="K2486" i="1"/>
  <c r="K2490" i="1" s="1"/>
  <c r="K2492" i="1" s="1"/>
  <c r="I2508" i="1"/>
  <c r="G829" i="64"/>
  <c r="E884" i="64"/>
  <c r="G884" i="64" s="1"/>
  <c r="G467" i="25"/>
  <c r="G468" i="25" s="1"/>
  <c r="A483" i="25" s="1"/>
  <c r="G483" i="25" s="1"/>
  <c r="G490" i="25" s="1"/>
  <c r="G491" i="25" s="1"/>
  <c r="I1088" i="11"/>
  <c r="K1088" i="11" s="1"/>
  <c r="K127" i="11"/>
  <c r="I355" i="27"/>
  <c r="K355" i="27" s="1"/>
  <c r="I1155" i="27"/>
  <c r="K1155" i="27" s="1"/>
  <c r="K1161" i="27" s="1"/>
  <c r="K1163" i="27" s="1"/>
  <c r="P361" i="27"/>
  <c r="R361" i="27" s="1"/>
  <c r="R369" i="27" s="1"/>
  <c r="R371" i="27" s="1"/>
  <c r="I1337" i="27"/>
  <c r="K1337" i="27" s="1"/>
  <c r="K1343" i="27" s="1"/>
  <c r="K1345" i="27" s="1"/>
  <c r="I379" i="27"/>
  <c r="K379" i="27" s="1"/>
  <c r="I410" i="27"/>
  <c r="K410" i="27" s="1"/>
  <c r="I479" i="27"/>
  <c r="K479" i="27" s="1"/>
  <c r="K487" i="27" s="1"/>
  <c r="K489" i="27" s="1"/>
  <c r="I444" i="27"/>
  <c r="K444" i="27" s="1"/>
  <c r="K1107" i="27"/>
  <c r="K1109" i="27" s="1"/>
  <c r="K1427" i="27"/>
  <c r="K1429" i="27" s="1"/>
  <c r="F140" i="64"/>
  <c r="E830" i="64"/>
  <c r="C15" i="55"/>
  <c r="T15" i="55" s="1"/>
  <c r="K2918" i="27"/>
  <c r="K2962" i="27" s="1"/>
  <c r="F227" i="32"/>
  <c r="F230" i="64"/>
  <c r="F231" i="64" s="1"/>
  <c r="F232" i="64" s="1"/>
  <c r="F236" i="64" s="1"/>
  <c r="F152" i="32"/>
  <c r="H731" i="55"/>
  <c r="L2318" i="1"/>
  <c r="P2447" i="1"/>
  <c r="R2447" i="1" s="1"/>
  <c r="K118" i="1"/>
  <c r="L408" i="55"/>
  <c r="L722" i="55"/>
  <c r="J354" i="55"/>
  <c r="I3934" i="27"/>
  <c r="K3934" i="27" s="1"/>
  <c r="K1112" i="11"/>
  <c r="K111" i="11"/>
  <c r="K229" i="11" s="1"/>
  <c r="K245" i="11" s="1"/>
  <c r="K271" i="11" s="1"/>
  <c r="R244" i="11" s="1"/>
  <c r="AG244" i="11" s="1"/>
  <c r="K144" i="11"/>
  <c r="K26" i="11"/>
  <c r="K177" i="11" s="1"/>
  <c r="K179" i="11" s="1"/>
  <c r="K87" i="11"/>
  <c r="I291" i="11"/>
  <c r="K285" i="11" s="1"/>
  <c r="R285" i="11" s="1"/>
  <c r="R299" i="11" s="1"/>
  <c r="H292" i="11"/>
  <c r="V3139" i="1"/>
  <c r="I4072" i="1"/>
  <c r="K4072" i="1" s="1"/>
  <c r="X3122" i="1"/>
  <c r="C685" i="55"/>
  <c r="T685" i="55" s="1"/>
  <c r="C395" i="55"/>
  <c r="T395" i="55" s="1"/>
  <c r="G838" i="64"/>
  <c r="E893" i="64"/>
  <c r="G893" i="64" s="1"/>
  <c r="G827" i="64"/>
  <c r="E882" i="64"/>
  <c r="G882" i="64" s="1"/>
  <c r="I2573" i="1"/>
  <c r="K2538" i="1"/>
  <c r="K2542" i="1" s="1"/>
  <c r="K2545" i="1" s="1"/>
  <c r="C828" i="76" s="1"/>
  <c r="G840" i="64"/>
  <c r="E895" i="64"/>
  <c r="G895" i="64" s="1"/>
  <c r="G836" i="64"/>
  <c r="E891" i="64"/>
  <c r="G891" i="64" s="1"/>
  <c r="V3518" i="1"/>
  <c r="X3518" i="1" s="1"/>
  <c r="X3538" i="1"/>
  <c r="G832" i="64"/>
  <c r="E887" i="64"/>
  <c r="G887" i="64" s="1"/>
  <c r="G839" i="64"/>
  <c r="E894" i="64"/>
  <c r="G894" i="64" s="1"/>
  <c r="I153" i="27"/>
  <c r="K153" i="27" s="1"/>
  <c r="I183" i="27"/>
  <c r="K183" i="27" s="1"/>
  <c r="K188" i="27" s="1"/>
  <c r="I1683" i="27"/>
  <c r="K1683" i="27" s="1"/>
  <c r="K1691" i="27" s="1"/>
  <c r="K1693" i="27" s="1"/>
  <c r="V818" i="1"/>
  <c r="X818" i="1" s="1"/>
  <c r="X803" i="1"/>
  <c r="L487" i="11"/>
  <c r="K2286" i="1"/>
  <c r="G375" i="25"/>
  <c r="G376" i="25" s="1"/>
  <c r="W25" i="64"/>
  <c r="W27" i="64" s="1"/>
  <c r="K741" i="11"/>
  <c r="K732" i="11" s="1"/>
  <c r="K734" i="11" s="1"/>
  <c r="G825" i="64"/>
  <c r="E880" i="64"/>
  <c r="G880" i="64" s="1"/>
  <c r="E892" i="64"/>
  <c r="G892" i="64" s="1"/>
  <c r="G837" i="64"/>
  <c r="K912" i="11"/>
  <c r="K929" i="11"/>
  <c r="F28" i="32"/>
  <c r="I4036" i="1"/>
  <c r="K4036" i="1" s="1"/>
  <c r="K4025" i="1"/>
  <c r="K467" i="11"/>
  <c r="K459" i="11" s="1"/>
  <c r="R837" i="11"/>
  <c r="R839" i="11" s="1"/>
  <c r="R850" i="11"/>
  <c r="R851" i="11" s="1"/>
  <c r="R852" i="11" s="1"/>
  <c r="R854" i="11" s="1"/>
  <c r="G826" i="64"/>
  <c r="E881" i="64"/>
  <c r="G881" i="64" s="1"/>
  <c r="H741" i="55"/>
  <c r="F741" i="55"/>
  <c r="J739" i="55"/>
  <c r="L739" i="55"/>
  <c r="H739" i="55"/>
  <c r="F739" i="55"/>
  <c r="G828" i="64"/>
  <c r="E883" i="64"/>
  <c r="G883" i="64" s="1"/>
  <c r="G835" i="64"/>
  <c r="E890" i="64"/>
  <c r="G890" i="64" s="1"/>
  <c r="P791" i="11"/>
  <c r="K790" i="11"/>
  <c r="K794" i="11" s="1"/>
  <c r="K795" i="11" s="1"/>
  <c r="K242" i="11"/>
  <c r="I1109" i="11"/>
  <c r="K1109" i="11" s="1"/>
  <c r="I268" i="11"/>
  <c r="K852" i="11"/>
  <c r="I3683" i="27"/>
  <c r="K3683" i="27" s="1"/>
  <c r="D696" i="25"/>
  <c r="F696" i="25" s="1"/>
  <c r="F660" i="25"/>
  <c r="I3830" i="1"/>
  <c r="K3830" i="1" s="1"/>
  <c r="L711" i="55"/>
  <c r="H711" i="55"/>
  <c r="J722" i="55"/>
  <c r="H722" i="55"/>
  <c r="F731" i="55"/>
  <c r="J711" i="55"/>
  <c r="R197" i="1"/>
  <c r="V197" i="1"/>
  <c r="X197" i="1" s="1"/>
  <c r="D110" i="50"/>
  <c r="F110" i="50" s="1"/>
  <c r="F47" i="50"/>
  <c r="J731" i="55"/>
  <c r="F711" i="55"/>
  <c r="H408" i="55"/>
  <c r="C166" i="1"/>
  <c r="AE368" i="1"/>
  <c r="AG368" i="1" s="1"/>
  <c r="X359" i="1"/>
  <c r="AQ392" i="1"/>
  <c r="AS392" i="1" s="1"/>
  <c r="AG392" i="1"/>
  <c r="AE428" i="1"/>
  <c r="AG428" i="1" s="1"/>
  <c r="R1893" i="1"/>
  <c r="P1894" i="1"/>
  <c r="R1863" i="1"/>
  <c r="D99" i="25"/>
  <c r="F71" i="25"/>
  <c r="V3637" i="1"/>
  <c r="X3637" i="1" s="1"/>
  <c r="R1114" i="1"/>
  <c r="AD1191" i="1"/>
  <c r="AI1191" i="1"/>
  <c r="AK1191" i="1" s="1"/>
  <c r="X1380" i="1"/>
  <c r="P1469" i="1"/>
  <c r="V2783" i="1"/>
  <c r="X2783" i="1" s="1"/>
  <c r="I2243" i="1"/>
  <c r="K2243" i="1" s="1"/>
  <c r="P945" i="1"/>
  <c r="R945" i="1" s="1"/>
  <c r="P734" i="1"/>
  <c r="R734" i="1" s="1"/>
  <c r="R743" i="1" s="1"/>
  <c r="R745" i="1" s="1"/>
  <c r="V2781" i="1"/>
  <c r="P719" i="1"/>
  <c r="R719" i="1" s="1"/>
  <c r="R728" i="1" s="1"/>
  <c r="R730" i="1" s="1"/>
  <c r="I2242" i="1"/>
  <c r="K2242" i="1" s="1"/>
  <c r="P1046" i="1"/>
  <c r="P750" i="1"/>
  <c r="R750" i="1" s="1"/>
  <c r="R759" i="1" s="1"/>
  <c r="R761" i="1" s="1"/>
  <c r="P943" i="1"/>
  <c r="AC26" i="1"/>
  <c r="Z27" i="1"/>
  <c r="D29" i="25"/>
  <c r="F29" i="25" s="1"/>
  <c r="F31" i="25" s="1"/>
  <c r="F32" i="25" s="1"/>
  <c r="V3707" i="1"/>
  <c r="I3184" i="1"/>
  <c r="K3171" i="1"/>
  <c r="K3170" i="1"/>
  <c r="I3183" i="1"/>
  <c r="R1219" i="1"/>
  <c r="T1219" i="1" s="1"/>
  <c r="P1261" i="1"/>
  <c r="P1224" i="1"/>
  <c r="F51" i="32"/>
  <c r="D114" i="32"/>
  <c r="F114" i="32" s="1"/>
  <c r="V1242" i="1"/>
  <c r="P1239" i="1"/>
  <c r="R1239" i="1" s="1"/>
  <c r="R1262" i="1"/>
  <c r="D101" i="25"/>
  <c r="F73" i="25"/>
  <c r="X3555" i="1"/>
  <c r="V3571" i="1"/>
  <c r="AS68" i="1"/>
  <c r="AQ92" i="1"/>
  <c r="P1260" i="1"/>
  <c r="R1218" i="1"/>
  <c r="T1218" i="1" s="1"/>
  <c r="P1223" i="1"/>
  <c r="I3197" i="1"/>
  <c r="K3182" i="1"/>
  <c r="R1225" i="1"/>
  <c r="T1225" i="1" s="1"/>
  <c r="P1267" i="1"/>
  <c r="R1321" i="1"/>
  <c r="R1324" i="1" s="1"/>
  <c r="R1326" i="1" s="1"/>
  <c r="C715" i="76" s="1"/>
  <c r="V1322" i="1"/>
  <c r="X1322" i="1" s="1"/>
  <c r="F45" i="25"/>
  <c r="F46" i="25" s="1"/>
  <c r="C394" i="55"/>
  <c r="T394" i="55" s="1"/>
  <c r="F354" i="55"/>
  <c r="V198" i="1"/>
  <c r="X198" i="1" s="1"/>
  <c r="R198" i="1"/>
  <c r="P140" i="1"/>
  <c r="C141" i="1"/>
  <c r="I3004" i="1"/>
  <c r="K3004" i="1" s="1"/>
  <c r="K3006" i="1" s="1"/>
  <c r="I244" i="1"/>
  <c r="K244" i="1" s="1"/>
  <c r="C35" i="1"/>
  <c r="P3551" i="1"/>
  <c r="R3551" i="1" s="1"/>
  <c r="AE3547" i="1"/>
  <c r="AE3563" i="1" s="1"/>
  <c r="V3547" i="1"/>
  <c r="K3109" i="1"/>
  <c r="P2083" i="1"/>
  <c r="R2083" i="1" s="1"/>
  <c r="R405" i="1"/>
  <c r="R407" i="1" s="1"/>
  <c r="C349" i="76" s="1"/>
  <c r="H354" i="55"/>
  <c r="L354" i="55"/>
  <c r="P50" i="1"/>
  <c r="R50" i="1" s="1"/>
  <c r="P641" i="1"/>
  <c r="R641" i="1" s="1"/>
  <c r="R645" i="1" s="1"/>
  <c r="C82" i="1"/>
  <c r="I1321" i="1" s="1"/>
  <c r="K1321" i="1" s="1"/>
  <c r="Z34" i="1"/>
  <c r="AC34" i="1" s="1"/>
  <c r="C77" i="1" s="1"/>
  <c r="I444" i="1" s="1"/>
  <c r="K444" i="1" s="1"/>
  <c r="AC29" i="1"/>
  <c r="C91" i="1" s="1"/>
  <c r="Z10" i="1"/>
  <c r="AC10" i="1" s="1"/>
  <c r="C69" i="1" s="1"/>
  <c r="I296" i="1" s="1"/>
  <c r="K296" i="1" s="1"/>
  <c r="AC9" i="1"/>
  <c r="C68" i="1" s="1"/>
  <c r="I295" i="1" s="1"/>
  <c r="K295" i="1" s="1"/>
  <c r="Z16" i="1"/>
  <c r="Z46" i="1"/>
  <c r="F153" i="64"/>
  <c r="F154" i="64" s="1"/>
  <c r="F155" i="64" s="1"/>
  <c r="F159" i="64" s="1"/>
  <c r="K3772" i="27"/>
  <c r="R3772" i="27"/>
  <c r="D121" i="25"/>
  <c r="F100" i="25"/>
  <c r="P401" i="27"/>
  <c r="R401" i="27" s="1"/>
  <c r="P402" i="27"/>
  <c r="R402" i="27" s="1"/>
  <c r="L379" i="11"/>
  <c r="C713" i="55"/>
  <c r="T713" i="55" s="1"/>
  <c r="C1061" i="55"/>
  <c r="H879" i="55"/>
  <c r="J879" i="55"/>
  <c r="L879" i="55"/>
  <c r="F879" i="55"/>
  <c r="I2269" i="27"/>
  <c r="I1092" i="27"/>
  <c r="K1092" i="27" s="1"/>
  <c r="K704" i="11"/>
  <c r="K706" i="11" s="1"/>
  <c r="K666" i="11"/>
  <c r="K668" i="11" s="1"/>
  <c r="C1063" i="55"/>
  <c r="K398" i="11"/>
  <c r="M390" i="11"/>
  <c r="L390" i="11"/>
  <c r="P1116" i="1"/>
  <c r="R1116" i="1" s="1"/>
  <c r="R1095" i="1"/>
  <c r="M2075" i="1"/>
  <c r="R2061" i="1"/>
  <c r="R1099" i="1"/>
  <c r="P1120" i="1"/>
  <c r="R1120" i="1" s="1"/>
  <c r="AB1373" i="1"/>
  <c r="AD1356" i="1"/>
  <c r="K2372" i="27"/>
  <c r="I2389" i="27"/>
  <c r="K2389" i="27" s="1"/>
  <c r="K2391" i="27" s="1"/>
  <c r="I1532" i="27"/>
  <c r="K1532" i="27" s="1"/>
  <c r="K1537" i="27" s="1"/>
  <c r="K1539" i="27" s="1"/>
  <c r="I1504" i="27"/>
  <c r="K1504" i="27" s="1"/>
  <c r="K1511" i="27" s="1"/>
  <c r="K1513" i="27" s="1"/>
  <c r="I2525" i="27"/>
  <c r="K2525" i="27" s="1"/>
  <c r="K2533" i="27" s="1"/>
  <c r="K2535" i="27" s="1"/>
  <c r="K1014" i="27"/>
  <c r="K1022" i="27" s="1"/>
  <c r="K1024" i="27" s="1"/>
  <c r="L908" i="55"/>
  <c r="H908" i="55"/>
  <c r="J908" i="55"/>
  <c r="F908" i="55"/>
  <c r="P3364" i="1"/>
  <c r="R3364" i="1" s="1"/>
  <c r="P3398" i="1"/>
  <c r="R3398" i="1" s="1"/>
  <c r="R3295" i="1"/>
  <c r="H684" i="55"/>
  <c r="L684" i="55"/>
  <c r="F684" i="55"/>
  <c r="J684" i="55"/>
  <c r="X136" i="1"/>
  <c r="V82" i="1"/>
  <c r="X82" i="1" s="1"/>
  <c r="V110" i="1"/>
  <c r="X110" i="1" s="1"/>
  <c r="X114" i="1" s="1"/>
  <c r="X116" i="1" s="1"/>
  <c r="X118" i="1" s="1"/>
  <c r="C564" i="76" s="1"/>
  <c r="X133" i="1"/>
  <c r="C565" i="76" s="1"/>
  <c r="X81" i="1"/>
  <c r="V1410" i="1"/>
  <c r="X1394" i="1"/>
  <c r="K3958" i="1"/>
  <c r="I3975" i="1"/>
  <c r="K3975" i="1" s="1"/>
  <c r="I1129" i="1"/>
  <c r="I920" i="1"/>
  <c r="K920" i="1" s="1"/>
  <c r="I2865" i="1"/>
  <c r="K2865" i="1" s="1"/>
  <c r="I927" i="1"/>
  <c r="K927" i="1" s="1"/>
  <c r="R3194" i="1"/>
  <c r="D669" i="64"/>
  <c r="F669" i="64" s="1"/>
  <c r="F592" i="64"/>
  <c r="K46" i="1"/>
  <c r="K2264" i="27"/>
  <c r="I2666" i="27"/>
  <c r="K2666" i="27" s="1"/>
  <c r="I3424" i="27"/>
  <c r="K3405" i="27"/>
  <c r="I2440" i="27"/>
  <c r="K2440" i="27" s="1"/>
  <c r="K2425" i="27"/>
  <c r="I208" i="11"/>
  <c r="K208" i="11" s="1"/>
  <c r="I109" i="11"/>
  <c r="K85" i="11"/>
  <c r="F278" i="64"/>
  <c r="F297" i="64" s="1"/>
  <c r="D342" i="64"/>
  <c r="F342" i="64" s="1"/>
  <c r="F359" i="64" s="1"/>
  <c r="J858" i="55"/>
  <c r="H665" i="55"/>
  <c r="J665" i="55"/>
  <c r="L665" i="55"/>
  <c r="F665" i="55"/>
  <c r="H29" i="55"/>
  <c r="J29" i="55"/>
  <c r="L29" i="55"/>
  <c r="K1136" i="1"/>
  <c r="I3531" i="1"/>
  <c r="P3535" i="1" s="1"/>
  <c r="R3535" i="1" s="1"/>
  <c r="I2358" i="1"/>
  <c r="C592" i="76" s="1"/>
  <c r="I2360" i="1"/>
  <c r="C591" i="55"/>
  <c r="I2354" i="1"/>
  <c r="C590" i="76" s="1"/>
  <c r="AS135" i="1"/>
  <c r="AQ166" i="1"/>
  <c r="AS166" i="1" s="1"/>
  <c r="L745" i="55"/>
  <c r="J745" i="55"/>
  <c r="F745" i="55"/>
  <c r="H745" i="55"/>
  <c r="H666" i="55"/>
  <c r="L666" i="55"/>
  <c r="F666" i="55"/>
  <c r="J666" i="55"/>
  <c r="C1060" i="55"/>
  <c r="L364" i="11"/>
  <c r="M364" i="11"/>
  <c r="L924" i="55"/>
  <c r="F924" i="55"/>
  <c r="J924" i="55"/>
  <c r="H924" i="55"/>
  <c r="P1602" i="1"/>
  <c r="K1601" i="1"/>
  <c r="K1606" i="1" s="1"/>
  <c r="K1608" i="1" s="1"/>
  <c r="P575" i="27"/>
  <c r="R575" i="27" s="1"/>
  <c r="P589" i="27"/>
  <c r="R589" i="27" s="1"/>
  <c r="R136" i="27"/>
  <c r="R137" i="27" s="1"/>
  <c r="R138" i="27" s="1"/>
  <c r="R139" i="27" s="1"/>
  <c r="R140" i="27" s="1"/>
  <c r="P632" i="27"/>
  <c r="R632" i="27" s="1"/>
  <c r="F230" i="32"/>
  <c r="K1095" i="27"/>
  <c r="K1097" i="27" s="1"/>
  <c r="K1837" i="27"/>
  <c r="K1839" i="27" s="1"/>
  <c r="I1846" i="27" s="1"/>
  <c r="K1846" i="27" s="1"/>
  <c r="K1849" i="27" s="1"/>
  <c r="K712" i="27"/>
  <c r="K714" i="27" s="1"/>
  <c r="I720" i="27" s="1"/>
  <c r="K720" i="27" s="1"/>
  <c r="K1821" i="27"/>
  <c r="I861" i="11"/>
  <c r="K861" i="11" s="1"/>
  <c r="K850" i="11"/>
  <c r="AE3542" i="1"/>
  <c r="P3546" i="1"/>
  <c r="R3546" i="1" s="1"/>
  <c r="K3542" i="1"/>
  <c r="V3542" i="1"/>
  <c r="P1055" i="1"/>
  <c r="R1055" i="1" s="1"/>
  <c r="R953" i="1"/>
  <c r="I3483" i="1"/>
  <c r="K3483" i="1" s="1"/>
  <c r="I1073" i="1"/>
  <c r="K1073" i="1" s="1"/>
  <c r="I1088" i="1"/>
  <c r="K1088" i="1" s="1"/>
  <c r="F1106" i="55"/>
  <c r="T1106" i="55"/>
  <c r="J1106" i="55"/>
  <c r="H1106" i="55"/>
  <c r="L1106" i="55"/>
  <c r="A26" i="50"/>
  <c r="F26" i="50" s="1"/>
  <c r="F25" i="50"/>
  <c r="X881" i="1"/>
  <c r="V897" i="1"/>
  <c r="X897" i="1" s="1"/>
  <c r="I207" i="11"/>
  <c r="K207" i="11" s="1"/>
  <c r="K84" i="11"/>
  <c r="E3852" i="1"/>
  <c r="J3848" i="1"/>
  <c r="K2838" i="1"/>
  <c r="K2843" i="1" s="1"/>
  <c r="K2845" i="1" s="1"/>
  <c r="I2974" i="1"/>
  <c r="AF690" i="1"/>
  <c r="AF688" i="1"/>
  <c r="AF687" i="1"/>
  <c r="K3108" i="1"/>
  <c r="P2082" i="1"/>
  <c r="R2082" i="1" s="1"/>
  <c r="K3429" i="1"/>
  <c r="P1445" i="1"/>
  <c r="V1423" i="1"/>
  <c r="X1423" i="1" s="1"/>
  <c r="R1429" i="1"/>
  <c r="P28" i="11"/>
  <c r="R28" i="11" s="1"/>
  <c r="P61" i="11"/>
  <c r="R61" i="11" s="1"/>
  <c r="I3608" i="1"/>
  <c r="K3430" i="1"/>
  <c r="R3161" i="1"/>
  <c r="V3120" i="1"/>
  <c r="AB1375" i="1"/>
  <c r="AD1358" i="1"/>
  <c r="F74" i="64"/>
  <c r="F75" i="64" s="1"/>
  <c r="F79" i="64" s="1"/>
  <c r="K11" i="1"/>
  <c r="D540" i="64"/>
  <c r="F415" i="64"/>
  <c r="D416" i="64"/>
  <c r="I2558" i="27"/>
  <c r="K914" i="27"/>
  <c r="K922" i="27" s="1"/>
  <c r="K924" i="27" s="1"/>
  <c r="F581" i="55"/>
  <c r="H581" i="55"/>
  <c r="L581" i="55"/>
  <c r="J581" i="55"/>
  <c r="I2408" i="27"/>
  <c r="K2408" i="27" s="1"/>
  <c r="K2361" i="27"/>
  <c r="C271" i="55"/>
  <c r="T271" i="55" s="1"/>
  <c r="I688" i="1"/>
  <c r="K688" i="1" s="1"/>
  <c r="C272" i="76" s="1"/>
  <c r="AU110" i="1"/>
  <c r="AV110" i="1" s="1"/>
  <c r="V822" i="1"/>
  <c r="X822" i="1" s="1"/>
  <c r="X807" i="1"/>
  <c r="L1081" i="55"/>
  <c r="H1081" i="55"/>
  <c r="F1081" i="55"/>
  <c r="T1081" i="55"/>
  <c r="J1081" i="55"/>
  <c r="K947" i="11"/>
  <c r="K949" i="11" s="1"/>
  <c r="L949" i="11" s="1"/>
  <c r="K942" i="11"/>
  <c r="C1077" i="76" s="1"/>
  <c r="K1805" i="27"/>
  <c r="K752" i="11"/>
  <c r="M752" i="11"/>
  <c r="K833" i="11"/>
  <c r="I3664" i="27"/>
  <c r="K3664" i="27" s="1"/>
  <c r="V1390" i="1"/>
  <c r="X1373" i="1"/>
  <c r="K503" i="11"/>
  <c r="I498" i="11" s="1"/>
  <c r="K498" i="11" s="1"/>
  <c r="K501" i="11" s="1"/>
  <c r="L501" i="11" s="1"/>
  <c r="I536" i="11"/>
  <c r="I3322" i="1"/>
  <c r="R3262" i="1"/>
  <c r="I707" i="1"/>
  <c r="K707" i="1" s="1"/>
  <c r="C277" i="76" s="1"/>
  <c r="C276" i="55"/>
  <c r="T276" i="55" s="1"/>
  <c r="I460" i="1"/>
  <c r="K460" i="1" s="1"/>
  <c r="I298" i="1"/>
  <c r="K298" i="1" s="1"/>
  <c r="P320" i="1"/>
  <c r="R320" i="1" s="1"/>
  <c r="P337" i="1"/>
  <c r="R337" i="1" s="1"/>
  <c r="I3457" i="1"/>
  <c r="I1945" i="1"/>
  <c r="I1809" i="1"/>
  <c r="K1809" i="1" s="1"/>
  <c r="K1816" i="1" s="1"/>
  <c r="K1818" i="1" s="1"/>
  <c r="I1872" i="1" s="1"/>
  <c r="K1872" i="1" s="1"/>
  <c r="K1874" i="1" s="1"/>
  <c r="I2698" i="1"/>
  <c r="K2698" i="1" s="1"/>
  <c r="K2701" i="1" s="1"/>
  <c r="K2702" i="1" s="1"/>
  <c r="K2703" i="1" s="1"/>
  <c r="I1827" i="1"/>
  <c r="K1827" i="1" s="1"/>
  <c r="K1834" i="1" s="1"/>
  <c r="K1836" i="1" s="1"/>
  <c r="I1880" i="1" s="1"/>
  <c r="I1379" i="1"/>
  <c r="K1379" i="1" s="1"/>
  <c r="I1251" i="1"/>
  <c r="I1272" i="1"/>
  <c r="I1466" i="1"/>
  <c r="K1466" i="1" s="1"/>
  <c r="I1434" i="1"/>
  <c r="K1434" i="1" s="1"/>
  <c r="I1323" i="1"/>
  <c r="K1323" i="1" s="1"/>
  <c r="I605" i="1"/>
  <c r="K605" i="1" s="1"/>
  <c r="K610" i="1" s="1"/>
  <c r="I583" i="1"/>
  <c r="V478" i="1"/>
  <c r="P268" i="1"/>
  <c r="R268" i="1" s="1"/>
  <c r="I357" i="1"/>
  <c r="P81" i="1"/>
  <c r="R81" i="1" s="1"/>
  <c r="P349" i="1"/>
  <c r="R349" i="1" s="1"/>
  <c r="P363" i="1"/>
  <c r="R363" i="1" s="1"/>
  <c r="I446" i="1"/>
  <c r="K446" i="1" s="1"/>
  <c r="P365" i="1"/>
  <c r="R365" i="1" s="1"/>
  <c r="I2007" i="1"/>
  <c r="I2738" i="1"/>
  <c r="K2738" i="1" s="1"/>
  <c r="K2745" i="1" s="1"/>
  <c r="K2747" i="1" s="1"/>
  <c r="I2765" i="1" s="1"/>
  <c r="K2765" i="1" s="1"/>
  <c r="K2767" i="1" s="1"/>
  <c r="I2026" i="1"/>
  <c r="I1305" i="1"/>
  <c r="I651" i="1"/>
  <c r="K651" i="1" s="1"/>
  <c r="I883" i="1"/>
  <c r="I621" i="1"/>
  <c r="K621" i="1" s="1"/>
  <c r="P550" i="1"/>
  <c r="R550" i="1" s="1"/>
  <c r="R557" i="1" s="1"/>
  <c r="R559" i="1" s="1"/>
  <c r="I395" i="1"/>
  <c r="I313" i="1"/>
  <c r="I412" i="1"/>
  <c r="K412" i="1" s="1"/>
  <c r="I427" i="1"/>
  <c r="K427" i="1" s="1"/>
  <c r="P181" i="1"/>
  <c r="R181" i="1" s="1"/>
  <c r="P308" i="1"/>
  <c r="R308" i="1" s="1"/>
  <c r="I1646" i="1"/>
  <c r="I1911" i="1"/>
  <c r="K1911" i="1" s="1"/>
  <c r="K1915" i="1" s="1"/>
  <c r="K1917" i="1" s="1"/>
  <c r="I1924" i="1" s="1"/>
  <c r="K1924" i="1" s="1"/>
  <c r="K1927" i="1" s="1"/>
  <c r="I1479" i="1"/>
  <c r="K1479" i="1" s="1"/>
  <c r="I2150" i="1"/>
  <c r="I1406" i="1"/>
  <c r="I1357" i="1"/>
  <c r="I1201" i="1"/>
  <c r="I1454" i="1"/>
  <c r="K1454" i="1" s="1"/>
  <c r="I1393" i="1"/>
  <c r="I865" i="1"/>
  <c r="I527" i="1"/>
  <c r="K527" i="1" s="1"/>
  <c r="P522" i="1"/>
  <c r="R522" i="1" s="1"/>
  <c r="R529" i="1" s="1"/>
  <c r="R531" i="1" s="1"/>
  <c r="I381" i="1"/>
  <c r="I2130" i="1"/>
  <c r="K2130" i="1" s="1"/>
  <c r="I1845" i="1"/>
  <c r="I2384" i="1"/>
  <c r="I1419" i="1"/>
  <c r="I1222" i="1"/>
  <c r="P504" i="1"/>
  <c r="R504" i="1" s="1"/>
  <c r="R511" i="1" s="1"/>
  <c r="R513" i="1" s="1"/>
  <c r="V529" i="1"/>
  <c r="I899" i="1"/>
  <c r="K899" i="1" s="1"/>
  <c r="I551" i="1"/>
  <c r="K551" i="1" s="1"/>
  <c r="I488" i="1"/>
  <c r="K488" i="1" s="1"/>
  <c r="P297" i="1"/>
  <c r="R297" i="1" s="1"/>
  <c r="I337" i="1"/>
  <c r="L1601" i="1"/>
  <c r="L1602" i="1" s="1"/>
  <c r="K1635" i="1"/>
  <c r="K1638" i="1" s="1"/>
  <c r="X1355" i="1"/>
  <c r="X1365" i="1" s="1"/>
  <c r="AB1353" i="1"/>
  <c r="F483" i="64"/>
  <c r="F484" i="64" s="1"/>
  <c r="F487" i="64" s="1"/>
  <c r="I2442" i="27"/>
  <c r="K2442" i="27" s="1"/>
  <c r="K2428" i="27"/>
  <c r="K2362" i="27"/>
  <c r="I2410" i="27"/>
  <c r="K2410" i="27" s="1"/>
  <c r="I3051" i="27"/>
  <c r="I2953" i="27"/>
  <c r="K2933" i="27"/>
  <c r="H637" i="55"/>
  <c r="J683" i="55"/>
  <c r="F683" i="55"/>
  <c r="H683" i="55"/>
  <c r="L683" i="55"/>
  <c r="K2671" i="1"/>
  <c r="P2678" i="1"/>
  <c r="K3321" i="1"/>
  <c r="I3338" i="27"/>
  <c r="K3338" i="27" s="1"/>
  <c r="K3279" i="27"/>
  <c r="L1092" i="55"/>
  <c r="J1092" i="55"/>
  <c r="C1093" i="55"/>
  <c r="T1092" i="55"/>
  <c r="F1092" i="55"/>
  <c r="H1092" i="55"/>
  <c r="T669" i="11"/>
  <c r="R669" i="11"/>
  <c r="I1613" i="1"/>
  <c r="I1586" i="1"/>
  <c r="K1586" i="1" s="1"/>
  <c r="K1593" i="1" s="1"/>
  <c r="K1595" i="1" s="1"/>
  <c r="M342" i="11"/>
  <c r="C1058" i="55"/>
  <c r="F1094" i="55"/>
  <c r="L1094" i="55"/>
  <c r="J1094" i="55"/>
  <c r="H1094" i="55"/>
  <c r="T1094" i="55"/>
  <c r="L958" i="11"/>
  <c r="F273" i="32"/>
  <c r="AR47" i="64"/>
  <c r="F682" i="64"/>
  <c r="K371" i="27"/>
  <c r="V1372" i="1"/>
  <c r="R1411" i="1"/>
  <c r="R1421" i="1" s="1"/>
  <c r="P1428" i="1"/>
  <c r="K583" i="27"/>
  <c r="I583" i="27"/>
  <c r="K3159" i="27"/>
  <c r="K3160" i="27" s="1"/>
  <c r="K3161" i="27" s="1"/>
  <c r="I3199" i="27"/>
  <c r="K3199" i="27" s="1"/>
  <c r="K3200" i="27" s="1"/>
  <c r="K3201" i="27" s="1"/>
  <c r="K2914" i="27"/>
  <c r="I3037" i="27"/>
  <c r="K3037" i="27" s="1"/>
  <c r="I3059" i="27"/>
  <c r="K3059" i="27" s="1"/>
  <c r="K2941" i="27"/>
  <c r="C682" i="55"/>
  <c r="C393" i="55"/>
  <c r="T393" i="55" s="1"/>
  <c r="J30" i="55"/>
  <c r="L30" i="55"/>
  <c r="H30" i="55"/>
  <c r="M353" i="11"/>
  <c r="C1059" i="55"/>
  <c r="L353" i="11"/>
  <c r="C357" i="55"/>
  <c r="T357" i="55" s="1"/>
  <c r="I2928" i="1"/>
  <c r="C668" i="55"/>
  <c r="T668" i="55" s="1"/>
  <c r="I2937" i="1"/>
  <c r="K2937" i="1" s="1"/>
  <c r="F1082" i="55"/>
  <c r="T1082" i="55"/>
  <c r="J1082" i="55"/>
  <c r="H1082" i="55"/>
  <c r="L1082" i="55"/>
  <c r="K3447" i="27"/>
  <c r="I3487" i="27"/>
  <c r="K3487" i="27" s="1"/>
  <c r="I2954" i="27"/>
  <c r="K2934" i="27"/>
  <c r="I3052" i="27"/>
  <c r="K3054" i="27"/>
  <c r="I3891" i="27"/>
  <c r="K2938" i="27"/>
  <c r="I3056" i="27"/>
  <c r="K3056" i="27" s="1"/>
  <c r="I2955" i="27"/>
  <c r="K3466" i="27"/>
  <c r="K3468" i="27" s="1"/>
  <c r="L3379" i="27"/>
  <c r="K3536" i="27"/>
  <c r="K3538" i="27" s="1"/>
  <c r="K3539" i="27" s="1"/>
  <c r="K3498" i="27"/>
  <c r="K3500" i="27" s="1"/>
  <c r="I3425" i="27"/>
  <c r="K3425" i="27" s="1"/>
  <c r="K3406" i="27"/>
  <c r="K3623" i="27"/>
  <c r="K3626" i="27" s="1"/>
  <c r="K3627" i="27" s="1"/>
  <c r="I3684" i="27"/>
  <c r="K3684" i="27" s="1"/>
  <c r="I3730" i="27"/>
  <c r="K3812" i="27"/>
  <c r="K3915" i="27"/>
  <c r="K3102" i="27"/>
  <c r="K3456" i="27"/>
  <c r="K3458" i="27" s="1"/>
  <c r="K2213" i="27" s="1"/>
  <c r="L3348" i="27"/>
  <c r="C311" i="55" l="1"/>
  <c r="T311" i="55" s="1"/>
  <c r="C311" i="76"/>
  <c r="C879" i="76"/>
  <c r="C671" i="76"/>
  <c r="D67" i="78"/>
  <c r="F67" i="78" s="1"/>
  <c r="C377" i="76"/>
  <c r="P277" i="76"/>
  <c r="H277" i="76"/>
  <c r="L277" i="76"/>
  <c r="N277" i="76"/>
  <c r="J277" i="76"/>
  <c r="V277" i="76"/>
  <c r="T277" i="76"/>
  <c r="R277" i="76"/>
  <c r="F277" i="76"/>
  <c r="L592" i="76"/>
  <c r="P592" i="76"/>
  <c r="N592" i="76"/>
  <c r="J592" i="76"/>
  <c r="F592" i="76"/>
  <c r="H592" i="76"/>
  <c r="V592" i="76"/>
  <c r="C594" i="76"/>
  <c r="T592" i="76"/>
  <c r="R592" i="76"/>
  <c r="L564" i="76"/>
  <c r="P564" i="76"/>
  <c r="F564" i="76"/>
  <c r="N564" i="76"/>
  <c r="J564" i="76"/>
  <c r="V564" i="76"/>
  <c r="H564" i="76"/>
  <c r="R564" i="76"/>
  <c r="T564" i="76"/>
  <c r="C740" i="55"/>
  <c r="T740" i="55" s="1"/>
  <c r="C735" i="76"/>
  <c r="C1010" i="55"/>
  <c r="P1010" i="55" s="1"/>
  <c r="C1004" i="76"/>
  <c r="P271" i="76"/>
  <c r="H271" i="76"/>
  <c r="L271" i="76"/>
  <c r="N271" i="76"/>
  <c r="J271" i="76"/>
  <c r="V271" i="76"/>
  <c r="F271" i="76"/>
  <c r="T271" i="76"/>
  <c r="R271" i="76"/>
  <c r="C885" i="55"/>
  <c r="C881" i="76"/>
  <c r="C40" i="55"/>
  <c r="T40" i="55" s="1"/>
  <c r="C40" i="76"/>
  <c r="C349" i="55"/>
  <c r="C348" i="76"/>
  <c r="C306" i="55"/>
  <c r="T306" i="55" s="1"/>
  <c r="C636" i="76"/>
  <c r="C306" i="76"/>
  <c r="L392" i="76"/>
  <c r="P392" i="76"/>
  <c r="F392" i="76"/>
  <c r="N392" i="76"/>
  <c r="J392" i="76"/>
  <c r="H392" i="76"/>
  <c r="V392" i="76"/>
  <c r="T392" i="76"/>
  <c r="R392" i="76"/>
  <c r="P401" i="76"/>
  <c r="H401" i="76"/>
  <c r="L401" i="76"/>
  <c r="J401" i="76"/>
  <c r="F401" i="76"/>
  <c r="N401" i="76"/>
  <c r="V401" i="76"/>
  <c r="T401" i="76"/>
  <c r="R401" i="76"/>
  <c r="R1042" i="76"/>
  <c r="P1042" i="76"/>
  <c r="V1042" i="76"/>
  <c r="T1042" i="76"/>
  <c r="H1042" i="76"/>
  <c r="F1042" i="76"/>
  <c r="J1042" i="76"/>
  <c r="N1042" i="76"/>
  <c r="P718" i="76"/>
  <c r="L718" i="76"/>
  <c r="N718" i="76"/>
  <c r="J718" i="76"/>
  <c r="H718" i="76"/>
  <c r="R718" i="76"/>
  <c r="V718" i="76"/>
  <c r="F718" i="76"/>
  <c r="T718" i="76"/>
  <c r="P667" i="76"/>
  <c r="L667" i="76"/>
  <c r="F667" i="76"/>
  <c r="N667" i="76"/>
  <c r="J667" i="76"/>
  <c r="H667" i="76"/>
  <c r="V667" i="76"/>
  <c r="T667" i="76"/>
  <c r="R667" i="76"/>
  <c r="P595" i="76"/>
  <c r="F595" i="76"/>
  <c r="V595" i="76"/>
  <c r="J595" i="76"/>
  <c r="L595" i="76"/>
  <c r="N595" i="76"/>
  <c r="T595" i="76"/>
  <c r="H595" i="76"/>
  <c r="R595" i="76"/>
  <c r="P680" i="76"/>
  <c r="L680" i="76"/>
  <c r="F680" i="76"/>
  <c r="N680" i="76"/>
  <c r="J680" i="76"/>
  <c r="H680" i="76"/>
  <c r="V680" i="76"/>
  <c r="R680" i="76"/>
  <c r="T680" i="76"/>
  <c r="K4023" i="1"/>
  <c r="I4034" i="1"/>
  <c r="K4034" i="1" s="1"/>
  <c r="T310" i="55"/>
  <c r="F310" i="55"/>
  <c r="P681" i="76"/>
  <c r="L681" i="76"/>
  <c r="N681" i="76"/>
  <c r="F681" i="76"/>
  <c r="H681" i="76"/>
  <c r="J681" i="76"/>
  <c r="V681" i="76"/>
  <c r="R681" i="76"/>
  <c r="T681" i="76"/>
  <c r="P407" i="76"/>
  <c r="H407" i="76"/>
  <c r="L407" i="76"/>
  <c r="F407" i="76"/>
  <c r="N407" i="76"/>
  <c r="J407" i="76"/>
  <c r="V407" i="76"/>
  <c r="R407" i="76"/>
  <c r="T407" i="76"/>
  <c r="H712" i="55"/>
  <c r="J712" i="55"/>
  <c r="L664" i="76"/>
  <c r="P664" i="76"/>
  <c r="F664" i="76"/>
  <c r="N664" i="76"/>
  <c r="J664" i="76"/>
  <c r="H664" i="76"/>
  <c r="V664" i="76"/>
  <c r="T664" i="76"/>
  <c r="R664" i="76"/>
  <c r="P1088" i="76"/>
  <c r="T1088" i="76"/>
  <c r="F1088" i="76"/>
  <c r="V1088" i="76"/>
  <c r="H1088" i="76"/>
  <c r="R1088" i="76"/>
  <c r="N1088" i="76"/>
  <c r="J1088" i="76"/>
  <c r="C358" i="55"/>
  <c r="T358" i="55" s="1"/>
  <c r="C357" i="76"/>
  <c r="C878" i="55"/>
  <c r="T878" i="55" s="1"/>
  <c r="C669" i="76"/>
  <c r="C361" i="76"/>
  <c r="C668" i="76"/>
  <c r="C359" i="76"/>
  <c r="L590" i="76"/>
  <c r="P590" i="76"/>
  <c r="F590" i="76"/>
  <c r="N590" i="76"/>
  <c r="J590" i="76"/>
  <c r="V590" i="76"/>
  <c r="H590" i="76"/>
  <c r="T590" i="76"/>
  <c r="R590" i="76"/>
  <c r="K119" i="1"/>
  <c r="C19" i="76" s="1"/>
  <c r="C18" i="76"/>
  <c r="C582" i="55"/>
  <c r="T582" i="55" s="1"/>
  <c r="C582" i="76"/>
  <c r="L726" i="76"/>
  <c r="P726" i="76"/>
  <c r="T726" i="76"/>
  <c r="N726" i="76"/>
  <c r="J726" i="76"/>
  <c r="H726" i="76"/>
  <c r="F726" i="76"/>
  <c r="V726" i="76"/>
  <c r="R726" i="76"/>
  <c r="L30" i="76"/>
  <c r="P30" i="76"/>
  <c r="J30" i="76"/>
  <c r="N30" i="76"/>
  <c r="H30" i="76"/>
  <c r="V30" i="76"/>
  <c r="F30" i="76"/>
  <c r="T30" i="76"/>
  <c r="R30" i="76"/>
  <c r="X1396" i="1"/>
  <c r="V1412" i="1"/>
  <c r="L356" i="76"/>
  <c r="P356" i="76"/>
  <c r="J356" i="76"/>
  <c r="F356" i="76"/>
  <c r="N356" i="76"/>
  <c r="H356" i="76"/>
  <c r="V356" i="76"/>
  <c r="T356" i="76"/>
  <c r="R356" i="76"/>
  <c r="L875" i="76"/>
  <c r="P875" i="76"/>
  <c r="N875" i="76"/>
  <c r="H875" i="76"/>
  <c r="T875" i="76"/>
  <c r="J875" i="76"/>
  <c r="V875" i="76"/>
  <c r="F875" i="76"/>
  <c r="R875" i="76"/>
  <c r="P365" i="76"/>
  <c r="H365" i="76"/>
  <c r="L365" i="76"/>
  <c r="F365" i="76"/>
  <c r="N365" i="76"/>
  <c r="J365" i="76"/>
  <c r="V365" i="76"/>
  <c r="T365" i="76"/>
  <c r="R365" i="76"/>
  <c r="P1041" i="76"/>
  <c r="R1041" i="76"/>
  <c r="F1041" i="76"/>
  <c r="J1041" i="76"/>
  <c r="V1041" i="76"/>
  <c r="T1041" i="76"/>
  <c r="H1041" i="76"/>
  <c r="N1041" i="76"/>
  <c r="P737" i="76"/>
  <c r="L737" i="76"/>
  <c r="T737" i="76"/>
  <c r="N737" i="76"/>
  <c r="J737" i="76"/>
  <c r="H737" i="76"/>
  <c r="V737" i="76"/>
  <c r="R737" i="76"/>
  <c r="F737" i="76"/>
  <c r="L394" i="76"/>
  <c r="P394" i="76"/>
  <c r="F394" i="76"/>
  <c r="N394" i="76"/>
  <c r="J394" i="76"/>
  <c r="V394" i="76"/>
  <c r="H394" i="76"/>
  <c r="R394" i="76"/>
  <c r="T394" i="76"/>
  <c r="L831" i="76"/>
  <c r="P831" i="76"/>
  <c r="T831" i="76"/>
  <c r="H831" i="76"/>
  <c r="J831" i="76"/>
  <c r="N831" i="76"/>
  <c r="V831" i="76"/>
  <c r="F831" i="76"/>
  <c r="R831" i="76"/>
  <c r="P734" i="76"/>
  <c r="L734" i="76"/>
  <c r="T734" i="76"/>
  <c r="N734" i="76"/>
  <c r="J734" i="76"/>
  <c r="H734" i="76"/>
  <c r="F734" i="76"/>
  <c r="V734" i="76"/>
  <c r="R734" i="76"/>
  <c r="L904" i="76"/>
  <c r="P904" i="76"/>
  <c r="J904" i="76"/>
  <c r="H904" i="76"/>
  <c r="R904" i="76"/>
  <c r="N904" i="76"/>
  <c r="V904" i="76"/>
  <c r="T904" i="76"/>
  <c r="F904" i="76"/>
  <c r="D68" i="78"/>
  <c r="F68" i="78" s="1"/>
  <c r="C378" i="76"/>
  <c r="L272" i="76"/>
  <c r="P272" i="76"/>
  <c r="N272" i="76"/>
  <c r="J272" i="76"/>
  <c r="H272" i="76"/>
  <c r="F272" i="76"/>
  <c r="V272" i="76"/>
  <c r="R272" i="76"/>
  <c r="T272" i="76"/>
  <c r="P349" i="76"/>
  <c r="H349" i="76"/>
  <c r="L349" i="76"/>
  <c r="N349" i="76"/>
  <c r="J349" i="76"/>
  <c r="F349" i="76"/>
  <c r="V349" i="76"/>
  <c r="R349" i="76"/>
  <c r="T349" i="76"/>
  <c r="D138" i="78"/>
  <c r="F138" i="78" s="1"/>
  <c r="C852" i="76"/>
  <c r="C848" i="55"/>
  <c r="C843" i="76"/>
  <c r="C454" i="55"/>
  <c r="C453" i="76"/>
  <c r="P6" i="76"/>
  <c r="F6" i="76"/>
  <c r="T6" i="76"/>
  <c r="H6" i="76"/>
  <c r="R6" i="76"/>
  <c r="N6" i="76"/>
  <c r="J6" i="76"/>
  <c r="V6" i="76"/>
  <c r="AD1405" i="1"/>
  <c r="AB1422" i="1"/>
  <c r="AD1422" i="1" s="1"/>
  <c r="P393" i="76"/>
  <c r="H393" i="76"/>
  <c r="L393" i="76"/>
  <c r="F393" i="76"/>
  <c r="N393" i="76"/>
  <c r="J393" i="76"/>
  <c r="V393" i="76"/>
  <c r="T393" i="76"/>
  <c r="R393" i="76"/>
  <c r="P1100" i="76"/>
  <c r="V1100" i="76"/>
  <c r="H1100" i="76"/>
  <c r="F1100" i="76"/>
  <c r="R1100" i="76"/>
  <c r="T1100" i="76"/>
  <c r="N1100" i="76"/>
  <c r="J1100" i="76"/>
  <c r="I1322" i="1"/>
  <c r="K1322" i="1" s="1"/>
  <c r="P23" i="1"/>
  <c r="P9" i="1"/>
  <c r="R9" i="1" s="1"/>
  <c r="P15" i="76"/>
  <c r="F15" i="76"/>
  <c r="J15" i="76"/>
  <c r="N15" i="76"/>
  <c r="V15" i="76"/>
  <c r="T15" i="76"/>
  <c r="R15" i="76"/>
  <c r="H15" i="76"/>
  <c r="P351" i="76"/>
  <c r="H351" i="76"/>
  <c r="L351" i="76"/>
  <c r="N351" i="76"/>
  <c r="J351" i="76"/>
  <c r="F351" i="76"/>
  <c r="V351" i="76"/>
  <c r="T351" i="76"/>
  <c r="R351" i="76"/>
  <c r="L707" i="76"/>
  <c r="P707" i="76"/>
  <c r="J707" i="76"/>
  <c r="N707" i="76"/>
  <c r="H707" i="76"/>
  <c r="F707" i="76"/>
  <c r="V707" i="76"/>
  <c r="T707" i="76"/>
  <c r="R707" i="76"/>
  <c r="P596" i="76"/>
  <c r="L596" i="76"/>
  <c r="F596" i="76"/>
  <c r="T596" i="76"/>
  <c r="N596" i="76"/>
  <c r="J596" i="76"/>
  <c r="V596" i="76"/>
  <c r="H596" i="76"/>
  <c r="R596" i="76"/>
  <c r="L366" i="55"/>
  <c r="H366" i="55"/>
  <c r="L736" i="76"/>
  <c r="P736" i="76"/>
  <c r="T736" i="76"/>
  <c r="N736" i="76"/>
  <c r="J736" i="76"/>
  <c r="V736" i="76"/>
  <c r="H736" i="76"/>
  <c r="R736" i="76"/>
  <c r="F736" i="76"/>
  <c r="P350" i="76"/>
  <c r="L350" i="76"/>
  <c r="N350" i="76"/>
  <c r="J350" i="76"/>
  <c r="H350" i="76"/>
  <c r="V350" i="76"/>
  <c r="F350" i="76"/>
  <c r="T350" i="76"/>
  <c r="R350" i="76"/>
  <c r="L406" i="76"/>
  <c r="P406" i="76"/>
  <c r="F406" i="76"/>
  <c r="N406" i="76"/>
  <c r="J406" i="76"/>
  <c r="H406" i="76"/>
  <c r="V406" i="76"/>
  <c r="R406" i="76"/>
  <c r="T406" i="76"/>
  <c r="P581" i="76"/>
  <c r="H581" i="76"/>
  <c r="L581" i="76"/>
  <c r="N581" i="76"/>
  <c r="F581" i="76"/>
  <c r="J581" i="76"/>
  <c r="V581" i="76"/>
  <c r="T581" i="76"/>
  <c r="R581" i="76"/>
  <c r="C312" i="55"/>
  <c r="T312" i="55" s="1"/>
  <c r="C312" i="76"/>
  <c r="C706" i="55"/>
  <c r="T706" i="55" s="1"/>
  <c r="C702" i="76"/>
  <c r="C1035" i="76"/>
  <c r="C611" i="76"/>
  <c r="C593" i="55"/>
  <c r="C593" i="76"/>
  <c r="P565" i="76"/>
  <c r="H565" i="76"/>
  <c r="L565" i="76"/>
  <c r="J565" i="76"/>
  <c r="F565" i="76"/>
  <c r="N565" i="76"/>
  <c r="V565" i="76"/>
  <c r="R565" i="76"/>
  <c r="T565" i="76"/>
  <c r="P715" i="76"/>
  <c r="H715" i="76"/>
  <c r="L715" i="76"/>
  <c r="T715" i="76"/>
  <c r="J715" i="76"/>
  <c r="N715" i="76"/>
  <c r="V715" i="76"/>
  <c r="R715" i="76"/>
  <c r="F715" i="76"/>
  <c r="C41" i="55"/>
  <c r="T41" i="55" s="1"/>
  <c r="C41" i="76"/>
  <c r="P828" i="76"/>
  <c r="L828" i="76"/>
  <c r="J828" i="76"/>
  <c r="R828" i="76"/>
  <c r="H828" i="76"/>
  <c r="V828" i="76"/>
  <c r="F828" i="76"/>
  <c r="N828" i="76"/>
  <c r="T828" i="76"/>
  <c r="D139" i="78"/>
  <c r="F139" i="78" s="1"/>
  <c r="C853" i="76"/>
  <c r="C886" i="55"/>
  <c r="C882" i="76"/>
  <c r="C556" i="55"/>
  <c r="T556" i="55" s="1"/>
  <c r="C556" i="76"/>
  <c r="C847" i="55"/>
  <c r="C842" i="76"/>
  <c r="C815" i="55"/>
  <c r="C810" i="76"/>
  <c r="C667" i="55"/>
  <c r="T667" i="55" s="1"/>
  <c r="C666" i="76"/>
  <c r="P1086" i="76"/>
  <c r="V1086" i="76"/>
  <c r="T1086" i="76"/>
  <c r="F1086" i="76"/>
  <c r="H1086" i="76"/>
  <c r="J1086" i="76"/>
  <c r="R1086" i="76"/>
  <c r="N1086" i="76"/>
  <c r="C1087" i="76"/>
  <c r="P679" i="76"/>
  <c r="L679" i="76"/>
  <c r="J679" i="76"/>
  <c r="F679" i="76"/>
  <c r="H679" i="76"/>
  <c r="N679" i="76"/>
  <c r="V679" i="76"/>
  <c r="R679" i="76"/>
  <c r="T679" i="76"/>
  <c r="L740" i="76"/>
  <c r="P740" i="76"/>
  <c r="J740" i="76"/>
  <c r="T740" i="76"/>
  <c r="N740" i="76"/>
  <c r="H740" i="76"/>
  <c r="V740" i="76"/>
  <c r="F740" i="76"/>
  <c r="R740" i="76"/>
  <c r="L678" i="76"/>
  <c r="P678" i="76"/>
  <c r="J678" i="76"/>
  <c r="F678" i="76"/>
  <c r="N678" i="76"/>
  <c r="H678" i="76"/>
  <c r="V678" i="76"/>
  <c r="T678" i="76"/>
  <c r="R678" i="76"/>
  <c r="C16" i="55"/>
  <c r="C16" i="76"/>
  <c r="L665" i="76"/>
  <c r="P665" i="76"/>
  <c r="J665" i="76"/>
  <c r="F665" i="76"/>
  <c r="N665" i="76"/>
  <c r="H665" i="76"/>
  <c r="V665" i="76"/>
  <c r="R665" i="76"/>
  <c r="T665" i="76"/>
  <c r="P352" i="76"/>
  <c r="L352" i="76"/>
  <c r="N352" i="76"/>
  <c r="J352" i="76"/>
  <c r="V352" i="76"/>
  <c r="H352" i="76"/>
  <c r="F352" i="76"/>
  <c r="T352" i="76"/>
  <c r="R352" i="76"/>
  <c r="P441" i="76"/>
  <c r="H441" i="76"/>
  <c r="L441" i="76"/>
  <c r="N441" i="76"/>
  <c r="J441" i="76"/>
  <c r="F441" i="76"/>
  <c r="V441" i="76"/>
  <c r="T441" i="76"/>
  <c r="R441" i="76"/>
  <c r="L24" i="76"/>
  <c r="P24" i="76"/>
  <c r="N24" i="76"/>
  <c r="H24" i="76"/>
  <c r="J24" i="76"/>
  <c r="V24" i="76"/>
  <c r="F24" i="76"/>
  <c r="R24" i="76"/>
  <c r="T24" i="76"/>
  <c r="L310" i="76"/>
  <c r="P310" i="76"/>
  <c r="N310" i="76"/>
  <c r="J310" i="76"/>
  <c r="H310" i="76"/>
  <c r="F310" i="76"/>
  <c r="V310" i="76"/>
  <c r="R310" i="76"/>
  <c r="T310" i="76"/>
  <c r="T351" i="55"/>
  <c r="L351" i="55"/>
  <c r="P708" i="76"/>
  <c r="L708" i="76"/>
  <c r="F708" i="76"/>
  <c r="N708" i="76"/>
  <c r="J708" i="76"/>
  <c r="V708" i="76"/>
  <c r="H708" i="76"/>
  <c r="T708" i="76"/>
  <c r="R708" i="76"/>
  <c r="P722" i="76"/>
  <c r="L722" i="76"/>
  <c r="J722" i="76"/>
  <c r="T722" i="76"/>
  <c r="N722" i="76"/>
  <c r="H722" i="76"/>
  <c r="V722" i="76"/>
  <c r="F722" i="76"/>
  <c r="R722" i="76"/>
  <c r="L364" i="76"/>
  <c r="P364" i="76"/>
  <c r="F364" i="76"/>
  <c r="N364" i="76"/>
  <c r="J364" i="76"/>
  <c r="V364" i="76"/>
  <c r="H364" i="76"/>
  <c r="T364" i="76"/>
  <c r="R364" i="76"/>
  <c r="F626" i="25"/>
  <c r="D662" i="25"/>
  <c r="D134" i="78"/>
  <c r="F134" i="78" s="1"/>
  <c r="T682" i="55"/>
  <c r="D98" i="78"/>
  <c r="F98" i="78" s="1"/>
  <c r="T591" i="55"/>
  <c r="D128" i="78"/>
  <c r="F128" i="78" s="1"/>
  <c r="T885" i="55"/>
  <c r="D82" i="78"/>
  <c r="F82" i="78" s="1"/>
  <c r="T454" i="55"/>
  <c r="D52" i="78"/>
  <c r="F52" i="78" s="1"/>
  <c r="T349" i="55"/>
  <c r="D176" i="78"/>
  <c r="F176" i="78" s="1"/>
  <c r="T718" i="55"/>
  <c r="D154" i="78"/>
  <c r="F154" i="78" s="1"/>
  <c r="T923" i="55"/>
  <c r="D100" i="78"/>
  <c r="F100" i="78" s="1"/>
  <c r="T593" i="55"/>
  <c r="D55" i="78"/>
  <c r="F55" i="78" s="1"/>
  <c r="T355" i="55"/>
  <c r="D129" i="78"/>
  <c r="F129" i="78" s="1"/>
  <c r="T886" i="55"/>
  <c r="D184" i="78"/>
  <c r="F184" i="78" s="1"/>
  <c r="T726" i="55"/>
  <c r="D78" i="78"/>
  <c r="F78" i="78" s="1"/>
  <c r="T441" i="55"/>
  <c r="L920" i="76"/>
  <c r="N920" i="76"/>
  <c r="H920" i="76"/>
  <c r="V920" i="76"/>
  <c r="P920" i="76"/>
  <c r="T920" i="76"/>
  <c r="J920" i="76"/>
  <c r="F920" i="76"/>
  <c r="R920" i="76"/>
  <c r="K2276" i="1"/>
  <c r="C1057" i="76"/>
  <c r="L720" i="76"/>
  <c r="N720" i="76"/>
  <c r="F720" i="76"/>
  <c r="T720" i="76"/>
  <c r="P720" i="76"/>
  <c r="R720" i="76"/>
  <c r="J720" i="76"/>
  <c r="H720" i="76"/>
  <c r="V720" i="76"/>
  <c r="L440" i="76"/>
  <c r="N440" i="76"/>
  <c r="H440" i="76"/>
  <c r="T440" i="76"/>
  <c r="P440" i="76"/>
  <c r="F440" i="76"/>
  <c r="J440" i="76"/>
  <c r="V440" i="76"/>
  <c r="R440" i="76"/>
  <c r="R1052" i="76"/>
  <c r="T1052" i="76"/>
  <c r="N1052" i="76"/>
  <c r="P1052" i="76"/>
  <c r="F1052" i="76"/>
  <c r="H1052" i="76"/>
  <c r="J1052" i="76"/>
  <c r="V1052" i="76"/>
  <c r="L714" i="76"/>
  <c r="F714" i="76"/>
  <c r="J714" i="76"/>
  <c r="P714" i="76"/>
  <c r="N714" i="76"/>
  <c r="H714" i="76"/>
  <c r="V714" i="76"/>
  <c r="T714" i="76"/>
  <c r="R714" i="76"/>
  <c r="C425" i="55"/>
  <c r="T425" i="55" s="1"/>
  <c r="C424" i="76"/>
  <c r="L691" i="76"/>
  <c r="J691" i="76"/>
  <c r="H691" i="76"/>
  <c r="T691" i="76"/>
  <c r="R691" i="76"/>
  <c r="P691" i="76"/>
  <c r="F691" i="76"/>
  <c r="N691" i="76"/>
  <c r="V691" i="76"/>
  <c r="L709" i="76"/>
  <c r="F709" i="76"/>
  <c r="N709" i="76"/>
  <c r="V709" i="76"/>
  <c r="R709" i="76"/>
  <c r="P709" i="76"/>
  <c r="J709" i="76"/>
  <c r="H709" i="76"/>
  <c r="T709" i="76"/>
  <c r="T1077" i="76"/>
  <c r="V1077" i="76"/>
  <c r="F1077" i="76"/>
  <c r="N1077" i="76"/>
  <c r="P1077" i="76"/>
  <c r="H1077" i="76"/>
  <c r="R1077" i="76"/>
  <c r="J1077" i="76"/>
  <c r="C443" i="55"/>
  <c r="R443" i="55" s="1"/>
  <c r="C442" i="76"/>
  <c r="C429" i="55"/>
  <c r="T429" i="55" s="1"/>
  <c r="C428" i="76"/>
  <c r="L921" i="76"/>
  <c r="T921" i="76"/>
  <c r="N921" i="76"/>
  <c r="F921" i="76"/>
  <c r="R921" i="76"/>
  <c r="P921" i="76"/>
  <c r="J921" i="76"/>
  <c r="H921" i="76"/>
  <c r="V921" i="76"/>
  <c r="D159" i="78"/>
  <c r="F159" i="78" s="1"/>
  <c r="R695" i="55"/>
  <c r="P695" i="55"/>
  <c r="N695" i="55"/>
  <c r="J695" i="55"/>
  <c r="L695" i="55"/>
  <c r="F695" i="55"/>
  <c r="H695" i="55"/>
  <c r="R1055" i="76"/>
  <c r="F1055" i="76"/>
  <c r="T1055" i="76"/>
  <c r="V1055" i="76"/>
  <c r="P1055" i="76"/>
  <c r="H1055" i="76"/>
  <c r="J1055" i="76"/>
  <c r="N1055" i="76"/>
  <c r="P668" i="55"/>
  <c r="R668" i="55"/>
  <c r="P682" i="55"/>
  <c r="R682" i="55"/>
  <c r="P312" i="55"/>
  <c r="R312" i="55"/>
  <c r="P311" i="55"/>
  <c r="R311" i="55"/>
  <c r="P379" i="55"/>
  <c r="R379" i="55"/>
  <c r="P378" i="55"/>
  <c r="R378" i="55"/>
  <c r="P591" i="55"/>
  <c r="R591" i="55"/>
  <c r="P394" i="55"/>
  <c r="R394" i="55"/>
  <c r="P685" i="55"/>
  <c r="R685" i="55"/>
  <c r="R352" i="55"/>
  <c r="P857" i="55"/>
  <c r="R857" i="55"/>
  <c r="P885" i="55"/>
  <c r="R885" i="55"/>
  <c r="P40" i="55"/>
  <c r="R40" i="55"/>
  <c r="P848" i="55"/>
  <c r="R848" i="55"/>
  <c r="P454" i="55"/>
  <c r="R454" i="55"/>
  <c r="P349" i="55"/>
  <c r="R349" i="55"/>
  <c r="P815" i="55"/>
  <c r="R815" i="55"/>
  <c r="R306" i="55"/>
  <c r="P357" i="55"/>
  <c r="R357" i="55"/>
  <c r="P393" i="55"/>
  <c r="R393" i="55"/>
  <c r="P923" i="55"/>
  <c r="R923" i="55"/>
  <c r="P358" i="55"/>
  <c r="R358" i="55"/>
  <c r="P706" i="55"/>
  <c r="R706" i="55"/>
  <c r="P276" i="55"/>
  <c r="R276" i="55"/>
  <c r="P271" i="55"/>
  <c r="R271" i="55"/>
  <c r="R593" i="55"/>
  <c r="P713" i="55"/>
  <c r="R713" i="55"/>
  <c r="P41" i="55"/>
  <c r="R41" i="55"/>
  <c r="P395" i="55"/>
  <c r="R395" i="55"/>
  <c r="P582" i="55"/>
  <c r="R582" i="55"/>
  <c r="P15" i="55"/>
  <c r="R15" i="55"/>
  <c r="P740" i="55"/>
  <c r="R740" i="55"/>
  <c r="P270" i="55"/>
  <c r="R270" i="55"/>
  <c r="P355" i="55"/>
  <c r="R355" i="55"/>
  <c r="R858" i="55"/>
  <c r="P886" i="55"/>
  <c r="R886" i="55"/>
  <c r="P556" i="55"/>
  <c r="R556" i="55"/>
  <c r="P726" i="55"/>
  <c r="R726" i="55"/>
  <c r="P847" i="55"/>
  <c r="R847" i="55"/>
  <c r="P637" i="55"/>
  <c r="R637" i="55"/>
  <c r="P667" i="55"/>
  <c r="R667" i="55"/>
  <c r="R718" i="55"/>
  <c r="P724" i="55"/>
  <c r="R724" i="55"/>
  <c r="H352" i="55"/>
  <c r="P352" i="55"/>
  <c r="L306" i="55"/>
  <c r="P306" i="55"/>
  <c r="F718" i="55"/>
  <c r="P718" i="55"/>
  <c r="P593" i="55"/>
  <c r="H858" i="55"/>
  <c r="P858" i="55"/>
  <c r="C896" i="55"/>
  <c r="T896" i="55" s="1"/>
  <c r="C892" i="76"/>
  <c r="P892" i="76" s="1"/>
  <c r="C897" i="55"/>
  <c r="T897" i="55" s="1"/>
  <c r="C893" i="76"/>
  <c r="P893" i="76" s="1"/>
  <c r="F706" i="55"/>
  <c r="F276" i="55"/>
  <c r="F271" i="55"/>
  <c r="F270" i="55"/>
  <c r="N858" i="55"/>
  <c r="L885" i="55"/>
  <c r="N556" i="55"/>
  <c r="N667" i="55"/>
  <c r="N718" i="55"/>
  <c r="N394" i="55"/>
  <c r="N857" i="55"/>
  <c r="N886" i="55"/>
  <c r="J1048" i="55"/>
  <c r="N726" i="55"/>
  <c r="N454" i="55"/>
  <c r="N349" i="55"/>
  <c r="F352" i="55"/>
  <c r="L815" i="55"/>
  <c r="L1048" i="55"/>
  <c r="L582" i="55"/>
  <c r="L349" i="55"/>
  <c r="J349" i="55"/>
  <c r="H724" i="55"/>
  <c r="L724" i="55"/>
  <c r="H847" i="55"/>
  <c r="J847" i="55"/>
  <c r="L355" i="55"/>
  <c r="F858" i="55"/>
  <c r="H718" i="55"/>
  <c r="N724" i="55"/>
  <c r="F355" i="55"/>
  <c r="J724" i="55"/>
  <c r="F724" i="55"/>
  <c r="J352" i="55"/>
  <c r="L847" i="55"/>
  <c r="L726" i="55"/>
  <c r="F637" i="55"/>
  <c r="J306" i="55"/>
  <c r="H582" i="55"/>
  <c r="J582" i="55"/>
  <c r="F582" i="55"/>
  <c r="J667" i="55"/>
  <c r="N15" i="55"/>
  <c r="F15" i="55"/>
  <c r="N41" i="55"/>
  <c r="F41" i="55"/>
  <c r="N40" i="55"/>
  <c r="F40" i="55"/>
  <c r="N682" i="55"/>
  <c r="N312" i="55"/>
  <c r="N706" i="55"/>
  <c r="N276" i="55"/>
  <c r="N271" i="55"/>
  <c r="N591" i="55"/>
  <c r="N1061" i="55"/>
  <c r="N685" i="55"/>
  <c r="N352" i="55"/>
  <c r="N1097" i="55"/>
  <c r="N1096" i="55"/>
  <c r="N885" i="55"/>
  <c r="N848" i="55"/>
  <c r="N637" i="55"/>
  <c r="N815" i="55"/>
  <c r="N668" i="55"/>
  <c r="N357" i="55"/>
  <c r="N1059" i="55"/>
  <c r="N393" i="55"/>
  <c r="N923" i="55"/>
  <c r="N1058" i="55"/>
  <c r="N358" i="55"/>
  <c r="N1093" i="55"/>
  <c r="N311" i="55"/>
  <c r="N379" i="55"/>
  <c r="N378" i="55"/>
  <c r="N1060" i="55"/>
  <c r="N593" i="55"/>
  <c r="N1063" i="55"/>
  <c r="N713" i="55"/>
  <c r="N395" i="55"/>
  <c r="N582" i="55"/>
  <c r="N740" i="55"/>
  <c r="N1010" i="55"/>
  <c r="N270" i="55"/>
  <c r="N355" i="55"/>
  <c r="H1048" i="55"/>
  <c r="N1048" i="55"/>
  <c r="N847" i="55"/>
  <c r="N306" i="55"/>
  <c r="J718" i="55"/>
  <c r="L718" i="55"/>
  <c r="T1048" i="55"/>
  <c r="J637" i="55"/>
  <c r="L637" i="55"/>
  <c r="H306" i="55"/>
  <c r="F306" i="55"/>
  <c r="L848" i="55"/>
  <c r="J848" i="55"/>
  <c r="F848" i="55"/>
  <c r="J355" i="55"/>
  <c r="J885" i="55"/>
  <c r="F885" i="55"/>
  <c r="J270" i="55"/>
  <c r="J41" i="55"/>
  <c r="F726" i="55"/>
  <c r="H454" i="55"/>
  <c r="F349" i="55"/>
  <c r="K3280" i="27"/>
  <c r="I3298" i="27"/>
  <c r="K3408" i="27"/>
  <c r="K3409" i="27" s="1"/>
  <c r="K3398" i="27" s="1"/>
  <c r="K3041" i="27"/>
  <c r="K3688" i="27"/>
  <c r="C6" i="55"/>
  <c r="P595" i="1"/>
  <c r="R595" i="1" s="1"/>
  <c r="P608" i="1"/>
  <c r="R608" i="1" s="1"/>
  <c r="K90" i="1"/>
  <c r="C9" i="76" s="1"/>
  <c r="K89" i="1"/>
  <c r="C7" i="76" s="1"/>
  <c r="C18" i="55"/>
  <c r="K96" i="1"/>
  <c r="K99" i="1" s="1"/>
  <c r="K101" i="1" s="1"/>
  <c r="C12" i="76" s="1"/>
  <c r="M96" i="1"/>
  <c r="M97" i="1" s="1"/>
  <c r="K3564" i="1"/>
  <c r="P3567" i="1"/>
  <c r="R3567" i="1" s="1"/>
  <c r="H349" i="55"/>
  <c r="H667" i="55"/>
  <c r="F667" i="55"/>
  <c r="L667" i="55"/>
  <c r="L2691" i="1"/>
  <c r="I3947" i="1"/>
  <c r="K3929" i="1"/>
  <c r="F48" i="32"/>
  <c r="H48" i="32" s="1"/>
  <c r="D111" i="32"/>
  <c r="F111" i="32" s="1"/>
  <c r="K3578" i="1"/>
  <c r="K3580" i="1" s="1"/>
  <c r="K3581" i="1" s="1"/>
  <c r="K3591" i="1" s="1"/>
  <c r="I3592" i="1" s="1"/>
  <c r="I3587" i="1"/>
  <c r="K3587" i="1" s="1"/>
  <c r="K3589" i="1" s="1"/>
  <c r="K3590" i="1" s="1"/>
  <c r="J3592" i="1" s="1"/>
  <c r="J3593" i="1" s="1"/>
  <c r="J3594" i="1" s="1"/>
  <c r="J3595" i="1" s="1"/>
  <c r="K546" i="11"/>
  <c r="K547" i="11" s="1"/>
  <c r="R140" i="1"/>
  <c r="R144" i="1" s="1"/>
  <c r="K89" i="11"/>
  <c r="L90" i="11" s="1"/>
  <c r="L91" i="11" s="1"/>
  <c r="K35" i="1"/>
  <c r="V1284" i="1"/>
  <c r="X1284" i="1" s="1"/>
  <c r="K1255" i="1"/>
  <c r="J454" i="55"/>
  <c r="F454" i="55"/>
  <c r="L454" i="55"/>
  <c r="K1201" i="1"/>
  <c r="R1602" i="1"/>
  <c r="R1607" i="1" s="1"/>
  <c r="R1609" i="1" s="1"/>
  <c r="C873" i="76" s="1"/>
  <c r="H355" i="55"/>
  <c r="K3227" i="1"/>
  <c r="K154" i="11"/>
  <c r="K2937" i="27"/>
  <c r="I3055" i="27"/>
  <c r="K3055" i="27" s="1"/>
  <c r="L446" i="11"/>
  <c r="K2277" i="1"/>
  <c r="AE3546" i="1"/>
  <c r="K3546" i="1"/>
  <c r="P3550" i="1"/>
  <c r="R3550" i="1" s="1"/>
  <c r="V3546" i="1"/>
  <c r="K3891" i="27"/>
  <c r="K1357" i="1"/>
  <c r="K1880" i="1"/>
  <c r="K1882" i="1" s="1"/>
  <c r="K2689" i="1"/>
  <c r="K2690" i="1" s="1"/>
  <c r="K3354" i="1"/>
  <c r="K3357" i="1" s="1"/>
  <c r="K3358" i="1" s="1"/>
  <c r="AC13" i="27"/>
  <c r="C72" i="27" s="1"/>
  <c r="Z37" i="27"/>
  <c r="AC37" i="27" s="1"/>
  <c r="I241" i="27" s="1"/>
  <c r="K241" i="27" s="1"/>
  <c r="K246" i="27" s="1"/>
  <c r="K248" i="27" s="1"/>
  <c r="Z14" i="27"/>
  <c r="D691" i="25"/>
  <c r="F691" i="25" s="1"/>
  <c r="F655" i="25"/>
  <c r="R3448" i="1"/>
  <c r="I3528" i="1"/>
  <c r="I3278" i="27"/>
  <c r="K3265" i="27"/>
  <c r="K3268" i="27" s="1"/>
  <c r="K3269" i="27" s="1"/>
  <c r="K3261" i="27" s="1"/>
  <c r="K3262" i="27" s="1"/>
  <c r="I3885" i="27"/>
  <c r="K3049" i="27"/>
  <c r="I3072" i="27"/>
  <c r="I4012" i="1"/>
  <c r="K3996" i="1"/>
  <c r="K3814" i="27"/>
  <c r="K3872" i="27" s="1"/>
  <c r="K1419" i="1"/>
  <c r="K1406" i="1"/>
  <c r="K402" i="11"/>
  <c r="K146" i="11"/>
  <c r="L857" i="55"/>
  <c r="X1393" i="1"/>
  <c r="V1409" i="1"/>
  <c r="P2573" i="1"/>
  <c r="R2573" i="1" s="1"/>
  <c r="K2572" i="1"/>
  <c r="I2607" i="1"/>
  <c r="P2575" i="1"/>
  <c r="R2575" i="1" s="1"/>
  <c r="K2574" i="1"/>
  <c r="M2581" i="1"/>
  <c r="O2581" i="1" s="1"/>
  <c r="O2583" i="1" s="1"/>
  <c r="O2584" i="1" s="1"/>
  <c r="K461" i="11"/>
  <c r="L461" i="11" s="1"/>
  <c r="K930" i="11"/>
  <c r="K3243" i="1"/>
  <c r="AG3559" i="1"/>
  <c r="V3622" i="1"/>
  <c r="I3421" i="27"/>
  <c r="K3402" i="27"/>
  <c r="I3397" i="27" s="1"/>
  <c r="K3397" i="27" s="1"/>
  <c r="L3397" i="27" s="1"/>
  <c r="M3397" i="27" s="1"/>
  <c r="N3397" i="27" s="1"/>
  <c r="O3397" i="27" s="1"/>
  <c r="I3904" i="27"/>
  <c r="I2972" i="27"/>
  <c r="K2972" i="27" s="1"/>
  <c r="K2951" i="27"/>
  <c r="I2961" i="27"/>
  <c r="D535" i="64"/>
  <c r="F410" i="64"/>
  <c r="V1458" i="1"/>
  <c r="R1497" i="1"/>
  <c r="J726" i="55"/>
  <c r="H270" i="55"/>
  <c r="L270" i="55"/>
  <c r="F886" i="55"/>
  <c r="L886" i="55"/>
  <c r="F857" i="55"/>
  <c r="L352" i="55"/>
  <c r="H726" i="55"/>
  <c r="R1640" i="1"/>
  <c r="J886" i="55"/>
  <c r="L556" i="55"/>
  <c r="H556" i="55"/>
  <c r="J857" i="55"/>
  <c r="L858" i="55"/>
  <c r="H886" i="55"/>
  <c r="H857" i="55"/>
  <c r="J556" i="55"/>
  <c r="F556" i="55"/>
  <c r="P1498" i="1"/>
  <c r="R1467" i="1"/>
  <c r="V678" i="1"/>
  <c r="D44" i="32"/>
  <c r="X708" i="1"/>
  <c r="Z708" i="1" s="1"/>
  <c r="AB3624" i="1"/>
  <c r="AD3624" i="1" s="1"/>
  <c r="X3624" i="1"/>
  <c r="P1499" i="1"/>
  <c r="R1468" i="1"/>
  <c r="X3590" i="1"/>
  <c r="V3607" i="1"/>
  <c r="X3607" i="1" s="1"/>
  <c r="P1121" i="1"/>
  <c r="R1100" i="1"/>
  <c r="K3057" i="27"/>
  <c r="I3892" i="27"/>
  <c r="Z42" i="1"/>
  <c r="AC42" i="1" s="1"/>
  <c r="Z45" i="1"/>
  <c r="AC45" i="1" s="1"/>
  <c r="AC41" i="1"/>
  <c r="K989" i="11"/>
  <c r="K1092" i="11"/>
  <c r="R1490" i="1"/>
  <c r="V1451" i="1"/>
  <c r="AG3556" i="1"/>
  <c r="V3619" i="1"/>
  <c r="L156" i="11"/>
  <c r="K157" i="11"/>
  <c r="C690" i="76" s="1"/>
  <c r="R1221" i="1"/>
  <c r="T1221" i="1" s="1"/>
  <c r="P1263" i="1"/>
  <c r="AB1453" i="1"/>
  <c r="AD1453" i="1" s="1"/>
  <c r="X1455" i="1"/>
  <c r="AD1374" i="1"/>
  <c r="AB1391" i="1"/>
  <c r="AD1391" i="1" s="1"/>
  <c r="I3077" i="1"/>
  <c r="K3077" i="1" s="1"/>
  <c r="P3065" i="1"/>
  <c r="R3065" i="1" s="1"/>
  <c r="K3058" i="1"/>
  <c r="AG3557" i="1"/>
  <c r="V3620" i="1"/>
  <c r="H41" i="55"/>
  <c r="J40" i="55"/>
  <c r="L40" i="55"/>
  <c r="H40" i="55"/>
  <c r="Z13" i="1"/>
  <c r="AC13" i="1" s="1"/>
  <c r="C72" i="1" s="1"/>
  <c r="F76" i="25"/>
  <c r="D65" i="25" s="1"/>
  <c r="D93" i="25" s="1"/>
  <c r="F93" i="25" s="1"/>
  <c r="D114" i="50"/>
  <c r="F114" i="50" s="1"/>
  <c r="F51" i="50"/>
  <c r="AB1395" i="1"/>
  <c r="AD1395" i="1" s="1"/>
  <c r="AD1378" i="1"/>
  <c r="H897" i="55"/>
  <c r="J897" i="55"/>
  <c r="L896" i="55"/>
  <c r="F896" i="55"/>
  <c r="H885" i="55"/>
  <c r="F740" i="55"/>
  <c r="K102" i="27"/>
  <c r="K104" i="27"/>
  <c r="K105" i="27" s="1"/>
  <c r="K1127" i="11"/>
  <c r="I1140" i="11"/>
  <c r="K4019" i="1"/>
  <c r="I4020" i="1"/>
  <c r="R3328" i="1"/>
  <c r="P3363" i="1"/>
  <c r="R3363" i="1" s="1"/>
  <c r="F46" i="50"/>
  <c r="D109" i="50"/>
  <c r="F109" i="50" s="1"/>
  <c r="I1064" i="11"/>
  <c r="K1064" i="11" s="1"/>
  <c r="K1075" i="11" s="1"/>
  <c r="K220" i="11"/>
  <c r="T1097" i="55"/>
  <c r="L1097" i="55"/>
  <c r="F1097" i="55"/>
  <c r="J1097" i="55"/>
  <c r="H1097" i="55"/>
  <c r="J539" i="1"/>
  <c r="W538" i="1"/>
  <c r="AC538" i="1" s="1"/>
  <c r="AJ538" i="1" s="1"/>
  <c r="I3886" i="27"/>
  <c r="I3073" i="27"/>
  <c r="K3050" i="27"/>
  <c r="J1096" i="55"/>
  <c r="F1096" i="55"/>
  <c r="L1096" i="55"/>
  <c r="T1096" i="55"/>
  <c r="H1096" i="55"/>
  <c r="AD1406" i="1"/>
  <c r="AB1423" i="1"/>
  <c r="AD1423" i="1" s="1"/>
  <c r="AB1394" i="1"/>
  <c r="AD1394" i="1" s="1"/>
  <c r="AD1377" i="1"/>
  <c r="X1452" i="1"/>
  <c r="AB1450" i="1"/>
  <c r="AD1450" i="1" s="1"/>
  <c r="F587" i="25"/>
  <c r="D622" i="25"/>
  <c r="P1465" i="1"/>
  <c r="R1448" i="1"/>
  <c r="R3115" i="27"/>
  <c r="P3129" i="27"/>
  <c r="R3129" i="27" s="1"/>
  <c r="J561" i="1"/>
  <c r="W562" i="1"/>
  <c r="AC562" i="1" s="1"/>
  <c r="AJ562" i="1" s="1"/>
  <c r="AJ1202" i="1"/>
  <c r="AC1203" i="1"/>
  <c r="V3573" i="1"/>
  <c r="X3557" i="1"/>
  <c r="K3644" i="1"/>
  <c r="P3468" i="1"/>
  <c r="R3468" i="1" s="1"/>
  <c r="P633" i="27"/>
  <c r="R633" i="27" s="1"/>
  <c r="P590" i="27"/>
  <c r="R590" i="27" s="1"/>
  <c r="P576" i="27"/>
  <c r="R576" i="27" s="1"/>
  <c r="R26" i="11"/>
  <c r="R30" i="11" s="1"/>
  <c r="P59" i="11"/>
  <c r="R59" i="11" s="1"/>
  <c r="R64" i="11" s="1"/>
  <c r="D85" i="25"/>
  <c r="F84" i="25"/>
  <c r="V3587" i="1"/>
  <c r="X3572" i="1"/>
  <c r="K90" i="27"/>
  <c r="P586" i="27"/>
  <c r="R586" i="27" s="1"/>
  <c r="R595" i="27" s="1"/>
  <c r="I2613" i="27"/>
  <c r="K89" i="27"/>
  <c r="P573" i="27"/>
  <c r="R573" i="27" s="1"/>
  <c r="R581" i="27" s="1"/>
  <c r="R1447" i="1"/>
  <c r="P1464" i="1"/>
  <c r="D586" i="25"/>
  <c r="F549" i="25"/>
  <c r="I3961" i="1"/>
  <c r="K3945" i="1"/>
  <c r="K122" i="11"/>
  <c r="I1083" i="11"/>
  <c r="K1083" i="11" s="1"/>
  <c r="W487" i="1"/>
  <c r="AC487" i="1" s="1"/>
  <c r="J663" i="1"/>
  <c r="K3752" i="1"/>
  <c r="K3753" i="1" s="1"/>
  <c r="K2952" i="27"/>
  <c r="I2973" i="27"/>
  <c r="K2973" i="27" s="1"/>
  <c r="K2977" i="27" s="1"/>
  <c r="C870" i="76" s="1"/>
  <c r="I3905" i="27"/>
  <c r="AD1376" i="1"/>
  <c r="AB1393" i="1"/>
  <c r="AD1393" i="1" s="1"/>
  <c r="P2857" i="27"/>
  <c r="K2853" i="27"/>
  <c r="K2859" i="27" s="1"/>
  <c r="L2861" i="27" s="1"/>
  <c r="I3004" i="27"/>
  <c r="K3004" i="27" s="1"/>
  <c r="K3010" i="27" s="1"/>
  <c r="I2916" i="27"/>
  <c r="P1540" i="1"/>
  <c r="R1540" i="1" s="1"/>
  <c r="K3995" i="1"/>
  <c r="AS67" i="1"/>
  <c r="AQ91" i="1"/>
  <c r="X1404" i="1"/>
  <c r="AB1402" i="1"/>
  <c r="I3990" i="1"/>
  <c r="K3990" i="1" s="1"/>
  <c r="K3989" i="1"/>
  <c r="K594" i="11"/>
  <c r="I615" i="11"/>
  <c r="AB1409" i="1"/>
  <c r="X1411" i="1"/>
  <c r="I1309" i="27"/>
  <c r="K1309" i="27" s="1"/>
  <c r="I1287" i="27"/>
  <c r="K1287" i="27" s="1"/>
  <c r="L181" i="11"/>
  <c r="L182" i="11" s="1"/>
  <c r="K187" i="11"/>
  <c r="K191" i="11" s="1"/>
  <c r="K192" i="11" s="1"/>
  <c r="K180" i="11"/>
  <c r="M180" i="11"/>
  <c r="K842" i="11"/>
  <c r="K816" i="11"/>
  <c r="K785" i="11"/>
  <c r="K462" i="11"/>
  <c r="C436" i="76" s="1"/>
  <c r="L463" i="11"/>
  <c r="H395" i="55"/>
  <c r="L395" i="55"/>
  <c r="F395" i="55"/>
  <c r="J395" i="55"/>
  <c r="K2508" i="1"/>
  <c r="K2512" i="1" s="1"/>
  <c r="K2515" i="1" s="1"/>
  <c r="P2515" i="1"/>
  <c r="R2515" i="1" s="1"/>
  <c r="R2519" i="1" s="1"/>
  <c r="R2521" i="1" s="1"/>
  <c r="AD1351" i="1"/>
  <c r="AB1368" i="1"/>
  <c r="J740" i="55"/>
  <c r="F394" i="55"/>
  <c r="J15" i="55"/>
  <c r="K268" i="11"/>
  <c r="P241" i="11"/>
  <c r="R241" i="11" s="1"/>
  <c r="P816" i="11"/>
  <c r="R816" i="11" s="1"/>
  <c r="R820" i="11" s="1"/>
  <c r="R821" i="11" s="1"/>
  <c r="P812" i="11" s="1"/>
  <c r="R812" i="11" s="1"/>
  <c r="R814" i="11" s="1"/>
  <c r="C913" i="76" s="1"/>
  <c r="R791" i="11"/>
  <c r="R795" i="11" s="1"/>
  <c r="R796" i="11" s="1"/>
  <c r="L930" i="11"/>
  <c r="K2291" i="1"/>
  <c r="I3018" i="1" s="1"/>
  <c r="K3018" i="1" s="1"/>
  <c r="F685" i="55"/>
  <c r="L685" i="55"/>
  <c r="J685" i="55"/>
  <c r="H685" i="55"/>
  <c r="L1010" i="55"/>
  <c r="F1010" i="55"/>
  <c r="C840" i="55"/>
  <c r="T840" i="55" s="1"/>
  <c r="J1010" i="55"/>
  <c r="H1010" i="55"/>
  <c r="K28" i="11"/>
  <c r="V3164" i="1"/>
  <c r="X3139" i="1"/>
  <c r="L740" i="55"/>
  <c r="H394" i="55"/>
  <c r="K856" i="11"/>
  <c r="K857" i="11" s="1"/>
  <c r="K860" i="11" s="1"/>
  <c r="K863" i="11" s="1"/>
  <c r="L15" i="55"/>
  <c r="H15" i="55"/>
  <c r="F431" i="55"/>
  <c r="C70" i="1"/>
  <c r="I1303" i="1" s="1"/>
  <c r="K1303" i="1" s="1"/>
  <c r="K247" i="1"/>
  <c r="K249" i="1" s="1"/>
  <c r="K2280" i="1"/>
  <c r="L912" i="11"/>
  <c r="M912" i="11"/>
  <c r="H443" i="55"/>
  <c r="L443" i="55"/>
  <c r="K2548" i="1"/>
  <c r="C833" i="55"/>
  <c r="T833" i="55" s="1"/>
  <c r="G830" i="64"/>
  <c r="G844" i="64" s="1"/>
  <c r="G845" i="64" s="1"/>
  <c r="G846" i="64" s="1"/>
  <c r="G850" i="64" s="1"/>
  <c r="G851" i="64" s="1"/>
  <c r="E885" i="64"/>
  <c r="G885" i="64" s="1"/>
  <c r="G899" i="64" s="1"/>
  <c r="G900" i="64" s="1"/>
  <c r="G901" i="64" s="1"/>
  <c r="G905" i="64" s="1"/>
  <c r="G906" i="64" s="1"/>
  <c r="H740" i="55"/>
  <c r="L394" i="55"/>
  <c r="J394" i="55"/>
  <c r="L734" i="11"/>
  <c r="K735" i="11"/>
  <c r="M736" i="11"/>
  <c r="P2574" i="1"/>
  <c r="R2574" i="1" s="1"/>
  <c r="R2578" i="1" s="1"/>
  <c r="R2580" i="1" s="1"/>
  <c r="I2608" i="1"/>
  <c r="K2573" i="1"/>
  <c r="K2577" i="1" s="1"/>
  <c r="K2580" i="1" s="1"/>
  <c r="C829" i="76" s="1"/>
  <c r="K210" i="11"/>
  <c r="K212" i="11" s="1"/>
  <c r="K131" i="11"/>
  <c r="K592" i="11"/>
  <c r="I614" i="11"/>
  <c r="L41" i="55"/>
  <c r="P414" i="1"/>
  <c r="R414" i="1" s="1"/>
  <c r="R416" i="1" s="1"/>
  <c r="R418" i="1" s="1"/>
  <c r="C350" i="55"/>
  <c r="T350" i="55" s="1"/>
  <c r="F99" i="25"/>
  <c r="D120" i="25"/>
  <c r="R1894" i="1"/>
  <c r="V1413" i="1"/>
  <c r="X1397" i="1"/>
  <c r="R1469" i="1"/>
  <c r="P1500" i="1"/>
  <c r="V1430" i="1"/>
  <c r="X1430" i="1" s="1"/>
  <c r="P1477" i="1"/>
  <c r="X2781" i="1"/>
  <c r="V2782" i="1"/>
  <c r="X2782" i="1" s="1"/>
  <c r="I3146" i="1"/>
  <c r="I2633" i="1"/>
  <c r="I2813" i="1"/>
  <c r="C88" i="1"/>
  <c r="I3318" i="1"/>
  <c r="K3318" i="1" s="1"/>
  <c r="P3188" i="1"/>
  <c r="I2662" i="1"/>
  <c r="R943" i="1"/>
  <c r="P944" i="1"/>
  <c r="R944" i="1" s="1"/>
  <c r="AC27" i="1"/>
  <c r="Z28" i="1"/>
  <c r="AC28" i="1" s="1"/>
  <c r="K2252" i="1"/>
  <c r="P1047" i="1"/>
  <c r="R1047" i="1" s="1"/>
  <c r="R1046" i="1"/>
  <c r="P1244" i="1"/>
  <c r="R1244" i="1" s="1"/>
  <c r="R1267" i="1"/>
  <c r="V1247" i="1"/>
  <c r="P1383" i="1"/>
  <c r="R1383" i="1" s="1"/>
  <c r="V1301" i="1"/>
  <c r="P1237" i="1"/>
  <c r="R1237" i="1" s="1"/>
  <c r="V1240" i="1"/>
  <c r="R1260" i="1"/>
  <c r="P1266" i="1"/>
  <c r="R1224" i="1"/>
  <c r="T1224" i="1" s="1"/>
  <c r="X3659" i="1"/>
  <c r="X3667" i="1" s="1"/>
  <c r="X3668" i="1" s="1"/>
  <c r="V3689" i="1"/>
  <c r="AE3660" i="1"/>
  <c r="AG3660" i="1" s="1"/>
  <c r="AG3661" i="1" s="1"/>
  <c r="AG3662" i="1" s="1"/>
  <c r="K3174" i="1"/>
  <c r="K3175" i="1" s="1"/>
  <c r="V3586" i="1"/>
  <c r="X3571" i="1"/>
  <c r="I3268" i="1"/>
  <c r="K3268" i="1" s="1"/>
  <c r="L3234" i="1" s="1"/>
  <c r="K3183" i="1"/>
  <c r="I3254" i="1"/>
  <c r="K3254" i="1" s="1"/>
  <c r="V3721" i="1"/>
  <c r="X3721" i="1" s="1"/>
  <c r="X3723" i="1" s="1"/>
  <c r="X3724" i="1" s="1"/>
  <c r="X3707" i="1"/>
  <c r="X3709" i="1" s="1"/>
  <c r="X3710" i="1" s="1"/>
  <c r="R1223" i="1"/>
  <c r="T1223" i="1" s="1"/>
  <c r="P1265" i="1"/>
  <c r="D122" i="25"/>
  <c r="F101" i="25"/>
  <c r="K3184" i="1"/>
  <c r="I3255" i="1"/>
  <c r="K3255" i="1" s="1"/>
  <c r="I3269" i="1"/>
  <c r="K3269" i="1" s="1"/>
  <c r="L3235" i="1" s="1"/>
  <c r="F65" i="25"/>
  <c r="F68" i="25" s="1"/>
  <c r="F69" i="25" s="1"/>
  <c r="C719" i="55"/>
  <c r="S1326" i="1"/>
  <c r="I3211" i="1"/>
  <c r="I3242" i="1"/>
  <c r="K3197" i="1"/>
  <c r="K3200" i="1" s="1"/>
  <c r="K3202" i="1" s="1"/>
  <c r="AS92" i="1"/>
  <c r="AQ112" i="1"/>
  <c r="AB1247" i="1"/>
  <c r="X1242" i="1"/>
  <c r="V1241" i="1"/>
  <c r="R1261" i="1"/>
  <c r="P1238" i="1"/>
  <c r="R1238" i="1" s="1"/>
  <c r="I1752" i="1"/>
  <c r="K1752" i="1" s="1"/>
  <c r="I184" i="1"/>
  <c r="K184" i="1" s="1"/>
  <c r="K189" i="1" s="1"/>
  <c r="I154" i="1"/>
  <c r="K154" i="1" s="1"/>
  <c r="V3563" i="1"/>
  <c r="V3579" i="1" s="1"/>
  <c r="V3527" i="1"/>
  <c r="F28" i="50"/>
  <c r="X86" i="1"/>
  <c r="X88" i="1" s="1"/>
  <c r="K1328" i="1"/>
  <c r="K1330" i="1" s="1"/>
  <c r="Z17" i="1"/>
  <c r="AC17" i="1" s="1"/>
  <c r="AC16" i="1"/>
  <c r="AC46" i="1"/>
  <c r="Z47" i="1"/>
  <c r="AC47" i="1" s="1"/>
  <c r="AD642" i="1"/>
  <c r="AF642" i="1" s="1"/>
  <c r="X642" i="1"/>
  <c r="I1644" i="1"/>
  <c r="K1644" i="1" s="1"/>
  <c r="C71" i="1"/>
  <c r="P1142" i="1" s="1"/>
  <c r="V801" i="1"/>
  <c r="K3779" i="27"/>
  <c r="K3781" i="27" s="1"/>
  <c r="K3774" i="27"/>
  <c r="R3774" i="27"/>
  <c r="R3779" i="27"/>
  <c r="R3781" i="27" s="1"/>
  <c r="F121" i="25"/>
  <c r="D148" i="25"/>
  <c r="J379" i="55"/>
  <c r="H379" i="55"/>
  <c r="L379" i="55"/>
  <c r="F379" i="55"/>
  <c r="F298" i="64"/>
  <c r="F301" i="64" s="1"/>
  <c r="G81" i="64"/>
  <c r="F81" i="64"/>
  <c r="I2381" i="27"/>
  <c r="I2392" i="27"/>
  <c r="I2393" i="27" s="1"/>
  <c r="J2378" i="27" s="1"/>
  <c r="H18" i="55"/>
  <c r="X1372" i="1"/>
  <c r="X1382" i="1" s="1"/>
  <c r="V1389" i="1"/>
  <c r="F1058" i="55"/>
  <c r="T1058" i="55"/>
  <c r="H1058" i="55"/>
  <c r="J1058" i="55"/>
  <c r="L1058" i="55"/>
  <c r="F358" i="55"/>
  <c r="L358" i="55"/>
  <c r="J358" i="55"/>
  <c r="H358" i="55"/>
  <c r="I3887" i="27"/>
  <c r="K3051" i="27"/>
  <c r="J311" i="55"/>
  <c r="H311" i="55"/>
  <c r="F311" i="55"/>
  <c r="L311" i="55"/>
  <c r="V553" i="1"/>
  <c r="X553" i="1" s="1"/>
  <c r="AB529" i="1"/>
  <c r="X529" i="1"/>
  <c r="K2384" i="1"/>
  <c r="I2398" i="1"/>
  <c r="K1393" i="1"/>
  <c r="K1646" i="1"/>
  <c r="I3641" i="1"/>
  <c r="P1334" i="1"/>
  <c r="K1305" i="1"/>
  <c r="K583" i="1"/>
  <c r="K587" i="1" s="1"/>
  <c r="K589" i="1" s="1"/>
  <c r="I590" i="1" s="1"/>
  <c r="K590" i="1" s="1"/>
  <c r="V583" i="1"/>
  <c r="X583" i="1" s="1"/>
  <c r="X587" i="1" s="1"/>
  <c r="X589" i="1" s="1"/>
  <c r="X590" i="1" s="1"/>
  <c r="C650" i="76" s="1"/>
  <c r="P3463" i="1"/>
  <c r="R3463" i="1" s="1"/>
  <c r="K3457" i="1"/>
  <c r="I3824" i="1"/>
  <c r="K3824" i="1" s="1"/>
  <c r="I3391" i="1"/>
  <c r="K3322" i="1"/>
  <c r="V1406" i="1"/>
  <c r="X1390" i="1"/>
  <c r="K2558" i="27"/>
  <c r="K2566" i="27" s="1"/>
  <c r="K2568" i="27" s="1"/>
  <c r="I2589" i="27"/>
  <c r="K2589" i="27" s="1"/>
  <c r="K2597" i="27" s="1"/>
  <c r="K2599" i="27" s="1"/>
  <c r="X3120" i="1"/>
  <c r="I4070" i="1"/>
  <c r="K4070" i="1" s="1"/>
  <c r="V3137" i="1"/>
  <c r="I3629" i="1"/>
  <c r="K3629" i="1" s="1"/>
  <c r="K3608" i="1"/>
  <c r="C1041" i="55"/>
  <c r="C611" i="55"/>
  <c r="T611" i="55" s="1"/>
  <c r="C877" i="55"/>
  <c r="C878" i="1"/>
  <c r="L1060" i="55"/>
  <c r="J1060" i="55"/>
  <c r="H1060" i="55"/>
  <c r="T1060" i="55"/>
  <c r="F1060" i="55"/>
  <c r="L593" i="55"/>
  <c r="H593" i="55"/>
  <c r="F593" i="55"/>
  <c r="J593" i="55"/>
  <c r="K3424" i="27"/>
  <c r="I3446" i="27"/>
  <c r="K1129" i="1"/>
  <c r="X1410" i="1"/>
  <c r="AB1408" i="1"/>
  <c r="AB1390" i="1"/>
  <c r="AD1390" i="1" s="1"/>
  <c r="AD1373" i="1"/>
  <c r="F1063" i="55"/>
  <c r="J1063" i="55"/>
  <c r="T1063" i="55"/>
  <c r="H1063" i="55"/>
  <c r="L1063" i="55"/>
  <c r="K669" i="11"/>
  <c r="L669" i="11"/>
  <c r="J357" i="55"/>
  <c r="F357" i="55"/>
  <c r="H357" i="55"/>
  <c r="L357" i="55"/>
  <c r="H682" i="55"/>
  <c r="L682" i="55"/>
  <c r="J682" i="55"/>
  <c r="F682" i="55"/>
  <c r="K3172" i="27"/>
  <c r="K3173" i="27" s="1"/>
  <c r="L3173" i="27" s="1"/>
  <c r="K3153" i="27"/>
  <c r="K3154" i="27" s="1"/>
  <c r="K3183" i="27"/>
  <c r="K3184" i="27" s="1"/>
  <c r="L3184" i="27" s="1"/>
  <c r="F312" i="55"/>
  <c r="L312" i="55"/>
  <c r="J312" i="55"/>
  <c r="H312" i="55"/>
  <c r="F923" i="55"/>
  <c r="H923" i="55"/>
  <c r="J923" i="55"/>
  <c r="L923" i="55"/>
  <c r="I3906" i="27"/>
  <c r="K2953" i="27"/>
  <c r="AB1370" i="1"/>
  <c r="AD1353" i="1"/>
  <c r="AD1363" i="1" s="1"/>
  <c r="K337" i="1"/>
  <c r="V337" i="1"/>
  <c r="V381" i="1"/>
  <c r="K381" i="1"/>
  <c r="K865" i="1"/>
  <c r="P858" i="1"/>
  <c r="R858" i="1" s="1"/>
  <c r="I3305" i="1"/>
  <c r="K3305" i="1" s="1"/>
  <c r="I3926" i="1"/>
  <c r="V865" i="1"/>
  <c r="X865" i="1" s="1"/>
  <c r="V395" i="1"/>
  <c r="K395" i="1"/>
  <c r="P2008" i="1"/>
  <c r="K2007" i="1"/>
  <c r="K2015" i="1" s="1"/>
  <c r="AB478" i="1"/>
  <c r="AD478" i="1" s="1"/>
  <c r="X478" i="1"/>
  <c r="K1945" i="1"/>
  <c r="K1948" i="1" s="1"/>
  <c r="I3566" i="1"/>
  <c r="L271" i="55"/>
  <c r="H271" i="55"/>
  <c r="J271" i="55"/>
  <c r="F416" i="64"/>
  <c r="F420" i="64" s="1"/>
  <c r="D541" i="64"/>
  <c r="AD1375" i="1"/>
  <c r="AB1392" i="1"/>
  <c r="AD1392" i="1" s="1"/>
  <c r="P2981" i="1"/>
  <c r="R2981" i="1" s="1"/>
  <c r="R2986" i="1" s="1"/>
  <c r="R2988" i="1" s="1"/>
  <c r="K2974" i="1"/>
  <c r="K2979" i="1" s="1"/>
  <c r="K2981" i="1" s="1"/>
  <c r="I3059" i="1"/>
  <c r="I878" i="1"/>
  <c r="C669" i="55"/>
  <c r="T669" i="55" s="1"/>
  <c r="C360" i="55"/>
  <c r="T360" i="55" s="1"/>
  <c r="I3921" i="1"/>
  <c r="P2094" i="1"/>
  <c r="AU135" i="1"/>
  <c r="AV135" i="1" s="1"/>
  <c r="L591" i="55"/>
  <c r="J591" i="55"/>
  <c r="C595" i="55"/>
  <c r="H591" i="55"/>
  <c r="F591" i="55"/>
  <c r="C596" i="55"/>
  <c r="T596" i="55" s="1"/>
  <c r="I129" i="11"/>
  <c r="K109" i="11"/>
  <c r="K113" i="11" s="1"/>
  <c r="I227" i="11"/>
  <c r="X119" i="1"/>
  <c r="C564" i="55"/>
  <c r="T564" i="55" s="1"/>
  <c r="I816" i="27"/>
  <c r="K816" i="27" s="1"/>
  <c r="I834" i="27"/>
  <c r="K834" i="27" s="1"/>
  <c r="I851" i="27"/>
  <c r="K851" i="27" s="1"/>
  <c r="C1062" i="55"/>
  <c r="L402" i="11"/>
  <c r="K403" i="11"/>
  <c r="I2671" i="27"/>
  <c r="K2671" i="27" s="1"/>
  <c r="K2674" i="27" s="1"/>
  <c r="K2676" i="27" s="1"/>
  <c r="K2269" i="27"/>
  <c r="K2272" i="27" s="1"/>
  <c r="K2274" i="27" s="1"/>
  <c r="H713" i="55"/>
  <c r="F713" i="55"/>
  <c r="J713" i="55"/>
  <c r="L713" i="55"/>
  <c r="K2414" i="27"/>
  <c r="K2416" i="27" s="1"/>
  <c r="I2422" i="27" s="1"/>
  <c r="K2422" i="27" s="1"/>
  <c r="K2433" i="27" s="1"/>
  <c r="K2435" i="27" s="1"/>
  <c r="K2928" i="1"/>
  <c r="I2947" i="1"/>
  <c r="L393" i="55"/>
  <c r="F393" i="55"/>
  <c r="H393" i="55"/>
  <c r="J393" i="55"/>
  <c r="K3194" i="27"/>
  <c r="K3195" i="27" s="1"/>
  <c r="L3195" i="27" s="1"/>
  <c r="K3209" i="27"/>
  <c r="K3210" i="27" s="1"/>
  <c r="L3210" i="27" s="1"/>
  <c r="K3220" i="27"/>
  <c r="K3221" i="27" s="1"/>
  <c r="R1428" i="1"/>
  <c r="R1438" i="1" s="1"/>
  <c r="P1444" i="1"/>
  <c r="F683" i="64"/>
  <c r="F686" i="64" s="1"/>
  <c r="T1093" i="55"/>
  <c r="L1093" i="55"/>
  <c r="J1093" i="55"/>
  <c r="F1093" i="55"/>
  <c r="H1093" i="55"/>
  <c r="K1222" i="1"/>
  <c r="P1217" i="1"/>
  <c r="K2134" i="1"/>
  <c r="V313" i="1"/>
  <c r="K313" i="1"/>
  <c r="V883" i="1"/>
  <c r="K883" i="1"/>
  <c r="C672" i="55"/>
  <c r="C883" i="55"/>
  <c r="T883" i="55" s="1"/>
  <c r="V1280" i="1"/>
  <c r="X1280" i="1" s="1"/>
  <c r="K1251" i="1"/>
  <c r="H378" i="55"/>
  <c r="J378" i="55"/>
  <c r="F378" i="55"/>
  <c r="L378" i="55"/>
  <c r="I708" i="1"/>
  <c r="K708" i="1" s="1"/>
  <c r="C278" i="76" s="1"/>
  <c r="C277" i="55"/>
  <c r="T277" i="55" s="1"/>
  <c r="C1083" i="55"/>
  <c r="L942" i="11"/>
  <c r="I689" i="1"/>
  <c r="K689" i="1" s="1"/>
  <c r="C273" i="76" s="1"/>
  <c r="C272" i="55"/>
  <c r="T272" i="55" s="1"/>
  <c r="V3558" i="1"/>
  <c r="V3522" i="1"/>
  <c r="X3522" i="1" s="1"/>
  <c r="X3542" i="1"/>
  <c r="AU166" i="1"/>
  <c r="AV166" i="1" s="1"/>
  <c r="C590" i="55"/>
  <c r="I2386" i="1"/>
  <c r="F360" i="64"/>
  <c r="F361" i="64" s="1"/>
  <c r="F364" i="64" s="1"/>
  <c r="C565" i="55"/>
  <c r="T565" i="55" s="1"/>
  <c r="X134" i="1"/>
  <c r="M2076" i="1"/>
  <c r="R2076" i="1" s="1"/>
  <c r="F1061" i="55"/>
  <c r="L1061" i="55"/>
  <c r="J1061" i="55"/>
  <c r="H1061" i="55"/>
  <c r="T1061" i="55"/>
  <c r="K2364" i="27"/>
  <c r="I2365" i="27" s="1"/>
  <c r="I2367" i="27" s="1"/>
  <c r="K2367" i="27" s="1"/>
  <c r="K2376" i="27" s="1"/>
  <c r="K2444" i="27"/>
  <c r="K2446" i="27" s="1"/>
  <c r="R404" i="27"/>
  <c r="R406" i="27" s="1"/>
  <c r="P413" i="27" s="1"/>
  <c r="R413" i="27" s="1"/>
  <c r="R415" i="27" s="1"/>
  <c r="R417" i="27" s="1"/>
  <c r="J668" i="55"/>
  <c r="H668" i="55"/>
  <c r="L668" i="55"/>
  <c r="F668" i="55"/>
  <c r="L1059" i="55"/>
  <c r="H1059" i="55"/>
  <c r="F1059" i="55"/>
  <c r="J1059" i="55"/>
  <c r="T1059" i="55"/>
  <c r="C19" i="55"/>
  <c r="T19" i="55" s="1"/>
  <c r="K120" i="1"/>
  <c r="C20" i="76" s="1"/>
  <c r="I584" i="27"/>
  <c r="K584" i="27"/>
  <c r="AR48" i="64"/>
  <c r="AR49" i="64" s="1"/>
  <c r="AR52" i="64" s="1"/>
  <c r="AR53" i="64" s="1"/>
  <c r="P1614" i="1"/>
  <c r="R1614" i="1" s="1"/>
  <c r="R1619" i="1" s="1"/>
  <c r="R1621" i="1" s="1"/>
  <c r="K1613" i="1"/>
  <c r="K1618" i="1" s="1"/>
  <c r="K1620" i="1" s="1"/>
  <c r="C362" i="55"/>
  <c r="T362" i="55" s="1"/>
  <c r="C670" i="55"/>
  <c r="T670" i="55" s="1"/>
  <c r="P1861" i="1"/>
  <c r="K1845" i="1"/>
  <c r="K1852" i="1" s="1"/>
  <c r="K1854" i="1" s="1"/>
  <c r="I1888" i="1" s="1"/>
  <c r="K2150" i="1"/>
  <c r="P2157" i="1"/>
  <c r="R2157" i="1" s="1"/>
  <c r="P2026" i="1"/>
  <c r="R2026" i="1" s="1"/>
  <c r="R2037" i="1" s="1"/>
  <c r="C863" i="76" s="1"/>
  <c r="K2026" i="1"/>
  <c r="K2034" i="1" s="1"/>
  <c r="V357" i="1"/>
  <c r="K357" i="1"/>
  <c r="I612" i="1"/>
  <c r="K612" i="1"/>
  <c r="AB1265" i="1"/>
  <c r="AD1265" i="1" s="1"/>
  <c r="I1286" i="1"/>
  <c r="K1286" i="1" s="1"/>
  <c r="K1272" i="1"/>
  <c r="J706" i="55"/>
  <c r="H706" i="55"/>
  <c r="L706" i="55"/>
  <c r="J276" i="55"/>
  <c r="H276" i="55"/>
  <c r="L276" i="55"/>
  <c r="K536" i="11"/>
  <c r="I531" i="11" s="1"/>
  <c r="K531" i="11" s="1"/>
  <c r="K534" i="11" s="1"/>
  <c r="L534" i="11" s="1"/>
  <c r="I570" i="11"/>
  <c r="D603" i="64"/>
  <c r="F603" i="64" s="1"/>
  <c r="F540" i="64"/>
  <c r="R1445" i="1"/>
  <c r="P1462" i="1"/>
  <c r="AE3558" i="1"/>
  <c r="AG3542" i="1"/>
  <c r="K731" i="27"/>
  <c r="K733" i="27" s="1"/>
  <c r="I740" i="27"/>
  <c r="K740" i="27" s="1"/>
  <c r="K755" i="27" s="1"/>
  <c r="K757" i="27" s="1"/>
  <c r="I2938" i="1"/>
  <c r="K2938" i="1" s="1"/>
  <c r="I2929" i="1"/>
  <c r="C592" i="55"/>
  <c r="X89" i="1"/>
  <c r="K707" i="11"/>
  <c r="L708" i="11"/>
  <c r="L192" i="11"/>
  <c r="K3427" i="27"/>
  <c r="K3428" i="27" s="1"/>
  <c r="K3417" i="27" s="1"/>
  <c r="L3417" i="27" s="1"/>
  <c r="R3075" i="27"/>
  <c r="K634" i="11"/>
  <c r="L547" i="11"/>
  <c r="K3617" i="27"/>
  <c r="K3648" i="27"/>
  <c r="K3674" i="27"/>
  <c r="I3908" i="27"/>
  <c r="I2985" i="27"/>
  <c r="K2985" i="27" s="1"/>
  <c r="I2958" i="27"/>
  <c r="K2958" i="27" s="1"/>
  <c r="K2955" i="27"/>
  <c r="I3907" i="27"/>
  <c r="K2954" i="27"/>
  <c r="I3747" i="27"/>
  <c r="K3747" i="27" s="1"/>
  <c r="K3749" i="27" s="1"/>
  <c r="K3750" i="27" s="1"/>
  <c r="K3743" i="27" s="1"/>
  <c r="K3730" i="27"/>
  <c r="K3733" i="27" s="1"/>
  <c r="K3726" i="27" s="1"/>
  <c r="K3727" i="27" s="1"/>
  <c r="M3727" i="27" s="1"/>
  <c r="K624" i="11"/>
  <c r="K626" i="11" s="1"/>
  <c r="K2290" i="1" s="1"/>
  <c r="L516" i="11"/>
  <c r="K2879" i="27"/>
  <c r="K3836" i="27"/>
  <c r="K3815" i="27"/>
  <c r="L3815" i="27" s="1"/>
  <c r="K3689" i="27"/>
  <c r="K3692" i="27" s="1"/>
  <c r="K3695" i="27" s="1"/>
  <c r="L3690" i="27"/>
  <c r="L3398" i="27"/>
  <c r="L3502" i="27"/>
  <c r="K3501" i="27"/>
  <c r="I3888" i="27"/>
  <c r="K3052" i="27"/>
  <c r="C872" i="76" l="1"/>
  <c r="K2988" i="27"/>
  <c r="P863" i="76"/>
  <c r="H863" i="76"/>
  <c r="L863" i="76"/>
  <c r="J863" i="76"/>
  <c r="V863" i="76"/>
  <c r="F863" i="76"/>
  <c r="R863" i="76"/>
  <c r="N863" i="76"/>
  <c r="T863" i="76"/>
  <c r="L20" i="76"/>
  <c r="P20" i="76"/>
  <c r="N20" i="76"/>
  <c r="V20" i="76"/>
  <c r="H20" i="76"/>
  <c r="J20" i="76"/>
  <c r="F20" i="76"/>
  <c r="T20" i="76"/>
  <c r="R20" i="76"/>
  <c r="C1042" i="55"/>
  <c r="C1036" i="76"/>
  <c r="C390" i="55"/>
  <c r="T390" i="55" s="1"/>
  <c r="C389" i="76"/>
  <c r="X90" i="1"/>
  <c r="X91" i="1" s="1"/>
  <c r="C563" i="76"/>
  <c r="P829" i="76"/>
  <c r="L829" i="76"/>
  <c r="R829" i="76"/>
  <c r="H829" i="76"/>
  <c r="J829" i="76"/>
  <c r="N829" i="76"/>
  <c r="V829" i="76"/>
  <c r="F829" i="76"/>
  <c r="T829" i="76"/>
  <c r="C558" i="55"/>
  <c r="C558" i="76"/>
  <c r="P12" i="76"/>
  <c r="F12" i="76"/>
  <c r="T12" i="76"/>
  <c r="H12" i="76"/>
  <c r="J12" i="76"/>
  <c r="V12" i="76"/>
  <c r="N12" i="76"/>
  <c r="R12" i="76"/>
  <c r="T847" i="55"/>
  <c r="F847" i="55"/>
  <c r="L41" i="76"/>
  <c r="P41" i="76"/>
  <c r="N41" i="76"/>
  <c r="J41" i="76"/>
  <c r="H41" i="76"/>
  <c r="V41" i="76"/>
  <c r="R41" i="76"/>
  <c r="F41" i="76"/>
  <c r="T41" i="76"/>
  <c r="P593" i="76"/>
  <c r="H593" i="76"/>
  <c r="L593" i="76"/>
  <c r="N593" i="76"/>
  <c r="F593" i="76"/>
  <c r="J593" i="76"/>
  <c r="V593" i="76"/>
  <c r="R593" i="76"/>
  <c r="T593" i="76"/>
  <c r="P702" i="76"/>
  <c r="L702" i="76"/>
  <c r="N702" i="76"/>
  <c r="J702" i="76"/>
  <c r="F702" i="76"/>
  <c r="H702" i="76"/>
  <c r="V702" i="76"/>
  <c r="T702" i="76"/>
  <c r="R702" i="76"/>
  <c r="L19" i="76"/>
  <c r="P19" i="76"/>
  <c r="H19" i="76"/>
  <c r="V19" i="76"/>
  <c r="N19" i="76"/>
  <c r="J19" i="76"/>
  <c r="F19" i="76"/>
  <c r="T19" i="76"/>
  <c r="R19" i="76"/>
  <c r="P361" i="76"/>
  <c r="H361" i="76"/>
  <c r="L361" i="76"/>
  <c r="J361" i="76"/>
  <c r="F361" i="76"/>
  <c r="N361" i="76"/>
  <c r="V361" i="76"/>
  <c r="R361" i="76"/>
  <c r="T361" i="76"/>
  <c r="L306" i="76"/>
  <c r="P306" i="76"/>
  <c r="J306" i="76"/>
  <c r="N306" i="76"/>
  <c r="H306" i="76"/>
  <c r="V306" i="76"/>
  <c r="R306" i="76"/>
  <c r="F306" i="76"/>
  <c r="T306" i="76"/>
  <c r="L735" i="76"/>
  <c r="P735" i="76"/>
  <c r="J735" i="76"/>
  <c r="H735" i="76"/>
  <c r="T735" i="76"/>
  <c r="N735" i="76"/>
  <c r="F735" i="76"/>
  <c r="V735" i="76"/>
  <c r="R735" i="76"/>
  <c r="P671" i="76"/>
  <c r="L671" i="76"/>
  <c r="N671" i="76"/>
  <c r="F671" i="76"/>
  <c r="H671" i="76"/>
  <c r="J671" i="76"/>
  <c r="V671" i="76"/>
  <c r="R671" i="76"/>
  <c r="T671" i="76"/>
  <c r="C380" i="55"/>
  <c r="T380" i="55" s="1"/>
  <c r="C379" i="76"/>
  <c r="C316" i="55"/>
  <c r="T316" i="55" s="1"/>
  <c r="C316" i="76"/>
  <c r="P650" i="76"/>
  <c r="L650" i="76"/>
  <c r="F650" i="76"/>
  <c r="N650" i="76"/>
  <c r="H650" i="76"/>
  <c r="J650" i="76"/>
  <c r="V650" i="76"/>
  <c r="R650" i="76"/>
  <c r="T650" i="76"/>
  <c r="C315" i="55"/>
  <c r="T315" i="55" s="1"/>
  <c r="C315" i="76"/>
  <c r="C42" i="55"/>
  <c r="T42" i="55" s="1"/>
  <c r="C42" i="76"/>
  <c r="C909" i="55"/>
  <c r="T909" i="55" s="1"/>
  <c r="C905" i="76"/>
  <c r="C838" i="55"/>
  <c r="T838" i="55" s="1"/>
  <c r="C833" i="76"/>
  <c r="D66" i="78"/>
  <c r="F66" i="78" s="1"/>
  <c r="C376" i="76"/>
  <c r="C878" i="76"/>
  <c r="P16" i="76"/>
  <c r="F16" i="76"/>
  <c r="J16" i="76"/>
  <c r="H16" i="76"/>
  <c r="T16" i="76"/>
  <c r="N16" i="76"/>
  <c r="R16" i="76"/>
  <c r="V16" i="76"/>
  <c r="L810" i="76"/>
  <c r="P810" i="76"/>
  <c r="R810" i="76"/>
  <c r="N810" i="76"/>
  <c r="J810" i="76"/>
  <c r="H810" i="76"/>
  <c r="F810" i="76"/>
  <c r="V810" i="76"/>
  <c r="T810" i="76"/>
  <c r="P556" i="76"/>
  <c r="L556" i="76"/>
  <c r="F556" i="76"/>
  <c r="N556" i="76"/>
  <c r="J556" i="76"/>
  <c r="V556" i="76"/>
  <c r="H556" i="76"/>
  <c r="R556" i="76"/>
  <c r="T556" i="76"/>
  <c r="P853" i="76"/>
  <c r="H853" i="76"/>
  <c r="L853" i="76"/>
  <c r="J853" i="76"/>
  <c r="N853" i="76"/>
  <c r="R853" i="76"/>
  <c r="V853" i="76"/>
  <c r="F853" i="76"/>
  <c r="T853" i="76"/>
  <c r="L843" i="76"/>
  <c r="P843" i="76"/>
  <c r="T843" i="76"/>
  <c r="H843" i="76"/>
  <c r="J843" i="76"/>
  <c r="N843" i="76"/>
  <c r="V843" i="76"/>
  <c r="F843" i="76"/>
  <c r="R843" i="76"/>
  <c r="AB1410" i="1"/>
  <c r="X1412" i="1"/>
  <c r="L582" i="76"/>
  <c r="P582" i="76"/>
  <c r="N582" i="76"/>
  <c r="J582" i="76"/>
  <c r="F582" i="76"/>
  <c r="H582" i="76"/>
  <c r="V582" i="76"/>
  <c r="T582" i="76"/>
  <c r="R582" i="76"/>
  <c r="L669" i="76"/>
  <c r="P669" i="76"/>
  <c r="J669" i="76"/>
  <c r="N669" i="76"/>
  <c r="H669" i="76"/>
  <c r="F669" i="76"/>
  <c r="V669" i="76"/>
  <c r="R669" i="76"/>
  <c r="T669" i="76"/>
  <c r="L636" i="76"/>
  <c r="P636" i="76"/>
  <c r="N636" i="76"/>
  <c r="J636" i="76"/>
  <c r="F636" i="76"/>
  <c r="H636" i="76"/>
  <c r="V636" i="76"/>
  <c r="R636" i="76"/>
  <c r="T636" i="76"/>
  <c r="P40" i="76"/>
  <c r="L40" i="76"/>
  <c r="N40" i="76"/>
  <c r="H40" i="76"/>
  <c r="J40" i="76"/>
  <c r="V40" i="76"/>
  <c r="R40" i="76"/>
  <c r="T40" i="76"/>
  <c r="F40" i="76"/>
  <c r="T594" i="76"/>
  <c r="H594" i="76"/>
  <c r="F594" i="76"/>
  <c r="L594" i="76"/>
  <c r="N594" i="76"/>
  <c r="R594" i="76"/>
  <c r="P594" i="76"/>
  <c r="J594" i="76"/>
  <c r="V594" i="76"/>
  <c r="P879" i="76"/>
  <c r="L879" i="76"/>
  <c r="H879" i="76"/>
  <c r="R879" i="76"/>
  <c r="J879" i="76"/>
  <c r="N879" i="76"/>
  <c r="V879" i="76"/>
  <c r="F879" i="76"/>
  <c r="T879" i="76"/>
  <c r="C318" i="55"/>
  <c r="T318" i="55" s="1"/>
  <c r="C318" i="76"/>
  <c r="C644" i="76"/>
  <c r="C252" i="76"/>
  <c r="C1100" i="55"/>
  <c r="C1094" i="76"/>
  <c r="C1099" i="55"/>
  <c r="C1093" i="76"/>
  <c r="C1012" i="55"/>
  <c r="P1012" i="55" s="1"/>
  <c r="C1006" i="76"/>
  <c r="C50" i="55"/>
  <c r="T50" i="55" s="1"/>
  <c r="C50" i="76"/>
  <c r="C1011" i="55"/>
  <c r="P1011" i="55" s="1"/>
  <c r="C1005" i="76"/>
  <c r="K3998" i="1"/>
  <c r="K3999" i="1" s="1"/>
  <c r="P7" i="76"/>
  <c r="F7" i="76"/>
  <c r="T7" i="76"/>
  <c r="R7" i="76"/>
  <c r="J7" i="76"/>
  <c r="H7" i="76"/>
  <c r="V7" i="76"/>
  <c r="N7" i="76"/>
  <c r="N897" i="55"/>
  <c r="N896" i="55"/>
  <c r="T16" i="55"/>
  <c r="R16" i="55"/>
  <c r="F16" i="55"/>
  <c r="L16" i="55"/>
  <c r="N16" i="55"/>
  <c r="J16" i="55"/>
  <c r="P16" i="55"/>
  <c r="H16" i="55"/>
  <c r="P1087" i="76"/>
  <c r="R1087" i="76"/>
  <c r="N1087" i="76"/>
  <c r="V1087" i="76"/>
  <c r="T1087" i="76"/>
  <c r="H1087" i="76"/>
  <c r="F1087" i="76"/>
  <c r="J1087" i="76"/>
  <c r="T815" i="55"/>
  <c r="F815" i="55"/>
  <c r="H815" i="55"/>
  <c r="J815" i="55"/>
  <c r="L611" i="76"/>
  <c r="P611" i="76"/>
  <c r="F611" i="76"/>
  <c r="J611" i="76"/>
  <c r="N611" i="76"/>
  <c r="H611" i="76"/>
  <c r="V611" i="76"/>
  <c r="T611" i="76"/>
  <c r="R611" i="76"/>
  <c r="P312" i="76"/>
  <c r="L312" i="76"/>
  <c r="J312" i="76"/>
  <c r="N312" i="76"/>
  <c r="V312" i="76"/>
  <c r="F312" i="76"/>
  <c r="H312" i="76"/>
  <c r="R312" i="76"/>
  <c r="T312" i="76"/>
  <c r="W593" i="1"/>
  <c r="R23" i="1"/>
  <c r="W594" i="1"/>
  <c r="W592" i="1"/>
  <c r="W591" i="1"/>
  <c r="T848" i="55"/>
  <c r="H848" i="55"/>
  <c r="P359" i="76"/>
  <c r="H359" i="76"/>
  <c r="L359" i="76"/>
  <c r="N359" i="76"/>
  <c r="J359" i="76"/>
  <c r="F359" i="76"/>
  <c r="V359" i="76"/>
  <c r="T359" i="76"/>
  <c r="R359" i="76"/>
  <c r="C835" i="76"/>
  <c r="P1004" i="76"/>
  <c r="R1004" i="76"/>
  <c r="J1004" i="76"/>
  <c r="T1004" i="76"/>
  <c r="H1004" i="76"/>
  <c r="F1004" i="76"/>
  <c r="N1004" i="76"/>
  <c r="P377" i="76"/>
  <c r="H377" i="76"/>
  <c r="L377" i="76"/>
  <c r="N377" i="76"/>
  <c r="J377" i="76"/>
  <c r="F377" i="76"/>
  <c r="V377" i="76"/>
  <c r="R377" i="76"/>
  <c r="T377" i="76"/>
  <c r="L311" i="76"/>
  <c r="P311" i="76"/>
  <c r="N311" i="76"/>
  <c r="J311" i="76"/>
  <c r="H311" i="76"/>
  <c r="V311" i="76"/>
  <c r="F311" i="76"/>
  <c r="R311" i="76"/>
  <c r="T311" i="76"/>
  <c r="C656" i="76"/>
  <c r="C258" i="76"/>
  <c r="C391" i="55"/>
  <c r="T391" i="55" s="1"/>
  <c r="C390" i="76"/>
  <c r="C361" i="55"/>
  <c r="T361" i="55" s="1"/>
  <c r="C360" i="76"/>
  <c r="P273" i="76"/>
  <c r="H273" i="76"/>
  <c r="L273" i="76"/>
  <c r="J273" i="76"/>
  <c r="N273" i="76"/>
  <c r="V273" i="76"/>
  <c r="F273" i="76"/>
  <c r="R273" i="76"/>
  <c r="T273" i="76"/>
  <c r="P278" i="76"/>
  <c r="L278" i="76"/>
  <c r="J278" i="76"/>
  <c r="N278" i="76"/>
  <c r="H278" i="76"/>
  <c r="V278" i="76"/>
  <c r="T278" i="76"/>
  <c r="F278" i="76"/>
  <c r="R278" i="76"/>
  <c r="C612" i="55"/>
  <c r="T612" i="55" s="1"/>
  <c r="C612" i="76"/>
  <c r="I1987" i="1"/>
  <c r="C337" i="76"/>
  <c r="D118" i="78"/>
  <c r="F118" i="78" s="1"/>
  <c r="C874" i="76"/>
  <c r="C1105" i="55"/>
  <c r="C1099" i="76"/>
  <c r="P873" i="76"/>
  <c r="H873" i="76"/>
  <c r="L873" i="76"/>
  <c r="R873" i="76"/>
  <c r="N873" i="76"/>
  <c r="J873" i="76"/>
  <c r="F873" i="76"/>
  <c r="V873" i="76"/>
  <c r="T873" i="76"/>
  <c r="P9" i="76"/>
  <c r="F9" i="76"/>
  <c r="V9" i="76"/>
  <c r="R9" i="76"/>
  <c r="H9" i="76"/>
  <c r="T9" i="76"/>
  <c r="N9" i="76"/>
  <c r="J9" i="76"/>
  <c r="L666" i="76"/>
  <c r="P666" i="76"/>
  <c r="F666" i="76"/>
  <c r="N666" i="76"/>
  <c r="H666" i="76"/>
  <c r="J666" i="76"/>
  <c r="V666" i="76"/>
  <c r="T666" i="76"/>
  <c r="R666" i="76"/>
  <c r="P842" i="76"/>
  <c r="L842" i="76"/>
  <c r="J842" i="76"/>
  <c r="T842" i="76"/>
  <c r="H842" i="76"/>
  <c r="V842" i="76"/>
  <c r="F842" i="76"/>
  <c r="N842" i="76"/>
  <c r="R842" i="76"/>
  <c r="P882" i="76"/>
  <c r="L882" i="76"/>
  <c r="R882" i="76"/>
  <c r="J882" i="76"/>
  <c r="H882" i="76"/>
  <c r="N882" i="76"/>
  <c r="V882" i="76"/>
  <c r="T882" i="76"/>
  <c r="F882" i="76"/>
  <c r="R1035" i="76"/>
  <c r="P1035" i="76"/>
  <c r="F1035" i="76"/>
  <c r="V1035" i="76"/>
  <c r="J1035" i="76"/>
  <c r="T1035" i="76"/>
  <c r="H1035" i="76"/>
  <c r="N1035" i="76"/>
  <c r="P453" i="76"/>
  <c r="H453" i="76"/>
  <c r="L453" i="76"/>
  <c r="J453" i="76"/>
  <c r="F453" i="76"/>
  <c r="N453" i="76"/>
  <c r="V453" i="76"/>
  <c r="T453" i="76"/>
  <c r="R453" i="76"/>
  <c r="L852" i="76"/>
  <c r="P852" i="76"/>
  <c r="T852" i="76"/>
  <c r="N852" i="76"/>
  <c r="J852" i="76"/>
  <c r="H852" i="76"/>
  <c r="V852" i="76"/>
  <c r="F852" i="76"/>
  <c r="R852" i="76"/>
  <c r="L378" i="76"/>
  <c r="P378" i="76"/>
  <c r="N378" i="76"/>
  <c r="J378" i="76"/>
  <c r="F378" i="76"/>
  <c r="V378" i="76"/>
  <c r="H378" i="76"/>
  <c r="T378" i="76"/>
  <c r="R378" i="76"/>
  <c r="P18" i="76"/>
  <c r="L18" i="76"/>
  <c r="N18" i="76"/>
  <c r="J18" i="76"/>
  <c r="H18" i="76"/>
  <c r="F18" i="76"/>
  <c r="V18" i="76"/>
  <c r="T18" i="76"/>
  <c r="R18" i="76"/>
  <c r="L668" i="76"/>
  <c r="P668" i="76"/>
  <c r="N668" i="76"/>
  <c r="J668" i="76"/>
  <c r="F668" i="76"/>
  <c r="H668" i="76"/>
  <c r="V668" i="76"/>
  <c r="T668" i="76"/>
  <c r="R668" i="76"/>
  <c r="P357" i="76"/>
  <c r="H357" i="76"/>
  <c r="L357" i="76"/>
  <c r="F357" i="76"/>
  <c r="N357" i="76"/>
  <c r="J357" i="76"/>
  <c r="V357" i="76"/>
  <c r="R357" i="76"/>
  <c r="T357" i="76"/>
  <c r="L348" i="76"/>
  <c r="P348" i="76"/>
  <c r="N348" i="76"/>
  <c r="J348" i="76"/>
  <c r="H348" i="76"/>
  <c r="V348" i="76"/>
  <c r="F348" i="76"/>
  <c r="T348" i="76"/>
  <c r="R348" i="76"/>
  <c r="L881" i="76"/>
  <c r="P881" i="76"/>
  <c r="T881" i="76"/>
  <c r="J881" i="76"/>
  <c r="N881" i="76"/>
  <c r="H881" i="76"/>
  <c r="V881" i="76"/>
  <c r="F881" i="76"/>
  <c r="R881" i="76"/>
  <c r="D698" i="25"/>
  <c r="F698" i="25" s="1"/>
  <c r="F662" i="25"/>
  <c r="J443" i="55"/>
  <c r="F443" i="55"/>
  <c r="H896" i="55"/>
  <c r="J896" i="55"/>
  <c r="F897" i="55"/>
  <c r="L897" i="55"/>
  <c r="N443" i="55"/>
  <c r="D97" i="78"/>
  <c r="F97" i="78" s="1"/>
  <c r="T590" i="55"/>
  <c r="D120" i="78"/>
  <c r="F120" i="78" s="1"/>
  <c r="T672" i="55"/>
  <c r="D102" i="78"/>
  <c r="F102" i="78" s="1"/>
  <c r="T595" i="55"/>
  <c r="D8" i="78"/>
  <c r="F8" i="78" s="1"/>
  <c r="T18" i="55"/>
  <c r="D80" i="78"/>
  <c r="F80" i="78" s="1"/>
  <c r="T443" i="55"/>
  <c r="D99" i="78"/>
  <c r="F99" i="78" s="1"/>
  <c r="T592" i="55"/>
  <c r="D114" i="78"/>
  <c r="F114" i="78" s="1"/>
  <c r="T877" i="55"/>
  <c r="D112" i="78"/>
  <c r="F112" i="78" s="1"/>
  <c r="T719" i="55"/>
  <c r="D84" i="78"/>
  <c r="F84" i="78" s="1"/>
  <c r="T558" i="55"/>
  <c r="P443" i="55"/>
  <c r="L872" i="76"/>
  <c r="T872" i="76"/>
  <c r="J872" i="76"/>
  <c r="R872" i="76"/>
  <c r="P872" i="76"/>
  <c r="N872" i="76"/>
  <c r="H872" i="76"/>
  <c r="V872" i="76"/>
  <c r="F872" i="76"/>
  <c r="C702" i="55"/>
  <c r="C698" i="76"/>
  <c r="L690" i="76"/>
  <c r="F690" i="76"/>
  <c r="J690" i="76"/>
  <c r="P690" i="76"/>
  <c r="N690" i="76"/>
  <c r="H690" i="76"/>
  <c r="V690" i="76"/>
  <c r="R690" i="76"/>
  <c r="T690" i="76"/>
  <c r="C688" i="76"/>
  <c r="C902" i="76"/>
  <c r="C433" i="55"/>
  <c r="P433" i="55" s="1"/>
  <c r="C432" i="76"/>
  <c r="P429" i="55"/>
  <c r="F429" i="55"/>
  <c r="J429" i="55"/>
  <c r="H429" i="55"/>
  <c r="R429" i="55"/>
  <c r="N429" i="55"/>
  <c r="L429" i="55"/>
  <c r="P425" i="55"/>
  <c r="N425" i="55"/>
  <c r="R425" i="55"/>
  <c r="F425" i="55"/>
  <c r="L425" i="55"/>
  <c r="J425" i="55"/>
  <c r="H425" i="55"/>
  <c r="R1057" i="76"/>
  <c r="H1057" i="76"/>
  <c r="T1057" i="76"/>
  <c r="N1057" i="76"/>
  <c r="P1057" i="76"/>
  <c r="F1057" i="76"/>
  <c r="J1057" i="76"/>
  <c r="V1057" i="76"/>
  <c r="C699" i="55"/>
  <c r="R699" i="55" s="1"/>
  <c r="C695" i="76"/>
  <c r="C723" i="55"/>
  <c r="T723" i="55" s="1"/>
  <c r="C719" i="76"/>
  <c r="C453" i="55"/>
  <c r="T453" i="55" s="1"/>
  <c r="C452" i="76"/>
  <c r="L913" i="76"/>
  <c r="J913" i="76"/>
  <c r="H913" i="76"/>
  <c r="V913" i="76"/>
  <c r="P913" i="76"/>
  <c r="R913" i="76"/>
  <c r="N913" i="76"/>
  <c r="F913" i="76"/>
  <c r="T913" i="76"/>
  <c r="L870" i="76"/>
  <c r="N870" i="76"/>
  <c r="H870" i="76"/>
  <c r="V870" i="76"/>
  <c r="F870" i="76"/>
  <c r="P870" i="76"/>
  <c r="T870" i="76"/>
  <c r="J870" i="76"/>
  <c r="R870" i="76"/>
  <c r="K2275" i="1"/>
  <c r="N431" i="55" s="1"/>
  <c r="C1056" i="76"/>
  <c r="L428" i="76"/>
  <c r="N428" i="76"/>
  <c r="H428" i="76"/>
  <c r="R428" i="76"/>
  <c r="T428" i="76"/>
  <c r="P428" i="76"/>
  <c r="F428" i="76"/>
  <c r="J428" i="76"/>
  <c r="V428" i="76"/>
  <c r="L442" i="76"/>
  <c r="F442" i="76"/>
  <c r="J442" i="76"/>
  <c r="V442" i="76"/>
  <c r="T442" i="76"/>
  <c r="R442" i="76"/>
  <c r="P442" i="76"/>
  <c r="N442" i="76"/>
  <c r="H442" i="76"/>
  <c r="L424" i="76"/>
  <c r="N424" i="76"/>
  <c r="H424" i="76"/>
  <c r="R424" i="76"/>
  <c r="T424" i="76"/>
  <c r="P424" i="76"/>
  <c r="F424" i="76"/>
  <c r="J424" i="76"/>
  <c r="V424" i="76"/>
  <c r="C432" i="55"/>
  <c r="T432" i="55" s="1"/>
  <c r="C431" i="76"/>
  <c r="L436" i="76"/>
  <c r="N436" i="76"/>
  <c r="H436" i="76"/>
  <c r="V436" i="76"/>
  <c r="T436" i="76"/>
  <c r="P436" i="76"/>
  <c r="F436" i="76"/>
  <c r="J436" i="76"/>
  <c r="R436" i="76"/>
  <c r="P699" i="55"/>
  <c r="P391" i="55"/>
  <c r="R391" i="55"/>
  <c r="P670" i="55"/>
  <c r="R670" i="55"/>
  <c r="P361" i="55"/>
  <c r="R361" i="55"/>
  <c r="P19" i="55"/>
  <c r="R19" i="55"/>
  <c r="P590" i="55"/>
  <c r="R590" i="55"/>
  <c r="P672" i="55"/>
  <c r="R672" i="55"/>
  <c r="P564" i="55"/>
  <c r="R564" i="55"/>
  <c r="R595" i="55"/>
  <c r="P360" i="55"/>
  <c r="R360" i="55"/>
  <c r="P612" i="55"/>
  <c r="R612" i="55"/>
  <c r="P380" i="55"/>
  <c r="R380" i="55"/>
  <c r="P316" i="55"/>
  <c r="R316" i="55"/>
  <c r="R723" i="55"/>
  <c r="P611" i="55"/>
  <c r="R611" i="55"/>
  <c r="P315" i="55"/>
  <c r="R315" i="55"/>
  <c r="P42" i="55"/>
  <c r="R42" i="55"/>
  <c r="P909" i="55"/>
  <c r="R909" i="55"/>
  <c r="P350" i="55"/>
  <c r="R350" i="55"/>
  <c r="P833" i="55"/>
  <c r="R833" i="55"/>
  <c r="R453" i="55"/>
  <c r="P840" i="55"/>
  <c r="R840" i="55"/>
  <c r="P838" i="55"/>
  <c r="R838" i="55"/>
  <c r="P878" i="55"/>
  <c r="R878" i="55"/>
  <c r="P377" i="55"/>
  <c r="R377" i="55"/>
  <c r="P558" i="55"/>
  <c r="R558" i="55"/>
  <c r="R18" i="55"/>
  <c r="P592" i="55"/>
  <c r="R592" i="55"/>
  <c r="P362" i="55"/>
  <c r="R362" i="55"/>
  <c r="P565" i="55"/>
  <c r="R565" i="55"/>
  <c r="P272" i="55"/>
  <c r="R272" i="55"/>
  <c r="P277" i="55"/>
  <c r="R277" i="55"/>
  <c r="P883" i="55"/>
  <c r="R883" i="55"/>
  <c r="P318" i="55"/>
  <c r="R318" i="55"/>
  <c r="R596" i="55"/>
  <c r="P669" i="55"/>
  <c r="R669" i="55"/>
  <c r="P390" i="55"/>
  <c r="R390" i="55"/>
  <c r="P877" i="55"/>
  <c r="R877" i="55"/>
  <c r="P719" i="55"/>
  <c r="R719" i="55"/>
  <c r="P50" i="55"/>
  <c r="R50" i="55"/>
  <c r="P702" i="55"/>
  <c r="R702" i="55"/>
  <c r="R433" i="55"/>
  <c r="P6" i="55"/>
  <c r="D5" i="78"/>
  <c r="F5" i="78" s="1"/>
  <c r="R6" i="55"/>
  <c r="P897" i="55"/>
  <c r="R897" i="55"/>
  <c r="P896" i="55"/>
  <c r="R896" i="55"/>
  <c r="P596" i="55"/>
  <c r="L18" i="55"/>
  <c r="P18" i="55"/>
  <c r="P595" i="55"/>
  <c r="C1080" i="55"/>
  <c r="N1080" i="55" s="1"/>
  <c r="C1074" i="76"/>
  <c r="P1074" i="76" s="1"/>
  <c r="C1051" i="55"/>
  <c r="N1051" i="55" s="1"/>
  <c r="C1045" i="76"/>
  <c r="P1045" i="76" s="1"/>
  <c r="C895" i="55"/>
  <c r="F895" i="55" s="1"/>
  <c r="C891" i="76"/>
  <c r="P891" i="76" s="1"/>
  <c r="C1052" i="55"/>
  <c r="N1052" i="55" s="1"/>
  <c r="C1046" i="76"/>
  <c r="P1046" i="76" s="1"/>
  <c r="L893" i="76"/>
  <c r="J893" i="76"/>
  <c r="H893" i="76"/>
  <c r="V893" i="76"/>
  <c r="R893" i="76"/>
  <c r="T893" i="76"/>
  <c r="N893" i="76"/>
  <c r="F893" i="76"/>
  <c r="L892" i="76"/>
  <c r="N892" i="76"/>
  <c r="H892" i="76"/>
  <c r="T892" i="76"/>
  <c r="J892" i="76"/>
  <c r="V892" i="76"/>
  <c r="F892" i="76"/>
  <c r="R892" i="76"/>
  <c r="L558" i="55"/>
  <c r="N883" i="55"/>
  <c r="D113" i="78"/>
  <c r="F113" i="78" s="1"/>
  <c r="N878" i="55"/>
  <c r="H558" i="55"/>
  <c r="L6" i="55"/>
  <c r="F19" i="55"/>
  <c r="F272" i="55"/>
  <c r="F277" i="55"/>
  <c r="N1042" i="55"/>
  <c r="N877" i="55"/>
  <c r="N1041" i="55"/>
  <c r="F42" i="55"/>
  <c r="H878" i="55"/>
  <c r="J558" i="55"/>
  <c r="J878" i="55"/>
  <c r="F6" i="55"/>
  <c r="N50" i="55"/>
  <c r="F50" i="55"/>
  <c r="N18" i="55"/>
  <c r="F18" i="55"/>
  <c r="N592" i="55"/>
  <c r="N391" i="55"/>
  <c r="N670" i="55"/>
  <c r="N361" i="55"/>
  <c r="N19" i="55"/>
  <c r="N565" i="55"/>
  <c r="N272" i="55"/>
  <c r="N277" i="55"/>
  <c r="N672" i="55"/>
  <c r="N1062" i="55"/>
  <c r="N596" i="55"/>
  <c r="N595" i="55"/>
  <c r="N360" i="55"/>
  <c r="N390" i="55"/>
  <c r="N723" i="55"/>
  <c r="N42" i="55"/>
  <c r="N1100" i="55"/>
  <c r="N719" i="55"/>
  <c r="N1099" i="55"/>
  <c r="N833" i="55"/>
  <c r="N840" i="55"/>
  <c r="N838" i="55"/>
  <c r="N362" i="55"/>
  <c r="N590" i="55"/>
  <c r="N1083" i="55"/>
  <c r="N318" i="55"/>
  <c r="N564" i="55"/>
  <c r="N669" i="55"/>
  <c r="N612" i="55"/>
  <c r="N380" i="55"/>
  <c r="N316" i="55"/>
  <c r="N611" i="55"/>
  <c r="N315" i="55"/>
  <c r="N909" i="55"/>
  <c r="N350" i="55"/>
  <c r="N1012" i="55"/>
  <c r="N453" i="55"/>
  <c r="N702" i="55"/>
  <c r="N1011" i="55"/>
  <c r="N558" i="55"/>
  <c r="N6" i="55"/>
  <c r="N1105" i="55"/>
  <c r="N377" i="55"/>
  <c r="L431" i="55"/>
  <c r="L2862" i="27"/>
  <c r="M89" i="11"/>
  <c r="K2860" i="27"/>
  <c r="C865" i="76" s="1"/>
  <c r="P865" i="76" s="1"/>
  <c r="K90" i="11"/>
  <c r="K595" i="11"/>
  <c r="K596" i="11" s="1"/>
  <c r="K585" i="11" s="1"/>
  <c r="L585" i="11" s="1"/>
  <c r="M585" i="11" s="1"/>
  <c r="N585" i="11" s="1"/>
  <c r="O585" i="11" s="1"/>
  <c r="H431" i="55"/>
  <c r="M462" i="11"/>
  <c r="J431" i="55"/>
  <c r="I3323" i="27"/>
  <c r="K3323" i="27" s="1"/>
  <c r="K3298" i="27"/>
  <c r="C882" i="55"/>
  <c r="T882" i="55" s="1"/>
  <c r="J1105" i="55"/>
  <c r="H1105" i="55"/>
  <c r="F1105" i="55"/>
  <c r="C7" i="55"/>
  <c r="T7" i="55" s="1"/>
  <c r="L89" i="1"/>
  <c r="M89" i="1" s="1"/>
  <c r="J18" i="55"/>
  <c r="I1767" i="1"/>
  <c r="K1767" i="1" s="1"/>
  <c r="K1775" i="1" s="1"/>
  <c r="P2344" i="1"/>
  <c r="R2344" i="1" s="1"/>
  <c r="C9" i="55"/>
  <c r="T9" i="55" s="1"/>
  <c r="K91" i="1"/>
  <c r="H6" i="55"/>
  <c r="J6" i="55"/>
  <c r="T6" i="55"/>
  <c r="F558" i="55"/>
  <c r="C12" i="55"/>
  <c r="T12" i="55" s="1"/>
  <c r="K102" i="1"/>
  <c r="K104" i="1"/>
  <c r="C26" i="76" s="1"/>
  <c r="L1105" i="55"/>
  <c r="T1105" i="55"/>
  <c r="I3963" i="1"/>
  <c r="K3947" i="1"/>
  <c r="K2386" i="1"/>
  <c r="K3592" i="1"/>
  <c r="I3593" i="1" s="1"/>
  <c r="K3593" i="1" s="1"/>
  <c r="I3594" i="1" s="1"/>
  <c r="H1051" i="55"/>
  <c r="T1051" i="55"/>
  <c r="K3907" i="27"/>
  <c r="R2008" i="1"/>
  <c r="R2018" i="1" s="1"/>
  <c r="K3886" i="27"/>
  <c r="K3892" i="27"/>
  <c r="AB3622" i="1"/>
  <c r="AD3622" i="1" s="1"/>
  <c r="X3622" i="1"/>
  <c r="K2266" i="1"/>
  <c r="C692" i="55"/>
  <c r="T692" i="55" s="1"/>
  <c r="L146" i="11"/>
  <c r="C906" i="55"/>
  <c r="T906" i="55" s="1"/>
  <c r="I3544" i="1"/>
  <c r="P3532" i="1"/>
  <c r="R3532" i="1" s="1"/>
  <c r="R3536" i="1" s="1"/>
  <c r="R3537" i="1" s="1"/>
  <c r="K3528" i="1"/>
  <c r="K3532" i="1" s="1"/>
  <c r="K3533" i="1" s="1"/>
  <c r="AC14" i="27"/>
  <c r="Z15" i="27"/>
  <c r="AC15" i="27" s="1"/>
  <c r="AE3562" i="1"/>
  <c r="AG3546" i="1"/>
  <c r="K3641" i="1"/>
  <c r="K3647" i="1" s="1"/>
  <c r="K3648" i="1" s="1"/>
  <c r="K3887" i="27"/>
  <c r="D597" i="64"/>
  <c r="F597" i="64" s="1"/>
  <c r="F535" i="64"/>
  <c r="K3904" i="27"/>
  <c r="K3885" i="27"/>
  <c r="I3895" i="27"/>
  <c r="V3562" i="1"/>
  <c r="V3526" i="1"/>
  <c r="X3526" i="1" s="1"/>
  <c r="X3546" i="1"/>
  <c r="H433" i="55"/>
  <c r="F433" i="55"/>
  <c r="K636" i="11"/>
  <c r="K3888" i="27"/>
  <c r="K3878" i="27"/>
  <c r="X1458" i="1"/>
  <c r="AB1456" i="1"/>
  <c r="AD1456" i="1" s="1"/>
  <c r="I3914" i="27"/>
  <c r="K2961" i="27"/>
  <c r="I4027" i="1"/>
  <c r="I41" i="25"/>
  <c r="K4012" i="1"/>
  <c r="K4014" i="1" s="1"/>
  <c r="K4015" i="1" s="1"/>
  <c r="K3906" i="27"/>
  <c r="K3905" i="27"/>
  <c r="K3421" i="27"/>
  <c r="I3416" i="27" s="1"/>
  <c r="K3416" i="27" s="1"/>
  <c r="L3416" i="27" s="1"/>
  <c r="I3443" i="27"/>
  <c r="K2607" i="1"/>
  <c r="H3852" i="1"/>
  <c r="X1409" i="1"/>
  <c r="AB1407" i="1"/>
  <c r="I3931" i="27"/>
  <c r="I3075" i="27"/>
  <c r="K3072" i="27"/>
  <c r="K3278" i="27"/>
  <c r="K3281" i="27" s="1"/>
  <c r="K3282" i="27" s="1"/>
  <c r="K3275" i="27" s="1"/>
  <c r="K3277" i="27" s="1"/>
  <c r="I3337" i="27"/>
  <c r="K3337" i="27" s="1"/>
  <c r="K3339" i="27" s="1"/>
  <c r="K3340" i="27" s="1"/>
  <c r="I3297" i="27"/>
  <c r="Z14" i="1"/>
  <c r="F878" i="55"/>
  <c r="L878" i="55"/>
  <c r="I503" i="1"/>
  <c r="K503" i="1" s="1"/>
  <c r="AB3620" i="1"/>
  <c r="AD3620" i="1" s="1"/>
  <c r="X3620" i="1"/>
  <c r="X1451" i="1"/>
  <c r="AB1449" i="1"/>
  <c r="AD1449" i="1" s="1"/>
  <c r="R1263" i="1"/>
  <c r="P1240" i="1"/>
  <c r="R1240" i="1" s="1"/>
  <c r="V1243" i="1"/>
  <c r="P2831" i="1"/>
  <c r="I2824" i="1"/>
  <c r="R1121" i="1"/>
  <c r="M856" i="11"/>
  <c r="L157" i="11"/>
  <c r="K2268" i="1"/>
  <c r="K158" i="11"/>
  <c r="C694" i="55"/>
  <c r="T694" i="55" s="1"/>
  <c r="V335" i="1"/>
  <c r="X335" i="1" s="1"/>
  <c r="V379" i="1"/>
  <c r="P79" i="1"/>
  <c r="R79" i="1" s="1"/>
  <c r="V311" i="1"/>
  <c r="X311" i="1" s="1"/>
  <c r="V355" i="1"/>
  <c r="X355" i="1" s="1"/>
  <c r="F44" i="32"/>
  <c r="H44" i="32" s="1"/>
  <c r="D107" i="32"/>
  <c r="F107" i="32" s="1"/>
  <c r="L858" i="11"/>
  <c r="AQ107" i="1"/>
  <c r="AS107" i="1" s="1"/>
  <c r="AU107" i="1" s="1"/>
  <c r="AV107" i="1" s="1"/>
  <c r="AQ87" i="1"/>
  <c r="AS87" i="1" s="1"/>
  <c r="AQ63" i="1"/>
  <c r="AS63" i="1" s="1"/>
  <c r="AQ132" i="1"/>
  <c r="AS132" i="1" s="1"/>
  <c r="AU132" i="1" s="1"/>
  <c r="AV132" i="1" s="1"/>
  <c r="AQ163" i="1"/>
  <c r="V764" i="1"/>
  <c r="X764" i="1" s="1"/>
  <c r="V732" i="1"/>
  <c r="X732" i="1" s="1"/>
  <c r="X678" i="1"/>
  <c r="D44" i="50"/>
  <c r="X3619" i="1"/>
  <c r="AB3619" i="1"/>
  <c r="AD3619" i="1" s="1"/>
  <c r="AE335" i="1"/>
  <c r="AG335" i="1" s="1"/>
  <c r="AE388" i="1"/>
  <c r="AE364" i="1"/>
  <c r="AG364" i="1" s="1"/>
  <c r="AE311" i="1"/>
  <c r="AG311" i="1" s="1"/>
  <c r="V1460" i="1"/>
  <c r="R1499" i="1"/>
  <c r="R1498" i="1"/>
  <c r="V1459" i="1"/>
  <c r="S33" i="11"/>
  <c r="R32" i="11"/>
  <c r="F103" i="25"/>
  <c r="H50" i="55"/>
  <c r="R65" i="11"/>
  <c r="S67" i="11"/>
  <c r="T65" i="11"/>
  <c r="T64" i="11" s="1"/>
  <c r="J50" i="55"/>
  <c r="L50" i="55"/>
  <c r="K3187" i="1"/>
  <c r="K3188" i="1" s="1"/>
  <c r="AD1409" i="1"/>
  <c r="AB1426" i="1"/>
  <c r="AD1426" i="1" s="1"/>
  <c r="D621" i="25"/>
  <c r="F586" i="25"/>
  <c r="I1698" i="27"/>
  <c r="K1698" i="27" s="1"/>
  <c r="K1706" i="27" s="1"/>
  <c r="K91" i="27"/>
  <c r="D86" i="25"/>
  <c r="F85" i="25"/>
  <c r="AJ1203" i="1"/>
  <c r="AC1204" i="1"/>
  <c r="K4020" i="1"/>
  <c r="I4021" i="1"/>
  <c r="K4021" i="1" s="1"/>
  <c r="AQ111" i="1"/>
  <c r="AS91" i="1"/>
  <c r="L3018" i="27"/>
  <c r="L3012" i="27"/>
  <c r="K3011" i="27"/>
  <c r="K3018" i="27"/>
  <c r="K3022" i="27" s="1"/>
  <c r="V3588" i="1"/>
  <c r="X3573" i="1"/>
  <c r="W563" i="1"/>
  <c r="AC563" i="1" s="1"/>
  <c r="AJ563" i="1" s="1"/>
  <c r="J562" i="1"/>
  <c r="P1496" i="1"/>
  <c r="V1426" i="1"/>
  <c r="X1426" i="1" s="1"/>
  <c r="R1465" i="1"/>
  <c r="K3073" i="27"/>
  <c r="I3099" i="27"/>
  <c r="I3932" i="27"/>
  <c r="K3932" i="27" s="1"/>
  <c r="K1076" i="11"/>
  <c r="C1082" i="76" s="1"/>
  <c r="P1082" i="76" s="1"/>
  <c r="L1077" i="11"/>
  <c r="M1076" i="11"/>
  <c r="C563" i="55"/>
  <c r="T563" i="55" s="1"/>
  <c r="K615" i="11"/>
  <c r="I655" i="11"/>
  <c r="K655" i="11" s="1"/>
  <c r="AD1402" i="1"/>
  <c r="AB1419" i="1"/>
  <c r="AD1419" i="1" s="1"/>
  <c r="P2890" i="27"/>
  <c r="R2890" i="27" s="1"/>
  <c r="R2895" i="27" s="1"/>
  <c r="R2857" i="27"/>
  <c r="R2862" i="27" s="1"/>
  <c r="J664" i="1"/>
  <c r="W488" i="1"/>
  <c r="AC488" i="1" s="1"/>
  <c r="K1651" i="1"/>
  <c r="K1653" i="1" s="1"/>
  <c r="I2940" i="27"/>
  <c r="K2916" i="27"/>
  <c r="K2920" i="27" s="1"/>
  <c r="I3039" i="27"/>
  <c r="K3039" i="27" s="1"/>
  <c r="K3043" i="27" s="1"/>
  <c r="L2977" i="27"/>
  <c r="K2189" i="27"/>
  <c r="C874" i="55"/>
  <c r="I3978" i="1"/>
  <c r="K3978" i="1" s="1"/>
  <c r="K3961" i="1"/>
  <c r="P1495" i="1"/>
  <c r="R1464" i="1"/>
  <c r="V1425" i="1"/>
  <c r="X1425" i="1" s="1"/>
  <c r="I2691" i="27"/>
  <c r="K2691" i="27" s="1"/>
  <c r="K2613" i="27"/>
  <c r="V3604" i="1"/>
  <c r="X3604" i="1" s="1"/>
  <c r="X3587" i="1"/>
  <c r="F622" i="25"/>
  <c r="D658" i="25"/>
  <c r="W539" i="1"/>
  <c r="AC539" i="1" s="1"/>
  <c r="AJ539" i="1" s="1"/>
  <c r="J540" i="1"/>
  <c r="I1152" i="11"/>
  <c r="K1152" i="11" s="1"/>
  <c r="I1173" i="11"/>
  <c r="K1140" i="11"/>
  <c r="K213" i="11"/>
  <c r="L213" i="11"/>
  <c r="L838" i="55"/>
  <c r="J838" i="55"/>
  <c r="F838" i="55"/>
  <c r="H838" i="55"/>
  <c r="K614" i="11"/>
  <c r="I654" i="11"/>
  <c r="K654" i="11" s="1"/>
  <c r="K656" i="11" s="1"/>
  <c r="K657" i="11" s="1"/>
  <c r="K647" i="11" s="1"/>
  <c r="C834" i="55"/>
  <c r="T834" i="55" s="1"/>
  <c r="K2583" i="1"/>
  <c r="L453" i="55"/>
  <c r="H453" i="55"/>
  <c r="F840" i="55"/>
  <c r="J840" i="55"/>
  <c r="H840" i="55"/>
  <c r="L840" i="55"/>
  <c r="H1011" i="55"/>
  <c r="L1011" i="55"/>
  <c r="C841" i="55"/>
  <c r="T841" i="55" s="1"/>
  <c r="F1011" i="55"/>
  <c r="T1011" i="55"/>
  <c r="J1011" i="55"/>
  <c r="H3853" i="1"/>
  <c r="K2608" i="1"/>
  <c r="K2612" i="1" s="1"/>
  <c r="K2615" i="1" s="1"/>
  <c r="M2615" i="1" s="1"/>
  <c r="F833" i="55"/>
  <c r="L833" i="55"/>
  <c r="J833" i="55"/>
  <c r="H833" i="55"/>
  <c r="L29" i="11"/>
  <c r="K29" i="11"/>
  <c r="C683" i="76" s="1"/>
  <c r="P683" i="76" s="1"/>
  <c r="K48" i="11"/>
  <c r="H702" i="55"/>
  <c r="L702" i="55"/>
  <c r="J702" i="55"/>
  <c r="F702" i="55"/>
  <c r="R786" i="11"/>
  <c r="R788" i="11" s="1"/>
  <c r="P804" i="11" s="1"/>
  <c r="P786" i="11"/>
  <c r="AD1368" i="1"/>
  <c r="AB1385" i="1"/>
  <c r="AD1385" i="1" s="1"/>
  <c r="F1012" i="55"/>
  <c r="T1012" i="55"/>
  <c r="H1012" i="55"/>
  <c r="J1012" i="55"/>
  <c r="C842" i="55"/>
  <c r="T842" i="55" s="1"/>
  <c r="L1012" i="55"/>
  <c r="X3164" i="1"/>
  <c r="D553" i="25"/>
  <c r="S814" i="11"/>
  <c r="C917" i="55"/>
  <c r="T917" i="55" s="1"/>
  <c r="C437" i="55"/>
  <c r="K2281" i="1"/>
  <c r="J350" i="55"/>
  <c r="H350" i="55"/>
  <c r="F350" i="55"/>
  <c r="L350" i="55"/>
  <c r="R955" i="1"/>
  <c r="R957" i="1" s="1"/>
  <c r="R1057" i="1"/>
  <c r="R1059" i="1" s="1"/>
  <c r="L895" i="55"/>
  <c r="F120" i="25"/>
  <c r="D147" i="25"/>
  <c r="AB1411" i="1"/>
  <c r="X1413" i="1"/>
  <c r="R1477" i="1"/>
  <c r="V1438" i="1"/>
  <c r="P1484" i="1"/>
  <c r="R1500" i="1"/>
  <c r="V1461" i="1"/>
  <c r="K2264" i="1"/>
  <c r="P2669" i="1"/>
  <c r="K2662" i="1"/>
  <c r="I3100" i="1"/>
  <c r="K2813" i="1"/>
  <c r="AE2786" i="1"/>
  <c r="AG2786" i="1" s="1"/>
  <c r="I2863" i="1"/>
  <c r="K2863" i="1" s="1"/>
  <c r="P2820" i="1"/>
  <c r="I2634" i="1"/>
  <c r="I3147" i="1"/>
  <c r="C89" i="1"/>
  <c r="P3189" i="1"/>
  <c r="I2814" i="1"/>
  <c r="I3319" i="1"/>
  <c r="I2663" i="1"/>
  <c r="I1015" i="1"/>
  <c r="K1015" i="1" s="1"/>
  <c r="I3387" i="1"/>
  <c r="I3477" i="1" s="1"/>
  <c r="K3477" i="1" s="1"/>
  <c r="I985" i="1"/>
  <c r="K985" i="1" s="1"/>
  <c r="I1053" i="1"/>
  <c r="P210" i="1"/>
  <c r="R210" i="1" s="1"/>
  <c r="I921" i="1"/>
  <c r="K921" i="1" s="1"/>
  <c r="K923" i="1" s="1"/>
  <c r="I950" i="1"/>
  <c r="I1127" i="1"/>
  <c r="K1127" i="1" s="1"/>
  <c r="I2815" i="1"/>
  <c r="C90" i="1"/>
  <c r="P3259" i="1"/>
  <c r="R3259" i="1" s="1"/>
  <c r="I3282" i="1"/>
  <c r="K3146" i="1"/>
  <c r="P3153" i="1"/>
  <c r="R3153" i="1" s="1"/>
  <c r="M2256" i="1"/>
  <c r="L2221" i="1"/>
  <c r="K2255" i="1"/>
  <c r="K2288" i="1" s="1"/>
  <c r="R3188" i="1"/>
  <c r="P3257" i="1"/>
  <c r="R3257" i="1" s="1"/>
  <c r="P3221" i="1"/>
  <c r="P3291" i="1"/>
  <c r="V2601" i="1"/>
  <c r="K2633" i="1"/>
  <c r="P2640" i="1"/>
  <c r="I3420" i="1"/>
  <c r="K3420" i="1" s="1"/>
  <c r="AQ137" i="1"/>
  <c r="AS112" i="1"/>
  <c r="AU112" i="1" s="1"/>
  <c r="AV112" i="1" s="1"/>
  <c r="K3211" i="1"/>
  <c r="I3226" i="1"/>
  <c r="F1099" i="55"/>
  <c r="T1099" i="55"/>
  <c r="H1099" i="55"/>
  <c r="J1099" i="55"/>
  <c r="L1099" i="55"/>
  <c r="R1266" i="1"/>
  <c r="P1382" i="1"/>
  <c r="R1382" i="1" s="1"/>
  <c r="P1243" i="1"/>
  <c r="R1243" i="1" s="1"/>
  <c r="V1246" i="1"/>
  <c r="X1301" i="1"/>
  <c r="V1321" i="1"/>
  <c r="X1321" i="1" s="1"/>
  <c r="AD1247" i="1"/>
  <c r="AB1219" i="1"/>
  <c r="AD1219" i="1" s="1"/>
  <c r="K3242" i="1"/>
  <c r="I3267" i="1"/>
  <c r="K3267" i="1" s="1"/>
  <c r="F1100" i="55"/>
  <c r="T1100" i="55"/>
  <c r="L1100" i="55"/>
  <c r="J1100" i="55"/>
  <c r="H1100" i="55"/>
  <c r="H719" i="55"/>
  <c r="J719" i="55"/>
  <c r="F719" i="55"/>
  <c r="L719" i="55"/>
  <c r="P1242" i="1"/>
  <c r="R1242" i="1" s="1"/>
  <c r="V1245" i="1"/>
  <c r="R1265" i="1"/>
  <c r="P1381" i="1"/>
  <c r="R1381" i="1" s="1"/>
  <c r="J909" i="55"/>
  <c r="H909" i="55"/>
  <c r="F909" i="55"/>
  <c r="L909" i="55"/>
  <c r="X1240" i="1"/>
  <c r="AB1245" i="1"/>
  <c r="AB1252" i="1"/>
  <c r="X1247" i="1"/>
  <c r="AB1246" i="1"/>
  <c r="X1241" i="1"/>
  <c r="F122" i="25"/>
  <c r="D149" i="25"/>
  <c r="X3586" i="1"/>
  <c r="V3603" i="1"/>
  <c r="X3689" i="1"/>
  <c r="X3695" i="1" s="1"/>
  <c r="X3696" i="1" s="1"/>
  <c r="H42" i="55"/>
  <c r="J42" i="55"/>
  <c r="L42" i="55"/>
  <c r="V706" i="1"/>
  <c r="D42" i="32" s="1"/>
  <c r="C337" i="55"/>
  <c r="I255" i="1"/>
  <c r="K255" i="1" s="1"/>
  <c r="K259" i="1" s="1"/>
  <c r="K261" i="1" s="1"/>
  <c r="C79" i="1"/>
  <c r="I36" i="1"/>
  <c r="C78" i="1"/>
  <c r="I3504" i="1"/>
  <c r="R1142" i="1"/>
  <c r="P1173" i="1"/>
  <c r="R1173" i="1" s="1"/>
  <c r="X771" i="1"/>
  <c r="X801" i="1"/>
  <c r="V816" i="1"/>
  <c r="X816" i="1" s="1"/>
  <c r="Z15" i="1"/>
  <c r="AC14" i="1"/>
  <c r="I2897" i="1"/>
  <c r="K2897" i="1" s="1"/>
  <c r="K1310" i="1"/>
  <c r="K1312" i="1" s="1"/>
  <c r="D170" i="25"/>
  <c r="F170" i="25" s="1"/>
  <c r="F148" i="25"/>
  <c r="V3621" i="1"/>
  <c r="AG3558" i="1"/>
  <c r="P1892" i="1"/>
  <c r="R1861" i="1"/>
  <c r="R1868" i="1" s="1"/>
  <c r="R1870" i="1" s="1"/>
  <c r="P1879" i="1" s="1"/>
  <c r="R1879" i="1" s="1"/>
  <c r="R1881" i="1" s="1"/>
  <c r="F565" i="55"/>
  <c r="L565" i="55"/>
  <c r="H565" i="55"/>
  <c r="J565" i="55"/>
  <c r="X3558" i="1"/>
  <c r="V3574" i="1"/>
  <c r="H883" i="55"/>
  <c r="J883" i="55"/>
  <c r="F883" i="55"/>
  <c r="L883" i="55"/>
  <c r="P1259" i="1"/>
  <c r="R1217" i="1"/>
  <c r="T1217" i="1" s="1"/>
  <c r="P1461" i="1"/>
  <c r="R1444" i="1"/>
  <c r="R1454" i="1" s="1"/>
  <c r="R1455" i="1" s="1"/>
  <c r="J596" i="55"/>
  <c r="F596" i="55"/>
  <c r="L596" i="55"/>
  <c r="H596" i="55"/>
  <c r="L595" i="55"/>
  <c r="J595" i="55"/>
  <c r="F595" i="55"/>
  <c r="H595" i="55"/>
  <c r="R2094" i="1"/>
  <c r="P2100" i="1"/>
  <c r="V878" i="1"/>
  <c r="K878" i="1"/>
  <c r="I894" i="1"/>
  <c r="K894" i="1" s="1"/>
  <c r="I860" i="1"/>
  <c r="H612" i="55"/>
  <c r="L612" i="55"/>
  <c r="F612" i="55"/>
  <c r="J612" i="55"/>
  <c r="F541" i="64"/>
  <c r="F545" i="64" s="1"/>
  <c r="D604" i="64"/>
  <c r="F604" i="64" s="1"/>
  <c r="F608" i="64" s="1"/>
  <c r="J380" i="55"/>
  <c r="H380" i="55"/>
  <c r="L380" i="55"/>
  <c r="F380" i="55"/>
  <c r="AE337" i="1"/>
  <c r="AG337" i="1" s="1"/>
  <c r="X337" i="1"/>
  <c r="K2196" i="27"/>
  <c r="L3154" i="27"/>
  <c r="C651" i="55"/>
  <c r="T651" i="55" s="1"/>
  <c r="X591" i="1"/>
  <c r="K2398" i="1"/>
  <c r="K2403" i="1" s="1"/>
  <c r="I2410" i="1"/>
  <c r="L592" i="55"/>
  <c r="F592" i="55"/>
  <c r="C594" i="55"/>
  <c r="J592" i="55"/>
  <c r="H592" i="55"/>
  <c r="I1897" i="1"/>
  <c r="K1897" i="1" s="1"/>
  <c r="K1899" i="1" s="1"/>
  <c r="K1888" i="1"/>
  <c r="K1890" i="1" s="1"/>
  <c r="H362" i="55"/>
  <c r="L362" i="55"/>
  <c r="J362" i="55"/>
  <c r="F362" i="55"/>
  <c r="C278" i="55"/>
  <c r="T278" i="55" s="1"/>
  <c r="I709" i="1"/>
  <c r="K709" i="1" s="1"/>
  <c r="C279" i="76" s="1"/>
  <c r="X883" i="1"/>
  <c r="V899" i="1"/>
  <c r="X899" i="1" s="1"/>
  <c r="K2451" i="27"/>
  <c r="K2448" i="27"/>
  <c r="I1090" i="11"/>
  <c r="K129" i="11"/>
  <c r="K133" i="11" s="1"/>
  <c r="L669" i="55"/>
  <c r="J669" i="55"/>
  <c r="H669" i="55"/>
  <c r="F669" i="55"/>
  <c r="P3066" i="1"/>
  <c r="R3066" i="1" s="1"/>
  <c r="R3071" i="1" s="1"/>
  <c r="R3073" i="1" s="1"/>
  <c r="K3059" i="1"/>
  <c r="K3064" i="1" s="1"/>
  <c r="K3066" i="1" s="1"/>
  <c r="I3078" i="1"/>
  <c r="K3078" i="1" s="1"/>
  <c r="K3083" i="1" s="1"/>
  <c r="K3085" i="1" s="1"/>
  <c r="P3569" i="1"/>
  <c r="R3569" i="1" s="1"/>
  <c r="R3572" i="1" s="1"/>
  <c r="K3566" i="1"/>
  <c r="K3569" i="1" s="1"/>
  <c r="H390" i="55"/>
  <c r="J390" i="55"/>
  <c r="L390" i="55"/>
  <c r="F390" i="55"/>
  <c r="V412" i="1"/>
  <c r="X412" i="1" s="1"/>
  <c r="AE390" i="1"/>
  <c r="X381" i="1"/>
  <c r="AB1387" i="1"/>
  <c r="AD1387" i="1" s="1"/>
  <c r="AD1370" i="1"/>
  <c r="AD1380" i="1" s="1"/>
  <c r="H723" i="55"/>
  <c r="F723" i="55"/>
  <c r="K3446" i="27"/>
  <c r="K3448" i="27" s="1"/>
  <c r="K3449" i="27" s="1"/>
  <c r="K3439" i="27" s="1"/>
  <c r="I3486" i="27"/>
  <c r="K3486" i="27" s="1"/>
  <c r="K3488" i="27" s="1"/>
  <c r="K3489" i="27" s="1"/>
  <c r="K3479" i="27" s="1"/>
  <c r="AB1404" i="1"/>
  <c r="X1406" i="1"/>
  <c r="L377" i="55"/>
  <c r="F377" i="55"/>
  <c r="H377" i="55"/>
  <c r="J377" i="55"/>
  <c r="AB1190" i="1"/>
  <c r="R1334" i="1"/>
  <c r="V1300" i="1"/>
  <c r="AB553" i="1"/>
  <c r="AD529" i="1"/>
  <c r="AI529" i="1"/>
  <c r="H315" i="55"/>
  <c r="J315" i="55"/>
  <c r="L315" i="55"/>
  <c r="F315" i="55"/>
  <c r="C657" i="55"/>
  <c r="T657" i="55" s="1"/>
  <c r="I613" i="1"/>
  <c r="C258" i="55"/>
  <c r="T258" i="55" s="1"/>
  <c r="K613" i="1"/>
  <c r="F391" i="55"/>
  <c r="J391" i="55"/>
  <c r="L391" i="55"/>
  <c r="H391" i="55"/>
  <c r="L670" i="55"/>
  <c r="J670" i="55"/>
  <c r="F670" i="55"/>
  <c r="H670" i="55"/>
  <c r="F361" i="55"/>
  <c r="L361" i="55"/>
  <c r="H361" i="55"/>
  <c r="J361" i="55"/>
  <c r="J19" i="55"/>
  <c r="H19" i="55"/>
  <c r="L19" i="55"/>
  <c r="L590" i="55"/>
  <c r="F590" i="55"/>
  <c r="J590" i="55"/>
  <c r="H590" i="55"/>
  <c r="C273" i="55"/>
  <c r="T273" i="55" s="1"/>
  <c r="I690" i="1"/>
  <c r="K690" i="1" s="1"/>
  <c r="K3594" i="1"/>
  <c r="I3595" i="1" s="1"/>
  <c r="H277" i="55"/>
  <c r="J277" i="55"/>
  <c r="L277" i="55"/>
  <c r="K1987" i="1"/>
  <c r="P1987" i="1"/>
  <c r="K2199" i="27"/>
  <c r="K3229" i="27"/>
  <c r="K3233" i="27" s="1"/>
  <c r="K2198" i="27" s="1"/>
  <c r="L3221" i="27"/>
  <c r="K114" i="11"/>
  <c r="C687" i="76" s="1"/>
  <c r="P687" i="76" s="1"/>
  <c r="L114" i="11"/>
  <c r="F360" i="55"/>
  <c r="J360" i="55"/>
  <c r="H360" i="55"/>
  <c r="L360" i="55"/>
  <c r="X395" i="1"/>
  <c r="V427" i="1"/>
  <c r="X427" i="1" s="1"/>
  <c r="K3926" i="1"/>
  <c r="I3944" i="1"/>
  <c r="H316" i="55"/>
  <c r="J316" i="55"/>
  <c r="F316" i="55"/>
  <c r="L316" i="55"/>
  <c r="AB1425" i="1"/>
  <c r="AD1425" i="1" s="1"/>
  <c r="AD1408" i="1"/>
  <c r="H877" i="55"/>
  <c r="F877" i="55"/>
  <c r="L877" i="55"/>
  <c r="J877" i="55"/>
  <c r="J1041" i="55"/>
  <c r="L1041" i="55"/>
  <c r="T1041" i="55"/>
  <c r="F1041" i="55"/>
  <c r="H1041" i="55"/>
  <c r="L882" i="55"/>
  <c r="X1389" i="1"/>
  <c r="X1399" i="1" s="1"/>
  <c r="V1405" i="1"/>
  <c r="F1052" i="55"/>
  <c r="J1052" i="55"/>
  <c r="H699" i="55"/>
  <c r="J699" i="55"/>
  <c r="K2929" i="1"/>
  <c r="I2948" i="1"/>
  <c r="P1493" i="1"/>
  <c r="P1476" i="1"/>
  <c r="R1462" i="1"/>
  <c r="K570" i="11"/>
  <c r="I565" i="11" s="1"/>
  <c r="I589" i="11"/>
  <c r="AE366" i="1"/>
  <c r="AG366" i="1" s="1"/>
  <c r="X357" i="1"/>
  <c r="K2154" i="1"/>
  <c r="K585" i="27"/>
  <c r="I585" i="27"/>
  <c r="C20" i="55"/>
  <c r="T20" i="55" s="1"/>
  <c r="K121" i="1"/>
  <c r="I2380" i="27"/>
  <c r="I2382" i="27" s="1"/>
  <c r="I2383" i="27" s="1"/>
  <c r="I2355" i="27" s="1"/>
  <c r="K2355" i="27" s="1"/>
  <c r="I2377" i="27"/>
  <c r="L1080" i="55"/>
  <c r="J1080" i="55"/>
  <c r="T1080" i="55"/>
  <c r="L272" i="55"/>
  <c r="J272" i="55"/>
  <c r="H272" i="55"/>
  <c r="H1083" i="55"/>
  <c r="F1083" i="55"/>
  <c r="T1083" i="55"/>
  <c r="L1083" i="55"/>
  <c r="J1083" i="55"/>
  <c r="H672" i="55"/>
  <c r="F672" i="55"/>
  <c r="L672" i="55"/>
  <c r="J672" i="55"/>
  <c r="AE313" i="1"/>
  <c r="X313" i="1"/>
  <c r="AQ65" i="1"/>
  <c r="L318" i="55"/>
  <c r="F318" i="55"/>
  <c r="H318" i="55"/>
  <c r="J318" i="55"/>
  <c r="I2956" i="1"/>
  <c r="K2956" i="1" s="1"/>
  <c r="K2947" i="1"/>
  <c r="H1062" i="55"/>
  <c r="F1062" i="55"/>
  <c r="T1062" i="55"/>
  <c r="J1062" i="55"/>
  <c r="L1062" i="55"/>
  <c r="L564" i="55"/>
  <c r="H564" i="55"/>
  <c r="F564" i="55"/>
  <c r="J564" i="55"/>
  <c r="I243" i="11"/>
  <c r="K227" i="11"/>
  <c r="K231" i="11" s="1"/>
  <c r="I3939" i="1"/>
  <c r="K3921" i="1"/>
  <c r="F1042" i="55"/>
  <c r="L1042" i="55"/>
  <c r="H1042" i="55"/>
  <c r="T1042" i="55"/>
  <c r="J1042" i="55"/>
  <c r="F421" i="64"/>
  <c r="F422" i="64" s="1"/>
  <c r="F425" i="64" s="1"/>
  <c r="J611" i="55"/>
  <c r="L611" i="55"/>
  <c r="H611" i="55"/>
  <c r="F611" i="55"/>
  <c r="V3162" i="1"/>
  <c r="X3137" i="1"/>
  <c r="C252" i="55"/>
  <c r="I591" i="1"/>
  <c r="K591" i="1" s="1"/>
  <c r="C645" i="55"/>
  <c r="T645" i="55" s="1"/>
  <c r="L2988" i="27"/>
  <c r="K2191" i="27"/>
  <c r="C1039" i="55"/>
  <c r="C717" i="55"/>
  <c r="T717" i="55" s="1"/>
  <c r="K3848" i="27"/>
  <c r="K3840" i="27"/>
  <c r="K3761" i="27"/>
  <c r="K3762" i="27" s="1"/>
  <c r="K3744" i="27"/>
  <c r="K3908" i="27"/>
  <c r="I3911" i="27"/>
  <c r="K2890" i="27"/>
  <c r="K2898" i="27" s="1"/>
  <c r="K2883" i="27"/>
  <c r="M3398" i="27"/>
  <c r="K2184" i="27"/>
  <c r="C869" i="55"/>
  <c r="C21" i="55" l="1"/>
  <c r="T21" i="55" s="1"/>
  <c r="C21" i="76"/>
  <c r="C1045" i="55"/>
  <c r="C1039" i="76"/>
  <c r="C768" i="55"/>
  <c r="T768" i="55" s="1"/>
  <c r="C763" i="76"/>
  <c r="C336" i="55"/>
  <c r="C336" i="76"/>
  <c r="C1098" i="55"/>
  <c r="C1092" i="76"/>
  <c r="C809" i="55"/>
  <c r="T809" i="55" s="1"/>
  <c r="C804" i="76"/>
  <c r="C10" i="55"/>
  <c r="T10" i="55" s="1"/>
  <c r="C10" i="76"/>
  <c r="P1099" i="76"/>
  <c r="T1099" i="76"/>
  <c r="F1099" i="76"/>
  <c r="J1099" i="76"/>
  <c r="V1099" i="76"/>
  <c r="N1099" i="76"/>
  <c r="H1099" i="76"/>
  <c r="R1099" i="76"/>
  <c r="P337" i="76"/>
  <c r="H337" i="76"/>
  <c r="L337" i="76"/>
  <c r="N337" i="76"/>
  <c r="J337" i="76"/>
  <c r="V337" i="76"/>
  <c r="R337" i="76"/>
  <c r="T337" i="76"/>
  <c r="F337" i="76"/>
  <c r="P390" i="76"/>
  <c r="L390" i="76"/>
  <c r="J390" i="76"/>
  <c r="F390" i="76"/>
  <c r="N390" i="76"/>
  <c r="H390" i="76"/>
  <c r="R390" i="76"/>
  <c r="V390" i="76"/>
  <c r="T390" i="76"/>
  <c r="AB1427" i="1"/>
  <c r="AD1427" i="1" s="1"/>
  <c r="AD1410" i="1"/>
  <c r="P833" i="76"/>
  <c r="L833" i="76"/>
  <c r="J833" i="76"/>
  <c r="N833" i="76"/>
  <c r="T833" i="76"/>
  <c r="H833" i="76"/>
  <c r="V833" i="76"/>
  <c r="F833" i="76"/>
  <c r="R833" i="76"/>
  <c r="P42" i="76"/>
  <c r="L42" i="76"/>
  <c r="H42" i="76"/>
  <c r="J42" i="76"/>
  <c r="N42" i="76"/>
  <c r="V42" i="76"/>
  <c r="R42" i="76"/>
  <c r="F42" i="76"/>
  <c r="T42" i="76"/>
  <c r="P389" i="76"/>
  <c r="H389" i="76"/>
  <c r="L389" i="76"/>
  <c r="F389" i="76"/>
  <c r="N389" i="76"/>
  <c r="J389" i="76"/>
  <c r="V389" i="76"/>
  <c r="T389" i="76"/>
  <c r="R389" i="76"/>
  <c r="C677" i="55"/>
  <c r="C673" i="76"/>
  <c r="C386" i="55"/>
  <c r="T386" i="55" s="1"/>
  <c r="C385" i="76"/>
  <c r="C51" i="55"/>
  <c r="T51" i="55" s="1"/>
  <c r="C51" i="76"/>
  <c r="C290" i="55"/>
  <c r="C290" i="76"/>
  <c r="P26" i="76"/>
  <c r="L26" i="76"/>
  <c r="H26" i="76"/>
  <c r="J26" i="76"/>
  <c r="N26" i="76"/>
  <c r="F26" i="76"/>
  <c r="V26" i="76"/>
  <c r="T26" i="76"/>
  <c r="R26" i="76"/>
  <c r="L835" i="76"/>
  <c r="P835" i="76"/>
  <c r="N835" i="76"/>
  <c r="T835" i="76"/>
  <c r="H835" i="76"/>
  <c r="J835" i="76"/>
  <c r="V835" i="76"/>
  <c r="F835" i="76"/>
  <c r="R835" i="76"/>
  <c r="P50" i="76"/>
  <c r="L50" i="76"/>
  <c r="N50" i="76"/>
  <c r="H50" i="76"/>
  <c r="J50" i="76"/>
  <c r="F50" i="76"/>
  <c r="V50" i="76"/>
  <c r="R50" i="76"/>
  <c r="T50" i="76"/>
  <c r="T1093" i="76"/>
  <c r="P1093" i="76"/>
  <c r="V1093" i="76"/>
  <c r="N1093" i="76"/>
  <c r="F1093" i="76"/>
  <c r="J1093" i="76"/>
  <c r="R1093" i="76"/>
  <c r="H1093" i="76"/>
  <c r="P252" i="76"/>
  <c r="L252" i="76"/>
  <c r="N252" i="76"/>
  <c r="J252" i="76"/>
  <c r="V252" i="76"/>
  <c r="H252" i="76"/>
  <c r="F252" i="76"/>
  <c r="T252" i="76"/>
  <c r="R252" i="76"/>
  <c r="P878" i="76"/>
  <c r="L878" i="76"/>
  <c r="J878" i="76"/>
  <c r="H878" i="76"/>
  <c r="R878" i="76"/>
  <c r="V878" i="76"/>
  <c r="N878" i="76"/>
  <c r="F878" i="76"/>
  <c r="T878" i="76"/>
  <c r="P316" i="76"/>
  <c r="L316" i="76"/>
  <c r="J316" i="76"/>
  <c r="N316" i="76"/>
  <c r="H316" i="76"/>
  <c r="F316" i="76"/>
  <c r="V316" i="76"/>
  <c r="R316" i="76"/>
  <c r="T316" i="76"/>
  <c r="C645" i="76"/>
  <c r="C253" i="76"/>
  <c r="C309" i="55"/>
  <c r="T309" i="55" s="1"/>
  <c r="C309" i="76"/>
  <c r="C274" i="55"/>
  <c r="T274" i="55" s="1"/>
  <c r="C274" i="76"/>
  <c r="C1043" i="55"/>
  <c r="C1037" i="76"/>
  <c r="C651" i="76"/>
  <c r="C652" i="76"/>
  <c r="C13" i="55"/>
  <c r="T13" i="55" s="1"/>
  <c r="C13" i="76"/>
  <c r="L874" i="76"/>
  <c r="P874" i="76"/>
  <c r="N874" i="76"/>
  <c r="T874" i="76"/>
  <c r="H874" i="76"/>
  <c r="F874" i="76"/>
  <c r="J874" i="76"/>
  <c r="V874" i="76"/>
  <c r="R874" i="76"/>
  <c r="L612" i="76"/>
  <c r="P612" i="76"/>
  <c r="F612" i="76"/>
  <c r="N612" i="76"/>
  <c r="J612" i="76"/>
  <c r="H612" i="76"/>
  <c r="V612" i="76"/>
  <c r="R612" i="76"/>
  <c r="T612" i="76"/>
  <c r="L360" i="76"/>
  <c r="P360" i="76"/>
  <c r="F360" i="76"/>
  <c r="N360" i="76"/>
  <c r="J360" i="76"/>
  <c r="H360" i="76"/>
  <c r="R360" i="76"/>
  <c r="V360" i="76"/>
  <c r="T360" i="76"/>
  <c r="L258" i="76"/>
  <c r="P258" i="76"/>
  <c r="J258" i="76"/>
  <c r="N258" i="76"/>
  <c r="H258" i="76"/>
  <c r="V258" i="76"/>
  <c r="F258" i="76"/>
  <c r="R258" i="76"/>
  <c r="T258" i="76"/>
  <c r="L644" i="76"/>
  <c r="P644" i="76"/>
  <c r="N644" i="76"/>
  <c r="J644" i="76"/>
  <c r="F644" i="76"/>
  <c r="V644" i="76"/>
  <c r="H644" i="76"/>
  <c r="R644" i="76"/>
  <c r="T644" i="76"/>
  <c r="L376" i="76"/>
  <c r="P376" i="76"/>
  <c r="F376" i="76"/>
  <c r="N376" i="76"/>
  <c r="J376" i="76"/>
  <c r="V376" i="76"/>
  <c r="H376" i="76"/>
  <c r="T376" i="76"/>
  <c r="R376" i="76"/>
  <c r="L905" i="76"/>
  <c r="P905" i="76"/>
  <c r="J905" i="76"/>
  <c r="N905" i="76"/>
  <c r="H905" i="76"/>
  <c r="R905" i="76"/>
  <c r="V905" i="76"/>
  <c r="F905" i="76"/>
  <c r="T905" i="76"/>
  <c r="L315" i="76"/>
  <c r="P315" i="76"/>
  <c r="N315" i="76"/>
  <c r="J315" i="76"/>
  <c r="H315" i="76"/>
  <c r="V315" i="76"/>
  <c r="F315" i="76"/>
  <c r="R315" i="76"/>
  <c r="T315" i="76"/>
  <c r="P563" i="76"/>
  <c r="H563" i="76"/>
  <c r="L563" i="76"/>
  <c r="N563" i="76"/>
  <c r="J563" i="76"/>
  <c r="F563" i="76"/>
  <c r="V563" i="76"/>
  <c r="T563" i="76"/>
  <c r="R563" i="76"/>
  <c r="R1036" i="76"/>
  <c r="P1036" i="76"/>
  <c r="F1036" i="76"/>
  <c r="T1036" i="76"/>
  <c r="H1036" i="76"/>
  <c r="V1036" i="76"/>
  <c r="J1036" i="76"/>
  <c r="N1036" i="76"/>
  <c r="C657" i="76"/>
  <c r="C259" i="76"/>
  <c r="C314" i="55"/>
  <c r="T314" i="55" s="1"/>
  <c r="C314" i="76"/>
  <c r="C1044" i="55"/>
  <c r="C1038" i="76"/>
  <c r="P279" i="76"/>
  <c r="H279" i="76"/>
  <c r="L279" i="76"/>
  <c r="J279" i="76"/>
  <c r="N279" i="76"/>
  <c r="V279" i="76"/>
  <c r="R279" i="76"/>
  <c r="T279" i="76"/>
  <c r="F279" i="76"/>
  <c r="C910" i="55"/>
  <c r="T910" i="55" s="1"/>
  <c r="C906" i="76"/>
  <c r="C364" i="55"/>
  <c r="T364" i="55" s="1"/>
  <c r="C363" i="76"/>
  <c r="C884" i="55"/>
  <c r="T884" i="55" s="1"/>
  <c r="C880" i="76"/>
  <c r="C372" i="55"/>
  <c r="C371" i="76"/>
  <c r="L656" i="76"/>
  <c r="P656" i="76"/>
  <c r="F656" i="76"/>
  <c r="N656" i="76"/>
  <c r="J656" i="76"/>
  <c r="V656" i="76"/>
  <c r="H656" i="76"/>
  <c r="T656" i="76"/>
  <c r="R656" i="76"/>
  <c r="C836" i="76"/>
  <c r="P1005" i="76"/>
  <c r="R1005" i="76"/>
  <c r="N1005" i="76"/>
  <c r="J1005" i="76"/>
  <c r="F1005" i="76"/>
  <c r="V1005" i="76"/>
  <c r="T1005" i="76"/>
  <c r="H1005" i="76"/>
  <c r="C837" i="76"/>
  <c r="R1006" i="76"/>
  <c r="P1006" i="76"/>
  <c r="J1006" i="76"/>
  <c r="F1006" i="76"/>
  <c r="T1006" i="76"/>
  <c r="V1006" i="76"/>
  <c r="H1006" i="76"/>
  <c r="N1006" i="76"/>
  <c r="P1094" i="76"/>
  <c r="T1094" i="76"/>
  <c r="F1094" i="76"/>
  <c r="R1094" i="76"/>
  <c r="V1094" i="76"/>
  <c r="H1094" i="76"/>
  <c r="J1094" i="76"/>
  <c r="N1094" i="76"/>
  <c r="L318" i="76"/>
  <c r="P318" i="76"/>
  <c r="N318" i="76"/>
  <c r="J318" i="76"/>
  <c r="H318" i="76"/>
  <c r="F318" i="76"/>
  <c r="V318" i="76"/>
  <c r="R318" i="76"/>
  <c r="T318" i="76"/>
  <c r="P379" i="76"/>
  <c r="H379" i="76"/>
  <c r="L379" i="76"/>
  <c r="J379" i="76"/>
  <c r="F379" i="76"/>
  <c r="N379" i="76"/>
  <c r="V379" i="76"/>
  <c r="T379" i="76"/>
  <c r="R379" i="76"/>
  <c r="L558" i="76"/>
  <c r="P558" i="76"/>
  <c r="N558" i="76"/>
  <c r="J558" i="76"/>
  <c r="F558" i="76"/>
  <c r="H558" i="76"/>
  <c r="V558" i="76"/>
  <c r="R558" i="76"/>
  <c r="T558" i="76"/>
  <c r="C867" i="55"/>
  <c r="L867" i="55" s="1"/>
  <c r="C862" i="76"/>
  <c r="C375" i="76"/>
  <c r="C877" i="76"/>
  <c r="F1080" i="55"/>
  <c r="H1080" i="55"/>
  <c r="F699" i="55"/>
  <c r="L699" i="55"/>
  <c r="H1052" i="55"/>
  <c r="L1052" i="55"/>
  <c r="T1052" i="55"/>
  <c r="L723" i="55"/>
  <c r="J723" i="55"/>
  <c r="J895" i="55"/>
  <c r="F453" i="55"/>
  <c r="J453" i="55"/>
  <c r="J433" i="55"/>
  <c r="L433" i="55"/>
  <c r="J1051" i="55"/>
  <c r="F1051" i="55"/>
  <c r="L1051" i="55"/>
  <c r="N433" i="55"/>
  <c r="N699" i="55"/>
  <c r="P453" i="55"/>
  <c r="P723" i="55"/>
  <c r="D145" i="78"/>
  <c r="F145" i="78" s="1"/>
  <c r="T869" i="55"/>
  <c r="D73" i="78"/>
  <c r="F73" i="78" s="1"/>
  <c r="T876" i="55"/>
  <c r="D93" i="78"/>
  <c r="F93" i="78" s="1"/>
  <c r="T252" i="55"/>
  <c r="D35" i="78"/>
  <c r="F35" i="78" s="1"/>
  <c r="T290" i="55"/>
  <c r="D132" i="78"/>
  <c r="F132" i="78" s="1"/>
  <c r="T867" i="55"/>
  <c r="D170" i="78"/>
  <c r="F170" i="78" s="1"/>
  <c r="T702" i="55"/>
  <c r="D69" i="78"/>
  <c r="F69" i="78" s="1"/>
  <c r="T677" i="55"/>
  <c r="D101" i="78"/>
  <c r="F101" i="78" s="1"/>
  <c r="T594" i="55"/>
  <c r="D41" i="78"/>
  <c r="F41" i="78" s="1"/>
  <c r="T336" i="55"/>
  <c r="D42" i="78"/>
  <c r="F42" i="78" s="1"/>
  <c r="T337" i="55"/>
  <c r="D77" i="78"/>
  <c r="F77" i="78" s="1"/>
  <c r="T437" i="55"/>
  <c r="D150" i="78"/>
  <c r="F150" i="78" s="1"/>
  <c r="T874" i="55"/>
  <c r="D62" i="78"/>
  <c r="F62" i="78" s="1"/>
  <c r="T372" i="55"/>
  <c r="H895" i="55"/>
  <c r="T895" i="55"/>
  <c r="D162" i="78"/>
  <c r="F162" i="78" s="1"/>
  <c r="T699" i="55"/>
  <c r="D75" i="78"/>
  <c r="F75" i="78" s="1"/>
  <c r="T433" i="55"/>
  <c r="C447" i="55"/>
  <c r="T447" i="55" s="1"/>
  <c r="C446" i="76"/>
  <c r="C424" i="55"/>
  <c r="T424" i="55" s="1"/>
  <c r="C423" i="76"/>
  <c r="C422" i="55"/>
  <c r="T422" i="55" s="1"/>
  <c r="C421" i="76"/>
  <c r="P431" i="76"/>
  <c r="H431" i="76"/>
  <c r="N431" i="76"/>
  <c r="V431" i="76"/>
  <c r="L431" i="76"/>
  <c r="F431" i="76"/>
  <c r="J431" i="76"/>
  <c r="R431" i="76"/>
  <c r="T431" i="76"/>
  <c r="L688" i="76"/>
  <c r="N688" i="76"/>
  <c r="H688" i="76"/>
  <c r="V688" i="76"/>
  <c r="R688" i="76"/>
  <c r="T688" i="76"/>
  <c r="P688" i="76"/>
  <c r="F688" i="76"/>
  <c r="J688" i="76"/>
  <c r="L698" i="76"/>
  <c r="N698" i="76"/>
  <c r="H698" i="76"/>
  <c r="V698" i="76"/>
  <c r="R698" i="76"/>
  <c r="P698" i="76"/>
  <c r="F698" i="76"/>
  <c r="J698" i="76"/>
  <c r="T698" i="76"/>
  <c r="H432" i="55"/>
  <c r="L432" i="55"/>
  <c r="R432" i="55"/>
  <c r="J432" i="55"/>
  <c r="P432" i="55"/>
  <c r="F432" i="55"/>
  <c r="N432" i="55"/>
  <c r="R1056" i="76"/>
  <c r="T1056" i="76"/>
  <c r="N1056" i="76"/>
  <c r="P1056" i="76"/>
  <c r="F1056" i="76"/>
  <c r="H1056" i="76"/>
  <c r="J1056" i="76"/>
  <c r="V1056" i="76"/>
  <c r="L452" i="76"/>
  <c r="F452" i="76"/>
  <c r="J452" i="76"/>
  <c r="V452" i="76"/>
  <c r="P452" i="76"/>
  <c r="N452" i="76"/>
  <c r="H452" i="76"/>
  <c r="R452" i="76"/>
  <c r="T452" i="76"/>
  <c r="P719" i="76"/>
  <c r="H719" i="76"/>
  <c r="R719" i="76"/>
  <c r="N719" i="76"/>
  <c r="F719" i="76"/>
  <c r="T719" i="76"/>
  <c r="L719" i="76"/>
  <c r="J719" i="76"/>
  <c r="V719" i="76"/>
  <c r="L695" i="76"/>
  <c r="F695" i="76"/>
  <c r="N695" i="76"/>
  <c r="V695" i="76"/>
  <c r="P695" i="76"/>
  <c r="J695" i="76"/>
  <c r="H695" i="76"/>
  <c r="T695" i="76"/>
  <c r="R695" i="76"/>
  <c r="L432" i="76"/>
  <c r="F432" i="76"/>
  <c r="J432" i="76"/>
  <c r="V432" i="76"/>
  <c r="T432" i="76"/>
  <c r="R432" i="76"/>
  <c r="P432" i="76"/>
  <c r="N432" i="76"/>
  <c r="H432" i="76"/>
  <c r="L902" i="76"/>
  <c r="F902" i="76"/>
  <c r="J902" i="76"/>
  <c r="R902" i="76"/>
  <c r="T902" i="76"/>
  <c r="P902" i="76"/>
  <c r="N902" i="76"/>
  <c r="H902" i="76"/>
  <c r="V902" i="76"/>
  <c r="P869" i="55"/>
  <c r="R869" i="55"/>
  <c r="P876" i="55"/>
  <c r="R876" i="55"/>
  <c r="P645" i="55"/>
  <c r="R645" i="55"/>
  <c r="P21" i="55"/>
  <c r="R21" i="55"/>
  <c r="P717" i="55"/>
  <c r="R717" i="55"/>
  <c r="P20" i="55"/>
  <c r="R20" i="55"/>
  <c r="P273" i="55"/>
  <c r="R273" i="55"/>
  <c r="P314" i="55"/>
  <c r="R314" i="55"/>
  <c r="P677" i="55"/>
  <c r="R677" i="55"/>
  <c r="R594" i="55"/>
  <c r="P386" i="55"/>
  <c r="R386" i="55"/>
  <c r="P651" i="55"/>
  <c r="R651" i="55"/>
  <c r="P768" i="55"/>
  <c r="R768" i="55"/>
  <c r="P336" i="55"/>
  <c r="R336" i="55"/>
  <c r="P337" i="55"/>
  <c r="R337" i="55"/>
  <c r="P447" i="55"/>
  <c r="P437" i="55"/>
  <c r="R437" i="55"/>
  <c r="P842" i="55"/>
  <c r="R842" i="55"/>
  <c r="P874" i="55"/>
  <c r="R874" i="55"/>
  <c r="P364" i="55"/>
  <c r="R364" i="55"/>
  <c r="P694" i="55"/>
  <c r="R694" i="55"/>
  <c r="R424" i="55"/>
  <c r="P809" i="55"/>
  <c r="R809" i="55"/>
  <c r="R422" i="55"/>
  <c r="P13" i="55"/>
  <c r="R13" i="55"/>
  <c r="P10" i="55"/>
  <c r="R10" i="55"/>
  <c r="P7" i="55"/>
  <c r="D6" i="78"/>
  <c r="R7" i="55"/>
  <c r="P882" i="55"/>
  <c r="R882" i="55"/>
  <c r="R720" i="55"/>
  <c r="P252" i="55"/>
  <c r="R252" i="55"/>
  <c r="P309" i="55"/>
  <c r="R309" i="55"/>
  <c r="P274" i="55"/>
  <c r="R274" i="55"/>
  <c r="P258" i="55"/>
  <c r="R258" i="55"/>
  <c r="P657" i="55"/>
  <c r="R657" i="55"/>
  <c r="P278" i="55"/>
  <c r="R278" i="55"/>
  <c r="P51" i="55"/>
  <c r="R51" i="55"/>
  <c r="P910" i="55"/>
  <c r="R910" i="55"/>
  <c r="P290" i="55"/>
  <c r="R290" i="55"/>
  <c r="P917" i="55"/>
  <c r="R917" i="55"/>
  <c r="P841" i="55"/>
  <c r="R841" i="55"/>
  <c r="P834" i="55"/>
  <c r="R834" i="55"/>
  <c r="P563" i="55"/>
  <c r="R563" i="55"/>
  <c r="P884" i="55"/>
  <c r="R884" i="55"/>
  <c r="P906" i="55"/>
  <c r="R906" i="55"/>
  <c r="P692" i="55"/>
  <c r="R692" i="55"/>
  <c r="P867" i="55"/>
  <c r="R867" i="55"/>
  <c r="P12" i="55"/>
  <c r="R12" i="55"/>
  <c r="P9" i="55"/>
  <c r="R9" i="55"/>
  <c r="P372" i="55"/>
  <c r="R372" i="55"/>
  <c r="P895" i="55"/>
  <c r="R895" i="55"/>
  <c r="P594" i="55"/>
  <c r="P720" i="55"/>
  <c r="N895" i="55"/>
  <c r="L683" i="76"/>
  <c r="J683" i="76"/>
  <c r="H683" i="76"/>
  <c r="F683" i="76"/>
  <c r="N683" i="76"/>
  <c r="V683" i="76"/>
  <c r="R683" i="76"/>
  <c r="T683" i="76"/>
  <c r="C1053" i="55"/>
  <c r="H1053" i="55" s="1"/>
  <c r="C1047" i="76"/>
  <c r="P1047" i="76" s="1"/>
  <c r="T1082" i="76"/>
  <c r="V1082" i="76"/>
  <c r="F1082" i="76"/>
  <c r="N1082" i="76"/>
  <c r="J1082" i="76"/>
  <c r="H1082" i="76"/>
  <c r="R1082" i="76"/>
  <c r="H865" i="76"/>
  <c r="L865" i="76"/>
  <c r="J865" i="76"/>
  <c r="F865" i="76"/>
  <c r="R865" i="76"/>
  <c r="N865" i="76"/>
  <c r="V865" i="76"/>
  <c r="T865" i="76"/>
  <c r="L687" i="76"/>
  <c r="J687" i="76"/>
  <c r="H687" i="76"/>
  <c r="V687" i="76"/>
  <c r="F687" i="76"/>
  <c r="N687" i="76"/>
  <c r="R687" i="76"/>
  <c r="T687" i="76"/>
  <c r="C420" i="55"/>
  <c r="T420" i="55" s="1"/>
  <c r="C419" i="76"/>
  <c r="P419" i="76" s="1"/>
  <c r="L636" i="11"/>
  <c r="C1033" i="76"/>
  <c r="P1033" i="76" s="1"/>
  <c r="C713" i="76"/>
  <c r="P713" i="76" s="1"/>
  <c r="C690" i="55"/>
  <c r="T690" i="55" s="1"/>
  <c r="C686" i="76"/>
  <c r="P686" i="76" s="1"/>
  <c r="R1046" i="76"/>
  <c r="F1046" i="76"/>
  <c r="H1046" i="76"/>
  <c r="V1046" i="76"/>
  <c r="J1046" i="76"/>
  <c r="T1046" i="76"/>
  <c r="N1046" i="76"/>
  <c r="L891" i="76"/>
  <c r="T891" i="76"/>
  <c r="N891" i="76"/>
  <c r="F891" i="76"/>
  <c r="R891" i="76"/>
  <c r="J891" i="76"/>
  <c r="H891" i="76"/>
  <c r="V891" i="76"/>
  <c r="R1045" i="76"/>
  <c r="V1045" i="76"/>
  <c r="J1045" i="76"/>
  <c r="T1045" i="76"/>
  <c r="H1045" i="76"/>
  <c r="F1045" i="76"/>
  <c r="N1045" i="76"/>
  <c r="T1074" i="76"/>
  <c r="F1074" i="76"/>
  <c r="V1074" i="76"/>
  <c r="N1074" i="76"/>
  <c r="J1074" i="76"/>
  <c r="H1074" i="76"/>
  <c r="R1074" i="76"/>
  <c r="H720" i="55"/>
  <c r="F720" i="55"/>
  <c r="F21" i="55"/>
  <c r="F273" i="55"/>
  <c r="F258" i="55"/>
  <c r="N1044" i="55"/>
  <c r="F278" i="55"/>
  <c r="N336" i="55"/>
  <c r="N337" i="55"/>
  <c r="F290" i="55"/>
  <c r="N1098" i="55"/>
  <c r="N884" i="55"/>
  <c r="F13" i="55"/>
  <c r="F9" i="55"/>
  <c r="N869" i="55"/>
  <c r="N876" i="55"/>
  <c r="F252" i="55"/>
  <c r="F20" i="55"/>
  <c r="F274" i="55"/>
  <c r="N1043" i="55"/>
  <c r="N1045" i="55"/>
  <c r="F51" i="55"/>
  <c r="N364" i="55"/>
  <c r="F12" i="55"/>
  <c r="F10" i="55"/>
  <c r="F7" i="55"/>
  <c r="N1039" i="55"/>
  <c r="C452" i="55"/>
  <c r="N645" i="55"/>
  <c r="N252" i="55"/>
  <c r="N20" i="55"/>
  <c r="N273" i="55"/>
  <c r="N677" i="55"/>
  <c r="N278" i="55"/>
  <c r="N594" i="55"/>
  <c r="N447" i="55"/>
  <c r="N437" i="55"/>
  <c r="N874" i="55"/>
  <c r="H563" i="55"/>
  <c r="N563" i="55"/>
  <c r="N694" i="55"/>
  <c r="N424" i="55"/>
  <c r="N906" i="55"/>
  <c r="N692" i="55"/>
  <c r="N867" i="55"/>
  <c r="N12" i="55"/>
  <c r="N10" i="55"/>
  <c r="N7" i="55"/>
  <c r="J882" i="55"/>
  <c r="N882" i="55"/>
  <c r="N717" i="55"/>
  <c r="N21" i="55"/>
  <c r="N309" i="55"/>
  <c r="N274" i="55"/>
  <c r="N258" i="55"/>
  <c r="N657" i="55"/>
  <c r="N314" i="55"/>
  <c r="N386" i="55"/>
  <c r="N651" i="55"/>
  <c r="N768" i="55"/>
  <c r="N51" i="55"/>
  <c r="N910" i="55"/>
  <c r="N290" i="55"/>
  <c r="N420" i="55"/>
  <c r="N917" i="55"/>
  <c r="N842" i="55"/>
  <c r="N841" i="55"/>
  <c r="N834" i="55"/>
  <c r="N809" i="55"/>
  <c r="N422" i="55"/>
  <c r="N13" i="55"/>
  <c r="N9" i="55"/>
  <c r="N372" i="55"/>
  <c r="H882" i="55"/>
  <c r="J563" i="55"/>
  <c r="T1098" i="55"/>
  <c r="F690" i="55"/>
  <c r="C1088" i="55"/>
  <c r="F882" i="55"/>
  <c r="J9" i="55"/>
  <c r="H9" i="55"/>
  <c r="L9" i="55"/>
  <c r="J10" i="55"/>
  <c r="H10" i="55"/>
  <c r="L10" i="55"/>
  <c r="L372" i="55"/>
  <c r="H372" i="55"/>
  <c r="F372" i="55"/>
  <c r="J372" i="55"/>
  <c r="L7" i="55"/>
  <c r="H7" i="55"/>
  <c r="J7" i="55"/>
  <c r="K105" i="1"/>
  <c r="C26" i="55"/>
  <c r="T26" i="55" s="1"/>
  <c r="J13" i="55"/>
  <c r="L13" i="55"/>
  <c r="H13" i="55"/>
  <c r="L12" i="55"/>
  <c r="H12" i="55"/>
  <c r="J12" i="55"/>
  <c r="I3980" i="1"/>
  <c r="K3980" i="1" s="1"/>
  <c r="K3963" i="1"/>
  <c r="J867" i="55"/>
  <c r="F867" i="55"/>
  <c r="H867" i="55"/>
  <c r="F884" i="55"/>
  <c r="L1053" i="55"/>
  <c r="J884" i="55"/>
  <c r="H884" i="55"/>
  <c r="L884" i="55"/>
  <c r="K1090" i="11"/>
  <c r="K1094" i="11" s="1"/>
  <c r="K1095" i="11" s="1"/>
  <c r="K3841" i="27"/>
  <c r="K3856" i="27"/>
  <c r="AD553" i="1"/>
  <c r="K3297" i="27"/>
  <c r="K3299" i="27" s="1"/>
  <c r="K3291" i="27" s="1"/>
  <c r="K3293" i="27" s="1"/>
  <c r="K3294" i="27" s="1"/>
  <c r="K2204" i="27" s="1"/>
  <c r="I3322" i="27"/>
  <c r="K3322" i="27" s="1"/>
  <c r="K3324" i="27" s="1"/>
  <c r="K3318" i="27" s="1"/>
  <c r="K3319" i="27" s="1"/>
  <c r="I3937" i="27"/>
  <c r="K3937" i="27" s="1"/>
  <c r="K3075" i="27"/>
  <c r="I3089" i="27"/>
  <c r="K3089" i="27" s="1"/>
  <c r="H3873" i="1"/>
  <c r="J3852" i="1"/>
  <c r="K3914" i="27"/>
  <c r="I2692" i="27"/>
  <c r="K2692" i="27" s="1"/>
  <c r="K2696" i="27" s="1"/>
  <c r="C74" i="27"/>
  <c r="I194" i="27" s="1"/>
  <c r="K194" i="27" s="1"/>
  <c r="K201" i="27" s="1"/>
  <c r="K203" i="27" s="1"/>
  <c r="I1712" i="27" s="1"/>
  <c r="K1712" i="27" s="1"/>
  <c r="K1721" i="27" s="1"/>
  <c r="I166" i="27"/>
  <c r="K166" i="27" s="1"/>
  <c r="K170" i="27" s="1"/>
  <c r="I2681" i="27"/>
  <c r="K2681" i="27" s="1"/>
  <c r="K2685" i="27" s="1"/>
  <c r="K2687" i="27" s="1"/>
  <c r="I2615" i="27"/>
  <c r="K2615" i="27" s="1"/>
  <c r="K2620" i="27" s="1"/>
  <c r="K3544" i="1"/>
  <c r="K3548" i="1" s="1"/>
  <c r="K3549" i="1" s="1"/>
  <c r="AE3544" i="1"/>
  <c r="P3548" i="1"/>
  <c r="R3548" i="1" s="1"/>
  <c r="R3552" i="1" s="1"/>
  <c r="R3553" i="1" s="1"/>
  <c r="V3544" i="1"/>
  <c r="H422" i="55"/>
  <c r="J422" i="55"/>
  <c r="F422" i="55"/>
  <c r="L422" i="55"/>
  <c r="K3226" i="1"/>
  <c r="K3365" i="27"/>
  <c r="K3366" i="27" s="1"/>
  <c r="K3332" i="27"/>
  <c r="K3333" i="27" s="1"/>
  <c r="L3333" i="27" s="1"/>
  <c r="K3931" i="27"/>
  <c r="I3950" i="27"/>
  <c r="K3950" i="27" s="1"/>
  <c r="I2682" i="27"/>
  <c r="K2682" i="27" s="1"/>
  <c r="C73" i="27"/>
  <c r="I174" i="27"/>
  <c r="K174" i="27" s="1"/>
  <c r="K178" i="27" s="1"/>
  <c r="H906" i="55"/>
  <c r="J906" i="55"/>
  <c r="L906" i="55"/>
  <c r="F906" i="55"/>
  <c r="L3277" i="27"/>
  <c r="K2200" i="27"/>
  <c r="AB1424" i="1"/>
  <c r="AD1424" i="1" s="1"/>
  <c r="AD1407" i="1"/>
  <c r="K3443" i="27"/>
  <c r="I3437" i="27" s="1"/>
  <c r="K3437" i="27" s="1"/>
  <c r="K3441" i="27" s="1"/>
  <c r="K2210" i="27" s="1"/>
  <c r="I3483" i="27"/>
  <c r="K4027" i="1"/>
  <c r="K4029" i="1" s="1"/>
  <c r="K4030" i="1" s="1"/>
  <c r="I4039" i="1"/>
  <c r="K4039" i="1" s="1"/>
  <c r="K4041" i="1" s="1"/>
  <c r="K4042" i="1" s="1"/>
  <c r="X3562" i="1"/>
  <c r="V3578" i="1"/>
  <c r="H809" i="55"/>
  <c r="F809" i="55"/>
  <c r="J809" i="55"/>
  <c r="L809" i="55"/>
  <c r="K3911" i="27"/>
  <c r="K3879" i="27"/>
  <c r="K3895" i="27"/>
  <c r="K3898" i="27" s="1"/>
  <c r="K3899" i="27" s="1"/>
  <c r="AG3562" i="1"/>
  <c r="V3625" i="1"/>
  <c r="L692" i="55"/>
  <c r="J692" i="55"/>
  <c r="H692" i="55"/>
  <c r="F692" i="55"/>
  <c r="R1987" i="1"/>
  <c r="H364" i="55"/>
  <c r="L1098" i="55"/>
  <c r="L563" i="55"/>
  <c r="F563" i="55"/>
  <c r="F44" i="50"/>
  <c r="D107" i="50"/>
  <c r="F107" i="50" s="1"/>
  <c r="P2864" i="1"/>
  <c r="R2831" i="1"/>
  <c r="V2792" i="1"/>
  <c r="P2650" i="1"/>
  <c r="R2650" i="1" s="1"/>
  <c r="X1460" i="1"/>
  <c r="AB1458" i="1"/>
  <c r="AD1458" i="1" s="1"/>
  <c r="F694" i="55"/>
  <c r="J694" i="55"/>
  <c r="H694" i="55"/>
  <c r="L694" i="55"/>
  <c r="X1243" i="1"/>
  <c r="AB1248" i="1"/>
  <c r="L424" i="55"/>
  <c r="H424" i="55"/>
  <c r="F424" i="55"/>
  <c r="J424" i="55"/>
  <c r="AG388" i="1"/>
  <c r="AE424" i="1"/>
  <c r="AG424" i="1" s="1"/>
  <c r="AQ195" i="1"/>
  <c r="AS195" i="1" s="1"/>
  <c r="AS163" i="1"/>
  <c r="AU163" i="1" s="1"/>
  <c r="AV163" i="1" s="1"/>
  <c r="AB1457" i="1"/>
  <c r="AD1457" i="1" s="1"/>
  <c r="X1459" i="1"/>
  <c r="X379" i="1"/>
  <c r="V410" i="1"/>
  <c r="X410" i="1" s="1"/>
  <c r="I2643" i="1"/>
  <c r="K2824" i="1"/>
  <c r="J1098" i="55"/>
  <c r="H1098" i="55"/>
  <c r="F1098" i="55"/>
  <c r="I1188" i="11"/>
  <c r="K1188" i="11" s="1"/>
  <c r="K1173" i="11"/>
  <c r="F658" i="25"/>
  <c r="D694" i="25"/>
  <c r="F694" i="25" s="1"/>
  <c r="R1495" i="1"/>
  <c r="V1456" i="1"/>
  <c r="I2960" i="27"/>
  <c r="K2940" i="27"/>
  <c r="K2944" i="27" s="1"/>
  <c r="I3058" i="27"/>
  <c r="R1496" i="1"/>
  <c r="V1457" i="1"/>
  <c r="AC1205" i="1"/>
  <c r="AJ1204" i="1"/>
  <c r="L364" i="55"/>
  <c r="F364" i="55"/>
  <c r="H690" i="55"/>
  <c r="W564" i="1"/>
  <c r="AC564" i="1" s="1"/>
  <c r="AJ564" i="1" s="1"/>
  <c r="J563" i="1"/>
  <c r="M3024" i="27"/>
  <c r="K3023" i="27"/>
  <c r="N3023" i="27"/>
  <c r="J364" i="55"/>
  <c r="J690" i="55"/>
  <c r="T1053" i="55"/>
  <c r="J541" i="1"/>
  <c r="W540" i="1"/>
  <c r="AC540" i="1" s="1"/>
  <c r="AJ540" i="1" s="1"/>
  <c r="L3045" i="27"/>
  <c r="K3044" i="27"/>
  <c r="W489" i="1"/>
  <c r="AC489" i="1" s="1"/>
  <c r="J665" i="1"/>
  <c r="H1088" i="55"/>
  <c r="AS111" i="1"/>
  <c r="AU111" i="1" s="1"/>
  <c r="AV111" i="1" s="1"/>
  <c r="AQ136" i="1"/>
  <c r="S2897" i="27"/>
  <c r="R2896" i="27"/>
  <c r="K3099" i="27"/>
  <c r="P3072" i="27"/>
  <c r="R3072" i="27" s="1"/>
  <c r="V3605" i="1"/>
  <c r="X3605" i="1" s="1"/>
  <c r="X3588" i="1"/>
  <c r="AD1397" i="1"/>
  <c r="F1053" i="55"/>
  <c r="F125" i="25"/>
  <c r="D115" i="25" s="1"/>
  <c r="F115" i="25" s="1"/>
  <c r="K616" i="11"/>
  <c r="K617" i="11" s="1"/>
  <c r="K607" i="11" s="1"/>
  <c r="J874" i="55"/>
  <c r="H874" i="55"/>
  <c r="L874" i="55"/>
  <c r="F874" i="55"/>
  <c r="L2926" i="27"/>
  <c r="K2921" i="27"/>
  <c r="C868" i="76" s="1"/>
  <c r="P868" i="76" s="1"/>
  <c r="R2863" i="27"/>
  <c r="T2864" i="27"/>
  <c r="D87" i="25"/>
  <c r="F86" i="25"/>
  <c r="F621" i="25"/>
  <c r="D657" i="25"/>
  <c r="L437" i="55"/>
  <c r="H437" i="55"/>
  <c r="J437" i="55"/>
  <c r="F437" i="55"/>
  <c r="J842" i="55"/>
  <c r="F842" i="55"/>
  <c r="H842" i="55"/>
  <c r="L842" i="55"/>
  <c r="C687" i="55"/>
  <c r="T687" i="55" s="1"/>
  <c r="K2261" i="1"/>
  <c r="H841" i="55"/>
  <c r="L841" i="55"/>
  <c r="J841" i="55"/>
  <c r="F841" i="55"/>
  <c r="L834" i="55"/>
  <c r="J834" i="55"/>
  <c r="F834" i="55"/>
  <c r="H834" i="55"/>
  <c r="X3621" i="1"/>
  <c r="AB3621" i="1"/>
  <c r="AD3621" i="1" s="1"/>
  <c r="D590" i="25"/>
  <c r="F553" i="25"/>
  <c r="J3853" i="1"/>
  <c r="J3857" i="1" s="1"/>
  <c r="J3859" i="1" s="1"/>
  <c r="H3874" i="1"/>
  <c r="H917" i="55"/>
  <c r="J917" i="55"/>
  <c r="F917" i="55"/>
  <c r="L917" i="55"/>
  <c r="W804" i="11"/>
  <c r="R804" i="11"/>
  <c r="R806" i="11" s="1"/>
  <c r="C844" i="76" s="1"/>
  <c r="K52" i="11"/>
  <c r="K59" i="11"/>
  <c r="K67" i="11" s="1"/>
  <c r="X706" i="1"/>
  <c r="Z706" i="1" s="1"/>
  <c r="V676" i="1"/>
  <c r="X676" i="1" s="1"/>
  <c r="F147" i="25"/>
  <c r="D169" i="25"/>
  <c r="F169" i="25" s="1"/>
  <c r="H336" i="55"/>
  <c r="J336" i="55"/>
  <c r="L336" i="55"/>
  <c r="F336" i="55"/>
  <c r="V1445" i="1"/>
  <c r="R1484" i="1"/>
  <c r="AD1411" i="1"/>
  <c r="AB1428" i="1"/>
  <c r="AD1428" i="1" s="1"/>
  <c r="X1461" i="1"/>
  <c r="AB1459" i="1"/>
  <c r="AD1459" i="1" s="1"/>
  <c r="AB1436" i="1"/>
  <c r="AD1436" i="1" s="1"/>
  <c r="X1438" i="1"/>
  <c r="V3247" i="1"/>
  <c r="X3247" i="1" s="1"/>
  <c r="P3360" i="1"/>
  <c r="R3360" i="1" s="1"/>
  <c r="R3291" i="1"/>
  <c r="P3394" i="1"/>
  <c r="R3394" i="1" s="1"/>
  <c r="H290" i="55"/>
  <c r="L290" i="55"/>
  <c r="J290" i="55"/>
  <c r="AE2787" i="1"/>
  <c r="AG2787" i="1" s="1"/>
  <c r="P2821" i="1"/>
  <c r="I2864" i="1"/>
  <c r="K2864" i="1" s="1"/>
  <c r="K2875" i="1" s="1"/>
  <c r="K2877" i="1" s="1"/>
  <c r="K2814" i="1"/>
  <c r="I3600" i="1"/>
  <c r="P2641" i="1"/>
  <c r="K2634" i="1"/>
  <c r="V2602" i="1"/>
  <c r="I3421" i="1"/>
  <c r="P2074" i="1"/>
  <c r="R2074" i="1" s="1"/>
  <c r="K3100" i="1"/>
  <c r="X2601" i="1"/>
  <c r="AE2615" i="1"/>
  <c r="AG2615" i="1" s="1"/>
  <c r="Z2599" i="1"/>
  <c r="AE2649" i="1"/>
  <c r="AG2649" i="1" s="1"/>
  <c r="K3282" i="1"/>
  <c r="V3250" i="1"/>
  <c r="X3250" i="1" s="1"/>
  <c r="K950" i="1"/>
  <c r="K3319" i="1"/>
  <c r="K3329" i="1" s="1"/>
  <c r="K3331" i="1" s="1"/>
  <c r="K3147" i="1"/>
  <c r="K3157" i="1" s="1"/>
  <c r="K3159" i="1" s="1"/>
  <c r="P3154" i="1"/>
  <c r="J420" i="55"/>
  <c r="L420" i="55"/>
  <c r="C691" i="55"/>
  <c r="T691" i="55" s="1"/>
  <c r="K2265" i="1"/>
  <c r="P2822" i="1"/>
  <c r="K2815" i="1"/>
  <c r="K2825" i="1" s="1"/>
  <c r="K2827" i="1" s="1"/>
  <c r="I3479" i="1"/>
  <c r="K3479" i="1" s="1"/>
  <c r="P1064" i="1"/>
  <c r="K1053" i="1"/>
  <c r="P1089" i="1"/>
  <c r="AE1062" i="1"/>
  <c r="AG1062" i="1" s="1"/>
  <c r="P987" i="1"/>
  <c r="R987" i="1" s="1"/>
  <c r="K2663" i="1"/>
  <c r="K2674" i="1" s="1"/>
  <c r="K2676" i="1" s="1"/>
  <c r="P2670" i="1"/>
  <c r="I3101" i="1"/>
  <c r="I3388" i="1"/>
  <c r="I3478" i="1" s="1"/>
  <c r="K3478" i="1" s="1"/>
  <c r="I986" i="1"/>
  <c r="K986" i="1" s="1"/>
  <c r="I1071" i="1"/>
  <c r="K1071" i="1" s="1"/>
  <c r="K1079" i="1" s="1"/>
  <c r="K1081" i="1" s="1"/>
  <c r="I1054" i="1"/>
  <c r="I1016" i="1"/>
  <c r="K1016" i="1" s="1"/>
  <c r="I1102" i="1"/>
  <c r="I1086" i="1"/>
  <c r="K1086" i="1" s="1"/>
  <c r="K1095" i="1" s="1"/>
  <c r="K1097" i="1" s="1"/>
  <c r="P211" i="1"/>
  <c r="R211" i="1" s="1"/>
  <c r="R221" i="1" s="1"/>
  <c r="R224" i="1" s="1"/>
  <c r="I1128" i="1"/>
  <c r="K1128" i="1" s="1"/>
  <c r="K1139" i="1" s="1"/>
  <c r="K1141" i="1" s="1"/>
  <c r="I928" i="1"/>
  <c r="K928" i="1" s="1"/>
  <c r="K930" i="1" s="1"/>
  <c r="I951" i="1"/>
  <c r="R2820" i="1"/>
  <c r="P2853" i="1"/>
  <c r="R2853" i="1" s="1"/>
  <c r="R2640" i="1"/>
  <c r="R3221" i="1"/>
  <c r="P3435" i="1"/>
  <c r="R3435" i="1" s="1"/>
  <c r="P3323" i="1"/>
  <c r="R3323" i="1" s="1"/>
  <c r="J447" i="55"/>
  <c r="F447" i="55"/>
  <c r="H447" i="55"/>
  <c r="L447" i="55"/>
  <c r="I1017" i="1"/>
  <c r="I952" i="1"/>
  <c r="K952" i="1" s="1"/>
  <c r="I987" i="1"/>
  <c r="K987" i="1" s="1"/>
  <c r="P3292" i="1"/>
  <c r="P3222" i="1"/>
  <c r="P3258" i="1"/>
  <c r="R3258" i="1" s="1"/>
  <c r="R3270" i="1" s="1"/>
  <c r="R3272" i="1" s="1"/>
  <c r="R3189" i="1"/>
  <c r="R3201" i="1" s="1"/>
  <c r="R3203" i="1" s="1"/>
  <c r="AB1218" i="1"/>
  <c r="AD1218" i="1" s="1"/>
  <c r="AD1246" i="1"/>
  <c r="V3618" i="1"/>
  <c r="X3603" i="1"/>
  <c r="AD1245" i="1"/>
  <c r="AB1217" i="1"/>
  <c r="AD1217" i="1" s="1"/>
  <c r="L3208" i="1"/>
  <c r="L3211" i="1" s="1"/>
  <c r="K3245" i="1"/>
  <c r="K3247" i="1" s="1"/>
  <c r="K3214" i="1"/>
  <c r="K3216" i="1" s="1"/>
  <c r="L3177" i="1"/>
  <c r="L3180" i="1" s="1"/>
  <c r="L3182" i="1" s="1"/>
  <c r="F910" i="55"/>
  <c r="H910" i="55"/>
  <c r="J910" i="55"/>
  <c r="L910" i="55"/>
  <c r="AB1224" i="1"/>
  <c r="AD1224" i="1" s="1"/>
  <c r="AD1252" i="1"/>
  <c r="X1245" i="1"/>
  <c r="AB1250" i="1"/>
  <c r="K3273" i="1"/>
  <c r="K3275" i="1" s="1"/>
  <c r="L3233" i="1"/>
  <c r="L3239" i="1" s="1"/>
  <c r="L3241" i="1" s="1"/>
  <c r="L3192" i="1"/>
  <c r="L3195" i="1" s="1"/>
  <c r="L3197" i="1" s="1"/>
  <c r="K3229" i="1"/>
  <c r="K3231" i="1" s="1"/>
  <c r="F149" i="25"/>
  <c r="F152" i="25" s="1"/>
  <c r="D141" i="25" s="1"/>
  <c r="D171" i="25"/>
  <c r="F171" i="25" s="1"/>
  <c r="AB1251" i="1"/>
  <c r="X1246" i="1"/>
  <c r="AS137" i="1"/>
  <c r="AU137" i="1" s="1"/>
  <c r="AV137" i="1" s="1"/>
  <c r="AQ168" i="1"/>
  <c r="AS168" i="1" s="1"/>
  <c r="AU168" i="1" s="1"/>
  <c r="AV168" i="1" s="1"/>
  <c r="F337" i="55"/>
  <c r="J337" i="55"/>
  <c r="L337" i="55"/>
  <c r="H337" i="55"/>
  <c r="R2100" i="1"/>
  <c r="P2107" i="1"/>
  <c r="K3504" i="1"/>
  <c r="L51" i="55"/>
  <c r="J51" i="55"/>
  <c r="H51" i="55"/>
  <c r="P22" i="1"/>
  <c r="I152" i="1"/>
  <c r="K152" i="1" s="1"/>
  <c r="K161" i="1" s="1"/>
  <c r="P627" i="1"/>
  <c r="R627" i="1" s="1"/>
  <c r="I140" i="1"/>
  <c r="K36" i="1"/>
  <c r="K40" i="1" s="1"/>
  <c r="I45" i="1"/>
  <c r="I19" i="1"/>
  <c r="I2148" i="1"/>
  <c r="I272" i="1"/>
  <c r="K272" i="1" s="1"/>
  <c r="I54" i="1"/>
  <c r="I1753" i="1"/>
  <c r="K1753" i="1" s="1"/>
  <c r="K1760" i="1" s="1"/>
  <c r="K1762" i="1" s="1"/>
  <c r="I505" i="1"/>
  <c r="I73" i="1"/>
  <c r="I2128" i="1"/>
  <c r="K2128" i="1" s="1"/>
  <c r="K2136" i="1" s="1"/>
  <c r="K2138" i="1" s="1"/>
  <c r="I809" i="1"/>
  <c r="P10" i="1"/>
  <c r="R10" i="1" s="1"/>
  <c r="R14" i="1" s="1"/>
  <c r="I10" i="1"/>
  <c r="P1143" i="1"/>
  <c r="I28" i="1"/>
  <c r="I64" i="1"/>
  <c r="F42" i="32"/>
  <c r="H42" i="32" s="1"/>
  <c r="D105" i="32"/>
  <c r="F105" i="32" s="1"/>
  <c r="V800" i="1"/>
  <c r="C73" i="1"/>
  <c r="V705" i="1"/>
  <c r="I175" i="1"/>
  <c r="K175" i="1" s="1"/>
  <c r="K179" i="1" s="1"/>
  <c r="V762" i="1"/>
  <c r="X762" i="1" s="1"/>
  <c r="AC15" i="1"/>
  <c r="I3502" i="1"/>
  <c r="I3500" i="1"/>
  <c r="L645" i="55"/>
  <c r="F645" i="55"/>
  <c r="H645" i="55"/>
  <c r="J645" i="55"/>
  <c r="X3162" i="1"/>
  <c r="D551" i="25"/>
  <c r="I3955" i="1"/>
  <c r="K3939" i="1"/>
  <c r="P1536" i="1"/>
  <c r="R1536" i="1" s="1"/>
  <c r="R1543" i="1" s="1"/>
  <c r="R1545" i="1" s="1"/>
  <c r="C771" i="76" s="1"/>
  <c r="V1454" i="1"/>
  <c r="R1493" i="1"/>
  <c r="F546" i="64"/>
  <c r="F549" i="64" s="1"/>
  <c r="AB1403" i="1"/>
  <c r="X1405" i="1"/>
  <c r="X1415" i="1" s="1"/>
  <c r="L274" i="55"/>
  <c r="J274" i="55"/>
  <c r="H274" i="55"/>
  <c r="V1320" i="1"/>
  <c r="X1320" i="1" s="1"/>
  <c r="X1300" i="1"/>
  <c r="AD1404" i="1"/>
  <c r="AB1421" i="1"/>
  <c r="AD1421" i="1" s="1"/>
  <c r="L1045" i="55"/>
  <c r="H1045" i="55"/>
  <c r="T1045" i="55"/>
  <c r="F1045" i="55"/>
  <c r="J1045" i="55"/>
  <c r="I2468" i="27"/>
  <c r="K2468" i="27" s="1"/>
  <c r="I2311" i="27"/>
  <c r="K2311" i="27" s="1"/>
  <c r="I710" i="1"/>
  <c r="K710" i="1" s="1"/>
  <c r="C279" i="55"/>
  <c r="T279" i="55" s="1"/>
  <c r="D65" i="78"/>
  <c r="F65" i="78" s="1"/>
  <c r="C881" i="55"/>
  <c r="T881" i="55" s="1"/>
  <c r="K2410" i="1"/>
  <c r="K2415" i="1" s="1"/>
  <c r="I2443" i="1"/>
  <c r="K2443" i="1" s="1"/>
  <c r="L768" i="55"/>
  <c r="F768" i="55"/>
  <c r="J768" i="55"/>
  <c r="H768" i="55"/>
  <c r="X3574" i="1"/>
  <c r="V3589" i="1"/>
  <c r="R1892" i="1"/>
  <c r="R1899" i="1" s="1"/>
  <c r="R1901" i="1" s="1"/>
  <c r="P1910" i="1" s="1"/>
  <c r="R1910" i="1" s="1"/>
  <c r="R1912" i="1" s="1"/>
  <c r="AS65" i="1"/>
  <c r="AQ89" i="1"/>
  <c r="L20" i="55"/>
  <c r="H20" i="55"/>
  <c r="J20" i="55"/>
  <c r="K565" i="11"/>
  <c r="I3396" i="27"/>
  <c r="R1476" i="1"/>
  <c r="R1478" i="1" s="1"/>
  <c r="R1479" i="1" s="1"/>
  <c r="V1437" i="1"/>
  <c r="P1483" i="1"/>
  <c r="K3944" i="1"/>
  <c r="I3960" i="1"/>
  <c r="L258" i="55"/>
  <c r="H258" i="55"/>
  <c r="J258" i="55"/>
  <c r="F314" i="55"/>
  <c r="L314" i="55"/>
  <c r="J314" i="55"/>
  <c r="H314" i="55"/>
  <c r="H1044" i="55"/>
  <c r="F1044" i="55"/>
  <c r="J1044" i="55"/>
  <c r="T1044" i="55"/>
  <c r="L1044" i="55"/>
  <c r="K134" i="11"/>
  <c r="C689" i="76" s="1"/>
  <c r="P689" i="76" s="1"/>
  <c r="L134" i="11"/>
  <c r="F594" i="55"/>
  <c r="J594" i="55"/>
  <c r="H594" i="55"/>
  <c r="L594" i="55"/>
  <c r="H651" i="55"/>
  <c r="F651" i="55"/>
  <c r="J651" i="55"/>
  <c r="L651" i="55"/>
  <c r="V860" i="1"/>
  <c r="X860" i="1" s="1"/>
  <c r="P853" i="1"/>
  <c r="R853" i="1" s="1"/>
  <c r="K860" i="1"/>
  <c r="I3300" i="1"/>
  <c r="K3300" i="1" s="1"/>
  <c r="R1259" i="1"/>
  <c r="P1236" i="1"/>
  <c r="R1236" i="1" s="1"/>
  <c r="V1239" i="1"/>
  <c r="J252" i="55"/>
  <c r="H252" i="55"/>
  <c r="L252" i="55"/>
  <c r="I1113" i="11"/>
  <c r="K1113" i="11" s="1"/>
  <c r="K1116" i="11" s="1"/>
  <c r="K1118" i="11" s="1"/>
  <c r="K243" i="11"/>
  <c r="K246" i="11" s="1"/>
  <c r="I269" i="11"/>
  <c r="H21" i="55"/>
  <c r="L21" i="55"/>
  <c r="J21" i="55"/>
  <c r="K589" i="11"/>
  <c r="I584" i="11" s="1"/>
  <c r="I611" i="11"/>
  <c r="K3595" i="1"/>
  <c r="C658" i="55"/>
  <c r="T658" i="55" s="1"/>
  <c r="K614" i="1"/>
  <c r="I614" i="1"/>
  <c r="C259" i="55"/>
  <c r="T259" i="55" s="1"/>
  <c r="AD1190" i="1"/>
  <c r="AI1190" i="1"/>
  <c r="AK1190" i="1" s="1"/>
  <c r="AG390" i="1"/>
  <c r="AE426" i="1"/>
  <c r="AQ390" i="1"/>
  <c r="AS390" i="1" s="1"/>
  <c r="AE404" i="1"/>
  <c r="AG404" i="1" s="1"/>
  <c r="T1043" i="55"/>
  <c r="J1043" i="55"/>
  <c r="L1043" i="55"/>
  <c r="H1043" i="55"/>
  <c r="F1043" i="55"/>
  <c r="X592" i="1"/>
  <c r="C653" i="76" s="1"/>
  <c r="C653" i="55"/>
  <c r="T653" i="55" s="1"/>
  <c r="C652" i="55"/>
  <c r="T652" i="55" s="1"/>
  <c r="X878" i="1"/>
  <c r="V894" i="1"/>
  <c r="X894" i="1" s="1"/>
  <c r="I592" i="1"/>
  <c r="K592" i="1" s="1"/>
  <c r="C646" i="55"/>
  <c r="T646" i="55" s="1"/>
  <c r="C253" i="55"/>
  <c r="K232" i="11"/>
  <c r="L232" i="11"/>
  <c r="AG313" i="1"/>
  <c r="I2396" i="27"/>
  <c r="I2395" i="27"/>
  <c r="I2378" i="27"/>
  <c r="K2378" i="27" s="1"/>
  <c r="I2354" i="27" s="1"/>
  <c r="K2354" i="27" s="1"/>
  <c r="K2356" i="27" s="1"/>
  <c r="K2357" i="27" s="1"/>
  <c r="I586" i="27"/>
  <c r="K586" i="27"/>
  <c r="I2957" i="1"/>
  <c r="K2957" i="1" s="1"/>
  <c r="K2948" i="1"/>
  <c r="J309" i="55"/>
  <c r="F309" i="55"/>
  <c r="L309" i="55"/>
  <c r="H309" i="55"/>
  <c r="L273" i="55"/>
  <c r="J273" i="55"/>
  <c r="H273" i="55"/>
  <c r="L657" i="55"/>
  <c r="F657" i="55"/>
  <c r="J657" i="55"/>
  <c r="H657" i="55"/>
  <c r="AI553" i="1"/>
  <c r="AK529" i="1"/>
  <c r="H677" i="55"/>
  <c r="J677" i="55"/>
  <c r="F677" i="55"/>
  <c r="L677" i="55"/>
  <c r="K2453" i="27"/>
  <c r="K2455" i="27"/>
  <c r="L278" i="55"/>
  <c r="J278" i="55"/>
  <c r="H278" i="55"/>
  <c r="L386" i="55"/>
  <c r="H386" i="55"/>
  <c r="J386" i="55"/>
  <c r="F386" i="55"/>
  <c r="F609" i="64"/>
  <c r="F612" i="64" s="1"/>
  <c r="V1422" i="1"/>
  <c r="X1422" i="1" s="1"/>
  <c r="X1432" i="1" s="1"/>
  <c r="R1461" i="1"/>
  <c r="R1471" i="1" s="1"/>
  <c r="P1492" i="1"/>
  <c r="N3398" i="27"/>
  <c r="L2900" i="27"/>
  <c r="K2899" i="27"/>
  <c r="C867" i="76" s="1"/>
  <c r="P867" i="76" s="1"/>
  <c r="L2885" i="27"/>
  <c r="K2884" i="27"/>
  <c r="C866" i="76" s="1"/>
  <c r="P866" i="76" s="1"/>
  <c r="M3744" i="27"/>
  <c r="K2203" i="27"/>
  <c r="F1039" i="55"/>
  <c r="J1039" i="55"/>
  <c r="H1039" i="55"/>
  <c r="T1039" i="55"/>
  <c r="L1039" i="55"/>
  <c r="L869" i="55"/>
  <c r="J869" i="55"/>
  <c r="H869" i="55"/>
  <c r="F869" i="55"/>
  <c r="L717" i="55"/>
  <c r="F717" i="55"/>
  <c r="J717" i="55"/>
  <c r="H717" i="55"/>
  <c r="F876" i="55"/>
  <c r="L876" i="55"/>
  <c r="J876" i="55"/>
  <c r="H876" i="55"/>
  <c r="C823" i="76" l="1"/>
  <c r="C824" i="76"/>
  <c r="C319" i="76"/>
  <c r="C658" i="76"/>
  <c r="C260" i="76"/>
  <c r="C44" i="55"/>
  <c r="T44" i="55" s="1"/>
  <c r="C44" i="76"/>
  <c r="C404" i="55"/>
  <c r="T404" i="55" s="1"/>
  <c r="C403" i="76"/>
  <c r="C39" i="55"/>
  <c r="T39" i="55" s="1"/>
  <c r="C39" i="76"/>
  <c r="C1101" i="55"/>
  <c r="C1095" i="76"/>
  <c r="C625" i="55"/>
  <c r="T625" i="55" s="1"/>
  <c r="C625" i="76"/>
  <c r="J1053" i="55"/>
  <c r="L690" i="55"/>
  <c r="N690" i="55"/>
  <c r="N1053" i="55"/>
  <c r="P422" i="55"/>
  <c r="P424" i="55"/>
  <c r="P314" i="76"/>
  <c r="L314" i="76"/>
  <c r="N314" i="76"/>
  <c r="J314" i="76"/>
  <c r="V314" i="76"/>
  <c r="F314" i="76"/>
  <c r="H314" i="76"/>
  <c r="R314" i="76"/>
  <c r="T314" i="76"/>
  <c r="L651" i="76"/>
  <c r="P651" i="76"/>
  <c r="J651" i="76"/>
  <c r="N651" i="76"/>
  <c r="H651" i="76"/>
  <c r="F651" i="76"/>
  <c r="V651" i="76"/>
  <c r="R651" i="76"/>
  <c r="T651" i="76"/>
  <c r="P645" i="76"/>
  <c r="L645" i="76"/>
  <c r="J645" i="76"/>
  <c r="F645" i="76"/>
  <c r="N645" i="76"/>
  <c r="H645" i="76"/>
  <c r="V645" i="76"/>
  <c r="T645" i="76"/>
  <c r="R645" i="76"/>
  <c r="P804" i="76"/>
  <c r="L804" i="76"/>
  <c r="N804" i="76"/>
  <c r="J804" i="76"/>
  <c r="R804" i="76"/>
  <c r="H804" i="76"/>
  <c r="V804" i="76"/>
  <c r="T804" i="76"/>
  <c r="F804" i="76"/>
  <c r="L336" i="76"/>
  <c r="P336" i="76"/>
  <c r="N336" i="76"/>
  <c r="J336" i="76"/>
  <c r="H336" i="76"/>
  <c r="V336" i="76"/>
  <c r="F336" i="76"/>
  <c r="T336" i="76"/>
  <c r="R336" i="76"/>
  <c r="P1039" i="76"/>
  <c r="R1039" i="76"/>
  <c r="V1039" i="76"/>
  <c r="J1039" i="76"/>
  <c r="F1039" i="76"/>
  <c r="T1039" i="76"/>
  <c r="H1039" i="76"/>
  <c r="N1039" i="76"/>
  <c r="C1104" i="55"/>
  <c r="C1098" i="76"/>
  <c r="C1028" i="55"/>
  <c r="P1028" i="55" s="1"/>
  <c r="C1022" i="76"/>
  <c r="C605" i="76"/>
  <c r="C301" i="76"/>
  <c r="C603" i="76"/>
  <c r="C299" i="76"/>
  <c r="C615" i="55"/>
  <c r="T615" i="55" s="1"/>
  <c r="C615" i="76"/>
  <c r="C608" i="76"/>
  <c r="C1040" i="76"/>
  <c r="P371" i="76"/>
  <c r="H371" i="76"/>
  <c r="L371" i="76"/>
  <c r="F371" i="76"/>
  <c r="N371" i="76"/>
  <c r="J371" i="76"/>
  <c r="V371" i="76"/>
  <c r="T371" i="76"/>
  <c r="R371" i="76"/>
  <c r="P363" i="76"/>
  <c r="H363" i="76"/>
  <c r="L363" i="76"/>
  <c r="F363" i="76"/>
  <c r="N363" i="76"/>
  <c r="J363" i="76"/>
  <c r="V363" i="76"/>
  <c r="R363" i="76"/>
  <c r="T363" i="76"/>
  <c r="P13" i="76"/>
  <c r="F13" i="76"/>
  <c r="H13" i="76"/>
  <c r="N13" i="76"/>
  <c r="T13" i="76"/>
  <c r="R13" i="76"/>
  <c r="J13" i="76"/>
  <c r="V13" i="76"/>
  <c r="P1037" i="76"/>
  <c r="R1037" i="76"/>
  <c r="J1037" i="76"/>
  <c r="F1037" i="76"/>
  <c r="V1037" i="76"/>
  <c r="T1037" i="76"/>
  <c r="H1037" i="76"/>
  <c r="N1037" i="76"/>
  <c r="L309" i="76"/>
  <c r="P309" i="76"/>
  <c r="N309" i="76"/>
  <c r="J309" i="76"/>
  <c r="H309" i="76"/>
  <c r="V309" i="76"/>
  <c r="F309" i="76"/>
  <c r="T309" i="76"/>
  <c r="R309" i="76"/>
  <c r="L51" i="76"/>
  <c r="P51" i="76"/>
  <c r="N51" i="76"/>
  <c r="J51" i="76"/>
  <c r="H51" i="76"/>
  <c r="V51" i="76"/>
  <c r="F51" i="76"/>
  <c r="R51" i="76"/>
  <c r="T51" i="76"/>
  <c r="L673" i="76"/>
  <c r="P673" i="76"/>
  <c r="J673" i="76"/>
  <c r="F673" i="76"/>
  <c r="N673" i="76"/>
  <c r="H673" i="76"/>
  <c r="V673" i="76"/>
  <c r="T673" i="76"/>
  <c r="R673" i="76"/>
  <c r="C646" i="76"/>
  <c r="C254" i="76"/>
  <c r="L653" i="76"/>
  <c r="P653" i="76"/>
  <c r="N653" i="76"/>
  <c r="F653" i="76"/>
  <c r="H653" i="76"/>
  <c r="J653" i="76"/>
  <c r="V653" i="76"/>
  <c r="T653" i="76"/>
  <c r="R653" i="76"/>
  <c r="C1103" i="55"/>
  <c r="C1097" i="76"/>
  <c r="C291" i="55"/>
  <c r="C291" i="76"/>
  <c r="C317" i="55"/>
  <c r="T317" i="55" s="1"/>
  <c r="C317" i="76"/>
  <c r="C811" i="55"/>
  <c r="C806" i="76"/>
  <c r="C27" i="55"/>
  <c r="T27" i="55" s="1"/>
  <c r="C27" i="76"/>
  <c r="P837" i="76"/>
  <c r="L837" i="76"/>
  <c r="T837" i="76"/>
  <c r="H837" i="76"/>
  <c r="J837" i="76"/>
  <c r="N837" i="76"/>
  <c r="V837" i="76"/>
  <c r="F837" i="76"/>
  <c r="R837" i="76"/>
  <c r="P1038" i="76"/>
  <c r="R1038" i="76"/>
  <c r="F1038" i="76"/>
  <c r="V1038" i="76"/>
  <c r="T1038" i="76"/>
  <c r="H1038" i="76"/>
  <c r="J1038" i="76"/>
  <c r="N1038" i="76"/>
  <c r="P259" i="76"/>
  <c r="H259" i="76"/>
  <c r="L259" i="76"/>
  <c r="N259" i="76"/>
  <c r="J259" i="76"/>
  <c r="V259" i="76"/>
  <c r="F259" i="76"/>
  <c r="R259" i="76"/>
  <c r="T259" i="76"/>
  <c r="P10" i="76"/>
  <c r="F10" i="76"/>
  <c r="V10" i="76"/>
  <c r="J10" i="76"/>
  <c r="N10" i="76"/>
  <c r="T10" i="76"/>
  <c r="R10" i="76"/>
  <c r="H10" i="76"/>
  <c r="P1092" i="76"/>
  <c r="T1092" i="76"/>
  <c r="V1092" i="76"/>
  <c r="H1092" i="76"/>
  <c r="F1092" i="76"/>
  <c r="R1092" i="76"/>
  <c r="N1092" i="76"/>
  <c r="J1092" i="76"/>
  <c r="P763" i="76"/>
  <c r="H763" i="76"/>
  <c r="L763" i="76"/>
  <c r="T763" i="76"/>
  <c r="J763" i="76"/>
  <c r="N763" i="76"/>
  <c r="V763" i="76"/>
  <c r="R763" i="76"/>
  <c r="F763" i="76"/>
  <c r="L21" i="76"/>
  <c r="P21" i="76"/>
  <c r="H21" i="76"/>
  <c r="V21" i="76"/>
  <c r="N21" i="76"/>
  <c r="J21" i="76"/>
  <c r="F21" i="76"/>
  <c r="T21" i="76"/>
  <c r="R21" i="76"/>
  <c r="C710" i="55"/>
  <c r="T710" i="55" s="1"/>
  <c r="C706" i="76"/>
  <c r="C387" i="55"/>
  <c r="T387" i="55" s="1"/>
  <c r="C386" i="76"/>
  <c r="C280" i="55"/>
  <c r="T280" i="55" s="1"/>
  <c r="C280" i="76"/>
  <c r="P771" i="76"/>
  <c r="H771" i="76"/>
  <c r="L771" i="76"/>
  <c r="J771" i="76"/>
  <c r="N771" i="76"/>
  <c r="T771" i="76"/>
  <c r="F771" i="76"/>
  <c r="V771" i="76"/>
  <c r="R771" i="76"/>
  <c r="C371" i="55"/>
  <c r="C370" i="76"/>
  <c r="C1102" i="55"/>
  <c r="C1096" i="76"/>
  <c r="L836" i="76"/>
  <c r="P836" i="76"/>
  <c r="N836" i="76"/>
  <c r="H836" i="76"/>
  <c r="T836" i="76"/>
  <c r="J836" i="76"/>
  <c r="V836" i="76"/>
  <c r="R836" i="76"/>
  <c r="F836" i="76"/>
  <c r="L880" i="76"/>
  <c r="P880" i="76"/>
  <c r="N880" i="76"/>
  <c r="R880" i="76"/>
  <c r="H880" i="76"/>
  <c r="V880" i="76"/>
  <c r="J880" i="76"/>
  <c r="F880" i="76"/>
  <c r="T880" i="76"/>
  <c r="P906" i="76"/>
  <c r="L906" i="76"/>
  <c r="N906" i="76"/>
  <c r="V906" i="76"/>
  <c r="R906" i="76"/>
  <c r="H906" i="76"/>
  <c r="J906" i="76"/>
  <c r="F906" i="76"/>
  <c r="T906" i="76"/>
  <c r="L657" i="76"/>
  <c r="P657" i="76"/>
  <c r="J657" i="76"/>
  <c r="F657" i="76"/>
  <c r="N657" i="76"/>
  <c r="H657" i="76"/>
  <c r="V657" i="76"/>
  <c r="R657" i="76"/>
  <c r="T657" i="76"/>
  <c r="L652" i="76"/>
  <c r="P652" i="76"/>
  <c r="N652" i="76"/>
  <c r="J652" i="76"/>
  <c r="F652" i="76"/>
  <c r="H652" i="76"/>
  <c r="V652" i="76"/>
  <c r="R652" i="76"/>
  <c r="T652" i="76"/>
  <c r="L274" i="76"/>
  <c r="P274" i="76"/>
  <c r="J274" i="76"/>
  <c r="N274" i="76"/>
  <c r="H274" i="76"/>
  <c r="V274" i="76"/>
  <c r="F274" i="76"/>
  <c r="T274" i="76"/>
  <c r="R274" i="76"/>
  <c r="P253" i="76"/>
  <c r="H253" i="76"/>
  <c r="L253" i="76"/>
  <c r="N253" i="76"/>
  <c r="J253" i="76"/>
  <c r="F253" i="76"/>
  <c r="V253" i="76"/>
  <c r="T253" i="76"/>
  <c r="R253" i="76"/>
  <c r="P290" i="76"/>
  <c r="L290" i="76"/>
  <c r="J290" i="76"/>
  <c r="N290" i="76"/>
  <c r="H290" i="76"/>
  <c r="V290" i="76"/>
  <c r="R290" i="76"/>
  <c r="T290" i="76"/>
  <c r="F290" i="76"/>
  <c r="P385" i="76"/>
  <c r="H385" i="76"/>
  <c r="L385" i="76"/>
  <c r="N385" i="76"/>
  <c r="J385" i="76"/>
  <c r="F385" i="76"/>
  <c r="V385" i="76"/>
  <c r="T385" i="76"/>
  <c r="R385" i="76"/>
  <c r="L862" i="76"/>
  <c r="N862" i="76"/>
  <c r="V862" i="76"/>
  <c r="F862" i="76"/>
  <c r="P862" i="76"/>
  <c r="T862" i="76"/>
  <c r="J862" i="76"/>
  <c r="H862" i="76"/>
  <c r="R862" i="76"/>
  <c r="P375" i="76"/>
  <c r="L375" i="76"/>
  <c r="N375" i="76"/>
  <c r="T375" i="76"/>
  <c r="H375" i="76"/>
  <c r="F375" i="76"/>
  <c r="J375" i="76"/>
  <c r="V375" i="76"/>
  <c r="R375" i="76"/>
  <c r="L877" i="76"/>
  <c r="J877" i="76"/>
  <c r="H877" i="76"/>
  <c r="F877" i="76"/>
  <c r="P877" i="76"/>
  <c r="R877" i="76"/>
  <c r="N877" i="76"/>
  <c r="V877" i="76"/>
  <c r="T877" i="76"/>
  <c r="H420" i="55"/>
  <c r="F420" i="55"/>
  <c r="D36" i="78"/>
  <c r="F36" i="78" s="1"/>
  <c r="T291" i="55"/>
  <c r="D106" i="78"/>
  <c r="F106" i="78" s="1"/>
  <c r="T811" i="55"/>
  <c r="D76" i="78"/>
  <c r="F76" i="78" s="1"/>
  <c r="T452" i="55"/>
  <c r="D94" i="78"/>
  <c r="F94" i="78" s="1"/>
  <c r="T253" i="55"/>
  <c r="D61" i="78"/>
  <c r="F61" i="78" s="1"/>
  <c r="T371" i="55"/>
  <c r="R447" i="55"/>
  <c r="L844" i="76"/>
  <c r="T844" i="76"/>
  <c r="J844" i="76"/>
  <c r="H844" i="76"/>
  <c r="V844" i="76"/>
  <c r="P844" i="76"/>
  <c r="N844" i="76"/>
  <c r="F844" i="76"/>
  <c r="R844" i="76"/>
  <c r="P421" i="76"/>
  <c r="H421" i="76"/>
  <c r="N421" i="76"/>
  <c r="V421" i="76"/>
  <c r="R421" i="76"/>
  <c r="T421" i="76"/>
  <c r="L421" i="76"/>
  <c r="F421" i="76"/>
  <c r="J421" i="76"/>
  <c r="P423" i="76"/>
  <c r="H423" i="76"/>
  <c r="F423" i="76"/>
  <c r="J423" i="76"/>
  <c r="L423" i="76"/>
  <c r="N423" i="76"/>
  <c r="V423" i="76"/>
  <c r="R423" i="76"/>
  <c r="T423" i="76"/>
  <c r="L446" i="76"/>
  <c r="F446" i="76"/>
  <c r="J446" i="76"/>
  <c r="V446" i="76"/>
  <c r="R446" i="76"/>
  <c r="T446" i="76"/>
  <c r="P446" i="76"/>
  <c r="N446" i="76"/>
  <c r="H446" i="76"/>
  <c r="P646" i="55"/>
  <c r="R646" i="55"/>
  <c r="P652" i="55"/>
  <c r="R652" i="55"/>
  <c r="P259" i="55"/>
  <c r="R259" i="55"/>
  <c r="P881" i="55"/>
  <c r="R881" i="55"/>
  <c r="P279" i="55"/>
  <c r="R279" i="55"/>
  <c r="P44" i="55"/>
  <c r="R44" i="55"/>
  <c r="P404" i="55"/>
  <c r="R404" i="55"/>
  <c r="P39" i="55"/>
  <c r="R39" i="55"/>
  <c r="P625" i="55"/>
  <c r="R625" i="55"/>
  <c r="P291" i="55"/>
  <c r="R291" i="55"/>
  <c r="P691" i="55"/>
  <c r="R691" i="55"/>
  <c r="P687" i="55"/>
  <c r="R687" i="55"/>
  <c r="P317" i="55"/>
  <c r="R317" i="55"/>
  <c r="P811" i="55"/>
  <c r="R811" i="55"/>
  <c r="P26" i="55"/>
  <c r="R26" i="55"/>
  <c r="P690" i="55"/>
  <c r="R690" i="55"/>
  <c r="P253" i="55"/>
  <c r="R253" i="55"/>
  <c r="P653" i="55"/>
  <c r="R653" i="55"/>
  <c r="P658" i="55"/>
  <c r="R658" i="55"/>
  <c r="P710" i="55"/>
  <c r="R710" i="55"/>
  <c r="P387" i="55"/>
  <c r="R387" i="55"/>
  <c r="P376" i="55"/>
  <c r="R376" i="55"/>
  <c r="P280" i="55"/>
  <c r="R280" i="55"/>
  <c r="P371" i="55"/>
  <c r="R371" i="55"/>
  <c r="P615" i="55"/>
  <c r="R615" i="55"/>
  <c r="P27" i="55"/>
  <c r="R27" i="55"/>
  <c r="P452" i="55"/>
  <c r="R452" i="55"/>
  <c r="P420" i="55"/>
  <c r="R420" i="55"/>
  <c r="L866" i="76"/>
  <c r="N866" i="76"/>
  <c r="V866" i="76"/>
  <c r="F866" i="76"/>
  <c r="R866" i="76"/>
  <c r="T866" i="76"/>
  <c r="J866" i="76"/>
  <c r="H866" i="76"/>
  <c r="H867" i="76"/>
  <c r="L867" i="76"/>
  <c r="R867" i="76"/>
  <c r="N867" i="76"/>
  <c r="V867" i="76"/>
  <c r="J867" i="76"/>
  <c r="F867" i="76"/>
  <c r="T867" i="76"/>
  <c r="C1054" i="55"/>
  <c r="N1054" i="55" s="1"/>
  <c r="C1048" i="76"/>
  <c r="P1048" i="76" s="1"/>
  <c r="C421" i="55"/>
  <c r="T421" i="55" s="1"/>
  <c r="C420" i="76"/>
  <c r="P420" i="76" s="1"/>
  <c r="C417" i="55"/>
  <c r="T417" i="55" s="1"/>
  <c r="C416" i="76"/>
  <c r="P416" i="76" s="1"/>
  <c r="L868" i="76"/>
  <c r="T868" i="76"/>
  <c r="J868" i="76"/>
  <c r="H868" i="76"/>
  <c r="N868" i="76"/>
  <c r="V868" i="76"/>
  <c r="F868" i="76"/>
  <c r="R868" i="76"/>
  <c r="R1033" i="76"/>
  <c r="C451" i="76"/>
  <c r="P451" i="76" s="1"/>
  <c r="V1033" i="76"/>
  <c r="J1033" i="76"/>
  <c r="T1033" i="76"/>
  <c r="H1033" i="76"/>
  <c r="F1033" i="76"/>
  <c r="N1033" i="76"/>
  <c r="H419" i="76"/>
  <c r="L419" i="76"/>
  <c r="F419" i="76"/>
  <c r="J419" i="76"/>
  <c r="T419" i="76"/>
  <c r="N419" i="76"/>
  <c r="V419" i="76"/>
  <c r="R419" i="76"/>
  <c r="R1047" i="76"/>
  <c r="F1047" i="76"/>
  <c r="V1047" i="76"/>
  <c r="J1047" i="76"/>
  <c r="T1047" i="76"/>
  <c r="H1047" i="76"/>
  <c r="N1047" i="76"/>
  <c r="L689" i="76"/>
  <c r="F689" i="76"/>
  <c r="N689" i="76"/>
  <c r="R689" i="76"/>
  <c r="J689" i="76"/>
  <c r="H689" i="76"/>
  <c r="V689" i="76"/>
  <c r="T689" i="76"/>
  <c r="C1083" i="76"/>
  <c r="P1083" i="76" s="1"/>
  <c r="C901" i="76"/>
  <c r="P901" i="76" s="1"/>
  <c r="L686" i="76"/>
  <c r="N686" i="76"/>
  <c r="H686" i="76"/>
  <c r="R686" i="76"/>
  <c r="T686" i="76"/>
  <c r="F686" i="76"/>
  <c r="J686" i="76"/>
  <c r="V686" i="76"/>
  <c r="H713" i="76"/>
  <c r="L713" i="76"/>
  <c r="F713" i="76"/>
  <c r="N713" i="76"/>
  <c r="R713" i="76"/>
  <c r="J713" i="76"/>
  <c r="V713" i="76"/>
  <c r="T713" i="76"/>
  <c r="F259" i="55"/>
  <c r="N881" i="55"/>
  <c r="F279" i="55"/>
  <c r="F44" i="55"/>
  <c r="F39" i="55"/>
  <c r="N317" i="55"/>
  <c r="F27" i="55"/>
  <c r="F253" i="55"/>
  <c r="F280" i="55"/>
  <c r="F291" i="55"/>
  <c r="N691" i="55"/>
  <c r="F26" i="55"/>
  <c r="N452" i="55"/>
  <c r="J452" i="55"/>
  <c r="F452" i="55"/>
  <c r="L452" i="55"/>
  <c r="H452" i="55"/>
  <c r="N253" i="55"/>
  <c r="N653" i="55"/>
  <c r="N259" i="55"/>
  <c r="N710" i="55"/>
  <c r="N279" i="55"/>
  <c r="N371" i="55"/>
  <c r="N1104" i="55"/>
  <c r="N1101" i="55"/>
  <c r="N625" i="55"/>
  <c r="N615" i="55"/>
  <c r="N417" i="55"/>
  <c r="N811" i="55"/>
  <c r="N26" i="55"/>
  <c r="J1088" i="55"/>
  <c r="N1088" i="55"/>
  <c r="N646" i="55"/>
  <c r="N652" i="55"/>
  <c r="N658" i="55"/>
  <c r="N387" i="55"/>
  <c r="N376" i="55"/>
  <c r="N280" i="55"/>
  <c r="N44" i="55"/>
  <c r="N404" i="55"/>
  <c r="N39" i="55"/>
  <c r="N1103" i="55"/>
  <c r="N1102" i="55"/>
  <c r="N1028" i="55"/>
  <c r="N291" i="55"/>
  <c r="N687" i="55"/>
  <c r="N27" i="55"/>
  <c r="L317" i="55"/>
  <c r="T1088" i="55"/>
  <c r="J691" i="55"/>
  <c r="F1088" i="55"/>
  <c r="L1088" i="55"/>
  <c r="L26" i="55"/>
  <c r="H26" i="55"/>
  <c r="J26" i="55"/>
  <c r="L27" i="55"/>
  <c r="H27" i="55"/>
  <c r="J27" i="55"/>
  <c r="AK553" i="1"/>
  <c r="L1096" i="11"/>
  <c r="F691" i="55"/>
  <c r="L691" i="55"/>
  <c r="M1095" i="11"/>
  <c r="H691" i="55"/>
  <c r="R1064" i="1"/>
  <c r="AG3544" i="1"/>
  <c r="AG3548" i="1" s="1"/>
  <c r="AG3549" i="1" s="1"/>
  <c r="AE3560" i="1"/>
  <c r="H811" i="55"/>
  <c r="J811" i="55"/>
  <c r="L811" i="55"/>
  <c r="F811" i="55"/>
  <c r="K3857" i="27"/>
  <c r="X3544" i="1"/>
  <c r="X3548" i="1" s="1"/>
  <c r="X3549" i="1" s="1"/>
  <c r="V3560" i="1"/>
  <c r="V3524" i="1"/>
  <c r="X3524" i="1" s="1"/>
  <c r="X3528" i="1" s="1"/>
  <c r="X3529" i="1" s="1"/>
  <c r="H3889" i="1"/>
  <c r="J3889" i="1" s="1"/>
  <c r="J3873" i="1"/>
  <c r="L3319" i="27"/>
  <c r="K2209" i="27"/>
  <c r="K584" i="11"/>
  <c r="AB3625" i="1"/>
  <c r="AD3625" i="1" s="1"/>
  <c r="X3626" i="1"/>
  <c r="X3625" i="1"/>
  <c r="V3593" i="1"/>
  <c r="X3578" i="1"/>
  <c r="K3483" i="27"/>
  <c r="I3477" i="27" s="1"/>
  <c r="K3477" i="27" s="1"/>
  <c r="I3628" i="27"/>
  <c r="I1636" i="27"/>
  <c r="K1636" i="27" s="1"/>
  <c r="K1642" i="27" s="1"/>
  <c r="K1644" i="27" s="1"/>
  <c r="P65" i="27"/>
  <c r="R65" i="27" s="1"/>
  <c r="R72" i="27" s="1"/>
  <c r="R74" i="27" s="1"/>
  <c r="P631" i="27" s="1"/>
  <c r="R631" i="27" s="1"/>
  <c r="R642" i="27" s="1"/>
  <c r="P604" i="27"/>
  <c r="R604" i="27" s="1"/>
  <c r="I771" i="27"/>
  <c r="K771" i="27" s="1"/>
  <c r="K779" i="27" s="1"/>
  <c r="K781" i="27" s="1"/>
  <c r="I209" i="27"/>
  <c r="K209" i="27" s="1"/>
  <c r="K216" i="27" s="1"/>
  <c r="K218" i="27" s="1"/>
  <c r="I269" i="27"/>
  <c r="K269" i="27" s="1"/>
  <c r="K277" i="27" s="1"/>
  <c r="K279" i="27" s="1"/>
  <c r="K73" i="1"/>
  <c r="K77" i="1" s="1"/>
  <c r="I226" i="1" s="1"/>
  <c r="K64" i="1"/>
  <c r="K68" i="1" s="1"/>
  <c r="V730" i="1"/>
  <c r="X730" i="1" s="1"/>
  <c r="K3494" i="1"/>
  <c r="AD1248" i="1"/>
  <c r="AB1220" i="1"/>
  <c r="AD1220" i="1" s="1"/>
  <c r="AE2796" i="1"/>
  <c r="AG2796" i="1" s="1"/>
  <c r="X2792" i="1"/>
  <c r="X2793" i="1" s="1"/>
  <c r="X2795" i="1" s="1"/>
  <c r="AU195" i="1"/>
  <c r="AV195" i="1" s="1"/>
  <c r="AS199" i="1"/>
  <c r="P3163" i="1"/>
  <c r="R3163" i="1" s="1"/>
  <c r="R2864" i="1"/>
  <c r="AG2797" i="1"/>
  <c r="AG2799" i="1" s="1"/>
  <c r="K2643" i="1"/>
  <c r="K2645" i="1" s="1"/>
  <c r="K2647" i="1" s="1"/>
  <c r="V2612" i="1"/>
  <c r="D42" i="50"/>
  <c r="F42" i="50" s="1"/>
  <c r="J542" i="1"/>
  <c r="W541" i="1"/>
  <c r="AC541" i="1" s="1"/>
  <c r="AJ541" i="1" s="1"/>
  <c r="J564" i="1"/>
  <c r="J565" i="1" s="1"/>
  <c r="J566" i="1" s="1"/>
  <c r="J567" i="1" s="1"/>
  <c r="J568" i="1" s="1"/>
  <c r="J569" i="1" s="1"/>
  <c r="J570" i="1" s="1"/>
  <c r="J571" i="1" s="1"/>
  <c r="W565" i="1"/>
  <c r="AC565" i="1" s="1"/>
  <c r="AJ565" i="1" s="1"/>
  <c r="AB1455" i="1"/>
  <c r="AD1455" i="1" s="1"/>
  <c r="X1457" i="1"/>
  <c r="I3913" i="27"/>
  <c r="K2960" i="27"/>
  <c r="K2964" i="27" s="1"/>
  <c r="K2945" i="27"/>
  <c r="C869" i="76" s="1"/>
  <c r="P869" i="76" s="1"/>
  <c r="L2946" i="27"/>
  <c r="J317" i="55"/>
  <c r="H317" i="55"/>
  <c r="F174" i="25"/>
  <c r="F176" i="25" s="1"/>
  <c r="F87" i="25"/>
  <c r="F96" i="25" s="1"/>
  <c r="F97" i="25" s="1"/>
  <c r="D109" i="25"/>
  <c r="AQ167" i="1"/>
  <c r="AS167" i="1" s="1"/>
  <c r="AU167" i="1" s="1"/>
  <c r="AV167" i="1" s="1"/>
  <c r="AS136" i="1"/>
  <c r="AU136" i="1" s="1"/>
  <c r="AV136" i="1" s="1"/>
  <c r="AB1454" i="1"/>
  <c r="AD1454" i="1" s="1"/>
  <c r="X1456" i="1"/>
  <c r="AJ1205" i="1"/>
  <c r="AC1206" i="1"/>
  <c r="F317" i="55"/>
  <c r="K998" i="1"/>
  <c r="K1000" i="1" s="1"/>
  <c r="F657" i="25"/>
  <c r="D693" i="25"/>
  <c r="F693" i="25" s="1"/>
  <c r="C872" i="55"/>
  <c r="K2187" i="27"/>
  <c r="J666" i="1"/>
  <c r="J667" i="1" s="1"/>
  <c r="J668" i="1" s="1"/>
  <c r="J669" i="1" s="1"/>
  <c r="J670" i="1" s="1"/>
  <c r="W490" i="1"/>
  <c r="AC490" i="1" s="1"/>
  <c r="AC491" i="1" s="1"/>
  <c r="AC492" i="1" s="1"/>
  <c r="AC493" i="1" s="1"/>
  <c r="AC494" i="1" s="1"/>
  <c r="AC495" i="1" s="1"/>
  <c r="AC496" i="1" s="1"/>
  <c r="AC497" i="1" s="1"/>
  <c r="I3074" i="27"/>
  <c r="K3058" i="27"/>
  <c r="K3062" i="27" s="1"/>
  <c r="S806" i="11"/>
  <c r="C849" i="55"/>
  <c r="T849" i="55" s="1"/>
  <c r="F590" i="25"/>
  <c r="D625" i="25"/>
  <c r="Y804" i="11"/>
  <c r="Y806" i="11" s="1"/>
  <c r="C922" i="76" s="1"/>
  <c r="W814" i="11"/>
  <c r="Y814" i="11" s="1"/>
  <c r="Y816" i="11" s="1"/>
  <c r="H3890" i="1"/>
  <c r="J3890" i="1" s="1"/>
  <c r="J3894" i="1" s="1"/>
  <c r="J3896" i="1" s="1"/>
  <c r="J3874" i="1"/>
  <c r="L68" i="11"/>
  <c r="K68" i="11"/>
  <c r="C685" i="76" s="1"/>
  <c r="P685" i="76" s="1"/>
  <c r="H417" i="55"/>
  <c r="F417" i="55"/>
  <c r="J417" i="55"/>
  <c r="L417" i="55"/>
  <c r="L53" i="11"/>
  <c r="K53" i="11"/>
  <c r="C684" i="76" s="1"/>
  <c r="P684" i="76" s="1"/>
  <c r="L687" i="55"/>
  <c r="J687" i="55"/>
  <c r="F687" i="55"/>
  <c r="H687" i="55"/>
  <c r="X1445" i="1"/>
  <c r="V1469" i="1"/>
  <c r="X1469" i="1" s="1"/>
  <c r="L625" i="55"/>
  <c r="F625" i="55"/>
  <c r="H625" i="55"/>
  <c r="J625" i="55"/>
  <c r="L1028" i="55"/>
  <c r="H1028" i="55"/>
  <c r="F1028" i="55"/>
  <c r="J1028" i="55"/>
  <c r="T1028" i="55"/>
  <c r="C693" i="55"/>
  <c r="T693" i="55" s="1"/>
  <c r="K2267" i="1"/>
  <c r="C608" i="55"/>
  <c r="T608" i="55" s="1"/>
  <c r="C1046" i="55"/>
  <c r="K3421" i="1"/>
  <c r="K3432" i="1" s="1"/>
  <c r="K3434" i="1" s="1"/>
  <c r="R2821" i="1"/>
  <c r="P2854" i="1"/>
  <c r="R2854" i="1" s="1"/>
  <c r="P3324" i="1"/>
  <c r="R3324" i="1" s="1"/>
  <c r="R3222" i="1"/>
  <c r="R3236" i="1" s="1"/>
  <c r="R3238" i="1" s="1"/>
  <c r="P3436" i="1"/>
  <c r="R3436" i="1" s="1"/>
  <c r="R3450" i="1" s="1"/>
  <c r="R3452" i="1" s="1"/>
  <c r="P2075" i="1"/>
  <c r="R2075" i="1" s="1"/>
  <c r="R2085" i="1" s="1"/>
  <c r="R2087" i="1" s="1"/>
  <c r="K3101" i="1"/>
  <c r="K3112" i="1" s="1"/>
  <c r="K3114" i="1" s="1"/>
  <c r="H421" i="55"/>
  <c r="F421" i="55"/>
  <c r="L421" i="55"/>
  <c r="J421" i="55"/>
  <c r="J291" i="55"/>
  <c r="H291" i="55"/>
  <c r="L291" i="55"/>
  <c r="I3280" i="1"/>
  <c r="K1102" i="1"/>
  <c r="K1110" i="1" s="1"/>
  <c r="K1112" i="1" s="1"/>
  <c r="H615" i="55"/>
  <c r="F615" i="55"/>
  <c r="L615" i="55"/>
  <c r="J615" i="55"/>
  <c r="R2641" i="1"/>
  <c r="R2652" i="1" s="1"/>
  <c r="R2654" i="1" s="1"/>
  <c r="K1017" i="1"/>
  <c r="K1028" i="1" s="1"/>
  <c r="K1030" i="1" s="1"/>
  <c r="P1091" i="1"/>
  <c r="K1054" i="1"/>
  <c r="K1064" i="1" s="1"/>
  <c r="K1066" i="1" s="1"/>
  <c r="P988" i="1"/>
  <c r="R988" i="1" s="1"/>
  <c r="R998" i="1" s="1"/>
  <c r="R1000" i="1" s="1"/>
  <c r="P1065" i="1"/>
  <c r="P1090" i="1"/>
  <c r="AE1063" i="1"/>
  <c r="AG1063" i="1" s="1"/>
  <c r="AG1073" i="1" s="1"/>
  <c r="AG1075" i="1" s="1"/>
  <c r="Z2600" i="1"/>
  <c r="Z2610" i="1" s="1"/>
  <c r="Z2611" i="1" s="1"/>
  <c r="AE2616" i="1"/>
  <c r="AG2616" i="1" s="1"/>
  <c r="AG2627" i="1" s="1"/>
  <c r="AG2629" i="1" s="1"/>
  <c r="AE2650" i="1"/>
  <c r="AG2650" i="1" s="1"/>
  <c r="X2602" i="1"/>
  <c r="K3600" i="1"/>
  <c r="K3610" i="1" s="1"/>
  <c r="K3612" i="1" s="1"/>
  <c r="I3623" i="1"/>
  <c r="K3623" i="1" s="1"/>
  <c r="K3631" i="1" s="1"/>
  <c r="K3633" i="1" s="1"/>
  <c r="P3395" i="1"/>
  <c r="R3395" i="1" s="1"/>
  <c r="R3292" i="1"/>
  <c r="R3303" i="1" s="1"/>
  <c r="R3305" i="1" s="1"/>
  <c r="P3361" i="1"/>
  <c r="R3361" i="1" s="1"/>
  <c r="R3372" i="1" s="1"/>
  <c r="R3374" i="1" s="1"/>
  <c r="K951" i="1"/>
  <c r="K962" i="1" s="1"/>
  <c r="K964" i="1" s="1"/>
  <c r="D546" i="25"/>
  <c r="C301" i="55"/>
  <c r="T301" i="55" s="1"/>
  <c r="C605" i="55"/>
  <c r="T605" i="55" s="1"/>
  <c r="C603" i="55"/>
  <c r="T603" i="55" s="1"/>
  <c r="C299" i="55"/>
  <c r="T299" i="55" s="1"/>
  <c r="R1089" i="1"/>
  <c r="P1111" i="1"/>
  <c r="R2822" i="1"/>
  <c r="P2855" i="1"/>
  <c r="R2855" i="1" s="1"/>
  <c r="R3154" i="1"/>
  <c r="R3164" i="1" s="1"/>
  <c r="R3166" i="1" s="1"/>
  <c r="V3114" i="1"/>
  <c r="R3337" i="1"/>
  <c r="R3339" i="1" s="1"/>
  <c r="R3406" i="1"/>
  <c r="R3408" i="1" s="1"/>
  <c r="D307" i="25"/>
  <c r="F307" i="25" s="1"/>
  <c r="D164" i="25"/>
  <c r="F164" i="25" s="1"/>
  <c r="F141" i="25"/>
  <c r="J1102" i="55"/>
  <c r="L1102" i="55"/>
  <c r="T1102" i="55"/>
  <c r="F1102" i="55"/>
  <c r="H1102" i="55"/>
  <c r="AD1251" i="1"/>
  <c r="AB1223" i="1"/>
  <c r="AD1223" i="1" s="1"/>
  <c r="F1103" i="55"/>
  <c r="J1103" i="55"/>
  <c r="T1103" i="55"/>
  <c r="H1103" i="55"/>
  <c r="L1103" i="55"/>
  <c r="AD1250" i="1"/>
  <c r="AB1222" i="1"/>
  <c r="AD1222" i="1" s="1"/>
  <c r="AB3618" i="1"/>
  <c r="AD3618" i="1" s="1"/>
  <c r="X3618" i="1"/>
  <c r="L1104" i="55"/>
  <c r="H1104" i="55"/>
  <c r="F1104" i="55"/>
  <c r="T1104" i="55"/>
  <c r="J1104" i="55"/>
  <c r="F1101" i="55"/>
  <c r="L1101" i="55"/>
  <c r="T1101" i="55"/>
  <c r="J1101" i="55"/>
  <c r="H1101" i="55"/>
  <c r="P2114" i="1"/>
  <c r="R2114" i="1" s="1"/>
  <c r="R2116" i="1" s="1"/>
  <c r="R2107" i="1"/>
  <c r="P1174" i="1"/>
  <c r="R1174" i="1" s="1"/>
  <c r="R1143" i="1"/>
  <c r="L404" i="55"/>
  <c r="F404" i="55"/>
  <c r="H404" i="55"/>
  <c r="J404" i="55"/>
  <c r="K54" i="1"/>
  <c r="K58" i="1" s="1"/>
  <c r="K45" i="1"/>
  <c r="K49" i="1" s="1"/>
  <c r="K28" i="1"/>
  <c r="K32" i="1" s="1"/>
  <c r="I1418" i="1" s="1"/>
  <c r="K809" i="1"/>
  <c r="V644" i="1"/>
  <c r="V802" i="1"/>
  <c r="F371" i="55"/>
  <c r="J371" i="55"/>
  <c r="H371" i="55"/>
  <c r="L371" i="55"/>
  <c r="I2899" i="1"/>
  <c r="K2899" i="1" s="1"/>
  <c r="K2905" i="1" s="1"/>
  <c r="K2907" i="1" s="1"/>
  <c r="K2911" i="1" s="1"/>
  <c r="C567" i="76" s="1"/>
  <c r="K505" i="1"/>
  <c r="K511" i="1" s="1"/>
  <c r="K513" i="1" s="1"/>
  <c r="P2155" i="1"/>
  <c r="R2155" i="1" s="1"/>
  <c r="R2163" i="1" s="1"/>
  <c r="R2165" i="1" s="1"/>
  <c r="K2148" i="1"/>
  <c r="K2156" i="1" s="1"/>
  <c r="K2158" i="1" s="1"/>
  <c r="K19" i="1"/>
  <c r="K23" i="1" s="1"/>
  <c r="P2348" i="1"/>
  <c r="R2348" i="1" s="1"/>
  <c r="K140" i="1"/>
  <c r="K144" i="1" s="1"/>
  <c r="R22" i="1"/>
  <c r="R28" i="1" s="1"/>
  <c r="R30" i="1" s="1"/>
  <c r="W590" i="1"/>
  <c r="K10" i="1"/>
  <c r="AQ108" i="1"/>
  <c r="AS108" i="1" s="1"/>
  <c r="AU108" i="1" s="1"/>
  <c r="AV108" i="1" s="1"/>
  <c r="P164" i="1"/>
  <c r="R164" i="1" s="1"/>
  <c r="P232" i="1"/>
  <c r="R232" i="1" s="1"/>
  <c r="I1405" i="1"/>
  <c r="I411" i="1"/>
  <c r="K411" i="1" s="1"/>
  <c r="K418" i="1" s="1"/>
  <c r="K420" i="1" s="1"/>
  <c r="I487" i="1"/>
  <c r="K487" i="1" s="1"/>
  <c r="K495" i="1" s="1"/>
  <c r="K497" i="1" s="1"/>
  <c r="I356" i="1"/>
  <c r="I1200" i="1"/>
  <c r="AQ133" i="1"/>
  <c r="I445" i="1"/>
  <c r="K445" i="1" s="1"/>
  <c r="K452" i="1" s="1"/>
  <c r="K454" i="1" s="1"/>
  <c r="I459" i="1" s="1"/>
  <c r="K459" i="1" s="1"/>
  <c r="K463" i="1" s="1"/>
  <c r="K465" i="1" s="1"/>
  <c r="K467" i="1" s="1"/>
  <c r="C217" i="76" s="1"/>
  <c r="I380" i="1"/>
  <c r="P362" i="1"/>
  <c r="R362" i="1" s="1"/>
  <c r="R370" i="1" s="1"/>
  <c r="R372" i="1" s="1"/>
  <c r="H39" i="55"/>
  <c r="J39" i="55"/>
  <c r="L39" i="55"/>
  <c r="D41" i="32"/>
  <c r="V675" i="1"/>
  <c r="X705" i="1"/>
  <c r="P2346" i="1"/>
  <c r="C74" i="1"/>
  <c r="P231" i="1"/>
  <c r="R231" i="1" s="1"/>
  <c r="I167" i="1"/>
  <c r="K167" i="1" s="1"/>
  <c r="K171" i="1" s="1"/>
  <c r="H44" i="55"/>
  <c r="L44" i="55"/>
  <c r="J44" i="55"/>
  <c r="K3502" i="1"/>
  <c r="V815" i="1"/>
  <c r="X815" i="1" s="1"/>
  <c r="X800" i="1"/>
  <c r="K3500" i="1"/>
  <c r="P65" i="1"/>
  <c r="R65" i="1" s="1"/>
  <c r="I1705" i="1"/>
  <c r="K1705" i="1" s="1"/>
  <c r="I210" i="1"/>
  <c r="K210" i="1" s="1"/>
  <c r="P195" i="1"/>
  <c r="R195" i="1" s="1"/>
  <c r="I807" i="1"/>
  <c r="K807" i="1" s="1"/>
  <c r="P626" i="1"/>
  <c r="R626" i="1" s="1"/>
  <c r="P1141" i="1"/>
  <c r="I270" i="1"/>
  <c r="K270" i="1" s="1"/>
  <c r="K278" i="1" s="1"/>
  <c r="K280" i="1" s="1"/>
  <c r="I587" i="27"/>
  <c r="K587" i="27"/>
  <c r="I593" i="1"/>
  <c r="K593" i="1" s="1"/>
  <c r="C647" i="55"/>
  <c r="T647" i="55" s="1"/>
  <c r="C254" i="55"/>
  <c r="H653" i="55"/>
  <c r="F653" i="55"/>
  <c r="J653" i="55"/>
  <c r="L653" i="55"/>
  <c r="L658" i="55"/>
  <c r="F658" i="55"/>
  <c r="H658" i="55"/>
  <c r="J658" i="55"/>
  <c r="I651" i="11"/>
  <c r="K611" i="11"/>
  <c r="I605" i="11" s="1"/>
  <c r="K269" i="11"/>
  <c r="K273" i="11" s="1"/>
  <c r="I283" i="11"/>
  <c r="I983" i="11"/>
  <c r="P242" i="11"/>
  <c r="AB1244" i="1"/>
  <c r="X1239" i="1"/>
  <c r="AB1435" i="1"/>
  <c r="AD1435" i="1" s="1"/>
  <c r="AD1437" i="1" s="1"/>
  <c r="AD1438" i="1" s="1"/>
  <c r="X1437" i="1"/>
  <c r="X1439" i="1" s="1"/>
  <c r="X1440" i="1" s="1"/>
  <c r="AS89" i="1"/>
  <c r="AQ109" i="1"/>
  <c r="H279" i="55"/>
  <c r="J279" i="55"/>
  <c r="L279" i="55"/>
  <c r="AB1420" i="1"/>
  <c r="AD1420" i="1" s="1"/>
  <c r="AD1430" i="1" s="1"/>
  <c r="AD1403" i="1"/>
  <c r="AD1413" i="1" s="1"/>
  <c r="AB1452" i="1"/>
  <c r="AD1452" i="1" s="1"/>
  <c r="X1454" i="1"/>
  <c r="D588" i="25"/>
  <c r="F551" i="25"/>
  <c r="F1054" i="55"/>
  <c r="T1054" i="55"/>
  <c r="H1054" i="55"/>
  <c r="L1054" i="55"/>
  <c r="J1054" i="55"/>
  <c r="J646" i="55"/>
  <c r="L646" i="55"/>
  <c r="F646" i="55"/>
  <c r="H646" i="55"/>
  <c r="J652" i="55"/>
  <c r="L652" i="55"/>
  <c r="F652" i="55"/>
  <c r="H652" i="55"/>
  <c r="I615" i="1"/>
  <c r="C659" i="55"/>
  <c r="T659" i="55" s="1"/>
  <c r="K615" i="1"/>
  <c r="C260" i="55"/>
  <c r="T260" i="55" s="1"/>
  <c r="I3977" i="1"/>
  <c r="K3977" i="1" s="1"/>
  <c r="K3960" i="1"/>
  <c r="V1444" i="1"/>
  <c r="R1483" i="1"/>
  <c r="R1485" i="1" s="1"/>
  <c r="K568" i="11"/>
  <c r="L565" i="11"/>
  <c r="L710" i="55"/>
  <c r="F710" i="55"/>
  <c r="H710" i="55"/>
  <c r="J710" i="55"/>
  <c r="J376" i="55"/>
  <c r="H376" i="55"/>
  <c r="F376" i="55"/>
  <c r="L376" i="55"/>
  <c r="K3955" i="1"/>
  <c r="I3972" i="1"/>
  <c r="K3972" i="1" s="1"/>
  <c r="H253" i="55"/>
  <c r="J253" i="55"/>
  <c r="L253" i="55"/>
  <c r="M1118" i="11"/>
  <c r="K1125" i="11"/>
  <c r="L1120" i="11"/>
  <c r="K1119" i="11"/>
  <c r="I3415" i="27"/>
  <c r="K3415" i="27" s="1"/>
  <c r="K3419" i="27" s="1"/>
  <c r="I3476" i="27"/>
  <c r="K3476" i="27" s="1"/>
  <c r="K3481" i="27" s="1"/>
  <c r="L3481" i="27" s="1"/>
  <c r="K3396" i="27"/>
  <c r="K3400" i="27" s="1"/>
  <c r="V3606" i="1"/>
  <c r="X3606" i="1" s="1"/>
  <c r="X3589" i="1"/>
  <c r="L881" i="55"/>
  <c r="F881" i="55"/>
  <c r="H881" i="55"/>
  <c r="J881" i="55"/>
  <c r="C1089" i="55"/>
  <c r="C905" i="55"/>
  <c r="T905" i="55" s="1"/>
  <c r="V1453" i="1"/>
  <c r="R1492" i="1"/>
  <c r="R1502" i="1" s="1"/>
  <c r="X593" i="1"/>
  <c r="C654" i="76" s="1"/>
  <c r="C654" i="55"/>
  <c r="T654" i="55" s="1"/>
  <c r="AG426" i="1"/>
  <c r="AE441" i="1"/>
  <c r="AG441" i="1" s="1"/>
  <c r="J259" i="55"/>
  <c r="H259" i="55"/>
  <c r="L259" i="55"/>
  <c r="L584" i="11"/>
  <c r="K587" i="11"/>
  <c r="K248" i="11"/>
  <c r="K256" i="11"/>
  <c r="K260" i="11" s="1"/>
  <c r="C829" i="55"/>
  <c r="T829" i="55" s="1"/>
  <c r="C319" i="55"/>
  <c r="T319" i="55" s="1"/>
  <c r="C828" i="55"/>
  <c r="T828" i="55" s="1"/>
  <c r="L387" i="55"/>
  <c r="F387" i="55"/>
  <c r="J387" i="55"/>
  <c r="H387" i="55"/>
  <c r="H280" i="55"/>
  <c r="L280" i="55"/>
  <c r="J280" i="55"/>
  <c r="C776" i="55"/>
  <c r="T776" i="55" s="1"/>
  <c r="S1545" i="1"/>
  <c r="K2186" i="27"/>
  <c r="C871" i="55"/>
  <c r="O3398" i="27"/>
  <c r="C870" i="55"/>
  <c r="K2185" i="27"/>
  <c r="C826" i="76" l="1"/>
  <c r="C320" i="76"/>
  <c r="C659" i="76"/>
  <c r="C261" i="76"/>
  <c r="P567" i="76"/>
  <c r="H567" i="76"/>
  <c r="L567" i="76"/>
  <c r="F567" i="76"/>
  <c r="N567" i="76"/>
  <c r="J567" i="76"/>
  <c r="V567" i="76"/>
  <c r="T567" i="76"/>
  <c r="R567" i="76"/>
  <c r="C609" i="55"/>
  <c r="C609" i="76"/>
  <c r="C626" i="55"/>
  <c r="C626" i="76"/>
  <c r="N421" i="55"/>
  <c r="P386" i="76"/>
  <c r="L386" i="76"/>
  <c r="F386" i="76"/>
  <c r="N386" i="76"/>
  <c r="J386" i="76"/>
  <c r="V386" i="76"/>
  <c r="R386" i="76"/>
  <c r="H386" i="76"/>
  <c r="T386" i="76"/>
  <c r="L27" i="76"/>
  <c r="P27" i="76"/>
  <c r="N27" i="76"/>
  <c r="J27" i="76"/>
  <c r="H27" i="76"/>
  <c r="V27" i="76"/>
  <c r="F27" i="76"/>
  <c r="T27" i="76"/>
  <c r="R27" i="76"/>
  <c r="L317" i="76"/>
  <c r="P317" i="76"/>
  <c r="N317" i="76"/>
  <c r="J317" i="76"/>
  <c r="H317" i="76"/>
  <c r="V317" i="76"/>
  <c r="F317" i="76"/>
  <c r="T317" i="76"/>
  <c r="R317" i="76"/>
  <c r="T1097" i="76"/>
  <c r="P1097" i="76"/>
  <c r="F1097" i="76"/>
  <c r="V1097" i="76"/>
  <c r="N1097" i="76"/>
  <c r="J1097" i="76"/>
  <c r="R1097" i="76"/>
  <c r="H1097" i="76"/>
  <c r="L646" i="76"/>
  <c r="P646" i="76"/>
  <c r="J646" i="76"/>
  <c r="F646" i="76"/>
  <c r="N646" i="76"/>
  <c r="H646" i="76"/>
  <c r="V646" i="76"/>
  <c r="R646" i="76"/>
  <c r="T646" i="76"/>
  <c r="L615" i="76"/>
  <c r="P615" i="76"/>
  <c r="F615" i="76"/>
  <c r="J615" i="76"/>
  <c r="N615" i="76"/>
  <c r="H615" i="76"/>
  <c r="V615" i="76"/>
  <c r="R615" i="76"/>
  <c r="T615" i="76"/>
  <c r="P301" i="76"/>
  <c r="L301" i="76"/>
  <c r="N301" i="76"/>
  <c r="J301" i="76"/>
  <c r="H301" i="76"/>
  <c r="V301" i="76"/>
  <c r="F301" i="76"/>
  <c r="R301" i="76"/>
  <c r="T301" i="76"/>
  <c r="P1098" i="76"/>
  <c r="T1098" i="76"/>
  <c r="R1098" i="76"/>
  <c r="V1098" i="76"/>
  <c r="F1098" i="76"/>
  <c r="H1098" i="76"/>
  <c r="N1098" i="76"/>
  <c r="J1098" i="76"/>
  <c r="L658" i="76"/>
  <c r="P658" i="76"/>
  <c r="F658" i="76"/>
  <c r="N658" i="76"/>
  <c r="H658" i="76"/>
  <c r="J658" i="76"/>
  <c r="V658" i="76"/>
  <c r="R658" i="76"/>
  <c r="T658" i="76"/>
  <c r="C43" i="55"/>
  <c r="T43" i="55" s="1"/>
  <c r="C43" i="76"/>
  <c r="P217" i="76"/>
  <c r="L217" i="76"/>
  <c r="H217" i="76"/>
  <c r="N217" i="76"/>
  <c r="J217" i="76"/>
  <c r="V217" i="76"/>
  <c r="R217" i="76"/>
  <c r="F217" i="76"/>
  <c r="T217" i="76"/>
  <c r="C63" i="55"/>
  <c r="T63" i="55" s="1"/>
  <c r="C63" i="76"/>
  <c r="C405" i="55"/>
  <c r="T405" i="55" s="1"/>
  <c r="C404" i="76"/>
  <c r="C1030" i="55"/>
  <c r="P1030" i="55" s="1"/>
  <c r="C1024" i="76"/>
  <c r="C619" i="76"/>
  <c r="C294" i="76"/>
  <c r="C623" i="55"/>
  <c r="T623" i="55" s="1"/>
  <c r="C623" i="76"/>
  <c r="C296" i="55"/>
  <c r="T296" i="55" s="1"/>
  <c r="C296" i="76"/>
  <c r="C813" i="55"/>
  <c r="C808" i="76"/>
  <c r="P1096" i="76"/>
  <c r="T1096" i="76"/>
  <c r="F1096" i="76"/>
  <c r="V1096" i="76"/>
  <c r="H1096" i="76"/>
  <c r="R1096" i="76"/>
  <c r="N1096" i="76"/>
  <c r="J1096" i="76"/>
  <c r="L605" i="76"/>
  <c r="P605" i="76"/>
  <c r="J605" i="76"/>
  <c r="N605" i="76"/>
  <c r="F605" i="76"/>
  <c r="H605" i="76"/>
  <c r="V605" i="76"/>
  <c r="R605" i="76"/>
  <c r="T605" i="76"/>
  <c r="L625" i="76"/>
  <c r="P625" i="76"/>
  <c r="J625" i="76"/>
  <c r="F625" i="76"/>
  <c r="H625" i="76"/>
  <c r="N625" i="76"/>
  <c r="V625" i="76"/>
  <c r="R625" i="76"/>
  <c r="T625" i="76"/>
  <c r="L39" i="76"/>
  <c r="P39" i="76"/>
  <c r="H39" i="76"/>
  <c r="N39" i="76"/>
  <c r="J39" i="76"/>
  <c r="V39" i="76"/>
  <c r="R39" i="76"/>
  <c r="T39" i="76"/>
  <c r="F39" i="76"/>
  <c r="P44" i="76"/>
  <c r="L44" i="76"/>
  <c r="J44" i="76"/>
  <c r="N44" i="76"/>
  <c r="H44" i="76"/>
  <c r="V44" i="76"/>
  <c r="R44" i="76"/>
  <c r="F44" i="76"/>
  <c r="T44" i="76"/>
  <c r="L319" i="76"/>
  <c r="P319" i="76"/>
  <c r="N319" i="76"/>
  <c r="J319" i="76"/>
  <c r="H319" i="76"/>
  <c r="V319" i="76"/>
  <c r="F319" i="76"/>
  <c r="R319" i="76"/>
  <c r="T319" i="76"/>
  <c r="P654" i="76"/>
  <c r="L654" i="76"/>
  <c r="J654" i="76"/>
  <c r="F654" i="76"/>
  <c r="N654" i="76"/>
  <c r="H654" i="76"/>
  <c r="V654" i="76"/>
  <c r="R654" i="76"/>
  <c r="T654" i="76"/>
  <c r="C38" i="55"/>
  <c r="C38" i="76"/>
  <c r="C1033" i="55"/>
  <c r="P1033" i="55" s="1"/>
  <c r="C1027" i="76"/>
  <c r="C634" i="55"/>
  <c r="T634" i="55" s="1"/>
  <c r="C633" i="76"/>
  <c r="C627" i="76"/>
  <c r="C1019" i="76"/>
  <c r="C1031" i="55"/>
  <c r="P1031" i="55" s="1"/>
  <c r="C1025" i="76"/>
  <c r="C812" i="55"/>
  <c r="T812" i="55" s="1"/>
  <c r="C807" i="76"/>
  <c r="P280" i="76"/>
  <c r="L280" i="76"/>
  <c r="N280" i="76"/>
  <c r="J280" i="76"/>
  <c r="H280" i="76"/>
  <c r="V280" i="76"/>
  <c r="T280" i="76"/>
  <c r="F280" i="76"/>
  <c r="R280" i="76"/>
  <c r="P706" i="76"/>
  <c r="L706" i="76"/>
  <c r="J706" i="76"/>
  <c r="F706" i="76"/>
  <c r="N706" i="76"/>
  <c r="H706" i="76"/>
  <c r="V706" i="76"/>
  <c r="R706" i="76"/>
  <c r="T706" i="76"/>
  <c r="L806" i="76"/>
  <c r="P806" i="76"/>
  <c r="T806" i="76"/>
  <c r="J806" i="76"/>
  <c r="N806" i="76"/>
  <c r="H806" i="76"/>
  <c r="V806" i="76"/>
  <c r="F806" i="76"/>
  <c r="R806" i="76"/>
  <c r="P291" i="76"/>
  <c r="H291" i="76"/>
  <c r="L291" i="76"/>
  <c r="J291" i="76"/>
  <c r="N291" i="76"/>
  <c r="V291" i="76"/>
  <c r="F291" i="76"/>
  <c r="T291" i="76"/>
  <c r="R291" i="76"/>
  <c r="R1040" i="76"/>
  <c r="P1040" i="76"/>
  <c r="J1040" i="76"/>
  <c r="T1040" i="76"/>
  <c r="H1040" i="76"/>
  <c r="V1040" i="76"/>
  <c r="F1040" i="76"/>
  <c r="N1040" i="76"/>
  <c r="L299" i="76"/>
  <c r="P299" i="76"/>
  <c r="N299" i="76"/>
  <c r="J299" i="76"/>
  <c r="H299" i="76"/>
  <c r="V299" i="76"/>
  <c r="F299" i="76"/>
  <c r="T299" i="76"/>
  <c r="R299" i="76"/>
  <c r="P1022" i="76"/>
  <c r="R1022" i="76"/>
  <c r="N1022" i="76"/>
  <c r="J1022" i="76"/>
  <c r="F1022" i="76"/>
  <c r="V1022" i="76"/>
  <c r="T1022" i="76"/>
  <c r="H1022" i="76"/>
  <c r="P824" i="76"/>
  <c r="L824" i="76"/>
  <c r="N824" i="76"/>
  <c r="J824" i="76"/>
  <c r="H824" i="76"/>
  <c r="R824" i="76"/>
  <c r="V824" i="76"/>
  <c r="F824" i="76"/>
  <c r="T824" i="76"/>
  <c r="C647" i="76"/>
  <c r="C255" i="76"/>
  <c r="C305" i="55"/>
  <c r="T305" i="55" s="1"/>
  <c r="C305" i="76"/>
  <c r="C606" i="76"/>
  <c r="C302" i="76"/>
  <c r="C1026" i="76"/>
  <c r="C622" i="76"/>
  <c r="C620" i="55"/>
  <c r="T620" i="55" s="1"/>
  <c r="C620" i="76"/>
  <c r="C295" i="76"/>
  <c r="P370" i="76"/>
  <c r="L370" i="76"/>
  <c r="J370" i="76"/>
  <c r="F370" i="76"/>
  <c r="N370" i="76"/>
  <c r="H370" i="76"/>
  <c r="V370" i="76"/>
  <c r="R370" i="76"/>
  <c r="T370" i="76"/>
  <c r="P254" i="76"/>
  <c r="L254" i="76"/>
  <c r="N254" i="76"/>
  <c r="J254" i="76"/>
  <c r="H254" i="76"/>
  <c r="V254" i="76"/>
  <c r="T254" i="76"/>
  <c r="R254" i="76"/>
  <c r="F254" i="76"/>
  <c r="L608" i="76"/>
  <c r="P608" i="76"/>
  <c r="J608" i="76"/>
  <c r="F608" i="76"/>
  <c r="N608" i="76"/>
  <c r="H608" i="76"/>
  <c r="V608" i="76"/>
  <c r="R608" i="76"/>
  <c r="T608" i="76"/>
  <c r="L603" i="76"/>
  <c r="P603" i="76"/>
  <c r="F603" i="76"/>
  <c r="J603" i="76"/>
  <c r="N603" i="76"/>
  <c r="H603" i="76"/>
  <c r="V603" i="76"/>
  <c r="T603" i="76"/>
  <c r="R603" i="76"/>
  <c r="P1095" i="76"/>
  <c r="T1095" i="76"/>
  <c r="J1095" i="76"/>
  <c r="F1095" i="76"/>
  <c r="V1095" i="76"/>
  <c r="N1095" i="76"/>
  <c r="H1095" i="76"/>
  <c r="R1095" i="76"/>
  <c r="P403" i="76"/>
  <c r="H403" i="76"/>
  <c r="L403" i="76"/>
  <c r="F403" i="76"/>
  <c r="N403" i="76"/>
  <c r="J403" i="76"/>
  <c r="V403" i="76"/>
  <c r="R403" i="76"/>
  <c r="T403" i="76"/>
  <c r="L260" i="76"/>
  <c r="P260" i="76"/>
  <c r="N260" i="76"/>
  <c r="J260" i="76"/>
  <c r="V260" i="76"/>
  <c r="H260" i="76"/>
  <c r="F260" i="76"/>
  <c r="T260" i="76"/>
  <c r="R260" i="76"/>
  <c r="P823" i="76"/>
  <c r="H823" i="76"/>
  <c r="L823" i="76"/>
  <c r="R823" i="76"/>
  <c r="N823" i="76"/>
  <c r="F823" i="76"/>
  <c r="J823" i="76"/>
  <c r="V823" i="76"/>
  <c r="T823" i="76"/>
  <c r="D146" i="78"/>
  <c r="F146" i="78" s="1"/>
  <c r="T870" i="55"/>
  <c r="D147" i="78"/>
  <c r="F147" i="78" s="1"/>
  <c r="T871" i="55"/>
  <c r="D12" i="78"/>
  <c r="F12" i="78" s="1"/>
  <c r="T38" i="55"/>
  <c r="D103" i="78"/>
  <c r="F103" i="78" s="1"/>
  <c r="T609" i="55"/>
  <c r="D148" i="78"/>
  <c r="F148" i="78" s="1"/>
  <c r="T872" i="55"/>
  <c r="D164" i="78"/>
  <c r="F164" i="78" s="1"/>
  <c r="T626" i="55"/>
  <c r="D95" i="78"/>
  <c r="F95" i="78" s="1"/>
  <c r="T254" i="55"/>
  <c r="D169" i="78"/>
  <c r="F169" i="78" s="1"/>
  <c r="D107" i="78"/>
  <c r="F107" i="78" s="1"/>
  <c r="T813" i="55"/>
  <c r="C711" i="76"/>
  <c r="C444" i="76"/>
  <c r="C443" i="76"/>
  <c r="C712" i="76"/>
  <c r="L922" i="76"/>
  <c r="N922" i="76"/>
  <c r="F922" i="76"/>
  <c r="T922" i="76"/>
  <c r="P922" i="76"/>
  <c r="J922" i="76"/>
  <c r="H922" i="76"/>
  <c r="V922" i="76"/>
  <c r="R922" i="76"/>
  <c r="P828" i="55"/>
  <c r="R828" i="55"/>
  <c r="P654" i="55"/>
  <c r="R654" i="55"/>
  <c r="P905" i="55"/>
  <c r="R905" i="55"/>
  <c r="P260" i="55"/>
  <c r="R260" i="55"/>
  <c r="P659" i="55"/>
  <c r="R659" i="55"/>
  <c r="P254" i="55"/>
  <c r="R254" i="55"/>
  <c r="P43" i="55"/>
  <c r="R43" i="55"/>
  <c r="P63" i="55"/>
  <c r="R63" i="55"/>
  <c r="P405" i="55"/>
  <c r="R405" i="55"/>
  <c r="P603" i="55"/>
  <c r="R603" i="55"/>
  <c r="P301" i="55"/>
  <c r="R301" i="55"/>
  <c r="P623" i="55"/>
  <c r="R623" i="55"/>
  <c r="P305" i="55"/>
  <c r="R305" i="55"/>
  <c r="P296" i="55"/>
  <c r="R296" i="55"/>
  <c r="P608" i="55"/>
  <c r="R608" i="55"/>
  <c r="P693" i="55"/>
  <c r="R693" i="55"/>
  <c r="P849" i="55"/>
  <c r="R849" i="55"/>
  <c r="P620" i="55"/>
  <c r="R620" i="55"/>
  <c r="P813" i="55"/>
  <c r="R813" i="55"/>
  <c r="P776" i="55"/>
  <c r="R776" i="55"/>
  <c r="P829" i="55"/>
  <c r="R829" i="55"/>
  <c r="P870" i="55"/>
  <c r="R870" i="55"/>
  <c r="P871" i="55"/>
  <c r="R871" i="55"/>
  <c r="P319" i="55"/>
  <c r="R319" i="55"/>
  <c r="P647" i="55"/>
  <c r="R647" i="55"/>
  <c r="P38" i="55"/>
  <c r="R38" i="55"/>
  <c r="P299" i="55"/>
  <c r="R299" i="55"/>
  <c r="P605" i="55"/>
  <c r="R605" i="55"/>
  <c r="P634" i="55"/>
  <c r="R634" i="55"/>
  <c r="P609" i="55"/>
  <c r="R609" i="55"/>
  <c r="P872" i="55"/>
  <c r="R872" i="55"/>
  <c r="P626" i="55"/>
  <c r="R626" i="55"/>
  <c r="P812" i="55"/>
  <c r="R812" i="55"/>
  <c r="P417" i="55"/>
  <c r="R417" i="55"/>
  <c r="P421" i="55"/>
  <c r="R421" i="55"/>
  <c r="C423" i="55"/>
  <c r="T423" i="55" s="1"/>
  <c r="C422" i="76"/>
  <c r="P422" i="76" s="1"/>
  <c r="L684" i="76"/>
  <c r="F684" i="76"/>
  <c r="J684" i="76"/>
  <c r="R684" i="76"/>
  <c r="N684" i="76"/>
  <c r="H684" i="76"/>
  <c r="V684" i="76"/>
  <c r="T684" i="76"/>
  <c r="L685" i="76"/>
  <c r="F685" i="76"/>
  <c r="N685" i="76"/>
  <c r="J685" i="76"/>
  <c r="H685" i="76"/>
  <c r="V685" i="76"/>
  <c r="R685" i="76"/>
  <c r="T685" i="76"/>
  <c r="H869" i="76"/>
  <c r="L869" i="76"/>
  <c r="J869" i="76"/>
  <c r="F869" i="76"/>
  <c r="R869" i="76"/>
  <c r="N869" i="76"/>
  <c r="V869" i="76"/>
  <c r="T869" i="76"/>
  <c r="T1083" i="76"/>
  <c r="H1083" i="76"/>
  <c r="R1083" i="76"/>
  <c r="J1083" i="76"/>
  <c r="V1083" i="76"/>
  <c r="F1083" i="76"/>
  <c r="N1083" i="76"/>
  <c r="H451" i="76"/>
  <c r="L451" i="76"/>
  <c r="F451" i="76"/>
  <c r="J451" i="76"/>
  <c r="T451" i="76"/>
  <c r="N451" i="76"/>
  <c r="V451" i="76"/>
  <c r="R451" i="76"/>
  <c r="C1090" i="55"/>
  <c r="L1090" i="55" s="1"/>
  <c r="C1084" i="76"/>
  <c r="P1084" i="76" s="1"/>
  <c r="L901" i="76"/>
  <c r="J901" i="76"/>
  <c r="H901" i="76"/>
  <c r="V901" i="76"/>
  <c r="R901" i="76"/>
  <c r="T901" i="76"/>
  <c r="N901" i="76"/>
  <c r="F901" i="76"/>
  <c r="L416" i="76"/>
  <c r="F416" i="76"/>
  <c r="J416" i="76"/>
  <c r="H416" i="76"/>
  <c r="V416" i="76"/>
  <c r="R416" i="76"/>
  <c r="T416" i="76"/>
  <c r="N416" i="76"/>
  <c r="L420" i="76"/>
  <c r="F420" i="76"/>
  <c r="J420" i="76"/>
  <c r="H420" i="76"/>
  <c r="V420" i="76"/>
  <c r="R420" i="76"/>
  <c r="T420" i="76"/>
  <c r="N420" i="76"/>
  <c r="R1048" i="76"/>
  <c r="H1048" i="76"/>
  <c r="F1048" i="76"/>
  <c r="V1048" i="76"/>
  <c r="J1048" i="76"/>
  <c r="T1048" i="76"/>
  <c r="N1048" i="76"/>
  <c r="F254" i="55"/>
  <c r="F63" i="55"/>
  <c r="F301" i="55"/>
  <c r="F296" i="55"/>
  <c r="N870" i="55"/>
  <c r="N871" i="55"/>
  <c r="F260" i="55"/>
  <c r="F43" i="55"/>
  <c r="F38" i="55"/>
  <c r="F299" i="55"/>
  <c r="N776" i="55"/>
  <c r="N319" i="55"/>
  <c r="N1089" i="55"/>
  <c r="N1090" i="55"/>
  <c r="N254" i="55"/>
  <c r="N43" i="55"/>
  <c r="N63" i="55"/>
  <c r="N405" i="55"/>
  <c r="N1030" i="55"/>
  <c r="N603" i="55"/>
  <c r="N301" i="55"/>
  <c r="N623" i="55"/>
  <c r="N305" i="55"/>
  <c r="N296" i="55"/>
  <c r="N608" i="55"/>
  <c r="N693" i="55"/>
  <c r="N872" i="55"/>
  <c r="N626" i="55"/>
  <c r="N812" i="55"/>
  <c r="N813" i="55"/>
  <c r="N828" i="55"/>
  <c r="N829" i="55"/>
  <c r="N654" i="55"/>
  <c r="N905" i="55"/>
  <c r="N260" i="55"/>
  <c r="N659" i="55"/>
  <c r="N647" i="55"/>
  <c r="N38" i="55"/>
  <c r="N299" i="55"/>
  <c r="N605" i="55"/>
  <c r="N1033" i="55"/>
  <c r="N634" i="55"/>
  <c r="N609" i="55"/>
  <c r="N1031" i="55"/>
  <c r="N1046" i="55"/>
  <c r="N423" i="55"/>
  <c r="N849" i="55"/>
  <c r="N620" i="55"/>
  <c r="L693" i="55"/>
  <c r="H693" i="55"/>
  <c r="J693" i="55"/>
  <c r="F693" i="55"/>
  <c r="P51" i="1"/>
  <c r="R51" i="1" s="1"/>
  <c r="R57" i="1" s="1"/>
  <c r="R60" i="1" s="1"/>
  <c r="P610" i="1" s="1"/>
  <c r="R610" i="1" s="1"/>
  <c r="K983" i="11"/>
  <c r="K991" i="11" s="1"/>
  <c r="K1013" i="11" s="1"/>
  <c r="R1065" i="1"/>
  <c r="R1075" i="1" s="1"/>
  <c r="R1077" i="1" s="1"/>
  <c r="I2306" i="27"/>
  <c r="K2306" i="27" s="1"/>
  <c r="K2313" i="27" s="1"/>
  <c r="K2316" i="27" s="1"/>
  <c r="I1662" i="27"/>
  <c r="K1662" i="27" s="1"/>
  <c r="K1665" i="27" s="1"/>
  <c r="K1667" i="27" s="1"/>
  <c r="I1672" i="27" s="1"/>
  <c r="K1672" i="27" s="1"/>
  <c r="K1675" i="27" s="1"/>
  <c r="K1677" i="27" s="1"/>
  <c r="I2465" i="27"/>
  <c r="K2465" i="27" s="1"/>
  <c r="K2472" i="27" s="1"/>
  <c r="K2474" i="27" s="1"/>
  <c r="I1651" i="27"/>
  <c r="K1651" i="27" s="1"/>
  <c r="K1656" i="27" s="1"/>
  <c r="K1658" i="27" s="1"/>
  <c r="J3878" i="1"/>
  <c r="J3880" i="1" s="1"/>
  <c r="I815" i="27"/>
  <c r="K815" i="27" s="1"/>
  <c r="K827" i="27" s="1"/>
  <c r="I850" i="27"/>
  <c r="K850" i="27" s="1"/>
  <c r="K863" i="27" s="1"/>
  <c r="K785" i="27"/>
  <c r="K788" i="27" s="1"/>
  <c r="K789" i="27" s="1"/>
  <c r="K790" i="27" s="1"/>
  <c r="K791" i="27" s="1"/>
  <c r="K792" i="27" s="1"/>
  <c r="I833" i="27"/>
  <c r="K833" i="27" s="1"/>
  <c r="K846" i="27" s="1"/>
  <c r="K3628" i="27"/>
  <c r="I3615" i="27" s="1"/>
  <c r="I3677" i="27"/>
  <c r="K3677" i="27" s="1"/>
  <c r="J813" i="55"/>
  <c r="H813" i="55"/>
  <c r="L813" i="55"/>
  <c r="F813" i="55"/>
  <c r="K605" i="11"/>
  <c r="K609" i="11" s="1"/>
  <c r="V3610" i="1"/>
  <c r="X3610" i="1" s="1"/>
  <c r="X3593" i="1"/>
  <c r="F812" i="55"/>
  <c r="H812" i="55"/>
  <c r="L812" i="55"/>
  <c r="J812" i="55"/>
  <c r="AG3560" i="1"/>
  <c r="AG3564" i="1" s="1"/>
  <c r="AG3565" i="1" s="1"/>
  <c r="V3623" i="1"/>
  <c r="K3913" i="27"/>
  <c r="K3917" i="27" s="1"/>
  <c r="K3918" i="27" s="1"/>
  <c r="I608" i="27"/>
  <c r="K608" i="27" s="1"/>
  <c r="K612" i="27" s="1"/>
  <c r="K614" i="27" s="1"/>
  <c r="K284" i="27"/>
  <c r="K286" i="27" s="1"/>
  <c r="K287" i="27" s="1"/>
  <c r="K288" i="27" s="1"/>
  <c r="K289" i="27" s="1"/>
  <c r="K290" i="27" s="1"/>
  <c r="P634" i="27"/>
  <c r="R634" i="27" s="1"/>
  <c r="V3576" i="1"/>
  <c r="X3560" i="1"/>
  <c r="X3564" i="1" s="1"/>
  <c r="X3565" i="1" s="1"/>
  <c r="K226" i="1"/>
  <c r="K232" i="1" s="1"/>
  <c r="K234" i="1" s="1"/>
  <c r="K1200" i="1"/>
  <c r="K1211" i="1" s="1"/>
  <c r="K1213" i="1" s="1"/>
  <c r="K1405" i="1"/>
  <c r="K1412" i="1" s="1"/>
  <c r="K1414" i="1" s="1"/>
  <c r="H626" i="55"/>
  <c r="L626" i="55"/>
  <c r="J626" i="55"/>
  <c r="F626" i="55"/>
  <c r="X2612" i="1"/>
  <c r="X2613" i="1" s="1"/>
  <c r="X2615" i="1" s="1"/>
  <c r="AE2660" i="1"/>
  <c r="AG2660" i="1" s="1"/>
  <c r="AS201" i="1"/>
  <c r="AU199" i="1"/>
  <c r="AV199" i="1" s="1"/>
  <c r="AG2661" i="1"/>
  <c r="AG2663" i="1" s="1"/>
  <c r="R2865" i="1"/>
  <c r="R2867" i="1" s="1"/>
  <c r="D105" i="50"/>
  <c r="F105" i="50" s="1"/>
  <c r="K2188" i="27"/>
  <c r="C873" i="55"/>
  <c r="I3100" i="27"/>
  <c r="I3936" i="27"/>
  <c r="K3936" i="27" s="1"/>
  <c r="K3939" i="27" s="1"/>
  <c r="K3941" i="27" s="1"/>
  <c r="K3074" i="27"/>
  <c r="K3077" i="27" s="1"/>
  <c r="F872" i="55"/>
  <c r="J872" i="55"/>
  <c r="L872" i="55"/>
  <c r="H872" i="55"/>
  <c r="F109" i="25"/>
  <c r="F118" i="25" s="1"/>
  <c r="H118" i="25" s="1"/>
  <c r="D132" i="25"/>
  <c r="K2965" i="27"/>
  <c r="C871" i="76" s="1"/>
  <c r="P871" i="76" s="1"/>
  <c r="L2966" i="27"/>
  <c r="C295" i="55"/>
  <c r="T295" i="55" s="1"/>
  <c r="L3064" i="27"/>
  <c r="K3063" i="27"/>
  <c r="AC1207" i="1"/>
  <c r="AC1208" i="1" s="1"/>
  <c r="AJ1206" i="1"/>
  <c r="W542" i="1"/>
  <c r="AC542" i="1" s="1"/>
  <c r="AJ542" i="1" s="1"/>
  <c r="J543" i="1"/>
  <c r="K2262" i="1"/>
  <c r="C688" i="55"/>
  <c r="T688" i="55" s="1"/>
  <c r="F625" i="25"/>
  <c r="D661" i="25"/>
  <c r="C689" i="55"/>
  <c r="T689" i="55" s="1"/>
  <c r="K2263" i="1"/>
  <c r="L609" i="11"/>
  <c r="K2287" i="1"/>
  <c r="F849" i="55"/>
  <c r="L849" i="55"/>
  <c r="J849" i="55"/>
  <c r="H849" i="55"/>
  <c r="K3514" i="1"/>
  <c r="K3515" i="1" s="1"/>
  <c r="Z806" i="11"/>
  <c r="D153" i="78"/>
  <c r="F153" i="78" s="1"/>
  <c r="F1031" i="55"/>
  <c r="J1031" i="55"/>
  <c r="L1031" i="55"/>
  <c r="T1031" i="55"/>
  <c r="H1031" i="55"/>
  <c r="H623" i="55"/>
  <c r="F623" i="55"/>
  <c r="L623" i="55"/>
  <c r="J623" i="55"/>
  <c r="J305" i="55"/>
  <c r="F305" i="55"/>
  <c r="L305" i="55"/>
  <c r="H305" i="55"/>
  <c r="F609" i="55"/>
  <c r="J609" i="55"/>
  <c r="H609" i="55"/>
  <c r="L609" i="55"/>
  <c r="F546" i="25"/>
  <c r="F556" i="25" s="1"/>
  <c r="F558" i="25" s="1"/>
  <c r="D583" i="25"/>
  <c r="L1033" i="55"/>
  <c r="H1033" i="55"/>
  <c r="F1033" i="55"/>
  <c r="J1033" i="55"/>
  <c r="T1033" i="55"/>
  <c r="H608" i="55"/>
  <c r="J608" i="55"/>
  <c r="F608" i="55"/>
  <c r="L608" i="55"/>
  <c r="F1030" i="55"/>
  <c r="L1030" i="55"/>
  <c r="J1030" i="55"/>
  <c r="H1030" i="55"/>
  <c r="T1030" i="55"/>
  <c r="J301" i="55"/>
  <c r="L301" i="55"/>
  <c r="H301" i="55"/>
  <c r="L620" i="55"/>
  <c r="H620" i="55"/>
  <c r="F620" i="55"/>
  <c r="J620" i="55"/>
  <c r="F1046" i="55"/>
  <c r="L1046" i="55"/>
  <c r="H1046" i="55"/>
  <c r="J1046" i="55"/>
  <c r="T1046" i="55"/>
  <c r="H299" i="55"/>
  <c r="L299" i="55"/>
  <c r="J299" i="55"/>
  <c r="J634" i="55"/>
  <c r="F634" i="55"/>
  <c r="H634" i="55"/>
  <c r="L634" i="55"/>
  <c r="C619" i="55"/>
  <c r="C294" i="55"/>
  <c r="T294" i="55" s="1"/>
  <c r="I4064" i="1"/>
  <c r="K4064" i="1" s="1"/>
  <c r="K4074" i="1" s="1"/>
  <c r="K4076" i="1" s="1"/>
  <c r="V3131" i="1"/>
  <c r="X3114" i="1"/>
  <c r="X3124" i="1" s="1"/>
  <c r="X3126" i="1" s="1"/>
  <c r="R1111" i="1"/>
  <c r="V3634" i="1"/>
  <c r="X3634" i="1" s="1"/>
  <c r="J605" i="55"/>
  <c r="H605" i="55"/>
  <c r="F605" i="55"/>
  <c r="L605" i="55"/>
  <c r="H296" i="55"/>
  <c r="L296" i="55"/>
  <c r="J296" i="55"/>
  <c r="V3248" i="1"/>
  <c r="X3248" i="1" s="1"/>
  <c r="X3259" i="1" s="1"/>
  <c r="X3261" i="1" s="1"/>
  <c r="K3280" i="1"/>
  <c r="K3291" i="1" s="1"/>
  <c r="K3293" i="1" s="1"/>
  <c r="C622" i="55"/>
  <c r="T622" i="55" s="1"/>
  <c r="C1032" i="55"/>
  <c r="P1032" i="55" s="1"/>
  <c r="P1112" i="1"/>
  <c r="R1090" i="1"/>
  <c r="J603" i="55"/>
  <c r="H603" i="55"/>
  <c r="L603" i="55"/>
  <c r="F603" i="55"/>
  <c r="R1091" i="1"/>
  <c r="P1113" i="1"/>
  <c r="C627" i="55"/>
  <c r="C1025" i="55"/>
  <c r="P1025" i="55" s="1"/>
  <c r="C606" i="55"/>
  <c r="T606" i="55" s="1"/>
  <c r="C302" i="55"/>
  <c r="T302" i="55" s="1"/>
  <c r="L423" i="55"/>
  <c r="H423" i="55"/>
  <c r="J423" i="55"/>
  <c r="F423" i="55"/>
  <c r="K815" i="1"/>
  <c r="K817" i="1" s="1"/>
  <c r="K821" i="1" s="1"/>
  <c r="C53" i="76" s="1"/>
  <c r="R2832" i="1"/>
  <c r="R2834" i="1" s="1"/>
  <c r="R238" i="1"/>
  <c r="R240" i="1" s="1"/>
  <c r="I1971" i="1"/>
  <c r="P596" i="1"/>
  <c r="R596" i="1" s="1"/>
  <c r="I1271" i="1"/>
  <c r="AB1332" i="1"/>
  <c r="AC1332" i="1" s="1"/>
  <c r="AC1336" i="1" s="1"/>
  <c r="AC1337" i="1" s="1"/>
  <c r="V1341" i="1" s="1"/>
  <c r="X1341" i="1" s="1"/>
  <c r="I211" i="1"/>
  <c r="K211" i="1" s="1"/>
  <c r="K217" i="1" s="1"/>
  <c r="K219" i="1" s="1"/>
  <c r="P307" i="1"/>
  <c r="R307" i="1" s="1"/>
  <c r="R313" i="1" s="1"/>
  <c r="R315" i="1" s="1"/>
  <c r="P66" i="1"/>
  <c r="R66" i="1" s="1"/>
  <c r="R72" i="1" s="1"/>
  <c r="R74" i="1" s="1"/>
  <c r="P653" i="1" s="1"/>
  <c r="R653" i="1" s="1"/>
  <c r="P319" i="1"/>
  <c r="R319" i="1" s="1"/>
  <c r="R325" i="1" s="1"/>
  <c r="R327" i="1" s="1"/>
  <c r="I3807" i="1"/>
  <c r="K3807" i="1" s="1"/>
  <c r="K3812" i="1" s="1"/>
  <c r="K3814" i="1" s="1"/>
  <c r="K2913" i="1"/>
  <c r="C568" i="76" s="1"/>
  <c r="C567" i="55"/>
  <c r="T567" i="55" s="1"/>
  <c r="V707" i="1"/>
  <c r="AD644" i="1"/>
  <c r="AF644" i="1" s="1"/>
  <c r="AF650" i="1" s="1"/>
  <c r="AF652" i="1" s="1"/>
  <c r="AF654" i="1" s="1"/>
  <c r="AF655" i="1" s="1"/>
  <c r="AF657" i="1" s="1"/>
  <c r="X644" i="1"/>
  <c r="X650" i="1" s="1"/>
  <c r="X652" i="1" s="1"/>
  <c r="X654" i="1" s="1"/>
  <c r="X655" i="1" s="1"/>
  <c r="X657" i="1" s="1"/>
  <c r="I1392" i="1"/>
  <c r="P80" i="1"/>
  <c r="R80" i="1" s="1"/>
  <c r="R87" i="1" s="1"/>
  <c r="R89" i="1" s="1"/>
  <c r="P654" i="1" s="1"/>
  <c r="R654" i="1" s="1"/>
  <c r="P336" i="1"/>
  <c r="R336" i="1" s="1"/>
  <c r="R342" i="1" s="1"/>
  <c r="R344" i="1" s="1"/>
  <c r="V312" i="1"/>
  <c r="X312" i="1" s="1"/>
  <c r="X319" i="1" s="1"/>
  <c r="X321" i="1" s="1"/>
  <c r="C55" i="76" s="1"/>
  <c r="I1478" i="1"/>
  <c r="K1478" i="1" s="1"/>
  <c r="K1483" i="1" s="1"/>
  <c r="K1485" i="1" s="1"/>
  <c r="AE312" i="1"/>
  <c r="I1453" i="1"/>
  <c r="K1453" i="1" s="1"/>
  <c r="K1458" i="1" s="1"/>
  <c r="K1460" i="1" s="1"/>
  <c r="I1465" i="1"/>
  <c r="K1465" i="1" s="1"/>
  <c r="K1470" i="1" s="1"/>
  <c r="K1472" i="1" s="1"/>
  <c r="AQ64" i="1"/>
  <c r="AS64" i="1" s="1"/>
  <c r="AS71" i="1" s="1"/>
  <c r="AS73" i="1" s="1"/>
  <c r="C533" i="76" s="1"/>
  <c r="I297" i="1"/>
  <c r="K297" i="1" s="1"/>
  <c r="K304" i="1" s="1"/>
  <c r="K306" i="1" s="1"/>
  <c r="I3252" i="1"/>
  <c r="K3252" i="1" s="1"/>
  <c r="K3258" i="1" s="1"/>
  <c r="K3260" i="1" s="1"/>
  <c r="I196" i="1"/>
  <c r="I312" i="1"/>
  <c r="AQ164" i="1"/>
  <c r="AS164" i="1" s="1"/>
  <c r="AU164" i="1" s="1"/>
  <c r="AV164" i="1" s="1"/>
  <c r="AS133" i="1"/>
  <c r="AU133" i="1" s="1"/>
  <c r="AV133" i="1" s="1"/>
  <c r="I426" i="1"/>
  <c r="K426" i="1" s="1"/>
  <c r="K430" i="1" s="1"/>
  <c r="K432" i="1" s="1"/>
  <c r="K434" i="1" s="1"/>
  <c r="C205" i="76" s="1"/>
  <c r="P267" i="1"/>
  <c r="R267" i="1" s="1"/>
  <c r="R271" i="1" s="1"/>
  <c r="R273" i="1" s="1"/>
  <c r="R275" i="1" s="1"/>
  <c r="R276" i="1" s="1"/>
  <c r="R277" i="1" s="1"/>
  <c r="R278" i="1" s="1"/>
  <c r="N14" i="1"/>
  <c r="K14" i="1"/>
  <c r="L38" i="55"/>
  <c r="H38" i="55"/>
  <c r="J38" i="55"/>
  <c r="I550" i="1"/>
  <c r="K550" i="1" s="1"/>
  <c r="K555" i="1" s="1"/>
  <c r="K557" i="1" s="1"/>
  <c r="C245" i="76" s="1"/>
  <c r="I526" i="1"/>
  <c r="K526" i="1" s="1"/>
  <c r="K531" i="1" s="1"/>
  <c r="K533" i="1" s="1"/>
  <c r="I535" i="1" s="1"/>
  <c r="K535" i="1" s="1"/>
  <c r="C232" i="76" s="1"/>
  <c r="K517" i="1"/>
  <c r="K519" i="1" s="1"/>
  <c r="X802" i="1"/>
  <c r="X811" i="1" s="1"/>
  <c r="V817" i="1"/>
  <c r="X817" i="1" s="1"/>
  <c r="X826" i="1" s="1"/>
  <c r="Z815" i="1" s="1"/>
  <c r="Z816" i="1" s="1"/>
  <c r="Z817" i="1" s="1"/>
  <c r="Z818" i="1" s="1"/>
  <c r="Z819" i="1" s="1"/>
  <c r="Z820" i="1" s="1"/>
  <c r="Z821" i="1" s="1"/>
  <c r="Z822" i="1" s="1"/>
  <c r="Z823" i="1" s="1"/>
  <c r="Z824" i="1" s="1"/>
  <c r="I1336" i="1"/>
  <c r="P196" i="1"/>
  <c r="K1418" i="1"/>
  <c r="K1424" i="1" s="1"/>
  <c r="K1426" i="1" s="1"/>
  <c r="I1354" i="1"/>
  <c r="I1706" i="1"/>
  <c r="K1706" i="1" s="1"/>
  <c r="K1711" i="1" s="1"/>
  <c r="K1713" i="1" s="1"/>
  <c r="I620" i="1"/>
  <c r="K620" i="1" s="1"/>
  <c r="K625" i="1" s="1"/>
  <c r="K627" i="1" s="1"/>
  <c r="I628" i="1" s="1"/>
  <c r="K628" i="1" s="1"/>
  <c r="C638" i="76" s="1"/>
  <c r="I2424" i="1"/>
  <c r="P348" i="1"/>
  <c r="R348" i="1" s="1"/>
  <c r="R354" i="1" s="1"/>
  <c r="R356" i="1" s="1"/>
  <c r="P296" i="1"/>
  <c r="R296" i="1" s="1"/>
  <c r="R302" i="1" s="1"/>
  <c r="R304" i="1" s="1"/>
  <c r="I1376" i="1"/>
  <c r="K1376" i="1" s="1"/>
  <c r="I1433" i="1"/>
  <c r="K1433" i="1" s="1"/>
  <c r="I1249" i="1"/>
  <c r="I1220" i="1"/>
  <c r="I3455" i="1"/>
  <c r="P1333" i="1"/>
  <c r="P657" i="1"/>
  <c r="R657" i="1" s="1"/>
  <c r="C217" i="55"/>
  <c r="T217" i="55" s="1"/>
  <c r="K468" i="1"/>
  <c r="C218" i="76" s="1"/>
  <c r="J63" i="55"/>
  <c r="L63" i="55"/>
  <c r="H63" i="55"/>
  <c r="I336" i="1"/>
  <c r="AQ88" i="1"/>
  <c r="AS88" i="1" s="1"/>
  <c r="AS95" i="1" s="1"/>
  <c r="AS97" i="1" s="1"/>
  <c r="AS99" i="1" s="1"/>
  <c r="P180" i="1"/>
  <c r="R180" i="1" s="1"/>
  <c r="V380" i="1"/>
  <c r="K380" i="1"/>
  <c r="K387" i="1" s="1"/>
  <c r="K389" i="1" s="1"/>
  <c r="I394" i="1" s="1"/>
  <c r="K394" i="1" s="1"/>
  <c r="K398" i="1" s="1"/>
  <c r="K400" i="1" s="1"/>
  <c r="C167" i="76" s="1"/>
  <c r="V356" i="1"/>
  <c r="K356" i="1"/>
  <c r="K363" i="1" s="1"/>
  <c r="K365" i="1" s="1"/>
  <c r="K367" i="1" s="1"/>
  <c r="H405" i="55"/>
  <c r="J405" i="55"/>
  <c r="L405" i="55"/>
  <c r="F405" i="55"/>
  <c r="R2346" i="1"/>
  <c r="P2355" i="1"/>
  <c r="R2355" i="1" s="1"/>
  <c r="R2357" i="1" s="1"/>
  <c r="X675" i="1"/>
  <c r="V729" i="1"/>
  <c r="X729" i="1" s="1"/>
  <c r="V761" i="1"/>
  <c r="X761" i="1" s="1"/>
  <c r="D41" i="50"/>
  <c r="R1141" i="1"/>
  <c r="R1152" i="1" s="1"/>
  <c r="R1156" i="1" s="1"/>
  <c r="C518" i="76" s="1"/>
  <c r="P1172" i="1"/>
  <c r="R1172" i="1" s="1"/>
  <c r="R1183" i="1" s="1"/>
  <c r="C515" i="76" s="1"/>
  <c r="V195" i="1"/>
  <c r="X195" i="1" s="1"/>
  <c r="I195" i="1"/>
  <c r="Z705" i="1"/>
  <c r="P656" i="1"/>
  <c r="R656" i="1" s="1"/>
  <c r="I637" i="1"/>
  <c r="K637" i="1" s="1"/>
  <c r="K641" i="1" s="1"/>
  <c r="K643" i="1" s="1"/>
  <c r="K285" i="1"/>
  <c r="C52" i="76" s="1"/>
  <c r="J43" i="55"/>
  <c r="H43" i="55"/>
  <c r="L43" i="55"/>
  <c r="F41" i="32"/>
  <c r="D104" i="32"/>
  <c r="F104" i="32" s="1"/>
  <c r="H776" i="55"/>
  <c r="J776" i="55"/>
  <c r="L776" i="55"/>
  <c r="F776" i="55"/>
  <c r="J319" i="55"/>
  <c r="F319" i="55"/>
  <c r="H319" i="55"/>
  <c r="L319" i="55"/>
  <c r="K261" i="11"/>
  <c r="L260" i="11"/>
  <c r="AB1451" i="1"/>
  <c r="AD1451" i="1" s="1"/>
  <c r="AD1461" i="1" s="1"/>
  <c r="X1453" i="1"/>
  <c r="X1463" i="1" s="1"/>
  <c r="L905" i="55"/>
  <c r="F905" i="55"/>
  <c r="H905" i="55"/>
  <c r="J905" i="55"/>
  <c r="K1138" i="11"/>
  <c r="K1129" i="11"/>
  <c r="K1130" i="11" s="1"/>
  <c r="C1085" i="76" s="1"/>
  <c r="P1085" i="76" s="1"/>
  <c r="L568" i="11"/>
  <c r="M565" i="11"/>
  <c r="L3396" i="27"/>
  <c r="L260" i="55"/>
  <c r="J260" i="55"/>
  <c r="H260" i="55"/>
  <c r="AQ134" i="1"/>
  <c r="AS109" i="1"/>
  <c r="R242" i="11"/>
  <c r="R246" i="11" s="1"/>
  <c r="AE242" i="11"/>
  <c r="AG242" i="11" s="1"/>
  <c r="AG246" i="11" s="1"/>
  <c r="J254" i="55"/>
  <c r="H254" i="55"/>
  <c r="L254" i="55"/>
  <c r="L828" i="55"/>
  <c r="H828" i="55"/>
  <c r="J828" i="55"/>
  <c r="F828" i="55"/>
  <c r="L587" i="11"/>
  <c r="M584" i="11"/>
  <c r="X594" i="1"/>
  <c r="X595" i="1" s="1"/>
  <c r="Y590" i="1" s="1"/>
  <c r="Y591" i="1" s="1"/>
  <c r="Y592" i="1" s="1"/>
  <c r="Y593" i="1" s="1"/>
  <c r="Y594" i="1" s="1"/>
  <c r="C655" i="55"/>
  <c r="T655" i="55" s="1"/>
  <c r="V1468" i="1"/>
  <c r="X1468" i="1" s="1"/>
  <c r="X1470" i="1" s="1"/>
  <c r="X1471" i="1" s="1"/>
  <c r="X1444" i="1"/>
  <c r="X1446" i="1" s="1"/>
  <c r="X1447" i="1" s="1"/>
  <c r="K274" i="11"/>
  <c r="C1050" i="76" s="1"/>
  <c r="P1050" i="76" s="1"/>
  <c r="L275" i="11"/>
  <c r="L588" i="11"/>
  <c r="C445" i="55"/>
  <c r="T445" i="55" s="1"/>
  <c r="C715" i="55"/>
  <c r="T715" i="55" s="1"/>
  <c r="L654" i="55"/>
  <c r="J654" i="55"/>
  <c r="H654" i="55"/>
  <c r="F654" i="55"/>
  <c r="J1090" i="55"/>
  <c r="H1090" i="55"/>
  <c r="S1446" i="1"/>
  <c r="R1486" i="1"/>
  <c r="F659" i="55"/>
  <c r="J659" i="55"/>
  <c r="L659" i="55"/>
  <c r="H659" i="55"/>
  <c r="C320" i="55"/>
  <c r="T320" i="55" s="1"/>
  <c r="C831" i="55"/>
  <c r="T831" i="55" s="1"/>
  <c r="P283" i="11"/>
  <c r="K283" i="11"/>
  <c r="K287" i="11" s="1"/>
  <c r="C648" i="55"/>
  <c r="T648" i="55" s="1"/>
  <c r="C255" i="55"/>
  <c r="T255" i="55" s="1"/>
  <c r="I594" i="1"/>
  <c r="K594" i="1" s="1"/>
  <c r="H829" i="55"/>
  <c r="F829" i="55"/>
  <c r="J829" i="55"/>
  <c r="L829" i="55"/>
  <c r="L250" i="11"/>
  <c r="K249" i="11"/>
  <c r="K2282" i="1" s="1"/>
  <c r="L1089" i="55"/>
  <c r="T1089" i="55"/>
  <c r="H1089" i="55"/>
  <c r="J1089" i="55"/>
  <c r="F1089" i="55"/>
  <c r="L570" i="11"/>
  <c r="C444" i="55"/>
  <c r="T444" i="55" s="1"/>
  <c r="C716" i="55"/>
  <c r="T716" i="55" s="1"/>
  <c r="C660" i="55"/>
  <c r="T660" i="55" s="1"/>
  <c r="K616" i="1"/>
  <c r="C261" i="55"/>
  <c r="T261" i="55" s="1"/>
  <c r="I616" i="1"/>
  <c r="D623" i="25"/>
  <c r="F588" i="25"/>
  <c r="AB1216" i="1"/>
  <c r="AD1216" i="1" s="1"/>
  <c r="AD1244" i="1"/>
  <c r="I796" i="11"/>
  <c r="K651" i="11"/>
  <c r="I645" i="11" s="1"/>
  <c r="K645" i="11" s="1"/>
  <c r="K649" i="11" s="1"/>
  <c r="H647" i="55"/>
  <c r="F647" i="55"/>
  <c r="L647" i="55"/>
  <c r="J647" i="55"/>
  <c r="J870" i="55"/>
  <c r="L870" i="55"/>
  <c r="H870" i="55"/>
  <c r="F870" i="55"/>
  <c r="F871" i="55"/>
  <c r="L871" i="55"/>
  <c r="J871" i="55"/>
  <c r="H871" i="55"/>
  <c r="L620" i="76" l="1"/>
  <c r="P620" i="76"/>
  <c r="N620" i="76"/>
  <c r="J620" i="76"/>
  <c r="F620" i="76"/>
  <c r="V620" i="76"/>
  <c r="H620" i="76"/>
  <c r="T620" i="76"/>
  <c r="R620" i="76"/>
  <c r="L302" i="76"/>
  <c r="P302" i="76"/>
  <c r="N302" i="76"/>
  <c r="J302" i="76"/>
  <c r="H302" i="76"/>
  <c r="V302" i="76"/>
  <c r="T302" i="76"/>
  <c r="R302" i="76"/>
  <c r="F302" i="76"/>
  <c r="P255" i="76"/>
  <c r="H255" i="76"/>
  <c r="L255" i="76"/>
  <c r="J255" i="76"/>
  <c r="N255" i="76"/>
  <c r="V255" i="76"/>
  <c r="T255" i="76"/>
  <c r="F255" i="76"/>
  <c r="R255" i="76"/>
  <c r="P807" i="76"/>
  <c r="H807" i="76"/>
  <c r="L807" i="76"/>
  <c r="J807" i="76"/>
  <c r="N807" i="76"/>
  <c r="T807" i="76"/>
  <c r="F807" i="76"/>
  <c r="V807" i="76"/>
  <c r="R807" i="76"/>
  <c r="P1019" i="76"/>
  <c r="R1019" i="76"/>
  <c r="V1019" i="76"/>
  <c r="T1019" i="76"/>
  <c r="H1019" i="76"/>
  <c r="N1019" i="76"/>
  <c r="F1019" i="76"/>
  <c r="J1019" i="76"/>
  <c r="P1027" i="76"/>
  <c r="R1027" i="76"/>
  <c r="V1027" i="76"/>
  <c r="T1027" i="76"/>
  <c r="H1027" i="76"/>
  <c r="F1027" i="76"/>
  <c r="J1027" i="76"/>
  <c r="N1027" i="76"/>
  <c r="L296" i="76"/>
  <c r="P296" i="76"/>
  <c r="J296" i="76"/>
  <c r="N296" i="76"/>
  <c r="V296" i="76"/>
  <c r="H296" i="76"/>
  <c r="F296" i="76"/>
  <c r="R296" i="76"/>
  <c r="T296" i="76"/>
  <c r="L294" i="76"/>
  <c r="P294" i="76"/>
  <c r="N294" i="76"/>
  <c r="J294" i="76"/>
  <c r="H294" i="76"/>
  <c r="V294" i="76"/>
  <c r="T294" i="76"/>
  <c r="F294" i="76"/>
  <c r="R294" i="76"/>
  <c r="P404" i="76"/>
  <c r="L404" i="76"/>
  <c r="J404" i="76"/>
  <c r="F404" i="76"/>
  <c r="N404" i="76"/>
  <c r="H404" i="76"/>
  <c r="V404" i="76"/>
  <c r="T404" i="76"/>
  <c r="R404" i="76"/>
  <c r="P261" i="76"/>
  <c r="H261" i="76"/>
  <c r="L261" i="76"/>
  <c r="J261" i="76"/>
  <c r="N261" i="76"/>
  <c r="V261" i="76"/>
  <c r="F261" i="76"/>
  <c r="R261" i="76"/>
  <c r="T261" i="76"/>
  <c r="C313" i="55"/>
  <c r="T313" i="55" s="1"/>
  <c r="C313" i="76"/>
  <c r="C54" i="55"/>
  <c r="T54" i="55" s="1"/>
  <c r="C54" i="76"/>
  <c r="C555" i="55"/>
  <c r="T555" i="55" s="1"/>
  <c r="C555" i="76"/>
  <c r="C808" i="55"/>
  <c r="T808" i="55" s="1"/>
  <c r="C803" i="76"/>
  <c r="P52" i="76"/>
  <c r="L52" i="76"/>
  <c r="H52" i="76"/>
  <c r="J52" i="76"/>
  <c r="N52" i="76"/>
  <c r="F52" i="76"/>
  <c r="V52" i="76"/>
  <c r="R52" i="76"/>
  <c r="T52" i="76"/>
  <c r="C705" i="55"/>
  <c r="C701" i="76"/>
  <c r="L167" i="76"/>
  <c r="P167" i="76"/>
  <c r="J167" i="76"/>
  <c r="H167" i="76"/>
  <c r="N167" i="76"/>
  <c r="V167" i="76"/>
  <c r="F167" i="76"/>
  <c r="R167" i="76"/>
  <c r="T167" i="76"/>
  <c r="L218" i="76"/>
  <c r="P218" i="76"/>
  <c r="J218" i="76"/>
  <c r="N218" i="76"/>
  <c r="H218" i="76"/>
  <c r="V218" i="76"/>
  <c r="T218" i="76"/>
  <c r="R218" i="76"/>
  <c r="F218" i="76"/>
  <c r="L638" i="76"/>
  <c r="P638" i="76"/>
  <c r="J638" i="76"/>
  <c r="F638" i="76"/>
  <c r="N638" i="76"/>
  <c r="H638" i="76"/>
  <c r="V638" i="76"/>
  <c r="R638" i="76"/>
  <c r="T638" i="76"/>
  <c r="P533" i="76"/>
  <c r="H533" i="76"/>
  <c r="L533" i="76"/>
  <c r="J533" i="76"/>
  <c r="F533" i="76"/>
  <c r="N533" i="76"/>
  <c r="V533" i="76"/>
  <c r="T533" i="76"/>
  <c r="R533" i="76"/>
  <c r="C348" i="55"/>
  <c r="C347" i="76"/>
  <c r="C618" i="55"/>
  <c r="C297" i="76"/>
  <c r="C618" i="76"/>
  <c r="C342" i="55"/>
  <c r="C342" i="76"/>
  <c r="L606" i="76"/>
  <c r="P606" i="76"/>
  <c r="N606" i="76"/>
  <c r="J606" i="76"/>
  <c r="F606" i="76"/>
  <c r="V606" i="76"/>
  <c r="H606" i="76"/>
  <c r="T606" i="76"/>
  <c r="R606" i="76"/>
  <c r="L647" i="76"/>
  <c r="P647" i="76"/>
  <c r="F647" i="76"/>
  <c r="N647" i="76"/>
  <c r="J647" i="76"/>
  <c r="H647" i="76"/>
  <c r="V647" i="76"/>
  <c r="R647" i="76"/>
  <c r="T647" i="76"/>
  <c r="L627" i="76"/>
  <c r="P627" i="76"/>
  <c r="N627" i="76"/>
  <c r="F627" i="76"/>
  <c r="H627" i="76"/>
  <c r="J627" i="76"/>
  <c r="V627" i="76"/>
  <c r="T627" i="76"/>
  <c r="R627" i="76"/>
  <c r="L619" i="76"/>
  <c r="P619" i="76"/>
  <c r="N619" i="76"/>
  <c r="F619" i="76"/>
  <c r="J619" i="76"/>
  <c r="H619" i="76"/>
  <c r="V619" i="76"/>
  <c r="T619" i="76"/>
  <c r="R619" i="76"/>
  <c r="L43" i="76"/>
  <c r="P43" i="76"/>
  <c r="N43" i="76"/>
  <c r="J43" i="76"/>
  <c r="H43" i="76"/>
  <c r="V43" i="76"/>
  <c r="T43" i="76"/>
  <c r="R43" i="76"/>
  <c r="F43" i="76"/>
  <c r="L609" i="76"/>
  <c r="P609" i="76"/>
  <c r="N609" i="76"/>
  <c r="F609" i="76"/>
  <c r="J609" i="76"/>
  <c r="H609" i="76"/>
  <c r="V609" i="76"/>
  <c r="R609" i="76"/>
  <c r="T609" i="76"/>
  <c r="P659" i="76"/>
  <c r="L659" i="76"/>
  <c r="F659" i="76"/>
  <c r="N659" i="76"/>
  <c r="J659" i="76"/>
  <c r="H659" i="76"/>
  <c r="V659" i="76"/>
  <c r="R659" i="76"/>
  <c r="T659" i="76"/>
  <c r="L518" i="76"/>
  <c r="P518" i="76"/>
  <c r="F518" i="76"/>
  <c r="N518" i="76"/>
  <c r="J518" i="76"/>
  <c r="V518" i="76"/>
  <c r="H518" i="76"/>
  <c r="R518" i="76"/>
  <c r="T518" i="76"/>
  <c r="D47" i="78"/>
  <c r="F47" i="78" s="1"/>
  <c r="C344" i="55"/>
  <c r="T344" i="55" s="1"/>
  <c r="C827" i="55"/>
  <c r="T827" i="55" s="1"/>
  <c r="C822" i="76"/>
  <c r="P232" i="76"/>
  <c r="L232" i="76"/>
  <c r="N232" i="76"/>
  <c r="H232" i="76"/>
  <c r="J232" i="76"/>
  <c r="V232" i="76"/>
  <c r="F232" i="76"/>
  <c r="T232" i="76"/>
  <c r="R232" i="76"/>
  <c r="L205" i="76"/>
  <c r="P205" i="76"/>
  <c r="N205" i="76"/>
  <c r="J205" i="76"/>
  <c r="H205" i="76"/>
  <c r="F205" i="76"/>
  <c r="V205" i="76"/>
  <c r="T205" i="76"/>
  <c r="R205" i="76"/>
  <c r="C347" i="55"/>
  <c r="C346" i="76"/>
  <c r="L55" i="76"/>
  <c r="P55" i="76"/>
  <c r="J55" i="76"/>
  <c r="H55" i="76"/>
  <c r="N55" i="76"/>
  <c r="V55" i="76"/>
  <c r="F55" i="76"/>
  <c r="R55" i="76"/>
  <c r="T55" i="76"/>
  <c r="L568" i="76"/>
  <c r="P568" i="76"/>
  <c r="N568" i="76"/>
  <c r="J568" i="76"/>
  <c r="F568" i="76"/>
  <c r="H568" i="76"/>
  <c r="V568" i="76"/>
  <c r="R568" i="76"/>
  <c r="T568" i="76"/>
  <c r="L53" i="76"/>
  <c r="P53" i="76"/>
  <c r="N53" i="76"/>
  <c r="J53" i="76"/>
  <c r="H53" i="76"/>
  <c r="V53" i="76"/>
  <c r="F53" i="76"/>
  <c r="T53" i="76"/>
  <c r="R53" i="76"/>
  <c r="C617" i="55"/>
  <c r="T617" i="55" s="1"/>
  <c r="C617" i="76"/>
  <c r="C330" i="55"/>
  <c r="C330" i="76"/>
  <c r="L622" i="76"/>
  <c r="P622" i="76"/>
  <c r="J622" i="76"/>
  <c r="F622" i="76"/>
  <c r="N622" i="76"/>
  <c r="H622" i="76"/>
  <c r="V622" i="76"/>
  <c r="T622" i="76"/>
  <c r="R622" i="76"/>
  <c r="L305" i="76"/>
  <c r="P305" i="76"/>
  <c r="N305" i="76"/>
  <c r="J305" i="76"/>
  <c r="H305" i="76"/>
  <c r="V305" i="76"/>
  <c r="F305" i="76"/>
  <c r="T305" i="76"/>
  <c r="R305" i="76"/>
  <c r="R1025" i="76"/>
  <c r="P1025" i="76"/>
  <c r="T1025" i="76"/>
  <c r="H1025" i="76"/>
  <c r="N1025" i="76"/>
  <c r="V1025" i="76"/>
  <c r="F1025" i="76"/>
  <c r="J1025" i="76"/>
  <c r="L633" i="76"/>
  <c r="P633" i="76"/>
  <c r="J633" i="76"/>
  <c r="F633" i="76"/>
  <c r="N633" i="76"/>
  <c r="H633" i="76"/>
  <c r="V633" i="76"/>
  <c r="T633" i="76"/>
  <c r="R633" i="76"/>
  <c r="L38" i="76"/>
  <c r="P38" i="76"/>
  <c r="N38" i="76"/>
  <c r="H38" i="76"/>
  <c r="J38" i="76"/>
  <c r="V38" i="76"/>
  <c r="R38" i="76"/>
  <c r="F38" i="76"/>
  <c r="T38" i="76"/>
  <c r="P808" i="76"/>
  <c r="L808" i="76"/>
  <c r="J808" i="76"/>
  <c r="R808" i="76"/>
  <c r="N808" i="76"/>
  <c r="H808" i="76"/>
  <c r="V808" i="76"/>
  <c r="F808" i="76"/>
  <c r="T808" i="76"/>
  <c r="L623" i="76"/>
  <c r="P623" i="76"/>
  <c r="F623" i="76"/>
  <c r="J623" i="76"/>
  <c r="N623" i="76"/>
  <c r="H623" i="76"/>
  <c r="V623" i="76"/>
  <c r="T623" i="76"/>
  <c r="R623" i="76"/>
  <c r="R1024" i="76"/>
  <c r="P1024" i="76"/>
  <c r="V1024" i="76"/>
  <c r="J1024" i="76"/>
  <c r="F1024" i="76"/>
  <c r="T1024" i="76"/>
  <c r="H1024" i="76"/>
  <c r="N1024" i="76"/>
  <c r="L63" i="76"/>
  <c r="P63" i="76"/>
  <c r="N63" i="76"/>
  <c r="J63" i="76"/>
  <c r="H63" i="76"/>
  <c r="V63" i="76"/>
  <c r="F63" i="76"/>
  <c r="R63" i="76"/>
  <c r="T63" i="76"/>
  <c r="P320" i="76"/>
  <c r="L320" i="76"/>
  <c r="J320" i="76"/>
  <c r="N320" i="76"/>
  <c r="V320" i="76"/>
  <c r="F320" i="76"/>
  <c r="H320" i="76"/>
  <c r="R320" i="76"/>
  <c r="T320" i="76"/>
  <c r="C587" i="55"/>
  <c r="T587" i="55" s="1"/>
  <c r="C587" i="76"/>
  <c r="C660" i="76"/>
  <c r="C262" i="76"/>
  <c r="C648" i="76"/>
  <c r="C256" i="76"/>
  <c r="C830" i="55"/>
  <c r="T830" i="55" s="1"/>
  <c r="C825" i="76"/>
  <c r="P515" i="76"/>
  <c r="H515" i="76"/>
  <c r="L515" i="76"/>
  <c r="J515" i="76"/>
  <c r="F515" i="76"/>
  <c r="N515" i="76"/>
  <c r="V515" i="76"/>
  <c r="T515" i="76"/>
  <c r="R515" i="76"/>
  <c r="P245" i="76"/>
  <c r="L245" i="76"/>
  <c r="N245" i="76"/>
  <c r="J245" i="76"/>
  <c r="H245" i="76"/>
  <c r="V245" i="76"/>
  <c r="T245" i="76"/>
  <c r="R245" i="76"/>
  <c r="F245" i="76"/>
  <c r="C346" i="55"/>
  <c r="C345" i="76"/>
  <c r="C912" i="55"/>
  <c r="T912" i="55" s="1"/>
  <c r="C908" i="76"/>
  <c r="C46" i="55"/>
  <c r="C46" i="76"/>
  <c r="C47" i="55"/>
  <c r="T47" i="55" s="1"/>
  <c r="C47" i="76"/>
  <c r="P295" i="76"/>
  <c r="L295" i="76"/>
  <c r="N295" i="76"/>
  <c r="J295" i="76"/>
  <c r="F295" i="76"/>
  <c r="H295" i="76"/>
  <c r="V295" i="76"/>
  <c r="T295" i="76"/>
  <c r="R295" i="76"/>
  <c r="P1026" i="76"/>
  <c r="R1026" i="76"/>
  <c r="N1026" i="76"/>
  <c r="F1026" i="76"/>
  <c r="J1026" i="76"/>
  <c r="V1026" i="76"/>
  <c r="T1026" i="76"/>
  <c r="H1026" i="76"/>
  <c r="L626" i="76"/>
  <c r="P626" i="76"/>
  <c r="F626" i="76"/>
  <c r="N626" i="76"/>
  <c r="J626" i="76"/>
  <c r="H626" i="76"/>
  <c r="V626" i="76"/>
  <c r="T626" i="76"/>
  <c r="R626" i="76"/>
  <c r="L826" i="76"/>
  <c r="P826" i="76"/>
  <c r="J826" i="76"/>
  <c r="R826" i="76"/>
  <c r="N826" i="76"/>
  <c r="V826" i="76"/>
  <c r="H826" i="76"/>
  <c r="F826" i="76"/>
  <c r="T826" i="76"/>
  <c r="F1090" i="55"/>
  <c r="T1090" i="55"/>
  <c r="J47" i="55"/>
  <c r="D49" i="78"/>
  <c r="F49" i="78" s="1"/>
  <c r="T346" i="55"/>
  <c r="D51" i="78"/>
  <c r="F51" i="78" s="1"/>
  <c r="T348" i="55"/>
  <c r="D14" i="78"/>
  <c r="F14" i="78" s="1"/>
  <c r="T46" i="55"/>
  <c r="D165" i="78"/>
  <c r="F165" i="78" s="1"/>
  <c r="T627" i="55"/>
  <c r="D168" i="78"/>
  <c r="F168" i="78" s="1"/>
  <c r="T619" i="55"/>
  <c r="D149" i="78"/>
  <c r="F149" i="78" s="1"/>
  <c r="T873" i="55"/>
  <c r="D45" i="78"/>
  <c r="F45" i="78" s="1"/>
  <c r="T342" i="55"/>
  <c r="D117" i="78"/>
  <c r="F117" i="78" s="1"/>
  <c r="T705" i="55"/>
  <c r="D50" i="78"/>
  <c r="F50" i="78" s="1"/>
  <c r="T347" i="55"/>
  <c r="D40" i="78"/>
  <c r="F40" i="78" s="1"/>
  <c r="T330" i="55"/>
  <c r="L649" i="11"/>
  <c r="C1031" i="76"/>
  <c r="P443" i="76"/>
  <c r="H443" i="76"/>
  <c r="N443" i="76"/>
  <c r="V443" i="76"/>
  <c r="T443" i="76"/>
  <c r="L443" i="76"/>
  <c r="F443" i="76"/>
  <c r="J443" i="76"/>
  <c r="R443" i="76"/>
  <c r="L711" i="76"/>
  <c r="J711" i="76"/>
  <c r="H711" i="76"/>
  <c r="R711" i="76"/>
  <c r="P711" i="76"/>
  <c r="F711" i="76"/>
  <c r="N711" i="76"/>
  <c r="V711" i="76"/>
  <c r="T711" i="76"/>
  <c r="C446" i="55"/>
  <c r="T446" i="55" s="1"/>
  <c r="C445" i="76"/>
  <c r="L712" i="76"/>
  <c r="N712" i="76"/>
  <c r="H712" i="76"/>
  <c r="V712" i="76"/>
  <c r="T712" i="76"/>
  <c r="P712" i="76"/>
  <c r="F712" i="76"/>
  <c r="J712" i="76"/>
  <c r="R712" i="76"/>
  <c r="L444" i="76"/>
  <c r="N444" i="76"/>
  <c r="H444" i="76"/>
  <c r="R444" i="76"/>
  <c r="P444" i="76"/>
  <c r="F444" i="76"/>
  <c r="J444" i="76"/>
  <c r="V444" i="76"/>
  <c r="T444" i="76"/>
  <c r="P261" i="55"/>
  <c r="R261" i="55"/>
  <c r="P444" i="55"/>
  <c r="R444" i="55"/>
  <c r="P255" i="55"/>
  <c r="R255" i="55"/>
  <c r="P831" i="55"/>
  <c r="R831" i="55"/>
  <c r="P827" i="55"/>
  <c r="R827" i="55"/>
  <c r="P445" i="55"/>
  <c r="R445" i="55"/>
  <c r="P830" i="55"/>
  <c r="R830" i="55"/>
  <c r="P655" i="55"/>
  <c r="R655" i="55"/>
  <c r="P705" i="55"/>
  <c r="R705" i="55"/>
  <c r="P217" i="55"/>
  <c r="R217" i="55"/>
  <c r="P344" i="55"/>
  <c r="R344" i="55"/>
  <c r="P54" i="55"/>
  <c r="R54" i="55"/>
  <c r="P347" i="55"/>
  <c r="R347" i="55"/>
  <c r="P587" i="55"/>
  <c r="R587" i="55"/>
  <c r="P302" i="55"/>
  <c r="R302" i="55"/>
  <c r="P294" i="55"/>
  <c r="R294" i="55"/>
  <c r="P925" i="55"/>
  <c r="R925" i="55"/>
  <c r="P555" i="55"/>
  <c r="R555" i="55"/>
  <c r="P689" i="55"/>
  <c r="R689" i="55"/>
  <c r="R617" i="55"/>
  <c r="P330" i="55"/>
  <c r="R330" i="55"/>
  <c r="P808" i="55"/>
  <c r="R808" i="55"/>
  <c r="P660" i="55"/>
  <c r="R660" i="55"/>
  <c r="P716" i="55"/>
  <c r="R716" i="55"/>
  <c r="P648" i="55"/>
  <c r="R648" i="55"/>
  <c r="P320" i="55"/>
  <c r="R320" i="55"/>
  <c r="P715" i="55"/>
  <c r="R715" i="55"/>
  <c r="P313" i="55"/>
  <c r="R313" i="55"/>
  <c r="P346" i="55"/>
  <c r="R346" i="55"/>
  <c r="P348" i="55"/>
  <c r="R348" i="55"/>
  <c r="P567" i="55"/>
  <c r="R567" i="55"/>
  <c r="P912" i="55"/>
  <c r="R912" i="55"/>
  <c r="P46" i="55"/>
  <c r="R46" i="55"/>
  <c r="P606" i="55"/>
  <c r="R606" i="55"/>
  <c r="P627" i="55"/>
  <c r="R627" i="55"/>
  <c r="P622" i="55"/>
  <c r="R622" i="55"/>
  <c r="P619" i="55"/>
  <c r="R619" i="55"/>
  <c r="P446" i="55"/>
  <c r="R446" i="55"/>
  <c r="P688" i="55"/>
  <c r="R688" i="55"/>
  <c r="P295" i="55"/>
  <c r="R295" i="55"/>
  <c r="P873" i="55"/>
  <c r="R873" i="55"/>
  <c r="P342" i="55"/>
  <c r="R342" i="55"/>
  <c r="P47" i="55"/>
  <c r="R47" i="55"/>
  <c r="P423" i="55"/>
  <c r="R423" i="55"/>
  <c r="J617" i="55"/>
  <c r="P617" i="55"/>
  <c r="C437" i="76"/>
  <c r="P437" i="76" s="1"/>
  <c r="C693" i="76"/>
  <c r="P693" i="76" s="1"/>
  <c r="C1055" i="55"/>
  <c r="N1055" i="55" s="1"/>
  <c r="C1049" i="76"/>
  <c r="P1049" i="76" s="1"/>
  <c r="C418" i="55"/>
  <c r="T418" i="55" s="1"/>
  <c r="C417" i="76"/>
  <c r="P417" i="76" s="1"/>
  <c r="R1050" i="76"/>
  <c r="F1050" i="76"/>
  <c r="N1050" i="76"/>
  <c r="H1050" i="76"/>
  <c r="T1050" i="76"/>
  <c r="J1050" i="76"/>
  <c r="V1050" i="76"/>
  <c r="T1085" i="76"/>
  <c r="F1085" i="76"/>
  <c r="H1085" i="76"/>
  <c r="R1085" i="76"/>
  <c r="J1085" i="76"/>
  <c r="V1085" i="76"/>
  <c r="N1085" i="76"/>
  <c r="C419" i="55"/>
  <c r="T419" i="55" s="1"/>
  <c r="C418" i="76"/>
  <c r="P418" i="76" s="1"/>
  <c r="H871" i="76"/>
  <c r="L871" i="76"/>
  <c r="R871" i="76"/>
  <c r="N871" i="76"/>
  <c r="V871" i="76"/>
  <c r="J871" i="76"/>
  <c r="F871" i="76"/>
  <c r="T871" i="76"/>
  <c r="T1084" i="76"/>
  <c r="V1084" i="76"/>
  <c r="N1084" i="76"/>
  <c r="J1084" i="76"/>
  <c r="F1084" i="76"/>
  <c r="H1084" i="76"/>
  <c r="R1084" i="76"/>
  <c r="L422" i="76"/>
  <c r="N422" i="76"/>
  <c r="R422" i="76"/>
  <c r="T422" i="76"/>
  <c r="F422" i="76"/>
  <c r="J422" i="76"/>
  <c r="H422" i="76"/>
  <c r="V422" i="76"/>
  <c r="F255" i="55"/>
  <c r="F54" i="55"/>
  <c r="N587" i="55"/>
  <c r="F261" i="55"/>
  <c r="F217" i="55"/>
  <c r="N912" i="55"/>
  <c r="F46" i="55"/>
  <c r="F302" i="55"/>
  <c r="F294" i="55"/>
  <c r="N555" i="55"/>
  <c r="H617" i="55"/>
  <c r="F47" i="55"/>
  <c r="F617" i="55"/>
  <c r="N295" i="55"/>
  <c r="F295" i="55"/>
  <c r="N261" i="55"/>
  <c r="N660" i="55"/>
  <c r="N444" i="55"/>
  <c r="N648" i="55"/>
  <c r="N320" i="55"/>
  <c r="N827" i="55"/>
  <c r="N715" i="55"/>
  <c r="N313" i="55"/>
  <c r="N217" i="55"/>
  <c r="N344" i="55"/>
  <c r="N54" i="55"/>
  <c r="N347" i="55"/>
  <c r="N606" i="55"/>
  <c r="N627" i="55"/>
  <c r="N622" i="55"/>
  <c r="N294" i="55"/>
  <c r="N925" i="55"/>
  <c r="N446" i="55"/>
  <c r="N419" i="55"/>
  <c r="N688" i="55"/>
  <c r="N617" i="55"/>
  <c r="N342" i="55"/>
  <c r="N47" i="55"/>
  <c r="N716" i="55"/>
  <c r="N255" i="55"/>
  <c r="N831" i="55"/>
  <c r="N445" i="55"/>
  <c r="N830" i="55"/>
  <c r="N655" i="55"/>
  <c r="N705" i="55"/>
  <c r="N346" i="55"/>
  <c r="N348" i="55"/>
  <c r="N567" i="55"/>
  <c r="N46" i="55"/>
  <c r="N302" i="55"/>
  <c r="N1025" i="55"/>
  <c r="N1032" i="55"/>
  <c r="N619" i="55"/>
  <c r="N689" i="55"/>
  <c r="N418" i="55"/>
  <c r="N873" i="55"/>
  <c r="N330" i="55"/>
  <c r="N808" i="55"/>
  <c r="J555" i="55"/>
  <c r="K992" i="11"/>
  <c r="M992" i="11"/>
  <c r="L617" i="55"/>
  <c r="I2105" i="1"/>
  <c r="K2105" i="1" s="1"/>
  <c r="K2111" i="1" s="1"/>
  <c r="I1991" i="1"/>
  <c r="K1991" i="1" s="1"/>
  <c r="P623" i="1"/>
  <c r="R623" i="1" s="1"/>
  <c r="I2441" i="1"/>
  <c r="K2441" i="1" s="1"/>
  <c r="K2446" i="1" s="1"/>
  <c r="K2448" i="1" s="1"/>
  <c r="L3919" i="27"/>
  <c r="L47" i="55"/>
  <c r="F342" i="55"/>
  <c r="L342" i="55"/>
  <c r="F808" i="55"/>
  <c r="L808" i="55"/>
  <c r="J808" i="55"/>
  <c r="H808" i="55"/>
  <c r="P577" i="27"/>
  <c r="R577" i="27" s="1"/>
  <c r="P608" i="27"/>
  <c r="R608" i="27" s="1"/>
  <c r="I620" i="27"/>
  <c r="K620" i="27" s="1"/>
  <c r="K626" i="27" s="1"/>
  <c r="K628" i="27" s="1"/>
  <c r="K630" i="27" s="1"/>
  <c r="I2693" i="27"/>
  <c r="K2693" i="27" s="1"/>
  <c r="P591" i="27"/>
  <c r="R591" i="27" s="1"/>
  <c r="H47" i="55"/>
  <c r="J342" i="55"/>
  <c r="X3576" i="1"/>
  <c r="X3580" i="1" s="1"/>
  <c r="X3581" i="1" s="1"/>
  <c r="V3591" i="1"/>
  <c r="X3623" i="1"/>
  <c r="X3627" i="1" s="1"/>
  <c r="X3628" i="1" s="1"/>
  <c r="AB3623" i="1"/>
  <c r="AD3623" i="1" s="1"/>
  <c r="AD3628" i="1" s="1"/>
  <c r="AD3629" i="1" s="1"/>
  <c r="I3673" i="27"/>
  <c r="K3673" i="27" s="1"/>
  <c r="I3663" i="27"/>
  <c r="K3663" i="27" s="1"/>
  <c r="H342" i="55"/>
  <c r="K3615" i="27"/>
  <c r="I3646" i="27"/>
  <c r="K3646" i="27" s="1"/>
  <c r="K1336" i="1"/>
  <c r="K1342" i="1" s="1"/>
  <c r="K1344" i="1" s="1"/>
  <c r="V1333" i="1" s="1"/>
  <c r="X1333" i="1" s="1"/>
  <c r="K1354" i="1"/>
  <c r="I2992" i="1"/>
  <c r="K2992" i="1" s="1"/>
  <c r="K2999" i="1" s="1"/>
  <c r="K3001" i="1" s="1"/>
  <c r="K312" i="1"/>
  <c r="K319" i="1" s="1"/>
  <c r="K321" i="1" s="1"/>
  <c r="L555" i="55"/>
  <c r="F555" i="55"/>
  <c r="H555" i="55"/>
  <c r="J295" i="55"/>
  <c r="AS203" i="1"/>
  <c r="AU201" i="1"/>
  <c r="AV201" i="1" s="1"/>
  <c r="H295" i="55"/>
  <c r="L295" i="55"/>
  <c r="R1101" i="1"/>
  <c r="R1103" i="1" s="1"/>
  <c r="C875" i="55"/>
  <c r="K2190" i="27"/>
  <c r="I3114" i="27"/>
  <c r="P3073" i="27"/>
  <c r="R3073" i="27" s="1"/>
  <c r="R3077" i="27" s="1"/>
  <c r="R3078" i="27" s="1"/>
  <c r="K3100" i="27"/>
  <c r="K3104" i="27" s="1"/>
  <c r="D133" i="25"/>
  <c r="D298" i="25"/>
  <c r="F298" i="25" s="1"/>
  <c r="F132" i="25"/>
  <c r="L873" i="55"/>
  <c r="J873" i="55"/>
  <c r="H873" i="55"/>
  <c r="F873" i="55"/>
  <c r="K3948" i="27"/>
  <c r="K3952" i="27" s="1"/>
  <c r="K3953" i="27" s="1"/>
  <c r="K3942" i="27"/>
  <c r="J544" i="1"/>
  <c r="W543" i="1"/>
  <c r="AC543" i="1" s="1"/>
  <c r="AJ543" i="1" s="1"/>
  <c r="K3087" i="27"/>
  <c r="K3091" i="27" s="1"/>
  <c r="K3079" i="27"/>
  <c r="F925" i="55"/>
  <c r="J925" i="55"/>
  <c r="H925" i="55"/>
  <c r="L925" i="55"/>
  <c r="H446" i="55"/>
  <c r="J446" i="55"/>
  <c r="L446" i="55"/>
  <c r="F446" i="55"/>
  <c r="D697" i="25"/>
  <c r="F697" i="25" s="1"/>
  <c r="F661" i="25"/>
  <c r="L419" i="55"/>
  <c r="F419" i="55"/>
  <c r="H688" i="55"/>
  <c r="L688" i="55"/>
  <c r="F688" i="55"/>
  <c r="J688" i="55"/>
  <c r="L689" i="55"/>
  <c r="J689" i="55"/>
  <c r="F689" i="55"/>
  <c r="H689" i="55"/>
  <c r="F418" i="55"/>
  <c r="H418" i="55"/>
  <c r="H1032" i="55"/>
  <c r="L1032" i="55"/>
  <c r="T1032" i="55"/>
  <c r="F1032" i="55"/>
  <c r="J1032" i="55"/>
  <c r="V3156" i="1"/>
  <c r="X3131" i="1"/>
  <c r="X3141" i="1" s="1"/>
  <c r="X3143" i="1" s="1"/>
  <c r="C438" i="55"/>
  <c r="T438" i="55" s="1"/>
  <c r="C697" i="55"/>
  <c r="T697" i="55" s="1"/>
  <c r="C297" i="55"/>
  <c r="T297" i="55" s="1"/>
  <c r="T618" i="55"/>
  <c r="H606" i="55"/>
  <c r="L606" i="55"/>
  <c r="F606" i="55"/>
  <c r="J606" i="55"/>
  <c r="J627" i="55"/>
  <c r="L627" i="55"/>
  <c r="F627" i="55"/>
  <c r="H627" i="55"/>
  <c r="H619" i="55"/>
  <c r="J619" i="55"/>
  <c r="L619" i="55"/>
  <c r="F619" i="55"/>
  <c r="H302" i="55"/>
  <c r="L302" i="55"/>
  <c r="J302" i="55"/>
  <c r="J1025" i="55"/>
  <c r="F1025" i="55"/>
  <c r="L1025" i="55"/>
  <c r="H1025" i="55"/>
  <c r="T1025" i="55"/>
  <c r="V3635" i="1"/>
  <c r="X3635" i="1" s="1"/>
  <c r="R1112" i="1"/>
  <c r="J294" i="55"/>
  <c r="L294" i="55"/>
  <c r="H294" i="55"/>
  <c r="R1113" i="1"/>
  <c r="V3636" i="1"/>
  <c r="X3636" i="1" s="1"/>
  <c r="C1056" i="55"/>
  <c r="L1056" i="55" s="1"/>
  <c r="K2283" i="1"/>
  <c r="L622" i="55"/>
  <c r="F622" i="55"/>
  <c r="H622" i="55"/>
  <c r="J622" i="55"/>
  <c r="F583" i="25"/>
  <c r="F593" i="25" s="1"/>
  <c r="F595" i="25" s="1"/>
  <c r="D618" i="25"/>
  <c r="J587" i="55"/>
  <c r="F587" i="55"/>
  <c r="L587" i="55"/>
  <c r="H587" i="55"/>
  <c r="J46" i="55"/>
  <c r="AS100" i="1"/>
  <c r="AS101" i="1" s="1"/>
  <c r="C537" i="76" s="1"/>
  <c r="AU99" i="1"/>
  <c r="AV99" i="1" s="1"/>
  <c r="I1720" i="1"/>
  <c r="K1720" i="1" s="1"/>
  <c r="K1725" i="1" s="1"/>
  <c r="K1727" i="1" s="1"/>
  <c r="I2383" i="1"/>
  <c r="I1731" i="1"/>
  <c r="K1731" i="1" s="1"/>
  <c r="K1734" i="1" s="1"/>
  <c r="K1736" i="1" s="1"/>
  <c r="I1741" i="1" s="1"/>
  <c r="K1741" i="1" s="1"/>
  <c r="K1744" i="1" s="1"/>
  <c r="K1746" i="1" s="1"/>
  <c r="K402" i="1"/>
  <c r="C168" i="76" s="1"/>
  <c r="C167" i="55"/>
  <c r="T167" i="55" s="1"/>
  <c r="P3461" i="1"/>
  <c r="R3461" i="1" s="1"/>
  <c r="R3474" i="1" s="1"/>
  <c r="R3476" i="1" s="1"/>
  <c r="I3822" i="1"/>
  <c r="K3822" i="1" s="1"/>
  <c r="K3835" i="1" s="1"/>
  <c r="K3837" i="1" s="1"/>
  <c r="K3455" i="1"/>
  <c r="K3468" i="1" s="1"/>
  <c r="K3470" i="1" s="1"/>
  <c r="I629" i="1"/>
  <c r="K629" i="1" s="1"/>
  <c r="C639" i="76" s="1"/>
  <c r="C639" i="55"/>
  <c r="T639" i="55" s="1"/>
  <c r="V196" i="1"/>
  <c r="X196" i="1" s="1"/>
  <c r="X202" i="1" s="1"/>
  <c r="X204" i="1" s="1"/>
  <c r="R196" i="1"/>
  <c r="R202" i="1" s="1"/>
  <c r="R204" i="1" s="1"/>
  <c r="L519" i="1"/>
  <c r="K520" i="1"/>
  <c r="K521" i="1" s="1"/>
  <c r="K522" i="1" s="1"/>
  <c r="AS75" i="1"/>
  <c r="AS76" i="1" s="1"/>
  <c r="AS77" i="1" s="1"/>
  <c r="AS78" i="1" s="1"/>
  <c r="AS79" i="1" s="1"/>
  <c r="C534" i="55"/>
  <c r="H348" i="55"/>
  <c r="J348" i="55"/>
  <c r="F348" i="55"/>
  <c r="L348" i="55"/>
  <c r="K1392" i="1"/>
  <c r="K1398" i="1" s="1"/>
  <c r="K1400" i="1" s="1"/>
  <c r="C341" i="76" s="1"/>
  <c r="H567" i="55"/>
  <c r="J567" i="55"/>
  <c r="F567" i="55"/>
  <c r="L567" i="55"/>
  <c r="K1271" i="1"/>
  <c r="K1276" i="1" s="1"/>
  <c r="K1278" i="1" s="1"/>
  <c r="I1285" i="1"/>
  <c r="K1285" i="1" s="1"/>
  <c r="K1290" i="1" s="1"/>
  <c r="K1292" i="1" s="1"/>
  <c r="AB1264" i="1"/>
  <c r="AD1264" i="1" s="1"/>
  <c r="AD1269" i="1" s="1"/>
  <c r="AD1271" i="1" s="1"/>
  <c r="F330" i="55"/>
  <c r="H330" i="55"/>
  <c r="J330" i="55"/>
  <c r="L330" i="55"/>
  <c r="AE365" i="1"/>
  <c r="AG365" i="1" s="1"/>
  <c r="AG372" i="1" s="1"/>
  <c r="AG374" i="1" s="1"/>
  <c r="AG376" i="1" s="1"/>
  <c r="AG377" i="1" s="1"/>
  <c r="X356" i="1"/>
  <c r="X363" i="1" s="1"/>
  <c r="X365" i="1" s="1"/>
  <c r="J217" i="55"/>
  <c r="L217" i="55"/>
  <c r="H217" i="55"/>
  <c r="R1333" i="1"/>
  <c r="R1338" i="1" s="1"/>
  <c r="R1340" i="1" s="1"/>
  <c r="R1341" i="1" s="1"/>
  <c r="R1342" i="1" s="1"/>
  <c r="R1343" i="1" s="1"/>
  <c r="R1344" i="1" s="1"/>
  <c r="R1345" i="1" s="1"/>
  <c r="Q1341" i="1" s="1"/>
  <c r="Q1342" i="1" s="1"/>
  <c r="AB1189" i="1"/>
  <c r="V1332" i="1"/>
  <c r="X1332" i="1" s="1"/>
  <c r="V1299" i="1"/>
  <c r="P1373" i="1"/>
  <c r="R1373" i="1" s="1"/>
  <c r="R1386" i="1" s="1"/>
  <c r="R1388" i="1" s="1"/>
  <c r="K1440" i="1"/>
  <c r="K1442" i="1" s="1"/>
  <c r="L1412" i="1"/>
  <c r="P2431" i="1"/>
  <c r="R2431" i="1" s="1"/>
  <c r="R2440" i="1" s="1"/>
  <c r="R2442" i="1" s="1"/>
  <c r="K2424" i="1"/>
  <c r="K2433" i="1" s="1"/>
  <c r="K2435" i="1" s="1"/>
  <c r="F344" i="55"/>
  <c r="J344" i="55"/>
  <c r="H344" i="55"/>
  <c r="L344" i="55"/>
  <c r="L54" i="55"/>
  <c r="H54" i="55"/>
  <c r="J54" i="55"/>
  <c r="AG312" i="1"/>
  <c r="AG319" i="1" s="1"/>
  <c r="AG321" i="1" s="1"/>
  <c r="C56" i="76" s="1"/>
  <c r="V677" i="1"/>
  <c r="D43" i="32"/>
  <c r="X707" i="1"/>
  <c r="C1049" i="55"/>
  <c r="C585" i="55"/>
  <c r="T585" i="55" s="1"/>
  <c r="K368" i="1"/>
  <c r="C559" i="76" s="1"/>
  <c r="J367" i="1"/>
  <c r="C218" i="55"/>
  <c r="T218" i="55" s="1"/>
  <c r="K469" i="1"/>
  <c r="C219" i="76" s="1"/>
  <c r="K1249" i="1"/>
  <c r="K1262" i="1" s="1"/>
  <c r="K1264" i="1" s="1"/>
  <c r="V1278" i="1"/>
  <c r="X1278" i="1" s="1"/>
  <c r="X1291" i="1" s="1"/>
  <c r="X1293" i="1" s="1"/>
  <c r="I559" i="1"/>
  <c r="K559" i="1" s="1"/>
  <c r="C246" i="76" s="1"/>
  <c r="C245" i="55"/>
  <c r="T245" i="55" s="1"/>
  <c r="K435" i="1"/>
  <c r="C206" i="76" s="1"/>
  <c r="C205" i="55"/>
  <c r="T205" i="55" s="1"/>
  <c r="F346" i="55"/>
  <c r="J346" i="55"/>
  <c r="L346" i="55"/>
  <c r="H346" i="55"/>
  <c r="AF659" i="1"/>
  <c r="AF660" i="1" s="1"/>
  <c r="AF661" i="1" s="1"/>
  <c r="AF662" i="1" s="1"/>
  <c r="AF663" i="1" s="1"/>
  <c r="AF664" i="1" s="1"/>
  <c r="AB528" i="1"/>
  <c r="J912" i="55"/>
  <c r="F912" i="55"/>
  <c r="L912" i="55"/>
  <c r="H912" i="55"/>
  <c r="L46" i="55"/>
  <c r="H46" i="55"/>
  <c r="V411" i="1"/>
  <c r="X411" i="1" s="1"/>
  <c r="X418" i="1" s="1"/>
  <c r="X420" i="1" s="1"/>
  <c r="V426" i="1" s="1"/>
  <c r="X426" i="1" s="1"/>
  <c r="X430" i="1" s="1"/>
  <c r="X432" i="1" s="1"/>
  <c r="X434" i="1" s="1"/>
  <c r="C181" i="76" s="1"/>
  <c r="X380" i="1"/>
  <c r="X387" i="1" s="1"/>
  <c r="X389" i="1" s="1"/>
  <c r="V394" i="1" s="1"/>
  <c r="X394" i="1" s="1"/>
  <c r="X398" i="1" s="1"/>
  <c r="X400" i="1" s="1"/>
  <c r="C130" i="76" s="1"/>
  <c r="AE389" i="1"/>
  <c r="V336" i="1"/>
  <c r="K336" i="1"/>
  <c r="K343" i="1" s="1"/>
  <c r="K345" i="1" s="1"/>
  <c r="K347" i="1" s="1"/>
  <c r="C118" i="76" s="1"/>
  <c r="K1220" i="1"/>
  <c r="K1238" i="1" s="1"/>
  <c r="K1241" i="1" s="1"/>
  <c r="C332" i="76" s="1"/>
  <c r="P1216" i="1"/>
  <c r="P655" i="1"/>
  <c r="R655" i="1" s="1"/>
  <c r="R672" i="1" s="1"/>
  <c r="P598" i="1"/>
  <c r="R598" i="1" s="1"/>
  <c r="P612" i="1"/>
  <c r="R612" i="1" s="1"/>
  <c r="C232" i="55"/>
  <c r="T232" i="55" s="1"/>
  <c r="I536" i="1"/>
  <c r="K536" i="1" s="1"/>
  <c r="C233" i="76" s="1"/>
  <c r="K196" i="1"/>
  <c r="F347" i="55"/>
  <c r="H347" i="55"/>
  <c r="J347" i="55"/>
  <c r="L347" i="55"/>
  <c r="C55" i="55"/>
  <c r="T55" i="55" s="1"/>
  <c r="X323" i="1"/>
  <c r="X659" i="1"/>
  <c r="X660" i="1" s="1"/>
  <c r="X661" i="1" s="1"/>
  <c r="X662" i="1" s="1"/>
  <c r="X663" i="1" s="1"/>
  <c r="X664" i="1" s="1"/>
  <c r="V528" i="1"/>
  <c r="I2927" i="1"/>
  <c r="K2927" i="1" s="1"/>
  <c r="K2930" i="1" s="1"/>
  <c r="K2931" i="1" s="1"/>
  <c r="K2914" i="1"/>
  <c r="C569" i="76" s="1"/>
  <c r="C568" i="55"/>
  <c r="T568" i="55" s="1"/>
  <c r="K1971" i="1"/>
  <c r="K1977" i="1" s="1"/>
  <c r="P1971" i="1"/>
  <c r="H41" i="32"/>
  <c r="R1184" i="1"/>
  <c r="C516" i="76" s="1"/>
  <c r="C516" i="55"/>
  <c r="T516" i="55" s="1"/>
  <c r="J705" i="55"/>
  <c r="H705" i="55"/>
  <c r="F705" i="55"/>
  <c r="L705" i="55"/>
  <c r="I649" i="1"/>
  <c r="K649" i="1" s="1"/>
  <c r="K655" i="1" s="1"/>
  <c r="K657" i="1" s="1"/>
  <c r="I659" i="1" s="1"/>
  <c r="K659" i="1" s="1"/>
  <c r="C264" i="76" s="1"/>
  <c r="P613" i="1"/>
  <c r="R613" i="1" s="1"/>
  <c r="P630" i="1"/>
  <c r="R630" i="1" s="1"/>
  <c r="P599" i="1"/>
  <c r="R599" i="1" s="1"/>
  <c r="K195" i="1"/>
  <c r="P163" i="1"/>
  <c r="R163" i="1" s="1"/>
  <c r="R170" i="1" s="1"/>
  <c r="R172" i="1" s="1"/>
  <c r="F41" i="50"/>
  <c r="D104" i="50"/>
  <c r="F104" i="50" s="1"/>
  <c r="K823" i="1"/>
  <c r="C71" i="76" s="1"/>
  <c r="I3920" i="1"/>
  <c r="C53" i="55"/>
  <c r="T53" i="55" s="1"/>
  <c r="K287" i="1"/>
  <c r="C65" i="76" s="1"/>
  <c r="C52" i="55"/>
  <c r="T52" i="55" s="1"/>
  <c r="S1159" i="1"/>
  <c r="C519" i="55"/>
  <c r="T519" i="55" s="1"/>
  <c r="R1158" i="1"/>
  <c r="C519" i="76" s="1"/>
  <c r="C1037" i="55"/>
  <c r="C902" i="55"/>
  <c r="T902" i="55" s="1"/>
  <c r="C1084" i="55"/>
  <c r="L716" i="55"/>
  <c r="J716" i="55"/>
  <c r="H716" i="55"/>
  <c r="F716" i="55"/>
  <c r="H648" i="55"/>
  <c r="F648" i="55"/>
  <c r="J648" i="55"/>
  <c r="L648" i="55"/>
  <c r="P297" i="11"/>
  <c r="R297" i="11" s="1"/>
  <c r="R301" i="11" s="1"/>
  <c r="R283" i="11"/>
  <c r="R287" i="11" s="1"/>
  <c r="L445" i="55"/>
  <c r="F445" i="55"/>
  <c r="J445" i="55"/>
  <c r="H445" i="55"/>
  <c r="H655" i="55"/>
  <c r="J655" i="55"/>
  <c r="L655" i="55"/>
  <c r="F655" i="55"/>
  <c r="AI246" i="11"/>
  <c r="AG247" i="11"/>
  <c r="AI247" i="11" s="1"/>
  <c r="AI248" i="11" s="1"/>
  <c r="K1025" i="11"/>
  <c r="K1017" i="11"/>
  <c r="L660" i="55"/>
  <c r="F660" i="55"/>
  <c r="J660" i="55"/>
  <c r="H660" i="55"/>
  <c r="H255" i="55"/>
  <c r="J255" i="55"/>
  <c r="L255" i="55"/>
  <c r="K288" i="11"/>
  <c r="L289" i="11"/>
  <c r="J715" i="55"/>
  <c r="L715" i="55"/>
  <c r="H715" i="55"/>
  <c r="F715" i="55"/>
  <c r="AQ148" i="1"/>
  <c r="AS148" i="1" s="1"/>
  <c r="AQ165" i="1"/>
  <c r="AS134" i="1"/>
  <c r="M568" i="11"/>
  <c r="P567" i="11" s="1"/>
  <c r="M3396" i="27"/>
  <c r="M3400" i="27" s="1"/>
  <c r="N565" i="11"/>
  <c r="H313" i="55"/>
  <c r="L313" i="55"/>
  <c r="F313" i="55"/>
  <c r="J313" i="55"/>
  <c r="K796" i="11"/>
  <c r="I783" i="11" s="1"/>
  <c r="I845" i="11"/>
  <c r="K845" i="11" s="1"/>
  <c r="C1073" i="76" s="1"/>
  <c r="C262" i="55"/>
  <c r="T262" i="55" s="1"/>
  <c r="C661" i="55"/>
  <c r="T661" i="55" s="1"/>
  <c r="I595" i="1"/>
  <c r="K595" i="1" s="1"/>
  <c r="I596" i="1" s="1"/>
  <c r="K596" i="1" s="1"/>
  <c r="I597" i="1" s="1"/>
  <c r="K597" i="1" s="1"/>
  <c r="I598" i="1" s="1"/>
  <c r="K598" i="1" s="1"/>
  <c r="I599" i="1" s="1"/>
  <c r="K599" i="1" s="1"/>
  <c r="C649" i="55"/>
  <c r="T649" i="55" s="1"/>
  <c r="K602" i="1"/>
  <c r="C256" i="55"/>
  <c r="T256" i="55" s="1"/>
  <c r="L320" i="55"/>
  <c r="J320" i="55"/>
  <c r="F320" i="55"/>
  <c r="H320" i="55"/>
  <c r="L830" i="55"/>
  <c r="J830" i="55"/>
  <c r="F830" i="55"/>
  <c r="H830" i="55"/>
  <c r="M587" i="11"/>
  <c r="N584" i="11"/>
  <c r="AU109" i="1"/>
  <c r="AV109" i="1" s="1"/>
  <c r="AS115" i="1"/>
  <c r="L3415" i="27"/>
  <c r="L3419" i="27" s="1"/>
  <c r="L3400" i="27"/>
  <c r="K1150" i="11"/>
  <c r="K1142" i="11"/>
  <c r="K1143" i="11" s="1"/>
  <c r="F1055" i="55"/>
  <c r="L1055" i="55"/>
  <c r="C698" i="55"/>
  <c r="F623" i="25"/>
  <c r="D659" i="25"/>
  <c r="H261" i="55"/>
  <c r="L261" i="55"/>
  <c r="J261" i="55"/>
  <c r="L444" i="55"/>
  <c r="F444" i="55"/>
  <c r="J444" i="55"/>
  <c r="H444" i="55"/>
  <c r="L831" i="55"/>
  <c r="H831" i="55"/>
  <c r="F831" i="55"/>
  <c r="J831" i="55"/>
  <c r="L827" i="55"/>
  <c r="J827" i="55"/>
  <c r="H827" i="55"/>
  <c r="F827" i="55"/>
  <c r="J1056" i="55"/>
  <c r="R247" i="11"/>
  <c r="S248" i="11"/>
  <c r="S250" i="11"/>
  <c r="V247" i="11"/>
  <c r="V248" i="11" s="1"/>
  <c r="V249" i="11" s="1"/>
  <c r="T247" i="11"/>
  <c r="C1091" i="55"/>
  <c r="L1130" i="11"/>
  <c r="P516" i="76" l="1"/>
  <c r="L516" i="76"/>
  <c r="F516" i="76"/>
  <c r="N516" i="76"/>
  <c r="J516" i="76"/>
  <c r="H516" i="76"/>
  <c r="V516" i="76"/>
  <c r="R516" i="76"/>
  <c r="T516" i="76"/>
  <c r="L233" i="76"/>
  <c r="P233" i="76"/>
  <c r="H233" i="76"/>
  <c r="N233" i="76"/>
  <c r="J233" i="76"/>
  <c r="V233" i="76"/>
  <c r="F233" i="76"/>
  <c r="T233" i="76"/>
  <c r="R233" i="76"/>
  <c r="C743" i="55"/>
  <c r="T743" i="55" s="1"/>
  <c r="C738" i="76"/>
  <c r="C1021" i="55"/>
  <c r="P1021" i="55" s="1"/>
  <c r="C1015" i="76"/>
  <c r="P341" i="76"/>
  <c r="H341" i="76"/>
  <c r="L341" i="76"/>
  <c r="N341" i="76"/>
  <c r="J341" i="76"/>
  <c r="V341" i="76"/>
  <c r="F341" i="76"/>
  <c r="R341" i="76"/>
  <c r="T341" i="76"/>
  <c r="L639" i="76"/>
  <c r="P639" i="76"/>
  <c r="J639" i="76"/>
  <c r="F639" i="76"/>
  <c r="H639" i="76"/>
  <c r="N639" i="76"/>
  <c r="V639" i="76"/>
  <c r="R639" i="76"/>
  <c r="T639" i="76"/>
  <c r="C814" i="55"/>
  <c r="T814" i="55" s="1"/>
  <c r="C809" i="76"/>
  <c r="L660" i="76"/>
  <c r="P660" i="76"/>
  <c r="N660" i="76"/>
  <c r="J660" i="76"/>
  <c r="F660" i="76"/>
  <c r="V660" i="76"/>
  <c r="H660" i="76"/>
  <c r="T660" i="76"/>
  <c r="R660" i="76"/>
  <c r="P618" i="76"/>
  <c r="L618" i="76"/>
  <c r="F618" i="76"/>
  <c r="N618" i="76"/>
  <c r="H618" i="76"/>
  <c r="J618" i="76"/>
  <c r="V618" i="76"/>
  <c r="T618" i="76"/>
  <c r="R618" i="76"/>
  <c r="P803" i="76"/>
  <c r="H803" i="76"/>
  <c r="L803" i="76"/>
  <c r="R803" i="76"/>
  <c r="J803" i="76"/>
  <c r="N803" i="76"/>
  <c r="F803" i="76"/>
  <c r="V803" i="76"/>
  <c r="T803" i="76"/>
  <c r="P54" i="76"/>
  <c r="L54" i="76"/>
  <c r="J54" i="76"/>
  <c r="N54" i="76"/>
  <c r="H54" i="76"/>
  <c r="V54" i="76"/>
  <c r="F54" i="76"/>
  <c r="R54" i="76"/>
  <c r="T54" i="76"/>
  <c r="P569" i="76"/>
  <c r="H569" i="76"/>
  <c r="L569" i="76"/>
  <c r="F569" i="76"/>
  <c r="N569" i="76"/>
  <c r="J569" i="76"/>
  <c r="V569" i="76"/>
  <c r="R569" i="76"/>
  <c r="T569" i="76"/>
  <c r="L206" i="76"/>
  <c r="P206" i="76"/>
  <c r="N206" i="76"/>
  <c r="H206" i="76"/>
  <c r="J206" i="76"/>
  <c r="V206" i="76"/>
  <c r="F206" i="76"/>
  <c r="T206" i="76"/>
  <c r="R206" i="76"/>
  <c r="C662" i="76"/>
  <c r="C333" i="76"/>
  <c r="C663" i="76"/>
  <c r="P559" i="76"/>
  <c r="H559" i="76"/>
  <c r="L559" i="76"/>
  <c r="F559" i="76"/>
  <c r="N559" i="76"/>
  <c r="J559" i="76"/>
  <c r="V559" i="76"/>
  <c r="T559" i="76"/>
  <c r="R559" i="76"/>
  <c r="C723" i="76"/>
  <c r="C727" i="76"/>
  <c r="C586" i="55"/>
  <c r="T586" i="55" s="1"/>
  <c r="C586" i="76"/>
  <c r="L168" i="76"/>
  <c r="P168" i="76"/>
  <c r="J168" i="76"/>
  <c r="N168" i="76"/>
  <c r="H168" i="76"/>
  <c r="V168" i="76"/>
  <c r="F168" i="76"/>
  <c r="R168" i="76"/>
  <c r="T168" i="76"/>
  <c r="C810" i="55"/>
  <c r="T810" i="55" s="1"/>
  <c r="C805" i="76"/>
  <c r="L47" i="76"/>
  <c r="P47" i="76"/>
  <c r="H47" i="76"/>
  <c r="N47" i="76"/>
  <c r="J47" i="76"/>
  <c r="V47" i="76"/>
  <c r="F47" i="76"/>
  <c r="T47" i="76"/>
  <c r="R47" i="76"/>
  <c r="L908" i="76"/>
  <c r="P908" i="76"/>
  <c r="R908" i="76"/>
  <c r="J908" i="76"/>
  <c r="H908" i="76"/>
  <c r="N908" i="76"/>
  <c r="V908" i="76"/>
  <c r="F908" i="76"/>
  <c r="T908" i="76"/>
  <c r="L256" i="76"/>
  <c r="P256" i="76"/>
  <c r="F256" i="76"/>
  <c r="N256" i="76"/>
  <c r="J256" i="76"/>
  <c r="H256" i="76"/>
  <c r="V256" i="76"/>
  <c r="R256" i="76"/>
  <c r="T256" i="76"/>
  <c r="P587" i="76"/>
  <c r="H587" i="76"/>
  <c r="L587" i="76"/>
  <c r="F587" i="76"/>
  <c r="J587" i="76"/>
  <c r="N587" i="76"/>
  <c r="V587" i="76"/>
  <c r="R587" i="76"/>
  <c r="T587" i="76"/>
  <c r="L617" i="76"/>
  <c r="P617" i="76"/>
  <c r="J617" i="76"/>
  <c r="N617" i="76"/>
  <c r="F617" i="76"/>
  <c r="H617" i="76"/>
  <c r="V617" i="76"/>
  <c r="R617" i="76"/>
  <c r="T617" i="76"/>
  <c r="P297" i="76"/>
  <c r="L297" i="76"/>
  <c r="N297" i="76"/>
  <c r="J297" i="76"/>
  <c r="H297" i="76"/>
  <c r="V297" i="76"/>
  <c r="R297" i="76"/>
  <c r="F297" i="76"/>
  <c r="T297" i="76"/>
  <c r="L701" i="76"/>
  <c r="P701" i="76"/>
  <c r="J701" i="76"/>
  <c r="F701" i="76"/>
  <c r="N701" i="76"/>
  <c r="H701" i="76"/>
  <c r="V701" i="76"/>
  <c r="T701" i="76"/>
  <c r="R701" i="76"/>
  <c r="L71" i="76"/>
  <c r="P71" i="76"/>
  <c r="N71" i="76"/>
  <c r="J71" i="76"/>
  <c r="H71" i="76"/>
  <c r="F71" i="76"/>
  <c r="V71" i="76"/>
  <c r="T71" i="76"/>
  <c r="R71" i="76"/>
  <c r="P264" i="76"/>
  <c r="L264" i="76"/>
  <c r="N264" i="76"/>
  <c r="J264" i="76"/>
  <c r="H264" i="76"/>
  <c r="V264" i="76"/>
  <c r="T264" i="76"/>
  <c r="F264" i="76"/>
  <c r="R264" i="76"/>
  <c r="C572" i="55"/>
  <c r="T572" i="55" s="1"/>
  <c r="C572" i="76"/>
  <c r="P332" i="76"/>
  <c r="L332" i="76"/>
  <c r="N332" i="76"/>
  <c r="J332" i="76"/>
  <c r="V332" i="76"/>
  <c r="H332" i="76"/>
  <c r="F332" i="76"/>
  <c r="T332" i="76"/>
  <c r="R332" i="76"/>
  <c r="P130" i="76"/>
  <c r="L130" i="76"/>
  <c r="N130" i="76"/>
  <c r="H130" i="76"/>
  <c r="J130" i="76"/>
  <c r="V130" i="76"/>
  <c r="F130" i="76"/>
  <c r="T130" i="76"/>
  <c r="R130" i="76"/>
  <c r="P219" i="76"/>
  <c r="L219" i="76"/>
  <c r="N219" i="76"/>
  <c r="J219" i="76"/>
  <c r="H219" i="76"/>
  <c r="V219" i="76"/>
  <c r="R219" i="76"/>
  <c r="F219" i="76"/>
  <c r="T219" i="76"/>
  <c r="C1017" i="76"/>
  <c r="C557" i="76"/>
  <c r="C744" i="55"/>
  <c r="T744" i="55" s="1"/>
  <c r="C739" i="76"/>
  <c r="C588" i="55"/>
  <c r="C588" i="76"/>
  <c r="C911" i="55"/>
  <c r="T911" i="55" s="1"/>
  <c r="C907" i="76"/>
  <c r="C370" i="55"/>
  <c r="C369" i="76"/>
  <c r="C400" i="55"/>
  <c r="C399" i="76"/>
  <c r="C396" i="76"/>
  <c r="L648" i="76"/>
  <c r="P648" i="76"/>
  <c r="F648" i="76"/>
  <c r="N648" i="76"/>
  <c r="J648" i="76"/>
  <c r="H648" i="76"/>
  <c r="V648" i="76"/>
  <c r="R648" i="76"/>
  <c r="T648" i="76"/>
  <c r="P346" i="76"/>
  <c r="L346" i="76"/>
  <c r="N346" i="76"/>
  <c r="J346" i="76"/>
  <c r="V346" i="76"/>
  <c r="H346" i="76"/>
  <c r="F346" i="76"/>
  <c r="T346" i="76"/>
  <c r="R346" i="76"/>
  <c r="L822" i="76"/>
  <c r="P822" i="76"/>
  <c r="R822" i="76"/>
  <c r="N822" i="76"/>
  <c r="J822" i="76"/>
  <c r="H822" i="76"/>
  <c r="V822" i="76"/>
  <c r="T822" i="76"/>
  <c r="F822" i="76"/>
  <c r="L342" i="76"/>
  <c r="P342" i="76"/>
  <c r="N342" i="76"/>
  <c r="J342" i="76"/>
  <c r="V342" i="76"/>
  <c r="H342" i="76"/>
  <c r="T342" i="76"/>
  <c r="F342" i="76"/>
  <c r="R342" i="76"/>
  <c r="P555" i="76"/>
  <c r="H555" i="76"/>
  <c r="L555" i="76"/>
  <c r="N555" i="76"/>
  <c r="J555" i="76"/>
  <c r="F555" i="76"/>
  <c r="V555" i="76"/>
  <c r="T555" i="76"/>
  <c r="R555" i="76"/>
  <c r="L313" i="76"/>
  <c r="P313" i="76"/>
  <c r="N313" i="76"/>
  <c r="J313" i="76"/>
  <c r="H313" i="76"/>
  <c r="V313" i="76"/>
  <c r="F313" i="76"/>
  <c r="T313" i="76"/>
  <c r="R313" i="76"/>
  <c r="P519" i="76"/>
  <c r="H519" i="76"/>
  <c r="L519" i="76"/>
  <c r="F519" i="76"/>
  <c r="N519" i="76"/>
  <c r="J519" i="76"/>
  <c r="V519" i="76"/>
  <c r="R519" i="76"/>
  <c r="T519" i="76"/>
  <c r="N65" i="76"/>
  <c r="L65" i="76"/>
  <c r="J65" i="76"/>
  <c r="P65" i="76"/>
  <c r="H65" i="76"/>
  <c r="V65" i="76"/>
  <c r="R65" i="76"/>
  <c r="F65" i="76"/>
  <c r="T65" i="76"/>
  <c r="C387" i="76"/>
  <c r="C675" i="76"/>
  <c r="L118" i="76"/>
  <c r="P118" i="76"/>
  <c r="H118" i="76"/>
  <c r="J118" i="76"/>
  <c r="N118" i="76"/>
  <c r="V118" i="76"/>
  <c r="R118" i="76"/>
  <c r="F118" i="76"/>
  <c r="T118" i="76"/>
  <c r="L181" i="76"/>
  <c r="P181" i="76"/>
  <c r="J181" i="76"/>
  <c r="H181" i="76"/>
  <c r="N181" i="76"/>
  <c r="V181" i="76"/>
  <c r="T181" i="76"/>
  <c r="F181" i="76"/>
  <c r="R181" i="76"/>
  <c r="L246" i="76"/>
  <c r="P246" i="76"/>
  <c r="N246" i="76"/>
  <c r="J246" i="76"/>
  <c r="H246" i="76"/>
  <c r="V246" i="76"/>
  <c r="R246" i="76"/>
  <c r="F246" i="76"/>
  <c r="T246" i="76"/>
  <c r="L56" i="76"/>
  <c r="P56" i="76"/>
  <c r="N56" i="76"/>
  <c r="H56" i="76"/>
  <c r="J56" i="76"/>
  <c r="V56" i="76"/>
  <c r="F56" i="76"/>
  <c r="R56" i="76"/>
  <c r="T56" i="76"/>
  <c r="C1012" i="76"/>
  <c r="C728" i="76"/>
  <c r="C334" i="76"/>
  <c r="C661" i="76"/>
  <c r="C59" i="55"/>
  <c r="T59" i="55" s="1"/>
  <c r="C59" i="76"/>
  <c r="C807" i="55"/>
  <c r="T807" i="55" s="1"/>
  <c r="C802" i="76"/>
  <c r="C585" i="76"/>
  <c r="C1043" i="76"/>
  <c r="L46" i="76"/>
  <c r="P46" i="76"/>
  <c r="N46" i="76"/>
  <c r="H46" i="76"/>
  <c r="J46" i="76"/>
  <c r="V46" i="76"/>
  <c r="F46" i="76"/>
  <c r="R46" i="76"/>
  <c r="T46" i="76"/>
  <c r="P345" i="76"/>
  <c r="H345" i="76"/>
  <c r="L345" i="76"/>
  <c r="N345" i="76"/>
  <c r="J345" i="76"/>
  <c r="V345" i="76"/>
  <c r="F345" i="76"/>
  <c r="R345" i="76"/>
  <c r="T345" i="76"/>
  <c r="P825" i="76"/>
  <c r="H825" i="76"/>
  <c r="L825" i="76"/>
  <c r="J825" i="76"/>
  <c r="R825" i="76"/>
  <c r="N825" i="76"/>
  <c r="V825" i="76"/>
  <c r="F825" i="76"/>
  <c r="T825" i="76"/>
  <c r="L262" i="76"/>
  <c r="P262" i="76"/>
  <c r="J262" i="76"/>
  <c r="N262" i="76"/>
  <c r="H262" i="76"/>
  <c r="V262" i="76"/>
  <c r="F262" i="76"/>
  <c r="R262" i="76"/>
  <c r="T262" i="76"/>
  <c r="L330" i="76"/>
  <c r="P330" i="76"/>
  <c r="J330" i="76"/>
  <c r="N330" i="76"/>
  <c r="V330" i="76"/>
  <c r="H330" i="76"/>
  <c r="R330" i="76"/>
  <c r="T330" i="76"/>
  <c r="F330" i="76"/>
  <c r="P347" i="76"/>
  <c r="H347" i="76"/>
  <c r="L347" i="76"/>
  <c r="N347" i="76"/>
  <c r="J347" i="76"/>
  <c r="V347" i="76"/>
  <c r="F347" i="76"/>
  <c r="T347" i="76"/>
  <c r="R347" i="76"/>
  <c r="P537" i="76"/>
  <c r="L537" i="76"/>
  <c r="F537" i="76"/>
  <c r="J537" i="76"/>
  <c r="T537" i="76"/>
  <c r="H537" i="76"/>
  <c r="N537" i="76"/>
  <c r="V537" i="76"/>
  <c r="R537" i="76"/>
  <c r="T1055" i="55"/>
  <c r="J1055" i="55"/>
  <c r="H1055" i="55"/>
  <c r="J418" i="55"/>
  <c r="L418" i="55"/>
  <c r="H419" i="55"/>
  <c r="J419" i="55"/>
  <c r="D160" i="78"/>
  <c r="F160" i="78" s="1"/>
  <c r="T698" i="55"/>
  <c r="D15" i="78"/>
  <c r="T534" i="55"/>
  <c r="D151" i="78"/>
  <c r="F151" i="78" s="1"/>
  <c r="T875" i="55"/>
  <c r="D85" i="78"/>
  <c r="F85" i="78" s="1"/>
  <c r="T588" i="55"/>
  <c r="D60" i="78"/>
  <c r="F60" i="78" s="1"/>
  <c r="T370" i="55"/>
  <c r="D70" i="78"/>
  <c r="F70" i="78" s="1"/>
  <c r="T400" i="55"/>
  <c r="T1073" i="76"/>
  <c r="F1073" i="76"/>
  <c r="H1073" i="76"/>
  <c r="R1073" i="76"/>
  <c r="J1073" i="76"/>
  <c r="P1073" i="76"/>
  <c r="V1073" i="76"/>
  <c r="N1073" i="76"/>
  <c r="P445" i="76"/>
  <c r="H445" i="76"/>
  <c r="F445" i="76"/>
  <c r="J445" i="76"/>
  <c r="L445" i="76"/>
  <c r="N445" i="76"/>
  <c r="V445" i="76"/>
  <c r="R445" i="76"/>
  <c r="T445" i="76"/>
  <c r="C710" i="76"/>
  <c r="R1031" i="76"/>
  <c r="T1031" i="76"/>
  <c r="H1031" i="76"/>
  <c r="P1031" i="76"/>
  <c r="F1031" i="76"/>
  <c r="V1031" i="76"/>
  <c r="J1031" i="76"/>
  <c r="N1031" i="76"/>
  <c r="F15" i="78"/>
  <c r="D18" i="78"/>
  <c r="F18" i="78" s="1"/>
  <c r="P698" i="55"/>
  <c r="R698" i="55"/>
  <c r="P262" i="55"/>
  <c r="R262" i="55"/>
  <c r="P256" i="55"/>
  <c r="R256" i="55"/>
  <c r="P649" i="55"/>
  <c r="R649" i="55"/>
  <c r="P661" i="55"/>
  <c r="R661" i="55"/>
  <c r="P902" i="55"/>
  <c r="R902" i="55"/>
  <c r="P516" i="55"/>
  <c r="R516" i="55"/>
  <c r="P232" i="55"/>
  <c r="R232" i="55"/>
  <c r="P218" i="55"/>
  <c r="R218" i="55"/>
  <c r="P534" i="55"/>
  <c r="R534" i="55"/>
  <c r="P586" i="55"/>
  <c r="R586" i="55"/>
  <c r="P639" i="55"/>
  <c r="R639" i="55"/>
  <c r="P536" i="55"/>
  <c r="R536" i="55"/>
  <c r="P297" i="55"/>
  <c r="R297" i="55"/>
  <c r="P438" i="55"/>
  <c r="R438" i="55"/>
  <c r="P814" i="55"/>
  <c r="R814" i="55"/>
  <c r="P400" i="55"/>
  <c r="R400" i="55"/>
  <c r="P519" i="55"/>
  <c r="R519" i="55"/>
  <c r="P52" i="55"/>
  <c r="R52" i="55"/>
  <c r="P53" i="55"/>
  <c r="R53" i="55"/>
  <c r="P568" i="55"/>
  <c r="R568" i="55"/>
  <c r="P572" i="55"/>
  <c r="R572" i="55"/>
  <c r="P55" i="55"/>
  <c r="R55" i="55"/>
  <c r="P205" i="55"/>
  <c r="R205" i="55"/>
  <c r="P245" i="55"/>
  <c r="R245" i="55"/>
  <c r="P743" i="55"/>
  <c r="R743" i="55"/>
  <c r="P585" i="55"/>
  <c r="R585" i="55"/>
  <c r="P744" i="55"/>
  <c r="R744" i="55"/>
  <c r="P588" i="55"/>
  <c r="R588" i="55"/>
  <c r="P911" i="55"/>
  <c r="R911" i="55"/>
  <c r="P167" i="55"/>
  <c r="R167" i="55"/>
  <c r="P370" i="55"/>
  <c r="R370" i="55"/>
  <c r="P618" i="55"/>
  <c r="R618" i="55"/>
  <c r="P697" i="55"/>
  <c r="R697" i="55"/>
  <c r="P875" i="55"/>
  <c r="R875" i="55"/>
  <c r="P59" i="55"/>
  <c r="R59" i="55"/>
  <c r="P810" i="55"/>
  <c r="R810" i="55"/>
  <c r="P807" i="55"/>
  <c r="R807" i="55"/>
  <c r="P419" i="55"/>
  <c r="R419" i="55"/>
  <c r="P418" i="55"/>
  <c r="R418" i="55"/>
  <c r="C1057" i="55"/>
  <c r="N1057" i="55" s="1"/>
  <c r="C1051" i="76"/>
  <c r="P1051" i="76" s="1"/>
  <c r="H437" i="76"/>
  <c r="L437" i="76"/>
  <c r="F437" i="76"/>
  <c r="J437" i="76"/>
  <c r="R437" i="76"/>
  <c r="N437" i="76"/>
  <c r="V437" i="76"/>
  <c r="T437" i="76"/>
  <c r="C692" i="76"/>
  <c r="P692" i="76" s="1"/>
  <c r="C438" i="76"/>
  <c r="P438" i="76" s="1"/>
  <c r="C1078" i="76"/>
  <c r="P1078" i="76" s="1"/>
  <c r="C898" i="76"/>
  <c r="P898" i="76" s="1"/>
  <c r="L418" i="76"/>
  <c r="N418" i="76"/>
  <c r="R418" i="76"/>
  <c r="T418" i="76"/>
  <c r="F418" i="76"/>
  <c r="J418" i="76"/>
  <c r="H418" i="76"/>
  <c r="V418" i="76"/>
  <c r="H417" i="76"/>
  <c r="L417" i="76"/>
  <c r="N417" i="76"/>
  <c r="V417" i="76"/>
  <c r="T417" i="76"/>
  <c r="F417" i="76"/>
  <c r="J417" i="76"/>
  <c r="R417" i="76"/>
  <c r="R1049" i="76"/>
  <c r="C694" i="76"/>
  <c r="P694" i="76" s="1"/>
  <c r="V1049" i="76"/>
  <c r="J1049" i="76"/>
  <c r="T1049" i="76"/>
  <c r="H1049" i="76"/>
  <c r="F1049" i="76"/>
  <c r="N1049" i="76"/>
  <c r="L693" i="76"/>
  <c r="F693" i="76"/>
  <c r="N693" i="76"/>
  <c r="R693" i="76"/>
  <c r="J693" i="76"/>
  <c r="H693" i="76"/>
  <c r="V693" i="76"/>
  <c r="T693" i="76"/>
  <c r="F262" i="55"/>
  <c r="N1037" i="55"/>
  <c r="F52" i="55"/>
  <c r="F53" i="55"/>
  <c r="F218" i="55"/>
  <c r="N1021" i="55"/>
  <c r="N536" i="55"/>
  <c r="F59" i="55"/>
  <c r="F256" i="55"/>
  <c r="F55" i="55"/>
  <c r="F232" i="55"/>
  <c r="F205" i="55"/>
  <c r="F245" i="55"/>
  <c r="N1049" i="55"/>
  <c r="N911" i="55"/>
  <c r="F167" i="55"/>
  <c r="N370" i="55"/>
  <c r="F297" i="55"/>
  <c r="N256" i="55"/>
  <c r="N649" i="55"/>
  <c r="N661" i="55"/>
  <c r="N1084" i="55"/>
  <c r="N519" i="55"/>
  <c r="N52" i="55"/>
  <c r="N53" i="55"/>
  <c r="N516" i="55"/>
  <c r="N205" i="55"/>
  <c r="N245" i="55"/>
  <c r="N743" i="55"/>
  <c r="N585" i="55"/>
  <c r="N744" i="55"/>
  <c r="N588" i="55"/>
  <c r="N167" i="55"/>
  <c r="N618" i="55"/>
  <c r="N697" i="55"/>
  <c r="N810" i="55"/>
  <c r="N807" i="55"/>
  <c r="N400" i="55"/>
  <c r="N1091" i="55"/>
  <c r="N698" i="55"/>
  <c r="N262" i="55"/>
  <c r="N902" i="55"/>
  <c r="N568" i="55"/>
  <c r="N572" i="55"/>
  <c r="N55" i="55"/>
  <c r="N232" i="55"/>
  <c r="N218" i="55"/>
  <c r="N534" i="55"/>
  <c r="N586" i="55"/>
  <c r="N639" i="55"/>
  <c r="N1056" i="55"/>
  <c r="N297" i="55"/>
  <c r="N438" i="55"/>
  <c r="N875" i="55"/>
  <c r="N59" i="55"/>
  <c r="N814" i="55"/>
  <c r="T1056" i="55"/>
  <c r="H1056" i="55"/>
  <c r="F1056" i="55"/>
  <c r="I1377" i="1"/>
  <c r="K1377" i="1" s="1"/>
  <c r="K1385" i="1" s="1"/>
  <c r="K1387" i="1" s="1"/>
  <c r="I1355" i="1"/>
  <c r="P1991" i="1"/>
  <c r="D19" i="78"/>
  <c r="F19" i="78" s="1"/>
  <c r="R1971" i="1"/>
  <c r="R1978" i="1" s="1"/>
  <c r="J814" i="55"/>
  <c r="H814" i="55"/>
  <c r="F814" i="55"/>
  <c r="L814" i="55"/>
  <c r="K631" i="27"/>
  <c r="K632" i="27" s="1"/>
  <c r="K633" i="27" s="1"/>
  <c r="K634" i="27" s="1"/>
  <c r="I2616" i="27"/>
  <c r="K2616" i="27" s="1"/>
  <c r="P624" i="1"/>
  <c r="R624" i="1" s="1"/>
  <c r="F810" i="55"/>
  <c r="J810" i="55"/>
  <c r="H810" i="55"/>
  <c r="L810" i="55"/>
  <c r="K323" i="1"/>
  <c r="K324" i="1" s="1"/>
  <c r="V3608" i="1"/>
  <c r="X3608" i="1" s="1"/>
  <c r="X3612" i="1" s="1"/>
  <c r="X3613" i="1" s="1"/>
  <c r="X3591" i="1"/>
  <c r="X3595" i="1" s="1"/>
  <c r="X3596" i="1" s="1"/>
  <c r="P625" i="1"/>
  <c r="R625" i="1" s="1"/>
  <c r="X3645" i="1"/>
  <c r="X3647" i="1" s="1"/>
  <c r="H807" i="55"/>
  <c r="L807" i="55"/>
  <c r="F807" i="55"/>
  <c r="J807" i="55"/>
  <c r="K1355" i="1"/>
  <c r="L1337" i="1" s="1"/>
  <c r="C397" i="55"/>
  <c r="T397" i="55" s="1"/>
  <c r="K2383" i="1"/>
  <c r="K2390" i="1" s="1"/>
  <c r="K2392" i="1" s="1"/>
  <c r="L370" i="55"/>
  <c r="H536" i="55"/>
  <c r="AU203" i="1"/>
  <c r="AV203" i="1" s="1"/>
  <c r="AR203" i="1"/>
  <c r="AS204" i="1"/>
  <c r="F536" i="55"/>
  <c r="L536" i="55"/>
  <c r="K202" i="1"/>
  <c r="K204" i="1" s="1"/>
  <c r="L588" i="55"/>
  <c r="P3114" i="27"/>
  <c r="K3114" i="27"/>
  <c r="K3118" i="27" s="1"/>
  <c r="W544" i="1"/>
  <c r="AC544" i="1" s="1"/>
  <c r="AJ544" i="1" s="1"/>
  <c r="J545" i="1"/>
  <c r="F133" i="25"/>
  <c r="D134" i="25"/>
  <c r="D299" i="25"/>
  <c r="F299" i="25" s="1"/>
  <c r="K3092" i="27"/>
  <c r="L3093" i="27"/>
  <c r="L3081" i="27"/>
  <c r="K3080" i="27"/>
  <c r="K2205" i="27" s="1"/>
  <c r="K3105" i="27"/>
  <c r="K2206" i="27" s="1"/>
  <c r="L3106" i="27"/>
  <c r="J875" i="55"/>
  <c r="L875" i="55"/>
  <c r="F875" i="55"/>
  <c r="H875" i="55"/>
  <c r="AU100" i="1"/>
  <c r="AV100" i="1" s="1"/>
  <c r="L438" i="55"/>
  <c r="F438" i="55"/>
  <c r="H438" i="55"/>
  <c r="J438" i="55"/>
  <c r="L618" i="55"/>
  <c r="F618" i="55"/>
  <c r="J618" i="55"/>
  <c r="H618" i="55"/>
  <c r="C439" i="55"/>
  <c r="T439" i="55" s="1"/>
  <c r="C696" i="55"/>
  <c r="F697" i="55"/>
  <c r="J697" i="55"/>
  <c r="L697" i="55"/>
  <c r="H697" i="55"/>
  <c r="F618" i="25"/>
  <c r="F628" i="25" s="1"/>
  <c r="F630" i="25" s="1"/>
  <c r="D654" i="25"/>
  <c r="L297" i="55"/>
  <c r="J297" i="55"/>
  <c r="H297" i="55"/>
  <c r="X3156" i="1"/>
  <c r="X3166" i="1" s="1"/>
  <c r="X3168" i="1" s="1"/>
  <c r="R1122" i="1"/>
  <c r="R1124" i="1" s="1"/>
  <c r="J536" i="55"/>
  <c r="J588" i="55"/>
  <c r="F370" i="55"/>
  <c r="J370" i="55"/>
  <c r="H370" i="55"/>
  <c r="H588" i="55"/>
  <c r="F588" i="55"/>
  <c r="I2936" i="1"/>
  <c r="K2936" i="1" s="1"/>
  <c r="K2939" i="1" s="1"/>
  <c r="K2940" i="1" s="1"/>
  <c r="K2915" i="1"/>
  <c r="C570" i="76" s="1"/>
  <c r="C569" i="55"/>
  <c r="T569" i="55" s="1"/>
  <c r="Y323" i="1"/>
  <c r="X324" i="1"/>
  <c r="C233" i="55"/>
  <c r="T233" i="55" s="1"/>
  <c r="I537" i="1"/>
  <c r="K537" i="1" s="1"/>
  <c r="C234" i="76" s="1"/>
  <c r="P1258" i="1"/>
  <c r="R1216" i="1"/>
  <c r="AQ389" i="1"/>
  <c r="AS389" i="1" s="1"/>
  <c r="AS396" i="1" s="1"/>
  <c r="AS398" i="1" s="1"/>
  <c r="AS400" i="1" s="1"/>
  <c r="AS401" i="1" s="1"/>
  <c r="AS402" i="1" s="1"/>
  <c r="AS403" i="1" s="1"/>
  <c r="AS404" i="1" s="1"/>
  <c r="AS405" i="1" s="1"/>
  <c r="AS406" i="1" s="1"/>
  <c r="AG389" i="1"/>
  <c r="AG396" i="1" s="1"/>
  <c r="AG398" i="1" s="1"/>
  <c r="AE403" i="1" s="1"/>
  <c r="AG403" i="1" s="1"/>
  <c r="AG407" i="1" s="1"/>
  <c r="AG409" i="1" s="1"/>
  <c r="C137" i="76" s="1"/>
  <c r="AE425" i="1"/>
  <c r="AG425" i="1" s="1"/>
  <c r="AG432" i="1" s="1"/>
  <c r="AG434" i="1" s="1"/>
  <c r="AE440" i="1" s="1"/>
  <c r="AG440" i="1" s="1"/>
  <c r="AG444" i="1" s="1"/>
  <c r="AG446" i="1" s="1"/>
  <c r="AG448" i="1" s="1"/>
  <c r="C187" i="76" s="1"/>
  <c r="J400" i="55"/>
  <c r="F400" i="55"/>
  <c r="H400" i="55"/>
  <c r="L400" i="55"/>
  <c r="K436" i="1"/>
  <c r="C207" i="76" s="1"/>
  <c r="C206" i="55"/>
  <c r="T206" i="55" s="1"/>
  <c r="C664" i="55"/>
  <c r="C333" i="55"/>
  <c r="T333" i="55" s="1"/>
  <c r="C663" i="55"/>
  <c r="T663" i="55" s="1"/>
  <c r="L368" i="1"/>
  <c r="J368" i="1"/>
  <c r="C559" i="55"/>
  <c r="T559" i="55" s="1"/>
  <c r="K369" i="1"/>
  <c r="L1049" i="55"/>
  <c r="T1049" i="55"/>
  <c r="F1049" i="55"/>
  <c r="J1049" i="55"/>
  <c r="H1049" i="55"/>
  <c r="P597" i="1"/>
  <c r="AG323" i="1"/>
  <c r="C56" i="55"/>
  <c r="T56" i="55" s="1"/>
  <c r="AG378" i="1"/>
  <c r="AH368" i="1"/>
  <c r="C732" i="55"/>
  <c r="T732" i="55" s="1"/>
  <c r="C727" i="55"/>
  <c r="T727" i="55" s="1"/>
  <c r="C341" i="55"/>
  <c r="P628" i="1"/>
  <c r="R628" i="1" s="1"/>
  <c r="C640" i="55"/>
  <c r="T640" i="55" s="1"/>
  <c r="I630" i="1"/>
  <c r="K630" i="1" s="1"/>
  <c r="C640" i="76" s="1"/>
  <c r="L167" i="55"/>
  <c r="J167" i="55"/>
  <c r="H167" i="55"/>
  <c r="X1345" i="1"/>
  <c r="X1347" i="1" s="1"/>
  <c r="F568" i="55"/>
  <c r="H568" i="55"/>
  <c r="J568" i="55"/>
  <c r="L568" i="55"/>
  <c r="AE336" i="1"/>
  <c r="AG336" i="1" s="1"/>
  <c r="AG343" i="1" s="1"/>
  <c r="AG345" i="1" s="1"/>
  <c r="AG347" i="1" s="1"/>
  <c r="C91" i="76" s="1"/>
  <c r="X336" i="1"/>
  <c r="X343" i="1" s="1"/>
  <c r="X345" i="1" s="1"/>
  <c r="X347" i="1" s="1"/>
  <c r="C85" i="76" s="1"/>
  <c r="L205" i="55"/>
  <c r="J205" i="55"/>
  <c r="H205" i="55"/>
  <c r="J743" i="55"/>
  <c r="F743" i="55"/>
  <c r="L743" i="55"/>
  <c r="H743" i="55"/>
  <c r="J585" i="55"/>
  <c r="H585" i="55"/>
  <c r="L585" i="55"/>
  <c r="F585" i="55"/>
  <c r="V763" i="1"/>
  <c r="X763" i="1" s="1"/>
  <c r="X769" i="1" s="1"/>
  <c r="X770" i="1" s="1"/>
  <c r="X772" i="1" s="1"/>
  <c r="X773" i="1" s="1"/>
  <c r="X774" i="1" s="1"/>
  <c r="X776" i="1" s="1"/>
  <c r="X777" i="1" s="1"/>
  <c r="X778" i="1" s="1"/>
  <c r="X779" i="1" s="1"/>
  <c r="X780" i="1" s="1"/>
  <c r="X781" i="1" s="1"/>
  <c r="X782" i="1" s="1"/>
  <c r="X783" i="1" s="1"/>
  <c r="D43" i="50"/>
  <c r="X677" i="1"/>
  <c r="X683" i="1" s="1"/>
  <c r="X684" i="1" s="1"/>
  <c r="V731" i="1"/>
  <c r="X731" i="1" s="1"/>
  <c r="X737" i="1" s="1"/>
  <c r="X738" i="1" s="1"/>
  <c r="H1021" i="55"/>
  <c r="J1021" i="55"/>
  <c r="F1021" i="55"/>
  <c r="C854" i="55"/>
  <c r="T854" i="55" s="1"/>
  <c r="T1021" i="55"/>
  <c r="L1021" i="55"/>
  <c r="X1299" i="1"/>
  <c r="X1306" i="1" s="1"/>
  <c r="X1308" i="1" s="1"/>
  <c r="X1309" i="1" s="1"/>
  <c r="X1310" i="1" s="1"/>
  <c r="X1311" i="1" s="1"/>
  <c r="X1312" i="1" s="1"/>
  <c r="X1313" i="1" s="1"/>
  <c r="W1309" i="1" s="1"/>
  <c r="W1310" i="1" s="1"/>
  <c r="V1319" i="1"/>
  <c r="X1319" i="1" s="1"/>
  <c r="X1326" i="1" s="1"/>
  <c r="X1328" i="1" s="1"/>
  <c r="X367" i="1"/>
  <c r="J59" i="55"/>
  <c r="H59" i="55"/>
  <c r="L59" i="55"/>
  <c r="L639" i="55"/>
  <c r="J639" i="55"/>
  <c r="F639" i="55"/>
  <c r="H639" i="55"/>
  <c r="C388" i="55"/>
  <c r="T388" i="55" s="1"/>
  <c r="C679" i="55"/>
  <c r="T679" i="55" s="1"/>
  <c r="X528" i="1"/>
  <c r="X533" i="1" s="1"/>
  <c r="X535" i="1" s="1"/>
  <c r="V537" i="1" s="1"/>
  <c r="X537" i="1" s="1"/>
  <c r="V538" i="1" s="1"/>
  <c r="X538" i="1" s="1"/>
  <c r="V539" i="1" s="1"/>
  <c r="X539" i="1" s="1"/>
  <c r="V540" i="1" s="1"/>
  <c r="X540" i="1" s="1"/>
  <c r="V541" i="1" s="1"/>
  <c r="X541" i="1" s="1"/>
  <c r="V542" i="1" s="1"/>
  <c r="X542" i="1" s="1"/>
  <c r="V543" i="1" s="1"/>
  <c r="X543" i="1" s="1"/>
  <c r="V544" i="1" s="1"/>
  <c r="X544" i="1" s="1"/>
  <c r="V545" i="1" s="1"/>
  <c r="V552" i="1"/>
  <c r="X552" i="1" s="1"/>
  <c r="X557" i="1" s="1"/>
  <c r="X559" i="1" s="1"/>
  <c r="V561" i="1" s="1"/>
  <c r="X561" i="1" s="1"/>
  <c r="V562" i="1" s="1"/>
  <c r="X562" i="1" s="1"/>
  <c r="V563" i="1" s="1"/>
  <c r="X563" i="1" s="1"/>
  <c r="V564" i="1" s="1"/>
  <c r="X564" i="1" s="1"/>
  <c r="V565" i="1" s="1"/>
  <c r="X565" i="1" s="1"/>
  <c r="L347" i="1"/>
  <c r="C118" i="55"/>
  <c r="T118" i="55" s="1"/>
  <c r="K348" i="1"/>
  <c r="C119" i="76" s="1"/>
  <c r="C181" i="55"/>
  <c r="T181" i="55" s="1"/>
  <c r="X435" i="1"/>
  <c r="C182" i="76" s="1"/>
  <c r="C246" i="55"/>
  <c r="T246" i="55" s="1"/>
  <c r="I560" i="1"/>
  <c r="K560" i="1" s="1"/>
  <c r="C247" i="76" s="1"/>
  <c r="J218" i="55"/>
  <c r="H218" i="55"/>
  <c r="L218" i="55"/>
  <c r="D106" i="32"/>
  <c r="F106" i="32" s="1"/>
  <c r="F112" i="32" s="1"/>
  <c r="F113" i="32" s="1"/>
  <c r="F43" i="32"/>
  <c r="C1018" i="55"/>
  <c r="P1018" i="55" s="1"/>
  <c r="C733" i="55"/>
  <c r="T733" i="55" s="1"/>
  <c r="C662" i="55"/>
  <c r="C334" i="55"/>
  <c r="T334" i="55" s="1"/>
  <c r="F911" i="55"/>
  <c r="L911" i="55"/>
  <c r="H911" i="55"/>
  <c r="J911" i="55"/>
  <c r="L572" i="55"/>
  <c r="F572" i="55"/>
  <c r="H572" i="55"/>
  <c r="J572" i="55"/>
  <c r="H55" i="55"/>
  <c r="L55" i="55"/>
  <c r="J55" i="55"/>
  <c r="H232" i="55"/>
  <c r="J232" i="55"/>
  <c r="L232" i="55"/>
  <c r="C332" i="55"/>
  <c r="T332" i="55" s="1"/>
  <c r="P284" i="1"/>
  <c r="R284" i="1" s="1"/>
  <c r="R289" i="1" s="1"/>
  <c r="R291" i="1" s="1"/>
  <c r="X402" i="1"/>
  <c r="C131" i="76" s="1"/>
  <c r="C130" i="55"/>
  <c r="T130" i="55" s="1"/>
  <c r="AB552" i="1"/>
  <c r="AD528" i="1"/>
  <c r="AD533" i="1" s="1"/>
  <c r="AD535" i="1" s="1"/>
  <c r="AB537" i="1" s="1"/>
  <c r="AD537" i="1" s="1"/>
  <c r="C469" i="76" s="1"/>
  <c r="L245" i="55"/>
  <c r="J245" i="55"/>
  <c r="H245" i="55"/>
  <c r="K470" i="1"/>
  <c r="C220" i="76" s="1"/>
  <c r="C219" i="55"/>
  <c r="T219" i="55" s="1"/>
  <c r="Z707" i="1"/>
  <c r="X713" i="1"/>
  <c r="I1989" i="1"/>
  <c r="C1023" i="55"/>
  <c r="P1023" i="55" s="1"/>
  <c r="C557" i="55"/>
  <c r="AD1189" i="1"/>
  <c r="AD1194" i="1" s="1"/>
  <c r="AD1196" i="1" s="1"/>
  <c r="AD1197" i="1" s="1"/>
  <c r="C812" i="76" s="1"/>
  <c r="AI1189" i="1"/>
  <c r="AK1189" i="1" s="1"/>
  <c r="AK1194" i="1" s="1"/>
  <c r="AK1196" i="1" s="1"/>
  <c r="AK1197" i="1" s="1"/>
  <c r="C817" i="76" s="1"/>
  <c r="L744" i="55"/>
  <c r="J744" i="55"/>
  <c r="H744" i="55"/>
  <c r="F744" i="55"/>
  <c r="F534" i="55"/>
  <c r="J534" i="55"/>
  <c r="L534" i="55"/>
  <c r="H534" i="55"/>
  <c r="L323" i="1"/>
  <c r="J586" i="55"/>
  <c r="F586" i="55"/>
  <c r="H586" i="55"/>
  <c r="L586" i="55"/>
  <c r="J402" i="1"/>
  <c r="K403" i="1"/>
  <c r="C169" i="76" s="1"/>
  <c r="C168" i="55"/>
  <c r="T168" i="55" s="1"/>
  <c r="H53" i="55"/>
  <c r="J53" i="55"/>
  <c r="L53" i="55"/>
  <c r="C65" i="55"/>
  <c r="T65" i="55" s="1"/>
  <c r="K288" i="1"/>
  <c r="C66" i="76" s="1"/>
  <c r="J519" i="55"/>
  <c r="H519" i="55"/>
  <c r="F519" i="55"/>
  <c r="L519" i="55"/>
  <c r="J52" i="55"/>
  <c r="H52" i="55"/>
  <c r="L52" i="55"/>
  <c r="K824" i="1"/>
  <c r="C72" i="76" s="1"/>
  <c r="C71" i="55"/>
  <c r="T71" i="55" s="1"/>
  <c r="R1185" i="1"/>
  <c r="R1186" i="1" s="1"/>
  <c r="C517" i="55"/>
  <c r="T517" i="55" s="1"/>
  <c r="C520" i="55"/>
  <c r="T520" i="55" s="1"/>
  <c r="R1159" i="1"/>
  <c r="C520" i="76" s="1"/>
  <c r="K3920" i="1"/>
  <c r="K3932" i="1" s="1"/>
  <c r="I3938" i="1"/>
  <c r="C264" i="55"/>
  <c r="T264" i="55" s="1"/>
  <c r="I660" i="1"/>
  <c r="K660" i="1" s="1"/>
  <c r="C265" i="76" s="1"/>
  <c r="H516" i="55"/>
  <c r="L516" i="55"/>
  <c r="F516" i="55"/>
  <c r="J516" i="55"/>
  <c r="K1171" i="11"/>
  <c r="K1154" i="11"/>
  <c r="N3396" i="27"/>
  <c r="N3400" i="27" s="1"/>
  <c r="O565" i="11"/>
  <c r="N568" i="11"/>
  <c r="AS165" i="1"/>
  <c r="AQ180" i="1"/>
  <c r="AS180" i="1" s="1"/>
  <c r="R288" i="11"/>
  <c r="S289" i="11"/>
  <c r="J902" i="55"/>
  <c r="F902" i="55"/>
  <c r="H902" i="55"/>
  <c r="L902" i="55"/>
  <c r="AU115" i="1"/>
  <c r="AV115" i="1" s="1"/>
  <c r="AS117" i="1"/>
  <c r="L256" i="55"/>
  <c r="H256" i="55"/>
  <c r="J256" i="55"/>
  <c r="AU134" i="1"/>
  <c r="AV134" i="1" s="1"/>
  <c r="AS140" i="1"/>
  <c r="F1057" i="55"/>
  <c r="T1057" i="55"/>
  <c r="L1057" i="55"/>
  <c r="H1057" i="55"/>
  <c r="J1057" i="55"/>
  <c r="K1049" i="11"/>
  <c r="K1033" i="11"/>
  <c r="L1084" i="55"/>
  <c r="F1084" i="55"/>
  <c r="J1084" i="55"/>
  <c r="T1084" i="55"/>
  <c r="H1084" i="55"/>
  <c r="O584" i="11"/>
  <c r="O587" i="11" s="1"/>
  <c r="N587" i="11"/>
  <c r="J262" i="55"/>
  <c r="L262" i="55"/>
  <c r="H262" i="55"/>
  <c r="I814" i="11"/>
  <c r="K814" i="11" s="1"/>
  <c r="K818" i="11" s="1"/>
  <c r="L818" i="11" s="1"/>
  <c r="K783" i="11"/>
  <c r="K787" i="11" s="1"/>
  <c r="I3614" i="27"/>
  <c r="L1019" i="11"/>
  <c r="L1017" i="11"/>
  <c r="K1018" i="11"/>
  <c r="AU101" i="1"/>
  <c r="AV101" i="1" s="1"/>
  <c r="D20" i="78"/>
  <c r="F20" i="78" s="1"/>
  <c r="AS102" i="1"/>
  <c r="C538" i="76" s="1"/>
  <c r="T1037" i="55"/>
  <c r="C714" i="55"/>
  <c r="H1037" i="55"/>
  <c r="J1037" i="55"/>
  <c r="F1037" i="55"/>
  <c r="L1037" i="55"/>
  <c r="F1091" i="55"/>
  <c r="L1091" i="55"/>
  <c r="J1091" i="55"/>
  <c r="T1091" i="55"/>
  <c r="H1091" i="55"/>
  <c r="F659" i="25"/>
  <c r="D695" i="25"/>
  <c r="F695" i="25" s="1"/>
  <c r="H698" i="55"/>
  <c r="J698" i="55"/>
  <c r="F698" i="55"/>
  <c r="L698" i="55"/>
  <c r="J649" i="55"/>
  <c r="F649" i="55"/>
  <c r="H649" i="55"/>
  <c r="L649" i="55"/>
  <c r="H661" i="55"/>
  <c r="J661" i="55"/>
  <c r="L661" i="55"/>
  <c r="F661" i="55"/>
  <c r="I831" i="11"/>
  <c r="I841" i="11"/>
  <c r="K841" i="11" s="1"/>
  <c r="C1079" i="55"/>
  <c r="AU148" i="1"/>
  <c r="AV148" i="1" s="1"/>
  <c r="R302" i="11"/>
  <c r="S303" i="11"/>
  <c r="P817" i="76" l="1"/>
  <c r="H817" i="76"/>
  <c r="L817" i="76"/>
  <c r="N817" i="76"/>
  <c r="R817" i="76"/>
  <c r="J817" i="76"/>
  <c r="F817" i="76"/>
  <c r="V817" i="76"/>
  <c r="T817" i="76"/>
  <c r="P469" i="76"/>
  <c r="H469" i="76"/>
  <c r="L469" i="76"/>
  <c r="F469" i="76"/>
  <c r="N469" i="76"/>
  <c r="J469" i="76"/>
  <c r="V469" i="76"/>
  <c r="R469" i="76"/>
  <c r="T469" i="76"/>
  <c r="L91" i="76"/>
  <c r="P91" i="76"/>
  <c r="H91" i="76"/>
  <c r="N91" i="76"/>
  <c r="J91" i="76"/>
  <c r="V91" i="76"/>
  <c r="F91" i="76"/>
  <c r="T91" i="76"/>
  <c r="R91" i="76"/>
  <c r="L66" i="76"/>
  <c r="P66" i="76"/>
  <c r="H66" i="76"/>
  <c r="J66" i="76"/>
  <c r="N66" i="76"/>
  <c r="V66" i="76"/>
  <c r="R66" i="76"/>
  <c r="T66" i="76"/>
  <c r="F66" i="76"/>
  <c r="P187" i="76"/>
  <c r="L187" i="76"/>
  <c r="N187" i="76"/>
  <c r="J187" i="76"/>
  <c r="H187" i="76"/>
  <c r="V187" i="76"/>
  <c r="F187" i="76"/>
  <c r="T187" i="76"/>
  <c r="R187" i="76"/>
  <c r="C805" i="55"/>
  <c r="T805" i="55" s="1"/>
  <c r="C800" i="76"/>
  <c r="L131" i="76"/>
  <c r="P131" i="76"/>
  <c r="H131" i="76"/>
  <c r="N131" i="76"/>
  <c r="J131" i="76"/>
  <c r="F131" i="76"/>
  <c r="V131" i="76"/>
  <c r="R131" i="76"/>
  <c r="T131" i="76"/>
  <c r="P182" i="76"/>
  <c r="L182" i="76"/>
  <c r="N182" i="76"/>
  <c r="H182" i="76"/>
  <c r="J182" i="76"/>
  <c r="F182" i="76"/>
  <c r="V182" i="76"/>
  <c r="T182" i="76"/>
  <c r="R182" i="76"/>
  <c r="P85" i="76"/>
  <c r="L85" i="76"/>
  <c r="H85" i="76"/>
  <c r="N85" i="76"/>
  <c r="J85" i="76"/>
  <c r="V85" i="76"/>
  <c r="R85" i="76"/>
  <c r="T85" i="76"/>
  <c r="F85" i="76"/>
  <c r="L137" i="76"/>
  <c r="J137" i="76"/>
  <c r="P137" i="76"/>
  <c r="H137" i="76"/>
  <c r="N137" i="76"/>
  <c r="V137" i="76"/>
  <c r="R137" i="76"/>
  <c r="T137" i="76"/>
  <c r="F137" i="76"/>
  <c r="P234" i="76"/>
  <c r="L234" i="76"/>
  <c r="H234" i="76"/>
  <c r="J234" i="76"/>
  <c r="N234" i="76"/>
  <c r="V234" i="76"/>
  <c r="F234" i="76"/>
  <c r="T234" i="76"/>
  <c r="R234" i="76"/>
  <c r="C806" i="55"/>
  <c r="T806" i="55" s="1"/>
  <c r="C801" i="76"/>
  <c r="L802" i="76"/>
  <c r="P802" i="76"/>
  <c r="J802" i="76"/>
  <c r="R802" i="76"/>
  <c r="N802" i="76"/>
  <c r="H802" i="76"/>
  <c r="F802" i="76"/>
  <c r="V802" i="76"/>
  <c r="T802" i="76"/>
  <c r="L661" i="76"/>
  <c r="P661" i="76"/>
  <c r="J661" i="76"/>
  <c r="F661" i="76"/>
  <c r="H661" i="76"/>
  <c r="N661" i="76"/>
  <c r="V661" i="76"/>
  <c r="T661" i="76"/>
  <c r="R661" i="76"/>
  <c r="P675" i="76"/>
  <c r="L675" i="76"/>
  <c r="F675" i="76"/>
  <c r="N675" i="76"/>
  <c r="J675" i="76"/>
  <c r="H675" i="76"/>
  <c r="V675" i="76"/>
  <c r="R675" i="76"/>
  <c r="T675" i="76"/>
  <c r="P586" i="76"/>
  <c r="L586" i="76"/>
  <c r="J586" i="76"/>
  <c r="F586" i="76"/>
  <c r="N586" i="76"/>
  <c r="H586" i="76"/>
  <c r="V586" i="76"/>
  <c r="R586" i="76"/>
  <c r="T586" i="76"/>
  <c r="P738" i="76"/>
  <c r="L738" i="76"/>
  <c r="N738" i="76"/>
  <c r="J738" i="76"/>
  <c r="H738" i="76"/>
  <c r="T738" i="76"/>
  <c r="V738" i="76"/>
  <c r="F738" i="76"/>
  <c r="R738" i="76"/>
  <c r="P334" i="76"/>
  <c r="L334" i="76"/>
  <c r="N334" i="76"/>
  <c r="J334" i="76"/>
  <c r="F334" i="76"/>
  <c r="H334" i="76"/>
  <c r="V334" i="76"/>
  <c r="R334" i="76"/>
  <c r="T334" i="76"/>
  <c r="P387" i="76"/>
  <c r="H387" i="76"/>
  <c r="L387" i="76"/>
  <c r="J387" i="76"/>
  <c r="F387" i="76"/>
  <c r="N387" i="76"/>
  <c r="V387" i="76"/>
  <c r="R387" i="76"/>
  <c r="T387" i="76"/>
  <c r="P369" i="76"/>
  <c r="H369" i="76"/>
  <c r="L369" i="76"/>
  <c r="J369" i="76"/>
  <c r="F369" i="76"/>
  <c r="N369" i="76"/>
  <c r="V369" i="76"/>
  <c r="R369" i="76"/>
  <c r="T369" i="76"/>
  <c r="L588" i="76"/>
  <c r="P588" i="76"/>
  <c r="F588" i="76"/>
  <c r="N588" i="76"/>
  <c r="J588" i="76"/>
  <c r="H588" i="76"/>
  <c r="V588" i="76"/>
  <c r="R588" i="76"/>
  <c r="T588" i="76"/>
  <c r="P557" i="76"/>
  <c r="H557" i="76"/>
  <c r="L557" i="76"/>
  <c r="J557" i="76"/>
  <c r="F557" i="76"/>
  <c r="N557" i="76"/>
  <c r="V557" i="76"/>
  <c r="R557" i="76"/>
  <c r="T557" i="76"/>
  <c r="P805" i="76"/>
  <c r="H805" i="76"/>
  <c r="L805" i="76"/>
  <c r="R805" i="76"/>
  <c r="J805" i="76"/>
  <c r="N805" i="76"/>
  <c r="F805" i="76"/>
  <c r="V805" i="76"/>
  <c r="T805" i="76"/>
  <c r="P663" i="76"/>
  <c r="L663" i="76"/>
  <c r="N663" i="76"/>
  <c r="F663" i="76"/>
  <c r="H663" i="76"/>
  <c r="J663" i="76"/>
  <c r="V663" i="76"/>
  <c r="R663" i="76"/>
  <c r="T663" i="76"/>
  <c r="L570" i="76"/>
  <c r="P570" i="76"/>
  <c r="J570" i="76"/>
  <c r="F570" i="76"/>
  <c r="N570" i="76"/>
  <c r="H570" i="76"/>
  <c r="V570" i="76"/>
  <c r="R570" i="76"/>
  <c r="T570" i="76"/>
  <c r="C865" i="55"/>
  <c r="D130" i="78" s="1"/>
  <c r="F130" i="78" s="1"/>
  <c r="C860" i="76"/>
  <c r="P265" i="76"/>
  <c r="H265" i="76"/>
  <c r="L265" i="76"/>
  <c r="N265" i="76"/>
  <c r="J265" i="76"/>
  <c r="V265" i="76"/>
  <c r="T265" i="76"/>
  <c r="R265" i="76"/>
  <c r="F265" i="76"/>
  <c r="L520" i="76"/>
  <c r="P520" i="76"/>
  <c r="N520" i="76"/>
  <c r="J520" i="76"/>
  <c r="F520" i="76"/>
  <c r="H520" i="76"/>
  <c r="V520" i="76"/>
  <c r="R520" i="76"/>
  <c r="T520" i="76"/>
  <c r="L812" i="76"/>
  <c r="P812" i="76"/>
  <c r="T812" i="76"/>
  <c r="N812" i="76"/>
  <c r="J812" i="76"/>
  <c r="V812" i="76"/>
  <c r="H812" i="76"/>
  <c r="F812" i="76"/>
  <c r="R812" i="76"/>
  <c r="L247" i="76"/>
  <c r="P247" i="76"/>
  <c r="J247" i="76"/>
  <c r="H247" i="76"/>
  <c r="N247" i="76"/>
  <c r="V247" i="76"/>
  <c r="R247" i="76"/>
  <c r="T247" i="76"/>
  <c r="F247" i="76"/>
  <c r="P119" i="76"/>
  <c r="L119" i="76"/>
  <c r="N119" i="76"/>
  <c r="H119" i="76"/>
  <c r="J119" i="76"/>
  <c r="V119" i="76"/>
  <c r="R119" i="76"/>
  <c r="T119" i="76"/>
  <c r="F119" i="76"/>
  <c r="C852" i="55"/>
  <c r="T852" i="55" s="1"/>
  <c r="C847" i="76"/>
  <c r="P640" i="76"/>
  <c r="L640" i="76"/>
  <c r="F640" i="76"/>
  <c r="N640" i="76"/>
  <c r="J640" i="76"/>
  <c r="V640" i="76"/>
  <c r="H640" i="76"/>
  <c r="T640" i="76"/>
  <c r="R640" i="76"/>
  <c r="L369" i="1"/>
  <c r="C560" i="76"/>
  <c r="L207" i="76"/>
  <c r="P207" i="76"/>
  <c r="N207" i="76"/>
  <c r="J207" i="76"/>
  <c r="H207" i="76"/>
  <c r="F207" i="76"/>
  <c r="V207" i="76"/>
  <c r="T207" i="76"/>
  <c r="R207" i="76"/>
  <c r="C573" i="55"/>
  <c r="T573" i="55" s="1"/>
  <c r="C573" i="76"/>
  <c r="C1026" i="55"/>
  <c r="P1026" i="55" s="1"/>
  <c r="C1020" i="76"/>
  <c r="C45" i="55"/>
  <c r="C323" i="76"/>
  <c r="C45" i="76"/>
  <c r="C671" i="55"/>
  <c r="P671" i="55" s="1"/>
  <c r="C670" i="76"/>
  <c r="P1043" i="76"/>
  <c r="R1043" i="76"/>
  <c r="F1043" i="76"/>
  <c r="V1043" i="76"/>
  <c r="J1043" i="76"/>
  <c r="T1043" i="76"/>
  <c r="H1043" i="76"/>
  <c r="N1043" i="76"/>
  <c r="L59" i="76"/>
  <c r="P59" i="76"/>
  <c r="H59" i="76"/>
  <c r="N59" i="76"/>
  <c r="J59" i="76"/>
  <c r="V59" i="76"/>
  <c r="F59" i="76"/>
  <c r="T59" i="76"/>
  <c r="R59" i="76"/>
  <c r="P728" i="76"/>
  <c r="L728" i="76"/>
  <c r="R728" i="76"/>
  <c r="N728" i="76"/>
  <c r="J728" i="76"/>
  <c r="H728" i="76"/>
  <c r="V728" i="76"/>
  <c r="F728" i="76"/>
  <c r="T728" i="76"/>
  <c r="P396" i="76"/>
  <c r="L396" i="76"/>
  <c r="N396" i="76"/>
  <c r="J396" i="76"/>
  <c r="F396" i="76"/>
  <c r="V396" i="76"/>
  <c r="H396" i="76"/>
  <c r="T396" i="76"/>
  <c r="R396" i="76"/>
  <c r="P1017" i="76"/>
  <c r="R1017" i="76"/>
  <c r="V1017" i="76"/>
  <c r="H1017" i="76"/>
  <c r="N1017" i="76"/>
  <c r="J1017" i="76"/>
  <c r="F1017" i="76"/>
  <c r="T1017" i="76"/>
  <c r="L572" i="76"/>
  <c r="P572" i="76"/>
  <c r="F572" i="76"/>
  <c r="N572" i="76"/>
  <c r="J572" i="76"/>
  <c r="H572" i="76"/>
  <c r="V572" i="76"/>
  <c r="T572" i="76"/>
  <c r="R572" i="76"/>
  <c r="P727" i="76"/>
  <c r="L727" i="76"/>
  <c r="R727" i="76"/>
  <c r="N727" i="76"/>
  <c r="J727" i="76"/>
  <c r="H727" i="76"/>
  <c r="V727" i="76"/>
  <c r="F727" i="76"/>
  <c r="T727" i="76"/>
  <c r="L333" i="76"/>
  <c r="P333" i="76"/>
  <c r="N333" i="76"/>
  <c r="J333" i="76"/>
  <c r="H333" i="76"/>
  <c r="F333" i="76"/>
  <c r="V333" i="76"/>
  <c r="C335" i="76"/>
  <c r="T333" i="76"/>
  <c r="R333" i="76"/>
  <c r="P809" i="76"/>
  <c r="H809" i="76"/>
  <c r="L809" i="76"/>
  <c r="R809" i="76"/>
  <c r="J809" i="76"/>
  <c r="N809" i="76"/>
  <c r="V809" i="76"/>
  <c r="F809" i="76"/>
  <c r="T809" i="76"/>
  <c r="C849" i="76"/>
  <c r="R1015" i="76"/>
  <c r="P1015" i="76"/>
  <c r="F1015" i="76"/>
  <c r="J1015" i="76"/>
  <c r="V1015" i="76"/>
  <c r="T1015" i="76"/>
  <c r="N1015" i="76"/>
  <c r="H1015" i="76"/>
  <c r="C922" i="55"/>
  <c r="T922" i="55" s="1"/>
  <c r="C918" i="76"/>
  <c r="L169" i="76"/>
  <c r="P169" i="76"/>
  <c r="N169" i="76"/>
  <c r="J169" i="76"/>
  <c r="H169" i="76"/>
  <c r="V169" i="76"/>
  <c r="F169" i="76"/>
  <c r="R169" i="76"/>
  <c r="T169" i="76"/>
  <c r="L220" i="76"/>
  <c r="P220" i="76"/>
  <c r="N220" i="76"/>
  <c r="H220" i="76"/>
  <c r="J220" i="76"/>
  <c r="V220" i="76"/>
  <c r="F220" i="76"/>
  <c r="R220" i="76"/>
  <c r="T220" i="76"/>
  <c r="P72" i="76"/>
  <c r="L72" i="76"/>
  <c r="N72" i="76"/>
  <c r="H72" i="76"/>
  <c r="J72" i="76"/>
  <c r="V72" i="76"/>
  <c r="F72" i="76"/>
  <c r="T72" i="76"/>
  <c r="R72" i="76"/>
  <c r="P585" i="76"/>
  <c r="H585" i="76"/>
  <c r="L585" i="76"/>
  <c r="F585" i="76"/>
  <c r="J585" i="76"/>
  <c r="N585" i="76"/>
  <c r="V585" i="76"/>
  <c r="T585" i="76"/>
  <c r="R585" i="76"/>
  <c r="P1012" i="76"/>
  <c r="R1012" i="76"/>
  <c r="F1012" i="76"/>
  <c r="T1012" i="76"/>
  <c r="V1012" i="76"/>
  <c r="H1012" i="76"/>
  <c r="J1012" i="76"/>
  <c r="N1012" i="76"/>
  <c r="P399" i="76"/>
  <c r="H399" i="76"/>
  <c r="L399" i="76"/>
  <c r="N399" i="76"/>
  <c r="J399" i="76"/>
  <c r="F399" i="76"/>
  <c r="V399" i="76"/>
  <c r="R399" i="76"/>
  <c r="T399" i="76"/>
  <c r="P907" i="76"/>
  <c r="L907" i="76"/>
  <c r="N907" i="76"/>
  <c r="H907" i="76"/>
  <c r="R907" i="76"/>
  <c r="J907" i="76"/>
  <c r="V907" i="76"/>
  <c r="F907" i="76"/>
  <c r="T907" i="76"/>
  <c r="L739" i="76"/>
  <c r="P739" i="76"/>
  <c r="J739" i="76"/>
  <c r="T739" i="76"/>
  <c r="N739" i="76"/>
  <c r="H739" i="76"/>
  <c r="V739" i="76"/>
  <c r="F739" i="76"/>
  <c r="R739" i="76"/>
  <c r="P723" i="76"/>
  <c r="L723" i="76"/>
  <c r="J723" i="76"/>
  <c r="H723" i="76"/>
  <c r="N723" i="76"/>
  <c r="F723" i="76"/>
  <c r="V723" i="76"/>
  <c r="T723" i="76"/>
  <c r="R723" i="76"/>
  <c r="L662" i="76"/>
  <c r="P662" i="76"/>
  <c r="J662" i="76"/>
  <c r="F662" i="76"/>
  <c r="N662" i="76"/>
  <c r="H662" i="76"/>
  <c r="V662" i="76"/>
  <c r="R662" i="76"/>
  <c r="T662" i="76"/>
  <c r="L538" i="76"/>
  <c r="F538" i="76"/>
  <c r="J538" i="76"/>
  <c r="H538" i="76"/>
  <c r="T538" i="76"/>
  <c r="P538" i="76"/>
  <c r="N538" i="76"/>
  <c r="V538" i="76"/>
  <c r="R538" i="76"/>
  <c r="D110" i="78"/>
  <c r="F110" i="78" s="1"/>
  <c r="T557" i="55"/>
  <c r="D44" i="78"/>
  <c r="F44" i="78" s="1"/>
  <c r="T341" i="55"/>
  <c r="D161" i="78"/>
  <c r="F161" i="78" s="1"/>
  <c r="T696" i="55"/>
  <c r="D174" i="78"/>
  <c r="F174" i="78" s="1"/>
  <c r="T714" i="55"/>
  <c r="D108" i="78"/>
  <c r="F108" i="78" s="1"/>
  <c r="T662" i="55"/>
  <c r="D109" i="78"/>
  <c r="F109" i="78" s="1"/>
  <c r="T664" i="55"/>
  <c r="D13" i="78"/>
  <c r="F13" i="78" s="1"/>
  <c r="T45" i="55"/>
  <c r="T671" i="55"/>
  <c r="L710" i="76"/>
  <c r="F710" i="76"/>
  <c r="J710" i="76"/>
  <c r="R710" i="76"/>
  <c r="P710" i="76"/>
  <c r="N710" i="76"/>
  <c r="H710" i="76"/>
  <c r="V710" i="76"/>
  <c r="T710" i="76"/>
  <c r="P538" i="55"/>
  <c r="R538" i="55"/>
  <c r="P264" i="55"/>
  <c r="R264" i="55"/>
  <c r="P922" i="55"/>
  <c r="R922" i="55"/>
  <c r="P520" i="55"/>
  <c r="R520" i="55"/>
  <c r="P557" i="55"/>
  <c r="R557" i="55"/>
  <c r="P130" i="55"/>
  <c r="R130" i="55"/>
  <c r="P334" i="55"/>
  <c r="R334" i="55"/>
  <c r="P733" i="55"/>
  <c r="R733" i="55"/>
  <c r="P246" i="55"/>
  <c r="R246" i="55"/>
  <c r="P181" i="55"/>
  <c r="R181" i="55"/>
  <c r="P118" i="55"/>
  <c r="R118" i="55"/>
  <c r="P679" i="55"/>
  <c r="R679" i="55"/>
  <c r="P854" i="55"/>
  <c r="R854" i="55"/>
  <c r="P640" i="55"/>
  <c r="R640" i="55"/>
  <c r="P341" i="55"/>
  <c r="R341" i="55"/>
  <c r="P732" i="55"/>
  <c r="R732" i="55"/>
  <c r="P559" i="55"/>
  <c r="R559" i="55"/>
  <c r="P333" i="55"/>
  <c r="R333" i="55"/>
  <c r="P206" i="55"/>
  <c r="R206" i="55"/>
  <c r="P233" i="55"/>
  <c r="R233" i="55"/>
  <c r="P696" i="55"/>
  <c r="R696" i="55"/>
  <c r="P397" i="55"/>
  <c r="R397" i="55"/>
  <c r="P805" i="55"/>
  <c r="R805" i="55"/>
  <c r="P537" i="55"/>
  <c r="R537" i="55"/>
  <c r="P714" i="55"/>
  <c r="R714" i="55"/>
  <c r="P517" i="55"/>
  <c r="R517" i="55"/>
  <c r="P71" i="55"/>
  <c r="R71" i="55"/>
  <c r="P65" i="55"/>
  <c r="R65" i="55"/>
  <c r="P168" i="55"/>
  <c r="R168" i="55"/>
  <c r="P219" i="55"/>
  <c r="R219" i="55"/>
  <c r="P332" i="55"/>
  <c r="R332" i="55"/>
  <c r="P662" i="55"/>
  <c r="R662" i="55"/>
  <c r="P388" i="55"/>
  <c r="R388" i="55"/>
  <c r="P852" i="55"/>
  <c r="R852" i="55"/>
  <c r="R727" i="55"/>
  <c r="P56" i="55"/>
  <c r="R56" i="55"/>
  <c r="P663" i="55"/>
  <c r="R663" i="55"/>
  <c r="P664" i="55"/>
  <c r="R664" i="55"/>
  <c r="P569" i="55"/>
  <c r="R569" i="55"/>
  <c r="P573" i="55"/>
  <c r="R573" i="55"/>
  <c r="P439" i="55"/>
  <c r="R439" i="55"/>
  <c r="P45" i="55"/>
  <c r="R45" i="55"/>
  <c r="P806" i="55"/>
  <c r="R806" i="55"/>
  <c r="P727" i="55"/>
  <c r="C1079" i="76"/>
  <c r="P1079" i="76" s="1"/>
  <c r="C899" i="76"/>
  <c r="P899" i="76" s="1"/>
  <c r="C700" i="55"/>
  <c r="T700" i="55" s="1"/>
  <c r="C696" i="76"/>
  <c r="P696" i="76" s="1"/>
  <c r="L694" i="76"/>
  <c r="N694" i="76"/>
  <c r="H694" i="76"/>
  <c r="F694" i="76"/>
  <c r="J694" i="76"/>
  <c r="V694" i="76"/>
  <c r="T694" i="76"/>
  <c r="R694" i="76"/>
  <c r="L898" i="76"/>
  <c r="T898" i="76"/>
  <c r="J898" i="76"/>
  <c r="V898" i="76"/>
  <c r="F898" i="76"/>
  <c r="N898" i="76"/>
  <c r="H898" i="76"/>
  <c r="R898" i="76"/>
  <c r="L438" i="76"/>
  <c r="N438" i="76"/>
  <c r="F438" i="76"/>
  <c r="J438" i="76"/>
  <c r="H438" i="76"/>
  <c r="V438" i="76"/>
  <c r="R438" i="76"/>
  <c r="T438" i="76"/>
  <c r="C701" i="55"/>
  <c r="T701" i="55" s="1"/>
  <c r="C697" i="76"/>
  <c r="P697" i="76" s="1"/>
  <c r="T1078" i="76"/>
  <c r="V1078" i="76"/>
  <c r="F1078" i="76"/>
  <c r="N1078" i="76"/>
  <c r="J1078" i="76"/>
  <c r="H1078" i="76"/>
  <c r="R1078" i="76"/>
  <c r="L692" i="76"/>
  <c r="F692" i="76"/>
  <c r="J692" i="76"/>
  <c r="V692" i="76"/>
  <c r="R692" i="76"/>
  <c r="N692" i="76"/>
  <c r="H692" i="76"/>
  <c r="T692" i="76"/>
  <c r="R1051" i="76"/>
  <c r="F1051" i="76"/>
  <c r="T1051" i="76"/>
  <c r="J1051" i="76"/>
  <c r="N1051" i="76"/>
  <c r="H1051" i="76"/>
  <c r="V1051" i="76"/>
  <c r="F71" i="55"/>
  <c r="F65" i="55"/>
  <c r="N1023" i="55"/>
  <c r="F219" i="55"/>
  <c r="F130" i="55"/>
  <c r="F56" i="55"/>
  <c r="F233" i="55"/>
  <c r="F45" i="55"/>
  <c r="F264" i="55"/>
  <c r="N922" i="55"/>
  <c r="F168" i="55"/>
  <c r="N1018" i="55"/>
  <c r="F246" i="55"/>
  <c r="F181" i="55"/>
  <c r="F118" i="55"/>
  <c r="N854" i="55"/>
  <c r="F206" i="55"/>
  <c r="N1079" i="55"/>
  <c r="N714" i="55"/>
  <c r="N517" i="55"/>
  <c r="N71" i="55"/>
  <c r="N219" i="55"/>
  <c r="N332" i="55"/>
  <c r="N334" i="55"/>
  <c r="N733" i="55"/>
  <c r="N246" i="55"/>
  <c r="N181" i="55"/>
  <c r="N118" i="55"/>
  <c r="N679" i="55"/>
  <c r="N852" i="55"/>
  <c r="N727" i="55"/>
  <c r="N56" i="55"/>
  <c r="N559" i="55"/>
  <c r="N333" i="55"/>
  <c r="N206" i="55"/>
  <c r="N569" i="55"/>
  <c r="N573" i="55"/>
  <c r="N1026" i="55"/>
  <c r="N696" i="55"/>
  <c r="N45" i="55"/>
  <c r="N671" i="55"/>
  <c r="N806" i="55"/>
  <c r="N537" i="55"/>
  <c r="N538" i="55"/>
  <c r="N264" i="55"/>
  <c r="N520" i="55"/>
  <c r="N65" i="55"/>
  <c r="N168" i="55"/>
  <c r="N557" i="55"/>
  <c r="N130" i="55"/>
  <c r="N662" i="55"/>
  <c r="N388" i="55"/>
  <c r="N640" i="55"/>
  <c r="N341" i="55"/>
  <c r="N732" i="55"/>
  <c r="N663" i="55"/>
  <c r="N664" i="55"/>
  <c r="N233" i="55"/>
  <c r="N439" i="55"/>
  <c r="N397" i="55"/>
  <c r="N805" i="55"/>
  <c r="L1335" i="1"/>
  <c r="R1991" i="1"/>
  <c r="J537" i="55"/>
  <c r="L537" i="55"/>
  <c r="F537" i="55"/>
  <c r="H537" i="55"/>
  <c r="R634" i="1"/>
  <c r="L865" i="55"/>
  <c r="K1363" i="1"/>
  <c r="K1365" i="1" s="1"/>
  <c r="F397" i="55"/>
  <c r="J397" i="55"/>
  <c r="K1055" i="11"/>
  <c r="L805" i="55"/>
  <c r="J805" i="55"/>
  <c r="H805" i="55"/>
  <c r="F805" i="55"/>
  <c r="J806" i="55"/>
  <c r="F806" i="55"/>
  <c r="H806" i="55"/>
  <c r="L806" i="55"/>
  <c r="H397" i="55"/>
  <c r="L397" i="55"/>
  <c r="F671" i="55"/>
  <c r="AD552" i="1"/>
  <c r="AD557" i="1" s="1"/>
  <c r="AD559" i="1" s="1"/>
  <c r="AR204" i="1"/>
  <c r="AS205" i="1"/>
  <c r="AU204" i="1"/>
  <c r="AV204" i="1" s="1"/>
  <c r="C323" i="55"/>
  <c r="I1781" i="1"/>
  <c r="K1781" i="1" s="1"/>
  <c r="K1790" i="1" s="1"/>
  <c r="J546" i="1"/>
  <c r="W545" i="1"/>
  <c r="AC545" i="1" s="1"/>
  <c r="AJ545" i="1" s="1"/>
  <c r="D300" i="25"/>
  <c r="F300" i="25" s="1"/>
  <c r="D135" i="25"/>
  <c r="F134" i="25"/>
  <c r="L3120" i="27"/>
  <c r="K3119" i="27"/>
  <c r="R3114" i="27"/>
  <c r="R3118" i="27" s="1"/>
  <c r="P3128" i="27"/>
  <c r="R3128" i="27" s="1"/>
  <c r="R3132" i="27" s="1"/>
  <c r="R3133" i="27" s="1"/>
  <c r="T1026" i="55"/>
  <c r="J1026" i="55"/>
  <c r="F1026" i="55"/>
  <c r="H1026" i="55"/>
  <c r="L1026" i="55"/>
  <c r="L696" i="55"/>
  <c r="F696" i="55"/>
  <c r="H696" i="55"/>
  <c r="J696" i="55"/>
  <c r="F654" i="25"/>
  <c r="F664" i="25" s="1"/>
  <c r="F666" i="25" s="1"/>
  <c r="D690" i="25"/>
  <c r="F690" i="25" s="1"/>
  <c r="F700" i="25" s="1"/>
  <c r="F702" i="25" s="1"/>
  <c r="L439" i="55"/>
  <c r="H439" i="55"/>
  <c r="F439" i="55"/>
  <c r="J439" i="55"/>
  <c r="J372" i="1"/>
  <c r="AD1198" i="1"/>
  <c r="C813" i="76" s="1"/>
  <c r="C817" i="55"/>
  <c r="T817" i="55" s="1"/>
  <c r="X714" i="1"/>
  <c r="Z713" i="1"/>
  <c r="C470" i="55"/>
  <c r="T470" i="55" s="1"/>
  <c r="AB538" i="1"/>
  <c r="AD538" i="1" s="1"/>
  <c r="C470" i="76" s="1"/>
  <c r="J662" i="55"/>
  <c r="L662" i="55"/>
  <c r="H662" i="55"/>
  <c r="F662" i="55"/>
  <c r="G113" i="32"/>
  <c r="G115" i="32" s="1"/>
  <c r="G116" i="32" s="1"/>
  <c r="G117" i="32" s="1"/>
  <c r="F115" i="32"/>
  <c r="F116" i="32" s="1"/>
  <c r="F117" i="32" s="1"/>
  <c r="L181" i="55"/>
  <c r="H181" i="55"/>
  <c r="J181" i="55"/>
  <c r="Y684" i="1"/>
  <c r="Y686" i="1" s="1"/>
  <c r="Y687" i="1" s="1"/>
  <c r="Y688" i="1" s="1"/>
  <c r="X686" i="1"/>
  <c r="X687" i="1" s="1"/>
  <c r="X688" i="1" s="1"/>
  <c r="C509" i="76" s="1"/>
  <c r="X348" i="1"/>
  <c r="C86" i="76" s="1"/>
  <c r="C85" i="55"/>
  <c r="T85" i="55" s="1"/>
  <c r="C853" i="55"/>
  <c r="T853" i="55" s="1"/>
  <c r="L852" i="55"/>
  <c r="H852" i="55"/>
  <c r="F852" i="55"/>
  <c r="J852" i="55"/>
  <c r="J341" i="55"/>
  <c r="L341" i="55"/>
  <c r="H341" i="55"/>
  <c r="F341" i="55"/>
  <c r="P611" i="1"/>
  <c r="R611" i="1" s="1"/>
  <c r="R617" i="1" s="1"/>
  <c r="R597" i="1"/>
  <c r="R603" i="1" s="1"/>
  <c r="J369" i="1"/>
  <c r="K370" i="1"/>
  <c r="C561" i="76" s="1"/>
  <c r="C560" i="55"/>
  <c r="T560" i="55" s="1"/>
  <c r="F663" i="55"/>
  <c r="L663" i="55"/>
  <c r="J663" i="55"/>
  <c r="H663" i="55"/>
  <c r="K437" i="1"/>
  <c r="C208" i="76" s="1"/>
  <c r="C207" i="55"/>
  <c r="T207" i="55" s="1"/>
  <c r="T1216" i="1"/>
  <c r="T1228" i="1" s="1"/>
  <c r="T1230" i="1" s="1"/>
  <c r="R1228" i="1"/>
  <c r="R1230" i="1" s="1"/>
  <c r="Y324" i="1"/>
  <c r="X325" i="1"/>
  <c r="X326" i="1" s="1"/>
  <c r="X327" i="1" s="1"/>
  <c r="L573" i="55"/>
  <c r="F573" i="55"/>
  <c r="J573" i="55"/>
  <c r="H573" i="55"/>
  <c r="C169" i="55"/>
  <c r="T169" i="55" s="1"/>
  <c r="J403" i="1"/>
  <c r="K404" i="1"/>
  <c r="C170" i="76" s="1"/>
  <c r="AK1198" i="1"/>
  <c r="C818" i="76" s="1"/>
  <c r="C822" i="55"/>
  <c r="T822" i="55" s="1"/>
  <c r="K1989" i="1"/>
  <c r="K1998" i="1" s="1"/>
  <c r="P1989" i="1"/>
  <c r="K471" i="1"/>
  <c r="C221" i="76" s="1"/>
  <c r="L470" i="1"/>
  <c r="C220" i="55"/>
  <c r="T220" i="55" s="1"/>
  <c r="C131" i="55"/>
  <c r="T131" i="55" s="1"/>
  <c r="X403" i="1"/>
  <c r="C132" i="76" s="1"/>
  <c r="F334" i="55"/>
  <c r="H334" i="55"/>
  <c r="L334" i="55"/>
  <c r="J334" i="55"/>
  <c r="H43" i="32"/>
  <c r="F49" i="32"/>
  <c r="C182" i="55"/>
  <c r="T182" i="55" s="1"/>
  <c r="X436" i="1"/>
  <c r="C183" i="76" s="1"/>
  <c r="F388" i="55"/>
  <c r="L388" i="55"/>
  <c r="H388" i="55"/>
  <c r="J388" i="55"/>
  <c r="X368" i="1"/>
  <c r="X369" i="1" s="1"/>
  <c r="X370" i="1" s="1"/>
  <c r="X371" i="1" s="1"/>
  <c r="X740" i="1"/>
  <c r="X741" i="1" s="1"/>
  <c r="X742" i="1" s="1"/>
  <c r="C501" i="76" s="1"/>
  <c r="Y738" i="1"/>
  <c r="Y740" i="1" s="1"/>
  <c r="Y741" i="1" s="1"/>
  <c r="Y742" i="1" s="1"/>
  <c r="AI528" i="1" s="1"/>
  <c r="AH323" i="1"/>
  <c r="AG324" i="1"/>
  <c r="L206" i="55"/>
  <c r="J206" i="55"/>
  <c r="H206" i="55"/>
  <c r="L233" i="55"/>
  <c r="J233" i="55"/>
  <c r="H233" i="55"/>
  <c r="C570" i="55"/>
  <c r="T570" i="55" s="1"/>
  <c r="I2946" i="1"/>
  <c r="K2946" i="1" s="1"/>
  <c r="K2949" i="1" s="1"/>
  <c r="K2950" i="1" s="1"/>
  <c r="K2916" i="1"/>
  <c r="I2955" i="1" s="1"/>
  <c r="K2955" i="1" s="1"/>
  <c r="K2958" i="1" s="1"/>
  <c r="K2959" i="1" s="1"/>
  <c r="L168" i="55"/>
  <c r="H168" i="55"/>
  <c r="J168" i="55"/>
  <c r="K325" i="1"/>
  <c r="L324" i="1"/>
  <c r="J1023" i="55"/>
  <c r="L1023" i="55"/>
  <c r="F1023" i="55"/>
  <c r="T1023" i="55"/>
  <c r="H1023" i="55"/>
  <c r="L219" i="55"/>
  <c r="H219" i="55"/>
  <c r="J219" i="55"/>
  <c r="J130" i="55"/>
  <c r="L130" i="55"/>
  <c r="H130" i="55"/>
  <c r="J1018" i="55"/>
  <c r="F1018" i="55"/>
  <c r="H1018" i="55"/>
  <c r="T1018" i="55"/>
  <c r="L1018" i="55"/>
  <c r="J246" i="55"/>
  <c r="L246" i="55"/>
  <c r="H246" i="55"/>
  <c r="L118" i="55"/>
  <c r="J118" i="55"/>
  <c r="H118" i="55"/>
  <c r="F679" i="55"/>
  <c r="L679" i="55"/>
  <c r="H679" i="55"/>
  <c r="J679" i="55"/>
  <c r="F43" i="50"/>
  <c r="F49" i="50" s="1"/>
  <c r="F50" i="50" s="1"/>
  <c r="D106" i="50"/>
  <c r="F106" i="50" s="1"/>
  <c r="F112" i="50" s="1"/>
  <c r="F113" i="50" s="1"/>
  <c r="F640" i="55"/>
  <c r="L640" i="55"/>
  <c r="H640" i="55"/>
  <c r="J640" i="55"/>
  <c r="L732" i="55"/>
  <c r="H732" i="55"/>
  <c r="F732" i="55"/>
  <c r="J732" i="55"/>
  <c r="H56" i="55"/>
  <c r="L56" i="55"/>
  <c r="J56" i="55"/>
  <c r="F664" i="55"/>
  <c r="J664" i="55"/>
  <c r="H664" i="55"/>
  <c r="L664" i="55"/>
  <c r="C137" i="55"/>
  <c r="T137" i="55" s="1"/>
  <c r="AG411" i="1"/>
  <c r="C138" i="76" s="1"/>
  <c r="C234" i="55"/>
  <c r="T234" i="55" s="1"/>
  <c r="I538" i="1"/>
  <c r="K538" i="1" s="1"/>
  <c r="C235" i="76" s="1"/>
  <c r="H569" i="55"/>
  <c r="L569" i="55"/>
  <c r="F569" i="55"/>
  <c r="J569" i="55"/>
  <c r="H557" i="55"/>
  <c r="J557" i="55"/>
  <c r="L557" i="55"/>
  <c r="F557" i="55"/>
  <c r="H332" i="55"/>
  <c r="L332" i="55"/>
  <c r="F332" i="55"/>
  <c r="J332" i="55"/>
  <c r="F733" i="55"/>
  <c r="H733" i="55"/>
  <c r="J733" i="55"/>
  <c r="L733" i="55"/>
  <c r="I561" i="1"/>
  <c r="K561" i="1" s="1"/>
  <c r="C248" i="76" s="1"/>
  <c r="C247" i="55"/>
  <c r="T247" i="55" s="1"/>
  <c r="C119" i="55"/>
  <c r="T119" i="55" s="1"/>
  <c r="K349" i="1"/>
  <c r="C120" i="76" s="1"/>
  <c r="L348" i="1"/>
  <c r="H854" i="55"/>
  <c r="F854" i="55"/>
  <c r="J854" i="55"/>
  <c r="L854" i="55"/>
  <c r="C91" i="55"/>
  <c r="T91" i="55" s="1"/>
  <c r="AG348" i="1"/>
  <c r="C92" i="76" s="1"/>
  <c r="I631" i="1"/>
  <c r="K631" i="1" s="1"/>
  <c r="C641" i="76" s="1"/>
  <c r="C641" i="55"/>
  <c r="T641" i="55" s="1"/>
  <c r="F727" i="55"/>
  <c r="L727" i="55"/>
  <c r="J727" i="55"/>
  <c r="H727" i="55"/>
  <c r="AH369" i="1"/>
  <c r="AG379" i="1"/>
  <c r="H559" i="55"/>
  <c r="L559" i="55"/>
  <c r="J559" i="55"/>
  <c r="F559" i="55"/>
  <c r="J333" i="55"/>
  <c r="F333" i="55"/>
  <c r="H333" i="55"/>
  <c r="L333" i="55"/>
  <c r="C335" i="55"/>
  <c r="T335" i="55" s="1"/>
  <c r="AG449" i="1"/>
  <c r="C188" i="76" s="1"/>
  <c r="C187" i="55"/>
  <c r="T187" i="55" s="1"/>
  <c r="V1238" i="1"/>
  <c r="R1258" i="1"/>
  <c r="R1270" i="1" s="1"/>
  <c r="R1272" i="1" s="1"/>
  <c r="P1235" i="1"/>
  <c r="R1235" i="1" s="1"/>
  <c r="R1247" i="1" s="1"/>
  <c r="R1249" i="1" s="1"/>
  <c r="K825" i="1"/>
  <c r="C73" i="76" s="1"/>
  <c r="C72" i="55"/>
  <c r="T72" i="55" s="1"/>
  <c r="H264" i="55"/>
  <c r="J264" i="55"/>
  <c r="L264" i="55"/>
  <c r="J517" i="55"/>
  <c r="F517" i="55"/>
  <c r="H517" i="55"/>
  <c r="L517" i="55"/>
  <c r="J71" i="55"/>
  <c r="H71" i="55"/>
  <c r="L71" i="55"/>
  <c r="L65" i="55"/>
  <c r="J65" i="55"/>
  <c r="H65" i="55"/>
  <c r="I661" i="1"/>
  <c r="K661" i="1" s="1"/>
  <c r="C266" i="76" s="1"/>
  <c r="C265" i="55"/>
  <c r="T265" i="55" s="1"/>
  <c r="L45" i="55"/>
  <c r="H45" i="55"/>
  <c r="J45" i="55"/>
  <c r="L922" i="55"/>
  <c r="J922" i="55"/>
  <c r="F922" i="55"/>
  <c r="H922" i="55"/>
  <c r="H520" i="55"/>
  <c r="J520" i="55"/>
  <c r="F520" i="55"/>
  <c r="L520" i="55"/>
  <c r="K289" i="1"/>
  <c r="C67" i="76" s="1"/>
  <c r="C66" i="55"/>
  <c r="T66" i="55" s="1"/>
  <c r="K3938" i="1"/>
  <c r="K3950" i="1" s="1"/>
  <c r="C915" i="76" s="1"/>
  <c r="I3954" i="1"/>
  <c r="C521" i="55"/>
  <c r="T521" i="55" s="1"/>
  <c r="R1160" i="1"/>
  <c r="C521" i="76" s="1"/>
  <c r="L1079" i="55"/>
  <c r="H1079" i="55"/>
  <c r="J1079" i="55"/>
  <c r="T1079" i="55"/>
  <c r="F1079" i="55"/>
  <c r="L714" i="55"/>
  <c r="H714" i="55"/>
  <c r="J714" i="55"/>
  <c r="F714" i="55"/>
  <c r="D21" i="78"/>
  <c r="F21" i="78" s="1"/>
  <c r="AS103" i="1"/>
  <c r="AU102" i="1"/>
  <c r="AV102" i="1" s="1"/>
  <c r="AU140" i="1"/>
  <c r="AV140" i="1" s="1"/>
  <c r="AS142" i="1"/>
  <c r="K1186" i="11"/>
  <c r="K1190" i="11" s="1"/>
  <c r="K1191" i="11" s="1"/>
  <c r="K1175" i="11"/>
  <c r="K1176" i="11" s="1"/>
  <c r="C903" i="55"/>
  <c r="T903" i="55" s="1"/>
  <c r="C1085" i="55"/>
  <c r="J700" i="55"/>
  <c r="H700" i="55"/>
  <c r="L700" i="55"/>
  <c r="F700" i="55"/>
  <c r="AU165" i="1"/>
  <c r="AV165" i="1" s="1"/>
  <c r="AS171" i="1"/>
  <c r="K1155" i="11"/>
  <c r="L1155" i="11" s="1"/>
  <c r="L1157" i="11"/>
  <c r="F701" i="55"/>
  <c r="I804" i="11"/>
  <c r="L787" i="11"/>
  <c r="K1034" i="11"/>
  <c r="M1034" i="11"/>
  <c r="AU180" i="1"/>
  <c r="AV180" i="1" s="1"/>
  <c r="K831" i="11"/>
  <c r="K844" i="11" s="1"/>
  <c r="I3662" i="27"/>
  <c r="H538" i="55"/>
  <c r="F538" i="55"/>
  <c r="L538" i="55"/>
  <c r="J538" i="55"/>
  <c r="K3614" i="27"/>
  <c r="K3619" i="27" s="1"/>
  <c r="I3645" i="27"/>
  <c r="K3645" i="27" s="1"/>
  <c r="K3650" i="27" s="1"/>
  <c r="AS119" i="1"/>
  <c r="AU117" i="1"/>
  <c r="AV117" i="1" s="1"/>
  <c r="O568" i="11"/>
  <c r="O3396" i="27"/>
  <c r="O3400" i="27" s="1"/>
  <c r="C730" i="76" l="1"/>
  <c r="C1014" i="76"/>
  <c r="L120" i="76"/>
  <c r="P120" i="76"/>
  <c r="J120" i="76"/>
  <c r="N120" i="76"/>
  <c r="H120" i="76"/>
  <c r="V120" i="76"/>
  <c r="R120" i="76"/>
  <c r="F120" i="76"/>
  <c r="T120" i="76"/>
  <c r="P501" i="76"/>
  <c r="H501" i="76"/>
  <c r="L501" i="76"/>
  <c r="F501" i="76"/>
  <c r="N501" i="76"/>
  <c r="J501" i="76"/>
  <c r="V501" i="76"/>
  <c r="R501" i="76"/>
  <c r="T501" i="76"/>
  <c r="C1013" i="76"/>
  <c r="C731" i="76"/>
  <c r="L918" i="76"/>
  <c r="P918" i="76"/>
  <c r="N918" i="76"/>
  <c r="H918" i="76"/>
  <c r="V918" i="76"/>
  <c r="R918" i="76"/>
  <c r="J918" i="76"/>
  <c r="F918" i="76"/>
  <c r="T918" i="76"/>
  <c r="L847" i="76"/>
  <c r="P847" i="76"/>
  <c r="N847" i="76"/>
  <c r="T847" i="76"/>
  <c r="H847" i="76"/>
  <c r="J847" i="76"/>
  <c r="V847" i="76"/>
  <c r="F847" i="76"/>
  <c r="C848" i="76"/>
  <c r="R847" i="76"/>
  <c r="L701" i="55"/>
  <c r="P521" i="76"/>
  <c r="H521" i="76"/>
  <c r="L521" i="76"/>
  <c r="F521" i="76"/>
  <c r="N521" i="76"/>
  <c r="J521" i="76"/>
  <c r="V521" i="76"/>
  <c r="R521" i="76"/>
  <c r="T521" i="76"/>
  <c r="L92" i="76"/>
  <c r="P92" i="76"/>
  <c r="N92" i="76"/>
  <c r="H92" i="76"/>
  <c r="J92" i="76"/>
  <c r="V92" i="76"/>
  <c r="F92" i="76"/>
  <c r="R92" i="76"/>
  <c r="T92" i="76"/>
  <c r="C574" i="55"/>
  <c r="T574" i="55" s="1"/>
  <c r="C574" i="76"/>
  <c r="P561" i="76"/>
  <c r="H561" i="76"/>
  <c r="L561" i="76"/>
  <c r="F561" i="76"/>
  <c r="N561" i="76"/>
  <c r="J561" i="76"/>
  <c r="V561" i="76"/>
  <c r="R561" i="76"/>
  <c r="T561" i="76"/>
  <c r="J671" i="55"/>
  <c r="L671" i="55"/>
  <c r="C339" i="55"/>
  <c r="D43" i="78" s="1"/>
  <c r="F43" i="78" s="1"/>
  <c r="C339" i="76"/>
  <c r="N865" i="55"/>
  <c r="N701" i="55"/>
  <c r="D119" i="78"/>
  <c r="F119" i="78" s="1"/>
  <c r="L45" i="76"/>
  <c r="P45" i="76"/>
  <c r="J45" i="76"/>
  <c r="H45" i="76"/>
  <c r="N45" i="76"/>
  <c r="V45" i="76"/>
  <c r="R45" i="76"/>
  <c r="T45" i="76"/>
  <c r="F45" i="76"/>
  <c r="L560" i="76"/>
  <c r="P560" i="76"/>
  <c r="J560" i="76"/>
  <c r="F560" i="76"/>
  <c r="N560" i="76"/>
  <c r="H560" i="76"/>
  <c r="V560" i="76"/>
  <c r="R560" i="76"/>
  <c r="T560" i="76"/>
  <c r="P800" i="76"/>
  <c r="L800" i="76"/>
  <c r="N800" i="76"/>
  <c r="R800" i="76"/>
  <c r="J800" i="76"/>
  <c r="H800" i="76"/>
  <c r="V800" i="76"/>
  <c r="F800" i="76"/>
  <c r="T800" i="76"/>
  <c r="C676" i="76"/>
  <c r="C388" i="76"/>
  <c r="P813" i="76"/>
  <c r="H813" i="76"/>
  <c r="L813" i="76"/>
  <c r="T813" i="76"/>
  <c r="N813" i="76"/>
  <c r="J813" i="76"/>
  <c r="F813" i="76"/>
  <c r="V813" i="76"/>
  <c r="R813" i="76"/>
  <c r="L73" i="76"/>
  <c r="P73" i="76"/>
  <c r="N73" i="76"/>
  <c r="J73" i="76"/>
  <c r="H73" i="76"/>
  <c r="V73" i="76"/>
  <c r="F73" i="76"/>
  <c r="R73" i="76"/>
  <c r="T73" i="76"/>
  <c r="L138" i="76"/>
  <c r="P138" i="76"/>
  <c r="N138" i="76"/>
  <c r="H138" i="76"/>
  <c r="J138" i="76"/>
  <c r="V138" i="76"/>
  <c r="R138" i="76"/>
  <c r="F138" i="76"/>
  <c r="T138" i="76"/>
  <c r="L183" i="76"/>
  <c r="P183" i="76"/>
  <c r="H183" i="76"/>
  <c r="N183" i="76"/>
  <c r="J183" i="76"/>
  <c r="V183" i="76"/>
  <c r="R183" i="76"/>
  <c r="F183" i="76"/>
  <c r="T183" i="76"/>
  <c r="P132" i="76"/>
  <c r="L132" i="76"/>
  <c r="H132" i="76"/>
  <c r="J132" i="76"/>
  <c r="N132" i="76"/>
  <c r="V132" i="76"/>
  <c r="F132" i="76"/>
  <c r="R132" i="76"/>
  <c r="T132" i="76"/>
  <c r="L221" i="76"/>
  <c r="P221" i="76"/>
  <c r="N221" i="76"/>
  <c r="J221" i="76"/>
  <c r="H221" i="76"/>
  <c r="F221" i="76"/>
  <c r="V221" i="76"/>
  <c r="R221" i="76"/>
  <c r="T221" i="76"/>
  <c r="P818" i="76"/>
  <c r="L818" i="76"/>
  <c r="J818" i="76"/>
  <c r="T818" i="76"/>
  <c r="N818" i="76"/>
  <c r="H818" i="76"/>
  <c r="V818" i="76"/>
  <c r="F818" i="76"/>
  <c r="R818" i="76"/>
  <c r="C373" i="55"/>
  <c r="C372" i="76"/>
  <c r="H671" i="55"/>
  <c r="F865" i="55"/>
  <c r="H865" i="55"/>
  <c r="R865" i="55"/>
  <c r="R671" i="55"/>
  <c r="T865" i="55"/>
  <c r="P849" i="76"/>
  <c r="H849" i="76"/>
  <c r="L849" i="76"/>
  <c r="T849" i="76"/>
  <c r="N849" i="76"/>
  <c r="V849" i="76"/>
  <c r="F849" i="76"/>
  <c r="J849" i="76"/>
  <c r="R849" i="76"/>
  <c r="T335" i="76"/>
  <c r="P335" i="76"/>
  <c r="F335" i="76"/>
  <c r="V335" i="76"/>
  <c r="R335" i="76"/>
  <c r="N335" i="76"/>
  <c r="J335" i="76"/>
  <c r="L335" i="76"/>
  <c r="H335" i="76"/>
  <c r="L323" i="76"/>
  <c r="P323" i="76"/>
  <c r="N323" i="76"/>
  <c r="J323" i="76"/>
  <c r="H323" i="76"/>
  <c r="V323" i="76"/>
  <c r="F323" i="76"/>
  <c r="R323" i="76"/>
  <c r="T323" i="76"/>
  <c r="P573" i="76"/>
  <c r="H573" i="76"/>
  <c r="L573" i="76"/>
  <c r="N573" i="76"/>
  <c r="J573" i="76"/>
  <c r="F573" i="76"/>
  <c r="V573" i="76"/>
  <c r="T573" i="76"/>
  <c r="R573" i="76"/>
  <c r="P801" i="76"/>
  <c r="H801" i="76"/>
  <c r="L801" i="76"/>
  <c r="N801" i="76"/>
  <c r="R801" i="76"/>
  <c r="J801" i="76"/>
  <c r="V801" i="76"/>
  <c r="F801" i="76"/>
  <c r="T801" i="76"/>
  <c r="P915" i="76"/>
  <c r="L915" i="76"/>
  <c r="H915" i="76"/>
  <c r="R915" i="76"/>
  <c r="J915" i="76"/>
  <c r="N915" i="76"/>
  <c r="V915" i="76"/>
  <c r="F915" i="76"/>
  <c r="T915" i="76"/>
  <c r="L641" i="76"/>
  <c r="P641" i="76"/>
  <c r="N641" i="76"/>
  <c r="F641" i="76"/>
  <c r="H641" i="76"/>
  <c r="J641" i="76"/>
  <c r="V641" i="76"/>
  <c r="T641" i="76"/>
  <c r="R641" i="76"/>
  <c r="L235" i="76"/>
  <c r="P235" i="76"/>
  <c r="N235" i="76"/>
  <c r="J235" i="76"/>
  <c r="H235" i="76"/>
  <c r="V235" i="76"/>
  <c r="F235" i="76"/>
  <c r="T235" i="76"/>
  <c r="R235" i="76"/>
  <c r="P509" i="76"/>
  <c r="H509" i="76"/>
  <c r="L509" i="76"/>
  <c r="F509" i="76"/>
  <c r="N509" i="76"/>
  <c r="J509" i="76"/>
  <c r="V509" i="76"/>
  <c r="R509" i="76"/>
  <c r="T509" i="76"/>
  <c r="R1020" i="76"/>
  <c r="P1020" i="76"/>
  <c r="F1020" i="76"/>
  <c r="V1020" i="76"/>
  <c r="J1020" i="76"/>
  <c r="T1020" i="76"/>
  <c r="H1020" i="76"/>
  <c r="N1020" i="76"/>
  <c r="J701" i="55"/>
  <c r="P67" i="76"/>
  <c r="L67" i="76"/>
  <c r="J67" i="76"/>
  <c r="H67" i="76"/>
  <c r="N67" i="76"/>
  <c r="V67" i="76"/>
  <c r="R67" i="76"/>
  <c r="T67" i="76"/>
  <c r="F67" i="76"/>
  <c r="H701" i="55"/>
  <c r="P266" i="76"/>
  <c r="L266" i="76"/>
  <c r="J266" i="76"/>
  <c r="N266" i="76"/>
  <c r="H266" i="76"/>
  <c r="V266" i="76"/>
  <c r="R266" i="76"/>
  <c r="T266" i="76"/>
  <c r="F266" i="76"/>
  <c r="C734" i="55"/>
  <c r="T734" i="55" s="1"/>
  <c r="C729" i="76"/>
  <c r="L188" i="76"/>
  <c r="P188" i="76"/>
  <c r="J188" i="76"/>
  <c r="N188" i="76"/>
  <c r="H188" i="76"/>
  <c r="F188" i="76"/>
  <c r="V188" i="76"/>
  <c r="R188" i="76"/>
  <c r="T188" i="76"/>
  <c r="L248" i="76"/>
  <c r="P248" i="76"/>
  <c r="N248" i="76"/>
  <c r="J248" i="76"/>
  <c r="H248" i="76"/>
  <c r="V248" i="76"/>
  <c r="R248" i="76"/>
  <c r="F248" i="76"/>
  <c r="T248" i="76"/>
  <c r="P170" i="76"/>
  <c r="L170" i="76"/>
  <c r="N170" i="76"/>
  <c r="H170" i="76"/>
  <c r="J170" i="76"/>
  <c r="F170" i="76"/>
  <c r="V170" i="76"/>
  <c r="T170" i="76"/>
  <c r="R170" i="76"/>
  <c r="P208" i="76"/>
  <c r="L208" i="76"/>
  <c r="H208" i="76"/>
  <c r="J208" i="76"/>
  <c r="N208" i="76"/>
  <c r="V208" i="76"/>
  <c r="F208" i="76"/>
  <c r="R208" i="76"/>
  <c r="T208" i="76"/>
  <c r="L86" i="76"/>
  <c r="P86" i="76"/>
  <c r="H86" i="76"/>
  <c r="J86" i="76"/>
  <c r="N86" i="76"/>
  <c r="V86" i="76"/>
  <c r="R86" i="76"/>
  <c r="T86" i="76"/>
  <c r="F86" i="76"/>
  <c r="L470" i="76"/>
  <c r="P470" i="76"/>
  <c r="J470" i="76"/>
  <c r="F470" i="76"/>
  <c r="N470" i="76"/>
  <c r="H470" i="76"/>
  <c r="V470" i="76"/>
  <c r="R470" i="76"/>
  <c r="T470" i="76"/>
  <c r="P2347" i="1"/>
  <c r="R2347" i="1" s="1"/>
  <c r="R2350" i="1" s="1"/>
  <c r="C475" i="76"/>
  <c r="J865" i="55"/>
  <c r="N700" i="55"/>
  <c r="P865" i="55"/>
  <c r="L670" i="76"/>
  <c r="P670" i="76"/>
  <c r="J670" i="76"/>
  <c r="F670" i="76"/>
  <c r="N670" i="76"/>
  <c r="H670" i="76"/>
  <c r="V670" i="76"/>
  <c r="T670" i="76"/>
  <c r="R670" i="76"/>
  <c r="P860" i="76"/>
  <c r="L860" i="76"/>
  <c r="N860" i="76"/>
  <c r="J860" i="76"/>
  <c r="T860" i="76"/>
  <c r="H860" i="76"/>
  <c r="V860" i="76"/>
  <c r="F860" i="76"/>
  <c r="R860" i="76"/>
  <c r="AS104" i="1"/>
  <c r="C539" i="76"/>
  <c r="D39" i="78"/>
  <c r="F39" i="78" s="1"/>
  <c r="T323" i="55"/>
  <c r="T339" i="55"/>
  <c r="D63" i="78"/>
  <c r="F63" i="78" s="1"/>
  <c r="T373" i="55"/>
  <c r="P539" i="55"/>
  <c r="R539" i="55"/>
  <c r="P66" i="55"/>
  <c r="R66" i="55"/>
  <c r="P72" i="55"/>
  <c r="R72" i="55"/>
  <c r="R734" i="55"/>
  <c r="P641" i="55"/>
  <c r="R641" i="55"/>
  <c r="P119" i="55"/>
  <c r="R119" i="55"/>
  <c r="P234" i="55"/>
  <c r="R234" i="55"/>
  <c r="P137" i="55"/>
  <c r="R137" i="55"/>
  <c r="P574" i="55"/>
  <c r="R574" i="55"/>
  <c r="P182" i="55"/>
  <c r="R182" i="55"/>
  <c r="P131" i="55"/>
  <c r="R131" i="55"/>
  <c r="P822" i="55"/>
  <c r="R822" i="55"/>
  <c r="P169" i="55"/>
  <c r="R169" i="55"/>
  <c r="P853" i="55"/>
  <c r="R853" i="55"/>
  <c r="P817" i="55"/>
  <c r="R817" i="55"/>
  <c r="P323" i="55"/>
  <c r="R323" i="55"/>
  <c r="P701" i="55"/>
  <c r="R701" i="55"/>
  <c r="P700" i="55"/>
  <c r="R700" i="55"/>
  <c r="P903" i="55"/>
  <c r="R903" i="55"/>
  <c r="P521" i="55"/>
  <c r="R521" i="55"/>
  <c r="P265" i="55"/>
  <c r="R265" i="55"/>
  <c r="P187" i="55"/>
  <c r="R187" i="55"/>
  <c r="P335" i="55"/>
  <c r="R335" i="55"/>
  <c r="P91" i="55"/>
  <c r="R91" i="55"/>
  <c r="P247" i="55"/>
  <c r="R247" i="55"/>
  <c r="P570" i="55"/>
  <c r="R570" i="55"/>
  <c r="P220" i="55"/>
  <c r="R220" i="55"/>
  <c r="P207" i="55"/>
  <c r="R207" i="55"/>
  <c r="P560" i="55"/>
  <c r="R560" i="55"/>
  <c r="P85" i="55"/>
  <c r="R85" i="55"/>
  <c r="P470" i="55"/>
  <c r="R470" i="55"/>
  <c r="P373" i="55"/>
  <c r="R373" i="55"/>
  <c r="P339" i="55"/>
  <c r="R339" i="55"/>
  <c r="L697" i="76"/>
  <c r="F697" i="76"/>
  <c r="N697" i="76"/>
  <c r="R697" i="76"/>
  <c r="J697" i="76"/>
  <c r="H697" i="76"/>
  <c r="V697" i="76"/>
  <c r="T697" i="76"/>
  <c r="L696" i="76"/>
  <c r="F696" i="76"/>
  <c r="J696" i="76"/>
  <c r="V696" i="76"/>
  <c r="T696" i="76"/>
  <c r="N696" i="76"/>
  <c r="H696" i="76"/>
  <c r="R696" i="76"/>
  <c r="L899" i="76"/>
  <c r="T899" i="76"/>
  <c r="N899" i="76"/>
  <c r="F899" i="76"/>
  <c r="R899" i="76"/>
  <c r="J899" i="76"/>
  <c r="H899" i="76"/>
  <c r="V899" i="76"/>
  <c r="C1080" i="76"/>
  <c r="P1080" i="76" s="1"/>
  <c r="C900" i="76"/>
  <c r="P900" i="76" s="1"/>
  <c r="T1079" i="76"/>
  <c r="H1079" i="76"/>
  <c r="R1079" i="76"/>
  <c r="J1079" i="76"/>
  <c r="V1079" i="76"/>
  <c r="F1079" i="76"/>
  <c r="N1079" i="76"/>
  <c r="F66" i="55"/>
  <c r="F265" i="55"/>
  <c r="F187" i="55"/>
  <c r="F247" i="55"/>
  <c r="F182" i="55"/>
  <c r="F220" i="55"/>
  <c r="F85" i="55"/>
  <c r="N373" i="55"/>
  <c r="F72" i="55"/>
  <c r="F91" i="55"/>
  <c r="F119" i="55"/>
  <c r="F234" i="55"/>
  <c r="F137" i="55"/>
  <c r="F131" i="55"/>
  <c r="F169" i="55"/>
  <c r="F207" i="55"/>
  <c r="N903" i="55"/>
  <c r="N66" i="55"/>
  <c r="N265" i="55"/>
  <c r="N72" i="55"/>
  <c r="N187" i="55"/>
  <c r="N335" i="55"/>
  <c r="N641" i="55"/>
  <c r="N119" i="55"/>
  <c r="N234" i="55"/>
  <c r="N137" i="55"/>
  <c r="N574" i="55"/>
  <c r="N131" i="55"/>
  <c r="N822" i="55"/>
  <c r="N169" i="55"/>
  <c r="N207" i="55"/>
  <c r="N470" i="55"/>
  <c r="N339" i="55"/>
  <c r="N1085" i="55"/>
  <c r="N539" i="55"/>
  <c r="N521" i="55"/>
  <c r="N91" i="55"/>
  <c r="N247" i="55"/>
  <c r="N570" i="55"/>
  <c r="N182" i="55"/>
  <c r="N220" i="55"/>
  <c r="N560" i="55"/>
  <c r="N85" i="55"/>
  <c r="N817" i="55"/>
  <c r="N323" i="55"/>
  <c r="C476" i="55"/>
  <c r="T476" i="55" s="1"/>
  <c r="AB561" i="1"/>
  <c r="AD561" i="1" s="1"/>
  <c r="C476" i="76" s="1"/>
  <c r="L339" i="55"/>
  <c r="F339" i="55"/>
  <c r="H339" i="55"/>
  <c r="J339" i="55"/>
  <c r="H373" i="55"/>
  <c r="K1056" i="11"/>
  <c r="L1057" i="11"/>
  <c r="J373" i="55"/>
  <c r="R1989" i="1"/>
  <c r="R1999" i="1" s="1"/>
  <c r="L323" i="55"/>
  <c r="AS206" i="1"/>
  <c r="AU205" i="1"/>
  <c r="AV205" i="1" s="1"/>
  <c r="AR205" i="1"/>
  <c r="J323" i="55"/>
  <c r="H323" i="55"/>
  <c r="F323" i="55"/>
  <c r="L373" i="55"/>
  <c r="F373" i="55"/>
  <c r="J547" i="1"/>
  <c r="W547" i="1" s="1"/>
  <c r="AC547" i="1" s="1"/>
  <c r="AJ547" i="1" s="1"/>
  <c r="W546" i="1"/>
  <c r="AC546" i="1" s="1"/>
  <c r="AJ546" i="1" s="1"/>
  <c r="R3119" i="27"/>
  <c r="S3119" i="27"/>
  <c r="D301" i="25"/>
  <c r="F301" i="25" s="1"/>
  <c r="F309" i="25" s="1"/>
  <c r="F310" i="25" s="1"/>
  <c r="D158" i="25"/>
  <c r="F158" i="25" s="1"/>
  <c r="F166" i="25" s="1"/>
  <c r="F167" i="25" s="1"/>
  <c r="F135" i="25"/>
  <c r="F144" i="25" s="1"/>
  <c r="F145" i="25" s="1"/>
  <c r="X545" i="1"/>
  <c r="V546" i="1" s="1"/>
  <c r="Y367" i="1"/>
  <c r="Z367" i="1" s="1"/>
  <c r="Y368" i="1"/>
  <c r="Y369" i="1"/>
  <c r="X372" i="1"/>
  <c r="L187" i="55"/>
  <c r="H187" i="55"/>
  <c r="J187" i="55"/>
  <c r="J91" i="55"/>
  <c r="L91" i="55"/>
  <c r="H91" i="55"/>
  <c r="L247" i="55"/>
  <c r="H247" i="55"/>
  <c r="J247" i="55"/>
  <c r="C138" i="55"/>
  <c r="T138" i="55" s="1"/>
  <c r="AG412" i="1"/>
  <c r="C139" i="76" s="1"/>
  <c r="J570" i="55"/>
  <c r="H570" i="55"/>
  <c r="L570" i="55"/>
  <c r="F570" i="55"/>
  <c r="C502" i="55"/>
  <c r="T502" i="55" s="1"/>
  <c r="X744" i="1"/>
  <c r="C502" i="76" s="1"/>
  <c r="F822" i="55"/>
  <c r="H822" i="55"/>
  <c r="L822" i="55"/>
  <c r="J822" i="55"/>
  <c r="L169" i="55"/>
  <c r="J169" i="55"/>
  <c r="H169" i="55"/>
  <c r="K371" i="1"/>
  <c r="C562" i="76" s="1"/>
  <c r="C561" i="55"/>
  <c r="T561" i="55" s="1"/>
  <c r="J370" i="1"/>
  <c r="K372" i="1"/>
  <c r="E9" i="32"/>
  <c r="I2341" i="1"/>
  <c r="K2341" i="1" s="1"/>
  <c r="K2343" i="1" s="1"/>
  <c r="E9" i="50"/>
  <c r="F9" i="50" s="1"/>
  <c r="F13" i="50" s="1"/>
  <c r="F14" i="50" s="1"/>
  <c r="C877" i="1"/>
  <c r="AB464" i="1"/>
  <c r="AD464" i="1" s="1"/>
  <c r="AD468" i="1" s="1"/>
  <c r="AD470" i="1" s="1"/>
  <c r="AB476" i="1" s="1"/>
  <c r="AD476" i="1" s="1"/>
  <c r="AD482" i="1" s="1"/>
  <c r="AD484" i="1" s="1"/>
  <c r="AB486" i="1" s="1"/>
  <c r="AD486" i="1" s="1"/>
  <c r="C482" i="76" s="1"/>
  <c r="L470" i="55"/>
  <c r="H470" i="55"/>
  <c r="F470" i="55"/>
  <c r="J470" i="55"/>
  <c r="C818" i="55"/>
  <c r="T818" i="55" s="1"/>
  <c r="AD1199" i="1"/>
  <c r="C814" i="76" s="1"/>
  <c r="AB1242" i="1"/>
  <c r="X1238" i="1"/>
  <c r="X1250" i="1" s="1"/>
  <c r="X1252" i="1" s="1"/>
  <c r="AG380" i="1"/>
  <c r="AG381" i="1"/>
  <c r="C92" i="55"/>
  <c r="T92" i="55" s="1"/>
  <c r="AG349" i="1"/>
  <c r="C93" i="76" s="1"/>
  <c r="H119" i="55"/>
  <c r="J119" i="55"/>
  <c r="L119" i="55"/>
  <c r="AB562" i="1"/>
  <c r="AD562" i="1" s="1"/>
  <c r="C477" i="76" s="1"/>
  <c r="H234" i="55"/>
  <c r="L234" i="55"/>
  <c r="J234" i="55"/>
  <c r="G50" i="50"/>
  <c r="G52" i="50" s="1"/>
  <c r="G53" i="50" s="1"/>
  <c r="G54" i="50" s="1"/>
  <c r="E73" i="50" s="1"/>
  <c r="F73" i="50" s="1"/>
  <c r="F77" i="50" s="1"/>
  <c r="F78" i="50" s="1"/>
  <c r="F81" i="50" s="1"/>
  <c r="F52" i="50"/>
  <c r="F53" i="50" s="1"/>
  <c r="F54" i="50" s="1"/>
  <c r="F56" i="50" s="1"/>
  <c r="F58" i="50" s="1"/>
  <c r="F60" i="50" s="1"/>
  <c r="J574" i="55"/>
  <c r="L574" i="55"/>
  <c r="H574" i="55"/>
  <c r="F574" i="55"/>
  <c r="AI552" i="1"/>
  <c r="AK528" i="1"/>
  <c r="AK533" i="1" s="1"/>
  <c r="AK535" i="1" s="1"/>
  <c r="AI537" i="1" s="1"/>
  <c r="AK537" i="1" s="1"/>
  <c r="C456" i="76" s="1"/>
  <c r="H49" i="32"/>
  <c r="F50" i="32"/>
  <c r="L220" i="55"/>
  <c r="J220" i="55"/>
  <c r="H220" i="55"/>
  <c r="C680" i="55"/>
  <c r="T680" i="55" s="1"/>
  <c r="C389" i="55"/>
  <c r="T389" i="55" s="1"/>
  <c r="C736" i="55"/>
  <c r="S1230" i="1"/>
  <c r="C1019" i="55"/>
  <c r="P1019" i="55" s="1"/>
  <c r="J560" i="55"/>
  <c r="H560" i="55"/>
  <c r="L560" i="55"/>
  <c r="F560" i="55"/>
  <c r="I2789" i="1"/>
  <c r="K2789" i="1" s="1"/>
  <c r="K2796" i="1" s="1"/>
  <c r="K2798" i="1" s="1"/>
  <c r="C510" i="55"/>
  <c r="X690" i="1"/>
  <c r="C510" i="76" s="1"/>
  <c r="C471" i="55"/>
  <c r="T471" i="55" s="1"/>
  <c r="AB539" i="1"/>
  <c r="AD539" i="1" s="1"/>
  <c r="C471" i="76" s="1"/>
  <c r="L817" i="55"/>
  <c r="F817" i="55"/>
  <c r="J817" i="55"/>
  <c r="H817" i="55"/>
  <c r="C1020" i="55"/>
  <c r="P1020" i="55" s="1"/>
  <c r="C735" i="55"/>
  <c r="H335" i="55"/>
  <c r="L335" i="55"/>
  <c r="J335" i="55"/>
  <c r="F335" i="55"/>
  <c r="C642" i="55"/>
  <c r="T642" i="55" s="1"/>
  <c r="I632" i="1"/>
  <c r="K632" i="1" s="1"/>
  <c r="C120" i="55"/>
  <c r="T120" i="55" s="1"/>
  <c r="L349" i="1"/>
  <c r="K350" i="1"/>
  <c r="C121" i="76" s="1"/>
  <c r="F476" i="55"/>
  <c r="C235" i="55"/>
  <c r="T235" i="55" s="1"/>
  <c r="I539" i="1"/>
  <c r="K539" i="1" s="1"/>
  <c r="C236" i="76" s="1"/>
  <c r="F115" i="50"/>
  <c r="F116" i="50" s="1"/>
  <c r="F117" i="50" s="1"/>
  <c r="G113" i="50"/>
  <c r="G115" i="50" s="1"/>
  <c r="G116" i="50" s="1"/>
  <c r="G117" i="50" s="1"/>
  <c r="E133" i="50" s="1"/>
  <c r="F133" i="50" s="1"/>
  <c r="F137" i="50" s="1"/>
  <c r="F138" i="50" s="1"/>
  <c r="F141" i="50" s="1"/>
  <c r="J182" i="55"/>
  <c r="H182" i="55"/>
  <c r="L182" i="55"/>
  <c r="L131" i="55"/>
  <c r="J131" i="55"/>
  <c r="H131" i="55"/>
  <c r="C170" i="55"/>
  <c r="T170" i="55" s="1"/>
  <c r="K405" i="1"/>
  <c r="C171" i="76" s="1"/>
  <c r="C208" i="55"/>
  <c r="T208" i="55" s="1"/>
  <c r="K438" i="1"/>
  <c r="C86" i="55"/>
  <c r="T86" i="55" s="1"/>
  <c r="X349" i="1"/>
  <c r="C87" i="76" s="1"/>
  <c r="X716" i="1"/>
  <c r="X717" i="1" s="1"/>
  <c r="X718" i="1" s="1"/>
  <c r="C495" i="76" s="1"/>
  <c r="Z714" i="1"/>
  <c r="Z716" i="1" s="1"/>
  <c r="Z717" i="1" s="1"/>
  <c r="Z718" i="1" s="1"/>
  <c r="P2106" i="1" s="1"/>
  <c r="R2106" i="1" s="1"/>
  <c r="R2109" i="1" s="1"/>
  <c r="L734" i="55"/>
  <c r="F734" i="55"/>
  <c r="H734" i="55"/>
  <c r="J734" i="55"/>
  <c r="AG450" i="1"/>
  <c r="C189" i="76" s="1"/>
  <c r="C188" i="55"/>
  <c r="T188" i="55" s="1"/>
  <c r="L641" i="55"/>
  <c r="H641" i="55"/>
  <c r="J641" i="55"/>
  <c r="F641" i="55"/>
  <c r="C248" i="55"/>
  <c r="T248" i="55" s="1"/>
  <c r="I562" i="1"/>
  <c r="K562" i="1" s="1"/>
  <c r="C249" i="76" s="1"/>
  <c r="J137" i="55"/>
  <c r="L137" i="55"/>
  <c r="H137" i="55"/>
  <c r="K326" i="1"/>
  <c r="K327" i="1" s="1"/>
  <c r="M325" i="1"/>
  <c r="AH325" i="1"/>
  <c r="AH324" i="1"/>
  <c r="AG325" i="1"/>
  <c r="AG326" i="1" s="1"/>
  <c r="AG327" i="1" s="1"/>
  <c r="X437" i="1"/>
  <c r="C184" i="76" s="1"/>
  <c r="C183" i="55"/>
  <c r="T183" i="55" s="1"/>
  <c r="C132" i="55"/>
  <c r="T132" i="55" s="1"/>
  <c r="X404" i="1"/>
  <c r="C133" i="76" s="1"/>
  <c r="C221" i="55"/>
  <c r="T221" i="55" s="1"/>
  <c r="L471" i="1"/>
  <c r="K472" i="1"/>
  <c r="AK1199" i="1"/>
  <c r="C819" i="76" s="1"/>
  <c r="C823" i="55"/>
  <c r="J207" i="55"/>
  <c r="L207" i="55"/>
  <c r="H207" i="55"/>
  <c r="H85" i="55"/>
  <c r="L85" i="55"/>
  <c r="J85" i="55"/>
  <c r="F521" i="55"/>
  <c r="J521" i="55"/>
  <c r="L521" i="55"/>
  <c r="H521" i="55"/>
  <c r="I662" i="1"/>
  <c r="K662" i="1" s="1"/>
  <c r="C267" i="76" s="1"/>
  <c r="C266" i="55"/>
  <c r="T266" i="55" s="1"/>
  <c r="C522" i="55"/>
  <c r="T522" i="55" s="1"/>
  <c r="R1161" i="1"/>
  <c r="C522" i="76" s="1"/>
  <c r="J265" i="55"/>
  <c r="H265" i="55"/>
  <c r="L265" i="55"/>
  <c r="C919" i="55"/>
  <c r="T919" i="55" s="1"/>
  <c r="L3950" i="1"/>
  <c r="C67" i="55"/>
  <c r="T67" i="55" s="1"/>
  <c r="K290" i="1"/>
  <c r="C68" i="76" s="1"/>
  <c r="K826" i="1"/>
  <c r="C74" i="76" s="1"/>
  <c r="C73" i="55"/>
  <c r="T73" i="55" s="1"/>
  <c r="K3954" i="1"/>
  <c r="K3966" i="1" s="1"/>
  <c r="I3971" i="1"/>
  <c r="K3971" i="1" s="1"/>
  <c r="K3983" i="1" s="1"/>
  <c r="L66" i="55"/>
  <c r="J66" i="55"/>
  <c r="H66" i="55"/>
  <c r="H72" i="55"/>
  <c r="J72" i="55"/>
  <c r="L72" i="55"/>
  <c r="AU119" i="1"/>
  <c r="AV119" i="1" s="1"/>
  <c r="AS120" i="1"/>
  <c r="AT119" i="1"/>
  <c r="L3619" i="27"/>
  <c r="I3636" i="27"/>
  <c r="K3636" i="27" s="1"/>
  <c r="K804" i="11"/>
  <c r="K806" i="11" s="1"/>
  <c r="I3635" i="27"/>
  <c r="K3635" i="27" s="1"/>
  <c r="AU171" i="1"/>
  <c r="AV171" i="1" s="1"/>
  <c r="AS173" i="1"/>
  <c r="I3669" i="27"/>
  <c r="K3669" i="27" s="1"/>
  <c r="K3662" i="27"/>
  <c r="F539" i="55"/>
  <c r="L539" i="55"/>
  <c r="J539" i="55"/>
  <c r="H539" i="55"/>
  <c r="C1086" i="55"/>
  <c r="C904" i="55"/>
  <c r="T904" i="55" s="1"/>
  <c r="K1058" i="11"/>
  <c r="J903" i="55"/>
  <c r="H903" i="55"/>
  <c r="F903" i="55"/>
  <c r="L903" i="55"/>
  <c r="AU103" i="1"/>
  <c r="AV103" i="1" s="1"/>
  <c r="C540" i="55"/>
  <c r="T540" i="55" s="1"/>
  <c r="H1085" i="55"/>
  <c r="L1085" i="55"/>
  <c r="F1085" i="55"/>
  <c r="T1085" i="55"/>
  <c r="J1085" i="55"/>
  <c r="AQ147" i="1"/>
  <c r="AU142" i="1"/>
  <c r="AV142" i="1" s="1"/>
  <c r="L68" i="76" l="1"/>
  <c r="P68" i="76"/>
  <c r="J68" i="76"/>
  <c r="N68" i="76"/>
  <c r="H68" i="76"/>
  <c r="V68" i="76"/>
  <c r="R68" i="76"/>
  <c r="F68" i="76"/>
  <c r="T68" i="76"/>
  <c r="P87" i="76"/>
  <c r="N87" i="76"/>
  <c r="J87" i="76"/>
  <c r="L87" i="76"/>
  <c r="H87" i="76"/>
  <c r="V87" i="76"/>
  <c r="R87" i="76"/>
  <c r="F87" i="76"/>
  <c r="T87" i="76"/>
  <c r="L171" i="76"/>
  <c r="P171" i="76"/>
  <c r="N171" i="76"/>
  <c r="J171" i="76"/>
  <c r="H171" i="76"/>
  <c r="V171" i="76"/>
  <c r="F171" i="76"/>
  <c r="R171" i="76"/>
  <c r="T171" i="76"/>
  <c r="C643" i="55"/>
  <c r="T643" i="55" s="1"/>
  <c r="C642" i="76"/>
  <c r="C1050" i="55"/>
  <c r="C1044" i="76"/>
  <c r="C328" i="55"/>
  <c r="T328" i="55" s="1"/>
  <c r="C328" i="76"/>
  <c r="C704" i="55"/>
  <c r="C700" i="76"/>
  <c r="P372" i="76"/>
  <c r="L372" i="76"/>
  <c r="F372" i="76"/>
  <c r="N372" i="76"/>
  <c r="J372" i="76"/>
  <c r="H372" i="76"/>
  <c r="V372" i="76"/>
  <c r="R372" i="76"/>
  <c r="T372" i="76"/>
  <c r="L848" i="76"/>
  <c r="N848" i="76"/>
  <c r="J848" i="76"/>
  <c r="H848" i="76"/>
  <c r="F848" i="76"/>
  <c r="V848" i="76"/>
  <c r="C920" i="55"/>
  <c r="T920" i="55" s="1"/>
  <c r="C916" i="76"/>
  <c r="P471" i="76"/>
  <c r="H471" i="76"/>
  <c r="L471" i="76"/>
  <c r="N471" i="76"/>
  <c r="J471" i="76"/>
  <c r="F471" i="76"/>
  <c r="V471" i="76"/>
  <c r="R471" i="76"/>
  <c r="T471" i="76"/>
  <c r="C921" i="55"/>
  <c r="T921" i="55" s="1"/>
  <c r="C917" i="76"/>
  <c r="L184" i="76"/>
  <c r="P184" i="76"/>
  <c r="H184" i="76"/>
  <c r="J184" i="76"/>
  <c r="N184" i="76"/>
  <c r="V184" i="76"/>
  <c r="R184" i="76"/>
  <c r="T184" i="76"/>
  <c r="F184" i="76"/>
  <c r="P189" i="76"/>
  <c r="L189" i="76"/>
  <c r="J189" i="76"/>
  <c r="H189" i="76"/>
  <c r="N189" i="76"/>
  <c r="V189" i="76"/>
  <c r="F189" i="76"/>
  <c r="R189" i="76"/>
  <c r="T189" i="76"/>
  <c r="L121" i="76"/>
  <c r="J121" i="76"/>
  <c r="P121" i="76"/>
  <c r="N121" i="76"/>
  <c r="H121" i="76"/>
  <c r="V121" i="76"/>
  <c r="T121" i="76"/>
  <c r="R121" i="76"/>
  <c r="F121" i="76"/>
  <c r="C325" i="55"/>
  <c r="T325" i="55" s="1"/>
  <c r="C325" i="76"/>
  <c r="P814" i="76"/>
  <c r="L814" i="76"/>
  <c r="N814" i="76"/>
  <c r="J814" i="76"/>
  <c r="H814" i="76"/>
  <c r="T814" i="76"/>
  <c r="V814" i="76"/>
  <c r="F814" i="76"/>
  <c r="R814" i="76"/>
  <c r="P139" i="76"/>
  <c r="L139" i="76"/>
  <c r="H139" i="76"/>
  <c r="N139" i="76"/>
  <c r="J139" i="76"/>
  <c r="V139" i="76"/>
  <c r="T139" i="76"/>
  <c r="R139" i="76"/>
  <c r="F139" i="76"/>
  <c r="C866" i="55"/>
  <c r="C861" i="76"/>
  <c r="N734" i="55"/>
  <c r="P734" i="55"/>
  <c r="L388" i="76"/>
  <c r="P388" i="76"/>
  <c r="N388" i="76"/>
  <c r="J388" i="76"/>
  <c r="F388" i="76"/>
  <c r="V388" i="76"/>
  <c r="H388" i="76"/>
  <c r="R388" i="76"/>
  <c r="T388" i="76"/>
  <c r="P339" i="76"/>
  <c r="H339" i="76"/>
  <c r="L339" i="76"/>
  <c r="N339" i="76"/>
  <c r="J339" i="76"/>
  <c r="V339" i="76"/>
  <c r="F339" i="76"/>
  <c r="T339" i="76"/>
  <c r="R339" i="76"/>
  <c r="P267" i="76"/>
  <c r="H267" i="76"/>
  <c r="L267" i="76"/>
  <c r="J267" i="76"/>
  <c r="N267" i="76"/>
  <c r="V267" i="76"/>
  <c r="T267" i="76"/>
  <c r="F267" i="76"/>
  <c r="R267" i="76"/>
  <c r="L133" i="76"/>
  <c r="P133" i="76"/>
  <c r="J133" i="76"/>
  <c r="N133" i="76"/>
  <c r="H133" i="76"/>
  <c r="F133" i="76"/>
  <c r="V133" i="76"/>
  <c r="T133" i="76"/>
  <c r="R133" i="76"/>
  <c r="P249" i="76"/>
  <c r="L249" i="76"/>
  <c r="H249" i="76"/>
  <c r="N249" i="76"/>
  <c r="J249" i="76"/>
  <c r="V249" i="76"/>
  <c r="T249" i="76"/>
  <c r="R249" i="76"/>
  <c r="F249" i="76"/>
  <c r="P236" i="76"/>
  <c r="L236" i="76"/>
  <c r="N236" i="76"/>
  <c r="J236" i="76"/>
  <c r="H236" i="76"/>
  <c r="F236" i="76"/>
  <c r="V236" i="76"/>
  <c r="T236" i="76"/>
  <c r="R236" i="76"/>
  <c r="C324" i="55"/>
  <c r="T324" i="55" s="1"/>
  <c r="C324" i="76"/>
  <c r="L476" i="76"/>
  <c r="P476" i="76"/>
  <c r="F476" i="76"/>
  <c r="N476" i="76"/>
  <c r="J476" i="76"/>
  <c r="V476" i="76"/>
  <c r="H476" i="76"/>
  <c r="T476" i="76"/>
  <c r="R476" i="76"/>
  <c r="P676" i="76"/>
  <c r="L676" i="76"/>
  <c r="N676" i="76"/>
  <c r="J676" i="76"/>
  <c r="F676" i="76"/>
  <c r="V676" i="76"/>
  <c r="H676" i="76"/>
  <c r="T676" i="76"/>
  <c r="R676" i="76"/>
  <c r="L574" i="76"/>
  <c r="P574" i="76"/>
  <c r="F574" i="76"/>
  <c r="N574" i="76"/>
  <c r="J574" i="76"/>
  <c r="V574" i="76"/>
  <c r="H574" i="76"/>
  <c r="R574" i="76"/>
  <c r="T574" i="76"/>
  <c r="L731" i="76"/>
  <c r="P731" i="76"/>
  <c r="N731" i="76"/>
  <c r="R731" i="76"/>
  <c r="J731" i="76"/>
  <c r="H731" i="76"/>
  <c r="V731" i="76"/>
  <c r="F731" i="76"/>
  <c r="T731" i="76"/>
  <c r="R1014" i="76"/>
  <c r="P1014" i="76"/>
  <c r="V1014" i="76"/>
  <c r="J1014" i="76"/>
  <c r="H1014" i="76"/>
  <c r="F1014" i="76"/>
  <c r="T1014" i="76"/>
  <c r="N1014" i="76"/>
  <c r="P819" i="76"/>
  <c r="H819" i="76"/>
  <c r="L819" i="76"/>
  <c r="J819" i="76"/>
  <c r="V819" i="76"/>
  <c r="T819" i="76"/>
  <c r="N819" i="76"/>
  <c r="F819" i="76"/>
  <c r="R819" i="76"/>
  <c r="C209" i="55"/>
  <c r="T209" i="55" s="1"/>
  <c r="C209" i="76"/>
  <c r="L510" i="76"/>
  <c r="P510" i="76"/>
  <c r="N510" i="76"/>
  <c r="J510" i="76"/>
  <c r="F510" i="76"/>
  <c r="H510" i="76"/>
  <c r="V510" i="76"/>
  <c r="R510" i="76"/>
  <c r="T510" i="76"/>
  <c r="P477" i="76"/>
  <c r="H477" i="76"/>
  <c r="L477" i="76"/>
  <c r="F477" i="76"/>
  <c r="N477" i="76"/>
  <c r="J477" i="76"/>
  <c r="V477" i="76"/>
  <c r="R477" i="76"/>
  <c r="T477" i="76"/>
  <c r="C850" i="55"/>
  <c r="T850" i="55" s="1"/>
  <c r="C845" i="76"/>
  <c r="L74" i="76"/>
  <c r="P74" i="76"/>
  <c r="N74" i="76"/>
  <c r="H74" i="76"/>
  <c r="J74" i="76"/>
  <c r="V74" i="76"/>
  <c r="F74" i="76"/>
  <c r="R74" i="76"/>
  <c r="T74" i="76"/>
  <c r="L522" i="76"/>
  <c r="P522" i="76"/>
  <c r="J522" i="76"/>
  <c r="F522" i="76"/>
  <c r="N522" i="76"/>
  <c r="H522" i="76"/>
  <c r="V522" i="76"/>
  <c r="R522" i="76"/>
  <c r="T522" i="76"/>
  <c r="L495" i="76"/>
  <c r="N495" i="76"/>
  <c r="J495" i="76"/>
  <c r="F495" i="76"/>
  <c r="H495" i="76"/>
  <c r="V495" i="76"/>
  <c r="P456" i="76"/>
  <c r="L456" i="76"/>
  <c r="F456" i="76"/>
  <c r="N456" i="76"/>
  <c r="J456" i="76"/>
  <c r="V456" i="76"/>
  <c r="H456" i="76"/>
  <c r="T456" i="76"/>
  <c r="R456" i="76"/>
  <c r="C477" i="55"/>
  <c r="T477" i="55" s="1"/>
  <c r="L93" i="76"/>
  <c r="P93" i="76"/>
  <c r="J93" i="76"/>
  <c r="N93" i="76"/>
  <c r="H93" i="76"/>
  <c r="V93" i="76"/>
  <c r="F93" i="76"/>
  <c r="R93" i="76"/>
  <c r="T93" i="76"/>
  <c r="P482" i="76"/>
  <c r="L482" i="76"/>
  <c r="F482" i="76"/>
  <c r="N482" i="76"/>
  <c r="J482" i="76"/>
  <c r="H482" i="76"/>
  <c r="V482" i="76"/>
  <c r="T482" i="76"/>
  <c r="R482" i="76"/>
  <c r="L562" i="76"/>
  <c r="P562" i="76"/>
  <c r="F562" i="76"/>
  <c r="N562" i="76"/>
  <c r="J562" i="76"/>
  <c r="H562" i="76"/>
  <c r="V562" i="76"/>
  <c r="T562" i="76"/>
  <c r="R562" i="76"/>
  <c r="L502" i="76"/>
  <c r="P502" i="76"/>
  <c r="J502" i="76"/>
  <c r="F502" i="76"/>
  <c r="N502" i="76"/>
  <c r="H502" i="76"/>
  <c r="V502" i="76"/>
  <c r="R502" i="76"/>
  <c r="T502" i="76"/>
  <c r="P475" i="76"/>
  <c r="H475" i="76"/>
  <c r="L475" i="76"/>
  <c r="F475" i="76"/>
  <c r="N475" i="76"/>
  <c r="J475" i="76"/>
  <c r="V475" i="76"/>
  <c r="T475" i="76"/>
  <c r="R475" i="76"/>
  <c r="P729" i="76"/>
  <c r="L729" i="76"/>
  <c r="J729" i="76"/>
  <c r="N729" i="76"/>
  <c r="H729" i="76"/>
  <c r="R729" i="76"/>
  <c r="V729" i="76"/>
  <c r="F729" i="76"/>
  <c r="T729" i="76"/>
  <c r="P1013" i="76"/>
  <c r="R1013" i="76"/>
  <c r="H1013" i="76"/>
  <c r="F1013" i="76"/>
  <c r="N1013" i="76"/>
  <c r="J1013" i="76"/>
  <c r="V1013" i="76"/>
  <c r="T1013" i="76"/>
  <c r="L730" i="76"/>
  <c r="P730" i="76"/>
  <c r="N730" i="76"/>
  <c r="J730" i="76"/>
  <c r="H730" i="76"/>
  <c r="T730" i="76"/>
  <c r="V730" i="76"/>
  <c r="F730" i="76"/>
  <c r="R730" i="76"/>
  <c r="C541" i="55"/>
  <c r="C540" i="76"/>
  <c r="P539" i="76"/>
  <c r="L539" i="76"/>
  <c r="N539" i="76"/>
  <c r="V539" i="76"/>
  <c r="R539" i="76"/>
  <c r="H539" i="76"/>
  <c r="F539" i="76"/>
  <c r="J539" i="76"/>
  <c r="T539" i="76"/>
  <c r="D179" i="78"/>
  <c r="F179" i="78" s="1"/>
  <c r="T735" i="55"/>
  <c r="D181" i="78"/>
  <c r="F181" i="78" s="1"/>
  <c r="T823" i="55"/>
  <c r="D87" i="78"/>
  <c r="F87" i="78" s="1"/>
  <c r="T510" i="55"/>
  <c r="D180" i="78"/>
  <c r="F180" i="78" s="1"/>
  <c r="T736" i="55"/>
  <c r="D131" i="78"/>
  <c r="F131" i="78" s="1"/>
  <c r="T866" i="55"/>
  <c r="P67" i="55"/>
  <c r="R67" i="55"/>
  <c r="P919" i="55"/>
  <c r="R919" i="55"/>
  <c r="P266" i="55"/>
  <c r="R266" i="55"/>
  <c r="P823" i="55"/>
  <c r="R823" i="55"/>
  <c r="P221" i="55"/>
  <c r="R221" i="55"/>
  <c r="P132" i="55"/>
  <c r="R132" i="55"/>
  <c r="P248" i="55"/>
  <c r="R248" i="55"/>
  <c r="P86" i="55"/>
  <c r="R86" i="55"/>
  <c r="P208" i="55"/>
  <c r="R208" i="55"/>
  <c r="P170" i="55"/>
  <c r="R170" i="55"/>
  <c r="P235" i="55"/>
  <c r="R235" i="55"/>
  <c r="P120" i="55"/>
  <c r="R120" i="55"/>
  <c r="P642" i="55"/>
  <c r="R642" i="55"/>
  <c r="P471" i="55"/>
  <c r="R471" i="55"/>
  <c r="P510" i="55"/>
  <c r="R510" i="55"/>
  <c r="P736" i="55"/>
  <c r="R736" i="55"/>
  <c r="P680" i="55"/>
  <c r="R680" i="55"/>
  <c r="P477" i="55"/>
  <c r="R477" i="55"/>
  <c r="P325" i="55"/>
  <c r="R325" i="55"/>
  <c r="P866" i="55"/>
  <c r="R866" i="55"/>
  <c r="R476" i="55"/>
  <c r="P904" i="55"/>
  <c r="R904" i="55"/>
  <c r="P921" i="55"/>
  <c r="R921" i="55"/>
  <c r="P540" i="55"/>
  <c r="R540" i="55"/>
  <c r="P920" i="55"/>
  <c r="R920" i="55"/>
  <c r="P73" i="55"/>
  <c r="R73" i="55"/>
  <c r="P522" i="55"/>
  <c r="R522" i="55"/>
  <c r="P183" i="55"/>
  <c r="R183" i="55"/>
  <c r="P188" i="55"/>
  <c r="R188" i="55"/>
  <c r="P209" i="55"/>
  <c r="R209" i="55"/>
  <c r="P643" i="55"/>
  <c r="R643" i="55"/>
  <c r="P735" i="55"/>
  <c r="R735" i="55"/>
  <c r="P389" i="55"/>
  <c r="R389" i="55"/>
  <c r="P92" i="55"/>
  <c r="R92" i="55"/>
  <c r="P818" i="55"/>
  <c r="R818" i="55"/>
  <c r="P850" i="55"/>
  <c r="R850" i="55"/>
  <c r="P328" i="55"/>
  <c r="R328" i="55"/>
  <c r="P561" i="55"/>
  <c r="R561" i="55"/>
  <c r="P502" i="55"/>
  <c r="R502" i="55"/>
  <c r="P138" i="55"/>
  <c r="R138" i="55"/>
  <c r="P324" i="55"/>
  <c r="R324" i="55"/>
  <c r="P476" i="55"/>
  <c r="C771" i="55"/>
  <c r="T771" i="55" s="1"/>
  <c r="C766" i="76"/>
  <c r="P766" i="76" s="1"/>
  <c r="C770" i="55"/>
  <c r="T770" i="55" s="1"/>
  <c r="C765" i="76"/>
  <c r="P765" i="76" s="1"/>
  <c r="L900" i="76"/>
  <c r="N900" i="76"/>
  <c r="H900" i="76"/>
  <c r="T900" i="76"/>
  <c r="J900" i="76"/>
  <c r="V900" i="76"/>
  <c r="F900" i="76"/>
  <c r="R900" i="76"/>
  <c r="C892" i="55"/>
  <c r="T892" i="55" s="1"/>
  <c r="C888" i="76"/>
  <c r="P888" i="76" s="1"/>
  <c r="C891" i="55"/>
  <c r="J891" i="55" s="1"/>
  <c r="C887" i="76"/>
  <c r="P887" i="76" s="1"/>
  <c r="C772" i="55"/>
  <c r="T772" i="55" s="1"/>
  <c r="C767" i="76"/>
  <c r="P767" i="76" s="1"/>
  <c r="C1081" i="76"/>
  <c r="P1081" i="76" s="1"/>
  <c r="C903" i="76"/>
  <c r="P903" i="76" s="1"/>
  <c r="T1080" i="76"/>
  <c r="V1080" i="76"/>
  <c r="N1080" i="76"/>
  <c r="J1080" i="76"/>
  <c r="F1080" i="76"/>
  <c r="H1080" i="76"/>
  <c r="R1080" i="76"/>
  <c r="N904" i="55"/>
  <c r="N920" i="55"/>
  <c r="F73" i="55"/>
  <c r="F266" i="55"/>
  <c r="F183" i="55"/>
  <c r="F248" i="55"/>
  <c r="F188" i="55"/>
  <c r="F86" i="55"/>
  <c r="F208" i="55"/>
  <c r="F170" i="55"/>
  <c r="F235" i="55"/>
  <c r="F120" i="55"/>
  <c r="F92" i="55"/>
  <c r="F138" i="55"/>
  <c r="N866" i="55"/>
  <c r="N921" i="55"/>
  <c r="F67" i="55"/>
  <c r="N919" i="55"/>
  <c r="F221" i="55"/>
  <c r="F132" i="55"/>
  <c r="F209" i="55"/>
  <c r="N892" i="55"/>
  <c r="N1050" i="55"/>
  <c r="N324" i="55"/>
  <c r="N540" i="55"/>
  <c r="N1086" i="55"/>
  <c r="N67" i="55"/>
  <c r="N266" i="55"/>
  <c r="N183" i="55"/>
  <c r="N209" i="55"/>
  <c r="N643" i="55"/>
  <c r="N1020" i="55"/>
  <c r="N1019" i="55"/>
  <c r="N736" i="55"/>
  <c r="N680" i="55"/>
  <c r="N92" i="55"/>
  <c r="N818" i="55"/>
  <c r="N502" i="55"/>
  <c r="N770" i="55"/>
  <c r="N476" i="55"/>
  <c r="N73" i="55"/>
  <c r="N522" i="55"/>
  <c r="N823" i="55"/>
  <c r="N221" i="55"/>
  <c r="N132" i="55"/>
  <c r="N248" i="55"/>
  <c r="N188" i="55"/>
  <c r="N86" i="55"/>
  <c r="N208" i="55"/>
  <c r="N170" i="55"/>
  <c r="N235" i="55"/>
  <c r="N120" i="55"/>
  <c r="N642" i="55"/>
  <c r="N735" i="55"/>
  <c r="N471" i="55"/>
  <c r="N510" i="55"/>
  <c r="N389" i="55"/>
  <c r="N477" i="55"/>
  <c r="N325" i="55"/>
  <c r="N850" i="55"/>
  <c r="N328" i="55"/>
  <c r="N561" i="55"/>
  <c r="N138" i="55"/>
  <c r="H476" i="55"/>
  <c r="L476" i="55"/>
  <c r="J476" i="55"/>
  <c r="F324" i="55"/>
  <c r="F866" i="55"/>
  <c r="C907" i="55"/>
  <c r="T907" i="55" s="1"/>
  <c r="C1087" i="55"/>
  <c r="J866" i="55"/>
  <c r="L866" i="55"/>
  <c r="H866" i="55"/>
  <c r="AK552" i="1"/>
  <c r="AK557" i="1" s="1"/>
  <c r="AK559" i="1" s="1"/>
  <c r="C462" i="76" s="1"/>
  <c r="L324" i="55"/>
  <c r="J324" i="55"/>
  <c r="AU206" i="1"/>
  <c r="AV206" i="1" s="1"/>
  <c r="AR206" i="1"/>
  <c r="AS207" i="1"/>
  <c r="H324" i="55"/>
  <c r="X546" i="1"/>
  <c r="V547" i="1" s="1"/>
  <c r="X547" i="1" s="1"/>
  <c r="V548" i="1" s="1"/>
  <c r="X548" i="1" s="1"/>
  <c r="V549" i="1" s="1"/>
  <c r="X549" i="1" s="1"/>
  <c r="H771" i="55"/>
  <c r="J771" i="55"/>
  <c r="J772" i="55"/>
  <c r="H772" i="55"/>
  <c r="L770" i="55"/>
  <c r="H770" i="55"/>
  <c r="L806" i="11"/>
  <c r="K2289" i="1"/>
  <c r="F17" i="50"/>
  <c r="X720" i="1"/>
  <c r="C496" i="76" s="1"/>
  <c r="C496" i="55"/>
  <c r="T496" i="55" s="1"/>
  <c r="H183" i="55"/>
  <c r="J183" i="55"/>
  <c r="L183" i="55"/>
  <c r="L248" i="55"/>
  <c r="H248" i="55"/>
  <c r="J248" i="55"/>
  <c r="H208" i="55"/>
  <c r="J208" i="55"/>
  <c r="L208" i="55"/>
  <c r="J735" i="55"/>
  <c r="F735" i="55"/>
  <c r="L735" i="55"/>
  <c r="H735" i="55"/>
  <c r="C511" i="55"/>
  <c r="X691" i="1"/>
  <c r="C511" i="76" s="1"/>
  <c r="F52" i="32"/>
  <c r="F53" i="32" s="1"/>
  <c r="F54" i="32" s="1"/>
  <c r="F56" i="32" s="1"/>
  <c r="F58" i="32" s="1"/>
  <c r="F60" i="32" s="1"/>
  <c r="H50" i="32"/>
  <c r="H52" i="32" s="1"/>
  <c r="H53" i="32" s="1"/>
  <c r="H54" i="32" s="1"/>
  <c r="AG350" i="1"/>
  <c r="C94" i="76" s="1"/>
  <c r="C93" i="55"/>
  <c r="T93" i="55" s="1"/>
  <c r="C483" i="55"/>
  <c r="T483" i="55" s="1"/>
  <c r="AB487" i="1"/>
  <c r="AD487" i="1" s="1"/>
  <c r="C483" i="76" s="1"/>
  <c r="E173" i="32"/>
  <c r="E211" i="32" s="1"/>
  <c r="F9" i="32"/>
  <c r="F13" i="32" s="1"/>
  <c r="F14" i="32" s="1"/>
  <c r="F17" i="32" s="1"/>
  <c r="E73" i="32"/>
  <c r="J371" i="1"/>
  <c r="C562" i="55"/>
  <c r="T562" i="55" s="1"/>
  <c r="L138" i="55"/>
  <c r="H138" i="55"/>
  <c r="J138" i="55"/>
  <c r="L472" i="1"/>
  <c r="K473" i="1"/>
  <c r="J132" i="55"/>
  <c r="L132" i="55"/>
  <c r="H132" i="55"/>
  <c r="C249" i="55"/>
  <c r="T249" i="55" s="1"/>
  <c r="I563" i="1"/>
  <c r="K563" i="1" s="1"/>
  <c r="C250" i="76" s="1"/>
  <c r="P2446" i="1"/>
  <c r="R2446" i="1" s="1"/>
  <c r="R2448" i="1" s="1"/>
  <c r="V464" i="1"/>
  <c r="X464" i="1" s="1"/>
  <c r="X468" i="1" s="1"/>
  <c r="X470" i="1" s="1"/>
  <c r="V476" i="1" s="1"/>
  <c r="X476" i="1" s="1"/>
  <c r="X482" i="1" s="1"/>
  <c r="X484" i="1" s="1"/>
  <c r="V486" i="1" s="1"/>
  <c r="X486" i="1" s="1"/>
  <c r="C488" i="76" s="1"/>
  <c r="P2093" i="1"/>
  <c r="I877" i="1"/>
  <c r="J209" i="55"/>
  <c r="H209" i="55"/>
  <c r="L209" i="55"/>
  <c r="J892" i="55"/>
  <c r="F892" i="55"/>
  <c r="K351" i="1"/>
  <c r="C122" i="76" s="1"/>
  <c r="C121" i="55"/>
  <c r="T121" i="55" s="1"/>
  <c r="L642" i="55"/>
  <c r="F642" i="55"/>
  <c r="H642" i="55"/>
  <c r="J642" i="55"/>
  <c r="H471" i="55"/>
  <c r="J471" i="55"/>
  <c r="L471" i="55"/>
  <c r="F471" i="55"/>
  <c r="H1019" i="55"/>
  <c r="F1019" i="55"/>
  <c r="T1019" i="55"/>
  <c r="J1019" i="55"/>
  <c r="L1019" i="55"/>
  <c r="L680" i="55"/>
  <c r="J680" i="55"/>
  <c r="H680" i="55"/>
  <c r="F680" i="55"/>
  <c r="AI561" i="1"/>
  <c r="AK561" i="1" s="1"/>
  <c r="C463" i="76" s="1"/>
  <c r="C463" i="55"/>
  <c r="T463" i="55" s="1"/>
  <c r="F477" i="55"/>
  <c r="J477" i="55"/>
  <c r="H477" i="55"/>
  <c r="L477" i="55"/>
  <c r="H818" i="55"/>
  <c r="L818" i="55"/>
  <c r="J818" i="55"/>
  <c r="F818" i="55"/>
  <c r="H850" i="55"/>
  <c r="L850" i="55"/>
  <c r="F850" i="55"/>
  <c r="J850" i="55"/>
  <c r="F561" i="55"/>
  <c r="L561" i="55"/>
  <c r="J561" i="55"/>
  <c r="H561" i="55"/>
  <c r="C139" i="55"/>
  <c r="T139" i="55" s="1"/>
  <c r="AG413" i="1"/>
  <c r="C140" i="76" s="1"/>
  <c r="C824" i="55"/>
  <c r="T824" i="55" s="1"/>
  <c r="AK1200" i="1"/>
  <c r="C820" i="76" s="1"/>
  <c r="C133" i="55"/>
  <c r="T133" i="55" s="1"/>
  <c r="X405" i="1"/>
  <c r="C134" i="76" s="1"/>
  <c r="AG451" i="1"/>
  <c r="C190" i="76" s="1"/>
  <c r="C189" i="55"/>
  <c r="T189" i="55" s="1"/>
  <c r="L86" i="55"/>
  <c r="J86" i="55"/>
  <c r="H86" i="55"/>
  <c r="H170" i="55"/>
  <c r="L170" i="55"/>
  <c r="J170" i="55"/>
  <c r="L235" i="55"/>
  <c r="J235" i="55"/>
  <c r="H235" i="55"/>
  <c r="H643" i="55"/>
  <c r="F643" i="55"/>
  <c r="L643" i="55"/>
  <c r="J643" i="55"/>
  <c r="AB540" i="1"/>
  <c r="AD540" i="1" s="1"/>
  <c r="C472" i="76" s="1"/>
  <c r="C472" i="55"/>
  <c r="T472" i="55" s="1"/>
  <c r="F1050" i="55"/>
  <c r="H1050" i="55"/>
  <c r="L1050" i="55"/>
  <c r="T1050" i="55"/>
  <c r="J1050" i="55"/>
  <c r="H389" i="55"/>
  <c r="F389" i="55"/>
  <c r="J389" i="55"/>
  <c r="L389" i="55"/>
  <c r="C457" i="55"/>
  <c r="T457" i="55" s="1"/>
  <c r="AI538" i="1"/>
  <c r="AK538" i="1" s="1"/>
  <c r="C457" i="76" s="1"/>
  <c r="C478" i="55"/>
  <c r="T478" i="55" s="1"/>
  <c r="AB563" i="1"/>
  <c r="AD563" i="1" s="1"/>
  <c r="C478" i="76" s="1"/>
  <c r="F325" i="55"/>
  <c r="J325" i="55"/>
  <c r="L325" i="55"/>
  <c r="H325" i="55"/>
  <c r="C819" i="55"/>
  <c r="T819" i="55" s="1"/>
  <c r="AD1200" i="1"/>
  <c r="C815" i="76" s="1"/>
  <c r="J502" i="55"/>
  <c r="L502" i="55"/>
  <c r="H502" i="55"/>
  <c r="F502" i="55"/>
  <c r="H823" i="55"/>
  <c r="J823" i="55"/>
  <c r="L823" i="55"/>
  <c r="F823" i="55"/>
  <c r="J221" i="55"/>
  <c r="H221" i="55"/>
  <c r="L221" i="55"/>
  <c r="C184" i="55"/>
  <c r="T184" i="55" s="1"/>
  <c r="X438" i="1"/>
  <c r="J188" i="55"/>
  <c r="L188" i="55"/>
  <c r="H188" i="55"/>
  <c r="X350" i="1"/>
  <c r="C88" i="76" s="1"/>
  <c r="C87" i="55"/>
  <c r="T87" i="55" s="1"/>
  <c r="K406" i="1"/>
  <c r="C172" i="76" s="1"/>
  <c r="C171" i="55"/>
  <c r="T171" i="55" s="1"/>
  <c r="I540" i="1"/>
  <c r="K540" i="1" s="1"/>
  <c r="C237" i="76" s="1"/>
  <c r="C236" i="55"/>
  <c r="T236" i="55" s="1"/>
  <c r="L120" i="55"/>
  <c r="J120" i="55"/>
  <c r="H120" i="55"/>
  <c r="J1020" i="55"/>
  <c r="T1020" i="55"/>
  <c r="H1020" i="55"/>
  <c r="L1020" i="55"/>
  <c r="F1020" i="55"/>
  <c r="L510" i="55"/>
  <c r="J510" i="55"/>
  <c r="H510" i="55"/>
  <c r="F510" i="55"/>
  <c r="J736" i="55"/>
  <c r="H736" i="55"/>
  <c r="F736" i="55"/>
  <c r="L736" i="55"/>
  <c r="L891" i="55"/>
  <c r="F891" i="55"/>
  <c r="H92" i="55"/>
  <c r="J92" i="55"/>
  <c r="L92" i="55"/>
  <c r="AD1242" i="1"/>
  <c r="AD1255" i="1" s="1"/>
  <c r="AD1257" i="1" s="1"/>
  <c r="AB1214" i="1"/>
  <c r="AD1214" i="1" s="1"/>
  <c r="AD1227" i="1" s="1"/>
  <c r="AD1229" i="1" s="1"/>
  <c r="H328" i="55"/>
  <c r="F328" i="55"/>
  <c r="L328" i="55"/>
  <c r="J328" i="55"/>
  <c r="C503" i="55"/>
  <c r="T503" i="55" s="1"/>
  <c r="X745" i="1"/>
  <c r="C503" i="76" s="1"/>
  <c r="C74" i="55"/>
  <c r="T74" i="55" s="1"/>
  <c r="K827" i="1"/>
  <c r="C75" i="76" s="1"/>
  <c r="J67" i="55"/>
  <c r="L67" i="55"/>
  <c r="H67" i="55"/>
  <c r="J921" i="55"/>
  <c r="L921" i="55"/>
  <c r="F921" i="55"/>
  <c r="H921" i="55"/>
  <c r="H73" i="55"/>
  <c r="J73" i="55"/>
  <c r="L73" i="55"/>
  <c r="K291" i="1"/>
  <c r="C68" i="55"/>
  <c r="T68" i="55" s="1"/>
  <c r="J920" i="55"/>
  <c r="F920" i="55"/>
  <c r="L920" i="55"/>
  <c r="H920" i="55"/>
  <c r="L919" i="55"/>
  <c r="H919" i="55"/>
  <c r="J919" i="55"/>
  <c r="F919" i="55"/>
  <c r="F522" i="55"/>
  <c r="J522" i="55"/>
  <c r="H522" i="55"/>
  <c r="L522" i="55"/>
  <c r="I663" i="1"/>
  <c r="K663" i="1" s="1"/>
  <c r="C268" i="76" s="1"/>
  <c r="C267" i="55"/>
  <c r="T267" i="55" s="1"/>
  <c r="C523" i="55"/>
  <c r="T523" i="55" s="1"/>
  <c r="R1162" i="1"/>
  <c r="C523" i="76" s="1"/>
  <c r="H266" i="55"/>
  <c r="L266" i="55"/>
  <c r="J266" i="55"/>
  <c r="K3676" i="27"/>
  <c r="M3676" i="27" s="1"/>
  <c r="L1086" i="55"/>
  <c r="T1086" i="55"/>
  <c r="H1086" i="55"/>
  <c r="F1086" i="55"/>
  <c r="J1086" i="55"/>
  <c r="AU173" i="1"/>
  <c r="AV173" i="1" s="1"/>
  <c r="AU120" i="1"/>
  <c r="AV120" i="1" s="1"/>
  <c r="AS121" i="1"/>
  <c r="AT120" i="1"/>
  <c r="F540" i="55"/>
  <c r="H540" i="55"/>
  <c r="J540" i="55"/>
  <c r="L540" i="55"/>
  <c r="L904" i="55"/>
  <c r="H904" i="55"/>
  <c r="F904" i="55"/>
  <c r="J904" i="55"/>
  <c r="K3638" i="27"/>
  <c r="AQ179" i="1"/>
  <c r="AS179" i="1" s="1"/>
  <c r="AS147" i="1"/>
  <c r="J907" i="55"/>
  <c r="C69" i="55" l="1"/>
  <c r="T69" i="55" s="1"/>
  <c r="C69" i="76"/>
  <c r="C1016" i="76"/>
  <c r="C732" i="76"/>
  <c r="P815" i="76"/>
  <c r="H815" i="76"/>
  <c r="L815" i="76"/>
  <c r="J815" i="76"/>
  <c r="F815" i="76"/>
  <c r="T815" i="76"/>
  <c r="V815" i="76"/>
  <c r="N815" i="76"/>
  <c r="R815" i="76"/>
  <c r="P457" i="76"/>
  <c r="H457" i="76"/>
  <c r="L457" i="76"/>
  <c r="F457" i="76"/>
  <c r="N457" i="76"/>
  <c r="J457" i="76"/>
  <c r="V457" i="76"/>
  <c r="T457" i="76"/>
  <c r="R457" i="76"/>
  <c r="P472" i="76"/>
  <c r="L472" i="76"/>
  <c r="F472" i="76"/>
  <c r="N472" i="76"/>
  <c r="J472" i="76"/>
  <c r="H472" i="76"/>
  <c r="V472" i="76"/>
  <c r="T472" i="76"/>
  <c r="R472" i="76"/>
  <c r="P134" i="76"/>
  <c r="L134" i="76"/>
  <c r="J134" i="76"/>
  <c r="N134" i="76"/>
  <c r="H134" i="76"/>
  <c r="V134" i="76"/>
  <c r="F134" i="76"/>
  <c r="R134" i="76"/>
  <c r="T134" i="76"/>
  <c r="L140" i="76"/>
  <c r="P140" i="76"/>
  <c r="N140" i="76"/>
  <c r="H140" i="76"/>
  <c r="J140" i="76"/>
  <c r="V140" i="76"/>
  <c r="R140" i="76"/>
  <c r="F140" i="76"/>
  <c r="T140" i="76"/>
  <c r="L250" i="76"/>
  <c r="P250" i="76"/>
  <c r="N250" i="76"/>
  <c r="J250" i="76"/>
  <c r="H250" i="76"/>
  <c r="V250" i="76"/>
  <c r="R250" i="76"/>
  <c r="T250" i="76"/>
  <c r="F250" i="76"/>
  <c r="P861" i="76"/>
  <c r="H861" i="76"/>
  <c r="L861" i="76"/>
  <c r="N861" i="76"/>
  <c r="R861" i="76"/>
  <c r="J861" i="76"/>
  <c r="V861" i="76"/>
  <c r="F861" i="76"/>
  <c r="T861" i="76"/>
  <c r="L325" i="76"/>
  <c r="P325" i="76"/>
  <c r="N325" i="76"/>
  <c r="J325" i="76"/>
  <c r="H325" i="76"/>
  <c r="V325" i="76"/>
  <c r="F325" i="76"/>
  <c r="R325" i="76"/>
  <c r="T325" i="76"/>
  <c r="P916" i="76"/>
  <c r="L916" i="76"/>
  <c r="J916" i="76"/>
  <c r="H916" i="76"/>
  <c r="R916" i="76"/>
  <c r="N916" i="76"/>
  <c r="V916" i="76"/>
  <c r="F916" i="76"/>
  <c r="T916" i="76"/>
  <c r="P523" i="76"/>
  <c r="H523" i="76"/>
  <c r="L523" i="76"/>
  <c r="N523" i="76"/>
  <c r="J523" i="76"/>
  <c r="F523" i="76"/>
  <c r="V523" i="76"/>
  <c r="R523" i="76"/>
  <c r="T523" i="76"/>
  <c r="P503" i="76"/>
  <c r="H503" i="76"/>
  <c r="L503" i="76"/>
  <c r="F503" i="76"/>
  <c r="N503" i="76"/>
  <c r="J503" i="76"/>
  <c r="V503" i="76"/>
  <c r="R503" i="76"/>
  <c r="T503" i="76"/>
  <c r="P172" i="76"/>
  <c r="L172" i="76"/>
  <c r="N172" i="76"/>
  <c r="H172" i="76"/>
  <c r="J172" i="76"/>
  <c r="F172" i="76"/>
  <c r="V172" i="76"/>
  <c r="R172" i="76"/>
  <c r="T172" i="76"/>
  <c r="P511" i="76"/>
  <c r="H511" i="76"/>
  <c r="L511" i="76"/>
  <c r="F511" i="76"/>
  <c r="N511" i="76"/>
  <c r="J511" i="76"/>
  <c r="V511" i="76"/>
  <c r="T511" i="76"/>
  <c r="R511" i="76"/>
  <c r="L496" i="76"/>
  <c r="F496" i="76"/>
  <c r="N496" i="76"/>
  <c r="J496" i="76"/>
  <c r="V496" i="76"/>
  <c r="H496" i="76"/>
  <c r="L917" i="76"/>
  <c r="P917" i="76"/>
  <c r="R917" i="76"/>
  <c r="J917" i="76"/>
  <c r="N917" i="76"/>
  <c r="H917" i="76"/>
  <c r="V917" i="76"/>
  <c r="F917" i="76"/>
  <c r="T917" i="76"/>
  <c r="P700" i="76"/>
  <c r="L700" i="76"/>
  <c r="F700" i="76"/>
  <c r="N700" i="76"/>
  <c r="H700" i="76"/>
  <c r="J700" i="76"/>
  <c r="V700" i="76"/>
  <c r="R700" i="76"/>
  <c r="T700" i="76"/>
  <c r="R1044" i="76"/>
  <c r="P1044" i="76"/>
  <c r="F1044" i="76"/>
  <c r="T1044" i="76"/>
  <c r="H1044" i="76"/>
  <c r="V1044" i="76"/>
  <c r="J1044" i="76"/>
  <c r="N1044" i="76"/>
  <c r="P268" i="76"/>
  <c r="L268" i="76"/>
  <c r="N268" i="76"/>
  <c r="J268" i="76"/>
  <c r="V268" i="76"/>
  <c r="H268" i="76"/>
  <c r="T268" i="76"/>
  <c r="F268" i="76"/>
  <c r="R268" i="76"/>
  <c r="L478" i="76"/>
  <c r="P478" i="76"/>
  <c r="N478" i="76"/>
  <c r="J478" i="76"/>
  <c r="F478" i="76"/>
  <c r="V478" i="76"/>
  <c r="H478" i="76"/>
  <c r="R478" i="76"/>
  <c r="T478" i="76"/>
  <c r="L820" i="76"/>
  <c r="P820" i="76"/>
  <c r="T820" i="76"/>
  <c r="N820" i="76"/>
  <c r="J820" i="76"/>
  <c r="H820" i="76"/>
  <c r="F820" i="76"/>
  <c r="V820" i="76"/>
  <c r="R820" i="76"/>
  <c r="L122" i="76"/>
  <c r="P122" i="76"/>
  <c r="N122" i="76"/>
  <c r="H122" i="76"/>
  <c r="J122" i="76"/>
  <c r="V122" i="76"/>
  <c r="R122" i="76"/>
  <c r="F122" i="76"/>
  <c r="T122" i="76"/>
  <c r="L488" i="76"/>
  <c r="P488" i="76"/>
  <c r="J488" i="76"/>
  <c r="F488" i="76"/>
  <c r="N488" i="76"/>
  <c r="H488" i="76"/>
  <c r="V488" i="76"/>
  <c r="R488" i="76"/>
  <c r="T488" i="76"/>
  <c r="P94" i="76"/>
  <c r="L94" i="76"/>
  <c r="N94" i="76"/>
  <c r="H94" i="76"/>
  <c r="J94" i="76"/>
  <c r="F94" i="76"/>
  <c r="V94" i="76"/>
  <c r="T94" i="76"/>
  <c r="R94" i="76"/>
  <c r="L462" i="76"/>
  <c r="P462" i="76"/>
  <c r="F462" i="76"/>
  <c r="N462" i="76"/>
  <c r="J462" i="76"/>
  <c r="H462" i="76"/>
  <c r="V462" i="76"/>
  <c r="R462" i="76"/>
  <c r="T462" i="76"/>
  <c r="P324" i="76"/>
  <c r="L324" i="76"/>
  <c r="J324" i="76"/>
  <c r="N324" i="76"/>
  <c r="H324" i="76"/>
  <c r="F324" i="76"/>
  <c r="V324" i="76"/>
  <c r="T324" i="76"/>
  <c r="R324" i="76"/>
  <c r="P704" i="55"/>
  <c r="H704" i="55"/>
  <c r="R704" i="55"/>
  <c r="N704" i="55"/>
  <c r="F704" i="55"/>
  <c r="D116" i="78"/>
  <c r="F116" i="78" s="1"/>
  <c r="L704" i="55"/>
  <c r="T704" i="55"/>
  <c r="J704" i="55"/>
  <c r="L75" i="76"/>
  <c r="P75" i="76"/>
  <c r="J75" i="76"/>
  <c r="H75" i="76"/>
  <c r="N75" i="76"/>
  <c r="V75" i="76"/>
  <c r="F75" i="76"/>
  <c r="T75" i="76"/>
  <c r="R75" i="76"/>
  <c r="C888" i="55"/>
  <c r="C884" i="76"/>
  <c r="L237" i="76"/>
  <c r="P237" i="76"/>
  <c r="J237" i="76"/>
  <c r="H237" i="76"/>
  <c r="N237" i="76"/>
  <c r="V237" i="76"/>
  <c r="F237" i="76"/>
  <c r="T237" i="76"/>
  <c r="R237" i="76"/>
  <c r="L88" i="76"/>
  <c r="P88" i="76"/>
  <c r="J88" i="76"/>
  <c r="N88" i="76"/>
  <c r="H88" i="76"/>
  <c r="V88" i="76"/>
  <c r="R88" i="76"/>
  <c r="F88" i="76"/>
  <c r="T88" i="76"/>
  <c r="C185" i="55"/>
  <c r="T185" i="55" s="1"/>
  <c r="C185" i="76"/>
  <c r="L190" i="76"/>
  <c r="P190" i="76"/>
  <c r="N190" i="76"/>
  <c r="H190" i="76"/>
  <c r="J190" i="76"/>
  <c r="F190" i="76"/>
  <c r="V190" i="76"/>
  <c r="R190" i="76"/>
  <c r="T190" i="76"/>
  <c r="P463" i="76"/>
  <c r="H463" i="76"/>
  <c r="L463" i="76"/>
  <c r="N463" i="76"/>
  <c r="J463" i="76"/>
  <c r="F463" i="76"/>
  <c r="V463" i="76"/>
  <c r="R463" i="76"/>
  <c r="T463" i="76"/>
  <c r="C851" i="55"/>
  <c r="T851" i="55" s="1"/>
  <c r="C846" i="76"/>
  <c r="P483" i="76"/>
  <c r="H483" i="76"/>
  <c r="L483" i="76"/>
  <c r="J483" i="76"/>
  <c r="F483" i="76"/>
  <c r="N483" i="76"/>
  <c r="V483" i="76"/>
  <c r="R483" i="76"/>
  <c r="T483" i="76"/>
  <c r="P845" i="76"/>
  <c r="L845" i="76"/>
  <c r="J845" i="76"/>
  <c r="N845" i="76"/>
  <c r="T845" i="76"/>
  <c r="H845" i="76"/>
  <c r="V845" i="76"/>
  <c r="F845" i="76"/>
  <c r="R845" i="76"/>
  <c r="L209" i="76"/>
  <c r="P209" i="76"/>
  <c r="J209" i="76"/>
  <c r="H209" i="76"/>
  <c r="N209" i="76"/>
  <c r="V209" i="76"/>
  <c r="F209" i="76"/>
  <c r="T209" i="76"/>
  <c r="R209" i="76"/>
  <c r="L328" i="76"/>
  <c r="P328" i="76"/>
  <c r="N328" i="76"/>
  <c r="J328" i="76"/>
  <c r="H328" i="76"/>
  <c r="F328" i="76"/>
  <c r="V328" i="76"/>
  <c r="T328" i="76"/>
  <c r="R328" i="76"/>
  <c r="L642" i="76"/>
  <c r="P642" i="76"/>
  <c r="F642" i="76"/>
  <c r="N642" i="76"/>
  <c r="H642" i="76"/>
  <c r="J642" i="76"/>
  <c r="V642" i="76"/>
  <c r="T642" i="76"/>
  <c r="R642" i="76"/>
  <c r="T541" i="55"/>
  <c r="R541" i="55"/>
  <c r="F541" i="55"/>
  <c r="J541" i="55"/>
  <c r="P541" i="55"/>
  <c r="N541" i="55"/>
  <c r="H541" i="55"/>
  <c r="L541" i="55"/>
  <c r="L540" i="76"/>
  <c r="N540" i="76"/>
  <c r="V540" i="76"/>
  <c r="P540" i="76"/>
  <c r="F540" i="76"/>
  <c r="J540" i="76"/>
  <c r="H540" i="76"/>
  <c r="R540" i="76"/>
  <c r="T540" i="76"/>
  <c r="H891" i="55"/>
  <c r="H892" i="55"/>
  <c r="L892" i="55"/>
  <c r="J770" i="55"/>
  <c r="F770" i="55"/>
  <c r="F772" i="55"/>
  <c r="L772" i="55"/>
  <c r="L771" i="55"/>
  <c r="F771" i="55"/>
  <c r="N772" i="55"/>
  <c r="N771" i="55"/>
  <c r="D88" i="78"/>
  <c r="F88" i="78" s="1"/>
  <c r="T511" i="55"/>
  <c r="N891" i="55"/>
  <c r="T891" i="55"/>
  <c r="D182" i="78"/>
  <c r="F182" i="78" s="1"/>
  <c r="T888" i="55"/>
  <c r="C448" i="55"/>
  <c r="T448" i="55" s="1"/>
  <c r="C447" i="76"/>
  <c r="P68" i="55"/>
  <c r="R68" i="55"/>
  <c r="R888" i="55"/>
  <c r="P185" i="55"/>
  <c r="R185" i="55"/>
  <c r="P819" i="55"/>
  <c r="R819" i="55"/>
  <c r="P478" i="55"/>
  <c r="R478" i="55"/>
  <c r="P457" i="55"/>
  <c r="R457" i="55"/>
  <c r="P472" i="55"/>
  <c r="R472" i="55"/>
  <c r="P133" i="55"/>
  <c r="R133" i="55"/>
  <c r="P824" i="55"/>
  <c r="R824" i="55"/>
  <c r="P139" i="55"/>
  <c r="R139" i="55"/>
  <c r="P121" i="55"/>
  <c r="R121" i="55"/>
  <c r="P851" i="55"/>
  <c r="R851" i="55"/>
  <c r="P249" i="55"/>
  <c r="R249" i="55"/>
  <c r="P93" i="55"/>
  <c r="R93" i="55"/>
  <c r="R448" i="55"/>
  <c r="P772" i="55"/>
  <c r="R772" i="55"/>
  <c r="P891" i="55"/>
  <c r="R891" i="55"/>
  <c r="P892" i="55"/>
  <c r="R892" i="55"/>
  <c r="P770" i="55"/>
  <c r="R770" i="55"/>
  <c r="P771" i="55"/>
  <c r="R771" i="55"/>
  <c r="P267" i="55"/>
  <c r="R267" i="55"/>
  <c r="P523" i="55"/>
  <c r="R523" i="55"/>
  <c r="P69" i="55"/>
  <c r="R69" i="55"/>
  <c r="P74" i="55"/>
  <c r="R74" i="55"/>
  <c r="P503" i="55"/>
  <c r="R503" i="55"/>
  <c r="P236" i="55"/>
  <c r="R236" i="55"/>
  <c r="P171" i="55"/>
  <c r="R171" i="55"/>
  <c r="P87" i="55"/>
  <c r="R87" i="55"/>
  <c r="P184" i="55"/>
  <c r="R184" i="55"/>
  <c r="P189" i="55"/>
  <c r="R189" i="55"/>
  <c r="P463" i="55"/>
  <c r="R463" i="55"/>
  <c r="P562" i="55"/>
  <c r="R562" i="55"/>
  <c r="P483" i="55"/>
  <c r="R483" i="55"/>
  <c r="P511" i="55"/>
  <c r="R511" i="55"/>
  <c r="P496" i="55"/>
  <c r="R496" i="55"/>
  <c r="P907" i="55"/>
  <c r="R907" i="55"/>
  <c r="F888" i="55"/>
  <c r="P888" i="55"/>
  <c r="C890" i="55"/>
  <c r="T890" i="55" s="1"/>
  <c r="C886" i="76"/>
  <c r="P886" i="76" s="1"/>
  <c r="T1081" i="76"/>
  <c r="F1081" i="76"/>
  <c r="H1081" i="76"/>
  <c r="R1081" i="76"/>
  <c r="J1081" i="76"/>
  <c r="V1081" i="76"/>
  <c r="N1081" i="76"/>
  <c r="H767" i="76"/>
  <c r="L767" i="76"/>
  <c r="T767" i="76"/>
  <c r="N767" i="76"/>
  <c r="F767" i="76"/>
  <c r="J767" i="76"/>
  <c r="V767" i="76"/>
  <c r="R767" i="76"/>
  <c r="L887" i="76"/>
  <c r="J887" i="76"/>
  <c r="H887" i="76"/>
  <c r="V887" i="76"/>
  <c r="R887" i="76"/>
  <c r="T887" i="76"/>
  <c r="N887" i="76"/>
  <c r="F887" i="76"/>
  <c r="L888" i="76"/>
  <c r="T888" i="76"/>
  <c r="J888" i="76"/>
  <c r="V888" i="76"/>
  <c r="F888" i="76"/>
  <c r="N888" i="76"/>
  <c r="H888" i="76"/>
  <c r="R888" i="76"/>
  <c r="C580" i="76"/>
  <c r="P580" i="76" s="1"/>
  <c r="C576" i="76"/>
  <c r="P576" i="76" s="1"/>
  <c r="L903" i="76"/>
  <c r="R903" i="76"/>
  <c r="N903" i="76"/>
  <c r="F903" i="76"/>
  <c r="T903" i="76"/>
  <c r="J903" i="76"/>
  <c r="H903" i="76"/>
  <c r="V903" i="76"/>
  <c r="H765" i="76"/>
  <c r="L765" i="76"/>
  <c r="J765" i="76"/>
  <c r="V765" i="76"/>
  <c r="T765" i="76"/>
  <c r="N765" i="76"/>
  <c r="F765" i="76"/>
  <c r="R765" i="76"/>
  <c r="L766" i="76"/>
  <c r="N766" i="76"/>
  <c r="H766" i="76"/>
  <c r="F766" i="76"/>
  <c r="R766" i="76"/>
  <c r="T766" i="76"/>
  <c r="J766" i="76"/>
  <c r="V766" i="76"/>
  <c r="F267" i="55"/>
  <c r="F69" i="55"/>
  <c r="F184" i="55"/>
  <c r="F133" i="55"/>
  <c r="F139" i="55"/>
  <c r="T1087" i="55"/>
  <c r="F68" i="55"/>
  <c r="F74" i="55"/>
  <c r="N888" i="55"/>
  <c r="F236" i="55"/>
  <c r="F171" i="55"/>
  <c r="F87" i="55"/>
  <c r="F185" i="55"/>
  <c r="F189" i="55"/>
  <c r="F121" i="55"/>
  <c r="F249" i="55"/>
  <c r="F93" i="55"/>
  <c r="N907" i="55"/>
  <c r="J1087" i="55"/>
  <c r="F1087" i="55"/>
  <c r="N185" i="55"/>
  <c r="N267" i="55"/>
  <c r="N69" i="55"/>
  <c r="N74" i="55"/>
  <c r="N503" i="55"/>
  <c r="N236" i="55"/>
  <c r="N171" i="55"/>
  <c r="N87" i="55"/>
  <c r="N184" i="55"/>
  <c r="N478" i="55"/>
  <c r="N457" i="55"/>
  <c r="N472" i="55"/>
  <c r="N189" i="55"/>
  <c r="N463" i="55"/>
  <c r="N562" i="55"/>
  <c r="N483" i="55"/>
  <c r="N511" i="55"/>
  <c r="N448" i="55"/>
  <c r="N523" i="55"/>
  <c r="N68" i="55"/>
  <c r="N819" i="55"/>
  <c r="N133" i="55"/>
  <c r="N824" i="55"/>
  <c r="N139" i="55"/>
  <c r="N121" i="55"/>
  <c r="N249" i="55"/>
  <c r="N93" i="55"/>
  <c r="N890" i="55"/>
  <c r="N1087" i="55"/>
  <c r="L1087" i="55"/>
  <c r="H1087" i="55"/>
  <c r="L907" i="55"/>
  <c r="F907" i="55"/>
  <c r="H907" i="55"/>
  <c r="AU207" i="1"/>
  <c r="AV207" i="1" s="1"/>
  <c r="AR207" i="1"/>
  <c r="H448" i="55"/>
  <c r="F448" i="55"/>
  <c r="J448" i="55"/>
  <c r="L448" i="55"/>
  <c r="F890" i="55"/>
  <c r="J890" i="55"/>
  <c r="X721" i="1"/>
  <c r="C497" i="76" s="1"/>
  <c r="C497" i="55"/>
  <c r="T497" i="55" s="1"/>
  <c r="C504" i="55"/>
  <c r="T504" i="55" s="1"/>
  <c r="X746" i="1"/>
  <c r="C504" i="76" s="1"/>
  <c r="L236" i="55"/>
  <c r="H236" i="55"/>
  <c r="J236" i="55"/>
  <c r="L87" i="55"/>
  <c r="J87" i="55"/>
  <c r="H87" i="55"/>
  <c r="AD1201" i="1"/>
  <c r="AD1202" i="1" s="1"/>
  <c r="AD1203" i="1" s="1"/>
  <c r="AD1204" i="1" s="1"/>
  <c r="AD1205" i="1" s="1"/>
  <c r="AD1206" i="1" s="1"/>
  <c r="AD1207" i="1" s="1"/>
  <c r="AD1208" i="1" s="1"/>
  <c r="C820" i="55"/>
  <c r="T820" i="55" s="1"/>
  <c r="C458" i="55"/>
  <c r="T458" i="55" s="1"/>
  <c r="AI539" i="1"/>
  <c r="AK539" i="1" s="1"/>
  <c r="C458" i="76" s="1"/>
  <c r="J189" i="55"/>
  <c r="H189" i="55"/>
  <c r="L189" i="55"/>
  <c r="AK1201" i="1"/>
  <c r="AK1202" i="1" s="1"/>
  <c r="AK1203" i="1" s="1"/>
  <c r="AK1204" i="1" s="1"/>
  <c r="AK1205" i="1" s="1"/>
  <c r="AK1206" i="1" s="1"/>
  <c r="C825" i="55"/>
  <c r="T825" i="55" s="1"/>
  <c r="L463" i="55"/>
  <c r="H463" i="55"/>
  <c r="J463" i="55"/>
  <c r="F463" i="55"/>
  <c r="I859" i="1"/>
  <c r="K877" i="1"/>
  <c r="K889" i="1" s="1"/>
  <c r="V877" i="1"/>
  <c r="I893" i="1"/>
  <c r="K893" i="1" s="1"/>
  <c r="K905" i="1" s="1"/>
  <c r="I564" i="1"/>
  <c r="K564" i="1" s="1"/>
  <c r="I565" i="1" s="1"/>
  <c r="K565" i="1" s="1"/>
  <c r="I566" i="1" s="1"/>
  <c r="K566" i="1" s="1"/>
  <c r="I567" i="1" s="1"/>
  <c r="K567" i="1" s="1"/>
  <c r="I568" i="1" s="1"/>
  <c r="K568" i="1" s="1"/>
  <c r="I569" i="1" s="1"/>
  <c r="K569" i="1" s="1"/>
  <c r="I570" i="1" s="1"/>
  <c r="K570" i="1" s="1"/>
  <c r="I571" i="1" s="1"/>
  <c r="K571" i="1" s="1"/>
  <c r="C250" i="55"/>
  <c r="T250" i="55" s="1"/>
  <c r="F562" i="55"/>
  <c r="J562" i="55"/>
  <c r="H562" i="55"/>
  <c r="L562" i="55"/>
  <c r="F211" i="32"/>
  <c r="F215" i="32" s="1"/>
  <c r="F216" i="32" s="1"/>
  <c r="F219" i="32" s="1"/>
  <c r="E254" i="32"/>
  <c r="F254" i="32" s="1"/>
  <c r="F258" i="32" s="1"/>
  <c r="F259" i="32" s="1"/>
  <c r="F262" i="32" s="1"/>
  <c r="F173" i="32"/>
  <c r="F177" i="32" s="1"/>
  <c r="F178" i="32" s="1"/>
  <c r="F181" i="32" s="1"/>
  <c r="AG351" i="1"/>
  <c r="C95" i="76" s="1"/>
  <c r="C94" i="55"/>
  <c r="T94" i="55" s="1"/>
  <c r="F511" i="55"/>
  <c r="H511" i="55"/>
  <c r="L511" i="55"/>
  <c r="J511" i="55"/>
  <c r="C737" i="55"/>
  <c r="T737" i="55" s="1"/>
  <c r="C1022" i="55"/>
  <c r="P1022" i="55" s="1"/>
  <c r="C172" i="55"/>
  <c r="T172" i="55" s="1"/>
  <c r="L406" i="1"/>
  <c r="L407" i="1" s="1"/>
  <c r="J184" i="55"/>
  <c r="H184" i="55"/>
  <c r="L184" i="55"/>
  <c r="H478" i="55"/>
  <c r="F478" i="55"/>
  <c r="J478" i="55"/>
  <c r="L478" i="55"/>
  <c r="AB541" i="1"/>
  <c r="AD541" i="1" s="1"/>
  <c r="C473" i="76" s="1"/>
  <c r="C473" i="55"/>
  <c r="T473" i="55" s="1"/>
  <c r="J133" i="55"/>
  <c r="L133" i="55"/>
  <c r="H133" i="55"/>
  <c r="L139" i="55"/>
  <c r="J139" i="55"/>
  <c r="H139" i="55"/>
  <c r="L351" i="1"/>
  <c r="L352" i="1" s="1"/>
  <c r="L353" i="1" s="1"/>
  <c r="C122" i="55"/>
  <c r="T122" i="55" s="1"/>
  <c r="C576" i="55"/>
  <c r="T576" i="55" s="1"/>
  <c r="C580" i="55"/>
  <c r="T580" i="55" s="1"/>
  <c r="L93" i="55"/>
  <c r="H93" i="55"/>
  <c r="J93" i="55"/>
  <c r="C512" i="55"/>
  <c r="X692" i="1"/>
  <c r="C512" i="76" s="1"/>
  <c r="H888" i="55"/>
  <c r="L888" i="55"/>
  <c r="J888" i="55"/>
  <c r="L171" i="55"/>
  <c r="H171" i="55"/>
  <c r="J171" i="55"/>
  <c r="L185" i="55"/>
  <c r="J185" i="55"/>
  <c r="H185" i="55"/>
  <c r="C479" i="55"/>
  <c r="T479" i="55" s="1"/>
  <c r="AB564" i="1"/>
  <c r="AD564" i="1" s="1"/>
  <c r="C479" i="76" s="1"/>
  <c r="F472" i="55"/>
  <c r="H472" i="55"/>
  <c r="L472" i="55"/>
  <c r="J472" i="55"/>
  <c r="X406" i="1"/>
  <c r="C134" i="55"/>
  <c r="T134" i="55" s="1"/>
  <c r="C140" i="55"/>
  <c r="T140" i="55" s="1"/>
  <c r="AG414" i="1"/>
  <c r="C141" i="76" s="1"/>
  <c r="L121" i="55"/>
  <c r="H121" i="55"/>
  <c r="J121" i="55"/>
  <c r="V487" i="1"/>
  <c r="X487" i="1" s="1"/>
  <c r="C489" i="76" s="1"/>
  <c r="C489" i="55"/>
  <c r="T489" i="55" s="1"/>
  <c r="L473" i="1"/>
  <c r="K474" i="1"/>
  <c r="E133" i="32"/>
  <c r="F133" i="32" s="1"/>
  <c r="F137" i="32" s="1"/>
  <c r="F138" i="32" s="1"/>
  <c r="F141" i="32" s="1"/>
  <c r="F73" i="32"/>
  <c r="F77" i="32" s="1"/>
  <c r="F78" i="32" s="1"/>
  <c r="F81" i="32" s="1"/>
  <c r="H483" i="55"/>
  <c r="F483" i="55"/>
  <c r="L483" i="55"/>
  <c r="J483" i="55"/>
  <c r="J503" i="55"/>
  <c r="F503" i="55"/>
  <c r="L503" i="55"/>
  <c r="H503" i="55"/>
  <c r="C237" i="55"/>
  <c r="T237" i="55" s="1"/>
  <c r="I541" i="1"/>
  <c r="K541" i="1" s="1"/>
  <c r="C238" i="76" s="1"/>
  <c r="C88" i="55"/>
  <c r="T88" i="55" s="1"/>
  <c r="X351" i="1"/>
  <c r="L819" i="55"/>
  <c r="F819" i="55"/>
  <c r="J819" i="55"/>
  <c r="H819" i="55"/>
  <c r="L457" i="55"/>
  <c r="H457" i="55"/>
  <c r="J457" i="55"/>
  <c r="F457" i="55"/>
  <c r="C190" i="55"/>
  <c r="T190" i="55" s="1"/>
  <c r="AG452" i="1"/>
  <c r="C191" i="76" s="1"/>
  <c r="L824" i="55"/>
  <c r="F824" i="55"/>
  <c r="H824" i="55"/>
  <c r="J824" i="55"/>
  <c r="AI562" i="1"/>
  <c r="AK562" i="1" s="1"/>
  <c r="C464" i="76" s="1"/>
  <c r="C464" i="55"/>
  <c r="T464" i="55" s="1"/>
  <c r="R2093" i="1"/>
  <c r="R2096" i="1" s="1"/>
  <c r="P2099" i="1"/>
  <c r="R2099" i="1" s="1"/>
  <c r="R2102" i="1" s="1"/>
  <c r="H249" i="55"/>
  <c r="L249" i="55"/>
  <c r="J249" i="55"/>
  <c r="C484" i="55"/>
  <c r="T484" i="55" s="1"/>
  <c r="AB488" i="1"/>
  <c r="AD488" i="1" s="1"/>
  <c r="C484" i="76" s="1"/>
  <c r="J267" i="55"/>
  <c r="H267" i="55"/>
  <c r="L267" i="55"/>
  <c r="L74" i="55"/>
  <c r="J74" i="55"/>
  <c r="H74" i="55"/>
  <c r="L523" i="55"/>
  <c r="F523" i="55"/>
  <c r="H523" i="55"/>
  <c r="J523" i="55"/>
  <c r="K828" i="1"/>
  <c r="C76" i="76" s="1"/>
  <c r="C75" i="55"/>
  <c r="T75" i="55" s="1"/>
  <c r="R1163" i="1"/>
  <c r="C524" i="76" s="1"/>
  <c r="C524" i="55"/>
  <c r="T524" i="55" s="1"/>
  <c r="H69" i="55"/>
  <c r="J69" i="55"/>
  <c r="L69" i="55"/>
  <c r="C268" i="55"/>
  <c r="T268" i="55" s="1"/>
  <c r="I664" i="1"/>
  <c r="K664" i="1" s="1"/>
  <c r="I665" i="1" s="1"/>
  <c r="K665" i="1" s="1"/>
  <c r="I666" i="1" s="1"/>
  <c r="K666" i="1" s="1"/>
  <c r="I667" i="1" s="1"/>
  <c r="K667" i="1" s="1"/>
  <c r="I668" i="1" s="1"/>
  <c r="K668" i="1" s="1"/>
  <c r="I669" i="1" s="1"/>
  <c r="K669" i="1" s="1"/>
  <c r="I670" i="1" s="1"/>
  <c r="K670" i="1" s="1"/>
  <c r="L68" i="55"/>
  <c r="H68" i="55"/>
  <c r="J68" i="55"/>
  <c r="L3638" i="27"/>
  <c r="K2212" i="27"/>
  <c r="AS122" i="1"/>
  <c r="AS124" i="1" s="1"/>
  <c r="AU121" i="1"/>
  <c r="AV121" i="1" s="1"/>
  <c r="AU179" i="1"/>
  <c r="AV179" i="1" s="1"/>
  <c r="AS183" i="1"/>
  <c r="AU147" i="1"/>
  <c r="AV147" i="1" s="1"/>
  <c r="AS151" i="1"/>
  <c r="P76" i="76" l="1"/>
  <c r="L76" i="76"/>
  <c r="H76" i="76"/>
  <c r="J76" i="76"/>
  <c r="N76" i="76"/>
  <c r="V76" i="76"/>
  <c r="F76" i="76"/>
  <c r="T76" i="76"/>
  <c r="R76" i="76"/>
  <c r="P191" i="76"/>
  <c r="L191" i="76"/>
  <c r="H191" i="76"/>
  <c r="N191" i="76"/>
  <c r="J191" i="76"/>
  <c r="V191" i="76"/>
  <c r="F191" i="76"/>
  <c r="T191" i="76"/>
  <c r="R191" i="76"/>
  <c r="L238" i="76"/>
  <c r="P238" i="76"/>
  <c r="N238" i="76"/>
  <c r="J238" i="76"/>
  <c r="F238" i="76"/>
  <c r="V238" i="76"/>
  <c r="H238" i="76"/>
  <c r="T238" i="76"/>
  <c r="R238" i="76"/>
  <c r="L504" i="76"/>
  <c r="P504" i="76"/>
  <c r="F504" i="76"/>
  <c r="N504" i="76"/>
  <c r="J504" i="76"/>
  <c r="H504" i="76"/>
  <c r="V504" i="76"/>
  <c r="T504" i="76"/>
  <c r="R504" i="76"/>
  <c r="P732" i="76"/>
  <c r="L732" i="76"/>
  <c r="J732" i="76"/>
  <c r="R732" i="76"/>
  <c r="N732" i="76"/>
  <c r="H732" i="76"/>
  <c r="V732" i="76"/>
  <c r="T732" i="76"/>
  <c r="F732" i="76"/>
  <c r="C287" i="76"/>
  <c r="C601" i="76"/>
  <c r="P1016" i="76"/>
  <c r="R1016" i="76"/>
  <c r="J1016" i="76"/>
  <c r="H1016" i="76"/>
  <c r="F1016" i="76"/>
  <c r="T1016" i="76"/>
  <c r="V1016" i="76"/>
  <c r="N1016" i="76"/>
  <c r="L524" i="76"/>
  <c r="P524" i="76"/>
  <c r="F524" i="76"/>
  <c r="N524" i="76"/>
  <c r="J524" i="76"/>
  <c r="H524" i="76"/>
  <c r="V524" i="76"/>
  <c r="R524" i="76"/>
  <c r="T524" i="76"/>
  <c r="C89" i="55"/>
  <c r="T89" i="55" s="1"/>
  <c r="C89" i="76"/>
  <c r="C135" i="55"/>
  <c r="T135" i="55" s="1"/>
  <c r="C135" i="76"/>
  <c r="L512" i="76"/>
  <c r="P512" i="76"/>
  <c r="J512" i="76"/>
  <c r="F512" i="76"/>
  <c r="N512" i="76"/>
  <c r="H512" i="76"/>
  <c r="V512" i="76"/>
  <c r="T512" i="76"/>
  <c r="R512" i="76"/>
  <c r="P473" i="76"/>
  <c r="H473" i="76"/>
  <c r="L473" i="76"/>
  <c r="J473" i="76"/>
  <c r="F473" i="76"/>
  <c r="N473" i="76"/>
  <c r="V473" i="76"/>
  <c r="T473" i="76"/>
  <c r="R473" i="76"/>
  <c r="P458" i="76"/>
  <c r="L458" i="76"/>
  <c r="N458" i="76"/>
  <c r="J458" i="76"/>
  <c r="F458" i="76"/>
  <c r="V458" i="76"/>
  <c r="H458" i="76"/>
  <c r="T458" i="76"/>
  <c r="R458" i="76"/>
  <c r="P448" i="55"/>
  <c r="P69" i="76"/>
  <c r="H69" i="76"/>
  <c r="N69" i="76"/>
  <c r="L69" i="76"/>
  <c r="J69" i="76"/>
  <c r="V69" i="76"/>
  <c r="R69" i="76"/>
  <c r="F69" i="76"/>
  <c r="T69" i="76"/>
  <c r="P484" i="76"/>
  <c r="L484" i="76"/>
  <c r="F484" i="76"/>
  <c r="N484" i="76"/>
  <c r="J484" i="76"/>
  <c r="H484" i="76"/>
  <c r="V484" i="76"/>
  <c r="R484" i="76"/>
  <c r="T484" i="76"/>
  <c r="L464" i="76"/>
  <c r="P464" i="76"/>
  <c r="F464" i="76"/>
  <c r="N464" i="76"/>
  <c r="J464" i="76"/>
  <c r="V464" i="76"/>
  <c r="H464" i="76"/>
  <c r="T464" i="76"/>
  <c r="R464" i="76"/>
  <c r="P489" i="76"/>
  <c r="H489" i="76"/>
  <c r="L489" i="76"/>
  <c r="F489" i="76"/>
  <c r="N489" i="76"/>
  <c r="J489" i="76"/>
  <c r="V489" i="76"/>
  <c r="R489" i="76"/>
  <c r="T489" i="76"/>
  <c r="P141" i="76"/>
  <c r="L141" i="76"/>
  <c r="J141" i="76"/>
  <c r="N141" i="76"/>
  <c r="H141" i="76"/>
  <c r="V141" i="76"/>
  <c r="R141" i="76"/>
  <c r="T141" i="76"/>
  <c r="F141" i="76"/>
  <c r="P479" i="76"/>
  <c r="H479" i="76"/>
  <c r="L479" i="76"/>
  <c r="N479" i="76"/>
  <c r="J479" i="76"/>
  <c r="F479" i="76"/>
  <c r="V479" i="76"/>
  <c r="T479" i="76"/>
  <c r="R479" i="76"/>
  <c r="L95" i="76"/>
  <c r="P95" i="76"/>
  <c r="N95" i="76"/>
  <c r="H95" i="76"/>
  <c r="J95" i="76"/>
  <c r="V95" i="76"/>
  <c r="F95" i="76"/>
  <c r="T95" i="76"/>
  <c r="R95" i="76"/>
  <c r="C598" i="76"/>
  <c r="C286" i="76"/>
  <c r="H497" i="76"/>
  <c r="L497" i="76"/>
  <c r="F497" i="76"/>
  <c r="N497" i="76"/>
  <c r="J497" i="76"/>
  <c r="V497" i="76"/>
  <c r="L846" i="76"/>
  <c r="N846" i="76"/>
  <c r="F846" i="76"/>
  <c r="V846" i="76"/>
  <c r="J846" i="76"/>
  <c r="H846" i="76"/>
  <c r="L185" i="76"/>
  <c r="P185" i="76"/>
  <c r="N185" i="76"/>
  <c r="J185" i="76"/>
  <c r="H185" i="76"/>
  <c r="V185" i="76"/>
  <c r="T185" i="76"/>
  <c r="R185" i="76"/>
  <c r="F185" i="76"/>
  <c r="P884" i="76"/>
  <c r="L884" i="76"/>
  <c r="N884" i="76"/>
  <c r="J884" i="76"/>
  <c r="F884" i="76"/>
  <c r="V884" i="76"/>
  <c r="R884" i="76"/>
  <c r="H884" i="76"/>
  <c r="T884" i="76"/>
  <c r="L890" i="55"/>
  <c r="H890" i="55"/>
  <c r="D89" i="78"/>
  <c r="F89" i="78" s="1"/>
  <c r="T512" i="55"/>
  <c r="P447" i="76"/>
  <c r="H447" i="76"/>
  <c r="N447" i="76"/>
  <c r="V447" i="76"/>
  <c r="T447" i="76"/>
  <c r="L447" i="76"/>
  <c r="F447" i="76"/>
  <c r="J447" i="76"/>
  <c r="R447" i="76"/>
  <c r="P268" i="55"/>
  <c r="R268" i="55"/>
  <c r="P524" i="55"/>
  <c r="R524" i="55"/>
  <c r="P190" i="55"/>
  <c r="R190" i="55"/>
  <c r="P88" i="55"/>
  <c r="R88" i="55"/>
  <c r="P237" i="55"/>
  <c r="R237" i="55"/>
  <c r="P134" i="55"/>
  <c r="R134" i="55"/>
  <c r="P512" i="55"/>
  <c r="R512" i="55"/>
  <c r="P580" i="55"/>
  <c r="R580" i="55"/>
  <c r="P122" i="55"/>
  <c r="R122" i="55"/>
  <c r="P473" i="55"/>
  <c r="R473" i="55"/>
  <c r="P172" i="55"/>
  <c r="R172" i="55"/>
  <c r="P737" i="55"/>
  <c r="R737" i="55"/>
  <c r="P250" i="55"/>
  <c r="R250" i="55"/>
  <c r="P825" i="55"/>
  <c r="R825" i="55"/>
  <c r="P458" i="55"/>
  <c r="R458" i="55"/>
  <c r="P504" i="55"/>
  <c r="R504" i="55"/>
  <c r="P75" i="55"/>
  <c r="R75" i="55"/>
  <c r="P484" i="55"/>
  <c r="R484" i="55"/>
  <c r="P464" i="55"/>
  <c r="R464" i="55"/>
  <c r="P89" i="55"/>
  <c r="R89" i="55"/>
  <c r="P489" i="55"/>
  <c r="R489" i="55"/>
  <c r="P140" i="55"/>
  <c r="R140" i="55"/>
  <c r="P135" i="55"/>
  <c r="R135" i="55"/>
  <c r="P479" i="55"/>
  <c r="R479" i="55"/>
  <c r="P576" i="55"/>
  <c r="R576" i="55"/>
  <c r="P94" i="55"/>
  <c r="R94" i="55"/>
  <c r="P820" i="55"/>
  <c r="R820" i="55"/>
  <c r="P497" i="55"/>
  <c r="R497" i="55"/>
  <c r="P890" i="55"/>
  <c r="R890" i="55"/>
  <c r="C577" i="55"/>
  <c r="T577" i="55" s="1"/>
  <c r="C577" i="76"/>
  <c r="P577" i="76" s="1"/>
  <c r="L576" i="76"/>
  <c r="N576" i="76"/>
  <c r="H576" i="76"/>
  <c r="V576" i="76"/>
  <c r="R576" i="76"/>
  <c r="T576" i="76"/>
  <c r="F576" i="76"/>
  <c r="J576" i="76"/>
  <c r="C578" i="55"/>
  <c r="T578" i="55" s="1"/>
  <c r="C578" i="76"/>
  <c r="P578" i="76" s="1"/>
  <c r="L580" i="76"/>
  <c r="N580" i="76"/>
  <c r="H580" i="76"/>
  <c r="V580" i="76"/>
  <c r="R580" i="76"/>
  <c r="F580" i="76"/>
  <c r="J580" i="76"/>
  <c r="T580" i="76"/>
  <c r="L886" i="76"/>
  <c r="N886" i="76"/>
  <c r="H886" i="76"/>
  <c r="T886" i="76"/>
  <c r="J886" i="76"/>
  <c r="V886" i="76"/>
  <c r="F886" i="76"/>
  <c r="R886" i="76"/>
  <c r="F268" i="55"/>
  <c r="F190" i="55"/>
  <c r="F88" i="55"/>
  <c r="F237" i="55"/>
  <c r="F140" i="55"/>
  <c r="F135" i="55"/>
  <c r="F75" i="55"/>
  <c r="F89" i="55"/>
  <c r="F134" i="55"/>
  <c r="F122" i="55"/>
  <c r="F172" i="55"/>
  <c r="F94" i="55"/>
  <c r="F250" i="55"/>
  <c r="N268" i="55"/>
  <c r="N524" i="55"/>
  <c r="N75" i="55"/>
  <c r="N484" i="55"/>
  <c r="N464" i="55"/>
  <c r="N190" i="55"/>
  <c r="N88" i="55"/>
  <c r="N237" i="55"/>
  <c r="N134" i="55"/>
  <c r="N479" i="55"/>
  <c r="N512" i="55"/>
  <c r="N580" i="55"/>
  <c r="N122" i="55"/>
  <c r="N473" i="55"/>
  <c r="N1022" i="55"/>
  <c r="N825" i="55"/>
  <c r="N458" i="55"/>
  <c r="N504" i="55"/>
  <c r="N89" i="55"/>
  <c r="N577" i="55"/>
  <c r="N489" i="55"/>
  <c r="N140" i="55"/>
  <c r="N135" i="55"/>
  <c r="N576" i="55"/>
  <c r="N172" i="55"/>
  <c r="N737" i="55"/>
  <c r="N94" i="55"/>
  <c r="N250" i="55"/>
  <c r="N820" i="55"/>
  <c r="X722" i="1"/>
  <c r="C498" i="76" s="1"/>
  <c r="C498" i="55"/>
  <c r="T498" i="55" s="1"/>
  <c r="C191" i="55"/>
  <c r="T191" i="55" s="1"/>
  <c r="AG453" i="1"/>
  <c r="I542" i="1"/>
  <c r="K542" i="1" s="1"/>
  <c r="C239" i="76" s="1"/>
  <c r="C238" i="55"/>
  <c r="T238" i="55" s="1"/>
  <c r="L474" i="1"/>
  <c r="K475" i="1"/>
  <c r="AG415" i="1"/>
  <c r="C142" i="76" s="1"/>
  <c r="C141" i="55"/>
  <c r="T141" i="55" s="1"/>
  <c r="C480" i="55"/>
  <c r="T480" i="55" s="1"/>
  <c r="AB565" i="1"/>
  <c r="AD565" i="1" s="1"/>
  <c r="C480" i="76" s="1"/>
  <c r="F580" i="55"/>
  <c r="J580" i="55"/>
  <c r="L580" i="55"/>
  <c r="H580" i="55"/>
  <c r="L473" i="55"/>
  <c r="F473" i="55"/>
  <c r="J473" i="55"/>
  <c r="H473" i="55"/>
  <c r="J1022" i="55"/>
  <c r="H1022" i="55"/>
  <c r="T1022" i="55"/>
  <c r="L1022" i="55"/>
  <c r="F1022" i="55"/>
  <c r="K859" i="1"/>
  <c r="K871" i="1" s="1"/>
  <c r="V859" i="1"/>
  <c r="X859" i="1" s="1"/>
  <c r="X871" i="1" s="1"/>
  <c r="P852" i="1"/>
  <c r="R852" i="1" s="1"/>
  <c r="R864" i="1" s="1"/>
  <c r="I3299" i="1"/>
  <c r="K3299" i="1" s="1"/>
  <c r="K3311" i="1" s="1"/>
  <c r="H458" i="55"/>
  <c r="L458" i="55"/>
  <c r="F458" i="55"/>
  <c r="J458" i="55"/>
  <c r="H504" i="55"/>
  <c r="J504" i="55"/>
  <c r="L504" i="55"/>
  <c r="F504" i="55"/>
  <c r="L484" i="55"/>
  <c r="F484" i="55"/>
  <c r="J484" i="55"/>
  <c r="H484" i="55"/>
  <c r="C465" i="55"/>
  <c r="T465" i="55" s="1"/>
  <c r="AI563" i="1"/>
  <c r="AK563" i="1" s="1"/>
  <c r="C465" i="76" s="1"/>
  <c r="L88" i="55"/>
  <c r="J88" i="55"/>
  <c r="H88" i="55"/>
  <c r="J578" i="55"/>
  <c r="L578" i="55"/>
  <c r="F578" i="55"/>
  <c r="H578" i="55"/>
  <c r="V488" i="1"/>
  <c r="X488" i="1" s="1"/>
  <c r="C490" i="76" s="1"/>
  <c r="C490" i="55"/>
  <c r="T490" i="55" s="1"/>
  <c r="L135" i="55"/>
  <c r="H135" i="55"/>
  <c r="J135" i="55"/>
  <c r="F512" i="55"/>
  <c r="H512" i="55"/>
  <c r="J512" i="55"/>
  <c r="L512" i="55"/>
  <c r="J172" i="55"/>
  <c r="H172" i="55"/>
  <c r="L172" i="55"/>
  <c r="C95" i="55"/>
  <c r="T95" i="55" s="1"/>
  <c r="AG352" i="1"/>
  <c r="C96" i="76" s="1"/>
  <c r="J250" i="55"/>
  <c r="H250" i="55"/>
  <c r="L250" i="55"/>
  <c r="C598" i="55"/>
  <c r="T598" i="55" s="1"/>
  <c r="K891" i="1"/>
  <c r="C286" i="55"/>
  <c r="T286" i="55" s="1"/>
  <c r="L889" i="1"/>
  <c r="AI540" i="1"/>
  <c r="AK540" i="1" s="1"/>
  <c r="C459" i="76" s="1"/>
  <c r="C459" i="55"/>
  <c r="T459" i="55" s="1"/>
  <c r="C505" i="55"/>
  <c r="T505" i="55" s="1"/>
  <c r="X747" i="1"/>
  <c r="C505" i="76" s="1"/>
  <c r="Y746" i="1"/>
  <c r="AB489" i="1"/>
  <c r="AD489" i="1" s="1"/>
  <c r="C485" i="76" s="1"/>
  <c r="C485" i="55"/>
  <c r="T485" i="55" s="1"/>
  <c r="L464" i="55"/>
  <c r="H464" i="55"/>
  <c r="J464" i="55"/>
  <c r="F464" i="55"/>
  <c r="J89" i="55"/>
  <c r="L89" i="55"/>
  <c r="H89" i="55"/>
  <c r="J577" i="55"/>
  <c r="L577" i="55"/>
  <c r="H577" i="55"/>
  <c r="F577" i="55"/>
  <c r="F489" i="55"/>
  <c r="L489" i="55"/>
  <c r="H489" i="55"/>
  <c r="J489" i="55"/>
  <c r="H134" i="55"/>
  <c r="L134" i="55"/>
  <c r="J134" i="55"/>
  <c r="C513" i="55"/>
  <c r="X693" i="1"/>
  <c r="C513" i="76" s="1"/>
  <c r="L122" i="55"/>
  <c r="J122" i="55"/>
  <c r="H122" i="55"/>
  <c r="H94" i="55"/>
  <c r="J94" i="55"/>
  <c r="L94" i="55"/>
  <c r="X877" i="1"/>
  <c r="X889" i="1" s="1"/>
  <c r="V893" i="1"/>
  <c r="X893" i="1" s="1"/>
  <c r="X905" i="1" s="1"/>
  <c r="H190" i="55"/>
  <c r="L190" i="55"/>
  <c r="J190" i="55"/>
  <c r="L237" i="55"/>
  <c r="H237" i="55"/>
  <c r="J237" i="55"/>
  <c r="H140" i="55"/>
  <c r="L140" i="55"/>
  <c r="J140" i="55"/>
  <c r="F479" i="55"/>
  <c r="L479" i="55"/>
  <c r="H479" i="55"/>
  <c r="J479" i="55"/>
  <c r="H576" i="55"/>
  <c r="J576" i="55"/>
  <c r="L576" i="55"/>
  <c r="F576" i="55"/>
  <c r="C474" i="55"/>
  <c r="T474" i="55" s="1"/>
  <c r="AB542" i="1"/>
  <c r="AD542" i="1" s="1"/>
  <c r="AB543" i="1" s="1"/>
  <c r="AD543" i="1" s="1"/>
  <c r="AB544" i="1" s="1"/>
  <c r="AD544" i="1" s="1"/>
  <c r="AB545" i="1" s="1"/>
  <c r="AD545" i="1" s="1"/>
  <c r="AB546" i="1" s="1"/>
  <c r="AD546" i="1" s="1"/>
  <c r="AB547" i="1" s="1"/>
  <c r="AD547" i="1" s="1"/>
  <c r="AB548" i="1" s="1"/>
  <c r="AD548" i="1" s="1"/>
  <c r="AB549" i="1" s="1"/>
  <c r="AD549" i="1" s="1"/>
  <c r="AJ549" i="1" s="1"/>
  <c r="L737" i="55"/>
  <c r="J737" i="55"/>
  <c r="F737" i="55"/>
  <c r="H737" i="55"/>
  <c r="C601" i="55"/>
  <c r="T601" i="55" s="1"/>
  <c r="C287" i="55"/>
  <c r="T287" i="55" s="1"/>
  <c r="H825" i="55"/>
  <c r="J825" i="55"/>
  <c r="L825" i="55"/>
  <c r="F825" i="55"/>
  <c r="L820" i="55"/>
  <c r="J820" i="55"/>
  <c r="F820" i="55"/>
  <c r="H820" i="55"/>
  <c r="R1164" i="1"/>
  <c r="C525" i="76" s="1"/>
  <c r="C525" i="55"/>
  <c r="T525" i="55" s="1"/>
  <c r="K829" i="1"/>
  <c r="C77" i="76" s="1"/>
  <c r="C76" i="55"/>
  <c r="T76" i="55" s="1"/>
  <c r="H524" i="55"/>
  <c r="L524" i="55"/>
  <c r="F524" i="55"/>
  <c r="J524" i="55"/>
  <c r="L75" i="55"/>
  <c r="J75" i="55"/>
  <c r="H75" i="55"/>
  <c r="L268" i="55"/>
  <c r="H268" i="55"/>
  <c r="J268" i="55"/>
  <c r="AS153" i="1"/>
  <c r="AU151" i="1"/>
  <c r="AV151" i="1" s="1"/>
  <c r="AU124" i="1"/>
  <c r="AV124" i="1" s="1"/>
  <c r="AS185" i="1"/>
  <c r="AU183" i="1"/>
  <c r="AV183" i="1" s="1"/>
  <c r="AS123" i="1"/>
  <c r="AU122" i="1"/>
  <c r="AV122" i="1" s="1"/>
  <c r="P505" i="76" l="1"/>
  <c r="H505" i="76"/>
  <c r="L505" i="76"/>
  <c r="N505" i="76"/>
  <c r="J505" i="76"/>
  <c r="F505" i="76"/>
  <c r="V505" i="76"/>
  <c r="R505" i="76"/>
  <c r="T505" i="76"/>
  <c r="L490" i="76"/>
  <c r="P490" i="76"/>
  <c r="F490" i="76"/>
  <c r="N490" i="76"/>
  <c r="J490" i="76"/>
  <c r="H490" i="76"/>
  <c r="V490" i="76"/>
  <c r="T490" i="76"/>
  <c r="R490" i="76"/>
  <c r="P465" i="76"/>
  <c r="H465" i="76"/>
  <c r="L465" i="76"/>
  <c r="J465" i="76"/>
  <c r="F465" i="76"/>
  <c r="N465" i="76"/>
  <c r="V465" i="76"/>
  <c r="T465" i="76"/>
  <c r="R465" i="76"/>
  <c r="N578" i="55"/>
  <c r="L598" i="76"/>
  <c r="P598" i="76"/>
  <c r="F598" i="76"/>
  <c r="N598" i="76"/>
  <c r="J598" i="76"/>
  <c r="H598" i="76"/>
  <c r="V598" i="76"/>
  <c r="R598" i="76"/>
  <c r="T598" i="76"/>
  <c r="L135" i="76"/>
  <c r="P135" i="76"/>
  <c r="N135" i="76"/>
  <c r="H135" i="76"/>
  <c r="J135" i="76"/>
  <c r="V135" i="76"/>
  <c r="F135" i="76"/>
  <c r="R135" i="76"/>
  <c r="T135" i="76"/>
  <c r="L77" i="76"/>
  <c r="P77" i="76"/>
  <c r="H77" i="76"/>
  <c r="N77" i="76"/>
  <c r="J77" i="76"/>
  <c r="F77" i="76"/>
  <c r="V77" i="76"/>
  <c r="R77" i="76"/>
  <c r="T77" i="76"/>
  <c r="P513" i="76"/>
  <c r="H513" i="76"/>
  <c r="L513" i="76"/>
  <c r="N513" i="76"/>
  <c r="J513" i="76"/>
  <c r="F513" i="76"/>
  <c r="V513" i="76"/>
  <c r="R513" i="76"/>
  <c r="T513" i="76"/>
  <c r="C600" i="76"/>
  <c r="C288" i="76"/>
  <c r="L601" i="76"/>
  <c r="P601" i="76"/>
  <c r="F601" i="76"/>
  <c r="J601" i="76"/>
  <c r="N601" i="76"/>
  <c r="H601" i="76"/>
  <c r="V601" i="76"/>
  <c r="R601" i="76"/>
  <c r="T601" i="76"/>
  <c r="P485" i="76"/>
  <c r="H485" i="76"/>
  <c r="L485" i="76"/>
  <c r="F485" i="76"/>
  <c r="N485" i="76"/>
  <c r="J485" i="76"/>
  <c r="V485" i="76"/>
  <c r="R485" i="76"/>
  <c r="T485" i="76"/>
  <c r="L142" i="76"/>
  <c r="P142" i="76"/>
  <c r="H142" i="76"/>
  <c r="J142" i="76"/>
  <c r="N142" i="76"/>
  <c r="V142" i="76"/>
  <c r="R142" i="76"/>
  <c r="F142" i="76"/>
  <c r="T142" i="76"/>
  <c r="L239" i="76"/>
  <c r="P239" i="76"/>
  <c r="H239" i="76"/>
  <c r="N239" i="76"/>
  <c r="J239" i="76"/>
  <c r="V239" i="76"/>
  <c r="F239" i="76"/>
  <c r="T239" i="76"/>
  <c r="R239" i="76"/>
  <c r="L498" i="76"/>
  <c r="N498" i="76"/>
  <c r="J498" i="76"/>
  <c r="F498" i="76"/>
  <c r="H498" i="76"/>
  <c r="V498" i="76"/>
  <c r="P89" i="76"/>
  <c r="L89" i="76"/>
  <c r="N89" i="76"/>
  <c r="J89" i="76"/>
  <c r="H89" i="76"/>
  <c r="V89" i="76"/>
  <c r="T89" i="76"/>
  <c r="R89" i="76"/>
  <c r="F89" i="76"/>
  <c r="P287" i="76"/>
  <c r="H287" i="76"/>
  <c r="L287" i="76"/>
  <c r="N287" i="76"/>
  <c r="J287" i="76"/>
  <c r="V287" i="76"/>
  <c r="F287" i="76"/>
  <c r="R287" i="76"/>
  <c r="T287" i="76"/>
  <c r="P525" i="76"/>
  <c r="H525" i="76"/>
  <c r="L525" i="76"/>
  <c r="J525" i="76"/>
  <c r="F525" i="76"/>
  <c r="N525" i="76"/>
  <c r="V525" i="76"/>
  <c r="R525" i="76"/>
  <c r="T525" i="76"/>
  <c r="P459" i="76"/>
  <c r="H459" i="76"/>
  <c r="L459" i="76"/>
  <c r="F459" i="76"/>
  <c r="N459" i="76"/>
  <c r="J459" i="76"/>
  <c r="V459" i="76"/>
  <c r="R459" i="76"/>
  <c r="T459" i="76"/>
  <c r="P96" i="76"/>
  <c r="L96" i="76"/>
  <c r="H96" i="76"/>
  <c r="J96" i="76"/>
  <c r="N96" i="76"/>
  <c r="F96" i="76"/>
  <c r="V96" i="76"/>
  <c r="R96" i="76"/>
  <c r="T96" i="76"/>
  <c r="C599" i="55"/>
  <c r="T599" i="55" s="1"/>
  <c r="C599" i="76"/>
  <c r="L480" i="76"/>
  <c r="P480" i="76"/>
  <c r="J480" i="76"/>
  <c r="F480" i="76"/>
  <c r="N480" i="76"/>
  <c r="H480" i="76"/>
  <c r="V480" i="76"/>
  <c r="T480" i="76"/>
  <c r="R480" i="76"/>
  <c r="L286" i="76"/>
  <c r="P286" i="76"/>
  <c r="J286" i="76"/>
  <c r="N286" i="76"/>
  <c r="H286" i="76"/>
  <c r="V286" i="76"/>
  <c r="F286" i="76"/>
  <c r="T286" i="76"/>
  <c r="R286" i="76"/>
  <c r="D90" i="78"/>
  <c r="F90" i="78" s="1"/>
  <c r="T513" i="55"/>
  <c r="P601" i="55"/>
  <c r="R601" i="55"/>
  <c r="P474" i="55"/>
  <c r="R474" i="55"/>
  <c r="P485" i="55"/>
  <c r="R485" i="55"/>
  <c r="P505" i="55"/>
  <c r="R505" i="55"/>
  <c r="P286" i="55"/>
  <c r="R286" i="55"/>
  <c r="P598" i="55"/>
  <c r="R598" i="55"/>
  <c r="P490" i="55"/>
  <c r="R490" i="55"/>
  <c r="P465" i="55"/>
  <c r="R465" i="55"/>
  <c r="P599" i="55"/>
  <c r="R599" i="55"/>
  <c r="P141" i="55"/>
  <c r="R141" i="55"/>
  <c r="P238" i="55"/>
  <c r="R238" i="55"/>
  <c r="P498" i="55"/>
  <c r="R498" i="55"/>
  <c r="P578" i="55"/>
  <c r="R578" i="55"/>
  <c r="P577" i="55"/>
  <c r="R577" i="55"/>
  <c r="P76" i="55"/>
  <c r="R76" i="55"/>
  <c r="P525" i="55"/>
  <c r="R525" i="55"/>
  <c r="P287" i="55"/>
  <c r="R287" i="55"/>
  <c r="P513" i="55"/>
  <c r="R513" i="55"/>
  <c r="P459" i="55"/>
  <c r="R459" i="55"/>
  <c r="P95" i="55"/>
  <c r="R95" i="55"/>
  <c r="P480" i="55"/>
  <c r="R480" i="55"/>
  <c r="P191" i="55"/>
  <c r="R191" i="55"/>
  <c r="L578" i="76"/>
  <c r="F578" i="76"/>
  <c r="J578" i="76"/>
  <c r="N578" i="76"/>
  <c r="H578" i="76"/>
  <c r="V578" i="76"/>
  <c r="R578" i="76"/>
  <c r="T578" i="76"/>
  <c r="H577" i="76"/>
  <c r="L577" i="76"/>
  <c r="N577" i="76"/>
  <c r="R577" i="76"/>
  <c r="F577" i="76"/>
  <c r="J577" i="76"/>
  <c r="V577" i="76"/>
  <c r="T577" i="76"/>
  <c r="F76" i="55"/>
  <c r="F287" i="55"/>
  <c r="F286" i="55"/>
  <c r="F95" i="55"/>
  <c r="F191" i="55"/>
  <c r="F141" i="55"/>
  <c r="F238" i="55"/>
  <c r="N601" i="55"/>
  <c r="N513" i="55"/>
  <c r="N485" i="55"/>
  <c r="N505" i="55"/>
  <c r="N286" i="55"/>
  <c r="N598" i="55"/>
  <c r="N465" i="55"/>
  <c r="N141" i="55"/>
  <c r="N238" i="55"/>
  <c r="N76" i="55"/>
  <c r="N525" i="55"/>
  <c r="N287" i="55"/>
  <c r="N474" i="55"/>
  <c r="N459" i="55"/>
  <c r="N95" i="55"/>
  <c r="N490" i="55"/>
  <c r="N599" i="55"/>
  <c r="N480" i="55"/>
  <c r="N191" i="55"/>
  <c r="X723" i="1"/>
  <c r="C499" i="76" s="1"/>
  <c r="C499" i="55"/>
  <c r="T499" i="55" s="1"/>
  <c r="C514" i="55"/>
  <c r="X694" i="1"/>
  <c r="X695" i="1" s="1"/>
  <c r="X696" i="1" s="1"/>
  <c r="X697" i="1" s="1"/>
  <c r="X698" i="1" s="1"/>
  <c r="X699" i="1" s="1"/>
  <c r="X700" i="1" s="1"/>
  <c r="X701" i="1" s="1"/>
  <c r="X702" i="1" s="1"/>
  <c r="C460" i="55"/>
  <c r="T460" i="55" s="1"/>
  <c r="AI541" i="1"/>
  <c r="AK541" i="1" s="1"/>
  <c r="C460" i="76" s="1"/>
  <c r="F598" i="55"/>
  <c r="H598" i="55"/>
  <c r="L598" i="55"/>
  <c r="J598" i="55"/>
  <c r="V489" i="1"/>
  <c r="X489" i="1" s="1"/>
  <c r="C491" i="76" s="1"/>
  <c r="C491" i="55"/>
  <c r="T491" i="55" s="1"/>
  <c r="F599" i="55"/>
  <c r="H599" i="55"/>
  <c r="L599" i="55"/>
  <c r="J599" i="55"/>
  <c r="H480" i="55"/>
  <c r="J480" i="55"/>
  <c r="F480" i="55"/>
  <c r="L480" i="55"/>
  <c r="J191" i="55"/>
  <c r="H191" i="55"/>
  <c r="L191" i="55"/>
  <c r="H601" i="55"/>
  <c r="L601" i="55"/>
  <c r="J601" i="55"/>
  <c r="F601" i="55"/>
  <c r="C486" i="55"/>
  <c r="T486" i="55" s="1"/>
  <c r="AB490" i="1"/>
  <c r="AD490" i="1" s="1"/>
  <c r="C486" i="76" s="1"/>
  <c r="L459" i="55"/>
  <c r="J459" i="55"/>
  <c r="F459" i="55"/>
  <c r="H459" i="55"/>
  <c r="J490" i="55"/>
  <c r="F490" i="55"/>
  <c r="H490" i="55"/>
  <c r="L490" i="55"/>
  <c r="AB566" i="1"/>
  <c r="AD566" i="1" s="1"/>
  <c r="C481" i="55"/>
  <c r="T481" i="55" s="1"/>
  <c r="L475" i="1"/>
  <c r="K476" i="1"/>
  <c r="AE453" i="1"/>
  <c r="AG454" i="1"/>
  <c r="L287" i="55"/>
  <c r="J287" i="55"/>
  <c r="H287" i="55"/>
  <c r="H485" i="55"/>
  <c r="L485" i="55"/>
  <c r="J485" i="55"/>
  <c r="F485" i="55"/>
  <c r="F505" i="55"/>
  <c r="H505" i="55"/>
  <c r="L505" i="55"/>
  <c r="J505" i="55"/>
  <c r="J286" i="55"/>
  <c r="H286" i="55"/>
  <c r="L286" i="55"/>
  <c r="L95" i="55"/>
  <c r="J95" i="55"/>
  <c r="H95" i="55"/>
  <c r="J465" i="55"/>
  <c r="L465" i="55"/>
  <c r="F465" i="55"/>
  <c r="H465" i="55"/>
  <c r="C600" i="55"/>
  <c r="T600" i="55" s="1"/>
  <c r="C288" i="55"/>
  <c r="T288" i="55" s="1"/>
  <c r="C142" i="55"/>
  <c r="T142" i="55" s="1"/>
  <c r="AG416" i="1"/>
  <c r="C143" i="76" s="1"/>
  <c r="C239" i="55"/>
  <c r="T239" i="55" s="1"/>
  <c r="I543" i="1"/>
  <c r="K543" i="1" s="1"/>
  <c r="C240" i="76" s="1"/>
  <c r="J474" i="55"/>
  <c r="H474" i="55"/>
  <c r="F474" i="55"/>
  <c r="L474" i="55"/>
  <c r="F513" i="55"/>
  <c r="L513" i="55"/>
  <c r="J513" i="55"/>
  <c r="H513" i="55"/>
  <c r="X748" i="1"/>
  <c r="C506" i="76" s="1"/>
  <c r="C506" i="55"/>
  <c r="T506" i="55" s="1"/>
  <c r="AG353" i="1"/>
  <c r="C97" i="76" s="1"/>
  <c r="C96" i="55"/>
  <c r="T96" i="55" s="1"/>
  <c r="C466" i="55"/>
  <c r="T466" i="55" s="1"/>
  <c r="AI564" i="1"/>
  <c r="AK564" i="1" s="1"/>
  <c r="C466" i="76" s="1"/>
  <c r="H141" i="55"/>
  <c r="J141" i="55"/>
  <c r="L141" i="55"/>
  <c r="J238" i="55"/>
  <c r="L238" i="55"/>
  <c r="H238" i="55"/>
  <c r="R1165" i="1"/>
  <c r="C526" i="76" s="1"/>
  <c r="C526" i="55"/>
  <c r="T526" i="55" s="1"/>
  <c r="F525" i="55"/>
  <c r="J525" i="55"/>
  <c r="H525" i="55"/>
  <c r="L525" i="55"/>
  <c r="K830" i="1"/>
  <c r="C78" i="76" s="1"/>
  <c r="C77" i="55"/>
  <c r="T77" i="55" s="1"/>
  <c r="L76" i="55"/>
  <c r="H76" i="55"/>
  <c r="J76" i="55"/>
  <c r="AU123" i="1"/>
  <c r="AV123" i="1" s="1"/>
  <c r="AS155" i="1"/>
  <c r="AT155" i="1" s="1"/>
  <c r="D23" i="78"/>
  <c r="F23" i="78" s="1"/>
  <c r="AU153" i="1"/>
  <c r="AV153" i="1" s="1"/>
  <c r="AS187" i="1"/>
  <c r="C550" i="76" s="1"/>
  <c r="AU185" i="1"/>
  <c r="AV185" i="1" s="1"/>
  <c r="L466" i="76" l="1"/>
  <c r="P466" i="76"/>
  <c r="N466" i="76"/>
  <c r="J466" i="76"/>
  <c r="F466" i="76"/>
  <c r="V466" i="76"/>
  <c r="H466" i="76"/>
  <c r="R466" i="76"/>
  <c r="T466" i="76"/>
  <c r="P143" i="76"/>
  <c r="L143" i="76"/>
  <c r="N143" i="76"/>
  <c r="H143" i="76"/>
  <c r="J143" i="76"/>
  <c r="V143" i="76"/>
  <c r="T143" i="76"/>
  <c r="R143" i="76"/>
  <c r="F143" i="76"/>
  <c r="L526" i="76"/>
  <c r="P526" i="76"/>
  <c r="F526" i="76"/>
  <c r="N526" i="76"/>
  <c r="J526" i="76"/>
  <c r="V526" i="76"/>
  <c r="H526" i="76"/>
  <c r="R526" i="76"/>
  <c r="T526" i="76"/>
  <c r="L506" i="76"/>
  <c r="P506" i="76"/>
  <c r="F506" i="76"/>
  <c r="N506" i="76"/>
  <c r="J506" i="76"/>
  <c r="V506" i="76"/>
  <c r="H506" i="76"/>
  <c r="R506" i="76"/>
  <c r="T506" i="76"/>
  <c r="P491" i="76"/>
  <c r="H491" i="76"/>
  <c r="L491" i="76"/>
  <c r="N491" i="76"/>
  <c r="J491" i="76"/>
  <c r="F491" i="76"/>
  <c r="V491" i="76"/>
  <c r="T491" i="76"/>
  <c r="R491" i="76"/>
  <c r="P460" i="76"/>
  <c r="L460" i="76"/>
  <c r="J460" i="76"/>
  <c r="F460" i="76"/>
  <c r="N460" i="76"/>
  <c r="H460" i="76"/>
  <c r="V460" i="76"/>
  <c r="R460" i="76"/>
  <c r="T460" i="76"/>
  <c r="L599" i="76"/>
  <c r="P599" i="76"/>
  <c r="N599" i="76"/>
  <c r="F599" i="76"/>
  <c r="J599" i="76"/>
  <c r="H599" i="76"/>
  <c r="V599" i="76"/>
  <c r="T599" i="76"/>
  <c r="R599" i="76"/>
  <c r="P240" i="76"/>
  <c r="L240" i="76"/>
  <c r="N240" i="76"/>
  <c r="J240" i="76"/>
  <c r="H240" i="76"/>
  <c r="V240" i="76"/>
  <c r="F240" i="76"/>
  <c r="T240" i="76"/>
  <c r="R240" i="76"/>
  <c r="P78" i="76"/>
  <c r="L78" i="76"/>
  <c r="J78" i="76"/>
  <c r="N78" i="76"/>
  <c r="H78" i="76"/>
  <c r="V78" i="76"/>
  <c r="F78" i="76"/>
  <c r="R78" i="76"/>
  <c r="T78" i="76"/>
  <c r="L97" i="76"/>
  <c r="P97" i="76"/>
  <c r="J97" i="76"/>
  <c r="N97" i="76"/>
  <c r="H97" i="76"/>
  <c r="V97" i="76"/>
  <c r="F97" i="76"/>
  <c r="R97" i="76"/>
  <c r="T97" i="76"/>
  <c r="L486" i="76"/>
  <c r="P486" i="76"/>
  <c r="N486" i="76"/>
  <c r="J486" i="76"/>
  <c r="F486" i="76"/>
  <c r="V486" i="76"/>
  <c r="H486" i="76"/>
  <c r="T486" i="76"/>
  <c r="R486" i="76"/>
  <c r="H499" i="76"/>
  <c r="L499" i="76"/>
  <c r="J499" i="76"/>
  <c r="F499" i="76"/>
  <c r="N499" i="76"/>
  <c r="V499" i="76"/>
  <c r="L288" i="76"/>
  <c r="P288" i="76"/>
  <c r="N288" i="76"/>
  <c r="J288" i="76"/>
  <c r="V288" i="76"/>
  <c r="H288" i="76"/>
  <c r="F288" i="76"/>
  <c r="R288" i="76"/>
  <c r="T288" i="76"/>
  <c r="L600" i="76"/>
  <c r="P600" i="76"/>
  <c r="F600" i="76"/>
  <c r="N600" i="76"/>
  <c r="H600" i="76"/>
  <c r="J600" i="76"/>
  <c r="V600" i="76"/>
  <c r="T600" i="76"/>
  <c r="R600" i="76"/>
  <c r="L550" i="76"/>
  <c r="F550" i="76"/>
  <c r="J550" i="76"/>
  <c r="H550" i="76"/>
  <c r="R550" i="76"/>
  <c r="P550" i="76"/>
  <c r="N550" i="76"/>
  <c r="V550" i="76"/>
  <c r="T550" i="76"/>
  <c r="D91" i="78"/>
  <c r="F91" i="78" s="1"/>
  <c r="T514" i="55"/>
  <c r="P543" i="55"/>
  <c r="R543" i="55"/>
  <c r="P96" i="55"/>
  <c r="R96" i="55"/>
  <c r="P288" i="55"/>
  <c r="R288" i="55"/>
  <c r="P486" i="55"/>
  <c r="R486" i="55"/>
  <c r="P466" i="55"/>
  <c r="R466" i="55"/>
  <c r="P239" i="55"/>
  <c r="R239" i="55"/>
  <c r="P142" i="55"/>
  <c r="R142" i="55"/>
  <c r="P600" i="55"/>
  <c r="R600" i="55"/>
  <c r="P481" i="55"/>
  <c r="R481" i="55"/>
  <c r="P460" i="55"/>
  <c r="R460" i="55"/>
  <c r="P514" i="55"/>
  <c r="R514" i="55"/>
  <c r="P77" i="55"/>
  <c r="R77" i="55"/>
  <c r="P526" i="55"/>
  <c r="R526" i="55"/>
  <c r="P506" i="55"/>
  <c r="R506" i="55"/>
  <c r="P491" i="55"/>
  <c r="R491" i="55"/>
  <c r="P499" i="55"/>
  <c r="R499" i="55"/>
  <c r="F96" i="55"/>
  <c r="F288" i="55"/>
  <c r="F77" i="55"/>
  <c r="F239" i="55"/>
  <c r="F142" i="55"/>
  <c r="N543" i="55"/>
  <c r="N526" i="55"/>
  <c r="N96" i="55"/>
  <c r="N506" i="55"/>
  <c r="N288" i="55"/>
  <c r="N481" i="55"/>
  <c r="N491" i="55"/>
  <c r="N460" i="55"/>
  <c r="N514" i="55"/>
  <c r="N77" i="55"/>
  <c r="N466" i="55"/>
  <c r="N239" i="55"/>
  <c r="N142" i="55"/>
  <c r="N600" i="55"/>
  <c r="N486" i="55"/>
  <c r="X724" i="1"/>
  <c r="C500" i="55"/>
  <c r="T500" i="55" s="1"/>
  <c r="F466" i="55"/>
  <c r="H466" i="55"/>
  <c r="L466" i="55"/>
  <c r="J466" i="55"/>
  <c r="Y748" i="1"/>
  <c r="Y749" i="1" s="1"/>
  <c r="C507" i="55"/>
  <c r="T507" i="55" s="1"/>
  <c r="X749" i="1"/>
  <c r="C507" i="76" s="1"/>
  <c r="H142" i="55"/>
  <c r="J142" i="55"/>
  <c r="L142" i="55"/>
  <c r="V490" i="1"/>
  <c r="X490" i="1" s="1"/>
  <c r="C492" i="55"/>
  <c r="T492" i="55" s="1"/>
  <c r="H514" i="55"/>
  <c r="J514" i="55"/>
  <c r="F514" i="55"/>
  <c r="L514" i="55"/>
  <c r="C467" i="55"/>
  <c r="T467" i="55" s="1"/>
  <c r="AI565" i="1"/>
  <c r="AK565" i="1" s="1"/>
  <c r="C467" i="76" s="1"/>
  <c r="H506" i="55"/>
  <c r="L506" i="55"/>
  <c r="J506" i="55"/>
  <c r="F506" i="55"/>
  <c r="AG417" i="1"/>
  <c r="C144" i="76" s="1"/>
  <c r="C143" i="55"/>
  <c r="T143" i="55" s="1"/>
  <c r="AE454" i="1"/>
  <c r="AG455" i="1"/>
  <c r="H481" i="55"/>
  <c r="F481" i="55"/>
  <c r="J481" i="55"/>
  <c r="L481" i="55"/>
  <c r="L491" i="55"/>
  <c r="F491" i="55"/>
  <c r="H491" i="55"/>
  <c r="J491" i="55"/>
  <c r="AG354" i="1"/>
  <c r="C98" i="76" s="1"/>
  <c r="C97" i="55"/>
  <c r="T97" i="55" s="1"/>
  <c r="L239" i="55"/>
  <c r="H239" i="55"/>
  <c r="J239" i="55"/>
  <c r="F600" i="55"/>
  <c r="L600" i="55"/>
  <c r="H600" i="55"/>
  <c r="J600" i="55"/>
  <c r="J486" i="55"/>
  <c r="L486" i="55"/>
  <c r="H486" i="55"/>
  <c r="F486" i="55"/>
  <c r="H460" i="55"/>
  <c r="J460" i="55"/>
  <c r="F460" i="55"/>
  <c r="L460" i="55"/>
  <c r="J96" i="55"/>
  <c r="L96" i="55"/>
  <c r="H96" i="55"/>
  <c r="I544" i="1"/>
  <c r="K544" i="1" s="1"/>
  <c r="C241" i="76" s="1"/>
  <c r="C240" i="55"/>
  <c r="T240" i="55" s="1"/>
  <c r="J288" i="55"/>
  <c r="H288" i="55"/>
  <c r="L288" i="55"/>
  <c r="L476" i="1"/>
  <c r="K477" i="1"/>
  <c r="C487" i="55"/>
  <c r="T487" i="55" s="1"/>
  <c r="AD491" i="1"/>
  <c r="AD492" i="1" s="1"/>
  <c r="AD493" i="1" s="1"/>
  <c r="AD494" i="1" s="1"/>
  <c r="AD495" i="1" s="1"/>
  <c r="AD496" i="1" s="1"/>
  <c r="AD497" i="1" s="1"/>
  <c r="AD498" i="1" s="1"/>
  <c r="C461" i="55"/>
  <c r="T461" i="55" s="1"/>
  <c r="AI542" i="1"/>
  <c r="AK542" i="1" s="1"/>
  <c r="AI543" i="1" s="1"/>
  <c r="AK543" i="1" s="1"/>
  <c r="AI544" i="1" s="1"/>
  <c r="AK544" i="1" s="1"/>
  <c r="AI545" i="1" s="1"/>
  <c r="AK545" i="1" s="1"/>
  <c r="AI546" i="1" s="1"/>
  <c r="AK546" i="1" s="1"/>
  <c r="AI547" i="1" s="1"/>
  <c r="AK547" i="1" s="1"/>
  <c r="AI548" i="1" s="1"/>
  <c r="AK548" i="1" s="1"/>
  <c r="AI549" i="1" s="1"/>
  <c r="AK549" i="1" s="1"/>
  <c r="R1166" i="1"/>
  <c r="C527" i="76" s="1"/>
  <c r="C527" i="55"/>
  <c r="T527" i="55" s="1"/>
  <c r="F526" i="55"/>
  <c r="L526" i="55"/>
  <c r="J526" i="55"/>
  <c r="H526" i="55"/>
  <c r="K831" i="1"/>
  <c r="C79" i="76" s="1"/>
  <c r="C78" i="55"/>
  <c r="T78" i="55" s="1"/>
  <c r="L77" i="55"/>
  <c r="H77" i="55"/>
  <c r="J77" i="55"/>
  <c r="AS188" i="1"/>
  <c r="C551" i="76" s="1"/>
  <c r="AR187" i="1"/>
  <c r="AU187" i="1"/>
  <c r="AV187" i="1" s="1"/>
  <c r="D30" i="78"/>
  <c r="F30" i="78" s="1"/>
  <c r="AR155" i="1"/>
  <c r="AS156" i="1"/>
  <c r="AU155" i="1"/>
  <c r="AV155" i="1" s="1"/>
  <c r="D24" i="78"/>
  <c r="F24" i="78" s="1"/>
  <c r="F543" i="55"/>
  <c r="L543" i="55"/>
  <c r="J543" i="55"/>
  <c r="H543" i="55"/>
  <c r="L79" i="76" l="1"/>
  <c r="P79" i="76"/>
  <c r="N79" i="76"/>
  <c r="J79" i="76"/>
  <c r="H79" i="76"/>
  <c r="F79" i="76"/>
  <c r="V79" i="76"/>
  <c r="T79" i="76"/>
  <c r="R79" i="76"/>
  <c r="L241" i="76"/>
  <c r="P241" i="76"/>
  <c r="N241" i="76"/>
  <c r="J241" i="76"/>
  <c r="H241" i="76"/>
  <c r="V241" i="76"/>
  <c r="F241" i="76"/>
  <c r="T241" i="76"/>
  <c r="R241" i="76"/>
  <c r="P98" i="76"/>
  <c r="L98" i="76"/>
  <c r="J98" i="76"/>
  <c r="N98" i="76"/>
  <c r="H98" i="76"/>
  <c r="V98" i="76"/>
  <c r="F98" i="76"/>
  <c r="T98" i="76"/>
  <c r="R98" i="76"/>
  <c r="L144" i="76"/>
  <c r="P144" i="76"/>
  <c r="J144" i="76"/>
  <c r="N144" i="76"/>
  <c r="H144" i="76"/>
  <c r="V144" i="76"/>
  <c r="R144" i="76"/>
  <c r="F144" i="76"/>
  <c r="T144" i="76"/>
  <c r="C493" i="55"/>
  <c r="T493" i="55" s="1"/>
  <c r="C492" i="76"/>
  <c r="P507" i="76"/>
  <c r="H507" i="76"/>
  <c r="L507" i="76"/>
  <c r="J507" i="76"/>
  <c r="F507" i="76"/>
  <c r="N507" i="76"/>
  <c r="V507" i="76"/>
  <c r="T507" i="76"/>
  <c r="R507" i="76"/>
  <c r="P527" i="76"/>
  <c r="H527" i="76"/>
  <c r="L527" i="76"/>
  <c r="F527" i="76"/>
  <c r="N527" i="76"/>
  <c r="J527" i="76"/>
  <c r="V527" i="76"/>
  <c r="R527" i="76"/>
  <c r="T527" i="76"/>
  <c r="P467" i="76"/>
  <c r="H467" i="76"/>
  <c r="L467" i="76"/>
  <c r="F467" i="76"/>
  <c r="N467" i="76"/>
  <c r="J467" i="76"/>
  <c r="V467" i="76"/>
  <c r="R467" i="76"/>
  <c r="T467" i="76"/>
  <c r="P551" i="76"/>
  <c r="L551" i="76"/>
  <c r="N551" i="76"/>
  <c r="V551" i="76"/>
  <c r="T551" i="76"/>
  <c r="H551" i="76"/>
  <c r="F551" i="76"/>
  <c r="J551" i="76"/>
  <c r="R551" i="76"/>
  <c r="P551" i="55"/>
  <c r="R551" i="55"/>
  <c r="P487" i="55"/>
  <c r="R487" i="55"/>
  <c r="P97" i="55"/>
  <c r="R97" i="55"/>
  <c r="P507" i="55"/>
  <c r="R507" i="55"/>
  <c r="P544" i="55"/>
  <c r="R544" i="55"/>
  <c r="P461" i="55"/>
  <c r="R461" i="55"/>
  <c r="P240" i="55"/>
  <c r="R240" i="55"/>
  <c r="P143" i="55"/>
  <c r="R143" i="55"/>
  <c r="P492" i="55"/>
  <c r="R492" i="55"/>
  <c r="P500" i="55"/>
  <c r="R500" i="55"/>
  <c r="P78" i="55"/>
  <c r="R78" i="55"/>
  <c r="P527" i="55"/>
  <c r="R527" i="55"/>
  <c r="P467" i="55"/>
  <c r="R467" i="55"/>
  <c r="P493" i="55"/>
  <c r="F240" i="55"/>
  <c r="F78" i="55"/>
  <c r="F97" i="55"/>
  <c r="F143" i="55"/>
  <c r="N544" i="55"/>
  <c r="N78" i="55"/>
  <c r="N461" i="55"/>
  <c r="N487" i="55"/>
  <c r="N240" i="55"/>
  <c r="N551" i="55"/>
  <c r="N527" i="55"/>
  <c r="N97" i="55"/>
  <c r="N143" i="55"/>
  <c r="N467" i="55"/>
  <c r="N492" i="55"/>
  <c r="N507" i="55"/>
  <c r="K478" i="1"/>
  <c r="L477" i="1"/>
  <c r="L97" i="55"/>
  <c r="J97" i="55"/>
  <c r="H97" i="55"/>
  <c r="H143" i="55"/>
  <c r="L143" i="55"/>
  <c r="J143" i="55"/>
  <c r="H492" i="55"/>
  <c r="F492" i="55"/>
  <c r="L492" i="55"/>
  <c r="J492" i="55"/>
  <c r="F487" i="55"/>
  <c r="H487" i="55"/>
  <c r="L487" i="55"/>
  <c r="J487" i="55"/>
  <c r="I545" i="1"/>
  <c r="K545" i="1" s="1"/>
  <c r="C242" i="76" s="1"/>
  <c r="C241" i="55"/>
  <c r="T241" i="55" s="1"/>
  <c r="J467" i="55"/>
  <c r="F467" i="55"/>
  <c r="L467" i="55"/>
  <c r="H467" i="55"/>
  <c r="F507" i="55"/>
  <c r="J507" i="55"/>
  <c r="H507" i="55"/>
  <c r="L507" i="55"/>
  <c r="J240" i="55"/>
  <c r="H240" i="55"/>
  <c r="L240" i="55"/>
  <c r="AE455" i="1"/>
  <c r="AG456" i="1"/>
  <c r="AI566" i="1"/>
  <c r="AK566" i="1" s="1"/>
  <c r="C468" i="55"/>
  <c r="T468" i="55" s="1"/>
  <c r="X750" i="1"/>
  <c r="X751" i="1" s="1"/>
  <c r="X752" i="1" s="1"/>
  <c r="X753" i="1" s="1"/>
  <c r="C508" i="55"/>
  <c r="T508" i="55" s="1"/>
  <c r="F461" i="55"/>
  <c r="L461" i="55"/>
  <c r="H461" i="55"/>
  <c r="J461" i="55"/>
  <c r="AG355" i="1"/>
  <c r="C99" i="76" s="1"/>
  <c r="C98" i="55"/>
  <c r="T98" i="55" s="1"/>
  <c r="AG418" i="1"/>
  <c r="C145" i="76" s="1"/>
  <c r="C144" i="55"/>
  <c r="T144" i="55" s="1"/>
  <c r="H493" i="55"/>
  <c r="J493" i="55"/>
  <c r="F493" i="55"/>
  <c r="L493" i="55"/>
  <c r="C79" i="55"/>
  <c r="T79" i="55" s="1"/>
  <c r="K832" i="1"/>
  <c r="C80" i="76" s="1"/>
  <c r="C528" i="55"/>
  <c r="T528" i="55" s="1"/>
  <c r="R1167" i="1"/>
  <c r="C528" i="76" s="1"/>
  <c r="L78" i="55"/>
  <c r="J78" i="55"/>
  <c r="H78" i="55"/>
  <c r="J527" i="55"/>
  <c r="H527" i="55"/>
  <c r="F527" i="55"/>
  <c r="L527" i="55"/>
  <c r="AS157" i="1"/>
  <c r="C545" i="76" s="1"/>
  <c r="D25" i="78"/>
  <c r="F25" i="78" s="1"/>
  <c r="AR156" i="1"/>
  <c r="AU156" i="1"/>
  <c r="AV156" i="1" s="1"/>
  <c r="AT156" i="1"/>
  <c r="H551" i="55"/>
  <c r="L551" i="55"/>
  <c r="J551" i="55"/>
  <c r="F551" i="55"/>
  <c r="AR188" i="1"/>
  <c r="D31" i="78"/>
  <c r="F31" i="78" s="1"/>
  <c r="AU188" i="1"/>
  <c r="AV188" i="1" s="1"/>
  <c r="AS189" i="1"/>
  <c r="C552" i="76" s="1"/>
  <c r="H544" i="55"/>
  <c r="F544" i="55"/>
  <c r="L544" i="55"/>
  <c r="J544" i="55"/>
  <c r="L145" i="76" l="1"/>
  <c r="J145" i="76"/>
  <c r="P145" i="76"/>
  <c r="N145" i="76"/>
  <c r="H145" i="76"/>
  <c r="V145" i="76"/>
  <c r="R145" i="76"/>
  <c r="T145" i="76"/>
  <c r="F145" i="76"/>
  <c r="P80" i="76"/>
  <c r="L80" i="76"/>
  <c r="N80" i="76"/>
  <c r="H80" i="76"/>
  <c r="J80" i="76"/>
  <c r="V80" i="76"/>
  <c r="F80" i="76"/>
  <c r="T80" i="76"/>
  <c r="R80" i="76"/>
  <c r="P242" i="76"/>
  <c r="L242" i="76"/>
  <c r="N242" i="76"/>
  <c r="J242" i="76"/>
  <c r="V242" i="76"/>
  <c r="F242" i="76"/>
  <c r="H242" i="76"/>
  <c r="T242" i="76"/>
  <c r="R242" i="76"/>
  <c r="N493" i="55"/>
  <c r="L99" i="76"/>
  <c r="P99" i="76"/>
  <c r="J99" i="76"/>
  <c r="F99" i="76"/>
  <c r="H99" i="76"/>
  <c r="N99" i="76"/>
  <c r="V99" i="76"/>
  <c r="R99" i="76"/>
  <c r="T99" i="76"/>
  <c r="L528" i="76"/>
  <c r="P528" i="76"/>
  <c r="N528" i="76"/>
  <c r="J528" i="76"/>
  <c r="F528" i="76"/>
  <c r="H528" i="76"/>
  <c r="V528" i="76"/>
  <c r="R528" i="76"/>
  <c r="T528" i="76"/>
  <c r="R493" i="55"/>
  <c r="L492" i="76"/>
  <c r="P492" i="76"/>
  <c r="F492" i="76"/>
  <c r="N492" i="76"/>
  <c r="J492" i="76"/>
  <c r="H492" i="76"/>
  <c r="V492" i="76"/>
  <c r="R492" i="76"/>
  <c r="T492" i="76"/>
  <c r="L552" i="76"/>
  <c r="N552" i="76"/>
  <c r="V552" i="76"/>
  <c r="R552" i="76"/>
  <c r="P552" i="76"/>
  <c r="F552" i="76"/>
  <c r="J552" i="76"/>
  <c r="H552" i="76"/>
  <c r="T552" i="76"/>
  <c r="P545" i="76"/>
  <c r="L545" i="76"/>
  <c r="N545" i="76"/>
  <c r="V545" i="76"/>
  <c r="T545" i="76"/>
  <c r="R545" i="76"/>
  <c r="H545" i="76"/>
  <c r="F545" i="76"/>
  <c r="J545" i="76"/>
  <c r="P552" i="55"/>
  <c r="R552" i="55"/>
  <c r="P144" i="55"/>
  <c r="R144" i="55"/>
  <c r="P98" i="55"/>
  <c r="R98" i="55"/>
  <c r="P508" i="55"/>
  <c r="R508" i="55"/>
  <c r="P468" i="55"/>
  <c r="R468" i="55"/>
  <c r="P545" i="55"/>
  <c r="R545" i="55"/>
  <c r="P528" i="55"/>
  <c r="R528" i="55"/>
  <c r="P79" i="55"/>
  <c r="R79" i="55"/>
  <c r="P241" i="55"/>
  <c r="R241" i="55"/>
  <c r="F79" i="55"/>
  <c r="F144" i="55"/>
  <c r="F98" i="55"/>
  <c r="F241" i="55"/>
  <c r="N552" i="55"/>
  <c r="N545" i="55"/>
  <c r="N508" i="55"/>
  <c r="N468" i="55"/>
  <c r="N528" i="55"/>
  <c r="N79" i="55"/>
  <c r="N144" i="55"/>
  <c r="N98" i="55"/>
  <c r="N241" i="55"/>
  <c r="AG419" i="1"/>
  <c r="C146" i="76" s="1"/>
  <c r="C145" i="55"/>
  <c r="T145" i="55" s="1"/>
  <c r="K479" i="1"/>
  <c r="L479" i="1" s="1"/>
  <c r="L478" i="1"/>
  <c r="J144" i="55"/>
  <c r="L144" i="55"/>
  <c r="H144" i="55"/>
  <c r="L508" i="55"/>
  <c r="H508" i="55"/>
  <c r="J508" i="55"/>
  <c r="F508" i="55"/>
  <c r="AE456" i="1"/>
  <c r="AG457" i="1"/>
  <c r="AG356" i="1"/>
  <c r="C100" i="76" s="1"/>
  <c r="C99" i="55"/>
  <c r="T99" i="55" s="1"/>
  <c r="I546" i="1"/>
  <c r="K546" i="1" s="1"/>
  <c r="C243" i="76" s="1"/>
  <c r="C242" i="55"/>
  <c r="T242" i="55" s="1"/>
  <c r="J98" i="55"/>
  <c r="L98" i="55"/>
  <c r="H98" i="55"/>
  <c r="H468" i="55"/>
  <c r="L468" i="55"/>
  <c r="F468" i="55"/>
  <c r="J468" i="55"/>
  <c r="H241" i="55"/>
  <c r="L241" i="55"/>
  <c r="J241" i="55"/>
  <c r="J79" i="55"/>
  <c r="H79" i="55"/>
  <c r="L79" i="55"/>
  <c r="K833" i="1"/>
  <c r="C81" i="76" s="1"/>
  <c r="C80" i="55"/>
  <c r="T80" i="55" s="1"/>
  <c r="L528" i="55"/>
  <c r="H528" i="55"/>
  <c r="F528" i="55"/>
  <c r="J528" i="55"/>
  <c r="C529" i="55"/>
  <c r="T529" i="55" s="1"/>
  <c r="R1168" i="1"/>
  <c r="C529" i="76" s="1"/>
  <c r="AS190" i="1"/>
  <c r="C553" i="76" s="1"/>
  <c r="D32" i="78"/>
  <c r="F32" i="78" s="1"/>
  <c r="AR189" i="1"/>
  <c r="AU189" i="1"/>
  <c r="AV189" i="1" s="1"/>
  <c r="AU157" i="1"/>
  <c r="AV157" i="1" s="1"/>
  <c r="AS158" i="1"/>
  <c r="C546" i="76" s="1"/>
  <c r="D26" i="78"/>
  <c r="F26" i="78" s="1"/>
  <c r="AR157" i="1"/>
  <c r="H552" i="55"/>
  <c r="F552" i="55"/>
  <c r="J552" i="55"/>
  <c r="L552" i="55"/>
  <c r="H545" i="55"/>
  <c r="F545" i="55"/>
  <c r="L545" i="55"/>
  <c r="J545" i="55"/>
  <c r="L81" i="76" l="1"/>
  <c r="P81" i="76"/>
  <c r="N81" i="76"/>
  <c r="J81" i="76"/>
  <c r="H81" i="76"/>
  <c r="V81" i="76"/>
  <c r="F81" i="76"/>
  <c r="R81" i="76"/>
  <c r="T81" i="76"/>
  <c r="L100" i="76"/>
  <c r="P100" i="76"/>
  <c r="J100" i="76"/>
  <c r="F100" i="76"/>
  <c r="N100" i="76"/>
  <c r="H100" i="76"/>
  <c r="V100" i="76"/>
  <c r="R100" i="76"/>
  <c r="T100" i="76"/>
  <c r="P529" i="76"/>
  <c r="H529" i="76"/>
  <c r="L529" i="76"/>
  <c r="F529" i="76"/>
  <c r="N529" i="76"/>
  <c r="J529" i="76"/>
  <c r="V529" i="76"/>
  <c r="R529" i="76"/>
  <c r="T529" i="76"/>
  <c r="L146" i="76"/>
  <c r="P146" i="76"/>
  <c r="N146" i="76"/>
  <c r="H146" i="76"/>
  <c r="J146" i="76"/>
  <c r="V146" i="76"/>
  <c r="R146" i="76"/>
  <c r="F146" i="76"/>
  <c r="T146" i="76"/>
  <c r="L243" i="76"/>
  <c r="P243" i="76"/>
  <c r="F243" i="76"/>
  <c r="N243" i="76"/>
  <c r="J243" i="76"/>
  <c r="H243" i="76"/>
  <c r="V243" i="76"/>
  <c r="T243" i="76"/>
  <c r="R243" i="76"/>
  <c r="P553" i="76"/>
  <c r="L553" i="76"/>
  <c r="F553" i="76"/>
  <c r="J553" i="76"/>
  <c r="T553" i="76"/>
  <c r="H553" i="76"/>
  <c r="N553" i="76"/>
  <c r="V553" i="76"/>
  <c r="R553" i="76"/>
  <c r="L546" i="76"/>
  <c r="F546" i="76"/>
  <c r="J546" i="76"/>
  <c r="H546" i="76"/>
  <c r="P546" i="76"/>
  <c r="N546" i="76"/>
  <c r="V546" i="76"/>
  <c r="R546" i="76"/>
  <c r="T546" i="76"/>
  <c r="P80" i="55"/>
  <c r="R80" i="55"/>
  <c r="P145" i="55"/>
  <c r="R145" i="55"/>
  <c r="P553" i="55"/>
  <c r="R553" i="55"/>
  <c r="P546" i="55"/>
  <c r="R546" i="55"/>
  <c r="P529" i="55"/>
  <c r="R529" i="55"/>
  <c r="P242" i="55"/>
  <c r="R242" i="55"/>
  <c r="P99" i="55"/>
  <c r="R99" i="55"/>
  <c r="F242" i="55"/>
  <c r="F99" i="55"/>
  <c r="F80" i="55"/>
  <c r="F145" i="55"/>
  <c r="N553" i="55"/>
  <c r="N546" i="55"/>
  <c r="N529" i="55"/>
  <c r="N80" i="55"/>
  <c r="N242" i="55"/>
  <c r="N99" i="55"/>
  <c r="N145" i="55"/>
  <c r="I547" i="1"/>
  <c r="K547" i="1" s="1"/>
  <c r="C243" i="55"/>
  <c r="T243" i="55" s="1"/>
  <c r="AG420" i="1"/>
  <c r="C147" i="76" s="1"/>
  <c r="C146" i="55"/>
  <c r="T146" i="55" s="1"/>
  <c r="L242" i="55"/>
  <c r="J242" i="55"/>
  <c r="H242" i="55"/>
  <c r="AG458" i="1"/>
  <c r="AE457" i="1"/>
  <c r="J145" i="55"/>
  <c r="L145" i="55"/>
  <c r="H145" i="55"/>
  <c r="AG357" i="1"/>
  <c r="C101" i="76" s="1"/>
  <c r="C100" i="55"/>
  <c r="T100" i="55" s="1"/>
  <c r="J99" i="55"/>
  <c r="H99" i="55"/>
  <c r="L99" i="55"/>
  <c r="K834" i="1"/>
  <c r="C82" i="76" s="1"/>
  <c r="C81" i="55"/>
  <c r="T81" i="55" s="1"/>
  <c r="H80" i="55"/>
  <c r="J80" i="55"/>
  <c r="L80" i="55"/>
  <c r="H529" i="55"/>
  <c r="L529" i="55"/>
  <c r="F529" i="55"/>
  <c r="J529" i="55"/>
  <c r="C530" i="55"/>
  <c r="T530" i="55" s="1"/>
  <c r="R1169" i="1"/>
  <c r="C530" i="76" s="1"/>
  <c r="AU158" i="1"/>
  <c r="AV158" i="1" s="1"/>
  <c r="AR158" i="1"/>
  <c r="AS159" i="1"/>
  <c r="C547" i="76" s="1"/>
  <c r="D27" i="78"/>
  <c r="F27" i="78" s="1"/>
  <c r="H546" i="55"/>
  <c r="J546" i="55"/>
  <c r="L546" i="55"/>
  <c r="F546" i="55"/>
  <c r="AU190" i="1"/>
  <c r="AV190" i="1" s="1"/>
  <c r="AR190" i="1"/>
  <c r="AS191" i="1"/>
  <c r="C554" i="76" s="1"/>
  <c r="H553" i="55"/>
  <c r="J553" i="55"/>
  <c r="L553" i="55"/>
  <c r="F553" i="55"/>
  <c r="L530" i="76" l="1"/>
  <c r="P530" i="76"/>
  <c r="J530" i="76"/>
  <c r="F530" i="76"/>
  <c r="N530" i="76"/>
  <c r="H530" i="76"/>
  <c r="V530" i="76"/>
  <c r="R530" i="76"/>
  <c r="T530" i="76"/>
  <c r="P147" i="76"/>
  <c r="L147" i="76"/>
  <c r="H147" i="76"/>
  <c r="N147" i="76"/>
  <c r="J147" i="76"/>
  <c r="V147" i="76"/>
  <c r="T147" i="76"/>
  <c r="R147" i="76"/>
  <c r="F147" i="76"/>
  <c r="L82" i="76"/>
  <c r="P82" i="76"/>
  <c r="N82" i="76"/>
  <c r="H82" i="76"/>
  <c r="J82" i="76"/>
  <c r="V82" i="76"/>
  <c r="F82" i="76"/>
  <c r="R82" i="76"/>
  <c r="T82" i="76"/>
  <c r="L101" i="76"/>
  <c r="P101" i="76"/>
  <c r="H101" i="76"/>
  <c r="N101" i="76"/>
  <c r="J101" i="76"/>
  <c r="V101" i="76"/>
  <c r="F101" i="76"/>
  <c r="R101" i="76"/>
  <c r="T101" i="76"/>
  <c r="L554" i="76"/>
  <c r="F554" i="76"/>
  <c r="J554" i="76"/>
  <c r="H554" i="76"/>
  <c r="R554" i="76"/>
  <c r="P554" i="76"/>
  <c r="N554" i="76"/>
  <c r="V554" i="76"/>
  <c r="T554" i="76"/>
  <c r="P547" i="76"/>
  <c r="L547" i="76"/>
  <c r="F547" i="76"/>
  <c r="J547" i="76"/>
  <c r="R547" i="76"/>
  <c r="H547" i="76"/>
  <c r="N547" i="76"/>
  <c r="V547" i="76"/>
  <c r="T547" i="76"/>
  <c r="P530" i="55"/>
  <c r="R530" i="55"/>
  <c r="P81" i="55"/>
  <c r="R81" i="55"/>
  <c r="P547" i="55"/>
  <c r="R547" i="55"/>
  <c r="P100" i="55"/>
  <c r="R100" i="55"/>
  <c r="P146" i="55"/>
  <c r="R146" i="55"/>
  <c r="P243" i="55"/>
  <c r="R243" i="55"/>
  <c r="F81" i="55"/>
  <c r="F100" i="55"/>
  <c r="F146" i="55"/>
  <c r="F243" i="55"/>
  <c r="N547" i="55"/>
  <c r="N81" i="55"/>
  <c r="N530" i="55"/>
  <c r="N100" i="55"/>
  <c r="N146" i="55"/>
  <c r="N243" i="55"/>
  <c r="AE458" i="1"/>
  <c r="AG459" i="1"/>
  <c r="H243" i="55"/>
  <c r="L243" i="55"/>
  <c r="J243" i="55"/>
  <c r="C101" i="55"/>
  <c r="T101" i="55" s="1"/>
  <c r="AG358" i="1"/>
  <c r="C102" i="76" s="1"/>
  <c r="AG421" i="1"/>
  <c r="C148" i="76" s="1"/>
  <c r="C147" i="55"/>
  <c r="T147" i="55" s="1"/>
  <c r="J100" i="55"/>
  <c r="H100" i="55"/>
  <c r="L100" i="55"/>
  <c r="H146" i="55"/>
  <c r="L146" i="55"/>
  <c r="J146" i="55"/>
  <c r="C82" i="55"/>
  <c r="T82" i="55" s="1"/>
  <c r="K835" i="1"/>
  <c r="J81" i="55"/>
  <c r="L81" i="55"/>
  <c r="H81" i="55"/>
  <c r="L530" i="55"/>
  <c r="F530" i="55"/>
  <c r="J530" i="55"/>
  <c r="H530" i="55"/>
  <c r="C531" i="55"/>
  <c r="T531" i="55" s="1"/>
  <c r="R1170" i="1"/>
  <c r="C531" i="76" s="1"/>
  <c r="AR191" i="1"/>
  <c r="C554" i="55"/>
  <c r="T554" i="55" s="1"/>
  <c r="AU191" i="1"/>
  <c r="AV191" i="1" s="1"/>
  <c r="H547" i="55"/>
  <c r="L547" i="55"/>
  <c r="J547" i="55"/>
  <c r="F547" i="55"/>
  <c r="AU159" i="1"/>
  <c r="AV159" i="1" s="1"/>
  <c r="C548" i="55"/>
  <c r="AR159" i="1"/>
  <c r="L148" i="76" l="1"/>
  <c r="P148" i="76"/>
  <c r="N148" i="76"/>
  <c r="H148" i="76"/>
  <c r="J148" i="76"/>
  <c r="V148" i="76"/>
  <c r="R148" i="76"/>
  <c r="F148" i="76"/>
  <c r="T148" i="76"/>
  <c r="P102" i="76"/>
  <c r="L102" i="76"/>
  <c r="N102" i="76"/>
  <c r="H102" i="76"/>
  <c r="J102" i="76"/>
  <c r="F102" i="76"/>
  <c r="V102" i="76"/>
  <c r="T102" i="76"/>
  <c r="R102" i="76"/>
  <c r="P531" i="76"/>
  <c r="H531" i="76"/>
  <c r="L531" i="76"/>
  <c r="N531" i="76"/>
  <c r="J531" i="76"/>
  <c r="F531" i="76"/>
  <c r="V531" i="76"/>
  <c r="R531" i="76"/>
  <c r="T531" i="76"/>
  <c r="C83" i="55"/>
  <c r="T83" i="55" s="1"/>
  <c r="C83" i="76"/>
  <c r="D28" i="78"/>
  <c r="F28" i="78" s="1"/>
  <c r="T548" i="55"/>
  <c r="P548" i="55"/>
  <c r="R548" i="55"/>
  <c r="P554" i="55"/>
  <c r="R554" i="55"/>
  <c r="P82" i="55"/>
  <c r="R82" i="55"/>
  <c r="P101" i="55"/>
  <c r="R101" i="55"/>
  <c r="P531" i="55"/>
  <c r="R531" i="55"/>
  <c r="P83" i="55"/>
  <c r="P147" i="55"/>
  <c r="R147" i="55"/>
  <c r="F82" i="55"/>
  <c r="F101" i="55"/>
  <c r="F83" i="55"/>
  <c r="F147" i="55"/>
  <c r="N531" i="55"/>
  <c r="N82" i="55"/>
  <c r="N101" i="55"/>
  <c r="N548" i="55"/>
  <c r="N554" i="55"/>
  <c r="N147" i="55"/>
  <c r="AG422" i="1"/>
  <c r="C149" i="76" s="1"/>
  <c r="C148" i="55"/>
  <c r="T148" i="55" s="1"/>
  <c r="L147" i="55"/>
  <c r="H147" i="55"/>
  <c r="J147" i="55"/>
  <c r="AE459" i="1"/>
  <c r="AG460" i="1"/>
  <c r="J101" i="55"/>
  <c r="H101" i="55"/>
  <c r="L101" i="55"/>
  <c r="AG359" i="1"/>
  <c r="C103" i="76" s="1"/>
  <c r="C102" i="55"/>
  <c r="T102" i="55" s="1"/>
  <c r="H82" i="55"/>
  <c r="L82" i="55"/>
  <c r="J82" i="55"/>
  <c r="H83" i="55"/>
  <c r="L83" i="55"/>
  <c r="J83" i="55"/>
  <c r="F531" i="55"/>
  <c r="L531" i="55"/>
  <c r="H531" i="55"/>
  <c r="J531" i="55"/>
  <c r="C532" i="55"/>
  <c r="T532" i="55" s="1"/>
  <c r="R1171" i="1"/>
  <c r="L554" i="55"/>
  <c r="H554" i="55"/>
  <c r="F554" i="55"/>
  <c r="J554" i="55"/>
  <c r="J548" i="55"/>
  <c r="F548" i="55"/>
  <c r="L548" i="55"/>
  <c r="H548" i="55"/>
  <c r="P149" i="76" l="1"/>
  <c r="L149" i="76"/>
  <c r="J149" i="76"/>
  <c r="N149" i="76"/>
  <c r="H149" i="76"/>
  <c r="V149" i="76"/>
  <c r="R149" i="76"/>
  <c r="T149" i="76"/>
  <c r="F149" i="76"/>
  <c r="L83" i="76"/>
  <c r="P83" i="76"/>
  <c r="J83" i="76"/>
  <c r="H83" i="76"/>
  <c r="N83" i="76"/>
  <c r="V83" i="76"/>
  <c r="F83" i="76"/>
  <c r="T83" i="76"/>
  <c r="R83" i="76"/>
  <c r="C533" i="55"/>
  <c r="T533" i="55" s="1"/>
  <c r="C532" i="76"/>
  <c r="L103" i="76"/>
  <c r="P103" i="76"/>
  <c r="J103" i="76"/>
  <c r="N103" i="76"/>
  <c r="H103" i="76"/>
  <c r="V103" i="76"/>
  <c r="R103" i="76"/>
  <c r="T103" i="76"/>
  <c r="F103" i="76"/>
  <c r="N83" i="55"/>
  <c r="R83" i="55"/>
  <c r="R533" i="55"/>
  <c r="P532" i="55"/>
  <c r="R532" i="55"/>
  <c r="P102" i="55"/>
  <c r="R102" i="55"/>
  <c r="P148" i="55"/>
  <c r="R148" i="55"/>
  <c r="F102" i="55"/>
  <c r="F148" i="55"/>
  <c r="N532" i="55"/>
  <c r="N102" i="55"/>
  <c r="N148" i="55"/>
  <c r="C103" i="55"/>
  <c r="T103" i="55" s="1"/>
  <c r="AG360" i="1"/>
  <c r="C149" i="55"/>
  <c r="T149" i="55" s="1"/>
  <c r="AI422" i="1"/>
  <c r="C150" i="76" s="1"/>
  <c r="L102" i="55"/>
  <c r="H102" i="55"/>
  <c r="J102" i="55"/>
  <c r="J148" i="55"/>
  <c r="L148" i="55"/>
  <c r="H148" i="55"/>
  <c r="AG461" i="1"/>
  <c r="AE460" i="1"/>
  <c r="L532" i="55"/>
  <c r="F532" i="55"/>
  <c r="H532" i="55"/>
  <c r="J532" i="55"/>
  <c r="F533" i="55"/>
  <c r="J533" i="55"/>
  <c r="L150" i="76" l="1"/>
  <c r="P150" i="76"/>
  <c r="H150" i="76"/>
  <c r="J150" i="76"/>
  <c r="N150" i="76"/>
  <c r="V150" i="76"/>
  <c r="R150" i="76"/>
  <c r="F150" i="76"/>
  <c r="T150" i="76"/>
  <c r="H533" i="55"/>
  <c r="P533" i="55"/>
  <c r="L532" i="76"/>
  <c r="P532" i="76"/>
  <c r="F532" i="76"/>
  <c r="N532" i="76"/>
  <c r="J532" i="76"/>
  <c r="H532" i="76"/>
  <c r="V532" i="76"/>
  <c r="R532" i="76"/>
  <c r="T532" i="76"/>
  <c r="C104" i="55"/>
  <c r="T104" i="55" s="1"/>
  <c r="C104" i="76"/>
  <c r="L533" i="55"/>
  <c r="N533" i="55"/>
  <c r="P149" i="55"/>
  <c r="R149" i="55"/>
  <c r="P103" i="55"/>
  <c r="R103" i="55"/>
  <c r="F149" i="55"/>
  <c r="F103" i="55"/>
  <c r="N149" i="55"/>
  <c r="N103" i="55"/>
  <c r="AE461" i="1"/>
  <c r="AG462" i="1"/>
  <c r="L103" i="55"/>
  <c r="H103" i="55"/>
  <c r="J103" i="55"/>
  <c r="J104" i="55"/>
  <c r="J149" i="55"/>
  <c r="L149" i="55"/>
  <c r="H149" i="55"/>
  <c r="C150" i="55"/>
  <c r="T150" i="55" s="1"/>
  <c r="AI423" i="1"/>
  <c r="N104" i="55" l="1"/>
  <c r="R104" i="55"/>
  <c r="C151" i="55"/>
  <c r="T151" i="55" s="1"/>
  <c r="C151" i="76"/>
  <c r="F104" i="55"/>
  <c r="P104" i="55"/>
  <c r="P104" i="76"/>
  <c r="L104" i="76"/>
  <c r="N104" i="76"/>
  <c r="H104" i="76"/>
  <c r="J104" i="76"/>
  <c r="V104" i="76"/>
  <c r="R104" i="76"/>
  <c r="T104" i="76"/>
  <c r="F104" i="76"/>
  <c r="H104" i="55"/>
  <c r="L104" i="55"/>
  <c r="P151" i="55"/>
  <c r="R151" i="55"/>
  <c r="P150" i="55"/>
  <c r="P1006" i="55" s="1"/>
  <c r="D11" i="72" s="1"/>
  <c r="F11" i="72" s="1"/>
  <c r="R150" i="55"/>
  <c r="F150" i="55"/>
  <c r="F151" i="55"/>
  <c r="N151" i="55"/>
  <c r="N150" i="55"/>
  <c r="L151" i="55"/>
  <c r="J151" i="55"/>
  <c r="H151" i="55"/>
  <c r="AG463" i="1"/>
  <c r="AE463" i="1" s="1"/>
  <c r="AE462" i="1"/>
  <c r="L150" i="55"/>
  <c r="H150" i="55"/>
  <c r="J150" i="55"/>
  <c r="P151" i="76" l="1"/>
  <c r="L151" i="76"/>
  <c r="N151" i="76"/>
  <c r="H151" i="76"/>
  <c r="J151" i="76"/>
  <c r="V151" i="76"/>
  <c r="R151" i="76"/>
  <c r="R1000" i="76" s="1"/>
  <c r="D12" i="72" s="1"/>
  <c r="F12" i="72" s="1"/>
  <c r="T151" i="76"/>
  <c r="F151" i="76"/>
  <c r="P1000" i="76"/>
  <c r="T1000" i="76"/>
  <c r="D13" i="72" s="1"/>
  <c r="J1006" i="55"/>
  <c r="D8" i="72" s="1"/>
  <c r="F8" i="72" s="1"/>
  <c r="L1006" i="55"/>
  <c r="N1006" i="55"/>
  <c r="D10" i="72" s="1"/>
  <c r="F10" i="72" s="1"/>
  <c r="H1006" i="55"/>
  <c r="F1006" i="55"/>
  <c r="D9" i="72"/>
  <c r="F9" i="72" s="1"/>
  <c r="F13" i="72"/>
  <c r="D5" i="72" l="1"/>
  <c r="F5" i="72" s="1"/>
  <c r="D7" i="72"/>
  <c r="F7" i="72" s="1"/>
  <c r="N964" i="76"/>
  <c r="N1000" i="76" s="1"/>
  <c r="D18" i="72" s="1"/>
  <c r="F18" i="72" s="1"/>
  <c r="H964" i="76"/>
  <c r="H1000" i="76"/>
  <c r="D15" i="72" s="1"/>
  <c r="F15" i="72" s="1"/>
  <c r="V964" i="76"/>
  <c r="V1000" i="76"/>
  <c r="R1009" i="55" s="1"/>
  <c r="J964" i="76"/>
  <c r="J1000" i="76"/>
  <c r="D16" i="72" s="1"/>
  <c r="F16" i="72" s="1"/>
  <c r="L964" i="76"/>
  <c r="L1000" i="76"/>
  <c r="D17" i="72" s="1"/>
  <c r="F17" i="72" s="1"/>
  <c r="C970" i="55"/>
  <c r="F964" i="76"/>
  <c r="F1000" i="76" s="1"/>
  <c r="R970" i="55" l="1"/>
  <c r="R1006" i="55" s="1"/>
  <c r="T1009" i="55" s="1"/>
  <c r="T970" i="55"/>
  <c r="D232" i="78"/>
  <c r="F232" i="78" s="1"/>
  <c r="F268" i="78" s="1"/>
  <c r="G19" i="72" s="1"/>
  <c r="F6" i="72"/>
  <c r="V1003" i="76"/>
  <c r="V1004" i="76" s="1"/>
  <c r="D14" i="72"/>
  <c r="F14" i="72" s="1"/>
  <c r="T1006" i="55"/>
  <c r="G268" i="78" s="1"/>
  <c r="F19" i="72" l="1"/>
  <c r="I19" i="72" s="1"/>
  <c r="G272" i="78"/>
  <c r="T1010" i="55"/>
  <c r="F23" i="72" l="1"/>
  <c r="F28" i="72" s="1"/>
  <c r="F26" i="72" l="1"/>
  <c r="F24" i="72"/>
  <c r="F25" i="72" s="1"/>
  <c r="F27" i="72"/>
  <c r="F29" i="72" l="1"/>
  <c r="F34" i="72" s="1"/>
  <c r="F35" i="72" s="1"/>
  <c r="H36" i="72" s="1"/>
</calcChain>
</file>

<file path=xl/sharedStrings.xml><?xml version="1.0" encoding="utf-8"?>
<sst xmlns="http://schemas.openxmlformats.org/spreadsheetml/2006/main" count="44706" uniqueCount="7695">
  <si>
    <t>(1Cum)</t>
  </si>
  <si>
    <t>T.W. single leaf  Door shutters using    9 mm tk. phynol bonded BWR plywood</t>
  </si>
  <si>
    <t>joist 10cmx6.5cm spaced at75cm c/c complying</t>
  </si>
  <si>
    <t>C.W SCANTLING UPTO 4M LONG</t>
  </si>
  <si>
    <t>PLASTERING C.M(1:5) 12mmTHICK</t>
  </si>
  <si>
    <t>34.</t>
  </si>
  <si>
    <t>PLASTERING C.M(1:4) 12mmTHICK</t>
  </si>
  <si>
    <t>35.</t>
  </si>
  <si>
    <t>PLASTERING C.M(1:3) 10mmTHICK</t>
  </si>
  <si>
    <t>Centering for soffits for R.C.C.Slabs or</t>
  </si>
  <si>
    <t>TOTAL FOR 1.815 SQM</t>
  </si>
  <si>
    <t xml:space="preserve">M.S DOOR OF SIZE 750 X1350mm </t>
  </si>
  <si>
    <t>50mm thick made in C.C 1:3:6 using 20mm</t>
  </si>
  <si>
    <t>Add sundries</t>
  </si>
  <si>
    <t>STUCCO PLASTERING 12mm tk.</t>
  </si>
  <si>
    <t>CHIPSUSING 86.5KgCEMENT AND</t>
  </si>
  <si>
    <t>MOSAIC TILES GRAY 25X25X2cm.</t>
  </si>
  <si>
    <t>LABOUR CHARGE FOR DOOR/WINDOW SHUTTER  *</t>
  </si>
  <si>
    <t>23.</t>
  </si>
  <si>
    <t>CEMENT (supply at site)</t>
  </si>
  <si>
    <t>LUBRICANT ETC</t>
  </si>
  <si>
    <t xml:space="preserve"> 25mm</t>
  </si>
  <si>
    <t>32mm</t>
  </si>
  <si>
    <t>Total for 40 operations</t>
  </si>
  <si>
    <t xml:space="preserve"> 50X40MM</t>
  </si>
  <si>
    <t>TOTAL FOR 1.6191 SQM</t>
  </si>
  <si>
    <t>PORCELINE WHITE GLASED SOAP DISH 200X100mm</t>
  </si>
  <si>
    <t>Cost of one operation</t>
  </si>
  <si>
    <t>PLASTERED SURFACES</t>
  </si>
  <si>
    <t>PAINTER I</t>
  </si>
  <si>
    <t>38.2</t>
  </si>
  <si>
    <t>Matt paint</t>
  </si>
  <si>
    <t>===========</t>
  </si>
  <si>
    <t>Gully Trap using chamber burnt bricks of size 23x11.4x7.5cm</t>
  </si>
  <si>
    <t>TOTAL FOR .40 SQM</t>
  </si>
  <si>
    <t>a. 110 mm dia.</t>
  </si>
  <si>
    <t>b. 75 mm dia.</t>
  </si>
  <si>
    <t>PVC Ventilating shaft with cowl</t>
  </si>
  <si>
    <t>Window size 60x120cm</t>
  </si>
  <si>
    <t>Rate for 15sqm</t>
  </si>
  <si>
    <t>SUPPLY AND FIXING OF PVC soil PIPE</t>
  </si>
  <si>
    <t>Hbs jelly ,moulding the slab, laying,</t>
  </si>
  <si>
    <t>curing,transporting and placing in</t>
  </si>
  <si>
    <t>possition etc complete</t>
  </si>
  <si>
    <t>VIBRATING CHARGES</t>
  </si>
  <si>
    <t>MASIC TILES LAID IN CM 1:3</t>
  </si>
  <si>
    <t xml:space="preserve">a. 32 mm dia </t>
  </si>
  <si>
    <t xml:space="preserve">b. 25 mm dia </t>
  </si>
  <si>
    <t xml:space="preserve">c. 20 mm dia </t>
  </si>
  <si>
    <t>Wash basin</t>
  </si>
  <si>
    <t>C.I. Steps ( 5 kg)</t>
  </si>
  <si>
    <t>SUPPLY AND FIXING OF 100mm</t>
  </si>
  <si>
    <t>DIA S.W.PIPE</t>
  </si>
  <si>
    <t>Litre</t>
  </si>
  <si>
    <t>Brick work in C.M. 1:6  using Kiln Burnt Country bricks of size 22 x 11 x 7 cm ( 8 3/4" x 4 1/4" x 2 3/4")</t>
  </si>
  <si>
    <t>DESCRIPTION OF MATERIALS</t>
  </si>
  <si>
    <t xml:space="preserve"> STONEWARE BEND</t>
  </si>
  <si>
    <t>EXCAVATION,REFILLING,JOINTING</t>
  </si>
  <si>
    <t>AND CONCRETING</t>
  </si>
  <si>
    <t>Packing with C.M., Scaffolding</t>
  </si>
  <si>
    <t>C.P.TAP15mm DIA</t>
  </si>
  <si>
    <t>CONSTRUCTION OF SEPTIC TANK</t>
  </si>
  <si>
    <t>shutter double leaves with 230mmx25mm size CW</t>
  </si>
  <si>
    <t>d. In  Third Floor</t>
  </si>
  <si>
    <t>COST OF Gravel</t>
  </si>
  <si>
    <t>BRICK JELLY 40mm GAUGE</t>
  </si>
  <si>
    <t>SUNDRIES for dismantling &amp; packing the dismantled 
portion</t>
  </si>
  <si>
    <t>Ls</t>
  </si>
  <si>
    <t>Cost of M.S Sheet and Angles</t>
  </si>
  <si>
    <t xml:space="preserve">S&amp;F of C.I Manhole cover 60 x 60 cm (50kg weight ) </t>
  </si>
  <si>
    <t>M.S FLAT OF SIZE 25 X 6mm HORIZONTAL = 1 X 2 X0.6 x 1.2 Kg/Met</t>
  </si>
  <si>
    <t>SAND,LIME,LABOUR FOR MIXING</t>
  </si>
  <si>
    <t>11.</t>
  </si>
  <si>
    <t>BRICK JELLY 40mmGAUGE</t>
  </si>
  <si>
    <t>CARPENTER-I</t>
  </si>
  <si>
    <t>and painting etc for M.S. Sheet</t>
  </si>
  <si>
    <t>LABOUR FOR CUTTING 32mm DIA  *</t>
  </si>
  <si>
    <t>A.E.E</t>
  </si>
  <si>
    <t>LABOUR FOR CUTTING 40mm DIA  *</t>
  </si>
  <si>
    <t>EARTHING STATION AS PER ISI</t>
  </si>
  <si>
    <t>S/F OF 1 NO OF 30 AMP FUSE UNIT.</t>
  </si>
  <si>
    <t>SUPPLYING AND FIXING OF I.W.C</t>
  </si>
  <si>
    <t>1500 X 2400MM (Double Leaf)</t>
  </si>
  <si>
    <t>LUBRICANTT.W.PLUGS AND</t>
  </si>
  <si>
    <t>P.V.C DOOR TEE</t>
  </si>
  <si>
    <t>58.2</t>
  </si>
  <si>
    <t>LIPPING BOTH SIDES</t>
  </si>
  <si>
    <t>S/L OF 8SWG G.I WIRE FOREARTH TO MAIN</t>
  </si>
  <si>
    <t>Precast Cupboard slab 20 mm tk.</t>
  </si>
  <si>
    <t>SHUTTER SIZE-.9X2.025   =1.823M2</t>
  </si>
  <si>
    <t>STYLES(OVER 2M) -1X2X2.025X0.075X0.0375=0.0114</t>
  </si>
  <si>
    <t>S/F OF METRE CUPBOARD</t>
  </si>
  <si>
    <t>IS 1038/1983.</t>
  </si>
  <si>
    <t>INCLUDING FIXING OF 3NOS OF IRON BRACKET OF</t>
  </si>
  <si>
    <t>SIZE 100MMX100MMX5MM, 6NOS OF HOLDFAST</t>
  </si>
  <si>
    <t>CHECKNUTS AND ALUMINIUM SLEEVES AND 2 NOS OF</t>
  </si>
  <si>
    <t>I.O.TOWER BOLT RECEIVER ALL AS PER DRAWING</t>
  </si>
  <si>
    <t>Rate</t>
  </si>
  <si>
    <t>Rate per 1m</t>
  </si>
  <si>
    <t>SUPPLYING AND LAYING THE FOLLOWING PVC</t>
  </si>
  <si>
    <t>RUN OF MAINS 2-1.5 SQMM COPPER CONCELLED TYPE</t>
  </si>
  <si>
    <t>P.V.C. SOIL SLOTTED COWL 110mm DIA</t>
  </si>
  <si>
    <t>TOTAL FOR0.372 SQM</t>
  </si>
  <si>
    <t>SHUTTER SIZE-1.4X2.05   =2.87 M2</t>
  </si>
  <si>
    <t>TOTAL FOR 2.87 SQM</t>
  </si>
  <si>
    <t xml:space="preserve">B.W IN C.M(1:4) USING Chamber  </t>
  </si>
  <si>
    <t xml:space="preserve">Labour charges for welding </t>
  </si>
  <si>
    <t>Cost of fixturehooks</t>
  </si>
  <si>
    <t>Fixing of screws,painting etc.,</t>
  </si>
  <si>
    <t>Rate for 1 set</t>
  </si>
  <si>
    <t>M.S SQUARE BAR 20 X 20mm HORIZONTAL    = 1 X 3 X 1 X 3.295KG/m</t>
  </si>
  <si>
    <t>PLANKS      -1X1X0.985X0.625=0.616</t>
  </si>
  <si>
    <t>HARD BROKEN STONE JELLY 20mm</t>
  </si>
  <si>
    <t>PAINTER-II</t>
  </si>
  <si>
    <t>PLUMBER  I*</t>
  </si>
  <si>
    <t>7.</t>
  </si>
  <si>
    <t>HARD BROKEN STONE JELLY 40mm</t>
  </si>
  <si>
    <t>PLUMBER-I</t>
  </si>
  <si>
    <t>CARPENTER I/II*</t>
  </si>
  <si>
    <t>CEMENT MORTAR(1:2)</t>
  </si>
  <si>
    <t>SUPPLYING MIXINNG AND LAYING</t>
  </si>
  <si>
    <t>8.</t>
  </si>
  <si>
    <t>SAND FOR MORTAR</t>
  </si>
  <si>
    <t>FOR HINGES</t>
  </si>
  <si>
    <t>LOCKING MATERIAL COST</t>
  </si>
  <si>
    <t>RATE FOR 1 NO</t>
  </si>
  <si>
    <t>G.I PIPE "A"CLASS 80mmDIA / 20mm dia G.I. Pipe class B</t>
  </si>
  <si>
    <t>A.C. SOIL  SINGLE YEE</t>
  </si>
  <si>
    <t>PCC-75MM T.K SLAB</t>
  </si>
  <si>
    <t>P.V.C. SOIL YEE 110mm DIA</t>
  </si>
  <si>
    <t>FINISHING,OIL ETC</t>
  </si>
  <si>
    <t>SUPPLY AND DELIVERY OF FAN 42"SWEEP</t>
  </si>
  <si>
    <t>STRUCTURES AND R.C.C DOOR FRAMES</t>
  </si>
  <si>
    <t>Providing CUDDAPPAH SLAB for cupboard</t>
  </si>
  <si>
    <t>P.V.C.REDUCER ELBOW</t>
  </si>
  <si>
    <t>C.I.DOUBLE YEE JUNCTION WITHOUT DOOR  75mmDIA</t>
  </si>
  <si>
    <t>LABOUR FOR FIXING INCLUDING</t>
  </si>
  <si>
    <t>C.I.DOUBLE YEE JUNCTION WITHOUT DOOR  50mmDIA</t>
  </si>
  <si>
    <t>CLAMP ETC</t>
  </si>
  <si>
    <t>M.S."L" Clamps</t>
  </si>
  <si>
    <t>Labour Charges</t>
  </si>
  <si>
    <t>Total for 1.62 Sqm</t>
  </si>
  <si>
    <t>Total for 1.00 Sqm</t>
  </si>
  <si>
    <t>Carpenter - I</t>
  </si>
  <si>
    <t>Mazdoor - I</t>
  </si>
  <si>
    <t>set</t>
  </si>
  <si>
    <t>============</t>
  </si>
  <si>
    <t>LAYING,FIXING AND CONSELING GI PIPE</t>
  </si>
  <si>
    <t>GI HOT</t>
  </si>
  <si>
    <t>Iron hinge special type</t>
  </si>
  <si>
    <t>Stays and pegs</t>
  </si>
  <si>
    <t>PARTITION WALL OF 50mmTHICK</t>
  </si>
  <si>
    <t>11.2mm IRC metal</t>
  </si>
  <si>
    <t>BELOW G.L</t>
  </si>
  <si>
    <t>A</t>
  </si>
  <si>
    <t>15mm DIA  GI PIPE BELOW G.L</t>
  </si>
  <si>
    <t>G.I. PLUG</t>
  </si>
  <si>
    <t xml:space="preserve">
RATE PER CUM EXCLUDING REFILLING 
</t>
  </si>
  <si>
    <t>No,</t>
  </si>
  <si>
    <t>WITH SUITABLE LEDGES including piming coat</t>
  </si>
  <si>
    <t>PIPESPECIALS OF FOLLOWING DIA:-</t>
  </si>
  <si>
    <t>LABOUR FOR LAYING &amp; FIXING</t>
  </si>
  <si>
    <t>LABOUR CHARGE FOR FIXING FAN</t>
  </si>
  <si>
    <t>4.2</t>
  </si>
  <si>
    <t>R.C.C 1:1.5:3 USING 20mmHBG</t>
  </si>
  <si>
    <t>i. 0.5 x 1.35 mt window</t>
  </si>
  <si>
    <t>j. 0.45 x 1.35 mt window</t>
  </si>
  <si>
    <t>Shutter(MDF Board)      -2X2X.85X0.4=1.36m2</t>
  </si>
  <si>
    <t>TOTAL FOR 1.5 CUM</t>
  </si>
  <si>
    <t>B.w. in C.M. 1:4 for staircase steps Chamber
 burnt bricks 22 x 11 x 7 cm.</t>
  </si>
  <si>
    <t>COST OF ALL FLOOR(THE TERRA COTTA JALLY</t>
  </si>
  <si>
    <t>CONVEY,ALAIGN,JIONT ETC OVER TO40mmPVC PIPE</t>
  </si>
  <si>
    <t>QUALITY AND DESIGN SHALL BE GOT APPROVED</t>
  </si>
  <si>
    <t>BY THE DEPARTMENTAL OFFICERS</t>
  </si>
  <si>
    <t>THREADING CHARGES FOR PVC 20mm/25mm</t>
  </si>
  <si>
    <t>COST OFPVC PIPE JOINTING MATERIALS UPTO 40mm</t>
  </si>
  <si>
    <t>COST OF TERRACOTTA JALLY OF50mm</t>
  </si>
  <si>
    <t>COST OF POLISHING STONE</t>
  </si>
  <si>
    <t>c. 1.35 x  1.05 mt window</t>
  </si>
  <si>
    <t>Manufacturing &amp; supply of steel windows (Weight basis)</t>
  </si>
  <si>
    <t>M.S.Holdfast</t>
  </si>
  <si>
    <t>Flooring in C.C.1:5:10</t>
  </si>
  <si>
    <t>BEST VARNISHING ONE COAT OVER WOOD WORK</t>
  </si>
  <si>
    <t>Lit.</t>
  </si>
  <si>
    <t>BEST VARNISH</t>
  </si>
  <si>
    <t>LINSEED OIL BOILED</t>
  </si>
  <si>
    <t>G.I. 80MM DIA TEE</t>
  </si>
  <si>
    <t>G.I. 80MM DIA HEX.NIPPLE</t>
  </si>
  <si>
    <t>G.I. 80MM X50mm REDUCER</t>
  </si>
  <si>
    <t xml:space="preserve">PROVIDING FORM WORK AND CENTERING FOR </t>
  </si>
  <si>
    <t>C.I.CLAMPS ETC</t>
  </si>
  <si>
    <t>BITUMEN</t>
  </si>
  <si>
    <t>BINDING WIRE</t>
  </si>
  <si>
    <t>TOTAL FOR 1.0 CUM</t>
  </si>
  <si>
    <t>POLISHING  STONE</t>
  </si>
  <si>
    <t>2.2</t>
  </si>
  <si>
    <t>Precast cupboard slab 40 mm tk.</t>
  </si>
  <si>
    <t>Formwork using M.S.Sheet</t>
  </si>
  <si>
    <t>COMPLETE  type 'B'.</t>
  </si>
  <si>
    <t>SUPPLY AND DELIVERY OF FAN 48"SWEEP with 
Electronic Regulator step dimmer.</t>
  </si>
  <si>
    <t>WITH DOUBLE FLAPPED PLASTIC SEAT COVER</t>
  </si>
  <si>
    <t>a. In Ground Floor</t>
  </si>
  <si>
    <t>b. In First Floor</t>
  </si>
  <si>
    <t>c. In Second Floor</t>
  </si>
  <si>
    <t>d. In Third Floor</t>
  </si>
  <si>
    <t xml:space="preserve">Supplying &amp;fixing 110mm dia PVC </t>
  </si>
  <si>
    <t>30.</t>
  </si>
  <si>
    <t>Gravel</t>
  </si>
  <si>
    <t>LABOUR COST OF CHANNELMOULD/PAINTING ANTCORROSIVE</t>
  </si>
  <si>
    <t xml:space="preserve">M.S FLAT OF SIZE 25 X 6mm    = 1.00 X .025 X .06 X 7850 Kg/CUM </t>
  </si>
  <si>
    <t>CEMENT CONCRETE(1:3:6) USING</t>
  </si>
  <si>
    <t>C.M 1:4 , 20MM THICK</t>
  </si>
  <si>
    <t xml:space="preserve">M.S VENTILATOR OF SIZE - 600 X 1350mm ( 1 No ) </t>
  </si>
  <si>
    <t xml:space="preserve">ALROUND M.S FLAT OF SIZE 50 X 10mm      = 3.9 M X 3.9 Kg/Met </t>
  </si>
  <si>
    <t>SQUARE BARS OF SIZE 20 x 20mm               = 12Nos X .6M 3.14 Kg/Met</t>
  </si>
  <si>
    <t xml:space="preserve"> 4KG/SQ.CM</t>
  </si>
  <si>
    <t>20mm  DIA G.I PIPE ABOVE G.L</t>
  </si>
  <si>
    <t>DIA S.W.PIPE(LOOSE JOINTING)</t>
  </si>
  <si>
    <t xml:space="preserve"> 100mmDIA S.W.PIPE</t>
  </si>
  <si>
    <t xml:space="preserve"> 150mmDIA S.W.PIPE</t>
  </si>
  <si>
    <t>Total for One Number</t>
  </si>
  <si>
    <t>Unit</t>
  </si>
  <si>
    <t>(1000 Nos)</t>
  </si>
  <si>
    <t>Sl. No.</t>
  </si>
  <si>
    <t>28.</t>
  </si>
  <si>
    <t>Cuddappa slab 20 mm tk.for kitchen hearth slab.</t>
  </si>
  <si>
    <t>c.1200X2100mm.</t>
  </si>
  <si>
    <t>Gully Trap using Chamber burnt bricks 23 x 11 x 7 cm.</t>
  </si>
  <si>
    <t>f.500mm dia</t>
  </si>
  <si>
    <t>Sand Gravel Mix</t>
  </si>
  <si>
    <t>sqm</t>
  </si>
  <si>
    <t>Providing earth quake resistant for Corner walls</t>
  </si>
  <si>
    <t>a. Ground Floor</t>
  </si>
  <si>
    <t>b. First Floor</t>
  </si>
  <si>
    <t>c. Second Floor</t>
  </si>
  <si>
    <t>ALU TOWEL RAIL 20mm ,2'LONG</t>
  </si>
  <si>
    <t>CHAMBER OF SIZE 60X60X60cm</t>
  </si>
  <si>
    <t xml:space="preserve"> 50mm DIA</t>
  </si>
  <si>
    <t xml:space="preserve"> 75mm DIA</t>
  </si>
  <si>
    <t xml:space="preserve"> 100mm DIA</t>
  </si>
  <si>
    <t>Anti termite treatment</t>
  </si>
  <si>
    <t>HDPE water tank 700 lit capacity with ISI mark</t>
  </si>
  <si>
    <t>PVC Water supply (ASTM)</t>
  </si>
  <si>
    <t>SUPLLYING AND FILLING WITH 40MM Brick jelly</t>
  </si>
  <si>
    <t>C.I. TEE JUNCTION WITHOUT DOOR  100mmDIA</t>
  </si>
  <si>
    <t>TAMIL NADU POLICE HOUSING CORPORATION</t>
  </si>
  <si>
    <t xml:space="preserve">  </t>
  </si>
  <si>
    <t xml:space="preserve">E.W EXCAVATION </t>
  </si>
  <si>
    <t>REFILLING</t>
  </si>
  <si>
    <t>BRICK JELLY CONCRETE USING 40mm(1:8:16)</t>
  </si>
  <si>
    <t>56.2.</t>
  </si>
  <si>
    <t xml:space="preserve"> IN OTHER THAN G.FLOOR.</t>
  </si>
  <si>
    <t>T.W.SINGLY LEAF FULLY PANELLED</t>
  </si>
  <si>
    <t>DOOR SHUTTER FOR DOOR OF SIZE</t>
  </si>
  <si>
    <t xml:space="preserve"> P.C.C,R.C.C SLAB OF40mm THICK</t>
  </si>
  <si>
    <t>nos</t>
  </si>
  <si>
    <t xml:space="preserve"> 1Use</t>
  </si>
  <si>
    <t>LABOUR FOR CUTTING 20mm DIA  *</t>
  </si>
  <si>
    <t>Supplying and fixing M.S.Hold</t>
  </si>
  <si>
    <t>fast with screws</t>
  </si>
  <si>
    <t>M.S. Angle</t>
  </si>
  <si>
    <t>PLASTERING IN C.M(1:3)</t>
  </si>
  <si>
    <t>12mMT.K MIXED WITH W.P.C.</t>
  </si>
  <si>
    <t>BRICK JELLY CONCRETE (1:8:16)</t>
  </si>
  <si>
    <t>USING 40 mm BRICK JELLY</t>
  </si>
  <si>
    <t>Kg.</t>
  </si>
  <si>
    <t>Cost of M.S sheet of size</t>
  </si>
  <si>
    <t>b. Window: 120 cm ht.</t>
  </si>
  <si>
    <t>c. Window: 105 cm ht.</t>
  </si>
  <si>
    <t>d. Ventilator: (90 x 60 cm)</t>
  </si>
  <si>
    <t>Supplying and fixing B.I.C.W.Meter cupboard with</t>
  </si>
  <si>
    <t>Carpenter I class</t>
  </si>
  <si>
    <t>S/F OF 6 WAY D.B</t>
  </si>
  <si>
    <t>FOR LINTEL &amp; BEAMS</t>
  </si>
  <si>
    <t>SURFACES FOR PLINTH BEAM ETC.</t>
  </si>
  <si>
    <t>POSTION COMPLETE IN ALL RESPECT</t>
  </si>
  <si>
    <t>AND AS DIRECTED BY THE DEPT,</t>
  </si>
  <si>
    <t>OFFICERS</t>
  </si>
  <si>
    <t xml:space="preserve"> 2omm alu. hanger rod</t>
  </si>
  <si>
    <t>Set</t>
  </si>
  <si>
    <t>TOTAL FOR 1 NO</t>
  </si>
  <si>
    <t>B.</t>
  </si>
  <si>
    <t>LIFT CHARGES FOR CONCRETE IN F.F  *</t>
  </si>
  <si>
    <t>COST OF LIME</t>
  </si>
  <si>
    <t>Gully Trap using Chamber burnt bricks 23 x 11.2 x 7 cm.</t>
  </si>
  <si>
    <t>(50mmT.K PCC SLAB)</t>
  </si>
  <si>
    <t>S/F OF SLIM TUBELIGHT FITTING WITH ELECTRONICS BALLAST.</t>
  </si>
  <si>
    <t xml:space="preserve">Providing precast Kerb stone in C.C. 1:3:6,  450 x 300 x 150 mm </t>
  </si>
  <si>
    <t>Meter cupboard</t>
  </si>
  <si>
    <t>Vibrat-charges(R.C.C)</t>
  </si>
  <si>
    <t>70.2</t>
  </si>
  <si>
    <t>150X100mm S.W. GULLY TRAPS</t>
  </si>
  <si>
    <t>T.W.SCANDLING UPTO 2M</t>
  </si>
  <si>
    <t>T.W. PLANK 12mm to 25mm T.K UPTO 30cmWIDTH</t>
  </si>
  <si>
    <t>Mangalore tiles,(1000nos.) machine pressed tiles, (2000nos)
Hydraulic pressed tiles, Mosaic tiles(1500 nos)</t>
  </si>
  <si>
    <t>Mosaic</t>
  </si>
  <si>
    <t>c. Calling bell point with Buzzer/Calling bell</t>
  </si>
  <si>
    <t xml:space="preserve">Fan point </t>
  </si>
  <si>
    <t>Staircase light point</t>
  </si>
  <si>
    <t>Supply and filling of 20 mm HBSJ</t>
  </si>
  <si>
    <t>2 x 2.5 Sqmm Copper PVC insulated unsheathed single core 1 KV grade cable for EB service single phase.</t>
  </si>
  <si>
    <t>2.5 Sqmm copper PVC insulated unsheathed single core cable</t>
  </si>
  <si>
    <t>B.w. in C.M. 1:4 for staircase steps Chamber
 burnt bricks 23 x 11.2 x 7 cm.</t>
  </si>
  <si>
    <t>WASH BASIN 480x400mm</t>
  </si>
  <si>
    <t>Add sundries for CM 1:3</t>
  </si>
  <si>
    <t>T.W SCANTLING  ABOVE 2M LONG</t>
  </si>
  <si>
    <t>T.W SCANTLING  BELOW 2M LONG</t>
  </si>
  <si>
    <t>T.W PLANKS OVER 15TO 30cm</t>
  </si>
  <si>
    <t>AT75cm CENTERS</t>
  </si>
  <si>
    <t>P.V.C. DOUBLE TEE WITH DOOR 75mm DIA</t>
  </si>
  <si>
    <t>angles and 5 uses for C.W.joist and</t>
  </si>
  <si>
    <t>P.V.C. DOUBLE TEE WITH DOOR 100mm DIA</t>
  </si>
  <si>
    <t>casurina props</t>
  </si>
  <si>
    <t>c.</t>
  </si>
  <si>
    <t>m.s grills with out glass of</t>
  </si>
  <si>
    <t>b) Augering 30cm dia</t>
  </si>
  <si>
    <t>LABOUR FOR THREADING 40mm DIA /80mm Dia *</t>
  </si>
  <si>
    <t>MAZDOOR II</t>
  </si>
  <si>
    <t>|::</t>
  </si>
  <si>
    <t>LABOUR FOR THREADING 50mm DIA /65mm Dia *</t>
  </si>
  <si>
    <t>COST OF JOINTING MATERIALS</t>
  </si>
  <si>
    <t>S/F OF 40mmDIA B-CASS G.I COUPLER</t>
  </si>
  <si>
    <t>ALL SIZES WITH OUT SHUTTER</t>
  </si>
  <si>
    <t>B.W. IN C.M(1:6) USING COUNTRY BRICK</t>
  </si>
  <si>
    <t>==========================================================</t>
  </si>
  <si>
    <t>P.V.C. SOIL BENDWITH DOOR 50mm DIA</t>
  </si>
  <si>
    <t>COUNTRY WOOD SINGLY LEAF FULLY PANELLED</t>
  </si>
  <si>
    <t>DOOR OF SIZE 100X210Cm</t>
  </si>
  <si>
    <t>C.W.SINGLY LEAF FULLY PANELLED</t>
  </si>
  <si>
    <t>C.W SCANTLING  UPTO 4M LONG (PADAK)</t>
  </si>
  <si>
    <t>C.W PLANKS 25mm thick &amp; 30cm wide.</t>
  </si>
  <si>
    <t>QUALITY AND FIXING IN POSITION WITH</t>
  </si>
  <si>
    <t>MTS</t>
  </si>
  <si>
    <t>S/F OF 50mmDIA A.C PIPE</t>
  </si>
  <si>
    <t>20MM DIA GI PIPE FOR HOT WATER LINE</t>
  </si>
  <si>
    <t xml:space="preserve">COST OF 20MM DIA GI PIPE </t>
  </si>
  <si>
    <t>ADD 20% FOR GI SPECIALS</t>
  </si>
  <si>
    <t>SUNDRIES FOR MOULDIN ETC</t>
  </si>
  <si>
    <t>G.M.VALUE WITH POLYTHENE BALL OF 15mmDIA</t>
  </si>
  <si>
    <t xml:space="preserve"> CC(1:2:4)IN20mmmHBS(PLAIN)</t>
  </si>
  <si>
    <t>Supplying &amp; fixing of Terra cotta jolly (more than  50mm  upto 110 mm)</t>
  </si>
  <si>
    <t xml:space="preserve">              Providing shahabad stone grey colour of 20mm thick in C.M 1:3</t>
  </si>
  <si>
    <t>Cement slurry</t>
  </si>
  <si>
    <t>1000 Kg</t>
  </si>
  <si>
    <t xml:space="preserve">Mason II </t>
  </si>
  <si>
    <t>Mazdoor I</t>
  </si>
  <si>
    <t>COLOUR WASHING  TWO COATS</t>
  </si>
  <si>
    <t xml:space="preserve">                  2 X 1 X 0.425 X 0.30 X 0.01875     = 0.0048</t>
  </si>
  <si>
    <t>rails for shutters and 75x25mm weldmesh of bamd</t>
  </si>
  <si>
    <t xml:space="preserve">                =39.2 x .05 =1.96 cum</t>
  </si>
  <si>
    <t>C.C 1:3:6 using 20mm HBS</t>
  </si>
  <si>
    <t>Mason I class</t>
  </si>
  <si>
    <t>Mazdoor II class</t>
  </si>
  <si>
    <t>Moulding charge</t>
  </si>
  <si>
    <t>Earth work excavation</t>
  </si>
  <si>
    <t>CC 1:5:10</t>
  </si>
  <si>
    <t>KG</t>
  </si>
  <si>
    <t>MS angle</t>
  </si>
  <si>
    <t>MS Stiffner</t>
  </si>
  <si>
    <t>Supply and filling of 20 mm Brick jelly</t>
  </si>
  <si>
    <t>d. 1.2 x 1.35 mt window</t>
  </si>
  <si>
    <t>SHUTTER SIZE-1.4X2.35   =3.29M2</t>
  </si>
  <si>
    <t>TOTAL FOR 3.29 SQM</t>
  </si>
  <si>
    <t>Gravel soling</t>
  </si>
  <si>
    <t>M3</t>
  </si>
  <si>
    <t>1M3</t>
  </si>
  <si>
    <t>Rate for 1 RM</t>
  </si>
  <si>
    <t>plank for alround sides 62.5x31.25mm styles and</t>
  </si>
  <si>
    <t>WIREMAN GR-I</t>
  </si>
  <si>
    <t>Mtr</t>
  </si>
  <si>
    <t>SUNDRIES FOR PVC SPECIALS &amp; FISH WIRE ETC.,</t>
  </si>
  <si>
    <t>LIFT CHARGES FOR B.W IN F.F  *</t>
  </si>
  <si>
    <t xml:space="preserve"> 32MM DIA PVC PIPE ABOVE G.L:-</t>
  </si>
  <si>
    <t xml:space="preserve"> 50mm DIA----DO----3.9mm</t>
  </si>
  <si>
    <t>TOTAL FOR 1 RMT</t>
  </si>
  <si>
    <t>M.S. WIRE 3mm</t>
  </si>
  <si>
    <t>COST OF FILLINGSAND</t>
  </si>
  <si>
    <t>T.F</t>
  </si>
  <si>
    <t>EARTH WORK EXCAVATION IN SDR</t>
  </si>
  <si>
    <t xml:space="preserve">up to 1.25m width </t>
  </si>
  <si>
    <t xml:space="preserve"> 1.5 times E.W</t>
  </si>
  <si>
    <t>2.1</t>
  </si>
  <si>
    <t>FILLING IN FOUNDATION AND</t>
  </si>
  <si>
    <t>G.F</t>
  </si>
  <si>
    <t>RTS/MS above 16mm dia</t>
  </si>
  <si>
    <t>F.F</t>
  </si>
  <si>
    <t>a. 1000 x 2100 mm</t>
  </si>
  <si>
    <t>Cement</t>
  </si>
  <si>
    <t>Supplying. Fabricating and erection of M.S Scheme Name board</t>
  </si>
  <si>
    <t>S &amp; F of E.W.C.(white)</t>
  </si>
  <si>
    <t>S &amp; F of E.W.C.(colour)</t>
  </si>
  <si>
    <t>PVC SWR pipe (Soil line)</t>
  </si>
  <si>
    <t>WHITE WASHING THREE COAT</t>
  </si>
  <si>
    <t>Rate for 1 no.</t>
  </si>
  <si>
    <t>59.</t>
  </si>
  <si>
    <t>HBSJ 37.5mm to 26.5mm IRC metal</t>
  </si>
  <si>
    <t>HBSJ 11.2mm IRC metal</t>
  </si>
  <si>
    <t>POSITION ETC COMPLETE IN ALL RESPECT AND</t>
  </si>
  <si>
    <t>C.C(1:2:4)USING 20mm HBSTONE</t>
  </si>
  <si>
    <t>70CM LONG INCLUDING COST OF SCREW TW</t>
  </si>
  <si>
    <t>PLUGS AND LABOURS CHARGES FOR FIXING IN</t>
  </si>
  <si>
    <t>PLANKS : 2 X 4 X 0.425 X 0.30 X 0.01875     = 0.019</t>
  </si>
  <si>
    <t xml:space="preserve">              2X 3 X 0.55 X 0.075 X 0.0375           = 0.0093</t>
  </si>
  <si>
    <t>FLATE BACK URINAL FOR MEN</t>
  </si>
  <si>
    <t>Total for TEN sqm</t>
  </si>
  <si>
    <t>FLATE BACK URINAL FOR WOMEN</t>
  </si>
  <si>
    <t>CONSTRUCTION OF LEACH PIT AS</t>
  </si>
  <si>
    <t>P.V.C. SOIL PIPE 110mm DIA</t>
  </si>
  <si>
    <t>RATE for one sqm</t>
  </si>
  <si>
    <t>PER SD NO 49/77</t>
  </si>
  <si>
    <t>P.V.C. SOIL PIPE 75mm DIA</t>
  </si>
  <si>
    <t>P.V.C. SOIL PIPE 50mm DIA</t>
  </si>
  <si>
    <t>E.W ONLY</t>
  </si>
  <si>
    <t>HBSJ 63mm to 45mm IRC metal</t>
  </si>
  <si>
    <t>C.M(1:2)</t>
  </si>
  <si>
    <t>COST OFPVC PIPE JOINTING MATERIALS OVER 40mm</t>
  </si>
  <si>
    <t>a. 1.8 x 1.35 mt.window</t>
  </si>
  <si>
    <t>b. 1.35 x 1.35 mt.window</t>
  </si>
  <si>
    <t xml:space="preserve">                  2 X 1 X 0.575 X 0.30 X 0.01875     = 0.0065</t>
  </si>
  <si>
    <t>10-20</t>
  </si>
  <si>
    <t>SHUTTER SIZE-1.10X2.025   =2.2275M2</t>
  </si>
  <si>
    <t>C.P.STOPCOCK 20mM DIA 500 gm</t>
  </si>
  <si>
    <t>RAILS(BELOW 2M)- 1X3X1.10X0.15X0.0375=      0.01856</t>
  </si>
  <si>
    <t xml:space="preserve"> 25c</t>
  </si>
  <si>
    <t>Bricks of size 23x11.2x7 cm</t>
  </si>
  <si>
    <t>Bricks of size 23X11.2X7Cm</t>
  </si>
  <si>
    <t>-------------------</t>
  </si>
  <si>
    <t>PARTITION WALL OF 112 mm thick</t>
  </si>
  <si>
    <t>PARTITION WALL OF 70mm thick</t>
  </si>
  <si>
    <t>10 gauge for panels including labour charges for</t>
  </si>
  <si>
    <t>M.S FLAT OF SIZE 25 X 6mm HORIZONTAL            = 1 X 4 X 0.75 X 1.2Kg</t>
  </si>
  <si>
    <t>P.V.C. SOIL YEEWITH DOOR 110mm DIA</t>
  </si>
  <si>
    <t>P.V.C. SOIL YEEWITH DOOR 75mm DIA</t>
  </si>
  <si>
    <t>CONSTRUCTION OF DISPERSION</t>
  </si>
  <si>
    <t>Rate for 1 kg</t>
  </si>
  <si>
    <t>WEIGHT OF MATERIAL</t>
  </si>
  <si>
    <t xml:space="preserve"> 20mm HB STONE JELLY</t>
  </si>
  <si>
    <t>CEMENT PAINT</t>
  </si>
  <si>
    <t>TOTAL FOR 10 SQM</t>
  </si>
  <si>
    <t>C.C. 1:3:6 using 20mm HBS</t>
  </si>
  <si>
    <t>ALU ALDROP 6"X1/2"</t>
  </si>
  <si>
    <t>M.S. HOLD FAST WITH SCREWS *</t>
  </si>
  <si>
    <t>25.</t>
  </si>
  <si>
    <t>WIDE&amp;12TO15mm T.K</t>
  </si>
  <si>
    <t>LABOUR FOR WROUGHT&amp;PUTUP</t>
  </si>
  <si>
    <t>MAZDOOR I   *</t>
  </si>
  <si>
    <t>L.S</t>
  </si>
  <si>
    <t>SUNDRIES</t>
  </si>
  <si>
    <t>4.</t>
  </si>
  <si>
    <t>Shutter(BWR Plywood)      -2X2X.85X0.4=1.36m2</t>
  </si>
  <si>
    <t>Bottle trap (Polymer range)</t>
  </si>
  <si>
    <t>TW scantling(below 2M) -1X2X1.2X0.075X0.0375=0.00675</t>
  </si>
  <si>
    <t>Shutter styles(vertical) -1X4X1.95X0.075X0.0375=0.02194</t>
  </si>
  <si>
    <t>Shutter styles(Horizantal) -2X2X0.4X0.075X0.0375=0.0045</t>
  </si>
  <si>
    <t>TOTAL FOR 1.845 SQM</t>
  </si>
  <si>
    <t>SHUTTER AREA      = 2X0.7 X 2.025                                    = 2.835 Sqm</t>
  </si>
  <si>
    <t xml:space="preserve">               - 1X3X0.6X0.075X0.0375 =0.0051</t>
  </si>
  <si>
    <t>PLANKS      -1X5X0.425X0.295X0.01875=</t>
  </si>
  <si>
    <t>TOTAL FOR 1.215SQM</t>
  </si>
  <si>
    <t>23.1.</t>
  </si>
  <si>
    <t>Main Data</t>
  </si>
  <si>
    <t>RCC 1:1.5:3 excluding vibrating charges</t>
  </si>
  <si>
    <t>Mason II</t>
  </si>
  <si>
    <t xml:space="preserve">Ls </t>
  </si>
  <si>
    <t>THREADING CHARGES</t>
  </si>
  <si>
    <t>B.W IN C.M(1:4) USING 4-A Categery</t>
  </si>
  <si>
    <t>PLANTING AVENUE TREES</t>
  </si>
  <si>
    <t>Manure</t>
  </si>
  <si>
    <t>RED EARTH</t>
  </si>
  <si>
    <t>River sand</t>
  </si>
  <si>
    <t>mixing charges</t>
  </si>
  <si>
    <t>Brass screws</t>
  </si>
  <si>
    <t>Providing Driven PILES</t>
  </si>
  <si>
    <t>a.300mm dia</t>
  </si>
  <si>
    <t>b.330mm dia</t>
  </si>
  <si>
    <t>c.375mm dia</t>
  </si>
  <si>
    <t>Teak wood "Window" &amp;  Ventilator Shutter</t>
  </si>
  <si>
    <t>Supply and filling of 40 mm HBSJ</t>
  </si>
  <si>
    <t>S.F OF A.C.SPOUT PIPE OF100mm DIA</t>
  </si>
  <si>
    <t>C.I. GREATING 100mmDIA</t>
  </si>
  <si>
    <t>C.I. GREATING 75mmDIA</t>
  </si>
  <si>
    <t>G.I PIPE "A"CLASS 80mmDIA</t>
  </si>
  <si>
    <t>SPOUT PIPE OF 100mm DIA</t>
  </si>
  <si>
    <t>C.W.SCANTLING upto 4m long (Padak)</t>
  </si>
  <si>
    <t>COST OF SAND,GRAVEL,STACKING,LABOUR FOR</t>
  </si>
  <si>
    <t>Forth floor</t>
  </si>
  <si>
    <t>ALU HOOKS &amp; EYES6"</t>
  </si>
  <si>
    <t>ALU HOOKS &amp; EYES3"</t>
  </si>
  <si>
    <t>RANDUM RABBLE MASONRY IN CM 1:5</t>
  </si>
  <si>
    <t>I.O. HINGES 4"</t>
  </si>
  <si>
    <t>PAINTING TWO COATS OVER new</t>
  </si>
  <si>
    <t>I.O. ALDROP 10"X5.8"</t>
  </si>
  <si>
    <t>I.O. ALDROP 6"X1/2"</t>
  </si>
  <si>
    <t>PLASTERING C.M(1:2) 12mmTHICK</t>
  </si>
  <si>
    <t>Cost of 3mm window glass</t>
  </si>
  <si>
    <t>S/F OF BULK HEAD FITTING</t>
  </si>
  <si>
    <t>COST  OF ONE OPERATION</t>
  </si>
  <si>
    <t>100mm DIA</t>
  </si>
  <si>
    <t>CARPENTER I</t>
  </si>
  <si>
    <t>P.V.C.FLUSHING PIPE 32mm DIA 6'LONG</t>
  </si>
  <si>
    <t>Rate for one SQM</t>
  </si>
  <si>
    <t>painting etc  for M.S. Sheet</t>
  </si>
  <si>
    <t>SUNDRIES FOR BRUSH,BLUE,GUM ETC</t>
  </si>
  <si>
    <t>SUNDRIES FOR BRUSHES,CLOTH ETC</t>
  </si>
  <si>
    <t>Sundries FOR PLUGS ,NAILS AND LABOUR ETC.,</t>
  </si>
  <si>
    <t xml:space="preserve">sundries </t>
  </si>
  <si>
    <t>SUNDRIES FOR T.W.Plugs etc</t>
  </si>
  <si>
    <t xml:space="preserve">M.S VENTILATOR OF SIZE - 600 X 900mm ( 1 No ) </t>
  </si>
  <si>
    <t>M.S FLAT OF SIZE 25 X 6mm HORIZONTAL = 1 X 2 X 1.2 Kg/Met</t>
  </si>
  <si>
    <t>VERTICAL                                                             = 1 X 3 X 0.6 X 1.2 Kg/Met</t>
  </si>
  <si>
    <t>Steel</t>
  </si>
  <si>
    <t>Chicken Mesh</t>
  </si>
  <si>
    <t>Hings</t>
  </si>
  <si>
    <t>Rate for 1 No.</t>
  </si>
  <si>
    <t>HP 10G stiffened with welded M.S angle of</t>
  </si>
  <si>
    <t xml:space="preserve"> "   OF SIZE 47.5X120cm</t>
  </si>
  <si>
    <t>size 25x25x3mm laid over silver oak (C.W)</t>
  </si>
  <si>
    <t>b.</t>
  </si>
  <si>
    <t>DOOR OF SIZE 90X200Cm</t>
  </si>
  <si>
    <t xml:space="preserve"> "   OF SIZE 90X105cm</t>
  </si>
  <si>
    <t>MIXING &amp;CONSOLIDATION ETC</t>
  </si>
  <si>
    <t>COMPLETE.</t>
  </si>
  <si>
    <t>STACKING CHARGES</t>
  </si>
  <si>
    <t>QUTL</t>
  </si>
  <si>
    <t>R.T.S RODS/M.S.RODS UPTO 16MM DIA</t>
  </si>
  <si>
    <t>MT</t>
  </si>
  <si>
    <t>FITTER I</t>
  </si>
  <si>
    <t>Cement for slurry</t>
  </si>
  <si>
    <t>Painter-II</t>
  </si>
  <si>
    <t>TOTTAL FOR 1 QTL</t>
  </si>
  <si>
    <t>RATE PER M.T</t>
  </si>
  <si>
    <t>b. above 16mm dia</t>
  </si>
  <si>
    <t>R.T.S RODS/M.S.RODS ABOVE 16MM DIA</t>
  </si>
  <si>
    <t>43.</t>
  </si>
  <si>
    <t>PLACING R.T.S RODS/MS RODS upto 16mm dia(without cement  slurry)</t>
  </si>
  <si>
    <t>Precasting Charges</t>
  </si>
  <si>
    <t>Transporting</t>
  </si>
  <si>
    <t>Laying and Pointing</t>
  </si>
  <si>
    <t>WALL WITH WOODEN PLUGES</t>
  </si>
  <si>
    <t>ADD FOR BUILDING</t>
  </si>
  <si>
    <t>P.V.C. S.D TAP 15mm DIA</t>
  </si>
  <si>
    <t>a. In Foundation and basement</t>
  </si>
  <si>
    <t>b. In Ground Floor</t>
  </si>
  <si>
    <t>CEMENT CONCRETE(1:4:8) USING</t>
  </si>
  <si>
    <t>c. In First Floor</t>
  </si>
  <si>
    <t>G.I. 80MM DIA CUPPLER</t>
  </si>
  <si>
    <t>G.I. 80MM DIA UNION</t>
  </si>
  <si>
    <t>G.I. 80MM DIA PLUG</t>
  </si>
  <si>
    <t>SUPPLYING AND FABRICATING AND</t>
  </si>
  <si>
    <t>RATE PER SQM</t>
  </si>
  <si>
    <t>whitewashing one coat for old wall</t>
  </si>
  <si>
    <t xml:space="preserve">S/F OF S.C TW BOARD,3-30AMPFUSE, EARTHPLATE </t>
  </si>
  <si>
    <t>C.W Joist for one use (1.2</t>
  </si>
  <si>
    <t>STEEL DOOR FRAMES AND WINDOW FRAMES WITH SHUTTER</t>
  </si>
  <si>
    <t xml:space="preserve">RUN OF S.C WIRING WITH 2-4 SQMM COPPER ,7/20 GI </t>
  </si>
  <si>
    <t>Cuddappah slab</t>
  </si>
  <si>
    <t>C.I.STEEPS(5Kg)</t>
  </si>
  <si>
    <t>No.</t>
  </si>
  <si>
    <t>Mason Ist</t>
  </si>
  <si>
    <t>Pressed tiles (23cmx23cmx20mm) mixed with Crude oil</t>
  </si>
  <si>
    <t>700MMX2100MM SIZE OF DOOR FRAME</t>
  </si>
  <si>
    <t>22.1 (a)</t>
  </si>
  <si>
    <t>MDF  double leaf shutter with TW alround frame for ward robe / cup board</t>
  </si>
  <si>
    <t>with bolt and nuts 6 nos of 2" size I.O. hooks</t>
  </si>
  <si>
    <t>SUPPLY OF 5-10AMP/10-20AMP ELE. ENERGY METER</t>
  </si>
  <si>
    <t xml:space="preserve"> 150mmDIA S.W.PIPE WITH ISI MARK</t>
  </si>
  <si>
    <t>61.2(a)</t>
  </si>
  <si>
    <t xml:space="preserve"> --DO--FOR 5AMP 5PIN PLUG AT SWITCH BOARD</t>
  </si>
  <si>
    <t>Hinges</t>
  </si>
  <si>
    <t>S&amp;F of Magnetic door catches</t>
  </si>
  <si>
    <t>a. 900 x 2100 mm</t>
  </si>
  <si>
    <t>M.S FLAT OF SIZE 20 X 20mm                               = 1 X 9 X 2.10 X 3.14Kg/m</t>
  </si>
  <si>
    <t>M.S FLAT OF SIZE 25 X 6mm VERTICAL           = 1 X 2 X 2.10 X 1.2Kg/m</t>
  </si>
  <si>
    <t>M.S FLAT OF SIZE 25 X 6mm HORIZONTAL            = 1 X 4 X 1 X 1.2Kg</t>
  </si>
  <si>
    <t>ADD FOR WELDING</t>
  </si>
  <si>
    <t>STEEL</t>
  </si>
  <si>
    <t>CHICKEN MESH</t>
  </si>
  <si>
    <t>PUTUP FOR DOORS, WINDOWS AND VENTILATERS ETC</t>
  </si>
  <si>
    <t>LABOUR CHARGES:-</t>
  </si>
  <si>
    <t>S/F OF PLASTIC SHADE</t>
  </si>
  <si>
    <t>73.1</t>
  </si>
  <si>
    <t>73.2</t>
  </si>
  <si>
    <t>S/F OF 4 WAY D.B</t>
  </si>
  <si>
    <t>ANTI-CORROSIVE TREATMENT FOR STEEL</t>
  </si>
  <si>
    <t>ANTI-CORROSIVE(COROLOK-CP</t>
  </si>
  <si>
    <t>/PROTEKLOL) CHEMICALS</t>
  </si>
  <si>
    <t>BRUSHES GLOVES ETC</t>
  </si>
  <si>
    <t>TRANSPORTING AND HANDLING</t>
  </si>
  <si>
    <t>PAINTERII</t>
  </si>
  <si>
    <t>TOTTAL FOR 1 MT</t>
  </si>
  <si>
    <t>50.5</t>
  </si>
  <si>
    <t>Supply and fixing of window</t>
  </si>
  <si>
    <t>Providing  WBM 125  mm consolidated thick with gravel blindage</t>
  </si>
  <si>
    <t>Surface dressing over WBM  25 mm thick</t>
  </si>
  <si>
    <t>R.C.C.1:2:4</t>
  </si>
  <si>
    <t>MS door of Size 750 x 1350mm</t>
  </si>
  <si>
    <t>MS Ventilator of Size 900 x 600mm</t>
  </si>
  <si>
    <t>1500 liters capacity of HDPE Water Tank</t>
  </si>
  <si>
    <t xml:space="preserve">Eurocon Tiles flooring </t>
  </si>
  <si>
    <t>for foundation  and basement</t>
  </si>
  <si>
    <t>ALU ALDROP 10"X5.8"</t>
  </si>
  <si>
    <t>I.O HOOKS &amp; EYES8"</t>
  </si>
  <si>
    <t>COST OF PLUG SCREWS , RUBBER</t>
  </si>
  <si>
    <t>e. In Fourth Floor</t>
  </si>
  <si>
    <t xml:space="preserve"> 100mm DIA S.W.PIPE</t>
  </si>
  <si>
    <t>CHICKEN MESH 10X10X10G</t>
  </si>
  <si>
    <t>SQM</t>
  </si>
  <si>
    <t>C.I.COVER SLAB 18"X18"X56LBS(25Kg)</t>
  </si>
  <si>
    <t xml:space="preserve"> 20mm Thick slab:-</t>
  </si>
  <si>
    <t xml:space="preserve"> ---DO---FOR STAIR CASE LIGHT POINT </t>
  </si>
  <si>
    <t>HIRE CHARGES FOR   POWER POLISHER</t>
  </si>
  <si>
    <t>TOTAL FOR 10 CUM</t>
  </si>
  <si>
    <t>ELC. CONSUMPTION CHARGES</t>
  </si>
  <si>
    <t>LABOUR FOR FIXING WINDOW BARS</t>
  </si>
  <si>
    <t>E.W EXCLUDING REFILLING</t>
  </si>
  <si>
    <t xml:space="preserve">COST OF 20MM DIA PVC PIPE </t>
  </si>
  <si>
    <t>a. In Foundation &amp; basement</t>
  </si>
  <si>
    <t>b. In Ground floor</t>
  </si>
  <si>
    <t>S.W.PIPE 150mm DIAWITH ISI MARK</t>
  </si>
  <si>
    <t xml:space="preserve">P.V.C. SOIL DOUBLE YEE WITH DOOR 50mm </t>
  </si>
  <si>
    <t>Labour for fixing and cost of</t>
  </si>
  <si>
    <t>T.W.Pluges</t>
  </si>
  <si>
    <t>48.</t>
  </si>
  <si>
    <t>WITH FIVE PINS</t>
  </si>
  <si>
    <t>Cost of Coat stand</t>
  </si>
  <si>
    <t xml:space="preserve">Labour for fixing </t>
  </si>
  <si>
    <t>Total for 1 No.</t>
  </si>
  <si>
    <t>Steel 8RTS ( 2 x 2.7 x0.3950 = 2.133 kg)</t>
  </si>
  <si>
    <t>Data for 16 steps - 16*2.6kgs = 41.60 kgs</t>
  </si>
  <si>
    <t>75(a)</t>
  </si>
  <si>
    <t>75(b)</t>
  </si>
  <si>
    <t>375 x 300 x 20 mm T.W. plank</t>
  </si>
  <si>
    <t>CW reepers 50x25 cm</t>
  </si>
  <si>
    <t>Chicken mesh</t>
  </si>
  <si>
    <t>Carpenter II</t>
  </si>
  <si>
    <t>Fitter I</t>
  </si>
  <si>
    <t>7.2</t>
  </si>
  <si>
    <t>JOINT</t>
  </si>
  <si>
    <t>THICK WITH GRAVEL BLINDAGE</t>
  </si>
  <si>
    <t>RATE FOR 2.23 SQM</t>
  </si>
  <si>
    <t>40mm BRICK JELLY</t>
  </si>
  <si>
    <t>SHUTTER SIZE0-.8X2.05   =1.64M2</t>
  </si>
  <si>
    <t>STYLES(OVER 2M) -1X2X2.05X0.075X0.0375=0.0115</t>
  </si>
  <si>
    <t>RAILS(BELOW 2M)- 1X4X0.8X0.15X0.0375=      0.018</t>
  </si>
  <si>
    <t xml:space="preserve">               - 1X2X0.73125X0.075X0.0375 =0.0040</t>
  </si>
  <si>
    <t>STEEL WINDOW FRAME&amp;SHUTTER WITHOUT GLASS</t>
  </si>
  <si>
    <t>plane surfaces including shuttering up to 3m</t>
  </si>
  <si>
    <t xml:space="preserve"> "   OF SIZE 132.5X120cm</t>
  </si>
  <si>
    <t>height using M.S sheets of size 90mmx60mm and</t>
  </si>
  <si>
    <t>======================================</t>
  </si>
  <si>
    <t>Fitter I class</t>
  </si>
  <si>
    <t>Mazdoor I class</t>
  </si>
  <si>
    <t>HARD BROKEN STONE JELLY 20mm SIZE</t>
  </si>
  <si>
    <t>RATE PER CUM EXCLUDING REFILLING IN SDR</t>
  </si>
  <si>
    <t>LS</t>
  </si>
  <si>
    <t>S/F OF AERI FUSE UNIT 30AMP 500V AT E.B POLE</t>
  </si>
  <si>
    <t>C.I EVERITE CLAMOE 100mm DIA</t>
  </si>
  <si>
    <t xml:space="preserve"> 20b</t>
  </si>
  <si>
    <t>CI GREATINGS 100mm DIA</t>
  </si>
  <si>
    <t>COUNTRY WOOD ITEM</t>
  </si>
  <si>
    <t>TOTAL FOR   5 Operations for 10 sqm</t>
  </si>
  <si>
    <t>WINE VERNISH</t>
  </si>
  <si>
    <t>LITTER</t>
  </si>
  <si>
    <t>3.1</t>
  </si>
  <si>
    <t>CEMENT CONCRETE(1:5:10) USING</t>
  </si>
  <si>
    <t>LINSEED OIL (BOILED)</t>
  </si>
  <si>
    <t>40mm HBSTONE METEL</t>
  </si>
  <si>
    <t>P.V.C BEND WITH DOOR 110MM</t>
  </si>
  <si>
    <t>P.V.C COWL 110MM</t>
  </si>
  <si>
    <t xml:space="preserve"> 20c</t>
  </si>
  <si>
    <t>G.I.SHEET 22G</t>
  </si>
  <si>
    <t>4.1</t>
  </si>
  <si>
    <t>**</t>
  </si>
  <si>
    <t>Cuddappa slab 40 mm tk.for C/B  slab.</t>
  </si>
  <si>
    <t>Ornamental TW double leaves panelled shutter of size 1800 x 2100mm</t>
  </si>
  <si>
    <t>Ornamental TW panelled Door 1800X2400 Double leaves</t>
  </si>
  <si>
    <t>Ornamental TW double leaves panelled shutter of size 1800 x 2400mm</t>
  </si>
  <si>
    <t>d. In Second floor</t>
  </si>
  <si>
    <t>e. In Third floor</t>
  </si>
  <si>
    <t>P.V.C.ELBOW</t>
  </si>
  <si>
    <t>OVER A BED OF C.M(1:3),</t>
  </si>
  <si>
    <t>S.W.PIPE 100mm DIAWITH ISI MARK</t>
  </si>
  <si>
    <t>READY MIX PAINT II ND/ IST for iron</t>
  </si>
  <si>
    <t>LTR</t>
  </si>
  <si>
    <t>3.2</t>
  </si>
  <si>
    <t>S.W.TEE 150mm DIA WITH ISI MARK</t>
  </si>
  <si>
    <t>A.</t>
  </si>
  <si>
    <t>DOOR OF SIZE 70X210Cm</t>
  </si>
  <si>
    <t xml:space="preserve">  H.B.STONEJELLY 20mm</t>
  </si>
  <si>
    <t>T.W.SCANTLING above 2M length</t>
  </si>
  <si>
    <t>T.W.SCANTLING below 2M length</t>
  </si>
  <si>
    <t>SL.NO</t>
  </si>
  <si>
    <t>Shutter(OSL Board)      -2X2X.85X0.4=1.36m2</t>
  </si>
  <si>
    <t>b. 900X2100mm.</t>
  </si>
  <si>
    <t>23.2.1</t>
  </si>
  <si>
    <t>curing etc complete.</t>
  </si>
  <si>
    <t xml:space="preserve"> 150mm Thick Band</t>
  </si>
  <si>
    <t>Cement mortar1:5</t>
  </si>
  <si>
    <t>Masn Ist</t>
  </si>
  <si>
    <t>Total for 6.77Rmt</t>
  </si>
  <si>
    <t>Rate per Rmt.</t>
  </si>
  <si>
    <t xml:space="preserve"> 75mm Thick Band</t>
  </si>
  <si>
    <t xml:space="preserve"> 12x12mm Alu.Beedings</t>
  </si>
  <si>
    <t>Alu. bolts and nuts</t>
  </si>
  <si>
    <t>Labour for fixing glass paneles</t>
  </si>
  <si>
    <t>1200 X 2100MM</t>
  </si>
  <si>
    <t xml:space="preserve">shutter  for frame of overall height 105cm </t>
  </si>
  <si>
    <t>COMPLETE AS DIRECTED BY DEPT. OFFICERS.</t>
  </si>
  <si>
    <t xml:space="preserve">steel window, confirming to </t>
  </si>
  <si>
    <t xml:space="preserve"> I.W.C 20"SIZE(Orissa pan)</t>
  </si>
  <si>
    <t>LABOUR FOR FIXING OF FLUSHING TANK</t>
  </si>
  <si>
    <t>58.1(a)</t>
  </si>
  <si>
    <t>S/F OF 40mmDIA B-CASS G.I BEND</t>
  </si>
  <si>
    <t>PROVIDING FORMWORK AND</t>
  </si>
  <si>
    <t>TYPE WITH COMMERCIAL TYPE</t>
  </si>
  <si>
    <t>EARTHING STATION ASPER IS3043</t>
  </si>
  <si>
    <t>CENTERING FOR PLAIN CONCRETE</t>
  </si>
  <si>
    <t>DOOR OF SIZE 900 X2100 MM</t>
  </si>
  <si>
    <t>Rs.</t>
  </si>
  <si>
    <t>b. 2 to 3 mt.</t>
  </si>
  <si>
    <t>GROUND LEVEL(OR) FIXING ON WALLS FULLY CONCEALED TO THE</t>
  </si>
  <si>
    <t>Form work for Plinth beam, Grade beam, Raft beam</t>
  </si>
  <si>
    <t>Form work for Roof and lintels using M.S sheet</t>
  </si>
  <si>
    <t>Form work for Small quantity and column using M.S. sheet</t>
  </si>
  <si>
    <t>Form work for Vertical walls</t>
  </si>
  <si>
    <t>18.1.a.</t>
  </si>
  <si>
    <t>d.</t>
  </si>
  <si>
    <t xml:space="preserve"> --DO--FOR 15AMP OWER PLUG</t>
  </si>
  <si>
    <t>PCC 1:3:6, for petty works</t>
  </si>
  <si>
    <t>moulding charges</t>
  </si>
  <si>
    <t>l.s</t>
  </si>
  <si>
    <t>SUNDERS</t>
  </si>
  <si>
    <t>58.1(b)</t>
  </si>
  <si>
    <t>SUPPLY AND FIXING OF PVC PIPE</t>
  </si>
  <si>
    <t>LUBERICANT AND FIXING IN TO</t>
  </si>
  <si>
    <t>S/F OF BULKHEAD FITTING SUITABLE FOR 100/60W</t>
  </si>
  <si>
    <t>SUPPLY AND FIXING OF 250mm</t>
  </si>
  <si>
    <t>Total for .01 cum</t>
  </si>
  <si>
    <t>MDF board exterior grade both side pre laminated including external lipping with kiln dried soft wood 35mm thick</t>
  </si>
  <si>
    <t xml:space="preserve"> 25MM DIA PVC PIPE ABOVE G.L:-</t>
  </si>
  <si>
    <t xml:space="preserve">COST OF 25MM DIA PVC PIPE </t>
  </si>
  <si>
    <t xml:space="preserve"> 15mmDIAX25mmDIA</t>
  </si>
  <si>
    <t>TOTAL FOR 1.3247 SQM</t>
  </si>
  <si>
    <t>SUPPLY AND FIXING EXSAUST FAN 300MM SWEEP</t>
  </si>
  <si>
    <t>63mm to 45mm IRC metal</t>
  </si>
  <si>
    <t>Earth work lift for addl 1M</t>
  </si>
  <si>
    <t>BEATERS TO REQUIRED SLOP</t>
  </si>
  <si>
    <t>BROKEN BRICKJELLY2OmmGAUGE</t>
  </si>
  <si>
    <t>COST OF LIME STONE</t>
  </si>
  <si>
    <t>POINTING WITH C.M.(1:3)FOR</t>
  </si>
  <si>
    <t>PRESSED TILES</t>
  </si>
  <si>
    <t>CEMENT MORTER(1:3)</t>
  </si>
  <si>
    <t>FINISHING TOP OF ROOF WITH</t>
  </si>
  <si>
    <t>CONSOLIDATED WITH WOODEN</t>
  </si>
  <si>
    <t>SHUTTER SIZE-1.1X2.025   =2.2275M2</t>
  </si>
  <si>
    <t>TOTAL FOR 2.2275 SQM</t>
  </si>
  <si>
    <t>SUPPLYING &amp; FIXING OF TERRACOTTA</t>
  </si>
  <si>
    <t xml:space="preserve">PCC SLAB 50mm T.K </t>
  </si>
  <si>
    <t xml:space="preserve"> "   OF SIZE 47.5X105cm</t>
  </si>
  <si>
    <t>Supplying,Manufacturing and fixing of cloth drying arrangements data for 1 set</t>
  </si>
  <si>
    <t>S &amp; F 20 mm dia Alu. Hanger Rod</t>
  </si>
  <si>
    <t>S&amp;F of Bevelled edge mirror 500 x 400 x 5.5mm</t>
  </si>
  <si>
    <t>Brush</t>
  </si>
  <si>
    <t>Painter I st Class</t>
  </si>
  <si>
    <t>Rate for 1 MT</t>
  </si>
  <si>
    <t>FLOOR POLISHER (MOSAIC)  *</t>
  </si>
  <si>
    <t>NO</t>
  </si>
  <si>
    <t>21.</t>
  </si>
  <si>
    <t>Country BricksKiln Burnt of SIZE 22x11x5Cm</t>
  </si>
  <si>
    <t>LABOUR CHARGE FOR WROUGHT &amp; PUTUP /V-SHUTTER *</t>
  </si>
  <si>
    <t>RATE PER CUM</t>
  </si>
  <si>
    <t>---DO---FOR LIGHT POINT WITH BATTERN HODER</t>
  </si>
  <si>
    <t>Add for nails, wedges,oils etc</t>
  </si>
  <si>
    <t xml:space="preserve"> ---DO---FOR FAN POINT </t>
  </si>
  <si>
    <t>Add for periodical cleaning,</t>
  </si>
  <si>
    <t>Rough &amp; Bond stone</t>
  </si>
  <si>
    <t>R.C.C(1:2:4) PETTY WORKS</t>
  </si>
  <si>
    <t>SUPLLYING AND FILLING WITH 20MM Brick jelly</t>
  </si>
  <si>
    <t>BROSS HEX NIPPLE 20mm DIA</t>
  </si>
  <si>
    <t>E.W.C. WITH S  TRAP</t>
  </si>
  <si>
    <t>SET</t>
  </si>
  <si>
    <t>C.M 1:3</t>
  </si>
  <si>
    <t>ANGLO INDIAN WATER CLOSET WITH P OR S TRAP</t>
  </si>
  <si>
    <t xml:space="preserve"> 40mm Thick slab:- for sun shade only</t>
  </si>
  <si>
    <t>E.W AND REFILLING</t>
  </si>
  <si>
    <t>E.W.C./SEAT COVER BLACK(H)</t>
  </si>
  <si>
    <t>C.C(1:8:16)USING 40mmB.J METEL</t>
  </si>
  <si>
    <t xml:space="preserve"> 100mmDIA S.W.PIPE WITH ISI MARK</t>
  </si>
  <si>
    <t>E.W. EXCAVATION</t>
  </si>
  <si>
    <t>TAARRED HOMP YARN</t>
  </si>
  <si>
    <t>FITTER II</t>
  </si>
  <si>
    <t>U bolts &amp; Nuts</t>
  </si>
  <si>
    <t xml:space="preserve">M.S FLAT OF SIZE 50 X 10mm    = 1.00 X .05 X .01 X 7850 Kg/CUM </t>
  </si>
  <si>
    <t>EARTH WORK EXCAVATION FOR DRAINS</t>
  </si>
  <si>
    <t>================================================</t>
  </si>
  <si>
    <t>WIRING WITH 1.5SQMM COPPER WIRE  CONCEALED</t>
  </si>
  <si>
    <t>64.a.</t>
  </si>
  <si>
    <t>64.b</t>
  </si>
  <si>
    <t>64.c</t>
  </si>
  <si>
    <t xml:space="preserve"> --DO--FOR 15AMP POWER PLUG</t>
  </si>
  <si>
    <t>70.1</t>
  </si>
  <si>
    <t>S/F of Fibre Fan Hook</t>
  </si>
  <si>
    <t xml:space="preserve"> 150mmDIA S.W.TEE </t>
  </si>
  <si>
    <t>WITH NECESSARY PVC-GI SPECIALS</t>
  </si>
  <si>
    <t xml:space="preserve"> 20MM DIA PVC PIPE ABOVE G.L:-</t>
  </si>
  <si>
    <t>SUPPLY AND FIXING P.V.C.SOIL</t>
  </si>
  <si>
    <t>B.W IN C.M(1:4) USING 2-B Categery</t>
  </si>
  <si>
    <t>A.C. SOIL  SINGLE YEE WITHDOOR</t>
  </si>
  <si>
    <t>PLASTERING C.M(1:4) 20mmTHICK</t>
  </si>
  <si>
    <t>MIXEDWITH RED OXIDE @9.8</t>
  </si>
  <si>
    <t>Kg/10 SQM</t>
  </si>
  <si>
    <t>B.W IN C.M(1:4) using Chamber burnt Bricks of size 23x11.4x7.5Cm</t>
  </si>
  <si>
    <t xml:space="preserve">M.S FLAT OF SIZE 50 X 10mm    =0.75 X .05 X .01 X 7850 Kg/CUM </t>
  </si>
  <si>
    <t>surface)</t>
  </si>
  <si>
    <t>CC 1:2:4,Screws, MS flat, welding charges,painting etc.,</t>
  </si>
  <si>
    <t>Cost of MS angle 35 x 35x 4mm (2x.6x2.1 kg/m)</t>
  </si>
  <si>
    <t>Cost of Square bars (2x.5x1.13kg/m)</t>
  </si>
  <si>
    <t>Cost of 1clamp 10mm (3x.15x.78)</t>
  </si>
  <si>
    <t>Providing  WBM 125  mm consolidated thick with gravel blindage
(IRC 63 to 45mm for 75mm thick and 37.5 to 26.5mm for 50.mm thick)</t>
  </si>
  <si>
    <t>C.I..BRACKET FOR W.B.</t>
  </si>
  <si>
    <t>Mazdoor Ist</t>
  </si>
  <si>
    <t xml:space="preserve">S &amp; F of Indian Water closet white glazed (Oriya type) of size 580 x 440mm  - in G.F.  </t>
  </si>
  <si>
    <t>CUDDAPAH SLAB SINK 45X45cm,20mmT.K</t>
  </si>
  <si>
    <t>Rmt</t>
  </si>
  <si>
    <t>Casurnia props 10 to 13cm dia</t>
  </si>
  <si>
    <t>15.</t>
  </si>
  <si>
    <t>SLACKED &amp;SREENED LIME STONE</t>
  </si>
  <si>
    <t>FLOOR POLISHER</t>
  </si>
  <si>
    <t>LIFT CHARGES FOR CONCRETE IN S.F  *</t>
  </si>
  <si>
    <t>COST OF 20mm HBSJ</t>
  </si>
  <si>
    <t>Forth Floor</t>
  </si>
  <si>
    <t>PARTITION WALL OF 114mmTHICK</t>
  </si>
  <si>
    <t>S.W.GULLY TRAP 150X100mm</t>
  </si>
  <si>
    <t>READY MIX PRIMER PAINT</t>
  </si>
  <si>
    <t>M.S WASHER</t>
  </si>
  <si>
    <t xml:space="preserve"> --DO--FOR 5AMP 5PIN PLUG AT CONVENTENT PLACE</t>
  </si>
  <si>
    <t>LABOUR FOR FIXING CEIING FAN OF AL SWEEP</t>
  </si>
  <si>
    <t>for plain surface)</t>
  </si>
  <si>
    <t>Floor ceramic tiles (Anti-skid)</t>
  </si>
  <si>
    <t>PLASTERING C.M(1:3)12mmTHICK</t>
  </si>
  <si>
    <t>MIXEDWITH WATER PROOF COMPOUND</t>
  </si>
  <si>
    <t xml:space="preserve">  2Kg/10 SQM</t>
  </si>
  <si>
    <t>WATER PROOF COMPOUNDS</t>
  </si>
  <si>
    <t>36.</t>
  </si>
  <si>
    <t>Providing Band with C.M 1:5, 12mm thick</t>
  </si>
  <si>
    <t>38.1.</t>
  </si>
  <si>
    <t>Supplying, Laying &amp; Concealing the 50mm dia PVC ( SWR) pipe with ISI mark type - 'B' with relevant specials.</t>
  </si>
  <si>
    <t>PVC(SWR) pipe with ISI mark - type 'A' for Ventilating shaft with cowl</t>
  </si>
  <si>
    <t>Metal</t>
  </si>
  <si>
    <t>Pressed tiles (23cmx23cmx18mm) mixed with Water proofing compound</t>
  </si>
  <si>
    <t>Pressed tiles (23cmx23cmx20mm) mixed with Water proofing compound</t>
  </si>
  <si>
    <t>Rain Water Harvesting using Defunct borewell method</t>
  </si>
  <si>
    <t>Window size 90x120cm</t>
  </si>
  <si>
    <t>MOSAIC POLISHER FOR POLISHING</t>
  </si>
  <si>
    <t>MAZDOORII FOR WATER,WASHING ETC</t>
  </si>
  <si>
    <t>any size 0f 6mm T.K including pointing etc.,</t>
  </si>
  <si>
    <t>PLANKS      -1X4X0.60625X0.2875X0.01875=</t>
  </si>
  <si>
    <t xml:space="preserve"> -------------</t>
  </si>
  <si>
    <t>M.T</t>
  </si>
  <si>
    <t>CEMENT</t>
  </si>
  <si>
    <t>LIME</t>
  </si>
  <si>
    <t>1.</t>
  </si>
  <si>
    <t>ROUGH STONE</t>
  </si>
  <si>
    <t>CUM.</t>
  </si>
  <si>
    <t>MASON  I *</t>
  </si>
  <si>
    <t>NO.</t>
  </si>
  <si>
    <t>CUM</t>
  </si>
  <si>
    <t>SAND</t>
  </si>
  <si>
    <t>2.</t>
  </si>
  <si>
    <t>BOND STONE</t>
  </si>
  <si>
    <t>MASON  II  *</t>
  </si>
  <si>
    <t>MIXING OF MORTAR</t>
  </si>
  <si>
    <t>GRINDING OF MORTAR</t>
  </si>
  <si>
    <t>3.</t>
  </si>
  <si>
    <t>HARD BROKEN STONE JELLY 3mm To 10mm</t>
  </si>
  <si>
    <t>MAZDOOR-I</t>
  </si>
  <si>
    <t>=============</t>
  </si>
  <si>
    <t>Annexure</t>
  </si>
  <si>
    <t>Shutter middle rail(Horizantal) -1X2X0.4X0.15X0.0375=0.0045</t>
  </si>
  <si>
    <t>CEMENT CONCRETE(1:2:4) FOR</t>
  </si>
  <si>
    <t>LABOUR CHARGES FOR WROUGHT AND PUT UP</t>
  </si>
  <si>
    <t>0-10</t>
  </si>
  <si>
    <t>20.</t>
  </si>
  <si>
    <t>LABOUR FOR WROUGHT &amp;PUTUP</t>
  </si>
  <si>
    <t>BISON PANEL  8MMTK. OSL</t>
  </si>
  <si>
    <t>R.R. masonry in C.M. 1:5 Foundation and Basment</t>
  </si>
  <si>
    <t>TOTAL FOR .362 SQM</t>
  </si>
  <si>
    <t>TW Swing type ventilater</t>
  </si>
  <si>
    <t>20MM HBS JELLY INCLUDING COST OF STEEL AND</t>
  </si>
  <si>
    <t>FABRICATION OF REINFORCEMENT WITH -6MM M.S</t>
  </si>
  <si>
    <t>ADD 40% FOR PVC/GI SPECIALS</t>
  </si>
  <si>
    <t>S.F OF A.C.SPOUT PIPE OF75 mm DIA</t>
  </si>
  <si>
    <t>Rm</t>
  </si>
  <si>
    <t>END CAP SULATED P.V.C. MANHOLE STEP</t>
  </si>
  <si>
    <t>Adopting 40 uses for steel sheet and</t>
  </si>
  <si>
    <t>MS angles &amp; sheets for one</t>
  </si>
  <si>
    <t>FOR ALL SIZE OF DOORS/SQM</t>
  </si>
  <si>
    <t>RUN OF MAINS 4-4 SQMM COPPER CONCELLED TYPE</t>
  </si>
  <si>
    <t>use (1.2 times of operation</t>
  </si>
  <si>
    <t>Box type Fibre Fan hook</t>
  </si>
  <si>
    <t>4 way - D.B.</t>
  </si>
  <si>
    <t>Charges for fixing of "Fan"</t>
  </si>
  <si>
    <t>Supply and delivery of Fan</t>
  </si>
  <si>
    <t>a. 48" (1200 mm)</t>
  </si>
  <si>
    <t>b. 42" (1050 mm)</t>
  </si>
  <si>
    <t>8 SWG wire</t>
  </si>
  <si>
    <t>Run of main 2 wires of 1.50 Sqmm.</t>
  </si>
  <si>
    <t xml:space="preserve">Water Proof Compound </t>
  </si>
  <si>
    <t>Filling sand</t>
  </si>
  <si>
    <t>kg</t>
  </si>
  <si>
    <t>Bitumen</t>
  </si>
  <si>
    <t>Labour charges</t>
  </si>
  <si>
    <t>Total for 100M2</t>
  </si>
  <si>
    <t>P.V.C. WASTE PIPE32mmDIA 2.5'LONG</t>
  </si>
  <si>
    <t>ASTM-D SCHEDULE- 40 THREADED PVC PIPE</t>
  </si>
  <si>
    <t>S &amp; F Alu  Towel rail 75 cm long</t>
  </si>
  <si>
    <t>B.w. in C.M. 1:4 for staircase steps Chamber 
burnt bricks  23 x 11 x 7 cm.</t>
  </si>
  <si>
    <t>Chain link fencing data for 15sqm</t>
  </si>
  <si>
    <t>20%</t>
  </si>
  <si>
    <t>50%</t>
  </si>
  <si>
    <t>5%</t>
  </si>
  <si>
    <t>Gravel blindage 2 layers</t>
  </si>
  <si>
    <t>COST OF TERRACOTTA JALLY OF 110mm</t>
  </si>
  <si>
    <t>C.I.SLOTTED COWL  100mmDIA</t>
  </si>
  <si>
    <t>C.I.SLOTTED COWL  75mmDIA</t>
  </si>
  <si>
    <t>C.I.SLOTTED COWL  50mmDIA</t>
  </si>
  <si>
    <t>PROVIDING SCHME NAME BOARD</t>
  </si>
  <si>
    <t>and Polishing etc.,</t>
  </si>
  <si>
    <t>JOINTING MATERIALS ETC</t>
  </si>
  <si>
    <t>WITH C.M(1:4)20mm THICK</t>
  </si>
  <si>
    <t>MAZDOOR  I</t>
  </si>
  <si>
    <t>29.2</t>
  </si>
  <si>
    <t>Spl. Ceiling plastering in C.M. 1:3,
 10 mm tk.</t>
  </si>
  <si>
    <t>T.W PLANKS (15.30 CM) (12 TO 25CM THICK)</t>
  </si>
  <si>
    <t>CP TAP (SHORT BODY)</t>
  </si>
  <si>
    <t>50mm Thick Band</t>
  </si>
  <si>
    <t>Auger pile of size 30cm dia and 3m depth for 1m</t>
  </si>
  <si>
    <t>RCC 1:2:4</t>
  </si>
  <si>
    <t>Providing Single under reamed Pile of 4.50m depth,375mm dia</t>
  </si>
  <si>
    <t xml:space="preserve"> "   OF SIZE 90X47.5cm</t>
  </si>
  <si>
    <t xml:space="preserve">             -1X1X0675X0.2825X0.01875=</t>
  </si>
  <si>
    <t>WIDE&amp;12TO25mm T.K</t>
  </si>
  <si>
    <t>PACKING THE JOINTS WITH RUBBER</t>
  </si>
  <si>
    <t>LUBRICANT AND FIXING IN TO</t>
  </si>
  <si>
    <t>ABOVE G.L</t>
  </si>
  <si>
    <t xml:space="preserve">G.I.REDUCER </t>
  </si>
  <si>
    <t>Add for tools &amp; Plant</t>
  </si>
  <si>
    <t>_______________________</t>
  </si>
  <si>
    <t xml:space="preserve"> 15mmDIAX20mmDIA</t>
  </si>
  <si>
    <t>15mm  DIA G.I PIPE ABOVE G.L</t>
  </si>
  <si>
    <t>HARD BROKEN STONE JELLY 40mm SIZE</t>
  </si>
  <si>
    <t>TERRACOTTA JALLY 110mm/50mmT.K FIXING CHARGE</t>
  </si>
  <si>
    <t>TERRACOTTA JALLY 110mmT.K/50mmT.K</t>
  </si>
  <si>
    <t>B.W IN C.M(1:5) USING CHAMBER BURNT</t>
  </si>
  <si>
    <t>20-40</t>
  </si>
  <si>
    <t>40-80</t>
  </si>
  <si>
    <t>&gt;80</t>
  </si>
  <si>
    <t>S/F OF 15AMP 3PIN POWER PLUG WITH SWITCH</t>
  </si>
  <si>
    <t>ADD FOR SILVER OKE PLANKS</t>
  </si>
  <si>
    <t>mixed with Water Proof Compound at 1KG per Bag of Cement</t>
  </si>
  <si>
    <t>WPC</t>
  </si>
  <si>
    <t>Fitter - II</t>
  </si>
  <si>
    <t>Anticorrosive Treatment for Window M.S. Grills.</t>
  </si>
  <si>
    <t>litres</t>
  </si>
  <si>
    <t>litre</t>
  </si>
  <si>
    <t>A.C. SOIL  DOUBLE YEE WITHDOOR</t>
  </si>
  <si>
    <t>no.</t>
  </si>
  <si>
    <t>mason for polishing</t>
  </si>
  <si>
    <t>A.C. SOIL DOUBLE YEE</t>
  </si>
  <si>
    <t>A.C. SOIL COWL</t>
  </si>
  <si>
    <t>Amount</t>
  </si>
  <si>
    <t xml:space="preserve"> </t>
  </si>
  <si>
    <t>for quarry at</t>
  </si>
  <si>
    <t>Brass tap (with ISI mark)</t>
  </si>
  <si>
    <t>S/F OF CONSUMER UNIT OF 4NO OF 16AMP WAY</t>
  </si>
  <si>
    <t>STEEL VENTILATTER FRAME&amp;SHUTTER WITHOUT GLASS</t>
  </si>
  <si>
    <t>90x60cm of 10 gauge</t>
  </si>
  <si>
    <t xml:space="preserve"> "   OF SIZE 75X47.5cm</t>
  </si>
  <si>
    <t>Cost of M.S angle of size</t>
  </si>
  <si>
    <t>R.C.C.(1:2:4) FOR PETTY WORK</t>
  </si>
  <si>
    <t>P.V.C. SOIL BEND 50mm DIA</t>
  </si>
  <si>
    <t xml:space="preserve">SUNDRIES FOR MOULDING </t>
  </si>
  <si>
    <t>red oxide primer paint.</t>
  </si>
  <si>
    <t>Frosted glass 3mmthick</t>
  </si>
  <si>
    <t>TOTAL FOR 1.82250SQM</t>
  </si>
  <si>
    <t xml:space="preserve">P.V.C. SOIL DOUBLE  YEE WITH DOOR 110mm </t>
  </si>
  <si>
    <t>CC(1:2:4) USING 20mmHB</t>
  </si>
  <si>
    <t>Labour charges for Auger pile foundation for 2.44m</t>
  </si>
  <si>
    <t>Rate for 1.00m</t>
  </si>
  <si>
    <t>P.V.C.SOCKET</t>
  </si>
  <si>
    <t xml:space="preserve"> 25d</t>
  </si>
  <si>
    <t>14.I</t>
  </si>
  <si>
    <t xml:space="preserve"> P.C.C,R.C.C SLAB OF20mm THICK</t>
  </si>
  <si>
    <t>C.C(1:2:4)USING3mm-10mm HBG</t>
  </si>
  <si>
    <t>CEMENT PAINTING TWO COATS</t>
  </si>
  <si>
    <t>OVER THE PRIMER COAT OF</t>
  </si>
  <si>
    <t>APPROVED CEMENT PAINT FOR NEW</t>
  </si>
  <si>
    <t>times of operation for plain</t>
  </si>
  <si>
    <t>====</t>
  </si>
  <si>
    <t>P.V.C. PIPE 75mm DIA</t>
  </si>
  <si>
    <t>P.V.C BEND WITH DOOR</t>
  </si>
  <si>
    <t>P.V.C COWL</t>
  </si>
  <si>
    <t>Plastering in C.M. 1:5, 12 mm tk.</t>
  </si>
  <si>
    <t>Plastering in C.M. 1:4, 12 mm tk.</t>
  </si>
  <si>
    <t>G.I. 80MM DIA BEND</t>
  </si>
  <si>
    <t>CI STEPS (5Kg) (59.65+.35)</t>
  </si>
  <si>
    <t>Compact Fluoresent Lamp (CFL)</t>
  </si>
  <si>
    <t>a. 14W for Bath &amp; WC</t>
  </si>
  <si>
    <t>b. 18W for Bulkhead fittings</t>
  </si>
  <si>
    <t>COST OF PLASTERXERS/COST OF ANTI-CORROSIVE</t>
  </si>
  <si>
    <t>20mm DIA  GI PIPE BELOW G.L</t>
  </si>
  <si>
    <t xml:space="preserve">Cost of MS angle </t>
  </si>
  <si>
    <t>Stone cutter I</t>
  </si>
  <si>
    <t>Mason I</t>
  </si>
  <si>
    <t>PORCEINE WASH BASIN OVAL SHAPE 480X400mm</t>
  </si>
  <si>
    <t>SUPPLY AND FIXING OF 150mm</t>
  </si>
  <si>
    <t>Maintenance charges</t>
  </si>
  <si>
    <t>Total for 20 no.</t>
  </si>
  <si>
    <t>50.4</t>
  </si>
  <si>
    <t>UP 40MM PVC PIPE</t>
  </si>
  <si>
    <t>following thickness including cost of</t>
  </si>
  <si>
    <t>Cuddappah slab and labour charges for</t>
  </si>
  <si>
    <t>COST OF SCREWS TW PLUGS AND</t>
  </si>
  <si>
    <t>IN 1:1 RATIO INCLUDING</t>
  </si>
  <si>
    <t>WITH SMOOTH SURFACE AND FINE EDGES, CURING,</t>
  </si>
  <si>
    <t xml:space="preserve"> 25x25x3mm</t>
  </si>
  <si>
    <t>Nos.</t>
  </si>
  <si>
    <t xml:space="preserve">Cost of 32 mm dia G.I pipe </t>
  </si>
  <si>
    <t>LIME SAND MIX 1:1 RATIO</t>
  </si>
  <si>
    <t>9.</t>
  </si>
  <si>
    <t>SAND FOR FILLING</t>
  </si>
  <si>
    <t>FITTER-I</t>
  </si>
  <si>
    <t>MIXING OF MORTAR*</t>
  </si>
  <si>
    <t>CUM*</t>
  </si>
  <si>
    <t>Qty</t>
  </si>
  <si>
    <t>A.C. SOIL TEE</t>
  </si>
  <si>
    <t>PLASTERING C.M(1:3) 20mmTHICK</t>
  </si>
  <si>
    <t>A.C. SOIL TEE WITH DOOR</t>
  </si>
  <si>
    <t>MADE OF 100X50 18GAUGE CRCA</t>
  </si>
  <si>
    <t>S/F OF 40X40X6mmANGLE TO SUPPORT G.I.PIPE.</t>
  </si>
  <si>
    <t>&amp;LAYING ETC COMPLETE.</t>
  </si>
  <si>
    <t>IRON WORKS WITH IIND CLASS</t>
  </si>
  <si>
    <t>42.</t>
  </si>
  <si>
    <t>For 6m depth</t>
  </si>
  <si>
    <t>Gravel Filling</t>
  </si>
  <si>
    <t>Filling charges</t>
  </si>
  <si>
    <t>S&amp;F of 20mm dia PVC pipe for TV/Telephone line</t>
  </si>
  <si>
    <t>a. 100 mm S.W. pipe</t>
  </si>
  <si>
    <t>b. 150 mm S.W. pipe</t>
  </si>
  <si>
    <t>Stoneware pipe dry condition</t>
  </si>
  <si>
    <t>a. 100 mm dia</t>
  </si>
  <si>
    <t>b. 150 mm dia</t>
  </si>
  <si>
    <t>Stoneware bend</t>
  </si>
  <si>
    <t>Stoneware Tee</t>
  </si>
  <si>
    <t>PILE DRIVING CHARGES FOR 500mmDIA/600mm DIA</t>
  </si>
  <si>
    <t>C.P.WASTE PLUGE WITH ALU CHAIN 32mm DIA</t>
  </si>
  <si>
    <t>Total for Ten sqm</t>
  </si>
  <si>
    <t>PORCELIN FOOT REST</t>
  </si>
  <si>
    <t>Rate for Each</t>
  </si>
  <si>
    <t>Filling with Excavated Earth</t>
  </si>
  <si>
    <t>f. In Fourth Floor</t>
  </si>
  <si>
    <t>Sand</t>
  </si>
  <si>
    <t>THREADING CHARGES FOR PVC 32mm</t>
  </si>
  <si>
    <t>SUPPLY AND FIXING EXSAUST FAN 225MM SWEEP</t>
  </si>
  <si>
    <t xml:space="preserve"> 15mmDIA OF WALL THICK 2.8mm A.S.T.M</t>
  </si>
  <si>
    <t>EARTH FILLING  *</t>
  </si>
  <si>
    <t xml:space="preserve">C.P.Coupling of best quality. </t>
  </si>
  <si>
    <t>Rft</t>
  </si>
  <si>
    <t>C.P.Coupling</t>
  </si>
  <si>
    <t>Labour Charge for fixing</t>
  </si>
  <si>
    <t>81</t>
  </si>
  <si>
    <t>b.Plain surfaces such as Roof slab,floorslab,Beams,lintels,lofts,sill slab,staircase,portico slab and other similar works</t>
  </si>
  <si>
    <t>L.S FOR CONSEALING GI PIPE IN WALLS
PAKING ETC.,</t>
  </si>
  <si>
    <t>Precast slab 50 mm tk.in C.C. 1:3:6 with fibre</t>
  </si>
  <si>
    <t>e.  In Fourth floor</t>
  </si>
  <si>
    <t>R.C.C.1: 1 1/2 :3</t>
  </si>
  <si>
    <t>WASHING PLASTERED AREA WITH SOAP&amp;SODA WATER *</t>
  </si>
  <si>
    <t>PILE DRIVING CHARGES FOR 330mmDIA/375mm DIA</t>
  </si>
  <si>
    <t xml:space="preserve">Add 10% </t>
  </si>
  <si>
    <t xml:space="preserve">Thuvakudi </t>
  </si>
  <si>
    <t>SPOUT PIPE OF 75mm DIA</t>
  </si>
  <si>
    <t>C.I. TEE JUNCTION WITH  DOOR  50mmDIA</t>
  </si>
  <si>
    <t>Street lights</t>
  </si>
  <si>
    <t xml:space="preserve"> 100mmDIA S.W.TEE </t>
  </si>
  <si>
    <t xml:space="preserve"> 150mmDIA S.W.BEND </t>
  </si>
  <si>
    <t xml:space="preserve"> 100mmDIA S.W.BEND </t>
  </si>
  <si>
    <t>COST OF 40mm HBSJ</t>
  </si>
  <si>
    <t>Suppling and laying White/Plain colour</t>
  </si>
  <si>
    <t xml:space="preserve">Glazed tiles in C.M(1:2)  </t>
  </si>
  <si>
    <t>COST OF GLAZED  TILES</t>
  </si>
  <si>
    <t>P.V.C. SOIL SHOE 75mm DIA</t>
  </si>
  <si>
    <t xml:space="preserve">PETTY WORKS EXCLUDING COST </t>
  </si>
  <si>
    <t>white/colour cement</t>
  </si>
  <si>
    <t>USING20mmBRICK JELLY</t>
  </si>
  <si>
    <t>5" BUTT HINGES</t>
  </si>
  <si>
    <t>P.V.C. SOIL YEEWITH DOOR 50mm DIA</t>
  </si>
  <si>
    <t>TRENCH OF SIZE 3MX1MX1M</t>
  </si>
  <si>
    <t>STELL WITH ALL FOURNITURE AND</t>
  </si>
  <si>
    <t>20"WITH TOP LEFT ROUGH TO RECEIVE</t>
  </si>
  <si>
    <t xml:space="preserve">FLOOR FINISH </t>
  </si>
  <si>
    <t xml:space="preserve"> IN G.FLOOR.</t>
  </si>
  <si>
    <t>21.2</t>
  </si>
  <si>
    <t>SUPPLING  AND FIXING OF BEST T.W.WROUGHT AND</t>
  </si>
  <si>
    <t>ALUMINUM END BRACKETS INCLUDING</t>
  </si>
  <si>
    <t>S &amp; F TNEB Meter Board made up of MS box 600 x 225 mm with door and lock and key arrangements</t>
  </si>
  <si>
    <t>/SQM</t>
  </si>
  <si>
    <t>FITTINGS.</t>
  </si>
  <si>
    <t>RUN OF MAINS 2-2.5 SQMM COPPER CONCELLED TYPE</t>
  </si>
  <si>
    <t>Bricks of size 22X11X5Cm</t>
  </si>
  <si>
    <t>A.C.DRAIN SPOUT 24" LONG</t>
  </si>
  <si>
    <t>WHITE WASHING TWO COAT</t>
  </si>
  <si>
    <t xml:space="preserve"> 15mmDIA</t>
  </si>
  <si>
    <t xml:space="preserve"> 20mm DIA</t>
  </si>
  <si>
    <t xml:space="preserve"> 25mm DIA</t>
  </si>
  <si>
    <t xml:space="preserve"> 32mm DIA</t>
  </si>
  <si>
    <t>PARATITION B.W IN C.M(1:4)</t>
  </si>
  <si>
    <t xml:space="preserve"> 40mm DIA</t>
  </si>
  <si>
    <t xml:space="preserve"> 65mm DIA</t>
  </si>
  <si>
    <t>EUROPEAN WATER CLOSET WITH "P" OR "S" TRAP WITH DOUBLE FLAPPED SEAT AND SEAT COVER WITH BRASS HINGES AND 10LIT CAPACITY PVC L;OW LEVEL FLUSHING TANK WITH ALL INTERNAL FITTINGS</t>
  </si>
  <si>
    <t>RATE PER  RMT</t>
  </si>
  <si>
    <t>61.2(b)</t>
  </si>
  <si>
    <t>PLASTERING C.M(1:3) 12mmTHICK</t>
  </si>
  <si>
    <t>I.O. HINGES 5"</t>
  </si>
  <si>
    <t>P.V.C.TEE</t>
  </si>
  <si>
    <t>14.II</t>
  </si>
  <si>
    <t>P.V.C.REDUCER SOCKET</t>
  </si>
  <si>
    <t xml:space="preserve"> 12mmDIAX25mmDIA</t>
  </si>
  <si>
    <t xml:space="preserve"> 40mmDIAX25mmDIA</t>
  </si>
  <si>
    <t xml:space="preserve"> 32mmDIAX40mmDIA</t>
  </si>
  <si>
    <t>SUPLY ING AND FIXING OF</t>
  </si>
  <si>
    <t xml:space="preserve"> 20a</t>
  </si>
  <si>
    <t>Cost of silver oak scantling</t>
  </si>
  <si>
    <t>DOOR HANDLE WITH CP SCREWS 6"</t>
  </si>
  <si>
    <t>ALU.HANDLE WITH C.P.SCREWS 6"</t>
  </si>
  <si>
    <t>Casurina props 5 to 8cm dia</t>
  </si>
  <si>
    <t>Brass Tap with ISI Mark</t>
  </si>
  <si>
    <t>56.1.</t>
  </si>
  <si>
    <t>Brass screw</t>
  </si>
  <si>
    <t>COST OF ALL MATERIALS AND</t>
  </si>
  <si>
    <t>FIXING CHARGES</t>
  </si>
  <si>
    <t>SUNDRIES FOR PLUGSCREW,PAINT</t>
  </si>
  <si>
    <t xml:space="preserve"> 3"I.O. ButtHinges</t>
  </si>
  <si>
    <t>(Both sides polished)</t>
  </si>
  <si>
    <t>PRECAST Plain cement concrete P.C.C</t>
  </si>
  <si>
    <t>IWC ORIYA PAN</t>
  </si>
  <si>
    <t>S.W. SIGLE Y</t>
  </si>
  <si>
    <t>NYLON BUSH FOR W&amp;V</t>
  </si>
  <si>
    <t>VENTILATER PIVET</t>
  </si>
  <si>
    <t>PAIR</t>
  </si>
  <si>
    <t>ALU HOOKS &amp; EYES8"</t>
  </si>
  <si>
    <t>RCC 1:2:4 for Earth quake resistance arrangements at corner of brick wall including cost of concrete, farication &amp; curing etc.,  data for 2.1m.</t>
  </si>
  <si>
    <t>Alu.Bracket with screws</t>
  </si>
  <si>
    <t>S/F OF DOUBLE POLE MAIN SWITCH</t>
  </si>
  <si>
    <t>HALF THE RATE  OF F.W USING C.W.PLANKS</t>
  </si>
  <si>
    <t>nos.</t>
  </si>
  <si>
    <t>Br jelly</t>
  </si>
  <si>
    <t>Lime</t>
  </si>
  <si>
    <t>LABOUR FOR FIXING OF EWC</t>
  </si>
  <si>
    <t>TOTAL FOR .0283 CUM</t>
  </si>
  <si>
    <t>TOTAL FOR ONE CUM</t>
  </si>
  <si>
    <t>S/F OF S.W. TEE 1000mmmDIA</t>
  </si>
  <si>
    <t>U ORJ BOLT ANDBITUMENWASHERS</t>
  </si>
  <si>
    <t>Providing Rain Water Harvesting Perculation pit
a) Providing pit</t>
  </si>
  <si>
    <t>HBSJ 40mm</t>
  </si>
  <si>
    <t>Precasted slab</t>
  </si>
  <si>
    <t xml:space="preserve">kota stone  flooring </t>
  </si>
  <si>
    <t xml:space="preserve">                                                                                                                                                                                                                                                                                                                                                </t>
  </si>
  <si>
    <t>SUPLLYING AND FILLING WITH 40MM HBSJ</t>
  </si>
  <si>
    <t>RAILS(BELOW 2M)- 1X4X0.9X0.15X0.0375=      0.0203</t>
  </si>
  <si>
    <t>SCRAPING THE OLD PLASTER SURFACE *</t>
  </si>
  <si>
    <t>C.W JOIST(AVE.SIZE 100X6.5mm</t>
  </si>
  <si>
    <t>BRICK JELLY CONCRETE (1:8:16)40MM</t>
  </si>
  <si>
    <t>60.</t>
  </si>
  <si>
    <t>EARTH WORK EXCAVATION IN SS20B</t>
  </si>
  <si>
    <t>READY MIXED PRIMER PAINT</t>
  </si>
  <si>
    <t xml:space="preserve">PAINTER I </t>
  </si>
  <si>
    <t>READY MIXED IIND CLASS PAINT</t>
  </si>
  <si>
    <t>SUNDRIES FOR BRUSHES,ETC</t>
  </si>
  <si>
    <t>C.I. YEE JUNCTION WITH OUT DOOR  50mmDIA</t>
  </si>
  <si>
    <t>S &amp; F  of  C.I. Manhole cover 45 x 45 cm
 (20 kg. weight)</t>
  </si>
  <si>
    <t xml:space="preserve">C.P tap long body </t>
  </si>
  <si>
    <t xml:space="preserve">C.P tap short body </t>
  </si>
  <si>
    <t>HANGER BRACKET</t>
  </si>
  <si>
    <t>ALU.SLEEVES</t>
  </si>
  <si>
    <t>TOWER BOLT RECEIVER</t>
  </si>
  <si>
    <t>3 Nos.of 30Amps - Fuse Unit</t>
  </si>
  <si>
    <t>M.S Angle</t>
  </si>
  <si>
    <t>Supply of G.I pipe 25mm dia</t>
  </si>
  <si>
    <t>MASON Ist</t>
  </si>
  <si>
    <t>MAZDOOR Ist</t>
  </si>
  <si>
    <t>MOULDING CHARGES</t>
  </si>
  <si>
    <t>HANDLING CHARGES MAZDOOR-II</t>
  </si>
  <si>
    <t>Cum.</t>
  </si>
  <si>
    <t>COST OF PAINT</t>
  </si>
  <si>
    <t xml:space="preserve">PAINTER II </t>
  </si>
  <si>
    <t>Plastic Emulsion PAINT</t>
  </si>
  <si>
    <t>Two legged scaffolding</t>
  </si>
  <si>
    <t>Total for 10 times</t>
  </si>
  <si>
    <t>For one operation</t>
  </si>
  <si>
    <t>Coir, nails etc.</t>
  </si>
  <si>
    <t>Total for 6 Rmt.</t>
  </si>
  <si>
    <t>Total for1 Rmt.</t>
  </si>
  <si>
    <t>Providing Granite slab flooring of</t>
  </si>
  <si>
    <t>COST OF Granite  tile 20mm tk(Ruby red/raw silk) polished</t>
  </si>
  <si>
    <t>Gully Trap using Kiln burnt country bricks 22 x 11 x 5.7 cm.</t>
  </si>
  <si>
    <t>BOLTS,NUTS &amp; CHOCK NUTS ETC.,</t>
  </si>
  <si>
    <t>DIA  ALUMINIUM HANGER ROD TO</t>
  </si>
  <si>
    <t>THE  REQUIRED LENGTH WITH</t>
  </si>
  <si>
    <t>G.I. 80MM X65mm REDUCER TEE</t>
  </si>
  <si>
    <t xml:space="preserve"> PIPE COST 25mm DIA</t>
  </si>
  <si>
    <t>PLAIN GLASS</t>
  </si>
  <si>
    <t>C.W BOARDING 40mm T.K</t>
  </si>
  <si>
    <t>P.V.C BEND</t>
  </si>
  <si>
    <t>Squat Urinal</t>
  </si>
  <si>
    <t>Flat Back Urinal</t>
  </si>
  <si>
    <t xml:space="preserve">S &amp; F of Orissapan  - in G.F.  </t>
  </si>
  <si>
    <t>TOTAL FOR 1.823SQM</t>
  </si>
  <si>
    <t>M.S FLAT OF SIZE 50 X 10mm ALROUND            = 1 X 1 X4.20 X 3.9Kg/m</t>
  </si>
  <si>
    <t>Mazdoor II</t>
  </si>
  <si>
    <t>==========</t>
  </si>
  <si>
    <t>RED OXIDE PLASTERING C.M 1:4, 20MM THICK</t>
  </si>
  <si>
    <t>with standard specification</t>
  </si>
  <si>
    <t xml:space="preserve"> "   OF SIZE 90X90cm</t>
  </si>
  <si>
    <t xml:space="preserve"> "   OF SIZE 47.5X90cm</t>
  </si>
  <si>
    <t>M.S SQUARE BAR 20 X 10mm HORIZONTAL    = 1 X 3 X 0.75 X 3.29KG/m</t>
  </si>
  <si>
    <t>TW  frame &amp; TW styles &amp; rails with 9 mm thick BWR double leaf shutter for ward robe / cup board</t>
  </si>
  <si>
    <t xml:space="preserve">9mm thick BWR ply wood </t>
  </si>
  <si>
    <t>Bottle trap with UPVC coupling</t>
  </si>
  <si>
    <t>UPVC coupling</t>
  </si>
  <si>
    <t>Plumber - I</t>
  </si>
  <si>
    <t xml:space="preserve"> "   OF SIZE 90X120cm</t>
  </si>
  <si>
    <t xml:space="preserve">M.S FLAT OF SIZE 25 X 6mm    = 0.75 X .025 X .06 X 7850 Kg/CUM </t>
  </si>
  <si>
    <t>SYNTHETIC ENAMEL PAINT</t>
  </si>
  <si>
    <t>LIT</t>
  </si>
  <si>
    <t xml:space="preserve"> 20mm DIA----DO----2.9mm</t>
  </si>
  <si>
    <t>RATE PER CUM with vibrating</t>
  </si>
  <si>
    <t xml:space="preserve"> 25mm DIA----DO-----3.4mm</t>
  </si>
  <si>
    <t xml:space="preserve"> 32mm DIA-----DO----3.6mm</t>
  </si>
  <si>
    <t xml:space="preserve"> 25a</t>
  </si>
  <si>
    <t xml:space="preserve"> 40mm DIA----DO----3.7mm</t>
  </si>
  <si>
    <t xml:space="preserve"> 25b</t>
  </si>
  <si>
    <t>c. In First floor</t>
  </si>
  <si>
    <t>Supplying &amp; fixing of Terra cotta jolly (not less than 50mm)</t>
  </si>
  <si>
    <t>fixing in position etc., all complete</t>
  </si>
  <si>
    <t xml:space="preserve"> 40mmDIAX32mmDIA</t>
  </si>
  <si>
    <t xml:space="preserve"> 50mmDIAX40mmDIA</t>
  </si>
  <si>
    <t>TO PROPER GRADE AND</t>
  </si>
  <si>
    <t>a. In Ground floor</t>
  </si>
  <si>
    <t>C.I. TEE JUNCTION WITH DOOR  100mmDIA</t>
  </si>
  <si>
    <t>C.I. TEE JUNCTION WITH DOOR  75mmDIA</t>
  </si>
  <si>
    <t>CEMENT CONCRETE(1:8:16) USING</t>
  </si>
  <si>
    <t>LABOUR FOR CUTTING 50mm DIA/100mm Dia  *</t>
  </si>
  <si>
    <t>RAILS(BELOW 2M)- 1X3X0.9X0.15X0.0375=      0.0152</t>
  </si>
  <si>
    <t xml:space="preserve">S/F OF BULK HEAD FITTING for CFL </t>
  </si>
  <si>
    <t>SUPPLY AND DELIVERY OF FAN 48"SWEEP with ordinary regulator.</t>
  </si>
  <si>
    <t>I.O SPL HING 8"LONG</t>
  </si>
  <si>
    <t>I.O. HINGES 3"</t>
  </si>
  <si>
    <t>I.O. HINGES 2"</t>
  </si>
  <si>
    <t xml:space="preserve">M.S SQUARE BAR 20 X 20mm    = 0.75X .02 X .02 X 7850 Kg/CUM </t>
  </si>
  <si>
    <t>62.2.a.</t>
  </si>
  <si>
    <t>wardrobe, shelves, kitchen sinks,</t>
  </si>
  <si>
    <t>hearth slab and sunshade etc., for the</t>
  </si>
  <si>
    <t>all sizes of windows,ventilaters.</t>
  </si>
  <si>
    <t xml:space="preserve"> ---DO---FOR CALLING BELL POINT </t>
  </si>
  <si>
    <t>Country
Bricks,</t>
  </si>
  <si>
    <t>b. Light point without ceiling rose</t>
  </si>
  <si>
    <t xml:space="preserve"> STONEWARE TEE</t>
  </si>
  <si>
    <t>25mm  DIA G.I PIPE ABOVE G.L</t>
  </si>
  <si>
    <t>f.  In Fourth floor</t>
  </si>
  <si>
    <t>Cuddappa slab 20 mm tk.</t>
  </si>
  <si>
    <t>and eyes T.W.plugs screws etc complete and as</t>
  </si>
  <si>
    <t>directed by the Departmental Officers as per</t>
  </si>
  <si>
    <t>Drawings</t>
  </si>
  <si>
    <t>C.W.Scantling for Shutter</t>
  </si>
  <si>
    <t>C.W.Planks</t>
  </si>
  <si>
    <t>Weldmesh</t>
  </si>
  <si>
    <t xml:space="preserve">S &amp; F of Indian Water closet white glazed (Oriya type) of size 580 x 440mm  - Other than  G.F.  </t>
  </si>
  <si>
    <t>PVC SWR pipe (Soil line) with ISI mark - type 'B'.</t>
  </si>
  <si>
    <t>GI WIRE 8 GAUGE</t>
  </si>
  <si>
    <t>WIRE MAN GR-I</t>
  </si>
  <si>
    <t>HELPER</t>
  </si>
  <si>
    <t>CIVIL WORK SUCH AS EXCAVATION FILLING MASONRY WORK, COVER SLAB ETC.,</t>
  </si>
  <si>
    <t>Rate for 1 steps</t>
  </si>
  <si>
    <t>Primer coat using white cement</t>
  </si>
  <si>
    <t>ABOVE G.L (Fully concealed in walls).</t>
  </si>
  <si>
    <t>1000Nos.</t>
  </si>
  <si>
    <t>Supply and fixing of PVC flushing tank with all fittings</t>
  </si>
  <si>
    <t>10 lit. capacity.</t>
  </si>
  <si>
    <t>AT 2% BY WEIGHT OF CEMENT</t>
  </si>
  <si>
    <t>CP TAP (LONG BODY)</t>
  </si>
  <si>
    <t>POINTING WITH C.M(1:3)</t>
  </si>
  <si>
    <t>33.</t>
  </si>
  <si>
    <t>MARINE PLYWOOD 12mm THICK</t>
  </si>
  <si>
    <t>SUNDRIES FOR WEDGES,NAILS,COIR</t>
  </si>
  <si>
    <t xml:space="preserve"> MDF board (18mm thick) double leaf shutters with TW frame for cup board/ ward robes.</t>
  </si>
  <si>
    <t xml:space="preserve">RATE PER CUM </t>
  </si>
  <si>
    <t>RAILS(BELOW 2M)- 1X4X0.9X0.15X0.0375=      0.02025</t>
  </si>
  <si>
    <t xml:space="preserve">               - 1X2X0.731X0.125X0.0375 =0.00685</t>
  </si>
  <si>
    <t>PLANKS      -1X4X0.60625X02825X0.01875=</t>
  </si>
  <si>
    <t>…</t>
  </si>
  <si>
    <t>Gully Trap using Chamber burnt bricks 22 x 11 x 7 cm.</t>
  </si>
  <si>
    <t>Gully Trap using Kiln burnt country bricks 22 x 11 x 7 cm.</t>
  </si>
  <si>
    <t>CEMENT MORTAR(1:4)</t>
  </si>
  <si>
    <t>Stoneware pipe</t>
  </si>
  <si>
    <t xml:space="preserve"> --------------------</t>
  </si>
  <si>
    <t>Augering 30 cm dia</t>
  </si>
  <si>
    <t>MASON II CLASS</t>
  </si>
  <si>
    <t>MAZDOORI CLASS</t>
  </si>
  <si>
    <t>Hire charges for O2296TOOLS PLANTS at 10% of labour</t>
  </si>
  <si>
    <t>C.W.SCANTLING(PLLLI,KARIMURUTH)</t>
  </si>
  <si>
    <t>P.V.C ELBOW</t>
  </si>
  <si>
    <t xml:space="preserve"> AVENUE TREE GUARD</t>
  </si>
  <si>
    <t>TOTAL FOR 3 RMT</t>
  </si>
  <si>
    <t>45.</t>
  </si>
  <si>
    <t>Alu. bolt and nuts</t>
  </si>
  <si>
    <t>Total for 1No</t>
  </si>
  <si>
    <t>R.C.C DOOR FRAME</t>
  </si>
  <si>
    <t>Window size 90x105cm</t>
  </si>
  <si>
    <t>21.1</t>
  </si>
  <si>
    <t>d. In Third floor</t>
  </si>
  <si>
    <t>C.C(1:2:4)USING 20mmJELLY</t>
  </si>
  <si>
    <t>Cost of binding meterials etc.,</t>
  </si>
  <si>
    <t>g. 0.9 x 1.35 mt window</t>
  </si>
  <si>
    <t>h. 0.9 x 1.05 mt window</t>
  </si>
  <si>
    <t xml:space="preserve"> with ISI mark confirming to 13952:1992-type 'B'</t>
  </si>
  <si>
    <t>PVC bend</t>
  </si>
  <si>
    <t>51. 1</t>
  </si>
  <si>
    <t>Strutting to centering of R.C.C plain surface, 3.00m height wall.</t>
  </si>
  <si>
    <t>R.C.C(1:2:4)USING 20mmHBS</t>
  </si>
  <si>
    <t>16.2</t>
  </si>
  <si>
    <t>SUNDRIES FOR NAILS,PLUGS &amp; Brass screws ETC.</t>
  </si>
  <si>
    <t>Sundries for brass scrwew</t>
  </si>
  <si>
    <t>22.1 (c)</t>
  </si>
  <si>
    <t>22.1 (b)</t>
  </si>
  <si>
    <t>TW single leaf glazed window</t>
  </si>
  <si>
    <t xml:space="preserve">shutter  for frame of overall height 135cm </t>
  </si>
  <si>
    <t>cum</t>
  </si>
  <si>
    <t>TW scantling below 2m length</t>
  </si>
  <si>
    <t xml:space="preserve"> 3" ALU BUTT HINGES</t>
  </si>
  <si>
    <t>S&amp;F of TV/Telephone line Socket</t>
  </si>
  <si>
    <t>TWO COATS of enamel paint incl. Primer</t>
  </si>
  <si>
    <t>sundries for finishing dismantled portion</t>
  </si>
  <si>
    <t>Rate for 2Rmt.</t>
  </si>
  <si>
    <t>6" X .6" TOWER BOLTS</t>
  </si>
  <si>
    <t>10" X 5/8" ALDROPS</t>
  </si>
  <si>
    <t>SQUARE BARS OF SIZE 20 x 20mm               = 8Nos X 0.6M 3.14 Kg/Met</t>
  </si>
  <si>
    <t>GROUND LEVEL(OR) FIXING ON WALLS  TO THE</t>
  </si>
  <si>
    <t>PROPER GRADIENT AND ALIGNMENT ETC.ALL</t>
  </si>
  <si>
    <t>CEMENT MORTAR(1:3)</t>
  </si>
  <si>
    <t>LABOUR CHARGES FOR FILLING</t>
  </si>
  <si>
    <t>17.</t>
  </si>
  <si>
    <t>C.W. PLANK UPTO 40mmTHICK UPTO 30 Cm WIDTH</t>
  </si>
  <si>
    <t>CEMENT CONCRETE(1:2:4) USING</t>
  </si>
  <si>
    <t>G.I. SHEET SR114 1.6mmT.K,30cmWIDE</t>
  </si>
  <si>
    <t>SQM*</t>
  </si>
  <si>
    <t>and 75mmwide in all floors including</t>
  </si>
  <si>
    <t>finishing with neat cement scaffolding</t>
  </si>
  <si>
    <t>2 TO 3M</t>
  </si>
  <si>
    <t>C.I. YEE JUNCTION WITH  DOOR  50mmDIA</t>
  </si>
  <si>
    <t>FOURTH FLOOR</t>
  </si>
  <si>
    <t>l. 0.60 x 0.60 mt.Ventilator</t>
  </si>
  <si>
    <t>Teak wood panelled door shutters</t>
  </si>
  <si>
    <t>a. Window: 135 cm ht.</t>
  </si>
  <si>
    <t xml:space="preserve">========= </t>
  </si>
  <si>
    <t>T.W.SCANTLING 2M-3M LONG</t>
  </si>
  <si>
    <t>Lts</t>
  </si>
  <si>
    <t>Painter Ist</t>
  </si>
  <si>
    <t>Mazdoor IInd</t>
  </si>
  <si>
    <t>Total for 10 Sqm</t>
  </si>
  <si>
    <t>40.</t>
  </si>
  <si>
    <t>PAINTING TWO COATS OVER NEW</t>
  </si>
  <si>
    <t>WOOD WORKS WITH IIND CLASS</t>
  </si>
  <si>
    <t>A.C. PIPE 100mm DIA</t>
  </si>
  <si>
    <t>A.C.BEND100mm DIA</t>
  </si>
  <si>
    <t>A.C. SHOE 100mm DIA</t>
  </si>
  <si>
    <t>MASAN I</t>
  </si>
  <si>
    <t xml:space="preserve">COST OF CLAMPS PLUGS </t>
  </si>
  <si>
    <t>SUPPLY AND DELIVERY OF FAN 48"SWEEP</t>
  </si>
  <si>
    <t>JELLY FOR ALL WATER RETAINING</t>
  </si>
  <si>
    <t>S&amp;F of M.S. Angle of size 35x35x5mm for staircase steps</t>
  </si>
  <si>
    <t>From 1.25m to 2m width</t>
  </si>
  <si>
    <t>b. In First floor</t>
  </si>
  <si>
    <t>S &amp; F of plastic  shade</t>
  </si>
  <si>
    <t>Double pole main switch</t>
  </si>
  <si>
    <t xml:space="preserve"> 4"X5/8"ALU.TOWER BOLT</t>
  </si>
  <si>
    <t xml:space="preserve"> ORNAMENTAL  HANDLE WITH SCREWS</t>
  </si>
  <si>
    <t>Add for Silver oak planks</t>
  </si>
  <si>
    <t xml:space="preserve"> 4" I.O.BUTT HINGS</t>
  </si>
  <si>
    <t>ELECTRICAL ARRANGEMENT:- BOARD APPROVED RATES</t>
  </si>
  <si>
    <t>No</t>
  </si>
  <si>
    <t>Carpenter Ist</t>
  </si>
  <si>
    <t xml:space="preserve"> 6"X1/2" I.O ALDROP</t>
  </si>
  <si>
    <t>WRING WITH 1.5SQMM COPPER WIRE  CONCELLED</t>
  </si>
  <si>
    <t>Each</t>
  </si>
  <si>
    <t>0 TO 2M</t>
  </si>
  <si>
    <t>Bolts &amp;nuts</t>
  </si>
  <si>
    <t>Total for 1 no.</t>
  </si>
  <si>
    <t>53.2</t>
  </si>
  <si>
    <t xml:space="preserve">CI MANHOLE COVER 45CMX45CMX20KG </t>
  </si>
  <si>
    <t>53.3</t>
  </si>
  <si>
    <t>50.3</t>
  </si>
  <si>
    <t>NIPPLE,GATE VLVE,CHECK AND WHEEL VALVE</t>
  </si>
  <si>
    <t>WHEREVER NECESSARY INCLUDING LABOUR BELOW</t>
  </si>
  <si>
    <t>HDPE water tank 200 lit capacity with ISI mark</t>
  </si>
  <si>
    <t>JALLY(NOT BELOW 50MM THICK) OF BEST</t>
  </si>
  <si>
    <t>RUN OFF MAIN WITH 2NO OF 1.50sq.mm WIRE</t>
  </si>
  <si>
    <t xml:space="preserve"> 20mmH.B.JELLY</t>
  </si>
  <si>
    <t>Rate for one sqm</t>
  </si>
  <si>
    <t>1200 X 2100MM (Double Leaf)</t>
  </si>
  <si>
    <t>SUNDRIES FOR NAILS,PLUGS ETC.</t>
  </si>
  <si>
    <t>TOTAL FOR 2.52 SQM</t>
  </si>
  <si>
    <t>B.W IN C.M(1:4) USING Country BricksKiln Burnt  SIZE 22x11x7Cm</t>
  </si>
  <si>
    <t>LOCKS &amp;KEY</t>
  </si>
  <si>
    <t>M.S./ R.T.S above 16mm</t>
  </si>
  <si>
    <t>M.S. SHEET/ANGLE PER M.T</t>
  </si>
  <si>
    <t>26.</t>
  </si>
  <si>
    <t>Country BricksKiln Burnt  SIZE 22x11x5Cm</t>
  </si>
  <si>
    <t>27.</t>
  </si>
  <si>
    <t>SAND FOR MARTER</t>
  </si>
  <si>
    <t>EARTH WORK EXCAVATION</t>
  </si>
  <si>
    <t>NOS.</t>
  </si>
  <si>
    <t>CASURNA POST 10TO 13cmDIA</t>
  </si>
  <si>
    <t>Providing Double under reamed Pile of 6m depth,375mm dia</t>
  </si>
  <si>
    <t>Volume of Concrete = (2x4x.375x3.14/4*.375*.375)+(3.14/4x.375x.375x6)</t>
  </si>
  <si>
    <t xml:space="preserve">Form Work  Small qty. </t>
  </si>
  <si>
    <t>Total     for 2.1m</t>
  </si>
  <si>
    <t>P.V.C. DOUBLE TEE WITH OUT DOOR 100mm DIA</t>
  </si>
  <si>
    <t>Nos</t>
  </si>
  <si>
    <t>ITEM NO 1:-MANUFACTURING AND</t>
  </si>
  <si>
    <t>c. In Second floor</t>
  </si>
  <si>
    <t>P.V.C. SOIL TEE 110mm DIA</t>
  </si>
  <si>
    <t>LABOUR FOR FIXING JALLY</t>
  </si>
  <si>
    <t>MISCELLANCEOUS ITEMS</t>
  </si>
  <si>
    <t>TOTAL FOR TEN SQM</t>
  </si>
  <si>
    <t>BEST VARNISHING TWO COAT OVER WOOD WORK</t>
  </si>
  <si>
    <t>23.2</t>
  </si>
  <si>
    <t>headed glass panels 450x1350</t>
  </si>
  <si>
    <t>INCLUDING COST OF</t>
  </si>
  <si>
    <t>10.</t>
  </si>
  <si>
    <t>1000nos.</t>
  </si>
  <si>
    <t>FITTER-II</t>
  </si>
  <si>
    <t>LIFT CHARGES FOR B.W IN G.F  *</t>
  </si>
  <si>
    <t>I.O. TOWER BOLT 6"X1/2"</t>
  </si>
  <si>
    <t>I.O. TOWER BOLT 2"X5/8"</t>
  </si>
  <si>
    <t xml:space="preserve"> 20mm Dia</t>
  </si>
  <si>
    <t>S.F OF G.I OUT LET PIPE OF 25mm DIA</t>
  </si>
  <si>
    <t>G.I. 80MM X65mm REDUCER</t>
  </si>
  <si>
    <t>PLAIN CONCRETE SURFACES FOR ALL R.C.C</t>
  </si>
  <si>
    <t xml:space="preserve"> 30cm LONG</t>
  </si>
  <si>
    <t>G.I. 80MM X50mm REDUCER TEE</t>
  </si>
  <si>
    <t>WORKS(beams &amp; lintels)</t>
  </si>
  <si>
    <t xml:space="preserve">Sundries  for white lead </t>
  </si>
  <si>
    <t>Rate for 10 Sqm</t>
  </si>
  <si>
    <t>Rate per 1 Sqm</t>
  </si>
  <si>
    <t>C.I. YEE JUNCTION WITH DOOR  100mmDIA</t>
  </si>
  <si>
    <t>a. 150 mm wide</t>
  </si>
  <si>
    <t>DOOR HANDLE WITH CP SCREWS</t>
  </si>
  <si>
    <t xml:space="preserve">  5"BUTT HINGS</t>
  </si>
  <si>
    <t xml:space="preserve"> 6"X1/2"TOWER BOLT</t>
  </si>
  <si>
    <t>10"X5/8"ALDROP</t>
  </si>
  <si>
    <t>NYLONBUSH</t>
  </si>
  <si>
    <t>TOTAL FOR 1.8230SQM</t>
  </si>
  <si>
    <t>M.S FLAT OF SIZE 50 X 10mm ALROUND            = 1 X 1 X 6.20 X 3.92 Kg/m</t>
  </si>
  <si>
    <t>1000 X 2100MM</t>
  </si>
  <si>
    <t>900 X 2100MM</t>
  </si>
  <si>
    <t>700 X 2100MM</t>
  </si>
  <si>
    <t>(a)</t>
  </si>
  <si>
    <t>Certified that the observed datas prepard based on the actuals in curred at the time of execution and least amount to the best of my Knowledge.</t>
  </si>
  <si>
    <t>P.V.C. SOIL BEND W.O.D 110mm DIA</t>
  </si>
  <si>
    <t>SUPPLY OF 100mmS.W TEE</t>
  </si>
  <si>
    <t>P.V.C. SOIL BEND 75mm DIA</t>
  </si>
  <si>
    <t>C.C(1:2:4)USING 20mmHB JELLY</t>
  </si>
  <si>
    <t>fixing inposition of shutters and cost of</t>
  </si>
  <si>
    <t>STOCK BRICK-IISORT(2A)T.M OF SIZE 9"x4-1/2"X3"</t>
  </si>
  <si>
    <t>1000 Nos</t>
  </si>
  <si>
    <t>---------------------</t>
  </si>
  <si>
    <t>ONE  COURSE OF PRESSED TILES</t>
  </si>
  <si>
    <t>P.V.C. SOIL YEE 75mm DIA</t>
  </si>
  <si>
    <t>P.V.C. SOIL YEE 50mm DIA</t>
  </si>
  <si>
    <t>TOTAL FOR .01 CUM</t>
  </si>
  <si>
    <t>20mm HBSTONE METEL</t>
  </si>
  <si>
    <t>Vibrat-charges(P.C.C)</t>
  </si>
  <si>
    <t>SAND FILLING  *</t>
  </si>
  <si>
    <t>19.</t>
  </si>
  <si>
    <t>Sand filling charges</t>
  </si>
  <si>
    <t>STEEL GRILLS FOR WINDOWS &amp; VENTILATER</t>
  </si>
  <si>
    <t>WITH SUITABLE LEDGES</t>
  </si>
  <si>
    <t>FITTER II *</t>
  </si>
  <si>
    <t xml:space="preserve">ROUGH STONE </t>
  </si>
  <si>
    <t>HARD BROKEN STONE JELLY 3mmTo10mm SIZE</t>
  </si>
  <si>
    <t>HARD BROKEN STONE JELLY  10mm SIZE</t>
  </si>
  <si>
    <t>HARD BROKEN STONE JELLY 12mm SIZE</t>
  </si>
  <si>
    <t xml:space="preserve"> 12x12mm thick alu.beedings</t>
  </si>
  <si>
    <t>Labour Charges for fixing</t>
  </si>
  <si>
    <t>SUPPLYING AND FIXING OF TV/TELEPHONE LINE SOCKET</t>
  </si>
  <si>
    <t>S/F OF 40W/60W BULB</t>
  </si>
  <si>
    <t>CEMENT PASTE AND REDOXIDE PUTTY INCLUDING</t>
  </si>
  <si>
    <t>Stacking charges</t>
  </si>
  <si>
    <t>B.w. in C.M. 1:4 for staircase steps Kiln burnt country bricks 22 x 11 x 7 cm.</t>
  </si>
  <si>
    <t>LABOUR CHARGE FOR SHUTTER</t>
  </si>
  <si>
    <t xml:space="preserve"> 3"X5/8"ALU.TOWER BOLT</t>
  </si>
  <si>
    <t>CERTIFIED THAT THE LEAD PARTICULARS FURNISHED HERE ARE FOUND CORRECT UPTO BEST OF MY KNOWLEDGE</t>
  </si>
  <si>
    <t>HARD BROKEN STONE JELLY 10mm</t>
  </si>
  <si>
    <t>MAZDOOR-II</t>
  </si>
  <si>
    <t>MAZDOOR II*</t>
  </si>
  <si>
    <t>5.</t>
  </si>
  <si>
    <t>HARD BROKEN STONE JELLY 12mm</t>
  </si>
  <si>
    <t>PAINTER-I</t>
  </si>
  <si>
    <t>PAINTER I/II*</t>
  </si>
  <si>
    <t>TOTAL FOR 1 CUM</t>
  </si>
  <si>
    <t xml:space="preserve"> 5" ALU BUTT HINGES</t>
  </si>
  <si>
    <t>TOTAL FOR 1.64 SQM</t>
  </si>
  <si>
    <t>5 AMPS 5 PIN PLUG SOCKET POINT AT CONVENIENT PLACES (OPEN WIRING)</t>
  </si>
  <si>
    <t>T.W. frame &amp; TW styles &amp; rails with BWR double leaf shutters for cup board/ ward robes including two coat enamel paint &amp; one coat primer.</t>
  </si>
  <si>
    <t>G.I Pipe 20mm dia for Hot water line (Fully Concealed in walls)</t>
  </si>
  <si>
    <t>P.V.C DOOR TEE 110MM</t>
  </si>
  <si>
    <t>COST OF RUBBER</t>
  </si>
  <si>
    <t xml:space="preserve">PLASTERED SURFACE WITH </t>
  </si>
  <si>
    <t>PVC Nahani trap (4way/2way)</t>
  </si>
  <si>
    <t>1.2</t>
  </si>
  <si>
    <t>Eurocon tile/ Designer tile flooring (as per CER-112/2007-08)</t>
  </si>
  <si>
    <t>Grout joint filler</t>
  </si>
  <si>
    <t>ADD 50% EXYRA FOR COLOURING</t>
  </si>
  <si>
    <t>MAATERIAL</t>
  </si>
  <si>
    <t>G.I.COUPLER</t>
  </si>
  <si>
    <t>Fourth Floor</t>
  </si>
  <si>
    <t>1000NO.</t>
  </si>
  <si>
    <t xml:space="preserve">COLOUR  WASHING TWO COATS OVER </t>
  </si>
  <si>
    <t>ONE COAT OF WHITE WASHING.</t>
  </si>
  <si>
    <t>G.I. ELBOW</t>
  </si>
  <si>
    <t>G.I. UNION</t>
  </si>
  <si>
    <t>WATER SUPPLY</t>
  </si>
  <si>
    <t>***</t>
  </si>
  <si>
    <t>63</t>
  </si>
  <si>
    <t>32mm dia P.V.C Waste Pipe and</t>
  </si>
  <si>
    <t>Cement &amp; Steel</t>
  </si>
  <si>
    <t>(1MT)</t>
  </si>
  <si>
    <t>TOTAL FOR 30M</t>
  </si>
  <si>
    <t>RATE PER RMT</t>
  </si>
  <si>
    <t>GRAVEL</t>
  </si>
  <si>
    <t>GRINDING MORTAR *</t>
  </si>
  <si>
    <t>MOSIC TILES GREY 25X25X2cm</t>
  </si>
  <si>
    <t>S/F OF STREET LIGHTS.</t>
  </si>
  <si>
    <t>KILN BURNT COUNTRY G.M(2D) BRICK 8-3/4"X4-1/4"X2"</t>
  </si>
  <si>
    <t>COUNTRY BRICK-ISORT(2B)T.M SIZE 9"x4-3/8"X2-3/4"</t>
  </si>
  <si>
    <t>Alu.Towel rail 75Cm long</t>
  </si>
  <si>
    <t>Alu. Bolt With screws</t>
  </si>
  <si>
    <t>G.I.HEX NIPPLE</t>
  </si>
  <si>
    <t>B</t>
  </si>
  <si>
    <t>MS Sheet</t>
  </si>
  <si>
    <t>Welding charges</t>
  </si>
  <si>
    <t>Labour for erection of board</t>
  </si>
  <si>
    <t>COLOUR</t>
  </si>
  <si>
    <t>EARTHING STATION (TYPE II)</t>
  </si>
  <si>
    <t>GI PIPE 40MM DIA</t>
  </si>
  <si>
    <t>CHARCOAL</t>
  </si>
  <si>
    <t>SALT</t>
  </si>
  <si>
    <t>C.I. YEE JUNCTION WITH DOOR  75mmDIA</t>
  </si>
  <si>
    <t>TOTAL FOR  ONE NOS.</t>
  </si>
  <si>
    <t>Bricks of size 22X11X5 cm</t>
  </si>
  <si>
    <t>PRESSED TILES 23X23X18MM</t>
  </si>
  <si>
    <t>LABOUR CHARGE FOR WROUGHT &amp; PUTUP</t>
  </si>
  <si>
    <t>RATE FOR T.W.SCANDLING 2M-3M LONG</t>
  </si>
  <si>
    <t>T.W.SCANTLING UP TO 2M LONG</t>
  </si>
  <si>
    <t>RATE FOR T.W.SCANTLING 2M LONG</t>
  </si>
  <si>
    <t>22.2(a)</t>
  </si>
  <si>
    <t>Brick work in C.M. 1:6  using Kiln Burnt Country bricks of size 22 x 11 x 5.7 cm (8 3/4" x 4 1/4" x 2 1/4")</t>
  </si>
  <si>
    <t xml:space="preserve"> 20mm HBS Jelly</t>
  </si>
  <si>
    <t>C.M. 1:3</t>
  </si>
  <si>
    <t>Mason IInd</t>
  </si>
  <si>
    <t>Total for 10  cum</t>
  </si>
  <si>
    <t>Rate per  cum</t>
  </si>
  <si>
    <t>Wash Hand Basin of size 550 x 400 mm with all accessories such as CI brackets, 32mm dia CP waste coupling, Rubber pug and chain, 32mm dia B class GI waste pipe, 15mm dia brass nipples. 15mm CP pillar tap etc.,</t>
  </si>
  <si>
    <t>C.I.DOUBLE YEE JUNCTION WITHOUT DOOR  100mmDIA</t>
  </si>
  <si>
    <t xml:space="preserve">           </t>
  </si>
  <si>
    <t>SPOUT PIPE OF 50mm DIA</t>
  </si>
  <si>
    <t>GRADED CHIPS</t>
  </si>
  <si>
    <t>Form work - Plinth beam (C.W. planks)</t>
  </si>
  <si>
    <t>PLACE:-</t>
  </si>
  <si>
    <t>-</t>
  </si>
  <si>
    <t xml:space="preserve">         </t>
  </si>
  <si>
    <t>QTY</t>
  </si>
  <si>
    <t>COST OF MATERIALS</t>
  </si>
  <si>
    <t>RATE</t>
  </si>
  <si>
    <t>PER</t>
  </si>
  <si>
    <t>AMOUNT</t>
  </si>
  <si>
    <t>Cement extra @ 10%(323.1x.9935)</t>
  </si>
  <si>
    <t xml:space="preserve"> 1000NO.</t>
  </si>
  <si>
    <t>PLACING R.T.S RODS/MS RODS above 16mm dia(without cement  slurry)</t>
  </si>
  <si>
    <t>SUPPLY AND FIXING OF</t>
  </si>
  <si>
    <t>110mmDIA P.V.C RAIN WATER</t>
  </si>
  <si>
    <t>C.I.DOUBLE YEE JUNCTION WITH DOOR  100mmDIA</t>
  </si>
  <si>
    <t>FOR PLASTERING &amp; REDOXIDE PUTTY</t>
  </si>
  <si>
    <t>S.F OF A.C.SPOUT PIPE OF50 mm DIA</t>
  </si>
  <si>
    <t>C.I.DOUBLE YEE JUNCTION WITH DOOR  75mmDIA</t>
  </si>
  <si>
    <t xml:space="preserve"> 18" LONG</t>
  </si>
  <si>
    <t>THREADING CHARGES FOR PVC 32mm/63mm</t>
  </si>
  <si>
    <t>c. In  Second Floor</t>
  </si>
  <si>
    <t>M.S FLAT OF SIZE 20 X 20mm                               = 1 X 9 X1.35 X 3.11Kg/m</t>
  </si>
  <si>
    <t xml:space="preserve">REINFORCED CEMENT CONCRETE </t>
  </si>
  <si>
    <t>frosted glass 4mmthick</t>
  </si>
  <si>
    <t>DRY BRICK WORK</t>
  </si>
  <si>
    <t>P.V.C. SOIL SHOE 110mm DIA</t>
  </si>
  <si>
    <t>16.1</t>
  </si>
  <si>
    <t>P.V.C. SOIL SHOE 50mm DIA</t>
  </si>
  <si>
    <t>OF STEEL</t>
  </si>
  <si>
    <t>PLASTERING IN C.M(1:5)12mm T.K</t>
  </si>
  <si>
    <t>22.2(c)</t>
  </si>
  <si>
    <t>22.2(d)</t>
  </si>
  <si>
    <t>filling chares</t>
  </si>
  <si>
    <t>PLYWOOD FLUSH DOOR 30mm T.K FOR ALL SIZE</t>
  </si>
  <si>
    <t xml:space="preserve"> 5" I.O.BUTT HINGS</t>
  </si>
  <si>
    <t>P.V.C.FLUSH D/F &amp; D/S 20mm T.K FOR 75X200cm</t>
  </si>
  <si>
    <t>DOOR OF SIZE 75X200Cm</t>
  </si>
  <si>
    <t>P.V.C. DOUBLE TEE WITH OUT DOOR 75mm DIA</t>
  </si>
  <si>
    <t>MAIN DATA</t>
  </si>
  <si>
    <t>Avenue trees</t>
  </si>
  <si>
    <t>CEMENT MORTAR(1:5)</t>
  </si>
  <si>
    <t>LABOUR FOR CUTTING 15mm DIA   *</t>
  </si>
  <si>
    <t>MDF board 18mm thk exterior grade one side prelaminated.</t>
  </si>
  <si>
    <t xml:space="preserve">Supply,Laying &amp; Concealing the 50mm dia PVC (SWR) pipe </t>
  </si>
  <si>
    <t>LABOUR FOR THREADING 15mm DIA  *</t>
  </si>
  <si>
    <t>LABOUR FOR THREADING 20mm DIA  *</t>
  </si>
  <si>
    <t>CEMENT MORTAR(1:6)</t>
  </si>
  <si>
    <t>CEMENT MORTAR(1:8)</t>
  </si>
  <si>
    <t>SUPPLY OF 40mmB.J. METEL</t>
  </si>
  <si>
    <t>P.V.C. SOIL TEE WITH DOOR  110mm DIA</t>
  </si>
  <si>
    <t>P.V.C. SOIL TEE WITH DOOR  75mm DIA</t>
  </si>
  <si>
    <t>P.V.C. SOIL TEE WITH DOOR  50mm DIA</t>
  </si>
  <si>
    <t>READY MIX PAINT II ND/ IST for wood</t>
  </si>
  <si>
    <t xml:space="preserve">  H.B.STONEJELLY 40mm</t>
  </si>
  <si>
    <t>Total for 1 Rmt</t>
  </si>
  <si>
    <t>47.</t>
  </si>
  <si>
    <t>COST OF gravel</t>
  </si>
  <si>
    <t>LABOUR CHARGES FOR SPREADING</t>
  </si>
  <si>
    <t>WATERING&amp;POWER ROLLING</t>
  </si>
  <si>
    <t>CRUDE OIL</t>
  </si>
  <si>
    <t>Kg</t>
  </si>
  <si>
    <t>RED OXIDE</t>
  </si>
  <si>
    <t>2.5</t>
  </si>
  <si>
    <t xml:space="preserve"> 'including Transporting charges</t>
  </si>
  <si>
    <t>Total for 9 m</t>
  </si>
  <si>
    <t>Rate per M</t>
  </si>
  <si>
    <t>51.</t>
  </si>
  <si>
    <t xml:space="preserve">P.V.C. SOIL DOUBLE YEE WITH DOOR 75mm </t>
  </si>
  <si>
    <t>JALLY-50mm THICK</t>
  </si>
  <si>
    <t>E.W EXCAVATION</t>
  </si>
  <si>
    <t>c.For Square and rectangular columns and small quantities</t>
  </si>
  <si>
    <t>Add for cutting, bending,</t>
  </si>
  <si>
    <t>P.V.C REDUCER ELBOW</t>
  </si>
  <si>
    <t>welding charges etc.</t>
  </si>
  <si>
    <t xml:space="preserve"> 50X25MM</t>
  </si>
  <si>
    <t>for one operation</t>
  </si>
  <si>
    <t>M.S FLAT OF SIZE 25 X 6mm VERTICAL           = 1 X 2 X1.35 X 1.2Kg/m</t>
  </si>
  <si>
    <t>J.E / A.E</t>
  </si>
  <si>
    <t xml:space="preserve"> 25mmDIAX20mmDIA</t>
  </si>
  <si>
    <t>LAYING JOINTING INCLUDING</t>
  </si>
  <si>
    <t xml:space="preserve"> 50mmDIAX25mmDIA</t>
  </si>
  <si>
    <t>C.C(1:2:4)USING 3mm-10mm HBSTONE</t>
  </si>
  <si>
    <t>ALIGNING</t>
  </si>
  <si>
    <t xml:space="preserve"> 50mmDIAX32mmDIA</t>
  </si>
  <si>
    <t>G.I.REDUCER  TEE</t>
  </si>
  <si>
    <t xml:space="preserve">  3mm-10mm HB STONE JELLY</t>
  </si>
  <si>
    <t xml:space="preserve">COST OF 32MM DIA PVC PIPE </t>
  </si>
  <si>
    <t>ADD 20% FOR PVC/GI SPECIALS</t>
  </si>
  <si>
    <t>29.</t>
  </si>
  <si>
    <t>TRANSPORTING &amp; ERRECTION</t>
  </si>
  <si>
    <t>Red oxide plastering in CM 1:4</t>
  </si>
  <si>
    <t>Under reamed pile (Single)</t>
  </si>
  <si>
    <t>d. 1200 x 2100 mm (Single) annexure item</t>
  </si>
  <si>
    <t>Ties 6RTS (0.28 x 15 x 0.222 = 0.932 kg)</t>
  </si>
  <si>
    <t>Total      3.065 kg</t>
  </si>
  <si>
    <t>RCC 1:2:4 using 3-10mm HBGS</t>
  </si>
  <si>
    <t xml:space="preserve">steel </t>
  </si>
  <si>
    <t>LIFT CHARGES FOR CONCRETE IN G.F  *</t>
  </si>
  <si>
    <t>m.s.angle window shutter  and</t>
  </si>
  <si>
    <t>COST OF JOINTING  MATERIALS</t>
  </si>
  <si>
    <t xml:space="preserve"> ============</t>
  </si>
  <si>
    <t>SUNDRIES FOR B.J.C,PLASTERING ETC</t>
  </si>
  <si>
    <t>61.1(a)</t>
  </si>
  <si>
    <t>Mazdoor-I</t>
  </si>
  <si>
    <t>TOTAL FOR 1.860 SQM</t>
  </si>
  <si>
    <t xml:space="preserve"> (NO SAND)USING GRANITECHIPS</t>
  </si>
  <si>
    <t xml:space="preserve">STONE JELLY 3mm to 10mm </t>
  </si>
  <si>
    <t>Providing earth quake resistant for Door/window Jambs</t>
  </si>
  <si>
    <t>22.3.2</t>
  </si>
  <si>
    <t>Total for 0.5334 Sqm</t>
  </si>
  <si>
    <t>Rate for one Sqm.</t>
  </si>
  <si>
    <t>1285 x 600mm</t>
  </si>
  <si>
    <t>Floor ceramic tiles (Anti-skid) using Grout (Tile Joint Filler).</t>
  </si>
  <si>
    <t>Two coat of cement paint over one coat white cement</t>
  </si>
  <si>
    <t>One coat white cement for new walls and other similar works.</t>
  </si>
  <si>
    <t xml:space="preserve">Supply and fixing of Aluminium window with 3mm thick Glass </t>
  </si>
  <si>
    <t>B.w. in C.M. 1:4 for staircase steps Kiln burnt country bricks 22 x 11 x 5.7 cm.</t>
  </si>
  <si>
    <t>Floor ceramic tiles</t>
  </si>
  <si>
    <t>Glazed tiles</t>
  </si>
  <si>
    <t>Ellispattern</t>
  </si>
  <si>
    <t>Weathering course</t>
  </si>
  <si>
    <t>LABOUR FOR CUTTING 65mm DIA/80mm Dia  *</t>
  </si>
  <si>
    <t xml:space="preserve"> 10"X5/8" I.O ALDROP</t>
  </si>
  <si>
    <t>Rate for 16 steps</t>
  </si>
  <si>
    <t>Rate per 1Rmt.</t>
  </si>
  <si>
    <t>Glass panels with Aluminium beedings</t>
  </si>
  <si>
    <t>LABOUR FOR THREADING 25mm DIA  *</t>
  </si>
  <si>
    <t>MASON II</t>
  </si>
  <si>
    <t>VARNISH TWO COATS</t>
  </si>
  <si>
    <t>each</t>
  </si>
  <si>
    <t>SINTEX WATER TANK OF 750 LIT</t>
  </si>
  <si>
    <t>EACH</t>
  </si>
  <si>
    <t>STEEL DOOR FRAMEOF SIZE 100X200</t>
  </si>
  <si>
    <t>STEEL DOOR FRAMEOF SIZE 90X200</t>
  </si>
  <si>
    <t>STEEL DOOR FRAMEOF SIZE 75X200</t>
  </si>
  <si>
    <t>Filling with Excavated Earth Mixed with lime in the proporation 1:4 (one of lime &amp; four of earth)</t>
  </si>
  <si>
    <t>ROD AROUND AND 3MM STEEL STIRRUP AT 30CM C/C</t>
  </si>
  <si>
    <t>SUPPLYING AND FIXING OF 20MM DIA PVC PIPE FOR TV/TELEPHONE LINE</t>
  </si>
  <si>
    <t xml:space="preserve"> 6"X1/2" I.O.TOWER BOLT</t>
  </si>
  <si>
    <t>40mm</t>
  </si>
  <si>
    <t>Cement mortar Border in  C.M. 1:5, 12 mm tk.</t>
  </si>
  <si>
    <t xml:space="preserve">M.S DOOR OF SIZE 1000 X 2100mm </t>
  </si>
  <si>
    <t>S&amp;F P.V.C. 20mmTHICK DOOR SHUTTER WITH DOOR FRAME OF SIZE 40mmX57mm FOR OUTER FRAME AND THE SINGLE LEAF SHUTTER MADEOF PLASTIC SHEET 20mmX200mm FOR SHUTTER PANNEL AND SHUTTER FRAME OF PLASTIC 24mmX59mm WITH 8 NOS OF 3 HINGS ALU,2N0S OFAL. HANDLES</t>
  </si>
  <si>
    <t>TEAK WOOD WROUGHT &amp; PUT UP</t>
  </si>
  <si>
    <t>Rate for 39.2 sqm</t>
  </si>
  <si>
    <t>Rate for 1 sqm</t>
  </si>
  <si>
    <t>SHUTTER SIZE0-1.1X2.05   =2.255M2</t>
  </si>
  <si>
    <t>STYLES(OVER 2M) -2X2X2.05X0.075X0.0375=0.02306</t>
  </si>
  <si>
    <t>RAILS(BELOW 2M)- 2X3X0.55X0.15X0.0375=      0.01856</t>
  </si>
  <si>
    <t>PLANKS      -1X2X0.625X0.425=0.53</t>
  </si>
  <si>
    <t>PLANKS      -1X2X1.025X0.425=0.87</t>
  </si>
  <si>
    <t>1.40M2</t>
  </si>
  <si>
    <t>TOTAL FOR 2.255 SQM</t>
  </si>
  <si>
    <t>DOOR OF SIZE 1200 X2100 MM</t>
  </si>
  <si>
    <t>1800 X 2100MM (Double leaves)</t>
  </si>
  <si>
    <t>1.016M2</t>
  </si>
  <si>
    <t>TW Panelled Door 1500 X 2100MM (Double leaves)</t>
  </si>
  <si>
    <t>brass screws</t>
  </si>
  <si>
    <t>1200MMX2100MM SIZE OF DOOR FRAME</t>
  </si>
  <si>
    <t>TW panelled Door 1800X2400 Double leaves</t>
  </si>
  <si>
    <t>Shutter size 2 x 0.85 x 2.325m</t>
  </si>
  <si>
    <t>T.W PLANKS  (30 TO 45CM wide, 12 - 25mm THICK)</t>
  </si>
  <si>
    <t>Locking arrangements</t>
  </si>
  <si>
    <t>TOTAL FOR 0.743 SQM</t>
  </si>
  <si>
    <t xml:space="preserve"> 2" I.O.Hooks and Eyes</t>
  </si>
  <si>
    <t>Total for one sqm</t>
  </si>
  <si>
    <t>TOTAL FOR ONE NUMBER</t>
  </si>
  <si>
    <t>G.M.VALUE WITH POLYTHENE BALL OF 20mmDIA</t>
  </si>
  <si>
    <t>G.M.VALUE WITH POLYTHENE BALL OF 25mmDIA</t>
  </si>
  <si>
    <t>C.P. SHOWER ROSE 1/2"X4"</t>
  </si>
  <si>
    <t>CHAMBER OF SIZE 60X60X75cm</t>
  </si>
  <si>
    <t>TARRED HEMP YARN</t>
  </si>
  <si>
    <t>C.</t>
  </si>
  <si>
    <t>BROSS HEX NIPPLE15mm DIA</t>
  </si>
  <si>
    <t>AS DIRECTED BY THE DEPT OFFICERS.</t>
  </si>
  <si>
    <t>no</t>
  </si>
  <si>
    <t>C.W.SCANTLING UPTO 4M length (PADAK)</t>
  </si>
  <si>
    <t>PROVIDING ELCB WITH MCB IN MS BOX</t>
  </si>
  <si>
    <t xml:space="preserve"> ---------------------</t>
  </si>
  <si>
    <t>Flat back urinal WITH ALL ACCESSORIES</t>
  </si>
  <si>
    <t>Steel window with 10mm square</t>
  </si>
  <si>
    <t xml:space="preserve">             -1X1X0.725X0.3375X0.01875=</t>
  </si>
  <si>
    <t>P.V.C. SOIL DOUBLE YEE 75mm DIA</t>
  </si>
  <si>
    <t>MDF</t>
  </si>
  <si>
    <t>STONE CUTTER II  *</t>
  </si>
  <si>
    <t>CONVEYING,LOWERING&amp; JOINTING LABOUR</t>
  </si>
  <si>
    <t>RMT</t>
  </si>
  <si>
    <t>LOW LEVEL FLUSHING CISTERN 10 LIT.</t>
  </si>
  <si>
    <t>P.V.C. SOIL TEE 75mm DIA</t>
  </si>
  <si>
    <t>FOR PETTY WORKS</t>
  </si>
  <si>
    <t>P.V.C. SOIL TEE 50mm DIA</t>
  </si>
  <si>
    <t>1000MMX2100MM SIZE OF DOOR FRAME</t>
  </si>
  <si>
    <t>Description</t>
  </si>
  <si>
    <t>TRANSPORTING ETC., ALL COMPLETE, AS DIRECTED</t>
  </si>
  <si>
    <t>BY DEPT.OFFICERS.</t>
  </si>
  <si>
    <t>900MMX2100MM SIZE OF DOOR FRAME</t>
  </si>
  <si>
    <t>-------------------------------</t>
  </si>
  <si>
    <t>P.V.C. SOIL BENDWITH DOOR 75mm DIA</t>
  </si>
  <si>
    <t>a. T.W. over 2 m &amp; below 3 m</t>
  </si>
  <si>
    <t>b. T.W. below 2 m length.</t>
  </si>
  <si>
    <t xml:space="preserve">PVC Door frame &amp; shutter  
</t>
  </si>
  <si>
    <t>5 amps 5 pin Plug point (Switch board itself)</t>
  </si>
  <si>
    <t>5 amps 5 pin Plug point (Convenient places)</t>
  </si>
  <si>
    <t>15 Amp. Power plug</t>
  </si>
  <si>
    <t>Bulk head fitting</t>
  </si>
  <si>
    <t>S &amp; F of Tube light with fittings</t>
  </si>
  <si>
    <t>S &amp; F of 40/ 60 w bulb</t>
  </si>
  <si>
    <t>LABOUR CHARGES FOR MIXING</t>
  </si>
  <si>
    <t>16.</t>
  </si>
  <si>
    <t>local</t>
  </si>
  <si>
    <t>Mortar mix charges</t>
  </si>
  <si>
    <t>VIBRATER CHARGES  *</t>
  </si>
  <si>
    <t>COST OF RUBBER ,LUBRICATION,PLUG,CLAMP</t>
  </si>
  <si>
    <t>24.</t>
  </si>
  <si>
    <t>R.T.S. / M.S upto 16mm</t>
  </si>
  <si>
    <t>SHUTTER SIZE0-.9X2.05   =1.845M2</t>
  </si>
  <si>
    <t>ADD 70% FOR PVC/GI SPECIALS</t>
  </si>
  <si>
    <t>RTS/MS upto 16mm dia</t>
  </si>
  <si>
    <t xml:space="preserve">Brick partition in C.M. 1:4 50 mm tk. (B.P.)
Kiln Burnt Country brick: 23 x 11 x 5 cm 
(9" x 4 1/4" x 2") </t>
  </si>
  <si>
    <t>62.2.b.</t>
  </si>
  <si>
    <t>NYLON BUSH FOR D</t>
  </si>
  <si>
    <t>d. In Second Floor</t>
  </si>
  <si>
    <t xml:space="preserve">RUN OF 2 WIRES OF 4 SQMM WITH CONTINUOUS EARTHING BY MEANS OF 2.5SQMM FOR A/C </t>
  </si>
  <si>
    <t>SUPPLYING AND FIXING OF A/C METAL CLAD</t>
  </si>
  <si>
    <t>Brick work in C.M. 1:6  using Chamber Burnt brick of size 23 x 11 x 7 cm (9" x 4 1/4" x 2 3/4")</t>
  </si>
  <si>
    <t xml:space="preserve"> 20mmbrick jelly</t>
  </si>
  <si>
    <t>S.W.BEND 150mm DIA</t>
  </si>
  <si>
    <t>LABOUR CHARGES FOR FIXING IN</t>
  </si>
  <si>
    <t>Providing White/Color ceramic floor tiles (Anti-skid)of</t>
  </si>
  <si>
    <t>DOOR OF SIZE 1000 X2100 MM</t>
  </si>
  <si>
    <t>C.I. YEE JUNCTION WITHOUT DOOR  100mmDIA</t>
  </si>
  <si>
    <t>16.3</t>
  </si>
  <si>
    <t>C.I. YEE JUNCTION WITHOUT DOOR  75mmDIA</t>
  </si>
  <si>
    <t>JALLY(NOT BELOW 110MM THICK) OF BEST</t>
  </si>
  <si>
    <t xml:space="preserve">SWR pipe for ventilating shaft </t>
  </si>
  <si>
    <t>Barbed wire fencing for 10 m</t>
  </si>
  <si>
    <t>Binding wire</t>
  </si>
  <si>
    <t>Labour</t>
  </si>
  <si>
    <t>Rate for 10m</t>
  </si>
  <si>
    <t>Rate for 1m</t>
  </si>
  <si>
    <t>Mason II class</t>
  </si>
  <si>
    <t>R.C.C.Door frame</t>
  </si>
  <si>
    <t>a.For Column footings,plinth beam,Grade beam,Raftbeam,Raft slab etc.,</t>
  </si>
  <si>
    <t xml:space="preserve">ALROUND M.S FLAT OF SIZE 50 X 10mm      = 2.4 M X 3.925 Kg/Met </t>
  </si>
  <si>
    <t>SQUARE BARS OF SIZE 20 x 20mm               =5Nos X 0.6M 3.14 Kg/Met</t>
  </si>
  <si>
    <t>Shutter area      -1X1X1.05X1.95=2.05 m2</t>
  </si>
  <si>
    <t>Average rate for staircase steps</t>
  </si>
  <si>
    <t>A.C. SOIL SHOE</t>
  </si>
  <si>
    <t>PARTITION WALL</t>
  </si>
  <si>
    <t>WHITE WASHING ONE COAT</t>
  </si>
  <si>
    <t>A.C. SOIL SOCKETS</t>
  </si>
  <si>
    <t>SUNDRIES FOR BRUSH ETC</t>
  </si>
  <si>
    <t>A.C.DRAIN SPOUT 18" LONG</t>
  </si>
  <si>
    <t>TOTAL FOR 100 SQM</t>
  </si>
  <si>
    <t>S &amp; F 5 pin Coat stand</t>
  </si>
  <si>
    <t>S &amp; F chromium plated 8 guage Picture Hook</t>
  </si>
  <si>
    <t>Precast slab 50 mm tk.in C.C. 1:3:6</t>
  </si>
  <si>
    <t>Sqm.</t>
  </si>
  <si>
    <t>ROUND RING</t>
  </si>
  <si>
    <t>MOSAIC FLOORING IN C.M(1:3)</t>
  </si>
  <si>
    <t>STONE CUTTER II</t>
  </si>
  <si>
    <t>MADON I</t>
  </si>
  <si>
    <t>COST OF CLAMPS PLUGS PAINTING</t>
  </si>
  <si>
    <t>G.I.REDUCER  ELBOW</t>
  </si>
  <si>
    <t>REDOING WORKS ETC</t>
  </si>
  <si>
    <t>TOTAL FOR 30 M</t>
  </si>
  <si>
    <t xml:space="preserve"> 32mmX15mmDIA</t>
  </si>
  <si>
    <t>P.V.C.PIPE</t>
  </si>
  <si>
    <t>25%</t>
  </si>
  <si>
    <t>Aluminium section</t>
  </si>
  <si>
    <t>glass 4mm pin headed</t>
  </si>
  <si>
    <t>rubber beeding</t>
  </si>
  <si>
    <t>hinges</t>
  </si>
  <si>
    <t>handle</t>
  </si>
  <si>
    <t>stay</t>
  </si>
  <si>
    <t>stiffner</t>
  </si>
  <si>
    <t>holdfast</t>
  </si>
  <si>
    <t>labbour charges</t>
  </si>
  <si>
    <t>sundries</t>
  </si>
  <si>
    <t>P.V.C.REDUCER TEE</t>
  </si>
  <si>
    <t xml:space="preserve"> 32mmDIAX25mmDIA</t>
  </si>
  <si>
    <t>JOINTING P.V.C  PIPE AND SPECIALS</t>
  </si>
  <si>
    <t>L-clamps 6nos of size 150x150mm size with</t>
  </si>
  <si>
    <t>Plumber I</t>
  </si>
  <si>
    <t>62.1(a)</t>
  </si>
  <si>
    <t>SHUTTER AREA      = 2X0.55 X 2.025                                    = 2.23 Sqm</t>
  </si>
  <si>
    <t>RAILS (BELOW 2M) = 2 X 3 X 0.55 X 0.15 X 0.0375              =0.0186</t>
  </si>
  <si>
    <t>USING GREY COLOUR TILES</t>
  </si>
  <si>
    <t>NOS</t>
  </si>
  <si>
    <t>COST OF GRAY COLOUR  TILES</t>
  </si>
  <si>
    <t>25X25X2cm</t>
  </si>
  <si>
    <t>C.M(1:3)</t>
  </si>
  <si>
    <t>LABOUR FOR LAYING &amp; POINTING</t>
  </si>
  <si>
    <t>POLISHING</t>
  </si>
  <si>
    <t>HIRE CHARGES FOR POWER POLISH</t>
  </si>
  <si>
    <t>ELCT.CHARGES</t>
  </si>
  <si>
    <t>For 1m depth</t>
  </si>
  <si>
    <t>SHUTTER SIZE-.9X2.025   =1.8225M2</t>
  </si>
  <si>
    <t>STYLES(OVER 2M) -1X2X2.025X0.125X0.0375=0.01898</t>
  </si>
  <si>
    <t>C.C.1:5:10 for Foundation &amp; Basement</t>
  </si>
  <si>
    <t>Surface dressing over WBM  25 mm tk.
with pre-coated chips using 11.2mm size IRC</t>
  </si>
  <si>
    <t>Ornamental TW panelled Door 1800X2100 Double leaves</t>
  </si>
  <si>
    <t>Data and non scheduled items as per CER 2008-09 for PERURANI Scheme)</t>
  </si>
  <si>
    <t>labour charges for carving work</t>
  </si>
  <si>
    <t>Brass hinges 6"</t>
  </si>
  <si>
    <t>16" brass tower bolt</t>
  </si>
  <si>
    <t>8" brass tower bolt</t>
  </si>
  <si>
    <t>10" brass tower bolt</t>
  </si>
  <si>
    <t>7" mortice lock with brass handle985</t>
  </si>
  <si>
    <t>12" majestic door handle</t>
  </si>
  <si>
    <t>RATE for 3.0225 SQM</t>
  </si>
  <si>
    <t>RATE FOR 1 SQM</t>
  </si>
  <si>
    <t>OBD</t>
  </si>
  <si>
    <t>Brassscrews</t>
  </si>
  <si>
    <t>MS Ventilator of Size 600 x 600mm</t>
  </si>
  <si>
    <t>LABOUR FOR THREADING 32mm DIA /100mm Dia *</t>
  </si>
  <si>
    <t>MAZDOOR I</t>
  </si>
  <si>
    <t>b. 700 x 2100 mm</t>
  </si>
  <si>
    <t>c. 1000 x 2100 mm</t>
  </si>
  <si>
    <t>Rain water harvesting using defunct borewell and providing perforated cover slab</t>
  </si>
  <si>
    <t>P.V.C. COUPLER</t>
  </si>
  <si>
    <t>a.</t>
  </si>
  <si>
    <t>supply &amp;fixing of cuddapah sink 600x600x200mmsize</t>
  </si>
  <si>
    <t>P.V.C. CONECTION 1/2"X15"</t>
  </si>
  <si>
    <t>ALU TOWEL RAIL 12mm ,2'LONG</t>
  </si>
  <si>
    <t>CONSTRN. OF INSPECTION</t>
  </si>
  <si>
    <t>LABOUR FOR CUTTING 25mm DIA  *</t>
  </si>
  <si>
    <t>S/F OF 50mmDIA A.C COWL</t>
  </si>
  <si>
    <t>CONVEY,ALAIGN,JIONT ETC UP TO40mmPVC PIPE</t>
  </si>
  <si>
    <t>Spreading charges for 2 layers</t>
  </si>
  <si>
    <t>(10.1+7.72)</t>
  </si>
  <si>
    <t>Total for 10 m2</t>
  </si>
  <si>
    <t>for 1 m2</t>
  </si>
  <si>
    <t>S &amp; F of Exsaust Fan 225mm dia</t>
  </si>
  <si>
    <t>horizontal with one coat of</t>
  </si>
  <si>
    <t>COST OF FILLING GRAVEL</t>
  </si>
  <si>
    <t>FINISHING THE TOP OF FLOORING</t>
  </si>
  <si>
    <t>Run of 2 wires of 4 sqmm with continuous earth by means of 2.5sqmm</t>
  </si>
  <si>
    <t>SHUTTER SIZE-0.8X2.05   =1.64 M2</t>
  </si>
  <si>
    <t>TOTAL FOR 1.64 sqm</t>
  </si>
  <si>
    <t>1500 X 2100MM (Double Leaf)</t>
  </si>
  <si>
    <t>1200 X 2100MM single leaf</t>
  </si>
  <si>
    <t>SHUTTER SIZE-1.1X2.05   =2.255 M2</t>
  </si>
  <si>
    <t>TOTAL FOR 2.255 sqm</t>
  </si>
  <si>
    <t>total for 0.4sqm</t>
  </si>
  <si>
    <t>S/F OF 8SWG G.I WIRE</t>
  </si>
  <si>
    <t>STYLES (OVER 2m) = 2 X 2 X 2.025 X 0.075 X 0.0375         = 0.0228</t>
  </si>
  <si>
    <t>RAILS (BELOW 2M) = 2 X 3 X 0.70 X 0.15 X 0.0375              =0.0236</t>
  </si>
  <si>
    <t>P.C.C. 1:2:4 for Foundation &amp; Basement and other similar works</t>
  </si>
  <si>
    <t>P.C.C. 1:8:16 using 20 mm broken brick jelly</t>
  </si>
  <si>
    <t>as directed by the Dept.Officers.</t>
  </si>
  <si>
    <t>COST OF CERAMIC FLOOR TILES</t>
  </si>
  <si>
    <t>31.</t>
  </si>
  <si>
    <t>JELLY LIME IN RATIO 32:121/2</t>
  </si>
  <si>
    <t>BY VOLUMN WELL WATERING</t>
  </si>
  <si>
    <t xml:space="preserve">RATE PER CUM EXCLUDING REFILLING 
</t>
  </si>
  <si>
    <t>70.3</t>
  </si>
  <si>
    <t>70.4</t>
  </si>
  <si>
    <t>b. 75 mm wide</t>
  </si>
  <si>
    <t>c. 50 mm wide</t>
  </si>
  <si>
    <t>Cement paint</t>
  </si>
  <si>
    <t>M.s Grills</t>
  </si>
  <si>
    <t>Painting - New "iron work"</t>
  </si>
  <si>
    <t>Total for 6.28 Sqm</t>
  </si>
  <si>
    <t>Rate per Sqm</t>
  </si>
  <si>
    <t>Fly proof  Mesh</t>
  </si>
  <si>
    <t>Fly proof mesh</t>
  </si>
  <si>
    <t xml:space="preserve"> 15mmDIA G.M.CHEKVALUE</t>
  </si>
  <si>
    <t xml:space="preserve"> 20mm DIA G.M.CHEKVALUE</t>
  </si>
  <si>
    <t>C</t>
  </si>
  <si>
    <t>25mm DIA  GI PIPE BELOW G.L</t>
  </si>
  <si>
    <t>13.1</t>
  </si>
  <si>
    <t xml:space="preserve">FILLING IN BASEMENT  WITH </t>
  </si>
  <si>
    <t>S/F OF 40mmDIA B-CASS G.I PIPE</t>
  </si>
  <si>
    <t>P.V.C. SOIL  SLOTTED COWL PIPE 75mm DIA</t>
  </si>
  <si>
    <t>OF SIZE 150X75X100cm( BER NO</t>
  </si>
  <si>
    <t>P.V.C. SOIL SLOTTEDCOWL 50mm DIA</t>
  </si>
  <si>
    <t>6/91-92)</t>
  </si>
  <si>
    <t>P.V.C. SOIL DOUBLE YEEE 110mm DIA</t>
  </si>
  <si>
    <t>pairs</t>
  </si>
  <si>
    <t>Pairs</t>
  </si>
  <si>
    <t>12mmTHICK MIXED WITH WATER PROOF COMPOUND</t>
  </si>
  <si>
    <t>Matt paint Two coats</t>
  </si>
  <si>
    <t>SYNTHETIC ENAMEL PAINT INCL.PRIMER COAT.</t>
  </si>
  <si>
    <t>FABRICATION  (RCC WORKS)</t>
  </si>
  <si>
    <t>12.</t>
  </si>
  <si>
    <t>BRICK JELLY 20mmGAUGE</t>
  </si>
  <si>
    <t>CARPENTER-II</t>
  </si>
  <si>
    <t>T.W. double leaf shutters for cup board/ ward robes</t>
  </si>
  <si>
    <t>EVERITE CLAMP IRON CLAMP</t>
  </si>
  <si>
    <t>B.W IN C.M(1:5)</t>
  </si>
  <si>
    <t>PLASTERING IN C.M(1:3) 12 mmT.K</t>
  </si>
  <si>
    <t>a. 0 to 2 mt.</t>
  </si>
  <si>
    <t xml:space="preserve"> 10"X5/8" ALU. ALDROP</t>
  </si>
  <si>
    <t>NYLON BUSH</t>
  </si>
  <si>
    <t>ALU.HANDLE WITH C.P.SCREWS</t>
  </si>
  <si>
    <t>DOOR STOPPER</t>
  </si>
  <si>
    <t>TOTAL FOR 1.23 SQM</t>
  </si>
  <si>
    <t>I.O HOOKS &amp; EYES6"</t>
  </si>
  <si>
    <t>I.O HOOKS &amp; EYES3"</t>
  </si>
  <si>
    <t>C.I. SOIL PIPE</t>
  </si>
  <si>
    <t>MDF board door shutters (35mm thick) exterior grade both side laminated with external lipping.</t>
  </si>
  <si>
    <t>a. 1000X2100mm.</t>
  </si>
  <si>
    <t>SUPERCEM PAINTING TWO COATS</t>
  </si>
  <si>
    <t>SUPERCEM</t>
  </si>
  <si>
    <t>SUPLLYING AND FILLING WITH 20MM HBSJ</t>
  </si>
  <si>
    <t>Supply and filling of 40 mm Brick jelly</t>
  </si>
  <si>
    <t xml:space="preserve">M.S VENTILATOR OF SIZE - 600 X 600mm ( 1 No ) </t>
  </si>
  <si>
    <t>of size 90x 60cm</t>
  </si>
  <si>
    <t>pair</t>
  </si>
  <si>
    <t xml:space="preserve"> pivoted hinges with screw</t>
  </si>
  <si>
    <t>3" hooks and eyes</t>
  </si>
  <si>
    <t>8" hooks and eyes</t>
  </si>
  <si>
    <t>TW  double leaf shutter for ward robe / cup board</t>
  </si>
  <si>
    <t>SHUTTER SIZE 1.2X2.1   =2.52M2</t>
  </si>
  <si>
    <t>TW scantling(OVER 2M) -1X2X2.1X0.075X0.0375=0.0118</t>
  </si>
  <si>
    <t>COST OF SAND</t>
  </si>
  <si>
    <t>14.</t>
  </si>
  <si>
    <t>SLACKED SHELL LIME</t>
  </si>
  <si>
    <t>STONE CUTTER-II</t>
  </si>
  <si>
    <t xml:space="preserve">               - 1X2X0.70625X0.075X0.0375 =0.0040</t>
  </si>
  <si>
    <t>PLANKS      -1X4X0.58125X0.3375X0.01875=</t>
  </si>
  <si>
    <t>6.</t>
  </si>
  <si>
    <t>MASON I</t>
  </si>
  <si>
    <t>BRICK JELLY 20mm GAUGE</t>
  </si>
  <si>
    <t>ADD 100% FOR NARROW CUTTING</t>
  </si>
  <si>
    <t>PRESSED TILES 23X23X2cm</t>
  </si>
  <si>
    <t xml:space="preserve"> 1/3REFILLING CHARGES</t>
  </si>
  <si>
    <t>SLACKED LIME</t>
  </si>
  <si>
    <t>C.W.SANDLING UP TO 4M LONG</t>
  </si>
  <si>
    <t>C.W. PLANK 40mmT.K.UPTO30cm WIDTH</t>
  </si>
  <si>
    <t>T.W SANDLING OVER2M,BLOW3M</t>
  </si>
  <si>
    <t>A.C. SHEET SEMI CORRUGATED 6mmT.K</t>
  </si>
  <si>
    <t>Hire charges @ 10% of labour charges</t>
  </si>
  <si>
    <t xml:space="preserve">SHUTTER AREA      = 2X0.95 X 2.025                         </t>
  </si>
  <si>
    <t xml:space="preserve">RAILS (BELOW 2M) = 2 X 3 X 0.95 X 0.15 X 0.0375          </t>
  </si>
  <si>
    <t xml:space="preserve">              2X 3 X 0.95 X 0.075 X 0.0375     </t>
  </si>
  <si>
    <t>Cuddappa slab 40 mm tk.</t>
  </si>
  <si>
    <t>Rate for 2.44m</t>
  </si>
  <si>
    <t>C.I. TEE JUNCTION WITHOUT DOOR  75mmDIA</t>
  </si>
  <si>
    <t>Pre cast slab 50mm thick in c.c. 1:3:6 mixed with fibre of size .28 x .28 m , 50mm thick</t>
  </si>
  <si>
    <t xml:space="preserve">   </t>
  </si>
  <si>
    <t>Pcc slab - 500 x .28 x .28 = 39.2 Sq.m</t>
  </si>
  <si>
    <t>k.0.90 x 0.60 mt.Ventilator</t>
  </si>
  <si>
    <t>000000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t>
  </si>
  <si>
    <t>SUPPLYING AND FIXING MONOLITHIC RCC DOOR</t>
  </si>
  <si>
    <t>FRAME OF SIZEM 100MMX75MM WITH ONE EDGE</t>
  </si>
  <si>
    <t>GROOVE OF SIZE 30MMX20MM IN RCC(1:1.5:3)USING</t>
  </si>
  <si>
    <t>M.S FLAT OF SIZE 25 X 6mm HORIZONTAL = 1 X 2 X0.9 x 1.2 Kg/Met</t>
  </si>
  <si>
    <t>RATE PER CUM EXCLUDING REFILLING</t>
  </si>
  <si>
    <t>.15CUM FOR 10  SQM</t>
  </si>
  <si>
    <t>BLUE METEL 3-10mm HBG</t>
  </si>
  <si>
    <t>46.</t>
  </si>
  <si>
    <t>SUPPLYING AND FIXING OF 20MM</t>
  </si>
  <si>
    <t>Painting - New "wood work"</t>
  </si>
  <si>
    <t>C.P.STOPCOCK 15mM DIA 300gm</t>
  </si>
  <si>
    <t>StonecutterII</t>
  </si>
  <si>
    <t xml:space="preserve"> 1CUM</t>
  </si>
  <si>
    <t>18.</t>
  </si>
  <si>
    <t>TESTING CHARGES FOR S.W. LINE</t>
  </si>
  <si>
    <t xml:space="preserve"> 110mmDIA P.V.C PIPE</t>
  </si>
  <si>
    <t>LABOUR CHARGE FOR  LAYING</t>
  </si>
  <si>
    <t>JOINTING GI PIPE AND SPECIALS</t>
  </si>
  <si>
    <t>RATE PER CUM INCLUDING REFILLING</t>
  </si>
  <si>
    <t>MS door of Size 1000 x 2100mm</t>
  </si>
  <si>
    <t>e. 1.2 x 1.05 mt window</t>
  </si>
  <si>
    <t>f. 1.05 x 1.35 mt window</t>
  </si>
  <si>
    <t>INCLUDING MOULDING INSTEEL MOULD PRECASTING</t>
  </si>
  <si>
    <t>Tamil Nadu Police Housing Corparation Ltd.</t>
  </si>
  <si>
    <t>=</t>
  </si>
  <si>
    <t>b. 900 x 2100 mm</t>
  </si>
  <si>
    <t>c. 700 x 2100 mm</t>
  </si>
  <si>
    <t>Teak wood Wrought &amp; Put up</t>
  </si>
  <si>
    <t>PROVIDING ANTI-TERMITE TREATMENT</t>
  </si>
  <si>
    <t>a. upto 16mm dia rods</t>
  </si>
  <si>
    <t>b. above 16mm dia rods</t>
  </si>
  <si>
    <t>Plumber I class</t>
  </si>
  <si>
    <t>P.V.C. SOIL BENDWITH DOOR 110mm DIA</t>
  </si>
  <si>
    <t>C.C(1:8:16)USING 40mm HBS</t>
  </si>
  <si>
    <t>I.W.C. 18" WITH P OR S TRAP WITH FOOT REST</t>
  </si>
  <si>
    <t>d.400mm dia</t>
  </si>
  <si>
    <t>e.450mm dia</t>
  </si>
  <si>
    <t>P.V.C. LOW LEVEL CISTERN 10 LITCAPACITY</t>
  </si>
  <si>
    <t>G.I. BEND</t>
  </si>
  <si>
    <t>BY THE DEPARTMENTAL OFFICERS)</t>
  </si>
  <si>
    <t>3.3</t>
  </si>
  <si>
    <t>20mm brick jelly</t>
  </si>
  <si>
    <t>R.C.C.IN C.C 1:1.5:3</t>
  </si>
  <si>
    <t>FAB OF M.S STEEL</t>
  </si>
  <si>
    <t xml:space="preserve">              2X 3 X 0.7 X 0.075 X 0.0375           = 0.0118</t>
  </si>
  <si>
    <t>PLANKS : 2 X 4 X 0.575 X 0.30 X 0.01875     = 0.0259</t>
  </si>
  <si>
    <t>Kg*</t>
  </si>
  <si>
    <t>E.W.EXCAVATION SS 20B AS PER SR ITEM 62 *</t>
  </si>
  <si>
    <t>CEMENT MORTAR(1:7)</t>
  </si>
  <si>
    <t>MIXER OPERATER *</t>
  </si>
  <si>
    <t>Grout</t>
  </si>
  <si>
    <t>RATE FOR 2.835 SQM</t>
  </si>
  <si>
    <t>SUPPLYING OF STEEL DOOR frame OF</t>
  </si>
  <si>
    <t>=================</t>
  </si>
  <si>
    <t>S&amp; F of MS angle of size 35 x35 x 5 mm for stair case steps (.95m)</t>
  </si>
  <si>
    <t xml:space="preserve">PLANKS : 2 X 4 X 0.825 X 0.30 X 0.01875    </t>
  </si>
  <si>
    <t xml:space="preserve">                  2 X 1 X 0.825 X 0.30 X 0.01875    </t>
  </si>
  <si>
    <t>RATE FOR 3.8475 SQM</t>
  </si>
  <si>
    <t>glass panels of 3mm thick for</t>
  </si>
  <si>
    <t>steel window and ventilaters.</t>
  </si>
  <si>
    <t>Phenol bonded BWR Plywood 9mm</t>
  </si>
  <si>
    <t>LABOUR CHARGE</t>
  </si>
  <si>
    <t xml:space="preserve"> 6"X1/2"ALU.TOWER BOLT</t>
  </si>
  <si>
    <t xml:space="preserve"> 5" ALU.BUTT HINGS</t>
  </si>
  <si>
    <t>1.3</t>
  </si>
  <si>
    <t>PILE DRIVING CHARGES FOR 400mmDIA/450mm DIA</t>
  </si>
  <si>
    <t>WELD MESH 100X100X10G</t>
  </si>
  <si>
    <t>37.5mm to 26.5mm IRC metal</t>
  </si>
  <si>
    <t xml:space="preserve"> 110mmDIA P.V.C PLAIN BEND</t>
  </si>
  <si>
    <t xml:space="preserve"> 110mmDIA P.V.C SHOE</t>
  </si>
  <si>
    <t>SPECIAL CLAMP</t>
  </si>
  <si>
    <t>C.I. GRATING 100mm DIA</t>
  </si>
  <si>
    <t>PLUMBER I</t>
  </si>
  <si>
    <t>WALL WITH WOODEN PLUGS</t>
  </si>
  <si>
    <t>SCREWSHOLDING CLAMPSETC</t>
  </si>
  <si>
    <t>P.V.C. PIPE 110mm DIA</t>
  </si>
  <si>
    <t xml:space="preserve"> 2"X5/16" ALU. TOWERBOLT</t>
  </si>
  <si>
    <t>NYLON BUSH with screws</t>
  </si>
  <si>
    <t>6" hooks and eyes</t>
  </si>
  <si>
    <t>TOTAL FOR .4766 SQM</t>
  </si>
  <si>
    <t>PLANKS      -1X1X0.625X0.64=0.40</t>
  </si>
  <si>
    <t>Qty.</t>
  </si>
  <si>
    <t xml:space="preserve"> SOLIDCORE OF BLACKBOARD</t>
  </si>
  <si>
    <t xml:space="preserve">S/F OF 16 AMP DPIC MAIN SWITCH </t>
  </si>
  <si>
    <t>Manufactoring and supplying of</t>
  </si>
  <si>
    <t>S/F OF 375mmX300mmX20mmT.W.PLANK FOR S.C.</t>
  </si>
  <si>
    <t xml:space="preserve"> 15mm DIA</t>
  </si>
  <si>
    <t>@90cm C/C)</t>
  </si>
  <si>
    <t>==============</t>
  </si>
  <si>
    <t>NAHANI TRAP 75mm DIA</t>
  </si>
  <si>
    <t>S &amp; F of Flat urinal (white)</t>
  </si>
  <si>
    <t>Weld Mesh of size 7.5 x 2.5 cm 10 gauge</t>
  </si>
  <si>
    <t>DOOR HANDLE 6"</t>
  </si>
  <si>
    <t xml:space="preserve"> ORNAMENTAL  HANDLE WITH SCREWS 100mm</t>
  </si>
  <si>
    <t>S/F OF SINGE PHASE ELCB OF CONCEAED TYPE</t>
  </si>
  <si>
    <t>Add for periodical cleaning</t>
  </si>
  <si>
    <t>Manufacturing and supplying of</t>
  </si>
  <si>
    <t>a. Foundation &amp; basement</t>
  </si>
  <si>
    <t>b. Ground Floor</t>
  </si>
  <si>
    <t>c. First Floor</t>
  </si>
  <si>
    <t>d. Second Floor</t>
  </si>
  <si>
    <t>deduct rate for 15mm dia GM wheel valve</t>
  </si>
  <si>
    <t xml:space="preserve"> Angle Valve</t>
  </si>
  <si>
    <t>PLACING  M.S RODS/RTS ROD (upto 16mm dia)</t>
  </si>
  <si>
    <t>PLASTERING IN C.M(1:3)12mmT.K</t>
  </si>
  <si>
    <t>TESTING CHARGES 10%of LABOUR</t>
  </si>
  <si>
    <t>TOTAL FOR 30RMT</t>
  </si>
  <si>
    <t xml:space="preserve">ALROUND M.S FLAT OF SIZE 50 X 10mm      = 3.0 M X 3.925 Kg/Met </t>
  </si>
  <si>
    <t>ADD FOR OIL,CONVEYANCE ETC.,</t>
  </si>
  <si>
    <t>32 mm dia PVC waste pipe</t>
  </si>
  <si>
    <t>Electrical arrangements</t>
  </si>
  <si>
    <t>a. Light point with ceiling rose</t>
  </si>
  <si>
    <t xml:space="preserve">PARTITION WALL </t>
  </si>
  <si>
    <t>CUTTING CHARGES</t>
  </si>
  <si>
    <t>G.I. TEE</t>
  </si>
  <si>
    <t>Cutting, Transporting , Laying &amp; Pointing charges</t>
  </si>
  <si>
    <t>Packet</t>
  </si>
  <si>
    <t>49.</t>
  </si>
  <si>
    <t>Cost of Picture hooks</t>
  </si>
  <si>
    <t>CUDDAPAH SLAB SINK 60X45cm,20mmT.K</t>
  </si>
  <si>
    <t>Cum</t>
  </si>
  <si>
    <t xml:space="preserve">             -1X1X0.625X0.2875X0.01875=</t>
  </si>
  <si>
    <t>TOTAL FOR 1.6400SQM</t>
  </si>
  <si>
    <t>SHUTTER SIZE0-.6X2.025   =1.215M2</t>
  </si>
  <si>
    <t>RAILS(BELOW 2M)- 1X2X0.6X0.15X0.0375=      0.0068</t>
  </si>
  <si>
    <t>Shutter(OSL Board)      -1X2X1.825X0.4=1.46m2</t>
  </si>
  <si>
    <t>REFILLING CHARGE</t>
  </si>
  <si>
    <t>CONVEYING,LOWERING  ANDLAYING</t>
  </si>
  <si>
    <t>TO PROPER GRADEAND</t>
  </si>
  <si>
    <t>ALIGNMENT,JOINTING</t>
  </si>
  <si>
    <t>ETC BUT EXCLUDING  COST OF</t>
  </si>
  <si>
    <t>EARTH WORK EXCAVATION for loose soil</t>
  </si>
  <si>
    <t xml:space="preserve"> 40mm Thick slab:-</t>
  </si>
  <si>
    <t>JOINTING MATERIALS.</t>
  </si>
  <si>
    <t>Supplying and fixing of Precast slab</t>
  </si>
  <si>
    <t>Earthing Station IS3043 (Type I)</t>
  </si>
  <si>
    <t>22.</t>
  </si>
  <si>
    <t>PIPES WITH NECESSARY SPECIALS ELBOWS,</t>
  </si>
  <si>
    <t>TEE,REDUCE ,PLUG,UNION,BEND,COUPLE,</t>
  </si>
  <si>
    <t>TOTAL FOR 10CUM</t>
  </si>
  <si>
    <t xml:space="preserve"> 20d</t>
  </si>
  <si>
    <t>DADOING WALL WITH MASAIC</t>
  </si>
  <si>
    <t>Floor ceramic tiles  using Grout (Tile Joint Filler).</t>
  </si>
  <si>
    <t>Rate per cum</t>
  </si>
  <si>
    <t>50.2</t>
  </si>
  <si>
    <t>S/F OF BWR PLYWOOD DOOR</t>
  </si>
  <si>
    <t>TYPE FOR LIGHT POINT WITH CEILING ROSE</t>
  </si>
  <si>
    <t>SHUTTER WITH VERTICALS AND</t>
  </si>
  <si>
    <t>TOP RAIL AND BOTTOM RAILS</t>
  </si>
  <si>
    <t>WITH 9mm THICK MARINE GRADE</t>
  </si>
  <si>
    <t>BWR  PLYWOOD WITH</t>
  </si>
  <si>
    <t>I.O FITTINGS AS PER SCHEDULE E</t>
  </si>
  <si>
    <t>STYLES(OVER 2M) -1X2X2.05X0.075X0.0375=0.01153</t>
  </si>
  <si>
    <t>RAILS(BELOW 2M)- 1X3X0.8X0.15X0.0375=      0.0135</t>
  </si>
  <si>
    <t>C.I. SOIL BEND WITHDOOR</t>
  </si>
  <si>
    <t>A.C. SOIL PIPE</t>
  </si>
  <si>
    <t>A.C. SOIL BEND</t>
  </si>
  <si>
    <t>PLASTERING C.M(1:5) 20mmTHICK</t>
  </si>
  <si>
    <t>A.C. SOIL BEND WITHDOOR</t>
  </si>
  <si>
    <t>A.C .sheet Roofing with ridge piece</t>
  </si>
  <si>
    <t>A.C .sheet Roofing without ridge piece</t>
  </si>
  <si>
    <t>Supply and planting avenue trees</t>
  </si>
  <si>
    <t>Providing Tree guard</t>
  </si>
  <si>
    <t xml:space="preserve">of 3M length with cowl </t>
  </si>
  <si>
    <t>RM</t>
  </si>
  <si>
    <t>110mm dia PVC SWR pipe</t>
  </si>
  <si>
    <t>110mm dia cowl</t>
  </si>
  <si>
    <t>Labour for fixing</t>
  </si>
  <si>
    <t>Sundries for PVC solution etc.</t>
  </si>
  <si>
    <t>S &amp; F of GI Pipe 20mm dia for Hot Water line Pipe
Fully Consealed in Wall</t>
  </si>
  <si>
    <t xml:space="preserve">GI PIPE 20MM DIA </t>
  </si>
  <si>
    <t>25mmx4mm MS flats 1 no 6"x1/2" alumium aldrop</t>
  </si>
  <si>
    <t>Plastering with ccccm 1:3, 12mm mixed with WPC</t>
  </si>
  <si>
    <t>HDPE water tank 5000 lit capacity</t>
  </si>
  <si>
    <t>MS Ventilator of Size 1285 x 600mm</t>
  </si>
  <si>
    <t>MS Ventilator of Size 1350 x 600mm</t>
  </si>
  <si>
    <t xml:space="preserve">                                         - 1X3X1.10X0.075X0.0375 =  0.00928</t>
  </si>
  <si>
    <t>PLANKS      -1X5X0.9625X02825X0.01875=</t>
  </si>
  <si>
    <t>Five horizontal panels</t>
  </si>
  <si>
    <t>Four horizontal &amp; one vertical Panel</t>
  </si>
  <si>
    <t xml:space="preserve">             -1X1X0.675X0.2825X0.01875=</t>
  </si>
  <si>
    <t>WIDE&amp;12 to 25mm thick</t>
  </si>
  <si>
    <t>PVC RIGID CONDUIT PIPE 19M/20MM HEAVY DUTY WITH ISI</t>
  </si>
  <si>
    <t>e. In Third Floor</t>
  </si>
  <si>
    <t>WEATHERING COURSE</t>
  </si>
  <si>
    <t xml:space="preserve"> 6"x1/2" Alu. Aldrops</t>
  </si>
  <si>
    <t xml:space="preserve"> 40mm HBS JELLY</t>
  </si>
  <si>
    <t>SUPPLYING AND FIXING</t>
  </si>
  <si>
    <t>TAILNUT FOR BOLT</t>
  </si>
  <si>
    <t>1 No.of 30Amps - Fuse Unit</t>
  </si>
  <si>
    <t xml:space="preserve"> 150mm DIA</t>
  </si>
  <si>
    <t>C.I. SOIL BEND</t>
  </si>
  <si>
    <t>PLASTERING C.M(1:2) 10mmTHICK</t>
  </si>
  <si>
    <t xml:space="preserve">SUPPLY AND FIXING OF P.V.C. </t>
  </si>
  <si>
    <t xml:space="preserve"> PVC NAHANI TRAP (4WAY/2WAY)</t>
  </si>
  <si>
    <t>G.I. PIPE B  CLASS</t>
  </si>
  <si>
    <t>20mm dia PVC water supply ASTM pipe (fully consealed in walls)</t>
  </si>
  <si>
    <t>Labour Charges for barbed wire fencing for 8.16 kg</t>
  </si>
  <si>
    <t>TOTAL FOR 8.16 kg</t>
  </si>
  <si>
    <t xml:space="preserve">M.S SQUARE BAR 20 X 20mm    = 1.00 X .02 X .02 X 7850 Kg/CUM </t>
  </si>
  <si>
    <t>S.F</t>
  </si>
  <si>
    <t>WITH C.M(1:3)20mm THICK</t>
  </si>
  <si>
    <t>RCC 1:2:4 for earth quake resistance arrangements for door/window james.</t>
  </si>
  <si>
    <t xml:space="preserve">B.W IN C.M(1:6) USING Chamber  </t>
  </si>
  <si>
    <t xml:space="preserve">B.W IN C.M(1:5) USING Chamber </t>
  </si>
  <si>
    <t>Brick work in C.M. 1:6  using Chamber Burnt brick of size 23 x 11.2 x 7 cm (9" x 4 3/8" x 2 3/4")</t>
  </si>
  <si>
    <t>EXCAVATED EARTH</t>
  </si>
  <si>
    <t>AS  PER SR 85</t>
  </si>
  <si>
    <t>DAMP PROOF COURSE IN C.M(1:4),12mm thick</t>
  </si>
  <si>
    <t>PLUMBER-II</t>
  </si>
  <si>
    <t>FITTER I*</t>
  </si>
  <si>
    <t>UNIT</t>
  </si>
  <si>
    <t>SOURCE</t>
  </si>
  <si>
    <t>Total</t>
  </si>
  <si>
    <t xml:space="preserve">COST OF </t>
  </si>
  <si>
    <t>LEAD</t>
  </si>
  <si>
    <t>UN LO-</t>
  </si>
  <si>
    <t>MATERIAL</t>
  </si>
  <si>
    <t>LABOUR RATE</t>
  </si>
  <si>
    <t>*</t>
  </si>
  <si>
    <t>CEMENT MORTAR(1:1.5)</t>
  </si>
  <si>
    <t>LIME MORTAR(1:2)</t>
  </si>
  <si>
    <t>Lead</t>
  </si>
  <si>
    <t>CHARGE</t>
  </si>
  <si>
    <t>ADING</t>
  </si>
  <si>
    <t>COST @ SITE</t>
  </si>
  <si>
    <t>LABOUR CHARGES</t>
  </si>
  <si>
    <t>|</t>
  </si>
  <si>
    <t>FOR DOORS OF ALL SIZE</t>
  </si>
  <si>
    <t>TEAK WOODS</t>
  </si>
  <si>
    <t>LIFT CHARGES FOR B.W IN S.F  *</t>
  </si>
  <si>
    <t>13.</t>
  </si>
  <si>
    <t>MACHINE PRESSED TILES 23x 23x 2 Cm</t>
  </si>
  <si>
    <t>Local</t>
  </si>
  <si>
    <t>STONE CUTTER-I</t>
  </si>
  <si>
    <t>TOTAL FOR 90RMT</t>
  </si>
  <si>
    <t>RUN OF MAIN WITH 2NO OF 1.50sq.mm WIRE</t>
  </si>
  <si>
    <t>JELLY FOR ALL RCCWORK</t>
  </si>
  <si>
    <t>Earth filling charges</t>
  </si>
  <si>
    <t>Sundries</t>
  </si>
  <si>
    <t xml:space="preserve"> (1.08SQM LABOUR =.25CARPENTER-II)</t>
  </si>
  <si>
    <t>SURFACES FOR SMALL QTY such as sunshade etc</t>
  </si>
  <si>
    <t xml:space="preserve"> 40mm HGJ jelly</t>
  </si>
  <si>
    <t>PVC WATER TANK OF 700 LITRE CAPACITY</t>
  </si>
  <si>
    <t>Ex. free board with ISI mark</t>
  </si>
  <si>
    <t>JOINTING P.V.C PIPE AND SPECIALS</t>
  </si>
  <si>
    <t>c</t>
  </si>
  <si>
    <t>PRATITION B.W IN C.M(1:4)</t>
  </si>
  <si>
    <t>C.I.COVER SLAB 18"X18"X36LBS(16Kg)</t>
  </si>
  <si>
    <t>==================</t>
  </si>
  <si>
    <t>C.I.COVER SLAB 24"X24"X112LBS(50Kg)</t>
  </si>
  <si>
    <t>Sqm</t>
  </si>
  <si>
    <t>FLUSH SHUTTER P.V.C. 30mm THICK</t>
  </si>
  <si>
    <t>POINT</t>
  </si>
  <si>
    <t>Fitter IInd</t>
  </si>
  <si>
    <t>Supplying and fixing of Magnetic Door Catches</t>
  </si>
  <si>
    <t>G.M. FERRULE</t>
  </si>
  <si>
    <t xml:space="preserve">S &amp; F of Orissapan - other than G.F. </t>
  </si>
  <si>
    <t>Supplying and fixing of 32 amps triple pole main switch with fuse and neutral link on a suitable well varnished teak wood board</t>
  </si>
  <si>
    <t>Open wiring for Light point with ceiling rose for flats/ houses</t>
  </si>
  <si>
    <t xml:space="preserve">( to be supplied by the department free of cost ) on suitable well varnished teak wood plank </t>
  </si>
  <si>
    <t xml:space="preserve">Charges for fixing single phase RCCB/ELCB on fully concealed suitable MS BOX </t>
  </si>
  <si>
    <t xml:space="preserve">Charges for fixing three phase RCCB/ ELCB  on suitable well varnished teak wood plank </t>
  </si>
  <si>
    <t xml:space="preserve">Charges for fixing Three  phase RCCB/ELCB  on fully concealed suitable MS BOX </t>
  </si>
  <si>
    <t xml:space="preserve">Supply of 40 mm dia GI pipe "B"class </t>
  </si>
  <si>
    <t>25 mm dia PVC pipe Heavy duty with ISI mark for TV/ Telephone line</t>
  </si>
  <si>
    <t xml:space="preserve">Supply and erection of Tubular lamp, using 65 mm dia GI pipe 'B' class pipe with ISI mark of 6 mt length and 20 mm dia GI pipe 'B' class upto 2 mt with. </t>
  </si>
  <si>
    <t xml:space="preserve">                                                                                                                                                                                                                                                                                                                                                                                                                                                                                                                                                                                                                                                                                                                                                                                                                                                                                                                                                                                                                                                                                                                                                                                                                                                                                                                                                                                                                                                                                                                                                                                                                                                                                                                                                                                                                                                                                                                                                                                                                                                                                                                                                                                                                                                                                                                                                                                                                                                                                                                                                                                                                                                                                                                                                                                                                                                                                                                                                                                                                                                                                                                                                                                                                                                                                                                                                                                                                                                                                                                                                                                                                                                                                                                                                                                                                                                                                                                                                                                                                                                                                                                                                                                                                                                                                                                                                                                                                                                                                                                                                                                                                                                                                                                                                                                                                                                                                                                                                                                                                                                                                                                                                                                                                                                                                                                                                                                                                                                                                                                                                                                          </t>
  </si>
  <si>
    <t>1500 X 2100MM</t>
  </si>
  <si>
    <t>SHUTTER SIZE-2x0.7X2.025   =2.835M2</t>
  </si>
  <si>
    <t>STYLES(OVER 2M) -2X2X2.025X0.075X0.0375=0.0228</t>
  </si>
  <si>
    <t>RAILS(BELOW 2M)- 2X3X0.70X0.15X0.0375=      0.0236</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</si>
  <si>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BAKELITE BATTERN TYPE HOLDER FOR ADMINISTRATIVE BLOCKS AND COMMUNITYCENTRE controlled by 5 amps flush type switch including citcuit mains, cost of all materials, specials, etc., all complete,</t>
  </si>
  <si>
    <t>Total of Data 9 excluding sundries</t>
  </si>
  <si>
    <t>SUPPLY OF GI PIPES FOR EB SERVICE               ( SINGLE PHASE )</t>
  </si>
  <si>
    <t>Supply of 40 mm dia GI pipe "B"class ( for the above Data ) for passing through from top of Houses to the MES Board to meet the EB requirement.</t>
  </si>
  <si>
    <t>DATA   - 42</t>
  </si>
  <si>
    <t>Laying of U.G. Cable below Ground Level</t>
  </si>
  <si>
    <t>Rough stone, Bond stone, cut stone, HBG, Sand, gravel, surkhi, earth, crushed stone etc.</t>
  </si>
  <si>
    <t>Chamber bricks, Stock bricks, Fly ash bricks</t>
  </si>
  <si>
    <t>E.E</t>
  </si>
  <si>
    <t>CHAMBER BURNT G.M(2D) BRICK 8-3/4"X4-1/4"X2"</t>
  </si>
  <si>
    <t>T.W. PLANK 12mm to 25mm T.K UPTO 45cmWIDTH</t>
  </si>
  <si>
    <t>STOCK BRICK-ISORT(2B)T.M SIZE 9"x4-3/8"X2-3/4"</t>
  </si>
  <si>
    <t xml:space="preserve"> 14a</t>
  </si>
  <si>
    <t xml:space="preserve"> 14b</t>
  </si>
  <si>
    <t xml:space="preserve"> 14c</t>
  </si>
  <si>
    <t xml:space="preserve"> 14d</t>
  </si>
  <si>
    <t>Fourth floor</t>
  </si>
  <si>
    <t>B.W IN C.M(1:6) USING CHAMBER BURNT</t>
  </si>
  <si>
    <t>BEST GOPALVARNISH REDY MIX</t>
  </si>
  <si>
    <t>Charges for assembling and fixing of flouresent tubular lamp fittings of different types ( supplied by the department at free of cost ) with necessary teak wood round block of 75 mm dia 40 mm deep on walls/ ceiling including cost of materials, etc., all complete.</t>
  </si>
  <si>
    <t>0.5 Sqmm copper twin core flex wire</t>
  </si>
  <si>
    <t>100 Rmts</t>
  </si>
  <si>
    <t>sundries such as screws, nails etc.,</t>
  </si>
  <si>
    <t xml:space="preserve">Sundries </t>
  </si>
  <si>
    <t>--------------------</t>
  </si>
  <si>
    <t>Wire man Gr-I</t>
  </si>
  <si>
    <t>Wire man Gr-II</t>
  </si>
  <si>
    <t>Helper</t>
  </si>
  <si>
    <t>Rate for 8 nos</t>
  </si>
  <si>
    <t>Rate for 1 nos</t>
  </si>
  <si>
    <t xml:space="preserve"> 6"x1/2" Aldrops</t>
  </si>
  <si>
    <t>S/F OF TUBELIGHT FITTING</t>
  </si>
  <si>
    <t>4 X 4 Sq mm in fully concealed PVC conduit</t>
  </si>
  <si>
    <t>S.W.TEE 100mm DIA WITH ISI MARK</t>
  </si>
  <si>
    <t xml:space="preserve"> 15b</t>
  </si>
  <si>
    <t xml:space="preserve"> 15c</t>
  </si>
  <si>
    <t xml:space="preserve"> 15d</t>
  </si>
  <si>
    <t>S.W.BEND 100mm DIAWITH ISI MARK</t>
  </si>
  <si>
    <t>63mm to 46.5mm IRC metal</t>
  </si>
  <si>
    <t>NAHANI TRAP 63mm/PVC TYP</t>
  </si>
  <si>
    <t>CENTERING C.W BOARDING 40mmT.K</t>
  </si>
  <si>
    <t>Run off mains with 4 wires of 4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</si>
  <si>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25mm dia rigid PVC pipe heavy duty with ISI heavy duty with ISI mark</t>
  </si>
  <si>
    <t>Labour charges ( 1.5 x Labour charges + Labour for ducting - sub data - A)</t>
  </si>
  <si>
    <t>Part   - C</t>
  </si>
  <si>
    <t>DATA   - 16</t>
  </si>
  <si>
    <t>WATER TIGHT BULK HEAD FITTING</t>
  </si>
  <si>
    <t>Supplying and fixing of water tight bulk head fittings with guard suitable for 60 / 100 watts including necessary connections, cost of materials, etc., All complete.</t>
  </si>
  <si>
    <t>Total For 1 No</t>
  </si>
  <si>
    <t>Labour Charges Data</t>
  </si>
  <si>
    <t>6 way TPDB 32A / ways with fuse &amp; Neutral  link</t>
  </si>
  <si>
    <t>8 way TPDB 32A / ways with fuse &amp; Neutral  link</t>
  </si>
  <si>
    <t>12 way TPDB 32A / ways with fuse &amp; Neutral  link</t>
  </si>
  <si>
    <t>4 way TPDB 63A / ways with fuse &amp; Neutral  link</t>
  </si>
  <si>
    <t>Aluminium Ventilator 1.285x0.60m</t>
  </si>
  <si>
    <t>Data based on Police Acadamy</t>
  </si>
  <si>
    <t>Strutting to centering of R.C.C plane surfaces 3.00m height in all floors</t>
  </si>
  <si>
    <t>Props 10 to 13 cm dia @ 75 Cm c/c ( cost of 1 operation Rs.15/5=3)</t>
  </si>
  <si>
    <t>Add for sundries</t>
  </si>
  <si>
    <t>For 1 m height</t>
  </si>
  <si>
    <t>PVC rigid conduit pipe 19 mm / 20mm heavy duty with ISI mark</t>
  </si>
  <si>
    <t>1 Rmt</t>
  </si>
  <si>
    <t>19 mm PVC rigid bends</t>
  </si>
  <si>
    <t>Supplying and fixing 1 No of 375 x 300 x 20 m   thick TW plank well varnished with 1 No 15 amps 250 volts fuse unit and 1 No of copper earth plate of suitable size bolts and nuta on walls for EB service connections including cost of all materials, etc., all complete.</t>
  </si>
  <si>
    <t xml:space="preserve">TW plank 375 x 300 x 20 mm </t>
  </si>
  <si>
    <t>Earth plate ( copper ) with bolts &amp; nuts.</t>
  </si>
  <si>
    <t>LR</t>
  </si>
  <si>
    <t>Sundries such as TW plugs screws, etc.,</t>
  </si>
  <si>
    <t>Rate for  Each</t>
  </si>
  <si>
    <t>TW plank 375 x 300 x 20 mm</t>
  </si>
  <si>
    <t xml:space="preserve">DATA   </t>
  </si>
  <si>
    <t>Supplying and fixing of Single phase ELCB</t>
  </si>
  <si>
    <t>SUPPLY OF GI PIPES FOR EB SERVICE               ( THREE PHASE )</t>
  </si>
  <si>
    <t>DATA   - 44</t>
  </si>
  <si>
    <t>NAHANI TRAP 63mm DIA</t>
  </si>
  <si>
    <t xml:space="preserve"> 3"ButtHinges</t>
  </si>
  <si>
    <t>---------------------------------------------------------------------</t>
  </si>
  <si>
    <t xml:space="preserve">BWR DOUBLE LEAF 2/3 Glazed and 1/3 PANELLED </t>
  </si>
  <si>
    <t>5.5 MM THK. GLASS                -2X2X0.5875X0.25</t>
  </si>
  <si>
    <t>PLANKS              -1X2X0.5625X0.25x0.01875</t>
  </si>
  <si>
    <t>T.W. Beeding  - 2 x 2 x 1.675</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</si>
  <si>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CEILING ROSE controlled by 5 amps flush type switch including citcuit mains, cost of all materials, specials, etc., all complete,</t>
  </si>
  <si>
    <t>Annexure Items</t>
  </si>
  <si>
    <t>RAILS(BELOW 2M)- 1X4X1.10X0.15X0.0375=      0.02475</t>
  </si>
  <si>
    <t xml:space="preserve">                                         - 1X2X0.74X0.075X0.0375 =  0.00416</t>
  </si>
  <si>
    <t>PLANKS      -1X4X0.60625X02825X0.01875=0.01284</t>
  </si>
  <si>
    <t>STAIRCASE LIGHT POINT FOR ADMINISTRATIVE BLOCKS AND COMMUNITY CENTRE</t>
  </si>
  <si>
    <t>2 X1.5 Sqmm in fully concealed PVC conduit</t>
  </si>
  <si>
    <t>Run off mains with 2 wires of 1.5 Sqmm copper PVC insulated unsheathed single core 1.1KV cable wire contuinuous earth by means of 1.5 Sqmm copper PVC insulated unsheathed single core 1.1 KV grade cable in fully concealed 19 mm / 20 mm dia rigid PVC conduit pipe heavy duty with ISI mark including cost of all materials, specials, etc., all complete.</t>
  </si>
  <si>
    <t>Total for 90 Metres</t>
  </si>
  <si>
    <t>Rate for 1 Rmt</t>
  </si>
  <si>
    <t>DATA   - 13</t>
  </si>
  <si>
    <t>2 X 2.5 Sq mm in fully concealed PVC conduit</t>
  </si>
  <si>
    <t>Starter capacity 20 Watts</t>
  </si>
  <si>
    <t>Starter capacity 40 Watts</t>
  </si>
  <si>
    <t xml:space="preserve">POLYSTER FILLED COPPER CHOKE 250 V/50 HZ GRADE SUITABLE FOR </t>
  </si>
  <si>
    <t>20 Watts fluorescent tube</t>
  </si>
  <si>
    <t>40 Watts fluorescent tube</t>
  </si>
  <si>
    <t>Supplying and delivery of Three phase ELCB/RCCB</t>
  </si>
  <si>
    <t>DATA   - 33</t>
  </si>
  <si>
    <t>1  no of 32 amps Fuse unit</t>
  </si>
  <si>
    <t xml:space="preserve">External Installation </t>
  </si>
  <si>
    <t>Supply and fixing 4 way 250 volt single phase with neutral link metalic distribution board on suitable Teak wood board etc., all complete including connections.</t>
  </si>
  <si>
    <t>T.W board of size 31 x 20x 6 cm with well varnished</t>
  </si>
  <si>
    <t>Labour charges  as per Data No 17</t>
  </si>
  <si>
    <t xml:space="preserve">S/ F of  Wash basin mirror  Size 600x 450 mm </t>
  </si>
  <si>
    <t xml:space="preserve">S/ F of  Wash basin mirror  Size 500x 400 mm </t>
  </si>
  <si>
    <t>S/ F of Flushing Tank with all fittings 10 litres Capacity</t>
  </si>
  <si>
    <t>Charges for fixing Three  phase RCCB/ELCB ( to be supplied by the department at free of cost ) on fully concealed suitable MS BOX with a necessary inter connection and earth connections using copper cable including cost of all materials, re- doing the disturbed portion etc., all complete.</t>
  </si>
  <si>
    <t>DATA   - 31</t>
  </si>
  <si>
    <t>Supplying and delivery of Single phase ELCB/RCCB</t>
  </si>
  <si>
    <t>DATA   - 32</t>
  </si>
  <si>
    <t>Supplying and fixing 3mm thick pin</t>
  </si>
  <si>
    <t xml:space="preserve"> 3mm glass frosted </t>
  </si>
  <si>
    <t>RATE AS PER SR</t>
  </si>
  <si>
    <t>WHITE CEMENT/COLOUR CEMENT</t>
  </si>
  <si>
    <t>White Cement / Colour cement</t>
  </si>
  <si>
    <t>Painting charges</t>
  </si>
  <si>
    <t>SWITCH  DISCONNECTOR  FUSE (SDF)(L&amp;T/SIEMENS)</t>
  </si>
  <si>
    <t>63A TPN switch disconnector fuse in sheet steel enclosure with  HRC fuses</t>
  </si>
  <si>
    <t xml:space="preserve"> ORNAMENTAL; HANDLE WITH SCREWS</t>
  </si>
  <si>
    <t>Total for 10 points</t>
  </si>
  <si>
    <t>Rate for 1 points</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</si>
  <si>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CEILING ROSE FOR ADMINISTRATIVE BLOCKS AND COMMUNITYCENTRE controlled by 5 amps flush type switch including citcuit mains, cost of all materials, specials, etc., all complete,</t>
  </si>
  <si>
    <t>DATA    -   10</t>
  </si>
  <si>
    <t>LIGHT POINT WITH BAKELITE BATTERN TYPE HOLDER FOR ADMINISTRATIVE BLOCKS AND COMMUNITY CENTRE</t>
  </si>
  <si>
    <t>Cost of electronic regulator</t>
  </si>
  <si>
    <t>Tube light -  Box type</t>
  </si>
  <si>
    <t>4' tube light fitting with \electronic ballast</t>
  </si>
  <si>
    <t>slim tube light 36 w</t>
  </si>
  <si>
    <t>Labour charges (as per Data 22 )</t>
  </si>
  <si>
    <t>Tube light -  Patty type</t>
  </si>
  <si>
    <t>1200 x 2100mm</t>
  </si>
  <si>
    <t xml:space="preserve">SHUTTER SIZE0-1.1 X 2.05  </t>
  </si>
  <si>
    <t>Plywood      -1X2X0.625X0.425</t>
  </si>
  <si>
    <t>Plywood      -1X2X1.025X0.425</t>
  </si>
  <si>
    <t>DOOR OF SIZE 1200 X2100 MM Double leaf</t>
  </si>
  <si>
    <t>OPEN WIRING IN PVC PIPE</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</si>
  <si>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controlled by 5 amps flush type switch including citcuit mains, cost of all materials, specials, etc., all complete,</t>
  </si>
  <si>
    <t>5 A flush type two way switches ( Staircase switch )</t>
  </si>
  <si>
    <t>MS box  150x 100 x 75 mm</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</si>
  <si>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CEILING ROSE FOR ADMINISTRATIVE BLOCKS AND COMMUNITYCENTRE controlled by 5 amps flush type switch including citcuit mains, cost of all materials, specials, etc., all complete,</t>
  </si>
  <si>
    <t xml:space="preserve">Total for Data 1 excluding sundries </t>
  </si>
  <si>
    <t>Deduct cost of ceiling rose 10 Nos</t>
  </si>
  <si>
    <t>Triple pole &amp; Neutral 4way</t>
  </si>
  <si>
    <t xml:space="preserve">ALROUND M.S FLAT OF SIZE 50 X 10mm      = 3.77 M X 3.925 Kg/Met </t>
  </si>
  <si>
    <t>Weld Mesh</t>
  </si>
  <si>
    <t>T.W SCANTLING ABOVE 2m</t>
  </si>
  <si>
    <t>T.W SCANTLING BELOW 2m</t>
  </si>
  <si>
    <t>M.S.Grill</t>
  </si>
  <si>
    <t xml:space="preserve">Labour charges for shutter glazed door </t>
  </si>
  <si>
    <t>10"x5/8" Aldrop</t>
  </si>
  <si>
    <t>Painting two coats of M.S. Grill</t>
  </si>
  <si>
    <t>Best varnishing two coats</t>
  </si>
  <si>
    <t>Total for Each</t>
  </si>
  <si>
    <t>Alu.DOOR HANDLE WITH CP SCREWS (150mm long)</t>
  </si>
  <si>
    <t>Exhaust Fan 9" Swep ( 225 mm )</t>
  </si>
  <si>
    <t>----------------------------------------------</t>
  </si>
  <si>
    <t>Provision of hole in the wall and making good of the wall</t>
  </si>
  <si>
    <t>Providing shahabad stone flooring</t>
  </si>
  <si>
    <t xml:space="preserve">Automatic Electrical water Heater with copper container with Glass Wool /Puf insulation with MS powder coated cell suitable for 35 litres capacity,230V/1000W </t>
  </si>
  <si>
    <t>FANS - CONFORMING TO ISS 374 / 1979</t>
  </si>
  <si>
    <t>A.C Ceiling fan complete 1200 mm (48") sweep ( with steped electronic 300W regulator )  with 300mm down rod.</t>
  </si>
  <si>
    <t>Suitable for 1 No 250 W HPMV lamp</t>
  </si>
  <si>
    <t>Siuiitable for 1 No 125 W HPMV lamp</t>
  </si>
  <si>
    <t>SEMI CUT OFF TYPE STREET LIGHT LANTHERN COMPLETE WITH COPPER CHOKE AND CONDENSOR.</t>
  </si>
  <si>
    <t>Siuiitable for 1 No 125 W MV lamp</t>
  </si>
  <si>
    <t>Suitable for 1 No 250 W MV lamp</t>
  </si>
  <si>
    <t>Suitable for 1 No 400 W MV lamp</t>
  </si>
  <si>
    <t>STARTERS FOR FLUORESCENT TUBES</t>
  </si>
  <si>
    <t>Madurai TSp VIth Bn under 4000 quarters Scheme.</t>
  </si>
  <si>
    <t>2006-2007</t>
  </si>
  <si>
    <t>LOAD-</t>
  </si>
  <si>
    <t>ING</t>
  </si>
  <si>
    <t>Nallambakkam</t>
  </si>
  <si>
    <t>A.C Ceiling fan complete 1400 mm (56") sweep ( with steped electronic 300W regulator )  with 300mm down rod.</t>
  </si>
  <si>
    <t>EXHAUST FAN S</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</si>
  <si>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BAKELITE BATTERN TYPE HOLDER FOR FLATS/ HOUSES  controlled by 5 amps flush type switch including citcuit mains, cost of all materials, specials, etc., all complete,</t>
  </si>
  <si>
    <t xml:space="preserve">SHUTTER AREA      = 2X0.85 X 2.025                         </t>
  </si>
  <si>
    <t xml:space="preserve">RAILS (BELOW 2M) = 2 X 3 X 0.85 X 0.15 X 0.0375          </t>
  </si>
  <si>
    <t xml:space="preserve">              2X 3 X 0.85 X 0.075 X 0.0375     </t>
  </si>
  <si>
    <t xml:space="preserve">PLANKS : 2 X 4 X 0.725 X 0.30 X 0.01875    </t>
  </si>
  <si>
    <t xml:space="preserve">                  2 X 1 X 0.725 X 0.30 X 0.01875    </t>
  </si>
  <si>
    <t>T.W SCANTLING over 2m</t>
  </si>
  <si>
    <t>T.W SCANTLING below 2m</t>
  </si>
  <si>
    <t>RATE FOR 3.443 SQM</t>
  </si>
  <si>
    <t>Sundries for painting the GI pipes, MS clamps, screws, etc., complete in all respects.</t>
  </si>
  <si>
    <t>Labour charges for 3 Nos</t>
  </si>
  <si>
    <t>TW plank if 150 x 100 x 20 mm</t>
  </si>
  <si>
    <t>Single phase ELCB (ISI 25 Amps 30 MA)</t>
  </si>
  <si>
    <t>Labour charges ( as per data No:28)</t>
  </si>
  <si>
    <t>Rate for Single  phase ELCB</t>
  </si>
  <si>
    <t>Supplying and fixing of Three phase ELCB</t>
  </si>
  <si>
    <t>Clamp fixing by coche screws bolts and nuts including connections</t>
  </si>
  <si>
    <t>Add 1% sundries</t>
  </si>
  <si>
    <t>Electrical Wire man Gr.I</t>
  </si>
  <si>
    <t>Rate for 4 Nos</t>
  </si>
  <si>
    <t>Rate for 1 Nos</t>
  </si>
  <si>
    <t>Tube light fitting with Electronic Ballast ( Patti type )</t>
  </si>
  <si>
    <t>Lime stone, Laterite,brick jelly, wood work, pond ash(wet/Dry), Stone dust etc.</t>
  </si>
  <si>
    <t>WELD MESH 75X25X10G</t>
  </si>
  <si>
    <t>MASON-I</t>
  </si>
  <si>
    <t>MASON-II</t>
  </si>
  <si>
    <t>Pallavaram</t>
  </si>
  <si>
    <t>Palar River</t>
  </si>
  <si>
    <t>Karanodai</t>
  </si>
  <si>
    <t>Kiln Burnt Country Bricks 22x11x7cm</t>
  </si>
  <si>
    <t>Nerkundram</t>
  </si>
  <si>
    <t>Kurukkupet</t>
  </si>
  <si>
    <t>T.W SCANTLING 2M TO 3M LONG</t>
  </si>
  <si>
    <t>T.W.SCANTLING BELOW 2M LONG</t>
  </si>
  <si>
    <t>POLISHING STONE</t>
  </si>
  <si>
    <t>T.W.PLANKS 30cm to 45cm WIDTH &amp; 12to25mm Thick</t>
  </si>
  <si>
    <t>E.W.</t>
  </si>
  <si>
    <t>L.C.T.W.Door-</t>
  </si>
  <si>
    <t>L.C.marine doors-</t>
  </si>
  <si>
    <t>TW glazed window</t>
  </si>
  <si>
    <t>Wrought&amp;putup</t>
  </si>
  <si>
    <t>Ventilator</t>
  </si>
  <si>
    <t>Graval</t>
  </si>
  <si>
    <t>Meter- Cupboard Weldmesh</t>
  </si>
  <si>
    <t>E.W (SDR)</t>
  </si>
  <si>
    <t>FITTER-II (Pipe &amp; Bar Bend)</t>
  </si>
  <si>
    <t>Nellore road</t>
  </si>
  <si>
    <t>A.C Exaust Fan 225 mm (9") sweep (light duty)</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</si>
  <si>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5 amps 5 pin PLUG SOCKET POINT AT SWITCH BOARD ITSELF including citcuit mains, cost of all materials, specials, etc., all complete,</t>
  </si>
  <si>
    <t xml:space="preserve">DATA    - 8 </t>
  </si>
  <si>
    <t>15 AMPS POWER PLUG</t>
  </si>
  <si>
    <t xml:space="preserve">ELCB (3 phase ) inconcealed MS Box </t>
  </si>
  <si>
    <t>Supplying and fixing of 2 Nos ( two ) of MS box of size not less than 600 x 225, 16 g with door and lock and key arrangements for obtaining EB service connection for street lights with one box comprising off 1 No 30 Amps 500 V fuse units, 1 No copper earth plate with required brass bolts and nuts with washers on a suitable size TE plank of 20 mm thick for fixing EB meter and other box comprising of 1 No 32 Amps DPIC, 1 No 40 Amps, single pole MCB isolator with connections. MS sheet steel enclousures, for controlling the street lights on suitable size TW plank of 20 mm thick and including necessary bolts and nuts in the TNEB pole with washers and run of 4 wires of 4 Sqmm copper PVC insulated unsheathed single core / cable in 20 mm  dia 'B' grade class GI pipes with ISI mark with necessary MS clamp with bolts and nuts with washers from the top of E.B street pole to the MS box and including painting of MS box and GI pipes, inter connections and including cost is all materials and labour, to meet the requirement of TNEB and as directed by the department officers.</t>
  </si>
  <si>
    <t xml:space="preserve">16 sq mm 1/1.7 or equivalent multi core cable 1100V Grade </t>
  </si>
  <si>
    <t xml:space="preserve">25 sq mm 7/2.14 or equivalent multi core cable 1100V Grade </t>
  </si>
  <si>
    <t xml:space="preserve">35 sq mm 7/2.5 or equivalent multi core cable 1100V Grade </t>
  </si>
  <si>
    <t xml:space="preserve">50 sq mm 7/3.06 or equivalent multi core cable 1100V Grade </t>
  </si>
  <si>
    <t>1.5 sqmm copper PVC insulated unsheathed single core cable</t>
  </si>
  <si>
    <t xml:space="preserve"> Rmt</t>
  </si>
  <si>
    <t>9 Watts</t>
  </si>
  <si>
    <t>11 Watts</t>
  </si>
  <si>
    <t>A.C Exaust Fan 375 mm (15") sweep (light duty)</t>
  </si>
  <si>
    <t>A.C Exaust Fan 450 mm (18") sweep (light duty)</t>
  </si>
  <si>
    <t>A.C Exaust Fan 375 mm (15") sweep (Heavy duty)</t>
  </si>
  <si>
    <t>A.C Exaust Fan 450 mm (18") sweep (Heavy duty)</t>
  </si>
  <si>
    <t>LOUVER SHUTTERS ARRANGEMENTS</t>
  </si>
  <si>
    <t>MS/Fibre Louvers shutters arrangements for 300mm A.C Exaust Fan</t>
  </si>
  <si>
    <t>MS/Fibre Louvers shutters arrangements for 375mm A.C Exaust Fan</t>
  </si>
  <si>
    <t>MS/Fibre Louvers shutters arrangements for 450mm A.C Exaust Fan</t>
  </si>
  <si>
    <t xml:space="preserve">TABLE FANS </t>
  </si>
  <si>
    <t xml:space="preserve">3 mm thick laminated Hylem sheet </t>
  </si>
  <si>
    <t>Total for 5 points</t>
  </si>
  <si>
    <t>DATA   - 6</t>
  </si>
  <si>
    <t xml:space="preserve">5 AMPS 5 PIN PLUG SOCKET POINT AT CONVENIENT PLACES </t>
  </si>
  <si>
    <t>BOX TYPE TWIN FLUORESCENT FITTING WITH COPPER CHOKE AND CONDENSOR COMPLETE WITH ISI MARK</t>
  </si>
  <si>
    <t>INDUSTRIAL TYPE FLUORESCENTFITTING STOVE ENAMELLED WITH COPPER CHOKE AND CONDENSOR (HPF)</t>
  </si>
  <si>
    <t>Lamp lock mesh type</t>
  </si>
  <si>
    <t>Fan clamp Fasteners complete</t>
  </si>
  <si>
    <t>Fan clamp (12mm dia) with 6mm side plates &amp; 45 cm cross arm</t>
  </si>
  <si>
    <t>Call Bells</t>
  </si>
  <si>
    <t>Call bell / Buzzer 6 mm suitable for AC/DC</t>
  </si>
  <si>
    <t>Push bell</t>
  </si>
  <si>
    <t>Gang bell 9" size suitable for 250 V</t>
  </si>
  <si>
    <t>Gang bell 12" size suitable for 250 V</t>
  </si>
  <si>
    <t xml:space="preserve">Automatic Electrical water Heater with copper container with Glass wool/ Puf insulation with MS powder coated cell suitable for 25 litres capacity  230 V/ 1000 W </t>
  </si>
  <si>
    <t>4 Ft 40 W Twin type suitable for 2 Nos tube</t>
  </si>
  <si>
    <t>DECORATIVE  &amp; SINGLE FLUORESCENT TYPE FITTING WITH COPPER CHOKE &amp; CONDENSOR (HPF)COMPLETE SUITABLE FOR 2 NOS FLUORESCENT TUBES.</t>
  </si>
  <si>
    <t>2 Ft 20 Watts with perspex</t>
  </si>
  <si>
    <t>4 Ft 40 Watts with perspex</t>
  </si>
  <si>
    <t>Lit</t>
  </si>
  <si>
    <t>PAINTING TWO COATS OVER OLD</t>
  </si>
  <si>
    <t>WITH C.M(1:5)20mm THICK</t>
  </si>
  <si>
    <t>FLUORESCENT TUBULAR LAMPS WITH ISI MARK</t>
  </si>
  <si>
    <t>Cool Day light 2 Ft 20 Watts</t>
  </si>
  <si>
    <t>Cool Day light and 4 Ft 40 Watts</t>
  </si>
  <si>
    <t xml:space="preserve">2 core 10 sq mm pvc armoured UG cable </t>
  </si>
  <si>
    <t xml:space="preserve">2 core 16 sq mm pvc armoured UG cable </t>
  </si>
  <si>
    <t xml:space="preserve">2 core 25 sq mm pvc armoured UG cable </t>
  </si>
  <si>
    <t>Cabin Fan 400mm (16") osillating type</t>
  </si>
  <si>
    <t xml:space="preserve">Pedestal Fan 400mm (16")Sweep osillating type </t>
  </si>
  <si>
    <t>Air circulators, 600mm (24") sweep (Domestic purpose) with speed regulators (2  blades) pedestal type</t>
  </si>
  <si>
    <t>THREE PHASE DISTRIBUTION BOARD WITH 6 WAY PHASE AND 30 AMPS / WAY WITH FUSE AND NEUTRAL LINK ON SUITABLE TW PLANK TOP MES CONNECTION BOARD (FOR 12 IN 1 BLOCKS)</t>
  </si>
  <si>
    <t>( For 12 flats common &amp; pump )</t>
  </si>
  <si>
    <t>Automatic Electrical water Heater with copper container with Glass wool/ Puf insulation with MS powder coated cell suitable for 25 litres capacity  230 V/ 1500 W (Venus/Racold)</t>
  </si>
  <si>
    <t>Wiremen Grade II</t>
  </si>
  <si>
    <t xml:space="preserve">Helper </t>
  </si>
  <si>
    <t>A.C single phase 230V/250V/50HZ 5Amps Meter</t>
  </si>
  <si>
    <t>A.C single phase 230V/250V/50HZ 10Amps Meter</t>
  </si>
  <si>
    <t>A.C single phase 230V/250V/50HZ 20Amps Meter</t>
  </si>
  <si>
    <t>A.C 3 phase 400V 50HZ unbalanced load 4 wire 10 Amps watt hour meter</t>
  </si>
  <si>
    <t>A.C 3 phase 400V 50HZ unbalanced load 4 wire 25 Amps watt hour meter</t>
  </si>
  <si>
    <t>A.C 3 phase 400V 50HZ unbalanced load 4 wire 50 Amps watt hour meter</t>
  </si>
  <si>
    <t>SERVICE CONNECTION ACCESSORIES L.T 1100V PVC ARMOURED UNDER GROUND  CABLE  WITH ISI MARK</t>
  </si>
  <si>
    <t xml:space="preserve">1 core 4 sq mm pvc armoured UG cable </t>
  </si>
  <si>
    <t xml:space="preserve">2 core 6 sq mm pvc armoured UG cable </t>
  </si>
  <si>
    <t>TW board of size 46 x31 x 6 cm with brass hinges hooks screws  well varnished</t>
  </si>
  <si>
    <t>Sundries screw TW plugs screws wire and earth connections.</t>
  </si>
  <si>
    <t>Wiremen  Grade I</t>
  </si>
  <si>
    <t>DATA   - 22</t>
  </si>
  <si>
    <t xml:space="preserve">M.S VENTILATOR OF SIZE -1285 X 600mm ( 1 No ) </t>
  </si>
  <si>
    <t xml:space="preserve">ALROUND M.S FLAT OF SIZE 50 X 10mm      = 3.77 M X 3.9 Kg/Met </t>
  </si>
  <si>
    <t>SQUARE BARS OF SIZE 20 x 20mm               =12Nos X 0.6M 3.14 Kg/Met</t>
  </si>
  <si>
    <t>Casurina props 10 to 13 cm dia</t>
  </si>
  <si>
    <t>Add for silver plank</t>
  </si>
  <si>
    <t>For welding rails etc.,</t>
  </si>
  <si>
    <t>Periodical cleaning</t>
  </si>
  <si>
    <t>Rate for 4m height ( 202.09+12.32 ) =214.40</t>
  </si>
  <si>
    <t>a</t>
  </si>
  <si>
    <t xml:space="preserve">3 1/2 core 185 sq mm pvc armoured UG cable </t>
  </si>
  <si>
    <t xml:space="preserve">3 1/2 core 225 sq mm pvc armoured UG cable </t>
  </si>
  <si>
    <t xml:space="preserve">3 1/2 core 240 sq mm pvc armoured UG cable </t>
  </si>
  <si>
    <t xml:space="preserve">3 1/2 core 300 sq mm pvc armoured UG cable </t>
  </si>
  <si>
    <t>32 Amps triple pole main switch with fuse and neutral link</t>
  </si>
  <si>
    <t>DATA   - 20</t>
  </si>
  <si>
    <t>32 Amps DP switch with metal clade (side Handle)</t>
  </si>
  <si>
    <t>TRIPLE POLE SWITCHES  (SIDE HANDLE)</t>
  </si>
  <si>
    <t>16 Amps TPIC switch with fuse and neutral (500 V)</t>
  </si>
  <si>
    <t>32 Amps TPIC switch with fuse and neutral (500 V)</t>
  </si>
  <si>
    <t>63 Amps TPIC switch with fuse and neutral (500 V)</t>
  </si>
  <si>
    <t>Labour charges  as per data no: 48</t>
  </si>
  <si>
    <t>Sundries such as MS clamps with bolts &amp; nuts with washers for fixing GI pipe to EB pole painting etc.,</t>
  </si>
  <si>
    <t>DATA   - 49</t>
  </si>
  <si>
    <t>25 mm dia PVC pipe Heavy duty with ISI mark</t>
  </si>
  <si>
    <t>Rate as per Above</t>
  </si>
  <si>
    <t>Deduct cost of 20 m   dia PVC pipe</t>
  </si>
  <si>
    <t>DATA   - 50</t>
  </si>
  <si>
    <t xml:space="preserve">TV/Telephone line junction </t>
  </si>
  <si>
    <t>Ceiling rose</t>
  </si>
  <si>
    <t>Teakwood plugs</t>
  </si>
  <si>
    <t>19 mm PVC junction box</t>
  </si>
  <si>
    <t>PVC JUNCTION BOX 19 mm</t>
  </si>
  <si>
    <t>Bag</t>
  </si>
  <si>
    <t>MS box  150 x 100 x 75 mm</t>
  </si>
  <si>
    <t>5 amps switch (flush type)</t>
  </si>
  <si>
    <t>3 mm thick laminated Hylem sheet</t>
  </si>
  <si>
    <t>Gross</t>
  </si>
  <si>
    <t>Brass screws 40mmX6</t>
  </si>
  <si>
    <t>1.5 sqmm copper PVC insulated unsheathed single core cable for continuous earth connection</t>
  </si>
  <si>
    <t>WEATERING COURSE</t>
  </si>
  <si>
    <t xml:space="preserve">110MM DIA OF 4Kg/sqmINCLUDING </t>
  </si>
  <si>
    <t>COMPLETE</t>
  </si>
  <si>
    <t>Supply of 25 mm dia GI pipe "B"class ( for the above Data ) for passing through from top of Houses to the MES Board to meet the EB requirement.</t>
  </si>
  <si>
    <t xml:space="preserve">Labour charges </t>
  </si>
  <si>
    <t>Note:This item 30  is to run earth wire from IS:3043 earthing item 32) to be Main switch/ Panel Board/ Machinary</t>
  </si>
  <si>
    <t>DATA   - 26</t>
  </si>
  <si>
    <t>EARTHING STATION AS PER IS/3043.</t>
  </si>
  <si>
    <t>Providing earthing satation using pipe electro as per IS 3043 using 40 mm dia 'B' class GI pipe strickly in accordance with IS3043 including cost of all materials</t>
  </si>
  <si>
    <t xml:space="preserve">GI pipe 40 mm </t>
  </si>
  <si>
    <t xml:space="preserve">GI pipe 20 mm </t>
  </si>
  <si>
    <t>15 mm GI pipe</t>
  </si>
  <si>
    <t>Funnel, GI Nuts, Bolts,Washers and check nuts.</t>
  </si>
  <si>
    <t>Earth work excavation brick work in CM and plastering</t>
  </si>
  <si>
    <t>C.I Cover(30 x 30cm)</t>
  </si>
  <si>
    <t>Charcoal</t>
  </si>
  <si>
    <t>GI bend 15 mm dia</t>
  </si>
  <si>
    <t>15 mm GI coupling</t>
  </si>
  <si>
    <t>Salt</t>
  </si>
  <si>
    <t>DATA   - 30</t>
  </si>
  <si>
    <t>ELCB SURFACE TEAK WOOD BOARD</t>
  </si>
  <si>
    <t>Total for 8 Nos</t>
  </si>
  <si>
    <t>DATA   - 34</t>
  </si>
  <si>
    <t>3 Nos of Fuse units at EB pole</t>
  </si>
  <si>
    <t>WASHBASIN 22"X16" INCLUDING ALL ACCESSORIES SUCH AS C.I BRACKETS 32MM DIA ETC.,</t>
  </si>
  <si>
    <t>538/EACH</t>
  </si>
  <si>
    <t>CI STEPS (5Kg)</t>
  </si>
  <si>
    <t>90/EACH</t>
  </si>
  <si>
    <t>Supplying and fixing 3 No 32 Amps 500 volts grade/ well porcelin fuse unit on suitable teak wood plank to be fixed on the top of the  pole / EB street poles with necessary clamps and including cost of materials etc., all complete.</t>
  </si>
  <si>
    <t>DATA   - 35</t>
  </si>
  <si>
    <t>EB service connection Board for single phase</t>
  </si>
  <si>
    <t xml:space="preserve">               - 2X3X0.70X0.075X0.0375 =0.0118</t>
  </si>
  <si>
    <t>PLANKS      -2X4X0.575X0.3X0.01875=</t>
  </si>
  <si>
    <t xml:space="preserve">                          -2X1X0.575X0.3X0.01875=</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</si>
  <si>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CEILING ROSE controlled by 5 amps flush type switch including citcuit mains, cost of all materials, specials, etc., all complete,(Open wiring)</t>
  </si>
  <si>
    <t>Tw Plugs</t>
  </si>
  <si>
    <t>1000 nos</t>
  </si>
  <si>
    <t xml:space="preserve">PVC joint box </t>
  </si>
  <si>
    <t>19 mm MS clamp</t>
  </si>
  <si>
    <t>TW switch  box  100 x 100 x 75 mm</t>
  </si>
  <si>
    <t>100 Amps TPN switch with HRC fuses sheet steel double break</t>
  </si>
  <si>
    <t>SINGLE TYPE STREET LIGHT FLUORESCENT FITTING SUITABLE FOR THE ONE NO FLUORSCENT TUBES WITH COPPER CHOKE &amp; CONDENSOR COMPLETE.</t>
  </si>
  <si>
    <t>4 Ft 40 Watts type</t>
  </si>
  <si>
    <t>TWIN TYPE STREET LIGHT FLUORESCENT FITTING SUITABLE FOR THE 2 NOS FLUORSCENT TUBES WITH COPPER CHOKE &amp; CONDENSOR COMPLETE.</t>
  </si>
  <si>
    <t>POST TOP LANTHERN FITTING OF
 ( INTEGRAL TYPE ) WITH COPPER CHOKE &amp; CONDENSOR &amp; NECESSARY ACCESSORIES (PHILIPS/CROMPTONGREAVES).
(SPHERICAL,RIBBED,CONICALACRYLIC COVER)</t>
  </si>
  <si>
    <t>Suitable for 125 Watts M.V.Lamp</t>
  </si>
  <si>
    <t>Suitable for 70 Watts S.V.Lamp</t>
  </si>
  <si>
    <t>Post top lanthern fitting with S.C holder suitable for 160 W blended lamp/ incandescent lamp.</t>
  </si>
  <si>
    <t>C.G. Lamp Holder 40 mm size</t>
  </si>
  <si>
    <t>Pendent type Brass Holder</t>
  </si>
  <si>
    <t>Battern type Brass Holder</t>
  </si>
  <si>
    <t>S.L. BRACKET</t>
  </si>
  <si>
    <t>225 mm Size</t>
  </si>
  <si>
    <t>300 mm size</t>
  </si>
  <si>
    <t>Battern type Backelite Holder for lamp</t>
  </si>
  <si>
    <t>Water tight bulk head fitting suitable for 100/ 600 Watts lamp with guard heavy type ( PHILIPS/BAJAJ/CROMPTON GREAVES</t>
  </si>
  <si>
    <t>Ceiling Rose</t>
  </si>
  <si>
    <t>Ceiling fixtures 250 / 300 mm complete with Gallery etc.,clear glass opal/ crystal suitable for 40/60 Watts bulb</t>
  </si>
  <si>
    <t>Ceiling luminaire with mirror optics suitable for 2 Nos. 9 Watts/11 Watts ( Philips/ Crompton/Bajaj)</t>
  </si>
  <si>
    <t>(For items  6 to 15, 25 &amp; 27 the rates are exclusive of cost of tubes and lamps)</t>
  </si>
  <si>
    <t>2 x 4 Sqmm Copper PVC insulated unsheathed single core 1 KV grade cable for EB service single phase.</t>
  </si>
  <si>
    <t>4 Sqmm copper PVC insulated unsheathed single core cable</t>
  </si>
  <si>
    <t>PVC reel insulater</t>
  </si>
  <si>
    <t>GI wire for fixing reel insulater</t>
  </si>
  <si>
    <t>Sundries for masonry works clamps bolts and nuts etc.,</t>
  </si>
  <si>
    <t>Total for 90 Rmt</t>
  </si>
  <si>
    <t>Electrician Maistry</t>
  </si>
  <si>
    <t>DATA   - 38</t>
  </si>
  <si>
    <t>Supplying and fixing 1 No 30 Amps 500 volts grade/well porcelin fuse unit on suitable teak wood plank to be fixed on the top of the pole / EB street poles with necessary clamps and including cost of materials etc., all complete.</t>
  </si>
  <si>
    <t>32 Amps 500 V fuse units</t>
  </si>
  <si>
    <t>TW plank 150 x 100 x 20 mm</t>
  </si>
  <si>
    <t>Sundries such as MS clamps screws etc.,</t>
  </si>
  <si>
    <t xml:space="preserve">TW plank 150 x 100 x 20  </t>
  </si>
  <si>
    <t>1 No fuse unit 15 A 230 V and on suitable TW plank ( to house it is MS box 8" x 6") with 1 No copper neutral link with brass bolts &amp; nuts with Washers  (11+28+21)</t>
  </si>
  <si>
    <t xml:space="preserve">1.50 Sqmm copper PVC insulated unsheathed single core cable. </t>
  </si>
  <si>
    <t>DATA   - 56</t>
  </si>
  <si>
    <t>Exhaust fan of 300 mm  dia ( 12 ") sweep</t>
  </si>
  <si>
    <t>Supply and fixing of 3 no of 63amphs 500 volts Grade/well porceling fuse on suitable teakwood and plank/to be varnished fixed on the top of pole/EB street poles with a necessary clamps including cost of all materials etc., all complete 
3 Nos. of Fuse unit EB pole</t>
  </si>
  <si>
    <t>63 amphs 500 V. fuse units</t>
  </si>
  <si>
    <t>T.W plank 400 x 375 x 20 mm</t>
  </si>
  <si>
    <t>Sundries such as screws clamps etc.,</t>
  </si>
  <si>
    <t>Wire men Gr.I</t>
  </si>
  <si>
    <t>Wire men Gr.II</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</si>
  <si>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5 amps 5 pin PLUG SOCKET POINT AT CONVENIENT PLACES including citcuit mains, cost of all materials, specials, etc., all complete,</t>
  </si>
  <si>
    <t>5 A 5 pin non - inter locking switch and plug ( flush type )</t>
  </si>
  <si>
    <t>SQqm</t>
  </si>
  <si>
    <t>Total for 15 points</t>
  </si>
  <si>
    <t xml:space="preserve">DATA   - 7 </t>
  </si>
  <si>
    <t xml:space="preserve">5 AMPS 5 PIN PLUG SOCKET POINT AT SWITCH BOARD ITSELF </t>
  </si>
  <si>
    <t>PVC WATER TANK OF 200 LITRE CAPACITY</t>
  </si>
  <si>
    <t>Charges for assembling and fixing of flouresent tubular lampfittings of different types ( to be supplied by the departmental at free of cost ) with necessary heavy gauge conduit pipe with ball and socket arrangement on teak wood round block of 75 mm dia 40 mm  deep suspended from ceiling etc., including cost of all materials, etc.,</t>
  </si>
  <si>
    <t>Round block 75 mm dia 40 mm deep</t>
  </si>
  <si>
    <t xml:space="preserve">Sundries such as ball and socket arrangement, choke, nails, screws, etc., </t>
  </si>
  <si>
    <t>Total for 10  Nos</t>
  </si>
  <si>
    <t>Form work for Plain surfaces such as Roof slab</t>
  </si>
  <si>
    <t>Cost of M.S Sheet BG 10</t>
  </si>
  <si>
    <t>Cost of M.S angle 25x25x3mm</t>
  </si>
  <si>
    <t>L.s</t>
  </si>
  <si>
    <t>Charges for conveying and fixing of UG cables of sizes 4 to 25 Sqmm of 2, 3,3.5 and 4 core with necessary MS clamps, brass screws including cost of all materials redoing the dismantled portion, etc., all complete.</t>
  </si>
  <si>
    <t>Sundries for redoing on dismantled portion,etc.,</t>
  </si>
  <si>
    <t>Total for 90 Rmts</t>
  </si>
  <si>
    <t>Mason Ist class</t>
  </si>
  <si>
    <t>Total for 1 day</t>
  </si>
  <si>
    <t>For 2 day</t>
  </si>
  <si>
    <t>DATA   - 46</t>
  </si>
  <si>
    <t xml:space="preserve">Specification for MV/SV lamp street light fittings </t>
  </si>
  <si>
    <t xml:space="preserve">4 sq mm 1/2.24 or equivalent multi core cable 1100V Grade </t>
  </si>
  <si>
    <t xml:space="preserve">6 sq mm 1/2.8 or equivalent multi core cable 1100V Grade </t>
  </si>
  <si>
    <t>6 way DB 16Amps / ways with fuse &amp; Neutral each (250V)</t>
  </si>
  <si>
    <t>8 way DB 16Amps / ways with fuse &amp; Neutral each (250V)</t>
  </si>
  <si>
    <t>For 1 Rmt</t>
  </si>
  <si>
    <t>Supplying and fixing of 16 amps double pole main switch with fuse and neutral link on a suitable well varnished Teak wood board including necessary interconnections and cost of all materials, etc., all complete.</t>
  </si>
  <si>
    <t>16 Amps double pole main switch with fuse and neutral link</t>
  </si>
  <si>
    <t>TW board of size 31x20x6 cm with brass hinge screw hooks well varnished</t>
  </si>
  <si>
    <t>Sundries for TW plugs,screws, wire and earth connection etc.,</t>
  </si>
  <si>
    <t>Wiremen Grade I</t>
  </si>
  <si>
    <t>Total for 4 Nos</t>
  </si>
  <si>
    <t>DATA   - 19</t>
  </si>
  <si>
    <t>32 AMPS DOUBLE POLE MAIN SWITCH ON TEAK WOOD BOARD TOP MES SERVICE CONNECTION / MOTOR PUMP( SINGLE PHASE ) SET</t>
  </si>
  <si>
    <t>B.W IN C.M(1:4) using Country BricksKiln Burnt  SIZE 22x11x7Cm</t>
  </si>
  <si>
    <t xml:space="preserve">Top &amp; Intermediate 1X3X0.75X0.15X0.0375       </t>
  </si>
  <si>
    <t>PLANKS  BWR 9mm thick.    -2X2X0.175X.5875</t>
  </si>
  <si>
    <t xml:space="preserve">             -1X2X0.5625X0.175</t>
  </si>
  <si>
    <t>TOTAL FOR 1.734 SQM</t>
  </si>
  <si>
    <t>1050 X 2400MM</t>
  </si>
  <si>
    <t xml:space="preserve">SHUTTER SIZE-1X.90 X 2.3125                                                                                 </t>
  </si>
  <si>
    <t xml:space="preserve">Top &amp; Intermediate 1X3X0.9X0.15X0.0375       </t>
  </si>
  <si>
    <t xml:space="preserve"> Bottom              - 1X0.75X0.20X0.0375 = 0.010125</t>
  </si>
  <si>
    <t xml:space="preserve"> Bottom              - 1X1X0.9X0.20X0.0375</t>
  </si>
  <si>
    <t>TOTAL FOR 2.081 SQM</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</si>
  <si>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FAN POINT controlled by 5 amps flush type switch including citcuit mains, cost of all materials, specials, etc., all complete,</t>
  </si>
  <si>
    <t>Cost of MS angle 35x35x4mm (2x0.6x2.1 kg/m)</t>
  </si>
  <si>
    <t>Cost of Square bars (2x0.5x1.13 kg/m)</t>
  </si>
  <si>
    <t>Cost of  1 clamp  10 mm (3x0.15x0.78)</t>
  </si>
  <si>
    <t>Cost of Fixture hooks</t>
  </si>
  <si>
    <t>Mazdoor I Class</t>
  </si>
  <si>
    <t>Mazdoor II Class</t>
  </si>
  <si>
    <t>Fixing of screws, painting etc,</t>
  </si>
  <si>
    <t>…………………………….</t>
  </si>
  <si>
    <t>Rate for         =</t>
  </si>
  <si>
    <t>( 1   Set   )</t>
  </si>
  <si>
    <t>Rate for 1 No</t>
  </si>
  <si>
    <t xml:space="preserve">Data for form works using M.S sheet </t>
  </si>
  <si>
    <t>per</t>
  </si>
  <si>
    <t>e</t>
  </si>
  <si>
    <t>Grid floor</t>
  </si>
  <si>
    <t xml:space="preserve">No. of grid 49 Nos  </t>
  </si>
  <si>
    <t>Centering for sides of  grid beam 
  49x2 x0.98x0.375=36.02
  49x2x1.01x3.75=37.12    
 Total 73.14</t>
  </si>
  <si>
    <t>Centering for bottom of grid slab             49x0.98x1.01=48.50</t>
  </si>
  <si>
    <t>B.w. in C.M. 1:4 for staircase steps Chamber
 burnt bricks 23 x 11.4 x 7.5 cm.</t>
  </si>
  <si>
    <t>Rate per sqm</t>
  </si>
  <si>
    <t>Providing rajasthan kota stone of 20mm thick in C.M 1:3</t>
  </si>
  <si>
    <t xml:space="preserve">3 1/2 core 400 sq mm pvc armoured UG cable </t>
  </si>
  <si>
    <t xml:space="preserve">4 core 6 sq mm pvc armoured UG cable </t>
  </si>
  <si>
    <t xml:space="preserve">4 core 10 sq mm pvc armoured UG cable </t>
  </si>
  <si>
    <t xml:space="preserve">4 core 16 sq mm pvc armoured UG cable </t>
  </si>
  <si>
    <t xml:space="preserve">PVC SHEATHED CABLE ALUMINIUM SC CONDUCTOR </t>
  </si>
  <si>
    <t xml:space="preserve">1.5  sq mm (1/1.4) cable 250V Grade </t>
  </si>
  <si>
    <t>T.W round blocks</t>
  </si>
  <si>
    <t>Ball &amp; Socket</t>
  </si>
  <si>
    <t>connecting lead</t>
  </si>
  <si>
    <t>Supply and fixing of Cloth drying arrangements</t>
  </si>
  <si>
    <t>-----------------------------------------------------------------</t>
  </si>
  <si>
    <t>Deduct cost of Hylem sheet</t>
  </si>
  <si>
    <t>Supply and delivery of Single/ twin flurescent tubular lamp street light fittings complete with heavy gauge aluminium sheet fabricated canopy, treated premered and painted with stove enamelled CRCA sheet steel control gear cum reflection tray duly finished glossy white for optimum reflection with clear ribbed acrylic bowl fixed aluminium frame with gasket lining secured to canopy by means of hinges on one side and toggle catches on the other side for effective pritection against dust and water entry, all prewired upto the terminal block complete with all accessories, such as copper wire round ballast capacitor, starter etc., with side entry mounting confirming to IS</t>
  </si>
  <si>
    <t>Fittings</t>
  </si>
  <si>
    <t>125 WMV</t>
  </si>
  <si>
    <t>250 WMV</t>
  </si>
  <si>
    <t>150 WSV</t>
  </si>
  <si>
    <t>250 WSV</t>
  </si>
  <si>
    <t>Total Rs</t>
  </si>
  <si>
    <t>DATA   - 48</t>
  </si>
  <si>
    <t>Fixing of Tube light street light fitting</t>
  </si>
  <si>
    <t xml:space="preserve">B.W IN C.M(1:5) using kiln burnt country bricks </t>
  </si>
  <si>
    <t xml:space="preserve">B.W IN C.M(1:6) using kiln burnt country bricks </t>
  </si>
  <si>
    <t xml:space="preserve">B.W IN C.M(1:4) using kiln burnt country bricks </t>
  </si>
  <si>
    <t>T.W.DOUBLE LEAF FULLY PANELLED</t>
  </si>
  <si>
    <t>1500 X 2400MM</t>
  </si>
  <si>
    <t xml:space="preserve"> Bottom              - 1X2X0.675X0.20X0.0375 = 0.010125</t>
  </si>
  <si>
    <t>MS joint box (150 x 100 x 75 mm )</t>
  </si>
  <si>
    <t>200x150x75 mm=90</t>
  </si>
  <si>
    <t xml:space="preserve">A 200x150x75 mm=0.0825 </t>
  </si>
  <si>
    <t xml:space="preserve">DATA  - 5 </t>
  </si>
  <si>
    <t>STAIRCASE LIGHT POINT</t>
  </si>
  <si>
    <t>549A</t>
  </si>
  <si>
    <t>conrete 1:2:4 using 20 mm HBSJ ( 0.45 x 1.5 mt)</t>
  </si>
  <si>
    <t>For TNEB Meter</t>
  </si>
  <si>
    <t xml:space="preserve">TW plank 600 x 225 x 20 mm </t>
  </si>
  <si>
    <t>30 Amps 500 v fuse units</t>
  </si>
  <si>
    <t>Earth plate with brass bolts &amp; nuts with washers</t>
  </si>
  <si>
    <t>Aluminium window Fixed 0.90x2.10m</t>
  </si>
  <si>
    <t>Aluminium Ventilator 0.90x0.60m</t>
  </si>
  <si>
    <t>Aluminium Ventilator 1.35x0.60m</t>
  </si>
  <si>
    <t>TW double leaves shutter of size 1800 x 2100mm</t>
  </si>
  <si>
    <t>Deduct cost of ceiling rose 6 nos</t>
  </si>
  <si>
    <t>Total for 6 points</t>
  </si>
  <si>
    <t>For 1 points</t>
  </si>
  <si>
    <t>DATA   - 11</t>
  </si>
  <si>
    <t>CUT OFF TYPE STREET LIGHT LANTHERN COMPLETE WITH COPPER CHOKE AND CONDENSOR.</t>
  </si>
  <si>
    <t>Suitable for 1 No 400 W HP MV lamp</t>
  </si>
  <si>
    <t>Varnishing one coat</t>
  </si>
  <si>
    <t>Varnishing two coat</t>
  </si>
  <si>
    <t>4'40 W Twin mirror optic Recessed Suspension type fitting
 ( Philips, Crompton, Wipro ).</t>
  </si>
  <si>
    <t>Labour charges ( as per data No:30)</t>
  </si>
  <si>
    <t>Rate for Three phase ELCB</t>
  </si>
  <si>
    <t>DATA   - 36</t>
  </si>
  <si>
    <t>EB service connection Board for Three phase</t>
  </si>
  <si>
    <t>32 Amps 500 Volts fuse unit</t>
  </si>
  <si>
    <t xml:space="preserve">TW plank 450 x 375 x 20 mm </t>
  </si>
  <si>
    <t>TW plank 450 x 375 x 20 mm</t>
  </si>
  <si>
    <t>Total for 3 Nos</t>
  </si>
  <si>
    <t>DATA   - 37</t>
  </si>
  <si>
    <t>Clamp fixing by cheche screws bolts and nuts including connections</t>
  </si>
  <si>
    <t>Add 1 % sundries</t>
  </si>
  <si>
    <t>Labour charges for fixing</t>
  </si>
  <si>
    <t xml:space="preserve">Rate for each </t>
  </si>
  <si>
    <t>For 4 Nos</t>
  </si>
  <si>
    <t>DATA   - 57</t>
  </si>
  <si>
    <t>Exhaust fan of 225 mm  dia ( 9 ") sweep</t>
  </si>
  <si>
    <t>Supply of ceiling fan 1200mm</t>
  </si>
  <si>
    <t>Charges for fixing flurescent tubular lamp street light fittings ( all types) in the existing street poles with a required GI pipes 'B' class and accessories ( street light fittings alone will be supplied departmentally at free of cost ).</t>
  </si>
  <si>
    <t>Back lamp with bolts &amp; nuts</t>
  </si>
  <si>
    <t>TW plank for fixing the fuse unit 150 x 100 x 20 mm</t>
  </si>
  <si>
    <t>2.5 Sqmm PVC insulated unsheathed copper cable</t>
  </si>
  <si>
    <t>Labour charges for fixing the street light fitting with the required accessories in the E.B pole including connection etc., complete.</t>
  </si>
  <si>
    <t>Tube light fitting ordinary patti type with electronic ballast ( local quatation obtained from crompton Greaves, ( Ref no: YS/Lg-VPK-TNPH2 dt:04.02.2005)]</t>
  </si>
  <si>
    <t>Slim tube light 4ft.36Watts</t>
  </si>
  <si>
    <t>Teak wood round block of 75mm</t>
  </si>
  <si>
    <t>100 Nos</t>
  </si>
  <si>
    <t>0.5Sqmm Copper twin core flex wire</t>
  </si>
  <si>
    <t>100Mts</t>
  </si>
  <si>
    <t>Labour Charges assembling and fixing</t>
  </si>
  <si>
    <t>Sundries such as screws and nails etc.,</t>
  </si>
  <si>
    <t>Labour charges for 16 nos</t>
  </si>
  <si>
    <t>Rate for 16 no</t>
  </si>
  <si>
    <t>Rate for 1 no</t>
  </si>
  <si>
    <t>Part   - A</t>
  </si>
  <si>
    <t>DATA  - 1</t>
  </si>
  <si>
    <t>FAN POINT FOR ADMINISTRATIVE BLOCKS AND COMMUNITY CENTRE</t>
  </si>
  <si>
    <t>WIRING IN CONCEALED PVC PIPE</t>
  </si>
  <si>
    <t>Light point with ceiling rose for flats/ houses</t>
  </si>
  <si>
    <t>Cement paint one coat for old wall</t>
  </si>
  <si>
    <t>Cement paint two coat for old wall</t>
  </si>
  <si>
    <t>Matt paint one coat for old wall</t>
  </si>
  <si>
    <t>whitewashing one coat</t>
  </si>
  <si>
    <t>Thorough scrapping the old wall</t>
  </si>
  <si>
    <t>Thorough scrapping the old iron work</t>
  </si>
  <si>
    <t>Thorough scrapping the old wood work</t>
  </si>
  <si>
    <t>6 way TPDB 63A / ways with fuse &amp; Neutral  link</t>
  </si>
  <si>
    <t>CHANGE OVER SWITCHES (GEM HAVELLS /STANDARD /EQUIVALENT)</t>
  </si>
  <si>
    <t>ANNEXURE</t>
  </si>
  <si>
    <t xml:space="preserve">CI MANHOLE COVER 60 CMX60 CMX50KG </t>
  </si>
  <si>
    <t>22.3.1</t>
  </si>
  <si>
    <t>Shutter middle rails ( Horizontal) - 1x2x0.4x.15x.375=.0045</t>
  </si>
  <si>
    <t>Shutter(OSL Board)      -2X2X0.85X0.4=1.36m2</t>
  </si>
  <si>
    <t xml:space="preserve">COST OF40MM DIA PVC PIPE </t>
  </si>
  <si>
    <t>A.C. sheet 6mm thick fully corrugated</t>
  </si>
  <si>
    <t>Pigment</t>
  </si>
  <si>
    <t>Colour pigment</t>
  </si>
  <si>
    <t>16 Amps three phase 500V 4 pole change over switch</t>
  </si>
  <si>
    <t>32 Amps three phase 500V 4 pole change over switch</t>
  </si>
  <si>
    <t xml:space="preserve">Run of 4 wires of 4 Sqmm copper PVC insulated unsheathed single cosre/ 1.1 KV grade cable with one run of 7/20 GI stay wire suspended with porcelin reel insulater at 1.0 m C/C for support of phase and neautral cable from the top of street pole to the houses/blocks including all materials, etc., all complatet for EB service connections, including labour charges for fixing GI wires and MS angles </t>
  </si>
  <si>
    <t>Labour charges 1.5 times dataNo 42</t>
  </si>
  <si>
    <t>DATA   - 41</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</si>
  <si>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FAN POINT FOR ADMINISTRATIVE BLOCKS AND COMMUNITY CENTRE controlled by 5 amps flush type switch including citcuit mains, cost of all materials, specials, etc., all complete,</t>
  </si>
  <si>
    <t>DATA  - 12 a</t>
  </si>
  <si>
    <t>Bricks of size 22x11x7 cm</t>
  </si>
  <si>
    <t>470/SQM</t>
  </si>
  <si>
    <t xml:space="preserve"> 20mm DIA----DO----2.9mm / 20 mm G.I. pipe</t>
  </si>
  <si>
    <t>PARTITION WALL OF 110 mm thick</t>
  </si>
  <si>
    <t>G.M.GATE VALUE</t>
  </si>
  <si>
    <t>G.M.WHEELVALUE</t>
  </si>
  <si>
    <t>BRASS TAP 15mm(HEAVY)</t>
  </si>
  <si>
    <t>AL.HANDLE WITH CP SCREWS/DOOR STOPPER</t>
  </si>
  <si>
    <t>CERAMIC-FLOOR TILES WHITE/PLAINCOLOUR-6MM T.K</t>
  </si>
  <si>
    <t>Glazed-WALL TILES WHITE/PLAINCOLOUR-6MM T.K</t>
  </si>
  <si>
    <t>WHITE CEMENT</t>
  </si>
  <si>
    <t>COLOUR CEMENT</t>
  </si>
  <si>
    <t>PORCELIN FOOT REAT</t>
  </si>
  <si>
    <t>WATER PROOF COMPOUND</t>
  </si>
  <si>
    <t>A.C. SHEETFULLY CORRUGATED 6mmT.K</t>
  </si>
  <si>
    <t>A.C. RIDGE FOR FULLYCORRUGATED AC SHEET</t>
  </si>
  <si>
    <t>A.C. RIDGE FOR SEMI CORRUGATED AC SHEET</t>
  </si>
  <si>
    <t>M.S.WINDOW GRILLS *</t>
  </si>
  <si>
    <t xml:space="preserve">CUTTING CHARGE OF PVC pipe </t>
  </si>
  <si>
    <t>DOOR OF SIZE 100X200Cm</t>
  </si>
  <si>
    <t>3.25/lit</t>
  </si>
  <si>
    <t xml:space="preserve">POISHED CUDDAPAH SLAB 20mmTHICK WELL POISHED </t>
  </si>
  <si>
    <t>Cost of silver oak</t>
  </si>
  <si>
    <t>GRANITE SLAB 20mm THICK OF BEST QUALITY</t>
  </si>
  <si>
    <t>MARINE PLYWOOD OF 12mm THICK OF BWR GRADE L.R</t>
  </si>
  <si>
    <t>Mason II / I</t>
  </si>
  <si>
    <t>MAISTRY</t>
  </si>
  <si>
    <t>WIREMEN GRADE I</t>
  </si>
  <si>
    <t>WIREMEN GRADE Ii</t>
  </si>
  <si>
    <t>GI PIPE 40 MM DIA</t>
  </si>
  <si>
    <t>GI PIPE 20 MM DIA</t>
  </si>
  <si>
    <t>15 mm dia GI pipe</t>
  </si>
  <si>
    <t xml:space="preserve">GI PIPE 25 MM </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</si>
  <si>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FOR ADMINISTRATIVE BLOCKS AND COMMUNITY CENTRE controlled by 5 amps flush type switch including citcuit mains, cost of all materials, specials, etc., all complete,</t>
  </si>
  <si>
    <t>Total for 3 points</t>
  </si>
  <si>
    <t>Part   - B</t>
  </si>
  <si>
    <t>DATA   - 12</t>
  </si>
  <si>
    <t>GI PIPE 40 MM</t>
  </si>
  <si>
    <t>Deduct 1.5 Sqmm copper PVC insulated unsheathed S.C. cable</t>
  </si>
  <si>
    <t>Total for 90 metres</t>
  </si>
  <si>
    <t>DATA   - 14</t>
  </si>
  <si>
    <t>2 X 4 Sq mm in fully concealed PVC conduit</t>
  </si>
  <si>
    <t xml:space="preserve">2.5 sq mm 1/1.8 or equivalent multi core cable 1100V Grade </t>
  </si>
  <si>
    <t>As per above data</t>
  </si>
  <si>
    <t xml:space="preserve">10 sq mm 1/2.8 or equivalent multi core cable 1100V Grade </t>
  </si>
  <si>
    <t>400A TPN switch disconnector fuse interior only with  HRC fuses</t>
  </si>
  <si>
    <t xml:space="preserve">FUSE UNITS </t>
  </si>
  <si>
    <t>16Amps porcelin Fuse unit (250V)</t>
  </si>
  <si>
    <t>16Amps porcelin Fuse unit (500V)</t>
  </si>
  <si>
    <t>32Amps porcelin Fuse unit (500V)</t>
  </si>
  <si>
    <t>315 Amps TPN switch with HRC fuses sheet steel double break</t>
  </si>
  <si>
    <t>400 Amps TPN switch with HRC fuses sheet steel double break</t>
  </si>
  <si>
    <t>16 Amps TPN  metal clad switch</t>
  </si>
  <si>
    <t>32 Amps TPN  metal clad switch</t>
  </si>
  <si>
    <t>63 Amps TPN  metal clad switch</t>
  </si>
  <si>
    <t>100 Amps  metal clad switch</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</si>
  <si>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FOR ADMINISTRATIVE BLOCKS AND COMMUNITY CENTRE controlled by 5 amps flush type switch including citcuit mains, cost of all materials, specials, etc., all complete,(Open wiring)</t>
  </si>
  <si>
    <t>PVC round block</t>
  </si>
  <si>
    <t>TW switch Box 150X100X65mm</t>
  </si>
  <si>
    <t xml:space="preserve">Supply and erection of Tubular lamp, using 65 mm dia GI pipe 'B' class pipe with ISI mark of 6 mt length and 20 mm dia GI pipe 'B' class upto 2 mt with necessary reducer couplings and pipe firmly fixed with MS plate of 45 cm x 45 cm x 6 mm thick at the  bottom and MS box with 8" x 6" with locking arrangements fixed with lamp post for providing looping in and loopin out connection to the street light fittings and supply and fixing of 15 Amps fuse unit and 15 Amps copper neautral link plate with brass bolts &amp; nuts including concreting using C.C 1:2:4 using 20 mm HBSJ for 1.2 mt below Ground level and 0.3 mt above Ground level and  a diameter of 45 cm with necessary earthing civil loop including labour charges for fixing the street light fittings. Earth  work excavation, 2 coats of painting over 1 coat of Anti corrosion painting, welding inter connection using 1.5 sqmm copper cable etc., all complete and as directed by the departmental officers. </t>
  </si>
  <si>
    <t>STAIRCASE LIGHT POINT FOR ADMINISTRATIVE BLOCKS AND COMMUNITY CENTRE (Open wiring)</t>
  </si>
  <si>
    <t>GLASS 3mmTHICK</t>
  </si>
  <si>
    <t>ALU  HINGS 5"</t>
  </si>
  <si>
    <t>ALU  HINGS 4"</t>
  </si>
  <si>
    <t>ALU  HINGS 3"</t>
  </si>
  <si>
    <t>ALU  HINGS 2"</t>
  </si>
  <si>
    <t>Deduct cost of 10 Nos ceiling rose</t>
  </si>
  <si>
    <t>Deduct cost of 10 Nos 19 mm PVC junction box</t>
  </si>
  <si>
    <t>Deduct 10 Nos 5 A switch</t>
  </si>
  <si>
    <t>Add the cost of 10 nos 5A type push switch @ Rs 9.00/ Each</t>
  </si>
  <si>
    <t>400mm Wall mounted oscillating type fan</t>
  </si>
  <si>
    <t xml:space="preserve">SWITCHES </t>
  </si>
  <si>
    <t xml:space="preserve">5 Amps SP switches with porcelain base </t>
  </si>
  <si>
    <t>5 Amps (flush type)</t>
  </si>
  <si>
    <t xml:space="preserve">5 Amps (staircase) with porcelain base </t>
  </si>
  <si>
    <t>5 Amps (flush type stair case)</t>
  </si>
  <si>
    <t>DOUBLE SWITCHES</t>
  </si>
  <si>
    <t>16 Amps DPIC switch with fuse and neutral (side Handle)</t>
  </si>
  <si>
    <t>32 Amps DPIC switch with fuse and neutral (side Handle)</t>
  </si>
  <si>
    <t>16 Amps DP switch with metal clade  (Front  Handle)</t>
  </si>
  <si>
    <t>32 Amps DP switch with metal clade  (Front  Handle)</t>
  </si>
  <si>
    <t>16 Amps DP switch with metal clade (side Handle)</t>
  </si>
  <si>
    <t xml:space="preserve">3 1/2 core 25 sq mm pvc armoured UG cable </t>
  </si>
  <si>
    <t xml:space="preserve">3 1/2 core 35 sq mm pvc armoured UG cable </t>
  </si>
  <si>
    <t xml:space="preserve">3 1/2 core 50 sq mm pvc armoured UG cable </t>
  </si>
  <si>
    <t xml:space="preserve">3 1/2 core 70 sq mm pvc armoured UG cable </t>
  </si>
  <si>
    <t xml:space="preserve">3 1/2 core 95 sq mm pvc armoured UG cable </t>
  </si>
  <si>
    <t xml:space="preserve">3 1/2 core 120 sq mm pvc armoured UG cable </t>
  </si>
  <si>
    <t xml:space="preserve">3 1/2 core 150 sq mm pvc armoured UG cable </t>
  </si>
  <si>
    <t>Run off mains with 2 wires of 2.5 Sqmm copper PVC insulated unsheathed single core 1.1KV cable wire contuinuous earth by means of 1.5 Sqmm copper PVC insulated unsheathed single core 1.1 KV grade cable in fully concealed 19 mm / 20 mm dia rigid PVC conduit pipe heavy duty with ISI mark including cost of all materials, specials, etc., all complete.</t>
  </si>
  <si>
    <t>Total as per Data No. 12</t>
  </si>
  <si>
    <t>DATA  - 3</t>
  </si>
  <si>
    <t>POINT WIRING FOR CALLING BELL / BUZZER WITH PUSH SWITCH FOR ALL TYPE OF BUILDING</t>
  </si>
  <si>
    <t>Street light service connection</t>
  </si>
  <si>
    <t>63A / 100A 4 pole MCB Isolotor</t>
  </si>
  <si>
    <t>32ATPN MCB</t>
  </si>
  <si>
    <t xml:space="preserve">Angle Iron </t>
  </si>
  <si>
    <t>Sundries 1%</t>
  </si>
  <si>
    <t>Supply and fixing of Copper flats</t>
  </si>
  <si>
    <t>25x3mm Copper flats</t>
  </si>
  <si>
    <t>procelin Insulator</t>
  </si>
  <si>
    <t>For square  &amp; rectangular columns and small quantities extra 20 % of Form work using M.S sheet</t>
  </si>
  <si>
    <t>d</t>
  </si>
  <si>
    <t>For Vertical walls extra 10 % of Form work using M.S sheet</t>
  </si>
  <si>
    <t>Form work for Plain surfaces such as Roof slab,floor slab,beams, lintels, loft,sill slab,Stair case waist, portico slab and other similar works</t>
  </si>
  <si>
    <t>Moulding charges</t>
  </si>
  <si>
    <t>Curing, Transporting, Laying and Pointing charges</t>
  </si>
  <si>
    <t>TW junction  box  150 x 100 x 75 mm</t>
  </si>
  <si>
    <t>3 mm thick laminated Hylem sheet (10X0.1X0.1)</t>
  </si>
  <si>
    <t>Sundries 1% on materials</t>
  </si>
  <si>
    <t>Light point with bakelite batern type holder for flats/ houses(Open wiring)</t>
  </si>
  <si>
    <t>Add Sundries 1%</t>
  </si>
  <si>
    <t>Cool Day light and 4 Ft 36 Watts</t>
  </si>
  <si>
    <t xml:space="preserve">MERCURY VAPOUR DISCHARGE LAMP 230 V GRADE 3 PIN BC </t>
  </si>
  <si>
    <t>80 Watts</t>
  </si>
  <si>
    <t>125 Watts</t>
  </si>
  <si>
    <t>250 Watts</t>
  </si>
  <si>
    <t>400 Watts</t>
  </si>
  <si>
    <t>BOX TYPE SINGLE FLUORESCENT FITTING WITH COPPER CHOKE AND CONDENSOR COMPLETE WITH ISI MARK</t>
  </si>
  <si>
    <t>2 Ft 20 Watts</t>
  </si>
  <si>
    <t>4 Ft 40 Watts</t>
  </si>
  <si>
    <t>4 Ft 40 Watts Box type of ( Philips, Crompton,Wipro ) without Ballast</t>
  </si>
  <si>
    <t>DECORATIVE TWIN FLUORESCENT TYPE FITTING WITH COPPER CHOKE &amp; CONDENSOR COMPLETE SUITABLE FOR 2 NOS FLUORESCENT TUBES.</t>
  </si>
  <si>
    <t>4 Ft 40 Watts with louvers</t>
  </si>
  <si>
    <t>4 Ft 40 Watts ( philip, Crompton, Wipro )</t>
  </si>
  <si>
    <t>4'40" Wtwin Recessed mounting fitting with perpex cover</t>
  </si>
  <si>
    <t>4'40 W Twin mirror optic Recessed mounting fitting</t>
  </si>
  <si>
    <t>4'40 W Twin mirror optic Recessed mounting fitting(Philips, Crompton,Wipro)</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</si>
  <si>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BAKELITE BATTERN TYPE HOLDER FOR FLATS/ HOUSES  controlled by 5 amps flush type switch including citcuit mains, cost of all materials, specials, etc., all complete,</t>
  </si>
  <si>
    <t>Plywood      -1X1X0.775X0.64=0.496</t>
  </si>
  <si>
    <t>Plywood      -1X1X0.985X0.775=0.763</t>
  </si>
  <si>
    <t>Cemant paint</t>
  </si>
  <si>
    <t>painter I</t>
  </si>
  <si>
    <t>Thorouh scrapping</t>
  </si>
  <si>
    <t xml:space="preserve">SUNDRIES </t>
  </si>
  <si>
    <t>ls</t>
  </si>
  <si>
    <t>PAINTING ONE COATS OVER OLD</t>
  </si>
  <si>
    <t>Volume of Concrete = 3.14/4*0.3*0.3 (3.50+(1*6*0.3))</t>
  </si>
  <si>
    <t>Cement extra @ 10% (323.1*.37)</t>
  </si>
  <si>
    <t>For 3.50m depth</t>
  </si>
  <si>
    <t>RCC 1:11/2:3 excluding vibrating charges</t>
  </si>
  <si>
    <t xml:space="preserve">Transportation charges welding GI reducer all incidential charges, painting etc., all complete. </t>
  </si>
  <si>
    <t xml:space="preserve">                          -2X1X0.425X0.28X0.01875=</t>
  </si>
  <si>
    <t>FLATBACK URINAL</t>
  </si>
  <si>
    <t>Flatback Urinal including all accessories</t>
  </si>
  <si>
    <t>Mason I Class</t>
  </si>
  <si>
    <t>Providing Rain Water Harvesting</t>
  </si>
  <si>
    <t>Labour charges for augering</t>
  </si>
  <si>
    <t>-----------------</t>
  </si>
  <si>
    <t>Sub -data for 3</t>
  </si>
  <si>
    <t>Tool  Plants</t>
  </si>
  <si>
    <t>Total for 3 Rmt</t>
  </si>
  <si>
    <t>Rate for 1 rmt</t>
  </si>
  <si>
    <t xml:space="preserve">2x4 sqmm copper PVC insulated unseathed single core 1KV grade cable for EB service </t>
  </si>
  <si>
    <t>4 Sqmm copper PVC unsulated unsheathed single core cable</t>
  </si>
  <si>
    <t>63 Amphs Triple Pole main switch with fuse and neutral link</t>
  </si>
  <si>
    <t>T.W Board of size 46 x 31 x 6 cm screws well varnished.</t>
  </si>
  <si>
    <t>Sundries screw  TW plugs screw wire and earth connections</t>
  </si>
  <si>
    <t>Wireman Gr.I</t>
  </si>
  <si>
    <t>Helpers</t>
  </si>
  <si>
    <t>----------------</t>
  </si>
  <si>
    <t>Labour for 3 Nos</t>
  </si>
  <si>
    <t>Labour for 1 no</t>
  </si>
  <si>
    <t>450 x 375 x 20 m   thick TW plank</t>
  </si>
  <si>
    <t>40 mm dia GI pipe "B"class</t>
  </si>
  <si>
    <t>MDF 1000 x 2100</t>
  </si>
  <si>
    <t>MDF 1200 x 2100</t>
  </si>
  <si>
    <t>MDF 900 x 2100 single</t>
  </si>
  <si>
    <t>MDF 1500 X 2100MM (Double Leaf)</t>
  </si>
  <si>
    <t>MDF 1200 X 2100MM (Double Leaf)</t>
  </si>
  <si>
    <t>MDF 1500 X 2400MM (Double Leaf)</t>
  </si>
  <si>
    <t xml:space="preserve">Granite Tiles flooring </t>
  </si>
  <si>
    <t>For Concreting work</t>
  </si>
  <si>
    <t>DATA  - 2</t>
  </si>
  <si>
    <t>DATA   - 47</t>
  </si>
  <si>
    <t>Charges for fixing Mercury, Sodium Vapour lamp street light fittings ( all types ) in the existing pole with required GI pipes 'B' class and accessories ( Street light fittings alone will be supplied departmentally at free of cost ).</t>
  </si>
  <si>
    <t>15 Amps 500 V fuse unit</t>
  </si>
  <si>
    <t>Total  for 4.90 Rmt</t>
  </si>
  <si>
    <t>Rate for Rmt</t>
  </si>
  <si>
    <t>Specification for Flurescent Tubular lamp street light fittings</t>
  </si>
  <si>
    <t>Squre Rod ( 2x.5x1.13 Kg/m )</t>
  </si>
  <si>
    <t>Cost of Clamp 10mm</t>
  </si>
  <si>
    <t>Labour Charges for welding</t>
  </si>
  <si>
    <t>Cost of fixed hooks</t>
  </si>
  <si>
    <t>Rate for 2 Nos</t>
  </si>
  <si>
    <t>Pair</t>
  </si>
  <si>
    <t>Back clamps with bolts and nuts</t>
  </si>
  <si>
    <t>Street light Fittings (single)</t>
  </si>
  <si>
    <t>*2</t>
  </si>
  <si>
    <t>Supply and delivery of integral HP sodium/Mercury of aluminium sheet deep drawn, treated, prewired stove enamelled painting and inside brightended and anodised for optimum reflection and die cast aluminium control gear near compartments complete with all accessories like copper wire, round ballast,capacitor, ignitor,connection box etc., and all pre wired upto terminal block porcelin lamp holder and acrylic cover with rubber gas for effective protection from water entry all complete suitable for 150/200 watts HP SV/ MV lamp.</t>
  </si>
  <si>
    <t>B.W IN C.M(1:6) USING kiln Burnt Country Bricks</t>
  </si>
  <si>
    <t>B.W IN C.M(1:4) USING kiln Burnt Country Bricks</t>
  </si>
  <si>
    <t>G.I. PIPE A  CLASS</t>
  </si>
  <si>
    <t xml:space="preserve">THREE PHASE DBS </t>
  </si>
  <si>
    <t>4 way TPDB 16A / ways with fuse &amp; Neutral  link</t>
  </si>
  <si>
    <t>6 way TPDB 16A / ways with fuse &amp; Neutral  link</t>
  </si>
  <si>
    <t>Providing Acid proof tile flooring of</t>
  </si>
  <si>
    <t>any size  including pointing etc.,</t>
  </si>
  <si>
    <t>Charges for assembling and fixing of ceiling  fan of different sweep ( to be supplied by the department at free of cost ) with necessary  interconnection and fixing of fan regulator on the existing board, etc., all complete.</t>
  </si>
  <si>
    <t>100 tmt</t>
  </si>
  <si>
    <t>Labour charges for 5 Nos</t>
  </si>
  <si>
    <t>Total for 5 Nos</t>
  </si>
  <si>
    <t xml:space="preserve">Part F </t>
  </si>
  <si>
    <t>DATA   - 25</t>
  </si>
  <si>
    <t>EARTHING &amp; ELCB</t>
  </si>
  <si>
    <t>Run of 8 SWG GI Wire</t>
  </si>
  <si>
    <t>20mmTHICK MIXED WITH WATER PROOF COMPOUND</t>
  </si>
  <si>
    <t>FEBRICATION  (RCC WORKS)</t>
  </si>
  <si>
    <t>DOWN FALL PIPE</t>
  </si>
  <si>
    <t>Casurina props</t>
  </si>
  <si>
    <t>gross</t>
  </si>
  <si>
    <t>MS saddles 19mm</t>
  </si>
  <si>
    <t>TW plugs 38x25x19mm</t>
  </si>
  <si>
    <t>Brass screws 38mm</t>
  </si>
  <si>
    <t>1000Nos</t>
  </si>
  <si>
    <t>2 X 2.5 Sq mm in fully concealed PVC conduit (open wiring)</t>
  </si>
  <si>
    <t xml:space="preserve">Total as per Data No. </t>
  </si>
  <si>
    <t>2/3</t>
  </si>
  <si>
    <t>THREE PHASE DISTRIBUTION BOARD WITH 4 WAY PHASE AND 3 AMPS/WAY FUSE AND NEUTRAL LINK FOR MES SERVICE CONNECTION ( 6 IN 1  BLOCKS )</t>
  </si>
  <si>
    <t>T.W SCANTLING above 2m</t>
  </si>
  <si>
    <t>200 Amps TPN switch with HRC fuses sheet steel double break</t>
  </si>
  <si>
    <t>63A TPN switch disconnector fuse interior only with  HRC fuses</t>
  </si>
  <si>
    <t>100A TPN switch disconnector fuse in sheet steel enclosure with  HRC fuses</t>
  </si>
  <si>
    <t>15 Amps 3 pin flush type plug socket</t>
  </si>
  <si>
    <t xml:space="preserve">MS box 150 x 100 x 75mm </t>
  </si>
  <si>
    <t xml:space="preserve">3 mm thick laminated hulem sheet </t>
  </si>
  <si>
    <t>Labour charges and sundries such as cement, screws etc.,</t>
  </si>
  <si>
    <t>DATA    - 9</t>
  </si>
  <si>
    <t>LIGHT POINT WITH CEILING ROSE FOR ADMINISTRATIVE BLOCKS AND COMMUNITY CENTRE</t>
  </si>
  <si>
    <t>ALU TOWER BOLT 6"X1/2"</t>
  </si>
  <si>
    <t>ALU TOWER BOLT 2"X5/10"</t>
  </si>
  <si>
    <t>B.W IN C.M(1:5) USING kiln Burnt Country Bricks</t>
  </si>
  <si>
    <t>100A TPN switch disconnector fuse interior only with  HRC fuses</t>
  </si>
  <si>
    <t>125A TPN switch disconnector fuse in sheet steel enclosure with  HRC fuses</t>
  </si>
  <si>
    <t>125A TPN switch disconnector fuse interior only with  HRC fuses</t>
  </si>
  <si>
    <t>200A TPN switch disconnector fuse in sheet steel enclosure with  HRC fuses</t>
  </si>
  <si>
    <t>200A TPN switch disconnector fuse interior only with  HRC fuses</t>
  </si>
  <si>
    <t>250A TPN switch disconnector fuse in sheet steel enclosure with  HRC fuses</t>
  </si>
  <si>
    <t>250A TPN switch disconnector fuse interior only with  HRC fuses</t>
  </si>
  <si>
    <t xml:space="preserve"> 15a</t>
  </si>
  <si>
    <t>CENTERING C.W. JOIST</t>
  </si>
  <si>
    <t>CASURINA POST 10mmMTO 13mm DIA *</t>
  </si>
  <si>
    <t>Rate for 1 point</t>
  </si>
  <si>
    <t>DATA  -  4</t>
  </si>
  <si>
    <t>FAN POINT</t>
  </si>
  <si>
    <t>INCANDESCENT BULBS 230 V / 250 V GRADE B.C / E.S WITH ISI</t>
  </si>
  <si>
    <t>15 Watts</t>
  </si>
  <si>
    <t>25 Watts</t>
  </si>
  <si>
    <t>40 Watts</t>
  </si>
  <si>
    <t>60 Watts</t>
  </si>
  <si>
    <t>100 Watts</t>
  </si>
  <si>
    <t>150 Watts</t>
  </si>
  <si>
    <t>Deleted</t>
  </si>
  <si>
    <t>200 Watts</t>
  </si>
  <si>
    <t>300 Watts</t>
  </si>
  <si>
    <t>500 Watts</t>
  </si>
  <si>
    <t>1000 Watts</t>
  </si>
  <si>
    <t xml:space="preserve">INCANDESCENT BULBS 230 V / 250 V GRADE B.C / E.S </t>
  </si>
  <si>
    <t>Colour  15 Watts</t>
  </si>
  <si>
    <t>Blended Lamp 160 Watts</t>
  </si>
  <si>
    <t>3a</t>
  </si>
  <si>
    <t>PLLAMP ( PHILIPS/ OSRAM)</t>
  </si>
  <si>
    <t>STYLES(OVER 2M) -1X2X2.05X0.125X0.0375=0.01922</t>
  </si>
  <si>
    <t>63Amps porcelin Fuse unit (500V)</t>
  </si>
  <si>
    <t>100Amps porcelin Fuse unit (500V)</t>
  </si>
  <si>
    <t>SINGLE PHASE DBS</t>
  </si>
  <si>
    <t>4 way DB 16Amps / ways with fuse &amp; Neutral each (250V)</t>
  </si>
  <si>
    <t>Run off mains with 2 wires of 4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</si>
  <si>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2.5 sqmm copper PVC insulated unsheathed single core cable for continuous earth connection</t>
  </si>
  <si>
    <t>DATA   - 15</t>
  </si>
  <si>
    <t>TW plank 200 x 150 x 20 mm</t>
  </si>
  <si>
    <t>Sundries such as TW plugs, screws, cement, PVC insulated unsheathed copper wires and earth connections.</t>
  </si>
  <si>
    <t xml:space="preserve">TW Plank </t>
  </si>
  <si>
    <t>Wire men Grade I</t>
  </si>
  <si>
    <t>Total for 10 units</t>
  </si>
  <si>
    <t>Rate for 1 unit</t>
  </si>
  <si>
    <t>DATA   - 28</t>
  </si>
  <si>
    <t>Charges for fixing single phase RCCB/ELCB ( to be supplied by the department at free of cost ) on fully concealed suitable MS BOX with a necessary inter connection and earth connections using copper cable including cost of all materials, re- doing the disturbed portion etc., all complete.</t>
  </si>
  <si>
    <t>MS BOX with cover 300 x 200 x 100 mm</t>
  </si>
  <si>
    <t>Sundries such as cement, 1.5Sqmm copper PVC insulated unsheathed wire &amp; earth connections etc., all complete.</t>
  </si>
  <si>
    <t>Total for 10 Nos</t>
  </si>
  <si>
    <t>For 1 No</t>
  </si>
  <si>
    <t>DATA   - 29</t>
  </si>
  <si>
    <t>ELCB ( 3 PHASE ) on surface teak wood plank</t>
  </si>
  <si>
    <t>PARTITION WALL OF 114 mm thick</t>
  </si>
  <si>
    <t xml:space="preserve">Slab centering   up to 4 m height </t>
  </si>
  <si>
    <t>Centring with out strutting</t>
  </si>
  <si>
    <t>b</t>
  </si>
  <si>
    <t>315A TPN switch disconnector fuse in sheet steel enclosure with  HRC fuses</t>
  </si>
  <si>
    <t>315A TPN switch disconnector fuse interior only with  HRC fuses</t>
  </si>
  <si>
    <t>400A TPN switch disconnector fuse in sheet steel enclosure with  HRC fuses</t>
  </si>
  <si>
    <t>5Amps /15Amps 3 pin combined flush type wall sacket only</t>
  </si>
  <si>
    <t xml:space="preserve">5Amps 3 pin top </t>
  </si>
  <si>
    <t xml:space="preserve">15Amps 3 pin top </t>
  </si>
  <si>
    <t xml:space="preserve">15Amps flush type switch </t>
  </si>
  <si>
    <t>10Amps M.C plug with 3 pin top</t>
  </si>
  <si>
    <t>20Amps M.C plug with 3 pin top</t>
  </si>
  <si>
    <t>METERS</t>
  </si>
  <si>
    <t>Supplying and fixing of 32 amps double pole main switch with fuse and neutral link on a suitable well varnished Teak wood board including necessary interconnections and cost of all materials, etc., all complete.</t>
  </si>
  <si>
    <t>32 Amps double pole main switch with fuse and neutral link</t>
  </si>
  <si>
    <t>well gravel</t>
  </si>
  <si>
    <t>32mm dia G.I Pipe</t>
  </si>
  <si>
    <t>M.S. angle(35x35x4 mm)</t>
  </si>
  <si>
    <t>20 mm dia 'B' class GI pipe</t>
  </si>
  <si>
    <t>For control Gear</t>
  </si>
  <si>
    <t>DATA   - 18</t>
  </si>
  <si>
    <t>Supply and fixing of 4'40W twin decorative mirror optics with bulb</t>
  </si>
  <si>
    <t xml:space="preserve">4'40w twin decorative </t>
  </si>
  <si>
    <t>4'40w F.tube</t>
  </si>
  <si>
    <t>19mm dia conduit pipe</t>
  </si>
  <si>
    <t xml:space="preserve">TW plank for fixing the fuse unit of 150 x 100 x 20 mm </t>
  </si>
  <si>
    <t>Sub-Data</t>
  </si>
  <si>
    <t>C.W.Planks Moulding</t>
  </si>
  <si>
    <t>Charges for fixing three phase RCCB/ ELCB ( to be supplied by the department to free of cost ) on suitable well varnished teak wood plank on the wall s ( Surface ) with necessary inter connecteion and earth connections using copper cable including cost of all materials, etc., all complete.</t>
  </si>
  <si>
    <t>TW plank 300 x 200 x 20 mm</t>
  </si>
  <si>
    <t>Sundries such as cement,  4.0 Sqmm copper PVC insulated unsheathed wire &amp; earth connections etc., all complete.</t>
  </si>
  <si>
    <t>Packets</t>
  </si>
  <si>
    <t>Fibre</t>
  </si>
  <si>
    <t>Rate for 39.20 Sqm</t>
  </si>
  <si>
    <t>---------------</t>
  </si>
  <si>
    <t>Rate for 1 Sqm</t>
  </si>
  <si>
    <t>Add 180 mt 2.5 Sqmm copper PVC insulated unsheathed S.C. cable</t>
  </si>
  <si>
    <t>M.S FLAT OF SIZE 25 X 6mm HORIZONTAL = 1 X 2 X1.285 x 1.2 Kg/Met</t>
  </si>
  <si>
    <t>Loose soil</t>
  </si>
  <si>
    <t>36/40w Electronic Ballast for Flu.tube(Phylips/Crompton)</t>
  </si>
  <si>
    <t>36/40w Electronic Ballast for Flu.tube(Indo Asean/Equivalent)</t>
  </si>
  <si>
    <t>HP 80 Watts MV Lamp</t>
  </si>
  <si>
    <t>Deletd</t>
  </si>
  <si>
    <t>HP  125 Watts MV Lamp</t>
  </si>
  <si>
    <t>HP 250 Watts MV Lamp</t>
  </si>
  <si>
    <t>HP 400 Watts MV Lamp</t>
  </si>
  <si>
    <t>CONDENSOR FOR SV/MV LAMP</t>
  </si>
  <si>
    <t>8 Mfd for 80 Watts bulb</t>
  </si>
  <si>
    <t>10 Mfd for 125 Watts bulb</t>
  </si>
  <si>
    <t>15 Mfd for 250 Watts bulb</t>
  </si>
  <si>
    <t>20 Mfd for 400 Watts</t>
  </si>
  <si>
    <t>Vitreous EI Conical Lamp Holder 250 x 90 mm</t>
  </si>
  <si>
    <t>Vitreous EI Conical Lamp Holder 280 x 120 mm</t>
  </si>
  <si>
    <t>M.S box 600 x 225 mm with door and lock and key arrangement and MS clamp with bolts &amp; nuts with washers.</t>
  </si>
  <si>
    <t>40 A single pole MCb isolator</t>
  </si>
  <si>
    <t>MS enclousure for MCB</t>
  </si>
  <si>
    <t xml:space="preserve">Hylem sheet 3 mm thick with lamination </t>
  </si>
  <si>
    <t>5 amps flush type switch</t>
  </si>
  <si>
    <t>100 Operations</t>
  </si>
  <si>
    <t>500/100</t>
  </si>
  <si>
    <t>5 sets</t>
  </si>
  <si>
    <t>5 x 1.12 x 0.05</t>
  </si>
  <si>
    <t>0.28 Sqm</t>
  </si>
  <si>
    <t>Cement Adequacy</t>
  </si>
  <si>
    <t>1 m3  of CC 1:3:6</t>
  </si>
  <si>
    <t>216 Kg</t>
  </si>
  <si>
    <t>1.96m3</t>
  </si>
  <si>
    <t>423.36 Kg (ie) 8.5 Bags of Cement</t>
  </si>
  <si>
    <t xml:space="preserve">SHUTTER SIZE-1X2X.675X2.3125                                                                                 </t>
  </si>
  <si>
    <t xml:space="preserve">RAILS(BELOW 2M)- </t>
  </si>
  <si>
    <t xml:space="preserve">Top &amp; Intermediate 2X3X0.675X0.15X0.0375       </t>
  </si>
  <si>
    <t>PLANKS      -2X2X0.5875X.4X0.01875</t>
  </si>
  <si>
    <t xml:space="preserve">             -1X2X0.5625X0.4X0.01875</t>
  </si>
  <si>
    <t>T.W PLANKS OVER 30 TO 45cm</t>
  </si>
  <si>
    <t xml:space="preserve">6" Alu. DOOR HANDLE </t>
  </si>
  <si>
    <t>10"X1/2"TOWER BOLT</t>
  </si>
  <si>
    <t>12"X5/8"ALDROP</t>
  </si>
  <si>
    <t xml:space="preserve">RUBBERBUSH 40 DIA &amp; 60 MM LONG </t>
  </si>
  <si>
    <t>Alu. DOOR STOPPER</t>
  </si>
  <si>
    <t>TOTAL FOR  3.122 SQM</t>
  </si>
  <si>
    <t>T.W.DOUBLE LEAF 2/3 Glazed and 1/3 PANELLED</t>
  </si>
  <si>
    <t>PLANKS              -1X2X0.5625X0.4X0.01875</t>
  </si>
  <si>
    <t>5.5 MM THK. GLASS                -2X2X0.5875X.40</t>
  </si>
  <si>
    <t>5.5 MM THICK PLAIN GLASS</t>
  </si>
  <si>
    <t>T.W. Beeding  - 2 x 2 x 1.975</t>
  </si>
  <si>
    <t>T.W. beeding 15mm x 12 mm</t>
  </si>
  <si>
    <t>1200 X 2400MM</t>
  </si>
  <si>
    <t xml:space="preserve">SHUTTER SIZE-1X2X.525X2.3125                                                                                 </t>
  </si>
  <si>
    <t xml:space="preserve">Top &amp; Intermediate 2X3X0.525X0.15X0.0375       </t>
  </si>
  <si>
    <t xml:space="preserve"> Bottom              - 1X2X0.525X0.20X0.0375 = 0.010125</t>
  </si>
  <si>
    <t>PLANKS      -2X2X0.25X.5875X0.01875</t>
  </si>
  <si>
    <t xml:space="preserve">             -1X2X0.5625X0.25X0.01875</t>
  </si>
  <si>
    <t>T.W PLANKS OVER 15 TO 30cm</t>
  </si>
  <si>
    <t>TOTAL FOR  2.428 SQM</t>
  </si>
  <si>
    <t>PLANKS  BWR 9mm thick.    -2X2X0.25X.5875</t>
  </si>
  <si>
    <t xml:space="preserve">             -1X2X0.5625X0.25</t>
  </si>
  <si>
    <t>BWR DOUBLE LEAF FULLY PANELLED</t>
  </si>
  <si>
    <t>PLANKS BWR 9mm thick          -1X2X0.5625X0.4</t>
  </si>
  <si>
    <t>900 X 2400MM</t>
  </si>
  <si>
    <t>BWR SINGLE LEAF FULLY PANELLED</t>
  </si>
  <si>
    <t>90 Rmt</t>
  </si>
  <si>
    <t>MS box  12"X8" mm(5 sided) covered with 3mm thick Hylem sheet</t>
  </si>
  <si>
    <t>bag</t>
  </si>
  <si>
    <t>Total for 10 Points</t>
  </si>
  <si>
    <t>Points</t>
  </si>
  <si>
    <t>Rate for 1 Point</t>
  </si>
  <si>
    <t>Sundries for screws etc.,</t>
  </si>
  <si>
    <t>Labour Charges for wirnig in PVC pipe concealed</t>
  </si>
  <si>
    <t>Total for 6 Points</t>
  </si>
  <si>
    <t>Maistry</t>
  </si>
  <si>
    <t>Wiremen Grade  - I</t>
  </si>
  <si>
    <t>Wiremen Grade  - II</t>
  </si>
  <si>
    <t>Charges for fixing single phase RCCB/ELCB ( to be supplied by the department free of cost ) on suitable well varnished teak wood plank with a necessary inter   connection and earth connections using copper cable including cost of all materials, etc., all complete.</t>
  </si>
  <si>
    <t>1 Fibre packet for 1 bag of cement</t>
  </si>
  <si>
    <t>Supply of MS angle 40 X 40 X 6mm for above data to support the above GI pipe and fixing the GI  stay wire service connection wire .</t>
  </si>
  <si>
    <t>Cuddappa slab 20 mm tk.for C/B  slab.</t>
  </si>
  <si>
    <t>Fixing of UG cables on Walls / Ceiling</t>
  </si>
  <si>
    <t>------------------</t>
  </si>
  <si>
    <t>For 8 Nos</t>
  </si>
  <si>
    <t>Per labour</t>
  </si>
  <si>
    <t>Supply and fixing of 4way TPN MCB sheet with 100/63A 4pole Islotor</t>
  </si>
  <si>
    <t>23.1. ( b)</t>
  </si>
  <si>
    <t>T.W.DoubleLEAF FULLY PANELLED</t>
  </si>
  <si>
    <t>TOTAL FOR 2.835 SQM</t>
  </si>
  <si>
    <t>RAILS(BELOW 2M)- 2X4X0.45X0.15X0.0375=      0.020</t>
  </si>
  <si>
    <t xml:space="preserve">               - 2X2X0.45X0.075X0.0375 =0.005</t>
  </si>
  <si>
    <t>PLANKS      -2X4X0.425X0.28X0.01875=</t>
  </si>
  <si>
    <t>TW Panelled Door 1500 X 2400MM (Double leaves)</t>
  </si>
  <si>
    <t>TW Panelled Door 1200 X 2400MM (Double leaves)</t>
  </si>
  <si>
    <t>TW Panelled Door 1800 X 2400MM (Double leaves)</t>
  </si>
  <si>
    <t>BWR door 900 x 2400   single leaf</t>
  </si>
  <si>
    <t>BWR door 1050 x 2400   single leaf</t>
  </si>
  <si>
    <t>BWR door 1200 x 2400   double leaves</t>
  </si>
  <si>
    <t>BWR door 1500 x 2400   double leaves</t>
  </si>
  <si>
    <t>7/20 GI stay wire</t>
  </si>
  <si>
    <t>PVC reel insulator</t>
  </si>
  <si>
    <t>GI wire for fixing reel insulator</t>
  </si>
  <si>
    <t>Electrical Maistry</t>
  </si>
  <si>
    <t>Wiremen Gr.I</t>
  </si>
  <si>
    <t>Wiremen Gr.II</t>
  </si>
  <si>
    <t>Sundries for masonry work clamps bolts and nuts etc.,</t>
  </si>
  <si>
    <t>Total for 90 Mtrs</t>
  </si>
  <si>
    <t>Rate per Rmt</t>
  </si>
  <si>
    <t xml:space="preserve">Rain water harvesting pit by augering </t>
  </si>
  <si>
    <t>Augering</t>
  </si>
  <si>
    <t>Stone jelly 40mm size</t>
  </si>
  <si>
    <t>HBS jelly 20mm size</t>
  </si>
  <si>
    <t>River Sand</t>
  </si>
  <si>
    <t>FIXING OF TUBE LIGHT FITTINGS ON WALL / CEILING</t>
  </si>
  <si>
    <t>------------------------------------------------------------------</t>
  </si>
  <si>
    <t>Kg( 1 Rmt = 3.25 Kg )]</t>
  </si>
  <si>
    <t>40 X 40 X 6mm</t>
  </si>
  <si>
    <t>Rate Per Rmt</t>
  </si>
  <si>
    <t>S&amp;F of 1 No of 30amps Fuse Unit</t>
  </si>
  <si>
    <t>------------------------------------------------</t>
  </si>
  <si>
    <t>30 amps 500V Fuse Unit</t>
  </si>
  <si>
    <t>T.W.Plank 150x100x20mm</t>
  </si>
  <si>
    <t>Providing Rain water Harvesting pit by Earth work excavation in circular shape of 90cm dia at 60cm depth the pit is encase with well trap of 90cm dia 30cm depth 50cm thickness using RCC1:2:4 20mm HBS jelly</t>
  </si>
  <si>
    <t>40mm HBS jelly</t>
  </si>
  <si>
    <t>RCC 1:2:4 for pety works</t>
  </si>
  <si>
    <t>RTS Steel</t>
  </si>
  <si>
    <t>Rate for Each pit</t>
  </si>
  <si>
    <t>Supply and fixing of 63 amphs Triple pole main Switch with fuse and netural link on a suitable well varnished teak wood board including necessary interconnection and earth connection cost of all materials etc., complete.</t>
  </si>
  <si>
    <t>Labour charges for assembling and fixing</t>
  </si>
  <si>
    <t>Labour charges for 16 Nos</t>
  </si>
  <si>
    <t>Total for 16 Nos</t>
  </si>
  <si>
    <t>DATA   - 23</t>
  </si>
  <si>
    <t>FIXING OF TUBE FITTINGS SUSPENDED FROM CEILING</t>
  </si>
  <si>
    <t>8 way TPDB 16A / ways with fuse &amp; Neutral  link</t>
  </si>
  <si>
    <t>4 way TPDB 32A / ways with fuse &amp; Neutral  link</t>
  </si>
  <si>
    <t>Tatal for 90 Rmts</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</si>
  <si>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POINT WIRING WITH CALLING BELL/BUZZER WITH PUSH TYPE SWITCH FOR ALL TYPE OF BUILDINGS  including citcuit mains, cost of all materials, specials, etc., all complete,(OPEN WIRING)</t>
  </si>
  <si>
    <t xml:space="preserve">75MM DIA OF 4Kg/sqmINCLUDING </t>
  </si>
  <si>
    <t>Rate Each Rmt</t>
  </si>
  <si>
    <t>DATA   - 39</t>
  </si>
  <si>
    <t>Supply of MS angle for EB service ( single phase )</t>
  </si>
  <si>
    <t>Supply of MS angles 40 x 40 x 6 mm for above data to support the above GI pipe and fixing the GI stay wire service connection wires for above data</t>
  </si>
  <si>
    <t>(3.25 Kg)</t>
  </si>
  <si>
    <t>DATA   - 40</t>
  </si>
  <si>
    <t>4 x 4  Sq mm copper PVC insulated unsheathed single core cable for 3 phase EB service connection</t>
  </si>
  <si>
    <t>Form work for Column footings, plinthbeam, Grade beam, Raft slab, Raft beam etc.,</t>
  </si>
  <si>
    <t>Form work with Casurina props</t>
  </si>
  <si>
    <t>( - )</t>
  </si>
  <si>
    <t>Sub - data</t>
  </si>
  <si>
    <t>POINT WIRING FOR CALLING BELL / BUZZER WITH PUSH SWITCH FOR ALL TYPE OF BUILDING (OPEN WIRING)</t>
  </si>
  <si>
    <t>19 mm PVC rigid tees</t>
  </si>
  <si>
    <t>MS joint box 150 x 100 x 75 mm</t>
  </si>
  <si>
    <t>19 mm PVC saddles</t>
  </si>
  <si>
    <t>Dozen</t>
  </si>
  <si>
    <t>MS box  4"X4" mm(5 sided) covered with 3mm thick Hylem sheet</t>
  </si>
  <si>
    <t>Total of Data 1 excluding sundries</t>
  </si>
  <si>
    <t>Light point with bakelite batern type holder for flats/ houses</t>
  </si>
  <si>
    <t>1175/6=</t>
  </si>
  <si>
    <t>Base plate 45 cm x45 cm x 6mm thick</t>
  </si>
  <si>
    <t xml:space="preserve">                                                                 </t>
  </si>
  <si>
    <t xml:space="preserve">SHUTTER SIZE-1X.75X2.3125                                                                                 </t>
  </si>
  <si>
    <t>Supplying and fixing of 1 No three phase distribution board with 4 way/ phase and 30 A/way with neutral link on a suitable well varnished teak wood plank including necessary interconnections and earth connections cost of all materials, etc., all complete.</t>
  </si>
  <si>
    <t>TW plank of size 750 x 450 x 12 mm thick</t>
  </si>
  <si>
    <t>Sundries such as screws plugs, cement, wire and earth connection.</t>
  </si>
  <si>
    <t>DATA   - 24</t>
  </si>
  <si>
    <t>Matt paint one coat</t>
  </si>
  <si>
    <t>Thorough scrapping</t>
  </si>
  <si>
    <t>SHUTTER SIZE-1.10X2.05   =2.255M2</t>
  </si>
  <si>
    <t>PLANKS      -1X1X0.975X02825X0.01875=0.00516</t>
  </si>
  <si>
    <t>TOTAL FOR 2.255SQM</t>
  </si>
  <si>
    <t>TOTAL FOR 2.2275SQM</t>
  </si>
  <si>
    <t>&amp; one vertical panel</t>
  </si>
  <si>
    <t xml:space="preserve">Four horizontal panels </t>
  </si>
  <si>
    <t>S/ F of Tube light ( Patty Type )</t>
  </si>
  <si>
    <t>S / F of Tube light ( Box Type )</t>
  </si>
  <si>
    <t>Pre cast slab 50 mm thick in C.C1:3:6 mixed with Fibre  of size 0.28x0.28 m, 50 mm thick</t>
  </si>
  <si>
    <t>PCC slab = 500* 0.28*0.28=39.20 Sqm</t>
  </si>
  <si>
    <t xml:space="preserve">                   =39.20*0.05=1.96Cum</t>
  </si>
  <si>
    <t>C.C 1:3:6 using 20mm HBS Jelly</t>
  </si>
  <si>
    <t>Mason 1 st Class</t>
  </si>
  <si>
    <t>Mazdoor II nd class</t>
  </si>
  <si>
    <t>Cutting, Transporting, Laying &amp; Pointing charges</t>
  </si>
  <si>
    <t>Fibre (125g/ Packet )</t>
  </si>
  <si>
    <t>Moulding Charges</t>
  </si>
  <si>
    <t>……………………….</t>
  </si>
  <si>
    <t>Rate for       =</t>
  </si>
  <si>
    <t>………………………..</t>
  </si>
  <si>
    <t>Rate for 1  Sqm</t>
  </si>
  <si>
    <t>Supplying, Manufacturing and fixing of Colth drying arrangements data for 1 Set</t>
  </si>
  <si>
    <t>Lamp lock screw type</t>
  </si>
  <si>
    <t>16 AMPS TPIC ON TEAK WOOD BOARD FOR 3 PHASE MES SERVICE CONNECTION AND 3 PHASE MOTOR PUMPSETS</t>
  </si>
  <si>
    <t>Supplying and fixing of 16 amps triple pole main switch with fuse and neutral link on a suitable well varnished teak wood board including necessary interconnection and earth connection cost of all materials, etc., all complete.</t>
  </si>
  <si>
    <t>16 Amps triple pole main switch with fuse and neutral link</t>
  </si>
  <si>
    <t xml:space="preserve">2.5  sq mm (1/1.8) cable 1100V Grade </t>
  </si>
  <si>
    <t xml:space="preserve">4 sq mm (1/2.24) cable 1100V Grade </t>
  </si>
  <si>
    <t xml:space="preserve">6 sq mm (1/2.8) cable 1100V Grade </t>
  </si>
  <si>
    <t xml:space="preserve">10 sq mm (1/3.5) cable 1100V Grade </t>
  </si>
  <si>
    <t xml:space="preserve">16 sq mm (7/1.7) cable 1100V Grade </t>
  </si>
  <si>
    <t xml:space="preserve">25 sq mm (7/2.14) cable 1100V Grade </t>
  </si>
  <si>
    <t>frosted glass 3mmthick</t>
  </si>
  <si>
    <t xml:space="preserve">PVC SHEATHED CABLE SC ALUMINIUM  CONDUCTOR </t>
  </si>
  <si>
    <t xml:space="preserve">1.5 sq mm 1/1.4 or equivalent multi core cable 1100V Grade </t>
  </si>
  <si>
    <t>Total for 15 Nos</t>
  </si>
  <si>
    <t>DATA   - 17</t>
  </si>
  <si>
    <t>16 AMPS DOUBLE POLE MAIN SWITCH ON TEAK WOOD BOARD TOP MES SERVICE CONNECTION / MOTOR PUMP( SINGLE PHASE ) SET</t>
  </si>
  <si>
    <t>A.C Exaust Fan 300 mm (12") sweep (light duty)</t>
  </si>
  <si>
    <t>COST Of acid proof tile (as per Krishnagiri DPO)</t>
  </si>
  <si>
    <t>63 Amps three phase 500V 4 pole change over switch</t>
  </si>
  <si>
    <t>100 Amps three phase 500V 4 pole change over switch</t>
  </si>
  <si>
    <t>200 Amps three phase 500V 4 pole change over switch</t>
  </si>
  <si>
    <t>Add for Centring bending including labour charges</t>
  </si>
  <si>
    <t>For 40 operation</t>
  </si>
  <si>
    <t>For 1 operation</t>
  </si>
  <si>
    <t>Cost of 1 operation</t>
  </si>
  <si>
    <t>Cost of silver oke</t>
  </si>
  <si>
    <t>m</t>
  </si>
  <si>
    <t>Supplying and laying of 8 SWG GI wire on walls/below ground level with necessary 'U' nails/ earth work excavation and re- filling etc., including cost of all materials, all complete.</t>
  </si>
  <si>
    <t>S/ F of Cuddapah Sink of Size 600x600x200 mm with 32 mm G.I waste pipe and 32 mm C.P waste coupling</t>
  </si>
  <si>
    <t>Cost of 32 mm dia G.I pipe</t>
  </si>
  <si>
    <t>From work for Column footings, plinthbeam, Grade beam, Raft slab, Raft beam etc.,</t>
  </si>
  <si>
    <t>Rate for From work for Column footings, plinthbeam, Grade beam, Raft slab, Raft beam etc.,</t>
  </si>
  <si>
    <t>1 Sqm</t>
  </si>
  <si>
    <t xml:space="preserve"> Labour charges for fixing including necessary materials</t>
  </si>
  <si>
    <t>DATA   - 51</t>
  </si>
  <si>
    <t>Sqmm</t>
  </si>
  <si>
    <t>TV/Telephone socket</t>
  </si>
  <si>
    <t>Labour charges including fixing etc., all complete.</t>
  </si>
  <si>
    <t>Rate for each</t>
  </si>
  <si>
    <t>DATA   - 52</t>
  </si>
  <si>
    <t>PVC junction box 19 mm</t>
  </si>
  <si>
    <t>MS box  300 x 200 x 75 mm</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</si>
  <si>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POINT WIRING WITH CALLING BELL/BUZZER WITH PUSH TYPE SWITCH FOR ALL TYPE OF BUILDINGS  including citcuit mains, cost of all materials, specials, etc., all complete,</t>
  </si>
  <si>
    <t>Hylem sheet</t>
  </si>
  <si>
    <t>4 Ft 40 W single type suitable for 1 No tube</t>
  </si>
  <si>
    <t>63 Amps 500 V fuse units</t>
  </si>
  <si>
    <t>16 Amps 500 V fuse units</t>
  </si>
  <si>
    <t>20mm HBG</t>
  </si>
  <si>
    <t>10mm HBG</t>
  </si>
  <si>
    <t>Maz I</t>
  </si>
  <si>
    <t>Maz II</t>
  </si>
  <si>
    <t>Vibrating charges</t>
  </si>
  <si>
    <t>Admixture</t>
  </si>
  <si>
    <t>Batching plant</t>
  </si>
  <si>
    <t>Design Mix M30 Grade Concrete (CER 255/2012-13)</t>
  </si>
  <si>
    <t>Design Mix M25 Grade Concrete (CER 255/2012-13)</t>
  </si>
  <si>
    <t>Old rate</t>
  </si>
  <si>
    <t>Aluminium window openable 1.20x1.05m (Four leaves)</t>
  </si>
  <si>
    <t>Aluminium window openable 0.75x1.35m (Two leaves)</t>
  </si>
  <si>
    <t>Aluminium window openable 0.90x1.20m  (Four leaves)</t>
  </si>
  <si>
    <t>Aluminium window openable 1.20x1.35m  (Four leaves)</t>
  </si>
  <si>
    <t>Aluminium window openable 0.90x1.35m  (Four leaves)</t>
  </si>
  <si>
    <t>Aluminium window openable 1.05x1.35m  (Four leaves)</t>
  </si>
  <si>
    <t>Aluminium window openable 0.50x1.35m (Two leaves)</t>
  </si>
  <si>
    <t>Aluminium window openable 0.45x1.35m (Two leaves)</t>
  </si>
  <si>
    <t>Aluminium window openable 1.35x1.35m (Six leaves)</t>
  </si>
  <si>
    <t>Aluminium window openable 1.35x1.05m  (Six leaves)</t>
  </si>
  <si>
    <t>Aluminium window openable 1.50x1.35m  (Six leaves)</t>
  </si>
  <si>
    <t>Aluminium window openable 0.90x0.60m (Two leaves)</t>
  </si>
  <si>
    <t>Aluminium window openable 1.80x2.20m (Eight leaves)</t>
  </si>
  <si>
    <t>Aluminium window openable 1.80x1.35m (Eight leaves)</t>
  </si>
  <si>
    <t>Aluminium window openable 1.80x1.65m (Eight leaves)</t>
  </si>
  <si>
    <t>SUB DATA for hand rolling as per Highways SR</t>
  </si>
  <si>
    <t>Rate for 0.75m3</t>
  </si>
  <si>
    <t>Rate for 1m3</t>
  </si>
  <si>
    <t>SUB DATA for Labour Charges only</t>
  </si>
  <si>
    <t xml:space="preserve">Labour charges for placing metal and sand </t>
  </si>
  <si>
    <t xml:space="preserve">Mason II Class </t>
  </si>
  <si>
    <t xml:space="preserve">Vibrator / Earth rammed </t>
  </si>
  <si>
    <t>Rate for 10m3</t>
  </si>
  <si>
    <t>Sundries for watering through water set</t>
  </si>
  <si>
    <t>/cum</t>
  </si>
  <si>
    <t>labour charges for watering and consolidation by power roller</t>
  </si>
  <si>
    <t>Supply of 80-63mm metal 60%</t>
  </si>
  <si>
    <t>Supply of 40-10mm metal 40%</t>
  </si>
  <si>
    <t>Supply of river sand for filling the voids at 20%</t>
  </si>
  <si>
    <t>For 1m3</t>
  </si>
  <si>
    <t>710          ruby red</t>
  </si>
  <si>
    <t>Alum Vent 0.90x0.45m</t>
  </si>
  <si>
    <t>Suppling and laying granite wall cladding</t>
  </si>
  <si>
    <t xml:space="preserve"> in C.M(1:2)  </t>
  </si>
  <si>
    <t>COST OF granite TILES</t>
  </si>
  <si>
    <t xml:space="preserve"> 2omm alu. hanger rod </t>
  </si>
  <si>
    <t>Hollow type PVC door with frame</t>
  </si>
  <si>
    <t xml:space="preserve">B.W IN C.M(1:5) using chamber burnt  bricks </t>
  </si>
  <si>
    <t>Bricks of size 23x11.4x7.5 cm</t>
  </si>
  <si>
    <t xml:space="preserve">B.W IN C.M(1:6) using chamber burnt </t>
  </si>
  <si>
    <t xml:space="preserve">B.W IN C.M(1:4) using  using chamber burnt </t>
  </si>
  <si>
    <t>TW board of size 31x20x6 cm with brass hinge screw hooks well varnished (as per PWD Elec. Data)</t>
  </si>
  <si>
    <t>Run off mains with 2 wires of 1.5 Sqmm copper PVC insulated unsheathed single core 1.1KV cable wire contuinuous earth by means of 1.5 Sqmm copper PVC insulated unsheathed single core 1.1 KV grade cable in fully concealed 19 mm / 20 mm dia rigid PVC open conduit pipe heavy duty with ISI mark including cost of all materials, specials, etc., all complete.</t>
  </si>
  <si>
    <t>63 AMPS</t>
  </si>
  <si>
    <t>Supplying and fixing of 32 AMPS Triple pole main switch</t>
  </si>
  <si>
    <t>P. C.C. 1:3:6 for foundation &amp; basement using 40mm metal</t>
  </si>
  <si>
    <t>TOTAL RS.</t>
  </si>
  <si>
    <t>Run of 2 Wires of 4 sqmm PVC insulated single core multi strand fire retardant flexible copper cable with ISI mark confirming IS: 694:1990.</t>
  </si>
  <si>
    <t>Run of 2 Wires of 1.5 sqmm PVC insulated single core multi strand fire retardant flexible copper cable with ISI mark confirming IS: 694:1990.</t>
  </si>
  <si>
    <t>21.5.2</t>
  </si>
  <si>
    <t>3 Nos.of 32Amps - Fuse Unit</t>
  </si>
  <si>
    <t xml:space="preserve"> 65mm DIA TWAD p 25</t>
  </si>
  <si>
    <t xml:space="preserve"> 65mm DIA twad p25</t>
  </si>
  <si>
    <t>Paint SEP</t>
  </si>
  <si>
    <t>6" Alu. DOOR HANDLE  p41 80b</t>
  </si>
  <si>
    <t xml:space="preserve">  5"BUTT HINGS p40 77a</t>
  </si>
  <si>
    <t>10"X1/2"TOWER BOLT p 40 78c</t>
  </si>
  <si>
    <t>12"X5/8"ALDROP p41 79a</t>
  </si>
  <si>
    <t>ALU.HANDLE WITH C.P.SCREWS150mm long</t>
  </si>
  <si>
    <t>WIDE&amp;12TO25mm T.K p19 sl.110</t>
  </si>
  <si>
    <t>lead</t>
  </si>
  <si>
    <t xml:space="preserve">Total km </t>
  </si>
  <si>
    <t>Stone dust</t>
  </si>
  <si>
    <t>stay 10"</t>
  </si>
  <si>
    <t>Rate / Sqm</t>
  </si>
  <si>
    <t>Rate per each</t>
  </si>
  <si>
    <t>2014-15 RATE</t>
  </si>
  <si>
    <t>Sundries for brass screw</t>
  </si>
  <si>
    <t>Rate for 10 sqm</t>
  </si>
  <si>
    <t>Rate for 1 sqm, for 3m ht.</t>
  </si>
  <si>
    <t>Rate for 1 sqm, for 1m ht.</t>
  </si>
  <si>
    <t>TW single leaf glazed window shutter of size 3.08 x 2.1cm</t>
  </si>
  <si>
    <t xml:space="preserve">SHUTTER SIZE0- 3.08 x 2.1  </t>
  </si>
  <si>
    <t>T.W.SCANTLING belw 2M length</t>
  </si>
  <si>
    <t>4mm thick pin headed glass</t>
  </si>
  <si>
    <t>TW beeding 15 x 12 mm</t>
  </si>
  <si>
    <t>200 mm x 12 mm Alu. Towerbolt</t>
  </si>
  <si>
    <t xml:space="preserve">6" Handle </t>
  </si>
  <si>
    <t xml:space="preserve">French Window  OF Size  3080 X2100 MM </t>
  </si>
  <si>
    <t>Rmt.</t>
  </si>
  <si>
    <t>TOTAL FOR 5.16 sqm</t>
  </si>
  <si>
    <t xml:space="preserve">French Window  OF Size  1070 X2100 MM </t>
  </si>
  <si>
    <t>TOTAL FOR 1.74 sqm</t>
  </si>
  <si>
    <t>RCC M30 mix using hard broken stone jelly for foundation and basement</t>
  </si>
  <si>
    <t>b.Stilt floor</t>
  </si>
  <si>
    <t>Cement Concrete using desing mix of grade M25 concrete</t>
  </si>
  <si>
    <t>g. In Fifth Floor</t>
  </si>
  <si>
    <t>i. In Seventh Floor</t>
  </si>
  <si>
    <t>j.in Eighth floor</t>
  </si>
  <si>
    <t>k.in Ninth floor</t>
  </si>
  <si>
    <t>l.in Tenth floor</t>
  </si>
  <si>
    <t>5th</t>
  </si>
  <si>
    <t>6th</t>
  </si>
  <si>
    <t>7th</t>
  </si>
  <si>
    <t>8th</t>
  </si>
  <si>
    <t>Run of 2 Wires of 2.5 sqmm PVC insulated single core multi strand fire retardant flexible copper cable with ISI mark confirming IS: 694:1990.</t>
  </si>
  <si>
    <t>Supplying and fixing of 100mm dia GI pipe</t>
  </si>
  <si>
    <t>Supplying  and fixing of GM wheel valves ISI mark</t>
  </si>
  <si>
    <t>S&amp;F 3.5 X 35mm LTUG CABLE Above GL</t>
  </si>
  <si>
    <t>S&amp;F 3.5 X 25mm LTUG CABLE Above GL</t>
  </si>
  <si>
    <t>a) FW 900 X 2100</t>
  </si>
  <si>
    <t>b) W 1800 X 1650</t>
  </si>
  <si>
    <t>c) W1 1500 X 1650</t>
  </si>
  <si>
    <t>d) W0 2400 X 1650</t>
  </si>
  <si>
    <t>e) W2 1200 X 1650</t>
  </si>
  <si>
    <t>g) FW1 4800 X 2300</t>
  </si>
  <si>
    <t>h) FW2 4200 X 2300</t>
  </si>
  <si>
    <t>Providing additional strutting to centering of plain surface.</t>
  </si>
  <si>
    <t>supplying and fixing of colour matt finish floor tiles of size 12"x12" ( for officers)</t>
  </si>
  <si>
    <t>supplying and fixing of colour matt finish floor tiles of size 12"x12" ( for wall tiles)</t>
  </si>
  <si>
    <t>Cement Concrete using design mix of grade M25 concrete for all RCC works</t>
  </si>
  <si>
    <t>10mmH.B.JELLY</t>
  </si>
  <si>
    <t>In Foundation and Basement</t>
  </si>
  <si>
    <t>9th</t>
  </si>
  <si>
    <t>10th</t>
  </si>
  <si>
    <t xml:space="preserve">8th </t>
  </si>
  <si>
    <t>COST OFSTONE DUST</t>
  </si>
  <si>
    <t>Foundation &amp; Basement</t>
  </si>
  <si>
    <t>Supply and fixing of PVC water supply (ASTM)
a.50mm dia</t>
  </si>
  <si>
    <t xml:space="preserve"> 50MM DIA PVC PIPE ABOVE G.L:-</t>
  </si>
  <si>
    <t xml:space="preserve">COST OF 50MM DIA PVC PIPE </t>
  </si>
  <si>
    <t xml:space="preserve">COST OF50MM DIA PVC PIPE </t>
  </si>
  <si>
    <t>50mm</t>
  </si>
  <si>
    <t>g.Double centering portico area</t>
  </si>
  <si>
    <t>b.1200x2400mm</t>
  </si>
  <si>
    <t>Pipe</t>
  </si>
  <si>
    <t>b. In Stilt /Ground Floor</t>
  </si>
  <si>
    <t>Supplying and fixing of solid core flush door shutter of thickness 35mm</t>
  </si>
  <si>
    <t>Supply and fixing of 100 amps TPN sheet double break switch with HRC fuse and neutral on suitable angle iron frame work with MS cable entry boxes and PWD earthing(SR-14-15(p-65)</t>
  </si>
  <si>
    <t>S&amp;F 2X6 Sq.mm LTUG CABLE</t>
  </si>
  <si>
    <t>h. In Sixth Floor</t>
  </si>
  <si>
    <t>COST OF matt finish wall of 12x12
(Quotation rate)</t>
  </si>
  <si>
    <t>COST OF  TILES (Quotation rate)</t>
  </si>
  <si>
    <t>Supplying and fixing of Geyser (Data -SD 103)</t>
  </si>
  <si>
    <t>a.100mm  GM Gate valves</t>
  </si>
  <si>
    <t>b.50mm GM Gate valves</t>
  </si>
  <si>
    <t>c.32mm GM Gate valves</t>
  </si>
  <si>
    <t>S&amp;F TPN 12 way DB encloser (SR-p-80)</t>
  </si>
  <si>
    <t>Mazdoor IIst</t>
  </si>
  <si>
    <t>Pointing the joint</t>
  </si>
  <si>
    <t>Mason IIst</t>
  </si>
  <si>
    <t>S&amp;F 3.5 X 70mm LTUG CABLE Above GL</t>
  </si>
  <si>
    <t>Supply and fixing of 250 amps cubical type panel board</t>
  </si>
  <si>
    <t>Supplying and fixing of Aluminium sliding window</t>
  </si>
  <si>
    <t>Vertified tile flooring IVORY</t>
  </si>
  <si>
    <t>S &amp; F of sodium vapour lamp with fitting 250watts</t>
  </si>
  <si>
    <t xml:space="preserve">Each </t>
  </si>
  <si>
    <t>4 X 6 Sq mm in fully concealed PVC conduit</t>
  </si>
  <si>
    <t>Run off mains with 4 wires of 6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</si>
  <si>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4 X 10 Sq mm in fully concealed PVC conduit</t>
  </si>
  <si>
    <t>Run off mains with 4 wires of 10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</si>
  <si>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a. Ground floor</t>
  </si>
  <si>
    <t>S&amp;F TPN 8 way DB encloser 
CER No.178/2013-14</t>
  </si>
  <si>
    <t>S&amp;F TPN 6 way DB encloser
CER No.178/2013-14</t>
  </si>
  <si>
    <t>S&amp;F TPN 4 way DB encloser
CER No.178/2013-14</t>
  </si>
  <si>
    <t>2 X 6 Sq mm in fully concealed PVC conduit</t>
  </si>
  <si>
    <t>Supply and fixing of  SS Towel rail (75cm length) CER No.178/13-14</t>
  </si>
  <si>
    <t>S &amp; F of 15mm dia half turn CP long body tap</t>
  </si>
  <si>
    <t>S &amp; F of 15mm dia half turn CP short body tap</t>
  </si>
  <si>
    <t xml:space="preserve">S &amp; F of CFL road way lighting luminaries suitable for fixing 36w CFL lamp </t>
  </si>
  <si>
    <t>Supply and fixing of 200 amps fuse unit 
SRP-66</t>
  </si>
  <si>
    <t>Supply and fixing of weld mesh of size 7.5x2.5cmx10gauge</t>
  </si>
  <si>
    <t>Supply and fixing of Chicken mesh</t>
  </si>
  <si>
    <t>Solid core flush door shutter with TW palin</t>
  </si>
  <si>
    <t>Labour for Wrought &amp; Putup</t>
  </si>
  <si>
    <t>Door Handle with CP screws 6'</t>
  </si>
  <si>
    <t>5" Butt Hings</t>
  </si>
  <si>
    <t>6"x1/2" Tower Bolt</t>
  </si>
  <si>
    <t>Brass Screws</t>
  </si>
  <si>
    <t>Rubber bush</t>
  </si>
  <si>
    <t>Door Stopper</t>
  </si>
  <si>
    <t>Varnish Two Coats</t>
  </si>
  <si>
    <t>Rate for 2.23 Sqm</t>
  </si>
  <si>
    <t>Flush door shutter size 1000x2100 ( Single leaf)</t>
  </si>
  <si>
    <t>Rate for 1.82 Sqm</t>
  </si>
  <si>
    <t>Flush door shutter size 1200x2400 (Double leaf)</t>
  </si>
  <si>
    <t>shutter size 1200x2400 (Double leaf)=1.1 x 2.325 =</t>
  </si>
  <si>
    <t>Supply and fixing of 200 amps TPN switch with HRC fuses sheet steel double break
SRP-65, 3 ©</t>
  </si>
  <si>
    <t xml:space="preserve">Run of 4 Wires of 6 sqmm PVC insulated single core multi strand </t>
  </si>
  <si>
    <t xml:space="preserve">Run of 4 Wires of 10 sqmm PVC insulated single core multi strand </t>
  </si>
  <si>
    <t>6-10mm thick metal</t>
  </si>
  <si>
    <t>ABC plus powder</t>
  </si>
  <si>
    <t>ABC Grout</t>
  </si>
  <si>
    <t>15mm dia half turn CP tap</t>
  </si>
  <si>
    <t>Labour charge</t>
  </si>
  <si>
    <t xml:space="preserve">Nos </t>
  </si>
  <si>
    <t>gram</t>
  </si>
  <si>
    <t>100 gms</t>
  </si>
  <si>
    <t>Total/1 No</t>
  </si>
  <si>
    <t>Long body</t>
  </si>
  <si>
    <t>short body</t>
  </si>
  <si>
    <t>Cost of Tap</t>
  </si>
  <si>
    <t>Sundries for brass scruew</t>
  </si>
  <si>
    <t>For New Wood</t>
  </si>
  <si>
    <t>Contain a size 1.2x2.1 m</t>
  </si>
  <si>
    <t>Area of Polishing 1x1x2.25x1.2x2.1+5.67m2</t>
  </si>
  <si>
    <t>Sand paper No 80</t>
  </si>
  <si>
    <t>Sand paper No 100</t>
  </si>
  <si>
    <t>Wooden filter</t>
  </si>
  <si>
    <t>liter</t>
  </si>
  <si>
    <t>sand seal thinner</t>
  </si>
  <si>
    <t>Thinner</t>
  </si>
  <si>
    <t>Water Emery No 250</t>
  </si>
  <si>
    <t>Water Emery No 320</t>
  </si>
  <si>
    <t>Water Emery No 400</t>
  </si>
  <si>
    <t>gm</t>
  </si>
  <si>
    <t>Teak Powder</t>
  </si>
  <si>
    <t>Red Powder</t>
  </si>
  <si>
    <t xml:space="preserve"> Fresh Chalk Powder</t>
  </si>
  <si>
    <t>MELAMEN  Glozy</t>
  </si>
  <si>
    <t>Thinner 106</t>
  </si>
  <si>
    <t>Banian waste</t>
  </si>
  <si>
    <t>3" Brush</t>
  </si>
  <si>
    <t>2" Flat Brush</t>
  </si>
  <si>
    <t>PAINTER- I Class</t>
  </si>
  <si>
    <t>PAINTER - II  Class</t>
  </si>
  <si>
    <t>Mazdoor - II  Class</t>
  </si>
  <si>
    <t xml:space="preserve">Bladder &amp; Tools </t>
  </si>
  <si>
    <t>----------------------</t>
  </si>
  <si>
    <t>Providing tee with end cap</t>
  </si>
  <si>
    <t xml:space="preserve">Supplying and filling with gravel </t>
  </si>
  <si>
    <t>1 Cum</t>
  </si>
  <si>
    <t>Plastering with CM 1:3, 12mm with WPC</t>
  </si>
  <si>
    <t>d. 750 x 2100 mm</t>
  </si>
  <si>
    <t>Add the cost of 10 Nos Buzer/Bell @ 50.40/Each</t>
  </si>
  <si>
    <t>Add the cost of 10 nos  15 x 10 x 7.5 cm TW box @ Rs 20.10/Each</t>
  </si>
  <si>
    <t>5 A 5 pin non - inter locking switch and plug ( flush type ) part - c (I a) + part - d (I a)( Rs. 207/12 + 28.20)</t>
  </si>
  <si>
    <t>100 Amps 500 V fuse units</t>
  </si>
  <si>
    <t>Add cost of Bakelite battern type holders 10 Nos @ Rs 20.20 / Each</t>
  </si>
  <si>
    <t>Tamil Nadu Police Housing Corporation</t>
  </si>
  <si>
    <t>Deduct cost of TW Box 10X10 @ 16.70/each</t>
  </si>
  <si>
    <t>Add cost of TW box 12" x 8" x3" for switch and regulator 10 nos  @ Rs 84.20 / Each</t>
  </si>
  <si>
    <t>Hylem sheet 0.60 Sq m@ 685/Sq m</t>
  </si>
  <si>
    <t>Supply and  Fixing of 36 W  CFL street light fitting</t>
  </si>
  <si>
    <t xml:space="preserve">Charges for fixing 36 W CFL lamp street light fittings ( all types) in the existing street pole/wall with  required GI pipe 'B' class and accessories </t>
  </si>
  <si>
    <t>25 mm dia GI 'B' class pipe</t>
  </si>
  <si>
    <t>36 W CFL Street light Fittings (single)</t>
  </si>
  <si>
    <t>CFL Tube light fittings with Lamp</t>
  </si>
  <si>
    <t>total cost of material used for 10 times</t>
  </si>
  <si>
    <t>Cost per 1 operation</t>
  </si>
  <si>
    <t>Oper</t>
  </si>
  <si>
    <t>15cm dia casurina post</t>
  </si>
  <si>
    <t>Add for coir, nail etc</t>
  </si>
  <si>
    <t>Rate for intial height of 3m and length of 1m</t>
  </si>
  <si>
    <t>Rate for 6m</t>
  </si>
  <si>
    <t xml:space="preserve">For every additional height of 2.5m height </t>
  </si>
  <si>
    <t>vertical post of casurina post (13cm to 15cm)</t>
  </si>
  <si>
    <t>Cost of material plank</t>
  </si>
  <si>
    <t>Cost per 10 operation</t>
  </si>
  <si>
    <t>Sundries for coir , nais etc</t>
  </si>
  <si>
    <t>cost for 6 Rmt</t>
  </si>
  <si>
    <t>cost of 1m run ane every additional height of 2.5m</t>
  </si>
  <si>
    <t>For 3m Height</t>
  </si>
  <si>
    <t>5.5m height in addition of 2.5m ht</t>
  </si>
  <si>
    <t>8m height in addition of 2.5m ht</t>
  </si>
  <si>
    <t>10.5m height in addition of 2.5m ht</t>
  </si>
  <si>
    <t>13m height in addition of 2.5m ht</t>
  </si>
  <si>
    <t xml:space="preserve">Two legged scaffolding using 15cm dia casurna props </t>
  </si>
  <si>
    <t>DOOR OF SIZE 750X2100 MM</t>
  </si>
  <si>
    <t>From 1.25m to 2m width (1.25 times E.W)</t>
  </si>
  <si>
    <t>RUBBER BUSH</t>
  </si>
  <si>
    <t>Colour cement p-36</t>
  </si>
  <si>
    <t>Aluminium luvered Ventilator 0.60x0.60m</t>
  </si>
  <si>
    <t>Aluminium luvered Ventilator 0.75x0.60m</t>
  </si>
  <si>
    <t xml:space="preserve">T.W DOOR SHUTTER TWO LEAVES(1800 X 2100 mm </t>
  </si>
  <si>
    <t>DOOR HANDLE Mejastic</t>
  </si>
  <si>
    <t>6" Brass HINGES</t>
  </si>
  <si>
    <t>8" BRASS TOWER BOLTS</t>
  </si>
  <si>
    <t>Mortice lock with handle</t>
  </si>
  <si>
    <t>16 Amps 500 v fuse unit</t>
  </si>
  <si>
    <t>Base concrete 1:2:4 (6-10mm thick metal)</t>
  </si>
  <si>
    <t>19 mm PVC saddles / p 72</t>
  </si>
  <si>
    <t>Rubber Bush</t>
  </si>
  <si>
    <t xml:space="preserve">B.W IN C.M(1:5) using fly ash  bricks </t>
  </si>
  <si>
    <t>Bricks of size 23x11x7 cm</t>
  </si>
  <si>
    <t>TOTAL FOR 2.83168 CUM</t>
  </si>
  <si>
    <t xml:space="preserve">B.W IN C.M(1:6) using fly ash bricks </t>
  </si>
  <si>
    <t>B.W IN C.M(1:4) using  fly ash bricks</t>
  </si>
  <si>
    <t>B.W IN C.M(1:4) using fly ash bricks of size 23x11.4x7.5Cm</t>
  </si>
  <si>
    <t>B.W IN C.M(1:4) USING 2-B Categery using fly ash bricks</t>
  </si>
  <si>
    <t>Flush door shutter size 1500x2400 (Double leaves)</t>
  </si>
  <si>
    <t>shutter size 1500x2400 (Double leaves)=1.4 x 2.325 =</t>
  </si>
  <si>
    <t>Rate for 3.26 Sqm</t>
  </si>
  <si>
    <t>Flush door shutter size 1200x2400 ( Single leaf)</t>
  </si>
  <si>
    <t>shutter size 1200x2400 (Double leaves)=1.1 x 2.325 =</t>
  </si>
  <si>
    <t>Rate for 2.56 Sqm</t>
  </si>
  <si>
    <t>1000MMX2400MM SIZE OF DOOR FRAME</t>
  </si>
  <si>
    <t>1500MMX2100MM SIZE OF DOOR FRAME</t>
  </si>
  <si>
    <t>1500MMX2400MM SIZE OF DOOR FRAME</t>
  </si>
  <si>
    <t>Painting Two Coats</t>
  </si>
  <si>
    <t>Flush door shutter size 1000x2400 ( Single leaf)</t>
  </si>
  <si>
    <t>Rate for 2.09 Sqm</t>
  </si>
  <si>
    <t>Flush door shutter size 1500x2100 ( Double leaf)</t>
  </si>
  <si>
    <t>Flush door shutter size 1500x2400 ( Double leaf)</t>
  </si>
  <si>
    <t>Shutter size (1.4 x 2.325)</t>
  </si>
  <si>
    <t>Shutter size (1.4 x 2.025)</t>
  </si>
  <si>
    <t>Rate for 2.84 Sqm</t>
  </si>
  <si>
    <t>Shutter size (0.9 x 2.025)</t>
  </si>
  <si>
    <t>Shutter size (0.9 x 2.325)</t>
  </si>
  <si>
    <t>Wood</t>
  </si>
  <si>
    <t>f.  In Fifth floor</t>
  </si>
  <si>
    <t>g.  In sixth floor</t>
  </si>
  <si>
    <t>h.  In seventh floor</t>
  </si>
  <si>
    <t>i.  In eighth floor</t>
  </si>
  <si>
    <t>j.  In Ninth floor</t>
  </si>
  <si>
    <t>k.  In Tenth floor</t>
  </si>
  <si>
    <t>l.  In Eleventh floor</t>
  </si>
  <si>
    <t>m.  In Twelth floor</t>
  </si>
  <si>
    <t>1.9.3.1</t>
  </si>
  <si>
    <t>Conducting routine vertical compression load test CER No.328/2014-15</t>
  </si>
  <si>
    <t>Mobilization charges including transporting to site CER No.328/2014-15</t>
  </si>
  <si>
    <t>n. In Thirteen floor</t>
  </si>
  <si>
    <t>n. In thirteen floor</t>
  </si>
  <si>
    <t xml:space="preserve">Red oxide plastering in CM 1:4 </t>
  </si>
  <si>
    <t>c. 3 to 4 mt.</t>
  </si>
  <si>
    <t>d. 4 to 5 mt.</t>
  </si>
  <si>
    <t>3 to 4</t>
  </si>
  <si>
    <t>4 to 5</t>
  </si>
  <si>
    <t>a. In Ground Floor/Stilt floor</t>
  </si>
  <si>
    <t>c. 1200 x 2100 mm</t>
  </si>
  <si>
    <t>STYLES(OVER 2M) -1X2X2.05X0.075X0.0375</t>
  </si>
  <si>
    <t>RAILS(BELOW 2M)- 1X3X1.1X0.15X0.0375</t>
  </si>
  <si>
    <t>Plywood      -1X1X0.625X0.975</t>
  </si>
  <si>
    <t>b. In Ground Floor/stilt floor</t>
  </si>
  <si>
    <t>S &amp; F of Granite tile of size 2'x1', 10mm Thick For kitchen arrangements (Ruby red)</t>
  </si>
  <si>
    <t>( 1.5  x 5914) - ( (888 +1232 ) / 2)</t>
  </si>
  <si>
    <t>RED OXIDE p37/i24</t>
  </si>
  <si>
    <t>6 sqmm copper PVC insulated unsheathed single core cable</t>
  </si>
  <si>
    <t>10 sqmm copper PVC insulated unsheathed single core cable</t>
  </si>
  <si>
    <t xml:space="preserve">Supply and laying of Hard core layer 200mm </t>
  </si>
  <si>
    <t>Aluminum Louvered ventilators</t>
  </si>
  <si>
    <t>a. 0.90 x 0.60 mt ventilators</t>
  </si>
  <si>
    <t>S &amp; F of Exsaust Fan 300 mm dia</t>
  </si>
  <si>
    <t>e.Circular column</t>
  </si>
  <si>
    <t>1 Nos.of 32Amps - Fuse Unit</t>
  </si>
  <si>
    <t>Concrete designer tiles flooring</t>
  </si>
  <si>
    <t>f.Curved surface</t>
  </si>
  <si>
    <t>450 x 375 x 20 mm   thick TW plank</t>
  </si>
  <si>
    <t>Supply of G.I pipe 40mm dia 'B' Class</t>
  </si>
  <si>
    <t xml:space="preserve">Two coat of OBD over one coat white cement for inner walls </t>
  </si>
  <si>
    <t>d. Ventilator: (75 x 75 cm)</t>
  </si>
  <si>
    <t>TW single leaf french window</t>
  </si>
  <si>
    <t xml:space="preserve">shutter  for frame of overall height 3.08 x 2.1cm </t>
  </si>
  <si>
    <t>LABOUR CHARGE for wroght &amp; put up</t>
  </si>
  <si>
    <t>4 mm thicj frosted glass</t>
  </si>
  <si>
    <t>6" Handles ( 150mm long)</t>
  </si>
  <si>
    <t>TOTAL FOR 5.16 SQM</t>
  </si>
  <si>
    <t>Satheleri Grey</t>
  </si>
  <si>
    <t>UPVC Non Pressure  pipe of SN8 SDR 34
( S 16.5) as per IS 15328/2003</t>
  </si>
  <si>
    <t>a. 110 mm UPVC Non Pressure  pipe</t>
  </si>
  <si>
    <t>PVC Specials  as per IS 10124/1982 Part II</t>
  </si>
  <si>
    <t xml:space="preserve">PVC Equal Tee  as per  BIS 7834/1975 </t>
  </si>
  <si>
    <t>UPVC instead of Stone ware Pipe</t>
  </si>
  <si>
    <t>SUPPLYING AND  LAYING AND</t>
  </si>
  <si>
    <t>JOINTING SN8 UPVC PIPE AND SPECIALS</t>
  </si>
  <si>
    <t>110mm DIA  UPVC PIPE BELOW G.L</t>
  </si>
  <si>
    <t>160mm DIA  UPVC PIPE BELOW G.L</t>
  </si>
  <si>
    <t>Teak wood "Window" &amp;  Ventilator Shutter with 4mm thick pin headed glasses</t>
  </si>
  <si>
    <t>STYLES(OVER 2M) -1X4X2.05X0.075X0.0375</t>
  </si>
  <si>
    <t>RAILS(BELOW 2M)- 2X3X0.55X0.15X0.0375</t>
  </si>
  <si>
    <t>TW Panelled Swing type ventilater</t>
  </si>
  <si>
    <t>of size 75x 75cm</t>
  </si>
  <si>
    <t xml:space="preserve">SHUTTER SIZE-0.65X0.65                                                                                 </t>
  </si>
  <si>
    <t xml:space="preserve">Top &amp; Intermediate 2X3X7.5255X0.15X0.0375       </t>
  </si>
  <si>
    <t>Providing cooling tiles over terrace floor</t>
  </si>
  <si>
    <t>Pointing with CM 1:3</t>
  </si>
  <si>
    <t xml:space="preserve">TOTAL </t>
  </si>
  <si>
    <t>PARTITION WALL OF 75mm thick</t>
  </si>
  <si>
    <t>Add the cost of 10 nos 5A type push switch @ Rs 17.25/ Each</t>
  </si>
  <si>
    <t>19 mm MS clamp (Conduit saddles) P-75 It-3(b)</t>
  </si>
  <si>
    <t>Brass screws (40mm x No.6) P-74 - Item No.1c</t>
  </si>
  <si>
    <t>Tube light -  Patty type(36W)</t>
  </si>
  <si>
    <t>slim tube light 40 w</t>
  </si>
  <si>
    <t>Tube light -  Box type(40W)</t>
  </si>
  <si>
    <t>Tube light -  Box type(36W)</t>
  </si>
  <si>
    <t>40 A single pole MCB isolator</t>
  </si>
  <si>
    <t>MS box 300 x 200 x 100mm with door and lock and key arrangements with necessary MS clamps to bolts &amp; nuts with washers. P70</t>
  </si>
  <si>
    <t>12" PVC Electrical Box (300mm)</t>
  </si>
  <si>
    <t>Charges for fixing Three  phase RCCB/ELCB ( to be supplied by the department at free of cost ) on fully concealed suitable 12" PVC Electrical Box (300mm)with a necessary inter connection and earth connections using copper cable including cost of all materials, re- doing the disturbed portion etc., all complete.</t>
  </si>
  <si>
    <t>GI reducer 40x25mm</t>
  </si>
  <si>
    <t>6" PVC Electrical Box (150mm)</t>
  </si>
  <si>
    <t>Cuddappa slab 40 mm tk.for Sunshade.</t>
  </si>
  <si>
    <t>c. 20mm dia PVC water supply ASTM pipe (fully consealed in walls)</t>
  </si>
  <si>
    <t>d448</t>
  </si>
  <si>
    <t>With Brass Filltings</t>
  </si>
  <si>
    <t>MS box  200 x 150 x 75 mm</t>
  </si>
  <si>
    <t>TW plank of size 750 x 450 x 12 mm thick(99600+7460)</t>
  </si>
  <si>
    <t>200 Amps 500 V fuse units</t>
  </si>
  <si>
    <t>Bricks p15/ 5a</t>
  </si>
  <si>
    <t>32 Amps 500 v fuse units</t>
  </si>
  <si>
    <t>STACKING GHARGES HW DATA 16-17</t>
  </si>
  <si>
    <t>Thorouh scrapping p28/108</t>
  </si>
  <si>
    <t>Thorough scrapping p28 /108</t>
  </si>
  <si>
    <t>6" Alu. DOOR HANDLE p41/84</t>
  </si>
  <si>
    <t xml:space="preserve">  5"BUTT HINGS p40/77a</t>
  </si>
  <si>
    <t>Labour for Wrought &amp; Putup p31/156a</t>
  </si>
  <si>
    <t>Door Handle with CP screws 6' p41/80b</t>
  </si>
  <si>
    <t>5" Butt Hings p40/77a</t>
  </si>
  <si>
    <t>6"x1/2" Tower Bolt p40/78e</t>
  </si>
  <si>
    <t>10"x5/8" Aldrop p41/79b</t>
  </si>
  <si>
    <t>Rubber bush p41/83</t>
  </si>
  <si>
    <t>COASTAL AREA</t>
  </si>
  <si>
    <t>Vertified tile flooring (Colour)</t>
  </si>
  <si>
    <t>C.I. GRATING 75mmDIA</t>
  </si>
  <si>
    <t>PRIMER (LMR item 112) p44</t>
  </si>
  <si>
    <t>Forpower rolling as per PWD SR 2017-18 it-71 b / P.25</t>
  </si>
  <si>
    <t>Labour for Wrought &amp; Putup (SR P.31,it-156)</t>
  </si>
  <si>
    <t>PRESSED TILES 23X23X2cm P-15</t>
  </si>
  <si>
    <t>19 mm PVC rigid bends - p-82 part -I IX-2b</t>
  </si>
  <si>
    <t>PVC rigid conduit pipe 19 mm / 20mm heavy duty with ISI mark p-82 part -I IX-1 b</t>
  </si>
  <si>
    <t>Hylem sheet 3 mm thick with lamination p-83 it-7a part-I</t>
  </si>
  <si>
    <t>5 amps flush type switch p-72, Part-C,1 a ( 207/12=17.25)</t>
  </si>
  <si>
    <t>Ceiling rose p-70 it-23</t>
  </si>
  <si>
    <t>19 mm PVC junction box  ( p-83,6-b( 44.8/12=3.73)</t>
  </si>
  <si>
    <t>1.5 sqmm copper PVC insulated unsheathed single core cable (P-79 it-2/b)</t>
  </si>
  <si>
    <t>1.5 sqmm copper PVC insulated unsheathed single core cable for continuous earth connection  (P-79 it-2/b)</t>
  </si>
  <si>
    <t>19 mm PVC rigid tees (p-83 4b, 16.7/12=1.39)</t>
  </si>
  <si>
    <t>5 A flush type two way switches ( Staircase switch ) p-72</t>
  </si>
  <si>
    <t>5 A 5 pin non - inter locking switch and plug ( flush type ) part - c (I a) + part - d (I a)( Rs. 207/12 + 28.20) p-72+77</t>
  </si>
  <si>
    <t>4 sqmm copper PVC insulated unsheathed single core cable,P-79 it-2-d</t>
  </si>
  <si>
    <t>25mm dia rigid PVC pipe heavy duty with ISI heavy duty with ISI mark part-I 1c P-82</t>
  </si>
  <si>
    <t>2.5 sqmm copper PVC insulated unsheathed single core cable for continuous earth connectionp-79, it- 2 c</t>
  </si>
  <si>
    <t>25mm dia rigid PVC pipe heavy duty with ISI heavy duty with ISI markpart-I 1c P-82</t>
  </si>
  <si>
    <t>Conduit pipe 19 mm (MS) (heavy gauge)p-81 Part-H 1-b</t>
  </si>
  <si>
    <t>2.5 Sqmm copper PVC insulated unsheathed single core cableP-79 2 C</t>
  </si>
  <si>
    <t>4 Sqmm copper PVC insulated unsheathed single core cableP-79 2 d</t>
  </si>
  <si>
    <t>Supply of 25 mm dia GI pipe "B"class ( for the above Data ) for passing through from top of Houses to the MES Board to meet the EB requirement.P-44 118 V</t>
  </si>
  <si>
    <t>Brass screws  ( 40 mm x 6 no) P-85 Part-L c</t>
  </si>
  <si>
    <t>Paint SEP p-44 it-117</t>
  </si>
  <si>
    <t>Vertified  tile flooring  ( Ivory)</t>
  </si>
  <si>
    <t>C.W.SCANTLING UP TO 4M LONG P-20 -it-120/77i</t>
  </si>
  <si>
    <t xml:space="preserve">C.W SCANTLING UPTO 4M LONG </t>
  </si>
  <si>
    <t xml:space="preserve">C.W SCANTLING  UPTO 4M LONG </t>
  </si>
  <si>
    <t>C.W PLANKS 25mm thick, 30cm WIDE</t>
  </si>
  <si>
    <t>40mm brick jelly</t>
  </si>
  <si>
    <t>WIDE&amp;12TO25mm T.K p-19 it-110</t>
  </si>
  <si>
    <t xml:space="preserve">S &amp; F of MS angle of size 50x 50x 5mm </t>
  </si>
  <si>
    <t>TNHB ELECTRICAL DATA FOR COASTAL AREA ONLY</t>
  </si>
  <si>
    <t>Wiring with 1.5 sqmm PVC insulated single core multi strand fire retardant flexible copper cable with ISI mark confirming IS: 694:1990.
( PVC Box , Fire Retarded Box) For Coastal only</t>
  </si>
  <si>
    <t xml:space="preserve">Supply ,laying &amp; jointing the following pipes as per ASTM D 1785 of schedule 40 with  UPVC Specials </t>
  </si>
  <si>
    <t>With Brass fittings</t>
  </si>
  <si>
    <t>Aluminium window openable 1.20x1.35m =1.62m2</t>
  </si>
  <si>
    <t>Rubber beeding</t>
  </si>
  <si>
    <t>Glass 4mm pin headed</t>
  </si>
  <si>
    <t>Handle</t>
  </si>
  <si>
    <t>10" I Max hinges (304 grade) qtn</t>
  </si>
  <si>
    <t>Holdfast</t>
  </si>
  <si>
    <t>Labbour charges</t>
  </si>
  <si>
    <t>RATE FOR 1.620 SQM</t>
  </si>
  <si>
    <t xml:space="preserve">Aluminium window openable 1.35x1.35m </t>
  </si>
  <si>
    <t xml:space="preserve">Two leaves </t>
  </si>
  <si>
    <t>sets</t>
  </si>
  <si>
    <t>RATE FOR 1.823 SQM</t>
  </si>
  <si>
    <r>
      <t xml:space="preserve">FITTER  </t>
    </r>
    <r>
      <rPr>
        <b/>
        <sz val="13"/>
        <rFont val="Arial"/>
        <family val="2"/>
      </rPr>
      <t>Ist CLASS</t>
    </r>
  </si>
  <si>
    <r>
      <t xml:space="preserve">MAZDOOR  </t>
    </r>
    <r>
      <rPr>
        <b/>
        <sz val="13"/>
        <rFont val="Arial"/>
        <family val="2"/>
      </rPr>
      <t>Ist CLASS</t>
    </r>
  </si>
  <si>
    <r>
      <t>CARPENTER</t>
    </r>
    <r>
      <rPr>
        <b/>
        <sz val="13"/>
        <rFont val="Arial"/>
        <family val="2"/>
      </rPr>
      <t xml:space="preserve"> II CLASS</t>
    </r>
  </si>
  <si>
    <t xml:space="preserve"> LABOUR RATE </t>
  </si>
  <si>
    <t>Aluminium window openable 1.50 x 1.65 m =2.48m2</t>
  </si>
  <si>
    <t>FRENCH WINDOW</t>
  </si>
  <si>
    <t>Clip Beading</t>
  </si>
  <si>
    <t>Aluminium window openable 1.80x1.35m =2.43m2</t>
  </si>
  <si>
    <t xml:space="preserve">Three  leaves </t>
  </si>
  <si>
    <t>Aluminium section 'H' Section</t>
  </si>
  <si>
    <t>Aluminium section 'Z' Section</t>
  </si>
  <si>
    <t xml:space="preserve">Intermediate section </t>
  </si>
  <si>
    <t>Max hinges (10")</t>
  </si>
  <si>
    <t>Aluminium window openable 1.35x1.05m 2</t>
  </si>
  <si>
    <t>Aluminium window openable 1.50x1.35m =2.03m2</t>
  </si>
  <si>
    <t>Aluminium handle with screws</t>
  </si>
  <si>
    <t xml:space="preserve">Aluminium holdfast 6"/4mm thick </t>
  </si>
  <si>
    <t>RATE FOR 2.025 SQM</t>
  </si>
  <si>
    <t xml:space="preserve"> Aluminium window openable 0.75x1.35m 2=1.013 m2</t>
  </si>
  <si>
    <t>RATE FOR 1.013 SQM</t>
  </si>
  <si>
    <t>b. 0.60 x 0.60 mt ventilators</t>
  </si>
  <si>
    <t>c. 0.75 x 0.60 mt ventilators</t>
  </si>
  <si>
    <t>T.W PLANKS (30.45 CM) (12 TO 25CM THICK)</t>
  </si>
  <si>
    <t>T.W DOOR SHUTTER TWO LEAVES(1500 X 2100 mm ) with Brass Fittings</t>
  </si>
  <si>
    <t>T.W DOOR SHUTTER TWO LEAVES(1200 X 2100 mm ) with Brass Fittings</t>
  </si>
  <si>
    <t>T.W DOOR SHUTTER TWO LEAVES(2000 X 2400 mm) WITH BRASS FITINGS</t>
  </si>
  <si>
    <t xml:space="preserve">SHUTTER AREA      = 2X0.95 X 2.325                         </t>
  </si>
  <si>
    <t>STYLES (OVER 2m) = 2 X 2 X 2.325 X 0.075 X 0.0375         = 0.0228</t>
  </si>
  <si>
    <t>Bottom</t>
  </si>
  <si>
    <t xml:space="preserve">            2x  2X  0.95 X 0.075 X 0.0375     </t>
  </si>
  <si>
    <t xml:space="preserve">PLANKS : 2 X 4 X 0.825 X 0.36 X 0.01875    </t>
  </si>
  <si>
    <t xml:space="preserve">                  2 X 1 X 0.825 X 0.36 X 0.01875    </t>
  </si>
  <si>
    <t>T.W PLANKS (30 to 45 CM) (12 TO 25CM THICK)</t>
  </si>
  <si>
    <t>RATE FOR 4.4175 SQM</t>
  </si>
  <si>
    <t>Removing of clay from pile inlucing  conveyance charges, loading and unloading charges etc.,all complete</t>
  </si>
  <si>
    <t>Chipping of RCC pile head of 500mm Dia of pile to the required cut off level and clearing away the debris from site with an average lead of 5 km  etc.</t>
  </si>
  <si>
    <t>Mobilization Charges inclusive of Transportation to site assembling and Dismantling the rotary pile equipment employed for the works etc.(Qtn)</t>
  </si>
  <si>
    <t>Conducting Routine vertical compression load test for bored cast in situ RCC piles of various dia by direct loading in accordance with IS 2911(PART IV)1985 excluding cost of pile and dismantling the same after testing, includung finishing pile head etc.(CER .no.60/2016-2017. Est Cochin house)</t>
  </si>
  <si>
    <t>Colour Pigment</t>
  </si>
  <si>
    <t>For 1cum</t>
  </si>
  <si>
    <t>Loading or unloading charges</t>
  </si>
  <si>
    <t>Km</t>
  </si>
  <si>
    <t>Rough stone, Bond stone, cut stone, HBG, Sand, gravel, surkhi, earth, crushed stone etc.Initial Lead (0-10 km)</t>
  </si>
  <si>
    <t>Removing of clay and conveyance charges,loading and unloading charges with an average lead of 3km entirely with city limits</t>
  </si>
  <si>
    <t>Conveyance of dismantled materials</t>
  </si>
  <si>
    <t>Dismantling of RCC works</t>
  </si>
  <si>
    <t>500mm Dia pipe DATA for 1 Rmt</t>
  </si>
  <si>
    <t>Volume of Concrete = 3.14/4 x 0.5  x 0.5  x 1 km =0.196 m3</t>
  </si>
  <si>
    <t>Chipping of pile to the required cut off level and cleaning away the debris with an average lead of 5 km entirely with city limits</t>
  </si>
  <si>
    <t>Rate for 1 Cum</t>
  </si>
  <si>
    <t>Moving and placing of piling equipment (1000/8)</t>
  </si>
  <si>
    <t>Total for 8 Rmt</t>
  </si>
  <si>
    <t>Bentonite (10% concrete volume)</t>
  </si>
  <si>
    <t>RCC 1:1.5:3 (F&amp;B)</t>
  </si>
  <si>
    <t xml:space="preserve"> 500mm Dia pipe</t>
  </si>
  <si>
    <t>DATA</t>
  </si>
  <si>
    <t>TRICHY DIVISION</t>
  </si>
  <si>
    <t>TAMILNADU POLICE HOUSING CORPORATION LIMITED</t>
  </si>
  <si>
    <t>b. 160 mm UPVC Non Pressure  pipe</t>
  </si>
  <si>
    <t xml:space="preserve">Providing Colour Marble chips of size 10mm and below using 70.20Kgs of cement and 15 cum of Colour Marble chips for every 10 sqm over the existing plastered surface </t>
  </si>
  <si>
    <t xml:space="preserve">Colour Pigment </t>
  </si>
  <si>
    <t>Providing Colour Marble chips of size 10mm and below using 70.20Kgs of cement and 15 cum of Colour Marble chips for every 10 sqm over the existing plastered surface  ( For coastal area)</t>
  </si>
  <si>
    <t>d.Vertical wall</t>
  </si>
  <si>
    <t>Standardised concrete Mix M30 Grade Concrete</t>
  </si>
  <si>
    <t>Standardised concrete Mix M20 Grade Concrete</t>
  </si>
  <si>
    <t xml:space="preserve">standardised concrete mix M20 </t>
  </si>
  <si>
    <t>RATE PER SQM (Foundation and basement)</t>
  </si>
  <si>
    <t>Standardised concrete mix M20</t>
  </si>
  <si>
    <t xml:space="preserve"> 3-10mmH.B.JELLY</t>
  </si>
  <si>
    <t>Plasticiser</t>
  </si>
  <si>
    <t>Add watering charges &amp; other (0.5%of sub-total)</t>
  </si>
  <si>
    <r>
      <t xml:space="preserve">20mm HBG Machine crushed stone jelly   </t>
    </r>
    <r>
      <rPr>
        <b/>
        <sz val="12"/>
        <rFont val="Helv"/>
      </rPr>
      <t xml:space="preserve"> (7730 Kg)</t>
    </r>
  </si>
  <si>
    <r>
      <t xml:space="preserve">10-12mm HBG Machine crushed stone jelly   </t>
    </r>
    <r>
      <rPr>
        <b/>
        <sz val="12"/>
        <rFont val="Helv"/>
      </rPr>
      <t xml:space="preserve"> (5156 Kg)</t>
    </r>
  </si>
  <si>
    <r>
      <t xml:space="preserve">Sand   </t>
    </r>
    <r>
      <rPr>
        <b/>
        <sz val="12"/>
        <rFont val="Helv"/>
      </rPr>
      <t xml:space="preserve"> (7670 Kg)</t>
    </r>
  </si>
  <si>
    <t>Plasticiser /Super plasticiser @ .60% of cement (P57 item NO.198</t>
  </si>
  <si>
    <t>Total for 10 cum</t>
  </si>
  <si>
    <t>for 1 cum</t>
  </si>
  <si>
    <t>Sub Total</t>
  </si>
  <si>
    <t>Add for water charges &amp; other sundries (0.5 % of sub total</t>
  </si>
  <si>
    <t>OF STEEL M 2</t>
  </si>
  <si>
    <t>Plasticiser /Super plasticiser @ 1% of cement</t>
  </si>
  <si>
    <t>f.In fourth floor</t>
  </si>
  <si>
    <t>Fourth .floor</t>
  </si>
  <si>
    <t>4.1.1</t>
  </si>
  <si>
    <r>
      <t xml:space="preserve">Standardised concrete  mix using </t>
    </r>
    <r>
      <rPr>
        <b/>
        <sz val="13"/>
        <rFont val="Arial Narrow"/>
        <family val="2"/>
      </rPr>
      <t>M 30 Grade concrete in (F&amp;B)</t>
    </r>
  </si>
  <si>
    <t>.</t>
  </si>
  <si>
    <t xml:space="preserve">Standardised concrete mix M20 </t>
  </si>
  <si>
    <t>Standardised concrete mix M20  using 20mmHB JELLY ( witt out vibrating charges)</t>
  </si>
  <si>
    <t xml:space="preserve">For RCC Door Frame </t>
  </si>
  <si>
    <t>FITTER I/II*</t>
  </si>
  <si>
    <t>MIXING OF MORTAR* it-165</t>
  </si>
  <si>
    <t>VIBRATER CHARGES  * it-103 p-28</t>
  </si>
  <si>
    <t>EARTH FILLING  * it-76/85</t>
  </si>
  <si>
    <t>SAND FILLING  * it-75/85</t>
  </si>
  <si>
    <t>FLOOR POLISHER (MOSAIC)  * p-11 it-17</t>
  </si>
  <si>
    <t>LABOUR CHARGE FOR WROUGHT &amp; PUTUP /V-SHUTTER *p-30 it-143</t>
  </si>
  <si>
    <t>LABOUR CHARGE FOR DOOR/WINDOW SHUTTER  *p-30 it-144</t>
  </si>
  <si>
    <t>LABOUR FOR THREADING 15mm DIA  * it-126</t>
  </si>
  <si>
    <t xml:space="preserve"> 65mm DIA pWD</t>
  </si>
  <si>
    <t>15cm dia Casurina post p-20 it-138</t>
  </si>
  <si>
    <t>Country wood planks (silver oak) p-138 it130/78b</t>
  </si>
  <si>
    <t>BINDING WIRE insulated with PVC as per circular</t>
  </si>
  <si>
    <t>Vibrating charges p-28 /103</t>
  </si>
  <si>
    <t xml:space="preserve"> 'U' nails (SD-74 ,17-18)</t>
  </si>
  <si>
    <t xml:space="preserve">15 Amps 500 V fuse unit p-74 6a </t>
  </si>
  <si>
    <t xml:space="preserve">Deduct cost of 20 m   dia PVC pipe </t>
  </si>
  <si>
    <t>2 X 4 Sq mm in fully concealed PVC conduit (open wiring)</t>
  </si>
  <si>
    <t>4 X 10 Sq mm in fully concealed PVC conduit (open wiring)</t>
  </si>
  <si>
    <t>hinges it-77 a p-40</t>
  </si>
  <si>
    <t>Aluminium partition wall ( 1/3 Glass 5.5mm &amp; 2/3 novapan sheet 12mm thick</t>
  </si>
  <si>
    <t>Glass 5.5mm plain  it-107</t>
  </si>
  <si>
    <t>Novapan Sheet 12mm Thick</t>
  </si>
  <si>
    <t>Rubber beeding (An-VI -it-63</t>
  </si>
  <si>
    <t>Power Grapping</t>
  </si>
  <si>
    <t>TOTAL FOR 6.615 SQM</t>
  </si>
  <si>
    <t>SUPPLY AND FIXING OF GALVANIUM SHEET 0.47MM THICK</t>
  </si>
  <si>
    <t>CARPENTER I ST CLASS</t>
  </si>
  <si>
    <t>MAZDOOR I ST CLASS</t>
  </si>
  <si>
    <t xml:space="preserve">L.S </t>
  </si>
  <si>
    <t xml:space="preserve">Bolts &amp;  Washers </t>
  </si>
  <si>
    <t xml:space="preserve">Rate For 10 Sqm </t>
  </si>
  <si>
    <t xml:space="preserve">Rate For 1 Sqm </t>
  </si>
  <si>
    <t>Wall Panelling data as per DPO Thanjavur</t>
  </si>
  <si>
    <t xml:space="preserve"> 6mm tk MDF Ply wood ( CER No.107-2012-13 DPO Thanjavur)</t>
  </si>
  <si>
    <t xml:space="preserve"> 4mm tk vennar ( CER No.107-2012-13 DPO Thanjavur)</t>
  </si>
  <si>
    <t>labour charges</t>
  </si>
  <si>
    <t xml:space="preserve">Rate For 9 Sqm </t>
  </si>
  <si>
    <t xml:space="preserve">Say </t>
  </si>
  <si>
    <t>Rate Per Sqm</t>
  </si>
  <si>
    <t xml:space="preserve">Labour Charges </t>
  </si>
  <si>
    <t>FITTER  Ist Class</t>
  </si>
  <si>
    <t xml:space="preserve">FITTER I st  CLASS </t>
  </si>
  <si>
    <t xml:space="preserve"> REVISED SR 2017-18 </t>
  </si>
  <si>
    <t xml:space="preserve">DATA </t>
  </si>
  <si>
    <t>Painter - I st Class</t>
  </si>
  <si>
    <t>Providing Colour Marble Chips</t>
  </si>
  <si>
    <t>Mazon  Ist Class</t>
  </si>
  <si>
    <t xml:space="preserve">THERMOCOAL FALSE CEILING ARRANGEMENTS </t>
  </si>
  <si>
    <t>Cost of Aluminium section</t>
  </si>
  <si>
    <t>Wastage 10% on Aluminium section</t>
  </si>
  <si>
    <t>MS Rod</t>
  </si>
  <si>
    <t>Wastage 5 % on MS Rod</t>
  </si>
  <si>
    <t>Cost of Thermocoal 20mm thick sheet</t>
  </si>
  <si>
    <t xml:space="preserve">Wastage 10 % </t>
  </si>
  <si>
    <t xml:space="preserve">Adjustable Screws </t>
  </si>
  <si>
    <t>MS Hooks</t>
  </si>
  <si>
    <t>Fitter Ist Class</t>
  </si>
  <si>
    <t>Carpenter  Ist Class</t>
  </si>
  <si>
    <t>Mazdoor Ist Class</t>
  </si>
  <si>
    <t>TOTAL FOR 18 SQM</t>
  </si>
  <si>
    <t>RATE PER SQ M</t>
  </si>
  <si>
    <t>Steel (p-21 it-130 )</t>
  </si>
  <si>
    <t>Cuddappah slab (One side polised).it-100 p-19</t>
  </si>
  <si>
    <t>Cost of 4mm window glass</t>
  </si>
  <si>
    <t>glass panels of 4mm thick for</t>
  </si>
  <si>
    <t>Flush door shutter size 1800x2400 (Double leaf)</t>
  </si>
  <si>
    <t>shutter size 1800x2400 (Double leaf)=1.7 x 2.325 =</t>
  </si>
  <si>
    <t>Rate for 3.95 Sqm</t>
  </si>
  <si>
    <t>Flush door shutter size 1800x2100 (Double leaf)</t>
  </si>
  <si>
    <t>shutter size 1800x2100 (Double leaf)=1.7 x 2.025 =</t>
  </si>
  <si>
    <t>Rate for 3.44 Sqm</t>
  </si>
  <si>
    <t>Wiring with 1.5 sqmm PVC insulated single core multi strand fire retardant flexible copper cable with ISI mark confirming IS: 694:1990. (Open wiring)</t>
  </si>
  <si>
    <t>Rubber beeding it-64 p-39</t>
  </si>
  <si>
    <t>supplying and fixing of colour matt finish floor tiles of size 12"x18" for wall tiles</t>
  </si>
  <si>
    <t>supplying and fixing of colour matt finish floor tiles of size 12"x12" floor tiles</t>
  </si>
  <si>
    <t xml:space="preserve"> MS ventilator of size  1000 x 800 mm
</t>
  </si>
  <si>
    <t xml:space="preserve">M.S VENTILATOR OF SIZE -1200 X 800mm ( 1 No ) </t>
  </si>
  <si>
    <t xml:space="preserve">ALROUND M.S FLAT OF SIZE 50 X 10mm      = 4.0 M X 3.9 Kg/Met </t>
  </si>
  <si>
    <t>SQUARE BARS OF SIZE 20 x 20mm               =11Nos X 0. 8M 3.14 Kg/Met</t>
  </si>
  <si>
    <t>M.S FLAT OF SIZE 25 X 6mm HORIZONTAL = 1 X 2 X1.200 x 1.2 Kg/Met</t>
  </si>
  <si>
    <t>VERTICAL                                                             = 1 X 3 X 0.80 X 1.2 Kg/Met</t>
  </si>
  <si>
    <t>ADD FOR WELLDING</t>
  </si>
  <si>
    <t xml:space="preserve">M.S VENTILATOR OF SIZE -1000 X 800mm ( 1 No ) </t>
  </si>
  <si>
    <t xml:space="preserve">ALROUND M.S FLAT OF SIZE 50 X 10mm      = 3.6 M X 3.9 Kg/Met </t>
  </si>
  <si>
    <t>SQUARE BARS OF SIZE 20 x 20mm               = 9Nos X 0. 8M 3.14 Kg/Met</t>
  </si>
  <si>
    <t>M.S FLAT OF SIZE 25 X 6mm HORIZONTAL = 1 X 2 X1.000 x 1.2 Kg/Met</t>
  </si>
  <si>
    <t>Supply and fixing of 19mm dia steam pipe for down rod of fan (SD 106)</t>
  </si>
  <si>
    <t>Supply and fixing of colour matt finish door 15 microns double leaf door ( 1500 x 2100 mm)</t>
  </si>
  <si>
    <t>Aluminium Door  ( 1.5 x2.1m thick)</t>
  </si>
  <si>
    <t>Aluminium section ''it-61 a( SR-13-14)</t>
  </si>
  <si>
    <t>PVC Felt ( It-65)</t>
  </si>
  <si>
    <t>DOOR STOPPER   It-82</t>
  </si>
  <si>
    <t>DOOR Closer It-67</t>
  </si>
  <si>
    <t xml:space="preserve">  SCREWS (75x 10mm)it-108 ii</t>
  </si>
  <si>
    <t>Bolts &amp; Nuts ( 3/4"x 1/4") It-78-b</t>
  </si>
  <si>
    <t>Bolts &amp; Nuts ( 6"x 1/2") it-78-e</t>
  </si>
  <si>
    <t>TOTAL FOR 3.15 SQM</t>
  </si>
  <si>
    <t>SR16-17</t>
  </si>
  <si>
    <t>Aluminium section ''it-61 a( SR-16-17)</t>
  </si>
  <si>
    <t xml:space="preserve">  SCREWS (75x 10mm)(An-VI -it-163</t>
  </si>
  <si>
    <t>Aluminium Door  ( 1.0 x2.1m thick)</t>
  </si>
  <si>
    <t>Supply and fixing of colour matt finish door 15 microns double leaf door Aluminium Door  ( 1.5 x2.1m thick)</t>
  </si>
  <si>
    <t>Supply and fixing of colour matt finish door 15 microns double leaf door Aluminium Door  ( 1.0 x2.1m thick)</t>
  </si>
  <si>
    <t>Aluminium section ''it-61 a( rev SR-17-18)</t>
  </si>
  <si>
    <t>Power Grapping p-52 it-173</t>
  </si>
  <si>
    <t>Hydraulic DOOR Closer It-67</t>
  </si>
  <si>
    <t>Bolts &amp; Nuts ( 3/4"x 1/4") It-78-b p-40</t>
  </si>
  <si>
    <t>TOTAL FOR 2.1 SQM</t>
  </si>
  <si>
    <t>Supply and fixing of colour matt finish door 15 microns double leaf door ( 1000 x 2100 mm)</t>
  </si>
  <si>
    <t>Aluminium Partition wall 1/3 5.5mm thick glass &amp; 2/3 Novapan sheet 12mm thick outer top and bottom</t>
  </si>
  <si>
    <t>EUROPEAN WATER CLOSET WITH "P" OR "S" TRAP WITH DOUBLE FLAPPED SEAT AND SEAT COVER WITH BRASS HINGES AND 10LIT CAPACITY PVC L;OW LEVEL FLUSHING TANK WITH ALL INTERNAL FITTINGS p-48</t>
  </si>
  <si>
    <t>P.V.C DOOR TEE 110MM p-61 D-c</t>
  </si>
  <si>
    <t>a.500mm dia pile</t>
  </si>
  <si>
    <t>b.450mm dia pile</t>
  </si>
  <si>
    <t>c.400mm dia pile</t>
  </si>
  <si>
    <t>Precast Cupboard slab 20 mm tk.using standardised concrete mix M30 (annexure)</t>
  </si>
  <si>
    <t>Precast cupboard slab 40 mm tkusing standardised concrete mix M30 (annexure)</t>
  </si>
  <si>
    <t xml:space="preserve">Standardised concrete mix M30 </t>
  </si>
  <si>
    <t>Standardised concrete mix M30  using 20mmHB JELLY ( witt out vibrating charges)</t>
  </si>
  <si>
    <t>Standardised concrete mix M30</t>
  </si>
  <si>
    <t>Supplying nd laying of 1000 x 1000 x 300mm size ms 16 swg powder coated cable terminal box with two compartment with necessary bus bar connected with TNEB etc.,</t>
  </si>
  <si>
    <t>Supplying and fixing of 250 Watts Metal halide Flood light etc.,</t>
  </si>
  <si>
    <t xml:space="preserve">Name of Work : Providing Bored cast-in-situ pile Pile Foundation </t>
  </si>
  <si>
    <t>Setting of Bored cast-in-situ pile equipments with all accessories and tools at each of locations based on the 450 mm dia pile</t>
  </si>
  <si>
    <t>Volume of Concrete = 3.14 /x *0.45 x 0.45  x 8  = 4.02 /4=  1.272 m3</t>
  </si>
  <si>
    <t>Volume of Concrete = 3.14/4 x 0.45  x 0.45  x 1 km =0.159 m3</t>
  </si>
  <si>
    <t>Setting of Bored cast-in-situ pile equipments with all accessories and tools at each of locations based on the 400 mm dia pile</t>
  </si>
  <si>
    <t>Volume of Concrete = 3.14 /x *0.40 x 0.40  x 8  = 4.02 /4=  1.272 m3</t>
  </si>
  <si>
    <t>Volume of Concrete = 3.14/4 x 0.40  x 0.40  x 1 km =0.129 m3</t>
  </si>
  <si>
    <t xml:space="preserve"> 450mm Dia pipe</t>
  </si>
  <si>
    <t xml:space="preserve"> 400mm Dia pipe</t>
  </si>
  <si>
    <t>400mm Dia pipe DATA for 1 Rmt</t>
  </si>
  <si>
    <t>Charges for fixing of 250W  metal halide light fitting</t>
  </si>
  <si>
    <t>250W metal halide light fitting</t>
  </si>
  <si>
    <t>1 No</t>
  </si>
  <si>
    <t xml:space="preserve">DATA - A Panel for 1 services Police station </t>
  </si>
  <si>
    <t>Length = 3.3ft.       Height =3.3 ft.   Depth = 1.ft.</t>
  </si>
  <si>
    <t>Requirement of 16 SWG MS sheet :</t>
  </si>
  <si>
    <t>Front and back   1x2x3.3x3.3           = 21.78sq.ft.</t>
  </si>
  <si>
    <t>Top and bottom 1x2x3.3x 1.0           = 6.6 sq.ft.</t>
  </si>
  <si>
    <t>Between bus 1 x 2 x 3.3x 1.0                = 6.6 sq.ft.</t>
  </si>
  <si>
    <t>Two sides      1x2x3.3x 1.0               = 6.6 sq.ft.</t>
  </si>
  <si>
    <t xml:space="preserve">                                               Total =  41.58   sqft</t>
  </si>
  <si>
    <t>Wastage    10%                             =     4.158sqft</t>
  </si>
  <si>
    <t xml:space="preserve">                              Total                =  45.738 sqft</t>
  </si>
  <si>
    <t>Requirement of angle iron:</t>
  </si>
  <si>
    <t>Channel size 75mm x 40mm</t>
  </si>
  <si>
    <t xml:space="preserve">1.5' x 2 x1                                    = 3 kgm        </t>
  </si>
  <si>
    <t>Angle size - 40 x 40 x 6mm</t>
  </si>
  <si>
    <t>1metre                                         = 3.25kgm</t>
  </si>
  <si>
    <t xml:space="preserve">Total angle iron required=(1x 3+6x0.3)= 4.80 mtr
</t>
  </si>
  <si>
    <t>4.8 x 3.25 = 15.60kgm</t>
  </si>
  <si>
    <t>Total steel required  = 15.60+ 3.0=18.60  kg</t>
  </si>
  <si>
    <t xml:space="preserve">Cost of angle iron </t>
  </si>
  <si>
    <t>Copper requirement:</t>
  </si>
  <si>
    <t>Copper bus by 25mm x 3mm copper Flats for phases</t>
  </si>
  <si>
    <t xml:space="preserve"> and neutral  </t>
  </si>
  <si>
    <t>1x2' x 4x .22 =1.76 kgm</t>
  </si>
  <si>
    <t>Inter connection between 300 A cut out and bus</t>
  </si>
  <si>
    <t>2' x 4 x 0.22  =1.76 kgm</t>
  </si>
  <si>
    <t xml:space="preserve">Inter connection between 63 A fuse units 3 phase and netural link and bus by no.8 SWG copper </t>
  </si>
  <si>
    <t>2' x 3 x 8 = 48/20 = 2.4 kg</t>
  </si>
  <si>
    <t>Between bus &amp; 32 A DP   by No.8 copper</t>
  </si>
  <si>
    <t xml:space="preserve"> between bus and fuse unit (single phase )
</t>
  </si>
  <si>
    <t>2'x 2=4/20=0.2 kgm</t>
  </si>
  <si>
    <t>Total copper required: 1.76 + 1.76kgm+ 2.4kgm  =5.92 kgm</t>
  </si>
  <si>
    <t xml:space="preserve">Tin coating of copper </t>
  </si>
  <si>
    <t>Requirment of GI Flats for earth bus</t>
  </si>
  <si>
    <t>Sixe proposed 25mm x3mm GI flat</t>
  </si>
  <si>
    <t>1.5' x 2+ 3' x 1 =22.2 ft  =6.0 mtr</t>
  </si>
  <si>
    <t>6.0 mtrs x 0.6 kg /mtr =3.60kg</t>
  </si>
  <si>
    <t>Incomers &amp; outgoings</t>
  </si>
  <si>
    <t xml:space="preserve">100 A neutral link </t>
  </si>
  <si>
    <t>Amp</t>
  </si>
  <si>
    <t xml:space="preserve">Interconnection charges </t>
  </si>
  <si>
    <t>6mm thick Hylam sheet for fixing energy metrs</t>
  </si>
  <si>
    <t>0.45 x .60x 1.0= 0.270 sqm</t>
  </si>
  <si>
    <t>Insulators</t>
  </si>
  <si>
    <t>LED pilot lamps</t>
  </si>
  <si>
    <t>MCB / Fuse units/ Pilot lamp fixing charges ( Ele SD-159 labour )</t>
  </si>
  <si>
    <t>sq.ft.</t>
  </si>
  <si>
    <t>Painting with primer &amp; suitable colour</t>
  </si>
  <si>
    <t>Sq.ft</t>
  </si>
  <si>
    <t>Mtrs.</t>
  </si>
  <si>
    <t>Mtr.</t>
  </si>
  <si>
    <t>Lettering charges</t>
  </si>
  <si>
    <t>Sundries 2% such as bolts, nuts, washers, insulation tape, PVC sleeves etc.</t>
  </si>
  <si>
    <t>Transport charges</t>
  </si>
  <si>
    <t>Erection charges</t>
  </si>
  <si>
    <t>(OR)</t>
  </si>
  <si>
    <t>Aluminium window openable 1.20x1.05m (Two leaves)</t>
  </si>
  <si>
    <t>Aluminium section H</t>
  </si>
  <si>
    <t>Aluminium section  Z</t>
  </si>
  <si>
    <t>Aluminium section intermediate</t>
  </si>
  <si>
    <t>Clip Beeding</t>
  </si>
  <si>
    <t>Max hinges 10"/ 1</t>
  </si>
  <si>
    <t>Sets</t>
  </si>
  <si>
    <t>d. 1.0 x 0.60 mt ventilators</t>
  </si>
  <si>
    <t xml:space="preserve">Screws  rayal plugs  and stopper etc </t>
  </si>
  <si>
    <t>Glass 4 mm thichk plain  it-106</t>
  </si>
  <si>
    <t>Lock  for sliding ''it-70 ( rev SR-17-18)</t>
  </si>
  <si>
    <t xml:space="preserve"> PVC  Roller for sliding ''it-75 ( rev SR-17-18)</t>
  </si>
  <si>
    <t>Handle" D "type 100mm long ''it-80 c ( rev SR-17-18)</t>
  </si>
  <si>
    <t>Aluminium  Anodised 1.80 x1.35 m</t>
  </si>
  <si>
    <t>Aluminium  Anodised 1.35 x1.35 m</t>
  </si>
  <si>
    <t>Say</t>
  </si>
  <si>
    <t xml:space="preserve">Qtn </t>
  </si>
  <si>
    <t xml:space="preserve"> 12x12mm Alu.Beedings ( Qtn)</t>
  </si>
  <si>
    <t>Alu. bolts and nuts( Qtn)</t>
  </si>
  <si>
    <t>Supplying and fixing M.S.Hold Qtn</t>
  </si>
  <si>
    <t>Grout ( qtn)</t>
  </si>
  <si>
    <t>UPVC SPECIAL CLAMP as per qtn</t>
  </si>
  <si>
    <t>Precasting Charges ( 6.28*120sqm=753.6/18=41.87each)</t>
  </si>
  <si>
    <t xml:space="preserve">Fibre (125g/packet) Qtn </t>
  </si>
  <si>
    <t>MARINE PLYWOOD OF 9mm THICK OF BWR GRADE L.R ( qtn)</t>
  </si>
  <si>
    <t xml:space="preserve">I.O HOOKS &amp; EYES3" Qtn </t>
  </si>
  <si>
    <t>LOCKS &amp;KEY Qtn</t>
  </si>
  <si>
    <t>Deduct rate for "P" &amp; "S" trap</t>
  </si>
  <si>
    <t xml:space="preserve">Add rate for PVC SWR "P" &amp; "S" trap </t>
  </si>
  <si>
    <t xml:space="preserve">a. In Ground floor </t>
  </si>
  <si>
    <t>Engineering Polymer Tap  short body tap for coastal area only</t>
  </si>
  <si>
    <t>100gm</t>
  </si>
  <si>
    <t>500gm</t>
  </si>
  <si>
    <t>1No</t>
  </si>
  <si>
    <t>S &amp; F of Granite tile of size 2'x 1', 10mm Thick For kitchen arrangements (jet black for SFO)</t>
  </si>
  <si>
    <t>S &amp; F of Granite slab of size 4'x2', 18 to 20mm Thick For kitchen arrangements (jet black) for SP and ADSP</t>
  </si>
  <si>
    <t>Cement Paint two coat for old wall</t>
  </si>
  <si>
    <t>Cement Paint one coat for old wall</t>
  </si>
  <si>
    <t>Plastic Emulsion PAINT two coat for old wall</t>
  </si>
  <si>
    <t>Plastic Emulsion PAINT one coat for old wall</t>
  </si>
  <si>
    <t>Painter I</t>
  </si>
  <si>
    <t>c. In Third floor</t>
  </si>
  <si>
    <t>s</t>
  </si>
  <si>
    <t xml:space="preserve">Providing PVC Tee with end cap </t>
  </si>
  <si>
    <t>SAND FOR MORTAR sl.100  p19</t>
  </si>
  <si>
    <t>NYLON BUSH FOR Door ( qtn)</t>
  </si>
  <si>
    <t xml:space="preserve"> 15mmDIAX20mmDIA  (v)</t>
  </si>
  <si>
    <t xml:space="preserve"> 25mmDIAX20mmDIA (iv)</t>
  </si>
  <si>
    <t xml:space="preserve"> 15mmDIA OF WALL THICK 2.8mm A.S.T.M (Qtn)</t>
  </si>
  <si>
    <t>P.V.C. SOIL DOUBLE  YEE WITH DOOR 110mm ( double) it-K</t>
  </si>
  <si>
    <t xml:space="preserve">by pasting </t>
  </si>
  <si>
    <t>Flat back urinal including all accesseries p-50/136 1</t>
  </si>
  <si>
    <t>Pigment (20.03+23.13)/2 =21.58 p37 ( 9 &amp;10/2)</t>
  </si>
  <si>
    <t>Zite Zinc primer ( qtn)</t>
  </si>
  <si>
    <t>Aluminium section (p-40/61a)</t>
  </si>
  <si>
    <t>hinges 75mm x 30 mm P-41/77 b</t>
  </si>
  <si>
    <t>handle 150 mm long p-42 /80b</t>
  </si>
  <si>
    <t>rubber beeding P-41/64</t>
  </si>
  <si>
    <t xml:space="preserve">Sand paper No 50 (Qtn) </t>
  </si>
  <si>
    <t xml:space="preserve">MELAMEN matt Qtn </t>
  </si>
  <si>
    <t>Fly proof  Mesh p-22 it- 167/130</t>
  </si>
  <si>
    <t>LOCKS &amp;KEY ( qtn)</t>
  </si>
  <si>
    <t>Labour for Wrought &amp; Putup (SR P.32,it-156a)</t>
  </si>
  <si>
    <t xml:space="preserve"> Cost of Colour Marble chips ( 84.4/0.0354)=2384.18 (P-36 it-11 )</t>
  </si>
  <si>
    <t>Add 180 mt 2.5 Sqmm copper PVC insulated unsheathed S.C. cable p-86, it- 2 c</t>
  </si>
  <si>
    <t>4 sqmm copper PVC insulated unsheathed single core cable,P-86 it-2-d</t>
  </si>
  <si>
    <t>Bulk head fittings P-77 it-22</t>
  </si>
  <si>
    <t>4 way 16 amps, way 250 volts single phase and neutral link metalic distribution board p-81 7a</t>
  </si>
  <si>
    <t>Three phase distribution board with 4 way/phase and 32 A / Way with fuse and neutral link. P-81 8d</t>
  </si>
  <si>
    <t>Add for 6 way TPDB 32A/way p-81, 8e</t>
  </si>
  <si>
    <t>Less 4 way TPDB 32 A/way p-81, 8d</t>
  </si>
  <si>
    <t xml:space="preserve">TW round block P-91 Part -J -X- F </t>
  </si>
  <si>
    <t>25mm dia rigid PVC pipe heavy duty with ISI heavy duty with ISI mark part -I 1c P-89, Part -I</t>
  </si>
  <si>
    <t>2.5 sqmm copper PVC insulated unsheathed single core cable for continuous earth connection (p-86, it- 2 c)</t>
  </si>
  <si>
    <t xml:space="preserve">8 SWG GI wire  (Part- E, 3 -c P-84) </t>
  </si>
  <si>
    <t>16 Amps 250 Volts fuse unit (P-81  6-a</t>
  </si>
  <si>
    <t>Single phase ELCB (ISI 25 Amps 30 MA)P-94  9-b</t>
  </si>
  <si>
    <t>3 No of 30 amps MCB ( Part-L, P-93  6-a havells)</t>
  </si>
  <si>
    <t>Three phase ELCB P-94 10 a</t>
  </si>
  <si>
    <t>GI pipe of 25 mm dia  (P-46 118 V)</t>
  </si>
  <si>
    <t>40 x 40 x 6 mm MS angle (P-87  part -G)</t>
  </si>
  <si>
    <t>Earth work excavation and refilling(63.60+63.6+(22.20/3)</t>
  </si>
  <si>
    <t>MV/SV lamps P-74/6 b</t>
  </si>
  <si>
    <t>Fittings P-74 /6 b, c/92 c and a</t>
  </si>
  <si>
    <t xml:space="preserve">16 Amps 500 v fuse unit p-81 6a </t>
  </si>
  <si>
    <t>MS box  300 x 200x100 mm with door and lock and key arrangements with necessary MS clamps to bolts &amp; nuts with washers. P- 87 d part-F</t>
  </si>
  <si>
    <t>Add cost of 25 mm dia PVC pipe heavy dutyp-89 part -I c</t>
  </si>
  <si>
    <t>MS box 8" x 6" with cover p-87 Fc</t>
  </si>
  <si>
    <t>Exhaust fan of 300 mm dia ( Part- B 2 b p-74</t>
  </si>
  <si>
    <t>Exhaust fan of 225 mm dia ( Part- B 2 a p-74</t>
  </si>
  <si>
    <t>Tw Plugs (p 91 p J e)</t>
  </si>
  <si>
    <t>Add the cost of 10 Nos Buzer/Bell @ 39.50/Each p77 28a</t>
  </si>
  <si>
    <t>Add 180 mt 4 Sqmm copper PVC insulated unsheathed S.C. cable p-86 2c</t>
  </si>
  <si>
    <t>Add 180 mt 10  Sqmm copper PVC insulated unsheathed S.C. cable part E-2 -F</t>
  </si>
  <si>
    <t>25 mm dia GI 'B' class pipe p-46 it-118 -v</t>
  </si>
  <si>
    <t xml:space="preserve">12th </t>
  </si>
  <si>
    <t>13th</t>
  </si>
  <si>
    <t>Dismantling of RCC works it-35/38 p-24</t>
  </si>
  <si>
    <t>Conveyance of dismantled materials p-35</t>
  </si>
  <si>
    <t xml:space="preserve">Loading or unloading charges p-35 </t>
  </si>
  <si>
    <t>9.16*10</t>
  </si>
  <si>
    <t xml:space="preserve">Old RCC Door frame </t>
  </si>
  <si>
    <t>R.C.C.Door frames of size 100 x 75mm with one edge grooves size 't' x 20 mm  ( with out  M20 or M30 grade old  data )</t>
  </si>
  <si>
    <t xml:space="preserve">Cochin House Data </t>
  </si>
  <si>
    <t>Aluminium window openable 1.8x1.35m (Three leaves)</t>
  </si>
  <si>
    <t xml:space="preserve">Max hinges Qtn </t>
  </si>
  <si>
    <t xml:space="preserve">Rate per Sqm </t>
  </si>
  <si>
    <t>Aluminium window openable 1.35x1.35m (Two leaves)</t>
  </si>
  <si>
    <t>Max hinges</t>
  </si>
  <si>
    <t>TOTAL FOR 1.823 SQM</t>
  </si>
  <si>
    <t>Say Rs. Rate Per m2 =</t>
  </si>
  <si>
    <t>Aluminium window openable 1.35x1.05m  ( Two leaves)</t>
  </si>
  <si>
    <t>Aluminium window openable 1.20x1.35m  ( Two leaves)</t>
  </si>
  <si>
    <t>Max</t>
  </si>
  <si>
    <t>Aluminium window openable 1.35x1.05m (Two leaves)</t>
  </si>
  <si>
    <t>Aluminium window openable 1.2x1.35m (Two leaves)</t>
  </si>
  <si>
    <r>
      <t xml:space="preserve">Standardised concrete  mix using </t>
    </r>
    <r>
      <rPr>
        <b/>
        <sz val="13"/>
        <rFont val="Arial Narrow"/>
        <family val="2"/>
      </rPr>
      <t>M 20 Grade concrete in (F&amp;B)</t>
    </r>
  </si>
  <si>
    <t>Dismantling of RCC works p-24</t>
  </si>
  <si>
    <t>Solid core flush door shutter with TW palin -it-93 p-43</t>
  </si>
  <si>
    <t>Rubber beeding (An-VI -it-63 p-40</t>
  </si>
  <si>
    <t>Aluminium section ''it-61 a( rev SR-18-19)</t>
  </si>
  <si>
    <t xml:space="preserve"> Revised  SR 2018-19</t>
  </si>
  <si>
    <t xml:space="preserve">French Window  OF Size  1500 X2000 MM </t>
  </si>
  <si>
    <t>2*2*0.075*.0375*1.95</t>
  </si>
  <si>
    <t>2*2*0.065*.0075*0.375</t>
  </si>
  <si>
    <t>T.W</t>
  </si>
  <si>
    <t>2*0.65*1.95</t>
  </si>
  <si>
    <t>1*2*0.525*1.825</t>
  </si>
  <si>
    <t>Glass panel</t>
  </si>
  <si>
    <t>2*2*(0.525+1.825)</t>
  </si>
  <si>
    <t>Beeding</t>
  </si>
  <si>
    <t>TOTAL FOR 2.535 sqm</t>
  </si>
  <si>
    <t>Shellac p-49</t>
  </si>
  <si>
    <t>Thread ball p-49</t>
  </si>
  <si>
    <t xml:space="preserve">FLY  ASH BRICKS DATA </t>
  </si>
  <si>
    <t>38.4.1</t>
  </si>
  <si>
    <t>Crushed Stone SAND FOR FILLING</t>
  </si>
  <si>
    <t>Supply and Laying Rubber Moulded Hyraulic Pressed Paver Block 83 mm thick including labour charges for laying etc ( as per DB/1469/2018)</t>
  </si>
  <si>
    <t>Brick partition in C.M. 1:4 using country bricks of size 22 x11x5cm 50 mm thick</t>
  </si>
  <si>
    <t>Supply and Fixing Soild UPVC door Shutter with frame</t>
  </si>
  <si>
    <t>Flush door shutter size 900x2100 ( Single leaf)</t>
  </si>
  <si>
    <t>Rate for 1.62 Sqm</t>
  </si>
  <si>
    <t>Solid core flush door shutter with TW plain</t>
  </si>
  <si>
    <t>4 X 6 Sq mm in fully concealed PVC conduit (open wiring)</t>
  </si>
  <si>
    <t>Add 180 mt 6  Sqmm copper PVC insulated unsheathed S.C. cable part E-2 -e</t>
  </si>
  <si>
    <t>4 X 4 Sq mm in fully concealed PVC conduit (open wiring)</t>
  </si>
  <si>
    <t>Add 180 mt 4  Sqmm copper PVC insulated unsheathed S.C. cable part E-2 -e</t>
  </si>
  <si>
    <r>
      <rPr>
        <b/>
        <sz val="12"/>
        <rFont val="Arial"/>
        <family val="2"/>
      </rPr>
      <t>FRENCH WINDOW</t>
    </r>
    <r>
      <rPr>
        <sz val="12"/>
        <rFont val="Arial"/>
        <family val="2"/>
      </rPr>
      <t xml:space="preserve"> FOR DOOR OF SIZE</t>
    </r>
  </si>
  <si>
    <t>1.80 X 2.0M (3 bay openable )</t>
  </si>
  <si>
    <t>SHUTTER</t>
  </si>
  <si>
    <t>TW scantling styles (upto 2M) -3X2X1.90X0.075 x 0.0375</t>
  </si>
  <si>
    <t>TW scantling rails (above 2 M) -3X2X0.50X0.075 x 0.0375</t>
  </si>
  <si>
    <t>3X1.90X0.50</t>
  </si>
  <si>
    <t>4 MM THICK PIN HEADED GLASS</t>
  </si>
  <si>
    <t>3X1.775X0.375</t>
  </si>
  <si>
    <t>TW Decorative Beeding ( 15 x 12mm )</t>
  </si>
  <si>
    <t>3 [ 2 (1.775 + 0.375)]</t>
  </si>
  <si>
    <t xml:space="preserve">Main Data </t>
  </si>
  <si>
    <t>FOR Shutter</t>
  </si>
  <si>
    <t>T.W SCANTLING  upto 2M LONG</t>
  </si>
  <si>
    <t>TW  Beeding ( 15 x 12mm )</t>
  </si>
  <si>
    <t>Brass scrwew</t>
  </si>
  <si>
    <t xml:space="preserve">Total For 2.850 Sqm </t>
  </si>
  <si>
    <t>Aluminium window openable 1.80 x 1.65 m =2.97m2</t>
  </si>
  <si>
    <t>FRENCH WINDOW Reference Data Nagapattinam Ar Ph-XIX  CER 224-2012-2013</t>
  </si>
  <si>
    <t>RATE  FOR   EACH</t>
  </si>
  <si>
    <t xml:space="preserve"> MS ventilator of size  1200 x 800 mm
</t>
  </si>
  <si>
    <t xml:space="preserve"> MS ventilator of size  1200 x 600 mm
</t>
  </si>
  <si>
    <t>a. 1.35 x 0.60 mt ventilators</t>
  </si>
  <si>
    <t>a. 1000X2100mm.(Single leaf) For Qtrs</t>
  </si>
  <si>
    <t xml:space="preserve">a. 1200X2100mm.(Single leaf)  Four horizontal Panel
</t>
  </si>
  <si>
    <t>TW double leaves shutter  with Brass Fittings</t>
  </si>
  <si>
    <t>TW styles &amp; rails with 9mm thick BWR single leaf shutters  with brass screws size of 750 x 2100 mm</t>
  </si>
  <si>
    <t>BWR   single leaf</t>
  </si>
  <si>
    <t>TOTAL FOR 1.845SQM</t>
  </si>
  <si>
    <t>Supplying and filling stone dust</t>
  </si>
  <si>
    <t>P.C.C. 1:4:8 using 40 mm broken brick jelly</t>
  </si>
  <si>
    <t>P.C.C. 1:3:6  for foundation &amp; basement using 20mm metal</t>
  </si>
  <si>
    <t xml:space="preserve">RCC door </t>
  </si>
  <si>
    <t>S&amp;F OF UPVC  Windows ( Non  Schedule item )</t>
  </si>
  <si>
    <t>Supplying and fixing of 200 Amps metal clad switch with rewirable fuse units, (Revised PWD SR 18-19Pg.no.80 it-J Part c)</t>
  </si>
  <si>
    <t>a) door size 1.80 m x 2.40 (Double leaf)</t>
  </si>
  <si>
    <t>c) door size 1.50 m x 2.40 (Double leaf)</t>
  </si>
  <si>
    <t>e). door size 1.200 m x 2.400 (double Leaf)</t>
  </si>
  <si>
    <t>g).  door size 1.000 m x 2.100 (Single Leaf)</t>
  </si>
  <si>
    <t>h).  door size 1.00 m x 2.400 (Single Leaf)</t>
  </si>
  <si>
    <t>i.  door size 0.900 m x 2.100 (Single Leaf)</t>
  </si>
  <si>
    <t>PWD SR For the year 2018-19</t>
  </si>
  <si>
    <t>Aluminium sliding window Two track size 1.20x1.35m</t>
  </si>
  <si>
    <t>Die No.1</t>
  </si>
  <si>
    <t>4605 @ 1.558 Kg/m</t>
  </si>
  <si>
    <t>Frame Horizondal (Top)</t>
  </si>
  <si>
    <t>1x1x1.20x1.558</t>
  </si>
  <si>
    <t>Die No.2</t>
  </si>
  <si>
    <t>8774 @ 0.695 Kg/m</t>
  </si>
  <si>
    <t>Frame Vertical (Two side)</t>
  </si>
  <si>
    <t>1x2x1.35x0.695</t>
  </si>
  <si>
    <t>Die No.3</t>
  </si>
  <si>
    <t>8775 @ 1.088 Kg/m</t>
  </si>
  <si>
    <t>Frame Horizondal (bottom)</t>
  </si>
  <si>
    <t>1x1x1.2x1.088</t>
  </si>
  <si>
    <t>Die No.4</t>
  </si>
  <si>
    <t>8790 @ 0.605 Kg/m</t>
  </si>
  <si>
    <t>Middle shutter vertical frame</t>
  </si>
  <si>
    <t>1x2x1.25x0.605</t>
  </si>
  <si>
    <t>Die No.5</t>
  </si>
  <si>
    <t>8791 @ 0.488 Kg/m</t>
  </si>
  <si>
    <t>End shutter vertical frame</t>
  </si>
  <si>
    <t>1x2x1.25x0.488</t>
  </si>
  <si>
    <t>8792 @ 0.355 Kg/m</t>
  </si>
  <si>
    <t>Shutter top &amp; Bottom</t>
  </si>
  <si>
    <t>2x2x0.55x0.355</t>
  </si>
  <si>
    <t>Wastage 10%</t>
  </si>
  <si>
    <t>I</t>
  </si>
  <si>
    <t>5.5mm thick plain glass</t>
  </si>
  <si>
    <t>For shutter</t>
  </si>
  <si>
    <t>1x2x0.55x1.25</t>
  </si>
  <si>
    <r>
      <t>m</t>
    </r>
    <r>
      <rPr>
        <vertAlign val="superscript"/>
        <sz val="11"/>
        <color indexed="8"/>
        <rFont val="Calibri"/>
        <family val="2"/>
      </rPr>
      <t>2</t>
    </r>
  </si>
  <si>
    <t>II</t>
  </si>
  <si>
    <t>1x2x2x3.6</t>
  </si>
  <si>
    <t>III</t>
  </si>
  <si>
    <t>Total area</t>
  </si>
  <si>
    <t>1.20x1.35</t>
  </si>
  <si>
    <t>Aluminium 15 microns anodised</t>
  </si>
  <si>
    <t>Plain 5.5mm thick glass</t>
  </si>
  <si>
    <t>push botton handle</t>
  </si>
  <si>
    <t>PVC Roller for sliding window</t>
  </si>
  <si>
    <t>TOTAL FOR 1.62 SQM</t>
  </si>
  <si>
    <t>Say Rs. Rate Per m2</t>
  </si>
  <si>
    <t>SUB DATA</t>
  </si>
  <si>
    <r>
      <t xml:space="preserve">FITTER  </t>
    </r>
    <r>
      <rPr>
        <b/>
        <sz val="12"/>
        <rFont val="Helv"/>
      </rPr>
      <t>Ist CLASS</t>
    </r>
  </si>
  <si>
    <r>
      <t xml:space="preserve">MAZDOOR  </t>
    </r>
    <r>
      <rPr>
        <b/>
        <sz val="12"/>
        <rFont val="Helv"/>
      </rPr>
      <t>Ist CLASS</t>
    </r>
  </si>
  <si>
    <r>
      <t>CARPENTER</t>
    </r>
    <r>
      <rPr>
        <b/>
        <sz val="12"/>
        <rFont val="Helv"/>
      </rPr>
      <t xml:space="preserve"> II CLASS</t>
    </r>
  </si>
  <si>
    <t>Aluminium sliding window Two track size 2.40x1.05m</t>
  </si>
  <si>
    <t>1x2x2.4x1.558</t>
  </si>
  <si>
    <t>1x4x1.05x0.695</t>
  </si>
  <si>
    <t>1x1x2.4x1.088</t>
  </si>
  <si>
    <t>1x4x0.95x0.605</t>
  </si>
  <si>
    <t>1x4x0.95x0.488</t>
  </si>
  <si>
    <t>2x4x0.55x0.355</t>
  </si>
  <si>
    <t>1x4x0.55x0.95</t>
  </si>
  <si>
    <t>1x2x4x3.3</t>
  </si>
  <si>
    <t>2.40x1.05</t>
  </si>
  <si>
    <t>Aluminium sliding window Two track size 0.90x1.35m</t>
  </si>
  <si>
    <t>1x1x0.90x1.558</t>
  </si>
  <si>
    <t>1x1x0.9x1.088</t>
  </si>
  <si>
    <t>2x2x0.45x0.355</t>
  </si>
  <si>
    <t>1x2x0.45x1.25</t>
  </si>
  <si>
    <t>1x2x2x3.4</t>
  </si>
  <si>
    <t>0.90x1.35</t>
  </si>
  <si>
    <t>TOTAL FOR 1.22 SQM</t>
  </si>
  <si>
    <t>Aluminium sliding window Two track size 2.4x1.80m</t>
  </si>
  <si>
    <t>1x2x1.80x0.695</t>
  </si>
  <si>
    <t>Frame Vertical (middle)</t>
  </si>
  <si>
    <t>1x2x1.2x0.695</t>
  </si>
  <si>
    <t>1x4x1.10x0.605</t>
  </si>
  <si>
    <t>1x4x1.10x0.488</t>
  </si>
  <si>
    <t>Die No.6</t>
  </si>
  <si>
    <t>1x4x0.55x1.10</t>
  </si>
  <si>
    <t>For portion</t>
  </si>
  <si>
    <t>1x1x2.3x0.6</t>
  </si>
  <si>
    <r>
      <t>m</t>
    </r>
    <r>
      <rPr>
        <b/>
        <vertAlign val="superscript"/>
        <sz val="11"/>
        <color indexed="8"/>
        <rFont val="Calibri"/>
        <family val="2"/>
      </rPr>
      <t>2</t>
    </r>
  </si>
  <si>
    <t>1x2x4x3.30</t>
  </si>
  <si>
    <t>1x2x1x5.8</t>
  </si>
  <si>
    <t>2.4x1.8</t>
  </si>
  <si>
    <t>TOTAL FOR 4.32 SQM</t>
  </si>
  <si>
    <t xml:space="preserve">Frame Vertical  </t>
  </si>
  <si>
    <t>1x2x0.6</t>
  </si>
  <si>
    <t xml:space="preserve">Frame Horizondal </t>
  </si>
  <si>
    <t>1x2x0.90</t>
  </si>
  <si>
    <t>3x1.558Kgs</t>
  </si>
  <si>
    <t>Glass area</t>
  </si>
  <si>
    <t>0.90x0.6</t>
  </si>
  <si>
    <t>m2</t>
  </si>
  <si>
    <t>0.9x0.6</t>
  </si>
  <si>
    <t>Aluminium Louvered Ventilator 0.90x0.60m</t>
  </si>
  <si>
    <t>TOTAL FOR 0.54 SQM</t>
  </si>
  <si>
    <t>a. 1.20x1.35m (Two track )</t>
  </si>
  <si>
    <t>b. 2.40x1.80m (Two track)</t>
  </si>
  <si>
    <t>c. 2.40x1.05m (Two track)</t>
  </si>
  <si>
    <t>d. 0.90x1.35m (Two track)</t>
  </si>
  <si>
    <t>Bored cast sit piles installation of vertical cast in Situ Bored piles of following dia using Standardised concrete  mix M20 Grade) as per nagapattinam data</t>
  </si>
  <si>
    <t>Chipping of RCC pile head to the required cut of level and clearing way debries with an average lead of 3 km entirely with city limits M20 Grade</t>
  </si>
  <si>
    <t>Bored cast sit piles installation of vertical cast in Situ Bored piles of following dia using Standardised concrete  mix M30 Grade) as per nagapattinam data For Coastal area</t>
  </si>
  <si>
    <t xml:space="preserve"> SP PERAMBALUR</t>
  </si>
  <si>
    <t>2.10 X 2.0M (3 bay openable )</t>
  </si>
  <si>
    <t>TW scantling styles (upto 2M) -3X2X1.90 X 0.075 x 0.0375</t>
  </si>
  <si>
    <t>TW scantling rails(above 2 M) -3X2X0.60X0.075 x 0.0375</t>
  </si>
  <si>
    <t>3X1.90X0.60</t>
  </si>
  <si>
    <t>3X1.775X0.475</t>
  </si>
  <si>
    <t>3 [ 2 (1.775 + 0.475)]</t>
  </si>
  <si>
    <t xml:space="preserve">Total For 3.420 Sqm </t>
  </si>
  <si>
    <t>1.20 X 2.0M (2 bay openable )</t>
  </si>
  <si>
    <t>TW scantling styles (upto 2M) -2X2X1.90 X 0.075 x 0.0375</t>
  </si>
  <si>
    <t>TW scantling rails(above 2 M) -2X2x 0.50X0.075 x 0.0375</t>
  </si>
  <si>
    <t>2X1.90X0.50</t>
  </si>
  <si>
    <t>2X1.775X0.375</t>
  </si>
  <si>
    <t>TW Beeding ( 15 x 12mm )</t>
  </si>
  <si>
    <t>2 [ 2 (1.775 + 0.375)]</t>
  </si>
  <si>
    <t xml:space="preserve">Total For 1.90 Sqm </t>
  </si>
  <si>
    <t>0.75 X 2.0M (Single bay openable )</t>
  </si>
  <si>
    <t>TW scantling styles (upto 2M) -1X2X1.90 X 0.075 x 0.0375</t>
  </si>
  <si>
    <t>TW scantling rails(above 2 M) -1X2 x 0.65X0.075 x 0.0375</t>
  </si>
  <si>
    <t>1X1.90X0.65</t>
  </si>
  <si>
    <t>1X1.775X0.525</t>
  </si>
  <si>
    <t>1 [ 2 (1.775 + 0.525)]</t>
  </si>
  <si>
    <t xml:space="preserve">Total For 1.235 Sqm </t>
  </si>
  <si>
    <t>0.57 X 2.0M (Single bay openable )</t>
  </si>
  <si>
    <t>TW scantling rails(above 2 M) -1X2 x 0.47X0.075 x 0.0375</t>
  </si>
  <si>
    <t>1X1.90X0.47</t>
  </si>
  <si>
    <t>1X1.775X0.345</t>
  </si>
  <si>
    <t>1 [ 2 (1.775 + 0.345)]</t>
  </si>
  <si>
    <t xml:space="preserve">Total For 0.893 Sqm </t>
  </si>
  <si>
    <t>T.W SCANTLING  below 2M LONG</t>
  </si>
  <si>
    <t>LABOUR FOR WROUGHT&amp;PUTUP ( p-31 it -146</t>
  </si>
  <si>
    <t>KW 1.20 x 1.05 m (Two leaves)</t>
  </si>
  <si>
    <t>Aluminium window openable 1.80 x 1.65 m =2.97m2 FRENCH WINDOW (Reference Data Nagapattinam AR - Ph-xix</t>
  </si>
  <si>
    <t>FW 1.80 x 1.65 m ( Eight Leaves)</t>
  </si>
  <si>
    <t>1.50 x 1.35 mt.window  (three leaves)</t>
  </si>
  <si>
    <t xml:space="preserve"> 0.75 x 1.35 mt.window  ( single leaf)</t>
  </si>
  <si>
    <t xml:space="preserve">Aluminium window openable 1.35x1.35m (Two leaves)Cochin House </t>
  </si>
  <si>
    <t>1.80 x 1.35 mt.window (Three leaves)</t>
  </si>
  <si>
    <t>T.W.DOUBLE LEAF  PANELLED</t>
  </si>
  <si>
    <r>
      <t xml:space="preserve">DOOR SHUTTER WITH </t>
    </r>
    <r>
      <rPr>
        <b/>
        <sz val="12"/>
        <rFont val="Arial"/>
        <family val="2"/>
      </rPr>
      <t>FRENCH WINDOW</t>
    </r>
    <r>
      <rPr>
        <sz val="12"/>
        <rFont val="Arial"/>
        <family val="2"/>
      </rPr>
      <t xml:space="preserve"> FOR DOOR OF SIZE</t>
    </r>
  </si>
  <si>
    <t>2400 X 2400MM</t>
  </si>
  <si>
    <t xml:space="preserve">FRAMES                                                                                 </t>
  </si>
  <si>
    <t>TW WROUGHT&amp;PUTUP  UP TO 2 to 3mt</t>
  </si>
  <si>
    <t xml:space="preserve">FOR DOOR OF SIZE 3.0 X2.0m </t>
  </si>
  <si>
    <t xml:space="preserve">VERTICALS (4 X 2 ) 0.15 X 0.15 X2.4     </t>
  </si>
  <si>
    <t xml:space="preserve">For shutters middle </t>
  </si>
  <si>
    <t>HORIZONTAL RAILS = (3x 1) 1.8 x0.15x 0.05 = 0.0405</t>
  </si>
  <si>
    <t>Styles - verticals = ( 6x 1) 0.1x 0.05x 2.15=0.0645</t>
  </si>
  <si>
    <t>For side rails french window =(2x 3) 0.35x 0.15x 0.05=0.0158</t>
  </si>
  <si>
    <t>LABOUR FOR GLASS PANEL WORKSFOR FRENCH WINDOW GLASS AREA=(2X1)0.35X2.15=1.5</t>
  </si>
  <si>
    <t xml:space="preserve">  6 "BRASS HINGS</t>
  </si>
  <si>
    <t>8"BRASS  TOWER BOLT</t>
  </si>
  <si>
    <t>12"  BRASS ALDROP</t>
  </si>
  <si>
    <t xml:space="preserve">12"  BRASS DOOR HANDLE </t>
  </si>
  <si>
    <t xml:space="preserve"> 6" BRASS DOOR STOPPER</t>
  </si>
  <si>
    <t xml:space="preserve">  DOOR CATCHER</t>
  </si>
  <si>
    <t>ADD LS for Special item for forming etc:</t>
  </si>
  <si>
    <t>TOP &amp; BOTTOM (2 X2 )   3.X 0.15X 0.15</t>
  </si>
  <si>
    <t xml:space="preserve">Styles 2 to 3 mt long </t>
  </si>
  <si>
    <t>LABOUR CHARGES FOR DOOR SHUUTERS=1.85 x2.15=3.98  m2</t>
  </si>
  <si>
    <r>
      <t xml:space="preserve"> </t>
    </r>
    <r>
      <rPr>
        <b/>
        <u/>
        <sz val="12"/>
        <rFont val="Arial"/>
        <family val="2"/>
      </rPr>
      <t xml:space="preserve">TW PLANKS 30 TO 45 cm WIDE 12 TO 25MM Thk </t>
    </r>
    <r>
      <rPr>
        <sz val="12"/>
        <rFont val="Arial"/>
        <family val="2"/>
      </rPr>
      <t xml:space="preserve">   MIDDLE SHUTTERS = ( 8 x10 0.815 x 0.35x 0.01875 m3</t>
    </r>
  </si>
  <si>
    <t>ORNAMENTAL GROOVES v =(6X2+3X1.8)=17.4 m</t>
  </si>
  <si>
    <t xml:space="preserve"> Supply of 5.5 MM THICK PLAIN GLASS</t>
  </si>
  <si>
    <t>5.5 MM THICK PLAIN GLASS for French window  Bottom = ( 2 x1 ) 0.35 x0.4 =0.28 m2</t>
  </si>
  <si>
    <t xml:space="preserve"> Add LS  for special item for forming etc</t>
  </si>
  <si>
    <t>5.5 MM THICK PLAIN GLASS for French window top = ( 2 x1 ) 0.35 x1.4 =0.98 m2 ( SR 18-19 it- 107 p-45)</t>
  </si>
  <si>
    <t>T.W. REEPER FOR GLASS WINDOW 50mm x 12 mm(2X2X2+2X4X0.35)=9.8( SR 18-19 it- 126 p-20)</t>
  </si>
  <si>
    <t>Crushed Stone SAND FOR MORTAR sl.98/58C p20</t>
  </si>
  <si>
    <t>SAND FOR MORTAR sl.100  p20</t>
  </si>
  <si>
    <t>SLACKED &amp;SREENED LIME STONE sl107/67</t>
  </si>
  <si>
    <t>C.W SCANTLING UPTO 4M LONG p-21 it-127</t>
  </si>
  <si>
    <t>T.W SCANTLING 2M TO 3M LONG 112/73 p-21</t>
  </si>
  <si>
    <t>T.W.SCANTLING BELOW 2M LONG 113/74 p-21</t>
  </si>
  <si>
    <t>T.W.PLANKS 15TO30cm WIDTH &amp; 12to25mm Thick it-119 p-21</t>
  </si>
  <si>
    <t>MOSAIC TILES GRAY 25X25X2cm.it-30 p-17</t>
  </si>
  <si>
    <t>6mmto 10mm HBG metal p-19 it-83+84/2</t>
  </si>
  <si>
    <t>LIFT CHARGES FOR B.W IN G.F  * it-94 p-29</t>
  </si>
  <si>
    <t>LIFT CHARGES FOR CONCRETE IN G.F  *it-92 p-29</t>
  </si>
  <si>
    <t>LABOUR CHARGES FOR SPREADING  bull dozer p27 / Item68/78a</t>
  </si>
  <si>
    <t>G.I. ELBOWp-51 S.No.119/ it-b</t>
  </si>
  <si>
    <t>G.I. UNIONp-51 it-A</t>
  </si>
  <si>
    <t>G.I. TEE p-51 it-D</t>
  </si>
  <si>
    <t>G.I.HEX NIPPLEp-53 it-I</t>
  </si>
  <si>
    <t>SCRAPING THE OLD PLASTER SURFACE * p30/108/338</t>
  </si>
  <si>
    <t>WASHING PLASTERED AREA WITH SOAP&amp;SODA WATER *p30/109/339</t>
  </si>
  <si>
    <t>EVERITE CLAMP IRON CLAMP P-59 (Sl.No.212) (Special clamp)</t>
  </si>
  <si>
    <t>BRASS HEX NIPPLE15mm DIA</t>
  </si>
  <si>
    <t>BRASS HEX NIPPLE 20mm DIA</t>
  </si>
  <si>
    <t xml:space="preserve">P.V.C. SOIL BEND W.O.D 110mm DIA p-102 it F by pasting </t>
  </si>
  <si>
    <t xml:space="preserve">P.V.C. SOIL YEE 110mm DIA it-G p-103 by pasting </t>
  </si>
  <si>
    <t>P.V.C. SOIL YEEWITH DOOR 110mm DIA it-H p-103 single</t>
  </si>
  <si>
    <t>P.V.C. SOIL TEE WITH DOOR  110mm DIA (single) it-D P-102</t>
  </si>
  <si>
    <t>P.V.C. SOIL TEE 110mm DIA it C P-102</t>
  </si>
  <si>
    <t>P.V.C. SOIL SLOTTED COWL 110mm DIA it-N P-104</t>
  </si>
  <si>
    <t>Kg p 44/76</t>
  </si>
  <si>
    <t>CUTTING CHARGE OF PVC pipe20mm,25mm / 32 mm dia ( p-32 )</t>
  </si>
  <si>
    <t>p50 118/vi</t>
  </si>
  <si>
    <t>S/F OF BULKHEAD FITTING SUITABLE FOR 100/60W p114 i25</t>
  </si>
  <si>
    <t>WIRE MAN GR-I p-11 it-13</t>
  </si>
  <si>
    <t>Electrical HELPERp-15 it-100</t>
  </si>
  <si>
    <t>CUTTING CHARGE OF PVC pipe32mm p-32 it-129</t>
  </si>
  <si>
    <t xml:space="preserve"> ORNAMENTAL; HANDLE WITH SCREWS(100mm)p46 it-98c </t>
  </si>
  <si>
    <t>PVC RIGID CONDUIT PIPE 19M/20MM HEAVY DUTY WITH ISI P -127/ part  I 1b</t>
  </si>
  <si>
    <t>Thorouh scrapping (p-31 slno.112)</t>
  </si>
  <si>
    <t>Labour for Wrought &amp; Putup p33/156b</t>
  </si>
  <si>
    <t>Labour for Wrought &amp; Putup p33/156a</t>
  </si>
  <si>
    <t>Wash Hand Basin of size 550 x 400 mm with all accessories such as CI brackets, 32mm dia CP waste coupling, Rubber plug and chain, 32mm dia B class GI waste pipe, 15mm dia brass nipples. 15mm CP pillar tap etc.,P-55 it-169 -i</t>
  </si>
  <si>
    <t>rubber beeding P-45/81</t>
  </si>
  <si>
    <t>hinges 75mm x 30 mm P-45/94 b</t>
  </si>
  <si>
    <t>PVC end cap 32mm dia (p-100 E-d)</t>
  </si>
  <si>
    <t>PVC Tee 32mm dia (p-100 D-d)</t>
  </si>
  <si>
    <t>LABOUR FOR WROUGHT&amp;PUTUP p33 sl.146 /4</t>
  </si>
  <si>
    <t>TNHB ELECTRICAL DATA 2019-2020</t>
  </si>
  <si>
    <t>1.5 sqmm copper PVC insulated unsheathed single core cable (P-123 it-2/b)</t>
  </si>
  <si>
    <t>MS box  150 x 100 x 75 mm p-125 vi-b pat -f</t>
  </si>
  <si>
    <t>3 mm thick laminated Hylem sheet p-128 it-7a part-I</t>
  </si>
  <si>
    <t>4 sqmm copper PVC insulated unsheathed single core cable,P-123 it-2-d</t>
  </si>
  <si>
    <t>GI pipe 20 mm P-50 ,118-vi</t>
  </si>
  <si>
    <t>15 mm GI pipeP-50 ,118-VII</t>
  </si>
  <si>
    <t>GI reducer 32x25mmP- 52,119 F-iii</t>
  </si>
  <si>
    <t>GI bend 15 mm diaP-51 ,119-c vi</t>
  </si>
  <si>
    <t>15 mm GI coupling P- 51,119-E vi</t>
  </si>
  <si>
    <t>Bricks p16/ 5a</t>
  </si>
  <si>
    <t>20 mm dia 'B' class GI pipe p- 50 it-142 iv</t>
  </si>
  <si>
    <t>Brass screws 40mm p 130 L 1c</t>
  </si>
  <si>
    <t>6 sqmm copper PVC insulated unsheathed single core cable p 123 , 2  part -E</t>
  </si>
  <si>
    <t>11th</t>
  </si>
  <si>
    <t>i8</t>
  </si>
  <si>
    <t>2020-21</t>
  </si>
  <si>
    <t>4' 18w crystal glass LED tube light</t>
  </si>
  <si>
    <t>Standardised concrete Mix M25 Grade Concrete</t>
  </si>
  <si>
    <t xml:space="preserve">  DATA 2020-2021</t>
  </si>
  <si>
    <t>Volume of Concrete = 3.14 /4 x 0.75 x 0.75  x 8  =   3.53 m3</t>
  </si>
  <si>
    <t>Setting of Bored cast-in-situ pile equipments with all accessories and tools at each of locations based on the 750 mm dia pile using M30</t>
  </si>
  <si>
    <t>Volume of Concrete = 3.14/4 x 0.75  x 0.75  x 1 km =0.442 m3</t>
  </si>
  <si>
    <t>Volume of Concrete = 3.14 /4 x 0.6 x 0.6  x 8  =   2.26 m3</t>
  </si>
  <si>
    <t xml:space="preserve"> 600mm Dia pipe</t>
  </si>
  <si>
    <t>Volume of Concrete = 3.14/4 x 0.6  x 0.6  x 1 km =0.28m3</t>
  </si>
  <si>
    <t>Flush door shutter size 900x2400 ( Single leaf)</t>
  </si>
  <si>
    <t>Shutter size (0.8 x 2.325)</t>
  </si>
  <si>
    <t>Rate for 1.86 Sqm</t>
  </si>
  <si>
    <t>Shutter size (0.8 x 2.025)</t>
  </si>
  <si>
    <t>shutter size =1.1 x 2.025 =</t>
  </si>
  <si>
    <t>Mazdoor Ist class</t>
  </si>
  <si>
    <t>Maz  Ist</t>
  </si>
  <si>
    <t>WATER TIGHT BULK HEAD FITTING suitable for 12W LED bulb</t>
  </si>
  <si>
    <t>16 Amps double pole main switch with fuse and neutral link [SD 143]</t>
  </si>
  <si>
    <t>TW board of size 31x20x6 cm with brass hinge screw hooks well varnished (as per PWD Elec. Data SD 141)</t>
  </si>
  <si>
    <t>T.W board of size 31 x 20x 6 cm with well varnished [SD 141]</t>
  </si>
  <si>
    <t>16 Amps triple pole main switch with fuse and neutral link [SD 161]</t>
  </si>
  <si>
    <t>TW board of size 46 x31 x 6 cm with brass hinges hooks screws  well varnished [SD 149]</t>
  </si>
  <si>
    <t>7/20 GI stay wire [SD 64]</t>
  </si>
  <si>
    <t>Labour charges 1.5 times dataNo 37</t>
  </si>
  <si>
    <t>TW plank 600 x 225 x 20 mm</t>
  </si>
  <si>
    <t>Base plate 45 cm x45 cm x 6mm thick [SD 98]</t>
  </si>
  <si>
    <t>conrete 1:2:4 using 20 mm HBSJ ( 0.45 x 1.5 mt) Appx.</t>
  </si>
  <si>
    <t>Exhaust fan of 300 mm  dia ( 12 ") sweep   [SD 114]</t>
  </si>
  <si>
    <t>Charges for fixing  (as per Data 22 )</t>
  </si>
  <si>
    <t>Deduct cost of TW Box 10X10x7.5cm</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</si>
  <si>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controlled by 5 amps flush type switch including citcuit mains, cost of all materials, specials, etc., all complete,(Open wiring)</t>
  </si>
  <si>
    <t>STAIRCASE LIGHT POINT  (Open wiring)</t>
  </si>
  <si>
    <t>FAN POINT (open wiring)</t>
  </si>
  <si>
    <t>TW switch Box 150X100X75mm</t>
  </si>
  <si>
    <t>PVC/TW round block [SR P.129</t>
  </si>
  <si>
    <t>Supply and  Fixing of 25 W  LED street light fitting</t>
  </si>
  <si>
    <t xml:space="preserve">Charges for fixing 25 W LED lamp street light fittings ( all types) in the existing street pole/wall with  required GI pipe 'B' class and accessories </t>
  </si>
  <si>
    <t>25 W LED Street light Fittings</t>
  </si>
  <si>
    <t>MS saddles 19mm p- 131 part- L 3b</t>
  </si>
  <si>
    <t>TW plugs 1.5"X1"X2" SR P.129</t>
  </si>
  <si>
    <t>Teakwood plugs 1.5"x1"x2"</t>
  </si>
  <si>
    <t>MS box  4"X4" mm(5 sided) covered with 3mm thick Hylem sheet [sd 12]</t>
  </si>
  <si>
    <t>MS box  12"X8" mm(5 sided) covered with 3mm thick Hylem sheet [sd 12]</t>
  </si>
  <si>
    <t>Run off mains with 2 wires of 6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</si>
  <si>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Earth work excavation brick work in CM and plastering [SD 234]</t>
  </si>
  <si>
    <t xml:space="preserve">a. 1200X2100mm.(Single leaf)  </t>
  </si>
  <si>
    <t xml:space="preserve">Total Qty.
(Dev)
</t>
  </si>
  <si>
    <t>R.C.C.Door frames of size 100 x 75mm with one edge grooves size 't' x 20 mm using M30 grade ( with out vibrating charges)</t>
  </si>
  <si>
    <t>b. 1000X2100mm  without Brass fittings ( Single leaf)</t>
  </si>
  <si>
    <t>Supplying and laying of 3.5 core 70 sq.mm PVC armoured LTUG cable (below GL) SD-207</t>
  </si>
  <si>
    <t>S &amp; F of Granite tile of size 2'x 1', 10mm Thick For  (jet black)</t>
  </si>
  <si>
    <t>Supply, laying, fixing and jointing the following UPVC pipes as per ASTM D-1785 of schedule</t>
  </si>
  <si>
    <t>a. 40mm dia UPVC pipes (below Ground level)</t>
  </si>
  <si>
    <t>b. 40mm dia UPVC pipes (above Ground level)</t>
  </si>
  <si>
    <t>Supply and fixing of  Bulk Head fitting suitable for  12W LED Bulb</t>
  </si>
  <si>
    <t>SUPPLYING AND FIXING OF 25MM DIA PVC PIPE FOR TV/TELEPHONE LINE</t>
  </si>
  <si>
    <t>SUPPLY AND FIXING OF LED 4000K 2'X2' SQUARE TYPE RECESSED FITTING</t>
  </si>
  <si>
    <t>LED 4000K 2'X2' SQUARE TYPE RECESSED FITTING</t>
  </si>
  <si>
    <t>CONNECTING LEADS BY 1 SQMM</t>
  </si>
  <si>
    <t>Rmts</t>
  </si>
  <si>
    <t>Add sundries 1%</t>
  </si>
  <si>
    <t>2463.00/3474.00</t>
  </si>
  <si>
    <t>Providing wall panelling using 12mm BWR plywood over 2"x1" aluminium channel to be fixed on wall</t>
  </si>
  <si>
    <t>MS clips</t>
  </si>
  <si>
    <t>12mm thk. BWR plywood board (Qtn)</t>
  </si>
  <si>
    <t xml:space="preserve">Rate For 9.40 Sqm </t>
  </si>
  <si>
    <t>Aluminium section [SR P.44]</t>
  </si>
  <si>
    <t>Spl. Data</t>
  </si>
  <si>
    <t>Supply and fixing of triple pole and neutral 4 way 7 segment 3 tier compartmental type MCB distribution board complete with necessary incomings and outgoings etc.</t>
  </si>
  <si>
    <t>40A DP 10KA MCB [SR P.132]</t>
  </si>
  <si>
    <t>20A SP MCB [SR P.132]</t>
  </si>
  <si>
    <t>Wall cutting, flushing etc vide SD 167</t>
  </si>
  <si>
    <t>Earth connection vide SD 167</t>
  </si>
  <si>
    <t>Add Labour charges vide SD - 159</t>
  </si>
  <si>
    <t>AAC BLOCK PARTITION WALL IN cm 1:4 of size 600 x 200x100mm</t>
  </si>
  <si>
    <t>AAC block 600x200x100 [SR P.71]</t>
  </si>
  <si>
    <t>TOTAL FOR 10.71 Sqm</t>
  </si>
  <si>
    <t>Standardised concrete mix M25</t>
  </si>
  <si>
    <t>Main Building</t>
  </si>
  <si>
    <t>Concrete Road</t>
  </si>
  <si>
    <t>f. In Fifth Floor</t>
  </si>
  <si>
    <t>Precast Cupboard slab 20 mm tk.using standardised concrete mix M25 (annexure)</t>
  </si>
  <si>
    <t>Precast cupboard slab 40 mm tkusing standardised concrete mix M25 (annexure)</t>
  </si>
  <si>
    <t xml:space="preserve">Providing one coat of Wallputty for new plastered surface </t>
  </si>
  <si>
    <t>g.In fifth floor</t>
  </si>
  <si>
    <t>Wash Hand  Basin of size 550 x 400 mm
(White without Pedestal)</t>
  </si>
  <si>
    <t>b. 300mm x 300mm</t>
  </si>
  <si>
    <t>ELECTRICAL ARRANGEMENTS</t>
  </si>
  <si>
    <t>Supply and fixing of 4' 18 watts  LED  Tube Light</t>
  </si>
  <si>
    <t>Supply and delivery at site and fixing of SFRC manhole cover with frame with locking arrangement</t>
  </si>
  <si>
    <t>b. 160 mm dia PVC Equal tee (TWAD SR 20-21 )</t>
  </si>
  <si>
    <t>Glazed tiles using Grout (Tile Joint Filler), C.M 1:2, 10mm tk</t>
  </si>
  <si>
    <t>Providing Shahabad stone flooring, C.M 1:3, 20mm tk</t>
  </si>
  <si>
    <t>S &amp; F of Granite slab of size 4'x2', 18 to 20mm Thick For kitchen arrangements (jet black) C.M 1:3, 20mm tk</t>
  </si>
  <si>
    <t>Providing Rajasthan kota stone flooring, C.M 1:3, 20mm tk</t>
  </si>
  <si>
    <t>Supplying and laying Granite slab flooring in 
cm 1:3,20mm tk using sathali steel/ grey for Staircase steps</t>
  </si>
  <si>
    <t>a. In Foundation and Basement</t>
  </si>
  <si>
    <t>Supply and fixing of Granite tiles Jet black C.M 1:2, 10mm tk for Staircase wall portion</t>
  </si>
  <si>
    <t>Rate using [C.S Sand]</t>
  </si>
  <si>
    <t>Filling C.S. sand</t>
  </si>
  <si>
    <t>Ornamental TW double leaves panelled door shutter of size 2000 x 2400mm with 8mm tk sand blasting Glass</t>
  </si>
  <si>
    <t>Supplying and fixing of Teak Wood wrought and put up for frames  of doors,including cost of 8mm Thk Sand blasted Glass, Ornamental Design beadings,6" Brass Hinges, 8" Brass Handle,8" Tower Bolt, Brass aldrop, Brass Door  topper including the cost of Melamine polish with necessary plugs, rebates for shutters, plaster grooves on all faces etc. , including labour charges for fixing hold fasts, complying with relevant standard specifications etc., in all respects</t>
  </si>
  <si>
    <t>Antiskid Nano Polish Vitrified Flooring with 1st Quality homogeneous tiles in C.M 1:4 incl. pointing with Latricrete or Equivalent make Epoxy Stain Free (SP-100) grout with spacers (min.2mm)</t>
  </si>
  <si>
    <t>Supply and Laying of Nano Polish Virtified tile Flooring with 1st Quality homogeneous tiles in C.M 1:3 20mm Thick incl. pointing with Latricrete or Equivalent make Epoxy Stain Free (SP-100) grout</t>
  </si>
  <si>
    <t xml:space="preserve">Supplying and fixing of Solid Core Flush shutters with ommercial ply on both side with teakwook lipping alround 35mm thick, Alround fully Teak wood Beading 35mm x 12mm, 125mm x 30mm  butt hinges - 3 No's, 150mm x 12mm Tower bolt - 2 No's, 5" Aldrop -1 No, 'D' type Handle 100mm - 2 No's,Rubber Bush - 40mm dia and 60mm long with required screws - 1 No etc </t>
  </si>
  <si>
    <t>rmt</t>
  </si>
  <si>
    <t xml:space="preserve">b. Stilt / Ground Floor  </t>
  </si>
  <si>
    <t>Plastic Emulsion PAINT including primer for outer walls (Two coat)</t>
  </si>
  <si>
    <t>Supply and Laying of Granite tile of 10mm thk (wall Cladding ) in C.M 1:2 Incl. Cost of Materials, Labours etc., all Including (Ruby Red) for lift potion</t>
  </si>
  <si>
    <t>f). door size 1.200m x 2.100 (single leaf)</t>
  </si>
  <si>
    <t>b) door size 1.80 m x 2.10 (Double leaves)</t>
  </si>
  <si>
    <t>d).  door size 1.50 m x 2.100 (Double leaves)</t>
  </si>
  <si>
    <t>i.  door size 0.750 m x 2.100 (Single Leaf)</t>
  </si>
  <si>
    <t>Finshing the top of Terrace floor with one course of solar reflective Ceramic tiles with base concrete</t>
  </si>
  <si>
    <t>Supply and fixing in posistion of 2 ply and four pronged ( Galvanised) 10 guage (barbed wire)</t>
  </si>
  <si>
    <t>Wiring with 1.5 sqmm PVC insulated single core multi strand fire retardant flexible copper cable with ISI mark confirming IS: 694:1990.( Modular)</t>
  </si>
  <si>
    <t xml:space="preserve">a. In Stilt / Ground Floor  </t>
  </si>
  <si>
    <t xml:space="preserve">b. In Stilt / Ground Floor  </t>
  </si>
  <si>
    <t>Supply and fixing of 16 amps power plug (Modular) socke with switch</t>
  </si>
  <si>
    <t xml:space="preserve">Painting the  ceiling with one coat Plastic Emulsion PAINT incl. Primer </t>
  </si>
  <si>
    <t xml:space="preserve">5mm thick plain  Glass panels with Aluminium beedings </t>
  </si>
  <si>
    <t>a) 750x2100mm</t>
  </si>
  <si>
    <t>b) 1100x2100mm</t>
  </si>
  <si>
    <t>900X2100mm  without Brass fittings ( Single leaf)</t>
  </si>
  <si>
    <t>TW panelled  single door shutter without brass fittings.</t>
  </si>
  <si>
    <t>c) 1300x2100mm</t>
  </si>
  <si>
    <t xml:space="preserve">Providing teakwood glazed french window shutters and 5.5mm thick plain glass for panels including labour charges and cost of furniture fittings as per schedule ‘E and directed by the departmental officers. </t>
  </si>
  <si>
    <t>2020-2021</t>
  </si>
  <si>
    <t>Rest room Cupboard - Men</t>
  </si>
  <si>
    <t>SHUTTER SIZE 3.93 x 2.10 =</t>
  </si>
  <si>
    <t>TW scantling(OVER 2M)</t>
  </si>
  <si>
    <t>Vertical (7 nos) - 1 x 7x 2.1 x 0.075 x0.0375</t>
  </si>
  <si>
    <t>Horizontal (5nos) - 1 x 5 x 3.93 x 0.075 x 0.0375</t>
  </si>
  <si>
    <t xml:space="preserve">TW scantling(below 2M) </t>
  </si>
  <si>
    <t>Shutter -A</t>
  </si>
  <si>
    <t>Vertical  - 2 x 18 x0.6 x 0.075 x 0.0375</t>
  </si>
  <si>
    <t>Horizontal  - 2 x 18 x 0.69 x 0.075 x 0.0375</t>
  </si>
  <si>
    <t>Shutter -B</t>
  </si>
  <si>
    <t>Vertical  - 2 x 6 x0.66 x 0.075 x 0.0375</t>
  </si>
  <si>
    <t>Horizontal  - 2 x 6 x 0.69 x 0.075 x 0.0375</t>
  </si>
  <si>
    <t>Shutter  ( BWR Plywood)</t>
  </si>
  <si>
    <t>Shutter -A - 1 x 18 x 0.54 x 0.45</t>
  </si>
  <si>
    <t>Shutter -B - 1 x 6 x 0.54 x 0.51</t>
  </si>
  <si>
    <t>Shutter area      -1X1X3.78X1.95=7.37 m2</t>
  </si>
  <si>
    <t xml:space="preserve"> 3" ALU BUTT HINGES - 18 x 2</t>
  </si>
  <si>
    <t xml:space="preserve"> ORNAMENTAL; HANDLE - 18 x1</t>
  </si>
  <si>
    <t>Enamel Paint - 3.93 x 2.60 x 2.10</t>
  </si>
  <si>
    <t>9mm thick BWR Ply wood</t>
  </si>
  <si>
    <t xml:space="preserve">LOCKS &amp;KEY </t>
  </si>
  <si>
    <t>Two coat of enamel paint</t>
  </si>
  <si>
    <t>Providing Rain Water Harvesting well ring circular shape of 90cm dia, 60cm depth,50mm thick using m20 grade concrete including steel fabrication.</t>
  </si>
  <si>
    <t>M20 grade concrete</t>
  </si>
  <si>
    <t>Steel fabrication</t>
  </si>
  <si>
    <t>Providing Rain Water Harvesting well ring circular shape of 90cm dia, 60cm depth,50mm thick using m30 grade concrete including steel fabrication.</t>
  </si>
  <si>
    <t>M30 grade concrete</t>
  </si>
  <si>
    <t>Teynampet</t>
  </si>
  <si>
    <t>Front and back   5'x 4' x 2            = 40 sq.ft.</t>
  </si>
  <si>
    <t>Top and bottom  5'x 1.5' x 2           = 15.0sq.ft.</t>
  </si>
  <si>
    <t>Two side between Switches and cable chamber</t>
  </si>
  <si>
    <t>4' x 1.5' x 4= 24.00 Sqft</t>
  </si>
  <si>
    <t>Between Switches 1.5' x 1.5' x5              = 11.25 sq.ft.</t>
  </si>
  <si>
    <t>90.25 Sqft</t>
  </si>
  <si>
    <t xml:space="preserve">100.00 Sqft </t>
  </si>
  <si>
    <t>In Kg 90.25x 1.17 kg/sqft =105.59 Say = 105.60 Kg</t>
  </si>
  <si>
    <t>Cost of MS sheet Part -23 SR -2020-2021</t>
  </si>
  <si>
    <t xml:space="preserve">1.5' x 2 x2                                    = 6 kgm        </t>
  </si>
  <si>
    <t>Angle size - 38 x 38 x 6mm</t>
  </si>
  <si>
    <t xml:space="preserve">Total angle iron required=(5' x 4)+(4' x 4)= 36' = 10.8m
</t>
  </si>
  <si>
    <t>10.80 x 3.25 = 35.10 kgm</t>
  </si>
  <si>
    <t>Total steel required  = 35.10+6 =41.10 kg</t>
  </si>
  <si>
    <t xml:space="preserve">Copper bus by 25mm x 3mm copper Flats for phases  and neutral  </t>
  </si>
  <si>
    <t>4.5' x 4x 0.22 =3.96 kgm</t>
  </si>
  <si>
    <t>Earth Bus bar</t>
  </si>
  <si>
    <t>(2 x 5')  + (4' x 4')  =3.96 kgm</t>
  </si>
  <si>
    <t xml:space="preserve">Inter connection between 125A TPN and bus by </t>
  </si>
  <si>
    <t xml:space="preserve">25mm x 3mm copper Flats for phases  and neutral  </t>
  </si>
  <si>
    <t xml:space="preserve">Inter connection between 63 A TPN and bus by no.8 SWG copper </t>
  </si>
  <si>
    <t>2' x 4 x 5 = 40/20 = 2.0 kg</t>
  </si>
  <si>
    <t>Total copper required:3.96+3.96+1.76+2  =11.68 kgm</t>
  </si>
  <si>
    <t>Cost copper  (P-126  Revised SR-2020-2021)</t>
  </si>
  <si>
    <t xml:space="preserve">125A 3 pole MCCB SOR  P-133/2020-21 </t>
  </si>
  <si>
    <t xml:space="preserve">63A TPN SDF HRC fuse SOR  P-119/2020-21 </t>
  </si>
  <si>
    <t xml:space="preserve">Cost of hylum sheet 3mm  5' x 1.5' x 2 =15sqft 15x 0.096 =1.44 sqm (563 x2) for 6mm tk </t>
  </si>
  <si>
    <t>16A fuse unit</t>
  </si>
  <si>
    <t xml:space="preserve">1.5Sqmm Copper cable </t>
  </si>
  <si>
    <t xml:space="preserve">MS Sheet fabrication </t>
  </si>
  <si>
    <t xml:space="preserve">Angle fabrication </t>
  </si>
  <si>
    <t>SDFS/Pilot lamp fixing charge</t>
  </si>
  <si>
    <t>Sqft</t>
  </si>
  <si>
    <t>Paiting with primer and suitable colour</t>
  </si>
  <si>
    <t xml:space="preserve">Sqft </t>
  </si>
  <si>
    <t xml:space="preserve">Lettering Charges </t>
  </si>
  <si>
    <t>Sundries 5%</t>
  </si>
  <si>
    <t xml:space="preserve">Transporting charges </t>
  </si>
  <si>
    <t>Earthing station</t>
  </si>
  <si>
    <t>Based on CER:206/2019-20</t>
  </si>
  <si>
    <t>Length = 3.5ft.       Height =6.5 ft.   Depth = 1.ft.</t>
  </si>
  <si>
    <t>Finshing the top of Terrace floor with one course of solar reflective Ceramic tiles with OUT base concrete</t>
  </si>
  <si>
    <t xml:space="preserve"> 200 A fuse units [SR P.119]</t>
  </si>
  <si>
    <t>6.10 mtrs x 0.6 kg /mtr =3.66 kg</t>
  </si>
  <si>
    <t>3.6' x2+ 6.5' x 2 =20.0 ft  =6.10mtr</t>
  </si>
  <si>
    <t>Total copper required: 3.52 + 1.76kgm+ 2.4kgm +0.2kgm =7.88 kgm</t>
  </si>
  <si>
    <t>2' x 4 x 6 = 48/20 = 2.4 kg</t>
  </si>
  <si>
    <t>4' x 4x .22 =3.52 kgm</t>
  </si>
  <si>
    <t>Total steel required  = 6+ 61.23=67.23  kg</t>
  </si>
  <si>
    <t>18.84 x 3.25 = 61.23kgm</t>
  </si>
  <si>
    <t xml:space="preserve">Total angle iron required=(4.6'x 4 + 6.5' x 4 +4.6' x 4)=62.8 x0.3= 18.84 mtr
</t>
  </si>
  <si>
    <t>1metre = 3.25kgm</t>
  </si>
  <si>
    <t xml:space="preserve">1.5' x 2 x2 = 6 kgm        </t>
  </si>
  <si>
    <t xml:space="preserve">                              Total                =  100.32 sqft</t>
  </si>
  <si>
    <t>Wastage    10%                             =     9.12sqft</t>
  </si>
  <si>
    <t xml:space="preserve">                                                          =    91.2 sqft</t>
  </si>
  <si>
    <t>Two sides           6 .5 x 1. x  2          =    13 sq.ft.</t>
  </si>
  <si>
    <t>DATA - B Panel for 4 services    (  2 in 1 )</t>
  </si>
  <si>
    <t>Vibrat-charges(P.C.C) sl.71/1 p25</t>
  </si>
  <si>
    <t>POLISHING STONE (average of rough, medium, fine) it-56 p-37</t>
  </si>
  <si>
    <t>Earth filling charges sl.46/85 p23</t>
  </si>
  <si>
    <t>E.W.  40/62 p-22</t>
  </si>
  <si>
    <t>Earth work lift for addl 1M p-23 it-45/77</t>
  </si>
  <si>
    <t>E.W (SDR) 41/67 p-23</t>
  </si>
  <si>
    <t>Labour for petty iron worksp-29 it-127/1</t>
  </si>
  <si>
    <t>LIFT CHARGES FOR B.W IN G.F  * it-62/1 p-25</t>
  </si>
  <si>
    <t>LABOUR FOR CUTTING 15mm DIA   * p-26 it-85 pwd</t>
  </si>
  <si>
    <t>LIFT CHARGES FOR CONCRETE IN G.F  *it-60/1 p-24</t>
  </si>
  <si>
    <t>SCRAPING THE OLD PLASTER SURFACE * p26/76/338</t>
  </si>
  <si>
    <t xml:space="preserve">L.C Wrought and put up in Flush shutter </t>
  </si>
  <si>
    <t>HIRE CHARGES FOR   POWER POLISHER -it238/p55</t>
  </si>
  <si>
    <t>LABOUR FOR FIXING WINDOW BARS p-29 it-129</t>
  </si>
  <si>
    <t>E.W.EXCAVATION SS 20B AS PER SR ITEM 61,62 * P-22</t>
  </si>
  <si>
    <t>MIXER OPERATER * p-13 S.No.80/79</t>
  </si>
  <si>
    <t>GRINDING MORTAR * 124/2 p-28</t>
  </si>
  <si>
    <t>RED OXIDE P-37/ it-45</t>
  </si>
  <si>
    <t>BEST GOPALVARNISH REDY MIX (PWD LR) p37 It.52</t>
  </si>
  <si>
    <t>READY MIX PAINT II ND/ IST for wood p-45 sl.145</t>
  </si>
  <si>
    <t>READY MIX PRIMER PAINT sl.144/ p50 wood primer)</t>
  </si>
  <si>
    <t>READY MIX PAINT II ND/ IST for iron it-147 p-45</t>
  </si>
  <si>
    <t>S.W.BEND 150mm DIA p-53 it-208 b</t>
  </si>
  <si>
    <t>CEMENT PAINT / matt paint  p45 s.139 / p37 sl.49</t>
  </si>
  <si>
    <t>GLASS 4mmTHICK p44/136</t>
  </si>
  <si>
    <t>A.C. PIPE 100mm DIA p-38 / it 71</t>
  </si>
  <si>
    <t>A.C.BEND100mm DIAp-38 /73</t>
  </si>
  <si>
    <t>A.C. SHOE 100mm DIAp-38 /72</t>
  </si>
  <si>
    <t>CI GREATINGS 100mm DIA p38 sl.76</t>
  </si>
  <si>
    <t>G.I.SHEET 22G p38 / 66</t>
  </si>
  <si>
    <t>ALU  HINGS 5" (PWD LR) p-40 /101a</t>
  </si>
  <si>
    <t>ALU  HINGS 4" (PWD LR)p-40 /101a</t>
  </si>
  <si>
    <t>ALU  HINGS 3" (PWD LR)p-40 /101a</t>
  </si>
  <si>
    <t>ALU  HINGS 2" (PWD LR)p-40 /101a</t>
  </si>
  <si>
    <t>ALU TOWER BOLT 6"X1/2" (PWD LR) p40 p103e</t>
  </si>
  <si>
    <t>ALU TOWER BOLT 3"X5/10"/4"x5/10"  p40 103g &amp; f</t>
  </si>
  <si>
    <t xml:space="preserve">ALU ALDROP 10"X5.8"  p41 105 </t>
  </si>
  <si>
    <t>ALU ALDROP 6"X1/2"  p4  105d</t>
  </si>
  <si>
    <t>JOINT it-252 b p-58</t>
  </si>
  <si>
    <t xml:space="preserve"> 15mmDIA p-45 it-154 </t>
  </si>
  <si>
    <t>G.I. BEND p-46  S.No-155 it-c</t>
  </si>
  <si>
    <t>G.I.COUPLERp-47 it-e</t>
  </si>
  <si>
    <t xml:space="preserve"> 65mm DIA TWAD p 43</t>
  </si>
  <si>
    <t>C.I.STEEPS(5Kg)p57</t>
  </si>
  <si>
    <t>BRASS TAP 15mm / 12 mm dia (HEAVY) p - 48 it-158</t>
  </si>
  <si>
    <t xml:space="preserve"> it-110 p-41</t>
  </si>
  <si>
    <t>CERAMIC-FLOOR TILES WHITE/PLAINCOLOUR-6MM tk (PWD LR) p34 it 5i (33.8/0.093025)</t>
  </si>
  <si>
    <t>WHITE / Colour CEMENT (PWD LR) average p-35 it24+25/2</t>
  </si>
  <si>
    <t>WHITE CEMENT (PWD LR) p-35 /24</t>
  </si>
  <si>
    <t>COLOUR CEMENT (PWD LR)p-35/25</t>
  </si>
  <si>
    <t>FLATE BACK URINAL FOR WOMEN it-189 I -p-50</t>
  </si>
  <si>
    <t>WATER PROOF COMPOUND ( PWD LR)p34 it-1 An-vi</t>
  </si>
  <si>
    <t>A.C. SHEETFULLY CORRUGATED 6mmT.K (PWD LR -it-77 p-38)</t>
  </si>
  <si>
    <t>A.C. RIDGE FOR FULLYCORRUGATED AC SHEET (PWD Lrit-80 p-38)</t>
  </si>
  <si>
    <t>A.C. RIDGE FOR SEMI CORRUGATED AC SHEET (PWD Lrit-80 p-38)</t>
  </si>
  <si>
    <t>CONVEY,ALAIGN,JIONT ETC UP TO40mmPVC PIPE (TWAD SR-20-21 it-11b )</t>
  </si>
  <si>
    <t>CONVEY,ALAIGN,JIONT ETC OVER TO40mmPVC PIPE (TWAD SR-20-21 it-11b )</t>
  </si>
  <si>
    <t>C.I. GRATING 100mmDIA it-76 p-38</t>
  </si>
  <si>
    <t>G.I. 80MM DIA BEND TWAD 2020-21</t>
  </si>
  <si>
    <t>Solid panel PVC door with frame (Rajeshree) p-43 it-125a</t>
  </si>
  <si>
    <t>GRANITE SLAB 20mm THICK OF BEST QUALITY Synthetic Grey, p-36</t>
  </si>
  <si>
    <t>FOR DOORS OF ALL SIZE (Qtn. For syntex.) Hollow p43 128a</t>
  </si>
  <si>
    <t xml:space="preserve"> ORNAMENTAL; HANDLE WITH SCREWS(100mm)p41 it-108c </t>
  </si>
  <si>
    <t>BEST VARNISH p37/52</t>
  </si>
  <si>
    <t>Granite slab ( Jet Black) p-36 it-29a</t>
  </si>
  <si>
    <t>Granite slab ( Jet Black) p-35 it-28 a</t>
  </si>
  <si>
    <t>RATE AS PER  PWD LR For Window  p 38/ it 82</t>
  </si>
  <si>
    <t>Steel grill for Verandah Enclousure PWD SR p20/ Item 138/131</t>
  </si>
  <si>
    <t>COST OF   nano polish Vitified TILES (LSR New It-1) p-35 it-14</t>
  </si>
  <si>
    <t>COST OF granite FLOOR TILES, 
Ruby Red  p-36 28b</t>
  </si>
  <si>
    <t>Plastic Emulsion PAINT  (LMR item 113) p-45 143( First qty</t>
  </si>
  <si>
    <t>Primer     (LMR item 142) p45</t>
  </si>
  <si>
    <t>COST OF CERAMIC FLOOR TILES p-34 it-7 a</t>
  </si>
  <si>
    <t>15cm dia casurina poles p -19 /115a.</t>
  </si>
  <si>
    <t>Country wood planks p -18 /107</t>
  </si>
  <si>
    <t>Aluminium section (p-38/84a)</t>
  </si>
  <si>
    <t>Casurina props 5 to 8cm dia p19 / It- 118 d</t>
  </si>
  <si>
    <t>PVC WATER TANK OF 700 LITRE CAPACITY p50 /180</t>
  </si>
  <si>
    <t xml:space="preserve"> 40MM DIA UPVC PIPE ABOVE G.L:-</t>
  </si>
  <si>
    <t xml:space="preserve">LAYING JOINTING INCLUDING </t>
  </si>
  <si>
    <t>CUTTING CHARGES p -26 Itm 93</t>
  </si>
  <si>
    <t>THREADING CHARGES p- 26 Itm 93</t>
  </si>
  <si>
    <t>Brass Tap with ISI Mark p48/158</t>
  </si>
  <si>
    <t>PVC RIGID CONDUIT PIPE 19M/20MM HEAVY DUTY WITH ISI P -128/ part  I 1b</t>
  </si>
  <si>
    <t>Barbed wire 10 gauge 2 ply and four pronged ( Galvanised) it-133 p-44</t>
  </si>
  <si>
    <t>Casurina Props 10 to 13 m dia @ 75m c/c cost for 1 
operation 25.20/5=5.040 p-19 it-116/b</t>
  </si>
  <si>
    <t>Precasted slab Standardised Cement comncrete M 20 grade</t>
  </si>
  <si>
    <t>A.C. sheet 6mm thick p -38 /78</t>
  </si>
  <si>
    <t>Adjustable ridges p-38 it-80</t>
  </si>
  <si>
    <t>U' bolts and nuts p-38 it-81</t>
  </si>
  <si>
    <t>COST OF Shahabad stone grey colour (Polished Shahabad stone 20mm thick with machine cut edges of size 2' x 2' below) p -36/ 34</t>
  </si>
  <si>
    <t>Providing rajasthan kota stone slabs of of 20mm thick with machine cut edges of size below in C.M 1:3 p-36 sl.36</t>
  </si>
  <si>
    <t>T.W PLANKS (30-45 CM) (12 TO 25CM THICK) p-17 it-86</t>
  </si>
  <si>
    <t>DOOR STOPPER (p41/110)</t>
  </si>
  <si>
    <t xml:space="preserve">LABOUR FOR WROUGHT&amp;PUTUP p 28/116 a single </t>
  </si>
  <si>
    <t>LABOUR CHARGE FOR SHUTTER (Double leaf) p/28 /116 b</t>
  </si>
  <si>
    <t>50 mm dia PVC (SWR) pipe ( qtn) (p-99)</t>
  </si>
  <si>
    <t>Shellac p-49/168</t>
  </si>
  <si>
    <t>Thread ball p-49/173</t>
  </si>
  <si>
    <t>10"X1/2"TOWER BOLT p40 103c</t>
  </si>
  <si>
    <t>12"X5/8"ALDROP p -41 105a</t>
  </si>
  <si>
    <t>RUBBERBUSH 40 DIA &amp; 60 MM LONG  p -41 sl.111</t>
  </si>
  <si>
    <t>Thorouh scrapping (p-26 slno.357 d)</t>
  </si>
  <si>
    <t>Alu. DOOR STOPPER p41 110</t>
  </si>
  <si>
    <t>5.5 MM THICK PLAIN GLASS p44 sl.137</t>
  </si>
  <si>
    <t>T.W. beeding 15mm x 12 mm p42 113a</t>
  </si>
  <si>
    <t>Removal of old cement mortor racking out joints 20mm deep p-26/75/321</t>
  </si>
  <si>
    <t>OBD p-45 sl.140</t>
  </si>
  <si>
    <t>Solid core flush door shutter with TW palin -it-121 p-42</t>
  </si>
  <si>
    <t>Flush door shutter size 1200x2100 ( Double leaves)</t>
  </si>
  <si>
    <t>PVC Felt ( It-88)</t>
  </si>
  <si>
    <t>DOOR STOPPER   It-110</t>
  </si>
  <si>
    <t xml:space="preserve">  SCREWS (75x 10mm)it-138</t>
  </si>
  <si>
    <t>Rubber beeding (An-VI -it-86</t>
  </si>
  <si>
    <t>Glass 4 mm thichk plain  it-136</t>
  </si>
  <si>
    <t xml:space="preserve"> PVC  Roller for sliding ''it-98</t>
  </si>
  <si>
    <t>Lock  for sliding ''it-93</t>
  </si>
  <si>
    <t>Handle" D "type 100mm long ''it-107c</t>
  </si>
  <si>
    <t>1mm thick laminated sheet [SR P.55]</t>
  </si>
  <si>
    <t>Melamin Polish  (P-45/148)</t>
  </si>
  <si>
    <t>Fevicol [SR P.39]</t>
  </si>
  <si>
    <t>Nails [SR P.42]</t>
  </si>
  <si>
    <t>PATTY  (p-45/151)</t>
  </si>
  <si>
    <t>White wall putty powder</t>
  </si>
  <si>
    <t>Aluminium section 'it- 84 a/p38</t>
  </si>
  <si>
    <t>1.5 sqmm copper PVC insulated unsheathed single core cable (P-125 it-2/b)</t>
  </si>
  <si>
    <t>PVC rigid conduit pipe 19 mm / 20mm heavy duty with ISI mark p-128 part -I IX-1 b</t>
  </si>
  <si>
    <t>19 mm PVC rigid bends - p-128 part -I IX-2b</t>
  </si>
  <si>
    <t>MS joint box 150 x 100 x 75 mm p-126 vi-b part -f</t>
  </si>
  <si>
    <t>19 mm PVC saddles / p 129 ,  5  b</t>
  </si>
  <si>
    <t>Ceiling rose p-116 it-27</t>
  </si>
  <si>
    <t>Add the cost of 10 nos  15 x 10 x 7.5 cm TW box @ Rs 16.50/Each p-130,  X-c part -j</t>
  </si>
  <si>
    <t>MS box  200 x 150 x 75 mm  part-  F 1c p-126</t>
  </si>
  <si>
    <t>5 A flush type two way switches ( Staircase switch )part c-b p-118</t>
  </si>
  <si>
    <t>15 Amps 3 pin flush type plug socket Part-D1 b p-123</t>
  </si>
  <si>
    <t>6 sqmm copper PVC insulated unsheathed single core cable p 125 , 2  part -E</t>
  </si>
  <si>
    <t>4 sqmm copper PVC insulated unsheathed single core cable for continuous earth connectionp  P-125 2 d</t>
  </si>
  <si>
    <t>Add 180 mt 2.5 Sqmm copper PVC insulated unsheathed S.C. cable p-125, it- 2 c</t>
  </si>
  <si>
    <t>4 sqmm copper PVC insulated unsheathed single core cable,P-125 it-2-d</t>
  </si>
  <si>
    <t>25mm dia rigid PVC pipe heavy duty with ISI heavy duty with ISI mark part -I 1c P-128, Part -I</t>
  </si>
  <si>
    <t>4 sqmm copper PVC insulated unsheathed single core cable for continuous earth connectionp-</t>
  </si>
  <si>
    <t>( 1.5  x 10421) - ( (1608+2224 ) / 2)</t>
  </si>
  <si>
    <t>10 sqmm copper PVC insulated unsheathed single core cable (P-125  it-2-f part-F)</t>
  </si>
  <si>
    <t>6 sqmm copper PVC insulated unsheathed single core cable for continuous earth connectionp</t>
  </si>
  <si>
    <t>Bulk head fittings P-116 it-26</t>
  </si>
  <si>
    <t>4 way 16 amps, way 250 volts single phase and neutral link metalic distribution board p-120 7a</t>
  </si>
  <si>
    <t>Three phase distribution board with 4 way/phase and 32 A / Way with fuse and neutral link. P120  8d</t>
  </si>
  <si>
    <t>Add for 6 way TPDB 32A/way p-120, 8e</t>
  </si>
  <si>
    <t xml:space="preserve">TW round block P-130 Part -J -X- F </t>
  </si>
  <si>
    <t>Conduit pipe 19 mm (MS) (heavy gauge)p-127 Part-H 1-b</t>
  </si>
  <si>
    <t>GI pipe 40 mm P-45 ,154-iii</t>
  </si>
  <si>
    <t>MS BOX with cover 300 x 200 x 100 mm ( Part- F, P-126  it- d)</t>
  </si>
  <si>
    <t>Mason I ( it-25 /37  ,p-11)</t>
  </si>
  <si>
    <t>25 Amps rating single phase ELCB with 10 to 25 MA sensitivity (ISI make ) (DP) P-133   10-b havells  part -L</t>
  </si>
  <si>
    <t>32 Amps 500 V fuse units P-120 6-b</t>
  </si>
  <si>
    <t>16 Amps 250 Volts fuse unit (P-120   6-a</t>
  </si>
  <si>
    <t>3 No of 30 amps MCB ( Part -L, P-132   6-a havells)</t>
  </si>
  <si>
    <t>GI pipe of 25 mm dia  (P-45 154 V)</t>
  </si>
  <si>
    <t>40 x 40 x 6 mm MS angle (P-126  part -G)</t>
  </si>
  <si>
    <t>GI pipe of 40 mm dia  (P-45 154 -iii)</t>
  </si>
  <si>
    <t>Earth work excavation and refilling(96.6+96.6+(33.6/3) SR P.22,23</t>
  </si>
  <si>
    <t>M.S. Clamps/ Saddles 32mm (It- 3d p-132 ,part-L )</t>
  </si>
  <si>
    <t>Brass screws  ( 40 mm x 6 no) P131  Part-L 1-c</t>
  </si>
  <si>
    <t>TW plugs 1 1/2" x 1"x2"( part-J 1-e P-130  )</t>
  </si>
  <si>
    <t>MV/SV lamps P-112 /6 b</t>
  </si>
  <si>
    <t>GI pipe of 20 mm dia  (P-45 142 -iv)</t>
  </si>
  <si>
    <t>Tube light fittings P-113 ,11a-An-VII</t>
  </si>
  <si>
    <t>Tubular lamp P-112 ,4b</t>
  </si>
  <si>
    <t>GI pipe B class of 50 mm dia  (P-45 154 -ii)</t>
  </si>
  <si>
    <t>4 way 7 segment 3 tier compartmental type MCB DB [SR P.138]</t>
  </si>
  <si>
    <t>63A TPN 10 KA MCB [SR P.133]</t>
  </si>
  <si>
    <t>40A DP 30MA ELCB [SR P.133]</t>
  </si>
  <si>
    <t>32 A DPIC switch p-119 2d, Part-C</t>
  </si>
  <si>
    <t>TW board 8" x6" x3" (p-130, part-j/b)</t>
  </si>
  <si>
    <t>TW board 4" x4" x3" (p-130, part-j/d)</t>
  </si>
  <si>
    <t>65 mm dia GI pipe ' B' class p45,154-i</t>
  </si>
  <si>
    <t>MS box 8" x 6" with cover p-126  Fc</t>
  </si>
  <si>
    <t>Exhaust fan of 300 mm dia ( Part- B 2 b p-117</t>
  </si>
  <si>
    <t>Exhaust fan of 225 mm dia ( Part- B 2 a p-117</t>
  </si>
  <si>
    <t>1200mm A.C ceiling fan (without regulator)( Part- B 1 a p-117</t>
  </si>
  <si>
    <t>Cost of electronic regulator( Part- B 1 d p-117</t>
  </si>
  <si>
    <t>4' tube light fitting with \electronic ballast P-  113 7 A [SD 88]</t>
  </si>
  <si>
    <t>slim tube light 36 w P-112 4 B</t>
  </si>
  <si>
    <t>4' tube light fitting with \electronic ballast p-116 it-22 B [SD87]</t>
  </si>
  <si>
    <t>slim tube light 36 w P-112 4 c</t>
  </si>
  <si>
    <t xml:space="preserve">PVC joint box ( Part- I ,p 129  6b) </t>
  </si>
  <si>
    <t>TW switch  box  100 x 100 x 75 mm p 130 jd</t>
  </si>
  <si>
    <t>TW junction  box  150 x 100 x 75 mm p-130 j c</t>
  </si>
  <si>
    <t>Add the cost of 10 nos 5A type push switch (192.60/12=16.05) @ Rs 16.05/ Each p79 C a</t>
  </si>
  <si>
    <t>Add the cost of 10 nos  15 x 10 x 7.5 cm TW box @ Rs16.50/Each p- 130 J c</t>
  </si>
  <si>
    <t>Add cost of TW box 12" x 8" x3" for switch and regulator 10 nos  @ Rs 69.90 / Each p-130 ,part  J a</t>
  </si>
  <si>
    <t>Cost copper  (P-127  )</t>
  </si>
  <si>
    <t>25mm x3mm GI flat p-125 it -3 c</t>
  </si>
  <si>
    <t xml:space="preserve"> 200 A fuse units (P-120  ,it-6e)</t>
  </si>
  <si>
    <t xml:space="preserve"> 100 A fuse units (P-120  -6 d)</t>
  </si>
  <si>
    <t>Cost of hylum sheet (P-130,it-7 a 630*2=1260)</t>
  </si>
  <si>
    <t>1 sqmm PVC copper cable ( it-2a)</t>
  </si>
  <si>
    <t>MS sheet fabrication charges (P-29 it-127)</t>
  </si>
  <si>
    <t>Angle Iron  fabrication charges (P-29)</t>
  </si>
  <si>
    <t>LABOUR DETAILS</t>
  </si>
  <si>
    <t>Add 2% sundries such as bolts, nuts, cement, sand etc</t>
  </si>
  <si>
    <t>Wireman Grade-I</t>
  </si>
  <si>
    <t>OR</t>
  </si>
  <si>
    <t>Requirement of steel:</t>
  </si>
  <si>
    <t>Earth bus by 25mm x 3mm TC copper flat</t>
  </si>
  <si>
    <t xml:space="preserve">Cost of copper </t>
  </si>
  <si>
    <t xml:space="preserve">Interconnection charges   </t>
  </si>
  <si>
    <t>Hylam sheet 6 mm thick separation between bus chambers</t>
  </si>
  <si>
    <t>6A fuse units</t>
  </si>
  <si>
    <t>MS sheet fabrication charges</t>
  </si>
  <si>
    <t>Angle iron fabrication charges</t>
  </si>
  <si>
    <t>Vetrified Tiles flooring (Ivory)</t>
  </si>
  <si>
    <t>Cost of MS sheet Part -G P-126 SR -2021-22</t>
  </si>
  <si>
    <t>Plastic emulsion paint one coat old wall</t>
  </si>
  <si>
    <t>a). Providing pit (M30)</t>
  </si>
  <si>
    <t xml:space="preserve">Removing &amp; refixing of door </t>
  </si>
  <si>
    <t>CUTTING CHARGES ( P-32/141)</t>
  </si>
  <si>
    <t>GALVANIUM SHEET 0.47MM THICK ( SR p-72)</t>
  </si>
  <si>
    <t xml:space="preserve">                                                                                                                                                                                                               </t>
  </si>
  <si>
    <t xml:space="preserve">                                                                                                                                                                                                                                                                                                                                                                                                                                                                                                                                                                                                                                                                                                                                                                                                                                                                                                                                                                                                                                                                                                                                                                                                                                                                                                                                                                                                                                                                                                                                                                                                                                                                                                                                                                                                                                                                                                                                                                                                                                                                                                                                                                                       </t>
  </si>
  <si>
    <t>S &amp; F of A/C metal clad switch (SD-140)</t>
  </si>
  <si>
    <t>8 In PC/HC</t>
  </si>
  <si>
    <t>DATA - A Panel for 10 services</t>
  </si>
  <si>
    <t>Length = 5.5ft.       Height =6.5 ft.   Depth = 1.ft.</t>
  </si>
  <si>
    <t>Front and back    5'6" x 6;5" x 2                 =    70.62 sq.ft.</t>
  </si>
  <si>
    <t>For sides 6'5" x  10'x 2                              =    12.84 sq.ft.</t>
  </si>
  <si>
    <t>Top and bottom 2x 1'0" x 5'6"                  =    11.00 sq.ft.</t>
  </si>
  <si>
    <t>For intermediate Horizontal 4'x 1"0"x  5'6"  =    22 sq.ft</t>
  </si>
  <si>
    <t>For intermediate Vertical 2x 4'x 1"0"x   2'8"  =   21.36sq.ft</t>
  </si>
  <si>
    <t xml:space="preserve">                                                      Total            =  137.82 sq.ft</t>
  </si>
  <si>
    <t>Wastage    10%                                      =  13.78 sqft</t>
  </si>
  <si>
    <t xml:space="preserve">                                                                = 1151.60 sq.ft</t>
  </si>
  <si>
    <t>Cost of MS sheet [SR 2020-21 / P.126]</t>
  </si>
  <si>
    <t>Cost copper  (SR / P.126)</t>
  </si>
  <si>
    <t>Tin coating of copper ( qtn vide CER.NO.189/19-20)</t>
  </si>
  <si>
    <t>5.6' x2+ 6.5' x 2 =24.00 ft  =8.00 mtr</t>
  </si>
  <si>
    <t>8.0 mtrs x 0.6 kg /mtr =4.8 kg</t>
  </si>
  <si>
    <t>25mm x3mm Gi flat [SR 2020-21 / P.148]</t>
  </si>
  <si>
    <t xml:space="preserve"> 300 A fuse units ( qtn)</t>
  </si>
  <si>
    <t>63 A fuse units ( 500 V) [SR 2020-21 / P.119]</t>
  </si>
  <si>
    <t xml:space="preserve">63 A netural link SD -129 </t>
  </si>
  <si>
    <t>32 A netural link sd127</t>
  </si>
  <si>
    <t>Interconnection charges ( qtn)</t>
  </si>
  <si>
    <t>2.75 x .575= 1.58125 sqm</t>
  </si>
  <si>
    <t>Rubber beeding ( qtn)</t>
  </si>
  <si>
    <t>Cost of hylum sheet 6mm [SR 2020-21 / P.129]</t>
  </si>
  <si>
    <t>Insulators( qtn)</t>
  </si>
  <si>
    <t>LED pilot lamps( qtn)</t>
  </si>
  <si>
    <t>1 sqmm PVC copper cable [SR 2020-21 / P.124]</t>
  </si>
  <si>
    <t>MS sheet fabrication charges [SR 2020-21 / P.34]</t>
  </si>
  <si>
    <t>Isolators / Fuse units/ Pilot lamp fixing charges ( SD 145)</t>
  </si>
  <si>
    <t>Painting with primer &amp; suitable colour( qtn)</t>
  </si>
  <si>
    <t>DATA - 125 Amps</t>
  </si>
  <si>
    <t>Length = 4.6ft.       Height =6.5 ft.   Depth = 1.ft.</t>
  </si>
  <si>
    <t>Cost of MS sheet</t>
  </si>
  <si>
    <t>Cost of angle iron</t>
  </si>
  <si>
    <t>3' x 4x .22 =2.64 kgm</t>
  </si>
  <si>
    <t>2' x 4 x 4 = 32/20 = 1.6 kg</t>
  </si>
  <si>
    <t>Total copper required: 2.64 + 1.76kgm+ 1.6kgm +0.2kgm =6.20 kgm</t>
  </si>
  <si>
    <t>Cost of copper</t>
  </si>
  <si>
    <t>Tin coating of copper</t>
  </si>
  <si>
    <t>4.6' x2+ 6.5' x 2 =22.2 ft  =7.40mtr</t>
  </si>
  <si>
    <t>7.40 mtrs x 0.6 kg /mtr =4.44 kg</t>
  </si>
  <si>
    <t xml:space="preserve"> 300 A fuse units [SR P.119]</t>
  </si>
  <si>
    <t>6 Sq.mm. single core PVC copper cables for connection between fuse units and meter and between meter and 32A TPN MCB [SR 2020-21 / P.124]</t>
  </si>
  <si>
    <t>Front and back    4.6 x 6.5 x 2           =  59.80sq.ft.</t>
  </si>
  <si>
    <t>Top and bottom 4.6' x 1.0'x 2          =     9.20 sq.ft.</t>
  </si>
  <si>
    <t>Between bus 4.6'x 1x2                     =      9.2 0sq.ft</t>
  </si>
  <si>
    <t>63A DPN 10 KA  MCB [SR P.133]</t>
  </si>
  <si>
    <t>100A TPN 10 KA MCB [SR P.133]</t>
  </si>
  <si>
    <t>DATA - A</t>
  </si>
  <si>
    <t>Length = 10ft.       Height = 6ft.   Depth = 1.5ft.</t>
  </si>
  <si>
    <t>Front and back   10' x 6' x2            =   120 sq.ft.</t>
  </si>
  <si>
    <t>Top and bottom  10' x 1.5'x 2         =   30sq.ft.</t>
  </si>
  <si>
    <t>Two sides and between chambers
      10' x1.5'x 4                            =    60 sq.ft.</t>
  </si>
  <si>
    <t>Between switches 1.5'x1.5'x20      =    45 sq.ft.</t>
  </si>
  <si>
    <t xml:space="preserve">                                                 = 255.00 sq.ft.</t>
  </si>
  <si>
    <t>Wastage                        10% =       25.5sq.ft.</t>
  </si>
  <si>
    <t xml:space="preserve">                                                  =280.5 sq.ft</t>
  </si>
  <si>
    <t>In kgm       280.5 x 1.17            = 29.83 kgm</t>
  </si>
  <si>
    <t>Total angle iron required = 10'x4 + 6'x4= 64' x 0.3=19.2 mts.</t>
  </si>
  <si>
    <t>19.2 m x 3.25 = 62.4 kgm</t>
  </si>
  <si>
    <t>Total steel required  = 62.4 + 6 = 68.4 kg</t>
  </si>
  <si>
    <t>Copper bus by 40 mm x 6mm copper</t>
  </si>
  <si>
    <t>Flats for phases and 20 mm x 6 mm for neutral</t>
  </si>
  <si>
    <t>9.5' x 3 x 0.66 + 9.5 x 1 x 0.33 = 21.9 kgm</t>
  </si>
  <si>
    <t>Earth bus    (10' x 2 + 6' x 2' )X 0.22 = 7.04 kgm</t>
  </si>
  <si>
    <t>Inter connection between incoming 500 A Cutout and bus by 40 mm x 6mm copper for phases and 20mm x 6mm for neutral</t>
  </si>
  <si>
    <t>2' x 3 x 0.66+ 2 x 3 x 0.33 = 5.94 kgm</t>
  </si>
  <si>
    <t>Inter connection between outgoing 63 A Cut outs and bus by No. 8 copper</t>
  </si>
  <si>
    <t>(2' x 4 x 22) / 26 = 6.76 kgm</t>
  </si>
  <si>
    <t>Total copper required: 21.9 + 7.04 + 5.94 + 6.76= 41.64  kg</t>
  </si>
  <si>
    <t>Copper flats for neutral / earth of size 25 mm x 3mm x 150 mm</t>
  </si>
  <si>
    <t>Hylam sheet separation between bus chambers</t>
  </si>
  <si>
    <t>MCB / Pilot lamp fixing charges vide SD - 141</t>
  </si>
  <si>
    <t>Painting with primer &amp; suitable colour (146.25 x 2)</t>
  </si>
  <si>
    <t xml:space="preserve">Supply and erection of 250 Amps capacity floor mounting type metering panel board (Cubical type) </t>
  </si>
  <si>
    <t>500 A 415 V cut outs (CER-186/20-21)</t>
  </si>
  <si>
    <r>
      <t>10' x 1.5' x 2 = 30 sq.ft.   30 x 0.096 = 2.88 m</t>
    </r>
    <r>
      <rPr>
        <vertAlign val="superscript"/>
        <sz val="12"/>
        <rFont val="Times New Roman"/>
        <family val="1"/>
      </rPr>
      <t>2</t>
    </r>
  </si>
  <si>
    <r>
      <t>m</t>
    </r>
    <r>
      <rPr>
        <vertAlign val="superscript"/>
        <sz val="12"/>
        <rFont val="Times New Roman"/>
        <family val="1"/>
      </rPr>
      <t>2</t>
    </r>
  </si>
  <si>
    <t>63A double 4 pole 30MA ELCB [SR P.133]</t>
  </si>
  <si>
    <t>63A 10KA double pole MCB [SR P.132]</t>
  </si>
  <si>
    <t>Add Labour charges vide SD - 175</t>
  </si>
  <si>
    <t>Length = 6ft.       Height = 3ft.   Depth = 1.5ft.</t>
  </si>
  <si>
    <t>Front and back   6' x 3' x2            =   36 sq.ft.</t>
  </si>
  <si>
    <t>Top and bottom  6' x 1.5'x 2         =   18sq.ft.</t>
  </si>
  <si>
    <t>Two sides and between chambers
      3' x1.5'x 4                            =    9 sq.ft.</t>
  </si>
  <si>
    <t>Between switches 1.5'x1.5'x10      =    22.5 sq.ft.</t>
  </si>
  <si>
    <t xml:space="preserve">                                                 = 94.50 sq.ft.</t>
  </si>
  <si>
    <t>Wastage                        10% =       9.45sq.ft.</t>
  </si>
  <si>
    <t xml:space="preserve">                                                  =103.95 sq.ft</t>
  </si>
  <si>
    <t>In kgm       103.95 x 1.17            = 121.62 kgm</t>
  </si>
  <si>
    <t>Angle size - 38 x380 x 6mm</t>
  </si>
  <si>
    <t>Total angle iron required = 6'x8 runs x 0.3=14.4 mts.</t>
  </si>
  <si>
    <t>14.4 m x 3.25 = 52.8 kgm</t>
  </si>
  <si>
    <t>Total steel required  = 46.8 + 6 = 52.8 kg</t>
  </si>
  <si>
    <t>Copper bus by 25 mm x 6mm copper</t>
  </si>
  <si>
    <t>Flats for phases and 25 mm x 6 mm for neutral</t>
  </si>
  <si>
    <t>5.5' x 3 x 0.44 +( 5.5 x 1 x 0.22) = 8.47 kgm</t>
  </si>
  <si>
    <t>Earth bus    (6' x 2 + 3' x 2' )X 0.22 = 3.96 kgm</t>
  </si>
  <si>
    <t>Inter connection between incoming 200 A Cutout and bus by 25 mm x 6mm copper for phases and 25mm x 6mm for neutral</t>
  </si>
  <si>
    <t>2' x 3 x 0.44+ 2 x 2 x 0.22 = 3.52 kgm</t>
  </si>
  <si>
    <t xml:space="preserve">Inter connection between outgoing 100 ATPN MCCB by 25mm x 3mm copper flats for phase and neutral </t>
  </si>
  <si>
    <t>2' x 4 x 0.22x3 = 5.28 kgm</t>
  </si>
  <si>
    <t>Between bus &amp; 63 A TPN by No.6 copper</t>
  </si>
  <si>
    <t>(2' x 4 x 6) /20 = 2.4 kgm</t>
  </si>
  <si>
    <t>Total copper required: 8.47+3.96+3.52+5.28+2.4= 23.63  kg</t>
  </si>
  <si>
    <t>200 A TPN 25KA MCCB (15500+1116) (CER-186/20-21)</t>
  </si>
  <si>
    <t>63A 15 KA TPN MCCB  [(CER-186/20-21)</t>
  </si>
  <si>
    <r>
      <t>6' x 1.5' x 2 = 18 sq.ft.   18 x 0.096 = 1.728 m</t>
    </r>
    <r>
      <rPr>
        <vertAlign val="superscript"/>
        <sz val="12"/>
        <rFont val="Times New Roman"/>
        <family val="1"/>
      </rPr>
      <t>2</t>
    </r>
  </si>
  <si>
    <t>1 sqmm PVC copper cable</t>
  </si>
  <si>
    <t>MCCBs / Pilot lamp fixing charges vide SD 141</t>
  </si>
  <si>
    <t>Cost of hylum sheet  [SR 2020-21 / P.129]</t>
  </si>
  <si>
    <t>100 A TPN 15KA MCCB  (CER-186/20-21)</t>
  </si>
  <si>
    <t>Supply and erection of 200 Amps capacity floor mounting type metering panel board (Cubical type)  Based on CER 128/20-21</t>
  </si>
  <si>
    <t>Length = 3ft.       Height =2 ft.   Depth = 1.5ft.</t>
  </si>
  <si>
    <t>Front and back    3' x 2' x 2           =  12 sq.ft.</t>
  </si>
  <si>
    <t>Top and bottom 3' x 1.0'x 2          =     9.20 sq.ft.</t>
  </si>
  <si>
    <t xml:space="preserve">125A 4 pole 15KA MCCB SOR  P-135/2021-22 </t>
  </si>
  <si>
    <t>a. 110 mm dia PVC bend (TWAD SR 21-22 )</t>
  </si>
  <si>
    <t>b. 160 mm dia PVC bend (TWAD SR 21-22 )</t>
  </si>
  <si>
    <t>a. 110 mm dia PVC Equal tee (TWAD SR 21-22 )</t>
  </si>
  <si>
    <t xml:space="preserve">125 A TPN  MCCB including spreader (8660+1138)SOR  P-135/2021-22 </t>
  </si>
  <si>
    <t xml:space="preserve">63 A TPN  MCCB  (6195+235) SOR  P-135/2021-22 </t>
  </si>
  <si>
    <t>16A fuse unit [SR 2020-21 / P.120]</t>
  </si>
  <si>
    <t>1 Sqmm Copper cable [SR 2020-21 / P.125]</t>
  </si>
  <si>
    <r>
      <t xml:space="preserve">in kgm      100.32 x 1.17                  =  117.37 </t>
    </r>
    <r>
      <rPr>
        <b/>
        <sz val="12"/>
        <rFont val="Times New Roman"/>
        <family val="1"/>
      </rPr>
      <t>kgm</t>
    </r>
  </si>
  <si>
    <t>DATA - 200 Amps</t>
  </si>
  <si>
    <t>Length = 4ft.       Height =3 ft.   Depth = 1.5ft.</t>
  </si>
  <si>
    <t xml:space="preserve">200A TPN 15KA MCCB SOR  P-135/2021-22 </t>
  </si>
  <si>
    <t>Front and back    4' x 3' x 2           =  24 sq.ft.</t>
  </si>
  <si>
    <t>Top and bottom 4' x 1.5'x 2          =    12.0sq.ft.</t>
  </si>
  <si>
    <t>Between bus 3'x 1.5'x2                     = 9.0sq.ft</t>
  </si>
  <si>
    <t>Two sides   1 .5 x 1.5 x 4          =    9 sq.ft.</t>
  </si>
  <si>
    <t xml:space="preserve">                                                     =  63 sqft</t>
  </si>
  <si>
    <t>Wastage    10%                             =    6.3 sqft</t>
  </si>
  <si>
    <t xml:space="preserve">                              Total                =  69.3 sqft</t>
  </si>
  <si>
    <r>
      <t xml:space="preserve">in kgm      69.32 x 1.17                  =  81.1 </t>
    </r>
    <r>
      <rPr>
        <b/>
        <sz val="12"/>
        <rFont val="Times New Roman"/>
        <family val="1"/>
      </rPr>
      <t>kgm</t>
    </r>
  </si>
  <si>
    <t xml:space="preserve">Total angle iron required=(4'x8 runs = 32 mtr
</t>
  </si>
  <si>
    <t>32x 3.25 = 104kgm</t>
  </si>
  <si>
    <t>Total steel required  = 6+ 104=110  kg</t>
  </si>
  <si>
    <t>3.5' x 3x .44+3.5x1x0.22 =5.39 kgm</t>
  </si>
  <si>
    <t>Earth bus by 25mmx3mm TC copper flat</t>
  </si>
  <si>
    <t>(4'x4x0.22 = 3.52 Kgm</t>
  </si>
  <si>
    <t>Inter connection between incoming 250/200A TPN and bus by 25mm x6mm for phase and 25mm x 3mm neutral</t>
  </si>
  <si>
    <t>2'3x0.44+2x1x0.22x3=9.24Kgm</t>
  </si>
  <si>
    <t>Between bus &amp; 63A TPN   by No.8 copper</t>
  </si>
  <si>
    <t>2'x 4=8/20=0.4 kgm</t>
  </si>
  <si>
    <t>Total copper required: 5.39+3.52+9.24+0.4=18.55Kg</t>
  </si>
  <si>
    <t>Earth connection</t>
  </si>
  <si>
    <t>Add 1% sundries etc.</t>
  </si>
  <si>
    <t>Add : Labour charges vide SD - 159</t>
  </si>
  <si>
    <t>Data - Z</t>
  </si>
  <si>
    <t>63 A L &amp; T / Salzier make switch ( Quotation)</t>
  </si>
  <si>
    <t>Indicator lamp ( Quotation)</t>
  </si>
  <si>
    <t xml:space="preserve">Pin for fixing indicator lamps ( Quotation) </t>
  </si>
  <si>
    <t>MS enclosure 350 mm x 200 mm x 150 mm ( Quotation)</t>
  </si>
  <si>
    <t>Sundries towards internal connction and earth connections 2%</t>
  </si>
  <si>
    <t>Triple pole &amp; Neutral 4 way Vertical type distribution board for single phase outgoing with busbar with double door arrangement (PWD SR P  137)</t>
  </si>
  <si>
    <t>63A 10 KA TPN MCB (PWD SR P  133 item No 6 i)</t>
  </si>
  <si>
    <t>63A 4 pole 30 MA ELCB (PWD SR P  133 item No 10 c)</t>
  </si>
  <si>
    <t>6 A / 20A, 10 KA Single pole MCB (PWD SR P  132 item No 6 a)</t>
  </si>
  <si>
    <t>Wall cutting, flushing, etc vide SD-167</t>
  </si>
  <si>
    <t>Wiremen grade-1</t>
  </si>
  <si>
    <t>Labour Charges as per SD 86 x 1.5 due to the</t>
  </si>
  <si>
    <t xml:space="preserve"> No.</t>
  </si>
  <si>
    <t xml:space="preserve"> 75 W mid bay LED luminaire vide Quotationfrom Midas Electricals (Philips dealer</t>
  </si>
  <si>
    <t xml:space="preserve"> each</t>
  </si>
  <si>
    <t>GST : 12%</t>
  </si>
  <si>
    <t xml:space="preserve">No. </t>
  </si>
  <si>
    <t xml:space="preserve"> each </t>
  </si>
  <si>
    <t xml:space="preserve"> Mtr.</t>
  </si>
  <si>
    <t>ADD : 1 % sundries etc.,</t>
  </si>
  <si>
    <t>TW round block PWD SR,P-136</t>
  </si>
  <si>
    <t xml:space="preserve"> Connecting leads by 1 sq mm PVC copper wirePWD SR,P-125.</t>
  </si>
  <si>
    <t>Labour Charges as per SD 86 x 1.5 due to the
height ceiling (237.25 x1.5)</t>
  </si>
  <si>
    <t>Bentonite (10% concrete volume)(PWD SR 2021-22,p-37)</t>
  </si>
  <si>
    <t>Data - Y (Lower end)</t>
  </si>
  <si>
    <t>Data - Y (Higher end)</t>
  </si>
  <si>
    <t>450mm Dia pipe DATA for 1 Rmt</t>
  </si>
  <si>
    <t>Data - D</t>
  </si>
  <si>
    <t>Length = 5 ft.       Height = 4ft.      Depth = 1.5ft.</t>
  </si>
  <si>
    <t>Front and back   5' x 4' x 2              =   40 sq.ft.</t>
  </si>
  <si>
    <t>Top and bottom  5' x 1.5 'x 2          =  15 sq.ft.</t>
  </si>
  <si>
    <t>Two sides          4' x 1.5 'x  2           =  12 sq.ft.</t>
  </si>
  <si>
    <t>Between switches and cable chamber          
4' x 1.5' x  2           = 12 sq.ft.</t>
  </si>
  <si>
    <t>Between switches  1.5' x 1.5' x 9        = 20.25sq.ft.</t>
  </si>
  <si>
    <t xml:space="preserve">                                                          = 99.25 sq.ft.</t>
  </si>
  <si>
    <t>Wastage    10%                                  =   9.9 sq.ft.</t>
  </si>
  <si>
    <t xml:space="preserve">                                                         =109.15 sq.ft.</t>
  </si>
  <si>
    <t>In kgm      109.15 x 1.17                  = 127.7 kgm</t>
  </si>
  <si>
    <t>Total angle iron required = 5' x 4 + 4' x 4runs   = 36 ft x 0.3 
= 10.8 mtrs</t>
  </si>
  <si>
    <t>10.8  x 3.25 = 35.1kgm</t>
  </si>
  <si>
    <t>Total: 6 + 35.1= 41.1 kg</t>
  </si>
  <si>
    <t>Cost of steel</t>
  </si>
  <si>
    <t>Copper bus by 25mm  x 3mm copper</t>
  </si>
  <si>
    <t xml:space="preserve">Flats for phases and 25mm x 3mm </t>
  </si>
  <si>
    <t>For neutral</t>
  </si>
  <si>
    <t>4.5' x 4 x 0.22 = 3.96 kgm</t>
  </si>
  <si>
    <t>(5' x  2 + 4 x 2 ) x 0.22 = 3.96 kgm</t>
  </si>
  <si>
    <t xml:space="preserve">Inter connection between incoming 100 ATPN and bus by 25mm x 3mm for phases and neutral </t>
  </si>
  <si>
    <t>2' x 4 x 0.22 = 1.76 kgm</t>
  </si>
  <si>
    <t>Between bus &amp; 63 A TPN  by No. 8 copper</t>
  </si>
  <si>
    <t>2' x 4 x 10 = 80 /26 = 3.0 kgm</t>
  </si>
  <si>
    <t>Total copper required:             
3.96 + 3.96 + 1.76 + 3.0  =  12.68 kg</t>
  </si>
  <si>
    <t>125 A MCCB 4 pole 15 KA MCCB with mechanical interlocking</t>
  </si>
  <si>
    <t>MCCBs / Pilot lamp fixing charges vide SD - 141</t>
  </si>
  <si>
    <t>Supply and erection of 125 Amps capacity floor mounting / wall mounting panel board (Cubical type) with bus bar chamber made up of 16 SWG MS sheet for 3 phase 4 wire system with 25mm x 3mm tin coated copper flats for phases and neutral; cable chamber, switch chamber and with 2 Nos. 25mmx3mm tinned copper flat for the earth bus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</si>
  <si>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2 nos. 125A MCCB 4 pole  15KA MCCB with all protective devices and mechanical inetrlocking arrangements between two incomers to be provided.
Outgoings: 10 nos. 63A TPN 15KA MCCB with all protective devices. 
Dummy provision - 1 No.</t>
  </si>
  <si>
    <r>
      <t xml:space="preserve">1set LED pilot lamps withfuse units, switches and interconnections. Inter connections to the bus bar by 25mm x 3mm TC copper flat for phases and neutral from 125A TPN MCCB the bus; interconnection by SWG No.8 TC copper for the phases and neutral from the 63A fuse units :  6mm thick hylam sheet separation between bus bar chamber and switches chamber; insulaters for the support for the bus; superscribing on the panel board the size, capacity of cable, switches, location etc. 2 nos. metalic danger boards - </t>
    </r>
    <r>
      <rPr>
        <b/>
        <sz val="12"/>
        <rFont val="Times New Roman"/>
        <family val="1"/>
      </rPr>
      <t>Data D</t>
    </r>
  </si>
  <si>
    <t>Nylon BUSH (p-41/111)</t>
  </si>
  <si>
    <r>
      <t>4' x 1.5' x 2 = 12 sq.ft.   12 x 0.096 = 1.152 m</t>
    </r>
    <r>
      <rPr>
        <vertAlign val="superscript"/>
        <sz val="12"/>
        <rFont val="Times New Roman"/>
        <family val="1"/>
      </rPr>
      <t>2</t>
    </r>
  </si>
  <si>
    <t>11.33*3</t>
  </si>
  <si>
    <t>30 W LED Street light Fittings</t>
  </si>
  <si>
    <t>Shutter size (1.1 x 2.325)</t>
  </si>
  <si>
    <t>Supply and erection of 125 Amps capacity floor mounting / wall mounting metering panel board (Cubical type) of size 5'x4'1'6" with bus bar chamber made up of 16 SWG MS sheet for 3 phase 4 wire system with 25mm x 3mm tin coated copper flats for three phase and (4nos)neutral(25mmx3mm Earth bus bar 1no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</si>
  <si>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125A mps switch Disconnector with HRC Fuse and 3 nos 200 A Porcelain Fuse unit.
Bus Capacity:125A 3phase 4 wire copper flat for phase and neutral.
Outgoings: 6 nos.metering chamber each chamber containing 6 no 63A switch Disconnector with HRC Fuse also necessary wiring with 19/6 PVC insulated copper wire and including pilot lamp, Labour charges for erection transporting charges and etc.,</t>
  </si>
  <si>
    <t>Two sides Between switches and cable chamber          4' x 1.5 'x  4           =  24 sq.ft.</t>
  </si>
  <si>
    <t>Between switches  1.5' x 1.5' x 5  = 11.25sq.ft.</t>
  </si>
  <si>
    <t xml:space="preserve">                                                       = 90.25 sq.ft.</t>
  </si>
  <si>
    <t>In kgm      90.25 x 1.17                = 105.25 kgm</t>
  </si>
  <si>
    <t>Total angle iron required = (5' x 4) +( 4' x 4)runs   = 36 ft x 0.3 
= 10.8 mtrs</t>
  </si>
  <si>
    <t>Copper bus by 25mm  x 6mm copper</t>
  </si>
  <si>
    <t>(5' x  2 + 4 x 4 ) x 0.22 = 5.72 kgm</t>
  </si>
  <si>
    <t>Inter connection between incoming 125A TPN and bus by 25mm x 6mm for phases and neutral 2'x4x0.44=3.52 Kgm</t>
  </si>
  <si>
    <t>Inter connection between Between bus &amp; 63 A TPN  by No. 8 SWG copper</t>
  </si>
  <si>
    <t>2' x 4 x 5 = 40 /20 = 2.0 kgm</t>
  </si>
  <si>
    <t>Total copper required:             
7.92 + 5.72 + 3.52 + 2.0  = 19.16 kg</t>
  </si>
  <si>
    <t xml:space="preserve">125 A TPN SDF HRC fuse </t>
  </si>
  <si>
    <t xml:space="preserve">63 A TPN SDF HRC fuse </t>
  </si>
  <si>
    <r>
      <t>5' x 1.5' x 2 = 15 sq.ft.   15 x 0.096 = 1.44 m</t>
    </r>
    <r>
      <rPr>
        <vertAlign val="superscript"/>
        <sz val="12"/>
        <rFont val="Times New Roman"/>
        <family val="1"/>
      </rPr>
      <t>2</t>
    </r>
  </si>
  <si>
    <t>Cost of hylum sheet  [SR 2021-22 / P.129]</t>
  </si>
  <si>
    <t>200A fuse unit</t>
  </si>
  <si>
    <t>200A Neutral link</t>
  </si>
  <si>
    <t>Copper wire 19/6 A</t>
  </si>
  <si>
    <t>SDFS  / Pilot lamp fixing charges vide SD - 159</t>
  </si>
  <si>
    <t xml:space="preserve">                                                                                                                   </t>
  </si>
  <si>
    <t>Rate per each Rs. 4311.80</t>
  </si>
  <si>
    <t>Say Rs. 4312.00</t>
  </si>
  <si>
    <t>Supply and fixng of TNEB meter board suitable for 3 phase 63A service connection made up of suitable angle iron</t>
  </si>
  <si>
    <t>frame work of size 2 feet x 1-1/2 feet using angle iron of size 1-1/2" x 1-1/2" x 1/4" rigidly fixed on wall covered</t>
  </si>
  <si>
    <t>with hylem sheet of size 2 feet x 1/2 feet of 6mm thickness with necessary bolts and nuts supports and supply and</t>
  </si>
  <si>
    <t>fixing of 3 Nos. 63A fuse units (500V), 1 No. neutral link, copper earth flat of size 1" x 1/4" with inter connection of</t>
  </si>
  <si>
    <t>EB meter to fuse units by 16 Sq.mm PVC insulated copper wire with earth connection complete</t>
  </si>
  <si>
    <t xml:space="preserve"> Kg.</t>
  </si>
  <si>
    <t>Angle iron frame work of size 1-1/2" x 1-1/2" x 1/4" (1 metre = 3.25 Kg.)</t>
  </si>
  <si>
    <t xml:space="preserve"> sqm.</t>
  </si>
  <si>
    <t xml:space="preserve"> Hylem sheet of 6mm thickness </t>
  </si>
  <si>
    <t xml:space="preserve"> 63A fuse Unit (500V) </t>
  </si>
  <si>
    <t xml:space="preserve"> No</t>
  </si>
  <si>
    <t xml:space="preserve"> 63A neutral link (MR) </t>
  </si>
  <si>
    <t xml:space="preserve"> Kg. </t>
  </si>
  <si>
    <t>1" x 1/4" copper flat ( 1Mtr = 1.44 Kg)</t>
  </si>
  <si>
    <t>Metre</t>
  </si>
  <si>
    <t>Electrical Helper</t>
  </si>
  <si>
    <t xml:space="preserve"> 6 sq.mm PVC insulated copper wire</t>
  </si>
  <si>
    <t>Rate per Each</t>
  </si>
  <si>
    <t>SD-129 (SR 2020-21)</t>
  </si>
  <si>
    <t xml:space="preserve"> 230mm Dia pipe</t>
  </si>
  <si>
    <t>Volume of Concrete = 3.14 /x *0.23 x 0.23  x 2.5  = 4.02 /4=  0.104 m3</t>
  </si>
  <si>
    <t>Volume of Concrete = 3.14 /4x *0.30 x 0.30  x 8  =  0.565 m3</t>
  </si>
  <si>
    <t>Volume of Concrete = 3.14/4 x 0.30  x 0.30  x 1 km =0.071m3</t>
  </si>
  <si>
    <t>Prviding Augering  30 cm dia for compound wall (M30)</t>
  </si>
  <si>
    <t>Prviding Augering  30 cm dia for compound wall (M20)</t>
  </si>
  <si>
    <t xml:space="preserve">100 A neutral link SD -130 </t>
  </si>
  <si>
    <t>Supply and fixing of Aluminium partion (size 3.85 x 3.45) supplying and fixing of aluminium with fixed glass extruction as detailed below and anodized for 15 microns ( black colour) vertical 63.5 x 38.1 x 1.28 mm, die no 20027.thickness 0.758 kg/m,horizontal (top &amp; intermiate ) 63.5 x 38.1 x 1.28 mm, die no 20027.thickness 0.758 kg/m,bottom 101.6 x 44.45 x 2.5 mm thickness die no 19556-1.943kg/m,including labour charges for cutting &amp; fixing with necessary screws and including cost and conveyance of 5.5mm thick plain glass</t>
  </si>
  <si>
    <t>Plug</t>
  </si>
  <si>
    <t>32 A fuse units ( 500 V) [SR 2020-21 / P.119]</t>
  </si>
  <si>
    <t>40 amps 4 pole isolator [SR 2020-21 / P.133]</t>
  </si>
  <si>
    <t>40 amps 2 pole isolator [SR 2020-21 / P.133]</t>
  </si>
  <si>
    <t>4 in 1 PC/HC for 6 Services</t>
  </si>
  <si>
    <t>Length = 4.5feet,Height=6.5ft,Depth=1feet</t>
  </si>
  <si>
    <t>Requirement of 16 SWG MS sheet</t>
  </si>
  <si>
    <t>Front &amp; Back  4'.6" x 6.5"x2</t>
  </si>
  <si>
    <t>57.78sft</t>
  </si>
  <si>
    <t>for sides vertical  6'5"x 1'0" x2</t>
  </si>
  <si>
    <t>12.84sft</t>
  </si>
  <si>
    <t>for Top &amp; Bottom Horizantal 2x1'0"x4'6"</t>
  </si>
  <si>
    <t>9.00sft</t>
  </si>
  <si>
    <t>For intermediate  Horizantal 4 x 1'0" x 4'6"</t>
  </si>
  <si>
    <t>18sft</t>
  </si>
  <si>
    <t>For intermediate  Vertical 2x3 x 1'0" x 2'8"</t>
  </si>
  <si>
    <t>16.02sft</t>
  </si>
  <si>
    <t>113.64 sft</t>
  </si>
  <si>
    <t>for wastage 10%</t>
  </si>
  <si>
    <t>11.36 sft</t>
  </si>
  <si>
    <t>125.00 sft</t>
  </si>
  <si>
    <t>125 sft x1.17</t>
  </si>
  <si>
    <t>146.25kg</t>
  </si>
  <si>
    <t>Requirement of GI Flats for earth bus</t>
  </si>
  <si>
    <t>sixe proposed 25mm x 3mm GI Flat</t>
  </si>
  <si>
    <t>2x5'-6'+6'-6"x2=24ft = 8.00mt</t>
  </si>
  <si>
    <t>8mt x 0.60 Kg/mt =4.80 Kg</t>
  </si>
  <si>
    <t>Incomers &amp; Outgoings</t>
  </si>
  <si>
    <t>Amps</t>
  </si>
  <si>
    <t>6mm thick hylam sheet for fixing energy metrs</t>
  </si>
  <si>
    <t>Mtrs</t>
  </si>
  <si>
    <t>Mtre</t>
  </si>
  <si>
    <t>sq.ft</t>
  </si>
  <si>
    <t xml:space="preserve">6 Sq.mm singl core PVC copper cables for </t>
  </si>
  <si>
    <t>connection between fuse units and meter and</t>
  </si>
  <si>
    <t>Sundries 2 % such as bolts, nuts, washers</t>
  </si>
  <si>
    <t>insulation tae, PVC sleeves etc</t>
  </si>
  <si>
    <t>Transport Charges</t>
  </si>
  <si>
    <t>Erection Charges</t>
  </si>
  <si>
    <r>
      <t xml:space="preserve">Ms angle for base plate ( 70 x 50 x6 mm) </t>
    </r>
    <r>
      <rPr>
        <b/>
        <sz val="12"/>
        <color indexed="8"/>
        <rFont val="Times New Roman"/>
        <family val="1"/>
      </rPr>
      <t xml:space="preserve"> P- 125</t>
    </r>
  </si>
  <si>
    <r>
      <t xml:space="preserve">Interconnection charges </t>
    </r>
    <r>
      <rPr>
        <b/>
        <sz val="12"/>
        <color indexed="8"/>
        <rFont val="Times New Roman"/>
        <family val="1"/>
      </rPr>
      <t>(QTN)</t>
    </r>
  </si>
  <si>
    <r>
      <t>m</t>
    </r>
    <r>
      <rPr>
        <vertAlign val="superscript"/>
        <sz val="12"/>
        <color indexed="8"/>
        <rFont val="Times New Roman"/>
        <family val="1"/>
      </rPr>
      <t>2</t>
    </r>
  </si>
  <si>
    <r>
      <t xml:space="preserve">Insulators </t>
    </r>
    <r>
      <rPr>
        <b/>
        <sz val="12"/>
        <color indexed="8"/>
        <rFont val="Times New Roman"/>
        <family val="1"/>
      </rPr>
      <t>(QTN)</t>
    </r>
  </si>
  <si>
    <r>
      <t xml:space="preserve">LED pilot lamps ( Three Phase) </t>
    </r>
    <r>
      <rPr>
        <b/>
        <sz val="12"/>
        <color indexed="8"/>
        <rFont val="Times New Roman"/>
        <family val="1"/>
      </rPr>
      <t>(QTN)</t>
    </r>
  </si>
  <si>
    <r>
      <t xml:space="preserve">1 sqmm pvc copper cable </t>
    </r>
    <r>
      <rPr>
        <b/>
        <sz val="12"/>
        <color indexed="8"/>
        <rFont val="Times New Roman"/>
        <family val="1"/>
      </rPr>
      <t xml:space="preserve"> ( P-124 -Part-e-2a- SR-20-21)</t>
    </r>
  </si>
  <si>
    <r>
      <t>between meter and 32A TPN MCB  (</t>
    </r>
    <r>
      <rPr>
        <b/>
        <sz val="12"/>
        <color indexed="8"/>
        <rFont val="Times New Roman"/>
        <family val="1"/>
      </rPr>
      <t>P124 SR 20-21 )</t>
    </r>
  </si>
  <si>
    <r>
      <t xml:space="preserve">Lettering charges </t>
    </r>
    <r>
      <rPr>
        <b/>
        <sz val="12"/>
        <color indexed="8"/>
        <rFont val="Times New Roman"/>
        <family val="1"/>
      </rPr>
      <t>(QTN)</t>
    </r>
  </si>
  <si>
    <r>
      <t xml:space="preserve">in kgm      151.60 x 1.17                        = </t>
    </r>
    <r>
      <rPr>
        <b/>
        <sz val="12"/>
        <rFont val="Times New Roman"/>
        <family val="1"/>
      </rPr>
      <t>177.372 kgm</t>
    </r>
  </si>
  <si>
    <r>
      <t xml:space="preserve">100 A neutral link </t>
    </r>
    <r>
      <rPr>
        <b/>
        <sz val="12"/>
        <rFont val="Times New Roman"/>
        <family val="1"/>
      </rPr>
      <t xml:space="preserve">SD -130 </t>
    </r>
  </si>
  <si>
    <r>
      <t>6 Sq.mm. single core PVC copper cables for connection between fuse units and meter and between meter and 32A TPN MCB</t>
    </r>
    <r>
      <rPr>
        <b/>
        <sz val="12"/>
        <rFont val="Times New Roman"/>
        <family val="1"/>
      </rPr>
      <t xml:space="preserve"> [SR 2020-21 / P.124]</t>
    </r>
  </si>
  <si>
    <r>
      <t xml:space="preserve">25mm x 3mm GI Flat  </t>
    </r>
    <r>
      <rPr>
        <b/>
        <sz val="12"/>
        <color indexed="8"/>
        <rFont val="Times New Roman"/>
        <family val="1"/>
      </rPr>
      <t>( P-148 Ele SR-21-2022 )</t>
    </r>
  </si>
  <si>
    <r>
      <t xml:space="preserve">MS sheet &amp; Angle fabrication charges       </t>
    </r>
    <r>
      <rPr>
        <b/>
        <sz val="12"/>
        <color indexed="8"/>
        <rFont val="Times New Roman"/>
        <family val="1"/>
      </rPr>
      <t>( P-34 -it-167- SR-2020-21 )</t>
    </r>
  </si>
  <si>
    <r>
      <t>Isolators/ Fuse units/ Pilot lamp fixing charges</t>
    </r>
    <r>
      <rPr>
        <b/>
        <sz val="12"/>
        <color indexed="8"/>
        <rFont val="Times New Roman"/>
        <family val="1"/>
      </rPr>
      <t xml:space="preserve"> </t>
    </r>
    <r>
      <rPr>
        <b/>
        <sz val="10"/>
        <color indexed="8"/>
        <rFont val="Times New Roman"/>
        <family val="1"/>
      </rPr>
      <t>( SD-145 - 2020-2021 )</t>
    </r>
  </si>
  <si>
    <t>43.91sft</t>
  </si>
  <si>
    <t>6.84 sft</t>
  </si>
  <si>
    <t>13.68sft</t>
  </si>
  <si>
    <t>93.29 sft</t>
  </si>
  <si>
    <t>9.33 sft</t>
  </si>
  <si>
    <t>120.07kg</t>
  </si>
  <si>
    <t>Front &amp; Back  3'.5" x 6.5"x2</t>
  </si>
  <si>
    <t>for Top &amp; Bottom Horizantal 2x1'0"x3'5"</t>
  </si>
  <si>
    <t>For intermediate  Horizantal 4 x 1'0" x 3'5"</t>
  </si>
  <si>
    <t>120.07 sft x1.17</t>
  </si>
  <si>
    <t>102.62 sft</t>
  </si>
  <si>
    <t>S&amp;F of 4 way Horizontal type 3phase and neutral TP MCB DB with Metal Door cover with IP42 protection with separate neutral and earth link bus bar 1no of 63A 10KA 4 pole isolater as incomer 3nos 40A 10KA DP, 6A 25 Amps SP MCB the DB should be making good of surface position with earth condition cost of materials etc., complete.</t>
  </si>
  <si>
    <t>40A 10 KA DP MCB (PWD SR P  133 item No 6 i)</t>
  </si>
  <si>
    <t>Triple pole &amp; Neutral 4 way Horizontal type distribution board for single phase outgoing with busbar with double door arrangement (PWD SR P  136)</t>
  </si>
  <si>
    <t>S&amp;F of 8 way Vertical type 3phase and neutral TP MCB DB with Metal Door cover with IP42 protection with separate neutral and earth link bus bar 1no of 100A 10KA 4 pole isolater as incomer 5nos 63A 10KA4 pole MCB, 8 nos 6A 25 Amps SP MCB the DB should be making good of surface position with earth condition cost of materials etc., complete.</t>
  </si>
  <si>
    <t>Triple pole &amp; Neutral 8 way Vetical type distribution board for single phase outgoing with busbar with double door arrangement (PWD SR P  137)</t>
  </si>
  <si>
    <t>100A 4 pole 30 MA MCB (PWD SR P  134)</t>
  </si>
  <si>
    <t>63A 4 pole 30 MA MCB (PWD SR P  134)</t>
  </si>
  <si>
    <t>ROUGH STONE sl.37  p15</t>
  </si>
  <si>
    <t>BOND STONE sl.44 p16</t>
  </si>
  <si>
    <t>HARD BROKEN STONE JELLY 3mm To 10mm p-16(53-55)</t>
  </si>
  <si>
    <t>SAND FOR FILLING (Ann IV)</t>
  </si>
  <si>
    <t>Kiln Burnt Country Bricks  SIZE 22x11x7Cm p-14 it-5a</t>
  </si>
  <si>
    <t>BRICK JELLY 40mmGAUGE p-14 it-10 a</t>
  </si>
  <si>
    <t>MACHINE PRESSED TILES 23x 23x 2 Cm p-15 It-20</t>
  </si>
  <si>
    <t>SLACKED SHELL LIME sl.89 p17</t>
  </si>
  <si>
    <t>Country BricksKiln Burnt of SIZE 22x11x5Cm (7c)p-14</t>
  </si>
  <si>
    <t>M.S. SHEET/ANGLE PER M.T p20  I-142/112</t>
  </si>
  <si>
    <t>HBSJ 11.2mm IRC metal (SR 22-23,p16/48)</t>
  </si>
  <si>
    <t xml:space="preserve"> Gravel p17  75</t>
  </si>
  <si>
    <t xml:space="preserve"> Well Gravel p17  It76</t>
  </si>
  <si>
    <t>Chamber Burnt Bricks of size 23x11.2x7Cm p14/4b</t>
  </si>
  <si>
    <t>Chamber Burnt Bricks  of size 23x11.4x7.5Cmp14 /3a</t>
  </si>
  <si>
    <t>WASHING PLASTERED AREA WITH SOAP&amp;SODA WATER *p26/109/339</t>
  </si>
  <si>
    <t>Single leave  p-28/116a</t>
  </si>
  <si>
    <t>Double leaves p-28/116b</t>
  </si>
  <si>
    <t>Thorough scrapping -iron p-26/82/357d</t>
  </si>
  <si>
    <t>Thorough scrapping -wood p-26/80/357b</t>
  </si>
  <si>
    <t>Clean removal of cement plaster from walls and racking out joints 20mm deep  p-26/75/321</t>
  </si>
  <si>
    <t>ELC. CONSUMPTION CHARGES -it243/p56</t>
  </si>
  <si>
    <t>unit</t>
  </si>
  <si>
    <t>G.I. SHEET SR156 / 114 1.6mmT.K,30cmWIDE P-20 it-146/114</t>
  </si>
  <si>
    <t>Providing single nosing to the edges of Granite slab [PWD SR] P-36/32</t>
  </si>
  <si>
    <t xml:space="preserve">Single Nosing </t>
  </si>
  <si>
    <t xml:space="preserve">b Double Nosing </t>
  </si>
  <si>
    <t>Stainless Steel Sink [PWD SR] P-50/192</t>
  </si>
  <si>
    <t xml:space="preserve">a 600mm x 600mm x 200mm </t>
  </si>
  <si>
    <t xml:space="preserve">b 600mm x 450mm x 200mm </t>
  </si>
  <si>
    <t>UPVC Ventilator [PWD SR] P-66/270</t>
  </si>
  <si>
    <t>sqm.</t>
  </si>
  <si>
    <t>UPVC Window (PWD SR] P-65/269</t>
  </si>
  <si>
    <t>Supplying and Fixing of Rolling shutters of all sizes (Gear Operated)(  from 8m2  to 12m2 )Annex-Vi-P-44   SR 22-23 item -132-A-b</t>
  </si>
  <si>
    <t xml:space="preserve">sqm. </t>
  </si>
  <si>
    <t>BINDING WIRE p-20 it-144/113a</t>
  </si>
  <si>
    <t>Plasticizer / Super Plasticizer P-67/274</t>
  </si>
  <si>
    <t>CHICKEN MESH 10X10X10G it-150/129 P-20</t>
  </si>
  <si>
    <t>WELD MESH  75X25X10G / Fly proof mesh Sl.no.151 p-20</t>
  </si>
  <si>
    <t>WELD MESH 100X100X10G S.no.149 p-20</t>
  </si>
  <si>
    <t>IWC ORIYA PAN p49/180 ( white)</t>
  </si>
  <si>
    <t>S.W.TEE 100/150mm DIA WITH ISI MARK it-212/a p-53</t>
  </si>
  <si>
    <t>S.W.PIPE 100mm DIAWITH ISI MARKit-211/a p-53</t>
  </si>
  <si>
    <t>S.W.BEND 100/150mm DIAWITH ISI MARK it-212/b p-53</t>
  </si>
  <si>
    <t>S.W.TEE 150mm DIA WITH ISI MARK it-212/a p-53</t>
  </si>
  <si>
    <t>S.W.GULLY TRAP 150X100mm it-206 p-51</t>
  </si>
  <si>
    <t>NAHANI TRAP 63mm/75mmPVC TYP,4 way/3way p-51 it-208</t>
  </si>
  <si>
    <t>75mm</t>
  </si>
  <si>
    <t>CENTERING C.W BOARDING 40mmT.K ( Silver oakplank 40mm thick) 121/78 b p-19</t>
  </si>
  <si>
    <t>CENTERING C.W. JOIST ( Silver oak scantling)  it-115/77d p-19</t>
  </si>
  <si>
    <t>CASURINA POST 10cm TO 13cm DIA *p-19 /130b</t>
  </si>
  <si>
    <t>G.M.GATE VALUE (Heavy Duty)p-48it-144</t>
  </si>
  <si>
    <t>G.M.WHEELVALUE  (Heavy Duty)p-48it-145</t>
  </si>
  <si>
    <t>G.I.REDUCER p-47 it-155F</t>
  </si>
  <si>
    <t>G.I.REDUCER  TEEp-47 it-155H</t>
  </si>
  <si>
    <t>G.I.REDUCER  ELBOW p47 it-G</t>
  </si>
  <si>
    <t>C.P.TAP15mm DIA p - 48 it-160</t>
  </si>
  <si>
    <t>ALU TOWEL RAIL 20mm ,2'LONG p - 51 it-203</t>
  </si>
  <si>
    <t>P.V.C. LOW LEVEL CISTERN 10 LITCAPACITY p-49  183a</t>
  </si>
  <si>
    <t>150mm AL.HANDLE WITH CP SCREWS/DOOR STOPPER (PWD LR) p-41 it-107b</t>
  </si>
  <si>
    <t>TARRED HEMP YARN p- 53 /214</t>
  </si>
  <si>
    <t>E.W.C. WITH S  TRAP it-181( 1)p-49</t>
  </si>
  <si>
    <t>WASH BASIN 480x400mm without pedastal it-188 p-50</t>
  </si>
  <si>
    <t>P.V.C. SOIL SHOE 110mm DIA p-104 it -m</t>
  </si>
  <si>
    <t>M.S.WINDOW GRILLS / Special extruded sections for Steel Windows *p20/152/131</t>
  </si>
  <si>
    <t>SINTEX WATER TANK OF 750 LIT it-184 p-50</t>
  </si>
  <si>
    <t>POISHED CUDDAPAH SLAB 20mm/40 mm THICK WELL POISHED  p-17 it-88/87</t>
  </si>
  <si>
    <t>CUDDAPAH SLAB SINK 60X45cm,20mmT.K p -50 it-190</t>
  </si>
  <si>
    <t>Standardised concrete Mix M35 Grade Concrete</t>
  </si>
  <si>
    <t>CUDDAPAH SLAB SINK 60X60cm,20mmT.K p -50 it-191</t>
  </si>
  <si>
    <t>Flat back urinal WITH ALL ACCESSORIES (white)p-50 it-193</t>
  </si>
  <si>
    <t>Brass screw p-55 it-232</t>
  </si>
  <si>
    <t>CW reepers 50x25 cm it-123 p-19</t>
  </si>
  <si>
    <t>CUTTING CHARGES p -26 Itm 91</t>
  </si>
  <si>
    <t>THREADING CHARGES p -26 Itm 91</t>
  </si>
  <si>
    <t>deduct rate for 15mm dia GM wheel valve p -48 /157(v)</t>
  </si>
  <si>
    <t>CI MANHOLE COVER 60CMX60CMX50KG p-55/238</t>
  </si>
  <si>
    <t>Charcoal 17-18 SD 233 (101.70/20.32 = 5.00)</t>
  </si>
  <si>
    <t xml:space="preserve">SALT  SD 233 </t>
  </si>
  <si>
    <t>GI WIRE 8 GAUGE p125/3c</t>
  </si>
  <si>
    <t>GALVANISIED IRON WIRE 2" x 2" using 10 gauge (of all sizes) p44/134</t>
  </si>
  <si>
    <t>Squat urinal including all accesseries (LSR new Item -4)p -55/i229</t>
  </si>
  <si>
    <t>brass DOOR HANDLE 150mm long P-41/109b</t>
  </si>
  <si>
    <t>5" Brass BUTT HINGS P-40/102a</t>
  </si>
  <si>
    <t xml:space="preserve"> 6"x1/2" Brass TOWER BOLT  P-40/104d</t>
  </si>
  <si>
    <t xml:space="preserve">10"x5/8" Brass ALDROP  P-41/106b </t>
  </si>
  <si>
    <t>DOOR STOPPER P-41/110</t>
  </si>
  <si>
    <t>MDF board exterior grade both side pre laminated including external lipping with kiln dried soft wood 35mm thick P-42/116</t>
  </si>
  <si>
    <t>with 32mm GI waste pipe and 32mm CP waste coupling it-191 p-50</t>
  </si>
  <si>
    <t>Supply and fixing of Mirror of size 600x450mm size (p-51-it-204)</t>
  </si>
  <si>
    <t>Supply and fixing of Mirror of size500x400mm size (p-51 it-204 -ii)</t>
  </si>
  <si>
    <t>10 lit. capacity. P- 49 / 183a</t>
  </si>
  <si>
    <t xml:space="preserve"> 4"X5/8"ALU.TOWER BOLT p -40/103f</t>
  </si>
  <si>
    <t>Brass hinges 6" p-40</t>
  </si>
  <si>
    <t>16" brass tower bolt   p-40</t>
  </si>
  <si>
    <t>T.W PLANKS (12-25 CM) (30 TO 45CM THICK) it-75(i) iii p-18</t>
  </si>
  <si>
    <t>Glass 5.5mm thick   p-44/137</t>
  </si>
  <si>
    <t>TW Beeding 15 x12 mm  p-42/113a</t>
  </si>
  <si>
    <t xml:space="preserve"> 200 mm long x12mm  ALU. TOWERBOLT (8") p-40/103d</t>
  </si>
  <si>
    <t xml:space="preserve"> Cost of Colour Marble chips ( 91.10/0.0354)=2548.02 (P-35 it-26 )</t>
  </si>
  <si>
    <t>Rubber beeding (An-VI -it-86 p-39</t>
  </si>
  <si>
    <t>Brass SCREWS (30x 6mm)it-138</t>
  </si>
  <si>
    <t>Power Grapping p-56 it-243</t>
  </si>
  <si>
    <t>Brass SCREWS (75x 10mm)it-138</t>
  </si>
  <si>
    <t>Country wood reeper (50 x 25 mm p-19 s.no.123)</t>
  </si>
  <si>
    <t>Rubber beeding (p-39-it-86</t>
  </si>
  <si>
    <t xml:space="preserve"> BRASS SCREWS ( 30x6mm)(An-VI -it-232 p-55</t>
  </si>
  <si>
    <t xml:space="preserve"> BRASS SCREWS (75x 10mm)(An-VI -it-233</t>
  </si>
  <si>
    <t xml:space="preserve"> Plug (An-VI -it-236</t>
  </si>
  <si>
    <t>Power Grapping it-243</t>
  </si>
  <si>
    <t>19 mm PVC rigid tees (p-129 4b, 16.05/12=1.34)</t>
  </si>
  <si>
    <t>Hylem sheet 3 mm thick with lamination p-129 it-7a part-I</t>
  </si>
  <si>
    <t>5 amps flush type switch p-118, Part-C,1 a ( 194.5/12=16.21)</t>
  </si>
  <si>
    <t>19 mm PVC junction box  ( p-129,6-b( 43.25/12=3.6)</t>
  </si>
  <si>
    <t xml:space="preserve"> Electrical Maistry ( p-11 it 49/106)</t>
  </si>
  <si>
    <t>Wiremen Grade  - I ( p-9 it-100)</t>
  </si>
  <si>
    <t>Wiremen Grade  - II ( p-11 it-101)</t>
  </si>
  <si>
    <t>Electrical HELPERp-12 it-102</t>
  </si>
  <si>
    <t>Add cost of Bakelite battern type holders 10 Nos @ Rs 16.65 / Each p-116,  it-25</t>
  </si>
  <si>
    <t>Add the cost of 10 Nos Buzer/Bell @ 41.70/Each it-31a p-116</t>
  </si>
  <si>
    <t>Add the cost of 10 nos 5A type push switch SD-105</t>
  </si>
  <si>
    <t>5 A 5 pin non - inter locking switch and plug ( flush type ) part - c (I a) + part - d (I a)( Rs. 194.50/12 + 24.10) p-118 +123 part d a</t>
  </si>
  <si>
    <t>2 X 10 Sq mm in fully concealed PVC conduit</t>
  </si>
  <si>
    <t>Run off mains with 2 wires of 10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</si>
  <si>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10 sqmm copper PVC insulated unsheathed single core cable p 125 , 2  part -E</t>
  </si>
  <si>
    <t>2.5sqmm copper PVC insulated unsheathed single core cable for continuous earth connectionp  P-125 2 d</t>
  </si>
  <si>
    <t>32 Amps double pole main switch with fuse and neutral link [SD 143] SR 119/2d</t>
  </si>
  <si>
    <t>32 Amps triple pole main switch with fuse and neutral link [SD 163] SR-p-133</t>
  </si>
  <si>
    <t>PVC reel insulater [SD 64] [6.60/12]</t>
  </si>
  <si>
    <t>25 W LED Street light Fittings p-115  18A/ lower end</t>
  </si>
  <si>
    <t>30 W LED Street light Fittings p-115  18A/ lower end</t>
  </si>
  <si>
    <t>80 W LED Street light Fittings</t>
  </si>
  <si>
    <t>80 W LED Street light Fittings p-114  17A/ lower end</t>
  </si>
  <si>
    <t>4' tube light fitting with \electronic ballast p-112 it-5</t>
  </si>
  <si>
    <t>Supplying and fixing in position of UPVC window of casement type( open) for all sizes SR 2022-2023 p-65</t>
  </si>
  <si>
    <t>Supplying and Fixing of Rolling shutters of all sizes (Gear Operated)(  from 8m2  to 12m2 )Annex-Vi-P-45   PWD SR 2022-2023 p-44</t>
  </si>
  <si>
    <t>Supplying and fixing in position of UPVC Ventilator louvered ventilator  type for all sizes 
 PWD SR 2022-2023 p-66</t>
  </si>
  <si>
    <t>Dismantling of RCC works it-35/38 p-22</t>
  </si>
  <si>
    <t>Conveyance of dismantled materials p-31</t>
  </si>
  <si>
    <t>Loading or unloading charges p-32</t>
  </si>
  <si>
    <t>Supply and fixing of Prepainting G.I. Window/ Ventilator  with Grill( PWDSR-22-23)P-59</t>
  </si>
  <si>
    <t>25mm x3mm Gi flat [SR 2022-23 / P.151]</t>
  </si>
  <si>
    <t xml:space="preserve"> 200 A fuse units [SR P.120]</t>
  </si>
  <si>
    <t>41 amps 4 pole isolator</t>
  </si>
  <si>
    <t>63 A fuse units ( 500 V) [SR 2022-23 / P.120]</t>
  </si>
  <si>
    <t>32 A fuse units ( 500 V)  [SR 2022-23 / P.120]</t>
  </si>
  <si>
    <t xml:space="preserve">32 A netural link SD -127 </t>
  </si>
  <si>
    <t>40 amps 4 pole isolator [SR 2022-23 / P.134]</t>
  </si>
  <si>
    <t>40 amps 2 pole isolator [SR 2022-23 / P.134]</t>
  </si>
  <si>
    <t>Cost of hylum sheet 6mm [SR 2022-23 / P.129]</t>
  </si>
  <si>
    <t>1 sqmm PVC copper cable [SR 2022-23 / P.124]</t>
  </si>
  <si>
    <t>MS sheet fabrication charges [SR 2022-23 / P.29]</t>
  </si>
  <si>
    <t>6 Sq.mm. single core PVC copper cables for connection between fuse units and meter and between meter and 32A TPN MCB [SR 2022-23 / P.125]</t>
  </si>
  <si>
    <t>32 A  10KA TPN MCB  [SR 2022-23 / P.132]</t>
  </si>
  <si>
    <t>32 A  10KA DPN MCB [SR 2022-23 / P.132]</t>
  </si>
  <si>
    <t>63A 10 KA TPN MCB  [SR 2022-23 / P.132]</t>
  </si>
  <si>
    <t>10 sq.mm PVC insulated copper conductor for making connection from cutout to meter, from meter to MCB etc. [SR 2022-23 / P.125]</t>
  </si>
  <si>
    <t>63 A fuse units ( 500 V) [SR 2022-23 / P.132]</t>
  </si>
  <si>
    <t>16A fuse units [SR 2022-23 / P.120]</t>
  </si>
  <si>
    <t>1 sqmm PVC copper cable [SR 2022-23 / P.125]</t>
  </si>
  <si>
    <t>Angle iron fabrication charges [SR 2022-23 / P.34]</t>
  </si>
  <si>
    <t xml:space="preserve">63A TPN 15 KA MCCB with HRC fuses  SOR  P-134/2022-23 </t>
  </si>
  <si>
    <t>Cost of UPVC SN8 Pipe (TWAD SR 2022-23 P-23 1.2 1)</t>
  </si>
  <si>
    <t>JOINTING MATERIALS. (TWAD SR 22-23,p-268 11-b)</t>
  </si>
  <si>
    <t>10%</t>
  </si>
  <si>
    <t xml:space="preserve"> 'U' nails (SD-74 ,22-23)</t>
  </si>
  <si>
    <t>SD 74  -  Rs  26.00 / Rmt</t>
  </si>
  <si>
    <t>Charcoal SD 233-2022-23 (101.7/20.32 = 5.00)</t>
  </si>
  <si>
    <t>Salt (SD 233, 22-23)</t>
  </si>
  <si>
    <t>63 Amps triple pole main switch with fuse and neutral link  SR-p-133</t>
  </si>
  <si>
    <t>Flush door shutter size 750x2100  ( single leaf)</t>
  </si>
  <si>
    <t>shutter size =0.65*2.025 =</t>
  </si>
  <si>
    <t>8 in 1 PC/HC For 10 Services</t>
  </si>
  <si>
    <t>Length = 5.5feet,Height=6.5ft,Depth=1feet</t>
  </si>
  <si>
    <t>Front &amp; Back  5'.6" x 6'.5"x2</t>
  </si>
  <si>
    <t>70.62 SFt</t>
  </si>
  <si>
    <t>for sides 6'5"x 1'0" x2</t>
  </si>
  <si>
    <t>12.84 sft</t>
  </si>
  <si>
    <t>for Top &amp; Bottom 2x1'0"x5'-6"</t>
  </si>
  <si>
    <t>11.00sft</t>
  </si>
  <si>
    <t>For intermediate  Horizantol 4 x 1'0" x5'6"</t>
  </si>
  <si>
    <t>22.00sft</t>
  </si>
  <si>
    <t>For intermediate  Vertical  2x4 x 1'0" x2'8"</t>
  </si>
  <si>
    <t>21.36 sft</t>
  </si>
  <si>
    <t xml:space="preserve">Total </t>
  </si>
  <si>
    <t>137.82 sft</t>
  </si>
  <si>
    <t>13.78 sft</t>
  </si>
  <si>
    <t>151.60 sft</t>
  </si>
  <si>
    <t>in kgm 151.60 x1.17</t>
  </si>
  <si>
    <t>177.372kg</t>
  </si>
  <si>
    <r>
      <t xml:space="preserve">Cost of MS Sheet </t>
    </r>
    <r>
      <rPr>
        <b/>
        <sz val="11"/>
        <color theme="1"/>
        <rFont val="Calibri"/>
        <family val="2"/>
        <scheme val="minor"/>
      </rPr>
      <t>P- 125</t>
    </r>
  </si>
  <si>
    <r>
      <t xml:space="preserve">Cost Copper </t>
    </r>
    <r>
      <rPr>
        <b/>
        <sz val="11"/>
        <color theme="1"/>
        <rFont val="Calibri"/>
        <family val="2"/>
        <scheme val="minor"/>
      </rPr>
      <t>( P-125 SR-2020-21 )</t>
    </r>
  </si>
  <si>
    <r>
      <t xml:space="preserve">Tin Coating of Copper </t>
    </r>
    <r>
      <rPr>
        <b/>
        <sz val="11"/>
        <color theme="1"/>
        <rFont val="Calibri"/>
        <family val="2"/>
        <scheme val="minor"/>
      </rPr>
      <t>(QTN)</t>
    </r>
  </si>
  <si>
    <r>
      <t xml:space="preserve">Ms angle for base plate ( 70 x 50 x6 mm) </t>
    </r>
    <r>
      <rPr>
        <b/>
        <sz val="11"/>
        <color theme="1"/>
        <rFont val="Calibri"/>
        <family val="2"/>
        <scheme val="minor"/>
      </rPr>
      <t xml:space="preserve"> P- 125</t>
    </r>
  </si>
  <si>
    <r>
      <t>m</t>
    </r>
    <r>
      <rPr>
        <vertAlign val="superscript"/>
        <sz val="11"/>
        <color theme="1"/>
        <rFont val="Calibri"/>
        <family val="2"/>
        <scheme val="minor"/>
      </rPr>
      <t>2</t>
    </r>
  </si>
  <si>
    <t xml:space="preserve">m </t>
  </si>
  <si>
    <r>
      <t>between meter and 32A TPN MCB  (</t>
    </r>
    <r>
      <rPr>
        <b/>
        <sz val="11"/>
        <color theme="1"/>
        <rFont val="Calibri"/>
        <family val="2"/>
        <scheme val="minor"/>
      </rPr>
      <t>P124 SR 20-21 )</t>
    </r>
  </si>
  <si>
    <r>
      <t xml:space="preserve">Lettering charges </t>
    </r>
    <r>
      <rPr>
        <b/>
        <sz val="11"/>
        <color theme="1"/>
        <rFont val="Calibri"/>
        <family val="2"/>
        <scheme val="minor"/>
      </rPr>
      <t>(QTN)</t>
    </r>
  </si>
  <si>
    <t>Add VAT @ 14.5%</t>
  </si>
  <si>
    <t>Sakkarakottai-CER-135/21-22</t>
  </si>
  <si>
    <t>63 A fuse units ( 500 V) [SR 2022-23 / P.119]</t>
  </si>
  <si>
    <t>32 A fuse units ( 500 V)[SR 2022-23 // P.119]</t>
  </si>
  <si>
    <t>6 in 1  FOR 8 SERVICES</t>
  </si>
  <si>
    <t xml:space="preserve"> 2021-22</t>
  </si>
  <si>
    <r>
      <t xml:space="preserve">25mm x 3mm GI Flat  </t>
    </r>
    <r>
      <rPr>
        <b/>
        <sz val="11"/>
        <color theme="1"/>
        <rFont val="Calibri"/>
        <family val="2"/>
        <scheme val="minor"/>
      </rPr>
      <t>( P-148 Ele SR-21-2022 )</t>
    </r>
  </si>
  <si>
    <r>
      <t xml:space="preserve">200 A fuse units </t>
    </r>
    <r>
      <rPr>
        <b/>
        <sz val="11"/>
        <color theme="1"/>
        <rFont val="Calibri"/>
        <family val="2"/>
        <scheme val="minor"/>
      </rPr>
      <t>(SR 20-2021 p-119 ,6e)</t>
    </r>
  </si>
  <si>
    <t>between meter and 32A TPN MCB  ( P-125 -Part-e-2a- SR-21-22)</t>
  </si>
  <si>
    <t xml:space="preserve"> 65mm DIA TWAD 2022-2023 p44</t>
  </si>
  <si>
    <t>ALIGNING (Twad-2022-23/268)</t>
  </si>
  <si>
    <t>MASON-I Brick / Stone work (p-10)</t>
  </si>
  <si>
    <t>MASON-II Brick / Stone work (p-10)</t>
  </si>
  <si>
    <t>PAINTER-I (p-10)</t>
  </si>
  <si>
    <t>PLUMBER-I (p-10)</t>
  </si>
  <si>
    <t>MAZDOOR-I (p-11)</t>
  </si>
  <si>
    <t>MAZDOOR-II (p-12)</t>
  </si>
  <si>
    <t>PAINTER-II (p-11)</t>
  </si>
  <si>
    <t>PLUMBER-II (p-11)</t>
  </si>
  <si>
    <t>FITTER-I (p-9)</t>
  </si>
  <si>
    <t>FITTER-II (p-11)</t>
  </si>
  <si>
    <t>CARPENTER-I (p-10)</t>
  </si>
  <si>
    <t>CARPENTER-II (p-11)</t>
  </si>
  <si>
    <t>STONE CUTTER-I (p-9)</t>
  </si>
  <si>
    <t>Stone dust p17  item no-584</t>
  </si>
  <si>
    <t>Fly Ash Bricks  it-3A/8a p-14</t>
  </si>
  <si>
    <t>L.C Wrought and put up T.W Window p-28/110/11</t>
  </si>
  <si>
    <t>AS  PER SR(85)  2022-23(p-23</t>
  </si>
  <si>
    <t>R.C.C.IN (M 20)</t>
  </si>
  <si>
    <t>DOOR HANDLE WITH CP SCREWS 6" (p-41)</t>
  </si>
  <si>
    <t xml:space="preserve">  5"BUTT HINGS (p-40)</t>
  </si>
  <si>
    <t xml:space="preserve"> 6"X1/2"TOWER BOLT (p-40)</t>
  </si>
  <si>
    <t>10"X5/8"ALDROP (p-41)</t>
  </si>
  <si>
    <t>DOOR STOPPER (p-41)</t>
  </si>
  <si>
    <t>RATE PER 3.95 SQM</t>
  </si>
  <si>
    <t>Forpower rolling as per TWAD SR  it-15 b / P.286</t>
  </si>
  <si>
    <t>COST OF stain free nano polish Vertified TILES (p51, it-156)</t>
  </si>
  <si>
    <t>Bolts &amp; Nuts ( 3/4"x 1/4") It-103-b</t>
  </si>
  <si>
    <t>Bolts &amp; Nuts ( 6"x 1/2") it-103-e</t>
  </si>
  <si>
    <t xml:space="preserve">Granite Slab flooring in cm1:3,20mm thk </t>
  </si>
  <si>
    <t>COST OF granite FLOOR slab , (p-36/29c)
gray</t>
  </si>
  <si>
    <t>TW plank of size 750 x 450 x 12 mm thick(91300+12980) p-20+P-27 it-143 labour charge</t>
  </si>
  <si>
    <t>Less 4 way TPDB 32 A/way p-120, 8d</t>
  </si>
  <si>
    <t>Hylem sheet 0.60 Sq m@ 661/Sq m p-130  ,7 a</t>
  </si>
  <si>
    <t>Trichy (Fire station Governer Bunglow)</t>
  </si>
  <si>
    <t>DATA - 300 Amps</t>
  </si>
  <si>
    <t>Length = 0.7m.       Height =0.9m.   Depth = 0.25m.</t>
  </si>
  <si>
    <t>25mm x3mm Gi flat [SR 2021-22 / P.148]</t>
  </si>
  <si>
    <t>MS angle for base plate</t>
  </si>
  <si>
    <t>63 A fuse units ( 500 V) [SR 2021-22 / P.119]</t>
  </si>
  <si>
    <t>32 A fuse units ( 500 V)[SR 2021-22 // P.119]</t>
  </si>
  <si>
    <t>40 amps 4 pole isolator [SR 2021-22 / P.134]</t>
  </si>
  <si>
    <t>40 amps 2 pole isolator [SR 2021-22 / P.134]</t>
  </si>
  <si>
    <t>6 Sq.mm. single core PVC copper cables for connection between fuse units and meter and between meter and 32A TPN MCB [SR 2021-22 / P.124]</t>
  </si>
  <si>
    <t>RATE PER SQM for one coat</t>
  </si>
  <si>
    <r>
      <t xml:space="preserve">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t>
    </r>
    <r>
      <rPr>
        <b/>
        <sz val="12"/>
        <rFont val="Cambria"/>
        <family val="1"/>
        <scheme val="major"/>
      </rPr>
      <t>FAN POINT</t>
    </r>
    <r>
      <rPr>
        <sz val="12"/>
        <rFont val="Cambria"/>
        <family val="1"/>
        <scheme val="major"/>
      </rPr>
      <t xml:space="preserve"> FOR ADMINISTRATIVE BLOCKS AND COMMUNITY CENTRE controlled by 5 amps flush type switch including citcuit mains, cost of all materials, specials, etc., all complete,</t>
    </r>
    <r>
      <rPr>
        <b/>
        <sz val="12"/>
        <rFont val="Cambria"/>
        <family val="1"/>
        <scheme val="major"/>
      </rPr>
      <t>(Open wiring)</t>
    </r>
  </si>
  <si>
    <r>
      <t>Mason II</t>
    </r>
    <r>
      <rPr>
        <vertAlign val="superscript"/>
        <sz val="12"/>
        <rFont val="Cambria"/>
        <family val="1"/>
        <scheme val="major"/>
      </rPr>
      <t>nd</t>
    </r>
    <r>
      <rPr>
        <sz val="12"/>
        <rFont val="Cambria"/>
        <family val="1"/>
        <scheme val="major"/>
      </rPr>
      <t xml:space="preserve"> class</t>
    </r>
  </si>
  <si>
    <r>
      <t xml:space="preserve">LIGHT POINT WITH CEILING ROSE FOR ADMINISTRATIVE BLOCKS AND COMMUNITY CENTRE </t>
    </r>
    <r>
      <rPr>
        <b/>
        <sz val="14"/>
        <rFont val="Cambria"/>
        <family val="1"/>
        <scheme val="major"/>
      </rPr>
      <t>Open wiring</t>
    </r>
  </si>
  <si>
    <r>
      <t>A 300x200x75 mm=0.135m</t>
    </r>
    <r>
      <rPr>
        <vertAlign val="superscript"/>
        <sz val="12"/>
        <rFont val="Cambria"/>
        <family val="1"/>
        <scheme val="major"/>
      </rPr>
      <t>2</t>
    </r>
  </si>
  <si>
    <r>
      <t xml:space="preserve">Supplying and fixing of </t>
    </r>
    <r>
      <rPr>
        <b/>
        <sz val="12"/>
        <rFont val="Cambria"/>
        <family val="1"/>
        <scheme val="major"/>
      </rPr>
      <t>15 Amps 3 pin flush type plug</t>
    </r>
    <r>
      <rPr>
        <sz val="12"/>
        <rFont val="Cambria"/>
        <family val="1"/>
        <scheme val="major"/>
      </rPr>
      <t xml:space="preserve"> socket on suitable MS box of 16g thick concealed and covered with 3 mm thick laminated hylem sheet inclusive of all materials, etc., all complete.</t>
    </r>
  </si>
  <si>
    <r>
      <t>Add cost of Bakelite battern type holders 6 nos @</t>
    </r>
    <r>
      <rPr>
        <sz val="12"/>
        <color indexed="10"/>
        <rFont val="Cambria"/>
        <family val="1"/>
        <scheme val="major"/>
      </rPr>
      <t xml:space="preserve"> 16.65/E</t>
    </r>
    <r>
      <rPr>
        <sz val="12"/>
        <rFont val="Cambria"/>
        <family val="1"/>
        <scheme val="major"/>
      </rPr>
      <t>ach9 (New item 25-p-116)</t>
    </r>
  </si>
  <si>
    <r>
      <t xml:space="preserve">Supplying and fixing of 32 amps triple pole main switch with fuse and neutral link </t>
    </r>
    <r>
      <rPr>
        <sz val="12"/>
        <rFont val="Cambria"/>
        <family val="1"/>
        <scheme val="major"/>
      </rPr>
      <t>on a suitable well varnished teak wood board including necessary interconnection and earth connection cost of all materials, etc., all complete.</t>
    </r>
  </si>
  <si>
    <r>
      <t xml:space="preserve">Supplying and fixing of 63 amps triple pole main switch with fuse and neutral link </t>
    </r>
    <r>
      <rPr>
        <sz val="12"/>
        <rFont val="Cambria"/>
        <family val="1"/>
        <scheme val="major"/>
      </rPr>
      <t>on a suitable well varnished teak wood board including necessary interconnection and earth connection cost of all materials, etc., all complete.</t>
    </r>
  </si>
  <si>
    <r>
      <t xml:space="preserve">32 Amps rating </t>
    </r>
    <r>
      <rPr>
        <b/>
        <sz val="12"/>
        <rFont val="Cambria"/>
        <family val="1"/>
        <scheme val="major"/>
      </rPr>
      <t xml:space="preserve">Three phase </t>
    </r>
    <r>
      <rPr>
        <sz val="12"/>
        <rFont val="Cambria"/>
        <family val="1"/>
        <scheme val="major"/>
      </rPr>
      <t>ELCB with 20 to 30 MA sensitivity (P-133  11-a) part -L</t>
    </r>
  </si>
  <si>
    <r>
      <t xml:space="preserve">Supplying and fixing </t>
    </r>
    <r>
      <rPr>
        <b/>
        <sz val="12"/>
        <rFont val="Cambria"/>
        <family val="1"/>
        <scheme val="major"/>
      </rPr>
      <t xml:space="preserve">1 No of 450 x 375 x 20 m   thick TW plank </t>
    </r>
    <r>
      <rPr>
        <sz val="12"/>
        <rFont val="Cambria"/>
        <family val="1"/>
        <scheme val="major"/>
      </rPr>
      <t>well varnished with 3 No 30 amps 500 volts fuse unit and 1 No of copper earth plate of suitable size bolts and nuta on walls for EB service connections including cost of all materials, etc., all complete.</t>
    </r>
  </si>
  <si>
    <r>
      <t>Charges for conveying and layind=g of U.G.Cable below ground level including earth work excavation and refilling and providing sand cushion, brick layer protection, etc., all complete for UG cable of sizes 4 to 25 mm and 2'/3/3</t>
    </r>
    <r>
      <rPr>
        <vertAlign val="superscript"/>
        <sz val="12"/>
        <rFont val="Cambria"/>
        <family val="1"/>
        <scheme val="major"/>
      </rPr>
      <t>1/2</t>
    </r>
    <r>
      <rPr>
        <sz val="12"/>
        <rFont val="Cambria"/>
        <family val="1"/>
        <scheme val="major"/>
      </rPr>
      <t>/4 core</t>
    </r>
  </si>
  <si>
    <r>
      <t xml:space="preserve">Supplying and concealing </t>
    </r>
    <r>
      <rPr>
        <b/>
        <sz val="12"/>
        <rFont val="Cambria"/>
        <family val="1"/>
        <scheme val="major"/>
      </rPr>
      <t>TV/Telephone socket</t>
    </r>
    <r>
      <rPr>
        <sz val="12"/>
        <rFont val="Cambria"/>
        <family val="1"/>
        <scheme val="major"/>
      </rPr>
      <t xml:space="preserve"> with top pin with suitable TW box fully concealed and covered with 3 mm thick Hylem sheet etc., all complete.</t>
    </r>
  </si>
  <si>
    <r>
      <t xml:space="preserve">Clamp fixing by cheche screws bolts and nuts including connections ( </t>
    </r>
    <r>
      <rPr>
        <b/>
        <sz val="12"/>
        <rFont val="Cambria"/>
        <family val="1"/>
        <scheme val="major"/>
      </rPr>
      <t>as per SD-114, Elec Data 2022-23)</t>
    </r>
  </si>
  <si>
    <r>
      <t xml:space="preserve">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t>
    </r>
    <r>
      <rPr>
        <b/>
        <sz val="12"/>
        <rFont val="Cambria"/>
        <family val="1"/>
        <scheme val="major"/>
      </rPr>
      <t>FAN POINT</t>
    </r>
    <r>
      <rPr>
        <sz val="12"/>
        <rFont val="Cambria"/>
        <family val="1"/>
        <scheme val="major"/>
      </rPr>
      <t xml:space="preserve"> controlled by 5 amps flush type switch including citcuit mains, cost of all materials, specials, etc., all complete,</t>
    </r>
    <r>
      <rPr>
        <b/>
        <sz val="12"/>
        <rFont val="Cambria"/>
        <family val="1"/>
        <scheme val="major"/>
      </rPr>
      <t>(Open wiring)</t>
    </r>
  </si>
  <si>
    <r>
      <t xml:space="preserve">in kgm      45.738 x 1.17                  =  53.513 </t>
    </r>
    <r>
      <rPr>
        <b/>
        <sz val="10"/>
        <rFont val="Cambria"/>
        <family val="1"/>
        <scheme val="major"/>
      </rPr>
      <t>kgm</t>
    </r>
  </si>
  <si>
    <r>
      <t>m</t>
    </r>
    <r>
      <rPr>
        <vertAlign val="superscript"/>
        <sz val="10"/>
        <rFont val="Cambria"/>
        <family val="1"/>
        <scheme val="major"/>
      </rPr>
      <t>2</t>
    </r>
  </si>
  <si>
    <r>
      <t>6 Sq.mm. single core PVC copper cables for connection between fuse units and meter and between meter and 32A TPN MCB</t>
    </r>
    <r>
      <rPr>
        <b/>
        <sz val="10"/>
        <rFont val="Cambria"/>
        <family val="1"/>
        <scheme val="major"/>
      </rPr>
      <t xml:space="preserve"> (P-125  it-2e)</t>
    </r>
  </si>
  <si>
    <r>
      <t xml:space="preserve">Add: </t>
    </r>
    <r>
      <rPr>
        <sz val="10"/>
        <rFont val="Cambria"/>
        <family val="1"/>
        <scheme val="major"/>
      </rPr>
      <t>VAT @ 14.5%</t>
    </r>
  </si>
  <si>
    <r>
      <t xml:space="preserve">Tamil Nadu Police Housing Corparation Ltd. </t>
    </r>
    <r>
      <rPr>
        <b/>
        <sz val="12"/>
        <rFont val="Cambria"/>
        <family val="1"/>
        <scheme val="major"/>
      </rPr>
      <t xml:space="preserve"> DATA</t>
    </r>
  </si>
  <si>
    <r>
      <t xml:space="preserve">EARTH WORK EXCAVATION  for </t>
    </r>
    <r>
      <rPr>
        <b/>
        <sz val="12"/>
        <rFont val="Cambria"/>
        <family val="1"/>
        <scheme val="major"/>
      </rPr>
      <t>SDR</t>
    </r>
  </si>
  <si>
    <r>
      <t xml:space="preserve">EARTH WORK EXCAVATION  for </t>
    </r>
    <r>
      <rPr>
        <b/>
        <sz val="12"/>
        <rFont val="Cambria"/>
        <family val="1"/>
        <scheme val="major"/>
      </rPr>
      <t>open foundation</t>
    </r>
    <r>
      <rPr>
        <sz val="12"/>
        <rFont val="Cambria"/>
        <family val="1"/>
        <scheme val="major"/>
      </rPr>
      <t>EXCLUDING REFILLING</t>
    </r>
  </si>
  <si>
    <t>EARTH WORK EXCAVATION  for open foundation
IN SDR (EXCLUDING REFILLING)</t>
  </si>
  <si>
    <r>
      <t xml:space="preserve">BASEMENT  WITH  </t>
    </r>
    <r>
      <rPr>
        <b/>
        <sz val="12"/>
        <rFont val="Cambria"/>
        <family val="1"/>
        <scheme val="major"/>
      </rPr>
      <t>FILLING WELL GRAVEL</t>
    </r>
  </si>
  <si>
    <r>
      <t xml:space="preserve">RATE PER CUM EXCLUDING REFILLING
</t>
    </r>
    <r>
      <rPr>
        <b/>
        <sz val="12"/>
        <rFont val="Cambria"/>
        <family val="1"/>
        <scheme val="major"/>
      </rPr>
      <t>IN SDR (OPEN FOUNDATION)</t>
    </r>
  </si>
  <si>
    <r>
      <t xml:space="preserve">BASEMENT  WITH  </t>
    </r>
    <r>
      <rPr>
        <b/>
        <sz val="12"/>
        <rFont val="Cambria"/>
        <family val="1"/>
        <scheme val="major"/>
      </rPr>
      <t>FILLING SAND</t>
    </r>
  </si>
  <si>
    <r>
      <t xml:space="preserve">BASEMENT  WITH  </t>
    </r>
    <r>
      <rPr>
        <b/>
        <sz val="12"/>
        <rFont val="Cambria"/>
        <family val="1"/>
        <scheme val="major"/>
      </rPr>
      <t>FILLING GRAVEL</t>
    </r>
  </si>
  <si>
    <r>
      <t xml:space="preserve">PROVIDING </t>
    </r>
    <r>
      <rPr>
        <b/>
        <sz val="12"/>
        <rFont val="Cambria"/>
        <family val="1"/>
        <scheme val="major"/>
      </rPr>
      <t>SAND  GRAVEL MIX</t>
    </r>
  </si>
  <si>
    <r>
      <t xml:space="preserve">BASEMENT  WITH  </t>
    </r>
    <r>
      <rPr>
        <b/>
        <sz val="12"/>
        <rFont val="Cambria"/>
        <family val="1"/>
        <scheme val="major"/>
      </rPr>
      <t>STONE DUST</t>
    </r>
  </si>
  <si>
    <r>
      <t xml:space="preserve">Providing </t>
    </r>
    <r>
      <rPr>
        <b/>
        <sz val="12"/>
        <rFont val="Cambria"/>
        <family val="1"/>
        <scheme val="major"/>
      </rPr>
      <t>GRAVEL SOLING</t>
    </r>
    <r>
      <rPr>
        <sz val="12"/>
        <rFont val="Cambria"/>
        <family val="1"/>
        <scheme val="major"/>
      </rPr>
      <t xml:space="preserve"> of 150mm thick</t>
    </r>
  </si>
  <si>
    <r>
      <t>CEMENT CONCRETE</t>
    </r>
    <r>
      <rPr>
        <b/>
        <sz val="12"/>
        <rFont val="Cambria"/>
        <family val="1"/>
        <scheme val="major"/>
      </rPr>
      <t xml:space="preserve"> PCC (1:2:4)</t>
    </r>
    <r>
      <rPr>
        <sz val="12"/>
        <rFont val="Cambria"/>
        <family val="1"/>
        <scheme val="major"/>
      </rPr>
      <t xml:space="preserve"> USING</t>
    </r>
  </si>
  <si>
    <r>
      <t>CEMENT CONCRETE</t>
    </r>
    <r>
      <rPr>
        <b/>
        <sz val="12"/>
        <rFont val="Cambria"/>
        <family val="1"/>
        <scheme val="major"/>
      </rPr>
      <t>(1:8:16)</t>
    </r>
    <r>
      <rPr>
        <sz val="12"/>
        <rFont val="Cambria"/>
        <family val="1"/>
        <scheme val="major"/>
      </rPr>
      <t xml:space="preserve"> USING</t>
    </r>
  </si>
  <si>
    <r>
      <t>CEMENT CONCRETE</t>
    </r>
    <r>
      <rPr>
        <b/>
        <sz val="12"/>
        <rFont val="Cambria"/>
        <family val="1"/>
        <scheme val="major"/>
      </rPr>
      <t>(1:4:8)</t>
    </r>
    <r>
      <rPr>
        <sz val="12"/>
        <rFont val="Cambria"/>
        <family val="1"/>
        <scheme val="major"/>
      </rPr>
      <t xml:space="preserve"> USING</t>
    </r>
  </si>
  <si>
    <r>
      <t xml:space="preserve">PROVIDING  </t>
    </r>
    <r>
      <rPr>
        <b/>
        <sz val="12"/>
        <rFont val="Cambria"/>
        <family val="1"/>
        <scheme val="major"/>
      </rPr>
      <t>WBM 125mm</t>
    </r>
    <r>
      <rPr>
        <sz val="12"/>
        <rFont val="Cambria"/>
        <family val="1"/>
        <scheme val="major"/>
      </rPr>
      <t xml:space="preserve"> CONSOLIDATED</t>
    </r>
  </si>
  <si>
    <r>
      <t xml:space="preserve">SURFACE DRESSING OVER </t>
    </r>
    <r>
      <rPr>
        <b/>
        <sz val="12"/>
        <rFont val="Cambria"/>
        <family val="1"/>
        <scheme val="major"/>
      </rPr>
      <t>WBM 25mm TK.</t>
    </r>
  </si>
  <si>
    <r>
      <t xml:space="preserve">PROVIDING </t>
    </r>
    <r>
      <rPr>
        <b/>
        <sz val="12"/>
        <rFont val="Cambria"/>
        <family val="1"/>
        <scheme val="major"/>
      </rPr>
      <t>BITUMEN PAD</t>
    </r>
    <r>
      <rPr>
        <sz val="12"/>
        <rFont val="Cambria"/>
        <family val="1"/>
        <scheme val="major"/>
      </rPr>
      <t xml:space="preserve"> FOR EXPANISION </t>
    </r>
  </si>
  <si>
    <r>
      <t xml:space="preserve"> P.C.C,R.C.C SLAB OF20mm THICK </t>
    </r>
    <r>
      <rPr>
        <b/>
        <sz val="12"/>
        <rFont val="Cambria"/>
        <family val="1"/>
        <scheme val="major"/>
      </rPr>
      <t>using standardised concrete mix M20</t>
    </r>
  </si>
  <si>
    <r>
      <t xml:space="preserve"> P.C.C,R.C.C SLAB OF20mm THICK </t>
    </r>
    <r>
      <rPr>
        <b/>
        <sz val="12"/>
        <rFont val="Cambria"/>
        <family val="1"/>
        <scheme val="major"/>
      </rPr>
      <t>using standardised concrete mix M30</t>
    </r>
  </si>
  <si>
    <r>
      <t xml:space="preserve"> P.C.C,R.C.C SLAB OF20mm THICK </t>
    </r>
    <r>
      <rPr>
        <b/>
        <sz val="12"/>
        <rFont val="Cambria"/>
        <family val="1"/>
        <scheme val="major"/>
      </rPr>
      <t>using standardised concrete mix M25</t>
    </r>
  </si>
  <si>
    <r>
      <t xml:space="preserve"> P.C.C,R.C.C SLAB OF40mm THICK </t>
    </r>
    <r>
      <rPr>
        <b/>
        <sz val="12"/>
        <rFont val="Cambria"/>
        <family val="1"/>
        <scheme val="major"/>
      </rPr>
      <t>using standardised concrete mix of M20 grade</t>
    </r>
  </si>
  <si>
    <r>
      <t xml:space="preserve"> P.C.C,R.C.C SLAB OF40mm THICK </t>
    </r>
    <r>
      <rPr>
        <b/>
        <sz val="12"/>
        <rFont val="Cambria"/>
        <family val="1"/>
        <scheme val="major"/>
      </rPr>
      <t>using standardised concrete mix of M30 grade</t>
    </r>
  </si>
  <si>
    <r>
      <t xml:space="preserve"> P.C.C,R.C.C SLAB OF40mm THICK </t>
    </r>
    <r>
      <rPr>
        <b/>
        <sz val="12"/>
        <rFont val="Cambria"/>
        <family val="1"/>
        <scheme val="major"/>
      </rPr>
      <t>using standardised concrete mix of M25 grade</t>
    </r>
  </si>
  <si>
    <r>
      <t xml:space="preserve">Glazed-WALL TILES PLAINCOLOUR-6MM T.K (PWD LR) 100x200x6mm 
</t>
    </r>
    <r>
      <rPr>
        <b/>
        <sz val="12"/>
        <rFont val="Cambria"/>
        <family val="1"/>
        <scheme val="major"/>
      </rPr>
      <t>item no. 11(ii)</t>
    </r>
  </si>
  <si>
    <r>
      <t xml:space="preserve"> 20mm Thick slab:- For </t>
    </r>
    <r>
      <rPr>
        <b/>
        <sz val="12"/>
        <rFont val="Cambria"/>
        <family val="1"/>
        <scheme val="major"/>
      </rPr>
      <t>kitchen arrangements only</t>
    </r>
  </si>
  <si>
    <r>
      <t xml:space="preserve">P.V.C. SOIL BENDWITH DOOR 110mm DIA </t>
    </r>
    <r>
      <rPr>
        <b/>
        <sz val="12"/>
        <color indexed="13"/>
        <rFont val="Cambria"/>
        <family val="1"/>
        <scheme val="major"/>
      </rPr>
      <t xml:space="preserve">Qtn </t>
    </r>
  </si>
  <si>
    <r>
      <t xml:space="preserve">20mm HBG Machine crushed stone jelly   </t>
    </r>
    <r>
      <rPr>
        <b/>
        <sz val="12"/>
        <rFont val="Cambria"/>
        <family val="1"/>
        <scheme val="major"/>
      </rPr>
      <t xml:space="preserve"> (7730 Kg)</t>
    </r>
  </si>
  <si>
    <r>
      <t xml:space="preserve">10-12mm HBG Machine crushed stone jelly   </t>
    </r>
    <r>
      <rPr>
        <b/>
        <sz val="12"/>
        <rFont val="Cambria"/>
        <family val="1"/>
        <scheme val="major"/>
      </rPr>
      <t xml:space="preserve"> (5156 Kg)</t>
    </r>
  </si>
  <si>
    <r>
      <t xml:space="preserve">Sand   </t>
    </r>
    <r>
      <rPr>
        <b/>
        <sz val="12"/>
        <rFont val="Cambria"/>
        <family val="1"/>
        <scheme val="major"/>
      </rPr>
      <t xml:space="preserve"> (7670 Kg)</t>
    </r>
  </si>
  <si>
    <r>
      <t xml:space="preserve">PROVIDING ANTI-TERMITE TREATMENT </t>
    </r>
    <r>
      <rPr>
        <b/>
        <sz val="12"/>
        <color indexed="13"/>
        <rFont val="Cambria"/>
        <family val="1"/>
        <scheme val="major"/>
      </rPr>
      <t>Say 34</t>
    </r>
  </si>
  <si>
    <r>
      <t xml:space="preserve">Satndardised cement Concrtet </t>
    </r>
    <r>
      <rPr>
        <b/>
        <sz val="12"/>
        <rFont val="Cambria"/>
        <family val="1"/>
        <scheme val="major"/>
      </rPr>
      <t>M30 grade 1:1.5:3 without vibrating charges</t>
    </r>
  </si>
  <si>
    <r>
      <t>S/F OF</t>
    </r>
    <r>
      <rPr>
        <b/>
        <sz val="12"/>
        <rFont val="Cambria"/>
        <family val="1"/>
        <scheme val="major"/>
      </rPr>
      <t xml:space="preserve"> BWR PLYWOOD DOOR</t>
    </r>
  </si>
  <si>
    <r>
      <t xml:space="preserve">I.O FITTINGS AS PER SCHEDULE E </t>
    </r>
    <r>
      <rPr>
        <b/>
        <sz val="12"/>
        <rFont val="Cambria"/>
        <family val="1"/>
        <scheme val="major"/>
      </rPr>
      <t>1200 x 2100mm size</t>
    </r>
  </si>
  <si>
    <r>
      <t xml:space="preserve">Supplying and fixing </t>
    </r>
    <r>
      <rPr>
        <b/>
        <sz val="12"/>
        <rFont val="Cambria"/>
        <family val="1"/>
        <scheme val="major"/>
      </rPr>
      <t>4mm thick pin</t>
    </r>
  </si>
  <si>
    <r>
      <t xml:space="preserve">COST OF Eurocon TILES </t>
    </r>
    <r>
      <rPr>
        <b/>
        <sz val="12"/>
        <rFont val="Cambria"/>
        <family val="1"/>
        <scheme val="major"/>
      </rPr>
      <t>(pwd -p 35/17</t>
    </r>
  </si>
  <si>
    <r>
      <t xml:space="preserve">COST OF Vertified TILES  </t>
    </r>
    <r>
      <rPr>
        <b/>
        <sz val="16"/>
        <color indexed="13"/>
        <rFont val="Cambria"/>
        <family val="1"/>
        <scheme val="major"/>
      </rPr>
      <t>qtn</t>
    </r>
  </si>
  <si>
    <r>
      <t xml:space="preserve">Suppling and laying </t>
    </r>
    <r>
      <rPr>
        <b/>
        <sz val="12"/>
        <rFont val="Cambria"/>
        <family val="1"/>
        <scheme val="major"/>
      </rPr>
      <t>colour matt finish floor tiles</t>
    </r>
  </si>
  <si>
    <r>
      <t xml:space="preserve">Suppling and laying </t>
    </r>
    <r>
      <rPr>
        <b/>
        <sz val="12"/>
        <rFont val="Cambria"/>
        <family val="1"/>
        <scheme val="major"/>
      </rPr>
      <t>colour matt finish wall tiles</t>
    </r>
  </si>
  <si>
    <r>
      <t xml:space="preserve">PAINTING TWO COATS OVER NEW           </t>
    </r>
    <r>
      <rPr>
        <b/>
        <sz val="12"/>
        <rFont val="Cambria"/>
        <family val="1"/>
        <scheme val="major"/>
      </rPr>
      <t>(as per CER-112/2007-08)</t>
    </r>
  </si>
  <si>
    <r>
      <t xml:space="preserve">S &amp; F of </t>
    </r>
    <r>
      <rPr>
        <b/>
        <sz val="12"/>
        <rFont val="Cambria"/>
        <family val="1"/>
        <scheme val="major"/>
      </rPr>
      <t>Granite slab 18mm to 12mm Thick</t>
    </r>
    <r>
      <rPr>
        <sz val="12"/>
        <rFont val="Cambria"/>
        <family val="1"/>
        <scheme val="major"/>
      </rPr>
      <t xml:space="preserve"> For </t>
    </r>
    <r>
      <rPr>
        <b/>
        <sz val="12"/>
        <rFont val="Cambria"/>
        <family val="1"/>
        <scheme val="major"/>
      </rPr>
      <t xml:space="preserve">kitchen arrangements </t>
    </r>
  </si>
  <si>
    <r>
      <t>WATER REPELLANT PAINT</t>
    </r>
    <r>
      <rPr>
        <sz val="12"/>
        <rFont val="Cambria"/>
        <family val="1"/>
        <scheme val="major"/>
      </rPr>
      <t xml:space="preserve"> OVER ONE PRIMER COAT</t>
    </r>
  </si>
  <si>
    <r>
      <t xml:space="preserve">Granite slab </t>
    </r>
    <r>
      <rPr>
        <b/>
        <sz val="12"/>
        <rFont val="Cambria"/>
        <family val="1"/>
        <scheme val="major"/>
      </rPr>
      <t>(Ruby red) P-36 it-29 b</t>
    </r>
  </si>
  <si>
    <r>
      <t xml:space="preserve">OF 10mm&amp;BELOW </t>
    </r>
    <r>
      <rPr>
        <b/>
        <sz val="12"/>
        <rFont val="Cambria"/>
        <family val="1"/>
        <scheme val="major"/>
      </rPr>
      <t>(ELLISPATTERN)</t>
    </r>
  </si>
  <si>
    <r>
      <t>WEATHERING COURSE</t>
    </r>
    <r>
      <rPr>
        <sz val="12"/>
        <rFont val="Cambria"/>
        <family val="1"/>
        <scheme val="major"/>
      </rPr>
      <t xml:space="preserve"> WITH BRICK</t>
    </r>
  </si>
  <si>
    <r>
      <t xml:space="preserve">PAINTING TWO COATS OVER NEW            </t>
    </r>
    <r>
      <rPr>
        <b/>
        <sz val="12"/>
        <rFont val="Cambria"/>
        <family val="1"/>
        <scheme val="major"/>
      </rPr>
      <t xml:space="preserve"> (as per CER-112/2007-08)</t>
    </r>
  </si>
  <si>
    <r>
      <t xml:space="preserve">S &amp; F of </t>
    </r>
    <r>
      <rPr>
        <b/>
        <sz val="12"/>
        <rFont val="Cambria"/>
        <family val="1"/>
        <scheme val="major"/>
      </rPr>
      <t>Granite slab 18mm to 20mm Thick</t>
    </r>
    <r>
      <rPr>
        <sz val="12"/>
        <rFont val="Cambria"/>
        <family val="1"/>
        <scheme val="major"/>
      </rPr>
      <t xml:space="preserve"> For </t>
    </r>
    <r>
      <rPr>
        <b/>
        <sz val="12"/>
        <rFont val="Cambria"/>
        <family val="1"/>
        <scheme val="major"/>
      </rPr>
      <t xml:space="preserve">kitchen arrangements </t>
    </r>
  </si>
  <si>
    <r>
      <t xml:space="preserve">Granite slab </t>
    </r>
    <r>
      <rPr>
        <b/>
        <sz val="12"/>
        <rFont val="Cambria"/>
        <family val="1"/>
        <scheme val="major"/>
      </rPr>
      <t>( Jet Black) P-36 it-29 a</t>
    </r>
  </si>
  <si>
    <r>
      <t xml:space="preserve">Granite slab </t>
    </r>
    <r>
      <rPr>
        <b/>
        <sz val="12"/>
        <color indexed="10"/>
        <rFont val="Cambria"/>
        <family val="1"/>
        <scheme val="major"/>
      </rPr>
      <t>(Ruby red) P-36 it-29b</t>
    </r>
  </si>
  <si>
    <r>
      <t xml:space="preserve">FITTER  </t>
    </r>
    <r>
      <rPr>
        <b/>
        <sz val="13"/>
        <rFont val="Cambria"/>
        <family val="1"/>
        <scheme val="major"/>
      </rPr>
      <t>Ist CLASS</t>
    </r>
  </si>
  <si>
    <r>
      <t xml:space="preserve">MAZDOOR  </t>
    </r>
    <r>
      <rPr>
        <b/>
        <sz val="13"/>
        <rFont val="Cambria"/>
        <family val="1"/>
        <scheme val="major"/>
      </rPr>
      <t>Ist CLASS</t>
    </r>
  </si>
  <si>
    <r>
      <t>CARPENTER</t>
    </r>
    <r>
      <rPr>
        <b/>
        <sz val="13"/>
        <rFont val="Cambria"/>
        <family val="1"/>
        <scheme val="major"/>
      </rPr>
      <t xml:space="preserve"> II CLASS</t>
    </r>
  </si>
  <si>
    <r>
      <t xml:space="preserve">ANTI-CORROSIVE(COROLOK-CP </t>
    </r>
    <r>
      <rPr>
        <sz val="12"/>
        <color indexed="13"/>
        <rFont val="Cambria"/>
        <family val="1"/>
        <scheme val="major"/>
      </rPr>
      <t>( qtn)</t>
    </r>
  </si>
  <si>
    <r>
      <t>DOWN FALL PIPE    T</t>
    </r>
    <r>
      <rPr>
        <b/>
        <sz val="12"/>
        <rFont val="Cambria"/>
        <family val="1"/>
        <scheme val="major"/>
      </rPr>
      <t>ype- A  SWR pipe</t>
    </r>
  </si>
  <si>
    <r>
      <t xml:space="preserve">SUPPLY AND FIXING ALUMINUM </t>
    </r>
    <r>
      <rPr>
        <b/>
        <sz val="12"/>
        <rFont val="Cambria"/>
        <family val="1"/>
        <scheme val="major"/>
      </rPr>
      <t xml:space="preserve">TOWEL RAIL </t>
    </r>
    <r>
      <rPr>
        <sz val="12"/>
        <rFont val="Cambria"/>
        <family val="1"/>
        <scheme val="major"/>
      </rPr>
      <t>OF</t>
    </r>
  </si>
  <si>
    <r>
      <t xml:space="preserve">SUPPLING AND FIXING </t>
    </r>
    <r>
      <rPr>
        <b/>
        <sz val="12"/>
        <rFont val="Cambria"/>
        <family val="1"/>
        <scheme val="major"/>
      </rPr>
      <t>COAT STAND</t>
    </r>
  </si>
  <si>
    <r>
      <t xml:space="preserve">SUPPLING AND FIXING OF </t>
    </r>
    <r>
      <rPr>
        <b/>
        <sz val="12"/>
        <rFont val="Cambria"/>
        <family val="1"/>
        <scheme val="major"/>
      </rPr>
      <t>PICTURE HOOKS</t>
    </r>
  </si>
  <si>
    <r>
      <t xml:space="preserve">Slabs of 50mm thick </t>
    </r>
    <r>
      <rPr>
        <b/>
        <sz val="12"/>
        <rFont val="Cambria"/>
        <family val="1"/>
        <scheme val="major"/>
      </rPr>
      <t>(precast slab 50mm Thick)</t>
    </r>
  </si>
  <si>
    <r>
      <t>KERB STONE</t>
    </r>
    <r>
      <rPr>
        <sz val="12"/>
        <rFont val="Cambria"/>
        <family val="1"/>
        <scheme val="major"/>
      </rPr>
      <t xml:space="preserve"> 450x300x150mm</t>
    </r>
  </si>
  <si>
    <r>
      <t xml:space="preserve">Painting / lettering charges </t>
    </r>
    <r>
      <rPr>
        <sz val="12"/>
        <color indexed="13"/>
        <rFont val="Cambria"/>
        <family val="1"/>
        <scheme val="major"/>
      </rPr>
      <t>qtn</t>
    </r>
  </si>
  <si>
    <r>
      <t>WASHBASIN</t>
    </r>
    <r>
      <rPr>
        <sz val="12"/>
        <rFont val="Cambria"/>
        <family val="1"/>
        <scheme val="major"/>
      </rPr>
      <t xml:space="preserve"> 22"X16" INCLUDING</t>
    </r>
  </si>
  <si>
    <r>
      <t>SUPPLY AND FIXING OF E.W.C.   18" SIZE</t>
    </r>
    <r>
      <rPr>
        <b/>
        <sz val="12"/>
        <rFont val="Cambria"/>
        <family val="1"/>
        <scheme val="major"/>
      </rPr>
      <t xml:space="preserve"> (WHITE)</t>
    </r>
  </si>
  <si>
    <r>
      <t xml:space="preserve">SUPPLY AND FIXING OF E.W.C.   18" SIZE </t>
    </r>
    <r>
      <rPr>
        <b/>
        <sz val="12"/>
        <rFont val="Cambria"/>
        <family val="1"/>
        <scheme val="major"/>
      </rPr>
      <t>(COLOUR)</t>
    </r>
  </si>
  <si>
    <r>
      <t xml:space="preserve">110MM DIA OF </t>
    </r>
    <r>
      <rPr>
        <b/>
        <sz val="12"/>
        <rFont val="Cambria"/>
        <family val="1"/>
        <scheme val="major"/>
      </rPr>
      <t>PVC</t>
    </r>
    <r>
      <rPr>
        <sz val="12"/>
        <rFont val="Cambria"/>
        <family val="1"/>
        <scheme val="major"/>
      </rPr>
      <t xml:space="preserve"> </t>
    </r>
    <r>
      <rPr>
        <b/>
        <sz val="12"/>
        <rFont val="Cambria"/>
        <family val="1"/>
        <scheme val="major"/>
      </rPr>
      <t>SWR PIPE</t>
    </r>
    <r>
      <rPr>
        <sz val="12"/>
        <rFont val="Cambria"/>
        <family val="1"/>
        <scheme val="major"/>
      </rPr>
      <t xml:space="preserve"> INCLUDING </t>
    </r>
  </si>
  <si>
    <r>
      <t xml:space="preserve">75MM DIA OF </t>
    </r>
    <r>
      <rPr>
        <b/>
        <sz val="12"/>
        <rFont val="Cambria"/>
        <family val="1"/>
        <scheme val="major"/>
      </rPr>
      <t>PVC SWR PIPE</t>
    </r>
    <r>
      <rPr>
        <sz val="12"/>
        <rFont val="Cambria"/>
        <family val="1"/>
        <scheme val="major"/>
      </rPr>
      <t xml:space="preserve"> INCLUDING </t>
    </r>
  </si>
  <si>
    <r>
      <t xml:space="preserve">250mmDIA S.W.PIPE WITH ISI MARK ( it-13.0/4 </t>
    </r>
    <r>
      <rPr>
        <b/>
        <sz val="12"/>
        <rFont val="Cambria"/>
        <family val="1"/>
        <scheme val="major"/>
      </rPr>
      <t>of twad20-21 spl I CLASS )</t>
    </r>
  </si>
  <si>
    <r>
      <t xml:space="preserve">Providing wooden </t>
    </r>
    <r>
      <rPr>
        <b/>
        <sz val="12"/>
        <rFont val="Cambria"/>
        <family val="1"/>
        <scheme val="major"/>
      </rPr>
      <t>MELAMEN DOOR POLISH</t>
    </r>
  </si>
  <si>
    <r>
      <t xml:space="preserve">TOTAL FOR </t>
    </r>
    <r>
      <rPr>
        <b/>
        <sz val="12"/>
        <rFont val="Cambria"/>
        <family val="1"/>
        <scheme val="major"/>
      </rPr>
      <t>5.67</t>
    </r>
    <r>
      <rPr>
        <sz val="12"/>
        <rFont val="Cambria"/>
        <family val="1"/>
        <scheme val="major"/>
      </rPr>
      <t xml:space="preserve"> SQM</t>
    </r>
  </si>
  <si>
    <r>
      <t xml:space="preserve">T.W DOUBLE LEAVES FULLY PANELLED DOOR SHUTTER FOR DOOR OF SIZE   (2000 X 2100 mm) </t>
    </r>
    <r>
      <rPr>
        <b/>
        <sz val="14"/>
        <rFont val="Cambria"/>
        <family val="1"/>
        <scheme val="major"/>
      </rPr>
      <t>WITH BRASS FITTINGS</t>
    </r>
  </si>
  <si>
    <r>
      <t>concrete  (0.23 x .075 x 2.1 =</t>
    </r>
    <r>
      <rPr>
        <b/>
        <sz val="12"/>
        <rFont val="Cambria"/>
        <family val="1"/>
        <scheme val="major"/>
      </rPr>
      <t xml:space="preserve"> 0.036 cum</t>
    </r>
    <r>
      <rPr>
        <sz val="12"/>
        <rFont val="Cambria"/>
        <family val="1"/>
        <scheme val="major"/>
      </rPr>
      <t>)</t>
    </r>
  </si>
  <si>
    <r>
      <t xml:space="preserve">Form Work  Small qty.  0.38 x 2.1 = </t>
    </r>
    <r>
      <rPr>
        <b/>
        <sz val="12"/>
        <rFont val="Cambria"/>
        <family val="1"/>
        <scheme val="major"/>
      </rPr>
      <t>0.798 sqm</t>
    </r>
  </si>
  <si>
    <r>
      <t xml:space="preserve">STYLES(OVER 2M) -2X2X2.3125X0.15X0.0375                                                      </t>
    </r>
    <r>
      <rPr>
        <b/>
        <sz val="12"/>
        <rFont val="Cambria"/>
        <family val="1"/>
        <scheme val="major"/>
      </rPr>
      <t xml:space="preserve">  = 0.052</t>
    </r>
  </si>
  <si>
    <r>
      <t xml:space="preserve">Brass screws </t>
    </r>
    <r>
      <rPr>
        <sz val="12"/>
        <rFont val="Cambria"/>
        <family val="1"/>
        <scheme val="major"/>
      </rPr>
      <t>not necessary as there is brass fittings</t>
    </r>
  </si>
  <si>
    <r>
      <t xml:space="preserve">PAINTING TWO COATS OVER NEW           </t>
    </r>
    <r>
      <rPr>
        <b/>
        <sz val="12"/>
        <rFont val="Cambria"/>
        <family val="1"/>
        <scheme val="major"/>
      </rPr>
      <t>(as per PWD Standard Data)</t>
    </r>
  </si>
  <si>
    <r>
      <t xml:space="preserve">STYLES(OVER 2M) -1X3X2.3125X0.15X0.0375                                                      </t>
    </r>
    <r>
      <rPr>
        <b/>
        <sz val="12"/>
        <rFont val="Cambria"/>
        <family val="1"/>
        <scheme val="major"/>
      </rPr>
      <t xml:space="preserve">  = 0.052</t>
    </r>
  </si>
  <si>
    <r>
      <t xml:space="preserve">PAINTING TWO COATS OVER  Old          </t>
    </r>
    <r>
      <rPr>
        <b/>
        <sz val="12"/>
        <rFont val="Cambria"/>
        <family val="1"/>
        <scheme val="major"/>
      </rPr>
      <t>(as per PWD Standard Data)</t>
    </r>
  </si>
  <si>
    <r>
      <t xml:space="preserve">S &amp; F best indian 2/3 Glazed 1/3 Teak wood Panelled door shutter of size 
</t>
    </r>
    <r>
      <rPr>
        <b/>
        <u/>
        <sz val="13"/>
        <rFont val="Cambria"/>
        <family val="1"/>
        <scheme val="major"/>
      </rPr>
      <t>b)1500mmx2100mm</t>
    </r>
  </si>
  <si>
    <r>
      <t xml:space="preserve">Supply and laying of </t>
    </r>
    <r>
      <rPr>
        <b/>
        <sz val="12"/>
        <rFont val="Cambria"/>
        <family val="1"/>
        <scheme val="major"/>
      </rPr>
      <t>Hard core</t>
    </r>
    <r>
      <rPr>
        <sz val="12"/>
        <rFont val="Cambria"/>
        <family val="1"/>
        <scheme val="major"/>
      </rPr>
      <t xml:space="preserve"> layer of 30</t>
    </r>
    <r>
      <rPr>
        <b/>
        <sz val="12"/>
        <rFont val="Cambria"/>
        <family val="1"/>
        <scheme val="major"/>
      </rPr>
      <t>0mm</t>
    </r>
    <r>
      <rPr>
        <sz val="12"/>
        <rFont val="Cambria"/>
        <family val="1"/>
        <scheme val="major"/>
      </rPr>
      <t xml:space="preserve"> consolidated thickness (10Sqm x .3m thick= 3.0 cum)</t>
    </r>
  </si>
  <si>
    <r>
      <t>For 3 m</t>
    </r>
    <r>
      <rPr>
        <vertAlign val="superscript"/>
        <sz val="12"/>
        <rFont val="Cambria"/>
        <family val="1"/>
        <scheme val="major"/>
      </rPr>
      <t xml:space="preserve">3 </t>
    </r>
  </si>
  <si>
    <r>
      <t>WASHBASIN</t>
    </r>
    <r>
      <rPr>
        <sz val="12"/>
        <rFont val="Cambria"/>
        <family val="1"/>
        <scheme val="major"/>
      </rPr>
      <t xml:space="preserve"> (White Pedastal type)  22"X16" INCLUDING</t>
    </r>
  </si>
  <si>
    <r>
      <t xml:space="preserve">STYLES -2X0.65 x   7.525 x 3.125                                                 </t>
    </r>
    <r>
      <rPr>
        <b/>
        <sz val="12"/>
        <rFont val="Cambria"/>
        <family val="1"/>
        <scheme val="major"/>
      </rPr>
      <t xml:space="preserve">  = 0.052</t>
    </r>
  </si>
  <si>
    <r>
      <t>Supplying, fabricating and fixing inposition A</t>
    </r>
    <r>
      <rPr>
        <b/>
        <sz val="11"/>
        <color indexed="8"/>
        <rFont val="Cambria"/>
        <family val="1"/>
        <scheme val="major"/>
      </rPr>
      <t>luminium anodised natural colour matt finish four Track Sliding Window</t>
    </r>
    <r>
      <rPr>
        <sz val="11"/>
        <color indexed="8"/>
        <rFont val="Cambria"/>
        <family val="1"/>
        <scheme val="major"/>
      </rPr>
      <t xml:space="preserve"> size 1.80mm x 1.35 mm of with outer frame section with 62x38x2mm at 1.174 kg/m and the louvered with moving arrangements made with aluminium channel of size 60x30x4mm @ 1.274 kg/m ALuminium clips 19.05x17.27/ 11.05x0.075mm @ 0.169kg/m with necessary 4mm thick plain glass panel for louvers including cost of all materials, labour and power required for fabrications, chipping dismantling making holes in RCC column ,slab, masonry and made good to the original condition after fixing etc., complete. The Aluminium surface is to be anodised with matt finish under electrically controlled condition in accordance with ISI specification 1868/1962 for anodic film thickness of notless than 15 Microns,etc., complete.</t>
    </r>
    <r>
      <rPr>
        <b/>
        <sz val="11"/>
        <color indexed="8"/>
        <rFont val="Cambria"/>
        <family val="1"/>
        <scheme val="major"/>
      </rPr>
      <t>1.80mm x 1.35 mm</t>
    </r>
  </si>
  <si>
    <r>
      <t>Supplying, fabricating and fixing inposition A</t>
    </r>
    <r>
      <rPr>
        <b/>
        <sz val="11"/>
        <color indexed="8"/>
        <rFont val="Cambria"/>
        <family val="1"/>
        <scheme val="major"/>
      </rPr>
      <t>luminium anodised natural colour matt finish four Track Sliding Window</t>
    </r>
    <r>
      <rPr>
        <sz val="11"/>
        <color indexed="8"/>
        <rFont val="Cambria"/>
        <family val="1"/>
        <scheme val="major"/>
      </rPr>
      <t xml:space="preserve"> size 1.35mm x 1.35 mm of with outer frame section with 62x38x2mm at 1.174 kg/m and the louvered with moving arrangements made with aluminium channel of size 60x30x4mm @ 1.274 kg/m ALuminium clips 19.05x17.27/ 11.05x0.075mm @ 0.169kg/m with necessary 4mm thick plain glass panel for louvers including cost of all materials, labour and power required for fabrications, chipping dismantling making holes in RCC column ,slab, masonry and made good to the original condition after fixing etc., complete. The Aluminium surface is to be anodised with matt finish under electrically controlled condition in accordance with ISI specification 1868/1962 for anodic film thickness of notless than 15 Microns,etc., complete.</t>
    </r>
    <r>
      <rPr>
        <b/>
        <sz val="11"/>
        <color indexed="8"/>
        <rFont val="Cambria"/>
        <family val="1"/>
        <scheme val="major"/>
      </rPr>
      <t>1.80mm x 1.35 mm</t>
    </r>
  </si>
  <si>
    <r>
      <t xml:space="preserve">ONE COAT OF WALL PATTY        </t>
    </r>
    <r>
      <rPr>
        <b/>
        <sz val="12"/>
        <rFont val="Cambria"/>
        <family val="1"/>
        <scheme val="major"/>
      </rPr>
      <t xml:space="preserve"> CHENNAI CITY</t>
    </r>
  </si>
  <si>
    <r>
      <t xml:space="preserve">Satndardised cement Concrtet </t>
    </r>
    <r>
      <rPr>
        <b/>
        <sz val="12"/>
        <rFont val="Cambria"/>
        <family val="1"/>
        <scheme val="major"/>
      </rPr>
      <t xml:space="preserve"> 1:1.5:3 </t>
    </r>
  </si>
  <si>
    <r>
      <rPr>
        <b/>
        <sz val="12"/>
        <rFont val="Cambria"/>
        <family val="1"/>
        <scheme val="major"/>
      </rPr>
      <t>FRENCH WINDOW</t>
    </r>
    <r>
      <rPr>
        <sz val="12"/>
        <rFont val="Cambria"/>
        <family val="1"/>
        <scheme val="major"/>
      </rPr>
      <t xml:space="preserve"> FOR DOOR OF SIZE</t>
    </r>
  </si>
  <si>
    <t>Staircase</t>
  </si>
  <si>
    <t>White washing two coat for old wall</t>
  </si>
  <si>
    <t>Plastic emulsion paint two coat old wall</t>
  </si>
  <si>
    <t>Painting one coat for old wood work</t>
  </si>
  <si>
    <t>Painting one coat for old iron work</t>
  </si>
  <si>
    <r>
      <t>(Both sides polished)</t>
    </r>
    <r>
      <rPr>
        <b/>
        <sz val="12"/>
        <rFont val="Cambria"/>
        <family val="1"/>
        <scheme val="major"/>
      </rPr>
      <t>FOR COASTAL AREAS</t>
    </r>
  </si>
  <si>
    <r>
      <t>Grid beam and slabs</t>
    </r>
    <r>
      <rPr>
        <sz val="14"/>
        <rFont val="Cambria"/>
        <family val="1"/>
        <scheme val="major"/>
      </rPr>
      <t xml:space="preserve"> </t>
    </r>
  </si>
  <si>
    <r>
      <t>Grid floor  Area 7.75 mm x8 mm =68  m</t>
    </r>
    <r>
      <rPr>
        <vertAlign val="superscript"/>
        <sz val="14"/>
        <rFont val="Cambria"/>
        <family val="1"/>
        <scheme val="major"/>
      </rPr>
      <t>2</t>
    </r>
  </si>
  <si>
    <r>
      <t>Grid clear size 0.98 x1.01=0.99 m</t>
    </r>
    <r>
      <rPr>
        <vertAlign val="superscript"/>
        <sz val="14"/>
        <rFont val="Cambria"/>
        <family val="1"/>
        <scheme val="major"/>
      </rPr>
      <t xml:space="preserve">2 </t>
    </r>
  </si>
  <si>
    <r>
      <t>Centering for floor slab Area
7.75 mm x8 mm =68  m</t>
    </r>
    <r>
      <rPr>
        <vertAlign val="superscript"/>
        <sz val="14"/>
        <rFont val="Cambria"/>
        <family val="1"/>
        <scheme val="major"/>
      </rPr>
      <t>2</t>
    </r>
  </si>
  <si>
    <r>
      <t>Total Centering area                              73.14+48.50 = 121.64 m</t>
    </r>
    <r>
      <rPr>
        <vertAlign val="superscript"/>
        <sz val="14"/>
        <rFont val="Cambria"/>
        <family val="1"/>
        <scheme val="major"/>
      </rPr>
      <t xml:space="preserve">2 </t>
    </r>
  </si>
  <si>
    <r>
      <t>m</t>
    </r>
    <r>
      <rPr>
        <vertAlign val="superscript"/>
        <sz val="14"/>
        <rFont val="Cambria"/>
        <family val="1"/>
        <scheme val="major"/>
      </rPr>
      <t xml:space="preserve">2 </t>
    </r>
  </si>
  <si>
    <r>
      <t>m</t>
    </r>
    <r>
      <rPr>
        <vertAlign val="superscript"/>
        <sz val="14"/>
        <rFont val="Cambria"/>
        <family val="1"/>
        <scheme val="major"/>
      </rPr>
      <t>2</t>
    </r>
  </si>
  <si>
    <r>
      <t>Total for 62m</t>
    </r>
    <r>
      <rPr>
        <vertAlign val="superscript"/>
        <sz val="14"/>
        <rFont val="Cambria"/>
        <family val="1"/>
        <scheme val="major"/>
      </rPr>
      <t>2</t>
    </r>
  </si>
  <si>
    <r>
      <t>Rate for 1m</t>
    </r>
    <r>
      <rPr>
        <vertAlign val="superscript"/>
        <sz val="14"/>
        <rFont val="Cambria"/>
        <family val="1"/>
        <scheme val="major"/>
      </rPr>
      <t>2</t>
    </r>
  </si>
  <si>
    <r>
      <t>Carpenter I</t>
    </r>
    <r>
      <rPr>
        <vertAlign val="superscript"/>
        <sz val="14"/>
        <rFont val="Cambria"/>
        <family val="1"/>
        <scheme val="major"/>
      </rPr>
      <t>st</t>
    </r>
    <r>
      <rPr>
        <sz val="14"/>
        <rFont val="Cambria"/>
        <family val="1"/>
        <scheme val="major"/>
      </rPr>
      <t xml:space="preserve"> class</t>
    </r>
  </si>
  <si>
    <r>
      <t xml:space="preserve">Mazdoor I </t>
    </r>
    <r>
      <rPr>
        <vertAlign val="superscript"/>
        <sz val="14"/>
        <rFont val="Cambria"/>
        <family val="1"/>
        <scheme val="major"/>
      </rPr>
      <t xml:space="preserve">st </t>
    </r>
    <r>
      <rPr>
        <sz val="14"/>
        <rFont val="Cambria"/>
        <family val="1"/>
        <scheme val="major"/>
      </rPr>
      <t>class</t>
    </r>
  </si>
  <si>
    <r>
      <t xml:space="preserve">Fitter II </t>
    </r>
    <r>
      <rPr>
        <vertAlign val="superscript"/>
        <sz val="14"/>
        <rFont val="Cambria"/>
        <family val="1"/>
        <scheme val="major"/>
      </rPr>
      <t>nd</t>
    </r>
    <r>
      <rPr>
        <sz val="14"/>
        <rFont val="Cambria"/>
        <family val="1"/>
        <scheme val="major"/>
      </rPr>
      <t xml:space="preserve"> class</t>
    </r>
  </si>
  <si>
    <r>
      <t>Rate per 1 m</t>
    </r>
    <r>
      <rPr>
        <vertAlign val="superscript"/>
        <sz val="14"/>
        <rFont val="Cambria"/>
        <family val="1"/>
        <scheme val="major"/>
      </rPr>
      <t>2</t>
    </r>
  </si>
  <si>
    <r>
      <t>Carpenter I</t>
    </r>
    <r>
      <rPr>
        <vertAlign val="superscript"/>
        <sz val="14"/>
        <rFont val="Cambria"/>
        <family val="1"/>
        <scheme val="major"/>
      </rPr>
      <t>st</t>
    </r>
    <r>
      <rPr>
        <sz val="14"/>
        <rFont val="Cambria"/>
        <family val="1"/>
        <scheme val="major"/>
      </rPr>
      <t xml:space="preserve"> Class</t>
    </r>
  </si>
  <si>
    <r>
      <t xml:space="preserve">Mazdoor I </t>
    </r>
    <r>
      <rPr>
        <vertAlign val="superscript"/>
        <sz val="14"/>
        <rFont val="Cambria"/>
        <family val="1"/>
        <scheme val="major"/>
      </rPr>
      <t>st</t>
    </r>
    <r>
      <rPr>
        <sz val="14"/>
        <rFont val="Cambria"/>
        <family val="1"/>
        <scheme val="major"/>
      </rPr>
      <t xml:space="preserve"> Class</t>
    </r>
  </si>
  <si>
    <r>
      <t>Rate for 10 m</t>
    </r>
    <r>
      <rPr>
        <vertAlign val="superscript"/>
        <sz val="14"/>
        <rFont val="Cambria"/>
        <family val="1"/>
        <scheme val="major"/>
      </rPr>
      <t>2</t>
    </r>
  </si>
  <si>
    <r>
      <t xml:space="preserve">Rate for 1m </t>
    </r>
    <r>
      <rPr>
        <vertAlign val="superscript"/>
        <sz val="14"/>
        <rFont val="Cambria"/>
        <family val="1"/>
        <scheme val="major"/>
      </rPr>
      <t>2</t>
    </r>
  </si>
  <si>
    <r>
      <t xml:space="preserve">Slabs of 50mm thick </t>
    </r>
    <r>
      <rPr>
        <b/>
        <sz val="12"/>
        <rFont val="Cambria"/>
        <family val="1"/>
        <scheme val="major"/>
      </rPr>
      <t xml:space="preserve">(precast slab 50mm Thick) Precast Pavement Fibre mixed concrete slab </t>
    </r>
  </si>
  <si>
    <r>
      <t>PCC Slab = 500 x 0.28 x 0.28   =  39.20 m</t>
    </r>
    <r>
      <rPr>
        <vertAlign val="superscript"/>
        <sz val="12"/>
        <rFont val="Cambria"/>
        <family val="1"/>
        <scheme val="major"/>
      </rPr>
      <t>2</t>
    </r>
  </si>
  <si>
    <r>
      <t>39.20 x 0.05                                      =1.96m</t>
    </r>
    <r>
      <rPr>
        <vertAlign val="superscript"/>
        <sz val="12"/>
        <rFont val="Cambria"/>
        <family val="1"/>
        <scheme val="major"/>
      </rPr>
      <t>2</t>
    </r>
  </si>
  <si>
    <r>
      <t xml:space="preserve">Charges for fixing single phase RCCB/ELCB ( to be supplied by the department at free of cost ) on fully concealed suitable </t>
    </r>
    <r>
      <rPr>
        <b/>
        <sz val="12"/>
        <rFont val="Cambria"/>
        <family val="1"/>
        <scheme val="major"/>
      </rPr>
      <t>12" PVC Electrical Box (300mm)</t>
    </r>
    <r>
      <rPr>
        <sz val="12"/>
        <rFont val="Cambria"/>
        <family val="1"/>
        <scheme val="major"/>
      </rPr>
      <t xml:space="preserve"> with a necessary inter connection and earth connections using copper cable including cost of all materials, re- doing the disturbed portion etc., all complete.</t>
    </r>
  </si>
  <si>
    <r>
      <t xml:space="preserve">32 Amps rating </t>
    </r>
    <r>
      <rPr>
        <b/>
        <sz val="12"/>
        <rFont val="Cambria"/>
        <family val="1"/>
        <scheme val="major"/>
      </rPr>
      <t xml:space="preserve">Three phase </t>
    </r>
    <r>
      <rPr>
        <sz val="12"/>
        <rFont val="Cambria"/>
        <family val="1"/>
        <scheme val="major"/>
      </rPr>
      <t>ELCB with 20 to 30 MA sensitivity (P-94  10-a)</t>
    </r>
  </si>
  <si>
    <r>
      <t xml:space="preserve">Clamp fixing by cheche screws bolts and nuts including connections ( </t>
    </r>
    <r>
      <rPr>
        <b/>
        <sz val="12"/>
        <rFont val="Cambria"/>
        <family val="1"/>
        <scheme val="major"/>
      </rPr>
      <t>as per SD-114, Elec Data 2017-18)</t>
    </r>
  </si>
  <si>
    <t>Mortar mix charges manual  sl.125(Ann3 N-29)</t>
  </si>
  <si>
    <t>Vibrat-charges(R.C.C) sl.71/2 p25</t>
  </si>
  <si>
    <t>Sand filling charges sl.46/84p23</t>
  </si>
  <si>
    <t>L.C.T.W.Door- 104/2 p-27</t>
  </si>
  <si>
    <t>L.C.marine doors-105/3 p-27</t>
  </si>
  <si>
    <t>TW glazed window 109/8 p-27</t>
  </si>
  <si>
    <t>Wrought&amp;putup 103/1 p-27</t>
  </si>
  <si>
    <t>Ventilator 113/14 p-28</t>
  </si>
  <si>
    <t>Meter- Cupboard Weldmesh 118/23 p-28</t>
  </si>
  <si>
    <t>FITTER-II (Pipe &amp; Bar Bend) 57/20a p-11</t>
  </si>
  <si>
    <t>FITTER-I (Pipe &amp; Bar Bend) 16/20A p-9</t>
  </si>
  <si>
    <t>E.W  loose soil p-22 SS20B/38/50</t>
  </si>
  <si>
    <t>TW glazed door  /4 p-27</t>
  </si>
  <si>
    <t>1.Certified that the lead particulars finished above correct to the best of my knowledge.</t>
  </si>
  <si>
    <t>Painting two coat for old iron work</t>
  </si>
  <si>
    <t>c. Calling bell</t>
  </si>
  <si>
    <t>Painting two coat for old wood work</t>
  </si>
  <si>
    <t>Supply &amp; Fixing of MS ventilator of size ( lockup)</t>
  </si>
  <si>
    <t xml:space="preserve">4mm glass frosted </t>
  </si>
  <si>
    <t>pressed</t>
  </si>
  <si>
    <t>Thiruvakkarai</t>
  </si>
  <si>
    <t>Semmandalam</t>
  </si>
  <si>
    <t>Panruti</t>
  </si>
  <si>
    <t>fly ash</t>
  </si>
  <si>
    <t>A.E.E / CDL</t>
  </si>
  <si>
    <t>E.E / SLM</t>
  </si>
  <si>
    <t>2023-2024</t>
  </si>
  <si>
    <t>CUDDALORE</t>
  </si>
  <si>
    <t>Name of work:- Construction of DSP camp office cum Residence with development works at Cuddalore New town in Cuddalore District</t>
  </si>
  <si>
    <t>UG Sump</t>
  </si>
  <si>
    <t>Name of Work: Construction of DSP camp office cum Residence with development works at Cuddalore New town in Cuddalore District</t>
  </si>
  <si>
    <t>Detailed Estimate</t>
  </si>
  <si>
    <t>S.NO</t>
  </si>
  <si>
    <t>DESCRIPTION</t>
  </si>
  <si>
    <t>L</t>
  </si>
  <si>
    <t>D</t>
  </si>
  <si>
    <t>Earth work excavation for foundation in SDR(including refilling)
a. 0 to 2 mt.</t>
  </si>
  <si>
    <t>C1F1</t>
  </si>
  <si>
    <t>C2F2</t>
  </si>
  <si>
    <t>C3F3</t>
  </si>
  <si>
    <t>C4F4</t>
  </si>
  <si>
    <t>SCF1</t>
  </si>
  <si>
    <t>C2,SC-F2A</t>
  </si>
  <si>
    <t>Grade beam horizontal</t>
  </si>
  <si>
    <t>Staircase 2 sides GB</t>
  </si>
  <si>
    <t>camp office front &amp; rear GB</t>
  </si>
  <si>
    <t>camp office sides GB</t>
  </si>
  <si>
    <t>porch GB</t>
  </si>
  <si>
    <t>entrance GB</t>
  </si>
  <si>
    <t>DSP,Toilet GB1</t>
  </si>
  <si>
    <t>Meeting Hall, Lobby GB1</t>
  </si>
  <si>
    <t>Meeting Hall, porch GB1</t>
  </si>
  <si>
    <t>diff abled toilet, stair  GB1</t>
  </si>
  <si>
    <t>entrance front GB2</t>
  </si>
  <si>
    <t>stair rear &amp; diff abled toilet GB2</t>
  </si>
  <si>
    <t>Grade beam vertical</t>
  </si>
  <si>
    <t>camp office front GB</t>
  </si>
  <si>
    <t>DSP, Toilet &amp; meeting hall side GB1</t>
  </si>
  <si>
    <t>meeting hall side GB1</t>
  </si>
  <si>
    <t>diff abled toilet GB1</t>
  </si>
  <si>
    <t>stair rear GB2</t>
  </si>
  <si>
    <t>M.Bed toilet GB2</t>
  </si>
  <si>
    <t>M.Bed toilet &amp; common GB2A</t>
  </si>
  <si>
    <t>D/f column</t>
  </si>
  <si>
    <t>steps at lobby</t>
  </si>
  <si>
    <t>steps at stair</t>
  </si>
  <si>
    <t>inspection chamber</t>
  </si>
  <si>
    <r>
      <t>m</t>
    </r>
    <r>
      <rPr>
        <vertAlign val="superscript"/>
        <sz val="13"/>
        <rFont val="Times New Roman"/>
        <family val="1"/>
      </rPr>
      <t>3</t>
    </r>
  </si>
  <si>
    <t>Supplying and filling in foundation and basement with filling sand in layers of 150mm thickness</t>
  </si>
  <si>
    <t>DSP Office</t>
  </si>
  <si>
    <t>toilet</t>
  </si>
  <si>
    <t>wash</t>
  </si>
  <si>
    <t>passage</t>
  </si>
  <si>
    <t>common toilet</t>
  </si>
  <si>
    <t>Camp office</t>
  </si>
  <si>
    <t>Meeting hall</t>
  </si>
  <si>
    <t>entrance/lobby</t>
  </si>
  <si>
    <t xml:space="preserve">porch </t>
  </si>
  <si>
    <t>stair</t>
  </si>
  <si>
    <t>record area</t>
  </si>
  <si>
    <t>diff abled toilet</t>
  </si>
  <si>
    <t>C.C.1:5:10 using 40mm size HBSJ  for Foundation &amp; Basement</t>
  </si>
  <si>
    <t>IN GROUND FLOOR</t>
  </si>
  <si>
    <t>all around</t>
  </si>
  <si>
    <t>deduction  for  Entrance lobby</t>
  </si>
  <si>
    <t>porch</t>
  </si>
  <si>
    <t>stair front</t>
  </si>
  <si>
    <t>Vertical wall</t>
  </si>
  <si>
    <t xml:space="preserve">b/w Record &amp; meeting hall </t>
  </si>
  <si>
    <t>porch  two side</t>
  </si>
  <si>
    <t>b/w DSP office, camp office &amp; lobby,Meeting hall</t>
  </si>
  <si>
    <t>Horizontal wall</t>
  </si>
  <si>
    <t>b/w hall &amp; lobby</t>
  </si>
  <si>
    <t>b/w stair &amp; toilet &amp; Stair front</t>
  </si>
  <si>
    <t>DSP Office and  camp office</t>
  </si>
  <si>
    <t>C/B Bed</t>
  </si>
  <si>
    <t>camp office &amp; DSP office</t>
  </si>
  <si>
    <t>camp office</t>
  </si>
  <si>
    <t>record room</t>
  </si>
  <si>
    <t>meeting hall</t>
  </si>
  <si>
    <t>Deductions</t>
  </si>
  <si>
    <t>MD</t>
  </si>
  <si>
    <t>MD1</t>
  </si>
  <si>
    <t>D0</t>
  </si>
  <si>
    <t>SLD</t>
  </si>
  <si>
    <t>SLD/RV</t>
  </si>
  <si>
    <t>RV</t>
  </si>
  <si>
    <t>FW</t>
  </si>
  <si>
    <t>FW3</t>
  </si>
  <si>
    <t>W</t>
  </si>
  <si>
    <t>W1</t>
  </si>
  <si>
    <t>SLW</t>
  </si>
  <si>
    <t>V</t>
  </si>
  <si>
    <t>V0</t>
  </si>
  <si>
    <t>Sill slab</t>
  </si>
  <si>
    <t>Lintel</t>
  </si>
  <si>
    <t>Columns</t>
  </si>
  <si>
    <t>C1</t>
  </si>
  <si>
    <t>C2</t>
  </si>
  <si>
    <t>C3</t>
  </si>
  <si>
    <t>C4</t>
  </si>
  <si>
    <t>IN FIRST FLOOR</t>
  </si>
  <si>
    <t>outer alround</t>
  </si>
  <si>
    <t>b/w M.Bed &amp; Hall &amp; dining, kitchen</t>
  </si>
  <si>
    <t>b/w stair &amp; waiting</t>
  </si>
  <si>
    <t>M.bed and bed room wall</t>
  </si>
  <si>
    <t>Sitout wall</t>
  </si>
  <si>
    <t>stair rear</t>
  </si>
  <si>
    <t>Front sitout pillers</t>
  </si>
  <si>
    <t>M.Bed1</t>
  </si>
  <si>
    <t>M.Bed2</t>
  </si>
  <si>
    <t>toilet self</t>
  </si>
  <si>
    <t>Bed2</t>
  </si>
  <si>
    <t>Bed3 ward robe &amp; waiting</t>
  </si>
  <si>
    <t>bed3 &amp; waiting</t>
  </si>
  <si>
    <t xml:space="preserve">bed3 </t>
  </si>
  <si>
    <t>Hall</t>
  </si>
  <si>
    <t>dining</t>
  </si>
  <si>
    <t>Kitchen</t>
  </si>
  <si>
    <t xml:space="preserve">Deductions </t>
  </si>
  <si>
    <t>MD2</t>
  </si>
  <si>
    <t>D1</t>
  </si>
  <si>
    <t>D3</t>
  </si>
  <si>
    <t>FW1</t>
  </si>
  <si>
    <t>FW2</t>
  </si>
  <si>
    <t>W0</t>
  </si>
  <si>
    <t>W2</t>
  </si>
  <si>
    <t>KW</t>
  </si>
  <si>
    <t>KW1</t>
  </si>
  <si>
    <t>SW</t>
  </si>
  <si>
    <t>IN SECOND FLOOR</t>
  </si>
  <si>
    <t>Parapet</t>
  </si>
  <si>
    <t>d/f stair</t>
  </si>
  <si>
    <t>Head room alround</t>
  </si>
  <si>
    <t>parapet pillers</t>
  </si>
  <si>
    <t>W3</t>
  </si>
  <si>
    <t>b/w camp office toilet and office</t>
  </si>
  <si>
    <t>b/w camp office &amp; common toilet</t>
  </si>
  <si>
    <t>toilet for diff abled</t>
  </si>
  <si>
    <t>DSP Toilet wall</t>
  </si>
  <si>
    <t>common toilet wall</t>
  </si>
  <si>
    <t>b/w meeting &amp; dsp office</t>
  </si>
  <si>
    <t>C/B Wall</t>
  </si>
  <si>
    <t>DSP Camp office</t>
  </si>
  <si>
    <t>record</t>
  </si>
  <si>
    <t>D2</t>
  </si>
  <si>
    <t>b/w mbed and toilet &amp;bed and com toilet</t>
  </si>
  <si>
    <t>b/w kitchen &amp; bed3</t>
  </si>
  <si>
    <t>kitchen</t>
  </si>
  <si>
    <t>M.Bed toilet &amp; common toilet</t>
  </si>
  <si>
    <t>b/w kitchen &amp; wash</t>
  </si>
  <si>
    <t>bed3 &amp; hall</t>
  </si>
  <si>
    <t>waiting</t>
  </si>
  <si>
    <t>parapet</t>
  </si>
  <si>
    <t>bed 2</t>
  </si>
  <si>
    <t>bed 1</t>
  </si>
  <si>
    <t>bed 3</t>
  </si>
  <si>
    <t>hearth slab</t>
  </si>
  <si>
    <t>bed 1 &amp; 2</t>
  </si>
  <si>
    <t>IN second floor</t>
  </si>
  <si>
    <t>head room parapet</t>
  </si>
  <si>
    <t>d/t pillar</t>
  </si>
  <si>
    <t>In ground floor</t>
  </si>
  <si>
    <t xml:space="preserve">Camp office </t>
  </si>
  <si>
    <t>office shelf</t>
  </si>
  <si>
    <t>meeting hall shelf</t>
  </si>
  <si>
    <t xml:space="preserve">b </t>
  </si>
  <si>
    <t xml:space="preserve">mbed and bed wr </t>
  </si>
  <si>
    <t>shoe rack</t>
  </si>
  <si>
    <t>Filling  with Excavated  earth</t>
  </si>
  <si>
    <t>Entrance lobby</t>
  </si>
  <si>
    <t>toilet portion</t>
  </si>
  <si>
    <t>DSP office</t>
  </si>
  <si>
    <t>Meeting Hall</t>
  </si>
  <si>
    <t>hall</t>
  </si>
  <si>
    <t>Porch</t>
  </si>
  <si>
    <t xml:space="preserve">stair </t>
  </si>
  <si>
    <t>toilet 1</t>
  </si>
  <si>
    <t>toilet 2</t>
  </si>
  <si>
    <t>15.1.1</t>
  </si>
  <si>
    <t>Providing  cuddapah  slab  20 mm tk</t>
  </si>
  <si>
    <t>CAMP OFFICE</t>
  </si>
  <si>
    <t>SHELF</t>
  </si>
  <si>
    <t>OFFICE</t>
  </si>
  <si>
    <t>SHELF 1</t>
  </si>
  <si>
    <t>SHELF 2</t>
  </si>
  <si>
    <t>MEETING HALL</t>
  </si>
  <si>
    <t>SHELF 3</t>
  </si>
  <si>
    <t xml:space="preserve">M.bed </t>
  </si>
  <si>
    <t>WR</t>
  </si>
  <si>
    <t>CB</t>
  </si>
  <si>
    <t xml:space="preserve">BED </t>
  </si>
  <si>
    <t xml:space="preserve">WR </t>
  </si>
  <si>
    <t>SHOE RACK</t>
  </si>
  <si>
    <t>HALL</t>
  </si>
  <si>
    <t xml:space="preserve">KICTHEN </t>
  </si>
  <si>
    <t xml:space="preserve">CB 1 </t>
  </si>
  <si>
    <t>CB2</t>
  </si>
  <si>
    <t>Teak wood Wrought &amp; Put up
a. T.W. over 2.00 m &amp; below 3.00 m</t>
  </si>
  <si>
    <t>a) Teak wood over 2m and below 3m</t>
  </si>
  <si>
    <t>MD  Vertical</t>
  </si>
  <si>
    <t>MD 1 Vertical</t>
  </si>
  <si>
    <t>FF- MD1,MD2</t>
  </si>
  <si>
    <t>b)T.W below 2m Length</t>
  </si>
  <si>
    <t>HORIZONTAL</t>
  </si>
  <si>
    <t>GF-MD-TOP</t>
  </si>
  <si>
    <t>BOT</t>
  </si>
  <si>
    <t>STAIR MD1 -TOP</t>
  </si>
  <si>
    <t>FF MD1 top</t>
  </si>
  <si>
    <t>bot</t>
  </si>
  <si>
    <t>MD2 top</t>
  </si>
  <si>
    <t>Supplying and fixing of Magnetic door  catches</t>
  </si>
  <si>
    <t>Supplying and fixing of MS hold fast</t>
  </si>
  <si>
    <t>Flooring in C.C.1:5:10 using 40mm size HBSJ</t>
  </si>
  <si>
    <t>Floor plastering in C.M. 1:4, 20 mm thick.</t>
  </si>
  <si>
    <t>I/C Bott</t>
  </si>
  <si>
    <t>bed 3 toilet &amp; wash</t>
  </si>
  <si>
    <t>dsp toilet</t>
  </si>
  <si>
    <t>Terrace</t>
  </si>
  <si>
    <t>Ground floor</t>
  </si>
  <si>
    <t>Inner plastering</t>
  </si>
  <si>
    <t>d/f W</t>
  </si>
  <si>
    <t>d/f FW</t>
  </si>
  <si>
    <t>d/f MD</t>
  </si>
  <si>
    <t>d/f D</t>
  </si>
  <si>
    <t>d/f open</t>
  </si>
  <si>
    <t>a/f jams W</t>
  </si>
  <si>
    <t>a/f jams FW</t>
  </si>
  <si>
    <t>a/f jams MD</t>
  </si>
  <si>
    <t>a/f jams D</t>
  </si>
  <si>
    <t>a/f jams open</t>
  </si>
  <si>
    <t>entrance lobby 3 sides</t>
  </si>
  <si>
    <t>d/f W1</t>
  </si>
  <si>
    <t>d/f D0</t>
  </si>
  <si>
    <t>a/f jams W1</t>
  </si>
  <si>
    <t>a/f jams D0</t>
  </si>
  <si>
    <t>DSP office toilet</t>
  </si>
  <si>
    <t>d/f D2</t>
  </si>
  <si>
    <t>d/f V</t>
  </si>
  <si>
    <t>a/f jams V</t>
  </si>
  <si>
    <t>a/f jams D2</t>
  </si>
  <si>
    <t>DSP office wash 3 sides</t>
  </si>
  <si>
    <t>wash front</t>
  </si>
  <si>
    <t>toilet front</t>
  </si>
  <si>
    <t>d/f SLW</t>
  </si>
  <si>
    <t>a/f jams SLW</t>
  </si>
  <si>
    <t>Record room</t>
  </si>
  <si>
    <t>d/f V0</t>
  </si>
  <si>
    <t>a/f jams V0</t>
  </si>
  <si>
    <t>d/f SLD</t>
  </si>
  <si>
    <t>a/f jams SLD</t>
  </si>
  <si>
    <t>C/B Wall 110mm thick</t>
  </si>
  <si>
    <t>C/B Wall 70mm thick</t>
  </si>
  <si>
    <t>Loft top</t>
  </si>
  <si>
    <t>DSP &amp; camp office</t>
  </si>
  <si>
    <t xml:space="preserve">First floor </t>
  </si>
  <si>
    <t>d/f MD2</t>
  </si>
  <si>
    <t>d/f D3</t>
  </si>
  <si>
    <t>d/f W3</t>
  </si>
  <si>
    <t>d/f Open</t>
  </si>
  <si>
    <t>a/f jams MD2</t>
  </si>
  <si>
    <t>a/f jams D3</t>
  </si>
  <si>
    <t>a/f jams W3</t>
  </si>
  <si>
    <t>a/f jams Open</t>
  </si>
  <si>
    <t>d/f FW0</t>
  </si>
  <si>
    <t>a/f jams FW0</t>
  </si>
  <si>
    <t>Sitout</t>
  </si>
  <si>
    <t>d/f MS Grill</t>
  </si>
  <si>
    <t xml:space="preserve">a/f jams </t>
  </si>
  <si>
    <t>M.Bed</t>
  </si>
  <si>
    <t>Mbed toilet</t>
  </si>
  <si>
    <t>Mbed entrance</t>
  </si>
  <si>
    <t>Bed 2</t>
  </si>
  <si>
    <t>Bed 2 entrance/wash area</t>
  </si>
  <si>
    <t>Bed 3</t>
  </si>
  <si>
    <t>Bed 3/study room</t>
  </si>
  <si>
    <t>Bed 3 toilet</t>
  </si>
  <si>
    <t>d/f D1</t>
  </si>
  <si>
    <t>d/f KW</t>
  </si>
  <si>
    <t>a/f jams D1</t>
  </si>
  <si>
    <t>a/f jams KW</t>
  </si>
  <si>
    <t>d/f KW1</t>
  </si>
  <si>
    <t>d/f SKW1</t>
  </si>
  <si>
    <t>a/f jams KW1</t>
  </si>
  <si>
    <t>a/f jams SKW1</t>
  </si>
  <si>
    <t>Waiting</t>
  </si>
  <si>
    <t>d/f MD1</t>
  </si>
  <si>
    <t>d/f FW2</t>
  </si>
  <si>
    <t>a/f jams MD1</t>
  </si>
  <si>
    <t>a/f jams FW2</t>
  </si>
  <si>
    <t>M.bed &amp; Bed 2</t>
  </si>
  <si>
    <t>M.bed w/r</t>
  </si>
  <si>
    <t xml:space="preserve">hall </t>
  </si>
  <si>
    <t>waiting &amp; bed 3</t>
  </si>
  <si>
    <t>kitchen &amp; bed 4</t>
  </si>
  <si>
    <t>study space self</t>
  </si>
  <si>
    <t>Staircase inner</t>
  </si>
  <si>
    <t>G.F cross wall</t>
  </si>
  <si>
    <t>d/f SW</t>
  </si>
  <si>
    <t>a/f jams SW</t>
  </si>
  <si>
    <t>Outer plastering</t>
  </si>
  <si>
    <t>outer alround G.F</t>
  </si>
  <si>
    <t>outer alround F.F</t>
  </si>
  <si>
    <t>head room outer alround</t>
  </si>
  <si>
    <t>head room parapet inner</t>
  </si>
  <si>
    <t>piller sides</t>
  </si>
  <si>
    <t xml:space="preserve">sitout Parapet F.F </t>
  </si>
  <si>
    <t>Entance/lobby  open</t>
  </si>
  <si>
    <t>porch open</t>
  </si>
  <si>
    <t>stair open</t>
  </si>
  <si>
    <t>a/f jams</t>
  </si>
  <si>
    <t xml:space="preserve">Sunshade top </t>
  </si>
  <si>
    <t>W &amp; V</t>
  </si>
  <si>
    <t>Lobby,porch&amp;stair</t>
  </si>
  <si>
    <t>sides</t>
  </si>
  <si>
    <t>First floor</t>
  </si>
  <si>
    <t>ms grill &amp; kw</t>
  </si>
  <si>
    <t>sitout front</t>
  </si>
  <si>
    <t>FRONT</t>
  </si>
  <si>
    <t>Second floor</t>
  </si>
  <si>
    <t>D3 &amp; W 3</t>
  </si>
  <si>
    <t>I/C outer  Alround</t>
  </si>
  <si>
    <t>Ramp sides</t>
  </si>
  <si>
    <t>Plastering  in cm 1:4 12 mm tk</t>
  </si>
  <si>
    <t>I/c inner  alround</t>
  </si>
  <si>
    <t>toilet (over all)</t>
  </si>
  <si>
    <t>lobby</t>
  </si>
  <si>
    <t>diff abled toilet 1&amp;2</t>
  </si>
  <si>
    <t xml:space="preserve">waist slab </t>
  </si>
  <si>
    <t>midlanding</t>
  </si>
  <si>
    <t>landing</t>
  </si>
  <si>
    <t>Sunshade bott</t>
  </si>
  <si>
    <t>Loft bott</t>
  </si>
  <si>
    <t>sitout</t>
  </si>
  <si>
    <t>M.bed</t>
  </si>
  <si>
    <t>bed-2</t>
  </si>
  <si>
    <t>bed-3</t>
  </si>
  <si>
    <t>Head room</t>
  </si>
  <si>
    <t>Cement mortar Border in C.M. 1:5, 
12 mm tk.
a. 150 mm wide</t>
  </si>
  <si>
    <t>150 mm wide border</t>
  </si>
  <si>
    <t>at basement level</t>
  </si>
  <si>
    <t>at parapet level</t>
  </si>
  <si>
    <t>head room all around</t>
  </si>
  <si>
    <t>75 mm wide border</t>
  </si>
  <si>
    <t>G.F roof level</t>
  </si>
  <si>
    <t>F.F roof level</t>
  </si>
  <si>
    <t>v all around</t>
  </si>
  <si>
    <t>head room top</t>
  </si>
  <si>
    <t>50 mm wide border</t>
  </si>
  <si>
    <t>Supplying and fixing of MS Grills in position</t>
  </si>
  <si>
    <t>FW0</t>
  </si>
  <si>
    <t>SKW1</t>
  </si>
  <si>
    <t>Sitout grill rear</t>
  </si>
  <si>
    <t>H/R Door</t>
  </si>
  <si>
    <t>G.gate</t>
  </si>
  <si>
    <t>Painting 2 coats - New "wood work"</t>
  </si>
  <si>
    <t>Co-eff</t>
  </si>
  <si>
    <t>Painting 2 coats - New "iron work"</t>
  </si>
  <si>
    <t>Ramp hand rail</t>
  </si>
  <si>
    <t>Cuddapah slab</t>
  </si>
  <si>
    <t>PVC SWR Pipe</t>
  </si>
  <si>
    <t>Rain water pipe 110mm dia</t>
  </si>
  <si>
    <t>110 mm PVC SWR Pipe</t>
  </si>
  <si>
    <t>75 mm PVC  SWR Pipe</t>
  </si>
  <si>
    <t>50 mm PVC SWR Pipe</t>
  </si>
  <si>
    <t>32mm PVC/ASTM pipe</t>
  </si>
  <si>
    <t>25mm PVC/ASTM pipe</t>
  </si>
  <si>
    <t>S/F 20 mm Alu. Hangar rod</t>
  </si>
  <si>
    <t xml:space="preserve">S/f Alu.Towel rail 75mm long </t>
  </si>
  <si>
    <t xml:space="preserve">for all toilet </t>
  </si>
  <si>
    <t>S/F 5 pin coat stand</t>
  </si>
  <si>
    <t>m bed</t>
  </si>
  <si>
    <t>bed</t>
  </si>
  <si>
    <t>office</t>
  </si>
  <si>
    <t>S/F chromium plated 8 gauge pictrue hook</t>
  </si>
  <si>
    <t>for house windows, doors and open</t>
  </si>
  <si>
    <t>for office</t>
  </si>
  <si>
    <t>Supplying and planting avenue trees</t>
  </si>
  <si>
    <t>scheme area all around</t>
  </si>
  <si>
    <t>for trees</t>
  </si>
  <si>
    <t>Supplying fabricating and erection of 
M.S Scheme name board</t>
  </si>
  <si>
    <t>for scheme</t>
  </si>
  <si>
    <t>WATER SUPPLY ARRANGEMENTS</t>
  </si>
  <si>
    <t xml:space="preserve">PVC Water supply (ASTM) pipe
a. 32 mm dia </t>
  </si>
  <si>
    <t>32 mm pvc</t>
  </si>
  <si>
    <t>ground level to over head tank</t>
  </si>
  <si>
    <t>25 mm pvc</t>
  </si>
  <si>
    <t>tank to F.F toilet</t>
  </si>
  <si>
    <t>tank to g.f toilet</t>
  </si>
  <si>
    <t>tank to wash area and kichen line</t>
  </si>
  <si>
    <t>tank to s/c below toilet</t>
  </si>
  <si>
    <t xml:space="preserve">20 mm di GI pie Water supply Hot water pipe
a. 20 mm dia </t>
  </si>
  <si>
    <t>G.F &amp; F.F Toilet</t>
  </si>
  <si>
    <t>SANITARY ARRANGEMENTS</t>
  </si>
  <si>
    <t>Supplying and fixing of E.W.C.(white)</t>
  </si>
  <si>
    <t>G.F TOILET</t>
  </si>
  <si>
    <t>F.F TOILET</t>
  </si>
  <si>
    <t>Com toilet</t>
  </si>
  <si>
    <t>at toilet</t>
  </si>
  <si>
    <t>wash area</t>
  </si>
  <si>
    <t>Attached &amp; common</t>
  </si>
  <si>
    <t>Kitchen &amp; wash</t>
  </si>
  <si>
    <t>Supplying and fixing of 15 Amp. Power plug point</t>
  </si>
  <si>
    <t>G.F Toilet</t>
  </si>
  <si>
    <t>KITCHEN</t>
  </si>
  <si>
    <t>WASH AREA</t>
  </si>
  <si>
    <t>Supplying and fixing of Box type Fibre Fan hook</t>
  </si>
  <si>
    <t>DSP OFFICE</t>
  </si>
  <si>
    <t>M.BED</t>
  </si>
  <si>
    <t>BED 2&amp;3</t>
  </si>
  <si>
    <t>STUDY</t>
  </si>
  <si>
    <t>Saddle hook</t>
  </si>
  <si>
    <t>HALL &amp; DINING</t>
  </si>
  <si>
    <t>WAITTING</t>
  </si>
  <si>
    <t>for panel board to earth pit</t>
  </si>
  <si>
    <t>Supplying and fixing of TV/Telephone line Socket</t>
  </si>
  <si>
    <t>M BED &amp; BED 2</t>
  </si>
  <si>
    <t>Supplying and fixing of 20mm dia PVC pipe for TV/Telephone line</t>
  </si>
  <si>
    <t>TV LINE</t>
  </si>
  <si>
    <t xml:space="preserve">G.F </t>
  </si>
  <si>
    <t>TP LINE</t>
  </si>
  <si>
    <t>Providing Earthing Station using pipe electrode as per IS3043 (Type I)</t>
  </si>
  <si>
    <t>For house &amp; office</t>
  </si>
  <si>
    <t>Providing Pre-constructional Anti termite treatment</t>
  </si>
  <si>
    <t>plinth area</t>
  </si>
  <si>
    <t>a/f ramp</t>
  </si>
  <si>
    <t>Dqm</t>
  </si>
  <si>
    <t>2.1.1</t>
  </si>
  <si>
    <t xml:space="preserve">Supplying and filling the basement with gravel </t>
  </si>
  <si>
    <t>8.2.1</t>
  </si>
  <si>
    <t>Standardised concrete Mix M-30 Grade Concrete</t>
  </si>
  <si>
    <t>Foundation and Basement</t>
  </si>
  <si>
    <t>Column upto GB Bottom</t>
  </si>
  <si>
    <t>Column upto PB Bottom</t>
  </si>
  <si>
    <t xml:space="preserve">Plinth beam horizontal </t>
  </si>
  <si>
    <t xml:space="preserve">camp office front &amp; rear </t>
  </si>
  <si>
    <t xml:space="preserve">entrance </t>
  </si>
  <si>
    <t xml:space="preserve">DSP,Toilet </t>
  </si>
  <si>
    <t>Meeting Hall, Lobby</t>
  </si>
  <si>
    <t xml:space="preserve">Meeting Hall, porch </t>
  </si>
  <si>
    <t xml:space="preserve">diff abled toilet, stair </t>
  </si>
  <si>
    <t xml:space="preserve">entrance front </t>
  </si>
  <si>
    <t xml:space="preserve">stair rear &amp; diff abled toilet </t>
  </si>
  <si>
    <t>Plinth beam vertical</t>
  </si>
  <si>
    <t>Staircase 2 sides</t>
  </si>
  <si>
    <t>camp office sides</t>
  </si>
  <si>
    <t xml:space="preserve">camp office front </t>
  </si>
  <si>
    <t>entrance</t>
  </si>
  <si>
    <t>DSP, Toilet &amp; meeting hall side</t>
  </si>
  <si>
    <t>meeting hall side</t>
  </si>
  <si>
    <t xml:space="preserve">diff abled toilet </t>
  </si>
  <si>
    <t xml:space="preserve">stair rear </t>
  </si>
  <si>
    <t>M.Bed toilet</t>
  </si>
  <si>
    <t xml:space="preserve">M.Bed toilet &amp; common </t>
  </si>
  <si>
    <t>In Ground floor</t>
  </si>
  <si>
    <t>Column upto roof level</t>
  </si>
  <si>
    <t>Toe beam</t>
  </si>
  <si>
    <t>mid landing beam all around</t>
  </si>
  <si>
    <t>mid landing slab</t>
  </si>
  <si>
    <t>landing slab</t>
  </si>
  <si>
    <t>waist slab 1st &amp; 2nd flight</t>
  </si>
  <si>
    <t>steps</t>
  </si>
  <si>
    <t>Roof beam</t>
  </si>
  <si>
    <t>Gird A</t>
  </si>
  <si>
    <t>Gird B</t>
  </si>
  <si>
    <t>Gird B stair front</t>
  </si>
  <si>
    <t>Gird C</t>
  </si>
  <si>
    <t>Gird D</t>
  </si>
  <si>
    <t>Gird E</t>
  </si>
  <si>
    <t>Gird F</t>
  </si>
  <si>
    <t>D/F Sunken</t>
  </si>
  <si>
    <t>Gird G</t>
  </si>
  <si>
    <t>rear sitout sunken</t>
  </si>
  <si>
    <t>Gird 1</t>
  </si>
  <si>
    <t>Gird 2</t>
  </si>
  <si>
    <t>a/f extra</t>
  </si>
  <si>
    <t>d/f sunken</t>
  </si>
  <si>
    <t>Gird 3</t>
  </si>
  <si>
    <t>Gird 4</t>
  </si>
  <si>
    <t>Gird 5</t>
  </si>
  <si>
    <t>Roof Slab</t>
  </si>
  <si>
    <t>Entrance lobby front</t>
  </si>
  <si>
    <t xml:space="preserve">Entrance lobby </t>
  </si>
  <si>
    <t>toilet area S2</t>
  </si>
  <si>
    <t>toilet area S1</t>
  </si>
  <si>
    <t>Diff abled toilet</t>
  </si>
  <si>
    <t xml:space="preserve">Sunshade </t>
  </si>
  <si>
    <t xml:space="preserve">Loft </t>
  </si>
  <si>
    <t>waist slab 3rdt &amp; 4th flight</t>
  </si>
  <si>
    <t xml:space="preserve">rear sitout </t>
  </si>
  <si>
    <t>Gird 4 &amp; 5</t>
  </si>
  <si>
    <t>Bed -2</t>
  </si>
  <si>
    <t>M.Bed 1</t>
  </si>
  <si>
    <t>rear sitout</t>
  </si>
  <si>
    <t xml:space="preserve">waiting </t>
  </si>
  <si>
    <t xml:space="preserve">study </t>
  </si>
  <si>
    <t>wash &amp; toilet</t>
  </si>
  <si>
    <t>O Hall</t>
  </si>
  <si>
    <t>Sunshade</t>
  </si>
  <si>
    <t>Front</t>
  </si>
  <si>
    <t xml:space="preserve">Parapet column </t>
  </si>
  <si>
    <t>H/R Column upto roof level</t>
  </si>
  <si>
    <t>Beam V</t>
  </si>
  <si>
    <t>Beam H</t>
  </si>
  <si>
    <t>slab</t>
  </si>
  <si>
    <t>Formwork using M.S.Sheet
a. For Column footings,plinth beam,Grade beam,Raftbeam,Raft slab etc.,</t>
  </si>
  <si>
    <t>column footing</t>
  </si>
  <si>
    <t>b. Plain surfaces such as Roof slab, floorslab, Beams, lintels, lofts, sill slab, staircase, portico slab and other similar works</t>
  </si>
  <si>
    <t>bottom</t>
  </si>
  <si>
    <t>steps front</t>
  </si>
  <si>
    <t>outer all around</t>
  </si>
  <si>
    <t>a/f extra @ stair</t>
  </si>
  <si>
    <t>d/f rear sitout</t>
  </si>
  <si>
    <t>d/f toilet</t>
  </si>
  <si>
    <t>d/f extra</t>
  </si>
  <si>
    <t xml:space="preserve">a/f extra </t>
  </si>
  <si>
    <t>Common toilet</t>
  </si>
  <si>
    <t>Att. Toilet</t>
  </si>
  <si>
    <t>Passage Att. Toilet</t>
  </si>
  <si>
    <t>Passage Common toilet</t>
  </si>
  <si>
    <t xml:space="preserve">d/f extra </t>
  </si>
  <si>
    <t>Record</t>
  </si>
  <si>
    <t>stair front ent. Veran</t>
  </si>
  <si>
    <t>d/f duct</t>
  </si>
  <si>
    <t>d/f stair open</t>
  </si>
  <si>
    <t>toilet area</t>
  </si>
  <si>
    <t>Dining</t>
  </si>
  <si>
    <t>d.Second floor</t>
  </si>
  <si>
    <t>c. For Square and rectangular columns and small quantities</t>
  </si>
  <si>
    <t>Column upto G.F roof level</t>
  </si>
  <si>
    <t xml:space="preserve">G.F Sunshade </t>
  </si>
  <si>
    <t>Column upto F.F roof level</t>
  </si>
  <si>
    <t>F.F Sunshade</t>
  </si>
  <si>
    <t>Sides</t>
  </si>
  <si>
    <t>S.F Sunshade</t>
  </si>
  <si>
    <t>toilet G.F D2</t>
  </si>
  <si>
    <t>22.3.3</t>
  </si>
  <si>
    <t>T.W.Double leaf door for cupboard/wardrobes with 9mm thick phenol bonded BWR Grade Plywood and also painting with two coats of first class synthetic enamel ready mix paint over one coat of primer</t>
  </si>
  <si>
    <t>GROUND FLOOR</t>
  </si>
  <si>
    <t>wr</t>
  </si>
  <si>
    <t>shELF 1</t>
  </si>
  <si>
    <t>shelf 2</t>
  </si>
  <si>
    <t>shelf 3</t>
  </si>
  <si>
    <t>FIRST FLOOR</t>
  </si>
  <si>
    <t>m.bed WR</t>
  </si>
  <si>
    <t>BED</t>
  </si>
  <si>
    <t>23.1.1</t>
  </si>
  <si>
    <t>Single leaf Solid core flush door shutter with aluminium fittings</t>
  </si>
  <si>
    <t>1000X2100mm</t>
  </si>
  <si>
    <t>900x2100</t>
  </si>
  <si>
    <t>21.5.3</t>
  </si>
  <si>
    <t>21.5.4</t>
  </si>
  <si>
    <t xml:space="preserve">Supply and fixing of UPVC (Un plasticized poloyvinyl chloride) Luvered Ventilator from the profile the size of outer frame size of 60 mm X 78 mm and shutter profile are reinforcement  with GI /1mm 125 GSM and 100% corrosion free , the profile are multi chambered section with wall tk 2 mm the EPDM rubber covered with over shutter etc  </t>
  </si>
  <si>
    <t>Supplying and fixing of Glazed tiles using Grout (Tile Joint Filler)</t>
  </si>
  <si>
    <t>DSP &amp; Camp off toilet</t>
  </si>
  <si>
    <t>wash basin area</t>
  </si>
  <si>
    <t>com toilet</t>
  </si>
  <si>
    <t>kitchen wall tiles</t>
  </si>
  <si>
    <t>Supplying and laying of Floor ceramic tiles (Anti-skid) using Grout (Tile Joint Filler).</t>
  </si>
  <si>
    <t>a/f door bott</t>
  </si>
  <si>
    <t>32.1.2</t>
  </si>
  <si>
    <t>Finishing top of roof with one course of Hydraulic machine  Pressed Tiles of approved superior quality of size 23cmx 23cmx20mm thick laid over weathering course in cm 1:3 (One of crushed stone cement and three of sand) 12mm thick mixed with WPC 2%weight of cement used and pointed neatly with the same cement mortar mixed with WPC curing etc., as per standard specifications. (The quality of tiles shall be got approved from the EE before use)</t>
  </si>
  <si>
    <t>terrce floor area</t>
  </si>
  <si>
    <t>skirting</t>
  </si>
  <si>
    <t>open terrace</t>
  </si>
  <si>
    <t>head room area</t>
  </si>
  <si>
    <t>Plastering in CM 1:3, 12 mm tk. with WPC</t>
  </si>
  <si>
    <t>sides alr</t>
  </si>
  <si>
    <t>Paiting two coat plastic emulsion paint for inner walls including one coat of primer</t>
  </si>
  <si>
    <t>As per inner plastering qty</t>
  </si>
  <si>
    <t>44.2 .a</t>
  </si>
  <si>
    <t>Rain water harvesting using defunct borewell and providing perforated cover slab
a) Providing pit</t>
  </si>
  <si>
    <t>44.2 b</t>
  </si>
  <si>
    <t>rain water pit</t>
  </si>
  <si>
    <t>44.6.1</t>
  </si>
  <si>
    <t>PVC SWR 110 mm dia with ISI mark 
type-A for rain water down fall pipe</t>
  </si>
  <si>
    <t>vertical line</t>
  </si>
  <si>
    <t>hz line chamber to rain water pit</t>
  </si>
  <si>
    <t xml:space="preserve">head room </t>
  </si>
  <si>
    <t>52.4.1</t>
  </si>
  <si>
    <t>Supplying laying fixing and jointing the following PVC pipes as per ASTM D-1785 of schedule 40 threaded PVC water supply ASTM  pipe(fully consealed in walls) with necessary PVC/GI specials
c. 20mm dia</t>
  </si>
  <si>
    <t>G.F at DSP &amp; Camp off toilet</t>
  </si>
  <si>
    <t>F.F M.Bed toilet</t>
  </si>
  <si>
    <t>Com toilet &amp; wash</t>
  </si>
  <si>
    <t>kitchen &amp; wash</t>
  </si>
  <si>
    <t>53.5.1</t>
  </si>
  <si>
    <t xml:space="preserve">Supplying and fixing of Wash hand basin of size 550 mmx400 mm </t>
  </si>
  <si>
    <t xml:space="preserve">G.F Toilet </t>
  </si>
  <si>
    <t>F.f toilet</t>
  </si>
  <si>
    <t>54.1.2</t>
  </si>
  <si>
    <t xml:space="preserve">Supplying and fixing of half turn C.P Long body Tap of 15mm dia of Best quality including cost of half turn CP tap with required specials and labour for fixing etc, all complete and as directed by the departmental officers. </t>
  </si>
  <si>
    <t xml:space="preserve">G.F at DSP </t>
  </si>
  <si>
    <t xml:space="preserve">Com toilet </t>
  </si>
  <si>
    <t>54.2.2</t>
  </si>
  <si>
    <t>Supplying and fixing of half turn C.P Short body Tap of 15mm dia of best quality including cost of half turn  CP tap with required specials, and labour for fixing etc, all complete and as directed by the departmental officers</t>
  </si>
  <si>
    <t>56.3.1</t>
  </si>
  <si>
    <t xml:space="preserve">Supplying and fixing of Indian Water closet white glazed (Oriya type) of size 580 x 440mm  - in G.F.  </t>
  </si>
  <si>
    <t>56.4.1</t>
  </si>
  <si>
    <t xml:space="preserve">Supplying and fixing of Indian Water closet white glazed (Oriya type) of size 580 x 440mm  - in other then  G.F.  </t>
  </si>
  <si>
    <t xml:space="preserve">Supplying and fixing of PVC SWR pipe (Soil line) with ISI mark - type 'B'.
</t>
  </si>
  <si>
    <t>110mm dia PVC SWR Pipe</t>
  </si>
  <si>
    <t>toilet FF TO G.F</t>
  </si>
  <si>
    <t>VL line</t>
  </si>
  <si>
    <t>Cross line</t>
  </si>
  <si>
    <t>b. 75 mm dia PVC SWR Pipe</t>
  </si>
  <si>
    <t xml:space="preserve">toilet </t>
  </si>
  <si>
    <t>cross line</t>
  </si>
  <si>
    <t>in G.F</t>
  </si>
  <si>
    <t>Supplying, Laying &amp; Concealing the 50mm dia PVC (SWR) pipe with ISI mark type - 'B' with relevant specials.</t>
  </si>
  <si>
    <t>wash basin to nahani trap</t>
  </si>
  <si>
    <t>64.1.1</t>
  </si>
  <si>
    <t xml:space="preserve">Wiring with 1.5 sqmm PVC insulated single core multi strand fire retardant flexible copper cable with ISI mark confirming IS: 694:1990.
</t>
  </si>
  <si>
    <t>Tube light</t>
  </si>
  <si>
    <t>Passage</t>
  </si>
  <si>
    <t>Bed 2&amp;3</t>
  </si>
  <si>
    <t>study</t>
  </si>
  <si>
    <t>Wash area</t>
  </si>
  <si>
    <t>Bulkhead fitting</t>
  </si>
  <si>
    <t>Entrance veranda</t>
  </si>
  <si>
    <t>MD Top</t>
  </si>
  <si>
    <t>Front &amp; rear sitout</t>
  </si>
  <si>
    <t>MD1 TOP</t>
  </si>
  <si>
    <t>Head room outer</t>
  </si>
  <si>
    <t>Exhaust fan</t>
  </si>
  <si>
    <t>Street light</t>
  </si>
  <si>
    <t>Flood lamp</t>
  </si>
  <si>
    <t>DSP &amp; Camp office</t>
  </si>
  <si>
    <t>DSP &amp; Common toilet</t>
  </si>
  <si>
    <t>wash basin</t>
  </si>
  <si>
    <t>Att. Toilet &amp; wash basin</t>
  </si>
  <si>
    <t>Common toilet &amp; wash basin</t>
  </si>
  <si>
    <t>Bed 3 wash &amp; study</t>
  </si>
  <si>
    <t>Kichen</t>
  </si>
  <si>
    <t>House</t>
  </si>
  <si>
    <t>65.1.1</t>
  </si>
  <si>
    <t>Wiring with 1.5 sqmm PVC insulated single core multi strand fire retardant flexible copper cable with ISI mark confirming IS: 694:1990 for Fan Point</t>
  </si>
  <si>
    <t>Study</t>
  </si>
  <si>
    <t>Hall &amp; dining</t>
  </si>
  <si>
    <t>Wiring with 1.5 sqmm PVC insulated single core multi strand fire retardant flexible copper cable with ISI mark confirming IS: 694:1990 for Staircase Light Point.</t>
  </si>
  <si>
    <t xml:space="preserve">S/C </t>
  </si>
  <si>
    <t>67.1.2</t>
  </si>
  <si>
    <t>Wiring with 1.5 sqmm PVC insulated single core multi strand fire retardant flexible copper cable with ISI mark confirming IS: 694:1990 for 5 amps 5 pin plug socket point at Switch Board Itself.</t>
  </si>
  <si>
    <t>68.2.1</t>
  </si>
  <si>
    <t>Wiring with 1.5 sqmm PVC insulated single core multi strand fire retardant flexible copper cable with ISI mark confirming IS: 694:1990 for 5 amps 5 pin plug socket point at Convenient Places.</t>
  </si>
  <si>
    <t>75.1.2</t>
  </si>
  <si>
    <t>Supplying and delivery of fan with electronic dimmer with ISI mark  
a) 48" (1200mm) sweep</t>
  </si>
  <si>
    <t>As per fan point qty</t>
  </si>
  <si>
    <t>S &amp; F of Bulk head fitting suitable for LED</t>
  </si>
  <si>
    <t>70.4.1</t>
  </si>
  <si>
    <t>Supplying &amp; fixing of 25W LED Street light fittings</t>
  </si>
  <si>
    <t>Building alr</t>
  </si>
  <si>
    <t xml:space="preserve">S &amp; F of  18W LED Tube light fittings with Electronic ballast </t>
  </si>
  <si>
    <t>Supply and fixing of LED bulb</t>
  </si>
  <si>
    <t>a) 9 W LED bulb for Bath &amp; WC</t>
  </si>
  <si>
    <t>b) 12 W LED bulb for Bulk head fittings</t>
  </si>
  <si>
    <t>As per bulk head fitting qty</t>
  </si>
  <si>
    <t>Run off 2 Wires of 2.5 sqmm PVC insulated single core multi strand fire retardant flexible copper cable with ISI mark confirming IS: 694:1990 in fully concealed</t>
  </si>
  <si>
    <t>At Toilet</t>
  </si>
  <si>
    <t>Wash Area</t>
  </si>
  <si>
    <t>Camp Office</t>
  </si>
  <si>
    <t>Dsp Office</t>
  </si>
  <si>
    <t>Run off 2 Wires of 4 sqmm PVC insulated single core multi strand fire retardant flexible copper cable with ISI mark confirming IS: 694:1990 in fully concealed.</t>
  </si>
  <si>
    <t>ac point</t>
  </si>
  <si>
    <t>bed 2&amp;3</t>
  </si>
  <si>
    <t>1500x2100</t>
  </si>
  <si>
    <t>1200x2100</t>
  </si>
  <si>
    <t>Supplying and fixing of Exhaust Fan 
300 mm dia</t>
  </si>
  <si>
    <t>Providing wooden Melamine polish for new wood work</t>
  </si>
  <si>
    <t>Supplying and fixing of VERTIFIED TILES FLOORING(IVORY)</t>
  </si>
  <si>
    <t>Bed 3/study</t>
  </si>
  <si>
    <t>waitting</t>
  </si>
  <si>
    <t>Supply and fixing of GRANITE TILED FLOORING (super fine polished with machine cut edges of size 2’ x 1’, 18-20 mm thick, Satharli grey / steel grey) using grout joint, laid over CM 1:3 (One of cement and three of sand) 20mm thick</t>
  </si>
  <si>
    <t>Stair case</t>
  </si>
  <si>
    <t>Entrance steps s/c</t>
  </si>
  <si>
    <t>Entrance steps @ lobby</t>
  </si>
  <si>
    <t>Ramp 1</t>
  </si>
  <si>
    <t>Ramp 2</t>
  </si>
  <si>
    <t>steps (G.F to  F.F)</t>
  </si>
  <si>
    <t xml:space="preserve">Mid landing </t>
  </si>
  <si>
    <t>steps (F.F to  Terrace )</t>
  </si>
  <si>
    <t xml:space="preserve">head room landing </t>
  </si>
  <si>
    <t>Portico</t>
  </si>
  <si>
    <t>S&amp;F of stainless steel sink 450x600mm</t>
  </si>
  <si>
    <t>Supplying and fixing of superfine polished JET BLACK of GRANITE SLAB FOR KITCHEN HEARTH SLAB CM 1:3 10mm thick</t>
  </si>
  <si>
    <t>Kitchen hearth slab</t>
  </si>
  <si>
    <t>Providing nosing to the edges of Granite slab</t>
  </si>
  <si>
    <t>S/f of Pvc low level flusing tank</t>
  </si>
  <si>
    <t>Pvc tee with end cap</t>
  </si>
  <si>
    <t>Kicthen sink</t>
  </si>
  <si>
    <t>Supply and fixing of 20 Amps DP plug and socket in sheet enclosure with 32 A DP MCB  in Flush with wall with earth connection ( For AC Plug ) Legrand ( MDS) / Hager( L&amp; T) Equivalent/ Superior variety  
Ele SD -140 /2022-2023</t>
  </si>
  <si>
    <t>61.1.1</t>
  </si>
  <si>
    <t>62.1.1</t>
  </si>
  <si>
    <t>Supply  and  fixing  of  following  dia  UPVC  specials</t>
  </si>
  <si>
    <t>a)  110 mm  dia  bend</t>
  </si>
  <si>
    <t>62.2.1</t>
  </si>
  <si>
    <t>a)  110 mm  dia Equal Tee</t>
  </si>
  <si>
    <t>inF.F</t>
  </si>
  <si>
    <t>43.1.1</t>
  </si>
  <si>
    <t xml:space="preserve">Fabrication of Mild steel / RTS grills (without cement slurry) for all sizes of rods.
</t>
  </si>
  <si>
    <t>As per BBS Qty</t>
  </si>
  <si>
    <t>Applying  one coat  of  Anticorrosive  treatment on steel reinforcement  rods  for All  RCC  works  etc  all complete</t>
  </si>
  <si>
    <t>As per steel qty</t>
  </si>
  <si>
    <t>Supplying  and  Fixing  of  1 No  of  450 x 375  20 mm tk  TW Plank  well warnished  3 Nos  of  32 Amps  250 volts  Porocelin  fuse unit</t>
  </si>
  <si>
    <t>for meter board</t>
  </si>
  <si>
    <t>E.B line  vertical</t>
  </si>
  <si>
    <t>supplying and fixing of electro mechanically operated three phase earth leakage circuit breaker/residual current circuit breaker (elcb/rccb) combined with over load and short circuit protection having a rupturing capacity of  6 ka with 30 milli amps fixed setting sensitivity and rates for 25 a in suitable sheet steel enclosure confirming to is 12640/1988 including cost of elcb/rccb on fully concealed suitable m.s box with necessary inter connections and earth connections using copper cable including cost of all materials etc., all complete</t>
  </si>
  <si>
    <t xml:space="preserve">in G.F </t>
  </si>
  <si>
    <t xml:space="preserve">in F.F </t>
  </si>
  <si>
    <t>Run off 4 wires of 4 sq.mm pvc insulated single core multi strand fire retardant flexible copper cable with isi mark conforming to is: 694/1990. with one run of 7/20gi stay wire suspended with porecelin reel insulators at 1.0m centre to centre for support of phase and neutral cable from top of street pole to the house/flats including all materials etc., all complete for eb service connections including labour charges for fixing gi wire and ms angles (for eb service connection three  phase)</t>
  </si>
  <si>
    <t>Panel board to DB</t>
  </si>
  <si>
    <t>Applying one coat of anticorrosive treatment for steel window / m.s. grills (using 5 liters of anticorosive chemical per one mt of steel) at site including cost of paint (nitozinc rich primer), brushes, gloves, labour charges for applying anticorrosive paint etc before the application of synthetic enamel paint. (the quality and the brand of the anticorrosive paint, should be got approved from the ee before use) and as directed by the departmental officers.</t>
  </si>
  <si>
    <t>As per item No  39</t>
  </si>
  <si>
    <t>Supplying &amp; fixing of bevelled edge mirror of approved quality and brand of size 500x400x5.5mm  shelf type mounted in the pvc/fibre glass framed with necessary hard board backing including labour for fixing in position etc., complete and as directed by the departmental officers.</t>
  </si>
  <si>
    <t xml:space="preserve"> in G.F Bath </t>
  </si>
  <si>
    <t xml:space="preserve"> in  F.F Bath </t>
  </si>
  <si>
    <t>Paiting two coat plastic emulsion paint for outer walls in addition to one coat of approved primer coat over cement plastered wall surfaces and ceiling including cost of plastic emulsion paint, putty, brushers etc., all complete and as directed by the departmental officers (the emulsion paint and its shade should be got approved from the executive engineer before using)</t>
  </si>
  <si>
    <t>As per outer plastering qty</t>
  </si>
  <si>
    <t xml:space="preserve">Supplying and fixing of CP Angle valve Stop cock  including cost of all materials and all labour charges etc complete </t>
  </si>
  <si>
    <t>Supplying and fixing of SFRC monhole Cover slab  of size 600x600mm including of all cost etc., all completed and as directed by the departmental officers Quotation</t>
  </si>
  <si>
    <t>Inspection chamber</t>
  </si>
  <si>
    <t>Supplying and fixing of SFRC monhole Cover slab  of size 300x300mm including of all cost etc., all completed and as directed by the departmental officers Quotation</t>
  </si>
  <si>
    <t>Rs.650</t>
  </si>
  <si>
    <t>Common, attavhed &amp; kitchen chamber</t>
  </si>
  <si>
    <t>Supplying and fixing PVC beeding for Glazed tiles wall corners including labour charges etc., all complete.</t>
  </si>
  <si>
    <t xml:space="preserve">Att.&amp; Common toilet </t>
  </si>
  <si>
    <t>Providing APP memborine for sunken portion.</t>
  </si>
  <si>
    <t>As per WPC Palstering qty</t>
  </si>
  <si>
    <t>Supplying and fixing of UPVC Exhaust fan fixing in the toilet and bath of approved ISI Quality including necessary wall opening, fixing and finishing the wall opening and making good including cost of materials, labour for fixing, chipping and redoing necessary inter connection, scaffolding, hire charges for tools and plants etc., all complete and as directed by the departmental Officers</t>
  </si>
  <si>
    <t>all toilet</t>
  </si>
  <si>
    <t>Supply and fixing of SS Health faucet 1.2m long approved quality with ISI mark.,  all complete as directed by the departmental officers Qtn</t>
  </si>
  <si>
    <t>For G.F</t>
  </si>
  <si>
    <t>For F.F</t>
  </si>
  <si>
    <t>Supplying and fixing stainless steel hand railing 304 grade with top railing tube of 50mm  304 grade with top railing tube  of 50mm dia of 12 gauge and 2.5mm wall thickness, vertical tube of 40mm dia of 14 gauge and 2mm wall thickness with 900mm clear  weight  at required intervals with 2 lines  of horizental tube of 25mm dia of 16 gauge and 1.6 mm wall thickness, 62.5mm dia front post ball set and restical base cub of 16 gauge and wall thickness of 1.6mm including polishing, buffing, fabrication and erection in the places shown by the departmental officers and embeded in the places with PCC 1:2:4 using 20mm stone jelly making holes and redoing the same and labour charges, power consumption charges etc., all complete complying with relevant standard specifications and as directed by the departmental officers. PWD SR P-57/2022-23 SL.No.248</t>
  </si>
  <si>
    <t>Ist flight</t>
  </si>
  <si>
    <t>II nd flight</t>
  </si>
  <si>
    <t>bend</t>
  </si>
  <si>
    <t>IIIrd flight</t>
  </si>
  <si>
    <t>IVth flight</t>
  </si>
  <si>
    <t>Supplying and applying wall putty one coat with approved make wall putty for smooth finishing the new cement plastered walls including cost of patty, brushes, watering, curing, labour charges for applying putty, blade etc., all complete and as directed by the departmental officers. (The quality and brand should be got approved from the EE before use.)</t>
  </si>
  <si>
    <t>Inner painting qty</t>
  </si>
  <si>
    <t>Supply and fixing of Hydraulic Door Closer of various sizes of approved quality using Aluminium Extruded Section Body Tubular Type Universal Hydraulic Door Closer with Double Speed Adjustment like HARDWYN (make) 'GAZEL' (or) Equivalent (with ISI Monogram), including labour charges etc all complete and as directed by the departmental officers.</t>
  </si>
  <si>
    <t>P-39/</t>
  </si>
  <si>
    <t xml:space="preserve">                          JE/AE                                  AEE/CDL                                   EE/SLM</t>
  </si>
  <si>
    <t>Plastic Emulsion PAINT including primer for inner walls (Two coat)</t>
  </si>
  <si>
    <t>S&amp;F of stainless steel sink PWD SR P-55/2023-24</t>
  </si>
  <si>
    <t>Supply, fiing of 25W LED street light etc.,</t>
  </si>
  <si>
    <t>900x2100 single leaf</t>
  </si>
  <si>
    <t>1050x2100 single leaf</t>
  </si>
  <si>
    <t>S&amp;F P.V.C. 20mmTHICK DOOR SHUTTER WITH DOOR FRAME OF SIZE 40mmX57mm FOR OUTER FRAME AND THE SINGLE LEAF SHUTTER MADE OF PLASTIC SHEET 20mmX200mm FOR SHUTTER PANNEL AND SHUTTER FRAME OF PLASTIC 24mmX59mm WITH 8 NOS OF 3 HINGS ALU,2N0S OFAL. HANDLES</t>
  </si>
  <si>
    <t xml:space="preserve">TW Panelled double leaf door shutter with brass fittings
Suitable for door of size
</t>
  </si>
  <si>
    <t xml:space="preserve">TW Panelled Single leaf door shutter with brass fittings
Suitable for door of size
</t>
  </si>
  <si>
    <t xml:space="preserve">TW Panelled Single leaf door shutter without brass fittings
Suitable for door of size
</t>
  </si>
  <si>
    <t>Providing double nosing to the edges of Granite slab  [PWD SR-2023-24/p-41]</t>
  </si>
  <si>
    <t xml:space="preserve">S&amp;F of PVC flushing cistern 10lit </t>
  </si>
  <si>
    <t>Anticorrosive treatment for window grills</t>
  </si>
  <si>
    <t>As per grill qty</t>
  </si>
  <si>
    <t>Supply and fixing of 20 Amps DP plug and socket in sheet enclosure with 32 A DP MCB  in Flush with wall with earth connection ( For AC Plug ) Legrand ( MDS) / Hager( L&amp; T) Equivalent/ Superior variety  
Ele SD -140 /2023-24</t>
  </si>
  <si>
    <t>6 way - D.B. DATA</t>
  </si>
  <si>
    <t>Supplying and fixing of 40mm dia 'b' class GI pipe confirming to iss for eb service connection for passing through from top of house/flats building to the eb board including cost of pipe, specials, labour for fixing etc., complete complying with relevant standard specifications.</t>
  </si>
  <si>
    <t>Supplying &amp; fixing of Stainless steel Hand Rails for Staircase (PWD SR 23-24/p-62)</t>
  </si>
  <si>
    <t>ELCB THREE phase</t>
  </si>
  <si>
    <t>GENERAL ABSTRACT</t>
  </si>
  <si>
    <t>Sl.No.</t>
  </si>
  <si>
    <t>BUILDING WORKS</t>
  </si>
  <si>
    <t>SUB - TOTAL - I Rs.</t>
  </si>
  <si>
    <t>External electrical arrangements</t>
  </si>
  <si>
    <t>SUB - TOTAL - II Rs.</t>
  </si>
  <si>
    <t xml:space="preserve">GST at  18.0% </t>
  </si>
  <si>
    <t>Provision for Soil investigation</t>
  </si>
  <si>
    <t>Internal arrangements for Underground sewage system for connecting the sewer line to municipal line</t>
  </si>
  <si>
    <t>Drinking water supply arrangements with storage sump</t>
  </si>
  <si>
    <t>SUB - TOTAL - III Rs.</t>
  </si>
  <si>
    <t>Labour Welfare fund @ 1.00%</t>
  </si>
  <si>
    <t>As pr PWD Norms</t>
  </si>
  <si>
    <t>"</t>
  </si>
  <si>
    <t>SUB - TOTAL - IV Rs.</t>
  </si>
  <si>
    <t xml:space="preserve">Advertisement charges </t>
  </si>
  <si>
    <t>EB Deposit</t>
  </si>
  <si>
    <t xml:space="preserve">Provision for planning permission &amp; payment to other department </t>
  </si>
  <si>
    <t>Structural Design / Consultancy charges</t>
  </si>
  <si>
    <t>GRAND TOTAL Rs.</t>
  </si>
  <si>
    <t>Supplying and fixing of 20mm thick bituminous expansion joint filler pad of approved quality and make inclusive of conveyance charges, cutting the pad to the required size, cost of materials and labour charges for fixing in position wherever necessary for all floors etc., complete and as directed by the departmental officers.</t>
  </si>
  <si>
    <t>Supplying and filling in foundation and basement with gravel in layers of 150 mm thickness well watered, rammed and consolidated complying with relavant standard specifications including cost of supplying gravel and as directed by the departmental officers.</t>
  </si>
  <si>
    <t xml:space="preserve">UG Sump </t>
  </si>
  <si>
    <t xml:space="preserve">a) 80mm dia Elbow  </t>
  </si>
  <si>
    <t xml:space="preserve">b) 80mm dia Hex Nipple </t>
  </si>
  <si>
    <t xml:space="preserve">c)80mmm dia union </t>
  </si>
  <si>
    <t xml:space="preserve">d) 80mm dia Non return valve </t>
  </si>
  <si>
    <t>e) 80mm Dia GI flange set</t>
  </si>
  <si>
    <t>Supply &amp; erection of  floor mounting metering panel board (Cubical type)  with bus bar chamber (Quotation)</t>
  </si>
  <si>
    <t>OHT</t>
  </si>
  <si>
    <t>a. 600mm x 600mm PWD SR P-77/2023-24</t>
  </si>
  <si>
    <t>SEPTIC TANK</t>
  </si>
  <si>
    <t>Plinth Protection</t>
  </si>
  <si>
    <t>Sullage &amp; Strom water drain</t>
  </si>
  <si>
    <t xml:space="preserve">Septic tank </t>
  </si>
  <si>
    <t>Cement Concrete road</t>
  </si>
  <si>
    <t>Plinth protection</t>
  </si>
  <si>
    <t xml:space="preserve">Supply and fixing of APP membrance </t>
  </si>
  <si>
    <t>PVC Beeding for tiles corner joints P41/SOR-2023-24</t>
  </si>
  <si>
    <t>EE/SLM</t>
  </si>
  <si>
    <t>JE/AE                                AEE/CDL</t>
  </si>
  <si>
    <t xml:space="preserve"> AS PER PWD SR 2023-2024</t>
  </si>
  <si>
    <t xml:space="preserve">Total Qty.
(Building+Dev)
</t>
  </si>
  <si>
    <r>
      <t xml:space="preserve">Earth work excavation in all soils </t>
    </r>
    <r>
      <rPr>
        <b/>
        <sz val="50"/>
        <rFont val="Cambria"/>
        <family val="1"/>
        <scheme val="major"/>
      </rPr>
      <t>(including refilling)</t>
    </r>
  </si>
  <si>
    <r>
      <t xml:space="preserve">Earth work excavation in all soils </t>
    </r>
    <r>
      <rPr>
        <b/>
        <sz val="50"/>
        <rFont val="Cambria"/>
        <family val="1"/>
        <scheme val="major"/>
      </rPr>
      <t>(excluding refilling)</t>
    </r>
  </si>
  <si>
    <r>
      <t xml:space="preserve">Earth work excavation in </t>
    </r>
    <r>
      <rPr>
        <b/>
        <sz val="50"/>
        <rFont val="Cambria"/>
        <family val="1"/>
        <scheme val="major"/>
      </rPr>
      <t>Soft disintegrated rock  (including refilling)</t>
    </r>
  </si>
  <si>
    <r>
      <t xml:space="preserve">Earth work excavation for Open foundation </t>
    </r>
    <r>
      <rPr>
        <b/>
        <sz val="50"/>
        <rFont val="Cambria"/>
        <family val="1"/>
        <scheme val="major"/>
      </rPr>
      <t>(including refilling)</t>
    </r>
  </si>
  <si>
    <r>
      <t xml:space="preserve">Earth work excavation for </t>
    </r>
    <r>
      <rPr>
        <b/>
        <sz val="50"/>
        <rFont val="Cambria"/>
        <family val="1"/>
        <scheme val="major"/>
      </rPr>
      <t xml:space="preserve">Open foundation </t>
    </r>
    <r>
      <rPr>
        <sz val="50"/>
        <rFont val="Cambria"/>
        <family val="1"/>
        <scheme val="major"/>
      </rPr>
      <t>(excluding refilling)</t>
    </r>
  </si>
  <si>
    <r>
      <t xml:space="preserve">Earth work excavation for </t>
    </r>
    <r>
      <rPr>
        <b/>
        <sz val="50"/>
        <rFont val="Cambria"/>
        <family val="1"/>
        <scheme val="major"/>
      </rPr>
      <t xml:space="preserve">Open foundation </t>
    </r>
    <r>
      <rPr>
        <sz val="50"/>
        <rFont val="Cambria"/>
        <family val="1"/>
        <scheme val="major"/>
      </rPr>
      <t xml:space="preserve"> for drains (excluding refilling) width  upto 1.25 m</t>
    </r>
  </si>
  <si>
    <r>
      <t xml:space="preserve">Earth work excavation in </t>
    </r>
    <r>
      <rPr>
        <b/>
        <sz val="50"/>
        <rFont val="Cambria"/>
        <family val="1"/>
        <scheme val="major"/>
      </rPr>
      <t>Soft disintegrated rock 
(Excluding refilling)</t>
    </r>
  </si>
  <si>
    <r>
      <t xml:space="preserve">Earth work excavation in </t>
    </r>
    <r>
      <rPr>
        <b/>
        <sz val="50"/>
        <rFont val="Cambria"/>
        <family val="1"/>
        <scheme val="major"/>
      </rPr>
      <t>SDR for</t>
    </r>
    <r>
      <rPr>
        <sz val="50"/>
        <rFont val="Cambria"/>
        <family val="1"/>
        <scheme val="major"/>
      </rPr>
      <t xml:space="preserve"> </t>
    </r>
    <r>
      <rPr>
        <b/>
        <sz val="50"/>
        <rFont val="Cambria"/>
        <family val="1"/>
        <scheme val="major"/>
      </rPr>
      <t xml:space="preserve">Open foundation </t>
    </r>
    <r>
      <rPr>
        <sz val="50"/>
        <rFont val="Cambria"/>
        <family val="1"/>
        <scheme val="major"/>
      </rPr>
      <t xml:space="preserve"> (excluding refilling)</t>
    </r>
  </si>
  <si>
    <r>
      <t xml:space="preserve">R.C.C. 1:2:4 </t>
    </r>
    <r>
      <rPr>
        <sz val="50"/>
        <rFont val="Cambria"/>
        <family val="1"/>
        <scheme val="major"/>
      </rPr>
      <t>Foundation and Basement</t>
    </r>
  </si>
  <si>
    <r>
      <t xml:space="preserve">R.C.C. 1: 11/2: 3 </t>
    </r>
    <r>
      <rPr>
        <sz val="50"/>
        <rFont val="Cambria"/>
        <family val="1"/>
        <scheme val="major"/>
      </rPr>
      <t>Foundation and Basement</t>
    </r>
  </si>
  <si>
    <r>
      <t>Brick work in C.M. 1:5 (F&amp; B)</t>
    </r>
    <r>
      <rPr>
        <sz val="50"/>
        <rFont val="Cambria"/>
        <family val="1"/>
        <scheme val="major"/>
      </rPr>
      <t xml:space="preserve"> using Chamber Burnt brick of size 23 x 11.2 x 7 cm (9" x 4 3/8" x 2 3/4")</t>
    </r>
  </si>
  <si>
    <r>
      <t>Brick work in C.M. 1:5 (F&amp; B)</t>
    </r>
    <r>
      <rPr>
        <sz val="50"/>
        <rFont val="Cambria"/>
        <family val="1"/>
        <scheme val="major"/>
      </rPr>
      <t xml:space="preserve"> using chamber Burnt bricks of size 23 x 11.4 x 7.5 cm (9" x 4 1/2"x 3")</t>
    </r>
  </si>
  <si>
    <r>
      <t>Brick work in C.M. 1:5 (F&amp; B)</t>
    </r>
    <r>
      <rPr>
        <sz val="50"/>
        <rFont val="Cambria"/>
        <family val="1"/>
        <scheme val="major"/>
      </rPr>
      <t xml:space="preserve"> using Chamber Burnt brick of size 23 x 11 x 7 cm (9" x 4 1/4" x 2 3/4")</t>
    </r>
  </si>
  <si>
    <r>
      <t>Brick work in C.M. 1:5 (F&amp; B)</t>
    </r>
    <r>
      <rPr>
        <sz val="50"/>
        <rFont val="Cambria"/>
        <family val="1"/>
        <scheme val="major"/>
      </rPr>
      <t xml:space="preserve"> using Chamber Burnt brick of size 22 x 11 x 7 cm (8 3/4" x 4 1/4" x 2 3/4")</t>
    </r>
  </si>
  <si>
    <r>
      <t>Brick work in C.M. 1:5 (F&amp; B)</t>
    </r>
    <r>
      <rPr>
        <sz val="50"/>
        <rFont val="Cambria"/>
        <family val="1"/>
        <scheme val="major"/>
      </rPr>
      <t xml:space="preserve"> using Kiln Burnt Country bricks of size 22 x 11 x 7 cm (8 3/4" x 4 1/4" x 2 3/4")</t>
    </r>
  </si>
  <si>
    <r>
      <t>Brick work in C.M. 1:5 (F&amp; B)</t>
    </r>
    <r>
      <rPr>
        <sz val="50"/>
        <rFont val="Cambria"/>
        <family val="1"/>
        <scheme val="major"/>
      </rPr>
      <t xml:space="preserve"> using Kiln Burnt Country bricks of size 22 x 11 x 5.7 cm (8 3/4" x 4 1/4" x 2 1/4")</t>
    </r>
  </si>
  <si>
    <r>
      <t>Damp Proof Course
in C.M. 1:4, 12 MM thick</t>
    </r>
    <r>
      <rPr>
        <sz val="50"/>
        <rFont val="Cambria"/>
        <family val="1"/>
        <scheme val="major"/>
      </rPr>
      <t xml:space="preserve"> mixed with Crude oil</t>
    </r>
  </si>
  <si>
    <r>
      <t>Supply and fixing of</t>
    </r>
    <r>
      <rPr>
        <b/>
        <sz val="50"/>
        <rFont val="Cambria"/>
        <family val="1"/>
        <scheme val="major"/>
      </rPr>
      <t xml:space="preserve"> Bituminous filler pad,</t>
    </r>
    <r>
      <rPr>
        <sz val="50"/>
        <rFont val="Cambria"/>
        <family val="1"/>
        <scheme val="major"/>
      </rPr>
      <t xml:space="preserve"> 20 mm tk. for expansion joint</t>
    </r>
  </si>
  <si>
    <r>
      <t xml:space="preserve">Damp Proof Course </t>
    </r>
    <r>
      <rPr>
        <sz val="50"/>
        <rFont val="Cambria"/>
        <family val="1"/>
        <scheme val="major"/>
      </rPr>
      <t>in C.M. 1:4, 12 MM thick mixed with Water proofing compound</t>
    </r>
  </si>
  <si>
    <r>
      <t>Brick work in C.M. 1:6</t>
    </r>
    <r>
      <rPr>
        <sz val="50"/>
        <rFont val="Cambria"/>
        <family val="1"/>
        <scheme val="major"/>
      </rPr>
      <t xml:space="preserve"> using chamber Burnt bricks of size 23 x 11.4 x 7.5 cm (9" x 4 1/2"x 3")</t>
    </r>
  </si>
  <si>
    <r>
      <t>Brick work in C.M. 1:6</t>
    </r>
    <r>
      <rPr>
        <b/>
        <sz val="50"/>
        <rFont val="Cambria"/>
        <family val="1"/>
        <scheme val="major"/>
      </rPr>
      <t xml:space="preserve"> </t>
    </r>
    <r>
      <rPr>
        <sz val="50"/>
        <rFont val="Cambria"/>
        <family val="1"/>
        <scheme val="major"/>
      </rPr>
      <t xml:space="preserve"> using Chamber Burnt brick of size 22 x 11 x 7 cm (8 3/4" x 4 1/4" x 2 3/4")</t>
    </r>
  </si>
  <si>
    <r>
      <t xml:space="preserve">Brick partition work in C.M. 1:4 </t>
    </r>
    <r>
      <rPr>
        <sz val="50"/>
        <rFont val="Cambria"/>
        <family val="1"/>
        <scheme val="major"/>
      </rPr>
      <t xml:space="preserve">
Chamber Burnt brick of size 23 x 11.2 x 7 cm (9" x 4 3/8" x 2 3/4")</t>
    </r>
    <r>
      <rPr>
        <b/>
        <sz val="50"/>
        <rFont val="Cambria"/>
        <family val="1"/>
        <scheme val="major"/>
      </rPr>
      <t>112 mm tk (B.P.)</t>
    </r>
  </si>
  <si>
    <r>
      <t xml:space="preserve">Brick partition work in C.M. 1:4 </t>
    </r>
    <r>
      <rPr>
        <sz val="50"/>
        <rFont val="Cambria"/>
        <family val="1"/>
        <scheme val="major"/>
      </rPr>
      <t xml:space="preserve">using chamber Burnt bricks of size 23 x 11.4 x 7.5 cm (9" x 4 1/2"x 3") </t>
    </r>
    <r>
      <rPr>
        <b/>
        <sz val="50"/>
        <rFont val="Cambria"/>
        <family val="1"/>
        <scheme val="major"/>
      </rPr>
      <t>114 mm tk (B.P.)</t>
    </r>
  </si>
  <si>
    <r>
      <t xml:space="preserve">Brick partition work in C.M. 1:4 </t>
    </r>
    <r>
      <rPr>
        <sz val="50"/>
        <rFont val="Cambria"/>
        <family val="1"/>
        <scheme val="major"/>
      </rPr>
      <t xml:space="preserve">Chamber Burnt 
brick of size 23 x 11 x 7 cm (9" x 4 1/4" x 2 3/4") </t>
    </r>
    <r>
      <rPr>
        <b/>
        <sz val="50"/>
        <rFont val="Cambria"/>
        <family val="1"/>
        <scheme val="major"/>
      </rPr>
      <t>110 mm tk (B.P.)</t>
    </r>
  </si>
  <si>
    <r>
      <t xml:space="preserve">Brick partition work in C.M. 1:4 </t>
    </r>
    <r>
      <rPr>
        <sz val="50"/>
        <rFont val="Cambria"/>
        <family val="1"/>
        <scheme val="major"/>
      </rPr>
      <t xml:space="preserve">
Chamber Burnt brick of size 22 x 11 x 7 cm (8 3/4" x 4 1/4" x 2 3/4") </t>
    </r>
    <r>
      <rPr>
        <b/>
        <sz val="50"/>
        <rFont val="Cambria"/>
        <family val="1"/>
        <scheme val="major"/>
      </rPr>
      <t>110 mm tk (B.P.)</t>
    </r>
  </si>
  <si>
    <r>
      <t xml:space="preserve">Brick partition work in C.M. 1:4 </t>
    </r>
    <r>
      <rPr>
        <sz val="50"/>
        <rFont val="Cambria"/>
        <family val="1"/>
        <scheme val="major"/>
      </rPr>
      <t xml:space="preserve">Kiln Burnt Country bricks of size 22 x 11 x 7 cm (8 3/4" x 4 1/4" x 2 3/4") </t>
    </r>
    <r>
      <rPr>
        <b/>
        <sz val="50"/>
        <rFont val="Cambria"/>
        <family val="1"/>
        <scheme val="major"/>
      </rPr>
      <t>110 mm tk (B.P.)</t>
    </r>
  </si>
  <si>
    <r>
      <t xml:space="preserve">Brick partition work in C.M. 1:4 </t>
    </r>
    <r>
      <rPr>
        <sz val="50"/>
        <rFont val="Cambria"/>
        <family val="1"/>
        <scheme val="major"/>
      </rPr>
      <t xml:space="preserve">Kiln Burnt Country bricks of size 22 x 11 x 5.7 cm (8 3/4" x 4 1/4" x 2 1/4") </t>
    </r>
    <r>
      <rPr>
        <b/>
        <sz val="50"/>
        <rFont val="Cambria"/>
        <family val="1"/>
        <scheme val="major"/>
      </rPr>
      <t>110 mm tk (B.P.)</t>
    </r>
  </si>
  <si>
    <r>
      <t xml:space="preserve">Brick work in C.M. 1:4 </t>
    </r>
    <r>
      <rPr>
        <sz val="50"/>
        <rFont val="Cambria"/>
        <family val="1"/>
        <scheme val="major"/>
      </rPr>
      <t>Chamber Burnt brick of size 23 x 11.2 x 7 cm (9" x 4 3/8" x 2 3/4")</t>
    </r>
    <r>
      <rPr>
        <b/>
        <sz val="50"/>
        <rFont val="Cambria"/>
        <family val="1"/>
        <scheme val="major"/>
      </rPr>
      <t>70 mm tk (B.P.)</t>
    </r>
  </si>
  <si>
    <r>
      <t xml:space="preserve">Brick work in C.M. 1:4 </t>
    </r>
    <r>
      <rPr>
        <sz val="50"/>
        <rFont val="Cambria"/>
        <family val="1"/>
        <scheme val="major"/>
      </rPr>
      <t xml:space="preserve">using chamber Burnt bricks of size 23 x 11.4 x 7.5 cm (9" x 4 1/2"x 3") </t>
    </r>
    <r>
      <rPr>
        <b/>
        <sz val="50"/>
        <rFont val="Cambria"/>
        <family val="1"/>
        <scheme val="major"/>
      </rPr>
      <t>75 mm tk (B.P.)</t>
    </r>
  </si>
  <si>
    <r>
      <t xml:space="preserve">Brick work in C.M. 1:4 </t>
    </r>
    <r>
      <rPr>
        <sz val="50"/>
        <rFont val="Cambria"/>
        <family val="1"/>
        <scheme val="major"/>
      </rPr>
      <t xml:space="preserve">Chamber Burnt brick: 
of size 23 x 11 x 7 cm (9" x 4 1/4" x 2 3/4") </t>
    </r>
    <r>
      <rPr>
        <b/>
        <sz val="50"/>
        <rFont val="Cambria"/>
        <family val="1"/>
        <scheme val="major"/>
      </rPr>
      <t>70 mm tk (B.P.)</t>
    </r>
  </si>
  <si>
    <r>
      <t xml:space="preserve">Brick work in C.M. 1:4 </t>
    </r>
    <r>
      <rPr>
        <sz val="50"/>
        <rFont val="Cambria"/>
        <family val="1"/>
        <scheme val="major"/>
      </rPr>
      <t xml:space="preserve">Chamber Burnt brick of size 22 x 11 x 7 cm (8 3/4" x 4 1/4" x 2 3/4") </t>
    </r>
    <r>
      <rPr>
        <b/>
        <sz val="50"/>
        <rFont val="Cambria"/>
        <family val="1"/>
        <scheme val="major"/>
      </rPr>
      <t>70 mm tk (B.P.)</t>
    </r>
  </si>
  <si>
    <r>
      <t xml:space="preserve">Brick work in C.M. 1:4 </t>
    </r>
    <r>
      <rPr>
        <sz val="50"/>
        <rFont val="Cambria"/>
        <family val="1"/>
        <scheme val="major"/>
      </rPr>
      <t xml:space="preserve">Kiln Burnt Country bricks of size 22 x 11 x 7 cm (8 3/4" x 4 1/4" x 2 3/4") </t>
    </r>
    <r>
      <rPr>
        <b/>
        <sz val="50"/>
        <rFont val="Cambria"/>
        <family val="1"/>
        <scheme val="major"/>
      </rPr>
      <t>70 mm tk (B.P.)</t>
    </r>
  </si>
  <si>
    <r>
      <t xml:space="preserve">Brick work in C.M. 1:4 </t>
    </r>
    <r>
      <rPr>
        <sz val="50"/>
        <rFont val="Cambria"/>
        <family val="1"/>
        <scheme val="major"/>
      </rPr>
      <t xml:space="preserve">Kiln Burnt Country bricks of size 22 x 11 x 5.7 cm (8 3/4" x 4 1/4" x 2 1/4") </t>
    </r>
    <r>
      <rPr>
        <b/>
        <sz val="50"/>
        <rFont val="Cambria"/>
        <family val="1"/>
        <scheme val="major"/>
      </rPr>
      <t>57 mm tk (B.P.)</t>
    </r>
  </si>
  <si>
    <r>
      <t xml:space="preserve">Precast </t>
    </r>
    <r>
      <rPr>
        <b/>
        <sz val="50"/>
        <rFont val="Cambria"/>
        <family val="1"/>
        <scheme val="major"/>
      </rPr>
      <t>Jally ventilator 50mm tk.</t>
    </r>
  </si>
  <si>
    <r>
      <t xml:space="preserve">Form work- </t>
    </r>
    <r>
      <rPr>
        <b/>
        <sz val="50"/>
        <rFont val="Cambria"/>
        <family val="1"/>
        <scheme val="major"/>
      </rPr>
      <t xml:space="preserve">Lintel </t>
    </r>
    <r>
      <rPr>
        <sz val="50"/>
        <rFont val="Cambria"/>
        <family val="1"/>
        <scheme val="major"/>
      </rPr>
      <t>(C.W. planks)</t>
    </r>
  </si>
  <si>
    <r>
      <t xml:space="preserve">Form work - </t>
    </r>
    <r>
      <rPr>
        <b/>
        <sz val="50"/>
        <rFont val="Cambria"/>
        <family val="1"/>
        <scheme val="major"/>
      </rPr>
      <t>M.S. Sheet</t>
    </r>
    <r>
      <rPr>
        <sz val="50"/>
        <rFont val="Cambria"/>
        <family val="1"/>
        <scheme val="major"/>
      </rPr>
      <t xml:space="preserve"> (slab)</t>
    </r>
  </si>
  <si>
    <r>
      <t xml:space="preserve">Form work - </t>
    </r>
    <r>
      <rPr>
        <b/>
        <sz val="50"/>
        <rFont val="Cambria"/>
        <family val="1"/>
        <scheme val="major"/>
      </rPr>
      <t>Small quantities</t>
    </r>
    <r>
      <rPr>
        <sz val="50"/>
        <rFont val="Cambria"/>
        <family val="1"/>
        <scheme val="major"/>
      </rPr>
      <t xml:space="preserve">  (M.S. Sheet)</t>
    </r>
  </si>
  <si>
    <r>
      <t>Floor plastering</t>
    </r>
    <r>
      <rPr>
        <sz val="50"/>
        <rFont val="Cambria"/>
        <family val="1"/>
        <scheme val="major"/>
      </rPr>
      <t xml:space="preserve"> in C.M. 1:4, 20 mm tk.</t>
    </r>
  </si>
  <si>
    <r>
      <t xml:space="preserve">Mosaic tiles </t>
    </r>
    <r>
      <rPr>
        <sz val="50"/>
        <rFont val="Cambria"/>
        <family val="1"/>
        <scheme val="major"/>
      </rPr>
      <t>20 cm x 20 cm x 2 cm.</t>
    </r>
  </si>
  <si>
    <r>
      <t xml:space="preserve">Mosaic tiles </t>
    </r>
    <r>
      <rPr>
        <sz val="50"/>
        <rFont val="Cambria"/>
        <family val="1"/>
        <scheme val="major"/>
      </rPr>
      <t>25 cm x 25 cm x 2 cm.</t>
    </r>
  </si>
  <si>
    <r>
      <t>White washing 3 coats</t>
    </r>
    <r>
      <rPr>
        <b/>
        <sz val="50"/>
        <rFont val="Cambria"/>
        <family val="1"/>
        <scheme val="major"/>
      </rPr>
      <t xml:space="preserve">  (slaked)</t>
    </r>
  </si>
  <si>
    <r>
      <t>Colour washing</t>
    </r>
    <r>
      <rPr>
        <b/>
        <sz val="50"/>
        <rFont val="Cambria"/>
        <family val="1"/>
        <scheme val="major"/>
      </rPr>
      <t xml:space="preserve">  ( slaked)</t>
    </r>
  </si>
  <si>
    <r>
      <t xml:space="preserve">Fabrication of </t>
    </r>
    <r>
      <rPr>
        <b/>
        <sz val="50"/>
        <rFont val="Cambria"/>
        <family val="1"/>
        <scheme val="major"/>
      </rPr>
      <t xml:space="preserve">Mild steel / RTS grills
</t>
    </r>
    <r>
      <rPr>
        <sz val="50"/>
        <rFont val="Cambria"/>
        <family val="1"/>
        <scheme val="major"/>
      </rPr>
      <t>(with cement slurry wash)</t>
    </r>
  </si>
  <si>
    <r>
      <t xml:space="preserve">Fabrication of </t>
    </r>
    <r>
      <rPr>
        <b/>
        <sz val="50"/>
        <rFont val="Cambria"/>
        <family val="1"/>
        <scheme val="major"/>
      </rPr>
      <t xml:space="preserve">Mild steel / RTS grills </t>
    </r>
    <r>
      <rPr>
        <sz val="50"/>
        <rFont val="Cambria"/>
        <family val="1"/>
        <scheme val="major"/>
      </rPr>
      <t xml:space="preserve">
</t>
    </r>
  </si>
  <si>
    <r>
      <t xml:space="preserve">PVC SWR 110 mm dia </t>
    </r>
    <r>
      <rPr>
        <b/>
        <sz val="50"/>
        <rFont val="Cambria"/>
        <family val="1"/>
        <scheme val="major"/>
      </rPr>
      <t>Rain water pipe</t>
    </r>
  </si>
  <si>
    <r>
      <t>Stucco</t>
    </r>
    <r>
      <rPr>
        <sz val="50"/>
        <rFont val="Cambria"/>
        <family val="1"/>
        <scheme val="major"/>
      </rPr>
      <t xml:space="preserve"> plastering 12 mm tk.</t>
    </r>
  </si>
  <si>
    <r>
      <t xml:space="preserve">Anticorrosive treatment for </t>
    </r>
    <r>
      <rPr>
        <b/>
        <sz val="50"/>
        <rFont val="Cambria"/>
        <family val="1"/>
        <scheme val="major"/>
      </rPr>
      <t>steel grills</t>
    </r>
  </si>
  <si>
    <r>
      <t xml:space="preserve">Precast </t>
    </r>
    <r>
      <rPr>
        <b/>
        <sz val="50"/>
        <rFont val="Cambria"/>
        <family val="1"/>
        <scheme val="major"/>
      </rPr>
      <t>Jally ventilator 50mm tk.using standardised concrete mix M30 (annexure) without vibrating charges</t>
    </r>
  </si>
  <si>
    <r>
      <t xml:space="preserve">Precast </t>
    </r>
    <r>
      <rPr>
        <b/>
        <sz val="50"/>
        <rFont val="Cambria"/>
        <family val="1"/>
        <scheme val="major"/>
      </rPr>
      <t>Jally ventilator 50mm tk.using standardised concrete mix M20 (annexure) without vibrating charges</t>
    </r>
  </si>
  <si>
    <r>
      <t xml:space="preserve">Brick work in C.M. 1:5 </t>
    </r>
    <r>
      <rPr>
        <sz val="50"/>
        <rFont val="Cambria"/>
        <family val="1"/>
        <scheme val="major"/>
      </rPr>
      <t>using Fly Ash 
bricks of size 23 x 11 x 7 cm in Foundation and Basement</t>
    </r>
  </si>
  <si>
    <r>
      <t xml:space="preserve">Brick work in C.M. 1:6 </t>
    </r>
    <r>
      <rPr>
        <sz val="50"/>
        <rFont val="Cambria"/>
        <family val="1"/>
        <scheme val="major"/>
      </rPr>
      <t xml:space="preserve">using Fly Ash 
bricks of size 23 x 11 x 7 cm </t>
    </r>
  </si>
  <si>
    <r>
      <t xml:space="preserve">Brick partition work in C.M. 1:4 </t>
    </r>
    <r>
      <rPr>
        <sz val="50"/>
        <rFont val="Cambria"/>
        <family val="1"/>
        <scheme val="major"/>
      </rPr>
      <t xml:space="preserve">using Fly Ash 
bricks of size 23 x 11 x 7 cm </t>
    </r>
    <r>
      <rPr>
        <b/>
        <sz val="50"/>
        <rFont val="Cambria"/>
        <family val="1"/>
        <scheme val="major"/>
      </rPr>
      <t>110 mm tk (B.P.)</t>
    </r>
  </si>
  <si>
    <r>
      <t xml:space="preserve">Brick work in C.M. 1:4 </t>
    </r>
    <r>
      <rPr>
        <sz val="50"/>
        <rFont val="Cambria"/>
        <family val="1"/>
        <scheme val="major"/>
      </rPr>
      <t xml:space="preserve">using Fly Ash 
bricks of size 23 x 11 x 7 cm </t>
    </r>
    <r>
      <rPr>
        <b/>
        <sz val="50"/>
        <rFont val="Cambria"/>
        <family val="1"/>
        <scheme val="major"/>
      </rPr>
      <t>70 mm tk (B.P.)</t>
    </r>
  </si>
  <si>
    <r>
      <t xml:space="preserve">B.W in CM 1:4 in Superstructure for </t>
    </r>
    <r>
      <rPr>
        <b/>
        <sz val="50"/>
        <rFont val="Cambria"/>
        <family val="1"/>
        <scheme val="major"/>
      </rPr>
      <t>OHT in First floor</t>
    </r>
  </si>
  <si>
    <r>
      <t xml:space="preserve">B.W in CM 1:4 in Superstructure for </t>
    </r>
    <r>
      <rPr>
        <b/>
        <sz val="50"/>
        <rFont val="Cambria"/>
        <family val="1"/>
        <scheme val="major"/>
      </rPr>
      <t>OHT in Second  floor</t>
    </r>
  </si>
  <si>
    <r>
      <t xml:space="preserve">B.W in CM 1:4 in Superstructure for OHT
</t>
    </r>
    <r>
      <rPr>
        <b/>
        <sz val="50"/>
        <rFont val="Cambria"/>
        <family val="1"/>
        <scheme val="major"/>
      </rPr>
      <t>In Third  floor</t>
    </r>
  </si>
  <si>
    <r>
      <t xml:space="preserve">B.W in CM 1:4 in Superstructure for </t>
    </r>
    <r>
      <rPr>
        <b/>
        <sz val="50"/>
        <rFont val="Cambria"/>
        <family val="1"/>
        <scheme val="major"/>
      </rPr>
      <t>OHT In Fourth  floor</t>
    </r>
  </si>
  <si>
    <r>
      <t xml:space="preserve">Earth work excavation in Loose / sandy soils </t>
    </r>
    <r>
      <rPr>
        <b/>
        <sz val="50"/>
        <rFont val="Cambria"/>
        <family val="1"/>
        <scheme val="major"/>
      </rPr>
      <t>(including refilling)</t>
    </r>
  </si>
  <si>
    <r>
      <t xml:space="preserve">Earth work excavation in Loose / sandy soils </t>
    </r>
    <r>
      <rPr>
        <b/>
        <sz val="50"/>
        <rFont val="Cambria"/>
        <family val="1"/>
        <scheme val="major"/>
      </rPr>
      <t>(excluding refilling) for open foundation</t>
    </r>
  </si>
  <si>
    <r>
      <t xml:space="preserve">Earth work excavation in Loose / sandy soils </t>
    </r>
    <r>
      <rPr>
        <b/>
        <sz val="50"/>
        <rFont val="Cambria"/>
        <family val="1"/>
        <scheme val="major"/>
      </rPr>
      <t>(excluding refilling) for drain</t>
    </r>
  </si>
  <si>
    <r>
      <t xml:space="preserve">TW double leaves shutter of size  2000X2400mm.(Double leaves) </t>
    </r>
    <r>
      <rPr>
        <b/>
        <sz val="50"/>
        <rFont val="Cambria"/>
        <family val="1"/>
        <scheme val="major"/>
      </rPr>
      <t>with Brass fittings</t>
    </r>
  </si>
  <si>
    <r>
      <t xml:space="preserve">TW panelled door </t>
    </r>
    <r>
      <rPr>
        <b/>
        <sz val="50"/>
        <rFont val="Cambria"/>
        <family val="1"/>
        <scheme val="major"/>
      </rPr>
      <t>double leaves</t>
    </r>
    <r>
      <rPr>
        <sz val="50"/>
        <rFont val="Cambria"/>
        <family val="1"/>
        <scheme val="major"/>
      </rPr>
      <t xml:space="preserve"> shutter with </t>
    </r>
    <r>
      <rPr>
        <b/>
        <sz val="50"/>
        <rFont val="Cambria"/>
        <family val="1"/>
        <scheme val="major"/>
      </rPr>
      <t>brass fittings</t>
    </r>
    <r>
      <rPr>
        <sz val="50"/>
        <rFont val="Cambria"/>
        <family val="1"/>
        <scheme val="major"/>
      </rPr>
      <t xml:space="preserve"> of size . 2000X2100mm. Thiruvarur AR  Garage</t>
    </r>
  </si>
  <si>
    <r>
      <t xml:space="preserve">TW double leaves shutter of size  </t>
    </r>
    <r>
      <rPr>
        <b/>
        <sz val="50"/>
        <rFont val="Cambria"/>
        <family val="1"/>
        <scheme val="major"/>
      </rPr>
      <t>with brass fittings</t>
    </r>
    <r>
      <rPr>
        <sz val="50"/>
        <rFont val="Cambria"/>
        <family val="1"/>
        <scheme val="major"/>
      </rPr>
      <t xml:space="preserve">
a.1800 x 2400mm </t>
    </r>
  </si>
  <si>
    <r>
      <t xml:space="preserve">a. 1500X2400mm.(Double leaves) </t>
    </r>
    <r>
      <rPr>
        <b/>
        <sz val="50"/>
        <rFont val="Cambria"/>
        <family val="1"/>
        <scheme val="major"/>
      </rPr>
      <t>with Brass  Screws only ( DPO Ariyalur)</t>
    </r>
  </si>
  <si>
    <r>
      <t xml:space="preserve">a. 1500X2100mm.(Double leaves) </t>
    </r>
    <r>
      <rPr>
        <b/>
        <sz val="50"/>
        <rFont val="Cambria"/>
        <family val="1"/>
        <scheme val="major"/>
      </rPr>
      <t>with Brass fittings</t>
    </r>
  </si>
  <si>
    <r>
      <t xml:space="preserve">TW panelled door </t>
    </r>
    <r>
      <rPr>
        <b/>
        <sz val="50"/>
        <rFont val="Cambria"/>
        <family val="1"/>
        <scheme val="major"/>
      </rPr>
      <t>double leaves</t>
    </r>
    <r>
      <rPr>
        <sz val="50"/>
        <rFont val="Cambria"/>
        <family val="1"/>
        <scheme val="major"/>
      </rPr>
      <t xml:space="preserve"> shutter with </t>
    </r>
    <r>
      <rPr>
        <b/>
        <sz val="50"/>
        <rFont val="Cambria"/>
        <family val="1"/>
        <scheme val="major"/>
      </rPr>
      <t>brass fittings</t>
    </r>
    <r>
      <rPr>
        <sz val="50"/>
        <rFont val="Cambria"/>
        <family val="1"/>
        <scheme val="major"/>
      </rPr>
      <t xml:space="preserve"> of size . 1200X2100mm.( Crime &amp; Traffic)</t>
    </r>
  </si>
  <si>
    <r>
      <t xml:space="preserve">TW paneled door shutter  size  2400 x 2400mm  with french window  (two end fixed 5.5mm thick glass and doble leaf shutter , </t>
    </r>
    <r>
      <rPr>
        <b/>
        <sz val="50"/>
        <rFont val="Cambria"/>
        <family val="1"/>
        <scheme val="major"/>
      </rPr>
      <t>Trichy Community hall )</t>
    </r>
  </si>
  <si>
    <r>
      <t xml:space="preserve">Fabrication of </t>
    </r>
    <r>
      <rPr>
        <b/>
        <sz val="50"/>
        <rFont val="Cambria"/>
        <family val="1"/>
        <scheme val="major"/>
      </rPr>
      <t xml:space="preserve">Mild steel / RTS grills
</t>
    </r>
    <r>
      <rPr>
        <sz val="50"/>
        <rFont val="Cambria"/>
        <family val="1"/>
        <scheme val="major"/>
      </rPr>
      <t>(with cement slurry wash) for all sizes of rods.</t>
    </r>
  </si>
  <si>
    <r>
      <t xml:space="preserve">Fabrication of </t>
    </r>
    <r>
      <rPr>
        <b/>
        <sz val="50"/>
        <rFont val="Cambria"/>
        <family val="1"/>
        <scheme val="major"/>
      </rPr>
      <t>Mild steel / RTS grills (without cement slurry) for all sizes of rods.</t>
    </r>
    <r>
      <rPr>
        <sz val="50"/>
        <rFont val="Cambria"/>
        <family val="1"/>
        <scheme val="major"/>
      </rPr>
      <t xml:space="preserve">
</t>
    </r>
  </si>
  <si>
    <r>
      <t xml:space="preserve">PVC SWR 110 mm dia with ISI mark type- A for </t>
    </r>
    <r>
      <rPr>
        <b/>
        <sz val="50"/>
        <rFont val="Cambria"/>
        <family val="1"/>
        <scheme val="major"/>
      </rPr>
      <t>Rain water down fall pipe</t>
    </r>
  </si>
  <si>
    <r>
      <t xml:space="preserve">Supplying and fixing of Brass </t>
    </r>
    <r>
      <rPr>
        <b/>
        <sz val="50"/>
        <rFont val="Cambria"/>
        <family val="1"/>
        <scheme val="major"/>
      </rPr>
      <t>Chromium plated screw down tap</t>
    </r>
    <r>
      <rPr>
        <sz val="50"/>
        <rFont val="Cambria"/>
        <family val="1"/>
        <scheme val="major"/>
      </rPr>
      <t xml:space="preserve"> 15mm dia (heavy type not less than 430 grms weight)  with ISI mark.
</t>
    </r>
  </si>
  <si>
    <r>
      <t xml:space="preserve">Wiring with 1.5 sqmm PVC insulated single core multi strand fire retardant flexible copper cable with ISI mark confirming IS: 694:1990 for </t>
    </r>
    <r>
      <rPr>
        <b/>
        <sz val="50"/>
        <rFont val="Cambria"/>
        <family val="1"/>
        <scheme val="major"/>
      </rPr>
      <t xml:space="preserve">Fan point </t>
    </r>
    <r>
      <rPr>
        <sz val="50"/>
        <rFont val="Cambria"/>
        <family val="1"/>
        <scheme val="major"/>
      </rPr>
      <t>controlled by 6A Modular switch 1 Way.</t>
    </r>
  </si>
  <si>
    <r>
      <t xml:space="preserve">Wiring with 1.5 sqmm PVC insulated single core multi strand fire retardant flexible copper cable with ISI mark confirming IS: 694:1990 for </t>
    </r>
    <r>
      <rPr>
        <b/>
        <sz val="50"/>
        <rFont val="Cambria"/>
        <family val="1"/>
        <scheme val="major"/>
      </rPr>
      <t>Staircase Light Point</t>
    </r>
    <r>
      <rPr>
        <sz val="50"/>
        <rFont val="Cambria"/>
        <family val="1"/>
        <scheme val="major"/>
      </rPr>
      <t>.controlled by 6A Modular switch 2 Way.</t>
    </r>
  </si>
  <si>
    <r>
      <t xml:space="preserve">Wiring with 1.5 sqmm PVC insulated single core multi strand fire retardant flexible copper cable with ISI mark confirming IS: 694:1990 for </t>
    </r>
    <r>
      <rPr>
        <b/>
        <sz val="50"/>
        <rFont val="Cambria"/>
        <family val="1"/>
        <scheme val="major"/>
      </rPr>
      <t xml:space="preserve">5 amps 5 pin plug socket point @ Switch Board Itself </t>
    </r>
    <r>
      <rPr>
        <sz val="50"/>
        <rFont val="Cambria"/>
        <family val="1"/>
        <scheme val="major"/>
      </rPr>
      <t>controlled by 6A Modular switch 1 Way.</t>
    </r>
  </si>
  <si>
    <r>
      <t xml:space="preserve">Wiring with 1.5 sqmm PVC insulated single core multi strand fire retardant flexible copper cable with ISI mark confirming IS: 694:1990 for </t>
    </r>
    <r>
      <rPr>
        <b/>
        <sz val="50"/>
        <rFont val="Cambria"/>
        <family val="1"/>
        <scheme val="major"/>
      </rPr>
      <t>5 amps 5 pin plug socket point @ Convenient Places</t>
    </r>
    <r>
      <rPr>
        <sz val="50"/>
        <rFont val="Cambria"/>
        <family val="1"/>
        <scheme val="major"/>
      </rPr>
      <t>.controlled by 6A Modular switch 1 Way.</t>
    </r>
  </si>
  <si>
    <r>
      <t xml:space="preserve">Supply and delivery of  </t>
    </r>
    <r>
      <rPr>
        <b/>
        <sz val="50"/>
        <rFont val="Cambria"/>
        <family val="1"/>
        <scheme val="major"/>
      </rPr>
      <t xml:space="preserve">48" (1200 mm) Fan </t>
    </r>
    <r>
      <rPr>
        <sz val="50"/>
        <rFont val="Cambria"/>
        <family val="1"/>
        <scheme val="major"/>
      </rPr>
      <t>with ISI mark with Eletronic Dimmer</t>
    </r>
  </si>
  <si>
    <r>
      <t xml:space="preserve">4 x 4  Sq mm copper PVC insulated unsheathed single core cable for </t>
    </r>
    <r>
      <rPr>
        <b/>
        <sz val="50"/>
        <rFont val="Cambria"/>
        <family val="1"/>
        <scheme val="major"/>
      </rPr>
      <t>3 phase EB service connection</t>
    </r>
  </si>
  <si>
    <r>
      <t>Anticorrosive treatment for window</t>
    </r>
    <r>
      <rPr>
        <b/>
        <sz val="50"/>
        <rFont val="Cambria"/>
        <family val="1"/>
        <scheme val="major"/>
      </rPr>
      <t xml:space="preserve"> grills</t>
    </r>
  </si>
  <si>
    <r>
      <t>Granite Tile wall cladding using 10mmtk  (</t>
    </r>
    <r>
      <rPr>
        <b/>
        <sz val="50"/>
        <rFont val="Cambria"/>
        <family val="1"/>
        <scheme val="major"/>
      </rPr>
      <t>Satheleri Grey)  tile in</t>
    </r>
    <r>
      <rPr>
        <sz val="50"/>
        <rFont val="Cambria"/>
        <family val="1"/>
        <scheme val="major"/>
      </rPr>
      <t xml:space="preserve"> C.M 1:2, 10mm tk .</t>
    </r>
  </si>
  <si>
    <r>
      <t xml:space="preserve">Providing wooden </t>
    </r>
    <r>
      <rPr>
        <b/>
        <sz val="50"/>
        <rFont val="Cambria"/>
        <family val="1"/>
        <scheme val="major"/>
      </rPr>
      <t>Melamine</t>
    </r>
    <r>
      <rPr>
        <sz val="50"/>
        <rFont val="Cambria"/>
        <family val="1"/>
        <scheme val="major"/>
      </rPr>
      <t xml:space="preserve"> polish for new wood work</t>
    </r>
  </si>
  <si>
    <r>
      <t>Supply of material and lab ourfor Mineralfbre 600mmx600mm</t>
    </r>
    <r>
      <rPr>
        <b/>
        <sz val="50"/>
        <rFont val="Cambria"/>
        <family val="1"/>
        <scheme val="major"/>
      </rPr>
      <t xml:space="preserve"> Grid false</t>
    </r>
    <r>
      <rPr>
        <sz val="50"/>
        <rFont val="Cambria"/>
        <family val="1"/>
        <scheme val="major"/>
      </rPr>
      <t xml:space="preserve"> </t>
    </r>
    <r>
      <rPr>
        <b/>
        <sz val="50"/>
        <rFont val="Cambria"/>
        <family val="1"/>
        <scheme val="major"/>
      </rPr>
      <t>ceiling</t>
    </r>
    <r>
      <rPr>
        <sz val="50"/>
        <rFont val="Cambria"/>
        <family val="1"/>
        <scheme val="major"/>
      </rPr>
      <t xml:space="preserve"> work</t>
    </r>
  </si>
  <si>
    <r>
      <t>Supplying, fabricating, erecting and fixing  Gyp board false ceiling using</t>
    </r>
    <r>
      <rPr>
        <b/>
        <sz val="50"/>
        <rFont val="Cambria"/>
        <family val="1"/>
        <scheme val="major"/>
      </rPr>
      <t xml:space="preserve"> perforated </t>
    </r>
    <r>
      <rPr>
        <sz val="50"/>
        <rFont val="Cambria"/>
        <family val="1"/>
        <scheme val="major"/>
      </rPr>
      <t>sheet 10mm thk</t>
    </r>
  </si>
  <si>
    <r>
      <t xml:space="preserve">Supplying and fixing of  CP </t>
    </r>
    <r>
      <rPr>
        <b/>
        <sz val="50"/>
        <rFont val="Cambria"/>
        <family val="1"/>
        <scheme val="major"/>
      </rPr>
      <t xml:space="preserve">wall mixer two in one </t>
    </r>
    <r>
      <rPr>
        <sz val="50"/>
        <rFont val="Cambria"/>
        <family val="1"/>
        <scheme val="major"/>
      </rPr>
      <t>(without telephone shower) including cost of all materials and all labour charges etc complete.
CER No.178/13-14</t>
    </r>
  </si>
  <si>
    <r>
      <t xml:space="preserve">Supplying and fixing of </t>
    </r>
    <r>
      <rPr>
        <b/>
        <sz val="50"/>
        <rFont val="Cambria"/>
        <family val="1"/>
        <scheme val="major"/>
      </rPr>
      <t>shower arm 9"</t>
    </r>
    <r>
      <rPr>
        <sz val="50"/>
        <rFont val="Cambria"/>
        <family val="1"/>
        <scheme val="major"/>
      </rPr>
      <t xml:space="preserve"> long including cost of all materials and all labour charges etc. complete  
CER No.178/13-14</t>
    </r>
  </si>
  <si>
    <r>
      <t>Wiring with 1.5 sqmm PVC insulated single core multi strand fire retardant flexible copper cable with ISI mark confirming IS: 694:1990.</t>
    </r>
    <r>
      <rPr>
        <b/>
        <sz val="50"/>
        <rFont val="Cambria"/>
        <family val="1"/>
        <scheme val="major"/>
      </rPr>
      <t xml:space="preserve"> (Modular)</t>
    </r>
  </si>
  <si>
    <r>
      <t xml:space="preserve">Wiring with 1.5 sqmm PVC insulated single core multi strand fire retardant flexible copper cable with ISI mark confirming IS: 694:1990 for </t>
    </r>
    <r>
      <rPr>
        <b/>
        <sz val="50"/>
        <rFont val="Cambria"/>
        <family val="1"/>
        <scheme val="major"/>
      </rPr>
      <t>5 amps 5 pin Modular plug socket point @ Convenient Places</t>
    </r>
    <r>
      <rPr>
        <sz val="50"/>
        <rFont val="Cambria"/>
        <family val="1"/>
        <scheme val="major"/>
      </rPr>
      <t>.</t>
    </r>
  </si>
  <si>
    <r>
      <t xml:space="preserve">Wiring with 1.5 sqmm PVC insulated single core multi strand fire retardant flexible copper cable with ISI mark confirming IS: 694:1990 for </t>
    </r>
    <r>
      <rPr>
        <b/>
        <sz val="50"/>
        <rFont val="Cambria"/>
        <family val="1"/>
        <scheme val="major"/>
      </rPr>
      <t>5 amps 5 pin Modular plug socket point @ Switch Board Itself</t>
    </r>
    <r>
      <rPr>
        <sz val="50"/>
        <rFont val="Cambria"/>
        <family val="1"/>
        <scheme val="major"/>
      </rPr>
      <t>.</t>
    </r>
  </si>
  <si>
    <r>
      <t xml:space="preserve">Supplying and fixing of </t>
    </r>
    <r>
      <rPr>
        <b/>
        <sz val="50"/>
        <rFont val="Cambria"/>
        <family val="1"/>
        <scheme val="major"/>
      </rPr>
      <t>brass cable gland</t>
    </r>
    <r>
      <rPr>
        <sz val="50"/>
        <rFont val="Cambria"/>
        <family val="1"/>
        <scheme val="major"/>
      </rPr>
      <t xml:space="preserve"> suitable for 3.5 core 70 Sqmm PVC armoured LTUG cable  SD 189</t>
    </r>
  </si>
  <si>
    <r>
      <t xml:space="preserve">Supplying and fixing of </t>
    </r>
    <r>
      <rPr>
        <b/>
        <sz val="50"/>
        <rFont val="Cambria"/>
        <family val="1"/>
        <scheme val="major"/>
      </rPr>
      <t>end termination</t>
    </r>
    <r>
      <rPr>
        <sz val="50"/>
        <rFont val="Cambria"/>
        <family val="1"/>
        <scheme val="major"/>
      </rPr>
      <t xml:space="preserve"> suitable for 3.5 core 70 Sqmm PVC armoured LTUG cable </t>
    </r>
  </si>
  <si>
    <r>
      <t xml:space="preserve">Supplying and fixing of  </t>
    </r>
    <r>
      <rPr>
        <b/>
        <sz val="50"/>
        <rFont val="Cambria"/>
        <family val="1"/>
        <scheme val="major"/>
      </rPr>
      <t>SS Soap Tray</t>
    </r>
    <r>
      <rPr>
        <sz val="50"/>
        <rFont val="Cambria"/>
        <family val="1"/>
        <scheme val="major"/>
      </rPr>
      <t xml:space="preserve">  including cost of all materials and all labour charges etc complete </t>
    </r>
  </si>
  <si>
    <r>
      <t xml:space="preserve">Supplying and fixing of CP </t>
    </r>
    <r>
      <rPr>
        <b/>
        <sz val="50"/>
        <rFont val="Cambria"/>
        <family val="1"/>
        <scheme val="major"/>
      </rPr>
      <t>Angle valve Stop cock</t>
    </r>
    <r>
      <rPr>
        <sz val="50"/>
        <rFont val="Cambria"/>
        <family val="1"/>
        <scheme val="major"/>
      </rPr>
      <t xml:space="preserve">  including cost of all materials and all labour charges etc complete </t>
    </r>
  </si>
  <si>
    <r>
      <t xml:space="preserve">Supplying and fixing of </t>
    </r>
    <r>
      <rPr>
        <b/>
        <sz val="50"/>
        <rFont val="Cambria"/>
        <family val="1"/>
        <scheme val="major"/>
      </rPr>
      <t>25x 3mm  Copper flat</t>
    </r>
  </si>
  <si>
    <r>
      <t xml:space="preserve">Supply and fixing of </t>
    </r>
    <r>
      <rPr>
        <b/>
        <sz val="50"/>
        <rFont val="Cambria"/>
        <family val="1"/>
        <scheme val="major"/>
      </rPr>
      <t>Health faucet</t>
    </r>
    <r>
      <rPr>
        <sz val="50"/>
        <rFont val="Cambria"/>
        <family val="1"/>
        <scheme val="major"/>
      </rPr>
      <t xml:space="preserve"> approved quality with ISI mark </t>
    </r>
  </si>
  <si>
    <r>
      <t xml:space="preserve">Supply and fixing of </t>
    </r>
    <r>
      <rPr>
        <b/>
        <sz val="50"/>
        <rFont val="Cambria"/>
        <family val="1"/>
        <scheme val="major"/>
      </rPr>
      <t xml:space="preserve">spot light </t>
    </r>
    <r>
      <rPr>
        <sz val="50"/>
        <rFont val="Cambria"/>
        <family val="1"/>
        <scheme val="major"/>
      </rPr>
      <t>of approved make and company with ISI CFL bulb  CER No.178/13-14</t>
    </r>
  </si>
  <si>
    <r>
      <t xml:space="preserve">S &amp; F of 15mm dia </t>
    </r>
    <r>
      <rPr>
        <b/>
        <sz val="50"/>
        <rFont val="Cambria"/>
        <family val="1"/>
        <scheme val="major"/>
      </rPr>
      <t>Engineering Polymer Tap</t>
    </r>
    <r>
      <rPr>
        <sz val="50"/>
        <rFont val="Cambria"/>
        <family val="1"/>
        <scheme val="major"/>
      </rPr>
      <t xml:space="preserve"> (long body ) for coastal area only</t>
    </r>
  </si>
  <si>
    <r>
      <t xml:space="preserve">S &amp; F of 15mm dia </t>
    </r>
    <r>
      <rPr>
        <b/>
        <sz val="50"/>
        <rFont val="Cambria"/>
        <family val="1"/>
        <scheme val="major"/>
      </rPr>
      <t>Engineering Polymer Tap</t>
    </r>
    <r>
      <rPr>
        <sz val="50"/>
        <rFont val="Cambria"/>
        <family val="1"/>
        <scheme val="major"/>
      </rPr>
      <t xml:space="preserve">  short body tap for coastal area only</t>
    </r>
  </si>
  <si>
    <r>
      <t>S &amp; F of Indian Water closet white glazed (Oriya type) of size 580 x 440mm</t>
    </r>
    <r>
      <rPr>
        <b/>
        <sz val="50"/>
        <rFont val="Cambria"/>
        <family val="1"/>
        <scheme val="major"/>
      </rPr>
      <t xml:space="preserve"> with PVC SWR grade ' P' or "S' trap   - in G.F.  </t>
    </r>
  </si>
  <si>
    <r>
      <t xml:space="preserve">S &amp; F of Indian Water closet white glazed (Oriya type) of size 580 x 440mm </t>
    </r>
    <r>
      <rPr>
        <b/>
        <sz val="50"/>
        <rFont val="Cambria"/>
        <family val="1"/>
        <scheme val="major"/>
      </rPr>
      <t xml:space="preserve"> with PVC SWR grade ' P' or "S' trap</t>
    </r>
    <r>
      <rPr>
        <sz val="50"/>
        <rFont val="Cambria"/>
        <family val="1"/>
        <scheme val="major"/>
      </rPr>
      <t xml:space="preserve">- </t>
    </r>
    <r>
      <rPr>
        <b/>
        <sz val="50"/>
        <rFont val="Cambria"/>
        <family val="1"/>
        <scheme val="major"/>
      </rPr>
      <t xml:space="preserve">Other than  G.F. </t>
    </r>
    <r>
      <rPr>
        <sz val="50"/>
        <rFont val="Cambria"/>
        <family val="1"/>
        <scheme val="major"/>
      </rPr>
      <t xml:space="preserve"> </t>
    </r>
  </si>
  <si>
    <r>
      <t>S &amp; F of E.W.C.</t>
    </r>
    <r>
      <rPr>
        <b/>
        <sz val="50"/>
        <rFont val="Cambria"/>
        <family val="1"/>
        <scheme val="major"/>
      </rPr>
      <t xml:space="preserve">(White) </t>
    </r>
    <r>
      <rPr>
        <sz val="50"/>
        <rFont val="Cambria"/>
        <family val="1"/>
        <scheme val="major"/>
      </rPr>
      <t xml:space="preserve">500 mm </t>
    </r>
    <r>
      <rPr>
        <b/>
        <sz val="50"/>
        <rFont val="Cambria"/>
        <family val="1"/>
        <scheme val="major"/>
      </rPr>
      <t xml:space="preserve">with PVC SWR grade "P" or "S" TRAP </t>
    </r>
  </si>
  <si>
    <r>
      <t>S &amp; F of E.W.C.</t>
    </r>
    <r>
      <rPr>
        <b/>
        <sz val="50"/>
        <rFont val="Cambria"/>
        <family val="1"/>
        <scheme val="major"/>
      </rPr>
      <t xml:space="preserve">( Colour) </t>
    </r>
    <r>
      <rPr>
        <sz val="50"/>
        <rFont val="Cambria"/>
        <family val="1"/>
        <scheme val="major"/>
      </rPr>
      <t xml:space="preserve">500 mm </t>
    </r>
    <r>
      <rPr>
        <b/>
        <sz val="50"/>
        <rFont val="Cambria"/>
        <family val="1"/>
        <scheme val="major"/>
      </rPr>
      <t xml:space="preserve">with PVC SWR grade "P" or "S" TRAP </t>
    </r>
  </si>
  <si>
    <r>
      <t xml:space="preserve">Wiring with 1.5 sqmm PVC insulated single core multi strand fire retardant flexible copper cable with ISI mark confirming IS: 694:1990 for </t>
    </r>
    <r>
      <rPr>
        <b/>
        <sz val="50"/>
        <rFont val="Cambria"/>
        <family val="1"/>
        <scheme val="major"/>
      </rPr>
      <t>Fan point</t>
    </r>
    <r>
      <rPr>
        <sz val="50"/>
        <rFont val="Cambria"/>
        <family val="1"/>
        <scheme val="major"/>
      </rPr>
      <t>.(</t>
    </r>
    <r>
      <rPr>
        <b/>
        <sz val="50"/>
        <rFont val="Cambria"/>
        <family val="1"/>
        <scheme val="major"/>
      </rPr>
      <t>PVC Electrical Box )</t>
    </r>
  </si>
  <si>
    <r>
      <t xml:space="preserve">Wiring with 1.5 sqmm PVC insulated single core multi strand fire retardant flexible copper cable with ISI mark confirming IS: 694:1990 for </t>
    </r>
    <r>
      <rPr>
        <b/>
        <sz val="50"/>
        <rFont val="Cambria"/>
        <family val="1"/>
        <scheme val="major"/>
      </rPr>
      <t>Staircase Light Point</t>
    </r>
    <r>
      <rPr>
        <sz val="50"/>
        <rFont val="Cambria"/>
        <family val="1"/>
        <scheme val="major"/>
      </rPr>
      <t>.</t>
    </r>
    <r>
      <rPr>
        <b/>
        <sz val="50"/>
        <rFont val="Cambria"/>
        <family val="1"/>
        <scheme val="major"/>
      </rPr>
      <t>(PVC Electrical Box )</t>
    </r>
  </si>
  <si>
    <r>
      <t xml:space="preserve">Wiring with 1.5 sqmm PVC insulated single core multi strand fire retardant flexible copper cable with ISI mark confirming IS: 694:1990 for </t>
    </r>
    <r>
      <rPr>
        <b/>
        <sz val="50"/>
        <rFont val="Cambria"/>
        <family val="1"/>
        <scheme val="major"/>
      </rPr>
      <t>5 amps 5 pin plug socket point @ Switch Board Itself</t>
    </r>
    <r>
      <rPr>
        <sz val="50"/>
        <rFont val="Cambria"/>
        <family val="1"/>
        <scheme val="major"/>
      </rPr>
      <t>.</t>
    </r>
  </si>
  <si>
    <r>
      <t xml:space="preserve">Wiring with 1.5 sqmm PVC insulated single core multi strand fire retardant flexible copper cable with ISI mark confirming IS: 694:1990 for </t>
    </r>
    <r>
      <rPr>
        <b/>
        <sz val="50"/>
        <rFont val="Cambria"/>
        <family val="1"/>
        <scheme val="major"/>
      </rPr>
      <t>5 amps 5 pin plug socket point @ Convenient Places.(PVC Electrical Box )</t>
    </r>
  </si>
  <si>
    <r>
      <t xml:space="preserve">Supplying and fixing of 15 Amps 3 pin flush type plug using </t>
    </r>
    <r>
      <rPr>
        <b/>
        <sz val="50"/>
        <rFont val="Cambria"/>
        <family val="1"/>
        <scheme val="major"/>
      </rPr>
      <t>( PVC Box , Fire Retarded Box)</t>
    </r>
  </si>
  <si>
    <r>
      <t xml:space="preserve">Fabrication of </t>
    </r>
    <r>
      <rPr>
        <b/>
        <sz val="50"/>
        <rFont val="Cambria"/>
        <family val="1"/>
        <scheme val="major"/>
      </rPr>
      <t>Mild steel / RTS grills (without cement slurry) for all sizes of rods.(BINDING WIRE insulated with PVC)</t>
    </r>
    <r>
      <rPr>
        <sz val="50"/>
        <rFont val="Cambria"/>
        <family val="1"/>
        <scheme val="major"/>
      </rPr>
      <t xml:space="preserve">
</t>
    </r>
  </si>
  <si>
    <r>
      <t xml:space="preserve">PVC SWR 110 mm dia with ISI mark type- A for </t>
    </r>
    <r>
      <rPr>
        <b/>
        <sz val="50"/>
        <rFont val="Cambria"/>
        <family val="1"/>
        <scheme val="major"/>
      </rPr>
      <t>Rain water down fall pipe(UPVC SPECIAL CLAMP )</t>
    </r>
  </si>
  <si>
    <r>
      <t>False ceiling with plain gybsum board</t>
    </r>
    <r>
      <rPr>
        <b/>
        <sz val="50"/>
        <rFont val="Cambria"/>
        <family val="1"/>
        <scheme val="major"/>
      </rPr>
      <t xml:space="preserve"> (as per PWD SR. rate 2017-18, Anx- VI -It- 154 -a)</t>
    </r>
  </si>
  <si>
    <r>
      <t xml:space="preserve">Wiring with 1.5 sqmm PVC insulated single core multi strand fire retardant flexible copper cable with ISI mark confirming IS: 694:1990 for </t>
    </r>
    <r>
      <rPr>
        <b/>
        <sz val="50"/>
        <rFont val="Cambria"/>
        <family val="1"/>
        <scheme val="major"/>
      </rPr>
      <t>5 amps 5 pin  plug socket point @ Convenient Places</t>
    </r>
    <r>
      <rPr>
        <sz val="50"/>
        <rFont val="Cambria"/>
        <family val="1"/>
        <scheme val="major"/>
      </rPr>
      <t>.(Open wiring)</t>
    </r>
  </si>
  <si>
    <r>
      <t xml:space="preserve">Wiring with 1.5 sqmm PVC insulated single core multi strand fire retardant flexible copper cable with ISI mark confirming IS: 694:1990 for </t>
    </r>
    <r>
      <rPr>
        <b/>
        <sz val="50"/>
        <rFont val="Cambria"/>
        <family val="1"/>
        <scheme val="major"/>
      </rPr>
      <t>5 amps 5 pin  plug socket point @ Switch Board Itself</t>
    </r>
    <r>
      <rPr>
        <sz val="50"/>
        <rFont val="Cambria"/>
        <family val="1"/>
        <scheme val="major"/>
      </rPr>
      <t>.(Open wiring)</t>
    </r>
  </si>
  <si>
    <r>
      <t>Wiring with 1.5 sqmm PVC insulated single core multi strand fire retardant flexible copper cable with ISI mark confirming IS: 694:1990 for Fan</t>
    </r>
    <r>
      <rPr>
        <b/>
        <sz val="50"/>
        <rFont val="Cambria"/>
        <family val="1"/>
        <scheme val="major"/>
      </rPr>
      <t xml:space="preserve"> point </t>
    </r>
    <r>
      <rPr>
        <sz val="50"/>
        <rFont val="Cambria"/>
        <family val="1"/>
        <scheme val="major"/>
      </rPr>
      <t>.(Open wiring)</t>
    </r>
  </si>
  <si>
    <r>
      <t>Supply and fixing of 9 watts  LED bulb  (PWD SR-2023-24/p-121</t>
    </r>
    <r>
      <rPr>
        <b/>
        <sz val="50"/>
        <rFont val="Cambria"/>
        <family val="1"/>
        <scheme val="major"/>
      </rPr>
      <t>)</t>
    </r>
  </si>
  <si>
    <r>
      <t>Supply and fixing of 12 watts  LED bulb  (</t>
    </r>
    <r>
      <rPr>
        <b/>
        <sz val="50"/>
        <rFont val="Cambria"/>
        <family val="1"/>
        <scheme val="major"/>
      </rPr>
      <t>qtn)</t>
    </r>
  </si>
  <si>
    <r>
      <t>Partly glazed and partly BWR</t>
    </r>
    <r>
      <rPr>
        <sz val="50"/>
        <rFont val="Cambria"/>
        <family val="1"/>
        <scheme val="major"/>
      </rPr>
      <t xml:space="preserve"> panelled door shutter (Double leaves) with brass screws.
</t>
    </r>
    <r>
      <rPr>
        <b/>
        <sz val="50"/>
        <rFont val="Cambria"/>
        <family val="1"/>
        <scheme val="major"/>
      </rPr>
      <t>a. 1500x2400mm</t>
    </r>
  </si>
  <si>
    <r>
      <t>Partly glazed and partly TW</t>
    </r>
    <r>
      <rPr>
        <sz val="50"/>
        <rFont val="Cambria"/>
        <family val="1"/>
        <scheme val="major"/>
      </rPr>
      <t xml:space="preserve"> panelled door shutter (Double leaves) with brass screws.
</t>
    </r>
    <r>
      <rPr>
        <b/>
        <sz val="50"/>
        <rFont val="Cambria"/>
        <family val="1"/>
        <scheme val="major"/>
      </rPr>
      <t>a. 1200x2400mm</t>
    </r>
  </si>
  <si>
    <r>
      <t xml:space="preserve">LIGHT POINT WITH CEILING ROSE FOR </t>
    </r>
    <r>
      <rPr>
        <b/>
        <sz val="50"/>
        <rFont val="Cambria"/>
        <family val="1"/>
        <scheme val="major"/>
      </rPr>
      <t>ADMINISTRATIVE BLOCKS A</t>
    </r>
    <r>
      <rPr>
        <sz val="50"/>
        <rFont val="Cambria"/>
        <family val="1"/>
        <scheme val="major"/>
      </rPr>
      <t>ND COMMUNITY CENTRE</t>
    </r>
  </si>
  <si>
    <r>
      <t xml:space="preserve">LIGHT POINT WITH BAKELITE BATTERN TYPE HOLDER FOR </t>
    </r>
    <r>
      <rPr>
        <b/>
        <sz val="50"/>
        <rFont val="Cambria"/>
        <family val="1"/>
        <scheme val="major"/>
      </rPr>
      <t>ADMINISTRATIVE BLOCKS</t>
    </r>
    <r>
      <rPr>
        <sz val="50"/>
        <rFont val="Cambria"/>
        <family val="1"/>
        <scheme val="major"/>
      </rPr>
      <t xml:space="preserve"> AND COMMUNITY CENTRE</t>
    </r>
  </si>
  <si>
    <r>
      <t xml:space="preserve">FAN POINT FOR </t>
    </r>
    <r>
      <rPr>
        <b/>
        <sz val="50"/>
        <rFont val="Cambria"/>
        <family val="1"/>
        <scheme val="major"/>
      </rPr>
      <t>ADMINISTRATIVE BLOCKS</t>
    </r>
    <r>
      <rPr>
        <sz val="50"/>
        <rFont val="Cambria"/>
        <family val="1"/>
        <scheme val="major"/>
      </rPr>
      <t xml:space="preserve"> AND COMMUNITY CENTRE</t>
    </r>
  </si>
  <si>
    <r>
      <t xml:space="preserve">STAIRCASE LIGHT POINT FOR </t>
    </r>
    <r>
      <rPr>
        <b/>
        <sz val="50"/>
        <rFont val="Cambria"/>
        <family val="1"/>
        <scheme val="major"/>
      </rPr>
      <t>ADMINISTRATIVE BLOCKS</t>
    </r>
    <r>
      <rPr>
        <sz val="50"/>
        <rFont val="Cambria"/>
        <family val="1"/>
        <scheme val="major"/>
      </rPr>
      <t xml:space="preserve"> AND COMMUNITY CENTRE</t>
    </r>
  </si>
  <si>
    <r>
      <t xml:space="preserve">2 x 4 Sqmm Copper PVC insulated unsheathed single core 1 KV grade cable for </t>
    </r>
    <r>
      <rPr>
        <b/>
        <sz val="50"/>
        <rFont val="Cambria"/>
        <family val="1"/>
        <scheme val="major"/>
      </rPr>
      <t>EB service single phase.</t>
    </r>
  </si>
  <si>
    <r>
      <t>4 x 4  Sq mm copper PVC insulated unsheathed single core cable for</t>
    </r>
    <r>
      <rPr>
        <b/>
        <sz val="50"/>
        <rFont val="Cambria"/>
        <family val="1"/>
        <scheme val="major"/>
      </rPr>
      <t xml:space="preserve"> 3 phase EB service</t>
    </r>
    <r>
      <rPr>
        <sz val="50"/>
        <rFont val="Cambria"/>
        <family val="1"/>
        <scheme val="major"/>
      </rPr>
      <t xml:space="preserve"> connection</t>
    </r>
  </si>
  <si>
    <r>
      <t>Open wiring</t>
    </r>
    <r>
      <rPr>
        <sz val="50"/>
        <rFont val="Cambria"/>
        <family val="1"/>
        <scheme val="major"/>
      </rPr>
      <t xml:space="preserve"> for Light point with ceiling rose for flats/ houses</t>
    </r>
  </si>
  <si>
    <r>
      <t>Open wiring Light point with bakelite batern type holder for flats/ houses</t>
    </r>
    <r>
      <rPr>
        <b/>
        <sz val="50"/>
        <rFont val="Cambria"/>
        <family val="1"/>
        <scheme val="major"/>
      </rPr>
      <t>(Open wiring)</t>
    </r>
  </si>
  <si>
    <r>
      <t>Open wiring</t>
    </r>
    <r>
      <rPr>
        <sz val="50"/>
        <rFont val="Cambria"/>
        <family val="1"/>
        <scheme val="major"/>
      </rPr>
      <t xml:space="preserve"> POINT WIRING FOR CALLING BELL / BUZZER WITH PUSH SWITCH FOR ALL TYPE OF BUILDING (OPEN WIRING)</t>
    </r>
  </si>
  <si>
    <r>
      <t>Open wiring</t>
    </r>
    <r>
      <rPr>
        <sz val="50"/>
        <rFont val="Cambria"/>
        <family val="1"/>
        <scheme val="major"/>
      </rPr>
      <t xml:space="preserve"> FAN POINT FOR ADMINISTRATIVE BLOCKS AND COMMUNITY CENTRE</t>
    </r>
  </si>
  <si>
    <r>
      <t xml:space="preserve">Open wiring </t>
    </r>
    <r>
      <rPr>
        <sz val="50"/>
        <rFont val="Cambria"/>
        <family val="1"/>
        <scheme val="major"/>
      </rPr>
      <t>STAIRCASE LIGHT POINT FOR ADMINISTRATIVE BLOCKS AND COMMUNITY CENTRE (Open wiring)</t>
    </r>
  </si>
  <si>
    <r>
      <t>Open wiring</t>
    </r>
    <r>
      <rPr>
        <sz val="50"/>
        <rFont val="Cambria"/>
        <family val="1"/>
        <scheme val="major"/>
      </rPr>
      <t xml:space="preserve"> 5 AMPS 5 PIN PLUG SOCKET POINT AT CONVENIENT PLACES (OPEN WIRING)</t>
    </r>
  </si>
  <si>
    <r>
      <t>Open wiring</t>
    </r>
    <r>
      <rPr>
        <sz val="50"/>
        <rFont val="Cambria"/>
        <family val="1"/>
        <scheme val="major"/>
      </rPr>
      <t xml:space="preserve"> 2 X1.5 Sqmm in fully concealed PVC conduit</t>
    </r>
  </si>
  <si>
    <r>
      <t xml:space="preserve"> </t>
    </r>
    <r>
      <rPr>
        <b/>
        <sz val="50"/>
        <rFont val="Cambria"/>
        <family val="1"/>
        <scheme val="major"/>
      </rPr>
      <t>Open wiring</t>
    </r>
    <r>
      <rPr>
        <sz val="50"/>
        <rFont val="Cambria"/>
        <family val="1"/>
        <scheme val="major"/>
      </rPr>
      <t xml:space="preserve"> 2 X 2.5 Sq mm in fully concealed PVC conduit (open wiring)</t>
    </r>
  </si>
  <si>
    <t>Ext.Electrical</t>
  </si>
  <si>
    <t>Supplying and fixing of following dia GI specials ( As per TWAD SR Pg-  44  /2022-23)</t>
  </si>
  <si>
    <t xml:space="preserve">a.) 80 mm dia GI bend </t>
  </si>
  <si>
    <t xml:space="preserve">Supply and fixing of LED flood lamp fitting 250 watts etc., with single piece dia cast aluminium housting and lamp etc., complete. (Quotation) </t>
  </si>
  <si>
    <t>External Water supply</t>
  </si>
  <si>
    <t>External Electrical arrangements</t>
  </si>
  <si>
    <t>Supply and delivery of 3 HP Open well Submersible pump set (Duty 100X50lpm)    (Quotation)</t>
  </si>
  <si>
    <t>Supply &amp; Fixing of Panel board for 3H.P Open well submersible motor  with two level guard auto start with ISI mark  (As per Pg. 114 of TWAD SR 2022-23)</t>
  </si>
  <si>
    <t xml:space="preserve">Labour Charges for erection of 3.00 HP open well Submersible Motor with proper clamps upto the starter to the required depth (As per TWAD SR P-308/ 2022 - 23 ) </t>
  </si>
  <si>
    <t>Supplying and delivery of following dia GI specials of best and approved quality having ISI mark  . As per TWAD SR Pg-  44 &amp; 45 /2022-23</t>
  </si>
  <si>
    <t>f) 80x50mm Dia GI reducer P-41</t>
  </si>
  <si>
    <t>l)50mm dia GI MTA Qtn</t>
  </si>
  <si>
    <t>40mm dia  Upvc pipe</t>
  </si>
  <si>
    <t xml:space="preserve">Supplying and delivery of following dia UPVC specials of best and approved quality having ISI mark </t>
  </si>
  <si>
    <r>
      <t xml:space="preserve">Supplying, laying, fixing and jointing the following upvc pipes </t>
    </r>
    <r>
      <rPr>
        <b/>
        <sz val="50"/>
        <rFont val="Cambria"/>
        <family val="1"/>
        <scheme val="major"/>
      </rPr>
      <t>Below G.L</t>
    </r>
  </si>
  <si>
    <t>a) 40 mm dia UPVC Ball valve  (Qtn)</t>
  </si>
  <si>
    <t xml:space="preserve">b) 32mm dia UPVC Ball valve TWAD SR Pg.54 / 2022 -23 </t>
  </si>
  <si>
    <t>Numbering lettering</t>
  </si>
  <si>
    <t xml:space="preserve">Supplying and fixing of following size of TNPHC Emblem &amp; Aluminium Dye casting letters </t>
  </si>
  <si>
    <t>Supply and fixing of 24"x 8" and 3mm thick plastic foam name plate (Acrylic ) with vinyl cutting letters RWH Board with approved colour etc. Qtn</t>
  </si>
  <si>
    <t>Supplying and fixing of following size of TNPHC Emblem &amp; Aluminium Dye casting letters with MRF Powder Coating including labour charges</t>
  </si>
  <si>
    <t>Supplying of 6 lever Navatal lock with 3 keys with ISI mark etc., complete . (Quotation)</t>
  </si>
  <si>
    <t>Supplying &amp; fixing Foam name plate (Acrylic ) with stickers of size 24" x 4" and 3mm thick  with lettering for identifing the rooms including cost of materials Qtn</t>
  </si>
  <si>
    <t>Ext.Water supply</t>
  </si>
  <si>
    <t>Culvert</t>
  </si>
  <si>
    <t>Panel board</t>
  </si>
  <si>
    <r>
      <t>Supplying and laying of following GI pipe B class with ISI mark .(Above Ground Level) 5</t>
    </r>
    <r>
      <rPr>
        <b/>
        <sz val="50"/>
        <rFont val="Cambria"/>
        <family val="1"/>
        <scheme val="major"/>
      </rPr>
      <t>0mm dia</t>
    </r>
  </si>
  <si>
    <r>
      <t>Supplying and laying of following GI pipe B class with ISI mark .</t>
    </r>
    <r>
      <rPr>
        <b/>
        <sz val="50"/>
        <rFont val="Cambria"/>
        <family val="1"/>
        <scheme val="major"/>
      </rPr>
      <t>(Above Ground Level) 80mm dia</t>
    </r>
  </si>
  <si>
    <r>
      <t xml:space="preserve">Supplying and laying of following GI pipe B class with ISI mark </t>
    </r>
    <r>
      <rPr>
        <b/>
        <sz val="50"/>
        <rFont val="Cambria"/>
        <family val="1"/>
        <scheme val="major"/>
      </rPr>
      <t>(Below Ground Level) 80mm dia</t>
    </r>
  </si>
  <si>
    <t>Supply and Installation of Carbon dioxide gas type 2kg fire extinguishers     PWD SR Pg.102 / 2023-24)</t>
  </si>
  <si>
    <t>Numbering lettering,Cupboard &amp; Additional amenities arrangements</t>
  </si>
  <si>
    <t>Supplying and fixing of 8mm tk calcium silicate board designed and perforated for false ceiling.  (As per PWD SR Pg.60 / 2023-24 )</t>
  </si>
  <si>
    <t>Providing cornice work for GYP Board false ceiling (As per PWD SR Pg.60 / 2023-24 )</t>
  </si>
  <si>
    <t>Supply and fixing of MS stand for fixing outdoor unit, including cost of all materials etc., all complete and as directed by the Departmental Officers (As per PWD SR Pg.154 / 2023-24 )</t>
  </si>
  <si>
    <t>Supplying and fixing of 24W LED Fitting (4000K 2x2 square  type recessed fittings with LED) (As per PWD SR Pg.121 / 2023-24 )</t>
  </si>
  <si>
    <t>Providing Ordinary Vertical blinds for windows, including cost of  materials and labour charges etc (As per PWD SR Pg.62 / 2023-24)</t>
  </si>
  <si>
    <t>a) 9" dia Aluminium Dye casting letters (As per PWD SR Pg.72 / 2023 -24 )</t>
  </si>
  <si>
    <t>a) 15" Height TNPHC Emblem (As per PWD SR Pg.73 / 2023-24 )</t>
  </si>
  <si>
    <t xml:space="preserve">c) 25mm dia UPVC Ball valve TWAD SR Pg.54 / 2022 -23 </t>
  </si>
  <si>
    <t>d) 40 mm x 32 mm dia reducer (As per PWD SR Pg.115 / 2023-24 )</t>
  </si>
  <si>
    <t>e) 32 mm x 25 mm dia reducer (As per PWD SR Pg.115 / 2023-24 )</t>
  </si>
  <si>
    <t>Supplying and fixing 6 A to 20 A, 32 A single pole miniature circuit breaker (MCB) PWD SR P-141/2023-24</t>
  </si>
  <si>
    <r>
      <t xml:space="preserve">Supply &amp; fixing of cable gland suitable for following PVC armoured LTUG cable etc., complete </t>
    </r>
    <r>
      <rPr>
        <b/>
        <sz val="50"/>
        <rFont val="Cambria"/>
        <family val="1"/>
        <scheme val="major"/>
      </rPr>
      <t xml:space="preserve"> 3.5core 50sqmm LTUG cable SD-188</t>
    </r>
  </si>
  <si>
    <r>
      <t xml:space="preserve">Supplying and providing cable end termination of following sizes of XLPE armoured LTUG cable </t>
    </r>
    <r>
      <rPr>
        <b/>
        <sz val="50"/>
        <rFont val="Cambria"/>
        <family val="1"/>
        <scheme val="major"/>
      </rPr>
      <t>3.5core 50sqmm LTUG cable SD-237</t>
    </r>
  </si>
  <si>
    <t>GENSET ARRANGEMENTS</t>
  </si>
  <si>
    <t>Supplying and providing cable end termination of following sizes of XLPE armoured LTUG cable 3.5core 25sqmm LTUG cable SD-235</t>
  </si>
  <si>
    <t>Supply &amp; fixing of cable gland suitable for following PVC armoured LTUG cable etc., complete  3.5core 25sqmm LTUG cable SD-186</t>
  </si>
  <si>
    <t>Genset arrangements</t>
  </si>
  <si>
    <r>
      <t>OBSERVED</t>
    </r>
    <r>
      <rPr>
        <b/>
        <sz val="13"/>
        <rFont val="Times New Roman"/>
        <family val="1"/>
      </rPr>
      <t xml:space="preserve">   </t>
    </r>
    <r>
      <rPr>
        <b/>
        <u/>
        <sz val="13"/>
        <rFont val="Times New Roman"/>
        <family val="1"/>
      </rPr>
      <t>DATA</t>
    </r>
  </si>
  <si>
    <t>Supply of 80 mm dia GI pipe "B"class  Above G.L</t>
  </si>
  <si>
    <r>
      <t xml:space="preserve">GI pipe of 80 mm dia </t>
    </r>
    <r>
      <rPr>
        <b/>
        <sz val="13"/>
        <rFont val="Times New Roman"/>
        <family val="1"/>
      </rPr>
      <t>(TWAD SR 22-23 Pg 40)</t>
    </r>
  </si>
  <si>
    <t>Labour charges for laying 80mm dia GI pipes</t>
  </si>
  <si>
    <t>80mm  DIA G.I PIPE ABOVE G.L</t>
  </si>
  <si>
    <t>CUTTING CHARGES P-27/22-23</t>
  </si>
  <si>
    <t>Supply of 50 mm dia GI pipe "B"class  Above G.L</t>
  </si>
  <si>
    <r>
      <t xml:space="preserve">GI pipe of 50 mm dia </t>
    </r>
    <r>
      <rPr>
        <b/>
        <sz val="13"/>
        <rFont val="Times New Roman"/>
        <family val="1"/>
      </rPr>
      <t>(TWAD SR 22-23 Pg 40)</t>
    </r>
  </si>
  <si>
    <t>Labour charges for laying 50mm dia GI pipes</t>
  </si>
  <si>
    <t>50mm  DIA G.I PIPE ABOVE G.L</t>
  </si>
  <si>
    <t>Supply of 80 mm dia GI pipe "B"class  Below G.L</t>
  </si>
  <si>
    <t>80 mm DIA  GI PIPE BELOW G.L</t>
  </si>
  <si>
    <t>JOINTING UPVC PIPE AND SPECIALS</t>
  </si>
  <si>
    <t>UP 40MM UPVC PIPE</t>
  </si>
  <si>
    <t>Supplying and fixing 3 No 63 Amps 500 volts grade/ well porcelin fuse unit on suitable teak wood plank to be fixed on the top of the  pole / EB street poles with necessary clamps and including cost of materials etc., all complete.</t>
  </si>
  <si>
    <r>
      <rPr>
        <b/>
        <sz val="13"/>
        <rFont val="Times New Roman"/>
        <family val="1"/>
      </rPr>
      <t xml:space="preserve">Supplying and fixing of 63 amps triple pole main switch </t>
    </r>
    <r>
      <rPr>
        <sz val="13"/>
        <rFont val="Times New Roman"/>
        <family val="1"/>
      </rPr>
      <t>with fuse and neutral link on a suitable well varnished teak wood board including necessary interconnection and earth connection cost of all materials, etc., all complete.</t>
    </r>
  </si>
  <si>
    <t xml:space="preserve">6 way Distribution board </t>
  </si>
  <si>
    <t>Supplying and fixing of 6 way Distribution board including 2 Nos of 16 amps MCB, 2 Nos 10 amps and 5 Nos 6 amps  40 amps ELCB four pole, rotary switch - 3 Nos, Indicator - 3 Nos, including all materials and labour charges etc, supplying and fixing in position of wall making good of the concealed portion with earth connection etc., all complete and as directed by the departmental officers.</t>
  </si>
  <si>
    <t>63 Amps Phase Selector Switch (rotary switch) ( As per Quotation)</t>
  </si>
  <si>
    <t>SAY</t>
  </si>
  <si>
    <t>Wiremen  Grade II</t>
  </si>
  <si>
    <t>Electrical Helpers</t>
  </si>
  <si>
    <t>CUTTING CHARGES P-26/23-24</t>
  </si>
  <si>
    <t>Supply of 50 mm dia GI pipe "B"class  Below G.L</t>
  </si>
  <si>
    <r>
      <t xml:space="preserve">Cost of UPVC 40mm dia Pipe </t>
    </r>
    <r>
      <rPr>
        <b/>
        <sz val="13"/>
        <rFont val="Times New Roman"/>
        <family val="1"/>
      </rPr>
      <t>(PWD SR 2023-24/ P-112)</t>
    </r>
  </si>
  <si>
    <r>
      <t xml:space="preserve">Supplying and laying of following GI pipe B class with ISI mark </t>
    </r>
    <r>
      <rPr>
        <b/>
        <sz val="50"/>
        <rFont val="Cambria"/>
        <family val="1"/>
        <scheme val="major"/>
      </rPr>
      <t>(Below Ground Level) 50mm dia</t>
    </r>
  </si>
  <si>
    <t>Compound wall</t>
  </si>
  <si>
    <t>Earth work excavation for foundation in all soils and sub soils to the required depth as may be directed except in hard rock requiring blasting but inclusive of shoring, strutting and bailing out water wherever necessary and refilling the sides of foundation with excavated earth in 150mm thick layers well watered rammed and consolidated and depositing the surplus earth in places shown clearing and levelling the site with an initial lead of 10 metres and lift as specified here under etc., complete in all respects complying with relevant standard specifications. (Including Refilling)</t>
  </si>
  <si>
    <t>Earth work excavation for Open Foundation in all soils and sub soils to the required depth as may be directed except in hard rock requiring blasting, inclusive of shoring, strutting and bailing out water wherever necessary (Excluding refilling the sides of foundation) and depositing the earth in places shown clearing and levelling the site with an initial lead of 10 metres and lift as specified hereunder etc., complete in all respects complying with relevant standard specifications. ( Excluding Refilling)</t>
  </si>
  <si>
    <t>Plain Cement Concrete 1:5:10 (One of cement, five of sand and ten of hard broken stone jelly) for foundation using 40mm gauge hard broken stone jelly inclusive of shoring, strutting and bailing out water wherever necessary ramming, curing etc., complete in all respects complying with relevant standard specifications and as directed by the departmental officers.</t>
  </si>
  <si>
    <t>Plain Cement Concrete 1:2:4 (One of cement, two of sand and four of hard broken stone jelly) using 20mm gauge hard broken stone jelly excluding shuttering and centering but including laying, curing and finishing with relevant standard specifications in foundation and basement and other similar works &amp; as directed by the departmental officers.</t>
  </si>
  <si>
    <t>Filling in foundation and basement and other similar works with Excavated earth in layers of 150mm thick well watered rammed and consolidated complying with relevant standard specifications etc., all complete and as directed by the departmental officers.</t>
  </si>
  <si>
    <t>Supplying and fixing of Teak Wood wrought and put up for frames of doors, windows, ventilators, cupboard and any other similar joinery works with necessary plugs, rebates for shutters, plaster grooves on all faces etc. , including labour charges for fixing hold fasts. complying with relevant standard specifications etc.. in all respects</t>
  </si>
  <si>
    <t>Supplying of Mild steel hold fasts horizontally twisted of size 230x40x4mm with pair of suiteable iron screws.</t>
  </si>
  <si>
    <t>Flooring with a bed Cement concrete 1:5:10 (one of cement, five of sand and ten of hard broken stone jelly) using 40mm size hard broken stone jelly and top left rough to receive the floor finish with required slopes including ramming, curing etc., all complete complying with relevant standard specifications.</t>
  </si>
  <si>
    <t>Plastering the top flooring in CM 1:4 (One of cement and four of sand) 20mm thick including surface rendered smooth including providing proper slopes, thread lining, curing and 150mm wide skirting alround with the same cement mortar etc., complete in all respects.</t>
  </si>
  <si>
    <t>Finishing the top of flooring with cement concrete 1:3 (one of cement and three of blue granite chips of size 10mm and below) 20mm thick Ellispattern Flooring (No sand) and surface rendered smooth including 50mm wide skirting, providing proper slopes, thread lining, curing etc., complete in all floors complying with relevant specifications.</t>
  </si>
  <si>
    <t>Weathering course with concrete broken brick jelly 20mm gauge in pure burnt lime stone slaked and screened (No sand) over RCC roof slab with proportion of brick jelly to lime (fat lime) being 32:12 1/2 by volume well beaten with wooden beaters for giving the required slope and thickness complying with relevant standard specification and as directed by the departmental officers.</t>
  </si>
  <si>
    <t>Plastering with CM 1:5 (One of cement and five of sand) 12mm thick finishd with neat cement including providing band cornice, ceiling cornice, curing scaffolding etc., complete in all repects and complying with relevant standard specifications.</t>
  </si>
  <si>
    <t>Plastering with CM 1:4 (One of cement and four of sand) 12mm thick finishd with neat cement including providing band cornice, ceiling cornice, curing scaffolding etc., complete in all repects and complying with relevant standard specifications.</t>
  </si>
  <si>
    <t>Special Ceiling plastering in cement mortar 1:3 (one of cement and three of sand) 10mm thick for bottom of roof, stair, waist, landing and sunshades in all floors finished with near cement including hacking the areas providing band cornice, scaffolding, curing etc., complete</t>
  </si>
  <si>
    <t>Plastering in CM 1:5 (One of cement and five of sand) 12mm thick for border finish in all floors for elevation purposes, including scaffolding, curing, finishing etc., all complete.</t>
  </si>
  <si>
    <t>White Washing three coats using clean shell lime slaked including cost of lime, gum, blue, brushes, including scaffolding etc., complete in all respects.</t>
  </si>
  <si>
    <t>Supplying and fixing Mild Steel grills as per the design approved to verandah enclosure or gate including one coat of primer and labour for fixing in position etc., all complete</t>
  </si>
  <si>
    <t>Painting the new wood work with two coats of approved first class synthetic enamel ready mixed paint in addition to one coat of primer of approved quality and shade, the paint should be supplied by the contractor at his own cost (The quality and the shade of paint should be got approved by the Executive Engineer before use) complying with relevant standard specifications.</t>
  </si>
  <si>
    <t>Painting the new iron work and other similar works such as PVC/UPVC pipes, kerb stones and grills with two coats of approved first class synthetic enamel ready mixed paint of approved quality and brand the paint should be supplied by the contractor at his own cost. (The quality and the brand of paint should be got approved by the Executive Engineer before use) complying with relevant standard specifications.</t>
  </si>
  <si>
    <t>Supplying and fixing of 20mm dia aluminium hanger rods to the required length with aluminium end brackers including cost of screws, TW plugs and labour charges for fixing in position etc., complete in all respects and as directed by the departmental officers.</t>
  </si>
  <si>
    <t>Supplying and fixing of Aluminium towel rails of 75cm long, including cost of screws, TW plugs and labour charges for fixing in position etc., complete in all respects and as directed by the departmental officers.</t>
  </si>
  <si>
    <t>Supplying and fixing of precast kerb stone of size 450x300x150mm made in Cement Concrete 1:3:6 (One of cement, three of  crushed stone sand and six of hard broken stone jelly) using 20mm size hard broken stone jelly including the cost of Kerb stone moulding, laying, curing, transporting, pointing and as directed by the departmental officers and complying with relevant standard specification.</t>
  </si>
  <si>
    <t>Supplying and planting of Avenue Trees including earth work excavation for pit of size 60x60x60cm filled with manure for 20cm depth and filling with river sand and red earth mix in the ratio of 1:1 for 40cm depth in the same pit and planting the avenue trees of approved varities to a height of 200cm from the ground level and maintaining them for the period of six month including watering, periodical manuring and replacing the avenue trees if dead etc, all complete and as directed by the departmental officers (Tree sappling shall be got approved from Executive Engineer before planting)</t>
  </si>
  <si>
    <t>Supplying and fixing of Triangular shape chicken mesh Tree Guard using 8cm dia casurina vertical post and middle tie using country wood reeper of size 50X25mm and 25 gauge chicken mesh including labour charges for fixing the triangular tree guard and as directed by the departmental officers.</t>
  </si>
  <si>
    <t>Supplying and fixing 150mm x 100mm size stone ware Gully trap with iron gratings over a bed of 150mm thick brick jelly concrete in CC 1:8:16 (one of cement, eight of sand and sixteen of broken brick jelly) using 40mm size brick jelly and brick masonry wall 110 mm thick using kiln burnt country bricks of size 8¾”x4¼”x2¾” (22x11x7cm) in cm 1:5 (One of cement and five of sand) plastered with CM 1:3 (One of cement and three of sand) 12mm thick etc., complete and as directed by the departmental officers.</t>
  </si>
  <si>
    <t>Supplying and fixing of PVC Nahani Trap not less than 75mm 4 way/ 2ay (superior variety) having minimum of water seal of 50mm confirm to relevant IS specifications with its latest amendments including resting on the bed of brick jelly concrete 1:5:10 (one of cement, five of sand and ten of 40mm gauge brick jelly) etc., complete as directed by the departmental officers. (The PVC Nahani Trap should be got approved from the EE before use)</t>
  </si>
  <si>
    <t>Supplying and fixing of best approved superior variety consealed type Fibre box with MS Fan hook of 100mm dia, 75mm depth and 3mm thick including cost and fixing in position etc., complete and as directed by the departmental officers. (The quality should be got approved by the Executive Engineer before use)</t>
  </si>
  <si>
    <t>Charges of assembling and fixing of ceiling fan of different sweep with necessary connection and fixing of fan regulator on the existing board etc., all complete (excluding cost of fan)</t>
  </si>
  <si>
    <t>Supplying and fixing and concealing TW box of size 8"x6"x4" covered with 3mm thick hylem sheet including cost of TV line socket / Telephone line socket etc., all complete and as directed by the departmental officers.</t>
  </si>
  <si>
    <t>Supplying, laying and concealing of PVC pipe of 20mm dia with necessary specials and other materials inclduing run off 1 No. fish wire (GI 22g) for drawing cable for TV/Telephone etc., all complete and as directed by the departmental officers.</t>
  </si>
  <si>
    <t>Providing Earthing station using pipe electrode as per IS 3043 using 2.5m of 40mm and 1.0m of 20mm dia B-class GI pipe including earth work excavation, brick work in cement mortar and plastering and cost of funnel, GI nuts, bolts, washers, check nuts, GI bend, reducer and coupling, CI cover of 30x30cm and including charcoal of 40 kgs and salt 10 kg etc., all complete</t>
  </si>
  <si>
    <t>Providing Pre-constructional Antitermite treatment including cost of chemicals labour as per standard specifications for preparing the area for treatment by spraying chemicals and other incidental charges etc., complete the rates should be for curing antitermite treatment from the plinth beam and brick masonry with super structure in contract with the back fill earth and at the junction of the walls.  The top surfaces of filled earth for flooring and the soil along with the perimeter of the building by making holes with the crow bar and poured 5% termicide 'Chloripyrifos' and spraying the same termicide solution on the wooden frames and treating the other periphery of buildings etc., complete in all respects as per IS 6313 (part II)/1981 and as directed by the departmental officers.</t>
  </si>
  <si>
    <t>Applying one coat of anticorrosive treatment on steel reinforcement rods (20 Itrs. of anticorrosive chemical for one mertic tonne of steel reinforcement rods) at site including cost of required quantity of anticorrosive chemicals, (best approved quality) cement, consumables such as brushes, gloves and labour for anticorrosive coating etc. complete and as directed by the departmental Officers. (The quality and brand of anticorrosive chemical should be got approved by the EE before use).</t>
  </si>
  <si>
    <t>Providing and laying in position, Standardised concrete mix M - 30 Grade in a accordance with IS 456 - 2000, using 20mm and down graded hard broken stone jelly for all RCC items of works with minimum cement content of 400 kg/m3 and water cement ratio of 0.45, including admixture (Plasticiser/ super plasticiser) in recommended proportions as per IS : 9103 to accelerate, retard setting of concrete, improve workability without impairing strength and durablity with about (5.0 cu.m) 7730 kg. og 20mm machine crushed stone jelly and with about (3.3 cu.m) 5156 kg. of 10 - 12mm machine crushed stone jelly and with about (4.79 cu.m) 7670 kg. of sand, but excluding cost of reinforcement grill and fabricating charges, centering and shuttering and also including laying, vibrating with mechanical vibrators, finishing, curing etc. and providing fixtures like fan clamps in the RCC floor/roof slabs wherever necessary without claiming extra, etc., complete complying with standard specification and as directed by the departmental officers. The coarse and fine aggregates to be used should comply with the requirements of IS standards. (No separate payment will be made by the departmental for the excess usage of materials)</t>
  </si>
  <si>
    <t>Brick work in CM 1:5 (One of Cement and five of crushed stone sand with admixture) using fly ash bricks of size 230 x 110 x 70mm having the compressive strength of not less than 100 Kg/cm² in foundation and basement including dewatering wherever necessary proper setting, curing etc., all complete with relevant standard specifications in Foundation &amp; basement.</t>
  </si>
  <si>
    <t>Brick work in CM 1:6 (One of Cement and six of crushed stone sand with admixture) using fly ash bricks of size 230 x 110 x 70mm having the compressive strength of not less than 100 Kg/cm² for superstructure in the following floors including labour charges for fixing the doors, windows and ventilator frames in position, fixing of hold fasts, scaffolding, curing etc., all complete with relevant standard specifications and drawings.</t>
  </si>
  <si>
    <t>Brick partition wall in CM 1:4 (One of Cement and four of crushed stone sand with admixture) 70mm thick for super structure using fly ash bricks of size 230 x 110 x 70mm having the compressive strength of not less than 100 Kg/cm² for superstructure in the following floors including scaffolding, curing etc., all complete with relevant standard specifications and drawings.</t>
  </si>
  <si>
    <t>Providing Form work and centering for reinforced cement concrete works including supports and strutting up to 3.30m height for plane surfaces as detailed below with all cross bracings using mild steel sheets of size 90cmx60cm and MS 10 gauge stiffened with welded mild steel angles of size 25mmx25mmx3mm for boarding laid over silver oak or country wood joists of size 10cmx6.5cm spaced at about 90cm centre to centre supported by caurina props 10cm to 13cm dia spaced at 75cm intervals and removing the same after a specified period without damaging the RCC works etc., complete complying with standard specifications and as directed by the departmental officers.</t>
  </si>
  <si>
    <t>Providing and fixing factory made Unplastisized polyvinyl chloride ( UPVC ) Door Frame of size 50X47mm with a wall thickness of 5mm, made out  extruded 5mm rigid UPVC foam sheet, mitred  at two corners and joined with 2nos of 150mm long brackets of 15X15mm M.S square tube. The two vertical and horizontal door profiles are to be reinforced with 19X19mm M.S Square tube of 19-gauge primer coat. The doorframe shall be fixed to the wall using 65/100mm long M.S screw through the frame by using PVC fasteners. A minimum of 4nos screws to be provided for each vertical member &amp; minimum 2nos for horizontal member etc., and providing and fixing 30mm thick factory made solid panel foam unplasticized polyvinyl chloride (UPVC) door shutter as per IS 15931/2012 and density of sheet should be 0.55 to 0.65 gm / cm3, tolerance of thickness of paneled door shutters shall be +20mm, the average wight of the door shutter with frame will be 1kg / sqft and the shutter alone will be 0.675 kg/sqft, consisting of frame made out of M.S tubes of 19 gauge thickness and size 19mmX19mm for styles &amp; 15mmX15mm for top &amp; bottom rails M.S frames shall be covered with 5mm thick PWD SR P-43/2022-23</t>
  </si>
  <si>
    <t>Supplying and fixing of porcelain wash hand basin (white without pedastal) superior variety of size 550x400mm with all accessories such as poweder coated cast iron brackets, 32mm dia CP waste coupling, rubber plug and aluminium chain, 32mmdia 'B' classGI waste pipe, angle valve, 15mm dia Nylon connection, 15mm dia brass nipples, 15mm CP pillar tap and required grating etc., complete in all respects (wash hand basin shall be got approved by the Executive Engineer before fixing)</t>
  </si>
  <si>
    <t>Supplying and fixing the following dia PVC (SWR) pipe with ISI mark confirming to IS 13952:1992 type 'B' for soil line with relevant jointing with seal ring confirming to IS 5382 with leaving a gap about 10mm to allow thermal expansion, fixing the pipes into walls with necessary wooden plug, screws, holding wherever necessary and making good of the dismantled portiong with necessary connections to sanitary fittings etc., complete in all respects and as directed by the departmental officers.</t>
  </si>
  <si>
    <t>Supplying, laying and concealing the 50mm dia PVC (SWR) pipe with ISI mark confirming to IS 13952:1992- type 'B' for waste water line with relevant specials confirming to IS 14735 including jointing and making good of the dismantled portion with necessary connections to sanitary fittings etc., complete in all respects and as directed by the departmental officers.</t>
  </si>
  <si>
    <t>Supply and delivery of following Electric Ceiling fan with ISI mark with blades and double ball bearing, capacitor, etc., complete with 300mm down rod, canopies, capacitor, shackle blades with electronic dimmer regulator suitable for operation on 230 volts 50 HTZ single phase AC supply conforming to ISS No.374/79 and provided with insulation . (The brand should be got approved from the Executive Engineer before supply made).</t>
  </si>
  <si>
    <t>Run off main with 2 wires of 4 Sqmm PVC insulated single core multi strand fire retardant flexible copper cable with ISI mark conforming to IS: 694/1990, 1.1 KV grade cable with continuous earth by means of 2.5 sqmm PVC insulated single core multi strand fire retardant flexible copper cablewith ISI mark conforming to IS: 694/1990, 1.1 KV grade cable in fully concealed 19/20mm dia rigid PVC conduit pipe with ISI mark etc. including cost of all materials, specials etc. all complete and as directed by the departmental officers.</t>
  </si>
  <si>
    <t>Run off main with 2 wires of 2.5 Sq.mm. PVC insulated single core multi strand fire retardant flexible copper cable with ISI mark conforming to IS: 694/1990,1.1 kv grade cable with continuous earth by means of 2.5 sq.mm PVC insulated single core multi strand fire retardant flexible copper cable with ISI mark conforming to IS: 694/1990,1.1. k.v. grade cable in fully concealed   19mm/20mm dia rigid PVC conduit pipe heavy dutywith ISI mark cost of all materials, specials etc., all complete.</t>
  </si>
  <si>
    <t>Run off main with 4 wires of 4 Sqmm PVC insulated single core multi strand fire retardant flexible copper cable with ISI mark conforming to IS: 694/1990, 1.1 KV grade cable with continuous earth by means of 2.5 sqmm PVC insulated single core multi strand fire retardant flexible copper cablewith ISI mark conforming to IS: 694/1990, 1.1 KV grade cable in fully concealed 19/20mm dia rigid PVC conduit pipe with ISI mark etc. including cost of all materials, specials etc. all complete and as directed by the departmental officers.</t>
  </si>
  <si>
    <t>Supplying and fixing of 225 mm dia sweep AC exhaust fan of approved ISI Quality including necessary wall opening, fixing and finishing the wall opening and making good including cost of materials, labour for fixing, chipping and redoing necessary inter connection, scaffolding, hire charges for tools and plants etc., all complete and as directed by the departmental Officers</t>
  </si>
  <si>
    <t>Providing Rain water harvesting pit of 1m dia and 600mm depth and filling the pit with 40mm stone jelly to a depth of 300mm from the top of the augering portion and filling with filling sand to a depth of 300mm over the stone jelly and covered with the pre-cast RCC perforated slab of 40mm thick excluding the cost and fabrication of reinforcement grills but including precasting, moulding, curing, finishing and fixing in position etc., all complete and as directed by the departmental officers.</t>
  </si>
  <si>
    <t>b) Augering 30cm dia bore hole in all soils and sub soils required depth to providing rain water harvesting from the centre of the rain water harvesting pit already excavated and filling the augering portion with 40mm size stone jelly etc., all complete and as directed by the departmental officers.</t>
  </si>
  <si>
    <t>Supply &amp; Fixing of Bevelled edge mirror of approved quality and brand of size 500 x 400 x 5.5mm  shelf type mounted in the PVC / Fibre Glass framed with necessary hard board backing including labour for fixing in position etc., complete and as directed by the departmental officers</t>
  </si>
  <si>
    <t>Applying one coat of Anticorrosive treatment for steel window/ M.S. Grills (using 5 liters of anticorosive chemical per one MT of steel) at site including cost of paint (NITOZINC rich primer), brushes, gloves, labour charges for applying anticorrosive paint etc before the application of synthetic enamel paint. (The quality and the brand of the anticorrosive paint, should be got approved from the EE before use) and as directed by the departmental officers.</t>
  </si>
  <si>
    <t>Supplying and fixing of 25mm dia PVC Tee with end cap of best approved quality (UPVC Tee with end cap shall be got approved from the Executive Engineer before fixing) etc., complete complying with relevant standard specifications and as directed by the departmental officers.</t>
  </si>
  <si>
    <t>Providing wooden (Melamine Door) Polish for new wood by removing by blade scrapping the exisiting dirt from the wooden surface using sand paper with M50 and repeat M80 paper to get a smooth surface leaves atleast 4hrs drying sand paper and prepare surface by M100 and clear the surface apply one coat of touch wood stainer by brush and leaves for two hrs. for drying prepare the surface by M100 sand paper and apply one coat of ash sanding sealer mixed with approved quality thinner after drying apply one coat of sanding sealer and attend the surface to get thoroughly dried smoother surface with no.220 water emery wood cleaner fill the holes and dots by putty and packing to get the surface clean apply surface by wax emery no.220 apply first coat of melamine sealer with the thinner for preparing the surface and apply second coat of the same by dry aftering drying preparing the surface with water emery no.330 and apply two coats of melamine matt mixed with glazing and thinner 106 prepar the surface water no.320 and apply two coats of same and finally smoother etc., all complete including cost of all materials and labour etc., and as directed by the departmental officers ( The quality and shade of the polish should be got approved from the EE before use ).</t>
  </si>
  <si>
    <t>Supply and fixing of superfine polished with machine cut edges (sathali /steel grey, Ruby Red) of size 4' x 2' of Granite slab 18 to 20mm thick laid over in CM 1:3 (One of cement and three of crushed stone sand) 20mm thick including fixing in position cutting the slab to the required size, super fine polish, wherever necessary pointing the joints with coloured cement curing finishing etc., all complete and as directed by the departmental officers. (Quality should be got approved from the Executive Engineer before use)</t>
  </si>
  <si>
    <t xml:space="preserve">Supplying, laying and jointing the following dia UPVC Non Pressure pipes Specials of SN8 SDR 34 (S 16.5) as per IS 15328/2003, Superior variety </t>
  </si>
  <si>
    <t>Supplying and fixing of Indian Water Closet white glazed (oriya type) of size 580 mm X 440 mm of approved make with ISI mark (to be got approved from EE before use) with P or S trap confirming to IS 2556 part 12,, including concrete filling the sunk portion with brick jelly lime concrete proportion of brick jelly to lime being 32:12½ by volume (32 cft of 20mm gauge brick jelly and 12 ½ cft of slaked lime) (No sand) and top 75mm thick brick jelly concrete in CC 1:8:16 (one of cement, eight of sand and sixteen of broken brick jelly) using 40mm size brick jelly including plastering the sides of sunk portion in Cm 1:3 (one of cement and three of sand) 12mm thick mixed with water proofing compound at 2Kg / m2 and top left rough to receive the floor plastering but including antisyphonage connection, one coat of bitumen for the sides, bottom and curing etc., complete in all floors. (Other than  ground floor)</t>
  </si>
  <si>
    <t>Supplying and fixing EWC superior variety 500mm including cost and fixing of double flapped coloured plastic sheet cover PVC flushing cistern in appropriate level as directed by the departmental officers at a maximum level of 5’6” and of approved brand of 10 litres capacity including fittings such as CI brackets.  PVC connection Gm wheel valve, Hex nipple, etc., complete (EWC and plastic cover shall be got approved from the Executive Engineer before fixing)</t>
  </si>
  <si>
    <t>Wiring with 1.5 sqmm PVC insulated single core multi strand fire retardant  flexible copper cable with ISI mark confirming to ISI 694/1990, 1.1 KV grade cable with continuous earth by means of 1.5 sqmm PVC insulated single core multi strand fire retardant flexible copper cable with ISI mark confirming to IS:694/1990, 1.1 KV grade cable in fully concealed PVC rigid conduit pipe heavy duty with ISI mark with suitable size MS box of 16g thick concealed and covered with 3mm thick hylem sheet for 5 amps 5 pin plug socket point at switch board itself  including circuit mains cost of all materials, specials etc., all complete</t>
  </si>
  <si>
    <t>Supplying, fabricating and placing in position of Mild steel Grills/Ribbed Tor Steels for reinforcement for all floors including cost of PVC binding wire, bending, tying etc., all complete and as directed by the departmental officers for all sizes.</t>
  </si>
  <si>
    <t>Supplying, laying, fixing and jointing the following PVC pipes as per schedule 40 of wall thickness not less than specified in IS 4985 suitable for plumbing by threading of wall thickness including the cost of suitable PVC/GI specials/GM specials like elbow, Tee, reducers, plug, union, bend, coupler, nipple/GM gate vavle check and wheel valve etc., wherever required above the ground level including the cost of teflon tape, special clamps, nails, etc., fixing on wall to the proper gradient and alignment and redoing the chipped of masonry etc., as directed by the departmental officers.</t>
  </si>
  <si>
    <t>Supplying and fixing of half turn C.P Short body Tap of 15mm dia of best quality including cost of half turn  CP tap with required specials, and labour for fixing etc, all complete and as directed by the departmental officers., (The quality and brand should be got approved from Executive Engineer before use).</t>
  </si>
  <si>
    <t>Supplying and fixing of water tight Bulk head fittings  with guard, suitable for 12W LED lamp including necessary connections, cost of materials etc., all complete.</t>
  </si>
  <si>
    <t>Supply and fixing of 25 watts LED street light fitting complete with all accessories such as copper wire etc., complete using 25mm dia GI 'B' class pipe for  150 m length , confirming to ISI specifications and including labour charges for fixing street light fittings in EB pole/wall etc complete as directed by the departmental officers(The quality and brand of entire fitting should be got approved from Executive Engineer before use)</t>
  </si>
  <si>
    <t>Abstract Estimate</t>
  </si>
  <si>
    <t>S.No.</t>
  </si>
  <si>
    <r>
      <t>Supplying and filling in foundation and basement with filling CS sand in layers of 150mm thickness well watered, rammed and consolidated complying with relevant standard specification including cost of supplying filling</t>
    </r>
    <r>
      <rPr>
        <b/>
        <sz val="15"/>
        <rFont val="Times New Roman"/>
        <family val="1"/>
      </rPr>
      <t xml:space="preserve"> CS sand</t>
    </r>
  </si>
  <si>
    <t>Brick partition wall in CM 1:4 (One of Cement and four of crushed stone sand with admixture) 110mm thick for super structure using fly ash bricks of size 230 x 110 x 70mm having the compressive strength of not less than 100 Kg/cm² for superstructure in the following floors including scaffolding, curing etc., all complete with relevant standard specifications and drawings.</t>
  </si>
  <si>
    <t>Supplying and fixing 15 amps 3 pin plug type socket on a suitable MS box 16g thick concealed and covered with 3mm thick laminated hylem sheet inclusive of all connections and cost of all materials.</t>
  </si>
  <si>
    <r>
      <t xml:space="preserve">Providing cuddappah slab of 20mm thick,  finishing with two sides for cupboard, wardrobes shelves, and other similar works including finishing and fixing in position complying with relevant standard specifications etc., compete in the following floors (measurement will be taken including bearing also) as directed by the departmental officers (quality of cuddappah slab shall be got approved by the Executive Engineer before fixing). </t>
    </r>
    <r>
      <rPr>
        <b/>
        <sz val="15"/>
        <rFont val="Times New Roman"/>
        <family val="1"/>
      </rPr>
      <t>20mm thick</t>
    </r>
  </si>
  <si>
    <t xml:space="preserve">Supplying and fixing of Single leaf Solid core flush door shutters using boiled water resistance (BWR) teak wood ply as per IS 303-1989, the cross band and face veneers are to be banded with phenol formaldehyde synthetic resin in hot press both sides and manufactruting the shutters by using quality timber of termite proof and seasoned to moisture content not more than 10% hot pressed with hydraulic press at a temperature of 150 degree to the norms as per IS 2002-1983 and T.W Ply on both side with teak wood lipping around, 35mm thick including cost and fixing of Aluminium furniture fittings such as 4 nos of 5'' butt hinges, 2 Nos of   6''x ½''  Towerbolt, 2 Nos of 6'' door handle with CP  screw, 1 no of aldrop 10'' x 5/8'' 1 No of 40mm dia &amp; 60mm long rubber bush, 1 No Aluminium door stopper with rubber bush with required brass screws, labour charges for wrought and putup and fixing in position of flush shutters and as directed by the departmental officers. ( The quality and brand of materials should be got approved from the Executive Engineer before use.)                                                                                                     </t>
  </si>
  <si>
    <r>
      <t xml:space="preserve">Supplying and fixing of colour glazed tiles of size </t>
    </r>
    <r>
      <rPr>
        <b/>
        <sz val="15"/>
        <rFont val="Times New Roman"/>
        <family val="1"/>
      </rPr>
      <t>200x300x8mm or other size</t>
    </r>
    <r>
      <rPr>
        <sz val="15"/>
        <rFont val="Times New Roman"/>
        <family val="1"/>
      </rPr>
      <t xml:space="preserve"> (best approved quality and the same shall be got approved from the Executive Engineer before using) over cement plastering in CM 1:2 (one of cement and two of sand) 10mm thick including fixing in position, cutting the tiles to the reqauired size wherever necessary, pointing the joints with Grout (Tile joint filler), curing, finishing etc., all complete and as directed by the departmental officers.</t>
    </r>
  </si>
  <si>
    <r>
      <t xml:space="preserve">Supplying and fixing of colour ceramic tiles Anti skid </t>
    </r>
    <r>
      <rPr>
        <b/>
        <sz val="15"/>
        <rFont val="Times New Roman"/>
        <family val="1"/>
      </rPr>
      <t>of size 305x305x10mm</t>
    </r>
    <r>
      <rPr>
        <sz val="15"/>
        <rFont val="Times New Roman"/>
        <family val="1"/>
      </rPr>
      <t xml:space="preserve"> without corrugated design for flooring and other similar works (best approved quality colour and shade shall be got approved from the EE before using) over cement 1:3 (one cement and three of sand) 20mm thick including  fixing in position, cutting the tiles to the required size wherever necessary, pointing the joints with grout (Tile joint filler) curing, finishing etc., all complete and as directed by the departmental officers.</t>
    </r>
  </si>
  <si>
    <t>Finishing top of roof with one course of Hydraulic Pressed Tiles of approved superior quality of size 23cmx 23cmx20mm thick laid over weathering course in cm 1:3 (One of cement and three of sand) 12mm thick mixed with Water proofing compound at 2% by weight of cement used and pointed neatly with the same cement mortar mixed with water proofing compound including curing etc., as per standard specifications. (The quality of tiles shall be got approved from the EE before use)</t>
  </si>
  <si>
    <t xml:space="preserve">Plastering in CM 1:3 (One of cement thee of sand) 12mm tk. mixed with water proof compound at 2% by weight of cement for sump including scaffolding curing, finishing etc., complete in all respects and complying with standard specifications </t>
  </si>
  <si>
    <t>Supplying and fixing of 110mm dia PVC SWR pipe with ISI mark confirming to IS 13952:1992 Type 'A' for Rainwater Down fall pipe with relevant specials such as gratings, shoes, bends, offsets confirming to IS 14735 including jointing with seal ring confirming to IS 5382 with leaving a gap about 10mm to allow thermal expansion with necessary clamps, teak wood plugs etc., of approved quality and including fixing CI gratings at the junction of parapet and floor or roof slab etc., including finishing etc., complete complying with relevant standard specifications.</t>
  </si>
  <si>
    <t>Supplying and fixng of Fibre mixed precast slab of 50mm thick of all required shapes made in cement concrete 1:3:6 (One of cment, three of sand and six of 20mm HBS jelly) using 20mm hard broken stone jelly mixed with secondary reinforcement fibre of approved quality of 0.25% by weight of cement (125 gm of fibre for 1 bag i.e 50 kg of cement) used including cost of all materials, moulding, curing, transportion, laying, pointing etc., for approach road, pavement slab and other similar works etc., complete as per the relevant standard specifications and as directed by the departmental officers. (The shapes of slab and brand and quality of fibre should be got approved from the Executive Engineer before use)</t>
  </si>
  <si>
    <t>Supplying and fixing of C.I. manhole cover with locking arrangements of approved quality and brand of size 0.6 m x 0.6 m(50 kg) as per standard specifications including cost of material, labour charges for fixing etc. all complete and as directed by the departmental officers</t>
  </si>
  <si>
    <t>Supplying and fixing of Indian Water Closet white glazed (oriya type) of size 580mmx440mm of approved make with ISI mark (to be got approved from EE before use) with P or S trap confirming to IS 2556 part 12, including concrete packing filling portion with earth, flooring the area with 75mm thicf brick jelly concrete in CC 1:8:16 (One of cement, eight of sand and sixteen of brick jelly) using 40mm size brick jelly and top left rough to receive the floor plastering but including antisyphonage connection, curing etc., all complete and as directed by the departmental officers. (In Ground Floor)</t>
  </si>
  <si>
    <t>Supplying, laying and jointing the following dia UPVC Non Pressure pipes of SN8 SDR 34 (S 16.5) as per IS 15328/2003, Superior variety and tested with water, including necessary earth work excavation for trenches and refilling the same, well rammed and consolidated after the pipes are jointed and laid to the alignment as directed by the departmental officers. (SN8 SDR 34(S 16.5), as per IS 15328/2003, should be got approved by the EE/SE/CE before use in works)</t>
  </si>
  <si>
    <t>Wiring with 1.5 sqmm PVC insulated single core multi strand fire retardant  flexible copper cable with ISI mark confirming to ISI 694/1990, 1.1 KV grade cable with continuous earth by means of 1.5 sqmm PVC insulated single core multi strand fire retardant flexible copper cable with ISI mark confirming to IS:694/1990, 1.1 KV grade cable in fully concealed PVC rigid conduit pipe heavy duty with ISI mark with suitable size MS box of 16g thick concealed and covered with 3mm thick hylem sheet for 5 amps 5 pin plug socket point at convenient places  including circuit mains cost of all materials, specials etc., all complete</t>
  </si>
  <si>
    <t>Supplying &amp; fixing of  LED bulbs suitable for fixing it to pendent / bakelite battern holder of best approved variety and as directed by the departmental officers.</t>
  </si>
  <si>
    <t>Supply and fixing of best fixing of best indian Teak wood double leaf panelled door shutterin position using 150mm x 37.50mm outer styles 4Nos, 100mmx 37.50mm intermediate styles 6 Nos and using 200mm x 37.50mm Top Rail, 200mm x 37.50mm for all intermediate rails and using Teak wood plank of thickness of 18.75mm thick including labour charges for fixing the shutter in position with the shutter in position with the necessary following brass furniture fittings 12'' Majestic brass door handle - 2 Nos, 6'' Brass hinges - 10Nos, 16'' Brass Tower bolt - 2 Nos, 8'' Brass tower bolt - 2 Nos, Mortice lock with door handle - 1 No, Rubber bush -2 Nos, 6'' Brass door stoper - 2Nos etc., all complete., and the furniture fittings are fitted with brass screws. best approved quality and shade etc., all complete and as directed by the departmental officers. (The fittings should be got approved from the Executive Engineer before use)</t>
  </si>
  <si>
    <t>Supplying and fixing of 10 liters PVC flushing cistern tank, including cost of tank, labour for fixing in position etc., complete and as directed by the departmental officers</t>
  </si>
  <si>
    <t>Providing full round nosing to the edges of granite slab of 18 to 20 mm thick including labour, power consumption, tools and plants required, true to horizontal in all floors in the laboratory work table and as directed by the departmental officers.</t>
  </si>
  <si>
    <r>
      <t xml:space="preserve">Supplying and fixing of SFRC monhole Cover slab  of size 300x300mm including of all cost etc., all completed and as directed by the departmental officers </t>
    </r>
    <r>
      <rPr>
        <b/>
        <sz val="15"/>
        <rFont val="Times New Roman"/>
        <family val="1"/>
      </rPr>
      <t>Quotation</t>
    </r>
  </si>
  <si>
    <t>Supplying, fabrication and Erection in position of MS scheme Name and lay-out board with 50x50x6mm MS angle for vertical posts and support posts with 2.5mm thick MS sheet for a size at 1.80x1.20m with 40x40x6mm MS angle around the baord and 50x6mm flat stiffeners on both directions including cost of welding charges, painting charges and drawing the lay out and lettering the scheme details as directed by the departmental officers including earth work excavation for 4 nos of pits, PCC 1:5:10 (one of cement, five of sand and ten of 40mmHB stone jelly) for pits. 0.45x0.45x0.60m below ground level and PCC 1:2:4 (One of cement, two of sand and four of 20mm HB jelly) at 0.30x0.30x0.30m above ground level for erection, conveyance charges etc., all complete and as directed by the departmental officers.</t>
  </si>
  <si>
    <t>Supply &amp; delivery of following dia GI pipe 'B' class pipe of approved quality including cost of materials and laying  charges etc.,complete   and as directed by the departmental officers  (Above G.L)</t>
  </si>
  <si>
    <t>Supply &amp; delivery of following dia GI pipe 'B' class pipe of approved quality including cost of materials and laying charges etc.,complete   and as directed by the departmental officers  (Below G.L)</t>
  </si>
  <si>
    <t xml:space="preserve">Supply &amp; delivery of following dia GI specials of approved quality including cost of materials and fixing charges etc.,complete and as directed by the departmental officers  </t>
  </si>
  <si>
    <t xml:space="preserve">Supplying and laying of following LTUG Cable from meter board to fornt of the block and  EB pole top for EB service connection ,including cost of materials and transportation charges etc all complete  and as directed by the departmental officers  </t>
  </si>
  <si>
    <t>Supply &amp; erection of 125 Amps capacity floor mounting metering panel board (Cubical type) of size 3.6' x 6.5' x 1' with bus bar chamber made up of 16 SWG MS sheet for 3 phase 4 wire system with 25mm x 3mm tin coated copper flats for phases and neutral; individual metering chamber and with 2 Nos. 25 x 3mm GI flat for the earth bus on the rear side of the panel board: necessary interconnections by copper flat of suitable sizes: suitable PVC colour sleeves for the interconnecting copper flats / rigid copper wire; earth connections to all switches / bus bar by GI flats of suitable sizes from the earth bus; 1 set LED pilot lamps with switches, fuse units, suitable angle iron frame size of 40mm x 40mm x 6mm with painting in two coats of suitable colour over one coat of red oxide and with numbering; superscription of cables sizes, capacity of switches etc and incorporating the following: Incoming: 3 nos. 300 A cut outs, Bus capacity: 125 A 3 phase 4 wires copper flats for phases and neutral.  Outgoings: 4 Nos. metering chamber - each chamber containing 3 nos. 63A  fuse units, 1 No. 25 x 3mm copper flats for neutral link, 32A TPN 10KA MCB, space provision for fixing TNEB Energy Meter and glass cover of suitable size for taking meter readings, and also 1 No. 32A fuse unit with neutral link and 32A DP 10 KA MCB for single phase services for common lighting purposes and 1 no.dummy provision.</t>
  </si>
  <si>
    <t xml:space="preserve"> Also necessary wiring with 6 sq.mm PVC insulated copper cables from TNEB cutout to energy meter and from energy Meter to 32A TPN MCB / DP MCB; 1 set LED pilot lamps with fuse units, switches and interconnections; inter connection to the bus bar by 25 x 3mm TC copper flats for phases and neutral from 300A cut outs to the bus and No.6 SWG copper for the phases and neutral from the 63A fuse units to the bus; Fixing of 6mm thick hylem sheet for fixing energy meters, insulators for the support for the bus; superscribing on the panel board the size, capacity of cable, switches, location, etc. 2 Nos. metalic danger boards etc. all complete and as directed by the departmental officers. (The quality and brand should be got approved from the Executive Engineer before supply and use). (Quotation)</t>
  </si>
  <si>
    <t>b) Power panel board</t>
  </si>
  <si>
    <t xml:space="preserve">Supply and fixing of LED flood lamp fitting 250 watts with single piece die cast aluminium housting and lamp etc., complete using 25mm dia GI 'B' class pipe for 1.50m length, confirming to ISI specifications and including labour charges for fixing of light fittings in EB pole/wall etc., complete as directed by departmental officers. (The quality and brand of entire fitting should be got approved from Executive Engineer before use).complete. (Quotation) </t>
  </si>
  <si>
    <t xml:space="preserve">Supply and delivery of 3 HP Open well Submersible pump set (Duty 100 x 50lpm) conforming to IS 14220 /2002 and as amended and BEE 3 Star Rated capable of discharging the following duties due to all causes. The pump shall be with stainless steel shaft and dynamically balanced bronze mixed type impeller, CI FG 200 grade casing and brass screws and rotor shall be of copper rod as per IS 613/1984 with ISI mark. The pump suitable for installation in sump with 1.1KV grade 3 core suitable copper flat submersible cable to a length of 15m with necessary cable joints. (Quotation)                                                                                                     Total Head               : 50m                                                                                               Suction                     : 50mm                                                                                                  Delivery                   :  50mm                                                                                             Discharge                 : 100LPM   </t>
  </si>
  <si>
    <t>Supply &amp; Fixing of Panel board for 3 H.P Submersible Pump set  with two level guard auto start with ISI mark for three phase wall mounted type with ammeter, Voltmeter, indicating lamps ON/OFF push bottons with necessary controls and three phase cum dry running preventor relay suitable for the above including wire for fixing sensor and main switch with all respects and as directed by the departmental officers. (As per Pg. 114 of TWAD SR 2022-23 item no.11.1)</t>
  </si>
  <si>
    <t xml:space="preserve">Labour charges for the erection of 3 HP submersible pumpset in borewell/openwell including fixing and jointing submersible cable with proper clamps upto the starter to required depth and also fixing of riser pipes to the required depth valves erection clamps, pressure gauges upto the exterior wall of pump room and erection of panel board consisting of TPICN switches starter, Voltmeter, Ammeter, three pilot (indicating) lamps capacitor single phasing preventor, water level guard and laying and jointing the cables and twin earthing as per IE rules etc., complete and testing the pumpset and trail upto 5.HP 
run for 10 days. . (As per TWAD SR P-308/ 2022 - 23, 17c )  </t>
  </si>
  <si>
    <t>Supplying, delivery, laying and fixing of following dia GM / UPVC / GI Pipes and specials including cost of pipe and specials with ISI Mark of best quality confirming to IS Specification including  cost of materials and conveyance, alignment, cutting, jointing pipes with solvent cement etc., all complete and as directed by the departmental officers.. (As per Pg. 44 &amp; 45 TWAD SR 2022 - 23)</t>
  </si>
  <si>
    <t xml:space="preserve">Supplying, laying, fixing and jointing the following dia UPVC Pipe with specials best quality confirming to IS specification including cost of materials and conveyance etc., all complete and as directed by the departmental officers. (The quality should be got approved by the Executive Engineer before use) </t>
  </si>
  <si>
    <t>Supplying and delivery of following dia UPVC specials of best and approved quality having ISI mark,  including  cost of materials and conveyance, alignment, cutting, jointing pipes with solvent cement etc., all complete and as directed by the departmental officers.</t>
  </si>
  <si>
    <t>Supplying of 6 lever Navatal lock with 3 keys with ISI mark etc., all complete and as directed by the departmental officers .(Quotation)</t>
  </si>
  <si>
    <t>SUB - TOTAL - I</t>
  </si>
  <si>
    <t>Total Qty (Develop-II)</t>
  </si>
  <si>
    <t>c).  door size 1.00 m x 2.10 (Single Leaf)</t>
  </si>
  <si>
    <t>d).  door size 0.90 m x 2.10 (Single Leaf)</t>
  </si>
  <si>
    <t xml:space="preserve">a). Providing pit </t>
  </si>
  <si>
    <t>a. 110 mm dia UPVC bend (TWAD SR 22-23  P-27 S.No-4 )</t>
  </si>
  <si>
    <t>a. 110 mm dia UPVC Equal tee (TWAD SR 22-23 P-19 S.No-9 )</t>
  </si>
  <si>
    <t>a.) 80mm dia GI pipe</t>
  </si>
  <si>
    <t>Supplying and fixing 1 No of 450 x 375 x 20 m   thick TW plank well varnished with 3 No 32 amps 500 volts fuse unit and 1 No of copper earth plate of suitable size bolts and nuta on walls for EB service connections including cost of all materials, etc., all complete.</t>
  </si>
  <si>
    <t>Genset</t>
  </si>
  <si>
    <t>genset</t>
  </si>
  <si>
    <t>Supply and fixing of Hydraulic Door Closer of various sizes of approved quality PWD SR P-44/2023-24</t>
  </si>
  <si>
    <t>Supply, erection, Testing and commissioning of 62.5 KVA AMP Panel generator set.Insulation for the residential silencer (supply of residential silencer to be included under item for DG Sets) (As per PWD SR Pg.157 / 2023-24)</t>
  </si>
  <si>
    <r>
      <t xml:space="preserve">Fabricating Supplying sectioning of PPGI sheet for the specifications.  The materials should be PPGI file profile with a blue colour or any other approved design 0.56mm thick 24 gauge having width 1050mm </t>
    </r>
    <r>
      <rPr>
        <b/>
        <sz val="50"/>
        <rFont val="Cambria"/>
        <family val="1"/>
        <scheme val="major"/>
      </rPr>
      <t>SER. No. 13 / 2022-23</t>
    </r>
  </si>
  <si>
    <t>Genset &amp; Shed arrangements</t>
  </si>
  <si>
    <r>
      <t xml:space="preserve">63 Amps triple pole main switch with fuse and neutral link </t>
    </r>
    <r>
      <rPr>
        <b/>
        <sz val="13"/>
        <rFont val="Times New Roman"/>
        <family val="1"/>
      </rPr>
      <t>PWD SR p-125/2023-24</t>
    </r>
  </si>
  <si>
    <t>Three phase distribution board with 6 way/phase and 63 A / Way with fuse and neutral link.(As per PWD SR pg.no.127 of 2023-24)</t>
  </si>
  <si>
    <t>16 Amps MCB (As per PWD SR pg.no.141 of 2023-24)</t>
  </si>
  <si>
    <t>10Amps MCB (As per PWD SR pg.no.141 of 2023-24)</t>
  </si>
  <si>
    <t>6Amps MCB (As per PWD SR pg.no.141 of 2023-24)</t>
  </si>
  <si>
    <t>40 Amps 30MA Three phase ELCB  (As per PWD SR pg.no.143 of 2023-24)</t>
  </si>
  <si>
    <t>JE/AE                                        AEE/CDL</t>
  </si>
  <si>
    <t xml:space="preserve">        EE/SLM</t>
  </si>
  <si>
    <t>a. 1500X2100mm.(Double leaves) with Brass fittings</t>
  </si>
  <si>
    <t>S&amp;F of stainless steel sink including labour for fixing in position etc., complete and as directed by the departmental officers PWD SR P-55/2023-24</t>
  </si>
  <si>
    <r>
      <t>Painting two coats with ready mixed PLASTIC EMULSION PAINT of first class quality paint of approved colour and shade including one coat of priming coat on cement plastered / concrete wall surfaces</t>
    </r>
    <r>
      <rPr>
        <b/>
        <sz val="15"/>
        <rFont val="Times New Roman"/>
        <family val="1"/>
      </rPr>
      <t xml:space="preserve"> inner walls</t>
    </r>
    <r>
      <rPr>
        <sz val="15"/>
        <rFont val="Times New Roman"/>
        <family val="1"/>
      </rPr>
      <t xml:space="preserve"> or other similar works, including cost of primer, paint, necessary brushes, labour charges, patty etc., complying with relevant standard specification. The paint should be supplied by the contractors at his own cost. (The quality and shade of the paint should be got approved by the Executive engineer before use.)</t>
    </r>
  </si>
  <si>
    <r>
      <t>Painting two coats with ready mixed PLASTIC EMULSION PAINT of first class quality paint of approved colour and shade including one coat of priming coat on cement plastered / concrete wall surfaces</t>
    </r>
    <r>
      <rPr>
        <b/>
        <sz val="15"/>
        <rFont val="Times New Roman"/>
        <family val="1"/>
      </rPr>
      <t xml:space="preserve"> Outer walls</t>
    </r>
    <r>
      <rPr>
        <sz val="15"/>
        <rFont val="Times New Roman"/>
        <family val="1"/>
      </rPr>
      <t xml:space="preserve"> or other similar works, including cost of primer, paint, necessary brushes, labour charges, patty etc., complying with relevant standard specification. The paint should be supplied by the contractors at his own cost. (The quality and shade of the paint should be got approved by the Executive engineer before use.)</t>
    </r>
  </si>
  <si>
    <r>
      <t xml:space="preserve">Supplying and fixing of  PVC Trims (Beadings) including charges for fixing in position without damaging the existing structure etc all Completed and as directed by the departmental officers </t>
    </r>
    <r>
      <rPr>
        <b/>
        <sz val="15"/>
        <rFont val="Times New Roman"/>
        <family val="1"/>
      </rPr>
      <t>P-41/SOR-2023-24</t>
    </r>
  </si>
  <si>
    <t>Supplying and fixing in position of UPVC Ventilator louvered ventilator  type for all sizes 
 PWD SR 2023-24/p-71</t>
  </si>
  <si>
    <t>Supplying and fixing in position of UPVC window of casement type( open) for all sizes PWD SR 2023-24/p-70</t>
  </si>
  <si>
    <r>
      <t xml:space="preserve">Supplying and fixing UPVC (Un-Plasticized Polyvinyl Chloride) Louvered Ventilators of from the profile the size of outer frame 60mm x 58mm and shutter profile size of 60 x 78mm both profiles are reinforced with GI/1mm 125GSM and 100% corrosion free, the profile are multi chambered sections with wall thick of 2mm. The EPDM rubber (black colour) covered with all over the edges of frame and shutter. The corners and joints should be welded and cleaned. Radiations pin headed glass 4mm thick should be provided in the louvers. The window should be fixed to the wall with 100% packing with screws and silicon packing all round the frames. The ventilator should be got approved from the Executive Engineer before use on work 
</t>
    </r>
    <r>
      <rPr>
        <b/>
        <sz val="15"/>
        <rFont val="Times New Roman"/>
        <family val="1"/>
      </rPr>
      <t xml:space="preserve"> PWD SR 2023-24/p-71</t>
    </r>
  </si>
  <si>
    <r>
      <t xml:space="preserve">Supplying and fixing stainless steel hand railing 304 grade with top railing tube of 50mm  304 grade with top railing tube  of 50mm dia of 12 gauge and 2.5mm wall thickness, vertical tube of 40mm dia of 14 gauge and 2mm wall thickness with 900mm clear  weight  at required intervals with 2 lines  of horizental tube of 25mm dia of 16 gauge and 1.6 mm wall thickness, 62.5mm dia front post ball set and restical base cub of 16 gauge and wall thickness of 1.6mm including polishing, buffing, fabrication and erection in the places shown by the departmental officers and embeded in the places with PCC 1:2:4 using 20mm stone jelly making holes and redoing the same and labour charges, power consumption charges etc., all complete complying with relevant standard specifications and as directed by the departmental officers. </t>
    </r>
    <r>
      <rPr>
        <b/>
        <sz val="15"/>
        <rFont val="Times New Roman"/>
        <family val="1"/>
      </rPr>
      <t>(PWD SR 23-24/p-62)</t>
    </r>
  </si>
  <si>
    <r>
      <t xml:space="preserve">Wiring with 1.5 sqmm PVC insulated single core multi strand fire retardant  flexible copper cable with ISI mark confirming to ISI 694/1990, 1.1 KV grade cable with continuous earth by means of 1.5 sqmm PVC insulated single core multi strand fire retardant flexible copper cable with ISI mark confirming to IS:694/1990, 1.1 KV grade cable in fully concealed PVC rigid conduit pipe heavy dut with ISI mark with suitable size MS box of 16g thick concealed and covered with 3mm thick hylem sheet for </t>
    </r>
    <r>
      <rPr>
        <b/>
        <sz val="15"/>
        <rFont val="Times New Roman"/>
        <family val="1"/>
      </rPr>
      <t>Fan Point</t>
    </r>
    <r>
      <rPr>
        <sz val="15"/>
        <rFont val="Times New Roman"/>
        <family val="1"/>
      </rPr>
      <t xml:space="preserve"> controlled by 5 amps flush type switch including circuit mains cost of all materials, specials etc., all complete</t>
    </r>
  </si>
  <si>
    <r>
      <t xml:space="preserve">Wiring with 1.5 sqmm PVC insulated single core multi strand fire retardant  flexible copper cable with ISI mark confirming to ISI 694/1990, 1.1 KV grade cable with continuous earth by means of 1.5 sqmm PVC insulated single core multi strand fire retardant flexible copper cable with ISI mark confirming to IS:694/1990, 1.1 KV grade cable in fully concealed PVC rigid conduit pipe heavy duty with ISI mark with suitable size MS box of 16g thick concealed and covered with 3mm thick hylem sheet for </t>
    </r>
    <r>
      <rPr>
        <b/>
        <sz val="15"/>
        <rFont val="Times New Roman"/>
        <family val="1"/>
      </rPr>
      <t>Staircase Light Point</t>
    </r>
    <r>
      <rPr>
        <sz val="15"/>
        <rFont val="Times New Roman"/>
        <family val="1"/>
      </rPr>
      <t xml:space="preserve"> controlled by 5 amps flush type switch including circuit mains cost of all materials, specials etc., all complete</t>
    </r>
  </si>
  <si>
    <t>Supplying and fixing of half turn C.P Long body Tap of 15mm dia of best quality including cost of half turn  CP tap with required specials, and labour for fixing etc, all complete and as directed by the departmental officers., (The quality and brand should be got approved from Executive Engineer before use).</t>
  </si>
  <si>
    <t>b). 9W Bulb (PWD SR-2023-24/p-121)</t>
  </si>
  <si>
    <t xml:space="preserve">Supply assembling and fixing of 18 watts LED tube light with fitting of four feet long and fixing the tube light fitting on teak wood round blocks of 75mm dia 40mm deep suspended from ceiling or mounted on the wall including cost of all materials and labour for fixing in position and as directed by the departmental officers. ( The entire fittings should be got approved from the Executive Engineer before use )   </t>
  </si>
  <si>
    <r>
      <t xml:space="preserve">Supplying and fixing of SFRC monhole Cover slab  of size 600x600mm with 10Ton capacity including of all cost etc., all completed and as directed by the departmental officers </t>
    </r>
    <r>
      <rPr>
        <b/>
        <sz val="15"/>
        <rFont val="Times New Roman"/>
        <family val="1"/>
      </rPr>
      <t>PWD SR P-77/2023-24</t>
    </r>
  </si>
  <si>
    <r>
      <t xml:space="preserve">Supplying and laying of 3.5 core 50 sqmm LT UG Cable </t>
    </r>
    <r>
      <rPr>
        <b/>
        <sz val="50"/>
        <rFont val="Cambria"/>
        <family val="1"/>
        <scheme val="major"/>
      </rPr>
      <t>SD -224</t>
    </r>
  </si>
  <si>
    <r>
      <t xml:space="preserve">Supplying and laying of 3.5 core 25 sqmm LT UG Cable </t>
    </r>
    <r>
      <rPr>
        <b/>
        <sz val="50"/>
        <rFont val="Cambria"/>
        <family val="1"/>
        <scheme val="major"/>
      </rPr>
      <t>SD 222</t>
    </r>
  </si>
  <si>
    <r>
      <t xml:space="preserve">a.) 3.5 core 50 sqmm LTUG cable </t>
    </r>
    <r>
      <rPr>
        <b/>
        <sz val="15"/>
        <rFont val="Times New Roman"/>
        <family val="1"/>
      </rPr>
      <t>SD 224</t>
    </r>
  </si>
  <si>
    <r>
      <t xml:space="preserve">Supplying and fixing 6 A to 20 A, 32 A single pole miniature circuit breaker  including labour charges etc all   complete and as directed by the departmental officers (MCB) </t>
    </r>
    <r>
      <rPr>
        <b/>
        <sz val="15"/>
        <rFont val="Times New Roman"/>
        <family val="1"/>
      </rPr>
      <t>PWD SR P-141/2023-24</t>
    </r>
  </si>
  <si>
    <t>External Water supply   arrangements</t>
  </si>
  <si>
    <t xml:space="preserve">Numbering lettering,Cupboard, False ceiling and AC arrangements </t>
  </si>
  <si>
    <t>Supplying, fabricating, erecting and fixing  8mm thick Calcium Silicate Board Designed and Perforated for False Ceiling using G.I perimeter channel of size 0.55mm thick ( having one flange of 20mm thick another flanger of 30mm and web of 27mm) along with perimeter of ceiling, screws, fixed brick wall / partition / RCC work with the help of nylon sleeves and screws at 610mm centre to centre. Then suspending G.I intermediate channels of 45mm  (0.90mm thick with two flanges of 15mm each) from the soffits at 1220mm centre to centre with ceiling angle of width 25x10x0.55mm thick fixed to soffits with G.I cleat and steel expansion fasteners ceiling section of size 0.55mm thick having knurled web of 51.50mm and two flanges of 26mm each with lips of 10.50mm are fixed to the intermediate channel with the help of connecting clips in direction perpendicular fixed to the intermediate channel with the help of connecting clips in direction perpendicular to the intermediate channel at 457mm center 10mm thick tapered edge Calcium Silicate Board Designed and Perforated  (confirming to IS 2035-1982) screw fixed to ceiling section with 25 mm dry wall screws @ 230 mm centers screw fixing is done mechanically either with screw driver or drilling machine with suitable attachment etc all complete and as directed by the Departmental Officer    (As per PWD SR Pg.60 / 2023-24 )</t>
  </si>
  <si>
    <t>Providing cornice work for GYP Board false ceiling  Etc., all complete and as directed by the Departmental Officer  (As per PWD SR Pg.60 / 2023-24 )</t>
  </si>
  <si>
    <t>Supply, fabrication and fixing of MS Channel for Mounting the Airconditioning Oudoor Unit, including cost of all materials etc., all complete and as directed by the Departmental Officers (As per PWD SR Pg.154 / 2023-24 )</t>
  </si>
  <si>
    <t>Supplying and fixing of 24W LED Fitting (4000K 2x2 square  type recessed fittings with LED) fixing with approved make bulb in position with all accessories including cost of all materials, inter connection etc., all complete and as directed by the departmental officers. (The materials should be got approved from the EE before use)  (As per PWD SR Pg.121 / 2023-24 )</t>
  </si>
  <si>
    <t>Providing Ordinary Vertical blinds for windows with best quality including cost of  blinds with necessary nails, plugs &amp; equipments and labour for fixing etc, all complete and as directed by the departmental officers., (The quality and brand should be got approved from Executive Engineer before use). ((As per PWD SR Pg.62 / 2023-24)</t>
  </si>
  <si>
    <t xml:space="preserve">External water supply arrangements </t>
  </si>
  <si>
    <t>g) 50mm dia Elbow PWD SR P-51/2023-24</t>
  </si>
  <si>
    <t>h)50mmm dia GI union   PWD SR P-51/2023-24</t>
  </si>
  <si>
    <t>i) 50mm dia  GI bend    PWD SR P-51/2023-24</t>
  </si>
  <si>
    <t>j) 50mm GI Tee   PWD SR P-51/2023-24</t>
  </si>
  <si>
    <t>k)50mm diaGI  coupling  PWD SR P-52/2023-24</t>
  </si>
  <si>
    <t>m) 50mm dia Hex Nipple   PWD SR P-53/2023-24</t>
  </si>
  <si>
    <t>n) 50mm dia Gun Metal Gate valve  PWD SR P-53/2023-24</t>
  </si>
  <si>
    <t>o) 32mm dia Gun Metal Gate valve PWD SR P-53/2023-24</t>
  </si>
  <si>
    <t xml:space="preserve">                              JE/AE                                            AEE/CDL                                                  EE/SLM    </t>
  </si>
  <si>
    <t>43.1.</t>
  </si>
  <si>
    <t>Supplying and fixing 3 No 100 Amps 500 volts grade/ well porcelin fuse unit on suitable teak wood plank</t>
  </si>
  <si>
    <t>Supply &amp; fixing of 100 Amps triple pole main switch for incoming control and 2 no of 16 A etc., complete and as directed by the departmental officers</t>
  </si>
  <si>
    <t>Skirting tiles</t>
  </si>
  <si>
    <t>parapet inner and top</t>
  </si>
  <si>
    <t>35.1.2</t>
  </si>
  <si>
    <t>Supplying and applying of two coats of putty of 3mm thick over the exposed RCC Surface of ceiling including finishing the joints smoothly with grinding machine and the surface shall be thoroughly cleaned out of dust and scrubbing. The surface shall then be allowed to dry for atleast 48hours. It shall then be sand papered (water proof abrasive sheet) to give a smooth and even surface. Any unevenness shall be made good by applying 1st coat of putty mixed with water on the entire surface including filling up the undulations and applying 2nd coat of putty after 6 hours of 1st coat of putty and then sand papering (water proof abrasive sheet) the same after it is dry and finishing the surface smoothly, etc., complete cmplying with standard specifications and as directed by the departmental officers.(The rates are inclusive of hire charges for grinding machine with wheel, cost of sand paper (water proof abrasive sheet) cost of putty area to level the surface smooth etc complete). The putty should be got approved by the Executive Engineer before use on work. PWD DATA</t>
  </si>
  <si>
    <t>Rs.273.10</t>
  </si>
  <si>
    <t>Special ceiling plastering in CM 1:3 -10mm thick</t>
  </si>
  <si>
    <t>Kg/sqm</t>
  </si>
  <si>
    <t>D1 &amp; D3</t>
  </si>
  <si>
    <t>For flooring</t>
  </si>
  <si>
    <t xml:space="preserve">Supply and fixing of UPVC (Un plasticized poloyvinyl chloride) windows of casement type (open window ) from the profile the size of outer frame size of 60 mm X 58 mm and shutter profile are reinforcement  with GI /1mm 125 GSM and 100% corrosion free , the profile are multi chambered section with wall tk 2 mm the EPDM rubber covered with over shutter etc  </t>
  </si>
  <si>
    <t>As per Ceiling putty qty</t>
  </si>
  <si>
    <t>mixer tap-2no</t>
  </si>
  <si>
    <t>S &amp; F of Exhaust Fan 225mm dia</t>
  </si>
  <si>
    <t>DO</t>
  </si>
  <si>
    <t xml:space="preserve">Supplying and fixing of solid UPVC door shutter with frame </t>
  </si>
  <si>
    <t>MD1 &amp; DO</t>
  </si>
  <si>
    <t>Supply and fixing of Concrete designer tiles</t>
  </si>
  <si>
    <t>I/C to I/C</t>
  </si>
  <si>
    <t>Chamber to Corp. Manhole</t>
  </si>
  <si>
    <t>Supplying  and  fixing  of  Three phase 6 Way Distribution  Board with MCB and all necessary connections</t>
  </si>
  <si>
    <t>as per ceiling plastering qty</t>
  </si>
  <si>
    <t>Brick work in CM 1:5 fly ash bricks foundation and basement</t>
  </si>
  <si>
    <t xml:space="preserve">Brick work in C.M. 1:6  using Fly ash bricks of size 23 x 11 x 7 cm 
</t>
  </si>
  <si>
    <t xml:space="preserve">Brick partition work in C.M. 1:4 using Fly ash bricks of size 23 x 11 x 7 cm 
110 mm tk (B.P.)
</t>
  </si>
  <si>
    <t xml:space="preserve">Brick work in C.M. 1:4 using Fly ash bricks   of size 23 x 11 x 7 cm 70mm tk 
</t>
  </si>
  <si>
    <r>
      <t xml:space="preserve">TW panelled door </t>
    </r>
    <r>
      <rPr>
        <b/>
        <sz val="50"/>
        <rFont val="Cambria"/>
        <family val="1"/>
        <scheme val="major"/>
      </rPr>
      <t>double leaves</t>
    </r>
    <r>
      <rPr>
        <sz val="50"/>
        <rFont val="Cambria"/>
        <family val="1"/>
        <scheme val="major"/>
      </rPr>
      <t xml:space="preserve"> shutter with </t>
    </r>
    <r>
      <rPr>
        <b/>
        <sz val="50"/>
        <rFont val="Cambria"/>
        <family val="1"/>
        <scheme val="major"/>
      </rPr>
      <t>brass fittings</t>
    </r>
    <r>
      <rPr>
        <sz val="50"/>
        <rFont val="Cambria"/>
        <family val="1"/>
        <scheme val="major"/>
      </rPr>
      <t xml:space="preserve"> of size . 1050X2100mm.</t>
    </r>
  </si>
  <si>
    <t>Hard drawn Copper conductor Gauge No.8&amp;6 p-133/2023-24</t>
  </si>
  <si>
    <t>Supplying and fixing of Hard drawn Copper conductor Gauge No.8&amp;6</t>
  </si>
  <si>
    <t>Supplying and laying of Hard drawn Copper conductor Gauge No.8&amp;6 on walls/below ground level with necessary 'U' nails/ earth work excavation and re- filling etc., including cost of all materials, all complete.</t>
  </si>
  <si>
    <r>
      <t xml:space="preserve">S &amp; F of Granite tile of size 2'x 1', 10mm Thick For  (jet black) laid over in CM 1:3 (One of cement and three of crushed stone sand) 20mm thick including fixing in position cutting the slab to the required size, super fine polish, wherever necessary pointing the joints with coloured cement curing finishing etc., all complete and as directed by the departmental officers. (Quality should be got approved from the Executive Engineer before use) </t>
    </r>
    <r>
      <rPr>
        <b/>
        <sz val="15"/>
        <rFont val="Times New Roman"/>
        <family val="1"/>
      </rPr>
      <t>In First floor kitchen</t>
    </r>
  </si>
  <si>
    <t>Supply and laying superior variety Designer Tiles for flooring in CM 1:3 (One of Cement and three of sand) 20mm thick, including fixing in position, cutting the tiles to the required size wherever necessary, pointing the joints  with grout (Tile joint filler), finishing, curing etc complete and as directed by the departmental officers. (The brand quality of tiles should be got approved from EE before use).</t>
  </si>
  <si>
    <t>Supplying and fixing of  CP wall mixer two in one (without telephone shower) including cost of all materials and all labour charges etc complete.</t>
  </si>
  <si>
    <t>G.F&amp;F.F</t>
  </si>
  <si>
    <t xml:space="preserve">Supply and fixing of SS SOAP TRAY  approved quality with ISI mark.,  all complete as directed by the departmental officers </t>
  </si>
  <si>
    <t>Supplying and fixing of UPVC Exhaust fan fixing in the toilet and bath of approved ISI Quality</t>
  </si>
  <si>
    <r>
      <t xml:space="preserve">Supplying and fixing of UPVC Exhaust fan fixing in the toilet and bath of approved ISI Quality including necessary wall opening, fixing and finishing the wall opening and making good including cost of materials, labour for fixing, chipping and redoing necessary inter connection, scaffolding, hire charges for tools and plants etc., all complete and as directed by the departmental Officers </t>
    </r>
    <r>
      <rPr>
        <b/>
        <sz val="15"/>
        <rFont val="Times New Roman"/>
        <family val="1"/>
      </rPr>
      <t>Qtn</t>
    </r>
  </si>
  <si>
    <t>1000Liters</t>
  </si>
  <si>
    <t>2000Liters</t>
  </si>
  <si>
    <r>
      <t xml:space="preserve">Supply and erection of Rotational Moulded Polyethylene water storage tanks (HDPE Cylindrical vertical type) for outdoor use having the following capacity of  litres (excluding free board)  of approved brand (superior variety) with ISI Mark </t>
    </r>
    <r>
      <rPr>
        <b/>
        <sz val="50"/>
        <rFont val="Cambria"/>
        <family val="1"/>
        <scheme val="major"/>
      </rPr>
      <t>PWD SR P-54/2023-24</t>
    </r>
  </si>
  <si>
    <r>
      <t>Supply and erection of Rotational Moulded Polyethylene water storage tanks (HDPE Cylindrical vertical type) for outdoor use having capacity of  1000 litres (excluding free board)  of approved brand (superior variety) with ISI Mark (marked with tank itself) with top  lid with provisions of  locking including necessary  specials and fittings for storing potable water and for storing potable water and manufactured with material which do not import any taste / odour  / any toxic effect and not to contaminate etc with carbon block content   and   dispersion   in   accordance  with relevant I.S. specification and as directed by the departmental officers etc. complete. (The tank should be got approved from the E.E. before use)</t>
    </r>
    <r>
      <rPr>
        <b/>
        <sz val="15"/>
        <rFont val="Times New Roman"/>
        <family val="1"/>
      </rPr>
      <t xml:space="preserve"> PWD SR P-54/2023-24</t>
    </r>
  </si>
  <si>
    <t>Supplying &amp; fixing of Lucky snow white plastic gate light fitting</t>
  </si>
  <si>
    <t>Gate light Fittings   Quotation</t>
  </si>
  <si>
    <t>Supplying &amp; fixing of Lucky snow white plastic gate light fitting, including the cost of material and fixing charges etc  all complete and as directed by the departmental officers</t>
  </si>
  <si>
    <t>Supplying &amp; fixing of Lucky snow white plastic gate light fitting, including the cost of material and fixing charges etc  all complete and as directed by the departmental officers.</t>
  </si>
  <si>
    <t>Supplying and applying of two coats of putty of 3mm thick over the exposed RCC Surface of ceiling including finishing the joints smoothly with grinding machine and the surface shall be thoroughly cleaned out of dust and scrubbing</t>
  </si>
  <si>
    <t>b. 1200X2100mm.(Double leaves) with Brass fittings</t>
  </si>
  <si>
    <t>c. 1050X2100mm.(Single leaves) with Brass fittings</t>
  </si>
  <si>
    <t>Supplying of 4 core 1.5Sq.mm Copper sensor cable  including the cost of material and loading unloding &amp; transportation charges etc, all  complete and as directed by the departmental officers Qtn</t>
  </si>
  <si>
    <r>
      <t xml:space="preserve">Supply and fixing of </t>
    </r>
    <r>
      <rPr>
        <b/>
        <sz val="50"/>
        <rFont val="Cambria"/>
        <family val="1"/>
        <scheme val="major"/>
      </rPr>
      <t>Health faucet</t>
    </r>
    <r>
      <rPr>
        <sz val="50"/>
        <rFont val="Cambria"/>
        <family val="1"/>
        <scheme val="major"/>
      </rPr>
      <t xml:space="preserve"> approved quality with ISI mark  PWD SR P-62/2023-24</t>
    </r>
  </si>
  <si>
    <r>
      <t xml:space="preserve">Supply and fixing of 20 Amps DP plug and socket in sheet enclosure with 32 A DP MCB  in Flush with wall with earth connection ( For AC Plug ) Legrand ( MDS) / Hager( L&amp; T) Equivalent/ Superior variety  
</t>
    </r>
    <r>
      <rPr>
        <b/>
        <sz val="15"/>
        <rFont val="Times New Roman"/>
        <family val="1"/>
      </rPr>
      <t>Ele SD -140 /2023-24</t>
    </r>
  </si>
  <si>
    <r>
      <t xml:space="preserve">Supplying and fixing of  CP </t>
    </r>
    <r>
      <rPr>
        <b/>
        <sz val="50"/>
        <rFont val="Cambria"/>
        <family val="1"/>
        <scheme val="major"/>
      </rPr>
      <t xml:space="preserve">wall mixer two in one </t>
    </r>
    <r>
      <rPr>
        <sz val="50"/>
        <rFont val="Cambria"/>
        <family val="1"/>
        <scheme val="major"/>
      </rPr>
      <t xml:space="preserve">(without telephone shower) including cost of all materials and all labour charges etc complete.
</t>
    </r>
    <r>
      <rPr>
        <b/>
        <sz val="50"/>
        <rFont val="Cambria"/>
        <family val="1"/>
        <scheme val="major"/>
      </rPr>
      <t>PWD SR P-53/2023-24</t>
    </r>
  </si>
  <si>
    <r>
      <t>Supplying and fixing of  CP wall mixer two in one (without telephone shower) including cost of all materials and all labour charges etc complete.</t>
    </r>
    <r>
      <rPr>
        <b/>
        <sz val="15"/>
        <rFont val="Times New Roman"/>
        <family val="1"/>
      </rPr>
      <t xml:space="preserve"> PWD SR P-53/2023-24</t>
    </r>
  </si>
  <si>
    <r>
      <t xml:space="preserve">Supply and fixing of SS Health faucet 1.2m long approved quality with ISI mark.,  all complete as directed by the departmental officers </t>
    </r>
    <r>
      <rPr>
        <b/>
        <sz val="15"/>
        <rFont val="Times New Roman"/>
        <family val="1"/>
      </rPr>
      <t>PWD SR P-62/2023-24</t>
    </r>
  </si>
  <si>
    <t>Supplying and fixing of CP shower arm with over head rose including cost of all materials and all labour charges etc. complete
PWD SRP-49</t>
  </si>
  <si>
    <r>
      <t xml:space="preserve">Supplying and fixing of </t>
    </r>
    <r>
      <rPr>
        <b/>
        <sz val="50"/>
        <rFont val="Cambria"/>
        <family val="1"/>
        <scheme val="major"/>
      </rPr>
      <t>CP</t>
    </r>
    <r>
      <rPr>
        <sz val="50"/>
        <rFont val="Cambria"/>
        <family val="1"/>
        <scheme val="major"/>
      </rPr>
      <t xml:space="preserve"> </t>
    </r>
    <r>
      <rPr>
        <b/>
        <sz val="50"/>
        <rFont val="Cambria"/>
        <family val="1"/>
        <scheme val="major"/>
      </rPr>
      <t>shower arm with over head rose</t>
    </r>
    <r>
      <rPr>
        <sz val="50"/>
        <rFont val="Cambria"/>
        <family val="1"/>
        <scheme val="major"/>
      </rPr>
      <t xml:space="preserve"> including cost of all materials and all labour charges etc. complete  
</t>
    </r>
    <r>
      <rPr>
        <b/>
        <sz val="50"/>
        <rFont val="Cambria"/>
        <family val="1"/>
        <scheme val="major"/>
      </rPr>
      <t>PWD SR P-53/2023-24</t>
    </r>
  </si>
  <si>
    <r>
      <t xml:space="preserve">Supplying and fixing of </t>
    </r>
    <r>
      <rPr>
        <b/>
        <sz val="50"/>
        <rFont val="Cambria"/>
        <family val="1"/>
        <scheme val="major"/>
      </rPr>
      <t>CP</t>
    </r>
    <r>
      <rPr>
        <sz val="50"/>
        <rFont val="Cambria"/>
        <family val="1"/>
        <scheme val="major"/>
      </rPr>
      <t xml:space="preserve"> </t>
    </r>
    <r>
      <rPr>
        <b/>
        <sz val="50"/>
        <rFont val="Cambria"/>
        <family val="1"/>
        <scheme val="major"/>
      </rPr>
      <t>Angle valve Stop cock</t>
    </r>
    <r>
      <rPr>
        <sz val="50"/>
        <rFont val="Cambria"/>
        <family val="1"/>
        <scheme val="major"/>
      </rPr>
      <t xml:space="preserve">  including cost of all materials and all labour charges etc complete  </t>
    </r>
    <r>
      <rPr>
        <b/>
        <sz val="50"/>
        <rFont val="Cambria"/>
        <family val="1"/>
        <scheme val="major"/>
      </rPr>
      <t>Qtn</t>
    </r>
  </si>
  <si>
    <r>
      <t xml:space="preserve">Supplying and fixing of  </t>
    </r>
    <r>
      <rPr>
        <b/>
        <sz val="50"/>
        <rFont val="Cambria"/>
        <family val="1"/>
        <scheme val="major"/>
      </rPr>
      <t>SS Soap Tray</t>
    </r>
    <r>
      <rPr>
        <sz val="50"/>
        <rFont val="Cambria"/>
        <family val="1"/>
        <scheme val="major"/>
      </rPr>
      <t xml:space="preserve">  including cost of all materials and all labour charges etc complete  </t>
    </r>
    <r>
      <rPr>
        <b/>
        <sz val="50"/>
        <rFont val="Cambria"/>
        <family val="1"/>
        <scheme val="major"/>
      </rPr>
      <t>Qtn</t>
    </r>
  </si>
  <si>
    <t>EARTH WORK EXCAVATION  for SDR</t>
  </si>
  <si>
    <t>EARTH WORK EXCAVATION  for open foundationEXCLUDING REFILLING</t>
  </si>
  <si>
    <t>RATE PER CUM EXCLUDING REFILLING
IN SDR (OPEN FOUNDATION)</t>
  </si>
  <si>
    <t>BASEMENT  WITH  FILLING SAND</t>
  </si>
  <si>
    <t>CEMENT CONCRETE PCC (1:2:4) USING</t>
  </si>
  <si>
    <t xml:space="preserve">PROVIDING BITUMEN PAD FOR EXPANISION </t>
  </si>
  <si>
    <t xml:space="preserve"> 20mm Thick slab:- For kitchen arrangements only</t>
  </si>
  <si>
    <t>Supplying and fixing 4mm thick pin</t>
  </si>
  <si>
    <t>OF 10mm&amp;BELOW (ELLISPATTERN)</t>
  </si>
  <si>
    <t>WEATHERING COURSE WITH BRICK</t>
  </si>
  <si>
    <r>
      <t xml:space="preserve">Supplying and applying of two coats of putty of 3mm thick over the exposed RCC Surface of ceiling including finishing the joints smoothly with grinding machine and the surface shall be thoroughly cleaned out of dust and scrubbing. The surface shall then be allowed to dry for atleast 48hours. It shall then be sand papered (water proof abrasive sheet) to give a smooth and even surface. Any unevenness shall be made good by applying 1st coat of putty mixed with water on the entire surface including filling up the undulations and applying 2nd coat of putty after 6 hours of 1st coat of putty and then sand papering (water proof abrasive sheet) the same after it is dry and finishing the surface smoothly, etc., complete cmplying with standard specifications and as directed by the departmental officers.(The rates are inclusive of hire charges for grinding machine with wheel, cost of sand paper (water proof abrasive sheet) cost of putty area to level the surface smooth etc complete). The putty should be got approved by the Executive Engineer before use on work. </t>
    </r>
    <r>
      <rPr>
        <b/>
        <sz val="15"/>
        <rFont val="Times New Roman"/>
        <family val="1"/>
      </rPr>
      <t>PWD DATA 2023-24</t>
    </r>
  </si>
  <si>
    <t>ANTI-CORROSIVE(COROLOK-CP ( qtn)</t>
  </si>
  <si>
    <t>SUPPLY AND FIXING ALUMINUM TOWEL RAIL OF</t>
  </si>
  <si>
    <t>SUPPLING AND FIXING COAT STAND</t>
  </si>
  <si>
    <t>SUPPLING AND FIXING OF PICTURE HOOKS</t>
  </si>
  <si>
    <t>Slabs of 50mm thick (precast slab 50mm Thick)</t>
  </si>
  <si>
    <t>KERB STONE 450x300x150mm</t>
  </si>
  <si>
    <t>Painting / lettering charges qtn</t>
  </si>
  <si>
    <t>WASHBASIN 22"X16" INCLUDING</t>
  </si>
  <si>
    <t>Wash Hand Basin of size 550 x 400 mm with all accessories such as CI brackets, 32mm dia CP waste coupling, Rubber pug and chain, 32mm dia B class GI waste pipe, 15mm dia brass nipples. 15mm CP pillar tap etc.,   M-0544</t>
  </si>
  <si>
    <t>deduct rate for 15mm dia GM wheel valve   M-0507</t>
  </si>
  <si>
    <t>CI MANHOLE COVER 60CMX60CMX50KG    M-0640</t>
  </si>
  <si>
    <t>Supplying and concealing TV/Telephone socket with top pin with suitable TW box fully concealed and covered with 3 mm thick Hylem sheet etc., all complete.</t>
  </si>
  <si>
    <t>Supplying and fixing 1 No of 450 x 375 x 20 m   thick TW plank well varnished with 3 No 30 amps 500 volts fuse unit and 1 No of copper earth plate of suitable size bolts and nuta on walls for EB service connections including cost of all materials, etc., all complete.</t>
  </si>
  <si>
    <t>20mm HBG Machine crushed stone jelly    (7730 Kg)</t>
  </si>
  <si>
    <t>10-12mm HBG Machine crushed stone jelly    (5156 Kg)</t>
  </si>
  <si>
    <t>Sand    (7670 Kg)</t>
  </si>
  <si>
    <t>BASEMENT  WITH  FILLING GRAVEL</t>
  </si>
  <si>
    <t>WASHBASIN (White Pedastal type)  22"X16" INCLUDING</t>
  </si>
  <si>
    <t xml:space="preserve">110MM DIA OF PVC SWR PIPE INCLUDING </t>
  </si>
  <si>
    <t xml:space="preserve">75MM DIA OF PVC SWR PIPE INCLUDING </t>
  </si>
  <si>
    <t>Clamp fixing by cheche screws bolts and nuts including connections ( as per SD-114, Elec Data 2022-23)</t>
  </si>
  <si>
    <t>PAINTING TWO COATS OVER NEW             (as per CER-112/2007-08)</t>
  </si>
  <si>
    <t>Exterior Emulsion PAINT</t>
  </si>
  <si>
    <r>
      <t xml:space="preserve">Supply and fixing of APP membrance </t>
    </r>
    <r>
      <rPr>
        <b/>
        <sz val="50"/>
        <rFont val="Cambria"/>
        <family val="1"/>
        <scheme val="major"/>
      </rPr>
      <t>Approved rate</t>
    </r>
  </si>
  <si>
    <t>Providing wooden MELAMEN DOOR POLISH</t>
  </si>
  <si>
    <t>TOTAL FOR 5.67 SQM</t>
  </si>
  <si>
    <t>COST OF Vertified TILES  qtn</t>
  </si>
  <si>
    <t>COST OF Eurocon TILES (pwd -p 35/17</t>
  </si>
  <si>
    <t>Supervision Charges @ 5%</t>
  </si>
  <si>
    <t>unforeseen, Contingencies &amp; PS charges @ 1%</t>
  </si>
  <si>
    <t>a. 110 mm dia PVC bend (TWAD SR P-27/2022-23 )</t>
  </si>
  <si>
    <t>a. 110 mm dia PVC Equal tee (TWAD SR P-19/2022-23 )</t>
  </si>
  <si>
    <t>SUPPLY AND FIXING OF E.W.C.   18" SIZE (WHITE)</t>
  </si>
  <si>
    <t>DOWN FALL PIPE    Type- A  SWR pipe</t>
  </si>
  <si>
    <r>
      <t xml:space="preserve">Wiring with 1.5 sqmm PVC insulated single core multi strand fire retardant  flexible copper cable with ISI mark confirming to ISI 694/1990, 1.1 KV grade cable with continuous earth by means of 1.5 sqmm PVC insulated single core multi strand fire retardant flexible copper cable with ISI mark confirming to IS:694/1990, 1.1 KV grade cable in fully concealed PVC rigid conduit pipe heavy duty with ISI mark with suitable size MS box of 16g thick concealed and covered with 3mm hylem sheet controlled by 5 amps flush type switch including circuit mains cost of all materials, specials etc., all complete </t>
    </r>
    <r>
      <rPr>
        <b/>
        <sz val="15"/>
        <rFont val="Times New Roman"/>
        <family val="1"/>
      </rPr>
      <t>(Coastal area)</t>
    </r>
  </si>
  <si>
    <t>Supply and fixing of 12 watts  LED bulb  Approved rate</t>
  </si>
  <si>
    <r>
      <t xml:space="preserve">a)12W Bulb </t>
    </r>
    <r>
      <rPr>
        <b/>
        <sz val="15"/>
        <rFont val="Times New Roman"/>
        <family val="1"/>
      </rPr>
      <t>Approved rate</t>
    </r>
  </si>
  <si>
    <r>
      <t xml:space="preserve">Supply and fixing of APP membrance </t>
    </r>
    <r>
      <rPr>
        <b/>
        <sz val="15"/>
        <rFont val="Times New Roman"/>
        <family val="1"/>
      </rPr>
      <t>Approved rate</t>
    </r>
  </si>
  <si>
    <t>Supplying and fixing of 100 amps triple pole main switch with fuse and neutral link on a suitable well varnished teak wood board including necessary interconnection and earth connection cost of all materials, etc., all complete.</t>
  </si>
  <si>
    <t>100 Amps triple pole main switch with fuse and neutral link  SR-P-125</t>
  </si>
  <si>
    <r>
      <t xml:space="preserve">Supply, delivery &amp; fixing of </t>
    </r>
    <r>
      <rPr>
        <b/>
        <sz val="50"/>
        <rFont val="Cambria"/>
        <family val="1"/>
        <scheme val="major"/>
      </rPr>
      <t xml:space="preserve">Split type Air conditioner 1.5 Ton with 5KVA Capcity automatic votage stablizer </t>
    </r>
    <r>
      <rPr>
        <sz val="50"/>
        <rFont val="Cambria"/>
        <family val="1"/>
        <scheme val="major"/>
      </rPr>
      <t>, 2HW, 180A, 3 Star with 10 feet of copper tube  Etc., with 20mm dia pvc pipe 5m long etc., all complete and as directed by the Departmental Officer  ((As per PWD SR Pg.153 &amp; 154 / 2023 -24 )</t>
    </r>
  </si>
  <si>
    <t/>
  </si>
  <si>
    <t>Mason IInd class</t>
  </si>
  <si>
    <t>A 300x200x75 mm=0.135m2</t>
  </si>
  <si>
    <t>Supplying and fixing of 15 Amps 3 pin flush type plug socket on suitable MS box of 16g thick concealed and covered with 3 mm thick laminated hylem sheet inclusive of all materials, etc., all complete.</t>
  </si>
  <si>
    <t>Supplying and fixing of 6 way Distribution board including 2 Nos of 16 amps MCB, 2 Nos 10 amps and 5 Nos 6 amps  40 amps ELCB four pole, rotary switch - 3 Nos, Indicator - 3 Nos, including all materials and labour charges etc, supplying and fixing in position of wall making good of the concealed portion with earth connection etc., all complete and as directed by the departmental officers. O.DATA</t>
  </si>
  <si>
    <r>
      <t xml:space="preserve">Supply and fixing of 20 Amps DP plug and socket in sheet enclosure with 32 A DP MCB  in Flush with wall with earth connection ( For AC Plug ) Legrand ( MDS) / Hager( L&amp; T) Equivalent/ Superior variety  
</t>
    </r>
    <r>
      <rPr>
        <b/>
        <sz val="50"/>
        <rFont val="Cambria"/>
        <family val="1"/>
        <scheme val="major"/>
      </rPr>
      <t>Ele SD -140 /2023-24</t>
    </r>
  </si>
  <si>
    <t xml:space="preserve">ONE COAT OF WALL PATTY  </t>
  </si>
  <si>
    <t>Supplying and fixing 3 No 100 Amps 500 volts grade/ well porcelin fuse unit on suitable teak wood plank to be fixed on the top of the  pole / EB street poles with necessary clamps and including cost of materials etc., all complete.</t>
  </si>
  <si>
    <t>Supplying and fixing 3 No 100 Amps 500 volts grade/ well porcelin fuse unit on suitable teak wood plank. Etc all  complete and as directed by the departmental officers</t>
  </si>
  <si>
    <t>100 Amps 500 V fuse units P-120 6-b</t>
  </si>
  <si>
    <r>
      <t xml:space="preserve">Supply, delivery &amp; fixing of </t>
    </r>
    <r>
      <rPr>
        <b/>
        <sz val="15"/>
        <rFont val="Times New Roman"/>
        <family val="1"/>
      </rPr>
      <t>Split type Air conditioner 2 Ton (5 Star) with 5KVA Capcity automatic votage stablizer</t>
    </r>
    <r>
      <rPr>
        <sz val="15"/>
        <rFont val="Times New Roman"/>
        <family val="1"/>
      </rPr>
      <t xml:space="preserve"> , 2HW, 180A, 3 Star with 10 feet of copper tube  Etc., with 20mm dia pvc pipe 5m long etc., all complete and as directed by the Departmental Officer     ( 56370+4940)                                                                      </t>
    </r>
    <r>
      <rPr>
        <b/>
        <sz val="15"/>
        <rFont val="Times New Roman"/>
        <family val="1"/>
      </rPr>
      <t>(As per PWD SR Pg.153 &amp; 154 / 2023 -24 )</t>
    </r>
  </si>
  <si>
    <t>Certified that the above observed data has been prepared based on the site condition as per the actual requirement and all are correct to the best of my knowledge.</t>
  </si>
  <si>
    <r>
      <t xml:space="preserve">Supplying, laying, fixing and jointing the following ASTM/PVC pipes suitable for plumbing by threading of wall thickness including the cost of suitable UPVC/GI specials/GM specials like elbow, Tee, reducers, plug, union, bends, coupler, nipple/GM gate valve check and wheel valve etc., wherever required above the ground level including the cost of teflon tap etc., fully concealed in walls to the proper gradient and alignment and redoing the chipper portion of masonry etc., all complete and as directed by the departmental officers. c) </t>
    </r>
    <r>
      <rPr>
        <b/>
        <sz val="15"/>
        <rFont val="Times New Roman"/>
        <family val="1"/>
      </rPr>
      <t>20mm dia Pipe</t>
    </r>
  </si>
  <si>
    <r>
      <t xml:space="preserve">Supplying and fixing UPVC (Un-Plasticized Polyvinyl Chloride) Windows of casement type (open) from the profile the size of outer frame 60mm x 58mm and shutter profile are reinforcement with GI/1mm 125GSM and 100% corrosion free, the profiles are multi chambered sections with wall thick of 2mm. The EPDM rubber (black colour) covered with over all the edges of frame and shutter the shutter will be provided with Espag multi power point locks and also it operates as handle. The corners and joints should be welded and cleaned. Radiations free pin headed plain or brown colour glass 4mm thick should be provided to the shutter and it should not allow leakage of water even at most ranging storms and should have key lockable action, security protective hinges, strong locking systems and as per size for arresting noise and energy loss. The connecting mechanism between sash and outer frame that enables opening of the window. The window should be fixed to the wall with 100% packing with screws and silicon packing all round the frames. The window should be got approved from the Executive Engineer before use on work </t>
    </r>
    <r>
      <rPr>
        <b/>
        <sz val="13"/>
        <rFont val="Times New Roman"/>
        <family val="1"/>
      </rPr>
      <t>PWD SR 2023-24/p-70</t>
    </r>
  </si>
  <si>
    <t xml:space="preserve">                JE/AE                                      AEE/CDL                                            EE/SLM</t>
  </si>
  <si>
    <t xml:space="preserve">b. 300mm x 300mm </t>
  </si>
  <si>
    <t>DSP Office toilet GB2</t>
  </si>
  <si>
    <t>DSP Office toilet &amp; common GB2A</t>
  </si>
  <si>
    <t xml:space="preserve">camp office front &amp; rear GB </t>
  </si>
  <si>
    <t>Name of work: Construction of DSP camp office cum Residence with development works at Cuddalore New town in Cuddalore District</t>
  </si>
  <si>
    <t>Cement Concrete Road</t>
  </si>
  <si>
    <r>
      <t>DETAILED</t>
    </r>
    <r>
      <rPr>
        <b/>
        <sz val="13"/>
        <rFont val="Times New Roman"/>
        <family val="1"/>
      </rPr>
      <t xml:space="preserve">   </t>
    </r>
    <r>
      <rPr>
        <b/>
        <u/>
        <sz val="13"/>
        <rFont val="Times New Roman"/>
        <family val="1"/>
      </rPr>
      <t>ESTIMATE</t>
    </r>
  </si>
  <si>
    <t>S.No</t>
  </si>
  <si>
    <t>Description of work</t>
  </si>
  <si>
    <r>
      <rPr>
        <b/>
        <sz val="13"/>
        <rFont val="Times New Roman"/>
        <family val="1"/>
      </rPr>
      <t xml:space="preserve">Earth work excavation for Open Foundation in all soils and sub-soils </t>
    </r>
    <r>
      <rPr>
        <sz val="13"/>
        <rFont val="Times New Roman"/>
        <family val="1"/>
      </rPr>
      <t>to the required depth.</t>
    </r>
  </si>
  <si>
    <t>Front side</t>
  </si>
  <si>
    <t>Splay</t>
  </si>
  <si>
    <t xml:space="preserve">Supplying and filling in foundation and basement with filling CS sand </t>
  </si>
  <si>
    <r>
      <rPr>
        <b/>
        <sz val="13"/>
        <rFont val="Times New Roman"/>
        <family val="1"/>
      </rPr>
      <t>CC 1:5:10</t>
    </r>
    <r>
      <rPr>
        <sz val="13"/>
        <rFont val="Times New Roman"/>
        <family val="1"/>
      </rPr>
      <t xml:space="preserve"> (One of cement, five of sand and ten of hard broken stone Jelly) for foundation using 40 mm gauge broken stone jelly.</t>
    </r>
  </si>
  <si>
    <r>
      <rPr>
        <b/>
        <sz val="13"/>
        <rFont val="Times New Roman"/>
        <family val="1"/>
      </rPr>
      <t>Plain cement concrete 1:2:4</t>
    </r>
    <r>
      <rPr>
        <sz val="13"/>
        <rFont val="Times New Roman"/>
        <family val="1"/>
      </rPr>
      <t xml:space="preserve"> (One of cement two of sand and four of HBS jelly) for foundation.</t>
    </r>
  </si>
  <si>
    <r>
      <t xml:space="preserve">Supplying and fixing of 20mm thick </t>
    </r>
    <r>
      <rPr>
        <b/>
        <sz val="13"/>
        <rFont val="Times New Roman"/>
        <family val="1"/>
      </rPr>
      <t>bituminous expansion joint filler pad.</t>
    </r>
  </si>
  <si>
    <t>for Front side</t>
  </si>
  <si>
    <r>
      <rPr>
        <b/>
        <sz val="13"/>
        <rFont val="Times New Roman"/>
        <family val="1"/>
      </rPr>
      <t>Painting the new Iron work</t>
    </r>
    <r>
      <rPr>
        <sz val="13"/>
        <rFont val="Times New Roman"/>
        <family val="1"/>
      </rPr>
      <t xml:space="preserve"> </t>
    </r>
  </si>
  <si>
    <t>Bell mouth</t>
  </si>
  <si>
    <r>
      <rPr>
        <b/>
        <sz val="13"/>
        <rFont val="Times New Roman"/>
        <family val="1"/>
      </rPr>
      <t>Supplying and fixing of pre-cast kerb stone</t>
    </r>
    <r>
      <rPr>
        <sz val="13"/>
        <rFont val="Times New Roman"/>
        <family val="1"/>
      </rPr>
      <t xml:space="preserve"> of size 450x300x150mm made in CC 1:3:6 </t>
    </r>
  </si>
  <si>
    <t xml:space="preserve">               JE/AE                                             AEE/CDL                                           EE/Salem</t>
  </si>
  <si>
    <t xml:space="preserve">DESCRIPTION </t>
  </si>
  <si>
    <r>
      <t xml:space="preserve">Earth work excavation in all soils </t>
    </r>
    <r>
      <rPr>
        <b/>
        <sz val="13"/>
        <rFont val="Times New Roman"/>
        <family val="1"/>
      </rPr>
      <t>(including refilling)</t>
    </r>
  </si>
  <si>
    <t>a.) 0m to 2m depth</t>
  </si>
  <si>
    <t xml:space="preserve">For plinth protection around the building </t>
  </si>
  <si>
    <r>
      <t>M</t>
    </r>
    <r>
      <rPr>
        <b/>
        <vertAlign val="superscript"/>
        <sz val="10"/>
        <rFont val="Times New Roman"/>
        <family val="1"/>
      </rPr>
      <t>3</t>
    </r>
    <r>
      <rPr>
        <sz val="12"/>
        <rFont val="Helv"/>
      </rPr>
      <t/>
    </r>
  </si>
  <si>
    <t xml:space="preserve">Sand filling.  For plinth protection around the building </t>
  </si>
  <si>
    <t>For inner</t>
  </si>
  <si>
    <t>For wall</t>
  </si>
  <si>
    <t xml:space="preserve">Plain Cement concrete 1:5:10(One of Cement and five of sand and Ten of aggregate). For plinth protection around building </t>
  </si>
  <si>
    <t>B.W in C.M 1:5 for foundation &amp; basement</t>
  </si>
  <si>
    <t>Inner alround</t>
  </si>
  <si>
    <t>Pillars</t>
  </si>
  <si>
    <r>
      <t>Brick work in C.M. 1:4 (F&amp; B)</t>
    </r>
    <r>
      <rPr>
        <sz val="13"/>
        <rFont val="Times New Roman"/>
        <family val="1"/>
      </rPr>
      <t xml:space="preserve"> using Kiln Burnt Country bricks of size 22 x 11 x 7 cm (8 3/4" x 4 1/4" x 2 3/4") 110mm tk (B.P.)   For plinth protection around the building </t>
    </r>
  </si>
  <si>
    <r>
      <t>M</t>
    </r>
    <r>
      <rPr>
        <b/>
        <vertAlign val="superscript"/>
        <sz val="10"/>
        <rFont val="Times New Roman"/>
        <family val="1"/>
      </rPr>
      <t>2</t>
    </r>
  </si>
  <si>
    <t>Plastering in C.M 1:5, 12mm tk. Outer portion of the wall air</t>
  </si>
  <si>
    <t>Providing Precast slab 50mm tk.in C.C 1:3:6 with fibre.  For plinth protection around the building</t>
  </si>
  <si>
    <r>
      <t xml:space="preserve">             </t>
    </r>
    <r>
      <rPr>
        <b/>
        <sz val="13"/>
        <rFont val="Times New Roman"/>
        <family val="1"/>
      </rPr>
      <t>JE/AE                                             AEE/CDL                                         EE/Salem</t>
    </r>
  </si>
  <si>
    <t>SULLAGE &amp; STORM WATER DRAIN</t>
  </si>
  <si>
    <t>DETAILED ESTIMATE</t>
  </si>
  <si>
    <t>Description of Work</t>
  </si>
  <si>
    <t>Measurement</t>
  </si>
  <si>
    <t>Earth work for foundation in all soils and subsoils for open foundation  (Including refilling)</t>
  </si>
  <si>
    <t>Storm water drain</t>
  </si>
  <si>
    <t>Sullage drain</t>
  </si>
  <si>
    <r>
      <t>M</t>
    </r>
    <r>
      <rPr>
        <vertAlign val="superscript"/>
        <sz val="11"/>
        <rFont val="Times New Roman"/>
        <family val="1"/>
      </rPr>
      <t>3</t>
    </r>
  </si>
  <si>
    <t>FILLING SAND</t>
  </si>
  <si>
    <t>Plain CC 1:5:10 for foundation and basement using 40mm HBGS metal</t>
  </si>
  <si>
    <r>
      <t>Brick work in C.M. 1:5 (F&amp; B)</t>
    </r>
    <r>
      <rPr>
        <sz val="14"/>
        <rFont val="Times New Roman"/>
        <family val="1"/>
      </rPr>
      <t xml:space="preserve"> using Kiln Burnt Country bricks of size 22 x 11 x 7 cm</t>
    </r>
  </si>
  <si>
    <t>Storm water</t>
  </si>
  <si>
    <t>Pillers</t>
  </si>
  <si>
    <t>Brick partition work in C.M. 1:4 Kiln Burnt Country bricks of size 22 x 11 x 7 cm (8 3/4" x 4 1/4" x 2 3/4") 110 mm tk (B.P.)</t>
  </si>
  <si>
    <t>for drain</t>
  </si>
  <si>
    <r>
      <t>M</t>
    </r>
    <r>
      <rPr>
        <vertAlign val="superscript"/>
        <sz val="11"/>
        <rFont val="Times New Roman"/>
        <family val="1"/>
      </rPr>
      <t>2</t>
    </r>
  </si>
  <si>
    <t xml:space="preserve">Plastering in CM 1:4, 20mm thick </t>
  </si>
  <si>
    <t xml:space="preserve">Plastering in CM 1:4, 12mm thick </t>
  </si>
  <si>
    <t>Plastering in CM 1:5, 12mm thick</t>
  </si>
  <si>
    <t>pillers</t>
  </si>
  <si>
    <t xml:space="preserve">          JE/AE                                          AEE/CDL                                           EE/Salem</t>
  </si>
  <si>
    <t>OHT (Over Head Tank)</t>
  </si>
  <si>
    <t xml:space="preserve">M - 30 grade concrete for all RCC works using 20mm HBS jelly </t>
  </si>
  <si>
    <t>c.) In second floor</t>
  </si>
  <si>
    <t>Tank column</t>
  </si>
  <si>
    <t>Beam B1</t>
  </si>
  <si>
    <t>Beam B2</t>
  </si>
  <si>
    <t>Slab</t>
  </si>
  <si>
    <t>Plastering 1 : 3 12 mm tk mixed with WPC</t>
  </si>
  <si>
    <t xml:space="preserve">Form work MS sheet </t>
  </si>
  <si>
    <t>b) plain surfaces</t>
  </si>
  <si>
    <t>c) Square and rectangular columns</t>
  </si>
  <si>
    <t>Plastering in CM 1:5 -12mm thick</t>
  </si>
  <si>
    <t>Painting with exterior emulsion</t>
  </si>
  <si>
    <t>As per plastering qty</t>
  </si>
  <si>
    <t>Ellispattern flooring</t>
  </si>
  <si>
    <t>Slab top</t>
  </si>
  <si>
    <t>Supplying and Fabricating placing position of MS / RTS steel</t>
  </si>
  <si>
    <t>Kg/cum</t>
  </si>
  <si>
    <t>As per Qty item no. 8.1</t>
  </si>
  <si>
    <t>Anticorrosive treatment</t>
  </si>
  <si>
    <t>As per steel Qty</t>
  </si>
  <si>
    <t>For slab</t>
  </si>
  <si>
    <t>Supply and erection of Rotational Moulded Polyethylene water storage tanks (HDPE Cylindrical vertical type) for outdoor use having the following capacity of  litres (excluding free board)  of approved brand (superior variety) with ISI Mark (marked with tank itself) with top  lid with provisions of  locking including necessary  specials and fittings for storing potable water and for storing potable water and manufactured with material which do not import any taste / odour  / any toxic effect and not to contaminate etc with carbon block content   and   dispersion   in   accordance  with relevant I.S. specification and as directed by the departmental officers etc. complete. (The tank should be got approved from the E.E. before use) PWD SR P-54/2023-24</t>
  </si>
  <si>
    <t xml:space="preserve">           JE/AE                                                    AEE/CDL                                                EE/Salem</t>
  </si>
  <si>
    <t xml:space="preserve">R.C.C Circular Sump </t>
  </si>
  <si>
    <t>Detailed estimate</t>
  </si>
  <si>
    <t>Earth work excavation in all soils for open foundation (Excluding refilling)</t>
  </si>
  <si>
    <t>a.) 0 to 2m depth</t>
  </si>
  <si>
    <r>
      <t>For sump (3.14/4 (4.45</t>
    </r>
    <r>
      <rPr>
        <vertAlign val="superscript"/>
        <sz val="14"/>
        <rFont val="Times New Roman"/>
        <family val="1"/>
      </rPr>
      <t xml:space="preserve">2 </t>
    </r>
    <r>
      <rPr>
        <sz val="14"/>
        <rFont val="Times New Roman"/>
        <family val="1"/>
      </rPr>
      <t>) x 2)</t>
    </r>
  </si>
  <si>
    <t xml:space="preserve">Supplying &amp; Filling in foundation &amp; basement with filling sand </t>
  </si>
  <si>
    <r>
      <t>For sump (3.14/4 (4.45</t>
    </r>
    <r>
      <rPr>
        <vertAlign val="superscript"/>
        <sz val="14"/>
        <rFont val="Times New Roman"/>
        <family val="1"/>
      </rPr>
      <t>2</t>
    </r>
    <r>
      <rPr>
        <sz val="14"/>
        <rFont val="Times New Roman"/>
        <family val="1"/>
      </rPr>
      <t>) x 0.15)</t>
    </r>
  </si>
  <si>
    <t>Plain Cement concrete 1:5:10 for foundation</t>
  </si>
  <si>
    <t>Platering in CM 1:5-12MM TK</t>
  </si>
  <si>
    <t>Sump outer</t>
  </si>
  <si>
    <t>Sump inner</t>
  </si>
  <si>
    <t>Emulsion painting</t>
  </si>
  <si>
    <t>M 30 grade concrete for foundation</t>
  </si>
  <si>
    <r>
      <t>For sump base slab (3.14/4 (2.95</t>
    </r>
    <r>
      <rPr>
        <vertAlign val="superscript"/>
        <sz val="14"/>
        <rFont val="Times New Roman"/>
        <family val="1"/>
      </rPr>
      <t>2</t>
    </r>
    <r>
      <rPr>
        <sz val="14"/>
        <rFont val="Times New Roman"/>
        <family val="1"/>
      </rPr>
      <t>) x 0.23)</t>
    </r>
  </si>
  <si>
    <r>
      <t>For sump cover slab (3.14/4 (2.35</t>
    </r>
    <r>
      <rPr>
        <vertAlign val="superscript"/>
        <sz val="14"/>
        <rFont val="Times New Roman"/>
        <family val="1"/>
      </rPr>
      <t>2</t>
    </r>
    <r>
      <rPr>
        <sz val="14"/>
        <rFont val="Times New Roman"/>
        <family val="1"/>
      </rPr>
      <t>) x 0.15)</t>
    </r>
  </si>
  <si>
    <t xml:space="preserve">D/f  Man hole </t>
  </si>
  <si>
    <t>Outer wall</t>
  </si>
  <si>
    <t>For haunch</t>
  </si>
  <si>
    <t>Supply &amp; fixing of CI man hole cover slab of size 60 x 60cm, 50kg / each etc., all complete</t>
  </si>
  <si>
    <t>CI man hole cover</t>
  </si>
  <si>
    <t>Form work &amp; centering of RCC works</t>
  </si>
  <si>
    <t>b.)</t>
  </si>
  <si>
    <t xml:space="preserve">For plain surfaces </t>
  </si>
  <si>
    <r>
      <t>Sump cover slab bott  (3.14 x (1.0</t>
    </r>
    <r>
      <rPr>
        <vertAlign val="superscript"/>
        <sz val="14"/>
        <rFont val="Times New Roman"/>
        <family val="1"/>
      </rPr>
      <t>2</t>
    </r>
    <r>
      <rPr>
        <sz val="14"/>
        <rFont val="Times New Roman"/>
        <family val="1"/>
      </rPr>
      <t>)</t>
    </r>
  </si>
  <si>
    <t>sump cover slab outer side alround(3.14x (2.35)</t>
  </si>
  <si>
    <t>Man hole side</t>
  </si>
  <si>
    <t xml:space="preserve">D/F man hole </t>
  </si>
  <si>
    <t>f.)</t>
  </si>
  <si>
    <t>For curved surface  etc.,</t>
  </si>
  <si>
    <t>Base slab side alround</t>
  </si>
  <si>
    <t>Supplying &amp; fabrication &amp; placing in position of MS RTS rods etc.,</t>
  </si>
  <si>
    <r>
      <t>Kg/M</t>
    </r>
    <r>
      <rPr>
        <vertAlign val="superscript"/>
        <sz val="14"/>
        <rFont val="Times New Roman"/>
        <family val="1"/>
      </rPr>
      <t>3</t>
    </r>
  </si>
  <si>
    <t>As per concrete qty</t>
  </si>
  <si>
    <t>Qty as per item no.43.1</t>
  </si>
  <si>
    <t xml:space="preserve">                     JE/AE                                        AEE/CDL                                        EE/SLM</t>
  </si>
  <si>
    <t xml:space="preserve">    ,,                ,,</t>
  </si>
  <si>
    <t>Hanch rod 10#</t>
  </si>
  <si>
    <t>Inner wall main rod 12#</t>
  </si>
  <si>
    <t>Dist 8#</t>
  </si>
  <si>
    <t>Over lab 8#</t>
  </si>
  <si>
    <t>outer wall main rod 12#</t>
  </si>
  <si>
    <t>inner wall 2 sides main rod 12#</t>
  </si>
  <si>
    <t>Base slab chair 10#</t>
  </si>
  <si>
    <t>Wall chair rod 10#</t>
  </si>
  <si>
    <t>Sump Cover slab Top &amp; bott matt rod 10#</t>
  </si>
  <si>
    <t>CB T&amp;B 12#</t>
  </si>
  <si>
    <t>Stiru 8#</t>
  </si>
  <si>
    <t xml:space="preserve">Pump Room  roof slab 10# </t>
  </si>
  <si>
    <t>S/S  8#</t>
  </si>
  <si>
    <t>L/S 8#</t>
  </si>
  <si>
    <t>Hanch rod L/S 8#</t>
  </si>
  <si>
    <t>Top extra 8#</t>
  </si>
  <si>
    <t>Chair road 12#</t>
  </si>
  <si>
    <t>Lintel 12# T&amp;B</t>
  </si>
  <si>
    <t>Stru 8#</t>
  </si>
  <si>
    <t>sunshade wall stri 8#</t>
  </si>
  <si>
    <t>S.                               No</t>
  </si>
  <si>
    <t xml:space="preserve">Description of work </t>
  </si>
  <si>
    <t>Measurements</t>
  </si>
  <si>
    <r>
      <rPr>
        <b/>
        <sz val="14"/>
        <color indexed="8"/>
        <rFont val="Times New Roman"/>
        <family val="1"/>
      </rPr>
      <t xml:space="preserve">Supplying and laying of 3.5 core 50 sqmm </t>
    </r>
    <r>
      <rPr>
        <sz val="14"/>
        <color indexed="8"/>
        <rFont val="Times New Roman"/>
        <family val="1"/>
      </rPr>
      <t>LT UG Cable from meter board to fornt of the block and  EB pole top for EB service connection etc..,</t>
    </r>
  </si>
  <si>
    <t>From EB Pole to meter board</t>
  </si>
  <si>
    <t>Supplying and providing cable end termination of following sizes of XLPE armoured LTUG cable, including labour charges etc all   complete and as directed by the departmental officers</t>
  </si>
  <si>
    <t>pno: 84 pwd</t>
  </si>
  <si>
    <t xml:space="preserve">3.5core 50sqmm LTUG cable </t>
  </si>
  <si>
    <t xml:space="preserve">Supply &amp; fixing of cable gland suitable for following PVC armoured LTUG cable etc., complete </t>
  </si>
  <si>
    <t>pno: 79 pwd</t>
  </si>
  <si>
    <r>
      <t>Supplying and laying of following GI pipe B class with ISI mark for  including cost of clamping and labour charges, fixing G I pipes, GI specials etc all complete.</t>
    </r>
    <r>
      <rPr>
        <b/>
        <sz val="14"/>
        <rFont val="Times New Roman"/>
        <family val="1"/>
      </rPr>
      <t>(Above Ground Level)</t>
    </r>
  </si>
  <si>
    <t>For EB Pole</t>
  </si>
  <si>
    <t>Above GL to EB meter</t>
  </si>
  <si>
    <r>
      <t>Supplying and laying of following GI pipe B class with ISI mark for  including cost of clamping and labour charges, fixing G I pipes, GI specials etc all complete.</t>
    </r>
    <r>
      <rPr>
        <b/>
        <sz val="14"/>
        <rFont val="Times New Roman"/>
        <family val="1"/>
      </rPr>
      <t>(Below Ground Level)</t>
    </r>
  </si>
  <si>
    <t>For UG cable</t>
  </si>
  <si>
    <t>For road crossing main building</t>
  </si>
  <si>
    <t>For Genset</t>
  </si>
  <si>
    <t>Supply &amp; fixing of 80 mm dia GI bend of approved quality</t>
  </si>
  <si>
    <t>GI bend</t>
  </si>
  <si>
    <t>Supply MS clamps using mild steel flats of suitable for fixing the GI pipe with EB pole with MS flat and required bolt &amp; nuts</t>
  </si>
  <si>
    <t>MS clamps</t>
  </si>
  <si>
    <t>x</t>
  </si>
  <si>
    <t>kg/no</t>
  </si>
  <si>
    <r>
      <t xml:space="preserve">Supplying and fixing </t>
    </r>
    <r>
      <rPr>
        <b/>
        <sz val="14"/>
        <color indexed="8"/>
        <rFont val="Times New Roman"/>
        <family val="1"/>
      </rPr>
      <t>3 No 100 Amps 500 volts grade/ well porcelin fuse unit</t>
    </r>
    <r>
      <rPr>
        <sz val="14"/>
        <color indexed="8"/>
        <rFont val="Times New Roman"/>
        <family val="1"/>
      </rPr>
      <t xml:space="preserve"> on suitable teak wood plank to be fixed on the top of the  pole / EB street poles with necessary clamps and including cost of materials etc., all complete.</t>
    </r>
  </si>
  <si>
    <t>63 Amps fuse carrier</t>
  </si>
  <si>
    <r>
      <rPr>
        <b/>
        <sz val="14"/>
        <color indexed="8"/>
        <rFont val="Times New Roman"/>
        <family val="1"/>
      </rPr>
      <t xml:space="preserve"> Supply &amp; fixing of 100 Amps triple pole main switch</t>
    </r>
    <r>
      <rPr>
        <sz val="14"/>
        <color indexed="8"/>
        <rFont val="Times New Roman"/>
        <family val="1"/>
      </rPr>
      <t xml:space="preserve"> for incoming control and 2 no of 16 A etc., complete and as directed by the departmental officers</t>
    </r>
  </si>
  <si>
    <t>For main building EB service</t>
  </si>
  <si>
    <r>
      <rPr>
        <b/>
        <sz val="14"/>
        <rFont val="Times New Roman"/>
        <family val="1"/>
      </rPr>
      <t xml:space="preserve">Supply and fixing of flood lamp fitting </t>
    </r>
    <r>
      <rPr>
        <sz val="14"/>
        <rFont val="Times New Roman"/>
        <family val="1"/>
      </rPr>
      <t xml:space="preserve">250 watts etc., with single piece dia cast aluminium housting and lamp etc., complete. </t>
    </r>
  </si>
  <si>
    <t>Infront of the building</t>
  </si>
  <si>
    <t>Supply &amp; erection of  floor mounting metering panel board (Cubical type)  with bus bar chamber</t>
  </si>
  <si>
    <t>pno 73 pwd</t>
  </si>
  <si>
    <t>a) Main panel board</t>
  </si>
  <si>
    <t>Main building</t>
  </si>
  <si>
    <r>
      <t>Supplying and fixing of 1 No three phase 6way Distribution Board (16 gauge) with 6 way</t>
    </r>
    <r>
      <rPr>
        <sz val="14"/>
        <rFont val="Times New Roman"/>
        <family val="1"/>
      </rPr>
      <t>/phase and 32 A/way with fuse &amp; Nutral link cost of all materials, etc., all complete.</t>
    </r>
  </si>
  <si>
    <t>Main building(G.F,F.F)</t>
  </si>
  <si>
    <r>
      <t xml:space="preserve">Supplying and fixing 6 A to 20 A, 32 A single pole miniature circuit breaker (MCB) </t>
    </r>
    <r>
      <rPr>
        <sz val="14"/>
        <rFont val="Times New Roman"/>
        <family val="1"/>
      </rPr>
      <t>for outgoing breaker with ISI marked  The mCB will be fixed on the existing distribution box including labour charges for all inter connection etc., completed.</t>
    </r>
  </si>
  <si>
    <r>
      <rPr>
        <b/>
        <sz val="14"/>
        <color indexed="8"/>
        <rFont val="Times New Roman"/>
        <family val="1"/>
      </rPr>
      <t xml:space="preserve">Painting the new Iron work </t>
    </r>
    <r>
      <rPr>
        <sz val="14"/>
        <color indexed="8"/>
        <rFont val="Times New Roman"/>
        <family val="1"/>
      </rPr>
      <t xml:space="preserve">and other similar works such as GI, PVC /ASTM Pipes, Kerb Stone and grills with two coats of approved first class synthetic enamel ready mixed paint </t>
    </r>
  </si>
  <si>
    <t>From main building service EB pole</t>
  </si>
  <si>
    <t xml:space="preserve">Drilling of borewell of size 6" to 8"  in sedimentary using hand bore set including insection of casing pipe etc., supply and delivery of pebbles etc., complete </t>
  </si>
  <si>
    <t xml:space="preserve">For bore well </t>
  </si>
  <si>
    <t>Supply and delivery of the following dia PVC heavy  duty casing pipes of 6 kg/cm2 and necessary special of best approved quality eetc complete</t>
  </si>
  <si>
    <t>a) 165 mm dia outer PVC Plain  pipes</t>
  </si>
  <si>
    <t>b) 165 mm dia outer PVC slotted pipes</t>
  </si>
  <si>
    <t>c) 165 mm dia outer PVC end cap</t>
  </si>
  <si>
    <t xml:space="preserve">Supplying and Fixing of 1.00 HP submercible pumpset with out panel board with (ISI Mark) approved quality including cost of fixing of delivery quality including cost of fixing of delivery pipe and Fixing of Panel board etc., 
all complete.
</t>
  </si>
  <si>
    <t>Labour charges of the erection of 
submercible pumpset in borewell etc., all complete. upto 5HP</t>
  </si>
  <si>
    <t>Supplying and laying of 3 core 2.5 Sqm cable(Flat cable) for submersible pumpset.</t>
  </si>
  <si>
    <t>For bore well  to pump room /panel board</t>
  </si>
  <si>
    <t>Supply and delivery of MS Fabricated DOL Control panel board wall mounting type with voltmeter,ammeter, indication lamp, on/off switch (Three phase)  etc., all complete.</t>
  </si>
  <si>
    <t xml:space="preserve">Supply and fixing of CI Adopter Suitable for  ISI Quality and etc., all complete                                                                                                                                                    </t>
  </si>
  <si>
    <t>For Submerciple</t>
  </si>
  <si>
    <t>Supply and fixing of 40mm Dia Acirwatha Pipe approved quality having ISI mark 15kg / cm2 suitable for suction air pipe and etc.,</t>
  </si>
  <si>
    <t>Bore well to tank</t>
  </si>
  <si>
    <t>Supplying and laying of Nylon robe for the submersible pumpset</t>
  </si>
  <si>
    <t>Supplying and Fixing of borewell clamp sets suitable for 150mm dia borewell etc., all complete.</t>
  </si>
  <si>
    <t>Supplying delivery of the following dia of ASTM-D 1785 of schedule of 40 wall tk with best approved quality etc., all complete.</t>
  </si>
  <si>
    <t>A) 32mm  Dia PVC Pipe</t>
  </si>
  <si>
    <t>For well</t>
  </si>
  <si>
    <t xml:space="preserve">Supply and Delivery of Following dia GI/PVC PIPE &amp; Specials with best approved quality etc., </t>
  </si>
  <si>
    <t>a) 32 mm  Dia Gate valve GM</t>
  </si>
  <si>
    <t>b) 32 mm Dia GI Union</t>
  </si>
  <si>
    <t>Supplying and Fixing of following dia Aluminium power coated letters in Tamil / English wall fixing in position and etc all complete.,</t>
  </si>
  <si>
    <t>(1) 9'' Letters</t>
  </si>
  <si>
    <t>(11) 6'' Letters</t>
  </si>
  <si>
    <t>(111) 15'' Plate 3'' letter</t>
  </si>
  <si>
    <t xml:space="preserve">Name letters for Rooms </t>
  </si>
  <si>
    <t>Toward the elevation pillars for providing additionally to basement level to top of roof  level built in for semi circuler of radious 0.15m with finished neatly including all arrangements,scoffolding, labour charges etc complete.</t>
  </si>
  <si>
    <t xml:space="preserve">For Police station front </t>
  </si>
  <si>
    <t>Labour charges for Additional band and grovees  and Arch type band  from basement to parapet top portion and also band of size 15cmx7.5 cmband finished neatlyincluding all charges etc complete..,</t>
  </si>
  <si>
    <t>For Police station</t>
  </si>
  <si>
    <t>Supplying and Fixing of 63 amps tripple pole Main switch for incoming  control and 2no of 16A  etc all complete.,</t>
  </si>
  <si>
    <t>63 AMP</t>
  </si>
  <si>
    <t xml:space="preserve">Supply and delivery of Navtal lock 6 levers with two keys </t>
  </si>
  <si>
    <t xml:space="preserve">For All rooms at Police Station Building </t>
  </si>
  <si>
    <t>Supply and fixing of  casting flower design of 1'00 to  1'6" fixing in position as per std specificatin.</t>
  </si>
  <si>
    <t xml:space="preserve">Front portion </t>
  </si>
  <si>
    <t xml:space="preserve">Erection of lion statue in portico including  supply and fixing of  RCC base slab of 100 mm tk fixing at first floor and forming base foundation in supporting brick wall in semi circuler, plastering, and also supply and  providing flag hasting arrangement and painting  the structure   </t>
  </si>
  <si>
    <t>Supplying and fixing of 20 mm  PVC 10kg/cm2 below GL</t>
  </si>
  <si>
    <t xml:space="preserve">For flat cable from bore to panel board </t>
  </si>
  <si>
    <t xml:space="preserve">Dismantling of the existing damaged brick wall </t>
  </si>
  <si>
    <t xml:space="preserve">For compound wall </t>
  </si>
  <si>
    <t xml:space="preserve">Gate pillars </t>
  </si>
  <si>
    <t>Carting of the surplus  debries, unwanted rubbish upto the lead of 12 km including all charges</t>
  </si>
  <si>
    <t>Qty as per the above item 22</t>
  </si>
  <si>
    <t xml:space="preserve">At rear side of the building </t>
  </si>
  <si>
    <t>Provision for Labour Welfare fund 
@ 0.30%</t>
  </si>
  <si>
    <t>Provision for Contingencies 
Charges @ 2.50%</t>
  </si>
  <si>
    <t>Provision for Petty Supervision 
Charges @ 2.50%</t>
  </si>
  <si>
    <t>Provision for  Supervision Charges 
@ 7.50%</t>
  </si>
  <si>
    <t>External Water supply arrangements</t>
  </si>
  <si>
    <t>S.                        No</t>
  </si>
  <si>
    <t xml:space="preserve">Measurement in Mtrs </t>
  </si>
  <si>
    <r>
      <rPr>
        <b/>
        <sz val="14"/>
        <rFont val="Times New Roman"/>
        <family val="1"/>
      </rPr>
      <t xml:space="preserve">Supply and delivery of 3 HP Open well Submersible pump set </t>
    </r>
    <r>
      <rPr>
        <sz val="14"/>
        <rFont val="Times New Roman"/>
        <family val="1"/>
      </rPr>
      <t xml:space="preserve">(Duty 50 lpm x 100m) conforming to IS 14220 /2002 and as amended and BEE 3 Star Rated capable of discharging the following duties due to all causes. The pump shall be with stainless steel shaft and dynamically balanced bronze mixed type impeller, CI FG 200 grade casing and brass screws and rotor shall be of copper rod as per IS 613/1984 with ISI mark. The pump suitable for installation in sump with 1.1KV grade 3 core suitable copper flat submersible cable to a length of 15m with necessary cable joints.   Motor                       : 3 HP                                                                         Total Head                :                                                                                   Suction                     :                                                                                     Delivery                    :                                                                                     Discharge                  :            </t>
    </r>
  </si>
  <si>
    <t xml:space="preserve">At sump </t>
  </si>
  <si>
    <r>
      <rPr>
        <b/>
        <sz val="14"/>
        <rFont val="Times New Roman"/>
        <family val="1"/>
      </rPr>
      <t xml:space="preserve">Supply &amp; Fixing of Panel board for 3 H.P Submersible Pump set  </t>
    </r>
    <r>
      <rPr>
        <sz val="14"/>
        <rFont val="Times New Roman"/>
        <family val="1"/>
      </rPr>
      <t>with two level guard auto start with ISI mark for three phase wall mounted type with ammeter, Voltmeter, indicating lamps ON/OFF push bottons with necessary controls and three phase cum dry running preventor relay suitable for the above including wire for fixing sensor and main switch with all respects and as directed by the departmental officers.</t>
    </r>
  </si>
  <si>
    <r>
      <rPr>
        <b/>
        <sz val="14"/>
        <rFont val="Times New Roman"/>
        <family val="1"/>
      </rPr>
      <t xml:space="preserve">Labour Charges for erection of 3.00 HP open well Submersible Motor </t>
    </r>
    <r>
      <rPr>
        <sz val="14"/>
        <rFont val="Times New Roman"/>
        <family val="1"/>
      </rPr>
      <t>with proper clamps upto the starter to the required depth and also fixing pipes to the required depth values, pressure gauges upto the exterior wall of pump room and erection of panel board and jointing of cable and twin earthing as per IE rules etc., complete and as directed by the departmental officers.</t>
    </r>
  </si>
  <si>
    <t>open well Submersible Motor</t>
  </si>
  <si>
    <r>
      <t xml:space="preserve">Supplying and laying of  GI pipe B class with ISI mark for </t>
    </r>
    <r>
      <rPr>
        <b/>
        <sz val="14"/>
        <rFont val="Times New Roman"/>
        <family val="1"/>
      </rPr>
      <t xml:space="preserve"> above  ground level</t>
    </r>
    <r>
      <rPr>
        <sz val="14"/>
        <rFont val="Times New Roman"/>
        <family val="1"/>
      </rPr>
      <t xml:space="preserve"> including cost of clamping and labour charges, fixing G I pipes etc complete, all complete and as directed by the departmental officers</t>
    </r>
  </si>
  <si>
    <t xml:space="preserve">a) 80mm diaGI  pipe </t>
  </si>
  <si>
    <t xml:space="preserve">Sump delivery line </t>
  </si>
  <si>
    <t>sump  inner for open well motor</t>
  </si>
  <si>
    <t>b) 50mm dia GI pipe</t>
  </si>
  <si>
    <t xml:space="preserve">Borewell  above ground level </t>
  </si>
  <si>
    <t>sump to inlet pipe</t>
  </si>
  <si>
    <t>Supplying and laying of  GI specials</t>
  </si>
  <si>
    <t xml:space="preserve">a) 80mm dia Elbow </t>
  </si>
  <si>
    <t xml:space="preserve">c) 80mmm dia union </t>
  </si>
  <si>
    <t>d) 80mm dia Non return valve</t>
  </si>
  <si>
    <t>e.) 80 mm dia GI flange set</t>
  </si>
  <si>
    <t>f) 80 x 50 mm dia GI reducer</t>
  </si>
  <si>
    <t xml:space="preserve">g) 50mm dia Elbow </t>
  </si>
  <si>
    <t xml:space="preserve">h)50mmm dia union </t>
  </si>
  <si>
    <t xml:space="preserve">i) 50mm dia  bend </t>
  </si>
  <si>
    <t xml:space="preserve">j) 50mm Tee </t>
  </si>
  <si>
    <t xml:space="preserve">k)50mm dia coupling </t>
  </si>
  <si>
    <t>l.) 50 mm dia GI MTA</t>
  </si>
  <si>
    <t xml:space="preserve">m) 50mm dia Hex Nipple </t>
  </si>
  <si>
    <t>n) 50mm dia Gun Metal Gate valve</t>
  </si>
  <si>
    <t>o) 32mm dia Gun Metal Gate valve</t>
  </si>
  <si>
    <t>Supplying, laying, fixing and jointing the following ASTM pipes as per  IS 4985 suitable UPVC/ GI specials like elbow, tee, reducers, plug, union, bend, coupler, nipple, GM gate valve, check and wheel valve etc</t>
  </si>
  <si>
    <t>40mm dia  ASTM pipe</t>
  </si>
  <si>
    <t>Main line to block</t>
  </si>
  <si>
    <t>Supplying and delivery of following dia UPVC specials of best and approved quality having ISI mark including cost of specials and delivery at site of work etc., all complete and as directed by the departmental officers .</t>
  </si>
  <si>
    <t>b) 40 mm dia UPVC Ball valve</t>
  </si>
  <si>
    <t>c) 32mm dia UPVC Ball valve</t>
  </si>
  <si>
    <t>d) 25mm dia UPVC Ball valve</t>
  </si>
  <si>
    <t>f) 40 mm x 32 mm dia reducer</t>
  </si>
  <si>
    <t>f) 32 mm x 25 mm dia reducer</t>
  </si>
  <si>
    <t xml:space="preserve">             JE/AE                                            AEE/CDL                                            EE/SLM</t>
  </si>
  <si>
    <r>
      <rPr>
        <b/>
        <sz val="14"/>
        <color indexed="8"/>
        <rFont val="Times New Roman"/>
        <family val="1"/>
      </rPr>
      <t>Supply of 3 Phase 2 HP Submersible Pump set</t>
    </r>
    <r>
      <rPr>
        <sz val="14"/>
        <color indexed="8"/>
        <rFont val="Times New Roman"/>
        <family val="1"/>
      </rPr>
      <t xml:space="preserve"> suitable for 150 mm dia borewell without Panel board. The motor and pump should be confirming to relevant IS specification with ISI mark suitable for the following requirements. The brand name of the pump and motor HP rating should be specified etc., complete and as directed by the departmental officers.</t>
    </r>
  </si>
  <si>
    <t>2 HP Submersible pumpset</t>
  </si>
  <si>
    <r>
      <t xml:space="preserve">Supply and laying of </t>
    </r>
    <r>
      <rPr>
        <b/>
        <sz val="14"/>
        <color indexed="8"/>
        <rFont val="Times New Roman"/>
        <family val="1"/>
      </rPr>
      <t xml:space="preserve">3 core 4 sq mm of submersible PVC flat cable </t>
    </r>
    <r>
      <rPr>
        <sz val="14"/>
        <color indexed="8"/>
        <rFont val="Times New Roman"/>
        <family val="1"/>
      </rPr>
      <t xml:space="preserve">as per standard specification etc complete and as directedd by the departmental officers.                                                                                                                        </t>
    </r>
  </si>
  <si>
    <t>From submersible pumpset to starter</t>
  </si>
  <si>
    <t>60+6+14.95+7+4+2.9+2.5</t>
  </si>
  <si>
    <t>total</t>
  </si>
  <si>
    <r>
      <t xml:space="preserve">Supplying &amp; fixing of </t>
    </r>
    <r>
      <rPr>
        <b/>
        <sz val="14"/>
        <color indexed="8"/>
        <rFont val="Times New Roman"/>
        <family val="1"/>
      </rPr>
      <t>25 mm PVC pipes 10 Kg/cm2</t>
    </r>
    <r>
      <rPr>
        <sz val="14"/>
        <color indexed="8"/>
        <rFont val="Times New Roman"/>
        <family val="1"/>
      </rPr>
      <t xml:space="preserve"> including all specials etc., completed for casing pipes for 2.5 sq mm submersible flat cable and as directed by the departmental officers.</t>
    </r>
  </si>
  <si>
    <t>For submersible flat cable</t>
  </si>
  <si>
    <r>
      <rPr>
        <b/>
        <sz val="14"/>
        <rFont val="Times New Roman"/>
        <family val="1"/>
      </rPr>
      <t xml:space="preserve">Supply &amp; Fixing of Panel board </t>
    </r>
    <r>
      <rPr>
        <sz val="14"/>
        <rFont val="Times New Roman"/>
        <family val="1"/>
      </rPr>
      <t>with two level guard auto start with ISI mark for three phase wall mounted type with ammeter, Voltmeter, indicating lamps ON/OFF push bottons with necessary controls and three phase cum dry running preventor relay suitable for the above including wire for fixing sensor and main switch with all respects and as directed by the departmental officers.</t>
    </r>
  </si>
  <si>
    <t>For submersible pumpset</t>
  </si>
  <si>
    <r>
      <t>Labour Charges for erection of</t>
    </r>
    <r>
      <rPr>
        <b/>
        <sz val="14"/>
        <rFont val="Times New Roman"/>
        <family val="1"/>
      </rPr>
      <t xml:space="preserve"> 2 HP Submersible Motor </t>
    </r>
    <r>
      <rPr>
        <sz val="14"/>
        <rFont val="Times New Roman"/>
        <family val="1"/>
      </rPr>
      <t>with proper clamps upto the starter to the required depth and also fixing pipes to the required depth values, pressure gauges upto the exterior wall of pump room and erection of panel board and jointing of cable and twin earthing as per IE rules etc., complete and as directed by the departmental officers.</t>
    </r>
  </si>
  <si>
    <r>
      <t xml:space="preserve">Supply of </t>
    </r>
    <r>
      <rPr>
        <b/>
        <sz val="14"/>
        <color indexed="8"/>
        <rFont val="Times New Roman"/>
        <family val="1"/>
      </rPr>
      <t>40mm dia "ASHIRVAD"</t>
    </r>
    <r>
      <rPr>
        <sz val="14"/>
        <color indexed="8"/>
        <rFont val="Times New Roman"/>
        <family val="1"/>
      </rPr>
      <t xml:space="preserve"> threaded pipe approved quality with ISI mark including cost of all material etc; completed and as directed by the departmental officers.                                                                                                </t>
    </r>
  </si>
  <si>
    <t>Bore well suction pipe</t>
  </si>
  <si>
    <r>
      <t xml:space="preserve">Supply and fixing of </t>
    </r>
    <r>
      <rPr>
        <b/>
        <sz val="14"/>
        <color indexed="8"/>
        <rFont val="Times New Roman"/>
        <family val="1"/>
      </rPr>
      <t xml:space="preserve">CI adoptor </t>
    </r>
    <r>
      <rPr>
        <sz val="14"/>
        <color indexed="8"/>
        <rFont val="Times New Roman"/>
        <family val="1"/>
      </rPr>
      <t xml:space="preserve">suitable for ISI quality etc. completed and as directed by the departmental officers.                                                                                                </t>
    </r>
  </si>
  <si>
    <r>
      <t xml:space="preserve">Supply &amp; Fixing of </t>
    </r>
    <r>
      <rPr>
        <b/>
        <sz val="14"/>
        <rFont val="Times New Roman"/>
        <family val="1"/>
      </rPr>
      <t xml:space="preserve">borewell MS Clamp sets </t>
    </r>
    <r>
      <rPr>
        <sz val="14"/>
        <rFont val="Times New Roman"/>
        <family val="1"/>
      </rPr>
      <t>suitable for 150 mm dia borewell etc., all complete and as directed by the departmental officers.</t>
    </r>
  </si>
  <si>
    <r>
      <t xml:space="preserve">Supply &amp; delivery of </t>
    </r>
    <r>
      <rPr>
        <b/>
        <sz val="14"/>
        <rFont val="Times New Roman"/>
        <family val="1"/>
      </rPr>
      <t>Nylon Rope</t>
    </r>
    <r>
      <rPr>
        <sz val="14"/>
        <rFont val="Times New Roman"/>
        <family val="1"/>
      </rPr>
      <t xml:space="preserve"> of best and approved quality for trying the delivery line with submersible pumpsets for safety measure etc., complete and as directed by the departmental officers.</t>
    </r>
  </si>
  <si>
    <t>For borewell</t>
  </si>
  <si>
    <t>Supply &amp; delivery of following dia GI, GM, CI, PVC and MS specials of best approved quality having ISI mark including cost of specials and delivery  at site of work etc., all complete and as directed by the departmental officers</t>
  </si>
  <si>
    <t>a.) 32 mm dia PVC coupling</t>
  </si>
  <si>
    <t>b.) 32 mm dia PVC elbow</t>
  </si>
  <si>
    <t>c.) 32 mm dia PVC union</t>
  </si>
  <si>
    <t>d.) 32 mm dia PVC end cap</t>
  </si>
  <si>
    <t>Supply &amp; delivery of following dia GI/ PVC and specials of best approved quality having ISI mark including cost of specials etc., all complete and as directed by the departmental officers</t>
  </si>
  <si>
    <t>a.) 32 mm dia GM gate valve</t>
  </si>
  <si>
    <t>b.) 40 mm x 32 mm dia GI reducer</t>
  </si>
  <si>
    <t>c.) 32 mm dia GI 'B' class pipe</t>
  </si>
  <si>
    <t xml:space="preserve">Bore above to Ground </t>
  </si>
  <si>
    <t>Vertical line tank inlet</t>
  </si>
  <si>
    <r>
      <t xml:space="preserve">Supplying, fixing and jointing the following PVC pipes as per  IS 4985 suitable PVC/ GI specials like elbow, tee, reducers, plug, union, bend, coupler, nipple, GM gate valve, check and wheel valve etc.                                                                                       </t>
    </r>
    <r>
      <rPr>
        <b/>
        <sz val="14"/>
        <rFont val="Times New Roman"/>
        <family val="1"/>
      </rPr>
      <t>( Below ground level</t>
    </r>
    <r>
      <rPr>
        <sz val="14"/>
        <rFont val="Times New Roman"/>
        <family val="1"/>
      </rPr>
      <t>)</t>
    </r>
  </si>
  <si>
    <t>a.) 32 mm dia PVC pipe</t>
  </si>
  <si>
    <t>Horizontal line below GL</t>
  </si>
  <si>
    <t>Labour charges for laying and jointing the PVC pipes as per 10 kg/ cm2, 150 mm thickness and etc., complete and as directedd by the departmental officers</t>
  </si>
  <si>
    <t>a.) 25 mm dia PVC pipe</t>
  </si>
  <si>
    <r>
      <t xml:space="preserve">Supplying of </t>
    </r>
    <r>
      <rPr>
        <b/>
        <sz val="14"/>
        <rFont val="Times New Roman"/>
        <family val="1"/>
      </rPr>
      <t xml:space="preserve">20 mm dia GI dia </t>
    </r>
    <r>
      <rPr>
        <sz val="14"/>
        <rFont val="Times New Roman"/>
        <family val="1"/>
      </rPr>
      <t>pipe of approved quality etc., complete and as directed by the departmental officers.</t>
    </r>
  </si>
  <si>
    <t>Police station outside</t>
  </si>
  <si>
    <r>
      <t xml:space="preserve">Laying of </t>
    </r>
    <r>
      <rPr>
        <b/>
        <sz val="14"/>
        <rFont val="Times New Roman"/>
        <family val="1"/>
      </rPr>
      <t xml:space="preserve">20 mm dia GI dia </t>
    </r>
    <r>
      <rPr>
        <sz val="14"/>
        <rFont val="Times New Roman"/>
        <family val="1"/>
      </rPr>
      <t>pipe of approved quality etc., complete and as directed by the departmental officers.</t>
    </r>
  </si>
  <si>
    <t xml:space="preserve">Measurement in mtrs </t>
  </si>
  <si>
    <r>
      <t>Supplying &amp; fixing</t>
    </r>
    <r>
      <rPr>
        <b/>
        <sz val="14"/>
        <rFont val="Times New Roman"/>
        <family val="1"/>
      </rPr>
      <t xml:space="preserve"> Aluminium letters</t>
    </r>
    <r>
      <rPr>
        <sz val="14"/>
        <rFont val="Times New Roman"/>
        <family val="1"/>
      </rPr>
      <t xml:space="preserve"> with approved colour powder coat in finishing matt including cost of materials, necessary drilling holes packing cement mortor, supporting the letter cement base bolds and fixing charges etc., complete as directed by the departmental officers.</t>
    </r>
  </si>
  <si>
    <t>a) 9" height letters</t>
  </si>
  <si>
    <t>DSP Camp Office, Cuddalore district, Cuddalore</t>
  </si>
  <si>
    <r>
      <t>Supplying &amp; fixing</t>
    </r>
    <r>
      <rPr>
        <b/>
        <sz val="14"/>
        <rFont val="Times New Roman"/>
        <family val="1"/>
      </rPr>
      <t xml:space="preserve"> Foam name plate </t>
    </r>
    <r>
      <rPr>
        <sz val="14"/>
        <rFont val="Times New Roman"/>
        <family val="1"/>
      </rPr>
      <t>with stickers of size 24" x 4" with lettering for identifing the rooms including cost of materials with necessary drilling holes, wooden plugs with screw and conveyance charges etc., complete as directed by the departmental officers.</t>
    </r>
  </si>
  <si>
    <t xml:space="preserve">Ground floor rooms </t>
  </si>
  <si>
    <t xml:space="preserve">Supply and fixing of 24"x 8" plastic foam name plate with vinyl cutting letters RWH Board with approved colour etc..complete and as directed by the departmental officers. </t>
  </si>
  <si>
    <t>இந்த கட்டிடத்தில் மழை நீர் சேகரிப்பு திட்டம் செயல்படுத்தப்பட்டுள்ளது</t>
  </si>
  <si>
    <t xml:space="preserve">Supplying and fixing of following size of TNPHC Emblem &amp; Aluminium Dye casting letters with MRF Powder Coating including labour charges for fixing in position cost and conveyance of all materials, T.W plugs, screws metal paste and labour charges etc., all complete and as  directed by the departmental officers. </t>
  </si>
  <si>
    <t>a) 15" Height TNPHC Emblem</t>
  </si>
  <si>
    <r>
      <t xml:space="preserve">Supplying &amp; fixing of </t>
    </r>
    <r>
      <rPr>
        <b/>
        <sz val="14"/>
        <rFont val="Times New Roman"/>
        <family val="1"/>
      </rPr>
      <t>6 lever navtal lock</t>
    </r>
    <r>
      <rPr>
        <sz val="14"/>
        <rFont val="Times New Roman"/>
        <family val="1"/>
      </rPr>
      <t xml:space="preserve"> with 2 keys ISI mark etc., complete as directed by the departmental officers</t>
    </r>
  </si>
  <si>
    <t>G.Floor</t>
  </si>
  <si>
    <t>F.Floor</t>
  </si>
  <si>
    <t>Manhole cover sump &amp; OHT</t>
  </si>
  <si>
    <t>Supply and Installation of Carbon dioxide type fire extinguishers, cylindrical in shape, wall mounting type, with initial charge, discharge horn, on/off regulator, made out of high pressure seamless imported cylinder. ISI Marked ( Make Safex, Alert, Minimax, Vintex or equivalent)</t>
  </si>
  <si>
    <t>a) Capacity 4.5 kgs.</t>
  </si>
  <si>
    <t>Office &amp; Meeting hall</t>
  </si>
  <si>
    <t xml:space="preserve">Providing T.W. double leaf shutters for cupboard/ward robes with 9mm thick phenol bonded BWR grade plywood as per IS 303-1989 (General) with IS 5539-1969 (For preservative treatment) and IS 848-1974 (For adhesive) with relevant IS specifications and ITS latest amendment for shutters. The all round frame made up of T.W scantling of  75mmX37.50mm and the styles made up of T.W. scantlings of 75mm X 37.50mm and shutter middle rail (Horizontal) made up of T.W scantling of 150mm 37x50mm including cost of plywood and labour for fixing in position, cost of materials, Aluminium furniture fittings such as 6 Nos. of 3” of Aluminium butt hinges, 2 Nos. of 3” x 5/8” Aluminium tower  bolt, 2 Nos of 4" ornamental Handle, lock and key arrangements  (leaver type) of best approved quality and also painting with two coats using synthetic enamel paint and one coat using wood primer with neat finish, with brass screws. All complete and as directed by the departmental officers </t>
  </si>
  <si>
    <t xml:space="preserve">Ground floor </t>
  </si>
  <si>
    <t xml:space="preserve">G.F Meeting hall </t>
  </si>
  <si>
    <t>DSP camp office</t>
  </si>
  <si>
    <t>Bed I &amp; II</t>
  </si>
  <si>
    <t>For living showcase</t>
  </si>
  <si>
    <r>
      <t xml:space="preserve">Supplying and fixing of 8mm tk calcium silicate board designed and perforated for </t>
    </r>
    <r>
      <rPr>
        <b/>
        <sz val="14"/>
        <rFont val="Times New Roman"/>
        <family val="1"/>
      </rPr>
      <t>false ceiling</t>
    </r>
    <r>
      <rPr>
        <sz val="14"/>
        <rFont val="Times New Roman"/>
        <family val="1"/>
      </rPr>
      <t>, including cost of  materials and labour charges etc., all complete and as directed by the Departmental Officers</t>
    </r>
  </si>
  <si>
    <r>
      <t>Providing</t>
    </r>
    <r>
      <rPr>
        <b/>
        <sz val="14"/>
        <rFont val="Times New Roman"/>
        <family val="1"/>
      </rPr>
      <t xml:space="preserve"> Cornice work</t>
    </r>
    <r>
      <rPr>
        <sz val="14"/>
        <rFont val="Times New Roman"/>
        <family val="1"/>
      </rPr>
      <t xml:space="preserve"> for GYP Board false ceiling, including cost of  materials and labour charges etc., all complete and as directed by the Departmental Officers</t>
    </r>
  </si>
  <si>
    <t>Supply, delivery &amp; fixing of Split type Air conditioner 1.5 Ton with 5KVA Capcity automatic votage stablizer , 2HW, 180A, 3 Star with 10 feet of copper tube  Etc., with 20mm dia pvc pipe 5m long etc., all complete and as directed by the Departmental Officer  ((As per PWD SR Pg.153 &amp; 154 / 2023 -24 )</t>
  </si>
  <si>
    <t>p-142/21-22  Rs.43400</t>
  </si>
  <si>
    <t>Supply and fixing of MS stand for fixing outdoor unit, including cost of all materials etc., all complete and as directed by the Departmental Officers</t>
  </si>
  <si>
    <t>Supplying and fixing of  of 24W LED Fitting (4000K 2x2 square  type recessed fittings with LED) for false ceiling, including cost of  fittings and labour charges for fixing etc., all complete and as directed by the Departmental Officers</t>
  </si>
  <si>
    <t>p-115</t>
  </si>
  <si>
    <t>Providing Ordinary Vertical blinds for windows, including cost of  materials and labour charges etc., all complete and as directed by the Departmental Officers</t>
  </si>
  <si>
    <t>p-57</t>
  </si>
  <si>
    <t>window W1</t>
  </si>
  <si>
    <t>window SLW</t>
  </si>
  <si>
    <t>window FW</t>
  </si>
  <si>
    <t xml:space="preserve">              JE/AE                                            AEE/CDL                                    EE/SLM</t>
  </si>
  <si>
    <t>CULVERT</t>
  </si>
  <si>
    <t xml:space="preserve">Earth work excavation for open foundation in all soils and sub soils to the required depth </t>
  </si>
  <si>
    <t>a.) 0 to 2 mt.</t>
  </si>
  <si>
    <t xml:space="preserve">For culvert </t>
  </si>
  <si>
    <r>
      <t>M</t>
    </r>
    <r>
      <rPr>
        <vertAlign val="superscript"/>
        <sz val="12"/>
        <rFont val="Times New Roman"/>
        <family val="1"/>
      </rPr>
      <t>3</t>
    </r>
  </si>
  <si>
    <r>
      <t xml:space="preserve">Supplying and filling in foundation and basement with </t>
    </r>
    <r>
      <rPr>
        <b/>
        <sz val="14"/>
        <rFont val="Times New Roman"/>
        <family val="1"/>
      </rPr>
      <t>filling sand</t>
    </r>
    <r>
      <rPr>
        <sz val="14"/>
        <rFont val="Times New Roman"/>
        <family val="1"/>
      </rPr>
      <t xml:space="preserve">  </t>
    </r>
  </si>
  <si>
    <r>
      <rPr>
        <b/>
        <sz val="14"/>
        <rFont val="Times New Roman"/>
        <family val="1"/>
      </rPr>
      <t>Plain Cement Concrete 1:5:10</t>
    </r>
    <r>
      <rPr>
        <sz val="14"/>
        <rFont val="Times New Roman"/>
        <family val="1"/>
      </rPr>
      <t xml:space="preserve"> for foundation using 40mm gauge hard broken stone jelly  </t>
    </r>
  </si>
  <si>
    <t xml:space="preserve">For culvert foundation </t>
  </si>
  <si>
    <r>
      <rPr>
        <b/>
        <sz val="14"/>
        <rFont val="Times New Roman"/>
        <family val="1"/>
      </rPr>
      <t>Plain Cement Concrete 1:2:4</t>
    </r>
    <r>
      <rPr>
        <sz val="14"/>
        <rFont val="Times New Roman"/>
        <family val="1"/>
      </rPr>
      <t xml:space="preserve">  using 20mm gauge hard broken stone jelly </t>
    </r>
    <r>
      <rPr>
        <b/>
        <sz val="14"/>
        <rFont val="Times New Roman"/>
        <family val="1"/>
      </rPr>
      <t xml:space="preserve">in foundation and basement  </t>
    </r>
  </si>
  <si>
    <t xml:space="preserve">For culvert bed block </t>
  </si>
  <si>
    <r>
      <rPr>
        <b/>
        <sz val="14"/>
        <rFont val="Times New Roman"/>
        <family val="1"/>
      </rPr>
      <t xml:space="preserve">M 30 grade concrete </t>
    </r>
    <r>
      <rPr>
        <sz val="14"/>
        <rFont val="Times New Roman"/>
        <family val="1"/>
      </rPr>
      <t xml:space="preserve"> for all RCC works, namely plinth beams </t>
    </r>
    <r>
      <rPr>
        <b/>
        <sz val="14"/>
        <rFont val="Times New Roman"/>
        <family val="1"/>
      </rPr>
      <t>in Foundation and Basement</t>
    </r>
  </si>
  <si>
    <t xml:space="preserve">For culvert deck slab </t>
  </si>
  <si>
    <r>
      <rPr>
        <b/>
        <sz val="14"/>
        <rFont val="Times New Roman"/>
        <family val="1"/>
      </rPr>
      <t>Mass concrete in CC 1:3:6</t>
    </r>
    <r>
      <rPr>
        <sz val="14"/>
        <rFont val="Times New Roman"/>
        <family val="1"/>
      </rPr>
      <t xml:space="preserve">  using 40 mm gauge HBSJ metal  in Foundation and Basement.</t>
    </r>
  </si>
  <si>
    <t xml:space="preserve"> Culvert wall </t>
  </si>
  <si>
    <r>
      <rPr>
        <b/>
        <sz val="14"/>
        <rFont val="Times New Roman"/>
        <family val="1"/>
      </rPr>
      <t>Plastering the top flooring in CM 1:4</t>
    </r>
    <r>
      <rPr>
        <sz val="14"/>
        <rFont val="Times New Roman"/>
        <family val="1"/>
      </rPr>
      <t xml:space="preserve"> </t>
    </r>
    <r>
      <rPr>
        <b/>
        <sz val="14"/>
        <rFont val="Times New Roman"/>
        <family val="1"/>
      </rPr>
      <t>20mm thick</t>
    </r>
    <r>
      <rPr>
        <sz val="14"/>
        <rFont val="Times New Roman"/>
        <family val="1"/>
      </rPr>
      <t xml:space="preserve"> including surface rendered smooth including providing proper slopes </t>
    </r>
  </si>
  <si>
    <t>For culvert bottom</t>
  </si>
  <si>
    <r>
      <t>M</t>
    </r>
    <r>
      <rPr>
        <vertAlign val="superscript"/>
        <sz val="12"/>
        <rFont val="Times New Roman"/>
        <family val="1"/>
      </rPr>
      <t>2</t>
    </r>
  </si>
  <si>
    <r>
      <rPr>
        <b/>
        <sz val="14"/>
        <rFont val="Times New Roman"/>
        <family val="1"/>
      </rPr>
      <t xml:space="preserve">Providing Form work and centering </t>
    </r>
    <r>
      <rPr>
        <sz val="14"/>
        <rFont val="Times New Roman"/>
        <family val="1"/>
      </rPr>
      <t xml:space="preserve">for reinforced cement concrete works including supports and strutting up to 3.30m heigh </t>
    </r>
  </si>
  <si>
    <r>
      <rPr>
        <b/>
        <sz val="14"/>
        <rFont val="Times New Roman"/>
        <family val="1"/>
      </rPr>
      <t>a.) For Column footings,</t>
    </r>
    <r>
      <rPr>
        <sz val="14"/>
        <rFont val="Times New Roman"/>
        <family val="1"/>
      </rPr>
      <t xml:space="preserve"> plinth beam, Grade beam, Raft beam, Raft slab etc.,</t>
    </r>
  </si>
  <si>
    <t>For Culvert</t>
  </si>
  <si>
    <t xml:space="preserve">Parapet </t>
  </si>
  <si>
    <t xml:space="preserve">Sides </t>
  </si>
  <si>
    <t xml:space="preserve">Bed block sides </t>
  </si>
  <si>
    <t xml:space="preserve">Mass wall front </t>
  </si>
  <si>
    <r>
      <rPr>
        <b/>
        <sz val="14"/>
        <rFont val="Times New Roman"/>
        <family val="1"/>
      </rPr>
      <t xml:space="preserve">b.) Plain surfaces </t>
    </r>
    <r>
      <rPr>
        <sz val="14"/>
        <rFont val="Times New Roman"/>
        <family val="1"/>
      </rPr>
      <t>such as Roof slab, floorslab, etc.</t>
    </r>
  </si>
  <si>
    <t xml:space="preserve">Culvert deck slab bottom </t>
  </si>
  <si>
    <t>Culvert deck slab  alround</t>
  </si>
  <si>
    <r>
      <t xml:space="preserve">Supplying, fabricating and placing in position of </t>
    </r>
    <r>
      <rPr>
        <b/>
        <sz val="14"/>
        <rFont val="Times New Roman"/>
        <family val="1"/>
      </rPr>
      <t>Mild steel Grills/Ribbed Tor Steels</t>
    </r>
    <r>
      <rPr>
        <sz val="14"/>
        <rFont val="Times New Roman"/>
        <family val="1"/>
      </rPr>
      <t xml:space="preserve"> for reinforcement </t>
    </r>
  </si>
  <si>
    <r>
      <t>Kg/M</t>
    </r>
    <r>
      <rPr>
        <b/>
        <vertAlign val="superscript"/>
        <sz val="12"/>
        <rFont val="Times New Roman"/>
        <family val="1"/>
      </rPr>
      <t>3</t>
    </r>
  </si>
  <si>
    <t xml:space="preserve">Deck slab </t>
  </si>
  <si>
    <t>L/S 12#</t>
  </si>
  <si>
    <t>S/S   12#</t>
  </si>
  <si>
    <t>L/S Hanger rod  10#</t>
  </si>
  <si>
    <t>S/S Hanger rod  10#</t>
  </si>
  <si>
    <t>Top extra   10#</t>
  </si>
  <si>
    <t>Chair rod 12#</t>
  </si>
  <si>
    <t>Kgs</t>
  </si>
  <si>
    <t xml:space="preserve">                  JE/AE                                        AEE/CDL                                        EE/SLM</t>
  </si>
  <si>
    <t xml:space="preserve">GENSET </t>
  </si>
  <si>
    <t xml:space="preserve">Earth work excavation for open foundation in all soils and sub-soils to the required depth </t>
  </si>
  <si>
    <t xml:space="preserve">(a) 0 to 2m </t>
  </si>
  <si>
    <t>wall alr</t>
  </si>
  <si>
    <t>Supplying and filling in foundation and basement with filling CSsand in layers of 150 mm thickness well watered, rammed and consolidated complying with relevant Standard specification including cost of supplying filling sand.</t>
  </si>
  <si>
    <t>flooring</t>
  </si>
  <si>
    <t>Plain cement concrete 1:5:10 (One of cement, five of sand and ten of hard broken stone Jelly) for foundation using 40 mm gauge broken stone jelly inclusive of shoring, strutting and bailing out water wherever necessary ramming, curing etc., complete in all respects complying with relevant standard specifications and as directed by the Departmental officers.</t>
  </si>
  <si>
    <t>Brick work in CM 1:5 (One of cement and five of sand) using Kiln burnt country bricks of size 8¾”x4¼”x2¾” (22x11x7cm) in foundation and basement including dewatering wherever necessary proper setting, curing etc., complete with relevant standard specifications.</t>
  </si>
  <si>
    <t>Painting the new iron work and other similar works such as PVC/ASTM pipes, kerb stones and grills with two coats of approved first class synthetic enamel ready mixed paint of approved quality and brand the paint should be supplied by the contractor at his own cost. (The quality and the brand of paint should be got approved by the Executive Engineer before use) complying with relevant standard specifications.</t>
  </si>
  <si>
    <t>co.eff</t>
  </si>
  <si>
    <t>Purlin</t>
  </si>
  <si>
    <t xml:space="preserve">Hollow section 50x50mm </t>
  </si>
  <si>
    <t>Truss</t>
  </si>
  <si>
    <t>connection</t>
  </si>
  <si>
    <t>Column</t>
  </si>
  <si>
    <t>Centre post M.S Pipe 100mm dia</t>
  </si>
  <si>
    <t xml:space="preserve">Providing and laying in position , Standardised Concrete Mix M-30 Grade in accordance with IS :456-2000, using 20mm and down graded hard broken granite stone jelly for all RCC items of work with minium cement content of 400 Kg/m3 </t>
  </si>
  <si>
    <t>Post</t>
  </si>
  <si>
    <t xml:space="preserve">Supplying, fixing in position of following dia M.S pipe for post,MS 50x50x3mm thick Square tube for purlin, including the cost of materials, cutting, weilding, fabricating, transportation charges and labor chargres etc all complete and as directed by the departmental officers. </t>
  </si>
  <si>
    <t>a) 100mm dia</t>
  </si>
  <si>
    <t>Kg/m</t>
  </si>
  <si>
    <t>post for shed</t>
  </si>
  <si>
    <t>Purlin(50x50x3mm)</t>
  </si>
  <si>
    <t>Plastering with CM 1:5 (One of cement and five of sand) 12mm thick finished with neat cement including providing band cornice, ceiling cornice, curing, scaffolding, etc., complete in all respects and complying with relevant standard specifications.</t>
  </si>
  <si>
    <t>Fabricating Supplying sectioning of PPGI sheet for the specifications.  The materials should be PPGI file profile with a blue colour or any other approved design 0.56mm thick 24 gauge having width 1050mm.</t>
  </si>
  <si>
    <t>shed</t>
  </si>
  <si>
    <t>Supply, Installation, Testing and Commissioning of 62.5 KVA (AMF Panel) Generator with Standard panel</t>
  </si>
  <si>
    <t>P-157/2023-24</t>
  </si>
  <si>
    <t>DSP</t>
  </si>
  <si>
    <r>
      <rPr>
        <b/>
        <sz val="14"/>
        <rFont val="Times New Roman"/>
        <family val="1"/>
      </rPr>
      <t xml:space="preserve">Supplying of following LTUG Cable </t>
    </r>
    <r>
      <rPr>
        <sz val="14"/>
        <rFont val="Times New Roman"/>
        <family val="1"/>
      </rPr>
      <t>from meter board to fornt of the block and  EB pole top for EB service connection etc..,</t>
    </r>
  </si>
  <si>
    <t xml:space="preserve">a.) 3.5core 25sqmm LTUG cable </t>
  </si>
  <si>
    <t>a.) 50mm dia GI pipe</t>
  </si>
  <si>
    <t>Earthing as per the ISI specification with an earth electrode of 2.1 mt class 'B' GI pipe of dia not less than 40mm, with copper earth plate of size 125mm X 50mm X 6mm, with necessary funneling arrangements with necessary masonry rork and with 38mm RCC cover slab for the brick masonry. (Data D - SD 233)</t>
  </si>
  <si>
    <t>Generators &amp; Lift</t>
  </si>
  <si>
    <t xml:space="preserve">Supplying of 4 core 1.5Sq.mm Copper sensor cable  including the cost of material and loading unloding &amp; transportation charges etc, all  complete and as directed by the departmental officers </t>
  </si>
  <si>
    <t>For EB service panel board to Genset</t>
  </si>
  <si>
    <t xml:space="preserve">                      JE/AE                                        AEE/CDL                                          EE/SLM</t>
  </si>
  <si>
    <r>
      <t>Detailed</t>
    </r>
    <r>
      <rPr>
        <b/>
        <i/>
        <sz val="16"/>
        <rFont val="Times New Roman"/>
        <family val="1"/>
      </rPr>
      <t xml:space="preserve"> </t>
    </r>
    <r>
      <rPr>
        <b/>
        <i/>
        <u/>
        <sz val="16"/>
        <rFont val="Times New Roman"/>
        <family val="1"/>
      </rPr>
      <t>Estimate</t>
    </r>
  </si>
  <si>
    <r>
      <rPr>
        <b/>
        <sz val="14"/>
        <rFont val="Times New Roman"/>
        <family val="1"/>
      </rPr>
      <t>Earth work excavation for foundation in all soils and sub-soils</t>
    </r>
    <r>
      <rPr>
        <sz val="14"/>
        <rFont val="Times New Roman"/>
        <family val="1"/>
      </rPr>
      <t xml:space="preserve"> to the required depth as  may be directed except in hard rock requiring blasting but inclusive of shoring, strutting, and bailing out water wherever necessary and refilling the sides of foundation with excavated earth in 150mm thick layers well watered rammed and consolidated and depositing the surplus earth in places shown clearing and leveling the site with an initial lead of 10 metres and lift as specified here under etc. complete in all respects complying with relevant standard specifications. (Including Refilling)</t>
    </r>
  </si>
  <si>
    <t xml:space="preserve">Footing (North side ) </t>
  </si>
  <si>
    <t>Double footing</t>
  </si>
  <si>
    <t xml:space="preserve">Footing (South side ) </t>
  </si>
  <si>
    <t xml:space="preserve">Footing (West side ) </t>
  </si>
  <si>
    <t>Gate piller</t>
  </si>
  <si>
    <t>Grade beam - North</t>
  </si>
  <si>
    <t>Grade beam - South</t>
  </si>
  <si>
    <t>Grade beam - West</t>
  </si>
  <si>
    <t>Supplying and filling in foundation and basement with filling Msand in layers of 150mm thickness well watered, rammed and consolidated complying with relevant standard specification including cost of supplying filling Msand.</t>
  </si>
  <si>
    <r>
      <rPr>
        <b/>
        <sz val="14"/>
        <color indexed="8"/>
        <rFont val="Times New Roman"/>
        <family val="1"/>
      </rPr>
      <t>Plain cement concrete 1:5:10</t>
    </r>
    <r>
      <rPr>
        <sz val="14"/>
        <color indexed="8"/>
        <rFont val="Times New Roman"/>
        <family val="1"/>
      </rPr>
      <t xml:space="preserve"> (One of cement, five of sand and ten of hard broken stone Jelly) for foundation using 40 mm gauge broken stone jelly inclusive of shoring, strutting and bailing out water wherever necessary ramming, curing etc., complete in all respects complying with relevant standard specifications and as directed by the departmental officers.</t>
    </r>
  </si>
  <si>
    <t>Brick work in C.M 1:5 (One of cement and five of sand) using Kiln burnt country bricks of size 8¾”x4¼”x2¾” (22x11x7cm) in foundation and basement including dewatering wherever necessary proper setting, curing etc., complete with relevant standard specifications in Foundation &amp; basement.</t>
  </si>
  <si>
    <t xml:space="preserve">D/f  Gate </t>
  </si>
  <si>
    <t>D/f  Gate pillar</t>
  </si>
  <si>
    <t>Brick work in Cement Mortar 1:6 (One of cement and six of sand) using Kiln burnt country bricks of size 8¾”x4¼”x2¾” (22x11x7cm) for super structure in the following floors including labour for fixing the doors, windows and ventilator frames in position, fixing of hold fasts, scaffoldings, curing etc., complete in all respect complying with relevant standard specifications and drawings.</t>
  </si>
  <si>
    <t>a.) In Ground Floor.</t>
  </si>
  <si>
    <t>Brick pillar - North</t>
  </si>
  <si>
    <t>Brick pillar - South (ornamental)</t>
  </si>
  <si>
    <t xml:space="preserve">Brick pillar - North  </t>
  </si>
  <si>
    <t xml:space="preserve">Brick pillar - West </t>
  </si>
  <si>
    <t>Brick partition wall in Cement Mortar 1:4 (One of cement and four of sand) 110mm thick for super structure in the following floors using kiln burnt country bricks of size 8¾”x4¼”x2¾” (22x11x7cm) including labour for fixing the doors, windows and ventilator frames in position, fixing of hold fasts, scaffoldings, curing etc., complete in all respect complying with relevant standard specifications and drawings</t>
  </si>
  <si>
    <t>b.) In Ground Floor</t>
  </si>
  <si>
    <t>North side</t>
  </si>
  <si>
    <t>South side</t>
  </si>
  <si>
    <t>West side</t>
  </si>
  <si>
    <t xml:space="preserve">D/f  Brick pillar </t>
  </si>
  <si>
    <r>
      <rPr>
        <b/>
        <sz val="14"/>
        <rFont val="Times New Roman"/>
        <family val="1"/>
      </rPr>
      <t xml:space="preserve">Plastering with C.M 1:5 </t>
    </r>
    <r>
      <rPr>
        <sz val="14"/>
        <rFont val="Times New Roman"/>
        <family val="1"/>
      </rPr>
      <t>(One of cement and five of sand)</t>
    </r>
    <r>
      <rPr>
        <b/>
        <sz val="14"/>
        <rFont val="Times New Roman"/>
        <family val="1"/>
      </rPr>
      <t xml:space="preserve"> 12 mm thick </t>
    </r>
    <r>
      <rPr>
        <sz val="14"/>
        <rFont val="Times New Roman"/>
        <family val="1"/>
      </rPr>
      <t>finished with neat cement including providing band cornice, ceiling cornice, curing, scaffolding, etc., complete in all respects and complying with relevant standard specifications.</t>
    </r>
  </si>
  <si>
    <t>North - Compound wall sides</t>
  </si>
  <si>
    <t>North - Compound wall top</t>
  </si>
  <si>
    <t>South - Compound wall sides</t>
  </si>
  <si>
    <t>South - Compound wall top</t>
  </si>
  <si>
    <t>West - Compound wall sides</t>
  </si>
  <si>
    <t>West - Compound wall top</t>
  </si>
  <si>
    <t>Gate pillar top</t>
  </si>
  <si>
    <t>Gate pillar alround</t>
  </si>
  <si>
    <t>A/F Pillar sides</t>
  </si>
  <si>
    <t>A/F Pillar sides (ornamental)</t>
  </si>
  <si>
    <t>A/F Pillar elevation (ornamental)</t>
  </si>
  <si>
    <r>
      <rPr>
        <b/>
        <sz val="14"/>
        <rFont val="Times New Roman"/>
        <family val="1"/>
      </rPr>
      <t xml:space="preserve">Plastering in C.M 1:5 </t>
    </r>
    <r>
      <rPr>
        <sz val="14"/>
        <rFont val="Times New Roman"/>
        <family val="1"/>
      </rPr>
      <t xml:space="preserve">(One of cement and five of sand) </t>
    </r>
    <r>
      <rPr>
        <b/>
        <sz val="14"/>
        <rFont val="Times New Roman"/>
        <family val="1"/>
      </rPr>
      <t>12mm thick for border finish</t>
    </r>
    <r>
      <rPr>
        <sz val="14"/>
        <rFont val="Times New Roman"/>
        <family val="1"/>
      </rPr>
      <t xml:space="preserve"> in all floors for elevation purposes, including scaffolding, curing, finishing etc., all complete.</t>
    </r>
  </si>
  <si>
    <t>b.) 75 mm wide</t>
  </si>
  <si>
    <t>North</t>
  </si>
  <si>
    <t>South</t>
  </si>
  <si>
    <t>West</t>
  </si>
  <si>
    <t>Gate Piller alr</t>
  </si>
  <si>
    <r>
      <rPr>
        <b/>
        <sz val="14"/>
        <rFont val="Times New Roman"/>
        <family val="1"/>
      </rPr>
      <t>Providing and laying in position, Standardised concrete mix M - 30 grade</t>
    </r>
    <r>
      <rPr>
        <sz val="14"/>
        <rFont val="Times New Roman"/>
        <family val="1"/>
      </rPr>
      <t xml:space="preserve"> in a accordance with IS 456 - 2000, using 20mm and down graded hard broken stone jelly for all RCC items of works with minimum cement content of 400 kg/m3 and water cement ratio of 0.55, including admixture (Plasticiser/ super plasticiser) in recommended proportions as per IS : 9103 to accelerate, retard setting of concrete, improve workability without impairing strength and durablity with about (5.0 cu.m) 7730 kg. og 20mm machine crushed stone jelly and with about (3.3 cu.m) 5156 kg. of 10 - 12mm machine crushed stone jelly and with about (4.79 cu.m) 7670 kg. of sand, but excluding cost of reinforcement grill and fabricating charges, centering and shuttering and also including laying, vibrating with mechanical vibrators, finishing, curing etc. and providing fixtures like fan clamps in the RCC floor/roof slabs wherever necessary without claiming extra, etc., complete complying with standard specification and as directed by the departmental officers. The coarse and fine aggregates to be used should comply with the requirements of IS standards. (No separate payment will be made by the departmental for the excess usage of materials)</t>
    </r>
  </si>
  <si>
    <t>a.) In Foundation &amp; basement</t>
  </si>
  <si>
    <t>Column above footing grade beam - North</t>
  </si>
  <si>
    <t>Column above footing grade beam - South</t>
  </si>
  <si>
    <t>Column above footing grade beam - West</t>
  </si>
  <si>
    <t>b.) In Ground floor</t>
  </si>
  <si>
    <t xml:space="preserve">Gate pillar </t>
  </si>
  <si>
    <r>
      <rPr>
        <b/>
        <sz val="14"/>
        <rFont val="Times New Roman"/>
        <family val="1"/>
      </rPr>
      <t xml:space="preserve">Providing Form work and centering </t>
    </r>
    <r>
      <rPr>
        <sz val="14"/>
        <rFont val="Times New Roman"/>
        <family val="1"/>
      </rPr>
      <t>for reinforced cement concrete works including supports and strutting up to 3.30m height for plane surfaces as detailed below with all cross bracings using mild steel sheets of size 90cmx60cm and MS 10 gauge stiffened with welded mild steel angles of size 25mmx25mmx3mm for boarding laid over silver oak or country wood joists of size 10cmx6.5cm spaced at about 90cm centre to centre and supported by casurina props 10cm to 13cm dia spaced at 75cm intervals and removing the same after a specified period without damaging the R.C.C works etc., complete complying with standard specification and as directed by the departmental officers.</t>
    </r>
  </si>
  <si>
    <r>
      <t>a.) For Column footings, plinth beam, Grade beam, Raft beam, Raft slab etc</t>
    </r>
    <r>
      <rPr>
        <b/>
        <i/>
        <sz val="14"/>
        <rFont val="Times New Roman"/>
        <family val="1"/>
      </rPr>
      <t>.,</t>
    </r>
  </si>
  <si>
    <t>Gate pillar - footing</t>
  </si>
  <si>
    <r>
      <t>c.) For Square and rectangular columns and small quantities</t>
    </r>
    <r>
      <rPr>
        <b/>
        <i/>
        <sz val="14"/>
        <rFont val="Times New Roman"/>
        <family val="1"/>
      </rPr>
      <t>.</t>
    </r>
  </si>
  <si>
    <t>Gate pillar  above grade beam</t>
  </si>
  <si>
    <r>
      <rPr>
        <b/>
        <sz val="14"/>
        <rFont val="Times New Roman"/>
        <family val="1"/>
      </rPr>
      <t>Supplying, fabricating and placing in position of Mild steel Grills / Ribbed Tor Steels</t>
    </r>
    <r>
      <rPr>
        <sz val="14"/>
        <rFont val="Times New Roman"/>
        <family val="1"/>
      </rPr>
      <t xml:space="preserve"> for reinforcement for all floors including cost of binding wire, bending, tying etc., all complete and as directed by the departmental officers for all sizes.</t>
    </r>
  </si>
  <si>
    <t>Footing matt</t>
  </si>
  <si>
    <t>Footing North  Side matt 10# both ways</t>
  </si>
  <si>
    <t>Double footing 10#</t>
  </si>
  <si>
    <t>Footing south side matt 10# both ways</t>
  </si>
  <si>
    <t>Footing west Side matt 10# both ways</t>
  </si>
  <si>
    <t>Gate piller Footing east side matt 10# both ways</t>
  </si>
  <si>
    <t xml:space="preserve">Column </t>
  </si>
  <si>
    <t>column North  Side 12#</t>
  </si>
  <si>
    <t xml:space="preserve">Stirrups 8# </t>
  </si>
  <si>
    <t>column  south Side-  12#</t>
  </si>
  <si>
    <t>column west Side 12#</t>
  </si>
  <si>
    <t>Gate piller south side 12#</t>
  </si>
  <si>
    <t>Grade beam - North  12# Top &amp; bott</t>
  </si>
  <si>
    <t>Stirrups 8# (230x300mm)</t>
  </si>
  <si>
    <t>Lap 12#</t>
  </si>
  <si>
    <t>Grade beam - South 12# Top &amp; bott</t>
  </si>
  <si>
    <t>Grade beam - West 12# Top &amp; bott</t>
  </si>
  <si>
    <r>
      <rPr>
        <b/>
        <sz val="14"/>
        <rFont val="Times New Roman"/>
        <family val="1"/>
      </rPr>
      <t xml:space="preserve">Painting two coats with ready mixed Plastic emulsion paint of first class quality </t>
    </r>
    <r>
      <rPr>
        <sz val="14"/>
        <rFont val="Times New Roman"/>
        <family val="1"/>
      </rPr>
      <t>paint of approved colour and shade over a priming coat on cement plastered / concrete wall surfaces or other similar works, including cost of necessary brushes, labour charges, patty etc., complying with relevant standard specification. The paint should be supplied by the contractors at his own cost. (The quality and shade of the paint should be got approved by the Executive engineer before use.)</t>
    </r>
  </si>
  <si>
    <t>Qty as per item no. 10</t>
  </si>
  <si>
    <r>
      <rPr>
        <b/>
        <sz val="14"/>
        <rFont val="Times New Roman"/>
        <family val="1"/>
      </rPr>
      <t>Supplying and fixing mild steel grills</t>
    </r>
    <r>
      <rPr>
        <sz val="14"/>
        <rFont val="Times New Roman"/>
        <family val="1"/>
      </rPr>
      <t xml:space="preserve"> as per the design approved to verangah enclosure or gate incluting one coat of primer and labour for fixing in position etc. </t>
    </r>
  </si>
  <si>
    <r>
      <t>Kg/M</t>
    </r>
    <r>
      <rPr>
        <i/>
        <u/>
        <vertAlign val="superscript"/>
        <sz val="14"/>
        <rFont val="Times New Roman"/>
        <family val="1"/>
      </rPr>
      <t>2</t>
    </r>
  </si>
  <si>
    <t>Grill gate</t>
  </si>
  <si>
    <r>
      <rPr>
        <b/>
        <sz val="14"/>
        <rFont val="Times New Roman"/>
        <family val="1"/>
      </rPr>
      <t xml:space="preserve">Painting the New iron work </t>
    </r>
    <r>
      <rPr>
        <sz val="14"/>
        <rFont val="Times New Roman"/>
        <family val="1"/>
      </rPr>
      <t xml:space="preserve">and other similar works such as PVC / ASTM pipe, kerb stones and grills with two coats of approved first class synthetic enamel ready mixed paint of approved quality and brand the paint should be supplied by the contractor at his own cost etc all complete. </t>
    </r>
  </si>
  <si>
    <t>For double column</t>
  </si>
  <si>
    <t>Gate light</t>
  </si>
  <si>
    <t xml:space="preserve">                       JE/AE                             AEE/CDL                              EE/SLM</t>
  </si>
  <si>
    <r>
      <rPr>
        <b/>
        <sz val="14"/>
        <rFont val="Times New Roman"/>
        <family val="1"/>
      </rPr>
      <t xml:space="preserve">Earth work excavation </t>
    </r>
    <r>
      <rPr>
        <sz val="14"/>
        <rFont val="Times New Roman"/>
        <family val="1"/>
      </rPr>
      <t xml:space="preserve">for Open Foundation in all soils and sub-soils to the required depth </t>
    </r>
  </si>
  <si>
    <t>Septic tank</t>
  </si>
  <si>
    <t>Dispersion trench</t>
  </si>
  <si>
    <t>Inspection chamber Inlet &amp; Oulet</t>
  </si>
  <si>
    <r>
      <t xml:space="preserve">Supplying and filling in foundation and basement with </t>
    </r>
    <r>
      <rPr>
        <b/>
        <sz val="14"/>
        <rFont val="Times New Roman"/>
        <family val="1"/>
      </rPr>
      <t xml:space="preserve">filling sand </t>
    </r>
  </si>
  <si>
    <t>Supplying and filling of 40 mm size Hard broken Stone jelly</t>
  </si>
  <si>
    <t>For Dispersion trench</t>
  </si>
  <si>
    <r>
      <rPr>
        <b/>
        <sz val="14"/>
        <rFont val="Times New Roman"/>
        <family val="1"/>
      </rPr>
      <t>Supplying and filling with 20 mm size Hard broken stone jelly</t>
    </r>
    <r>
      <rPr>
        <sz val="14"/>
        <rFont val="Times New Roman"/>
        <family val="1"/>
      </rPr>
      <t xml:space="preserve"> </t>
    </r>
  </si>
  <si>
    <r>
      <rPr>
        <b/>
        <sz val="14"/>
        <rFont val="Times New Roman"/>
        <family val="1"/>
      </rPr>
      <t>CC 1:5:10</t>
    </r>
    <r>
      <rPr>
        <sz val="14"/>
        <rFont val="Times New Roman"/>
        <family val="1"/>
      </rPr>
      <t xml:space="preserve"> </t>
    </r>
  </si>
  <si>
    <t>Inspection chamber Inlet &amp; Outlet</t>
  </si>
  <si>
    <r>
      <rPr>
        <b/>
        <sz val="14"/>
        <rFont val="Times New Roman"/>
        <family val="1"/>
      </rPr>
      <t>Plain cement concrete 1:2:4</t>
    </r>
    <r>
      <rPr>
        <sz val="14"/>
        <rFont val="Times New Roman"/>
        <family val="1"/>
      </rPr>
      <t xml:space="preserve"> </t>
    </r>
  </si>
  <si>
    <t xml:space="preserve">Septic tank bottom </t>
  </si>
  <si>
    <t xml:space="preserve">C.C.1:8:16 </t>
  </si>
  <si>
    <r>
      <rPr>
        <b/>
        <sz val="14"/>
        <rFont val="Times New Roman"/>
        <family val="1"/>
      </rPr>
      <t xml:space="preserve">M 30 grade concrete </t>
    </r>
    <r>
      <rPr>
        <sz val="14"/>
        <rFont val="Times New Roman"/>
        <family val="1"/>
      </rPr>
      <t>for all RCC works in</t>
    </r>
    <r>
      <rPr>
        <b/>
        <sz val="14"/>
        <rFont val="Times New Roman"/>
        <family val="1"/>
      </rPr>
      <t xml:space="preserve"> F &amp; B</t>
    </r>
  </si>
  <si>
    <t>Septic tank - cover slab</t>
  </si>
  <si>
    <t>D/f Man hole cover</t>
  </si>
  <si>
    <t xml:space="preserve"> baffle wall beam - septic tank </t>
  </si>
  <si>
    <r>
      <rPr>
        <b/>
        <sz val="14"/>
        <rFont val="Times New Roman"/>
        <family val="1"/>
      </rPr>
      <t>Brick work in cm 1:5</t>
    </r>
    <r>
      <rPr>
        <sz val="14"/>
        <rFont val="Times New Roman"/>
        <family val="1"/>
      </rPr>
      <t xml:space="preserve"> in </t>
    </r>
    <r>
      <rPr>
        <b/>
        <sz val="14"/>
        <rFont val="Times New Roman"/>
        <family val="1"/>
      </rPr>
      <t>foundation and basement</t>
    </r>
  </si>
  <si>
    <t xml:space="preserve">I st footing - ST </t>
  </si>
  <si>
    <t xml:space="preserve">II nd footing  - ST </t>
  </si>
  <si>
    <t xml:space="preserve">III nd footing - ST </t>
  </si>
  <si>
    <t>Chamber</t>
  </si>
  <si>
    <t xml:space="preserve">Baffle wall - ST </t>
  </si>
  <si>
    <t>Vent pipe</t>
  </si>
  <si>
    <r>
      <rPr>
        <b/>
        <sz val="14"/>
        <rFont val="Times New Roman"/>
        <family val="1"/>
      </rPr>
      <t>Providing precast concrete slab</t>
    </r>
    <r>
      <rPr>
        <sz val="14"/>
        <rFont val="Times New Roman"/>
        <family val="1"/>
      </rPr>
      <t xml:space="preserve"> for cupboard ward robes shelves, cover slab for chambers      </t>
    </r>
    <r>
      <rPr>
        <b/>
        <sz val="14"/>
        <rFont val="Times New Roman"/>
        <family val="1"/>
      </rPr>
      <t>II. 40 mm tk</t>
    </r>
  </si>
  <si>
    <t>Man hole cover slab</t>
  </si>
  <si>
    <r>
      <rPr>
        <b/>
        <sz val="14"/>
        <rFont val="Times New Roman"/>
        <family val="1"/>
      </rPr>
      <t>Plastering</t>
    </r>
    <r>
      <rPr>
        <sz val="14"/>
        <rFont val="Times New Roman"/>
        <family val="1"/>
      </rPr>
      <t xml:space="preserve"> the top of flooring in </t>
    </r>
    <r>
      <rPr>
        <b/>
        <sz val="14"/>
        <rFont val="Times New Roman"/>
        <family val="1"/>
      </rPr>
      <t>cm 1:4, 20mm thick</t>
    </r>
    <r>
      <rPr>
        <sz val="14"/>
        <rFont val="Times New Roman"/>
        <family val="1"/>
      </rPr>
      <t xml:space="preserve"> </t>
    </r>
  </si>
  <si>
    <t>For inspection chamber</t>
  </si>
  <si>
    <t xml:space="preserve">Plastering with C.M 1:5, 12mm thick </t>
  </si>
  <si>
    <t>Septic tank -  outer alr Ist footing</t>
  </si>
  <si>
    <t>Septic tank -  outer alr IInd footing</t>
  </si>
  <si>
    <t>Septic tank -  outer alr IIInd footing</t>
  </si>
  <si>
    <t>Chamber outer</t>
  </si>
  <si>
    <t>Add vent pipe</t>
  </si>
  <si>
    <t>For top of vent pipe</t>
  </si>
  <si>
    <t xml:space="preserve">Plastering with CM 1:4, 12mm thick </t>
  </si>
  <si>
    <t>Inside of septic tank</t>
  </si>
  <si>
    <t>Chamber inside</t>
  </si>
  <si>
    <t>Baffle wall both sides</t>
  </si>
  <si>
    <r>
      <t xml:space="preserve">Supplying and fixing the following dia PVC(SWR) pipe type 'A' with </t>
    </r>
    <r>
      <rPr>
        <b/>
        <sz val="14"/>
        <rFont val="Times New Roman"/>
        <family val="1"/>
      </rPr>
      <t>PVC cowl</t>
    </r>
    <r>
      <rPr>
        <sz val="14"/>
        <rFont val="Times New Roman"/>
        <family val="1"/>
      </rPr>
      <t xml:space="preserve"> 
a) 110mm dia </t>
    </r>
  </si>
  <si>
    <t>For septic tank</t>
  </si>
  <si>
    <r>
      <t xml:space="preserve">Supplying, fabricating and placing in position of  </t>
    </r>
    <r>
      <rPr>
        <b/>
        <sz val="14"/>
        <rFont val="Times New Roman"/>
        <family val="1"/>
      </rPr>
      <t>Mild steel Grills / Ribbed Tor Steels</t>
    </r>
    <r>
      <rPr>
        <sz val="14"/>
        <rFont val="Times New Roman"/>
        <family val="1"/>
      </rPr>
      <t xml:space="preserve"> </t>
    </r>
  </si>
  <si>
    <r>
      <t>Kg/m</t>
    </r>
    <r>
      <rPr>
        <b/>
        <vertAlign val="superscript"/>
        <sz val="14"/>
        <rFont val="Times New Roman"/>
        <family val="1"/>
      </rPr>
      <t>3</t>
    </r>
  </si>
  <si>
    <t>Qty as per RCC Qty item no: 8</t>
  </si>
  <si>
    <t>Qty as per Qty item no: 11</t>
  </si>
  <si>
    <r>
      <rPr>
        <b/>
        <sz val="14"/>
        <rFont val="Times New Roman"/>
        <family val="1"/>
      </rPr>
      <t xml:space="preserve">Providing Form work </t>
    </r>
    <r>
      <rPr>
        <sz val="14"/>
        <rFont val="Times New Roman"/>
        <family val="1"/>
      </rPr>
      <t xml:space="preserve">and centering for reinforced cement concrete works </t>
    </r>
  </si>
  <si>
    <t>a.) For Column footings,plinth beam,Grade beam, Raft beam, Raft slab etc.,</t>
  </si>
  <si>
    <t>Baffle wall beam - outer alround</t>
  </si>
  <si>
    <t xml:space="preserve">Baffle wall bottom </t>
  </si>
  <si>
    <t>b.) Plain surfaces such as Roof slab, floorslab, Beams, lintels, lofts, sill slab, staircase, portico slab and other similar works</t>
  </si>
  <si>
    <t>Alr of slab - ST 2</t>
  </si>
  <si>
    <t>Add MH cover slab</t>
  </si>
  <si>
    <t>Septic tank  slab bottom</t>
  </si>
  <si>
    <t>UPVC Non Pressure  pipe of SN8 SDR 34 ( S 16.5) as per IS 15328/2003</t>
  </si>
  <si>
    <t>Septic tank to I/C</t>
  </si>
  <si>
    <t>SFRC Chamber cover slab</t>
  </si>
  <si>
    <t>Inlet and Outlet Chamber</t>
  </si>
  <si>
    <t xml:space="preserve">                        JE/AE                                AEE/CDL                                    EE/Salem</t>
  </si>
  <si>
    <t>CCTV Camera arrangements</t>
  </si>
  <si>
    <t>Supplying and installation dome WDR (white  dynamic range) IP camera of approved make sensor size 1/3 inch Minimum 4 mega pixel,lese size/foal length:3.6mm,minimum illumination 0.03lux(color).Usage: Indoor&amp;outdoor vandal proof. Video resolution :2592 x 1520 or higher.Sensor scan Type:Progressive Scan COMS.Frame rate Max :20 fps@ 4MP (2560x1440) , Max : 30 fps @MP (2048x 1520),Max :30 fps @ 1080P (1920 x 1080). Digital Zoom:10x  or  Higher,IR Distance minimum illumination of 30 meter with automatic IR cut filter. Network protocol: IPv4,IGMP,ICMP,ARP,TCP,UDP,DHcp,PPPoE RTP,RTSP,RTCP,DNS,DDNS,NTP,FTP,UPnP,HTTP,HTTPS,SMPT,</t>
  </si>
  <si>
    <t>802.1x ONVIF.API. Functional Specification : ONVIF profile S profile T complaint ICR(IR cut filter removable): IR cut  Filter with auto switch. Shutter speed:   1-1/100000 Camera software  features: Motion detection,Ntrusion cross line,motion detection , scene change e-mail notification, FTP image,video upload, Event triggered recording pre and post alarm  buffer,</t>
  </si>
  <si>
    <t>features including snapshot, live view, video recording,repaly intellience alarm,digital zoom manual focus full screen view  and bandwidth control are should be accessible via web interface  pf IP Camera.Port RJ45-10/100 or higher (1x 10/100 BASE-T autosensing RJ-45 PoE Ethernet Port). The Camera should support PoE (power over Ethernet) ROI: the camera should support 6 ROI ( Region of Internet) Streaming : The camera shall support 6 ROI ( Region of Internet) Streaming : The camera shall support minimum 3 streams compression: The camera shall support H.264 H.265 compression techonology.Private mask: minimum 6 areas Environment operating tempreature -10 degree celsius humidity Certification: CE/FCC.BIS,UL/ERTL/ETDC etc..</t>
  </si>
  <si>
    <t>Outer</t>
  </si>
  <si>
    <t xml:space="preserve">Supplying and installation BULLET WDR (Wide Dynamic range) IP </t>
  </si>
  <si>
    <r>
      <t>Camera</t>
    </r>
    <r>
      <rPr>
        <b/>
        <sz val="14"/>
        <color theme="1"/>
        <rFont val="Times New Roman"/>
        <family val="1"/>
      </rPr>
      <t xml:space="preserve"> </t>
    </r>
    <r>
      <rPr>
        <sz val="14"/>
        <color theme="1"/>
        <rFont val="Times New Roman"/>
        <family val="1"/>
      </rPr>
      <t>(Varifocal 1 )of approved make Sensor size: 1/3 inch,</t>
    </r>
  </si>
  <si>
    <t xml:space="preserve">minimum 5 megal pixel lense size/ Focal length: 3.6 mm minimum </t>
  </si>
  <si>
    <t>illumination-B/W:0 Lux Minimum illumination - 0.03 lux (color) .</t>
  </si>
  <si>
    <t>Usage: Indoor&amp; Outdoor vandal proof.Video resolution:2592x1520</t>
  </si>
  <si>
    <t>or higher,sensor scan type :Progressive scan COMS Frame rate:Max</t>
  </si>
  <si>
    <t>20 fps @4MP (2592 x 1520) ,max 25fps @4mp (2560 xq440),max</t>
  </si>
  <si>
    <t>30 fps @3MP (2048 x 1520),max 30 fps  @ 1080P (1920 x 1080).</t>
  </si>
  <si>
    <t xml:space="preserve">Digital zoom 10 x or higher IR distance minimum illumination of </t>
  </si>
  <si>
    <t>30m with automatic IR cut filter Network protocols Ipv4,</t>
  </si>
  <si>
    <t>JGMP,ICMP,ARP,TCP,UDP,DHCP,PPPoE,RTP,RTSP,RTCP,DNS,DDNS,</t>
  </si>
  <si>
    <t xml:space="preserve">ONVIF,API, auto switch.Shutter speed 1-1/100000 camera software </t>
  </si>
  <si>
    <t>features : Motion detection ntrusion cross line motion detetion</t>
  </si>
  <si>
    <t>scene change ,e- mail notification,1-1p image video upload ,</t>
  </si>
  <si>
    <t>Event triggered recording pre and post alarm buffer featurres including</t>
  </si>
  <si>
    <t>snapshot live view video recording re-paly intelligence alarm</t>
  </si>
  <si>
    <t>digital zoom manual focus ,full screen view and bandwidth control</t>
  </si>
  <si>
    <t xml:space="preserve">are should be accessible  via web interface of IP camera. Port </t>
  </si>
  <si>
    <t>RJ45-10/100 or higher (1x10/100 BASE-T autosensing RJ-45 PoE</t>
  </si>
  <si>
    <t xml:space="preserve"> Ethernet Port).The camera should support 6 ROI (region of Internet)</t>
  </si>
  <si>
    <t>Streaming: The camera shall support H.2264,H-265,MJPEG compression</t>
  </si>
  <si>
    <t>techonology.Privach mask:minimmum 6 area environment. Operating</t>
  </si>
  <si>
    <t>temperature 10 degree celsius to 60 degree celsius humidity operating</t>
  </si>
  <si>
    <t>10% 10 95% weatherproof standard; IP67&amp;IK10 Certification</t>
  </si>
  <si>
    <t xml:space="preserve">CEFCC,BIS, UD/ERTL,ETDC etc.. </t>
  </si>
  <si>
    <t>front</t>
  </si>
  <si>
    <t xml:space="preserve">Supplying and installation of NVR (Network Video Rcorder) of approved </t>
  </si>
  <si>
    <t xml:space="preserve">make :16 channels N VR.NO of camera supported: 16 channels, </t>
  </si>
  <si>
    <t>Compression formate: H264,1126,MJPEG,H265- Video resolution:</t>
  </si>
  <si>
    <t>3840x2160,1920 x 1080, 1280 x 1024, 1280 x 720, 1024x 768.</t>
  </si>
  <si>
    <t xml:space="preserve"> Recording mode: Manual scehdule Regular,continious, MD Video </t>
  </si>
  <si>
    <t>detection, motion detection video loss. Stop Playback: Play, Pause, Stop</t>
  </si>
  <si>
    <t>rewind, fast replay,slow play,nexxt file previous file, next camera</t>
  </si>
  <si>
    <t>previous,camera full screen, digital zoom,backup mode,USB device</t>
  </si>
  <si>
    <t xml:space="preserve">network,Interface Ports HDM1,(4R support),VGA,2 USB port USB2 0, </t>
  </si>
  <si>
    <t>1 GSB,3.0 , Performance: incoming bandwidth 160 mps outgoing</t>
  </si>
  <si>
    <t>bandwidth 320mps Ethernet 2nos,of RJ-45 Pon (10/100m:1000M0</t>
  </si>
  <si>
    <t>protocol HTTP,HTTPS,RTPS,UDP,SMTP,NTP,DHCP,DNS,DDNS,UDP</t>
  </si>
  <si>
    <t>ETH IP oprn standard,Support ONVIF,Profile S profile -O Support ONVIP</t>
  </si>
  <si>
    <t xml:space="preserve">Support min2 each slot with 8 TB capacity. Alarm in :8 or Higher@ </t>
  </si>
  <si>
    <t>Alaram Out :2 or higher etc..</t>
  </si>
  <si>
    <t>Inner</t>
  </si>
  <si>
    <t xml:space="preserve">Supplying and installation of Hard Disk - 4TB surviliance hard disk (or) higher capacity of approved make ( The Brand &amp; make should be got approved from the Executive engineer before erection including  manufacturing cost,supply and installation in sutiable location </t>
  </si>
  <si>
    <t>Supplying and Installation of 6U Rack ( Wall mounting ) with 3 power socket and cooling fan of approved brand. ( The brand model should be  got approved before supply including cost of manufacturing supply and installation in sutiable place. (Location should be got approved ) confriming to the standard specification including cost of 5 pin power plug socket and providing and fixing of wall mounting cooling fan .</t>
  </si>
  <si>
    <t>Supplying and Installation of 1 MTr CAT 6 multistandard UTP patch card cable connecting to a router switch and as per the requirement the model and brand should be got approved from the executive engineer  before use including cost,conveyance fixing and checking confirimation to working good condition.</t>
  </si>
  <si>
    <t>for CCTV</t>
  </si>
  <si>
    <t xml:space="preserve">Supplying and Instllation of HDM1 cable 10 mtrs for inter connection cost of system of approved brand including coast.conveyance and labour charge etc. </t>
  </si>
  <si>
    <t xml:space="preserve">Supplying and installation of 32 inch full HD Display Screen Size: 32 inch, Resolution 1920 x 1080,ports: HDM1- 2 and VGA USB Viewing angle :178 degree x 178 degree. Operating Condition 24 hours of approved brand. (The brand and quality shall be got approved from before supplying and including cost of manufacturing supply and installation in suitable places </t>
  </si>
  <si>
    <t xml:space="preserve">Supplying and installation of 1 inch PVC pipe with fixing accessories including cost of labour charges  </t>
  </si>
  <si>
    <t>Supplying and laying charges for UTP cable laying charges</t>
  </si>
  <si>
    <t xml:space="preserve">Supplying and fixing of camera Pvc box of approveed make including cost and labour for laying </t>
  </si>
  <si>
    <t>Supplying and fixing of  360 degree doom camera at 4 mega pixel of25x200mm ivr approveed make including cost</t>
  </si>
  <si>
    <t>outer front</t>
  </si>
  <si>
    <t>Supplying and installation charges for camera fixing and configuration including cost and labour for laying</t>
  </si>
  <si>
    <t xml:space="preserve">                      JE/AE                                   AEE/CDL                                   EE/SLM</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</si>
</sst>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5" formatCode="&quot;₹&quot;\ #,##0;&quot;₹&quot;\ \-#,##0"/>
    <numFmt numFmtId="44" formatCode="_ &quot;₹&quot;\ * #,##0.00_ ;_ &quot;₹&quot;\ * \-#,##0.00_ ;_ &quot;₹&quot;\ * &quot;-&quot;??_ ;_ @_ "/>
    <numFmt numFmtId="164" formatCode="&quot;$&quot;#,##0_);\(&quot;$&quot;#,##0\)"/>
    <numFmt numFmtId="165" formatCode="&quot;$&quot;#,##0_);[Red]\(&quot;$&quot;#,##0\)"/>
    <numFmt numFmtId="166" formatCode="_(&quot;$&quot;* #,##0_);_(&quot;$&quot;* \(#,##0\);_(&quot;$&quot;* &quot;-&quot;_);_(@_)"/>
    <numFmt numFmtId="167" formatCode="_(&quot;$&quot;* #,##0.00_);_(&quot;$&quot;* \(#,##0.00\);_(&quot;$&quot;* &quot;-&quot;??_);_(@_)"/>
    <numFmt numFmtId="168" formatCode="_(* #,##0.00_);_(* \(#,##0.00\);_(* &quot;-&quot;??_);_(@_)"/>
    <numFmt numFmtId="169" formatCode="&quot;Rs.&quot;\ #,##0;&quot;Rs.&quot;\ \-#,##0"/>
    <numFmt numFmtId="170" formatCode="&quot;Rs.&quot;\ #,##0.00;[Red]&quot;Rs.&quot;\ \-#,##0.00"/>
    <numFmt numFmtId="171" formatCode="0.00_)"/>
    <numFmt numFmtId="172" formatCode="0_)"/>
    <numFmt numFmtId="173" formatCode="0.000_)"/>
    <numFmt numFmtId="174" formatCode="0.0_)"/>
    <numFmt numFmtId="175" formatCode="0.00000_)"/>
    <numFmt numFmtId="176" formatCode="0.0000_)"/>
    <numFmt numFmtId="177" formatCode="0.000000_)"/>
    <numFmt numFmtId="178" formatCode="0.0"/>
    <numFmt numFmtId="179" formatCode="0.000"/>
    <numFmt numFmtId="180" formatCode="0.0000"/>
    <numFmt numFmtId="181" formatCode="0.00000000_)"/>
    <numFmt numFmtId="182" formatCode="0.000000"/>
    <numFmt numFmtId="183" formatCode="_-&quot;€&quot;* #,##0.00_-;\-&quot;€&quot;* #,##0.00_-;_-&quot;€&quot;* &quot;-&quot;??_-;_-@_-"/>
    <numFmt numFmtId="184" formatCode="0\ "/>
    <numFmt numFmtId="185" formatCode="&quot;€&quot;#,##0;\-&quot;€&quot;#,##0"/>
    <numFmt numFmtId="186" formatCode="&quot;£&quot;#,##0;[Red]\-&quot;£&quot;#,##0"/>
    <numFmt numFmtId="187" formatCode="&quot;RS.&quot;\ #,##0;&quot;RS.&quot;\ \-#,##0"/>
    <numFmt numFmtId="188" formatCode="_(* #,##0.0_);_(* \(#,##0.0\);_(* &quot;-&quot;??_);_(@_)"/>
  </numFmts>
  <fonts count="245">
    <font>
      <sz val="12"/>
      <name val="Helv"/>
    </font>
    <font>
      <sz val="11"/>
      <color theme="1"/>
      <name val="Calibri"/>
      <family val="2"/>
      <scheme val="minor"/>
    </font>
    <font>
      <sz val="11"/>
      <color theme="1"/>
      <name val="Calibri"/>
      <family val="2"/>
      <scheme val="minor"/>
    </font>
    <font>
      <sz val="10"/>
      <name val="Arial"/>
      <family val="2"/>
    </font>
    <font>
      <b/>
      <sz val="14"/>
      <name val="Arial"/>
      <family val="2"/>
    </font>
    <font>
      <b/>
      <sz val="12"/>
      <name val="Arial"/>
      <family val="2"/>
    </font>
    <font>
      <b/>
      <sz val="12"/>
      <name val="Helv"/>
    </font>
    <font>
      <sz val="12"/>
      <name val="Helv"/>
    </font>
    <font>
      <sz val="8"/>
      <name val="Arial"/>
      <family val="2"/>
    </font>
    <font>
      <sz val="13"/>
      <name val="Arial"/>
      <family val="2"/>
    </font>
    <font>
      <b/>
      <sz val="13"/>
      <name val="Arial"/>
      <family val="2"/>
    </font>
    <font>
      <sz val="12"/>
      <name val="Arial"/>
      <family val="2"/>
    </font>
    <font>
      <sz val="14"/>
      <name val="Arial"/>
      <family val="2"/>
    </font>
    <font>
      <b/>
      <sz val="14"/>
      <name val="Helv"/>
    </font>
    <font>
      <b/>
      <sz val="15"/>
      <name val="Arial"/>
      <family val="2"/>
    </font>
    <font>
      <sz val="15"/>
      <name val="Arial"/>
      <family val="2"/>
    </font>
    <font>
      <sz val="10"/>
      <name val="Arial"/>
      <family val="2"/>
    </font>
    <font>
      <b/>
      <u/>
      <sz val="12"/>
      <name val="Arial"/>
      <family val="2"/>
    </font>
    <font>
      <sz val="13"/>
      <name val="Arial Narrow"/>
      <family val="2"/>
    </font>
    <font>
      <b/>
      <sz val="13"/>
      <name val="Arial Narrow"/>
      <family val="2"/>
    </font>
    <font>
      <sz val="16"/>
      <name val="Arial Narrow"/>
      <family val="2"/>
    </font>
    <font>
      <sz val="15"/>
      <name val="Arial Narrow"/>
      <family val="2"/>
    </font>
    <font>
      <b/>
      <sz val="15"/>
      <name val="Arial Narrow"/>
      <family val="2"/>
    </font>
    <font>
      <vertAlign val="superscript"/>
      <sz val="11"/>
      <color indexed="8"/>
      <name val="Calibri"/>
      <family val="2"/>
    </font>
    <font>
      <b/>
      <vertAlign val="superscript"/>
      <sz val="11"/>
      <color indexed="8"/>
      <name val="Calibri"/>
      <family val="2"/>
    </font>
    <font>
      <sz val="11"/>
      <color indexed="8"/>
      <name val="Calibri"/>
      <family val="2"/>
    </font>
    <font>
      <b/>
      <sz val="12"/>
      <name val="Times New Roman"/>
      <family val="1"/>
    </font>
    <font>
      <sz val="12"/>
      <name val="Times New Roman"/>
      <family val="1"/>
    </font>
    <font>
      <sz val="14"/>
      <name val="Times New Roman"/>
      <family val="1"/>
    </font>
    <font>
      <sz val="9"/>
      <name val="Times New Roman"/>
      <family val="1"/>
    </font>
    <font>
      <b/>
      <i/>
      <sz val="16"/>
      <name val="Helv"/>
    </font>
    <font>
      <sz val="10"/>
      <name val="Helv"/>
      <charset val="204"/>
    </font>
    <font>
      <b/>
      <sz val="11"/>
      <name val="Times New Roman"/>
      <family val="1"/>
    </font>
    <font>
      <vertAlign val="superscript"/>
      <sz val="12"/>
      <name val="Times New Roman"/>
      <family val="1"/>
    </font>
    <font>
      <b/>
      <sz val="12"/>
      <color indexed="8"/>
      <name val="Times New Roman"/>
      <family val="1"/>
    </font>
    <font>
      <vertAlign val="superscript"/>
      <sz val="12"/>
      <color indexed="8"/>
      <name val="Times New Roman"/>
      <family val="1"/>
    </font>
    <font>
      <b/>
      <sz val="10"/>
      <color indexed="8"/>
      <name val="Times New Roman"/>
      <family val="1"/>
    </font>
    <font>
      <sz val="11"/>
      <color theme="1"/>
      <name val="Calibri"/>
      <family val="2"/>
      <scheme val="minor"/>
    </font>
    <font>
      <u/>
      <sz val="11"/>
      <color theme="10"/>
      <name val="Calibri"/>
      <family val="2"/>
    </font>
    <font>
      <sz val="11"/>
      <color rgb="FF000000"/>
      <name val="Calibri"/>
      <family val="2"/>
    </font>
    <font>
      <b/>
      <sz val="11"/>
      <color theme="1"/>
      <name val="Calibri"/>
      <family val="2"/>
      <scheme val="minor"/>
    </font>
    <font>
      <sz val="12"/>
      <color rgb="FFFF0000"/>
      <name val="Helv"/>
    </font>
    <font>
      <sz val="12"/>
      <color theme="1" tint="4.9989318521683403E-2"/>
      <name val="Helv"/>
    </font>
    <font>
      <b/>
      <sz val="12"/>
      <color theme="0"/>
      <name val="Arial"/>
      <family val="2"/>
    </font>
    <font>
      <sz val="12"/>
      <color theme="8" tint="-0.249977111117893"/>
      <name val="Helv"/>
    </font>
    <font>
      <b/>
      <sz val="12"/>
      <color theme="1" tint="4.9989318521683403E-2"/>
      <name val="Helv"/>
    </font>
    <font>
      <b/>
      <sz val="13"/>
      <color theme="1"/>
      <name val="Arial Narrow"/>
      <family val="2"/>
    </font>
    <font>
      <b/>
      <u/>
      <sz val="13"/>
      <color theme="1"/>
      <name val="Arial Narrow"/>
      <family val="2"/>
    </font>
    <font>
      <b/>
      <u/>
      <sz val="16"/>
      <color theme="1"/>
      <name val="Arial Narrow"/>
      <family val="2"/>
    </font>
    <font>
      <b/>
      <sz val="12"/>
      <color theme="1"/>
      <name val="Times New Roman"/>
      <family val="1"/>
    </font>
    <font>
      <sz val="12"/>
      <color theme="0"/>
      <name val="Times New Roman"/>
      <family val="1"/>
    </font>
    <font>
      <sz val="13"/>
      <color rgb="FFFF0000"/>
      <name val="Arial Narrow"/>
      <family val="2"/>
    </font>
    <font>
      <sz val="12"/>
      <color rgb="FFFF0000"/>
      <name val="Times New Roman"/>
      <family val="1"/>
    </font>
    <font>
      <sz val="12"/>
      <color theme="1"/>
      <name val="Times New Roman"/>
      <family val="1"/>
    </font>
    <font>
      <sz val="12"/>
      <color theme="9" tint="-0.499984740745262"/>
      <name val="Times New Roman"/>
      <family val="1"/>
    </font>
    <font>
      <b/>
      <sz val="16"/>
      <color theme="1"/>
      <name val="Calibri"/>
      <family val="2"/>
      <scheme val="minor"/>
    </font>
    <font>
      <sz val="11"/>
      <color rgb="FFFF0000"/>
      <name val="Calibri"/>
      <family val="2"/>
      <scheme val="minor"/>
    </font>
    <font>
      <b/>
      <sz val="12"/>
      <color theme="1"/>
      <name val="Calibri"/>
      <family val="2"/>
      <scheme val="minor"/>
    </font>
    <font>
      <vertAlign val="superscript"/>
      <sz val="11"/>
      <color theme="1"/>
      <name val="Calibri"/>
      <family val="2"/>
      <scheme val="minor"/>
    </font>
    <font>
      <b/>
      <sz val="20"/>
      <color theme="1"/>
      <name val="Calibri"/>
      <family val="2"/>
      <scheme val="minor"/>
    </font>
    <font>
      <b/>
      <sz val="11"/>
      <color rgb="FFFF0000"/>
      <name val="Calibri"/>
      <family val="2"/>
      <scheme val="minor"/>
    </font>
    <font>
      <sz val="12"/>
      <name val="Cambria"/>
      <family val="1"/>
      <scheme val="major"/>
    </font>
    <font>
      <b/>
      <u/>
      <sz val="14"/>
      <name val="Cambria"/>
      <family val="1"/>
      <scheme val="major"/>
    </font>
    <font>
      <b/>
      <sz val="12"/>
      <name val="Cambria"/>
      <family val="1"/>
      <scheme val="major"/>
    </font>
    <font>
      <sz val="12"/>
      <color indexed="10"/>
      <name val="Cambria"/>
      <family val="1"/>
      <scheme val="major"/>
    </font>
    <font>
      <sz val="12"/>
      <color rgb="FFFF0000"/>
      <name val="Cambria"/>
      <family val="1"/>
      <scheme val="major"/>
    </font>
    <font>
      <sz val="12"/>
      <color rgb="FFFFFF00"/>
      <name val="Cambria"/>
      <family val="1"/>
      <scheme val="major"/>
    </font>
    <font>
      <u/>
      <sz val="12"/>
      <name val="Cambria"/>
      <family val="1"/>
      <scheme val="major"/>
    </font>
    <font>
      <vertAlign val="superscript"/>
      <sz val="12"/>
      <name val="Cambria"/>
      <family val="1"/>
      <scheme val="major"/>
    </font>
    <font>
      <b/>
      <u/>
      <sz val="12"/>
      <name val="Cambria"/>
      <family val="1"/>
      <scheme val="major"/>
    </font>
    <font>
      <b/>
      <sz val="14"/>
      <name val="Cambria"/>
      <family val="1"/>
      <scheme val="major"/>
    </font>
    <font>
      <sz val="12"/>
      <color theme="0"/>
      <name val="Cambria"/>
      <family val="1"/>
      <scheme val="major"/>
    </font>
    <font>
      <sz val="12"/>
      <color rgb="FFFFC000"/>
      <name val="Cambria"/>
      <family val="1"/>
      <scheme val="major"/>
    </font>
    <font>
      <b/>
      <sz val="20"/>
      <name val="Cambria"/>
      <family val="1"/>
      <scheme val="major"/>
    </font>
    <font>
      <sz val="12"/>
      <color indexed="14"/>
      <name val="Cambria"/>
      <family val="1"/>
      <scheme val="major"/>
    </font>
    <font>
      <b/>
      <sz val="12"/>
      <color indexed="10"/>
      <name val="Cambria"/>
      <family val="1"/>
      <scheme val="major"/>
    </font>
    <font>
      <b/>
      <sz val="12"/>
      <color theme="0"/>
      <name val="Cambria"/>
      <family val="1"/>
      <scheme val="major"/>
    </font>
    <font>
      <sz val="12"/>
      <color indexed="12"/>
      <name val="Cambria"/>
      <family val="1"/>
      <scheme val="major"/>
    </font>
    <font>
      <sz val="12"/>
      <color rgb="FF00B0F0"/>
      <name val="Cambria"/>
      <family val="1"/>
      <scheme val="major"/>
    </font>
    <font>
      <sz val="11.9"/>
      <name val="Cambria"/>
      <family val="1"/>
      <scheme val="major"/>
    </font>
    <font>
      <sz val="10"/>
      <name val="Cambria"/>
      <family val="1"/>
      <scheme val="major"/>
    </font>
    <font>
      <b/>
      <sz val="10"/>
      <name val="Cambria"/>
      <family val="1"/>
      <scheme val="major"/>
    </font>
    <font>
      <sz val="10"/>
      <color rgb="FFFF0000"/>
      <name val="Cambria"/>
      <family val="1"/>
      <scheme val="major"/>
    </font>
    <font>
      <sz val="10"/>
      <color rgb="FFFFFF00"/>
      <name val="Cambria"/>
      <family val="1"/>
      <scheme val="major"/>
    </font>
    <font>
      <vertAlign val="superscript"/>
      <sz val="10"/>
      <name val="Cambria"/>
      <family val="1"/>
      <scheme val="major"/>
    </font>
    <font>
      <b/>
      <sz val="9"/>
      <name val="Cambria"/>
      <family val="1"/>
      <scheme val="major"/>
    </font>
    <font>
      <sz val="10"/>
      <color indexed="10"/>
      <name val="Cambria"/>
      <family val="1"/>
      <scheme val="major"/>
    </font>
    <font>
      <sz val="8"/>
      <name val="Cambria"/>
      <family val="1"/>
      <scheme val="major"/>
    </font>
    <font>
      <b/>
      <sz val="16"/>
      <name val="Cambria"/>
      <family val="1"/>
      <scheme val="major"/>
    </font>
    <font>
      <b/>
      <sz val="11"/>
      <name val="Cambria"/>
      <family val="1"/>
      <scheme val="major"/>
    </font>
    <font>
      <sz val="12"/>
      <color indexed="8"/>
      <name val="Cambria"/>
      <family val="1"/>
      <scheme val="major"/>
    </font>
    <font>
      <b/>
      <sz val="12"/>
      <color rgb="FFFF0000"/>
      <name val="Cambria"/>
      <family val="1"/>
      <scheme val="major"/>
    </font>
    <font>
      <sz val="11"/>
      <name val="Cambria"/>
      <family val="1"/>
      <scheme val="major"/>
    </font>
    <font>
      <sz val="13"/>
      <name val="Cambria"/>
      <family val="1"/>
      <scheme val="major"/>
    </font>
    <font>
      <sz val="12"/>
      <color rgb="FFFF00FF"/>
      <name val="Cambria"/>
      <family val="1"/>
      <scheme val="major"/>
    </font>
    <font>
      <sz val="12"/>
      <color theme="3" tint="0.39997558519241921"/>
      <name val="Cambria"/>
      <family val="1"/>
      <scheme val="major"/>
    </font>
    <font>
      <sz val="12"/>
      <color indexed="11"/>
      <name val="Cambria"/>
      <family val="1"/>
      <scheme val="major"/>
    </font>
    <font>
      <sz val="12"/>
      <color rgb="FFFF66FF"/>
      <name val="Cambria"/>
      <family val="1"/>
      <scheme val="major"/>
    </font>
    <font>
      <sz val="12"/>
      <color indexed="13"/>
      <name val="Cambria"/>
      <family val="1"/>
      <scheme val="major"/>
    </font>
    <font>
      <sz val="12"/>
      <color theme="9" tint="0.59999389629810485"/>
      <name val="Cambria"/>
      <family val="1"/>
      <scheme val="major"/>
    </font>
    <font>
      <sz val="12"/>
      <color rgb="FF92D050"/>
      <name val="Cambria"/>
      <family val="1"/>
      <scheme val="major"/>
    </font>
    <font>
      <b/>
      <sz val="12"/>
      <color indexed="8"/>
      <name val="Cambria"/>
      <family val="1"/>
      <scheme val="major"/>
    </font>
    <font>
      <sz val="12"/>
      <color theme="9" tint="0.39997558519241921"/>
      <name val="Cambria"/>
      <family val="1"/>
      <scheme val="major"/>
    </font>
    <font>
      <sz val="20"/>
      <name val="Cambria"/>
      <family val="1"/>
      <scheme val="major"/>
    </font>
    <font>
      <b/>
      <sz val="12"/>
      <color indexed="13"/>
      <name val="Cambria"/>
      <family val="1"/>
      <scheme val="major"/>
    </font>
    <font>
      <sz val="12"/>
      <color theme="5"/>
      <name val="Cambria"/>
      <family val="1"/>
      <scheme val="major"/>
    </font>
    <font>
      <sz val="12"/>
      <color rgb="FF7030A0"/>
      <name val="Cambria"/>
      <family val="1"/>
      <scheme val="major"/>
    </font>
    <font>
      <sz val="12"/>
      <color rgb="FF0070C0"/>
      <name val="Cambria"/>
      <family val="1"/>
      <scheme val="major"/>
    </font>
    <font>
      <sz val="12"/>
      <color indexed="16"/>
      <name val="Cambria"/>
      <family val="1"/>
      <scheme val="major"/>
    </font>
    <font>
      <b/>
      <sz val="15"/>
      <color indexed="12"/>
      <name val="Cambria"/>
      <family val="1"/>
      <scheme val="major"/>
    </font>
    <font>
      <b/>
      <sz val="15"/>
      <name val="Cambria"/>
      <family val="1"/>
      <scheme val="major"/>
    </font>
    <font>
      <sz val="12"/>
      <color indexed="57"/>
      <name val="Cambria"/>
      <family val="1"/>
      <scheme val="major"/>
    </font>
    <font>
      <b/>
      <sz val="12"/>
      <color rgb="FFFFFF00"/>
      <name val="Cambria"/>
      <family val="1"/>
      <scheme val="major"/>
    </font>
    <font>
      <sz val="12"/>
      <color rgb="FFC00000"/>
      <name val="Cambria"/>
      <family val="1"/>
      <scheme val="major"/>
    </font>
    <font>
      <b/>
      <sz val="12"/>
      <color indexed="12"/>
      <name val="Cambria"/>
      <family val="1"/>
      <scheme val="major"/>
    </font>
    <font>
      <sz val="16"/>
      <name val="Cambria"/>
      <family val="1"/>
      <scheme val="major"/>
    </font>
    <font>
      <sz val="16"/>
      <color indexed="16"/>
      <name val="Cambria"/>
      <family val="1"/>
      <scheme val="major"/>
    </font>
    <font>
      <sz val="16"/>
      <color rgb="FFFFFF00"/>
      <name val="Cambria"/>
      <family val="1"/>
      <scheme val="major"/>
    </font>
    <font>
      <b/>
      <sz val="16"/>
      <color indexed="13"/>
      <name val="Cambria"/>
      <family val="1"/>
      <scheme val="major"/>
    </font>
    <font>
      <b/>
      <sz val="13"/>
      <name val="Cambria"/>
      <family val="1"/>
      <scheme val="major"/>
    </font>
    <font>
      <sz val="12"/>
      <color indexed="9"/>
      <name val="Cambria"/>
      <family val="1"/>
      <scheme val="major"/>
    </font>
    <font>
      <sz val="12"/>
      <color theme="6" tint="0.39997558519241921"/>
      <name val="Cambria"/>
      <family val="1"/>
      <scheme val="major"/>
    </font>
    <font>
      <sz val="12"/>
      <color theme="1"/>
      <name val="Cambria"/>
      <family val="1"/>
      <scheme val="major"/>
    </font>
    <font>
      <sz val="14"/>
      <name val="Cambria"/>
      <family val="1"/>
      <scheme val="major"/>
    </font>
    <font>
      <sz val="11"/>
      <color indexed="57"/>
      <name val="Cambria"/>
      <family val="1"/>
      <scheme val="major"/>
    </font>
    <font>
      <sz val="11"/>
      <color indexed="10"/>
      <name val="Cambria"/>
      <family val="1"/>
      <scheme val="major"/>
    </font>
    <font>
      <sz val="11"/>
      <color rgb="FFC00000"/>
      <name val="Cambria"/>
      <family val="1"/>
      <scheme val="major"/>
    </font>
    <font>
      <sz val="11"/>
      <color rgb="FFFFFF00"/>
      <name val="Cambria"/>
      <family val="1"/>
      <scheme val="major"/>
    </font>
    <font>
      <b/>
      <sz val="12"/>
      <color theme="1"/>
      <name val="Cambria"/>
      <family val="1"/>
      <scheme val="major"/>
    </font>
    <font>
      <sz val="12"/>
      <color theme="1" tint="4.9989318521683403E-2"/>
      <name val="Cambria"/>
      <family val="1"/>
      <scheme val="major"/>
    </font>
    <font>
      <b/>
      <sz val="12"/>
      <color theme="1" tint="4.9989318521683403E-2"/>
      <name val="Cambria"/>
      <family val="1"/>
      <scheme val="major"/>
    </font>
    <font>
      <sz val="12"/>
      <color theme="8" tint="-0.249977111117893"/>
      <name val="Cambria"/>
      <family val="1"/>
      <scheme val="major"/>
    </font>
    <font>
      <b/>
      <sz val="12"/>
      <color indexed="14"/>
      <name val="Cambria"/>
      <family val="1"/>
      <scheme val="major"/>
    </font>
    <font>
      <b/>
      <u/>
      <sz val="13"/>
      <name val="Cambria"/>
      <family val="1"/>
      <scheme val="major"/>
    </font>
    <font>
      <sz val="18"/>
      <color rgb="FFFFFF00"/>
      <name val="Cambria"/>
      <family val="1"/>
      <scheme val="major"/>
    </font>
    <font>
      <sz val="14"/>
      <color rgb="FFFF0000"/>
      <name val="Cambria"/>
      <family val="1"/>
      <scheme val="major"/>
    </font>
    <font>
      <sz val="12"/>
      <color indexed="17"/>
      <name val="Cambria"/>
      <family val="1"/>
      <scheme val="major"/>
    </font>
    <font>
      <sz val="13"/>
      <color rgb="FFFFFF00"/>
      <name val="Cambria"/>
      <family val="1"/>
      <scheme val="major"/>
    </font>
    <font>
      <sz val="13"/>
      <color rgb="FFFF0000"/>
      <name val="Cambria"/>
      <family val="1"/>
      <scheme val="major"/>
    </font>
    <font>
      <b/>
      <sz val="12"/>
      <color rgb="FFFF33CC"/>
      <name val="Cambria"/>
      <family val="1"/>
      <scheme val="major"/>
    </font>
    <font>
      <sz val="12"/>
      <color rgb="FFFF33CC"/>
      <name val="Cambria"/>
      <family val="1"/>
      <scheme val="major"/>
    </font>
    <font>
      <b/>
      <sz val="18"/>
      <name val="Cambria"/>
      <family val="1"/>
      <scheme val="major"/>
    </font>
    <font>
      <sz val="11"/>
      <color indexed="8"/>
      <name val="Cambria"/>
      <family val="1"/>
      <scheme val="major"/>
    </font>
    <font>
      <b/>
      <sz val="11"/>
      <color indexed="8"/>
      <name val="Cambria"/>
      <family val="1"/>
      <scheme val="major"/>
    </font>
    <font>
      <b/>
      <sz val="11"/>
      <color theme="1"/>
      <name val="Cambria"/>
      <family val="1"/>
      <scheme val="major"/>
    </font>
    <font>
      <b/>
      <sz val="16"/>
      <color theme="1"/>
      <name val="Cambria"/>
      <family val="1"/>
      <scheme val="major"/>
    </font>
    <font>
      <sz val="11"/>
      <color theme="1"/>
      <name val="Cambria"/>
      <family val="1"/>
      <scheme val="major"/>
    </font>
    <font>
      <b/>
      <sz val="14"/>
      <color theme="1"/>
      <name val="Cambria"/>
      <family val="1"/>
      <scheme val="major"/>
    </font>
    <font>
      <sz val="13"/>
      <color theme="1"/>
      <name val="Cambria"/>
      <family val="1"/>
      <scheme val="major"/>
    </font>
    <font>
      <b/>
      <sz val="13"/>
      <color theme="1"/>
      <name val="Cambria"/>
      <family val="1"/>
      <scheme val="major"/>
    </font>
    <font>
      <sz val="14"/>
      <color rgb="FFFFFF00"/>
      <name val="Cambria"/>
      <family val="1"/>
      <scheme val="major"/>
    </font>
    <font>
      <vertAlign val="superscript"/>
      <sz val="14"/>
      <name val="Cambria"/>
      <family val="1"/>
      <scheme val="major"/>
    </font>
    <font>
      <u/>
      <sz val="14"/>
      <name val="Cambria"/>
      <family val="1"/>
      <scheme val="major"/>
    </font>
    <font>
      <b/>
      <sz val="14"/>
      <color rgb="FFFF0000"/>
      <name val="Cambria"/>
      <family val="1"/>
      <scheme val="major"/>
    </font>
    <font>
      <b/>
      <sz val="14"/>
      <color theme="1"/>
      <name val="Times New Roman"/>
      <family val="1"/>
    </font>
    <font>
      <b/>
      <u/>
      <sz val="14"/>
      <color theme="1"/>
      <name val="Times New Roman"/>
      <family val="1"/>
    </font>
    <font>
      <b/>
      <sz val="13"/>
      <color theme="1"/>
      <name val="Times New Roman"/>
      <family val="1"/>
    </font>
    <font>
      <b/>
      <sz val="14"/>
      <name val="Times New Roman"/>
      <family val="1"/>
    </font>
    <font>
      <sz val="14"/>
      <color theme="1"/>
      <name val="Times New Roman"/>
      <family val="1"/>
    </font>
    <font>
      <sz val="13"/>
      <color theme="1"/>
      <name val="Times New Roman"/>
      <family val="1"/>
    </font>
    <font>
      <sz val="13"/>
      <name val="Times New Roman"/>
      <family val="1"/>
    </font>
    <font>
      <vertAlign val="superscript"/>
      <sz val="13"/>
      <name val="Times New Roman"/>
      <family val="1"/>
    </font>
    <font>
      <b/>
      <sz val="13"/>
      <name val="Times New Roman"/>
      <family val="1"/>
    </font>
    <font>
      <sz val="14"/>
      <color indexed="8"/>
      <name val="Times New Roman"/>
      <family val="1"/>
    </font>
    <font>
      <sz val="14"/>
      <color rgb="FF000000"/>
      <name val="Times New Roman"/>
      <family val="1"/>
    </font>
    <font>
      <sz val="11"/>
      <name val="Times New Roman"/>
      <family val="1"/>
    </font>
    <font>
      <sz val="14"/>
      <color indexed="10"/>
      <name val="Times New Roman"/>
      <family val="1"/>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5"/>
      <color indexed="62"/>
      <name val="Calibri"/>
      <family val="2"/>
    </font>
    <font>
      <b/>
      <sz val="13"/>
      <color indexed="56"/>
      <name val="Calibri"/>
      <family val="2"/>
    </font>
    <font>
      <b/>
      <sz val="13"/>
      <color indexed="62"/>
      <name val="Calibri"/>
      <family val="2"/>
    </font>
    <font>
      <b/>
      <sz val="11"/>
      <color indexed="56"/>
      <name val="Calibri"/>
      <family val="2"/>
    </font>
    <font>
      <b/>
      <sz val="11"/>
      <color indexed="62"/>
      <name val="Calibri"/>
      <family val="2"/>
    </font>
    <font>
      <u/>
      <sz val="10"/>
      <color indexed="12"/>
      <name val="Arial"/>
      <family val="2"/>
    </font>
    <font>
      <sz val="11"/>
      <color indexed="62"/>
      <name val="Calibri"/>
      <family val="2"/>
    </font>
    <font>
      <sz val="12"/>
      <name val="Bookman Old Style"/>
      <family val="1"/>
    </font>
    <font>
      <sz val="11"/>
      <color indexed="52"/>
      <name val="Calibri"/>
      <family val="2"/>
    </font>
    <font>
      <sz val="10"/>
      <name val="Arabic Transparent"/>
      <charset val="178"/>
    </font>
    <font>
      <sz val="11"/>
      <color indexed="60"/>
      <name val="Calibri"/>
      <family val="2"/>
    </font>
    <font>
      <sz val="12"/>
      <name val="Helv"/>
      <family val="2"/>
    </font>
    <font>
      <b/>
      <sz val="11"/>
      <color indexed="63"/>
      <name val="Calibri"/>
      <family val="2"/>
    </font>
    <font>
      <b/>
      <sz val="18"/>
      <color indexed="56"/>
      <name val="Cambria"/>
      <family val="1"/>
    </font>
    <font>
      <b/>
      <sz val="18"/>
      <color indexed="62"/>
      <name val="Cambria"/>
      <family val="2"/>
    </font>
    <font>
      <b/>
      <sz val="11"/>
      <color indexed="8"/>
      <name val="Calibri"/>
      <family val="2"/>
    </font>
    <font>
      <sz val="11"/>
      <color indexed="10"/>
      <name val="Calibri"/>
      <family val="2"/>
    </font>
    <font>
      <b/>
      <u/>
      <sz val="16"/>
      <name val="Arial"/>
      <family val="2"/>
    </font>
    <font>
      <b/>
      <sz val="16"/>
      <name val="Arial"/>
      <family val="2"/>
    </font>
    <font>
      <sz val="50"/>
      <name val="Cambria"/>
      <family val="1"/>
      <scheme val="major"/>
    </font>
    <font>
      <b/>
      <sz val="50"/>
      <name val="Cambria"/>
      <family val="1"/>
      <scheme val="major"/>
    </font>
    <font>
      <b/>
      <sz val="50"/>
      <color theme="1"/>
      <name val="Cambria"/>
      <family val="1"/>
      <scheme val="major"/>
    </font>
    <font>
      <sz val="50"/>
      <color theme="1"/>
      <name val="Cambria"/>
      <family val="1"/>
      <scheme val="major"/>
    </font>
    <font>
      <sz val="50"/>
      <color rgb="FFFF0000"/>
      <name val="Cambria"/>
      <family val="1"/>
      <scheme val="major"/>
    </font>
    <font>
      <b/>
      <sz val="50"/>
      <color rgb="FFFF0000"/>
      <name val="Cambria"/>
      <family val="1"/>
      <scheme val="major"/>
    </font>
    <font>
      <sz val="50"/>
      <color theme="3" tint="0.39997558519241921"/>
      <name val="Cambria"/>
      <family val="1"/>
      <scheme val="major"/>
    </font>
    <font>
      <b/>
      <u/>
      <sz val="13"/>
      <name val="Times New Roman"/>
      <family val="1"/>
    </font>
    <font>
      <sz val="13"/>
      <color indexed="8"/>
      <name val="Times New Roman"/>
      <family val="1"/>
    </font>
    <font>
      <b/>
      <sz val="13"/>
      <color indexed="8"/>
      <name val="Times New Roman"/>
      <family val="1"/>
    </font>
    <font>
      <b/>
      <sz val="15"/>
      <color indexed="8"/>
      <name val="Times New Roman"/>
      <family val="1"/>
    </font>
    <font>
      <sz val="15"/>
      <name val="Times New Roman"/>
      <family val="1"/>
    </font>
    <font>
      <b/>
      <u/>
      <sz val="15"/>
      <name val="Times New Roman"/>
      <family val="1"/>
    </font>
    <font>
      <b/>
      <sz val="15"/>
      <name val="Times New Roman"/>
      <family val="1"/>
    </font>
    <font>
      <sz val="52"/>
      <name val="Cambria"/>
      <family val="1"/>
      <scheme val="major"/>
    </font>
    <font>
      <b/>
      <sz val="52"/>
      <name val="Cambria"/>
      <family val="1"/>
      <scheme val="major"/>
    </font>
    <font>
      <sz val="52"/>
      <color theme="1"/>
      <name val="Cambria"/>
      <family val="1"/>
      <scheme val="major"/>
    </font>
    <font>
      <b/>
      <sz val="52"/>
      <color theme="1"/>
      <name val="Cambria"/>
      <family val="1"/>
      <scheme val="major"/>
    </font>
    <font>
      <sz val="12"/>
      <color theme="5" tint="-0.249977111117893"/>
      <name val="Cambria"/>
      <family val="1"/>
      <scheme val="major"/>
    </font>
    <font>
      <sz val="14"/>
      <color theme="5"/>
      <name val="Cambria"/>
      <family val="1"/>
      <scheme val="major"/>
    </font>
    <font>
      <sz val="13"/>
      <name val="Helv"/>
    </font>
    <font>
      <u/>
      <sz val="13"/>
      <name val="Times New Roman"/>
      <family val="1"/>
    </font>
    <font>
      <b/>
      <u/>
      <sz val="10"/>
      <name val="Times New Roman"/>
      <family val="1"/>
    </font>
    <font>
      <sz val="10"/>
      <name val="Times New Roman"/>
      <family val="1"/>
    </font>
    <font>
      <sz val="10"/>
      <name val="Helv"/>
    </font>
    <font>
      <b/>
      <i/>
      <sz val="13"/>
      <name val="Times New Roman"/>
      <family val="1"/>
    </font>
    <font>
      <b/>
      <sz val="10"/>
      <name val="Times New Roman"/>
      <family val="1"/>
    </font>
    <font>
      <b/>
      <vertAlign val="superscript"/>
      <sz val="10"/>
      <name val="Times New Roman"/>
      <family val="1"/>
    </font>
    <font>
      <sz val="14"/>
      <name val="Helv"/>
    </font>
    <font>
      <b/>
      <u/>
      <sz val="14"/>
      <name val="Times New Roman"/>
      <family val="1"/>
    </font>
    <font>
      <b/>
      <i/>
      <sz val="14"/>
      <name val="Times New Roman"/>
      <family val="1"/>
    </font>
    <font>
      <vertAlign val="superscript"/>
      <sz val="11"/>
      <name val="Times New Roman"/>
      <family val="1"/>
    </font>
    <font>
      <sz val="11"/>
      <name val="Helv"/>
    </font>
    <font>
      <b/>
      <i/>
      <u/>
      <sz val="15"/>
      <name val="Times New Roman"/>
      <family val="1"/>
    </font>
    <font>
      <vertAlign val="superscript"/>
      <sz val="14"/>
      <name val="Times New Roman"/>
      <family val="1"/>
    </font>
    <font>
      <b/>
      <sz val="14"/>
      <color indexed="8"/>
      <name val="Times New Roman"/>
      <family val="1"/>
    </font>
    <font>
      <u/>
      <sz val="14"/>
      <name val="Times New Roman"/>
      <family val="1"/>
    </font>
    <font>
      <b/>
      <i/>
      <u/>
      <sz val="14"/>
      <name val="Times New Roman"/>
      <family val="1"/>
    </font>
    <font>
      <sz val="14"/>
      <color rgb="FFFF0000"/>
      <name val="Times New Roman"/>
      <family val="1"/>
    </font>
    <font>
      <b/>
      <sz val="16"/>
      <name val="Times New Roman"/>
      <family val="1"/>
    </font>
    <font>
      <sz val="10"/>
      <name val="Courier"/>
      <family val="3"/>
    </font>
    <font>
      <sz val="14"/>
      <name val="Baamini"/>
    </font>
    <font>
      <b/>
      <vertAlign val="superscript"/>
      <sz val="12"/>
      <name val="Times New Roman"/>
      <family val="1"/>
    </font>
    <font>
      <sz val="14.5"/>
      <name val="Times New Roman"/>
      <family val="1"/>
    </font>
    <font>
      <b/>
      <sz val="14.5"/>
      <name val="Times New Roman"/>
      <family val="1"/>
    </font>
    <font>
      <b/>
      <sz val="14.5"/>
      <color theme="1"/>
      <name val="Times New Roman"/>
      <family val="1"/>
    </font>
    <font>
      <b/>
      <i/>
      <u/>
      <sz val="16"/>
      <name val="Times New Roman"/>
      <family val="1"/>
    </font>
    <font>
      <b/>
      <i/>
      <sz val="16"/>
      <name val="Times New Roman"/>
      <family val="1"/>
    </font>
    <font>
      <i/>
      <u/>
      <sz val="14"/>
      <name val="Times New Roman"/>
      <family val="1"/>
    </font>
    <font>
      <i/>
      <u/>
      <vertAlign val="superscript"/>
      <sz val="14"/>
      <name val="Times New Roman"/>
      <family val="1"/>
    </font>
    <font>
      <b/>
      <i/>
      <u/>
      <sz val="11"/>
      <name val="Times New Roman"/>
      <family val="1"/>
    </font>
    <font>
      <b/>
      <vertAlign val="superscript"/>
      <sz val="14"/>
      <name val="Times New Roman"/>
      <family val="1"/>
    </font>
  </fonts>
  <fills count="54">
    <fill>
      <patternFill patternType="none"/>
    </fill>
    <fill>
      <patternFill patternType="gray125"/>
    </fill>
    <fill>
      <patternFill patternType="solid">
        <fgColor indexed="22"/>
        <bgColor indexed="64"/>
      </patternFill>
    </fill>
    <fill>
      <patternFill patternType="solid">
        <fgColor indexed="26"/>
        <bgColor indexed="64"/>
      </patternFill>
    </fill>
    <fill>
      <patternFill patternType="solid">
        <fgColor indexed="53"/>
        <bgColor indexed="64"/>
      </patternFill>
    </fill>
    <fill>
      <patternFill patternType="solid">
        <fgColor indexed="46"/>
        <bgColor indexed="64"/>
      </patternFill>
    </fill>
    <fill>
      <patternFill patternType="solid">
        <fgColor indexed="13"/>
        <bgColor indexed="64"/>
      </patternFill>
    </fill>
    <fill>
      <patternFill patternType="solid">
        <fgColor indexed="9"/>
        <bgColor indexed="64"/>
      </patternFill>
    </fill>
    <fill>
      <patternFill patternType="solid">
        <fgColor theme="0"/>
        <bgColor indexed="64"/>
      </patternFill>
    </fill>
    <fill>
      <patternFill patternType="solid">
        <fgColor rgb="FFFFFF00"/>
        <bgColor indexed="64"/>
      </patternFill>
    </fill>
    <fill>
      <patternFill patternType="solid">
        <fgColor rgb="FFFF0000"/>
        <bgColor indexed="64"/>
      </patternFill>
    </fill>
    <fill>
      <patternFill patternType="solid">
        <fgColor rgb="FFC00000"/>
        <bgColor indexed="64"/>
      </patternFill>
    </fill>
    <fill>
      <patternFill patternType="solid">
        <fgColor theme="1"/>
        <bgColor indexed="64"/>
      </patternFill>
    </fill>
    <fill>
      <patternFill patternType="solid">
        <fgColor rgb="FF7030A0"/>
        <bgColor indexed="64"/>
      </patternFill>
    </fill>
    <fill>
      <patternFill patternType="solid">
        <fgColor rgb="FFFFC000"/>
        <bgColor indexed="64"/>
      </patternFill>
    </fill>
    <fill>
      <patternFill patternType="solid">
        <fgColor rgb="FF92D050"/>
        <bgColor indexed="64"/>
      </patternFill>
    </fill>
    <fill>
      <patternFill patternType="solid">
        <fgColor theme="1" tint="0.249977111117893"/>
        <bgColor indexed="64"/>
      </patternFill>
    </fill>
    <fill>
      <patternFill patternType="solid">
        <fgColor rgb="FFFFFFCC"/>
      </patternFill>
    </fill>
    <fill>
      <patternFill patternType="solid">
        <fgColor indexed="31"/>
        <bgColor indexed="64"/>
      </patternFill>
    </fill>
    <fill>
      <patternFill patternType="solid">
        <fgColor indexed="9"/>
      </patternFill>
    </fill>
    <fill>
      <patternFill patternType="solid">
        <fgColor indexed="45"/>
        <bgColor indexed="64"/>
      </patternFill>
    </fill>
    <fill>
      <patternFill patternType="solid">
        <fgColor indexed="47"/>
      </patternFill>
    </fill>
    <fill>
      <patternFill patternType="solid">
        <fgColor indexed="42"/>
        <bgColor indexed="64"/>
      </patternFill>
    </fill>
    <fill>
      <patternFill patternType="solid">
        <fgColor indexed="26"/>
      </patternFill>
    </fill>
    <fill>
      <patternFill patternType="solid">
        <fgColor indexed="27"/>
        <bgColor indexed="64"/>
      </patternFill>
    </fill>
    <fill>
      <patternFill patternType="solid">
        <fgColor indexed="27"/>
      </patternFill>
    </fill>
    <fill>
      <patternFill patternType="solid">
        <fgColor indexed="47"/>
        <bgColor indexed="64"/>
      </patternFill>
    </fill>
    <fill>
      <patternFill patternType="solid">
        <fgColor indexed="44"/>
        <bgColor indexed="64"/>
      </patternFill>
    </fill>
    <fill>
      <patternFill patternType="solid">
        <fgColor indexed="22"/>
      </patternFill>
    </fill>
    <fill>
      <patternFill patternType="solid">
        <fgColor indexed="29"/>
        <bgColor indexed="64"/>
      </patternFill>
    </fill>
    <fill>
      <patternFill patternType="solid">
        <fgColor indexed="29"/>
      </patternFill>
    </fill>
    <fill>
      <patternFill patternType="solid">
        <fgColor indexed="11"/>
        <bgColor indexed="64"/>
      </patternFill>
    </fill>
    <fill>
      <patternFill patternType="solid">
        <fgColor indexed="43"/>
      </patternFill>
    </fill>
    <fill>
      <patternFill patternType="solid">
        <fgColor indexed="44"/>
      </patternFill>
    </fill>
    <fill>
      <patternFill patternType="solid">
        <fgColor indexed="51"/>
        <bgColor indexed="64"/>
      </patternFill>
    </fill>
    <fill>
      <patternFill patternType="solid">
        <fgColor indexed="30"/>
        <bgColor indexed="64"/>
      </patternFill>
    </fill>
    <fill>
      <patternFill patternType="solid">
        <fgColor indexed="49"/>
      </patternFill>
    </fill>
    <fill>
      <patternFill patternType="solid">
        <fgColor indexed="36"/>
        <bgColor indexed="64"/>
      </patternFill>
    </fill>
    <fill>
      <patternFill patternType="solid">
        <fgColor indexed="49"/>
        <bgColor indexed="64"/>
      </patternFill>
    </fill>
    <fill>
      <patternFill patternType="solid">
        <fgColor indexed="52"/>
        <bgColor indexed="64"/>
      </patternFill>
    </fill>
    <fill>
      <patternFill patternType="solid">
        <fgColor indexed="62"/>
        <bgColor indexed="64"/>
      </patternFill>
    </fill>
    <fill>
      <patternFill patternType="solid">
        <fgColor indexed="10"/>
        <bgColor indexed="64"/>
      </patternFill>
    </fill>
    <fill>
      <patternFill patternType="solid">
        <fgColor indexed="10"/>
      </patternFill>
    </fill>
    <fill>
      <patternFill patternType="solid">
        <fgColor indexed="57"/>
        <bgColor indexed="64"/>
      </patternFill>
    </fill>
    <fill>
      <patternFill patternType="solid">
        <fgColor indexed="57"/>
      </patternFill>
    </fill>
    <fill>
      <patternFill patternType="solid">
        <fgColor indexed="54"/>
      </patternFill>
    </fill>
    <fill>
      <patternFill patternType="solid">
        <fgColor indexed="53"/>
      </patternFill>
    </fill>
    <fill>
      <patternFill patternType="solid">
        <fgColor indexed="45"/>
      </patternFill>
    </fill>
    <fill>
      <patternFill patternType="solid">
        <fgColor indexed="55"/>
        <bgColor indexed="64"/>
      </patternFill>
    </fill>
    <fill>
      <patternFill patternType="solid">
        <fgColor indexed="55"/>
      </patternFill>
    </fill>
    <fill>
      <patternFill patternType="solid">
        <fgColor indexed="42"/>
      </patternFill>
    </fill>
    <fill>
      <patternFill patternType="solid">
        <fgColor indexed="43"/>
        <bgColor indexed="64"/>
      </patternFill>
    </fill>
    <fill>
      <patternFill patternType="solid">
        <fgColor theme="9" tint="0.59999389629810485"/>
        <bgColor indexed="64"/>
      </patternFill>
    </fill>
    <fill>
      <patternFill patternType="solid">
        <fgColor theme="8" tint="0.79998168889431442"/>
        <bgColor indexed="64"/>
      </patternFill>
    </fill>
  </fills>
  <borders count="46">
    <border>
      <left/>
      <right/>
      <top/>
      <bottom/>
      <diagonal/>
    </border>
    <border>
      <left style="thin">
        <color indexed="64"/>
      </left>
      <right style="thin">
        <color indexed="64"/>
      </right>
      <top style="thin">
        <color indexed="64"/>
      </top>
      <bottom style="thin">
        <color indexed="64"/>
      </bottom>
      <diagonal/>
    </border>
    <border>
      <left style="hair">
        <color indexed="64"/>
      </left>
      <right style="hair">
        <color indexed="64"/>
      </right>
      <top style="hair">
        <color indexed="64"/>
      </top>
      <bottom style="hair">
        <color indexed="6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style="double">
        <color indexed="64"/>
      </top>
      <bottom/>
      <diagonal/>
    </border>
    <border>
      <left/>
      <right/>
      <top/>
      <bottom style="double">
        <color indexed="64"/>
      </bottom>
      <diagonal/>
    </border>
    <border>
      <left style="hair">
        <color indexed="64"/>
      </left>
      <right style="hair">
        <color indexed="64"/>
      </right>
      <top/>
      <bottom style="hair">
        <color indexed="64"/>
      </bottom>
      <diagonal/>
    </border>
    <border>
      <left style="thin">
        <color indexed="64"/>
      </left>
      <right style="thin">
        <color indexed="64"/>
      </right>
      <top style="thin">
        <color indexed="64"/>
      </top>
      <bottom/>
      <diagonal/>
    </border>
    <border>
      <left style="dotted">
        <color indexed="64"/>
      </left>
      <right style="dotted">
        <color indexed="64"/>
      </right>
      <top style="dotted">
        <color indexed="64"/>
      </top>
      <bottom style="dotted">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rgb="FFB2B2B2"/>
      </left>
      <right style="thin">
        <color rgb="FFB2B2B2"/>
      </right>
      <top style="thin">
        <color rgb="FFB2B2B2"/>
      </top>
      <bottom style="thin">
        <color rgb="FFB2B2B2"/>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49"/>
      </bottom>
      <diagonal/>
    </border>
    <border>
      <left/>
      <right/>
      <top/>
      <bottom style="thick">
        <color indexed="22"/>
      </bottom>
      <diagonal/>
    </border>
    <border>
      <left/>
      <right/>
      <top/>
      <bottom style="medium">
        <color indexed="30"/>
      </bottom>
      <diagonal/>
    </border>
    <border>
      <left/>
      <right/>
      <top/>
      <bottom style="medium">
        <color indexed="49"/>
      </bottom>
      <diagonal/>
    </border>
    <border>
      <left/>
      <right/>
      <top/>
      <bottom style="double">
        <color indexed="52"/>
      </bottom>
      <diagonal/>
    </border>
    <border>
      <left style="double">
        <color indexed="64"/>
      </left>
      <right/>
      <top style="double">
        <color indexed="64"/>
      </top>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49"/>
      </top>
      <bottom style="double">
        <color indexed="49"/>
      </bottom>
      <diagonal/>
    </border>
    <border>
      <left/>
      <right/>
      <top style="thin">
        <color indexed="64"/>
      </top>
      <bottom style="medium">
        <color indexed="64"/>
      </bottom>
      <diagonal/>
    </border>
    <border>
      <left style="hair">
        <color indexed="64"/>
      </left>
      <right/>
      <top/>
      <bottom style="hair">
        <color indexed="64"/>
      </bottom>
      <diagonal/>
    </border>
    <border>
      <left style="hair">
        <color indexed="64"/>
      </left>
      <right/>
      <top style="hair">
        <color indexed="64"/>
      </top>
      <bottom style="hair">
        <color indexed="64"/>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indexed="64"/>
      </left>
      <right style="thin">
        <color indexed="64"/>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s>
  <cellStyleXfs count="1305">
    <xf numFmtId="171" fontId="0" fillId="0" borderId="0"/>
    <xf numFmtId="165" fontId="25" fillId="0" borderId="0" applyFont="0" applyFill="0" applyBorder="0" applyAlignment="0" applyProtection="0"/>
    <xf numFmtId="168" fontId="16" fillId="0" borderId="0" applyFont="0" applyFill="0" applyBorder="0" applyAlignment="0" applyProtection="0"/>
    <xf numFmtId="170" fontId="29" fillId="0" borderId="0" applyFont="0" applyFill="0" applyBorder="0" applyAlignment="0" applyProtection="0"/>
    <xf numFmtId="38" fontId="8" fillId="2" borderId="0" applyNumberFormat="0" applyBorder="0" applyAlignment="0" applyProtection="0"/>
    <xf numFmtId="0" fontId="38" fillId="0" borderId="0" applyNumberFormat="0" applyFill="0" applyBorder="0" applyAlignment="0" applyProtection="0">
      <alignment vertical="top"/>
      <protection locked="0"/>
    </xf>
    <xf numFmtId="10" fontId="8" fillId="3" borderId="1" applyNumberFormat="0" applyBorder="0" applyAlignment="0" applyProtection="0"/>
    <xf numFmtId="171" fontId="30" fillId="0" borderId="0"/>
    <xf numFmtId="166" fontId="7" fillId="0" borderId="0"/>
    <xf numFmtId="0" fontId="16" fillId="0" borderId="0"/>
    <xf numFmtId="169" fontId="7" fillId="0" borderId="0"/>
    <xf numFmtId="0" fontId="16" fillId="0" borderId="0"/>
    <xf numFmtId="0" fontId="37" fillId="0" borderId="0"/>
    <xf numFmtId="0" fontId="16" fillId="0" borderId="0"/>
    <xf numFmtId="0" fontId="16" fillId="0" borderId="0"/>
    <xf numFmtId="0" fontId="16" fillId="0" borderId="0"/>
    <xf numFmtId="0" fontId="37" fillId="0" borderId="0"/>
    <xf numFmtId="0" fontId="16" fillId="0" borderId="0"/>
    <xf numFmtId="0" fontId="27" fillId="0" borderId="0"/>
    <xf numFmtId="169" fontId="7" fillId="0" borderId="0"/>
    <xf numFmtId="5" fontId="7" fillId="0" borderId="0"/>
    <xf numFmtId="0" fontId="16" fillId="0" borderId="0"/>
    <xf numFmtId="171" fontId="7" fillId="0" borderId="0"/>
    <xf numFmtId="171" fontId="7" fillId="0" borderId="0"/>
    <xf numFmtId="0" fontId="37" fillId="0" borderId="0"/>
    <xf numFmtId="0" fontId="16" fillId="0" borderId="0"/>
    <xf numFmtId="0" fontId="16" fillId="0" borderId="0"/>
    <xf numFmtId="0" fontId="37" fillId="0" borderId="0"/>
    <xf numFmtId="44" fontId="7" fillId="0" borderId="0"/>
    <xf numFmtId="44" fontId="7" fillId="0" borderId="0"/>
    <xf numFmtId="44" fontId="7" fillId="0" borderId="0"/>
    <xf numFmtId="183" fontId="7" fillId="0" borderId="0"/>
    <xf numFmtId="0" fontId="37" fillId="0" borderId="0"/>
    <xf numFmtId="0" fontId="39" fillId="0" borderId="0"/>
    <xf numFmtId="0" fontId="16" fillId="0" borderId="0"/>
    <xf numFmtId="0" fontId="29" fillId="0" borderId="0"/>
    <xf numFmtId="0" fontId="29" fillId="0" borderId="0"/>
    <xf numFmtId="0" fontId="16" fillId="0" borderId="0"/>
    <xf numFmtId="0" fontId="16" fillId="0" borderId="0"/>
    <xf numFmtId="0" fontId="3" fillId="0" borderId="0"/>
    <xf numFmtId="0" fontId="16" fillId="0" borderId="0"/>
    <xf numFmtId="0" fontId="3" fillId="0" borderId="0"/>
    <xf numFmtId="9" fontId="3" fillId="0" borderId="0" applyFont="0" applyFill="0" applyBorder="0" applyAlignment="0" applyProtection="0"/>
    <xf numFmtId="10"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31" fillId="0" borderId="0"/>
    <xf numFmtId="40" fontId="32" fillId="0" borderId="0"/>
    <xf numFmtId="180" fontId="3" fillId="0" borderId="0" applyFont="0" applyFill="0" applyBorder="0" applyAlignment="0" applyProtection="0"/>
    <xf numFmtId="0" fontId="3" fillId="0" borderId="0"/>
    <xf numFmtId="0" fontId="3" fillId="0" borderId="0"/>
    <xf numFmtId="181" fontId="7" fillId="0" borderId="0"/>
    <xf numFmtId="0" fontId="3" fillId="0" borderId="0"/>
    <xf numFmtId="0" fontId="3" fillId="0" borderId="0"/>
    <xf numFmtId="0" fontId="2" fillId="0" borderId="0"/>
    <xf numFmtId="0" fontId="3" fillId="0" borderId="0"/>
    <xf numFmtId="0" fontId="2" fillId="0" borderId="0"/>
    <xf numFmtId="0" fontId="2" fillId="0" borderId="0"/>
    <xf numFmtId="0" fontId="25" fillId="18" borderId="0" applyNumberFormat="0" applyBorder="0" applyAlignment="0" applyProtection="0"/>
    <xf numFmtId="0" fontId="25" fillId="18" borderId="0" applyNumberFormat="0" applyBorder="0" applyAlignment="0" applyProtection="0"/>
    <xf numFmtId="0" fontId="25" fillId="18" borderId="0" applyNumberFormat="0" applyBorder="0" applyAlignment="0" applyProtection="0"/>
    <xf numFmtId="0" fontId="25" fillId="19" borderId="0" applyNumberFormat="0" applyBorder="0" applyAlignment="0" applyProtection="0"/>
    <xf numFmtId="0" fontId="25" fillId="18" borderId="0" applyNumberFormat="0" applyBorder="0" applyAlignment="0" applyProtection="0"/>
    <xf numFmtId="0" fontId="25" fillId="18" borderId="0" applyNumberFormat="0" applyBorder="0" applyAlignment="0" applyProtection="0"/>
    <xf numFmtId="0" fontId="25" fillId="18" borderId="0" applyNumberFormat="0" applyBorder="0" applyAlignment="0" applyProtection="0"/>
    <xf numFmtId="0" fontId="25" fillId="18" borderId="0" applyNumberFormat="0" applyBorder="0" applyAlignment="0" applyProtection="0"/>
    <xf numFmtId="0" fontId="25" fillId="18" borderId="0" applyNumberFormat="0" applyBorder="0" applyAlignment="0" applyProtection="0"/>
    <xf numFmtId="0" fontId="25" fillId="18" borderId="0" applyNumberFormat="0" applyBorder="0" applyAlignment="0" applyProtection="0"/>
    <xf numFmtId="0" fontId="25" fillId="18" borderId="0" applyNumberFormat="0" applyBorder="0" applyAlignment="0" applyProtection="0"/>
    <xf numFmtId="0" fontId="25" fillId="18" borderId="0" applyNumberFormat="0" applyBorder="0" applyAlignment="0" applyProtection="0"/>
    <xf numFmtId="0" fontId="25" fillId="18" borderId="0" applyNumberFormat="0" applyBorder="0" applyAlignment="0" applyProtection="0"/>
    <xf numFmtId="0" fontId="25" fillId="18" borderId="0" applyNumberFormat="0" applyBorder="0" applyAlignment="0" applyProtection="0"/>
    <xf numFmtId="0" fontId="25" fillId="18" borderId="0" applyNumberFormat="0" applyBorder="0" applyAlignment="0" applyProtection="0"/>
    <xf numFmtId="0" fontId="25" fillId="18" borderId="0" applyNumberFormat="0" applyBorder="0" applyAlignment="0" applyProtection="0"/>
    <xf numFmtId="0" fontId="25" fillId="18" borderId="0" applyNumberFormat="0" applyBorder="0" applyAlignment="0" applyProtection="0"/>
    <xf numFmtId="0" fontId="25" fillId="18" borderId="0" applyNumberFormat="0" applyBorder="0" applyAlignment="0" applyProtection="0"/>
    <xf numFmtId="0" fontId="25" fillId="18" borderId="0" applyNumberFormat="0" applyBorder="0" applyAlignment="0" applyProtection="0"/>
    <xf numFmtId="0" fontId="25" fillId="18" borderId="0" applyNumberFormat="0" applyBorder="0" applyAlignment="0" applyProtection="0"/>
    <xf numFmtId="0" fontId="25" fillId="18" borderId="0" applyNumberFormat="0" applyBorder="0" applyAlignment="0" applyProtection="0"/>
    <xf numFmtId="0" fontId="25" fillId="18" borderId="0" applyNumberFormat="0" applyBorder="0" applyAlignment="0" applyProtection="0"/>
    <xf numFmtId="0" fontId="25" fillId="18" borderId="0" applyNumberFormat="0" applyBorder="0" applyAlignment="0" applyProtection="0"/>
    <xf numFmtId="0" fontId="25" fillId="18" borderId="0" applyNumberFormat="0" applyBorder="0" applyAlignment="0" applyProtection="0"/>
    <xf numFmtId="0" fontId="25" fillId="18" borderId="0" applyNumberFormat="0" applyBorder="0" applyAlignment="0" applyProtection="0"/>
    <xf numFmtId="0" fontId="25" fillId="18" borderId="0" applyNumberFormat="0" applyBorder="0" applyAlignment="0" applyProtection="0"/>
    <xf numFmtId="0" fontId="25" fillId="18" borderId="0" applyNumberFormat="0" applyBorder="0" applyAlignment="0" applyProtection="0"/>
    <xf numFmtId="0" fontId="25" fillId="20" borderId="0" applyNumberFormat="0" applyBorder="0" applyAlignment="0" applyProtection="0"/>
    <xf numFmtId="0" fontId="25" fillId="20" borderId="0" applyNumberFormat="0" applyBorder="0" applyAlignment="0" applyProtection="0"/>
    <xf numFmtId="0" fontId="25" fillId="20" borderId="0" applyNumberFormat="0" applyBorder="0" applyAlignment="0" applyProtection="0"/>
    <xf numFmtId="0" fontId="25" fillId="21" borderId="0" applyNumberFormat="0" applyBorder="0" applyAlignment="0" applyProtection="0"/>
    <xf numFmtId="0" fontId="25" fillId="20" borderId="0" applyNumberFormat="0" applyBorder="0" applyAlignment="0" applyProtection="0"/>
    <xf numFmtId="0" fontId="25" fillId="20" borderId="0" applyNumberFormat="0" applyBorder="0" applyAlignment="0" applyProtection="0"/>
    <xf numFmtId="0" fontId="25" fillId="20" borderId="0" applyNumberFormat="0" applyBorder="0" applyAlignment="0" applyProtection="0"/>
    <xf numFmtId="0" fontId="25" fillId="20" borderId="0" applyNumberFormat="0" applyBorder="0" applyAlignment="0" applyProtection="0"/>
    <xf numFmtId="0" fontId="25" fillId="20" borderId="0" applyNumberFormat="0" applyBorder="0" applyAlignment="0" applyProtection="0"/>
    <xf numFmtId="0" fontId="25" fillId="20" borderId="0" applyNumberFormat="0" applyBorder="0" applyAlignment="0" applyProtection="0"/>
    <xf numFmtId="0" fontId="25" fillId="20" borderId="0" applyNumberFormat="0" applyBorder="0" applyAlignment="0" applyProtection="0"/>
    <xf numFmtId="0" fontId="25" fillId="20" borderId="0" applyNumberFormat="0" applyBorder="0" applyAlignment="0" applyProtection="0"/>
    <xf numFmtId="0" fontId="25" fillId="20" borderId="0" applyNumberFormat="0" applyBorder="0" applyAlignment="0" applyProtection="0"/>
    <xf numFmtId="0" fontId="25" fillId="20" borderId="0" applyNumberFormat="0" applyBorder="0" applyAlignment="0" applyProtection="0"/>
    <xf numFmtId="0" fontId="25" fillId="20" borderId="0" applyNumberFormat="0" applyBorder="0" applyAlignment="0" applyProtection="0"/>
    <xf numFmtId="0" fontId="25" fillId="20" borderId="0" applyNumberFormat="0" applyBorder="0" applyAlignment="0" applyProtection="0"/>
    <xf numFmtId="0" fontId="25" fillId="20" borderId="0" applyNumberFormat="0" applyBorder="0" applyAlignment="0" applyProtection="0"/>
    <xf numFmtId="0" fontId="25" fillId="20" borderId="0" applyNumberFormat="0" applyBorder="0" applyAlignment="0" applyProtection="0"/>
    <xf numFmtId="0" fontId="25" fillId="20" borderId="0" applyNumberFormat="0" applyBorder="0" applyAlignment="0" applyProtection="0"/>
    <xf numFmtId="0" fontId="25" fillId="20" borderId="0" applyNumberFormat="0" applyBorder="0" applyAlignment="0" applyProtection="0"/>
    <xf numFmtId="0" fontId="25" fillId="20" borderId="0" applyNumberFormat="0" applyBorder="0" applyAlignment="0" applyProtection="0"/>
    <xf numFmtId="0" fontId="25" fillId="20" borderId="0" applyNumberFormat="0" applyBorder="0" applyAlignment="0" applyProtection="0"/>
    <xf numFmtId="0" fontId="25" fillId="20" borderId="0" applyNumberFormat="0" applyBorder="0" applyAlignment="0" applyProtection="0"/>
    <xf numFmtId="0" fontId="25" fillId="20" borderId="0" applyNumberFormat="0" applyBorder="0" applyAlignment="0" applyProtection="0"/>
    <xf numFmtId="0" fontId="25" fillId="20" borderId="0" applyNumberFormat="0" applyBorder="0" applyAlignment="0" applyProtection="0"/>
    <xf numFmtId="0" fontId="25" fillId="20" borderId="0" applyNumberFormat="0" applyBorder="0" applyAlignment="0" applyProtection="0"/>
    <xf numFmtId="0" fontId="25" fillId="20" borderId="0" applyNumberFormat="0" applyBorder="0" applyAlignment="0" applyProtection="0"/>
    <xf numFmtId="0" fontId="25" fillId="22" borderId="0" applyNumberFormat="0" applyBorder="0" applyAlignment="0" applyProtection="0"/>
    <xf numFmtId="0" fontId="25" fillId="22" borderId="0" applyNumberFormat="0" applyBorder="0" applyAlignment="0" applyProtection="0"/>
    <xf numFmtId="0" fontId="25" fillId="22" borderId="0" applyNumberFormat="0" applyBorder="0" applyAlignment="0" applyProtection="0"/>
    <xf numFmtId="0" fontId="25" fillId="23" borderId="0" applyNumberFormat="0" applyBorder="0" applyAlignment="0" applyProtection="0"/>
    <xf numFmtId="0" fontId="25" fillId="22" borderId="0" applyNumberFormat="0" applyBorder="0" applyAlignment="0" applyProtection="0"/>
    <xf numFmtId="0" fontId="25" fillId="22" borderId="0" applyNumberFormat="0" applyBorder="0" applyAlignment="0" applyProtection="0"/>
    <xf numFmtId="0" fontId="25" fillId="22" borderId="0" applyNumberFormat="0" applyBorder="0" applyAlignment="0" applyProtection="0"/>
    <xf numFmtId="0" fontId="25" fillId="22" borderId="0" applyNumberFormat="0" applyBorder="0" applyAlignment="0" applyProtection="0"/>
    <xf numFmtId="0" fontId="25" fillId="22" borderId="0" applyNumberFormat="0" applyBorder="0" applyAlignment="0" applyProtection="0"/>
    <xf numFmtId="0" fontId="25" fillId="22" borderId="0" applyNumberFormat="0" applyBorder="0" applyAlignment="0" applyProtection="0"/>
    <xf numFmtId="0" fontId="25" fillId="22" borderId="0" applyNumberFormat="0" applyBorder="0" applyAlignment="0" applyProtection="0"/>
    <xf numFmtId="0" fontId="25" fillId="22" borderId="0" applyNumberFormat="0" applyBorder="0" applyAlignment="0" applyProtection="0"/>
    <xf numFmtId="0" fontId="25" fillId="22" borderId="0" applyNumberFormat="0" applyBorder="0" applyAlignment="0" applyProtection="0"/>
    <xf numFmtId="0" fontId="25" fillId="22" borderId="0" applyNumberFormat="0" applyBorder="0" applyAlignment="0" applyProtection="0"/>
    <xf numFmtId="0" fontId="25" fillId="22" borderId="0" applyNumberFormat="0" applyBorder="0" applyAlignment="0" applyProtection="0"/>
    <xf numFmtId="0" fontId="25" fillId="22" borderId="0" applyNumberFormat="0" applyBorder="0" applyAlignment="0" applyProtection="0"/>
    <xf numFmtId="0" fontId="25" fillId="22" borderId="0" applyNumberFormat="0" applyBorder="0" applyAlignment="0" applyProtection="0"/>
    <xf numFmtId="0" fontId="25" fillId="22" borderId="0" applyNumberFormat="0" applyBorder="0" applyAlignment="0" applyProtection="0"/>
    <xf numFmtId="0" fontId="25" fillId="22" borderId="0" applyNumberFormat="0" applyBorder="0" applyAlignment="0" applyProtection="0"/>
    <xf numFmtId="0" fontId="25" fillId="22" borderId="0" applyNumberFormat="0" applyBorder="0" applyAlignment="0" applyProtection="0"/>
    <xf numFmtId="0" fontId="25" fillId="22" borderId="0" applyNumberFormat="0" applyBorder="0" applyAlignment="0" applyProtection="0"/>
    <xf numFmtId="0" fontId="25" fillId="22" borderId="0" applyNumberFormat="0" applyBorder="0" applyAlignment="0" applyProtection="0"/>
    <xf numFmtId="0" fontId="25" fillId="22" borderId="0" applyNumberFormat="0" applyBorder="0" applyAlignment="0" applyProtection="0"/>
    <xf numFmtId="0" fontId="25" fillId="22" borderId="0" applyNumberFormat="0" applyBorder="0" applyAlignment="0" applyProtection="0"/>
    <xf numFmtId="0" fontId="25" fillId="22" borderId="0" applyNumberFormat="0" applyBorder="0" applyAlignment="0" applyProtection="0"/>
    <xf numFmtId="0" fontId="25" fillId="22" borderId="0" applyNumberFormat="0" applyBorder="0" applyAlignment="0" applyProtection="0"/>
    <xf numFmtId="0" fontId="25" fillId="22"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25" fillId="19"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25" fillId="24" borderId="0" applyNumberFormat="0" applyBorder="0" applyAlignment="0" applyProtection="0"/>
    <xf numFmtId="0" fontId="25" fillId="24" borderId="0" applyNumberFormat="0" applyBorder="0" applyAlignment="0" applyProtection="0"/>
    <xf numFmtId="0" fontId="25" fillId="24" borderId="0" applyNumberFormat="0" applyBorder="0" applyAlignment="0" applyProtection="0"/>
    <xf numFmtId="0" fontId="25" fillId="25" borderId="0" applyNumberFormat="0" applyBorder="0" applyAlignment="0" applyProtection="0"/>
    <xf numFmtId="0" fontId="25" fillId="24" borderId="0" applyNumberFormat="0" applyBorder="0" applyAlignment="0" applyProtection="0"/>
    <xf numFmtId="0" fontId="25" fillId="24" borderId="0" applyNumberFormat="0" applyBorder="0" applyAlignment="0" applyProtection="0"/>
    <xf numFmtId="0" fontId="25" fillId="24" borderId="0" applyNumberFormat="0" applyBorder="0" applyAlignment="0" applyProtection="0"/>
    <xf numFmtId="0" fontId="25" fillId="24" borderId="0" applyNumberFormat="0" applyBorder="0" applyAlignment="0" applyProtection="0"/>
    <xf numFmtId="0" fontId="25" fillId="24" borderId="0" applyNumberFormat="0" applyBorder="0" applyAlignment="0" applyProtection="0"/>
    <xf numFmtId="0" fontId="25" fillId="24" borderId="0" applyNumberFormat="0" applyBorder="0" applyAlignment="0" applyProtection="0"/>
    <xf numFmtId="0" fontId="25" fillId="24" borderId="0" applyNumberFormat="0" applyBorder="0" applyAlignment="0" applyProtection="0"/>
    <xf numFmtId="0" fontId="25" fillId="24" borderId="0" applyNumberFormat="0" applyBorder="0" applyAlignment="0" applyProtection="0"/>
    <xf numFmtId="0" fontId="25" fillId="24" borderId="0" applyNumberFormat="0" applyBorder="0" applyAlignment="0" applyProtection="0"/>
    <xf numFmtId="0" fontId="25" fillId="24" borderId="0" applyNumberFormat="0" applyBorder="0" applyAlignment="0" applyProtection="0"/>
    <xf numFmtId="0" fontId="25" fillId="24" borderId="0" applyNumberFormat="0" applyBorder="0" applyAlignment="0" applyProtection="0"/>
    <xf numFmtId="0" fontId="25" fillId="24" borderId="0" applyNumberFormat="0" applyBorder="0" applyAlignment="0" applyProtection="0"/>
    <xf numFmtId="0" fontId="25" fillId="24" borderId="0" applyNumberFormat="0" applyBorder="0" applyAlignment="0" applyProtection="0"/>
    <xf numFmtId="0" fontId="25" fillId="24" borderId="0" applyNumberFormat="0" applyBorder="0" applyAlignment="0" applyProtection="0"/>
    <xf numFmtId="0" fontId="25" fillId="24" borderId="0" applyNumberFormat="0" applyBorder="0" applyAlignment="0" applyProtection="0"/>
    <xf numFmtId="0" fontId="25" fillId="24" borderId="0" applyNumberFormat="0" applyBorder="0" applyAlignment="0" applyProtection="0"/>
    <xf numFmtId="0" fontId="25" fillId="24" borderId="0" applyNumberFormat="0" applyBorder="0" applyAlignment="0" applyProtection="0"/>
    <xf numFmtId="0" fontId="25" fillId="24" borderId="0" applyNumberFormat="0" applyBorder="0" applyAlignment="0" applyProtection="0"/>
    <xf numFmtId="0" fontId="25" fillId="24" borderId="0" applyNumberFormat="0" applyBorder="0" applyAlignment="0" applyProtection="0"/>
    <xf numFmtId="0" fontId="25" fillId="24" borderId="0" applyNumberFormat="0" applyBorder="0" applyAlignment="0" applyProtection="0"/>
    <xf numFmtId="0" fontId="25" fillId="24" borderId="0" applyNumberFormat="0" applyBorder="0" applyAlignment="0" applyProtection="0"/>
    <xf numFmtId="0" fontId="25" fillId="24" borderId="0" applyNumberFormat="0" applyBorder="0" applyAlignment="0" applyProtection="0"/>
    <xf numFmtId="0" fontId="25" fillId="24" borderId="0" applyNumberFormat="0" applyBorder="0" applyAlignment="0" applyProtection="0"/>
    <xf numFmtId="0" fontId="25" fillId="26" borderId="0" applyNumberFormat="0" applyBorder="0" applyAlignment="0" applyProtection="0"/>
    <xf numFmtId="0" fontId="25" fillId="26" borderId="0" applyNumberFormat="0" applyBorder="0" applyAlignment="0" applyProtection="0"/>
    <xf numFmtId="0" fontId="25" fillId="26" borderId="0" applyNumberFormat="0" applyBorder="0" applyAlignment="0" applyProtection="0"/>
    <xf numFmtId="0" fontId="25" fillId="21" borderId="0" applyNumberFormat="0" applyBorder="0" applyAlignment="0" applyProtection="0"/>
    <xf numFmtId="0" fontId="25" fillId="26" borderId="0" applyNumberFormat="0" applyBorder="0" applyAlignment="0" applyProtection="0"/>
    <xf numFmtId="0" fontId="25" fillId="26" borderId="0" applyNumberFormat="0" applyBorder="0" applyAlignment="0" applyProtection="0"/>
    <xf numFmtId="0" fontId="25" fillId="26" borderId="0" applyNumberFormat="0" applyBorder="0" applyAlignment="0" applyProtection="0"/>
    <xf numFmtId="0" fontId="25" fillId="26" borderId="0" applyNumberFormat="0" applyBorder="0" applyAlignment="0" applyProtection="0"/>
    <xf numFmtId="0" fontId="25" fillId="26" borderId="0" applyNumberFormat="0" applyBorder="0" applyAlignment="0" applyProtection="0"/>
    <xf numFmtId="0" fontId="25" fillId="26" borderId="0" applyNumberFormat="0" applyBorder="0" applyAlignment="0" applyProtection="0"/>
    <xf numFmtId="0" fontId="25" fillId="26" borderId="0" applyNumberFormat="0" applyBorder="0" applyAlignment="0" applyProtection="0"/>
    <xf numFmtId="0" fontId="25" fillId="26" borderId="0" applyNumberFormat="0" applyBorder="0" applyAlignment="0" applyProtection="0"/>
    <xf numFmtId="0" fontId="25" fillId="26" borderId="0" applyNumberFormat="0" applyBorder="0" applyAlignment="0" applyProtection="0"/>
    <xf numFmtId="0" fontId="25" fillId="26" borderId="0" applyNumberFormat="0" applyBorder="0" applyAlignment="0" applyProtection="0"/>
    <xf numFmtId="0" fontId="25" fillId="26" borderId="0" applyNumberFormat="0" applyBorder="0" applyAlignment="0" applyProtection="0"/>
    <xf numFmtId="0" fontId="25" fillId="26" borderId="0" applyNumberFormat="0" applyBorder="0" applyAlignment="0" applyProtection="0"/>
    <xf numFmtId="0" fontId="25" fillId="26" borderId="0" applyNumberFormat="0" applyBorder="0" applyAlignment="0" applyProtection="0"/>
    <xf numFmtId="0" fontId="25" fillId="26" borderId="0" applyNumberFormat="0" applyBorder="0" applyAlignment="0" applyProtection="0"/>
    <xf numFmtId="0" fontId="25" fillId="26" borderId="0" applyNumberFormat="0" applyBorder="0" applyAlignment="0" applyProtection="0"/>
    <xf numFmtId="0" fontId="25" fillId="26" borderId="0" applyNumberFormat="0" applyBorder="0" applyAlignment="0" applyProtection="0"/>
    <xf numFmtId="0" fontId="25" fillId="26" borderId="0" applyNumberFormat="0" applyBorder="0" applyAlignment="0" applyProtection="0"/>
    <xf numFmtId="0" fontId="25" fillId="26" borderId="0" applyNumberFormat="0" applyBorder="0" applyAlignment="0" applyProtection="0"/>
    <xf numFmtId="0" fontId="25" fillId="26" borderId="0" applyNumberFormat="0" applyBorder="0" applyAlignment="0" applyProtection="0"/>
    <xf numFmtId="0" fontId="25" fillId="26" borderId="0" applyNumberFormat="0" applyBorder="0" applyAlignment="0" applyProtection="0"/>
    <xf numFmtId="0" fontId="25" fillId="26" borderId="0" applyNumberFormat="0" applyBorder="0" applyAlignment="0" applyProtection="0"/>
    <xf numFmtId="0" fontId="25" fillId="26" borderId="0" applyNumberFormat="0" applyBorder="0" applyAlignment="0" applyProtection="0"/>
    <xf numFmtId="0" fontId="25" fillId="26" borderId="0" applyNumberFormat="0" applyBorder="0" applyAlignment="0" applyProtection="0"/>
    <xf numFmtId="0" fontId="25" fillId="27" borderId="0" applyNumberFormat="0" applyBorder="0" applyAlignment="0" applyProtection="0"/>
    <xf numFmtId="0" fontId="25" fillId="27" borderId="0" applyNumberFormat="0" applyBorder="0" applyAlignment="0" applyProtection="0"/>
    <xf numFmtId="0" fontId="25" fillId="27" borderId="0" applyNumberFormat="0" applyBorder="0" applyAlignment="0" applyProtection="0"/>
    <xf numFmtId="0" fontId="25" fillId="28" borderId="0" applyNumberFormat="0" applyBorder="0" applyAlignment="0" applyProtection="0"/>
    <xf numFmtId="0" fontId="25" fillId="27" borderId="0" applyNumberFormat="0" applyBorder="0" applyAlignment="0" applyProtection="0"/>
    <xf numFmtId="0" fontId="25" fillId="27" borderId="0" applyNumberFormat="0" applyBorder="0" applyAlignment="0" applyProtection="0"/>
    <xf numFmtId="0" fontId="25" fillId="27" borderId="0" applyNumberFormat="0" applyBorder="0" applyAlignment="0" applyProtection="0"/>
    <xf numFmtId="0" fontId="25" fillId="27" borderId="0" applyNumberFormat="0" applyBorder="0" applyAlignment="0" applyProtection="0"/>
    <xf numFmtId="0" fontId="25" fillId="27" borderId="0" applyNumberFormat="0" applyBorder="0" applyAlignment="0" applyProtection="0"/>
    <xf numFmtId="0" fontId="25" fillId="27" borderId="0" applyNumberFormat="0" applyBorder="0" applyAlignment="0" applyProtection="0"/>
    <xf numFmtId="0" fontId="25" fillId="27" borderId="0" applyNumberFormat="0" applyBorder="0" applyAlignment="0" applyProtection="0"/>
    <xf numFmtId="0" fontId="25" fillId="27" borderId="0" applyNumberFormat="0" applyBorder="0" applyAlignment="0" applyProtection="0"/>
    <xf numFmtId="0" fontId="25" fillId="27" borderId="0" applyNumberFormat="0" applyBorder="0" applyAlignment="0" applyProtection="0"/>
    <xf numFmtId="0" fontId="25" fillId="27" borderId="0" applyNumberFormat="0" applyBorder="0" applyAlignment="0" applyProtection="0"/>
    <xf numFmtId="0" fontId="25" fillId="27" borderId="0" applyNumberFormat="0" applyBorder="0" applyAlignment="0" applyProtection="0"/>
    <xf numFmtId="0" fontId="25" fillId="27" borderId="0" applyNumberFormat="0" applyBorder="0" applyAlignment="0" applyProtection="0"/>
    <xf numFmtId="0" fontId="25" fillId="27" borderId="0" applyNumberFormat="0" applyBorder="0" applyAlignment="0" applyProtection="0"/>
    <xf numFmtId="0" fontId="25" fillId="27" borderId="0" applyNumberFormat="0" applyBorder="0" applyAlignment="0" applyProtection="0"/>
    <xf numFmtId="0" fontId="25" fillId="27" borderId="0" applyNumberFormat="0" applyBorder="0" applyAlignment="0" applyProtection="0"/>
    <xf numFmtId="0" fontId="25" fillId="27" borderId="0" applyNumberFormat="0" applyBorder="0" applyAlignment="0" applyProtection="0"/>
    <xf numFmtId="0" fontId="25" fillId="27" borderId="0" applyNumberFormat="0" applyBorder="0" applyAlignment="0" applyProtection="0"/>
    <xf numFmtId="0" fontId="25" fillId="27" borderId="0" applyNumberFormat="0" applyBorder="0" applyAlignment="0" applyProtection="0"/>
    <xf numFmtId="0" fontId="25" fillId="27" borderId="0" applyNumberFormat="0" applyBorder="0" applyAlignment="0" applyProtection="0"/>
    <xf numFmtId="0" fontId="25" fillId="27" borderId="0" applyNumberFormat="0" applyBorder="0" applyAlignment="0" applyProtection="0"/>
    <xf numFmtId="0" fontId="25" fillId="27" borderId="0" applyNumberFormat="0" applyBorder="0" applyAlignment="0" applyProtection="0"/>
    <xf numFmtId="0" fontId="25" fillId="27" borderId="0" applyNumberFormat="0" applyBorder="0" applyAlignment="0" applyProtection="0"/>
    <xf numFmtId="0" fontId="25" fillId="27" borderId="0" applyNumberFormat="0" applyBorder="0" applyAlignment="0" applyProtection="0"/>
    <xf numFmtId="0" fontId="25" fillId="29" borderId="0" applyNumberFormat="0" applyBorder="0" applyAlignment="0" applyProtection="0"/>
    <xf numFmtId="0" fontId="25" fillId="29" borderId="0" applyNumberFormat="0" applyBorder="0" applyAlignment="0" applyProtection="0"/>
    <xf numFmtId="0" fontId="25" fillId="29" borderId="0" applyNumberFormat="0" applyBorder="0" applyAlignment="0" applyProtection="0"/>
    <xf numFmtId="0" fontId="25" fillId="30" borderId="0" applyNumberFormat="0" applyBorder="0" applyAlignment="0" applyProtection="0"/>
    <xf numFmtId="0" fontId="25" fillId="29" borderId="0" applyNumberFormat="0" applyBorder="0" applyAlignment="0" applyProtection="0"/>
    <xf numFmtId="0" fontId="25" fillId="29" borderId="0" applyNumberFormat="0" applyBorder="0" applyAlignment="0" applyProtection="0"/>
    <xf numFmtId="0" fontId="25" fillId="29" borderId="0" applyNumberFormat="0" applyBorder="0" applyAlignment="0" applyProtection="0"/>
    <xf numFmtId="0" fontId="25" fillId="29" borderId="0" applyNumberFormat="0" applyBorder="0" applyAlignment="0" applyProtection="0"/>
    <xf numFmtId="0" fontId="25" fillId="29" borderId="0" applyNumberFormat="0" applyBorder="0" applyAlignment="0" applyProtection="0"/>
    <xf numFmtId="0" fontId="25" fillId="29" borderId="0" applyNumberFormat="0" applyBorder="0" applyAlignment="0" applyProtection="0"/>
    <xf numFmtId="0" fontId="25" fillId="29" borderId="0" applyNumberFormat="0" applyBorder="0" applyAlignment="0" applyProtection="0"/>
    <xf numFmtId="0" fontId="25" fillId="29" borderId="0" applyNumberFormat="0" applyBorder="0" applyAlignment="0" applyProtection="0"/>
    <xf numFmtId="0" fontId="25" fillId="29" borderId="0" applyNumberFormat="0" applyBorder="0" applyAlignment="0" applyProtection="0"/>
    <xf numFmtId="0" fontId="25" fillId="29" borderId="0" applyNumberFormat="0" applyBorder="0" applyAlignment="0" applyProtection="0"/>
    <xf numFmtId="0" fontId="25" fillId="29" borderId="0" applyNumberFormat="0" applyBorder="0" applyAlignment="0" applyProtection="0"/>
    <xf numFmtId="0" fontId="25" fillId="29" borderId="0" applyNumberFormat="0" applyBorder="0" applyAlignment="0" applyProtection="0"/>
    <xf numFmtId="0" fontId="25" fillId="29" borderId="0" applyNumberFormat="0" applyBorder="0" applyAlignment="0" applyProtection="0"/>
    <xf numFmtId="0" fontId="25" fillId="29" borderId="0" applyNumberFormat="0" applyBorder="0" applyAlignment="0" applyProtection="0"/>
    <xf numFmtId="0" fontId="25" fillId="29" borderId="0" applyNumberFormat="0" applyBorder="0" applyAlignment="0" applyProtection="0"/>
    <xf numFmtId="0" fontId="25" fillId="29" borderId="0" applyNumberFormat="0" applyBorder="0" applyAlignment="0" applyProtection="0"/>
    <xf numFmtId="0" fontId="25" fillId="29" borderId="0" applyNumberFormat="0" applyBorder="0" applyAlignment="0" applyProtection="0"/>
    <xf numFmtId="0" fontId="25" fillId="29" borderId="0" applyNumberFormat="0" applyBorder="0" applyAlignment="0" applyProtection="0"/>
    <xf numFmtId="0" fontId="25" fillId="29" borderId="0" applyNumberFormat="0" applyBorder="0" applyAlignment="0" applyProtection="0"/>
    <xf numFmtId="0" fontId="25" fillId="29" borderId="0" applyNumberFormat="0" applyBorder="0" applyAlignment="0" applyProtection="0"/>
    <xf numFmtId="0" fontId="25" fillId="29" borderId="0" applyNumberFormat="0" applyBorder="0" applyAlignment="0" applyProtection="0"/>
    <xf numFmtId="0" fontId="25" fillId="29" borderId="0" applyNumberFormat="0" applyBorder="0" applyAlignment="0" applyProtection="0"/>
    <xf numFmtId="0" fontId="25" fillId="29" borderId="0" applyNumberFormat="0" applyBorder="0" applyAlignment="0" applyProtection="0"/>
    <xf numFmtId="0" fontId="25" fillId="31" borderId="0" applyNumberFormat="0" applyBorder="0" applyAlignment="0" applyProtection="0"/>
    <xf numFmtId="0" fontId="25" fillId="31"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1" borderId="0" applyNumberFormat="0" applyBorder="0" applyAlignment="0" applyProtection="0"/>
    <xf numFmtId="0" fontId="25" fillId="31" borderId="0" applyNumberFormat="0" applyBorder="0" applyAlignment="0" applyProtection="0"/>
    <xf numFmtId="0" fontId="25" fillId="31" borderId="0" applyNumberFormat="0" applyBorder="0" applyAlignment="0" applyProtection="0"/>
    <xf numFmtId="0" fontId="25" fillId="31" borderId="0" applyNumberFormat="0" applyBorder="0" applyAlignment="0" applyProtection="0"/>
    <xf numFmtId="0" fontId="25" fillId="31" borderId="0" applyNumberFormat="0" applyBorder="0" applyAlignment="0" applyProtection="0"/>
    <xf numFmtId="0" fontId="25" fillId="31" borderId="0" applyNumberFormat="0" applyBorder="0" applyAlignment="0" applyProtection="0"/>
    <xf numFmtId="0" fontId="25" fillId="31" borderId="0" applyNumberFormat="0" applyBorder="0" applyAlignment="0" applyProtection="0"/>
    <xf numFmtId="0" fontId="25" fillId="31" borderId="0" applyNumberFormat="0" applyBorder="0" applyAlignment="0" applyProtection="0"/>
    <xf numFmtId="0" fontId="25" fillId="31" borderId="0" applyNumberFormat="0" applyBorder="0" applyAlignment="0" applyProtection="0"/>
    <xf numFmtId="0" fontId="25" fillId="31" borderId="0" applyNumberFormat="0" applyBorder="0" applyAlignment="0" applyProtection="0"/>
    <xf numFmtId="0" fontId="25" fillId="31" borderId="0" applyNumberFormat="0" applyBorder="0" applyAlignment="0" applyProtection="0"/>
    <xf numFmtId="0" fontId="25" fillId="31" borderId="0" applyNumberFormat="0" applyBorder="0" applyAlignment="0" applyProtection="0"/>
    <xf numFmtId="0" fontId="25" fillId="31" borderId="0" applyNumberFormat="0" applyBorder="0" applyAlignment="0" applyProtection="0"/>
    <xf numFmtId="0" fontId="25" fillId="31" borderId="0" applyNumberFormat="0" applyBorder="0" applyAlignment="0" applyProtection="0"/>
    <xf numFmtId="0" fontId="25" fillId="31" borderId="0" applyNumberFormat="0" applyBorder="0" applyAlignment="0" applyProtection="0"/>
    <xf numFmtId="0" fontId="25" fillId="31" borderId="0" applyNumberFormat="0" applyBorder="0" applyAlignment="0" applyProtection="0"/>
    <xf numFmtId="0" fontId="25" fillId="31" borderId="0" applyNumberFormat="0" applyBorder="0" applyAlignment="0" applyProtection="0"/>
    <xf numFmtId="0" fontId="25" fillId="31" borderId="0" applyNumberFormat="0" applyBorder="0" applyAlignment="0" applyProtection="0"/>
    <xf numFmtId="0" fontId="25" fillId="31" borderId="0" applyNumberFormat="0" applyBorder="0" applyAlignment="0" applyProtection="0"/>
    <xf numFmtId="0" fontId="25" fillId="31" borderId="0" applyNumberFormat="0" applyBorder="0" applyAlignment="0" applyProtection="0"/>
    <xf numFmtId="0" fontId="25" fillId="31" borderId="0" applyNumberFormat="0" applyBorder="0" applyAlignment="0" applyProtection="0"/>
    <xf numFmtId="0" fontId="25" fillId="31" borderId="0" applyNumberFormat="0" applyBorder="0" applyAlignment="0" applyProtection="0"/>
    <xf numFmtId="0" fontId="25" fillId="31"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25" fillId="28"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25" fillId="27" borderId="0" applyNumberFormat="0" applyBorder="0" applyAlignment="0" applyProtection="0"/>
    <xf numFmtId="0" fontId="25" fillId="27" borderId="0" applyNumberFormat="0" applyBorder="0" applyAlignment="0" applyProtection="0"/>
    <xf numFmtId="0" fontId="25" fillId="27" borderId="0" applyNumberFormat="0" applyBorder="0" applyAlignment="0" applyProtection="0"/>
    <xf numFmtId="0" fontId="25" fillId="33" borderId="0" applyNumberFormat="0" applyBorder="0" applyAlignment="0" applyProtection="0"/>
    <xf numFmtId="0" fontId="25" fillId="27" borderId="0" applyNumberFormat="0" applyBorder="0" applyAlignment="0" applyProtection="0"/>
    <xf numFmtId="0" fontId="25" fillId="27" borderId="0" applyNumberFormat="0" applyBorder="0" applyAlignment="0" applyProtection="0"/>
    <xf numFmtId="0" fontId="25" fillId="27" borderId="0" applyNumberFormat="0" applyBorder="0" applyAlignment="0" applyProtection="0"/>
    <xf numFmtId="0" fontId="25" fillId="27" borderId="0" applyNumberFormat="0" applyBorder="0" applyAlignment="0" applyProtection="0"/>
    <xf numFmtId="0" fontId="25" fillId="27" borderId="0" applyNumberFormat="0" applyBorder="0" applyAlignment="0" applyProtection="0"/>
    <xf numFmtId="0" fontId="25" fillId="27" borderId="0" applyNumberFormat="0" applyBorder="0" applyAlignment="0" applyProtection="0"/>
    <xf numFmtId="0" fontId="25" fillId="27" borderId="0" applyNumberFormat="0" applyBorder="0" applyAlignment="0" applyProtection="0"/>
    <xf numFmtId="0" fontId="25" fillId="27" borderId="0" applyNumberFormat="0" applyBorder="0" applyAlignment="0" applyProtection="0"/>
    <xf numFmtId="0" fontId="25" fillId="27" borderId="0" applyNumberFormat="0" applyBorder="0" applyAlignment="0" applyProtection="0"/>
    <xf numFmtId="0" fontId="25" fillId="27" borderId="0" applyNumberFormat="0" applyBorder="0" applyAlignment="0" applyProtection="0"/>
    <xf numFmtId="0" fontId="25" fillId="27" borderId="0" applyNumberFormat="0" applyBorder="0" applyAlignment="0" applyProtection="0"/>
    <xf numFmtId="0" fontId="25" fillId="27" borderId="0" applyNumberFormat="0" applyBorder="0" applyAlignment="0" applyProtection="0"/>
    <xf numFmtId="0" fontId="25" fillId="27" borderId="0" applyNumberFormat="0" applyBorder="0" applyAlignment="0" applyProtection="0"/>
    <xf numFmtId="0" fontId="25" fillId="27" borderId="0" applyNumberFormat="0" applyBorder="0" applyAlignment="0" applyProtection="0"/>
    <xf numFmtId="0" fontId="25" fillId="27" borderId="0" applyNumberFormat="0" applyBorder="0" applyAlignment="0" applyProtection="0"/>
    <xf numFmtId="0" fontId="25" fillId="27" borderId="0" applyNumberFormat="0" applyBorder="0" applyAlignment="0" applyProtection="0"/>
    <xf numFmtId="0" fontId="25" fillId="27" borderId="0" applyNumberFormat="0" applyBorder="0" applyAlignment="0" applyProtection="0"/>
    <xf numFmtId="0" fontId="25" fillId="27" borderId="0" applyNumberFormat="0" applyBorder="0" applyAlignment="0" applyProtection="0"/>
    <xf numFmtId="0" fontId="25" fillId="27" borderId="0" applyNumberFormat="0" applyBorder="0" applyAlignment="0" applyProtection="0"/>
    <xf numFmtId="0" fontId="25" fillId="27" borderId="0" applyNumberFormat="0" applyBorder="0" applyAlignment="0" applyProtection="0"/>
    <xf numFmtId="0" fontId="25" fillId="27" borderId="0" applyNumberFormat="0" applyBorder="0" applyAlignment="0" applyProtection="0"/>
    <xf numFmtId="0" fontId="25" fillId="27" borderId="0" applyNumberFormat="0" applyBorder="0" applyAlignment="0" applyProtection="0"/>
    <xf numFmtId="0" fontId="25" fillId="27" borderId="0" applyNumberFormat="0" applyBorder="0" applyAlignment="0" applyProtection="0"/>
    <xf numFmtId="0" fontId="25" fillId="34" borderId="0" applyNumberFormat="0" applyBorder="0" applyAlignment="0" applyProtection="0"/>
    <xf numFmtId="0" fontId="25" fillId="34" borderId="0" applyNumberFormat="0" applyBorder="0" applyAlignment="0" applyProtection="0"/>
    <xf numFmtId="0" fontId="25" fillId="34" borderId="0" applyNumberFormat="0" applyBorder="0" applyAlignment="0" applyProtection="0"/>
    <xf numFmtId="0" fontId="25" fillId="21" borderId="0" applyNumberFormat="0" applyBorder="0" applyAlignment="0" applyProtection="0"/>
    <xf numFmtId="0" fontId="25" fillId="34" borderId="0" applyNumberFormat="0" applyBorder="0" applyAlignment="0" applyProtection="0"/>
    <xf numFmtId="0" fontId="25" fillId="34" borderId="0" applyNumberFormat="0" applyBorder="0" applyAlignment="0" applyProtection="0"/>
    <xf numFmtId="0" fontId="25" fillId="34" borderId="0" applyNumberFormat="0" applyBorder="0" applyAlignment="0" applyProtection="0"/>
    <xf numFmtId="0" fontId="25" fillId="34" borderId="0" applyNumberFormat="0" applyBorder="0" applyAlignment="0" applyProtection="0"/>
    <xf numFmtId="0" fontId="25" fillId="34" borderId="0" applyNumberFormat="0" applyBorder="0" applyAlignment="0" applyProtection="0"/>
    <xf numFmtId="0" fontId="25" fillId="34" borderId="0" applyNumberFormat="0" applyBorder="0" applyAlignment="0" applyProtection="0"/>
    <xf numFmtId="0" fontId="25" fillId="34" borderId="0" applyNumberFormat="0" applyBorder="0" applyAlignment="0" applyProtection="0"/>
    <xf numFmtId="0" fontId="25" fillId="34" borderId="0" applyNumberFormat="0" applyBorder="0" applyAlignment="0" applyProtection="0"/>
    <xf numFmtId="0" fontId="25" fillId="34" borderId="0" applyNumberFormat="0" applyBorder="0" applyAlignment="0" applyProtection="0"/>
    <xf numFmtId="0" fontId="25" fillId="34" borderId="0" applyNumberFormat="0" applyBorder="0" applyAlignment="0" applyProtection="0"/>
    <xf numFmtId="0" fontId="25" fillId="34" borderId="0" applyNumberFormat="0" applyBorder="0" applyAlignment="0" applyProtection="0"/>
    <xf numFmtId="0" fontId="25" fillId="34" borderId="0" applyNumberFormat="0" applyBorder="0" applyAlignment="0" applyProtection="0"/>
    <xf numFmtId="0" fontId="25" fillId="34" borderId="0" applyNumberFormat="0" applyBorder="0" applyAlignment="0" applyProtection="0"/>
    <xf numFmtId="0" fontId="25" fillId="34" borderId="0" applyNumberFormat="0" applyBorder="0" applyAlignment="0" applyProtection="0"/>
    <xf numFmtId="0" fontId="25" fillId="34" borderId="0" applyNumberFormat="0" applyBorder="0" applyAlignment="0" applyProtection="0"/>
    <xf numFmtId="0" fontId="25" fillId="34" borderId="0" applyNumberFormat="0" applyBorder="0" applyAlignment="0" applyProtection="0"/>
    <xf numFmtId="0" fontId="25" fillId="34" borderId="0" applyNumberFormat="0" applyBorder="0" applyAlignment="0" applyProtection="0"/>
    <xf numFmtId="0" fontId="25" fillId="34" borderId="0" applyNumberFormat="0" applyBorder="0" applyAlignment="0" applyProtection="0"/>
    <xf numFmtId="0" fontId="25" fillId="34" borderId="0" applyNumberFormat="0" applyBorder="0" applyAlignment="0" applyProtection="0"/>
    <xf numFmtId="0" fontId="25" fillId="34" borderId="0" applyNumberFormat="0" applyBorder="0" applyAlignment="0" applyProtection="0"/>
    <xf numFmtId="0" fontId="25" fillId="34" borderId="0" applyNumberFormat="0" applyBorder="0" applyAlignment="0" applyProtection="0"/>
    <xf numFmtId="0" fontId="25" fillId="34" borderId="0" applyNumberFormat="0" applyBorder="0" applyAlignment="0" applyProtection="0"/>
    <xf numFmtId="0" fontId="25" fillId="34" borderId="0" applyNumberFormat="0" applyBorder="0" applyAlignment="0" applyProtection="0"/>
    <xf numFmtId="0" fontId="167" fillId="35" borderId="0" applyNumberFormat="0" applyBorder="0" applyAlignment="0" applyProtection="0"/>
    <xf numFmtId="0" fontId="167" fillId="35" borderId="0" applyNumberFormat="0" applyBorder="0" applyAlignment="0" applyProtection="0"/>
    <xf numFmtId="0" fontId="167" fillId="35" borderId="0" applyNumberFormat="0" applyBorder="0" applyAlignment="0" applyProtection="0"/>
    <xf numFmtId="0" fontId="167" fillId="36" borderId="0" applyNumberFormat="0" applyBorder="0" applyAlignment="0" applyProtection="0"/>
    <xf numFmtId="0" fontId="167" fillId="35" borderId="0" applyNumberFormat="0" applyBorder="0" applyAlignment="0" applyProtection="0"/>
    <xf numFmtId="0" fontId="167" fillId="35" borderId="0" applyNumberFormat="0" applyBorder="0" applyAlignment="0" applyProtection="0"/>
    <xf numFmtId="0" fontId="167" fillId="35" borderId="0" applyNumberFormat="0" applyBorder="0" applyAlignment="0" applyProtection="0"/>
    <xf numFmtId="0" fontId="167" fillId="35" borderId="0" applyNumberFormat="0" applyBorder="0" applyAlignment="0" applyProtection="0"/>
    <xf numFmtId="0" fontId="167" fillId="35" borderId="0" applyNumberFormat="0" applyBorder="0" applyAlignment="0" applyProtection="0"/>
    <xf numFmtId="0" fontId="167" fillId="35" borderId="0" applyNumberFormat="0" applyBorder="0" applyAlignment="0" applyProtection="0"/>
    <xf numFmtId="0" fontId="167" fillId="35" borderId="0" applyNumberFormat="0" applyBorder="0" applyAlignment="0" applyProtection="0"/>
    <xf numFmtId="0" fontId="167" fillId="35" borderId="0" applyNumberFormat="0" applyBorder="0" applyAlignment="0" applyProtection="0"/>
    <xf numFmtId="0" fontId="167" fillId="35" borderId="0" applyNumberFormat="0" applyBorder="0" applyAlignment="0" applyProtection="0"/>
    <xf numFmtId="0" fontId="167" fillId="35" borderId="0" applyNumberFormat="0" applyBorder="0" applyAlignment="0" applyProtection="0"/>
    <xf numFmtId="0" fontId="167" fillId="35" borderId="0" applyNumberFormat="0" applyBorder="0" applyAlignment="0" applyProtection="0"/>
    <xf numFmtId="0" fontId="167" fillId="35" borderId="0" applyNumberFormat="0" applyBorder="0" applyAlignment="0" applyProtection="0"/>
    <xf numFmtId="0" fontId="167" fillId="35" borderId="0" applyNumberFormat="0" applyBorder="0" applyAlignment="0" applyProtection="0"/>
    <xf numFmtId="0" fontId="167" fillId="35" borderId="0" applyNumberFormat="0" applyBorder="0" applyAlignment="0" applyProtection="0"/>
    <xf numFmtId="0" fontId="167" fillId="35" borderId="0" applyNumberFormat="0" applyBorder="0" applyAlignment="0" applyProtection="0"/>
    <xf numFmtId="0" fontId="167" fillId="35" borderId="0" applyNumberFormat="0" applyBorder="0" applyAlignment="0" applyProtection="0"/>
    <xf numFmtId="0" fontId="167" fillId="35" borderId="0" applyNumberFormat="0" applyBorder="0" applyAlignment="0" applyProtection="0"/>
    <xf numFmtId="0" fontId="167" fillId="35" borderId="0" applyNumberFormat="0" applyBorder="0" applyAlignment="0" applyProtection="0"/>
    <xf numFmtId="0" fontId="167" fillId="35" borderId="0" applyNumberFormat="0" applyBorder="0" applyAlignment="0" applyProtection="0"/>
    <xf numFmtId="0" fontId="167" fillId="35" borderId="0" applyNumberFormat="0" applyBorder="0" applyAlignment="0" applyProtection="0"/>
    <xf numFmtId="0" fontId="167" fillId="35" borderId="0" applyNumberFormat="0" applyBorder="0" applyAlignment="0" applyProtection="0"/>
    <xf numFmtId="0" fontId="167" fillId="35" borderId="0" applyNumberFormat="0" applyBorder="0" applyAlignment="0" applyProtection="0"/>
    <xf numFmtId="0" fontId="167" fillId="35" borderId="0" applyNumberFormat="0" applyBorder="0" applyAlignment="0" applyProtection="0"/>
    <xf numFmtId="0" fontId="167" fillId="29" borderId="0" applyNumberFormat="0" applyBorder="0" applyAlignment="0" applyProtection="0"/>
    <xf numFmtId="0" fontId="167" fillId="29" borderId="0" applyNumberFormat="0" applyBorder="0" applyAlignment="0" applyProtection="0"/>
    <xf numFmtId="0" fontId="167" fillId="29" borderId="0" applyNumberFormat="0" applyBorder="0" applyAlignment="0" applyProtection="0"/>
    <xf numFmtId="0" fontId="167" fillId="30" borderId="0" applyNumberFormat="0" applyBorder="0" applyAlignment="0" applyProtection="0"/>
    <xf numFmtId="0" fontId="167" fillId="29" borderId="0" applyNumberFormat="0" applyBorder="0" applyAlignment="0" applyProtection="0"/>
    <xf numFmtId="0" fontId="167" fillId="29" borderId="0" applyNumberFormat="0" applyBorder="0" applyAlignment="0" applyProtection="0"/>
    <xf numFmtId="0" fontId="167" fillId="29" borderId="0" applyNumberFormat="0" applyBorder="0" applyAlignment="0" applyProtection="0"/>
    <xf numFmtId="0" fontId="167" fillId="29" borderId="0" applyNumberFormat="0" applyBorder="0" applyAlignment="0" applyProtection="0"/>
    <xf numFmtId="0" fontId="167" fillId="29" borderId="0" applyNumberFormat="0" applyBorder="0" applyAlignment="0" applyProtection="0"/>
    <xf numFmtId="0" fontId="167" fillId="29" borderId="0" applyNumberFormat="0" applyBorder="0" applyAlignment="0" applyProtection="0"/>
    <xf numFmtId="0" fontId="167" fillId="29" borderId="0" applyNumberFormat="0" applyBorder="0" applyAlignment="0" applyProtection="0"/>
    <xf numFmtId="0" fontId="167" fillId="29" borderId="0" applyNumberFormat="0" applyBorder="0" applyAlignment="0" applyProtection="0"/>
    <xf numFmtId="0" fontId="167" fillId="29" borderId="0" applyNumberFormat="0" applyBorder="0" applyAlignment="0" applyProtection="0"/>
    <xf numFmtId="0" fontId="167" fillId="29" borderId="0" applyNumberFormat="0" applyBorder="0" applyAlignment="0" applyProtection="0"/>
    <xf numFmtId="0" fontId="167" fillId="29" borderId="0" applyNumberFormat="0" applyBorder="0" applyAlignment="0" applyProtection="0"/>
    <xf numFmtId="0" fontId="167" fillId="29" borderId="0" applyNumberFormat="0" applyBorder="0" applyAlignment="0" applyProtection="0"/>
    <xf numFmtId="0" fontId="167" fillId="29" borderId="0" applyNumberFormat="0" applyBorder="0" applyAlignment="0" applyProtection="0"/>
    <xf numFmtId="0" fontId="167" fillId="29" borderId="0" applyNumberFormat="0" applyBorder="0" applyAlignment="0" applyProtection="0"/>
    <xf numFmtId="0" fontId="167" fillId="29" borderId="0" applyNumberFormat="0" applyBorder="0" applyAlignment="0" applyProtection="0"/>
    <xf numFmtId="0" fontId="167" fillId="29" borderId="0" applyNumberFormat="0" applyBorder="0" applyAlignment="0" applyProtection="0"/>
    <xf numFmtId="0" fontId="167" fillId="29" borderId="0" applyNumberFormat="0" applyBorder="0" applyAlignment="0" applyProtection="0"/>
    <xf numFmtId="0" fontId="167" fillId="29" borderId="0" applyNumberFormat="0" applyBorder="0" applyAlignment="0" applyProtection="0"/>
    <xf numFmtId="0" fontId="167" fillId="29" borderId="0" applyNumberFormat="0" applyBorder="0" applyAlignment="0" applyProtection="0"/>
    <xf numFmtId="0" fontId="167" fillId="29" borderId="0" applyNumberFormat="0" applyBorder="0" applyAlignment="0" applyProtection="0"/>
    <xf numFmtId="0" fontId="167" fillId="29" borderId="0" applyNumberFormat="0" applyBorder="0" applyAlignment="0" applyProtection="0"/>
    <xf numFmtId="0" fontId="167" fillId="29" borderId="0" applyNumberFormat="0" applyBorder="0" applyAlignment="0" applyProtection="0"/>
    <xf numFmtId="0" fontId="167" fillId="29" borderId="0" applyNumberFormat="0" applyBorder="0" applyAlignment="0" applyProtection="0"/>
    <xf numFmtId="0" fontId="167" fillId="31" borderId="0" applyNumberFormat="0" applyBorder="0" applyAlignment="0" applyProtection="0"/>
    <xf numFmtId="0" fontId="167" fillId="31" borderId="0" applyNumberFormat="0" applyBorder="0" applyAlignment="0" applyProtection="0"/>
    <xf numFmtId="0" fontId="167" fillId="31" borderId="0" applyNumberFormat="0" applyBorder="0" applyAlignment="0" applyProtection="0"/>
    <xf numFmtId="0" fontId="167" fillId="32" borderId="0" applyNumberFormat="0" applyBorder="0" applyAlignment="0" applyProtection="0"/>
    <xf numFmtId="0" fontId="167" fillId="31" borderId="0" applyNumberFormat="0" applyBorder="0" applyAlignment="0" applyProtection="0"/>
    <xf numFmtId="0" fontId="167" fillId="31" borderId="0" applyNumberFormat="0" applyBorder="0" applyAlignment="0" applyProtection="0"/>
    <xf numFmtId="0" fontId="167" fillId="31" borderId="0" applyNumberFormat="0" applyBorder="0" applyAlignment="0" applyProtection="0"/>
    <xf numFmtId="0" fontId="167" fillId="31" borderId="0" applyNumberFormat="0" applyBorder="0" applyAlignment="0" applyProtection="0"/>
    <xf numFmtId="0" fontId="167" fillId="31" borderId="0" applyNumberFormat="0" applyBorder="0" applyAlignment="0" applyProtection="0"/>
    <xf numFmtId="0" fontId="167" fillId="31" borderId="0" applyNumberFormat="0" applyBorder="0" applyAlignment="0" applyProtection="0"/>
    <xf numFmtId="0" fontId="167" fillId="31" borderId="0" applyNumberFormat="0" applyBorder="0" applyAlignment="0" applyProtection="0"/>
    <xf numFmtId="0" fontId="167" fillId="31" borderId="0" applyNumberFormat="0" applyBorder="0" applyAlignment="0" applyProtection="0"/>
    <xf numFmtId="0" fontId="167" fillId="31" borderId="0" applyNumberFormat="0" applyBorder="0" applyAlignment="0" applyProtection="0"/>
    <xf numFmtId="0" fontId="167" fillId="31" borderId="0" applyNumberFormat="0" applyBorder="0" applyAlignment="0" applyProtection="0"/>
    <xf numFmtId="0" fontId="167" fillId="31" borderId="0" applyNumberFormat="0" applyBorder="0" applyAlignment="0" applyProtection="0"/>
    <xf numFmtId="0" fontId="167" fillId="31" borderId="0" applyNumberFormat="0" applyBorder="0" applyAlignment="0" applyProtection="0"/>
    <xf numFmtId="0" fontId="167" fillId="31" borderId="0" applyNumberFormat="0" applyBorder="0" applyAlignment="0" applyProtection="0"/>
    <xf numFmtId="0" fontId="167" fillId="31" borderId="0" applyNumberFormat="0" applyBorder="0" applyAlignment="0" applyProtection="0"/>
    <xf numFmtId="0" fontId="167" fillId="31" borderId="0" applyNumberFormat="0" applyBorder="0" applyAlignment="0" applyProtection="0"/>
    <xf numFmtId="0" fontId="167" fillId="31" borderId="0" applyNumberFormat="0" applyBorder="0" applyAlignment="0" applyProtection="0"/>
    <xf numFmtId="0" fontId="167" fillId="31" borderId="0" applyNumberFormat="0" applyBorder="0" applyAlignment="0" applyProtection="0"/>
    <xf numFmtId="0" fontId="167" fillId="31" borderId="0" applyNumberFormat="0" applyBorder="0" applyAlignment="0" applyProtection="0"/>
    <xf numFmtId="0" fontId="167" fillId="31" borderId="0" applyNumberFormat="0" applyBorder="0" applyAlignment="0" applyProtection="0"/>
    <xf numFmtId="0" fontId="167" fillId="31" borderId="0" applyNumberFormat="0" applyBorder="0" applyAlignment="0" applyProtection="0"/>
    <xf numFmtId="0" fontId="167" fillId="31" borderId="0" applyNumberFormat="0" applyBorder="0" applyAlignment="0" applyProtection="0"/>
    <xf numFmtId="0" fontId="167" fillId="31" borderId="0" applyNumberFormat="0" applyBorder="0" applyAlignment="0" applyProtection="0"/>
    <xf numFmtId="0" fontId="167" fillId="31" borderId="0" applyNumberFormat="0" applyBorder="0" applyAlignment="0" applyProtection="0"/>
    <xf numFmtId="0" fontId="167" fillId="37" borderId="0" applyNumberFormat="0" applyBorder="0" applyAlignment="0" applyProtection="0"/>
    <xf numFmtId="0" fontId="167" fillId="37" borderId="0" applyNumberFormat="0" applyBorder="0" applyAlignment="0" applyProtection="0"/>
    <xf numFmtId="0" fontId="167" fillId="37" borderId="0" applyNumberFormat="0" applyBorder="0" applyAlignment="0" applyProtection="0"/>
    <xf numFmtId="0" fontId="167" fillId="28" borderId="0" applyNumberFormat="0" applyBorder="0" applyAlignment="0" applyProtection="0"/>
    <xf numFmtId="0" fontId="167" fillId="37" borderId="0" applyNumberFormat="0" applyBorder="0" applyAlignment="0" applyProtection="0"/>
    <xf numFmtId="0" fontId="167" fillId="37" borderId="0" applyNumberFormat="0" applyBorder="0" applyAlignment="0" applyProtection="0"/>
    <xf numFmtId="0" fontId="167" fillId="37" borderId="0" applyNumberFormat="0" applyBorder="0" applyAlignment="0" applyProtection="0"/>
    <xf numFmtId="0" fontId="167" fillId="37" borderId="0" applyNumberFormat="0" applyBorder="0" applyAlignment="0" applyProtection="0"/>
    <xf numFmtId="0" fontId="167" fillId="37" borderId="0" applyNumberFormat="0" applyBorder="0" applyAlignment="0" applyProtection="0"/>
    <xf numFmtId="0" fontId="167" fillId="37" borderId="0" applyNumberFormat="0" applyBorder="0" applyAlignment="0" applyProtection="0"/>
    <xf numFmtId="0" fontId="167" fillId="37" borderId="0" applyNumberFormat="0" applyBorder="0" applyAlignment="0" applyProtection="0"/>
    <xf numFmtId="0" fontId="167" fillId="37" borderId="0" applyNumberFormat="0" applyBorder="0" applyAlignment="0" applyProtection="0"/>
    <xf numFmtId="0" fontId="167" fillId="37" borderId="0" applyNumberFormat="0" applyBorder="0" applyAlignment="0" applyProtection="0"/>
    <xf numFmtId="0" fontId="167" fillId="37" borderId="0" applyNumberFormat="0" applyBorder="0" applyAlignment="0" applyProtection="0"/>
    <xf numFmtId="0" fontId="167" fillId="37" borderId="0" applyNumberFormat="0" applyBorder="0" applyAlignment="0" applyProtection="0"/>
    <xf numFmtId="0" fontId="167" fillId="37" borderId="0" applyNumberFormat="0" applyBorder="0" applyAlignment="0" applyProtection="0"/>
    <xf numFmtId="0" fontId="167" fillId="37" borderId="0" applyNumberFormat="0" applyBorder="0" applyAlignment="0" applyProtection="0"/>
    <xf numFmtId="0" fontId="167" fillId="37" borderId="0" applyNumberFormat="0" applyBorder="0" applyAlignment="0" applyProtection="0"/>
    <xf numFmtId="0" fontId="167" fillId="37" borderId="0" applyNumberFormat="0" applyBorder="0" applyAlignment="0" applyProtection="0"/>
    <xf numFmtId="0" fontId="167" fillId="37" borderId="0" applyNumberFormat="0" applyBorder="0" applyAlignment="0" applyProtection="0"/>
    <xf numFmtId="0" fontId="167" fillId="37" borderId="0" applyNumberFormat="0" applyBorder="0" applyAlignment="0" applyProtection="0"/>
    <xf numFmtId="0" fontId="167" fillId="37" borderId="0" applyNumberFormat="0" applyBorder="0" applyAlignment="0" applyProtection="0"/>
    <xf numFmtId="0" fontId="167" fillId="37" borderId="0" applyNumberFormat="0" applyBorder="0" applyAlignment="0" applyProtection="0"/>
    <xf numFmtId="0" fontId="167" fillId="37" borderId="0" applyNumberFormat="0" applyBorder="0" applyAlignment="0" applyProtection="0"/>
    <xf numFmtId="0" fontId="167" fillId="37" borderId="0" applyNumberFormat="0" applyBorder="0" applyAlignment="0" applyProtection="0"/>
    <xf numFmtId="0" fontId="167" fillId="37" borderId="0" applyNumberFormat="0" applyBorder="0" applyAlignment="0" applyProtection="0"/>
    <xf numFmtId="0" fontId="167" fillId="37" borderId="0" applyNumberFormat="0" applyBorder="0" applyAlignment="0" applyProtection="0"/>
    <xf numFmtId="0" fontId="167" fillId="38" borderId="0" applyNumberFormat="0" applyBorder="0" applyAlignment="0" applyProtection="0"/>
    <xf numFmtId="0" fontId="167" fillId="38" borderId="0" applyNumberFormat="0" applyBorder="0" applyAlignment="0" applyProtection="0"/>
    <xf numFmtId="0" fontId="167" fillId="38" borderId="0" applyNumberFormat="0" applyBorder="0" applyAlignment="0" applyProtection="0"/>
    <xf numFmtId="0" fontId="167" fillId="36" borderId="0" applyNumberFormat="0" applyBorder="0" applyAlignment="0" applyProtection="0"/>
    <xf numFmtId="0" fontId="167" fillId="38" borderId="0" applyNumberFormat="0" applyBorder="0" applyAlignment="0" applyProtection="0"/>
    <xf numFmtId="0" fontId="167" fillId="38" borderId="0" applyNumberFormat="0" applyBorder="0" applyAlignment="0" applyProtection="0"/>
    <xf numFmtId="0" fontId="167" fillId="38" borderId="0" applyNumberFormat="0" applyBorder="0" applyAlignment="0" applyProtection="0"/>
    <xf numFmtId="0" fontId="167" fillId="38" borderId="0" applyNumberFormat="0" applyBorder="0" applyAlignment="0" applyProtection="0"/>
    <xf numFmtId="0" fontId="167" fillId="38" borderId="0" applyNumberFormat="0" applyBorder="0" applyAlignment="0" applyProtection="0"/>
    <xf numFmtId="0" fontId="167" fillId="38" borderId="0" applyNumberFormat="0" applyBorder="0" applyAlignment="0" applyProtection="0"/>
    <xf numFmtId="0" fontId="167" fillId="38" borderId="0" applyNumberFormat="0" applyBorder="0" applyAlignment="0" applyProtection="0"/>
    <xf numFmtId="0" fontId="167" fillId="38" borderId="0" applyNumberFormat="0" applyBorder="0" applyAlignment="0" applyProtection="0"/>
    <xf numFmtId="0" fontId="167" fillId="38" borderId="0" applyNumberFormat="0" applyBorder="0" applyAlignment="0" applyProtection="0"/>
    <xf numFmtId="0" fontId="167" fillId="38" borderId="0" applyNumberFormat="0" applyBorder="0" applyAlignment="0" applyProtection="0"/>
    <xf numFmtId="0" fontId="167" fillId="38" borderId="0" applyNumberFormat="0" applyBorder="0" applyAlignment="0" applyProtection="0"/>
    <xf numFmtId="0" fontId="167" fillId="38" borderId="0" applyNumberFormat="0" applyBorder="0" applyAlignment="0" applyProtection="0"/>
    <xf numFmtId="0" fontId="167" fillId="38" borderId="0" applyNumberFormat="0" applyBorder="0" applyAlignment="0" applyProtection="0"/>
    <xf numFmtId="0" fontId="167" fillId="38" borderId="0" applyNumberFormat="0" applyBorder="0" applyAlignment="0" applyProtection="0"/>
    <xf numFmtId="0" fontId="167" fillId="38" borderId="0" applyNumberFormat="0" applyBorder="0" applyAlignment="0" applyProtection="0"/>
    <xf numFmtId="0" fontId="167" fillId="38" borderId="0" applyNumberFormat="0" applyBorder="0" applyAlignment="0" applyProtection="0"/>
    <xf numFmtId="0" fontId="167" fillId="38" borderId="0" applyNumberFormat="0" applyBorder="0" applyAlignment="0" applyProtection="0"/>
    <xf numFmtId="0" fontId="167" fillId="38" borderId="0" applyNumberFormat="0" applyBorder="0" applyAlignment="0" applyProtection="0"/>
    <xf numFmtId="0" fontId="167" fillId="38" borderId="0" applyNumberFormat="0" applyBorder="0" applyAlignment="0" applyProtection="0"/>
    <xf numFmtId="0" fontId="167" fillId="38" borderId="0" applyNumberFormat="0" applyBorder="0" applyAlignment="0" applyProtection="0"/>
    <xf numFmtId="0" fontId="167" fillId="38" borderId="0" applyNumberFormat="0" applyBorder="0" applyAlignment="0" applyProtection="0"/>
    <xf numFmtId="0" fontId="167" fillId="38" borderId="0" applyNumberFormat="0" applyBorder="0" applyAlignment="0" applyProtection="0"/>
    <xf numFmtId="0" fontId="167" fillId="38" borderId="0" applyNumberFormat="0" applyBorder="0" applyAlignment="0" applyProtection="0"/>
    <xf numFmtId="0" fontId="167" fillId="39" borderId="0" applyNumberFormat="0" applyBorder="0" applyAlignment="0" applyProtection="0"/>
    <xf numFmtId="0" fontId="167" fillId="39" borderId="0" applyNumberFormat="0" applyBorder="0" applyAlignment="0" applyProtection="0"/>
    <xf numFmtId="0" fontId="167" fillId="39" borderId="0" applyNumberFormat="0" applyBorder="0" applyAlignment="0" applyProtection="0"/>
    <xf numFmtId="0" fontId="167" fillId="21" borderId="0" applyNumberFormat="0" applyBorder="0" applyAlignment="0" applyProtection="0"/>
    <xf numFmtId="0" fontId="167" fillId="39" borderId="0" applyNumberFormat="0" applyBorder="0" applyAlignment="0" applyProtection="0"/>
    <xf numFmtId="0" fontId="167" fillId="39" borderId="0" applyNumberFormat="0" applyBorder="0" applyAlignment="0" applyProtection="0"/>
    <xf numFmtId="0" fontId="167" fillId="39" borderId="0" applyNumberFormat="0" applyBorder="0" applyAlignment="0" applyProtection="0"/>
    <xf numFmtId="0" fontId="167" fillId="39" borderId="0" applyNumberFormat="0" applyBorder="0" applyAlignment="0" applyProtection="0"/>
    <xf numFmtId="0" fontId="167" fillId="39" borderId="0" applyNumberFormat="0" applyBorder="0" applyAlignment="0" applyProtection="0"/>
    <xf numFmtId="0" fontId="167" fillId="39" borderId="0" applyNumberFormat="0" applyBorder="0" applyAlignment="0" applyProtection="0"/>
    <xf numFmtId="0" fontId="167" fillId="39" borderId="0" applyNumberFormat="0" applyBorder="0" applyAlignment="0" applyProtection="0"/>
    <xf numFmtId="0" fontId="167" fillId="39" borderId="0" applyNumberFormat="0" applyBorder="0" applyAlignment="0" applyProtection="0"/>
    <xf numFmtId="0" fontId="167" fillId="39" borderId="0" applyNumberFormat="0" applyBorder="0" applyAlignment="0" applyProtection="0"/>
    <xf numFmtId="0" fontId="167" fillId="39" borderId="0" applyNumberFormat="0" applyBorder="0" applyAlignment="0" applyProtection="0"/>
    <xf numFmtId="0" fontId="167" fillId="39" borderId="0" applyNumberFormat="0" applyBorder="0" applyAlignment="0" applyProtection="0"/>
    <xf numFmtId="0" fontId="167" fillId="39" borderId="0" applyNumberFormat="0" applyBorder="0" applyAlignment="0" applyProtection="0"/>
    <xf numFmtId="0" fontId="167" fillId="39" borderId="0" applyNumberFormat="0" applyBorder="0" applyAlignment="0" applyProtection="0"/>
    <xf numFmtId="0" fontId="167" fillId="39" borderId="0" applyNumberFormat="0" applyBorder="0" applyAlignment="0" applyProtection="0"/>
    <xf numFmtId="0" fontId="167" fillId="39" borderId="0" applyNumberFormat="0" applyBorder="0" applyAlignment="0" applyProtection="0"/>
    <xf numFmtId="0" fontId="167" fillId="39" borderId="0" applyNumberFormat="0" applyBorder="0" applyAlignment="0" applyProtection="0"/>
    <xf numFmtId="0" fontId="167" fillId="39" borderId="0" applyNumberFormat="0" applyBorder="0" applyAlignment="0" applyProtection="0"/>
    <xf numFmtId="0" fontId="167" fillId="39" borderId="0" applyNumberFormat="0" applyBorder="0" applyAlignment="0" applyProtection="0"/>
    <xf numFmtId="0" fontId="167" fillId="39" borderId="0" applyNumberFormat="0" applyBorder="0" applyAlignment="0" applyProtection="0"/>
    <xf numFmtId="0" fontId="167" fillId="39" borderId="0" applyNumberFormat="0" applyBorder="0" applyAlignment="0" applyProtection="0"/>
    <xf numFmtId="0" fontId="167" fillId="39" borderId="0" applyNumberFormat="0" applyBorder="0" applyAlignment="0" applyProtection="0"/>
    <xf numFmtId="0" fontId="167" fillId="39" borderId="0" applyNumberFormat="0" applyBorder="0" applyAlignment="0" applyProtection="0"/>
    <xf numFmtId="0" fontId="167" fillId="39" borderId="0" applyNumberFormat="0" applyBorder="0" applyAlignment="0" applyProtection="0"/>
    <xf numFmtId="0" fontId="167" fillId="40" borderId="0" applyNumberFormat="0" applyBorder="0" applyAlignment="0" applyProtection="0"/>
    <xf numFmtId="0" fontId="167" fillId="40" borderId="0" applyNumberFormat="0" applyBorder="0" applyAlignment="0" applyProtection="0"/>
    <xf numFmtId="0" fontId="167" fillId="40" borderId="0" applyNumberFormat="0" applyBorder="0" applyAlignment="0" applyProtection="0"/>
    <xf numFmtId="0" fontId="167" fillId="36" borderId="0" applyNumberFormat="0" applyBorder="0" applyAlignment="0" applyProtection="0"/>
    <xf numFmtId="0" fontId="167" fillId="40" borderId="0" applyNumberFormat="0" applyBorder="0" applyAlignment="0" applyProtection="0"/>
    <xf numFmtId="0" fontId="167" fillId="40" borderId="0" applyNumberFormat="0" applyBorder="0" applyAlignment="0" applyProtection="0"/>
    <xf numFmtId="0" fontId="167" fillId="40" borderId="0" applyNumberFormat="0" applyBorder="0" applyAlignment="0" applyProtection="0"/>
    <xf numFmtId="0" fontId="167" fillId="40" borderId="0" applyNumberFormat="0" applyBorder="0" applyAlignment="0" applyProtection="0"/>
    <xf numFmtId="0" fontId="167" fillId="40" borderId="0" applyNumberFormat="0" applyBorder="0" applyAlignment="0" applyProtection="0"/>
    <xf numFmtId="0" fontId="167" fillId="40" borderId="0" applyNumberFormat="0" applyBorder="0" applyAlignment="0" applyProtection="0"/>
    <xf numFmtId="0" fontId="167" fillId="40" borderId="0" applyNumberFormat="0" applyBorder="0" applyAlignment="0" applyProtection="0"/>
    <xf numFmtId="0" fontId="167" fillId="40" borderId="0" applyNumberFormat="0" applyBorder="0" applyAlignment="0" applyProtection="0"/>
    <xf numFmtId="0" fontId="167" fillId="40" borderId="0" applyNumberFormat="0" applyBorder="0" applyAlignment="0" applyProtection="0"/>
    <xf numFmtId="0" fontId="167" fillId="40" borderId="0" applyNumberFormat="0" applyBorder="0" applyAlignment="0" applyProtection="0"/>
    <xf numFmtId="0" fontId="167" fillId="40" borderId="0" applyNumberFormat="0" applyBorder="0" applyAlignment="0" applyProtection="0"/>
    <xf numFmtId="0" fontId="167" fillId="40" borderId="0" applyNumberFormat="0" applyBorder="0" applyAlignment="0" applyProtection="0"/>
    <xf numFmtId="0" fontId="167" fillId="40" borderId="0" applyNumberFormat="0" applyBorder="0" applyAlignment="0" applyProtection="0"/>
    <xf numFmtId="0" fontId="167" fillId="40" borderId="0" applyNumberFormat="0" applyBorder="0" applyAlignment="0" applyProtection="0"/>
    <xf numFmtId="0" fontId="167" fillId="40" borderId="0" applyNumberFormat="0" applyBorder="0" applyAlignment="0" applyProtection="0"/>
    <xf numFmtId="0" fontId="167" fillId="40" borderId="0" applyNumberFormat="0" applyBorder="0" applyAlignment="0" applyProtection="0"/>
    <xf numFmtId="0" fontId="167" fillId="40" borderId="0" applyNumberFormat="0" applyBorder="0" applyAlignment="0" applyProtection="0"/>
    <xf numFmtId="0" fontId="167" fillId="40" borderId="0" applyNumberFormat="0" applyBorder="0" applyAlignment="0" applyProtection="0"/>
    <xf numFmtId="0" fontId="167" fillId="40" borderId="0" applyNumberFormat="0" applyBorder="0" applyAlignment="0" applyProtection="0"/>
    <xf numFmtId="0" fontId="167" fillId="40" borderId="0" applyNumberFormat="0" applyBorder="0" applyAlignment="0" applyProtection="0"/>
    <xf numFmtId="0" fontId="167" fillId="40" borderId="0" applyNumberFormat="0" applyBorder="0" applyAlignment="0" applyProtection="0"/>
    <xf numFmtId="0" fontId="167" fillId="40" borderId="0" applyNumberFormat="0" applyBorder="0" applyAlignment="0" applyProtection="0"/>
    <xf numFmtId="0" fontId="167" fillId="40" borderId="0" applyNumberFormat="0" applyBorder="0" applyAlignment="0" applyProtection="0"/>
    <xf numFmtId="0" fontId="167" fillId="41" borderId="0" applyNumberFormat="0" applyBorder="0" applyAlignment="0" applyProtection="0"/>
    <xf numFmtId="0" fontId="167" fillId="41" borderId="0" applyNumberFormat="0" applyBorder="0" applyAlignment="0" applyProtection="0"/>
    <xf numFmtId="0" fontId="167" fillId="41" borderId="0" applyNumberFormat="0" applyBorder="0" applyAlignment="0" applyProtection="0"/>
    <xf numFmtId="0" fontId="167" fillId="42" borderId="0" applyNumberFormat="0" applyBorder="0" applyAlignment="0" applyProtection="0"/>
    <xf numFmtId="0" fontId="167" fillId="41" borderId="0" applyNumberFormat="0" applyBorder="0" applyAlignment="0" applyProtection="0"/>
    <xf numFmtId="0" fontId="167" fillId="41" borderId="0" applyNumberFormat="0" applyBorder="0" applyAlignment="0" applyProtection="0"/>
    <xf numFmtId="0" fontId="167" fillId="41" borderId="0" applyNumberFormat="0" applyBorder="0" applyAlignment="0" applyProtection="0"/>
    <xf numFmtId="0" fontId="167" fillId="41" borderId="0" applyNumberFormat="0" applyBorder="0" applyAlignment="0" applyProtection="0"/>
    <xf numFmtId="0" fontId="167" fillId="41" borderId="0" applyNumberFormat="0" applyBorder="0" applyAlignment="0" applyProtection="0"/>
    <xf numFmtId="0" fontId="167" fillId="41" borderId="0" applyNumberFormat="0" applyBorder="0" applyAlignment="0" applyProtection="0"/>
    <xf numFmtId="0" fontId="167" fillId="41" borderId="0" applyNumberFormat="0" applyBorder="0" applyAlignment="0" applyProtection="0"/>
    <xf numFmtId="0" fontId="167" fillId="41" borderId="0" applyNumberFormat="0" applyBorder="0" applyAlignment="0" applyProtection="0"/>
    <xf numFmtId="0" fontId="167" fillId="41" borderId="0" applyNumberFormat="0" applyBorder="0" applyAlignment="0" applyProtection="0"/>
    <xf numFmtId="0" fontId="167" fillId="41" borderId="0" applyNumberFormat="0" applyBorder="0" applyAlignment="0" applyProtection="0"/>
    <xf numFmtId="0" fontId="167" fillId="41" borderId="0" applyNumberFormat="0" applyBorder="0" applyAlignment="0" applyProtection="0"/>
    <xf numFmtId="0" fontId="167" fillId="41" borderId="0" applyNumberFormat="0" applyBorder="0" applyAlignment="0" applyProtection="0"/>
    <xf numFmtId="0" fontId="167" fillId="41" borderId="0" applyNumberFormat="0" applyBorder="0" applyAlignment="0" applyProtection="0"/>
    <xf numFmtId="0" fontId="167" fillId="41" borderId="0" applyNumberFormat="0" applyBorder="0" applyAlignment="0" applyProtection="0"/>
    <xf numFmtId="0" fontId="167" fillId="41" borderId="0" applyNumberFormat="0" applyBorder="0" applyAlignment="0" applyProtection="0"/>
    <xf numFmtId="0" fontId="167" fillId="41" borderId="0" applyNumberFormat="0" applyBorder="0" applyAlignment="0" applyProtection="0"/>
    <xf numFmtId="0" fontId="167" fillId="41" borderId="0" applyNumberFormat="0" applyBorder="0" applyAlignment="0" applyProtection="0"/>
    <xf numFmtId="0" fontId="167" fillId="41" borderId="0" applyNumberFormat="0" applyBorder="0" applyAlignment="0" applyProtection="0"/>
    <xf numFmtId="0" fontId="167" fillId="41" borderId="0" applyNumberFormat="0" applyBorder="0" applyAlignment="0" applyProtection="0"/>
    <xf numFmtId="0" fontId="167" fillId="41" borderId="0" applyNumberFormat="0" applyBorder="0" applyAlignment="0" applyProtection="0"/>
    <xf numFmtId="0" fontId="167" fillId="41" borderId="0" applyNumberFormat="0" applyBorder="0" applyAlignment="0" applyProtection="0"/>
    <xf numFmtId="0" fontId="167" fillId="41" borderId="0" applyNumberFormat="0" applyBorder="0" applyAlignment="0" applyProtection="0"/>
    <xf numFmtId="0" fontId="167" fillId="41" borderId="0" applyNumberFormat="0" applyBorder="0" applyAlignment="0" applyProtection="0"/>
    <xf numFmtId="0" fontId="167" fillId="43" borderId="0" applyNumberFormat="0" applyBorder="0" applyAlignment="0" applyProtection="0"/>
    <xf numFmtId="0" fontId="167" fillId="43" borderId="0" applyNumberFormat="0" applyBorder="0" applyAlignment="0" applyProtection="0"/>
    <xf numFmtId="0" fontId="167" fillId="43" borderId="0" applyNumberFormat="0" applyBorder="0" applyAlignment="0" applyProtection="0"/>
    <xf numFmtId="0" fontId="167" fillId="44" borderId="0" applyNumberFormat="0" applyBorder="0" applyAlignment="0" applyProtection="0"/>
    <xf numFmtId="0" fontId="167" fillId="43" borderId="0" applyNumberFormat="0" applyBorder="0" applyAlignment="0" applyProtection="0"/>
    <xf numFmtId="0" fontId="167" fillId="43" borderId="0" applyNumberFormat="0" applyBorder="0" applyAlignment="0" applyProtection="0"/>
    <xf numFmtId="0" fontId="167" fillId="43" borderId="0" applyNumberFormat="0" applyBorder="0" applyAlignment="0" applyProtection="0"/>
    <xf numFmtId="0" fontId="167" fillId="43" borderId="0" applyNumberFormat="0" applyBorder="0" applyAlignment="0" applyProtection="0"/>
    <xf numFmtId="0" fontId="167" fillId="43" borderId="0" applyNumberFormat="0" applyBorder="0" applyAlignment="0" applyProtection="0"/>
    <xf numFmtId="0" fontId="167" fillId="43" borderId="0" applyNumberFormat="0" applyBorder="0" applyAlignment="0" applyProtection="0"/>
    <xf numFmtId="0" fontId="167" fillId="43" borderId="0" applyNumberFormat="0" applyBorder="0" applyAlignment="0" applyProtection="0"/>
    <xf numFmtId="0" fontId="167" fillId="43" borderId="0" applyNumberFormat="0" applyBorder="0" applyAlignment="0" applyProtection="0"/>
    <xf numFmtId="0" fontId="167" fillId="43" borderId="0" applyNumberFormat="0" applyBorder="0" applyAlignment="0" applyProtection="0"/>
    <xf numFmtId="0" fontId="167" fillId="43" borderId="0" applyNumberFormat="0" applyBorder="0" applyAlignment="0" applyProtection="0"/>
    <xf numFmtId="0" fontId="167" fillId="43" borderId="0" applyNumberFormat="0" applyBorder="0" applyAlignment="0" applyProtection="0"/>
    <xf numFmtId="0" fontId="167" fillId="43" borderId="0" applyNumberFormat="0" applyBorder="0" applyAlignment="0" applyProtection="0"/>
    <xf numFmtId="0" fontId="167" fillId="43" borderId="0" applyNumberFormat="0" applyBorder="0" applyAlignment="0" applyProtection="0"/>
    <xf numFmtId="0" fontId="167" fillId="43" borderId="0" applyNumberFormat="0" applyBorder="0" applyAlignment="0" applyProtection="0"/>
    <xf numFmtId="0" fontId="167" fillId="43" borderId="0" applyNumberFormat="0" applyBorder="0" applyAlignment="0" applyProtection="0"/>
    <xf numFmtId="0" fontId="167" fillId="43" borderId="0" applyNumberFormat="0" applyBorder="0" applyAlignment="0" applyProtection="0"/>
    <xf numFmtId="0" fontId="167" fillId="43" borderId="0" applyNumberFormat="0" applyBorder="0" applyAlignment="0" applyProtection="0"/>
    <xf numFmtId="0" fontId="167" fillId="43" borderId="0" applyNumberFormat="0" applyBorder="0" applyAlignment="0" applyProtection="0"/>
    <xf numFmtId="0" fontId="167" fillId="43" borderId="0" applyNumberFormat="0" applyBorder="0" applyAlignment="0" applyProtection="0"/>
    <xf numFmtId="0" fontId="167" fillId="43" borderId="0" applyNumberFormat="0" applyBorder="0" applyAlignment="0" applyProtection="0"/>
    <xf numFmtId="0" fontId="167" fillId="43" borderId="0" applyNumberFormat="0" applyBorder="0" applyAlignment="0" applyProtection="0"/>
    <xf numFmtId="0" fontId="167" fillId="43" borderId="0" applyNumberFormat="0" applyBorder="0" applyAlignment="0" applyProtection="0"/>
    <xf numFmtId="0" fontId="167" fillId="43" borderId="0" applyNumberFormat="0" applyBorder="0" applyAlignment="0" applyProtection="0"/>
    <xf numFmtId="0" fontId="167" fillId="37" borderId="0" applyNumberFormat="0" applyBorder="0" applyAlignment="0" applyProtection="0"/>
    <xf numFmtId="0" fontId="167" fillId="37" borderId="0" applyNumberFormat="0" applyBorder="0" applyAlignment="0" applyProtection="0"/>
    <xf numFmtId="0" fontId="167" fillId="37" borderId="0" applyNumberFormat="0" applyBorder="0" applyAlignment="0" applyProtection="0"/>
    <xf numFmtId="0" fontId="167" fillId="45" borderId="0" applyNumberFormat="0" applyBorder="0" applyAlignment="0" applyProtection="0"/>
    <xf numFmtId="0" fontId="167" fillId="37" borderId="0" applyNumberFormat="0" applyBorder="0" applyAlignment="0" applyProtection="0"/>
    <xf numFmtId="0" fontId="167" fillId="37" borderId="0" applyNumberFormat="0" applyBorder="0" applyAlignment="0" applyProtection="0"/>
    <xf numFmtId="0" fontId="167" fillId="37" borderId="0" applyNumberFormat="0" applyBorder="0" applyAlignment="0" applyProtection="0"/>
    <xf numFmtId="0" fontId="167" fillId="37" borderId="0" applyNumberFormat="0" applyBorder="0" applyAlignment="0" applyProtection="0"/>
    <xf numFmtId="0" fontId="167" fillId="37" borderId="0" applyNumberFormat="0" applyBorder="0" applyAlignment="0" applyProtection="0"/>
    <xf numFmtId="0" fontId="167" fillId="37" borderId="0" applyNumberFormat="0" applyBorder="0" applyAlignment="0" applyProtection="0"/>
    <xf numFmtId="0" fontId="167" fillId="37" borderId="0" applyNumberFormat="0" applyBorder="0" applyAlignment="0" applyProtection="0"/>
    <xf numFmtId="0" fontId="167" fillId="37" borderId="0" applyNumberFormat="0" applyBorder="0" applyAlignment="0" applyProtection="0"/>
    <xf numFmtId="0" fontId="167" fillId="37" borderId="0" applyNumberFormat="0" applyBorder="0" applyAlignment="0" applyProtection="0"/>
    <xf numFmtId="0" fontId="167" fillId="37" borderId="0" applyNumberFormat="0" applyBorder="0" applyAlignment="0" applyProtection="0"/>
    <xf numFmtId="0" fontId="167" fillId="37" borderId="0" applyNumberFormat="0" applyBorder="0" applyAlignment="0" applyProtection="0"/>
    <xf numFmtId="0" fontId="167" fillId="37" borderId="0" applyNumberFormat="0" applyBorder="0" applyAlignment="0" applyProtection="0"/>
    <xf numFmtId="0" fontId="167" fillId="37" borderId="0" applyNumberFormat="0" applyBorder="0" applyAlignment="0" applyProtection="0"/>
    <xf numFmtId="0" fontId="167" fillId="37" borderId="0" applyNumberFormat="0" applyBorder="0" applyAlignment="0" applyProtection="0"/>
    <xf numFmtId="0" fontId="167" fillId="37" borderId="0" applyNumberFormat="0" applyBorder="0" applyAlignment="0" applyProtection="0"/>
    <xf numFmtId="0" fontId="167" fillId="37" borderId="0" applyNumberFormat="0" applyBorder="0" applyAlignment="0" applyProtection="0"/>
    <xf numFmtId="0" fontId="167" fillId="37" borderId="0" applyNumberFormat="0" applyBorder="0" applyAlignment="0" applyProtection="0"/>
    <xf numFmtId="0" fontId="167" fillId="37" borderId="0" applyNumberFormat="0" applyBorder="0" applyAlignment="0" applyProtection="0"/>
    <xf numFmtId="0" fontId="167" fillId="37" borderId="0" applyNumberFormat="0" applyBorder="0" applyAlignment="0" applyProtection="0"/>
    <xf numFmtId="0" fontId="167" fillId="37" borderId="0" applyNumberFormat="0" applyBorder="0" applyAlignment="0" applyProtection="0"/>
    <xf numFmtId="0" fontId="167" fillId="37" borderId="0" applyNumberFormat="0" applyBorder="0" applyAlignment="0" applyProtection="0"/>
    <xf numFmtId="0" fontId="167" fillId="37" borderId="0" applyNumberFormat="0" applyBorder="0" applyAlignment="0" applyProtection="0"/>
    <xf numFmtId="0" fontId="167" fillId="37" borderId="0" applyNumberFormat="0" applyBorder="0" applyAlignment="0" applyProtection="0"/>
    <xf numFmtId="0" fontId="167" fillId="38" borderId="0" applyNumberFormat="0" applyBorder="0" applyAlignment="0" applyProtection="0"/>
    <xf numFmtId="0" fontId="167" fillId="38" borderId="0" applyNumberFormat="0" applyBorder="0" applyAlignment="0" applyProtection="0"/>
    <xf numFmtId="0" fontId="167" fillId="38" borderId="0" applyNumberFormat="0" applyBorder="0" applyAlignment="0" applyProtection="0"/>
    <xf numFmtId="0" fontId="167" fillId="36" borderId="0" applyNumberFormat="0" applyBorder="0" applyAlignment="0" applyProtection="0"/>
    <xf numFmtId="0" fontId="167" fillId="38" borderId="0" applyNumberFormat="0" applyBorder="0" applyAlignment="0" applyProtection="0"/>
    <xf numFmtId="0" fontId="167" fillId="38" borderId="0" applyNumberFormat="0" applyBorder="0" applyAlignment="0" applyProtection="0"/>
    <xf numFmtId="0" fontId="167" fillId="38" borderId="0" applyNumberFormat="0" applyBorder="0" applyAlignment="0" applyProtection="0"/>
    <xf numFmtId="0" fontId="167" fillId="38" borderId="0" applyNumberFormat="0" applyBorder="0" applyAlignment="0" applyProtection="0"/>
    <xf numFmtId="0" fontId="167" fillId="38" borderId="0" applyNumberFormat="0" applyBorder="0" applyAlignment="0" applyProtection="0"/>
    <xf numFmtId="0" fontId="167" fillId="38" borderId="0" applyNumberFormat="0" applyBorder="0" applyAlignment="0" applyProtection="0"/>
    <xf numFmtId="0" fontId="167" fillId="38" borderId="0" applyNumberFormat="0" applyBorder="0" applyAlignment="0" applyProtection="0"/>
    <xf numFmtId="0" fontId="167" fillId="38" borderId="0" applyNumberFormat="0" applyBorder="0" applyAlignment="0" applyProtection="0"/>
    <xf numFmtId="0" fontId="167" fillId="38" borderId="0" applyNumberFormat="0" applyBorder="0" applyAlignment="0" applyProtection="0"/>
    <xf numFmtId="0" fontId="167" fillId="38" borderId="0" applyNumberFormat="0" applyBorder="0" applyAlignment="0" applyProtection="0"/>
    <xf numFmtId="0" fontId="167" fillId="38" borderId="0" applyNumberFormat="0" applyBorder="0" applyAlignment="0" applyProtection="0"/>
    <xf numFmtId="0" fontId="167" fillId="38" borderId="0" applyNumberFormat="0" applyBorder="0" applyAlignment="0" applyProtection="0"/>
    <xf numFmtId="0" fontId="167" fillId="38" borderId="0" applyNumberFormat="0" applyBorder="0" applyAlignment="0" applyProtection="0"/>
    <xf numFmtId="0" fontId="167" fillId="38" borderId="0" applyNumberFormat="0" applyBorder="0" applyAlignment="0" applyProtection="0"/>
    <xf numFmtId="0" fontId="167" fillId="38" borderId="0" applyNumberFormat="0" applyBorder="0" applyAlignment="0" applyProtection="0"/>
    <xf numFmtId="0" fontId="167" fillId="38" borderId="0" applyNumberFormat="0" applyBorder="0" applyAlignment="0" applyProtection="0"/>
    <xf numFmtId="0" fontId="167" fillId="38" borderId="0" applyNumberFormat="0" applyBorder="0" applyAlignment="0" applyProtection="0"/>
    <xf numFmtId="0" fontId="167" fillId="38" borderId="0" applyNumberFormat="0" applyBorder="0" applyAlignment="0" applyProtection="0"/>
    <xf numFmtId="0" fontId="167" fillId="38" borderId="0" applyNumberFormat="0" applyBorder="0" applyAlignment="0" applyProtection="0"/>
    <xf numFmtId="0" fontId="167" fillId="38" borderId="0" applyNumberFormat="0" applyBorder="0" applyAlignment="0" applyProtection="0"/>
    <xf numFmtId="0" fontId="167" fillId="38" borderId="0" applyNumberFormat="0" applyBorder="0" applyAlignment="0" applyProtection="0"/>
    <xf numFmtId="0" fontId="167" fillId="38" borderId="0" applyNumberFormat="0" applyBorder="0" applyAlignment="0" applyProtection="0"/>
    <xf numFmtId="0" fontId="167" fillId="38" borderId="0" applyNumberFormat="0" applyBorder="0" applyAlignment="0" applyProtection="0"/>
    <xf numFmtId="0" fontId="167" fillId="4" borderId="0" applyNumberFormat="0" applyBorder="0" applyAlignment="0" applyProtection="0"/>
    <xf numFmtId="0" fontId="167" fillId="4" borderId="0" applyNumberFormat="0" applyBorder="0" applyAlignment="0" applyProtection="0"/>
    <xf numFmtId="0" fontId="167" fillId="4" borderId="0" applyNumberFormat="0" applyBorder="0" applyAlignment="0" applyProtection="0"/>
    <xf numFmtId="0" fontId="167" fillId="46" borderId="0" applyNumberFormat="0" applyBorder="0" applyAlignment="0" applyProtection="0"/>
    <xf numFmtId="0" fontId="167" fillId="4" borderId="0" applyNumberFormat="0" applyBorder="0" applyAlignment="0" applyProtection="0"/>
    <xf numFmtId="0" fontId="167" fillId="4" borderId="0" applyNumberFormat="0" applyBorder="0" applyAlignment="0" applyProtection="0"/>
    <xf numFmtId="0" fontId="167" fillId="4" borderId="0" applyNumberFormat="0" applyBorder="0" applyAlignment="0" applyProtection="0"/>
    <xf numFmtId="0" fontId="167" fillId="4" borderId="0" applyNumberFormat="0" applyBorder="0" applyAlignment="0" applyProtection="0"/>
    <xf numFmtId="0" fontId="167" fillId="4" borderId="0" applyNumberFormat="0" applyBorder="0" applyAlignment="0" applyProtection="0"/>
    <xf numFmtId="0" fontId="167" fillId="4" borderId="0" applyNumberFormat="0" applyBorder="0" applyAlignment="0" applyProtection="0"/>
    <xf numFmtId="0" fontId="167" fillId="4" borderId="0" applyNumberFormat="0" applyBorder="0" applyAlignment="0" applyProtection="0"/>
    <xf numFmtId="0" fontId="167" fillId="4" borderId="0" applyNumberFormat="0" applyBorder="0" applyAlignment="0" applyProtection="0"/>
    <xf numFmtId="0" fontId="167" fillId="4" borderId="0" applyNumberFormat="0" applyBorder="0" applyAlignment="0" applyProtection="0"/>
    <xf numFmtId="0" fontId="167" fillId="4" borderId="0" applyNumberFormat="0" applyBorder="0" applyAlignment="0" applyProtection="0"/>
    <xf numFmtId="0" fontId="167" fillId="4" borderId="0" applyNumberFormat="0" applyBorder="0" applyAlignment="0" applyProtection="0"/>
    <xf numFmtId="0" fontId="167" fillId="4" borderId="0" applyNumberFormat="0" applyBorder="0" applyAlignment="0" applyProtection="0"/>
    <xf numFmtId="0" fontId="167" fillId="4" borderId="0" applyNumberFormat="0" applyBorder="0" applyAlignment="0" applyProtection="0"/>
    <xf numFmtId="0" fontId="167" fillId="4" borderId="0" applyNumberFormat="0" applyBorder="0" applyAlignment="0" applyProtection="0"/>
    <xf numFmtId="0" fontId="167" fillId="4" borderId="0" applyNumberFormat="0" applyBorder="0" applyAlignment="0" applyProtection="0"/>
    <xf numFmtId="0" fontId="167" fillId="4" borderId="0" applyNumberFormat="0" applyBorder="0" applyAlignment="0" applyProtection="0"/>
    <xf numFmtId="0" fontId="167" fillId="4" borderId="0" applyNumberFormat="0" applyBorder="0" applyAlignment="0" applyProtection="0"/>
    <xf numFmtId="0" fontId="167" fillId="4" borderId="0" applyNumberFormat="0" applyBorder="0" applyAlignment="0" applyProtection="0"/>
    <xf numFmtId="0" fontId="167" fillId="4" borderId="0" applyNumberFormat="0" applyBorder="0" applyAlignment="0" applyProtection="0"/>
    <xf numFmtId="0" fontId="167" fillId="4" borderId="0" applyNumberFormat="0" applyBorder="0" applyAlignment="0" applyProtection="0"/>
    <xf numFmtId="0" fontId="167" fillId="4" borderId="0" applyNumberFormat="0" applyBorder="0" applyAlignment="0" applyProtection="0"/>
    <xf numFmtId="0" fontId="167" fillId="4" borderId="0" applyNumberFormat="0" applyBorder="0" applyAlignment="0" applyProtection="0"/>
    <xf numFmtId="0" fontId="167" fillId="4" borderId="0" applyNumberFormat="0" applyBorder="0" applyAlignment="0" applyProtection="0"/>
    <xf numFmtId="0" fontId="168" fillId="20" borderId="0" applyNumberFormat="0" applyBorder="0" applyAlignment="0" applyProtection="0"/>
    <xf numFmtId="0" fontId="168" fillId="20" borderId="0" applyNumberFormat="0" applyBorder="0" applyAlignment="0" applyProtection="0"/>
    <xf numFmtId="0" fontId="168" fillId="20" borderId="0" applyNumberFormat="0" applyBorder="0" applyAlignment="0" applyProtection="0"/>
    <xf numFmtId="0" fontId="168" fillId="47" borderId="0" applyNumberFormat="0" applyBorder="0" applyAlignment="0" applyProtection="0"/>
    <xf numFmtId="0" fontId="168" fillId="20" borderId="0" applyNumberFormat="0" applyBorder="0" applyAlignment="0" applyProtection="0"/>
    <xf numFmtId="0" fontId="168" fillId="20" borderId="0" applyNumberFormat="0" applyBorder="0" applyAlignment="0" applyProtection="0"/>
    <xf numFmtId="0" fontId="168" fillId="20" borderId="0" applyNumberFormat="0" applyBorder="0" applyAlignment="0" applyProtection="0"/>
    <xf numFmtId="0" fontId="168" fillId="20" borderId="0" applyNumberFormat="0" applyBorder="0" applyAlignment="0" applyProtection="0"/>
    <xf numFmtId="0" fontId="168" fillId="20" borderId="0" applyNumberFormat="0" applyBorder="0" applyAlignment="0" applyProtection="0"/>
    <xf numFmtId="0" fontId="168" fillId="20" borderId="0" applyNumberFormat="0" applyBorder="0" applyAlignment="0" applyProtection="0"/>
    <xf numFmtId="0" fontId="168" fillId="20" borderId="0" applyNumberFormat="0" applyBorder="0" applyAlignment="0" applyProtection="0"/>
    <xf numFmtId="0" fontId="168" fillId="20" borderId="0" applyNumberFormat="0" applyBorder="0" applyAlignment="0" applyProtection="0"/>
    <xf numFmtId="0" fontId="168" fillId="20" borderId="0" applyNumberFormat="0" applyBorder="0" applyAlignment="0" applyProtection="0"/>
    <xf numFmtId="0" fontId="168" fillId="20" borderId="0" applyNumberFormat="0" applyBorder="0" applyAlignment="0" applyProtection="0"/>
    <xf numFmtId="0" fontId="168" fillId="20" borderId="0" applyNumberFormat="0" applyBorder="0" applyAlignment="0" applyProtection="0"/>
    <xf numFmtId="0" fontId="168" fillId="20" borderId="0" applyNumberFormat="0" applyBorder="0" applyAlignment="0" applyProtection="0"/>
    <xf numFmtId="0" fontId="168" fillId="20" borderId="0" applyNumberFormat="0" applyBorder="0" applyAlignment="0" applyProtection="0"/>
    <xf numFmtId="0" fontId="168" fillId="20" borderId="0" applyNumberFormat="0" applyBorder="0" applyAlignment="0" applyProtection="0"/>
    <xf numFmtId="0" fontId="168" fillId="20" borderId="0" applyNumberFormat="0" applyBorder="0" applyAlignment="0" applyProtection="0"/>
    <xf numFmtId="0" fontId="168" fillId="20" borderId="0" applyNumberFormat="0" applyBorder="0" applyAlignment="0" applyProtection="0"/>
    <xf numFmtId="0" fontId="168" fillId="20" borderId="0" applyNumberFormat="0" applyBorder="0" applyAlignment="0" applyProtection="0"/>
    <xf numFmtId="0" fontId="168" fillId="20" borderId="0" applyNumberFormat="0" applyBorder="0" applyAlignment="0" applyProtection="0"/>
    <xf numFmtId="0" fontId="168" fillId="20" borderId="0" applyNumberFormat="0" applyBorder="0" applyAlignment="0" applyProtection="0"/>
    <xf numFmtId="0" fontId="168" fillId="20" borderId="0" applyNumberFormat="0" applyBorder="0" applyAlignment="0" applyProtection="0"/>
    <xf numFmtId="0" fontId="168" fillId="20" borderId="0" applyNumberFormat="0" applyBorder="0" applyAlignment="0" applyProtection="0"/>
    <xf numFmtId="0" fontId="168" fillId="20" borderId="0" applyNumberFormat="0" applyBorder="0" applyAlignment="0" applyProtection="0"/>
    <xf numFmtId="0" fontId="168" fillId="20" borderId="0" applyNumberFormat="0" applyBorder="0" applyAlignment="0" applyProtection="0"/>
    <xf numFmtId="0" fontId="169" fillId="2" borderId="21" applyNumberFormat="0" applyAlignment="0" applyProtection="0"/>
    <xf numFmtId="0" fontId="169" fillId="2" borderId="21" applyNumberFormat="0" applyAlignment="0" applyProtection="0"/>
    <xf numFmtId="0" fontId="169" fillId="2" borderId="21" applyNumberFormat="0" applyAlignment="0" applyProtection="0"/>
    <xf numFmtId="0" fontId="169" fillId="19" borderId="21" applyNumberFormat="0" applyAlignment="0" applyProtection="0"/>
    <xf numFmtId="0" fontId="169" fillId="2" borderId="21" applyNumberFormat="0" applyAlignment="0" applyProtection="0"/>
    <xf numFmtId="0" fontId="169" fillId="2" borderId="21" applyNumberFormat="0" applyAlignment="0" applyProtection="0"/>
    <xf numFmtId="0" fontId="169" fillId="2" borderId="21" applyNumberFormat="0" applyAlignment="0" applyProtection="0"/>
    <xf numFmtId="0" fontId="169" fillId="2" borderId="21" applyNumberFormat="0" applyAlignment="0" applyProtection="0"/>
    <xf numFmtId="0" fontId="169" fillId="2" borderId="21" applyNumberFormat="0" applyAlignment="0" applyProtection="0"/>
    <xf numFmtId="0" fontId="169" fillId="2" borderId="21" applyNumberFormat="0" applyAlignment="0" applyProtection="0"/>
    <xf numFmtId="0" fontId="169" fillId="2" borderId="21" applyNumberFormat="0" applyAlignment="0" applyProtection="0"/>
    <xf numFmtId="0" fontId="169" fillId="2" borderId="21" applyNumberFormat="0" applyAlignment="0" applyProtection="0"/>
    <xf numFmtId="0" fontId="169" fillId="2" borderId="21" applyNumberFormat="0" applyAlignment="0" applyProtection="0"/>
    <xf numFmtId="0" fontId="169" fillId="2" borderId="21" applyNumberFormat="0" applyAlignment="0" applyProtection="0"/>
    <xf numFmtId="0" fontId="169" fillId="2" borderId="21" applyNumberFormat="0" applyAlignment="0" applyProtection="0"/>
    <xf numFmtId="0" fontId="169" fillId="2" borderId="21" applyNumberFormat="0" applyAlignment="0" applyProtection="0"/>
    <xf numFmtId="0" fontId="169" fillId="2" borderId="21" applyNumberFormat="0" applyAlignment="0" applyProtection="0"/>
    <xf numFmtId="0" fontId="169" fillId="2" borderId="21" applyNumberFormat="0" applyAlignment="0" applyProtection="0"/>
    <xf numFmtId="0" fontId="169" fillId="2" borderId="21" applyNumberFormat="0" applyAlignment="0" applyProtection="0"/>
    <xf numFmtId="0" fontId="169" fillId="2" borderId="21" applyNumberFormat="0" applyAlignment="0" applyProtection="0"/>
    <xf numFmtId="0" fontId="169" fillId="2" borderId="21" applyNumberFormat="0" applyAlignment="0" applyProtection="0"/>
    <xf numFmtId="0" fontId="169" fillId="2" borderId="21" applyNumberFormat="0" applyAlignment="0" applyProtection="0"/>
    <xf numFmtId="0" fontId="169" fillId="2" borderId="21" applyNumberFormat="0" applyAlignment="0" applyProtection="0"/>
    <xf numFmtId="0" fontId="169" fillId="2" borderId="21" applyNumberFormat="0" applyAlignment="0" applyProtection="0"/>
    <xf numFmtId="0" fontId="169" fillId="2" borderId="21" applyNumberFormat="0" applyAlignment="0" applyProtection="0"/>
    <xf numFmtId="0" fontId="169" fillId="2" borderId="21" applyNumberFormat="0" applyAlignment="0" applyProtection="0"/>
    <xf numFmtId="0" fontId="169" fillId="2" borderId="21" applyNumberFormat="0" applyAlignment="0" applyProtection="0"/>
    <xf numFmtId="0" fontId="170" fillId="48" borderId="22" applyNumberFormat="0" applyAlignment="0" applyProtection="0"/>
    <xf numFmtId="0" fontId="170" fillId="48" borderId="22" applyNumberFormat="0" applyAlignment="0" applyProtection="0"/>
    <xf numFmtId="0" fontId="170" fillId="48" borderId="22" applyNumberFormat="0" applyAlignment="0" applyProtection="0"/>
    <xf numFmtId="0" fontId="170" fillId="49" borderId="22" applyNumberFormat="0" applyAlignment="0" applyProtection="0"/>
    <xf numFmtId="0" fontId="170" fillId="48" borderId="22" applyNumberFormat="0" applyAlignment="0" applyProtection="0"/>
    <xf numFmtId="0" fontId="170" fillId="48" borderId="22" applyNumberFormat="0" applyAlignment="0" applyProtection="0"/>
    <xf numFmtId="0" fontId="170" fillId="48" borderId="22" applyNumberFormat="0" applyAlignment="0" applyProtection="0"/>
    <xf numFmtId="0" fontId="170" fillId="48" borderId="22" applyNumberFormat="0" applyAlignment="0" applyProtection="0"/>
    <xf numFmtId="0" fontId="170" fillId="48" borderId="22" applyNumberFormat="0" applyAlignment="0" applyProtection="0"/>
    <xf numFmtId="0" fontId="170" fillId="48" borderId="22" applyNumberFormat="0" applyAlignment="0" applyProtection="0"/>
    <xf numFmtId="0" fontId="170" fillId="48" borderId="22" applyNumberFormat="0" applyAlignment="0" applyProtection="0"/>
    <xf numFmtId="0" fontId="170" fillId="48" borderId="22" applyNumberFormat="0" applyAlignment="0" applyProtection="0"/>
    <xf numFmtId="0" fontId="170" fillId="48" borderId="22" applyNumberFormat="0" applyAlignment="0" applyProtection="0"/>
    <xf numFmtId="0" fontId="170" fillId="48" borderId="22" applyNumberFormat="0" applyAlignment="0" applyProtection="0"/>
    <xf numFmtId="0" fontId="170" fillId="48" borderId="22" applyNumberFormat="0" applyAlignment="0" applyProtection="0"/>
    <xf numFmtId="0" fontId="170" fillId="48" borderId="22" applyNumberFormat="0" applyAlignment="0" applyProtection="0"/>
    <xf numFmtId="0" fontId="170" fillId="48" borderId="22" applyNumberFormat="0" applyAlignment="0" applyProtection="0"/>
    <xf numFmtId="0" fontId="170" fillId="48" borderId="22" applyNumberFormat="0" applyAlignment="0" applyProtection="0"/>
    <xf numFmtId="0" fontId="170" fillId="48" borderId="22" applyNumberFormat="0" applyAlignment="0" applyProtection="0"/>
    <xf numFmtId="0" fontId="170" fillId="48" borderId="22" applyNumberFormat="0" applyAlignment="0" applyProtection="0"/>
    <xf numFmtId="0" fontId="170" fillId="48" borderId="22" applyNumberFormat="0" applyAlignment="0" applyProtection="0"/>
    <xf numFmtId="0" fontId="170" fillId="48" borderId="22" applyNumberFormat="0" applyAlignment="0" applyProtection="0"/>
    <xf numFmtId="0" fontId="170" fillId="48" borderId="22" applyNumberFormat="0" applyAlignment="0" applyProtection="0"/>
    <xf numFmtId="0" fontId="170" fillId="48" borderId="22" applyNumberFormat="0" applyAlignment="0" applyProtection="0"/>
    <xf numFmtId="0" fontId="170" fillId="48" borderId="22" applyNumberFormat="0" applyAlignment="0" applyProtection="0"/>
    <xf numFmtId="0" fontId="170" fillId="48" borderId="22" applyNumberFormat="0" applyAlignment="0" applyProtection="0"/>
    <xf numFmtId="0" fontId="170" fillId="48" borderId="22" applyNumberFormat="0" applyAlignment="0" applyProtection="0"/>
    <xf numFmtId="168" fontId="3" fillId="0" borderId="0" applyFont="0" applyFill="0" applyBorder="0" applyAlignment="0" applyProtection="0"/>
    <xf numFmtId="175" fontId="3" fillId="0" borderId="0" applyFont="0" applyFill="0" applyBorder="0" applyAlignment="0" applyProtection="0"/>
    <xf numFmtId="168" fontId="3" fillId="0" borderId="0" applyFont="0" applyFill="0" applyBorder="0" applyAlignment="0" applyProtection="0"/>
    <xf numFmtId="165" fontId="25" fillId="0" borderId="0" applyFont="0" applyFill="0" applyBorder="0" applyAlignment="0" applyProtection="0"/>
    <xf numFmtId="168" fontId="3" fillId="0" borderId="0" applyFont="0" applyFill="0" applyBorder="0" applyAlignment="0" applyProtection="0"/>
    <xf numFmtId="167" fontId="3" fillId="0" borderId="0" applyFont="0" applyFill="0" applyBorder="0" applyAlignment="0" applyProtection="0"/>
    <xf numFmtId="167" fontId="3" fillId="0" borderId="0" applyFont="0" applyFill="0" applyBorder="0" applyAlignment="0" applyProtection="0"/>
    <xf numFmtId="180" fontId="3" fillId="0" borderId="0" applyFont="0" applyFill="0" applyBorder="0" applyAlignment="0" applyProtection="0"/>
    <xf numFmtId="0" fontId="171" fillId="0" borderId="0" applyNumberFormat="0" applyFill="0" applyBorder="0" applyAlignment="0" applyProtection="0"/>
    <xf numFmtId="0" fontId="171" fillId="0" borderId="0" applyNumberFormat="0" applyFill="0" applyBorder="0" applyAlignment="0" applyProtection="0"/>
    <xf numFmtId="0" fontId="171" fillId="0" borderId="0" applyNumberFormat="0" applyFill="0" applyBorder="0" applyAlignment="0" applyProtection="0"/>
    <xf numFmtId="0" fontId="171" fillId="0" borderId="0" applyNumberFormat="0" applyFill="0" applyBorder="0" applyAlignment="0" applyProtection="0"/>
    <xf numFmtId="0" fontId="171" fillId="0" borderId="0" applyNumberFormat="0" applyFill="0" applyBorder="0" applyAlignment="0" applyProtection="0"/>
    <xf numFmtId="0" fontId="171" fillId="0" borderId="0" applyNumberFormat="0" applyFill="0" applyBorder="0" applyAlignment="0" applyProtection="0"/>
    <xf numFmtId="0" fontId="171" fillId="0" borderId="0" applyNumberFormat="0" applyFill="0" applyBorder="0" applyAlignment="0" applyProtection="0"/>
    <xf numFmtId="0" fontId="171" fillId="0" borderId="0" applyNumberFormat="0" applyFill="0" applyBorder="0" applyAlignment="0" applyProtection="0"/>
    <xf numFmtId="0" fontId="171" fillId="0" borderId="0" applyNumberFormat="0" applyFill="0" applyBorder="0" applyAlignment="0" applyProtection="0"/>
    <xf numFmtId="0" fontId="171" fillId="0" borderId="0" applyNumberFormat="0" applyFill="0" applyBorder="0" applyAlignment="0" applyProtection="0"/>
    <xf numFmtId="0" fontId="171" fillId="0" borderId="0" applyNumberFormat="0" applyFill="0" applyBorder="0" applyAlignment="0" applyProtection="0"/>
    <xf numFmtId="0" fontId="171" fillId="0" borderId="0" applyNumberFormat="0" applyFill="0" applyBorder="0" applyAlignment="0" applyProtection="0"/>
    <xf numFmtId="0" fontId="171" fillId="0" borderId="0" applyNumberFormat="0" applyFill="0" applyBorder="0" applyAlignment="0" applyProtection="0"/>
    <xf numFmtId="0" fontId="171" fillId="0" borderId="0" applyNumberFormat="0" applyFill="0" applyBorder="0" applyAlignment="0" applyProtection="0"/>
    <xf numFmtId="0" fontId="171" fillId="0" borderId="0" applyNumberFormat="0" applyFill="0" applyBorder="0" applyAlignment="0" applyProtection="0"/>
    <xf numFmtId="0" fontId="171" fillId="0" borderId="0" applyNumberFormat="0" applyFill="0" applyBorder="0" applyAlignment="0" applyProtection="0"/>
    <xf numFmtId="0" fontId="171" fillId="0" borderId="0" applyNumberFormat="0" applyFill="0" applyBorder="0" applyAlignment="0" applyProtection="0"/>
    <xf numFmtId="0" fontId="171" fillId="0" borderId="0" applyNumberFormat="0" applyFill="0" applyBorder="0" applyAlignment="0" applyProtection="0"/>
    <xf numFmtId="0" fontId="171" fillId="0" borderId="0" applyNumberFormat="0" applyFill="0" applyBorder="0" applyAlignment="0" applyProtection="0"/>
    <xf numFmtId="0" fontId="171" fillId="0" borderId="0" applyNumberFormat="0" applyFill="0" applyBorder="0" applyAlignment="0" applyProtection="0"/>
    <xf numFmtId="0" fontId="171" fillId="0" borderId="0" applyNumberFormat="0" applyFill="0" applyBorder="0" applyAlignment="0" applyProtection="0"/>
    <xf numFmtId="0" fontId="171" fillId="0" borderId="0" applyNumberFormat="0" applyFill="0" applyBorder="0" applyAlignment="0" applyProtection="0"/>
    <xf numFmtId="0" fontId="171" fillId="0" borderId="0" applyNumberFormat="0" applyFill="0" applyBorder="0" applyAlignment="0" applyProtection="0"/>
    <xf numFmtId="0" fontId="171" fillId="0" borderId="0" applyNumberFormat="0" applyFill="0" applyBorder="0" applyAlignment="0" applyProtection="0"/>
    <xf numFmtId="0" fontId="171" fillId="0" borderId="0" applyNumberFormat="0" applyFill="0" applyBorder="0" applyAlignment="0" applyProtection="0"/>
    <xf numFmtId="0" fontId="171" fillId="0" borderId="0" applyNumberFormat="0" applyFill="0" applyBorder="0" applyAlignment="0" applyProtection="0"/>
    <xf numFmtId="0" fontId="171" fillId="0" borderId="0" applyNumberFormat="0" applyFill="0" applyBorder="0" applyAlignment="0" applyProtection="0"/>
    <xf numFmtId="0" fontId="172" fillId="22" borderId="0" applyNumberFormat="0" applyBorder="0" applyAlignment="0" applyProtection="0"/>
    <xf numFmtId="0" fontId="172" fillId="22" borderId="0" applyNumberFormat="0" applyBorder="0" applyAlignment="0" applyProtection="0"/>
    <xf numFmtId="0" fontId="172" fillId="22" borderId="0" applyNumberFormat="0" applyBorder="0" applyAlignment="0" applyProtection="0"/>
    <xf numFmtId="0" fontId="172" fillId="50" borderId="0" applyNumberFormat="0" applyBorder="0" applyAlignment="0" applyProtection="0"/>
    <xf numFmtId="0" fontId="172" fillId="22" borderId="0" applyNumberFormat="0" applyBorder="0" applyAlignment="0" applyProtection="0"/>
    <xf numFmtId="0" fontId="172" fillId="22" borderId="0" applyNumberFormat="0" applyBorder="0" applyAlignment="0" applyProtection="0"/>
    <xf numFmtId="0" fontId="172" fillId="22" borderId="0" applyNumberFormat="0" applyBorder="0" applyAlignment="0" applyProtection="0"/>
    <xf numFmtId="0" fontId="172" fillId="22" borderId="0" applyNumberFormat="0" applyBorder="0" applyAlignment="0" applyProtection="0"/>
    <xf numFmtId="0" fontId="172" fillId="22" borderId="0" applyNumberFormat="0" applyBorder="0" applyAlignment="0" applyProtection="0"/>
    <xf numFmtId="0" fontId="172" fillId="22" borderId="0" applyNumberFormat="0" applyBorder="0" applyAlignment="0" applyProtection="0"/>
    <xf numFmtId="0" fontId="172" fillId="22" borderId="0" applyNumberFormat="0" applyBorder="0" applyAlignment="0" applyProtection="0"/>
    <xf numFmtId="0" fontId="172" fillId="22" borderId="0" applyNumberFormat="0" applyBorder="0" applyAlignment="0" applyProtection="0"/>
    <xf numFmtId="0" fontId="172" fillId="22" borderId="0" applyNumberFormat="0" applyBorder="0" applyAlignment="0" applyProtection="0"/>
    <xf numFmtId="0" fontId="172" fillId="22" borderId="0" applyNumberFormat="0" applyBorder="0" applyAlignment="0" applyProtection="0"/>
    <xf numFmtId="0" fontId="172" fillId="22" borderId="0" applyNumberFormat="0" applyBorder="0" applyAlignment="0" applyProtection="0"/>
    <xf numFmtId="0" fontId="172" fillId="22" borderId="0" applyNumberFormat="0" applyBorder="0" applyAlignment="0" applyProtection="0"/>
    <xf numFmtId="0" fontId="172" fillId="22" borderId="0" applyNumberFormat="0" applyBorder="0" applyAlignment="0" applyProtection="0"/>
    <xf numFmtId="0" fontId="172" fillId="22" borderId="0" applyNumberFormat="0" applyBorder="0" applyAlignment="0" applyProtection="0"/>
    <xf numFmtId="0" fontId="172" fillId="22" borderId="0" applyNumberFormat="0" applyBorder="0" applyAlignment="0" applyProtection="0"/>
    <xf numFmtId="0" fontId="172" fillId="22" borderId="0" applyNumberFormat="0" applyBorder="0" applyAlignment="0" applyProtection="0"/>
    <xf numFmtId="0" fontId="172" fillId="22" borderId="0" applyNumberFormat="0" applyBorder="0" applyAlignment="0" applyProtection="0"/>
    <xf numFmtId="0" fontId="172" fillId="22" borderId="0" applyNumberFormat="0" applyBorder="0" applyAlignment="0" applyProtection="0"/>
    <xf numFmtId="0" fontId="172" fillId="22" borderId="0" applyNumberFormat="0" applyBorder="0" applyAlignment="0" applyProtection="0"/>
    <xf numFmtId="0" fontId="172" fillId="22" borderId="0" applyNumberFormat="0" applyBorder="0" applyAlignment="0" applyProtection="0"/>
    <xf numFmtId="0" fontId="172" fillId="22" borderId="0" applyNumberFormat="0" applyBorder="0" applyAlignment="0" applyProtection="0"/>
    <xf numFmtId="0" fontId="172" fillId="22" borderId="0" applyNumberFormat="0" applyBorder="0" applyAlignment="0" applyProtection="0"/>
    <xf numFmtId="0" fontId="172" fillId="22" borderId="0" applyNumberFormat="0" applyBorder="0" applyAlignment="0" applyProtection="0"/>
    <xf numFmtId="0" fontId="173" fillId="0" borderId="23" applyNumberFormat="0" applyFill="0" applyAlignment="0" applyProtection="0"/>
    <xf numFmtId="0" fontId="173" fillId="0" borderId="23" applyNumberFormat="0" applyFill="0" applyAlignment="0" applyProtection="0"/>
    <xf numFmtId="0" fontId="173" fillId="0" borderId="23" applyNumberFormat="0" applyFill="0" applyAlignment="0" applyProtection="0"/>
    <xf numFmtId="0" fontId="174" fillId="0" borderId="24" applyNumberFormat="0" applyFill="0" applyAlignment="0" applyProtection="0"/>
    <xf numFmtId="0" fontId="173" fillId="0" borderId="23" applyNumberFormat="0" applyFill="0" applyAlignment="0" applyProtection="0"/>
    <xf numFmtId="0" fontId="173" fillId="0" borderId="23" applyNumberFormat="0" applyFill="0" applyAlignment="0" applyProtection="0"/>
    <xf numFmtId="0" fontId="173" fillId="0" borderId="23" applyNumberFormat="0" applyFill="0" applyAlignment="0" applyProtection="0"/>
    <xf numFmtId="0" fontId="173" fillId="0" borderId="23" applyNumberFormat="0" applyFill="0" applyAlignment="0" applyProtection="0"/>
    <xf numFmtId="0" fontId="173" fillId="0" borderId="23" applyNumberFormat="0" applyFill="0" applyAlignment="0" applyProtection="0"/>
    <xf numFmtId="0" fontId="173" fillId="0" borderId="23" applyNumberFormat="0" applyFill="0" applyAlignment="0" applyProtection="0"/>
    <xf numFmtId="0" fontId="173" fillId="0" borderId="23" applyNumberFormat="0" applyFill="0" applyAlignment="0" applyProtection="0"/>
    <xf numFmtId="0" fontId="173" fillId="0" borderId="23" applyNumberFormat="0" applyFill="0" applyAlignment="0" applyProtection="0"/>
    <xf numFmtId="0" fontId="173" fillId="0" borderId="23" applyNumberFormat="0" applyFill="0" applyAlignment="0" applyProtection="0"/>
    <xf numFmtId="0" fontId="173" fillId="0" borderId="23" applyNumberFormat="0" applyFill="0" applyAlignment="0" applyProtection="0"/>
    <xf numFmtId="0" fontId="173" fillId="0" borderId="23" applyNumberFormat="0" applyFill="0" applyAlignment="0" applyProtection="0"/>
    <xf numFmtId="0" fontId="173" fillId="0" borderId="23" applyNumberFormat="0" applyFill="0" applyAlignment="0" applyProtection="0"/>
    <xf numFmtId="0" fontId="173" fillId="0" borderId="23" applyNumberFormat="0" applyFill="0" applyAlignment="0" applyProtection="0"/>
    <xf numFmtId="0" fontId="173" fillId="0" borderId="23" applyNumberFormat="0" applyFill="0" applyAlignment="0" applyProtection="0"/>
    <xf numFmtId="0" fontId="173" fillId="0" borderId="23" applyNumberFormat="0" applyFill="0" applyAlignment="0" applyProtection="0"/>
    <xf numFmtId="0" fontId="173" fillId="0" borderId="23" applyNumberFormat="0" applyFill="0" applyAlignment="0" applyProtection="0"/>
    <xf numFmtId="0" fontId="173" fillId="0" borderId="23" applyNumberFormat="0" applyFill="0" applyAlignment="0" applyProtection="0"/>
    <xf numFmtId="0" fontId="173" fillId="0" borderId="23" applyNumberFormat="0" applyFill="0" applyAlignment="0" applyProtection="0"/>
    <xf numFmtId="0" fontId="173" fillId="0" borderId="23" applyNumberFormat="0" applyFill="0" applyAlignment="0" applyProtection="0"/>
    <xf numFmtId="0" fontId="173" fillId="0" borderId="23" applyNumberFormat="0" applyFill="0" applyAlignment="0" applyProtection="0"/>
    <xf numFmtId="0" fontId="173" fillId="0" borderId="23" applyNumberFormat="0" applyFill="0" applyAlignment="0" applyProtection="0"/>
    <xf numFmtId="0" fontId="173" fillId="0" borderId="23" applyNumberFormat="0" applyFill="0" applyAlignment="0" applyProtection="0"/>
    <xf numFmtId="0" fontId="173" fillId="0" borderId="23" applyNumberFormat="0" applyFill="0" applyAlignment="0" applyProtection="0"/>
    <xf numFmtId="0" fontId="175" fillId="0" borderId="25" applyNumberFormat="0" applyFill="0" applyAlignment="0" applyProtection="0"/>
    <xf numFmtId="0" fontId="175" fillId="0" borderId="25" applyNumberFormat="0" applyFill="0" applyAlignment="0" applyProtection="0"/>
    <xf numFmtId="0" fontId="175" fillId="0" borderId="25" applyNumberFormat="0" applyFill="0" applyAlignment="0" applyProtection="0"/>
    <xf numFmtId="0" fontId="176" fillId="0" borderId="25" applyNumberFormat="0" applyFill="0" applyAlignment="0" applyProtection="0"/>
    <xf numFmtId="0" fontId="175" fillId="0" borderId="25" applyNumberFormat="0" applyFill="0" applyAlignment="0" applyProtection="0"/>
    <xf numFmtId="0" fontId="175" fillId="0" borderId="25" applyNumberFormat="0" applyFill="0" applyAlignment="0" applyProtection="0"/>
    <xf numFmtId="0" fontId="175" fillId="0" borderId="25" applyNumberFormat="0" applyFill="0" applyAlignment="0" applyProtection="0"/>
    <xf numFmtId="0" fontId="175" fillId="0" borderId="25" applyNumberFormat="0" applyFill="0" applyAlignment="0" applyProtection="0"/>
    <xf numFmtId="0" fontId="175" fillId="0" borderId="25" applyNumberFormat="0" applyFill="0" applyAlignment="0" applyProtection="0"/>
    <xf numFmtId="0" fontId="175" fillId="0" borderId="25" applyNumberFormat="0" applyFill="0" applyAlignment="0" applyProtection="0"/>
    <xf numFmtId="0" fontId="175" fillId="0" borderId="25" applyNumberFormat="0" applyFill="0" applyAlignment="0" applyProtection="0"/>
    <xf numFmtId="0" fontId="175" fillId="0" borderId="25" applyNumberFormat="0" applyFill="0" applyAlignment="0" applyProtection="0"/>
    <xf numFmtId="0" fontId="175" fillId="0" borderId="25" applyNumberFormat="0" applyFill="0" applyAlignment="0" applyProtection="0"/>
    <xf numFmtId="0" fontId="175" fillId="0" borderId="25" applyNumberFormat="0" applyFill="0" applyAlignment="0" applyProtection="0"/>
    <xf numFmtId="0" fontId="175" fillId="0" borderId="25" applyNumberFormat="0" applyFill="0" applyAlignment="0" applyProtection="0"/>
    <xf numFmtId="0" fontId="175" fillId="0" borderId="25" applyNumberFormat="0" applyFill="0" applyAlignment="0" applyProtection="0"/>
    <xf numFmtId="0" fontId="175" fillId="0" borderId="25" applyNumberFormat="0" applyFill="0" applyAlignment="0" applyProtection="0"/>
    <xf numFmtId="0" fontId="175" fillId="0" borderId="25" applyNumberFormat="0" applyFill="0" applyAlignment="0" applyProtection="0"/>
    <xf numFmtId="0" fontId="175" fillId="0" borderId="25" applyNumberFormat="0" applyFill="0" applyAlignment="0" applyProtection="0"/>
    <xf numFmtId="0" fontId="175" fillId="0" borderId="25" applyNumberFormat="0" applyFill="0" applyAlignment="0" applyProtection="0"/>
    <xf numFmtId="0" fontId="175" fillId="0" borderId="25" applyNumberFormat="0" applyFill="0" applyAlignment="0" applyProtection="0"/>
    <xf numFmtId="0" fontId="175" fillId="0" borderId="25" applyNumberFormat="0" applyFill="0" applyAlignment="0" applyProtection="0"/>
    <xf numFmtId="0" fontId="175" fillId="0" borderId="25" applyNumberFormat="0" applyFill="0" applyAlignment="0" applyProtection="0"/>
    <xf numFmtId="0" fontId="175" fillId="0" borderId="25" applyNumberFormat="0" applyFill="0" applyAlignment="0" applyProtection="0"/>
    <xf numFmtId="0" fontId="175" fillId="0" borderId="25" applyNumberFormat="0" applyFill="0" applyAlignment="0" applyProtection="0"/>
    <xf numFmtId="0" fontId="175" fillId="0" borderId="25" applyNumberFormat="0" applyFill="0" applyAlignment="0" applyProtection="0"/>
    <xf numFmtId="0" fontId="175" fillId="0" borderId="25" applyNumberFormat="0" applyFill="0" applyAlignment="0" applyProtection="0"/>
    <xf numFmtId="0" fontId="177" fillId="0" borderId="26" applyNumberFormat="0" applyFill="0" applyAlignment="0" applyProtection="0"/>
    <xf numFmtId="0" fontId="177" fillId="0" borderId="26" applyNumberFormat="0" applyFill="0" applyAlignment="0" applyProtection="0"/>
    <xf numFmtId="0" fontId="177" fillId="0" borderId="26" applyNumberFormat="0" applyFill="0" applyAlignment="0" applyProtection="0"/>
    <xf numFmtId="0" fontId="178" fillId="0" borderId="27" applyNumberFormat="0" applyFill="0" applyAlignment="0" applyProtection="0"/>
    <xf numFmtId="0" fontId="177" fillId="0" borderId="26" applyNumberFormat="0" applyFill="0" applyAlignment="0" applyProtection="0"/>
    <xf numFmtId="0" fontId="177" fillId="0" borderId="26" applyNumberFormat="0" applyFill="0" applyAlignment="0" applyProtection="0"/>
    <xf numFmtId="0" fontId="177" fillId="0" borderId="26" applyNumberFormat="0" applyFill="0" applyAlignment="0" applyProtection="0"/>
    <xf numFmtId="0" fontId="177" fillId="0" borderId="26" applyNumberFormat="0" applyFill="0" applyAlignment="0" applyProtection="0"/>
    <xf numFmtId="0" fontId="177" fillId="0" borderId="26" applyNumberFormat="0" applyFill="0" applyAlignment="0" applyProtection="0"/>
    <xf numFmtId="0" fontId="177" fillId="0" borderId="26" applyNumberFormat="0" applyFill="0" applyAlignment="0" applyProtection="0"/>
    <xf numFmtId="0" fontId="177" fillId="0" borderId="26" applyNumberFormat="0" applyFill="0" applyAlignment="0" applyProtection="0"/>
    <xf numFmtId="0" fontId="177" fillId="0" borderId="26" applyNumberFormat="0" applyFill="0" applyAlignment="0" applyProtection="0"/>
    <xf numFmtId="0" fontId="177" fillId="0" borderId="26" applyNumberFormat="0" applyFill="0" applyAlignment="0" applyProtection="0"/>
    <xf numFmtId="0" fontId="177" fillId="0" borderId="26" applyNumberFormat="0" applyFill="0" applyAlignment="0" applyProtection="0"/>
    <xf numFmtId="0" fontId="177" fillId="0" borderId="26" applyNumberFormat="0" applyFill="0" applyAlignment="0" applyProtection="0"/>
    <xf numFmtId="0" fontId="177" fillId="0" borderId="26" applyNumberFormat="0" applyFill="0" applyAlignment="0" applyProtection="0"/>
    <xf numFmtId="0" fontId="177" fillId="0" borderId="26" applyNumberFormat="0" applyFill="0" applyAlignment="0" applyProtection="0"/>
    <xf numFmtId="0" fontId="177" fillId="0" borderId="26" applyNumberFormat="0" applyFill="0" applyAlignment="0" applyProtection="0"/>
    <xf numFmtId="0" fontId="177" fillId="0" borderId="26" applyNumberFormat="0" applyFill="0" applyAlignment="0" applyProtection="0"/>
    <xf numFmtId="0" fontId="177" fillId="0" borderId="26" applyNumberFormat="0" applyFill="0" applyAlignment="0" applyProtection="0"/>
    <xf numFmtId="0" fontId="177" fillId="0" borderId="26" applyNumberFormat="0" applyFill="0" applyAlignment="0" applyProtection="0"/>
    <xf numFmtId="0" fontId="177" fillId="0" borderId="26" applyNumberFormat="0" applyFill="0" applyAlignment="0" applyProtection="0"/>
    <xf numFmtId="0" fontId="177" fillId="0" borderId="26" applyNumberFormat="0" applyFill="0" applyAlignment="0" applyProtection="0"/>
    <xf numFmtId="0" fontId="177" fillId="0" borderId="26" applyNumberFormat="0" applyFill="0" applyAlignment="0" applyProtection="0"/>
    <xf numFmtId="0" fontId="177" fillId="0" borderId="26" applyNumberFormat="0" applyFill="0" applyAlignment="0" applyProtection="0"/>
    <xf numFmtId="0" fontId="177" fillId="0" borderId="26" applyNumberFormat="0" applyFill="0" applyAlignment="0" applyProtection="0"/>
    <xf numFmtId="0" fontId="177" fillId="0" borderId="26" applyNumberFormat="0" applyFill="0" applyAlignment="0" applyProtection="0"/>
    <xf numFmtId="0" fontId="177" fillId="0" borderId="0" applyNumberFormat="0" applyFill="0" applyBorder="0" applyAlignment="0" applyProtection="0"/>
    <xf numFmtId="0" fontId="177" fillId="0" borderId="0" applyNumberFormat="0" applyFill="0" applyBorder="0" applyAlignment="0" applyProtection="0"/>
    <xf numFmtId="0" fontId="177" fillId="0" borderId="0" applyNumberFormat="0" applyFill="0" applyBorder="0" applyAlignment="0" applyProtection="0"/>
    <xf numFmtId="0" fontId="178" fillId="0" borderId="0" applyNumberFormat="0" applyFill="0" applyBorder="0" applyAlignment="0" applyProtection="0"/>
    <xf numFmtId="0" fontId="177" fillId="0" borderId="0" applyNumberFormat="0" applyFill="0" applyBorder="0" applyAlignment="0" applyProtection="0"/>
    <xf numFmtId="0" fontId="177" fillId="0" borderId="0" applyNumberFormat="0" applyFill="0" applyBorder="0" applyAlignment="0" applyProtection="0"/>
    <xf numFmtId="0" fontId="177" fillId="0" borderId="0" applyNumberFormat="0" applyFill="0" applyBorder="0" applyAlignment="0" applyProtection="0"/>
    <xf numFmtId="0" fontId="177" fillId="0" borderId="0" applyNumberFormat="0" applyFill="0" applyBorder="0" applyAlignment="0" applyProtection="0"/>
    <xf numFmtId="0" fontId="177" fillId="0" borderId="0" applyNumberFormat="0" applyFill="0" applyBorder="0" applyAlignment="0" applyProtection="0"/>
    <xf numFmtId="0" fontId="177" fillId="0" borderId="0" applyNumberFormat="0" applyFill="0" applyBorder="0" applyAlignment="0" applyProtection="0"/>
    <xf numFmtId="0" fontId="177" fillId="0" borderId="0" applyNumberFormat="0" applyFill="0" applyBorder="0" applyAlignment="0" applyProtection="0"/>
    <xf numFmtId="0" fontId="177" fillId="0" borderId="0" applyNumberFormat="0" applyFill="0" applyBorder="0" applyAlignment="0" applyProtection="0"/>
    <xf numFmtId="0" fontId="177" fillId="0" borderId="0" applyNumberFormat="0" applyFill="0" applyBorder="0" applyAlignment="0" applyProtection="0"/>
    <xf numFmtId="0" fontId="177" fillId="0" borderId="0" applyNumberFormat="0" applyFill="0" applyBorder="0" applyAlignment="0" applyProtection="0"/>
    <xf numFmtId="0" fontId="177" fillId="0" borderId="0" applyNumberFormat="0" applyFill="0" applyBorder="0" applyAlignment="0" applyProtection="0"/>
    <xf numFmtId="0" fontId="177" fillId="0" borderId="0" applyNumberFormat="0" applyFill="0" applyBorder="0" applyAlignment="0" applyProtection="0"/>
    <xf numFmtId="0" fontId="177" fillId="0" borderId="0" applyNumberFormat="0" applyFill="0" applyBorder="0" applyAlignment="0" applyProtection="0"/>
    <xf numFmtId="0" fontId="177" fillId="0" borderId="0" applyNumberFormat="0" applyFill="0" applyBorder="0" applyAlignment="0" applyProtection="0"/>
    <xf numFmtId="0" fontId="177" fillId="0" borderId="0" applyNumberFormat="0" applyFill="0" applyBorder="0" applyAlignment="0" applyProtection="0"/>
    <xf numFmtId="0" fontId="177" fillId="0" borderId="0" applyNumberFormat="0" applyFill="0" applyBorder="0" applyAlignment="0" applyProtection="0"/>
    <xf numFmtId="0" fontId="177" fillId="0" borderId="0" applyNumberFormat="0" applyFill="0" applyBorder="0" applyAlignment="0" applyProtection="0"/>
    <xf numFmtId="0" fontId="177" fillId="0" borderId="0" applyNumberFormat="0" applyFill="0" applyBorder="0" applyAlignment="0" applyProtection="0"/>
    <xf numFmtId="0" fontId="177" fillId="0" borderId="0" applyNumberFormat="0" applyFill="0" applyBorder="0" applyAlignment="0" applyProtection="0"/>
    <xf numFmtId="0" fontId="177" fillId="0" borderId="0" applyNumberFormat="0" applyFill="0" applyBorder="0" applyAlignment="0" applyProtection="0"/>
    <xf numFmtId="0" fontId="177" fillId="0" borderId="0" applyNumberFormat="0" applyFill="0" applyBorder="0" applyAlignment="0" applyProtection="0"/>
    <xf numFmtId="0" fontId="177" fillId="0" borderId="0" applyNumberFormat="0" applyFill="0" applyBorder="0" applyAlignment="0" applyProtection="0"/>
    <xf numFmtId="0" fontId="177" fillId="0" borderId="0" applyNumberFormat="0" applyFill="0" applyBorder="0" applyAlignment="0" applyProtection="0"/>
    <xf numFmtId="0" fontId="179" fillId="0" borderId="0" applyNumberFormat="0" applyFill="0" applyBorder="0" applyAlignment="0" applyProtection="0">
      <alignment vertical="top"/>
      <protection locked="0"/>
    </xf>
    <xf numFmtId="0" fontId="180" fillId="26" borderId="21" applyNumberFormat="0" applyAlignment="0" applyProtection="0"/>
    <xf numFmtId="0" fontId="180" fillId="26" borderId="21" applyNumberFormat="0" applyAlignment="0" applyProtection="0"/>
    <xf numFmtId="0" fontId="180" fillId="26" borderId="21" applyNumberFormat="0" applyAlignment="0" applyProtection="0"/>
    <xf numFmtId="0" fontId="180" fillId="21" borderId="21" applyNumberFormat="0" applyAlignment="0" applyProtection="0"/>
    <xf numFmtId="0" fontId="180" fillId="26" borderId="21" applyNumberFormat="0" applyAlignment="0" applyProtection="0"/>
    <xf numFmtId="0" fontId="180" fillId="26" borderId="21" applyNumberFormat="0" applyAlignment="0" applyProtection="0"/>
    <xf numFmtId="0" fontId="180" fillId="26" borderId="21" applyNumberFormat="0" applyAlignment="0" applyProtection="0"/>
    <xf numFmtId="0" fontId="180" fillId="26" borderId="21" applyNumberFormat="0" applyAlignment="0" applyProtection="0"/>
    <xf numFmtId="0" fontId="180" fillId="26" borderId="21" applyNumberFormat="0" applyAlignment="0" applyProtection="0"/>
    <xf numFmtId="0" fontId="180" fillId="26" borderId="21" applyNumberFormat="0" applyAlignment="0" applyProtection="0"/>
    <xf numFmtId="0" fontId="180" fillId="26" borderId="21" applyNumberFormat="0" applyAlignment="0" applyProtection="0"/>
    <xf numFmtId="0" fontId="180" fillId="26" borderId="21" applyNumberFormat="0" applyAlignment="0" applyProtection="0"/>
    <xf numFmtId="0" fontId="180" fillId="26" borderId="21" applyNumberFormat="0" applyAlignment="0" applyProtection="0"/>
    <xf numFmtId="0" fontId="180" fillId="26" borderId="21" applyNumberFormat="0" applyAlignment="0" applyProtection="0"/>
    <xf numFmtId="0" fontId="180" fillId="26" borderId="21" applyNumberFormat="0" applyAlignment="0" applyProtection="0"/>
    <xf numFmtId="0" fontId="180" fillId="26" borderId="21" applyNumberFormat="0" applyAlignment="0" applyProtection="0"/>
    <xf numFmtId="0" fontId="180" fillId="26" borderId="21" applyNumberFormat="0" applyAlignment="0" applyProtection="0"/>
    <xf numFmtId="0" fontId="180" fillId="26" borderId="21" applyNumberFormat="0" applyAlignment="0" applyProtection="0"/>
    <xf numFmtId="0" fontId="180" fillId="26" borderId="21" applyNumberFormat="0" applyAlignment="0" applyProtection="0"/>
    <xf numFmtId="0" fontId="180" fillId="26" borderId="21" applyNumberFormat="0" applyAlignment="0" applyProtection="0"/>
    <xf numFmtId="0" fontId="180" fillId="26" borderId="21" applyNumberFormat="0" applyAlignment="0" applyProtection="0"/>
    <xf numFmtId="0" fontId="180" fillId="26" borderId="21" applyNumberFormat="0" applyAlignment="0" applyProtection="0"/>
    <xf numFmtId="0" fontId="180" fillId="26" borderId="21" applyNumberFormat="0" applyAlignment="0" applyProtection="0"/>
    <xf numFmtId="0" fontId="180" fillId="26" borderId="21" applyNumberFormat="0" applyAlignment="0" applyProtection="0"/>
    <xf numFmtId="0" fontId="180" fillId="26" borderId="21" applyNumberFormat="0" applyAlignment="0" applyProtection="0"/>
    <xf numFmtId="0" fontId="180" fillId="26" borderId="21" applyNumberFormat="0" applyAlignment="0" applyProtection="0"/>
    <xf numFmtId="0" fontId="180" fillId="26" borderId="21" applyNumberFormat="0" applyAlignment="0" applyProtection="0"/>
    <xf numFmtId="2" fontId="181" fillId="0" borderId="8" applyNumberFormat="0" applyBorder="0" applyProtection="0">
      <alignment horizontal="center" vertical="center"/>
    </xf>
    <xf numFmtId="0" fontId="182" fillId="0" borderId="28" applyNumberFormat="0" applyFill="0" applyAlignment="0" applyProtection="0"/>
    <xf numFmtId="0" fontId="182" fillId="0" borderId="28" applyNumberFormat="0" applyFill="0" applyAlignment="0" applyProtection="0"/>
    <xf numFmtId="0" fontId="182" fillId="0" borderId="28" applyNumberFormat="0" applyFill="0" applyAlignment="0" applyProtection="0"/>
    <xf numFmtId="0" fontId="182" fillId="0" borderId="28" applyNumberFormat="0" applyFill="0" applyAlignment="0" applyProtection="0"/>
    <xf numFmtId="0" fontId="182" fillId="0" borderId="28" applyNumberFormat="0" applyFill="0" applyAlignment="0" applyProtection="0"/>
    <xf numFmtId="0" fontId="182" fillId="0" borderId="28" applyNumberFormat="0" applyFill="0" applyAlignment="0" applyProtection="0"/>
    <xf numFmtId="0" fontId="182" fillId="0" borderId="28" applyNumberFormat="0" applyFill="0" applyAlignment="0" applyProtection="0"/>
    <xf numFmtId="0" fontId="182" fillId="0" borderId="28" applyNumberFormat="0" applyFill="0" applyAlignment="0" applyProtection="0"/>
    <xf numFmtId="0" fontId="182" fillId="0" borderId="28" applyNumberFormat="0" applyFill="0" applyAlignment="0" applyProtection="0"/>
    <xf numFmtId="0" fontId="182" fillId="0" borderId="28" applyNumberFormat="0" applyFill="0" applyAlignment="0" applyProtection="0"/>
    <xf numFmtId="0" fontId="182" fillId="0" borderId="28" applyNumberFormat="0" applyFill="0" applyAlignment="0" applyProtection="0"/>
    <xf numFmtId="0" fontId="182" fillId="0" borderId="28" applyNumberFormat="0" applyFill="0" applyAlignment="0" applyProtection="0"/>
    <xf numFmtId="0" fontId="182" fillId="0" borderId="28" applyNumberFormat="0" applyFill="0" applyAlignment="0" applyProtection="0"/>
    <xf numFmtId="0" fontId="182" fillId="0" borderId="28" applyNumberFormat="0" applyFill="0" applyAlignment="0" applyProtection="0"/>
    <xf numFmtId="0" fontId="182" fillId="0" borderId="28" applyNumberFormat="0" applyFill="0" applyAlignment="0" applyProtection="0"/>
    <xf numFmtId="0" fontId="182" fillId="0" borderId="28" applyNumberFormat="0" applyFill="0" applyAlignment="0" applyProtection="0"/>
    <xf numFmtId="0" fontId="182" fillId="0" borderId="28" applyNumberFormat="0" applyFill="0" applyAlignment="0" applyProtection="0"/>
    <xf numFmtId="0" fontId="182" fillId="0" borderId="28" applyNumberFormat="0" applyFill="0" applyAlignment="0" applyProtection="0"/>
    <xf numFmtId="0" fontId="182" fillId="0" borderId="28" applyNumberFormat="0" applyFill="0" applyAlignment="0" applyProtection="0"/>
    <xf numFmtId="0" fontId="182" fillId="0" borderId="28" applyNumberFormat="0" applyFill="0" applyAlignment="0" applyProtection="0"/>
    <xf numFmtId="0" fontId="182" fillId="0" borderId="28" applyNumberFormat="0" applyFill="0" applyAlignment="0" applyProtection="0"/>
    <xf numFmtId="0" fontId="182" fillId="0" borderId="28" applyNumberFormat="0" applyFill="0" applyAlignment="0" applyProtection="0"/>
    <xf numFmtId="0" fontId="182" fillId="0" borderId="28" applyNumberFormat="0" applyFill="0" applyAlignment="0" applyProtection="0"/>
    <xf numFmtId="0" fontId="182" fillId="0" borderId="28" applyNumberFormat="0" applyFill="0" applyAlignment="0" applyProtection="0"/>
    <xf numFmtId="0" fontId="182" fillId="0" borderId="28" applyNumberFormat="0" applyFill="0" applyAlignment="0" applyProtection="0"/>
    <xf numFmtId="0" fontId="182" fillId="0" borderId="28" applyNumberFormat="0" applyFill="0" applyAlignment="0" applyProtection="0"/>
    <xf numFmtId="0" fontId="182" fillId="0" borderId="28" applyNumberFormat="0" applyFill="0" applyAlignment="0" applyProtection="0"/>
    <xf numFmtId="0" fontId="183" fillId="0" borderId="29" applyNumberFormat="0">
      <alignment horizontal="right"/>
    </xf>
    <xf numFmtId="0" fontId="184" fillId="51" borderId="0" applyNumberFormat="0" applyBorder="0" applyAlignment="0" applyProtection="0"/>
    <xf numFmtId="0" fontId="184" fillId="51" borderId="0" applyNumberFormat="0" applyBorder="0" applyAlignment="0" applyProtection="0"/>
    <xf numFmtId="0" fontId="184" fillId="51" borderId="0" applyNumberFormat="0" applyBorder="0" applyAlignment="0" applyProtection="0"/>
    <xf numFmtId="0" fontId="184" fillId="32" borderId="0" applyNumberFormat="0" applyBorder="0" applyAlignment="0" applyProtection="0"/>
    <xf numFmtId="0" fontId="184" fillId="51" borderId="0" applyNumberFormat="0" applyBorder="0" applyAlignment="0" applyProtection="0"/>
    <xf numFmtId="0" fontId="184" fillId="51" borderId="0" applyNumberFormat="0" applyBorder="0" applyAlignment="0" applyProtection="0"/>
    <xf numFmtId="0" fontId="184" fillId="51" borderId="0" applyNumberFormat="0" applyBorder="0" applyAlignment="0" applyProtection="0"/>
    <xf numFmtId="0" fontId="184" fillId="51" borderId="0" applyNumberFormat="0" applyBorder="0" applyAlignment="0" applyProtection="0"/>
    <xf numFmtId="0" fontId="184" fillId="51" borderId="0" applyNumberFormat="0" applyBorder="0" applyAlignment="0" applyProtection="0"/>
    <xf numFmtId="0" fontId="184" fillId="51" borderId="0" applyNumberFormat="0" applyBorder="0" applyAlignment="0" applyProtection="0"/>
    <xf numFmtId="0" fontId="184" fillId="51" borderId="0" applyNumberFormat="0" applyBorder="0" applyAlignment="0" applyProtection="0"/>
    <xf numFmtId="0" fontId="184" fillId="51" borderId="0" applyNumberFormat="0" applyBorder="0" applyAlignment="0" applyProtection="0"/>
    <xf numFmtId="0" fontId="184" fillId="51" borderId="0" applyNumberFormat="0" applyBorder="0" applyAlignment="0" applyProtection="0"/>
    <xf numFmtId="0" fontId="184" fillId="51" borderId="0" applyNumberFormat="0" applyBorder="0" applyAlignment="0" applyProtection="0"/>
    <xf numFmtId="0" fontId="184" fillId="51" borderId="0" applyNumberFormat="0" applyBorder="0" applyAlignment="0" applyProtection="0"/>
    <xf numFmtId="0" fontId="184" fillId="51" borderId="0" applyNumberFormat="0" applyBorder="0" applyAlignment="0" applyProtection="0"/>
    <xf numFmtId="0" fontId="184" fillId="51" borderId="0" applyNumberFormat="0" applyBorder="0" applyAlignment="0" applyProtection="0"/>
    <xf numFmtId="0" fontId="184" fillId="51" borderId="0" applyNumberFormat="0" applyBorder="0" applyAlignment="0" applyProtection="0"/>
    <xf numFmtId="0" fontId="184" fillId="51" borderId="0" applyNumberFormat="0" applyBorder="0" applyAlignment="0" applyProtection="0"/>
    <xf numFmtId="0" fontId="184" fillId="51" borderId="0" applyNumberFormat="0" applyBorder="0" applyAlignment="0" applyProtection="0"/>
    <xf numFmtId="0" fontId="184" fillId="51" borderId="0" applyNumberFormat="0" applyBorder="0" applyAlignment="0" applyProtection="0"/>
    <xf numFmtId="0" fontId="184" fillId="51" borderId="0" applyNumberFormat="0" applyBorder="0" applyAlignment="0" applyProtection="0"/>
    <xf numFmtId="0" fontId="184" fillId="51" borderId="0" applyNumberFormat="0" applyBorder="0" applyAlignment="0" applyProtection="0"/>
    <xf numFmtId="0" fontId="184" fillId="51" borderId="0" applyNumberFormat="0" applyBorder="0" applyAlignment="0" applyProtection="0"/>
    <xf numFmtId="0" fontId="184" fillId="51" borderId="0" applyNumberFormat="0" applyBorder="0" applyAlignment="0" applyProtection="0"/>
    <xf numFmtId="0" fontId="184" fillId="51" borderId="0" applyNumberFormat="0" applyBorder="0" applyAlignment="0" applyProtection="0"/>
    <xf numFmtId="0" fontId="184" fillId="51" borderId="0" applyNumberFormat="0" applyBorder="0" applyAlignment="0" applyProtection="0"/>
    <xf numFmtId="0" fontId="3" fillId="0" borderId="0"/>
    <xf numFmtId="5" fontId="7" fillId="0" borderId="0"/>
    <xf numFmtId="5" fontId="7" fillId="0" borderId="0"/>
    <xf numFmtId="185" fontId="7" fillId="0" borderId="0"/>
    <xf numFmtId="185" fontId="7" fillId="0" borderId="0"/>
    <xf numFmtId="185" fontId="7" fillId="0" borderId="0"/>
    <xf numFmtId="185" fontId="7" fillId="0" borderId="0"/>
    <xf numFmtId="169" fontId="7" fillId="0" borderId="0"/>
    <xf numFmtId="169" fontId="7" fillId="0" borderId="0"/>
    <xf numFmtId="0" fontId="3" fillId="0" borderId="0"/>
    <xf numFmtId="186" fontId="7" fillId="0" borderId="0"/>
    <xf numFmtId="171" fontId="7" fillId="0" borderId="0"/>
    <xf numFmtId="169" fontId="7" fillId="0" borderId="0"/>
    <xf numFmtId="0" fontId="3" fillId="0" borderId="0"/>
    <xf numFmtId="0" fontId="7" fillId="0" borderId="0"/>
    <xf numFmtId="0" fontId="7" fillId="0" borderId="0"/>
    <xf numFmtId="0" fontId="3" fillId="0" borderId="0"/>
    <xf numFmtId="0" fontId="3" fillId="0" borderId="0"/>
    <xf numFmtId="0" fontId="2" fillId="0" borderId="0"/>
    <xf numFmtId="0" fontId="2" fillId="0" borderId="0"/>
    <xf numFmtId="171" fontId="7" fillId="0" borderId="0"/>
    <xf numFmtId="171" fontId="7" fillId="0" borderId="0"/>
    <xf numFmtId="0" fontId="3" fillId="0" borderId="0"/>
    <xf numFmtId="0" fontId="7" fillId="0" borderId="0"/>
    <xf numFmtId="173" fontId="7" fillId="0" borderId="0"/>
    <xf numFmtId="5" fontId="7" fillId="0" borderId="0"/>
    <xf numFmtId="0" fontId="27"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27" fillId="0" borderId="0"/>
    <xf numFmtId="0" fontId="3" fillId="0" borderId="0"/>
    <xf numFmtId="0" fontId="3" fillId="0" borderId="0"/>
    <xf numFmtId="170" fontId="7" fillId="0" borderId="0"/>
    <xf numFmtId="5" fontId="7" fillId="0" borderId="0"/>
    <xf numFmtId="5" fontId="7" fillId="0" borderId="0"/>
    <xf numFmtId="169" fontId="7" fillId="0" borderId="0"/>
    <xf numFmtId="169" fontId="7" fillId="0" borderId="0"/>
    <xf numFmtId="169" fontId="7" fillId="0" borderId="0"/>
    <xf numFmtId="5" fontId="7" fillId="0" borderId="0"/>
    <xf numFmtId="169" fontId="7" fillId="0" borderId="0"/>
    <xf numFmtId="169" fontId="7" fillId="0" borderId="0"/>
    <xf numFmtId="5" fontId="7" fillId="0" borderId="0"/>
    <xf numFmtId="185" fontId="7" fillId="0" borderId="0"/>
    <xf numFmtId="187" fontId="7" fillId="0" borderId="0"/>
    <xf numFmtId="5" fontId="7" fillId="0" borderId="0"/>
    <xf numFmtId="5" fontId="7" fillId="0" borderId="0"/>
    <xf numFmtId="169" fontId="7" fillId="0" borderId="0"/>
    <xf numFmtId="0" fontId="3" fillId="0" borderId="0"/>
    <xf numFmtId="187" fontId="7" fillId="0" borderId="0"/>
    <xf numFmtId="5" fontId="7" fillId="0" borderId="0"/>
    <xf numFmtId="5" fontId="7" fillId="0" borderId="0"/>
    <xf numFmtId="169" fontId="7" fillId="0" borderId="0"/>
    <xf numFmtId="0" fontId="3" fillId="0" borderId="0"/>
    <xf numFmtId="0" fontId="3" fillId="0" borderId="0"/>
    <xf numFmtId="0" fontId="3" fillId="0" borderId="0"/>
    <xf numFmtId="5" fontId="7" fillId="0" borderId="0"/>
    <xf numFmtId="169" fontId="7" fillId="0" borderId="0"/>
    <xf numFmtId="169" fontId="7" fillId="0" borderId="0"/>
    <xf numFmtId="0" fontId="3" fillId="0" borderId="0"/>
    <xf numFmtId="164" fontId="7" fillId="0" borderId="0"/>
    <xf numFmtId="171" fontId="7" fillId="0" borderId="0"/>
    <xf numFmtId="0" fontId="3" fillId="0" borderId="0"/>
    <xf numFmtId="0" fontId="2" fillId="0" borderId="0"/>
    <xf numFmtId="171" fontId="7" fillId="0" borderId="0"/>
    <xf numFmtId="0" fontId="2" fillId="0" borderId="0"/>
    <xf numFmtId="0" fontId="2" fillId="0" borderId="0"/>
    <xf numFmtId="0" fontId="2" fillId="0" borderId="0"/>
    <xf numFmtId="0" fontId="2"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2" fillId="0" borderId="0"/>
    <xf numFmtId="173" fontId="7" fillId="0" borderId="0"/>
    <xf numFmtId="0" fontId="3" fillId="0" borderId="0"/>
    <xf numFmtId="171" fontId="7" fillId="0" borderId="0"/>
    <xf numFmtId="171" fontId="7" fillId="0" borderId="0"/>
    <xf numFmtId="0" fontId="25" fillId="0" borderId="0"/>
    <xf numFmtId="0" fontId="2" fillId="0" borderId="0"/>
    <xf numFmtId="0" fontId="2" fillId="0" borderId="0"/>
    <xf numFmtId="171" fontId="7" fillId="0" borderId="0"/>
    <xf numFmtId="0" fontId="2" fillId="0" borderId="0"/>
    <xf numFmtId="0" fontId="2" fillId="0" borderId="0"/>
    <xf numFmtId="0" fontId="2" fillId="0" borderId="0"/>
    <xf numFmtId="0" fontId="3" fillId="0" borderId="0"/>
    <xf numFmtId="171" fontId="7" fillId="0" borderId="0"/>
    <xf numFmtId="185" fontId="7" fillId="0" borderId="0"/>
    <xf numFmtId="181" fontId="7" fillId="0" borderId="0"/>
    <xf numFmtId="181" fontId="7" fillId="0" borderId="0"/>
    <xf numFmtId="171" fontId="185" fillId="0" borderId="0"/>
    <xf numFmtId="0" fontId="27" fillId="0" borderId="0"/>
    <xf numFmtId="179" fontId="7" fillId="0" borderId="0"/>
    <xf numFmtId="171" fontId="7" fillId="0" borderId="0"/>
    <xf numFmtId="171" fontId="7" fillId="0" borderId="0"/>
    <xf numFmtId="171" fontId="7" fillId="0" borderId="0"/>
    <xf numFmtId="0" fontId="3" fillId="0" borderId="0"/>
    <xf numFmtId="0" fontId="27" fillId="0" borderId="0"/>
    <xf numFmtId="0" fontId="27" fillId="0" borderId="0"/>
    <xf numFmtId="5" fontId="11" fillId="0" borderId="0"/>
    <xf numFmtId="0" fontId="3" fillId="0" borderId="0"/>
    <xf numFmtId="179" fontId="7" fillId="0" borderId="0"/>
    <xf numFmtId="0" fontId="3" fillId="0" borderId="0"/>
    <xf numFmtId="169" fontId="11" fillId="0" borderId="0"/>
    <xf numFmtId="171" fontId="7" fillId="0" borderId="0"/>
    <xf numFmtId="171" fontId="7" fillId="0" borderId="0"/>
    <xf numFmtId="0" fontId="3" fillId="0" borderId="0"/>
    <xf numFmtId="0" fontId="7" fillId="3" borderId="30" applyNumberFormat="0" applyFont="0" applyAlignment="0" applyProtection="0"/>
    <xf numFmtId="0" fontId="7" fillId="3" borderId="30" applyNumberFormat="0" applyFont="0" applyAlignment="0" applyProtection="0"/>
    <xf numFmtId="0" fontId="3" fillId="23" borderId="30" applyNumberFormat="0" applyFont="0" applyAlignment="0" applyProtection="0"/>
    <xf numFmtId="0" fontId="25" fillId="17" borderId="20" applyNumberFormat="0" applyFont="0" applyAlignment="0" applyProtection="0"/>
    <xf numFmtId="0" fontId="7" fillId="3" borderId="30" applyNumberFormat="0" applyFont="0" applyAlignment="0" applyProtection="0"/>
    <xf numFmtId="0" fontId="7" fillId="3" borderId="30" applyNumberFormat="0" applyFont="0" applyAlignment="0" applyProtection="0"/>
    <xf numFmtId="0" fontId="7" fillId="3" borderId="30" applyNumberFormat="0" applyFont="0" applyAlignment="0" applyProtection="0"/>
    <xf numFmtId="0" fontId="7" fillId="3" borderId="30" applyNumberFormat="0" applyFont="0" applyAlignment="0" applyProtection="0"/>
    <xf numFmtId="0" fontId="7" fillId="3" borderId="30" applyNumberFormat="0" applyFont="0" applyAlignment="0" applyProtection="0"/>
    <xf numFmtId="0" fontId="7" fillId="3" borderId="30" applyNumberFormat="0" applyFont="0" applyAlignment="0" applyProtection="0"/>
    <xf numFmtId="0" fontId="186" fillId="2" borderId="31" applyNumberFormat="0" applyAlignment="0" applyProtection="0"/>
    <xf numFmtId="0" fontId="186" fillId="2" borderId="31" applyNumberFormat="0" applyAlignment="0" applyProtection="0"/>
    <xf numFmtId="0" fontId="186" fillId="2" borderId="31" applyNumberFormat="0" applyAlignment="0" applyProtection="0"/>
    <xf numFmtId="0" fontId="186" fillId="19" borderId="31" applyNumberFormat="0" applyAlignment="0" applyProtection="0"/>
    <xf numFmtId="0" fontId="186" fillId="2" borderId="31" applyNumberFormat="0" applyAlignment="0" applyProtection="0"/>
    <xf numFmtId="0" fontId="186" fillId="2" borderId="31" applyNumberFormat="0" applyAlignment="0" applyProtection="0"/>
    <xf numFmtId="0" fontId="186" fillId="2" borderId="31" applyNumberFormat="0" applyAlignment="0" applyProtection="0"/>
    <xf numFmtId="0" fontId="186" fillId="2" borderId="31" applyNumberFormat="0" applyAlignment="0" applyProtection="0"/>
    <xf numFmtId="0" fontId="186" fillId="2" borderId="31" applyNumberFormat="0" applyAlignment="0" applyProtection="0"/>
    <xf numFmtId="0" fontId="186" fillId="2" borderId="31" applyNumberFormat="0" applyAlignment="0" applyProtection="0"/>
    <xf numFmtId="0" fontId="186" fillId="2" borderId="31" applyNumberFormat="0" applyAlignment="0" applyProtection="0"/>
    <xf numFmtId="0" fontId="186" fillId="2" borderId="31" applyNumberFormat="0" applyAlignment="0" applyProtection="0"/>
    <xf numFmtId="0" fontId="186" fillId="2" borderId="31" applyNumberFormat="0" applyAlignment="0" applyProtection="0"/>
    <xf numFmtId="0" fontId="186" fillId="2" borderId="31" applyNumberFormat="0" applyAlignment="0" applyProtection="0"/>
    <xf numFmtId="0" fontId="186" fillId="2" borderId="31" applyNumberFormat="0" applyAlignment="0" applyProtection="0"/>
    <xf numFmtId="0" fontId="186" fillId="2" borderId="31" applyNumberFormat="0" applyAlignment="0" applyProtection="0"/>
    <xf numFmtId="0" fontId="186" fillId="2" borderId="31" applyNumberFormat="0" applyAlignment="0" applyProtection="0"/>
    <xf numFmtId="0" fontId="186" fillId="2" borderId="31" applyNumberFormat="0" applyAlignment="0" applyProtection="0"/>
    <xf numFmtId="0" fontId="186" fillId="2" borderId="31" applyNumberFormat="0" applyAlignment="0" applyProtection="0"/>
    <xf numFmtId="0" fontId="186" fillId="2" borderId="31" applyNumberFormat="0" applyAlignment="0" applyProtection="0"/>
    <xf numFmtId="0" fontId="186" fillId="2" borderId="31" applyNumberFormat="0" applyAlignment="0" applyProtection="0"/>
    <xf numFmtId="0" fontId="186" fillId="2" borderId="31" applyNumberFormat="0" applyAlignment="0" applyProtection="0"/>
    <xf numFmtId="0" fontId="186" fillId="2" borderId="31" applyNumberFormat="0" applyAlignment="0" applyProtection="0"/>
    <xf numFmtId="0" fontId="186" fillId="2" borderId="31" applyNumberFormat="0" applyAlignment="0" applyProtection="0"/>
    <xf numFmtId="0" fontId="186" fillId="2" borderId="31" applyNumberFormat="0" applyAlignment="0" applyProtection="0"/>
    <xf numFmtId="0" fontId="186" fillId="2" borderId="31" applyNumberFormat="0" applyAlignment="0" applyProtection="0"/>
    <xf numFmtId="0" fontId="186" fillId="2" borderId="31" applyNumberFormat="0" applyAlignment="0" applyProtection="0"/>
    <xf numFmtId="9" fontId="3" fillId="0" borderId="0" applyFont="0" applyFill="0" applyBorder="0" applyAlignment="0" applyProtection="0"/>
    <xf numFmtId="9" fontId="3" fillId="0" borderId="0" applyFon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88"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89" fillId="0" borderId="32" applyNumberFormat="0" applyFill="0" applyAlignment="0" applyProtection="0"/>
    <xf numFmtId="0" fontId="189" fillId="0" borderId="32" applyNumberFormat="0" applyFill="0" applyAlignment="0" applyProtection="0"/>
    <xf numFmtId="0" fontId="189" fillId="0" borderId="32" applyNumberFormat="0" applyFill="0" applyAlignment="0" applyProtection="0"/>
    <xf numFmtId="0" fontId="189" fillId="0" borderId="33" applyNumberFormat="0" applyFill="0" applyAlignment="0" applyProtection="0"/>
    <xf numFmtId="0" fontId="189" fillId="0" borderId="32" applyNumberFormat="0" applyFill="0" applyAlignment="0" applyProtection="0"/>
    <xf numFmtId="0" fontId="189" fillId="0" borderId="32" applyNumberFormat="0" applyFill="0" applyAlignment="0" applyProtection="0"/>
    <xf numFmtId="0" fontId="189" fillId="0" borderId="32" applyNumberFormat="0" applyFill="0" applyAlignment="0" applyProtection="0"/>
    <xf numFmtId="0" fontId="189" fillId="0" borderId="32" applyNumberFormat="0" applyFill="0" applyAlignment="0" applyProtection="0"/>
    <xf numFmtId="0" fontId="189" fillId="0" borderId="32" applyNumberFormat="0" applyFill="0" applyAlignment="0" applyProtection="0"/>
    <xf numFmtId="0" fontId="189" fillId="0" borderId="32" applyNumberFormat="0" applyFill="0" applyAlignment="0" applyProtection="0"/>
    <xf numFmtId="0" fontId="189" fillId="0" borderId="32" applyNumberFormat="0" applyFill="0" applyAlignment="0" applyProtection="0"/>
    <xf numFmtId="0" fontId="189" fillId="0" borderId="32" applyNumberFormat="0" applyFill="0" applyAlignment="0" applyProtection="0"/>
    <xf numFmtId="0" fontId="189" fillId="0" borderId="32" applyNumberFormat="0" applyFill="0" applyAlignment="0" applyProtection="0"/>
    <xf numFmtId="0" fontId="189" fillId="0" borderId="32" applyNumberFormat="0" applyFill="0" applyAlignment="0" applyProtection="0"/>
    <xf numFmtId="0" fontId="189" fillId="0" borderId="32" applyNumberFormat="0" applyFill="0" applyAlignment="0" applyProtection="0"/>
    <xf numFmtId="0" fontId="189" fillId="0" borderId="32" applyNumberFormat="0" applyFill="0" applyAlignment="0" applyProtection="0"/>
    <xf numFmtId="0" fontId="189" fillId="0" borderId="32" applyNumberFormat="0" applyFill="0" applyAlignment="0" applyProtection="0"/>
    <xf numFmtId="0" fontId="189" fillId="0" borderId="32" applyNumberFormat="0" applyFill="0" applyAlignment="0" applyProtection="0"/>
    <xf numFmtId="0" fontId="189" fillId="0" borderId="32" applyNumberFormat="0" applyFill="0" applyAlignment="0" applyProtection="0"/>
    <xf numFmtId="0" fontId="189" fillId="0" borderId="32" applyNumberFormat="0" applyFill="0" applyAlignment="0" applyProtection="0"/>
    <xf numFmtId="0" fontId="189" fillId="0" borderId="32" applyNumberFormat="0" applyFill="0" applyAlignment="0" applyProtection="0"/>
    <xf numFmtId="0" fontId="189" fillId="0" borderId="32" applyNumberFormat="0" applyFill="0" applyAlignment="0" applyProtection="0"/>
    <xf numFmtId="0" fontId="189" fillId="0" borderId="32" applyNumberFormat="0" applyFill="0" applyAlignment="0" applyProtection="0"/>
    <xf numFmtId="0" fontId="189" fillId="0" borderId="32" applyNumberFormat="0" applyFill="0" applyAlignment="0" applyProtection="0"/>
    <xf numFmtId="0" fontId="189" fillId="0" borderId="32" applyNumberFormat="0" applyFill="0" applyAlignment="0" applyProtection="0"/>
    <xf numFmtId="0" fontId="189" fillId="0" borderId="32" applyNumberFormat="0" applyFill="0" applyAlignment="0" applyProtection="0"/>
    <xf numFmtId="0" fontId="189" fillId="0" borderId="32" applyNumberFormat="0" applyFill="0" applyAlignment="0" applyProtection="0"/>
    <xf numFmtId="0" fontId="190" fillId="0" borderId="0" applyNumberFormat="0" applyFill="0" applyBorder="0" applyAlignment="0" applyProtection="0"/>
    <xf numFmtId="0" fontId="190" fillId="0" borderId="0" applyNumberFormat="0" applyFill="0" applyBorder="0" applyAlignment="0" applyProtection="0"/>
    <xf numFmtId="0" fontId="190" fillId="0" borderId="0" applyNumberFormat="0" applyFill="0" applyBorder="0" applyAlignment="0" applyProtection="0"/>
    <xf numFmtId="0" fontId="190" fillId="0" borderId="0" applyNumberFormat="0" applyFill="0" applyBorder="0" applyAlignment="0" applyProtection="0"/>
    <xf numFmtId="0" fontId="190" fillId="0" borderId="0" applyNumberFormat="0" applyFill="0" applyBorder="0" applyAlignment="0" applyProtection="0"/>
    <xf numFmtId="0" fontId="190" fillId="0" borderId="0" applyNumberFormat="0" applyFill="0" applyBorder="0" applyAlignment="0" applyProtection="0"/>
    <xf numFmtId="0" fontId="190" fillId="0" borderId="0" applyNumberFormat="0" applyFill="0" applyBorder="0" applyAlignment="0" applyProtection="0"/>
    <xf numFmtId="0" fontId="190" fillId="0" borderId="0" applyNumberFormat="0" applyFill="0" applyBorder="0" applyAlignment="0" applyProtection="0"/>
    <xf numFmtId="0" fontId="190" fillId="0" borderId="0" applyNumberFormat="0" applyFill="0" applyBorder="0" applyAlignment="0" applyProtection="0"/>
    <xf numFmtId="0" fontId="190" fillId="0" borderId="0" applyNumberFormat="0" applyFill="0" applyBorder="0" applyAlignment="0" applyProtection="0"/>
    <xf numFmtId="0" fontId="190" fillId="0" borderId="0" applyNumberFormat="0" applyFill="0" applyBorder="0" applyAlignment="0" applyProtection="0"/>
    <xf numFmtId="0" fontId="190" fillId="0" borderId="0" applyNumberFormat="0" applyFill="0" applyBorder="0" applyAlignment="0" applyProtection="0"/>
    <xf numFmtId="0" fontId="190" fillId="0" borderId="0" applyNumberFormat="0" applyFill="0" applyBorder="0" applyAlignment="0" applyProtection="0"/>
    <xf numFmtId="0" fontId="190" fillId="0" borderId="0" applyNumberFormat="0" applyFill="0" applyBorder="0" applyAlignment="0" applyProtection="0"/>
    <xf numFmtId="0" fontId="190" fillId="0" borderId="0" applyNumberFormat="0" applyFill="0" applyBorder="0" applyAlignment="0" applyProtection="0"/>
    <xf numFmtId="0" fontId="190" fillId="0" borderId="0" applyNumberFormat="0" applyFill="0" applyBorder="0" applyAlignment="0" applyProtection="0"/>
    <xf numFmtId="0" fontId="190" fillId="0" borderId="0" applyNumberFormat="0" applyFill="0" applyBorder="0" applyAlignment="0" applyProtection="0"/>
    <xf numFmtId="0" fontId="190" fillId="0" borderId="0" applyNumberFormat="0" applyFill="0" applyBorder="0" applyAlignment="0" applyProtection="0"/>
    <xf numFmtId="0" fontId="190" fillId="0" borderId="0" applyNumberFormat="0" applyFill="0" applyBorder="0" applyAlignment="0" applyProtection="0"/>
    <xf numFmtId="0" fontId="190" fillId="0" borderId="0" applyNumberFormat="0" applyFill="0" applyBorder="0" applyAlignment="0" applyProtection="0"/>
    <xf numFmtId="0" fontId="190" fillId="0" borderId="0" applyNumberFormat="0" applyFill="0" applyBorder="0" applyAlignment="0" applyProtection="0"/>
    <xf numFmtId="0" fontId="190" fillId="0" borderId="0" applyNumberFormat="0" applyFill="0" applyBorder="0" applyAlignment="0" applyProtection="0"/>
    <xf numFmtId="0" fontId="190" fillId="0" borderId="0" applyNumberFormat="0" applyFill="0" applyBorder="0" applyAlignment="0" applyProtection="0"/>
    <xf numFmtId="0" fontId="190" fillId="0" borderId="0" applyNumberFormat="0" applyFill="0" applyBorder="0" applyAlignment="0" applyProtection="0"/>
    <xf numFmtId="0" fontId="190" fillId="0" borderId="0" applyNumberFormat="0" applyFill="0" applyBorder="0" applyAlignment="0" applyProtection="0"/>
    <xf numFmtId="0" fontId="190" fillId="0" borderId="0" applyNumberFormat="0" applyFill="0" applyBorder="0" applyAlignment="0" applyProtection="0"/>
    <xf numFmtId="0" fontId="190" fillId="0" borderId="0" applyNumberFormat="0" applyFill="0" applyBorder="0" applyAlignment="0" applyProtection="0"/>
    <xf numFmtId="0" fontId="3" fillId="0" borderId="0"/>
    <xf numFmtId="0" fontId="3" fillId="0" borderId="0"/>
    <xf numFmtId="0" fontId="1" fillId="0" borderId="0"/>
    <xf numFmtId="0" fontId="1" fillId="0" borderId="0"/>
    <xf numFmtId="0" fontId="1" fillId="0" borderId="0"/>
    <xf numFmtId="0" fontId="233" fillId="0" borderId="0"/>
    <xf numFmtId="0" fontId="1" fillId="0" borderId="0"/>
    <xf numFmtId="0" fontId="1" fillId="0" borderId="0"/>
    <xf numFmtId="181" fontId="7" fillId="0" borderId="0"/>
    <xf numFmtId="0" fontId="7" fillId="0" borderId="0"/>
    <xf numFmtId="0" fontId="1" fillId="0" borderId="0"/>
  </cellStyleXfs>
  <cellXfs count="2194">
    <xf numFmtId="171" fontId="0" fillId="0" borderId="0" xfId="0"/>
    <xf numFmtId="171" fontId="0" fillId="0" borderId="0" xfId="0" applyAlignment="1">
      <alignment horizontal="left"/>
    </xf>
    <xf numFmtId="171" fontId="0" fillId="0" borderId="0" xfId="0" applyAlignment="1">
      <alignment horizontal="center"/>
    </xf>
    <xf numFmtId="171" fontId="0" fillId="0" borderId="0" xfId="0" applyAlignment="1">
      <alignment horizontal="fill"/>
    </xf>
    <xf numFmtId="171" fontId="0" fillId="0" borderId="0" xfId="0" applyAlignment="1">
      <alignment horizontal="right"/>
    </xf>
    <xf numFmtId="173" fontId="0" fillId="0" borderId="0" xfId="0" applyNumberFormat="1"/>
    <xf numFmtId="175" fontId="0" fillId="0" borderId="0" xfId="0" applyNumberFormat="1"/>
    <xf numFmtId="176" fontId="0" fillId="0" borderId="0" xfId="0" applyNumberFormat="1"/>
    <xf numFmtId="173" fontId="0" fillId="0" borderId="0" xfId="0" applyNumberFormat="1" applyAlignment="1">
      <alignment horizontal="center"/>
    </xf>
    <xf numFmtId="174" fontId="0" fillId="0" borderId="0" xfId="0" applyNumberFormat="1" applyAlignment="1">
      <alignment horizontal="center"/>
    </xf>
    <xf numFmtId="171" fontId="6" fillId="0" borderId="0" xfId="0" applyFont="1" applyAlignment="1">
      <alignment horizontal="left"/>
    </xf>
    <xf numFmtId="171" fontId="6" fillId="0" borderId="0" xfId="0" applyFont="1"/>
    <xf numFmtId="171" fontId="6" fillId="0" borderId="0" xfId="0" applyFont="1" applyAlignment="1">
      <alignment horizontal="center"/>
    </xf>
    <xf numFmtId="171" fontId="7" fillId="0" borderId="0" xfId="0" applyFont="1"/>
    <xf numFmtId="171" fontId="0" fillId="0" borderId="0" xfId="0" quotePrefix="1"/>
    <xf numFmtId="171" fontId="7" fillId="0" borderId="0" xfId="0" quotePrefix="1" applyFont="1"/>
    <xf numFmtId="171" fontId="7" fillId="0" borderId="0" xfId="0" applyFont="1" applyAlignment="1">
      <alignment horizontal="left"/>
    </xf>
    <xf numFmtId="173" fontId="7" fillId="0" borderId="0" xfId="0" applyNumberFormat="1" applyFont="1"/>
    <xf numFmtId="176" fontId="7" fillId="0" borderId="0" xfId="0" applyNumberFormat="1" applyFont="1"/>
    <xf numFmtId="175" fontId="7" fillId="0" borderId="0" xfId="0" applyNumberFormat="1" applyFont="1"/>
    <xf numFmtId="2" fontId="0" fillId="0" borderId="0" xfId="0" applyNumberFormat="1"/>
    <xf numFmtId="2" fontId="6" fillId="0" borderId="0" xfId="0" applyNumberFormat="1" applyFont="1"/>
    <xf numFmtId="171" fontId="5" fillId="0" borderId="0" xfId="0" applyFont="1" applyAlignment="1">
      <alignment horizontal="left"/>
    </xf>
    <xf numFmtId="171" fontId="5" fillId="0" borderId="0" xfId="0" applyFont="1"/>
    <xf numFmtId="171" fontId="11" fillId="0" borderId="0" xfId="0" applyFont="1"/>
    <xf numFmtId="171" fontId="11" fillId="0" borderId="0" xfId="0" applyFont="1" applyAlignment="1">
      <alignment horizontal="center"/>
    </xf>
    <xf numFmtId="171" fontId="11" fillId="0" borderId="0" xfId="0" applyFont="1" applyAlignment="1">
      <alignment horizontal="right"/>
    </xf>
    <xf numFmtId="171" fontId="5" fillId="0" borderId="0" xfId="0" applyFont="1" applyAlignment="1">
      <alignment horizontal="right"/>
    </xf>
    <xf numFmtId="171" fontId="11" fillId="0" borderId="0" xfId="0" applyFont="1" applyAlignment="1">
      <alignment horizontal="left"/>
    </xf>
    <xf numFmtId="171" fontId="11" fillId="0" borderId="0" xfId="0" applyFont="1" applyAlignment="1">
      <alignment horizontal="fill"/>
    </xf>
    <xf numFmtId="171" fontId="5" fillId="0" borderId="0" xfId="0" applyFont="1" applyAlignment="1">
      <alignment horizontal="center"/>
    </xf>
    <xf numFmtId="171" fontId="11" fillId="0" borderId="0" xfId="0" applyFont="1" applyAlignment="1">
      <alignment horizontal="left" wrapText="1"/>
    </xf>
    <xf numFmtId="175" fontId="11" fillId="0" borderId="0" xfId="0" applyNumberFormat="1" applyFont="1"/>
    <xf numFmtId="176" fontId="11" fillId="0" borderId="0" xfId="0" applyNumberFormat="1" applyFont="1"/>
    <xf numFmtId="175" fontId="11" fillId="0" borderId="0" xfId="0" applyNumberFormat="1" applyFont="1" applyAlignment="1">
      <alignment horizontal="left"/>
    </xf>
    <xf numFmtId="176" fontId="6" fillId="0" borderId="0" xfId="0" applyNumberFormat="1" applyFont="1" applyAlignment="1">
      <alignment horizontal="right"/>
    </xf>
    <xf numFmtId="171" fontId="13" fillId="0" borderId="0" xfId="0" applyFont="1"/>
    <xf numFmtId="171" fontId="6" fillId="0" borderId="0" xfId="0" applyFont="1" applyAlignment="1">
      <alignment wrapText="1"/>
    </xf>
    <xf numFmtId="171" fontId="12" fillId="0" borderId="0" xfId="0" applyFont="1"/>
    <xf numFmtId="171" fontId="0" fillId="0" borderId="0" xfId="0" applyAlignment="1">
      <alignment vertical="top" wrapText="1"/>
    </xf>
    <xf numFmtId="171" fontId="4" fillId="0" borderId="0" xfId="0" applyFont="1" applyAlignment="1">
      <alignment horizontal="left"/>
    </xf>
    <xf numFmtId="173" fontId="5" fillId="0" borderId="0" xfId="0" applyNumberFormat="1" applyFont="1" applyAlignment="1">
      <alignment horizontal="right"/>
    </xf>
    <xf numFmtId="176" fontId="5" fillId="0" borderId="0" xfId="0" applyNumberFormat="1" applyFont="1" applyAlignment="1">
      <alignment horizontal="right"/>
    </xf>
    <xf numFmtId="175" fontId="11" fillId="0" borderId="0" xfId="0" applyNumberFormat="1" applyFont="1" applyAlignment="1">
      <alignment horizontal="right"/>
    </xf>
    <xf numFmtId="173" fontId="11" fillId="0" borderId="0" xfId="0" applyNumberFormat="1" applyFont="1" applyAlignment="1">
      <alignment horizontal="right"/>
    </xf>
    <xf numFmtId="173" fontId="6" fillId="0" borderId="0" xfId="0" applyNumberFormat="1" applyFont="1"/>
    <xf numFmtId="173" fontId="0" fillId="0" borderId="0" xfId="0" applyNumberFormat="1" applyAlignment="1">
      <alignment horizontal="right"/>
    </xf>
    <xf numFmtId="171" fontId="41" fillId="0" borderId="0" xfId="0" applyFont="1"/>
    <xf numFmtId="171" fontId="0" fillId="9" borderId="0" xfId="0" applyFill="1"/>
    <xf numFmtId="171" fontId="12" fillId="0" borderId="0" xfId="0" applyFont="1" applyAlignment="1">
      <alignment horizontal="left"/>
    </xf>
    <xf numFmtId="171" fontId="9" fillId="0" borderId="0" xfId="0" applyFont="1"/>
    <xf numFmtId="171" fontId="42" fillId="0" borderId="0" xfId="0" applyFont="1"/>
    <xf numFmtId="171" fontId="44" fillId="0" borderId="0" xfId="0" applyFont="1"/>
    <xf numFmtId="171" fontId="45" fillId="0" borderId="0" xfId="0" applyFont="1"/>
    <xf numFmtId="171" fontId="45" fillId="0" borderId="0" xfId="0" applyFont="1" applyAlignment="1">
      <alignment horizontal="center"/>
    </xf>
    <xf numFmtId="171" fontId="10" fillId="0" borderId="0" xfId="0" applyFont="1" applyAlignment="1">
      <alignment horizontal="center"/>
    </xf>
    <xf numFmtId="171" fontId="9" fillId="0" borderId="0" xfId="0" applyFont="1" applyAlignment="1">
      <alignment horizontal="center"/>
    </xf>
    <xf numFmtId="173" fontId="9" fillId="0" borderId="0" xfId="0" applyNumberFormat="1" applyFont="1"/>
    <xf numFmtId="176" fontId="9" fillId="0" borderId="0" xfId="0" applyNumberFormat="1" applyFont="1"/>
    <xf numFmtId="171" fontId="9" fillId="0" borderId="0" xfId="0" applyFont="1" applyAlignment="1">
      <alignment horizontal="left"/>
    </xf>
    <xf numFmtId="171" fontId="10" fillId="0" borderId="0" xfId="0" applyFont="1" applyAlignment="1">
      <alignment horizontal="right"/>
    </xf>
    <xf numFmtId="171" fontId="10" fillId="0" borderId="0" xfId="0" applyFont="1"/>
    <xf numFmtId="171" fontId="10" fillId="0" borderId="0" xfId="0" applyFont="1" applyAlignment="1">
      <alignment horizontal="left"/>
    </xf>
    <xf numFmtId="171" fontId="9" fillId="0" borderId="0" xfId="0" applyFont="1" applyAlignment="1">
      <alignment horizontal="right"/>
    </xf>
    <xf numFmtId="171" fontId="9" fillId="0" borderId="0" xfId="0" applyFont="1" applyAlignment="1">
      <alignment horizontal="fill"/>
    </xf>
    <xf numFmtId="171" fontId="13" fillId="0" borderId="0" xfId="0" applyFont="1" applyAlignment="1">
      <alignment horizontal="center"/>
    </xf>
    <xf numFmtId="171" fontId="18" fillId="0" borderId="0" xfId="0" applyFont="1" applyAlignment="1">
      <alignment vertical="center"/>
    </xf>
    <xf numFmtId="171" fontId="19" fillId="0" borderId="0" xfId="0" applyFont="1" applyAlignment="1">
      <alignment vertical="center"/>
    </xf>
    <xf numFmtId="171" fontId="19" fillId="0" borderId="0" xfId="0" applyFont="1" applyAlignment="1">
      <alignment horizontal="center" vertical="center"/>
    </xf>
    <xf numFmtId="171" fontId="18" fillId="0" borderId="0" xfId="0" applyFont="1" applyAlignment="1">
      <alignment horizontal="center" vertical="center"/>
    </xf>
    <xf numFmtId="171" fontId="18" fillId="0" borderId="0" xfId="0" applyFont="1" applyAlignment="1">
      <alignment horizontal="left" vertical="center"/>
    </xf>
    <xf numFmtId="0" fontId="18" fillId="0" borderId="0" xfId="0" applyNumberFormat="1" applyFont="1" applyAlignment="1">
      <alignment vertical="center" wrapText="1"/>
    </xf>
    <xf numFmtId="171" fontId="18" fillId="0" borderId="0" xfId="0" applyFont="1" applyAlignment="1">
      <alignment horizontal="left" vertical="center" wrapText="1"/>
    </xf>
    <xf numFmtId="171" fontId="19" fillId="0" borderId="0" xfId="0" applyFont="1" applyAlignment="1">
      <alignment vertical="center" wrapText="1"/>
    </xf>
    <xf numFmtId="2" fontId="46" fillId="0" borderId="0" xfId="0" applyNumberFormat="1" applyFont="1"/>
    <xf numFmtId="0" fontId="18" fillId="0" borderId="0" xfId="0" applyNumberFormat="1" applyFont="1"/>
    <xf numFmtId="2" fontId="18" fillId="0" borderId="0" xfId="0" applyNumberFormat="1" applyFont="1"/>
    <xf numFmtId="179" fontId="18" fillId="0" borderId="0" xfId="0" applyNumberFormat="1" applyFont="1"/>
    <xf numFmtId="0" fontId="19" fillId="0" borderId="0" xfId="0" applyNumberFormat="1" applyFont="1"/>
    <xf numFmtId="0" fontId="18" fillId="0" borderId="0" xfId="0" applyNumberFormat="1" applyFont="1" applyAlignment="1">
      <alignment horizontal="center" vertical="top" wrapText="1"/>
    </xf>
    <xf numFmtId="0" fontId="19" fillId="0" borderId="0" xfId="0" applyNumberFormat="1" applyFont="1" applyAlignment="1">
      <alignment vertical="top" wrapText="1"/>
    </xf>
    <xf numFmtId="180" fontId="18" fillId="0" borderId="0" xfId="0" applyNumberFormat="1" applyFont="1"/>
    <xf numFmtId="0" fontId="47" fillId="0" borderId="0" xfId="0" applyNumberFormat="1" applyFont="1"/>
    <xf numFmtId="0" fontId="18" fillId="0" borderId="0" xfId="0" applyNumberFormat="1" applyFont="1" applyAlignment="1">
      <alignment horizontal="left" vertical="top" wrapText="1"/>
    </xf>
    <xf numFmtId="0" fontId="21" fillId="0" borderId="0" xfId="0" applyNumberFormat="1" applyFont="1" applyAlignment="1">
      <alignment vertical="top" wrapText="1"/>
    </xf>
    <xf numFmtId="0" fontId="0" fillId="0" borderId="0" xfId="0" applyNumberFormat="1"/>
    <xf numFmtId="0" fontId="40" fillId="0" borderId="0" xfId="0" applyNumberFormat="1" applyFont="1" applyAlignment="1">
      <alignment horizontal="center"/>
    </xf>
    <xf numFmtId="176" fontId="9" fillId="0" borderId="0" xfId="0" applyNumberFormat="1" applyFont="1" applyAlignment="1">
      <alignment horizontal="right"/>
    </xf>
    <xf numFmtId="0" fontId="40" fillId="0" borderId="0" xfId="0" applyNumberFormat="1" applyFont="1"/>
    <xf numFmtId="2" fontId="40" fillId="0" borderId="0" xfId="0" applyNumberFormat="1" applyFont="1"/>
    <xf numFmtId="0" fontId="0" fillId="0" borderId="0" xfId="0" applyNumberFormat="1" applyAlignment="1">
      <alignment wrapText="1"/>
    </xf>
    <xf numFmtId="171" fontId="40" fillId="0" borderId="0" xfId="0" applyFont="1"/>
    <xf numFmtId="171" fontId="9" fillId="0" borderId="0" xfId="0" applyFont="1" applyAlignment="1">
      <alignment horizontal="left" wrapText="1"/>
    </xf>
    <xf numFmtId="0" fontId="6" fillId="0" borderId="0" xfId="0" applyNumberFormat="1" applyFont="1"/>
    <xf numFmtId="173" fontId="15" fillId="0" borderId="0" xfId="0" applyNumberFormat="1" applyFont="1"/>
    <xf numFmtId="171" fontId="15" fillId="0" borderId="0" xfId="0" applyFont="1"/>
    <xf numFmtId="171" fontId="14" fillId="0" borderId="0" xfId="0" applyFont="1"/>
    <xf numFmtId="171" fontId="15" fillId="0" borderId="0" xfId="0" applyFont="1" applyAlignment="1">
      <alignment horizontal="left"/>
    </xf>
    <xf numFmtId="0" fontId="15" fillId="0" borderId="0" xfId="0" applyNumberFormat="1" applyFont="1"/>
    <xf numFmtId="171" fontId="15" fillId="0" borderId="0" xfId="0" applyFont="1" applyAlignment="1">
      <alignment horizontal="center"/>
    </xf>
    <xf numFmtId="171" fontId="14" fillId="0" borderId="0" xfId="0" applyFont="1" applyAlignment="1">
      <alignment horizontal="right"/>
    </xf>
    <xf numFmtId="171" fontId="0" fillId="9" borderId="0" xfId="0" applyFill="1" applyAlignment="1">
      <alignment horizontal="left"/>
    </xf>
    <xf numFmtId="176" fontId="40" fillId="0" borderId="0" xfId="0" applyNumberFormat="1" applyFont="1" applyAlignment="1">
      <alignment vertical="top"/>
    </xf>
    <xf numFmtId="176" fontId="43" fillId="0" borderId="0" xfId="0" applyNumberFormat="1" applyFont="1" applyAlignment="1">
      <alignment horizontal="right"/>
    </xf>
    <xf numFmtId="176" fontId="11" fillId="0" borderId="0" xfId="0" applyNumberFormat="1" applyFont="1" applyAlignment="1">
      <alignment horizontal="center"/>
    </xf>
    <xf numFmtId="171" fontId="5" fillId="0" borderId="0" xfId="0" applyFont="1" applyAlignment="1">
      <alignment vertical="top"/>
    </xf>
    <xf numFmtId="0" fontId="0" fillId="0" borderId="0" xfId="0" applyNumberFormat="1" applyAlignment="1">
      <alignment horizontal="center" vertical="center"/>
    </xf>
    <xf numFmtId="171" fontId="40" fillId="0" borderId="0" xfId="0" applyFont="1" applyAlignment="1">
      <alignment horizontal="right"/>
    </xf>
    <xf numFmtId="0" fontId="0" fillId="9" borderId="0" xfId="0" applyNumberFormat="1" applyFill="1"/>
    <xf numFmtId="179" fontId="0" fillId="0" borderId="0" xfId="0" applyNumberFormat="1"/>
    <xf numFmtId="179" fontId="40" fillId="0" borderId="0" xfId="0" applyNumberFormat="1" applyFont="1"/>
    <xf numFmtId="0" fontId="47" fillId="9" borderId="0" xfId="0" applyNumberFormat="1" applyFont="1" applyFill="1"/>
    <xf numFmtId="0" fontId="48" fillId="9" borderId="0" xfId="0" applyNumberFormat="1" applyFont="1" applyFill="1"/>
    <xf numFmtId="171" fontId="11" fillId="0" borderId="0" xfId="0" applyFont="1" applyAlignment="1">
      <alignment vertical="top"/>
    </xf>
    <xf numFmtId="171" fontId="11" fillId="9" borderId="0" xfId="0" applyFont="1" applyFill="1"/>
    <xf numFmtId="171" fontId="11" fillId="9" borderId="0" xfId="0" applyFont="1" applyFill="1" applyAlignment="1">
      <alignment horizontal="center"/>
    </xf>
    <xf numFmtId="171" fontId="17" fillId="0" borderId="0" xfId="0" applyFont="1" applyAlignment="1">
      <alignment horizontal="left"/>
    </xf>
    <xf numFmtId="171" fontId="11" fillId="0" borderId="0" xfId="0" applyFont="1" applyAlignment="1">
      <alignment wrapText="1"/>
    </xf>
    <xf numFmtId="171" fontId="17" fillId="0" borderId="0" xfId="0" applyFont="1" applyAlignment="1">
      <alignment horizontal="left" wrapText="1"/>
    </xf>
    <xf numFmtId="176" fontId="5" fillId="0" borderId="0" xfId="0" applyNumberFormat="1" applyFont="1"/>
    <xf numFmtId="0" fontId="27" fillId="0" borderId="0" xfId="0" applyNumberFormat="1" applyFont="1" applyAlignment="1">
      <alignment vertical="top"/>
    </xf>
    <xf numFmtId="171" fontId="28" fillId="0" borderId="0" xfId="0" applyFont="1" applyAlignment="1">
      <alignment horizontal="center"/>
    </xf>
    <xf numFmtId="171" fontId="28" fillId="0" borderId="0" xfId="0" applyFont="1"/>
    <xf numFmtId="2" fontId="27" fillId="0" borderId="0" xfId="0" applyNumberFormat="1" applyFont="1" applyAlignment="1">
      <alignment horizontal="right" vertical="top" wrapText="1"/>
    </xf>
    <xf numFmtId="49" fontId="27" fillId="0" borderId="0" xfId="0" applyNumberFormat="1" applyFont="1" applyAlignment="1">
      <alignment horizontal="left" vertical="top" wrapText="1"/>
    </xf>
    <xf numFmtId="0" fontId="26" fillId="0" borderId="0" xfId="0" applyNumberFormat="1" applyFont="1" applyAlignment="1">
      <alignment horizontal="center" vertical="top" wrapText="1"/>
    </xf>
    <xf numFmtId="2" fontId="27" fillId="0" borderId="0" xfId="0" applyNumberFormat="1" applyFont="1" applyAlignment="1">
      <alignment horizontal="center" vertical="top" wrapText="1"/>
    </xf>
    <xf numFmtId="0" fontId="26" fillId="0" borderId="0" xfId="0" applyNumberFormat="1" applyFont="1" applyAlignment="1">
      <alignment horizontal="left" vertical="top" wrapText="1"/>
    </xf>
    <xf numFmtId="0" fontId="27" fillId="0" borderId="0" xfId="0" applyNumberFormat="1" applyFont="1" applyAlignment="1">
      <alignment horizontal="left" vertical="top" wrapText="1"/>
    </xf>
    <xf numFmtId="49" fontId="27" fillId="0" borderId="0" xfId="0" applyNumberFormat="1" applyFont="1" applyAlignment="1">
      <alignment horizontal="center" vertical="top" wrapText="1"/>
    </xf>
    <xf numFmtId="2" fontId="26" fillId="0" borderId="0" xfId="0" applyNumberFormat="1" applyFont="1" applyAlignment="1">
      <alignment horizontal="right" vertical="top" wrapText="1"/>
    </xf>
    <xf numFmtId="0" fontId="26" fillId="0" borderId="0" xfId="0" applyNumberFormat="1" applyFont="1" applyAlignment="1">
      <alignment horizontal="right" vertical="top" wrapText="1"/>
    </xf>
    <xf numFmtId="179" fontId="27" fillId="0" borderId="0" xfId="0" applyNumberFormat="1" applyFont="1" applyAlignment="1">
      <alignment horizontal="right" vertical="top" wrapText="1"/>
    </xf>
    <xf numFmtId="2" fontId="27" fillId="0" borderId="0" xfId="12" applyNumberFormat="1" applyFont="1" applyAlignment="1">
      <alignment horizontal="right" vertical="top" wrapText="1"/>
    </xf>
    <xf numFmtId="49" fontId="27" fillId="0" borderId="0" xfId="12" applyNumberFormat="1" applyFont="1" applyAlignment="1">
      <alignment horizontal="left" vertical="top" wrapText="1"/>
    </xf>
    <xf numFmtId="0" fontId="26" fillId="0" borderId="0" xfId="12" applyFont="1" applyAlignment="1">
      <alignment horizontal="center" vertical="top" wrapText="1"/>
    </xf>
    <xf numFmtId="2" fontId="27" fillId="0" borderId="0" xfId="12" applyNumberFormat="1" applyFont="1" applyAlignment="1">
      <alignment vertical="top" wrapText="1"/>
    </xf>
    <xf numFmtId="2" fontId="27" fillId="0" borderId="0" xfId="12" applyNumberFormat="1" applyFont="1" applyAlignment="1">
      <alignment horizontal="center" vertical="top" wrapText="1"/>
    </xf>
    <xf numFmtId="2" fontId="26" fillId="0" borderId="0" xfId="12" applyNumberFormat="1" applyFont="1" applyAlignment="1">
      <alignment horizontal="right" vertical="top" wrapText="1"/>
    </xf>
    <xf numFmtId="0" fontId="27" fillId="0" borderId="0" xfId="12" applyFont="1" applyAlignment="1">
      <alignment horizontal="left" vertical="top" wrapText="1"/>
    </xf>
    <xf numFmtId="0" fontId="26" fillId="0" borderId="0" xfId="12" applyFont="1" applyAlignment="1">
      <alignment horizontal="left" vertical="top" wrapText="1"/>
    </xf>
    <xf numFmtId="2" fontId="50" fillId="0" borderId="0" xfId="12" applyNumberFormat="1" applyFont="1" applyAlignment="1">
      <alignment vertical="top" wrapText="1"/>
    </xf>
    <xf numFmtId="2" fontId="50" fillId="0" borderId="0" xfId="12" applyNumberFormat="1" applyFont="1" applyAlignment="1">
      <alignment horizontal="center" vertical="top" wrapText="1"/>
    </xf>
    <xf numFmtId="2" fontId="50" fillId="0" borderId="0" xfId="12" applyNumberFormat="1" applyFont="1" applyAlignment="1">
      <alignment horizontal="right" vertical="top" wrapText="1"/>
    </xf>
    <xf numFmtId="178" fontId="27" fillId="0" borderId="0" xfId="12" applyNumberFormat="1" applyFont="1" applyAlignment="1">
      <alignment horizontal="right" vertical="top" wrapText="1"/>
    </xf>
    <xf numFmtId="2" fontId="51" fillId="0" borderId="0" xfId="0" applyNumberFormat="1" applyFont="1"/>
    <xf numFmtId="0" fontId="27" fillId="0" borderId="14" xfId="0" applyNumberFormat="1" applyFont="1" applyBorder="1" applyAlignment="1">
      <alignment horizontal="justify" vertical="top" wrapText="1"/>
    </xf>
    <xf numFmtId="2" fontId="18" fillId="0" borderId="0" xfId="0" applyNumberFormat="1" applyFont="1" applyAlignment="1">
      <alignment horizontal="left" vertical="top"/>
    </xf>
    <xf numFmtId="0" fontId="27" fillId="0" borderId="15" xfId="0" applyNumberFormat="1" applyFont="1" applyBorder="1" applyAlignment="1">
      <alignment horizontal="justify" vertical="top" wrapText="1"/>
    </xf>
    <xf numFmtId="2" fontId="27" fillId="0" borderId="15" xfId="0" applyNumberFormat="1" applyFont="1" applyBorder="1" applyAlignment="1">
      <alignment horizontal="center" vertical="top" wrapText="1"/>
    </xf>
    <xf numFmtId="49" fontId="27" fillId="0" borderId="15" xfId="0" applyNumberFormat="1" applyFont="1" applyBorder="1" applyAlignment="1">
      <alignment horizontal="center" vertical="top" wrapText="1"/>
    </xf>
    <xf numFmtId="0" fontId="26" fillId="0" borderId="15" xfId="0" applyNumberFormat="1" applyFont="1" applyBorder="1" applyAlignment="1">
      <alignment horizontal="center" vertical="top" wrapText="1"/>
    </xf>
    <xf numFmtId="2" fontId="27" fillId="0" borderId="15" xfId="0" applyNumberFormat="1" applyFont="1" applyBorder="1" applyAlignment="1">
      <alignment horizontal="right" vertical="top" wrapText="1"/>
    </xf>
    <xf numFmtId="0" fontId="26" fillId="0" borderId="15" xfId="0" applyNumberFormat="1" applyFont="1" applyBorder="1" applyAlignment="1">
      <alignment horizontal="left" vertical="top" wrapText="1"/>
    </xf>
    <xf numFmtId="0" fontId="27" fillId="0" borderId="15" xfId="0" applyNumberFormat="1" applyFont="1" applyBorder="1" applyAlignment="1">
      <alignment horizontal="left" vertical="top" wrapText="1"/>
    </xf>
    <xf numFmtId="2" fontId="26" fillId="0" borderId="15" xfId="0" applyNumberFormat="1" applyFont="1" applyBorder="1" applyAlignment="1">
      <alignment horizontal="right" vertical="top" wrapText="1"/>
    </xf>
    <xf numFmtId="0" fontId="27" fillId="0" borderId="0" xfId="0" applyNumberFormat="1" applyFont="1" applyAlignment="1">
      <alignment horizontal="center" vertical="top" wrapText="1"/>
    </xf>
    <xf numFmtId="0" fontId="27" fillId="0" borderId="0" xfId="0" applyNumberFormat="1" applyFont="1" applyAlignment="1">
      <alignment vertical="top" wrapText="1"/>
    </xf>
    <xf numFmtId="2" fontId="27" fillId="0" borderId="0" xfId="0" applyNumberFormat="1" applyFont="1" applyAlignment="1">
      <alignment vertical="top" wrapText="1"/>
    </xf>
    <xf numFmtId="2" fontId="26" fillId="0" borderId="0" xfId="0" applyNumberFormat="1" applyFont="1" applyAlignment="1">
      <alignment vertical="top" wrapText="1"/>
    </xf>
    <xf numFmtId="0" fontId="27" fillId="0" borderId="16" xfId="0" applyNumberFormat="1" applyFont="1" applyBorder="1" applyAlignment="1">
      <alignment horizontal="left" vertical="top" wrapText="1"/>
    </xf>
    <xf numFmtId="0" fontId="27" fillId="0" borderId="1" xfId="0" applyNumberFormat="1" applyFont="1" applyBorder="1" applyAlignment="1">
      <alignment horizontal="justify" vertical="top" wrapText="1"/>
    </xf>
    <xf numFmtId="0" fontId="27" fillId="0" borderId="15" xfId="0" applyNumberFormat="1" applyFont="1" applyBorder="1" applyAlignment="1">
      <alignment horizontal="center" vertical="top" wrapText="1"/>
    </xf>
    <xf numFmtId="2" fontId="27" fillId="0" borderId="15" xfId="0" applyNumberFormat="1" applyFont="1" applyBorder="1" applyAlignment="1">
      <alignment vertical="top" wrapText="1"/>
    </xf>
    <xf numFmtId="2" fontId="26" fillId="0" borderId="15" xfId="0" applyNumberFormat="1" applyFont="1" applyBorder="1" applyAlignment="1">
      <alignment vertical="top" wrapText="1"/>
    </xf>
    <xf numFmtId="0" fontId="53" fillId="0" borderId="0" xfId="12" applyFont="1" applyAlignment="1">
      <alignment vertical="top"/>
    </xf>
    <xf numFmtId="2" fontId="53" fillId="0" borderId="0" xfId="12" applyNumberFormat="1" applyFont="1" applyAlignment="1">
      <alignment vertical="top"/>
    </xf>
    <xf numFmtId="0" fontId="27" fillId="0" borderId="0" xfId="0" applyNumberFormat="1" applyFont="1" applyAlignment="1">
      <alignment horizontal="justify" vertical="top" wrapText="1"/>
    </xf>
    <xf numFmtId="0" fontId="53" fillId="0" borderId="0" xfId="12" applyFont="1" applyAlignment="1">
      <alignment vertical="top" wrapText="1"/>
    </xf>
    <xf numFmtId="171" fontId="27" fillId="0" borderId="0" xfId="0" applyFont="1" applyAlignment="1">
      <alignment vertical="top"/>
    </xf>
    <xf numFmtId="2" fontId="49" fillId="0" borderId="0" xfId="12" applyNumberFormat="1" applyFont="1" applyAlignment="1">
      <alignment vertical="top"/>
    </xf>
    <xf numFmtId="171" fontId="26" fillId="0" borderId="0" xfId="0" applyFont="1" applyAlignment="1">
      <alignment vertical="top"/>
    </xf>
    <xf numFmtId="0" fontId="49" fillId="0" borderId="0" xfId="12" applyFont="1" applyAlignment="1">
      <alignment vertical="top"/>
    </xf>
    <xf numFmtId="2" fontId="27" fillId="0" borderId="0" xfId="0" applyNumberFormat="1" applyFont="1" applyAlignment="1">
      <alignment vertical="top"/>
    </xf>
    <xf numFmtId="2" fontId="53" fillId="0" borderId="0" xfId="12" applyNumberFormat="1" applyFont="1" applyAlignment="1">
      <alignment vertical="top" wrapText="1"/>
    </xf>
    <xf numFmtId="171" fontId="27" fillId="0" borderId="0" xfId="0" applyFont="1" applyAlignment="1">
      <alignment horizontal="left" vertical="top"/>
    </xf>
    <xf numFmtId="1" fontId="27" fillId="0" borderId="0" xfId="12" applyNumberFormat="1" applyFont="1" applyAlignment="1">
      <alignment horizontal="right" vertical="top" wrapText="1"/>
    </xf>
    <xf numFmtId="49" fontId="27" fillId="0" borderId="0" xfId="12" applyNumberFormat="1" applyFont="1" applyAlignment="1">
      <alignment horizontal="center" vertical="top" wrapText="1"/>
    </xf>
    <xf numFmtId="0" fontId="27" fillId="0" borderId="0" xfId="12" applyFont="1" applyAlignment="1">
      <alignment horizontal="center" vertical="top" wrapText="1"/>
    </xf>
    <xf numFmtId="178" fontId="27" fillId="0" borderId="0" xfId="0" applyNumberFormat="1" applyFont="1" applyAlignment="1">
      <alignment horizontal="right" vertical="top" wrapText="1"/>
    </xf>
    <xf numFmtId="1" fontId="27" fillId="0" borderId="0" xfId="0" applyNumberFormat="1" applyFont="1" applyAlignment="1">
      <alignment horizontal="right" vertical="top" wrapText="1"/>
    </xf>
    <xf numFmtId="0" fontId="27" fillId="0" borderId="1" xfId="9" applyFont="1" applyBorder="1" applyAlignment="1">
      <alignment horizontal="left" vertical="top" wrapText="1"/>
    </xf>
    <xf numFmtId="0" fontId="27" fillId="0" borderId="0" xfId="12" applyFont="1" applyAlignment="1">
      <alignment vertical="top"/>
    </xf>
    <xf numFmtId="2" fontId="27" fillId="0" borderId="0" xfId="12" applyNumberFormat="1" applyFont="1" applyAlignment="1">
      <alignment vertical="top"/>
    </xf>
    <xf numFmtId="0" fontId="27" fillId="0" borderId="0" xfId="0" applyNumberFormat="1" applyFont="1" applyAlignment="1">
      <alignment horizontal="center" vertical="top"/>
    </xf>
    <xf numFmtId="0" fontId="27" fillId="0" borderId="15" xfId="12" applyFont="1" applyBorder="1" applyAlignment="1">
      <alignment vertical="top"/>
    </xf>
    <xf numFmtId="2" fontId="27" fillId="0" borderId="15" xfId="12" applyNumberFormat="1" applyFont="1" applyBorder="1" applyAlignment="1">
      <alignment vertical="top"/>
    </xf>
    <xf numFmtId="2" fontId="27" fillId="0" borderId="15" xfId="0" applyNumberFormat="1" applyFont="1" applyBorder="1" applyAlignment="1">
      <alignment vertical="top"/>
    </xf>
    <xf numFmtId="0" fontId="27" fillId="0" borderId="15" xfId="0" applyNumberFormat="1" applyFont="1" applyBorder="1" applyAlignment="1">
      <alignment horizontal="center" vertical="top"/>
    </xf>
    <xf numFmtId="171" fontId="26" fillId="0" borderId="0" xfId="0" applyFont="1" applyAlignment="1">
      <alignment horizontal="left" vertical="top"/>
    </xf>
    <xf numFmtId="171" fontId="27" fillId="0" borderId="0" xfId="0" applyFont="1" applyAlignment="1">
      <alignment horizontal="center" vertical="top"/>
    </xf>
    <xf numFmtId="171" fontId="26" fillId="0" borderId="0" xfId="0" applyFont="1" applyAlignment="1">
      <alignment horizontal="right" vertical="top"/>
    </xf>
    <xf numFmtId="171" fontId="27" fillId="0" borderId="0" xfId="0" applyFont="1" applyAlignment="1">
      <alignment horizontal="fill" vertical="top"/>
    </xf>
    <xf numFmtId="171" fontId="26" fillId="0" borderId="0" xfId="0" applyFont="1" applyAlignment="1">
      <alignment horizontal="center" vertical="top"/>
    </xf>
    <xf numFmtId="2" fontId="26" fillId="0" borderId="0" xfId="12" applyNumberFormat="1" applyFont="1" applyAlignment="1">
      <alignment vertical="top" wrapText="1"/>
    </xf>
    <xf numFmtId="2" fontId="26" fillId="0" borderId="0" xfId="12" applyNumberFormat="1" applyFont="1" applyAlignment="1">
      <alignment horizontal="center" vertical="top" wrapText="1"/>
    </xf>
    <xf numFmtId="0" fontId="27" fillId="0" borderId="0" xfId="12" applyFont="1" applyAlignment="1">
      <alignment vertical="top" wrapText="1"/>
    </xf>
    <xf numFmtId="0" fontId="53" fillId="0" borderId="0" xfId="12" applyFont="1" applyAlignment="1">
      <alignment horizontal="center" vertical="top"/>
    </xf>
    <xf numFmtId="0" fontId="49" fillId="0" borderId="0" xfId="0" applyNumberFormat="1" applyFont="1" applyAlignment="1">
      <alignment horizontal="center" vertical="top" wrapText="1"/>
    </xf>
    <xf numFmtId="0" fontId="49" fillId="0" borderId="0" xfId="0" applyNumberFormat="1" applyFont="1" applyAlignment="1">
      <alignment horizontal="center" vertical="top"/>
    </xf>
    <xf numFmtId="0" fontId="27" fillId="0" borderId="0" xfId="0" applyNumberFormat="1" applyFont="1" applyAlignment="1">
      <alignment horizontal="left" vertical="top"/>
    </xf>
    <xf numFmtId="0" fontId="52" fillId="0" borderId="0" xfId="0" applyNumberFormat="1" applyFont="1" applyAlignment="1">
      <alignment vertical="top"/>
    </xf>
    <xf numFmtId="0" fontId="27" fillId="0" borderId="0" xfId="0" applyNumberFormat="1" applyFont="1" applyAlignment="1">
      <alignment horizontal="right" vertical="top"/>
    </xf>
    <xf numFmtId="2" fontId="27" fillId="0" borderId="0" xfId="0" applyNumberFormat="1" applyFont="1" applyAlignment="1">
      <alignment horizontal="center" vertical="top"/>
    </xf>
    <xf numFmtId="1" fontId="27" fillId="0" borderId="0" xfId="0" applyNumberFormat="1" applyFont="1" applyAlignment="1">
      <alignment horizontal="center" vertical="top"/>
    </xf>
    <xf numFmtId="0" fontId="49" fillId="0" borderId="0" xfId="0" applyNumberFormat="1" applyFont="1" applyAlignment="1">
      <alignment vertical="top" wrapText="1"/>
    </xf>
    <xf numFmtId="0" fontId="49" fillId="0" borderId="0" xfId="0" applyNumberFormat="1" applyFont="1" applyAlignment="1">
      <alignment horizontal="right" vertical="top"/>
    </xf>
    <xf numFmtId="2" fontId="49" fillId="0" borderId="0" xfId="0" applyNumberFormat="1" applyFont="1" applyAlignment="1">
      <alignment vertical="top"/>
    </xf>
    <xf numFmtId="0" fontId="53" fillId="0" borderId="15" xfId="12" applyFont="1" applyBorder="1" applyAlignment="1">
      <alignment vertical="top"/>
    </xf>
    <xf numFmtId="2" fontId="53" fillId="0" borderId="15" xfId="12" applyNumberFormat="1" applyFont="1" applyBorder="1" applyAlignment="1">
      <alignment vertical="top"/>
    </xf>
    <xf numFmtId="2" fontId="26" fillId="0" borderId="0" xfId="0" applyNumberFormat="1" applyFont="1" applyAlignment="1">
      <alignment vertical="top"/>
    </xf>
    <xf numFmtId="0" fontId="50" fillId="0" borderId="0" xfId="0" applyNumberFormat="1" applyFont="1" applyAlignment="1">
      <alignment vertical="top"/>
    </xf>
    <xf numFmtId="2" fontId="50" fillId="0" borderId="0" xfId="0" applyNumberFormat="1" applyFont="1" applyAlignment="1">
      <alignment vertical="top"/>
    </xf>
    <xf numFmtId="2" fontId="53" fillId="0" borderId="0" xfId="0" applyNumberFormat="1" applyFont="1" applyAlignment="1">
      <alignment horizontal="center" vertical="top" wrapText="1"/>
    </xf>
    <xf numFmtId="0" fontId="27" fillId="0" borderId="0" xfId="0" applyNumberFormat="1" applyFont="1" applyAlignment="1">
      <alignment horizontal="justify" vertical="top"/>
    </xf>
    <xf numFmtId="0" fontId="0" fillId="0" borderId="0" xfId="0" applyNumberFormat="1" applyAlignment="1">
      <alignment horizontal="center"/>
    </xf>
    <xf numFmtId="2" fontId="52" fillId="0" borderId="0" xfId="12" applyNumberFormat="1" applyFont="1" applyAlignment="1">
      <alignment vertical="top" wrapText="1"/>
    </xf>
    <xf numFmtId="2" fontId="54" fillId="0" borderId="0" xfId="12" applyNumberFormat="1" applyFont="1" applyAlignment="1">
      <alignment vertical="top" wrapText="1"/>
    </xf>
    <xf numFmtId="0" fontId="27" fillId="0" borderId="0" xfId="0" applyNumberFormat="1" applyFont="1" applyAlignment="1">
      <alignment horizontal="right" vertical="top" wrapText="1"/>
    </xf>
    <xf numFmtId="2" fontId="27" fillId="9" borderId="0" xfId="0" applyNumberFormat="1" applyFont="1" applyFill="1" applyAlignment="1">
      <alignment vertical="top"/>
    </xf>
    <xf numFmtId="0" fontId="27" fillId="9" borderId="0" xfId="0" applyNumberFormat="1" applyFont="1" applyFill="1" applyAlignment="1">
      <alignment vertical="top"/>
    </xf>
    <xf numFmtId="0" fontId="27" fillId="9" borderId="0" xfId="0" applyNumberFormat="1" applyFont="1" applyFill="1" applyAlignment="1">
      <alignment horizontal="center" vertical="top"/>
    </xf>
    <xf numFmtId="0" fontId="53" fillId="9" borderId="0" xfId="12" applyFont="1" applyFill="1" applyAlignment="1">
      <alignment vertical="top"/>
    </xf>
    <xf numFmtId="2" fontId="53" fillId="9" borderId="0" xfId="12" applyNumberFormat="1" applyFont="1" applyFill="1" applyAlignment="1">
      <alignment vertical="top"/>
    </xf>
    <xf numFmtId="2" fontId="27" fillId="0" borderId="0" xfId="0" applyNumberFormat="1" applyFont="1" applyAlignment="1">
      <alignment horizontal="left" vertical="top" wrapText="1"/>
    </xf>
    <xf numFmtId="0" fontId="55" fillId="0" borderId="0" xfId="0" applyNumberFormat="1" applyFont="1" applyAlignment="1">
      <alignment horizontal="center"/>
    </xf>
    <xf numFmtId="0" fontId="0" fillId="0" borderId="0" xfId="0" applyNumberFormat="1" applyAlignment="1">
      <alignment horizontal="left"/>
    </xf>
    <xf numFmtId="2" fontId="0" fillId="0" borderId="0" xfId="0" applyNumberFormat="1" applyAlignment="1">
      <alignment horizontal="center" wrapText="1"/>
    </xf>
    <xf numFmtId="0" fontId="0" fillId="9" borderId="0" xfId="0" applyNumberFormat="1" applyFill="1" applyAlignment="1">
      <alignment wrapText="1"/>
    </xf>
    <xf numFmtId="2" fontId="40" fillId="0" borderId="0" xfId="0" applyNumberFormat="1" applyFont="1" applyAlignment="1">
      <alignment horizontal="center" wrapText="1"/>
    </xf>
    <xf numFmtId="0" fontId="57" fillId="0" borderId="0" xfId="0" applyNumberFormat="1" applyFont="1" applyAlignment="1">
      <alignment vertical="center" wrapText="1"/>
    </xf>
    <xf numFmtId="2" fontId="56" fillId="0" borderId="0" xfId="0" applyNumberFormat="1" applyFont="1"/>
    <xf numFmtId="2" fontId="0" fillId="0" borderId="0" xfId="0" applyNumberFormat="1" applyAlignment="1">
      <alignment horizontal="center"/>
    </xf>
    <xf numFmtId="2" fontId="0" fillId="0" borderId="0" xfId="0" applyNumberFormat="1" applyAlignment="1">
      <alignment wrapText="1"/>
    </xf>
    <xf numFmtId="0" fontId="40" fillId="0" borderId="0" xfId="0" applyNumberFormat="1" applyFont="1" applyAlignment="1">
      <alignment wrapText="1"/>
    </xf>
    <xf numFmtId="0" fontId="0" fillId="0" borderId="0" xfId="0" applyNumberFormat="1" applyAlignment="1">
      <alignment vertical="top" wrapText="1"/>
    </xf>
    <xf numFmtId="0" fontId="59" fillId="0" borderId="0" xfId="0" applyNumberFormat="1" applyFont="1" applyAlignment="1">
      <alignment horizontal="center"/>
    </xf>
    <xf numFmtId="0" fontId="0" fillId="0" borderId="0" xfId="0" applyNumberFormat="1" applyAlignment="1">
      <alignment horizontal="right"/>
    </xf>
    <xf numFmtId="2" fontId="60" fillId="0" borderId="0" xfId="0" applyNumberFormat="1" applyFont="1" applyAlignment="1">
      <alignment horizontal="center" wrapText="1"/>
    </xf>
    <xf numFmtId="2" fontId="0" fillId="0" borderId="0" xfId="0" applyNumberFormat="1" applyAlignment="1">
      <alignment vertical="top"/>
    </xf>
    <xf numFmtId="0" fontId="0" fillId="0" borderId="0" xfId="0" applyNumberFormat="1" applyAlignment="1">
      <alignment horizontal="center" vertical="top"/>
    </xf>
    <xf numFmtId="0" fontId="57" fillId="0" borderId="0" xfId="0" applyNumberFormat="1" applyFont="1" applyAlignment="1">
      <alignment vertical="top" wrapText="1"/>
    </xf>
    <xf numFmtId="2" fontId="40" fillId="0" borderId="0" xfId="0" applyNumberFormat="1" applyFont="1" applyAlignment="1">
      <alignment horizontal="center" vertical="top" wrapText="1"/>
    </xf>
    <xf numFmtId="2" fontId="56" fillId="0" borderId="0" xfId="0" applyNumberFormat="1" applyFont="1" applyAlignment="1">
      <alignment vertical="top"/>
    </xf>
    <xf numFmtId="2" fontId="0" fillId="0" borderId="0" xfId="0" applyNumberFormat="1" applyAlignment="1">
      <alignment horizontal="center" vertical="top" wrapText="1"/>
    </xf>
    <xf numFmtId="2" fontId="0" fillId="0" borderId="0" xfId="0" applyNumberFormat="1" applyAlignment="1">
      <alignment horizontal="center" vertical="top"/>
    </xf>
    <xf numFmtId="0" fontId="0" fillId="0" borderId="0" xfId="0" applyNumberFormat="1" applyAlignment="1">
      <alignment vertical="top"/>
    </xf>
    <xf numFmtId="2" fontId="0" fillId="0" borderId="0" xfId="0" applyNumberFormat="1" applyAlignment="1">
      <alignment vertical="top" wrapText="1"/>
    </xf>
    <xf numFmtId="2" fontId="40" fillId="0" borderId="0" xfId="0" applyNumberFormat="1" applyFont="1" applyAlignment="1">
      <alignment vertical="top"/>
    </xf>
    <xf numFmtId="0" fontId="27" fillId="0" borderId="0" xfId="0" applyNumberFormat="1" applyFont="1" applyAlignment="1">
      <alignment horizontal="left" wrapText="1"/>
    </xf>
    <xf numFmtId="2" fontId="27" fillId="0" borderId="0" xfId="0" applyNumberFormat="1" applyFont="1" applyAlignment="1">
      <alignment horizontal="right" wrapText="1"/>
    </xf>
    <xf numFmtId="171" fontId="61" fillId="0" borderId="0" xfId="0" applyFont="1" applyAlignment="1">
      <alignment horizontal="center" vertical="top"/>
    </xf>
    <xf numFmtId="171" fontId="61" fillId="0" borderId="0" xfId="0" applyFont="1"/>
    <xf numFmtId="171" fontId="61" fillId="0" borderId="0" xfId="0" applyFont="1" applyAlignment="1">
      <alignment horizontal="center"/>
    </xf>
    <xf numFmtId="171" fontId="62" fillId="0" borderId="0" xfId="0" applyFont="1" applyAlignment="1">
      <alignment horizontal="center" vertical="center"/>
    </xf>
    <xf numFmtId="171" fontId="63" fillId="0" borderId="0" xfId="0" applyFont="1" applyAlignment="1">
      <alignment horizontal="center"/>
    </xf>
    <xf numFmtId="171" fontId="63" fillId="0" borderId="0" xfId="0" applyFont="1" applyAlignment="1">
      <alignment horizontal="center" vertical="center"/>
    </xf>
    <xf numFmtId="171" fontId="63" fillId="0" borderId="0" xfId="0" applyFont="1" applyAlignment="1">
      <alignment vertical="top"/>
    </xf>
    <xf numFmtId="171" fontId="63" fillId="0" borderId="0" xfId="0" applyFont="1" applyAlignment="1">
      <alignment horizontal="left" vertical="top" wrapText="1"/>
    </xf>
    <xf numFmtId="171" fontId="61" fillId="0" borderId="0" xfId="0" applyFont="1" applyAlignment="1">
      <alignment vertical="top"/>
    </xf>
    <xf numFmtId="171" fontId="61" fillId="0" borderId="0" xfId="0" applyFont="1" applyAlignment="1">
      <alignment horizontal="left" vertical="top" wrapText="1"/>
    </xf>
    <xf numFmtId="171" fontId="61" fillId="0" borderId="0" xfId="0" applyFont="1" applyAlignment="1">
      <alignment horizontal="left" vertical="top"/>
    </xf>
    <xf numFmtId="171" fontId="61" fillId="0" borderId="0" xfId="0" applyFont="1" applyAlignment="1">
      <alignment vertical="top" wrapText="1"/>
    </xf>
    <xf numFmtId="171" fontId="64" fillId="0" borderId="0" xfId="0" applyFont="1" applyAlignment="1">
      <alignment horizontal="left" vertical="top"/>
    </xf>
    <xf numFmtId="171" fontId="65" fillId="0" borderId="0" xfId="0" applyFont="1" applyAlignment="1">
      <alignment horizontal="left" vertical="top"/>
    </xf>
    <xf numFmtId="173" fontId="61" fillId="0" borderId="0" xfId="0" applyNumberFormat="1" applyFont="1" applyAlignment="1">
      <alignment horizontal="left" vertical="top"/>
    </xf>
    <xf numFmtId="171" fontId="66" fillId="0" borderId="0" xfId="0" applyFont="1" applyAlignment="1">
      <alignment horizontal="left" vertical="top"/>
    </xf>
    <xf numFmtId="12" fontId="61" fillId="0" borderId="0" xfId="0" applyNumberFormat="1" applyFont="1" applyAlignment="1">
      <alignment horizontal="left" vertical="top"/>
    </xf>
    <xf numFmtId="171" fontId="61" fillId="0" borderId="0" xfId="0" applyFont="1" applyAlignment="1">
      <alignment wrapText="1"/>
    </xf>
    <xf numFmtId="171" fontId="61" fillId="0" borderId="0" xfId="0" applyFont="1" applyAlignment="1">
      <alignment horizontal="right" vertical="top"/>
    </xf>
    <xf numFmtId="171" fontId="67" fillId="0" borderId="0" xfId="0" applyFont="1" applyAlignment="1">
      <alignment horizontal="left" vertical="top"/>
    </xf>
    <xf numFmtId="171" fontId="63" fillId="0" borderId="0" xfId="0" applyFont="1" applyAlignment="1">
      <alignment horizontal="right" vertical="top"/>
    </xf>
    <xf numFmtId="171" fontId="63" fillId="0" borderId="0" xfId="0" applyFont="1" applyAlignment="1">
      <alignment horizontal="left" vertical="top"/>
    </xf>
    <xf numFmtId="171" fontId="69" fillId="0" borderId="0" xfId="0" applyFont="1" applyAlignment="1">
      <alignment horizontal="left" vertical="top"/>
    </xf>
    <xf numFmtId="171" fontId="63" fillId="0" borderId="0" xfId="0" applyFont="1"/>
    <xf numFmtId="171" fontId="63" fillId="0" borderId="0" xfId="0" applyFont="1" applyAlignment="1">
      <alignment horizontal="left" wrapText="1"/>
    </xf>
    <xf numFmtId="171" fontId="63" fillId="0" borderId="0" xfId="0" applyFont="1" applyAlignment="1">
      <alignment horizontal="left"/>
    </xf>
    <xf numFmtId="171" fontId="65" fillId="0" borderId="0" xfId="0" applyFont="1" applyAlignment="1">
      <alignment horizontal="left" vertical="top" wrapText="1"/>
    </xf>
    <xf numFmtId="176" fontId="61" fillId="0" borderId="0" xfId="0" applyNumberFormat="1" applyFont="1" applyAlignment="1">
      <alignment horizontal="left" vertical="top"/>
    </xf>
    <xf numFmtId="171" fontId="71" fillId="0" borderId="0" xfId="0" applyFont="1" applyAlignment="1">
      <alignment horizontal="left" vertical="top"/>
    </xf>
    <xf numFmtId="171" fontId="69" fillId="0" borderId="0" xfId="0" applyFont="1" applyAlignment="1">
      <alignment horizontal="center" vertical="top"/>
    </xf>
    <xf numFmtId="171" fontId="61" fillId="8" borderId="0" xfId="0" applyFont="1" applyFill="1" applyAlignment="1">
      <alignment horizontal="left" vertical="top"/>
    </xf>
    <xf numFmtId="171" fontId="63" fillId="8" borderId="0" xfId="0" applyFont="1" applyFill="1" applyAlignment="1">
      <alignment horizontal="left" vertical="top"/>
    </xf>
    <xf numFmtId="171" fontId="61" fillId="8" borderId="0" xfId="0" applyFont="1" applyFill="1"/>
    <xf numFmtId="171" fontId="61" fillId="9" borderId="0" xfId="0" applyFont="1" applyFill="1" applyAlignment="1">
      <alignment vertical="top" wrapText="1"/>
    </xf>
    <xf numFmtId="171" fontId="61" fillId="9" borderId="0" xfId="0" applyFont="1" applyFill="1" applyAlignment="1">
      <alignment horizontal="left" vertical="top"/>
    </xf>
    <xf numFmtId="171" fontId="66" fillId="9" borderId="0" xfId="0" applyFont="1" applyFill="1" applyAlignment="1">
      <alignment horizontal="left" vertical="top" wrapText="1"/>
    </xf>
    <xf numFmtId="171" fontId="65" fillId="9" borderId="0" xfId="0" applyFont="1" applyFill="1" applyAlignment="1">
      <alignment horizontal="left" vertical="top"/>
    </xf>
    <xf numFmtId="171" fontId="61" fillId="9" borderId="0" xfId="0" applyFont="1" applyFill="1"/>
    <xf numFmtId="171" fontId="66" fillId="9" borderId="0" xfId="0" applyFont="1" applyFill="1" applyAlignment="1">
      <alignment horizontal="left" vertical="top"/>
    </xf>
    <xf numFmtId="171" fontId="61" fillId="9" borderId="0" xfId="0" applyFont="1" applyFill="1" applyAlignment="1">
      <alignment horizontal="left" vertical="top" wrapText="1"/>
    </xf>
    <xf numFmtId="171" fontId="66" fillId="0" borderId="0" xfId="0" applyFont="1" applyAlignment="1">
      <alignment horizontal="left" vertical="top" wrapText="1"/>
    </xf>
    <xf numFmtId="175" fontId="61" fillId="0" borderId="0" xfId="0" applyNumberFormat="1" applyFont="1" applyAlignment="1">
      <alignment horizontal="left" vertical="top"/>
    </xf>
    <xf numFmtId="171" fontId="72" fillId="0" borderId="0" xfId="0" applyFont="1" applyAlignment="1">
      <alignment horizontal="left" vertical="top"/>
    </xf>
    <xf numFmtId="171" fontId="63" fillId="0" borderId="0" xfId="0" applyFont="1" applyAlignment="1">
      <alignment horizontal="center" vertical="top"/>
    </xf>
    <xf numFmtId="171" fontId="73" fillId="0" borderId="0" xfId="0" applyFont="1" applyAlignment="1">
      <alignment horizontal="left" vertical="top"/>
    </xf>
    <xf numFmtId="171" fontId="61" fillId="0" borderId="0" xfId="0" applyFont="1" applyAlignment="1">
      <alignment horizontal="left"/>
    </xf>
    <xf numFmtId="177" fontId="61" fillId="0" borderId="0" xfId="0" applyNumberFormat="1" applyFont="1" applyAlignment="1">
      <alignment horizontal="left" vertical="top"/>
    </xf>
    <xf numFmtId="171" fontId="64" fillId="9" borderId="0" xfId="0" applyFont="1" applyFill="1" applyAlignment="1">
      <alignment horizontal="left" vertical="top"/>
    </xf>
    <xf numFmtId="171" fontId="63" fillId="9" borderId="0" xfId="0" applyFont="1" applyFill="1" applyAlignment="1">
      <alignment horizontal="left" vertical="top"/>
    </xf>
    <xf numFmtId="171" fontId="74" fillId="0" borderId="0" xfId="0" applyFont="1" applyAlignment="1">
      <alignment horizontal="left" vertical="top"/>
    </xf>
    <xf numFmtId="171" fontId="75" fillId="0" borderId="0" xfId="0" applyFont="1" applyAlignment="1">
      <alignment horizontal="left" vertical="top"/>
    </xf>
    <xf numFmtId="171" fontId="64" fillId="0" borderId="0" xfId="0" applyFont="1" applyAlignment="1">
      <alignment horizontal="right" vertical="top"/>
    </xf>
    <xf numFmtId="171" fontId="76" fillId="0" borderId="0" xfId="0" applyFont="1" applyAlignment="1">
      <alignment horizontal="left" vertical="top"/>
    </xf>
    <xf numFmtId="176" fontId="71" fillId="0" borderId="0" xfId="0" applyNumberFormat="1" applyFont="1" applyAlignment="1">
      <alignment horizontal="left" vertical="top"/>
    </xf>
    <xf numFmtId="171" fontId="65" fillId="0" borderId="0" xfId="0" applyFont="1" applyAlignment="1">
      <alignment horizontal="right" vertical="top"/>
    </xf>
    <xf numFmtId="171" fontId="66" fillId="0" borderId="0" xfId="0" applyFont="1" applyAlignment="1">
      <alignment vertical="top" wrapText="1"/>
    </xf>
    <xf numFmtId="171" fontId="66" fillId="0" borderId="0" xfId="0" applyFont="1" applyAlignment="1">
      <alignment horizontal="right" vertical="top"/>
    </xf>
    <xf numFmtId="171" fontId="77" fillId="0" borderId="0" xfId="0" applyFont="1" applyAlignment="1">
      <alignment horizontal="right" vertical="top"/>
    </xf>
    <xf numFmtId="171" fontId="75" fillId="0" borderId="0" xfId="0" applyFont="1" applyAlignment="1">
      <alignment horizontal="right" vertical="top"/>
    </xf>
    <xf numFmtId="171" fontId="70" fillId="0" borderId="0" xfId="0" applyFont="1" applyAlignment="1">
      <alignment horizontal="center" vertical="center" wrapText="1"/>
    </xf>
    <xf numFmtId="171" fontId="61" fillId="0" borderId="0" xfId="0" applyFont="1" applyAlignment="1">
      <alignment horizontal="right" vertical="center"/>
    </xf>
    <xf numFmtId="171" fontId="61" fillId="0" borderId="0" xfId="0" applyFont="1" applyAlignment="1">
      <alignment horizontal="left" vertical="center"/>
    </xf>
    <xf numFmtId="171" fontId="65" fillId="0" borderId="0" xfId="0" applyFont="1" applyAlignment="1">
      <alignment horizontal="right" vertical="center"/>
    </xf>
    <xf numFmtId="171" fontId="66" fillId="0" borderId="0" xfId="0" applyFont="1"/>
    <xf numFmtId="171" fontId="78" fillId="9" borderId="0" xfId="0" applyFont="1" applyFill="1" applyAlignment="1">
      <alignment horizontal="left" vertical="top"/>
    </xf>
    <xf numFmtId="176" fontId="61" fillId="0" borderId="0" xfId="0" applyNumberFormat="1" applyFont="1"/>
    <xf numFmtId="171" fontId="79" fillId="0" borderId="0" xfId="0" applyFont="1" applyAlignment="1">
      <alignment horizontal="left" vertical="top" wrapText="1"/>
    </xf>
    <xf numFmtId="171" fontId="63" fillId="0" borderId="0" xfId="0" applyFont="1" applyAlignment="1">
      <alignment horizontal="left" vertical="center"/>
    </xf>
    <xf numFmtId="171" fontId="70" fillId="0" borderId="0" xfId="0" applyFont="1" applyAlignment="1">
      <alignment horizontal="left" vertical="top"/>
    </xf>
    <xf numFmtId="171" fontId="78" fillId="0" borderId="0" xfId="0" applyFont="1" applyAlignment="1">
      <alignment horizontal="left" vertical="top"/>
    </xf>
    <xf numFmtId="171" fontId="61" fillId="0" borderId="0" xfId="0" quotePrefix="1" applyFont="1" applyAlignment="1">
      <alignment horizontal="left" vertical="top"/>
    </xf>
    <xf numFmtId="2" fontId="80" fillId="0" borderId="0" xfId="0" applyNumberFormat="1" applyFont="1" applyAlignment="1">
      <alignment horizontal="right" vertical="top" wrapText="1"/>
    </xf>
    <xf numFmtId="49" fontId="80" fillId="0" borderId="0" xfId="0" applyNumberFormat="1" applyFont="1" applyAlignment="1">
      <alignment horizontal="left" vertical="top" wrapText="1"/>
    </xf>
    <xf numFmtId="0" fontId="81" fillId="0" borderId="0" xfId="0" applyNumberFormat="1" applyFont="1" applyAlignment="1">
      <alignment horizontal="center" vertical="top" wrapText="1"/>
    </xf>
    <xf numFmtId="2" fontId="80" fillId="0" borderId="0" xfId="0" applyNumberFormat="1" applyFont="1" applyAlignment="1">
      <alignment horizontal="center" vertical="top" wrapText="1"/>
    </xf>
    <xf numFmtId="2" fontId="81" fillId="0" borderId="0" xfId="0" applyNumberFormat="1" applyFont="1" applyAlignment="1">
      <alignment horizontal="right" vertical="top" wrapText="1"/>
    </xf>
    <xf numFmtId="0" fontId="80" fillId="0" borderId="0" xfId="0" applyNumberFormat="1" applyFont="1" applyAlignment="1">
      <alignment horizontal="left" vertical="top" wrapText="1"/>
    </xf>
    <xf numFmtId="0" fontId="81" fillId="0" borderId="0" xfId="0" applyNumberFormat="1" applyFont="1" applyAlignment="1">
      <alignment horizontal="left" vertical="top" wrapText="1"/>
    </xf>
    <xf numFmtId="178" fontId="80" fillId="0" borderId="0" xfId="0" applyNumberFormat="1" applyFont="1" applyAlignment="1">
      <alignment horizontal="right" vertical="top" wrapText="1"/>
    </xf>
    <xf numFmtId="179" fontId="80" fillId="0" borderId="0" xfId="0" applyNumberFormat="1" applyFont="1" applyAlignment="1">
      <alignment horizontal="right" vertical="top" wrapText="1"/>
    </xf>
    <xf numFmtId="2" fontId="82" fillId="0" borderId="0" xfId="0" applyNumberFormat="1" applyFont="1" applyAlignment="1">
      <alignment horizontal="right" vertical="top" wrapText="1"/>
    </xf>
    <xf numFmtId="2" fontId="83" fillId="0" borderId="0" xfId="0" applyNumberFormat="1" applyFont="1" applyAlignment="1">
      <alignment horizontal="right" vertical="top" wrapText="1"/>
    </xf>
    <xf numFmtId="1" fontId="80" fillId="0" borderId="0" xfId="0" applyNumberFormat="1" applyFont="1" applyAlignment="1">
      <alignment horizontal="right" vertical="top" wrapText="1"/>
    </xf>
    <xf numFmtId="2" fontId="80" fillId="0" borderId="0" xfId="0" applyNumberFormat="1" applyFont="1" applyAlignment="1">
      <alignment horizontal="right" vertical="center" wrapText="1"/>
    </xf>
    <xf numFmtId="49" fontId="80" fillId="0" borderId="0" xfId="0" applyNumberFormat="1" applyFont="1" applyAlignment="1">
      <alignment horizontal="center" vertical="top" wrapText="1"/>
    </xf>
    <xf numFmtId="179" fontId="80" fillId="9" borderId="0" xfId="0" applyNumberFormat="1" applyFont="1" applyFill="1" applyAlignment="1">
      <alignment horizontal="right" vertical="top" wrapText="1"/>
    </xf>
    <xf numFmtId="49" fontId="80" fillId="9" borderId="0" xfId="0" applyNumberFormat="1" applyFont="1" applyFill="1" applyAlignment="1">
      <alignment horizontal="left" vertical="top" wrapText="1"/>
    </xf>
    <xf numFmtId="2" fontId="80" fillId="9" borderId="0" xfId="0" applyNumberFormat="1" applyFont="1" applyFill="1" applyAlignment="1">
      <alignment horizontal="right" vertical="top" wrapText="1"/>
    </xf>
    <xf numFmtId="49" fontId="80" fillId="9" borderId="0" xfId="0" applyNumberFormat="1" applyFont="1" applyFill="1" applyAlignment="1">
      <alignment horizontal="center" vertical="top" wrapText="1"/>
    </xf>
    <xf numFmtId="0" fontId="80" fillId="0" borderId="0" xfId="0" applyNumberFormat="1" applyFont="1" applyAlignment="1">
      <alignment horizontal="justify" vertical="top" wrapText="1"/>
    </xf>
    <xf numFmtId="0" fontId="80" fillId="0" borderId="0" xfId="0" applyNumberFormat="1" applyFont="1" applyAlignment="1">
      <alignment horizontal="center" vertical="top" wrapText="1"/>
    </xf>
    <xf numFmtId="2" fontId="81" fillId="9" borderId="0" xfId="0" applyNumberFormat="1" applyFont="1" applyFill="1" applyAlignment="1">
      <alignment horizontal="right" vertical="top" wrapText="1"/>
    </xf>
    <xf numFmtId="0" fontId="80" fillId="0" borderId="0" xfId="41" applyFont="1" applyAlignment="1">
      <alignment wrapText="1"/>
    </xf>
    <xf numFmtId="0" fontId="81" fillId="0" borderId="0" xfId="41" applyFont="1" applyAlignment="1">
      <alignment vertical="center" wrapText="1"/>
    </xf>
    <xf numFmtId="0" fontId="80" fillId="0" borderId="0" xfId="41" applyFont="1"/>
    <xf numFmtId="0" fontId="85" fillId="0" borderId="0" xfId="41" applyFont="1" applyAlignment="1">
      <alignment horizontal="center"/>
    </xf>
    <xf numFmtId="0" fontId="81" fillId="0" borderId="0" xfId="41" applyFont="1" applyAlignment="1">
      <alignment horizontal="center"/>
    </xf>
    <xf numFmtId="0" fontId="81" fillId="0" borderId="0" xfId="41" applyFont="1"/>
    <xf numFmtId="2" fontId="86" fillId="0" borderId="0" xfId="41" applyNumberFormat="1" applyFont="1"/>
    <xf numFmtId="2" fontId="80" fillId="0" borderId="0" xfId="41" applyNumberFormat="1" applyFont="1"/>
    <xf numFmtId="17" fontId="80" fillId="0" borderId="0" xfId="41" quotePrefix="1" applyNumberFormat="1" applyFont="1"/>
    <xf numFmtId="2" fontId="82" fillId="8" borderId="0" xfId="41" applyNumberFormat="1" applyFont="1" applyFill="1"/>
    <xf numFmtId="0" fontId="86" fillId="0" borderId="0" xfId="41" applyFont="1"/>
    <xf numFmtId="0" fontId="87" fillId="0" borderId="0" xfId="41" applyFont="1" applyAlignment="1">
      <alignment wrapText="1"/>
    </xf>
    <xf numFmtId="0" fontId="87" fillId="0" borderId="0" xfId="41" applyFont="1"/>
    <xf numFmtId="173" fontId="61" fillId="0" borderId="0" xfId="0" applyNumberFormat="1" applyFont="1"/>
    <xf numFmtId="171" fontId="88" fillId="0" borderId="0" xfId="0" applyFont="1"/>
    <xf numFmtId="171" fontId="61" fillId="0" borderId="0" xfId="0" applyFont="1" applyAlignment="1">
      <alignment horizontal="fill"/>
    </xf>
    <xf numFmtId="171" fontId="89" fillId="0" borderId="0" xfId="0" applyFont="1" applyAlignment="1">
      <alignment horizontal="left"/>
    </xf>
    <xf numFmtId="171" fontId="63" fillId="0" borderId="0" xfId="0" applyFont="1" applyAlignment="1">
      <alignment horizontal="right"/>
    </xf>
    <xf numFmtId="171" fontId="63" fillId="0" borderId="0" xfId="0" quotePrefix="1" applyFont="1" applyAlignment="1">
      <alignment horizontal="center"/>
    </xf>
    <xf numFmtId="171" fontId="65" fillId="0" borderId="0" xfId="0" applyFont="1"/>
    <xf numFmtId="172" fontId="90" fillId="0" borderId="0" xfId="0" applyNumberFormat="1" applyFont="1"/>
    <xf numFmtId="171" fontId="90" fillId="0" borderId="0" xfId="0" applyFont="1"/>
    <xf numFmtId="171" fontId="90" fillId="0" borderId="0" xfId="0" applyFont="1" applyAlignment="1">
      <alignment horizontal="left"/>
    </xf>
    <xf numFmtId="171" fontId="91" fillId="0" borderId="0" xfId="0" applyFont="1"/>
    <xf numFmtId="171" fontId="92" fillId="0" borderId="0" xfId="0" applyFont="1" applyAlignment="1">
      <alignment horizontal="left"/>
    </xf>
    <xf numFmtId="171" fontId="66" fillId="9" borderId="0" xfId="0" applyFont="1" applyFill="1"/>
    <xf numFmtId="172" fontId="61" fillId="0" borderId="0" xfId="0" applyNumberFormat="1" applyFont="1" applyAlignment="1">
      <alignment horizontal="center"/>
    </xf>
    <xf numFmtId="171" fontId="64" fillId="0" borderId="0" xfId="0" applyFont="1"/>
    <xf numFmtId="171" fontId="61" fillId="9" borderId="0" xfId="0" applyFont="1" applyFill="1" applyAlignment="1">
      <alignment horizontal="left"/>
    </xf>
    <xf numFmtId="171" fontId="74" fillId="0" borderId="0" xfId="0" applyFont="1"/>
    <xf numFmtId="171" fontId="65" fillId="0" borderId="0" xfId="0" applyFont="1" applyAlignment="1">
      <alignment horizontal="right"/>
    </xf>
    <xf numFmtId="171" fontId="64" fillId="0" borderId="0" xfId="0" applyFont="1" applyAlignment="1">
      <alignment horizontal="left"/>
    </xf>
    <xf numFmtId="174" fontId="61" fillId="0" borderId="0" xfId="0" applyNumberFormat="1" applyFont="1" applyAlignment="1">
      <alignment horizontal="center"/>
    </xf>
    <xf numFmtId="171" fontId="66" fillId="0" borderId="0" xfId="0" applyFont="1" applyAlignment="1">
      <alignment horizontal="left"/>
    </xf>
    <xf numFmtId="171" fontId="61" fillId="0" borderId="0" xfId="0" quotePrefix="1" applyFont="1"/>
    <xf numFmtId="0" fontId="93" fillId="0" borderId="0" xfId="0" applyNumberFormat="1" applyFont="1" applyAlignment="1">
      <alignment wrapText="1"/>
    </xf>
    <xf numFmtId="172" fontId="90" fillId="9" borderId="0" xfId="0" applyNumberFormat="1" applyFont="1" applyFill="1"/>
    <xf numFmtId="171" fontId="65" fillId="9" borderId="0" xfId="0" applyFont="1" applyFill="1"/>
    <xf numFmtId="173" fontId="61" fillId="9" borderId="0" xfId="0" applyNumberFormat="1" applyFont="1" applyFill="1"/>
    <xf numFmtId="171" fontId="61" fillId="9" borderId="0" xfId="0" applyFont="1" applyFill="1" applyAlignment="1">
      <alignment horizontal="center"/>
    </xf>
    <xf numFmtId="171" fontId="65" fillId="0" borderId="0" xfId="0" applyFont="1" applyAlignment="1">
      <alignment horizontal="center"/>
    </xf>
    <xf numFmtId="173" fontId="61" fillId="0" borderId="0" xfId="0" applyNumberFormat="1" applyFont="1" applyAlignment="1">
      <alignment horizontal="center"/>
    </xf>
    <xf numFmtId="174" fontId="61" fillId="0" borderId="0" xfId="0" applyNumberFormat="1" applyFont="1" applyAlignment="1">
      <alignment horizontal="left"/>
    </xf>
    <xf numFmtId="173" fontId="61" fillId="0" borderId="0" xfId="0" applyNumberFormat="1" applyFont="1" applyAlignment="1">
      <alignment horizontal="left"/>
    </xf>
    <xf numFmtId="171" fontId="94" fillId="0" borderId="0" xfId="0" applyFont="1"/>
    <xf numFmtId="171" fontId="63" fillId="0" borderId="0" xfId="0" applyFont="1" applyAlignment="1">
      <alignment horizontal="fill"/>
    </xf>
    <xf numFmtId="171" fontId="61" fillId="0" borderId="0" xfId="0" applyFont="1" applyAlignment="1">
      <alignment horizontal="left" wrapText="1"/>
    </xf>
    <xf numFmtId="174" fontId="61" fillId="0" borderId="0" xfId="0" applyNumberFormat="1" applyFont="1" applyAlignment="1">
      <alignment horizontal="center" vertical="top"/>
    </xf>
    <xf numFmtId="173" fontId="61" fillId="0" borderId="0" xfId="0" applyNumberFormat="1" applyFont="1" applyAlignment="1">
      <alignment horizontal="center" vertical="top"/>
    </xf>
    <xf numFmtId="171" fontId="95" fillId="0" borderId="0" xfId="0" applyFont="1"/>
    <xf numFmtId="171" fontId="61" fillId="11" borderId="0" xfId="0" applyFont="1" applyFill="1" applyAlignment="1">
      <alignment horizontal="left"/>
    </xf>
    <xf numFmtId="171" fontId="96" fillId="8" borderId="0" xfId="0" applyFont="1" applyFill="1"/>
    <xf numFmtId="171" fontId="65" fillId="8" borderId="0" xfId="0" applyFont="1" applyFill="1"/>
    <xf numFmtId="172" fontId="63" fillId="0" borderId="0" xfId="0" applyNumberFormat="1" applyFont="1" applyAlignment="1">
      <alignment horizontal="center"/>
    </xf>
    <xf numFmtId="174" fontId="90" fillId="0" borderId="0" xfId="0" applyNumberFormat="1" applyFont="1"/>
    <xf numFmtId="171" fontId="97" fillId="0" borderId="0" xfId="0" applyFont="1"/>
    <xf numFmtId="171" fontId="96" fillId="10" borderId="0" xfId="0" applyFont="1" applyFill="1"/>
    <xf numFmtId="175" fontId="61" fillId="0" borderId="0" xfId="0" applyNumberFormat="1" applyFont="1"/>
    <xf numFmtId="171" fontId="66" fillId="9" borderId="0" xfId="0" applyFont="1" applyFill="1" applyAlignment="1">
      <alignment horizontal="left"/>
    </xf>
    <xf numFmtId="171" fontId="98" fillId="0" borderId="0" xfId="0" applyFont="1"/>
    <xf numFmtId="171" fontId="99" fillId="0" borderId="0" xfId="0" applyFont="1" applyAlignment="1">
      <alignment horizontal="left"/>
    </xf>
    <xf numFmtId="171" fontId="99" fillId="0" borderId="0" xfId="0" applyFont="1"/>
    <xf numFmtId="171" fontId="66" fillId="8" borderId="0" xfId="0" applyFont="1" applyFill="1"/>
    <xf numFmtId="171" fontId="61" fillId="8" borderId="0" xfId="0" applyFont="1" applyFill="1" applyAlignment="1">
      <alignment horizontal="left"/>
    </xf>
    <xf numFmtId="171" fontId="61" fillId="0" borderId="0" xfId="0" applyFont="1" applyAlignment="1">
      <alignment horizontal="right"/>
    </xf>
    <xf numFmtId="171" fontId="91" fillId="10" borderId="0" xfId="0" applyFont="1" applyFill="1" applyAlignment="1">
      <alignment horizontal="left"/>
    </xf>
    <xf numFmtId="171" fontId="100" fillId="9" borderId="0" xfId="0" applyFont="1" applyFill="1" applyAlignment="1">
      <alignment horizontal="left"/>
    </xf>
    <xf numFmtId="171" fontId="100" fillId="0" borderId="0" xfId="0" applyFont="1"/>
    <xf numFmtId="171" fontId="100" fillId="0" borderId="0" xfId="0" applyFont="1" applyAlignment="1">
      <alignment horizontal="left"/>
    </xf>
    <xf numFmtId="171" fontId="101" fillId="0" borderId="0" xfId="0" applyFont="1" applyAlignment="1">
      <alignment horizontal="left"/>
    </xf>
    <xf numFmtId="171" fontId="102" fillId="0" borderId="0" xfId="0" applyFont="1"/>
    <xf numFmtId="171" fontId="103" fillId="0" borderId="0" xfId="0" applyFont="1"/>
    <xf numFmtId="171" fontId="94" fillId="9" borderId="0" xfId="0" applyFont="1" applyFill="1"/>
    <xf numFmtId="171" fontId="73" fillId="0" borderId="0" xfId="0" applyFont="1"/>
    <xf numFmtId="172" fontId="61" fillId="0" borderId="0" xfId="0" applyNumberFormat="1" applyFont="1" applyAlignment="1">
      <alignment vertical="center" wrapText="1"/>
    </xf>
    <xf numFmtId="171" fontId="65" fillId="0" borderId="0" xfId="0" applyFont="1" applyAlignment="1">
      <alignment horizontal="left"/>
    </xf>
    <xf numFmtId="171" fontId="76" fillId="0" borderId="0" xfId="0" applyFont="1"/>
    <xf numFmtId="171" fontId="66" fillId="10" borderId="0" xfId="0" applyFont="1" applyFill="1"/>
    <xf numFmtId="171" fontId="90" fillId="10" borderId="0" xfId="0" applyFont="1" applyFill="1" applyAlignment="1">
      <alignment horizontal="left"/>
    </xf>
    <xf numFmtId="171" fontId="61" fillId="10" borderId="0" xfId="0" applyFont="1" applyFill="1"/>
    <xf numFmtId="171" fontId="77" fillId="0" borderId="0" xfId="0" applyFont="1"/>
    <xf numFmtId="172" fontId="100" fillId="0" borderId="0" xfId="0" applyNumberFormat="1" applyFont="1" applyAlignment="1">
      <alignment horizontal="left" wrapText="1"/>
    </xf>
    <xf numFmtId="172" fontId="100" fillId="0" borderId="0" xfId="0" applyNumberFormat="1" applyFont="1" applyAlignment="1">
      <alignment horizontal="left"/>
    </xf>
    <xf numFmtId="171" fontId="105" fillId="0" borderId="0" xfId="0" applyFont="1"/>
    <xf numFmtId="171" fontId="105" fillId="0" borderId="0" xfId="0" applyFont="1" applyAlignment="1">
      <alignment horizontal="left"/>
    </xf>
    <xf numFmtId="171" fontId="106" fillId="0" borderId="0" xfId="0" applyFont="1"/>
    <xf numFmtId="173" fontId="61" fillId="0" borderId="0" xfId="0" applyNumberFormat="1" applyFont="1" applyAlignment="1">
      <alignment horizontal="right"/>
    </xf>
    <xf numFmtId="171" fontId="63" fillId="0" borderId="0" xfId="0" applyFont="1" applyAlignment="1">
      <alignment wrapText="1"/>
    </xf>
    <xf numFmtId="171" fontId="90" fillId="0" borderId="0" xfId="0" applyFont="1" applyAlignment="1">
      <alignment horizontal="center"/>
    </xf>
    <xf numFmtId="171" fontId="100" fillId="10" borderId="0" xfId="0" applyFont="1" applyFill="1"/>
    <xf numFmtId="171" fontId="66" fillId="0" borderId="0" xfId="0" applyFont="1" applyAlignment="1">
      <alignment horizontal="fill"/>
    </xf>
    <xf numFmtId="171" fontId="98" fillId="10" borderId="0" xfId="0" applyFont="1" applyFill="1"/>
    <xf numFmtId="171" fontId="66" fillId="0" borderId="0" xfId="0" applyFont="1" applyAlignment="1">
      <alignment horizontal="right"/>
    </xf>
    <xf numFmtId="171" fontId="107" fillId="0" borderId="0" xfId="0" applyFont="1"/>
    <xf numFmtId="172" fontId="61" fillId="0" borderId="0" xfId="0" applyNumberFormat="1" applyFont="1"/>
    <xf numFmtId="176" fontId="61" fillId="0" borderId="0" xfId="0" quotePrefix="1" applyNumberFormat="1" applyFont="1"/>
    <xf numFmtId="171" fontId="107" fillId="0" borderId="0" xfId="0" applyFont="1" applyAlignment="1">
      <alignment horizontal="left"/>
    </xf>
    <xf numFmtId="171" fontId="78" fillId="10" borderId="0" xfId="0" applyFont="1" applyFill="1"/>
    <xf numFmtId="174" fontId="61" fillId="0" borderId="0" xfId="0" applyNumberFormat="1" applyFont="1" applyAlignment="1">
      <alignment horizontal="center" vertical="top" wrapText="1"/>
    </xf>
    <xf numFmtId="171" fontId="61" fillId="0" borderId="0" xfId="0" applyFont="1" applyAlignment="1">
      <alignment horizontal="justify" vertical="top" wrapText="1"/>
    </xf>
    <xf numFmtId="175" fontId="61" fillId="0" borderId="0" xfId="0" applyNumberFormat="1" applyFont="1" applyAlignment="1">
      <alignment horizontal="left"/>
    </xf>
    <xf numFmtId="177" fontId="108" fillId="4" borderId="0" xfId="0" applyNumberFormat="1" applyFont="1" applyFill="1"/>
    <xf numFmtId="171" fontId="108" fillId="4" borderId="0" xfId="0" applyFont="1" applyFill="1"/>
    <xf numFmtId="171" fontId="108" fillId="4" borderId="0" xfId="0" applyFont="1" applyFill="1" applyAlignment="1">
      <alignment horizontal="left"/>
    </xf>
    <xf numFmtId="177" fontId="61" fillId="0" borderId="0" xfId="0" applyNumberFormat="1" applyFont="1"/>
    <xf numFmtId="175" fontId="61" fillId="0" borderId="0" xfId="0" applyNumberFormat="1" applyFont="1" applyAlignment="1">
      <alignment horizontal="fill"/>
    </xf>
    <xf numFmtId="171" fontId="109" fillId="9" borderId="0" xfId="0" applyFont="1" applyFill="1"/>
    <xf numFmtId="171" fontId="110" fillId="9" borderId="0" xfId="0" applyFont="1" applyFill="1"/>
    <xf numFmtId="171" fontId="110" fillId="9" borderId="0" xfId="0" applyFont="1" applyFill="1" applyAlignment="1">
      <alignment horizontal="left"/>
    </xf>
    <xf numFmtId="173" fontId="108" fillId="4" borderId="0" xfId="0" applyNumberFormat="1" applyFont="1" applyFill="1"/>
    <xf numFmtId="171" fontId="108" fillId="4" borderId="0" xfId="0" applyFont="1" applyFill="1" applyAlignment="1">
      <alignment horizontal="center"/>
    </xf>
    <xf numFmtId="173" fontId="61" fillId="0" borderId="0" xfId="0" applyNumberFormat="1" applyFont="1" applyAlignment="1">
      <alignment horizontal="fill"/>
    </xf>
    <xf numFmtId="171" fontId="111" fillId="10" borderId="0" xfId="0" applyFont="1" applyFill="1"/>
    <xf numFmtId="171" fontId="112" fillId="0" borderId="0" xfId="0" applyFont="1"/>
    <xf numFmtId="171" fontId="66" fillId="11" borderId="0" xfId="0" applyFont="1" applyFill="1" applyAlignment="1">
      <alignment horizontal="left"/>
    </xf>
    <xf numFmtId="2" fontId="81" fillId="0" borderId="2" xfId="40" applyNumberFormat="1" applyFont="1" applyBorder="1" applyAlignment="1">
      <alignment vertical="top" wrapText="1"/>
    </xf>
    <xf numFmtId="171" fontId="113" fillId="10" borderId="0" xfId="0" applyFont="1" applyFill="1"/>
    <xf numFmtId="171" fontId="114" fillId="0" borderId="0" xfId="0" applyFont="1"/>
    <xf numFmtId="171" fontId="70" fillId="0" borderId="0" xfId="0" applyFont="1"/>
    <xf numFmtId="173" fontId="63" fillId="0" borderId="0" xfId="0" applyNumberFormat="1" applyFont="1" applyAlignment="1">
      <alignment horizontal="right"/>
    </xf>
    <xf numFmtId="171" fontId="64" fillId="0" borderId="0" xfId="0" applyFont="1" applyAlignment="1">
      <alignment horizontal="right"/>
    </xf>
    <xf numFmtId="171" fontId="108" fillId="6" borderId="0" xfId="0" applyFont="1" applyFill="1"/>
    <xf numFmtId="171" fontId="115" fillId="0" borderId="0" xfId="0" applyFont="1"/>
    <xf numFmtId="171" fontId="115" fillId="0" borderId="0" xfId="0" applyFont="1" applyAlignment="1">
      <alignment horizontal="center"/>
    </xf>
    <xf numFmtId="171" fontId="116" fillId="8" borderId="0" xfId="0" applyFont="1" applyFill="1"/>
    <xf numFmtId="171" fontId="115" fillId="8" borderId="0" xfId="0" applyFont="1" applyFill="1"/>
    <xf numFmtId="171" fontId="117" fillId="8" borderId="0" xfId="0" applyFont="1" applyFill="1" applyAlignment="1">
      <alignment horizontal="left"/>
    </xf>
    <xf numFmtId="171" fontId="117" fillId="8" borderId="0" xfId="0" applyFont="1" applyFill="1" applyAlignment="1">
      <alignment horizontal="right"/>
    </xf>
    <xf numFmtId="171" fontId="75" fillId="0" borderId="0" xfId="0" applyFont="1" applyAlignment="1">
      <alignment horizontal="right"/>
    </xf>
    <xf numFmtId="171" fontId="115" fillId="0" borderId="0" xfId="0" applyFont="1" applyAlignment="1">
      <alignment horizontal="left"/>
    </xf>
    <xf numFmtId="173" fontId="115" fillId="0" borderId="0" xfId="0" applyNumberFormat="1" applyFont="1"/>
    <xf numFmtId="171" fontId="115" fillId="0" borderId="0" xfId="0" applyFont="1" applyAlignment="1">
      <alignment horizontal="fill"/>
    </xf>
    <xf numFmtId="171" fontId="88" fillId="0" borderId="0" xfId="0" applyFont="1" applyAlignment="1">
      <alignment horizontal="left"/>
    </xf>
    <xf numFmtId="171" fontId="63" fillId="11" borderId="0" xfId="0" applyFont="1" applyFill="1" applyAlignment="1">
      <alignment horizontal="left"/>
    </xf>
    <xf numFmtId="171" fontId="65" fillId="11" borderId="0" xfId="0" applyFont="1" applyFill="1" applyAlignment="1">
      <alignment horizontal="left"/>
    </xf>
    <xf numFmtId="171" fontId="61" fillId="11" borderId="0" xfId="0" applyFont="1" applyFill="1"/>
    <xf numFmtId="171" fontId="70" fillId="0" borderId="0" xfId="0" applyFont="1" applyAlignment="1">
      <alignment horizontal="center"/>
    </xf>
    <xf numFmtId="171" fontId="61" fillId="0" borderId="6" xfId="0" applyFont="1" applyBorder="1"/>
    <xf numFmtId="171" fontId="93" fillId="0" borderId="0" xfId="0" applyFont="1"/>
    <xf numFmtId="171" fontId="119" fillId="0" borderId="0" xfId="0" applyFont="1" applyAlignment="1">
      <alignment horizontal="center"/>
    </xf>
    <xf numFmtId="171" fontId="61" fillId="0" borderId="8" xfId="0" applyFont="1" applyBorder="1"/>
    <xf numFmtId="176" fontId="93" fillId="0" borderId="0" xfId="0" applyNumberFormat="1" applyFont="1"/>
    <xf numFmtId="171" fontId="93" fillId="0" borderId="0" xfId="0" applyFont="1" applyAlignment="1">
      <alignment horizontal="left"/>
    </xf>
    <xf numFmtId="171" fontId="93" fillId="0" borderId="0" xfId="0" applyFont="1" applyAlignment="1">
      <alignment horizontal="center"/>
    </xf>
    <xf numFmtId="171" fontId="119" fillId="0" borderId="0" xfId="0" applyFont="1"/>
    <xf numFmtId="171" fontId="61" fillId="0" borderId="10" xfId="0" applyFont="1" applyBorder="1"/>
    <xf numFmtId="171" fontId="93" fillId="0" borderId="0" xfId="0" applyFont="1" applyAlignment="1">
      <alignment horizontal="right"/>
    </xf>
    <xf numFmtId="171" fontId="93" fillId="0" borderId="0" xfId="0" applyFont="1" applyAlignment="1">
      <alignment horizontal="fill"/>
    </xf>
    <xf numFmtId="172" fontId="120" fillId="0" borderId="4" xfId="0" applyNumberFormat="1" applyFont="1" applyBorder="1" applyAlignment="1">
      <alignment horizontal="center"/>
    </xf>
    <xf numFmtId="171" fontId="61" fillId="0" borderId="5" xfId="0" applyFont="1" applyBorder="1"/>
    <xf numFmtId="171" fontId="61" fillId="0" borderId="5" xfId="0" applyFont="1" applyBorder="1" applyAlignment="1">
      <alignment horizontal="left"/>
    </xf>
    <xf numFmtId="171" fontId="61" fillId="0" borderId="7" xfId="0" applyFont="1" applyBorder="1"/>
    <xf numFmtId="171" fontId="66" fillId="11" borderId="0" xfId="0" applyFont="1" applyFill="1"/>
    <xf numFmtId="171" fontId="61" fillId="0" borderId="9" xfId="0" applyFont="1" applyBorder="1"/>
    <xf numFmtId="171" fontId="61" fillId="0" borderId="3" xfId="0" applyFont="1" applyBorder="1"/>
    <xf numFmtId="171" fontId="61" fillId="0" borderId="3" xfId="0" applyFont="1" applyBorder="1" applyAlignment="1">
      <alignment horizontal="left"/>
    </xf>
    <xf numFmtId="171" fontId="61" fillId="0" borderId="3" xfId="0" applyFont="1" applyBorder="1" applyAlignment="1">
      <alignment horizontal="fill"/>
    </xf>
    <xf numFmtId="171" fontId="120" fillId="0" borderId="4" xfId="0" applyFont="1" applyBorder="1" applyAlignment="1">
      <alignment horizontal="center"/>
    </xf>
    <xf numFmtId="173" fontId="61" fillId="0" borderId="7" xfId="0" applyNumberFormat="1" applyFont="1" applyBorder="1"/>
    <xf numFmtId="173" fontId="61" fillId="0" borderId="9" xfId="0" applyNumberFormat="1" applyFont="1" applyBorder="1"/>
    <xf numFmtId="171" fontId="63" fillId="0" borderId="3" xfId="0" applyFont="1" applyBorder="1" applyAlignment="1">
      <alignment horizontal="center"/>
    </xf>
    <xf numFmtId="171" fontId="63" fillId="0" borderId="3" xfId="0" applyFont="1" applyBorder="1"/>
    <xf numFmtId="171" fontId="63" fillId="0" borderId="3" xfId="0" applyFont="1" applyBorder="1" applyAlignment="1">
      <alignment horizontal="left"/>
    </xf>
    <xf numFmtId="171" fontId="112" fillId="0" borderId="0" xfId="0" applyFont="1" applyAlignment="1">
      <alignment horizontal="left"/>
    </xf>
    <xf numFmtId="171" fontId="121" fillId="0" borderId="0" xfId="0" applyFont="1"/>
    <xf numFmtId="171" fontId="121" fillId="0" borderId="0" xfId="0" applyFont="1" applyAlignment="1">
      <alignment horizontal="left"/>
    </xf>
    <xf numFmtId="174" fontId="61" fillId="0" borderId="0" xfId="0" applyNumberFormat="1" applyFont="1"/>
    <xf numFmtId="171" fontId="61" fillId="0" borderId="0" xfId="0" applyFont="1" applyAlignment="1">
      <alignment vertical="center"/>
    </xf>
    <xf numFmtId="171" fontId="65" fillId="0" borderId="0" xfId="0" applyFont="1" applyAlignment="1">
      <alignment vertical="center"/>
    </xf>
    <xf numFmtId="171" fontId="71" fillId="11" borderId="0" xfId="0" applyFont="1" applyFill="1"/>
    <xf numFmtId="171" fontId="71" fillId="9" borderId="0" xfId="0" applyFont="1" applyFill="1"/>
    <xf numFmtId="171" fontId="98" fillId="10" borderId="0" xfId="0" applyFont="1" applyFill="1" applyAlignment="1">
      <alignment vertical="center"/>
    </xf>
    <xf numFmtId="171" fontId="98" fillId="10" borderId="0" xfId="0" applyFont="1" applyFill="1" applyAlignment="1">
      <alignment horizontal="left"/>
    </xf>
    <xf numFmtId="171" fontId="65" fillId="10" borderId="0" xfId="0" applyFont="1" applyFill="1" applyAlignment="1">
      <alignment horizontal="left"/>
    </xf>
    <xf numFmtId="171" fontId="113" fillId="0" borderId="0" xfId="0" applyFont="1"/>
    <xf numFmtId="171" fontId="122" fillId="0" borderId="0" xfId="0" applyFont="1"/>
    <xf numFmtId="171" fontId="63" fillId="0" borderId="11" xfId="0" applyFont="1" applyBorder="1"/>
    <xf numFmtId="171" fontId="61" fillId="0" borderId="12" xfId="0" applyFont="1" applyBorder="1" applyAlignment="1">
      <alignment horizontal="fill"/>
    </xf>
    <xf numFmtId="174" fontId="123" fillId="0" borderId="0" xfId="0" applyNumberFormat="1" applyFont="1" applyAlignment="1">
      <alignment horizontal="center"/>
    </xf>
    <xf numFmtId="171" fontId="123" fillId="0" borderId="0" xfId="0" applyFont="1"/>
    <xf numFmtId="171" fontId="123" fillId="0" borderId="0" xfId="0" applyFont="1" applyAlignment="1">
      <alignment horizontal="left"/>
    </xf>
    <xf numFmtId="171" fontId="123" fillId="0" borderId="0" xfId="0" applyFont="1" applyAlignment="1">
      <alignment horizontal="fill"/>
    </xf>
    <xf numFmtId="171" fontId="70" fillId="0" borderId="0" xfId="0" applyFont="1" applyAlignment="1">
      <alignment horizontal="left"/>
    </xf>
    <xf numFmtId="173" fontId="123" fillId="0" borderId="0" xfId="0" applyNumberFormat="1" applyFont="1"/>
    <xf numFmtId="173" fontId="70" fillId="0" borderId="0" xfId="0" applyNumberFormat="1" applyFont="1"/>
    <xf numFmtId="175" fontId="123" fillId="0" borderId="0" xfId="0" applyNumberFormat="1" applyFont="1" applyAlignment="1">
      <alignment horizontal="left"/>
    </xf>
    <xf numFmtId="177" fontId="123" fillId="0" borderId="0" xfId="0" applyNumberFormat="1" applyFont="1"/>
    <xf numFmtId="171" fontId="123" fillId="0" borderId="0" xfId="0" applyFont="1" applyAlignment="1">
      <alignment horizontal="center"/>
    </xf>
    <xf numFmtId="173" fontId="61" fillId="0" borderId="0" xfId="0" applyNumberFormat="1" applyFont="1" applyAlignment="1">
      <alignment wrapText="1"/>
    </xf>
    <xf numFmtId="171" fontId="61" fillId="0" borderId="0" xfId="0" applyFont="1" applyAlignment="1">
      <alignment horizontal="fill" wrapText="1"/>
    </xf>
    <xf numFmtId="171" fontId="98" fillId="11" borderId="0" xfId="0" applyFont="1" applyFill="1"/>
    <xf numFmtId="171" fontId="77" fillId="10" borderId="0" xfId="0" applyFont="1" applyFill="1"/>
    <xf numFmtId="171" fontId="74" fillId="0" borderId="0" xfId="0" applyFont="1" applyAlignment="1">
      <alignment horizontal="right" vertical="center"/>
    </xf>
    <xf numFmtId="2" fontId="93" fillId="0" borderId="2" xfId="39" applyNumberFormat="1" applyFont="1" applyBorder="1" applyAlignment="1">
      <alignment vertical="top" wrapText="1"/>
    </xf>
    <xf numFmtId="171" fontId="65" fillId="10" borderId="0" xfId="0" applyFont="1" applyFill="1"/>
    <xf numFmtId="171" fontId="63" fillId="0" borderId="0" xfId="0" applyFont="1" applyAlignment="1">
      <alignment vertical="top" wrapText="1"/>
    </xf>
    <xf numFmtId="171" fontId="63" fillId="11" borderId="0" xfId="0" applyFont="1" applyFill="1" applyAlignment="1">
      <alignment wrapText="1"/>
    </xf>
    <xf numFmtId="173" fontId="64" fillId="0" borderId="0" xfId="0" applyNumberFormat="1" applyFont="1"/>
    <xf numFmtId="171" fontId="61" fillId="10" borderId="0" xfId="0" quotePrefix="1" applyFont="1" applyFill="1"/>
    <xf numFmtId="171" fontId="61" fillId="10" borderId="0" xfId="0" applyFont="1" applyFill="1" applyAlignment="1">
      <alignment wrapText="1"/>
    </xf>
    <xf numFmtId="171" fontId="61" fillId="0" borderId="0" xfId="0" quotePrefix="1" applyFont="1" applyAlignment="1">
      <alignment horizontal="fill"/>
    </xf>
    <xf numFmtId="171" fontId="61" fillId="10" borderId="0" xfId="0" applyFont="1" applyFill="1" applyAlignment="1">
      <alignment horizontal="left"/>
    </xf>
    <xf numFmtId="171" fontId="63" fillId="0" borderId="0" xfId="0" quotePrefix="1" applyFont="1"/>
    <xf numFmtId="174" fontId="63" fillId="0" borderId="0" xfId="0" applyNumberFormat="1" applyFont="1"/>
    <xf numFmtId="176" fontId="63" fillId="0" borderId="0" xfId="0" applyNumberFormat="1" applyFont="1"/>
    <xf numFmtId="176" fontId="63" fillId="0" borderId="0" xfId="0" applyNumberFormat="1" applyFont="1" applyAlignment="1">
      <alignment horizontal="right"/>
    </xf>
    <xf numFmtId="174" fontId="92" fillId="0" borderId="0" xfId="0" applyNumberFormat="1" applyFont="1" applyAlignment="1">
      <alignment horizontal="center"/>
    </xf>
    <xf numFmtId="171" fontId="92" fillId="0" borderId="0" xfId="0" applyFont="1"/>
    <xf numFmtId="171" fontId="92" fillId="0" borderId="0" xfId="0" applyFont="1" applyAlignment="1">
      <alignment horizontal="fill"/>
    </xf>
    <xf numFmtId="171" fontId="78" fillId="8" borderId="0" xfId="0" applyFont="1" applyFill="1"/>
    <xf numFmtId="175" fontId="92" fillId="0" borderId="0" xfId="0" applyNumberFormat="1" applyFont="1"/>
    <xf numFmtId="175" fontId="92" fillId="0" borderId="0" xfId="0" applyNumberFormat="1" applyFont="1" applyAlignment="1">
      <alignment horizontal="left"/>
    </xf>
    <xf numFmtId="177" fontId="92" fillId="0" borderId="0" xfId="0" applyNumberFormat="1" applyFont="1"/>
    <xf numFmtId="171" fontId="124" fillId="10" borderId="0" xfId="0" applyFont="1" applyFill="1"/>
    <xf numFmtId="171" fontId="92" fillId="10" borderId="0" xfId="0" applyFont="1" applyFill="1" applyAlignment="1">
      <alignment horizontal="left"/>
    </xf>
    <xf numFmtId="171" fontId="92" fillId="0" borderId="0" xfId="0" applyFont="1" applyAlignment="1">
      <alignment horizontal="center"/>
    </xf>
    <xf numFmtId="171" fontId="74" fillId="11" borderId="0" xfId="0" applyFont="1" applyFill="1"/>
    <xf numFmtId="171" fontId="89" fillId="0" borderId="0" xfId="0" applyFont="1"/>
    <xf numFmtId="171" fontId="89" fillId="0" borderId="0" xfId="0" applyFont="1" applyAlignment="1">
      <alignment horizontal="fill"/>
    </xf>
    <xf numFmtId="171" fontId="89" fillId="0" borderId="0" xfId="0" applyFont="1" applyAlignment="1">
      <alignment horizontal="center"/>
    </xf>
    <xf numFmtId="2" fontId="61" fillId="0" borderId="0" xfId="0" applyNumberFormat="1" applyFont="1"/>
    <xf numFmtId="171" fontId="81" fillId="0" borderId="0" xfId="0" applyFont="1" applyAlignment="1">
      <alignment horizontal="right"/>
    </xf>
    <xf numFmtId="2" fontId="63" fillId="0" borderId="0" xfId="0" applyNumberFormat="1" applyFont="1"/>
    <xf numFmtId="171" fontId="61" fillId="0" borderId="4" xfId="0" applyFont="1" applyBorder="1"/>
    <xf numFmtId="174" fontId="61" fillId="0" borderId="7" xfId="0" applyNumberFormat="1" applyFont="1" applyBorder="1" applyAlignment="1">
      <alignment horizontal="center"/>
    </xf>
    <xf numFmtId="171" fontId="66" fillId="7" borderId="0" xfId="0" applyFont="1" applyFill="1"/>
    <xf numFmtId="175" fontId="61" fillId="0" borderId="0" xfId="0" applyNumberFormat="1" applyFont="1" applyAlignment="1">
      <alignment horizontal="center"/>
    </xf>
    <xf numFmtId="171" fontId="61" fillId="0" borderId="3" xfId="0" applyFont="1" applyBorder="1" applyAlignment="1">
      <alignment horizontal="center"/>
    </xf>
    <xf numFmtId="171" fontId="123" fillId="0" borderId="3" xfId="0" applyFont="1" applyBorder="1" applyAlignment="1">
      <alignment horizontal="fill"/>
    </xf>
    <xf numFmtId="181" fontId="63" fillId="0" borderId="0" xfId="0" applyNumberFormat="1" applyFont="1"/>
    <xf numFmtId="175" fontId="63" fillId="0" borderId="0" xfId="0" applyNumberFormat="1" applyFont="1"/>
    <xf numFmtId="171" fontId="61" fillId="10" borderId="0" xfId="0" applyFont="1" applyFill="1" applyAlignment="1">
      <alignment horizontal="left" wrapText="1"/>
    </xf>
    <xf numFmtId="171" fontId="77" fillId="11" borderId="0" xfId="0" applyFont="1" applyFill="1"/>
    <xf numFmtId="171" fontId="125" fillId="0" borderId="0" xfId="0" applyFont="1" applyAlignment="1">
      <alignment horizontal="left"/>
    </xf>
    <xf numFmtId="171" fontId="122" fillId="0" borderId="0" xfId="0" applyFont="1" applyAlignment="1">
      <alignment horizontal="left"/>
    </xf>
    <xf numFmtId="175" fontId="122" fillId="0" borderId="0" xfId="0" applyNumberFormat="1" applyFont="1"/>
    <xf numFmtId="171" fontId="122" fillId="0" borderId="0" xfId="0" applyFont="1" applyAlignment="1">
      <alignment horizontal="center"/>
    </xf>
    <xf numFmtId="171" fontId="126" fillId="10" borderId="0" xfId="0" applyFont="1" applyFill="1"/>
    <xf numFmtId="175" fontId="122" fillId="0" borderId="0" xfId="0" applyNumberFormat="1" applyFont="1" applyAlignment="1">
      <alignment horizontal="left"/>
    </xf>
    <xf numFmtId="175" fontId="122" fillId="0" borderId="0" xfId="0" applyNumberFormat="1" applyFont="1" applyAlignment="1">
      <alignment horizontal="center"/>
    </xf>
    <xf numFmtId="171" fontId="127" fillId="0" borderId="0" xfId="0" applyFont="1"/>
    <xf numFmtId="171" fontId="128" fillId="0" borderId="0" xfId="0" applyFont="1"/>
    <xf numFmtId="171" fontId="92" fillId="0" borderId="0" xfId="0" applyFont="1" applyAlignment="1">
      <alignment horizontal="right"/>
    </xf>
    <xf numFmtId="171" fontId="129" fillId="0" borderId="0" xfId="0" applyFont="1"/>
    <xf numFmtId="171" fontId="130" fillId="0" borderId="0" xfId="0" applyFont="1"/>
    <xf numFmtId="175" fontId="61" fillId="0" borderId="0" xfId="0" applyNumberFormat="1" applyFont="1" applyAlignment="1">
      <alignment horizontal="right"/>
    </xf>
    <xf numFmtId="175" fontId="63" fillId="0" borderId="0" xfId="0" applyNumberFormat="1" applyFont="1" applyAlignment="1">
      <alignment horizontal="right"/>
    </xf>
    <xf numFmtId="176" fontId="61" fillId="0" borderId="0" xfId="0" applyNumberFormat="1" applyFont="1" applyAlignment="1">
      <alignment horizontal="right"/>
    </xf>
    <xf numFmtId="171" fontId="61" fillId="0" borderId="0" xfId="0" quotePrefix="1" applyFont="1" applyAlignment="1">
      <alignment horizontal="left"/>
    </xf>
    <xf numFmtId="177" fontId="61" fillId="0" borderId="0" xfId="0" applyNumberFormat="1" applyFont="1" applyAlignment="1">
      <alignment horizontal="right"/>
    </xf>
    <xf numFmtId="173" fontId="63" fillId="0" borderId="0" xfId="0" applyNumberFormat="1" applyFont="1"/>
    <xf numFmtId="171" fontId="112" fillId="10" borderId="0" xfId="0" applyFont="1" applyFill="1"/>
    <xf numFmtId="171" fontId="91" fillId="10" borderId="0" xfId="0" applyFont="1" applyFill="1"/>
    <xf numFmtId="175" fontId="63" fillId="0" borderId="0" xfId="0" applyNumberFormat="1" applyFont="1" applyAlignment="1">
      <alignment vertical="top"/>
    </xf>
    <xf numFmtId="171" fontId="63" fillId="10" borderId="0" xfId="0" applyFont="1" applyFill="1" applyAlignment="1">
      <alignment vertical="top" wrapText="1"/>
    </xf>
    <xf numFmtId="171" fontId="91" fillId="0" borderId="0" xfId="0" applyFont="1" applyAlignment="1">
      <alignment vertical="top"/>
    </xf>
    <xf numFmtId="171" fontId="63" fillId="10" borderId="0" xfId="0" applyFont="1" applyFill="1"/>
    <xf numFmtId="171" fontId="131" fillId="0" borderId="0" xfId="0" applyFont="1"/>
    <xf numFmtId="171" fontId="112" fillId="0" borderId="0" xfId="0" applyFont="1" applyAlignment="1">
      <alignment horizontal="right"/>
    </xf>
    <xf numFmtId="171" fontId="132" fillId="11" borderId="0" xfId="0" applyFont="1" applyFill="1" applyAlignment="1">
      <alignment horizontal="right"/>
    </xf>
    <xf numFmtId="171" fontId="132" fillId="0" borderId="0" xfId="0" applyFont="1" applyAlignment="1">
      <alignment horizontal="right"/>
    </xf>
    <xf numFmtId="172" fontId="63" fillId="0" borderId="0" xfId="0" applyNumberFormat="1" applyFont="1" applyAlignment="1">
      <alignment vertical="center"/>
    </xf>
    <xf numFmtId="2" fontId="93" fillId="0" borderId="0" xfId="39" applyNumberFormat="1" applyFont="1" applyAlignment="1">
      <alignment vertical="top" wrapText="1"/>
    </xf>
    <xf numFmtId="171" fontId="77" fillId="5" borderId="0" xfId="0" applyFont="1" applyFill="1"/>
    <xf numFmtId="171" fontId="134" fillId="0" borderId="0" xfId="0" applyFont="1"/>
    <xf numFmtId="171" fontId="135" fillId="0" borderId="0" xfId="0" applyFont="1"/>
    <xf numFmtId="173" fontId="135" fillId="0" borderId="0" xfId="0" applyNumberFormat="1" applyFont="1"/>
    <xf numFmtId="171" fontId="135" fillId="0" borderId="0" xfId="0" applyFont="1" applyAlignment="1">
      <alignment horizontal="center"/>
    </xf>
    <xf numFmtId="171" fontId="136" fillId="10" borderId="0" xfId="0" applyFont="1" applyFill="1"/>
    <xf numFmtId="171" fontId="98" fillId="0" borderId="0" xfId="0" applyFont="1" applyAlignment="1">
      <alignment vertical="center"/>
    </xf>
    <xf numFmtId="171" fontId="69" fillId="0" borderId="0" xfId="0" applyFont="1"/>
    <xf numFmtId="171" fontId="63" fillId="0" borderId="0" xfId="0" applyFont="1" applyAlignment="1">
      <alignment horizontal="center" vertical="top" wrapText="1"/>
    </xf>
    <xf numFmtId="171" fontId="65" fillId="0" borderId="0" xfId="0" applyFont="1" applyAlignment="1">
      <alignment vertical="top"/>
    </xf>
    <xf numFmtId="171" fontId="137" fillId="0" borderId="0" xfId="0" applyFont="1"/>
    <xf numFmtId="171" fontId="93" fillId="0" borderId="0" xfId="0" applyFont="1" applyAlignment="1">
      <alignment horizontal="left" wrapText="1"/>
    </xf>
    <xf numFmtId="171" fontId="138" fillId="0" borderId="0" xfId="0" applyFont="1"/>
    <xf numFmtId="176" fontId="93" fillId="0" borderId="0" xfId="0" applyNumberFormat="1" applyFont="1" applyAlignment="1">
      <alignment horizontal="right"/>
    </xf>
    <xf numFmtId="171" fontId="63" fillId="0" borderId="0" xfId="0" applyFont="1" applyAlignment="1">
      <alignment horizontal="center" wrapText="1"/>
    </xf>
    <xf numFmtId="171" fontId="139" fillId="0" borderId="0" xfId="0" applyFont="1"/>
    <xf numFmtId="171" fontId="140" fillId="0" borderId="0" xfId="0" applyFont="1"/>
    <xf numFmtId="171" fontId="141" fillId="0" borderId="0" xfId="0" applyFont="1"/>
    <xf numFmtId="0" fontId="61" fillId="0" borderId="0" xfId="0" applyNumberFormat="1" applyFont="1"/>
    <xf numFmtId="0" fontId="61" fillId="0" borderId="0" xfId="0" applyNumberFormat="1" applyFont="1" applyAlignment="1">
      <alignment horizontal="center"/>
    </xf>
    <xf numFmtId="176" fontId="137" fillId="9" borderId="0" xfId="0" applyNumberFormat="1" applyFont="1" applyFill="1"/>
    <xf numFmtId="0" fontId="142" fillId="7" borderId="0" xfId="0" applyNumberFormat="1" applyFont="1" applyFill="1" applyAlignment="1">
      <alignment vertical="top" wrapText="1"/>
    </xf>
    <xf numFmtId="0" fontId="142" fillId="7" borderId="0" xfId="0" applyNumberFormat="1" applyFont="1" applyFill="1" applyAlignment="1">
      <alignment horizontal="center" wrapText="1"/>
    </xf>
    <xf numFmtId="0" fontId="144" fillId="0" borderId="0" xfId="0" applyNumberFormat="1" applyFont="1"/>
    <xf numFmtId="2" fontId="144" fillId="0" borderId="0" xfId="0" applyNumberFormat="1" applyFont="1"/>
    <xf numFmtId="2" fontId="146" fillId="0" borderId="0" xfId="0" applyNumberFormat="1" applyFont="1"/>
    <xf numFmtId="171" fontId="122" fillId="0" borderId="0" xfId="0" applyFont="1" applyAlignment="1">
      <alignment vertical="center"/>
    </xf>
    <xf numFmtId="0" fontId="61" fillId="0" borderId="0" xfId="0" applyNumberFormat="1" applyFont="1" applyAlignment="1">
      <alignment vertical="center"/>
    </xf>
    <xf numFmtId="171" fontId="122" fillId="0" borderId="0" xfId="0" applyFont="1" applyAlignment="1">
      <alignment horizontal="left" vertical="center"/>
    </xf>
    <xf numFmtId="171" fontId="66" fillId="0" borderId="0" xfId="0" applyFont="1" applyAlignment="1">
      <alignment vertical="center"/>
    </xf>
    <xf numFmtId="0" fontId="61" fillId="0" borderId="0" xfId="0" applyNumberFormat="1" applyFont="1" applyAlignment="1">
      <alignment wrapText="1"/>
    </xf>
    <xf numFmtId="0" fontId="144" fillId="0" borderId="0" xfId="0" applyNumberFormat="1" applyFont="1" applyAlignment="1">
      <alignment horizontal="right"/>
    </xf>
    <xf numFmtId="0" fontId="147" fillId="0" borderId="0" xfId="0" applyNumberFormat="1" applyFont="1"/>
    <xf numFmtId="171" fontId="128" fillId="0" borderId="0" xfId="0" applyFont="1" applyAlignment="1">
      <alignment horizontal="left"/>
    </xf>
    <xf numFmtId="171" fontId="148" fillId="0" borderId="0" xfId="0" applyFont="1"/>
    <xf numFmtId="171" fontId="149" fillId="0" borderId="0" xfId="0" applyFont="1"/>
    <xf numFmtId="171" fontId="65" fillId="0" borderId="0" xfId="0" applyFont="1" applyAlignment="1">
      <alignment vertical="top" wrapText="1"/>
    </xf>
    <xf numFmtId="173" fontId="122" fillId="0" borderId="0" xfId="0" applyNumberFormat="1" applyFont="1"/>
    <xf numFmtId="171" fontId="122" fillId="0" borderId="0" xfId="0" applyFont="1" applyAlignment="1">
      <alignment horizontal="right"/>
    </xf>
    <xf numFmtId="171" fontId="144" fillId="0" borderId="0" xfId="0" applyFont="1"/>
    <xf numFmtId="171" fontId="144" fillId="0" borderId="0" xfId="0" applyFont="1" applyAlignment="1">
      <alignment horizontal="left"/>
    </xf>
    <xf numFmtId="0" fontId="144" fillId="0" borderId="0" xfId="0" applyNumberFormat="1" applyFont="1" applyAlignment="1">
      <alignment horizontal="center"/>
    </xf>
    <xf numFmtId="171" fontId="137" fillId="9" borderId="0" xfId="0" applyFont="1" applyFill="1"/>
    <xf numFmtId="171" fontId="137" fillId="9" borderId="0" xfId="0" applyFont="1" applyFill="1" applyAlignment="1">
      <alignment horizontal="left"/>
    </xf>
    <xf numFmtId="171" fontId="150" fillId="9" borderId="0" xfId="0" applyFont="1" applyFill="1"/>
    <xf numFmtId="171" fontId="137" fillId="9" borderId="0" xfId="0" applyFont="1" applyFill="1" applyAlignment="1">
      <alignment horizontal="right"/>
    </xf>
    <xf numFmtId="171" fontId="71" fillId="0" borderId="0" xfId="0" applyFont="1"/>
    <xf numFmtId="176" fontId="144" fillId="0" borderId="0" xfId="0" applyNumberFormat="1" applyFont="1" applyAlignment="1">
      <alignment vertical="top"/>
    </xf>
    <xf numFmtId="176" fontId="76" fillId="0" borderId="0" xfId="0" applyNumberFormat="1" applyFont="1" applyAlignment="1">
      <alignment horizontal="right"/>
    </xf>
    <xf numFmtId="176" fontId="61" fillId="0" borderId="0" xfId="0" applyNumberFormat="1" applyFont="1" applyAlignment="1">
      <alignment horizontal="center"/>
    </xf>
    <xf numFmtId="171" fontId="70" fillId="0" borderId="0" xfId="0" applyFont="1" applyAlignment="1">
      <alignment horizontal="left" vertical="center" wrapText="1"/>
    </xf>
    <xf numFmtId="171" fontId="123" fillId="0" borderId="0" xfId="0" applyFont="1" applyAlignment="1">
      <alignment horizontal="left" vertical="center" wrapText="1"/>
    </xf>
    <xf numFmtId="171" fontId="88" fillId="0" borderId="0" xfId="0" applyFont="1" applyAlignment="1">
      <alignment horizontal="center"/>
    </xf>
    <xf numFmtId="171" fontId="69" fillId="0" borderId="0" xfId="0" applyFont="1" applyAlignment="1">
      <alignment horizontal="left" wrapText="1"/>
    </xf>
    <xf numFmtId="172" fontId="61" fillId="0" borderId="0" xfId="0" applyNumberFormat="1" applyFont="1" applyAlignment="1">
      <alignment horizontal="left"/>
    </xf>
    <xf numFmtId="172" fontId="61" fillId="0" borderId="0" xfId="0" applyNumberFormat="1" applyFont="1" applyAlignment="1">
      <alignment horizontal="center" vertical="top"/>
    </xf>
    <xf numFmtId="171" fontId="61" fillId="0" borderId="0" xfId="0" applyFont="1" applyAlignment="1">
      <alignment horizontal="center" vertical="center"/>
    </xf>
    <xf numFmtId="171" fontId="70" fillId="0" borderId="0" xfId="0" applyFont="1" applyAlignment="1">
      <alignment horizontal="center" wrapText="1"/>
    </xf>
    <xf numFmtId="2" fontId="70" fillId="0" borderId="0" xfId="0" applyNumberFormat="1" applyFont="1" applyAlignment="1">
      <alignment horizontal="center" vertical="center" wrapText="1"/>
    </xf>
    <xf numFmtId="171" fontId="123" fillId="0" borderId="0" xfId="0" applyFont="1" applyAlignment="1">
      <alignment horizontal="left" vertical="justify" wrapText="1"/>
    </xf>
    <xf numFmtId="2" fontId="123" fillId="0" borderId="0" xfId="0" applyNumberFormat="1" applyFont="1"/>
    <xf numFmtId="178" fontId="70" fillId="0" borderId="0" xfId="0" applyNumberFormat="1" applyFont="1" applyAlignment="1">
      <alignment horizontal="center" vertical="center"/>
    </xf>
    <xf numFmtId="2" fontId="70" fillId="0" borderId="0" xfId="0" applyNumberFormat="1" applyFont="1" applyAlignment="1">
      <alignment horizontal="center" vertical="center"/>
    </xf>
    <xf numFmtId="171" fontId="70" fillId="0" borderId="0" xfId="0" applyFont="1" applyAlignment="1">
      <alignment horizontal="left" vertical="justify" wrapText="1"/>
    </xf>
    <xf numFmtId="171" fontId="123" fillId="0" borderId="0" xfId="0" applyFont="1" applyAlignment="1">
      <alignment horizontal="justify" vertical="justify" wrapText="1"/>
    </xf>
    <xf numFmtId="2" fontId="123" fillId="0" borderId="0" xfId="0" applyNumberFormat="1" applyFont="1" applyAlignment="1">
      <alignment horizontal="center" vertical="center"/>
    </xf>
    <xf numFmtId="171" fontId="123" fillId="0" borderId="0" xfId="0" applyFont="1" applyAlignment="1">
      <alignment horizontal="center" vertical="center"/>
    </xf>
    <xf numFmtId="171" fontId="123" fillId="0" borderId="0" xfId="0" applyFont="1" applyAlignment="1">
      <alignment horizontal="left" vertical="center"/>
    </xf>
    <xf numFmtId="2" fontId="62" fillId="0" borderId="0" xfId="0" applyNumberFormat="1" applyFont="1"/>
    <xf numFmtId="2" fontId="70" fillId="0" borderId="0" xfId="0" applyNumberFormat="1" applyFont="1"/>
    <xf numFmtId="171" fontId="70" fillId="0" borderId="0" xfId="0" applyFont="1" applyAlignment="1">
      <alignment horizontal="center" vertical="center"/>
    </xf>
    <xf numFmtId="171" fontId="70" fillId="0" borderId="0" xfId="0" applyFont="1" applyAlignment="1">
      <alignment horizontal="justify" vertical="justify" wrapText="1"/>
    </xf>
    <xf numFmtId="2" fontId="152" fillId="0" borderId="0" xfId="0" applyNumberFormat="1" applyFont="1"/>
    <xf numFmtId="171" fontId="123" fillId="0" borderId="0" xfId="0" applyFont="1" applyAlignment="1">
      <alignment horizontal="right"/>
    </xf>
    <xf numFmtId="2" fontId="123" fillId="0" borderId="0" xfId="0" quotePrefix="1" applyNumberFormat="1" applyFont="1"/>
    <xf numFmtId="2" fontId="123" fillId="0" borderId="0" xfId="0" applyNumberFormat="1" applyFont="1" applyAlignment="1">
      <alignment horizontal="right" vertical="center"/>
    </xf>
    <xf numFmtId="171" fontId="70" fillId="0" borderId="0" xfId="0" applyFont="1" applyAlignment="1">
      <alignment wrapText="1"/>
    </xf>
    <xf numFmtId="171" fontId="123" fillId="0" borderId="0" xfId="0" applyFont="1" applyAlignment="1">
      <alignment wrapText="1"/>
    </xf>
    <xf numFmtId="171" fontId="123" fillId="0" borderId="0" xfId="0" applyFont="1" applyAlignment="1">
      <alignment horizontal="right" wrapText="1"/>
    </xf>
    <xf numFmtId="171" fontId="70" fillId="0" borderId="0" xfId="0" applyFont="1" applyAlignment="1">
      <alignment horizontal="left" wrapText="1"/>
    </xf>
    <xf numFmtId="171" fontId="141" fillId="0" borderId="0" xfId="0" applyFont="1" applyAlignment="1">
      <alignment horizontal="center" vertical="center"/>
    </xf>
    <xf numFmtId="174" fontId="93" fillId="0" borderId="0" xfId="0" applyNumberFormat="1" applyFont="1" applyAlignment="1">
      <alignment horizontal="center"/>
    </xf>
    <xf numFmtId="171" fontId="115" fillId="0" borderId="0" xfId="0" applyFont="1" applyAlignment="1">
      <alignment horizontal="right" vertical="top"/>
    </xf>
    <xf numFmtId="171" fontId="89" fillId="0" borderId="0" xfId="0" applyFont="1" applyAlignment="1">
      <alignment horizontal="justify" vertical="top" wrapText="1"/>
    </xf>
    <xf numFmtId="172" fontId="123" fillId="0" borderId="0" xfId="0" applyNumberFormat="1" applyFont="1" applyAlignment="1">
      <alignment vertical="top"/>
    </xf>
    <xf numFmtId="174" fontId="123" fillId="0" borderId="0" xfId="0" applyNumberFormat="1" applyFont="1"/>
    <xf numFmtId="171" fontId="61" fillId="0" borderId="0" xfId="0" applyFont="1" applyAlignment="1">
      <alignment horizontal="fill" vertical="top"/>
    </xf>
    <xf numFmtId="171" fontId="61" fillId="0" borderId="0" xfId="0" applyFont="1" applyAlignment="1">
      <alignment horizontal="fill" vertical="top" wrapText="1"/>
    </xf>
    <xf numFmtId="174" fontId="101" fillId="0" borderId="0" xfId="0" applyNumberFormat="1" applyFont="1" applyAlignment="1">
      <alignment vertical="top"/>
    </xf>
    <xf numFmtId="171" fontId="90" fillId="0" borderId="0" xfId="0" applyFont="1" applyAlignment="1">
      <alignment wrapText="1"/>
    </xf>
    <xf numFmtId="171" fontId="90" fillId="0" borderId="0" xfId="0" quotePrefix="1" applyFont="1" applyAlignment="1">
      <alignment vertical="top"/>
    </xf>
    <xf numFmtId="171" fontId="90" fillId="0" borderId="0" xfId="0" quotePrefix="1" applyFont="1"/>
    <xf numFmtId="174" fontId="63" fillId="0" borderId="0" xfId="0" applyNumberFormat="1" applyFont="1" applyAlignment="1">
      <alignment vertical="top"/>
    </xf>
    <xf numFmtId="172" fontId="63" fillId="0" borderId="0" xfId="0" applyNumberFormat="1" applyFont="1"/>
    <xf numFmtId="172" fontId="61" fillId="0" borderId="0" xfId="0" applyNumberFormat="1" applyFont="1" applyAlignment="1">
      <alignment vertical="top"/>
    </xf>
    <xf numFmtId="174" fontId="61" fillId="0" borderId="0" xfId="0" applyNumberFormat="1" applyFont="1" applyAlignment="1">
      <alignment vertical="top"/>
    </xf>
    <xf numFmtId="172" fontId="123" fillId="0" borderId="0" xfId="0" applyNumberFormat="1" applyFont="1"/>
    <xf numFmtId="171" fontId="77" fillId="0" borderId="0" xfId="0" applyFont="1" applyAlignment="1">
      <alignment horizontal="left" vertical="top"/>
    </xf>
    <xf numFmtId="171" fontId="61" fillId="9" borderId="0" xfId="0" applyFont="1" applyFill="1" applyAlignment="1">
      <alignment wrapText="1"/>
    </xf>
    <xf numFmtId="171" fontId="112" fillId="12" borderId="0" xfId="0" applyFont="1" applyFill="1" applyAlignment="1">
      <alignment horizontal="left" vertical="top"/>
    </xf>
    <xf numFmtId="171" fontId="65" fillId="8" borderId="0" xfId="0" applyFont="1" applyFill="1" applyAlignment="1">
      <alignment horizontal="left" vertical="top"/>
    </xf>
    <xf numFmtId="171" fontId="65" fillId="13" borderId="0" xfId="0" applyFont="1" applyFill="1" applyAlignment="1">
      <alignment horizontal="left" vertical="top"/>
    </xf>
    <xf numFmtId="171" fontId="122" fillId="0" borderId="0" xfId="0" applyFont="1" applyAlignment="1">
      <alignment horizontal="left" vertical="top"/>
    </xf>
    <xf numFmtId="171" fontId="70" fillId="0" borderId="0" xfId="0" quotePrefix="1" applyFont="1" applyAlignment="1">
      <alignment horizontal="right"/>
    </xf>
    <xf numFmtId="171" fontId="123" fillId="0" borderId="0" xfId="0" applyFont="1" applyAlignment="1">
      <alignment horizontal="right" indent="2"/>
    </xf>
    <xf numFmtId="171" fontId="153" fillId="0" borderId="0" xfId="0" applyFont="1"/>
    <xf numFmtId="172" fontId="123" fillId="0" borderId="0" xfId="0" applyNumberFormat="1" applyFont="1" applyAlignment="1">
      <alignment horizontal="center"/>
    </xf>
    <xf numFmtId="171" fontId="123" fillId="9" borderId="0" xfId="0" applyFont="1" applyFill="1" applyAlignment="1">
      <alignment horizontal="left"/>
    </xf>
    <xf numFmtId="171" fontId="123" fillId="9" borderId="0" xfId="0" applyFont="1" applyFill="1" applyAlignment="1">
      <alignment horizontal="center"/>
    </xf>
    <xf numFmtId="171" fontId="123" fillId="9" borderId="0" xfId="0" applyFont="1" applyFill="1"/>
    <xf numFmtId="171" fontId="135" fillId="9" borderId="0" xfId="0" applyFont="1" applyFill="1" applyAlignment="1">
      <alignment horizontal="right"/>
    </xf>
    <xf numFmtId="171" fontId="135" fillId="0" borderId="0" xfId="0" applyFont="1" applyAlignment="1">
      <alignment horizontal="right"/>
    </xf>
    <xf numFmtId="171" fontId="123" fillId="0" borderId="0" xfId="0" quotePrefix="1" applyFont="1"/>
    <xf numFmtId="173" fontId="61" fillId="0" borderId="0" xfId="0" applyNumberFormat="1" applyFont="1" applyAlignment="1">
      <alignment horizontal="center" wrapText="1"/>
    </xf>
    <xf numFmtId="172" fontId="61" fillId="0" borderId="4" xfId="0" applyNumberFormat="1" applyFont="1" applyBorder="1" applyAlignment="1">
      <alignment horizontal="center"/>
    </xf>
    <xf numFmtId="171" fontId="26" fillId="0" borderId="0" xfId="0" applyNumberFormat="1" applyFont="1" applyAlignment="1" applyProtection="1">
      <alignment horizontal="center" vertical="center"/>
    </xf>
    <xf numFmtId="171" fontId="26" fillId="0" borderId="0" xfId="0" applyFont="1" applyAlignment="1">
      <alignment vertical="center"/>
    </xf>
    <xf numFmtId="171" fontId="27" fillId="0" borderId="0" xfId="0" applyFont="1"/>
    <xf numFmtId="171" fontId="26" fillId="0" borderId="0" xfId="0" applyFont="1" applyAlignment="1">
      <alignment horizontal="center" vertical="center"/>
    </xf>
    <xf numFmtId="0" fontId="123" fillId="0" borderId="0" xfId="0" applyNumberFormat="1" applyFont="1" applyAlignment="1">
      <alignment vertical="center" wrapText="1"/>
    </xf>
    <xf numFmtId="171" fontId="123" fillId="0" borderId="0" xfId="0" applyFont="1" applyAlignment="1">
      <alignment vertical="center"/>
    </xf>
    <xf numFmtId="171" fontId="123" fillId="0" borderId="0" xfId="0" applyFont="1" applyAlignment="1">
      <alignment horizontal="fill" vertical="center"/>
    </xf>
    <xf numFmtId="0" fontId="123" fillId="0" borderId="0" xfId="0" applyNumberFormat="1" applyFont="1" applyAlignment="1">
      <alignment vertical="center"/>
    </xf>
    <xf numFmtId="171" fontId="28" fillId="0" borderId="0" xfId="0" applyFont="1" applyAlignment="1">
      <alignment vertical="center"/>
    </xf>
    <xf numFmtId="0" fontId="156" fillId="0" borderId="1" xfId="0" applyNumberFormat="1" applyFont="1" applyBorder="1" applyAlignment="1">
      <alignment horizontal="center" vertical="center"/>
    </xf>
    <xf numFmtId="171" fontId="157" fillId="0" borderId="0" xfId="0" applyFont="1" applyAlignment="1">
      <alignment vertical="center"/>
    </xf>
    <xf numFmtId="0" fontId="156" fillId="0" borderId="1" xfId="0" applyNumberFormat="1" applyFont="1" applyFill="1" applyBorder="1" applyAlignment="1">
      <alignment horizontal="center" vertical="center"/>
    </xf>
    <xf numFmtId="2" fontId="158" fillId="0" borderId="1" xfId="0" applyNumberFormat="1" applyFont="1" applyFill="1" applyBorder="1" applyAlignment="1">
      <alignment vertical="center" wrapText="1"/>
    </xf>
    <xf numFmtId="0" fontId="158" fillId="0" borderId="1" xfId="0" applyNumberFormat="1" applyFont="1" applyFill="1" applyBorder="1" applyAlignment="1">
      <alignment horizontal="center" vertical="center"/>
    </xf>
    <xf numFmtId="0" fontId="158" fillId="0" borderId="1" xfId="0" applyNumberFormat="1" applyFont="1" applyFill="1" applyBorder="1" applyAlignment="1">
      <alignment vertical="center"/>
    </xf>
    <xf numFmtId="0" fontId="159" fillId="0" borderId="1" xfId="0" applyNumberFormat="1" applyFont="1" applyFill="1" applyBorder="1" applyAlignment="1">
      <alignment vertical="center"/>
    </xf>
    <xf numFmtId="171" fontId="28" fillId="0" borderId="0" xfId="0" applyFont="1" applyFill="1" applyAlignment="1">
      <alignment vertical="center"/>
    </xf>
    <xf numFmtId="0" fontId="159" fillId="0" borderId="1" xfId="0" applyNumberFormat="1" applyFont="1" applyFill="1" applyBorder="1" applyAlignment="1">
      <alignment horizontal="center" vertical="center"/>
    </xf>
    <xf numFmtId="2" fontId="158" fillId="0" borderId="1" xfId="0" applyNumberFormat="1" applyFont="1" applyFill="1" applyBorder="1" applyAlignment="1">
      <alignment vertical="center"/>
    </xf>
    <xf numFmtId="0" fontId="158" fillId="0" borderId="1" xfId="0" applyNumberFormat="1" applyFont="1" applyFill="1" applyBorder="1" applyAlignment="1">
      <alignment vertical="center" wrapText="1"/>
    </xf>
    <xf numFmtId="2" fontId="158" fillId="0" borderId="1" xfId="0" applyNumberFormat="1" applyFont="1" applyFill="1" applyBorder="1" applyAlignment="1">
      <alignment horizontal="center" vertical="center"/>
    </xf>
    <xf numFmtId="2" fontId="154" fillId="0" borderId="1" xfId="0" applyNumberFormat="1" applyFont="1" applyFill="1" applyBorder="1" applyAlignment="1">
      <alignment vertical="center"/>
    </xf>
    <xf numFmtId="171" fontId="160" fillId="0" borderId="1" xfId="0" applyNumberFormat="1" applyFont="1" applyFill="1" applyBorder="1" applyAlignment="1">
      <alignment vertical="center"/>
    </xf>
    <xf numFmtId="171" fontId="28" fillId="0" borderId="1" xfId="0" applyNumberFormat="1" applyFont="1" applyFill="1" applyBorder="1" applyAlignment="1" applyProtection="1">
      <alignment horizontal="left" vertical="center" wrapText="1"/>
    </xf>
    <xf numFmtId="2" fontId="154" fillId="0" borderId="1" xfId="0" applyNumberFormat="1" applyFont="1" applyFill="1" applyBorder="1" applyAlignment="1">
      <alignment horizontal="center" vertical="center"/>
    </xf>
    <xf numFmtId="0" fontId="154" fillId="0" borderId="1" xfId="0" applyNumberFormat="1" applyFont="1" applyFill="1" applyBorder="1" applyAlignment="1">
      <alignment horizontal="center" vertical="center"/>
    </xf>
    <xf numFmtId="2" fontId="158" fillId="0" borderId="1" xfId="0" applyNumberFormat="1" applyFont="1" applyBorder="1" applyAlignment="1">
      <alignment vertical="center" wrapText="1"/>
    </xf>
    <xf numFmtId="0" fontId="158" fillId="0" borderId="1" xfId="0" applyNumberFormat="1" applyFont="1" applyBorder="1" applyAlignment="1">
      <alignment horizontal="center" vertical="center"/>
    </xf>
    <xf numFmtId="2" fontId="158" fillId="0" borderId="1" xfId="0" applyNumberFormat="1" applyFont="1" applyBorder="1" applyAlignment="1">
      <alignment vertical="center"/>
    </xf>
    <xf numFmtId="0" fontId="159" fillId="0" borderId="1" xfId="0" applyNumberFormat="1" applyFont="1" applyBorder="1" applyAlignment="1">
      <alignment vertical="center"/>
    </xf>
    <xf numFmtId="0" fontId="154" fillId="0" borderId="1" xfId="0" applyNumberFormat="1" applyFont="1" applyBorder="1" applyAlignment="1">
      <alignment vertical="center"/>
    </xf>
    <xf numFmtId="2" fontId="154" fillId="0" borderId="1" xfId="0" applyNumberFormat="1" applyFont="1" applyBorder="1" applyAlignment="1">
      <alignment vertical="center"/>
    </xf>
    <xf numFmtId="0" fontId="159" fillId="0" borderId="1" xfId="0" applyNumberFormat="1" applyFont="1" applyBorder="1" applyAlignment="1">
      <alignment horizontal="center" vertical="center"/>
    </xf>
    <xf numFmtId="0" fontId="158" fillId="0" borderId="1" xfId="0" applyNumberFormat="1" applyFont="1" applyBorder="1" applyAlignment="1">
      <alignment vertical="center"/>
    </xf>
    <xf numFmtId="0" fontId="158" fillId="0" borderId="1" xfId="0" applyNumberFormat="1" applyFont="1" applyBorder="1" applyAlignment="1">
      <alignment vertical="center" wrapText="1"/>
    </xf>
    <xf numFmtId="0" fontId="154" fillId="0" borderId="1" xfId="0" applyNumberFormat="1" applyFont="1" applyBorder="1" applyAlignment="1">
      <alignment vertical="center" wrapText="1"/>
    </xf>
    <xf numFmtId="0" fontId="154" fillId="0" borderId="1" xfId="0" applyNumberFormat="1" applyFont="1" applyFill="1" applyBorder="1" applyAlignment="1">
      <alignment vertical="center"/>
    </xf>
    <xf numFmtId="179" fontId="158" fillId="0" borderId="1" xfId="0" applyNumberFormat="1" applyFont="1" applyBorder="1" applyAlignment="1">
      <alignment vertical="center"/>
    </xf>
    <xf numFmtId="2" fontId="158" fillId="0" borderId="1" xfId="0" applyNumberFormat="1" applyFont="1" applyBorder="1" applyAlignment="1">
      <alignment horizontal="left" vertical="center" wrapText="1"/>
    </xf>
    <xf numFmtId="168" fontId="158" fillId="0" borderId="1" xfId="48" applyNumberFormat="1" applyFont="1" applyFill="1" applyBorder="1" applyAlignment="1">
      <alignment vertical="center" wrapText="1"/>
    </xf>
    <xf numFmtId="0" fontId="28" fillId="0" borderId="1" xfId="0" applyNumberFormat="1" applyFont="1" applyFill="1" applyBorder="1" applyAlignment="1">
      <alignment vertical="center"/>
    </xf>
    <xf numFmtId="0" fontId="28" fillId="0" borderId="1" xfId="0" applyNumberFormat="1" applyFont="1" applyFill="1" applyBorder="1" applyAlignment="1">
      <alignment horizontal="center" vertical="center"/>
    </xf>
    <xf numFmtId="179" fontId="28" fillId="0" borderId="1" xfId="0" applyNumberFormat="1" applyFont="1" applyFill="1" applyBorder="1" applyAlignment="1">
      <alignment vertical="center"/>
    </xf>
    <xf numFmtId="2" fontId="28" fillId="0" borderId="1" xfId="0" applyNumberFormat="1" applyFont="1" applyFill="1" applyBorder="1" applyAlignment="1">
      <alignment vertical="center"/>
    </xf>
    <xf numFmtId="179" fontId="158" fillId="0" borderId="1" xfId="0" applyNumberFormat="1" applyFont="1" applyFill="1" applyBorder="1" applyAlignment="1">
      <alignment vertical="center"/>
    </xf>
    <xf numFmtId="179" fontId="154" fillId="0" borderId="1" xfId="0" applyNumberFormat="1" applyFont="1" applyFill="1" applyBorder="1" applyAlignment="1">
      <alignment vertical="center"/>
    </xf>
    <xf numFmtId="0" fontId="28" fillId="0" borderId="1" xfId="0" applyNumberFormat="1" applyFont="1" applyFill="1" applyBorder="1" applyAlignment="1">
      <alignment horizontal="left" vertical="center"/>
    </xf>
    <xf numFmtId="0" fontId="158" fillId="0" borderId="1" xfId="0" applyNumberFormat="1" applyFont="1" applyFill="1" applyBorder="1" applyAlignment="1">
      <alignment horizontal="left" vertical="center"/>
    </xf>
    <xf numFmtId="0" fontId="28" fillId="0" borderId="1" xfId="49" applyFont="1" applyFill="1" applyBorder="1" applyAlignment="1">
      <alignment horizontal="center" vertical="center"/>
    </xf>
    <xf numFmtId="0" fontId="28" fillId="0" borderId="1" xfId="49" applyFont="1" applyFill="1" applyBorder="1" applyAlignment="1">
      <alignment horizontal="justify" vertical="center"/>
    </xf>
    <xf numFmtId="179" fontId="28" fillId="0" borderId="1" xfId="49" applyNumberFormat="1" applyFont="1" applyFill="1" applyBorder="1" applyAlignment="1">
      <alignment vertical="center"/>
    </xf>
    <xf numFmtId="0" fontId="28" fillId="0" borderId="1" xfId="49" applyFont="1" applyFill="1" applyBorder="1" applyAlignment="1">
      <alignment vertical="center"/>
    </xf>
    <xf numFmtId="179" fontId="28" fillId="0" borderId="1" xfId="49" applyNumberFormat="1" applyFont="1" applyFill="1" applyBorder="1" applyAlignment="1">
      <alignment horizontal="right" vertical="center"/>
    </xf>
    <xf numFmtId="2" fontId="28" fillId="0" borderId="1" xfId="49" applyNumberFormat="1" applyFont="1" applyFill="1" applyBorder="1" applyAlignment="1">
      <alignment horizontal="right" vertical="center"/>
    </xf>
    <xf numFmtId="4" fontId="157" fillId="0" borderId="1" xfId="49" applyNumberFormat="1" applyFont="1" applyFill="1" applyBorder="1" applyAlignment="1">
      <alignment horizontal="left" vertical="center"/>
    </xf>
    <xf numFmtId="0" fontId="28" fillId="0" borderId="0" xfId="49" applyFont="1" applyFill="1" applyAlignment="1">
      <alignment vertical="center"/>
    </xf>
    <xf numFmtId="0" fontId="28" fillId="0" borderId="1" xfId="49" applyFont="1" applyFill="1" applyBorder="1" applyAlignment="1">
      <alignment horizontal="left" vertical="center"/>
    </xf>
    <xf numFmtId="179" fontId="157" fillId="0" borderId="1" xfId="49" applyNumberFormat="1" applyFont="1" applyFill="1" applyBorder="1" applyAlignment="1">
      <alignment horizontal="right" vertical="center"/>
    </xf>
    <xf numFmtId="2" fontId="157" fillId="0" borderId="1" xfId="49" applyNumberFormat="1" applyFont="1" applyFill="1" applyBorder="1" applyAlignment="1">
      <alignment horizontal="right" vertical="center"/>
    </xf>
    <xf numFmtId="4" fontId="160" fillId="0" borderId="1" xfId="49" applyNumberFormat="1" applyFont="1" applyFill="1" applyBorder="1" applyAlignment="1">
      <alignment horizontal="left" vertical="center"/>
    </xf>
    <xf numFmtId="0" fontId="162" fillId="0" borderId="1" xfId="0" applyNumberFormat="1" applyFont="1" applyFill="1" applyBorder="1" applyAlignment="1">
      <alignment horizontal="center" vertical="center"/>
    </xf>
    <xf numFmtId="2" fontId="28" fillId="0" borderId="1" xfId="0" applyNumberFormat="1" applyFont="1" applyFill="1" applyBorder="1" applyAlignment="1">
      <alignment vertical="center" wrapText="1"/>
    </xf>
    <xf numFmtId="0" fontId="162" fillId="9" borderId="1" xfId="0" applyNumberFormat="1" applyFont="1" applyFill="1" applyBorder="1" applyAlignment="1">
      <alignment horizontal="center" vertical="center"/>
    </xf>
    <xf numFmtId="2" fontId="158" fillId="9" borderId="1" xfId="0" applyNumberFormat="1" applyFont="1" applyFill="1" applyBorder="1" applyAlignment="1">
      <alignment vertical="center" wrapText="1"/>
    </xf>
    <xf numFmtId="0" fontId="158" fillId="9" borderId="1" xfId="0" applyNumberFormat="1" applyFont="1" applyFill="1" applyBorder="1" applyAlignment="1">
      <alignment horizontal="center" vertical="center"/>
    </xf>
    <xf numFmtId="2" fontId="158" fillId="9" borderId="1" xfId="0" applyNumberFormat="1" applyFont="1" applyFill="1" applyBorder="1" applyAlignment="1">
      <alignment vertical="center"/>
    </xf>
    <xf numFmtId="0" fontId="159" fillId="9" borderId="1" xfId="0" applyNumberFormat="1" applyFont="1" applyFill="1" applyBorder="1" applyAlignment="1">
      <alignment vertical="center"/>
    </xf>
    <xf numFmtId="171" fontId="28" fillId="9" borderId="0" xfId="0" applyFont="1" applyFill="1" applyAlignment="1">
      <alignment vertical="center"/>
    </xf>
    <xf numFmtId="0" fontId="159" fillId="9" borderId="1" xfId="0" applyNumberFormat="1" applyFont="1" applyFill="1" applyBorder="1" applyAlignment="1">
      <alignment horizontal="center" vertical="center"/>
    </xf>
    <xf numFmtId="0" fontId="158" fillId="9" borderId="1" xfId="0" applyNumberFormat="1" applyFont="1" applyFill="1" applyBorder="1" applyAlignment="1">
      <alignment vertical="center"/>
    </xf>
    <xf numFmtId="2" fontId="154" fillId="9" borderId="1" xfId="0" applyNumberFormat="1" applyFont="1" applyFill="1" applyBorder="1" applyAlignment="1">
      <alignment vertical="center"/>
    </xf>
    <xf numFmtId="2" fontId="159" fillId="0" borderId="1" xfId="0" applyNumberFormat="1" applyFont="1" applyFill="1" applyBorder="1" applyAlignment="1">
      <alignment vertical="center"/>
    </xf>
    <xf numFmtId="2" fontId="28" fillId="0" borderId="1" xfId="49" applyNumberFormat="1" applyFont="1" applyFill="1" applyBorder="1" applyAlignment="1">
      <alignment vertical="center"/>
    </xf>
    <xf numFmtId="171" fontId="28" fillId="0" borderId="1" xfId="51" applyNumberFormat="1" applyFont="1" applyFill="1" applyBorder="1" applyAlignment="1">
      <alignment horizontal="center" vertical="center"/>
    </xf>
    <xf numFmtId="171" fontId="28" fillId="0" borderId="1" xfId="51" applyNumberFormat="1" applyFont="1" applyFill="1" applyBorder="1" applyAlignment="1">
      <alignment horizontal="right" vertical="center"/>
    </xf>
    <xf numFmtId="171" fontId="28" fillId="0" borderId="0" xfId="51" applyNumberFormat="1" applyFont="1" applyFill="1" applyBorder="1" applyAlignment="1">
      <alignment vertical="center"/>
    </xf>
    <xf numFmtId="0" fontId="28" fillId="0" borderId="0" xfId="51" applyNumberFormat="1" applyFont="1" applyFill="1" applyBorder="1" applyAlignment="1">
      <alignment vertical="center"/>
    </xf>
    <xf numFmtId="2" fontId="28" fillId="0" borderId="1" xfId="52" applyNumberFormat="1" applyFont="1" applyFill="1" applyBorder="1" applyAlignment="1">
      <alignment vertical="center" wrapText="1"/>
    </xf>
    <xf numFmtId="1" fontId="28" fillId="0" borderId="1" xfId="51" applyNumberFormat="1" applyFont="1" applyFill="1" applyBorder="1" applyAlignment="1">
      <alignment horizontal="center" vertical="center"/>
    </xf>
    <xf numFmtId="172" fontId="28" fillId="0" borderId="1" xfId="51" applyNumberFormat="1" applyFont="1" applyFill="1" applyBorder="1" applyAlignment="1">
      <alignment horizontal="center" vertical="center"/>
    </xf>
    <xf numFmtId="171" fontId="157" fillId="0" borderId="1" xfId="51" applyNumberFormat="1" applyFont="1" applyFill="1" applyBorder="1" applyAlignment="1">
      <alignment horizontal="right" vertical="center"/>
    </xf>
    <xf numFmtId="0" fontId="28" fillId="0" borderId="1" xfId="49" applyFont="1" applyFill="1" applyBorder="1" applyAlignment="1">
      <alignment horizontal="left" vertical="center" wrapText="1"/>
    </xf>
    <xf numFmtId="0" fontId="157" fillId="0" borderId="1" xfId="49" applyFont="1" applyFill="1" applyBorder="1" applyAlignment="1">
      <alignment horizontal="justify" vertical="center"/>
    </xf>
    <xf numFmtId="0" fontId="28" fillId="0" borderId="1" xfId="49" applyFont="1" applyFill="1" applyBorder="1" applyAlignment="1">
      <alignment horizontal="right" vertical="center"/>
    </xf>
    <xf numFmtId="171" fontId="164" fillId="0" borderId="1" xfId="0" applyFont="1" applyBorder="1"/>
    <xf numFmtId="0" fontId="158" fillId="0" borderId="1" xfId="0" applyNumberFormat="1" applyFont="1" applyFill="1" applyBorder="1" applyAlignment="1">
      <alignment horizontal="center"/>
    </xf>
    <xf numFmtId="178" fontId="156" fillId="0" borderId="1" xfId="0" applyNumberFormat="1" applyFont="1" applyFill="1" applyBorder="1" applyAlignment="1">
      <alignment horizontal="center" vertical="center"/>
    </xf>
    <xf numFmtId="0" fontId="160" fillId="0" borderId="1" xfId="0" applyNumberFormat="1" applyFont="1" applyFill="1" applyBorder="1" applyAlignment="1">
      <alignment horizontal="center" vertical="center"/>
    </xf>
    <xf numFmtId="0" fontId="160" fillId="0" borderId="1" xfId="0" applyNumberFormat="1" applyFont="1" applyFill="1" applyBorder="1" applyAlignment="1">
      <alignment vertical="center"/>
    </xf>
    <xf numFmtId="0" fontId="156" fillId="0" borderId="1" xfId="0" applyNumberFormat="1" applyFont="1" applyFill="1" applyBorder="1" applyAlignment="1">
      <alignment vertical="center"/>
    </xf>
    <xf numFmtId="171" fontId="28" fillId="0" borderId="1" xfId="0" applyFont="1" applyFill="1" applyBorder="1" applyAlignment="1">
      <alignment vertical="center"/>
    </xf>
    <xf numFmtId="171" fontId="160" fillId="0" borderId="1" xfId="0" applyFont="1" applyFill="1" applyBorder="1" applyAlignment="1">
      <alignment vertical="center"/>
    </xf>
    <xf numFmtId="171" fontId="28" fillId="0" borderId="1" xfId="0" applyFont="1" applyFill="1" applyBorder="1" applyAlignment="1">
      <alignment horizontal="center" vertical="center"/>
    </xf>
    <xf numFmtId="171" fontId="28" fillId="0" borderId="1" xfId="0" applyFont="1" applyFill="1" applyBorder="1" applyAlignment="1">
      <alignment vertical="center" wrapText="1"/>
    </xf>
    <xf numFmtId="172" fontId="28" fillId="0" borderId="1" xfId="0" applyNumberFormat="1" applyFont="1" applyFill="1" applyBorder="1" applyAlignment="1">
      <alignment horizontal="center" vertical="center"/>
    </xf>
    <xf numFmtId="174" fontId="160" fillId="0" borderId="1" xfId="0" applyNumberFormat="1" applyFont="1" applyFill="1" applyBorder="1" applyAlignment="1">
      <alignment vertical="center"/>
    </xf>
    <xf numFmtId="171" fontId="157" fillId="0" borderId="1" xfId="0" applyFont="1" applyFill="1" applyBorder="1" applyAlignment="1">
      <alignment vertical="center"/>
    </xf>
    <xf numFmtId="173" fontId="28" fillId="0" borderId="1" xfId="0" applyNumberFormat="1" applyFont="1" applyFill="1" applyBorder="1" applyAlignment="1">
      <alignment vertical="center"/>
    </xf>
    <xf numFmtId="172" fontId="160" fillId="0" borderId="1" xfId="0" applyNumberFormat="1" applyFont="1" applyFill="1" applyBorder="1" applyAlignment="1">
      <alignment vertical="center"/>
    </xf>
    <xf numFmtId="173" fontId="157" fillId="0" borderId="1" xfId="0" applyNumberFormat="1" applyFont="1" applyFill="1" applyBorder="1" applyAlignment="1">
      <alignment vertical="center"/>
    </xf>
    <xf numFmtId="171" fontId="164" fillId="0" borderId="1" xfId="0" applyFont="1" applyFill="1" applyBorder="1" applyAlignment="1">
      <alignment vertical="center"/>
    </xf>
    <xf numFmtId="171" fontId="157" fillId="0" borderId="1" xfId="0" applyNumberFormat="1" applyFont="1" applyFill="1" applyBorder="1" applyAlignment="1">
      <alignment vertical="center"/>
    </xf>
    <xf numFmtId="171" fontId="28" fillId="0" borderId="1" xfId="0" applyNumberFormat="1" applyFont="1" applyFill="1" applyBorder="1" applyAlignment="1">
      <alignment vertical="center"/>
    </xf>
    <xf numFmtId="0" fontId="28" fillId="0" borderId="0" xfId="49" applyFont="1" applyFill="1" applyBorder="1" applyAlignment="1">
      <alignment vertical="center"/>
    </xf>
    <xf numFmtId="0" fontId="28" fillId="0" borderId="1" xfId="49" applyFont="1" applyFill="1" applyBorder="1" applyAlignment="1">
      <alignment horizontal="justify" vertical="center" wrapText="1"/>
    </xf>
    <xf numFmtId="0" fontId="28" fillId="0" borderId="1" xfId="53" applyFont="1" applyFill="1" applyBorder="1" applyAlignment="1">
      <alignment horizontal="center" vertical="center" wrapText="1"/>
    </xf>
    <xf numFmtId="0" fontId="28" fillId="0" borderId="1" xfId="53" applyFont="1" applyFill="1" applyBorder="1" applyAlignment="1">
      <alignment horizontal="left" vertical="center" wrapText="1"/>
    </xf>
    <xf numFmtId="2" fontId="28" fillId="0" borderId="1" xfId="53" applyNumberFormat="1" applyFont="1" applyFill="1" applyBorder="1" applyAlignment="1">
      <alignment horizontal="right" vertical="center" wrapText="1"/>
    </xf>
    <xf numFmtId="2" fontId="157" fillId="0" borderId="1" xfId="53" applyNumberFormat="1" applyFont="1" applyFill="1" applyBorder="1" applyAlignment="1">
      <alignment horizontal="right" vertical="center" wrapText="1"/>
    </xf>
    <xf numFmtId="0" fontId="157" fillId="0" borderId="0" xfId="53" applyFont="1" applyFill="1" applyBorder="1" applyAlignment="1">
      <alignment vertical="center" wrapText="1"/>
    </xf>
    <xf numFmtId="0" fontId="28" fillId="0" borderId="1" xfId="54" applyFont="1" applyFill="1" applyBorder="1" applyAlignment="1">
      <alignment horizontal="center" vertical="center"/>
    </xf>
    <xf numFmtId="0" fontId="28" fillId="0" borderId="1" xfId="54" applyFont="1" applyFill="1" applyBorder="1" applyAlignment="1">
      <alignment horizontal="justify" vertical="center" wrapText="1"/>
    </xf>
    <xf numFmtId="2" fontId="28" fillId="0" borderId="1" xfId="49" applyNumberFormat="1" applyFont="1" applyFill="1" applyBorder="1" applyAlignment="1">
      <alignment vertical="center" wrapText="1"/>
    </xf>
    <xf numFmtId="0" fontId="160" fillId="0" borderId="1" xfId="49" applyFont="1" applyFill="1" applyBorder="1" applyAlignment="1">
      <alignment vertical="center"/>
    </xf>
    <xf numFmtId="0" fontId="28" fillId="0" borderId="0" xfId="54" applyFont="1" applyFill="1" applyAlignment="1">
      <alignment vertical="center"/>
    </xf>
    <xf numFmtId="0" fontId="28" fillId="0" borderId="1" xfId="55" applyFont="1" applyFill="1" applyBorder="1" applyAlignment="1">
      <alignment horizontal="justify" vertical="center" wrapText="1"/>
    </xf>
    <xf numFmtId="2" fontId="28" fillId="0" borderId="1" xfId="54" applyNumberFormat="1" applyFont="1" applyFill="1" applyBorder="1" applyAlignment="1">
      <alignment horizontal="right" vertical="center"/>
    </xf>
    <xf numFmtId="2" fontId="28" fillId="0" borderId="1" xfId="55" applyNumberFormat="1" applyFont="1" applyFill="1" applyBorder="1" applyAlignment="1">
      <alignment horizontal="right" vertical="center"/>
    </xf>
    <xf numFmtId="0" fontId="28" fillId="0" borderId="1" xfId="54" applyFont="1" applyFill="1" applyBorder="1" applyAlignment="1">
      <alignment horizontal="justify" vertical="center"/>
    </xf>
    <xf numFmtId="2" fontId="28" fillId="0" borderId="1" xfId="54" applyNumberFormat="1" applyFont="1" applyFill="1" applyBorder="1" applyAlignment="1">
      <alignment vertical="center"/>
    </xf>
    <xf numFmtId="4" fontId="160" fillId="0" borderId="1" xfId="54" applyNumberFormat="1" applyFont="1" applyFill="1" applyBorder="1" applyAlignment="1">
      <alignment vertical="center"/>
    </xf>
    <xf numFmtId="2" fontId="28" fillId="0" borderId="1" xfId="52" applyNumberFormat="1" applyFont="1" applyFill="1" applyBorder="1" applyAlignment="1">
      <alignment horizontal="center" vertical="center" wrapText="1"/>
    </xf>
    <xf numFmtId="171" fontId="28" fillId="0" borderId="0" xfId="54" applyNumberFormat="1" applyFont="1" applyFill="1" applyAlignment="1">
      <alignment vertical="center"/>
    </xf>
    <xf numFmtId="0" fontId="160" fillId="0" borderId="1" xfId="49" applyFont="1" applyFill="1" applyBorder="1" applyAlignment="1">
      <alignment horizontal="left" vertical="center"/>
    </xf>
    <xf numFmtId="172" fontId="27" fillId="0" borderId="1" xfId="0" applyNumberFormat="1" applyFont="1" applyFill="1" applyBorder="1" applyAlignment="1">
      <alignment horizontal="center" vertical="center"/>
    </xf>
    <xf numFmtId="0" fontId="27" fillId="0" borderId="1" xfId="0" applyNumberFormat="1" applyFont="1" applyFill="1" applyBorder="1" applyAlignment="1">
      <alignment horizontal="right" vertical="center"/>
    </xf>
    <xf numFmtId="2" fontId="26" fillId="0" borderId="1" xfId="0" applyNumberFormat="1" applyFont="1" applyFill="1" applyBorder="1" applyAlignment="1">
      <alignment horizontal="right" vertical="center"/>
    </xf>
    <xf numFmtId="171" fontId="26" fillId="0" borderId="1" xfId="0" applyNumberFormat="1" applyFont="1" applyFill="1" applyBorder="1" applyAlignment="1">
      <alignment horizontal="right" vertical="center"/>
    </xf>
    <xf numFmtId="171" fontId="27" fillId="0" borderId="0" xfId="0" applyFont="1" applyFill="1" applyBorder="1" applyAlignment="1">
      <alignment vertical="center"/>
    </xf>
    <xf numFmtId="178" fontId="27" fillId="0" borderId="1" xfId="52" applyNumberFormat="1" applyFont="1" applyFill="1" applyBorder="1" applyAlignment="1">
      <alignment horizontal="center" vertical="center" wrapText="1"/>
    </xf>
    <xf numFmtId="2" fontId="27" fillId="0" borderId="1" xfId="52" applyNumberFormat="1" applyFont="1" applyFill="1" applyBorder="1" applyAlignment="1">
      <alignment vertical="center" wrapText="1"/>
    </xf>
    <xf numFmtId="1" fontId="27" fillId="0" borderId="1" xfId="0" applyNumberFormat="1" applyFont="1" applyFill="1" applyBorder="1" applyAlignment="1">
      <alignment horizontal="center" vertical="center"/>
    </xf>
    <xf numFmtId="171" fontId="27" fillId="0" borderId="1" xfId="0" applyNumberFormat="1" applyFont="1" applyFill="1" applyBorder="1" applyAlignment="1">
      <alignment horizontal="right" vertical="center"/>
    </xf>
    <xf numFmtId="171" fontId="27" fillId="0" borderId="0" xfId="0" applyNumberFormat="1" applyFont="1" applyFill="1" applyBorder="1" applyAlignment="1">
      <alignment vertical="center"/>
    </xf>
    <xf numFmtId="0" fontId="166" fillId="0" borderId="1" xfId="0" applyNumberFormat="1" applyFont="1" applyFill="1" applyBorder="1" applyAlignment="1">
      <alignment horizontal="center" vertical="center" wrapText="1"/>
    </xf>
    <xf numFmtId="2" fontId="166" fillId="0" borderId="1" xfId="0" applyNumberFormat="1" applyFont="1" applyFill="1" applyBorder="1" applyAlignment="1">
      <alignment horizontal="right" vertical="center"/>
    </xf>
    <xf numFmtId="0" fontId="166" fillId="0" borderId="0" xfId="0" applyNumberFormat="1" applyFont="1" applyFill="1" applyBorder="1" applyAlignment="1">
      <alignment vertical="center"/>
    </xf>
    <xf numFmtId="0" fontId="28" fillId="0" borderId="1" xfId="0" applyNumberFormat="1" applyFont="1" applyFill="1" applyBorder="1" applyAlignment="1">
      <alignment horizontal="center" vertical="center" wrapText="1"/>
    </xf>
    <xf numFmtId="0" fontId="157" fillId="0" borderId="1" xfId="0" applyNumberFormat="1" applyFont="1" applyFill="1" applyBorder="1" applyAlignment="1">
      <alignment vertical="center" wrapText="1"/>
    </xf>
    <xf numFmtId="0" fontId="28" fillId="0" borderId="1" xfId="0" applyNumberFormat="1" applyFont="1" applyFill="1" applyBorder="1" applyAlignment="1">
      <alignment horizontal="right" vertical="center"/>
    </xf>
    <xf numFmtId="2" fontId="28" fillId="0" borderId="1" xfId="0" applyNumberFormat="1" applyFont="1" applyFill="1" applyBorder="1" applyAlignment="1">
      <alignment horizontal="right" vertical="center"/>
    </xf>
    <xf numFmtId="0" fontId="28" fillId="0" borderId="0" xfId="0" applyNumberFormat="1" applyFont="1" applyFill="1" applyBorder="1" applyAlignment="1">
      <alignment vertical="center"/>
    </xf>
    <xf numFmtId="0" fontId="28" fillId="0" borderId="1" xfId="0" applyNumberFormat="1" applyFont="1" applyFill="1" applyBorder="1" applyAlignment="1">
      <alignment vertical="center" wrapText="1"/>
    </xf>
    <xf numFmtId="2" fontId="157" fillId="0" borderId="1" xfId="0" applyNumberFormat="1" applyFont="1" applyFill="1" applyBorder="1" applyAlignment="1">
      <alignment horizontal="right" vertical="center"/>
    </xf>
    <xf numFmtId="171" fontId="28" fillId="0" borderId="1" xfId="0" applyFont="1" applyBorder="1" applyAlignment="1">
      <alignment vertical="center"/>
    </xf>
    <xf numFmtId="172" fontId="28" fillId="0" borderId="1" xfId="0" applyNumberFormat="1" applyFont="1" applyBorder="1" applyAlignment="1">
      <alignment horizontal="center" vertical="center"/>
    </xf>
    <xf numFmtId="172" fontId="28" fillId="0" borderId="1" xfId="0" applyNumberFormat="1" applyFont="1" applyFill="1" applyBorder="1" applyAlignment="1">
      <alignment horizontal="center" vertical="center" wrapText="1"/>
    </xf>
    <xf numFmtId="171" fontId="28" fillId="0" borderId="1" xfId="0" applyFont="1" applyFill="1" applyBorder="1" applyAlignment="1">
      <alignment horizontal="center" vertical="center" wrapText="1"/>
    </xf>
    <xf numFmtId="171" fontId="28" fillId="0" borderId="0" xfId="0" applyFont="1" applyFill="1" applyBorder="1" applyAlignment="1">
      <alignment horizontal="center" vertical="center" wrapText="1"/>
    </xf>
    <xf numFmtId="172" fontId="28" fillId="0" borderId="1" xfId="0" applyNumberFormat="1" applyFont="1" applyBorder="1" applyAlignment="1">
      <alignment horizontal="center" vertical="center" wrapText="1"/>
    </xf>
    <xf numFmtId="171" fontId="28" fillId="0" borderId="1" xfId="56" applyNumberFormat="1" applyFont="1" applyBorder="1" applyAlignment="1">
      <alignment vertical="center"/>
    </xf>
    <xf numFmtId="1" fontId="28" fillId="0" borderId="1" xfId="56" applyNumberFormat="1" applyFont="1" applyBorder="1" applyAlignment="1">
      <alignment horizontal="center" vertical="center"/>
    </xf>
    <xf numFmtId="184" fontId="28" fillId="0" borderId="1" xfId="0" applyNumberFormat="1" applyFont="1" applyBorder="1" applyAlignment="1">
      <alignment horizontal="center" vertical="center"/>
    </xf>
    <xf numFmtId="171" fontId="28" fillId="0" borderId="1" xfId="56" applyNumberFormat="1" applyFont="1" applyBorder="1" applyAlignment="1">
      <alignment horizontal="center" vertical="center"/>
    </xf>
    <xf numFmtId="171" fontId="28" fillId="0" borderId="1" xfId="56" applyNumberFormat="1" applyFont="1" applyBorder="1" applyAlignment="1">
      <alignment horizontal="right" vertical="center"/>
    </xf>
    <xf numFmtId="171" fontId="27" fillId="0" borderId="1" xfId="56" applyNumberFormat="1" applyFont="1" applyBorder="1" applyAlignment="1">
      <alignment horizontal="left" vertical="center"/>
    </xf>
    <xf numFmtId="171" fontId="28" fillId="0" borderId="0" xfId="0" applyFont="1" applyBorder="1" applyAlignment="1">
      <alignment horizontal="center" vertical="center" wrapText="1"/>
    </xf>
    <xf numFmtId="171" fontId="28" fillId="0" borderId="0" xfId="0" applyFont="1" applyAlignment="1">
      <alignment horizontal="center" vertical="center"/>
    </xf>
    <xf numFmtId="0" fontId="158" fillId="0" borderId="0" xfId="57" applyFont="1" applyBorder="1" applyAlignment="1">
      <alignment vertical="center"/>
    </xf>
    <xf numFmtId="171" fontId="160" fillId="0" borderId="0" xfId="0" applyFont="1" applyAlignment="1">
      <alignment vertical="center"/>
    </xf>
    <xf numFmtId="0" fontId="4" fillId="0" borderId="1" xfId="52" applyFont="1" applyBorder="1" applyAlignment="1">
      <alignment horizontal="center" vertical="center" wrapText="1"/>
    </xf>
    <xf numFmtId="171" fontId="11" fillId="0" borderId="0" xfId="0" applyFont="1" applyAlignment="1">
      <alignment vertical="center"/>
    </xf>
    <xf numFmtId="0" fontId="12" fillId="0" borderId="1" xfId="52" applyFont="1" applyBorder="1" applyAlignment="1">
      <alignment horizontal="center" vertical="center" wrapText="1"/>
    </xf>
    <xf numFmtId="2" fontId="12" fillId="0" borderId="1" xfId="52" applyNumberFormat="1" applyFont="1" applyBorder="1" applyAlignment="1">
      <alignment vertical="center" wrapText="1"/>
    </xf>
    <xf numFmtId="2" fontId="12" fillId="0" borderId="1" xfId="52" applyNumberFormat="1" applyFont="1" applyBorder="1" applyAlignment="1">
      <alignment horizontal="center" vertical="center" wrapText="1"/>
    </xf>
    <xf numFmtId="2" fontId="4" fillId="0" borderId="1" xfId="52" applyNumberFormat="1" applyFont="1" applyBorder="1" applyAlignment="1">
      <alignment vertical="center" wrapText="1"/>
    </xf>
    <xf numFmtId="178" fontId="12" fillId="0" borderId="1" xfId="52" applyNumberFormat="1" applyFont="1" applyBorder="1" applyAlignment="1">
      <alignment horizontal="center" vertical="center" wrapText="1"/>
    </xf>
    <xf numFmtId="0" fontId="4" fillId="0" borderId="1" xfId="52" applyFont="1" applyBorder="1" applyAlignment="1">
      <alignment horizontal="left" vertical="center" wrapText="1"/>
    </xf>
    <xf numFmtId="0" fontId="4" fillId="0" borderId="0" xfId="52" applyFont="1" applyBorder="1" applyAlignment="1">
      <alignment horizontal="center" vertical="center" wrapText="1"/>
    </xf>
    <xf numFmtId="0" fontId="12" fillId="0" borderId="1" xfId="52" applyFont="1" applyFill="1" applyBorder="1" applyAlignment="1">
      <alignment horizontal="center" vertical="center" wrapText="1"/>
    </xf>
    <xf numFmtId="2" fontId="12" fillId="0" borderId="1" xfId="52" applyNumberFormat="1" applyFont="1" applyFill="1" applyBorder="1" applyAlignment="1">
      <alignment vertical="center" wrapText="1"/>
    </xf>
    <xf numFmtId="178" fontId="12" fillId="0" borderId="1" xfId="52" applyNumberFormat="1" applyFont="1" applyFill="1" applyBorder="1" applyAlignment="1">
      <alignment vertical="center" wrapText="1"/>
    </xf>
    <xf numFmtId="171" fontId="11" fillId="0" borderId="0" xfId="0" applyFont="1" applyFill="1" applyAlignment="1">
      <alignment vertical="center"/>
    </xf>
    <xf numFmtId="2" fontId="4" fillId="0" borderId="1" xfId="52" applyNumberFormat="1" applyFont="1" applyFill="1" applyBorder="1" applyAlignment="1">
      <alignment vertical="center" wrapText="1"/>
    </xf>
    <xf numFmtId="178" fontId="12" fillId="0" borderId="1" xfId="52" applyNumberFormat="1" applyFont="1" applyFill="1" applyBorder="1" applyAlignment="1">
      <alignment horizontal="center" vertical="center" wrapText="1"/>
    </xf>
    <xf numFmtId="171" fontId="12" fillId="0" borderId="1" xfId="0" applyFont="1" applyFill="1" applyBorder="1" applyAlignment="1">
      <alignment vertical="center"/>
    </xf>
    <xf numFmtId="171" fontId="4" fillId="0" borderId="0" xfId="0" applyFont="1"/>
    <xf numFmtId="2" fontId="193" fillId="0" borderId="1" xfId="39" applyNumberFormat="1" applyFont="1" applyBorder="1" applyAlignment="1">
      <alignment horizontal="center" vertical="center" wrapText="1"/>
    </xf>
    <xf numFmtId="171" fontId="193" fillId="8" borderId="0" xfId="0" applyFont="1" applyFill="1" applyAlignment="1">
      <alignment vertical="center"/>
    </xf>
    <xf numFmtId="171" fontId="193" fillId="8" borderId="0" xfId="0" applyFont="1" applyFill="1" applyAlignment="1">
      <alignment horizontal="center" vertical="center"/>
    </xf>
    <xf numFmtId="173" fontId="195" fillId="8" borderId="1" xfId="0" applyNumberFormat="1" applyFont="1" applyFill="1" applyBorder="1" applyAlignment="1">
      <alignment horizontal="center" vertical="center" wrapText="1"/>
    </xf>
    <xf numFmtId="171" fontId="195" fillId="8" borderId="1" xfId="0" applyFont="1" applyFill="1" applyBorder="1" applyAlignment="1">
      <alignment horizontal="center" vertical="center" wrapText="1"/>
    </xf>
    <xf numFmtId="171" fontId="194" fillId="8" borderId="1" xfId="0" applyFont="1" applyFill="1" applyBorder="1" applyAlignment="1">
      <alignment horizontal="left" vertical="center" wrapText="1"/>
    </xf>
    <xf numFmtId="171" fontId="194" fillId="8" borderId="1" xfId="0" applyFont="1" applyFill="1" applyBorder="1" applyAlignment="1">
      <alignment horizontal="center" vertical="center" wrapText="1"/>
    </xf>
    <xf numFmtId="178" fontId="193" fillId="8" borderId="1" xfId="39" applyNumberFormat="1" applyFont="1" applyFill="1" applyBorder="1" applyAlignment="1">
      <alignment horizontal="left" vertical="center" wrapText="1"/>
    </xf>
    <xf numFmtId="2" fontId="193" fillId="8" borderId="1" xfId="39" applyNumberFormat="1" applyFont="1" applyFill="1" applyBorder="1" applyAlignment="1">
      <alignment vertical="center" wrapText="1"/>
    </xf>
    <xf numFmtId="9" fontId="193" fillId="8" borderId="1" xfId="42" applyFont="1" applyFill="1" applyBorder="1" applyAlignment="1">
      <alignment horizontal="right" vertical="center" wrapText="1"/>
    </xf>
    <xf numFmtId="2" fontId="193" fillId="8" borderId="1" xfId="39" applyNumberFormat="1" applyFont="1" applyFill="1" applyBorder="1" applyAlignment="1">
      <alignment horizontal="center" vertical="center" wrapText="1"/>
    </xf>
    <xf numFmtId="2" fontId="196" fillId="8" borderId="1" xfId="39" applyNumberFormat="1" applyFont="1" applyFill="1" applyBorder="1" applyAlignment="1">
      <alignment horizontal="center" vertical="center" wrapText="1"/>
    </xf>
    <xf numFmtId="2" fontId="196" fillId="52" borderId="1" xfId="39" applyNumberFormat="1" applyFont="1" applyFill="1" applyBorder="1" applyAlignment="1">
      <alignment horizontal="center" vertical="center" wrapText="1"/>
    </xf>
    <xf numFmtId="171" fontId="196" fillId="8" borderId="1" xfId="0" applyFont="1" applyFill="1" applyBorder="1" applyAlignment="1">
      <alignment horizontal="right" vertical="center" wrapText="1"/>
    </xf>
    <xf numFmtId="173" fontId="196" fillId="8" borderId="1" xfId="0" applyNumberFormat="1" applyFont="1" applyFill="1" applyBorder="1" applyAlignment="1">
      <alignment horizontal="right" vertical="center" wrapText="1"/>
    </xf>
    <xf numFmtId="171" fontId="193" fillId="8" borderId="1" xfId="0" applyFont="1" applyFill="1" applyBorder="1" applyAlignment="1">
      <alignment horizontal="right" vertical="center" wrapText="1"/>
    </xf>
    <xf numFmtId="171" fontId="196" fillId="8" borderId="1" xfId="0" applyFont="1" applyFill="1" applyBorder="1" applyAlignment="1">
      <alignment vertical="center" wrapText="1"/>
    </xf>
    <xf numFmtId="173" fontId="196" fillId="8" borderId="1" xfId="0" applyNumberFormat="1" applyFont="1" applyFill="1" applyBorder="1" applyAlignment="1">
      <alignment vertical="center" wrapText="1"/>
    </xf>
    <xf numFmtId="178" fontId="193" fillId="0" borderId="1" xfId="39" applyNumberFormat="1" applyFont="1" applyBorder="1" applyAlignment="1">
      <alignment horizontal="left" vertical="center" wrapText="1"/>
    </xf>
    <xf numFmtId="2" fontId="193" fillId="0" borderId="1" xfId="39" applyNumberFormat="1" applyFont="1" applyBorder="1" applyAlignment="1">
      <alignment vertical="center" wrapText="1"/>
    </xf>
    <xf numFmtId="171" fontId="193" fillId="0" borderId="1" xfId="0" applyFont="1" applyBorder="1" applyAlignment="1">
      <alignment horizontal="right" vertical="center" wrapText="1"/>
    </xf>
    <xf numFmtId="171" fontId="196" fillId="0" borderId="1" xfId="0" applyFont="1" applyBorder="1" applyAlignment="1">
      <alignment vertical="center" wrapText="1"/>
    </xf>
    <xf numFmtId="171" fontId="193" fillId="0" borderId="0" xfId="0" applyFont="1" applyAlignment="1">
      <alignment vertical="center"/>
    </xf>
    <xf numFmtId="171" fontId="193" fillId="8" borderId="1" xfId="0" applyFont="1" applyFill="1" applyBorder="1" applyAlignment="1">
      <alignment vertical="center" wrapText="1"/>
    </xf>
    <xf numFmtId="171" fontId="193" fillId="0" borderId="1" xfId="0" applyFont="1" applyBorder="1" applyAlignment="1">
      <alignment vertical="center" wrapText="1"/>
    </xf>
    <xf numFmtId="171" fontId="193" fillId="8" borderId="2" xfId="0" applyFont="1" applyFill="1" applyBorder="1" applyAlignment="1">
      <alignment vertical="center"/>
    </xf>
    <xf numFmtId="2" fontId="194" fillId="8" borderId="1" xfId="39" applyNumberFormat="1" applyFont="1" applyFill="1" applyBorder="1" applyAlignment="1">
      <alignment vertical="center" wrapText="1"/>
    </xf>
    <xf numFmtId="2" fontId="194" fillId="0" borderId="1" xfId="39" applyNumberFormat="1" applyFont="1" applyBorder="1" applyAlignment="1">
      <alignment vertical="center" wrapText="1"/>
    </xf>
    <xf numFmtId="178" fontId="193" fillId="8" borderId="1" xfId="0" applyNumberFormat="1" applyFont="1" applyFill="1" applyBorder="1" applyAlignment="1">
      <alignment horizontal="left" vertical="center" wrapText="1"/>
    </xf>
    <xf numFmtId="2" fontId="193" fillId="8" borderId="1" xfId="39" applyNumberFormat="1" applyFont="1" applyFill="1" applyBorder="1" applyAlignment="1">
      <alignment horizontal="left" vertical="center" wrapText="1"/>
    </xf>
    <xf numFmtId="178" fontId="193" fillId="8" borderId="1" xfId="0" applyNumberFormat="1" applyFont="1" applyFill="1" applyBorder="1" applyAlignment="1">
      <alignment horizontal="left" vertical="center"/>
    </xf>
    <xf numFmtId="178" fontId="193" fillId="0" borderId="1" xfId="0" applyNumberFormat="1" applyFont="1" applyBorder="1" applyAlignment="1">
      <alignment horizontal="left" vertical="center" wrapText="1"/>
    </xf>
    <xf numFmtId="171" fontId="196" fillId="9" borderId="1" xfId="0" applyFont="1" applyFill="1" applyBorder="1" applyAlignment="1">
      <alignment vertical="center" wrapText="1"/>
    </xf>
    <xf numFmtId="171" fontId="193" fillId="8" borderId="1" xfId="0" applyFont="1" applyFill="1" applyBorder="1" applyAlignment="1">
      <alignment horizontal="left" vertical="center"/>
    </xf>
    <xf numFmtId="174" fontId="193" fillId="0" borderId="1" xfId="39" applyNumberFormat="1" applyFont="1" applyBorder="1" applyAlignment="1">
      <alignment horizontal="left" vertical="center" wrapText="1"/>
    </xf>
    <xf numFmtId="174" fontId="193" fillId="8" borderId="1" xfId="0" applyNumberFormat="1" applyFont="1" applyFill="1" applyBorder="1" applyAlignment="1">
      <alignment horizontal="left" vertical="center"/>
    </xf>
    <xf numFmtId="174" fontId="193" fillId="8" borderId="1" xfId="39" applyNumberFormat="1" applyFont="1" applyFill="1" applyBorder="1" applyAlignment="1">
      <alignment horizontal="left" vertical="center" wrapText="1"/>
    </xf>
    <xf numFmtId="2" fontId="194" fillId="8" borderId="1" xfId="39" applyNumberFormat="1" applyFont="1" applyFill="1" applyBorder="1" applyAlignment="1">
      <alignment horizontal="center" vertical="center" wrapText="1"/>
    </xf>
    <xf numFmtId="2" fontId="193" fillId="0" borderId="1" xfId="39" applyNumberFormat="1" applyFont="1" applyBorder="1" applyAlignment="1">
      <alignment horizontal="left" vertical="center" wrapText="1"/>
    </xf>
    <xf numFmtId="171" fontId="193" fillId="0" borderId="2" xfId="0" applyFont="1" applyBorder="1" applyAlignment="1">
      <alignment vertical="center"/>
    </xf>
    <xf numFmtId="178" fontId="196" fillId="8" borderId="1" xfId="39" applyNumberFormat="1" applyFont="1" applyFill="1" applyBorder="1" applyAlignment="1">
      <alignment horizontal="left" vertical="center" wrapText="1"/>
    </xf>
    <xf numFmtId="2" fontId="196" fillId="8" borderId="1" xfId="39" applyNumberFormat="1" applyFont="1" applyFill="1" applyBorder="1" applyAlignment="1">
      <alignment vertical="center" wrapText="1"/>
    </xf>
    <xf numFmtId="171" fontId="197" fillId="8" borderId="2" xfId="0" applyFont="1" applyFill="1" applyBorder="1" applyAlignment="1">
      <alignment vertical="center"/>
    </xf>
    <xf numFmtId="2" fontId="196" fillId="8" borderId="1" xfId="39" applyNumberFormat="1" applyFont="1" applyFill="1" applyBorder="1" applyAlignment="1">
      <alignment horizontal="left" vertical="center" wrapText="1"/>
    </xf>
    <xf numFmtId="2" fontId="195" fillId="8" borderId="1" xfId="39" applyNumberFormat="1" applyFont="1" applyFill="1" applyBorder="1" applyAlignment="1">
      <alignment vertical="center" wrapText="1"/>
    </xf>
    <xf numFmtId="171" fontId="193" fillId="8" borderId="1" xfId="0" applyFont="1" applyFill="1" applyBorder="1" applyAlignment="1">
      <alignment horizontal="left" vertical="center" wrapText="1"/>
    </xf>
    <xf numFmtId="2" fontId="196" fillId="0" borderId="1" xfId="39" applyNumberFormat="1" applyFont="1" applyBorder="1" applyAlignment="1">
      <alignment vertical="center" wrapText="1"/>
    </xf>
    <xf numFmtId="171" fontId="196" fillId="0" borderId="1" xfId="0" applyFont="1" applyBorder="1" applyAlignment="1">
      <alignment horizontal="right" vertical="center" wrapText="1"/>
    </xf>
    <xf numFmtId="1" fontId="193" fillId="8" borderId="1" xfId="39" applyNumberFormat="1" applyFont="1" applyFill="1" applyBorder="1" applyAlignment="1">
      <alignment horizontal="left" vertical="center" wrapText="1"/>
    </xf>
    <xf numFmtId="171" fontId="193" fillId="9" borderId="1" xfId="0" applyFont="1" applyFill="1" applyBorder="1" applyAlignment="1">
      <alignment horizontal="right" vertical="center" wrapText="1"/>
    </xf>
    <xf numFmtId="171" fontId="197" fillId="8" borderId="1" xfId="0" applyFont="1" applyFill="1" applyBorder="1" applyAlignment="1">
      <alignment horizontal="right" vertical="center" wrapText="1"/>
    </xf>
    <xf numFmtId="2" fontId="193" fillId="8" borderId="1" xfId="40" applyNumberFormat="1" applyFont="1" applyFill="1" applyBorder="1" applyAlignment="1">
      <alignment vertical="center" wrapText="1"/>
    </xf>
    <xf numFmtId="182" fontId="193" fillId="0" borderId="1" xfId="39" applyNumberFormat="1" applyFont="1" applyBorder="1" applyAlignment="1">
      <alignment horizontal="left" vertical="center" wrapText="1"/>
    </xf>
    <xf numFmtId="178" fontId="193" fillId="0" borderId="1" xfId="0" applyNumberFormat="1" applyFont="1" applyBorder="1" applyAlignment="1">
      <alignment horizontal="left" vertical="center"/>
    </xf>
    <xf numFmtId="171" fontId="194" fillId="8" borderId="1" xfId="0" applyFont="1" applyFill="1" applyBorder="1" applyAlignment="1">
      <alignment horizontal="left" vertical="center"/>
    </xf>
    <xf numFmtId="0" fontId="194" fillId="8" borderId="1" xfId="0" applyNumberFormat="1" applyFont="1" applyFill="1" applyBorder="1" applyAlignment="1">
      <alignment horizontal="left" vertical="center" wrapText="1"/>
    </xf>
    <xf numFmtId="171" fontId="198" fillId="8" borderId="1" xfId="0" applyFont="1" applyFill="1" applyBorder="1" applyAlignment="1">
      <alignment horizontal="left" vertical="center" wrapText="1"/>
    </xf>
    <xf numFmtId="171" fontId="197" fillId="8" borderId="0" xfId="0" applyFont="1" applyFill="1" applyAlignment="1">
      <alignment vertical="center"/>
    </xf>
    <xf numFmtId="171" fontId="194" fillId="0" borderId="1" xfId="0" applyFont="1" applyBorder="1" applyAlignment="1">
      <alignment horizontal="left" vertical="center" wrapText="1"/>
    </xf>
    <xf numFmtId="171" fontId="193" fillId="8" borderId="1" xfId="0" applyFont="1" applyFill="1" applyBorder="1" applyAlignment="1">
      <alignment vertical="center"/>
    </xf>
    <xf numFmtId="2" fontId="193" fillId="8" borderId="1" xfId="40" applyNumberFormat="1" applyFont="1" applyFill="1" applyBorder="1" applyAlignment="1">
      <alignment horizontal="left" vertical="center" wrapText="1"/>
    </xf>
    <xf numFmtId="2" fontId="193" fillId="8" borderId="1" xfId="42" applyNumberFormat="1" applyFont="1" applyFill="1" applyBorder="1" applyAlignment="1">
      <alignment horizontal="right" vertical="center" wrapText="1"/>
    </xf>
    <xf numFmtId="0" fontId="193" fillId="8" borderId="1" xfId="0" applyNumberFormat="1" applyFont="1" applyFill="1" applyBorder="1" applyAlignment="1">
      <alignment horizontal="center" vertical="center" wrapText="1"/>
    </xf>
    <xf numFmtId="2" fontId="193" fillId="8" borderId="1" xfId="40" applyNumberFormat="1" applyFont="1" applyFill="1" applyBorder="1" applyAlignment="1">
      <alignment horizontal="center" vertical="center" wrapText="1"/>
    </xf>
    <xf numFmtId="2" fontId="196" fillId="0" borderId="1" xfId="39" applyNumberFormat="1" applyFont="1" applyBorder="1" applyAlignment="1">
      <alignment horizontal="center" vertical="center" wrapText="1"/>
    </xf>
    <xf numFmtId="178" fontId="193" fillId="14" borderId="1" xfId="39" applyNumberFormat="1" applyFont="1" applyFill="1" applyBorder="1" applyAlignment="1">
      <alignment horizontal="left" vertical="center" wrapText="1"/>
    </xf>
    <xf numFmtId="2" fontId="193" fillId="14" borderId="1" xfId="39" applyNumberFormat="1" applyFont="1" applyFill="1" applyBorder="1" applyAlignment="1">
      <alignment vertical="center" wrapText="1"/>
    </xf>
    <xf numFmtId="171" fontId="193" fillId="14" borderId="1" xfId="0" applyFont="1" applyFill="1" applyBorder="1" applyAlignment="1">
      <alignment vertical="center" wrapText="1"/>
    </xf>
    <xf numFmtId="2" fontId="193" fillId="14" borderId="1" xfId="39" applyNumberFormat="1" applyFont="1" applyFill="1" applyBorder="1" applyAlignment="1">
      <alignment horizontal="center" vertical="center" wrapText="1"/>
    </xf>
    <xf numFmtId="171" fontId="196" fillId="14" borderId="1" xfId="0" applyFont="1" applyFill="1" applyBorder="1" applyAlignment="1">
      <alignment vertical="center" wrapText="1"/>
    </xf>
    <xf numFmtId="171" fontId="193" fillId="14" borderId="0" xfId="0" applyFont="1" applyFill="1" applyAlignment="1">
      <alignment vertical="center"/>
    </xf>
    <xf numFmtId="171" fontId="193" fillId="14" borderId="1" xfId="0" applyFont="1" applyFill="1" applyBorder="1" applyAlignment="1">
      <alignment horizontal="left" vertical="center"/>
    </xf>
    <xf numFmtId="171" fontId="193" fillId="0" borderId="1" xfId="0" applyFont="1" applyBorder="1" applyAlignment="1">
      <alignment horizontal="left" vertical="center" wrapText="1"/>
    </xf>
    <xf numFmtId="171" fontId="197" fillId="0" borderId="1" xfId="0" applyFont="1" applyBorder="1" applyAlignment="1">
      <alignment horizontal="right" vertical="center" wrapText="1"/>
    </xf>
    <xf numFmtId="171" fontId="193" fillId="8" borderId="1" xfId="0" applyFont="1" applyFill="1" applyBorder="1" applyAlignment="1">
      <alignment horizontal="center" vertical="center" wrapText="1"/>
    </xf>
    <xf numFmtId="2" fontId="193" fillId="9" borderId="1" xfId="39" applyNumberFormat="1" applyFont="1" applyFill="1" applyBorder="1" applyAlignment="1">
      <alignment vertical="center" wrapText="1"/>
    </xf>
    <xf numFmtId="2" fontId="193" fillId="0" borderId="1" xfId="40" applyNumberFormat="1" applyFont="1" applyBorder="1" applyAlignment="1">
      <alignment vertical="center" wrapText="1"/>
    </xf>
    <xf numFmtId="1" fontId="193" fillId="0" borderId="1" xfId="39" applyNumberFormat="1" applyFont="1" applyBorder="1" applyAlignment="1">
      <alignment horizontal="left" vertical="center" wrapText="1"/>
    </xf>
    <xf numFmtId="2" fontId="193" fillId="8" borderId="1" xfId="0" applyNumberFormat="1" applyFont="1" applyFill="1" applyBorder="1" applyAlignment="1">
      <alignment horizontal="center" vertical="center" wrapText="1"/>
    </xf>
    <xf numFmtId="2" fontId="193" fillId="0" borderId="1" xfId="0" applyNumberFormat="1" applyFont="1" applyBorder="1" applyAlignment="1">
      <alignment horizontal="center" vertical="center" wrapText="1"/>
    </xf>
    <xf numFmtId="171" fontId="193" fillId="0" borderId="1" xfId="0" applyFont="1" applyBorder="1" applyAlignment="1">
      <alignment horizontal="center" vertical="center" wrapText="1"/>
    </xf>
    <xf numFmtId="1" fontId="193" fillId="8" borderId="1" xfId="39" applyNumberFormat="1" applyFont="1" applyFill="1" applyBorder="1" applyAlignment="1">
      <alignment horizontal="center" vertical="center" wrapText="1"/>
    </xf>
    <xf numFmtId="0" fontId="193" fillId="8" borderId="1" xfId="0" applyNumberFormat="1" applyFont="1" applyFill="1" applyBorder="1" applyAlignment="1">
      <alignment horizontal="left" vertical="center" wrapText="1"/>
    </xf>
    <xf numFmtId="1" fontId="193" fillId="0" borderId="1" xfId="39" applyNumberFormat="1" applyFont="1" applyBorder="1" applyAlignment="1">
      <alignment horizontal="center" vertical="center" wrapText="1"/>
    </xf>
    <xf numFmtId="171" fontId="197" fillId="0" borderId="1" xfId="0" applyFont="1" applyBorder="1" applyAlignment="1">
      <alignment vertical="center" wrapText="1"/>
    </xf>
    <xf numFmtId="171" fontId="193" fillId="0" borderId="1" xfId="0" applyFont="1" applyBorder="1" applyAlignment="1">
      <alignment horizontal="right" vertical="center"/>
    </xf>
    <xf numFmtId="0" fontId="193" fillId="0" borderId="1" xfId="37" applyFont="1" applyBorder="1" applyAlignment="1">
      <alignment horizontal="center" vertical="center" wrapText="1"/>
    </xf>
    <xf numFmtId="171" fontId="196" fillId="0" borderId="1" xfId="0" applyFont="1" applyBorder="1" applyAlignment="1">
      <alignment horizontal="center" vertical="center"/>
    </xf>
    <xf numFmtId="2" fontId="194" fillId="9" borderId="1" xfId="40" applyNumberFormat="1" applyFont="1" applyFill="1" applyBorder="1" applyAlignment="1">
      <alignment horizontal="left" vertical="center" wrapText="1"/>
    </xf>
    <xf numFmtId="171" fontId="193" fillId="9" borderId="1" xfId="0" applyFont="1" applyFill="1" applyBorder="1" applyAlignment="1">
      <alignment horizontal="center" vertical="center" wrapText="1"/>
    </xf>
    <xf numFmtId="2" fontId="193" fillId="9" borderId="1" xfId="40" applyNumberFormat="1" applyFont="1" applyFill="1" applyBorder="1" applyAlignment="1">
      <alignment horizontal="left" vertical="center" wrapText="1"/>
    </xf>
    <xf numFmtId="2" fontId="193" fillId="15" borderId="1" xfId="40" applyNumberFormat="1" applyFont="1" applyFill="1" applyBorder="1" applyAlignment="1">
      <alignment vertical="center" wrapText="1"/>
    </xf>
    <xf numFmtId="2" fontId="193" fillId="9" borderId="1" xfId="42" applyNumberFormat="1" applyFont="1" applyFill="1" applyBorder="1" applyAlignment="1">
      <alignment horizontal="right" vertical="center" wrapText="1"/>
    </xf>
    <xf numFmtId="171" fontId="193" fillId="8" borderId="1" xfId="13" applyNumberFormat="1" applyFont="1" applyFill="1" applyBorder="1" applyAlignment="1">
      <alignment horizontal="center" vertical="center" wrapText="1"/>
    </xf>
    <xf numFmtId="2" fontId="194" fillId="9" borderId="1" xfId="40" applyNumberFormat="1" applyFont="1" applyFill="1" applyBorder="1" applyAlignment="1">
      <alignment vertical="center" wrapText="1"/>
    </xf>
    <xf numFmtId="171" fontId="194" fillId="9" borderId="1" xfId="0" applyFont="1" applyFill="1" applyBorder="1" applyAlignment="1">
      <alignment vertical="center"/>
    </xf>
    <xf numFmtId="2" fontId="194" fillId="9" borderId="1" xfId="39" applyNumberFormat="1" applyFont="1" applyFill="1" applyBorder="1" applyAlignment="1">
      <alignment vertical="center" wrapText="1"/>
    </xf>
    <xf numFmtId="0" fontId="193" fillId="8" borderId="1" xfId="13" applyFont="1" applyFill="1" applyBorder="1" applyAlignment="1">
      <alignment horizontal="left" vertical="center" wrapText="1"/>
    </xf>
    <xf numFmtId="2" fontId="197" fillId="8" borderId="1" xfId="42" applyNumberFormat="1" applyFont="1" applyFill="1" applyBorder="1" applyAlignment="1">
      <alignment horizontal="right" vertical="center" wrapText="1"/>
    </xf>
    <xf numFmtId="0" fontId="193" fillId="8" borderId="1" xfId="13" applyFont="1" applyFill="1" applyBorder="1" applyAlignment="1">
      <alignment horizontal="center" vertical="center" wrapText="1"/>
    </xf>
    <xf numFmtId="178" fontId="194" fillId="8" borderId="1" xfId="39" applyNumberFormat="1" applyFont="1" applyFill="1" applyBorder="1" applyAlignment="1">
      <alignment horizontal="left" vertical="center" wrapText="1"/>
    </xf>
    <xf numFmtId="2" fontId="194" fillId="8" borderId="1" xfId="40" applyNumberFormat="1" applyFont="1" applyFill="1" applyBorder="1" applyAlignment="1">
      <alignment horizontal="left" vertical="center" wrapText="1"/>
    </xf>
    <xf numFmtId="2" fontId="194" fillId="8" borderId="1" xfId="42" applyNumberFormat="1" applyFont="1" applyFill="1" applyBorder="1" applyAlignment="1">
      <alignment horizontal="right" vertical="center" wrapText="1"/>
    </xf>
    <xf numFmtId="2" fontId="194" fillId="8" borderId="1" xfId="40" applyNumberFormat="1" applyFont="1" applyFill="1" applyBorder="1" applyAlignment="1">
      <alignment horizontal="center" vertical="center" wrapText="1"/>
    </xf>
    <xf numFmtId="171" fontId="194" fillId="8" borderId="0" xfId="0" applyFont="1" applyFill="1" applyAlignment="1">
      <alignment vertical="center"/>
    </xf>
    <xf numFmtId="2" fontId="194" fillId="8" borderId="1" xfId="40" applyNumberFormat="1" applyFont="1" applyFill="1" applyBorder="1" applyAlignment="1">
      <alignment vertical="center" wrapText="1"/>
    </xf>
    <xf numFmtId="171" fontId="193" fillId="8" borderId="1" xfId="0" applyFont="1" applyFill="1" applyBorder="1" applyAlignment="1">
      <alignment horizontal="center" vertical="center"/>
    </xf>
    <xf numFmtId="2" fontId="196" fillId="8" borderId="1" xfId="42" applyNumberFormat="1" applyFont="1" applyFill="1" applyBorder="1" applyAlignment="1">
      <alignment horizontal="right" vertical="center" wrapText="1"/>
    </xf>
    <xf numFmtId="2" fontId="196" fillId="8" borderId="1" xfId="40" applyNumberFormat="1" applyFont="1" applyFill="1" applyBorder="1" applyAlignment="1">
      <alignment horizontal="center" vertical="center" wrapText="1"/>
    </xf>
    <xf numFmtId="2" fontId="196" fillId="9" borderId="1" xfId="42" applyNumberFormat="1" applyFont="1" applyFill="1" applyBorder="1" applyAlignment="1">
      <alignment horizontal="right" vertical="center" wrapText="1"/>
    </xf>
    <xf numFmtId="2" fontId="194" fillId="0" borderId="1" xfId="40" applyNumberFormat="1" applyFont="1" applyBorder="1" applyAlignment="1">
      <alignment vertical="center" wrapText="1"/>
    </xf>
    <xf numFmtId="2" fontId="193" fillId="9" borderId="1" xfId="40" applyNumberFormat="1" applyFont="1" applyFill="1" applyBorder="1" applyAlignment="1">
      <alignment vertical="center" wrapText="1"/>
    </xf>
    <xf numFmtId="2" fontId="193" fillId="8" borderId="1" xfId="40" applyNumberFormat="1" applyFont="1" applyFill="1" applyBorder="1" applyAlignment="1">
      <alignment horizontal="right" vertical="center" wrapText="1"/>
    </xf>
    <xf numFmtId="2" fontId="193" fillId="0" borderId="1" xfId="42" applyNumberFormat="1" applyFont="1" applyFill="1" applyBorder="1" applyAlignment="1">
      <alignment horizontal="right" vertical="center" wrapText="1"/>
    </xf>
    <xf numFmtId="2" fontId="196" fillId="0" borderId="1" xfId="42" applyNumberFormat="1" applyFont="1" applyFill="1" applyBorder="1" applyAlignment="1">
      <alignment horizontal="right" vertical="center" wrapText="1"/>
    </xf>
    <xf numFmtId="2" fontId="199" fillId="8" borderId="1" xfId="39" applyNumberFormat="1" applyFont="1" applyFill="1" applyBorder="1" applyAlignment="1">
      <alignment vertical="center" wrapText="1"/>
    </xf>
    <xf numFmtId="171" fontId="199" fillId="8" borderId="1" xfId="0" applyFont="1" applyFill="1" applyBorder="1" applyAlignment="1">
      <alignment vertical="center"/>
    </xf>
    <xf numFmtId="2" fontId="197" fillId="8" borderId="1" xfId="39" applyNumberFormat="1" applyFont="1" applyFill="1" applyBorder="1" applyAlignment="1">
      <alignment vertical="center" wrapText="1"/>
    </xf>
    <xf numFmtId="2" fontId="193" fillId="0" borderId="1" xfId="39" applyNumberFormat="1" applyFont="1" applyBorder="1" applyAlignment="1">
      <alignment horizontal="right" vertical="center" wrapText="1"/>
    </xf>
    <xf numFmtId="2" fontId="193" fillId="8" borderId="1" xfId="39" applyNumberFormat="1" applyFont="1" applyFill="1" applyBorder="1" applyAlignment="1">
      <alignment horizontal="right" vertical="center" wrapText="1"/>
    </xf>
    <xf numFmtId="2" fontId="197" fillId="0" borderId="1" xfId="39" applyNumberFormat="1" applyFont="1" applyBorder="1" applyAlignment="1">
      <alignment vertical="center" wrapText="1"/>
    </xf>
    <xf numFmtId="171" fontId="193" fillId="9" borderId="1" xfId="0" applyFont="1" applyFill="1" applyBorder="1" applyAlignment="1">
      <alignment vertical="center" wrapText="1"/>
    </xf>
    <xf numFmtId="171" fontId="193" fillId="9" borderId="1" xfId="0" applyFont="1" applyFill="1" applyBorder="1" applyAlignment="1">
      <alignment horizontal="center" vertical="center"/>
    </xf>
    <xf numFmtId="0" fontId="193" fillId="9" borderId="1" xfId="37" applyFont="1" applyFill="1" applyBorder="1" applyAlignment="1">
      <alignment horizontal="center" vertical="center" wrapText="1"/>
    </xf>
    <xf numFmtId="171" fontId="193" fillId="16" borderId="0" xfId="0" applyFont="1" applyFill="1" applyAlignment="1">
      <alignment vertical="center"/>
    </xf>
    <xf numFmtId="171" fontId="195" fillId="0" borderId="1" xfId="0" applyFont="1" applyBorder="1" applyAlignment="1">
      <alignment horizontal="left" vertical="center" wrapText="1"/>
    </xf>
    <xf numFmtId="2" fontId="193" fillId="0" borderId="1" xfId="37" applyNumberFormat="1" applyFont="1" applyBorder="1" applyAlignment="1">
      <alignment horizontal="center" vertical="center" wrapText="1"/>
    </xf>
    <xf numFmtId="171" fontId="196" fillId="0" borderId="1" xfId="0" applyFont="1" applyBorder="1" applyAlignment="1">
      <alignment horizontal="left" vertical="center" wrapText="1"/>
    </xf>
    <xf numFmtId="2" fontId="193" fillId="0" borderId="1" xfId="38" applyNumberFormat="1" applyFont="1" applyFill="1" applyBorder="1" applyAlignment="1">
      <alignment horizontal="center" vertical="center" wrapText="1"/>
    </xf>
    <xf numFmtId="171" fontId="194" fillId="8" borderId="1" xfId="0" applyFont="1" applyFill="1" applyBorder="1" applyAlignment="1">
      <alignment horizontal="right" vertical="center"/>
    </xf>
    <xf numFmtId="171" fontId="193" fillId="8" borderId="1" xfId="0" applyFont="1" applyFill="1" applyBorder="1" applyAlignment="1">
      <alignment horizontal="right" vertical="center"/>
    </xf>
    <xf numFmtId="171" fontId="196" fillId="8" borderId="1" xfId="0" applyFont="1" applyFill="1" applyBorder="1" applyAlignment="1">
      <alignment horizontal="center" vertical="center"/>
    </xf>
    <xf numFmtId="171" fontId="193" fillId="8" borderId="13" xfId="0" applyFont="1" applyFill="1" applyBorder="1" applyAlignment="1">
      <alignment horizontal="left" vertical="center"/>
    </xf>
    <xf numFmtId="2" fontId="193" fillId="8" borderId="13" xfId="39" applyNumberFormat="1" applyFont="1" applyFill="1" applyBorder="1" applyAlignment="1">
      <alignment vertical="center" wrapText="1"/>
    </xf>
    <xf numFmtId="171" fontId="193" fillId="8" borderId="13" xfId="0" applyFont="1" applyFill="1" applyBorder="1" applyAlignment="1">
      <alignment horizontal="right" vertical="center"/>
    </xf>
    <xf numFmtId="2" fontId="193" fillId="8" borderId="13" xfId="39" applyNumberFormat="1" applyFont="1" applyFill="1" applyBorder="1" applyAlignment="1">
      <alignment horizontal="center" vertical="center" wrapText="1"/>
    </xf>
    <xf numFmtId="2" fontId="196" fillId="8" borderId="13" xfId="39" applyNumberFormat="1" applyFont="1" applyFill="1" applyBorder="1" applyAlignment="1">
      <alignment horizontal="center" vertical="center" wrapText="1"/>
    </xf>
    <xf numFmtId="171" fontId="196" fillId="0" borderId="13" xfId="0" applyFont="1" applyBorder="1" applyAlignment="1">
      <alignment vertical="center" wrapText="1"/>
    </xf>
    <xf numFmtId="171" fontId="196" fillId="8" borderId="13" xfId="0" applyFont="1" applyFill="1" applyBorder="1" applyAlignment="1">
      <alignment vertical="center" wrapText="1"/>
    </xf>
    <xf numFmtId="171" fontId="193" fillId="8" borderId="2" xfId="0" applyFont="1" applyFill="1" applyBorder="1" applyAlignment="1">
      <alignment horizontal="left" vertical="center"/>
    </xf>
    <xf numFmtId="2" fontId="193" fillId="8" borderId="2" xfId="39" applyNumberFormat="1" applyFont="1" applyFill="1" applyBorder="1" applyAlignment="1">
      <alignment vertical="center" wrapText="1"/>
    </xf>
    <xf numFmtId="171" fontId="193" fillId="8" borderId="2" xfId="0" applyFont="1" applyFill="1" applyBorder="1" applyAlignment="1">
      <alignment horizontal="right" vertical="center"/>
    </xf>
    <xf numFmtId="171" fontId="193" fillId="8" borderId="2" xfId="0" applyFont="1" applyFill="1" applyBorder="1" applyAlignment="1">
      <alignment horizontal="center" vertical="center"/>
    </xf>
    <xf numFmtId="171" fontId="196" fillId="8" borderId="2" xfId="0" applyFont="1" applyFill="1" applyBorder="1" applyAlignment="1">
      <alignment horizontal="center" vertical="center"/>
    </xf>
    <xf numFmtId="171" fontId="196" fillId="0" borderId="2" xfId="0" applyFont="1" applyBorder="1" applyAlignment="1">
      <alignment vertical="center" wrapText="1"/>
    </xf>
    <xf numFmtId="171" fontId="196" fillId="8" borderId="2" xfId="0" applyFont="1" applyFill="1" applyBorder="1" applyAlignment="1">
      <alignment vertical="center" wrapText="1"/>
    </xf>
    <xf numFmtId="2" fontId="194" fillId="8" borderId="2" xfId="39" applyNumberFormat="1" applyFont="1" applyFill="1" applyBorder="1" applyAlignment="1">
      <alignment vertical="center" wrapText="1"/>
    </xf>
    <xf numFmtId="171" fontId="193" fillId="8" borderId="2" xfId="0" applyFont="1" applyFill="1" applyBorder="1" applyAlignment="1">
      <alignment vertical="center" wrapText="1"/>
    </xf>
    <xf numFmtId="171" fontId="194" fillId="8" borderId="2" xfId="0" applyFont="1" applyFill="1" applyBorder="1" applyAlignment="1">
      <alignment vertical="center" wrapText="1"/>
    </xf>
    <xf numFmtId="171" fontId="193" fillId="8" borderId="0" xfId="0" applyFont="1" applyFill="1" applyAlignment="1">
      <alignment horizontal="left" vertical="center"/>
    </xf>
    <xf numFmtId="171" fontId="193" fillId="8" borderId="0" xfId="0" applyFont="1" applyFill="1" applyAlignment="1">
      <alignment horizontal="right" vertical="center"/>
    </xf>
    <xf numFmtId="171" fontId="196" fillId="8" borderId="0" xfId="0" applyFont="1" applyFill="1" applyAlignment="1">
      <alignment horizontal="center" vertical="center"/>
    </xf>
    <xf numFmtId="171" fontId="196" fillId="8" borderId="0" xfId="0" applyFont="1" applyFill="1" applyAlignment="1">
      <alignment horizontal="right" vertical="center"/>
    </xf>
    <xf numFmtId="173" fontId="196" fillId="8" borderId="0" xfId="0" applyNumberFormat="1" applyFont="1" applyFill="1" applyAlignment="1">
      <alignment horizontal="right" vertical="center"/>
    </xf>
    <xf numFmtId="171" fontId="195" fillId="0" borderId="1" xfId="0" applyFont="1" applyFill="1" applyBorder="1" applyAlignment="1">
      <alignment horizontal="center" vertical="center" wrapText="1"/>
    </xf>
    <xf numFmtId="2" fontId="196" fillId="0" borderId="1" xfId="39" applyNumberFormat="1" applyFont="1" applyFill="1" applyBorder="1" applyAlignment="1">
      <alignment horizontal="center" vertical="center" wrapText="1"/>
    </xf>
    <xf numFmtId="2" fontId="196" fillId="0" borderId="13" xfId="39" applyNumberFormat="1" applyFont="1" applyFill="1" applyBorder="1" applyAlignment="1">
      <alignment horizontal="center" vertical="center" wrapText="1"/>
    </xf>
    <xf numFmtId="2" fontId="196" fillId="0" borderId="2" xfId="39" applyNumberFormat="1" applyFont="1" applyFill="1" applyBorder="1" applyAlignment="1">
      <alignment horizontal="center" vertical="center" wrapText="1"/>
    </xf>
    <xf numFmtId="171" fontId="196" fillId="0" borderId="0" xfId="0" applyFont="1" applyFill="1" applyAlignment="1">
      <alignment horizontal="center" vertical="center"/>
    </xf>
    <xf numFmtId="171" fontId="194" fillId="9" borderId="1" xfId="0" applyFont="1" applyFill="1" applyBorder="1" applyAlignment="1">
      <alignment horizontal="left" vertical="center" wrapText="1"/>
    </xf>
    <xf numFmtId="171" fontId="196" fillId="8" borderId="1" xfId="0" applyNumberFormat="1" applyFont="1" applyFill="1" applyBorder="1" applyAlignment="1">
      <alignment vertical="center" wrapText="1"/>
    </xf>
    <xf numFmtId="171" fontId="193" fillId="0" borderId="1" xfId="0" applyFont="1" applyFill="1" applyBorder="1" applyAlignment="1">
      <alignment vertical="center" wrapText="1"/>
    </xf>
    <xf numFmtId="171" fontId="196" fillId="8" borderId="1" xfId="0" applyFont="1" applyFill="1" applyBorder="1" applyAlignment="1">
      <alignment horizontal="center" vertical="center" wrapText="1"/>
    </xf>
    <xf numFmtId="171" fontId="162" fillId="0" borderId="0" xfId="1111" applyNumberFormat="1" applyFont="1" applyBorder="1" applyAlignment="1">
      <alignment horizontal="center" vertical="center" wrapText="1"/>
    </xf>
    <xf numFmtId="171" fontId="200" fillId="0" borderId="0" xfId="1111" applyNumberFormat="1" applyFont="1" applyBorder="1" applyAlignment="1">
      <alignment horizontal="center" vertical="center"/>
    </xf>
    <xf numFmtId="171" fontId="160" fillId="0" borderId="0" xfId="1111" applyNumberFormat="1" applyFont="1" applyBorder="1" applyAlignment="1">
      <alignment vertical="center"/>
    </xf>
    <xf numFmtId="171" fontId="200" fillId="0" borderId="0" xfId="1111" applyNumberFormat="1" applyFont="1" applyBorder="1" applyAlignment="1">
      <alignment horizontal="right" vertical="center"/>
    </xf>
    <xf numFmtId="171" fontId="200" fillId="0" borderId="0" xfId="1111" applyNumberFormat="1" applyFont="1" applyBorder="1" applyAlignment="1">
      <alignment horizontal="left" vertical="center"/>
    </xf>
    <xf numFmtId="171" fontId="162" fillId="0" borderId="0" xfId="1111" applyNumberFormat="1" applyFont="1" applyBorder="1" applyAlignment="1">
      <alignment horizontal="right" vertical="center"/>
    </xf>
    <xf numFmtId="171" fontId="162" fillId="0" borderId="0" xfId="1111" applyNumberFormat="1" applyFont="1" applyBorder="1" applyAlignment="1">
      <alignment horizontal="center" vertical="center"/>
    </xf>
    <xf numFmtId="171" fontId="162" fillId="0" borderId="0" xfId="1111" applyNumberFormat="1" applyFont="1" applyBorder="1" applyAlignment="1">
      <alignment horizontal="left" vertical="center" wrapText="1"/>
    </xf>
    <xf numFmtId="178" fontId="160" fillId="0" borderId="0" xfId="52" applyNumberFormat="1" applyFont="1" applyFill="1" applyBorder="1" applyAlignment="1">
      <alignment horizontal="right" vertical="center" wrapText="1"/>
    </xf>
    <xf numFmtId="2" fontId="160" fillId="0" borderId="0" xfId="52" applyNumberFormat="1" applyFont="1" applyFill="1" applyBorder="1" applyAlignment="1">
      <alignment vertical="center" wrapText="1"/>
    </xf>
    <xf numFmtId="2" fontId="160" fillId="0" borderId="0" xfId="52" applyNumberFormat="1" applyFont="1" applyFill="1" applyBorder="1" applyAlignment="1">
      <alignment horizontal="left" vertical="center" wrapText="1"/>
    </xf>
    <xf numFmtId="171" fontId="160" fillId="0" borderId="0" xfId="1111" applyNumberFormat="1" applyFont="1" applyFill="1" applyBorder="1" applyAlignment="1">
      <alignment horizontal="right" vertical="center"/>
    </xf>
    <xf numFmtId="171" fontId="160" fillId="0" borderId="0" xfId="1111" applyNumberFormat="1" applyFont="1" applyFill="1" applyBorder="1" applyAlignment="1">
      <alignment vertical="center"/>
    </xf>
    <xf numFmtId="2" fontId="160" fillId="0" borderId="0" xfId="52" applyNumberFormat="1" applyFont="1" applyBorder="1" applyAlignment="1">
      <alignment vertical="center" wrapText="1"/>
    </xf>
    <xf numFmtId="2" fontId="160" fillId="0" borderId="0" xfId="52" applyNumberFormat="1" applyFont="1" applyBorder="1" applyAlignment="1">
      <alignment horizontal="left" vertical="center" wrapText="1"/>
    </xf>
    <xf numFmtId="171" fontId="160" fillId="0" borderId="0" xfId="1111" applyNumberFormat="1" applyFont="1" applyBorder="1" applyAlignment="1">
      <alignment horizontal="right" vertical="center"/>
    </xf>
    <xf numFmtId="171" fontId="160" fillId="0" borderId="0" xfId="0" applyFont="1" applyAlignment="1">
      <alignment horizontal="right" vertical="center"/>
    </xf>
    <xf numFmtId="171" fontId="162" fillId="0" borderId="0" xfId="0" applyFont="1" applyFill="1" applyBorder="1" applyAlignment="1">
      <alignment vertical="center" wrapText="1"/>
    </xf>
    <xf numFmtId="171" fontId="160" fillId="0" borderId="0" xfId="0" applyFont="1" applyAlignment="1">
      <alignment horizontal="left" vertical="center"/>
    </xf>
    <xf numFmtId="171" fontId="160" fillId="0" borderId="0" xfId="1110" applyNumberFormat="1" applyFont="1" applyBorder="1" applyAlignment="1">
      <alignment horizontal="right" vertical="center"/>
    </xf>
    <xf numFmtId="171" fontId="160" fillId="0" borderId="0" xfId="0" applyFont="1" applyBorder="1" applyAlignment="1">
      <alignment horizontal="right" vertical="center"/>
    </xf>
    <xf numFmtId="171" fontId="160" fillId="0" borderId="0" xfId="0" applyFont="1" applyFill="1" applyBorder="1" applyAlignment="1">
      <alignment horizontal="left" vertical="center"/>
    </xf>
    <xf numFmtId="171" fontId="160" fillId="0" borderId="0" xfId="0" applyFont="1" applyFill="1" applyBorder="1" applyAlignment="1">
      <alignment horizontal="left" vertical="center" wrapText="1"/>
    </xf>
    <xf numFmtId="171" fontId="162" fillId="0" borderId="0" xfId="0" applyFont="1" applyFill="1" applyBorder="1" applyAlignment="1">
      <alignment horizontal="right" vertical="center"/>
    </xf>
    <xf numFmtId="171" fontId="160" fillId="0" borderId="0" xfId="0" applyFont="1" applyFill="1" applyBorder="1" applyAlignment="1">
      <alignment vertical="center" wrapText="1"/>
    </xf>
    <xf numFmtId="171" fontId="160" fillId="6" borderId="0" xfId="0" applyFont="1" applyFill="1" applyAlignment="1">
      <alignment vertical="center"/>
    </xf>
    <xf numFmtId="171" fontId="160" fillId="0" borderId="0" xfId="0" applyFont="1" applyFill="1" applyAlignment="1">
      <alignment horizontal="right" vertical="center"/>
    </xf>
    <xf numFmtId="171" fontId="160" fillId="0" borderId="0" xfId="0" applyFont="1" applyFill="1" applyAlignment="1">
      <alignment vertical="center"/>
    </xf>
    <xf numFmtId="171" fontId="160" fillId="0" borderId="0" xfId="0" applyFont="1" applyFill="1" applyAlignment="1">
      <alignment horizontal="left" vertical="center"/>
    </xf>
    <xf numFmtId="171" fontId="160" fillId="0" borderId="0" xfId="1110" applyNumberFormat="1" applyFont="1" applyFill="1" applyBorder="1" applyAlignment="1">
      <alignment horizontal="right" vertical="center"/>
    </xf>
    <xf numFmtId="178" fontId="160" fillId="0" borderId="0" xfId="52" applyNumberFormat="1" applyFont="1" applyBorder="1" applyAlignment="1">
      <alignment horizontal="center" vertical="center" wrapText="1"/>
    </xf>
    <xf numFmtId="171" fontId="160" fillId="7" borderId="0" xfId="1111" applyNumberFormat="1" applyFont="1" applyFill="1" applyBorder="1" applyAlignment="1">
      <alignment horizontal="right" vertical="center"/>
    </xf>
    <xf numFmtId="171" fontId="162" fillId="0" borderId="0" xfId="0" applyFont="1" applyFill="1" applyBorder="1" applyAlignment="1">
      <alignment vertical="center"/>
    </xf>
    <xf numFmtId="171" fontId="160" fillId="0" borderId="0" xfId="0" applyFont="1" applyFill="1" applyBorder="1" applyAlignment="1">
      <alignment horizontal="right" vertical="center"/>
    </xf>
    <xf numFmtId="2" fontId="160" fillId="0" borderId="0" xfId="52" applyNumberFormat="1" applyFont="1" applyFill="1" applyBorder="1" applyAlignment="1">
      <alignment horizontal="right" vertical="center" wrapText="1"/>
    </xf>
    <xf numFmtId="2" fontId="160" fillId="6" borderId="0" xfId="52" applyNumberFormat="1" applyFont="1" applyFill="1" applyBorder="1" applyAlignment="1">
      <alignment horizontal="left" vertical="center" wrapText="1"/>
    </xf>
    <xf numFmtId="171" fontId="162" fillId="0" borderId="0" xfId="1111" applyNumberFormat="1" applyFont="1" applyFill="1" applyBorder="1" applyAlignment="1">
      <alignment horizontal="right" vertical="center"/>
    </xf>
    <xf numFmtId="171" fontId="160" fillId="0" borderId="0" xfId="0" applyFont="1"/>
    <xf numFmtId="171" fontId="160" fillId="0" borderId="0" xfId="0" applyFont="1" applyAlignment="1">
      <alignment horizontal="left"/>
    </xf>
    <xf numFmtId="0" fontId="160" fillId="0" borderId="0" xfId="1058" applyFont="1"/>
    <xf numFmtId="2" fontId="160" fillId="0" borderId="0" xfId="1058" applyNumberFormat="1" applyFont="1" applyAlignment="1">
      <alignment vertical="center"/>
    </xf>
    <xf numFmtId="0" fontId="160" fillId="0" borderId="0" xfId="1058" applyFont="1" applyAlignment="1">
      <alignment vertical="center"/>
    </xf>
    <xf numFmtId="0" fontId="160" fillId="0" borderId="0" xfId="1058" applyFont="1" applyAlignment="1">
      <alignment vertical="center" wrapText="1"/>
    </xf>
    <xf numFmtId="2" fontId="201" fillId="0" borderId="0" xfId="1058" applyNumberFormat="1" applyFont="1" applyAlignment="1">
      <alignment vertical="center"/>
    </xf>
    <xf numFmtId="0" fontId="201" fillId="0" borderId="0" xfId="1058" applyFont="1" applyAlignment="1">
      <alignment vertical="center"/>
    </xf>
    <xf numFmtId="2" fontId="201" fillId="6" borderId="0" xfId="1058" applyNumberFormat="1" applyFont="1" applyFill="1" applyAlignment="1">
      <alignment vertical="center"/>
    </xf>
    <xf numFmtId="0" fontId="162" fillId="0" borderId="0" xfId="1058" applyFont="1" applyAlignment="1">
      <alignment horizontal="right" vertical="center"/>
    </xf>
    <xf numFmtId="171" fontId="160" fillId="0" borderId="0" xfId="1111" applyNumberFormat="1" applyFont="1" applyBorder="1" applyAlignment="1">
      <alignment horizontal="left" vertical="center"/>
    </xf>
    <xf numFmtId="171" fontId="162" fillId="0" borderId="0" xfId="1111" applyNumberFormat="1" applyFont="1" applyBorder="1" applyAlignment="1">
      <alignment horizontal="left" vertical="center"/>
    </xf>
    <xf numFmtId="171" fontId="162" fillId="6" borderId="18" xfId="0" applyFont="1" applyFill="1" applyBorder="1" applyAlignment="1">
      <alignment horizontal="right" vertical="center"/>
    </xf>
    <xf numFmtId="171" fontId="162" fillId="6" borderId="34" xfId="0" applyFont="1" applyFill="1" applyBorder="1" applyAlignment="1">
      <alignment horizontal="right" vertical="center"/>
    </xf>
    <xf numFmtId="2" fontId="201" fillId="0" borderId="0" xfId="1058" applyNumberFormat="1" applyFont="1" applyAlignment="1">
      <alignment horizontal="right" vertical="center"/>
    </xf>
    <xf numFmtId="2" fontId="202" fillId="6" borderId="0" xfId="1058" applyNumberFormat="1" applyFont="1" applyFill="1" applyAlignment="1">
      <alignment horizontal="right" vertical="center"/>
    </xf>
    <xf numFmtId="0" fontId="201" fillId="0" borderId="0" xfId="1058" applyFont="1" applyAlignment="1">
      <alignment horizontal="right" vertical="center"/>
    </xf>
    <xf numFmtId="2" fontId="202" fillId="0" borderId="0" xfId="1058" applyNumberFormat="1" applyFont="1" applyAlignment="1">
      <alignment horizontal="right" vertical="center"/>
    </xf>
    <xf numFmtId="171" fontId="160" fillId="0" borderId="0" xfId="0" applyFont="1" applyAlignment="1">
      <alignment horizontal="right"/>
    </xf>
    <xf numFmtId="171" fontId="196" fillId="8" borderId="0" xfId="0" applyFont="1" applyFill="1" applyBorder="1" applyAlignment="1">
      <alignment vertical="center" wrapText="1"/>
    </xf>
    <xf numFmtId="171" fontId="204" fillId="0" borderId="0" xfId="0" applyFont="1" applyFill="1" applyAlignment="1">
      <alignment vertical="center"/>
    </xf>
    <xf numFmtId="172" fontId="206" fillId="0" borderId="1" xfId="49" applyNumberFormat="1" applyFont="1" applyFill="1" applyBorder="1" applyAlignment="1">
      <alignment horizontal="center" vertical="center"/>
    </xf>
    <xf numFmtId="171" fontId="206" fillId="0" borderId="1" xfId="49" applyNumberFormat="1" applyFont="1" applyFill="1" applyBorder="1" applyAlignment="1">
      <alignment horizontal="center" vertical="center"/>
    </xf>
    <xf numFmtId="171" fontId="206" fillId="0" borderId="1" xfId="49" applyNumberFormat="1" applyFont="1" applyFill="1" applyBorder="1" applyAlignment="1">
      <alignment horizontal="center" vertical="center" wrapText="1"/>
    </xf>
    <xf numFmtId="171" fontId="206" fillId="0" borderId="0" xfId="0" applyFont="1" applyFill="1" applyAlignment="1">
      <alignment horizontal="center" vertical="center"/>
    </xf>
    <xf numFmtId="172" fontId="204" fillId="0" borderId="1" xfId="0" applyNumberFormat="1" applyFont="1" applyFill="1" applyBorder="1" applyAlignment="1">
      <alignment horizontal="center" vertical="center"/>
    </xf>
    <xf numFmtId="171" fontId="204" fillId="0" borderId="1" xfId="0" applyFont="1" applyFill="1" applyBorder="1" applyAlignment="1">
      <alignment horizontal="center" vertical="center"/>
    </xf>
    <xf numFmtId="171" fontId="204" fillId="0" borderId="1" xfId="0" applyFont="1" applyFill="1" applyBorder="1" applyAlignment="1">
      <alignment vertical="center" wrapText="1"/>
    </xf>
    <xf numFmtId="171" fontId="204" fillId="0" borderId="1" xfId="0" applyFont="1" applyFill="1" applyBorder="1" applyAlignment="1">
      <alignment horizontal="right" vertical="center"/>
    </xf>
    <xf numFmtId="173" fontId="204" fillId="0" borderId="1" xfId="0" applyNumberFormat="1" applyFont="1" applyFill="1" applyBorder="1" applyAlignment="1">
      <alignment horizontal="center" vertical="center"/>
    </xf>
    <xf numFmtId="171" fontId="206" fillId="0" borderId="0" xfId="0" applyFont="1" applyFill="1" applyAlignment="1">
      <alignment vertical="center"/>
    </xf>
    <xf numFmtId="171" fontId="206" fillId="6" borderId="1" xfId="0" applyFont="1" applyFill="1" applyBorder="1" applyAlignment="1">
      <alignment horizontal="center" vertical="center" wrapText="1"/>
    </xf>
    <xf numFmtId="171" fontId="204" fillId="0" borderId="1" xfId="0" applyFont="1" applyFill="1" applyBorder="1" applyAlignment="1">
      <alignment horizontal="left" vertical="center" wrapText="1"/>
    </xf>
    <xf numFmtId="0" fontId="206" fillId="0" borderId="1" xfId="1158" applyFont="1" applyFill="1" applyBorder="1" applyAlignment="1">
      <alignment horizontal="right" vertical="center"/>
    </xf>
    <xf numFmtId="171" fontId="206" fillId="0" borderId="1" xfId="0" applyFont="1" applyFill="1" applyBorder="1" applyAlignment="1">
      <alignment horizontal="right" vertical="center"/>
    </xf>
    <xf numFmtId="172" fontId="204" fillId="0" borderId="0" xfId="0" applyNumberFormat="1" applyFont="1" applyFill="1" applyAlignment="1">
      <alignment horizontal="center" vertical="center"/>
    </xf>
    <xf numFmtId="171" fontId="204" fillId="0" borderId="0" xfId="0" applyFont="1" applyFill="1" applyAlignment="1">
      <alignment horizontal="center" vertical="center"/>
    </xf>
    <xf numFmtId="171" fontId="204" fillId="0" borderId="0" xfId="0" applyFont="1" applyFill="1" applyAlignment="1">
      <alignment vertical="center" wrapText="1"/>
    </xf>
    <xf numFmtId="171" fontId="204" fillId="0" borderId="0" xfId="0" applyFont="1" applyFill="1" applyAlignment="1">
      <alignment horizontal="right" vertical="center"/>
    </xf>
    <xf numFmtId="0" fontId="204" fillId="0" borderId="0" xfId="1158" applyFont="1" applyFill="1" applyBorder="1" applyAlignment="1">
      <alignment vertical="center"/>
    </xf>
    <xf numFmtId="171" fontId="160" fillId="0" borderId="0" xfId="0" applyFont="1" applyFill="1" applyBorder="1" applyAlignment="1">
      <alignment horizontal="left" vertical="center" wrapText="1"/>
    </xf>
    <xf numFmtId="171" fontId="14" fillId="0" borderId="0" xfId="0" applyFont="1" applyAlignment="1">
      <alignment vertical="center"/>
    </xf>
    <xf numFmtId="171" fontId="207" fillId="52" borderId="1" xfId="0" applyFont="1" applyFill="1" applyBorder="1" applyAlignment="1">
      <alignment horizontal="left" vertical="center"/>
    </xf>
    <xf numFmtId="2" fontId="208" fillId="52" borderId="1" xfId="39" applyNumberFormat="1" applyFont="1" applyFill="1" applyBorder="1" applyAlignment="1">
      <alignment horizontal="center" vertical="center" wrapText="1"/>
    </xf>
    <xf numFmtId="171" fontId="207" fillId="52" borderId="1" xfId="0" applyFont="1" applyFill="1" applyBorder="1" applyAlignment="1">
      <alignment vertical="center" wrapText="1"/>
    </xf>
    <xf numFmtId="2" fontId="207" fillId="52" borderId="1" xfId="39" applyNumberFormat="1" applyFont="1" applyFill="1" applyBorder="1" applyAlignment="1">
      <alignment horizontal="center" vertical="center" wrapText="1"/>
    </xf>
    <xf numFmtId="2" fontId="209" fillId="52" borderId="1" xfId="39" applyNumberFormat="1" applyFont="1" applyFill="1" applyBorder="1" applyAlignment="1">
      <alignment horizontal="center" vertical="center" wrapText="1"/>
    </xf>
    <xf numFmtId="2" fontId="210" fillId="52" borderId="1" xfId="39" applyNumberFormat="1" applyFont="1" applyFill="1" applyBorder="1" applyAlignment="1">
      <alignment horizontal="right" vertical="center" wrapText="1"/>
    </xf>
    <xf numFmtId="171" fontId="209" fillId="52" borderId="1" xfId="0" applyFont="1" applyFill="1" applyBorder="1" applyAlignment="1">
      <alignment vertical="center" wrapText="1"/>
    </xf>
    <xf numFmtId="2" fontId="210" fillId="52" borderId="1" xfId="39" applyNumberFormat="1" applyFont="1" applyFill="1" applyBorder="1" applyAlignment="1">
      <alignment horizontal="center" vertical="center" wrapText="1"/>
    </xf>
    <xf numFmtId="171" fontId="210" fillId="52" borderId="1" xfId="0" applyFont="1" applyFill="1" applyBorder="1" applyAlignment="1">
      <alignment vertical="center" wrapText="1"/>
    </xf>
    <xf numFmtId="173" fontId="209" fillId="52" borderId="1" xfId="0" applyNumberFormat="1" applyFont="1" applyFill="1" applyBorder="1" applyAlignment="1">
      <alignment vertical="center" wrapText="1"/>
    </xf>
    <xf numFmtId="171" fontId="207" fillId="52" borderId="0" xfId="0" applyFont="1" applyFill="1" applyAlignment="1">
      <alignment vertical="center"/>
    </xf>
    <xf numFmtId="171" fontId="193" fillId="52" borderId="1" xfId="0" applyFont="1" applyFill="1" applyBorder="1" applyAlignment="1">
      <alignment horizontal="left" vertical="center"/>
    </xf>
    <xf numFmtId="2" fontId="194" fillId="52" borderId="1" xfId="39" applyNumberFormat="1" applyFont="1" applyFill="1" applyBorder="1" applyAlignment="1">
      <alignment horizontal="center" vertical="center" wrapText="1"/>
    </xf>
    <xf numFmtId="171" fontId="193" fillId="52" borderId="1" xfId="0" applyFont="1" applyFill="1" applyBorder="1" applyAlignment="1">
      <alignment vertical="center" wrapText="1"/>
    </xf>
    <xf numFmtId="2" fontId="193" fillId="52" borderId="1" xfId="39" applyNumberFormat="1" applyFont="1" applyFill="1" applyBorder="1" applyAlignment="1">
      <alignment horizontal="center" vertical="center" wrapText="1"/>
    </xf>
    <xf numFmtId="2" fontId="195" fillId="52" borderId="1" xfId="39" applyNumberFormat="1" applyFont="1" applyFill="1" applyBorder="1" applyAlignment="1">
      <alignment horizontal="center" vertical="center" wrapText="1"/>
    </xf>
    <xf numFmtId="171" fontId="196" fillId="52" borderId="1" xfId="0" applyFont="1" applyFill="1" applyBorder="1" applyAlignment="1">
      <alignment vertical="center" wrapText="1"/>
    </xf>
    <xf numFmtId="171" fontId="195" fillId="52" borderId="1" xfId="0" applyFont="1" applyFill="1" applyBorder="1" applyAlignment="1">
      <alignment vertical="center" wrapText="1"/>
    </xf>
    <xf numFmtId="173" fontId="196" fillId="52" borderId="1" xfId="0" applyNumberFormat="1" applyFont="1" applyFill="1" applyBorder="1" applyAlignment="1">
      <alignment vertical="center" wrapText="1"/>
    </xf>
    <xf numFmtId="171" fontId="193" fillId="52" borderId="0" xfId="0" applyFont="1" applyFill="1" applyAlignment="1">
      <alignment vertical="center"/>
    </xf>
    <xf numFmtId="171" fontId="61" fillId="0" borderId="11" xfId="0" applyFont="1" applyBorder="1"/>
    <xf numFmtId="171" fontId="63" fillId="0" borderId="0" xfId="0" applyFont="1" applyAlignment="1"/>
    <xf numFmtId="171" fontId="61" fillId="0" borderId="0" xfId="0" applyFont="1" applyAlignment="1"/>
    <xf numFmtId="171" fontId="129" fillId="0" borderId="0" xfId="0" applyFont="1" applyAlignment="1"/>
    <xf numFmtId="171" fontId="67" fillId="0" borderId="0" xfId="0" applyFont="1" applyAlignment="1">
      <alignment vertical="top"/>
    </xf>
    <xf numFmtId="171" fontId="61" fillId="0" borderId="5" xfId="0" applyFont="1" applyBorder="1" applyAlignment="1"/>
    <xf numFmtId="171" fontId="162" fillId="0" borderId="0" xfId="1111" applyNumberFormat="1" applyFont="1" applyBorder="1" applyAlignment="1">
      <alignment vertical="center"/>
    </xf>
    <xf numFmtId="171" fontId="196" fillId="8" borderId="17" xfId="0" applyFont="1" applyFill="1" applyBorder="1" applyAlignment="1">
      <alignment horizontal="right" vertical="center" wrapText="1"/>
    </xf>
    <xf numFmtId="171" fontId="196" fillId="8" borderId="35" xfId="0" applyFont="1" applyFill="1" applyBorder="1" applyAlignment="1">
      <alignment horizontal="right" vertical="center" wrapText="1"/>
    </xf>
    <xf numFmtId="171" fontId="196" fillId="8" borderId="36" xfId="0" applyFont="1" applyFill="1" applyBorder="1" applyAlignment="1">
      <alignment horizontal="right" vertical="center" wrapText="1"/>
    </xf>
    <xf numFmtId="171" fontId="193" fillId="8" borderId="0" xfId="0" applyFont="1" applyFill="1" applyBorder="1" applyAlignment="1">
      <alignment vertical="center"/>
    </xf>
    <xf numFmtId="171" fontId="193" fillId="8" borderId="0" xfId="0" applyFont="1" applyFill="1" applyBorder="1" applyAlignment="1">
      <alignment horizontal="center" vertical="center"/>
    </xf>
    <xf numFmtId="171" fontId="193" fillId="0" borderId="0" xfId="0" applyFont="1" applyBorder="1" applyAlignment="1">
      <alignment vertical="center"/>
    </xf>
    <xf numFmtId="171" fontId="197" fillId="8" borderId="0" xfId="0" applyFont="1" applyFill="1" applyBorder="1" applyAlignment="1">
      <alignment vertical="center"/>
    </xf>
    <xf numFmtId="171" fontId="193" fillId="14" borderId="0" xfId="0" applyFont="1" applyFill="1" applyBorder="1" applyAlignment="1">
      <alignment vertical="center"/>
    </xf>
    <xf numFmtId="171" fontId="194" fillId="8" borderId="0" xfId="0" applyFont="1" applyFill="1" applyBorder="1" applyAlignment="1">
      <alignment vertical="center"/>
    </xf>
    <xf numFmtId="171" fontId="193" fillId="16" borderId="0" xfId="0" applyFont="1" applyFill="1" applyBorder="1" applyAlignment="1">
      <alignment vertical="center"/>
    </xf>
    <xf numFmtId="171" fontId="207" fillId="52" borderId="0" xfId="0" applyFont="1" applyFill="1" applyBorder="1" applyAlignment="1">
      <alignment vertical="center"/>
    </xf>
    <xf numFmtId="171" fontId="204" fillId="9" borderId="1" xfId="0" applyFont="1" applyFill="1" applyBorder="1" applyAlignment="1">
      <alignment horizontal="center" vertical="center"/>
    </xf>
    <xf numFmtId="2" fontId="193" fillId="9" borderId="1" xfId="38" applyNumberFormat="1" applyFont="1" applyFill="1" applyBorder="1" applyAlignment="1">
      <alignment horizontal="center" vertical="center" wrapText="1"/>
    </xf>
    <xf numFmtId="171" fontId="193" fillId="0" borderId="1" xfId="0" applyFont="1" applyFill="1" applyBorder="1" applyAlignment="1">
      <alignment horizontal="right" vertical="center" wrapText="1"/>
    </xf>
    <xf numFmtId="171" fontId="196" fillId="53" borderId="1" xfId="0" applyFont="1" applyFill="1" applyBorder="1" applyAlignment="1">
      <alignment vertical="center" wrapText="1"/>
    </xf>
    <xf numFmtId="173" fontId="196" fillId="53" borderId="1" xfId="0" applyNumberFormat="1" applyFont="1" applyFill="1" applyBorder="1" applyAlignment="1">
      <alignment vertical="center" wrapText="1"/>
    </xf>
    <xf numFmtId="171" fontId="196" fillId="53" borderId="1" xfId="0" applyFont="1" applyFill="1" applyBorder="1" applyAlignment="1">
      <alignment horizontal="center" vertical="center"/>
    </xf>
    <xf numFmtId="171" fontId="196" fillId="53" borderId="1" xfId="0" applyFont="1" applyFill="1" applyBorder="1" applyAlignment="1">
      <alignment horizontal="center" vertical="center" wrapText="1"/>
    </xf>
    <xf numFmtId="171" fontId="61" fillId="0" borderId="0" xfId="0" applyFont="1" applyAlignment="1">
      <alignment horizontal="left" vertical="top" wrapText="1"/>
    </xf>
    <xf numFmtId="171" fontId="196" fillId="0" borderId="1" xfId="0" applyFont="1" applyFill="1" applyBorder="1" applyAlignment="1">
      <alignment vertical="center" wrapText="1"/>
    </xf>
    <xf numFmtId="0" fontId="154" fillId="0" borderId="1" xfId="0" applyNumberFormat="1" applyFont="1" applyFill="1" applyBorder="1" applyAlignment="1">
      <alignment vertical="center" wrapText="1"/>
    </xf>
    <xf numFmtId="0" fontId="28" fillId="9" borderId="0" xfId="55" applyFont="1" applyFill="1" applyBorder="1" applyAlignment="1">
      <alignment horizontal="left" vertical="center"/>
    </xf>
    <xf numFmtId="0" fontId="154" fillId="0" borderId="1" xfId="0" applyNumberFormat="1" applyFont="1" applyBorder="1" applyAlignment="1">
      <alignment horizontal="center" vertical="center"/>
    </xf>
    <xf numFmtId="171" fontId="211" fillId="0" borderId="0" xfId="0" applyFont="1" applyAlignment="1">
      <alignment horizontal="left" vertical="top"/>
    </xf>
    <xf numFmtId="171" fontId="0" fillId="0" borderId="0" xfId="0" applyAlignment="1">
      <alignment wrapText="1"/>
    </xf>
    <xf numFmtId="171" fontId="28" fillId="0" borderId="1" xfId="56" applyNumberFormat="1" applyFont="1" applyFill="1" applyBorder="1" applyAlignment="1">
      <alignment horizontal="right" vertical="center"/>
    </xf>
    <xf numFmtId="0" fontId="28" fillId="0" borderId="0" xfId="55" applyFont="1" applyFill="1" applyBorder="1" applyAlignment="1">
      <alignment horizontal="left" vertical="center"/>
    </xf>
    <xf numFmtId="171" fontId="28" fillId="0" borderId="1" xfId="51" applyNumberFormat="1" applyFont="1" applyFill="1" applyBorder="1" applyAlignment="1">
      <alignment horizontal="left" vertical="center"/>
    </xf>
    <xf numFmtId="4" fontId="160" fillId="0" borderId="1" xfId="53" applyNumberFormat="1" applyFont="1" applyFill="1" applyBorder="1" applyAlignment="1">
      <alignment horizontal="left" vertical="center" wrapText="1"/>
    </xf>
    <xf numFmtId="0" fontId="28" fillId="0" borderId="1" xfId="55" applyFont="1" applyFill="1" applyBorder="1" applyAlignment="1">
      <alignment horizontal="left" vertical="center"/>
    </xf>
    <xf numFmtId="171" fontId="165" fillId="0" borderId="1" xfId="0" applyNumberFormat="1" applyFont="1" applyFill="1" applyBorder="1" applyAlignment="1">
      <alignment vertical="center"/>
    </xf>
    <xf numFmtId="0" fontId="166" fillId="0" borderId="1" xfId="0" applyNumberFormat="1" applyFont="1" applyFill="1" applyBorder="1" applyAlignment="1">
      <alignment vertical="center"/>
    </xf>
    <xf numFmtId="171" fontId="157" fillId="0" borderId="1" xfId="56" applyNumberFormat="1" applyFont="1" applyFill="1" applyBorder="1" applyAlignment="1">
      <alignment horizontal="right" vertical="center"/>
    </xf>
    <xf numFmtId="171" fontId="162" fillId="0" borderId="1" xfId="0" applyFont="1" applyFill="1" applyBorder="1" applyAlignment="1">
      <alignment vertical="center"/>
    </xf>
    <xf numFmtId="171" fontId="28" fillId="0" borderId="1" xfId="0" applyFont="1" applyFill="1" applyBorder="1"/>
    <xf numFmtId="171" fontId="61" fillId="0" borderId="0" xfId="0" applyFont="1" applyAlignment="1">
      <alignment horizontal="left" vertical="top" wrapText="1"/>
    </xf>
    <xf numFmtId="2" fontId="193" fillId="0" borderId="1" xfId="39" applyNumberFormat="1" applyFont="1" applyFill="1" applyBorder="1" applyAlignment="1">
      <alignment vertical="center" wrapText="1"/>
    </xf>
    <xf numFmtId="171" fontId="63" fillId="0" borderId="0" xfId="0" applyFont="1" applyAlignment="1">
      <alignment horizontal="right"/>
    </xf>
    <xf numFmtId="171" fontId="61" fillId="0" borderId="0" xfId="0" applyFont="1" applyAlignment="1">
      <alignment horizontal="center"/>
    </xf>
    <xf numFmtId="171" fontId="61" fillId="0" borderId="0" xfId="0" applyFont="1" applyAlignment="1">
      <alignment vertical="top"/>
    </xf>
    <xf numFmtId="171" fontId="63" fillId="0" borderId="0" xfId="0" applyFont="1" applyAlignment="1">
      <alignment horizontal="center"/>
    </xf>
    <xf numFmtId="171" fontId="0" fillId="0" borderId="0" xfId="0" applyNumberFormat="1" applyProtection="1"/>
    <xf numFmtId="171" fontId="196" fillId="0" borderId="1" xfId="0" applyFont="1" applyFill="1" applyBorder="1" applyAlignment="1">
      <alignment horizontal="right" vertical="center" wrapText="1"/>
    </xf>
    <xf numFmtId="171" fontId="5" fillId="0" borderId="0" xfId="0" applyFont="1" applyAlignment="1">
      <alignment vertical="center"/>
    </xf>
    <xf numFmtId="171" fontId="5" fillId="0" borderId="0" xfId="0" applyFont="1" applyFill="1" applyAlignment="1">
      <alignment vertical="center"/>
    </xf>
    <xf numFmtId="173" fontId="196" fillId="0" borderId="1" xfId="0" applyNumberFormat="1" applyFont="1" applyFill="1" applyBorder="1" applyAlignment="1">
      <alignment vertical="center" wrapText="1"/>
    </xf>
    <xf numFmtId="171" fontId="194" fillId="8" borderId="1" xfId="0" applyFont="1" applyFill="1" applyBorder="1" applyAlignment="1">
      <alignment horizontal="center" vertical="center" wrapText="1"/>
    </xf>
    <xf numFmtId="171" fontId="194" fillId="8" borderId="1" xfId="0" applyFont="1" applyFill="1" applyBorder="1" applyAlignment="1">
      <alignment horizontal="left" vertical="center" wrapText="1"/>
    </xf>
    <xf numFmtId="171" fontId="195" fillId="8" borderId="1" xfId="0" applyFont="1" applyFill="1" applyBorder="1" applyAlignment="1">
      <alignment horizontal="center" vertical="center" wrapText="1"/>
    </xf>
    <xf numFmtId="171" fontId="212" fillId="0" borderId="0" xfId="0" applyFont="1" applyAlignment="1">
      <alignment horizontal="left"/>
    </xf>
    <xf numFmtId="171" fontId="212" fillId="0" borderId="0" xfId="0" applyFont="1" applyAlignment="1">
      <alignment horizontal="fill"/>
    </xf>
    <xf numFmtId="171" fontId="212" fillId="0" borderId="0" xfId="0" applyFont="1" applyAlignment="1">
      <alignment horizontal="center"/>
    </xf>
    <xf numFmtId="171" fontId="160" fillId="0" borderId="0" xfId="1111" applyNumberFormat="1" applyFont="1" applyBorder="1" applyAlignment="1">
      <alignment horizontal="left" vertical="center" wrapText="1"/>
    </xf>
    <xf numFmtId="171" fontId="160" fillId="0" borderId="1" xfId="0" applyFont="1" applyFill="1" applyBorder="1" applyAlignment="1">
      <alignment vertical="center" wrapText="1"/>
    </xf>
    <xf numFmtId="2" fontId="195" fillId="52" borderId="1" xfId="39" applyNumberFormat="1" applyFont="1" applyFill="1" applyBorder="1" applyAlignment="1">
      <alignment horizontal="right" vertical="center" wrapText="1"/>
    </xf>
    <xf numFmtId="171" fontId="195" fillId="8" borderId="1" xfId="0" applyFont="1" applyFill="1" applyBorder="1" applyAlignment="1">
      <alignment horizontal="right" vertical="center" wrapText="1"/>
    </xf>
    <xf numFmtId="0" fontId="158" fillId="9" borderId="1" xfId="0" applyNumberFormat="1" applyFont="1" applyFill="1" applyBorder="1" applyAlignment="1">
      <alignment vertical="center" wrapText="1"/>
    </xf>
    <xf numFmtId="171" fontId="28" fillId="0" borderId="1" xfId="0" applyFont="1" applyFill="1" applyBorder="1" applyAlignment="1">
      <alignment horizontal="left" vertical="center" wrapText="1"/>
    </xf>
    <xf numFmtId="2" fontId="28" fillId="0" borderId="1" xfId="52" applyNumberFormat="1" applyFont="1" applyFill="1" applyBorder="1" applyAlignment="1">
      <alignment horizontal="left" vertical="center" wrapText="1"/>
    </xf>
    <xf numFmtId="0" fontId="28" fillId="0" borderId="1" xfId="0" applyNumberFormat="1" applyFont="1" applyFill="1" applyBorder="1" applyAlignment="1">
      <alignment horizontal="left" vertical="center" wrapText="1"/>
    </xf>
    <xf numFmtId="0" fontId="19" fillId="0" borderId="0" xfId="0" applyNumberFormat="1" applyFont="1" applyAlignment="1">
      <alignment horizontal="center" vertical="center" wrapText="1"/>
    </xf>
    <xf numFmtId="171" fontId="19" fillId="0" borderId="0" xfId="0" applyFont="1" applyAlignment="1">
      <alignment horizontal="center" vertical="center" wrapText="1"/>
    </xf>
    <xf numFmtId="171" fontId="19" fillId="0" borderId="0" xfId="0" applyFont="1" applyAlignment="1">
      <alignment horizontal="center" vertical="center"/>
    </xf>
    <xf numFmtId="0" fontId="22" fillId="0" borderId="0" xfId="0" applyNumberFormat="1" applyFont="1" applyAlignment="1">
      <alignment horizontal="left" vertical="top" wrapText="1"/>
    </xf>
    <xf numFmtId="0" fontId="20" fillId="0" borderId="0" xfId="0" applyNumberFormat="1" applyFont="1" applyAlignment="1">
      <alignment horizontal="left" vertical="top" wrapText="1"/>
    </xf>
    <xf numFmtId="0" fontId="19" fillId="0" borderId="0" xfId="0" applyNumberFormat="1" applyFont="1" applyAlignment="1">
      <alignment horizontal="center" vertical="top" wrapText="1"/>
    </xf>
    <xf numFmtId="0" fontId="18" fillId="0" borderId="0" xfId="0" applyNumberFormat="1" applyFont="1" applyAlignment="1">
      <alignment horizontal="left" wrapText="1"/>
    </xf>
    <xf numFmtId="171" fontId="19" fillId="0" borderId="0" xfId="0" applyFont="1" applyAlignment="1">
      <alignment horizontal="left" vertical="center" wrapText="1"/>
    </xf>
    <xf numFmtId="0" fontId="26" fillId="0" borderId="0" xfId="12" applyFont="1" applyAlignment="1">
      <alignment horizontal="center" vertical="top" wrapText="1"/>
    </xf>
    <xf numFmtId="2" fontId="27" fillId="0" borderId="0" xfId="12" applyNumberFormat="1" applyFont="1" applyAlignment="1">
      <alignment horizontal="center" vertical="top" wrapText="1"/>
    </xf>
    <xf numFmtId="2" fontId="27" fillId="0" borderId="0" xfId="0" applyNumberFormat="1" applyFont="1" applyAlignment="1">
      <alignment horizontal="center" vertical="top" wrapText="1"/>
    </xf>
    <xf numFmtId="2" fontId="26" fillId="0" borderId="0" xfId="0" applyNumberFormat="1" applyFont="1" applyAlignment="1">
      <alignment horizontal="center" vertical="top" wrapText="1"/>
    </xf>
    <xf numFmtId="0" fontId="53" fillId="0" borderId="0" xfId="12" applyFont="1" applyAlignment="1">
      <alignment horizontal="center" vertical="top"/>
    </xf>
    <xf numFmtId="0" fontId="53" fillId="0" borderId="0" xfId="12" applyFont="1" applyAlignment="1">
      <alignment horizontal="center" vertical="top" wrapText="1"/>
    </xf>
    <xf numFmtId="0" fontId="0" fillId="0" borderId="0" xfId="0" applyNumberFormat="1" applyAlignment="1">
      <alignment horizontal="center"/>
    </xf>
    <xf numFmtId="171" fontId="61" fillId="0" borderId="0" xfId="0" applyFont="1" applyAlignment="1">
      <alignment horizontal="center" vertical="top" wrapText="1"/>
    </xf>
    <xf numFmtId="171" fontId="69" fillId="0" borderId="0" xfId="0" applyFont="1" applyAlignment="1">
      <alignment horizontal="center" vertical="center"/>
    </xf>
    <xf numFmtId="171" fontId="61" fillId="0" borderId="0" xfId="0" applyFont="1" applyAlignment="1">
      <alignment horizontal="center" vertical="center" wrapText="1"/>
    </xf>
    <xf numFmtId="171" fontId="61" fillId="0" borderId="0" xfId="0" applyFont="1" applyAlignment="1">
      <alignment horizontal="center" vertical="top"/>
    </xf>
    <xf numFmtId="171" fontId="70" fillId="0" borderId="0" xfId="0" applyFont="1" applyAlignment="1">
      <alignment horizontal="center" wrapText="1"/>
    </xf>
    <xf numFmtId="171" fontId="123" fillId="0" borderId="0" xfId="0" applyFont="1" applyAlignment="1">
      <alignment horizontal="center" vertical="center"/>
    </xf>
    <xf numFmtId="2" fontId="123" fillId="0" borderId="0" xfId="0" applyNumberFormat="1" applyFont="1" applyAlignment="1">
      <alignment horizontal="center"/>
    </xf>
    <xf numFmtId="171" fontId="61" fillId="0" borderId="0" xfId="0" applyFont="1" applyAlignment="1">
      <alignment horizontal="left" vertical="top" wrapText="1"/>
    </xf>
    <xf numFmtId="171" fontId="70" fillId="0" borderId="0" xfId="0" applyFont="1" applyAlignment="1">
      <alignment horizontal="center" vertical="center" wrapText="1"/>
    </xf>
    <xf numFmtId="171" fontId="5" fillId="0" borderId="0" xfId="0" applyFont="1" applyAlignment="1">
      <alignment horizontal="center"/>
    </xf>
    <xf numFmtId="171" fontId="10" fillId="0" borderId="0" xfId="0" applyFont="1" applyAlignment="1">
      <alignment horizontal="center"/>
    </xf>
    <xf numFmtId="171" fontId="6" fillId="0" borderId="0" xfId="0" applyFont="1" applyAlignment="1">
      <alignment horizontal="center"/>
    </xf>
    <xf numFmtId="171" fontId="10" fillId="0" borderId="0" xfId="0" applyFont="1" applyAlignment="1">
      <alignment horizontal="left"/>
    </xf>
    <xf numFmtId="0" fontId="40" fillId="0" borderId="0" xfId="0" applyNumberFormat="1" applyFont="1" applyAlignment="1">
      <alignment horizontal="center" vertical="center" wrapText="1"/>
    </xf>
    <xf numFmtId="171" fontId="61" fillId="0" borderId="0" xfId="0" applyFont="1" applyAlignment="1">
      <alignment horizontal="center" wrapText="1"/>
    </xf>
    <xf numFmtId="0" fontId="123" fillId="0" borderId="0" xfId="0" applyNumberFormat="1" applyFont="1" applyAlignment="1">
      <alignment horizontal="center" wrapText="1"/>
    </xf>
    <xf numFmtId="171" fontId="63" fillId="0" borderId="0" xfId="0" applyFont="1" applyAlignment="1">
      <alignment horizontal="right"/>
    </xf>
    <xf numFmtId="173" fontId="61" fillId="0" borderId="0" xfId="0" applyNumberFormat="1" applyFont="1" applyAlignment="1">
      <alignment horizontal="right"/>
    </xf>
    <xf numFmtId="171" fontId="61" fillId="0" borderId="0" xfId="0" applyFont="1" applyAlignment="1">
      <alignment horizontal="center"/>
    </xf>
    <xf numFmtId="171" fontId="61" fillId="0" borderId="0" xfId="0" quotePrefix="1" applyFont="1" applyAlignment="1">
      <alignment horizontal="center"/>
    </xf>
    <xf numFmtId="171" fontId="63" fillId="0" borderId="0" xfId="0" applyFont="1" applyAlignment="1">
      <alignment vertical="top" wrapText="1"/>
    </xf>
    <xf numFmtId="171" fontId="61" fillId="0" borderId="0" xfId="0" applyFont="1" applyAlignment="1">
      <alignment vertical="top"/>
    </xf>
    <xf numFmtId="171" fontId="63" fillId="0" borderId="0" xfId="0" applyFont="1" applyAlignment="1">
      <alignment vertical="top"/>
    </xf>
    <xf numFmtId="171" fontId="61" fillId="11" borderId="0" xfId="0" applyFont="1" applyFill="1" applyAlignment="1">
      <alignment horizontal="left" vertical="top" wrapText="1"/>
    </xf>
    <xf numFmtId="171" fontId="119" fillId="0" borderId="0" xfId="0" applyFont="1" applyAlignment="1">
      <alignment horizontal="center"/>
    </xf>
    <xf numFmtId="171" fontId="61" fillId="10" borderId="0" xfId="0" applyFont="1" applyFill="1" applyAlignment="1">
      <alignment horizontal="left" vertical="top" wrapText="1"/>
    </xf>
    <xf numFmtId="171" fontId="63" fillId="0" borderId="0" xfId="0" applyFont="1" applyAlignment="1">
      <alignment horizontal="left" vertical="top"/>
    </xf>
    <xf numFmtId="171" fontId="63" fillId="0" borderId="0" xfId="0" applyFont="1" applyAlignment="1">
      <alignment horizontal="center"/>
    </xf>
    <xf numFmtId="171" fontId="70" fillId="0" borderId="0" xfId="0" applyFont="1" applyAlignment="1">
      <alignment horizontal="center"/>
    </xf>
    <xf numFmtId="171" fontId="119" fillId="0" borderId="0" xfId="0" applyFont="1" applyAlignment="1">
      <alignment horizontal="center" wrapText="1"/>
    </xf>
    <xf numFmtId="0" fontId="61" fillId="0" borderId="0" xfId="0" applyNumberFormat="1" applyFont="1" applyAlignment="1">
      <alignment horizontal="center"/>
    </xf>
    <xf numFmtId="0" fontId="145" fillId="0" borderId="0" xfId="0" applyNumberFormat="1" applyFont="1" applyAlignment="1">
      <alignment horizontal="center" wrapText="1"/>
    </xf>
    <xf numFmtId="171" fontId="203" fillId="0" borderId="0" xfId="49" applyNumberFormat="1" applyFont="1" applyFill="1" applyBorder="1" applyAlignment="1">
      <alignment vertical="center" wrapText="1"/>
    </xf>
    <xf numFmtId="171" fontId="205" fillId="0" borderId="3" xfId="49" applyNumberFormat="1" applyFont="1" applyFill="1" applyBorder="1" applyAlignment="1">
      <alignment horizontal="center" vertical="center" wrapText="1"/>
    </xf>
    <xf numFmtId="1" fontId="206" fillId="0" borderId="0" xfId="1158" applyNumberFormat="1" applyFont="1" applyFill="1" applyBorder="1" applyAlignment="1">
      <alignment horizontal="left" vertical="center"/>
    </xf>
    <xf numFmtId="171" fontId="194" fillId="8" borderId="1" xfId="0" applyFont="1" applyFill="1" applyBorder="1" applyAlignment="1">
      <alignment horizontal="center" vertical="center" wrapText="1"/>
    </xf>
    <xf numFmtId="171" fontId="194" fillId="8" borderId="1" xfId="0" applyFont="1" applyFill="1" applyBorder="1" applyAlignment="1">
      <alignment horizontal="left" vertical="center" wrapText="1"/>
    </xf>
    <xf numFmtId="171" fontId="195" fillId="8" borderId="1" xfId="0" applyFont="1" applyFill="1" applyBorder="1" applyAlignment="1">
      <alignment horizontal="center" vertical="center" wrapText="1"/>
    </xf>
    <xf numFmtId="171" fontId="195" fillId="8" borderId="17" xfId="0" applyFont="1" applyFill="1" applyBorder="1" applyAlignment="1">
      <alignment horizontal="center" vertical="center" wrapText="1"/>
    </xf>
    <xf numFmtId="171" fontId="195" fillId="8" borderId="19" xfId="0" applyFont="1" applyFill="1" applyBorder="1" applyAlignment="1">
      <alignment horizontal="center" vertical="center" wrapText="1"/>
    </xf>
    <xf numFmtId="171" fontId="28" fillId="0" borderId="1" xfId="0" applyFont="1" applyFill="1" applyBorder="1" applyAlignment="1">
      <alignment horizontal="left" vertical="center" wrapText="1"/>
    </xf>
    <xf numFmtId="0" fontId="154" fillId="0" borderId="0" xfId="57" applyFont="1" applyBorder="1" applyAlignment="1">
      <alignment horizontal="left" vertical="center"/>
    </xf>
    <xf numFmtId="0" fontId="28" fillId="0" borderId="1" xfId="55" applyFont="1" applyFill="1" applyBorder="1" applyAlignment="1">
      <alignment horizontal="left" vertical="center" wrapText="1"/>
    </xf>
    <xf numFmtId="0" fontId="28" fillId="0" borderId="1" xfId="0" applyNumberFormat="1" applyFont="1" applyFill="1" applyBorder="1" applyAlignment="1">
      <alignment horizontal="left" vertical="center" wrapText="1"/>
    </xf>
    <xf numFmtId="0" fontId="28" fillId="0" borderId="17" xfId="55" applyFont="1" applyFill="1" applyBorder="1" applyAlignment="1">
      <alignment horizontal="left" vertical="center" wrapText="1"/>
    </xf>
    <xf numFmtId="0" fontId="28" fillId="0" borderId="18" xfId="55" applyFont="1" applyFill="1" applyBorder="1" applyAlignment="1">
      <alignment horizontal="left" vertical="center" wrapText="1"/>
    </xf>
    <xf numFmtId="0" fontId="28" fillId="0" borderId="19" xfId="55" applyFont="1" applyFill="1" applyBorder="1" applyAlignment="1">
      <alignment horizontal="left" vertical="center" wrapText="1"/>
    </xf>
    <xf numFmtId="2" fontId="158" fillId="0" borderId="1" xfId="0" applyNumberFormat="1" applyFont="1" applyFill="1" applyBorder="1" applyAlignment="1">
      <alignment horizontal="left" vertical="center" wrapText="1"/>
    </xf>
    <xf numFmtId="2" fontId="28" fillId="0" borderId="1" xfId="52" applyNumberFormat="1" applyFont="1" applyFill="1" applyBorder="1" applyAlignment="1">
      <alignment horizontal="left" vertical="center" wrapText="1"/>
    </xf>
    <xf numFmtId="0" fontId="158" fillId="0" borderId="1" xfId="0" applyNumberFormat="1" applyFont="1" applyFill="1" applyBorder="1" applyAlignment="1">
      <alignment horizontal="left" vertical="center" wrapText="1"/>
    </xf>
    <xf numFmtId="171" fontId="164" fillId="0" borderId="1" xfId="0" applyFont="1" applyFill="1" applyBorder="1" applyAlignment="1">
      <alignment horizontal="left" vertical="center" wrapText="1"/>
    </xf>
    <xf numFmtId="0" fontId="154" fillId="0" borderId="17" xfId="0" applyNumberFormat="1" applyFont="1" applyBorder="1" applyAlignment="1">
      <alignment horizontal="center" vertical="center" wrapText="1"/>
    </xf>
    <xf numFmtId="0" fontId="154" fillId="0" borderId="18" xfId="0" applyNumberFormat="1" applyFont="1" applyBorder="1" applyAlignment="1">
      <alignment horizontal="center" vertical="center" wrapText="1"/>
    </xf>
    <xf numFmtId="0" fontId="154" fillId="0" borderId="19" xfId="0" applyNumberFormat="1" applyFont="1" applyBorder="1" applyAlignment="1">
      <alignment horizontal="center" vertical="center" wrapText="1"/>
    </xf>
    <xf numFmtId="0" fontId="155" fillId="0" borderId="1" xfId="0" applyNumberFormat="1" applyFont="1" applyBorder="1" applyAlignment="1">
      <alignment horizontal="center" vertical="center" wrapText="1"/>
    </xf>
    <xf numFmtId="0" fontId="154" fillId="0" borderId="1" xfId="0" applyNumberFormat="1" applyFont="1" applyBorder="1" applyAlignment="1">
      <alignment horizontal="center" vertical="center"/>
    </xf>
    <xf numFmtId="0" fontId="163" fillId="0" borderId="1" xfId="50" applyFont="1" applyFill="1" applyBorder="1" applyAlignment="1">
      <alignment horizontal="left" vertical="center" wrapText="1"/>
    </xf>
    <xf numFmtId="0" fontId="4" fillId="0" borderId="1" xfId="52" applyFont="1" applyFill="1" applyBorder="1" applyAlignment="1">
      <alignment horizontal="center" vertical="center" wrapText="1"/>
    </xf>
    <xf numFmtId="2" fontId="12" fillId="0" borderId="17" xfId="52" applyNumberFormat="1" applyFont="1" applyBorder="1" applyAlignment="1">
      <alignment horizontal="center" vertical="center" wrapText="1"/>
    </xf>
    <xf numFmtId="2" fontId="12" fillId="0" borderId="19" xfId="52" applyNumberFormat="1" applyFont="1" applyBorder="1" applyAlignment="1">
      <alignment horizontal="center" vertical="center" wrapText="1"/>
    </xf>
    <xf numFmtId="171" fontId="12" fillId="0" borderId="1" xfId="0" applyFont="1" applyFill="1" applyBorder="1" applyAlignment="1">
      <alignment horizontal="center" vertical="center"/>
    </xf>
    <xf numFmtId="178" fontId="12" fillId="0" borderId="1" xfId="52" applyNumberFormat="1" applyFont="1" applyFill="1" applyBorder="1" applyAlignment="1">
      <alignment horizontal="center" vertical="center" wrapText="1"/>
    </xf>
    <xf numFmtId="0" fontId="4" fillId="0" borderId="1" xfId="52" applyFont="1" applyBorder="1" applyAlignment="1">
      <alignment horizontal="center" vertical="center" wrapText="1"/>
    </xf>
    <xf numFmtId="178" fontId="12" fillId="0" borderId="17" xfId="52" applyNumberFormat="1" applyFont="1" applyFill="1" applyBorder="1" applyAlignment="1">
      <alignment horizontal="center" vertical="center" wrapText="1"/>
    </xf>
    <xf numFmtId="178" fontId="12" fillId="0" borderId="19" xfId="52" applyNumberFormat="1" applyFont="1" applyFill="1" applyBorder="1" applyAlignment="1">
      <alignment horizontal="center" vertical="center" wrapText="1"/>
    </xf>
    <xf numFmtId="0" fontId="191" fillId="0" borderId="1" xfId="52" applyFont="1" applyBorder="1" applyAlignment="1">
      <alignment horizontal="center" vertical="center" wrapText="1"/>
    </xf>
    <xf numFmtId="0" fontId="192" fillId="0" borderId="1" xfId="52" applyFont="1" applyBorder="1" applyAlignment="1">
      <alignment horizontal="center" vertical="center" wrapText="1"/>
    </xf>
    <xf numFmtId="171" fontId="4" fillId="0" borderId="5" xfId="0" applyFont="1" applyBorder="1" applyAlignment="1">
      <alignment horizontal="center" vertical="center"/>
    </xf>
    <xf numFmtId="171" fontId="63" fillId="0" borderId="0" xfId="0" applyFont="1" applyAlignment="1">
      <alignment horizontal="left"/>
    </xf>
    <xf numFmtId="171" fontId="160" fillId="0" borderId="0" xfId="1111" applyNumberFormat="1" applyFont="1" applyBorder="1" applyAlignment="1">
      <alignment horizontal="left" vertical="center" wrapText="1"/>
    </xf>
    <xf numFmtId="0" fontId="160" fillId="0" borderId="0" xfId="1058" applyFont="1" applyAlignment="1">
      <alignment horizontal="justify" vertical="center" wrapText="1"/>
    </xf>
    <xf numFmtId="171" fontId="162" fillId="0" borderId="0" xfId="1111" applyNumberFormat="1" applyFont="1" applyBorder="1" applyAlignment="1">
      <alignment horizontal="left" vertical="center" wrapText="1"/>
    </xf>
    <xf numFmtId="171" fontId="200" fillId="0" borderId="0" xfId="1111" applyNumberFormat="1" applyFont="1" applyBorder="1" applyAlignment="1">
      <alignment horizontal="center" vertical="center"/>
    </xf>
    <xf numFmtId="171" fontId="162" fillId="0" borderId="0" xfId="1111" applyNumberFormat="1" applyFont="1" applyBorder="1" applyAlignment="1">
      <alignment horizontal="center" vertical="center"/>
    </xf>
    <xf numFmtId="0" fontId="200" fillId="0" borderId="0" xfId="1058" applyFont="1" applyAlignment="1">
      <alignment horizontal="center" vertical="center"/>
    </xf>
    <xf numFmtId="171" fontId="162" fillId="0" borderId="0" xfId="1111" applyNumberFormat="1" applyFont="1" applyBorder="1" applyAlignment="1">
      <alignment horizontal="center" vertical="center" wrapText="1"/>
    </xf>
    <xf numFmtId="171" fontId="160" fillId="0" borderId="0" xfId="0" applyFont="1" applyFill="1" applyBorder="1" applyAlignment="1">
      <alignment horizontal="left" vertical="center" wrapText="1"/>
    </xf>
    <xf numFmtId="0" fontId="157" fillId="0" borderId="0" xfId="0" applyNumberFormat="1" applyFont="1" applyFill="1" applyBorder="1" applyAlignment="1">
      <alignment horizontal="center" vertical="center" wrapText="1"/>
    </xf>
    <xf numFmtId="0" fontId="160" fillId="0" borderId="0" xfId="0" applyNumberFormat="1" applyFont="1" applyFill="1" applyBorder="1" applyAlignment="1">
      <alignment vertical="center" wrapText="1"/>
    </xf>
    <xf numFmtId="171" fontId="213" fillId="0" borderId="0" xfId="0" applyFont="1" applyFill="1" applyAlignment="1">
      <alignment vertical="center"/>
    </xf>
    <xf numFmtId="0" fontId="200" fillId="0" borderId="0" xfId="0" applyNumberFormat="1" applyFont="1" applyFill="1" applyBorder="1" applyAlignment="1">
      <alignment horizontal="center" vertical="center" wrapText="1"/>
    </xf>
    <xf numFmtId="0" fontId="214" fillId="0" borderId="0" xfId="0" applyNumberFormat="1" applyFont="1" applyFill="1" applyBorder="1" applyAlignment="1">
      <alignment horizontal="center" vertical="center" wrapText="1"/>
    </xf>
    <xf numFmtId="0" fontId="200" fillId="0" borderId="0" xfId="0" applyNumberFormat="1" applyFont="1" applyFill="1" applyBorder="1" applyAlignment="1">
      <alignment horizontal="center" vertical="center" wrapText="1"/>
    </xf>
    <xf numFmtId="0" fontId="215" fillId="0" borderId="0" xfId="0" applyNumberFormat="1" applyFont="1" applyFill="1" applyBorder="1" applyAlignment="1">
      <alignment horizontal="center" vertical="center" wrapText="1"/>
    </xf>
    <xf numFmtId="9" fontId="160" fillId="0" borderId="0" xfId="1211" applyFont="1" applyFill="1" applyBorder="1" applyAlignment="1">
      <alignment vertical="center" wrapText="1"/>
    </xf>
    <xf numFmtId="0" fontId="162" fillId="0" borderId="1" xfId="0" applyNumberFormat="1" applyFont="1" applyFill="1" applyBorder="1" applyAlignment="1">
      <alignment horizontal="center" vertical="center" wrapText="1"/>
    </xf>
    <xf numFmtId="0" fontId="162" fillId="0" borderId="1" xfId="0" applyNumberFormat="1" applyFont="1" applyFill="1" applyBorder="1" applyAlignment="1">
      <alignment horizontal="center" vertical="center" wrapText="1"/>
    </xf>
    <xf numFmtId="179" fontId="162" fillId="0" borderId="1" xfId="0" applyNumberFormat="1" applyFont="1" applyFill="1" applyBorder="1" applyAlignment="1">
      <alignment horizontal="center" vertical="center" wrapText="1"/>
    </xf>
    <xf numFmtId="2" fontId="162" fillId="0" borderId="1" xfId="0" applyNumberFormat="1" applyFont="1" applyFill="1" applyBorder="1" applyAlignment="1">
      <alignment horizontal="center" vertical="center" wrapText="1"/>
    </xf>
    <xf numFmtId="0" fontId="216" fillId="0" borderId="0" xfId="0" applyNumberFormat="1" applyFont="1" applyFill="1" applyBorder="1" applyAlignment="1">
      <alignment vertical="center" wrapText="1"/>
    </xf>
    <xf numFmtId="188" fontId="160" fillId="0" borderId="1" xfId="787" applyNumberFormat="1" applyFont="1" applyFill="1" applyBorder="1" applyAlignment="1">
      <alignment vertical="center" wrapText="1"/>
    </xf>
    <xf numFmtId="2" fontId="160" fillId="0" borderId="17" xfId="52" applyNumberFormat="1" applyFont="1" applyFill="1" applyBorder="1" applyAlignment="1">
      <alignment horizontal="left" vertical="center" wrapText="1"/>
    </xf>
    <xf numFmtId="2" fontId="160" fillId="0" borderId="18" xfId="52" applyNumberFormat="1" applyFont="1" applyFill="1" applyBorder="1" applyAlignment="1">
      <alignment horizontal="left" vertical="center" wrapText="1"/>
    </xf>
    <xf numFmtId="2" fontId="160" fillId="0" borderId="19" xfId="52" applyNumberFormat="1" applyFont="1" applyFill="1" applyBorder="1" applyAlignment="1">
      <alignment horizontal="left" vertical="center" wrapText="1"/>
    </xf>
    <xf numFmtId="2" fontId="160" fillId="0" borderId="1" xfId="52" applyNumberFormat="1" applyFont="1" applyFill="1" applyBorder="1" applyAlignment="1">
      <alignment vertical="center" wrapText="1"/>
    </xf>
    <xf numFmtId="0" fontId="160" fillId="0" borderId="1" xfId="0" applyNumberFormat="1" applyFont="1" applyFill="1" applyBorder="1" applyAlignment="1">
      <alignment vertical="center" wrapText="1"/>
    </xf>
    <xf numFmtId="1" fontId="160" fillId="0" borderId="1" xfId="0" applyNumberFormat="1" applyFont="1" applyFill="1" applyBorder="1" applyAlignment="1">
      <alignment horizontal="center" vertical="center" wrapText="1"/>
    </xf>
    <xf numFmtId="0" fontId="160" fillId="0" borderId="1" xfId="0" applyNumberFormat="1" applyFont="1" applyFill="1" applyBorder="1" applyAlignment="1">
      <alignment horizontal="center" vertical="center" wrapText="1"/>
    </xf>
    <xf numFmtId="2" fontId="160" fillId="0" borderId="1" xfId="0" applyNumberFormat="1" applyFont="1" applyFill="1" applyBorder="1" applyAlignment="1">
      <alignment horizontal="center" vertical="center" wrapText="1"/>
    </xf>
    <xf numFmtId="2" fontId="160" fillId="0" borderId="1" xfId="0" applyNumberFormat="1" applyFont="1" applyFill="1" applyBorder="1" applyAlignment="1">
      <alignment vertical="center" wrapText="1"/>
    </xf>
    <xf numFmtId="2" fontId="160" fillId="0" borderId="0" xfId="0" applyNumberFormat="1" applyFont="1" applyFill="1" applyBorder="1" applyAlignment="1">
      <alignment vertical="center" wrapText="1"/>
    </xf>
    <xf numFmtId="2" fontId="162" fillId="0" borderId="1" xfId="0" applyNumberFormat="1" applyFont="1" applyFill="1" applyBorder="1" applyAlignment="1">
      <alignment vertical="center" wrapText="1"/>
    </xf>
    <xf numFmtId="2" fontId="216" fillId="0" borderId="0" xfId="0" applyNumberFormat="1" applyFont="1" applyFill="1" applyBorder="1" applyAlignment="1">
      <alignment vertical="center"/>
    </xf>
    <xf numFmtId="2" fontId="160" fillId="0" borderId="1" xfId="0" quotePrefix="1" applyNumberFormat="1" applyFont="1" applyFill="1" applyBorder="1" applyAlignment="1">
      <alignment horizontal="center" vertical="center" wrapText="1"/>
    </xf>
    <xf numFmtId="0" fontId="160" fillId="0" borderId="17" xfId="0" applyNumberFormat="1" applyFont="1" applyFill="1" applyBorder="1" applyAlignment="1">
      <alignment horizontal="left" vertical="center" wrapText="1"/>
    </xf>
    <xf numFmtId="0" fontId="160" fillId="0" borderId="18" xfId="0" applyNumberFormat="1" applyFont="1" applyFill="1" applyBorder="1" applyAlignment="1">
      <alignment horizontal="left" vertical="center" wrapText="1"/>
    </xf>
    <xf numFmtId="0" fontId="160" fillId="0" borderId="19" xfId="0" applyNumberFormat="1" applyFont="1" applyFill="1" applyBorder="1" applyAlignment="1">
      <alignment horizontal="left" vertical="center" wrapText="1"/>
    </xf>
    <xf numFmtId="1" fontId="160" fillId="0" borderId="1" xfId="0" quotePrefix="1" applyNumberFormat="1" applyFont="1" applyFill="1" applyBorder="1" applyAlignment="1">
      <alignment horizontal="center" vertical="center" wrapText="1"/>
    </xf>
    <xf numFmtId="178" fontId="160" fillId="0" borderId="1" xfId="0" quotePrefix="1" applyNumberFormat="1" applyFont="1" applyFill="1" applyBorder="1" applyAlignment="1">
      <alignment horizontal="center" vertical="center" wrapText="1"/>
    </xf>
    <xf numFmtId="2" fontId="160" fillId="0" borderId="1" xfId="0" applyNumberFormat="1" applyFont="1" applyFill="1" applyBorder="1" applyAlignment="1">
      <alignment horizontal="center" vertical="center"/>
    </xf>
    <xf numFmtId="0" fontId="162" fillId="0" borderId="1" xfId="0" applyNumberFormat="1" applyFont="1" applyFill="1" applyBorder="1" applyAlignment="1">
      <alignment horizontal="right" vertical="center"/>
    </xf>
    <xf numFmtId="1" fontId="160" fillId="0" borderId="0" xfId="0" quotePrefix="1" applyNumberFormat="1" applyFont="1" applyFill="1" applyBorder="1" applyAlignment="1">
      <alignment horizontal="center" vertical="center" wrapText="1"/>
    </xf>
    <xf numFmtId="0" fontId="160" fillId="0" borderId="0" xfId="0" applyNumberFormat="1" applyFont="1" applyFill="1" applyBorder="1" applyAlignment="1">
      <alignment horizontal="center" vertical="center" wrapText="1"/>
    </xf>
    <xf numFmtId="0" fontId="162" fillId="0" borderId="0" xfId="0" applyNumberFormat="1" applyFont="1" applyFill="1" applyBorder="1" applyAlignment="1">
      <alignment horizontal="right" vertical="center"/>
    </xf>
    <xf numFmtId="2" fontId="162" fillId="0" borderId="0" xfId="0" applyNumberFormat="1" applyFont="1" applyFill="1" applyBorder="1" applyAlignment="1">
      <alignment vertical="center" wrapText="1"/>
    </xf>
    <xf numFmtId="0" fontId="162" fillId="0" borderId="0" xfId="0" applyNumberFormat="1" applyFont="1" applyFill="1" applyBorder="1" applyAlignment="1">
      <alignment vertical="center" wrapText="1"/>
    </xf>
    <xf numFmtId="2" fontId="160" fillId="0" borderId="0" xfId="0" applyNumberFormat="1" applyFont="1" applyFill="1" applyBorder="1" applyAlignment="1">
      <alignment horizontal="right" vertical="center"/>
    </xf>
    <xf numFmtId="2" fontId="160" fillId="0" borderId="0" xfId="0" applyNumberFormat="1" applyFont="1" applyFill="1" applyBorder="1" applyAlignment="1">
      <alignment vertical="center"/>
    </xf>
    <xf numFmtId="171" fontId="160" fillId="0" borderId="0" xfId="0" applyNumberFormat="1" applyFont="1" applyFill="1" applyBorder="1" applyAlignment="1">
      <alignment horizontal="center" vertical="center"/>
    </xf>
    <xf numFmtId="171" fontId="160" fillId="0" borderId="0" xfId="0" applyNumberFormat="1" applyFont="1" applyFill="1" applyBorder="1" applyAlignment="1">
      <alignment horizontal="left" vertical="center"/>
    </xf>
    <xf numFmtId="171" fontId="160" fillId="0" borderId="0" xfId="0" applyNumberFormat="1" applyFont="1" applyFill="1" applyBorder="1" applyAlignment="1">
      <alignment vertical="center"/>
    </xf>
    <xf numFmtId="171" fontId="216" fillId="0" borderId="0" xfId="0" applyNumberFormat="1" applyFont="1" applyFill="1" applyBorder="1" applyAlignment="1">
      <alignment vertical="center"/>
    </xf>
    <xf numFmtId="171" fontId="160" fillId="0" borderId="0" xfId="0" applyNumberFormat="1" applyFont="1" applyFill="1" applyBorder="1" applyAlignment="1">
      <alignment horizontal="center" vertical="center" wrapText="1"/>
    </xf>
    <xf numFmtId="171" fontId="160" fillId="0" borderId="0" xfId="0" applyNumberFormat="1" applyFont="1" applyFill="1" applyBorder="1" applyAlignment="1">
      <alignment vertical="center" wrapText="1"/>
    </xf>
    <xf numFmtId="2" fontId="160" fillId="0" borderId="0" xfId="0" applyNumberFormat="1" applyFont="1" applyFill="1" applyBorder="1" applyAlignment="1">
      <alignment horizontal="right" vertical="center" wrapText="1"/>
    </xf>
    <xf numFmtId="171" fontId="216" fillId="0" borderId="0" xfId="0" applyNumberFormat="1" applyFont="1" applyFill="1" applyBorder="1" applyAlignment="1">
      <alignment vertical="center" wrapText="1"/>
    </xf>
    <xf numFmtId="171" fontId="162" fillId="0" borderId="0" xfId="0" applyNumberFormat="1" applyFont="1" applyFill="1" applyBorder="1" applyAlignment="1">
      <alignment horizontal="left" vertical="center"/>
    </xf>
    <xf numFmtId="171" fontId="217" fillId="0" borderId="0" xfId="0" applyFont="1" applyFill="1" applyAlignment="1">
      <alignment vertical="center"/>
    </xf>
    <xf numFmtId="0" fontId="157" fillId="0" borderId="0" xfId="0" applyNumberFormat="1" applyFont="1" applyBorder="1" applyAlignment="1">
      <alignment horizontal="center" vertical="center" wrapText="1"/>
    </xf>
    <xf numFmtId="0" fontId="216" fillId="0" borderId="0" xfId="0" applyNumberFormat="1" applyFont="1" applyBorder="1" applyAlignment="1">
      <alignment vertical="center" wrapText="1"/>
    </xf>
    <xf numFmtId="171" fontId="0" fillId="0" borderId="0" xfId="0" applyAlignment="1">
      <alignment vertical="center"/>
    </xf>
    <xf numFmtId="0" fontId="27" fillId="0" borderId="0" xfId="0" applyNumberFormat="1" applyFont="1" applyBorder="1" applyAlignment="1">
      <alignment vertical="center" wrapText="1"/>
    </xf>
    <xf numFmtId="0" fontId="200" fillId="0" borderId="0" xfId="0" applyNumberFormat="1" applyFont="1" applyBorder="1" applyAlignment="1">
      <alignment horizontal="center" vertical="center" wrapText="1"/>
    </xf>
    <xf numFmtId="0" fontId="218" fillId="0" borderId="0" xfId="0" applyNumberFormat="1" applyFont="1" applyBorder="1" applyAlignment="1">
      <alignment horizontal="center" vertical="center" wrapText="1"/>
    </xf>
    <xf numFmtId="0" fontId="162" fillId="0" borderId="1" xfId="0" applyNumberFormat="1" applyFont="1" applyBorder="1" applyAlignment="1">
      <alignment vertical="center"/>
    </xf>
    <xf numFmtId="0" fontId="162" fillId="0" borderId="1" xfId="0" applyNumberFormat="1" applyFont="1" applyBorder="1" applyAlignment="1">
      <alignment horizontal="center" vertical="center"/>
    </xf>
    <xf numFmtId="0" fontId="162" fillId="0" borderId="1" xfId="0" applyNumberFormat="1" applyFont="1" applyBorder="1" applyAlignment="1">
      <alignment horizontal="center" vertical="center" wrapText="1"/>
    </xf>
    <xf numFmtId="179" fontId="162" fillId="0" borderId="1" xfId="0" applyNumberFormat="1" applyFont="1" applyBorder="1" applyAlignment="1">
      <alignment horizontal="center" vertical="center"/>
    </xf>
    <xf numFmtId="2" fontId="162" fillId="0" borderId="1" xfId="0" applyNumberFormat="1" applyFont="1" applyBorder="1" applyAlignment="1">
      <alignment horizontal="center" vertical="center"/>
    </xf>
    <xf numFmtId="178" fontId="160" fillId="0" borderId="1" xfId="52" applyNumberFormat="1" applyFont="1" applyBorder="1" applyAlignment="1">
      <alignment horizontal="center" vertical="center" wrapText="1"/>
    </xf>
    <xf numFmtId="2" fontId="160" fillId="0" borderId="1" xfId="52" applyNumberFormat="1" applyFont="1" applyBorder="1" applyAlignment="1">
      <alignment vertical="center" wrapText="1"/>
    </xf>
    <xf numFmtId="0" fontId="160" fillId="0" borderId="1" xfId="0" applyNumberFormat="1" applyFont="1" applyBorder="1" applyAlignment="1">
      <alignment horizontal="center" vertical="center" wrapText="1"/>
    </xf>
    <xf numFmtId="0" fontId="160" fillId="0" borderId="1" xfId="0" applyNumberFormat="1" applyFont="1" applyBorder="1" applyAlignment="1">
      <alignment vertical="center" wrapText="1"/>
    </xf>
    <xf numFmtId="2" fontId="160" fillId="0" borderId="1" xfId="0" applyNumberFormat="1" applyFont="1" applyBorder="1" applyAlignment="1">
      <alignment vertical="center" wrapText="1"/>
    </xf>
    <xf numFmtId="2" fontId="162" fillId="0" borderId="1" xfId="0" applyNumberFormat="1" applyFont="1" applyBorder="1" applyAlignment="1">
      <alignment vertical="center" wrapText="1"/>
    </xf>
    <xf numFmtId="2" fontId="219" fillId="0" borderId="0" xfId="0" applyNumberFormat="1" applyFont="1" applyBorder="1" applyAlignment="1">
      <alignment vertical="center"/>
    </xf>
    <xf numFmtId="0" fontId="160" fillId="0" borderId="1" xfId="0" quotePrefix="1" applyNumberFormat="1" applyFont="1" applyBorder="1" applyAlignment="1">
      <alignment horizontal="center" vertical="center" wrapText="1"/>
    </xf>
    <xf numFmtId="171" fontId="217" fillId="0" borderId="0" xfId="0" applyFont="1" applyAlignment="1">
      <alignment vertical="center"/>
    </xf>
    <xf numFmtId="2" fontId="216" fillId="0" borderId="0" xfId="0" applyNumberFormat="1" applyFont="1" applyBorder="1" applyAlignment="1">
      <alignment vertical="center" wrapText="1"/>
    </xf>
    <xf numFmtId="0" fontId="160" fillId="0" borderId="1" xfId="0" applyNumberFormat="1" applyFont="1" applyBorder="1" applyAlignment="1">
      <alignment vertical="center"/>
    </xf>
    <xf numFmtId="2" fontId="160" fillId="0" borderId="1" xfId="52" applyNumberFormat="1" applyFont="1" applyBorder="1" applyAlignment="1">
      <alignment horizontal="center" vertical="center" wrapText="1"/>
    </xf>
    <xf numFmtId="2" fontId="162" fillId="0" borderId="1" xfId="52" applyNumberFormat="1" applyFont="1" applyBorder="1" applyAlignment="1">
      <alignment vertical="center" wrapText="1"/>
    </xf>
    <xf numFmtId="171" fontId="165" fillId="0" borderId="0" xfId="0" applyNumberFormat="1" applyFont="1" applyBorder="1" applyAlignment="1">
      <alignment vertical="center"/>
    </xf>
    <xf numFmtId="171" fontId="165" fillId="0" borderId="0" xfId="0" applyNumberFormat="1" applyFont="1" applyBorder="1" applyAlignment="1">
      <alignment horizontal="left" vertical="center"/>
    </xf>
    <xf numFmtId="2" fontId="32" fillId="0" borderId="0" xfId="0" applyNumberFormat="1" applyFont="1" applyBorder="1" applyAlignment="1">
      <alignment horizontal="right" vertical="center" wrapText="1"/>
    </xf>
    <xf numFmtId="2" fontId="32" fillId="0" borderId="0" xfId="0" applyNumberFormat="1" applyFont="1" applyBorder="1" applyAlignment="1">
      <alignment vertical="center" wrapText="1"/>
    </xf>
    <xf numFmtId="2" fontId="219" fillId="0" borderId="0" xfId="0" applyNumberFormat="1" applyFont="1" applyBorder="1" applyAlignment="1">
      <alignment vertical="center" wrapText="1"/>
    </xf>
    <xf numFmtId="171" fontId="216" fillId="0" borderId="0" xfId="0" applyNumberFormat="1" applyFont="1" applyBorder="1" applyAlignment="1">
      <alignment vertical="center"/>
    </xf>
    <xf numFmtId="171" fontId="160" fillId="0" borderId="0" xfId="0" applyNumberFormat="1" applyFont="1" applyBorder="1" applyAlignment="1">
      <alignment horizontal="left" vertical="center"/>
    </xf>
    <xf numFmtId="171" fontId="216" fillId="0" borderId="0" xfId="0" applyNumberFormat="1" applyFont="1" applyBorder="1" applyAlignment="1">
      <alignment vertical="center" wrapText="1"/>
    </xf>
    <xf numFmtId="171" fontId="216" fillId="0" borderId="0" xfId="0" applyNumberFormat="1" applyFont="1" applyBorder="1" applyAlignment="1">
      <alignment horizontal="center" vertical="center" wrapText="1"/>
    </xf>
    <xf numFmtId="171" fontId="0" fillId="0" borderId="0" xfId="0" applyFont="1" applyAlignment="1">
      <alignment vertical="center"/>
    </xf>
    <xf numFmtId="0" fontId="157" fillId="0" borderId="0" xfId="1294" applyFont="1" applyBorder="1" applyAlignment="1">
      <alignment horizontal="center" vertical="center" wrapText="1" shrinkToFit="1"/>
    </xf>
    <xf numFmtId="171" fontId="28" fillId="0" borderId="0" xfId="0" applyFont="1" applyBorder="1" applyAlignment="1">
      <alignment vertical="center"/>
    </xf>
    <xf numFmtId="171" fontId="221" fillId="0" borderId="0" xfId="0" applyFont="1" applyAlignment="1">
      <alignment vertical="center"/>
    </xf>
    <xf numFmtId="0" fontId="157" fillId="0" borderId="0" xfId="1294" applyFont="1" applyBorder="1" applyAlignment="1">
      <alignment horizontal="center" vertical="center"/>
    </xf>
    <xf numFmtId="0" fontId="222" fillId="0" borderId="0" xfId="1294" applyFont="1" applyBorder="1" applyAlignment="1">
      <alignment horizontal="center" vertical="center"/>
    </xf>
    <xf numFmtId="0" fontId="223" fillId="0" borderId="0" xfId="1294" applyFont="1" applyBorder="1" applyAlignment="1">
      <alignment horizontal="center" vertical="center"/>
    </xf>
    <xf numFmtId="171" fontId="165" fillId="0" borderId="0" xfId="0" applyFont="1" applyBorder="1" applyAlignment="1">
      <alignment vertical="center"/>
    </xf>
    <xf numFmtId="0" fontId="157" fillId="0" borderId="1" xfId="1294" applyFont="1" applyBorder="1" applyAlignment="1">
      <alignment horizontal="center" vertical="center" wrapText="1"/>
    </xf>
    <xf numFmtId="0" fontId="157" fillId="0" borderId="1" xfId="1294" applyFont="1" applyFill="1" applyBorder="1" applyAlignment="1">
      <alignment horizontal="center" vertical="center" wrapText="1"/>
    </xf>
    <xf numFmtId="0" fontId="157" fillId="0" borderId="1" xfId="1294" applyFont="1" applyBorder="1" applyAlignment="1">
      <alignment horizontal="center" vertical="center" wrapText="1"/>
    </xf>
    <xf numFmtId="0" fontId="28" fillId="0" borderId="1" xfId="1294" applyFont="1" applyBorder="1" applyAlignment="1">
      <alignment horizontal="center" vertical="center" wrapText="1"/>
    </xf>
    <xf numFmtId="0" fontId="28" fillId="0" borderId="1" xfId="1294" applyFont="1" applyBorder="1" applyAlignment="1">
      <alignment horizontal="left" vertical="center" wrapText="1"/>
    </xf>
    <xf numFmtId="0" fontId="28" fillId="0" borderId="1" xfId="1294" applyFont="1" applyBorder="1" applyAlignment="1">
      <alignment vertical="center" wrapText="1"/>
    </xf>
    <xf numFmtId="0" fontId="28" fillId="0" borderId="1" xfId="1294" applyFont="1" applyFill="1" applyBorder="1" applyAlignment="1">
      <alignment vertical="center" wrapText="1"/>
    </xf>
    <xf numFmtId="0" fontId="28" fillId="0" borderId="1" xfId="1294" applyFont="1" applyBorder="1" applyAlignment="1">
      <alignment horizontal="left" vertical="center" wrapText="1"/>
    </xf>
    <xf numFmtId="2" fontId="28" fillId="0" borderId="1" xfId="1294" applyNumberFormat="1" applyFont="1" applyBorder="1" applyAlignment="1">
      <alignment vertical="center" wrapText="1"/>
    </xf>
    <xf numFmtId="2" fontId="28" fillId="0" borderId="1" xfId="1294" applyNumberFormat="1" applyFont="1" applyFill="1" applyBorder="1" applyAlignment="1">
      <alignment vertical="center" wrapText="1"/>
    </xf>
    <xf numFmtId="2" fontId="157" fillId="0" borderId="1" xfId="1294" applyNumberFormat="1" applyFont="1" applyBorder="1" applyAlignment="1">
      <alignment horizontal="right" vertical="center" wrapText="1"/>
    </xf>
    <xf numFmtId="2" fontId="157" fillId="0" borderId="1" xfId="1294" applyNumberFormat="1" applyFont="1" applyFill="1" applyBorder="1" applyAlignment="1">
      <alignment vertical="center" wrapText="1"/>
    </xf>
    <xf numFmtId="178" fontId="28" fillId="0" borderId="1" xfId="1295" applyNumberFormat="1" applyFont="1" applyBorder="1" applyAlignment="1">
      <alignment horizontal="center" vertical="center" wrapText="1"/>
    </xf>
    <xf numFmtId="2" fontId="157" fillId="0" borderId="1" xfId="1295" applyNumberFormat="1" applyFont="1" applyBorder="1" applyAlignment="1">
      <alignment horizontal="left" vertical="center" wrapText="1"/>
    </xf>
    <xf numFmtId="0" fontId="28" fillId="0" borderId="1" xfId="1294" applyFont="1" applyFill="1" applyBorder="1" applyAlignment="1">
      <alignment horizontal="center" vertical="center" wrapText="1"/>
    </xf>
    <xf numFmtId="0" fontId="28" fillId="0" borderId="1" xfId="1294" applyFont="1" applyFill="1" applyBorder="1" applyAlignment="1">
      <alignment horizontal="left" vertical="center" wrapText="1"/>
    </xf>
    <xf numFmtId="0" fontId="28" fillId="0" borderId="1" xfId="1294" applyFont="1" applyBorder="1" applyAlignment="1">
      <alignment horizontal="left" vertical="center"/>
    </xf>
    <xf numFmtId="171" fontId="157" fillId="0" borderId="0" xfId="0" applyNumberFormat="1" applyFont="1" applyBorder="1" applyAlignment="1">
      <alignment horizontal="left" vertical="center"/>
    </xf>
    <xf numFmtId="171" fontId="221" fillId="0" borderId="0" xfId="0" applyFont="1" applyAlignment="1">
      <alignment horizontal="center" vertical="center"/>
    </xf>
    <xf numFmtId="171" fontId="225" fillId="0" borderId="0" xfId="0" applyFont="1" applyAlignment="1">
      <alignment vertical="center"/>
    </xf>
    <xf numFmtId="0" fontId="28" fillId="0" borderId="0" xfId="0" applyNumberFormat="1" applyFont="1" applyBorder="1" applyAlignment="1">
      <alignment vertical="center"/>
    </xf>
    <xf numFmtId="171" fontId="0" fillId="0" borderId="0" xfId="0" applyFont="1" applyBorder="1"/>
    <xf numFmtId="0" fontId="222" fillId="0" borderId="0" xfId="0" applyNumberFormat="1" applyFont="1" applyBorder="1" applyAlignment="1">
      <alignment horizontal="center" vertical="center" wrapText="1"/>
    </xf>
    <xf numFmtId="0" fontId="157" fillId="0" borderId="0" xfId="49" applyFont="1" applyBorder="1" applyAlignment="1">
      <alignment horizontal="center" vertical="center"/>
    </xf>
    <xf numFmtId="0" fontId="28" fillId="0" borderId="0" xfId="49" applyFont="1" applyBorder="1" applyAlignment="1">
      <alignment horizontal="center" vertical="center"/>
    </xf>
    <xf numFmtId="0" fontId="157" fillId="0" borderId="0" xfId="49" applyFont="1" applyBorder="1" applyAlignment="1">
      <alignment horizontal="center" vertical="center"/>
    </xf>
    <xf numFmtId="0" fontId="157" fillId="0" borderId="0" xfId="49" applyFont="1" applyBorder="1" applyAlignment="1">
      <alignment horizontal="right" vertical="center"/>
    </xf>
    <xf numFmtId="0" fontId="157" fillId="0" borderId="1" xfId="0" applyNumberFormat="1" applyFont="1" applyBorder="1" applyAlignment="1">
      <alignment horizontal="center" vertical="center" wrapText="1"/>
    </xf>
    <xf numFmtId="0" fontId="157" fillId="0" borderId="1" xfId="0" applyNumberFormat="1" applyFont="1" applyBorder="1" applyAlignment="1">
      <alignment horizontal="center" vertical="center"/>
    </xf>
    <xf numFmtId="0" fontId="157" fillId="0" borderId="1" xfId="0" applyNumberFormat="1" applyFont="1" applyBorder="1" applyAlignment="1">
      <alignment horizontal="center" vertical="center" wrapText="1"/>
    </xf>
    <xf numFmtId="179" fontId="157" fillId="0" borderId="1" xfId="0" applyNumberFormat="1" applyFont="1" applyBorder="1" applyAlignment="1">
      <alignment horizontal="center" vertical="center" wrapText="1"/>
    </xf>
    <xf numFmtId="179" fontId="157" fillId="0" borderId="1" xfId="0" applyNumberFormat="1" applyFont="1" applyBorder="1" applyAlignment="1">
      <alignment horizontal="center" vertical="center"/>
    </xf>
    <xf numFmtId="2" fontId="157" fillId="0" borderId="1" xfId="0" applyNumberFormat="1" applyFont="1" applyBorder="1" applyAlignment="1">
      <alignment horizontal="center" vertical="center" wrapText="1"/>
    </xf>
    <xf numFmtId="0" fontId="160" fillId="0" borderId="0" xfId="0" applyNumberFormat="1" applyFont="1" applyBorder="1" applyAlignment="1">
      <alignment vertical="center" wrapText="1"/>
    </xf>
    <xf numFmtId="0" fontId="28" fillId="0" borderId="1" xfId="49" applyFont="1" applyBorder="1" applyAlignment="1">
      <alignment horizontal="center" vertical="center"/>
    </xf>
    <xf numFmtId="0" fontId="157" fillId="0" borderId="1" xfId="49" applyFont="1" applyBorder="1" applyAlignment="1">
      <alignment horizontal="left" vertical="center" wrapText="1"/>
    </xf>
    <xf numFmtId="179" fontId="28" fillId="0" borderId="1" xfId="49" applyNumberFormat="1" applyFont="1" applyBorder="1" applyAlignment="1">
      <alignment horizontal="right" vertical="center"/>
    </xf>
    <xf numFmtId="0" fontId="28" fillId="0" borderId="1" xfId="49" applyFont="1" applyBorder="1" applyAlignment="1">
      <alignment horizontal="right" vertical="center"/>
    </xf>
    <xf numFmtId="179" fontId="157" fillId="0" borderId="1" xfId="49" applyNumberFormat="1" applyFont="1" applyBorder="1" applyAlignment="1">
      <alignment horizontal="right" vertical="center"/>
    </xf>
    <xf numFmtId="2" fontId="28" fillId="0" borderId="1" xfId="49" applyNumberFormat="1" applyFont="1" applyBorder="1" applyAlignment="1">
      <alignment horizontal="right" vertical="center"/>
    </xf>
    <xf numFmtId="171" fontId="27" fillId="0" borderId="0" xfId="0" applyFont="1" applyBorder="1" applyAlignment="1">
      <alignment vertical="center"/>
    </xf>
    <xf numFmtId="171" fontId="160" fillId="0" borderId="0" xfId="0" applyFont="1" applyBorder="1" applyAlignment="1">
      <alignment vertical="center"/>
    </xf>
    <xf numFmtId="0" fontId="157" fillId="0" borderId="1" xfId="49" applyFont="1" applyBorder="1" applyAlignment="1">
      <alignment horizontal="left" vertical="center" wrapText="1"/>
    </xf>
    <xf numFmtId="0" fontId="28" fillId="0" borderId="1" xfId="49" applyFont="1" applyBorder="1" applyAlignment="1">
      <alignment horizontal="left" vertical="center" wrapText="1"/>
    </xf>
    <xf numFmtId="0" fontId="28" fillId="0" borderId="1" xfId="49" applyFont="1" applyBorder="1" applyAlignment="1">
      <alignment horizontal="center" vertical="center" wrapText="1"/>
    </xf>
    <xf numFmtId="2" fontId="157" fillId="0" borderId="1" xfId="49" applyNumberFormat="1" applyFont="1" applyBorder="1" applyAlignment="1">
      <alignment horizontal="right" vertical="center"/>
    </xf>
    <xf numFmtId="0" fontId="157" fillId="0" borderId="1" xfId="49" applyFont="1" applyBorder="1" applyAlignment="1">
      <alignment vertical="center"/>
    </xf>
    <xf numFmtId="0" fontId="28" fillId="0" borderId="1" xfId="49" applyFont="1" applyBorder="1" applyAlignment="1">
      <alignment vertical="center"/>
    </xf>
    <xf numFmtId="0" fontId="157" fillId="0" borderId="1" xfId="49" applyFont="1" applyBorder="1" applyAlignment="1">
      <alignment horizontal="right" vertical="center"/>
    </xf>
    <xf numFmtId="0" fontId="157" fillId="0" borderId="1" xfId="49" applyFont="1" applyFill="1" applyBorder="1" applyAlignment="1">
      <alignment vertical="center"/>
    </xf>
    <xf numFmtId="178" fontId="28" fillId="0" borderId="1" xfId="0" applyNumberFormat="1" applyFont="1" applyBorder="1" applyAlignment="1">
      <alignment horizontal="center" vertical="center" wrapText="1"/>
    </xf>
    <xf numFmtId="2" fontId="157" fillId="0" borderId="1" xfId="0" applyNumberFormat="1" applyFont="1" applyBorder="1" applyAlignment="1">
      <alignment vertical="center" wrapText="1"/>
    </xf>
    <xf numFmtId="0" fontId="28" fillId="0" borderId="1" xfId="49" applyFont="1" applyBorder="1" applyAlignment="1">
      <alignment vertical="center" wrapText="1"/>
    </xf>
    <xf numFmtId="171" fontId="28" fillId="0" borderId="1" xfId="0" applyFont="1" applyBorder="1" applyAlignment="1">
      <alignment horizontal="right" vertical="center"/>
    </xf>
    <xf numFmtId="2" fontId="157" fillId="0" borderId="1" xfId="49" applyNumberFormat="1" applyFont="1" applyBorder="1" applyAlignment="1">
      <alignment horizontal="right" vertical="center" wrapText="1"/>
    </xf>
    <xf numFmtId="2" fontId="28" fillId="0" borderId="1" xfId="0" applyNumberFormat="1" applyFont="1" applyBorder="1" applyAlignment="1">
      <alignment vertical="center" wrapText="1"/>
    </xf>
    <xf numFmtId="2" fontId="28" fillId="0" borderId="1" xfId="49" applyNumberFormat="1" applyFont="1" applyBorder="1" applyAlignment="1">
      <alignment horizontal="center" vertical="center" wrapText="1"/>
    </xf>
    <xf numFmtId="0" fontId="157" fillId="0" borderId="1" xfId="49" applyFont="1" applyBorder="1" applyAlignment="1">
      <alignment vertical="center" wrapText="1"/>
    </xf>
    <xf numFmtId="0" fontId="28" fillId="0" borderId="1" xfId="49" applyFont="1" applyBorder="1" applyAlignment="1">
      <alignment horizontal="center"/>
    </xf>
    <xf numFmtId="1" fontId="28" fillId="0" borderId="1" xfId="49" applyNumberFormat="1" applyFont="1" applyBorder="1" applyAlignment="1">
      <alignment horizontal="center" vertical="center"/>
    </xf>
    <xf numFmtId="2" fontId="28" fillId="0" borderId="1" xfId="49" applyNumberFormat="1" applyFont="1" applyBorder="1" applyAlignment="1">
      <alignment horizontal="center" vertical="center"/>
    </xf>
    <xf numFmtId="171" fontId="157" fillId="0" borderId="1" xfId="0" applyFont="1" applyBorder="1" applyAlignment="1">
      <alignment horizontal="right" vertical="center"/>
    </xf>
    <xf numFmtId="0" fontId="27" fillId="0" borderId="0" xfId="49" applyFont="1" applyBorder="1" applyAlignment="1">
      <alignment vertical="center"/>
    </xf>
    <xf numFmtId="179" fontId="28" fillId="0" borderId="1" xfId="49" applyNumberFormat="1" applyFont="1" applyBorder="1" applyAlignment="1">
      <alignment horizontal="center" vertical="center"/>
    </xf>
    <xf numFmtId="2" fontId="157" fillId="0" borderId="1" xfId="52" applyNumberFormat="1" applyFont="1" applyBorder="1" applyAlignment="1">
      <alignment vertical="center"/>
    </xf>
    <xf numFmtId="0" fontId="28" fillId="0" borderId="17" xfId="0" applyNumberFormat="1" applyFont="1" applyFill="1" applyBorder="1" applyAlignment="1">
      <alignment horizontal="left" vertical="center" wrapText="1"/>
    </xf>
    <xf numFmtId="0" fontId="28" fillId="0" borderId="18" xfId="0" applyNumberFormat="1" applyFont="1" applyFill="1" applyBorder="1" applyAlignment="1">
      <alignment horizontal="left" vertical="center" wrapText="1"/>
    </xf>
    <xf numFmtId="0" fontId="28" fillId="0" borderId="19" xfId="0" applyNumberFormat="1" applyFont="1" applyFill="1" applyBorder="1" applyAlignment="1">
      <alignment horizontal="left" vertical="center" wrapText="1"/>
    </xf>
    <xf numFmtId="0" fontId="165" fillId="0" borderId="0" xfId="49" applyFont="1" applyAlignment="1">
      <alignment horizontal="left" vertical="center"/>
    </xf>
    <xf numFmtId="0" fontId="28" fillId="0" borderId="0" xfId="49" applyFont="1" applyAlignment="1">
      <alignment vertical="center"/>
    </xf>
    <xf numFmtId="171" fontId="162" fillId="0" borderId="0" xfId="0" applyFont="1" applyBorder="1" applyAlignment="1">
      <alignment horizontal="center" vertical="center"/>
    </xf>
    <xf numFmtId="171" fontId="0" fillId="0" borderId="0" xfId="0" applyFont="1" applyBorder="1" applyAlignment="1">
      <alignment horizontal="right"/>
    </xf>
    <xf numFmtId="0" fontId="206" fillId="0" borderId="0" xfId="0" applyNumberFormat="1" applyFont="1" applyFill="1" applyBorder="1" applyAlignment="1">
      <alignment horizontal="left" vertical="center" wrapText="1"/>
    </xf>
    <xf numFmtId="0" fontId="28" fillId="0" borderId="0" xfId="0" applyNumberFormat="1" applyFont="1" applyAlignment="1">
      <alignment vertical="center" wrapText="1"/>
    </xf>
    <xf numFmtId="0" fontId="205" fillId="0" borderId="0" xfId="0" applyNumberFormat="1" applyFont="1" applyFill="1" applyBorder="1" applyAlignment="1">
      <alignment horizontal="center" vertical="center" wrapText="1"/>
    </xf>
    <xf numFmtId="0" fontId="226" fillId="0" borderId="0" xfId="0" applyNumberFormat="1" applyFont="1" applyBorder="1" applyAlignment="1">
      <alignment horizontal="center" vertical="center" wrapText="1"/>
    </xf>
    <xf numFmtId="0" fontId="157" fillId="0" borderId="18" xfId="0" applyNumberFormat="1" applyFont="1" applyBorder="1" applyAlignment="1">
      <alignment horizontal="center" vertical="center" wrapText="1"/>
    </xf>
    <xf numFmtId="0" fontId="157" fillId="0" borderId="19" xfId="0" applyNumberFormat="1" applyFont="1" applyBorder="1" applyAlignment="1">
      <alignment horizontal="center" vertical="center" wrapText="1"/>
    </xf>
    <xf numFmtId="2" fontId="157" fillId="0" borderId="1" xfId="0" applyNumberFormat="1" applyFont="1" applyBorder="1" applyAlignment="1">
      <alignment horizontal="center" vertical="center"/>
    </xf>
    <xf numFmtId="0" fontId="27" fillId="0" borderId="0" xfId="0" applyNumberFormat="1" applyFont="1" applyBorder="1" applyAlignment="1">
      <alignment horizontal="left" vertical="center" wrapText="1"/>
    </xf>
    <xf numFmtId="178" fontId="28" fillId="0" borderId="1" xfId="52" applyNumberFormat="1" applyFont="1" applyBorder="1" applyAlignment="1">
      <alignment horizontal="center" vertical="center" wrapText="1"/>
    </xf>
    <xf numFmtId="2" fontId="157" fillId="0" borderId="1" xfId="52" applyNumberFormat="1" applyFont="1" applyBorder="1" applyAlignment="1">
      <alignment horizontal="left" vertical="center" wrapText="1"/>
    </xf>
    <xf numFmtId="0" fontId="28" fillId="0" borderId="1" xfId="0" applyNumberFormat="1" applyFont="1" applyBorder="1" applyAlignment="1">
      <alignment horizontal="right" vertical="center" wrapText="1"/>
    </xf>
    <xf numFmtId="0" fontId="28" fillId="0" borderId="1" xfId="0" applyNumberFormat="1" applyFont="1" applyBorder="1" applyAlignment="1">
      <alignment horizontal="center" vertical="center" wrapText="1"/>
    </xf>
    <xf numFmtId="0" fontId="157" fillId="0" borderId="1" xfId="0" applyNumberFormat="1" applyFont="1" applyBorder="1" applyAlignment="1">
      <alignment vertical="center" wrapText="1"/>
    </xf>
    <xf numFmtId="0" fontId="28" fillId="0" borderId="1" xfId="0" applyNumberFormat="1" applyFont="1" applyBorder="1" applyAlignment="1">
      <alignment horizontal="left" vertical="center" wrapText="1"/>
    </xf>
    <xf numFmtId="2" fontId="28" fillId="0" borderId="1" xfId="0" applyNumberFormat="1" applyFont="1" applyBorder="1" applyAlignment="1">
      <alignment horizontal="center" vertical="center" wrapText="1"/>
    </xf>
    <xf numFmtId="2" fontId="28" fillId="0" borderId="1" xfId="0" applyNumberFormat="1" applyFont="1" applyBorder="1" applyAlignment="1">
      <alignment horizontal="right" vertical="center" wrapText="1"/>
    </xf>
    <xf numFmtId="2" fontId="157" fillId="0" borderId="1" xfId="0" applyNumberFormat="1" applyFont="1" applyBorder="1" applyAlignment="1">
      <alignment horizontal="right" vertical="center" wrapText="1"/>
    </xf>
    <xf numFmtId="2" fontId="28" fillId="0" borderId="0" xfId="0" applyNumberFormat="1" applyFont="1" applyAlignment="1">
      <alignment vertical="center" wrapText="1"/>
    </xf>
    <xf numFmtId="0" fontId="28" fillId="0" borderId="1" xfId="0" quotePrefix="1" applyNumberFormat="1" applyFont="1" applyBorder="1" applyAlignment="1">
      <alignment horizontal="center" vertical="center" wrapText="1"/>
    </xf>
    <xf numFmtId="0" fontId="157" fillId="0" borderId="1" xfId="0" applyNumberFormat="1" applyFont="1" applyBorder="1" applyAlignment="1">
      <alignment horizontal="left" vertical="center" wrapText="1"/>
    </xf>
    <xf numFmtId="0" fontId="28" fillId="0" borderId="1" xfId="0" applyNumberFormat="1" applyFont="1" applyBorder="1" applyAlignment="1">
      <alignment vertical="center" wrapText="1"/>
    </xf>
    <xf numFmtId="2" fontId="28" fillId="0" borderId="1" xfId="0" applyNumberFormat="1" applyFont="1" applyBorder="1" applyAlignment="1">
      <alignment horizontal="center" vertical="center" wrapText="1"/>
    </xf>
    <xf numFmtId="0" fontId="28" fillId="0" borderId="1" xfId="0" applyNumberFormat="1" applyFont="1" applyBorder="1" applyAlignment="1">
      <alignment vertical="center"/>
    </xf>
    <xf numFmtId="2" fontId="28" fillId="0" borderId="1" xfId="0" applyNumberFormat="1" applyFont="1" applyBorder="1" applyAlignment="1">
      <alignment horizontal="right" vertical="center"/>
    </xf>
    <xf numFmtId="2" fontId="27" fillId="0" borderId="0" xfId="0" applyNumberFormat="1" applyFont="1" applyBorder="1" applyAlignment="1">
      <alignment horizontal="left" vertical="center"/>
    </xf>
    <xf numFmtId="178" fontId="28" fillId="0" borderId="1" xfId="0" quotePrefix="1" applyNumberFormat="1" applyFont="1" applyBorder="1" applyAlignment="1">
      <alignment horizontal="center" vertical="center" wrapText="1"/>
    </xf>
    <xf numFmtId="0" fontId="28" fillId="0" borderId="1" xfId="0" applyNumberFormat="1" applyFont="1" applyBorder="1" applyAlignment="1">
      <alignment horizontal="right" vertical="center"/>
    </xf>
    <xf numFmtId="2" fontId="28" fillId="0" borderId="17" xfId="0" applyNumberFormat="1" applyFont="1" applyBorder="1" applyAlignment="1">
      <alignment horizontal="center" vertical="center" wrapText="1"/>
    </xf>
    <xf numFmtId="2" fontId="28" fillId="0" borderId="19" xfId="0" applyNumberFormat="1" applyFont="1" applyBorder="1" applyAlignment="1">
      <alignment horizontal="center" vertical="center" wrapText="1"/>
    </xf>
    <xf numFmtId="0" fontId="157" fillId="0" borderId="1" xfId="0" applyNumberFormat="1" applyFont="1" applyBorder="1" applyAlignment="1">
      <alignment horizontal="right" vertical="center"/>
    </xf>
    <xf numFmtId="0" fontId="28" fillId="0" borderId="1" xfId="0" applyNumberFormat="1" applyFont="1" applyBorder="1" applyAlignment="1">
      <alignment horizontal="center" vertical="center" wrapText="1"/>
    </xf>
    <xf numFmtId="0" fontId="157" fillId="0" borderId="1" xfId="0" applyNumberFormat="1" applyFont="1" applyBorder="1" applyAlignment="1">
      <alignment vertical="center"/>
    </xf>
    <xf numFmtId="0" fontId="28" fillId="0" borderId="1" xfId="0" applyNumberFormat="1" applyFont="1" applyBorder="1" applyAlignment="1">
      <alignment horizontal="right" wrapText="1"/>
    </xf>
    <xf numFmtId="171" fontId="28" fillId="0" borderId="1" xfId="0" applyNumberFormat="1" applyFont="1" applyBorder="1" applyAlignment="1">
      <alignment vertical="center" wrapText="1"/>
    </xf>
    <xf numFmtId="171" fontId="28" fillId="0" borderId="1" xfId="0" applyNumberFormat="1" applyFont="1" applyBorder="1" applyAlignment="1">
      <alignment horizontal="center" vertical="center" wrapText="1"/>
    </xf>
    <xf numFmtId="171" fontId="28" fillId="0" borderId="1" xfId="0" applyNumberFormat="1" applyFont="1" applyBorder="1" applyAlignment="1">
      <alignment horizontal="right" vertical="center" wrapText="1"/>
    </xf>
    <xf numFmtId="171" fontId="157" fillId="0" borderId="1" xfId="0" applyNumberFormat="1" applyFont="1" applyBorder="1" applyAlignment="1">
      <alignment horizontal="right" vertical="center" wrapText="1"/>
    </xf>
    <xf numFmtId="173" fontId="157" fillId="0" borderId="1" xfId="0" applyNumberFormat="1" applyFont="1" applyBorder="1" applyAlignment="1">
      <alignment horizontal="right" vertical="center" wrapText="1"/>
    </xf>
    <xf numFmtId="171" fontId="27" fillId="0" borderId="0" xfId="0" applyNumberFormat="1" applyFont="1" applyAlignment="1">
      <alignment horizontal="left" vertical="center" wrapText="1"/>
    </xf>
    <xf numFmtId="171" fontId="28" fillId="0" borderId="0" xfId="0" applyNumberFormat="1" applyFont="1" applyAlignment="1">
      <alignment vertical="center" wrapText="1"/>
    </xf>
    <xf numFmtId="0" fontId="28" fillId="0" borderId="1" xfId="1129" applyFont="1" applyFill="1" applyBorder="1" applyAlignment="1">
      <alignment horizontal="center" vertical="center" wrapText="1"/>
    </xf>
    <xf numFmtId="0" fontId="157" fillId="0" borderId="1" xfId="1129" applyFont="1" applyFill="1" applyBorder="1" applyAlignment="1">
      <alignment horizontal="left" vertical="center" wrapText="1"/>
    </xf>
    <xf numFmtId="179" fontId="28" fillId="0" borderId="1" xfId="1129" applyNumberFormat="1" applyFont="1" applyFill="1" applyBorder="1" applyAlignment="1">
      <alignment horizontal="right" vertical="center" wrapText="1"/>
    </xf>
    <xf numFmtId="179" fontId="157" fillId="0" borderId="1" xfId="1129" applyNumberFormat="1" applyFont="1" applyFill="1" applyBorder="1" applyAlignment="1">
      <alignment horizontal="right" vertical="center" wrapText="1"/>
    </xf>
    <xf numFmtId="2" fontId="157" fillId="0" borderId="1" xfId="1129" applyNumberFormat="1" applyFont="1" applyFill="1" applyBorder="1" applyAlignment="1">
      <alignment horizontal="right" vertical="center" wrapText="1"/>
    </xf>
    <xf numFmtId="4" fontId="27" fillId="0" borderId="0" xfId="1129" applyNumberFormat="1" applyFont="1" applyFill="1" applyBorder="1" applyAlignment="1">
      <alignment horizontal="left" vertical="center" wrapText="1"/>
    </xf>
    <xf numFmtId="0" fontId="157" fillId="0" borderId="0" xfId="1129" applyFont="1" applyFill="1" applyBorder="1" applyAlignment="1">
      <alignment horizontal="center" vertical="center" wrapText="1"/>
    </xf>
    <xf numFmtId="0" fontId="157" fillId="0" borderId="0" xfId="1129" applyFont="1" applyFill="1" applyBorder="1" applyAlignment="1">
      <alignment vertical="center" wrapText="1"/>
    </xf>
    <xf numFmtId="0" fontId="28" fillId="0" borderId="1" xfId="1129" applyFont="1" applyFill="1" applyBorder="1" applyAlignment="1">
      <alignment horizontal="left" vertical="center" wrapText="1"/>
    </xf>
    <xf numFmtId="0" fontId="27" fillId="0" borderId="0" xfId="49" applyFont="1" applyBorder="1" applyAlignment="1">
      <alignment horizontal="left" vertical="center"/>
    </xf>
    <xf numFmtId="171" fontId="28" fillId="0" borderId="0" xfId="0" applyNumberFormat="1" applyFont="1" applyBorder="1" applyAlignment="1">
      <alignment vertical="center"/>
    </xf>
    <xf numFmtId="171" fontId="28" fillId="0" borderId="0" xfId="0" applyNumberFormat="1" applyFont="1" applyBorder="1" applyAlignment="1">
      <alignment horizontal="left" vertical="center"/>
    </xf>
    <xf numFmtId="172" fontId="28" fillId="0" borderId="0" xfId="0" applyNumberFormat="1" applyFont="1" applyBorder="1" applyAlignment="1">
      <alignment horizontal="center" vertical="center"/>
    </xf>
    <xf numFmtId="171" fontId="28" fillId="0" borderId="0" xfId="0" applyNumberFormat="1" applyFont="1" applyBorder="1" applyAlignment="1">
      <alignment horizontal="right" vertical="center"/>
    </xf>
    <xf numFmtId="2" fontId="28" fillId="0" borderId="0" xfId="0" applyNumberFormat="1" applyFont="1" applyBorder="1" applyAlignment="1">
      <alignment horizontal="right" vertical="center" wrapText="1"/>
    </xf>
    <xf numFmtId="171" fontId="27" fillId="0" borderId="0" xfId="0" applyNumberFormat="1" applyFont="1" applyAlignment="1">
      <alignment horizontal="left" vertical="center"/>
    </xf>
    <xf numFmtId="171" fontId="28" fillId="0" borderId="0" xfId="0" applyNumberFormat="1" applyFont="1" applyAlignment="1">
      <alignment vertical="center"/>
    </xf>
    <xf numFmtId="171" fontId="28" fillId="0" borderId="0" xfId="0" applyNumberFormat="1" applyFont="1" applyAlignment="1">
      <alignment horizontal="left" vertical="center"/>
    </xf>
    <xf numFmtId="171" fontId="28" fillId="0" borderId="0" xfId="0" applyNumberFormat="1" applyFont="1" applyAlignment="1">
      <alignment horizontal="center" vertical="center"/>
    </xf>
    <xf numFmtId="171" fontId="28" fillId="0" borderId="0" xfId="0" applyNumberFormat="1" applyFont="1" applyAlignment="1">
      <alignment horizontal="right" vertical="center"/>
    </xf>
    <xf numFmtId="171" fontId="28" fillId="0" borderId="0" xfId="0" applyNumberFormat="1" applyFont="1" applyAlignment="1">
      <alignment horizontal="center" vertical="center" wrapText="1"/>
    </xf>
    <xf numFmtId="171" fontId="28" fillId="0" borderId="0" xfId="0" applyNumberFormat="1" applyFont="1" applyAlignment="1">
      <alignment horizontal="right" vertical="center" wrapText="1"/>
    </xf>
    <xf numFmtId="0" fontId="157" fillId="0" borderId="0" xfId="1094" applyNumberFormat="1" applyFont="1" applyBorder="1" applyAlignment="1">
      <alignment horizontal="center" vertical="center" wrapText="1"/>
    </xf>
    <xf numFmtId="171" fontId="28" fillId="0" borderId="0" xfId="1094" applyNumberFormat="1" applyFont="1" applyBorder="1" applyAlignment="1">
      <alignment vertical="center"/>
    </xf>
    <xf numFmtId="0" fontId="157" fillId="0" borderId="0" xfId="1096" applyNumberFormat="1" applyFont="1" applyBorder="1" applyAlignment="1">
      <alignment horizontal="center" vertical="center" wrapText="1"/>
    </xf>
    <xf numFmtId="171" fontId="222" fillId="0" borderId="0" xfId="1094" applyNumberFormat="1" applyFont="1" applyBorder="1" applyAlignment="1">
      <alignment horizontal="center" vertical="center"/>
    </xf>
    <xf numFmtId="1" fontId="163" fillId="0" borderId="1" xfId="1094" applyNumberFormat="1" applyFont="1" applyFill="1" applyBorder="1" applyAlignment="1">
      <alignment horizontal="center" vertical="center" wrapText="1"/>
    </xf>
    <xf numFmtId="0" fontId="228" fillId="0" borderId="1" xfId="1094" applyNumberFormat="1" applyFont="1" applyFill="1" applyBorder="1" applyAlignment="1">
      <alignment horizontal="center" vertical="center"/>
    </xf>
    <xf numFmtId="171" fontId="28" fillId="0" borderId="0" xfId="1094" applyNumberFormat="1" applyFont="1" applyBorder="1" applyAlignment="1">
      <alignment horizontal="left" vertical="center"/>
    </xf>
    <xf numFmtId="0" fontId="228" fillId="0" borderId="1" xfId="1094" applyNumberFormat="1" applyFont="1" applyFill="1" applyBorder="1" applyAlignment="1">
      <alignment horizontal="center" vertical="center"/>
    </xf>
    <xf numFmtId="0" fontId="163" fillId="0" borderId="1" xfId="0" applyNumberFormat="1" applyFont="1" applyBorder="1" applyAlignment="1">
      <alignment vertical="center" wrapText="1"/>
    </xf>
    <xf numFmtId="2" fontId="158" fillId="0" borderId="1" xfId="0" applyNumberFormat="1" applyFont="1" applyBorder="1" applyAlignment="1">
      <alignment horizontal="right" vertical="center"/>
    </xf>
    <xf numFmtId="0" fontId="158" fillId="0" borderId="0" xfId="0" applyNumberFormat="1" applyFont="1" applyBorder="1" applyAlignment="1">
      <alignment horizontal="left" vertical="center"/>
    </xf>
    <xf numFmtId="0" fontId="158" fillId="0" borderId="0" xfId="0" applyNumberFormat="1" applyFont="1" applyBorder="1" applyAlignment="1">
      <alignment vertical="center"/>
    </xf>
    <xf numFmtId="0" fontId="164" fillId="0" borderId="1" xfId="0" applyNumberFormat="1" applyFont="1" applyBorder="1" applyAlignment="1">
      <alignment vertical="center"/>
    </xf>
    <xf numFmtId="2" fontId="158" fillId="0" borderId="1" xfId="0" applyNumberFormat="1" applyFont="1" applyBorder="1" applyAlignment="1">
      <alignment horizontal="center" vertical="center"/>
    </xf>
    <xf numFmtId="2" fontId="154" fillId="0" borderId="1" xfId="0" applyNumberFormat="1" applyFont="1" applyBorder="1" applyAlignment="1">
      <alignment horizontal="right" vertical="center"/>
    </xf>
    <xf numFmtId="0" fontId="158" fillId="0" borderId="0" xfId="0" applyNumberFormat="1" applyFont="1" applyBorder="1" applyAlignment="1">
      <alignment vertical="top" wrapText="1"/>
    </xf>
    <xf numFmtId="0" fontId="158" fillId="0" borderId="0" xfId="0" applyNumberFormat="1" applyFont="1" applyBorder="1"/>
    <xf numFmtId="1" fontId="28" fillId="0" borderId="1" xfId="0" applyNumberFormat="1" applyFont="1" applyFill="1" applyBorder="1" applyAlignment="1">
      <alignment horizontal="center" vertical="center"/>
    </xf>
    <xf numFmtId="171" fontId="28" fillId="0" borderId="17" xfId="0" applyFont="1" applyFill="1" applyBorder="1" applyAlignment="1">
      <alignment horizontal="left" vertical="center" wrapText="1"/>
    </xf>
    <xf numFmtId="171" fontId="28" fillId="0" borderId="18" xfId="0" applyFont="1" applyFill="1" applyBorder="1" applyAlignment="1">
      <alignment horizontal="left" vertical="center" wrapText="1"/>
    </xf>
    <xf numFmtId="171" fontId="28" fillId="0" borderId="19" xfId="0" applyFont="1" applyFill="1" applyBorder="1" applyAlignment="1">
      <alignment horizontal="left" vertical="center" wrapText="1"/>
    </xf>
    <xf numFmtId="171" fontId="28" fillId="0" borderId="0" xfId="0" applyFont="1" applyFill="1" applyBorder="1" applyAlignment="1">
      <alignment horizontal="left" vertical="center" wrapText="1"/>
    </xf>
    <xf numFmtId="1" fontId="163" fillId="0" borderId="1" xfId="0" applyNumberFormat="1" applyFont="1" applyFill="1" applyBorder="1" applyAlignment="1">
      <alignment horizontal="center" vertical="center" wrapText="1"/>
    </xf>
    <xf numFmtId="171" fontId="229" fillId="0" borderId="1" xfId="0" applyFont="1" applyFill="1" applyBorder="1" applyAlignment="1">
      <alignment vertical="center"/>
    </xf>
    <xf numFmtId="172" fontId="163" fillId="0" borderId="1" xfId="0" applyNumberFormat="1" applyFont="1" applyFill="1" applyBorder="1" applyAlignment="1">
      <alignment horizontal="center" vertical="center"/>
    </xf>
    <xf numFmtId="0" fontId="163" fillId="0" borderId="1" xfId="0" applyNumberFormat="1" applyFont="1" applyFill="1" applyBorder="1" applyAlignment="1">
      <alignment horizontal="center" vertical="center"/>
    </xf>
    <xf numFmtId="171" fontId="157" fillId="0" borderId="1" xfId="0" applyFont="1" applyFill="1" applyBorder="1" applyAlignment="1">
      <alignment horizontal="right" vertical="center"/>
    </xf>
    <xf numFmtId="0" fontId="163" fillId="0" borderId="0" xfId="0" applyNumberFormat="1" applyFont="1" applyFill="1" applyBorder="1" applyAlignment="1">
      <alignment horizontal="left" vertical="center" wrapText="1"/>
    </xf>
    <xf numFmtId="171" fontId="28" fillId="0" borderId="0" xfId="0" applyFont="1" applyFill="1" applyBorder="1" applyAlignment="1">
      <alignment horizontal="left" vertical="center"/>
    </xf>
    <xf numFmtId="171" fontId="27" fillId="0" borderId="0" xfId="0" applyFont="1" applyFill="1" applyBorder="1" applyAlignment="1">
      <alignment vertical="center" wrapText="1"/>
    </xf>
    <xf numFmtId="171" fontId="230" fillId="0" borderId="1" xfId="0" applyFont="1" applyFill="1" applyBorder="1" applyAlignment="1">
      <alignment vertical="center"/>
    </xf>
    <xf numFmtId="172" fontId="28" fillId="0" borderId="1" xfId="0" applyNumberFormat="1" applyFont="1" applyFill="1" applyBorder="1" applyAlignment="1">
      <alignment vertical="center"/>
    </xf>
    <xf numFmtId="0" fontId="27" fillId="0" borderId="0" xfId="0" applyNumberFormat="1" applyFont="1" applyFill="1" applyBorder="1" applyAlignment="1">
      <alignment horizontal="center" vertical="center" wrapText="1"/>
    </xf>
    <xf numFmtId="1" fontId="28" fillId="0" borderId="1" xfId="1296" applyNumberFormat="1" applyFont="1" applyBorder="1" applyAlignment="1">
      <alignment horizontal="center" vertical="center"/>
    </xf>
    <xf numFmtId="184" fontId="28" fillId="0" borderId="1" xfId="1296" applyNumberFormat="1" applyFont="1" applyBorder="1" applyAlignment="1">
      <alignment horizontal="center" vertical="center"/>
    </xf>
    <xf numFmtId="171" fontId="28" fillId="0" borderId="1" xfId="1296" applyNumberFormat="1" applyFont="1" applyBorder="1" applyAlignment="1">
      <alignment horizontal="right" vertical="center"/>
    </xf>
    <xf numFmtId="171" fontId="27" fillId="0" borderId="0" xfId="1296" applyNumberFormat="1" applyFont="1" applyBorder="1" applyAlignment="1">
      <alignment vertical="center"/>
    </xf>
    <xf numFmtId="171" fontId="28" fillId="0" borderId="0" xfId="1296" applyNumberFormat="1" applyFont="1" applyBorder="1" applyAlignment="1">
      <alignment vertical="center"/>
    </xf>
    <xf numFmtId="171" fontId="26" fillId="0" borderId="0" xfId="0" applyFont="1" applyFill="1" applyBorder="1" applyAlignment="1">
      <alignment vertical="center"/>
    </xf>
    <xf numFmtId="179" fontId="28" fillId="0" borderId="1" xfId="0" applyNumberFormat="1" applyFont="1" applyBorder="1" applyAlignment="1">
      <alignment vertical="center" wrapText="1"/>
    </xf>
    <xf numFmtId="2" fontId="158" fillId="0" borderId="1" xfId="0" applyNumberFormat="1" applyFont="1" applyFill="1" applyBorder="1" applyAlignment="1">
      <alignment horizontal="center" vertical="center" wrapText="1"/>
    </xf>
    <xf numFmtId="1" fontId="28" fillId="0" borderId="1" xfId="1094" applyNumberFormat="1" applyFont="1" applyBorder="1" applyAlignment="1">
      <alignment horizontal="center" vertical="center"/>
    </xf>
    <xf numFmtId="171" fontId="28" fillId="0" borderId="1" xfId="1094" applyNumberFormat="1" applyFont="1" applyBorder="1" applyAlignment="1">
      <alignment vertical="center" wrapText="1"/>
    </xf>
    <xf numFmtId="171" fontId="28" fillId="0" borderId="1" xfId="1094" applyNumberFormat="1" applyFont="1" applyBorder="1" applyAlignment="1">
      <alignment horizontal="right" vertical="center"/>
    </xf>
    <xf numFmtId="1" fontId="28" fillId="0" borderId="1" xfId="0" quotePrefix="1" applyNumberFormat="1" applyFont="1" applyBorder="1" applyAlignment="1">
      <alignment horizontal="center" vertical="center" wrapText="1"/>
    </xf>
    <xf numFmtId="172" fontId="28" fillId="0" borderId="1" xfId="1094" applyNumberFormat="1" applyFont="1" applyBorder="1" applyAlignment="1">
      <alignment horizontal="center" vertical="center"/>
    </xf>
    <xf numFmtId="171" fontId="28" fillId="0" borderId="1" xfId="1094" applyNumberFormat="1" applyFont="1" applyBorder="1" applyAlignment="1">
      <alignment horizontal="center" vertical="center"/>
    </xf>
    <xf numFmtId="171" fontId="157" fillId="0" borderId="1" xfId="1297" applyNumberFormat="1" applyFont="1" applyBorder="1" applyAlignment="1">
      <alignment horizontal="right" vertical="center"/>
    </xf>
    <xf numFmtId="2" fontId="28" fillId="0" borderId="0" xfId="0" applyNumberFormat="1" applyFont="1" applyBorder="1" applyAlignment="1">
      <alignment vertical="center" wrapText="1"/>
    </xf>
    <xf numFmtId="0" fontId="28" fillId="0" borderId="0" xfId="0" applyNumberFormat="1" applyFont="1" applyBorder="1" applyAlignment="1">
      <alignment vertical="top" wrapText="1"/>
    </xf>
    <xf numFmtId="172" fontId="163" fillId="0" borderId="1" xfId="0" applyNumberFormat="1" applyFont="1" applyFill="1" applyBorder="1" applyAlignment="1">
      <alignment horizontal="center" vertical="center" wrapText="1"/>
    </xf>
    <xf numFmtId="171" fontId="157" fillId="0" borderId="1" xfId="0" applyFont="1" applyFill="1" applyBorder="1" applyAlignment="1">
      <alignment vertical="center" wrapText="1"/>
    </xf>
    <xf numFmtId="0" fontId="163" fillId="7" borderId="1" xfId="1107" applyFont="1" applyFill="1" applyBorder="1" applyAlignment="1">
      <alignment horizontal="center" vertical="center"/>
    </xf>
    <xf numFmtId="171" fontId="157" fillId="0" borderId="1" xfId="0" applyFont="1" applyBorder="1" applyAlignment="1">
      <alignment horizontal="left" vertical="center" wrapText="1"/>
    </xf>
    <xf numFmtId="171" fontId="28" fillId="0" borderId="1" xfId="0" applyFont="1" applyBorder="1" applyAlignment="1">
      <alignment horizontal="left" vertical="center" wrapText="1"/>
    </xf>
    <xf numFmtId="2" fontId="228" fillId="7" borderId="1" xfId="1107" applyNumberFormat="1" applyFont="1" applyFill="1" applyBorder="1" applyAlignment="1">
      <alignment horizontal="center" vertical="center"/>
    </xf>
    <xf numFmtId="2" fontId="228" fillId="7" borderId="1" xfId="1107" applyNumberFormat="1" applyFont="1" applyFill="1" applyBorder="1" applyAlignment="1">
      <alignment horizontal="right" vertical="center"/>
    </xf>
    <xf numFmtId="0" fontId="26" fillId="7" borderId="0" xfId="1107" applyFont="1" applyFill="1" applyBorder="1" applyAlignment="1">
      <alignment horizontal="left" vertical="center"/>
    </xf>
    <xf numFmtId="0" fontId="28" fillId="0" borderId="0" xfId="1107" applyFont="1" applyFill="1" applyBorder="1" applyAlignment="1">
      <alignment vertical="top"/>
    </xf>
    <xf numFmtId="0" fontId="28" fillId="7" borderId="1" xfId="1106" applyNumberFormat="1" applyFont="1" applyFill="1" applyBorder="1" applyAlignment="1">
      <alignment vertical="center"/>
    </xf>
    <xf numFmtId="1" fontId="28" fillId="7" borderId="1" xfId="0" applyNumberFormat="1" applyFont="1" applyFill="1" applyBorder="1" applyAlignment="1">
      <alignment horizontal="center" vertical="center" wrapText="1"/>
    </xf>
    <xf numFmtId="171" fontId="28" fillId="7" borderId="1" xfId="0" applyFont="1" applyFill="1" applyBorder="1" applyAlignment="1">
      <alignment horizontal="left" vertical="center" wrapText="1"/>
    </xf>
    <xf numFmtId="2" fontId="163" fillId="7" borderId="1" xfId="1107" applyNumberFormat="1" applyFont="1" applyFill="1" applyBorder="1" applyAlignment="1">
      <alignment horizontal="center" vertical="center"/>
    </xf>
    <xf numFmtId="0" fontId="26" fillId="7" borderId="0" xfId="1106" applyNumberFormat="1" applyFont="1" applyFill="1" applyBorder="1" applyAlignment="1">
      <alignment horizontal="left" vertical="center"/>
    </xf>
    <xf numFmtId="0" fontId="28" fillId="7" borderId="1" xfId="1106" applyNumberFormat="1" applyFont="1" applyFill="1" applyBorder="1" applyAlignment="1">
      <alignment horizontal="center" vertical="center"/>
    </xf>
    <xf numFmtId="0" fontId="157" fillId="7" borderId="1" xfId="1106" applyNumberFormat="1" applyFont="1" applyFill="1" applyBorder="1" applyAlignment="1">
      <alignment horizontal="left" vertical="center" wrapText="1"/>
    </xf>
    <xf numFmtId="0" fontId="28" fillId="7" borderId="1" xfId="1106" applyNumberFormat="1" applyFont="1" applyFill="1" applyBorder="1" applyAlignment="1">
      <alignment horizontal="left" vertical="center" wrapText="1"/>
    </xf>
    <xf numFmtId="2" fontId="28" fillId="7" borderId="1" xfId="1106" applyNumberFormat="1" applyFont="1" applyFill="1" applyBorder="1" applyAlignment="1">
      <alignment horizontal="center" vertical="center"/>
    </xf>
    <xf numFmtId="2" fontId="28" fillId="7" borderId="1" xfId="1106" applyNumberFormat="1" applyFont="1" applyFill="1" applyBorder="1" applyAlignment="1">
      <alignment horizontal="right" vertical="center"/>
    </xf>
    <xf numFmtId="0" fontId="157" fillId="7" borderId="0" xfId="1107" applyFont="1" applyFill="1" applyBorder="1" applyAlignment="1">
      <alignment horizontal="left" vertical="center"/>
    </xf>
    <xf numFmtId="1" fontId="28" fillId="7" borderId="1" xfId="1106" applyNumberFormat="1" applyFont="1" applyFill="1" applyBorder="1" applyAlignment="1">
      <alignment horizontal="center" vertical="top"/>
    </xf>
    <xf numFmtId="1" fontId="28" fillId="7" borderId="1" xfId="1106" applyNumberFormat="1" applyFont="1" applyFill="1" applyBorder="1" applyAlignment="1">
      <alignment horizontal="center" vertical="center"/>
    </xf>
    <xf numFmtId="0" fontId="28" fillId="7" borderId="0" xfId="18" applyFont="1" applyFill="1" applyBorder="1" applyAlignment="1">
      <alignment vertical="center"/>
    </xf>
    <xf numFmtId="0" fontId="28" fillId="7" borderId="1" xfId="1106" applyNumberFormat="1" applyFont="1" applyFill="1" applyBorder="1" applyAlignment="1">
      <alignment vertical="top"/>
    </xf>
    <xf numFmtId="2" fontId="157" fillId="7" borderId="1" xfId="1106" applyNumberFormat="1" applyFont="1" applyFill="1" applyBorder="1" applyAlignment="1">
      <alignment horizontal="center" vertical="center"/>
    </xf>
    <xf numFmtId="2" fontId="157" fillId="7" borderId="1" xfId="1106" applyNumberFormat="1" applyFont="1" applyFill="1" applyBorder="1" applyAlignment="1">
      <alignment horizontal="right" vertical="center"/>
    </xf>
    <xf numFmtId="2" fontId="28" fillId="0" borderId="1" xfId="1298" applyNumberFormat="1" applyFont="1" applyBorder="1" applyAlignment="1">
      <alignment horizontal="center" vertical="center" wrapText="1"/>
    </xf>
    <xf numFmtId="179" fontId="28" fillId="0" borderId="1" xfId="1298" applyNumberFormat="1" applyFont="1" applyBorder="1" applyAlignment="1">
      <alignment horizontal="center" vertical="center" wrapText="1"/>
    </xf>
    <xf numFmtId="2" fontId="154" fillId="0" borderId="1" xfId="0" applyNumberFormat="1" applyFont="1" applyBorder="1" applyAlignment="1">
      <alignment horizontal="center" vertical="center"/>
    </xf>
    <xf numFmtId="1" fontId="28" fillId="0" borderId="0" xfId="0" quotePrefix="1" applyNumberFormat="1" applyFont="1" applyBorder="1" applyAlignment="1">
      <alignment horizontal="center" vertical="center" wrapText="1"/>
    </xf>
    <xf numFmtId="0" fontId="28" fillId="0" borderId="0" xfId="0" applyNumberFormat="1" applyFont="1" applyBorder="1" applyAlignment="1">
      <alignment horizontal="left" vertical="center" wrapText="1"/>
    </xf>
    <xf numFmtId="1" fontId="28" fillId="0" borderId="0" xfId="1094" applyNumberFormat="1" applyFont="1" applyBorder="1" applyAlignment="1">
      <alignment horizontal="center" vertical="center"/>
    </xf>
    <xf numFmtId="172" fontId="28" fillId="0" borderId="0" xfId="1094" applyNumberFormat="1" applyFont="1" applyBorder="1" applyAlignment="1">
      <alignment horizontal="center" vertical="center"/>
    </xf>
    <xf numFmtId="171" fontId="28" fillId="0" borderId="0" xfId="1094" applyNumberFormat="1" applyFont="1" applyBorder="1" applyAlignment="1">
      <alignment horizontal="center" vertical="center"/>
    </xf>
    <xf numFmtId="171" fontId="157" fillId="0" borderId="0" xfId="1297" applyNumberFormat="1" applyFont="1" applyBorder="1" applyAlignment="1">
      <alignment horizontal="right" vertical="center"/>
    </xf>
    <xf numFmtId="171" fontId="28" fillId="0" borderId="0" xfId="1094" applyNumberFormat="1" applyFont="1" applyBorder="1" applyAlignment="1">
      <alignment horizontal="justify" vertical="center"/>
    </xf>
    <xf numFmtId="171" fontId="163" fillId="0" borderId="0" xfId="1094" applyNumberFormat="1" applyFont="1" applyFill="1" applyBorder="1" applyAlignment="1">
      <alignment vertical="center"/>
    </xf>
    <xf numFmtId="0" fontId="154" fillId="0" borderId="0" xfId="1297" applyFont="1" applyBorder="1" applyAlignment="1">
      <alignment horizontal="left" vertical="center"/>
    </xf>
    <xf numFmtId="0" fontId="158" fillId="0" borderId="0" xfId="1297" applyFont="1" applyBorder="1" applyAlignment="1">
      <alignment vertical="center"/>
    </xf>
    <xf numFmtId="0" fontId="163" fillId="0" borderId="0" xfId="1297" applyFont="1" applyBorder="1" applyAlignment="1">
      <alignment horizontal="justify" vertical="center"/>
    </xf>
    <xf numFmtId="0" fontId="163" fillId="0" borderId="0" xfId="1297" applyFont="1" applyBorder="1" applyAlignment="1">
      <alignment horizontal="justify" vertical="center" wrapText="1"/>
    </xf>
    <xf numFmtId="0" fontId="163" fillId="0" borderId="0" xfId="1297" applyFont="1" applyBorder="1" applyAlignment="1">
      <alignment vertical="center" wrapText="1"/>
    </xf>
    <xf numFmtId="0" fontId="28" fillId="0" borderId="0" xfId="1297" applyFont="1" applyBorder="1" applyAlignment="1">
      <alignment vertical="center" wrapText="1"/>
    </xf>
    <xf numFmtId="0" fontId="163" fillId="0" borderId="0" xfId="1297" applyFont="1" applyBorder="1" applyAlignment="1">
      <alignment horizontal="left" vertical="center" wrapText="1"/>
    </xf>
    <xf numFmtId="0" fontId="163" fillId="0" borderId="0" xfId="1297" applyFont="1" applyBorder="1" applyAlignment="1">
      <alignment horizontal="right" vertical="center"/>
    </xf>
    <xf numFmtId="0" fontId="163" fillId="0" borderId="0" xfId="1297" applyFont="1" applyBorder="1" applyAlignment="1">
      <alignment horizontal="left" vertical="center"/>
    </xf>
    <xf numFmtId="0" fontId="163" fillId="0" borderId="0" xfId="1297" applyFont="1" applyBorder="1" applyAlignment="1">
      <alignment vertical="center"/>
    </xf>
    <xf numFmtId="0" fontId="28" fillId="0" borderId="0" xfId="1297" applyFont="1" applyBorder="1" applyAlignment="1">
      <alignment horizontal="left" vertical="center" wrapText="1"/>
    </xf>
    <xf numFmtId="0" fontId="28" fillId="0" borderId="0" xfId="1297" applyFont="1" applyBorder="1" applyAlignment="1">
      <alignment horizontal="left" vertical="center"/>
    </xf>
    <xf numFmtId="0" fontId="231" fillId="0" borderId="0" xfId="1297" applyFont="1" applyBorder="1" applyAlignment="1">
      <alignment horizontal="left" vertical="center"/>
    </xf>
    <xf numFmtId="0" fontId="28" fillId="0" borderId="0" xfId="1297" applyFont="1" applyBorder="1" applyAlignment="1">
      <alignment horizontal="justify" vertical="center"/>
    </xf>
    <xf numFmtId="0" fontId="232" fillId="0" borderId="0" xfId="1096" applyNumberFormat="1" applyFont="1" applyBorder="1" applyAlignment="1">
      <alignment horizontal="center" vertical="center" wrapText="1"/>
    </xf>
    <xf numFmtId="171" fontId="28" fillId="0" borderId="0" xfId="1096" applyNumberFormat="1" applyFont="1" applyBorder="1" applyAlignment="1">
      <alignment vertical="center"/>
    </xf>
    <xf numFmtId="171" fontId="230" fillId="0" borderId="0" xfId="1096" applyNumberFormat="1" applyFont="1" applyBorder="1" applyAlignment="1">
      <alignment horizontal="center" vertical="center"/>
    </xf>
    <xf numFmtId="1" fontId="228" fillId="0" borderId="1" xfId="1096" applyNumberFormat="1" applyFont="1" applyFill="1" applyBorder="1" applyAlignment="1">
      <alignment horizontal="center" vertical="center" wrapText="1"/>
    </xf>
    <xf numFmtId="0" fontId="228" fillId="0" borderId="1" xfId="1096" applyNumberFormat="1" applyFont="1" applyFill="1" applyBorder="1" applyAlignment="1">
      <alignment horizontal="center" vertical="center"/>
    </xf>
    <xf numFmtId="0" fontId="228" fillId="0" borderId="1" xfId="1096" applyNumberFormat="1" applyFont="1" applyFill="1" applyBorder="1" applyAlignment="1">
      <alignment horizontal="right" vertical="center"/>
    </xf>
    <xf numFmtId="171" fontId="160" fillId="0" borderId="0" xfId="1096" applyNumberFormat="1" applyFont="1" applyBorder="1" applyAlignment="1">
      <alignment horizontal="left" vertical="center"/>
    </xf>
    <xf numFmtId="0" fontId="228" fillId="0" borderId="1" xfId="1096" applyNumberFormat="1" applyFont="1" applyFill="1" applyBorder="1" applyAlignment="1">
      <alignment horizontal="center" vertical="center"/>
    </xf>
    <xf numFmtId="1" fontId="28" fillId="0" borderId="1" xfId="1101" applyNumberFormat="1" applyFont="1" applyFill="1" applyBorder="1" applyAlignment="1">
      <alignment horizontal="center" vertical="center"/>
    </xf>
    <xf numFmtId="171" fontId="28" fillId="0" borderId="17" xfId="1101" applyNumberFormat="1" applyFont="1" applyFill="1" applyBorder="1" applyAlignment="1">
      <alignment horizontal="left" vertical="center" wrapText="1"/>
    </xf>
    <xf numFmtId="171" fontId="28" fillId="0" borderId="18" xfId="1101" applyNumberFormat="1" applyFont="1" applyFill="1" applyBorder="1" applyAlignment="1">
      <alignment horizontal="left" vertical="center" wrapText="1"/>
    </xf>
    <xf numFmtId="171" fontId="28" fillId="0" borderId="19" xfId="1101" applyNumberFormat="1" applyFont="1" applyFill="1" applyBorder="1" applyAlignment="1">
      <alignment horizontal="left" vertical="center" wrapText="1"/>
    </xf>
    <xf numFmtId="171" fontId="28" fillId="0" borderId="1" xfId="1101" applyNumberFormat="1" applyFont="1" applyFill="1" applyBorder="1" applyAlignment="1">
      <alignment vertical="center"/>
    </xf>
    <xf numFmtId="171" fontId="228" fillId="0" borderId="1" xfId="1101" applyNumberFormat="1" applyFont="1" applyFill="1" applyBorder="1" applyAlignment="1">
      <alignment horizontal="right" vertical="center"/>
    </xf>
    <xf numFmtId="171" fontId="160" fillId="0" borderId="0" xfId="1101" applyNumberFormat="1" applyFont="1" applyFill="1" applyBorder="1" applyAlignment="1">
      <alignment horizontal="left" vertical="center"/>
    </xf>
    <xf numFmtId="171" fontId="28" fillId="0" borderId="0" xfId="1101" applyNumberFormat="1" applyFont="1" applyFill="1" applyBorder="1" applyAlignment="1">
      <alignment vertical="center"/>
    </xf>
    <xf numFmtId="2" fontId="163" fillId="0" borderId="1" xfId="52" applyNumberFormat="1" applyFont="1" applyFill="1" applyBorder="1" applyAlignment="1">
      <alignment vertical="center" wrapText="1"/>
    </xf>
    <xf numFmtId="1" fontId="163" fillId="0" borderId="1" xfId="52" applyNumberFormat="1" applyFont="1" applyFill="1" applyBorder="1" applyAlignment="1">
      <alignment horizontal="center" vertical="center" wrapText="1"/>
    </xf>
    <xf numFmtId="172" fontId="163" fillId="0" borderId="1" xfId="1101" applyNumberFormat="1" applyFont="1" applyFill="1" applyBorder="1" applyAlignment="1">
      <alignment horizontal="center" vertical="center"/>
    </xf>
    <xf numFmtId="171" fontId="163" fillId="0" borderId="1" xfId="1101" applyNumberFormat="1" applyFont="1" applyFill="1" applyBorder="1" applyAlignment="1">
      <alignment vertical="center"/>
    </xf>
    <xf numFmtId="171" fontId="163" fillId="0" borderId="1" xfId="1101" applyNumberFormat="1" applyFont="1" applyFill="1" applyBorder="1" applyAlignment="1">
      <alignment horizontal="right" vertical="center"/>
    </xf>
    <xf numFmtId="171" fontId="228" fillId="0" borderId="1" xfId="1101" applyNumberFormat="1" applyFont="1" applyFill="1" applyBorder="1" applyAlignment="1">
      <alignment vertical="center"/>
    </xf>
    <xf numFmtId="171" fontId="28" fillId="0" borderId="1" xfId="1101" applyNumberFormat="1" applyFont="1" applyFill="1" applyBorder="1" applyAlignment="1">
      <alignment horizontal="left" vertical="center" wrapText="1"/>
    </xf>
    <xf numFmtId="172" fontId="28" fillId="0" borderId="1" xfId="1101" applyNumberFormat="1" applyFont="1" applyFill="1" applyBorder="1" applyAlignment="1">
      <alignment horizontal="center" vertical="center"/>
    </xf>
    <xf numFmtId="171" fontId="28" fillId="0" borderId="1" xfId="1101" applyNumberFormat="1" applyFont="1" applyFill="1" applyBorder="1" applyAlignment="1">
      <alignment vertical="center" wrapText="1"/>
    </xf>
    <xf numFmtId="0" fontId="28" fillId="0" borderId="1" xfId="1058" applyFont="1" applyFill="1" applyBorder="1" applyAlignment="1">
      <alignment horizontal="center" vertical="center" wrapText="1"/>
    </xf>
    <xf numFmtId="2" fontId="28" fillId="0" borderId="1" xfId="1058" applyNumberFormat="1" applyFont="1" applyFill="1" applyBorder="1" applyAlignment="1">
      <alignment horizontal="right" vertical="center" wrapText="1"/>
    </xf>
    <xf numFmtId="0" fontId="160" fillId="0" borderId="0" xfId="1058" applyFont="1" applyFill="1" applyBorder="1" applyAlignment="1">
      <alignment vertical="center" wrapText="1"/>
    </xf>
    <xf numFmtId="0" fontId="28" fillId="0" borderId="0" xfId="1058" applyFont="1" applyFill="1" applyBorder="1" applyAlignment="1">
      <alignment vertical="center" wrapText="1"/>
    </xf>
    <xf numFmtId="2" fontId="230" fillId="0" borderId="1" xfId="52" applyNumberFormat="1" applyFont="1" applyFill="1" applyBorder="1" applyAlignment="1">
      <alignment horizontal="left" vertical="top" wrapText="1"/>
    </xf>
    <xf numFmtId="2" fontId="28" fillId="0" borderId="1" xfId="52" applyNumberFormat="1" applyFont="1" applyFill="1" applyBorder="1" applyAlignment="1">
      <alignment horizontal="left" vertical="top" wrapText="1"/>
    </xf>
    <xf numFmtId="1" fontId="28" fillId="0" borderId="1" xfId="52" applyNumberFormat="1" applyFont="1" applyFill="1" applyBorder="1" applyAlignment="1">
      <alignment horizontal="center" vertical="center" wrapText="1"/>
    </xf>
    <xf numFmtId="171" fontId="163" fillId="0" borderId="1" xfId="19" applyNumberFormat="1" applyFont="1" applyFill="1" applyBorder="1" applyAlignment="1">
      <alignment horizontal="right" vertical="center"/>
    </xf>
    <xf numFmtId="2" fontId="28" fillId="0" borderId="1" xfId="52" applyNumberFormat="1" applyFont="1" applyFill="1" applyBorder="1" applyAlignment="1">
      <alignment vertical="top" wrapText="1"/>
    </xf>
    <xf numFmtId="0" fontId="28" fillId="0" borderId="1" xfId="1058" applyFont="1" applyFill="1" applyBorder="1" applyAlignment="1">
      <alignment horizontal="left" vertical="center" wrapText="1"/>
    </xf>
    <xf numFmtId="0" fontId="28" fillId="0" borderId="1" xfId="1058" applyNumberFormat="1" applyFont="1" applyFill="1" applyBorder="1" applyAlignment="1">
      <alignment horizontal="center" vertical="center" wrapText="1"/>
    </xf>
    <xf numFmtId="2" fontId="28" fillId="0" borderId="1" xfId="1058" applyNumberFormat="1" applyFont="1" applyFill="1" applyBorder="1" applyAlignment="1">
      <alignment horizontal="center" vertical="center" wrapText="1"/>
    </xf>
    <xf numFmtId="2" fontId="157" fillId="0" borderId="1" xfId="52" applyNumberFormat="1" applyFont="1" applyFill="1" applyBorder="1" applyAlignment="1">
      <alignment horizontal="right" vertical="center" wrapText="1"/>
    </xf>
    <xf numFmtId="0" fontId="230" fillId="0" borderId="1" xfId="1058" applyFont="1" applyFill="1" applyBorder="1" applyAlignment="1">
      <alignment horizontal="left" vertical="center" wrapText="1"/>
    </xf>
    <xf numFmtId="2" fontId="28" fillId="0" borderId="1" xfId="52" applyNumberFormat="1" applyFont="1" applyFill="1" applyBorder="1" applyAlignment="1">
      <alignment horizontal="center" vertical="top" wrapText="1"/>
    </xf>
    <xf numFmtId="0" fontId="157" fillId="0" borderId="1" xfId="1058" applyFont="1" applyFill="1" applyBorder="1" applyAlignment="1">
      <alignment horizontal="left" vertical="center" wrapText="1"/>
    </xf>
    <xf numFmtId="1" fontId="28" fillId="0" borderId="1" xfId="19" applyNumberFormat="1" applyFont="1" applyBorder="1" applyAlignment="1">
      <alignment horizontal="center" vertical="center"/>
    </xf>
    <xf numFmtId="171" fontId="28" fillId="0" borderId="1" xfId="19" applyNumberFormat="1" applyFont="1" applyBorder="1" applyAlignment="1">
      <alignment horizontal="left" vertical="center" wrapText="1"/>
    </xf>
    <xf numFmtId="172" fontId="28" fillId="0" borderId="1" xfId="19" applyNumberFormat="1" applyFont="1" applyBorder="1" applyAlignment="1">
      <alignment horizontal="center" vertical="center" wrapText="1"/>
    </xf>
    <xf numFmtId="171" fontId="28" fillId="0" borderId="1" xfId="19" applyNumberFormat="1" applyFont="1" applyBorder="1" applyAlignment="1">
      <alignment horizontal="right" vertical="center" wrapText="1"/>
    </xf>
    <xf numFmtId="171" fontId="28" fillId="0" borderId="0" xfId="19" applyNumberFormat="1" applyFont="1" applyBorder="1" applyAlignment="1">
      <alignment vertical="center"/>
    </xf>
    <xf numFmtId="171" fontId="28" fillId="7" borderId="1" xfId="19" applyNumberFormat="1" applyFont="1" applyFill="1" applyBorder="1" applyAlignment="1">
      <alignment horizontal="left" vertical="center" wrapText="1"/>
    </xf>
    <xf numFmtId="0" fontId="157" fillId="0" borderId="1" xfId="1058" applyFont="1" applyFill="1" applyBorder="1" applyAlignment="1">
      <alignment horizontal="center" vertical="center" wrapText="1"/>
    </xf>
    <xf numFmtId="2" fontId="230" fillId="0" borderId="1" xfId="52" applyNumberFormat="1" applyFont="1" applyFill="1" applyBorder="1" applyAlignment="1">
      <alignment horizontal="left" vertical="center" wrapText="1"/>
    </xf>
    <xf numFmtId="2" fontId="157" fillId="0" borderId="1" xfId="52" applyNumberFormat="1" applyFont="1" applyFill="1" applyBorder="1" applyAlignment="1">
      <alignment horizontal="center" vertical="center" wrapText="1"/>
    </xf>
    <xf numFmtId="2" fontId="157" fillId="0" borderId="1" xfId="52" applyNumberFormat="1" applyFont="1" applyFill="1" applyBorder="1" applyAlignment="1">
      <alignment horizontal="left" vertical="center" wrapText="1"/>
    </xf>
    <xf numFmtId="2" fontId="157" fillId="0" borderId="1" xfId="1058" applyNumberFormat="1" applyFont="1" applyFill="1" applyBorder="1" applyAlignment="1">
      <alignment horizontal="right" vertical="center" wrapText="1"/>
    </xf>
    <xf numFmtId="0" fontId="157" fillId="0" borderId="0" xfId="1058" applyFont="1" applyFill="1" applyBorder="1" applyAlignment="1">
      <alignment vertical="center" wrapText="1"/>
    </xf>
    <xf numFmtId="0" fontId="28" fillId="0" borderId="1" xfId="1299" applyFont="1" applyFill="1" applyBorder="1" applyAlignment="1" applyProtection="1">
      <alignment horizontal="left" vertical="center" wrapText="1"/>
    </xf>
    <xf numFmtId="0" fontId="28" fillId="0" borderId="0" xfId="1058" applyFont="1" applyFill="1" applyBorder="1" applyAlignment="1">
      <alignment vertical="top" wrapText="1"/>
    </xf>
    <xf numFmtId="0" fontId="28" fillId="0" borderId="1" xfId="1058" applyFont="1" applyFill="1" applyBorder="1" applyAlignment="1">
      <alignment vertical="center" wrapText="1"/>
    </xf>
    <xf numFmtId="1" fontId="157" fillId="0" borderId="0" xfId="1096" applyNumberFormat="1" applyFont="1" applyBorder="1" applyAlignment="1">
      <alignment horizontal="center" vertical="center"/>
    </xf>
    <xf numFmtId="171" fontId="28" fillId="0" borderId="0" xfId="1096" applyNumberFormat="1" applyFont="1" applyBorder="1" applyAlignment="1">
      <alignment horizontal="justify" vertical="center"/>
    </xf>
    <xf numFmtId="1" fontId="28" fillId="0" borderId="0" xfId="1096" applyNumberFormat="1" applyFont="1" applyBorder="1" applyAlignment="1">
      <alignment horizontal="center" vertical="center"/>
    </xf>
    <xf numFmtId="172" fontId="28" fillId="0" borderId="0" xfId="1096" applyNumberFormat="1" applyFont="1" applyBorder="1" applyAlignment="1">
      <alignment horizontal="center" vertical="center"/>
    </xf>
    <xf numFmtId="171" fontId="163" fillId="0" borderId="0" xfId="1096" applyNumberFormat="1" applyFont="1" applyFill="1" applyBorder="1" applyAlignment="1">
      <alignment horizontal="right" vertical="center"/>
    </xf>
    <xf numFmtId="171" fontId="27" fillId="0" borderId="0" xfId="1096" applyNumberFormat="1" applyFont="1" applyBorder="1" applyAlignment="1">
      <alignment vertical="center"/>
    </xf>
    <xf numFmtId="1" fontId="157" fillId="9" borderId="1" xfId="1096" applyNumberFormat="1" applyFont="1" applyFill="1" applyBorder="1" applyAlignment="1">
      <alignment horizontal="center" vertical="center"/>
    </xf>
    <xf numFmtId="0" fontId="158" fillId="9" borderId="1" xfId="1297" applyFont="1" applyFill="1" applyBorder="1" applyAlignment="1">
      <alignment vertical="center" wrapText="1"/>
    </xf>
    <xf numFmtId="171" fontId="163" fillId="9" borderId="1" xfId="1096" applyNumberFormat="1" applyFont="1" applyFill="1" applyBorder="1" applyAlignment="1">
      <alignment horizontal="right" vertical="center"/>
    </xf>
    <xf numFmtId="171" fontId="160" fillId="9" borderId="0" xfId="1096" applyNumberFormat="1" applyFont="1" applyFill="1" applyBorder="1" applyAlignment="1">
      <alignment horizontal="left" vertical="center"/>
    </xf>
    <xf numFmtId="171" fontId="28" fillId="9" borderId="0" xfId="1096" applyNumberFormat="1" applyFont="1" applyFill="1" applyBorder="1" applyAlignment="1">
      <alignment vertical="center"/>
    </xf>
    <xf numFmtId="1" fontId="28" fillId="9" borderId="1" xfId="1096" applyNumberFormat="1" applyFont="1" applyFill="1" applyBorder="1" applyAlignment="1">
      <alignment horizontal="center" vertical="center"/>
    </xf>
    <xf numFmtId="172" fontId="28" fillId="9" borderId="1" xfId="1096" applyNumberFormat="1" applyFont="1" applyFill="1" applyBorder="1" applyAlignment="1">
      <alignment horizontal="center" vertical="center"/>
    </xf>
    <xf numFmtId="171" fontId="28" fillId="9" borderId="1" xfId="1096" applyNumberFormat="1" applyFont="1" applyFill="1" applyBorder="1" applyAlignment="1">
      <alignment vertical="center"/>
    </xf>
    <xf numFmtId="171" fontId="157" fillId="9" borderId="1" xfId="1096" applyNumberFormat="1" applyFont="1" applyFill="1" applyBorder="1" applyAlignment="1">
      <alignment vertical="center"/>
    </xf>
    <xf numFmtId="171" fontId="228" fillId="9" borderId="1" xfId="1096" applyNumberFormat="1" applyFont="1" applyFill="1" applyBorder="1" applyAlignment="1">
      <alignment horizontal="right" vertical="center"/>
    </xf>
    <xf numFmtId="171" fontId="28" fillId="9" borderId="1" xfId="1096" applyNumberFormat="1" applyFont="1" applyFill="1" applyBorder="1" applyAlignment="1">
      <alignment vertical="center" wrapText="1"/>
    </xf>
    <xf numFmtId="171" fontId="28" fillId="9" borderId="1" xfId="1096" applyNumberFormat="1" applyFont="1" applyFill="1" applyBorder="1" applyAlignment="1">
      <alignment horizontal="justify" vertical="center"/>
    </xf>
    <xf numFmtId="0" fontId="157" fillId="9" borderId="1" xfId="1297" applyNumberFormat="1" applyFont="1" applyFill="1" applyBorder="1" applyAlignment="1">
      <alignment horizontal="center" vertical="center"/>
    </xf>
    <xf numFmtId="0" fontId="28" fillId="9" borderId="1" xfId="1297" applyNumberFormat="1" applyFont="1" applyFill="1" applyBorder="1" applyAlignment="1">
      <alignment vertical="center" wrapText="1"/>
    </xf>
    <xf numFmtId="2" fontId="157" fillId="9" borderId="1" xfId="1297" applyNumberFormat="1" applyFont="1" applyFill="1" applyBorder="1" applyAlignment="1">
      <alignment horizontal="right" vertical="center"/>
    </xf>
    <xf numFmtId="171" fontId="160" fillId="9" borderId="0" xfId="1297" applyNumberFormat="1" applyFont="1" applyFill="1" applyBorder="1" applyAlignment="1">
      <alignment horizontal="left" vertical="center"/>
    </xf>
    <xf numFmtId="171" fontId="162" fillId="9" borderId="0" xfId="1297" applyNumberFormat="1" applyFont="1" applyFill="1" applyBorder="1"/>
    <xf numFmtId="0" fontId="28" fillId="9" borderId="1" xfId="1297" applyNumberFormat="1" applyFont="1" applyFill="1" applyBorder="1" applyAlignment="1">
      <alignment horizontal="left" vertical="center" wrapText="1"/>
    </xf>
    <xf numFmtId="0" fontId="28" fillId="9" borderId="1" xfId="1297" applyNumberFormat="1" applyFont="1" applyFill="1" applyBorder="1" applyAlignment="1">
      <alignment horizontal="center" vertical="center"/>
    </xf>
    <xf numFmtId="2" fontId="28" fillId="9" borderId="1" xfId="1297" applyNumberFormat="1" applyFont="1" applyFill="1" applyBorder="1" applyAlignment="1">
      <alignment horizontal="center" vertical="center"/>
    </xf>
    <xf numFmtId="0" fontId="28" fillId="9" borderId="1" xfId="1297" applyNumberFormat="1" applyFont="1" applyFill="1" applyBorder="1" applyAlignment="1">
      <alignment horizontal="right" vertical="center"/>
    </xf>
    <xf numFmtId="0" fontId="157" fillId="9" borderId="1" xfId="1297" applyNumberFormat="1" applyFont="1" applyFill="1" applyBorder="1" applyAlignment="1">
      <alignment horizontal="right" vertical="center"/>
    </xf>
    <xf numFmtId="171" fontId="157" fillId="9" borderId="1" xfId="1297" applyNumberFormat="1" applyFont="1" applyFill="1" applyBorder="1" applyAlignment="1">
      <alignment horizontal="right" vertical="center"/>
    </xf>
    <xf numFmtId="171" fontId="28" fillId="9" borderId="1" xfId="1096" applyNumberFormat="1" applyFont="1" applyFill="1" applyBorder="1" applyAlignment="1">
      <alignment horizontal="left" vertical="center" wrapText="1"/>
    </xf>
    <xf numFmtId="172" fontId="28" fillId="9" borderId="1" xfId="1096" applyNumberFormat="1" applyFont="1" applyFill="1" applyBorder="1" applyAlignment="1">
      <alignment horizontal="center" vertical="center" wrapText="1"/>
    </xf>
    <xf numFmtId="171" fontId="157" fillId="9" borderId="1" xfId="1096" applyNumberFormat="1" applyFont="1" applyFill="1" applyBorder="1" applyAlignment="1">
      <alignment horizontal="right" vertical="center"/>
    </xf>
    <xf numFmtId="0" fontId="157" fillId="9" borderId="1" xfId="1297" applyNumberFormat="1" applyFont="1" applyFill="1" applyBorder="1" applyAlignment="1">
      <alignment horizontal="left" vertical="center" wrapText="1"/>
    </xf>
    <xf numFmtId="171" fontId="28" fillId="9" borderId="1" xfId="1096" applyNumberFormat="1" applyFont="1" applyFill="1" applyBorder="1" applyAlignment="1">
      <alignment horizontal="center" vertical="center"/>
    </xf>
    <xf numFmtId="2" fontId="28" fillId="9" borderId="1" xfId="1297" applyNumberFormat="1" applyFont="1" applyFill="1" applyBorder="1" applyAlignment="1">
      <alignment horizontal="right" vertical="center"/>
    </xf>
    <xf numFmtId="171" fontId="160" fillId="9" borderId="0" xfId="1297" applyNumberFormat="1" applyFont="1" applyFill="1" applyBorder="1"/>
    <xf numFmtId="171" fontId="28" fillId="9" borderId="1" xfId="1297" applyNumberFormat="1" applyFont="1" applyFill="1" applyBorder="1" applyAlignment="1">
      <alignment vertical="center" wrapText="1"/>
    </xf>
    <xf numFmtId="171" fontId="28" fillId="9" borderId="1" xfId="1297" applyNumberFormat="1" applyFont="1" applyFill="1" applyBorder="1" applyAlignment="1">
      <alignment horizontal="right" vertical="center"/>
    </xf>
    <xf numFmtId="171" fontId="28" fillId="0" borderId="0" xfId="1096" applyNumberFormat="1" applyFont="1" applyBorder="1" applyAlignment="1">
      <alignment horizontal="right" vertical="center"/>
    </xf>
    <xf numFmtId="0" fontId="157" fillId="0" borderId="0" xfId="19" applyNumberFormat="1" applyFont="1" applyFill="1" applyBorder="1" applyAlignment="1">
      <alignment horizontal="center" vertical="center" wrapText="1"/>
    </xf>
    <xf numFmtId="171" fontId="28" fillId="0" borderId="0" xfId="19" applyNumberFormat="1" applyFont="1" applyFill="1" applyBorder="1" applyAlignment="1">
      <alignment vertical="center"/>
    </xf>
    <xf numFmtId="0" fontId="157" fillId="0" borderId="0" xfId="19" applyNumberFormat="1" applyFont="1" applyFill="1" applyBorder="1" applyAlignment="1">
      <alignment horizontal="center" vertical="center" wrapText="1"/>
    </xf>
    <xf numFmtId="171" fontId="230" fillId="0" borderId="0" xfId="19" applyNumberFormat="1" applyFont="1" applyFill="1" applyBorder="1" applyAlignment="1">
      <alignment horizontal="center" vertical="center"/>
    </xf>
    <xf numFmtId="1" fontId="228" fillId="0" borderId="1" xfId="19" applyNumberFormat="1" applyFont="1" applyFill="1" applyBorder="1" applyAlignment="1">
      <alignment horizontal="center" vertical="center" wrapText="1"/>
    </xf>
    <xf numFmtId="0" fontId="228" fillId="0" borderId="1" xfId="19" applyNumberFormat="1" applyFont="1" applyFill="1" applyBorder="1" applyAlignment="1">
      <alignment horizontal="center" vertical="center"/>
    </xf>
    <xf numFmtId="0" fontId="28" fillId="0" borderId="0" xfId="1297" applyNumberFormat="1" applyFont="1" applyFill="1" applyBorder="1" applyAlignment="1">
      <alignment vertical="center" wrapText="1"/>
    </xf>
    <xf numFmtId="0" fontId="228" fillId="0" borderId="1" xfId="19" applyNumberFormat="1" applyFont="1" applyFill="1" applyBorder="1" applyAlignment="1">
      <alignment horizontal="center" vertical="center"/>
    </xf>
    <xf numFmtId="2" fontId="28" fillId="0" borderId="1" xfId="52" applyNumberFormat="1" applyFont="1" applyFill="1" applyBorder="1" applyAlignment="1">
      <alignment horizontal="right" vertical="center" wrapText="1"/>
    </xf>
    <xf numFmtId="0" fontId="28" fillId="0" borderId="1" xfId="1297" applyNumberFormat="1" applyFont="1" applyFill="1" applyBorder="1" applyAlignment="1">
      <alignment horizontal="right" vertical="center" wrapText="1"/>
    </xf>
    <xf numFmtId="1" fontId="28" fillId="0" borderId="1" xfId="1297" applyNumberFormat="1" applyFont="1" applyFill="1" applyBorder="1" applyAlignment="1">
      <alignment horizontal="center" vertical="center"/>
    </xf>
    <xf numFmtId="171" fontId="157" fillId="0" borderId="1" xfId="1297" applyNumberFormat="1" applyFont="1" applyFill="1" applyBorder="1" applyAlignment="1">
      <alignment vertical="center"/>
    </xf>
    <xf numFmtId="184" fontId="28" fillId="0" borderId="1" xfId="1297" applyNumberFormat="1" applyFont="1" applyFill="1" applyBorder="1" applyAlignment="1">
      <alignment horizontal="center" vertical="center"/>
    </xf>
    <xf numFmtId="171" fontId="28" fillId="0" borderId="1" xfId="1297" applyNumberFormat="1" applyFont="1" applyFill="1" applyBorder="1" applyAlignment="1">
      <alignment horizontal="right" vertical="center"/>
    </xf>
    <xf numFmtId="171" fontId="157" fillId="0" borderId="1" xfId="1297" applyNumberFormat="1" applyFont="1" applyFill="1" applyBorder="1" applyAlignment="1">
      <alignment horizontal="right" vertical="center"/>
    </xf>
    <xf numFmtId="171" fontId="28" fillId="0" borderId="0" xfId="1297" applyNumberFormat="1" applyFont="1" applyFill="1" applyBorder="1" applyAlignment="1">
      <alignment vertical="center"/>
    </xf>
    <xf numFmtId="171" fontId="28" fillId="0" borderId="1" xfId="1297" applyNumberFormat="1" applyFont="1" applyFill="1" applyBorder="1" applyAlignment="1">
      <alignment vertical="center" wrapText="1"/>
    </xf>
    <xf numFmtId="171" fontId="28" fillId="0" borderId="1" xfId="1297" applyNumberFormat="1" applyFont="1" applyFill="1" applyBorder="1" applyAlignment="1">
      <alignment vertical="center"/>
    </xf>
    <xf numFmtId="1" fontId="28" fillId="0" borderId="1" xfId="52" applyNumberFormat="1" applyFont="1" applyBorder="1" applyAlignment="1">
      <alignment horizontal="center" vertical="center" wrapText="1"/>
    </xf>
    <xf numFmtId="2" fontId="28" fillId="0" borderId="1" xfId="52" applyNumberFormat="1" applyFont="1" applyBorder="1" applyAlignment="1">
      <alignment horizontal="left" vertical="center" wrapText="1"/>
    </xf>
    <xf numFmtId="2" fontId="28" fillId="0" borderId="1" xfId="52" applyNumberFormat="1" applyFont="1" applyBorder="1" applyAlignment="1">
      <alignment vertical="center" wrapText="1"/>
    </xf>
    <xf numFmtId="0" fontId="28" fillId="0" borderId="1" xfId="1297" applyNumberFormat="1" applyFont="1" applyBorder="1" applyAlignment="1">
      <alignment horizontal="right" vertical="center" wrapText="1"/>
    </xf>
    <xf numFmtId="0" fontId="28" fillId="0" borderId="0" xfId="1297" applyNumberFormat="1" applyFont="1" applyBorder="1" applyAlignment="1">
      <alignment horizontal="left" vertical="center" wrapText="1"/>
    </xf>
    <xf numFmtId="0" fontId="28" fillId="0" borderId="0" xfId="1297" applyNumberFormat="1" applyFont="1" applyBorder="1" applyAlignment="1">
      <alignment vertical="top" wrapText="1"/>
    </xf>
    <xf numFmtId="171" fontId="234" fillId="0" borderId="0" xfId="0" applyFont="1" applyAlignment="1">
      <alignment horizontal="left" vertical="center"/>
    </xf>
    <xf numFmtId="1" fontId="157" fillId="0" borderId="1" xfId="1297" applyNumberFormat="1" applyFont="1" applyBorder="1" applyAlignment="1">
      <alignment horizontal="center" vertical="center"/>
    </xf>
    <xf numFmtId="171" fontId="28" fillId="0" borderId="1" xfId="1297" applyNumberFormat="1" applyFont="1" applyBorder="1" applyAlignment="1">
      <alignment vertical="center"/>
    </xf>
    <xf numFmtId="1" fontId="28" fillId="0" borderId="1" xfId="1297" applyNumberFormat="1" applyFont="1" applyBorder="1" applyAlignment="1">
      <alignment horizontal="center" vertical="center"/>
    </xf>
    <xf numFmtId="171" fontId="28" fillId="0" borderId="1" xfId="1297" applyNumberFormat="1" applyFont="1" applyBorder="1" applyAlignment="1">
      <alignment horizontal="center" vertical="center"/>
    </xf>
    <xf numFmtId="171" fontId="28" fillId="0" borderId="1" xfId="1297" applyNumberFormat="1" applyFont="1" applyBorder="1" applyAlignment="1">
      <alignment horizontal="right" vertical="center"/>
    </xf>
    <xf numFmtId="171" fontId="28" fillId="0" borderId="0" xfId="1297" applyNumberFormat="1" applyFont="1" applyBorder="1" applyAlignment="1">
      <alignment horizontal="left" vertical="center"/>
    </xf>
    <xf numFmtId="171" fontId="28" fillId="0" borderId="0" xfId="1297" applyNumberFormat="1" applyFont="1" applyBorder="1"/>
    <xf numFmtId="0" fontId="234" fillId="0" borderId="2" xfId="0" applyNumberFormat="1" applyFont="1" applyBorder="1" applyAlignment="1">
      <alignment horizontal="left" vertical="center"/>
    </xf>
    <xf numFmtId="1" fontId="157" fillId="0" borderId="1" xfId="1297" applyNumberFormat="1" applyFont="1" applyBorder="1" applyAlignment="1">
      <alignment horizontal="center" vertical="top" wrapText="1"/>
    </xf>
    <xf numFmtId="0" fontId="28" fillId="0" borderId="1" xfId="1297" applyNumberFormat="1" applyFont="1" applyBorder="1" applyAlignment="1">
      <alignment vertical="center" wrapText="1"/>
    </xf>
    <xf numFmtId="0" fontId="28" fillId="0" borderId="1" xfId="1297" applyNumberFormat="1" applyFont="1" applyBorder="1" applyAlignment="1">
      <alignment horizontal="center" vertical="top" wrapText="1"/>
    </xf>
    <xf numFmtId="0" fontId="157" fillId="0" borderId="1" xfId="1297" applyNumberFormat="1" applyFont="1" applyBorder="1" applyAlignment="1">
      <alignment horizontal="center" vertical="top"/>
    </xf>
    <xf numFmtId="2" fontId="157" fillId="0" borderId="1" xfId="1297" applyNumberFormat="1" applyFont="1" applyBorder="1" applyAlignment="1">
      <alignment horizontal="right" vertical="center" wrapText="1"/>
    </xf>
    <xf numFmtId="2" fontId="28" fillId="0" borderId="0" xfId="1297" applyNumberFormat="1" applyFont="1" applyBorder="1" applyAlignment="1">
      <alignment horizontal="left" vertical="center"/>
    </xf>
    <xf numFmtId="2" fontId="28" fillId="0" borderId="0" xfId="1297" applyNumberFormat="1" applyFont="1" applyBorder="1" applyAlignment="1">
      <alignment vertical="top" wrapText="1"/>
    </xf>
    <xf numFmtId="1" fontId="28" fillId="0" borderId="1" xfId="19" applyNumberFormat="1" applyFont="1" applyFill="1" applyBorder="1" applyAlignment="1">
      <alignment horizontal="center" vertical="center"/>
    </xf>
    <xf numFmtId="171" fontId="28" fillId="0" borderId="1" xfId="19" applyNumberFormat="1" applyFont="1" applyFill="1" applyBorder="1" applyAlignment="1">
      <alignment horizontal="left" vertical="center" wrapText="1"/>
    </xf>
    <xf numFmtId="171" fontId="28" fillId="0" borderId="1" xfId="19" applyNumberFormat="1" applyFont="1" applyFill="1" applyBorder="1" applyAlignment="1">
      <alignment horizontal="center" vertical="center"/>
    </xf>
    <xf numFmtId="171" fontId="28" fillId="0" borderId="1" xfId="19" applyNumberFormat="1" applyFont="1" applyFill="1" applyBorder="1" applyAlignment="1">
      <alignment horizontal="right" vertical="center"/>
    </xf>
    <xf numFmtId="171" fontId="28" fillId="0" borderId="1" xfId="19" applyNumberFormat="1" applyFont="1" applyFill="1" applyBorder="1" applyAlignment="1">
      <alignment vertical="center" wrapText="1"/>
    </xf>
    <xf numFmtId="172" fontId="28" fillId="0" borderId="1" xfId="19" applyNumberFormat="1" applyFont="1" applyFill="1" applyBorder="1" applyAlignment="1">
      <alignment horizontal="center" vertical="center"/>
    </xf>
    <xf numFmtId="0" fontId="157" fillId="0" borderId="1" xfId="1058" applyFont="1" applyFill="1" applyBorder="1" applyAlignment="1">
      <alignment horizontal="justify" vertical="center" wrapText="1"/>
    </xf>
    <xf numFmtId="171" fontId="28" fillId="0" borderId="0" xfId="1297" applyNumberFormat="1" applyFont="1" applyBorder="1" applyAlignment="1">
      <alignment horizontal="center" vertical="center"/>
    </xf>
    <xf numFmtId="0" fontId="28" fillId="0" borderId="1" xfId="1300" applyNumberFormat="1" applyFont="1" applyFill="1" applyBorder="1" applyAlignment="1">
      <alignment horizontal="center" vertical="center"/>
    </xf>
    <xf numFmtId="0" fontId="28" fillId="0" borderId="1" xfId="1300" applyNumberFormat="1" applyFont="1" applyFill="1" applyBorder="1" applyAlignment="1">
      <alignment horizontal="left" vertical="center" wrapText="1"/>
    </xf>
    <xf numFmtId="0" fontId="28" fillId="0" borderId="1" xfId="1300" applyNumberFormat="1" applyFont="1" applyFill="1" applyBorder="1" applyAlignment="1">
      <alignment horizontal="right" vertical="center" wrapText="1"/>
    </xf>
    <xf numFmtId="2" fontId="28" fillId="0" borderId="1" xfId="1300" applyNumberFormat="1" applyFont="1" applyFill="1" applyBorder="1" applyAlignment="1">
      <alignment horizontal="right" vertical="center"/>
    </xf>
    <xf numFmtId="171" fontId="28" fillId="0" borderId="0" xfId="1300" applyNumberFormat="1" applyFont="1" applyFill="1" applyBorder="1" applyAlignment="1">
      <alignment horizontal="center" vertical="center"/>
    </xf>
    <xf numFmtId="171" fontId="28" fillId="0" borderId="0" xfId="1300" applyNumberFormat="1" applyFont="1" applyFill="1" applyBorder="1" applyAlignment="1">
      <alignment vertical="center"/>
    </xf>
    <xf numFmtId="1" fontId="28" fillId="0" borderId="1" xfId="1300" applyNumberFormat="1" applyFont="1" applyFill="1" applyBorder="1" applyAlignment="1">
      <alignment horizontal="center" vertical="center"/>
    </xf>
    <xf numFmtId="171" fontId="28" fillId="0" borderId="1" xfId="1300" applyNumberFormat="1" applyFont="1" applyFill="1" applyBorder="1" applyAlignment="1">
      <alignment vertical="center"/>
    </xf>
    <xf numFmtId="184" fontId="28" fillId="0" borderId="1" xfId="1300" applyNumberFormat="1" applyFont="1" applyFill="1" applyBorder="1" applyAlignment="1">
      <alignment horizontal="center" vertical="center"/>
    </xf>
    <xf numFmtId="171" fontId="28" fillId="0" borderId="1" xfId="1300" applyNumberFormat="1" applyFont="1" applyFill="1" applyBorder="1" applyAlignment="1">
      <alignment horizontal="right" vertical="center"/>
    </xf>
    <xf numFmtId="0" fontId="28" fillId="0" borderId="1" xfId="1300" applyNumberFormat="1" applyFont="1" applyFill="1" applyBorder="1" applyAlignment="1">
      <alignment horizontal="left" vertical="center" wrapText="1"/>
    </xf>
    <xf numFmtId="0" fontId="28" fillId="0" borderId="1" xfId="1300" applyNumberFormat="1" applyFont="1" applyFill="1" applyBorder="1" applyAlignment="1">
      <alignment horizontal="right" vertical="center"/>
    </xf>
    <xf numFmtId="0" fontId="157" fillId="0" borderId="1" xfId="1300" applyNumberFormat="1" applyFont="1" applyFill="1" applyBorder="1" applyAlignment="1">
      <alignment horizontal="right" vertical="center"/>
    </xf>
    <xf numFmtId="2" fontId="157" fillId="0" borderId="1" xfId="1300" applyNumberFormat="1" applyFont="1" applyFill="1" applyBorder="1" applyAlignment="1">
      <alignment horizontal="right" vertical="center"/>
    </xf>
    <xf numFmtId="1" fontId="28" fillId="0" borderId="1" xfId="1099" applyNumberFormat="1" applyFont="1" applyFill="1" applyBorder="1" applyAlignment="1">
      <alignment horizontal="center" vertical="center"/>
    </xf>
    <xf numFmtId="171" fontId="28" fillId="0" borderId="1" xfId="1104" applyNumberFormat="1" applyFont="1" applyFill="1" applyBorder="1" applyAlignment="1">
      <alignment horizontal="left" vertical="center" wrapText="1"/>
    </xf>
    <xf numFmtId="171" fontId="28" fillId="0" borderId="1" xfId="1099" applyNumberFormat="1" applyFont="1" applyFill="1" applyBorder="1" applyAlignment="1">
      <alignment vertical="center"/>
    </xf>
    <xf numFmtId="171" fontId="28" fillId="0" borderId="1" xfId="1099" applyNumberFormat="1" applyFont="1" applyFill="1" applyBorder="1" applyAlignment="1">
      <alignment horizontal="right" vertical="center"/>
    </xf>
    <xf numFmtId="171" fontId="28" fillId="0" borderId="0" xfId="1099" applyNumberFormat="1" applyFont="1" applyFill="1" applyBorder="1" applyAlignment="1">
      <alignment horizontal="left" vertical="center"/>
    </xf>
    <xf numFmtId="171" fontId="28" fillId="0" borderId="0" xfId="1099" applyNumberFormat="1" applyFont="1" applyFill="1" applyBorder="1" applyAlignment="1">
      <alignment vertical="center"/>
    </xf>
    <xf numFmtId="171" fontId="157" fillId="0" borderId="1" xfId="1104" applyNumberFormat="1" applyFont="1" applyFill="1" applyBorder="1" applyAlignment="1">
      <alignment horizontal="justify" vertical="center"/>
    </xf>
    <xf numFmtId="172" fontId="28" fillId="0" borderId="1" xfId="1099" applyNumberFormat="1" applyFont="1" applyFill="1" applyBorder="1" applyAlignment="1">
      <alignment horizontal="center" vertical="center"/>
    </xf>
    <xf numFmtId="0" fontId="28" fillId="0" borderId="0" xfId="1300" applyFont="1" applyFill="1" applyBorder="1" applyAlignment="1">
      <alignment vertical="center"/>
    </xf>
    <xf numFmtId="0" fontId="28" fillId="0" borderId="1" xfId="1099" applyNumberFormat="1" applyFont="1" applyFill="1" applyBorder="1" applyAlignment="1">
      <alignment horizontal="center" vertical="center"/>
    </xf>
    <xf numFmtId="2" fontId="157" fillId="0" borderId="1" xfId="1099" applyNumberFormat="1" applyFont="1" applyFill="1" applyBorder="1" applyAlignment="1">
      <alignment horizontal="right" vertical="center"/>
    </xf>
    <xf numFmtId="171" fontId="157" fillId="0" borderId="0" xfId="1099" applyNumberFormat="1" applyFont="1" applyFill="1" applyBorder="1" applyAlignment="1">
      <alignment horizontal="left" vertical="center"/>
    </xf>
    <xf numFmtId="0" fontId="28" fillId="0" borderId="1" xfId="55" applyFont="1" applyBorder="1" applyAlignment="1">
      <alignment horizontal="center" vertical="top"/>
    </xf>
    <xf numFmtId="0" fontId="28" fillId="0" borderId="1" xfId="55" applyFont="1" applyBorder="1" applyAlignment="1">
      <alignment horizontal="left" vertical="center" wrapText="1"/>
    </xf>
    <xf numFmtId="179" fontId="28" fillId="0" borderId="1" xfId="55" applyNumberFormat="1" applyFont="1" applyBorder="1" applyAlignment="1">
      <alignment horizontal="right" vertical="top"/>
    </xf>
    <xf numFmtId="2" fontId="28" fillId="0" borderId="1" xfId="55" applyNumberFormat="1" applyFont="1" applyBorder="1" applyAlignment="1">
      <alignment horizontal="right" vertical="top"/>
    </xf>
    <xf numFmtId="4" fontId="157" fillId="0" borderId="0" xfId="55" applyNumberFormat="1" applyFont="1" applyBorder="1" applyAlignment="1">
      <alignment horizontal="right" vertical="top"/>
    </xf>
    <xf numFmtId="0" fontId="28" fillId="0" borderId="1" xfId="55" applyFont="1" applyBorder="1" applyAlignment="1">
      <alignment horizontal="center" vertical="center"/>
    </xf>
    <xf numFmtId="0" fontId="230" fillId="0" borderId="1" xfId="55" applyFont="1" applyFill="1" applyBorder="1" applyAlignment="1">
      <alignment horizontal="justify" vertical="center" wrapText="1"/>
    </xf>
    <xf numFmtId="0" fontId="28" fillId="0" borderId="1" xfId="55" applyFont="1" applyFill="1" applyBorder="1" applyAlignment="1">
      <alignment horizontal="center" vertical="center"/>
    </xf>
    <xf numFmtId="2" fontId="28" fillId="0" borderId="1" xfId="55" applyNumberFormat="1" applyFont="1" applyBorder="1" applyAlignment="1">
      <alignment horizontal="right" vertical="center"/>
    </xf>
    <xf numFmtId="179" fontId="28" fillId="0" borderId="1" xfId="55" applyNumberFormat="1" applyFont="1" applyFill="1" applyBorder="1" applyAlignment="1">
      <alignment horizontal="right" vertical="center"/>
    </xf>
    <xf numFmtId="0" fontId="28" fillId="0" borderId="1" xfId="55" applyFont="1" applyBorder="1" applyAlignment="1">
      <alignment horizontal="right" vertical="center"/>
    </xf>
    <xf numFmtId="179" fontId="28" fillId="0" borderId="1" xfId="55" applyNumberFormat="1" applyFont="1" applyBorder="1" applyAlignment="1">
      <alignment horizontal="right" vertical="center"/>
    </xf>
    <xf numFmtId="171" fontId="231" fillId="0" borderId="0" xfId="0" applyFont="1" applyBorder="1" applyAlignment="1">
      <alignment horizontal="center" vertical="center" wrapText="1"/>
    </xf>
    <xf numFmtId="0" fontId="28" fillId="0" borderId="1" xfId="55" applyFont="1" applyBorder="1" applyAlignment="1">
      <alignment horizontal="justify" vertical="center" wrapText="1"/>
    </xf>
    <xf numFmtId="2" fontId="157" fillId="0" borderId="1" xfId="0" applyNumberFormat="1" applyFont="1" applyFill="1" applyBorder="1" applyAlignment="1">
      <alignment vertical="center"/>
    </xf>
    <xf numFmtId="0" fontId="28" fillId="0" borderId="1" xfId="0" applyNumberFormat="1" applyFont="1" applyFill="1" applyBorder="1" applyAlignment="1">
      <alignment horizontal="justify" vertical="center"/>
    </xf>
    <xf numFmtId="4" fontId="157" fillId="0" borderId="0" xfId="0" applyNumberFormat="1" applyFont="1" applyFill="1" applyBorder="1" applyAlignment="1">
      <alignment vertical="center"/>
    </xf>
    <xf numFmtId="0" fontId="28" fillId="0" borderId="0" xfId="18" applyFont="1" applyBorder="1" applyAlignment="1">
      <alignment vertical="center"/>
    </xf>
    <xf numFmtId="171" fontId="28" fillId="0" borderId="0" xfId="0" applyFont="1" applyFill="1" applyBorder="1" applyAlignment="1">
      <alignment vertical="center"/>
    </xf>
    <xf numFmtId="171" fontId="157" fillId="0" borderId="0" xfId="0" applyFont="1" applyFill="1" applyBorder="1" applyAlignment="1">
      <alignment vertical="center"/>
    </xf>
    <xf numFmtId="2" fontId="28" fillId="0" borderId="1" xfId="0" applyNumberFormat="1" applyFont="1" applyFill="1" applyBorder="1" applyAlignment="1">
      <alignment horizontal="right" vertical="center" wrapText="1"/>
    </xf>
    <xf numFmtId="0" fontId="157" fillId="0" borderId="1" xfId="0" applyNumberFormat="1" applyFont="1" applyFill="1" applyBorder="1" applyAlignment="1">
      <alignment horizontal="center" vertical="center" wrapText="1"/>
    </xf>
    <xf numFmtId="171" fontId="28" fillId="0" borderId="1" xfId="0" applyFont="1" applyFill="1" applyBorder="1" applyAlignment="1">
      <alignment horizontal="right" vertical="center"/>
    </xf>
    <xf numFmtId="171" fontId="28" fillId="0" borderId="1" xfId="0" applyFont="1" applyBorder="1" applyAlignment="1">
      <alignment horizontal="left" vertical="center"/>
    </xf>
    <xf numFmtId="171" fontId="28" fillId="0" borderId="1" xfId="0" applyFont="1" applyBorder="1" applyAlignment="1">
      <alignment horizontal="center" vertical="center"/>
    </xf>
    <xf numFmtId="171" fontId="160" fillId="0" borderId="0" xfId="0" applyFont="1" applyBorder="1" applyAlignment="1">
      <alignment horizontal="left" vertical="center"/>
    </xf>
    <xf numFmtId="171" fontId="157" fillId="0" borderId="0" xfId="0" applyFont="1" applyBorder="1" applyAlignment="1">
      <alignment vertical="center"/>
    </xf>
    <xf numFmtId="171" fontId="157" fillId="0" borderId="1" xfId="0" applyFont="1" applyBorder="1" applyAlignment="1">
      <alignment horizontal="center" vertical="center"/>
    </xf>
    <xf numFmtId="171" fontId="162" fillId="0" borderId="0" xfId="0" applyFont="1" applyBorder="1" applyAlignment="1">
      <alignment horizontal="left" vertical="center"/>
    </xf>
    <xf numFmtId="178" fontId="160" fillId="0" borderId="1" xfId="0" applyNumberFormat="1" applyFont="1" applyFill="1" applyBorder="1" applyAlignment="1">
      <alignment horizontal="center" vertical="center" wrapText="1"/>
    </xf>
    <xf numFmtId="0" fontId="162" fillId="0" borderId="1" xfId="0" applyNumberFormat="1" applyFont="1" applyFill="1" applyBorder="1" applyAlignment="1">
      <alignment vertical="center"/>
    </xf>
    <xf numFmtId="2" fontId="160" fillId="0" borderId="1" xfId="0" applyNumberFormat="1" applyFont="1" applyFill="1" applyBorder="1" applyAlignment="1">
      <alignment horizontal="right" vertical="center"/>
    </xf>
    <xf numFmtId="0" fontId="27" fillId="0" borderId="0" xfId="0" applyNumberFormat="1" applyFont="1" applyFill="1" applyBorder="1" applyAlignment="1">
      <alignment horizontal="left" vertical="center"/>
    </xf>
    <xf numFmtId="0" fontId="160" fillId="0" borderId="0" xfId="0" applyNumberFormat="1" applyFont="1" applyFill="1" applyBorder="1" applyAlignment="1">
      <alignment vertical="center"/>
    </xf>
    <xf numFmtId="171" fontId="27" fillId="0" borderId="1" xfId="0" applyFont="1" applyFill="1" applyBorder="1" applyAlignment="1">
      <alignment horizontal="left" vertical="center"/>
    </xf>
    <xf numFmtId="171" fontId="162" fillId="0" borderId="0" xfId="0" applyFont="1" applyBorder="1" applyAlignment="1">
      <alignment vertical="center"/>
    </xf>
    <xf numFmtId="178" fontId="28" fillId="0" borderId="1" xfId="52" applyNumberFormat="1" applyFont="1" applyFill="1" applyBorder="1" applyAlignment="1">
      <alignment horizontal="center" vertical="center" wrapText="1"/>
    </xf>
    <xf numFmtId="171" fontId="28" fillId="0" borderId="1" xfId="0" applyNumberFormat="1" applyFont="1" applyFill="1" applyBorder="1" applyAlignment="1">
      <alignment horizontal="right" vertical="center"/>
    </xf>
    <xf numFmtId="171" fontId="28" fillId="0" borderId="0" xfId="0" applyNumberFormat="1" applyFont="1" applyFill="1" applyBorder="1" applyAlignment="1">
      <alignment vertical="center"/>
    </xf>
    <xf numFmtId="171" fontId="157" fillId="0" borderId="1" xfId="0" applyNumberFormat="1" applyFont="1" applyFill="1" applyBorder="1" applyAlignment="1">
      <alignment horizontal="right" vertical="center"/>
    </xf>
    <xf numFmtId="0" fontId="28" fillId="0" borderId="0" xfId="0" applyNumberFormat="1" applyFont="1" applyFill="1" applyBorder="1" applyAlignment="1">
      <alignment horizontal="left" vertical="center"/>
    </xf>
    <xf numFmtId="2" fontId="28" fillId="0" borderId="1" xfId="0" applyNumberFormat="1" applyFont="1" applyFill="1" applyBorder="1" applyAlignment="1">
      <alignment horizontal="center" vertical="center"/>
    </xf>
    <xf numFmtId="0" fontId="28" fillId="0" borderId="1" xfId="1129" quotePrefix="1" applyFont="1" applyFill="1" applyBorder="1" applyAlignment="1">
      <alignment horizontal="center" vertical="center" wrapText="1"/>
    </xf>
    <xf numFmtId="2" fontId="28" fillId="0" borderId="1" xfId="1129" applyNumberFormat="1" applyFont="1" applyFill="1" applyBorder="1" applyAlignment="1">
      <alignment horizontal="right" vertical="center" wrapText="1"/>
    </xf>
    <xf numFmtId="4" fontId="28" fillId="0" borderId="0" xfId="1129" applyNumberFormat="1" applyFont="1" applyFill="1" applyBorder="1" applyAlignment="1">
      <alignment horizontal="left" vertical="center" wrapText="1"/>
    </xf>
    <xf numFmtId="1" fontId="157" fillId="0" borderId="0" xfId="19" applyNumberFormat="1" applyFont="1" applyFill="1" applyBorder="1" applyAlignment="1">
      <alignment horizontal="left" vertical="center"/>
    </xf>
    <xf numFmtId="1" fontId="28" fillId="0" borderId="0" xfId="19" applyNumberFormat="1" applyFont="1" applyFill="1" applyBorder="1" applyAlignment="1">
      <alignment horizontal="center" vertical="center"/>
    </xf>
    <xf numFmtId="172" fontId="28" fillId="0" borderId="0" xfId="19" applyNumberFormat="1" applyFont="1" applyFill="1" applyBorder="1" applyAlignment="1">
      <alignment horizontal="center" vertical="center"/>
    </xf>
    <xf numFmtId="171" fontId="28" fillId="0" borderId="0" xfId="19" applyNumberFormat="1" applyFont="1" applyFill="1" applyBorder="1" applyAlignment="1">
      <alignment horizontal="center" vertical="center"/>
    </xf>
    <xf numFmtId="171" fontId="28" fillId="0" borderId="0" xfId="19" applyNumberFormat="1" applyFont="1" applyFill="1" applyBorder="1" applyAlignment="1">
      <alignment horizontal="right" vertical="center"/>
    </xf>
    <xf numFmtId="0" fontId="206" fillId="0" borderId="0" xfId="1294" applyFont="1" applyFill="1" applyBorder="1" applyAlignment="1">
      <alignment horizontal="center" vertical="center" wrapText="1" shrinkToFit="1"/>
    </xf>
    <xf numFmtId="171" fontId="221" fillId="0" borderId="0" xfId="0" applyFont="1" applyFill="1" applyAlignment="1">
      <alignment vertical="center"/>
    </xf>
    <xf numFmtId="0" fontId="230" fillId="0" borderId="0" xfId="1294" applyFont="1" applyFill="1" applyBorder="1" applyAlignment="1">
      <alignment horizontal="center" vertical="center"/>
    </xf>
    <xf numFmtId="0" fontId="226" fillId="0" borderId="0" xfId="1294" applyFont="1" applyFill="1" applyBorder="1" applyAlignment="1">
      <alignment horizontal="center" vertical="center"/>
    </xf>
    <xf numFmtId="171" fontId="165" fillId="0" borderId="0" xfId="0" applyFont="1" applyFill="1" applyBorder="1" applyAlignment="1">
      <alignment horizontal="left" vertical="center"/>
    </xf>
    <xf numFmtId="0" fontId="157" fillId="0" borderId="1" xfId="1294" applyFont="1" applyFill="1" applyBorder="1" applyAlignment="1">
      <alignment horizontal="center" vertical="center" wrapText="1"/>
    </xf>
    <xf numFmtId="178" fontId="28" fillId="0" borderId="1" xfId="53" applyNumberFormat="1" applyFont="1" applyFill="1" applyBorder="1" applyAlignment="1">
      <alignment horizontal="center" vertical="center"/>
    </xf>
    <xf numFmtId="0" fontId="28" fillId="0" borderId="0" xfId="53" applyFont="1" applyFill="1" applyBorder="1" applyAlignment="1">
      <alignment horizontal="center" vertical="center"/>
    </xf>
    <xf numFmtId="2" fontId="157" fillId="0" borderId="1" xfId="52" applyNumberFormat="1" applyFont="1" applyFill="1" applyBorder="1" applyAlignment="1">
      <alignment vertical="center" wrapText="1"/>
    </xf>
    <xf numFmtId="2" fontId="27" fillId="0" borderId="0" xfId="0" applyNumberFormat="1" applyFont="1" applyFill="1" applyBorder="1" applyAlignment="1">
      <alignment horizontal="left" vertical="center"/>
    </xf>
    <xf numFmtId="0" fontId="28" fillId="0" borderId="1" xfId="53" applyFont="1" applyFill="1" applyBorder="1" applyAlignment="1">
      <alignment horizontal="left" vertical="center" wrapText="1"/>
    </xf>
    <xf numFmtId="0" fontId="28" fillId="0" borderId="1" xfId="53" applyFont="1" applyFill="1" applyBorder="1" applyAlignment="1">
      <alignment horizontal="right" vertical="center" wrapText="1"/>
    </xf>
    <xf numFmtId="0" fontId="28" fillId="0" borderId="1" xfId="53" applyFont="1" applyFill="1" applyBorder="1" applyAlignment="1">
      <alignment horizontal="right" vertical="center"/>
    </xf>
    <xf numFmtId="0" fontId="27" fillId="0" borderId="0" xfId="53" applyFont="1" applyFill="1" applyBorder="1" applyAlignment="1">
      <alignment horizontal="left" vertical="center"/>
    </xf>
    <xf numFmtId="171" fontId="28" fillId="0" borderId="1" xfId="0" applyFont="1" applyFill="1" applyBorder="1" applyAlignment="1">
      <alignment horizontal="right" vertical="center" wrapText="1"/>
    </xf>
    <xf numFmtId="178" fontId="166" fillId="0" borderId="1" xfId="52" applyNumberFormat="1" applyFont="1" applyFill="1" applyBorder="1" applyAlignment="1">
      <alignment horizontal="center" vertical="center" wrapText="1"/>
    </xf>
    <xf numFmtId="171" fontId="160" fillId="0" borderId="1" xfId="0" applyFont="1" applyFill="1" applyBorder="1" applyAlignment="1">
      <alignment horizontal="center" vertical="center" wrapText="1"/>
    </xf>
    <xf numFmtId="173" fontId="28" fillId="0" borderId="1" xfId="0" applyNumberFormat="1" applyFont="1" applyFill="1" applyBorder="1" applyAlignment="1">
      <alignment horizontal="right" vertical="center"/>
    </xf>
    <xf numFmtId="178" fontId="28" fillId="0" borderId="1" xfId="0" applyNumberFormat="1" applyFont="1" applyFill="1" applyBorder="1" applyAlignment="1">
      <alignment horizontal="center" vertical="center"/>
    </xf>
    <xf numFmtId="171" fontId="229" fillId="0" borderId="1" xfId="0" applyFont="1" applyFill="1" applyBorder="1" applyAlignment="1">
      <alignment horizontal="justify" vertical="center" wrapText="1"/>
    </xf>
    <xf numFmtId="171" fontId="28" fillId="0" borderId="1" xfId="0" applyFont="1" applyFill="1" applyBorder="1" applyAlignment="1">
      <alignment horizontal="justify" vertical="center" wrapText="1"/>
    </xf>
    <xf numFmtId="171" fontId="28" fillId="0" borderId="1" xfId="0" applyFont="1" applyFill="1" applyBorder="1" applyAlignment="1">
      <alignment horizontal="center" vertical="center" wrapText="1"/>
    </xf>
    <xf numFmtId="171" fontId="26" fillId="0" borderId="1" xfId="0" applyFont="1" applyFill="1" applyBorder="1" applyAlignment="1">
      <alignment horizontal="right"/>
    </xf>
    <xf numFmtId="0" fontId="28" fillId="0" borderId="1" xfId="0" quotePrefix="1" applyNumberFormat="1" applyFont="1" applyFill="1" applyBorder="1" applyAlignment="1">
      <alignment horizontal="center" vertical="center"/>
    </xf>
    <xf numFmtId="179" fontId="28" fillId="0" borderId="1" xfId="0" applyNumberFormat="1" applyFont="1" applyFill="1" applyBorder="1" applyAlignment="1">
      <alignment horizontal="center" vertical="center"/>
    </xf>
    <xf numFmtId="171" fontId="28" fillId="0" borderId="1" xfId="957" applyNumberFormat="1" applyFont="1" applyFill="1" applyBorder="1" applyAlignment="1" applyProtection="1">
      <alignment horizontal="right" vertical="center"/>
    </xf>
    <xf numFmtId="171" fontId="157" fillId="0" borderId="1" xfId="957" applyNumberFormat="1" applyFont="1" applyFill="1" applyBorder="1" applyAlignment="1" applyProtection="1">
      <alignment horizontal="right" vertical="center"/>
    </xf>
    <xf numFmtId="173" fontId="157" fillId="0" borderId="1" xfId="0" applyNumberFormat="1" applyFont="1" applyFill="1" applyBorder="1" applyAlignment="1">
      <alignment horizontal="right" vertical="center"/>
    </xf>
    <xf numFmtId="0" fontId="157" fillId="0" borderId="1" xfId="53" applyFont="1" applyFill="1" applyBorder="1" applyAlignment="1">
      <alignment horizontal="left" vertical="center" wrapText="1"/>
    </xf>
    <xf numFmtId="179" fontId="28" fillId="0" borderId="1" xfId="53" applyNumberFormat="1" applyFont="1" applyFill="1" applyBorder="1" applyAlignment="1">
      <alignment horizontal="right" vertical="center" wrapText="1"/>
    </xf>
    <xf numFmtId="179" fontId="157" fillId="0" borderId="1" xfId="53" applyNumberFormat="1" applyFont="1" applyFill="1" applyBorder="1" applyAlignment="1">
      <alignment horizontal="right" vertical="center" wrapText="1"/>
    </xf>
    <xf numFmtId="4" fontId="28" fillId="0" borderId="0" xfId="53" applyNumberFormat="1" applyFont="1" applyFill="1" applyBorder="1" applyAlignment="1">
      <alignment horizontal="left" vertical="center" wrapText="1"/>
    </xf>
    <xf numFmtId="0" fontId="157" fillId="0" borderId="0" xfId="53" applyFont="1" applyFill="1" applyBorder="1" applyAlignment="1">
      <alignment horizontal="center" vertical="center" wrapText="1"/>
    </xf>
    <xf numFmtId="0" fontId="27" fillId="0" borderId="0" xfId="49" applyFont="1" applyFill="1" applyBorder="1" applyAlignment="1">
      <alignment horizontal="left" vertical="center"/>
    </xf>
    <xf numFmtId="171" fontId="157" fillId="0" borderId="0" xfId="0" applyNumberFormat="1" applyFont="1" applyFill="1" applyBorder="1" applyAlignment="1">
      <alignment horizontal="left" vertical="center"/>
    </xf>
    <xf numFmtId="171" fontId="221" fillId="0" borderId="0" xfId="0" applyFont="1" applyFill="1" applyAlignment="1">
      <alignment horizontal="center" vertical="center"/>
    </xf>
    <xf numFmtId="0" fontId="221" fillId="0" borderId="0" xfId="0" applyNumberFormat="1" applyFont="1" applyFill="1" applyAlignment="1">
      <alignment horizontal="center" vertical="center"/>
    </xf>
    <xf numFmtId="171" fontId="221" fillId="0" borderId="0" xfId="0" applyFont="1" applyFill="1" applyAlignment="1">
      <alignment horizontal="right" vertical="center"/>
    </xf>
    <xf numFmtId="171" fontId="225" fillId="0" borderId="0" xfId="0" applyFont="1" applyFill="1" applyAlignment="1">
      <alignment horizontal="left" vertical="center"/>
    </xf>
    <xf numFmtId="171" fontId="157" fillId="0" borderId="0" xfId="0" applyFont="1" applyFill="1" applyBorder="1" applyAlignment="1">
      <alignment horizontal="left" vertical="center" wrapText="1"/>
    </xf>
    <xf numFmtId="0" fontId="230" fillId="0" borderId="0" xfId="1294" applyFont="1" applyFill="1" applyBorder="1" applyAlignment="1">
      <alignment vertical="center"/>
    </xf>
    <xf numFmtId="171" fontId="222" fillId="0" borderId="0" xfId="0" applyFont="1" applyFill="1" applyBorder="1" applyAlignment="1">
      <alignment horizontal="center" vertical="center" wrapText="1"/>
    </xf>
    <xf numFmtId="171" fontId="222" fillId="0" borderId="0" xfId="0" applyFont="1" applyFill="1" applyBorder="1" applyAlignment="1">
      <alignment horizontal="center" vertical="center" wrapText="1"/>
    </xf>
    <xf numFmtId="171" fontId="230" fillId="0" borderId="0" xfId="0" applyFont="1" applyFill="1" applyBorder="1" applyAlignment="1">
      <alignment horizontal="center" vertical="center" wrapText="1"/>
    </xf>
    <xf numFmtId="2" fontId="27" fillId="0" borderId="0" xfId="49" applyNumberFormat="1" applyFont="1" applyFill="1" applyBorder="1" applyAlignment="1">
      <alignment horizontal="left" vertical="center"/>
    </xf>
    <xf numFmtId="172" fontId="157" fillId="0" borderId="1" xfId="0" applyNumberFormat="1" applyFont="1" applyFill="1" applyBorder="1" applyAlignment="1">
      <alignment horizontal="center" vertical="center"/>
    </xf>
    <xf numFmtId="171" fontId="157" fillId="0" borderId="1" xfId="0" applyFont="1" applyFill="1" applyBorder="1" applyAlignment="1">
      <alignment horizontal="center" vertical="center"/>
    </xf>
    <xf numFmtId="171" fontId="157" fillId="0" borderId="1" xfId="0" applyFont="1" applyFill="1" applyBorder="1" applyAlignment="1">
      <alignment horizontal="center" vertical="center"/>
    </xf>
    <xf numFmtId="0" fontId="236" fillId="0" borderId="1" xfId="49" applyFont="1" applyFill="1" applyBorder="1" applyAlignment="1">
      <alignment horizontal="center" vertical="center" wrapText="1"/>
    </xf>
    <xf numFmtId="0" fontId="236" fillId="0" borderId="1" xfId="49" applyFont="1" applyFill="1" applyBorder="1" applyAlignment="1">
      <alignment horizontal="left" vertical="center" wrapText="1"/>
    </xf>
    <xf numFmtId="2" fontId="236" fillId="0" borderId="1" xfId="49" applyNumberFormat="1" applyFont="1" applyFill="1" applyBorder="1" applyAlignment="1">
      <alignment horizontal="center" vertical="center"/>
    </xf>
    <xf numFmtId="2" fontId="236" fillId="0" borderId="1" xfId="49" applyNumberFormat="1" applyFont="1" applyFill="1" applyBorder="1" applyAlignment="1">
      <alignment horizontal="right" vertical="center"/>
    </xf>
    <xf numFmtId="0" fontId="236" fillId="0" borderId="0" xfId="49" applyFont="1" applyFill="1" applyBorder="1"/>
    <xf numFmtId="0" fontId="237" fillId="0" borderId="1" xfId="49" applyFont="1" applyFill="1" applyBorder="1" applyAlignment="1">
      <alignment horizontal="left" vertical="center"/>
    </xf>
    <xf numFmtId="0" fontId="236" fillId="0" borderId="1" xfId="49" applyFont="1" applyFill="1" applyBorder="1" applyAlignment="1">
      <alignment horizontal="center" vertical="center"/>
    </xf>
    <xf numFmtId="0" fontId="236" fillId="0" borderId="1" xfId="49" applyFont="1" applyFill="1" applyBorder="1" applyAlignment="1">
      <alignment horizontal="left" vertical="center"/>
    </xf>
    <xf numFmtId="0" fontId="236" fillId="0" borderId="1" xfId="49" applyFont="1" applyFill="1" applyBorder="1" applyAlignment="1">
      <alignment horizontal="left" vertical="center" wrapText="1"/>
    </xf>
    <xf numFmtId="0" fontId="236" fillId="0" borderId="17" xfId="49" applyFont="1" applyFill="1" applyBorder="1" applyAlignment="1">
      <alignment horizontal="left" vertical="center" wrapText="1"/>
    </xf>
    <xf numFmtId="0" fontId="236" fillId="0" borderId="18" xfId="49" applyFont="1" applyFill="1" applyBorder="1" applyAlignment="1">
      <alignment horizontal="left" vertical="center" wrapText="1"/>
    </xf>
    <xf numFmtId="0" fontId="236" fillId="0" borderId="19" xfId="49" applyFont="1" applyFill="1" applyBorder="1" applyAlignment="1">
      <alignment horizontal="left" vertical="center" wrapText="1"/>
    </xf>
    <xf numFmtId="2" fontId="236" fillId="0" borderId="0" xfId="49" applyNumberFormat="1" applyFont="1" applyFill="1" applyBorder="1" applyAlignment="1">
      <alignment horizontal="center" vertical="center"/>
    </xf>
    <xf numFmtId="1" fontId="236" fillId="0" borderId="1" xfId="1301" applyNumberFormat="1" applyFont="1" applyFill="1" applyBorder="1" applyAlignment="1">
      <alignment horizontal="center" vertical="center" wrapText="1"/>
    </xf>
    <xf numFmtId="0" fontId="236" fillId="0" borderId="17" xfId="1301" applyNumberFormat="1" applyFont="1" applyFill="1" applyBorder="1" applyAlignment="1">
      <alignment horizontal="left" vertical="center" wrapText="1"/>
    </xf>
    <xf numFmtId="0" fontId="236" fillId="0" borderId="18" xfId="1301" applyNumberFormat="1" applyFont="1" applyFill="1" applyBorder="1" applyAlignment="1">
      <alignment horizontal="left" vertical="center" wrapText="1"/>
    </xf>
    <xf numFmtId="0" fontId="236" fillId="0" borderId="19" xfId="1301" applyNumberFormat="1" applyFont="1" applyFill="1" applyBorder="1" applyAlignment="1">
      <alignment horizontal="left" vertical="center" wrapText="1"/>
    </xf>
    <xf numFmtId="2" fontId="237" fillId="0" borderId="1" xfId="1301" applyNumberFormat="1" applyFont="1" applyFill="1" applyBorder="1" applyAlignment="1">
      <alignment horizontal="center" vertical="center"/>
    </xf>
    <xf numFmtId="171" fontId="237" fillId="0" borderId="1" xfId="1301" applyNumberFormat="1" applyFont="1" applyFill="1" applyBorder="1" applyAlignment="1">
      <alignment horizontal="right" vertical="center"/>
    </xf>
    <xf numFmtId="2" fontId="27" fillId="0" borderId="0" xfId="1301" applyNumberFormat="1" applyFont="1" applyFill="1" applyBorder="1" applyAlignment="1">
      <alignment horizontal="left" vertical="top"/>
    </xf>
    <xf numFmtId="0" fontId="236" fillId="0" borderId="0" xfId="1301" applyNumberFormat="1" applyFont="1" applyFill="1" applyBorder="1" applyAlignment="1">
      <alignment vertical="top" wrapText="1"/>
    </xf>
    <xf numFmtId="1" fontId="237" fillId="0" borderId="1" xfId="1301" applyNumberFormat="1" applyFont="1" applyFill="1" applyBorder="1" applyAlignment="1">
      <alignment horizontal="center" vertical="center" wrapText="1"/>
    </xf>
    <xf numFmtId="0" fontId="237" fillId="0" borderId="1" xfId="1301" applyNumberFormat="1" applyFont="1" applyFill="1" applyBorder="1" applyAlignment="1">
      <alignment horizontal="left" vertical="top" wrapText="1"/>
    </xf>
    <xf numFmtId="0" fontId="237" fillId="0" borderId="0" xfId="1301" applyNumberFormat="1" applyFont="1" applyFill="1" applyBorder="1" applyAlignment="1">
      <alignment vertical="top" wrapText="1"/>
    </xf>
    <xf numFmtId="0" fontId="236" fillId="0" borderId="1" xfId="1301" applyNumberFormat="1" applyFont="1" applyFill="1" applyBorder="1" applyAlignment="1">
      <alignment horizontal="center" vertical="center" wrapText="1"/>
    </xf>
    <xf numFmtId="2" fontId="27" fillId="0" borderId="0" xfId="1301" applyNumberFormat="1" applyFont="1" applyFill="1" applyBorder="1" applyAlignment="1">
      <alignment horizontal="left" vertical="center"/>
    </xf>
    <xf numFmtId="0" fontId="237" fillId="0" borderId="1" xfId="49" applyFont="1" applyFill="1" applyBorder="1" applyAlignment="1">
      <alignment horizontal="left" vertical="center" wrapText="1"/>
    </xf>
    <xf numFmtId="0" fontId="236" fillId="0" borderId="1" xfId="1301" applyNumberFormat="1" applyFont="1" applyFill="1" applyBorder="1" applyAlignment="1">
      <alignment horizontal="left" vertical="top" wrapText="1"/>
    </xf>
    <xf numFmtId="2" fontId="236" fillId="0" borderId="1" xfId="1301" applyNumberFormat="1" applyFont="1" applyFill="1" applyBorder="1" applyAlignment="1">
      <alignment horizontal="center" vertical="center" wrapText="1"/>
    </xf>
    <xf numFmtId="0" fontId="236" fillId="0" borderId="1" xfId="1301" applyNumberFormat="1" applyFont="1" applyFill="1" applyBorder="1" applyAlignment="1">
      <alignment vertical="top" wrapText="1"/>
    </xf>
    <xf numFmtId="0" fontId="236" fillId="0" borderId="1" xfId="1301" applyNumberFormat="1" applyFont="1" applyFill="1" applyBorder="1" applyAlignment="1">
      <alignment horizontal="left" vertical="top" wrapText="1"/>
    </xf>
    <xf numFmtId="171" fontId="236" fillId="0" borderId="1" xfId="1301" applyNumberFormat="1" applyFont="1" applyFill="1" applyBorder="1" applyAlignment="1">
      <alignment horizontal="right" vertical="center"/>
    </xf>
    <xf numFmtId="0" fontId="236" fillId="0" borderId="1" xfId="1301" applyNumberFormat="1" applyFont="1" applyFill="1" applyBorder="1" applyAlignment="1">
      <alignment horizontal="left" vertical="center" wrapText="1"/>
    </xf>
    <xf numFmtId="0" fontId="236" fillId="0" borderId="0" xfId="1301" applyNumberFormat="1" applyFont="1" applyFill="1" applyBorder="1" applyAlignment="1">
      <alignment vertical="center" wrapText="1"/>
    </xf>
    <xf numFmtId="0" fontId="237" fillId="0" borderId="1" xfId="1301" applyNumberFormat="1" applyFont="1" applyFill="1" applyBorder="1" applyAlignment="1">
      <alignment vertical="top" wrapText="1"/>
    </xf>
    <xf numFmtId="0" fontId="236" fillId="0" borderId="1" xfId="49" applyFont="1" applyFill="1" applyBorder="1"/>
    <xf numFmtId="2" fontId="237" fillId="0" borderId="1" xfId="49" applyNumberFormat="1" applyFont="1" applyFill="1" applyBorder="1" applyAlignment="1">
      <alignment horizontal="center" vertical="center"/>
    </xf>
    <xf numFmtId="2" fontId="238" fillId="0" borderId="1" xfId="49" applyNumberFormat="1" applyFont="1" applyFill="1" applyBorder="1" applyAlignment="1">
      <alignment horizontal="right" vertical="center" wrapText="1"/>
    </xf>
    <xf numFmtId="178" fontId="236" fillId="0" borderId="1" xfId="52" applyNumberFormat="1" applyFont="1" applyFill="1" applyBorder="1" applyAlignment="1">
      <alignment horizontal="left" vertical="center" wrapText="1"/>
    </xf>
    <xf numFmtId="0" fontId="236" fillId="0" borderId="1" xfId="1301" applyNumberFormat="1" applyFont="1" applyFill="1" applyBorder="1" applyAlignment="1">
      <alignment vertical="center" wrapText="1"/>
    </xf>
    <xf numFmtId="2" fontId="237" fillId="0" borderId="1" xfId="1301" applyNumberFormat="1" applyFont="1" applyFill="1" applyBorder="1" applyAlignment="1">
      <alignment horizontal="right" vertical="top" wrapText="1"/>
    </xf>
    <xf numFmtId="171" fontId="28" fillId="0" borderId="0" xfId="0" applyFont="1" applyFill="1" applyBorder="1" applyAlignment="1">
      <alignment vertical="center" wrapText="1"/>
    </xf>
    <xf numFmtId="0" fontId="163" fillId="0" borderId="0" xfId="0" applyNumberFormat="1" applyFont="1" applyFill="1" applyBorder="1" applyAlignment="1">
      <alignment horizontal="center" vertical="center" wrapText="1"/>
    </xf>
    <xf numFmtId="0" fontId="28" fillId="0" borderId="0" xfId="0" applyNumberFormat="1" applyFont="1" applyFill="1" applyBorder="1" applyAlignment="1">
      <alignment horizontal="center" vertical="center" wrapText="1"/>
    </xf>
    <xf numFmtId="171" fontId="165" fillId="0" borderId="0" xfId="1300" applyNumberFormat="1" applyFont="1" applyFill="1" applyBorder="1" applyAlignment="1">
      <alignment vertical="center"/>
    </xf>
    <xf numFmtId="0" fontId="160" fillId="0" borderId="1" xfId="1051" applyNumberFormat="1" applyFont="1" applyBorder="1" applyAlignment="1">
      <alignment horizontal="center" vertical="center"/>
    </xf>
    <xf numFmtId="0" fontId="160" fillId="0" borderId="1" xfId="1051" applyNumberFormat="1" applyFont="1" applyBorder="1" applyAlignment="1">
      <alignment horizontal="left" vertical="center" wrapText="1"/>
    </xf>
    <xf numFmtId="0" fontId="160" fillId="0" borderId="1" xfId="1051" applyNumberFormat="1" applyFont="1" applyBorder="1" applyAlignment="1">
      <alignment vertical="center"/>
    </xf>
    <xf numFmtId="171" fontId="162" fillId="0" borderId="1" xfId="1051" applyNumberFormat="1" applyFont="1" applyBorder="1" applyAlignment="1">
      <alignment horizontal="center" vertical="center"/>
    </xf>
    <xf numFmtId="171" fontId="160" fillId="0" borderId="0" xfId="1051" applyNumberFormat="1" applyFont="1" applyBorder="1" applyAlignment="1">
      <alignment horizontal="right" vertical="center"/>
    </xf>
    <xf numFmtId="171" fontId="162" fillId="0" borderId="0" xfId="1051" applyNumberFormat="1" applyFont="1" applyAlignment="1">
      <alignment horizontal="center" vertical="center"/>
    </xf>
    <xf numFmtId="171" fontId="160" fillId="0" borderId="0" xfId="1051" applyNumberFormat="1" applyFont="1" applyAlignment="1">
      <alignment horizontal="center" vertical="center"/>
    </xf>
    <xf numFmtId="171" fontId="162" fillId="0" borderId="0" xfId="1051" applyNumberFormat="1" applyFont="1" applyBorder="1" applyAlignment="1">
      <alignment horizontal="center" vertical="center"/>
    </xf>
    <xf numFmtId="0" fontId="28" fillId="0" borderId="1" xfId="1105" applyNumberFormat="1" applyFont="1" applyFill="1" applyBorder="1" applyAlignment="1">
      <alignment horizontal="center" vertical="center"/>
    </xf>
    <xf numFmtId="2" fontId="157" fillId="0" borderId="1" xfId="1105" applyNumberFormat="1" applyFont="1" applyFill="1" applyBorder="1" applyAlignment="1">
      <alignment horizontal="center" vertical="center"/>
    </xf>
    <xf numFmtId="2" fontId="157" fillId="0" borderId="1" xfId="1105" applyNumberFormat="1" applyFont="1" applyFill="1" applyBorder="1" applyAlignment="1">
      <alignment horizontal="right" vertical="center"/>
    </xf>
    <xf numFmtId="0" fontId="157" fillId="0" borderId="0" xfId="1105" applyNumberFormat="1" applyFont="1" applyFill="1" applyBorder="1" applyAlignment="1">
      <alignment horizontal="left" vertical="center"/>
    </xf>
    <xf numFmtId="0" fontId="28" fillId="0" borderId="19" xfId="1107" applyFont="1" applyFill="1" applyBorder="1" applyAlignment="1">
      <alignment vertical="top"/>
    </xf>
    <xf numFmtId="0" fontId="28" fillId="0" borderId="1" xfId="1107" applyFont="1" applyFill="1" applyBorder="1" applyAlignment="1">
      <alignment vertical="top"/>
    </xf>
    <xf numFmtId="1" fontId="28" fillId="0" borderId="1" xfId="0" applyNumberFormat="1" applyFont="1" applyFill="1" applyBorder="1" applyAlignment="1">
      <alignment horizontal="center" vertical="center" wrapText="1"/>
    </xf>
    <xf numFmtId="2" fontId="28" fillId="0" borderId="1" xfId="1105" applyNumberFormat="1" applyFont="1" applyFill="1" applyBorder="1" applyAlignment="1">
      <alignment horizontal="center" vertical="center"/>
    </xf>
    <xf numFmtId="2" fontId="28" fillId="0" borderId="1" xfId="1105" applyNumberFormat="1" applyFont="1" applyFill="1" applyBorder="1" applyAlignment="1">
      <alignment horizontal="right" vertical="center"/>
    </xf>
    <xf numFmtId="171" fontId="160" fillId="0" borderId="0" xfId="0" applyFont="1" applyFill="1" applyBorder="1" applyAlignment="1">
      <alignment vertical="center"/>
    </xf>
    <xf numFmtId="171" fontId="162" fillId="0" borderId="0" xfId="0" applyFont="1" applyFill="1" applyBorder="1" applyAlignment="1">
      <alignment horizontal="center" vertical="center"/>
    </xf>
    <xf numFmtId="172" fontId="28" fillId="0" borderId="0" xfId="0" applyNumberFormat="1" applyFont="1" applyFill="1" applyBorder="1" applyAlignment="1">
      <alignment horizontal="center" vertical="center"/>
    </xf>
    <xf numFmtId="171" fontId="28" fillId="0" borderId="0" xfId="0" applyFont="1" applyFill="1" applyBorder="1" applyAlignment="1">
      <alignment horizontal="center" vertical="center"/>
    </xf>
    <xf numFmtId="171" fontId="206" fillId="0" borderId="0" xfId="0" applyFont="1" applyFill="1" applyBorder="1" applyAlignment="1">
      <alignment horizontal="center" vertical="center" wrapText="1"/>
    </xf>
    <xf numFmtId="171" fontId="28" fillId="0" borderId="0" xfId="0" applyFont="1" applyFill="1" applyBorder="1"/>
    <xf numFmtId="174" fontId="239" fillId="0" borderId="0" xfId="0" applyNumberFormat="1" applyFont="1" applyFill="1" applyBorder="1" applyAlignment="1">
      <alignment horizontal="center" vertical="center"/>
    </xf>
    <xf numFmtId="174" fontId="239" fillId="0" borderId="0" xfId="0" applyNumberFormat="1" applyFont="1" applyFill="1" applyBorder="1" applyAlignment="1">
      <alignment horizontal="center" vertical="center"/>
    </xf>
    <xf numFmtId="174" fontId="239" fillId="0" borderId="0" xfId="0" applyNumberFormat="1" applyFont="1" applyFill="1" applyBorder="1" applyAlignment="1">
      <alignment horizontal="right" vertical="center"/>
    </xf>
    <xf numFmtId="174" fontId="239" fillId="0" borderId="0" xfId="0" applyNumberFormat="1" applyFont="1" applyFill="1" applyBorder="1" applyAlignment="1">
      <alignment horizontal="left" vertical="center"/>
    </xf>
    <xf numFmtId="171" fontId="157" fillId="0" borderId="1" xfId="0" applyNumberFormat="1" applyFont="1" applyFill="1" applyBorder="1" applyAlignment="1">
      <alignment horizontal="center" vertical="center" wrapText="1"/>
    </xf>
    <xf numFmtId="172" fontId="157" fillId="0" borderId="1" xfId="0" applyNumberFormat="1" applyFont="1" applyFill="1" applyBorder="1" applyAlignment="1">
      <alignment horizontal="center" vertical="center"/>
    </xf>
    <xf numFmtId="171" fontId="157" fillId="0" borderId="1" xfId="0" applyNumberFormat="1" applyFont="1" applyFill="1" applyBorder="1" applyAlignment="1">
      <alignment horizontal="center" vertical="center"/>
    </xf>
    <xf numFmtId="171" fontId="32" fillId="0" borderId="1" xfId="0" applyNumberFormat="1" applyFont="1" applyFill="1" applyBorder="1" applyAlignment="1">
      <alignment horizontal="left" vertical="center"/>
    </xf>
    <xf numFmtId="171" fontId="204" fillId="0" borderId="0" xfId="0" applyFont="1" applyFill="1" applyBorder="1"/>
    <xf numFmtId="171" fontId="28" fillId="0" borderId="1" xfId="0" applyNumberFormat="1" applyFont="1" applyFill="1" applyBorder="1" applyAlignment="1">
      <alignment horizontal="left" vertical="center" wrapText="1"/>
    </xf>
    <xf numFmtId="171" fontId="165" fillId="0" borderId="1" xfId="0" applyFont="1" applyFill="1" applyBorder="1" applyAlignment="1">
      <alignment horizontal="left" vertical="center"/>
    </xf>
    <xf numFmtId="171" fontId="28" fillId="0" borderId="1" xfId="0" applyNumberFormat="1" applyFont="1" applyFill="1" applyBorder="1" applyAlignment="1">
      <alignment horizontal="left" vertical="center" wrapText="1"/>
    </xf>
    <xf numFmtId="171" fontId="163" fillId="0" borderId="1" xfId="0" applyFont="1" applyFill="1" applyBorder="1" applyAlignment="1">
      <alignment horizontal="left" vertical="center" wrapText="1"/>
    </xf>
    <xf numFmtId="171" fontId="163" fillId="0" borderId="1" xfId="0" applyFont="1" applyFill="1" applyBorder="1" applyAlignment="1">
      <alignment horizontal="right" vertical="center" wrapText="1"/>
    </xf>
    <xf numFmtId="172" fontId="28" fillId="0" borderId="1" xfId="53" quotePrefix="1" applyNumberFormat="1" applyFont="1" applyFill="1" applyBorder="1" applyAlignment="1">
      <alignment horizontal="center" vertical="center" wrapText="1"/>
    </xf>
    <xf numFmtId="0" fontId="28" fillId="0" borderId="1" xfId="53" applyNumberFormat="1" applyFont="1" applyFill="1" applyBorder="1" applyAlignment="1">
      <alignment horizontal="left" vertical="center" wrapText="1"/>
    </xf>
    <xf numFmtId="0" fontId="28" fillId="0" borderId="1" xfId="53" applyNumberFormat="1" applyFont="1" applyFill="1" applyBorder="1" applyAlignment="1">
      <alignment horizontal="right" vertical="center" wrapText="1"/>
    </xf>
    <xf numFmtId="171" fontId="165" fillId="0" borderId="1" xfId="53" applyNumberFormat="1" applyFont="1" applyFill="1" applyBorder="1" applyAlignment="1">
      <alignment horizontal="left" vertical="center" wrapText="1"/>
    </xf>
    <xf numFmtId="0" fontId="157" fillId="0" borderId="1" xfId="53" applyNumberFormat="1" applyFont="1" applyFill="1" applyBorder="1" applyAlignment="1">
      <alignment horizontal="left" vertical="center" wrapText="1"/>
    </xf>
    <xf numFmtId="0" fontId="28" fillId="0" borderId="1" xfId="53" applyNumberFormat="1" applyFont="1" applyFill="1" applyBorder="1" applyAlignment="1">
      <alignment horizontal="center" vertical="center" wrapText="1"/>
    </xf>
    <xf numFmtId="171" fontId="157" fillId="0" borderId="1" xfId="0" applyNumberFormat="1" applyFont="1" applyFill="1" applyBorder="1" applyAlignment="1">
      <alignment horizontal="left" vertical="center" wrapText="1"/>
    </xf>
    <xf numFmtId="0" fontId="28" fillId="0" borderId="1" xfId="49" applyFont="1" applyFill="1" applyBorder="1" applyAlignment="1">
      <alignment vertical="center" wrapText="1"/>
    </xf>
    <xf numFmtId="0" fontId="28" fillId="0" borderId="1" xfId="49" applyFont="1" applyFill="1" applyBorder="1" applyAlignment="1">
      <alignment horizontal="center" vertical="center" wrapText="1"/>
    </xf>
    <xf numFmtId="172" fontId="28" fillId="0" borderId="1" xfId="49" applyNumberFormat="1" applyFont="1" applyFill="1" applyBorder="1" applyAlignment="1">
      <alignment horizontal="center" vertical="center" wrapText="1"/>
    </xf>
    <xf numFmtId="0" fontId="28" fillId="0" borderId="1" xfId="1086" applyFont="1" applyFill="1" applyBorder="1" applyAlignment="1">
      <alignment horizontal="right" vertical="center"/>
    </xf>
    <xf numFmtId="0" fontId="28" fillId="0" borderId="1" xfId="53" applyNumberFormat="1" applyFont="1" applyFill="1" applyBorder="1" applyAlignment="1">
      <alignment horizontal="left" vertical="center" wrapText="1"/>
    </xf>
    <xf numFmtId="171" fontId="230" fillId="0" borderId="1" xfId="0" applyFont="1" applyFill="1" applyBorder="1" applyAlignment="1">
      <alignment horizontal="left" vertical="center" wrapText="1"/>
    </xf>
    <xf numFmtId="171" fontId="230" fillId="0" borderId="1" xfId="0" applyNumberFormat="1" applyFont="1" applyFill="1" applyBorder="1" applyAlignment="1">
      <alignment horizontal="left" vertical="center" wrapText="1"/>
    </xf>
    <xf numFmtId="171" fontId="28" fillId="0" borderId="1" xfId="0" applyNumberFormat="1" applyFont="1" applyFill="1" applyBorder="1" applyAlignment="1">
      <alignment horizontal="right" vertical="center" wrapText="1"/>
    </xf>
    <xf numFmtId="171" fontId="222" fillId="0" borderId="1" xfId="0" applyFont="1" applyFill="1" applyBorder="1" applyAlignment="1">
      <alignment horizontal="right" wrapText="1"/>
    </xf>
    <xf numFmtId="171" fontId="28" fillId="0" borderId="1" xfId="0" applyFont="1" applyFill="1" applyBorder="1" applyAlignment="1">
      <alignment horizontal="right"/>
    </xf>
    <xf numFmtId="171" fontId="28" fillId="0" borderId="1" xfId="0" applyFont="1" applyFill="1" applyBorder="1" applyAlignment="1">
      <alignment horizontal="left"/>
    </xf>
    <xf numFmtId="171" fontId="157" fillId="0" borderId="1" xfId="0" applyFont="1" applyFill="1" applyBorder="1" applyAlignment="1">
      <alignment horizontal="justify" vertical="center"/>
    </xf>
    <xf numFmtId="171" fontId="28" fillId="0" borderId="1" xfId="0" applyNumberFormat="1" applyFont="1" applyFill="1" applyBorder="1" applyAlignment="1">
      <alignment horizontal="center" vertical="center"/>
    </xf>
    <xf numFmtId="171" fontId="230" fillId="0" borderId="1" xfId="0" applyNumberFormat="1" applyFont="1" applyFill="1" applyBorder="1" applyAlignment="1">
      <alignment horizontal="left" vertical="center" wrapText="1"/>
    </xf>
    <xf numFmtId="171" fontId="28" fillId="0" borderId="1" xfId="0" applyNumberFormat="1" applyFont="1" applyFill="1" applyBorder="1" applyAlignment="1">
      <alignment horizontal="center" vertical="center" wrapText="1"/>
    </xf>
    <xf numFmtId="171" fontId="28" fillId="0" borderId="1" xfId="0" applyNumberFormat="1" applyFont="1" applyFill="1" applyBorder="1" applyAlignment="1">
      <alignment horizontal="left" vertical="center"/>
    </xf>
    <xf numFmtId="0" fontId="28" fillId="0" borderId="1" xfId="1158" applyFont="1" applyFill="1" applyBorder="1" applyAlignment="1">
      <alignment horizontal="left" vertical="center" wrapText="1"/>
    </xf>
    <xf numFmtId="0" fontId="28" fillId="0" borderId="1" xfId="1158" applyFont="1" applyFill="1" applyBorder="1" applyAlignment="1">
      <alignment horizontal="right" vertical="center" wrapText="1"/>
    </xf>
    <xf numFmtId="171" fontId="28" fillId="0" borderId="1" xfId="53" applyNumberFormat="1" applyFont="1" applyFill="1" applyBorder="1" applyAlignment="1">
      <alignment horizontal="right" vertical="center" wrapText="1"/>
    </xf>
    <xf numFmtId="0" fontId="165" fillId="0" borderId="1" xfId="53" applyNumberFormat="1" applyFont="1" applyFill="1" applyBorder="1" applyAlignment="1">
      <alignment horizontal="left" vertical="center" wrapText="1"/>
    </xf>
    <xf numFmtId="171" fontId="241" fillId="0" borderId="1" xfId="0" applyNumberFormat="1" applyFont="1" applyFill="1" applyBorder="1" applyAlignment="1">
      <alignment horizontal="right" wrapText="1"/>
    </xf>
    <xf numFmtId="171" fontId="241" fillId="0" borderId="1" xfId="0" applyNumberFormat="1" applyFont="1" applyFill="1" applyBorder="1" applyAlignment="1">
      <alignment horizontal="center" wrapText="1"/>
    </xf>
    <xf numFmtId="2" fontId="163" fillId="0" borderId="1" xfId="0" applyNumberFormat="1" applyFont="1" applyFill="1" applyBorder="1" applyAlignment="1">
      <alignment horizontal="center" vertical="center"/>
    </xf>
    <xf numFmtId="0" fontId="163" fillId="0" borderId="17" xfId="0" applyNumberFormat="1" applyFont="1" applyFill="1" applyBorder="1" applyAlignment="1">
      <alignment horizontal="left" vertical="center" wrapText="1"/>
    </xf>
    <xf numFmtId="0" fontId="163" fillId="0" borderId="18" xfId="0" applyNumberFormat="1" applyFont="1" applyFill="1" applyBorder="1" applyAlignment="1">
      <alignment horizontal="left" vertical="center" wrapText="1"/>
    </xf>
    <xf numFmtId="0" fontId="163" fillId="0" borderId="19" xfId="0" applyNumberFormat="1" applyFont="1" applyFill="1" applyBorder="1" applyAlignment="1">
      <alignment horizontal="left" vertical="center" wrapText="1"/>
    </xf>
    <xf numFmtId="0" fontId="163" fillId="0" borderId="1" xfId="0" applyNumberFormat="1" applyFont="1" applyFill="1" applyBorder="1" applyAlignment="1">
      <alignment vertical="top" wrapText="1"/>
    </xf>
    <xf numFmtId="171" fontId="11" fillId="0" borderId="0" xfId="0" applyFont="1" applyFill="1" applyBorder="1" applyAlignment="1">
      <alignment horizontal="center" vertical="center"/>
    </xf>
    <xf numFmtId="0" fontId="228" fillId="0" borderId="1" xfId="0" applyNumberFormat="1" applyFont="1" applyFill="1" applyBorder="1" applyAlignment="1">
      <alignment horizontal="center" vertical="center"/>
    </xf>
    <xf numFmtId="0" fontId="163" fillId="0" borderId="1" xfId="0" applyNumberFormat="1" applyFont="1" applyFill="1" applyBorder="1" applyAlignment="1">
      <alignment horizontal="left" vertical="center" wrapText="1"/>
    </xf>
    <xf numFmtId="0" fontId="163" fillId="0" borderId="1" xfId="0" applyNumberFormat="1" applyFont="1" applyFill="1" applyBorder="1" applyAlignment="1">
      <alignment horizontal="left" vertical="center" wrapText="1"/>
    </xf>
    <xf numFmtId="172" fontId="28" fillId="0" borderId="0" xfId="53" quotePrefix="1" applyNumberFormat="1" applyFont="1" applyFill="1" applyBorder="1" applyAlignment="1">
      <alignment horizontal="center" vertical="center" wrapText="1"/>
    </xf>
    <xf numFmtId="0" fontId="28" fillId="0" borderId="0" xfId="53" applyNumberFormat="1" applyFont="1" applyFill="1" applyBorder="1" applyAlignment="1">
      <alignment horizontal="left" vertical="center" wrapText="1"/>
    </xf>
    <xf numFmtId="0" fontId="28" fillId="0" borderId="0" xfId="53" applyNumberFormat="1" applyFont="1" applyFill="1" applyBorder="1" applyAlignment="1">
      <alignment horizontal="center" vertical="center" wrapText="1"/>
    </xf>
    <xf numFmtId="171" fontId="28" fillId="0" borderId="0" xfId="0" applyNumberFormat="1" applyFont="1" applyFill="1" applyBorder="1" applyAlignment="1">
      <alignment horizontal="right" vertical="center"/>
    </xf>
    <xf numFmtId="2" fontId="28" fillId="0" borderId="0" xfId="53" applyNumberFormat="1" applyFont="1" applyFill="1" applyBorder="1" applyAlignment="1">
      <alignment horizontal="right" vertical="center" wrapText="1"/>
    </xf>
    <xf numFmtId="171" fontId="157" fillId="0" borderId="0" xfId="0" applyNumberFormat="1" applyFont="1" applyFill="1" applyBorder="1" applyAlignment="1">
      <alignment horizontal="right" vertical="center"/>
    </xf>
    <xf numFmtId="172" fontId="206" fillId="0" borderId="0" xfId="0" applyNumberFormat="1" applyFont="1" applyFill="1" applyBorder="1" applyAlignment="1">
      <alignment horizontal="left" vertical="center"/>
    </xf>
    <xf numFmtId="171" fontId="28" fillId="0" borderId="0" xfId="0" applyNumberFormat="1" applyFont="1" applyFill="1" applyBorder="1" applyAlignment="1">
      <alignment horizontal="left" vertical="center" wrapText="1"/>
    </xf>
    <xf numFmtId="0" fontId="157" fillId="9" borderId="0" xfId="0" applyNumberFormat="1" applyFont="1" applyFill="1" applyBorder="1" applyAlignment="1">
      <alignment horizontal="center" vertical="center" wrapText="1"/>
    </xf>
    <xf numFmtId="0" fontId="28" fillId="9" borderId="0" xfId="0" applyNumberFormat="1" applyFont="1" applyFill="1" applyBorder="1" applyAlignment="1">
      <alignment vertical="center" wrapText="1"/>
    </xf>
    <xf numFmtId="171" fontId="0" fillId="9" borderId="0" xfId="0" applyFill="1" applyAlignment="1">
      <alignment vertical="center"/>
    </xf>
    <xf numFmtId="0" fontId="223" fillId="9" borderId="0" xfId="0" applyNumberFormat="1" applyFont="1" applyFill="1" applyBorder="1" applyAlignment="1">
      <alignment horizontal="center" vertical="center" wrapText="1"/>
    </xf>
    <xf numFmtId="0" fontId="230" fillId="9" borderId="0" xfId="0" applyNumberFormat="1" applyFont="1" applyFill="1" applyBorder="1" applyAlignment="1">
      <alignment horizontal="center" vertical="center" wrapText="1"/>
    </xf>
    <xf numFmtId="0" fontId="230" fillId="9" borderId="0" xfId="0" applyNumberFormat="1" applyFont="1" applyFill="1" applyBorder="1" applyAlignment="1">
      <alignment horizontal="center" vertical="center" wrapText="1"/>
    </xf>
    <xf numFmtId="0" fontId="243" fillId="9" borderId="0" xfId="0" applyNumberFormat="1" applyFont="1" applyFill="1" applyBorder="1" applyAlignment="1">
      <alignment horizontal="center" vertical="center" wrapText="1"/>
    </xf>
    <xf numFmtId="0" fontId="157" fillId="9" borderId="1" xfId="0" applyNumberFormat="1" applyFont="1" applyFill="1" applyBorder="1" applyAlignment="1">
      <alignment horizontal="center" vertical="center" wrapText="1"/>
    </xf>
    <xf numFmtId="0" fontId="157" fillId="9" borderId="1" xfId="0" applyNumberFormat="1" applyFont="1" applyFill="1" applyBorder="1" applyAlignment="1">
      <alignment horizontal="center" vertical="center"/>
    </xf>
    <xf numFmtId="0" fontId="157" fillId="9" borderId="1" xfId="0" applyNumberFormat="1" applyFont="1" applyFill="1" applyBorder="1" applyAlignment="1">
      <alignment horizontal="center" vertical="center" wrapText="1"/>
    </xf>
    <xf numFmtId="179" fontId="157" fillId="9" borderId="1" xfId="0" applyNumberFormat="1" applyFont="1" applyFill="1" applyBorder="1" applyAlignment="1">
      <alignment horizontal="center" vertical="center" wrapText="1"/>
    </xf>
    <xf numFmtId="2" fontId="157" fillId="9" borderId="1" xfId="0" applyNumberFormat="1" applyFont="1" applyFill="1" applyBorder="1" applyAlignment="1">
      <alignment horizontal="center" vertical="center" wrapText="1"/>
    </xf>
    <xf numFmtId="0" fontId="165" fillId="9" borderId="1" xfId="0" applyNumberFormat="1" applyFont="1" applyFill="1" applyBorder="1" applyAlignment="1">
      <alignment vertical="center" wrapText="1"/>
    </xf>
    <xf numFmtId="178" fontId="28" fillId="9" borderId="1" xfId="52" applyNumberFormat="1" applyFont="1" applyFill="1" applyBorder="1" applyAlignment="1">
      <alignment horizontal="center" vertical="center" wrapText="1"/>
    </xf>
    <xf numFmtId="2" fontId="28" fillId="9" borderId="1" xfId="52" applyNumberFormat="1" applyFont="1" applyFill="1" applyBorder="1" applyAlignment="1">
      <alignment horizontal="left" vertical="center" wrapText="1"/>
    </xf>
    <xf numFmtId="2" fontId="28" fillId="9" borderId="1" xfId="52" applyNumberFormat="1" applyFont="1" applyFill="1" applyBorder="1" applyAlignment="1">
      <alignment vertical="center" wrapText="1"/>
    </xf>
    <xf numFmtId="0" fontId="28" fillId="9" borderId="1" xfId="0" applyNumberFormat="1" applyFont="1" applyFill="1" applyBorder="1" applyAlignment="1">
      <alignment vertical="center" wrapText="1"/>
    </xf>
    <xf numFmtId="1" fontId="28" fillId="9" borderId="1" xfId="0" applyNumberFormat="1" applyFont="1" applyFill="1" applyBorder="1" applyAlignment="1">
      <alignment horizontal="center" vertical="center" wrapText="1"/>
    </xf>
    <xf numFmtId="0" fontId="157" fillId="9" borderId="1" xfId="0" applyNumberFormat="1" applyFont="1" applyFill="1" applyBorder="1" applyAlignment="1">
      <alignment vertical="center" wrapText="1"/>
    </xf>
    <xf numFmtId="0" fontId="28" fillId="9" borderId="1" xfId="0" applyNumberFormat="1" applyFont="1" applyFill="1" applyBorder="1" applyAlignment="1">
      <alignment horizontal="center" vertical="center" wrapText="1"/>
    </xf>
    <xf numFmtId="0" fontId="28" fillId="9" borderId="1" xfId="0" applyNumberFormat="1" applyFont="1" applyFill="1" applyBorder="1" applyAlignment="1">
      <alignment horizontal="right" vertical="center" wrapText="1"/>
    </xf>
    <xf numFmtId="2" fontId="28" fillId="9" borderId="1" xfId="0" applyNumberFormat="1" applyFont="1" applyFill="1" applyBorder="1" applyAlignment="1">
      <alignment vertical="center" wrapText="1"/>
    </xf>
    <xf numFmtId="2" fontId="28" fillId="9" borderId="1" xfId="0" applyNumberFormat="1" applyFont="1" applyFill="1" applyBorder="1" applyAlignment="1">
      <alignment horizontal="right" vertical="center" wrapText="1"/>
    </xf>
    <xf numFmtId="2" fontId="28" fillId="9" borderId="0" xfId="0" applyNumberFormat="1" applyFont="1" applyFill="1" applyBorder="1" applyAlignment="1">
      <alignment vertical="center" wrapText="1"/>
    </xf>
    <xf numFmtId="2" fontId="28" fillId="9" borderId="1" xfId="0" applyNumberFormat="1" applyFont="1" applyFill="1" applyBorder="1" applyAlignment="1">
      <alignment horizontal="center" vertical="center" wrapText="1"/>
    </xf>
    <xf numFmtId="0" fontId="157" fillId="9" borderId="1" xfId="0" applyNumberFormat="1" applyFont="1" applyFill="1" applyBorder="1" applyAlignment="1">
      <alignment horizontal="right" vertical="center"/>
    </xf>
    <xf numFmtId="2" fontId="157" fillId="9" borderId="1" xfId="0" applyNumberFormat="1" applyFont="1" applyFill="1" applyBorder="1" applyAlignment="1">
      <alignment vertical="center" wrapText="1"/>
    </xf>
    <xf numFmtId="2" fontId="165" fillId="9" borderId="1" xfId="0" applyNumberFormat="1" applyFont="1" applyFill="1" applyBorder="1" applyAlignment="1">
      <alignment vertical="center"/>
    </xf>
    <xf numFmtId="178" fontId="28" fillId="9" borderId="1" xfId="0" quotePrefix="1" applyNumberFormat="1" applyFont="1" applyFill="1" applyBorder="1" applyAlignment="1">
      <alignment horizontal="center" vertical="center" wrapText="1"/>
    </xf>
    <xf numFmtId="0" fontId="28" fillId="9" borderId="1" xfId="0" applyNumberFormat="1" applyFont="1" applyFill="1" applyBorder="1" applyAlignment="1">
      <alignment horizontal="left" vertical="center" wrapText="1"/>
    </xf>
    <xf numFmtId="1" fontId="28" fillId="9" borderId="1" xfId="0" quotePrefix="1" applyNumberFormat="1" applyFont="1" applyFill="1" applyBorder="1" applyAlignment="1">
      <alignment horizontal="center" vertical="center" wrapText="1"/>
    </xf>
    <xf numFmtId="2" fontId="157" fillId="9" borderId="1" xfId="0" applyNumberFormat="1" applyFont="1" applyFill="1" applyBorder="1" applyAlignment="1">
      <alignment horizontal="right" vertical="center"/>
    </xf>
    <xf numFmtId="0" fontId="157" fillId="9" borderId="1" xfId="0" applyNumberFormat="1" applyFont="1" applyFill="1" applyBorder="1" applyAlignment="1">
      <alignment horizontal="left" vertical="center" wrapText="1"/>
    </xf>
    <xf numFmtId="2" fontId="28" fillId="9" borderId="1" xfId="0" applyNumberFormat="1" applyFont="1" applyFill="1" applyBorder="1" applyAlignment="1">
      <alignment vertical="center"/>
    </xf>
    <xf numFmtId="2" fontId="28" fillId="9" borderId="1" xfId="0" applyNumberFormat="1" applyFont="1" applyFill="1" applyBorder="1" applyAlignment="1">
      <alignment horizontal="right" vertical="center"/>
    </xf>
    <xf numFmtId="2" fontId="157" fillId="9" borderId="1" xfId="0" applyNumberFormat="1" applyFont="1" applyFill="1" applyBorder="1" applyAlignment="1">
      <alignment vertical="center"/>
    </xf>
    <xf numFmtId="0" fontId="28" fillId="9" borderId="17" xfId="0" applyNumberFormat="1" applyFont="1" applyFill="1" applyBorder="1" applyAlignment="1">
      <alignment horizontal="left" vertical="center" wrapText="1"/>
    </xf>
    <xf numFmtId="0" fontId="28" fillId="9" borderId="18" xfId="0" applyNumberFormat="1" applyFont="1" applyFill="1" applyBorder="1" applyAlignment="1">
      <alignment horizontal="left" vertical="center" wrapText="1"/>
    </xf>
    <xf numFmtId="2" fontId="157" fillId="9" borderId="1" xfId="1295" applyNumberFormat="1" applyFont="1" applyFill="1" applyBorder="1" applyAlignment="1">
      <alignment vertical="center" wrapText="1"/>
    </xf>
    <xf numFmtId="171" fontId="165" fillId="9" borderId="1" xfId="0" applyNumberFormat="1" applyFont="1" applyFill="1" applyBorder="1" applyAlignment="1">
      <alignment vertical="center" wrapText="1"/>
    </xf>
    <xf numFmtId="171" fontId="28" fillId="9" borderId="1" xfId="0" applyNumberFormat="1" applyFont="1" applyFill="1" applyBorder="1" applyAlignment="1">
      <alignment vertical="center" wrapText="1"/>
    </xf>
    <xf numFmtId="172" fontId="28" fillId="9" borderId="1" xfId="0" applyNumberFormat="1" applyFont="1" applyFill="1" applyBorder="1" applyAlignment="1">
      <alignment horizontal="center" vertical="center" wrapText="1"/>
    </xf>
    <xf numFmtId="171" fontId="28" fillId="9" borderId="0" xfId="0" applyNumberFormat="1" applyFont="1" applyFill="1" applyBorder="1" applyAlignment="1">
      <alignment vertical="center" wrapText="1"/>
    </xf>
    <xf numFmtId="173" fontId="28" fillId="9" borderId="0" xfId="0" applyNumberFormat="1" applyFont="1" applyFill="1" applyBorder="1" applyAlignment="1">
      <alignment vertical="center" wrapText="1"/>
    </xf>
    <xf numFmtId="171" fontId="28" fillId="9" borderId="1" xfId="0" applyNumberFormat="1" applyFont="1" applyFill="1" applyBorder="1" applyAlignment="1">
      <alignment horizontal="center" vertical="center" wrapText="1"/>
    </xf>
    <xf numFmtId="2" fontId="157" fillId="9" borderId="1" xfId="0" applyNumberFormat="1" applyFont="1" applyFill="1" applyBorder="1" applyAlignment="1">
      <alignment horizontal="right" vertical="center" wrapText="1"/>
    </xf>
    <xf numFmtId="178" fontId="28" fillId="9" borderId="1" xfId="0" applyNumberFormat="1" applyFont="1" applyFill="1" applyBorder="1" applyAlignment="1">
      <alignment horizontal="center" vertical="center" wrapText="1"/>
    </xf>
    <xf numFmtId="179" fontId="157" fillId="9" borderId="1" xfId="0" applyNumberFormat="1" applyFont="1" applyFill="1" applyBorder="1" applyAlignment="1">
      <alignment vertical="center" wrapText="1"/>
    </xf>
    <xf numFmtId="2" fontId="28" fillId="9" borderId="1" xfId="1295" applyNumberFormat="1" applyFont="1" applyFill="1" applyBorder="1" applyAlignment="1">
      <alignment horizontal="left" vertical="center" wrapText="1"/>
    </xf>
    <xf numFmtId="0" fontId="156" fillId="9" borderId="1" xfId="0" applyNumberFormat="1" applyFont="1" applyFill="1" applyBorder="1" applyAlignment="1">
      <alignment vertical="center"/>
    </xf>
    <xf numFmtId="2" fontId="28" fillId="9" borderId="1" xfId="52" applyNumberFormat="1" applyFont="1" applyFill="1" applyBorder="1" applyAlignment="1">
      <alignment vertical="center"/>
    </xf>
    <xf numFmtId="171" fontId="28" fillId="9" borderId="1" xfId="0" applyFont="1" applyFill="1" applyBorder="1" applyAlignment="1">
      <alignment vertical="center"/>
    </xf>
    <xf numFmtId="0" fontId="28" fillId="9" borderId="1" xfId="55" applyFont="1" applyFill="1" applyBorder="1" applyAlignment="1">
      <alignment horizontal="center" vertical="center"/>
    </xf>
    <xf numFmtId="0" fontId="157" fillId="9" borderId="1" xfId="55" applyFont="1" applyFill="1" applyBorder="1" applyAlignment="1">
      <alignment vertical="center"/>
    </xf>
    <xf numFmtId="2" fontId="28" fillId="9" borderId="1" xfId="55" applyNumberFormat="1" applyFont="1" applyFill="1" applyBorder="1" applyAlignment="1">
      <alignment horizontal="right" vertical="center"/>
    </xf>
    <xf numFmtId="2" fontId="28" fillId="9" borderId="1" xfId="55" applyNumberFormat="1" applyFont="1" applyFill="1" applyBorder="1" applyAlignment="1">
      <alignment vertical="center"/>
    </xf>
    <xf numFmtId="0" fontId="165" fillId="9" borderId="1" xfId="55" applyFont="1" applyFill="1" applyBorder="1" applyAlignment="1">
      <alignment horizontal="left" vertical="center"/>
    </xf>
    <xf numFmtId="0" fontId="157" fillId="9" borderId="0" xfId="55" applyFont="1" applyFill="1" applyBorder="1" applyAlignment="1">
      <alignment horizontal="left" vertical="center"/>
    </xf>
    <xf numFmtId="0" fontId="28" fillId="9" borderId="0" xfId="55" applyFont="1" applyFill="1" applyBorder="1" applyAlignment="1">
      <alignment vertical="center"/>
    </xf>
    <xf numFmtId="0" fontId="28" fillId="9" borderId="1" xfId="55" applyFont="1" applyFill="1" applyBorder="1" applyAlignment="1">
      <alignment vertical="center"/>
    </xf>
    <xf numFmtId="2" fontId="157" fillId="9" borderId="1" xfId="55" applyNumberFormat="1" applyFont="1" applyFill="1" applyBorder="1" applyAlignment="1">
      <alignment horizontal="right" vertical="center"/>
    </xf>
    <xf numFmtId="1" fontId="28" fillId="9" borderId="0" xfId="0" applyNumberFormat="1" applyFont="1" applyFill="1" applyBorder="1" applyAlignment="1">
      <alignment horizontal="center" vertical="center"/>
    </xf>
    <xf numFmtId="171" fontId="28" fillId="9" borderId="0" xfId="0" applyNumberFormat="1" applyFont="1" applyFill="1" applyBorder="1" applyAlignment="1">
      <alignment horizontal="left" vertical="center"/>
    </xf>
    <xf numFmtId="172" fontId="28" fillId="9" borderId="0" xfId="0" applyNumberFormat="1" applyFont="1" applyFill="1" applyBorder="1" applyAlignment="1">
      <alignment vertical="center"/>
    </xf>
    <xf numFmtId="2" fontId="28" fillId="9" borderId="0" xfId="0" applyNumberFormat="1" applyFont="1" applyFill="1" applyBorder="1" applyAlignment="1">
      <alignment vertical="center"/>
    </xf>
    <xf numFmtId="2" fontId="157" fillId="9" borderId="0" xfId="0" applyNumberFormat="1" applyFont="1" applyFill="1" applyBorder="1" applyAlignment="1">
      <alignment horizontal="right" vertical="center" wrapText="1"/>
    </xf>
    <xf numFmtId="2" fontId="157" fillId="9" borderId="0" xfId="0" applyNumberFormat="1" applyFont="1" applyFill="1" applyBorder="1" applyAlignment="1">
      <alignment vertical="center" wrapText="1"/>
    </xf>
    <xf numFmtId="2" fontId="165" fillId="9" borderId="0" xfId="0" applyNumberFormat="1" applyFont="1" applyFill="1" applyBorder="1" applyAlignment="1">
      <alignment vertical="center" wrapText="1"/>
    </xf>
    <xf numFmtId="171" fontId="28" fillId="9" borderId="0" xfId="0" applyNumberFormat="1" applyFont="1" applyFill="1" applyBorder="1" applyAlignment="1">
      <alignment horizontal="center" vertical="center"/>
    </xf>
    <xf numFmtId="171" fontId="28" fillId="9" borderId="0" xfId="0" applyNumberFormat="1" applyFont="1" applyFill="1" applyBorder="1" applyAlignment="1">
      <alignment vertical="center"/>
    </xf>
    <xf numFmtId="2" fontId="28" fillId="9" borderId="0" xfId="0" applyNumberFormat="1" applyFont="1" applyFill="1" applyBorder="1" applyAlignment="1">
      <alignment horizontal="right" vertical="center"/>
    </xf>
    <xf numFmtId="171" fontId="165" fillId="9" borderId="0" xfId="0" applyNumberFormat="1" applyFont="1" applyFill="1" applyBorder="1" applyAlignment="1">
      <alignment vertical="center"/>
    </xf>
    <xf numFmtId="171" fontId="157" fillId="9" borderId="0" xfId="0" applyNumberFormat="1" applyFont="1" applyFill="1" applyBorder="1" applyAlignment="1">
      <alignment horizontal="left" vertical="center"/>
    </xf>
    <xf numFmtId="171" fontId="0" fillId="9" borderId="0" xfId="0" applyFont="1" applyFill="1" applyAlignment="1">
      <alignment horizontal="center" vertical="center"/>
    </xf>
    <xf numFmtId="171" fontId="225" fillId="9" borderId="0" xfId="0" applyFont="1" applyFill="1" applyAlignment="1">
      <alignment vertical="center"/>
    </xf>
    <xf numFmtId="171" fontId="157" fillId="0" borderId="0" xfId="0" applyFont="1" applyBorder="1" applyAlignment="1">
      <alignment horizontal="left" vertical="center" wrapText="1"/>
    </xf>
    <xf numFmtId="171" fontId="28" fillId="0" borderId="0" xfId="0" applyFont="1" applyBorder="1" applyAlignment="1">
      <alignment horizontal="center" vertical="center"/>
    </xf>
    <xf numFmtId="171" fontId="157" fillId="0" borderId="0" xfId="0" applyFont="1" applyBorder="1" applyAlignment="1">
      <alignment horizontal="center" vertical="center" wrapText="1"/>
    </xf>
    <xf numFmtId="171" fontId="222" fillId="0" borderId="0" xfId="0" applyFont="1" applyBorder="1" applyAlignment="1">
      <alignment horizontal="center" vertical="center" wrapText="1"/>
    </xf>
    <xf numFmtId="172" fontId="157" fillId="0" borderId="14" xfId="0" applyNumberFormat="1" applyFont="1" applyBorder="1" applyAlignment="1">
      <alignment horizontal="center" vertical="center"/>
    </xf>
    <xf numFmtId="171" fontId="157" fillId="0" borderId="14" xfId="0" applyFont="1" applyBorder="1" applyAlignment="1">
      <alignment horizontal="center" vertical="center"/>
    </xf>
    <xf numFmtId="171" fontId="157" fillId="0" borderId="14" xfId="0" applyFont="1" applyBorder="1" applyAlignment="1">
      <alignment horizontal="center" vertical="center"/>
    </xf>
    <xf numFmtId="0" fontId="28" fillId="0" borderId="14" xfId="49" applyFont="1" applyFill="1" applyBorder="1" applyAlignment="1">
      <alignment horizontal="center" vertical="center"/>
    </xf>
    <xf numFmtId="0" fontId="158" fillId="0" borderId="37" xfId="0" applyNumberFormat="1" applyFont="1" applyBorder="1" applyAlignment="1">
      <alignment horizontal="left" vertical="center" wrapText="1"/>
    </xf>
    <xf numFmtId="0" fontId="158" fillId="0" borderId="38" xfId="0" applyNumberFormat="1" applyFont="1" applyBorder="1" applyAlignment="1">
      <alignment horizontal="left" vertical="center" wrapText="1"/>
    </xf>
    <xf numFmtId="0" fontId="158" fillId="0" borderId="39" xfId="0" applyNumberFormat="1" applyFont="1" applyBorder="1" applyAlignment="1">
      <alignment horizontal="left" vertical="center" wrapText="1"/>
    </xf>
    <xf numFmtId="2" fontId="28" fillId="0" borderId="40" xfId="49" applyNumberFormat="1" applyFont="1" applyFill="1" applyBorder="1" applyAlignment="1">
      <alignment horizontal="center" vertical="top"/>
    </xf>
    <xf numFmtId="2" fontId="229" fillId="0" borderId="40" xfId="49" applyNumberFormat="1" applyFont="1" applyFill="1" applyBorder="1" applyAlignment="1">
      <alignment horizontal="center" vertical="center"/>
    </xf>
    <xf numFmtId="4" fontId="27" fillId="0" borderId="0" xfId="49" applyNumberFormat="1" applyFont="1" applyFill="1" applyBorder="1" applyAlignment="1">
      <alignment horizontal="left" vertical="center"/>
    </xf>
    <xf numFmtId="0" fontId="27" fillId="0" borderId="0" xfId="49" applyFont="1" applyFill="1" applyBorder="1" applyAlignment="1">
      <alignment horizontal="center"/>
    </xf>
    <xf numFmtId="0" fontId="27" fillId="0" borderId="0" xfId="49" applyFont="1" applyFill="1" applyBorder="1"/>
    <xf numFmtId="0" fontId="28" fillId="0" borderId="41" xfId="49" applyFont="1" applyFill="1" applyBorder="1" applyAlignment="1">
      <alignment horizontal="center" vertical="center"/>
    </xf>
    <xf numFmtId="0" fontId="158" fillId="0" borderId="7" xfId="0" applyNumberFormat="1" applyFont="1" applyBorder="1" applyAlignment="1">
      <alignment horizontal="left" vertical="center" wrapText="1"/>
    </xf>
    <xf numFmtId="0" fontId="158" fillId="0" borderId="0" xfId="0" applyNumberFormat="1" applyFont="1" applyBorder="1" applyAlignment="1">
      <alignment horizontal="left" vertical="center" wrapText="1"/>
    </xf>
    <xf numFmtId="0" fontId="158" fillId="0" borderId="8" xfId="0" applyNumberFormat="1" applyFont="1" applyBorder="1" applyAlignment="1">
      <alignment horizontal="left" vertical="center" wrapText="1"/>
    </xf>
    <xf numFmtId="2" fontId="28" fillId="0" borderId="41" xfId="49" applyNumberFormat="1" applyFont="1" applyFill="1" applyBorder="1" applyAlignment="1">
      <alignment horizontal="center" vertical="top"/>
    </xf>
    <xf numFmtId="2" fontId="229" fillId="0" borderId="41" xfId="49" applyNumberFormat="1" applyFont="1" applyFill="1" applyBorder="1" applyAlignment="1">
      <alignment horizontal="center" vertical="center"/>
    </xf>
    <xf numFmtId="0" fontId="26" fillId="0" borderId="0" xfId="49" applyFont="1" applyFill="1" applyBorder="1" applyAlignment="1">
      <alignment horizontal="left" vertical="center"/>
    </xf>
    <xf numFmtId="2" fontId="27" fillId="0" borderId="0" xfId="49" applyNumberFormat="1" applyFont="1" applyFill="1" applyBorder="1" applyAlignment="1">
      <alignment horizontal="center" vertical="center"/>
    </xf>
    <xf numFmtId="0" fontId="27" fillId="0" borderId="0" xfId="49" applyFont="1" applyFill="1" applyBorder="1" applyAlignment="1">
      <alignment vertical="center"/>
    </xf>
    <xf numFmtId="0" fontId="28" fillId="0" borderId="16" xfId="49" applyFont="1" applyFill="1" applyBorder="1" applyAlignment="1">
      <alignment horizontal="center" vertical="center"/>
    </xf>
    <xf numFmtId="0" fontId="158" fillId="0" borderId="9" xfId="0" applyNumberFormat="1" applyFont="1" applyBorder="1" applyAlignment="1">
      <alignment horizontal="left" vertical="center" wrapText="1"/>
    </xf>
    <xf numFmtId="0" fontId="158" fillId="0" borderId="3" xfId="0" applyNumberFormat="1" applyFont="1" applyBorder="1" applyAlignment="1">
      <alignment horizontal="left" vertical="center" wrapText="1"/>
    </xf>
    <xf numFmtId="0" fontId="158" fillId="0" borderId="10" xfId="0" applyNumberFormat="1" applyFont="1" applyBorder="1" applyAlignment="1">
      <alignment horizontal="left" vertical="center" wrapText="1"/>
    </xf>
    <xf numFmtId="2" fontId="28" fillId="0" borderId="16" xfId="49" applyNumberFormat="1" applyFont="1" applyFill="1" applyBorder="1" applyAlignment="1">
      <alignment horizontal="center" vertical="top"/>
    </xf>
    <xf numFmtId="2" fontId="229" fillId="0" borderId="16" xfId="49" applyNumberFormat="1" applyFont="1" applyFill="1" applyBorder="1" applyAlignment="1">
      <alignment horizontal="center" vertical="center"/>
    </xf>
    <xf numFmtId="4" fontId="27" fillId="0" borderId="0" xfId="49" applyNumberFormat="1" applyFont="1" applyFill="1" applyBorder="1" applyAlignment="1">
      <alignment horizontal="right" vertical="center"/>
    </xf>
    <xf numFmtId="0" fontId="28" fillId="0" borderId="42" xfId="49" applyFont="1" applyFill="1" applyBorder="1" applyAlignment="1">
      <alignment horizontal="center" vertical="center"/>
    </xf>
    <xf numFmtId="0" fontId="28" fillId="0" borderId="42" xfId="49" applyFont="1" applyFill="1" applyBorder="1" applyAlignment="1">
      <alignment horizontal="justify" vertical="center"/>
    </xf>
    <xf numFmtId="2" fontId="28" fillId="0" borderId="42" xfId="49" applyNumberFormat="1" applyFont="1" applyFill="1" applyBorder="1" applyAlignment="1">
      <alignment horizontal="right" vertical="center"/>
    </xf>
    <xf numFmtId="171" fontId="28" fillId="0" borderId="42" xfId="0" applyFont="1" applyFill="1" applyBorder="1" applyAlignment="1">
      <alignment vertical="center"/>
    </xf>
    <xf numFmtId="0" fontId="27" fillId="0" borderId="0" xfId="49" applyFont="1" applyFill="1" applyBorder="1" applyAlignment="1">
      <alignment horizontal="center" vertical="center"/>
    </xf>
    <xf numFmtId="0" fontId="28" fillId="0" borderId="42" xfId="49" applyFont="1" applyFill="1" applyBorder="1" applyAlignment="1">
      <alignment horizontal="center" vertical="center"/>
    </xf>
    <xf numFmtId="0" fontId="158" fillId="0" borderId="7" xfId="0" applyNumberFormat="1" applyFont="1" applyBorder="1" applyAlignment="1">
      <alignment vertical="center"/>
    </xf>
    <xf numFmtId="0" fontId="28" fillId="0" borderId="0" xfId="49" applyFont="1" applyFill="1" applyBorder="1" applyAlignment="1">
      <alignment vertical="center" wrapText="1"/>
    </xf>
    <xf numFmtId="179" fontId="28" fillId="0" borderId="0" xfId="49" applyNumberFormat="1" applyFont="1" applyFill="1" applyBorder="1" applyAlignment="1">
      <alignment horizontal="right" vertical="top"/>
    </xf>
    <xf numFmtId="179" fontId="28" fillId="0" borderId="8" xfId="49" applyNumberFormat="1" applyFont="1" applyFill="1" applyBorder="1" applyAlignment="1">
      <alignment horizontal="right" vertical="top"/>
    </xf>
    <xf numFmtId="0" fontId="158" fillId="0" borderId="7" xfId="0" applyNumberFormat="1" applyFont="1" applyBorder="1"/>
    <xf numFmtId="0" fontId="28" fillId="0" borderId="0" xfId="49" applyFont="1" applyFill="1" applyBorder="1" applyAlignment="1">
      <alignment horizontal="center" vertical="center"/>
    </xf>
    <xf numFmtId="2" fontId="28" fillId="0" borderId="0" xfId="49" applyNumberFormat="1" applyFont="1" applyFill="1" applyBorder="1" applyAlignment="1">
      <alignment horizontal="right" vertical="center"/>
    </xf>
    <xf numFmtId="2" fontId="28" fillId="0" borderId="8" xfId="49" applyNumberFormat="1" applyFont="1" applyFill="1" applyBorder="1" applyAlignment="1">
      <alignment horizontal="right" vertical="center"/>
    </xf>
    <xf numFmtId="0" fontId="28" fillId="0" borderId="0" xfId="49" applyFont="1" applyFill="1" applyBorder="1" applyAlignment="1">
      <alignment horizontal="right" vertical="top"/>
    </xf>
    <xf numFmtId="0" fontId="28" fillId="0" borderId="0" xfId="49" applyFont="1" applyFill="1" applyBorder="1" applyAlignment="1">
      <alignment horizontal="center" vertical="top"/>
    </xf>
    <xf numFmtId="2" fontId="28" fillId="0" borderId="8" xfId="49" applyNumberFormat="1" applyFont="1" applyFill="1" applyBorder="1" applyAlignment="1">
      <alignment horizontal="right" vertical="top"/>
    </xf>
    <xf numFmtId="2" fontId="27" fillId="0" borderId="0" xfId="49" applyNumberFormat="1" applyFont="1" applyFill="1" applyBorder="1" applyAlignment="1">
      <alignment horizontal="center"/>
    </xf>
    <xf numFmtId="2" fontId="28" fillId="0" borderId="0" xfId="49" applyNumberFormat="1" applyFont="1" applyFill="1" applyBorder="1" applyAlignment="1">
      <alignment horizontal="right" vertical="top"/>
    </xf>
    <xf numFmtId="0" fontId="27" fillId="0" borderId="0" xfId="49" applyFont="1" applyFill="1" applyBorder="1" applyAlignment="1">
      <alignment horizontal="center" vertical="top"/>
    </xf>
    <xf numFmtId="0" fontId="27" fillId="0" borderId="0" xfId="49" applyFont="1" applyFill="1" applyBorder="1" applyAlignment="1">
      <alignment vertical="top"/>
    </xf>
    <xf numFmtId="0" fontId="28" fillId="0" borderId="0" xfId="49" applyFont="1" applyFill="1" applyBorder="1" applyAlignment="1">
      <alignment vertical="top"/>
    </xf>
    <xf numFmtId="179" fontId="157" fillId="0" borderId="8" xfId="49" applyNumberFormat="1" applyFont="1" applyFill="1" applyBorder="1" applyAlignment="1">
      <alignment horizontal="right" vertical="top"/>
    </xf>
    <xf numFmtId="0" fontId="52" fillId="0" borderId="0" xfId="49" applyFont="1" applyFill="1" applyBorder="1" applyAlignment="1">
      <alignment horizontal="center" vertical="top"/>
    </xf>
    <xf numFmtId="0" fontId="52" fillId="0" borderId="0" xfId="49" applyFont="1" applyFill="1" applyBorder="1" applyAlignment="1">
      <alignment vertical="top"/>
    </xf>
    <xf numFmtId="0" fontId="52" fillId="0" borderId="0" xfId="49" applyFont="1" applyFill="1" applyBorder="1" applyAlignment="1">
      <alignment horizontal="center" vertical="center"/>
    </xf>
    <xf numFmtId="0" fontId="52" fillId="0" borderId="0" xfId="49" applyFont="1" applyFill="1" applyBorder="1" applyAlignment="1">
      <alignment vertical="center"/>
    </xf>
    <xf numFmtId="0" fontId="158" fillId="0" borderId="9" xfId="0" applyNumberFormat="1" applyFont="1" applyBorder="1"/>
    <xf numFmtId="0" fontId="28" fillId="0" borderId="3" xfId="49" applyFont="1" applyFill="1" applyBorder="1" applyAlignment="1">
      <alignment horizontal="center" vertical="top"/>
    </xf>
    <xf numFmtId="2" fontId="28" fillId="0" borderId="3" xfId="49" applyNumberFormat="1" applyFont="1" applyFill="1" applyBorder="1" applyAlignment="1">
      <alignment horizontal="right" vertical="top"/>
    </xf>
    <xf numFmtId="2" fontId="28" fillId="0" borderId="10" xfId="49" applyNumberFormat="1" applyFont="1" applyFill="1" applyBorder="1" applyAlignment="1">
      <alignment horizontal="right" vertical="top"/>
    </xf>
    <xf numFmtId="0" fontId="158" fillId="0" borderId="0" xfId="0" applyNumberFormat="1" applyFont="1" applyBorder="1" applyAlignment="1">
      <alignment vertical="center" wrapText="1"/>
    </xf>
    <xf numFmtId="2" fontId="229" fillId="0" borderId="41" xfId="49" applyNumberFormat="1" applyFont="1" applyFill="1" applyBorder="1" applyAlignment="1">
      <alignment vertical="center"/>
    </xf>
    <xf numFmtId="2" fontId="229" fillId="0" borderId="16" xfId="49" applyNumberFormat="1" applyFont="1" applyFill="1" applyBorder="1" applyAlignment="1">
      <alignment vertical="center"/>
    </xf>
    <xf numFmtId="0" fontId="158" fillId="0" borderId="42" xfId="0" applyNumberFormat="1" applyFont="1" applyBorder="1" applyAlignment="1">
      <alignment horizontal="left" vertical="center" wrapText="1"/>
    </xf>
    <xf numFmtId="0" fontId="158" fillId="0" borderId="42" xfId="0" applyNumberFormat="1" applyFont="1" applyBorder="1" applyAlignment="1">
      <alignment vertical="center" wrapText="1"/>
    </xf>
    <xf numFmtId="2" fontId="229" fillId="0" borderId="40" xfId="49" applyNumberFormat="1" applyFont="1" applyFill="1" applyBorder="1" applyAlignment="1">
      <alignment vertical="center"/>
    </xf>
    <xf numFmtId="2" fontId="229" fillId="0" borderId="42" xfId="49" applyNumberFormat="1" applyFont="1" applyFill="1" applyBorder="1" applyAlignment="1">
      <alignment horizontal="right" vertical="center"/>
    </xf>
    <xf numFmtId="0" fontId="28" fillId="0" borderId="43" xfId="49" applyFont="1" applyFill="1" applyBorder="1" applyAlignment="1">
      <alignment horizontal="left" vertical="center" wrapText="1"/>
    </xf>
    <xf numFmtId="0" fontId="28" fillId="0" borderId="44" xfId="49" applyFont="1" applyFill="1" applyBorder="1" applyAlignment="1">
      <alignment horizontal="left" vertical="center" wrapText="1"/>
    </xf>
    <xf numFmtId="0" fontId="28" fillId="0" borderId="45" xfId="49" applyFont="1" applyFill="1" applyBorder="1" applyAlignment="1">
      <alignment horizontal="left" vertical="center" wrapText="1"/>
    </xf>
    <xf numFmtId="0" fontId="158" fillId="0" borderId="42" xfId="0" applyNumberFormat="1" applyFont="1" applyBorder="1" applyAlignment="1">
      <alignment horizontal="left" vertical="center"/>
    </xf>
    <xf numFmtId="2" fontId="28" fillId="0" borderId="42" xfId="49" applyNumberFormat="1" applyFont="1" applyFill="1" applyBorder="1" applyAlignment="1">
      <alignment horizontal="right" vertical="top"/>
    </xf>
    <xf numFmtId="0" fontId="158" fillId="0" borderId="42" xfId="0" applyNumberFormat="1" applyFont="1" applyBorder="1"/>
    <xf numFmtId="0" fontId="28" fillId="0" borderId="42" xfId="49" applyFont="1" applyFill="1" applyBorder="1" applyAlignment="1">
      <alignment horizontal="center" vertical="top"/>
    </xf>
    <xf numFmtId="171" fontId="160" fillId="0" borderId="0" xfId="0" applyFont="1" applyFill="1" applyBorder="1" applyAlignment="1">
      <alignment horizontal="center" vertical="center"/>
    </xf>
  </cellXfs>
  <cellStyles count="1305">
    <cellStyle name="20% - Accent1 10" xfId="58"/>
    <cellStyle name="20% - Accent1 10 2" xfId="59"/>
    <cellStyle name="20% - Accent1 11" xfId="60"/>
    <cellStyle name="20% - Accent1 2" xfId="61"/>
    <cellStyle name="20% - Accent1 2 2" xfId="62"/>
    <cellStyle name="20% - Accent1 2 3" xfId="63"/>
    <cellStyle name="20% - Accent1 3" xfId="64"/>
    <cellStyle name="20% - Accent1 3 2" xfId="65"/>
    <cellStyle name="20% - Accent1 3 3" xfId="66"/>
    <cellStyle name="20% - Accent1 4" xfId="67"/>
    <cellStyle name="20% - Accent1 4 2" xfId="68"/>
    <cellStyle name="20% - Accent1 4 3" xfId="69"/>
    <cellStyle name="20% - Accent1 5" xfId="70"/>
    <cellStyle name="20% - Accent1 5 2" xfId="71"/>
    <cellStyle name="20% - Accent1 5 3" xfId="72"/>
    <cellStyle name="20% - Accent1 6" xfId="73"/>
    <cellStyle name="20% - Accent1 6 2" xfId="74"/>
    <cellStyle name="20% - Accent1 6 3" xfId="75"/>
    <cellStyle name="20% - Accent1 7" xfId="76"/>
    <cellStyle name="20% - Accent1 7 2" xfId="77"/>
    <cellStyle name="20% - Accent1 7 3" xfId="78"/>
    <cellStyle name="20% - Accent1 8" xfId="79"/>
    <cellStyle name="20% - Accent1 8 2" xfId="80"/>
    <cellStyle name="20% - Accent1 8 3" xfId="81"/>
    <cellStyle name="20% - Accent1 9" xfId="82"/>
    <cellStyle name="20% - Accent1 9 2" xfId="83"/>
    <cellStyle name="20% - Accent1 9 3" xfId="84"/>
    <cellStyle name="20% - Accent2 10" xfId="85"/>
    <cellStyle name="20% - Accent2 10 2" xfId="86"/>
    <cellStyle name="20% - Accent2 11" xfId="87"/>
    <cellStyle name="20% - Accent2 2" xfId="88"/>
    <cellStyle name="20% - Accent2 2 2" xfId="89"/>
    <cellStyle name="20% - Accent2 2 3" xfId="90"/>
    <cellStyle name="20% - Accent2 3" xfId="91"/>
    <cellStyle name="20% - Accent2 3 2" xfId="92"/>
    <cellStyle name="20% - Accent2 3 3" xfId="93"/>
    <cellStyle name="20% - Accent2 4" xfId="94"/>
    <cellStyle name="20% - Accent2 4 2" xfId="95"/>
    <cellStyle name="20% - Accent2 4 3" xfId="96"/>
    <cellStyle name="20% - Accent2 5" xfId="97"/>
    <cellStyle name="20% - Accent2 5 2" xfId="98"/>
    <cellStyle name="20% - Accent2 5 3" xfId="99"/>
    <cellStyle name="20% - Accent2 6" xfId="100"/>
    <cellStyle name="20% - Accent2 6 2" xfId="101"/>
    <cellStyle name="20% - Accent2 6 3" xfId="102"/>
    <cellStyle name="20% - Accent2 7" xfId="103"/>
    <cellStyle name="20% - Accent2 7 2" xfId="104"/>
    <cellStyle name="20% - Accent2 7 3" xfId="105"/>
    <cellStyle name="20% - Accent2 8" xfId="106"/>
    <cellStyle name="20% - Accent2 8 2" xfId="107"/>
    <cellStyle name="20% - Accent2 8 3" xfId="108"/>
    <cellStyle name="20% - Accent2 9" xfId="109"/>
    <cellStyle name="20% - Accent2 9 2" xfId="110"/>
    <cellStyle name="20% - Accent2 9 3" xfId="111"/>
    <cellStyle name="20% - Accent3 10" xfId="112"/>
    <cellStyle name="20% - Accent3 10 2" xfId="113"/>
    <cellStyle name="20% - Accent3 11" xfId="114"/>
    <cellStyle name="20% - Accent3 2" xfId="115"/>
    <cellStyle name="20% - Accent3 2 2" xfId="116"/>
    <cellStyle name="20% - Accent3 2 3" xfId="117"/>
    <cellStyle name="20% - Accent3 3" xfId="118"/>
    <cellStyle name="20% - Accent3 3 2" xfId="119"/>
    <cellStyle name="20% - Accent3 3 3" xfId="120"/>
    <cellStyle name="20% - Accent3 4" xfId="121"/>
    <cellStyle name="20% - Accent3 4 2" xfId="122"/>
    <cellStyle name="20% - Accent3 4 3" xfId="123"/>
    <cellStyle name="20% - Accent3 5" xfId="124"/>
    <cellStyle name="20% - Accent3 5 2" xfId="125"/>
    <cellStyle name="20% - Accent3 5 3" xfId="126"/>
    <cellStyle name="20% - Accent3 6" xfId="127"/>
    <cellStyle name="20% - Accent3 6 2" xfId="128"/>
    <cellStyle name="20% - Accent3 6 3" xfId="129"/>
    <cellStyle name="20% - Accent3 7" xfId="130"/>
    <cellStyle name="20% - Accent3 7 2" xfId="131"/>
    <cellStyle name="20% - Accent3 7 3" xfId="132"/>
    <cellStyle name="20% - Accent3 8" xfId="133"/>
    <cellStyle name="20% - Accent3 8 2" xfId="134"/>
    <cellStyle name="20% - Accent3 8 3" xfId="135"/>
    <cellStyle name="20% - Accent3 9" xfId="136"/>
    <cellStyle name="20% - Accent3 9 2" xfId="137"/>
    <cellStyle name="20% - Accent3 9 3" xfId="138"/>
    <cellStyle name="20% - Accent4 10" xfId="139"/>
    <cellStyle name="20% - Accent4 10 2" xfId="140"/>
    <cellStyle name="20% - Accent4 11" xfId="141"/>
    <cellStyle name="20% - Accent4 2" xfId="142"/>
    <cellStyle name="20% - Accent4 2 2" xfId="143"/>
    <cellStyle name="20% - Accent4 2 3" xfId="144"/>
    <cellStyle name="20% - Accent4 3" xfId="145"/>
    <cellStyle name="20% - Accent4 3 2" xfId="146"/>
    <cellStyle name="20% - Accent4 3 3" xfId="147"/>
    <cellStyle name="20% - Accent4 4" xfId="148"/>
    <cellStyle name="20% - Accent4 4 2" xfId="149"/>
    <cellStyle name="20% - Accent4 4 3" xfId="150"/>
    <cellStyle name="20% - Accent4 5" xfId="151"/>
    <cellStyle name="20% - Accent4 5 2" xfId="152"/>
    <cellStyle name="20% - Accent4 5 3" xfId="153"/>
    <cellStyle name="20% - Accent4 6" xfId="154"/>
    <cellStyle name="20% - Accent4 6 2" xfId="155"/>
    <cellStyle name="20% - Accent4 6 3" xfId="156"/>
    <cellStyle name="20% - Accent4 7" xfId="157"/>
    <cellStyle name="20% - Accent4 7 2" xfId="158"/>
    <cellStyle name="20% - Accent4 7 3" xfId="159"/>
    <cellStyle name="20% - Accent4 8" xfId="160"/>
    <cellStyle name="20% - Accent4 8 2" xfId="161"/>
    <cellStyle name="20% - Accent4 8 3" xfId="162"/>
    <cellStyle name="20% - Accent4 9" xfId="163"/>
    <cellStyle name="20% - Accent4 9 2" xfId="164"/>
    <cellStyle name="20% - Accent4 9 3" xfId="165"/>
    <cellStyle name="20% - Accent5 10" xfId="166"/>
    <cellStyle name="20% - Accent5 10 2" xfId="167"/>
    <cellStyle name="20% - Accent5 11" xfId="168"/>
    <cellStyle name="20% - Accent5 2" xfId="169"/>
    <cellStyle name="20% - Accent5 2 2" xfId="170"/>
    <cellStyle name="20% - Accent5 2 3" xfId="171"/>
    <cellStyle name="20% - Accent5 3" xfId="172"/>
    <cellStyle name="20% - Accent5 3 2" xfId="173"/>
    <cellStyle name="20% - Accent5 3 3" xfId="174"/>
    <cellStyle name="20% - Accent5 4" xfId="175"/>
    <cellStyle name="20% - Accent5 4 2" xfId="176"/>
    <cellStyle name="20% - Accent5 4 3" xfId="177"/>
    <cellStyle name="20% - Accent5 5" xfId="178"/>
    <cellStyle name="20% - Accent5 5 2" xfId="179"/>
    <cellStyle name="20% - Accent5 5 3" xfId="180"/>
    <cellStyle name="20% - Accent5 6" xfId="181"/>
    <cellStyle name="20% - Accent5 6 2" xfId="182"/>
    <cellStyle name="20% - Accent5 6 3" xfId="183"/>
    <cellStyle name="20% - Accent5 7" xfId="184"/>
    <cellStyle name="20% - Accent5 7 2" xfId="185"/>
    <cellStyle name="20% - Accent5 7 3" xfId="186"/>
    <cellStyle name="20% - Accent5 8" xfId="187"/>
    <cellStyle name="20% - Accent5 8 2" xfId="188"/>
    <cellStyle name="20% - Accent5 8 3" xfId="189"/>
    <cellStyle name="20% - Accent5 9" xfId="190"/>
    <cellStyle name="20% - Accent5 9 2" xfId="191"/>
    <cellStyle name="20% - Accent5 9 3" xfId="192"/>
    <cellStyle name="20% - Accent6 10" xfId="193"/>
    <cellStyle name="20% - Accent6 10 2" xfId="194"/>
    <cellStyle name="20% - Accent6 11" xfId="195"/>
    <cellStyle name="20% - Accent6 2" xfId="196"/>
    <cellStyle name="20% - Accent6 2 2" xfId="197"/>
    <cellStyle name="20% - Accent6 2 3" xfId="198"/>
    <cellStyle name="20% - Accent6 3" xfId="199"/>
    <cellStyle name="20% - Accent6 3 2" xfId="200"/>
    <cellStyle name="20% - Accent6 3 3" xfId="201"/>
    <cellStyle name="20% - Accent6 4" xfId="202"/>
    <cellStyle name="20% - Accent6 4 2" xfId="203"/>
    <cellStyle name="20% - Accent6 4 3" xfId="204"/>
    <cellStyle name="20% - Accent6 5" xfId="205"/>
    <cellStyle name="20% - Accent6 5 2" xfId="206"/>
    <cellStyle name="20% - Accent6 5 3" xfId="207"/>
    <cellStyle name="20% - Accent6 6" xfId="208"/>
    <cellStyle name="20% - Accent6 6 2" xfId="209"/>
    <cellStyle name="20% - Accent6 6 3" xfId="210"/>
    <cellStyle name="20% - Accent6 7" xfId="211"/>
    <cellStyle name="20% - Accent6 7 2" xfId="212"/>
    <cellStyle name="20% - Accent6 7 3" xfId="213"/>
    <cellStyle name="20% - Accent6 8" xfId="214"/>
    <cellStyle name="20% - Accent6 8 2" xfId="215"/>
    <cellStyle name="20% - Accent6 8 3" xfId="216"/>
    <cellStyle name="20% - Accent6 9" xfId="217"/>
    <cellStyle name="20% - Accent6 9 2" xfId="218"/>
    <cellStyle name="20% - Accent6 9 3" xfId="219"/>
    <cellStyle name="40% - Accent1 10" xfId="220"/>
    <cellStyle name="40% - Accent1 10 2" xfId="221"/>
    <cellStyle name="40% - Accent1 11" xfId="222"/>
    <cellStyle name="40% - Accent1 2" xfId="223"/>
    <cellStyle name="40% - Accent1 2 2" xfId="224"/>
    <cellStyle name="40% - Accent1 2 3" xfId="225"/>
    <cellStyle name="40% - Accent1 3" xfId="226"/>
    <cellStyle name="40% - Accent1 3 2" xfId="227"/>
    <cellStyle name="40% - Accent1 3 3" xfId="228"/>
    <cellStyle name="40% - Accent1 4" xfId="229"/>
    <cellStyle name="40% - Accent1 4 2" xfId="230"/>
    <cellStyle name="40% - Accent1 4 3" xfId="231"/>
    <cellStyle name="40% - Accent1 5" xfId="232"/>
    <cellStyle name="40% - Accent1 5 2" xfId="233"/>
    <cellStyle name="40% - Accent1 5 3" xfId="234"/>
    <cellStyle name="40% - Accent1 6" xfId="235"/>
    <cellStyle name="40% - Accent1 6 2" xfId="236"/>
    <cellStyle name="40% - Accent1 6 3" xfId="237"/>
    <cellStyle name="40% - Accent1 7" xfId="238"/>
    <cellStyle name="40% - Accent1 7 2" xfId="239"/>
    <cellStyle name="40% - Accent1 7 3" xfId="240"/>
    <cellStyle name="40% - Accent1 8" xfId="241"/>
    <cellStyle name="40% - Accent1 8 2" xfId="242"/>
    <cellStyle name="40% - Accent1 8 3" xfId="243"/>
    <cellStyle name="40% - Accent1 9" xfId="244"/>
    <cellStyle name="40% - Accent1 9 2" xfId="245"/>
    <cellStyle name="40% - Accent1 9 3" xfId="246"/>
    <cellStyle name="40% - Accent2 10" xfId="247"/>
    <cellStyle name="40% - Accent2 10 2" xfId="248"/>
    <cellStyle name="40% - Accent2 11" xfId="249"/>
    <cellStyle name="40% - Accent2 2" xfId="250"/>
    <cellStyle name="40% - Accent2 2 2" xfId="251"/>
    <cellStyle name="40% - Accent2 2 3" xfId="252"/>
    <cellStyle name="40% - Accent2 3" xfId="253"/>
    <cellStyle name="40% - Accent2 3 2" xfId="254"/>
    <cellStyle name="40% - Accent2 3 3" xfId="255"/>
    <cellStyle name="40% - Accent2 4" xfId="256"/>
    <cellStyle name="40% - Accent2 4 2" xfId="257"/>
    <cellStyle name="40% - Accent2 4 3" xfId="258"/>
    <cellStyle name="40% - Accent2 5" xfId="259"/>
    <cellStyle name="40% - Accent2 5 2" xfId="260"/>
    <cellStyle name="40% - Accent2 5 3" xfId="261"/>
    <cellStyle name="40% - Accent2 6" xfId="262"/>
    <cellStyle name="40% - Accent2 6 2" xfId="263"/>
    <cellStyle name="40% - Accent2 6 3" xfId="264"/>
    <cellStyle name="40% - Accent2 7" xfId="265"/>
    <cellStyle name="40% - Accent2 7 2" xfId="266"/>
    <cellStyle name="40% - Accent2 7 3" xfId="267"/>
    <cellStyle name="40% - Accent2 8" xfId="268"/>
    <cellStyle name="40% - Accent2 8 2" xfId="269"/>
    <cellStyle name="40% - Accent2 8 3" xfId="270"/>
    <cellStyle name="40% - Accent2 9" xfId="271"/>
    <cellStyle name="40% - Accent2 9 2" xfId="272"/>
    <cellStyle name="40% - Accent2 9 3" xfId="273"/>
    <cellStyle name="40% - Accent3 10" xfId="274"/>
    <cellStyle name="40% - Accent3 10 2" xfId="275"/>
    <cellStyle name="40% - Accent3 11" xfId="276"/>
    <cellStyle name="40% - Accent3 2" xfId="277"/>
    <cellStyle name="40% - Accent3 2 2" xfId="278"/>
    <cellStyle name="40% - Accent3 2 3" xfId="279"/>
    <cellStyle name="40% - Accent3 3" xfId="280"/>
    <cellStyle name="40% - Accent3 3 2" xfId="281"/>
    <cellStyle name="40% - Accent3 3 3" xfId="282"/>
    <cellStyle name="40% - Accent3 4" xfId="283"/>
    <cellStyle name="40% - Accent3 4 2" xfId="284"/>
    <cellStyle name="40% - Accent3 4 3" xfId="285"/>
    <cellStyle name="40% - Accent3 5" xfId="286"/>
    <cellStyle name="40% - Accent3 5 2" xfId="287"/>
    <cellStyle name="40% - Accent3 5 3" xfId="288"/>
    <cellStyle name="40% - Accent3 6" xfId="289"/>
    <cellStyle name="40% - Accent3 6 2" xfId="290"/>
    <cellStyle name="40% - Accent3 6 3" xfId="291"/>
    <cellStyle name="40% - Accent3 7" xfId="292"/>
    <cellStyle name="40% - Accent3 7 2" xfId="293"/>
    <cellStyle name="40% - Accent3 7 3" xfId="294"/>
    <cellStyle name="40% - Accent3 8" xfId="295"/>
    <cellStyle name="40% - Accent3 8 2" xfId="296"/>
    <cellStyle name="40% - Accent3 8 3" xfId="297"/>
    <cellStyle name="40% - Accent3 9" xfId="298"/>
    <cellStyle name="40% - Accent3 9 2" xfId="299"/>
    <cellStyle name="40% - Accent3 9 3" xfId="300"/>
    <cellStyle name="40% - Accent4 10" xfId="301"/>
    <cellStyle name="40% - Accent4 10 2" xfId="302"/>
    <cellStyle name="40% - Accent4 11" xfId="303"/>
    <cellStyle name="40% - Accent4 2" xfId="304"/>
    <cellStyle name="40% - Accent4 2 2" xfId="305"/>
    <cellStyle name="40% - Accent4 2 3" xfId="306"/>
    <cellStyle name="40% - Accent4 3" xfId="307"/>
    <cellStyle name="40% - Accent4 3 2" xfId="308"/>
    <cellStyle name="40% - Accent4 3 3" xfId="309"/>
    <cellStyle name="40% - Accent4 4" xfId="310"/>
    <cellStyle name="40% - Accent4 4 2" xfId="311"/>
    <cellStyle name="40% - Accent4 4 3" xfId="312"/>
    <cellStyle name="40% - Accent4 5" xfId="313"/>
    <cellStyle name="40% - Accent4 5 2" xfId="314"/>
    <cellStyle name="40% - Accent4 5 3" xfId="315"/>
    <cellStyle name="40% - Accent4 6" xfId="316"/>
    <cellStyle name="40% - Accent4 6 2" xfId="317"/>
    <cellStyle name="40% - Accent4 6 3" xfId="318"/>
    <cellStyle name="40% - Accent4 7" xfId="319"/>
    <cellStyle name="40% - Accent4 7 2" xfId="320"/>
    <cellStyle name="40% - Accent4 7 3" xfId="321"/>
    <cellStyle name="40% - Accent4 8" xfId="322"/>
    <cellStyle name="40% - Accent4 8 2" xfId="323"/>
    <cellStyle name="40% - Accent4 8 3" xfId="324"/>
    <cellStyle name="40% - Accent4 9" xfId="325"/>
    <cellStyle name="40% - Accent4 9 2" xfId="326"/>
    <cellStyle name="40% - Accent4 9 3" xfId="327"/>
    <cellStyle name="40% - Accent5 10" xfId="328"/>
    <cellStyle name="40% - Accent5 10 2" xfId="329"/>
    <cellStyle name="40% - Accent5 11" xfId="330"/>
    <cellStyle name="40% - Accent5 2" xfId="331"/>
    <cellStyle name="40% - Accent5 2 2" xfId="332"/>
    <cellStyle name="40% - Accent5 2 3" xfId="333"/>
    <cellStyle name="40% - Accent5 3" xfId="334"/>
    <cellStyle name="40% - Accent5 3 2" xfId="335"/>
    <cellStyle name="40% - Accent5 3 3" xfId="336"/>
    <cellStyle name="40% - Accent5 4" xfId="337"/>
    <cellStyle name="40% - Accent5 4 2" xfId="338"/>
    <cellStyle name="40% - Accent5 4 3" xfId="339"/>
    <cellStyle name="40% - Accent5 5" xfId="340"/>
    <cellStyle name="40% - Accent5 5 2" xfId="341"/>
    <cellStyle name="40% - Accent5 5 3" xfId="342"/>
    <cellStyle name="40% - Accent5 6" xfId="343"/>
    <cellStyle name="40% - Accent5 6 2" xfId="344"/>
    <cellStyle name="40% - Accent5 6 3" xfId="345"/>
    <cellStyle name="40% - Accent5 7" xfId="346"/>
    <cellStyle name="40% - Accent5 7 2" xfId="347"/>
    <cellStyle name="40% - Accent5 7 3" xfId="348"/>
    <cellStyle name="40% - Accent5 8" xfId="349"/>
    <cellStyle name="40% - Accent5 8 2" xfId="350"/>
    <cellStyle name="40% - Accent5 8 3" xfId="351"/>
    <cellStyle name="40% - Accent5 9" xfId="352"/>
    <cellStyle name="40% - Accent5 9 2" xfId="353"/>
    <cellStyle name="40% - Accent5 9 3" xfId="354"/>
    <cellStyle name="40% - Accent6 10" xfId="355"/>
    <cellStyle name="40% - Accent6 10 2" xfId="356"/>
    <cellStyle name="40% - Accent6 11" xfId="357"/>
    <cellStyle name="40% - Accent6 2" xfId="358"/>
    <cellStyle name="40% - Accent6 2 2" xfId="359"/>
    <cellStyle name="40% - Accent6 2 3" xfId="360"/>
    <cellStyle name="40% - Accent6 3" xfId="361"/>
    <cellStyle name="40% - Accent6 3 2" xfId="362"/>
    <cellStyle name="40% - Accent6 3 3" xfId="363"/>
    <cellStyle name="40% - Accent6 4" xfId="364"/>
    <cellStyle name="40% - Accent6 4 2" xfId="365"/>
    <cellStyle name="40% - Accent6 4 3" xfId="366"/>
    <cellStyle name="40% - Accent6 5" xfId="367"/>
    <cellStyle name="40% - Accent6 5 2" xfId="368"/>
    <cellStyle name="40% - Accent6 5 3" xfId="369"/>
    <cellStyle name="40% - Accent6 6" xfId="370"/>
    <cellStyle name="40% - Accent6 6 2" xfId="371"/>
    <cellStyle name="40% - Accent6 6 3" xfId="372"/>
    <cellStyle name="40% - Accent6 7" xfId="373"/>
    <cellStyle name="40% - Accent6 7 2" xfId="374"/>
    <cellStyle name="40% - Accent6 7 3" xfId="375"/>
    <cellStyle name="40% - Accent6 8" xfId="376"/>
    <cellStyle name="40% - Accent6 8 2" xfId="377"/>
    <cellStyle name="40% - Accent6 8 3" xfId="378"/>
    <cellStyle name="40% - Accent6 9" xfId="379"/>
    <cellStyle name="40% - Accent6 9 2" xfId="380"/>
    <cellStyle name="40% - Accent6 9 3" xfId="381"/>
    <cellStyle name="60% - Accent1 10" xfId="382"/>
    <cellStyle name="60% - Accent1 10 2" xfId="383"/>
    <cellStyle name="60% - Accent1 11" xfId="384"/>
    <cellStyle name="60% - Accent1 2" xfId="385"/>
    <cellStyle name="60% - Accent1 2 2" xfId="386"/>
    <cellStyle name="60% - Accent1 2 3" xfId="387"/>
    <cellStyle name="60% - Accent1 3" xfId="388"/>
    <cellStyle name="60% - Accent1 3 2" xfId="389"/>
    <cellStyle name="60% - Accent1 3 3" xfId="390"/>
    <cellStyle name="60% - Accent1 4" xfId="391"/>
    <cellStyle name="60% - Accent1 4 2" xfId="392"/>
    <cellStyle name="60% - Accent1 4 3" xfId="393"/>
    <cellStyle name="60% - Accent1 5" xfId="394"/>
    <cellStyle name="60% - Accent1 5 2" xfId="395"/>
    <cellStyle name="60% - Accent1 5 3" xfId="396"/>
    <cellStyle name="60% - Accent1 6" xfId="397"/>
    <cellStyle name="60% - Accent1 6 2" xfId="398"/>
    <cellStyle name="60% - Accent1 6 3" xfId="399"/>
    <cellStyle name="60% - Accent1 7" xfId="400"/>
    <cellStyle name="60% - Accent1 7 2" xfId="401"/>
    <cellStyle name="60% - Accent1 7 3" xfId="402"/>
    <cellStyle name="60% - Accent1 8" xfId="403"/>
    <cellStyle name="60% - Accent1 8 2" xfId="404"/>
    <cellStyle name="60% - Accent1 8 3" xfId="405"/>
    <cellStyle name="60% - Accent1 9" xfId="406"/>
    <cellStyle name="60% - Accent1 9 2" xfId="407"/>
    <cellStyle name="60% - Accent1 9 3" xfId="408"/>
    <cellStyle name="60% - Accent2 10" xfId="409"/>
    <cellStyle name="60% - Accent2 10 2" xfId="410"/>
    <cellStyle name="60% - Accent2 11" xfId="411"/>
    <cellStyle name="60% - Accent2 2" xfId="412"/>
    <cellStyle name="60% - Accent2 2 2" xfId="413"/>
    <cellStyle name="60% - Accent2 2 3" xfId="414"/>
    <cellStyle name="60% - Accent2 3" xfId="415"/>
    <cellStyle name="60% - Accent2 3 2" xfId="416"/>
    <cellStyle name="60% - Accent2 3 3" xfId="417"/>
    <cellStyle name="60% - Accent2 4" xfId="418"/>
    <cellStyle name="60% - Accent2 4 2" xfId="419"/>
    <cellStyle name="60% - Accent2 4 3" xfId="420"/>
    <cellStyle name="60% - Accent2 5" xfId="421"/>
    <cellStyle name="60% - Accent2 5 2" xfId="422"/>
    <cellStyle name="60% - Accent2 5 3" xfId="423"/>
    <cellStyle name="60% - Accent2 6" xfId="424"/>
    <cellStyle name="60% - Accent2 6 2" xfId="425"/>
    <cellStyle name="60% - Accent2 6 3" xfId="426"/>
    <cellStyle name="60% - Accent2 7" xfId="427"/>
    <cellStyle name="60% - Accent2 7 2" xfId="428"/>
    <cellStyle name="60% - Accent2 7 3" xfId="429"/>
    <cellStyle name="60% - Accent2 8" xfId="430"/>
    <cellStyle name="60% - Accent2 8 2" xfId="431"/>
    <cellStyle name="60% - Accent2 8 3" xfId="432"/>
    <cellStyle name="60% - Accent2 9" xfId="433"/>
    <cellStyle name="60% - Accent2 9 2" xfId="434"/>
    <cellStyle name="60% - Accent2 9 3" xfId="435"/>
    <cellStyle name="60% - Accent3 10" xfId="436"/>
    <cellStyle name="60% - Accent3 10 2" xfId="437"/>
    <cellStyle name="60% - Accent3 11" xfId="438"/>
    <cellStyle name="60% - Accent3 2" xfId="439"/>
    <cellStyle name="60% - Accent3 2 2" xfId="440"/>
    <cellStyle name="60% - Accent3 2 3" xfId="441"/>
    <cellStyle name="60% - Accent3 3" xfId="442"/>
    <cellStyle name="60% - Accent3 3 2" xfId="443"/>
    <cellStyle name="60% - Accent3 3 3" xfId="444"/>
    <cellStyle name="60% - Accent3 4" xfId="445"/>
    <cellStyle name="60% - Accent3 4 2" xfId="446"/>
    <cellStyle name="60% - Accent3 4 3" xfId="447"/>
    <cellStyle name="60% - Accent3 5" xfId="448"/>
    <cellStyle name="60% - Accent3 5 2" xfId="449"/>
    <cellStyle name="60% - Accent3 5 3" xfId="450"/>
    <cellStyle name="60% - Accent3 6" xfId="451"/>
    <cellStyle name="60% - Accent3 6 2" xfId="452"/>
    <cellStyle name="60% - Accent3 6 3" xfId="453"/>
    <cellStyle name="60% - Accent3 7" xfId="454"/>
    <cellStyle name="60% - Accent3 7 2" xfId="455"/>
    <cellStyle name="60% - Accent3 7 3" xfId="456"/>
    <cellStyle name="60% - Accent3 8" xfId="457"/>
    <cellStyle name="60% - Accent3 8 2" xfId="458"/>
    <cellStyle name="60% - Accent3 8 3" xfId="459"/>
    <cellStyle name="60% - Accent3 9" xfId="460"/>
    <cellStyle name="60% - Accent3 9 2" xfId="461"/>
    <cellStyle name="60% - Accent3 9 3" xfId="462"/>
    <cellStyle name="60% - Accent4 10" xfId="463"/>
    <cellStyle name="60% - Accent4 10 2" xfId="464"/>
    <cellStyle name="60% - Accent4 11" xfId="465"/>
    <cellStyle name="60% - Accent4 2" xfId="466"/>
    <cellStyle name="60% - Accent4 2 2" xfId="467"/>
    <cellStyle name="60% - Accent4 2 3" xfId="468"/>
    <cellStyle name="60% - Accent4 3" xfId="469"/>
    <cellStyle name="60% - Accent4 3 2" xfId="470"/>
    <cellStyle name="60% - Accent4 3 3" xfId="471"/>
    <cellStyle name="60% - Accent4 4" xfId="472"/>
    <cellStyle name="60% - Accent4 4 2" xfId="473"/>
    <cellStyle name="60% - Accent4 4 3" xfId="474"/>
    <cellStyle name="60% - Accent4 5" xfId="475"/>
    <cellStyle name="60% - Accent4 5 2" xfId="476"/>
    <cellStyle name="60% - Accent4 5 3" xfId="477"/>
    <cellStyle name="60% - Accent4 6" xfId="478"/>
    <cellStyle name="60% - Accent4 6 2" xfId="479"/>
    <cellStyle name="60% - Accent4 6 3" xfId="480"/>
    <cellStyle name="60% - Accent4 7" xfId="481"/>
    <cellStyle name="60% - Accent4 7 2" xfId="482"/>
    <cellStyle name="60% - Accent4 7 3" xfId="483"/>
    <cellStyle name="60% - Accent4 8" xfId="484"/>
    <cellStyle name="60% - Accent4 8 2" xfId="485"/>
    <cellStyle name="60% - Accent4 8 3" xfId="486"/>
    <cellStyle name="60% - Accent4 9" xfId="487"/>
    <cellStyle name="60% - Accent4 9 2" xfId="488"/>
    <cellStyle name="60% - Accent4 9 3" xfId="489"/>
    <cellStyle name="60% - Accent5 10" xfId="490"/>
    <cellStyle name="60% - Accent5 10 2" xfId="491"/>
    <cellStyle name="60% - Accent5 11" xfId="492"/>
    <cellStyle name="60% - Accent5 2" xfId="493"/>
    <cellStyle name="60% - Accent5 2 2" xfId="494"/>
    <cellStyle name="60% - Accent5 2 3" xfId="495"/>
    <cellStyle name="60% - Accent5 3" xfId="496"/>
    <cellStyle name="60% - Accent5 3 2" xfId="497"/>
    <cellStyle name="60% - Accent5 3 3" xfId="498"/>
    <cellStyle name="60% - Accent5 4" xfId="499"/>
    <cellStyle name="60% - Accent5 4 2" xfId="500"/>
    <cellStyle name="60% - Accent5 4 3" xfId="501"/>
    <cellStyle name="60% - Accent5 5" xfId="502"/>
    <cellStyle name="60% - Accent5 5 2" xfId="503"/>
    <cellStyle name="60% - Accent5 5 3" xfId="504"/>
    <cellStyle name="60% - Accent5 6" xfId="505"/>
    <cellStyle name="60% - Accent5 6 2" xfId="506"/>
    <cellStyle name="60% - Accent5 6 3" xfId="507"/>
    <cellStyle name="60% - Accent5 7" xfId="508"/>
    <cellStyle name="60% - Accent5 7 2" xfId="509"/>
    <cellStyle name="60% - Accent5 7 3" xfId="510"/>
    <cellStyle name="60% - Accent5 8" xfId="511"/>
    <cellStyle name="60% - Accent5 8 2" xfId="512"/>
    <cellStyle name="60% - Accent5 8 3" xfId="513"/>
    <cellStyle name="60% - Accent5 9" xfId="514"/>
    <cellStyle name="60% - Accent5 9 2" xfId="515"/>
    <cellStyle name="60% - Accent5 9 3" xfId="516"/>
    <cellStyle name="60% - Accent6 10" xfId="517"/>
    <cellStyle name="60% - Accent6 10 2" xfId="518"/>
    <cellStyle name="60% - Accent6 11" xfId="519"/>
    <cellStyle name="60% - Accent6 2" xfId="520"/>
    <cellStyle name="60% - Accent6 2 2" xfId="521"/>
    <cellStyle name="60% - Accent6 2 3" xfId="522"/>
    <cellStyle name="60% - Accent6 3" xfId="523"/>
    <cellStyle name="60% - Accent6 3 2" xfId="524"/>
    <cellStyle name="60% - Accent6 3 3" xfId="525"/>
    <cellStyle name="60% - Accent6 4" xfId="526"/>
    <cellStyle name="60% - Accent6 4 2" xfId="527"/>
    <cellStyle name="60% - Accent6 4 3" xfId="528"/>
    <cellStyle name="60% - Accent6 5" xfId="529"/>
    <cellStyle name="60% - Accent6 5 2" xfId="530"/>
    <cellStyle name="60% - Accent6 5 3" xfId="531"/>
    <cellStyle name="60% - Accent6 6" xfId="532"/>
    <cellStyle name="60% - Accent6 6 2" xfId="533"/>
    <cellStyle name="60% - Accent6 6 3" xfId="534"/>
    <cellStyle name="60% - Accent6 7" xfId="535"/>
    <cellStyle name="60% - Accent6 7 2" xfId="536"/>
    <cellStyle name="60% - Accent6 7 3" xfId="537"/>
    <cellStyle name="60% - Accent6 8" xfId="538"/>
    <cellStyle name="60% - Accent6 8 2" xfId="539"/>
    <cellStyle name="60% - Accent6 8 3" xfId="540"/>
    <cellStyle name="60% - Accent6 9" xfId="541"/>
    <cellStyle name="60% - Accent6 9 2" xfId="542"/>
    <cellStyle name="60% - Accent6 9 3" xfId="543"/>
    <cellStyle name="Accent1 10" xfId="544"/>
    <cellStyle name="Accent1 10 2" xfId="545"/>
    <cellStyle name="Accent1 11" xfId="546"/>
    <cellStyle name="Accent1 2" xfId="547"/>
    <cellStyle name="Accent1 2 2" xfId="548"/>
    <cellStyle name="Accent1 2 3" xfId="549"/>
    <cellStyle name="Accent1 3" xfId="550"/>
    <cellStyle name="Accent1 3 2" xfId="551"/>
    <cellStyle name="Accent1 3 3" xfId="552"/>
    <cellStyle name="Accent1 4" xfId="553"/>
    <cellStyle name="Accent1 4 2" xfId="554"/>
    <cellStyle name="Accent1 4 3" xfId="555"/>
    <cellStyle name="Accent1 5" xfId="556"/>
    <cellStyle name="Accent1 5 2" xfId="557"/>
    <cellStyle name="Accent1 5 3" xfId="558"/>
    <cellStyle name="Accent1 6" xfId="559"/>
    <cellStyle name="Accent1 6 2" xfId="560"/>
    <cellStyle name="Accent1 6 3" xfId="561"/>
    <cellStyle name="Accent1 7" xfId="562"/>
    <cellStyle name="Accent1 7 2" xfId="563"/>
    <cellStyle name="Accent1 7 3" xfId="564"/>
    <cellStyle name="Accent1 8" xfId="565"/>
    <cellStyle name="Accent1 8 2" xfId="566"/>
    <cellStyle name="Accent1 8 3" xfId="567"/>
    <cellStyle name="Accent1 9" xfId="568"/>
    <cellStyle name="Accent1 9 2" xfId="569"/>
    <cellStyle name="Accent1 9 3" xfId="570"/>
    <cellStyle name="Accent2 10" xfId="571"/>
    <cellStyle name="Accent2 10 2" xfId="572"/>
    <cellStyle name="Accent2 11" xfId="573"/>
    <cellStyle name="Accent2 2" xfId="574"/>
    <cellStyle name="Accent2 2 2" xfId="575"/>
    <cellStyle name="Accent2 2 3" xfId="576"/>
    <cellStyle name="Accent2 3" xfId="577"/>
    <cellStyle name="Accent2 3 2" xfId="578"/>
    <cellStyle name="Accent2 3 3" xfId="579"/>
    <cellStyle name="Accent2 4" xfId="580"/>
    <cellStyle name="Accent2 4 2" xfId="581"/>
    <cellStyle name="Accent2 4 3" xfId="582"/>
    <cellStyle name="Accent2 5" xfId="583"/>
    <cellStyle name="Accent2 5 2" xfId="584"/>
    <cellStyle name="Accent2 5 3" xfId="585"/>
    <cellStyle name="Accent2 6" xfId="586"/>
    <cellStyle name="Accent2 6 2" xfId="587"/>
    <cellStyle name="Accent2 6 3" xfId="588"/>
    <cellStyle name="Accent2 7" xfId="589"/>
    <cellStyle name="Accent2 7 2" xfId="590"/>
    <cellStyle name="Accent2 7 3" xfId="591"/>
    <cellStyle name="Accent2 8" xfId="592"/>
    <cellStyle name="Accent2 8 2" xfId="593"/>
    <cellStyle name="Accent2 8 3" xfId="594"/>
    <cellStyle name="Accent2 9" xfId="595"/>
    <cellStyle name="Accent2 9 2" xfId="596"/>
    <cellStyle name="Accent2 9 3" xfId="597"/>
    <cellStyle name="Accent3 10" xfId="598"/>
    <cellStyle name="Accent3 10 2" xfId="599"/>
    <cellStyle name="Accent3 11" xfId="600"/>
    <cellStyle name="Accent3 2" xfId="601"/>
    <cellStyle name="Accent3 2 2" xfId="602"/>
    <cellStyle name="Accent3 2 3" xfId="603"/>
    <cellStyle name="Accent3 3" xfId="604"/>
    <cellStyle name="Accent3 3 2" xfId="605"/>
    <cellStyle name="Accent3 3 3" xfId="606"/>
    <cellStyle name="Accent3 4" xfId="607"/>
    <cellStyle name="Accent3 4 2" xfId="608"/>
    <cellStyle name="Accent3 4 3" xfId="609"/>
    <cellStyle name="Accent3 5" xfId="610"/>
    <cellStyle name="Accent3 5 2" xfId="611"/>
    <cellStyle name="Accent3 5 3" xfId="612"/>
    <cellStyle name="Accent3 6" xfId="613"/>
    <cellStyle name="Accent3 6 2" xfId="614"/>
    <cellStyle name="Accent3 6 3" xfId="615"/>
    <cellStyle name="Accent3 7" xfId="616"/>
    <cellStyle name="Accent3 7 2" xfId="617"/>
    <cellStyle name="Accent3 7 3" xfId="618"/>
    <cellStyle name="Accent3 8" xfId="619"/>
    <cellStyle name="Accent3 8 2" xfId="620"/>
    <cellStyle name="Accent3 8 3" xfId="621"/>
    <cellStyle name="Accent3 9" xfId="622"/>
    <cellStyle name="Accent3 9 2" xfId="623"/>
    <cellStyle name="Accent3 9 3" xfId="624"/>
    <cellStyle name="Accent4 10" xfId="625"/>
    <cellStyle name="Accent4 10 2" xfId="626"/>
    <cellStyle name="Accent4 11" xfId="627"/>
    <cellStyle name="Accent4 2" xfId="628"/>
    <cellStyle name="Accent4 2 2" xfId="629"/>
    <cellStyle name="Accent4 2 3" xfId="630"/>
    <cellStyle name="Accent4 3" xfId="631"/>
    <cellStyle name="Accent4 3 2" xfId="632"/>
    <cellStyle name="Accent4 3 3" xfId="633"/>
    <cellStyle name="Accent4 4" xfId="634"/>
    <cellStyle name="Accent4 4 2" xfId="635"/>
    <cellStyle name="Accent4 4 3" xfId="636"/>
    <cellStyle name="Accent4 5" xfId="637"/>
    <cellStyle name="Accent4 5 2" xfId="638"/>
    <cellStyle name="Accent4 5 3" xfId="639"/>
    <cellStyle name="Accent4 6" xfId="640"/>
    <cellStyle name="Accent4 6 2" xfId="641"/>
    <cellStyle name="Accent4 6 3" xfId="642"/>
    <cellStyle name="Accent4 7" xfId="643"/>
    <cellStyle name="Accent4 7 2" xfId="644"/>
    <cellStyle name="Accent4 7 3" xfId="645"/>
    <cellStyle name="Accent4 8" xfId="646"/>
    <cellStyle name="Accent4 8 2" xfId="647"/>
    <cellStyle name="Accent4 8 3" xfId="648"/>
    <cellStyle name="Accent4 9" xfId="649"/>
    <cellStyle name="Accent4 9 2" xfId="650"/>
    <cellStyle name="Accent4 9 3" xfId="651"/>
    <cellStyle name="Accent5 10" xfId="652"/>
    <cellStyle name="Accent5 10 2" xfId="653"/>
    <cellStyle name="Accent5 11" xfId="654"/>
    <cellStyle name="Accent5 2" xfId="655"/>
    <cellStyle name="Accent5 2 2" xfId="656"/>
    <cellStyle name="Accent5 2 3" xfId="657"/>
    <cellStyle name="Accent5 3" xfId="658"/>
    <cellStyle name="Accent5 3 2" xfId="659"/>
    <cellStyle name="Accent5 3 3" xfId="660"/>
    <cellStyle name="Accent5 4" xfId="661"/>
    <cellStyle name="Accent5 4 2" xfId="662"/>
    <cellStyle name="Accent5 4 3" xfId="663"/>
    <cellStyle name="Accent5 5" xfId="664"/>
    <cellStyle name="Accent5 5 2" xfId="665"/>
    <cellStyle name="Accent5 5 3" xfId="666"/>
    <cellStyle name="Accent5 6" xfId="667"/>
    <cellStyle name="Accent5 6 2" xfId="668"/>
    <cellStyle name="Accent5 6 3" xfId="669"/>
    <cellStyle name="Accent5 7" xfId="670"/>
    <cellStyle name="Accent5 7 2" xfId="671"/>
    <cellStyle name="Accent5 7 3" xfId="672"/>
    <cellStyle name="Accent5 8" xfId="673"/>
    <cellStyle name="Accent5 8 2" xfId="674"/>
    <cellStyle name="Accent5 8 3" xfId="675"/>
    <cellStyle name="Accent5 9" xfId="676"/>
    <cellStyle name="Accent5 9 2" xfId="677"/>
    <cellStyle name="Accent5 9 3" xfId="678"/>
    <cellStyle name="Accent6 10" xfId="679"/>
    <cellStyle name="Accent6 10 2" xfId="680"/>
    <cellStyle name="Accent6 11" xfId="681"/>
    <cellStyle name="Accent6 2" xfId="682"/>
    <cellStyle name="Accent6 2 2" xfId="683"/>
    <cellStyle name="Accent6 2 3" xfId="684"/>
    <cellStyle name="Accent6 3" xfId="685"/>
    <cellStyle name="Accent6 3 2" xfId="686"/>
    <cellStyle name="Accent6 3 3" xfId="687"/>
    <cellStyle name="Accent6 4" xfId="688"/>
    <cellStyle name="Accent6 4 2" xfId="689"/>
    <cellStyle name="Accent6 4 3" xfId="690"/>
    <cellStyle name="Accent6 5" xfId="691"/>
    <cellStyle name="Accent6 5 2" xfId="692"/>
    <cellStyle name="Accent6 5 3" xfId="693"/>
    <cellStyle name="Accent6 6" xfId="694"/>
    <cellStyle name="Accent6 6 2" xfId="695"/>
    <cellStyle name="Accent6 6 3" xfId="696"/>
    <cellStyle name="Accent6 7" xfId="697"/>
    <cellStyle name="Accent6 7 2" xfId="698"/>
    <cellStyle name="Accent6 7 3" xfId="699"/>
    <cellStyle name="Accent6 8" xfId="700"/>
    <cellStyle name="Accent6 8 2" xfId="701"/>
    <cellStyle name="Accent6 8 3" xfId="702"/>
    <cellStyle name="Accent6 9" xfId="703"/>
    <cellStyle name="Accent6 9 2" xfId="704"/>
    <cellStyle name="Accent6 9 3" xfId="705"/>
    <cellStyle name="Bad 10" xfId="706"/>
    <cellStyle name="Bad 10 2" xfId="707"/>
    <cellStyle name="Bad 11" xfId="708"/>
    <cellStyle name="Bad 2" xfId="709"/>
    <cellStyle name="Bad 2 2" xfId="710"/>
    <cellStyle name="Bad 2 3" xfId="711"/>
    <cellStyle name="Bad 3" xfId="712"/>
    <cellStyle name="Bad 3 2" xfId="713"/>
    <cellStyle name="Bad 3 3" xfId="714"/>
    <cellStyle name="Bad 4" xfId="715"/>
    <cellStyle name="Bad 4 2" xfId="716"/>
    <cellStyle name="Bad 4 3" xfId="717"/>
    <cellStyle name="Bad 5" xfId="718"/>
    <cellStyle name="Bad 5 2" xfId="719"/>
    <cellStyle name="Bad 5 3" xfId="720"/>
    <cellStyle name="Bad 6" xfId="721"/>
    <cellStyle name="Bad 6 2" xfId="722"/>
    <cellStyle name="Bad 6 3" xfId="723"/>
    <cellStyle name="Bad 7" xfId="724"/>
    <cellStyle name="Bad 7 2" xfId="725"/>
    <cellStyle name="Bad 7 3" xfId="726"/>
    <cellStyle name="Bad 8" xfId="727"/>
    <cellStyle name="Bad 8 2" xfId="728"/>
    <cellStyle name="Bad 8 3" xfId="729"/>
    <cellStyle name="Bad 9" xfId="730"/>
    <cellStyle name="Bad 9 2" xfId="731"/>
    <cellStyle name="Bad 9 3" xfId="732"/>
    <cellStyle name="Calculation 10" xfId="733"/>
    <cellStyle name="Calculation 10 2" xfId="734"/>
    <cellStyle name="Calculation 11" xfId="735"/>
    <cellStyle name="Calculation 2" xfId="736"/>
    <cellStyle name="Calculation 2 2" xfId="737"/>
    <cellStyle name="Calculation 2 3" xfId="738"/>
    <cellStyle name="Calculation 3" xfId="739"/>
    <cellStyle name="Calculation 3 2" xfId="740"/>
    <cellStyle name="Calculation 3 3" xfId="741"/>
    <cellStyle name="Calculation 4" xfId="742"/>
    <cellStyle name="Calculation 4 2" xfId="743"/>
    <cellStyle name="Calculation 4 3" xfId="744"/>
    <cellStyle name="Calculation 5" xfId="745"/>
    <cellStyle name="Calculation 5 2" xfId="746"/>
    <cellStyle name="Calculation 5 3" xfId="747"/>
    <cellStyle name="Calculation 6" xfId="748"/>
    <cellStyle name="Calculation 6 2" xfId="749"/>
    <cellStyle name="Calculation 6 3" xfId="750"/>
    <cellStyle name="Calculation 7" xfId="751"/>
    <cellStyle name="Calculation 7 2" xfId="752"/>
    <cellStyle name="Calculation 7 3" xfId="753"/>
    <cellStyle name="Calculation 8" xfId="754"/>
    <cellStyle name="Calculation 8 2" xfId="755"/>
    <cellStyle name="Calculation 8 3" xfId="756"/>
    <cellStyle name="Calculation 9" xfId="757"/>
    <cellStyle name="Calculation 9 2" xfId="758"/>
    <cellStyle name="Calculation 9 3" xfId="759"/>
    <cellStyle name="Check Cell 10" xfId="760"/>
    <cellStyle name="Check Cell 10 2" xfId="761"/>
    <cellStyle name="Check Cell 11" xfId="762"/>
    <cellStyle name="Check Cell 2" xfId="763"/>
    <cellStyle name="Check Cell 2 2" xfId="764"/>
    <cellStyle name="Check Cell 2 3" xfId="765"/>
    <cellStyle name="Check Cell 3" xfId="766"/>
    <cellStyle name="Check Cell 3 2" xfId="767"/>
    <cellStyle name="Check Cell 3 3" xfId="768"/>
    <cellStyle name="Check Cell 4" xfId="769"/>
    <cellStyle name="Check Cell 4 2" xfId="770"/>
    <cellStyle name="Check Cell 4 3" xfId="771"/>
    <cellStyle name="Check Cell 5" xfId="772"/>
    <cellStyle name="Check Cell 5 2" xfId="773"/>
    <cellStyle name="Check Cell 5 3" xfId="774"/>
    <cellStyle name="Check Cell 6" xfId="775"/>
    <cellStyle name="Check Cell 6 2" xfId="776"/>
    <cellStyle name="Check Cell 6 3" xfId="777"/>
    <cellStyle name="Check Cell 7" xfId="778"/>
    <cellStyle name="Check Cell 7 2" xfId="779"/>
    <cellStyle name="Check Cell 7 3" xfId="780"/>
    <cellStyle name="Check Cell 8" xfId="781"/>
    <cellStyle name="Check Cell 8 2" xfId="782"/>
    <cellStyle name="Check Cell 8 3" xfId="783"/>
    <cellStyle name="Check Cell 9" xfId="784"/>
    <cellStyle name="Check Cell 9 2" xfId="785"/>
    <cellStyle name="Check Cell 9 3" xfId="786"/>
    <cellStyle name="Comma 10" xfId="1"/>
    <cellStyle name="Comma 2" xfId="2"/>
    <cellStyle name="Comma 2 2" xfId="3"/>
    <cellStyle name="Comma 2 3" xfId="787"/>
    <cellStyle name="Comma 2 4" xfId="48"/>
    <cellStyle name="Comma 3" xfId="788"/>
    <cellStyle name="Comma 4" xfId="789"/>
    <cellStyle name="Comma 5" xfId="790"/>
    <cellStyle name="Comma 8" xfId="791"/>
    <cellStyle name="Currency 2" xfId="792"/>
    <cellStyle name="Currency 2 2" xfId="793"/>
    <cellStyle name="Currency 4 2" xfId="794"/>
    <cellStyle name="Explanatory Text 10" xfId="795"/>
    <cellStyle name="Explanatory Text 10 2" xfId="796"/>
    <cellStyle name="Explanatory Text 11" xfId="797"/>
    <cellStyle name="Explanatory Text 2" xfId="798"/>
    <cellStyle name="Explanatory Text 2 2" xfId="799"/>
    <cellStyle name="Explanatory Text 2 3" xfId="800"/>
    <cellStyle name="Explanatory Text 3" xfId="801"/>
    <cellStyle name="Explanatory Text 3 2" xfId="802"/>
    <cellStyle name="Explanatory Text 3 3" xfId="803"/>
    <cellStyle name="Explanatory Text 4" xfId="804"/>
    <cellStyle name="Explanatory Text 4 2" xfId="805"/>
    <cellStyle name="Explanatory Text 4 3" xfId="806"/>
    <cellStyle name="Explanatory Text 5" xfId="807"/>
    <cellStyle name="Explanatory Text 5 2" xfId="808"/>
    <cellStyle name="Explanatory Text 5 3" xfId="809"/>
    <cellStyle name="Explanatory Text 6" xfId="810"/>
    <cellStyle name="Explanatory Text 6 2" xfId="811"/>
    <cellStyle name="Explanatory Text 6 3" xfId="812"/>
    <cellStyle name="Explanatory Text 7" xfId="813"/>
    <cellStyle name="Explanatory Text 7 2" xfId="814"/>
    <cellStyle name="Explanatory Text 7 3" xfId="815"/>
    <cellStyle name="Explanatory Text 8" xfId="816"/>
    <cellStyle name="Explanatory Text 8 2" xfId="817"/>
    <cellStyle name="Explanatory Text 8 3" xfId="818"/>
    <cellStyle name="Explanatory Text 9" xfId="819"/>
    <cellStyle name="Explanatory Text 9 2" xfId="820"/>
    <cellStyle name="Explanatory Text 9 3" xfId="821"/>
    <cellStyle name="Good 10" xfId="822"/>
    <cellStyle name="Good 10 2" xfId="823"/>
    <cellStyle name="Good 11" xfId="824"/>
    <cellStyle name="Good 2" xfId="825"/>
    <cellStyle name="Good 2 2" xfId="826"/>
    <cellStyle name="Good 2 3" xfId="827"/>
    <cellStyle name="Good 3" xfId="828"/>
    <cellStyle name="Good 3 2" xfId="829"/>
    <cellStyle name="Good 3 3" xfId="830"/>
    <cellStyle name="Good 4" xfId="831"/>
    <cellStyle name="Good 4 2" xfId="832"/>
    <cellStyle name="Good 4 3" xfId="833"/>
    <cellStyle name="Good 5" xfId="834"/>
    <cellStyle name="Good 5 2" xfId="835"/>
    <cellStyle name="Good 5 3" xfId="836"/>
    <cellStyle name="Good 6" xfId="837"/>
    <cellStyle name="Good 6 2" xfId="838"/>
    <cellStyle name="Good 6 3" xfId="839"/>
    <cellStyle name="Good 7" xfId="840"/>
    <cellStyle name="Good 7 2" xfId="841"/>
    <cellStyle name="Good 7 3" xfId="842"/>
    <cellStyle name="Good 8" xfId="843"/>
    <cellStyle name="Good 8 2" xfId="844"/>
    <cellStyle name="Good 8 3" xfId="845"/>
    <cellStyle name="Good 9" xfId="846"/>
    <cellStyle name="Good 9 2" xfId="847"/>
    <cellStyle name="Good 9 3" xfId="848"/>
    <cellStyle name="Grey" xfId="4"/>
    <cellStyle name="Heading 1 10" xfId="849"/>
    <cellStyle name="Heading 1 10 2" xfId="850"/>
    <cellStyle name="Heading 1 11" xfId="851"/>
    <cellStyle name="Heading 1 2" xfId="852"/>
    <cellStyle name="Heading 1 2 2" xfId="853"/>
    <cellStyle name="Heading 1 2 3" xfId="854"/>
    <cellStyle name="Heading 1 3" xfId="855"/>
    <cellStyle name="Heading 1 3 2" xfId="856"/>
    <cellStyle name="Heading 1 3 3" xfId="857"/>
    <cellStyle name="Heading 1 4" xfId="858"/>
    <cellStyle name="Heading 1 4 2" xfId="859"/>
    <cellStyle name="Heading 1 4 3" xfId="860"/>
    <cellStyle name="Heading 1 5" xfId="861"/>
    <cellStyle name="Heading 1 5 2" xfId="862"/>
    <cellStyle name="Heading 1 5 3" xfId="863"/>
    <cellStyle name="Heading 1 6" xfId="864"/>
    <cellStyle name="Heading 1 6 2" xfId="865"/>
    <cellStyle name="Heading 1 6 3" xfId="866"/>
    <cellStyle name="Heading 1 7" xfId="867"/>
    <cellStyle name="Heading 1 7 2" xfId="868"/>
    <cellStyle name="Heading 1 7 3" xfId="869"/>
    <cellStyle name="Heading 1 8" xfId="870"/>
    <cellStyle name="Heading 1 8 2" xfId="871"/>
    <cellStyle name="Heading 1 8 3" xfId="872"/>
    <cellStyle name="Heading 1 9" xfId="873"/>
    <cellStyle name="Heading 1 9 2" xfId="874"/>
    <cellStyle name="Heading 1 9 3" xfId="875"/>
    <cellStyle name="Heading 2 10" xfId="876"/>
    <cellStyle name="Heading 2 10 2" xfId="877"/>
    <cellStyle name="Heading 2 11" xfId="878"/>
    <cellStyle name="Heading 2 2" xfId="879"/>
    <cellStyle name="Heading 2 2 2" xfId="880"/>
    <cellStyle name="Heading 2 2 3" xfId="881"/>
    <cellStyle name="Heading 2 3" xfId="882"/>
    <cellStyle name="Heading 2 3 2" xfId="883"/>
    <cellStyle name="Heading 2 3 3" xfId="884"/>
    <cellStyle name="Heading 2 4" xfId="885"/>
    <cellStyle name="Heading 2 4 2" xfId="886"/>
    <cellStyle name="Heading 2 4 3" xfId="887"/>
    <cellStyle name="Heading 2 5" xfId="888"/>
    <cellStyle name="Heading 2 5 2" xfId="889"/>
    <cellStyle name="Heading 2 5 3" xfId="890"/>
    <cellStyle name="Heading 2 6" xfId="891"/>
    <cellStyle name="Heading 2 6 2" xfId="892"/>
    <cellStyle name="Heading 2 6 3" xfId="893"/>
    <cellStyle name="Heading 2 7" xfId="894"/>
    <cellStyle name="Heading 2 7 2" xfId="895"/>
    <cellStyle name="Heading 2 7 3" xfId="896"/>
    <cellStyle name="Heading 2 8" xfId="897"/>
    <cellStyle name="Heading 2 8 2" xfId="898"/>
    <cellStyle name="Heading 2 8 3" xfId="899"/>
    <cellStyle name="Heading 2 9" xfId="900"/>
    <cellStyle name="Heading 2 9 2" xfId="901"/>
    <cellStyle name="Heading 2 9 3" xfId="902"/>
    <cellStyle name="Heading 3 10" xfId="903"/>
    <cellStyle name="Heading 3 10 2" xfId="904"/>
    <cellStyle name="Heading 3 11" xfId="905"/>
    <cellStyle name="Heading 3 2" xfId="906"/>
    <cellStyle name="Heading 3 2 2" xfId="907"/>
    <cellStyle name="Heading 3 2 3" xfId="908"/>
    <cellStyle name="Heading 3 3" xfId="909"/>
    <cellStyle name="Heading 3 3 2" xfId="910"/>
    <cellStyle name="Heading 3 3 3" xfId="911"/>
    <cellStyle name="Heading 3 4" xfId="912"/>
    <cellStyle name="Heading 3 4 2" xfId="913"/>
    <cellStyle name="Heading 3 4 3" xfId="914"/>
    <cellStyle name="Heading 3 5" xfId="915"/>
    <cellStyle name="Heading 3 5 2" xfId="916"/>
    <cellStyle name="Heading 3 5 3" xfId="917"/>
    <cellStyle name="Heading 3 6" xfId="918"/>
    <cellStyle name="Heading 3 6 2" xfId="919"/>
    <cellStyle name="Heading 3 6 3" xfId="920"/>
    <cellStyle name="Heading 3 7" xfId="921"/>
    <cellStyle name="Heading 3 7 2" xfId="922"/>
    <cellStyle name="Heading 3 7 3" xfId="923"/>
    <cellStyle name="Heading 3 8" xfId="924"/>
    <cellStyle name="Heading 3 8 2" xfId="925"/>
    <cellStyle name="Heading 3 8 3" xfId="926"/>
    <cellStyle name="Heading 3 9" xfId="927"/>
    <cellStyle name="Heading 3 9 2" xfId="928"/>
    <cellStyle name="Heading 3 9 3" xfId="929"/>
    <cellStyle name="Heading 4 10" xfId="930"/>
    <cellStyle name="Heading 4 10 2" xfId="931"/>
    <cellStyle name="Heading 4 11" xfId="932"/>
    <cellStyle name="Heading 4 2" xfId="933"/>
    <cellStyle name="Heading 4 2 2" xfId="934"/>
    <cellStyle name="Heading 4 2 3" xfId="935"/>
    <cellStyle name="Heading 4 3" xfId="936"/>
    <cellStyle name="Heading 4 3 2" xfId="937"/>
    <cellStyle name="Heading 4 3 3" xfId="938"/>
    <cellStyle name="Heading 4 4" xfId="939"/>
    <cellStyle name="Heading 4 4 2" xfId="940"/>
    <cellStyle name="Heading 4 4 3" xfId="941"/>
    <cellStyle name="Heading 4 5" xfId="942"/>
    <cellStyle name="Heading 4 5 2" xfId="943"/>
    <cellStyle name="Heading 4 5 3" xfId="944"/>
    <cellStyle name="Heading 4 6" xfId="945"/>
    <cellStyle name="Heading 4 6 2" xfId="946"/>
    <cellStyle name="Heading 4 6 3" xfId="947"/>
    <cellStyle name="Heading 4 7" xfId="948"/>
    <cellStyle name="Heading 4 7 2" xfId="949"/>
    <cellStyle name="Heading 4 7 3" xfId="950"/>
    <cellStyle name="Heading 4 8" xfId="951"/>
    <cellStyle name="Heading 4 8 2" xfId="952"/>
    <cellStyle name="Heading 4 8 3" xfId="953"/>
    <cellStyle name="Heading 4 9" xfId="954"/>
    <cellStyle name="Heading 4 9 2" xfId="955"/>
    <cellStyle name="Heading 4 9 3" xfId="956"/>
    <cellStyle name="Hyperlink 2" xfId="5"/>
    <cellStyle name="Hyperlink 3" xfId="957"/>
    <cellStyle name="Input [yellow]" xfId="6"/>
    <cellStyle name="Input 10" xfId="958"/>
    <cellStyle name="Input 10 2" xfId="959"/>
    <cellStyle name="Input 11" xfId="960"/>
    <cellStyle name="Input 2" xfId="961"/>
    <cellStyle name="Input 2 2" xfId="962"/>
    <cellStyle name="Input 2 3" xfId="963"/>
    <cellStyle name="Input 3" xfId="964"/>
    <cellStyle name="Input 3 2" xfId="965"/>
    <cellStyle name="Input 3 3" xfId="966"/>
    <cellStyle name="Input 4" xfId="967"/>
    <cellStyle name="Input 4 2" xfId="968"/>
    <cellStyle name="Input 4 3" xfId="969"/>
    <cellStyle name="Input 5" xfId="970"/>
    <cellStyle name="Input 5 2" xfId="971"/>
    <cellStyle name="Input 5 3" xfId="972"/>
    <cellStyle name="Input 6" xfId="973"/>
    <cellStyle name="Input 6 2" xfId="974"/>
    <cellStyle name="Input 6 3" xfId="975"/>
    <cellStyle name="Input 7" xfId="976"/>
    <cellStyle name="Input 7 2" xfId="977"/>
    <cellStyle name="Input 7 3" xfId="978"/>
    <cellStyle name="Input 8" xfId="979"/>
    <cellStyle name="Input 8 2" xfId="980"/>
    <cellStyle name="Input 8 3" xfId="981"/>
    <cellStyle name="Input 9" xfId="982"/>
    <cellStyle name="Input 9 2" xfId="983"/>
    <cellStyle name="Input 9 3" xfId="984"/>
    <cellStyle name="integer" xfId="985"/>
    <cellStyle name="Linked Cell 10" xfId="986"/>
    <cellStyle name="Linked Cell 10 2" xfId="987"/>
    <cellStyle name="Linked Cell 11" xfId="988"/>
    <cellStyle name="Linked Cell 2" xfId="989"/>
    <cellStyle name="Linked Cell 2 2" xfId="990"/>
    <cellStyle name="Linked Cell 2 3" xfId="991"/>
    <cellStyle name="Linked Cell 3" xfId="992"/>
    <cellStyle name="Linked Cell 3 2" xfId="993"/>
    <cellStyle name="Linked Cell 3 3" xfId="994"/>
    <cellStyle name="Linked Cell 4" xfId="995"/>
    <cellStyle name="Linked Cell 4 2" xfId="996"/>
    <cellStyle name="Linked Cell 4 3" xfId="997"/>
    <cellStyle name="Linked Cell 5" xfId="998"/>
    <cellStyle name="Linked Cell 5 2" xfId="999"/>
    <cellStyle name="Linked Cell 5 3" xfId="1000"/>
    <cellStyle name="Linked Cell 6" xfId="1001"/>
    <cellStyle name="Linked Cell 6 2" xfId="1002"/>
    <cellStyle name="Linked Cell 6 3" xfId="1003"/>
    <cellStyle name="Linked Cell 7" xfId="1004"/>
    <cellStyle name="Linked Cell 7 2" xfId="1005"/>
    <cellStyle name="Linked Cell 7 3" xfId="1006"/>
    <cellStyle name="Linked Cell 8" xfId="1007"/>
    <cellStyle name="Linked Cell 8 2" xfId="1008"/>
    <cellStyle name="Linked Cell 8 3" xfId="1009"/>
    <cellStyle name="Linked Cell 9" xfId="1010"/>
    <cellStyle name="Linked Cell 9 2" xfId="1011"/>
    <cellStyle name="Linked Cell 9 3" xfId="1012"/>
    <cellStyle name="MS_Arabic" xfId="1013"/>
    <cellStyle name="Neutral 10" xfId="1014"/>
    <cellStyle name="Neutral 10 2" xfId="1015"/>
    <cellStyle name="Neutral 11" xfId="1016"/>
    <cellStyle name="Neutral 2" xfId="1017"/>
    <cellStyle name="Neutral 2 2" xfId="1018"/>
    <cellStyle name="Neutral 2 3" xfId="1019"/>
    <cellStyle name="Neutral 3" xfId="1020"/>
    <cellStyle name="Neutral 3 2" xfId="1021"/>
    <cellStyle name="Neutral 3 3" xfId="1022"/>
    <cellStyle name="Neutral 4" xfId="1023"/>
    <cellStyle name="Neutral 4 2" xfId="1024"/>
    <cellStyle name="Neutral 4 3" xfId="1025"/>
    <cellStyle name="Neutral 5" xfId="1026"/>
    <cellStyle name="Neutral 5 2" xfId="1027"/>
    <cellStyle name="Neutral 5 3" xfId="1028"/>
    <cellStyle name="Neutral 6" xfId="1029"/>
    <cellStyle name="Neutral 6 2" xfId="1030"/>
    <cellStyle name="Neutral 6 3" xfId="1031"/>
    <cellStyle name="Neutral 7" xfId="1032"/>
    <cellStyle name="Neutral 7 2" xfId="1033"/>
    <cellStyle name="Neutral 7 3" xfId="1034"/>
    <cellStyle name="Neutral 8" xfId="1035"/>
    <cellStyle name="Neutral 8 2" xfId="1036"/>
    <cellStyle name="Neutral 8 3" xfId="1037"/>
    <cellStyle name="Neutral 9" xfId="1038"/>
    <cellStyle name="Neutral 9 2" xfId="1039"/>
    <cellStyle name="Neutral 9 3" xfId="1040"/>
    <cellStyle name="Normal" xfId="0" builtinId="0"/>
    <cellStyle name="Normal - Style1" xfId="7"/>
    <cellStyle name="Normal 10" xfId="8"/>
    <cellStyle name="Normal 10 2" xfId="1041"/>
    <cellStyle name="Normal 10 2 2" xfId="9"/>
    <cellStyle name="Normal 10 3" xfId="1042"/>
    <cellStyle name="Normal 10 3 2" xfId="1043"/>
    <cellStyle name="Normal 10 3 3" xfId="1044"/>
    <cellStyle name="Normal 10 3 4" xfId="1045"/>
    <cellStyle name="Normal 10 3 5" xfId="1046"/>
    <cellStyle name="Normal 10 3 6" xfId="1047"/>
    <cellStyle name="Normal 10 4" xfId="1048"/>
    <cellStyle name="Normal 10 5" xfId="1049"/>
    <cellStyle name="Normal 11" xfId="1050"/>
    <cellStyle name="Normal 11 2" xfId="10"/>
    <cellStyle name="Normal 11 2 2" xfId="1051"/>
    <cellStyle name="Normal 11 3" xfId="1052"/>
    <cellStyle name="Normal 12" xfId="1053"/>
    <cellStyle name="Normal 12 2" xfId="1302"/>
    <cellStyle name="Normal 13" xfId="11"/>
    <cellStyle name="Normal 13 2" xfId="1054"/>
    <cellStyle name="Normal 13 3" xfId="1055"/>
    <cellStyle name="Normal 14" xfId="1056"/>
    <cellStyle name="Normal 15" xfId="1057"/>
    <cellStyle name="Normal 15 2" xfId="1058"/>
    <cellStyle name="Normal 15 5" xfId="12"/>
    <cellStyle name="Normal 15 5 2" xfId="1059"/>
    <cellStyle name="Normal 15 5 3" xfId="54"/>
    <cellStyle name="Normal 17" xfId="1303"/>
    <cellStyle name="Normal 2" xfId="13"/>
    <cellStyle name="Normal 2 10" xfId="1060"/>
    <cellStyle name="Normal 2 11" xfId="1061"/>
    <cellStyle name="Normal 2 12" xfId="1062"/>
    <cellStyle name="Normal 2 13" xfId="14"/>
    <cellStyle name="Normal 2 2" xfId="15"/>
    <cellStyle name="Normal 2 2 2" xfId="16"/>
    <cellStyle name="Normal 2 2 2 2" xfId="49"/>
    <cellStyle name="Normal 2 2 2 3" xfId="1063"/>
    <cellStyle name="Normal 2 2 3" xfId="1064"/>
    <cellStyle name="Normal 2 2 4" xfId="1065"/>
    <cellStyle name="Normal 2 3" xfId="17"/>
    <cellStyle name="Normal 2 3 10" xfId="1066"/>
    <cellStyle name="Normal 2 3 2" xfId="18"/>
    <cellStyle name="Normal 2 3 2 2" xfId="1067"/>
    <cellStyle name="Normal 2 3 2 2 2" xfId="1068"/>
    <cellStyle name="Normal 2 3 2 3" xfId="1069"/>
    <cellStyle name="Normal 2 3 3" xfId="1070"/>
    <cellStyle name="Normal 2 3 3 2" xfId="1071"/>
    <cellStyle name="Normal 2 3 3 2 2" xfId="1072"/>
    <cellStyle name="Normal 2 3 3 2 3" xfId="1073"/>
    <cellStyle name="Normal 2 3 3 2 3 10" xfId="1074"/>
    <cellStyle name="Normal 2 3 3 2 3 2" xfId="1075"/>
    <cellStyle name="Normal 2 3 3 2 3 3" xfId="1076"/>
    <cellStyle name="Normal 2 3 3 2 3 4" xfId="1077"/>
    <cellStyle name="Normal 2 3 3 2 3 5" xfId="1078"/>
    <cellStyle name="Normal 2 3 3 2 3 6" xfId="1079"/>
    <cellStyle name="Normal 2 3 3 2 3 7" xfId="1080"/>
    <cellStyle name="Normal 2 3 3 2 3 8" xfId="1081"/>
    <cellStyle name="Normal 2 3 3 2 3 9" xfId="1082"/>
    <cellStyle name="Normal 2 3 3 2 4" xfId="1083"/>
    <cellStyle name="Normal 2 3 3 3" xfId="1084"/>
    <cellStyle name="Normal 2 3 3 4" xfId="1085"/>
    <cellStyle name="Normal 2 3 4" xfId="1086"/>
    <cellStyle name="Normal 2 3 4 2" xfId="1087"/>
    <cellStyle name="Normal 2 3 5" xfId="1088"/>
    <cellStyle name="Normal 2 3 6" xfId="1089"/>
    <cellStyle name="Normal 2 3 7" xfId="1090"/>
    <cellStyle name="Normal 2 3 7 2" xfId="1091"/>
    <cellStyle name="Normal 2 3 8" xfId="1092"/>
    <cellStyle name="Normal 2 3 9" xfId="1093"/>
    <cellStyle name="Normal 2 4" xfId="19"/>
    <cellStyle name="Normal 2 4 2" xfId="1094"/>
    <cellStyle name="Normal 2 4 3" xfId="1095"/>
    <cellStyle name="Normal 2 4 4" xfId="1096"/>
    <cellStyle name="Normal 2 4 4 2" xfId="1097"/>
    <cellStyle name="Normal 2 5" xfId="20"/>
    <cellStyle name="Normal 2 5 2" xfId="1098"/>
    <cellStyle name="Normal 2 5 2 2" xfId="1099"/>
    <cellStyle name="Normal 2 5 3" xfId="1100"/>
    <cellStyle name="Normal 2 5 4" xfId="1101"/>
    <cellStyle name="Normal 2 6" xfId="1102"/>
    <cellStyle name="Normal 2 6 2" xfId="1103"/>
    <cellStyle name="Normal 2 6 2 2" xfId="1104"/>
    <cellStyle name="Normal 2 6 2 3" xfId="1105"/>
    <cellStyle name="Normal 2 6 3" xfId="1106"/>
    <cellStyle name="Normal 2 6 4" xfId="1107"/>
    <cellStyle name="Normal 2 6 4 2" xfId="1108"/>
    <cellStyle name="Normal 2 7" xfId="1109"/>
    <cellStyle name="Normal 2 7 2" xfId="1110"/>
    <cellStyle name="Normal 2 7 3" xfId="1111"/>
    <cellStyle name="Normal 2 7 3 2" xfId="1112"/>
    <cellStyle name="Normal 2 8" xfId="1113"/>
    <cellStyle name="Normal 2 8 2" xfId="1114"/>
    <cellStyle name="Normal 2 9" xfId="1115"/>
    <cellStyle name="Normal 2_1.Tha" xfId="1116"/>
    <cellStyle name="Normal 3" xfId="21"/>
    <cellStyle name="Normal 3 10" xfId="1117"/>
    <cellStyle name="Normal 3 10 2" xfId="1298"/>
    <cellStyle name="Normal 3 2" xfId="22"/>
    <cellStyle name="Normal 3 2 2" xfId="23"/>
    <cellStyle name="Normal 3 2 2 2" xfId="1118"/>
    <cellStyle name="Normal 3 2 2 2 2" xfId="1119"/>
    <cellStyle name="Normal 3 2 2 2 2 2" xfId="1304"/>
    <cellStyle name="Normal 3 2 2 2 3" xfId="1120"/>
    <cellStyle name="Normal 3 2 2 2 4" xfId="24"/>
    <cellStyle name="Normal 3 2 2 2 5" xfId="1121"/>
    <cellStyle name="Normal 3 2 3" xfId="55"/>
    <cellStyle name="Normal 3 3" xfId="1122"/>
    <cellStyle name="Normal 3 4" xfId="25"/>
    <cellStyle name="Normal 3 5" xfId="1123"/>
    <cellStyle name="Normal 3 6" xfId="1124"/>
    <cellStyle name="Normal 3 7" xfId="1125"/>
    <cellStyle name="Normal 3 8" xfId="1126"/>
    <cellStyle name="Normal 3 9" xfId="1127"/>
    <cellStyle name="Normal 3_est" xfId="1128"/>
    <cellStyle name="Normal 4" xfId="26"/>
    <cellStyle name="Normal 4 10" xfId="1129"/>
    <cellStyle name="Normal 4 2" xfId="53"/>
    <cellStyle name="Normal 4 2 2" xfId="1130"/>
    <cellStyle name="Normal 4 2 2 2" xfId="1131"/>
    <cellStyle name="Normal 4 2 3" xfId="1132"/>
    <cellStyle name="Normal 4 3" xfId="1133"/>
    <cellStyle name="Normal 4 3 2" xfId="1134"/>
    <cellStyle name="Normal 4 3 3" xfId="1135"/>
    <cellStyle name="Normal 4 3 4" xfId="1136"/>
    <cellStyle name="Normal 4 4" xfId="1137"/>
    <cellStyle name="Normal 4 5" xfId="1138"/>
    <cellStyle name="Normal 4 6" xfId="1139"/>
    <cellStyle name="Normal 4 6 2" xfId="1140"/>
    <cellStyle name="Normal 4 6 3" xfId="1141"/>
    <cellStyle name="Normal 4 7" xfId="1142"/>
    <cellStyle name="Normal 4 8" xfId="1143"/>
    <cellStyle name="Normal 4 9" xfId="1144"/>
    <cellStyle name="Normal 4_AMST Road" xfId="1145"/>
    <cellStyle name="Normal 5" xfId="27"/>
    <cellStyle name="Normal 5 10" xfId="57"/>
    <cellStyle name="Normal 5 10 2" xfId="1297"/>
    <cellStyle name="Normal 5 11" xfId="1296"/>
    <cellStyle name="Normal 5 2" xfId="28"/>
    <cellStyle name="Normal 5 2 2" xfId="1146"/>
    <cellStyle name="Normal 5 2 2 2" xfId="56"/>
    <cellStyle name="Normal 5 2 2 2 2" xfId="1147"/>
    <cellStyle name="Normal 5 2 2 2 2 2" xfId="1300"/>
    <cellStyle name="Normal 5 3" xfId="29"/>
    <cellStyle name="Normal 5 4" xfId="30"/>
    <cellStyle name="Normal 5 5" xfId="31"/>
    <cellStyle name="Normal 5 6" xfId="1148"/>
    <cellStyle name="Normal 5 7" xfId="1149"/>
    <cellStyle name="Normal 5 8" xfId="1150"/>
    <cellStyle name="Normal 5 9" xfId="1151"/>
    <cellStyle name="Normal 5 9 2" xfId="1301"/>
    <cellStyle name="Normal 5_AMST Road" xfId="1152"/>
    <cellStyle name="Normal 6" xfId="32"/>
    <cellStyle name="Normal 6 10" xfId="1153"/>
    <cellStyle name="Normal 6 11" xfId="1154"/>
    <cellStyle name="Normal 6 11 2" xfId="1155"/>
    <cellStyle name="Normal 6 11 3" xfId="1156"/>
    <cellStyle name="Normal 6 11 4" xfId="51"/>
    <cellStyle name="Normal 6 2" xfId="1157"/>
    <cellStyle name="Normal 6 2 2" xfId="1158"/>
    <cellStyle name="Normal 6 3" xfId="1159"/>
    <cellStyle name="Normal 6 4" xfId="1160"/>
    <cellStyle name="Normal 6 5" xfId="1161"/>
    <cellStyle name="Normal 6 6" xfId="1162"/>
    <cellStyle name="Normal 6 7" xfId="1163"/>
    <cellStyle name="Normal 6 8" xfId="1164"/>
    <cellStyle name="Normal 6 9" xfId="1165"/>
    <cellStyle name="Normal 7" xfId="33"/>
    <cellStyle name="Normal 7 2" xfId="34"/>
    <cellStyle name="Normal 7 2 2" xfId="1166"/>
    <cellStyle name="Normal 7 2 3" xfId="1167"/>
    <cellStyle name="Normal 7 3" xfId="1168"/>
    <cellStyle name="Normal 7 3 2" xfId="1169"/>
    <cellStyle name="Normal 8" xfId="35"/>
    <cellStyle name="Normal 8 2" xfId="36"/>
    <cellStyle name="Normal 8 2 2" xfId="1170"/>
    <cellStyle name="Normal 8 3" xfId="1171"/>
    <cellStyle name="Normal 8 4" xfId="1172"/>
    <cellStyle name="Normal 9" xfId="1173"/>
    <cellStyle name="Normal_Alandur Detail" xfId="50"/>
    <cellStyle name="Normal_Alandur Detail 2" xfId="37"/>
    <cellStyle name="Normal_External WS" xfId="1294"/>
    <cellStyle name="Normal_June-2004 2" xfId="38"/>
    <cellStyle name="Normal_Phase XI QS" xfId="39"/>
    <cellStyle name="Normal_Phase XI QS 2" xfId="40"/>
    <cellStyle name="Normal_Phase XI QS 2 2" xfId="52"/>
    <cellStyle name="Normal_Phase XI QS 3" xfId="1295"/>
    <cellStyle name="Normal_Sheet1 3" xfId="1299"/>
    <cellStyle name="Normal_test-1" xfId="41"/>
    <cellStyle name="Note 10" xfId="1174"/>
    <cellStyle name="Note 11" xfId="1175"/>
    <cellStyle name="Note 2" xfId="1176"/>
    <cellStyle name="Note 3" xfId="1177"/>
    <cellStyle name="Note 4" xfId="1178"/>
    <cellStyle name="Note 5" xfId="1179"/>
    <cellStyle name="Note 6" xfId="1180"/>
    <cellStyle name="Note 7" xfId="1181"/>
    <cellStyle name="Note 8" xfId="1182"/>
    <cellStyle name="Note 9" xfId="1183"/>
    <cellStyle name="Output 10" xfId="1184"/>
    <cellStyle name="Output 10 2" xfId="1185"/>
    <cellStyle name="Output 11" xfId="1186"/>
    <cellStyle name="Output 2" xfId="1187"/>
    <cellStyle name="Output 2 2" xfId="1188"/>
    <cellStyle name="Output 2 3" xfId="1189"/>
    <cellStyle name="Output 3" xfId="1190"/>
    <cellStyle name="Output 3 2" xfId="1191"/>
    <cellStyle name="Output 3 3" xfId="1192"/>
    <cellStyle name="Output 4" xfId="1193"/>
    <cellStyle name="Output 4 2" xfId="1194"/>
    <cellStyle name="Output 4 3" xfId="1195"/>
    <cellStyle name="Output 5" xfId="1196"/>
    <cellStyle name="Output 5 2" xfId="1197"/>
    <cellStyle name="Output 5 3" xfId="1198"/>
    <cellStyle name="Output 6" xfId="1199"/>
    <cellStyle name="Output 6 2" xfId="1200"/>
    <cellStyle name="Output 6 3" xfId="1201"/>
    <cellStyle name="Output 7" xfId="1202"/>
    <cellStyle name="Output 7 2" xfId="1203"/>
    <cellStyle name="Output 7 3" xfId="1204"/>
    <cellStyle name="Output 8" xfId="1205"/>
    <cellStyle name="Output 8 2" xfId="1206"/>
    <cellStyle name="Output 8 3" xfId="1207"/>
    <cellStyle name="Output 9" xfId="1208"/>
    <cellStyle name="Output 9 2" xfId="1209"/>
    <cellStyle name="Output 9 3" xfId="1210"/>
    <cellStyle name="Percent" xfId="42" builtinId="5"/>
    <cellStyle name="Percent [2]" xfId="43"/>
    <cellStyle name="Percent 2" xfId="44"/>
    <cellStyle name="Percent 2 2" xfId="1211"/>
    <cellStyle name="Percent 3" xfId="45"/>
    <cellStyle name="Percent 4" xfId="1212"/>
    <cellStyle name="Style 1" xfId="46"/>
    <cellStyle name="Times New Roman" xfId="47"/>
    <cellStyle name="Title 10" xfId="1213"/>
    <cellStyle name="Title 10 2" xfId="1214"/>
    <cellStyle name="Title 11" xfId="1215"/>
    <cellStyle name="Title 2" xfId="1216"/>
    <cellStyle name="Title 2 2" xfId="1217"/>
    <cellStyle name="Title 2 3" xfId="1218"/>
    <cellStyle name="Title 3" xfId="1219"/>
    <cellStyle name="Title 3 2" xfId="1220"/>
    <cellStyle name="Title 3 3" xfId="1221"/>
    <cellStyle name="Title 4" xfId="1222"/>
    <cellStyle name="Title 4 2" xfId="1223"/>
    <cellStyle name="Title 4 3" xfId="1224"/>
    <cellStyle name="Title 5" xfId="1225"/>
    <cellStyle name="Title 5 2" xfId="1226"/>
    <cellStyle name="Title 5 3" xfId="1227"/>
    <cellStyle name="Title 6" xfId="1228"/>
    <cellStyle name="Title 6 2" xfId="1229"/>
    <cellStyle name="Title 6 3" xfId="1230"/>
    <cellStyle name="Title 7" xfId="1231"/>
    <cellStyle name="Title 7 2" xfId="1232"/>
    <cellStyle name="Title 7 3" xfId="1233"/>
    <cellStyle name="Title 8" xfId="1234"/>
    <cellStyle name="Title 8 2" xfId="1235"/>
    <cellStyle name="Title 8 3" xfId="1236"/>
    <cellStyle name="Title 9" xfId="1237"/>
    <cellStyle name="Title 9 2" xfId="1238"/>
    <cellStyle name="Title 9 3" xfId="1239"/>
    <cellStyle name="Total 10" xfId="1240"/>
    <cellStyle name="Total 10 2" xfId="1241"/>
    <cellStyle name="Total 11" xfId="1242"/>
    <cellStyle name="Total 2" xfId="1243"/>
    <cellStyle name="Total 2 2" xfId="1244"/>
    <cellStyle name="Total 2 3" xfId="1245"/>
    <cellStyle name="Total 3" xfId="1246"/>
    <cellStyle name="Total 3 2" xfId="1247"/>
    <cellStyle name="Total 3 3" xfId="1248"/>
    <cellStyle name="Total 4" xfId="1249"/>
    <cellStyle name="Total 4 2" xfId="1250"/>
    <cellStyle name="Total 4 3" xfId="1251"/>
    <cellStyle name="Total 5" xfId="1252"/>
    <cellStyle name="Total 5 2" xfId="1253"/>
    <cellStyle name="Total 5 3" xfId="1254"/>
    <cellStyle name="Total 6" xfId="1255"/>
    <cellStyle name="Total 6 2" xfId="1256"/>
    <cellStyle name="Total 6 3" xfId="1257"/>
    <cellStyle name="Total 7" xfId="1258"/>
    <cellStyle name="Total 7 2" xfId="1259"/>
    <cellStyle name="Total 7 3" xfId="1260"/>
    <cellStyle name="Total 8" xfId="1261"/>
    <cellStyle name="Total 8 2" xfId="1262"/>
    <cellStyle name="Total 8 3" xfId="1263"/>
    <cellStyle name="Total 9" xfId="1264"/>
    <cellStyle name="Total 9 2" xfId="1265"/>
    <cellStyle name="Total 9 3" xfId="1266"/>
    <cellStyle name="Warning Text 10" xfId="1267"/>
    <cellStyle name="Warning Text 10 2" xfId="1268"/>
    <cellStyle name="Warning Text 11" xfId="1269"/>
    <cellStyle name="Warning Text 2" xfId="1270"/>
    <cellStyle name="Warning Text 2 2" xfId="1271"/>
    <cellStyle name="Warning Text 2 3" xfId="1272"/>
    <cellStyle name="Warning Text 3" xfId="1273"/>
    <cellStyle name="Warning Text 3 2" xfId="1274"/>
    <cellStyle name="Warning Text 3 3" xfId="1275"/>
    <cellStyle name="Warning Text 4" xfId="1276"/>
    <cellStyle name="Warning Text 4 2" xfId="1277"/>
    <cellStyle name="Warning Text 4 3" xfId="1278"/>
    <cellStyle name="Warning Text 5" xfId="1279"/>
    <cellStyle name="Warning Text 5 2" xfId="1280"/>
    <cellStyle name="Warning Text 5 3" xfId="1281"/>
    <cellStyle name="Warning Text 6" xfId="1282"/>
    <cellStyle name="Warning Text 6 2" xfId="1283"/>
    <cellStyle name="Warning Text 6 3" xfId="1284"/>
    <cellStyle name="Warning Text 7" xfId="1285"/>
    <cellStyle name="Warning Text 7 2" xfId="1286"/>
    <cellStyle name="Warning Text 7 3" xfId="1287"/>
    <cellStyle name="Warning Text 8" xfId="1288"/>
    <cellStyle name="Warning Text 8 2" xfId="1289"/>
    <cellStyle name="Warning Text 8 3" xfId="1290"/>
    <cellStyle name="Warning Text 9" xfId="1291"/>
    <cellStyle name="Warning Text 9 2" xfId="1292"/>
    <cellStyle name="Warning Text 9 3" xfId="1293"/>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8.xml"/><Relationship Id="rId21" Type="http://schemas.openxmlformats.org/officeDocument/2006/relationships/worksheet" Target="worksheets/sheet21.xml"/><Relationship Id="rId34" Type="http://schemas.openxmlformats.org/officeDocument/2006/relationships/externalLink" Target="externalLinks/externalLink3.xml"/><Relationship Id="rId42" Type="http://schemas.openxmlformats.org/officeDocument/2006/relationships/externalLink" Target="externalLinks/externalLink11.xml"/><Relationship Id="rId47" Type="http://schemas.openxmlformats.org/officeDocument/2006/relationships/externalLink" Target="externalLinks/externalLink16.xml"/><Relationship Id="rId50" Type="http://schemas.openxmlformats.org/officeDocument/2006/relationships/externalLink" Target="externalLinks/externalLink19.xml"/><Relationship Id="rId55" Type="http://schemas.openxmlformats.org/officeDocument/2006/relationships/externalLink" Target="externalLinks/externalLink24.xml"/><Relationship Id="rId63"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externalLink" Target="externalLinks/externalLink10.xml"/><Relationship Id="rId54" Type="http://schemas.openxmlformats.org/officeDocument/2006/relationships/externalLink" Target="externalLinks/externalLink23.xml"/><Relationship Id="rId62" Type="http://schemas.openxmlformats.org/officeDocument/2006/relationships/externalLink" Target="externalLinks/externalLink3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1.xml"/><Relationship Id="rId37" Type="http://schemas.openxmlformats.org/officeDocument/2006/relationships/externalLink" Target="externalLinks/externalLink6.xml"/><Relationship Id="rId40" Type="http://schemas.openxmlformats.org/officeDocument/2006/relationships/externalLink" Target="externalLinks/externalLink9.xml"/><Relationship Id="rId45" Type="http://schemas.openxmlformats.org/officeDocument/2006/relationships/externalLink" Target="externalLinks/externalLink14.xml"/><Relationship Id="rId53" Type="http://schemas.openxmlformats.org/officeDocument/2006/relationships/externalLink" Target="externalLinks/externalLink22.xml"/><Relationship Id="rId58" Type="http://schemas.openxmlformats.org/officeDocument/2006/relationships/externalLink" Target="externalLinks/externalLink27.xml"/><Relationship Id="rId66"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5.xml"/><Relationship Id="rId49" Type="http://schemas.openxmlformats.org/officeDocument/2006/relationships/externalLink" Target="externalLinks/externalLink18.xml"/><Relationship Id="rId57" Type="http://schemas.openxmlformats.org/officeDocument/2006/relationships/externalLink" Target="externalLinks/externalLink26.xml"/><Relationship Id="rId61" Type="http://schemas.openxmlformats.org/officeDocument/2006/relationships/externalLink" Target="externalLinks/externalLink30.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13.xml"/><Relationship Id="rId52" Type="http://schemas.openxmlformats.org/officeDocument/2006/relationships/externalLink" Target="externalLinks/externalLink21.xml"/><Relationship Id="rId60" Type="http://schemas.openxmlformats.org/officeDocument/2006/relationships/externalLink" Target="externalLinks/externalLink29.xml"/><Relationship Id="rId65"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4.xml"/><Relationship Id="rId43" Type="http://schemas.openxmlformats.org/officeDocument/2006/relationships/externalLink" Target="externalLinks/externalLink12.xml"/><Relationship Id="rId48" Type="http://schemas.openxmlformats.org/officeDocument/2006/relationships/externalLink" Target="externalLinks/externalLink17.xml"/><Relationship Id="rId56" Type="http://schemas.openxmlformats.org/officeDocument/2006/relationships/externalLink" Target="externalLinks/externalLink25.xml"/><Relationship Id="rId64"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externalLink" Target="externalLinks/externalLink20.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2.xml"/><Relationship Id="rId38" Type="http://schemas.openxmlformats.org/officeDocument/2006/relationships/externalLink" Target="externalLinks/externalLink7.xml"/><Relationship Id="rId46" Type="http://schemas.openxmlformats.org/officeDocument/2006/relationships/externalLink" Target="externalLinks/externalLink15.xml"/><Relationship Id="rId59" Type="http://schemas.openxmlformats.org/officeDocument/2006/relationships/externalLink" Target="externalLinks/externalLink28.xml"/></Relationships>
</file>

<file path=xl/drawings/drawing1.xml><?xml version="1.0" encoding="utf-8"?>
<xdr:wsDr xmlns:xdr="http://schemas.openxmlformats.org/drawingml/2006/spreadsheetDrawing" xmlns:a="http://schemas.openxmlformats.org/drawingml/2006/main">
  <xdr:twoCellAnchor editAs="oneCell">
    <xdr:from>
      <xdr:col>2</xdr:col>
      <xdr:colOff>2495550</xdr:colOff>
      <xdr:row>629</xdr:row>
      <xdr:rowOff>0</xdr:rowOff>
    </xdr:from>
    <xdr:to>
      <xdr:col>2</xdr:col>
      <xdr:colOff>2495550</xdr:colOff>
      <xdr:row>629</xdr:row>
      <xdr:rowOff>28575</xdr:rowOff>
    </xdr:to>
    <xdr:sp macro="" textlink="">
      <xdr:nvSpPr>
        <xdr:cNvPr id="96664" name="Text Box 2">
          <a:extLst>
            <a:ext uri="{FF2B5EF4-FFF2-40B4-BE49-F238E27FC236}">
              <a16:creationId xmlns:a16="http://schemas.microsoft.com/office/drawing/2014/main" xmlns="" id="{00000000-0008-0000-0100-000098790100}"/>
            </a:ext>
          </a:extLst>
        </xdr:cNvPr>
        <xdr:cNvSpPr txBox="1">
          <a:spLocks noChangeArrowheads="1"/>
        </xdr:cNvSpPr>
      </xdr:nvSpPr>
      <xdr:spPr bwMode="auto">
        <a:xfrm>
          <a:off x="3505200" y="164534850"/>
          <a:ext cx="0" cy="28575"/>
        </a:xfrm>
        <a:prstGeom prst="rect">
          <a:avLst/>
        </a:prstGeom>
        <a:noFill/>
        <a:ln w="9525">
          <a:noFill/>
          <a:miter lim="800000"/>
          <a:headEnd/>
          <a:tailEnd/>
        </a:ln>
      </xdr:spPr>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14</xdr:col>
      <xdr:colOff>447675</xdr:colOff>
      <xdr:row>7733</xdr:row>
      <xdr:rowOff>190500</xdr:rowOff>
    </xdr:from>
    <xdr:to>
      <xdr:col>14</xdr:col>
      <xdr:colOff>542925</xdr:colOff>
      <xdr:row>7735</xdr:row>
      <xdr:rowOff>19050</xdr:rowOff>
    </xdr:to>
    <xdr:sp macro="" textlink="">
      <xdr:nvSpPr>
        <xdr:cNvPr id="109110" name="Text Box 1">
          <a:extLst>
            <a:ext uri="{FF2B5EF4-FFF2-40B4-BE49-F238E27FC236}">
              <a16:creationId xmlns:a16="http://schemas.microsoft.com/office/drawing/2014/main" xmlns="" id="{00000000-0008-0000-0300-000036AA0100}"/>
            </a:ext>
          </a:extLst>
        </xdr:cNvPr>
        <xdr:cNvSpPr txBox="1">
          <a:spLocks noChangeArrowheads="1"/>
        </xdr:cNvSpPr>
      </xdr:nvSpPr>
      <xdr:spPr bwMode="auto">
        <a:xfrm>
          <a:off x="11258550" y="1113758250"/>
          <a:ext cx="95250" cy="228600"/>
        </a:xfrm>
        <a:prstGeom prst="rect">
          <a:avLst/>
        </a:prstGeom>
        <a:noFill/>
        <a:ln w="9525">
          <a:noFill/>
          <a:miter lim="800000"/>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14</xdr:col>
      <xdr:colOff>457200</xdr:colOff>
      <xdr:row>4913</xdr:row>
      <xdr:rowOff>190500</xdr:rowOff>
    </xdr:from>
    <xdr:to>
      <xdr:col>14</xdr:col>
      <xdr:colOff>542925</xdr:colOff>
      <xdr:row>4914</xdr:row>
      <xdr:rowOff>19050</xdr:rowOff>
    </xdr:to>
    <xdr:sp macro="" textlink="">
      <xdr:nvSpPr>
        <xdr:cNvPr id="110134" name="Text Box 1">
          <a:extLst>
            <a:ext uri="{FF2B5EF4-FFF2-40B4-BE49-F238E27FC236}">
              <a16:creationId xmlns:a16="http://schemas.microsoft.com/office/drawing/2014/main" xmlns="" id="{00000000-0008-0000-0500-000036AE0100}"/>
            </a:ext>
          </a:extLst>
        </xdr:cNvPr>
        <xdr:cNvSpPr txBox="1">
          <a:spLocks noChangeArrowheads="1"/>
        </xdr:cNvSpPr>
      </xdr:nvSpPr>
      <xdr:spPr bwMode="auto">
        <a:xfrm>
          <a:off x="10925175" y="1096994250"/>
          <a:ext cx="85725" cy="28575"/>
        </a:xfrm>
        <a:prstGeom prst="rect">
          <a:avLst/>
        </a:prstGeom>
        <a:noFill/>
        <a:ln w="9525">
          <a:noFill/>
          <a:miter lim="800000"/>
          <a:headEnd/>
          <a:tailEnd/>
        </a:ln>
      </xdr:spPr>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14</xdr:col>
      <xdr:colOff>457200</xdr:colOff>
      <xdr:row>7793</xdr:row>
      <xdr:rowOff>190500</xdr:rowOff>
    </xdr:from>
    <xdr:to>
      <xdr:col>14</xdr:col>
      <xdr:colOff>542925</xdr:colOff>
      <xdr:row>7793</xdr:row>
      <xdr:rowOff>200025</xdr:rowOff>
    </xdr:to>
    <xdr:sp macro="" textlink="">
      <xdr:nvSpPr>
        <xdr:cNvPr id="117675" name="Text Box 1">
          <a:extLst>
            <a:ext uri="{FF2B5EF4-FFF2-40B4-BE49-F238E27FC236}">
              <a16:creationId xmlns:a16="http://schemas.microsoft.com/office/drawing/2014/main" xmlns="" id="{00000000-0008-0000-0700-0000ABCB0100}"/>
            </a:ext>
          </a:extLst>
        </xdr:cNvPr>
        <xdr:cNvSpPr txBox="1">
          <a:spLocks noChangeArrowheads="1"/>
        </xdr:cNvSpPr>
      </xdr:nvSpPr>
      <xdr:spPr bwMode="auto">
        <a:xfrm>
          <a:off x="21297900" y="2416654425"/>
          <a:ext cx="85725" cy="95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76" name="Text Box 2">
          <a:extLst>
            <a:ext uri="{FF2B5EF4-FFF2-40B4-BE49-F238E27FC236}">
              <a16:creationId xmlns:a16="http://schemas.microsoft.com/office/drawing/2014/main" xmlns="" id="{00000000-0008-0000-0700-0000AC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77" name="Text Box 2">
          <a:extLst>
            <a:ext uri="{FF2B5EF4-FFF2-40B4-BE49-F238E27FC236}">
              <a16:creationId xmlns:a16="http://schemas.microsoft.com/office/drawing/2014/main" xmlns="" id="{00000000-0008-0000-0700-0000AD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14</xdr:col>
      <xdr:colOff>457200</xdr:colOff>
      <xdr:row>7792</xdr:row>
      <xdr:rowOff>190500</xdr:rowOff>
    </xdr:from>
    <xdr:to>
      <xdr:col>14</xdr:col>
      <xdr:colOff>542925</xdr:colOff>
      <xdr:row>7792</xdr:row>
      <xdr:rowOff>200025</xdr:rowOff>
    </xdr:to>
    <xdr:sp macro="" textlink="">
      <xdr:nvSpPr>
        <xdr:cNvPr id="117678" name="Text Box 1">
          <a:extLst>
            <a:ext uri="{FF2B5EF4-FFF2-40B4-BE49-F238E27FC236}">
              <a16:creationId xmlns:a16="http://schemas.microsoft.com/office/drawing/2014/main" xmlns="" id="{00000000-0008-0000-0700-0000AECB0100}"/>
            </a:ext>
          </a:extLst>
        </xdr:cNvPr>
        <xdr:cNvSpPr txBox="1">
          <a:spLocks noChangeArrowheads="1"/>
        </xdr:cNvSpPr>
      </xdr:nvSpPr>
      <xdr:spPr bwMode="auto">
        <a:xfrm>
          <a:off x="21297900" y="2416349625"/>
          <a:ext cx="85725" cy="95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79" name="Text Box 2">
          <a:extLst>
            <a:ext uri="{FF2B5EF4-FFF2-40B4-BE49-F238E27FC236}">
              <a16:creationId xmlns:a16="http://schemas.microsoft.com/office/drawing/2014/main" xmlns="" id="{00000000-0008-0000-0700-0000AF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14</xdr:col>
      <xdr:colOff>457200</xdr:colOff>
      <xdr:row>7793</xdr:row>
      <xdr:rowOff>190500</xdr:rowOff>
    </xdr:from>
    <xdr:to>
      <xdr:col>14</xdr:col>
      <xdr:colOff>552450</xdr:colOff>
      <xdr:row>7793</xdr:row>
      <xdr:rowOff>200025</xdr:rowOff>
    </xdr:to>
    <xdr:sp macro="" textlink="">
      <xdr:nvSpPr>
        <xdr:cNvPr id="117680" name="Text Box 1">
          <a:extLst>
            <a:ext uri="{FF2B5EF4-FFF2-40B4-BE49-F238E27FC236}">
              <a16:creationId xmlns:a16="http://schemas.microsoft.com/office/drawing/2014/main" xmlns="" id="{00000000-0008-0000-0700-0000B0CB0100}"/>
            </a:ext>
          </a:extLst>
        </xdr:cNvPr>
        <xdr:cNvSpPr txBox="1">
          <a:spLocks noChangeArrowheads="1"/>
        </xdr:cNvSpPr>
      </xdr:nvSpPr>
      <xdr:spPr bwMode="auto">
        <a:xfrm>
          <a:off x="21297900" y="2416654425"/>
          <a:ext cx="95250" cy="9525"/>
        </a:xfrm>
        <a:prstGeom prst="rect">
          <a:avLst/>
        </a:prstGeom>
        <a:noFill/>
        <a:ln w="9525">
          <a:noFill/>
          <a:miter lim="800000"/>
          <a:headEnd/>
          <a:tailEnd/>
        </a:ln>
      </xdr:spPr>
    </xdr:sp>
    <xdr:clientData/>
  </xdr:twoCellAnchor>
  <xdr:twoCellAnchor editAs="oneCell">
    <xdr:from>
      <xdr:col>14</xdr:col>
      <xdr:colOff>457200</xdr:colOff>
      <xdr:row>7792</xdr:row>
      <xdr:rowOff>190500</xdr:rowOff>
    </xdr:from>
    <xdr:to>
      <xdr:col>14</xdr:col>
      <xdr:colOff>552450</xdr:colOff>
      <xdr:row>7792</xdr:row>
      <xdr:rowOff>200025</xdr:rowOff>
    </xdr:to>
    <xdr:sp macro="" textlink="">
      <xdr:nvSpPr>
        <xdr:cNvPr id="117681" name="Text Box 1">
          <a:extLst>
            <a:ext uri="{FF2B5EF4-FFF2-40B4-BE49-F238E27FC236}">
              <a16:creationId xmlns:a16="http://schemas.microsoft.com/office/drawing/2014/main" xmlns="" id="{00000000-0008-0000-0700-0000B1CB0100}"/>
            </a:ext>
          </a:extLst>
        </xdr:cNvPr>
        <xdr:cNvSpPr txBox="1">
          <a:spLocks noChangeArrowheads="1"/>
        </xdr:cNvSpPr>
      </xdr:nvSpPr>
      <xdr:spPr bwMode="auto">
        <a:xfrm>
          <a:off x="21297900" y="2416349625"/>
          <a:ext cx="95250" cy="95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82" name="Text Box 2">
          <a:extLst>
            <a:ext uri="{FF2B5EF4-FFF2-40B4-BE49-F238E27FC236}">
              <a16:creationId xmlns:a16="http://schemas.microsoft.com/office/drawing/2014/main" xmlns="" id="{00000000-0008-0000-0700-0000B2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3" name="Text Box 2">
          <a:extLst>
            <a:ext uri="{FF2B5EF4-FFF2-40B4-BE49-F238E27FC236}">
              <a16:creationId xmlns:a16="http://schemas.microsoft.com/office/drawing/2014/main" xmlns="" id="{00000000-0008-0000-0700-0000B3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4" name="Text Box 2">
          <a:extLst>
            <a:ext uri="{FF2B5EF4-FFF2-40B4-BE49-F238E27FC236}">
              <a16:creationId xmlns:a16="http://schemas.microsoft.com/office/drawing/2014/main" xmlns="" id="{00000000-0008-0000-0700-0000B4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85" name="Text Box 2">
          <a:extLst>
            <a:ext uri="{FF2B5EF4-FFF2-40B4-BE49-F238E27FC236}">
              <a16:creationId xmlns:a16="http://schemas.microsoft.com/office/drawing/2014/main" xmlns="" id="{00000000-0008-0000-0700-0000B5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6" name="Text Box 2">
          <a:extLst>
            <a:ext uri="{FF2B5EF4-FFF2-40B4-BE49-F238E27FC236}">
              <a16:creationId xmlns:a16="http://schemas.microsoft.com/office/drawing/2014/main" xmlns="" id="{00000000-0008-0000-0700-0000B6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7" name="Text Box 2">
          <a:extLst>
            <a:ext uri="{FF2B5EF4-FFF2-40B4-BE49-F238E27FC236}">
              <a16:creationId xmlns:a16="http://schemas.microsoft.com/office/drawing/2014/main" xmlns="" id="{00000000-0008-0000-0700-0000B7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88" name="Text Box 2">
          <a:extLst>
            <a:ext uri="{FF2B5EF4-FFF2-40B4-BE49-F238E27FC236}">
              <a16:creationId xmlns:a16="http://schemas.microsoft.com/office/drawing/2014/main" xmlns="" id="{00000000-0008-0000-0700-0000B8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9" name="Text Box 2">
          <a:extLst>
            <a:ext uri="{FF2B5EF4-FFF2-40B4-BE49-F238E27FC236}">
              <a16:creationId xmlns:a16="http://schemas.microsoft.com/office/drawing/2014/main" xmlns="" id="{00000000-0008-0000-0700-0000B9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0" name="Text Box 2">
          <a:extLst>
            <a:ext uri="{FF2B5EF4-FFF2-40B4-BE49-F238E27FC236}">
              <a16:creationId xmlns:a16="http://schemas.microsoft.com/office/drawing/2014/main" xmlns="" id="{00000000-0008-0000-0700-0000BA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91" name="Text Box 2">
          <a:extLst>
            <a:ext uri="{FF2B5EF4-FFF2-40B4-BE49-F238E27FC236}">
              <a16:creationId xmlns:a16="http://schemas.microsoft.com/office/drawing/2014/main" xmlns="" id="{00000000-0008-0000-0700-0000BB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2" name="Text Box 2">
          <a:extLst>
            <a:ext uri="{FF2B5EF4-FFF2-40B4-BE49-F238E27FC236}">
              <a16:creationId xmlns:a16="http://schemas.microsoft.com/office/drawing/2014/main" xmlns="" id="{00000000-0008-0000-0700-0000BC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3" name="Text Box 2">
          <a:extLst>
            <a:ext uri="{FF2B5EF4-FFF2-40B4-BE49-F238E27FC236}">
              <a16:creationId xmlns:a16="http://schemas.microsoft.com/office/drawing/2014/main" xmlns="" id="{00000000-0008-0000-0700-0000BD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94" name="Text Box 2">
          <a:extLst>
            <a:ext uri="{FF2B5EF4-FFF2-40B4-BE49-F238E27FC236}">
              <a16:creationId xmlns:a16="http://schemas.microsoft.com/office/drawing/2014/main" xmlns="" id="{00000000-0008-0000-0700-0000BE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5" name="Text Box 2">
          <a:extLst>
            <a:ext uri="{FF2B5EF4-FFF2-40B4-BE49-F238E27FC236}">
              <a16:creationId xmlns:a16="http://schemas.microsoft.com/office/drawing/2014/main" xmlns="" id="{00000000-0008-0000-0700-0000BF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6" name="Text Box 2">
          <a:extLst>
            <a:ext uri="{FF2B5EF4-FFF2-40B4-BE49-F238E27FC236}">
              <a16:creationId xmlns:a16="http://schemas.microsoft.com/office/drawing/2014/main" xmlns="" id="{00000000-0008-0000-0700-0000C0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2505075</xdr:colOff>
      <xdr:row>0</xdr:row>
      <xdr:rowOff>0</xdr:rowOff>
    </xdr:from>
    <xdr:to>
      <xdr:col>2</xdr:col>
      <xdr:colOff>2514600</xdr:colOff>
      <xdr:row>0</xdr:row>
      <xdr:rowOff>47625</xdr:rowOff>
    </xdr:to>
    <xdr:sp macro="" textlink="">
      <xdr:nvSpPr>
        <xdr:cNvPr id="2" name="Text Box 2">
          <a:extLst>
            <a:ext uri="{FF2B5EF4-FFF2-40B4-BE49-F238E27FC236}">
              <a16:creationId xmlns:a16="http://schemas.microsoft.com/office/drawing/2014/main" xmlns="" id="{0BE01A29-9F17-47DA-A8D0-42E49B38A5DF}"/>
            </a:ext>
          </a:extLst>
        </xdr:cNvPr>
        <xdr:cNvSpPr txBox="1">
          <a:spLocks noChangeArrowheads="1"/>
        </xdr:cNvSpPr>
      </xdr:nvSpPr>
      <xdr:spPr bwMode="auto">
        <a:xfrm>
          <a:off x="4029075" y="0"/>
          <a:ext cx="9525" cy="47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1514475</xdr:colOff>
      <xdr:row>29</xdr:row>
      <xdr:rowOff>0</xdr:rowOff>
    </xdr:from>
    <xdr:to>
      <xdr:col>1</xdr:col>
      <xdr:colOff>1838325</xdr:colOff>
      <xdr:row>29</xdr:row>
      <xdr:rowOff>47625</xdr:rowOff>
    </xdr:to>
    <xdr:sp macro="" textlink="">
      <xdr:nvSpPr>
        <xdr:cNvPr id="2" name="Text Box 1"/>
        <xdr:cNvSpPr txBox="1">
          <a:spLocks noChangeArrowheads="1"/>
        </xdr:cNvSpPr>
      </xdr:nvSpPr>
      <xdr:spPr bwMode="auto">
        <a:xfrm>
          <a:off x="1933575" y="20421600"/>
          <a:ext cx="323850" cy="47625"/>
        </a:xfrm>
        <a:prstGeom prst="rect">
          <a:avLst/>
        </a:prstGeom>
        <a:noFill/>
        <a:ln w="9525">
          <a:noFill/>
          <a:miter lim="800000"/>
          <a:headEnd/>
          <a:tailEnd/>
        </a:ln>
      </xdr:spPr>
    </xdr:sp>
    <xdr:clientData/>
  </xdr:twoCellAnchor>
  <xdr:twoCellAnchor editAs="oneCell">
    <xdr:from>
      <xdr:col>1</xdr:col>
      <xdr:colOff>1514475</xdr:colOff>
      <xdr:row>29</xdr:row>
      <xdr:rowOff>0</xdr:rowOff>
    </xdr:from>
    <xdr:to>
      <xdr:col>1</xdr:col>
      <xdr:colOff>1838325</xdr:colOff>
      <xdr:row>29</xdr:row>
      <xdr:rowOff>47625</xdr:rowOff>
    </xdr:to>
    <xdr:sp macro="" textlink="">
      <xdr:nvSpPr>
        <xdr:cNvPr id="3" name="Text Box 4"/>
        <xdr:cNvSpPr txBox="1">
          <a:spLocks noChangeArrowheads="1"/>
        </xdr:cNvSpPr>
      </xdr:nvSpPr>
      <xdr:spPr bwMode="auto">
        <a:xfrm>
          <a:off x="1933575" y="20421600"/>
          <a:ext cx="323850" cy="47625"/>
        </a:xfrm>
        <a:prstGeom prst="rect">
          <a:avLst/>
        </a:prstGeom>
        <a:noFill/>
        <a:ln w="9525">
          <a:noFill/>
          <a:miter lim="800000"/>
          <a:headEnd/>
          <a:tailEnd/>
        </a:ln>
      </xdr:spPr>
    </xdr:sp>
    <xdr:clientData/>
  </xdr:twoCellAnchor>
  <xdr:twoCellAnchor editAs="oneCell">
    <xdr:from>
      <xdr:col>1</xdr:col>
      <xdr:colOff>1514475</xdr:colOff>
      <xdr:row>29</xdr:row>
      <xdr:rowOff>0</xdr:rowOff>
    </xdr:from>
    <xdr:to>
      <xdr:col>1</xdr:col>
      <xdr:colOff>1838325</xdr:colOff>
      <xdr:row>29</xdr:row>
      <xdr:rowOff>47625</xdr:rowOff>
    </xdr:to>
    <xdr:sp macro="" textlink="">
      <xdr:nvSpPr>
        <xdr:cNvPr id="4" name="Text Box 5"/>
        <xdr:cNvSpPr txBox="1">
          <a:spLocks noChangeArrowheads="1"/>
        </xdr:cNvSpPr>
      </xdr:nvSpPr>
      <xdr:spPr bwMode="auto">
        <a:xfrm>
          <a:off x="1933575" y="20421600"/>
          <a:ext cx="323850" cy="47625"/>
        </a:xfrm>
        <a:prstGeom prst="rect">
          <a:avLst/>
        </a:prstGeom>
        <a:noFill/>
        <a:ln w="9525">
          <a:noFill/>
          <a:miter lim="800000"/>
          <a:headEnd/>
          <a:tailEnd/>
        </a:ln>
      </xdr:spPr>
    </xdr:sp>
    <xdr:clientData/>
  </xdr:twoCellAnchor>
  <xdr:twoCellAnchor editAs="oneCell">
    <xdr:from>
      <xdr:col>1</xdr:col>
      <xdr:colOff>1514475</xdr:colOff>
      <xdr:row>29</xdr:row>
      <xdr:rowOff>0</xdr:rowOff>
    </xdr:from>
    <xdr:to>
      <xdr:col>1</xdr:col>
      <xdr:colOff>1838325</xdr:colOff>
      <xdr:row>29</xdr:row>
      <xdr:rowOff>47625</xdr:rowOff>
    </xdr:to>
    <xdr:sp macro="" textlink="">
      <xdr:nvSpPr>
        <xdr:cNvPr id="5" name="Text Box 6"/>
        <xdr:cNvSpPr txBox="1">
          <a:spLocks noChangeArrowheads="1"/>
        </xdr:cNvSpPr>
      </xdr:nvSpPr>
      <xdr:spPr bwMode="auto">
        <a:xfrm>
          <a:off x="1933575" y="20421600"/>
          <a:ext cx="323850" cy="47625"/>
        </a:xfrm>
        <a:prstGeom prst="rect">
          <a:avLst/>
        </a:prstGeom>
        <a:noFill/>
        <a:ln w="9525">
          <a:noFill/>
          <a:miter lim="800000"/>
          <a:headEnd/>
          <a:tailEnd/>
        </a:ln>
      </xdr:spPr>
    </xdr:sp>
    <xdr:clientData/>
  </xdr:twoCellAnchor>
  <xdr:twoCellAnchor editAs="oneCell">
    <xdr:from>
      <xdr:col>1</xdr:col>
      <xdr:colOff>1514475</xdr:colOff>
      <xdr:row>29</xdr:row>
      <xdr:rowOff>0</xdr:rowOff>
    </xdr:from>
    <xdr:to>
      <xdr:col>1</xdr:col>
      <xdr:colOff>1838325</xdr:colOff>
      <xdr:row>29</xdr:row>
      <xdr:rowOff>47625</xdr:rowOff>
    </xdr:to>
    <xdr:sp macro="" textlink="">
      <xdr:nvSpPr>
        <xdr:cNvPr id="6" name="Text Box 1"/>
        <xdr:cNvSpPr txBox="1">
          <a:spLocks noChangeArrowheads="1"/>
        </xdr:cNvSpPr>
      </xdr:nvSpPr>
      <xdr:spPr bwMode="auto">
        <a:xfrm>
          <a:off x="1933575" y="20421600"/>
          <a:ext cx="323850" cy="47625"/>
        </a:xfrm>
        <a:prstGeom prst="rect">
          <a:avLst/>
        </a:prstGeom>
        <a:noFill/>
        <a:ln w="9525">
          <a:noFill/>
          <a:miter lim="800000"/>
          <a:headEnd/>
          <a:tailEnd/>
        </a:ln>
      </xdr:spPr>
    </xdr:sp>
    <xdr:clientData/>
  </xdr:twoCellAnchor>
  <xdr:twoCellAnchor editAs="oneCell">
    <xdr:from>
      <xdr:col>1</xdr:col>
      <xdr:colOff>1514475</xdr:colOff>
      <xdr:row>29</xdr:row>
      <xdr:rowOff>0</xdr:rowOff>
    </xdr:from>
    <xdr:to>
      <xdr:col>1</xdr:col>
      <xdr:colOff>2171700</xdr:colOff>
      <xdr:row>29</xdr:row>
      <xdr:rowOff>28575</xdr:rowOff>
    </xdr:to>
    <xdr:sp macro="" textlink="">
      <xdr:nvSpPr>
        <xdr:cNvPr id="7" name="Text Box 1"/>
        <xdr:cNvSpPr txBox="1">
          <a:spLocks noChangeArrowheads="1"/>
        </xdr:cNvSpPr>
      </xdr:nvSpPr>
      <xdr:spPr bwMode="auto">
        <a:xfrm>
          <a:off x="1933575" y="20421600"/>
          <a:ext cx="657225" cy="28575"/>
        </a:xfrm>
        <a:prstGeom prst="rect">
          <a:avLst/>
        </a:prstGeom>
        <a:noFill/>
        <a:ln w="9525">
          <a:noFill/>
          <a:miter lim="800000"/>
          <a:headEnd/>
          <a:tailEnd/>
        </a:ln>
      </xdr:spPr>
    </xdr:sp>
    <xdr:clientData/>
  </xdr:twoCellAnchor>
  <xdr:twoCellAnchor editAs="oneCell">
    <xdr:from>
      <xdr:col>1</xdr:col>
      <xdr:colOff>1514475</xdr:colOff>
      <xdr:row>29</xdr:row>
      <xdr:rowOff>0</xdr:rowOff>
    </xdr:from>
    <xdr:to>
      <xdr:col>1</xdr:col>
      <xdr:colOff>2171700</xdr:colOff>
      <xdr:row>29</xdr:row>
      <xdr:rowOff>28575</xdr:rowOff>
    </xdr:to>
    <xdr:sp macro="" textlink="">
      <xdr:nvSpPr>
        <xdr:cNvPr id="8" name="Text Box 4"/>
        <xdr:cNvSpPr txBox="1">
          <a:spLocks noChangeArrowheads="1"/>
        </xdr:cNvSpPr>
      </xdr:nvSpPr>
      <xdr:spPr bwMode="auto">
        <a:xfrm>
          <a:off x="1933575" y="20421600"/>
          <a:ext cx="657225" cy="28575"/>
        </a:xfrm>
        <a:prstGeom prst="rect">
          <a:avLst/>
        </a:prstGeom>
        <a:noFill/>
        <a:ln w="9525">
          <a:noFill/>
          <a:miter lim="800000"/>
          <a:headEnd/>
          <a:tailEnd/>
        </a:ln>
      </xdr:spPr>
    </xdr:sp>
    <xdr:clientData/>
  </xdr:twoCellAnchor>
  <xdr:twoCellAnchor editAs="oneCell">
    <xdr:from>
      <xdr:col>1</xdr:col>
      <xdr:colOff>1514475</xdr:colOff>
      <xdr:row>29</xdr:row>
      <xdr:rowOff>0</xdr:rowOff>
    </xdr:from>
    <xdr:to>
      <xdr:col>1</xdr:col>
      <xdr:colOff>2171700</xdr:colOff>
      <xdr:row>29</xdr:row>
      <xdr:rowOff>28575</xdr:rowOff>
    </xdr:to>
    <xdr:sp macro="" textlink="">
      <xdr:nvSpPr>
        <xdr:cNvPr id="9" name="Text Box 5"/>
        <xdr:cNvSpPr txBox="1">
          <a:spLocks noChangeArrowheads="1"/>
        </xdr:cNvSpPr>
      </xdr:nvSpPr>
      <xdr:spPr bwMode="auto">
        <a:xfrm>
          <a:off x="1933575" y="20421600"/>
          <a:ext cx="657225" cy="28575"/>
        </a:xfrm>
        <a:prstGeom prst="rect">
          <a:avLst/>
        </a:prstGeom>
        <a:noFill/>
        <a:ln w="9525">
          <a:noFill/>
          <a:miter lim="800000"/>
          <a:headEnd/>
          <a:tailEnd/>
        </a:ln>
      </xdr:spPr>
    </xdr:sp>
    <xdr:clientData/>
  </xdr:twoCellAnchor>
  <xdr:twoCellAnchor editAs="oneCell">
    <xdr:from>
      <xdr:col>1</xdr:col>
      <xdr:colOff>1514475</xdr:colOff>
      <xdr:row>29</xdr:row>
      <xdr:rowOff>0</xdr:rowOff>
    </xdr:from>
    <xdr:to>
      <xdr:col>1</xdr:col>
      <xdr:colOff>2171700</xdr:colOff>
      <xdr:row>29</xdr:row>
      <xdr:rowOff>28575</xdr:rowOff>
    </xdr:to>
    <xdr:sp macro="" textlink="">
      <xdr:nvSpPr>
        <xdr:cNvPr id="10" name="Text Box 6"/>
        <xdr:cNvSpPr txBox="1">
          <a:spLocks noChangeArrowheads="1"/>
        </xdr:cNvSpPr>
      </xdr:nvSpPr>
      <xdr:spPr bwMode="auto">
        <a:xfrm>
          <a:off x="1933575" y="20421600"/>
          <a:ext cx="657225" cy="28575"/>
        </a:xfrm>
        <a:prstGeom prst="rect">
          <a:avLst/>
        </a:prstGeom>
        <a:noFill/>
        <a:ln w="9525">
          <a:noFill/>
          <a:miter lim="800000"/>
          <a:headEnd/>
          <a:tailEnd/>
        </a:ln>
      </xdr:spPr>
    </xdr:sp>
    <xdr:clientData/>
  </xdr:twoCellAnchor>
  <xdr:twoCellAnchor editAs="oneCell">
    <xdr:from>
      <xdr:col>1</xdr:col>
      <xdr:colOff>1514475</xdr:colOff>
      <xdr:row>29</xdr:row>
      <xdr:rowOff>0</xdr:rowOff>
    </xdr:from>
    <xdr:to>
      <xdr:col>1</xdr:col>
      <xdr:colOff>2171700</xdr:colOff>
      <xdr:row>29</xdr:row>
      <xdr:rowOff>28575</xdr:rowOff>
    </xdr:to>
    <xdr:sp macro="" textlink="">
      <xdr:nvSpPr>
        <xdr:cNvPr id="11" name="Text Box 1"/>
        <xdr:cNvSpPr txBox="1">
          <a:spLocks noChangeArrowheads="1"/>
        </xdr:cNvSpPr>
      </xdr:nvSpPr>
      <xdr:spPr bwMode="auto">
        <a:xfrm>
          <a:off x="1933575" y="20421600"/>
          <a:ext cx="657225" cy="28575"/>
        </a:xfrm>
        <a:prstGeom prst="rect">
          <a:avLst/>
        </a:prstGeom>
        <a:noFill/>
        <a:ln w="9525">
          <a:noFill/>
          <a:miter lim="800000"/>
          <a:headEnd/>
          <a:tailEnd/>
        </a:ln>
      </xdr:spPr>
    </xdr:sp>
    <xdr:clientData/>
  </xdr:twoCellAnchor>
  <xdr:twoCellAnchor editAs="oneCell">
    <xdr:from>
      <xdr:col>1</xdr:col>
      <xdr:colOff>1514475</xdr:colOff>
      <xdr:row>29</xdr:row>
      <xdr:rowOff>0</xdr:rowOff>
    </xdr:from>
    <xdr:to>
      <xdr:col>1</xdr:col>
      <xdr:colOff>2400300</xdr:colOff>
      <xdr:row>29</xdr:row>
      <xdr:rowOff>28575</xdr:rowOff>
    </xdr:to>
    <xdr:sp macro="" textlink="">
      <xdr:nvSpPr>
        <xdr:cNvPr id="12" name="Text Box 1"/>
        <xdr:cNvSpPr txBox="1">
          <a:spLocks noChangeArrowheads="1"/>
        </xdr:cNvSpPr>
      </xdr:nvSpPr>
      <xdr:spPr bwMode="auto">
        <a:xfrm>
          <a:off x="1933575" y="20421600"/>
          <a:ext cx="885825" cy="28575"/>
        </a:xfrm>
        <a:prstGeom prst="rect">
          <a:avLst/>
        </a:prstGeom>
        <a:noFill/>
        <a:ln w="9525">
          <a:noFill/>
          <a:miter lim="800000"/>
          <a:headEnd/>
          <a:tailEnd/>
        </a:ln>
      </xdr:spPr>
    </xdr:sp>
    <xdr:clientData/>
  </xdr:twoCellAnchor>
  <xdr:twoCellAnchor editAs="oneCell">
    <xdr:from>
      <xdr:col>1</xdr:col>
      <xdr:colOff>1514475</xdr:colOff>
      <xdr:row>29</xdr:row>
      <xdr:rowOff>0</xdr:rowOff>
    </xdr:from>
    <xdr:to>
      <xdr:col>1</xdr:col>
      <xdr:colOff>2400300</xdr:colOff>
      <xdr:row>29</xdr:row>
      <xdr:rowOff>28575</xdr:rowOff>
    </xdr:to>
    <xdr:sp macro="" textlink="">
      <xdr:nvSpPr>
        <xdr:cNvPr id="13" name="Text Box 4"/>
        <xdr:cNvSpPr txBox="1">
          <a:spLocks noChangeArrowheads="1"/>
        </xdr:cNvSpPr>
      </xdr:nvSpPr>
      <xdr:spPr bwMode="auto">
        <a:xfrm>
          <a:off x="1933575" y="20421600"/>
          <a:ext cx="885825" cy="28575"/>
        </a:xfrm>
        <a:prstGeom prst="rect">
          <a:avLst/>
        </a:prstGeom>
        <a:noFill/>
        <a:ln w="9525">
          <a:noFill/>
          <a:miter lim="800000"/>
          <a:headEnd/>
          <a:tailEnd/>
        </a:ln>
      </xdr:spPr>
    </xdr:sp>
    <xdr:clientData/>
  </xdr:twoCellAnchor>
  <xdr:twoCellAnchor editAs="oneCell">
    <xdr:from>
      <xdr:col>1</xdr:col>
      <xdr:colOff>1514475</xdr:colOff>
      <xdr:row>29</xdr:row>
      <xdr:rowOff>0</xdr:rowOff>
    </xdr:from>
    <xdr:to>
      <xdr:col>1</xdr:col>
      <xdr:colOff>2400300</xdr:colOff>
      <xdr:row>29</xdr:row>
      <xdr:rowOff>28575</xdr:rowOff>
    </xdr:to>
    <xdr:sp macro="" textlink="">
      <xdr:nvSpPr>
        <xdr:cNvPr id="14" name="Text Box 5"/>
        <xdr:cNvSpPr txBox="1">
          <a:spLocks noChangeArrowheads="1"/>
        </xdr:cNvSpPr>
      </xdr:nvSpPr>
      <xdr:spPr bwMode="auto">
        <a:xfrm>
          <a:off x="1933575" y="20421600"/>
          <a:ext cx="885825" cy="28575"/>
        </a:xfrm>
        <a:prstGeom prst="rect">
          <a:avLst/>
        </a:prstGeom>
        <a:noFill/>
        <a:ln w="9525">
          <a:noFill/>
          <a:miter lim="800000"/>
          <a:headEnd/>
          <a:tailEnd/>
        </a:ln>
      </xdr:spPr>
    </xdr:sp>
    <xdr:clientData/>
  </xdr:twoCellAnchor>
  <xdr:twoCellAnchor editAs="oneCell">
    <xdr:from>
      <xdr:col>1</xdr:col>
      <xdr:colOff>1514475</xdr:colOff>
      <xdr:row>29</xdr:row>
      <xdr:rowOff>0</xdr:rowOff>
    </xdr:from>
    <xdr:to>
      <xdr:col>1</xdr:col>
      <xdr:colOff>2400300</xdr:colOff>
      <xdr:row>29</xdr:row>
      <xdr:rowOff>28575</xdr:rowOff>
    </xdr:to>
    <xdr:sp macro="" textlink="">
      <xdr:nvSpPr>
        <xdr:cNvPr id="15" name="Text Box 6"/>
        <xdr:cNvSpPr txBox="1">
          <a:spLocks noChangeArrowheads="1"/>
        </xdr:cNvSpPr>
      </xdr:nvSpPr>
      <xdr:spPr bwMode="auto">
        <a:xfrm>
          <a:off x="1933575" y="20421600"/>
          <a:ext cx="885825" cy="28575"/>
        </a:xfrm>
        <a:prstGeom prst="rect">
          <a:avLst/>
        </a:prstGeom>
        <a:noFill/>
        <a:ln w="9525">
          <a:noFill/>
          <a:miter lim="800000"/>
          <a:headEnd/>
          <a:tailEnd/>
        </a:ln>
      </xdr:spPr>
    </xdr:sp>
    <xdr:clientData/>
  </xdr:twoCellAnchor>
  <xdr:twoCellAnchor editAs="oneCell">
    <xdr:from>
      <xdr:col>1</xdr:col>
      <xdr:colOff>1514475</xdr:colOff>
      <xdr:row>29</xdr:row>
      <xdr:rowOff>0</xdr:rowOff>
    </xdr:from>
    <xdr:to>
      <xdr:col>1</xdr:col>
      <xdr:colOff>2400300</xdr:colOff>
      <xdr:row>29</xdr:row>
      <xdr:rowOff>28575</xdr:rowOff>
    </xdr:to>
    <xdr:sp macro="" textlink="">
      <xdr:nvSpPr>
        <xdr:cNvPr id="16" name="Text Box 1"/>
        <xdr:cNvSpPr txBox="1">
          <a:spLocks noChangeArrowheads="1"/>
        </xdr:cNvSpPr>
      </xdr:nvSpPr>
      <xdr:spPr bwMode="auto">
        <a:xfrm>
          <a:off x="1933575" y="20421600"/>
          <a:ext cx="885825" cy="28575"/>
        </a:xfrm>
        <a:prstGeom prst="rect">
          <a:avLst/>
        </a:prstGeom>
        <a:noFill/>
        <a:ln w="9525">
          <a:noFill/>
          <a:miter lim="800000"/>
          <a:headEnd/>
          <a:tailEnd/>
        </a:ln>
      </xdr:spPr>
    </xdr:sp>
    <xdr:clientData/>
  </xdr:twoCellAnchor>
  <xdr:twoCellAnchor editAs="oneCell">
    <xdr:from>
      <xdr:col>1</xdr:col>
      <xdr:colOff>1514475</xdr:colOff>
      <xdr:row>29</xdr:row>
      <xdr:rowOff>0</xdr:rowOff>
    </xdr:from>
    <xdr:to>
      <xdr:col>1</xdr:col>
      <xdr:colOff>2171700</xdr:colOff>
      <xdr:row>29</xdr:row>
      <xdr:rowOff>28575</xdr:rowOff>
    </xdr:to>
    <xdr:sp macro="" textlink="">
      <xdr:nvSpPr>
        <xdr:cNvPr id="17" name="Text Box 1"/>
        <xdr:cNvSpPr txBox="1">
          <a:spLocks noChangeArrowheads="1"/>
        </xdr:cNvSpPr>
      </xdr:nvSpPr>
      <xdr:spPr bwMode="auto">
        <a:xfrm>
          <a:off x="1933575" y="20421600"/>
          <a:ext cx="657225" cy="28575"/>
        </a:xfrm>
        <a:prstGeom prst="rect">
          <a:avLst/>
        </a:prstGeom>
        <a:noFill/>
        <a:ln w="9525">
          <a:noFill/>
          <a:miter lim="800000"/>
          <a:headEnd/>
          <a:tailEnd/>
        </a:ln>
      </xdr:spPr>
    </xdr:sp>
    <xdr:clientData/>
  </xdr:twoCellAnchor>
  <xdr:twoCellAnchor editAs="oneCell">
    <xdr:from>
      <xdr:col>1</xdr:col>
      <xdr:colOff>1514475</xdr:colOff>
      <xdr:row>29</xdr:row>
      <xdr:rowOff>0</xdr:rowOff>
    </xdr:from>
    <xdr:to>
      <xdr:col>1</xdr:col>
      <xdr:colOff>2171700</xdr:colOff>
      <xdr:row>29</xdr:row>
      <xdr:rowOff>28575</xdr:rowOff>
    </xdr:to>
    <xdr:sp macro="" textlink="">
      <xdr:nvSpPr>
        <xdr:cNvPr id="18" name="Text Box 4"/>
        <xdr:cNvSpPr txBox="1">
          <a:spLocks noChangeArrowheads="1"/>
        </xdr:cNvSpPr>
      </xdr:nvSpPr>
      <xdr:spPr bwMode="auto">
        <a:xfrm>
          <a:off x="1933575" y="20421600"/>
          <a:ext cx="657225" cy="28575"/>
        </a:xfrm>
        <a:prstGeom prst="rect">
          <a:avLst/>
        </a:prstGeom>
        <a:noFill/>
        <a:ln w="9525">
          <a:noFill/>
          <a:miter lim="800000"/>
          <a:headEnd/>
          <a:tailEnd/>
        </a:ln>
      </xdr:spPr>
    </xdr:sp>
    <xdr:clientData/>
  </xdr:twoCellAnchor>
  <xdr:twoCellAnchor editAs="oneCell">
    <xdr:from>
      <xdr:col>1</xdr:col>
      <xdr:colOff>1514475</xdr:colOff>
      <xdr:row>29</xdr:row>
      <xdr:rowOff>0</xdr:rowOff>
    </xdr:from>
    <xdr:to>
      <xdr:col>1</xdr:col>
      <xdr:colOff>2171700</xdr:colOff>
      <xdr:row>29</xdr:row>
      <xdr:rowOff>28575</xdr:rowOff>
    </xdr:to>
    <xdr:sp macro="" textlink="">
      <xdr:nvSpPr>
        <xdr:cNvPr id="19" name="Text Box 5"/>
        <xdr:cNvSpPr txBox="1">
          <a:spLocks noChangeArrowheads="1"/>
        </xdr:cNvSpPr>
      </xdr:nvSpPr>
      <xdr:spPr bwMode="auto">
        <a:xfrm>
          <a:off x="1933575" y="20421600"/>
          <a:ext cx="657225" cy="28575"/>
        </a:xfrm>
        <a:prstGeom prst="rect">
          <a:avLst/>
        </a:prstGeom>
        <a:noFill/>
        <a:ln w="9525">
          <a:noFill/>
          <a:miter lim="800000"/>
          <a:headEnd/>
          <a:tailEnd/>
        </a:ln>
      </xdr:spPr>
    </xdr:sp>
    <xdr:clientData/>
  </xdr:twoCellAnchor>
  <xdr:twoCellAnchor editAs="oneCell">
    <xdr:from>
      <xdr:col>1</xdr:col>
      <xdr:colOff>1514475</xdr:colOff>
      <xdr:row>29</xdr:row>
      <xdr:rowOff>0</xdr:rowOff>
    </xdr:from>
    <xdr:to>
      <xdr:col>1</xdr:col>
      <xdr:colOff>2171700</xdr:colOff>
      <xdr:row>29</xdr:row>
      <xdr:rowOff>28575</xdr:rowOff>
    </xdr:to>
    <xdr:sp macro="" textlink="">
      <xdr:nvSpPr>
        <xdr:cNvPr id="20" name="Text Box 6"/>
        <xdr:cNvSpPr txBox="1">
          <a:spLocks noChangeArrowheads="1"/>
        </xdr:cNvSpPr>
      </xdr:nvSpPr>
      <xdr:spPr bwMode="auto">
        <a:xfrm>
          <a:off x="1933575" y="20421600"/>
          <a:ext cx="657225" cy="28575"/>
        </a:xfrm>
        <a:prstGeom prst="rect">
          <a:avLst/>
        </a:prstGeom>
        <a:noFill/>
        <a:ln w="9525">
          <a:noFill/>
          <a:miter lim="800000"/>
          <a:headEnd/>
          <a:tailEnd/>
        </a:ln>
      </xdr:spPr>
    </xdr:sp>
    <xdr:clientData/>
  </xdr:twoCellAnchor>
  <xdr:twoCellAnchor editAs="oneCell">
    <xdr:from>
      <xdr:col>1</xdr:col>
      <xdr:colOff>1514475</xdr:colOff>
      <xdr:row>29</xdr:row>
      <xdr:rowOff>0</xdr:rowOff>
    </xdr:from>
    <xdr:to>
      <xdr:col>1</xdr:col>
      <xdr:colOff>2171700</xdr:colOff>
      <xdr:row>29</xdr:row>
      <xdr:rowOff>28575</xdr:rowOff>
    </xdr:to>
    <xdr:sp macro="" textlink="">
      <xdr:nvSpPr>
        <xdr:cNvPr id="21" name="Text Box 1"/>
        <xdr:cNvSpPr txBox="1">
          <a:spLocks noChangeArrowheads="1"/>
        </xdr:cNvSpPr>
      </xdr:nvSpPr>
      <xdr:spPr bwMode="auto">
        <a:xfrm>
          <a:off x="1933575" y="20421600"/>
          <a:ext cx="657225" cy="28575"/>
        </a:xfrm>
        <a:prstGeom prst="rect">
          <a:avLst/>
        </a:prstGeom>
        <a:noFill/>
        <a:ln w="9525">
          <a:noFill/>
          <a:miter lim="800000"/>
          <a:headEnd/>
          <a:tailEnd/>
        </a:ln>
      </xdr:spPr>
    </xdr:sp>
    <xdr:clientData/>
  </xdr:twoCellAnchor>
  <xdr:twoCellAnchor editAs="oneCell">
    <xdr:from>
      <xdr:col>1</xdr:col>
      <xdr:colOff>1514475</xdr:colOff>
      <xdr:row>29</xdr:row>
      <xdr:rowOff>0</xdr:rowOff>
    </xdr:from>
    <xdr:to>
      <xdr:col>1</xdr:col>
      <xdr:colOff>2400300</xdr:colOff>
      <xdr:row>29</xdr:row>
      <xdr:rowOff>28575</xdr:rowOff>
    </xdr:to>
    <xdr:sp macro="" textlink="">
      <xdr:nvSpPr>
        <xdr:cNvPr id="22" name="Text Box 1"/>
        <xdr:cNvSpPr txBox="1">
          <a:spLocks noChangeArrowheads="1"/>
        </xdr:cNvSpPr>
      </xdr:nvSpPr>
      <xdr:spPr bwMode="auto">
        <a:xfrm>
          <a:off x="1933575" y="20421600"/>
          <a:ext cx="885825" cy="28575"/>
        </a:xfrm>
        <a:prstGeom prst="rect">
          <a:avLst/>
        </a:prstGeom>
        <a:noFill/>
        <a:ln w="9525">
          <a:noFill/>
          <a:miter lim="800000"/>
          <a:headEnd/>
          <a:tailEnd/>
        </a:ln>
      </xdr:spPr>
    </xdr:sp>
    <xdr:clientData/>
  </xdr:twoCellAnchor>
  <xdr:twoCellAnchor editAs="oneCell">
    <xdr:from>
      <xdr:col>1</xdr:col>
      <xdr:colOff>1514475</xdr:colOff>
      <xdr:row>29</xdr:row>
      <xdr:rowOff>0</xdr:rowOff>
    </xdr:from>
    <xdr:to>
      <xdr:col>1</xdr:col>
      <xdr:colOff>2400300</xdr:colOff>
      <xdr:row>29</xdr:row>
      <xdr:rowOff>28575</xdr:rowOff>
    </xdr:to>
    <xdr:sp macro="" textlink="">
      <xdr:nvSpPr>
        <xdr:cNvPr id="23" name="Text Box 4"/>
        <xdr:cNvSpPr txBox="1">
          <a:spLocks noChangeArrowheads="1"/>
        </xdr:cNvSpPr>
      </xdr:nvSpPr>
      <xdr:spPr bwMode="auto">
        <a:xfrm>
          <a:off x="1933575" y="20421600"/>
          <a:ext cx="885825" cy="28575"/>
        </a:xfrm>
        <a:prstGeom prst="rect">
          <a:avLst/>
        </a:prstGeom>
        <a:noFill/>
        <a:ln w="9525">
          <a:noFill/>
          <a:miter lim="800000"/>
          <a:headEnd/>
          <a:tailEnd/>
        </a:ln>
      </xdr:spPr>
    </xdr:sp>
    <xdr:clientData/>
  </xdr:twoCellAnchor>
  <xdr:twoCellAnchor editAs="oneCell">
    <xdr:from>
      <xdr:col>1</xdr:col>
      <xdr:colOff>1514475</xdr:colOff>
      <xdr:row>29</xdr:row>
      <xdr:rowOff>0</xdr:rowOff>
    </xdr:from>
    <xdr:to>
      <xdr:col>1</xdr:col>
      <xdr:colOff>2400300</xdr:colOff>
      <xdr:row>29</xdr:row>
      <xdr:rowOff>28575</xdr:rowOff>
    </xdr:to>
    <xdr:sp macro="" textlink="">
      <xdr:nvSpPr>
        <xdr:cNvPr id="24" name="Text Box 5"/>
        <xdr:cNvSpPr txBox="1">
          <a:spLocks noChangeArrowheads="1"/>
        </xdr:cNvSpPr>
      </xdr:nvSpPr>
      <xdr:spPr bwMode="auto">
        <a:xfrm>
          <a:off x="1933575" y="20421600"/>
          <a:ext cx="885825" cy="28575"/>
        </a:xfrm>
        <a:prstGeom prst="rect">
          <a:avLst/>
        </a:prstGeom>
        <a:noFill/>
        <a:ln w="9525">
          <a:noFill/>
          <a:miter lim="800000"/>
          <a:headEnd/>
          <a:tailEnd/>
        </a:ln>
      </xdr:spPr>
    </xdr:sp>
    <xdr:clientData/>
  </xdr:twoCellAnchor>
  <xdr:twoCellAnchor editAs="oneCell">
    <xdr:from>
      <xdr:col>1</xdr:col>
      <xdr:colOff>1514475</xdr:colOff>
      <xdr:row>29</xdr:row>
      <xdr:rowOff>0</xdr:rowOff>
    </xdr:from>
    <xdr:to>
      <xdr:col>1</xdr:col>
      <xdr:colOff>2400300</xdr:colOff>
      <xdr:row>29</xdr:row>
      <xdr:rowOff>28575</xdr:rowOff>
    </xdr:to>
    <xdr:sp macro="" textlink="">
      <xdr:nvSpPr>
        <xdr:cNvPr id="25" name="Text Box 6"/>
        <xdr:cNvSpPr txBox="1">
          <a:spLocks noChangeArrowheads="1"/>
        </xdr:cNvSpPr>
      </xdr:nvSpPr>
      <xdr:spPr bwMode="auto">
        <a:xfrm>
          <a:off x="1933575" y="20421600"/>
          <a:ext cx="885825" cy="28575"/>
        </a:xfrm>
        <a:prstGeom prst="rect">
          <a:avLst/>
        </a:prstGeom>
        <a:noFill/>
        <a:ln w="9525">
          <a:noFill/>
          <a:miter lim="800000"/>
          <a:headEnd/>
          <a:tailEnd/>
        </a:ln>
      </xdr:spPr>
    </xdr:sp>
    <xdr:clientData/>
  </xdr:twoCellAnchor>
  <xdr:twoCellAnchor editAs="oneCell">
    <xdr:from>
      <xdr:col>1</xdr:col>
      <xdr:colOff>1514475</xdr:colOff>
      <xdr:row>29</xdr:row>
      <xdr:rowOff>0</xdr:rowOff>
    </xdr:from>
    <xdr:to>
      <xdr:col>1</xdr:col>
      <xdr:colOff>2400300</xdr:colOff>
      <xdr:row>29</xdr:row>
      <xdr:rowOff>28575</xdr:rowOff>
    </xdr:to>
    <xdr:sp macro="" textlink="">
      <xdr:nvSpPr>
        <xdr:cNvPr id="26" name="Text Box 1"/>
        <xdr:cNvSpPr txBox="1">
          <a:spLocks noChangeArrowheads="1"/>
        </xdr:cNvSpPr>
      </xdr:nvSpPr>
      <xdr:spPr bwMode="auto">
        <a:xfrm>
          <a:off x="1933575" y="20421600"/>
          <a:ext cx="885825" cy="28575"/>
        </a:xfrm>
        <a:prstGeom prst="rect">
          <a:avLst/>
        </a:prstGeom>
        <a:noFill/>
        <a:ln w="9525">
          <a:noFill/>
          <a:miter lim="800000"/>
          <a:headEnd/>
          <a:tailEnd/>
        </a:ln>
      </xdr:spPr>
    </xdr:sp>
    <xdr:clientData/>
  </xdr:twoCellAnchor>
  <xdr:twoCellAnchor editAs="oneCell">
    <xdr:from>
      <xdr:col>1</xdr:col>
      <xdr:colOff>1514475</xdr:colOff>
      <xdr:row>26</xdr:row>
      <xdr:rowOff>0</xdr:rowOff>
    </xdr:from>
    <xdr:to>
      <xdr:col>1</xdr:col>
      <xdr:colOff>1838325</xdr:colOff>
      <xdr:row>26</xdr:row>
      <xdr:rowOff>47625</xdr:rowOff>
    </xdr:to>
    <xdr:sp macro="" textlink="">
      <xdr:nvSpPr>
        <xdr:cNvPr id="27" name="Text Box 1"/>
        <xdr:cNvSpPr txBox="1">
          <a:spLocks noChangeArrowheads="1"/>
        </xdr:cNvSpPr>
      </xdr:nvSpPr>
      <xdr:spPr bwMode="auto">
        <a:xfrm>
          <a:off x="1933575" y="19507200"/>
          <a:ext cx="323850" cy="47625"/>
        </a:xfrm>
        <a:prstGeom prst="rect">
          <a:avLst/>
        </a:prstGeom>
        <a:noFill/>
        <a:ln w="9525">
          <a:noFill/>
          <a:miter lim="800000"/>
          <a:headEnd/>
          <a:tailEnd/>
        </a:ln>
      </xdr:spPr>
    </xdr:sp>
    <xdr:clientData/>
  </xdr:twoCellAnchor>
  <xdr:twoCellAnchor editAs="oneCell">
    <xdr:from>
      <xdr:col>1</xdr:col>
      <xdr:colOff>1514475</xdr:colOff>
      <xdr:row>26</xdr:row>
      <xdr:rowOff>0</xdr:rowOff>
    </xdr:from>
    <xdr:to>
      <xdr:col>1</xdr:col>
      <xdr:colOff>1838325</xdr:colOff>
      <xdr:row>26</xdr:row>
      <xdr:rowOff>47625</xdr:rowOff>
    </xdr:to>
    <xdr:sp macro="" textlink="">
      <xdr:nvSpPr>
        <xdr:cNvPr id="28" name="Text Box 4"/>
        <xdr:cNvSpPr txBox="1">
          <a:spLocks noChangeArrowheads="1"/>
        </xdr:cNvSpPr>
      </xdr:nvSpPr>
      <xdr:spPr bwMode="auto">
        <a:xfrm>
          <a:off x="1933575" y="19507200"/>
          <a:ext cx="323850" cy="47625"/>
        </a:xfrm>
        <a:prstGeom prst="rect">
          <a:avLst/>
        </a:prstGeom>
        <a:noFill/>
        <a:ln w="9525">
          <a:noFill/>
          <a:miter lim="800000"/>
          <a:headEnd/>
          <a:tailEnd/>
        </a:ln>
      </xdr:spPr>
    </xdr:sp>
    <xdr:clientData/>
  </xdr:twoCellAnchor>
  <xdr:twoCellAnchor editAs="oneCell">
    <xdr:from>
      <xdr:col>1</xdr:col>
      <xdr:colOff>1514475</xdr:colOff>
      <xdr:row>26</xdr:row>
      <xdr:rowOff>0</xdr:rowOff>
    </xdr:from>
    <xdr:to>
      <xdr:col>1</xdr:col>
      <xdr:colOff>1838325</xdr:colOff>
      <xdr:row>26</xdr:row>
      <xdr:rowOff>47625</xdr:rowOff>
    </xdr:to>
    <xdr:sp macro="" textlink="">
      <xdr:nvSpPr>
        <xdr:cNvPr id="29" name="Text Box 5"/>
        <xdr:cNvSpPr txBox="1">
          <a:spLocks noChangeArrowheads="1"/>
        </xdr:cNvSpPr>
      </xdr:nvSpPr>
      <xdr:spPr bwMode="auto">
        <a:xfrm>
          <a:off x="1933575" y="19507200"/>
          <a:ext cx="323850" cy="47625"/>
        </a:xfrm>
        <a:prstGeom prst="rect">
          <a:avLst/>
        </a:prstGeom>
        <a:noFill/>
        <a:ln w="9525">
          <a:noFill/>
          <a:miter lim="800000"/>
          <a:headEnd/>
          <a:tailEnd/>
        </a:ln>
      </xdr:spPr>
    </xdr:sp>
    <xdr:clientData/>
  </xdr:twoCellAnchor>
  <xdr:twoCellAnchor editAs="oneCell">
    <xdr:from>
      <xdr:col>1</xdr:col>
      <xdr:colOff>1514475</xdr:colOff>
      <xdr:row>26</xdr:row>
      <xdr:rowOff>0</xdr:rowOff>
    </xdr:from>
    <xdr:to>
      <xdr:col>1</xdr:col>
      <xdr:colOff>1838325</xdr:colOff>
      <xdr:row>26</xdr:row>
      <xdr:rowOff>47625</xdr:rowOff>
    </xdr:to>
    <xdr:sp macro="" textlink="">
      <xdr:nvSpPr>
        <xdr:cNvPr id="30" name="Text Box 6"/>
        <xdr:cNvSpPr txBox="1">
          <a:spLocks noChangeArrowheads="1"/>
        </xdr:cNvSpPr>
      </xdr:nvSpPr>
      <xdr:spPr bwMode="auto">
        <a:xfrm>
          <a:off x="1933575" y="19507200"/>
          <a:ext cx="323850" cy="47625"/>
        </a:xfrm>
        <a:prstGeom prst="rect">
          <a:avLst/>
        </a:prstGeom>
        <a:noFill/>
        <a:ln w="9525">
          <a:noFill/>
          <a:miter lim="800000"/>
          <a:headEnd/>
          <a:tailEnd/>
        </a:ln>
      </xdr:spPr>
    </xdr:sp>
    <xdr:clientData/>
  </xdr:twoCellAnchor>
  <xdr:twoCellAnchor editAs="oneCell">
    <xdr:from>
      <xdr:col>1</xdr:col>
      <xdr:colOff>1514475</xdr:colOff>
      <xdr:row>26</xdr:row>
      <xdr:rowOff>0</xdr:rowOff>
    </xdr:from>
    <xdr:to>
      <xdr:col>1</xdr:col>
      <xdr:colOff>1838325</xdr:colOff>
      <xdr:row>26</xdr:row>
      <xdr:rowOff>47625</xdr:rowOff>
    </xdr:to>
    <xdr:sp macro="" textlink="">
      <xdr:nvSpPr>
        <xdr:cNvPr id="31" name="Text Box 1"/>
        <xdr:cNvSpPr txBox="1">
          <a:spLocks noChangeArrowheads="1"/>
        </xdr:cNvSpPr>
      </xdr:nvSpPr>
      <xdr:spPr bwMode="auto">
        <a:xfrm>
          <a:off x="1933575" y="19507200"/>
          <a:ext cx="323850" cy="47625"/>
        </a:xfrm>
        <a:prstGeom prst="rect">
          <a:avLst/>
        </a:prstGeom>
        <a:noFill/>
        <a:ln w="9525">
          <a:noFill/>
          <a:miter lim="800000"/>
          <a:headEnd/>
          <a:tailEnd/>
        </a:ln>
      </xdr:spPr>
    </xdr:sp>
    <xdr:clientData/>
  </xdr:twoCellAnchor>
  <xdr:twoCellAnchor editAs="oneCell">
    <xdr:from>
      <xdr:col>1</xdr:col>
      <xdr:colOff>1514475</xdr:colOff>
      <xdr:row>26</xdr:row>
      <xdr:rowOff>0</xdr:rowOff>
    </xdr:from>
    <xdr:to>
      <xdr:col>1</xdr:col>
      <xdr:colOff>2171700</xdr:colOff>
      <xdr:row>26</xdr:row>
      <xdr:rowOff>28575</xdr:rowOff>
    </xdr:to>
    <xdr:sp macro="" textlink="">
      <xdr:nvSpPr>
        <xdr:cNvPr id="32" name="Text Box 1"/>
        <xdr:cNvSpPr txBox="1">
          <a:spLocks noChangeArrowheads="1"/>
        </xdr:cNvSpPr>
      </xdr:nvSpPr>
      <xdr:spPr bwMode="auto">
        <a:xfrm>
          <a:off x="1933575" y="19507200"/>
          <a:ext cx="657225" cy="28575"/>
        </a:xfrm>
        <a:prstGeom prst="rect">
          <a:avLst/>
        </a:prstGeom>
        <a:noFill/>
        <a:ln w="9525">
          <a:noFill/>
          <a:miter lim="800000"/>
          <a:headEnd/>
          <a:tailEnd/>
        </a:ln>
      </xdr:spPr>
    </xdr:sp>
    <xdr:clientData/>
  </xdr:twoCellAnchor>
  <xdr:twoCellAnchor editAs="oneCell">
    <xdr:from>
      <xdr:col>1</xdr:col>
      <xdr:colOff>1514475</xdr:colOff>
      <xdr:row>26</xdr:row>
      <xdr:rowOff>0</xdr:rowOff>
    </xdr:from>
    <xdr:to>
      <xdr:col>1</xdr:col>
      <xdr:colOff>2171700</xdr:colOff>
      <xdr:row>26</xdr:row>
      <xdr:rowOff>28575</xdr:rowOff>
    </xdr:to>
    <xdr:sp macro="" textlink="">
      <xdr:nvSpPr>
        <xdr:cNvPr id="33" name="Text Box 4"/>
        <xdr:cNvSpPr txBox="1">
          <a:spLocks noChangeArrowheads="1"/>
        </xdr:cNvSpPr>
      </xdr:nvSpPr>
      <xdr:spPr bwMode="auto">
        <a:xfrm>
          <a:off x="1933575" y="19507200"/>
          <a:ext cx="657225" cy="28575"/>
        </a:xfrm>
        <a:prstGeom prst="rect">
          <a:avLst/>
        </a:prstGeom>
        <a:noFill/>
        <a:ln w="9525">
          <a:noFill/>
          <a:miter lim="800000"/>
          <a:headEnd/>
          <a:tailEnd/>
        </a:ln>
      </xdr:spPr>
    </xdr:sp>
    <xdr:clientData/>
  </xdr:twoCellAnchor>
  <xdr:twoCellAnchor editAs="oneCell">
    <xdr:from>
      <xdr:col>1</xdr:col>
      <xdr:colOff>1514475</xdr:colOff>
      <xdr:row>26</xdr:row>
      <xdr:rowOff>0</xdr:rowOff>
    </xdr:from>
    <xdr:to>
      <xdr:col>1</xdr:col>
      <xdr:colOff>2171700</xdr:colOff>
      <xdr:row>26</xdr:row>
      <xdr:rowOff>28575</xdr:rowOff>
    </xdr:to>
    <xdr:sp macro="" textlink="">
      <xdr:nvSpPr>
        <xdr:cNvPr id="34" name="Text Box 5"/>
        <xdr:cNvSpPr txBox="1">
          <a:spLocks noChangeArrowheads="1"/>
        </xdr:cNvSpPr>
      </xdr:nvSpPr>
      <xdr:spPr bwMode="auto">
        <a:xfrm>
          <a:off x="1933575" y="19507200"/>
          <a:ext cx="657225" cy="28575"/>
        </a:xfrm>
        <a:prstGeom prst="rect">
          <a:avLst/>
        </a:prstGeom>
        <a:noFill/>
        <a:ln w="9525">
          <a:noFill/>
          <a:miter lim="800000"/>
          <a:headEnd/>
          <a:tailEnd/>
        </a:ln>
      </xdr:spPr>
    </xdr:sp>
    <xdr:clientData/>
  </xdr:twoCellAnchor>
  <xdr:twoCellAnchor editAs="oneCell">
    <xdr:from>
      <xdr:col>1</xdr:col>
      <xdr:colOff>1514475</xdr:colOff>
      <xdr:row>26</xdr:row>
      <xdr:rowOff>0</xdr:rowOff>
    </xdr:from>
    <xdr:to>
      <xdr:col>1</xdr:col>
      <xdr:colOff>2171700</xdr:colOff>
      <xdr:row>26</xdr:row>
      <xdr:rowOff>28575</xdr:rowOff>
    </xdr:to>
    <xdr:sp macro="" textlink="">
      <xdr:nvSpPr>
        <xdr:cNvPr id="35" name="Text Box 6"/>
        <xdr:cNvSpPr txBox="1">
          <a:spLocks noChangeArrowheads="1"/>
        </xdr:cNvSpPr>
      </xdr:nvSpPr>
      <xdr:spPr bwMode="auto">
        <a:xfrm>
          <a:off x="1933575" y="19507200"/>
          <a:ext cx="657225" cy="28575"/>
        </a:xfrm>
        <a:prstGeom prst="rect">
          <a:avLst/>
        </a:prstGeom>
        <a:noFill/>
        <a:ln w="9525">
          <a:noFill/>
          <a:miter lim="800000"/>
          <a:headEnd/>
          <a:tailEnd/>
        </a:ln>
      </xdr:spPr>
    </xdr:sp>
    <xdr:clientData/>
  </xdr:twoCellAnchor>
  <xdr:twoCellAnchor editAs="oneCell">
    <xdr:from>
      <xdr:col>1</xdr:col>
      <xdr:colOff>1514475</xdr:colOff>
      <xdr:row>26</xdr:row>
      <xdr:rowOff>0</xdr:rowOff>
    </xdr:from>
    <xdr:to>
      <xdr:col>1</xdr:col>
      <xdr:colOff>2171700</xdr:colOff>
      <xdr:row>26</xdr:row>
      <xdr:rowOff>28575</xdr:rowOff>
    </xdr:to>
    <xdr:sp macro="" textlink="">
      <xdr:nvSpPr>
        <xdr:cNvPr id="36" name="Text Box 1"/>
        <xdr:cNvSpPr txBox="1">
          <a:spLocks noChangeArrowheads="1"/>
        </xdr:cNvSpPr>
      </xdr:nvSpPr>
      <xdr:spPr bwMode="auto">
        <a:xfrm>
          <a:off x="1933575" y="19507200"/>
          <a:ext cx="657225" cy="28575"/>
        </a:xfrm>
        <a:prstGeom prst="rect">
          <a:avLst/>
        </a:prstGeom>
        <a:noFill/>
        <a:ln w="9525">
          <a:noFill/>
          <a:miter lim="800000"/>
          <a:headEnd/>
          <a:tailEnd/>
        </a:ln>
      </xdr:spPr>
    </xdr:sp>
    <xdr:clientData/>
  </xdr:twoCellAnchor>
  <xdr:twoCellAnchor editAs="oneCell">
    <xdr:from>
      <xdr:col>1</xdr:col>
      <xdr:colOff>1514475</xdr:colOff>
      <xdr:row>26</xdr:row>
      <xdr:rowOff>0</xdr:rowOff>
    </xdr:from>
    <xdr:to>
      <xdr:col>1</xdr:col>
      <xdr:colOff>2400300</xdr:colOff>
      <xdr:row>26</xdr:row>
      <xdr:rowOff>28575</xdr:rowOff>
    </xdr:to>
    <xdr:sp macro="" textlink="">
      <xdr:nvSpPr>
        <xdr:cNvPr id="37" name="Text Box 1"/>
        <xdr:cNvSpPr txBox="1">
          <a:spLocks noChangeArrowheads="1"/>
        </xdr:cNvSpPr>
      </xdr:nvSpPr>
      <xdr:spPr bwMode="auto">
        <a:xfrm>
          <a:off x="1933575" y="19507200"/>
          <a:ext cx="885825" cy="28575"/>
        </a:xfrm>
        <a:prstGeom prst="rect">
          <a:avLst/>
        </a:prstGeom>
        <a:noFill/>
        <a:ln w="9525">
          <a:noFill/>
          <a:miter lim="800000"/>
          <a:headEnd/>
          <a:tailEnd/>
        </a:ln>
      </xdr:spPr>
    </xdr:sp>
    <xdr:clientData/>
  </xdr:twoCellAnchor>
  <xdr:twoCellAnchor editAs="oneCell">
    <xdr:from>
      <xdr:col>1</xdr:col>
      <xdr:colOff>1514475</xdr:colOff>
      <xdr:row>26</xdr:row>
      <xdr:rowOff>0</xdr:rowOff>
    </xdr:from>
    <xdr:to>
      <xdr:col>1</xdr:col>
      <xdr:colOff>2400300</xdr:colOff>
      <xdr:row>26</xdr:row>
      <xdr:rowOff>28575</xdr:rowOff>
    </xdr:to>
    <xdr:sp macro="" textlink="">
      <xdr:nvSpPr>
        <xdr:cNvPr id="38" name="Text Box 4"/>
        <xdr:cNvSpPr txBox="1">
          <a:spLocks noChangeArrowheads="1"/>
        </xdr:cNvSpPr>
      </xdr:nvSpPr>
      <xdr:spPr bwMode="auto">
        <a:xfrm>
          <a:off x="1933575" y="19507200"/>
          <a:ext cx="885825" cy="28575"/>
        </a:xfrm>
        <a:prstGeom prst="rect">
          <a:avLst/>
        </a:prstGeom>
        <a:noFill/>
        <a:ln w="9525">
          <a:noFill/>
          <a:miter lim="800000"/>
          <a:headEnd/>
          <a:tailEnd/>
        </a:ln>
      </xdr:spPr>
    </xdr:sp>
    <xdr:clientData/>
  </xdr:twoCellAnchor>
  <xdr:twoCellAnchor editAs="oneCell">
    <xdr:from>
      <xdr:col>1</xdr:col>
      <xdr:colOff>1514475</xdr:colOff>
      <xdr:row>26</xdr:row>
      <xdr:rowOff>0</xdr:rowOff>
    </xdr:from>
    <xdr:to>
      <xdr:col>1</xdr:col>
      <xdr:colOff>2400300</xdr:colOff>
      <xdr:row>26</xdr:row>
      <xdr:rowOff>28575</xdr:rowOff>
    </xdr:to>
    <xdr:sp macro="" textlink="">
      <xdr:nvSpPr>
        <xdr:cNvPr id="39" name="Text Box 5"/>
        <xdr:cNvSpPr txBox="1">
          <a:spLocks noChangeArrowheads="1"/>
        </xdr:cNvSpPr>
      </xdr:nvSpPr>
      <xdr:spPr bwMode="auto">
        <a:xfrm>
          <a:off x="1933575" y="19507200"/>
          <a:ext cx="885825" cy="28575"/>
        </a:xfrm>
        <a:prstGeom prst="rect">
          <a:avLst/>
        </a:prstGeom>
        <a:noFill/>
        <a:ln w="9525">
          <a:noFill/>
          <a:miter lim="800000"/>
          <a:headEnd/>
          <a:tailEnd/>
        </a:ln>
      </xdr:spPr>
    </xdr:sp>
    <xdr:clientData/>
  </xdr:twoCellAnchor>
  <xdr:twoCellAnchor editAs="oneCell">
    <xdr:from>
      <xdr:col>1</xdr:col>
      <xdr:colOff>1514475</xdr:colOff>
      <xdr:row>26</xdr:row>
      <xdr:rowOff>0</xdr:rowOff>
    </xdr:from>
    <xdr:to>
      <xdr:col>1</xdr:col>
      <xdr:colOff>2400300</xdr:colOff>
      <xdr:row>26</xdr:row>
      <xdr:rowOff>28575</xdr:rowOff>
    </xdr:to>
    <xdr:sp macro="" textlink="">
      <xdr:nvSpPr>
        <xdr:cNvPr id="40" name="Text Box 6"/>
        <xdr:cNvSpPr txBox="1">
          <a:spLocks noChangeArrowheads="1"/>
        </xdr:cNvSpPr>
      </xdr:nvSpPr>
      <xdr:spPr bwMode="auto">
        <a:xfrm>
          <a:off x="1933575" y="19507200"/>
          <a:ext cx="885825" cy="28575"/>
        </a:xfrm>
        <a:prstGeom prst="rect">
          <a:avLst/>
        </a:prstGeom>
        <a:noFill/>
        <a:ln w="9525">
          <a:noFill/>
          <a:miter lim="800000"/>
          <a:headEnd/>
          <a:tailEnd/>
        </a:ln>
      </xdr:spPr>
    </xdr:sp>
    <xdr:clientData/>
  </xdr:twoCellAnchor>
  <xdr:twoCellAnchor editAs="oneCell">
    <xdr:from>
      <xdr:col>1</xdr:col>
      <xdr:colOff>1514475</xdr:colOff>
      <xdr:row>26</xdr:row>
      <xdr:rowOff>0</xdr:rowOff>
    </xdr:from>
    <xdr:to>
      <xdr:col>1</xdr:col>
      <xdr:colOff>2400300</xdr:colOff>
      <xdr:row>26</xdr:row>
      <xdr:rowOff>28575</xdr:rowOff>
    </xdr:to>
    <xdr:sp macro="" textlink="">
      <xdr:nvSpPr>
        <xdr:cNvPr id="41" name="Text Box 1"/>
        <xdr:cNvSpPr txBox="1">
          <a:spLocks noChangeArrowheads="1"/>
        </xdr:cNvSpPr>
      </xdr:nvSpPr>
      <xdr:spPr bwMode="auto">
        <a:xfrm>
          <a:off x="1933575" y="19507200"/>
          <a:ext cx="885825" cy="28575"/>
        </a:xfrm>
        <a:prstGeom prst="rect">
          <a:avLst/>
        </a:prstGeom>
        <a:noFill/>
        <a:ln w="9525">
          <a:noFill/>
          <a:miter lim="800000"/>
          <a:headEnd/>
          <a:tailEnd/>
        </a:ln>
      </xdr:spPr>
    </xdr:sp>
    <xdr:clientData/>
  </xdr:twoCellAnchor>
  <xdr:twoCellAnchor editAs="oneCell">
    <xdr:from>
      <xdr:col>1</xdr:col>
      <xdr:colOff>1514475</xdr:colOff>
      <xdr:row>26</xdr:row>
      <xdr:rowOff>0</xdr:rowOff>
    </xdr:from>
    <xdr:to>
      <xdr:col>1</xdr:col>
      <xdr:colOff>2171700</xdr:colOff>
      <xdr:row>26</xdr:row>
      <xdr:rowOff>28575</xdr:rowOff>
    </xdr:to>
    <xdr:sp macro="" textlink="">
      <xdr:nvSpPr>
        <xdr:cNvPr id="42" name="Text Box 1"/>
        <xdr:cNvSpPr txBox="1">
          <a:spLocks noChangeArrowheads="1"/>
        </xdr:cNvSpPr>
      </xdr:nvSpPr>
      <xdr:spPr bwMode="auto">
        <a:xfrm>
          <a:off x="1933575" y="19507200"/>
          <a:ext cx="657225" cy="28575"/>
        </a:xfrm>
        <a:prstGeom prst="rect">
          <a:avLst/>
        </a:prstGeom>
        <a:noFill/>
        <a:ln w="9525">
          <a:noFill/>
          <a:miter lim="800000"/>
          <a:headEnd/>
          <a:tailEnd/>
        </a:ln>
      </xdr:spPr>
    </xdr:sp>
    <xdr:clientData/>
  </xdr:twoCellAnchor>
  <xdr:twoCellAnchor editAs="oneCell">
    <xdr:from>
      <xdr:col>1</xdr:col>
      <xdr:colOff>1514475</xdr:colOff>
      <xdr:row>26</xdr:row>
      <xdr:rowOff>0</xdr:rowOff>
    </xdr:from>
    <xdr:to>
      <xdr:col>1</xdr:col>
      <xdr:colOff>2171700</xdr:colOff>
      <xdr:row>26</xdr:row>
      <xdr:rowOff>28575</xdr:rowOff>
    </xdr:to>
    <xdr:sp macro="" textlink="">
      <xdr:nvSpPr>
        <xdr:cNvPr id="43" name="Text Box 4"/>
        <xdr:cNvSpPr txBox="1">
          <a:spLocks noChangeArrowheads="1"/>
        </xdr:cNvSpPr>
      </xdr:nvSpPr>
      <xdr:spPr bwMode="auto">
        <a:xfrm>
          <a:off x="1933575" y="19507200"/>
          <a:ext cx="657225" cy="28575"/>
        </a:xfrm>
        <a:prstGeom prst="rect">
          <a:avLst/>
        </a:prstGeom>
        <a:noFill/>
        <a:ln w="9525">
          <a:noFill/>
          <a:miter lim="800000"/>
          <a:headEnd/>
          <a:tailEnd/>
        </a:ln>
      </xdr:spPr>
    </xdr:sp>
    <xdr:clientData/>
  </xdr:twoCellAnchor>
  <xdr:twoCellAnchor editAs="oneCell">
    <xdr:from>
      <xdr:col>1</xdr:col>
      <xdr:colOff>1514475</xdr:colOff>
      <xdr:row>26</xdr:row>
      <xdr:rowOff>0</xdr:rowOff>
    </xdr:from>
    <xdr:to>
      <xdr:col>1</xdr:col>
      <xdr:colOff>2171700</xdr:colOff>
      <xdr:row>26</xdr:row>
      <xdr:rowOff>28575</xdr:rowOff>
    </xdr:to>
    <xdr:sp macro="" textlink="">
      <xdr:nvSpPr>
        <xdr:cNvPr id="44" name="Text Box 5"/>
        <xdr:cNvSpPr txBox="1">
          <a:spLocks noChangeArrowheads="1"/>
        </xdr:cNvSpPr>
      </xdr:nvSpPr>
      <xdr:spPr bwMode="auto">
        <a:xfrm>
          <a:off x="1933575" y="19507200"/>
          <a:ext cx="657225" cy="28575"/>
        </a:xfrm>
        <a:prstGeom prst="rect">
          <a:avLst/>
        </a:prstGeom>
        <a:noFill/>
        <a:ln w="9525">
          <a:noFill/>
          <a:miter lim="800000"/>
          <a:headEnd/>
          <a:tailEnd/>
        </a:ln>
      </xdr:spPr>
    </xdr:sp>
    <xdr:clientData/>
  </xdr:twoCellAnchor>
  <xdr:twoCellAnchor editAs="oneCell">
    <xdr:from>
      <xdr:col>1</xdr:col>
      <xdr:colOff>1514475</xdr:colOff>
      <xdr:row>26</xdr:row>
      <xdr:rowOff>0</xdr:rowOff>
    </xdr:from>
    <xdr:to>
      <xdr:col>1</xdr:col>
      <xdr:colOff>2171700</xdr:colOff>
      <xdr:row>26</xdr:row>
      <xdr:rowOff>28575</xdr:rowOff>
    </xdr:to>
    <xdr:sp macro="" textlink="">
      <xdr:nvSpPr>
        <xdr:cNvPr id="45" name="Text Box 6"/>
        <xdr:cNvSpPr txBox="1">
          <a:spLocks noChangeArrowheads="1"/>
        </xdr:cNvSpPr>
      </xdr:nvSpPr>
      <xdr:spPr bwMode="auto">
        <a:xfrm>
          <a:off x="1933575" y="19507200"/>
          <a:ext cx="657225" cy="28575"/>
        </a:xfrm>
        <a:prstGeom prst="rect">
          <a:avLst/>
        </a:prstGeom>
        <a:noFill/>
        <a:ln w="9525">
          <a:noFill/>
          <a:miter lim="800000"/>
          <a:headEnd/>
          <a:tailEnd/>
        </a:ln>
      </xdr:spPr>
    </xdr:sp>
    <xdr:clientData/>
  </xdr:twoCellAnchor>
  <xdr:twoCellAnchor editAs="oneCell">
    <xdr:from>
      <xdr:col>1</xdr:col>
      <xdr:colOff>1514475</xdr:colOff>
      <xdr:row>26</xdr:row>
      <xdr:rowOff>0</xdr:rowOff>
    </xdr:from>
    <xdr:to>
      <xdr:col>1</xdr:col>
      <xdr:colOff>2171700</xdr:colOff>
      <xdr:row>26</xdr:row>
      <xdr:rowOff>28575</xdr:rowOff>
    </xdr:to>
    <xdr:sp macro="" textlink="">
      <xdr:nvSpPr>
        <xdr:cNvPr id="46" name="Text Box 1"/>
        <xdr:cNvSpPr txBox="1">
          <a:spLocks noChangeArrowheads="1"/>
        </xdr:cNvSpPr>
      </xdr:nvSpPr>
      <xdr:spPr bwMode="auto">
        <a:xfrm>
          <a:off x="1933575" y="19507200"/>
          <a:ext cx="657225" cy="28575"/>
        </a:xfrm>
        <a:prstGeom prst="rect">
          <a:avLst/>
        </a:prstGeom>
        <a:noFill/>
        <a:ln w="9525">
          <a:noFill/>
          <a:miter lim="800000"/>
          <a:headEnd/>
          <a:tailEnd/>
        </a:ln>
      </xdr:spPr>
    </xdr:sp>
    <xdr:clientData/>
  </xdr:twoCellAnchor>
  <xdr:twoCellAnchor editAs="oneCell">
    <xdr:from>
      <xdr:col>1</xdr:col>
      <xdr:colOff>1514475</xdr:colOff>
      <xdr:row>26</xdr:row>
      <xdr:rowOff>0</xdr:rowOff>
    </xdr:from>
    <xdr:to>
      <xdr:col>1</xdr:col>
      <xdr:colOff>2400300</xdr:colOff>
      <xdr:row>26</xdr:row>
      <xdr:rowOff>28575</xdr:rowOff>
    </xdr:to>
    <xdr:sp macro="" textlink="">
      <xdr:nvSpPr>
        <xdr:cNvPr id="47" name="Text Box 1"/>
        <xdr:cNvSpPr txBox="1">
          <a:spLocks noChangeArrowheads="1"/>
        </xdr:cNvSpPr>
      </xdr:nvSpPr>
      <xdr:spPr bwMode="auto">
        <a:xfrm>
          <a:off x="1933575" y="19507200"/>
          <a:ext cx="885825" cy="28575"/>
        </a:xfrm>
        <a:prstGeom prst="rect">
          <a:avLst/>
        </a:prstGeom>
        <a:noFill/>
        <a:ln w="9525">
          <a:noFill/>
          <a:miter lim="800000"/>
          <a:headEnd/>
          <a:tailEnd/>
        </a:ln>
      </xdr:spPr>
    </xdr:sp>
    <xdr:clientData/>
  </xdr:twoCellAnchor>
  <xdr:twoCellAnchor editAs="oneCell">
    <xdr:from>
      <xdr:col>1</xdr:col>
      <xdr:colOff>1514475</xdr:colOff>
      <xdr:row>26</xdr:row>
      <xdr:rowOff>0</xdr:rowOff>
    </xdr:from>
    <xdr:to>
      <xdr:col>1</xdr:col>
      <xdr:colOff>2400300</xdr:colOff>
      <xdr:row>26</xdr:row>
      <xdr:rowOff>28575</xdr:rowOff>
    </xdr:to>
    <xdr:sp macro="" textlink="">
      <xdr:nvSpPr>
        <xdr:cNvPr id="48" name="Text Box 4"/>
        <xdr:cNvSpPr txBox="1">
          <a:spLocks noChangeArrowheads="1"/>
        </xdr:cNvSpPr>
      </xdr:nvSpPr>
      <xdr:spPr bwMode="auto">
        <a:xfrm>
          <a:off x="1933575" y="19507200"/>
          <a:ext cx="885825" cy="28575"/>
        </a:xfrm>
        <a:prstGeom prst="rect">
          <a:avLst/>
        </a:prstGeom>
        <a:noFill/>
        <a:ln w="9525">
          <a:noFill/>
          <a:miter lim="800000"/>
          <a:headEnd/>
          <a:tailEnd/>
        </a:ln>
      </xdr:spPr>
    </xdr:sp>
    <xdr:clientData/>
  </xdr:twoCellAnchor>
  <xdr:twoCellAnchor editAs="oneCell">
    <xdr:from>
      <xdr:col>1</xdr:col>
      <xdr:colOff>1514475</xdr:colOff>
      <xdr:row>26</xdr:row>
      <xdr:rowOff>0</xdr:rowOff>
    </xdr:from>
    <xdr:to>
      <xdr:col>1</xdr:col>
      <xdr:colOff>2400300</xdr:colOff>
      <xdr:row>26</xdr:row>
      <xdr:rowOff>28575</xdr:rowOff>
    </xdr:to>
    <xdr:sp macro="" textlink="">
      <xdr:nvSpPr>
        <xdr:cNvPr id="49" name="Text Box 5"/>
        <xdr:cNvSpPr txBox="1">
          <a:spLocks noChangeArrowheads="1"/>
        </xdr:cNvSpPr>
      </xdr:nvSpPr>
      <xdr:spPr bwMode="auto">
        <a:xfrm>
          <a:off x="1933575" y="19507200"/>
          <a:ext cx="885825" cy="28575"/>
        </a:xfrm>
        <a:prstGeom prst="rect">
          <a:avLst/>
        </a:prstGeom>
        <a:noFill/>
        <a:ln w="9525">
          <a:noFill/>
          <a:miter lim="800000"/>
          <a:headEnd/>
          <a:tailEnd/>
        </a:ln>
      </xdr:spPr>
    </xdr:sp>
    <xdr:clientData/>
  </xdr:twoCellAnchor>
  <xdr:twoCellAnchor editAs="oneCell">
    <xdr:from>
      <xdr:col>1</xdr:col>
      <xdr:colOff>1514475</xdr:colOff>
      <xdr:row>26</xdr:row>
      <xdr:rowOff>0</xdr:rowOff>
    </xdr:from>
    <xdr:to>
      <xdr:col>1</xdr:col>
      <xdr:colOff>2400300</xdr:colOff>
      <xdr:row>26</xdr:row>
      <xdr:rowOff>28575</xdr:rowOff>
    </xdr:to>
    <xdr:sp macro="" textlink="">
      <xdr:nvSpPr>
        <xdr:cNvPr id="50" name="Text Box 6"/>
        <xdr:cNvSpPr txBox="1">
          <a:spLocks noChangeArrowheads="1"/>
        </xdr:cNvSpPr>
      </xdr:nvSpPr>
      <xdr:spPr bwMode="auto">
        <a:xfrm>
          <a:off x="1933575" y="19507200"/>
          <a:ext cx="885825" cy="28575"/>
        </a:xfrm>
        <a:prstGeom prst="rect">
          <a:avLst/>
        </a:prstGeom>
        <a:noFill/>
        <a:ln w="9525">
          <a:noFill/>
          <a:miter lim="800000"/>
          <a:headEnd/>
          <a:tailEnd/>
        </a:ln>
      </xdr:spPr>
    </xdr:sp>
    <xdr:clientData/>
  </xdr:twoCellAnchor>
  <xdr:twoCellAnchor editAs="oneCell">
    <xdr:from>
      <xdr:col>1</xdr:col>
      <xdr:colOff>1514475</xdr:colOff>
      <xdr:row>26</xdr:row>
      <xdr:rowOff>0</xdr:rowOff>
    </xdr:from>
    <xdr:to>
      <xdr:col>1</xdr:col>
      <xdr:colOff>2400300</xdr:colOff>
      <xdr:row>26</xdr:row>
      <xdr:rowOff>28575</xdr:rowOff>
    </xdr:to>
    <xdr:sp macro="" textlink="">
      <xdr:nvSpPr>
        <xdr:cNvPr id="51" name="Text Box 1"/>
        <xdr:cNvSpPr txBox="1">
          <a:spLocks noChangeArrowheads="1"/>
        </xdr:cNvSpPr>
      </xdr:nvSpPr>
      <xdr:spPr bwMode="auto">
        <a:xfrm>
          <a:off x="1933575" y="19507200"/>
          <a:ext cx="885825" cy="28575"/>
        </a:xfrm>
        <a:prstGeom prst="rect">
          <a:avLst/>
        </a:prstGeom>
        <a:noFill/>
        <a:ln w="9525">
          <a:noFill/>
          <a:miter lim="800000"/>
          <a:headEnd/>
          <a:tailEnd/>
        </a:ln>
      </xdr:spPr>
    </xdr:sp>
    <xdr:clientData/>
  </xdr:twoCellAnchor>
  <xdr:twoCellAnchor editAs="oneCell">
    <xdr:from>
      <xdr:col>1</xdr:col>
      <xdr:colOff>1514475</xdr:colOff>
      <xdr:row>35</xdr:row>
      <xdr:rowOff>0</xdr:rowOff>
    </xdr:from>
    <xdr:to>
      <xdr:col>1</xdr:col>
      <xdr:colOff>1838325</xdr:colOff>
      <xdr:row>35</xdr:row>
      <xdr:rowOff>47625</xdr:rowOff>
    </xdr:to>
    <xdr:sp macro="" textlink="">
      <xdr:nvSpPr>
        <xdr:cNvPr id="52" name="Text Box 1"/>
        <xdr:cNvSpPr txBox="1">
          <a:spLocks noChangeArrowheads="1"/>
        </xdr:cNvSpPr>
      </xdr:nvSpPr>
      <xdr:spPr bwMode="auto">
        <a:xfrm>
          <a:off x="1933575" y="24374475"/>
          <a:ext cx="323850" cy="47625"/>
        </a:xfrm>
        <a:prstGeom prst="rect">
          <a:avLst/>
        </a:prstGeom>
        <a:noFill/>
        <a:ln w="9525">
          <a:noFill/>
          <a:miter lim="800000"/>
          <a:headEnd/>
          <a:tailEnd/>
        </a:ln>
      </xdr:spPr>
    </xdr:sp>
    <xdr:clientData/>
  </xdr:twoCellAnchor>
  <xdr:twoCellAnchor editAs="oneCell">
    <xdr:from>
      <xdr:col>1</xdr:col>
      <xdr:colOff>1514475</xdr:colOff>
      <xdr:row>35</xdr:row>
      <xdr:rowOff>0</xdr:rowOff>
    </xdr:from>
    <xdr:to>
      <xdr:col>1</xdr:col>
      <xdr:colOff>1838325</xdr:colOff>
      <xdr:row>35</xdr:row>
      <xdr:rowOff>47625</xdr:rowOff>
    </xdr:to>
    <xdr:sp macro="" textlink="">
      <xdr:nvSpPr>
        <xdr:cNvPr id="53" name="Text Box 4"/>
        <xdr:cNvSpPr txBox="1">
          <a:spLocks noChangeArrowheads="1"/>
        </xdr:cNvSpPr>
      </xdr:nvSpPr>
      <xdr:spPr bwMode="auto">
        <a:xfrm>
          <a:off x="1933575" y="24374475"/>
          <a:ext cx="323850" cy="47625"/>
        </a:xfrm>
        <a:prstGeom prst="rect">
          <a:avLst/>
        </a:prstGeom>
        <a:noFill/>
        <a:ln w="9525">
          <a:noFill/>
          <a:miter lim="800000"/>
          <a:headEnd/>
          <a:tailEnd/>
        </a:ln>
      </xdr:spPr>
    </xdr:sp>
    <xdr:clientData/>
  </xdr:twoCellAnchor>
  <xdr:twoCellAnchor editAs="oneCell">
    <xdr:from>
      <xdr:col>1</xdr:col>
      <xdr:colOff>1514475</xdr:colOff>
      <xdr:row>35</xdr:row>
      <xdr:rowOff>0</xdr:rowOff>
    </xdr:from>
    <xdr:to>
      <xdr:col>1</xdr:col>
      <xdr:colOff>1838325</xdr:colOff>
      <xdr:row>35</xdr:row>
      <xdr:rowOff>47625</xdr:rowOff>
    </xdr:to>
    <xdr:sp macro="" textlink="">
      <xdr:nvSpPr>
        <xdr:cNvPr id="54" name="Text Box 5"/>
        <xdr:cNvSpPr txBox="1">
          <a:spLocks noChangeArrowheads="1"/>
        </xdr:cNvSpPr>
      </xdr:nvSpPr>
      <xdr:spPr bwMode="auto">
        <a:xfrm>
          <a:off x="1933575" y="24374475"/>
          <a:ext cx="323850" cy="47625"/>
        </a:xfrm>
        <a:prstGeom prst="rect">
          <a:avLst/>
        </a:prstGeom>
        <a:noFill/>
        <a:ln w="9525">
          <a:noFill/>
          <a:miter lim="800000"/>
          <a:headEnd/>
          <a:tailEnd/>
        </a:ln>
      </xdr:spPr>
    </xdr:sp>
    <xdr:clientData/>
  </xdr:twoCellAnchor>
  <xdr:twoCellAnchor editAs="oneCell">
    <xdr:from>
      <xdr:col>1</xdr:col>
      <xdr:colOff>1514475</xdr:colOff>
      <xdr:row>35</xdr:row>
      <xdr:rowOff>0</xdr:rowOff>
    </xdr:from>
    <xdr:to>
      <xdr:col>1</xdr:col>
      <xdr:colOff>1838325</xdr:colOff>
      <xdr:row>35</xdr:row>
      <xdr:rowOff>47625</xdr:rowOff>
    </xdr:to>
    <xdr:sp macro="" textlink="">
      <xdr:nvSpPr>
        <xdr:cNvPr id="55" name="Text Box 6"/>
        <xdr:cNvSpPr txBox="1">
          <a:spLocks noChangeArrowheads="1"/>
        </xdr:cNvSpPr>
      </xdr:nvSpPr>
      <xdr:spPr bwMode="auto">
        <a:xfrm>
          <a:off x="1933575" y="24374475"/>
          <a:ext cx="323850" cy="47625"/>
        </a:xfrm>
        <a:prstGeom prst="rect">
          <a:avLst/>
        </a:prstGeom>
        <a:noFill/>
        <a:ln w="9525">
          <a:noFill/>
          <a:miter lim="800000"/>
          <a:headEnd/>
          <a:tailEnd/>
        </a:ln>
      </xdr:spPr>
    </xdr:sp>
    <xdr:clientData/>
  </xdr:twoCellAnchor>
  <xdr:twoCellAnchor editAs="oneCell">
    <xdr:from>
      <xdr:col>1</xdr:col>
      <xdr:colOff>1514475</xdr:colOff>
      <xdr:row>35</xdr:row>
      <xdr:rowOff>0</xdr:rowOff>
    </xdr:from>
    <xdr:to>
      <xdr:col>1</xdr:col>
      <xdr:colOff>1838325</xdr:colOff>
      <xdr:row>35</xdr:row>
      <xdr:rowOff>47625</xdr:rowOff>
    </xdr:to>
    <xdr:sp macro="" textlink="">
      <xdr:nvSpPr>
        <xdr:cNvPr id="56" name="Text Box 1"/>
        <xdr:cNvSpPr txBox="1">
          <a:spLocks noChangeArrowheads="1"/>
        </xdr:cNvSpPr>
      </xdr:nvSpPr>
      <xdr:spPr bwMode="auto">
        <a:xfrm>
          <a:off x="1933575" y="24374475"/>
          <a:ext cx="323850" cy="47625"/>
        </a:xfrm>
        <a:prstGeom prst="rect">
          <a:avLst/>
        </a:prstGeom>
        <a:noFill/>
        <a:ln w="9525">
          <a:noFill/>
          <a:miter lim="800000"/>
          <a:headEnd/>
          <a:tailEnd/>
        </a:ln>
      </xdr:spPr>
    </xdr:sp>
    <xdr:clientData/>
  </xdr:twoCellAnchor>
  <xdr:twoCellAnchor editAs="oneCell">
    <xdr:from>
      <xdr:col>1</xdr:col>
      <xdr:colOff>1514475</xdr:colOff>
      <xdr:row>35</xdr:row>
      <xdr:rowOff>0</xdr:rowOff>
    </xdr:from>
    <xdr:to>
      <xdr:col>1</xdr:col>
      <xdr:colOff>2171700</xdr:colOff>
      <xdr:row>35</xdr:row>
      <xdr:rowOff>28575</xdr:rowOff>
    </xdr:to>
    <xdr:sp macro="" textlink="">
      <xdr:nvSpPr>
        <xdr:cNvPr id="57" name="Text Box 1"/>
        <xdr:cNvSpPr txBox="1">
          <a:spLocks noChangeArrowheads="1"/>
        </xdr:cNvSpPr>
      </xdr:nvSpPr>
      <xdr:spPr bwMode="auto">
        <a:xfrm>
          <a:off x="1933575" y="24374475"/>
          <a:ext cx="657225" cy="28575"/>
        </a:xfrm>
        <a:prstGeom prst="rect">
          <a:avLst/>
        </a:prstGeom>
        <a:noFill/>
        <a:ln w="9525">
          <a:noFill/>
          <a:miter lim="800000"/>
          <a:headEnd/>
          <a:tailEnd/>
        </a:ln>
      </xdr:spPr>
    </xdr:sp>
    <xdr:clientData/>
  </xdr:twoCellAnchor>
  <xdr:twoCellAnchor editAs="oneCell">
    <xdr:from>
      <xdr:col>1</xdr:col>
      <xdr:colOff>1514475</xdr:colOff>
      <xdr:row>35</xdr:row>
      <xdr:rowOff>0</xdr:rowOff>
    </xdr:from>
    <xdr:to>
      <xdr:col>1</xdr:col>
      <xdr:colOff>2171700</xdr:colOff>
      <xdr:row>35</xdr:row>
      <xdr:rowOff>28575</xdr:rowOff>
    </xdr:to>
    <xdr:sp macro="" textlink="">
      <xdr:nvSpPr>
        <xdr:cNvPr id="58" name="Text Box 4"/>
        <xdr:cNvSpPr txBox="1">
          <a:spLocks noChangeArrowheads="1"/>
        </xdr:cNvSpPr>
      </xdr:nvSpPr>
      <xdr:spPr bwMode="auto">
        <a:xfrm>
          <a:off x="1933575" y="24374475"/>
          <a:ext cx="657225" cy="28575"/>
        </a:xfrm>
        <a:prstGeom prst="rect">
          <a:avLst/>
        </a:prstGeom>
        <a:noFill/>
        <a:ln w="9525">
          <a:noFill/>
          <a:miter lim="800000"/>
          <a:headEnd/>
          <a:tailEnd/>
        </a:ln>
      </xdr:spPr>
    </xdr:sp>
    <xdr:clientData/>
  </xdr:twoCellAnchor>
  <xdr:twoCellAnchor editAs="oneCell">
    <xdr:from>
      <xdr:col>1</xdr:col>
      <xdr:colOff>1514475</xdr:colOff>
      <xdr:row>35</xdr:row>
      <xdr:rowOff>0</xdr:rowOff>
    </xdr:from>
    <xdr:to>
      <xdr:col>1</xdr:col>
      <xdr:colOff>2171700</xdr:colOff>
      <xdr:row>35</xdr:row>
      <xdr:rowOff>28575</xdr:rowOff>
    </xdr:to>
    <xdr:sp macro="" textlink="">
      <xdr:nvSpPr>
        <xdr:cNvPr id="59" name="Text Box 5"/>
        <xdr:cNvSpPr txBox="1">
          <a:spLocks noChangeArrowheads="1"/>
        </xdr:cNvSpPr>
      </xdr:nvSpPr>
      <xdr:spPr bwMode="auto">
        <a:xfrm>
          <a:off x="1933575" y="24374475"/>
          <a:ext cx="657225" cy="28575"/>
        </a:xfrm>
        <a:prstGeom prst="rect">
          <a:avLst/>
        </a:prstGeom>
        <a:noFill/>
        <a:ln w="9525">
          <a:noFill/>
          <a:miter lim="800000"/>
          <a:headEnd/>
          <a:tailEnd/>
        </a:ln>
      </xdr:spPr>
    </xdr:sp>
    <xdr:clientData/>
  </xdr:twoCellAnchor>
  <xdr:twoCellAnchor editAs="oneCell">
    <xdr:from>
      <xdr:col>1</xdr:col>
      <xdr:colOff>1514475</xdr:colOff>
      <xdr:row>35</xdr:row>
      <xdr:rowOff>0</xdr:rowOff>
    </xdr:from>
    <xdr:to>
      <xdr:col>1</xdr:col>
      <xdr:colOff>2171700</xdr:colOff>
      <xdr:row>35</xdr:row>
      <xdr:rowOff>28575</xdr:rowOff>
    </xdr:to>
    <xdr:sp macro="" textlink="">
      <xdr:nvSpPr>
        <xdr:cNvPr id="60" name="Text Box 6"/>
        <xdr:cNvSpPr txBox="1">
          <a:spLocks noChangeArrowheads="1"/>
        </xdr:cNvSpPr>
      </xdr:nvSpPr>
      <xdr:spPr bwMode="auto">
        <a:xfrm>
          <a:off x="1933575" y="24374475"/>
          <a:ext cx="657225" cy="28575"/>
        </a:xfrm>
        <a:prstGeom prst="rect">
          <a:avLst/>
        </a:prstGeom>
        <a:noFill/>
        <a:ln w="9525">
          <a:noFill/>
          <a:miter lim="800000"/>
          <a:headEnd/>
          <a:tailEnd/>
        </a:ln>
      </xdr:spPr>
    </xdr:sp>
    <xdr:clientData/>
  </xdr:twoCellAnchor>
  <xdr:twoCellAnchor editAs="oneCell">
    <xdr:from>
      <xdr:col>1</xdr:col>
      <xdr:colOff>1514475</xdr:colOff>
      <xdr:row>35</xdr:row>
      <xdr:rowOff>0</xdr:rowOff>
    </xdr:from>
    <xdr:to>
      <xdr:col>1</xdr:col>
      <xdr:colOff>2171700</xdr:colOff>
      <xdr:row>35</xdr:row>
      <xdr:rowOff>28575</xdr:rowOff>
    </xdr:to>
    <xdr:sp macro="" textlink="">
      <xdr:nvSpPr>
        <xdr:cNvPr id="61" name="Text Box 1"/>
        <xdr:cNvSpPr txBox="1">
          <a:spLocks noChangeArrowheads="1"/>
        </xdr:cNvSpPr>
      </xdr:nvSpPr>
      <xdr:spPr bwMode="auto">
        <a:xfrm>
          <a:off x="1933575" y="24374475"/>
          <a:ext cx="657225" cy="28575"/>
        </a:xfrm>
        <a:prstGeom prst="rect">
          <a:avLst/>
        </a:prstGeom>
        <a:noFill/>
        <a:ln w="9525">
          <a:noFill/>
          <a:miter lim="800000"/>
          <a:headEnd/>
          <a:tailEnd/>
        </a:ln>
      </xdr:spPr>
    </xdr:sp>
    <xdr:clientData/>
  </xdr:twoCellAnchor>
  <xdr:twoCellAnchor editAs="oneCell">
    <xdr:from>
      <xdr:col>1</xdr:col>
      <xdr:colOff>1514475</xdr:colOff>
      <xdr:row>35</xdr:row>
      <xdr:rowOff>0</xdr:rowOff>
    </xdr:from>
    <xdr:to>
      <xdr:col>1</xdr:col>
      <xdr:colOff>2400300</xdr:colOff>
      <xdr:row>35</xdr:row>
      <xdr:rowOff>28575</xdr:rowOff>
    </xdr:to>
    <xdr:sp macro="" textlink="">
      <xdr:nvSpPr>
        <xdr:cNvPr id="62" name="Text Box 1"/>
        <xdr:cNvSpPr txBox="1">
          <a:spLocks noChangeArrowheads="1"/>
        </xdr:cNvSpPr>
      </xdr:nvSpPr>
      <xdr:spPr bwMode="auto">
        <a:xfrm>
          <a:off x="1933575" y="24374475"/>
          <a:ext cx="885825" cy="28575"/>
        </a:xfrm>
        <a:prstGeom prst="rect">
          <a:avLst/>
        </a:prstGeom>
        <a:noFill/>
        <a:ln w="9525">
          <a:noFill/>
          <a:miter lim="800000"/>
          <a:headEnd/>
          <a:tailEnd/>
        </a:ln>
      </xdr:spPr>
    </xdr:sp>
    <xdr:clientData/>
  </xdr:twoCellAnchor>
  <xdr:twoCellAnchor editAs="oneCell">
    <xdr:from>
      <xdr:col>1</xdr:col>
      <xdr:colOff>1514475</xdr:colOff>
      <xdr:row>35</xdr:row>
      <xdr:rowOff>0</xdr:rowOff>
    </xdr:from>
    <xdr:to>
      <xdr:col>1</xdr:col>
      <xdr:colOff>2400300</xdr:colOff>
      <xdr:row>35</xdr:row>
      <xdr:rowOff>28575</xdr:rowOff>
    </xdr:to>
    <xdr:sp macro="" textlink="">
      <xdr:nvSpPr>
        <xdr:cNvPr id="63" name="Text Box 4"/>
        <xdr:cNvSpPr txBox="1">
          <a:spLocks noChangeArrowheads="1"/>
        </xdr:cNvSpPr>
      </xdr:nvSpPr>
      <xdr:spPr bwMode="auto">
        <a:xfrm>
          <a:off x="1933575" y="24374475"/>
          <a:ext cx="885825" cy="28575"/>
        </a:xfrm>
        <a:prstGeom prst="rect">
          <a:avLst/>
        </a:prstGeom>
        <a:noFill/>
        <a:ln w="9525">
          <a:noFill/>
          <a:miter lim="800000"/>
          <a:headEnd/>
          <a:tailEnd/>
        </a:ln>
      </xdr:spPr>
    </xdr:sp>
    <xdr:clientData/>
  </xdr:twoCellAnchor>
  <xdr:twoCellAnchor editAs="oneCell">
    <xdr:from>
      <xdr:col>1</xdr:col>
      <xdr:colOff>1514475</xdr:colOff>
      <xdr:row>35</xdr:row>
      <xdr:rowOff>0</xdr:rowOff>
    </xdr:from>
    <xdr:to>
      <xdr:col>1</xdr:col>
      <xdr:colOff>2400300</xdr:colOff>
      <xdr:row>35</xdr:row>
      <xdr:rowOff>28575</xdr:rowOff>
    </xdr:to>
    <xdr:sp macro="" textlink="">
      <xdr:nvSpPr>
        <xdr:cNvPr id="64" name="Text Box 5"/>
        <xdr:cNvSpPr txBox="1">
          <a:spLocks noChangeArrowheads="1"/>
        </xdr:cNvSpPr>
      </xdr:nvSpPr>
      <xdr:spPr bwMode="auto">
        <a:xfrm>
          <a:off x="1933575" y="24374475"/>
          <a:ext cx="885825" cy="28575"/>
        </a:xfrm>
        <a:prstGeom prst="rect">
          <a:avLst/>
        </a:prstGeom>
        <a:noFill/>
        <a:ln w="9525">
          <a:noFill/>
          <a:miter lim="800000"/>
          <a:headEnd/>
          <a:tailEnd/>
        </a:ln>
      </xdr:spPr>
    </xdr:sp>
    <xdr:clientData/>
  </xdr:twoCellAnchor>
  <xdr:twoCellAnchor editAs="oneCell">
    <xdr:from>
      <xdr:col>1</xdr:col>
      <xdr:colOff>1514475</xdr:colOff>
      <xdr:row>35</xdr:row>
      <xdr:rowOff>0</xdr:rowOff>
    </xdr:from>
    <xdr:to>
      <xdr:col>1</xdr:col>
      <xdr:colOff>2400300</xdr:colOff>
      <xdr:row>35</xdr:row>
      <xdr:rowOff>28575</xdr:rowOff>
    </xdr:to>
    <xdr:sp macro="" textlink="">
      <xdr:nvSpPr>
        <xdr:cNvPr id="65" name="Text Box 6"/>
        <xdr:cNvSpPr txBox="1">
          <a:spLocks noChangeArrowheads="1"/>
        </xdr:cNvSpPr>
      </xdr:nvSpPr>
      <xdr:spPr bwMode="auto">
        <a:xfrm>
          <a:off x="1933575" y="24374475"/>
          <a:ext cx="885825" cy="28575"/>
        </a:xfrm>
        <a:prstGeom prst="rect">
          <a:avLst/>
        </a:prstGeom>
        <a:noFill/>
        <a:ln w="9525">
          <a:noFill/>
          <a:miter lim="800000"/>
          <a:headEnd/>
          <a:tailEnd/>
        </a:ln>
      </xdr:spPr>
    </xdr:sp>
    <xdr:clientData/>
  </xdr:twoCellAnchor>
  <xdr:twoCellAnchor editAs="oneCell">
    <xdr:from>
      <xdr:col>1</xdr:col>
      <xdr:colOff>1514475</xdr:colOff>
      <xdr:row>35</xdr:row>
      <xdr:rowOff>0</xdr:rowOff>
    </xdr:from>
    <xdr:to>
      <xdr:col>1</xdr:col>
      <xdr:colOff>2400300</xdr:colOff>
      <xdr:row>35</xdr:row>
      <xdr:rowOff>28575</xdr:rowOff>
    </xdr:to>
    <xdr:sp macro="" textlink="">
      <xdr:nvSpPr>
        <xdr:cNvPr id="66" name="Text Box 1"/>
        <xdr:cNvSpPr txBox="1">
          <a:spLocks noChangeArrowheads="1"/>
        </xdr:cNvSpPr>
      </xdr:nvSpPr>
      <xdr:spPr bwMode="auto">
        <a:xfrm>
          <a:off x="1933575" y="24374475"/>
          <a:ext cx="885825" cy="28575"/>
        </a:xfrm>
        <a:prstGeom prst="rect">
          <a:avLst/>
        </a:prstGeom>
        <a:noFill/>
        <a:ln w="9525">
          <a:noFill/>
          <a:miter lim="800000"/>
          <a:headEnd/>
          <a:tailEnd/>
        </a:ln>
      </xdr:spPr>
    </xdr:sp>
    <xdr:clientData/>
  </xdr:twoCellAnchor>
  <xdr:twoCellAnchor editAs="oneCell">
    <xdr:from>
      <xdr:col>1</xdr:col>
      <xdr:colOff>1514475</xdr:colOff>
      <xdr:row>35</xdr:row>
      <xdr:rowOff>0</xdr:rowOff>
    </xdr:from>
    <xdr:to>
      <xdr:col>1</xdr:col>
      <xdr:colOff>2171700</xdr:colOff>
      <xdr:row>35</xdr:row>
      <xdr:rowOff>28575</xdr:rowOff>
    </xdr:to>
    <xdr:sp macro="" textlink="">
      <xdr:nvSpPr>
        <xdr:cNvPr id="67" name="Text Box 1"/>
        <xdr:cNvSpPr txBox="1">
          <a:spLocks noChangeArrowheads="1"/>
        </xdr:cNvSpPr>
      </xdr:nvSpPr>
      <xdr:spPr bwMode="auto">
        <a:xfrm>
          <a:off x="1933575" y="24374475"/>
          <a:ext cx="657225" cy="28575"/>
        </a:xfrm>
        <a:prstGeom prst="rect">
          <a:avLst/>
        </a:prstGeom>
        <a:noFill/>
        <a:ln w="9525">
          <a:noFill/>
          <a:miter lim="800000"/>
          <a:headEnd/>
          <a:tailEnd/>
        </a:ln>
      </xdr:spPr>
    </xdr:sp>
    <xdr:clientData/>
  </xdr:twoCellAnchor>
  <xdr:twoCellAnchor editAs="oneCell">
    <xdr:from>
      <xdr:col>1</xdr:col>
      <xdr:colOff>1514475</xdr:colOff>
      <xdr:row>35</xdr:row>
      <xdr:rowOff>0</xdr:rowOff>
    </xdr:from>
    <xdr:to>
      <xdr:col>1</xdr:col>
      <xdr:colOff>2171700</xdr:colOff>
      <xdr:row>35</xdr:row>
      <xdr:rowOff>28575</xdr:rowOff>
    </xdr:to>
    <xdr:sp macro="" textlink="">
      <xdr:nvSpPr>
        <xdr:cNvPr id="68" name="Text Box 4"/>
        <xdr:cNvSpPr txBox="1">
          <a:spLocks noChangeArrowheads="1"/>
        </xdr:cNvSpPr>
      </xdr:nvSpPr>
      <xdr:spPr bwMode="auto">
        <a:xfrm>
          <a:off x="1933575" y="24374475"/>
          <a:ext cx="657225" cy="28575"/>
        </a:xfrm>
        <a:prstGeom prst="rect">
          <a:avLst/>
        </a:prstGeom>
        <a:noFill/>
        <a:ln w="9525">
          <a:noFill/>
          <a:miter lim="800000"/>
          <a:headEnd/>
          <a:tailEnd/>
        </a:ln>
      </xdr:spPr>
    </xdr:sp>
    <xdr:clientData/>
  </xdr:twoCellAnchor>
  <xdr:twoCellAnchor editAs="oneCell">
    <xdr:from>
      <xdr:col>1</xdr:col>
      <xdr:colOff>1514475</xdr:colOff>
      <xdr:row>35</xdr:row>
      <xdr:rowOff>0</xdr:rowOff>
    </xdr:from>
    <xdr:to>
      <xdr:col>1</xdr:col>
      <xdr:colOff>2171700</xdr:colOff>
      <xdr:row>35</xdr:row>
      <xdr:rowOff>28575</xdr:rowOff>
    </xdr:to>
    <xdr:sp macro="" textlink="">
      <xdr:nvSpPr>
        <xdr:cNvPr id="69" name="Text Box 5"/>
        <xdr:cNvSpPr txBox="1">
          <a:spLocks noChangeArrowheads="1"/>
        </xdr:cNvSpPr>
      </xdr:nvSpPr>
      <xdr:spPr bwMode="auto">
        <a:xfrm>
          <a:off x="1933575" y="24374475"/>
          <a:ext cx="657225" cy="28575"/>
        </a:xfrm>
        <a:prstGeom prst="rect">
          <a:avLst/>
        </a:prstGeom>
        <a:noFill/>
        <a:ln w="9525">
          <a:noFill/>
          <a:miter lim="800000"/>
          <a:headEnd/>
          <a:tailEnd/>
        </a:ln>
      </xdr:spPr>
    </xdr:sp>
    <xdr:clientData/>
  </xdr:twoCellAnchor>
  <xdr:twoCellAnchor editAs="oneCell">
    <xdr:from>
      <xdr:col>1</xdr:col>
      <xdr:colOff>1514475</xdr:colOff>
      <xdr:row>35</xdr:row>
      <xdr:rowOff>0</xdr:rowOff>
    </xdr:from>
    <xdr:to>
      <xdr:col>1</xdr:col>
      <xdr:colOff>2171700</xdr:colOff>
      <xdr:row>35</xdr:row>
      <xdr:rowOff>28575</xdr:rowOff>
    </xdr:to>
    <xdr:sp macro="" textlink="">
      <xdr:nvSpPr>
        <xdr:cNvPr id="70" name="Text Box 6"/>
        <xdr:cNvSpPr txBox="1">
          <a:spLocks noChangeArrowheads="1"/>
        </xdr:cNvSpPr>
      </xdr:nvSpPr>
      <xdr:spPr bwMode="auto">
        <a:xfrm>
          <a:off x="1933575" y="24374475"/>
          <a:ext cx="657225" cy="28575"/>
        </a:xfrm>
        <a:prstGeom prst="rect">
          <a:avLst/>
        </a:prstGeom>
        <a:noFill/>
        <a:ln w="9525">
          <a:noFill/>
          <a:miter lim="800000"/>
          <a:headEnd/>
          <a:tailEnd/>
        </a:ln>
      </xdr:spPr>
    </xdr:sp>
    <xdr:clientData/>
  </xdr:twoCellAnchor>
  <xdr:twoCellAnchor editAs="oneCell">
    <xdr:from>
      <xdr:col>1</xdr:col>
      <xdr:colOff>1514475</xdr:colOff>
      <xdr:row>35</xdr:row>
      <xdr:rowOff>0</xdr:rowOff>
    </xdr:from>
    <xdr:to>
      <xdr:col>1</xdr:col>
      <xdr:colOff>2171700</xdr:colOff>
      <xdr:row>35</xdr:row>
      <xdr:rowOff>28575</xdr:rowOff>
    </xdr:to>
    <xdr:sp macro="" textlink="">
      <xdr:nvSpPr>
        <xdr:cNvPr id="71" name="Text Box 1"/>
        <xdr:cNvSpPr txBox="1">
          <a:spLocks noChangeArrowheads="1"/>
        </xdr:cNvSpPr>
      </xdr:nvSpPr>
      <xdr:spPr bwMode="auto">
        <a:xfrm>
          <a:off x="1933575" y="24374475"/>
          <a:ext cx="657225" cy="28575"/>
        </a:xfrm>
        <a:prstGeom prst="rect">
          <a:avLst/>
        </a:prstGeom>
        <a:noFill/>
        <a:ln w="9525">
          <a:noFill/>
          <a:miter lim="800000"/>
          <a:headEnd/>
          <a:tailEnd/>
        </a:ln>
      </xdr:spPr>
    </xdr:sp>
    <xdr:clientData/>
  </xdr:twoCellAnchor>
  <xdr:twoCellAnchor editAs="oneCell">
    <xdr:from>
      <xdr:col>1</xdr:col>
      <xdr:colOff>1514475</xdr:colOff>
      <xdr:row>35</xdr:row>
      <xdr:rowOff>0</xdr:rowOff>
    </xdr:from>
    <xdr:to>
      <xdr:col>1</xdr:col>
      <xdr:colOff>2400300</xdr:colOff>
      <xdr:row>35</xdr:row>
      <xdr:rowOff>28575</xdr:rowOff>
    </xdr:to>
    <xdr:sp macro="" textlink="">
      <xdr:nvSpPr>
        <xdr:cNvPr id="72" name="Text Box 1"/>
        <xdr:cNvSpPr txBox="1">
          <a:spLocks noChangeArrowheads="1"/>
        </xdr:cNvSpPr>
      </xdr:nvSpPr>
      <xdr:spPr bwMode="auto">
        <a:xfrm>
          <a:off x="1933575" y="24374475"/>
          <a:ext cx="885825" cy="28575"/>
        </a:xfrm>
        <a:prstGeom prst="rect">
          <a:avLst/>
        </a:prstGeom>
        <a:noFill/>
        <a:ln w="9525">
          <a:noFill/>
          <a:miter lim="800000"/>
          <a:headEnd/>
          <a:tailEnd/>
        </a:ln>
      </xdr:spPr>
    </xdr:sp>
    <xdr:clientData/>
  </xdr:twoCellAnchor>
  <xdr:twoCellAnchor editAs="oneCell">
    <xdr:from>
      <xdr:col>1</xdr:col>
      <xdr:colOff>1514475</xdr:colOff>
      <xdr:row>35</xdr:row>
      <xdr:rowOff>0</xdr:rowOff>
    </xdr:from>
    <xdr:to>
      <xdr:col>1</xdr:col>
      <xdr:colOff>2400300</xdr:colOff>
      <xdr:row>35</xdr:row>
      <xdr:rowOff>28575</xdr:rowOff>
    </xdr:to>
    <xdr:sp macro="" textlink="">
      <xdr:nvSpPr>
        <xdr:cNvPr id="73" name="Text Box 4"/>
        <xdr:cNvSpPr txBox="1">
          <a:spLocks noChangeArrowheads="1"/>
        </xdr:cNvSpPr>
      </xdr:nvSpPr>
      <xdr:spPr bwMode="auto">
        <a:xfrm>
          <a:off x="1933575" y="24374475"/>
          <a:ext cx="885825" cy="28575"/>
        </a:xfrm>
        <a:prstGeom prst="rect">
          <a:avLst/>
        </a:prstGeom>
        <a:noFill/>
        <a:ln w="9525">
          <a:noFill/>
          <a:miter lim="800000"/>
          <a:headEnd/>
          <a:tailEnd/>
        </a:ln>
      </xdr:spPr>
    </xdr:sp>
    <xdr:clientData/>
  </xdr:twoCellAnchor>
  <xdr:twoCellAnchor editAs="oneCell">
    <xdr:from>
      <xdr:col>1</xdr:col>
      <xdr:colOff>1514475</xdr:colOff>
      <xdr:row>35</xdr:row>
      <xdr:rowOff>0</xdr:rowOff>
    </xdr:from>
    <xdr:to>
      <xdr:col>1</xdr:col>
      <xdr:colOff>2400300</xdr:colOff>
      <xdr:row>35</xdr:row>
      <xdr:rowOff>28575</xdr:rowOff>
    </xdr:to>
    <xdr:sp macro="" textlink="">
      <xdr:nvSpPr>
        <xdr:cNvPr id="74" name="Text Box 5"/>
        <xdr:cNvSpPr txBox="1">
          <a:spLocks noChangeArrowheads="1"/>
        </xdr:cNvSpPr>
      </xdr:nvSpPr>
      <xdr:spPr bwMode="auto">
        <a:xfrm>
          <a:off x="1933575" y="24374475"/>
          <a:ext cx="885825" cy="28575"/>
        </a:xfrm>
        <a:prstGeom prst="rect">
          <a:avLst/>
        </a:prstGeom>
        <a:noFill/>
        <a:ln w="9525">
          <a:noFill/>
          <a:miter lim="800000"/>
          <a:headEnd/>
          <a:tailEnd/>
        </a:ln>
      </xdr:spPr>
    </xdr:sp>
    <xdr:clientData/>
  </xdr:twoCellAnchor>
  <xdr:twoCellAnchor editAs="oneCell">
    <xdr:from>
      <xdr:col>1</xdr:col>
      <xdr:colOff>1514475</xdr:colOff>
      <xdr:row>35</xdr:row>
      <xdr:rowOff>0</xdr:rowOff>
    </xdr:from>
    <xdr:to>
      <xdr:col>1</xdr:col>
      <xdr:colOff>2400300</xdr:colOff>
      <xdr:row>35</xdr:row>
      <xdr:rowOff>28575</xdr:rowOff>
    </xdr:to>
    <xdr:sp macro="" textlink="">
      <xdr:nvSpPr>
        <xdr:cNvPr id="75" name="Text Box 6"/>
        <xdr:cNvSpPr txBox="1">
          <a:spLocks noChangeArrowheads="1"/>
        </xdr:cNvSpPr>
      </xdr:nvSpPr>
      <xdr:spPr bwMode="auto">
        <a:xfrm>
          <a:off x="1933575" y="24374475"/>
          <a:ext cx="885825" cy="28575"/>
        </a:xfrm>
        <a:prstGeom prst="rect">
          <a:avLst/>
        </a:prstGeom>
        <a:noFill/>
        <a:ln w="9525">
          <a:noFill/>
          <a:miter lim="800000"/>
          <a:headEnd/>
          <a:tailEnd/>
        </a:ln>
      </xdr:spPr>
    </xdr:sp>
    <xdr:clientData/>
  </xdr:twoCellAnchor>
  <xdr:twoCellAnchor editAs="oneCell">
    <xdr:from>
      <xdr:col>1</xdr:col>
      <xdr:colOff>1514475</xdr:colOff>
      <xdr:row>35</xdr:row>
      <xdr:rowOff>0</xdr:rowOff>
    </xdr:from>
    <xdr:to>
      <xdr:col>1</xdr:col>
      <xdr:colOff>2400300</xdr:colOff>
      <xdr:row>35</xdr:row>
      <xdr:rowOff>28575</xdr:rowOff>
    </xdr:to>
    <xdr:sp macro="" textlink="">
      <xdr:nvSpPr>
        <xdr:cNvPr id="76" name="Text Box 1"/>
        <xdr:cNvSpPr txBox="1">
          <a:spLocks noChangeArrowheads="1"/>
        </xdr:cNvSpPr>
      </xdr:nvSpPr>
      <xdr:spPr bwMode="auto">
        <a:xfrm>
          <a:off x="1933575" y="24374475"/>
          <a:ext cx="885825" cy="28575"/>
        </a:xfrm>
        <a:prstGeom prst="rect">
          <a:avLst/>
        </a:prstGeom>
        <a:noFill/>
        <a:ln w="9525">
          <a:noFill/>
          <a:miter lim="800000"/>
          <a:headEnd/>
          <a:tailEnd/>
        </a:ln>
      </xdr:spPr>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DBBPM/Downloads/D%20Drive/Moorthi%20JE/Jaihind%20puram%20PS/TNPHC(II)/R.WALL,%20FILLING%20%20GRAVEL%20EST%20VMBK%20%20QRS/x%20Rural_Library_Building2007-08(E.RAMANATHAPURAM)28-06-07.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G:\D%20Drive\Moorthi%20JE\Jaihind%20puram%20PS\TNPHC(II)\R.WALL,%20FILLING%20%20GRAVEL%20EST%20VMBK%20%20QRS\x%20Rural_Library_Building2007-08(E.RAMANATHAPURAM)28-06-07.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DBBPM/Downloads/D%20Drive/Moorthi%20JE/Jaihind%20puram%20PS/Jaihind%20puram%20PS%20Final/TNPHC(II)/R.WALL,%20FILLING%20%20GRAVEL%20EST%20VMBK%20%20QRS/x%20Rural_Library_Building2007-08(E.RAMANATHAPURAM)28-06-07.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G:\D%20Drive\Moorthi%20JE\Jaihind%20puram%20PS\Jaihind%20puram%20PS%20Final\TNPHC(II)\R.WALL,%20FILLING%20%20GRAVEL%20EST%20VMBK%20%20QRS\x%20Rural_Library_Building2007-08(E.RAMANATHAPURAM)28-06-07.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DBBPM/Downloads/TNPHC(II)/R.WALL,%20FILLING%20%20GRAVEL%20EST%20VMBK%20%20QRS/x%20Rural_Library_Building2007-08(E.RAMANATHAPURAM)28-06-07.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G:\TNPHC(II)\R.WALL,%20FILLING%20%20GRAVEL%20EST%20VMBK%20%20QRS\x%20Rural_Library_Building2007-08(E.RAMANATHAPURAM)28-06-07.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F:\Users\ACER\Desktop\CAP%20&amp;%20TAILORING%20additional%20proposal.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Users/DBBPM/Downloads/Users/ACER/Desktop/CAP%20&amp;%20TAILORING%20additional%20proposal.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G:\Users\ACER\Desktop\CAP%20&amp;%20TAILORING%20additional%20proposal.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test/panel%20board%20data.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G:\D3%20Ice%20House%20PS%20%202016-17.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sr-17-18.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Madurai%20city%20AR%20%20%2022-23%20%20%20%2025.07.2022.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Dhivya/2.%202022/ESTIMATE/MAIN%20WORK/Pollution%20control/PCB%20estimate%202022-23%20division%2006.01.2023.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CHN-310-PC\share\JDO%20Subha\2014%20-2015%20SR%20Estimates\Traffice%20PS\Keeranur%20RPS.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Users/KALIGA/Downloads/DSP%20CAMP%20OFFICE%20(1).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Dhivya/1.%202023/ESTIMATES/DSP%20Camp%20office%20estimate/BBS%20%20DSP%20Cuddalore.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Users/DBBPM/Downloads/Nisha/RWH/RWH%20Final/RWH%2074%20pit/RWH%2074%20pit/Rain%20water%20harvesting.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Cuddalore%20DSP%20Qtrs%20NT%20%20Detail%20estimate%2013.09.23.xlsx"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Users/DBBPM/Downloads/Dhivya/1.%202022/ESTIMATE/DFO%20development%2021-22/D%20Drive/Moorthi%20JE/Jaihind%20puram%20PS/TNPHC(II)/R.WALL,%20FILLING%20%20GRAVEL%20EST%20VMBK%20%20QRS/x%20Rural_Library_Building2007-08(E.RAMANATHAPURAM)28-06-07.x"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G:\AR%2024%20SI%20&amp;%20155PCHC%20ESTIMATE\D%20Drive\Moorthi%20JE\Jaihind%20puram%20PS\TNPHC(II)\R.WALL,%20FILLING%20%20GRAVEL%20EST%20VMBK%20%20QRS\x%20Rural_Library_Building2007-08(E.RAMANATHAPURAM)28-06-07.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G:\AR%2024%20SI%20&amp;%20155PCHC%20ESTIMATE\AR%20Dev.WORKS\D%20Drive\Moorthi%20JE\Jaihind%20puram%20PS\Jaihind%20puram%20PS%20Final\TNPHC(II)\R.WALL,%20FILLING%20%20GRAVEL%20EST%20VMBK%20%20QRS\x%20Rural_Library_Building2007-08(E.RAMANATHAPURAM)2"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Users/DBBPM/Downloads/Dhivya/1.%202022/ESTIMATE/DFO%20development%2021-22/D%20Drive/Moorthi%20JE/Jaihind%20puram%20PS/Jaihind%20puram%20PS%20Final/TNPHC(II)/R.WALL,%20FILLING%20%20GRAVEL%20EST%20VMBK%20%20QRS/x%20Rural_Library_Building2007-08(E.RA"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G:\AR%2024%20SI%20&amp;%20155PCHC%20ESTIMATE\D%20Drive\Moorthi%20JE\Jaihind%20puram%20PS\Jaihind%20puram%20PS%20Final\TNPHC(II)\R.WALL,%20FILLING%20%20GRAVEL%20EST%20VMBK%20%20QRS\x%20Rural_Library_Building2007-08(E.RAMANATHAPURAM)28-06-07.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G:\AR%2024%20SI%20&amp;%20155PCHC%20ESTIMATE\AR%20Dev.WORKS\TNPHC(II)\R.WALL,%20FILLING%20%20GRAVEL%20EST%20VMBK%20%20QRS\x%20Rural_Library_Building2007-08(E.RAMANATHAPURAM)28-06-07.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Users/DBBPM/Downloads/Dhivya/1.%202022/ESTIMATE/DFO%20development%2021-22/TNPHC(II)/R.WALL,%20FILLING%20%20GRAVEL%20EST%20VMBK%20%20QRS/x%20Rural_Library_Building2007-08(E.RAMANATHAPURAM)28-06-07.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G:\AR%2024%20SI%20&amp;%20155PCHC%20ESTIMATE\TNPHC(II)\R.WALL,%20FILLING%20%20GRAVEL%20EST%20VMBK%20%20QRS\x%20Rural_Library_Building2007-08(E.RAMANATHAPURAM)28-06-07.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G:\AR%2024%20SI%20&amp;%20155PCHC%20ESTIMATE\AR%20Dev.WORKS\Nisha\Fire%20SR%202018%20-%2019\New%20fire%20esti%202019\Users\WELCOME\AppData\Local\Temp\Rar$DIa0.263\natrampalli\TNPHC%20all%20works\Estimates%202012-2013\Sevur%20development%20E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Users/DBBPM/Downloads/Dhivya/1.%202022/ESTIMATE/DFO%20development%2021-22/Users/ACER/Desktop/CAP%20&amp;%20TAILORING%20additional%20proposal.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G:\AR%2024%20SI%20&amp;%20155PCHC%20ESTIMATE\Users\ACER\Desktop\CAP%20&amp;%20TAILORING%20additional%20proposal.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G:\AR%2024%20SI%20&amp;%20155PCHC%20ESTIMATE\AR%20Dev.WORKS\Mail%20dowloads\Mail%20Downloads%202021\1.Jan%2021\Thirupur%20DFO\fire%20station%20file\Documents%20and%20Settings\y6hgb\My%20Documents\TRICHY\Karu.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ural Library building Abs"/>
      <sheetName val="Rural Library building"/>
      <sheetName val="Lead"/>
      <sheetName val="Data"/>
      <sheetName val="SoR7-8"/>
      <sheetName val="lead Plains"/>
      <sheetName val="SPECFI"/>
      <sheetName val="Spec"/>
    </sheetNames>
    <sheetDataSet>
      <sheetData sheetId="0"/>
      <sheetData sheetId="1"/>
      <sheetData sheetId="2"/>
      <sheetData sheetId="3"/>
      <sheetData sheetId="4"/>
      <sheetData sheetId="5"/>
      <sheetData sheetId="6"/>
      <sheetData sheetId="7">
        <row r="5">
          <cell r="B5" t="str">
            <v>Earth work Excavation for Foundation in all soils and Sub Soil to full depth as may be directed except in hard rock requiring blasting but inclusive of shoring strutting and requiring the sides of foundation.</v>
          </cell>
        </row>
        <row r="6">
          <cell r="B6" t="str">
            <v xml:space="preserve">Cement concrete 1 : 4 : 8 mix using 40mm HBG metal for foundation including watering wherever necessary and laid in layers of not more than 15cm thick., compacting etc., complete complying with standard specifications and as directed. </v>
          </cell>
        </row>
        <row r="9">
          <cell r="B9" t="str">
            <v>Brick work in CM 1:5mix using country bricks ground moulded of size 23 x 11 x 7cm for the following including curing etc., complete complying with standard specifications.</v>
          </cell>
        </row>
        <row r="10">
          <cell r="B10" t="str">
            <v>Supplying and Fabricating and placing in position MS steel or ribbed for steel for all reinforced cement concrete works as per the design given including cost of steel and binding wire in all floors etc,  Complete complying with stanard specification.</v>
          </cell>
        </row>
        <row r="11">
          <cell r="B11" t="str">
            <v>Supplying &amp; Erecting centering for sides &amp; soffiots including necessary supports &amp; strutting upto 3.29m height for plane surfaces in all floors with all cross bracings using mild steel sheets of size 90 x 60cm &amp; 10 gauge stiffened, welded with steel angle</v>
          </cell>
        </row>
        <row r="12">
          <cell r="B12" t="str">
            <v>Cement concrete 1:1.5:3 using 20mm ISS HBG metal for all RCC item of works excluding cost of Rein forcement and fabricating charges, centering and shuttering but including curing and providing fixtures like fan clamps in the RCC floor or roof slabs wherev</v>
          </cell>
        </row>
        <row r="14">
          <cell r="B14" t="str">
            <v>Filling in Basement with excavated Earth in layers of not more than 15cm. Thick well rammed, watered and consolidated complying with standard specifications etc., complete.</v>
          </cell>
        </row>
        <row r="15">
          <cell r="B15" t="str">
            <v>Supplying and Filling foundation and basement with filling sand in layers not more than 15cm . Thick well ramed, watered and compacted Complete complying with stanard specification.</v>
          </cell>
        </row>
        <row r="17">
          <cell r="B17" t="str">
            <v>Paving the floor with scratch proof ceramic tiles of any colour and any size laid in CM 1:2, 20mm thick. And pointing with white cement 0.4 Kg per sqm mixed with colouring pigment to siut the colour of the tiles including finishing the joints neatly compl</v>
          </cell>
        </row>
        <row r="18">
          <cell r="B18" t="str">
            <v>Weathering course with best quality broken brick jelly of size 20mm uniform gauge in pure slaked lime (no sand to be listed) over the RCC roof slab in the proposition being brickjelly to lime 32:12:1/2 by volume and laid over into a single layer and conso</v>
          </cell>
        </row>
        <row r="19">
          <cell r="B19" t="str">
            <v>Finishing the top of the roof with one course of Machine PressedTiles of size 20 cm x 2 cm of approved quality laid in CEMENT MORTAR 1:3(One cement and three sand) 12 mm thick mixed with water proofing compound conforming to ISS by 2% weight of cement use</v>
          </cell>
        </row>
        <row r="20">
          <cell r="B20" t="str">
            <v>Plastering with CM 1:5,12mm thick.over the cement concrete for floor finish including curing etc., complete complying with standard specifications and as directed by the departmental officers.</v>
          </cell>
        </row>
        <row r="21">
          <cell r="B21" t="str">
            <v>Finishing the exposed surface of RCC item of work such as slabs, beams, sunshade, facia, canopy slab, staircase waist slab, landing slab etc., with CM 1:3, 10mm thick. including raking the surface. The rate is to include the cost of providing cement morta</v>
          </cell>
        </row>
        <row r="22">
          <cell r="B22" t="str">
            <v>White washing two coats using best freshly burnt shell lime in all the floors including cost of lime, Blue, Fevicol type gum, brushes,scaffolding charges etc., complete complying with standard specifications and as directed by the departmental officers.</v>
          </cell>
        </row>
        <row r="23">
          <cell r="B23" t="str">
            <v>Colour washing two coats using best freshly burnt shell lime in all the floors using best quality &amp; approved variety of colouring pigments including cost of lime, colouring pigment, Fevicol type gum, brushes,scaffolding charges etc., complete complying wi</v>
          </cell>
        </row>
        <row r="24">
          <cell r="B24" t="str">
            <v>Painting two coatsover new iron works such as steel doors, windows, ventilators, window bars, balustrades etc., with  best approved best quality of synthetic enamel paint of approved colour over the existing priming coat etc., complete complying with stan</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ural Library building Abs"/>
      <sheetName val="Rural Library building"/>
      <sheetName val="Lead"/>
      <sheetName val="Data"/>
      <sheetName val="SoR7-8"/>
      <sheetName val="lead Plains"/>
      <sheetName val="SPECFI"/>
      <sheetName val="Spec"/>
    </sheetNames>
    <sheetDataSet>
      <sheetData sheetId="0"/>
      <sheetData sheetId="1"/>
      <sheetData sheetId="2"/>
      <sheetData sheetId="3"/>
      <sheetData sheetId="4"/>
      <sheetData sheetId="5"/>
      <sheetData sheetId="6"/>
      <sheetData sheetId="7">
        <row r="5">
          <cell r="B5" t="str">
            <v>Earth work Excavation for Foundation in all soils and Sub Soil to full depth as may be directed except in hard rock requiring blasting but inclusive of shoring strutting and requiring the sides of foundation.</v>
          </cell>
        </row>
        <row r="6">
          <cell r="B6" t="str">
            <v xml:space="preserve">Cement concrete 1 : 4 : 8 mix using 40mm HBG metal for foundation including watering wherever necessary and laid in layers of not more than 15cm thick., compacting etc., complete complying with standard specifications and as directed. </v>
          </cell>
        </row>
        <row r="9">
          <cell r="B9" t="str">
            <v>Brick work in CM 1:5mix using country bricks ground moulded of size 23 x 11 x 7cm for the following including curing etc., complete complying with standard specifications.</v>
          </cell>
        </row>
        <row r="10">
          <cell r="B10" t="str">
            <v>Supplying and Fabricating and placing in position MS steel or ribbed for steel for all reinforced cement concrete works as per the design given including cost of steel and binding wire in all floors etc,  Complete complying with stanard specification.</v>
          </cell>
        </row>
        <row r="11">
          <cell r="B11" t="str">
            <v>Supplying &amp; Erecting centering for sides &amp; soffiots including necessary supports &amp; strutting upto 3.29m height for plane surfaces in all floors with all cross bracings using mild steel sheets of size 90 x 60cm &amp; 10 gauge stiffened, welded with steel angle</v>
          </cell>
        </row>
        <row r="12">
          <cell r="B12" t="str">
            <v>Cement concrete 1:1.5:3 using 20mm ISS HBG metal for all RCC item of works excluding cost of Rein forcement and fabricating charges, centering and shuttering but including curing and providing fixtures like fan clamps in the RCC floor or roof slabs wherev</v>
          </cell>
        </row>
        <row r="14">
          <cell r="B14" t="str">
            <v>Filling in Basement with excavated Earth in layers of not more than 15cm. Thick well rammed, watered and consolidated complying with standard specifications etc., complete.</v>
          </cell>
        </row>
        <row r="15">
          <cell r="B15" t="str">
            <v>Supplying and Filling foundation and basement with filling sand in layers not more than 15cm . Thick well ramed, watered and compacted Complete complying with stanard specification.</v>
          </cell>
        </row>
        <row r="17">
          <cell r="B17" t="str">
            <v>Paving the floor with scratch proof ceramic tiles of any colour and any size laid in CM 1:2, 20mm thick. And pointing with white cement 0.4 Kg per sqm mixed with colouring pigment to siut the colour of the tiles including finishing the joints neatly compl</v>
          </cell>
        </row>
        <row r="18">
          <cell r="B18" t="str">
            <v>Weathering course with best quality broken brick jelly of size 20mm uniform gauge in pure slaked lime (no sand to be listed) over the RCC roof slab in the proposition being brickjelly to lime 32:12:1/2 by volume and laid over into a single layer and conso</v>
          </cell>
        </row>
        <row r="19">
          <cell r="B19" t="str">
            <v>Finishing the top of the roof with one course of Machine PressedTiles of size 20 cm x 2 cm of approved quality laid in CEMENT MORTAR 1:3(One cement and three sand) 12 mm thick mixed with water proofing compound conforming to ISS by 2% weight of cement use</v>
          </cell>
        </row>
        <row r="20">
          <cell r="B20" t="str">
            <v>Plastering with CM 1:5,12mm thick.over the cement concrete for floor finish including curing etc., complete complying with standard specifications and as directed by the departmental officers.</v>
          </cell>
        </row>
        <row r="21">
          <cell r="B21" t="str">
            <v>Finishing the exposed surface of RCC item of work such as slabs, beams, sunshade, facia, canopy slab, staircase waist slab, landing slab etc., with CM 1:3, 10mm thick. including raking the surface. The rate is to include the cost of providing cement morta</v>
          </cell>
        </row>
        <row r="22">
          <cell r="B22" t="str">
            <v>White washing two coats using best freshly burnt shell lime in all the floors including cost of lime, Blue, Fevicol type gum, brushes,scaffolding charges etc., complete complying with standard specifications and as directed by the departmental officers.</v>
          </cell>
        </row>
        <row r="23">
          <cell r="B23" t="str">
            <v>Colour washing two coats using best freshly burnt shell lime in all the floors using best quality &amp; approved variety of colouring pigments including cost of lime, colouring pigment, Fevicol type gum, brushes,scaffolding charges etc., complete complying wi</v>
          </cell>
        </row>
        <row r="24">
          <cell r="B24" t="str">
            <v>Painting two coatsover new iron works such as steel doors, windows, ventilators, window bars, balustrades etc., with  best approved best quality of synthetic enamel paint of approved colour over the existing priming coat etc., complete complying with stan</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ural Library building Abs"/>
      <sheetName val="Rural Library building"/>
      <sheetName val="Lead"/>
      <sheetName val="Data"/>
      <sheetName val="SoR7-8"/>
      <sheetName val="lead Plains"/>
      <sheetName val="SPECFI"/>
      <sheetName val="Spec"/>
    </sheetNames>
    <sheetDataSet>
      <sheetData sheetId="0"/>
      <sheetData sheetId="1"/>
      <sheetData sheetId="2"/>
      <sheetData sheetId="3"/>
      <sheetData sheetId="4"/>
      <sheetData sheetId="5"/>
      <sheetData sheetId="6"/>
      <sheetData sheetId="7">
        <row r="12">
          <cell r="B12" t="str">
            <v>Cement concrete 1:1.5:3 using 20mm ISS HBG metal for all RCC item of works excluding cost of Rein forcement and fabricating charges, centering and shuttering but including curing and providing fixtures like fan clamps in the RCC floor or roof slabs wherev</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ural Library building Abs"/>
      <sheetName val="Rural Library building"/>
      <sheetName val="Lead"/>
      <sheetName val="Data"/>
      <sheetName val="SoR7-8"/>
      <sheetName val="lead Plains"/>
      <sheetName val="SPECFI"/>
      <sheetName val="Spec"/>
    </sheetNames>
    <sheetDataSet>
      <sheetData sheetId="0"/>
      <sheetData sheetId="1"/>
      <sheetData sheetId="2"/>
      <sheetData sheetId="3"/>
      <sheetData sheetId="4"/>
      <sheetData sheetId="5"/>
      <sheetData sheetId="6"/>
      <sheetData sheetId="7">
        <row r="12">
          <cell r="B12" t="str">
            <v>Cement concrete 1:1.5:3 using 20mm ISS HBG metal for all RCC item of works excluding cost of Rein forcement and fabricating charges, centering and shuttering but including curing and providing fixtures like fan clamps in the RCC floor or roof slabs wherev</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ural Library building Abs"/>
      <sheetName val="Rural Library building"/>
      <sheetName val="Lead"/>
      <sheetName val="Data"/>
      <sheetName val="SoR7-8"/>
      <sheetName val="lead Plains"/>
      <sheetName val="SPECFI"/>
      <sheetName val="Spec"/>
    </sheetNames>
    <sheetDataSet>
      <sheetData sheetId="0"/>
      <sheetData sheetId="1"/>
      <sheetData sheetId="2"/>
      <sheetData sheetId="3"/>
      <sheetData sheetId="4"/>
      <sheetData sheetId="5"/>
      <sheetData sheetId="6"/>
      <sheetData sheetId="7">
        <row r="12">
          <cell r="B12" t="str">
            <v>Cement concrete 1:1.5:3 using 20mm ISS HBG metal for all RCC item of works excluding cost of Rein forcement and fabricating charges, centering and shuttering but including curing and providing fixtures like fan clamps in the RCC floor or roof slabs wherev</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ural Library building Abs"/>
      <sheetName val="Rural Library building"/>
      <sheetName val="Lead"/>
      <sheetName val="Data"/>
      <sheetName val="SoR7-8"/>
      <sheetName val="lead Plains"/>
      <sheetName val="SPECFI"/>
      <sheetName val="Spec"/>
    </sheetNames>
    <sheetDataSet>
      <sheetData sheetId="0"/>
      <sheetData sheetId="1"/>
      <sheetData sheetId="2"/>
      <sheetData sheetId="3"/>
      <sheetData sheetId="4"/>
      <sheetData sheetId="5"/>
      <sheetData sheetId="6"/>
      <sheetData sheetId="7">
        <row r="12">
          <cell r="B12" t="str">
            <v>Cement concrete 1:1.5:3 using 20mm ISS HBG metal for all RCC item of works excluding cost of Rein forcement and fabricating charges, centering and shuttering but including curing and providing fixtures like fan clamps in the RCC floor or roof slabs wherev</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charge"/>
      <sheetName val="Elec_Data"/>
      <sheetName val="Elec_abs"/>
      <sheetName val="Data"/>
      <sheetName val="Bldg_Dev"/>
      <sheetName val="123"/>
      <sheetName val="7 in 1   "/>
      <sheetName val="Print Data"/>
      <sheetName val="printing data"/>
      <sheetName val="pro detail"/>
      <sheetName val="pro abs"/>
      <sheetName val="pri data"/>
      <sheetName val="Detail"/>
      <sheetName val="Abstract"/>
      <sheetName val="Compatibility Repor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charge"/>
      <sheetName val="Elec_Data"/>
      <sheetName val="Elec_abs"/>
      <sheetName val="Data"/>
      <sheetName val="Bldg_Dev"/>
      <sheetName val="123"/>
      <sheetName val="7 in 1   "/>
      <sheetName val="Print Data"/>
      <sheetName val="printing data"/>
      <sheetName val="pro detail"/>
      <sheetName val="pro abs"/>
      <sheetName val="pri data"/>
      <sheetName val="Detail"/>
      <sheetName val="Abstract"/>
      <sheetName val="Compatibility Repor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charge"/>
      <sheetName val="Elec_Data"/>
      <sheetName val="Elec_abs"/>
      <sheetName val="Data"/>
      <sheetName val="Bldg_Dev"/>
      <sheetName val="123"/>
      <sheetName val="7 in 1   "/>
      <sheetName val="Print Data"/>
      <sheetName val="printing data"/>
      <sheetName val="pro detail"/>
      <sheetName val="pro abs"/>
      <sheetName val="pri data"/>
      <sheetName val="Detail"/>
      <sheetName val="Abstract"/>
      <sheetName val="Compatibility Repor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8 in 1  "/>
      <sheetName val="2 in 1 incl. F.E."/>
    </sheetNames>
    <sheetDataSet>
      <sheetData sheetId="0" refreshError="1">
        <row r="16">
          <cell r="C16" t="str">
            <v>Cost of MS sheet [SR 2020-21 / P.126]</v>
          </cell>
        </row>
        <row r="25">
          <cell r="C25" t="str">
            <v xml:space="preserve">Cost of angle iron </v>
          </cell>
        </row>
        <row r="41">
          <cell r="C41" t="str">
            <v>Tin coating of copper ( qtn vide CER.NO.189/19-20)</v>
          </cell>
        </row>
      </sheetData>
      <sheetData sheetId="1"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2)"/>
      <sheetName val="Data coastal (3)"/>
      <sheetName val="steel formula (4)"/>
      <sheetName val="lead  charge"/>
      <sheetName val="Elec.Data"/>
      <sheetName val="Elec.abs"/>
      <sheetName val="Data"/>
      <sheetName val="Develo"/>
      <sheetName val="Building"/>
      <sheetName val="Abstract"/>
      <sheetName val="G. Abstract"/>
      <sheetName val="coding"/>
      <sheetName val="Ann-A"/>
      <sheetName val="Ann-"/>
      <sheetName val="Sheet1"/>
      <sheetName val="8 in 1  "/>
    </sheetNames>
    <sheetDataSet>
      <sheetData sheetId="0"/>
      <sheetData sheetId="1"/>
      <sheetData sheetId="2"/>
      <sheetData sheetId="3"/>
      <sheetData sheetId="4"/>
      <sheetData sheetId="5"/>
      <sheetData sheetId="6" refreshError="1">
        <row r="1475">
          <cell r="P1475">
            <v>321</v>
          </cell>
        </row>
        <row r="2634">
          <cell r="I2634">
            <v>121800</v>
          </cell>
        </row>
        <row r="2635">
          <cell r="I2635">
            <v>108400</v>
          </cell>
        </row>
        <row r="2636">
          <cell r="I2636">
            <v>116700</v>
          </cell>
        </row>
      </sheetData>
      <sheetData sheetId="7"/>
      <sheetData sheetId="8"/>
      <sheetData sheetId="9"/>
      <sheetData sheetId="10"/>
      <sheetData sheetId="11"/>
      <sheetData sheetId="12"/>
      <sheetData sheetId="13"/>
      <sheetData sheetId="14"/>
      <sheetData sheetId="15"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le data "/>
      <sheetName val="  Coastal  Elec.Data "/>
      <sheetName val="lead  charge"/>
      <sheetName val="Elec.Data"/>
      <sheetName val="Data"/>
      <sheetName val="Sliding and french window"/>
      <sheetName val="building"/>
      <sheetName val="Sheet1"/>
    </sheetNames>
    <sheetDataSet>
      <sheetData sheetId="0"/>
      <sheetData sheetId="1"/>
      <sheetData sheetId="2"/>
      <sheetData sheetId="3">
        <row r="29">
          <cell r="K29">
            <v>1630</v>
          </cell>
        </row>
        <row r="936">
          <cell r="K936">
            <v>1552.7</v>
          </cell>
        </row>
      </sheetData>
      <sheetData sheetId="4"/>
      <sheetData sheetId="5"/>
      <sheetData sheetId="6">
        <row r="1474">
          <cell r="C1474">
            <v>3086.63</v>
          </cell>
        </row>
      </sheetData>
      <sheetData sheetId="7"/>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le data ( M30 grade) (2)"/>
      <sheetName val="2 in 1 incl. F.E."/>
      <sheetName val="pile data "/>
      <sheetName val="  Coastal  Elec.Data "/>
      <sheetName val="lead  charge"/>
      <sheetName val="Elec.Data"/>
      <sheetName val="Data"/>
      <sheetName val="Sliding and french window"/>
      <sheetName val="Data (2)"/>
      <sheetName val="building"/>
      <sheetName val="printing data"/>
      <sheetName val="Sheet1"/>
      <sheetName val="Sheet2"/>
      <sheetName val="Sheet4"/>
      <sheetName val="open (coach)"/>
      <sheetName val="Mdu elec"/>
      <sheetName val="Sheet3"/>
    </sheetNames>
    <sheetDataSet>
      <sheetData sheetId="0" refreshError="1"/>
      <sheetData sheetId="1" refreshError="1"/>
      <sheetData sheetId="2" refreshError="1"/>
      <sheetData sheetId="3" refreshError="1"/>
      <sheetData sheetId="4" refreshError="1"/>
      <sheetData sheetId="5" refreshError="1"/>
      <sheetData sheetId="6" refreshError="1">
        <row r="3597">
          <cell r="X3597">
            <v>213.6</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le data "/>
      <sheetName val="  Coastal  Elec.Data "/>
      <sheetName val="lead  charge"/>
      <sheetName val="Elec.Data"/>
      <sheetName val="Sliding and french window"/>
      <sheetName val="building"/>
      <sheetName val="Data"/>
      <sheetName val="O.data"/>
      <sheetName val="Printing data "/>
      <sheetName val="G. Abstract"/>
      <sheetName val="Abstract"/>
      <sheetName val="Building+Develop"/>
      <sheetName val="PCB"/>
      <sheetName val="CC road"/>
      <sheetName val="P.P"/>
      <sheetName val="S.drain"/>
      <sheetName val="UG Sump"/>
      <sheetName val="S.tank "/>
      <sheetName val="Ele.Detail"/>
      <sheetName val="Ex. Water "/>
      <sheetName val="False ceiling"/>
      <sheetName val="Genset &amp; Lift"/>
      <sheetName val="two"/>
      <sheetName val="vehicle"/>
      <sheetName val="Guard room"/>
      <sheetName val="add.ame"/>
      <sheetName val="culvert "/>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5">
          <cell r="D5" t="str">
            <v xml:space="preserve"> </v>
          </cell>
        </row>
        <row r="49">
          <cell r="A49" t="str">
            <v xml:space="preserve"> </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eel formula"/>
      <sheetName val="lead  charge"/>
      <sheetName val="Elec.Data"/>
      <sheetName val="Elec.abs"/>
      <sheetName val="Data"/>
      <sheetName val="G. Abstract"/>
      <sheetName val="Abstract"/>
      <sheetName val="Sheet1"/>
      <sheetName val="Bldg+Dev"/>
      <sheetName val="G. Abstract (2)"/>
      <sheetName val="Over Head Tank 10000 detail est"/>
      <sheetName val="Over Head Tank 700 detail "/>
      <sheetName val="Sheet2"/>
      <sheetName val="Sheet3"/>
      <sheetName val="Main work detail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566">
          <cell r="B566" t="str">
            <v>Supply &amp; Fixing of MS door  (for lockup door )</v>
          </cell>
        </row>
      </sheetData>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rick work"/>
      <sheetName val="plastering "/>
      <sheetName val="tiles"/>
      <sheetName val="wood work"/>
      <sheetName val="Plumbing"/>
      <sheetName val="elc"/>
      <sheetName val="form work"/>
      <sheetName val="excess qty"/>
      <sheetName val="dsp"/>
      <sheetName val="building"/>
      <sheetName val="tank"/>
      <sheetName val="plinth protection"/>
      <sheetName val="sump"/>
      <sheetName val="septic tank"/>
      <sheetName val="sullage drain"/>
      <sheetName val="Steel"/>
      <sheetName val="general abs"/>
      <sheetName val="UPVC"/>
      <sheetName val="Sheet1"/>
      <sheetName val="Sheet2"/>
    </sheetNames>
    <sheetDataSet>
      <sheetData sheetId="0"/>
      <sheetData sheetId="1"/>
      <sheetData sheetId="2"/>
      <sheetData sheetId="3"/>
      <sheetData sheetId="4"/>
      <sheetData sheetId="5"/>
      <sheetData sheetId="6"/>
      <sheetData sheetId="7"/>
      <sheetData sheetId="8" refreshError="1">
        <row r="147">
          <cell r="A147">
            <v>383.1</v>
          </cell>
        </row>
      </sheetData>
      <sheetData sheetId="9"/>
      <sheetData sheetId="10"/>
      <sheetData sheetId="11"/>
      <sheetData sheetId="12"/>
      <sheetData sheetId="13"/>
      <sheetData sheetId="14"/>
      <sheetData sheetId="15"/>
      <sheetData sheetId="16"/>
      <sheetData sheetId="17"/>
      <sheetData sheetId="18"/>
      <sheetData sheetId="19"/>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SP"/>
    </sheetNames>
    <sheetDataSet>
      <sheetData sheetId="0">
        <row r="867">
          <cell r="G867">
            <v>18.20424865333332</v>
          </cell>
        </row>
      </sheetData>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charge"/>
      <sheetName val="Elec.Data"/>
      <sheetName val="Elec.abs"/>
      <sheetName val="sump"/>
      <sheetName val="SI"/>
      <sheetName val="Culvert"/>
      <sheetName val="Pile data"/>
      <sheetName val="Septic tank design"/>
      <sheetName val="Bldg+Dev"/>
      <sheetName val="detail"/>
      <sheetName val="Data"/>
      <sheetName val="Printing data"/>
      <sheetName val="Abstract"/>
      <sheetName val="G.Abs"/>
      <sheetName val="G.Abs.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le data ( M30 grade) (2)"/>
      <sheetName val="pile data "/>
      <sheetName val="  Coastal  Elec.Data "/>
      <sheetName val="Sliding and french window"/>
      <sheetName val="Abtract"/>
      <sheetName val="P.Pro"/>
      <sheetName val="CC road"/>
      <sheetName val="P.P"/>
      <sheetName val="S.drain"/>
      <sheetName val="OHT"/>
      <sheetName val="UG Sump"/>
      <sheetName val="Ext.ele"/>
      <sheetName val="water supply"/>
      <sheetName val="Numbering"/>
      <sheetName val="culvert "/>
      <sheetName val="GENSET"/>
      <sheetName val="compound"/>
      <sheetName val="Septic tank"/>
      <sheetName val="CCTV"/>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ural Library building Abs"/>
      <sheetName val="Rural Library building"/>
      <sheetName val="Lead"/>
      <sheetName val="Data"/>
      <sheetName val="SoR7-8"/>
      <sheetName val="lead Plains"/>
      <sheetName val="SPECFI"/>
      <sheetName val="Spec"/>
    </sheetNames>
    <sheetDataSet>
      <sheetData sheetId="0"/>
      <sheetData sheetId="1"/>
      <sheetData sheetId="2"/>
      <sheetData sheetId="3"/>
      <sheetData sheetId="4"/>
      <sheetData sheetId="5"/>
      <sheetData sheetId="6"/>
      <sheetData sheetId="7">
        <row r="5">
          <cell r="B5" t="str">
            <v>Earth work Excavation for Foundation in all soils and Sub Soil to full depth as may be directed except in hard rock requiring blasting but inclusive of shoring strutting and requiring the sides of foundation.</v>
          </cell>
        </row>
        <row r="6">
          <cell r="B6" t="str">
            <v xml:space="preserve">Cement concrete 1 : 4 : 8 mix using 40mm HBG metal for foundation including watering wherever necessary and laid in layers of not more than 15cm thick., compacting etc., complete complying with standard specifications and as directed. </v>
          </cell>
        </row>
        <row r="9">
          <cell r="B9" t="str">
            <v>Brick work in CM 1:5mix using country bricks ground moulded of size 23 x 11 x 7cm for the following including curing etc., complete complying with standard specifications.</v>
          </cell>
        </row>
        <row r="10">
          <cell r="B10" t="str">
            <v>Supplying and Fabricating and placing in position MS steel or ribbed for steel for all reinforced cement concrete works as per the design given including cost of steel and binding wire in all floors etc,  Complete complying with stanard specification.</v>
          </cell>
        </row>
        <row r="11">
          <cell r="B11" t="str">
            <v>Supplying &amp; Erecting centering for sides &amp; soffiots including necessary supports &amp; strutting upto 3.29m height for plane surfaces in all floors with all cross bracings using mild steel sheets of size 90 x 60cm &amp; 10 gauge stiffened, welded with steel angle</v>
          </cell>
        </row>
        <row r="12">
          <cell r="B12" t="str">
            <v>Cement concrete 1:1.5:3 using 20mm ISS HBG metal for all RCC item of works excluding cost of Rein forcement and fabricating charges, centering and shuttering but including curing and providing fixtures like fan clamps in the RCC floor or roof slabs wherev</v>
          </cell>
        </row>
        <row r="14">
          <cell r="B14" t="str">
            <v>Filling in Basement with excavated Earth in layers of not more than 15cm. Thick well rammed, watered and consolidated complying with standard specifications etc., complete.</v>
          </cell>
        </row>
        <row r="15">
          <cell r="B15" t="str">
            <v>Supplying and Filling foundation and basement with filling sand in layers not more than 15cm . Thick well ramed, watered and compacted Complete complying with stanard specification.</v>
          </cell>
        </row>
        <row r="17">
          <cell r="B17" t="str">
            <v>Paving the floor with scratch proof ceramic tiles of any colour and any size laid in CM 1:2, 20mm thick. And pointing with white cement 0.4 Kg per sqm mixed with colouring pigment to siut the colour of the tiles including finishing the joints neatly compl</v>
          </cell>
        </row>
        <row r="18">
          <cell r="B18" t="str">
            <v>Weathering course with best quality broken brick jelly of size 20mm uniform gauge in pure slaked lime (no sand to be listed) over the RCC roof slab in the proposition being brickjelly to lime 32:12:1/2 by volume and laid over into a single layer and conso</v>
          </cell>
        </row>
        <row r="19">
          <cell r="B19" t="str">
            <v>Finishing the top of the roof with one course of Machine PressedTiles of size 20 cm x 2 cm of approved quality laid in CEMENT MORTAR 1:3(One cement and three sand) 12 mm thick mixed with water proofing compound conforming to ISS by 2% weight of cement use</v>
          </cell>
        </row>
        <row r="20">
          <cell r="B20" t="str">
            <v>Plastering with CM 1:5,12mm thick.over the cement concrete for floor finish including curing etc., complete complying with standard specifications and as directed by the departmental officers.</v>
          </cell>
        </row>
        <row r="21">
          <cell r="B21" t="str">
            <v>Finishing the exposed surface of RCC item of work such as slabs, beams, sunshade, facia, canopy slab, staircase waist slab, landing slab etc., with CM 1:3, 10mm thick. including raking the surface. The rate is to include the cost of providing cement morta</v>
          </cell>
        </row>
        <row r="22">
          <cell r="B22" t="str">
            <v>White washing two coats using best freshly burnt shell lime in all the floors including cost of lime, Blue, Fevicol type gum, brushes,scaffolding charges etc., complete complying with standard specifications and as directed by the departmental officers.</v>
          </cell>
        </row>
        <row r="23">
          <cell r="B23" t="str">
            <v>Colour washing two coats using best freshly burnt shell lime in all the floors using best quality &amp; approved variety of colouring pigments including cost of lime, colouring pigment, Fevicol type gum, brushes,scaffolding charges etc., complete complying wi</v>
          </cell>
        </row>
        <row r="24">
          <cell r="B24" t="str">
            <v>Painting two coatsover new iron works such as steel doors, windows, ventilators, window bars, balustrades etc., with  best approved best quality of synthetic enamel paint of approved colour over the existing priming coat etc., complete complying with stan</v>
          </cell>
        </row>
      </sheetData>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ural Library building Abs"/>
      <sheetName val="Rural Library building"/>
      <sheetName val="Lead"/>
      <sheetName val="Data"/>
      <sheetName val="SoR7-8"/>
      <sheetName val="lead Plains"/>
      <sheetName val="SPECFI"/>
      <sheetName val="Spec"/>
    </sheetNames>
    <sheetDataSet>
      <sheetData sheetId="0"/>
      <sheetData sheetId="1"/>
      <sheetData sheetId="2"/>
      <sheetData sheetId="3"/>
      <sheetData sheetId="4"/>
      <sheetData sheetId="5"/>
      <sheetData sheetId="6"/>
      <sheetData sheetId="7">
        <row r="5">
          <cell r="B5" t="str">
            <v>Earth work Excavation for Foundation in all soils and Sub Soil to full depth as may be directed except in hard rock requiring blasting but inclusive of shoring strutting and requiring the sides of foundation.</v>
          </cell>
        </row>
        <row r="6">
          <cell r="B6" t="str">
            <v xml:space="preserve">Cement concrete 1 : 4 : 8 mix using 40mm HBG metal for foundation including watering wherever necessary and laid in layers of not more than 15cm thick., compacting etc., complete complying with standard specifications and as directed. </v>
          </cell>
        </row>
        <row r="9">
          <cell r="B9" t="str">
            <v>Brick work in CM 1:5mix using country bricks ground moulded of size 23 x 11 x 7cm for the following including curing etc., complete complying with standard specifications.</v>
          </cell>
        </row>
        <row r="10">
          <cell r="B10" t="str">
            <v>Supplying and Fabricating and placing in position MS steel or ribbed for steel for all reinforced cement concrete works as per the design given including cost of steel and binding wire in all floors etc,  Complete complying with stanard specification.</v>
          </cell>
        </row>
        <row r="11">
          <cell r="B11" t="str">
            <v>Supplying &amp; Erecting centering for sides &amp; soffiots including necessary supports &amp; strutting upto 3.29m height for plane surfaces in all floors with all cross bracings using mild steel sheets of size 90 x 60cm &amp; 10 gauge stiffened, welded with steel angle</v>
          </cell>
        </row>
        <row r="12">
          <cell r="B12" t="str">
            <v>Cement concrete 1:1.5:3 using 20mm ISS HBG metal for all RCC item of works excluding cost of Rein forcement and fabricating charges, centering and shuttering but including curing and providing fixtures like fan clamps in the RCC floor or roof slabs wherev</v>
          </cell>
        </row>
        <row r="14">
          <cell r="B14" t="str">
            <v>Filling in Basement with excavated Earth in layers of not more than 15cm. Thick well rammed, watered and consolidated complying with standard specifications etc., complete.</v>
          </cell>
        </row>
        <row r="15">
          <cell r="B15" t="str">
            <v>Supplying and Filling foundation and basement with filling sand in layers not more than 15cm . Thick well ramed, watered and compacted Complete complying with stanard specification.</v>
          </cell>
        </row>
        <row r="17">
          <cell r="B17" t="str">
            <v>Paving the floor with scratch proof ceramic tiles of any colour and any size laid in CM 1:2, 20mm thick. And pointing with white cement 0.4 Kg per sqm mixed with colouring pigment to siut the colour of the tiles including finishing the joints neatly compl</v>
          </cell>
        </row>
        <row r="18">
          <cell r="B18" t="str">
            <v>Weathering course with best quality broken brick jelly of size 20mm uniform gauge in pure slaked lime (no sand to be listed) over the RCC roof slab in the proposition being brickjelly to lime 32:12:1/2 by volume and laid over into a single layer and conso</v>
          </cell>
        </row>
        <row r="19">
          <cell r="B19" t="str">
            <v>Finishing the top of the roof with one course of Machine PressedTiles of size 20 cm x 2 cm of approved quality laid in CEMENT MORTAR 1:3(One cement and three sand) 12 mm thick mixed with water proofing compound conforming to ISS by 2% weight of cement use</v>
          </cell>
        </row>
        <row r="20">
          <cell r="B20" t="str">
            <v>Plastering with CM 1:5,12mm thick.over the cement concrete for floor finish including curing etc., complete complying with standard specifications and as directed by the departmental officers.</v>
          </cell>
        </row>
        <row r="21">
          <cell r="B21" t="str">
            <v>Finishing the exposed surface of RCC item of work such as slabs, beams, sunshade, facia, canopy slab, staircase waist slab, landing slab etc., with CM 1:3, 10mm thick. including raking the surface. The rate is to include the cost of providing cement morta</v>
          </cell>
        </row>
        <row r="22">
          <cell r="B22" t="str">
            <v>White washing two coats using best freshly burnt shell lime in all the floors including cost of lime, Blue, Fevicol type gum, brushes,scaffolding charges etc., complete complying with standard specifications and as directed by the departmental officers.</v>
          </cell>
        </row>
        <row r="23">
          <cell r="B23" t="str">
            <v>Colour washing two coats using best freshly burnt shell lime in all the floors using best quality &amp; approved variety of colouring pigments including cost of lime, colouring pigment, Fevicol type gum, brushes,scaffolding charges etc., complete complying wi</v>
          </cell>
        </row>
        <row r="24">
          <cell r="B24" t="str">
            <v>Painting two coatsover new iron works such as steel doors, windows, ventilators, window bars, balustrades etc., with  best approved best quality of synthetic enamel paint of approved colour over the existing priming coat etc., complete complying with stan</v>
          </cell>
        </row>
      </sheetData>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ural Library building Abs"/>
      <sheetName val="Rural Library building"/>
      <sheetName val="Lead"/>
      <sheetName val="Data"/>
      <sheetName val="SoR7-8"/>
      <sheetName val="lead Plains"/>
      <sheetName val="SPECFI"/>
      <sheetName val="Spec"/>
    </sheetNames>
    <sheetDataSet>
      <sheetData sheetId="0"/>
      <sheetData sheetId="1"/>
      <sheetData sheetId="2"/>
      <sheetData sheetId="3"/>
      <sheetData sheetId="4"/>
      <sheetData sheetId="5"/>
      <sheetData sheetId="6"/>
      <sheetData sheetId="7">
        <row r="12">
          <cell r="B12" t="str">
            <v>Cement concrete 1:1.5:3 using 20mm ISS HBG metal for all RCC item of works excluding cost of Rein forcement and fabricating charges, centering and shuttering but including curing and providing fixtures like fan clamps in the RCC floor or roof slabs wherev</v>
          </cell>
        </row>
      </sheetData>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ural Library building Abs"/>
      <sheetName val="Rural Library building"/>
      <sheetName val="Lead"/>
      <sheetName val="Data"/>
      <sheetName val="SoR7-8"/>
      <sheetName val="lead Plains"/>
      <sheetName val="SPECFI"/>
      <sheetName val="Spec"/>
    </sheetNames>
    <sheetDataSet>
      <sheetData sheetId="0"/>
      <sheetData sheetId="1"/>
      <sheetData sheetId="2"/>
      <sheetData sheetId="3"/>
      <sheetData sheetId="4"/>
      <sheetData sheetId="5"/>
      <sheetData sheetId="6"/>
      <sheetData sheetId="7">
        <row r="12">
          <cell r="B12" t="str">
            <v>Cement concrete 1:1.5:3 using 20mm ISS HBG metal for all RCC item of works excluding cost of Rein forcement and fabricating charges, centering and shuttering but including curing and providing fixtures like fan clamps in the RCC floor or roof slabs wherev</v>
          </cell>
        </row>
      </sheetData>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ural Library building Abs"/>
      <sheetName val="Rural Library building"/>
      <sheetName val="Lead"/>
      <sheetName val="Data"/>
      <sheetName val="SoR7-8"/>
      <sheetName val="lead Plains"/>
      <sheetName val="SPECFI"/>
      <sheetName val="Spec"/>
    </sheetNames>
    <sheetDataSet>
      <sheetData sheetId="0"/>
      <sheetData sheetId="1"/>
      <sheetData sheetId="2"/>
      <sheetData sheetId="3"/>
      <sheetData sheetId="4"/>
      <sheetData sheetId="5"/>
      <sheetData sheetId="6"/>
      <sheetData sheetId="7">
        <row r="12">
          <cell r="B12" t="str">
            <v>Cement concrete 1:1.5:3 using 20mm ISS HBG metal for all RCC item of works excluding cost of Rein forcement and fabricating charges, centering and shuttering but including curing and providing fixtures like fan clamps in the RCC floor or roof slabs wherev</v>
          </cell>
        </row>
      </sheetData>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ural Library building Abs"/>
      <sheetName val="Rural Library building"/>
      <sheetName val="Lead"/>
      <sheetName val="Data"/>
      <sheetName val="SoR7-8"/>
      <sheetName val="lead Plains"/>
      <sheetName val="SPECFI"/>
      <sheetName val="Spec"/>
    </sheetNames>
    <sheetDataSet>
      <sheetData sheetId="0"/>
      <sheetData sheetId="1"/>
      <sheetData sheetId="2"/>
      <sheetData sheetId="3"/>
      <sheetData sheetId="4"/>
      <sheetData sheetId="5"/>
      <sheetData sheetId="6"/>
      <sheetData sheetId="7">
        <row r="12">
          <cell r="B12" t="str">
            <v>Cement concrete 1:1.5:3 using 20mm ISS HBG metal for all RCC item of works excluding cost of Rein forcement and fabricating charges, centering and shuttering but including curing and providing fixtures like fan clamps in the RCC floor or roof slabs wherev</v>
          </cell>
        </row>
      </sheetData>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ural Library building Abs"/>
      <sheetName val="Rural Library building"/>
      <sheetName val="Lead"/>
      <sheetName val="Data"/>
      <sheetName val="SoR7-8"/>
      <sheetName val="lead Plains"/>
      <sheetName val="SPECFI"/>
      <sheetName val="Spec"/>
    </sheetNames>
    <sheetDataSet>
      <sheetData sheetId="0"/>
      <sheetData sheetId="1"/>
      <sheetData sheetId="2"/>
      <sheetData sheetId="3"/>
      <sheetData sheetId="4"/>
      <sheetData sheetId="5"/>
      <sheetData sheetId="6"/>
      <sheetData sheetId="7">
        <row r="12">
          <cell r="B12" t="str">
            <v>Cement concrete 1:1.5:3 using 20mm ISS HBG metal for all RCC item of works excluding cost of Rein forcement and fabricating charges, centering and shuttering but including curing and providing fixtures like fan clamps in the RCC floor or roof slabs wherev</v>
          </cell>
        </row>
      </sheetData>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ural Library building Abs"/>
      <sheetName val="Rural Library building"/>
      <sheetName val="Lead"/>
      <sheetName val="Data"/>
      <sheetName val="SoR7-8"/>
      <sheetName val="lead Plains"/>
      <sheetName val="SPECFI"/>
      <sheetName val="Spec"/>
    </sheetNames>
    <sheetDataSet>
      <sheetData sheetId="0"/>
      <sheetData sheetId="1"/>
      <sheetData sheetId="2"/>
      <sheetData sheetId="3"/>
      <sheetData sheetId="4"/>
      <sheetData sheetId="5"/>
      <sheetData sheetId="6"/>
      <sheetData sheetId="7">
        <row r="12">
          <cell r="B12" t="str">
            <v>Cement concrete 1:1.5:3 using 20mm ISS HBG metal for all RCC item of works excluding cost of Rein forcement and fabricating charges, centering and shuttering but including curing and providing fixtures like fan clamps in the RCC floor or roof slabs wherev</v>
          </cell>
        </row>
      </sheetData>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charge"/>
      <sheetName val="Data"/>
      <sheetName val="Abstract"/>
      <sheetName val="Bldg+Dev"/>
      <sheetName val="G. Abstract"/>
      <sheetName val="Sump Abs (women)"/>
      <sheetName val="Sump Abs (men)"/>
      <sheetName val="Sump Abs"/>
      <sheetName val="ST Abs (Women) "/>
      <sheetName val="ST Abs (Men)"/>
      <sheetName val="ST Abs"/>
      <sheetName val="PP Abs"/>
      <sheetName val="SD Abs (2)"/>
      <sheetName val="SD Abs"/>
      <sheetName val="SWD Abs"/>
      <sheetName val="Cul Abs"/>
      <sheetName val="CCR Abs"/>
      <sheetName val="BT Abs 2"/>
      <sheetName val="BT Abs"/>
      <sheetName val="COM Abs"/>
      <sheetName val="Dev qty"/>
      <sheetName val="Spec"/>
    </sheetNames>
    <sheetDataSet>
      <sheetData sheetId="0" refreshError="1"/>
      <sheetData sheetId="1"/>
      <sheetData sheetId="2" refreshError="1"/>
      <sheetData sheetId="3"/>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charge"/>
      <sheetName val="Elec_Data"/>
      <sheetName val="Elec_abs"/>
      <sheetName val="Data"/>
      <sheetName val="Bldg_Dev"/>
      <sheetName val="123"/>
      <sheetName val="7 in 1   "/>
      <sheetName val="Print Data"/>
      <sheetName val="printing data"/>
      <sheetName val="pro detail"/>
      <sheetName val="pro abs"/>
      <sheetName val="pri data"/>
      <sheetName val="Detail"/>
      <sheetName val="Abstract"/>
      <sheetName val="Compatibility Repor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charge"/>
      <sheetName val="Elec_Data"/>
      <sheetName val="Elec_abs"/>
      <sheetName val="Data"/>
      <sheetName val="Bldg_Dev"/>
      <sheetName val="123"/>
      <sheetName val="7 in 1   "/>
      <sheetName val="Print Data"/>
      <sheetName val="printing data"/>
      <sheetName val="pro detail"/>
      <sheetName val="pro abs"/>
      <sheetName val="pri data"/>
      <sheetName val="Detail"/>
      <sheetName val="Abstract"/>
      <sheetName val="Compatibility Repor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LD + DEV"/>
      <sheetName val="Gen Abs "/>
      <sheetName val="Ann Q"/>
      <sheetName val="DEV"/>
      <sheetName val="QS"/>
      <sheetName val="Coding"/>
      <sheetName val="Abs"/>
      <sheetName val="Data"/>
      <sheetName val="Check List"/>
      <sheetName val="Road. (4)"/>
      <sheetName val="Sull .drain.  (4) "/>
      <sheetName val="PP.(4)"/>
      <sheetName val="Sump (4)"/>
      <sheetName val="SI (J)"/>
      <sheetName val="PC (J)"/>
      <sheetName val="Culvert. (J)"/>
      <sheetName val="INS(S) (J)"/>
      <sheetName val="S.Tank (J)"/>
      <sheetName val="Road. (J) "/>
      <sheetName val="Storm water (J)"/>
      <sheetName val="Sump (J)"/>
      <sheetName val="PP.(J)"/>
      <sheetName val="Sull .drain. (J)"/>
      <sheetName val="Storm warer (4)"/>
      <sheetName val="Road. (j)"/>
      <sheetName val="DSP"/>
      <sheetName val="INS"/>
      <sheetName val="SI"/>
      <sheetName val="Road.10"/>
      <sheetName val="Sull .drain.10"/>
      <sheetName val="Culvert.10"/>
      <sheetName val="Data (J)"/>
      <sheetName val="INS (J)"/>
      <sheetName val="Sewer"/>
      <sheetName val="Storm water"/>
      <sheetName val="GR-7"/>
      <sheetName val="GR-8 to 12(a)"/>
      <sheetName val="INS(S)"/>
      <sheetName val="VIL(O )"/>
      <sheetName val="#REF"/>
      <sheetName val="Abstrac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file:///G:\2273" TargetMode="External"/><Relationship Id="rId1" Type="http://schemas.openxmlformats.org/officeDocument/2006/relationships/hyperlink" Target="file:///G:\2273" TargetMode="External"/><Relationship Id="rId4"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26"/>
  <sheetViews>
    <sheetView view="pageBreakPreview" topLeftCell="A128" zoomScale="80" zoomScaleSheetLayoutView="80" workbookViewId="0">
      <selection activeCell="F145" sqref="F145"/>
    </sheetView>
  </sheetViews>
  <sheetFormatPr defaultRowHeight="15.75"/>
  <cols>
    <col min="1" max="1" width="12.77734375" customWidth="1"/>
    <col min="2" max="2" width="8.77734375" customWidth="1"/>
    <col min="3" max="3" width="51.6640625" customWidth="1"/>
    <col min="4" max="4" width="8.44140625" customWidth="1"/>
    <col min="5" max="5" width="7.33203125" customWidth="1"/>
    <col min="6" max="6" width="12.77734375" customWidth="1"/>
    <col min="7" max="7" width="9.109375" customWidth="1"/>
    <col min="8" max="8" width="9" bestFit="1" customWidth="1"/>
    <col min="9" max="9" width="16.88671875" customWidth="1"/>
  </cols>
  <sheetData>
    <row r="1" spans="1:7" ht="17.25" customHeight="1">
      <c r="A1" s="1227" t="s">
        <v>3971</v>
      </c>
      <c r="B1" s="1227"/>
      <c r="C1" s="1227"/>
      <c r="D1" s="1227"/>
      <c r="E1" s="1227"/>
      <c r="F1" s="1227"/>
    </row>
    <row r="2" spans="1:7" ht="17.25" customHeight="1">
      <c r="A2" s="1227" t="s">
        <v>3970</v>
      </c>
      <c r="B2" s="1227"/>
      <c r="C2" s="1227"/>
      <c r="D2" s="1227"/>
      <c r="E2" s="1227"/>
      <c r="F2" s="1227"/>
    </row>
    <row r="3" spans="1:7" ht="31.5" customHeight="1">
      <c r="A3" s="1228" t="s">
        <v>4126</v>
      </c>
      <c r="B3" s="1228"/>
      <c r="C3" s="1228"/>
      <c r="D3" s="1228"/>
      <c r="E3" s="1228"/>
      <c r="F3" s="1228"/>
    </row>
    <row r="4" spans="1:7" ht="17.25">
      <c r="A4" s="1229" t="s">
        <v>4609</v>
      </c>
      <c r="B4" s="1229"/>
      <c r="C4" s="1229"/>
      <c r="D4" s="1229"/>
      <c r="E4" s="1229"/>
      <c r="F4" s="66"/>
    </row>
    <row r="5" spans="1:7" ht="6" customHeight="1">
      <c r="A5" s="66"/>
      <c r="B5" s="66"/>
      <c r="C5" s="66"/>
      <c r="D5" s="66"/>
      <c r="E5" s="66"/>
      <c r="F5" s="66"/>
    </row>
    <row r="6" spans="1:7" ht="45.75" customHeight="1">
      <c r="B6" s="84"/>
      <c r="C6" s="1230" t="s">
        <v>4611</v>
      </c>
      <c r="D6" s="1230"/>
      <c r="E6" s="1230"/>
      <c r="F6" s="84"/>
      <c r="G6" s="2" t="s">
        <v>2142</v>
      </c>
    </row>
    <row r="7" spans="1:7" ht="24" customHeight="1">
      <c r="A7" s="83"/>
      <c r="B7" s="1231" t="s">
        <v>4610</v>
      </c>
      <c r="C7" s="1231"/>
      <c r="D7" s="1231"/>
      <c r="E7" s="1231"/>
      <c r="F7" s="1231"/>
      <c r="G7" s="5">
        <f>ROUND(3.14*0.75*0.75*8/4,2)</f>
        <v>3.53</v>
      </c>
    </row>
    <row r="8" spans="1:7" ht="28.5" customHeight="1">
      <c r="A8" s="75"/>
      <c r="B8" s="75"/>
      <c r="C8" s="82" t="s">
        <v>3968</v>
      </c>
      <c r="D8" s="75"/>
      <c r="E8" s="75"/>
      <c r="F8" s="75"/>
    </row>
    <row r="9" spans="1:7" ht="30.75" customHeight="1">
      <c r="A9" s="77">
        <f>G7</f>
        <v>3.53</v>
      </c>
      <c r="B9" s="75" t="s">
        <v>2142</v>
      </c>
      <c r="C9" s="75" t="s">
        <v>3998</v>
      </c>
      <c r="D9" s="66"/>
      <c r="E9" s="76">
        <f>DATA!Y688</f>
        <v>8669.4500000000007</v>
      </c>
      <c r="F9" s="76">
        <f>A9*E9</f>
        <v>30603.16</v>
      </c>
    </row>
    <row r="10" spans="1:7" ht="30.75" customHeight="1">
      <c r="A10" s="81">
        <f>A9*10/100</f>
        <v>0.35299999999999998</v>
      </c>
      <c r="B10" s="75" t="s">
        <v>525</v>
      </c>
      <c r="C10" s="75" t="s">
        <v>5217</v>
      </c>
      <c r="D10" s="66"/>
      <c r="E10" s="76">
        <f>6.05*1000</f>
        <v>6050</v>
      </c>
      <c r="F10" s="76">
        <f>A10*E10</f>
        <v>2135.65</v>
      </c>
    </row>
    <row r="11" spans="1:7" ht="30.75" customHeight="1">
      <c r="A11" s="76">
        <v>8</v>
      </c>
      <c r="B11" s="75" t="s">
        <v>823</v>
      </c>
      <c r="C11" s="75" t="s">
        <v>2633</v>
      </c>
      <c r="D11" s="66"/>
      <c r="E11" s="145">
        <v>960</v>
      </c>
      <c r="F11" s="76">
        <f>A11*E11</f>
        <v>7680</v>
      </c>
    </row>
    <row r="12" spans="1:7" ht="21" customHeight="1">
      <c r="A12" s="75"/>
      <c r="B12" s="75"/>
      <c r="C12" s="75"/>
      <c r="D12" s="66"/>
      <c r="E12" s="75"/>
      <c r="F12" s="75"/>
    </row>
    <row r="13" spans="1:7" ht="21" customHeight="1">
      <c r="A13" s="75"/>
      <c r="B13" s="75"/>
      <c r="C13" s="75" t="s">
        <v>3965</v>
      </c>
      <c r="D13" s="66"/>
      <c r="E13" s="75"/>
      <c r="F13" s="76">
        <f>SUM(F9:F12)</f>
        <v>40418.81</v>
      </c>
    </row>
    <row r="14" spans="1:7" ht="21" customHeight="1">
      <c r="A14" s="75"/>
      <c r="B14" s="75"/>
      <c r="C14" s="75" t="s">
        <v>1631</v>
      </c>
      <c r="D14" s="66"/>
      <c r="E14" s="75"/>
      <c r="F14" s="76">
        <f>F13/8</f>
        <v>5052.3500000000004</v>
      </c>
    </row>
    <row r="15" spans="1:7" ht="21" customHeight="1">
      <c r="A15" s="75"/>
      <c r="B15" s="75"/>
      <c r="C15" s="75" t="s">
        <v>3964</v>
      </c>
      <c r="D15" s="66"/>
      <c r="E15" s="75"/>
      <c r="F15" s="75">
        <f>1000/8</f>
        <v>125</v>
      </c>
    </row>
    <row r="16" spans="1:7" ht="21" customHeight="1">
      <c r="A16" s="75"/>
      <c r="B16" s="75"/>
      <c r="C16" s="75"/>
      <c r="D16" s="66"/>
      <c r="E16" s="75"/>
      <c r="F16" s="75"/>
    </row>
    <row r="17" spans="1:13" ht="21" customHeight="1">
      <c r="A17" s="75"/>
      <c r="B17" s="75"/>
      <c r="C17" s="75" t="s">
        <v>1631</v>
      </c>
      <c r="D17" s="66"/>
      <c r="E17" s="75"/>
      <c r="F17" s="74">
        <f>SUM(F14:F16)</f>
        <v>5177.3500000000004</v>
      </c>
    </row>
    <row r="18" spans="1:13" ht="21" customHeight="1">
      <c r="A18" s="75"/>
      <c r="B18" s="75"/>
      <c r="C18" s="75" t="s">
        <v>3963</v>
      </c>
      <c r="D18" s="75"/>
      <c r="E18" s="75"/>
      <c r="F18" s="75"/>
    </row>
    <row r="19" spans="1:13" ht="21" customHeight="1">
      <c r="A19" s="75"/>
      <c r="B19" s="75"/>
      <c r="C19" s="75"/>
      <c r="D19" s="75"/>
      <c r="E19" s="75"/>
      <c r="F19" s="75"/>
    </row>
    <row r="20" spans="1:13" ht="12.75" customHeight="1">
      <c r="A20" s="75"/>
      <c r="B20" s="75"/>
      <c r="C20" s="75"/>
      <c r="D20" s="75"/>
      <c r="E20" s="75"/>
      <c r="F20" s="75"/>
    </row>
    <row r="21" spans="1:13" s="11" customFormat="1" ht="42" customHeight="1">
      <c r="A21" s="80"/>
      <c r="B21" s="80"/>
      <c r="C21" s="1232" t="s">
        <v>3962</v>
      </c>
      <c r="D21" s="1232"/>
      <c r="E21" s="1232"/>
      <c r="F21" s="80"/>
    </row>
    <row r="22" spans="1:13" ht="30.75" customHeight="1">
      <c r="A22" s="79"/>
      <c r="B22" s="1231" t="s">
        <v>3961</v>
      </c>
      <c r="C22" s="1231"/>
      <c r="D22" s="1231"/>
      <c r="E22" s="1231"/>
      <c r="F22" s="1231"/>
      <c r="G22" s="5">
        <v>0.19600000000000001</v>
      </c>
    </row>
    <row r="23" spans="1:13" ht="30.75" customHeight="1">
      <c r="A23" s="75"/>
      <c r="B23" s="75"/>
      <c r="C23" s="78" t="s">
        <v>3960</v>
      </c>
      <c r="D23" s="75"/>
      <c r="E23" s="75"/>
      <c r="F23" s="75"/>
    </row>
    <row r="24" spans="1:13" ht="30.75" customHeight="1">
      <c r="A24" s="77">
        <f>G22</f>
        <v>0.19600000000000001</v>
      </c>
      <c r="B24" s="75" t="s">
        <v>2142</v>
      </c>
      <c r="C24" s="75" t="s">
        <v>5515</v>
      </c>
      <c r="D24" s="66"/>
      <c r="E24" s="76">
        <f>DATA!AE62</f>
        <v>6380</v>
      </c>
      <c r="F24" s="76">
        <f>A24*E24</f>
        <v>1250.48</v>
      </c>
    </row>
    <row r="25" spans="1:13" ht="42.75" customHeight="1">
      <c r="A25" s="77">
        <f>+A24</f>
        <v>0.19600000000000001</v>
      </c>
      <c r="B25" s="75" t="s">
        <v>2142</v>
      </c>
      <c r="C25" s="1233" t="s">
        <v>5516</v>
      </c>
      <c r="D25" s="1233"/>
      <c r="E25" s="76">
        <f>DATA!AE63*3</f>
        <v>34.35</v>
      </c>
      <c r="F25" s="76">
        <f>E25*A25</f>
        <v>6.73</v>
      </c>
      <c r="I25">
        <f>8.69*0.125</f>
        <v>1.0900000000000001</v>
      </c>
    </row>
    <row r="26" spans="1:13" ht="36" customHeight="1">
      <c r="A26" s="77">
        <f>+A25</f>
        <v>0.19600000000000001</v>
      </c>
      <c r="B26" s="75" t="s">
        <v>2142</v>
      </c>
      <c r="C26" s="75" t="s">
        <v>4293</v>
      </c>
      <c r="D26" s="66"/>
      <c r="E26" s="76">
        <f>DATA!AE64</f>
        <v>44.25</v>
      </c>
      <c r="F26" s="76">
        <f>A26*E26</f>
        <v>8.67</v>
      </c>
      <c r="I26" s="11">
        <f>0.125*26.3</f>
        <v>3.29</v>
      </c>
    </row>
    <row r="27" spans="1:13" ht="17.25">
      <c r="A27" s="76"/>
      <c r="B27" s="75"/>
      <c r="C27" s="75"/>
      <c r="D27" s="66"/>
      <c r="E27" s="76"/>
      <c r="F27" s="76"/>
      <c r="I27">
        <f>26.58/3</f>
        <v>8.86</v>
      </c>
    </row>
    <row r="28" spans="1:13" ht="17.25">
      <c r="A28" s="75"/>
      <c r="B28" s="75"/>
      <c r="C28" s="75" t="s">
        <v>1631</v>
      </c>
      <c r="D28" s="66"/>
      <c r="E28" s="75"/>
      <c r="F28" s="74">
        <f>SUM(F24:F27)</f>
        <v>1265.8800000000001</v>
      </c>
    </row>
    <row r="29" spans="1:13" ht="17.25">
      <c r="A29" s="66"/>
      <c r="B29" s="66"/>
      <c r="C29" s="66"/>
      <c r="D29" s="66"/>
      <c r="E29" s="66"/>
      <c r="F29" s="66"/>
    </row>
    <row r="30" spans="1:13" ht="51" customHeight="1">
      <c r="B30" s="73"/>
      <c r="C30" s="1234" t="s">
        <v>3957</v>
      </c>
      <c r="D30" s="1234"/>
      <c r="E30" s="1234"/>
      <c r="F30" s="73"/>
    </row>
    <row r="31" spans="1:13" ht="17.25">
      <c r="A31" s="66"/>
      <c r="B31" s="66"/>
      <c r="C31" s="66"/>
      <c r="D31" s="66"/>
      <c r="E31" s="66"/>
      <c r="F31" s="66"/>
      <c r="M31">
        <f>8.69*3</f>
        <v>26.07</v>
      </c>
    </row>
    <row r="32" spans="1:13" ht="60" customHeight="1">
      <c r="A32" s="69" t="s">
        <v>3955</v>
      </c>
      <c r="B32" s="69">
        <v>3</v>
      </c>
      <c r="C32" s="72" t="s">
        <v>3956</v>
      </c>
      <c r="E32" s="76">
        <v>9.16</v>
      </c>
      <c r="F32" s="76"/>
      <c r="G32" s="69">
        <f>E32*B32</f>
        <v>27.48</v>
      </c>
    </row>
    <row r="33" spans="1:10" ht="21.75" customHeight="1">
      <c r="A33" s="69" t="s">
        <v>3955</v>
      </c>
      <c r="B33" s="69">
        <v>3</v>
      </c>
      <c r="C33" s="71" t="s">
        <v>3954</v>
      </c>
      <c r="E33" s="76">
        <v>30.1</v>
      </c>
      <c r="F33" s="76"/>
      <c r="G33" s="69">
        <f>E33*B33</f>
        <v>90.3</v>
      </c>
      <c r="J33" t="s">
        <v>4294</v>
      </c>
    </row>
    <row r="34" spans="1:10" ht="17.25">
      <c r="A34" s="69"/>
      <c r="B34" s="69"/>
      <c r="C34" s="70"/>
      <c r="E34" s="76"/>
      <c r="F34" s="76"/>
      <c r="G34" s="69"/>
    </row>
    <row r="35" spans="1:10" ht="17.25">
      <c r="A35" s="69"/>
      <c r="B35" s="69"/>
      <c r="C35" s="70" t="s">
        <v>3953</v>
      </c>
      <c r="E35" s="69"/>
      <c r="F35" s="69"/>
      <c r="G35" s="68">
        <f>SUM(G32:G34)</f>
        <v>117.78</v>
      </c>
    </row>
    <row r="36" spans="1:10" ht="17.25">
      <c r="A36" s="66"/>
      <c r="B36" s="66"/>
      <c r="C36" s="66"/>
      <c r="E36" s="66"/>
      <c r="F36" s="66"/>
      <c r="G36" s="66"/>
    </row>
    <row r="37" spans="1:10" ht="17.25" hidden="1">
      <c r="A37" s="66"/>
      <c r="B37" s="66"/>
      <c r="C37" s="66"/>
      <c r="E37" s="66"/>
      <c r="F37" s="66"/>
      <c r="G37" s="66"/>
    </row>
    <row r="38" spans="1:10" ht="17.25" hidden="1">
      <c r="A38" s="66"/>
      <c r="B38" s="66"/>
      <c r="C38" s="66"/>
      <c r="E38" s="66"/>
      <c r="F38" s="66"/>
      <c r="G38" s="66"/>
    </row>
    <row r="39" spans="1:10" ht="3" customHeight="1">
      <c r="A39" s="67"/>
      <c r="B39" s="66"/>
      <c r="C39" s="67"/>
      <c r="E39" s="66"/>
      <c r="F39" s="66"/>
      <c r="G39" s="66"/>
    </row>
    <row r="40" spans="1:10" ht="24" customHeight="1">
      <c r="A40" s="5"/>
      <c r="B40" s="11">
        <v>4.2</v>
      </c>
      <c r="C40" s="11" t="s">
        <v>3977</v>
      </c>
    </row>
    <row r="41" spans="1:10" ht="24" customHeight="1">
      <c r="A41" s="5">
        <v>5</v>
      </c>
      <c r="B41" t="s">
        <v>1336</v>
      </c>
      <c r="C41" t="s">
        <v>3985</v>
      </c>
      <c r="D41">
        <f>DATA!V675</f>
        <v>1997.1</v>
      </c>
      <c r="F41">
        <f>D41*A41</f>
        <v>9985.5</v>
      </c>
    </row>
    <row r="42" spans="1:10" ht="24" customHeight="1">
      <c r="A42" s="5">
        <v>3.3</v>
      </c>
      <c r="B42" t="s">
        <v>1336</v>
      </c>
      <c r="C42" t="s">
        <v>3986</v>
      </c>
      <c r="D42">
        <f>DATA!V676</f>
        <v>1707.1</v>
      </c>
      <c r="F42">
        <f t="shared" ref="F42:F48" si="0">D42*A42</f>
        <v>5633.43</v>
      </c>
    </row>
    <row r="43" spans="1:10" ht="24" customHeight="1">
      <c r="A43" s="5">
        <v>4.79</v>
      </c>
      <c r="B43" t="s">
        <v>1336</v>
      </c>
      <c r="C43" t="s">
        <v>3987</v>
      </c>
      <c r="D43">
        <f>DATA!V677</f>
        <v>1846.1</v>
      </c>
      <c r="F43">
        <f t="shared" si="0"/>
        <v>8842.82</v>
      </c>
    </row>
    <row r="44" spans="1:10" ht="24" customHeight="1">
      <c r="A44" s="5">
        <v>4</v>
      </c>
      <c r="B44" t="s">
        <v>525</v>
      </c>
      <c r="C44" t="s">
        <v>387</v>
      </c>
      <c r="D44">
        <f>DATA!V678</f>
        <v>6040</v>
      </c>
      <c r="F44">
        <f t="shared" si="0"/>
        <v>24160</v>
      </c>
    </row>
    <row r="45" spans="1:10" ht="24" customHeight="1">
      <c r="A45" s="5">
        <v>40</v>
      </c>
      <c r="B45" t="s">
        <v>1637</v>
      </c>
      <c r="C45" t="s">
        <v>3994</v>
      </c>
      <c r="D45">
        <f>DATA!V679</f>
        <v>43.2</v>
      </c>
      <c r="F45">
        <f t="shared" si="0"/>
        <v>1728</v>
      </c>
    </row>
    <row r="46" spans="1:10" ht="24" customHeight="1">
      <c r="A46" s="5">
        <v>3.5</v>
      </c>
      <c r="B46" t="s">
        <v>1427</v>
      </c>
      <c r="C46" t="s">
        <v>462</v>
      </c>
      <c r="D46">
        <f>DATA!V680</f>
        <v>932</v>
      </c>
      <c r="F46">
        <f>D46*A46</f>
        <v>3262</v>
      </c>
    </row>
    <row r="47" spans="1:10" ht="24" customHeight="1">
      <c r="A47" s="5">
        <v>21.2</v>
      </c>
      <c r="B47" t="s">
        <v>1427</v>
      </c>
      <c r="C47" t="s">
        <v>3453</v>
      </c>
      <c r="D47">
        <f>DATA!V681</f>
        <v>651</v>
      </c>
      <c r="F47">
        <f t="shared" si="0"/>
        <v>13801.2</v>
      </c>
    </row>
    <row r="48" spans="1:10" ht="24" customHeight="1">
      <c r="A48" s="5">
        <v>35.299999999999997</v>
      </c>
      <c r="B48" t="s">
        <v>1427</v>
      </c>
      <c r="C48" t="s">
        <v>3454</v>
      </c>
      <c r="D48">
        <f>DATA!V682</f>
        <v>534</v>
      </c>
      <c r="F48">
        <f t="shared" si="0"/>
        <v>18850.2</v>
      </c>
    </row>
    <row r="49" spans="1:8" ht="24" customHeight="1">
      <c r="A49" s="5"/>
      <c r="C49" s="11" t="s">
        <v>3989</v>
      </c>
      <c r="D49">
        <f>DATA!V683</f>
        <v>0</v>
      </c>
      <c r="F49" s="11">
        <f>SUM(F41:F48)</f>
        <v>86263.15</v>
      </c>
    </row>
    <row r="50" spans="1:8" ht="24" customHeight="1">
      <c r="A50" s="5"/>
      <c r="C50" s="11" t="s">
        <v>3990</v>
      </c>
      <c r="D50">
        <f>DATA!V684</f>
        <v>0</v>
      </c>
      <c r="F50" s="11">
        <f>F49/10</f>
        <v>8626.32</v>
      </c>
      <c r="G50">
        <f>F50</f>
        <v>8626.32</v>
      </c>
    </row>
    <row r="51" spans="1:8" ht="24" customHeight="1">
      <c r="A51" s="5">
        <v>1</v>
      </c>
      <c r="B51" t="s">
        <v>1336</v>
      </c>
      <c r="C51" t="s">
        <v>3455</v>
      </c>
      <c r="D51">
        <f>DATA!V685</f>
        <v>94.2</v>
      </c>
      <c r="F51">
        <f>D51</f>
        <v>94.2</v>
      </c>
    </row>
    <row r="52" spans="1:8" ht="24" customHeight="1">
      <c r="A52" s="5"/>
      <c r="C52" t="s">
        <v>3991</v>
      </c>
      <c r="F52" s="11">
        <f>SUM(F50:F51)</f>
        <v>8720.52</v>
      </c>
      <c r="G52">
        <f>SUM(G50:G51)</f>
        <v>8626.32</v>
      </c>
    </row>
    <row r="53" spans="1:8">
      <c r="A53" s="46" t="s">
        <v>654</v>
      </c>
      <c r="C53" t="s">
        <v>3992</v>
      </c>
      <c r="D53" s="46" t="s">
        <v>654</v>
      </c>
      <c r="F53">
        <f>F52*0.5%</f>
        <v>43.6</v>
      </c>
      <c r="G53">
        <f>G52*0.5/100</f>
        <v>43.13</v>
      </c>
    </row>
    <row r="54" spans="1:8" ht="63">
      <c r="A54" s="5"/>
      <c r="C54" s="11" t="s">
        <v>3578</v>
      </c>
      <c r="E54" s="1"/>
      <c r="F54" s="11">
        <f>SUM(F52:F53)</f>
        <v>8764.1200000000008</v>
      </c>
      <c r="G54" s="11">
        <f>SUM(G52:G53)</f>
        <v>8669.4500000000007</v>
      </c>
      <c r="H54" s="37" t="s">
        <v>4002</v>
      </c>
    </row>
    <row r="55" spans="1:8">
      <c r="A55" s="5"/>
      <c r="E55" s="1"/>
      <c r="F55" s="3" t="s">
        <v>1579</v>
      </c>
    </row>
    <row r="56" spans="1:8">
      <c r="A56" s="5"/>
      <c r="C56" s="1" t="s">
        <v>383</v>
      </c>
      <c r="E56" s="1"/>
      <c r="F56" s="11">
        <f>F54+DATA!C23</f>
        <v>9000.2199999999993</v>
      </c>
    </row>
    <row r="57" spans="1:8">
      <c r="A57" s="5"/>
      <c r="C57" s="1" t="s">
        <v>385</v>
      </c>
      <c r="E57" s="1"/>
      <c r="F57" s="93"/>
    </row>
    <row r="58" spans="1:8">
      <c r="A58" s="5"/>
      <c r="C58" s="1" t="s">
        <v>2222</v>
      </c>
      <c r="E58" s="1"/>
      <c r="F58" s="11">
        <f>F56+DATA!C25</f>
        <v>9094.42</v>
      </c>
    </row>
    <row r="59" spans="1:8">
      <c r="A59" s="5"/>
      <c r="C59" s="1" t="s">
        <v>377</v>
      </c>
      <c r="E59" s="1"/>
      <c r="F59" s="11"/>
    </row>
    <row r="60" spans="1:8">
      <c r="A60" s="5"/>
      <c r="C60" s="1" t="s">
        <v>1525</v>
      </c>
      <c r="E60" s="1"/>
      <c r="F60" s="11">
        <f>F58+DATA!C27</f>
        <v>9128.6200000000008</v>
      </c>
    </row>
    <row r="61" spans="1:8" ht="17.25">
      <c r="A61" s="66"/>
      <c r="B61" s="66"/>
      <c r="C61" s="66"/>
      <c r="E61" s="66"/>
      <c r="F61" s="66"/>
      <c r="G61" s="66"/>
    </row>
    <row r="62" spans="1:8" ht="7.5" customHeight="1">
      <c r="A62" s="66"/>
      <c r="B62" s="66"/>
      <c r="C62" s="66"/>
      <c r="E62" s="66"/>
      <c r="F62" s="66"/>
      <c r="G62" s="66"/>
    </row>
    <row r="63" spans="1:8" ht="17.25" hidden="1">
      <c r="A63" s="66"/>
      <c r="B63" s="66"/>
      <c r="C63" s="66"/>
      <c r="E63" s="66"/>
      <c r="F63" s="66"/>
      <c r="G63" s="66"/>
    </row>
    <row r="64" spans="1:8" ht="17.25" hidden="1">
      <c r="A64" s="66"/>
      <c r="B64" s="66"/>
      <c r="C64" s="66"/>
      <c r="E64" s="66"/>
      <c r="F64" s="66"/>
      <c r="G64" s="66"/>
    </row>
    <row r="65" spans="1:7" ht="17.25">
      <c r="A65" s="1227" t="s">
        <v>3971</v>
      </c>
      <c r="B65" s="1227"/>
      <c r="C65" s="1227"/>
      <c r="D65" s="1227"/>
      <c r="E65" s="1227"/>
      <c r="F65" s="1227"/>
    </row>
    <row r="66" spans="1:7" ht="17.25">
      <c r="A66" s="1227" t="s">
        <v>3970</v>
      </c>
      <c r="B66" s="1227"/>
      <c r="C66" s="1227"/>
      <c r="D66" s="1227"/>
      <c r="E66" s="1227"/>
      <c r="F66" s="1227"/>
    </row>
    <row r="67" spans="1:7" ht="17.25">
      <c r="A67" s="1228" t="s">
        <v>4126</v>
      </c>
      <c r="B67" s="1228"/>
      <c r="C67" s="1228"/>
      <c r="D67" s="1228"/>
      <c r="E67" s="1228"/>
      <c r="F67" s="1228"/>
    </row>
    <row r="68" spans="1:7" ht="17.25">
      <c r="A68" s="1229" t="s">
        <v>3969</v>
      </c>
      <c r="B68" s="1229"/>
      <c r="C68" s="1229"/>
      <c r="D68" s="1229"/>
      <c r="E68" s="1229"/>
      <c r="F68" s="66"/>
    </row>
    <row r="69" spans="1:7" ht="17.25">
      <c r="A69" s="66"/>
      <c r="B69" s="66"/>
      <c r="C69" s="66"/>
      <c r="D69" s="66"/>
      <c r="E69" s="66"/>
      <c r="F69" s="66"/>
    </row>
    <row r="70" spans="1:7" ht="19.5">
      <c r="B70" s="84"/>
      <c r="C70" s="1230" t="s">
        <v>4127</v>
      </c>
      <c r="D70" s="1230"/>
      <c r="E70" s="1230"/>
      <c r="F70" s="84"/>
      <c r="G70" s="2" t="s">
        <v>2142</v>
      </c>
    </row>
    <row r="71" spans="1:7" ht="20.25">
      <c r="A71" s="83"/>
      <c r="B71" s="1231" t="s">
        <v>4128</v>
      </c>
      <c r="C71" s="1231"/>
      <c r="D71" s="1231"/>
      <c r="E71" s="1231"/>
      <c r="F71" s="1231"/>
      <c r="G71" s="5">
        <f>ROUND(3.14*0.45*0.45*8/4,2)</f>
        <v>1.27</v>
      </c>
    </row>
    <row r="72" spans="1:7" ht="39" customHeight="1">
      <c r="A72" s="75"/>
      <c r="B72" s="75"/>
      <c r="C72" s="112" t="s">
        <v>4133</v>
      </c>
      <c r="D72" s="75"/>
      <c r="E72" s="75"/>
      <c r="F72" s="75"/>
    </row>
    <row r="73" spans="1:7" ht="28.5" customHeight="1">
      <c r="A73" s="77">
        <f>G71</f>
        <v>1.27</v>
      </c>
      <c r="B73" s="75" t="s">
        <v>2142</v>
      </c>
      <c r="C73" s="75" t="s">
        <v>3998</v>
      </c>
      <c r="D73" s="66"/>
      <c r="E73" s="76">
        <f>G54</f>
        <v>8669.4500000000007</v>
      </c>
      <c r="F73" s="76">
        <f>A73*E73</f>
        <v>11010.2</v>
      </c>
    </row>
    <row r="74" spans="1:7" ht="28.5" customHeight="1">
      <c r="A74" s="81">
        <f>A73*10/100</f>
        <v>0.127</v>
      </c>
      <c r="B74" s="75" t="s">
        <v>525</v>
      </c>
      <c r="C74" s="75" t="s">
        <v>3966</v>
      </c>
      <c r="D74" s="66"/>
      <c r="E74" s="76">
        <v>4000</v>
      </c>
      <c r="F74" s="76">
        <f>A74*E74</f>
        <v>508</v>
      </c>
    </row>
    <row r="75" spans="1:7" ht="28.5" customHeight="1">
      <c r="A75" s="76">
        <v>8</v>
      </c>
      <c r="B75" s="75" t="s">
        <v>823</v>
      </c>
      <c r="C75" s="75" t="s">
        <v>2633</v>
      </c>
      <c r="D75" s="66"/>
      <c r="E75" s="76">
        <v>960</v>
      </c>
      <c r="F75" s="76">
        <f>A75*E75</f>
        <v>7680</v>
      </c>
    </row>
    <row r="76" spans="1:7" ht="17.25">
      <c r="A76" s="75"/>
      <c r="B76" s="75"/>
      <c r="C76" s="75"/>
      <c r="D76" s="66"/>
      <c r="E76" s="75"/>
      <c r="F76" s="75"/>
    </row>
    <row r="77" spans="1:7" ht="17.25">
      <c r="A77" s="75"/>
      <c r="B77" s="75"/>
      <c r="C77" s="75" t="s">
        <v>3965</v>
      </c>
      <c r="D77" s="66"/>
      <c r="E77" s="75"/>
      <c r="F77" s="76">
        <f>SUM(F73:F76)</f>
        <v>19198.2</v>
      </c>
    </row>
    <row r="78" spans="1:7" ht="17.25">
      <c r="A78" s="75"/>
      <c r="B78" s="75"/>
      <c r="C78" s="75" t="s">
        <v>1631</v>
      </c>
      <c r="D78" s="66"/>
      <c r="E78" s="75"/>
      <c r="F78" s="76">
        <f>F77/8</f>
        <v>2399.7800000000002</v>
      </c>
    </row>
    <row r="79" spans="1:7" ht="17.25">
      <c r="A79" s="75"/>
      <c r="B79" s="75"/>
      <c r="C79" s="75" t="s">
        <v>3964</v>
      </c>
      <c r="D79" s="66"/>
      <c r="E79" s="75"/>
      <c r="F79" s="75">
        <f>1000/8</f>
        <v>125</v>
      </c>
    </row>
    <row r="80" spans="1:7" ht="17.25">
      <c r="A80" s="75"/>
      <c r="B80" s="75"/>
      <c r="C80" s="75"/>
      <c r="D80" s="66"/>
      <c r="E80" s="75"/>
      <c r="F80" s="75"/>
    </row>
    <row r="81" spans="1:7" ht="17.25">
      <c r="A81" s="75"/>
      <c r="B81" s="75"/>
      <c r="C81" s="75" t="s">
        <v>1631</v>
      </c>
      <c r="D81" s="66"/>
      <c r="E81" s="75"/>
      <c r="F81" s="74">
        <f>SUM(F78:F80)</f>
        <v>2524.7800000000002</v>
      </c>
    </row>
    <row r="82" spans="1:7" ht="17.25">
      <c r="A82" s="75"/>
      <c r="B82" s="75"/>
      <c r="C82" s="75" t="s">
        <v>3963</v>
      </c>
      <c r="D82" s="75"/>
      <c r="E82" s="75"/>
      <c r="F82" s="75"/>
    </row>
    <row r="83" spans="1:7" ht="17.25">
      <c r="A83" s="75"/>
      <c r="B83" s="75"/>
      <c r="C83" s="75"/>
      <c r="D83" s="75"/>
      <c r="E83" s="75"/>
      <c r="F83" s="75"/>
    </row>
    <row r="84" spans="1:7" ht="17.25">
      <c r="A84" s="75"/>
      <c r="B84" s="75"/>
      <c r="C84" s="75"/>
      <c r="D84" s="75"/>
      <c r="E84" s="75"/>
      <c r="F84" s="75"/>
    </row>
    <row r="85" spans="1:7" ht="17.25">
      <c r="A85" s="80"/>
      <c r="B85" s="80"/>
      <c r="C85" s="1232" t="s">
        <v>3962</v>
      </c>
      <c r="D85" s="1232"/>
      <c r="E85" s="1232"/>
      <c r="F85" s="80"/>
      <c r="G85" s="11"/>
    </row>
    <row r="86" spans="1:7" ht="20.25">
      <c r="A86" s="79"/>
      <c r="B86" s="1231" t="s">
        <v>4129</v>
      </c>
      <c r="C86" s="1231"/>
      <c r="D86" s="1231"/>
      <c r="E86" s="1231"/>
      <c r="F86" s="1231"/>
      <c r="G86" s="5">
        <f>3.14*0.45*0.45/4</f>
        <v>0.159</v>
      </c>
    </row>
    <row r="87" spans="1:7" ht="17.25">
      <c r="A87" s="75"/>
      <c r="B87" s="75"/>
      <c r="C87" s="78" t="s">
        <v>3960</v>
      </c>
      <c r="D87" s="75"/>
      <c r="E87" s="75"/>
      <c r="F87" s="75"/>
    </row>
    <row r="88" spans="1:7" ht="17.25">
      <c r="A88" s="77">
        <f>G86</f>
        <v>0.159</v>
      </c>
      <c r="B88" s="75" t="s">
        <v>2142</v>
      </c>
      <c r="C88" s="75" t="s">
        <v>3959</v>
      </c>
      <c r="D88" s="66"/>
      <c r="E88" s="76">
        <f>E24</f>
        <v>6380</v>
      </c>
      <c r="F88" s="76">
        <f>A88*E88</f>
        <v>1014.42</v>
      </c>
    </row>
    <row r="89" spans="1:7" ht="17.25">
      <c r="A89" s="77">
        <f>+A88</f>
        <v>0.159</v>
      </c>
      <c r="B89" s="75" t="s">
        <v>2142</v>
      </c>
      <c r="C89" s="1233" t="s">
        <v>4292</v>
      </c>
      <c r="D89" s="1233"/>
      <c r="E89" s="76">
        <f>E25</f>
        <v>34.35</v>
      </c>
      <c r="F89" s="76">
        <f>E89*A89</f>
        <v>5.46</v>
      </c>
    </row>
    <row r="90" spans="1:7" ht="17.25">
      <c r="A90" s="77">
        <f>+A89</f>
        <v>0.159</v>
      </c>
      <c r="B90" s="75" t="s">
        <v>2142</v>
      </c>
      <c r="C90" s="75" t="s">
        <v>4293</v>
      </c>
      <c r="D90" s="66"/>
      <c r="E90" s="76">
        <v>30.1</v>
      </c>
      <c r="F90" s="76">
        <f>A90*E90</f>
        <v>4.79</v>
      </c>
    </row>
    <row r="91" spans="1:7" ht="17.25">
      <c r="A91" s="76"/>
      <c r="B91" s="75"/>
      <c r="C91" s="75"/>
      <c r="D91" s="66"/>
      <c r="E91" s="76"/>
      <c r="F91" s="76"/>
    </row>
    <row r="92" spans="1:7" ht="17.25">
      <c r="A92" s="75"/>
      <c r="B92" s="75"/>
      <c r="C92" s="75" t="s">
        <v>1631</v>
      </c>
      <c r="D92" s="66"/>
      <c r="E92" s="75"/>
      <c r="F92" s="74">
        <f>SUM(F88:F91)</f>
        <v>1024.67</v>
      </c>
    </row>
    <row r="93" spans="1:7" ht="17.25">
      <c r="A93" s="66"/>
      <c r="B93" s="66"/>
      <c r="C93" s="66"/>
      <c r="D93" s="66"/>
      <c r="E93" s="66"/>
      <c r="F93" s="66"/>
    </row>
    <row r="94" spans="1:7" ht="17.25">
      <c r="B94" s="73"/>
      <c r="C94" s="1234" t="s">
        <v>3957</v>
      </c>
      <c r="D94" s="1234"/>
      <c r="E94" s="1234"/>
      <c r="F94" s="73"/>
    </row>
    <row r="95" spans="1:7" ht="17.25">
      <c r="A95" s="66"/>
      <c r="B95" s="66"/>
      <c r="C95" s="66"/>
      <c r="D95" s="66"/>
      <c r="E95" s="66"/>
      <c r="F95" s="66"/>
    </row>
    <row r="96" spans="1:7" ht="34.5">
      <c r="A96" s="69" t="s">
        <v>3955</v>
      </c>
      <c r="B96" s="69">
        <v>3</v>
      </c>
      <c r="C96" s="72" t="s">
        <v>3956</v>
      </c>
      <c r="E96" s="69">
        <v>9.6199999999999992</v>
      </c>
      <c r="F96" s="69" t="s">
        <v>1336</v>
      </c>
      <c r="G96" s="69">
        <f>E96*B96</f>
        <v>28.86</v>
      </c>
    </row>
    <row r="97" spans="1:7" ht="17.25">
      <c r="A97" s="69" t="s">
        <v>3955</v>
      </c>
      <c r="B97" s="69">
        <v>3</v>
      </c>
      <c r="C97" s="71" t="s">
        <v>3954</v>
      </c>
      <c r="E97" s="69">
        <f>E90</f>
        <v>30.1</v>
      </c>
      <c r="F97" s="69" t="s">
        <v>1336</v>
      </c>
      <c r="G97" s="69">
        <f>E97*B97</f>
        <v>90.3</v>
      </c>
    </row>
    <row r="98" spans="1:7" ht="17.25">
      <c r="A98" s="69"/>
      <c r="B98" s="69"/>
      <c r="C98" s="70"/>
      <c r="E98" s="69"/>
      <c r="F98" s="69"/>
      <c r="G98" s="69"/>
    </row>
    <row r="99" spans="1:7" ht="17.25">
      <c r="A99" s="69"/>
      <c r="B99" s="69"/>
      <c r="C99" s="70" t="s">
        <v>3953</v>
      </c>
      <c r="E99" s="69"/>
      <c r="F99" s="69"/>
      <c r="G99" s="68">
        <f>SUM(G96:G98)</f>
        <v>119.16</v>
      </c>
    </row>
    <row r="100" spans="1:7" ht="17.25">
      <c r="A100" s="66"/>
      <c r="B100" s="66"/>
      <c r="C100" s="66"/>
      <c r="E100" s="66"/>
      <c r="F100" s="66"/>
      <c r="G100" s="66"/>
    </row>
    <row r="101" spans="1:7" ht="23.25" hidden="1" customHeight="1">
      <c r="A101" s="66"/>
      <c r="B101" s="66"/>
      <c r="C101" s="66"/>
      <c r="E101" s="66"/>
      <c r="F101" s="66"/>
      <c r="G101" s="66"/>
    </row>
    <row r="102" spans="1:7" ht="23.25" hidden="1" customHeight="1">
      <c r="A102" s="66"/>
      <c r="B102" s="66"/>
      <c r="C102" s="66"/>
      <c r="E102" s="66"/>
      <c r="F102" s="66"/>
      <c r="G102" s="66"/>
    </row>
    <row r="103" spans="1:7" ht="29.25" hidden="1" customHeight="1">
      <c r="A103" s="5"/>
      <c r="B103" s="11">
        <v>4.2</v>
      </c>
      <c r="C103" s="11" t="s">
        <v>3977</v>
      </c>
    </row>
    <row r="104" spans="1:7" ht="30" hidden="1" customHeight="1">
      <c r="A104" s="5">
        <v>5</v>
      </c>
      <c r="B104" t="s">
        <v>1336</v>
      </c>
      <c r="C104" t="s">
        <v>3985</v>
      </c>
      <c r="D104">
        <f>D41</f>
        <v>1997.1</v>
      </c>
      <c r="F104">
        <f>D104*A104</f>
        <v>9985.5</v>
      </c>
    </row>
    <row r="105" spans="1:7" ht="30" hidden="1" customHeight="1">
      <c r="A105" s="5">
        <v>3.3</v>
      </c>
      <c r="B105" t="s">
        <v>1336</v>
      </c>
      <c r="C105" t="s">
        <v>3986</v>
      </c>
      <c r="D105">
        <f t="shared" ref="D105:D116" si="1">D42</f>
        <v>1707.1</v>
      </c>
      <c r="F105">
        <f t="shared" ref="F105:F111" si="2">D105*A105</f>
        <v>5633.43</v>
      </c>
    </row>
    <row r="106" spans="1:7" ht="30" hidden="1" customHeight="1">
      <c r="A106" s="5">
        <v>4.79</v>
      </c>
      <c r="B106" t="s">
        <v>1336</v>
      </c>
      <c r="C106" t="s">
        <v>3987</v>
      </c>
      <c r="D106">
        <f t="shared" si="1"/>
        <v>1846.1</v>
      </c>
      <c r="F106">
        <f t="shared" si="2"/>
        <v>8842.82</v>
      </c>
    </row>
    <row r="107" spans="1:7" ht="30" hidden="1" customHeight="1">
      <c r="A107" s="5">
        <v>4</v>
      </c>
      <c r="B107" t="s">
        <v>525</v>
      </c>
      <c r="C107" t="s">
        <v>387</v>
      </c>
      <c r="D107">
        <f t="shared" si="1"/>
        <v>6040</v>
      </c>
      <c r="F107">
        <f t="shared" si="2"/>
        <v>24160</v>
      </c>
    </row>
    <row r="108" spans="1:7" ht="30" hidden="1" customHeight="1">
      <c r="A108" s="5">
        <v>40</v>
      </c>
      <c r="B108" t="s">
        <v>1637</v>
      </c>
      <c r="C108" t="s">
        <v>3994</v>
      </c>
      <c r="D108">
        <f t="shared" si="1"/>
        <v>43.2</v>
      </c>
      <c r="F108">
        <f t="shared" si="2"/>
        <v>1728</v>
      </c>
    </row>
    <row r="109" spans="1:7" ht="30" hidden="1" customHeight="1">
      <c r="A109" s="5">
        <v>3.5</v>
      </c>
      <c r="B109" t="s">
        <v>1427</v>
      </c>
      <c r="C109" t="s">
        <v>462</v>
      </c>
      <c r="D109">
        <f t="shared" si="1"/>
        <v>932</v>
      </c>
      <c r="F109">
        <f>D109*A109</f>
        <v>3262</v>
      </c>
    </row>
    <row r="110" spans="1:7" ht="30" hidden="1" customHeight="1">
      <c r="A110" s="5">
        <v>21.2</v>
      </c>
      <c r="B110" t="s">
        <v>1427</v>
      </c>
      <c r="C110" t="s">
        <v>3453</v>
      </c>
      <c r="D110">
        <f t="shared" si="1"/>
        <v>651</v>
      </c>
      <c r="F110">
        <f t="shared" si="2"/>
        <v>13801.2</v>
      </c>
    </row>
    <row r="111" spans="1:7" ht="30" hidden="1" customHeight="1">
      <c r="A111" s="5">
        <v>35.299999999999997</v>
      </c>
      <c r="B111" t="s">
        <v>1427</v>
      </c>
      <c r="C111" t="s">
        <v>3454</v>
      </c>
      <c r="D111">
        <f t="shared" si="1"/>
        <v>534</v>
      </c>
      <c r="F111">
        <f t="shared" si="2"/>
        <v>18850.2</v>
      </c>
    </row>
    <row r="112" spans="1:7" ht="30" hidden="1" customHeight="1">
      <c r="A112" s="5"/>
      <c r="C112" s="11" t="s">
        <v>3989</v>
      </c>
      <c r="D112">
        <f t="shared" si="1"/>
        <v>0</v>
      </c>
      <c r="F112" s="11">
        <f>SUM(F104:F111)</f>
        <v>86263.15</v>
      </c>
    </row>
    <row r="113" spans="1:7" ht="30" hidden="1" customHeight="1">
      <c r="A113" s="5"/>
      <c r="C113" s="11" t="s">
        <v>3990</v>
      </c>
      <c r="D113">
        <f t="shared" si="1"/>
        <v>0</v>
      </c>
      <c r="F113" s="11">
        <f>F112/10</f>
        <v>8626.32</v>
      </c>
      <c r="G113">
        <f>F113</f>
        <v>8626.32</v>
      </c>
    </row>
    <row r="114" spans="1:7" ht="30" hidden="1" customHeight="1">
      <c r="A114" s="5">
        <v>1</v>
      </c>
      <c r="B114" t="s">
        <v>1336</v>
      </c>
      <c r="C114" t="s">
        <v>3455</v>
      </c>
      <c r="D114">
        <f t="shared" si="1"/>
        <v>94.2</v>
      </c>
      <c r="F114">
        <f>D114</f>
        <v>94.2</v>
      </c>
    </row>
    <row r="115" spans="1:7" ht="30" hidden="1" customHeight="1">
      <c r="A115" s="5"/>
      <c r="C115" t="s">
        <v>3991</v>
      </c>
      <c r="D115">
        <f t="shared" si="1"/>
        <v>0</v>
      </c>
      <c r="F115" s="11">
        <f>SUM(F113:F114)</f>
        <v>8720.52</v>
      </c>
      <c r="G115">
        <f>SUM(G113:G114)</f>
        <v>8626.32</v>
      </c>
    </row>
    <row r="116" spans="1:7" ht="30" hidden="1" customHeight="1">
      <c r="A116" s="46" t="s">
        <v>654</v>
      </c>
      <c r="C116" t="s">
        <v>3992</v>
      </c>
      <c r="D116" t="str">
        <f t="shared" si="1"/>
        <v>LS</v>
      </c>
      <c r="F116">
        <f>F115*0.5%</f>
        <v>43.6</v>
      </c>
      <c r="G116">
        <f>G115*0.5/100</f>
        <v>43.13</v>
      </c>
    </row>
    <row r="117" spans="1:7" ht="30" hidden="1" customHeight="1">
      <c r="A117" s="5"/>
      <c r="C117" s="11" t="s">
        <v>3578</v>
      </c>
      <c r="E117" s="1"/>
      <c r="F117" s="11">
        <f>SUM(F115:F116)</f>
        <v>8764.1200000000008</v>
      </c>
      <c r="G117" s="11">
        <f>SUM(G115:G116)</f>
        <v>8669.4500000000007</v>
      </c>
    </row>
    <row r="118" spans="1:7" ht="17.25" hidden="1">
      <c r="A118" s="66"/>
      <c r="B118" s="66"/>
      <c r="C118" s="66"/>
      <c r="E118" s="66"/>
      <c r="F118" s="66"/>
      <c r="G118" s="66"/>
    </row>
    <row r="119" spans="1:7" ht="17.25" hidden="1">
      <c r="A119" s="66"/>
      <c r="B119" s="66"/>
      <c r="C119" s="66"/>
      <c r="E119" s="66"/>
      <c r="F119" s="66"/>
      <c r="G119" s="66"/>
    </row>
    <row r="120" spans="1:7" ht="17.25" hidden="1">
      <c r="A120" s="66"/>
      <c r="B120" s="66"/>
      <c r="C120" s="66"/>
      <c r="E120" s="66"/>
      <c r="F120" s="66"/>
      <c r="G120" s="66"/>
    </row>
    <row r="121" spans="1:7" ht="17.25" hidden="1">
      <c r="A121" s="66"/>
      <c r="B121" s="66"/>
      <c r="C121" s="66"/>
      <c r="E121" s="66"/>
      <c r="F121" s="66"/>
      <c r="G121" s="67"/>
    </row>
    <row r="122" spans="1:7" ht="17.25" hidden="1">
      <c r="A122" s="66"/>
      <c r="B122" s="66"/>
      <c r="C122" s="66"/>
      <c r="E122" s="66"/>
      <c r="F122" s="66"/>
      <c r="G122" s="66"/>
    </row>
    <row r="123" spans="1:7" ht="17.25" hidden="1">
      <c r="A123" s="66"/>
      <c r="B123" s="66"/>
      <c r="C123" s="66"/>
      <c r="E123" s="66"/>
      <c r="F123" s="66"/>
      <c r="G123" s="66"/>
    </row>
    <row r="124" spans="1:7" ht="17.25" hidden="1">
      <c r="A124" s="66"/>
      <c r="B124" s="66"/>
      <c r="C124" s="66"/>
      <c r="E124" s="66"/>
      <c r="F124" s="66"/>
      <c r="G124" s="66"/>
    </row>
    <row r="125" spans="1:7" ht="17.25">
      <c r="A125" s="1227" t="s">
        <v>3971</v>
      </c>
      <c r="B125" s="1227"/>
      <c r="C125" s="1227"/>
      <c r="D125" s="1227"/>
      <c r="E125" s="1227"/>
      <c r="F125" s="1227"/>
    </row>
    <row r="126" spans="1:7" ht="17.25">
      <c r="A126" s="1227" t="s">
        <v>3970</v>
      </c>
      <c r="B126" s="1227"/>
      <c r="C126" s="1227"/>
      <c r="D126" s="1227"/>
      <c r="E126" s="1227"/>
      <c r="F126" s="1227"/>
    </row>
    <row r="127" spans="1:7" ht="17.25">
      <c r="A127" s="1228" t="s">
        <v>4126</v>
      </c>
      <c r="B127" s="1228"/>
      <c r="C127" s="1228"/>
      <c r="D127" s="1228"/>
      <c r="E127" s="1228"/>
      <c r="F127" s="1228"/>
    </row>
    <row r="128" spans="1:7" ht="17.25">
      <c r="A128" s="1229" t="s">
        <v>3969</v>
      </c>
      <c r="B128" s="1229"/>
      <c r="C128" s="1229"/>
      <c r="D128" s="1229"/>
      <c r="E128" s="1229"/>
      <c r="F128" s="66"/>
    </row>
    <row r="129" spans="1:7" ht="17.25">
      <c r="A129" s="66"/>
      <c r="B129" s="66"/>
      <c r="C129" s="66"/>
      <c r="D129" s="66"/>
      <c r="E129" s="66"/>
      <c r="F129" s="66"/>
    </row>
    <row r="130" spans="1:7" ht="19.5">
      <c r="B130" s="84"/>
      <c r="C130" s="1230" t="s">
        <v>4130</v>
      </c>
      <c r="D130" s="1230"/>
      <c r="E130" s="1230"/>
      <c r="F130" s="84"/>
      <c r="G130" s="2" t="s">
        <v>2142</v>
      </c>
    </row>
    <row r="131" spans="1:7" ht="20.25">
      <c r="A131" s="83"/>
      <c r="B131" s="1231" t="s">
        <v>4131</v>
      </c>
      <c r="C131" s="1231"/>
      <c r="D131" s="1231"/>
      <c r="E131" s="1231"/>
      <c r="F131" s="1231"/>
      <c r="G131" s="5">
        <f>3.14*0.4*0.4*8/4</f>
        <v>1.0049999999999999</v>
      </c>
    </row>
    <row r="132" spans="1:7" ht="39.75" customHeight="1">
      <c r="A132" s="75"/>
      <c r="B132" s="75"/>
      <c r="C132" s="112" t="s">
        <v>4134</v>
      </c>
      <c r="D132" s="75"/>
      <c r="E132" s="75"/>
      <c r="F132" s="75"/>
    </row>
    <row r="133" spans="1:7" ht="17.25">
      <c r="A133" s="77">
        <f>G131</f>
        <v>1.0049999999999999</v>
      </c>
      <c r="B133" s="75" t="s">
        <v>2142</v>
      </c>
      <c r="C133" s="75" t="s">
        <v>3967</v>
      </c>
      <c r="D133" s="66"/>
      <c r="E133" s="76">
        <f>G117</f>
        <v>8669.4500000000007</v>
      </c>
      <c r="F133" s="76">
        <f>A133*E133</f>
        <v>8712.7999999999993</v>
      </c>
    </row>
    <row r="134" spans="1:7" ht="17.25">
      <c r="A134" s="81">
        <f>A133*10/100</f>
        <v>0.10050000000000001</v>
      </c>
      <c r="B134" s="75" t="s">
        <v>525</v>
      </c>
      <c r="C134" s="75" t="s">
        <v>3966</v>
      </c>
      <c r="D134" s="66"/>
      <c r="E134" s="76">
        <v>4000</v>
      </c>
      <c r="F134" s="76">
        <f>A134*E134</f>
        <v>402</v>
      </c>
    </row>
    <row r="135" spans="1:7" ht="17.25">
      <c r="A135" s="76">
        <v>8</v>
      </c>
      <c r="B135" s="75" t="s">
        <v>823</v>
      </c>
      <c r="C135" s="75" t="s">
        <v>2633</v>
      </c>
      <c r="D135" s="66"/>
      <c r="E135" s="76">
        <v>960</v>
      </c>
      <c r="F135" s="76">
        <f>A135*E135</f>
        <v>7680</v>
      </c>
    </row>
    <row r="136" spans="1:7" ht="17.25">
      <c r="A136" s="75"/>
      <c r="B136" s="75"/>
      <c r="C136" s="75"/>
      <c r="D136" s="66"/>
      <c r="E136" s="75"/>
      <c r="F136" s="75"/>
    </row>
    <row r="137" spans="1:7" ht="17.25">
      <c r="A137" s="75"/>
      <c r="B137" s="75"/>
      <c r="C137" s="75" t="s">
        <v>3965</v>
      </c>
      <c r="D137" s="66"/>
      <c r="E137" s="75"/>
      <c r="F137" s="76">
        <f>SUM(F133:F136)</f>
        <v>16794.8</v>
      </c>
    </row>
    <row r="138" spans="1:7" ht="17.25">
      <c r="A138" s="75"/>
      <c r="B138" s="75"/>
      <c r="C138" s="75" t="s">
        <v>1631</v>
      </c>
      <c r="D138" s="66"/>
      <c r="E138" s="75"/>
      <c r="F138" s="76">
        <f>F137/7</f>
        <v>2399.2600000000002</v>
      </c>
    </row>
    <row r="139" spans="1:7" ht="17.25">
      <c r="A139" s="75"/>
      <c r="B139" s="75"/>
      <c r="C139" s="75" t="s">
        <v>3964</v>
      </c>
      <c r="D139" s="66"/>
      <c r="E139" s="75"/>
      <c r="F139" s="75">
        <f>1000/8</f>
        <v>125</v>
      </c>
    </row>
    <row r="140" spans="1:7" ht="17.25">
      <c r="A140" s="75"/>
      <c r="B140" s="75"/>
      <c r="C140" s="75"/>
      <c r="D140" s="66"/>
      <c r="E140" s="75"/>
      <c r="F140" s="75"/>
    </row>
    <row r="141" spans="1:7" ht="17.25">
      <c r="A141" s="75"/>
      <c r="B141" s="75"/>
      <c r="C141" s="75" t="s">
        <v>1631</v>
      </c>
      <c r="D141" s="66"/>
      <c r="E141" s="75"/>
      <c r="F141" s="74">
        <f>SUM(F138:F140)</f>
        <v>2524.2600000000002</v>
      </c>
    </row>
    <row r="142" spans="1:7" ht="17.25">
      <c r="A142" s="75"/>
      <c r="B142" s="75"/>
      <c r="C142" s="75" t="s">
        <v>3963</v>
      </c>
      <c r="D142" s="75"/>
      <c r="E142" s="75"/>
      <c r="F142" s="75"/>
    </row>
    <row r="143" spans="1:7" ht="17.25">
      <c r="A143" s="75"/>
      <c r="B143" s="75"/>
      <c r="C143" s="75"/>
      <c r="D143" s="75"/>
      <c r="E143" s="75"/>
      <c r="F143" s="75"/>
    </row>
    <row r="144" spans="1:7" ht="17.25">
      <c r="A144" s="75"/>
      <c r="B144" s="75"/>
      <c r="C144" s="75"/>
      <c r="D144" s="75"/>
      <c r="E144" s="75"/>
      <c r="F144" s="75"/>
    </row>
    <row r="145" spans="1:7" ht="17.25">
      <c r="A145" s="80"/>
      <c r="B145" s="80"/>
      <c r="C145" s="1232" t="s">
        <v>3962</v>
      </c>
      <c r="D145" s="1232"/>
      <c r="E145" s="1232"/>
      <c r="F145" s="80"/>
      <c r="G145" s="11"/>
    </row>
    <row r="146" spans="1:7" ht="20.25">
      <c r="A146" s="79"/>
      <c r="B146" s="1231" t="s">
        <v>4132</v>
      </c>
      <c r="C146" s="1231"/>
      <c r="D146" s="1231"/>
      <c r="E146" s="1231"/>
      <c r="F146" s="1231"/>
      <c r="G146" s="5">
        <f>3.14*0.4*0.4/4</f>
        <v>0.126</v>
      </c>
    </row>
    <row r="147" spans="1:7" ht="17.25">
      <c r="A147" s="75"/>
      <c r="B147" s="75"/>
      <c r="C147" s="78" t="s">
        <v>4135</v>
      </c>
      <c r="D147" s="75"/>
      <c r="E147" s="75"/>
      <c r="F147" s="75"/>
    </row>
    <row r="148" spans="1:7" ht="17.25">
      <c r="A148" s="77">
        <f>G146</f>
        <v>0.126</v>
      </c>
      <c r="B148" s="75" t="s">
        <v>2142</v>
      </c>
      <c r="C148" s="75" t="s">
        <v>3959</v>
      </c>
      <c r="D148" s="66"/>
      <c r="E148" s="76">
        <f>E88</f>
        <v>6380</v>
      </c>
      <c r="F148" s="76">
        <f>A148*E148</f>
        <v>803.88</v>
      </c>
    </row>
    <row r="149" spans="1:7" ht="17.25">
      <c r="A149" s="77">
        <f>+A148</f>
        <v>0.126</v>
      </c>
      <c r="B149" s="75" t="s">
        <v>2142</v>
      </c>
      <c r="C149" s="1233" t="s">
        <v>3958</v>
      </c>
      <c r="D149" s="1233"/>
      <c r="E149" s="76">
        <f>E89</f>
        <v>34.35</v>
      </c>
      <c r="F149" s="76">
        <f>E149*A149</f>
        <v>4.33</v>
      </c>
    </row>
    <row r="150" spans="1:7" ht="17.25">
      <c r="A150" s="77">
        <f>+A149</f>
        <v>0.126</v>
      </c>
      <c r="B150" s="75" t="s">
        <v>2142</v>
      </c>
      <c r="C150" s="75" t="s">
        <v>3954</v>
      </c>
      <c r="D150" s="66"/>
      <c r="E150" s="76">
        <f>E90</f>
        <v>30.1</v>
      </c>
      <c r="F150" s="76">
        <f>A150*E150</f>
        <v>3.79</v>
      </c>
    </row>
    <row r="151" spans="1:7" ht="17.25">
      <c r="A151" s="76"/>
      <c r="B151" s="75"/>
      <c r="C151" s="75"/>
      <c r="D151" s="66"/>
      <c r="E151" s="76"/>
      <c r="F151" s="76"/>
    </row>
    <row r="152" spans="1:7" ht="17.25">
      <c r="A152" s="75"/>
      <c r="B152" s="75"/>
      <c r="C152" s="75" t="s">
        <v>1631</v>
      </c>
      <c r="D152" s="66"/>
      <c r="E152" s="75"/>
      <c r="F152" s="74">
        <f>SUM(F148:F151)</f>
        <v>812</v>
      </c>
    </row>
    <row r="153" spans="1:7" ht="17.25">
      <c r="A153" s="66"/>
      <c r="B153" s="66"/>
      <c r="C153" s="66"/>
      <c r="D153" s="66"/>
      <c r="E153" s="66"/>
      <c r="F153" s="66"/>
    </row>
    <row r="154" spans="1:7" ht="17.25">
      <c r="B154" s="73"/>
      <c r="C154" s="1234" t="s">
        <v>3957</v>
      </c>
      <c r="D154" s="1234"/>
      <c r="E154" s="1234"/>
      <c r="F154" s="73"/>
    </row>
    <row r="155" spans="1:7" ht="17.25">
      <c r="A155" s="66"/>
      <c r="B155" s="66"/>
      <c r="C155" s="66"/>
      <c r="D155" s="66"/>
      <c r="E155" s="66"/>
      <c r="F155" s="66"/>
    </row>
    <row r="156" spans="1:7" ht="34.5">
      <c r="A156" s="69" t="s">
        <v>3955</v>
      </c>
      <c r="B156" s="69">
        <v>3</v>
      </c>
      <c r="C156" s="72" t="s">
        <v>3956</v>
      </c>
      <c r="E156" s="69">
        <f>E96</f>
        <v>9.6199999999999992</v>
      </c>
      <c r="F156" s="69" t="s">
        <v>1336</v>
      </c>
      <c r="G156" s="69">
        <f>E156*B156</f>
        <v>28.86</v>
      </c>
    </row>
    <row r="157" spans="1:7" ht="17.25">
      <c r="A157" s="69" t="s">
        <v>3955</v>
      </c>
      <c r="B157" s="69">
        <v>3</v>
      </c>
      <c r="C157" s="71" t="s">
        <v>3954</v>
      </c>
      <c r="E157" s="69">
        <f>E97</f>
        <v>30.1</v>
      </c>
      <c r="F157" s="69" t="s">
        <v>1336</v>
      </c>
      <c r="G157" s="69">
        <f>E157*B157</f>
        <v>90.3</v>
      </c>
    </row>
    <row r="158" spans="1:7" ht="17.25">
      <c r="A158" s="69"/>
      <c r="B158" s="69"/>
      <c r="C158" s="70"/>
      <c r="E158" s="69"/>
      <c r="F158" s="69"/>
      <c r="G158" s="69"/>
    </row>
    <row r="159" spans="1:7" ht="17.25">
      <c r="A159" s="69"/>
      <c r="B159" s="69"/>
      <c r="C159" s="70" t="s">
        <v>3953</v>
      </c>
      <c r="E159" s="69"/>
      <c r="F159" s="69"/>
      <c r="G159" s="68">
        <f>SUM(G156:G158)</f>
        <v>119.16</v>
      </c>
    </row>
    <row r="160" spans="1:7" ht="17.25">
      <c r="A160" s="66"/>
      <c r="B160" s="66"/>
      <c r="C160" s="66"/>
      <c r="E160" s="66"/>
      <c r="F160" s="66"/>
      <c r="G160" s="66"/>
    </row>
    <row r="161" spans="1:7" ht="17.25">
      <c r="A161" s="66"/>
      <c r="B161" s="66"/>
      <c r="C161" s="66"/>
      <c r="E161" s="66"/>
      <c r="F161" s="66"/>
      <c r="G161" s="66"/>
    </row>
    <row r="162" spans="1:7">
      <c r="A162" s="9"/>
      <c r="C162" s="1"/>
    </row>
    <row r="163" spans="1:7">
      <c r="C163" s="1"/>
    </row>
    <row r="164" spans="1:7">
      <c r="C164" s="1"/>
    </row>
    <row r="165" spans="1:7">
      <c r="C165" s="3"/>
    </row>
    <row r="166" spans="1:7">
      <c r="C166" s="1"/>
    </row>
    <row r="167" spans="1:7">
      <c r="C167" s="1"/>
    </row>
    <row r="168" spans="1:7">
      <c r="C168" s="1"/>
    </row>
    <row r="169" spans="1:7">
      <c r="A169" s="11"/>
      <c r="B169" s="11"/>
      <c r="C169" s="10"/>
    </row>
    <row r="170" spans="1:7">
      <c r="C170" s="1"/>
    </row>
    <row r="171" spans="1:7">
      <c r="C171" s="1"/>
    </row>
    <row r="172" spans="1:7">
      <c r="C172" s="1"/>
    </row>
    <row r="173" spans="1:7">
      <c r="C173" s="1"/>
    </row>
    <row r="175" spans="1:7">
      <c r="C175" s="1"/>
      <c r="F175" s="11"/>
    </row>
    <row r="177" spans="1:6">
      <c r="E177" s="1"/>
      <c r="F177" s="3"/>
    </row>
    <row r="178" spans="1:6">
      <c r="C178" s="12"/>
      <c r="D178" s="11"/>
      <c r="E178" s="10"/>
      <c r="F178" s="11"/>
    </row>
    <row r="179" spans="1:6">
      <c r="C179" s="1"/>
      <c r="E179" s="1"/>
      <c r="F179" s="3"/>
    </row>
    <row r="184" spans="1:6">
      <c r="A184" s="8"/>
      <c r="C184" s="10"/>
      <c r="E184" s="1"/>
    </row>
    <row r="185" spans="1:6">
      <c r="A185" s="5"/>
      <c r="C185" s="1"/>
      <c r="E185" s="1"/>
    </row>
    <row r="186" spans="1:6">
      <c r="A186" s="5"/>
      <c r="C186" s="1"/>
      <c r="E186" s="1"/>
    </row>
    <row r="187" spans="1:6">
      <c r="A187" s="5"/>
      <c r="C187" s="1"/>
      <c r="E187" s="1"/>
    </row>
    <row r="188" spans="1:6">
      <c r="A188" s="5"/>
      <c r="C188" s="1"/>
      <c r="E188" s="1"/>
    </row>
    <row r="189" spans="1:6">
      <c r="A189" s="5"/>
      <c r="C189" s="1"/>
      <c r="E189" s="1"/>
    </row>
    <row r="190" spans="1:6">
      <c r="A190" s="5"/>
      <c r="C190" s="1"/>
      <c r="E190" s="1"/>
    </row>
    <row r="191" spans="1:6">
      <c r="A191" s="5"/>
      <c r="C191" s="3"/>
      <c r="D191" s="3"/>
      <c r="E191" s="1"/>
    </row>
    <row r="192" spans="1:6">
      <c r="A192" s="5"/>
      <c r="C192" s="1"/>
      <c r="E192" s="1"/>
    </row>
    <row r="193" spans="1:6">
      <c r="A193" s="5"/>
      <c r="C193" s="1"/>
      <c r="E193" s="1"/>
    </row>
    <row r="194" spans="1:6">
      <c r="A194" s="5"/>
      <c r="C194" s="1"/>
      <c r="D194" s="13"/>
      <c r="E194" s="1"/>
    </row>
    <row r="195" spans="1:6">
      <c r="A195" s="5"/>
      <c r="C195" s="1"/>
      <c r="D195" s="13"/>
      <c r="E195" s="1"/>
    </row>
    <row r="196" spans="1:6">
      <c r="A196" s="5"/>
      <c r="C196" s="1"/>
      <c r="D196" s="13"/>
      <c r="E196" s="1"/>
    </row>
    <row r="197" spans="1:6">
      <c r="A197" s="5"/>
      <c r="C197" s="1"/>
      <c r="D197" s="13"/>
      <c r="E197" s="1"/>
    </row>
    <row r="198" spans="1:6">
      <c r="A198" s="5"/>
      <c r="C198" s="1"/>
      <c r="E198" s="1"/>
      <c r="F198" s="3"/>
    </row>
    <row r="199" spans="1:6">
      <c r="A199" s="5"/>
      <c r="C199" s="2"/>
      <c r="E199" s="1"/>
    </row>
    <row r="200" spans="1:6">
      <c r="A200" s="5"/>
      <c r="E200" s="1"/>
      <c r="F200" s="3"/>
    </row>
    <row r="201" spans="1:6">
      <c r="A201" s="5"/>
      <c r="C201" s="2"/>
      <c r="E201" s="1"/>
    </row>
    <row r="202" spans="1:6">
      <c r="A202" s="5"/>
      <c r="C202" s="1"/>
      <c r="E202" s="1"/>
      <c r="F202" s="11"/>
    </row>
    <row r="203" spans="1:6">
      <c r="A203" s="5"/>
      <c r="C203" s="1"/>
      <c r="E203" s="1"/>
      <c r="F203" s="11"/>
    </row>
    <row r="204" spans="1:6">
      <c r="A204" s="5"/>
      <c r="C204" s="1"/>
      <c r="E204" s="1"/>
      <c r="F204" s="11"/>
    </row>
    <row r="205" spans="1:6">
      <c r="A205" s="5"/>
      <c r="C205" s="1"/>
      <c r="E205" s="1"/>
      <c r="F205" s="11"/>
    </row>
    <row r="206" spans="1:6">
      <c r="A206" s="5"/>
      <c r="C206" s="1"/>
      <c r="E206" s="1"/>
      <c r="F206" s="11"/>
    </row>
    <row r="207" spans="1:6">
      <c r="A207" s="8"/>
      <c r="C207" s="1"/>
      <c r="E207" s="1"/>
      <c r="F207" s="11"/>
    </row>
    <row r="208" spans="1:6">
      <c r="A208" s="5"/>
    </row>
    <row r="209" spans="1:13">
      <c r="A209" s="5"/>
    </row>
    <row r="210" spans="1:13">
      <c r="A210" s="5"/>
    </row>
    <row r="212" spans="1:13">
      <c r="J212" s="11"/>
    </row>
    <row r="213" spans="1:13">
      <c r="J213" s="11"/>
    </row>
    <row r="217" spans="1:13">
      <c r="D217" s="47"/>
    </row>
    <row r="218" spans="1:13">
      <c r="D218" s="47"/>
    </row>
    <row r="219" spans="1:13">
      <c r="M219" s="11"/>
    </row>
    <row r="221" spans="1:13">
      <c r="C221" s="51"/>
      <c r="E221" s="51"/>
      <c r="F221" s="51"/>
      <c r="J221" s="51"/>
      <c r="L221" s="54"/>
      <c r="M221" s="54"/>
    </row>
    <row r="222" spans="1:13">
      <c r="C222" s="51"/>
      <c r="D222" s="11"/>
      <c r="E222" s="53"/>
      <c r="F222" s="53"/>
      <c r="J222" s="53"/>
      <c r="K222" s="11"/>
      <c r="L222" s="11"/>
      <c r="M222" s="11"/>
    </row>
    <row r="223" spans="1:13">
      <c r="C223" s="53"/>
      <c r="E223" s="51"/>
      <c r="F223" s="51"/>
      <c r="J223" s="51"/>
      <c r="L223" s="51"/>
      <c r="M223" s="51"/>
    </row>
    <row r="224" spans="1:13">
      <c r="C224" s="51"/>
      <c r="E224" s="51"/>
      <c r="F224" s="51"/>
      <c r="L224" s="51"/>
      <c r="M224" s="51"/>
    </row>
    <row r="225" spans="3:13">
      <c r="C225" s="51"/>
      <c r="J225" s="51"/>
      <c r="L225" s="11"/>
      <c r="M225" s="11"/>
    </row>
    <row r="226" spans="3:13">
      <c r="C226" s="51"/>
      <c r="D226" s="51"/>
      <c r="E226" s="51"/>
      <c r="F226" s="51"/>
    </row>
  </sheetData>
  <mergeCells count="30">
    <mergeCell ref="B131:F131"/>
    <mergeCell ref="C145:E145"/>
    <mergeCell ref="B146:F146"/>
    <mergeCell ref="C149:D149"/>
    <mergeCell ref="C154:E154"/>
    <mergeCell ref="A125:F125"/>
    <mergeCell ref="A126:F126"/>
    <mergeCell ref="A127:F127"/>
    <mergeCell ref="A128:E128"/>
    <mergeCell ref="C130:E130"/>
    <mergeCell ref="B71:F71"/>
    <mergeCell ref="C85:E85"/>
    <mergeCell ref="B86:F86"/>
    <mergeCell ref="C89:D89"/>
    <mergeCell ref="C94:E94"/>
    <mergeCell ref="A65:F65"/>
    <mergeCell ref="A66:F66"/>
    <mergeCell ref="A67:F67"/>
    <mergeCell ref="A68:E68"/>
    <mergeCell ref="C70:E70"/>
    <mergeCell ref="B7:F7"/>
    <mergeCell ref="C21:E21"/>
    <mergeCell ref="B22:F22"/>
    <mergeCell ref="C25:D25"/>
    <mergeCell ref="C30:E30"/>
    <mergeCell ref="A1:F1"/>
    <mergeCell ref="A2:F2"/>
    <mergeCell ref="A3:F3"/>
    <mergeCell ref="A4:E4"/>
    <mergeCell ref="C6:E6"/>
  </mergeCells>
  <pageMargins left="1.0900000000000001" right="0.43" top="0.75" bottom="0.52" header="0.3" footer="0.3"/>
  <pageSetup paperSize="9" scale="57" orientation="portrait" verticalDpi="300" r:id="rId1"/>
  <rowBreaks count="1" manualBreakCount="1">
    <brk id="61" max="7" man="1"/>
  </rowBreak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907"/>
  <sheetViews>
    <sheetView showZeros="0" view="pageBreakPreview" topLeftCell="N1" zoomScale="110" zoomScaleSheetLayoutView="110" workbookViewId="0">
      <selection activeCell="R15" sqref="R15"/>
    </sheetView>
  </sheetViews>
  <sheetFormatPr defaultRowHeight="20.25" customHeight="1"/>
  <cols>
    <col min="1" max="1" width="7.21875" style="165" bestFit="1" customWidth="1"/>
    <col min="2" max="2" width="4.5546875" style="165" customWidth="1"/>
    <col min="3" max="3" width="35.88671875" style="165" customWidth="1"/>
    <col min="4" max="4" width="7.77734375" style="166" bestFit="1" customWidth="1"/>
    <col min="5" max="5" width="7.77734375" style="165" customWidth="1"/>
    <col min="6" max="6" width="8.77734375" style="165" bestFit="1" customWidth="1"/>
    <col min="7" max="9" width="8.88671875" style="165"/>
    <col min="10" max="10" width="9.33203125" style="165" customWidth="1"/>
    <col min="11" max="12" width="8.88671875" style="165"/>
    <col min="13" max="13" width="34" style="165" customWidth="1"/>
    <col min="14" max="15" width="8.88671875" style="165"/>
    <col min="16" max="16" width="8.88671875" style="166"/>
    <col min="17" max="19" width="8.88671875" style="165"/>
    <col min="20" max="20" width="29.44140625" style="165" customWidth="1"/>
    <col min="21" max="27" width="8.88671875" style="165"/>
    <col min="28" max="28" width="5.77734375" style="165" customWidth="1"/>
    <col min="29" max="29" width="38.109375" style="165" customWidth="1"/>
    <col min="30" max="30" width="8.88671875" style="166"/>
    <col min="31" max="31" width="4.77734375" style="165" customWidth="1"/>
    <col min="32" max="38" width="8.88671875" style="165"/>
    <col min="39" max="39" width="6.77734375" style="165" customWidth="1"/>
    <col min="40" max="40" width="42.88671875" style="165" customWidth="1"/>
    <col min="41" max="41" width="5.6640625" style="165" customWidth="1"/>
    <col min="42" max="16384" width="8.88671875" style="165"/>
  </cols>
  <sheetData>
    <row r="1" spans="1:46" ht="20.25" customHeight="1">
      <c r="A1" s="1235" t="s">
        <v>2103</v>
      </c>
      <c r="B1" s="1235"/>
      <c r="C1" s="135" t="s">
        <v>1769</v>
      </c>
      <c r="D1" s="194" t="s">
        <v>97</v>
      </c>
      <c r="E1" s="135" t="s">
        <v>221</v>
      </c>
      <c r="F1" s="195" t="s">
        <v>970</v>
      </c>
      <c r="W1" s="166"/>
      <c r="AL1" s="158"/>
      <c r="AM1" s="157"/>
      <c r="AN1" s="125"/>
      <c r="AO1" s="158"/>
      <c r="AP1" s="156"/>
      <c r="AQ1" s="158"/>
    </row>
    <row r="2" spans="1:46" ht="20.25" customHeight="1">
      <c r="A2" s="136"/>
      <c r="B2" s="196"/>
      <c r="C2" s="135"/>
      <c r="D2" s="136"/>
      <c r="E2" s="178"/>
      <c r="F2" s="136"/>
      <c r="W2" s="166"/>
    </row>
    <row r="3" spans="1:46" ht="20.25" customHeight="1">
      <c r="A3" s="133"/>
      <c r="B3" s="134"/>
      <c r="C3" s="135" t="s">
        <v>4820</v>
      </c>
      <c r="D3" s="136"/>
      <c r="E3" s="137"/>
      <c r="F3" s="138"/>
      <c r="K3" s="126"/>
      <c r="L3" s="129"/>
      <c r="M3" s="125" t="s">
        <v>5218</v>
      </c>
      <c r="N3" s="123"/>
      <c r="O3" s="126"/>
      <c r="P3" s="123"/>
      <c r="R3" s="126"/>
      <c r="S3" s="129"/>
      <c r="T3" s="125" t="s">
        <v>5219</v>
      </c>
      <c r="U3" s="123"/>
      <c r="V3" s="126"/>
      <c r="W3" s="123"/>
      <c r="AC3" s="197" t="s">
        <v>5298</v>
      </c>
      <c r="AL3" s="120"/>
      <c r="AM3" s="120"/>
      <c r="AN3" s="198" t="s">
        <v>5311</v>
      </c>
      <c r="AO3" s="199"/>
      <c r="AP3" s="120"/>
      <c r="AQ3" s="211" t="s">
        <v>4734</v>
      </c>
      <c r="AR3" s="120"/>
    </row>
    <row r="4" spans="1:46" ht="72.75" customHeight="1">
      <c r="A4" s="133"/>
      <c r="B4" s="134"/>
      <c r="C4" s="139" t="s">
        <v>4803</v>
      </c>
      <c r="D4" s="136"/>
      <c r="E4" s="137"/>
      <c r="F4" s="133"/>
      <c r="K4" s="126">
        <v>1</v>
      </c>
      <c r="L4" s="129" t="s">
        <v>557</v>
      </c>
      <c r="M4" s="167" t="s">
        <v>5199</v>
      </c>
      <c r="N4" s="123">
        <v>4440</v>
      </c>
      <c r="O4" s="126" t="s">
        <v>1706</v>
      </c>
      <c r="P4" s="123">
        <f>SUM(K4*N4)</f>
        <v>4440</v>
      </c>
      <c r="R4" s="126">
        <v>1</v>
      </c>
      <c r="S4" s="129" t="s">
        <v>557</v>
      </c>
      <c r="T4" s="167" t="s">
        <v>5199</v>
      </c>
      <c r="U4" s="123">
        <v>5404</v>
      </c>
      <c r="V4" s="126" t="s">
        <v>1706</v>
      </c>
      <c r="W4" s="123">
        <f>SUM(R4*U4)</f>
        <v>5404</v>
      </c>
      <c r="AA4" s="1239" t="s">
        <v>5280</v>
      </c>
      <c r="AB4" s="1239"/>
      <c r="AC4" s="1239"/>
      <c r="AD4" s="1239"/>
      <c r="AE4" s="1239"/>
      <c r="AF4" s="1239"/>
      <c r="AG4" s="1239"/>
      <c r="AL4" s="120"/>
      <c r="AM4" s="120"/>
      <c r="AN4" s="200" t="s">
        <v>5312</v>
      </c>
      <c r="AO4" s="200"/>
      <c r="AP4" s="120"/>
      <c r="AQ4" s="201"/>
      <c r="AR4" s="120"/>
      <c r="AT4" s="165">
        <f>5/12</f>
        <v>0.41666666666666702</v>
      </c>
    </row>
    <row r="5" spans="1:46" ht="15.75" customHeight="1">
      <c r="A5" s="133"/>
      <c r="B5" s="134"/>
      <c r="C5" s="140" t="s">
        <v>4141</v>
      </c>
      <c r="D5" s="136"/>
      <c r="E5" s="137"/>
      <c r="F5" s="133"/>
      <c r="K5" s="126">
        <v>1</v>
      </c>
      <c r="L5" s="129" t="s">
        <v>557</v>
      </c>
      <c r="M5" s="128" t="s">
        <v>5200</v>
      </c>
      <c r="N5" s="123">
        <v>1287</v>
      </c>
      <c r="O5" s="126" t="s">
        <v>1706</v>
      </c>
      <c r="P5" s="123">
        <f>SUM(K5*N5)</f>
        <v>1287</v>
      </c>
      <c r="R5" s="126">
        <v>1</v>
      </c>
      <c r="S5" s="129" t="s">
        <v>557</v>
      </c>
      <c r="T5" s="128" t="s">
        <v>5200</v>
      </c>
      <c r="U5" s="123">
        <v>1617</v>
      </c>
      <c r="V5" s="126" t="s">
        <v>1706</v>
      </c>
      <c r="W5" s="123">
        <f>SUM(R5*U5)</f>
        <v>1617</v>
      </c>
      <c r="AA5" s="165" t="s">
        <v>5281</v>
      </c>
      <c r="AL5" s="120"/>
      <c r="AM5" s="120"/>
      <c r="AN5" s="120" t="s">
        <v>5313</v>
      </c>
      <c r="AO5" s="120"/>
      <c r="AP5" s="120"/>
      <c r="AQ5" s="201"/>
      <c r="AR5" s="120"/>
      <c r="AT5" s="165">
        <f>8/12</f>
        <v>0.66666666666666696</v>
      </c>
    </row>
    <row r="6" spans="1:46" ht="15.75" customHeight="1">
      <c r="A6" s="133"/>
      <c r="B6" s="134"/>
      <c r="C6" s="120" t="s">
        <v>5313</v>
      </c>
      <c r="D6" s="120"/>
      <c r="E6" s="120"/>
      <c r="F6" s="120">
        <f>3.42*6.42*2</f>
        <v>43.912799999999997</v>
      </c>
      <c r="G6" s="182"/>
      <c r="K6" s="126">
        <v>1</v>
      </c>
      <c r="L6" s="129" t="s">
        <v>557</v>
      </c>
      <c r="M6" s="128" t="s">
        <v>5201</v>
      </c>
      <c r="N6" s="123">
        <v>2157</v>
      </c>
      <c r="O6" s="126" t="s">
        <v>1706</v>
      </c>
      <c r="P6" s="123">
        <f>SUM(K6*N6)</f>
        <v>2157</v>
      </c>
      <c r="R6" s="126">
        <v>1</v>
      </c>
      <c r="S6" s="129" t="s">
        <v>557</v>
      </c>
      <c r="T6" s="128" t="s">
        <v>5201</v>
      </c>
      <c r="U6" s="123">
        <v>3173</v>
      </c>
      <c r="V6" s="126" t="s">
        <v>1706</v>
      </c>
      <c r="W6" s="123">
        <f>SUM(R6*U6)</f>
        <v>3173</v>
      </c>
      <c r="AA6" s="165" t="s">
        <v>5282</v>
      </c>
      <c r="AL6" s="120"/>
      <c r="AM6" s="120"/>
      <c r="AN6" s="120" t="s">
        <v>5314</v>
      </c>
      <c r="AO6" s="120"/>
      <c r="AP6" s="120" t="s">
        <v>5315</v>
      </c>
      <c r="AQ6" s="201"/>
      <c r="AR6" s="211">
        <f>4.5*6.42*2</f>
        <v>57.78</v>
      </c>
      <c r="AT6" s="120">
        <f>(4.5+6.42)*2</f>
        <v>21.84</v>
      </c>
    </row>
    <row r="7" spans="1:46" ht="16.5" customHeight="1">
      <c r="A7" s="133"/>
      <c r="B7" s="134"/>
      <c r="C7" s="120" t="s">
        <v>5366</v>
      </c>
      <c r="D7" s="120"/>
      <c r="E7" s="120" t="s">
        <v>5360</v>
      </c>
      <c r="F7" s="173">
        <f>6.42*2</f>
        <v>12.84</v>
      </c>
      <c r="G7" s="182"/>
      <c r="K7" s="126">
        <v>12</v>
      </c>
      <c r="L7" s="129" t="s">
        <v>1026</v>
      </c>
      <c r="M7" s="128" t="s">
        <v>5202</v>
      </c>
      <c r="N7" s="123">
        <v>127</v>
      </c>
      <c r="O7" s="126" t="s">
        <v>1706</v>
      </c>
      <c r="P7" s="123">
        <f>SUM(K7*N7)</f>
        <v>1524</v>
      </c>
      <c r="R7" s="126">
        <v>12</v>
      </c>
      <c r="S7" s="129" t="s">
        <v>1026</v>
      </c>
      <c r="T7" s="128" t="s">
        <v>5202</v>
      </c>
      <c r="U7" s="123">
        <v>173</v>
      </c>
      <c r="V7" s="126" t="s">
        <v>1706</v>
      </c>
      <c r="W7" s="123">
        <f>SUM(R7*U7)</f>
        <v>2076</v>
      </c>
      <c r="AA7" s="165" t="s">
        <v>5283</v>
      </c>
      <c r="AL7" s="120"/>
      <c r="AM7" s="120"/>
      <c r="AN7" s="120" t="s">
        <v>5316</v>
      </c>
      <c r="AO7" s="120"/>
      <c r="AP7" s="120" t="s">
        <v>5317</v>
      </c>
      <c r="AQ7" s="201"/>
      <c r="AR7" s="212">
        <f>6.42*2</f>
        <v>12.84</v>
      </c>
      <c r="AT7" s="165">
        <f>AT6/3</f>
        <v>7.28</v>
      </c>
    </row>
    <row r="8" spans="1:46" ht="16.5" customHeight="1">
      <c r="A8" s="133"/>
      <c r="B8" s="134"/>
      <c r="C8" s="120" t="s">
        <v>5316</v>
      </c>
      <c r="D8" s="120"/>
      <c r="E8" s="120" t="s">
        <v>5317</v>
      </c>
      <c r="F8" s="120">
        <f>3.42*2</f>
        <v>6.84</v>
      </c>
      <c r="G8" s="182"/>
      <c r="K8" s="126"/>
      <c r="L8" s="156" t="s">
        <v>654</v>
      </c>
      <c r="M8" s="157" t="s">
        <v>5203</v>
      </c>
      <c r="N8" s="158"/>
      <c r="O8" s="156" t="s">
        <v>654</v>
      </c>
      <c r="P8" s="158">
        <v>55.3</v>
      </c>
      <c r="R8" s="126"/>
      <c r="S8" s="156" t="s">
        <v>654</v>
      </c>
      <c r="T8" s="157" t="s">
        <v>5203</v>
      </c>
      <c r="U8" s="158"/>
      <c r="V8" s="156" t="s">
        <v>654</v>
      </c>
      <c r="W8" s="158">
        <v>55.3</v>
      </c>
      <c r="AA8" s="165" t="s">
        <v>5284</v>
      </c>
      <c r="AL8" s="120"/>
      <c r="AM8" s="120"/>
      <c r="AN8" s="120" t="s">
        <v>5318</v>
      </c>
      <c r="AO8" s="120"/>
      <c r="AP8" s="120" t="s">
        <v>5319</v>
      </c>
      <c r="AQ8" s="201"/>
      <c r="AR8" s="211">
        <f>4.5*2</f>
        <v>9</v>
      </c>
      <c r="AT8" s="165">
        <f>AT7*0.6</f>
        <v>4.3680000000000003</v>
      </c>
    </row>
    <row r="9" spans="1:46" ht="19.5" customHeight="1">
      <c r="A9" s="133"/>
      <c r="B9" s="134"/>
      <c r="C9" s="120" t="s">
        <v>5367</v>
      </c>
      <c r="D9" s="120"/>
      <c r="E9" s="120" t="s">
        <v>5361</v>
      </c>
      <c r="F9" s="120">
        <f>4*3.42</f>
        <v>13.68</v>
      </c>
      <c r="G9" s="182"/>
      <c r="K9" s="126"/>
      <c r="L9" s="156" t="s">
        <v>654</v>
      </c>
      <c r="M9" s="157" t="s">
        <v>5190</v>
      </c>
      <c r="N9" s="158"/>
      <c r="O9" s="156" t="s">
        <v>654</v>
      </c>
      <c r="P9" s="158">
        <v>24</v>
      </c>
      <c r="R9" s="126"/>
      <c r="S9" s="156" t="s">
        <v>654</v>
      </c>
      <c r="T9" s="157" t="s">
        <v>5190</v>
      </c>
      <c r="U9" s="158"/>
      <c r="V9" s="156" t="s">
        <v>654</v>
      </c>
      <c r="W9" s="158">
        <v>24</v>
      </c>
      <c r="AL9" s="120"/>
      <c r="AM9" s="120"/>
      <c r="AN9" s="120" t="s">
        <v>5320</v>
      </c>
      <c r="AO9" s="120"/>
      <c r="AP9" s="120" t="s">
        <v>5321</v>
      </c>
      <c r="AQ9" s="201"/>
      <c r="AR9" s="211">
        <f>4*4.5</f>
        <v>18</v>
      </c>
    </row>
    <row r="10" spans="1:46" ht="20.25" customHeight="1">
      <c r="A10" s="133"/>
      <c r="B10" s="134"/>
      <c r="C10" s="120" t="s">
        <v>5368</v>
      </c>
      <c r="D10" s="120"/>
      <c r="E10" s="120" t="s">
        <v>5362</v>
      </c>
      <c r="F10" s="120">
        <f>2*3*2.67</f>
        <v>16.02</v>
      </c>
      <c r="G10" s="182"/>
      <c r="K10" s="126"/>
      <c r="L10" s="129"/>
      <c r="M10" s="128"/>
      <c r="N10" s="123"/>
      <c r="O10" s="126"/>
      <c r="P10" s="130">
        <f>SUM(P4:P9)</f>
        <v>9487.2999999999993</v>
      </c>
      <c r="R10" s="126"/>
      <c r="S10" s="129"/>
      <c r="T10" s="128"/>
      <c r="U10" s="123"/>
      <c r="V10" s="126"/>
      <c r="W10" s="130">
        <f>SUM(W4:W9)</f>
        <v>12349.3</v>
      </c>
      <c r="AA10" s="166">
        <v>9.75</v>
      </c>
      <c r="AB10" s="165" t="s">
        <v>5285</v>
      </c>
      <c r="AC10" s="168" t="s">
        <v>5286</v>
      </c>
      <c r="AD10" s="166">
        <v>51.4</v>
      </c>
      <c r="AE10" s="165" t="s">
        <v>5285</v>
      </c>
      <c r="AF10" s="166">
        <f t="shared" ref="AF10:AF15" si="0">AA10*AD10</f>
        <v>501.15</v>
      </c>
      <c r="AL10" s="120"/>
      <c r="AM10" s="120"/>
      <c r="AN10" s="120" t="s">
        <v>5322</v>
      </c>
      <c r="AO10" s="120"/>
      <c r="AP10" s="120" t="s">
        <v>5323</v>
      </c>
      <c r="AQ10" s="201"/>
      <c r="AR10" s="211">
        <f>2*3*2.67</f>
        <v>16.02</v>
      </c>
    </row>
    <row r="11" spans="1:46" ht="15.75" customHeight="1">
      <c r="A11" s="133"/>
      <c r="B11" s="134"/>
      <c r="C11" s="120" t="s">
        <v>5322</v>
      </c>
      <c r="D11" s="120"/>
      <c r="E11" s="120" t="s">
        <v>5323</v>
      </c>
      <c r="F11" s="120">
        <f>SUM(F6:F10)</f>
        <v>93.2928</v>
      </c>
      <c r="G11" s="182"/>
      <c r="K11" s="126"/>
      <c r="L11" s="129"/>
      <c r="M11" s="128" t="s">
        <v>5191</v>
      </c>
      <c r="N11" s="123"/>
      <c r="O11" s="126"/>
      <c r="P11" s="123">
        <f>P10*1%</f>
        <v>94.87</v>
      </c>
      <c r="R11" s="126"/>
      <c r="S11" s="129"/>
      <c r="T11" s="128" t="s">
        <v>5191</v>
      </c>
      <c r="U11" s="123"/>
      <c r="V11" s="126"/>
      <c r="W11" s="123">
        <f>W10*1%</f>
        <v>123.49</v>
      </c>
      <c r="AA11" s="166">
        <v>0.28000000000000003</v>
      </c>
      <c r="AB11" s="165" t="s">
        <v>5287</v>
      </c>
      <c r="AC11" s="165" t="s">
        <v>5288</v>
      </c>
      <c r="AD11" s="166">
        <v>1260</v>
      </c>
      <c r="AE11" s="165" t="s">
        <v>5287</v>
      </c>
      <c r="AF11" s="166">
        <f t="shared" si="0"/>
        <v>352.8</v>
      </c>
      <c r="AL11" s="120"/>
      <c r="AM11" s="120"/>
      <c r="AN11" s="120" t="s">
        <v>2235</v>
      </c>
      <c r="AO11" s="120"/>
      <c r="AP11" s="120" t="s">
        <v>5324</v>
      </c>
      <c r="AQ11" s="201"/>
      <c r="AR11" s="211">
        <f>SUM(AR6:AR10)</f>
        <v>113.64</v>
      </c>
    </row>
    <row r="12" spans="1:46" ht="16.5" customHeight="1">
      <c r="A12" s="133"/>
      <c r="B12" s="134"/>
      <c r="C12" s="120" t="s">
        <v>2235</v>
      </c>
      <c r="D12" s="120"/>
      <c r="E12" s="120" t="s">
        <v>5363</v>
      </c>
      <c r="F12" s="120">
        <f>F11*10%</f>
        <v>9.3292800000000007</v>
      </c>
      <c r="G12" s="182"/>
      <c r="K12" s="126"/>
      <c r="L12" s="129"/>
      <c r="M12" s="128" t="s">
        <v>5192</v>
      </c>
      <c r="N12" s="123"/>
      <c r="O12" s="126"/>
      <c r="P12" s="123">
        <v>1898</v>
      </c>
      <c r="R12" s="126"/>
      <c r="S12" s="129"/>
      <c r="T12" s="128" t="s">
        <v>5192</v>
      </c>
      <c r="U12" s="123"/>
      <c r="V12" s="126"/>
      <c r="W12" s="123">
        <v>1898</v>
      </c>
      <c r="AA12" s="166">
        <v>3</v>
      </c>
      <c r="AB12" s="165" t="s">
        <v>1026</v>
      </c>
      <c r="AC12" s="165" t="s">
        <v>5289</v>
      </c>
      <c r="AD12" s="166">
        <v>188.4</v>
      </c>
      <c r="AE12" s="165" t="s">
        <v>1026</v>
      </c>
      <c r="AF12" s="166">
        <f t="shared" si="0"/>
        <v>565.20000000000005</v>
      </c>
      <c r="AL12" s="120"/>
      <c r="AM12" s="120"/>
      <c r="AN12" s="202" t="s">
        <v>5325</v>
      </c>
      <c r="AO12" s="120"/>
      <c r="AP12" s="120" t="s">
        <v>5326</v>
      </c>
      <c r="AQ12" s="201"/>
      <c r="AR12" s="211">
        <f>AR11*10%</f>
        <v>11.364000000000001</v>
      </c>
    </row>
    <row r="13" spans="1:46" ht="15.75" customHeight="1">
      <c r="A13" s="144"/>
      <c r="B13" s="134"/>
      <c r="C13" s="202" t="s">
        <v>5325</v>
      </c>
      <c r="D13" s="120"/>
      <c r="E13" s="120" t="s">
        <v>5364</v>
      </c>
      <c r="F13" s="120">
        <f>SUM(F11:F12)</f>
        <v>102.62208</v>
      </c>
      <c r="G13" s="182">
        <f>F13*1.17</f>
        <v>120.0678336</v>
      </c>
      <c r="K13" s="126"/>
      <c r="L13" s="129"/>
      <c r="M13" s="128"/>
      <c r="N13" s="123"/>
      <c r="O13" s="126"/>
      <c r="P13" s="130">
        <f>SUM(P10:P12)</f>
        <v>11480.17</v>
      </c>
      <c r="R13" s="126"/>
      <c r="S13" s="129"/>
      <c r="T13" s="128"/>
      <c r="U13" s="123"/>
      <c r="V13" s="126"/>
      <c r="W13" s="130">
        <f>SUM(W10:W12)</f>
        <v>14370.79</v>
      </c>
      <c r="AA13" s="166">
        <v>1</v>
      </c>
      <c r="AB13" s="165" t="s">
        <v>5290</v>
      </c>
      <c r="AC13" s="165" t="s">
        <v>5291</v>
      </c>
      <c r="AD13" s="166">
        <v>67.150000000000006</v>
      </c>
      <c r="AE13" s="165" t="s">
        <v>5290</v>
      </c>
      <c r="AF13" s="166">
        <f t="shared" si="0"/>
        <v>67.150000000000006</v>
      </c>
      <c r="AL13" s="120"/>
      <c r="AM13" s="120"/>
      <c r="AN13" s="202"/>
      <c r="AO13" s="199"/>
      <c r="AP13" s="120" t="s">
        <v>5327</v>
      </c>
      <c r="AQ13" s="201"/>
      <c r="AR13" s="211">
        <f>SUM(AR11:AR12)</f>
        <v>125.004</v>
      </c>
      <c r="AS13" s="165">
        <f>AR13*1.17</f>
        <v>146.25468000000001</v>
      </c>
    </row>
    <row r="14" spans="1:46" ht="15" customHeight="1">
      <c r="A14" s="133"/>
      <c r="B14" s="134"/>
      <c r="C14" s="202"/>
      <c r="D14" s="199"/>
      <c r="E14" s="120" t="s">
        <v>5370</v>
      </c>
      <c r="F14" s="120"/>
      <c r="G14" s="182"/>
      <c r="K14" s="126"/>
      <c r="L14" s="129"/>
      <c r="M14" s="128"/>
      <c r="N14" s="123"/>
      <c r="O14" s="126"/>
      <c r="P14" s="130"/>
      <c r="R14" s="126"/>
      <c r="S14" s="129"/>
      <c r="T14" s="128"/>
      <c r="U14" s="123"/>
      <c r="V14" s="126"/>
      <c r="W14" s="130"/>
      <c r="AA14" s="166">
        <v>0.22</v>
      </c>
      <c r="AB14" s="165" t="s">
        <v>5292</v>
      </c>
      <c r="AC14" s="165" t="s">
        <v>5293</v>
      </c>
      <c r="AD14" s="166">
        <v>526</v>
      </c>
      <c r="AE14" s="165" t="s">
        <v>5292</v>
      </c>
      <c r="AF14" s="166">
        <f t="shared" si="0"/>
        <v>115.72</v>
      </c>
      <c r="AL14" s="120"/>
      <c r="AM14" s="120"/>
      <c r="AN14" s="120" t="s">
        <v>5328</v>
      </c>
      <c r="AO14" s="120"/>
      <c r="AP14" s="120" t="s">
        <v>5329</v>
      </c>
      <c r="AQ14" s="201"/>
      <c r="AR14" s="120"/>
    </row>
    <row r="15" spans="1:46" ht="20.25" customHeight="1">
      <c r="A15" s="133"/>
      <c r="B15" s="134"/>
      <c r="C15" s="120" t="s">
        <v>5369</v>
      </c>
      <c r="D15" s="120"/>
      <c r="E15" s="120" t="s">
        <v>5365</v>
      </c>
      <c r="F15" s="133"/>
      <c r="K15" s="1238" t="s">
        <v>5193</v>
      </c>
      <c r="L15" s="1238"/>
      <c r="M15" s="1238"/>
      <c r="N15" s="1238"/>
      <c r="O15" s="1238"/>
      <c r="P15" s="1238"/>
      <c r="AA15" s="166">
        <v>6</v>
      </c>
      <c r="AB15" s="165" t="s">
        <v>5294</v>
      </c>
      <c r="AC15" s="165" t="s">
        <v>5296</v>
      </c>
      <c r="AD15" s="166">
        <v>56.7</v>
      </c>
      <c r="AE15" s="165" t="s">
        <v>5294</v>
      </c>
      <c r="AF15" s="166">
        <f t="shared" si="0"/>
        <v>340.2</v>
      </c>
      <c r="AL15" s="203">
        <v>146.25</v>
      </c>
      <c r="AM15" s="184" t="s">
        <v>1637</v>
      </c>
      <c r="AN15" s="139" t="s">
        <v>5053</v>
      </c>
      <c r="AO15" s="157"/>
      <c r="AP15" s="126">
        <f>D16</f>
        <v>57.6</v>
      </c>
      <c r="AQ15" s="184" t="s">
        <v>1637</v>
      </c>
      <c r="AR15" s="173">
        <f>AL15*AP15</f>
        <v>8424</v>
      </c>
    </row>
    <row r="16" spans="1:46" ht="20.25" customHeight="1">
      <c r="A16" s="133">
        <v>120.07</v>
      </c>
      <c r="B16" s="134" t="s">
        <v>909</v>
      </c>
      <c r="C16" s="139" t="s">
        <v>5053</v>
      </c>
      <c r="D16" s="216">
        <v>57.6</v>
      </c>
      <c r="E16" s="137" t="s">
        <v>909</v>
      </c>
      <c r="F16" s="133">
        <f>D16*A16</f>
        <v>6916.03</v>
      </c>
      <c r="H16" s="165">
        <f>125*1.17</f>
        <v>146.25</v>
      </c>
      <c r="K16" s="126">
        <v>3</v>
      </c>
      <c r="L16" s="156" t="s">
        <v>1026</v>
      </c>
      <c r="M16" s="157" t="s">
        <v>5194</v>
      </c>
      <c r="N16" s="158">
        <v>750</v>
      </c>
      <c r="O16" s="156" t="s">
        <v>1706</v>
      </c>
      <c r="P16" s="158">
        <f>N16*K16</f>
        <v>2250</v>
      </c>
      <c r="T16" s="125" t="s">
        <v>5219</v>
      </c>
      <c r="AA16" s="169"/>
      <c r="AF16" s="170">
        <f>SUM(AF10:AF15)</f>
        <v>1942.22</v>
      </c>
      <c r="AL16" s="203">
        <v>6.2</v>
      </c>
      <c r="AM16" s="203" t="s">
        <v>1637</v>
      </c>
      <c r="AN16" s="157" t="s">
        <v>5054</v>
      </c>
      <c r="AO16" s="157"/>
      <c r="AP16" s="126">
        <f>D41</f>
        <v>562</v>
      </c>
      <c r="AQ16" s="184" t="s">
        <v>1637</v>
      </c>
      <c r="AR16" s="173">
        <f t="shared" ref="AR16:AR43" si="1">AL16*AP16</f>
        <v>3484.4</v>
      </c>
    </row>
    <row r="17" spans="1:44" ht="71.25" customHeight="1">
      <c r="A17" s="144"/>
      <c r="B17" s="134"/>
      <c r="C17" s="140" t="s">
        <v>4149</v>
      </c>
      <c r="D17" s="136"/>
      <c r="E17" s="137"/>
      <c r="F17" s="133"/>
      <c r="K17" s="126">
        <v>3</v>
      </c>
      <c r="L17" s="156" t="s">
        <v>1026</v>
      </c>
      <c r="M17" s="157" t="s">
        <v>5195</v>
      </c>
      <c r="N17" s="158">
        <v>15</v>
      </c>
      <c r="O17" s="156" t="s">
        <v>1706</v>
      </c>
      <c r="P17" s="158">
        <f>N17*K17</f>
        <v>45</v>
      </c>
      <c r="R17" s="1240" t="s">
        <v>5371</v>
      </c>
      <c r="S17" s="1240"/>
      <c r="T17" s="1240"/>
      <c r="U17" s="1240"/>
      <c r="V17" s="1240"/>
      <c r="W17" s="1240"/>
      <c r="AA17" s="169"/>
      <c r="AC17" s="165" t="s">
        <v>5021</v>
      </c>
      <c r="AF17" s="166">
        <f>AF16*2%</f>
        <v>38.840000000000003</v>
      </c>
      <c r="AL17" s="203">
        <v>6.2</v>
      </c>
      <c r="AM17" s="203" t="s">
        <v>1637</v>
      </c>
      <c r="AN17" s="157" t="s">
        <v>5055</v>
      </c>
      <c r="AO17" s="157"/>
      <c r="AP17" s="126">
        <f>D42</f>
        <v>10</v>
      </c>
      <c r="AQ17" s="184" t="s">
        <v>1637</v>
      </c>
      <c r="AR17" s="173">
        <f t="shared" si="1"/>
        <v>62</v>
      </c>
    </row>
    <row r="18" spans="1:44" ht="78.75">
      <c r="A18" s="133"/>
      <c r="B18" s="134"/>
      <c r="C18" s="139" t="s">
        <v>4150</v>
      </c>
      <c r="D18" s="136"/>
      <c r="E18" s="137"/>
      <c r="F18" s="133"/>
      <c r="K18" s="126">
        <v>6</v>
      </c>
      <c r="L18" s="156" t="s">
        <v>1026</v>
      </c>
      <c r="M18" s="157" t="s">
        <v>5196</v>
      </c>
      <c r="N18" s="158">
        <v>3</v>
      </c>
      <c r="O18" s="156" t="s">
        <v>1706</v>
      </c>
      <c r="P18" s="158">
        <f>N18*K18</f>
        <v>18</v>
      </c>
      <c r="R18" s="126">
        <v>1</v>
      </c>
      <c r="S18" s="129" t="s">
        <v>557</v>
      </c>
      <c r="T18" s="214" t="s">
        <v>5373</v>
      </c>
      <c r="U18" s="123">
        <v>2262</v>
      </c>
      <c r="V18" s="126" t="s">
        <v>1706</v>
      </c>
      <c r="W18" s="123">
        <f>SUM(R18*U18)</f>
        <v>2262</v>
      </c>
      <c r="AA18" s="171"/>
      <c r="AC18" s="165" t="s">
        <v>911</v>
      </c>
      <c r="AF18" s="166">
        <f>AF24</f>
        <v>1824</v>
      </c>
      <c r="AL18" s="120"/>
      <c r="AM18" s="184"/>
      <c r="AN18" s="157" t="s">
        <v>5330</v>
      </c>
      <c r="AO18" s="157"/>
      <c r="AP18" s="126"/>
      <c r="AQ18" s="184"/>
      <c r="AR18" s="173">
        <f t="shared" si="1"/>
        <v>0</v>
      </c>
    </row>
    <row r="19" spans="1:44" ht="31.5">
      <c r="A19" s="133"/>
      <c r="B19" s="134"/>
      <c r="C19" s="139" t="s">
        <v>4815</v>
      </c>
      <c r="D19" s="136"/>
      <c r="E19" s="137"/>
      <c r="F19" s="133"/>
      <c r="K19" s="126">
        <v>1</v>
      </c>
      <c r="L19" s="156" t="s">
        <v>557</v>
      </c>
      <c r="M19" s="157" t="s">
        <v>5197</v>
      </c>
      <c r="N19" s="158">
        <v>850</v>
      </c>
      <c r="O19" s="156" t="s">
        <v>1706</v>
      </c>
      <c r="P19" s="158">
        <f>N19*K19</f>
        <v>850</v>
      </c>
      <c r="R19" s="126">
        <v>1</v>
      </c>
      <c r="S19" s="129" t="s">
        <v>557</v>
      </c>
      <c r="T19" s="128" t="s">
        <v>5201</v>
      </c>
      <c r="U19" s="123">
        <v>3173</v>
      </c>
      <c r="V19" s="126" t="s">
        <v>1706</v>
      </c>
      <c r="W19" s="123">
        <f>SUM(R19*U19)</f>
        <v>3173</v>
      </c>
      <c r="AA19" s="169"/>
      <c r="AC19" s="165" t="s">
        <v>2235</v>
      </c>
      <c r="AF19" s="170">
        <f>SUM(AF16:AF18)</f>
        <v>3805.06</v>
      </c>
      <c r="AL19" s="120"/>
      <c r="AM19" s="184"/>
      <c r="AN19" s="157" t="s">
        <v>5331</v>
      </c>
      <c r="AO19" s="157"/>
      <c r="AP19" s="126"/>
      <c r="AQ19" s="184"/>
      <c r="AR19" s="173">
        <f t="shared" si="1"/>
        <v>0</v>
      </c>
    </row>
    <row r="20" spans="1:44" ht="31.5">
      <c r="A20" s="133"/>
      <c r="B20" s="134"/>
      <c r="C20" s="139"/>
      <c r="D20" s="136"/>
      <c r="E20" s="137"/>
      <c r="F20" s="133"/>
      <c r="K20" s="126"/>
      <c r="L20" s="156"/>
      <c r="M20" s="157"/>
      <c r="N20" s="158"/>
      <c r="O20" s="156"/>
      <c r="P20" s="158"/>
      <c r="R20" s="126">
        <v>3</v>
      </c>
      <c r="S20" s="129" t="s">
        <v>557</v>
      </c>
      <c r="T20" s="128" t="s">
        <v>5372</v>
      </c>
      <c r="U20" s="123">
        <v>829</v>
      </c>
      <c r="V20" s="126" t="s">
        <v>1706</v>
      </c>
      <c r="W20" s="123">
        <f>SUM(R20*U20)</f>
        <v>2487</v>
      </c>
      <c r="AA20" s="169"/>
      <c r="AC20" s="172" t="s">
        <v>5297</v>
      </c>
      <c r="AD20" s="170">
        <v>3805</v>
      </c>
      <c r="AF20" s="170"/>
      <c r="AL20" s="120"/>
      <c r="AM20" s="184"/>
      <c r="AN20" s="157" t="s">
        <v>5332</v>
      </c>
      <c r="AO20" s="157"/>
      <c r="AP20" s="126"/>
      <c r="AQ20" s="184"/>
      <c r="AR20" s="173">
        <f t="shared" si="1"/>
        <v>0</v>
      </c>
    </row>
    <row r="21" spans="1:44" ht="31.5">
      <c r="A21" s="133"/>
      <c r="B21" s="134"/>
      <c r="C21" s="139" t="s">
        <v>4152</v>
      </c>
      <c r="D21" s="136"/>
      <c r="E21" s="137"/>
      <c r="F21" s="133"/>
      <c r="K21" s="126"/>
      <c r="L21" s="156"/>
      <c r="M21" s="157"/>
      <c r="N21" s="158"/>
      <c r="O21" s="156"/>
      <c r="P21" s="159">
        <f>SUM(P16:P19)</f>
        <v>3163</v>
      </c>
      <c r="R21" s="126">
        <v>6</v>
      </c>
      <c r="S21" s="129" t="s">
        <v>1026</v>
      </c>
      <c r="T21" s="128" t="s">
        <v>5202</v>
      </c>
      <c r="U21" s="123">
        <v>173</v>
      </c>
      <c r="V21" s="126" t="s">
        <v>1706</v>
      </c>
      <c r="W21" s="123">
        <f>SUM(R21*U21)</f>
        <v>1038</v>
      </c>
      <c r="AA21" s="171" t="s">
        <v>5020</v>
      </c>
      <c r="AL21" s="120"/>
      <c r="AM21" s="184"/>
      <c r="AN21" s="157" t="s">
        <v>5333</v>
      </c>
      <c r="AO21" s="157"/>
      <c r="AP21" s="126"/>
      <c r="AQ21" s="184"/>
      <c r="AR21" s="173">
        <f t="shared" si="1"/>
        <v>0</v>
      </c>
    </row>
    <row r="22" spans="1:44" ht="31.5">
      <c r="A22" s="133"/>
      <c r="B22" s="134"/>
      <c r="C22" s="139" t="s">
        <v>4814</v>
      </c>
      <c r="D22" s="136"/>
      <c r="E22" s="137"/>
      <c r="F22" s="133"/>
      <c r="K22" s="126"/>
      <c r="L22" s="156"/>
      <c r="M22" s="157" t="s">
        <v>5198</v>
      </c>
      <c r="N22" s="158"/>
      <c r="O22" s="156"/>
      <c r="P22" s="158">
        <f>P21*2/100</f>
        <v>63.26</v>
      </c>
      <c r="R22" s="126"/>
      <c r="S22" s="156" t="s">
        <v>654</v>
      </c>
      <c r="T22" s="120" t="s">
        <v>5203</v>
      </c>
      <c r="U22" s="158"/>
      <c r="V22" s="156" t="s">
        <v>654</v>
      </c>
      <c r="W22" s="158">
        <v>55.3</v>
      </c>
      <c r="AA22" s="173">
        <v>1</v>
      </c>
      <c r="AB22" s="165" t="s">
        <v>5210</v>
      </c>
      <c r="AC22" s="165" t="s">
        <v>5022</v>
      </c>
      <c r="AD22" s="166">
        <v>712</v>
      </c>
      <c r="AE22" s="165" t="s">
        <v>3607</v>
      </c>
      <c r="AF22" s="166">
        <f>AA22*AD22</f>
        <v>712</v>
      </c>
      <c r="AL22" s="203">
        <v>8</v>
      </c>
      <c r="AM22" s="184" t="s">
        <v>823</v>
      </c>
      <c r="AN22" s="157" t="s">
        <v>5357</v>
      </c>
      <c r="AO22" s="157"/>
      <c r="AP22" s="213">
        <f>D48</f>
        <v>115</v>
      </c>
      <c r="AQ22" s="184" t="s">
        <v>823</v>
      </c>
      <c r="AR22" s="173">
        <f t="shared" si="1"/>
        <v>920</v>
      </c>
    </row>
    <row r="23" spans="1:44" ht="19.5" customHeight="1">
      <c r="A23" s="133"/>
      <c r="B23" s="134"/>
      <c r="C23" s="139" t="s">
        <v>4813</v>
      </c>
      <c r="D23" s="136"/>
      <c r="E23" s="137"/>
      <c r="F23" s="133"/>
      <c r="K23" s="126"/>
      <c r="L23" s="156"/>
      <c r="M23" s="157" t="s">
        <v>911</v>
      </c>
      <c r="N23" s="158"/>
      <c r="O23" s="156"/>
      <c r="P23" s="158">
        <f>P31</f>
        <v>528.5</v>
      </c>
      <c r="R23" s="126"/>
      <c r="S23" s="156" t="s">
        <v>654</v>
      </c>
      <c r="T23" s="120" t="s">
        <v>5190</v>
      </c>
      <c r="U23" s="158"/>
      <c r="V23" s="156" t="s">
        <v>654</v>
      </c>
      <c r="W23" s="158">
        <v>24</v>
      </c>
      <c r="AA23" s="166">
        <v>2</v>
      </c>
      <c r="AB23" s="165" t="s">
        <v>1427</v>
      </c>
      <c r="AC23" s="165" t="s">
        <v>5295</v>
      </c>
      <c r="AD23" s="166">
        <v>556</v>
      </c>
      <c r="AE23" s="165" t="s">
        <v>3607</v>
      </c>
      <c r="AF23" s="166">
        <f>AA23*AD23</f>
        <v>1112</v>
      </c>
      <c r="AL23" s="203">
        <v>15.4</v>
      </c>
      <c r="AM23" s="184" t="s">
        <v>909</v>
      </c>
      <c r="AN23" s="157" t="s">
        <v>5346</v>
      </c>
      <c r="AO23" s="157"/>
      <c r="AP23" s="126">
        <f>AP15</f>
        <v>57.6</v>
      </c>
      <c r="AQ23" s="184" t="s">
        <v>909</v>
      </c>
      <c r="AR23" s="173">
        <f t="shared" si="1"/>
        <v>887.04</v>
      </c>
    </row>
    <row r="24" spans="1:44" ht="15.75">
      <c r="A24" s="133"/>
      <c r="B24" s="134"/>
      <c r="C24" s="139" t="s">
        <v>4812</v>
      </c>
      <c r="D24" s="136"/>
      <c r="E24" s="137"/>
      <c r="F24" s="133"/>
      <c r="K24" s="126"/>
      <c r="L24" s="156"/>
      <c r="M24" s="157"/>
      <c r="N24" s="158"/>
      <c r="O24" s="156"/>
      <c r="P24" s="158">
        <f>SUM(P21:P23)</f>
        <v>3754.76</v>
      </c>
      <c r="R24" s="126"/>
      <c r="S24" s="129"/>
      <c r="T24" s="128"/>
      <c r="U24" s="123"/>
      <c r="V24" s="126"/>
      <c r="W24" s="130">
        <f>SUM(W18:W23)</f>
        <v>9039.2999999999993</v>
      </c>
      <c r="AA24" s="169"/>
      <c r="AF24" s="170">
        <f>SUM(AF22:AF23)</f>
        <v>1824</v>
      </c>
      <c r="AL24" s="120"/>
      <c r="AM24" s="184"/>
      <c r="AN24" s="157" t="s">
        <v>5334</v>
      </c>
      <c r="AO24" s="157"/>
      <c r="AP24" s="126"/>
      <c r="AQ24" s="184"/>
      <c r="AR24" s="173">
        <f t="shared" si="1"/>
        <v>0</v>
      </c>
    </row>
    <row r="25" spans="1:44" ht="15.75">
      <c r="A25" s="133"/>
      <c r="B25" s="134"/>
      <c r="C25" s="139" t="s">
        <v>4811</v>
      </c>
      <c r="D25" s="136"/>
      <c r="E25" s="137"/>
      <c r="F25" s="133"/>
      <c r="K25" s="126"/>
      <c r="L25" s="156"/>
      <c r="M25" s="157"/>
      <c r="N25" s="158"/>
      <c r="O25" s="125" t="s">
        <v>5023</v>
      </c>
      <c r="P25" s="159">
        <v>3639</v>
      </c>
      <c r="R25" s="126"/>
      <c r="S25" s="129"/>
      <c r="T25" s="128" t="s">
        <v>5191</v>
      </c>
      <c r="U25" s="123"/>
      <c r="V25" s="126"/>
      <c r="W25" s="123">
        <f>W24*1%</f>
        <v>90.39</v>
      </c>
      <c r="AA25" s="169"/>
      <c r="AL25" s="204">
        <v>3</v>
      </c>
      <c r="AM25" s="184" t="s">
        <v>1427</v>
      </c>
      <c r="AN25" s="157" t="s">
        <v>4805</v>
      </c>
      <c r="AO25" s="205"/>
      <c r="AP25" s="126">
        <f>D51</f>
        <v>555</v>
      </c>
      <c r="AQ25" s="184" t="s">
        <v>1393</v>
      </c>
      <c r="AR25" s="173">
        <f t="shared" si="1"/>
        <v>1665</v>
      </c>
    </row>
    <row r="26" spans="1:44" ht="15.75">
      <c r="A26" s="133">
        <v>15.4</v>
      </c>
      <c r="B26" s="134" t="s">
        <v>909</v>
      </c>
      <c r="C26" s="139" t="str">
        <f>'[10]8 in 1  '!C25</f>
        <v xml:space="preserve">Cost of angle iron </v>
      </c>
      <c r="D26" s="136">
        <f>D16</f>
        <v>57.6</v>
      </c>
      <c r="E26" s="137" t="s">
        <v>909</v>
      </c>
      <c r="F26" s="133">
        <f>SUM(A26*D26)</f>
        <v>887.04</v>
      </c>
      <c r="K26" s="168"/>
      <c r="L26" s="168"/>
      <c r="M26" s="168"/>
      <c r="N26" s="168"/>
      <c r="O26" s="168"/>
      <c r="P26" s="174"/>
      <c r="R26" s="126"/>
      <c r="S26" s="129"/>
      <c r="T26" s="128" t="s">
        <v>5192</v>
      </c>
      <c r="U26" s="123"/>
      <c r="V26" s="126"/>
      <c r="W26" s="123">
        <v>1898</v>
      </c>
      <c r="AA26" s="171"/>
      <c r="AL26" s="204">
        <v>1</v>
      </c>
      <c r="AM26" s="184" t="s">
        <v>1389</v>
      </c>
      <c r="AN26" s="157" t="s">
        <v>5305</v>
      </c>
      <c r="AO26" s="157"/>
      <c r="AP26" s="126">
        <f t="shared" ref="AP26:AP31" si="2">D52</f>
        <v>77.599999999999994</v>
      </c>
      <c r="AQ26" s="184" t="s">
        <v>1393</v>
      </c>
      <c r="AR26" s="173">
        <f t="shared" si="1"/>
        <v>77.599999999999994</v>
      </c>
    </row>
    <row r="27" spans="1:44" ht="15.75">
      <c r="A27" s="133"/>
      <c r="B27" s="134"/>
      <c r="C27" s="140" t="s">
        <v>4158</v>
      </c>
      <c r="D27" s="136"/>
      <c r="E27" s="137"/>
      <c r="F27" s="133"/>
      <c r="K27" s="123"/>
      <c r="L27" s="157"/>
      <c r="M27" s="157" t="s">
        <v>2633</v>
      </c>
      <c r="N27" s="158"/>
      <c r="O27" s="156"/>
      <c r="P27" s="158"/>
      <c r="R27" s="126"/>
      <c r="S27" s="129"/>
      <c r="T27" s="128"/>
      <c r="U27" s="123"/>
      <c r="V27" s="126"/>
      <c r="W27" s="130">
        <f>SUM(W24:W26)</f>
        <v>11027.69</v>
      </c>
      <c r="AA27" s="171" t="s">
        <v>5278</v>
      </c>
      <c r="AL27" s="204">
        <v>12</v>
      </c>
      <c r="AM27" s="184" t="s">
        <v>1427</v>
      </c>
      <c r="AN27" s="157" t="s">
        <v>5060</v>
      </c>
      <c r="AO27" s="157"/>
      <c r="AP27" s="126">
        <f t="shared" si="2"/>
        <v>190.2</v>
      </c>
      <c r="AQ27" s="184" t="s">
        <v>1393</v>
      </c>
      <c r="AR27" s="173">
        <f t="shared" si="1"/>
        <v>2282.4</v>
      </c>
    </row>
    <row r="28" spans="1:44" ht="18" customHeight="1">
      <c r="A28" s="133"/>
      <c r="B28" s="134"/>
      <c r="C28" s="139" t="s">
        <v>4159</v>
      </c>
      <c r="D28" s="136"/>
      <c r="E28" s="137"/>
      <c r="F28" s="133"/>
      <c r="K28" s="123"/>
      <c r="L28" s="158">
        <v>1</v>
      </c>
      <c r="M28" s="157" t="s">
        <v>5204</v>
      </c>
      <c r="N28" s="175">
        <f>Elec.Data!I36</f>
        <v>826</v>
      </c>
      <c r="O28" s="156"/>
      <c r="P28" s="158">
        <f>L28*N28</f>
        <v>826</v>
      </c>
      <c r="R28" s="126"/>
      <c r="S28" s="129"/>
      <c r="T28" s="128"/>
      <c r="U28" s="123"/>
      <c r="V28" s="126"/>
      <c r="W28" s="130">
        <v>11028</v>
      </c>
      <c r="X28" s="165">
        <f>W28*5</f>
        <v>55140</v>
      </c>
      <c r="AA28" s="171" t="s">
        <v>5279</v>
      </c>
      <c r="AL28" s="204">
        <v>1</v>
      </c>
      <c r="AM28" s="184" t="s">
        <v>1389</v>
      </c>
      <c r="AN28" s="157" t="s">
        <v>5308</v>
      </c>
      <c r="AO28" s="157"/>
      <c r="AP28" s="126">
        <f t="shared" si="2"/>
        <v>85.2</v>
      </c>
      <c r="AQ28" s="184" t="s">
        <v>1393</v>
      </c>
      <c r="AR28" s="173">
        <f t="shared" si="1"/>
        <v>85.2</v>
      </c>
    </row>
    <row r="29" spans="1:44" ht="20.25" customHeight="1">
      <c r="A29" s="133"/>
      <c r="B29" s="134"/>
      <c r="C29" s="139" t="s">
        <v>4160</v>
      </c>
      <c r="D29" s="136"/>
      <c r="E29" s="137"/>
      <c r="F29" s="133"/>
      <c r="K29" s="123"/>
      <c r="L29" s="158">
        <v>2</v>
      </c>
      <c r="M29" s="157" t="s">
        <v>2576</v>
      </c>
      <c r="N29" s="175">
        <f>Elec.Data!I38</f>
        <v>644</v>
      </c>
      <c r="O29" s="156"/>
      <c r="P29" s="158">
        <f>L29*N29</f>
        <v>1288</v>
      </c>
      <c r="AL29" s="204">
        <v>4</v>
      </c>
      <c r="AM29" s="184" t="s">
        <v>1427</v>
      </c>
      <c r="AN29" s="157" t="s">
        <v>5061</v>
      </c>
      <c r="AO29" s="157"/>
      <c r="AP29" s="126">
        <f t="shared" si="2"/>
        <v>67.8</v>
      </c>
      <c r="AQ29" s="184" t="s">
        <v>1393</v>
      </c>
      <c r="AR29" s="173">
        <f t="shared" si="1"/>
        <v>271.2</v>
      </c>
    </row>
    <row r="30" spans="1:44" ht="15.75">
      <c r="A30" s="133"/>
      <c r="B30" s="134"/>
      <c r="C30" s="139" t="s">
        <v>4810</v>
      </c>
      <c r="D30" s="136"/>
      <c r="E30" s="137"/>
      <c r="F30" s="133"/>
      <c r="K30" s="123"/>
      <c r="L30" s="158"/>
      <c r="M30" s="157"/>
      <c r="N30" s="175"/>
      <c r="O30" s="156"/>
      <c r="P30" s="158">
        <f>SUM(P28:P29)</f>
        <v>2114</v>
      </c>
      <c r="R30" s="1240" t="s">
        <v>5374</v>
      </c>
      <c r="S30" s="1240"/>
      <c r="T30" s="1240"/>
      <c r="U30" s="1240"/>
      <c r="V30" s="1240"/>
      <c r="W30" s="1240"/>
      <c r="AL30" s="204">
        <v>1</v>
      </c>
      <c r="AM30" s="184" t="s">
        <v>1389</v>
      </c>
      <c r="AN30" s="157" t="s">
        <v>5062</v>
      </c>
      <c r="AO30" s="157"/>
      <c r="AP30" s="126">
        <f t="shared" si="2"/>
        <v>38</v>
      </c>
      <c r="AQ30" s="184" t="s">
        <v>1393</v>
      </c>
      <c r="AR30" s="173">
        <f t="shared" si="1"/>
        <v>38</v>
      </c>
    </row>
    <row r="31" spans="1:44" ht="33" customHeight="1">
      <c r="A31" s="133"/>
      <c r="B31" s="134"/>
      <c r="C31" s="139" t="s">
        <v>4162</v>
      </c>
      <c r="D31" s="136"/>
      <c r="E31" s="137"/>
      <c r="F31" s="133"/>
      <c r="K31" s="123"/>
      <c r="L31" s="158"/>
      <c r="M31" s="157"/>
      <c r="N31" s="175"/>
      <c r="O31" s="156"/>
      <c r="P31" s="159">
        <f>P30/4</f>
        <v>528.5</v>
      </c>
      <c r="R31" s="126">
        <v>1</v>
      </c>
      <c r="S31" s="129" t="s">
        <v>557</v>
      </c>
      <c r="T31" s="214" t="s">
        <v>5375</v>
      </c>
      <c r="U31" s="123">
        <v>6850</v>
      </c>
      <c r="V31" s="126" t="s">
        <v>1706</v>
      </c>
      <c r="W31" s="123">
        <f>SUM(R31*U31)</f>
        <v>6850</v>
      </c>
      <c r="AL31" s="204">
        <v>4</v>
      </c>
      <c r="AM31" s="184" t="s">
        <v>1427</v>
      </c>
      <c r="AN31" s="157" t="s">
        <v>5309</v>
      </c>
      <c r="AO31" s="157"/>
      <c r="AP31" s="126">
        <f t="shared" si="2"/>
        <v>580</v>
      </c>
      <c r="AQ31" s="184" t="s">
        <v>1393</v>
      </c>
      <c r="AR31" s="173">
        <f t="shared" si="1"/>
        <v>2320</v>
      </c>
    </row>
    <row r="32" spans="1:44" ht="31.5">
      <c r="A32" s="133"/>
      <c r="B32" s="134"/>
      <c r="C32" s="139" t="s">
        <v>4163</v>
      </c>
      <c r="D32" s="136"/>
      <c r="E32" s="137"/>
      <c r="F32" s="133"/>
      <c r="R32" s="126">
        <v>1</v>
      </c>
      <c r="S32" s="129" t="s">
        <v>557</v>
      </c>
      <c r="T32" s="128" t="s">
        <v>5376</v>
      </c>
      <c r="U32" s="123">
        <v>8830</v>
      </c>
      <c r="V32" s="126" t="s">
        <v>1706</v>
      </c>
      <c r="W32" s="123">
        <f>SUM(R32*U32)</f>
        <v>8830</v>
      </c>
      <c r="AL32" s="204">
        <v>1</v>
      </c>
      <c r="AM32" s="184" t="s">
        <v>1389</v>
      </c>
      <c r="AN32" s="157" t="s">
        <v>5310</v>
      </c>
      <c r="AO32" s="157"/>
      <c r="AP32" s="126">
        <f>D59</f>
        <v>258</v>
      </c>
      <c r="AQ32" s="184" t="s">
        <v>1393</v>
      </c>
      <c r="AR32" s="173">
        <f t="shared" si="1"/>
        <v>258</v>
      </c>
    </row>
    <row r="33" spans="1:44" ht="47.25">
      <c r="A33" s="133"/>
      <c r="B33" s="134"/>
      <c r="C33" s="139" t="s">
        <v>4164</v>
      </c>
      <c r="D33" s="136"/>
      <c r="E33" s="137"/>
      <c r="F33" s="133"/>
      <c r="K33" s="166">
        <v>1</v>
      </c>
      <c r="L33" s="165" t="s">
        <v>5206</v>
      </c>
      <c r="M33" s="168" t="s">
        <v>5207</v>
      </c>
      <c r="N33" s="166">
        <v>5800</v>
      </c>
      <c r="O33" s="166" t="s">
        <v>5208</v>
      </c>
      <c r="P33" s="166">
        <f>N33*K33</f>
        <v>5800</v>
      </c>
      <c r="R33" s="126">
        <v>5</v>
      </c>
      <c r="S33" s="129" t="s">
        <v>557</v>
      </c>
      <c r="T33" s="128" t="s">
        <v>5377</v>
      </c>
      <c r="U33" s="123">
        <v>903</v>
      </c>
      <c r="V33" s="126" t="s">
        <v>1706</v>
      </c>
      <c r="W33" s="123">
        <f>SUM(R33*U33)</f>
        <v>4515</v>
      </c>
      <c r="AL33" s="203">
        <v>484</v>
      </c>
      <c r="AM33" s="184" t="s">
        <v>5335</v>
      </c>
      <c r="AN33" s="157" t="s">
        <v>5347</v>
      </c>
      <c r="AO33" s="157"/>
      <c r="AP33" s="126">
        <f>D60</f>
        <v>1</v>
      </c>
      <c r="AQ33" s="184" t="s">
        <v>4177</v>
      </c>
      <c r="AR33" s="173">
        <f t="shared" si="1"/>
        <v>484</v>
      </c>
    </row>
    <row r="34" spans="1:44" ht="31.5">
      <c r="A34" s="133"/>
      <c r="B34" s="134"/>
      <c r="C34" s="139" t="s">
        <v>4809</v>
      </c>
      <c r="D34" s="136"/>
      <c r="E34" s="137"/>
      <c r="F34" s="133"/>
      <c r="K34" s="166"/>
      <c r="M34" s="168" t="s">
        <v>5209</v>
      </c>
      <c r="N34" s="166"/>
      <c r="O34" s="166"/>
      <c r="P34" s="166">
        <f>P33*12%</f>
        <v>696</v>
      </c>
      <c r="R34" s="126">
        <v>8</v>
      </c>
      <c r="S34" s="129" t="s">
        <v>1026</v>
      </c>
      <c r="T34" s="128" t="s">
        <v>5202</v>
      </c>
      <c r="U34" s="123">
        <v>173</v>
      </c>
      <c r="V34" s="126" t="s">
        <v>1706</v>
      </c>
      <c r="W34" s="123">
        <f>SUM(R34*U34)</f>
        <v>1384</v>
      </c>
      <c r="AL34" s="184"/>
      <c r="AM34" s="184"/>
      <c r="AN34" s="157" t="s">
        <v>5336</v>
      </c>
      <c r="AO34" s="157"/>
      <c r="AP34" s="126">
        <f>D61</f>
        <v>0</v>
      </c>
      <c r="AQ34" s="184"/>
      <c r="AR34" s="173">
        <f t="shared" si="1"/>
        <v>0</v>
      </c>
    </row>
    <row r="35" spans="1:44" ht="15.75">
      <c r="A35" s="133"/>
      <c r="B35" s="134"/>
      <c r="C35" s="139" t="s">
        <v>4166</v>
      </c>
      <c r="D35" s="136"/>
      <c r="E35" s="137"/>
      <c r="F35" s="133"/>
      <c r="K35" s="166"/>
      <c r="M35" s="168"/>
      <c r="N35" s="166"/>
      <c r="O35" s="166"/>
      <c r="P35" s="166">
        <v>6496</v>
      </c>
      <c r="R35" s="126"/>
      <c r="S35" s="156" t="s">
        <v>654</v>
      </c>
      <c r="T35" s="120" t="s">
        <v>5203</v>
      </c>
      <c r="U35" s="158"/>
      <c r="V35" s="156" t="s">
        <v>654</v>
      </c>
      <c r="W35" s="158">
        <v>55.3</v>
      </c>
      <c r="AL35" s="203">
        <v>18.3</v>
      </c>
      <c r="AM35" s="184" t="s">
        <v>5337</v>
      </c>
      <c r="AN35" s="157" t="s">
        <v>5065</v>
      </c>
      <c r="AO35" s="205"/>
      <c r="AP35" s="126">
        <f t="shared" ref="AP35:AP43" si="3">D63</f>
        <v>20</v>
      </c>
      <c r="AQ35" s="184" t="s">
        <v>5338</v>
      </c>
      <c r="AR35" s="173">
        <f t="shared" si="1"/>
        <v>366</v>
      </c>
    </row>
    <row r="36" spans="1:44" ht="18.75" customHeight="1">
      <c r="A36" s="133"/>
      <c r="B36" s="134"/>
      <c r="C36" s="139" t="s">
        <v>4167</v>
      </c>
      <c r="D36" s="136"/>
      <c r="E36" s="137"/>
      <c r="F36" s="133"/>
      <c r="K36" s="166">
        <v>2</v>
      </c>
      <c r="L36" s="165" t="s">
        <v>5210</v>
      </c>
      <c r="M36" s="168" t="s">
        <v>5214</v>
      </c>
      <c r="N36" s="166">
        <v>5.58</v>
      </c>
      <c r="O36" s="166" t="s">
        <v>5211</v>
      </c>
      <c r="P36" s="166">
        <f>N36*K36</f>
        <v>11.16</v>
      </c>
      <c r="R36" s="126"/>
      <c r="S36" s="156" t="s">
        <v>654</v>
      </c>
      <c r="T36" s="120" t="s">
        <v>5190</v>
      </c>
      <c r="U36" s="158"/>
      <c r="V36" s="156" t="s">
        <v>654</v>
      </c>
      <c r="W36" s="158">
        <v>24</v>
      </c>
      <c r="AL36" s="203">
        <v>0.7</v>
      </c>
      <c r="AM36" s="184" t="s">
        <v>5348</v>
      </c>
      <c r="AN36" s="157" t="s">
        <v>5066</v>
      </c>
      <c r="AO36" s="157"/>
      <c r="AP36" s="126">
        <f t="shared" si="3"/>
        <v>1322</v>
      </c>
      <c r="AQ36" s="184" t="s">
        <v>5348</v>
      </c>
      <c r="AR36" s="173">
        <f t="shared" si="1"/>
        <v>925.4</v>
      </c>
    </row>
    <row r="37" spans="1:44" ht="22.5" customHeight="1">
      <c r="A37" s="133"/>
      <c r="B37" s="134"/>
      <c r="C37" s="139" t="s">
        <v>4168</v>
      </c>
      <c r="D37" s="136"/>
      <c r="E37" s="137"/>
      <c r="F37" s="133"/>
      <c r="K37" s="166">
        <v>1</v>
      </c>
      <c r="L37" s="165" t="s">
        <v>5212</v>
      </c>
      <c r="M37" s="168" t="s">
        <v>5215</v>
      </c>
      <c r="N37" s="166">
        <v>9.8000000000000007</v>
      </c>
      <c r="O37" s="166" t="s">
        <v>4188</v>
      </c>
      <c r="P37" s="166">
        <f>N37*K37</f>
        <v>9.8000000000000007</v>
      </c>
      <c r="R37" s="126"/>
      <c r="S37" s="129"/>
      <c r="T37" s="128"/>
      <c r="U37" s="123"/>
      <c r="V37" s="126"/>
      <c r="W37" s="130">
        <f>SUM(W31:W36)</f>
        <v>21658.3</v>
      </c>
      <c r="AL37" s="203">
        <v>5</v>
      </c>
      <c r="AM37" s="184" t="s">
        <v>1427</v>
      </c>
      <c r="AN37" s="157" t="s">
        <v>5349</v>
      </c>
      <c r="AO37" s="205"/>
      <c r="AP37" s="126">
        <f t="shared" si="3"/>
        <v>20</v>
      </c>
      <c r="AQ37" s="184" t="s">
        <v>1393</v>
      </c>
      <c r="AR37" s="173">
        <f t="shared" si="1"/>
        <v>100</v>
      </c>
    </row>
    <row r="38" spans="1:44" ht="15.75">
      <c r="A38" s="133"/>
      <c r="B38" s="134"/>
      <c r="C38" s="139"/>
      <c r="D38" s="136"/>
      <c r="E38" s="137"/>
      <c r="F38" s="133"/>
      <c r="N38" s="166"/>
      <c r="O38" s="166"/>
      <c r="P38" s="166">
        <f>SUM(P35:P37)</f>
        <v>6516.96</v>
      </c>
      <c r="R38" s="126"/>
      <c r="S38" s="129"/>
      <c r="T38" s="128" t="s">
        <v>5191</v>
      </c>
      <c r="U38" s="123"/>
      <c r="V38" s="126"/>
      <c r="W38" s="123">
        <f>W37*1%</f>
        <v>216.58</v>
      </c>
      <c r="AL38" s="203">
        <v>1</v>
      </c>
      <c r="AM38" s="184" t="s">
        <v>4200</v>
      </c>
      <c r="AN38" s="157" t="s">
        <v>5350</v>
      </c>
      <c r="AO38" s="205"/>
      <c r="AP38" s="126">
        <f t="shared" si="3"/>
        <v>280</v>
      </c>
      <c r="AQ38" s="184" t="s">
        <v>145</v>
      </c>
      <c r="AR38" s="173">
        <f t="shared" si="1"/>
        <v>280</v>
      </c>
    </row>
    <row r="39" spans="1:44" ht="20.25" customHeight="1">
      <c r="A39" s="133"/>
      <c r="B39" s="134"/>
      <c r="C39" s="139" t="s">
        <v>4808</v>
      </c>
      <c r="D39" s="136"/>
      <c r="E39" s="137"/>
      <c r="F39" s="133"/>
      <c r="K39" s="165">
        <v>6515.56</v>
      </c>
      <c r="N39" s="166"/>
      <c r="O39" s="166"/>
      <c r="R39" s="126"/>
      <c r="S39" s="129"/>
      <c r="T39" s="128" t="s">
        <v>5192</v>
      </c>
      <c r="U39" s="123"/>
      <c r="V39" s="126"/>
      <c r="W39" s="123">
        <v>1898</v>
      </c>
      <c r="AL39" s="203">
        <v>5</v>
      </c>
      <c r="AM39" s="184" t="s">
        <v>5337</v>
      </c>
      <c r="AN39" s="157" t="s">
        <v>5351</v>
      </c>
      <c r="AO39" s="157"/>
      <c r="AP39" s="126">
        <f t="shared" si="3"/>
        <v>10.45</v>
      </c>
      <c r="AQ39" s="184" t="s">
        <v>5338</v>
      </c>
      <c r="AR39" s="173">
        <f t="shared" si="1"/>
        <v>52.25</v>
      </c>
    </row>
    <row r="40" spans="1:44" ht="31.5">
      <c r="A40" s="133"/>
      <c r="B40" s="134"/>
      <c r="C40" s="139"/>
      <c r="D40" s="136"/>
      <c r="E40" s="137"/>
      <c r="F40" s="133"/>
      <c r="M40" s="165" t="s">
        <v>5213</v>
      </c>
      <c r="N40" s="166"/>
      <c r="O40" s="166"/>
      <c r="P40" s="166">
        <f>P38*1%</f>
        <v>65.17</v>
      </c>
      <c r="R40" s="126"/>
      <c r="S40" s="129"/>
      <c r="T40" s="128"/>
      <c r="U40" s="123"/>
      <c r="V40" s="126"/>
      <c r="W40" s="130">
        <f>SUM(W37:W39)</f>
        <v>23772.880000000001</v>
      </c>
      <c r="AL40" s="203">
        <v>130.54</v>
      </c>
      <c r="AM40" s="184" t="s">
        <v>1637</v>
      </c>
      <c r="AN40" s="157" t="s">
        <v>5358</v>
      </c>
      <c r="AO40" s="157"/>
      <c r="AP40" s="126">
        <f t="shared" si="3"/>
        <v>52.5</v>
      </c>
      <c r="AQ40" s="184" t="s">
        <v>1637</v>
      </c>
      <c r="AR40" s="173">
        <f t="shared" si="1"/>
        <v>6853.35</v>
      </c>
    </row>
    <row r="41" spans="1:44" ht="32.25" customHeight="1">
      <c r="A41" s="133">
        <v>6.2</v>
      </c>
      <c r="B41" s="134" t="s">
        <v>909</v>
      </c>
      <c r="C41" s="139" t="s">
        <v>5054</v>
      </c>
      <c r="D41" s="216">
        <v>562</v>
      </c>
      <c r="E41" s="137" t="s">
        <v>909</v>
      </c>
      <c r="F41" s="133">
        <f>SUM(A41*D41)</f>
        <v>3484.4</v>
      </c>
      <c r="K41" s="165" t="s">
        <v>5205</v>
      </c>
      <c r="M41" s="165" t="s">
        <v>5213</v>
      </c>
      <c r="P41" s="166">
        <v>65.16</v>
      </c>
      <c r="W41" s="165">
        <v>23773</v>
      </c>
      <c r="X41" s="165">
        <f>W41*2</f>
        <v>47546</v>
      </c>
      <c r="AL41" s="203">
        <v>5</v>
      </c>
      <c r="AM41" s="184" t="s">
        <v>1427</v>
      </c>
      <c r="AN41" s="157" t="s">
        <v>5359</v>
      </c>
      <c r="AO41" s="157"/>
      <c r="AP41" s="126">
        <f t="shared" si="3"/>
        <v>1086</v>
      </c>
      <c r="AQ41" s="184" t="s">
        <v>1706</v>
      </c>
      <c r="AR41" s="173">
        <f t="shared" si="1"/>
        <v>5430</v>
      </c>
    </row>
    <row r="42" spans="1:44" ht="21" customHeight="1">
      <c r="A42" s="133">
        <v>6.2</v>
      </c>
      <c r="B42" s="134" t="s">
        <v>909</v>
      </c>
      <c r="C42" s="139" t="str">
        <f>'[10]8 in 1  '!C41</f>
        <v>Tin coating of copper ( qtn vide CER.NO.189/19-20)</v>
      </c>
      <c r="D42" s="136">
        <v>10</v>
      </c>
      <c r="E42" s="137" t="s">
        <v>909</v>
      </c>
      <c r="F42" s="133">
        <f>SUM(A42*D42)</f>
        <v>62</v>
      </c>
      <c r="M42" s="168" t="s">
        <v>5216</v>
      </c>
      <c r="P42" s="166">
        <f>237.25*1.5</f>
        <v>355.88</v>
      </c>
      <c r="AL42" s="203">
        <v>178.92</v>
      </c>
      <c r="AM42" s="184" t="s">
        <v>5339</v>
      </c>
      <c r="AN42" s="157" t="s">
        <v>4185</v>
      </c>
      <c r="AO42" s="157"/>
      <c r="AP42" s="126">
        <f t="shared" si="3"/>
        <v>10</v>
      </c>
      <c r="AQ42" s="184" t="s">
        <v>4186</v>
      </c>
      <c r="AR42" s="173">
        <f t="shared" si="1"/>
        <v>1789.2</v>
      </c>
    </row>
    <row r="43" spans="1:44" ht="21.75" customHeight="1">
      <c r="A43" s="133"/>
      <c r="B43" s="134"/>
      <c r="C43" s="139"/>
      <c r="D43" s="136"/>
      <c r="E43" s="137"/>
      <c r="F43" s="133"/>
      <c r="P43" s="170">
        <f>SUM(P38:P42)</f>
        <v>7003.17</v>
      </c>
      <c r="AL43" s="203">
        <v>36</v>
      </c>
      <c r="AM43" s="203" t="s">
        <v>5337</v>
      </c>
      <c r="AN43" s="157" t="s">
        <v>5340</v>
      </c>
      <c r="AO43" s="157"/>
      <c r="AP43" s="126">
        <f t="shared" si="3"/>
        <v>60.65</v>
      </c>
      <c r="AQ43" s="184" t="s">
        <v>5338</v>
      </c>
      <c r="AR43" s="173">
        <f t="shared" si="1"/>
        <v>2183.4</v>
      </c>
    </row>
    <row r="44" spans="1:44" ht="20.25" customHeight="1">
      <c r="A44" s="133"/>
      <c r="B44" s="134"/>
      <c r="C44" s="140" t="s">
        <v>4171</v>
      </c>
      <c r="D44" s="136"/>
      <c r="E44" s="137"/>
      <c r="F44" s="133"/>
      <c r="P44" s="166">
        <v>7004</v>
      </c>
      <c r="AL44" s="173"/>
      <c r="AM44" s="120"/>
      <c r="AN44" s="157" t="s">
        <v>5341</v>
      </c>
      <c r="AO44" s="157"/>
      <c r="AP44" s="158"/>
      <c r="AQ44" s="120"/>
      <c r="AR44" s="173"/>
    </row>
    <row r="45" spans="1:44" ht="20.25" customHeight="1">
      <c r="A45" s="133"/>
      <c r="B45" s="134"/>
      <c r="C45" s="139" t="s">
        <v>4172</v>
      </c>
      <c r="D45" s="136"/>
      <c r="E45" s="137"/>
      <c r="F45" s="133"/>
      <c r="AL45" s="173"/>
      <c r="AM45" s="120"/>
      <c r="AN45" s="157" t="s">
        <v>5352</v>
      </c>
      <c r="AO45" s="157"/>
      <c r="AP45" s="158"/>
      <c r="AQ45" s="120"/>
      <c r="AR45" s="173"/>
    </row>
    <row r="46" spans="1:44" ht="20.25" customHeight="1">
      <c r="A46" s="133"/>
      <c r="B46" s="134"/>
      <c r="C46" s="139" t="s">
        <v>4807</v>
      </c>
      <c r="D46" s="136"/>
      <c r="E46" s="137"/>
      <c r="F46" s="133"/>
      <c r="AL46" s="173"/>
      <c r="AM46" s="120"/>
      <c r="AN46" s="157" t="s">
        <v>5353</v>
      </c>
      <c r="AO46" s="157"/>
      <c r="AP46" s="126">
        <v>200</v>
      </c>
      <c r="AQ46" s="120"/>
      <c r="AR46" s="173">
        <v>200</v>
      </c>
    </row>
    <row r="47" spans="1:44" ht="20.25" customHeight="1">
      <c r="A47" s="133"/>
      <c r="B47" s="134"/>
      <c r="C47" s="139" t="s">
        <v>4806</v>
      </c>
      <c r="D47" s="136"/>
      <c r="E47" s="137"/>
      <c r="F47" s="133"/>
      <c r="AL47" s="173"/>
      <c r="AM47" s="120"/>
      <c r="AN47" s="157"/>
      <c r="AO47" s="157"/>
      <c r="AP47" s="205" t="s">
        <v>2235</v>
      </c>
      <c r="AQ47" s="120"/>
      <c r="AR47" s="210">
        <f>SUM(AR15:AR46)</f>
        <v>39438.44</v>
      </c>
    </row>
    <row r="48" spans="1:44" ht="20.25" customHeight="1">
      <c r="A48" s="133">
        <v>6.1</v>
      </c>
      <c r="B48" s="134" t="s">
        <v>823</v>
      </c>
      <c r="C48" s="139" t="s">
        <v>5519</v>
      </c>
      <c r="D48" s="216">
        <v>115</v>
      </c>
      <c r="E48" s="137" t="s">
        <v>823</v>
      </c>
      <c r="F48" s="133">
        <f>D48*A48</f>
        <v>701.5</v>
      </c>
      <c r="AL48" s="120"/>
      <c r="AM48" s="120"/>
      <c r="AN48" s="157" t="s">
        <v>5342</v>
      </c>
      <c r="AO48" s="157"/>
      <c r="AP48" s="157"/>
      <c r="AQ48" s="120"/>
      <c r="AR48" s="173">
        <f>AR47*2%</f>
        <v>788.77</v>
      </c>
    </row>
    <row r="49" spans="1:44" ht="20.25" customHeight="1">
      <c r="A49" s="133"/>
      <c r="B49" s="134"/>
      <c r="C49" s="139"/>
      <c r="D49" s="136"/>
      <c r="E49" s="137"/>
      <c r="F49" s="133"/>
      <c r="AL49" s="120"/>
      <c r="AM49" s="120"/>
      <c r="AN49" s="157" t="s">
        <v>5343</v>
      </c>
      <c r="AO49" s="157"/>
      <c r="AP49" s="157"/>
      <c r="AQ49" s="120"/>
      <c r="AR49" s="210">
        <f>SUM(AR47:AR48)</f>
        <v>40227.21</v>
      </c>
    </row>
    <row r="50" spans="1:44" ht="20.25" customHeight="1">
      <c r="A50" s="133"/>
      <c r="B50" s="134"/>
      <c r="C50" s="140" t="s">
        <v>4175</v>
      </c>
      <c r="D50" s="136"/>
      <c r="E50" s="137"/>
      <c r="F50" s="133"/>
      <c r="AL50" s="120"/>
      <c r="AM50" s="120"/>
      <c r="AN50" s="157" t="s">
        <v>5344</v>
      </c>
      <c r="AO50" s="157"/>
      <c r="AP50" s="157"/>
      <c r="AQ50" s="120"/>
      <c r="AR50" s="173">
        <v>1000</v>
      </c>
    </row>
    <row r="51" spans="1:44" ht="20.25" customHeight="1">
      <c r="A51" s="133">
        <v>3</v>
      </c>
      <c r="B51" s="134" t="s">
        <v>1026</v>
      </c>
      <c r="C51" s="139" t="s">
        <v>5520</v>
      </c>
      <c r="D51" s="216">
        <v>555</v>
      </c>
      <c r="E51" s="137" t="s">
        <v>1393</v>
      </c>
      <c r="F51" s="133">
        <f>D51*A51</f>
        <v>1665</v>
      </c>
      <c r="AL51" s="120"/>
      <c r="AM51" s="120"/>
      <c r="AN51" s="157" t="s">
        <v>5345</v>
      </c>
      <c r="AO51" s="157"/>
      <c r="AP51" s="157"/>
      <c r="AQ51" s="120"/>
      <c r="AR51" s="173">
        <v>1000</v>
      </c>
    </row>
    <row r="52" spans="1:44" ht="20.25" customHeight="1">
      <c r="A52" s="133">
        <v>1</v>
      </c>
      <c r="B52" s="134" t="s">
        <v>1026</v>
      </c>
      <c r="C52" s="139" t="s">
        <v>5305</v>
      </c>
      <c r="D52" s="217">
        <v>77.599999999999994</v>
      </c>
      <c r="E52" s="137" t="s">
        <v>1393</v>
      </c>
      <c r="F52" s="133">
        <f t="shared" ref="F52:F60" si="4">SUM(A52*D52)</f>
        <v>77.599999999999994</v>
      </c>
      <c r="AL52" s="120"/>
      <c r="AM52" s="120"/>
      <c r="AN52" s="157"/>
      <c r="AO52" s="120"/>
      <c r="AP52" s="120"/>
      <c r="AQ52" s="120"/>
      <c r="AR52" s="173">
        <f>SUM(AR49:AR51)</f>
        <v>42227.21</v>
      </c>
    </row>
    <row r="53" spans="1:44" ht="20.25" customHeight="1">
      <c r="A53" s="133">
        <v>12</v>
      </c>
      <c r="B53" s="134" t="s">
        <v>1026</v>
      </c>
      <c r="C53" s="139" t="s">
        <v>5522</v>
      </c>
      <c r="D53" s="216">
        <v>190.2</v>
      </c>
      <c r="E53" s="137" t="s">
        <v>1393</v>
      </c>
      <c r="F53" s="133">
        <f t="shared" si="4"/>
        <v>2282.4</v>
      </c>
      <c r="AL53" s="120"/>
      <c r="AM53" s="120"/>
      <c r="AN53" s="157"/>
      <c r="AO53" s="120"/>
      <c r="AP53" s="206" t="s">
        <v>2235</v>
      </c>
      <c r="AQ53" s="120"/>
      <c r="AR53" s="207">
        <f>ROUNDUP(AR52,-2)</f>
        <v>42300</v>
      </c>
    </row>
    <row r="54" spans="1:44" ht="20.25" customHeight="1">
      <c r="A54" s="133">
        <v>1</v>
      </c>
      <c r="B54" s="134" t="s">
        <v>557</v>
      </c>
      <c r="C54" s="139" t="s">
        <v>5523</v>
      </c>
      <c r="D54" s="216">
        <v>85.2</v>
      </c>
      <c r="E54" s="137" t="s">
        <v>1393</v>
      </c>
      <c r="F54" s="133">
        <f t="shared" si="4"/>
        <v>85.2</v>
      </c>
      <c r="AL54" s="120"/>
      <c r="AM54" s="120"/>
      <c r="AN54" s="157"/>
      <c r="AO54" s="120"/>
      <c r="AP54" s="120"/>
      <c r="AQ54" s="120"/>
      <c r="AR54" s="120"/>
    </row>
    <row r="55" spans="1:44" ht="20.25" customHeight="1">
      <c r="A55" s="133">
        <v>4</v>
      </c>
      <c r="B55" s="134" t="s">
        <v>1026</v>
      </c>
      <c r="C55" s="139" t="s">
        <v>5061</v>
      </c>
      <c r="D55" s="217">
        <v>67.8</v>
      </c>
      <c r="E55" s="137" t="s">
        <v>1393</v>
      </c>
      <c r="F55" s="133">
        <f t="shared" si="4"/>
        <v>271.2</v>
      </c>
      <c r="AL55" s="120"/>
      <c r="AM55" s="120"/>
      <c r="AN55" s="139"/>
      <c r="AO55" s="136"/>
      <c r="AP55" s="137"/>
      <c r="AQ55" s="133"/>
    </row>
    <row r="56" spans="1:44" ht="20.25" customHeight="1">
      <c r="A56" s="133">
        <v>1</v>
      </c>
      <c r="B56" s="134" t="s">
        <v>1026</v>
      </c>
      <c r="C56" s="139" t="s">
        <v>5524</v>
      </c>
      <c r="D56" s="136">
        <v>38</v>
      </c>
      <c r="E56" s="137" t="s">
        <v>1393</v>
      </c>
      <c r="F56" s="133">
        <f t="shared" si="4"/>
        <v>38</v>
      </c>
      <c r="AL56" s="133"/>
      <c r="AM56" s="134"/>
      <c r="AN56" s="139"/>
      <c r="AO56" s="136"/>
      <c r="AP56" s="137"/>
      <c r="AQ56" s="133"/>
    </row>
    <row r="57" spans="1:44" ht="20.25" customHeight="1">
      <c r="A57" s="133">
        <v>4</v>
      </c>
      <c r="B57" s="134" t="s">
        <v>557</v>
      </c>
      <c r="C57" s="139" t="s">
        <v>5525</v>
      </c>
      <c r="D57" s="216">
        <v>580</v>
      </c>
      <c r="E57" s="137" t="s">
        <v>1393</v>
      </c>
      <c r="F57" s="133">
        <f t="shared" si="4"/>
        <v>2320</v>
      </c>
      <c r="AL57" s="133"/>
      <c r="AM57" s="134"/>
      <c r="AN57" s="139"/>
      <c r="AO57" s="136"/>
      <c r="AP57" s="137"/>
      <c r="AQ57" s="133"/>
    </row>
    <row r="58" spans="1:44" ht="20.25" customHeight="1">
      <c r="A58" s="133"/>
      <c r="B58" s="134" t="s">
        <v>557</v>
      </c>
      <c r="C58" s="139" t="s">
        <v>5521</v>
      </c>
      <c r="D58" s="136"/>
      <c r="E58" s="137" t="s">
        <v>1393</v>
      </c>
      <c r="F58" s="133">
        <f t="shared" si="4"/>
        <v>0</v>
      </c>
      <c r="AL58" s="133"/>
      <c r="AM58" s="134"/>
      <c r="AN58" s="139"/>
      <c r="AO58" s="136"/>
      <c r="AP58" s="137"/>
      <c r="AQ58" s="133"/>
    </row>
    <row r="59" spans="1:44" ht="20.25" customHeight="1">
      <c r="A59" s="133">
        <v>1</v>
      </c>
      <c r="B59" s="134" t="s">
        <v>557</v>
      </c>
      <c r="C59" s="139" t="s">
        <v>5526</v>
      </c>
      <c r="D59" s="216">
        <v>258</v>
      </c>
      <c r="E59" s="137" t="s">
        <v>1393</v>
      </c>
      <c r="F59" s="133">
        <f t="shared" si="4"/>
        <v>258</v>
      </c>
      <c r="AL59" s="133"/>
      <c r="AM59" s="134"/>
      <c r="AN59" s="139"/>
      <c r="AO59" s="136"/>
      <c r="AP59" s="137"/>
      <c r="AQ59" s="133"/>
    </row>
    <row r="60" spans="1:44" ht="20.25" customHeight="1">
      <c r="A60" s="176">
        <v>484</v>
      </c>
      <c r="B60" s="137" t="s">
        <v>4177</v>
      </c>
      <c r="C60" s="139" t="s">
        <v>5063</v>
      </c>
      <c r="D60" s="136">
        <v>1</v>
      </c>
      <c r="E60" s="137" t="s">
        <v>4177</v>
      </c>
      <c r="F60" s="133">
        <f t="shared" si="4"/>
        <v>484</v>
      </c>
      <c r="AL60" s="176"/>
      <c r="AM60" s="137"/>
      <c r="AN60" s="139"/>
      <c r="AO60" s="136"/>
      <c r="AP60" s="137"/>
      <c r="AQ60" s="133"/>
    </row>
    <row r="61" spans="1:44" ht="20.25" customHeight="1">
      <c r="A61" s="133"/>
      <c r="B61" s="134"/>
      <c r="C61" s="139" t="s">
        <v>4179</v>
      </c>
      <c r="D61" s="136"/>
      <c r="E61" s="137"/>
      <c r="F61" s="133"/>
      <c r="AL61" s="133"/>
      <c r="AM61" s="134"/>
      <c r="AN61" s="139"/>
      <c r="AO61" s="136"/>
      <c r="AP61" s="137"/>
      <c r="AQ61" s="133"/>
    </row>
    <row r="62" spans="1:44" ht="20.25" customHeight="1">
      <c r="A62" s="133"/>
      <c r="B62" s="134"/>
      <c r="C62" s="139"/>
      <c r="D62" s="136"/>
      <c r="E62" s="137"/>
      <c r="F62" s="133"/>
      <c r="AL62" s="133"/>
      <c r="AM62" s="134"/>
      <c r="AN62" s="139"/>
      <c r="AO62" s="136"/>
      <c r="AP62" s="137"/>
      <c r="AQ62" s="133"/>
    </row>
    <row r="63" spans="1:44" ht="20.25" customHeight="1">
      <c r="A63" s="133">
        <v>18.3</v>
      </c>
      <c r="B63" s="134" t="s">
        <v>823</v>
      </c>
      <c r="C63" s="139" t="s">
        <v>5065</v>
      </c>
      <c r="D63" s="136">
        <v>20</v>
      </c>
      <c r="E63" s="137" t="s">
        <v>823</v>
      </c>
      <c r="F63" s="133">
        <f t="shared" ref="F63:F71" si="5">SUM(A63*D63)</f>
        <v>366</v>
      </c>
      <c r="AL63" s="133"/>
      <c r="AM63" s="134"/>
      <c r="AN63" s="139"/>
      <c r="AO63" s="136"/>
      <c r="AP63" s="177"/>
      <c r="AQ63" s="133"/>
    </row>
    <row r="64" spans="1:44" ht="20.25" customHeight="1">
      <c r="A64" s="133">
        <v>0.7</v>
      </c>
      <c r="B64" s="134" t="s">
        <v>5120</v>
      </c>
      <c r="C64" s="139" t="s">
        <v>5527</v>
      </c>
      <c r="D64" s="136">
        <f>661*2</f>
        <v>1322</v>
      </c>
      <c r="E64" s="177" t="s">
        <v>5120</v>
      </c>
      <c r="F64" s="133">
        <f t="shared" si="5"/>
        <v>925.4</v>
      </c>
      <c r="AL64" s="133"/>
      <c r="AM64" s="134"/>
      <c r="AN64" s="139"/>
      <c r="AO64" s="136"/>
      <c r="AP64" s="137"/>
      <c r="AQ64" s="133"/>
    </row>
    <row r="65" spans="1:43" ht="20.25" customHeight="1">
      <c r="A65" s="133">
        <v>5</v>
      </c>
      <c r="B65" s="134" t="s">
        <v>1427</v>
      </c>
      <c r="C65" s="139" t="s">
        <v>5067</v>
      </c>
      <c r="D65" s="136">
        <v>20</v>
      </c>
      <c r="E65" s="137" t="s">
        <v>1706</v>
      </c>
      <c r="F65" s="133">
        <f t="shared" si="5"/>
        <v>100</v>
      </c>
      <c r="AL65" s="133"/>
      <c r="AM65" s="134"/>
      <c r="AN65" s="139"/>
      <c r="AO65" s="136"/>
      <c r="AP65" s="137"/>
      <c r="AQ65" s="133"/>
    </row>
    <row r="66" spans="1:43" ht="20.25" customHeight="1">
      <c r="A66" s="133">
        <v>1</v>
      </c>
      <c r="B66" s="134" t="s">
        <v>145</v>
      </c>
      <c r="C66" s="139" t="s">
        <v>5068</v>
      </c>
      <c r="D66" s="136">
        <v>280</v>
      </c>
      <c r="E66" s="137" t="s">
        <v>145</v>
      </c>
      <c r="F66" s="133">
        <f t="shared" si="5"/>
        <v>280</v>
      </c>
      <c r="AL66" s="133"/>
      <c r="AM66" s="134"/>
      <c r="AN66" s="139"/>
      <c r="AO66" s="136"/>
      <c r="AP66" s="177"/>
      <c r="AQ66" s="133"/>
    </row>
    <row r="67" spans="1:43" ht="20.25" customHeight="1">
      <c r="A67" s="133">
        <v>5</v>
      </c>
      <c r="B67" s="134" t="s">
        <v>3430</v>
      </c>
      <c r="C67" s="139" t="s">
        <v>5528</v>
      </c>
      <c r="D67" s="216">
        <v>10.45</v>
      </c>
      <c r="E67" s="177" t="s">
        <v>3430</v>
      </c>
      <c r="F67" s="133">
        <f t="shared" si="5"/>
        <v>52.25</v>
      </c>
      <c r="AL67" s="133"/>
      <c r="AM67" s="134"/>
      <c r="AN67" s="139"/>
      <c r="AO67" s="136"/>
      <c r="AP67" s="177"/>
      <c r="AQ67" s="133"/>
    </row>
    <row r="68" spans="1:43" ht="30.75" customHeight="1">
      <c r="A68" s="133">
        <v>130.54</v>
      </c>
      <c r="B68" s="134" t="s">
        <v>909</v>
      </c>
      <c r="C68" s="139" t="s">
        <v>5529</v>
      </c>
      <c r="D68" s="216">
        <v>52.5</v>
      </c>
      <c r="E68" s="177" t="s">
        <v>909</v>
      </c>
      <c r="F68" s="133">
        <f t="shared" si="5"/>
        <v>6853.35</v>
      </c>
      <c r="AL68" s="133"/>
      <c r="AM68" s="134"/>
      <c r="AN68" s="139"/>
      <c r="AO68" s="136"/>
      <c r="AP68" s="177"/>
      <c r="AQ68" s="133"/>
    </row>
    <row r="69" spans="1:43" ht="20.25" customHeight="1">
      <c r="A69" s="133">
        <v>5</v>
      </c>
      <c r="B69" s="134" t="s">
        <v>1427</v>
      </c>
      <c r="C69" s="139" t="s">
        <v>5071</v>
      </c>
      <c r="D69" s="217">
        <v>1086</v>
      </c>
      <c r="E69" s="177" t="s">
        <v>1706</v>
      </c>
      <c r="F69" s="133">
        <f t="shared" si="5"/>
        <v>5430</v>
      </c>
      <c r="AL69" s="133"/>
      <c r="AM69" s="134"/>
      <c r="AN69" s="139"/>
      <c r="AO69" s="136"/>
      <c r="AP69" s="177"/>
      <c r="AQ69" s="133"/>
    </row>
    <row r="70" spans="1:43" ht="20.25" customHeight="1">
      <c r="A70" s="133">
        <v>178.92</v>
      </c>
      <c r="B70" s="134" t="s">
        <v>4184</v>
      </c>
      <c r="C70" s="139" t="s">
        <v>5072</v>
      </c>
      <c r="D70" s="136">
        <v>10</v>
      </c>
      <c r="E70" s="177" t="s">
        <v>4186</v>
      </c>
      <c r="F70" s="133">
        <f t="shared" si="5"/>
        <v>1789.2</v>
      </c>
      <c r="AL70" s="133"/>
      <c r="AM70" s="134"/>
      <c r="AN70" s="139"/>
      <c r="AO70" s="136"/>
      <c r="AP70" s="178"/>
      <c r="AQ70" s="133"/>
    </row>
    <row r="71" spans="1:43" ht="20.25" customHeight="1">
      <c r="A71" s="144">
        <v>36</v>
      </c>
      <c r="B71" s="134" t="s">
        <v>4187</v>
      </c>
      <c r="C71" s="139" t="s">
        <v>5530</v>
      </c>
      <c r="D71" s="216">
        <v>60.65</v>
      </c>
      <c r="E71" s="178" t="s">
        <v>4188</v>
      </c>
      <c r="F71" s="133">
        <f t="shared" si="5"/>
        <v>2183.4</v>
      </c>
      <c r="AL71" s="144"/>
      <c r="AM71" s="134"/>
      <c r="AN71" s="139"/>
      <c r="AO71" s="136"/>
      <c r="AP71" s="137"/>
      <c r="AQ71" s="133"/>
    </row>
    <row r="72" spans="1:43" ht="20.25" customHeight="1">
      <c r="A72" s="133"/>
      <c r="B72" s="134"/>
      <c r="C72" s="139" t="s">
        <v>4189</v>
      </c>
      <c r="D72" s="136"/>
      <c r="E72" s="137"/>
      <c r="F72" s="133">
        <v>200</v>
      </c>
      <c r="AL72" s="133"/>
      <c r="AM72" s="134"/>
      <c r="AN72" s="139"/>
      <c r="AO72" s="136"/>
      <c r="AP72" s="137"/>
      <c r="AQ72" s="138"/>
    </row>
    <row r="73" spans="1:43" ht="20.25" customHeight="1">
      <c r="A73" s="133"/>
      <c r="B73" s="134"/>
      <c r="C73" s="139"/>
      <c r="D73" s="136" t="s">
        <v>2235</v>
      </c>
      <c r="E73" s="137"/>
      <c r="F73" s="138">
        <f>SUM(F16:F72)</f>
        <v>37711.97</v>
      </c>
      <c r="AL73" s="133"/>
      <c r="AM73" s="134"/>
      <c r="AN73" s="139"/>
      <c r="AO73" s="136"/>
      <c r="AP73" s="137"/>
      <c r="AQ73" s="133"/>
    </row>
    <row r="74" spans="1:43" ht="33.75" customHeight="1">
      <c r="A74" s="133"/>
      <c r="B74" s="134"/>
      <c r="C74" s="139" t="s">
        <v>4190</v>
      </c>
      <c r="D74" s="136"/>
      <c r="E74" s="137"/>
      <c r="F74" s="133">
        <f>F73*2/100</f>
        <v>754.24</v>
      </c>
      <c r="AL74" s="133"/>
      <c r="AM74" s="134"/>
      <c r="AN74" s="139"/>
      <c r="AO74" s="136"/>
      <c r="AP74" s="137"/>
      <c r="AQ74" s="138"/>
    </row>
    <row r="75" spans="1:43" ht="20.25" customHeight="1">
      <c r="A75" s="133"/>
      <c r="B75" s="134"/>
      <c r="C75" s="139"/>
      <c r="D75" s="136"/>
      <c r="E75" s="137"/>
      <c r="F75" s="138">
        <f>SUM(F73:F74)</f>
        <v>38466.21</v>
      </c>
      <c r="AL75" s="133"/>
      <c r="AM75" s="134"/>
      <c r="AN75" s="140"/>
      <c r="AO75" s="136"/>
      <c r="AP75" s="137"/>
      <c r="AQ75" s="133"/>
    </row>
    <row r="76" spans="1:43" ht="20.25" customHeight="1">
      <c r="A76" s="133"/>
      <c r="B76" s="134"/>
      <c r="C76" s="140"/>
      <c r="D76" s="136"/>
      <c r="E76" s="137"/>
      <c r="F76" s="133"/>
      <c r="AL76" s="133"/>
      <c r="AM76" s="134"/>
      <c r="AN76" s="139"/>
      <c r="AO76" s="136"/>
      <c r="AP76" s="137"/>
      <c r="AQ76" s="133"/>
    </row>
    <row r="77" spans="1:43" ht="20.25" customHeight="1">
      <c r="A77" s="133"/>
      <c r="B77" s="134"/>
      <c r="C77" s="139" t="s">
        <v>4191</v>
      </c>
      <c r="D77" s="136"/>
      <c r="E77" s="137"/>
      <c r="F77" s="133">
        <v>1000</v>
      </c>
      <c r="AL77" s="133"/>
      <c r="AM77" s="134"/>
      <c r="AN77" s="139"/>
      <c r="AO77" s="136"/>
      <c r="AP77" s="137"/>
      <c r="AQ77" s="133"/>
    </row>
    <row r="78" spans="1:43" ht="20.25" customHeight="1">
      <c r="A78" s="133"/>
      <c r="B78" s="134"/>
      <c r="C78" s="139" t="s">
        <v>4192</v>
      </c>
      <c r="D78" s="136"/>
      <c r="E78" s="137"/>
      <c r="F78" s="133">
        <v>1000</v>
      </c>
      <c r="AL78" s="133"/>
      <c r="AM78" s="134"/>
      <c r="AN78" s="139"/>
      <c r="AO78" s="136"/>
      <c r="AP78" s="137"/>
      <c r="AQ78" s="138"/>
    </row>
    <row r="79" spans="1:43" ht="20.25" customHeight="1">
      <c r="A79" s="133"/>
      <c r="B79" s="134"/>
      <c r="C79" s="139"/>
      <c r="D79" s="136"/>
      <c r="E79" s="137"/>
      <c r="F79" s="138">
        <f>SUM(F75:F78)</f>
        <v>40466.21</v>
      </c>
      <c r="AL79" s="133"/>
      <c r="AM79" s="134"/>
      <c r="AN79" s="139"/>
      <c r="AO79" s="136"/>
      <c r="AP79" s="137"/>
      <c r="AQ79" s="133"/>
    </row>
    <row r="80" spans="1:43" ht="20.25" customHeight="1">
      <c r="A80" s="133"/>
      <c r="B80" s="134"/>
      <c r="C80" s="139"/>
      <c r="D80" s="136"/>
      <c r="E80" s="137"/>
      <c r="F80" s="133" t="s">
        <v>4193</v>
      </c>
      <c r="AL80" s="133"/>
      <c r="AM80" s="134"/>
      <c r="AN80" s="139"/>
      <c r="AO80" s="136"/>
      <c r="AP80" s="137"/>
      <c r="AQ80" s="138"/>
    </row>
    <row r="81" spans="1:39" ht="20.25" customHeight="1">
      <c r="A81" s="133"/>
      <c r="B81" s="134"/>
      <c r="C81" s="139"/>
      <c r="D81" s="136"/>
      <c r="E81" s="137"/>
      <c r="F81" s="138">
        <f>ROUND(F79,-2)</f>
        <v>40500</v>
      </c>
      <c r="G81" s="166">
        <f>F79-30000</f>
        <v>10466.209999999999</v>
      </c>
      <c r="AL81" s="133"/>
      <c r="AM81" s="134"/>
    </row>
    <row r="82" spans="1:39" ht="20.25" customHeight="1">
      <c r="D82" s="1236"/>
      <c r="E82" s="1236"/>
      <c r="F82" s="1236"/>
    </row>
    <row r="84" spans="1:39" ht="20.25" customHeight="1">
      <c r="A84" s="158"/>
      <c r="B84" s="157"/>
      <c r="C84" s="125" t="s">
        <v>5042</v>
      </c>
      <c r="D84" s="158"/>
      <c r="E84" s="156"/>
      <c r="F84" s="158"/>
    </row>
    <row r="85" spans="1:39" ht="20.25" customHeight="1">
      <c r="A85" s="123"/>
      <c r="B85" s="124"/>
      <c r="C85" s="125" t="s">
        <v>5043</v>
      </c>
      <c r="D85" s="158"/>
      <c r="E85" s="126"/>
      <c r="F85" s="130"/>
    </row>
    <row r="86" spans="1:39" ht="20.25" customHeight="1">
      <c r="A86" s="123"/>
      <c r="B86" s="124"/>
      <c r="C86" s="128" t="s">
        <v>5044</v>
      </c>
      <c r="D86" s="158"/>
      <c r="E86" s="126"/>
      <c r="F86" s="123"/>
    </row>
    <row r="87" spans="1:39" ht="20.25" customHeight="1">
      <c r="A87" s="123"/>
      <c r="B87" s="124"/>
      <c r="C87" s="127" t="s">
        <v>4141</v>
      </c>
      <c r="D87" s="158"/>
      <c r="E87" s="126"/>
      <c r="F87" s="123"/>
    </row>
    <row r="88" spans="1:39" ht="20.25" customHeight="1">
      <c r="A88" s="123"/>
      <c r="B88" s="124"/>
      <c r="C88" s="128" t="s">
        <v>5045</v>
      </c>
      <c r="D88" s="158"/>
      <c r="E88" s="126"/>
      <c r="F88" s="123"/>
    </row>
    <row r="89" spans="1:39" ht="20.25" customHeight="1">
      <c r="A89" s="123"/>
      <c r="B89" s="124"/>
      <c r="C89" s="128" t="s">
        <v>5046</v>
      </c>
      <c r="D89" s="158"/>
      <c r="E89" s="126"/>
      <c r="F89" s="123"/>
    </row>
    <row r="90" spans="1:39" ht="20.25" customHeight="1">
      <c r="A90" s="123"/>
      <c r="B90" s="124"/>
      <c r="C90" s="128" t="s">
        <v>5047</v>
      </c>
      <c r="D90" s="158"/>
      <c r="E90" s="126"/>
      <c r="F90" s="123"/>
    </row>
    <row r="91" spans="1:39" ht="20.25" customHeight="1">
      <c r="A91" s="123"/>
      <c r="B91" s="124"/>
      <c r="C91" s="128" t="s">
        <v>5048</v>
      </c>
      <c r="D91" s="158"/>
      <c r="E91" s="126"/>
      <c r="F91" s="123"/>
    </row>
    <row r="92" spans="1:39" ht="20.25" customHeight="1">
      <c r="A92" s="123"/>
      <c r="B92" s="124"/>
      <c r="C92" s="128" t="s">
        <v>5049</v>
      </c>
      <c r="D92" s="158"/>
      <c r="E92" s="126"/>
      <c r="F92" s="123"/>
    </row>
    <row r="93" spans="1:39" ht="20.25" customHeight="1">
      <c r="A93" s="123"/>
      <c r="B93" s="124"/>
      <c r="C93" s="128" t="s">
        <v>5050</v>
      </c>
      <c r="D93" s="158"/>
      <c r="E93" s="126"/>
      <c r="F93" s="123"/>
    </row>
    <row r="94" spans="1:39" ht="20.25" customHeight="1">
      <c r="A94" s="123"/>
      <c r="B94" s="124"/>
      <c r="C94" s="127"/>
      <c r="D94" s="158"/>
      <c r="E94" s="126"/>
      <c r="F94" s="123"/>
    </row>
    <row r="95" spans="1:39" ht="20.25" customHeight="1">
      <c r="A95" s="123"/>
      <c r="B95" s="124"/>
      <c r="C95" s="128" t="s">
        <v>5051</v>
      </c>
      <c r="D95" s="158"/>
      <c r="E95" s="126"/>
      <c r="F95" s="123"/>
    </row>
    <row r="96" spans="1:39" ht="20.25" customHeight="1">
      <c r="A96" s="179"/>
      <c r="B96" s="124"/>
      <c r="C96" s="127" t="s">
        <v>5052</v>
      </c>
      <c r="D96" s="158"/>
      <c r="E96" s="126"/>
      <c r="F96" s="123"/>
    </row>
    <row r="97" spans="1:6" ht="20.25" customHeight="1">
      <c r="A97" s="123"/>
      <c r="B97" s="124"/>
      <c r="C97" s="128" t="s">
        <v>5354</v>
      </c>
      <c r="D97" s="158"/>
      <c r="E97" s="126"/>
      <c r="F97" s="123"/>
    </row>
    <row r="98" spans="1:6" ht="20.25" customHeight="1">
      <c r="A98" s="132">
        <v>177.37200000000001</v>
      </c>
      <c r="B98" s="124" t="s">
        <v>909</v>
      </c>
      <c r="C98" s="128" t="s">
        <v>5053</v>
      </c>
      <c r="D98" s="158">
        <f>D16</f>
        <v>57.6</v>
      </c>
      <c r="E98" s="126" t="s">
        <v>909</v>
      </c>
      <c r="F98" s="123">
        <f>D98*A98</f>
        <v>10216.629999999999</v>
      </c>
    </row>
    <row r="99" spans="1:6" ht="20.25" customHeight="1">
      <c r="A99" s="179"/>
      <c r="B99" s="124"/>
      <c r="C99" s="127" t="s">
        <v>4149</v>
      </c>
      <c r="D99" s="158">
        <f>D17</f>
        <v>0</v>
      </c>
      <c r="E99" s="126"/>
      <c r="F99" s="123"/>
    </row>
    <row r="100" spans="1:6" ht="20.25" customHeight="1">
      <c r="A100" s="123"/>
      <c r="B100" s="124"/>
      <c r="C100" s="128" t="s">
        <v>4150</v>
      </c>
      <c r="D100" s="158">
        <f>D18</f>
        <v>0</v>
      </c>
      <c r="E100" s="126"/>
      <c r="F100" s="123"/>
    </row>
    <row r="101" spans="1:6" ht="20.25" customHeight="1">
      <c r="A101" s="123"/>
      <c r="B101" s="124"/>
      <c r="C101" s="128" t="s">
        <v>4815</v>
      </c>
      <c r="D101" s="158">
        <f>D19</f>
        <v>0</v>
      </c>
      <c r="E101" s="126"/>
      <c r="F101" s="123"/>
    </row>
    <row r="102" spans="1:6" ht="20.25" customHeight="1">
      <c r="A102" s="123"/>
      <c r="B102" s="124"/>
      <c r="C102" s="128" t="s">
        <v>4152</v>
      </c>
      <c r="D102" s="158">
        <f t="shared" ref="D102:D138" si="6">D21</f>
        <v>0</v>
      </c>
      <c r="E102" s="126"/>
      <c r="F102" s="123"/>
    </row>
    <row r="103" spans="1:6" ht="20.25" customHeight="1">
      <c r="A103" s="123"/>
      <c r="B103" s="124"/>
      <c r="C103" s="128" t="s">
        <v>4814</v>
      </c>
      <c r="D103" s="158">
        <f t="shared" si="6"/>
        <v>0</v>
      </c>
      <c r="E103" s="126"/>
      <c r="F103" s="123"/>
    </row>
    <row r="104" spans="1:6" ht="20.25" customHeight="1">
      <c r="A104" s="123"/>
      <c r="B104" s="124"/>
      <c r="C104" s="128" t="s">
        <v>4813</v>
      </c>
      <c r="D104" s="158">
        <f t="shared" si="6"/>
        <v>0</v>
      </c>
      <c r="E104" s="126"/>
      <c r="F104" s="123"/>
    </row>
    <row r="105" spans="1:6" ht="20.25" customHeight="1">
      <c r="A105" s="123"/>
      <c r="B105" s="124"/>
      <c r="C105" s="128" t="s">
        <v>4812</v>
      </c>
      <c r="D105" s="158">
        <f t="shared" si="6"/>
        <v>0</v>
      </c>
      <c r="E105" s="126"/>
      <c r="F105" s="123"/>
    </row>
    <row r="106" spans="1:6" ht="20.25" customHeight="1">
      <c r="A106" s="123"/>
      <c r="B106" s="124"/>
      <c r="C106" s="128" t="s">
        <v>4811</v>
      </c>
      <c r="D106" s="158">
        <f t="shared" si="6"/>
        <v>0</v>
      </c>
      <c r="E106" s="126"/>
      <c r="F106" s="123"/>
    </row>
    <row r="107" spans="1:6" ht="20.25" customHeight="1">
      <c r="A107" s="123">
        <v>22.2</v>
      </c>
      <c r="B107" s="124" t="s">
        <v>909</v>
      </c>
      <c r="C107" s="128" t="s">
        <v>4157</v>
      </c>
      <c r="D107" s="158">
        <f t="shared" si="6"/>
        <v>57.6</v>
      </c>
      <c r="E107" s="126" t="s">
        <v>909</v>
      </c>
      <c r="F107" s="123">
        <f>SUM(A107*D107)</f>
        <v>1278.72</v>
      </c>
    </row>
    <row r="108" spans="1:6" ht="20.25" customHeight="1">
      <c r="A108" s="123"/>
      <c r="B108" s="124"/>
      <c r="C108" s="127" t="s">
        <v>4158</v>
      </c>
      <c r="D108" s="158">
        <f t="shared" si="6"/>
        <v>0</v>
      </c>
      <c r="E108" s="126"/>
      <c r="F108" s="123"/>
    </row>
    <row r="109" spans="1:6" ht="20.25" customHeight="1">
      <c r="A109" s="123"/>
      <c r="B109" s="124"/>
      <c r="C109" s="128" t="s">
        <v>4159</v>
      </c>
      <c r="D109" s="158">
        <f t="shared" si="6"/>
        <v>0</v>
      </c>
      <c r="E109" s="126"/>
      <c r="F109" s="123"/>
    </row>
    <row r="110" spans="1:6" ht="20.25" customHeight="1">
      <c r="A110" s="123"/>
      <c r="B110" s="124"/>
      <c r="C110" s="128" t="s">
        <v>4160</v>
      </c>
      <c r="D110" s="158">
        <f t="shared" si="6"/>
        <v>0</v>
      </c>
      <c r="E110" s="126"/>
      <c r="F110" s="123"/>
    </row>
    <row r="111" spans="1:6" ht="20.25" customHeight="1">
      <c r="A111" s="123"/>
      <c r="B111" s="124"/>
      <c r="C111" s="128" t="s">
        <v>4810</v>
      </c>
      <c r="D111" s="158">
        <f t="shared" si="6"/>
        <v>0</v>
      </c>
      <c r="E111" s="126"/>
      <c r="F111" s="123"/>
    </row>
    <row r="112" spans="1:6" ht="20.25" customHeight="1">
      <c r="A112" s="123"/>
      <c r="B112" s="124"/>
      <c r="C112" s="128" t="s">
        <v>4162</v>
      </c>
      <c r="D112" s="158">
        <f t="shared" si="6"/>
        <v>0</v>
      </c>
      <c r="E112" s="126"/>
      <c r="F112" s="123"/>
    </row>
    <row r="113" spans="1:6" ht="20.25" customHeight="1">
      <c r="A113" s="123"/>
      <c r="B113" s="124"/>
      <c r="C113" s="128" t="s">
        <v>4163</v>
      </c>
      <c r="D113" s="158">
        <f t="shared" si="6"/>
        <v>0</v>
      </c>
      <c r="E113" s="126"/>
      <c r="F113" s="123"/>
    </row>
    <row r="114" spans="1:6" ht="20.25" customHeight="1">
      <c r="A114" s="123"/>
      <c r="B114" s="124"/>
      <c r="C114" s="128" t="s">
        <v>4164</v>
      </c>
      <c r="D114" s="158">
        <f t="shared" si="6"/>
        <v>0</v>
      </c>
      <c r="E114" s="126"/>
      <c r="F114" s="123"/>
    </row>
    <row r="115" spans="1:6" ht="20.25" customHeight="1">
      <c r="A115" s="123"/>
      <c r="B115" s="124"/>
      <c r="C115" s="128" t="s">
        <v>4809</v>
      </c>
      <c r="D115" s="158">
        <f t="shared" si="6"/>
        <v>0</v>
      </c>
      <c r="E115" s="126"/>
      <c r="F115" s="123"/>
    </row>
    <row r="116" spans="1:6" ht="20.25" customHeight="1">
      <c r="A116" s="123"/>
      <c r="B116" s="124"/>
      <c r="C116" s="128" t="s">
        <v>4166</v>
      </c>
      <c r="D116" s="158">
        <f t="shared" si="6"/>
        <v>0</v>
      </c>
      <c r="E116" s="126"/>
      <c r="F116" s="123"/>
    </row>
    <row r="117" spans="1:6" ht="20.25" customHeight="1">
      <c r="A117" s="123"/>
      <c r="B117" s="124"/>
      <c r="C117" s="128" t="s">
        <v>4167</v>
      </c>
      <c r="D117" s="158">
        <f t="shared" si="6"/>
        <v>0</v>
      </c>
      <c r="E117" s="126"/>
      <c r="F117" s="123"/>
    </row>
    <row r="118" spans="1:6" ht="20.25" customHeight="1">
      <c r="A118" s="123"/>
      <c r="B118" s="124"/>
      <c r="C118" s="128" t="s">
        <v>4168</v>
      </c>
      <c r="D118" s="158">
        <f t="shared" si="6"/>
        <v>0</v>
      </c>
      <c r="E118" s="126"/>
      <c r="F118" s="123"/>
    </row>
    <row r="119" spans="1:6" ht="20.25" customHeight="1">
      <c r="A119" s="123"/>
      <c r="B119" s="124"/>
      <c r="C119" s="128"/>
      <c r="D119" s="158">
        <f t="shared" si="6"/>
        <v>0</v>
      </c>
      <c r="E119" s="126"/>
      <c r="F119" s="123"/>
    </row>
    <row r="120" spans="1:6" ht="20.25" customHeight="1">
      <c r="A120" s="123"/>
      <c r="B120" s="124"/>
      <c r="C120" s="128" t="s">
        <v>4808</v>
      </c>
      <c r="D120" s="158">
        <f t="shared" si="6"/>
        <v>0</v>
      </c>
      <c r="E120" s="126"/>
      <c r="F120" s="123"/>
    </row>
    <row r="121" spans="1:6" ht="20.25" customHeight="1">
      <c r="A121" s="123"/>
      <c r="B121" s="124"/>
      <c r="C121" s="128"/>
      <c r="D121" s="158">
        <f t="shared" si="6"/>
        <v>0</v>
      </c>
      <c r="E121" s="126"/>
      <c r="F121" s="123"/>
    </row>
    <row r="122" spans="1:6" ht="20.25" customHeight="1">
      <c r="A122" s="123">
        <v>9.56</v>
      </c>
      <c r="B122" s="124" t="s">
        <v>909</v>
      </c>
      <c r="C122" s="128" t="s">
        <v>5054</v>
      </c>
      <c r="D122" s="158">
        <f t="shared" si="6"/>
        <v>562</v>
      </c>
      <c r="E122" s="126" t="s">
        <v>909</v>
      </c>
      <c r="F122" s="123">
        <f>SUM(A122*D122)</f>
        <v>5372.72</v>
      </c>
    </row>
    <row r="123" spans="1:6" ht="20.25" customHeight="1">
      <c r="A123" s="123">
        <f>A122</f>
        <v>9.56</v>
      </c>
      <c r="B123" s="124" t="s">
        <v>909</v>
      </c>
      <c r="C123" s="128" t="s">
        <v>5055</v>
      </c>
      <c r="D123" s="158">
        <f t="shared" si="6"/>
        <v>10</v>
      </c>
      <c r="E123" s="126" t="s">
        <v>909</v>
      </c>
      <c r="F123" s="123">
        <f t="shared" ref="F123:F151" si="7">SUM(A123*D123)</f>
        <v>95.6</v>
      </c>
    </row>
    <row r="124" spans="1:6" ht="20.25" customHeight="1">
      <c r="A124" s="123"/>
      <c r="B124" s="124"/>
      <c r="C124" s="128"/>
      <c r="D124" s="158">
        <f t="shared" si="6"/>
        <v>0</v>
      </c>
      <c r="E124" s="126"/>
      <c r="F124" s="123"/>
    </row>
    <row r="125" spans="1:6" ht="20.25" customHeight="1">
      <c r="A125" s="123"/>
      <c r="B125" s="124"/>
      <c r="C125" s="127" t="s">
        <v>4171</v>
      </c>
      <c r="D125" s="158">
        <f t="shared" si="6"/>
        <v>0</v>
      </c>
      <c r="E125" s="126"/>
      <c r="F125" s="123"/>
    </row>
    <row r="126" spans="1:6" ht="20.25" customHeight="1">
      <c r="A126" s="123"/>
      <c r="B126" s="124"/>
      <c r="C126" s="128" t="s">
        <v>4172</v>
      </c>
      <c r="D126" s="158">
        <f t="shared" si="6"/>
        <v>0</v>
      </c>
      <c r="E126" s="126"/>
      <c r="F126" s="123"/>
    </row>
    <row r="127" spans="1:6" ht="20.25" customHeight="1">
      <c r="A127" s="123"/>
      <c r="B127" s="124"/>
      <c r="C127" s="128" t="s">
        <v>5056</v>
      </c>
      <c r="D127" s="158">
        <f t="shared" si="6"/>
        <v>0</v>
      </c>
      <c r="E127" s="126"/>
      <c r="F127" s="123"/>
    </row>
    <row r="128" spans="1:6" ht="20.25" customHeight="1">
      <c r="A128" s="123"/>
      <c r="B128" s="124"/>
      <c r="C128" s="128" t="s">
        <v>5057</v>
      </c>
      <c r="D128" s="158">
        <f t="shared" si="6"/>
        <v>0</v>
      </c>
      <c r="E128" s="126"/>
      <c r="F128" s="123"/>
    </row>
    <row r="129" spans="1:6" ht="20.25" customHeight="1">
      <c r="A129" s="123">
        <v>8</v>
      </c>
      <c r="B129" s="124" t="s">
        <v>823</v>
      </c>
      <c r="C129" s="128" t="s">
        <v>5058</v>
      </c>
      <c r="D129" s="158">
        <f t="shared" si="6"/>
        <v>115</v>
      </c>
      <c r="E129" s="126" t="s">
        <v>823</v>
      </c>
      <c r="F129" s="123">
        <f t="shared" si="7"/>
        <v>920</v>
      </c>
    </row>
    <row r="130" spans="1:6" ht="20.25" customHeight="1">
      <c r="A130" s="123"/>
      <c r="B130" s="124"/>
      <c r="C130" s="128"/>
      <c r="D130" s="158">
        <f t="shared" si="6"/>
        <v>0</v>
      </c>
      <c r="E130" s="126"/>
      <c r="F130" s="123"/>
    </row>
    <row r="131" spans="1:6" ht="20.25" customHeight="1">
      <c r="A131" s="123"/>
      <c r="B131" s="124"/>
      <c r="C131" s="127" t="s">
        <v>4175</v>
      </c>
      <c r="D131" s="158">
        <f t="shared" si="6"/>
        <v>0</v>
      </c>
      <c r="E131" s="126"/>
      <c r="F131" s="123"/>
    </row>
    <row r="132" spans="1:6" ht="20.25" customHeight="1">
      <c r="A132" s="123">
        <v>3</v>
      </c>
      <c r="B132" s="124" t="s">
        <v>1026</v>
      </c>
      <c r="C132" s="128" t="s">
        <v>5059</v>
      </c>
      <c r="D132" s="158">
        <v>696.43</v>
      </c>
      <c r="E132" s="126" t="s">
        <v>1393</v>
      </c>
      <c r="F132" s="123">
        <f t="shared" si="7"/>
        <v>2089.29</v>
      </c>
    </row>
    <row r="133" spans="1:6" ht="20.25" customHeight="1">
      <c r="A133" s="123">
        <v>1</v>
      </c>
      <c r="B133" s="124" t="s">
        <v>1026</v>
      </c>
      <c r="C133" s="128" t="s">
        <v>5355</v>
      </c>
      <c r="D133" s="158">
        <f t="shared" si="6"/>
        <v>77.599999999999994</v>
      </c>
      <c r="E133" s="126" t="s">
        <v>1393</v>
      </c>
      <c r="F133" s="123">
        <f t="shared" si="7"/>
        <v>77.599999999999994</v>
      </c>
    </row>
    <row r="134" spans="1:6" ht="20.25" customHeight="1">
      <c r="A134" s="123">
        <v>24</v>
      </c>
      <c r="B134" s="124" t="s">
        <v>1026</v>
      </c>
      <c r="C134" s="128" t="s">
        <v>5578</v>
      </c>
      <c r="D134" s="158">
        <f t="shared" si="6"/>
        <v>190.2</v>
      </c>
      <c r="E134" s="126" t="s">
        <v>1393</v>
      </c>
      <c r="F134" s="123">
        <f t="shared" si="7"/>
        <v>4564.8</v>
      </c>
    </row>
    <row r="135" spans="1:6" ht="20.25" customHeight="1">
      <c r="A135" s="123">
        <v>1</v>
      </c>
      <c r="B135" s="124" t="s">
        <v>557</v>
      </c>
      <c r="C135" s="128" t="s">
        <v>5579</v>
      </c>
      <c r="D135" s="158">
        <f t="shared" si="6"/>
        <v>85.2</v>
      </c>
      <c r="E135" s="126" t="s">
        <v>1393</v>
      </c>
      <c r="F135" s="123">
        <f t="shared" si="7"/>
        <v>85.2</v>
      </c>
    </row>
    <row r="136" spans="1:6" ht="20.25" customHeight="1">
      <c r="A136" s="123">
        <v>8</v>
      </c>
      <c r="B136" s="124" t="s">
        <v>1026</v>
      </c>
      <c r="C136" s="128" t="s">
        <v>5061</v>
      </c>
      <c r="D136" s="158">
        <f t="shared" si="6"/>
        <v>67.8</v>
      </c>
      <c r="E136" s="126" t="s">
        <v>1393</v>
      </c>
      <c r="F136" s="123">
        <f t="shared" si="7"/>
        <v>542.4</v>
      </c>
    </row>
    <row r="137" spans="1:6" ht="20.25" customHeight="1">
      <c r="A137" s="123">
        <v>1</v>
      </c>
      <c r="B137" s="124" t="s">
        <v>1026</v>
      </c>
      <c r="C137" s="128" t="s">
        <v>5062</v>
      </c>
      <c r="D137" s="158">
        <f t="shared" si="6"/>
        <v>38</v>
      </c>
      <c r="E137" s="126" t="s">
        <v>1393</v>
      </c>
      <c r="F137" s="123">
        <f t="shared" si="7"/>
        <v>38</v>
      </c>
    </row>
    <row r="138" spans="1:6" ht="20.25" customHeight="1">
      <c r="A138" s="123">
        <v>8</v>
      </c>
      <c r="B138" s="124" t="s">
        <v>557</v>
      </c>
      <c r="C138" s="128" t="s">
        <v>5525</v>
      </c>
      <c r="D138" s="158">
        <f t="shared" si="6"/>
        <v>580</v>
      </c>
      <c r="E138" s="126" t="s">
        <v>1393</v>
      </c>
      <c r="F138" s="123">
        <f t="shared" si="7"/>
        <v>4640</v>
      </c>
    </row>
    <row r="139" spans="1:6" ht="20.25" customHeight="1">
      <c r="A139" s="123">
        <v>1</v>
      </c>
      <c r="B139" s="124" t="s">
        <v>557</v>
      </c>
      <c r="C139" s="128" t="s">
        <v>5526</v>
      </c>
      <c r="D139" s="158">
        <f t="shared" ref="C139:D151" si="8">D59</f>
        <v>258</v>
      </c>
      <c r="E139" s="126" t="s">
        <v>1393</v>
      </c>
      <c r="F139" s="123">
        <f t="shared" si="7"/>
        <v>258</v>
      </c>
    </row>
    <row r="140" spans="1:6" ht="20.25" customHeight="1">
      <c r="A140" s="180">
        <v>836</v>
      </c>
      <c r="B140" s="126" t="s">
        <v>4177</v>
      </c>
      <c r="C140" s="128" t="s">
        <v>5063</v>
      </c>
      <c r="D140" s="158">
        <f t="shared" si="8"/>
        <v>1</v>
      </c>
      <c r="E140" s="126" t="s">
        <v>4177</v>
      </c>
      <c r="F140" s="123">
        <f t="shared" si="7"/>
        <v>836</v>
      </c>
    </row>
    <row r="141" spans="1:6" ht="20.25" customHeight="1">
      <c r="A141" s="123"/>
      <c r="B141" s="124"/>
      <c r="C141" s="128" t="s">
        <v>4179</v>
      </c>
      <c r="D141" s="158">
        <f t="shared" si="8"/>
        <v>0</v>
      </c>
      <c r="E141" s="126"/>
      <c r="F141" s="123"/>
    </row>
    <row r="142" spans="1:6" ht="20.25" customHeight="1">
      <c r="A142" s="123"/>
      <c r="B142" s="124"/>
      <c r="C142" s="128" t="s">
        <v>5064</v>
      </c>
      <c r="D142" s="158">
        <f t="shared" si="8"/>
        <v>0</v>
      </c>
      <c r="E142" s="126"/>
      <c r="F142" s="123"/>
    </row>
    <row r="143" spans="1:6" ht="20.25" customHeight="1">
      <c r="A143" s="123">
        <v>31.4</v>
      </c>
      <c r="B143" s="124" t="s">
        <v>823</v>
      </c>
      <c r="C143" s="128" t="s">
        <v>5065</v>
      </c>
      <c r="D143" s="158">
        <f t="shared" si="8"/>
        <v>20</v>
      </c>
      <c r="E143" s="126" t="s">
        <v>823</v>
      </c>
      <c r="F143" s="123">
        <f t="shared" si="7"/>
        <v>628</v>
      </c>
    </row>
    <row r="144" spans="1:6" ht="20.25" customHeight="1">
      <c r="A144" s="123">
        <v>1.1000000000000001</v>
      </c>
      <c r="B144" s="124" t="s">
        <v>5120</v>
      </c>
      <c r="C144" s="128" t="s">
        <v>5527</v>
      </c>
      <c r="D144" s="158">
        <f t="shared" si="8"/>
        <v>1322</v>
      </c>
      <c r="E144" s="129" t="s">
        <v>5120</v>
      </c>
      <c r="F144" s="123">
        <f t="shared" si="7"/>
        <v>1454.2</v>
      </c>
    </row>
    <row r="145" spans="1:6" ht="20.25" customHeight="1">
      <c r="A145" s="123">
        <v>9</v>
      </c>
      <c r="B145" s="124" t="s">
        <v>1427</v>
      </c>
      <c r="C145" s="128" t="s">
        <v>5067</v>
      </c>
      <c r="D145" s="158">
        <f t="shared" si="8"/>
        <v>20</v>
      </c>
      <c r="E145" s="126" t="s">
        <v>1706</v>
      </c>
      <c r="F145" s="123">
        <f t="shared" si="7"/>
        <v>180</v>
      </c>
    </row>
    <row r="146" spans="1:6" ht="20.25" customHeight="1">
      <c r="A146" s="123">
        <v>1</v>
      </c>
      <c r="B146" s="124" t="s">
        <v>145</v>
      </c>
      <c r="C146" s="128" t="s">
        <v>5068</v>
      </c>
      <c r="D146" s="158">
        <f t="shared" si="8"/>
        <v>280</v>
      </c>
      <c r="E146" s="126" t="s">
        <v>145</v>
      </c>
      <c r="F146" s="123">
        <f t="shared" si="7"/>
        <v>280</v>
      </c>
    </row>
    <row r="147" spans="1:6" ht="20.25" customHeight="1">
      <c r="A147" s="123">
        <v>5</v>
      </c>
      <c r="B147" s="124" t="s">
        <v>3430</v>
      </c>
      <c r="C147" s="128" t="s">
        <v>5537</v>
      </c>
      <c r="D147" s="158">
        <f t="shared" si="8"/>
        <v>10.45</v>
      </c>
      <c r="E147" s="129" t="s">
        <v>3430</v>
      </c>
      <c r="F147" s="123">
        <f t="shared" si="7"/>
        <v>52.25</v>
      </c>
    </row>
    <row r="148" spans="1:6" ht="20.25" customHeight="1">
      <c r="A148" s="123">
        <v>199.57</v>
      </c>
      <c r="B148" s="124" t="s">
        <v>909</v>
      </c>
      <c r="C148" s="158" t="str">
        <f t="shared" si="8"/>
        <v>MS sheet fabrication charges [SR 2022-23 / P.29]</v>
      </c>
      <c r="D148" s="158">
        <f t="shared" si="8"/>
        <v>52.5</v>
      </c>
      <c r="E148" s="129" t="s">
        <v>909</v>
      </c>
      <c r="F148" s="123">
        <f t="shared" si="7"/>
        <v>10477.43</v>
      </c>
    </row>
    <row r="149" spans="1:6" ht="20.25" customHeight="1">
      <c r="A149" s="123">
        <v>9</v>
      </c>
      <c r="B149" s="124" t="s">
        <v>1427</v>
      </c>
      <c r="C149" s="128" t="s">
        <v>5071</v>
      </c>
      <c r="D149" s="158">
        <f t="shared" si="8"/>
        <v>1086</v>
      </c>
      <c r="E149" s="129" t="s">
        <v>1706</v>
      </c>
      <c r="F149" s="123">
        <f t="shared" si="7"/>
        <v>9774</v>
      </c>
    </row>
    <row r="150" spans="1:6" ht="20.25" customHeight="1">
      <c r="A150" s="123">
        <v>275.64</v>
      </c>
      <c r="B150" s="124" t="s">
        <v>4184</v>
      </c>
      <c r="C150" s="128" t="s">
        <v>5072</v>
      </c>
      <c r="D150" s="158">
        <f t="shared" si="8"/>
        <v>10</v>
      </c>
      <c r="E150" s="129" t="s">
        <v>4186</v>
      </c>
      <c r="F150" s="123">
        <f t="shared" si="7"/>
        <v>2756.4</v>
      </c>
    </row>
    <row r="151" spans="1:6" ht="20.25" customHeight="1">
      <c r="A151" s="179">
        <v>68</v>
      </c>
      <c r="B151" s="124" t="s">
        <v>4187</v>
      </c>
      <c r="C151" s="167" t="s">
        <v>5356</v>
      </c>
      <c r="D151" s="158">
        <f t="shared" si="8"/>
        <v>60.65</v>
      </c>
      <c r="E151" s="156" t="s">
        <v>4188</v>
      </c>
      <c r="F151" s="123">
        <f t="shared" si="7"/>
        <v>4124.2</v>
      </c>
    </row>
    <row r="152" spans="1:6" ht="20.25" customHeight="1">
      <c r="A152" s="123"/>
      <c r="B152" s="124"/>
      <c r="C152" s="128" t="s">
        <v>4189</v>
      </c>
      <c r="D152" s="158"/>
      <c r="E152" s="126"/>
      <c r="F152" s="123">
        <v>200</v>
      </c>
    </row>
    <row r="153" spans="1:6" ht="20.25" customHeight="1">
      <c r="A153" s="123"/>
      <c r="B153" s="124"/>
      <c r="C153" s="128"/>
      <c r="D153" s="158" t="s">
        <v>2235</v>
      </c>
      <c r="E153" s="126"/>
      <c r="F153" s="130">
        <f>SUM(F98:F152)</f>
        <v>60941.440000000002</v>
      </c>
    </row>
    <row r="154" spans="1:6" ht="20.25" customHeight="1">
      <c r="A154" s="123"/>
      <c r="B154" s="124"/>
      <c r="C154" s="128" t="s">
        <v>4190</v>
      </c>
      <c r="D154" s="158"/>
      <c r="E154" s="126"/>
      <c r="F154" s="123">
        <f>F153*2/100</f>
        <v>1218.83</v>
      </c>
    </row>
    <row r="155" spans="1:6" ht="20.25" customHeight="1">
      <c r="A155" s="123"/>
      <c r="B155" s="124"/>
      <c r="C155" s="128"/>
      <c r="D155" s="158"/>
      <c r="E155" s="126"/>
      <c r="F155" s="130">
        <f>SUM(F153:F154)</f>
        <v>62160.27</v>
      </c>
    </row>
    <row r="156" spans="1:6" ht="20.25" customHeight="1">
      <c r="A156" s="123"/>
      <c r="B156" s="124"/>
      <c r="C156" s="127"/>
      <c r="D156" s="158"/>
      <c r="E156" s="126"/>
      <c r="F156" s="123"/>
    </row>
    <row r="157" spans="1:6" ht="20.25" customHeight="1">
      <c r="A157" s="123"/>
      <c r="B157" s="124"/>
      <c r="C157" s="128" t="s">
        <v>4191</v>
      </c>
      <c r="D157" s="158"/>
      <c r="E157" s="126"/>
      <c r="F157" s="123">
        <v>1000</v>
      </c>
    </row>
    <row r="158" spans="1:6" ht="20.25" customHeight="1">
      <c r="A158" s="123"/>
      <c r="B158" s="124"/>
      <c r="C158" s="128" t="s">
        <v>4192</v>
      </c>
      <c r="D158" s="158"/>
      <c r="E158" s="126"/>
      <c r="F158" s="123">
        <v>1000</v>
      </c>
    </row>
    <row r="159" spans="1:6" ht="20.25" customHeight="1">
      <c r="A159" s="123"/>
      <c r="B159" s="124"/>
      <c r="C159" s="128"/>
      <c r="D159" s="158"/>
      <c r="E159" s="126"/>
      <c r="F159" s="130">
        <f>SUM(F155:F158)</f>
        <v>64160.27</v>
      </c>
    </row>
    <row r="160" spans="1:6" ht="20.25" customHeight="1">
      <c r="A160" s="123"/>
      <c r="B160" s="124"/>
      <c r="C160" s="128"/>
      <c r="D160" s="158"/>
      <c r="E160" s="126"/>
      <c r="F160" s="123" t="s">
        <v>4193</v>
      </c>
    </row>
    <row r="161" spans="1:6" ht="20.25" customHeight="1">
      <c r="A161" s="123"/>
      <c r="B161" s="124"/>
      <c r="C161" s="128"/>
      <c r="D161" s="158"/>
      <c r="E161" s="126"/>
      <c r="F161" s="130">
        <v>60300</v>
      </c>
    </row>
    <row r="162" spans="1:6" ht="20.25" customHeight="1">
      <c r="A162" s="120"/>
      <c r="B162" s="120"/>
      <c r="C162" s="120"/>
      <c r="D162" s="1237"/>
      <c r="E162" s="1237"/>
      <c r="F162" s="1237"/>
    </row>
    <row r="165" spans="1:6" ht="20.25" customHeight="1">
      <c r="A165" s="133"/>
      <c r="B165" s="134"/>
      <c r="C165" s="135" t="s">
        <v>5073</v>
      </c>
      <c r="D165" s="136"/>
      <c r="E165" s="137"/>
      <c r="F165" s="138"/>
    </row>
    <row r="166" spans="1:6" ht="20.25" customHeight="1">
      <c r="A166" s="133"/>
      <c r="B166" s="134"/>
      <c r="C166" s="139" t="s">
        <v>5074</v>
      </c>
      <c r="D166" s="136"/>
      <c r="E166" s="137"/>
      <c r="F166" s="133"/>
    </row>
    <row r="167" spans="1:6" ht="20.25" customHeight="1">
      <c r="A167" s="133"/>
      <c r="B167" s="134"/>
      <c r="C167" s="140" t="s">
        <v>4141</v>
      </c>
      <c r="D167" s="136"/>
      <c r="E167" s="137"/>
      <c r="F167" s="133"/>
    </row>
    <row r="168" spans="1:6" ht="20.25" customHeight="1">
      <c r="A168" s="133"/>
      <c r="B168" s="134"/>
      <c r="C168" s="139" t="s">
        <v>5086</v>
      </c>
      <c r="D168" s="141">
        <f>4.5*6.42*2</f>
        <v>57.78</v>
      </c>
      <c r="E168" s="142"/>
      <c r="F168" s="143"/>
    </row>
    <row r="169" spans="1:6" ht="20.25" customHeight="1">
      <c r="A169" s="133"/>
      <c r="B169" s="134"/>
      <c r="C169" s="139" t="s">
        <v>5087</v>
      </c>
      <c r="D169" s="141">
        <f>4.5*1*2</f>
        <v>9</v>
      </c>
      <c r="E169" s="142">
        <f>5/12</f>
        <v>0.42</v>
      </c>
      <c r="F169" s="143"/>
    </row>
    <row r="170" spans="1:6" ht="20.25" customHeight="1">
      <c r="A170" s="133"/>
      <c r="B170" s="134"/>
      <c r="C170" s="139" t="s">
        <v>5088</v>
      </c>
      <c r="D170" s="141">
        <f>4.5*1*2</f>
        <v>9</v>
      </c>
      <c r="E170" s="142"/>
      <c r="F170" s="143"/>
    </row>
    <row r="171" spans="1:6" ht="20.25" customHeight="1">
      <c r="A171" s="133"/>
      <c r="B171" s="134"/>
      <c r="C171" s="139" t="s">
        <v>4819</v>
      </c>
      <c r="D171" s="141">
        <f>6.42*1*2</f>
        <v>12.84</v>
      </c>
      <c r="E171" s="142"/>
      <c r="F171" s="143"/>
    </row>
    <row r="172" spans="1:6" ht="20.25" customHeight="1">
      <c r="A172" s="133"/>
      <c r="B172" s="134"/>
      <c r="C172" s="139" t="s">
        <v>4818</v>
      </c>
      <c r="D172" s="141">
        <f>SUM(D168:D171)</f>
        <v>88.62</v>
      </c>
      <c r="E172" s="142"/>
      <c r="F172" s="143"/>
    </row>
    <row r="173" spans="1:6" ht="20.25" customHeight="1">
      <c r="A173" s="133"/>
      <c r="B173" s="134"/>
      <c r="C173" s="140"/>
      <c r="D173" s="141">
        <f>D172*10%</f>
        <v>8.86</v>
      </c>
      <c r="E173" s="142"/>
      <c r="F173" s="143"/>
    </row>
    <row r="174" spans="1:6" ht="20.25" customHeight="1">
      <c r="A174" s="133"/>
      <c r="B174" s="134"/>
      <c r="C174" s="139" t="s">
        <v>4817</v>
      </c>
      <c r="D174" s="141">
        <f>SUM(D172:D173)</f>
        <v>97.48</v>
      </c>
      <c r="E174" s="142"/>
      <c r="F174" s="143"/>
    </row>
    <row r="175" spans="1:6" ht="20.25" customHeight="1">
      <c r="A175" s="144"/>
      <c r="B175" s="134"/>
      <c r="C175" s="140" t="s">
        <v>4816</v>
      </c>
      <c r="D175" s="141">
        <f>D174*1.17</f>
        <v>114.05</v>
      </c>
      <c r="E175" s="142"/>
      <c r="F175" s="143"/>
    </row>
    <row r="176" spans="1:6" ht="20.25" customHeight="1">
      <c r="A176" s="133"/>
      <c r="B176" s="134"/>
      <c r="C176" s="139" t="s">
        <v>5167</v>
      </c>
      <c r="D176" s="136"/>
      <c r="E176" s="137"/>
      <c r="F176" s="133"/>
    </row>
    <row r="177" spans="1:6" ht="20.25" customHeight="1">
      <c r="A177" s="133"/>
      <c r="B177" s="134"/>
      <c r="C177" s="139"/>
      <c r="D177" s="136"/>
      <c r="E177" s="137"/>
      <c r="F177" s="133"/>
    </row>
    <row r="178" spans="1:6" ht="20.25" customHeight="1">
      <c r="A178" s="133">
        <v>117.37</v>
      </c>
      <c r="B178" s="134" t="s">
        <v>909</v>
      </c>
      <c r="C178" s="139" t="s">
        <v>5075</v>
      </c>
      <c r="D178" s="136">
        <f>D16</f>
        <v>57.6</v>
      </c>
      <c r="E178" s="137" t="s">
        <v>909</v>
      </c>
      <c r="F178" s="133">
        <f>D178*A178</f>
        <v>6760.51</v>
      </c>
    </row>
    <row r="179" spans="1:6" ht="20.25" customHeight="1">
      <c r="A179" s="144"/>
      <c r="B179" s="134"/>
      <c r="C179" s="140" t="s">
        <v>4149</v>
      </c>
      <c r="D179" s="136"/>
      <c r="E179" s="137"/>
      <c r="F179" s="133"/>
    </row>
    <row r="180" spans="1:6" ht="20.25" customHeight="1">
      <c r="A180" s="133"/>
      <c r="B180" s="134"/>
      <c r="C180" s="139" t="s">
        <v>4150</v>
      </c>
      <c r="D180" s="136"/>
      <c r="E180" s="137"/>
      <c r="F180" s="133"/>
    </row>
    <row r="181" spans="1:6" ht="20.25" customHeight="1">
      <c r="A181" s="133"/>
      <c r="B181" s="134"/>
      <c r="C181" s="139" t="s">
        <v>4815</v>
      </c>
      <c r="D181" s="136"/>
      <c r="E181" s="137"/>
      <c r="F181" s="133"/>
    </row>
    <row r="182" spans="1:6" ht="20.25" customHeight="1">
      <c r="A182" s="133"/>
      <c r="B182" s="134"/>
      <c r="C182" s="139" t="s">
        <v>4152</v>
      </c>
      <c r="D182" s="136"/>
      <c r="E182" s="137"/>
      <c r="F182" s="133"/>
    </row>
    <row r="183" spans="1:6" ht="20.25" customHeight="1">
      <c r="A183" s="133"/>
      <c r="B183" s="134"/>
      <c r="C183" s="139" t="s">
        <v>4814</v>
      </c>
      <c r="D183" s="136"/>
      <c r="E183" s="137"/>
      <c r="F183" s="133"/>
    </row>
    <row r="184" spans="1:6" ht="20.25" customHeight="1">
      <c r="A184" s="133"/>
      <c r="B184" s="134"/>
      <c r="C184" s="139" t="s">
        <v>4813</v>
      </c>
      <c r="D184" s="136"/>
      <c r="E184" s="137"/>
      <c r="F184" s="133"/>
    </row>
    <row r="185" spans="1:6" ht="20.25" customHeight="1">
      <c r="A185" s="133"/>
      <c r="B185" s="134"/>
      <c r="C185" s="139" t="s">
        <v>4812</v>
      </c>
      <c r="D185" s="136"/>
      <c r="E185" s="137"/>
      <c r="F185" s="133"/>
    </row>
    <row r="186" spans="1:6" ht="20.25" customHeight="1">
      <c r="A186" s="133"/>
      <c r="B186" s="134"/>
      <c r="C186" s="139" t="s">
        <v>4811</v>
      </c>
      <c r="D186" s="136"/>
      <c r="E186" s="137"/>
      <c r="F186" s="133"/>
    </row>
    <row r="187" spans="1:6" ht="20.25" customHeight="1">
      <c r="A187" s="133">
        <v>67.23</v>
      </c>
      <c r="B187" s="134" t="s">
        <v>909</v>
      </c>
      <c r="C187" s="139" t="s">
        <v>5076</v>
      </c>
      <c r="D187" s="136">
        <f>D178</f>
        <v>57.6</v>
      </c>
      <c r="E187" s="137" t="s">
        <v>909</v>
      </c>
      <c r="F187" s="133">
        <f>SUM(A187*D187)</f>
        <v>3872.45</v>
      </c>
    </row>
    <row r="188" spans="1:6" ht="20.25" customHeight="1">
      <c r="A188" s="133"/>
      <c r="B188" s="134"/>
      <c r="C188" s="140" t="s">
        <v>4158</v>
      </c>
      <c r="D188" s="136"/>
      <c r="E188" s="137"/>
      <c r="F188" s="133"/>
    </row>
    <row r="189" spans="1:6" ht="20.25" customHeight="1">
      <c r="A189" s="133"/>
      <c r="B189" s="134"/>
      <c r="C189" s="139" t="s">
        <v>4159</v>
      </c>
      <c r="D189" s="136"/>
      <c r="E189" s="137"/>
      <c r="F189" s="133"/>
    </row>
    <row r="190" spans="1:6" ht="20.25" customHeight="1">
      <c r="A190" s="133"/>
      <c r="B190" s="134"/>
      <c r="C190" s="139" t="s">
        <v>4160</v>
      </c>
      <c r="D190" s="136"/>
      <c r="E190" s="137"/>
      <c r="F190" s="133"/>
    </row>
    <row r="191" spans="1:6" ht="20.25" customHeight="1">
      <c r="A191" s="133"/>
      <c r="B191" s="134"/>
      <c r="C191" s="139" t="s">
        <v>5077</v>
      </c>
      <c r="D191" s="136"/>
      <c r="E191" s="137"/>
      <c r="F191" s="133"/>
    </row>
    <row r="192" spans="1:6" ht="20.25" customHeight="1">
      <c r="A192" s="133"/>
      <c r="B192" s="134"/>
      <c r="C192" s="139" t="s">
        <v>4162</v>
      </c>
      <c r="D192" s="136"/>
      <c r="E192" s="137"/>
      <c r="F192" s="133"/>
    </row>
    <row r="193" spans="1:6" ht="20.25" customHeight="1">
      <c r="A193" s="133"/>
      <c r="B193" s="134"/>
      <c r="C193" s="139" t="s">
        <v>4163</v>
      </c>
      <c r="D193" s="136"/>
      <c r="E193" s="137"/>
      <c r="F193" s="133"/>
    </row>
    <row r="194" spans="1:6" ht="20.25" customHeight="1">
      <c r="A194" s="133"/>
      <c r="B194" s="134"/>
      <c r="C194" s="139" t="s">
        <v>4164</v>
      </c>
      <c r="D194" s="136"/>
      <c r="E194" s="137"/>
      <c r="F194" s="133"/>
    </row>
    <row r="195" spans="1:6" ht="20.25" customHeight="1">
      <c r="A195" s="133"/>
      <c r="B195" s="134"/>
      <c r="C195" s="139" t="s">
        <v>5078</v>
      </c>
      <c r="D195" s="136"/>
      <c r="E195" s="137"/>
      <c r="F195" s="133"/>
    </row>
    <row r="196" spans="1:6" ht="20.25" customHeight="1">
      <c r="A196" s="133"/>
      <c r="B196" s="134"/>
      <c r="C196" s="139" t="s">
        <v>4166</v>
      </c>
      <c r="D196" s="136"/>
      <c r="E196" s="137"/>
      <c r="F196" s="133"/>
    </row>
    <row r="197" spans="1:6" ht="20.25" customHeight="1">
      <c r="A197" s="133"/>
      <c r="B197" s="134"/>
      <c r="C197" s="139" t="s">
        <v>4167</v>
      </c>
      <c r="D197" s="136"/>
      <c r="E197" s="137"/>
      <c r="F197" s="133"/>
    </row>
    <row r="198" spans="1:6" ht="20.25" customHeight="1">
      <c r="A198" s="133"/>
      <c r="B198" s="134"/>
      <c r="C198" s="139" t="s">
        <v>4168</v>
      </c>
      <c r="D198" s="136"/>
      <c r="E198" s="137"/>
      <c r="F198" s="133"/>
    </row>
    <row r="199" spans="1:6" ht="20.25" customHeight="1">
      <c r="A199" s="133"/>
      <c r="B199" s="134"/>
      <c r="C199" s="139"/>
      <c r="D199" s="136"/>
      <c r="E199" s="137"/>
      <c r="F199" s="133"/>
    </row>
    <row r="200" spans="1:6" ht="20.25" customHeight="1">
      <c r="A200" s="133"/>
      <c r="B200" s="134"/>
      <c r="C200" s="139" t="s">
        <v>5079</v>
      </c>
      <c r="D200" s="136"/>
      <c r="E200" s="137"/>
      <c r="F200" s="133"/>
    </row>
    <row r="201" spans="1:6" ht="20.25" customHeight="1">
      <c r="A201" s="133"/>
      <c r="B201" s="134"/>
      <c r="C201" s="139"/>
      <c r="D201" s="136"/>
      <c r="E201" s="137"/>
      <c r="F201" s="133"/>
    </row>
    <row r="202" spans="1:6" ht="20.25" customHeight="1">
      <c r="A202" s="133">
        <v>6.2</v>
      </c>
      <c r="B202" s="134" t="s">
        <v>909</v>
      </c>
      <c r="C202" s="139" t="s">
        <v>5080</v>
      </c>
      <c r="D202" s="136">
        <f>D122</f>
        <v>562</v>
      </c>
      <c r="E202" s="137" t="s">
        <v>909</v>
      </c>
      <c r="F202" s="133">
        <f>SUM(A202*D202)</f>
        <v>3484.4</v>
      </c>
    </row>
    <row r="203" spans="1:6" ht="20.25" customHeight="1">
      <c r="A203" s="133">
        <v>6.2</v>
      </c>
      <c r="B203" s="134" t="s">
        <v>909</v>
      </c>
      <c r="C203" s="139" t="s">
        <v>5081</v>
      </c>
      <c r="D203" s="136">
        <f>D123</f>
        <v>10</v>
      </c>
      <c r="E203" s="137" t="s">
        <v>909</v>
      </c>
      <c r="F203" s="133">
        <f>SUM(A203*D203)</f>
        <v>62</v>
      </c>
    </row>
    <row r="204" spans="1:6" ht="20.25" customHeight="1">
      <c r="A204" s="133"/>
      <c r="B204" s="134"/>
      <c r="C204" s="139"/>
      <c r="D204" s="136">
        <f t="shared" ref="D204:D209" si="9">D124</f>
        <v>0</v>
      </c>
      <c r="E204" s="137"/>
      <c r="F204" s="133"/>
    </row>
    <row r="205" spans="1:6" ht="20.25" customHeight="1">
      <c r="A205" s="133"/>
      <c r="B205" s="134"/>
      <c r="C205" s="140" t="s">
        <v>4171</v>
      </c>
      <c r="D205" s="136">
        <f t="shared" si="9"/>
        <v>0</v>
      </c>
      <c r="E205" s="137"/>
      <c r="F205" s="133"/>
    </row>
    <row r="206" spans="1:6" ht="20.25" customHeight="1">
      <c r="A206" s="133"/>
      <c r="B206" s="134"/>
      <c r="C206" s="139" t="s">
        <v>4172</v>
      </c>
      <c r="D206" s="136">
        <f t="shared" si="9"/>
        <v>0</v>
      </c>
      <c r="E206" s="137"/>
      <c r="F206" s="133"/>
    </row>
    <row r="207" spans="1:6" ht="20.25" customHeight="1">
      <c r="A207" s="133"/>
      <c r="B207" s="134"/>
      <c r="C207" s="139" t="s">
        <v>5082</v>
      </c>
      <c r="D207" s="136">
        <f t="shared" si="9"/>
        <v>0</v>
      </c>
      <c r="E207" s="137"/>
      <c r="F207" s="133"/>
    </row>
    <row r="208" spans="1:6" ht="20.25" customHeight="1">
      <c r="A208" s="133"/>
      <c r="B208" s="134"/>
      <c r="C208" s="139" t="s">
        <v>5083</v>
      </c>
      <c r="D208" s="136">
        <f t="shared" si="9"/>
        <v>0</v>
      </c>
      <c r="E208" s="137"/>
      <c r="F208" s="133"/>
    </row>
    <row r="209" spans="1:6" ht="20.25" customHeight="1">
      <c r="A209" s="133">
        <v>4.4400000000000004</v>
      </c>
      <c r="B209" s="134" t="s">
        <v>823</v>
      </c>
      <c r="C209" s="139" t="str">
        <f>C48</f>
        <v>25mm x3mm Gi flat [SR 2022-23 / P.151]</v>
      </c>
      <c r="D209" s="136">
        <f t="shared" si="9"/>
        <v>115</v>
      </c>
      <c r="E209" s="137" t="s">
        <v>823</v>
      </c>
      <c r="F209" s="133">
        <f>D209*A209</f>
        <v>510.6</v>
      </c>
    </row>
    <row r="210" spans="1:6" ht="20.25" customHeight="1">
      <c r="A210" s="133"/>
      <c r="B210" s="134"/>
      <c r="C210" s="139">
        <f>C49</f>
        <v>0</v>
      </c>
      <c r="D210" s="136"/>
      <c r="E210" s="137"/>
      <c r="F210" s="133"/>
    </row>
    <row r="211" spans="1:6" ht="20.25" customHeight="1">
      <c r="A211" s="133"/>
      <c r="B211" s="134"/>
      <c r="C211" s="140" t="str">
        <f>C50</f>
        <v>Incomers &amp; outgoings</v>
      </c>
      <c r="D211" s="136"/>
      <c r="E211" s="137"/>
      <c r="F211" s="133"/>
    </row>
    <row r="212" spans="1:6" ht="20.25" customHeight="1">
      <c r="A212" s="133">
        <v>3</v>
      </c>
      <c r="B212" s="134" t="s">
        <v>1026</v>
      </c>
      <c r="C212" s="139" t="s">
        <v>5084</v>
      </c>
      <c r="D212" s="136">
        <v>753</v>
      </c>
      <c r="E212" s="137" t="s">
        <v>1393</v>
      </c>
      <c r="F212" s="133">
        <f>D212*A212</f>
        <v>2259</v>
      </c>
    </row>
    <row r="213" spans="1:6" ht="20.25" customHeight="1">
      <c r="A213" s="133">
        <v>1</v>
      </c>
      <c r="B213" s="134" t="s">
        <v>1026</v>
      </c>
      <c r="C213" s="139" t="str">
        <f t="shared" ref="C213:D216" si="10">C52</f>
        <v xml:space="preserve">100 A neutral link SD -130 </v>
      </c>
      <c r="D213" s="136">
        <f t="shared" si="10"/>
        <v>77.599999999999994</v>
      </c>
      <c r="E213" s="137" t="s">
        <v>1393</v>
      </c>
      <c r="F213" s="133">
        <f t="shared" ref="F213:F219" si="11">SUM(A213*D213)</f>
        <v>77.599999999999994</v>
      </c>
    </row>
    <row r="214" spans="1:6" ht="20.25" customHeight="1">
      <c r="A214" s="133">
        <v>12</v>
      </c>
      <c r="B214" s="134" t="s">
        <v>1026</v>
      </c>
      <c r="C214" s="139" t="str">
        <f t="shared" si="10"/>
        <v>63 A fuse units ( 500 V) [SR 2022-23 / P.120]</v>
      </c>
      <c r="D214" s="136">
        <f t="shared" si="10"/>
        <v>190.2</v>
      </c>
      <c r="E214" s="137" t="s">
        <v>1393</v>
      </c>
      <c r="F214" s="133">
        <f t="shared" si="11"/>
        <v>2282.4</v>
      </c>
    </row>
    <row r="215" spans="1:6" ht="20.25" customHeight="1">
      <c r="A215" s="133">
        <v>1</v>
      </c>
      <c r="B215" s="134" t="s">
        <v>557</v>
      </c>
      <c r="C215" s="139" t="str">
        <f t="shared" si="10"/>
        <v>32 A fuse units ( 500 V)  [SR 2022-23 / P.120]</v>
      </c>
      <c r="D215" s="136">
        <f t="shared" si="10"/>
        <v>85.2</v>
      </c>
      <c r="E215" s="137" t="s">
        <v>1393</v>
      </c>
      <c r="F215" s="133">
        <f t="shared" si="11"/>
        <v>85.2</v>
      </c>
    </row>
    <row r="216" spans="1:6" ht="20.25" customHeight="1">
      <c r="A216" s="133">
        <v>5</v>
      </c>
      <c r="B216" s="134" t="s">
        <v>1026</v>
      </c>
      <c r="C216" s="139" t="str">
        <f t="shared" si="10"/>
        <v xml:space="preserve">63 A netural link SD -129 </v>
      </c>
      <c r="D216" s="136">
        <f t="shared" si="10"/>
        <v>67.8</v>
      </c>
      <c r="E216" s="137" t="s">
        <v>1393</v>
      </c>
      <c r="F216" s="133">
        <f t="shared" si="11"/>
        <v>339</v>
      </c>
    </row>
    <row r="217" spans="1:6" ht="20.25" customHeight="1">
      <c r="A217" s="133">
        <v>4</v>
      </c>
      <c r="B217" s="134" t="s">
        <v>1026</v>
      </c>
      <c r="C217" s="139" t="s">
        <v>5531</v>
      </c>
      <c r="D217" s="136">
        <v>843</v>
      </c>
      <c r="E217" s="137" t="s">
        <v>1393</v>
      </c>
      <c r="F217" s="133">
        <f t="shared" si="11"/>
        <v>3372</v>
      </c>
    </row>
    <row r="218" spans="1:6" ht="20.25" customHeight="1">
      <c r="A218" s="133">
        <v>1</v>
      </c>
      <c r="B218" s="134" t="s">
        <v>557</v>
      </c>
      <c r="C218" s="139" t="s">
        <v>5532</v>
      </c>
      <c r="D218" s="136">
        <v>428</v>
      </c>
      <c r="E218" s="137" t="s">
        <v>1393</v>
      </c>
      <c r="F218" s="133">
        <f t="shared" si="11"/>
        <v>428</v>
      </c>
    </row>
    <row r="219" spans="1:6" ht="20.25" customHeight="1">
      <c r="A219" s="176">
        <v>515</v>
      </c>
      <c r="B219" s="137" t="s">
        <v>4177</v>
      </c>
      <c r="C219" s="139" t="s">
        <v>5063</v>
      </c>
      <c r="D219" s="136">
        <f>D60</f>
        <v>1</v>
      </c>
      <c r="E219" s="137" t="s">
        <v>4177</v>
      </c>
      <c r="F219" s="133">
        <f t="shared" si="11"/>
        <v>515</v>
      </c>
    </row>
    <row r="220" spans="1:6" ht="20.25" customHeight="1">
      <c r="A220" s="133"/>
      <c r="B220" s="134"/>
      <c r="C220" s="139" t="s">
        <v>4179</v>
      </c>
      <c r="D220" s="136">
        <f>D61</f>
        <v>0</v>
      </c>
      <c r="E220" s="137"/>
      <c r="F220" s="133"/>
    </row>
    <row r="221" spans="1:6" ht="20.25" customHeight="1">
      <c r="A221" s="133">
        <v>1.27</v>
      </c>
      <c r="B221" s="134" t="s">
        <v>5120</v>
      </c>
      <c r="C221" s="139" t="s">
        <v>5066</v>
      </c>
      <c r="D221" s="136">
        <f t="shared" ref="D221:D228" si="12">D64</f>
        <v>1322</v>
      </c>
      <c r="E221" s="177" t="s">
        <v>5120</v>
      </c>
      <c r="F221" s="133">
        <f t="shared" ref="F221:F228" si="13">SUM(A221*D221)</f>
        <v>1678.94</v>
      </c>
    </row>
    <row r="222" spans="1:6" ht="20.25" customHeight="1">
      <c r="A222" s="133">
        <v>12</v>
      </c>
      <c r="B222" s="134" t="s">
        <v>1427</v>
      </c>
      <c r="C222" s="139" t="s">
        <v>5067</v>
      </c>
      <c r="D222" s="136">
        <f t="shared" si="12"/>
        <v>20</v>
      </c>
      <c r="E222" s="137" t="s">
        <v>1706</v>
      </c>
      <c r="F222" s="133">
        <f t="shared" si="13"/>
        <v>240</v>
      </c>
    </row>
    <row r="223" spans="1:6" ht="20.25" customHeight="1">
      <c r="A223" s="133">
        <v>1</v>
      </c>
      <c r="B223" s="134" t="s">
        <v>145</v>
      </c>
      <c r="C223" s="139" t="s">
        <v>5068</v>
      </c>
      <c r="D223" s="136">
        <f t="shared" si="12"/>
        <v>280</v>
      </c>
      <c r="E223" s="137" t="s">
        <v>145</v>
      </c>
      <c r="F223" s="133">
        <f t="shared" si="13"/>
        <v>280</v>
      </c>
    </row>
    <row r="224" spans="1:6" ht="20.25" customHeight="1">
      <c r="A224" s="133">
        <v>5</v>
      </c>
      <c r="B224" s="134" t="s">
        <v>3430</v>
      </c>
      <c r="C224" s="139" t="s">
        <v>5069</v>
      </c>
      <c r="D224" s="136">
        <f t="shared" si="12"/>
        <v>10.45</v>
      </c>
      <c r="E224" s="177" t="s">
        <v>3430</v>
      </c>
      <c r="F224" s="133">
        <f t="shared" si="13"/>
        <v>52.25</v>
      </c>
    </row>
    <row r="225" spans="1:6" ht="20.25" customHeight="1">
      <c r="A225" s="133">
        <f>117.37+67.23</f>
        <v>184.6</v>
      </c>
      <c r="B225" s="134" t="s">
        <v>909</v>
      </c>
      <c r="C225" s="139" t="s">
        <v>5070</v>
      </c>
      <c r="D225" s="136">
        <f t="shared" si="12"/>
        <v>52.5</v>
      </c>
      <c r="E225" s="177" t="s">
        <v>909</v>
      </c>
      <c r="F225" s="133">
        <f t="shared" si="13"/>
        <v>9691.5</v>
      </c>
    </row>
    <row r="226" spans="1:6" ht="20.25" customHeight="1">
      <c r="A226" s="133">
        <v>6</v>
      </c>
      <c r="B226" s="134" t="s">
        <v>1427</v>
      </c>
      <c r="C226" s="139" t="s">
        <v>5071</v>
      </c>
      <c r="D226" s="136">
        <f t="shared" si="12"/>
        <v>1086</v>
      </c>
      <c r="E226" s="177" t="s">
        <v>1706</v>
      </c>
      <c r="F226" s="133">
        <f t="shared" si="13"/>
        <v>6516</v>
      </c>
    </row>
    <row r="227" spans="1:6" ht="20.25" customHeight="1">
      <c r="A227" s="133">
        <v>182.4</v>
      </c>
      <c r="B227" s="134" t="s">
        <v>4184</v>
      </c>
      <c r="C227" s="139" t="s">
        <v>5072</v>
      </c>
      <c r="D227" s="136">
        <f t="shared" si="12"/>
        <v>10</v>
      </c>
      <c r="E227" s="177" t="s">
        <v>4186</v>
      </c>
      <c r="F227" s="133">
        <f t="shared" si="13"/>
        <v>1824</v>
      </c>
    </row>
    <row r="228" spans="1:6" ht="20.25" customHeight="1">
      <c r="A228" s="144">
        <v>36</v>
      </c>
      <c r="B228" s="134" t="s">
        <v>4187</v>
      </c>
      <c r="C228" s="139" t="s">
        <v>5085</v>
      </c>
      <c r="D228" s="136">
        <f t="shared" si="12"/>
        <v>60.65</v>
      </c>
      <c r="E228" s="178" t="s">
        <v>4188</v>
      </c>
      <c r="F228" s="133">
        <f t="shared" si="13"/>
        <v>2183.4</v>
      </c>
    </row>
    <row r="229" spans="1:6" ht="20.25" customHeight="1">
      <c r="A229" s="133"/>
      <c r="B229" s="134"/>
      <c r="C229" s="139" t="s">
        <v>4189</v>
      </c>
      <c r="D229" s="136"/>
      <c r="E229" s="137"/>
      <c r="F229" s="133">
        <v>200</v>
      </c>
    </row>
    <row r="230" spans="1:6" ht="20.25" customHeight="1">
      <c r="A230" s="133"/>
      <c r="B230" s="134"/>
      <c r="C230" s="139"/>
      <c r="D230" s="136" t="s">
        <v>2235</v>
      </c>
      <c r="E230" s="137"/>
      <c r="F230" s="138">
        <f>SUM(F178:F229)</f>
        <v>46714.25</v>
      </c>
    </row>
    <row r="231" spans="1:6" ht="20.25" customHeight="1">
      <c r="A231" s="133"/>
      <c r="B231" s="134"/>
      <c r="C231" s="139" t="s">
        <v>4190</v>
      </c>
      <c r="D231" s="136"/>
      <c r="E231" s="137"/>
      <c r="F231" s="133">
        <f>F230*2/100</f>
        <v>934.29</v>
      </c>
    </row>
    <row r="232" spans="1:6" ht="20.25" customHeight="1">
      <c r="A232" s="133"/>
      <c r="B232" s="134"/>
      <c r="C232" s="139"/>
      <c r="D232" s="136"/>
      <c r="E232" s="137"/>
      <c r="F232" s="138">
        <f>SUM(F230:F231)</f>
        <v>47648.54</v>
      </c>
    </row>
    <row r="233" spans="1:6" ht="20.25" customHeight="1">
      <c r="A233" s="133"/>
      <c r="B233" s="134"/>
      <c r="C233" s="140"/>
      <c r="D233" s="136"/>
      <c r="E233" s="137"/>
      <c r="F233" s="133"/>
    </row>
    <row r="234" spans="1:6" ht="20.25" customHeight="1">
      <c r="A234" s="133"/>
      <c r="B234" s="134"/>
      <c r="C234" s="139" t="s">
        <v>4191</v>
      </c>
      <c r="D234" s="136"/>
      <c r="E234" s="137"/>
      <c r="F234" s="133">
        <v>1500</v>
      </c>
    </row>
    <row r="235" spans="1:6" ht="20.25" customHeight="1">
      <c r="A235" s="133"/>
      <c r="B235" s="134"/>
      <c r="C235" s="139" t="s">
        <v>4192</v>
      </c>
      <c r="D235" s="136"/>
      <c r="E235" s="137"/>
      <c r="F235" s="133">
        <v>1000</v>
      </c>
    </row>
    <row r="236" spans="1:6" ht="20.25" customHeight="1">
      <c r="A236" s="133"/>
      <c r="B236" s="134"/>
      <c r="C236" s="139"/>
      <c r="D236" s="136"/>
      <c r="E236" s="137"/>
      <c r="F236" s="138">
        <f>SUM(F232:F235)</f>
        <v>50148.54</v>
      </c>
    </row>
    <row r="237" spans="1:6" ht="20.25" customHeight="1">
      <c r="A237" s="133"/>
      <c r="B237" s="134"/>
      <c r="C237" s="139"/>
      <c r="D237" s="136"/>
      <c r="E237" s="137"/>
      <c r="F237" s="133" t="s">
        <v>4193</v>
      </c>
    </row>
    <row r="238" spans="1:6" ht="20.25" customHeight="1">
      <c r="A238" s="133"/>
      <c r="B238" s="134"/>
      <c r="C238" s="139"/>
      <c r="D238" s="136"/>
      <c r="E238" s="137"/>
      <c r="F238" s="138">
        <v>46900</v>
      </c>
    </row>
    <row r="239" spans="1:6" ht="20.25" customHeight="1">
      <c r="D239" s="1236" t="s">
        <v>971</v>
      </c>
      <c r="E239" s="1236"/>
      <c r="F239" s="1236"/>
    </row>
    <row r="244" spans="1:6" ht="20.25" customHeight="1">
      <c r="A244" s="182"/>
      <c r="B244" s="182"/>
      <c r="C244" s="181" t="s">
        <v>5117</v>
      </c>
      <c r="D244" s="183"/>
      <c r="E244" s="182"/>
      <c r="F244" s="182"/>
    </row>
    <row r="245" spans="1:6" ht="20.25" customHeight="1">
      <c r="A245" s="123"/>
      <c r="B245" s="124"/>
      <c r="C245" s="125" t="s">
        <v>5091</v>
      </c>
      <c r="D245" s="123"/>
      <c r="E245" s="126"/>
      <c r="F245" s="123"/>
    </row>
    <row r="246" spans="1:6" ht="20.25" customHeight="1">
      <c r="A246" s="123"/>
      <c r="B246" s="124"/>
      <c r="C246" s="127" t="s">
        <v>5092</v>
      </c>
      <c r="D246" s="123"/>
      <c r="E246" s="126"/>
      <c r="F246" s="123"/>
    </row>
    <row r="247" spans="1:6" ht="20.25" customHeight="1">
      <c r="A247" s="123"/>
      <c r="B247" s="124"/>
      <c r="C247" s="127" t="s">
        <v>4141</v>
      </c>
      <c r="D247" s="123"/>
      <c r="E247" s="126"/>
      <c r="F247" s="123"/>
    </row>
    <row r="248" spans="1:6" ht="20.25" customHeight="1">
      <c r="A248" s="123"/>
      <c r="B248" s="124"/>
      <c r="C248" s="128" t="s">
        <v>5093</v>
      </c>
      <c r="D248" s="123"/>
      <c r="E248" s="126"/>
      <c r="F248" s="123"/>
    </row>
    <row r="249" spans="1:6" ht="20.25" customHeight="1">
      <c r="A249" s="123"/>
      <c r="B249" s="124"/>
      <c r="C249" s="128" t="s">
        <v>5094</v>
      </c>
      <c r="D249" s="123"/>
      <c r="E249" s="126"/>
      <c r="F249" s="123"/>
    </row>
    <row r="250" spans="1:6" ht="20.25" customHeight="1">
      <c r="A250" s="123"/>
      <c r="B250" s="124"/>
      <c r="C250" s="128" t="s">
        <v>5095</v>
      </c>
      <c r="D250" s="123"/>
      <c r="E250" s="126"/>
      <c r="F250" s="123"/>
    </row>
    <row r="251" spans="1:6" ht="20.25" customHeight="1">
      <c r="A251" s="123"/>
      <c r="B251" s="124"/>
      <c r="C251" s="128" t="s">
        <v>5096</v>
      </c>
      <c r="D251" s="123"/>
      <c r="E251" s="126"/>
      <c r="F251" s="123"/>
    </row>
    <row r="252" spans="1:6" ht="20.25" customHeight="1">
      <c r="A252" s="123"/>
      <c r="B252" s="124"/>
      <c r="C252" s="127" t="s">
        <v>5097</v>
      </c>
      <c r="D252" s="123"/>
      <c r="E252" s="126"/>
      <c r="F252" s="123"/>
    </row>
    <row r="253" spans="1:6" ht="20.25" customHeight="1">
      <c r="A253" s="123"/>
      <c r="B253" s="124"/>
      <c r="C253" s="128" t="s">
        <v>5098</v>
      </c>
      <c r="D253" s="123"/>
      <c r="E253" s="126"/>
      <c r="F253" s="123"/>
    </row>
    <row r="254" spans="1:6" ht="20.25" customHeight="1">
      <c r="A254" s="123"/>
      <c r="B254" s="124"/>
      <c r="C254" s="127" t="s">
        <v>5099</v>
      </c>
      <c r="D254" s="123"/>
      <c r="E254" s="126"/>
      <c r="F254" s="123"/>
    </row>
    <row r="255" spans="1:6" ht="20.25" customHeight="1">
      <c r="A255" s="123"/>
      <c r="B255" s="124"/>
      <c r="C255" s="128" t="s">
        <v>5100</v>
      </c>
      <c r="D255" s="123"/>
      <c r="E255" s="126"/>
      <c r="F255" s="123"/>
    </row>
    <row r="256" spans="1:6" ht="20.25" customHeight="1">
      <c r="A256" s="123">
        <v>328.18</v>
      </c>
      <c r="B256" s="124" t="s">
        <v>909</v>
      </c>
      <c r="C256" s="128" t="s">
        <v>5075</v>
      </c>
      <c r="D256" s="123">
        <f>D178</f>
        <v>57.6</v>
      </c>
      <c r="E256" s="126" t="s">
        <v>909</v>
      </c>
      <c r="F256" s="123">
        <f>SUM(A256*D256)</f>
        <v>18903.169999999998</v>
      </c>
    </row>
    <row r="257" spans="1:6" ht="20.25" customHeight="1">
      <c r="A257" s="123"/>
      <c r="B257" s="124"/>
      <c r="C257" s="127" t="s">
        <v>4149</v>
      </c>
      <c r="D257" s="123"/>
      <c r="E257" s="126"/>
      <c r="F257" s="123"/>
    </row>
    <row r="258" spans="1:6" ht="20.25" customHeight="1">
      <c r="A258" s="123"/>
      <c r="B258" s="124"/>
      <c r="C258" s="128" t="s">
        <v>4150</v>
      </c>
      <c r="D258" s="123"/>
      <c r="E258" s="126"/>
      <c r="F258" s="123"/>
    </row>
    <row r="259" spans="1:6" ht="20.25" customHeight="1">
      <c r="A259" s="123"/>
      <c r="B259" s="124"/>
      <c r="C259" s="128" t="s">
        <v>4815</v>
      </c>
      <c r="D259" s="123"/>
      <c r="E259" s="126"/>
      <c r="F259" s="123"/>
    </row>
    <row r="260" spans="1:6" ht="20.25" customHeight="1">
      <c r="A260" s="123"/>
      <c r="B260" s="124"/>
      <c r="C260" s="128" t="s">
        <v>4152</v>
      </c>
      <c r="D260" s="123"/>
      <c r="E260" s="126"/>
      <c r="F260" s="123"/>
    </row>
    <row r="261" spans="1:6" ht="20.25" customHeight="1">
      <c r="A261" s="123"/>
      <c r="B261" s="124"/>
      <c r="C261" s="128" t="s">
        <v>4814</v>
      </c>
      <c r="D261" s="123"/>
      <c r="E261" s="126"/>
      <c r="F261" s="123"/>
    </row>
    <row r="262" spans="1:6" ht="20.25" customHeight="1">
      <c r="A262" s="123"/>
      <c r="B262" s="124"/>
      <c r="C262" s="128" t="s">
        <v>5101</v>
      </c>
      <c r="D262" s="123"/>
      <c r="E262" s="126"/>
      <c r="F262" s="123"/>
    </row>
    <row r="263" spans="1:6" ht="20.25" customHeight="1">
      <c r="A263" s="123"/>
      <c r="B263" s="124"/>
      <c r="C263" s="128" t="s">
        <v>5102</v>
      </c>
      <c r="D263" s="123"/>
      <c r="E263" s="126"/>
      <c r="F263" s="123"/>
    </row>
    <row r="264" spans="1:6" ht="20.25" customHeight="1">
      <c r="A264" s="123"/>
      <c r="B264" s="124"/>
      <c r="C264" s="128" t="s">
        <v>5103</v>
      </c>
      <c r="D264" s="123"/>
      <c r="E264" s="126"/>
      <c r="F264" s="123"/>
    </row>
    <row r="265" spans="1:6" ht="20.25" customHeight="1">
      <c r="A265" s="123">
        <v>68.400000000000006</v>
      </c>
      <c r="B265" s="124" t="s">
        <v>909</v>
      </c>
      <c r="C265" s="128" t="s">
        <v>4157</v>
      </c>
      <c r="D265" s="123">
        <f>D256</f>
        <v>57.6</v>
      </c>
      <c r="E265" s="126" t="s">
        <v>909</v>
      </c>
      <c r="F265" s="123">
        <f>SUM(A265*D265)</f>
        <v>3939.84</v>
      </c>
    </row>
    <row r="266" spans="1:6" ht="20.25" customHeight="1">
      <c r="A266" s="123"/>
      <c r="B266" s="124"/>
      <c r="C266" s="128"/>
      <c r="D266" s="123"/>
      <c r="E266" s="126"/>
      <c r="F266" s="123"/>
    </row>
    <row r="267" spans="1:6" ht="20.25" customHeight="1">
      <c r="A267" s="123"/>
      <c r="B267" s="124"/>
      <c r="C267" s="127" t="s">
        <v>4158</v>
      </c>
      <c r="D267" s="123"/>
      <c r="E267" s="126"/>
      <c r="F267" s="123"/>
    </row>
    <row r="268" spans="1:6" ht="20.25" customHeight="1">
      <c r="A268" s="123"/>
      <c r="B268" s="124"/>
      <c r="C268" s="128" t="s">
        <v>5104</v>
      </c>
      <c r="D268" s="123"/>
      <c r="E268" s="126"/>
      <c r="F268" s="123"/>
    </row>
    <row r="269" spans="1:6" ht="20.25" customHeight="1">
      <c r="A269" s="123"/>
      <c r="B269" s="124"/>
      <c r="C269" s="128" t="s">
        <v>5105</v>
      </c>
      <c r="D269" s="123"/>
      <c r="E269" s="126"/>
      <c r="F269" s="123"/>
    </row>
    <row r="270" spans="1:6" ht="20.25" customHeight="1">
      <c r="A270" s="123"/>
      <c r="B270" s="124"/>
      <c r="C270" s="128" t="s">
        <v>5106</v>
      </c>
      <c r="D270" s="123"/>
      <c r="E270" s="126"/>
      <c r="F270" s="123"/>
    </row>
    <row r="271" spans="1:6" ht="20.25" customHeight="1">
      <c r="A271" s="123"/>
      <c r="B271" s="124"/>
      <c r="C271" s="128" t="s">
        <v>5107</v>
      </c>
      <c r="D271" s="123"/>
      <c r="E271" s="126"/>
      <c r="F271" s="123"/>
    </row>
    <row r="272" spans="1:6" ht="20.25" customHeight="1">
      <c r="A272" s="123"/>
      <c r="B272" s="124"/>
      <c r="C272" s="128" t="s">
        <v>5108</v>
      </c>
      <c r="D272" s="123"/>
      <c r="E272" s="126"/>
      <c r="F272" s="123"/>
    </row>
    <row r="273" spans="1:6" ht="20.25" customHeight="1">
      <c r="A273" s="123"/>
      <c r="B273" s="124"/>
      <c r="C273" s="128" t="s">
        <v>5109</v>
      </c>
      <c r="D273" s="123"/>
      <c r="E273" s="126"/>
      <c r="F273" s="123"/>
    </row>
    <row r="274" spans="1:6" ht="20.25" customHeight="1">
      <c r="A274" s="123"/>
      <c r="B274" s="124"/>
      <c r="C274" s="128" t="s">
        <v>5110</v>
      </c>
      <c r="D274" s="123"/>
      <c r="E274" s="126"/>
      <c r="F274" s="123"/>
    </row>
    <row r="275" spans="1:6" ht="20.25" customHeight="1">
      <c r="A275" s="123"/>
      <c r="B275" s="124"/>
      <c r="C275" s="128" t="s">
        <v>5111</v>
      </c>
      <c r="D275" s="123"/>
      <c r="E275" s="126"/>
      <c r="F275" s="123"/>
    </row>
    <row r="276" spans="1:6" ht="20.25" customHeight="1">
      <c r="A276" s="123"/>
      <c r="B276" s="124"/>
      <c r="C276" s="128" t="s">
        <v>5112</v>
      </c>
      <c r="D276" s="123"/>
      <c r="E276" s="126"/>
      <c r="F276" s="123"/>
    </row>
    <row r="277" spans="1:6" ht="20.25" customHeight="1">
      <c r="A277" s="123">
        <v>41.64</v>
      </c>
      <c r="B277" s="124" t="s">
        <v>909</v>
      </c>
      <c r="C277" s="139" t="s">
        <v>5054</v>
      </c>
      <c r="D277" s="123">
        <f>D202</f>
        <v>562</v>
      </c>
      <c r="E277" s="126" t="s">
        <v>909</v>
      </c>
      <c r="F277" s="123">
        <f>D277*A277</f>
        <v>23401.68</v>
      </c>
    </row>
    <row r="278" spans="1:6" ht="20.25" customHeight="1">
      <c r="A278" s="123">
        <v>41.64</v>
      </c>
      <c r="B278" s="124" t="s">
        <v>909</v>
      </c>
      <c r="C278" s="128" t="s">
        <v>4170</v>
      </c>
      <c r="D278" s="123">
        <f>D203</f>
        <v>10</v>
      </c>
      <c r="E278" s="126" t="s">
        <v>909</v>
      </c>
      <c r="F278" s="123">
        <f>D278*A278</f>
        <v>416.4</v>
      </c>
    </row>
    <row r="279" spans="1:6" ht="20.25" customHeight="1">
      <c r="A279" s="123">
        <v>2886</v>
      </c>
      <c r="B279" s="124" t="s">
        <v>154</v>
      </c>
      <c r="C279" s="128" t="s">
        <v>4178</v>
      </c>
      <c r="D279" s="123">
        <f>D219</f>
        <v>1</v>
      </c>
      <c r="E279" s="126" t="s">
        <v>4177</v>
      </c>
      <c r="F279" s="123">
        <f>SUM(A279*D279)</f>
        <v>2886</v>
      </c>
    </row>
    <row r="280" spans="1:6" ht="20.25" customHeight="1">
      <c r="A280" s="123">
        <v>3</v>
      </c>
      <c r="B280" s="124" t="s">
        <v>557</v>
      </c>
      <c r="C280" s="128" t="s">
        <v>5118</v>
      </c>
      <c r="D280" s="123">
        <v>1700</v>
      </c>
      <c r="E280" s="126" t="s">
        <v>1706</v>
      </c>
      <c r="F280" s="123">
        <f>SUM(A280*D280)</f>
        <v>5100</v>
      </c>
    </row>
    <row r="281" spans="1:6" ht="20.25" customHeight="1">
      <c r="A281" s="123">
        <v>22</v>
      </c>
      <c r="B281" s="124" t="s">
        <v>1026</v>
      </c>
      <c r="C281" s="128" t="s">
        <v>5533</v>
      </c>
      <c r="D281" s="123">
        <v>1299</v>
      </c>
      <c r="E281" s="126" t="s">
        <v>1706</v>
      </c>
      <c r="F281" s="123">
        <f>SUM(A281*D281)</f>
        <v>28578</v>
      </c>
    </row>
    <row r="282" spans="1:6" ht="20.25" customHeight="1">
      <c r="A282" s="123">
        <v>66</v>
      </c>
      <c r="B282" s="124" t="s">
        <v>1026</v>
      </c>
      <c r="C282" s="128" t="s">
        <v>5535</v>
      </c>
      <c r="D282" s="158">
        <f>D134</f>
        <v>190.2</v>
      </c>
      <c r="E282" s="126" t="s">
        <v>1706</v>
      </c>
      <c r="F282" s="123">
        <f>D282*A282</f>
        <v>12553.2</v>
      </c>
    </row>
    <row r="283" spans="1:6" ht="20.25" customHeight="1">
      <c r="A283" s="123">
        <f>44*0.22</f>
        <v>9.68</v>
      </c>
      <c r="B283" s="124" t="s">
        <v>1637</v>
      </c>
      <c r="C283" s="128" t="s">
        <v>5113</v>
      </c>
      <c r="D283" s="123">
        <f>D277</f>
        <v>562</v>
      </c>
      <c r="E283" s="126" t="s">
        <v>1637</v>
      </c>
      <c r="F283" s="123">
        <f>D283*A283</f>
        <v>5440.16</v>
      </c>
    </row>
    <row r="284" spans="1:6" ht="20.25" customHeight="1">
      <c r="A284" s="123">
        <v>132</v>
      </c>
      <c r="B284" s="124" t="s">
        <v>4187</v>
      </c>
      <c r="C284" s="128" t="s">
        <v>5534</v>
      </c>
      <c r="D284" s="123">
        <v>91.25</v>
      </c>
      <c r="E284" s="126" t="s">
        <v>4188</v>
      </c>
      <c r="F284" s="123">
        <f>SUM(A284*D284)</f>
        <v>12045</v>
      </c>
    </row>
    <row r="285" spans="1:6" ht="20.25" customHeight="1">
      <c r="A285" s="123"/>
      <c r="B285" s="124"/>
      <c r="C285" s="128" t="s">
        <v>5114</v>
      </c>
      <c r="D285" s="123"/>
      <c r="E285" s="126"/>
      <c r="F285" s="123"/>
    </row>
    <row r="286" spans="1:6" ht="20.25" customHeight="1">
      <c r="A286" s="123"/>
      <c r="B286" s="124"/>
      <c r="C286" s="128" t="s">
        <v>5119</v>
      </c>
      <c r="D286" s="123"/>
      <c r="E286" s="126"/>
      <c r="F286" s="123"/>
    </row>
    <row r="287" spans="1:6" ht="20.25" customHeight="1">
      <c r="A287" s="123">
        <v>2.88</v>
      </c>
      <c r="B287" s="124" t="s">
        <v>5120</v>
      </c>
      <c r="C287" s="128" t="s">
        <v>5066</v>
      </c>
      <c r="D287" s="123">
        <f>D221</f>
        <v>1322</v>
      </c>
      <c r="E287" s="129" t="s">
        <v>5120</v>
      </c>
      <c r="F287" s="123">
        <f t="shared" ref="F287:F295" si="14">SUM(A287*D287)</f>
        <v>3807.36</v>
      </c>
    </row>
    <row r="288" spans="1:6" ht="20.25" customHeight="1">
      <c r="A288" s="123">
        <v>12</v>
      </c>
      <c r="B288" s="124" t="s">
        <v>1427</v>
      </c>
      <c r="C288" s="128" t="s">
        <v>4181</v>
      </c>
      <c r="D288" s="123">
        <v>20</v>
      </c>
      <c r="E288" s="126" t="s">
        <v>1706</v>
      </c>
      <c r="F288" s="123">
        <f t="shared" si="14"/>
        <v>240</v>
      </c>
    </row>
    <row r="289" spans="1:30" ht="20.25" customHeight="1">
      <c r="A289" s="123">
        <v>1</v>
      </c>
      <c r="B289" s="124" t="s">
        <v>1427</v>
      </c>
      <c r="C289" s="128" t="s">
        <v>4182</v>
      </c>
      <c r="D289" s="123">
        <v>280</v>
      </c>
      <c r="E289" s="126" t="s">
        <v>1706</v>
      </c>
      <c r="F289" s="123">
        <f t="shared" si="14"/>
        <v>280</v>
      </c>
    </row>
    <row r="290" spans="1:30" ht="20.25" customHeight="1">
      <c r="A290" s="123">
        <v>3</v>
      </c>
      <c r="B290" s="124" t="s">
        <v>1427</v>
      </c>
      <c r="C290" s="128" t="s">
        <v>5536</v>
      </c>
      <c r="D290" s="123">
        <v>48.05</v>
      </c>
      <c r="E290" s="126" t="s">
        <v>1706</v>
      </c>
      <c r="F290" s="123">
        <f t="shared" si="14"/>
        <v>144.15</v>
      </c>
    </row>
    <row r="291" spans="1:30" ht="20.25" customHeight="1">
      <c r="A291" s="123">
        <v>5</v>
      </c>
      <c r="B291" s="124" t="s">
        <v>3430</v>
      </c>
      <c r="C291" s="128" t="str">
        <f>C147</f>
        <v>1 sqmm PVC copper cable [SR 2022-23 / P.125]</v>
      </c>
      <c r="D291" s="218">
        <f>D147</f>
        <v>10.45</v>
      </c>
      <c r="E291" s="129" t="s">
        <v>3430</v>
      </c>
      <c r="F291" s="123">
        <f t="shared" si="14"/>
        <v>52.25</v>
      </c>
    </row>
    <row r="292" spans="1:30" ht="20.25" customHeight="1">
      <c r="A292" s="123">
        <v>328.18</v>
      </c>
      <c r="B292" s="124" t="s">
        <v>4184</v>
      </c>
      <c r="C292" s="128" t="str">
        <f>C148</f>
        <v>MS sheet fabrication charges [SR 2022-23 / P.29]</v>
      </c>
      <c r="D292" s="218">
        <f>D148</f>
        <v>52.5</v>
      </c>
      <c r="E292" s="129" t="s">
        <v>4186</v>
      </c>
      <c r="F292" s="123">
        <f t="shared" si="14"/>
        <v>17229.45</v>
      </c>
    </row>
    <row r="293" spans="1:30" ht="20.25" customHeight="1">
      <c r="A293" s="123">
        <v>68.400000000000006</v>
      </c>
      <c r="B293" s="124" t="s">
        <v>909</v>
      </c>
      <c r="C293" s="128" t="s">
        <v>5538</v>
      </c>
      <c r="D293" s="123">
        <f>D292</f>
        <v>52.5</v>
      </c>
      <c r="E293" s="129" t="s">
        <v>909</v>
      </c>
      <c r="F293" s="123">
        <f t="shared" si="14"/>
        <v>3591</v>
      </c>
    </row>
    <row r="294" spans="1:30" ht="20.25" customHeight="1">
      <c r="A294" s="123">
        <v>24</v>
      </c>
      <c r="B294" s="124" t="s">
        <v>1427</v>
      </c>
      <c r="C294" s="128" t="s">
        <v>5115</v>
      </c>
      <c r="D294" s="123">
        <v>501.25</v>
      </c>
      <c r="E294" s="129" t="s">
        <v>1706</v>
      </c>
      <c r="F294" s="123">
        <f t="shared" si="14"/>
        <v>12030</v>
      </c>
    </row>
    <row r="295" spans="1:30" ht="20.25" customHeight="1">
      <c r="A295" s="123">
        <v>510</v>
      </c>
      <c r="B295" s="124" t="s">
        <v>4184</v>
      </c>
      <c r="C295" s="128" t="s">
        <v>5116</v>
      </c>
      <c r="D295" s="123">
        <v>10</v>
      </c>
      <c r="E295" s="129" t="s">
        <v>4186</v>
      </c>
      <c r="F295" s="123">
        <f t="shared" si="14"/>
        <v>5100</v>
      </c>
    </row>
    <row r="296" spans="1:30" ht="20.25" customHeight="1">
      <c r="A296" s="123"/>
      <c r="B296" s="124"/>
      <c r="C296" s="128" t="s">
        <v>4189</v>
      </c>
      <c r="D296" s="123"/>
      <c r="E296" s="126"/>
      <c r="F296" s="123">
        <v>200</v>
      </c>
    </row>
    <row r="297" spans="1:30" ht="20.25" customHeight="1">
      <c r="A297" s="123"/>
      <c r="B297" s="124"/>
      <c r="C297" s="128"/>
      <c r="D297" s="123"/>
      <c r="E297" s="126"/>
      <c r="F297" s="130">
        <f>SUM(F256:F296)</f>
        <v>155937.66</v>
      </c>
    </row>
    <row r="298" spans="1:30" ht="20.25" customHeight="1">
      <c r="A298" s="123"/>
      <c r="B298" s="124"/>
      <c r="C298" s="128" t="s">
        <v>4190</v>
      </c>
      <c r="D298" s="123"/>
      <c r="E298" s="126"/>
      <c r="F298" s="123">
        <f>F297*2%</f>
        <v>3118.75</v>
      </c>
    </row>
    <row r="299" spans="1:30" ht="20.25" customHeight="1">
      <c r="A299" s="123"/>
      <c r="B299" s="124"/>
      <c r="C299" s="128" t="s">
        <v>4191</v>
      </c>
      <c r="D299" s="123"/>
      <c r="E299" s="126"/>
      <c r="F299" s="123">
        <v>1000</v>
      </c>
    </row>
    <row r="300" spans="1:30" ht="20.25" customHeight="1">
      <c r="A300" s="123"/>
      <c r="B300" s="124"/>
      <c r="C300" s="128" t="s">
        <v>4192</v>
      </c>
      <c r="D300" s="123"/>
      <c r="E300" s="126"/>
      <c r="F300" s="123">
        <v>1000</v>
      </c>
    </row>
    <row r="301" spans="1:30" ht="20.25" customHeight="1">
      <c r="A301" s="123"/>
      <c r="B301" s="124"/>
      <c r="C301" s="128"/>
      <c r="D301" s="123"/>
      <c r="E301" s="126"/>
      <c r="F301" s="130">
        <f>SUM(F297:F300)</f>
        <v>161056.41</v>
      </c>
    </row>
    <row r="302" spans="1:30" ht="20.25" customHeight="1">
      <c r="A302" s="123"/>
      <c r="B302" s="124"/>
      <c r="C302" s="120"/>
      <c r="D302" s="123"/>
      <c r="E302" s="131" t="s">
        <v>5023</v>
      </c>
      <c r="F302" s="130">
        <v>161100</v>
      </c>
    </row>
    <row r="303" spans="1:30" s="222" customFormat="1" ht="20.25" customHeight="1">
      <c r="A303" s="219"/>
      <c r="B303" s="220"/>
      <c r="C303" s="220"/>
      <c r="D303" s="219"/>
      <c r="E303" s="221"/>
      <c r="F303" s="219"/>
      <c r="P303" s="223"/>
      <c r="AD303" s="223"/>
    </row>
    <row r="306" spans="1:6" ht="20.25" customHeight="1">
      <c r="A306" s="182"/>
      <c r="B306" s="182"/>
      <c r="C306" s="128" t="s">
        <v>5155</v>
      </c>
      <c r="D306" s="183"/>
      <c r="E306" s="182"/>
      <c r="F306" s="182"/>
    </row>
    <row r="307" spans="1:6" ht="20.25" customHeight="1">
      <c r="A307" s="123"/>
      <c r="B307" s="124"/>
      <c r="C307" s="125" t="s">
        <v>5091</v>
      </c>
      <c r="D307" s="123"/>
      <c r="E307" s="126"/>
      <c r="F307" s="123"/>
    </row>
    <row r="308" spans="1:6" ht="20.25" customHeight="1">
      <c r="A308" s="123"/>
      <c r="B308" s="124"/>
      <c r="C308" s="127" t="s">
        <v>5124</v>
      </c>
      <c r="D308" s="123"/>
      <c r="E308" s="126"/>
      <c r="F308" s="123"/>
    </row>
    <row r="309" spans="1:6" ht="20.25" customHeight="1">
      <c r="A309" s="123"/>
      <c r="B309" s="124"/>
      <c r="C309" s="127" t="s">
        <v>4141</v>
      </c>
      <c r="D309" s="123"/>
      <c r="E309" s="126"/>
      <c r="F309" s="123"/>
    </row>
    <row r="310" spans="1:6" ht="20.25" customHeight="1">
      <c r="A310" s="123"/>
      <c r="B310" s="124"/>
      <c r="C310" s="128" t="s">
        <v>5125</v>
      </c>
      <c r="D310" s="123"/>
      <c r="E310" s="126"/>
      <c r="F310" s="123"/>
    </row>
    <row r="311" spans="1:6" ht="20.25" customHeight="1">
      <c r="A311" s="123"/>
      <c r="B311" s="124"/>
      <c r="C311" s="128" t="s">
        <v>5126</v>
      </c>
      <c r="D311" s="123"/>
      <c r="E311" s="126"/>
      <c r="F311" s="123"/>
    </row>
    <row r="312" spans="1:6" ht="20.25" customHeight="1">
      <c r="A312" s="123"/>
      <c r="B312" s="124"/>
      <c r="C312" s="128" t="s">
        <v>5127</v>
      </c>
      <c r="D312" s="123"/>
      <c r="E312" s="126"/>
      <c r="F312" s="123"/>
    </row>
    <row r="313" spans="1:6" ht="20.25" customHeight="1">
      <c r="A313" s="123"/>
      <c r="B313" s="124"/>
      <c r="C313" s="128" t="s">
        <v>5128</v>
      </c>
      <c r="D313" s="123"/>
      <c r="E313" s="126"/>
      <c r="F313" s="123"/>
    </row>
    <row r="314" spans="1:6" ht="20.25" customHeight="1">
      <c r="A314" s="123"/>
      <c r="B314" s="124"/>
      <c r="C314" s="127" t="s">
        <v>5129</v>
      </c>
      <c r="D314" s="123"/>
      <c r="E314" s="126"/>
      <c r="F314" s="123"/>
    </row>
    <row r="315" spans="1:6" ht="20.25" customHeight="1">
      <c r="A315" s="123"/>
      <c r="B315" s="124"/>
      <c r="C315" s="128" t="s">
        <v>5130</v>
      </c>
      <c r="D315" s="123"/>
      <c r="E315" s="126"/>
      <c r="F315" s="123"/>
    </row>
    <row r="316" spans="1:6" ht="20.25" customHeight="1">
      <c r="A316" s="123"/>
      <c r="B316" s="124"/>
      <c r="C316" s="127" t="s">
        <v>5131</v>
      </c>
      <c r="D316" s="123"/>
      <c r="E316" s="126"/>
      <c r="F316" s="123"/>
    </row>
    <row r="317" spans="1:6" ht="20.25" customHeight="1">
      <c r="A317" s="123"/>
      <c r="B317" s="124"/>
      <c r="C317" s="128" t="s">
        <v>5132</v>
      </c>
      <c r="D317" s="123"/>
      <c r="E317" s="126"/>
      <c r="F317" s="123"/>
    </row>
    <row r="318" spans="1:6" ht="20.25" customHeight="1">
      <c r="A318" s="123">
        <v>121.62</v>
      </c>
      <c r="B318" s="124" t="s">
        <v>909</v>
      </c>
      <c r="C318" s="128" t="s">
        <v>5075</v>
      </c>
      <c r="D318" s="123">
        <f>D256</f>
        <v>57.6</v>
      </c>
      <c r="E318" s="126" t="s">
        <v>909</v>
      </c>
      <c r="F318" s="123">
        <f>SUM(A318*D318)</f>
        <v>7005.31</v>
      </c>
    </row>
    <row r="319" spans="1:6" ht="20.25" customHeight="1">
      <c r="A319" s="123"/>
      <c r="B319" s="124"/>
      <c r="C319" s="127" t="s">
        <v>4149</v>
      </c>
      <c r="D319" s="123">
        <f t="shared" ref="D319:D338" si="15">D257</f>
        <v>0</v>
      </c>
      <c r="E319" s="126"/>
      <c r="F319" s="123"/>
    </row>
    <row r="320" spans="1:6" ht="20.25" customHeight="1">
      <c r="A320" s="123"/>
      <c r="B320" s="124"/>
      <c r="C320" s="128" t="s">
        <v>4150</v>
      </c>
      <c r="D320" s="123">
        <f t="shared" si="15"/>
        <v>0</v>
      </c>
      <c r="E320" s="126"/>
      <c r="F320" s="123"/>
    </row>
    <row r="321" spans="1:6" ht="20.25" customHeight="1">
      <c r="A321" s="123"/>
      <c r="B321" s="124"/>
      <c r="C321" s="128" t="s">
        <v>4815</v>
      </c>
      <c r="D321" s="123">
        <f t="shared" si="15"/>
        <v>0</v>
      </c>
      <c r="E321" s="126"/>
      <c r="F321" s="123"/>
    </row>
    <row r="322" spans="1:6" ht="20.25" customHeight="1">
      <c r="A322" s="123"/>
      <c r="B322" s="124"/>
      <c r="C322" s="128" t="s">
        <v>5133</v>
      </c>
      <c r="D322" s="123">
        <f t="shared" si="15"/>
        <v>0</v>
      </c>
      <c r="E322" s="126"/>
      <c r="F322" s="123"/>
    </row>
    <row r="323" spans="1:6" ht="20.25" customHeight="1">
      <c r="A323" s="123"/>
      <c r="B323" s="124"/>
      <c r="C323" s="128" t="s">
        <v>4814</v>
      </c>
      <c r="D323" s="123">
        <f t="shared" si="15"/>
        <v>0</v>
      </c>
      <c r="E323" s="126"/>
      <c r="F323" s="123"/>
    </row>
    <row r="324" spans="1:6" ht="20.25" customHeight="1">
      <c r="A324" s="123"/>
      <c r="B324" s="124"/>
      <c r="C324" s="128" t="s">
        <v>5134</v>
      </c>
      <c r="D324" s="123">
        <f t="shared" si="15"/>
        <v>0</v>
      </c>
      <c r="E324" s="126"/>
      <c r="F324" s="123"/>
    </row>
    <row r="325" spans="1:6" ht="20.25" customHeight="1">
      <c r="A325" s="123"/>
      <c r="B325" s="124"/>
      <c r="C325" s="128" t="s">
        <v>5135</v>
      </c>
      <c r="D325" s="123">
        <f t="shared" si="15"/>
        <v>0</v>
      </c>
      <c r="E325" s="126"/>
      <c r="F325" s="123"/>
    </row>
    <row r="326" spans="1:6" ht="20.25" customHeight="1">
      <c r="A326" s="123"/>
      <c r="B326" s="124"/>
      <c r="C326" s="128" t="s">
        <v>5136</v>
      </c>
      <c r="D326" s="123">
        <f t="shared" si="15"/>
        <v>0</v>
      </c>
      <c r="E326" s="126"/>
      <c r="F326" s="123"/>
    </row>
    <row r="327" spans="1:6" ht="20.25" customHeight="1">
      <c r="A327" s="123">
        <v>52.8</v>
      </c>
      <c r="B327" s="124" t="s">
        <v>909</v>
      </c>
      <c r="C327" s="128" t="s">
        <v>4157</v>
      </c>
      <c r="D327" s="123">
        <f t="shared" si="15"/>
        <v>57.6</v>
      </c>
      <c r="E327" s="126" t="s">
        <v>909</v>
      </c>
      <c r="F327" s="123">
        <f>SUM(A327*D327)</f>
        <v>3041.28</v>
      </c>
    </row>
    <row r="328" spans="1:6" ht="20.25" customHeight="1">
      <c r="A328" s="123"/>
      <c r="B328" s="124"/>
      <c r="C328" s="128"/>
      <c r="D328" s="123">
        <f t="shared" si="15"/>
        <v>0</v>
      </c>
      <c r="E328" s="126"/>
      <c r="F328" s="123">
        <f t="shared" ref="F328:F346" si="16">SUM(A328*D328)</f>
        <v>0</v>
      </c>
    </row>
    <row r="329" spans="1:6" ht="20.25" customHeight="1">
      <c r="A329" s="123"/>
      <c r="B329" s="124"/>
      <c r="C329" s="127" t="s">
        <v>4158</v>
      </c>
      <c r="D329" s="123">
        <f t="shared" si="15"/>
        <v>0</v>
      </c>
      <c r="E329" s="126"/>
      <c r="F329" s="123">
        <f t="shared" si="16"/>
        <v>0</v>
      </c>
    </row>
    <row r="330" spans="1:6" ht="20.25" customHeight="1">
      <c r="A330" s="123"/>
      <c r="B330" s="124"/>
      <c r="C330" s="128" t="s">
        <v>5137</v>
      </c>
      <c r="D330" s="123">
        <f t="shared" si="15"/>
        <v>0</v>
      </c>
      <c r="E330" s="126"/>
      <c r="F330" s="123">
        <f t="shared" si="16"/>
        <v>0</v>
      </c>
    </row>
    <row r="331" spans="1:6" ht="20.25" customHeight="1">
      <c r="A331" s="123"/>
      <c r="B331" s="124"/>
      <c r="C331" s="128" t="s">
        <v>5138</v>
      </c>
      <c r="D331" s="123">
        <f t="shared" si="15"/>
        <v>0</v>
      </c>
      <c r="E331" s="126"/>
      <c r="F331" s="123">
        <f t="shared" si="16"/>
        <v>0</v>
      </c>
    </row>
    <row r="332" spans="1:6" ht="20.25" customHeight="1">
      <c r="A332" s="123"/>
      <c r="B332" s="124"/>
      <c r="C332" s="128" t="s">
        <v>5139</v>
      </c>
      <c r="D332" s="123">
        <f t="shared" si="15"/>
        <v>0</v>
      </c>
      <c r="E332" s="126"/>
      <c r="F332" s="123">
        <f t="shared" si="16"/>
        <v>0</v>
      </c>
    </row>
    <row r="333" spans="1:6" ht="20.25" customHeight="1">
      <c r="A333" s="123"/>
      <c r="B333" s="124"/>
      <c r="C333" s="128" t="s">
        <v>5140</v>
      </c>
      <c r="D333" s="123">
        <f t="shared" si="15"/>
        <v>0</v>
      </c>
      <c r="E333" s="126"/>
      <c r="F333" s="123">
        <f t="shared" si="16"/>
        <v>0</v>
      </c>
    </row>
    <row r="334" spans="1:6" ht="20.25" customHeight="1">
      <c r="A334" s="123"/>
      <c r="B334" s="124"/>
      <c r="C334" s="128" t="s">
        <v>5141</v>
      </c>
      <c r="D334" s="123">
        <f t="shared" si="15"/>
        <v>0</v>
      </c>
      <c r="E334" s="126"/>
      <c r="F334" s="123">
        <f t="shared" si="16"/>
        <v>0</v>
      </c>
    </row>
    <row r="335" spans="1:6" ht="20.25" customHeight="1">
      <c r="A335" s="123"/>
      <c r="B335" s="124"/>
      <c r="C335" s="128" t="s">
        <v>5142</v>
      </c>
      <c r="D335" s="123">
        <f t="shared" si="15"/>
        <v>0</v>
      </c>
      <c r="E335" s="126"/>
      <c r="F335" s="123">
        <f t="shared" si="16"/>
        <v>0</v>
      </c>
    </row>
    <row r="336" spans="1:6" ht="20.25" customHeight="1">
      <c r="A336" s="123"/>
      <c r="B336" s="124"/>
      <c r="C336" s="128" t="s">
        <v>5143</v>
      </c>
      <c r="D336" s="123">
        <f t="shared" si="15"/>
        <v>0</v>
      </c>
      <c r="E336" s="126"/>
      <c r="F336" s="123">
        <f t="shared" si="16"/>
        <v>0</v>
      </c>
    </row>
    <row r="337" spans="1:6" ht="20.25" customHeight="1">
      <c r="A337" s="123"/>
      <c r="B337" s="124"/>
      <c r="C337" s="128" t="s">
        <v>5144</v>
      </c>
      <c r="D337" s="123">
        <f t="shared" si="15"/>
        <v>0</v>
      </c>
      <c r="E337" s="126"/>
      <c r="F337" s="123">
        <f t="shared" si="16"/>
        <v>0</v>
      </c>
    </row>
    <row r="338" spans="1:6" ht="20.25" customHeight="1">
      <c r="A338" s="123"/>
      <c r="B338" s="124"/>
      <c r="C338" s="128" t="s">
        <v>5145</v>
      </c>
      <c r="D338" s="123">
        <f t="shared" si="15"/>
        <v>0</v>
      </c>
      <c r="E338" s="126"/>
      <c r="F338" s="123">
        <f t="shared" si="16"/>
        <v>0</v>
      </c>
    </row>
    <row r="339" spans="1:6" ht="20.25" customHeight="1">
      <c r="A339" s="123"/>
      <c r="B339" s="124"/>
      <c r="C339" s="128" t="s">
        <v>5146</v>
      </c>
      <c r="E339" s="126"/>
      <c r="F339" s="123">
        <f t="shared" si="16"/>
        <v>0</v>
      </c>
    </row>
    <row r="340" spans="1:6" ht="20.25" customHeight="1">
      <c r="A340" s="123"/>
      <c r="B340" s="124"/>
      <c r="C340" s="128" t="s">
        <v>5147</v>
      </c>
      <c r="E340" s="126"/>
      <c r="F340" s="123">
        <f t="shared" si="16"/>
        <v>0</v>
      </c>
    </row>
    <row r="341" spans="1:6" ht="20.25" customHeight="1">
      <c r="A341" s="123">
        <v>23.63</v>
      </c>
      <c r="B341" s="124" t="s">
        <v>909</v>
      </c>
      <c r="C341" s="139" t="s">
        <v>5054</v>
      </c>
      <c r="D341" s="123">
        <f>D277</f>
        <v>562</v>
      </c>
      <c r="E341" s="126" t="s">
        <v>909</v>
      </c>
      <c r="F341" s="123">
        <f t="shared" si="16"/>
        <v>13280.06</v>
      </c>
    </row>
    <row r="342" spans="1:6" ht="20.25" customHeight="1">
      <c r="A342" s="123">
        <v>23.63</v>
      </c>
      <c r="B342" s="124" t="s">
        <v>909</v>
      </c>
      <c r="C342" s="128" t="s">
        <v>4170</v>
      </c>
      <c r="D342" s="123">
        <f>D278</f>
        <v>10</v>
      </c>
      <c r="E342" s="126" t="s">
        <v>909</v>
      </c>
      <c r="F342" s="123">
        <f t="shared" si="16"/>
        <v>236.3</v>
      </c>
    </row>
    <row r="343" spans="1:6" ht="20.25" customHeight="1">
      <c r="A343" s="123">
        <v>878</v>
      </c>
      <c r="B343" s="124" t="s">
        <v>154</v>
      </c>
      <c r="C343" s="128" t="s">
        <v>4178</v>
      </c>
      <c r="D343" s="123">
        <f>D279</f>
        <v>1</v>
      </c>
      <c r="E343" s="126" t="s">
        <v>4177</v>
      </c>
      <c r="F343" s="123">
        <f t="shared" si="16"/>
        <v>878</v>
      </c>
    </row>
    <row r="344" spans="1:6" ht="20.25" customHeight="1">
      <c r="A344" s="123">
        <v>1</v>
      </c>
      <c r="B344" s="124" t="s">
        <v>557</v>
      </c>
      <c r="C344" s="128" t="s">
        <v>5148</v>
      </c>
      <c r="D344" s="123">
        <v>16616</v>
      </c>
      <c r="E344" s="126" t="s">
        <v>1706</v>
      </c>
      <c r="F344" s="123">
        <f t="shared" si="16"/>
        <v>16616</v>
      </c>
    </row>
    <row r="345" spans="1:6" ht="20.25" customHeight="1">
      <c r="A345" s="123">
        <v>3</v>
      </c>
      <c r="B345" s="124" t="s">
        <v>557</v>
      </c>
      <c r="C345" s="128" t="s">
        <v>5154</v>
      </c>
      <c r="D345" s="123">
        <v>9000</v>
      </c>
      <c r="E345" s="126" t="s">
        <v>1706</v>
      </c>
      <c r="F345" s="123">
        <f>SUM(A345*D345)</f>
        <v>27000</v>
      </c>
    </row>
    <row r="346" spans="1:6" ht="20.25" customHeight="1">
      <c r="A346" s="123">
        <v>6</v>
      </c>
      <c r="B346" s="124" t="s">
        <v>1026</v>
      </c>
      <c r="C346" s="128" t="s">
        <v>5149</v>
      </c>
      <c r="D346" s="123">
        <v>3775</v>
      </c>
      <c r="E346" s="126" t="s">
        <v>1706</v>
      </c>
      <c r="F346" s="123">
        <f t="shared" si="16"/>
        <v>22650</v>
      </c>
    </row>
    <row r="347" spans="1:6" ht="20.25" customHeight="1">
      <c r="A347" s="123"/>
      <c r="B347" s="124"/>
      <c r="C347" s="128" t="s">
        <v>5028</v>
      </c>
      <c r="D347" s="126"/>
      <c r="E347" s="126"/>
      <c r="F347" s="123"/>
    </row>
    <row r="348" spans="1:6" ht="20.25" customHeight="1">
      <c r="A348" s="123"/>
      <c r="B348" s="124"/>
      <c r="C348" s="128" t="s">
        <v>5150</v>
      </c>
      <c r="D348" s="126"/>
      <c r="E348" s="126"/>
      <c r="F348" s="123"/>
    </row>
    <row r="349" spans="1:6" ht="20.25" customHeight="1">
      <c r="A349" s="132">
        <v>1.728</v>
      </c>
      <c r="B349" s="124" t="s">
        <v>5120</v>
      </c>
      <c r="C349" s="128" t="s">
        <v>5153</v>
      </c>
      <c r="D349" s="126">
        <v>1260</v>
      </c>
      <c r="E349" s="129" t="s">
        <v>5120</v>
      </c>
      <c r="F349" s="123">
        <f t="shared" ref="F349:F357" si="17">SUM(A349*D349)</f>
        <v>2177.2800000000002</v>
      </c>
    </row>
    <row r="350" spans="1:6" ht="20.25" customHeight="1">
      <c r="A350" s="123">
        <v>12</v>
      </c>
      <c r="B350" s="124" t="s">
        <v>1427</v>
      </c>
      <c r="C350" s="128" t="s">
        <v>4181</v>
      </c>
      <c r="D350" s="126">
        <v>20</v>
      </c>
      <c r="E350" s="126" t="s">
        <v>1706</v>
      </c>
      <c r="F350" s="123">
        <f t="shared" si="17"/>
        <v>240</v>
      </c>
    </row>
    <row r="351" spans="1:6" ht="20.25" customHeight="1">
      <c r="A351" s="123">
        <v>3</v>
      </c>
      <c r="B351" s="124" t="s">
        <v>1427</v>
      </c>
      <c r="C351" s="128" t="s">
        <v>4182</v>
      </c>
      <c r="D351" s="126">
        <v>280</v>
      </c>
      <c r="E351" s="126" t="s">
        <v>1706</v>
      </c>
      <c r="F351" s="123">
        <f t="shared" si="17"/>
        <v>840</v>
      </c>
    </row>
    <row r="352" spans="1:6" ht="20.25" customHeight="1">
      <c r="A352" s="123">
        <v>3</v>
      </c>
      <c r="B352" s="124" t="s">
        <v>1427</v>
      </c>
      <c r="C352" s="128" t="s">
        <v>5029</v>
      </c>
      <c r="D352" s="126">
        <v>35</v>
      </c>
      <c r="E352" s="126" t="s">
        <v>1706</v>
      </c>
      <c r="F352" s="123">
        <f t="shared" si="17"/>
        <v>105</v>
      </c>
    </row>
    <row r="353" spans="1:6" ht="20.25" customHeight="1">
      <c r="A353" s="123">
        <v>5</v>
      </c>
      <c r="B353" s="124" t="s">
        <v>3430</v>
      </c>
      <c r="C353" s="128" t="s">
        <v>5151</v>
      </c>
      <c r="D353" s="126">
        <v>9.8000000000000007</v>
      </c>
      <c r="E353" s="129" t="s">
        <v>3430</v>
      </c>
      <c r="F353" s="123">
        <f t="shared" si="17"/>
        <v>49</v>
      </c>
    </row>
    <row r="354" spans="1:6" ht="20.25" customHeight="1">
      <c r="A354" s="123">
        <v>121.62</v>
      </c>
      <c r="B354" s="124" t="s">
        <v>909</v>
      </c>
      <c r="C354" s="128" t="s">
        <v>5030</v>
      </c>
      <c r="D354" s="126">
        <v>47.8</v>
      </c>
      <c r="E354" s="129" t="s">
        <v>909</v>
      </c>
      <c r="F354" s="123">
        <f t="shared" si="17"/>
        <v>5813.44</v>
      </c>
    </row>
    <row r="355" spans="1:6" ht="20.25" customHeight="1">
      <c r="A355" s="123">
        <v>52.8</v>
      </c>
      <c r="B355" s="124" t="s">
        <v>909</v>
      </c>
      <c r="C355" s="128" t="s">
        <v>5031</v>
      </c>
      <c r="D355" s="126">
        <v>47.8</v>
      </c>
      <c r="E355" s="129" t="s">
        <v>909</v>
      </c>
      <c r="F355" s="123">
        <f t="shared" si="17"/>
        <v>2523.84</v>
      </c>
    </row>
    <row r="356" spans="1:6" ht="20.25" customHeight="1">
      <c r="A356" s="123">
        <v>11</v>
      </c>
      <c r="B356" s="124" t="s">
        <v>1427</v>
      </c>
      <c r="C356" s="128" t="s">
        <v>5152</v>
      </c>
      <c r="D356" s="126">
        <v>456</v>
      </c>
      <c r="E356" s="129" t="s">
        <v>1706</v>
      </c>
      <c r="F356" s="123">
        <f t="shared" si="17"/>
        <v>5016</v>
      </c>
    </row>
    <row r="357" spans="1:6" ht="20.25" customHeight="1">
      <c r="A357" s="123">
        <v>189</v>
      </c>
      <c r="B357" s="124" t="s">
        <v>4184</v>
      </c>
      <c r="C357" s="128" t="s">
        <v>4185</v>
      </c>
      <c r="D357" s="126">
        <v>10</v>
      </c>
      <c r="E357" s="129" t="s">
        <v>4186</v>
      </c>
      <c r="F357" s="123">
        <f t="shared" si="17"/>
        <v>1890</v>
      </c>
    </row>
    <row r="358" spans="1:6" ht="20.25" customHeight="1">
      <c r="A358" s="123"/>
      <c r="B358" s="124"/>
      <c r="C358" s="128" t="s">
        <v>4189</v>
      </c>
      <c r="D358" s="126"/>
      <c r="E358" s="126"/>
      <c r="F358" s="123">
        <v>200</v>
      </c>
    </row>
    <row r="359" spans="1:6" ht="20.25" customHeight="1">
      <c r="A359" s="123"/>
      <c r="B359" s="124"/>
      <c r="C359" s="128"/>
      <c r="D359" s="126"/>
      <c r="E359" s="126"/>
      <c r="F359" s="130">
        <f>SUM(F318:F358)</f>
        <v>109561.51</v>
      </c>
    </row>
    <row r="360" spans="1:6" ht="20.25" customHeight="1">
      <c r="A360" s="123"/>
      <c r="B360" s="124"/>
      <c r="C360" s="128" t="s">
        <v>4190</v>
      </c>
      <c r="D360" s="126"/>
      <c r="E360" s="126"/>
      <c r="F360" s="123">
        <f>F359*2/100</f>
        <v>2191.23</v>
      </c>
    </row>
    <row r="361" spans="1:6" ht="20.25" customHeight="1">
      <c r="A361" s="123"/>
      <c r="B361" s="124"/>
      <c r="C361" s="128"/>
      <c r="D361" s="126"/>
      <c r="E361" s="126"/>
      <c r="F361" s="130">
        <f>SUM(F359:F360)</f>
        <v>111752.74</v>
      </c>
    </row>
    <row r="362" spans="1:6" ht="20.25" customHeight="1">
      <c r="A362" s="123"/>
      <c r="B362" s="124"/>
      <c r="C362" s="128" t="s">
        <v>4191</v>
      </c>
      <c r="D362" s="126"/>
      <c r="E362" s="126"/>
      <c r="F362" s="123">
        <v>2000</v>
      </c>
    </row>
    <row r="363" spans="1:6" ht="20.25" customHeight="1">
      <c r="A363" s="123"/>
      <c r="B363" s="124"/>
      <c r="C363" s="128" t="s">
        <v>4192</v>
      </c>
      <c r="D363" s="126"/>
      <c r="E363" s="126"/>
      <c r="F363" s="123">
        <v>3000</v>
      </c>
    </row>
    <row r="364" spans="1:6" ht="20.25" customHeight="1">
      <c r="A364" s="123"/>
      <c r="B364" s="124"/>
      <c r="C364" s="128"/>
      <c r="D364" s="126"/>
      <c r="E364" s="126"/>
      <c r="F364" s="130">
        <f>SUM(F361:F363)</f>
        <v>116752.74</v>
      </c>
    </row>
    <row r="365" spans="1:6" ht="20.25" customHeight="1">
      <c r="A365" s="158"/>
      <c r="B365" s="157"/>
      <c r="C365" s="128"/>
      <c r="D365" s="126"/>
      <c r="E365" s="125" t="s">
        <v>5023</v>
      </c>
      <c r="F365" s="159">
        <v>114783</v>
      </c>
    </row>
    <row r="366" spans="1:6" ht="20.25" customHeight="1">
      <c r="A366" s="123"/>
      <c r="B366" s="124"/>
      <c r="C366" s="128"/>
      <c r="D366" s="123"/>
      <c r="E366" s="126"/>
      <c r="F366" s="130"/>
    </row>
    <row r="367" spans="1:6" ht="20.25" customHeight="1">
      <c r="A367" s="133"/>
      <c r="B367" s="134"/>
      <c r="C367" s="135" t="s">
        <v>5073</v>
      </c>
      <c r="D367" s="136"/>
      <c r="E367" s="137"/>
      <c r="F367" s="138"/>
    </row>
    <row r="368" spans="1:6" ht="20.25" customHeight="1">
      <c r="A368" s="133"/>
      <c r="B368" s="134"/>
      <c r="C368" s="139" t="s">
        <v>5156</v>
      </c>
      <c r="D368" s="136"/>
      <c r="E368" s="137"/>
      <c r="F368" s="133"/>
    </row>
    <row r="369" spans="1:6" ht="20.25" customHeight="1">
      <c r="A369" s="133"/>
      <c r="B369" s="134"/>
      <c r="C369" s="140" t="s">
        <v>4141</v>
      </c>
      <c r="D369" s="136"/>
      <c r="E369" s="137"/>
      <c r="F369" s="133"/>
    </row>
    <row r="370" spans="1:6" ht="20.25" customHeight="1">
      <c r="A370" s="133"/>
      <c r="B370" s="134"/>
      <c r="C370" s="139" t="s">
        <v>5157</v>
      </c>
      <c r="D370" s="141">
        <f>4.5*6.42*2</f>
        <v>57.78</v>
      </c>
      <c r="E370" s="142"/>
      <c r="F370" s="143"/>
    </row>
    <row r="371" spans="1:6" ht="20.25" customHeight="1">
      <c r="A371" s="133"/>
      <c r="B371" s="134"/>
      <c r="C371" s="139" t="s">
        <v>5158</v>
      </c>
      <c r="D371" s="141">
        <f>4.5*1*2</f>
        <v>9</v>
      </c>
      <c r="E371" s="142">
        <f>5/12</f>
        <v>0.42</v>
      </c>
      <c r="F371" s="143"/>
    </row>
    <row r="372" spans="1:6" ht="20.25" customHeight="1">
      <c r="A372" s="133"/>
      <c r="B372" s="134"/>
      <c r="C372" s="139" t="s">
        <v>5088</v>
      </c>
      <c r="D372" s="141">
        <f>4.5*1*2</f>
        <v>9</v>
      </c>
      <c r="E372" s="142"/>
      <c r="F372" s="143"/>
    </row>
    <row r="373" spans="1:6" ht="20.25" customHeight="1">
      <c r="A373" s="133"/>
      <c r="B373" s="134"/>
      <c r="C373" s="139" t="s">
        <v>4819</v>
      </c>
      <c r="D373" s="141">
        <f>6.42*1*2</f>
        <v>12.84</v>
      </c>
      <c r="E373" s="142"/>
      <c r="F373" s="143"/>
    </row>
    <row r="374" spans="1:6" ht="20.25" customHeight="1">
      <c r="A374" s="133"/>
      <c r="B374" s="134"/>
      <c r="C374" s="139" t="s">
        <v>4818</v>
      </c>
      <c r="D374" s="141">
        <f>SUM(D370:D373)</f>
        <v>88.62</v>
      </c>
      <c r="E374" s="142"/>
      <c r="F374" s="143"/>
    </row>
    <row r="375" spans="1:6" ht="20.25" customHeight="1">
      <c r="A375" s="133"/>
      <c r="B375" s="134"/>
      <c r="C375" s="140"/>
      <c r="D375" s="141">
        <f>D374*10%</f>
        <v>8.86</v>
      </c>
      <c r="E375" s="142"/>
      <c r="F375" s="143"/>
    </row>
    <row r="376" spans="1:6" ht="20.25" customHeight="1">
      <c r="A376" s="133"/>
      <c r="B376" s="134"/>
      <c r="C376" s="139" t="s">
        <v>4817</v>
      </c>
      <c r="D376" s="141">
        <f>SUM(D374:D375)</f>
        <v>97.48</v>
      </c>
      <c r="E376" s="142"/>
      <c r="F376" s="143"/>
    </row>
    <row r="377" spans="1:6" ht="20.25" customHeight="1">
      <c r="A377" s="144"/>
      <c r="B377" s="134"/>
      <c r="C377" s="140" t="s">
        <v>4816</v>
      </c>
      <c r="D377" s="141">
        <f>D376*1.17</f>
        <v>114.05</v>
      </c>
      <c r="E377" s="142"/>
      <c r="F377" s="143"/>
    </row>
    <row r="378" spans="1:6" ht="20.25" customHeight="1">
      <c r="A378" s="133"/>
      <c r="B378" s="134"/>
      <c r="C378" s="139" t="s">
        <v>5167</v>
      </c>
      <c r="D378" s="136"/>
      <c r="E378" s="137"/>
      <c r="F378" s="133"/>
    </row>
    <row r="379" spans="1:6" ht="20.25" customHeight="1">
      <c r="A379" s="133"/>
      <c r="B379" s="134"/>
      <c r="C379" s="139"/>
      <c r="D379" s="136"/>
      <c r="E379" s="137"/>
      <c r="F379" s="133"/>
    </row>
    <row r="380" spans="1:6" ht="20.25" customHeight="1">
      <c r="A380" s="133">
        <v>46.33</v>
      </c>
      <c r="B380" s="134" t="s">
        <v>909</v>
      </c>
      <c r="C380" s="139" t="s">
        <v>5075</v>
      </c>
      <c r="D380" s="136">
        <v>51.4</v>
      </c>
      <c r="E380" s="137" t="s">
        <v>909</v>
      </c>
      <c r="F380" s="133">
        <f>D380*A380</f>
        <v>2381.36</v>
      </c>
    </row>
    <row r="381" spans="1:6" ht="20.25" customHeight="1">
      <c r="A381" s="144"/>
      <c r="B381" s="134"/>
      <c r="C381" s="140" t="s">
        <v>4149</v>
      </c>
      <c r="D381" s="136"/>
      <c r="E381" s="137"/>
      <c r="F381" s="133">
        <f t="shared" ref="F381:F418" si="18">D381*A381</f>
        <v>0</v>
      </c>
    </row>
    <row r="382" spans="1:6" ht="20.25" customHeight="1">
      <c r="A382" s="133"/>
      <c r="B382" s="134"/>
      <c r="C382" s="139" t="s">
        <v>4150</v>
      </c>
      <c r="D382" s="136"/>
      <c r="E382" s="137"/>
      <c r="F382" s="133">
        <f t="shared" si="18"/>
        <v>0</v>
      </c>
    </row>
    <row r="383" spans="1:6" ht="20.25" customHeight="1">
      <c r="A383" s="133"/>
      <c r="B383" s="134"/>
      <c r="C383" s="139" t="s">
        <v>4815</v>
      </c>
      <c r="D383" s="136"/>
      <c r="E383" s="137"/>
      <c r="F383" s="133">
        <f t="shared" si="18"/>
        <v>0</v>
      </c>
    </row>
    <row r="384" spans="1:6" ht="20.25" customHeight="1">
      <c r="A384" s="133"/>
      <c r="B384" s="134"/>
      <c r="C384" s="139" t="s">
        <v>4152</v>
      </c>
      <c r="D384" s="136"/>
      <c r="E384" s="137"/>
      <c r="F384" s="133">
        <f t="shared" si="18"/>
        <v>0</v>
      </c>
    </row>
    <row r="385" spans="1:6" ht="20.25" customHeight="1">
      <c r="A385" s="133"/>
      <c r="B385" s="134"/>
      <c r="C385" s="139" t="s">
        <v>4814</v>
      </c>
      <c r="D385" s="136"/>
      <c r="E385" s="137"/>
      <c r="F385" s="133">
        <f t="shared" si="18"/>
        <v>0</v>
      </c>
    </row>
    <row r="386" spans="1:6" ht="20.25" customHeight="1">
      <c r="A386" s="133"/>
      <c r="B386" s="134"/>
      <c r="C386" s="139" t="s">
        <v>4813</v>
      </c>
      <c r="D386" s="136"/>
      <c r="E386" s="137"/>
      <c r="F386" s="133">
        <f t="shared" si="18"/>
        <v>0</v>
      </c>
    </row>
    <row r="387" spans="1:6" ht="20.25" customHeight="1">
      <c r="A387" s="133"/>
      <c r="B387" s="134"/>
      <c r="C387" s="139" t="s">
        <v>4812</v>
      </c>
      <c r="D387" s="136"/>
      <c r="E387" s="137"/>
      <c r="F387" s="133">
        <f t="shared" si="18"/>
        <v>0</v>
      </c>
    </row>
    <row r="388" spans="1:6" ht="20.25" customHeight="1">
      <c r="A388" s="133"/>
      <c r="B388" s="134"/>
      <c r="C388" s="139" t="s">
        <v>4811</v>
      </c>
      <c r="D388" s="136"/>
      <c r="E388" s="137"/>
      <c r="F388" s="133">
        <f t="shared" si="18"/>
        <v>0</v>
      </c>
    </row>
    <row r="389" spans="1:6" ht="20.25" customHeight="1">
      <c r="A389" s="133">
        <v>29.4</v>
      </c>
      <c r="B389" s="134" t="s">
        <v>909</v>
      </c>
      <c r="C389" s="139" t="s">
        <v>5076</v>
      </c>
      <c r="D389" s="136">
        <f>D380</f>
        <v>51.4</v>
      </c>
      <c r="E389" s="137" t="s">
        <v>909</v>
      </c>
      <c r="F389" s="133">
        <f t="shared" si="18"/>
        <v>1511.16</v>
      </c>
    </row>
    <row r="390" spans="1:6" ht="20.25" customHeight="1">
      <c r="A390" s="133"/>
      <c r="B390" s="134"/>
      <c r="C390" s="140" t="s">
        <v>4158</v>
      </c>
      <c r="D390" s="136"/>
      <c r="E390" s="137"/>
      <c r="F390" s="133">
        <f t="shared" si="18"/>
        <v>0</v>
      </c>
    </row>
    <row r="391" spans="1:6" ht="20.25" customHeight="1">
      <c r="A391" s="133"/>
      <c r="B391" s="134"/>
      <c r="C391" s="139" t="s">
        <v>4159</v>
      </c>
      <c r="D391" s="136"/>
      <c r="E391" s="137"/>
      <c r="F391" s="133">
        <f t="shared" si="18"/>
        <v>0</v>
      </c>
    </row>
    <row r="392" spans="1:6" ht="20.25" customHeight="1">
      <c r="A392" s="133"/>
      <c r="B392" s="134"/>
      <c r="C392" s="139" t="s">
        <v>4160</v>
      </c>
      <c r="D392" s="136"/>
      <c r="E392" s="137"/>
      <c r="F392" s="133">
        <f t="shared" si="18"/>
        <v>0</v>
      </c>
    </row>
    <row r="393" spans="1:6" ht="20.25" customHeight="1">
      <c r="A393" s="133"/>
      <c r="B393" s="134"/>
      <c r="C393" s="139" t="s">
        <v>5077</v>
      </c>
      <c r="D393" s="136"/>
      <c r="E393" s="137"/>
      <c r="F393" s="133">
        <f t="shared" si="18"/>
        <v>0</v>
      </c>
    </row>
    <row r="394" spans="1:6" ht="20.25" customHeight="1">
      <c r="A394" s="133"/>
      <c r="B394" s="134"/>
      <c r="C394" s="139" t="s">
        <v>4162</v>
      </c>
      <c r="D394" s="136"/>
      <c r="E394" s="137"/>
      <c r="F394" s="133">
        <f t="shared" si="18"/>
        <v>0</v>
      </c>
    </row>
    <row r="395" spans="1:6" ht="20.25" customHeight="1">
      <c r="A395" s="133"/>
      <c r="B395" s="134"/>
      <c r="C395" s="139" t="s">
        <v>4163</v>
      </c>
      <c r="D395" s="136"/>
      <c r="E395" s="137"/>
      <c r="F395" s="133">
        <f t="shared" si="18"/>
        <v>0</v>
      </c>
    </row>
    <row r="396" spans="1:6" ht="20.25" customHeight="1">
      <c r="A396" s="133"/>
      <c r="B396" s="134"/>
      <c r="C396" s="139" t="s">
        <v>4164</v>
      </c>
      <c r="D396" s="136"/>
      <c r="E396" s="137"/>
      <c r="F396" s="133">
        <f t="shared" si="18"/>
        <v>0</v>
      </c>
    </row>
    <row r="397" spans="1:6" ht="20.25" customHeight="1">
      <c r="A397" s="133"/>
      <c r="B397" s="134"/>
      <c r="C397" s="139" t="s">
        <v>5078</v>
      </c>
      <c r="D397" s="136"/>
      <c r="E397" s="137"/>
      <c r="F397" s="133">
        <f t="shared" si="18"/>
        <v>0</v>
      </c>
    </row>
    <row r="398" spans="1:6" ht="20.25" customHeight="1">
      <c r="A398" s="133"/>
      <c r="B398" s="134"/>
      <c r="C398" s="139" t="s">
        <v>4166</v>
      </c>
      <c r="D398" s="136"/>
      <c r="E398" s="137"/>
      <c r="F398" s="133">
        <f t="shared" si="18"/>
        <v>0</v>
      </c>
    </row>
    <row r="399" spans="1:6" ht="20.25" customHeight="1">
      <c r="A399" s="133"/>
      <c r="B399" s="134"/>
      <c r="C399" s="139" t="s">
        <v>4167</v>
      </c>
      <c r="D399" s="136"/>
      <c r="E399" s="137"/>
      <c r="F399" s="133">
        <f t="shared" si="18"/>
        <v>0</v>
      </c>
    </row>
    <row r="400" spans="1:6" ht="20.25" customHeight="1">
      <c r="A400" s="133"/>
      <c r="B400" s="134"/>
      <c r="C400" s="139" t="s">
        <v>4168</v>
      </c>
      <c r="D400" s="136"/>
      <c r="E400" s="137"/>
      <c r="F400" s="133">
        <f t="shared" si="18"/>
        <v>0</v>
      </c>
    </row>
    <row r="401" spans="1:6" ht="20.25" customHeight="1">
      <c r="A401" s="133"/>
      <c r="B401" s="134"/>
      <c r="C401" s="139"/>
      <c r="D401" s="136"/>
      <c r="E401" s="137"/>
      <c r="F401" s="133">
        <f t="shared" si="18"/>
        <v>0</v>
      </c>
    </row>
    <row r="402" spans="1:6" ht="20.25" customHeight="1">
      <c r="A402" s="133"/>
      <c r="B402" s="134"/>
      <c r="C402" s="139" t="s">
        <v>5079</v>
      </c>
      <c r="D402" s="136"/>
      <c r="E402" s="137"/>
      <c r="F402" s="133">
        <f t="shared" si="18"/>
        <v>0</v>
      </c>
    </row>
    <row r="403" spans="1:6" ht="20.25" customHeight="1">
      <c r="A403" s="133"/>
      <c r="B403" s="134"/>
      <c r="C403" s="139"/>
      <c r="D403" s="136"/>
      <c r="E403" s="137"/>
      <c r="F403" s="133">
        <f t="shared" si="18"/>
        <v>0</v>
      </c>
    </row>
    <row r="404" spans="1:6" ht="20.25" customHeight="1">
      <c r="A404" s="133">
        <v>10.08</v>
      </c>
      <c r="B404" s="134" t="s">
        <v>909</v>
      </c>
      <c r="C404" s="139" t="s">
        <v>5080</v>
      </c>
      <c r="D404" s="136">
        <v>526</v>
      </c>
      <c r="E404" s="137" t="s">
        <v>909</v>
      </c>
      <c r="F404" s="133">
        <f t="shared" si="18"/>
        <v>5302.08</v>
      </c>
    </row>
    <row r="405" spans="1:6" ht="20.25" customHeight="1">
      <c r="A405" s="133">
        <f>A404</f>
        <v>10.08</v>
      </c>
      <c r="B405" s="134" t="s">
        <v>909</v>
      </c>
      <c r="C405" s="139" t="s">
        <v>5081</v>
      </c>
      <c r="D405" s="136">
        <v>10</v>
      </c>
      <c r="E405" s="137" t="s">
        <v>909</v>
      </c>
      <c r="F405" s="133">
        <f t="shared" si="18"/>
        <v>100.8</v>
      </c>
    </row>
    <row r="406" spans="1:6" ht="20.25" customHeight="1">
      <c r="A406" s="123">
        <v>438</v>
      </c>
      <c r="B406" s="124" t="s">
        <v>4177</v>
      </c>
      <c r="C406" s="128" t="s">
        <v>4178</v>
      </c>
      <c r="D406" s="123">
        <v>1</v>
      </c>
      <c r="E406" s="126" t="s">
        <v>4177</v>
      </c>
      <c r="F406" s="133">
        <f t="shared" si="18"/>
        <v>438</v>
      </c>
    </row>
    <row r="407" spans="1:6" ht="20.25" customHeight="1">
      <c r="A407" s="123">
        <v>2</v>
      </c>
      <c r="B407" s="124" t="s">
        <v>1389</v>
      </c>
      <c r="C407" s="128" t="s">
        <v>5159</v>
      </c>
      <c r="D407" s="123">
        <f>9355+893+404</f>
        <v>10652</v>
      </c>
      <c r="E407" s="126" t="str">
        <f>B407</f>
        <v>No</v>
      </c>
      <c r="F407" s="133">
        <f t="shared" si="18"/>
        <v>21304</v>
      </c>
    </row>
    <row r="408" spans="1:6" ht="20.25" customHeight="1">
      <c r="A408" s="123">
        <v>1</v>
      </c>
      <c r="B408" s="124" t="s">
        <v>1389</v>
      </c>
      <c r="C408" s="128" t="s">
        <v>5163</v>
      </c>
      <c r="D408" s="123">
        <v>9798</v>
      </c>
      <c r="E408" s="126" t="str">
        <f>B408</f>
        <v>No</v>
      </c>
      <c r="F408" s="133">
        <f t="shared" si="18"/>
        <v>9798</v>
      </c>
    </row>
    <row r="409" spans="1:6" ht="20.25" customHeight="1">
      <c r="A409" s="123">
        <v>1</v>
      </c>
      <c r="B409" s="124" t="s">
        <v>1389</v>
      </c>
      <c r="C409" s="128" t="s">
        <v>5164</v>
      </c>
      <c r="D409" s="123">
        <f>6195+235</f>
        <v>6430</v>
      </c>
      <c r="E409" s="126" t="str">
        <f>B409</f>
        <v>No</v>
      </c>
      <c r="F409" s="133">
        <f t="shared" si="18"/>
        <v>6430</v>
      </c>
    </row>
    <row r="410" spans="1:6" ht="20.25" customHeight="1">
      <c r="A410" s="132">
        <v>0.86399999999999999</v>
      </c>
      <c r="B410" s="124" t="s">
        <v>2273</v>
      </c>
      <c r="C410" s="128" t="str">
        <f>C287</f>
        <v>Cost of hylum sheet 6mm [SR 2020-21 / P.129]</v>
      </c>
      <c r="D410" s="123">
        <f>D287</f>
        <v>1322</v>
      </c>
      <c r="E410" s="126" t="s">
        <v>2273</v>
      </c>
      <c r="F410" s="133">
        <f t="shared" si="18"/>
        <v>1142.21</v>
      </c>
    </row>
    <row r="411" spans="1:6" ht="20.25" customHeight="1">
      <c r="A411" s="123">
        <v>12</v>
      </c>
      <c r="B411" s="124" t="s">
        <v>1389</v>
      </c>
      <c r="C411" s="128" t="s">
        <v>4181</v>
      </c>
      <c r="D411" s="123">
        <f>D288</f>
        <v>20</v>
      </c>
      <c r="E411" s="126" t="s">
        <v>1389</v>
      </c>
      <c r="F411" s="133">
        <f t="shared" si="18"/>
        <v>240</v>
      </c>
    </row>
    <row r="412" spans="1:6" ht="20.25" customHeight="1">
      <c r="A412" s="123">
        <v>3</v>
      </c>
      <c r="B412" s="124" t="s">
        <v>145</v>
      </c>
      <c r="C412" s="128" t="s">
        <v>4182</v>
      </c>
      <c r="D412" s="123">
        <f>D289</f>
        <v>280</v>
      </c>
      <c r="E412" s="126" t="s">
        <v>145</v>
      </c>
      <c r="F412" s="133">
        <f t="shared" si="18"/>
        <v>840</v>
      </c>
    </row>
    <row r="413" spans="1:6" ht="20.25" customHeight="1">
      <c r="A413" s="123">
        <v>3</v>
      </c>
      <c r="B413" s="124" t="s">
        <v>1389</v>
      </c>
      <c r="C413" s="224" t="str">
        <f>C290</f>
        <v>16A fuse units [SR 2022-23 / P.120]</v>
      </c>
      <c r="D413" s="123">
        <f>D290</f>
        <v>48.05</v>
      </c>
      <c r="E413" s="126" t="str">
        <f>B413</f>
        <v>No</v>
      </c>
      <c r="F413" s="133">
        <f t="shared" si="18"/>
        <v>144.15</v>
      </c>
    </row>
    <row r="414" spans="1:6" ht="20.25" customHeight="1">
      <c r="A414" s="123">
        <v>5</v>
      </c>
      <c r="B414" s="124" t="s">
        <v>823</v>
      </c>
      <c r="C414" s="123" t="str">
        <f>C291</f>
        <v>1 sqmm PVC copper cable [SR 2022-23 / P.125]</v>
      </c>
      <c r="D414" s="123">
        <f>D291</f>
        <v>10.45</v>
      </c>
      <c r="E414" s="126" t="str">
        <f>B414</f>
        <v>Rmt</v>
      </c>
      <c r="F414" s="133">
        <f t="shared" si="18"/>
        <v>52.25</v>
      </c>
    </row>
    <row r="415" spans="1:6" ht="20.25" customHeight="1">
      <c r="A415" s="123">
        <v>46.33</v>
      </c>
      <c r="B415" s="124" t="s">
        <v>1637</v>
      </c>
      <c r="C415" s="224" t="str">
        <f>C292</f>
        <v>MS sheet fabrication charges [SR 2022-23 / P.29]</v>
      </c>
      <c r="D415" s="123">
        <f>D292</f>
        <v>52.5</v>
      </c>
      <c r="E415" s="126" t="str">
        <f>B415</f>
        <v>Kg</v>
      </c>
      <c r="F415" s="133">
        <f t="shared" si="18"/>
        <v>2432.33</v>
      </c>
    </row>
    <row r="416" spans="1:6" ht="20.25" customHeight="1">
      <c r="A416" s="123">
        <v>29.4</v>
      </c>
      <c r="B416" s="124" t="s">
        <v>1637</v>
      </c>
      <c r="C416" s="224" t="str">
        <f>C293</f>
        <v>Angle iron fabrication charges [SR 2022-23 / P.34]</v>
      </c>
      <c r="D416" s="123">
        <f>D415</f>
        <v>52.5</v>
      </c>
      <c r="E416" s="126" t="str">
        <f>B416</f>
        <v>Kg</v>
      </c>
      <c r="F416" s="133">
        <f t="shared" si="18"/>
        <v>1543.5</v>
      </c>
    </row>
    <row r="417" spans="1:6" ht="20.25" customHeight="1">
      <c r="A417" s="123">
        <v>4</v>
      </c>
      <c r="B417" s="124" t="s">
        <v>1427</v>
      </c>
      <c r="C417" s="224" t="str">
        <f>C294</f>
        <v>MCB / Pilot lamp fixing charges vide SD - 141</v>
      </c>
      <c r="D417" s="123">
        <f>D294</f>
        <v>501.25</v>
      </c>
      <c r="E417" s="129" t="s">
        <v>1706</v>
      </c>
      <c r="F417" s="133">
        <f t="shared" si="18"/>
        <v>2005</v>
      </c>
    </row>
    <row r="418" spans="1:6" ht="20.25" customHeight="1">
      <c r="A418" s="123">
        <v>72</v>
      </c>
      <c r="B418" s="124" t="s">
        <v>4795</v>
      </c>
      <c r="C418" s="128" t="s">
        <v>4796</v>
      </c>
      <c r="D418" s="123">
        <v>10</v>
      </c>
      <c r="E418" s="126" t="s">
        <v>4797</v>
      </c>
      <c r="F418" s="133">
        <f t="shared" si="18"/>
        <v>720</v>
      </c>
    </row>
    <row r="419" spans="1:6" ht="20.25" customHeight="1">
      <c r="A419" s="133"/>
      <c r="B419" s="134"/>
      <c r="C419" s="139" t="s">
        <v>4189</v>
      </c>
      <c r="D419" s="136"/>
      <c r="E419" s="137"/>
      <c r="F419" s="133">
        <v>200</v>
      </c>
    </row>
    <row r="420" spans="1:6" ht="20.25" customHeight="1">
      <c r="A420" s="133"/>
      <c r="B420" s="134"/>
      <c r="C420" s="139"/>
      <c r="D420" s="136" t="s">
        <v>2235</v>
      </c>
      <c r="E420" s="137"/>
      <c r="F420" s="138">
        <f>SUM(F380:F419)</f>
        <v>56584.84</v>
      </c>
    </row>
    <row r="421" spans="1:6" ht="20.25" customHeight="1">
      <c r="A421" s="133"/>
      <c r="B421" s="134"/>
      <c r="C421" s="139" t="s">
        <v>4190</v>
      </c>
      <c r="D421" s="136"/>
      <c r="E421" s="137"/>
      <c r="F421" s="133">
        <f>F420*2/100</f>
        <v>1131.7</v>
      </c>
    </row>
    <row r="422" spans="1:6" ht="20.25" customHeight="1">
      <c r="A422" s="133"/>
      <c r="B422" s="134"/>
      <c r="C422" s="139"/>
      <c r="D422" s="136"/>
      <c r="E422" s="137"/>
      <c r="F422" s="138">
        <f>SUM(F420:F421)</f>
        <v>57716.54</v>
      </c>
    </row>
    <row r="423" spans="1:6" ht="20.25" customHeight="1">
      <c r="A423" s="123"/>
      <c r="B423" s="124"/>
      <c r="C423" s="128" t="s">
        <v>4191</v>
      </c>
      <c r="D423" s="126"/>
      <c r="E423" s="126"/>
      <c r="F423" s="123">
        <v>1000</v>
      </c>
    </row>
    <row r="424" spans="1:6" ht="20.25" customHeight="1">
      <c r="A424" s="123"/>
      <c r="B424" s="124"/>
      <c r="C424" s="128" t="s">
        <v>4192</v>
      </c>
      <c r="D424" s="126"/>
      <c r="E424" s="126"/>
      <c r="F424" s="123">
        <v>1000</v>
      </c>
    </row>
    <row r="425" spans="1:6" ht="20.25" customHeight="1">
      <c r="A425" s="123"/>
      <c r="B425" s="124"/>
      <c r="C425" s="128"/>
      <c r="D425" s="126"/>
      <c r="E425" s="126"/>
      <c r="F425" s="130">
        <f>SUM(F422:F424)</f>
        <v>59716.54</v>
      </c>
    </row>
    <row r="426" spans="1:6" ht="20.25" customHeight="1">
      <c r="A426" s="158"/>
      <c r="B426" s="157"/>
      <c r="C426" s="128"/>
      <c r="D426" s="126"/>
      <c r="E426" s="125" t="s">
        <v>5023</v>
      </c>
      <c r="F426" s="159">
        <v>58902</v>
      </c>
    </row>
    <row r="427" spans="1:6" ht="20.25" customHeight="1">
      <c r="A427" s="133"/>
      <c r="B427" s="134"/>
      <c r="C427" s="139"/>
      <c r="D427" s="136"/>
      <c r="E427" s="137"/>
      <c r="F427" s="138"/>
    </row>
    <row r="428" spans="1:6" ht="20.25" customHeight="1">
      <c r="D428" s="1236"/>
      <c r="E428" s="1236"/>
      <c r="F428" s="1236"/>
    </row>
    <row r="430" spans="1:6" ht="20.25" customHeight="1">
      <c r="A430" s="133"/>
      <c r="B430" s="134"/>
      <c r="C430" s="135" t="s">
        <v>5168</v>
      </c>
      <c r="D430" s="136"/>
      <c r="E430" s="137"/>
      <c r="F430" s="138"/>
    </row>
    <row r="431" spans="1:6" ht="20.25" customHeight="1">
      <c r="A431" s="133"/>
      <c r="B431" s="134"/>
      <c r="C431" s="139" t="s">
        <v>5169</v>
      </c>
      <c r="D431" s="136"/>
      <c r="E431" s="137"/>
      <c r="F431" s="133"/>
    </row>
    <row r="432" spans="1:6" ht="20.25" customHeight="1">
      <c r="A432" s="133"/>
      <c r="B432" s="134"/>
      <c r="C432" s="140" t="s">
        <v>4141</v>
      </c>
      <c r="D432" s="136"/>
      <c r="E432" s="137"/>
      <c r="F432" s="133"/>
    </row>
    <row r="433" spans="1:6" ht="20.25" customHeight="1">
      <c r="A433" s="133"/>
      <c r="B433" s="134"/>
      <c r="C433" s="139" t="s">
        <v>5171</v>
      </c>
      <c r="D433" s="141">
        <f>4.5*6.42*2</f>
        <v>57.78</v>
      </c>
      <c r="E433" s="142"/>
      <c r="F433" s="143"/>
    </row>
    <row r="434" spans="1:6" ht="20.25" customHeight="1">
      <c r="A434" s="133"/>
      <c r="B434" s="134"/>
      <c r="C434" s="139" t="s">
        <v>5172</v>
      </c>
      <c r="D434" s="141">
        <f>4.5*1*2</f>
        <v>9</v>
      </c>
      <c r="E434" s="142">
        <f>5/12</f>
        <v>0.42</v>
      </c>
      <c r="F434" s="143"/>
    </row>
    <row r="435" spans="1:6" ht="20.25" customHeight="1">
      <c r="A435" s="133"/>
      <c r="B435" s="134"/>
      <c r="C435" s="139" t="s">
        <v>5173</v>
      </c>
      <c r="D435" s="141">
        <f>4.5*1*2</f>
        <v>9</v>
      </c>
      <c r="E435" s="142"/>
      <c r="F435" s="143"/>
    </row>
    <row r="436" spans="1:6" ht="20.25" customHeight="1">
      <c r="A436" s="133"/>
      <c r="B436" s="134"/>
      <c r="C436" s="139" t="s">
        <v>5174</v>
      </c>
      <c r="D436" s="141">
        <f>6.42*1*2</f>
        <v>12.84</v>
      </c>
      <c r="E436" s="142"/>
      <c r="F436" s="143"/>
    </row>
    <row r="437" spans="1:6" ht="20.25" customHeight="1">
      <c r="A437" s="133"/>
      <c r="B437" s="134"/>
      <c r="C437" s="139" t="s">
        <v>5175</v>
      </c>
      <c r="D437" s="141">
        <f>SUM(D433:D436)</f>
        <v>88.62</v>
      </c>
      <c r="E437" s="142"/>
      <c r="F437" s="143"/>
    </row>
    <row r="438" spans="1:6" ht="20.25" customHeight="1">
      <c r="A438" s="133"/>
      <c r="B438" s="134"/>
      <c r="C438" s="140"/>
      <c r="D438" s="141">
        <f>D437*10%</f>
        <v>8.86</v>
      </c>
      <c r="E438" s="142"/>
      <c r="F438" s="143"/>
    </row>
    <row r="439" spans="1:6" ht="20.25" customHeight="1">
      <c r="A439" s="133"/>
      <c r="B439" s="134"/>
      <c r="C439" s="139" t="s">
        <v>5176</v>
      </c>
      <c r="D439" s="141">
        <f>SUM(D437:D438)</f>
        <v>97.48</v>
      </c>
      <c r="E439" s="142"/>
      <c r="F439" s="143"/>
    </row>
    <row r="440" spans="1:6" ht="20.25" customHeight="1">
      <c r="A440" s="144"/>
      <c r="B440" s="134"/>
      <c r="C440" s="140" t="s">
        <v>5177</v>
      </c>
      <c r="D440" s="141">
        <f>D439*1.17</f>
        <v>114.05</v>
      </c>
      <c r="E440" s="142"/>
      <c r="F440" s="143"/>
    </row>
    <row r="441" spans="1:6" ht="20.25" customHeight="1">
      <c r="A441" s="133"/>
      <c r="B441" s="134"/>
      <c r="C441" s="139" t="s">
        <v>5178</v>
      </c>
      <c r="D441" s="136"/>
      <c r="E441" s="137"/>
      <c r="F441" s="133"/>
    </row>
    <row r="442" spans="1:6" ht="20.25" customHeight="1">
      <c r="A442" s="133"/>
      <c r="B442" s="134"/>
      <c r="C442" s="139"/>
      <c r="D442" s="136"/>
      <c r="E442" s="137"/>
      <c r="F442" s="133"/>
    </row>
    <row r="443" spans="1:6" ht="20.25" customHeight="1">
      <c r="A443" s="133">
        <v>81.099999999999994</v>
      </c>
      <c r="B443" s="134" t="s">
        <v>909</v>
      </c>
      <c r="C443" s="139" t="s">
        <v>5075</v>
      </c>
      <c r="D443" s="136">
        <v>51.4</v>
      </c>
      <c r="E443" s="137" t="s">
        <v>909</v>
      </c>
      <c r="F443" s="133">
        <f>D443*A443</f>
        <v>4168.54</v>
      </c>
    </row>
    <row r="444" spans="1:6" ht="20.25" customHeight="1">
      <c r="A444" s="144"/>
      <c r="B444" s="134"/>
      <c r="C444" s="140" t="s">
        <v>4149</v>
      </c>
      <c r="D444" s="136"/>
      <c r="E444" s="137"/>
      <c r="F444" s="133">
        <f t="shared" ref="F444:F480" si="19">D444*A444</f>
        <v>0</v>
      </c>
    </row>
    <row r="445" spans="1:6" ht="20.25" customHeight="1">
      <c r="A445" s="133"/>
      <c r="B445" s="134"/>
      <c r="C445" s="139" t="s">
        <v>4150</v>
      </c>
      <c r="D445" s="136"/>
      <c r="E445" s="137"/>
      <c r="F445" s="133">
        <f t="shared" si="19"/>
        <v>0</v>
      </c>
    </row>
    <row r="446" spans="1:6" ht="20.25" customHeight="1">
      <c r="A446" s="133"/>
      <c r="B446" s="134"/>
      <c r="C446" s="139" t="s">
        <v>4815</v>
      </c>
      <c r="D446" s="136"/>
      <c r="E446" s="137"/>
      <c r="F446" s="133">
        <f t="shared" si="19"/>
        <v>0</v>
      </c>
    </row>
    <row r="447" spans="1:6" ht="20.25" customHeight="1">
      <c r="A447" s="133"/>
      <c r="B447" s="134"/>
      <c r="C447" s="139" t="s">
        <v>4773</v>
      </c>
      <c r="D447" s="136"/>
      <c r="E447" s="137"/>
      <c r="F447" s="133">
        <f t="shared" si="19"/>
        <v>0</v>
      </c>
    </row>
    <row r="448" spans="1:6" ht="20.25" customHeight="1">
      <c r="A448" s="133"/>
      <c r="B448" s="134"/>
      <c r="C448" s="139" t="s">
        <v>4814</v>
      </c>
      <c r="D448" s="136"/>
      <c r="E448" s="137"/>
      <c r="F448" s="133">
        <f t="shared" si="19"/>
        <v>0</v>
      </c>
    </row>
    <row r="449" spans="1:6" ht="20.25" customHeight="1">
      <c r="A449" s="133"/>
      <c r="B449" s="134"/>
      <c r="C449" s="139" t="s">
        <v>5179</v>
      </c>
      <c r="D449" s="136"/>
      <c r="E449" s="137"/>
      <c r="F449" s="133">
        <f t="shared" si="19"/>
        <v>0</v>
      </c>
    </row>
    <row r="450" spans="1:6" ht="20.25" customHeight="1">
      <c r="A450" s="133"/>
      <c r="B450" s="134"/>
      <c r="C450" s="139" t="s">
        <v>5180</v>
      </c>
      <c r="D450" s="136"/>
      <c r="E450" s="137"/>
      <c r="F450" s="133">
        <f t="shared" si="19"/>
        <v>0</v>
      </c>
    </row>
    <row r="451" spans="1:6" ht="20.25" customHeight="1">
      <c r="A451" s="133"/>
      <c r="B451" s="134"/>
      <c r="C451" s="139" t="s">
        <v>5181</v>
      </c>
      <c r="D451" s="136"/>
      <c r="E451" s="137"/>
      <c r="F451" s="133">
        <f t="shared" si="19"/>
        <v>0</v>
      </c>
    </row>
    <row r="452" spans="1:6" ht="20.25" customHeight="1">
      <c r="A452" s="133">
        <v>110</v>
      </c>
      <c r="B452" s="134" t="s">
        <v>909</v>
      </c>
      <c r="C452" s="139" t="s">
        <v>5076</v>
      </c>
      <c r="D452" s="136">
        <f>D443</f>
        <v>51.4</v>
      </c>
      <c r="E452" s="137" t="s">
        <v>909</v>
      </c>
      <c r="F452" s="133">
        <f t="shared" si="19"/>
        <v>5654</v>
      </c>
    </row>
    <row r="453" spans="1:6" ht="20.25" customHeight="1">
      <c r="A453" s="133"/>
      <c r="B453" s="134"/>
      <c r="C453" s="140" t="s">
        <v>4158</v>
      </c>
      <c r="D453" s="136"/>
      <c r="E453" s="137"/>
      <c r="F453" s="133">
        <f t="shared" si="19"/>
        <v>0</v>
      </c>
    </row>
    <row r="454" spans="1:6" ht="20.25" customHeight="1">
      <c r="A454" s="133"/>
      <c r="B454" s="134"/>
      <c r="C454" s="139" t="s">
        <v>4159</v>
      </c>
      <c r="D454" s="136"/>
      <c r="E454" s="137"/>
      <c r="F454" s="133">
        <f t="shared" si="19"/>
        <v>0</v>
      </c>
    </row>
    <row r="455" spans="1:6" ht="20.25" customHeight="1">
      <c r="A455" s="133"/>
      <c r="B455" s="134"/>
      <c r="C455" s="139" t="s">
        <v>4160</v>
      </c>
      <c r="D455" s="136"/>
      <c r="E455" s="137"/>
      <c r="F455" s="133">
        <f t="shared" si="19"/>
        <v>0</v>
      </c>
    </row>
    <row r="456" spans="1:6" ht="20.25" customHeight="1">
      <c r="A456" s="133"/>
      <c r="B456" s="134"/>
      <c r="C456" s="139" t="s">
        <v>5182</v>
      </c>
      <c r="D456" s="136"/>
      <c r="E456" s="137"/>
      <c r="F456" s="133">
        <f t="shared" si="19"/>
        <v>0</v>
      </c>
    </row>
    <row r="457" spans="1:6" ht="20.25" customHeight="1">
      <c r="A457" s="133"/>
      <c r="B457" s="134"/>
      <c r="C457" s="139" t="s">
        <v>5183</v>
      </c>
      <c r="D457" s="136"/>
      <c r="E457" s="137"/>
      <c r="F457" s="133">
        <f t="shared" si="19"/>
        <v>0</v>
      </c>
    </row>
    <row r="458" spans="1:6" ht="20.25" customHeight="1">
      <c r="A458" s="133"/>
      <c r="B458" s="134"/>
      <c r="C458" s="139" t="s">
        <v>5184</v>
      </c>
      <c r="D458" s="136"/>
      <c r="E458" s="137"/>
      <c r="F458" s="133">
        <f t="shared" si="19"/>
        <v>0</v>
      </c>
    </row>
    <row r="459" spans="1:6" ht="20.25" customHeight="1">
      <c r="A459" s="133"/>
      <c r="B459" s="134"/>
      <c r="C459" s="139" t="s">
        <v>5185</v>
      </c>
      <c r="D459" s="136"/>
      <c r="E459" s="137"/>
      <c r="F459" s="133">
        <f t="shared" si="19"/>
        <v>0</v>
      </c>
    </row>
    <row r="460" spans="1:6" ht="20.25" customHeight="1">
      <c r="A460" s="133"/>
      <c r="B460" s="134"/>
      <c r="C460" s="139" t="s">
        <v>5186</v>
      </c>
      <c r="D460" s="136"/>
      <c r="E460" s="137"/>
      <c r="F460" s="133">
        <f t="shared" si="19"/>
        <v>0</v>
      </c>
    </row>
    <row r="461" spans="1:6" ht="20.25" customHeight="1">
      <c r="A461" s="133"/>
      <c r="B461" s="134"/>
      <c r="C461" s="139" t="s">
        <v>5187</v>
      </c>
      <c r="D461" s="136"/>
      <c r="E461" s="137"/>
      <c r="F461" s="133">
        <f t="shared" si="19"/>
        <v>0</v>
      </c>
    </row>
    <row r="462" spans="1:6" ht="20.25" customHeight="1">
      <c r="A462" s="133"/>
      <c r="B462" s="134"/>
      <c r="C462" s="139" t="s">
        <v>5188</v>
      </c>
      <c r="D462" s="136"/>
      <c r="E462" s="137"/>
      <c r="F462" s="133">
        <f t="shared" si="19"/>
        <v>0</v>
      </c>
    </row>
    <row r="463" spans="1:6" ht="20.25" customHeight="1">
      <c r="A463" s="133"/>
      <c r="B463" s="134"/>
      <c r="C463" s="139"/>
      <c r="D463" s="136"/>
      <c r="E463" s="137"/>
      <c r="F463" s="133">
        <f t="shared" si="19"/>
        <v>0</v>
      </c>
    </row>
    <row r="464" spans="1:6" ht="20.25" customHeight="1">
      <c r="A464" s="133"/>
      <c r="B464" s="134"/>
      <c r="C464" s="139" t="s">
        <v>5189</v>
      </c>
      <c r="D464" s="136"/>
      <c r="E464" s="137"/>
      <c r="F464" s="133">
        <f t="shared" si="19"/>
        <v>0</v>
      </c>
    </row>
    <row r="465" spans="1:6" ht="20.25" customHeight="1">
      <c r="A465" s="133"/>
      <c r="B465" s="134"/>
      <c r="C465" s="139"/>
      <c r="D465" s="136"/>
      <c r="E465" s="137"/>
      <c r="F465" s="133">
        <f t="shared" si="19"/>
        <v>0</v>
      </c>
    </row>
    <row r="466" spans="1:6" ht="20.25" customHeight="1">
      <c r="A466" s="133">
        <v>18.55</v>
      </c>
      <c r="B466" s="134" t="s">
        <v>909</v>
      </c>
      <c r="C466" s="139" t="s">
        <v>5080</v>
      </c>
      <c r="D466" s="136">
        <v>526</v>
      </c>
      <c r="E466" s="137" t="s">
        <v>909</v>
      </c>
      <c r="F466" s="133">
        <f t="shared" si="19"/>
        <v>9757.2999999999993</v>
      </c>
    </row>
    <row r="467" spans="1:6" ht="20.25" customHeight="1">
      <c r="A467" s="133">
        <f>A466</f>
        <v>18.55</v>
      </c>
      <c r="B467" s="134" t="s">
        <v>909</v>
      </c>
      <c r="C467" s="139" t="s">
        <v>5081</v>
      </c>
      <c r="D467" s="136">
        <v>10</v>
      </c>
      <c r="E467" s="137" t="s">
        <v>909</v>
      </c>
      <c r="F467" s="133">
        <f t="shared" si="19"/>
        <v>185.5</v>
      </c>
    </row>
    <row r="468" spans="1:6" ht="20.25" customHeight="1">
      <c r="A468" s="123">
        <v>440</v>
      </c>
      <c r="B468" s="124" t="s">
        <v>4177</v>
      </c>
      <c r="C468" s="128" t="s">
        <v>4178</v>
      </c>
      <c r="D468" s="123">
        <v>1</v>
      </c>
      <c r="E468" s="126" t="s">
        <v>4177</v>
      </c>
      <c r="F468" s="133">
        <f t="shared" si="19"/>
        <v>440</v>
      </c>
    </row>
    <row r="469" spans="1:6" ht="20.25" customHeight="1">
      <c r="A469" s="123">
        <v>1</v>
      </c>
      <c r="B469" s="124" t="s">
        <v>1389</v>
      </c>
      <c r="C469" s="128" t="s">
        <v>5170</v>
      </c>
      <c r="D469" s="123">
        <v>17850</v>
      </c>
      <c r="E469" s="126" t="str">
        <f>B469</f>
        <v>No</v>
      </c>
      <c r="F469" s="133">
        <f t="shared" si="19"/>
        <v>17850</v>
      </c>
    </row>
    <row r="470" spans="1:6" ht="20.25" customHeight="1">
      <c r="A470" s="123">
        <v>2</v>
      </c>
      <c r="B470" s="124" t="s">
        <v>1389</v>
      </c>
      <c r="C470" s="128" t="s">
        <v>5163</v>
      </c>
      <c r="D470" s="123">
        <v>9798</v>
      </c>
      <c r="E470" s="126" t="str">
        <f>B470</f>
        <v>No</v>
      </c>
      <c r="F470" s="133">
        <f t="shared" si="19"/>
        <v>19596</v>
      </c>
    </row>
    <row r="471" spans="1:6" ht="20.25" customHeight="1">
      <c r="A471" s="123">
        <v>1</v>
      </c>
      <c r="B471" s="124" t="s">
        <v>1389</v>
      </c>
      <c r="C471" s="128" t="s">
        <v>5164</v>
      </c>
      <c r="D471" s="123">
        <f>6195+235</f>
        <v>6430</v>
      </c>
      <c r="E471" s="126" t="str">
        <f>B471</f>
        <v>No</v>
      </c>
      <c r="F471" s="133">
        <f t="shared" si="19"/>
        <v>6430</v>
      </c>
    </row>
    <row r="472" spans="1:6" ht="20.25" customHeight="1">
      <c r="A472" s="132">
        <v>1.1499999999999999</v>
      </c>
      <c r="B472" s="124" t="s">
        <v>2273</v>
      </c>
      <c r="C472" s="128" t="s">
        <v>5153</v>
      </c>
      <c r="D472" s="126">
        <v>1260</v>
      </c>
      <c r="E472" s="126" t="s">
        <v>2273</v>
      </c>
      <c r="F472" s="133">
        <f t="shared" si="19"/>
        <v>1449</v>
      </c>
    </row>
    <row r="473" spans="1:6" ht="20.25" customHeight="1">
      <c r="A473" s="123">
        <v>12</v>
      </c>
      <c r="B473" s="124" t="s">
        <v>1389</v>
      </c>
      <c r="C473" s="128" t="s">
        <v>4181</v>
      </c>
      <c r="D473" s="123">
        <v>20</v>
      </c>
      <c r="E473" s="126" t="s">
        <v>1389</v>
      </c>
      <c r="F473" s="133">
        <f t="shared" si="19"/>
        <v>240</v>
      </c>
    </row>
    <row r="474" spans="1:6" ht="20.25" customHeight="1">
      <c r="A474" s="123">
        <v>3</v>
      </c>
      <c r="B474" s="124" t="s">
        <v>145</v>
      </c>
      <c r="C474" s="128" t="s">
        <v>4182</v>
      </c>
      <c r="D474" s="123">
        <v>280</v>
      </c>
      <c r="E474" s="126" t="s">
        <v>145</v>
      </c>
      <c r="F474" s="133">
        <f t="shared" si="19"/>
        <v>840</v>
      </c>
    </row>
    <row r="475" spans="1:6" ht="20.25" customHeight="1">
      <c r="A475" s="123">
        <v>3</v>
      </c>
      <c r="B475" s="124" t="s">
        <v>1389</v>
      </c>
      <c r="C475" s="128" t="s">
        <v>5165</v>
      </c>
      <c r="D475" s="123">
        <v>47.6</v>
      </c>
      <c r="E475" s="126" t="str">
        <f>B475</f>
        <v>No</v>
      </c>
      <c r="F475" s="133">
        <f t="shared" si="19"/>
        <v>142.80000000000001</v>
      </c>
    </row>
    <row r="476" spans="1:6" ht="20.25" customHeight="1">
      <c r="A476" s="123">
        <v>5</v>
      </c>
      <c r="B476" s="124" t="s">
        <v>823</v>
      </c>
      <c r="C476" s="128" t="s">
        <v>5166</v>
      </c>
      <c r="D476" s="123">
        <v>9.8000000000000007</v>
      </c>
      <c r="E476" s="126" t="str">
        <f>B476</f>
        <v>Rmt</v>
      </c>
      <c r="F476" s="133">
        <f t="shared" si="19"/>
        <v>49</v>
      </c>
    </row>
    <row r="477" spans="1:6" ht="20.25" customHeight="1">
      <c r="A477" s="123">
        <v>81.099999999999994</v>
      </c>
      <c r="B477" s="124" t="s">
        <v>1637</v>
      </c>
      <c r="C477" s="128" t="s">
        <v>4792</v>
      </c>
      <c r="D477" s="123">
        <v>47.8</v>
      </c>
      <c r="E477" s="126" t="str">
        <f>B477</f>
        <v>Kg</v>
      </c>
      <c r="F477" s="133">
        <f t="shared" si="19"/>
        <v>3876.58</v>
      </c>
    </row>
    <row r="478" spans="1:6" ht="20.25" customHeight="1">
      <c r="A478" s="123">
        <v>110</v>
      </c>
      <c r="B478" s="124" t="s">
        <v>1637</v>
      </c>
      <c r="C478" s="128" t="s">
        <v>4793</v>
      </c>
      <c r="D478" s="123">
        <f>D477</f>
        <v>47.8</v>
      </c>
      <c r="E478" s="126" t="str">
        <f>B478</f>
        <v>Kg</v>
      </c>
      <c r="F478" s="133">
        <f t="shared" si="19"/>
        <v>5258</v>
      </c>
    </row>
    <row r="479" spans="1:6" ht="20.25" customHeight="1">
      <c r="A479" s="123">
        <v>5</v>
      </c>
      <c r="B479" s="124" t="s">
        <v>1427</v>
      </c>
      <c r="C479" s="128" t="s">
        <v>5152</v>
      </c>
      <c r="D479" s="123">
        <v>456</v>
      </c>
      <c r="E479" s="129" t="s">
        <v>1706</v>
      </c>
      <c r="F479" s="133">
        <f t="shared" si="19"/>
        <v>2280</v>
      </c>
    </row>
    <row r="480" spans="1:6" ht="20.25" customHeight="1">
      <c r="A480" s="123">
        <v>126</v>
      </c>
      <c r="B480" s="124" t="s">
        <v>4795</v>
      </c>
      <c r="C480" s="128" t="s">
        <v>4796</v>
      </c>
      <c r="D480" s="123">
        <v>10</v>
      </c>
      <c r="E480" s="126" t="s">
        <v>4797</v>
      </c>
      <c r="F480" s="133">
        <f t="shared" si="19"/>
        <v>1260</v>
      </c>
    </row>
    <row r="481" spans="1:6" ht="20.25" customHeight="1">
      <c r="A481" s="133"/>
      <c r="B481" s="134"/>
      <c r="C481" s="139" t="s">
        <v>4189</v>
      </c>
      <c r="D481" s="136"/>
      <c r="E481" s="137"/>
      <c r="F481" s="133">
        <v>200</v>
      </c>
    </row>
    <row r="482" spans="1:6" ht="20.25" customHeight="1">
      <c r="A482" s="133"/>
      <c r="B482" s="134"/>
      <c r="C482" s="139"/>
      <c r="D482" s="136" t="s">
        <v>2235</v>
      </c>
      <c r="E482" s="137"/>
      <c r="F482" s="138">
        <f>SUM(F443:F481)</f>
        <v>79676.72</v>
      </c>
    </row>
    <row r="483" spans="1:6" ht="20.25" customHeight="1">
      <c r="A483" s="133"/>
      <c r="B483" s="134"/>
      <c r="C483" s="139" t="s">
        <v>4190</v>
      </c>
      <c r="D483" s="136"/>
      <c r="E483" s="137"/>
      <c r="F483" s="133">
        <f>F482*2/100</f>
        <v>1593.53</v>
      </c>
    </row>
    <row r="484" spans="1:6" ht="20.25" customHeight="1">
      <c r="A484" s="133"/>
      <c r="B484" s="134"/>
      <c r="C484" s="139"/>
      <c r="D484" s="136"/>
      <c r="E484" s="137"/>
      <c r="F484" s="138">
        <f>SUM(F482:F483)</f>
        <v>81270.25</v>
      </c>
    </row>
    <row r="485" spans="1:6" ht="20.25" customHeight="1">
      <c r="A485" s="123"/>
      <c r="B485" s="124"/>
      <c r="C485" s="128" t="s">
        <v>4191</v>
      </c>
      <c r="D485" s="126"/>
      <c r="E485" s="126"/>
      <c r="F485" s="123">
        <v>1000</v>
      </c>
    </row>
    <row r="486" spans="1:6" ht="20.25" customHeight="1">
      <c r="A486" s="123"/>
      <c r="B486" s="124"/>
      <c r="C486" s="128" t="s">
        <v>4192</v>
      </c>
      <c r="D486" s="126"/>
      <c r="E486" s="126"/>
      <c r="F486" s="123">
        <v>1000</v>
      </c>
    </row>
    <row r="487" spans="1:6" ht="20.25" customHeight="1">
      <c r="A487" s="123"/>
      <c r="B487" s="124"/>
      <c r="C487" s="128"/>
      <c r="D487" s="126"/>
      <c r="E487" s="126"/>
      <c r="F487" s="130">
        <f>SUM(F484:F486)</f>
        <v>83270.25</v>
      </c>
    </row>
    <row r="488" spans="1:6" ht="20.25" customHeight="1">
      <c r="A488" s="158"/>
      <c r="B488" s="157"/>
      <c r="C488" s="128"/>
      <c r="D488" s="126"/>
      <c r="E488" s="125" t="s">
        <v>5023</v>
      </c>
      <c r="F488" s="159">
        <v>83280</v>
      </c>
    </row>
    <row r="490" spans="1:6" ht="20.25" customHeight="1">
      <c r="A490" s="182"/>
      <c r="B490" s="182"/>
      <c r="C490" s="146" t="s">
        <v>5248</v>
      </c>
      <c r="D490" s="183"/>
      <c r="E490" s="182"/>
      <c r="F490" s="182"/>
    </row>
    <row r="491" spans="1:6" ht="20.25" customHeight="1">
      <c r="A491" s="182"/>
      <c r="B491" s="182"/>
      <c r="C491" s="160" t="s">
        <v>5249</v>
      </c>
      <c r="D491" s="183"/>
      <c r="E491" s="182"/>
      <c r="F491" s="182"/>
    </row>
    <row r="492" spans="1:6" ht="20.25" customHeight="1">
      <c r="A492" s="182"/>
      <c r="B492" s="182"/>
      <c r="C492" s="161" t="s">
        <v>5250</v>
      </c>
      <c r="D492" s="183"/>
      <c r="E492" s="182"/>
      <c r="F492" s="182"/>
    </row>
    <row r="493" spans="1:6" ht="20.25" customHeight="1">
      <c r="A493" s="182"/>
      <c r="B493" s="182"/>
      <c r="C493" s="182"/>
      <c r="D493" s="183"/>
      <c r="E493" s="182"/>
      <c r="F493" s="182"/>
    </row>
    <row r="494" spans="1:6" ht="20.25" customHeight="1">
      <c r="A494" s="126"/>
      <c r="B494" s="129"/>
      <c r="C494" s="125" t="s">
        <v>5221</v>
      </c>
      <c r="D494" s="123"/>
      <c r="E494" s="126"/>
      <c r="F494" s="123"/>
    </row>
    <row r="495" spans="1:6" ht="20.25" customHeight="1">
      <c r="A495" s="126"/>
      <c r="B495" s="129"/>
      <c r="C495" s="127" t="s">
        <v>5222</v>
      </c>
      <c r="D495" s="123"/>
      <c r="E495" s="126"/>
      <c r="F495" s="123"/>
    </row>
    <row r="496" spans="1:6" ht="20.25" customHeight="1">
      <c r="A496" s="126"/>
      <c r="B496" s="129"/>
      <c r="C496" s="127" t="s">
        <v>4141</v>
      </c>
      <c r="D496" s="123"/>
      <c r="E496" s="126"/>
      <c r="F496" s="123"/>
    </row>
    <row r="497" spans="1:6" ht="20.25" customHeight="1">
      <c r="A497" s="126"/>
      <c r="B497" s="129"/>
      <c r="C497" s="128" t="s">
        <v>5223</v>
      </c>
      <c r="D497" s="123"/>
      <c r="E497" s="126"/>
      <c r="F497" s="123"/>
    </row>
    <row r="498" spans="1:6" ht="20.25" customHeight="1">
      <c r="A498" s="126"/>
      <c r="B498" s="129"/>
      <c r="C498" s="128" t="s">
        <v>5224</v>
      </c>
      <c r="D498" s="123"/>
      <c r="E498" s="126"/>
      <c r="F498" s="123"/>
    </row>
    <row r="499" spans="1:6" ht="20.25" customHeight="1">
      <c r="A499" s="126"/>
      <c r="B499" s="129"/>
      <c r="C499" s="128" t="s">
        <v>5225</v>
      </c>
      <c r="D499" s="123"/>
      <c r="E499" s="126"/>
      <c r="F499" s="123"/>
    </row>
    <row r="500" spans="1:6" ht="20.25" customHeight="1">
      <c r="A500" s="126"/>
      <c r="B500" s="129"/>
      <c r="C500" s="128" t="s">
        <v>5226</v>
      </c>
      <c r="D500" s="123"/>
      <c r="E500" s="126"/>
      <c r="F500" s="123"/>
    </row>
    <row r="501" spans="1:6" ht="20.25" customHeight="1">
      <c r="A501" s="126"/>
      <c r="B501" s="129"/>
      <c r="C501" s="128" t="s">
        <v>5227</v>
      </c>
      <c r="D501" s="123"/>
      <c r="E501" s="126"/>
      <c r="F501" s="123"/>
    </row>
    <row r="502" spans="1:6" ht="20.25" customHeight="1">
      <c r="A502" s="126"/>
      <c r="B502" s="129"/>
      <c r="C502" s="127" t="s">
        <v>5228</v>
      </c>
      <c r="D502" s="173"/>
      <c r="E502" s="184"/>
      <c r="F502" s="173"/>
    </row>
    <row r="503" spans="1:6" ht="20.25" customHeight="1">
      <c r="A503" s="126"/>
      <c r="B503" s="129"/>
      <c r="C503" s="128" t="s">
        <v>5229</v>
      </c>
      <c r="D503" s="173"/>
      <c r="E503" s="184"/>
      <c r="F503" s="173"/>
    </row>
    <row r="504" spans="1:6" ht="20.25" customHeight="1">
      <c r="A504" s="126"/>
      <c r="B504" s="129"/>
      <c r="C504" s="127" t="s">
        <v>5230</v>
      </c>
      <c r="D504" s="173"/>
      <c r="E504" s="184"/>
      <c r="F504" s="173"/>
    </row>
    <row r="505" spans="1:6" ht="20.25" customHeight="1">
      <c r="A505" s="126"/>
      <c r="B505" s="129"/>
      <c r="C505" s="128" t="s">
        <v>5231</v>
      </c>
      <c r="D505" s="173"/>
      <c r="E505" s="184"/>
      <c r="F505" s="173"/>
    </row>
    <row r="506" spans="1:6" ht="20.25" customHeight="1">
      <c r="A506" s="126">
        <v>127.73</v>
      </c>
      <c r="B506" s="129" t="s">
        <v>909</v>
      </c>
      <c r="C506" s="128" t="s">
        <v>5075</v>
      </c>
      <c r="D506" s="123">
        <f>D16</f>
        <v>57.6</v>
      </c>
      <c r="E506" s="126" t="s">
        <v>909</v>
      </c>
      <c r="F506" s="123">
        <f>D506*A506</f>
        <v>7357.25</v>
      </c>
    </row>
    <row r="507" spans="1:6" ht="20.25" customHeight="1">
      <c r="A507" s="126"/>
      <c r="B507" s="129"/>
      <c r="C507" s="127" t="s">
        <v>5024</v>
      </c>
      <c r="D507" s="123"/>
      <c r="E507" s="126"/>
      <c r="F507" s="123"/>
    </row>
    <row r="508" spans="1:6" ht="20.25" customHeight="1">
      <c r="A508" s="126"/>
      <c r="B508" s="129"/>
      <c r="C508" s="128" t="s">
        <v>4150</v>
      </c>
      <c r="D508" s="123"/>
      <c r="E508" s="126"/>
      <c r="F508" s="123"/>
    </row>
    <row r="509" spans="1:6" ht="20.25" customHeight="1">
      <c r="A509" s="126"/>
      <c r="B509" s="129"/>
      <c r="C509" s="128" t="s">
        <v>4815</v>
      </c>
      <c r="D509" s="123"/>
      <c r="E509" s="126"/>
      <c r="F509" s="123"/>
    </row>
    <row r="510" spans="1:6" ht="20.25" customHeight="1">
      <c r="A510" s="126"/>
      <c r="B510" s="129"/>
      <c r="C510" s="128" t="s">
        <v>4773</v>
      </c>
      <c r="D510" s="123"/>
      <c r="E510" s="126"/>
      <c r="F510" s="123"/>
    </row>
    <row r="511" spans="1:6" ht="20.25" customHeight="1">
      <c r="A511" s="126"/>
      <c r="B511" s="129"/>
      <c r="C511" s="128" t="s">
        <v>4814</v>
      </c>
      <c r="D511" s="123"/>
      <c r="E511" s="126"/>
      <c r="F511" s="123"/>
    </row>
    <row r="512" spans="1:6" ht="20.25" customHeight="1">
      <c r="A512" s="126"/>
      <c r="B512" s="129"/>
      <c r="C512" s="128" t="s">
        <v>5232</v>
      </c>
      <c r="D512" s="123"/>
      <c r="E512" s="126"/>
      <c r="F512" s="123"/>
    </row>
    <row r="513" spans="1:6" ht="20.25" customHeight="1">
      <c r="A513" s="126"/>
      <c r="B513" s="129"/>
      <c r="C513" s="128" t="s">
        <v>5233</v>
      </c>
      <c r="D513" s="123"/>
      <c r="E513" s="126"/>
      <c r="F513" s="123"/>
    </row>
    <row r="514" spans="1:6" ht="20.25" customHeight="1">
      <c r="A514" s="126"/>
      <c r="B514" s="129"/>
      <c r="C514" s="128" t="s">
        <v>5234</v>
      </c>
      <c r="D514" s="123"/>
      <c r="E514" s="126"/>
      <c r="F514" s="123"/>
    </row>
    <row r="515" spans="1:6" ht="20.25" customHeight="1">
      <c r="A515" s="126">
        <v>41.1</v>
      </c>
      <c r="B515" s="129" t="s">
        <v>909</v>
      </c>
      <c r="C515" s="128" t="s">
        <v>5235</v>
      </c>
      <c r="D515" s="123">
        <f>D26</f>
        <v>57.6</v>
      </c>
      <c r="E515" s="126" t="s">
        <v>909</v>
      </c>
      <c r="F515" s="123">
        <f>D515*A515</f>
        <v>2367.36</v>
      </c>
    </row>
    <row r="516" spans="1:6" ht="20.25" customHeight="1">
      <c r="A516" s="126"/>
      <c r="B516" s="129"/>
      <c r="C516" s="127" t="s">
        <v>4158</v>
      </c>
      <c r="D516" s="123"/>
      <c r="E516" s="126"/>
      <c r="F516" s="123"/>
    </row>
    <row r="517" spans="1:6" ht="20.25" customHeight="1">
      <c r="A517" s="126"/>
      <c r="B517" s="129"/>
      <c r="C517" s="128" t="s">
        <v>5236</v>
      </c>
      <c r="D517" s="123"/>
      <c r="E517" s="126"/>
      <c r="F517" s="123"/>
    </row>
    <row r="518" spans="1:6" ht="20.25" customHeight="1">
      <c r="A518" s="126"/>
      <c r="B518" s="129"/>
      <c r="C518" s="128" t="s">
        <v>5237</v>
      </c>
      <c r="D518" s="123"/>
      <c r="E518" s="126"/>
      <c r="F518" s="123"/>
    </row>
    <row r="519" spans="1:6" ht="20.25" customHeight="1">
      <c r="A519" s="126"/>
      <c r="B519" s="129"/>
      <c r="C519" s="128" t="s">
        <v>5238</v>
      </c>
      <c r="D519" s="123"/>
      <c r="E519" s="126"/>
      <c r="F519" s="123"/>
    </row>
    <row r="520" spans="1:6" ht="20.25" customHeight="1">
      <c r="A520" s="126"/>
      <c r="B520" s="129"/>
      <c r="C520" s="128" t="s">
        <v>5239</v>
      </c>
      <c r="D520" s="123"/>
      <c r="E520" s="126"/>
      <c r="F520" s="123"/>
    </row>
    <row r="521" spans="1:6" ht="20.25" customHeight="1">
      <c r="A521" s="126"/>
      <c r="B521" s="129"/>
      <c r="C521" s="128" t="s">
        <v>5025</v>
      </c>
      <c r="D521" s="123"/>
      <c r="E521" s="126"/>
      <c r="F521" s="123"/>
    </row>
    <row r="522" spans="1:6" ht="20.25" customHeight="1">
      <c r="A522" s="126"/>
      <c r="B522" s="129"/>
      <c r="C522" s="128" t="s">
        <v>5240</v>
      </c>
      <c r="D522" s="123"/>
      <c r="E522" s="126"/>
      <c r="F522" s="123"/>
    </row>
    <row r="523" spans="1:6" ht="20.25" customHeight="1">
      <c r="A523" s="126"/>
      <c r="B523" s="129"/>
      <c r="C523" s="128" t="s">
        <v>5241</v>
      </c>
      <c r="D523" s="123"/>
      <c r="E523" s="126"/>
      <c r="F523" s="123"/>
    </row>
    <row r="524" spans="1:6" ht="20.25" customHeight="1">
      <c r="A524" s="126"/>
      <c r="B524" s="129"/>
      <c r="C524" s="128" t="s">
        <v>5242</v>
      </c>
      <c r="D524" s="123"/>
      <c r="E524" s="126"/>
      <c r="F524" s="123"/>
    </row>
    <row r="525" spans="1:6" ht="20.25" customHeight="1">
      <c r="A525" s="126"/>
      <c r="B525" s="129"/>
      <c r="C525" s="128" t="s">
        <v>5243</v>
      </c>
      <c r="D525" s="123"/>
      <c r="E525" s="126"/>
      <c r="F525" s="123"/>
    </row>
    <row r="526" spans="1:6" ht="20.25" customHeight="1">
      <c r="A526" s="126"/>
      <c r="B526" s="129"/>
      <c r="C526" s="128" t="s">
        <v>5244</v>
      </c>
      <c r="D526" s="123"/>
      <c r="E526" s="126"/>
      <c r="F526" s="123"/>
    </row>
    <row r="527" spans="1:6" ht="20.25" customHeight="1">
      <c r="A527" s="126"/>
      <c r="B527" s="129"/>
      <c r="C527" s="128" t="s">
        <v>5245</v>
      </c>
      <c r="D527" s="123"/>
      <c r="E527" s="126"/>
      <c r="F527" s="123"/>
    </row>
    <row r="528" spans="1:6" ht="20.25" customHeight="1">
      <c r="A528" s="126">
        <v>12.76</v>
      </c>
      <c r="B528" s="129" t="s">
        <v>909</v>
      </c>
      <c r="C528" s="128" t="s">
        <v>5026</v>
      </c>
      <c r="D528" s="123">
        <f>D41</f>
        <v>562</v>
      </c>
      <c r="E528" s="126" t="s">
        <v>909</v>
      </c>
      <c r="F528" s="123">
        <f>SUM(A528*D528)</f>
        <v>7171.12</v>
      </c>
    </row>
    <row r="529" spans="1:6" ht="20.25" customHeight="1">
      <c r="A529" s="126">
        <v>12.76</v>
      </c>
      <c r="B529" s="129" t="s">
        <v>909</v>
      </c>
      <c r="C529" s="128" t="s">
        <v>4170</v>
      </c>
      <c r="D529" s="123">
        <f>D42</f>
        <v>10</v>
      </c>
      <c r="E529" s="126" t="s">
        <v>909</v>
      </c>
      <c r="F529" s="123">
        <f>SUM(A529*D529)</f>
        <v>127.6</v>
      </c>
    </row>
    <row r="530" spans="1:6" ht="20.25" customHeight="1">
      <c r="A530" s="126">
        <v>755</v>
      </c>
      <c r="B530" s="129" t="s">
        <v>154</v>
      </c>
      <c r="C530" s="128" t="s">
        <v>5027</v>
      </c>
      <c r="D530" s="123">
        <f>D60</f>
        <v>1</v>
      </c>
      <c r="E530" s="126" t="s">
        <v>4177</v>
      </c>
      <c r="F530" s="123">
        <f>SUM(A530*D530)</f>
        <v>755</v>
      </c>
    </row>
    <row r="531" spans="1:6" ht="20.25" customHeight="1">
      <c r="A531" s="126">
        <v>2</v>
      </c>
      <c r="B531" s="129" t="s">
        <v>1026</v>
      </c>
      <c r="C531" s="128" t="s">
        <v>5246</v>
      </c>
      <c r="D531" s="123">
        <f>D407</f>
        <v>10652</v>
      </c>
      <c r="E531" s="126" t="s">
        <v>1706</v>
      </c>
      <c r="F531" s="123">
        <f>SUM(A531*D531)</f>
        <v>21304</v>
      </c>
    </row>
    <row r="532" spans="1:6" ht="20.25" customHeight="1">
      <c r="A532" s="126">
        <v>10</v>
      </c>
      <c r="B532" s="129" t="s">
        <v>1026</v>
      </c>
      <c r="C532" s="128" t="s">
        <v>5539</v>
      </c>
      <c r="D532" s="123">
        <f>6255+893+237</f>
        <v>7385</v>
      </c>
      <c r="E532" s="126" t="s">
        <v>1706</v>
      </c>
      <c r="F532" s="123">
        <f>SUM(A532*D532)</f>
        <v>73850</v>
      </c>
    </row>
    <row r="533" spans="1:6" ht="20.25" customHeight="1">
      <c r="A533" s="126"/>
      <c r="B533" s="129"/>
      <c r="C533" s="128" t="s">
        <v>5114</v>
      </c>
      <c r="D533" s="123"/>
      <c r="E533" s="126"/>
      <c r="F533" s="123"/>
    </row>
    <row r="534" spans="1:6" ht="20.25" customHeight="1">
      <c r="A534" s="126"/>
      <c r="B534" s="129"/>
      <c r="C534" s="128" t="s">
        <v>5252</v>
      </c>
      <c r="D534" s="123"/>
      <c r="E534" s="126"/>
      <c r="F534" s="123"/>
    </row>
    <row r="535" spans="1:6" ht="20.25" customHeight="1">
      <c r="A535" s="126">
        <v>1.1499999999999999</v>
      </c>
      <c r="B535" s="129" t="s">
        <v>5120</v>
      </c>
      <c r="C535" s="128" t="str">
        <f>C410</f>
        <v>Cost of hylum sheet 6mm [SR 2020-21 / P.129]</v>
      </c>
      <c r="D535" s="126">
        <f>D410</f>
        <v>1322</v>
      </c>
      <c r="E535" s="129" t="s">
        <v>5120</v>
      </c>
      <c r="F535" s="123">
        <f t="shared" ref="F535:F543" si="20">SUM(A535*D535)</f>
        <v>1520.3</v>
      </c>
    </row>
    <row r="536" spans="1:6" ht="20.25" customHeight="1">
      <c r="A536" s="126">
        <v>12</v>
      </c>
      <c r="B536" s="129" t="s">
        <v>1427</v>
      </c>
      <c r="C536" s="128" t="s">
        <v>4181</v>
      </c>
      <c r="D536" s="126">
        <f t="shared" ref="D536:D543" si="21">D411</f>
        <v>20</v>
      </c>
      <c r="E536" s="126" t="s">
        <v>1706</v>
      </c>
      <c r="F536" s="123">
        <f t="shared" si="20"/>
        <v>240</v>
      </c>
    </row>
    <row r="537" spans="1:6" ht="20.25" customHeight="1">
      <c r="A537" s="126">
        <v>3</v>
      </c>
      <c r="B537" s="129" t="s">
        <v>1427</v>
      </c>
      <c r="C537" s="128" t="s">
        <v>4182</v>
      </c>
      <c r="D537" s="126">
        <f t="shared" si="21"/>
        <v>280</v>
      </c>
      <c r="E537" s="126" t="s">
        <v>1706</v>
      </c>
      <c r="F537" s="123">
        <f t="shared" si="20"/>
        <v>840</v>
      </c>
    </row>
    <row r="538" spans="1:6" ht="20.25" customHeight="1">
      <c r="A538" s="126">
        <v>3</v>
      </c>
      <c r="B538" s="129" t="s">
        <v>1427</v>
      </c>
      <c r="C538" s="128" t="s">
        <v>5029</v>
      </c>
      <c r="D538" s="126">
        <f t="shared" si="21"/>
        <v>48.05</v>
      </c>
      <c r="E538" s="126" t="s">
        <v>1706</v>
      </c>
      <c r="F538" s="123">
        <f t="shared" si="20"/>
        <v>144.15</v>
      </c>
    </row>
    <row r="539" spans="1:6" ht="20.25" customHeight="1">
      <c r="A539" s="126">
        <v>5</v>
      </c>
      <c r="B539" s="129" t="s">
        <v>3430</v>
      </c>
      <c r="C539" s="128" t="s">
        <v>5151</v>
      </c>
      <c r="D539" s="126">
        <f t="shared" si="21"/>
        <v>10.45</v>
      </c>
      <c r="E539" s="129" t="s">
        <v>3430</v>
      </c>
      <c r="F539" s="123">
        <f t="shared" si="20"/>
        <v>52.25</v>
      </c>
    </row>
    <row r="540" spans="1:6" ht="20.25" customHeight="1">
      <c r="A540" s="126">
        <v>127.73</v>
      </c>
      <c r="B540" s="129" t="s">
        <v>909</v>
      </c>
      <c r="C540" s="128" t="s">
        <v>5030</v>
      </c>
      <c r="D540" s="126">
        <f t="shared" si="21"/>
        <v>52.5</v>
      </c>
      <c r="E540" s="129" t="s">
        <v>909</v>
      </c>
      <c r="F540" s="123">
        <f t="shared" si="20"/>
        <v>6705.83</v>
      </c>
    </row>
    <row r="541" spans="1:6" ht="20.25" customHeight="1">
      <c r="A541" s="126">
        <v>41.1</v>
      </c>
      <c r="B541" s="129" t="s">
        <v>909</v>
      </c>
      <c r="C541" s="128" t="s">
        <v>5031</v>
      </c>
      <c r="D541" s="126">
        <f t="shared" si="21"/>
        <v>52.5</v>
      </c>
      <c r="E541" s="129" t="s">
        <v>909</v>
      </c>
      <c r="F541" s="123">
        <f t="shared" si="20"/>
        <v>2157.75</v>
      </c>
    </row>
    <row r="542" spans="1:6" ht="20.25" customHeight="1">
      <c r="A542" s="126">
        <v>12</v>
      </c>
      <c r="B542" s="129" t="s">
        <v>1427</v>
      </c>
      <c r="C542" s="128" t="s">
        <v>5247</v>
      </c>
      <c r="D542" s="126">
        <f t="shared" si="21"/>
        <v>501.25</v>
      </c>
      <c r="E542" s="129" t="s">
        <v>1706</v>
      </c>
      <c r="F542" s="123">
        <f t="shared" si="20"/>
        <v>6015</v>
      </c>
    </row>
    <row r="543" spans="1:6" ht="20.25" customHeight="1">
      <c r="A543" s="126">
        <v>198.5</v>
      </c>
      <c r="B543" s="129" t="s">
        <v>4184</v>
      </c>
      <c r="C543" s="128" t="s">
        <v>4185</v>
      </c>
      <c r="D543" s="126">
        <f t="shared" si="21"/>
        <v>10</v>
      </c>
      <c r="E543" s="129" t="s">
        <v>4186</v>
      </c>
      <c r="F543" s="123">
        <f t="shared" si="20"/>
        <v>1985</v>
      </c>
    </row>
    <row r="544" spans="1:6" ht="20.25" customHeight="1">
      <c r="A544" s="126"/>
      <c r="B544" s="129"/>
      <c r="C544" s="128" t="s">
        <v>4189</v>
      </c>
      <c r="D544" s="123"/>
      <c r="E544" s="126"/>
      <c r="F544" s="123">
        <v>200</v>
      </c>
    </row>
    <row r="545" spans="1:6" ht="20.25" customHeight="1">
      <c r="A545" s="126"/>
      <c r="B545" s="129"/>
      <c r="C545" s="128"/>
      <c r="D545" s="123"/>
      <c r="E545" s="126"/>
      <c r="F545" s="130">
        <f>SUM(F506:F544)</f>
        <v>132792.60999999999</v>
      </c>
    </row>
    <row r="546" spans="1:6" ht="20.25" customHeight="1">
      <c r="A546" s="126"/>
      <c r="B546" s="129"/>
      <c r="C546" s="128" t="s">
        <v>4190</v>
      </c>
      <c r="D546" s="123"/>
      <c r="E546" s="126"/>
      <c r="F546" s="123">
        <f>F545*2%</f>
        <v>2655.85</v>
      </c>
    </row>
    <row r="547" spans="1:6" ht="20.25" customHeight="1">
      <c r="A547" s="126"/>
      <c r="B547" s="129"/>
      <c r="C547" s="128" t="s">
        <v>4191</v>
      </c>
      <c r="D547" s="123"/>
      <c r="E547" s="126"/>
      <c r="F547" s="123">
        <v>1000</v>
      </c>
    </row>
    <row r="548" spans="1:6" ht="20.25" customHeight="1">
      <c r="A548" s="126"/>
      <c r="B548" s="129"/>
      <c r="C548" s="128" t="s">
        <v>4192</v>
      </c>
      <c r="D548" s="123"/>
      <c r="E548" s="126"/>
      <c r="F548" s="123">
        <v>2000</v>
      </c>
    </row>
    <row r="549" spans="1:6" ht="20.25" customHeight="1">
      <c r="A549" s="126"/>
      <c r="B549" s="129"/>
      <c r="C549" s="128"/>
      <c r="D549" s="123"/>
      <c r="E549" s="126"/>
      <c r="F549" s="130">
        <f>SUM(F545:F548)</f>
        <v>138448.46</v>
      </c>
    </row>
    <row r="550" spans="1:6" ht="20.25" customHeight="1">
      <c r="A550" s="126"/>
      <c r="B550" s="156"/>
      <c r="C550" s="128"/>
      <c r="D550" s="158"/>
      <c r="E550" s="125" t="s">
        <v>5023</v>
      </c>
      <c r="F550" s="159">
        <v>138500</v>
      </c>
    </row>
    <row r="559" spans="1:6" ht="20.25" customHeight="1">
      <c r="A559" s="185"/>
      <c r="B559" s="185"/>
      <c r="C559" s="148" t="s">
        <v>5256</v>
      </c>
      <c r="D559" s="186"/>
      <c r="E559" s="185"/>
      <c r="F559" s="185"/>
    </row>
    <row r="560" spans="1:6" ht="20.25" customHeight="1">
      <c r="A560" s="185"/>
      <c r="B560" s="185"/>
      <c r="C560" s="154" t="s">
        <v>5257</v>
      </c>
      <c r="D560" s="186"/>
      <c r="E560" s="185"/>
      <c r="F560" s="185"/>
    </row>
    <row r="561" spans="1:6" ht="20.25" customHeight="1">
      <c r="A561" s="149"/>
      <c r="B561" s="150"/>
      <c r="C561" s="151"/>
      <c r="D561" s="152"/>
      <c r="E561" s="149"/>
      <c r="F561" s="152"/>
    </row>
    <row r="562" spans="1:6" ht="20.25" customHeight="1">
      <c r="A562" s="149"/>
      <c r="B562" s="150"/>
      <c r="C562" s="153" t="s">
        <v>5222</v>
      </c>
      <c r="D562" s="152"/>
      <c r="E562" s="149"/>
      <c r="F562" s="152"/>
    </row>
    <row r="563" spans="1:6" ht="20.25" customHeight="1">
      <c r="A563" s="149"/>
      <c r="B563" s="150"/>
      <c r="C563" s="153" t="s">
        <v>4141</v>
      </c>
      <c r="D563" s="152"/>
      <c r="E563" s="149"/>
      <c r="F563" s="152"/>
    </row>
    <row r="564" spans="1:6" ht="20.25" customHeight="1">
      <c r="A564" s="149"/>
      <c r="B564" s="150"/>
      <c r="C564" s="154" t="s">
        <v>5223</v>
      </c>
      <c r="D564" s="152"/>
      <c r="E564" s="149"/>
      <c r="F564" s="152"/>
    </row>
    <row r="565" spans="1:6" ht="20.25" customHeight="1">
      <c r="A565" s="149"/>
      <c r="B565" s="150"/>
      <c r="C565" s="154" t="s">
        <v>5224</v>
      </c>
      <c r="D565" s="152"/>
      <c r="E565" s="149"/>
      <c r="F565" s="152"/>
    </row>
    <row r="566" spans="1:6" ht="20.25" customHeight="1">
      <c r="A566" s="149"/>
      <c r="B566" s="150"/>
      <c r="C566" s="154" t="s">
        <v>5258</v>
      </c>
      <c r="D566" s="152"/>
      <c r="E566" s="149"/>
      <c r="F566" s="152"/>
    </row>
    <row r="567" spans="1:6" ht="20.25" customHeight="1">
      <c r="A567" s="149"/>
      <c r="B567" s="150"/>
      <c r="C567" s="154" t="s">
        <v>5259</v>
      </c>
      <c r="D567" s="152"/>
      <c r="E567" s="149"/>
      <c r="F567" s="152"/>
    </row>
    <row r="568" spans="1:6" ht="20.25" customHeight="1">
      <c r="A568" s="149"/>
      <c r="B568" s="150"/>
      <c r="C568" s="153" t="s">
        <v>5260</v>
      </c>
      <c r="D568" s="187"/>
      <c r="E568" s="188"/>
      <c r="F568" s="187"/>
    </row>
    <row r="569" spans="1:6" ht="20.25" customHeight="1">
      <c r="A569" s="149"/>
      <c r="B569" s="150"/>
      <c r="C569" s="154" t="s">
        <v>5261</v>
      </c>
      <c r="D569" s="187"/>
      <c r="E569" s="188"/>
      <c r="F569" s="187"/>
    </row>
    <row r="570" spans="1:6" ht="20.25" customHeight="1">
      <c r="A570" s="149">
        <v>105.6</v>
      </c>
      <c r="B570" s="150" t="s">
        <v>909</v>
      </c>
      <c r="C570" s="154" t="s">
        <v>5075</v>
      </c>
      <c r="D570" s="152">
        <f>D506</f>
        <v>57.6</v>
      </c>
      <c r="E570" s="149" t="s">
        <v>909</v>
      </c>
      <c r="F570" s="152">
        <f>D570*A570</f>
        <v>6082.56</v>
      </c>
    </row>
    <row r="571" spans="1:6" ht="20.25" customHeight="1">
      <c r="A571" s="149"/>
      <c r="B571" s="150"/>
      <c r="C571" s="153" t="s">
        <v>5024</v>
      </c>
      <c r="D571" s="152">
        <f t="shared" ref="D571:D581" si="22">D507</f>
        <v>0</v>
      </c>
      <c r="E571" s="149"/>
      <c r="F571" s="152"/>
    </row>
    <row r="572" spans="1:6" ht="20.25" customHeight="1">
      <c r="A572" s="149"/>
      <c r="B572" s="150"/>
      <c r="C572" s="154" t="s">
        <v>4150</v>
      </c>
      <c r="D572" s="152">
        <f t="shared" si="22"/>
        <v>0</v>
      </c>
      <c r="E572" s="149"/>
      <c r="F572" s="152"/>
    </row>
    <row r="573" spans="1:6" ht="20.25" customHeight="1">
      <c r="A573" s="149"/>
      <c r="B573" s="150"/>
      <c r="C573" s="154" t="s">
        <v>4815</v>
      </c>
      <c r="D573" s="152">
        <f t="shared" si="22"/>
        <v>0</v>
      </c>
      <c r="E573" s="149"/>
      <c r="F573" s="152"/>
    </row>
    <row r="574" spans="1:6" ht="20.25" customHeight="1">
      <c r="A574" s="149"/>
      <c r="B574" s="150"/>
      <c r="C574" s="154" t="s">
        <v>4152</v>
      </c>
      <c r="D574" s="152">
        <f t="shared" si="22"/>
        <v>0</v>
      </c>
      <c r="E574" s="149"/>
      <c r="F574" s="152"/>
    </row>
    <row r="575" spans="1:6" ht="20.25" customHeight="1">
      <c r="A575" s="149"/>
      <c r="B575" s="150"/>
      <c r="C575" s="154" t="s">
        <v>4814</v>
      </c>
      <c r="D575" s="152">
        <f t="shared" si="22"/>
        <v>0</v>
      </c>
      <c r="E575" s="149"/>
      <c r="F575" s="152"/>
    </row>
    <row r="576" spans="1:6" ht="20.25" customHeight="1">
      <c r="A576" s="149"/>
      <c r="B576" s="150"/>
      <c r="C576" s="154" t="s">
        <v>5262</v>
      </c>
      <c r="D576" s="152">
        <f t="shared" si="22"/>
        <v>0</v>
      </c>
      <c r="E576" s="149"/>
      <c r="F576" s="152"/>
    </row>
    <row r="577" spans="1:6" ht="20.25" customHeight="1">
      <c r="A577" s="149"/>
      <c r="B577" s="150"/>
      <c r="C577" s="154" t="s">
        <v>5233</v>
      </c>
      <c r="D577" s="152">
        <f t="shared" si="22"/>
        <v>0</v>
      </c>
      <c r="E577" s="149"/>
      <c r="F577" s="152"/>
    </row>
    <row r="578" spans="1:6" ht="20.25" customHeight="1">
      <c r="A578" s="149"/>
      <c r="B578" s="150"/>
      <c r="C578" s="154" t="s">
        <v>5234</v>
      </c>
      <c r="D578" s="152">
        <f t="shared" si="22"/>
        <v>0</v>
      </c>
      <c r="E578" s="149"/>
      <c r="F578" s="152"/>
    </row>
    <row r="579" spans="1:6" ht="20.25" customHeight="1">
      <c r="A579" s="149">
        <v>41.1</v>
      </c>
      <c r="B579" s="150" t="s">
        <v>909</v>
      </c>
      <c r="C579" s="154" t="s">
        <v>5235</v>
      </c>
      <c r="D579" s="152">
        <f t="shared" si="22"/>
        <v>57.6</v>
      </c>
      <c r="E579" s="149" t="s">
        <v>909</v>
      </c>
      <c r="F579" s="152">
        <f>D579*A579</f>
        <v>2367.36</v>
      </c>
    </row>
    <row r="580" spans="1:6" ht="20.25" customHeight="1">
      <c r="A580" s="149"/>
      <c r="B580" s="150"/>
      <c r="C580" s="153" t="s">
        <v>4158</v>
      </c>
      <c r="D580" s="152">
        <f t="shared" si="22"/>
        <v>0</v>
      </c>
      <c r="E580" s="149"/>
      <c r="F580" s="152"/>
    </row>
    <row r="581" spans="1:6" ht="20.25" customHeight="1">
      <c r="A581" s="149"/>
      <c r="B581" s="150"/>
      <c r="C581" s="154" t="s">
        <v>5263</v>
      </c>
      <c r="D581" s="152">
        <f t="shared" si="22"/>
        <v>0</v>
      </c>
      <c r="E581" s="149"/>
      <c r="F581" s="152"/>
    </row>
    <row r="582" spans="1:6" ht="20.25" customHeight="1">
      <c r="A582" s="149"/>
      <c r="B582" s="150"/>
      <c r="C582" s="154" t="s">
        <v>5239</v>
      </c>
      <c r="D582" s="152">
        <f t="shared" ref="D582:D592" si="23">D520</f>
        <v>0</v>
      </c>
      <c r="E582" s="149"/>
      <c r="F582" s="152"/>
    </row>
    <row r="583" spans="1:6" ht="20.25" customHeight="1">
      <c r="A583" s="149"/>
      <c r="B583" s="150"/>
      <c r="C583" s="154" t="s">
        <v>5025</v>
      </c>
      <c r="D583" s="152">
        <f t="shared" si="23"/>
        <v>0</v>
      </c>
      <c r="E583" s="149"/>
      <c r="F583" s="152"/>
    </row>
    <row r="584" spans="1:6" ht="20.25" customHeight="1">
      <c r="A584" s="149"/>
      <c r="B584" s="150"/>
      <c r="C584" s="154" t="s">
        <v>5264</v>
      </c>
      <c r="D584" s="152">
        <f t="shared" si="23"/>
        <v>0</v>
      </c>
      <c r="E584" s="149"/>
      <c r="F584" s="152"/>
    </row>
    <row r="585" spans="1:6" ht="20.25" customHeight="1">
      <c r="A585" s="149"/>
      <c r="B585" s="150"/>
      <c r="C585" s="154" t="s">
        <v>5265</v>
      </c>
      <c r="D585" s="152">
        <f t="shared" si="23"/>
        <v>0</v>
      </c>
      <c r="E585" s="149"/>
      <c r="F585" s="152"/>
    </row>
    <row r="586" spans="1:6" ht="20.25" customHeight="1">
      <c r="A586" s="149"/>
      <c r="B586" s="150"/>
      <c r="C586" s="154"/>
      <c r="D586" s="152">
        <f t="shared" si="23"/>
        <v>0</v>
      </c>
      <c r="E586" s="149"/>
      <c r="F586" s="152"/>
    </row>
    <row r="587" spans="1:6" ht="20.25" customHeight="1">
      <c r="A587" s="149"/>
      <c r="B587" s="150"/>
      <c r="C587" s="154" t="s">
        <v>5266</v>
      </c>
      <c r="D587" s="152">
        <f t="shared" si="23"/>
        <v>0</v>
      </c>
      <c r="E587" s="149"/>
      <c r="F587" s="152"/>
    </row>
    <row r="588" spans="1:6" ht="20.25" customHeight="1">
      <c r="A588" s="149"/>
      <c r="B588" s="150"/>
      <c r="C588" s="154" t="s">
        <v>5267</v>
      </c>
      <c r="D588" s="152">
        <f t="shared" si="23"/>
        <v>0</v>
      </c>
      <c r="E588" s="149"/>
      <c r="F588" s="152"/>
    </row>
    <row r="589" spans="1:6" ht="20.25" customHeight="1">
      <c r="A589" s="149"/>
      <c r="B589" s="150"/>
      <c r="C589" s="154" t="s">
        <v>5268</v>
      </c>
      <c r="D589" s="152">
        <f t="shared" si="23"/>
        <v>0</v>
      </c>
      <c r="E589" s="149"/>
      <c r="F589" s="152"/>
    </row>
    <row r="590" spans="1:6" ht="20.25" customHeight="1">
      <c r="A590" s="149">
        <v>19.16</v>
      </c>
      <c r="B590" s="150" t="s">
        <v>909</v>
      </c>
      <c r="C590" s="154" t="s">
        <v>5026</v>
      </c>
      <c r="D590" s="152">
        <f t="shared" si="23"/>
        <v>562</v>
      </c>
      <c r="E590" s="149" t="s">
        <v>909</v>
      </c>
      <c r="F590" s="152">
        <f>SUM(A590*D590)</f>
        <v>10767.92</v>
      </c>
    </row>
    <row r="591" spans="1:6" ht="20.25" customHeight="1">
      <c r="A591" s="149">
        <f>A590</f>
        <v>19.16</v>
      </c>
      <c r="B591" s="150" t="s">
        <v>909</v>
      </c>
      <c r="C591" s="154" t="s">
        <v>4170</v>
      </c>
      <c r="D591" s="152">
        <f t="shared" si="23"/>
        <v>10</v>
      </c>
      <c r="E591" s="149" t="s">
        <v>909</v>
      </c>
      <c r="F591" s="152">
        <f>SUM(A591*D591)</f>
        <v>191.6</v>
      </c>
    </row>
    <row r="592" spans="1:6" ht="20.25" customHeight="1">
      <c r="A592" s="149">
        <v>503</v>
      </c>
      <c r="B592" s="150" t="s">
        <v>154</v>
      </c>
      <c r="C592" s="154" t="s">
        <v>5027</v>
      </c>
      <c r="D592" s="152">
        <f t="shared" si="23"/>
        <v>1</v>
      </c>
      <c r="E592" s="149" t="s">
        <v>4177</v>
      </c>
      <c r="F592" s="152">
        <f>SUM(A592*D592)</f>
        <v>503</v>
      </c>
    </row>
    <row r="593" spans="1:6" ht="20.25" customHeight="1">
      <c r="A593" s="149">
        <v>1</v>
      </c>
      <c r="B593" s="150" t="s">
        <v>1026</v>
      </c>
      <c r="C593" s="154" t="s">
        <v>5269</v>
      </c>
      <c r="D593" s="152">
        <v>5885</v>
      </c>
      <c r="E593" s="149" t="s">
        <v>1706</v>
      </c>
      <c r="F593" s="152">
        <f>SUM(A593*D593)</f>
        <v>5885</v>
      </c>
    </row>
    <row r="594" spans="1:6" ht="20.25" customHeight="1">
      <c r="A594" s="149">
        <v>6</v>
      </c>
      <c r="B594" s="150" t="s">
        <v>1026</v>
      </c>
      <c r="C594" s="154" t="s">
        <v>5270</v>
      </c>
      <c r="D594" s="152">
        <v>2372</v>
      </c>
      <c r="E594" s="149" t="s">
        <v>1706</v>
      </c>
      <c r="F594" s="152">
        <f>SUM(A594*D594)</f>
        <v>14232</v>
      </c>
    </row>
    <row r="595" spans="1:6" ht="20.25" customHeight="1">
      <c r="A595" s="149"/>
      <c r="B595" s="150"/>
      <c r="C595" s="154" t="s">
        <v>5114</v>
      </c>
      <c r="D595" s="152">
        <f>D533</f>
        <v>0</v>
      </c>
      <c r="E595" s="149"/>
      <c r="F595" s="152"/>
    </row>
    <row r="596" spans="1:6" ht="20.25" customHeight="1">
      <c r="A596" s="149"/>
      <c r="B596" s="150"/>
      <c r="C596" s="154" t="s">
        <v>5271</v>
      </c>
      <c r="D596" s="152">
        <f>D534</f>
        <v>0</v>
      </c>
      <c r="E596" s="149"/>
      <c r="F596" s="152"/>
    </row>
    <row r="597" spans="1:6" ht="20.25" customHeight="1">
      <c r="A597" s="149">
        <v>1.44</v>
      </c>
      <c r="B597" s="150" t="s">
        <v>5120</v>
      </c>
      <c r="C597" s="154" t="s">
        <v>5272</v>
      </c>
      <c r="D597" s="152">
        <f>D535</f>
        <v>1322</v>
      </c>
      <c r="E597" s="150" t="s">
        <v>5120</v>
      </c>
      <c r="F597" s="152">
        <f t="shared" ref="F597:F606" si="24">SUM(A597*D597)</f>
        <v>1903.68</v>
      </c>
    </row>
    <row r="598" spans="1:6" ht="20.25" customHeight="1">
      <c r="A598" s="149">
        <v>12</v>
      </c>
      <c r="B598" s="150" t="s">
        <v>1427</v>
      </c>
      <c r="C598" s="154" t="s">
        <v>4181</v>
      </c>
      <c r="D598" s="152">
        <f>D536</f>
        <v>20</v>
      </c>
      <c r="E598" s="149" t="s">
        <v>1706</v>
      </c>
      <c r="F598" s="152">
        <f t="shared" si="24"/>
        <v>240</v>
      </c>
    </row>
    <row r="599" spans="1:6" ht="20.25" customHeight="1">
      <c r="A599" s="149">
        <v>1</v>
      </c>
      <c r="B599" s="150" t="s">
        <v>1427</v>
      </c>
      <c r="C599" s="154" t="s">
        <v>4182</v>
      </c>
      <c r="D599" s="152">
        <f>D537</f>
        <v>280</v>
      </c>
      <c r="E599" s="149" t="s">
        <v>1706</v>
      </c>
      <c r="F599" s="152">
        <f t="shared" si="24"/>
        <v>280</v>
      </c>
    </row>
    <row r="600" spans="1:6" ht="20.25" customHeight="1">
      <c r="A600" s="149">
        <v>3</v>
      </c>
      <c r="B600" s="150" t="s">
        <v>1427</v>
      </c>
      <c r="C600" s="154" t="s">
        <v>5273</v>
      </c>
      <c r="D600" s="152">
        <v>550</v>
      </c>
      <c r="E600" s="149" t="s">
        <v>1706</v>
      </c>
      <c r="F600" s="152">
        <f>SUM(A600*D600)</f>
        <v>1650</v>
      </c>
    </row>
    <row r="601" spans="1:6" ht="20.25" customHeight="1">
      <c r="A601" s="149">
        <v>1</v>
      </c>
      <c r="B601" s="150" t="s">
        <v>1427</v>
      </c>
      <c r="C601" s="154" t="s">
        <v>5274</v>
      </c>
      <c r="D601" s="152">
        <v>144</v>
      </c>
      <c r="E601" s="149" t="s">
        <v>1706</v>
      </c>
      <c r="F601" s="152">
        <f>SUM(A601*D601)</f>
        <v>144</v>
      </c>
    </row>
    <row r="602" spans="1:6" ht="20.25" customHeight="1">
      <c r="A602" s="149">
        <v>5</v>
      </c>
      <c r="B602" s="150" t="s">
        <v>823</v>
      </c>
      <c r="C602" s="154" t="s">
        <v>5275</v>
      </c>
      <c r="D602" s="152">
        <v>295</v>
      </c>
      <c r="E602" s="149" t="s">
        <v>1706</v>
      </c>
      <c r="F602" s="152">
        <f t="shared" si="24"/>
        <v>1475</v>
      </c>
    </row>
    <row r="603" spans="1:6" ht="20.25" customHeight="1">
      <c r="A603" s="149">
        <v>105.6</v>
      </c>
      <c r="B603" s="150" t="s">
        <v>909</v>
      </c>
      <c r="C603" s="154" t="s">
        <v>5030</v>
      </c>
      <c r="D603" s="152">
        <f>D540</f>
        <v>52.5</v>
      </c>
      <c r="E603" s="150" t="s">
        <v>909</v>
      </c>
      <c r="F603" s="152">
        <f t="shared" si="24"/>
        <v>5544</v>
      </c>
    </row>
    <row r="604" spans="1:6" ht="20.25" customHeight="1">
      <c r="A604" s="149">
        <v>41.1</v>
      </c>
      <c r="B604" s="150" t="s">
        <v>909</v>
      </c>
      <c r="C604" s="154" t="s">
        <v>5031</v>
      </c>
      <c r="D604" s="152">
        <f>D541</f>
        <v>52.5</v>
      </c>
      <c r="E604" s="150" t="s">
        <v>909</v>
      </c>
      <c r="F604" s="152">
        <f t="shared" si="24"/>
        <v>2157.75</v>
      </c>
    </row>
    <row r="605" spans="1:6" ht="20.25" customHeight="1">
      <c r="A605" s="149">
        <v>7</v>
      </c>
      <c r="B605" s="150" t="s">
        <v>1427</v>
      </c>
      <c r="C605" s="154" t="s">
        <v>5276</v>
      </c>
      <c r="D605" s="152">
        <v>1898</v>
      </c>
      <c r="E605" s="150" t="s">
        <v>1706</v>
      </c>
      <c r="F605" s="152">
        <f t="shared" si="24"/>
        <v>13286</v>
      </c>
    </row>
    <row r="606" spans="1:6" ht="20.25" customHeight="1">
      <c r="A606" s="149">
        <v>180.5</v>
      </c>
      <c r="B606" s="150" t="s">
        <v>4184</v>
      </c>
      <c r="C606" s="154" t="s">
        <v>4185</v>
      </c>
      <c r="D606" s="152">
        <f>D543</f>
        <v>10</v>
      </c>
      <c r="E606" s="150" t="s">
        <v>4186</v>
      </c>
      <c r="F606" s="152">
        <f t="shared" si="24"/>
        <v>1805</v>
      </c>
    </row>
    <row r="607" spans="1:6" ht="20.25" customHeight="1">
      <c r="A607" s="149"/>
      <c r="B607" s="150"/>
      <c r="C607" s="154" t="s">
        <v>4189</v>
      </c>
      <c r="D607" s="152">
        <f>D544</f>
        <v>0</v>
      </c>
      <c r="E607" s="149"/>
      <c r="F607" s="152">
        <v>300</v>
      </c>
    </row>
    <row r="608" spans="1:6" ht="20.25" customHeight="1">
      <c r="A608" s="149"/>
      <c r="B608" s="150"/>
      <c r="C608" s="154"/>
      <c r="D608" s="152"/>
      <c r="E608" s="149"/>
      <c r="F608" s="155">
        <f>SUM(F570:F607)</f>
        <v>68814.87</v>
      </c>
    </row>
    <row r="609" spans="1:6" ht="20.25" customHeight="1">
      <c r="A609" s="149"/>
      <c r="B609" s="150"/>
      <c r="C609" s="154" t="s">
        <v>4190</v>
      </c>
      <c r="D609" s="152"/>
      <c r="E609" s="149"/>
      <c r="F609" s="152">
        <f>F608*2%</f>
        <v>1376.3</v>
      </c>
    </row>
    <row r="610" spans="1:6" ht="20.25" customHeight="1">
      <c r="A610" s="149"/>
      <c r="B610" s="150"/>
      <c r="C610" s="154" t="s">
        <v>4191</v>
      </c>
      <c r="D610" s="152"/>
      <c r="E610" s="149"/>
      <c r="F610" s="152">
        <v>2000</v>
      </c>
    </row>
    <row r="611" spans="1:6" ht="20.25" customHeight="1">
      <c r="A611" s="149"/>
      <c r="B611" s="150"/>
      <c r="C611" s="154" t="s">
        <v>4192</v>
      </c>
      <c r="D611" s="152"/>
      <c r="E611" s="149"/>
      <c r="F611" s="152">
        <v>3500</v>
      </c>
    </row>
    <row r="612" spans="1:6" ht="20.25" customHeight="1">
      <c r="A612" s="149"/>
      <c r="B612" s="150"/>
      <c r="C612" s="154"/>
      <c r="D612" s="152"/>
      <c r="E612" s="149"/>
      <c r="F612" s="155">
        <f>SUM(F608:F611)</f>
        <v>75691.17</v>
      </c>
    </row>
    <row r="613" spans="1:6" ht="20.25" customHeight="1">
      <c r="A613" s="149"/>
      <c r="B613" s="162"/>
      <c r="C613" s="154"/>
      <c r="D613" s="163"/>
      <c r="E613" s="151" t="s">
        <v>5023</v>
      </c>
      <c r="F613" s="164">
        <v>73300</v>
      </c>
    </row>
    <row r="614" spans="1:6" ht="20.25" customHeight="1">
      <c r="A614" s="208"/>
      <c r="B614" s="208"/>
      <c r="C614" s="208"/>
      <c r="D614" s="209"/>
      <c r="E614" s="208"/>
      <c r="F614" s="208"/>
    </row>
    <row r="630" spans="1:11" ht="20.25" customHeight="1">
      <c r="A630" s="169"/>
      <c r="B630" s="169"/>
      <c r="C630" s="189" t="s">
        <v>245</v>
      </c>
      <c r="D630" s="169"/>
      <c r="E630" s="171" t="s">
        <v>4802</v>
      </c>
      <c r="F630" s="169"/>
    </row>
    <row r="631" spans="1:11" ht="20.25" customHeight="1">
      <c r="A631" s="169"/>
      <c r="B631" s="169"/>
      <c r="C631" s="190" t="s">
        <v>649</v>
      </c>
      <c r="D631" s="169"/>
      <c r="E631" s="175"/>
      <c r="F631" s="169"/>
    </row>
    <row r="632" spans="1:11" ht="20.25" customHeight="1">
      <c r="A632" s="191" t="s">
        <v>1578</v>
      </c>
      <c r="B632" s="169" t="s">
        <v>971</v>
      </c>
      <c r="C632" s="171" t="s">
        <v>4762</v>
      </c>
      <c r="D632" s="169"/>
      <c r="E632" s="189" t="s">
        <v>4606</v>
      </c>
      <c r="F632" s="169"/>
    </row>
    <row r="633" spans="1:11" ht="20.25" customHeight="1">
      <c r="A633" s="192" t="s">
        <v>1579</v>
      </c>
      <c r="B633" s="192" t="s">
        <v>1579</v>
      </c>
      <c r="C633" s="192" t="s">
        <v>1579</v>
      </c>
      <c r="D633" s="192" t="s">
        <v>1579</v>
      </c>
      <c r="E633" s="192" t="s">
        <v>1579</v>
      </c>
      <c r="F633" s="192" t="s">
        <v>1579</v>
      </c>
    </row>
    <row r="634" spans="1:11" ht="20.25" customHeight="1">
      <c r="A634" s="191" t="s">
        <v>1581</v>
      </c>
      <c r="B634" s="169" t="s">
        <v>971</v>
      </c>
      <c r="C634" s="193" t="s">
        <v>1582</v>
      </c>
      <c r="D634" s="193" t="s">
        <v>1583</v>
      </c>
      <c r="E634" s="193" t="s">
        <v>1584</v>
      </c>
      <c r="F634" s="193" t="s">
        <v>1585</v>
      </c>
      <c r="J634" s="165">
        <f>12*7177.33</f>
        <v>86127.96</v>
      </c>
      <c r="K634" s="165">
        <f>12*7177.33</f>
        <v>86127.96</v>
      </c>
    </row>
    <row r="635" spans="1:11" ht="20.25" customHeight="1">
      <c r="A635" s="192" t="s">
        <v>1579</v>
      </c>
      <c r="B635" s="192" t="s">
        <v>1579</v>
      </c>
      <c r="C635" s="192" t="s">
        <v>1579</v>
      </c>
      <c r="D635" s="192" t="s">
        <v>1579</v>
      </c>
      <c r="E635" s="192" t="s">
        <v>1579</v>
      </c>
      <c r="F635" s="192" t="s">
        <v>1579</v>
      </c>
      <c r="J635" s="165">
        <f>J634*10.764</f>
        <v>927081.36144000001</v>
      </c>
      <c r="K635" s="165">
        <f>K634*10.764</f>
        <v>927081.36144000001</v>
      </c>
    </row>
    <row r="636" spans="1:11" ht="20.25" customHeight="1">
      <c r="A636" s="123"/>
      <c r="B636" s="124"/>
      <c r="C636" s="127" t="s">
        <v>4141</v>
      </c>
      <c r="D636" s="123"/>
      <c r="E636" s="126"/>
      <c r="F636" s="123"/>
      <c r="J636" s="165">
        <v>18975.18</v>
      </c>
      <c r="K636" s="165">
        <v>18650.7</v>
      </c>
    </row>
    <row r="637" spans="1:11" ht="20.25" customHeight="1">
      <c r="A637" s="123"/>
      <c r="B637" s="124"/>
      <c r="C637" s="128" t="s">
        <v>4763</v>
      </c>
      <c r="D637" s="123"/>
      <c r="E637" s="126">
        <f>3.3*3.3*2+6.6+6.6+6.6</f>
        <v>41.58</v>
      </c>
      <c r="F637" s="123"/>
      <c r="J637" s="165">
        <f>J636*100000</f>
        <v>1897518000</v>
      </c>
      <c r="K637" s="165">
        <f>K636*100000</f>
        <v>1865070000</v>
      </c>
    </row>
    <row r="638" spans="1:11" ht="20.25" customHeight="1">
      <c r="A638" s="123"/>
      <c r="B638" s="124"/>
      <c r="C638" s="128" t="s">
        <v>4764</v>
      </c>
      <c r="D638" s="123"/>
      <c r="E638" s="126"/>
      <c r="F638" s="123"/>
      <c r="J638" s="165">
        <f>J637/J635</f>
        <v>2046.76534220541</v>
      </c>
      <c r="K638" s="165">
        <f>K637/K635</f>
        <v>2011.76517787291</v>
      </c>
    </row>
    <row r="639" spans="1:11" ht="20.25" customHeight="1">
      <c r="A639" s="123"/>
      <c r="B639" s="124"/>
      <c r="C639" s="128" t="s">
        <v>4765</v>
      </c>
      <c r="D639" s="123"/>
      <c r="E639" s="126"/>
      <c r="F639" s="123"/>
    </row>
    <row r="640" spans="1:11" ht="20.25" customHeight="1">
      <c r="A640" s="123"/>
      <c r="B640" s="124"/>
      <c r="C640" s="128" t="s">
        <v>4766</v>
      </c>
      <c r="D640" s="123"/>
      <c r="E640" s="126"/>
      <c r="F640" s="123"/>
    </row>
    <row r="641" spans="1:6" ht="20.25" customHeight="1">
      <c r="A641" s="123"/>
      <c r="B641" s="124"/>
      <c r="C641" s="128" t="s">
        <v>4767</v>
      </c>
      <c r="D641" s="123"/>
      <c r="E641" s="126"/>
      <c r="F641" s="123"/>
    </row>
    <row r="642" spans="1:6" ht="20.25" customHeight="1">
      <c r="A642" s="123"/>
      <c r="B642" s="124"/>
      <c r="C642" s="128" t="s">
        <v>4768</v>
      </c>
      <c r="D642" s="123"/>
      <c r="E642" s="126"/>
      <c r="F642" s="123"/>
    </row>
    <row r="643" spans="1:6" ht="20.25" customHeight="1">
      <c r="A643" s="123"/>
      <c r="B643" s="124"/>
      <c r="C643" s="128" t="s">
        <v>4769</v>
      </c>
      <c r="D643" s="123"/>
      <c r="E643" s="126"/>
      <c r="F643" s="123"/>
    </row>
    <row r="644" spans="1:6" ht="20.25" customHeight="1">
      <c r="A644" s="123"/>
      <c r="B644" s="124"/>
      <c r="C644" s="128" t="s">
        <v>4770</v>
      </c>
      <c r="D644" s="123"/>
      <c r="E644" s="126"/>
      <c r="F644" s="123"/>
    </row>
    <row r="645" spans="1:6" ht="20.25" customHeight="1">
      <c r="A645" s="132">
        <v>105.6</v>
      </c>
      <c r="B645" s="124" t="s">
        <v>909</v>
      </c>
      <c r="C645" s="128" t="s">
        <v>4771</v>
      </c>
      <c r="D645" s="123">
        <f>D570</f>
        <v>57.6</v>
      </c>
      <c r="E645" s="126" t="s">
        <v>909</v>
      </c>
      <c r="F645" s="123">
        <f>D645*A645</f>
        <v>6082.56</v>
      </c>
    </row>
    <row r="646" spans="1:6" ht="20.25" customHeight="1">
      <c r="A646" s="179"/>
      <c r="B646" s="124"/>
      <c r="C646" s="127" t="s">
        <v>4149</v>
      </c>
      <c r="D646" s="123"/>
      <c r="E646" s="126"/>
      <c r="F646" s="123"/>
    </row>
    <row r="647" spans="1:6" ht="20.25" customHeight="1">
      <c r="A647" s="123"/>
      <c r="B647" s="124"/>
      <c r="C647" s="128" t="s">
        <v>4150</v>
      </c>
      <c r="D647" s="123"/>
      <c r="E647" s="126"/>
      <c r="F647" s="123"/>
    </row>
    <row r="648" spans="1:6" ht="20.25" customHeight="1">
      <c r="A648" s="123"/>
      <c r="B648" s="124"/>
      <c r="C648" s="128" t="s">
        <v>4772</v>
      </c>
      <c r="D648" s="123"/>
      <c r="E648" s="126"/>
      <c r="F648" s="123"/>
    </row>
    <row r="649" spans="1:6" ht="20.25" customHeight="1">
      <c r="A649" s="123"/>
      <c r="B649" s="124"/>
      <c r="C649" s="128" t="s">
        <v>4773</v>
      </c>
      <c r="D649" s="123"/>
      <c r="E649" s="126"/>
      <c r="F649" s="123"/>
    </row>
    <row r="650" spans="1:6" ht="20.25" customHeight="1">
      <c r="A650" s="123"/>
      <c r="B650" s="124"/>
      <c r="C650" s="128" t="s">
        <v>4153</v>
      </c>
      <c r="D650" s="123"/>
      <c r="E650" s="126"/>
      <c r="F650" s="123"/>
    </row>
    <row r="651" spans="1:6" ht="20.25" customHeight="1">
      <c r="A651" s="123"/>
      <c r="B651" s="124"/>
      <c r="C651" s="128" t="s">
        <v>4774</v>
      </c>
      <c r="D651" s="123"/>
      <c r="E651" s="126"/>
      <c r="F651" s="123"/>
    </row>
    <row r="652" spans="1:6" ht="20.25" customHeight="1">
      <c r="A652" s="123"/>
      <c r="B652" s="124"/>
      <c r="C652" s="128" t="s">
        <v>4775</v>
      </c>
      <c r="D652" s="123"/>
      <c r="E652" s="126"/>
      <c r="F652" s="123"/>
    </row>
    <row r="653" spans="1:6" ht="20.25" customHeight="1">
      <c r="A653" s="123"/>
      <c r="B653" s="124"/>
      <c r="C653" s="128" t="s">
        <v>4776</v>
      </c>
      <c r="D653" s="123"/>
      <c r="E653" s="126"/>
      <c r="F653" s="123"/>
    </row>
    <row r="654" spans="1:6" ht="20.25" customHeight="1">
      <c r="A654" s="123">
        <v>41.1</v>
      </c>
      <c r="B654" s="124" t="s">
        <v>909</v>
      </c>
      <c r="C654" s="128" t="s">
        <v>4157</v>
      </c>
      <c r="D654" s="123">
        <f>D645</f>
        <v>57.6</v>
      </c>
      <c r="E654" s="126" t="s">
        <v>909</v>
      </c>
      <c r="F654" s="123">
        <f>SUM(A654*D654)</f>
        <v>2367.36</v>
      </c>
    </row>
    <row r="655" spans="1:6" ht="20.25" customHeight="1">
      <c r="A655" s="123"/>
      <c r="B655" s="124"/>
      <c r="C655" s="127" t="s">
        <v>4158</v>
      </c>
      <c r="D655" s="123"/>
      <c r="E655" s="126"/>
      <c r="F655" s="123"/>
    </row>
    <row r="656" spans="1:6" ht="20.25" customHeight="1">
      <c r="A656" s="123"/>
      <c r="B656" s="124"/>
      <c r="C656" s="128" t="s">
        <v>4777</v>
      </c>
      <c r="D656" s="123"/>
      <c r="E656" s="126"/>
      <c r="F656" s="123"/>
    </row>
    <row r="657" spans="1:6" ht="20.25" customHeight="1">
      <c r="A657" s="123"/>
      <c r="B657" s="124"/>
      <c r="C657" s="128" t="s">
        <v>4778</v>
      </c>
      <c r="D657" s="123"/>
      <c r="E657" s="126"/>
      <c r="F657" s="123"/>
    </row>
    <row r="658" spans="1:6" ht="20.25" customHeight="1">
      <c r="A658" s="123"/>
      <c r="B658" s="124"/>
      <c r="C658" s="128" t="s">
        <v>4779</v>
      </c>
      <c r="D658" s="123"/>
      <c r="E658" s="126"/>
      <c r="F658" s="123"/>
    </row>
    <row r="659" spans="1:6" ht="20.25" customHeight="1">
      <c r="A659" s="123"/>
      <c r="B659" s="124"/>
      <c r="C659" s="128" t="s">
        <v>4780</v>
      </c>
      <c r="D659" s="123"/>
      <c r="E659" s="126"/>
      <c r="F659" s="123"/>
    </row>
    <row r="660" spans="1:6" ht="20.25" customHeight="1">
      <c r="A660" s="123"/>
      <c r="B660" s="124"/>
      <c r="C660" s="128" t="s">
        <v>4781</v>
      </c>
      <c r="D660" s="123"/>
      <c r="E660" s="126"/>
      <c r="F660" s="123"/>
    </row>
    <row r="661" spans="1:6" ht="20.25" customHeight="1">
      <c r="A661" s="128"/>
      <c r="B661" s="128"/>
      <c r="C661" s="128" t="s">
        <v>4782</v>
      </c>
      <c r="D661" s="128"/>
      <c r="E661" s="128"/>
      <c r="F661" s="128"/>
    </row>
    <row r="662" spans="1:6" ht="20.25" customHeight="1">
      <c r="A662" s="123"/>
      <c r="B662" s="124"/>
      <c r="C662" s="128" t="s">
        <v>4163</v>
      </c>
      <c r="D662" s="123"/>
      <c r="E662" s="126"/>
      <c r="F662" s="123"/>
    </row>
    <row r="663" spans="1:6" ht="20.25" customHeight="1">
      <c r="A663" s="123"/>
      <c r="B663" s="124"/>
      <c r="C663" s="128" t="s">
        <v>4783</v>
      </c>
      <c r="D663" s="123"/>
      <c r="E663" s="126"/>
      <c r="F663" s="123"/>
    </row>
    <row r="664" spans="1:6" ht="20.25" customHeight="1">
      <c r="A664" s="123"/>
      <c r="B664" s="124"/>
      <c r="C664" s="128" t="s">
        <v>4784</v>
      </c>
      <c r="D664" s="123"/>
      <c r="E664" s="126"/>
      <c r="F664" s="123"/>
    </row>
    <row r="665" spans="1:6" ht="20.25" customHeight="1">
      <c r="A665" s="123"/>
      <c r="B665" s="124"/>
      <c r="C665" s="128" t="s">
        <v>4785</v>
      </c>
      <c r="D665" s="123"/>
      <c r="E665" s="126"/>
      <c r="F665" s="123"/>
    </row>
    <row r="666" spans="1:6" ht="20.25" customHeight="1">
      <c r="A666" s="123"/>
      <c r="B666" s="124"/>
      <c r="C666" s="128"/>
      <c r="D666" s="123"/>
      <c r="E666" s="126"/>
      <c r="F666" s="123"/>
    </row>
    <row r="667" spans="1:6" ht="20.25" customHeight="1">
      <c r="A667" s="123">
        <v>11.68</v>
      </c>
      <c r="B667" s="124" t="s">
        <v>909</v>
      </c>
      <c r="C667" s="128" t="s">
        <v>4786</v>
      </c>
      <c r="D667" s="123">
        <f>D590</f>
        <v>562</v>
      </c>
      <c r="E667" s="126" t="s">
        <v>909</v>
      </c>
      <c r="F667" s="123">
        <f>SUM(A667*D667)</f>
        <v>6564.16</v>
      </c>
    </row>
    <row r="668" spans="1:6" ht="20.25" customHeight="1">
      <c r="A668" s="123">
        <f>A667</f>
        <v>11.68</v>
      </c>
      <c r="B668" s="124" t="s">
        <v>909</v>
      </c>
      <c r="C668" s="128" t="s">
        <v>4170</v>
      </c>
      <c r="D668" s="123">
        <f>D591</f>
        <v>10</v>
      </c>
      <c r="E668" s="126" t="s">
        <v>909</v>
      </c>
      <c r="F668" s="123">
        <f>SUM(A668*D668)</f>
        <v>116.8</v>
      </c>
    </row>
    <row r="669" spans="1:6" ht="20.25" customHeight="1">
      <c r="A669" s="123">
        <v>503</v>
      </c>
      <c r="B669" s="124" t="s">
        <v>4177</v>
      </c>
      <c r="C669" s="128" t="s">
        <v>4178</v>
      </c>
      <c r="D669" s="123">
        <f>D592</f>
        <v>1</v>
      </c>
      <c r="E669" s="126" t="s">
        <v>4177</v>
      </c>
      <c r="F669" s="123">
        <f>SUM(A669*D669)</f>
        <v>503</v>
      </c>
    </row>
    <row r="670" spans="1:6" ht="20.25" customHeight="1">
      <c r="A670" s="123">
        <v>1</v>
      </c>
      <c r="B670" s="124" t="s">
        <v>1389</v>
      </c>
      <c r="C670" s="128" t="s">
        <v>4787</v>
      </c>
      <c r="D670" s="123">
        <v>8577</v>
      </c>
      <c r="E670" s="126" t="str">
        <f>B670</f>
        <v>No</v>
      </c>
      <c r="F670" s="123">
        <f t="shared" ref="F670:F680" si="25">SUM(A670*D670)</f>
        <v>8577</v>
      </c>
    </row>
    <row r="671" spans="1:6" ht="20.25" customHeight="1">
      <c r="A671" s="123">
        <v>6</v>
      </c>
      <c r="B671" s="124" t="s">
        <v>1389</v>
      </c>
      <c r="C671" s="128" t="s">
        <v>4788</v>
      </c>
      <c r="D671" s="123">
        <v>2349</v>
      </c>
      <c r="E671" s="126" t="str">
        <f>B671</f>
        <v>No</v>
      </c>
      <c r="F671" s="123">
        <f t="shared" si="25"/>
        <v>14094</v>
      </c>
    </row>
    <row r="672" spans="1:6" ht="20.25" customHeight="1">
      <c r="A672" s="123">
        <v>1.44</v>
      </c>
      <c r="B672" s="124" t="s">
        <v>2273</v>
      </c>
      <c r="C672" s="128" t="s">
        <v>4789</v>
      </c>
      <c r="D672" s="123">
        <f>2*563</f>
        <v>1126</v>
      </c>
      <c r="E672" s="126" t="s">
        <v>2273</v>
      </c>
      <c r="F672" s="123">
        <f t="shared" si="25"/>
        <v>1621.44</v>
      </c>
    </row>
    <row r="673" spans="1:6" ht="20.25" customHeight="1">
      <c r="A673" s="123">
        <v>12</v>
      </c>
      <c r="B673" s="124" t="s">
        <v>1389</v>
      </c>
      <c r="C673" s="128" t="s">
        <v>4181</v>
      </c>
      <c r="D673" s="123">
        <v>20</v>
      </c>
      <c r="E673" s="126" t="s">
        <v>1389</v>
      </c>
      <c r="F673" s="123">
        <f t="shared" si="25"/>
        <v>240</v>
      </c>
    </row>
    <row r="674" spans="1:6" ht="20.25" customHeight="1">
      <c r="A674" s="123">
        <v>1</v>
      </c>
      <c r="B674" s="124" t="s">
        <v>145</v>
      </c>
      <c r="C674" s="128" t="s">
        <v>4182</v>
      </c>
      <c r="D674" s="123">
        <v>280</v>
      </c>
      <c r="E674" s="126" t="s">
        <v>145</v>
      </c>
      <c r="F674" s="123">
        <f t="shared" si="25"/>
        <v>280</v>
      </c>
    </row>
    <row r="675" spans="1:6" ht="20.25" customHeight="1">
      <c r="A675" s="123">
        <v>3</v>
      </c>
      <c r="B675" s="124" t="s">
        <v>1389</v>
      </c>
      <c r="C675" s="128" t="s">
        <v>4790</v>
      </c>
      <c r="D675" s="123">
        <v>47.2</v>
      </c>
      <c r="E675" s="126" t="str">
        <f>B675</f>
        <v>No</v>
      </c>
      <c r="F675" s="123">
        <f t="shared" si="25"/>
        <v>141.6</v>
      </c>
    </row>
    <row r="676" spans="1:6" ht="20.25" customHeight="1">
      <c r="A676" s="123">
        <v>5</v>
      </c>
      <c r="B676" s="124" t="s">
        <v>823</v>
      </c>
      <c r="C676" s="128" t="s">
        <v>4791</v>
      </c>
      <c r="D676" s="123">
        <v>13.5</v>
      </c>
      <c r="E676" s="126" t="str">
        <f>B676</f>
        <v>Rmt</v>
      </c>
      <c r="F676" s="123">
        <f t="shared" si="25"/>
        <v>67.5</v>
      </c>
    </row>
    <row r="677" spans="1:6" ht="20.25" customHeight="1">
      <c r="A677" s="123">
        <v>105.6</v>
      </c>
      <c r="B677" s="124" t="s">
        <v>1637</v>
      </c>
      <c r="C677" s="128" t="s">
        <v>4792</v>
      </c>
      <c r="D677" s="123">
        <v>38.4</v>
      </c>
      <c r="E677" s="126" t="str">
        <f>B677</f>
        <v>Kg</v>
      </c>
      <c r="F677" s="123">
        <f t="shared" si="25"/>
        <v>4055.04</v>
      </c>
    </row>
    <row r="678" spans="1:6" ht="20.25" customHeight="1">
      <c r="A678" s="123">
        <v>41.1</v>
      </c>
      <c r="B678" s="124" t="s">
        <v>1637</v>
      </c>
      <c r="C678" s="128" t="s">
        <v>4793</v>
      </c>
      <c r="D678" s="123">
        <f>D677</f>
        <v>38.4</v>
      </c>
      <c r="E678" s="126" t="str">
        <f>B678</f>
        <v>Kg</v>
      </c>
      <c r="F678" s="123">
        <f t="shared" si="25"/>
        <v>1578.24</v>
      </c>
    </row>
    <row r="679" spans="1:6" ht="20.25" customHeight="1">
      <c r="A679" s="123">
        <v>7</v>
      </c>
      <c r="B679" s="124" t="s">
        <v>1393</v>
      </c>
      <c r="C679" s="128" t="s">
        <v>4794</v>
      </c>
      <c r="D679" s="123">
        <v>1454</v>
      </c>
      <c r="E679" s="126" t="str">
        <f>B679</f>
        <v>Each</v>
      </c>
      <c r="F679" s="123">
        <f t="shared" si="25"/>
        <v>10178</v>
      </c>
    </row>
    <row r="680" spans="1:6" ht="20.25" customHeight="1">
      <c r="A680" s="123">
        <v>180.4</v>
      </c>
      <c r="B680" s="124" t="s">
        <v>4795</v>
      </c>
      <c r="C680" s="128" t="s">
        <v>4796</v>
      </c>
      <c r="D680" s="123">
        <v>10</v>
      </c>
      <c r="E680" s="126" t="s">
        <v>4797</v>
      </c>
      <c r="F680" s="123">
        <f t="shared" si="25"/>
        <v>1804</v>
      </c>
    </row>
    <row r="681" spans="1:6" ht="20.25" customHeight="1">
      <c r="A681" s="123"/>
      <c r="B681" s="124"/>
      <c r="C681" s="128" t="s">
        <v>4798</v>
      </c>
      <c r="D681" s="123"/>
      <c r="E681" s="126"/>
      <c r="F681" s="123">
        <v>300</v>
      </c>
    </row>
    <row r="682" spans="1:6" ht="20.25" customHeight="1">
      <c r="A682" s="123"/>
      <c r="B682" s="124"/>
      <c r="C682" s="128"/>
      <c r="D682" s="123"/>
      <c r="E682" s="126"/>
      <c r="F682" s="130">
        <f>SUM(F645:F681)</f>
        <v>58570.7</v>
      </c>
    </row>
    <row r="683" spans="1:6" ht="20.25" customHeight="1">
      <c r="A683" s="123"/>
      <c r="B683" s="124"/>
      <c r="C683" s="128" t="s">
        <v>4799</v>
      </c>
      <c r="D683" s="123"/>
      <c r="E683" s="126"/>
      <c r="F683" s="123">
        <f>F682*(2/100)</f>
        <v>1171.4100000000001</v>
      </c>
    </row>
    <row r="684" spans="1:6" ht="20.25" customHeight="1">
      <c r="A684" s="123"/>
      <c r="B684" s="124"/>
      <c r="C684" s="128" t="s">
        <v>4800</v>
      </c>
      <c r="D684" s="123"/>
      <c r="E684" s="126"/>
      <c r="F684" s="123">
        <v>2000</v>
      </c>
    </row>
    <row r="685" spans="1:6" ht="20.25" customHeight="1">
      <c r="A685" s="123"/>
      <c r="B685" s="124"/>
      <c r="C685" s="128" t="s">
        <v>4801</v>
      </c>
      <c r="D685" s="123"/>
      <c r="E685" s="126"/>
      <c r="F685" s="123">
        <v>3500</v>
      </c>
    </row>
    <row r="686" spans="1:6" ht="20.25" customHeight="1">
      <c r="A686" s="123"/>
      <c r="B686" s="124"/>
      <c r="C686" s="128"/>
      <c r="D686" s="123"/>
      <c r="E686" s="126"/>
      <c r="F686" s="123">
        <f>SUM(F682:F685)</f>
        <v>65242.11</v>
      </c>
    </row>
    <row r="687" spans="1:6" ht="20.25" customHeight="1">
      <c r="A687" s="123"/>
      <c r="B687" s="124"/>
      <c r="C687" s="169"/>
      <c r="D687" s="123"/>
      <c r="E687" s="128" t="s">
        <v>4209</v>
      </c>
      <c r="F687" s="130">
        <v>62073</v>
      </c>
    </row>
    <row r="799" spans="1:7" ht="20.25" customHeight="1">
      <c r="C799" s="165" t="s">
        <v>5577</v>
      </c>
    </row>
    <row r="800" spans="1:7" ht="20.25" customHeight="1">
      <c r="A800" s="85"/>
      <c r="B800" s="85"/>
      <c r="C800" s="225" t="s">
        <v>5550</v>
      </c>
      <c r="D800" s="225"/>
      <c r="E800" s="85"/>
      <c r="F800" s="85"/>
      <c r="G800" s="20" t="s">
        <v>4734</v>
      </c>
    </row>
    <row r="801" spans="1:7" ht="20.25" customHeight="1">
      <c r="A801" s="85"/>
      <c r="B801" s="85"/>
      <c r="C801" s="226" t="s">
        <v>5551</v>
      </c>
      <c r="D801" s="226"/>
      <c r="E801" s="85"/>
      <c r="F801" s="85"/>
      <c r="G801" s="20"/>
    </row>
    <row r="802" spans="1:7" ht="20.25" customHeight="1">
      <c r="A802" s="85"/>
      <c r="B802" s="85"/>
      <c r="C802" s="85" t="s">
        <v>5313</v>
      </c>
      <c r="D802" s="85"/>
      <c r="E802" s="85"/>
      <c r="F802" s="85"/>
      <c r="G802" s="20"/>
    </row>
    <row r="803" spans="1:7" ht="20.25" customHeight="1">
      <c r="A803" s="85"/>
      <c r="B803" s="85"/>
      <c r="C803" s="85" t="s">
        <v>5552</v>
      </c>
      <c r="D803" s="85"/>
      <c r="E803" s="85" t="s">
        <v>5553</v>
      </c>
      <c r="F803" s="85"/>
      <c r="G803" s="20"/>
    </row>
    <row r="804" spans="1:7" ht="20.25" customHeight="1">
      <c r="A804" s="85"/>
      <c r="B804" s="85"/>
      <c r="C804" s="85" t="s">
        <v>5554</v>
      </c>
      <c r="D804" s="85"/>
      <c r="E804" s="85" t="s">
        <v>5555</v>
      </c>
      <c r="F804" s="85"/>
      <c r="G804" s="20"/>
    </row>
    <row r="805" spans="1:7" ht="20.25" customHeight="1">
      <c r="A805" s="85"/>
      <c r="B805" s="85"/>
      <c r="C805" s="85" t="s">
        <v>5556</v>
      </c>
      <c r="D805" s="85"/>
      <c r="E805" s="85" t="s">
        <v>5557</v>
      </c>
      <c r="F805" s="85"/>
      <c r="G805" s="20"/>
    </row>
    <row r="806" spans="1:7" ht="20.25" customHeight="1">
      <c r="A806" s="85"/>
      <c r="B806" s="85"/>
      <c r="C806" s="85" t="s">
        <v>5558</v>
      </c>
      <c r="D806" s="85"/>
      <c r="E806" s="85" t="s">
        <v>5559</v>
      </c>
      <c r="F806" s="85"/>
      <c r="G806" s="20"/>
    </row>
    <row r="807" spans="1:7" ht="20.25" customHeight="1">
      <c r="A807" s="85"/>
      <c r="B807" s="85"/>
      <c r="C807" s="85" t="s">
        <v>5560</v>
      </c>
      <c r="D807" s="85"/>
      <c r="E807" s="85" t="s">
        <v>5561</v>
      </c>
      <c r="F807" s="85"/>
      <c r="G807" s="20"/>
    </row>
    <row r="808" spans="1:7" ht="20.25" customHeight="1">
      <c r="A808" s="85"/>
      <c r="B808" s="85"/>
      <c r="C808" s="85" t="s">
        <v>5562</v>
      </c>
      <c r="D808" s="85"/>
      <c r="E808" s="226" t="s">
        <v>5563</v>
      </c>
      <c r="F808" s="85"/>
      <c r="G808" s="20"/>
    </row>
    <row r="809" spans="1:7" ht="20.25" customHeight="1">
      <c r="A809" s="85"/>
      <c r="B809" s="85"/>
      <c r="C809" s="85" t="s">
        <v>4406</v>
      </c>
      <c r="D809" s="85"/>
      <c r="E809" s="226" t="s">
        <v>5564</v>
      </c>
      <c r="F809" s="85"/>
      <c r="G809" s="20"/>
    </row>
    <row r="810" spans="1:7" ht="20.25" customHeight="1">
      <c r="A810" s="85"/>
      <c r="B810" s="85"/>
      <c r="C810" s="86" t="s">
        <v>5562</v>
      </c>
      <c r="D810" s="86"/>
      <c r="E810" s="226" t="s">
        <v>5565</v>
      </c>
      <c r="F810" s="85"/>
      <c r="G810" s="20"/>
    </row>
    <row r="811" spans="1:7" ht="20.25" customHeight="1">
      <c r="A811" s="85"/>
      <c r="B811" s="85"/>
      <c r="C811" s="85" t="s">
        <v>5566</v>
      </c>
      <c r="D811" s="85"/>
      <c r="E811" s="226" t="s">
        <v>5567</v>
      </c>
      <c r="F811" s="85"/>
      <c r="G811" s="20"/>
    </row>
    <row r="812" spans="1:7" ht="20.25" customHeight="1">
      <c r="A812" s="85">
        <v>177.37200000000001</v>
      </c>
      <c r="B812" s="215" t="s">
        <v>1637</v>
      </c>
      <c r="C812" s="139" t="str">
        <f>C16</f>
        <v>Cost of MS sheet [SR 2020-21 / P.126]</v>
      </c>
      <c r="D812" s="90"/>
      <c r="E812" s="227">
        <f>D16</f>
        <v>57.6</v>
      </c>
      <c r="F812" s="215" t="s">
        <v>1637</v>
      </c>
      <c r="G812" s="20">
        <f>E812*A812</f>
        <v>10216.629999999999</v>
      </c>
    </row>
    <row r="813" spans="1:7" ht="20.25" customHeight="1">
      <c r="A813" s="85">
        <v>9.56</v>
      </c>
      <c r="B813" s="215" t="s">
        <v>1637</v>
      </c>
      <c r="C813" s="90" t="str">
        <f>C41</f>
        <v>Cost copper  (SR / P.126)</v>
      </c>
      <c r="D813" s="90"/>
      <c r="E813" s="227">
        <f>D41</f>
        <v>562</v>
      </c>
      <c r="F813" s="215" t="s">
        <v>1637</v>
      </c>
      <c r="G813" s="20">
        <f>A813*E813</f>
        <v>5372.72</v>
      </c>
    </row>
    <row r="814" spans="1:7" ht="35.25" customHeight="1">
      <c r="A814" s="85">
        <v>9.56</v>
      </c>
      <c r="B814" s="215" t="s">
        <v>1637</v>
      </c>
      <c r="C814" s="90" t="str">
        <f>C42</f>
        <v>Tin coating of copper ( qtn vide CER.NO.189/19-20)</v>
      </c>
      <c r="D814" s="90"/>
      <c r="E814" s="227">
        <f>D42</f>
        <v>10</v>
      </c>
      <c r="F814" s="215" t="s">
        <v>1637</v>
      </c>
      <c r="G814" s="20">
        <f>A814*E814</f>
        <v>95.6</v>
      </c>
    </row>
    <row r="815" spans="1:7" ht="20.25" customHeight="1">
      <c r="A815" s="85"/>
      <c r="B815" s="85"/>
      <c r="C815" s="90" t="s">
        <v>5330</v>
      </c>
      <c r="D815" s="90"/>
      <c r="E815" s="227"/>
      <c r="F815" s="215"/>
      <c r="G815" s="20"/>
    </row>
    <row r="816" spans="1:7" ht="20.25" customHeight="1">
      <c r="A816" s="85"/>
      <c r="B816" s="85"/>
      <c r="C816" s="90" t="s">
        <v>5331</v>
      </c>
      <c r="D816" s="90"/>
      <c r="E816" s="227"/>
      <c r="F816" s="215"/>
      <c r="G816" s="20"/>
    </row>
    <row r="817" spans="1:7" ht="20.25" customHeight="1">
      <c r="A817" s="85"/>
      <c r="B817" s="85"/>
      <c r="C817" s="90" t="s">
        <v>5332</v>
      </c>
      <c r="D817" s="90"/>
      <c r="E817" s="227"/>
      <c r="F817" s="215"/>
      <c r="G817" s="20"/>
    </row>
    <row r="818" spans="1:7" ht="20.25" customHeight="1">
      <c r="A818" s="85"/>
      <c r="B818" s="85"/>
      <c r="C818" s="90" t="s">
        <v>5333</v>
      </c>
      <c r="D818" s="90"/>
      <c r="E818" s="227"/>
      <c r="F818" s="215"/>
      <c r="G818" s="20"/>
    </row>
    <row r="819" spans="1:7" ht="20.25" customHeight="1">
      <c r="A819" s="85">
        <v>8</v>
      </c>
      <c r="B819" s="215" t="s">
        <v>823</v>
      </c>
      <c r="C819" s="228" t="str">
        <f>C48</f>
        <v>25mm x3mm Gi flat [SR 2022-23 / P.151]</v>
      </c>
      <c r="D819" s="90"/>
      <c r="E819" s="229">
        <f>D48</f>
        <v>115</v>
      </c>
      <c r="F819" s="215" t="s">
        <v>823</v>
      </c>
      <c r="G819" s="20">
        <f>A819*E819</f>
        <v>920</v>
      </c>
    </row>
    <row r="820" spans="1:7" ht="20.25" customHeight="1">
      <c r="A820" s="20">
        <v>22.2</v>
      </c>
      <c r="B820" s="215" t="s">
        <v>909</v>
      </c>
      <c r="C820" s="90" t="s">
        <v>5571</v>
      </c>
      <c r="D820" s="90"/>
      <c r="E820" s="227">
        <f>E812</f>
        <v>57.6</v>
      </c>
      <c r="F820" s="215" t="s">
        <v>909</v>
      </c>
      <c r="G820" s="20">
        <f>E820*A820</f>
        <v>1278.72</v>
      </c>
    </row>
    <row r="821" spans="1:7" ht="20.25" customHeight="1">
      <c r="A821" s="85"/>
      <c r="B821" s="215"/>
      <c r="C821" s="90" t="s">
        <v>5334</v>
      </c>
      <c r="D821" s="90"/>
      <c r="E821" s="227"/>
      <c r="F821" s="215"/>
      <c r="G821" s="20"/>
    </row>
    <row r="822" spans="1:7" ht="20.25" customHeight="1">
      <c r="A822" s="20">
        <v>3</v>
      </c>
      <c r="B822" s="215" t="s">
        <v>1427</v>
      </c>
      <c r="C822" s="90" t="str">
        <f t="shared" ref="C822:C830" si="26">C132</f>
        <v xml:space="preserve"> 300 A fuse units ( qtn)</v>
      </c>
      <c r="D822" s="230" t="s">
        <v>2241</v>
      </c>
      <c r="E822" s="227">
        <f t="shared" ref="E822:E830" si="27">D132</f>
        <v>696.43</v>
      </c>
      <c r="F822" s="215" t="s">
        <v>1393</v>
      </c>
      <c r="G822" s="231">
        <f t="shared" ref="G822:G830" si="28">A822*E822</f>
        <v>2089.29</v>
      </c>
    </row>
    <row r="823" spans="1:7" ht="20.25" customHeight="1">
      <c r="A823" s="20">
        <v>1</v>
      </c>
      <c r="B823" s="215" t="s">
        <v>1389</v>
      </c>
      <c r="C823" s="90" t="str">
        <f t="shared" si="26"/>
        <v xml:space="preserve">100 A neutral link SD -130 </v>
      </c>
      <c r="D823" s="90"/>
      <c r="E823" s="227">
        <f t="shared" si="27"/>
        <v>77.599999999999994</v>
      </c>
      <c r="F823" s="215" t="s">
        <v>1393</v>
      </c>
      <c r="G823" s="20">
        <f t="shared" si="28"/>
        <v>77.599999999999994</v>
      </c>
    </row>
    <row r="824" spans="1:7" ht="20.25" customHeight="1">
      <c r="A824" s="20">
        <v>24</v>
      </c>
      <c r="B824" s="215" t="s">
        <v>1427</v>
      </c>
      <c r="C824" s="90" t="str">
        <f t="shared" si="26"/>
        <v>63 A fuse units ( 500 V) [SR 2022-23 / P.119]</v>
      </c>
      <c r="D824" s="90"/>
      <c r="E824" s="227">
        <f t="shared" si="27"/>
        <v>190.2</v>
      </c>
      <c r="F824" s="215" t="s">
        <v>1393</v>
      </c>
      <c r="G824" s="20">
        <f t="shared" si="28"/>
        <v>4564.8</v>
      </c>
    </row>
    <row r="825" spans="1:7" ht="20.25" customHeight="1">
      <c r="A825" s="20">
        <v>1</v>
      </c>
      <c r="B825" s="215" t="s">
        <v>1389</v>
      </c>
      <c r="C825" s="90" t="str">
        <f t="shared" si="26"/>
        <v>32 A fuse units ( 500 V)[SR 2022-23 // P.119]</v>
      </c>
      <c r="D825" s="90"/>
      <c r="E825" s="227">
        <f t="shared" si="27"/>
        <v>85.2</v>
      </c>
      <c r="F825" s="215" t="s">
        <v>1393</v>
      </c>
      <c r="G825" s="231">
        <f t="shared" si="28"/>
        <v>85.2</v>
      </c>
    </row>
    <row r="826" spans="1:7" ht="20.25" customHeight="1">
      <c r="A826" s="20">
        <v>8</v>
      </c>
      <c r="B826" s="215" t="s">
        <v>1427</v>
      </c>
      <c r="C826" s="90" t="str">
        <f t="shared" si="26"/>
        <v xml:space="preserve">63 A netural link SD -129 </v>
      </c>
      <c r="D826" s="90"/>
      <c r="E826" s="227">
        <f t="shared" si="27"/>
        <v>67.8</v>
      </c>
      <c r="F826" s="215" t="s">
        <v>1393</v>
      </c>
      <c r="G826" s="20">
        <f t="shared" si="28"/>
        <v>542.4</v>
      </c>
    </row>
    <row r="827" spans="1:7" ht="20.25" customHeight="1">
      <c r="A827" s="20">
        <v>1</v>
      </c>
      <c r="B827" s="215" t="s">
        <v>1389</v>
      </c>
      <c r="C827" s="90" t="str">
        <f t="shared" si="26"/>
        <v>32 A netural link sd127</v>
      </c>
      <c r="D827" s="90"/>
      <c r="E827" s="227">
        <f t="shared" si="27"/>
        <v>38</v>
      </c>
      <c r="F827" s="215" t="s">
        <v>1393</v>
      </c>
      <c r="G827" s="20">
        <f t="shared" si="28"/>
        <v>38</v>
      </c>
    </row>
    <row r="828" spans="1:7" ht="20.25" customHeight="1">
      <c r="A828" s="20">
        <v>8</v>
      </c>
      <c r="B828" s="215" t="s">
        <v>1427</v>
      </c>
      <c r="C828" s="90" t="str">
        <f t="shared" si="26"/>
        <v>40 amps 4 pole isolator [SR 2022-23 / P.134]</v>
      </c>
      <c r="D828" s="90"/>
      <c r="E828" s="227">
        <f t="shared" si="27"/>
        <v>580</v>
      </c>
      <c r="F828" s="215" t="s">
        <v>1393</v>
      </c>
      <c r="G828" s="231">
        <f t="shared" si="28"/>
        <v>4640</v>
      </c>
    </row>
    <row r="829" spans="1:7" ht="20.25" customHeight="1">
      <c r="A829" s="20">
        <v>1</v>
      </c>
      <c r="B829" s="215" t="s">
        <v>1389</v>
      </c>
      <c r="C829" s="90" t="str">
        <f t="shared" si="26"/>
        <v>40 amps 2 pole isolator [SR 2022-23 / P.134]</v>
      </c>
      <c r="D829" s="90"/>
      <c r="E829" s="227">
        <f t="shared" si="27"/>
        <v>258</v>
      </c>
      <c r="F829" s="215" t="s">
        <v>1393</v>
      </c>
      <c r="G829" s="231">
        <f t="shared" si="28"/>
        <v>258</v>
      </c>
    </row>
    <row r="830" spans="1:7" ht="20.25" customHeight="1">
      <c r="A830" s="20">
        <v>836</v>
      </c>
      <c r="B830" s="215" t="s">
        <v>154</v>
      </c>
      <c r="C830" s="90" t="str">
        <f t="shared" si="26"/>
        <v>Interconnection charges ( qtn)</v>
      </c>
      <c r="D830" s="90"/>
      <c r="E830" s="227">
        <f t="shared" si="27"/>
        <v>1</v>
      </c>
      <c r="F830" s="215" t="s">
        <v>4177</v>
      </c>
      <c r="G830" s="20">
        <f t="shared" si="28"/>
        <v>836</v>
      </c>
    </row>
    <row r="831" spans="1:7" ht="20.25" customHeight="1">
      <c r="A831" s="85"/>
      <c r="B831" s="215"/>
      <c r="C831" s="90" t="s">
        <v>5336</v>
      </c>
      <c r="D831" s="90"/>
      <c r="E831" s="227"/>
      <c r="F831" s="215"/>
      <c r="G831" s="20"/>
    </row>
    <row r="832" spans="1:7" ht="20.25" customHeight="1">
      <c r="A832" s="20">
        <v>31.4</v>
      </c>
      <c r="B832" s="215" t="s">
        <v>5337</v>
      </c>
      <c r="C832" s="90" t="str">
        <f t="shared" ref="C832:C840" si="29">C143</f>
        <v>Rubber beeding ( qtn)</v>
      </c>
      <c r="D832" s="230" t="s">
        <v>2241</v>
      </c>
      <c r="E832" s="227">
        <f t="shared" ref="E832:E840" si="30">D143</f>
        <v>20</v>
      </c>
      <c r="F832" s="215" t="s">
        <v>3430</v>
      </c>
      <c r="G832" s="231">
        <f t="shared" ref="G832:G840" si="31">A832*E832</f>
        <v>628</v>
      </c>
    </row>
    <row r="833" spans="1:7" ht="20.25" customHeight="1">
      <c r="A833" s="231">
        <v>1.1000000000000001</v>
      </c>
      <c r="B833" s="215" t="s">
        <v>5572</v>
      </c>
      <c r="C833" s="90" t="str">
        <f t="shared" si="29"/>
        <v>Cost of hylum sheet 6mm [SR 2022-23 / P.129]</v>
      </c>
      <c r="D833" s="90"/>
      <c r="E833" s="227">
        <f t="shared" si="30"/>
        <v>1322</v>
      </c>
      <c r="F833" s="215" t="s">
        <v>5572</v>
      </c>
      <c r="G833" s="20">
        <f t="shared" si="31"/>
        <v>1454.2</v>
      </c>
    </row>
    <row r="834" spans="1:7" ht="20.25" customHeight="1">
      <c r="A834" s="20">
        <v>9</v>
      </c>
      <c r="B834" s="215" t="s">
        <v>1427</v>
      </c>
      <c r="C834" s="90" t="str">
        <f t="shared" si="29"/>
        <v>Insulators( qtn)</v>
      </c>
      <c r="D834" s="230" t="s">
        <v>2241</v>
      </c>
      <c r="E834" s="227">
        <f t="shared" si="30"/>
        <v>20</v>
      </c>
      <c r="F834" s="215" t="s">
        <v>1393</v>
      </c>
      <c r="G834" s="231">
        <f t="shared" si="31"/>
        <v>180</v>
      </c>
    </row>
    <row r="835" spans="1:7" ht="20.25" customHeight="1">
      <c r="A835" s="20">
        <v>1</v>
      </c>
      <c r="B835" s="215" t="s">
        <v>4200</v>
      </c>
      <c r="C835" s="90" t="str">
        <f t="shared" si="29"/>
        <v>LED pilot lamps( qtn)</v>
      </c>
      <c r="D835" s="230" t="s">
        <v>2241</v>
      </c>
      <c r="E835" s="227">
        <f t="shared" si="30"/>
        <v>280</v>
      </c>
      <c r="F835" s="215" t="s">
        <v>145</v>
      </c>
      <c r="G835" s="231">
        <f t="shared" si="31"/>
        <v>280</v>
      </c>
    </row>
    <row r="836" spans="1:7" ht="20.25" customHeight="1">
      <c r="A836" s="20">
        <v>5</v>
      </c>
      <c r="B836" s="215" t="s">
        <v>5573</v>
      </c>
      <c r="C836" s="235" t="str">
        <f t="shared" si="29"/>
        <v>1 sqmm PVC copper cable [SR 2022-23 / P.125]</v>
      </c>
      <c r="D836" s="90"/>
      <c r="E836" s="227">
        <f t="shared" si="30"/>
        <v>10.45</v>
      </c>
      <c r="F836" s="215" t="s">
        <v>5573</v>
      </c>
      <c r="G836" s="20">
        <f t="shared" si="31"/>
        <v>52.25</v>
      </c>
    </row>
    <row r="837" spans="1:7" ht="20.25" customHeight="1">
      <c r="A837" s="20">
        <f>177.37+A820</f>
        <v>199.57</v>
      </c>
      <c r="B837" s="215" t="s">
        <v>1637</v>
      </c>
      <c r="C837" s="235" t="str">
        <f t="shared" si="29"/>
        <v>MS sheet fabrication charges [SR 2022-23 / P.29]</v>
      </c>
      <c r="D837" s="90"/>
      <c r="E837" s="227">
        <f t="shared" si="30"/>
        <v>52.5</v>
      </c>
      <c r="F837" s="215" t="s">
        <v>1637</v>
      </c>
      <c r="G837" s="20">
        <f t="shared" si="31"/>
        <v>10477.43</v>
      </c>
    </row>
    <row r="838" spans="1:7" ht="20.25" customHeight="1">
      <c r="A838" s="20">
        <v>9</v>
      </c>
      <c r="B838" s="215" t="s">
        <v>1427</v>
      </c>
      <c r="C838" s="235" t="str">
        <f t="shared" si="29"/>
        <v>Isolators / Fuse units/ Pilot lamp fixing charges ( SD 145)</v>
      </c>
      <c r="D838" s="90"/>
      <c r="E838" s="227">
        <f t="shared" si="30"/>
        <v>1086</v>
      </c>
      <c r="F838" s="215" t="s">
        <v>1706</v>
      </c>
      <c r="G838" s="20">
        <f t="shared" si="31"/>
        <v>9774</v>
      </c>
    </row>
    <row r="839" spans="1:7" ht="20.25" customHeight="1">
      <c r="A839" s="20">
        <v>275.64</v>
      </c>
      <c r="B839" s="215" t="s">
        <v>5339</v>
      </c>
      <c r="C839" s="235" t="str">
        <f t="shared" si="29"/>
        <v>Painting with primer &amp; suitable colour( qtn)</v>
      </c>
      <c r="D839" s="90"/>
      <c r="E839" s="227">
        <f t="shared" si="30"/>
        <v>10</v>
      </c>
      <c r="F839" s="215" t="s">
        <v>4186</v>
      </c>
      <c r="G839" s="20">
        <f t="shared" si="31"/>
        <v>2756.4</v>
      </c>
    </row>
    <row r="840" spans="1:7" ht="20.25" customHeight="1">
      <c r="A840" s="20">
        <v>68</v>
      </c>
      <c r="B840" s="232" t="s">
        <v>5337</v>
      </c>
      <c r="C840" s="235" t="str">
        <f t="shared" si="29"/>
        <v>6 Sq.mm. single core PVC copper cables for connection between fuse units and meter and between meter and 32A TPN MCB [SR 2020-21 / P.124]</v>
      </c>
      <c r="D840" s="90"/>
      <c r="E840" s="227">
        <f t="shared" si="30"/>
        <v>60.65</v>
      </c>
      <c r="F840" s="215" t="s">
        <v>369</v>
      </c>
      <c r="G840" s="20">
        <f t="shared" si="31"/>
        <v>4124.2</v>
      </c>
    </row>
    <row r="841" spans="1:7" ht="20.25" customHeight="1">
      <c r="A841" s="20"/>
      <c r="B841" s="85"/>
      <c r="C841" s="90" t="s">
        <v>5341</v>
      </c>
      <c r="D841" s="90"/>
      <c r="E841" s="233"/>
      <c r="F841" s="85"/>
      <c r="G841" s="20"/>
    </row>
    <row r="842" spans="1:7" ht="20.25" customHeight="1">
      <c r="A842" s="20"/>
      <c r="B842" s="85"/>
      <c r="C842" s="90" t="s">
        <v>5574</v>
      </c>
      <c r="D842" s="90"/>
      <c r="E842" s="233"/>
      <c r="F842" s="85"/>
      <c r="G842" s="20"/>
    </row>
    <row r="843" spans="1:7" ht="20.25" customHeight="1">
      <c r="A843" s="20"/>
      <c r="B843" s="85"/>
      <c r="C843" s="90" t="s">
        <v>5575</v>
      </c>
      <c r="D843" s="90"/>
      <c r="E843" s="227">
        <v>200</v>
      </c>
      <c r="F843" s="85"/>
      <c r="G843" s="20">
        <v>200</v>
      </c>
    </row>
    <row r="844" spans="1:7" ht="20.25" customHeight="1">
      <c r="A844" s="20"/>
      <c r="B844" s="85"/>
      <c r="C844" s="90"/>
      <c r="D844" s="90"/>
      <c r="E844" s="234" t="s">
        <v>2235</v>
      </c>
      <c r="F844" s="85"/>
      <c r="G844" s="89">
        <f>SUM(G811:G843)</f>
        <v>60941.440000000002</v>
      </c>
    </row>
    <row r="845" spans="1:7" ht="20.25" customHeight="1">
      <c r="A845" s="85"/>
      <c r="B845" s="85"/>
      <c r="C845" s="90" t="s">
        <v>5342</v>
      </c>
      <c r="D845" s="90"/>
      <c r="E845" s="90"/>
      <c r="F845" s="85"/>
      <c r="G845" s="20">
        <f>G844*2%</f>
        <v>1218.83</v>
      </c>
    </row>
    <row r="846" spans="1:7" ht="20.25" customHeight="1">
      <c r="A846" s="85"/>
      <c r="B846" s="85"/>
      <c r="C846" s="90" t="s">
        <v>5343</v>
      </c>
      <c r="D846" s="90"/>
      <c r="E846" s="90"/>
      <c r="F846" s="85"/>
      <c r="G846" s="20">
        <f>SUM(G844:G845)</f>
        <v>62160.27</v>
      </c>
    </row>
    <row r="847" spans="1:7" ht="20.25" customHeight="1">
      <c r="A847" s="85"/>
      <c r="B847" s="85"/>
      <c r="C847" s="90" t="s">
        <v>5576</v>
      </c>
      <c r="D847" s="230" t="s">
        <v>2241</v>
      </c>
      <c r="E847" s="90"/>
      <c r="F847" s="85"/>
      <c r="G847" s="20"/>
    </row>
    <row r="848" spans="1:7" ht="20.25" customHeight="1">
      <c r="A848" s="85"/>
      <c r="B848" s="85"/>
      <c r="C848" s="90" t="s">
        <v>5344</v>
      </c>
      <c r="D848" s="90"/>
      <c r="E848" s="90"/>
      <c r="F848" s="85"/>
      <c r="G848" s="20">
        <v>1000</v>
      </c>
    </row>
    <row r="849" spans="1:7" ht="20.25" customHeight="1">
      <c r="A849" s="85"/>
      <c r="B849" s="85"/>
      <c r="C849" s="90" t="s">
        <v>5345</v>
      </c>
      <c r="D849" s="90"/>
      <c r="E849" s="90"/>
      <c r="F849" s="85"/>
      <c r="G849" s="20">
        <v>1000</v>
      </c>
    </row>
    <row r="850" spans="1:7" ht="20.25" customHeight="1">
      <c r="A850" s="85"/>
      <c r="B850" s="85"/>
      <c r="C850" s="85"/>
      <c r="D850" s="85"/>
      <c r="E850" s="85"/>
      <c r="F850" s="85"/>
      <c r="G850" s="20">
        <f>SUM(G846:G849)</f>
        <v>64160.27</v>
      </c>
    </row>
    <row r="851" spans="1:7" ht="20.25" customHeight="1">
      <c r="A851" s="85"/>
      <c r="B851" s="85"/>
      <c r="C851" s="85"/>
      <c r="D851" s="85"/>
      <c r="E851" s="85"/>
      <c r="F851" s="85"/>
      <c r="G851" s="89">
        <f>ROUNDUP(G850,-2)</f>
        <v>64200</v>
      </c>
    </row>
    <row r="855" spans="1:7" ht="20.25" customHeight="1">
      <c r="A855" s="85"/>
      <c r="B855" s="85"/>
      <c r="C855" s="236" t="s">
        <v>5580</v>
      </c>
      <c r="D855" s="225"/>
      <c r="E855" s="1241" t="s">
        <v>5581</v>
      </c>
      <c r="F855" s="1241"/>
      <c r="G855" s="1241"/>
    </row>
    <row r="856" spans="1:7" ht="20.25" customHeight="1">
      <c r="A856" s="85"/>
      <c r="B856" s="85"/>
      <c r="C856" s="226" t="s">
        <v>5312</v>
      </c>
      <c r="D856" s="226"/>
      <c r="E856" s="85"/>
      <c r="F856" s="85"/>
      <c r="G856" s="85"/>
    </row>
    <row r="857" spans="1:7" ht="20.25" customHeight="1">
      <c r="A857" s="85"/>
      <c r="B857" s="85"/>
      <c r="C857" s="85" t="s">
        <v>5313</v>
      </c>
      <c r="D857" s="85"/>
      <c r="E857" s="85"/>
      <c r="F857" s="85"/>
      <c r="G857" s="85"/>
    </row>
    <row r="858" spans="1:7" ht="20.25" customHeight="1">
      <c r="A858" s="85"/>
      <c r="B858" s="85"/>
      <c r="C858" s="85" t="s">
        <v>5314</v>
      </c>
      <c r="D858" s="85"/>
      <c r="E858" s="85" t="s">
        <v>5315</v>
      </c>
      <c r="F858" s="85"/>
      <c r="G858" s="85"/>
    </row>
    <row r="859" spans="1:7" ht="20.25" customHeight="1">
      <c r="A859" s="85"/>
      <c r="B859" s="85"/>
      <c r="C859" s="85" t="s">
        <v>5316</v>
      </c>
      <c r="D859" s="85"/>
      <c r="E859" s="85" t="s">
        <v>5317</v>
      </c>
      <c r="F859" s="85"/>
      <c r="G859" s="85"/>
    </row>
    <row r="860" spans="1:7" ht="20.25" customHeight="1">
      <c r="A860" s="85"/>
      <c r="B860" s="85"/>
      <c r="C860" s="85" t="s">
        <v>5318</v>
      </c>
      <c r="D860" s="85"/>
      <c r="E860" s="85" t="s">
        <v>5319</v>
      </c>
      <c r="F860" s="85"/>
      <c r="G860" s="85"/>
    </row>
    <row r="861" spans="1:7" ht="20.25" customHeight="1">
      <c r="A861" s="85"/>
      <c r="B861" s="85"/>
      <c r="C861" s="85" t="s">
        <v>5320</v>
      </c>
      <c r="D861" s="85"/>
      <c r="E861" s="85" t="s">
        <v>5321</v>
      </c>
      <c r="F861" s="85"/>
      <c r="G861" s="85"/>
    </row>
    <row r="862" spans="1:7" ht="20.25" customHeight="1">
      <c r="A862" s="85"/>
      <c r="B862" s="85"/>
      <c r="C862" s="85" t="s">
        <v>5322</v>
      </c>
      <c r="D862" s="85"/>
      <c r="E862" s="85" t="s">
        <v>5323</v>
      </c>
      <c r="F862" s="85"/>
      <c r="G862" s="85"/>
    </row>
    <row r="863" spans="1:7" ht="20.25" customHeight="1">
      <c r="A863" s="85"/>
      <c r="B863" s="85"/>
      <c r="C863" s="85" t="s">
        <v>2235</v>
      </c>
      <c r="D863" s="85"/>
      <c r="E863" s="85" t="s">
        <v>5324</v>
      </c>
      <c r="F863" s="85"/>
      <c r="G863" s="85"/>
    </row>
    <row r="864" spans="1:7" ht="20.25" customHeight="1">
      <c r="A864" s="85"/>
      <c r="B864" s="85"/>
      <c r="C864" s="237" t="s">
        <v>5325</v>
      </c>
      <c r="D864" s="85"/>
      <c r="E864" s="85" t="s">
        <v>5326</v>
      </c>
      <c r="F864" s="85"/>
      <c r="G864" s="85"/>
    </row>
    <row r="865" spans="1:7" ht="20.25" customHeight="1">
      <c r="A865" s="85"/>
      <c r="B865" s="85"/>
      <c r="C865" s="237"/>
      <c r="D865" s="86"/>
      <c r="E865" s="85" t="s">
        <v>5327</v>
      </c>
      <c r="F865" s="85"/>
      <c r="G865" s="85"/>
    </row>
    <row r="866" spans="1:7" ht="20.25" customHeight="1">
      <c r="A866" s="85"/>
      <c r="B866" s="85"/>
      <c r="C866" s="85" t="s">
        <v>5328</v>
      </c>
      <c r="D866" s="85"/>
      <c r="E866" s="85" t="s">
        <v>5329</v>
      </c>
      <c r="F866" s="85"/>
      <c r="G866" s="85"/>
    </row>
    <row r="867" spans="1:7" ht="20.25" customHeight="1">
      <c r="A867" s="85">
        <v>146.25</v>
      </c>
      <c r="B867" s="215" t="s">
        <v>1637</v>
      </c>
      <c r="C867" s="90" t="s">
        <v>5568</v>
      </c>
      <c r="D867" s="90"/>
      <c r="E867" s="227">
        <f>E812</f>
        <v>57.6</v>
      </c>
      <c r="F867" s="215" t="s">
        <v>1637</v>
      </c>
      <c r="G867" s="20">
        <f>E867*A867</f>
        <v>8424</v>
      </c>
    </row>
    <row r="868" spans="1:7" ht="20.25" customHeight="1">
      <c r="A868" s="85">
        <v>7.88</v>
      </c>
      <c r="B868" s="215" t="s">
        <v>1637</v>
      </c>
      <c r="C868" s="90" t="s">
        <v>5569</v>
      </c>
      <c r="D868" s="90"/>
      <c r="E868" s="227">
        <f>E813</f>
        <v>562</v>
      </c>
      <c r="F868" s="215" t="s">
        <v>1637</v>
      </c>
      <c r="G868" s="85">
        <f>A868*E868</f>
        <v>4428.5600000000004</v>
      </c>
    </row>
    <row r="869" spans="1:7" ht="20.25" customHeight="1">
      <c r="A869" s="85">
        <v>7.88</v>
      </c>
      <c r="B869" s="215" t="s">
        <v>1637</v>
      </c>
      <c r="C869" s="90" t="s">
        <v>5570</v>
      </c>
      <c r="D869" s="90"/>
      <c r="E869" s="227">
        <f>E814</f>
        <v>10</v>
      </c>
      <c r="F869" s="215" t="s">
        <v>1637</v>
      </c>
      <c r="G869" s="20">
        <f>A869*E869</f>
        <v>78.8</v>
      </c>
    </row>
    <row r="870" spans="1:7" ht="20.25" customHeight="1">
      <c r="A870" s="85"/>
      <c r="B870" s="215"/>
      <c r="C870" s="90" t="s">
        <v>5330</v>
      </c>
      <c r="D870" s="90"/>
      <c r="E870" s="227"/>
      <c r="F870" s="215"/>
      <c r="G870" s="85"/>
    </row>
    <row r="871" spans="1:7" ht="20.25" customHeight="1">
      <c r="A871" s="85"/>
      <c r="B871" s="215"/>
      <c r="C871" s="90" t="s">
        <v>5331</v>
      </c>
      <c r="D871" s="90"/>
      <c r="E871" s="227"/>
      <c r="F871" s="215"/>
      <c r="G871" s="85"/>
    </row>
    <row r="872" spans="1:7" ht="20.25" customHeight="1">
      <c r="A872" s="85"/>
      <c r="B872" s="215"/>
      <c r="C872" s="90" t="s">
        <v>5332</v>
      </c>
      <c r="D872" s="90"/>
      <c r="E872" s="227"/>
      <c r="F872" s="215"/>
      <c r="G872" s="85"/>
    </row>
    <row r="873" spans="1:7" ht="20.25" customHeight="1">
      <c r="A873" s="85"/>
      <c r="B873" s="215"/>
      <c r="C873" s="90" t="s">
        <v>5333</v>
      </c>
      <c r="D873" s="90"/>
      <c r="E873" s="227"/>
      <c r="F873" s="215"/>
      <c r="G873" s="85"/>
    </row>
    <row r="874" spans="1:7" ht="20.25" customHeight="1">
      <c r="A874" s="20">
        <v>8</v>
      </c>
      <c r="B874" s="215" t="s">
        <v>1637</v>
      </c>
      <c r="C874" s="90" t="s">
        <v>5582</v>
      </c>
      <c r="D874" s="90"/>
      <c r="E874" s="229">
        <f>E819</f>
        <v>115</v>
      </c>
      <c r="F874" s="215" t="s">
        <v>1637</v>
      </c>
      <c r="G874" s="20">
        <f t="shared" ref="G874:G885" si="32">A874*E874</f>
        <v>920</v>
      </c>
    </row>
    <row r="875" spans="1:7" ht="20.25" customHeight="1">
      <c r="A875" s="20">
        <v>18.8</v>
      </c>
      <c r="B875" s="215" t="s">
        <v>909</v>
      </c>
      <c r="C875" s="90" t="s">
        <v>5571</v>
      </c>
      <c r="D875" s="90"/>
      <c r="E875" s="229">
        <f>E820</f>
        <v>57.6</v>
      </c>
      <c r="F875" s="215" t="s">
        <v>909</v>
      </c>
      <c r="G875" s="20">
        <f>A875*E875</f>
        <v>1082.8800000000001</v>
      </c>
    </row>
    <row r="876" spans="1:7" ht="20.25" customHeight="1">
      <c r="A876" s="85"/>
      <c r="B876" s="215"/>
      <c r="C876" s="90" t="s">
        <v>5334</v>
      </c>
      <c r="D876" s="90"/>
      <c r="E876" s="229">
        <f>E821</f>
        <v>0</v>
      </c>
      <c r="F876" s="215"/>
      <c r="G876" s="20"/>
    </row>
    <row r="877" spans="1:7" ht="20.25" customHeight="1">
      <c r="A877" s="20">
        <v>3</v>
      </c>
      <c r="B877" s="215" t="s">
        <v>1427</v>
      </c>
      <c r="C877" s="90" t="s">
        <v>5583</v>
      </c>
      <c r="D877" s="230" t="s">
        <v>2241</v>
      </c>
      <c r="E877" s="238">
        <v>555</v>
      </c>
      <c r="F877" s="215" t="s">
        <v>1393</v>
      </c>
      <c r="G877" s="231">
        <f t="shared" si="32"/>
        <v>1665</v>
      </c>
    </row>
    <row r="878" spans="1:7" ht="20.25" customHeight="1">
      <c r="A878" s="20">
        <v>1</v>
      </c>
      <c r="B878" s="215" t="s">
        <v>1389</v>
      </c>
      <c r="C878" s="90" t="str">
        <f t="shared" ref="C878:C895" si="33">C823</f>
        <v xml:space="preserve">100 A neutral link SD -130 </v>
      </c>
      <c r="D878" s="90"/>
      <c r="E878" s="229">
        <f t="shared" ref="E878:E895" si="34">E823</f>
        <v>77.599999999999994</v>
      </c>
      <c r="F878" s="215" t="s">
        <v>1393</v>
      </c>
      <c r="G878" s="20">
        <f t="shared" si="32"/>
        <v>77.599999999999994</v>
      </c>
    </row>
    <row r="879" spans="1:7" ht="20.25" customHeight="1">
      <c r="A879" s="20">
        <v>18</v>
      </c>
      <c r="B879" s="215" t="s">
        <v>1427</v>
      </c>
      <c r="C879" s="90" t="str">
        <f t="shared" si="33"/>
        <v>63 A fuse units ( 500 V) [SR 2022-23 / P.119]</v>
      </c>
      <c r="D879" s="90"/>
      <c r="E879" s="229">
        <f t="shared" si="34"/>
        <v>190.2</v>
      </c>
      <c r="F879" s="215" t="s">
        <v>1393</v>
      </c>
      <c r="G879" s="20">
        <f t="shared" si="32"/>
        <v>3423.6</v>
      </c>
    </row>
    <row r="880" spans="1:7" ht="20.25" customHeight="1">
      <c r="A880" s="20">
        <v>1</v>
      </c>
      <c r="B880" s="215" t="s">
        <v>1389</v>
      </c>
      <c r="C880" s="90" t="str">
        <f t="shared" si="33"/>
        <v>32 A fuse units ( 500 V)[SR 2022-23 // P.119]</v>
      </c>
      <c r="D880" s="90"/>
      <c r="E880" s="229">
        <f t="shared" si="34"/>
        <v>85.2</v>
      </c>
      <c r="F880" s="215" t="s">
        <v>1393</v>
      </c>
      <c r="G880" s="231">
        <f t="shared" si="32"/>
        <v>85.2</v>
      </c>
    </row>
    <row r="881" spans="1:7" ht="20.25" customHeight="1">
      <c r="A881" s="20">
        <v>6</v>
      </c>
      <c r="B881" s="215" t="s">
        <v>1427</v>
      </c>
      <c r="C881" s="90" t="str">
        <f t="shared" si="33"/>
        <v xml:space="preserve">63 A netural link SD -129 </v>
      </c>
      <c r="D881" s="90"/>
      <c r="E881" s="229">
        <f t="shared" si="34"/>
        <v>67.8</v>
      </c>
      <c r="F881" s="215" t="s">
        <v>1393</v>
      </c>
      <c r="G881" s="20">
        <f t="shared" si="32"/>
        <v>406.8</v>
      </c>
    </row>
    <row r="882" spans="1:7" ht="20.25" customHeight="1">
      <c r="A882" s="20">
        <v>1</v>
      </c>
      <c r="B882" s="215" t="s">
        <v>1389</v>
      </c>
      <c r="C882" s="90" t="str">
        <f t="shared" si="33"/>
        <v>32 A netural link sd127</v>
      </c>
      <c r="D882" s="90"/>
      <c r="E882" s="229">
        <f t="shared" si="34"/>
        <v>38</v>
      </c>
      <c r="F882" s="215" t="s">
        <v>1393</v>
      </c>
      <c r="G882" s="231">
        <f t="shared" si="32"/>
        <v>38</v>
      </c>
    </row>
    <row r="883" spans="1:7" ht="20.25" customHeight="1">
      <c r="A883" s="20">
        <v>6</v>
      </c>
      <c r="B883" s="215" t="s">
        <v>1427</v>
      </c>
      <c r="C883" s="90" t="str">
        <f t="shared" si="33"/>
        <v>40 amps 4 pole isolator [SR 2022-23 / P.134]</v>
      </c>
      <c r="D883" s="90"/>
      <c r="E883" s="229">
        <f t="shared" si="34"/>
        <v>580</v>
      </c>
      <c r="F883" s="215" t="s">
        <v>1393</v>
      </c>
      <c r="G883" s="231">
        <f t="shared" si="32"/>
        <v>3480</v>
      </c>
    </row>
    <row r="884" spans="1:7" ht="20.25" customHeight="1">
      <c r="A884" s="20">
        <v>1</v>
      </c>
      <c r="B884" s="215" t="s">
        <v>1389</v>
      </c>
      <c r="C884" s="90" t="str">
        <f t="shared" si="33"/>
        <v>40 amps 2 pole isolator [SR 2022-23 / P.134]</v>
      </c>
      <c r="D884" s="90"/>
      <c r="E884" s="229">
        <f t="shared" si="34"/>
        <v>258</v>
      </c>
      <c r="F884" s="215" t="s">
        <v>1393</v>
      </c>
      <c r="G884" s="231">
        <f t="shared" si="32"/>
        <v>258</v>
      </c>
    </row>
    <row r="885" spans="1:7" ht="20.25" customHeight="1">
      <c r="A885" s="20">
        <v>710</v>
      </c>
      <c r="B885" s="215" t="s">
        <v>154</v>
      </c>
      <c r="C885" s="90" t="str">
        <f t="shared" si="33"/>
        <v>Interconnection charges ( qtn)</v>
      </c>
      <c r="D885" s="90"/>
      <c r="E885" s="229">
        <f t="shared" si="34"/>
        <v>1</v>
      </c>
      <c r="F885" s="215" t="s">
        <v>4177</v>
      </c>
      <c r="G885" s="20">
        <f t="shared" si="32"/>
        <v>710</v>
      </c>
    </row>
    <row r="886" spans="1:7" ht="20.25" customHeight="1">
      <c r="A886" s="85"/>
      <c r="B886" s="215"/>
      <c r="C886" s="90" t="str">
        <f t="shared" si="33"/>
        <v>6mm thick hylam sheet for fixing energy metrs</v>
      </c>
      <c r="D886" s="90"/>
      <c r="E886" s="229">
        <f t="shared" si="34"/>
        <v>0</v>
      </c>
      <c r="F886" s="215"/>
      <c r="G886" s="85"/>
    </row>
    <row r="887" spans="1:7" ht="20.25" customHeight="1">
      <c r="A887" s="231">
        <v>25</v>
      </c>
      <c r="B887" s="215" t="s">
        <v>3430</v>
      </c>
      <c r="C887" s="90" t="str">
        <f t="shared" si="33"/>
        <v>Rubber beeding ( qtn)</v>
      </c>
      <c r="D887" s="230" t="s">
        <v>2241</v>
      </c>
      <c r="E887" s="229">
        <f t="shared" si="34"/>
        <v>20</v>
      </c>
      <c r="F887" s="215" t="s">
        <v>823</v>
      </c>
      <c r="G887" s="231">
        <f t="shared" ref="G887:G895" si="35">A887*E887</f>
        <v>500</v>
      </c>
    </row>
    <row r="888" spans="1:7" ht="20.25" customHeight="1">
      <c r="A888" s="231">
        <v>0.9</v>
      </c>
      <c r="B888" s="215" t="s">
        <v>5572</v>
      </c>
      <c r="C888" s="90" t="str">
        <f t="shared" si="33"/>
        <v>Cost of hylum sheet 6mm [SR 2022-23 / P.129]</v>
      </c>
      <c r="D888" s="90"/>
      <c r="E888" s="229">
        <f t="shared" si="34"/>
        <v>1322</v>
      </c>
      <c r="F888" s="215" t="s">
        <v>5572</v>
      </c>
      <c r="G888" s="20">
        <f t="shared" si="35"/>
        <v>1189.8</v>
      </c>
    </row>
    <row r="889" spans="1:7" ht="20.25" customHeight="1">
      <c r="A889" s="239">
        <v>7</v>
      </c>
      <c r="B889" s="240" t="s">
        <v>1427</v>
      </c>
      <c r="C889" s="235" t="str">
        <f t="shared" si="33"/>
        <v>Insulators( qtn)</v>
      </c>
      <c r="D889" s="241" t="s">
        <v>2241</v>
      </c>
      <c r="E889" s="242">
        <f t="shared" si="34"/>
        <v>20</v>
      </c>
      <c r="F889" s="240" t="s">
        <v>1393</v>
      </c>
      <c r="G889" s="243">
        <f t="shared" si="35"/>
        <v>140</v>
      </c>
    </row>
    <row r="890" spans="1:7" ht="20.25" customHeight="1">
      <c r="A890" s="239">
        <v>1</v>
      </c>
      <c r="B890" s="240" t="s">
        <v>279</v>
      </c>
      <c r="C890" s="235" t="str">
        <f t="shared" si="33"/>
        <v>LED pilot lamps( qtn)</v>
      </c>
      <c r="D890" s="241" t="s">
        <v>2241</v>
      </c>
      <c r="E890" s="242">
        <f t="shared" si="34"/>
        <v>280</v>
      </c>
      <c r="F890" s="240" t="s">
        <v>145</v>
      </c>
      <c r="G890" s="243">
        <f t="shared" si="35"/>
        <v>280</v>
      </c>
    </row>
    <row r="891" spans="1:7" ht="33.75" customHeight="1">
      <c r="A891" s="239">
        <v>5</v>
      </c>
      <c r="B891" s="240" t="s">
        <v>5573</v>
      </c>
      <c r="C891" s="235" t="str">
        <f t="shared" si="33"/>
        <v>1 sqmm PVC copper cable [SR 2022-23 / P.125]</v>
      </c>
      <c r="D891" s="235"/>
      <c r="E891" s="242">
        <f t="shared" si="34"/>
        <v>10.45</v>
      </c>
      <c r="F891" s="240" t="s">
        <v>5573</v>
      </c>
      <c r="G891" s="239">
        <f t="shared" si="35"/>
        <v>52.25</v>
      </c>
    </row>
    <row r="892" spans="1:7" ht="33.75" customHeight="1">
      <c r="A892" s="239">
        <v>165.05</v>
      </c>
      <c r="B892" s="240" t="s">
        <v>1637</v>
      </c>
      <c r="C892" s="235" t="str">
        <f t="shared" si="33"/>
        <v>MS sheet fabrication charges [SR 2022-23 / P.29]</v>
      </c>
      <c r="D892" s="235"/>
      <c r="E892" s="242">
        <f t="shared" si="34"/>
        <v>52.5</v>
      </c>
      <c r="F892" s="240" t="s">
        <v>1637</v>
      </c>
      <c r="G892" s="239">
        <f t="shared" si="35"/>
        <v>8665.1299999999992</v>
      </c>
    </row>
    <row r="893" spans="1:7" ht="20.25" customHeight="1">
      <c r="A893" s="239">
        <v>7</v>
      </c>
      <c r="B893" s="240" t="s">
        <v>1427</v>
      </c>
      <c r="C893" s="235" t="str">
        <f t="shared" si="33"/>
        <v>Isolators / Fuse units/ Pilot lamp fixing charges ( SD 145)</v>
      </c>
      <c r="D893" s="235"/>
      <c r="E893" s="242">
        <f t="shared" si="34"/>
        <v>1086</v>
      </c>
      <c r="F893" s="240" t="s">
        <v>1706</v>
      </c>
      <c r="G893" s="239">
        <f t="shared" si="35"/>
        <v>7602</v>
      </c>
    </row>
    <row r="894" spans="1:7" ht="20.25" customHeight="1">
      <c r="A894" s="239">
        <v>227.28</v>
      </c>
      <c r="B894" s="240" t="s">
        <v>5339</v>
      </c>
      <c r="C894" s="235" t="str">
        <f t="shared" si="33"/>
        <v>Painting with primer &amp; suitable colour( qtn)</v>
      </c>
      <c r="D894" s="235"/>
      <c r="E894" s="242">
        <f t="shared" si="34"/>
        <v>10</v>
      </c>
      <c r="F894" s="240" t="s">
        <v>4186</v>
      </c>
      <c r="G894" s="239">
        <f t="shared" si="35"/>
        <v>2272.8000000000002</v>
      </c>
    </row>
    <row r="895" spans="1:7" ht="20.25" customHeight="1">
      <c r="A895" s="239">
        <v>50</v>
      </c>
      <c r="B895" s="245" t="s">
        <v>5337</v>
      </c>
      <c r="C895" s="235" t="str">
        <f t="shared" si="33"/>
        <v>6 Sq.mm. single core PVC copper cables for connection between fuse units and meter and between meter and 32A TPN MCB [SR 2020-21 / P.124]</v>
      </c>
      <c r="D895" s="235"/>
      <c r="E895" s="242">
        <f t="shared" si="34"/>
        <v>60.65</v>
      </c>
      <c r="F895" s="240" t="s">
        <v>369</v>
      </c>
      <c r="G895" s="239">
        <f t="shared" si="35"/>
        <v>3032.5</v>
      </c>
    </row>
    <row r="896" spans="1:7" ht="20.25" customHeight="1">
      <c r="A896" s="239"/>
      <c r="B896" s="246"/>
      <c r="C896" s="235" t="s">
        <v>5341</v>
      </c>
      <c r="D896" s="235"/>
      <c r="E896" s="247"/>
      <c r="F896" s="246"/>
      <c r="G896" s="239"/>
    </row>
    <row r="897" spans="1:7" ht="20.25" customHeight="1">
      <c r="A897" s="239"/>
      <c r="B897" s="246"/>
      <c r="C897" s="235" t="s">
        <v>5584</v>
      </c>
      <c r="D897" s="235"/>
      <c r="E897" s="247"/>
      <c r="F897" s="246"/>
      <c r="G897" s="239"/>
    </row>
    <row r="898" spans="1:7" ht="20.25" customHeight="1">
      <c r="A898" s="239"/>
      <c r="B898" s="246"/>
      <c r="C898" s="235" t="s">
        <v>5575</v>
      </c>
      <c r="D898" s="235"/>
      <c r="E898" s="244">
        <v>200</v>
      </c>
      <c r="F898" s="246"/>
      <c r="G898" s="239">
        <v>200</v>
      </c>
    </row>
    <row r="899" spans="1:7" ht="20.25" customHeight="1">
      <c r="A899" s="239"/>
      <c r="B899" s="246"/>
      <c r="C899" s="235"/>
      <c r="D899" s="235"/>
      <c r="E899" s="235" t="s">
        <v>2235</v>
      </c>
      <c r="F899" s="246"/>
      <c r="G899" s="248">
        <f>SUM(G866:G898)</f>
        <v>49012.92</v>
      </c>
    </row>
    <row r="900" spans="1:7" ht="20.25" customHeight="1">
      <c r="A900" s="246"/>
      <c r="B900" s="246"/>
      <c r="C900" s="235" t="s">
        <v>5342</v>
      </c>
      <c r="D900" s="235"/>
      <c r="E900" s="235"/>
      <c r="F900" s="246"/>
      <c r="G900" s="239">
        <f>G899*2%</f>
        <v>980.26</v>
      </c>
    </row>
    <row r="901" spans="1:7" ht="20.25" customHeight="1">
      <c r="A901" s="85"/>
      <c r="B901" s="85"/>
      <c r="C901" s="90" t="s">
        <v>5343</v>
      </c>
      <c r="D901" s="90"/>
      <c r="E901" s="90"/>
      <c r="F901" s="85"/>
      <c r="G901" s="20">
        <f>SUM(G899:G900)</f>
        <v>49993.18</v>
      </c>
    </row>
    <row r="902" spans="1:7" ht="20.25" customHeight="1">
      <c r="A902" s="85"/>
      <c r="B902" s="85"/>
      <c r="C902" s="90" t="s">
        <v>5576</v>
      </c>
      <c r="D902" s="230" t="s">
        <v>2241</v>
      </c>
      <c r="E902" s="90"/>
      <c r="F902" s="85"/>
      <c r="G902" s="20"/>
    </row>
    <row r="903" spans="1:7" ht="20.25" customHeight="1">
      <c r="A903" s="85"/>
      <c r="B903" s="85"/>
      <c r="C903" s="90" t="s">
        <v>5344</v>
      </c>
      <c r="D903" s="90"/>
      <c r="E903" s="90"/>
      <c r="F903" s="85"/>
      <c r="G903" s="85">
        <v>1000</v>
      </c>
    </row>
    <row r="904" spans="1:7" ht="20.25" customHeight="1">
      <c r="A904" s="85"/>
      <c r="B904" s="85"/>
      <c r="C904" s="90" t="s">
        <v>5345</v>
      </c>
      <c r="D904" s="90"/>
      <c r="E904" s="90"/>
      <c r="F904" s="85"/>
      <c r="G904" s="85">
        <v>1000</v>
      </c>
    </row>
    <row r="905" spans="1:7" ht="20.25" customHeight="1">
      <c r="A905" s="85"/>
      <c r="B905" s="85"/>
      <c r="C905" s="85"/>
      <c r="D905" s="85"/>
      <c r="E905" s="85"/>
      <c r="F905" s="85"/>
      <c r="G905" s="20">
        <f>SUM(G901:G904)</f>
        <v>51993.18</v>
      </c>
    </row>
    <row r="906" spans="1:7" ht="20.25" customHeight="1">
      <c r="A906" s="85"/>
      <c r="B906" s="85"/>
      <c r="C906" s="85"/>
      <c r="D906" s="85"/>
      <c r="E906" s="85"/>
      <c r="F906" s="85"/>
      <c r="G906" s="89">
        <f>ROUNDUP(G905,-2)</f>
        <v>52000</v>
      </c>
    </row>
    <row r="907" spans="1:7" ht="20.25" customHeight="1">
      <c r="A907" s="85"/>
      <c r="B907" s="85"/>
      <c r="C907" s="85"/>
      <c r="D907" s="85"/>
      <c r="E907" s="85"/>
      <c r="F907" s="85"/>
      <c r="G907" s="85"/>
    </row>
  </sheetData>
  <mergeCells count="10">
    <mergeCell ref="K15:P15"/>
    <mergeCell ref="AA4:AG4"/>
    <mergeCell ref="R17:W17"/>
    <mergeCell ref="R30:W30"/>
    <mergeCell ref="E855:G855"/>
    <mergeCell ref="A1:B1"/>
    <mergeCell ref="D82:F82"/>
    <mergeCell ref="D162:F162"/>
    <mergeCell ref="D239:F239"/>
    <mergeCell ref="D428:F428"/>
  </mergeCells>
  <printOptions horizontalCentered="1"/>
  <pageMargins left="0.65" right="0.56000000000000005" top="0.88" bottom="0.3" header="0.2" footer="0.2"/>
  <pageSetup paperSize="9" scale="90" orientation="portrait" r:id="rId1"/>
  <headerFooter>
    <oddHeader>&amp;C</oddHead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80"/>
  <sheetViews>
    <sheetView view="pageBreakPreview" topLeftCell="A13" zoomScale="80" zoomScaleSheetLayoutView="80" workbookViewId="0">
      <selection activeCell="G22" sqref="G22"/>
    </sheetView>
  </sheetViews>
  <sheetFormatPr defaultRowHeight="15.75"/>
  <cols>
    <col min="1" max="1" width="12.77734375" customWidth="1"/>
    <col min="2" max="2" width="8.77734375" customWidth="1"/>
    <col min="3" max="3" width="51.6640625" customWidth="1"/>
    <col min="4" max="4" width="8.44140625" customWidth="1"/>
    <col min="5" max="5" width="7.33203125" customWidth="1"/>
    <col min="6" max="6" width="12.77734375" customWidth="1"/>
    <col min="7" max="7" width="9.109375" customWidth="1"/>
    <col min="8" max="8" width="9" bestFit="1" customWidth="1"/>
    <col min="9" max="9" width="16.88671875" customWidth="1"/>
  </cols>
  <sheetData>
    <row r="1" spans="1:7" ht="17.25">
      <c r="A1" s="1227" t="s">
        <v>3971</v>
      </c>
      <c r="B1" s="1227"/>
      <c r="C1" s="1227"/>
      <c r="D1" s="1227"/>
      <c r="E1" s="1227"/>
      <c r="F1" s="1227"/>
    </row>
    <row r="2" spans="1:7" ht="17.25">
      <c r="A2" s="1227" t="s">
        <v>3970</v>
      </c>
      <c r="B2" s="1227"/>
      <c r="C2" s="1227"/>
      <c r="D2" s="1227"/>
      <c r="E2" s="1227"/>
      <c r="F2" s="1227"/>
    </row>
    <row r="3" spans="1:7" ht="31.5" customHeight="1">
      <c r="A3" s="1228" t="s">
        <v>4126</v>
      </c>
      <c r="B3" s="1228"/>
      <c r="C3" s="1228"/>
      <c r="D3" s="1228"/>
      <c r="E3" s="1228"/>
      <c r="F3" s="1228"/>
    </row>
    <row r="4" spans="1:7" ht="17.25">
      <c r="A4" s="1229" t="s">
        <v>4609</v>
      </c>
      <c r="B4" s="1229"/>
      <c r="C4" s="1229"/>
      <c r="D4" s="1229"/>
      <c r="E4" s="1229"/>
      <c r="F4" s="66"/>
    </row>
    <row r="5" spans="1:7" ht="6" customHeight="1">
      <c r="A5" s="66"/>
      <c r="B5" s="66"/>
      <c r="C5" s="66"/>
      <c r="D5" s="66"/>
      <c r="E5" s="66"/>
      <c r="F5" s="66"/>
    </row>
    <row r="6" spans="1:7" ht="45.75" customHeight="1">
      <c r="B6" s="84"/>
      <c r="C6" s="1230" t="s">
        <v>4611</v>
      </c>
      <c r="D6" s="1230"/>
      <c r="E6" s="1230"/>
      <c r="F6" s="84"/>
      <c r="G6" s="2" t="s">
        <v>2142</v>
      </c>
    </row>
    <row r="7" spans="1:7" ht="24" customHeight="1">
      <c r="A7" s="83"/>
      <c r="B7" s="1231" t="s">
        <v>4610</v>
      </c>
      <c r="C7" s="1231"/>
      <c r="D7" s="1231"/>
      <c r="E7" s="1231"/>
      <c r="F7" s="1231"/>
      <c r="G7" s="5">
        <f>3.14/4*0.5*0.5*8</f>
        <v>1.57</v>
      </c>
    </row>
    <row r="8" spans="1:7" ht="28.5" customHeight="1">
      <c r="A8" s="75"/>
      <c r="B8" s="75"/>
      <c r="C8" s="82" t="s">
        <v>3968</v>
      </c>
      <c r="D8" s="75"/>
      <c r="E8" s="75"/>
      <c r="F8" s="75"/>
    </row>
    <row r="9" spans="1:7" ht="30.75" customHeight="1">
      <c r="A9" s="77">
        <f>G7</f>
        <v>1.57</v>
      </c>
      <c r="B9" s="75" t="s">
        <v>2142</v>
      </c>
      <c r="C9" s="75" t="s">
        <v>3998</v>
      </c>
      <c r="D9" s="66"/>
      <c r="E9" s="76">
        <f>DATA!Y688</f>
        <v>8669.4500000000007</v>
      </c>
      <c r="F9" s="76">
        <f>A9*E9</f>
        <v>13611.04</v>
      </c>
    </row>
    <row r="10" spans="1:7" ht="30.75" customHeight="1">
      <c r="A10" s="81">
        <f>A9*10/100</f>
        <v>0.157</v>
      </c>
      <c r="B10" s="75" t="s">
        <v>525</v>
      </c>
      <c r="C10" s="75" t="s">
        <v>5217</v>
      </c>
      <c r="D10" s="66"/>
      <c r="E10" s="76">
        <v>6050</v>
      </c>
      <c r="F10" s="76">
        <f>A10*E10</f>
        <v>949.85</v>
      </c>
    </row>
    <row r="11" spans="1:7" ht="30.75" customHeight="1">
      <c r="A11" s="76">
        <v>8</v>
      </c>
      <c r="B11" s="75" t="s">
        <v>823</v>
      </c>
      <c r="C11" s="75" t="s">
        <v>2633</v>
      </c>
      <c r="D11" s="66"/>
      <c r="E11" s="145">
        <v>960</v>
      </c>
      <c r="F11" s="76">
        <f>A11*E11</f>
        <v>7680</v>
      </c>
    </row>
    <row r="12" spans="1:7" ht="21" customHeight="1">
      <c r="A12" s="75"/>
      <c r="B12" s="75"/>
      <c r="C12" s="75"/>
      <c r="D12" s="66"/>
      <c r="E12" s="75"/>
      <c r="F12" s="75"/>
    </row>
    <row r="13" spans="1:7" ht="21" customHeight="1">
      <c r="A13" s="75"/>
      <c r="B13" s="75"/>
      <c r="C13" s="75" t="s">
        <v>3965</v>
      </c>
      <c r="D13" s="66"/>
      <c r="E13" s="75"/>
      <c r="F13" s="76">
        <f>SUM(F9:F12)</f>
        <v>22240.89</v>
      </c>
    </row>
    <row r="14" spans="1:7" ht="21" customHeight="1">
      <c r="A14" s="75"/>
      <c r="B14" s="75"/>
      <c r="C14" s="75" t="s">
        <v>1631</v>
      </c>
      <c r="D14" s="66"/>
      <c r="E14" s="75"/>
      <c r="F14" s="76">
        <f>F13/7</f>
        <v>3177.27</v>
      </c>
    </row>
    <row r="15" spans="1:7" ht="21" customHeight="1">
      <c r="A15" s="75"/>
      <c r="B15" s="75"/>
      <c r="C15" s="75" t="s">
        <v>3964</v>
      </c>
      <c r="D15" s="66"/>
      <c r="E15" s="75"/>
      <c r="F15" s="75">
        <f>1000/8</f>
        <v>125</v>
      </c>
    </row>
    <row r="16" spans="1:7" ht="21" customHeight="1">
      <c r="A16" s="75"/>
      <c r="B16" s="75"/>
      <c r="C16" s="75"/>
      <c r="D16" s="66"/>
      <c r="E16" s="75"/>
      <c r="F16" s="75"/>
    </row>
    <row r="17" spans="1:13" ht="21" customHeight="1">
      <c r="A17" s="75"/>
      <c r="B17" s="75"/>
      <c r="C17" s="75" t="s">
        <v>1631</v>
      </c>
      <c r="D17" s="66"/>
      <c r="E17" s="75"/>
      <c r="F17" s="74">
        <f>SUM(F14:F16)</f>
        <v>3302.27</v>
      </c>
    </row>
    <row r="18" spans="1:13" ht="21" customHeight="1">
      <c r="A18" s="75"/>
      <c r="B18" s="75"/>
      <c r="C18" s="75" t="s">
        <v>3963</v>
      </c>
      <c r="D18" s="75"/>
      <c r="E18" s="75"/>
      <c r="F18" s="75"/>
    </row>
    <row r="19" spans="1:13" ht="21" customHeight="1">
      <c r="A19" s="75"/>
      <c r="B19" s="75"/>
      <c r="C19" s="75"/>
      <c r="D19" s="75"/>
      <c r="E19" s="75"/>
      <c r="F19" s="75"/>
    </row>
    <row r="20" spans="1:13" ht="12.75" customHeight="1">
      <c r="A20" s="75"/>
      <c r="B20" s="75"/>
      <c r="C20" s="75"/>
      <c r="D20" s="75"/>
      <c r="E20" s="75"/>
      <c r="F20" s="75"/>
    </row>
    <row r="21" spans="1:13" s="11" customFormat="1" ht="42" customHeight="1">
      <c r="A21" s="80"/>
      <c r="B21" s="80"/>
      <c r="C21" s="1232" t="s">
        <v>3962</v>
      </c>
      <c r="D21" s="1232"/>
      <c r="E21" s="1232"/>
      <c r="F21" s="80"/>
    </row>
    <row r="22" spans="1:13" ht="30.75" customHeight="1">
      <c r="A22" s="79"/>
      <c r="B22" s="1231" t="s">
        <v>4612</v>
      </c>
      <c r="C22" s="1231"/>
      <c r="D22" s="1231"/>
      <c r="E22" s="1231"/>
      <c r="F22" s="1231"/>
      <c r="G22" s="5">
        <v>0.442</v>
      </c>
    </row>
    <row r="23" spans="1:13" ht="30.75" customHeight="1">
      <c r="A23" s="75"/>
      <c r="B23" s="75"/>
      <c r="C23" s="78" t="s">
        <v>3960</v>
      </c>
      <c r="D23" s="75"/>
      <c r="E23" s="75"/>
      <c r="F23" s="75"/>
    </row>
    <row r="24" spans="1:13" ht="30.75" customHeight="1">
      <c r="A24" s="76">
        <f>G22</f>
        <v>0.44</v>
      </c>
      <c r="B24" s="75" t="s">
        <v>2142</v>
      </c>
      <c r="C24" s="75" t="s">
        <v>4291</v>
      </c>
      <c r="D24" s="66"/>
      <c r="E24" s="76">
        <f>5800*1.1</f>
        <v>6380</v>
      </c>
      <c r="F24" s="76">
        <f>A24*E24</f>
        <v>2807.2</v>
      </c>
    </row>
    <row r="25" spans="1:13" ht="42.75" customHeight="1">
      <c r="A25" s="76">
        <f>+A24</f>
        <v>0.44</v>
      </c>
      <c r="B25" s="75" t="s">
        <v>2142</v>
      </c>
      <c r="C25" s="1233" t="s">
        <v>4292</v>
      </c>
      <c r="D25" s="1233"/>
      <c r="E25" s="76">
        <f>11.13*5</f>
        <v>55.65</v>
      </c>
      <c r="F25" s="76">
        <f>E25*A25</f>
        <v>24.49</v>
      </c>
      <c r="G25" s="4" t="s">
        <v>5253</v>
      </c>
      <c r="I25">
        <f>8.69*0.125</f>
        <v>1.0900000000000001</v>
      </c>
    </row>
    <row r="26" spans="1:13" ht="36" customHeight="1">
      <c r="A26" s="76">
        <f>+A25</f>
        <v>0.44</v>
      </c>
      <c r="B26" s="75" t="s">
        <v>2142</v>
      </c>
      <c r="C26" s="75" t="s">
        <v>4293</v>
      </c>
      <c r="D26" s="66"/>
      <c r="E26" s="76">
        <v>42.55</v>
      </c>
      <c r="F26" s="76">
        <f>A26*E26</f>
        <v>18.72</v>
      </c>
      <c r="I26" s="11">
        <f>0.125*26.3</f>
        <v>3.29</v>
      </c>
    </row>
    <row r="27" spans="1:13" ht="17.25">
      <c r="A27" s="76"/>
      <c r="B27" s="75"/>
      <c r="C27" s="75"/>
      <c r="D27" s="66"/>
      <c r="E27" s="76"/>
      <c r="F27" s="76"/>
      <c r="I27">
        <f>26.58/3</f>
        <v>8.86</v>
      </c>
    </row>
    <row r="28" spans="1:13" ht="17.25">
      <c r="A28" s="75"/>
      <c r="B28" s="75"/>
      <c r="C28" s="75" t="s">
        <v>1631</v>
      </c>
      <c r="D28" s="66"/>
      <c r="E28" s="75"/>
      <c r="F28" s="74">
        <f>SUM(F24:F27)</f>
        <v>2850.41</v>
      </c>
    </row>
    <row r="29" spans="1:13" ht="17.25">
      <c r="A29" s="66"/>
      <c r="B29" s="66"/>
      <c r="C29" s="66"/>
      <c r="D29" s="66"/>
      <c r="E29" s="66"/>
      <c r="F29" s="66"/>
    </row>
    <row r="30" spans="1:13" ht="51" customHeight="1">
      <c r="B30" s="73"/>
      <c r="C30" s="1234" t="s">
        <v>3957</v>
      </c>
      <c r="D30" s="1234"/>
      <c r="E30" s="1234"/>
      <c r="F30" s="73"/>
    </row>
    <row r="31" spans="1:13" ht="17.25">
      <c r="A31" s="66"/>
      <c r="B31" s="66"/>
      <c r="C31" s="66"/>
      <c r="D31" s="66"/>
      <c r="E31" s="66"/>
      <c r="F31" s="66"/>
      <c r="M31">
        <f>8.69*3</f>
        <v>26.07</v>
      </c>
    </row>
    <row r="32" spans="1:13" ht="60" customHeight="1">
      <c r="A32" s="69" t="s">
        <v>3955</v>
      </c>
      <c r="B32" s="69">
        <v>3</v>
      </c>
      <c r="C32" s="72" t="s">
        <v>3956</v>
      </c>
      <c r="E32" s="76">
        <v>11.13</v>
      </c>
      <c r="F32" s="76"/>
      <c r="G32" s="69">
        <f>E32*B32</f>
        <v>33.39</v>
      </c>
    </row>
    <row r="33" spans="1:10" ht="21.75" customHeight="1">
      <c r="A33" s="69" t="s">
        <v>3955</v>
      </c>
      <c r="B33" s="69">
        <v>3</v>
      </c>
      <c r="C33" s="71" t="s">
        <v>3954</v>
      </c>
      <c r="E33" s="76">
        <f>E26</f>
        <v>42.55</v>
      </c>
      <c r="F33" s="76"/>
      <c r="G33" s="69">
        <f>E33*B33</f>
        <v>127.65</v>
      </c>
      <c r="J33" t="s">
        <v>4294</v>
      </c>
    </row>
    <row r="34" spans="1:10" ht="17.25">
      <c r="A34" s="69"/>
      <c r="B34" s="69"/>
      <c r="C34" s="70"/>
      <c r="E34" s="76"/>
      <c r="F34" s="76"/>
      <c r="G34" s="69"/>
    </row>
    <row r="35" spans="1:10" ht="17.25">
      <c r="A35" s="69"/>
      <c r="B35" s="69"/>
      <c r="C35" s="70" t="s">
        <v>3953</v>
      </c>
      <c r="E35" s="69"/>
      <c r="F35" s="69"/>
      <c r="G35" s="68">
        <f>SUM(G32:G34)</f>
        <v>161.04</v>
      </c>
    </row>
    <row r="36" spans="1:10" ht="17.25">
      <c r="A36" s="66"/>
      <c r="B36" s="66"/>
      <c r="C36" s="66"/>
      <c r="E36" s="66"/>
      <c r="F36" s="66"/>
      <c r="G36" s="66"/>
    </row>
    <row r="37" spans="1:10" ht="17.25" hidden="1">
      <c r="A37" s="66"/>
      <c r="B37" s="66"/>
      <c r="C37" s="66"/>
      <c r="E37" s="66"/>
      <c r="F37" s="66"/>
      <c r="G37" s="66"/>
    </row>
    <row r="38" spans="1:10" ht="17.25" hidden="1">
      <c r="A38" s="66"/>
      <c r="B38" s="66"/>
      <c r="C38" s="66"/>
      <c r="E38" s="66"/>
      <c r="F38" s="66"/>
      <c r="G38" s="66"/>
    </row>
    <row r="39" spans="1:10" ht="3" customHeight="1">
      <c r="A39" s="67"/>
      <c r="B39" s="66"/>
      <c r="C39" s="67"/>
      <c r="E39" s="66"/>
      <c r="F39" s="66"/>
      <c r="G39" s="66"/>
    </row>
    <row r="40" spans="1:10" ht="24" customHeight="1">
      <c r="A40" s="5"/>
      <c r="C40" s="11" t="s">
        <v>3978</v>
      </c>
    </row>
    <row r="41" spans="1:10" ht="24" customHeight="1">
      <c r="A41" s="5">
        <v>5</v>
      </c>
      <c r="B41" t="s">
        <v>1336</v>
      </c>
      <c r="C41" t="s">
        <v>3985</v>
      </c>
      <c r="D41">
        <f>DATA!V705</f>
        <v>1997.1</v>
      </c>
      <c r="F41">
        <f>D41*A41</f>
        <v>9985.5</v>
      </c>
      <c r="H41">
        <f>F41</f>
        <v>9985.5</v>
      </c>
    </row>
    <row r="42" spans="1:10" ht="24" customHeight="1">
      <c r="A42" s="5">
        <v>3.3</v>
      </c>
      <c r="B42" t="s">
        <v>1336</v>
      </c>
      <c r="C42" t="s">
        <v>3986</v>
      </c>
      <c r="D42">
        <f>DATA!V706</f>
        <v>1707.1</v>
      </c>
      <c r="F42">
        <f t="shared" ref="F42:F48" si="0">D42*A42</f>
        <v>5633.43</v>
      </c>
      <c r="H42">
        <f t="shared" ref="H42:H50" si="1">F42</f>
        <v>5633.43</v>
      </c>
    </row>
    <row r="43" spans="1:10" ht="24" customHeight="1">
      <c r="A43" s="5">
        <v>4.79</v>
      </c>
      <c r="B43" t="s">
        <v>1336</v>
      </c>
      <c r="C43" t="s">
        <v>3987</v>
      </c>
      <c r="D43">
        <f>DATA!V707</f>
        <v>1846.1</v>
      </c>
      <c r="F43">
        <f t="shared" si="0"/>
        <v>8842.82</v>
      </c>
      <c r="H43">
        <f t="shared" si="1"/>
        <v>8842.82</v>
      </c>
    </row>
    <row r="44" spans="1:10" ht="24" customHeight="1">
      <c r="A44" s="5">
        <v>3.25</v>
      </c>
      <c r="B44" t="s">
        <v>525</v>
      </c>
      <c r="C44" t="s">
        <v>387</v>
      </c>
      <c r="D44">
        <f>DATA!V708</f>
        <v>6040</v>
      </c>
      <c r="F44">
        <f t="shared" si="0"/>
        <v>19630</v>
      </c>
      <c r="H44">
        <f t="shared" si="1"/>
        <v>19630</v>
      </c>
    </row>
    <row r="45" spans="1:10" ht="35.25" customHeight="1">
      <c r="A45" s="5">
        <f>3250*0.6%</f>
        <v>19.5</v>
      </c>
      <c r="B45" t="s">
        <v>1637</v>
      </c>
      <c r="C45" s="39" t="s">
        <v>3988</v>
      </c>
      <c r="D45">
        <f>DATA!V709</f>
        <v>43.2</v>
      </c>
      <c r="F45">
        <f t="shared" si="0"/>
        <v>842.4</v>
      </c>
      <c r="H45">
        <f t="shared" si="1"/>
        <v>842.4</v>
      </c>
    </row>
    <row r="46" spans="1:10" ht="24" customHeight="1">
      <c r="A46" s="5">
        <v>3.5</v>
      </c>
      <c r="B46" t="s">
        <v>1427</v>
      </c>
      <c r="C46" t="s">
        <v>462</v>
      </c>
      <c r="D46">
        <f>DATA!V710</f>
        <v>932</v>
      </c>
      <c r="F46">
        <f t="shared" si="0"/>
        <v>3262</v>
      </c>
      <c r="H46">
        <f t="shared" si="1"/>
        <v>3262</v>
      </c>
    </row>
    <row r="47" spans="1:10" ht="24" customHeight="1">
      <c r="A47" s="5">
        <v>21.2</v>
      </c>
      <c r="B47" t="s">
        <v>1427</v>
      </c>
      <c r="C47" t="s">
        <v>3453</v>
      </c>
      <c r="D47">
        <f>DATA!V711</f>
        <v>651</v>
      </c>
      <c r="F47">
        <f t="shared" si="0"/>
        <v>13801.2</v>
      </c>
      <c r="H47">
        <f t="shared" si="1"/>
        <v>13801.2</v>
      </c>
    </row>
    <row r="48" spans="1:10" ht="24" customHeight="1">
      <c r="A48" s="5">
        <v>35.299999999999997</v>
      </c>
      <c r="B48" t="s">
        <v>1427</v>
      </c>
      <c r="C48" t="s">
        <v>3454</v>
      </c>
      <c r="D48">
        <f>DATA!V712</f>
        <v>534</v>
      </c>
      <c r="F48">
        <f t="shared" si="0"/>
        <v>18850.2</v>
      </c>
      <c r="H48">
        <f t="shared" si="1"/>
        <v>18850.2</v>
      </c>
    </row>
    <row r="49" spans="1:8" ht="24" customHeight="1">
      <c r="A49" s="5"/>
      <c r="C49" t="s">
        <v>3989</v>
      </c>
      <c r="D49">
        <f>DATA!V713</f>
        <v>0</v>
      </c>
      <c r="F49" s="11">
        <f>SUM(F41:F48)</f>
        <v>80847.55</v>
      </c>
      <c r="H49">
        <f t="shared" si="1"/>
        <v>80847.55</v>
      </c>
    </row>
    <row r="50" spans="1:8" ht="24" customHeight="1">
      <c r="A50" s="5"/>
      <c r="C50" t="s">
        <v>3990</v>
      </c>
      <c r="D50">
        <f>DATA!V714</f>
        <v>0</v>
      </c>
      <c r="F50" s="11">
        <f>F49/10</f>
        <v>8084.76</v>
      </c>
      <c r="H50">
        <f t="shared" si="1"/>
        <v>8084.76</v>
      </c>
    </row>
    <row r="51" spans="1:8" ht="24" customHeight="1">
      <c r="A51" s="5">
        <v>1</v>
      </c>
      <c r="B51" t="s">
        <v>1336</v>
      </c>
      <c r="C51" t="s">
        <v>4016</v>
      </c>
      <c r="D51">
        <f>DATA!V715</f>
        <v>94.2</v>
      </c>
      <c r="F51">
        <f>D51*A51</f>
        <v>94.2</v>
      </c>
    </row>
    <row r="52" spans="1:8" ht="24" customHeight="1">
      <c r="A52" s="5"/>
      <c r="C52" t="s">
        <v>3991</v>
      </c>
      <c r="D52">
        <f>DATA!V716</f>
        <v>0</v>
      </c>
      <c r="F52" s="11">
        <f>SUM(F50:F51)</f>
        <v>8178.96</v>
      </c>
      <c r="H52">
        <f>H50</f>
        <v>8084.76</v>
      </c>
    </row>
    <row r="53" spans="1:8">
      <c r="A53" s="46" t="s">
        <v>654</v>
      </c>
      <c r="C53" t="s">
        <v>3992</v>
      </c>
      <c r="D53" t="str">
        <f>DATA!V717</f>
        <v>LS</v>
      </c>
      <c r="F53">
        <f>F52*0.5%</f>
        <v>40.89</v>
      </c>
      <c r="H53">
        <f>H52*0.5/100</f>
        <v>40.42</v>
      </c>
    </row>
    <row r="54" spans="1:8">
      <c r="A54" s="5"/>
      <c r="C54" s="11" t="s">
        <v>3578</v>
      </c>
      <c r="E54" s="1"/>
      <c r="F54" s="11">
        <f>SUM(F52:F53)</f>
        <v>8219.85</v>
      </c>
      <c r="H54" s="11">
        <f>SUM(H52:H53)</f>
        <v>8125.18</v>
      </c>
    </row>
    <row r="55" spans="1:8">
      <c r="A55" s="5"/>
      <c r="E55" s="1"/>
      <c r="F55" s="3" t="s">
        <v>1579</v>
      </c>
    </row>
    <row r="56" spans="1:8">
      <c r="A56" s="5"/>
      <c r="C56" s="1" t="s">
        <v>383</v>
      </c>
      <c r="E56" s="1"/>
      <c r="F56" s="11">
        <f>F54+DATA!C23</f>
        <v>8455.9500000000007</v>
      </c>
    </row>
    <row r="57" spans="1:8">
      <c r="A57" s="5"/>
      <c r="C57" s="1" t="s">
        <v>385</v>
      </c>
      <c r="E57" s="1"/>
      <c r="F57" s="93"/>
    </row>
    <row r="58" spans="1:8">
      <c r="A58" s="5"/>
      <c r="C58" s="1" t="s">
        <v>2222</v>
      </c>
      <c r="E58" s="1"/>
      <c r="F58" s="11">
        <f>F56+DATA!C25</f>
        <v>8550.15</v>
      </c>
    </row>
    <row r="59" spans="1:8">
      <c r="A59" s="5"/>
      <c r="C59" s="1" t="s">
        <v>377</v>
      </c>
      <c r="E59" s="1"/>
      <c r="F59" s="11"/>
    </row>
    <row r="60" spans="1:8">
      <c r="A60" s="5"/>
      <c r="C60" s="1" t="s">
        <v>1525</v>
      </c>
      <c r="E60" s="1"/>
      <c r="F60" s="11">
        <f>F58+DATA!C27</f>
        <v>8584.35</v>
      </c>
    </row>
    <row r="61" spans="1:8" ht="17.25">
      <c r="A61" s="66"/>
      <c r="B61" s="66"/>
      <c r="C61" s="66"/>
      <c r="E61" s="66"/>
      <c r="F61" s="66"/>
      <c r="G61" s="66"/>
    </row>
    <row r="62" spans="1:8" ht="7.5" customHeight="1">
      <c r="A62" s="66"/>
      <c r="B62" s="66"/>
      <c r="C62" s="66"/>
      <c r="E62" s="66"/>
      <c r="F62" s="66"/>
      <c r="G62" s="66"/>
    </row>
    <row r="63" spans="1:8" ht="17.25" hidden="1">
      <c r="A63" s="66"/>
      <c r="B63" s="66"/>
      <c r="C63" s="66"/>
      <c r="E63" s="66"/>
      <c r="F63" s="66"/>
      <c r="G63" s="66"/>
    </row>
    <row r="64" spans="1:8" ht="17.25" hidden="1">
      <c r="A64" s="66"/>
      <c r="B64" s="66"/>
      <c r="C64" s="66"/>
      <c r="E64" s="66"/>
      <c r="F64" s="66"/>
      <c r="G64" s="66"/>
    </row>
    <row r="65" spans="1:7" ht="17.25">
      <c r="A65" s="1227" t="s">
        <v>3971</v>
      </c>
      <c r="B65" s="1227"/>
      <c r="C65" s="1227"/>
      <c r="D65" s="1227"/>
      <c r="E65" s="1227"/>
      <c r="F65" s="1227"/>
    </row>
    <row r="66" spans="1:7" ht="17.25">
      <c r="A66" s="1227" t="s">
        <v>3970</v>
      </c>
      <c r="B66" s="1227"/>
      <c r="C66" s="1227"/>
      <c r="D66" s="1227"/>
      <c r="E66" s="1227"/>
      <c r="F66" s="1227"/>
    </row>
    <row r="67" spans="1:7" ht="17.25">
      <c r="A67" s="1228" t="s">
        <v>4126</v>
      </c>
      <c r="B67" s="1228"/>
      <c r="C67" s="1228"/>
      <c r="D67" s="1228"/>
      <c r="E67" s="1228"/>
      <c r="F67" s="1228"/>
    </row>
    <row r="68" spans="1:7" ht="17.25">
      <c r="A68" s="1229" t="s">
        <v>3969</v>
      </c>
      <c r="B68" s="1229"/>
      <c r="C68" s="1229"/>
      <c r="D68" s="1229"/>
      <c r="E68" s="1229"/>
      <c r="F68" s="66"/>
    </row>
    <row r="69" spans="1:7" ht="17.25">
      <c r="A69" s="66"/>
      <c r="B69" s="66"/>
      <c r="C69" s="66"/>
      <c r="D69" s="66"/>
      <c r="E69" s="66"/>
      <c r="F69" s="66"/>
    </row>
    <row r="70" spans="1:7" ht="19.5">
      <c r="B70" s="84"/>
      <c r="C70" s="1230" t="s">
        <v>4127</v>
      </c>
      <c r="D70" s="1230"/>
      <c r="E70" s="1230"/>
      <c r="F70" s="84"/>
      <c r="G70" s="2" t="s">
        <v>2142</v>
      </c>
    </row>
    <row r="71" spans="1:7" ht="20.25">
      <c r="A71" s="83"/>
      <c r="B71" s="1231" t="s">
        <v>4613</v>
      </c>
      <c r="C71" s="1231"/>
      <c r="D71" s="1231"/>
      <c r="E71" s="1231"/>
      <c r="F71" s="1231"/>
      <c r="G71" s="5">
        <v>2.2599999999999998</v>
      </c>
    </row>
    <row r="72" spans="1:7" ht="31.5" customHeight="1">
      <c r="A72" s="75"/>
      <c r="B72" s="75"/>
      <c r="C72" s="112" t="s">
        <v>4614</v>
      </c>
      <c r="D72" s="75"/>
      <c r="E72" s="75"/>
      <c r="F72" s="75"/>
    </row>
    <row r="73" spans="1:7" ht="36.75" customHeight="1">
      <c r="A73" s="77">
        <f>G71</f>
        <v>2.2599999999999998</v>
      </c>
      <c r="B73" s="75" t="s">
        <v>2142</v>
      </c>
      <c r="C73" s="75" t="s">
        <v>4310</v>
      </c>
      <c r="D73" s="66"/>
      <c r="E73" s="76">
        <f>E9</f>
        <v>8669.4500000000007</v>
      </c>
      <c r="F73" s="76">
        <f>A73*E73</f>
        <v>19592.96</v>
      </c>
    </row>
    <row r="74" spans="1:7" ht="17.25">
      <c r="A74" s="81">
        <f>A73*10/100</f>
        <v>0.22600000000000001</v>
      </c>
      <c r="B74" s="75" t="s">
        <v>525</v>
      </c>
      <c r="C74" s="75" t="s">
        <v>3966</v>
      </c>
      <c r="D74" s="66"/>
      <c r="E74" s="76">
        <v>4000</v>
      </c>
      <c r="F74" s="76">
        <f>A74*E74</f>
        <v>904</v>
      </c>
    </row>
    <row r="75" spans="1:7" ht="17.25">
      <c r="A75" s="76">
        <v>8</v>
      </c>
      <c r="B75" s="75" t="s">
        <v>823</v>
      </c>
      <c r="C75" s="75" t="s">
        <v>2633</v>
      </c>
      <c r="D75" s="66"/>
      <c r="E75" s="76">
        <v>960</v>
      </c>
      <c r="F75" s="76">
        <f>A75*E75</f>
        <v>7680</v>
      </c>
    </row>
    <row r="76" spans="1:7" ht="17.25">
      <c r="A76" s="75"/>
      <c r="B76" s="75"/>
      <c r="C76" s="75"/>
      <c r="D76" s="66"/>
      <c r="E76" s="75"/>
      <c r="F76" s="75"/>
    </row>
    <row r="77" spans="1:7" ht="17.25">
      <c r="A77" s="75"/>
      <c r="B77" s="75"/>
      <c r="C77" s="75" t="s">
        <v>3965</v>
      </c>
      <c r="D77" s="66"/>
      <c r="E77" s="75"/>
      <c r="F77" s="76">
        <f>SUM(F73:F76)</f>
        <v>28176.959999999999</v>
      </c>
    </row>
    <row r="78" spans="1:7" ht="17.25">
      <c r="A78" s="75"/>
      <c r="B78" s="75"/>
      <c r="C78" s="75" t="s">
        <v>1631</v>
      </c>
      <c r="D78" s="66"/>
      <c r="E78" s="75"/>
      <c r="F78" s="76">
        <f>F77/7</f>
        <v>4025.28</v>
      </c>
    </row>
    <row r="79" spans="1:7" ht="17.25">
      <c r="A79" s="75"/>
      <c r="B79" s="75"/>
      <c r="C79" s="75" t="s">
        <v>3964</v>
      </c>
      <c r="D79" s="66"/>
      <c r="E79" s="75"/>
      <c r="F79" s="75">
        <f>1000/8</f>
        <v>125</v>
      </c>
    </row>
    <row r="80" spans="1:7" ht="17.25">
      <c r="A80" s="75"/>
      <c r="B80" s="75"/>
      <c r="C80" s="75"/>
      <c r="D80" s="66"/>
      <c r="E80" s="75"/>
      <c r="F80" s="75"/>
    </row>
    <row r="81" spans="1:7" ht="17.25">
      <c r="A81" s="75"/>
      <c r="B81" s="75"/>
      <c r="C81" s="75" t="s">
        <v>1631</v>
      </c>
      <c r="D81" s="66"/>
      <c r="E81" s="75"/>
      <c r="F81" s="74">
        <f>SUM(F78:F80)</f>
        <v>4150.28</v>
      </c>
    </row>
    <row r="82" spans="1:7" ht="17.25">
      <c r="A82" s="75"/>
      <c r="B82" s="75"/>
      <c r="C82" s="75" t="s">
        <v>3963</v>
      </c>
      <c r="D82" s="75"/>
      <c r="E82" s="75"/>
      <c r="F82" s="75"/>
    </row>
    <row r="83" spans="1:7" ht="17.25">
      <c r="A83" s="75"/>
      <c r="B83" s="75"/>
      <c r="C83" s="75"/>
      <c r="D83" s="75"/>
      <c r="E83" s="75"/>
      <c r="F83" s="75"/>
    </row>
    <row r="84" spans="1:7" ht="17.25">
      <c r="A84" s="75"/>
      <c r="B84" s="75"/>
      <c r="C84" s="75"/>
      <c r="D84" s="75"/>
      <c r="E84" s="75"/>
      <c r="F84" s="75"/>
    </row>
    <row r="85" spans="1:7" ht="17.25">
      <c r="A85" s="80"/>
      <c r="B85" s="80"/>
      <c r="C85" s="1232" t="s">
        <v>3962</v>
      </c>
      <c r="D85" s="1232"/>
      <c r="E85" s="1232"/>
      <c r="F85" s="80"/>
      <c r="G85" s="11"/>
    </row>
    <row r="86" spans="1:7" ht="20.25">
      <c r="A86" s="79"/>
      <c r="B86" s="1231" t="s">
        <v>4615</v>
      </c>
      <c r="C86" s="1231"/>
      <c r="D86" s="1231"/>
      <c r="E86" s="1231"/>
      <c r="F86" s="1231"/>
      <c r="G86">
        <f>3.14*0.6*0.6/4</f>
        <v>0.28000000000000003</v>
      </c>
    </row>
    <row r="87" spans="1:7" ht="39.75" customHeight="1">
      <c r="A87" s="75"/>
      <c r="B87" s="75"/>
      <c r="C87" s="78" t="s">
        <v>3960</v>
      </c>
      <c r="D87" s="75"/>
      <c r="E87" s="75"/>
      <c r="F87" s="75"/>
    </row>
    <row r="88" spans="1:7" ht="17.25">
      <c r="A88" s="77">
        <f>G86</f>
        <v>0.28000000000000003</v>
      </c>
      <c r="B88" s="75" t="s">
        <v>2142</v>
      </c>
      <c r="C88" s="75" t="s">
        <v>4311</v>
      </c>
      <c r="D88" s="66"/>
      <c r="E88" s="76">
        <f>E24</f>
        <v>6380</v>
      </c>
      <c r="F88" s="76">
        <f>A88*E88</f>
        <v>1786.4</v>
      </c>
    </row>
    <row r="89" spans="1:7" ht="17.25">
      <c r="A89" s="77">
        <f>+A88</f>
        <v>0.28000000000000003</v>
      </c>
      <c r="B89" s="75" t="s">
        <v>2142</v>
      </c>
      <c r="C89" s="1233" t="s">
        <v>4292</v>
      </c>
      <c r="D89" s="1233"/>
      <c r="E89" s="76">
        <f>E25</f>
        <v>55.65</v>
      </c>
      <c r="F89" s="76">
        <f>E89*A89</f>
        <v>15.58</v>
      </c>
    </row>
    <row r="90" spans="1:7" ht="17.25">
      <c r="A90" s="77">
        <f>+A89</f>
        <v>0.28000000000000003</v>
      </c>
      <c r="B90" s="75" t="s">
        <v>2142</v>
      </c>
      <c r="C90" s="75" t="s">
        <v>4293</v>
      </c>
      <c r="D90" s="66"/>
      <c r="E90" s="76">
        <f>E26</f>
        <v>42.55</v>
      </c>
      <c r="F90" s="76">
        <f>A90*E90</f>
        <v>11.91</v>
      </c>
    </row>
    <row r="91" spans="1:7" ht="17.25">
      <c r="A91" s="76"/>
      <c r="B91" s="75"/>
      <c r="C91" s="75"/>
      <c r="D91" s="66"/>
      <c r="E91" s="76"/>
      <c r="F91" s="76"/>
    </row>
    <row r="92" spans="1:7" ht="17.25">
      <c r="A92" s="75"/>
      <c r="B92" s="75"/>
      <c r="C92" s="75" t="s">
        <v>1631</v>
      </c>
      <c r="D92" s="66"/>
      <c r="E92" s="75"/>
      <c r="F92" s="74">
        <f>SUM(F88:F91)</f>
        <v>1813.89</v>
      </c>
    </row>
    <row r="93" spans="1:7" ht="17.25">
      <c r="A93" s="66"/>
      <c r="B93" s="66"/>
      <c r="C93" s="66"/>
      <c r="D93" s="66"/>
      <c r="E93" s="66"/>
      <c r="F93" s="66"/>
    </row>
    <row r="94" spans="1:7" ht="17.25">
      <c r="B94" s="73"/>
      <c r="C94" s="1234" t="s">
        <v>3957</v>
      </c>
      <c r="D94" s="1234"/>
      <c r="E94" s="1234"/>
      <c r="F94" s="73"/>
    </row>
    <row r="95" spans="1:7" ht="17.25">
      <c r="A95" s="66"/>
      <c r="B95" s="66"/>
      <c r="C95" s="66"/>
      <c r="D95" s="66"/>
      <c r="E95" s="66"/>
      <c r="F95" s="66"/>
    </row>
    <row r="96" spans="1:7" ht="34.5">
      <c r="A96" s="69" t="s">
        <v>3955</v>
      </c>
      <c r="B96" s="69">
        <v>3</v>
      </c>
      <c r="C96" s="72" t="s">
        <v>3956</v>
      </c>
      <c r="E96" s="69">
        <f>E32</f>
        <v>11.13</v>
      </c>
      <c r="F96" s="69" t="s">
        <v>1336</v>
      </c>
      <c r="G96" s="69">
        <f>E96*B96</f>
        <v>33.39</v>
      </c>
    </row>
    <row r="97" spans="1:7" ht="17.25">
      <c r="A97" s="69" t="s">
        <v>3955</v>
      </c>
      <c r="B97" s="69">
        <v>3</v>
      </c>
      <c r="C97" s="71" t="s">
        <v>3954</v>
      </c>
      <c r="E97" s="69">
        <f>E90</f>
        <v>42.55</v>
      </c>
      <c r="F97" s="69" t="s">
        <v>1336</v>
      </c>
      <c r="G97" s="69">
        <f>E97*B97</f>
        <v>127.65</v>
      </c>
    </row>
    <row r="98" spans="1:7" ht="17.25">
      <c r="A98" s="69"/>
      <c r="B98" s="69"/>
      <c r="C98" s="70"/>
      <c r="E98" s="69"/>
      <c r="F98" s="69"/>
      <c r="G98" s="69"/>
    </row>
    <row r="99" spans="1:7" ht="17.25">
      <c r="A99" s="69"/>
      <c r="B99" s="69"/>
      <c r="C99" s="70" t="s">
        <v>3953</v>
      </c>
      <c r="E99" s="69"/>
      <c r="F99" s="69"/>
      <c r="G99" s="68">
        <f>SUM(G96:G98)</f>
        <v>161.04</v>
      </c>
    </row>
    <row r="100" spans="1:7" ht="17.25">
      <c r="A100" s="66"/>
      <c r="B100" s="66"/>
      <c r="C100" s="66"/>
      <c r="E100" s="66"/>
      <c r="F100" s="66"/>
      <c r="G100" s="66"/>
    </row>
    <row r="101" spans="1:7" ht="23.25" hidden="1" customHeight="1">
      <c r="A101" s="66"/>
      <c r="B101" s="66"/>
      <c r="C101" s="66"/>
      <c r="E101" s="66"/>
      <c r="F101" s="66"/>
      <c r="G101" s="66"/>
    </row>
    <row r="102" spans="1:7" ht="23.25" hidden="1" customHeight="1">
      <c r="A102" s="66"/>
      <c r="B102" s="66"/>
      <c r="C102" s="66"/>
      <c r="E102" s="66"/>
      <c r="F102" s="66"/>
      <c r="G102" s="66"/>
    </row>
    <row r="103" spans="1:7" ht="29.25" hidden="1" customHeight="1">
      <c r="A103" s="5"/>
      <c r="B103" s="11">
        <v>4.2</v>
      </c>
      <c r="C103" s="11" t="s">
        <v>3977</v>
      </c>
    </row>
    <row r="104" spans="1:7" ht="30" hidden="1" customHeight="1">
      <c r="A104" s="5">
        <v>5</v>
      </c>
      <c r="B104" t="s">
        <v>1336</v>
      </c>
      <c r="C104" t="s">
        <v>3985</v>
      </c>
      <c r="D104">
        <f>D41</f>
        <v>1997.1</v>
      </c>
      <c r="F104">
        <f>D104*A104</f>
        <v>9985.5</v>
      </c>
    </row>
    <row r="105" spans="1:7" ht="30" hidden="1" customHeight="1">
      <c r="A105" s="5">
        <v>3.3</v>
      </c>
      <c r="B105" t="s">
        <v>1336</v>
      </c>
      <c r="C105" t="s">
        <v>3986</v>
      </c>
      <c r="D105">
        <f t="shared" ref="D105:D116" si="2">D42</f>
        <v>1707.1</v>
      </c>
      <c r="F105">
        <f t="shared" ref="F105:F111" si="3">D105*A105</f>
        <v>5633.43</v>
      </c>
    </row>
    <row r="106" spans="1:7" ht="30" hidden="1" customHeight="1">
      <c r="A106" s="5">
        <v>4.79</v>
      </c>
      <c r="B106" t="s">
        <v>1336</v>
      </c>
      <c r="C106" t="s">
        <v>3987</v>
      </c>
      <c r="D106">
        <f t="shared" si="2"/>
        <v>1846.1</v>
      </c>
      <c r="F106">
        <f t="shared" si="3"/>
        <v>8842.82</v>
      </c>
    </row>
    <row r="107" spans="1:7" ht="30" hidden="1" customHeight="1">
      <c r="A107" s="5">
        <v>4</v>
      </c>
      <c r="B107" t="s">
        <v>525</v>
      </c>
      <c r="C107" t="s">
        <v>387</v>
      </c>
      <c r="D107">
        <f t="shared" si="2"/>
        <v>6040</v>
      </c>
      <c r="F107">
        <f t="shared" si="3"/>
        <v>24160</v>
      </c>
    </row>
    <row r="108" spans="1:7" ht="30" hidden="1" customHeight="1">
      <c r="A108" s="5">
        <v>40</v>
      </c>
      <c r="B108" t="s">
        <v>1637</v>
      </c>
      <c r="C108" t="s">
        <v>3994</v>
      </c>
      <c r="D108">
        <f t="shared" si="2"/>
        <v>43.2</v>
      </c>
      <c r="F108">
        <f t="shared" si="3"/>
        <v>1728</v>
      </c>
    </row>
    <row r="109" spans="1:7" ht="30" hidden="1" customHeight="1">
      <c r="A109" s="5">
        <v>3.5</v>
      </c>
      <c r="B109" t="s">
        <v>1427</v>
      </c>
      <c r="C109" t="s">
        <v>462</v>
      </c>
      <c r="D109">
        <f t="shared" si="2"/>
        <v>932</v>
      </c>
      <c r="F109">
        <f>D109*A109</f>
        <v>3262</v>
      </c>
    </row>
    <row r="110" spans="1:7" ht="30" hidden="1" customHeight="1">
      <c r="A110" s="5">
        <v>21.2</v>
      </c>
      <c r="B110" t="s">
        <v>1427</v>
      </c>
      <c r="C110" t="s">
        <v>3453</v>
      </c>
      <c r="D110">
        <f t="shared" si="2"/>
        <v>651</v>
      </c>
      <c r="F110">
        <f t="shared" si="3"/>
        <v>13801.2</v>
      </c>
    </row>
    <row r="111" spans="1:7" ht="30" hidden="1" customHeight="1">
      <c r="A111" s="5">
        <v>35.299999999999997</v>
      </c>
      <c r="B111" t="s">
        <v>1427</v>
      </c>
      <c r="C111" t="s">
        <v>3454</v>
      </c>
      <c r="D111">
        <f t="shared" si="2"/>
        <v>534</v>
      </c>
      <c r="F111">
        <f t="shared" si="3"/>
        <v>18850.2</v>
      </c>
    </row>
    <row r="112" spans="1:7" ht="30" hidden="1" customHeight="1">
      <c r="A112" s="5"/>
      <c r="C112" s="11" t="s">
        <v>3989</v>
      </c>
      <c r="D112">
        <f t="shared" si="2"/>
        <v>0</v>
      </c>
      <c r="F112" s="11">
        <f>SUM(F104:F111)</f>
        <v>86263.15</v>
      </c>
    </row>
    <row r="113" spans="1:7" ht="30" hidden="1" customHeight="1">
      <c r="A113" s="5"/>
      <c r="C113" s="11" t="s">
        <v>3990</v>
      </c>
      <c r="D113">
        <f t="shared" si="2"/>
        <v>0</v>
      </c>
      <c r="F113" s="11">
        <f>F112/10</f>
        <v>8626.32</v>
      </c>
      <c r="G113">
        <f>F113</f>
        <v>8626.32</v>
      </c>
    </row>
    <row r="114" spans="1:7" ht="30" hidden="1" customHeight="1">
      <c r="A114" s="5">
        <v>1</v>
      </c>
      <c r="B114" t="s">
        <v>1336</v>
      </c>
      <c r="C114" t="s">
        <v>3455</v>
      </c>
      <c r="D114">
        <f t="shared" si="2"/>
        <v>94.2</v>
      </c>
      <c r="F114">
        <f>D114</f>
        <v>94.2</v>
      </c>
    </row>
    <row r="115" spans="1:7" ht="30" hidden="1" customHeight="1">
      <c r="A115" s="5"/>
      <c r="C115" t="s">
        <v>3991</v>
      </c>
      <c r="D115">
        <f t="shared" si="2"/>
        <v>0</v>
      </c>
      <c r="F115" s="11">
        <f>SUM(F113:F114)</f>
        <v>8720.52</v>
      </c>
      <c r="G115">
        <f>SUM(G113:G114)</f>
        <v>8626.32</v>
      </c>
    </row>
    <row r="116" spans="1:7" ht="30" hidden="1" customHeight="1">
      <c r="A116" s="46" t="s">
        <v>654</v>
      </c>
      <c r="C116" t="s">
        <v>3992</v>
      </c>
      <c r="D116" t="str">
        <f t="shared" si="2"/>
        <v>LS</v>
      </c>
      <c r="F116">
        <f>F115*0.5%</f>
        <v>43.6</v>
      </c>
      <c r="G116">
        <f>G115*0.5/100</f>
        <v>43.13</v>
      </c>
    </row>
    <row r="117" spans="1:7" ht="30" hidden="1" customHeight="1">
      <c r="A117" s="5"/>
      <c r="C117" s="11" t="s">
        <v>3578</v>
      </c>
      <c r="E117" s="1"/>
      <c r="F117" s="11">
        <f>SUM(F115:F116)</f>
        <v>8764.1200000000008</v>
      </c>
      <c r="G117" s="11">
        <f>SUM(G115:G116)</f>
        <v>8669.4500000000007</v>
      </c>
    </row>
    <row r="118" spans="1:7" ht="17.25" hidden="1">
      <c r="A118" s="66"/>
      <c r="B118" s="66"/>
      <c r="C118" s="66"/>
      <c r="E118" s="66"/>
      <c r="F118" s="66"/>
      <c r="G118" s="66"/>
    </row>
    <row r="119" spans="1:7" ht="17.25" hidden="1">
      <c r="A119" s="66"/>
      <c r="B119" s="66"/>
      <c r="C119" s="66"/>
      <c r="E119" s="66"/>
      <c r="F119" s="66"/>
      <c r="G119" s="66"/>
    </row>
    <row r="120" spans="1:7" ht="17.25" hidden="1">
      <c r="A120" s="66"/>
      <c r="B120" s="66"/>
      <c r="C120" s="66"/>
      <c r="E120" s="66"/>
      <c r="F120" s="66"/>
      <c r="G120" s="66"/>
    </row>
    <row r="121" spans="1:7" ht="17.25" hidden="1">
      <c r="A121" s="66"/>
      <c r="B121" s="66"/>
      <c r="C121" s="66"/>
      <c r="E121" s="66"/>
      <c r="F121" s="66"/>
      <c r="G121" s="67"/>
    </row>
    <row r="122" spans="1:7" ht="17.25" hidden="1">
      <c r="A122" s="66"/>
      <c r="B122" s="66"/>
      <c r="C122" s="66"/>
      <c r="E122" s="66"/>
      <c r="F122" s="66"/>
      <c r="G122" s="66"/>
    </row>
    <row r="123" spans="1:7" ht="17.25" hidden="1">
      <c r="A123" s="66"/>
      <c r="B123" s="66"/>
      <c r="C123" s="66"/>
      <c r="E123" s="66"/>
      <c r="F123" s="66"/>
      <c r="G123" s="66"/>
    </row>
    <row r="124" spans="1:7" ht="17.25" hidden="1">
      <c r="A124" s="66"/>
      <c r="B124" s="66"/>
      <c r="C124" s="66"/>
      <c r="E124" s="66"/>
      <c r="F124" s="66"/>
      <c r="G124" s="66"/>
    </row>
    <row r="125" spans="1:7" ht="17.25">
      <c r="A125" s="1227" t="s">
        <v>3971</v>
      </c>
      <c r="B125" s="1227"/>
      <c r="C125" s="1227"/>
      <c r="D125" s="1227"/>
      <c r="E125" s="1227"/>
      <c r="F125" s="1227"/>
    </row>
    <row r="126" spans="1:7" ht="17.25">
      <c r="A126" s="1227" t="s">
        <v>3970</v>
      </c>
      <c r="B126" s="1227"/>
      <c r="C126" s="1227"/>
      <c r="D126" s="1227"/>
      <c r="E126" s="1227"/>
      <c r="F126" s="1227"/>
    </row>
    <row r="127" spans="1:7" ht="17.25">
      <c r="A127" s="1228" t="s">
        <v>4126</v>
      </c>
      <c r="B127" s="1228"/>
      <c r="C127" s="1228"/>
      <c r="D127" s="1228"/>
      <c r="E127" s="1228"/>
      <c r="F127" s="1228"/>
    </row>
    <row r="128" spans="1:7" ht="17.25">
      <c r="A128" s="1229" t="s">
        <v>3969</v>
      </c>
      <c r="B128" s="1229"/>
      <c r="C128" s="1229"/>
      <c r="D128" s="1229"/>
      <c r="E128" s="1229"/>
      <c r="F128" s="66"/>
    </row>
    <row r="129" spans="1:7" ht="17.25">
      <c r="A129" s="66"/>
      <c r="B129" s="66"/>
      <c r="C129" s="66"/>
      <c r="D129" s="66"/>
      <c r="E129" s="66"/>
      <c r="F129" s="66"/>
    </row>
    <row r="130" spans="1:7" ht="19.5">
      <c r="B130" s="84"/>
      <c r="C130" s="1230" t="s">
        <v>4130</v>
      </c>
      <c r="D130" s="1230"/>
      <c r="E130" s="1230"/>
      <c r="F130" s="84"/>
      <c r="G130" s="2" t="s">
        <v>2142</v>
      </c>
    </row>
    <row r="131" spans="1:7" ht="20.25">
      <c r="A131" s="83"/>
      <c r="B131" s="1231" t="s">
        <v>4131</v>
      </c>
      <c r="C131" s="1231"/>
      <c r="D131" s="1231"/>
      <c r="E131" s="1231"/>
      <c r="F131" s="1231"/>
      <c r="G131" s="5">
        <f>3.14*0.4*0.4*8/4</f>
        <v>1.0049999999999999</v>
      </c>
    </row>
    <row r="132" spans="1:7" ht="34.5" customHeight="1">
      <c r="A132" s="75"/>
      <c r="B132" s="75"/>
      <c r="C132" s="111" t="s">
        <v>4134</v>
      </c>
      <c r="D132" s="75"/>
      <c r="E132" s="75"/>
      <c r="F132" s="75"/>
    </row>
    <row r="133" spans="1:7" ht="17.25">
      <c r="A133" s="77">
        <f>G131</f>
        <v>1.0049999999999999</v>
      </c>
      <c r="B133" s="75" t="s">
        <v>2142</v>
      </c>
      <c r="C133" s="75" t="s">
        <v>3967</v>
      </c>
      <c r="D133" s="66"/>
      <c r="E133" s="76">
        <f>E73</f>
        <v>8669.4500000000007</v>
      </c>
      <c r="F133" s="76">
        <f>A133*E133</f>
        <v>8712.7999999999993</v>
      </c>
    </row>
    <row r="134" spans="1:7" ht="17.25">
      <c r="A134" s="81">
        <f>A133*10/100</f>
        <v>0.10050000000000001</v>
      </c>
      <c r="B134" s="75" t="s">
        <v>525</v>
      </c>
      <c r="C134" s="75" t="s">
        <v>3966</v>
      </c>
      <c r="D134" s="66"/>
      <c r="E134" s="76">
        <v>4000</v>
      </c>
      <c r="F134" s="76">
        <f>A134*E134</f>
        <v>402</v>
      </c>
    </row>
    <row r="135" spans="1:7" ht="17.25">
      <c r="A135" s="76">
        <v>8</v>
      </c>
      <c r="B135" s="75" t="s">
        <v>823</v>
      </c>
      <c r="C135" s="75" t="s">
        <v>2633</v>
      </c>
      <c r="D135" s="66"/>
      <c r="E135" s="76">
        <v>960</v>
      </c>
      <c r="F135" s="76">
        <f>A135*E135</f>
        <v>7680</v>
      </c>
    </row>
    <row r="136" spans="1:7" ht="17.25">
      <c r="A136" s="75"/>
      <c r="B136" s="75"/>
      <c r="C136" s="75"/>
      <c r="D136" s="66"/>
      <c r="E136" s="75"/>
      <c r="F136" s="75"/>
    </row>
    <row r="137" spans="1:7" ht="17.25">
      <c r="A137" s="75"/>
      <c r="B137" s="75"/>
      <c r="C137" s="75" t="s">
        <v>3965</v>
      </c>
      <c r="D137" s="66"/>
      <c r="E137" s="75"/>
      <c r="F137" s="76">
        <f>SUM(F133:F136)</f>
        <v>16794.8</v>
      </c>
    </row>
    <row r="138" spans="1:7" ht="17.25">
      <c r="A138" s="75"/>
      <c r="B138" s="75"/>
      <c r="C138" s="75" t="s">
        <v>1631</v>
      </c>
      <c r="D138" s="66"/>
      <c r="E138" s="75"/>
      <c r="F138" s="76">
        <f>F137/7</f>
        <v>2399.2600000000002</v>
      </c>
    </row>
    <row r="139" spans="1:7" ht="17.25">
      <c r="A139" s="75"/>
      <c r="B139" s="75"/>
      <c r="C139" s="75" t="s">
        <v>3964</v>
      </c>
      <c r="D139" s="66"/>
      <c r="E139" s="75"/>
      <c r="F139" s="75">
        <f>1000/8</f>
        <v>125</v>
      </c>
    </row>
    <row r="140" spans="1:7" ht="17.25">
      <c r="A140" s="75"/>
      <c r="B140" s="75"/>
      <c r="C140" s="75"/>
      <c r="D140" s="66"/>
      <c r="E140" s="75"/>
      <c r="F140" s="75"/>
    </row>
    <row r="141" spans="1:7" ht="17.25">
      <c r="A141" s="75"/>
      <c r="B141" s="75"/>
      <c r="C141" s="75" t="s">
        <v>1631</v>
      </c>
      <c r="D141" s="66"/>
      <c r="E141" s="75"/>
      <c r="F141" s="74">
        <f>SUM(F138:F140)</f>
        <v>2524.2600000000002</v>
      </c>
    </row>
    <row r="142" spans="1:7" ht="17.25">
      <c r="A142" s="75"/>
      <c r="B142" s="75"/>
      <c r="C142" s="75" t="s">
        <v>3963</v>
      </c>
      <c r="D142" s="75"/>
      <c r="E142" s="75"/>
      <c r="F142" s="75"/>
    </row>
    <row r="143" spans="1:7" ht="17.25">
      <c r="A143" s="75"/>
      <c r="B143" s="75"/>
      <c r="C143" s="75"/>
      <c r="D143" s="75"/>
      <c r="E143" s="75"/>
      <c r="F143" s="75"/>
    </row>
    <row r="144" spans="1:7" ht="17.25">
      <c r="A144" s="75"/>
      <c r="B144" s="75"/>
      <c r="C144" s="75"/>
      <c r="D144" s="75"/>
      <c r="E144" s="75"/>
      <c r="F144" s="75"/>
    </row>
    <row r="145" spans="1:7" ht="17.25">
      <c r="A145" s="80"/>
      <c r="B145" s="80"/>
      <c r="C145" s="1232" t="s">
        <v>3962</v>
      </c>
      <c r="D145" s="1232"/>
      <c r="E145" s="1232"/>
      <c r="F145" s="80"/>
      <c r="G145" s="11"/>
    </row>
    <row r="146" spans="1:7" ht="20.25">
      <c r="A146" s="79"/>
      <c r="B146" s="1231" t="s">
        <v>4132</v>
      </c>
      <c r="C146" s="1231"/>
      <c r="D146" s="1231"/>
      <c r="E146" s="1231"/>
      <c r="F146" s="1231"/>
      <c r="G146" s="5">
        <f>3.14*0.4*0.4/4</f>
        <v>0.126</v>
      </c>
    </row>
    <row r="147" spans="1:7" ht="17.25">
      <c r="A147" s="75"/>
      <c r="B147" s="75"/>
      <c r="C147" s="78" t="s">
        <v>4135</v>
      </c>
      <c r="D147" s="75"/>
      <c r="E147" s="75"/>
      <c r="F147" s="75"/>
    </row>
    <row r="148" spans="1:7" ht="17.25">
      <c r="A148" s="77">
        <f>G146</f>
        <v>0.126</v>
      </c>
      <c r="B148" s="75" t="s">
        <v>2142</v>
      </c>
      <c r="C148" s="75" t="s">
        <v>3959</v>
      </c>
      <c r="D148" s="66"/>
      <c r="E148" s="76">
        <f>E88</f>
        <v>6380</v>
      </c>
      <c r="F148" s="76">
        <f>A148*E148</f>
        <v>803.88</v>
      </c>
    </row>
    <row r="149" spans="1:7" ht="17.25">
      <c r="A149" s="77">
        <f>+A148</f>
        <v>0.126</v>
      </c>
      <c r="B149" s="75" t="s">
        <v>2142</v>
      </c>
      <c r="C149" s="1233" t="s">
        <v>3958</v>
      </c>
      <c r="D149" s="1233"/>
      <c r="E149" s="76">
        <f>E89</f>
        <v>55.65</v>
      </c>
      <c r="F149" s="76">
        <f>E149*A149</f>
        <v>7.01</v>
      </c>
    </row>
    <row r="150" spans="1:7" ht="17.25">
      <c r="A150" s="77">
        <f>+A149</f>
        <v>0.126</v>
      </c>
      <c r="B150" s="75" t="s">
        <v>2142</v>
      </c>
      <c r="C150" s="75" t="s">
        <v>3954</v>
      </c>
      <c r="D150" s="66"/>
      <c r="E150" s="76">
        <f>E90</f>
        <v>42.55</v>
      </c>
      <c r="F150" s="76">
        <f>A150*E150</f>
        <v>5.36</v>
      </c>
    </row>
    <row r="151" spans="1:7" ht="17.25">
      <c r="A151" s="76"/>
      <c r="B151" s="75"/>
      <c r="C151" s="75"/>
      <c r="D151" s="66"/>
      <c r="E151" s="76"/>
      <c r="F151" s="76"/>
    </row>
    <row r="152" spans="1:7" ht="17.25">
      <c r="A152" s="75"/>
      <c r="B152" s="75"/>
      <c r="C152" s="75" t="s">
        <v>1631</v>
      </c>
      <c r="D152" s="66"/>
      <c r="E152" s="75"/>
      <c r="F152" s="74">
        <f>SUM(F148:F151)</f>
        <v>816.25</v>
      </c>
    </row>
    <row r="153" spans="1:7" ht="17.25">
      <c r="A153" s="66"/>
      <c r="B153" s="66"/>
      <c r="C153" s="66"/>
      <c r="D153" s="66"/>
      <c r="E153" s="66"/>
      <c r="F153" s="66"/>
    </row>
    <row r="154" spans="1:7" ht="17.25">
      <c r="B154" s="73"/>
      <c r="C154" s="1234" t="s">
        <v>3957</v>
      </c>
      <c r="D154" s="1234"/>
      <c r="E154" s="1234"/>
      <c r="F154" s="73"/>
    </row>
    <row r="155" spans="1:7" ht="17.25">
      <c r="A155" s="66"/>
      <c r="B155" s="66"/>
      <c r="C155" s="66"/>
      <c r="D155" s="66"/>
      <c r="E155" s="66"/>
      <c r="F155" s="66"/>
    </row>
    <row r="156" spans="1:7" ht="34.5">
      <c r="A156" s="69" t="s">
        <v>3955</v>
      </c>
      <c r="B156" s="69">
        <v>3</v>
      </c>
      <c r="C156" s="72" t="s">
        <v>3956</v>
      </c>
      <c r="E156" s="69">
        <f>E96</f>
        <v>11.13</v>
      </c>
      <c r="F156" s="69" t="s">
        <v>1336</v>
      </c>
      <c r="G156" s="69">
        <f>E156*B156</f>
        <v>33.39</v>
      </c>
    </row>
    <row r="157" spans="1:7" ht="17.25">
      <c r="A157" s="69" t="s">
        <v>3955</v>
      </c>
      <c r="B157" s="69">
        <v>3</v>
      </c>
      <c r="C157" s="71" t="s">
        <v>3954</v>
      </c>
      <c r="E157" s="69">
        <f>E97</f>
        <v>42.55</v>
      </c>
      <c r="F157" s="69" t="s">
        <v>1336</v>
      </c>
      <c r="G157" s="69">
        <f>E157*B157</f>
        <v>127.65</v>
      </c>
    </row>
    <row r="158" spans="1:7" ht="17.25">
      <c r="A158" s="69"/>
      <c r="B158" s="69"/>
      <c r="C158" s="70"/>
      <c r="E158" s="69"/>
      <c r="F158" s="69"/>
      <c r="G158" s="69"/>
    </row>
    <row r="159" spans="1:7" ht="17.25">
      <c r="A159" s="69"/>
      <c r="B159" s="69"/>
      <c r="C159" s="70" t="s">
        <v>3953</v>
      </c>
      <c r="E159" s="69"/>
      <c r="F159" s="69"/>
      <c r="G159" s="68">
        <f>SUM(G156:G158)</f>
        <v>161.04</v>
      </c>
    </row>
    <row r="160" spans="1:7" ht="17.25">
      <c r="A160" s="66"/>
      <c r="B160" s="66"/>
      <c r="C160" s="66"/>
      <c r="E160" s="66"/>
      <c r="F160" s="66"/>
      <c r="G160" s="66"/>
    </row>
    <row r="161" spans="1:7" ht="17.25">
      <c r="A161" s="66"/>
      <c r="B161" s="66"/>
      <c r="C161" s="66"/>
      <c r="E161" s="66"/>
      <c r="F161" s="66"/>
      <c r="G161" s="66"/>
    </row>
    <row r="162" spans="1:7">
      <c r="A162" s="9"/>
      <c r="C162" s="1"/>
    </row>
    <row r="163" spans="1:7">
      <c r="C163" s="1"/>
    </row>
    <row r="164" spans="1:7">
      <c r="C164" s="1"/>
    </row>
    <row r="165" spans="1:7" ht="17.25">
      <c r="A165" s="1227" t="s">
        <v>3971</v>
      </c>
      <c r="B165" s="1227"/>
      <c r="C165" s="1227"/>
      <c r="D165" s="1227"/>
      <c r="E165" s="1227"/>
      <c r="F165" s="1227"/>
    </row>
    <row r="166" spans="1:7" ht="17.25">
      <c r="A166" s="1227"/>
      <c r="B166" s="1227"/>
      <c r="C166" s="1227"/>
      <c r="D166" s="1227"/>
      <c r="E166" s="1227"/>
      <c r="F166" s="1227"/>
    </row>
    <row r="167" spans="1:7" ht="17.25">
      <c r="A167" s="1228" t="s">
        <v>4126</v>
      </c>
      <c r="B167" s="1228"/>
      <c r="C167" s="1228"/>
      <c r="D167" s="1228"/>
      <c r="E167" s="1228"/>
      <c r="F167" s="1228"/>
    </row>
    <row r="168" spans="1:7" ht="17.25">
      <c r="A168" s="1229" t="s">
        <v>3969</v>
      </c>
      <c r="B168" s="1229"/>
      <c r="C168" s="1229"/>
      <c r="D168" s="1229"/>
      <c r="E168" s="1229"/>
      <c r="F168" s="66"/>
    </row>
    <row r="169" spans="1:7" ht="17.25">
      <c r="A169" s="66"/>
      <c r="B169" s="66"/>
      <c r="C169" s="66"/>
      <c r="D169" s="66"/>
      <c r="E169" s="66"/>
      <c r="F169" s="66"/>
    </row>
    <row r="170" spans="1:7" ht="19.5">
      <c r="B170" s="84"/>
      <c r="C170" s="1230" t="s">
        <v>4130</v>
      </c>
      <c r="D170" s="1230"/>
      <c r="E170" s="1230"/>
      <c r="F170" s="84"/>
      <c r="G170" s="2" t="s">
        <v>2142</v>
      </c>
    </row>
    <row r="171" spans="1:7" ht="20.25">
      <c r="A171" s="83"/>
      <c r="B171" s="1231" t="s">
        <v>4128</v>
      </c>
      <c r="C171" s="1231"/>
      <c r="D171" s="1231"/>
      <c r="E171" s="1231"/>
      <c r="F171" s="1231"/>
      <c r="G171" s="5">
        <f>3.14*0.45*0.45*8/4</f>
        <v>1.272</v>
      </c>
    </row>
    <row r="172" spans="1:7" ht="17.25">
      <c r="A172" s="75"/>
      <c r="B172" s="75"/>
      <c r="C172" s="82" t="s">
        <v>4133</v>
      </c>
      <c r="D172" s="75"/>
      <c r="E172" s="75"/>
      <c r="F172" s="75"/>
    </row>
    <row r="173" spans="1:7" ht="17.25">
      <c r="A173" s="77">
        <f>G171</f>
        <v>1.272</v>
      </c>
      <c r="B173" s="75" t="s">
        <v>2142</v>
      </c>
      <c r="C173" s="75" t="str">
        <f>C9</f>
        <v>Standardised concrete  mix using M 30 Grade concrete in (F&amp;B)</v>
      </c>
      <c r="D173" s="66"/>
      <c r="E173" s="76">
        <f>E9</f>
        <v>8669.4500000000007</v>
      </c>
      <c r="F173" s="76">
        <f>A173*E173</f>
        <v>11027.54</v>
      </c>
    </row>
    <row r="174" spans="1:7" ht="17.25">
      <c r="A174" s="81">
        <f>A173*10/100</f>
        <v>0.12720000000000001</v>
      </c>
      <c r="B174" s="75" t="s">
        <v>525</v>
      </c>
      <c r="C174" s="75" t="str">
        <f>C10</f>
        <v>Bentonite (10% concrete volume)(PWD SR 2021-22,p-37)</v>
      </c>
      <c r="D174" s="66"/>
      <c r="E174" s="76">
        <f>E10</f>
        <v>6050</v>
      </c>
      <c r="F174" s="76">
        <f>A174*E174</f>
        <v>769.56</v>
      </c>
    </row>
    <row r="175" spans="1:7" ht="17.25">
      <c r="A175" s="76">
        <v>8</v>
      </c>
      <c r="B175" s="75" t="s">
        <v>823</v>
      </c>
      <c r="C175" s="75" t="s">
        <v>2633</v>
      </c>
      <c r="D175" s="66"/>
      <c r="E175" s="76">
        <v>960</v>
      </c>
      <c r="F175" s="76">
        <f>A175*E175</f>
        <v>7680</v>
      </c>
    </row>
    <row r="176" spans="1:7" ht="17.25">
      <c r="A176" s="75"/>
      <c r="B176" s="75"/>
      <c r="C176" s="75"/>
      <c r="D176" s="66"/>
      <c r="E176" s="75"/>
      <c r="F176" s="75"/>
    </row>
    <row r="177" spans="1:7" ht="17.25">
      <c r="A177" s="75"/>
      <c r="B177" s="75"/>
      <c r="C177" s="75" t="s">
        <v>3965</v>
      </c>
      <c r="D177" s="66"/>
      <c r="E177" s="75"/>
      <c r="F177" s="76">
        <f>SUM(F173:F176)</f>
        <v>19477.099999999999</v>
      </c>
    </row>
    <row r="178" spans="1:7" ht="17.25">
      <c r="A178" s="75"/>
      <c r="B178" s="75"/>
      <c r="C178" s="75" t="s">
        <v>1631</v>
      </c>
      <c r="D178" s="66"/>
      <c r="E178" s="75"/>
      <c r="F178" s="76">
        <f>F177/7</f>
        <v>2782.44</v>
      </c>
    </row>
    <row r="179" spans="1:7" ht="17.25">
      <c r="A179" s="75"/>
      <c r="B179" s="75"/>
      <c r="C179" s="75" t="s">
        <v>3964</v>
      </c>
      <c r="D179" s="66"/>
      <c r="E179" s="75"/>
      <c r="F179" s="75">
        <f>1000/8</f>
        <v>125</v>
      </c>
    </row>
    <row r="180" spans="1:7" ht="17.25">
      <c r="A180" s="75"/>
      <c r="B180" s="75"/>
      <c r="C180" s="75"/>
      <c r="D180" s="66"/>
      <c r="E180" s="75"/>
      <c r="F180" s="75"/>
    </row>
    <row r="181" spans="1:7" ht="17.25">
      <c r="A181" s="75"/>
      <c r="B181" s="75"/>
      <c r="C181" s="75" t="s">
        <v>1631</v>
      </c>
      <c r="D181" s="66"/>
      <c r="E181" s="75"/>
      <c r="F181" s="74">
        <f>SUM(F178:F180)</f>
        <v>2907.44</v>
      </c>
    </row>
    <row r="182" spans="1:7" ht="17.25">
      <c r="A182" s="75"/>
      <c r="B182" s="75"/>
      <c r="C182" s="75" t="s">
        <v>3963</v>
      </c>
      <c r="D182" s="75"/>
      <c r="E182" s="75"/>
      <c r="F182" s="75"/>
    </row>
    <row r="183" spans="1:7" ht="17.25">
      <c r="A183" s="75"/>
      <c r="B183" s="75"/>
      <c r="C183" s="75"/>
      <c r="D183" s="75"/>
      <c r="E183" s="75"/>
      <c r="F183" s="75"/>
    </row>
    <row r="184" spans="1:7" ht="17.25">
      <c r="A184" s="75"/>
      <c r="B184" s="75"/>
      <c r="C184" s="75"/>
      <c r="D184" s="75"/>
      <c r="E184" s="75"/>
      <c r="F184" s="75"/>
    </row>
    <row r="185" spans="1:7" ht="17.25">
      <c r="A185" s="80"/>
      <c r="B185" s="80"/>
      <c r="C185" s="1232" t="s">
        <v>3962</v>
      </c>
      <c r="D185" s="1232"/>
      <c r="E185" s="1232"/>
      <c r="F185" s="80"/>
      <c r="G185" s="11"/>
    </row>
    <row r="186" spans="1:7" ht="20.25">
      <c r="A186" s="79"/>
      <c r="B186" s="1231" t="s">
        <v>4129</v>
      </c>
      <c r="C186" s="1231"/>
      <c r="D186" s="1231"/>
      <c r="E186" s="1231"/>
      <c r="F186" s="1231"/>
      <c r="G186" s="5">
        <f>3.14*0.45*0.45/4</f>
        <v>0.159</v>
      </c>
    </row>
    <row r="187" spans="1:7" ht="17.25">
      <c r="A187" s="75"/>
      <c r="B187" s="75"/>
      <c r="C187" s="78" t="s">
        <v>5220</v>
      </c>
      <c r="D187" s="75"/>
      <c r="E187" s="75"/>
      <c r="F187" s="75"/>
    </row>
    <row r="188" spans="1:7" ht="17.25">
      <c r="A188" s="77">
        <f>G186</f>
        <v>0.159</v>
      </c>
      <c r="B188" s="75" t="s">
        <v>2142</v>
      </c>
      <c r="C188" s="75" t="s">
        <v>3959</v>
      </c>
      <c r="D188" s="66"/>
      <c r="E188" s="76">
        <f>E24</f>
        <v>6380</v>
      </c>
      <c r="F188" s="76">
        <f>A188*E188</f>
        <v>1014.42</v>
      </c>
    </row>
    <row r="189" spans="1:7" ht="17.25">
      <c r="A189" s="77">
        <f>+A188</f>
        <v>0.159</v>
      </c>
      <c r="B189" s="75" t="s">
        <v>2142</v>
      </c>
      <c r="C189" s="1233" t="s">
        <v>3958</v>
      </c>
      <c r="D189" s="1233"/>
      <c r="E189" s="76">
        <f>E25</f>
        <v>55.65</v>
      </c>
      <c r="F189" s="76">
        <f>E189*A189</f>
        <v>8.85</v>
      </c>
    </row>
    <row r="190" spans="1:7" ht="17.25">
      <c r="A190" s="77">
        <f>+A189</f>
        <v>0.159</v>
      </c>
      <c r="B190" s="75" t="s">
        <v>2142</v>
      </c>
      <c r="C190" s="75" t="s">
        <v>3954</v>
      </c>
      <c r="D190" s="66"/>
      <c r="E190" s="76">
        <f>E26</f>
        <v>42.55</v>
      </c>
      <c r="F190" s="76">
        <f>A190*E190</f>
        <v>6.77</v>
      </c>
    </row>
    <row r="191" spans="1:7" ht="17.25">
      <c r="A191" s="76"/>
      <c r="B191" s="75"/>
      <c r="C191" s="75"/>
      <c r="D191" s="66"/>
      <c r="E191" s="76"/>
      <c r="F191" s="76"/>
    </row>
    <row r="192" spans="1:7" ht="17.25">
      <c r="A192" s="75"/>
      <c r="B192" s="75"/>
      <c r="C192" s="75" t="s">
        <v>1631</v>
      </c>
      <c r="D192" s="66"/>
      <c r="E192" s="75"/>
      <c r="F192" s="74">
        <f>SUM(F188:F191)</f>
        <v>1030.04</v>
      </c>
    </row>
    <row r="193" spans="1:7" ht="17.25">
      <c r="A193" s="66"/>
      <c r="B193" s="66"/>
      <c r="C193" s="66"/>
      <c r="D193" s="66"/>
      <c r="E193" s="66"/>
      <c r="F193" s="66"/>
    </row>
    <row r="194" spans="1:7" ht="17.25">
      <c r="B194" s="73"/>
      <c r="C194" s="1234" t="s">
        <v>3957</v>
      </c>
      <c r="D194" s="1234"/>
      <c r="E194" s="1234"/>
      <c r="F194" s="73"/>
    </row>
    <row r="195" spans="1:7" ht="17.25">
      <c r="A195" s="66"/>
      <c r="B195" s="66"/>
      <c r="C195" s="66"/>
      <c r="D195" s="66"/>
      <c r="E195" s="66"/>
      <c r="F195" s="66"/>
    </row>
    <row r="196" spans="1:7" ht="34.5">
      <c r="A196" s="69" t="s">
        <v>3955</v>
      </c>
      <c r="B196" s="69">
        <v>3</v>
      </c>
      <c r="C196" s="72" t="s">
        <v>3956</v>
      </c>
      <c r="D196" s="69">
        <f>E32</f>
        <v>11.13</v>
      </c>
      <c r="E196" s="69" t="s">
        <v>1336</v>
      </c>
      <c r="F196" s="69">
        <f>D196*B196</f>
        <v>33.39</v>
      </c>
    </row>
    <row r="197" spans="1:7" ht="17.25">
      <c r="A197" s="69" t="s">
        <v>3955</v>
      </c>
      <c r="B197" s="69">
        <v>3</v>
      </c>
      <c r="C197" s="71" t="s">
        <v>3954</v>
      </c>
      <c r="D197" s="69">
        <f>E33</f>
        <v>42.55</v>
      </c>
      <c r="E197" s="69" t="s">
        <v>1336</v>
      </c>
      <c r="F197" s="69">
        <f>D197*B197</f>
        <v>127.65</v>
      </c>
    </row>
    <row r="198" spans="1:7" ht="17.25">
      <c r="A198" s="69"/>
      <c r="B198" s="69"/>
      <c r="C198" s="70"/>
      <c r="D198" s="69"/>
      <c r="E198" s="69"/>
      <c r="F198" s="69"/>
    </row>
    <row r="199" spans="1:7" ht="17.25">
      <c r="A199" s="69"/>
      <c r="B199" s="69"/>
      <c r="C199" s="70" t="s">
        <v>3953</v>
      </c>
      <c r="D199" s="69"/>
      <c r="E199" s="69"/>
      <c r="F199" s="68">
        <f>SUM(F196:F198)</f>
        <v>161.04</v>
      </c>
    </row>
    <row r="200" spans="1:7" ht="17.25">
      <c r="A200" s="66"/>
      <c r="B200" s="66"/>
      <c r="C200" s="66"/>
      <c r="E200" s="66"/>
      <c r="F200" s="66"/>
      <c r="G200" s="66"/>
    </row>
    <row r="201" spans="1:7" ht="17.25">
      <c r="A201" s="66"/>
      <c r="B201" s="66"/>
      <c r="C201" s="66"/>
      <c r="E201" s="66"/>
      <c r="F201" s="66"/>
      <c r="G201" s="66"/>
    </row>
    <row r="202" spans="1:7">
      <c r="A202" s="9"/>
      <c r="C202" s="1"/>
    </row>
    <row r="203" spans="1:7" ht="17.25">
      <c r="A203" s="1227" t="s">
        <v>3971</v>
      </c>
      <c r="B203" s="1227"/>
      <c r="C203" s="1227"/>
      <c r="D203" s="1227"/>
      <c r="E203" s="1227"/>
      <c r="F203" s="1227"/>
    </row>
    <row r="204" spans="1:7" ht="17.25">
      <c r="A204" s="1227"/>
      <c r="B204" s="1227"/>
      <c r="C204" s="1227"/>
      <c r="D204" s="1227"/>
      <c r="E204" s="1227"/>
      <c r="F204" s="1227"/>
    </row>
    <row r="205" spans="1:7" ht="17.25">
      <c r="A205" s="1228" t="s">
        <v>4126</v>
      </c>
      <c r="B205" s="1228"/>
      <c r="C205" s="1228"/>
      <c r="D205" s="1228"/>
      <c r="E205" s="1228"/>
      <c r="F205" s="1228"/>
    </row>
    <row r="206" spans="1:7" ht="17.25">
      <c r="A206" s="1229" t="s">
        <v>3969</v>
      </c>
      <c r="B206" s="1229"/>
      <c r="C206" s="1229"/>
      <c r="D206" s="1229"/>
      <c r="E206" s="1229"/>
      <c r="F206" s="66"/>
    </row>
    <row r="207" spans="1:7" ht="17.25">
      <c r="A207" s="66"/>
      <c r="B207" s="66"/>
      <c r="C207" s="66"/>
      <c r="D207" s="66"/>
      <c r="E207" s="66"/>
      <c r="F207" s="66"/>
    </row>
    <row r="208" spans="1:7" ht="19.5">
      <c r="B208" s="84"/>
      <c r="C208" s="1230" t="s">
        <v>4130</v>
      </c>
      <c r="D208" s="1230"/>
      <c r="E208" s="1230"/>
      <c r="F208" s="84"/>
      <c r="G208" s="2" t="s">
        <v>2142</v>
      </c>
    </row>
    <row r="209" spans="1:13" ht="20.25">
      <c r="A209" s="83"/>
      <c r="B209" s="1231" t="s">
        <v>5300</v>
      </c>
      <c r="C209" s="1231"/>
      <c r="D209" s="1231"/>
      <c r="E209" s="1231"/>
      <c r="F209" s="1231"/>
      <c r="G209" s="5">
        <f>3.14*0.23*0.23*2.5/4</f>
        <v>0.104</v>
      </c>
    </row>
    <row r="210" spans="1:13" ht="17.25">
      <c r="A210" s="75"/>
      <c r="B210" s="75"/>
      <c r="C210" s="82" t="s">
        <v>5299</v>
      </c>
      <c r="D210" s="75"/>
      <c r="E210" s="75"/>
      <c r="F210" s="75"/>
    </row>
    <row r="211" spans="1:13" ht="17.25">
      <c r="A211" s="77">
        <f>G209</f>
        <v>0.104</v>
      </c>
      <c r="B211" s="75" t="s">
        <v>2142</v>
      </c>
      <c r="C211" s="75" t="str">
        <f>C173</f>
        <v>Standardised concrete  mix using M 30 Grade concrete in (F&amp;B)</v>
      </c>
      <c r="D211" s="66"/>
      <c r="E211" s="76">
        <f>E173</f>
        <v>8669.4500000000007</v>
      </c>
      <c r="F211" s="76">
        <f>A211*E211</f>
        <v>901.62</v>
      </c>
    </row>
    <row r="212" spans="1:13" ht="17.25">
      <c r="A212" s="81">
        <f>A211*10/100</f>
        <v>1.04E-2</v>
      </c>
      <c r="B212" s="75" t="s">
        <v>525</v>
      </c>
      <c r="C212" s="75" t="str">
        <f>C174</f>
        <v>Bentonite (10% concrete volume)(PWD SR 2021-22,p-37)</v>
      </c>
      <c r="D212" s="66"/>
      <c r="E212" s="76">
        <f>E174</f>
        <v>6050</v>
      </c>
      <c r="F212" s="76">
        <f>A212*E212</f>
        <v>62.92</v>
      </c>
      <c r="J212" s="11"/>
    </row>
    <row r="213" spans="1:13" ht="17.25">
      <c r="A213" s="76">
        <v>8</v>
      </c>
      <c r="B213" s="75" t="s">
        <v>823</v>
      </c>
      <c r="C213" s="75" t="s">
        <v>2633</v>
      </c>
      <c r="D213" s="66"/>
      <c r="E213" s="76">
        <f>E175</f>
        <v>960</v>
      </c>
      <c r="F213" s="76">
        <f>A213*E213</f>
        <v>7680</v>
      </c>
      <c r="J213" s="11"/>
    </row>
    <row r="214" spans="1:13" ht="17.25">
      <c r="A214" s="75"/>
      <c r="B214" s="75"/>
      <c r="C214" s="75"/>
      <c r="D214" s="66"/>
      <c r="E214" s="75"/>
      <c r="F214" s="75"/>
    </row>
    <row r="215" spans="1:13" ht="17.25">
      <c r="A215" s="75"/>
      <c r="B215" s="75"/>
      <c r="C215" s="75" t="s">
        <v>3965</v>
      </c>
      <c r="D215" s="66"/>
      <c r="E215" s="75"/>
      <c r="F215" s="76">
        <f>SUM(F211:F214)</f>
        <v>8644.5400000000009</v>
      </c>
    </row>
    <row r="216" spans="1:13" ht="17.25">
      <c r="A216" s="75"/>
      <c r="B216" s="75"/>
      <c r="C216" s="75" t="s">
        <v>1631</v>
      </c>
      <c r="D216" s="66"/>
      <c r="E216" s="75"/>
      <c r="F216" s="76">
        <f>F215/8</f>
        <v>1080.57</v>
      </c>
    </row>
    <row r="217" spans="1:13" ht="17.25">
      <c r="A217" s="75"/>
      <c r="B217" s="75"/>
      <c r="C217" s="75" t="s">
        <v>3964</v>
      </c>
      <c r="D217" s="66"/>
      <c r="E217" s="75"/>
      <c r="F217" s="75">
        <f>1000/8</f>
        <v>125</v>
      </c>
    </row>
    <row r="218" spans="1:13" ht="17.25">
      <c r="A218" s="75"/>
      <c r="B218" s="75"/>
      <c r="C218" s="75"/>
      <c r="D218" s="66"/>
      <c r="E218" s="75"/>
      <c r="F218" s="75"/>
    </row>
    <row r="219" spans="1:13" ht="17.25">
      <c r="A219" s="75"/>
      <c r="B219" s="75"/>
      <c r="C219" s="75" t="s">
        <v>1631</v>
      </c>
      <c r="D219" s="66"/>
      <c r="E219" s="75"/>
      <c r="F219" s="74">
        <f>SUM(F216:F218)</f>
        <v>1205.57</v>
      </c>
      <c r="M219" s="11"/>
    </row>
    <row r="220" spans="1:13" ht="17.25">
      <c r="A220" s="75"/>
      <c r="B220" s="75"/>
      <c r="C220" s="75" t="s">
        <v>3963</v>
      </c>
      <c r="D220" s="75"/>
      <c r="E220" s="75"/>
      <c r="F220" s="75"/>
    </row>
    <row r="221" spans="1:13" ht="17.25">
      <c r="A221" s="75"/>
      <c r="B221" s="75"/>
      <c r="C221" s="75"/>
      <c r="D221" s="75"/>
      <c r="E221" s="75"/>
      <c r="F221" s="75"/>
      <c r="J221" s="51"/>
      <c r="L221" s="54"/>
      <c r="M221" s="54"/>
    </row>
    <row r="222" spans="1:13" ht="17.25">
      <c r="A222" s="75"/>
      <c r="B222" s="75"/>
      <c r="C222" s="75"/>
      <c r="D222" s="75"/>
      <c r="E222" s="75"/>
      <c r="F222" s="75"/>
      <c r="J222" s="53"/>
      <c r="K222" s="11"/>
      <c r="L222" s="11"/>
      <c r="M222" s="11"/>
    </row>
    <row r="223" spans="1:13" ht="17.25">
      <c r="A223" s="80"/>
      <c r="B223" s="80"/>
      <c r="C223" s="1232" t="s">
        <v>3962</v>
      </c>
      <c r="D223" s="1232"/>
      <c r="E223" s="1232"/>
      <c r="F223" s="80"/>
      <c r="G223" s="11"/>
      <c r="J223" s="51"/>
      <c r="L223" s="51"/>
      <c r="M223" s="51"/>
    </row>
    <row r="224" spans="1:13" ht="20.25">
      <c r="A224" s="79"/>
      <c r="B224" s="1231" t="s">
        <v>4129</v>
      </c>
      <c r="C224" s="1231"/>
      <c r="D224" s="1231"/>
      <c r="E224" s="1231"/>
      <c r="F224" s="1231"/>
      <c r="G224" s="5">
        <f>3.14*0.23*0.23/4</f>
        <v>4.2000000000000003E-2</v>
      </c>
      <c r="L224" s="51"/>
      <c r="M224" s="51"/>
    </row>
    <row r="225" spans="1:13" ht="17.25">
      <c r="A225" s="75"/>
      <c r="B225" s="75"/>
      <c r="C225" s="78" t="s">
        <v>5220</v>
      </c>
      <c r="D225" s="75"/>
      <c r="E225" s="75"/>
      <c r="F225" s="75"/>
      <c r="J225" s="51"/>
      <c r="L225" s="11"/>
      <c r="M225" s="11"/>
    </row>
    <row r="226" spans="1:13" ht="17.25">
      <c r="A226" s="77">
        <f>G224</f>
        <v>4.2000000000000003E-2</v>
      </c>
      <c r="B226" s="75" t="s">
        <v>2142</v>
      </c>
      <c r="C226" s="75" t="s">
        <v>3959</v>
      </c>
      <c r="D226" s="66"/>
      <c r="E226" s="76">
        <f>E188</f>
        <v>6380</v>
      </c>
      <c r="F226" s="76">
        <f>A226*E226</f>
        <v>267.95999999999998</v>
      </c>
    </row>
    <row r="227" spans="1:13" ht="17.25">
      <c r="A227" s="77">
        <f>+A226</f>
        <v>4.2000000000000003E-2</v>
      </c>
      <c r="B227" s="75" t="s">
        <v>2142</v>
      </c>
      <c r="C227" s="1233" t="s">
        <v>3958</v>
      </c>
      <c r="D227" s="1233"/>
      <c r="E227" s="76">
        <f>E189</f>
        <v>55.65</v>
      </c>
      <c r="F227" s="76">
        <f>E227*A227</f>
        <v>2.34</v>
      </c>
    </row>
    <row r="228" spans="1:13" ht="17.25">
      <c r="A228" s="77">
        <f>+A227</f>
        <v>4.2000000000000003E-2</v>
      </c>
      <c r="B228" s="75" t="s">
        <v>2142</v>
      </c>
      <c r="C228" s="75" t="s">
        <v>3954</v>
      </c>
      <c r="D228" s="66"/>
      <c r="E228" s="76">
        <f>E190</f>
        <v>42.55</v>
      </c>
      <c r="F228" s="76">
        <f>A228*E228</f>
        <v>1.79</v>
      </c>
    </row>
    <row r="229" spans="1:13" ht="17.25">
      <c r="A229" s="76"/>
      <c r="B229" s="75"/>
      <c r="C229" s="75"/>
      <c r="D229" s="66"/>
      <c r="E229" s="76"/>
      <c r="F229" s="76"/>
    </row>
    <row r="230" spans="1:13" ht="17.25">
      <c r="A230" s="75"/>
      <c r="B230" s="75"/>
      <c r="C230" s="75" t="s">
        <v>1631</v>
      </c>
      <c r="D230" s="66"/>
      <c r="E230" s="75"/>
      <c r="F230" s="74">
        <f>SUM(F226:F229)</f>
        <v>272.08999999999997</v>
      </c>
    </row>
    <row r="231" spans="1:13" ht="17.25">
      <c r="A231" s="66"/>
      <c r="B231" s="66"/>
      <c r="C231" s="66"/>
      <c r="D231" s="66"/>
      <c r="E231" s="66"/>
      <c r="F231" s="66"/>
    </row>
    <row r="232" spans="1:13" ht="17.25">
      <c r="B232" s="73"/>
      <c r="C232" s="1234" t="s">
        <v>3957</v>
      </c>
      <c r="D232" s="1234"/>
      <c r="E232" s="1234"/>
      <c r="F232" s="73"/>
    </row>
    <row r="233" spans="1:13" ht="17.25">
      <c r="A233" s="66"/>
      <c r="B233" s="66"/>
      <c r="C233" s="66"/>
      <c r="D233" s="66"/>
      <c r="E233" s="66"/>
      <c r="F233" s="66"/>
    </row>
    <row r="234" spans="1:13" ht="34.5">
      <c r="A234" s="69" t="s">
        <v>3955</v>
      </c>
      <c r="B234" s="69">
        <v>3</v>
      </c>
      <c r="C234" s="72" t="s">
        <v>3956</v>
      </c>
      <c r="D234" s="69">
        <f>D196</f>
        <v>11.13</v>
      </c>
      <c r="E234" s="69" t="s">
        <v>1336</v>
      </c>
      <c r="F234" s="69">
        <f>D234*B234</f>
        <v>33.39</v>
      </c>
    </row>
    <row r="235" spans="1:13" ht="17.25">
      <c r="A235" s="69" t="s">
        <v>3955</v>
      </c>
      <c r="B235" s="69">
        <v>3</v>
      </c>
      <c r="C235" s="71" t="s">
        <v>3954</v>
      </c>
      <c r="D235" s="69">
        <f>D197</f>
        <v>42.55</v>
      </c>
      <c r="E235" s="69" t="s">
        <v>1336</v>
      </c>
      <c r="F235" s="69">
        <f>D235*B235</f>
        <v>127.65</v>
      </c>
    </row>
    <row r="236" spans="1:13" ht="17.25">
      <c r="A236" s="69"/>
      <c r="B236" s="69"/>
      <c r="C236" s="70"/>
      <c r="D236" s="69"/>
      <c r="E236" s="69"/>
      <c r="F236" s="69"/>
    </row>
    <row r="237" spans="1:13" ht="17.25">
      <c r="A237" s="69"/>
      <c r="B237" s="69"/>
      <c r="C237" s="70" t="s">
        <v>3953</v>
      </c>
      <c r="D237" s="69"/>
      <c r="E237" s="69"/>
      <c r="F237" s="68">
        <f>SUM(F234:F236)</f>
        <v>161.04</v>
      </c>
    </row>
    <row r="245" spans="1:7">
      <c r="C245" s="1"/>
    </row>
    <row r="246" spans="1:7" ht="17.25">
      <c r="A246" s="1227" t="s">
        <v>3971</v>
      </c>
      <c r="B246" s="1227"/>
      <c r="C246" s="1227"/>
      <c r="D246" s="1227"/>
      <c r="E246" s="1227"/>
      <c r="F246" s="1227"/>
    </row>
    <row r="247" spans="1:7" ht="17.25">
      <c r="A247" s="1227"/>
      <c r="B247" s="1227"/>
      <c r="C247" s="1227"/>
      <c r="D247" s="1227"/>
      <c r="E247" s="1227"/>
      <c r="F247" s="1227"/>
    </row>
    <row r="248" spans="1:7" ht="17.25">
      <c r="A248" s="1228" t="s">
        <v>4126</v>
      </c>
      <c r="B248" s="1228"/>
      <c r="C248" s="1228"/>
      <c r="D248" s="1228"/>
      <c r="E248" s="1228"/>
      <c r="F248" s="1228"/>
    </row>
    <row r="249" spans="1:7" ht="17.25">
      <c r="A249" s="1229" t="s">
        <v>3969</v>
      </c>
      <c r="B249" s="1229"/>
      <c r="C249" s="1229"/>
      <c r="D249" s="1229"/>
      <c r="E249" s="1229"/>
      <c r="F249" s="66"/>
    </row>
    <row r="250" spans="1:7" ht="17.25">
      <c r="A250" s="66"/>
      <c r="B250" s="66"/>
      <c r="C250" s="66"/>
      <c r="D250" s="66"/>
      <c r="E250" s="66"/>
      <c r="F250" s="66"/>
    </row>
    <row r="251" spans="1:7" ht="19.5">
      <c r="B251" s="84"/>
      <c r="C251" s="1230" t="s">
        <v>4130</v>
      </c>
      <c r="D251" s="1230"/>
      <c r="E251" s="1230"/>
      <c r="F251" s="84"/>
      <c r="G251" s="2" t="s">
        <v>2142</v>
      </c>
    </row>
    <row r="252" spans="1:7" ht="20.25">
      <c r="A252" s="83"/>
      <c r="B252" s="1231" t="s">
        <v>5301</v>
      </c>
      <c r="C252" s="1231"/>
      <c r="D252" s="1231"/>
      <c r="E252" s="1231"/>
      <c r="F252" s="1231"/>
      <c r="G252" s="5">
        <f>3.14*0.3*0.3*8/4</f>
        <v>0.56499999999999995</v>
      </c>
    </row>
    <row r="253" spans="1:7" ht="17.25">
      <c r="A253" s="75"/>
      <c r="B253" s="75"/>
      <c r="C253" s="82" t="s">
        <v>4133</v>
      </c>
      <c r="D253" s="75"/>
      <c r="E253" s="75"/>
      <c r="F253" s="75"/>
    </row>
    <row r="254" spans="1:7" ht="17.25">
      <c r="A254" s="77">
        <f>G252</f>
        <v>0.56499999999999995</v>
      </c>
      <c r="B254" s="75" t="s">
        <v>2142</v>
      </c>
      <c r="C254" s="76" t="str">
        <f>C173</f>
        <v>Standardised concrete  mix using M 30 Grade concrete in (F&amp;B)</v>
      </c>
      <c r="D254" s="76"/>
      <c r="E254" s="76">
        <f>E173</f>
        <v>8669.4500000000007</v>
      </c>
      <c r="F254" s="76">
        <f>A254*E254</f>
        <v>4898.24</v>
      </c>
    </row>
    <row r="255" spans="1:7" ht="17.25">
      <c r="A255" s="81">
        <f>A254*10/100</f>
        <v>5.6500000000000002E-2</v>
      </c>
      <c r="B255" s="75" t="s">
        <v>525</v>
      </c>
      <c r="C255" s="76" t="str">
        <f>C174</f>
        <v>Bentonite (10% concrete volume)(PWD SR 2021-22,p-37)</v>
      </c>
      <c r="D255" s="76"/>
      <c r="E255" s="76">
        <f>E174</f>
        <v>6050</v>
      </c>
      <c r="F255" s="76">
        <f>A255*E255</f>
        <v>341.83</v>
      </c>
    </row>
    <row r="256" spans="1:7" ht="17.25">
      <c r="A256" s="76">
        <v>8</v>
      </c>
      <c r="B256" s="75" t="s">
        <v>823</v>
      </c>
      <c r="C256" s="76" t="str">
        <f>C175</f>
        <v xml:space="preserve">Labour charges </v>
      </c>
      <c r="D256" s="76"/>
      <c r="E256" s="76">
        <f>E175</f>
        <v>960</v>
      </c>
      <c r="F256" s="76">
        <f>A256*E256</f>
        <v>7680</v>
      </c>
    </row>
    <row r="257" spans="1:7" ht="17.25">
      <c r="A257" s="75"/>
      <c r="B257" s="75"/>
      <c r="C257" s="75"/>
      <c r="D257" s="66"/>
      <c r="E257" s="76"/>
      <c r="F257" s="75"/>
    </row>
    <row r="258" spans="1:7" ht="17.25">
      <c r="A258" s="75"/>
      <c r="B258" s="75"/>
      <c r="C258" s="75" t="s">
        <v>3965</v>
      </c>
      <c r="D258" s="66"/>
      <c r="E258" s="76"/>
      <c r="F258" s="76">
        <f>SUM(F254:F257)</f>
        <v>12920.07</v>
      </c>
    </row>
    <row r="259" spans="1:7" ht="17.25">
      <c r="A259" s="75"/>
      <c r="B259" s="75"/>
      <c r="C259" s="75" t="s">
        <v>1631</v>
      </c>
      <c r="D259" s="66"/>
      <c r="E259" s="76"/>
      <c r="F259" s="76">
        <f>F258/7</f>
        <v>1845.72</v>
      </c>
    </row>
    <row r="260" spans="1:7" ht="17.25">
      <c r="A260" s="75"/>
      <c r="B260" s="75"/>
      <c r="C260" s="75" t="s">
        <v>3964</v>
      </c>
      <c r="D260" s="66"/>
      <c r="E260" s="76"/>
      <c r="F260" s="75">
        <f>1000/8</f>
        <v>125</v>
      </c>
    </row>
    <row r="261" spans="1:7" ht="17.25">
      <c r="A261" s="75"/>
      <c r="B261" s="75"/>
      <c r="C261" s="75"/>
      <c r="D261" s="66"/>
      <c r="E261" s="76"/>
      <c r="F261" s="75"/>
    </row>
    <row r="262" spans="1:7" ht="17.25">
      <c r="A262" s="75"/>
      <c r="B262" s="75"/>
      <c r="C262" s="75" t="s">
        <v>1631</v>
      </c>
      <c r="D262" s="66"/>
      <c r="E262" s="76"/>
      <c r="F262" s="74">
        <f>SUM(F259:F261)</f>
        <v>1970.72</v>
      </c>
    </row>
    <row r="263" spans="1:7" ht="17.25">
      <c r="A263" s="75"/>
      <c r="B263" s="75"/>
      <c r="C263" s="75" t="s">
        <v>3963</v>
      </c>
      <c r="D263" s="75"/>
      <c r="E263" s="76"/>
      <c r="F263" s="75"/>
    </row>
    <row r="264" spans="1:7" ht="17.25">
      <c r="A264" s="75"/>
      <c r="B264" s="75"/>
      <c r="C264" s="75"/>
      <c r="D264" s="75"/>
      <c r="E264" s="75"/>
      <c r="F264" s="75"/>
    </row>
    <row r="265" spans="1:7" ht="17.25">
      <c r="A265" s="75"/>
      <c r="B265" s="75"/>
      <c r="C265" s="75"/>
      <c r="D265" s="75"/>
      <c r="E265" s="75"/>
      <c r="F265" s="75"/>
    </row>
    <row r="266" spans="1:7" ht="17.25">
      <c r="A266" s="80"/>
      <c r="B266" s="80"/>
      <c r="C266" s="1232" t="s">
        <v>3962</v>
      </c>
      <c r="D266" s="1232"/>
      <c r="E266" s="1232"/>
      <c r="F266" s="80"/>
      <c r="G266" s="11"/>
    </row>
    <row r="267" spans="1:7" ht="20.25">
      <c r="A267" s="79"/>
      <c r="B267" s="1231" t="s">
        <v>5302</v>
      </c>
      <c r="C267" s="1231"/>
      <c r="D267" s="1231"/>
      <c r="E267" s="1231"/>
      <c r="F267" s="1231"/>
      <c r="G267" s="5">
        <f>3.14*0.3*0.3/4</f>
        <v>7.0999999999999994E-2</v>
      </c>
    </row>
    <row r="268" spans="1:7" ht="17.25">
      <c r="A268" s="75"/>
      <c r="B268" s="75"/>
      <c r="C268" s="78" t="s">
        <v>5220</v>
      </c>
      <c r="D268" s="75"/>
      <c r="E268" s="75"/>
      <c r="F268" s="75"/>
    </row>
    <row r="269" spans="1:7" ht="17.25">
      <c r="A269" s="77">
        <f>G267</f>
        <v>7.0999999999999994E-2</v>
      </c>
      <c r="B269" s="75" t="s">
        <v>2142</v>
      </c>
      <c r="C269" s="75" t="s">
        <v>3959</v>
      </c>
      <c r="D269" s="66"/>
      <c r="E269" s="76">
        <f>E188</f>
        <v>6380</v>
      </c>
      <c r="F269" s="76">
        <f>A269*E269</f>
        <v>452.98</v>
      </c>
    </row>
    <row r="270" spans="1:7" ht="17.25">
      <c r="A270" s="77">
        <f>+A269</f>
        <v>7.0999999999999994E-2</v>
      </c>
      <c r="B270" s="75" t="s">
        <v>2142</v>
      </c>
      <c r="C270" s="1233" t="s">
        <v>3958</v>
      </c>
      <c r="D270" s="1233"/>
      <c r="E270" s="76">
        <f>E189</f>
        <v>55.65</v>
      </c>
      <c r="F270" s="76">
        <f>E270*A270</f>
        <v>3.95</v>
      </c>
    </row>
    <row r="271" spans="1:7" ht="17.25">
      <c r="A271" s="77">
        <f>+A270</f>
        <v>7.0999999999999994E-2</v>
      </c>
      <c r="B271" s="75" t="s">
        <v>2142</v>
      </c>
      <c r="C271" s="75" t="s">
        <v>3954</v>
      </c>
      <c r="D271" s="66"/>
      <c r="E271" s="76">
        <f>E190</f>
        <v>42.55</v>
      </c>
      <c r="F271" s="76">
        <f>A271*E271</f>
        <v>3.02</v>
      </c>
    </row>
    <row r="272" spans="1:7" ht="17.25">
      <c r="A272" s="76"/>
      <c r="B272" s="75"/>
      <c r="C272" s="75"/>
      <c r="D272" s="66"/>
      <c r="E272" s="76"/>
      <c r="F272" s="76"/>
    </row>
    <row r="273" spans="1:6" ht="17.25">
      <c r="A273" s="75"/>
      <c r="B273" s="75"/>
      <c r="C273" s="75" t="s">
        <v>1631</v>
      </c>
      <c r="D273" s="66"/>
      <c r="E273" s="75"/>
      <c r="F273" s="74">
        <f>SUM(F269:F272)</f>
        <v>459.95</v>
      </c>
    </row>
    <row r="274" spans="1:6" ht="17.25">
      <c r="A274" s="66"/>
      <c r="B274" s="66"/>
      <c r="C274" s="66"/>
      <c r="D274" s="66"/>
      <c r="E274" s="66"/>
      <c r="F274" s="66"/>
    </row>
    <row r="275" spans="1:6" ht="17.25">
      <c r="B275" s="73"/>
      <c r="C275" s="1234" t="s">
        <v>3957</v>
      </c>
      <c r="D275" s="1234"/>
      <c r="E275" s="1234"/>
      <c r="F275" s="73"/>
    </row>
    <row r="276" spans="1:6" ht="17.25">
      <c r="A276" s="66"/>
      <c r="B276" s="66"/>
      <c r="C276" s="66"/>
      <c r="D276" s="66"/>
      <c r="E276" s="66"/>
      <c r="F276" s="66"/>
    </row>
    <row r="277" spans="1:6" ht="34.5">
      <c r="A277" s="69" t="s">
        <v>3955</v>
      </c>
      <c r="B277" s="69">
        <v>3</v>
      </c>
      <c r="C277" s="72" t="s">
        <v>3956</v>
      </c>
      <c r="D277" s="147">
        <f>D196</f>
        <v>11.13</v>
      </c>
      <c r="E277" s="69" t="s">
        <v>1336</v>
      </c>
      <c r="F277" s="69">
        <f>D277*B277</f>
        <v>33.39</v>
      </c>
    </row>
    <row r="278" spans="1:6" ht="17.25">
      <c r="A278" s="69" t="s">
        <v>3955</v>
      </c>
      <c r="B278" s="69">
        <v>3</v>
      </c>
      <c r="C278" s="71" t="s">
        <v>3954</v>
      </c>
      <c r="D278" s="147">
        <f>D197</f>
        <v>42.55</v>
      </c>
      <c r="E278" s="69" t="s">
        <v>1336</v>
      </c>
      <c r="F278" s="69">
        <f>D278*B278</f>
        <v>127.65</v>
      </c>
    </row>
    <row r="279" spans="1:6" ht="17.25">
      <c r="A279" s="69"/>
      <c r="B279" s="69"/>
      <c r="C279" s="70"/>
      <c r="D279" s="147"/>
      <c r="E279" s="69"/>
      <c r="F279" s="69"/>
    </row>
    <row r="280" spans="1:6" ht="17.25">
      <c r="A280" s="69"/>
      <c r="B280" s="69"/>
      <c r="C280" s="70" t="s">
        <v>3953</v>
      </c>
      <c r="D280" s="69"/>
      <c r="E280" s="69"/>
      <c r="F280" s="68">
        <f>SUM(F277:F279)</f>
        <v>161.04</v>
      </c>
    </row>
  </sheetData>
  <mergeCells count="60">
    <mergeCell ref="C21:E21"/>
    <mergeCell ref="B22:F22"/>
    <mergeCell ref="C25:D25"/>
    <mergeCell ref="C30:E30"/>
    <mergeCell ref="A1:F1"/>
    <mergeCell ref="A2:F2"/>
    <mergeCell ref="A3:F3"/>
    <mergeCell ref="A4:E4"/>
    <mergeCell ref="C6:E6"/>
    <mergeCell ref="B7:F7"/>
    <mergeCell ref="A126:F126"/>
    <mergeCell ref="A65:F65"/>
    <mergeCell ref="A66:F66"/>
    <mergeCell ref="A67:F67"/>
    <mergeCell ref="A68:E68"/>
    <mergeCell ref="C70:E70"/>
    <mergeCell ref="B71:F71"/>
    <mergeCell ref="C85:E85"/>
    <mergeCell ref="B86:F86"/>
    <mergeCell ref="C89:D89"/>
    <mergeCell ref="C94:E94"/>
    <mergeCell ref="A125:F125"/>
    <mergeCell ref="C149:D149"/>
    <mergeCell ref="C154:E154"/>
    <mergeCell ref="A127:F127"/>
    <mergeCell ref="A128:E128"/>
    <mergeCell ref="C130:E130"/>
    <mergeCell ref="B131:F131"/>
    <mergeCell ref="C145:E145"/>
    <mergeCell ref="B146:F146"/>
    <mergeCell ref="C185:E185"/>
    <mergeCell ref="B186:F186"/>
    <mergeCell ref="C189:D189"/>
    <mergeCell ref="C194:E194"/>
    <mergeCell ref="A165:F165"/>
    <mergeCell ref="A166:F166"/>
    <mergeCell ref="A167:F167"/>
    <mergeCell ref="A168:E168"/>
    <mergeCell ref="C170:E170"/>
    <mergeCell ref="B171:F171"/>
    <mergeCell ref="C223:E223"/>
    <mergeCell ref="B224:F224"/>
    <mergeCell ref="C227:D227"/>
    <mergeCell ref="C232:E232"/>
    <mergeCell ref="A203:F203"/>
    <mergeCell ref="A204:F204"/>
    <mergeCell ref="A205:F205"/>
    <mergeCell ref="A206:E206"/>
    <mergeCell ref="C208:E208"/>
    <mergeCell ref="B209:F209"/>
    <mergeCell ref="C266:E266"/>
    <mergeCell ref="B267:F267"/>
    <mergeCell ref="C270:D270"/>
    <mergeCell ref="C275:E275"/>
    <mergeCell ref="A246:F246"/>
    <mergeCell ref="A247:F247"/>
    <mergeCell ref="A248:F248"/>
    <mergeCell ref="A249:E249"/>
    <mergeCell ref="C251:E251"/>
    <mergeCell ref="B252:F252"/>
  </mergeCells>
  <pageMargins left="1.0900000000000001" right="0.43" top="0.75" bottom="0.52" header="0.3" footer="0.3"/>
  <pageSetup paperSize="9" scale="70" orientation="portrait" verticalDpi="300" r:id="rId1"/>
  <rowBreaks count="1" manualBreakCount="1">
    <brk id="61" max="7" man="1"/>
  </row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syncVertical="1" syncRef="F2975" transitionEvaluation="1"/>
  <dimension ref="A1:AK8296"/>
  <sheetViews>
    <sheetView view="pageBreakPreview" topLeftCell="F2975" zoomScale="87" zoomScaleNormal="60" zoomScaleSheetLayoutView="87" workbookViewId="0">
      <selection activeCell="F2840" sqref="F2840:K2988"/>
    </sheetView>
  </sheetViews>
  <sheetFormatPr defaultColWidth="7.44140625" defaultRowHeight="15.75"/>
  <cols>
    <col min="1" max="1" width="7.77734375" style="252" hidden="1" customWidth="1"/>
    <col min="2" max="2" width="45.77734375" style="252" hidden="1" customWidth="1"/>
    <col min="3" max="3" width="11.77734375" style="252" hidden="1" customWidth="1"/>
    <col min="4" max="4" width="9.77734375" style="252" hidden="1" customWidth="1"/>
    <col min="5" max="5" width="9.21875" style="252" hidden="1" customWidth="1"/>
    <col min="6" max="6" width="8.88671875" style="252" customWidth="1"/>
    <col min="7" max="7" width="6.5546875" style="252" customWidth="1"/>
    <col min="8" max="8" width="48.6640625" style="252" customWidth="1"/>
    <col min="9" max="9" width="10" style="252" customWidth="1"/>
    <col min="10" max="10" width="11.44140625" style="253" customWidth="1"/>
    <col min="11" max="11" width="11.33203125" style="252" customWidth="1"/>
    <col min="12" max="12" width="9.77734375" style="252" customWidth="1"/>
    <col min="13" max="13" width="9.44140625" style="252" customWidth="1"/>
    <col min="14" max="14" width="10.109375" style="252" bestFit="1" customWidth="1"/>
    <col min="15" max="15" width="32.77734375" style="252" customWidth="1"/>
    <col min="16" max="16" width="12.109375" style="252" customWidth="1"/>
    <col min="17" max="17" width="7.77734375" style="252" customWidth="1"/>
    <col min="18" max="18" width="10.77734375" style="252" customWidth="1"/>
    <col min="19" max="19" width="9.6640625" style="252" bestFit="1" customWidth="1"/>
    <col min="20" max="20" width="7.77734375" style="252" customWidth="1"/>
    <col min="21" max="21" width="49.77734375" style="252" customWidth="1"/>
    <col min="22" max="22" width="7.77734375" style="252" hidden="1" customWidth="1"/>
    <col min="23" max="23" width="16.77734375" style="252" hidden="1" customWidth="1"/>
    <col min="24" max="24" width="9.109375" style="252" customWidth="1"/>
    <col min="25" max="25" width="11.33203125" style="252" bestFit="1" customWidth="1"/>
    <col min="26" max="26" width="9.6640625" style="252" customWidth="1"/>
    <col min="27" max="27" width="8.6640625" style="252" customWidth="1"/>
    <col min="28" max="28" width="9.6640625" style="252" customWidth="1"/>
    <col min="29" max="29" width="10.6640625" style="252" customWidth="1"/>
    <col min="30" max="30" width="23.21875" style="252" customWidth="1"/>
    <col min="31" max="31" width="8.77734375" style="252" customWidth="1"/>
    <col min="32" max="32" width="8.109375" style="252" bestFit="1" customWidth="1"/>
    <col min="33" max="33" width="9" style="252" customWidth="1"/>
    <col min="34" max="34" width="8.77734375" style="252" customWidth="1"/>
    <col min="35" max="35" width="8" style="252" bestFit="1" customWidth="1"/>
    <col min="36" max="36" width="7.5546875" style="252" bestFit="1" customWidth="1"/>
    <col min="37" max="37" width="8" style="252" bestFit="1" customWidth="1"/>
    <col min="38" max="16384" width="7.44140625" style="252"/>
  </cols>
  <sheetData>
    <row r="1" spans="1:37" ht="20.25" hidden="1">
      <c r="A1" s="296" t="s">
        <v>971</v>
      </c>
      <c r="B1" s="253" t="s">
        <v>2045</v>
      </c>
      <c r="E1" s="296" t="s">
        <v>971</v>
      </c>
      <c r="H1" s="296" t="s">
        <v>245</v>
      </c>
      <c r="O1" s="296" t="s">
        <v>245</v>
      </c>
      <c r="U1" s="658" t="s">
        <v>2045</v>
      </c>
      <c r="V1" s="296" t="s">
        <v>246</v>
      </c>
      <c r="W1" s="296" t="s">
        <v>971</v>
      </c>
    </row>
    <row r="2" spans="1:37" hidden="1">
      <c r="B2" s="358" t="s">
        <v>2046</v>
      </c>
      <c r="E2" s="296" t="s">
        <v>971</v>
      </c>
      <c r="H2" s="253" t="s">
        <v>649</v>
      </c>
      <c r="O2" s="253" t="s">
        <v>649</v>
      </c>
      <c r="U2" s="358" t="s">
        <v>2046</v>
      </c>
    </row>
    <row r="3" spans="1:37" hidden="1">
      <c r="A3" s="296" t="s">
        <v>1578</v>
      </c>
      <c r="B3" s="367" t="s">
        <v>2464</v>
      </c>
      <c r="C3" s="296" t="s">
        <v>2465</v>
      </c>
      <c r="E3" s="296" t="s">
        <v>971</v>
      </c>
      <c r="F3" s="407" t="s">
        <v>1578</v>
      </c>
      <c r="G3" s="252" t="s">
        <v>971</v>
      </c>
      <c r="H3" s="252" t="str">
        <f>B3</f>
        <v>Madurai TSp VIth Bn under 4000 quarters Scheme.</v>
      </c>
      <c r="J3" s="253" t="str">
        <f>C3</f>
        <v>2006-2007</v>
      </c>
      <c r="M3" s="296" t="s">
        <v>1578</v>
      </c>
      <c r="N3" s="296" t="s">
        <v>971</v>
      </c>
      <c r="O3" s="252" t="str">
        <f>B3</f>
        <v>Madurai TSp VIth Bn under 4000 quarters Scheme.</v>
      </c>
      <c r="Q3" s="252" t="str">
        <f>C3</f>
        <v>2006-2007</v>
      </c>
      <c r="T3" s="296" t="s">
        <v>1578</v>
      </c>
      <c r="U3" s="252" t="str">
        <f>B3</f>
        <v>Madurai TSp VIth Bn under 4000 quarters Scheme.</v>
      </c>
      <c r="W3" s="274" t="str">
        <f>C3</f>
        <v>2006-2007</v>
      </c>
      <c r="AA3" s="296" t="s">
        <v>971</v>
      </c>
    </row>
    <row r="4" spans="1:37" hidden="1">
      <c r="F4" s="358" t="s">
        <v>1579</v>
      </c>
      <c r="G4" s="358" t="s">
        <v>1579</v>
      </c>
      <c r="H4" s="358" t="s">
        <v>1579</v>
      </c>
      <c r="I4" s="358" t="s">
        <v>1579</v>
      </c>
      <c r="J4" s="358" t="s">
        <v>1579</v>
      </c>
      <c r="K4" s="358" t="s">
        <v>1579</v>
      </c>
      <c r="M4" s="358" t="s">
        <v>1579</v>
      </c>
      <c r="N4" s="358" t="s">
        <v>1579</v>
      </c>
      <c r="O4" s="358" t="s">
        <v>1579</v>
      </c>
      <c r="P4" s="358" t="s">
        <v>1579</v>
      </c>
      <c r="Q4" s="358" t="s">
        <v>1579</v>
      </c>
      <c r="R4" s="358" t="s">
        <v>1579</v>
      </c>
      <c r="U4" s="296" t="s">
        <v>971</v>
      </c>
      <c r="W4" s="296" t="s">
        <v>971</v>
      </c>
      <c r="X4" s="296" t="s">
        <v>246</v>
      </c>
      <c r="Y4" s="296" t="s">
        <v>971</v>
      </c>
      <c r="AC4" s="296" t="s">
        <v>971</v>
      </c>
      <c r="AG4" s="296" t="s">
        <v>1580</v>
      </c>
    </row>
    <row r="5" spans="1:37" hidden="1">
      <c r="A5" s="358" t="s">
        <v>1579</v>
      </c>
      <c r="B5" s="358" t="s">
        <v>1579</v>
      </c>
      <c r="C5" s="358" t="s">
        <v>1579</v>
      </c>
      <c r="D5" s="358" t="s">
        <v>1579</v>
      </c>
      <c r="E5" s="296" t="s">
        <v>971</v>
      </c>
      <c r="F5" s="407" t="s">
        <v>1581</v>
      </c>
      <c r="G5" s="252" t="s">
        <v>971</v>
      </c>
      <c r="H5" s="253" t="s">
        <v>1582</v>
      </c>
      <c r="I5" s="253" t="s">
        <v>1583</v>
      </c>
      <c r="J5" s="253" t="s">
        <v>1584</v>
      </c>
      <c r="K5" s="253" t="s">
        <v>1585</v>
      </c>
      <c r="M5" s="253" t="s">
        <v>1581</v>
      </c>
      <c r="N5" s="296" t="s">
        <v>971</v>
      </c>
      <c r="O5" s="253" t="s">
        <v>1582</v>
      </c>
      <c r="P5" s="253" t="s">
        <v>1583</v>
      </c>
      <c r="Q5" s="253" t="s">
        <v>1584</v>
      </c>
      <c r="R5" s="253" t="s">
        <v>1585</v>
      </c>
      <c r="T5" s="358" t="s">
        <v>1579</v>
      </c>
      <c r="U5" s="358" t="s">
        <v>1579</v>
      </c>
      <c r="V5" s="358" t="s">
        <v>1579</v>
      </c>
      <c r="W5" s="358" t="s">
        <v>1579</v>
      </c>
      <c r="X5" s="358" t="s">
        <v>1579</v>
      </c>
      <c r="Y5" s="358" t="s">
        <v>1579</v>
      </c>
      <c r="Z5" s="358" t="s">
        <v>1579</v>
      </c>
      <c r="AA5" s="358" t="s">
        <v>1579</v>
      </c>
      <c r="AB5" s="358" t="s">
        <v>1579</v>
      </c>
      <c r="AC5" s="358" t="s">
        <v>1579</v>
      </c>
      <c r="AD5" s="358" t="s">
        <v>1579</v>
      </c>
      <c r="AE5" s="358" t="s">
        <v>1579</v>
      </c>
    </row>
    <row r="6" spans="1:37" hidden="1">
      <c r="A6" s="296" t="s">
        <v>691</v>
      </c>
      <c r="B6" s="296" t="s">
        <v>1582</v>
      </c>
      <c r="C6" s="296" t="s">
        <v>1583</v>
      </c>
      <c r="D6" s="296" t="s">
        <v>1584</v>
      </c>
      <c r="F6" s="358" t="s">
        <v>1579</v>
      </c>
      <c r="G6" s="358" t="s">
        <v>1579</v>
      </c>
      <c r="H6" s="358" t="s">
        <v>1579</v>
      </c>
      <c r="I6" s="358" t="s">
        <v>1579</v>
      </c>
      <c r="J6" s="358" t="s">
        <v>1579</v>
      </c>
      <c r="K6" s="358" t="s">
        <v>1579</v>
      </c>
      <c r="M6" s="358" t="s">
        <v>1579</v>
      </c>
      <c r="N6" s="358" t="s">
        <v>1579</v>
      </c>
      <c r="O6" s="358" t="s">
        <v>1579</v>
      </c>
      <c r="P6" s="358" t="s">
        <v>1579</v>
      </c>
      <c r="Q6" s="358" t="s">
        <v>1579</v>
      </c>
      <c r="R6" s="358" t="s">
        <v>1579</v>
      </c>
      <c r="T6" s="253" t="s">
        <v>691</v>
      </c>
      <c r="U6" s="253" t="s">
        <v>55</v>
      </c>
      <c r="V6" s="253" t="s">
        <v>2233</v>
      </c>
      <c r="W6" s="253" t="s">
        <v>2234</v>
      </c>
      <c r="X6" s="253" t="s">
        <v>2235</v>
      </c>
      <c r="Y6" s="253" t="s">
        <v>2236</v>
      </c>
      <c r="Z6" s="253" t="s">
        <v>2237</v>
      </c>
      <c r="AA6" s="296" t="s">
        <v>2466</v>
      </c>
      <c r="AB6" s="296" t="s">
        <v>2238</v>
      </c>
      <c r="AC6" s="296" t="s">
        <v>2239</v>
      </c>
      <c r="AD6" s="253" t="s">
        <v>2240</v>
      </c>
      <c r="AG6" s="252">
        <f>135*1.1</f>
        <v>148.5</v>
      </c>
    </row>
    <row r="7" spans="1:37" hidden="1">
      <c r="A7" s="358" t="s">
        <v>1579</v>
      </c>
      <c r="B7" s="358" t="s">
        <v>1579</v>
      </c>
      <c r="C7" s="358" t="s">
        <v>1579</v>
      </c>
      <c r="D7" s="358" t="s">
        <v>1579</v>
      </c>
      <c r="G7" s="252" t="s">
        <v>2241</v>
      </c>
      <c r="H7" s="296" t="s">
        <v>2242</v>
      </c>
      <c r="O7" s="296" t="s">
        <v>2243</v>
      </c>
      <c r="X7" s="253" t="s">
        <v>2244</v>
      </c>
      <c r="Y7" s="253" t="s">
        <v>2239</v>
      </c>
      <c r="Z7" s="253" t="s">
        <v>2245</v>
      </c>
      <c r="AA7" s="296" t="s">
        <v>2467</v>
      </c>
      <c r="AB7" s="296" t="s">
        <v>2246</v>
      </c>
      <c r="AC7" s="296" t="s">
        <v>2247</v>
      </c>
    </row>
    <row r="8" spans="1:37" hidden="1">
      <c r="B8" s="296" t="s">
        <v>2248</v>
      </c>
      <c r="H8" s="358" t="s">
        <v>1579</v>
      </c>
      <c r="O8" s="358" t="s">
        <v>1579</v>
      </c>
      <c r="T8" s="358" t="s">
        <v>1579</v>
      </c>
      <c r="U8" s="358" t="s">
        <v>1579</v>
      </c>
      <c r="V8" s="358" t="s">
        <v>1579</v>
      </c>
      <c r="W8" s="358" t="s">
        <v>1579</v>
      </c>
      <c r="X8" s="358" t="s">
        <v>1579</v>
      </c>
      <c r="Y8" s="358" t="s">
        <v>1579</v>
      </c>
      <c r="Z8" s="358" t="s">
        <v>1579</v>
      </c>
      <c r="AA8" s="358" t="s">
        <v>1579</v>
      </c>
      <c r="AB8" s="358" t="s">
        <v>1579</v>
      </c>
      <c r="AC8" s="358" t="s">
        <v>1579</v>
      </c>
      <c r="AD8" s="358" t="s">
        <v>1579</v>
      </c>
      <c r="AE8" s="358" t="s">
        <v>1579</v>
      </c>
      <c r="AG8" s="296" t="s">
        <v>2249</v>
      </c>
      <c r="AI8" s="252">
        <v>148.5</v>
      </c>
      <c r="AJ8" s="252">
        <v>1.1000000000000001</v>
      </c>
      <c r="AK8" s="252">
        <f t="shared" ref="AK8:AK36" si="0">AI8*AJ8</f>
        <v>163.35</v>
      </c>
    </row>
    <row r="9" spans="1:37" hidden="1">
      <c r="B9" s="296" t="s">
        <v>857</v>
      </c>
      <c r="F9" s="252">
        <v>0.96</v>
      </c>
      <c r="G9" s="252" t="s">
        <v>858</v>
      </c>
      <c r="H9" s="296" t="s">
        <v>859</v>
      </c>
      <c r="I9" s="252">
        <f>(C67)</f>
        <v>3800</v>
      </c>
      <c r="J9" s="253" t="s">
        <v>858</v>
      </c>
      <c r="K9" s="252">
        <f>(F9*I9)</f>
        <v>3648</v>
      </c>
      <c r="M9" s="252">
        <v>0.5</v>
      </c>
      <c r="N9" s="296" t="s">
        <v>858</v>
      </c>
      <c r="O9" s="296" t="s">
        <v>860</v>
      </c>
      <c r="P9" s="252" t="e">
        <f>(C85)</f>
        <v>#REF!</v>
      </c>
      <c r="Q9" s="296" t="s">
        <v>858</v>
      </c>
      <c r="R9" s="252" t="e">
        <f>(M9*P9)</f>
        <v>#REF!</v>
      </c>
      <c r="T9" s="253" t="s">
        <v>861</v>
      </c>
      <c r="U9" s="296" t="s">
        <v>862</v>
      </c>
      <c r="V9" s="296" t="s">
        <v>863</v>
      </c>
      <c r="W9" s="296" t="s">
        <v>2468</v>
      </c>
      <c r="X9" s="252" t="e">
        <f>#REF!</f>
        <v>#REF!</v>
      </c>
      <c r="Y9" s="252">
        <v>200</v>
      </c>
      <c r="Z9" s="252" t="e">
        <f>#REF!</f>
        <v>#REF!</v>
      </c>
      <c r="AA9" s="253">
        <v>0</v>
      </c>
      <c r="AB9" s="296">
        <v>0</v>
      </c>
      <c r="AC9" s="296" t="e">
        <f t="shared" ref="AC9:AC30" si="1">SUM(Y9+Z9+AA9+AB9)</f>
        <v>#REF!</v>
      </c>
      <c r="AD9" s="296" t="s">
        <v>2495</v>
      </c>
      <c r="AE9" s="252">
        <v>150</v>
      </c>
      <c r="AI9" s="252">
        <v>126.5</v>
      </c>
      <c r="AJ9" s="252">
        <v>1.1000000000000001</v>
      </c>
      <c r="AK9" s="252">
        <f t="shared" si="0"/>
        <v>139.15</v>
      </c>
    </row>
    <row r="10" spans="1:37" ht="15" hidden="1" customHeight="1">
      <c r="A10" s="437">
        <v>1</v>
      </c>
      <c r="B10" s="296" t="s">
        <v>864</v>
      </c>
      <c r="C10" s="252">
        <f>AE9</f>
        <v>150</v>
      </c>
      <c r="D10" s="296" t="s">
        <v>865</v>
      </c>
      <c r="F10" s="252">
        <v>1</v>
      </c>
      <c r="G10" s="252" t="s">
        <v>866</v>
      </c>
      <c r="H10" s="296" t="s">
        <v>867</v>
      </c>
      <c r="I10" s="252" t="e">
        <f>(C78)</f>
        <v>#REF!</v>
      </c>
      <c r="J10" s="253" t="s">
        <v>866</v>
      </c>
      <c r="K10" s="252" t="e">
        <f>(F10*I10)</f>
        <v>#REF!</v>
      </c>
      <c r="M10" s="252">
        <v>1</v>
      </c>
      <c r="N10" s="296" t="s">
        <v>866</v>
      </c>
      <c r="O10" s="296" t="s">
        <v>867</v>
      </c>
      <c r="P10" s="252" t="e">
        <f>(C78)</f>
        <v>#REF!</v>
      </c>
      <c r="Q10" s="296" t="s">
        <v>866</v>
      </c>
      <c r="R10" s="252" t="e">
        <f>(M10*P10)</f>
        <v>#REF!</v>
      </c>
      <c r="T10" s="253" t="s">
        <v>868</v>
      </c>
      <c r="U10" s="296" t="s">
        <v>869</v>
      </c>
      <c r="V10" s="296" t="s">
        <v>863</v>
      </c>
      <c r="W10" s="252" t="str">
        <f>W9</f>
        <v>Nallambakkam</v>
      </c>
      <c r="X10" s="252" t="e">
        <f>+X9</f>
        <v>#REF!</v>
      </c>
      <c r="Y10" s="252">
        <v>300</v>
      </c>
      <c r="Z10" s="252" t="e">
        <f t="shared" ref="Z10:Z15" si="2">+Z9</f>
        <v>#REF!</v>
      </c>
      <c r="AA10" s="253">
        <v>0</v>
      </c>
      <c r="AB10" s="296">
        <v>0</v>
      </c>
      <c r="AC10" s="296" t="e">
        <f t="shared" si="1"/>
        <v>#REF!</v>
      </c>
      <c r="AD10" s="296" t="s">
        <v>2496</v>
      </c>
      <c r="AE10" s="252">
        <v>135</v>
      </c>
      <c r="AI10" s="252">
        <v>85.5</v>
      </c>
      <c r="AJ10" s="252">
        <v>1.1000000000000001</v>
      </c>
      <c r="AK10" s="252">
        <f t="shared" si="0"/>
        <v>94.05</v>
      </c>
    </row>
    <row r="11" spans="1:37" hidden="1">
      <c r="A11" s="437">
        <f t="shared" ref="A11:A35" si="3">(A10+1)</f>
        <v>2</v>
      </c>
      <c r="B11" s="296" t="s">
        <v>870</v>
      </c>
      <c r="C11" s="252">
        <f>AE10</f>
        <v>135</v>
      </c>
      <c r="D11" s="296" t="s">
        <v>865</v>
      </c>
      <c r="F11" s="252">
        <v>1</v>
      </c>
      <c r="G11" s="252" t="s">
        <v>866</v>
      </c>
      <c r="H11" s="296" t="s">
        <v>871</v>
      </c>
      <c r="I11" s="252">
        <f>(C18)</f>
        <v>26</v>
      </c>
      <c r="J11" s="253" t="s">
        <v>866</v>
      </c>
      <c r="K11" s="252">
        <f>(F11*I11)</f>
        <v>26</v>
      </c>
      <c r="M11" s="252">
        <v>1</v>
      </c>
      <c r="N11" s="296" t="s">
        <v>866</v>
      </c>
      <c r="O11" s="296" t="s">
        <v>872</v>
      </c>
      <c r="P11" s="252">
        <f>(C64)</f>
        <v>62.5</v>
      </c>
      <c r="Q11" s="296" t="s">
        <v>866</v>
      </c>
      <c r="R11" s="252">
        <f>(M11*P11)</f>
        <v>62.5</v>
      </c>
      <c r="T11" s="253" t="s">
        <v>873</v>
      </c>
      <c r="U11" s="296" t="s">
        <v>874</v>
      </c>
      <c r="V11" s="296" t="s">
        <v>863</v>
      </c>
      <c r="W11" s="296" t="s">
        <v>2497</v>
      </c>
      <c r="X11" s="252" t="e">
        <f>#REF!</f>
        <v>#REF!</v>
      </c>
      <c r="Y11" s="252">
        <v>333.33</v>
      </c>
      <c r="Z11" s="252" t="e">
        <f t="shared" si="2"/>
        <v>#REF!</v>
      </c>
      <c r="AA11" s="253">
        <v>0</v>
      </c>
      <c r="AB11" s="296">
        <v>0</v>
      </c>
      <c r="AC11" s="296" t="e">
        <f t="shared" si="1"/>
        <v>#REF!</v>
      </c>
      <c r="AD11" s="296" t="s">
        <v>875</v>
      </c>
      <c r="AE11" s="252">
        <v>95</v>
      </c>
      <c r="AI11" s="252">
        <v>80.5</v>
      </c>
      <c r="AJ11" s="252">
        <v>1.1000000000000001</v>
      </c>
      <c r="AK11" s="252">
        <f t="shared" si="0"/>
        <v>88.55</v>
      </c>
    </row>
    <row r="12" spans="1:37" hidden="1">
      <c r="A12" s="437">
        <f t="shared" si="3"/>
        <v>3</v>
      </c>
      <c r="B12" s="296" t="s">
        <v>445</v>
      </c>
      <c r="C12" s="252">
        <f>AE11</f>
        <v>95</v>
      </c>
      <c r="D12" s="296" t="s">
        <v>865</v>
      </c>
      <c r="G12" s="252" t="s">
        <v>446</v>
      </c>
      <c r="H12" s="296" t="s">
        <v>447</v>
      </c>
      <c r="I12" s="296" t="s">
        <v>971</v>
      </c>
      <c r="J12" s="253" t="s">
        <v>446</v>
      </c>
      <c r="K12" s="252">
        <v>0</v>
      </c>
      <c r="N12" s="296" t="s">
        <v>446</v>
      </c>
      <c r="O12" s="296" t="s">
        <v>447</v>
      </c>
      <c r="P12" s="296" t="s">
        <v>971</v>
      </c>
      <c r="Q12" s="296" t="s">
        <v>446</v>
      </c>
      <c r="R12" s="252">
        <v>0</v>
      </c>
      <c r="T12" s="253" t="s">
        <v>448</v>
      </c>
      <c r="U12" s="296" t="s">
        <v>1502</v>
      </c>
      <c r="V12" s="296" t="s">
        <v>863</v>
      </c>
      <c r="W12" s="252" t="str">
        <f>W11</f>
        <v>Pallavaram</v>
      </c>
      <c r="X12" s="252" t="e">
        <f>+X11</f>
        <v>#REF!</v>
      </c>
      <c r="Y12" s="252">
        <v>425</v>
      </c>
      <c r="Z12" s="252" t="e">
        <f t="shared" si="2"/>
        <v>#REF!</v>
      </c>
      <c r="AA12" s="253">
        <v>0</v>
      </c>
      <c r="AB12" s="296">
        <v>0</v>
      </c>
      <c r="AC12" s="296" t="e">
        <f t="shared" si="1"/>
        <v>#REF!</v>
      </c>
      <c r="AD12" s="296" t="s">
        <v>1503</v>
      </c>
      <c r="AE12" s="252">
        <v>85</v>
      </c>
      <c r="AI12" s="252">
        <v>114.5</v>
      </c>
      <c r="AJ12" s="252">
        <v>1.1000000000000001</v>
      </c>
      <c r="AK12" s="252">
        <f t="shared" si="0"/>
        <v>125.95</v>
      </c>
    </row>
    <row r="13" spans="1:37" hidden="1">
      <c r="A13" s="437">
        <f t="shared" si="3"/>
        <v>4</v>
      </c>
      <c r="B13" s="296" t="s">
        <v>1504</v>
      </c>
      <c r="C13" s="252">
        <f>AE12</f>
        <v>85</v>
      </c>
      <c r="D13" s="296" t="s">
        <v>865</v>
      </c>
      <c r="K13" s="358" t="s">
        <v>1579</v>
      </c>
      <c r="R13" s="358" t="s">
        <v>1579</v>
      </c>
      <c r="T13" s="253" t="s">
        <v>1505</v>
      </c>
      <c r="U13" s="296" t="s">
        <v>1506</v>
      </c>
      <c r="V13" s="296" t="s">
        <v>863</v>
      </c>
      <c r="W13" s="252" t="str">
        <f>W11</f>
        <v>Pallavaram</v>
      </c>
      <c r="X13" s="252" t="e">
        <f>+X12</f>
        <v>#REF!</v>
      </c>
      <c r="Y13" s="252">
        <v>630</v>
      </c>
      <c r="Z13" s="252" t="e">
        <f t="shared" si="2"/>
        <v>#REF!</v>
      </c>
      <c r="AA13" s="253">
        <v>0</v>
      </c>
      <c r="AB13" s="296">
        <v>0</v>
      </c>
      <c r="AC13" s="296" t="e">
        <f t="shared" si="1"/>
        <v>#REF!</v>
      </c>
      <c r="AD13" s="296" t="s">
        <v>1507</v>
      </c>
      <c r="AE13" s="252">
        <v>120</v>
      </c>
      <c r="AI13" s="252">
        <v>106.5</v>
      </c>
      <c r="AJ13" s="252">
        <v>1.1000000000000001</v>
      </c>
      <c r="AK13" s="252">
        <f t="shared" si="0"/>
        <v>117.15</v>
      </c>
    </row>
    <row r="14" spans="1:37" hidden="1">
      <c r="A14" s="437">
        <f t="shared" si="3"/>
        <v>5</v>
      </c>
      <c r="B14" s="296" t="s">
        <v>1508</v>
      </c>
      <c r="C14" s="252">
        <f>AE13</f>
        <v>120</v>
      </c>
      <c r="D14" s="252">
        <f>AE14</f>
        <v>110</v>
      </c>
      <c r="H14" s="296" t="s">
        <v>1509</v>
      </c>
      <c r="K14" s="252" t="e">
        <f>SUM(K9:K12)</f>
        <v>#REF!</v>
      </c>
      <c r="N14" s="252" t="e">
        <f>SUM(K9:K12)</f>
        <v>#REF!</v>
      </c>
      <c r="O14" s="296" t="s">
        <v>1509</v>
      </c>
      <c r="R14" s="252" t="e">
        <f>SUM(R9:R12)</f>
        <v>#REF!</v>
      </c>
      <c r="T14" s="253" t="s">
        <v>1999</v>
      </c>
      <c r="U14" s="296" t="s">
        <v>112</v>
      </c>
      <c r="V14" s="296" t="s">
        <v>863</v>
      </c>
      <c r="W14" s="252" t="str">
        <f>W11</f>
        <v>Pallavaram</v>
      </c>
      <c r="X14" s="252" t="e">
        <f>+X13</f>
        <v>#REF!</v>
      </c>
      <c r="Y14" s="252">
        <v>685</v>
      </c>
      <c r="Z14" s="252" t="e">
        <f t="shared" si="2"/>
        <v>#REF!</v>
      </c>
      <c r="AA14" s="253">
        <v>0</v>
      </c>
      <c r="AB14" s="296">
        <v>0</v>
      </c>
      <c r="AC14" s="296" t="e">
        <f t="shared" si="1"/>
        <v>#REF!</v>
      </c>
      <c r="AD14" s="296" t="s">
        <v>113</v>
      </c>
      <c r="AE14" s="252">
        <v>110</v>
      </c>
      <c r="AI14" s="252">
        <v>116.5</v>
      </c>
      <c r="AJ14" s="252">
        <v>1.1000000000000001</v>
      </c>
      <c r="AK14" s="252">
        <f t="shared" si="0"/>
        <v>128.15</v>
      </c>
    </row>
    <row r="15" spans="1:37" hidden="1">
      <c r="A15" s="437">
        <f t="shared" si="3"/>
        <v>6</v>
      </c>
      <c r="B15" s="296" t="s">
        <v>114</v>
      </c>
      <c r="C15" s="252">
        <f>AE15</f>
        <v>130</v>
      </c>
      <c r="D15" s="296" t="s">
        <v>865</v>
      </c>
      <c r="K15" s="358" t="s">
        <v>1579</v>
      </c>
      <c r="R15" s="358" t="s">
        <v>1579</v>
      </c>
      <c r="T15" s="253" t="s">
        <v>115</v>
      </c>
      <c r="U15" s="296" t="s">
        <v>116</v>
      </c>
      <c r="V15" s="296" t="s">
        <v>863</v>
      </c>
      <c r="W15" s="252" t="str">
        <f>W11</f>
        <v>Pallavaram</v>
      </c>
      <c r="X15" s="252" t="e">
        <f>+X14</f>
        <v>#REF!</v>
      </c>
      <c r="Y15" s="252">
        <v>490</v>
      </c>
      <c r="Z15" s="252" t="e">
        <f t="shared" si="2"/>
        <v>#REF!</v>
      </c>
      <c r="AA15" s="253">
        <v>0</v>
      </c>
      <c r="AB15" s="296">
        <v>0</v>
      </c>
      <c r="AC15" s="296" t="e">
        <f t="shared" si="1"/>
        <v>#REF!</v>
      </c>
      <c r="AD15" s="296" t="s">
        <v>117</v>
      </c>
      <c r="AE15" s="252">
        <v>130</v>
      </c>
      <c r="AI15" s="252">
        <v>106.5</v>
      </c>
      <c r="AJ15" s="252">
        <v>1.1000000000000001</v>
      </c>
      <c r="AK15" s="252">
        <f t="shared" si="0"/>
        <v>117.15</v>
      </c>
    </row>
    <row r="16" spans="1:37" hidden="1">
      <c r="A16" s="437">
        <f t="shared" si="3"/>
        <v>7</v>
      </c>
      <c r="B16" s="296" t="s">
        <v>118</v>
      </c>
      <c r="C16" s="252">
        <f>AE19</f>
        <v>150</v>
      </c>
      <c r="D16" s="252">
        <f>AE20</f>
        <v>135</v>
      </c>
      <c r="G16" s="252" t="s">
        <v>2241</v>
      </c>
      <c r="H16" s="296" t="s">
        <v>119</v>
      </c>
      <c r="N16" s="296" t="s">
        <v>2241</v>
      </c>
      <c r="O16" s="296" t="s">
        <v>120</v>
      </c>
      <c r="T16" s="253" t="s">
        <v>121</v>
      </c>
      <c r="U16" s="296" t="s">
        <v>122</v>
      </c>
      <c r="V16" s="296" t="s">
        <v>863</v>
      </c>
      <c r="W16" s="296" t="s">
        <v>2498</v>
      </c>
      <c r="X16" s="252" t="e">
        <f>#REF!</f>
        <v>#REF!</v>
      </c>
      <c r="Y16" s="252">
        <v>110</v>
      </c>
      <c r="Z16" s="252" t="e">
        <f>#REF!</f>
        <v>#REF!</v>
      </c>
      <c r="AA16" s="253">
        <v>0</v>
      </c>
      <c r="AB16" s="296">
        <v>0</v>
      </c>
      <c r="AC16" s="296" t="e">
        <f t="shared" si="1"/>
        <v>#REF!</v>
      </c>
      <c r="AD16" s="296" t="s">
        <v>2231</v>
      </c>
      <c r="AE16" s="252">
        <v>120</v>
      </c>
      <c r="AI16" s="252">
        <v>106.5</v>
      </c>
      <c r="AJ16" s="252">
        <v>1.1000000000000001</v>
      </c>
      <c r="AK16" s="252">
        <f t="shared" si="0"/>
        <v>117.15</v>
      </c>
    </row>
    <row r="17" spans="1:37" hidden="1">
      <c r="A17" s="437">
        <f t="shared" si="3"/>
        <v>8</v>
      </c>
      <c r="B17" s="296" t="s">
        <v>2232</v>
      </c>
      <c r="C17" s="252">
        <f>AE17</f>
        <v>130</v>
      </c>
      <c r="D17" s="252">
        <f>AE18</f>
        <v>120</v>
      </c>
      <c r="H17" s="358" t="s">
        <v>1579</v>
      </c>
      <c r="O17" s="296" t="s">
        <v>1028</v>
      </c>
      <c r="T17" s="253" t="s">
        <v>1029</v>
      </c>
      <c r="U17" s="296" t="s">
        <v>1030</v>
      </c>
      <c r="V17" s="296" t="s">
        <v>863</v>
      </c>
      <c r="W17" s="296" t="s">
        <v>2499</v>
      </c>
      <c r="X17" s="252" t="e">
        <f>X16</f>
        <v>#REF!</v>
      </c>
      <c r="Y17" s="252">
        <v>110</v>
      </c>
      <c r="Z17" s="252" t="e">
        <f>Z16</f>
        <v>#REF!</v>
      </c>
      <c r="AA17" s="253">
        <v>0</v>
      </c>
      <c r="AB17" s="296">
        <v>0</v>
      </c>
      <c r="AC17" s="296" t="e">
        <f t="shared" si="1"/>
        <v>#REF!</v>
      </c>
      <c r="AD17" s="296" t="s">
        <v>1031</v>
      </c>
      <c r="AE17" s="252">
        <v>130</v>
      </c>
      <c r="AI17" s="252">
        <v>98.5</v>
      </c>
      <c r="AJ17" s="252">
        <v>1.1000000000000001</v>
      </c>
      <c r="AK17" s="252">
        <f t="shared" si="0"/>
        <v>108.35</v>
      </c>
    </row>
    <row r="18" spans="1:37" hidden="1">
      <c r="A18" s="437">
        <f t="shared" si="3"/>
        <v>9</v>
      </c>
      <c r="B18" s="296" t="s">
        <v>1032</v>
      </c>
      <c r="C18" s="252">
        <f>AE24</f>
        <v>26</v>
      </c>
      <c r="D18" s="296" t="s">
        <v>1033</v>
      </c>
      <c r="F18" s="252">
        <v>0.72</v>
      </c>
      <c r="G18" s="252" t="s">
        <v>858</v>
      </c>
      <c r="H18" s="296" t="s">
        <v>859</v>
      </c>
      <c r="I18" s="252">
        <f>(C67)</f>
        <v>3800</v>
      </c>
      <c r="J18" s="253" t="s">
        <v>858</v>
      </c>
      <c r="K18" s="252">
        <f>(F18*I18)</f>
        <v>2736</v>
      </c>
      <c r="O18" s="296" t="s">
        <v>1437</v>
      </c>
      <c r="T18" s="253" t="s">
        <v>1438</v>
      </c>
      <c r="U18" s="296" t="s">
        <v>2500</v>
      </c>
      <c r="V18" s="296" t="s">
        <v>1439</v>
      </c>
      <c r="W18" s="296" t="s">
        <v>2501</v>
      </c>
      <c r="X18" s="252" t="e">
        <f>#REF!</f>
        <v>#REF!</v>
      </c>
      <c r="Y18" s="252">
        <v>1950</v>
      </c>
      <c r="Z18" s="252" t="e">
        <f>#REF!</f>
        <v>#REF!</v>
      </c>
      <c r="AA18" s="253">
        <v>0</v>
      </c>
      <c r="AB18" s="296">
        <v>0</v>
      </c>
      <c r="AC18" s="296" t="e">
        <f t="shared" si="1"/>
        <v>#REF!</v>
      </c>
      <c r="AD18" s="296" t="s">
        <v>1440</v>
      </c>
      <c r="AE18" s="252">
        <v>120</v>
      </c>
      <c r="AI18" s="252">
        <v>148.5</v>
      </c>
      <c r="AJ18" s="252">
        <v>1.1000000000000001</v>
      </c>
      <c r="AK18" s="252">
        <f t="shared" si="0"/>
        <v>163.35</v>
      </c>
    </row>
    <row r="19" spans="1:37" hidden="1">
      <c r="A19" s="437">
        <f t="shared" si="3"/>
        <v>10</v>
      </c>
      <c r="B19" s="296" t="s">
        <v>1441</v>
      </c>
      <c r="C19" s="252">
        <v>17.600000000000001</v>
      </c>
      <c r="D19" s="296" t="s">
        <v>866</v>
      </c>
      <c r="F19" s="252">
        <v>1</v>
      </c>
      <c r="G19" s="252" t="s">
        <v>866</v>
      </c>
      <c r="H19" s="296" t="s">
        <v>867</v>
      </c>
      <c r="I19" s="252" t="e">
        <f>(C78)</f>
        <v>#REF!</v>
      </c>
      <c r="J19" s="253" t="s">
        <v>866</v>
      </c>
      <c r="K19" s="252" t="e">
        <f>(F19*I19)</f>
        <v>#REF!</v>
      </c>
      <c r="O19" s="296" t="s">
        <v>71</v>
      </c>
      <c r="T19" s="253" t="s">
        <v>72</v>
      </c>
      <c r="U19" s="296" t="s">
        <v>73</v>
      </c>
      <c r="V19" s="296" t="s">
        <v>866</v>
      </c>
      <c r="W19" s="252" t="str">
        <f>W18</f>
        <v>Nerkundram</v>
      </c>
      <c r="X19" s="252" t="e">
        <f>#REF!</f>
        <v>#REF!</v>
      </c>
      <c r="Y19" s="252">
        <v>260</v>
      </c>
      <c r="Z19" s="252" t="e">
        <f>#REF!</f>
        <v>#REF!</v>
      </c>
      <c r="AA19" s="253">
        <v>0</v>
      </c>
      <c r="AB19" s="296">
        <v>0</v>
      </c>
      <c r="AC19" s="296" t="e">
        <f t="shared" si="1"/>
        <v>#REF!</v>
      </c>
      <c r="AD19" s="296" t="s">
        <v>74</v>
      </c>
      <c r="AE19" s="252">
        <v>150</v>
      </c>
      <c r="AI19" s="252">
        <v>126.5</v>
      </c>
      <c r="AJ19" s="252">
        <v>1.1000000000000001</v>
      </c>
      <c r="AK19" s="252">
        <f t="shared" si="0"/>
        <v>139.15</v>
      </c>
    </row>
    <row r="20" spans="1:37" hidden="1">
      <c r="A20" s="437">
        <f t="shared" si="3"/>
        <v>11</v>
      </c>
      <c r="B20" s="296" t="s">
        <v>371</v>
      </c>
      <c r="C20" s="252">
        <v>35.200000000000003</v>
      </c>
      <c r="D20" s="296" t="s">
        <v>866</v>
      </c>
      <c r="F20" s="252">
        <v>1</v>
      </c>
      <c r="G20" s="252" t="s">
        <v>866</v>
      </c>
      <c r="H20" s="296" t="s">
        <v>871</v>
      </c>
      <c r="I20" s="252">
        <f>(C18)</f>
        <v>26</v>
      </c>
      <c r="J20" s="253" t="s">
        <v>866</v>
      </c>
      <c r="K20" s="252">
        <f>(F20*I20)</f>
        <v>26</v>
      </c>
      <c r="O20" s="296" t="s">
        <v>1040</v>
      </c>
      <c r="T20" s="253" t="s">
        <v>1962</v>
      </c>
      <c r="U20" s="296" t="s">
        <v>1963</v>
      </c>
      <c r="V20" s="296" t="s">
        <v>866</v>
      </c>
      <c r="W20" s="252" t="str">
        <f>W18</f>
        <v>Nerkundram</v>
      </c>
      <c r="X20" s="252" t="e">
        <f>X19</f>
        <v>#REF!</v>
      </c>
      <c r="Y20" s="252">
        <v>280</v>
      </c>
      <c r="Z20" s="252" t="e">
        <f>+Z19</f>
        <v>#REF!</v>
      </c>
      <c r="AA20" s="253">
        <v>0</v>
      </c>
      <c r="AB20" s="296">
        <v>0</v>
      </c>
      <c r="AC20" s="296" t="e">
        <f t="shared" si="1"/>
        <v>#REF!</v>
      </c>
      <c r="AD20" s="296" t="s">
        <v>1964</v>
      </c>
      <c r="AE20" s="252">
        <v>135</v>
      </c>
      <c r="AI20" s="252">
        <v>116.5</v>
      </c>
      <c r="AJ20" s="252">
        <v>1.1000000000000001</v>
      </c>
      <c r="AK20" s="252">
        <f t="shared" si="0"/>
        <v>128.15</v>
      </c>
    </row>
    <row r="21" spans="1:37" hidden="1">
      <c r="A21" s="437">
        <f t="shared" si="3"/>
        <v>12</v>
      </c>
      <c r="B21" s="296" t="s">
        <v>2252</v>
      </c>
      <c r="C21" s="252">
        <v>35.200000000000003</v>
      </c>
      <c r="D21" s="296" t="s">
        <v>866</v>
      </c>
      <c r="G21" s="252" t="s">
        <v>446</v>
      </c>
      <c r="H21" s="296" t="s">
        <v>447</v>
      </c>
      <c r="I21" s="296" t="s">
        <v>971</v>
      </c>
      <c r="J21" s="253" t="s">
        <v>446</v>
      </c>
      <c r="K21" s="252">
        <v>0</v>
      </c>
      <c r="O21" s="358" t="s">
        <v>1579</v>
      </c>
      <c r="T21" s="253" t="s">
        <v>2253</v>
      </c>
      <c r="U21" s="296" t="s">
        <v>2254</v>
      </c>
      <c r="V21" s="296" t="s">
        <v>1439</v>
      </c>
      <c r="W21" s="296" t="s">
        <v>2255</v>
      </c>
      <c r="X21" s="252" t="e">
        <f>#REF!</f>
        <v>#REF!</v>
      </c>
      <c r="Y21" s="252">
        <v>4500</v>
      </c>
      <c r="Z21" s="252">
        <v>0</v>
      </c>
      <c r="AA21" s="253">
        <v>0</v>
      </c>
      <c r="AB21" s="296">
        <v>0</v>
      </c>
      <c r="AC21" s="296">
        <f t="shared" si="1"/>
        <v>4500</v>
      </c>
      <c r="AD21" s="296" t="s">
        <v>2256</v>
      </c>
      <c r="AE21" s="252">
        <v>120</v>
      </c>
      <c r="AI21" s="252">
        <v>106.5</v>
      </c>
      <c r="AJ21" s="252">
        <v>1.1000000000000001</v>
      </c>
      <c r="AK21" s="252">
        <f t="shared" si="0"/>
        <v>117.15</v>
      </c>
    </row>
    <row r="22" spans="1:37" hidden="1">
      <c r="A22" s="437">
        <f t="shared" si="3"/>
        <v>13</v>
      </c>
      <c r="B22" s="296" t="s">
        <v>1674</v>
      </c>
      <c r="C22" s="252">
        <v>26.45</v>
      </c>
      <c r="D22" s="296" t="s">
        <v>866</v>
      </c>
      <c r="K22" s="358" t="s">
        <v>1579</v>
      </c>
      <c r="M22" s="252">
        <v>1</v>
      </c>
      <c r="N22" s="296" t="s">
        <v>866</v>
      </c>
      <c r="O22" s="296" t="s">
        <v>1993</v>
      </c>
      <c r="P22" s="252" t="e">
        <f>C78</f>
        <v>#REF!</v>
      </c>
      <c r="Q22" s="296" t="s">
        <v>866</v>
      </c>
      <c r="R22" s="252" t="e">
        <f>(M22*P22)</f>
        <v>#REF!</v>
      </c>
      <c r="T22" s="253" t="s">
        <v>1994</v>
      </c>
      <c r="U22" s="296" t="s">
        <v>1995</v>
      </c>
      <c r="V22" s="296" t="s">
        <v>863</v>
      </c>
      <c r="W22" s="296" t="s">
        <v>2502</v>
      </c>
      <c r="X22" s="252">
        <v>0</v>
      </c>
      <c r="Y22" s="252">
        <v>773</v>
      </c>
      <c r="Z22" s="252">
        <v>0</v>
      </c>
      <c r="AA22" s="253">
        <v>0</v>
      </c>
      <c r="AB22" s="296">
        <v>0</v>
      </c>
      <c r="AC22" s="296">
        <f t="shared" si="1"/>
        <v>773</v>
      </c>
      <c r="AD22" s="296" t="s">
        <v>1996</v>
      </c>
      <c r="AE22" s="252">
        <v>110</v>
      </c>
      <c r="AI22" s="252">
        <v>106.5</v>
      </c>
      <c r="AJ22" s="252">
        <v>1.1000000000000001</v>
      </c>
      <c r="AK22" s="252">
        <f t="shared" si="0"/>
        <v>117.15</v>
      </c>
    </row>
    <row r="23" spans="1:37" hidden="1">
      <c r="A23" s="437">
        <f t="shared" si="3"/>
        <v>14</v>
      </c>
      <c r="B23" s="296" t="s">
        <v>282</v>
      </c>
      <c r="C23" s="252">
        <v>52.85</v>
      </c>
      <c r="D23" s="296" t="s">
        <v>866</v>
      </c>
      <c r="H23" s="296" t="s">
        <v>1509</v>
      </c>
      <c r="K23" s="252" t="e">
        <f>SUM(K18:K21)</f>
        <v>#REF!</v>
      </c>
      <c r="M23" s="252">
        <v>1</v>
      </c>
      <c r="N23" s="296" t="s">
        <v>866</v>
      </c>
      <c r="O23" s="296" t="s">
        <v>283</v>
      </c>
      <c r="P23" s="252" t="e">
        <f>C85</f>
        <v>#REF!</v>
      </c>
      <c r="Q23" s="296" t="s">
        <v>866</v>
      </c>
      <c r="R23" s="252" t="e">
        <f>(M23*P23)</f>
        <v>#REF!</v>
      </c>
      <c r="T23" s="253" t="s">
        <v>825</v>
      </c>
      <c r="U23" s="296" t="s">
        <v>826</v>
      </c>
      <c r="V23" s="296" t="s">
        <v>863</v>
      </c>
      <c r="W23" s="296" t="s">
        <v>2502</v>
      </c>
      <c r="X23" s="252" t="e">
        <f>#REF!</f>
        <v>#REF!</v>
      </c>
      <c r="Y23" s="252">
        <v>565</v>
      </c>
      <c r="Z23" s="252" t="e">
        <f>#REF!</f>
        <v>#REF!</v>
      </c>
      <c r="AA23" s="253">
        <v>0</v>
      </c>
      <c r="AB23" s="296">
        <v>0</v>
      </c>
      <c r="AC23" s="296" t="e">
        <f t="shared" si="1"/>
        <v>#REF!</v>
      </c>
      <c r="AD23" s="296" t="s">
        <v>827</v>
      </c>
      <c r="AE23" s="252">
        <v>120</v>
      </c>
      <c r="AI23" s="252">
        <v>26</v>
      </c>
      <c r="AJ23" s="252">
        <v>1.1000000000000001</v>
      </c>
      <c r="AK23" s="252">
        <f t="shared" si="0"/>
        <v>28.6</v>
      </c>
    </row>
    <row r="24" spans="1:37" hidden="1">
      <c r="A24" s="437">
        <f t="shared" si="3"/>
        <v>15</v>
      </c>
      <c r="B24" s="296" t="s">
        <v>828</v>
      </c>
      <c r="C24" s="252">
        <v>52.85</v>
      </c>
      <c r="D24" s="296" t="s">
        <v>866</v>
      </c>
      <c r="K24" s="358" t="s">
        <v>1579</v>
      </c>
      <c r="M24" s="252">
        <v>1.5</v>
      </c>
      <c r="N24" s="296" t="s">
        <v>866</v>
      </c>
      <c r="O24" s="296" t="s">
        <v>1784</v>
      </c>
      <c r="P24" s="252">
        <f>C18</f>
        <v>26</v>
      </c>
      <c r="Q24" s="296" t="s">
        <v>866</v>
      </c>
      <c r="R24" s="252">
        <f>(M24*P24)</f>
        <v>39</v>
      </c>
      <c r="T24" s="253" t="s">
        <v>1785</v>
      </c>
      <c r="U24" s="296" t="s">
        <v>3</v>
      </c>
      <c r="V24" s="296" t="s">
        <v>863</v>
      </c>
      <c r="W24" s="296" t="s">
        <v>1786</v>
      </c>
      <c r="X24" s="252">
        <v>0</v>
      </c>
      <c r="Y24" s="252">
        <v>20605</v>
      </c>
      <c r="Z24" s="252">
        <v>0</v>
      </c>
      <c r="AA24" s="253">
        <v>0</v>
      </c>
      <c r="AB24" s="296">
        <v>0</v>
      </c>
      <c r="AC24" s="296">
        <f t="shared" si="1"/>
        <v>20605</v>
      </c>
      <c r="AD24" s="296" t="s">
        <v>1787</v>
      </c>
      <c r="AE24" s="252">
        <v>26</v>
      </c>
      <c r="AI24" s="252">
        <v>20.7</v>
      </c>
      <c r="AJ24" s="252">
        <v>1.1000000000000001</v>
      </c>
      <c r="AK24" s="252">
        <f t="shared" si="0"/>
        <v>22.77</v>
      </c>
    </row>
    <row r="25" spans="1:37" hidden="1">
      <c r="A25" s="437">
        <f t="shared" si="3"/>
        <v>16</v>
      </c>
      <c r="B25" s="296" t="s">
        <v>1788</v>
      </c>
      <c r="C25" s="252">
        <f>AE25</f>
        <v>20.7</v>
      </c>
      <c r="D25" s="296" t="s">
        <v>866</v>
      </c>
      <c r="G25" s="252" t="s">
        <v>2241</v>
      </c>
      <c r="H25" s="296" t="s">
        <v>1348</v>
      </c>
      <c r="M25" s="252">
        <v>1.5</v>
      </c>
      <c r="N25" s="296" t="s">
        <v>866</v>
      </c>
      <c r="O25" s="296" t="s">
        <v>1349</v>
      </c>
      <c r="P25" s="252">
        <f>C27</f>
        <v>7.8</v>
      </c>
      <c r="Q25" s="296" t="s">
        <v>866</v>
      </c>
      <c r="R25" s="252">
        <f>(M25*P25)</f>
        <v>11.7</v>
      </c>
      <c r="T25" s="253" t="s">
        <v>1350</v>
      </c>
      <c r="U25" s="296" t="s">
        <v>1351</v>
      </c>
      <c r="V25" s="296" t="s">
        <v>863</v>
      </c>
      <c r="W25" s="296" t="s">
        <v>1786</v>
      </c>
      <c r="X25" s="252">
        <v>0</v>
      </c>
      <c r="Y25" s="252">
        <v>23685</v>
      </c>
      <c r="Z25" s="252">
        <v>0</v>
      </c>
      <c r="AA25" s="253">
        <v>0</v>
      </c>
      <c r="AB25" s="296">
        <v>0</v>
      </c>
      <c r="AC25" s="296">
        <f t="shared" si="1"/>
        <v>23685</v>
      </c>
      <c r="AD25" s="296" t="s">
        <v>289</v>
      </c>
      <c r="AE25" s="252">
        <v>20.7</v>
      </c>
      <c r="AI25" s="252">
        <v>15.6</v>
      </c>
      <c r="AJ25" s="252">
        <v>1.1000000000000001</v>
      </c>
      <c r="AK25" s="252">
        <f t="shared" si="0"/>
        <v>17.16</v>
      </c>
    </row>
    <row r="26" spans="1:37" hidden="1">
      <c r="A26" s="437">
        <f t="shared" si="3"/>
        <v>17</v>
      </c>
      <c r="B26" s="296" t="s">
        <v>1065</v>
      </c>
      <c r="C26" s="252">
        <f>+AE28</f>
        <v>8.8000000000000007</v>
      </c>
      <c r="D26" s="296" t="s">
        <v>2034</v>
      </c>
      <c r="H26" s="358" t="s">
        <v>1579</v>
      </c>
      <c r="N26" s="296" t="s">
        <v>446</v>
      </c>
      <c r="O26" s="296" t="s">
        <v>447</v>
      </c>
      <c r="P26" s="296" t="s">
        <v>971</v>
      </c>
      <c r="Q26" s="296" t="s">
        <v>446</v>
      </c>
      <c r="R26" s="252">
        <v>0</v>
      </c>
      <c r="T26" s="253" t="s">
        <v>2035</v>
      </c>
      <c r="U26" s="296" t="s">
        <v>2503</v>
      </c>
      <c r="V26" s="296" t="s">
        <v>863</v>
      </c>
      <c r="W26" s="296" t="s">
        <v>1786</v>
      </c>
      <c r="X26" s="252">
        <v>0</v>
      </c>
      <c r="Y26" s="252">
        <v>65420</v>
      </c>
      <c r="Z26" s="252">
        <v>0</v>
      </c>
      <c r="AA26" s="253">
        <v>0</v>
      </c>
      <c r="AB26" s="296">
        <v>0</v>
      </c>
      <c r="AC26" s="296">
        <f t="shared" si="1"/>
        <v>65420</v>
      </c>
      <c r="AD26" s="296" t="s">
        <v>1481</v>
      </c>
      <c r="AE26" s="252">
        <v>15.6</v>
      </c>
      <c r="AI26" s="252">
        <v>7.8</v>
      </c>
      <c r="AJ26" s="252">
        <v>1.1000000000000001</v>
      </c>
      <c r="AK26" s="252">
        <f t="shared" si="0"/>
        <v>8.58</v>
      </c>
    </row>
    <row r="27" spans="1:37" hidden="1">
      <c r="A27" s="437">
        <f t="shared" si="3"/>
        <v>18</v>
      </c>
      <c r="B27" s="296" t="s">
        <v>1482</v>
      </c>
      <c r="C27" s="252">
        <f>+AE27</f>
        <v>7.8</v>
      </c>
      <c r="D27" s="296" t="s">
        <v>2034</v>
      </c>
      <c r="F27" s="252">
        <v>0.48</v>
      </c>
      <c r="G27" s="252" t="s">
        <v>858</v>
      </c>
      <c r="H27" s="296" t="s">
        <v>859</v>
      </c>
      <c r="I27" s="252">
        <f>(C67)</f>
        <v>3800</v>
      </c>
      <c r="J27" s="253" t="s">
        <v>858</v>
      </c>
      <c r="K27" s="252">
        <f>(F27*I27)</f>
        <v>1824</v>
      </c>
      <c r="R27" s="358" t="s">
        <v>1579</v>
      </c>
      <c r="T27" s="253" t="s">
        <v>1483</v>
      </c>
      <c r="U27" s="296" t="s">
        <v>2504</v>
      </c>
      <c r="V27" s="296" t="s">
        <v>863</v>
      </c>
      <c r="W27" s="296" t="s">
        <v>1786</v>
      </c>
      <c r="X27" s="252">
        <v>0</v>
      </c>
      <c r="Y27" s="252">
        <v>57165</v>
      </c>
      <c r="Z27" s="252">
        <v>0</v>
      </c>
      <c r="AA27" s="253">
        <v>0</v>
      </c>
      <c r="AB27" s="296">
        <v>0</v>
      </c>
      <c r="AC27" s="296">
        <f t="shared" si="1"/>
        <v>57165</v>
      </c>
      <c r="AD27" s="296" t="s">
        <v>1484</v>
      </c>
      <c r="AE27" s="252">
        <v>7.8</v>
      </c>
      <c r="AI27" s="252">
        <v>8.8000000000000007</v>
      </c>
      <c r="AJ27" s="252">
        <v>1.1000000000000001</v>
      </c>
      <c r="AK27" s="252">
        <f t="shared" si="0"/>
        <v>9.68</v>
      </c>
    </row>
    <row r="28" spans="1:37" hidden="1">
      <c r="A28" s="437">
        <f t="shared" si="3"/>
        <v>19</v>
      </c>
      <c r="B28" s="296" t="s">
        <v>2505</v>
      </c>
      <c r="C28" s="252">
        <v>58.33</v>
      </c>
      <c r="D28" s="296" t="s">
        <v>446</v>
      </c>
      <c r="F28" s="252">
        <v>1</v>
      </c>
      <c r="G28" s="252" t="s">
        <v>866</v>
      </c>
      <c r="H28" s="296" t="s">
        <v>867</v>
      </c>
      <c r="I28" s="252" t="e">
        <f>(C78)</f>
        <v>#REF!</v>
      </c>
      <c r="J28" s="253" t="s">
        <v>866</v>
      </c>
      <c r="K28" s="252" t="e">
        <f>(F28*I28)</f>
        <v>#REF!</v>
      </c>
      <c r="O28" s="296" t="s">
        <v>168</v>
      </c>
      <c r="R28" s="252" t="e">
        <f>SUM(R22:R26)</f>
        <v>#REF!</v>
      </c>
      <c r="T28" s="253" t="s">
        <v>882</v>
      </c>
      <c r="U28" s="296" t="s">
        <v>2506</v>
      </c>
      <c r="V28" s="296" t="s">
        <v>863</v>
      </c>
      <c r="W28" s="296" t="s">
        <v>1786</v>
      </c>
      <c r="X28" s="252">
        <v>0</v>
      </c>
      <c r="Y28" s="252">
        <v>63870</v>
      </c>
      <c r="Z28" s="252">
        <v>0</v>
      </c>
      <c r="AA28" s="253">
        <v>0</v>
      </c>
      <c r="AB28" s="296">
        <v>0</v>
      </c>
      <c r="AC28" s="296">
        <f t="shared" si="1"/>
        <v>63870</v>
      </c>
      <c r="AD28" s="296" t="s">
        <v>2260</v>
      </c>
      <c r="AE28" s="252">
        <v>8.8000000000000007</v>
      </c>
      <c r="AI28" s="252">
        <v>25</v>
      </c>
      <c r="AJ28" s="252">
        <v>1.1000000000000001</v>
      </c>
      <c r="AK28" s="252">
        <f t="shared" si="0"/>
        <v>27.5</v>
      </c>
    </row>
    <row r="29" spans="1:37" hidden="1">
      <c r="A29" s="437">
        <f t="shared" si="3"/>
        <v>20</v>
      </c>
      <c r="B29" s="296" t="s">
        <v>765</v>
      </c>
      <c r="C29" s="252">
        <f>AE23</f>
        <v>120</v>
      </c>
      <c r="D29" s="296" t="s">
        <v>766</v>
      </c>
      <c r="F29" s="252">
        <v>1</v>
      </c>
      <c r="G29" s="252" t="s">
        <v>866</v>
      </c>
      <c r="H29" s="296" t="s">
        <v>871</v>
      </c>
      <c r="I29" s="252">
        <f>(C18)</f>
        <v>26</v>
      </c>
      <c r="J29" s="253" t="s">
        <v>866</v>
      </c>
      <c r="K29" s="252">
        <f>(F29*I29)</f>
        <v>26</v>
      </c>
      <c r="R29" s="358" t="s">
        <v>1579</v>
      </c>
      <c r="T29" s="253" t="s">
        <v>767</v>
      </c>
      <c r="U29" s="296" t="s">
        <v>768</v>
      </c>
      <c r="V29" s="296" t="s">
        <v>1439</v>
      </c>
      <c r="W29" s="252" t="str">
        <f>W18</f>
        <v>Nerkundram</v>
      </c>
      <c r="X29" s="252" t="e">
        <f>X18</f>
        <v>#REF!</v>
      </c>
      <c r="Y29" s="252">
        <v>1470</v>
      </c>
      <c r="Z29" s="252" t="e">
        <f>Z18</f>
        <v>#REF!</v>
      </c>
      <c r="AA29" s="253">
        <v>0</v>
      </c>
      <c r="AB29" s="296">
        <v>0</v>
      </c>
      <c r="AC29" s="296" t="e">
        <f t="shared" si="1"/>
        <v>#REF!</v>
      </c>
      <c r="AD29" s="296" t="s">
        <v>2507</v>
      </c>
      <c r="AE29" s="252">
        <v>25</v>
      </c>
      <c r="AI29" s="252">
        <v>342</v>
      </c>
      <c r="AJ29" s="252">
        <v>1.1000000000000001</v>
      </c>
      <c r="AK29" s="252">
        <f t="shared" si="0"/>
        <v>376.2</v>
      </c>
    </row>
    <row r="30" spans="1:37" hidden="1">
      <c r="A30" s="437">
        <f t="shared" si="3"/>
        <v>21</v>
      </c>
      <c r="B30" s="296" t="s">
        <v>769</v>
      </c>
      <c r="C30" s="252">
        <f>AE33</f>
        <v>3035</v>
      </c>
      <c r="D30" s="252">
        <f>AE31</f>
        <v>287</v>
      </c>
      <c r="G30" s="252" t="s">
        <v>446</v>
      </c>
      <c r="H30" s="296" t="s">
        <v>447</v>
      </c>
      <c r="I30" s="296" t="s">
        <v>971</v>
      </c>
      <c r="J30" s="253" t="s">
        <v>446</v>
      </c>
      <c r="K30" s="252">
        <v>0</v>
      </c>
      <c r="O30" s="296" t="s">
        <v>770</v>
      </c>
      <c r="R30" s="252" t="e">
        <f>(R28/1.5)</f>
        <v>#REF!</v>
      </c>
      <c r="T30" s="253" t="s">
        <v>2158</v>
      </c>
      <c r="U30" s="296" t="s">
        <v>16</v>
      </c>
      <c r="V30" s="296" t="s">
        <v>1439</v>
      </c>
      <c r="W30" s="296" t="s">
        <v>1786</v>
      </c>
      <c r="X30" s="252">
        <v>0</v>
      </c>
      <c r="Y30" s="252">
        <v>8240</v>
      </c>
      <c r="Z30" s="252">
        <v>0</v>
      </c>
      <c r="AA30" s="253">
        <v>0</v>
      </c>
      <c r="AB30" s="296">
        <v>0</v>
      </c>
      <c r="AC30" s="296">
        <f t="shared" si="1"/>
        <v>8240</v>
      </c>
      <c r="AD30" s="296" t="s">
        <v>2508</v>
      </c>
      <c r="AE30" s="252">
        <v>342</v>
      </c>
      <c r="AI30" s="252">
        <v>287</v>
      </c>
      <c r="AJ30" s="252">
        <v>1.1000000000000001</v>
      </c>
      <c r="AK30" s="252">
        <f t="shared" si="0"/>
        <v>315.7</v>
      </c>
    </row>
    <row r="31" spans="1:37" hidden="1">
      <c r="A31" s="437">
        <f t="shared" si="3"/>
        <v>22</v>
      </c>
      <c r="B31" s="296" t="s">
        <v>17</v>
      </c>
      <c r="C31" s="252">
        <f>AE30</f>
        <v>342</v>
      </c>
      <c r="D31" s="252">
        <f>AE32</f>
        <v>320</v>
      </c>
      <c r="K31" s="358" t="s">
        <v>1579</v>
      </c>
      <c r="O31" s="296" t="s">
        <v>246</v>
      </c>
      <c r="R31" s="358" t="s">
        <v>2046</v>
      </c>
      <c r="T31" s="253" t="s">
        <v>18</v>
      </c>
      <c r="U31" s="296" t="s">
        <v>19</v>
      </c>
      <c r="V31" s="296" t="s">
        <v>858</v>
      </c>
      <c r="W31" s="296" t="s">
        <v>1786</v>
      </c>
      <c r="X31" s="252">
        <v>0</v>
      </c>
      <c r="Y31" s="252">
        <v>3800</v>
      </c>
      <c r="Z31" s="252">
        <v>0</v>
      </c>
      <c r="AA31" s="253">
        <v>0</v>
      </c>
      <c r="AB31" s="296">
        <v>0</v>
      </c>
      <c r="AC31" s="296">
        <v>3800</v>
      </c>
      <c r="AD31" s="296" t="s">
        <v>2509</v>
      </c>
      <c r="AE31" s="252">
        <v>287</v>
      </c>
      <c r="AI31" s="252">
        <v>320</v>
      </c>
      <c r="AJ31" s="252">
        <v>1.1000000000000001</v>
      </c>
      <c r="AK31" s="252">
        <f t="shared" si="0"/>
        <v>352</v>
      </c>
    </row>
    <row r="32" spans="1:37" hidden="1">
      <c r="A32" s="437">
        <f t="shared" si="3"/>
        <v>23</v>
      </c>
      <c r="B32" s="296" t="s">
        <v>1789</v>
      </c>
      <c r="C32" s="252">
        <v>2.5</v>
      </c>
      <c r="D32" s="252">
        <f>AE34</f>
        <v>267</v>
      </c>
      <c r="H32" s="296" t="s">
        <v>1509</v>
      </c>
      <c r="K32" s="252" t="e">
        <f>SUM(K27:K30)</f>
        <v>#REF!</v>
      </c>
      <c r="T32" s="253" t="s">
        <v>1790</v>
      </c>
      <c r="U32" s="296" t="s">
        <v>1791</v>
      </c>
      <c r="V32" s="296" t="s">
        <v>858</v>
      </c>
      <c r="W32" s="296" t="s">
        <v>2255</v>
      </c>
      <c r="X32" s="252">
        <v>0</v>
      </c>
      <c r="Y32" s="252">
        <v>28000</v>
      </c>
      <c r="Z32" s="252">
        <v>0</v>
      </c>
      <c r="AA32" s="253">
        <v>0</v>
      </c>
      <c r="AB32" s="296">
        <v>0</v>
      </c>
      <c r="AC32" s="296">
        <f t="shared" ref="AC32:AC38" si="4">SUM(Y32+Z32+AA32+AB32)</f>
        <v>28000</v>
      </c>
      <c r="AD32" s="296" t="s">
        <v>2510</v>
      </c>
      <c r="AE32" s="252">
        <v>320</v>
      </c>
      <c r="AI32" s="252">
        <v>3035</v>
      </c>
      <c r="AJ32" s="252">
        <v>1.1000000000000001</v>
      </c>
      <c r="AK32" s="252">
        <f t="shared" si="0"/>
        <v>3338.5</v>
      </c>
    </row>
    <row r="33" spans="1:37" hidden="1">
      <c r="A33" s="437">
        <f t="shared" si="3"/>
        <v>24</v>
      </c>
      <c r="B33" s="296" t="s">
        <v>441</v>
      </c>
      <c r="C33" s="252">
        <v>3.64</v>
      </c>
      <c r="D33" s="252">
        <f>AE35</f>
        <v>240</v>
      </c>
      <c r="K33" s="358" t="s">
        <v>1579</v>
      </c>
      <c r="T33" s="369" t="s">
        <v>442</v>
      </c>
      <c r="U33" s="296" t="s">
        <v>1413</v>
      </c>
      <c r="V33" s="296" t="s">
        <v>858</v>
      </c>
      <c r="W33" s="296" t="s">
        <v>2255</v>
      </c>
      <c r="X33" s="252">
        <v>0</v>
      </c>
      <c r="Y33" s="252">
        <v>26500</v>
      </c>
      <c r="Z33" s="252">
        <v>0</v>
      </c>
      <c r="AA33" s="253">
        <v>0</v>
      </c>
      <c r="AB33" s="296">
        <v>0</v>
      </c>
      <c r="AC33" s="296">
        <f t="shared" si="4"/>
        <v>26500</v>
      </c>
      <c r="AD33" s="296" t="s">
        <v>2511</v>
      </c>
      <c r="AE33" s="252">
        <v>3035</v>
      </c>
      <c r="AI33" s="252">
        <v>267</v>
      </c>
      <c r="AJ33" s="252">
        <v>1.1000000000000001</v>
      </c>
      <c r="AK33" s="252">
        <f t="shared" si="0"/>
        <v>293.7</v>
      </c>
    </row>
    <row r="34" spans="1:37" hidden="1">
      <c r="A34" s="437">
        <f t="shared" si="3"/>
        <v>25</v>
      </c>
      <c r="B34" s="296" t="s">
        <v>1414</v>
      </c>
      <c r="C34" s="252">
        <v>30000</v>
      </c>
      <c r="D34" s="252">
        <v>30000</v>
      </c>
      <c r="G34" s="252" t="s">
        <v>2241</v>
      </c>
      <c r="H34" s="296" t="s">
        <v>1302</v>
      </c>
      <c r="T34" s="369" t="s">
        <v>1415</v>
      </c>
      <c r="U34" s="296" t="s">
        <v>1416</v>
      </c>
      <c r="V34" s="296" t="s">
        <v>1439</v>
      </c>
      <c r="W34" s="252" t="str">
        <f>W18</f>
        <v>Nerkundram</v>
      </c>
      <c r="X34" s="252" t="e">
        <f>X18</f>
        <v>#REF!</v>
      </c>
      <c r="Y34" s="252">
        <f>Y29</f>
        <v>1470</v>
      </c>
      <c r="Z34" s="252" t="e">
        <f>Z29</f>
        <v>#REF!</v>
      </c>
      <c r="AA34" s="253">
        <v>0</v>
      </c>
      <c r="AB34" s="296">
        <v>0</v>
      </c>
      <c r="AC34" s="296" t="e">
        <f t="shared" si="4"/>
        <v>#REF!</v>
      </c>
      <c r="AD34" s="296" t="s">
        <v>2512</v>
      </c>
      <c r="AE34" s="252">
        <v>267</v>
      </c>
      <c r="AI34" s="252">
        <v>240</v>
      </c>
      <c r="AJ34" s="252">
        <v>1.1000000000000001</v>
      </c>
      <c r="AK34" s="252">
        <f t="shared" si="0"/>
        <v>264</v>
      </c>
    </row>
    <row r="35" spans="1:37" hidden="1">
      <c r="A35" s="437">
        <f t="shared" si="3"/>
        <v>26</v>
      </c>
      <c r="B35" s="296" t="s">
        <v>2513</v>
      </c>
      <c r="C35" s="252">
        <f>AC38</f>
        <v>169</v>
      </c>
      <c r="F35" s="252">
        <v>0.36</v>
      </c>
      <c r="G35" s="252" t="s">
        <v>858</v>
      </c>
      <c r="H35" s="296" t="s">
        <v>859</v>
      </c>
      <c r="I35" s="252">
        <f>C67</f>
        <v>3800</v>
      </c>
      <c r="J35" s="253" t="s">
        <v>858</v>
      </c>
      <c r="K35" s="252">
        <f>(F35*I35)</f>
        <v>1368</v>
      </c>
      <c r="T35" s="253" t="s">
        <v>1417</v>
      </c>
      <c r="U35" s="296" t="s">
        <v>396</v>
      </c>
      <c r="V35" s="296" t="s">
        <v>863</v>
      </c>
      <c r="W35" s="296" t="str">
        <f>W11</f>
        <v>Pallavaram</v>
      </c>
      <c r="X35" s="252">
        <v>18</v>
      </c>
      <c r="Y35" s="407">
        <v>278</v>
      </c>
      <c r="Z35" s="252" t="e">
        <f>Z11</f>
        <v>#REF!</v>
      </c>
      <c r="AA35" s="253">
        <v>0</v>
      </c>
      <c r="AB35" s="296">
        <v>0</v>
      </c>
      <c r="AC35" s="296" t="e">
        <f t="shared" si="4"/>
        <v>#REF!</v>
      </c>
      <c r="AD35" s="296" t="s">
        <v>2514</v>
      </c>
      <c r="AE35" s="252">
        <v>240</v>
      </c>
      <c r="AI35" s="252">
        <v>37.299999999999997</v>
      </c>
      <c r="AJ35" s="252">
        <v>1.1000000000000001</v>
      </c>
      <c r="AK35" s="252">
        <f t="shared" si="0"/>
        <v>41.03</v>
      </c>
    </row>
    <row r="36" spans="1:37" hidden="1">
      <c r="B36" s="296" t="s">
        <v>745</v>
      </c>
      <c r="C36" s="252">
        <v>2.6</v>
      </c>
      <c r="F36" s="252">
        <v>1</v>
      </c>
      <c r="G36" s="252" t="s">
        <v>866</v>
      </c>
      <c r="H36" s="296" t="s">
        <v>867</v>
      </c>
      <c r="I36" s="252" t="e">
        <f>C78</f>
        <v>#REF!</v>
      </c>
      <c r="J36" s="253" t="s">
        <v>866</v>
      </c>
      <c r="K36" s="252" t="e">
        <f>(F36*I36)</f>
        <v>#REF!</v>
      </c>
      <c r="T36" s="253" t="s">
        <v>224</v>
      </c>
      <c r="U36" s="296" t="s">
        <v>395</v>
      </c>
      <c r="V36" s="296" t="s">
        <v>863</v>
      </c>
      <c r="W36" s="296" t="str">
        <f>W12</f>
        <v>Pallavaram</v>
      </c>
      <c r="X36" s="252">
        <v>18</v>
      </c>
      <c r="Y36" s="407">
        <v>334.5</v>
      </c>
      <c r="Z36" s="252" t="e">
        <f>Z12</f>
        <v>#REF!</v>
      </c>
      <c r="AA36" s="253">
        <v>0</v>
      </c>
      <c r="AB36" s="296">
        <v>0</v>
      </c>
      <c r="AC36" s="296" t="e">
        <f t="shared" si="4"/>
        <v>#REF!</v>
      </c>
      <c r="AD36" s="296" t="s">
        <v>2515</v>
      </c>
      <c r="AE36" s="407">
        <v>37.299999999999997</v>
      </c>
      <c r="AF36" s="407"/>
      <c r="AG36" s="407"/>
      <c r="AI36" s="252">
        <v>95.5</v>
      </c>
      <c r="AJ36" s="252">
        <v>1.1000000000000001</v>
      </c>
      <c r="AK36" s="252">
        <f t="shared" si="0"/>
        <v>105.05</v>
      </c>
    </row>
    <row r="37" spans="1:37" hidden="1">
      <c r="F37" s="252">
        <v>1</v>
      </c>
      <c r="G37" s="252" t="s">
        <v>866</v>
      </c>
      <c r="H37" s="296" t="s">
        <v>871</v>
      </c>
      <c r="I37" s="252">
        <f>C18</f>
        <v>26</v>
      </c>
      <c r="J37" s="253" t="s">
        <v>866</v>
      </c>
      <c r="K37" s="252">
        <f>(F37*I37)</f>
        <v>26</v>
      </c>
      <c r="T37" s="253" t="s">
        <v>1665</v>
      </c>
      <c r="U37" s="296" t="s">
        <v>413</v>
      </c>
      <c r="V37" s="296" t="s">
        <v>863</v>
      </c>
      <c r="W37" s="296" t="str">
        <f>W13</f>
        <v>Pallavaram</v>
      </c>
      <c r="X37" s="252">
        <v>18</v>
      </c>
      <c r="Y37" s="407">
        <v>278.5</v>
      </c>
      <c r="Z37" s="252" t="e">
        <f>Z13</f>
        <v>#REF!</v>
      </c>
      <c r="AA37" s="253">
        <v>0</v>
      </c>
      <c r="AB37" s="296">
        <v>0</v>
      </c>
      <c r="AC37" s="296" t="e">
        <f t="shared" si="4"/>
        <v>#REF!</v>
      </c>
      <c r="AD37" s="296" t="s">
        <v>2516</v>
      </c>
      <c r="AE37" s="252">
        <v>120</v>
      </c>
    </row>
    <row r="38" spans="1:37" hidden="1">
      <c r="A38" s="437">
        <f>(A35+1)</f>
        <v>27</v>
      </c>
      <c r="B38" s="296" t="s">
        <v>1666</v>
      </c>
      <c r="C38" s="252">
        <v>40</v>
      </c>
      <c r="D38" s="296" t="s">
        <v>865</v>
      </c>
      <c r="G38" s="252" t="s">
        <v>446</v>
      </c>
      <c r="H38" s="296" t="s">
        <v>447</v>
      </c>
      <c r="I38" s="296" t="s">
        <v>971</v>
      </c>
      <c r="J38" s="253" t="s">
        <v>446</v>
      </c>
      <c r="K38" s="252">
        <v>0</v>
      </c>
      <c r="T38" s="253" t="s">
        <v>206</v>
      </c>
      <c r="U38" s="296" t="s">
        <v>207</v>
      </c>
      <c r="V38" s="296" t="s">
        <v>863</v>
      </c>
      <c r="W38" s="296" t="s">
        <v>2517</v>
      </c>
      <c r="X38" s="252">
        <v>20</v>
      </c>
      <c r="Y38" s="407">
        <v>83</v>
      </c>
      <c r="Z38" s="252">
        <v>86</v>
      </c>
      <c r="AA38" s="253">
        <v>0</v>
      </c>
      <c r="AB38" s="296">
        <v>0</v>
      </c>
      <c r="AC38" s="296">
        <f t="shared" si="4"/>
        <v>169</v>
      </c>
      <c r="AD38" s="296" t="s">
        <v>971</v>
      </c>
      <c r="AE38" s="407"/>
      <c r="AG38" s="296" t="s">
        <v>2249</v>
      </c>
    </row>
    <row r="39" spans="1:37" hidden="1">
      <c r="A39" s="437">
        <f t="shared" ref="A39:A58" si="5">(A38+1)</f>
        <v>28</v>
      </c>
      <c r="B39" s="296" t="s">
        <v>208</v>
      </c>
      <c r="C39" s="252">
        <v>41</v>
      </c>
      <c r="D39" s="252">
        <v>500</v>
      </c>
      <c r="K39" s="358" t="s">
        <v>1579</v>
      </c>
      <c r="T39" s="253"/>
      <c r="AA39" s="253"/>
      <c r="AG39" s="296" t="s">
        <v>2249</v>
      </c>
    </row>
    <row r="40" spans="1:37" hidden="1">
      <c r="A40" s="437">
        <f t="shared" si="5"/>
        <v>29</v>
      </c>
      <c r="B40" s="296" t="s">
        <v>1009</v>
      </c>
      <c r="C40" s="252">
        <v>28</v>
      </c>
      <c r="D40" s="252">
        <f>95+95*0.11</f>
        <v>105.45</v>
      </c>
      <c r="H40" s="296" t="s">
        <v>1509</v>
      </c>
      <c r="K40" s="252" t="e">
        <f>SUM(K35:K38)</f>
        <v>#REF!</v>
      </c>
      <c r="T40" s="358" t="s">
        <v>1579</v>
      </c>
      <c r="U40" s="358" t="s">
        <v>1579</v>
      </c>
      <c r="V40" s="358" t="s">
        <v>1579</v>
      </c>
      <c r="W40" s="358" t="s">
        <v>1579</v>
      </c>
      <c r="X40" s="358" t="s">
        <v>1579</v>
      </c>
      <c r="Y40" s="358" t="s">
        <v>1579</v>
      </c>
      <c r="Z40" s="358" t="s">
        <v>1579</v>
      </c>
      <c r="AA40" s="358" t="s">
        <v>1579</v>
      </c>
      <c r="AB40" s="358" t="s">
        <v>1579</v>
      </c>
      <c r="AC40" s="358" t="s">
        <v>1579</v>
      </c>
      <c r="AD40" s="358" t="s">
        <v>1579</v>
      </c>
      <c r="AE40" s="358" t="s">
        <v>1579</v>
      </c>
      <c r="AF40" s="358"/>
      <c r="AG40" s="296" t="s">
        <v>2249</v>
      </c>
    </row>
    <row r="41" spans="1:37" ht="47.25" hidden="1" customHeight="1">
      <c r="A41" s="437">
        <f t="shared" si="5"/>
        <v>30</v>
      </c>
      <c r="B41" s="296" t="s">
        <v>1761</v>
      </c>
      <c r="C41" s="252">
        <f>AE22</f>
        <v>110</v>
      </c>
      <c r="D41" s="296" t="s">
        <v>766</v>
      </c>
      <c r="K41" s="358" t="s">
        <v>1579</v>
      </c>
      <c r="U41" s="659"/>
      <c r="Y41" s="296" t="s">
        <v>971</v>
      </c>
      <c r="AG41" s="296" t="s">
        <v>2249</v>
      </c>
    </row>
    <row r="42" spans="1:37" hidden="1">
      <c r="A42" s="437">
        <f t="shared" si="5"/>
        <v>31</v>
      </c>
      <c r="B42" s="296" t="s">
        <v>1762</v>
      </c>
      <c r="C42" s="252">
        <v>1.75</v>
      </c>
      <c r="D42" s="296" t="s">
        <v>1763</v>
      </c>
      <c r="G42" s="252" t="s">
        <v>2241</v>
      </c>
      <c r="H42" s="296" t="s">
        <v>1617</v>
      </c>
      <c r="U42" s="252" t="s">
        <v>1501</v>
      </c>
      <c r="AG42" s="296" t="s">
        <v>2249</v>
      </c>
    </row>
    <row r="43" spans="1:37" hidden="1">
      <c r="A43" s="437">
        <f t="shared" si="5"/>
        <v>32</v>
      </c>
      <c r="B43" s="296" t="s">
        <v>1618</v>
      </c>
      <c r="C43" s="252">
        <v>2.2000000000000002</v>
      </c>
      <c r="D43" s="296" t="s">
        <v>766</v>
      </c>
      <c r="H43" s="358" t="s">
        <v>1579</v>
      </c>
      <c r="AG43" s="296" t="s">
        <v>2249</v>
      </c>
    </row>
    <row r="44" spans="1:37" hidden="1">
      <c r="A44" s="437">
        <f t="shared" si="5"/>
        <v>33</v>
      </c>
      <c r="B44" s="296" t="s">
        <v>257</v>
      </c>
      <c r="C44" s="252">
        <v>2.2000000000000002</v>
      </c>
      <c r="D44" s="296" t="s">
        <v>766</v>
      </c>
      <c r="F44" s="356">
        <v>0.28799999999999998</v>
      </c>
      <c r="G44" s="252" t="s">
        <v>858</v>
      </c>
      <c r="H44" s="296" t="s">
        <v>859</v>
      </c>
      <c r="I44" s="252">
        <f>(C67)</f>
        <v>3800</v>
      </c>
      <c r="J44" s="253" t="s">
        <v>858</v>
      </c>
      <c r="K44" s="252">
        <f>(F44*I44)</f>
        <v>1094.4000000000001</v>
      </c>
      <c r="AG44" s="296" t="s">
        <v>2249</v>
      </c>
    </row>
    <row r="45" spans="1:37" hidden="1">
      <c r="A45" s="437">
        <f t="shared" si="5"/>
        <v>34</v>
      </c>
      <c r="B45" s="296" t="s">
        <v>1903</v>
      </c>
      <c r="C45" s="252">
        <v>2.7</v>
      </c>
      <c r="D45" s="296" t="s">
        <v>766</v>
      </c>
      <c r="F45" s="252">
        <v>1</v>
      </c>
      <c r="G45" s="252" t="s">
        <v>866</v>
      </c>
      <c r="H45" s="296" t="s">
        <v>867</v>
      </c>
      <c r="I45" s="252" t="e">
        <f>(C78)</f>
        <v>#REF!</v>
      </c>
      <c r="J45" s="253" t="s">
        <v>866</v>
      </c>
      <c r="K45" s="252" t="e">
        <f>(F45*I45)</f>
        <v>#REF!</v>
      </c>
      <c r="AG45" s="296" t="s">
        <v>2249</v>
      </c>
    </row>
    <row r="46" spans="1:37" hidden="1">
      <c r="A46" s="437">
        <f t="shared" si="5"/>
        <v>35</v>
      </c>
      <c r="B46" s="296" t="s">
        <v>76</v>
      </c>
      <c r="C46" s="252">
        <v>3.2</v>
      </c>
      <c r="D46" s="296" t="s">
        <v>766</v>
      </c>
      <c r="F46" s="252">
        <v>1</v>
      </c>
      <c r="G46" s="252" t="s">
        <v>866</v>
      </c>
      <c r="H46" s="296" t="s">
        <v>871</v>
      </c>
      <c r="I46" s="252">
        <f>(C18)</f>
        <v>26</v>
      </c>
      <c r="J46" s="253" t="s">
        <v>866</v>
      </c>
      <c r="K46" s="252">
        <f>(F46*I46)</f>
        <v>26</v>
      </c>
      <c r="W46" s="296" t="s">
        <v>1654</v>
      </c>
      <c r="AA46" s="296" t="s">
        <v>77</v>
      </c>
      <c r="AE46" s="252" t="s">
        <v>2302</v>
      </c>
      <c r="AG46" s="296" t="s">
        <v>2249</v>
      </c>
    </row>
    <row r="47" spans="1:37" hidden="1">
      <c r="A47" s="437">
        <f t="shared" si="5"/>
        <v>36</v>
      </c>
      <c r="B47" s="296" t="s">
        <v>78</v>
      </c>
      <c r="C47" s="252">
        <v>4.2</v>
      </c>
      <c r="D47" s="296" t="s">
        <v>766</v>
      </c>
      <c r="G47" s="252" t="s">
        <v>446</v>
      </c>
      <c r="H47" s="296" t="s">
        <v>447</v>
      </c>
      <c r="I47" s="296" t="s">
        <v>971</v>
      </c>
      <c r="J47" s="253" t="s">
        <v>446</v>
      </c>
      <c r="K47" s="252">
        <v>0</v>
      </c>
      <c r="N47" s="296" t="s">
        <v>2241</v>
      </c>
      <c r="O47" s="296" t="s">
        <v>1250</v>
      </c>
      <c r="AG47" s="296" t="s">
        <v>2249</v>
      </c>
    </row>
    <row r="48" spans="1:37" hidden="1">
      <c r="A48" s="437">
        <f t="shared" si="5"/>
        <v>37</v>
      </c>
      <c r="B48" s="296" t="s">
        <v>1251</v>
      </c>
      <c r="C48" s="252">
        <v>5.35</v>
      </c>
      <c r="D48" s="252">
        <v>10.65</v>
      </c>
      <c r="K48" s="358" t="s">
        <v>1579</v>
      </c>
      <c r="O48" s="296" t="s">
        <v>640</v>
      </c>
      <c r="AG48" s="296" t="s">
        <v>2249</v>
      </c>
    </row>
    <row r="49" spans="1:33" hidden="1">
      <c r="A49" s="437">
        <f t="shared" si="5"/>
        <v>38</v>
      </c>
      <c r="B49" s="296" t="s">
        <v>1698</v>
      </c>
      <c r="C49" s="252">
        <v>5.85</v>
      </c>
      <c r="D49" s="252">
        <v>7.45</v>
      </c>
      <c r="H49" s="296" t="s">
        <v>1509</v>
      </c>
      <c r="K49" s="252" t="e">
        <f>SUM(K44:K47)</f>
        <v>#REF!</v>
      </c>
      <c r="O49" s="358" t="s">
        <v>1579</v>
      </c>
      <c r="AG49" s="296" t="s">
        <v>2249</v>
      </c>
    </row>
    <row r="50" spans="1:33" hidden="1">
      <c r="A50" s="437">
        <f t="shared" si="5"/>
        <v>39</v>
      </c>
      <c r="B50" s="296" t="s">
        <v>1621</v>
      </c>
      <c r="C50" s="252">
        <v>3.2</v>
      </c>
      <c r="D50" s="296" t="s">
        <v>766</v>
      </c>
      <c r="K50" s="358" t="s">
        <v>1579</v>
      </c>
      <c r="M50" s="252">
        <v>9</v>
      </c>
      <c r="N50" s="296" t="s">
        <v>866</v>
      </c>
      <c r="O50" s="296" t="s">
        <v>640</v>
      </c>
      <c r="P50" s="252" t="e">
        <f>(C81)</f>
        <v>#REF!</v>
      </c>
      <c r="Q50" s="296" t="s">
        <v>866</v>
      </c>
      <c r="R50" s="252" t="e">
        <f>(M50*P50)</f>
        <v>#REF!</v>
      </c>
      <c r="AG50" s="296" t="s">
        <v>2249</v>
      </c>
    </row>
    <row r="51" spans="1:33" hidden="1">
      <c r="A51" s="437">
        <f t="shared" si="5"/>
        <v>40</v>
      </c>
      <c r="B51" s="296" t="s">
        <v>1622</v>
      </c>
      <c r="C51" s="252">
        <v>3.2</v>
      </c>
      <c r="D51" s="296" t="s">
        <v>766</v>
      </c>
      <c r="G51" s="252" t="s">
        <v>2241</v>
      </c>
      <c r="H51" s="296" t="s">
        <v>1623</v>
      </c>
      <c r="M51" s="252">
        <v>4.5</v>
      </c>
      <c r="N51" s="296" t="s">
        <v>866</v>
      </c>
      <c r="O51" s="296" t="s">
        <v>1624</v>
      </c>
      <c r="P51" s="252" t="e">
        <f>(K77)</f>
        <v>#REF!</v>
      </c>
      <c r="Q51" s="296" t="s">
        <v>866</v>
      </c>
      <c r="R51" s="252" t="e">
        <f>(M51*P51)</f>
        <v>#REF!</v>
      </c>
      <c r="AG51" s="296" t="s">
        <v>2249</v>
      </c>
    </row>
    <row r="52" spans="1:33" hidden="1">
      <c r="A52" s="437">
        <f t="shared" si="5"/>
        <v>41</v>
      </c>
      <c r="B52" s="296" t="s">
        <v>1703</v>
      </c>
      <c r="C52" s="252">
        <v>6.4</v>
      </c>
      <c r="D52" s="296" t="s">
        <v>766</v>
      </c>
      <c r="H52" s="358" t="s">
        <v>1579</v>
      </c>
      <c r="M52" s="252">
        <v>1.8</v>
      </c>
      <c r="N52" s="296" t="s">
        <v>865</v>
      </c>
      <c r="O52" s="296" t="s">
        <v>1704</v>
      </c>
      <c r="P52" s="252">
        <f>(C11)</f>
        <v>135</v>
      </c>
      <c r="Q52" s="296" t="s">
        <v>865</v>
      </c>
      <c r="R52" s="252">
        <f>(M52*P52)</f>
        <v>243</v>
      </c>
      <c r="AG52" s="296" t="s">
        <v>2249</v>
      </c>
    </row>
    <row r="53" spans="1:33" hidden="1">
      <c r="A53" s="437">
        <f t="shared" si="5"/>
        <v>42</v>
      </c>
      <c r="B53" s="296" t="s">
        <v>1892</v>
      </c>
      <c r="C53" s="252">
        <v>8.5500000000000007</v>
      </c>
      <c r="D53" s="252">
        <v>21.3</v>
      </c>
      <c r="F53" s="252">
        <v>0.24</v>
      </c>
      <c r="G53" s="252" t="s">
        <v>858</v>
      </c>
      <c r="H53" s="296" t="s">
        <v>859</v>
      </c>
      <c r="I53" s="252">
        <f>(C67)</f>
        <v>3800</v>
      </c>
      <c r="J53" s="253" t="s">
        <v>858</v>
      </c>
      <c r="K53" s="252">
        <f>(F53*I53)</f>
        <v>912</v>
      </c>
      <c r="M53" s="252">
        <v>17.7</v>
      </c>
      <c r="N53" s="296" t="s">
        <v>865</v>
      </c>
      <c r="O53" s="296" t="s">
        <v>1893</v>
      </c>
      <c r="P53" s="252">
        <f>(C12)</f>
        <v>95</v>
      </c>
      <c r="Q53" s="296" t="s">
        <v>865</v>
      </c>
      <c r="R53" s="252">
        <f>(M53*P53)</f>
        <v>1681.5</v>
      </c>
      <c r="AG53" s="296" t="s">
        <v>2249</v>
      </c>
    </row>
    <row r="54" spans="1:33" hidden="1">
      <c r="A54" s="437">
        <f t="shared" si="5"/>
        <v>43</v>
      </c>
      <c r="B54" s="296" t="s">
        <v>316</v>
      </c>
      <c r="C54" s="252">
        <v>9.5500000000000007</v>
      </c>
      <c r="D54" s="252">
        <v>16</v>
      </c>
      <c r="F54" s="252">
        <v>1</v>
      </c>
      <c r="G54" s="252" t="s">
        <v>866</v>
      </c>
      <c r="H54" s="296" t="s">
        <v>867</v>
      </c>
      <c r="I54" s="252" t="e">
        <f>(C78)</f>
        <v>#REF!</v>
      </c>
      <c r="J54" s="253" t="s">
        <v>866</v>
      </c>
      <c r="K54" s="252" t="e">
        <f>(F54*I54)</f>
        <v>#REF!</v>
      </c>
      <c r="M54" s="252">
        <v>14.1</v>
      </c>
      <c r="N54" s="296" t="s">
        <v>865</v>
      </c>
      <c r="O54" s="296" t="s">
        <v>317</v>
      </c>
      <c r="P54" s="252">
        <f>(C13)</f>
        <v>85</v>
      </c>
      <c r="Q54" s="296" t="s">
        <v>865</v>
      </c>
      <c r="R54" s="252">
        <f>(M54*P54)</f>
        <v>1198.5</v>
      </c>
      <c r="AG54" s="296" t="s">
        <v>318</v>
      </c>
    </row>
    <row r="55" spans="1:33" hidden="1">
      <c r="A55" s="437">
        <f t="shared" si="5"/>
        <v>44</v>
      </c>
      <c r="B55" s="296" t="s">
        <v>319</v>
      </c>
      <c r="C55" s="252">
        <v>10.65</v>
      </c>
      <c r="D55" s="252">
        <v>12.75</v>
      </c>
      <c r="F55" s="252">
        <v>1</v>
      </c>
      <c r="G55" s="252" t="s">
        <v>866</v>
      </c>
      <c r="H55" s="296" t="s">
        <v>871</v>
      </c>
      <c r="I55" s="252">
        <f>(C18)</f>
        <v>26</v>
      </c>
      <c r="J55" s="253" t="s">
        <v>866</v>
      </c>
      <c r="K55" s="252">
        <f>(F55*I55)</f>
        <v>26</v>
      </c>
      <c r="N55" s="296" t="s">
        <v>446</v>
      </c>
      <c r="O55" s="296" t="s">
        <v>447</v>
      </c>
      <c r="Q55" s="296" t="s">
        <v>446</v>
      </c>
      <c r="R55" s="252">
        <v>0</v>
      </c>
    </row>
    <row r="56" spans="1:33" hidden="1">
      <c r="A56" s="437">
        <f t="shared" si="5"/>
        <v>45</v>
      </c>
      <c r="B56" s="296" t="s">
        <v>320</v>
      </c>
      <c r="C56" s="252">
        <v>12.1</v>
      </c>
      <c r="D56" s="296" t="s">
        <v>446</v>
      </c>
      <c r="G56" s="252" t="s">
        <v>446</v>
      </c>
      <c r="H56" s="296" t="s">
        <v>447</v>
      </c>
      <c r="I56" s="296" t="s">
        <v>971</v>
      </c>
      <c r="J56" s="253" t="s">
        <v>446</v>
      </c>
      <c r="K56" s="252">
        <v>0</v>
      </c>
      <c r="R56" s="358" t="s">
        <v>1579</v>
      </c>
    </row>
    <row r="57" spans="1:33" hidden="1">
      <c r="A57" s="437">
        <f t="shared" si="5"/>
        <v>46</v>
      </c>
      <c r="B57" s="296" t="s">
        <v>610</v>
      </c>
      <c r="C57" s="252">
        <v>35</v>
      </c>
      <c r="D57" s="296" t="s">
        <v>446</v>
      </c>
      <c r="K57" s="358" t="s">
        <v>1579</v>
      </c>
      <c r="O57" s="296" t="s">
        <v>611</v>
      </c>
      <c r="R57" s="252" t="e">
        <f>SUM(R50:R55)</f>
        <v>#REF!</v>
      </c>
      <c r="AG57" s="296" t="s">
        <v>2249</v>
      </c>
    </row>
    <row r="58" spans="1:33" hidden="1">
      <c r="A58" s="437">
        <f t="shared" si="5"/>
        <v>47</v>
      </c>
      <c r="B58" s="296" t="s">
        <v>612</v>
      </c>
      <c r="C58" s="252">
        <v>15</v>
      </c>
      <c r="D58" s="296" t="s">
        <v>446</v>
      </c>
      <c r="H58" s="296" t="s">
        <v>1509</v>
      </c>
      <c r="K58" s="252" t="e">
        <f>SUM(K53:K56)</f>
        <v>#REF!</v>
      </c>
      <c r="R58" s="358" t="s">
        <v>1579</v>
      </c>
      <c r="AG58" s="296" t="s">
        <v>2249</v>
      </c>
    </row>
    <row r="59" spans="1:33" hidden="1">
      <c r="F59" s="296" t="s">
        <v>971</v>
      </c>
    </row>
    <row r="60" spans="1:33" hidden="1">
      <c r="A60" s="437">
        <f>(A58+1)</f>
        <v>48</v>
      </c>
      <c r="B60" s="296" t="s">
        <v>613</v>
      </c>
      <c r="C60" s="252">
        <v>6.55</v>
      </c>
      <c r="D60" s="296" t="s">
        <v>2068</v>
      </c>
      <c r="K60" s="358" t="s">
        <v>1579</v>
      </c>
      <c r="O60" s="296" t="s">
        <v>770</v>
      </c>
      <c r="R60" s="252" t="e">
        <f>(R57/10)</f>
        <v>#REF!</v>
      </c>
      <c r="AG60" s="296" t="s">
        <v>2249</v>
      </c>
    </row>
    <row r="61" spans="1:33" hidden="1">
      <c r="A61" s="437">
        <f t="shared" ref="A61:A91" si="6">(A60+1)</f>
        <v>49</v>
      </c>
      <c r="B61" s="296" t="s">
        <v>2069</v>
      </c>
      <c r="C61" s="252">
        <f>AE29</f>
        <v>25</v>
      </c>
      <c r="D61" s="252">
        <f>AE36</f>
        <v>37.299999999999997</v>
      </c>
      <c r="G61" s="252" t="s">
        <v>2241</v>
      </c>
      <c r="H61" s="296" t="s">
        <v>2070</v>
      </c>
      <c r="R61" s="358" t="s">
        <v>2046</v>
      </c>
      <c r="AG61" s="296" t="s">
        <v>2249</v>
      </c>
    </row>
    <row r="62" spans="1:33" hidden="1">
      <c r="A62" s="437">
        <f t="shared" si="6"/>
        <v>50</v>
      </c>
      <c r="B62" s="296" t="s">
        <v>2071</v>
      </c>
      <c r="C62" s="252">
        <v>85.5</v>
      </c>
      <c r="D62" s="296" t="s">
        <v>865</v>
      </c>
      <c r="H62" s="358" t="s">
        <v>1579</v>
      </c>
      <c r="N62" s="296" t="s">
        <v>2241</v>
      </c>
      <c r="O62" s="296" t="s">
        <v>1352</v>
      </c>
      <c r="AG62" s="296" t="s">
        <v>2249</v>
      </c>
    </row>
    <row r="63" spans="1:33" hidden="1">
      <c r="A63" s="437">
        <f t="shared" si="6"/>
        <v>51</v>
      </c>
      <c r="B63" s="296" t="s">
        <v>2036</v>
      </c>
      <c r="C63" s="252">
        <v>42</v>
      </c>
      <c r="D63" s="296" t="s">
        <v>446</v>
      </c>
      <c r="F63" s="356">
        <v>0.20599999999999999</v>
      </c>
      <c r="G63" s="252" t="s">
        <v>858</v>
      </c>
      <c r="H63" s="296" t="s">
        <v>859</v>
      </c>
      <c r="I63" s="252">
        <f>(C67)</f>
        <v>3800</v>
      </c>
      <c r="J63" s="253" t="s">
        <v>858</v>
      </c>
      <c r="K63" s="252">
        <f>(F63*I63)</f>
        <v>782.8</v>
      </c>
      <c r="O63" s="296" t="s">
        <v>1480</v>
      </c>
      <c r="AG63" s="296" t="s">
        <v>2249</v>
      </c>
    </row>
    <row r="64" spans="1:33" hidden="1">
      <c r="A64" s="437">
        <f t="shared" si="6"/>
        <v>52</v>
      </c>
      <c r="B64" s="296" t="s">
        <v>1540</v>
      </c>
      <c r="C64" s="252">
        <v>62.5</v>
      </c>
      <c r="D64" s="296" t="s">
        <v>866</v>
      </c>
      <c r="F64" s="252">
        <v>1</v>
      </c>
      <c r="G64" s="252" t="s">
        <v>866</v>
      </c>
      <c r="H64" s="296" t="s">
        <v>867</v>
      </c>
      <c r="I64" s="252" t="e">
        <f>(C78)</f>
        <v>#REF!</v>
      </c>
      <c r="J64" s="253" t="s">
        <v>866</v>
      </c>
      <c r="K64" s="252" t="e">
        <f>(F64*I64)</f>
        <v>#REF!</v>
      </c>
      <c r="O64" s="358" t="s">
        <v>1579</v>
      </c>
      <c r="AG64" s="296" t="s">
        <v>2249</v>
      </c>
    </row>
    <row r="65" spans="1:33" hidden="1">
      <c r="A65" s="437">
        <f t="shared" si="6"/>
        <v>53</v>
      </c>
      <c r="B65" s="296" t="s">
        <v>1353</v>
      </c>
      <c r="C65" s="252">
        <v>303</v>
      </c>
      <c r="D65" s="296" t="s">
        <v>1354</v>
      </c>
      <c r="F65" s="252">
        <v>1</v>
      </c>
      <c r="G65" s="252" t="s">
        <v>866</v>
      </c>
      <c r="H65" s="296" t="s">
        <v>871</v>
      </c>
      <c r="I65" s="252">
        <f>(C18)</f>
        <v>26</v>
      </c>
      <c r="J65" s="253" t="s">
        <v>866</v>
      </c>
      <c r="K65" s="252">
        <f>(F65*I65)</f>
        <v>26</v>
      </c>
      <c r="M65" s="252">
        <v>9</v>
      </c>
      <c r="N65" s="296" t="s">
        <v>866</v>
      </c>
      <c r="O65" s="296" t="s">
        <v>1480</v>
      </c>
      <c r="P65" s="252" t="e">
        <f>(C73)</f>
        <v>#REF!</v>
      </c>
      <c r="Q65" s="296" t="s">
        <v>866</v>
      </c>
      <c r="R65" s="252" t="e">
        <f>(M65*P65)</f>
        <v>#REF!</v>
      </c>
      <c r="AG65" s="296" t="s">
        <v>2249</v>
      </c>
    </row>
    <row r="66" spans="1:33" hidden="1">
      <c r="A66" s="437">
        <f t="shared" si="6"/>
        <v>54</v>
      </c>
      <c r="B66" s="296" t="s">
        <v>1487</v>
      </c>
      <c r="C66" s="252">
        <f>AE18</f>
        <v>120</v>
      </c>
      <c r="D66" s="296" t="s">
        <v>865</v>
      </c>
      <c r="G66" s="252" t="s">
        <v>446</v>
      </c>
      <c r="H66" s="296" t="s">
        <v>447</v>
      </c>
      <c r="I66" s="296" t="s">
        <v>971</v>
      </c>
      <c r="J66" s="253" t="s">
        <v>446</v>
      </c>
      <c r="K66" s="252">
        <v>0</v>
      </c>
      <c r="M66" s="252">
        <v>4.5</v>
      </c>
      <c r="N66" s="296" t="s">
        <v>866</v>
      </c>
      <c r="O66" s="296" t="s">
        <v>119</v>
      </c>
      <c r="P66" s="252" t="e">
        <f>(K23)</f>
        <v>#REF!</v>
      </c>
      <c r="Q66" s="296" t="s">
        <v>866</v>
      </c>
      <c r="R66" s="252" t="e">
        <f>(M66*P66)</f>
        <v>#REF!</v>
      </c>
      <c r="AG66" s="296" t="s">
        <v>2249</v>
      </c>
    </row>
    <row r="67" spans="1:33" hidden="1">
      <c r="A67" s="437">
        <f t="shared" si="6"/>
        <v>55</v>
      </c>
      <c r="B67" s="296" t="s">
        <v>859</v>
      </c>
      <c r="C67" s="252">
        <f>AC31</f>
        <v>3800</v>
      </c>
      <c r="D67" s="296" t="s">
        <v>858</v>
      </c>
      <c r="K67" s="358" t="s">
        <v>1579</v>
      </c>
      <c r="M67" s="252">
        <v>1.8</v>
      </c>
      <c r="N67" s="296" t="s">
        <v>865</v>
      </c>
      <c r="O67" s="296" t="s">
        <v>1704</v>
      </c>
      <c r="P67" s="252">
        <f>(C11)</f>
        <v>135</v>
      </c>
      <c r="Q67" s="296" t="s">
        <v>865</v>
      </c>
      <c r="R67" s="252">
        <f>(M67*P67)</f>
        <v>243</v>
      </c>
      <c r="AG67" s="296" t="s">
        <v>2249</v>
      </c>
    </row>
    <row r="68" spans="1:33" hidden="1">
      <c r="A68" s="437">
        <f t="shared" si="6"/>
        <v>56</v>
      </c>
      <c r="B68" s="296" t="s">
        <v>1488</v>
      </c>
      <c r="C68" s="252" t="e">
        <f t="shared" ref="C68:C74" si="7">AC9</f>
        <v>#REF!</v>
      </c>
      <c r="D68" s="296" t="s">
        <v>866</v>
      </c>
      <c r="H68" s="296" t="s">
        <v>1509</v>
      </c>
      <c r="K68" s="252" t="e">
        <f>SUM(K63:K66)</f>
        <v>#REF!</v>
      </c>
      <c r="M68" s="252">
        <v>17.7</v>
      </c>
      <c r="N68" s="296" t="s">
        <v>865</v>
      </c>
      <c r="O68" s="296" t="s">
        <v>1893</v>
      </c>
      <c r="P68" s="252">
        <f>(C12)</f>
        <v>95</v>
      </c>
      <c r="Q68" s="296" t="s">
        <v>865</v>
      </c>
      <c r="R68" s="252">
        <f>(M68*P68)</f>
        <v>1681.5</v>
      </c>
      <c r="AG68" s="296" t="s">
        <v>2249</v>
      </c>
    </row>
    <row r="69" spans="1:33" hidden="1">
      <c r="A69" s="437">
        <f t="shared" si="6"/>
        <v>57</v>
      </c>
      <c r="B69" s="296" t="s">
        <v>869</v>
      </c>
      <c r="C69" s="252" t="e">
        <f t="shared" si="7"/>
        <v>#REF!</v>
      </c>
      <c r="D69" s="296" t="s">
        <v>866</v>
      </c>
      <c r="K69" s="358" t="s">
        <v>1579</v>
      </c>
      <c r="M69" s="252">
        <v>14.1</v>
      </c>
      <c r="N69" s="296" t="s">
        <v>865</v>
      </c>
      <c r="O69" s="296" t="s">
        <v>317</v>
      </c>
      <c r="P69" s="252">
        <f>(C13)</f>
        <v>85</v>
      </c>
      <c r="Q69" s="296" t="s">
        <v>865</v>
      </c>
      <c r="R69" s="252">
        <f>(M69*P69)</f>
        <v>1198.5</v>
      </c>
      <c r="AG69" s="296" t="s">
        <v>2249</v>
      </c>
    </row>
    <row r="70" spans="1:33" hidden="1">
      <c r="A70" s="437">
        <f t="shared" si="6"/>
        <v>58</v>
      </c>
      <c r="B70" s="296" t="s">
        <v>1489</v>
      </c>
      <c r="C70" s="252" t="e">
        <f t="shared" si="7"/>
        <v>#REF!</v>
      </c>
      <c r="D70" s="296" t="s">
        <v>866</v>
      </c>
      <c r="G70" s="252" t="s">
        <v>2241</v>
      </c>
      <c r="H70" s="296" t="s">
        <v>1624</v>
      </c>
      <c r="N70" s="296" t="s">
        <v>446</v>
      </c>
      <c r="O70" s="296" t="s">
        <v>447</v>
      </c>
      <c r="Q70" s="296" t="s">
        <v>446</v>
      </c>
      <c r="R70" s="252">
        <v>0</v>
      </c>
      <c r="AG70" s="296" t="s">
        <v>2249</v>
      </c>
    </row>
    <row r="71" spans="1:33" hidden="1">
      <c r="A71" s="437">
        <f t="shared" si="6"/>
        <v>59</v>
      </c>
      <c r="B71" s="296" t="s">
        <v>1490</v>
      </c>
      <c r="C71" s="252" t="e">
        <f t="shared" si="7"/>
        <v>#REF!</v>
      </c>
      <c r="D71" s="296" t="s">
        <v>866</v>
      </c>
      <c r="H71" s="358" t="s">
        <v>1579</v>
      </c>
      <c r="R71" s="358" t="s">
        <v>1579</v>
      </c>
      <c r="AG71" s="296" t="s">
        <v>2249</v>
      </c>
    </row>
    <row r="72" spans="1:33" hidden="1">
      <c r="A72" s="437">
        <f t="shared" si="6"/>
        <v>60</v>
      </c>
      <c r="B72" s="296" t="s">
        <v>1491</v>
      </c>
      <c r="C72" s="252" t="e">
        <f t="shared" si="7"/>
        <v>#REF!</v>
      </c>
      <c r="D72" s="296" t="s">
        <v>866</v>
      </c>
      <c r="F72" s="252">
        <v>0.18</v>
      </c>
      <c r="G72" s="252" t="s">
        <v>858</v>
      </c>
      <c r="H72" s="296" t="s">
        <v>859</v>
      </c>
      <c r="I72" s="252">
        <f>(C67)</f>
        <v>3800</v>
      </c>
      <c r="J72" s="253" t="s">
        <v>858</v>
      </c>
      <c r="K72" s="252">
        <f>(F72*I72)</f>
        <v>684</v>
      </c>
      <c r="O72" s="296" t="s">
        <v>611</v>
      </c>
      <c r="R72" s="252" t="e">
        <f>SUM(R65:R70)</f>
        <v>#REF!</v>
      </c>
      <c r="AG72" s="296" t="s">
        <v>2249</v>
      </c>
    </row>
    <row r="73" spans="1:33" hidden="1">
      <c r="A73" s="437">
        <f t="shared" si="6"/>
        <v>61</v>
      </c>
      <c r="B73" s="296" t="s">
        <v>652</v>
      </c>
      <c r="C73" s="252" t="e">
        <f t="shared" si="7"/>
        <v>#REF!</v>
      </c>
      <c r="D73" s="296" t="s">
        <v>866</v>
      </c>
      <c r="F73" s="252">
        <v>1</v>
      </c>
      <c r="G73" s="252" t="s">
        <v>866</v>
      </c>
      <c r="H73" s="296" t="s">
        <v>867</v>
      </c>
      <c r="I73" s="252" t="e">
        <f>(C78)</f>
        <v>#REF!</v>
      </c>
      <c r="J73" s="253" t="s">
        <v>866</v>
      </c>
      <c r="K73" s="252" t="e">
        <f>(F73*I73)</f>
        <v>#REF!</v>
      </c>
      <c r="R73" s="358" t="s">
        <v>1579</v>
      </c>
      <c r="AG73" s="296" t="s">
        <v>2249</v>
      </c>
    </row>
    <row r="74" spans="1:33" hidden="1">
      <c r="A74" s="437">
        <f t="shared" si="6"/>
        <v>62</v>
      </c>
      <c r="B74" s="296" t="s">
        <v>950</v>
      </c>
      <c r="C74" s="252" t="e">
        <f t="shared" si="7"/>
        <v>#REF!</v>
      </c>
      <c r="D74" s="296" t="s">
        <v>866</v>
      </c>
      <c r="F74" s="252">
        <v>1</v>
      </c>
      <c r="G74" s="252" t="s">
        <v>866</v>
      </c>
      <c r="H74" s="296" t="s">
        <v>871</v>
      </c>
      <c r="I74" s="252">
        <f>(C18)</f>
        <v>26</v>
      </c>
      <c r="J74" s="253" t="s">
        <v>866</v>
      </c>
      <c r="K74" s="252">
        <f>(F74*I74)</f>
        <v>26</v>
      </c>
      <c r="O74" s="296" t="s">
        <v>770</v>
      </c>
      <c r="R74" s="252" t="e">
        <f>(R72/10)</f>
        <v>#REF!</v>
      </c>
      <c r="AG74" s="296" t="s">
        <v>2249</v>
      </c>
    </row>
    <row r="75" spans="1:33" hidden="1">
      <c r="A75" s="437">
        <f t="shared" si="6"/>
        <v>63</v>
      </c>
      <c r="B75" s="296" t="s">
        <v>951</v>
      </c>
      <c r="C75" s="252">
        <v>20</v>
      </c>
      <c r="D75" s="296" t="s">
        <v>2241</v>
      </c>
      <c r="G75" s="252" t="s">
        <v>446</v>
      </c>
      <c r="H75" s="296" t="s">
        <v>447</v>
      </c>
      <c r="I75" s="296" t="s">
        <v>971</v>
      </c>
      <c r="J75" s="253" t="s">
        <v>446</v>
      </c>
      <c r="K75" s="252">
        <v>0</v>
      </c>
      <c r="R75" s="358" t="s">
        <v>2046</v>
      </c>
      <c r="AG75" s="296" t="s">
        <v>2249</v>
      </c>
    </row>
    <row r="76" spans="1:33" hidden="1">
      <c r="A76" s="437">
        <f t="shared" si="6"/>
        <v>64</v>
      </c>
      <c r="B76" s="296" t="s">
        <v>952</v>
      </c>
      <c r="C76" s="252">
        <v>514.62</v>
      </c>
      <c r="D76" s="252">
        <v>240</v>
      </c>
      <c r="K76" s="358" t="s">
        <v>1579</v>
      </c>
      <c r="N76" s="296" t="s">
        <v>2241</v>
      </c>
      <c r="O76" s="296" t="s">
        <v>953</v>
      </c>
      <c r="AG76" s="296" t="s">
        <v>2249</v>
      </c>
    </row>
    <row r="77" spans="1:33" hidden="1">
      <c r="A77" s="437">
        <f t="shared" si="6"/>
        <v>65</v>
      </c>
      <c r="B77" s="296" t="s">
        <v>2303</v>
      </c>
      <c r="C77" s="252" t="e">
        <f>AC34</f>
        <v>#REF!</v>
      </c>
      <c r="D77" s="296" t="s">
        <v>866</v>
      </c>
      <c r="H77" s="296" t="s">
        <v>1509</v>
      </c>
      <c r="K77" s="252" t="e">
        <f>SUM(K72:K75)</f>
        <v>#REF!</v>
      </c>
      <c r="O77" s="296" t="s">
        <v>1108</v>
      </c>
      <c r="AG77" s="296" t="s">
        <v>2249</v>
      </c>
    </row>
    <row r="78" spans="1:33" hidden="1">
      <c r="A78" s="437">
        <f t="shared" si="6"/>
        <v>66</v>
      </c>
      <c r="B78" s="296" t="s">
        <v>1418</v>
      </c>
      <c r="C78" s="252" t="e">
        <f t="shared" ref="C78:C91" si="8">AC16</f>
        <v>#REF!</v>
      </c>
      <c r="D78" s="296" t="s">
        <v>866</v>
      </c>
      <c r="K78" s="358" t="s">
        <v>1579</v>
      </c>
      <c r="O78" s="358" t="s">
        <v>1579</v>
      </c>
      <c r="AG78" s="296" t="s">
        <v>2249</v>
      </c>
    </row>
    <row r="79" spans="1:33" hidden="1">
      <c r="A79" s="437">
        <f t="shared" si="6"/>
        <v>67</v>
      </c>
      <c r="B79" s="296" t="s">
        <v>1030</v>
      </c>
      <c r="C79" s="252" t="e">
        <f t="shared" si="8"/>
        <v>#REF!</v>
      </c>
      <c r="D79" s="296" t="s">
        <v>866</v>
      </c>
      <c r="F79" s="375">
        <v>1.1000000000000001</v>
      </c>
      <c r="G79" s="252" t="s">
        <v>971</v>
      </c>
      <c r="H79" s="296" t="s">
        <v>1419</v>
      </c>
      <c r="M79" s="252">
        <v>4600</v>
      </c>
      <c r="N79" s="296" t="s">
        <v>1420</v>
      </c>
      <c r="O79" s="296" t="s">
        <v>1108</v>
      </c>
      <c r="P79" s="252" t="e">
        <f>(C91)</f>
        <v>#REF!</v>
      </c>
      <c r="Q79" s="296" t="s">
        <v>1587</v>
      </c>
      <c r="R79" s="252" t="e">
        <f>(M79*P79)/1000</f>
        <v>#REF!</v>
      </c>
      <c r="AG79" s="296" t="s">
        <v>2249</v>
      </c>
    </row>
    <row r="80" spans="1:33" hidden="1">
      <c r="A80" s="437">
        <f t="shared" si="6"/>
        <v>68</v>
      </c>
      <c r="B80" s="296" t="s">
        <v>1473</v>
      </c>
      <c r="C80" s="252" t="e">
        <f t="shared" si="8"/>
        <v>#REF!</v>
      </c>
      <c r="D80" s="296" t="s">
        <v>1474</v>
      </c>
      <c r="F80" s="385" t="s">
        <v>971</v>
      </c>
      <c r="H80" s="296" t="s">
        <v>1475</v>
      </c>
      <c r="M80" s="252">
        <v>2.5</v>
      </c>
      <c r="N80" s="296" t="s">
        <v>866</v>
      </c>
      <c r="O80" s="296" t="s">
        <v>1617</v>
      </c>
      <c r="P80" s="252" t="e">
        <f>(K49)</f>
        <v>#REF!</v>
      </c>
      <c r="Q80" s="296" t="s">
        <v>866</v>
      </c>
      <c r="R80" s="252" t="e">
        <f>(M80*P80)</f>
        <v>#REF!</v>
      </c>
      <c r="AG80" s="296" t="s">
        <v>2249</v>
      </c>
    </row>
    <row r="81" spans="1:33" hidden="1">
      <c r="A81" s="437">
        <f t="shared" si="6"/>
        <v>69</v>
      </c>
      <c r="B81" s="296" t="s">
        <v>65</v>
      </c>
      <c r="C81" s="252" t="e">
        <f t="shared" si="8"/>
        <v>#REF!</v>
      </c>
      <c r="D81" s="296" t="s">
        <v>866</v>
      </c>
      <c r="F81" s="252">
        <v>10</v>
      </c>
      <c r="G81" s="252" t="s">
        <v>866</v>
      </c>
      <c r="H81" s="296" t="s">
        <v>1173</v>
      </c>
      <c r="I81" s="252">
        <f>(C61)</f>
        <v>25</v>
      </c>
      <c r="J81" s="253" t="s">
        <v>866</v>
      </c>
      <c r="K81" s="252">
        <f>(F81*I81)</f>
        <v>250</v>
      </c>
      <c r="M81" s="252">
        <v>3.5</v>
      </c>
      <c r="N81" s="296" t="s">
        <v>865</v>
      </c>
      <c r="O81" s="296" t="s">
        <v>2000</v>
      </c>
      <c r="P81" s="252">
        <f>(C10)</f>
        <v>150</v>
      </c>
      <c r="Q81" s="296" t="s">
        <v>865</v>
      </c>
      <c r="R81" s="252">
        <f>(M81*P81)</f>
        <v>525</v>
      </c>
      <c r="AG81" s="296" t="s">
        <v>2249</v>
      </c>
    </row>
    <row r="82" spans="1:33" hidden="1">
      <c r="A82" s="437">
        <f t="shared" si="6"/>
        <v>70</v>
      </c>
      <c r="B82" s="296" t="s">
        <v>2001</v>
      </c>
      <c r="C82" s="252" t="e">
        <f t="shared" si="8"/>
        <v>#REF!</v>
      </c>
      <c r="D82" s="296" t="s">
        <v>866</v>
      </c>
      <c r="F82" s="252">
        <v>10</v>
      </c>
      <c r="G82" s="252" t="s">
        <v>866</v>
      </c>
      <c r="H82" s="296" t="s">
        <v>2002</v>
      </c>
      <c r="I82" s="252">
        <f>(C61)</f>
        <v>25</v>
      </c>
      <c r="J82" s="253" t="s">
        <v>866</v>
      </c>
      <c r="K82" s="252">
        <f>(F82*I82)</f>
        <v>250</v>
      </c>
      <c r="M82" s="252">
        <v>10.6</v>
      </c>
      <c r="N82" s="296" t="s">
        <v>865</v>
      </c>
      <c r="O82" s="296" t="s">
        <v>1704</v>
      </c>
      <c r="P82" s="252">
        <f>(C11)</f>
        <v>135</v>
      </c>
      <c r="Q82" s="296" t="s">
        <v>865</v>
      </c>
      <c r="R82" s="252">
        <f>(M82*P82)</f>
        <v>1431</v>
      </c>
      <c r="AG82" s="296" t="s">
        <v>2249</v>
      </c>
    </row>
    <row r="83" spans="1:33" hidden="1">
      <c r="A83" s="437">
        <f t="shared" si="6"/>
        <v>71</v>
      </c>
      <c r="B83" s="296" t="s">
        <v>2003</v>
      </c>
      <c r="C83" s="252">
        <f t="shared" si="8"/>
        <v>4500</v>
      </c>
      <c r="D83" s="296" t="s">
        <v>1474</v>
      </c>
      <c r="E83" s="252">
        <v>3550</v>
      </c>
      <c r="F83" s="252">
        <v>10</v>
      </c>
      <c r="G83" s="252" t="s">
        <v>866</v>
      </c>
      <c r="H83" s="296" t="s">
        <v>2004</v>
      </c>
      <c r="I83" s="252">
        <f>(C26)/3</f>
        <v>2.93</v>
      </c>
      <c r="J83" s="253" t="s">
        <v>866</v>
      </c>
      <c r="K83" s="252">
        <f>(F83*I83)</f>
        <v>29.3</v>
      </c>
      <c r="M83" s="252">
        <v>7.1</v>
      </c>
      <c r="N83" s="296" t="s">
        <v>865</v>
      </c>
      <c r="O83" s="296" t="s">
        <v>1893</v>
      </c>
      <c r="P83" s="252">
        <f>(C12)</f>
        <v>95</v>
      </c>
      <c r="Q83" s="296" t="s">
        <v>865</v>
      </c>
      <c r="R83" s="252">
        <f>(M83*P83)</f>
        <v>674.5</v>
      </c>
      <c r="AG83" s="296" t="s">
        <v>2249</v>
      </c>
    </row>
    <row r="84" spans="1:33" hidden="1">
      <c r="A84" s="437">
        <f t="shared" si="6"/>
        <v>72</v>
      </c>
      <c r="B84" s="296" t="s">
        <v>2005</v>
      </c>
      <c r="C84" s="252">
        <f t="shared" si="8"/>
        <v>773</v>
      </c>
      <c r="D84" s="296" t="s">
        <v>866</v>
      </c>
      <c r="G84" s="252" t="s">
        <v>446</v>
      </c>
      <c r="H84" s="296" t="s">
        <v>447</v>
      </c>
      <c r="J84" s="253" t="s">
        <v>446</v>
      </c>
      <c r="K84" s="252">
        <v>0</v>
      </c>
      <c r="M84" s="252">
        <v>21.2</v>
      </c>
      <c r="N84" s="296" t="s">
        <v>865</v>
      </c>
      <c r="O84" s="296" t="s">
        <v>317</v>
      </c>
      <c r="P84" s="252">
        <f>(C13)</f>
        <v>85</v>
      </c>
      <c r="Q84" s="296" t="s">
        <v>865</v>
      </c>
      <c r="R84" s="252">
        <f>(M84*P84)</f>
        <v>1802</v>
      </c>
      <c r="AG84" s="296" t="s">
        <v>2249</v>
      </c>
    </row>
    <row r="85" spans="1:33" hidden="1">
      <c r="A85" s="437">
        <f t="shared" si="6"/>
        <v>73</v>
      </c>
      <c r="B85" s="296" t="s">
        <v>1995</v>
      </c>
      <c r="C85" s="252" t="e">
        <f t="shared" si="8"/>
        <v>#REF!</v>
      </c>
      <c r="D85" s="296" t="s">
        <v>866</v>
      </c>
      <c r="K85" s="358" t="s">
        <v>1579</v>
      </c>
      <c r="N85" s="296" t="s">
        <v>446</v>
      </c>
      <c r="O85" s="296" t="s">
        <v>447</v>
      </c>
      <c r="Q85" s="296" t="s">
        <v>446</v>
      </c>
      <c r="R85" s="252">
        <v>0</v>
      </c>
      <c r="AG85" s="296" t="s">
        <v>2249</v>
      </c>
    </row>
    <row r="86" spans="1:33" hidden="1">
      <c r="A86" s="437">
        <f t="shared" si="6"/>
        <v>74</v>
      </c>
      <c r="B86" s="296" t="s">
        <v>2006</v>
      </c>
      <c r="C86" s="252">
        <f t="shared" si="8"/>
        <v>20605</v>
      </c>
      <c r="D86" s="296" t="s">
        <v>866</v>
      </c>
      <c r="H86" s="296" t="s">
        <v>611</v>
      </c>
      <c r="K86" s="252">
        <f>SUM(K81:K84)</f>
        <v>529.29999999999995</v>
      </c>
      <c r="R86" s="358" t="s">
        <v>1579</v>
      </c>
      <c r="AG86" s="296" t="s">
        <v>2249</v>
      </c>
    </row>
    <row r="87" spans="1:33" hidden="1">
      <c r="A87" s="437">
        <f t="shared" si="6"/>
        <v>75</v>
      </c>
      <c r="B87" s="296" t="s">
        <v>2007</v>
      </c>
      <c r="C87" s="252">
        <f t="shared" si="8"/>
        <v>23685</v>
      </c>
      <c r="D87" s="296" t="s">
        <v>866</v>
      </c>
      <c r="K87" s="358" t="s">
        <v>1579</v>
      </c>
      <c r="O87" s="296" t="s">
        <v>611</v>
      </c>
      <c r="R87" s="252" t="e">
        <f>SUM(R79:R85)</f>
        <v>#REF!</v>
      </c>
      <c r="AG87" s="296" t="s">
        <v>2249</v>
      </c>
    </row>
    <row r="88" spans="1:33" hidden="1">
      <c r="A88" s="437">
        <f t="shared" si="6"/>
        <v>76</v>
      </c>
      <c r="B88" s="296" t="s">
        <v>2008</v>
      </c>
      <c r="C88" s="252">
        <f t="shared" si="8"/>
        <v>65420</v>
      </c>
      <c r="D88" s="296" t="s">
        <v>866</v>
      </c>
      <c r="H88" s="276" t="s">
        <v>2040</v>
      </c>
      <c r="I88" s="274" t="s">
        <v>1394</v>
      </c>
      <c r="J88" s="255"/>
      <c r="K88" s="274">
        <f>(K86/10)</f>
        <v>52.93</v>
      </c>
      <c r="R88" s="358" t="s">
        <v>1579</v>
      </c>
      <c r="AG88" s="296" t="s">
        <v>2249</v>
      </c>
    </row>
    <row r="89" spans="1:33" hidden="1">
      <c r="A89" s="437">
        <f t="shared" si="6"/>
        <v>77</v>
      </c>
      <c r="B89" s="296" t="s">
        <v>292</v>
      </c>
      <c r="C89" s="252">
        <f t="shared" si="8"/>
        <v>57165</v>
      </c>
      <c r="D89" s="296" t="s">
        <v>866</v>
      </c>
      <c r="I89" s="274" t="s">
        <v>1357</v>
      </c>
      <c r="J89" s="255"/>
      <c r="K89" s="360">
        <f>ROUND(K88+C36,2)</f>
        <v>55.53</v>
      </c>
      <c r="O89" s="296" t="s">
        <v>770</v>
      </c>
      <c r="R89" s="252" t="e">
        <f>(R87/10)</f>
        <v>#REF!</v>
      </c>
      <c r="AG89" s="296" t="s">
        <v>2249</v>
      </c>
    </row>
    <row r="90" spans="1:33" ht="31.5" hidden="1">
      <c r="A90" s="437">
        <f t="shared" si="6"/>
        <v>78</v>
      </c>
      <c r="B90" s="296" t="s">
        <v>2304</v>
      </c>
      <c r="C90" s="252">
        <f t="shared" si="8"/>
        <v>63870</v>
      </c>
      <c r="D90" s="296" t="s">
        <v>866</v>
      </c>
      <c r="F90" s="369" t="s">
        <v>1519</v>
      </c>
      <c r="H90" s="275" t="s">
        <v>1932</v>
      </c>
      <c r="I90" s="274" t="s">
        <v>1394</v>
      </c>
      <c r="J90" s="255"/>
      <c r="K90" s="274">
        <f>K88-K83/10</f>
        <v>50</v>
      </c>
      <c r="R90" s="358" t="s">
        <v>2046</v>
      </c>
      <c r="AG90" s="296" t="s">
        <v>2249</v>
      </c>
    </row>
    <row r="91" spans="1:33" hidden="1">
      <c r="A91" s="437">
        <f t="shared" si="6"/>
        <v>79</v>
      </c>
      <c r="B91" s="296" t="s">
        <v>2305</v>
      </c>
      <c r="C91" s="252" t="e">
        <f t="shared" si="8"/>
        <v>#REF!</v>
      </c>
      <c r="D91" s="296" t="s">
        <v>1474</v>
      </c>
      <c r="I91" s="274" t="s">
        <v>1357</v>
      </c>
      <c r="J91" s="255"/>
      <c r="K91" s="360">
        <f>ROUND(K90+C36,2)</f>
        <v>52.6</v>
      </c>
      <c r="AG91" s="296" t="s">
        <v>2249</v>
      </c>
    </row>
    <row r="92" spans="1:33" hidden="1">
      <c r="F92" s="369" t="s">
        <v>2086</v>
      </c>
      <c r="G92" s="252" t="s">
        <v>971</v>
      </c>
      <c r="H92" s="296" t="s">
        <v>5650</v>
      </c>
    </row>
    <row r="93" spans="1:33" hidden="1">
      <c r="F93" s="385" t="s">
        <v>971</v>
      </c>
      <c r="H93" s="358" t="s">
        <v>1579</v>
      </c>
    </row>
    <row r="94" spans="1:33" hidden="1">
      <c r="F94" s="252">
        <v>10</v>
      </c>
      <c r="G94" s="252" t="s">
        <v>866</v>
      </c>
      <c r="H94" s="296" t="s">
        <v>378</v>
      </c>
      <c r="I94" s="252">
        <f>D61</f>
        <v>37.299999999999997</v>
      </c>
      <c r="J94" s="253" t="s">
        <v>866</v>
      </c>
      <c r="K94" s="252">
        <f>(F94*I94)</f>
        <v>373</v>
      </c>
    </row>
    <row r="95" spans="1:33" hidden="1">
      <c r="F95" s="252">
        <v>10</v>
      </c>
      <c r="G95" s="252" t="s">
        <v>866</v>
      </c>
      <c r="H95" s="296" t="s">
        <v>2002</v>
      </c>
      <c r="I95" s="252">
        <f>D61</f>
        <v>37.299999999999997</v>
      </c>
      <c r="J95" s="253" t="s">
        <v>866</v>
      </c>
      <c r="K95" s="252">
        <f>(F95*I95)</f>
        <v>373</v>
      </c>
    </row>
    <row r="96" spans="1:33" hidden="1">
      <c r="F96" s="252">
        <v>10</v>
      </c>
      <c r="G96" s="252" t="s">
        <v>866</v>
      </c>
      <c r="H96" s="296" t="s">
        <v>2004</v>
      </c>
      <c r="I96" s="252">
        <f>I83</f>
        <v>2.93</v>
      </c>
      <c r="J96" s="253" t="s">
        <v>866</v>
      </c>
      <c r="K96" s="252">
        <f>(F96*I96)</f>
        <v>29.3</v>
      </c>
    </row>
    <row r="97" spans="6:11" hidden="1">
      <c r="G97" s="252" t="s">
        <v>446</v>
      </c>
      <c r="H97" s="296" t="s">
        <v>447</v>
      </c>
      <c r="J97" s="253" t="s">
        <v>446</v>
      </c>
      <c r="K97" s="252">
        <v>0</v>
      </c>
    </row>
    <row r="98" spans="6:11" hidden="1">
      <c r="K98" s="358" t="s">
        <v>1579</v>
      </c>
    </row>
    <row r="99" spans="6:11" hidden="1">
      <c r="H99" s="296" t="s">
        <v>611</v>
      </c>
      <c r="K99" s="252">
        <f>SUM(K94:K97)</f>
        <v>775.3</v>
      </c>
    </row>
    <row r="100" spans="6:11" hidden="1">
      <c r="K100" s="358" t="s">
        <v>1579</v>
      </c>
    </row>
    <row r="101" spans="6:11" hidden="1">
      <c r="H101" s="276" t="s">
        <v>2040</v>
      </c>
      <c r="I101" s="274" t="s">
        <v>1394</v>
      </c>
      <c r="J101" s="255"/>
      <c r="K101" s="274">
        <f>(K99/10)</f>
        <v>77.53</v>
      </c>
    </row>
    <row r="102" spans="6:11" hidden="1">
      <c r="I102" s="274" t="s">
        <v>1357</v>
      </c>
      <c r="J102" s="255"/>
      <c r="K102" s="360">
        <f>ROUND(K101+C36,2)</f>
        <v>80.13</v>
      </c>
    </row>
    <row r="103" spans="6:11" hidden="1">
      <c r="I103" s="274"/>
      <c r="J103" s="255"/>
      <c r="K103" s="388"/>
    </row>
    <row r="104" spans="6:11" hidden="1">
      <c r="F104" s="375">
        <v>1.7</v>
      </c>
      <c r="H104" s="275" t="s">
        <v>653</v>
      </c>
      <c r="I104" s="274" t="s">
        <v>1394</v>
      </c>
      <c r="J104" s="255"/>
      <c r="K104" s="360">
        <f>ROUND(K101-K96/10,2)</f>
        <v>74.599999999999994</v>
      </c>
    </row>
    <row r="105" spans="6:11" hidden="1">
      <c r="I105" s="274" t="s">
        <v>1357</v>
      </c>
      <c r="J105" s="255"/>
      <c r="K105" s="360">
        <f>ROUND(K104+C36,2)</f>
        <v>77.2</v>
      </c>
    </row>
    <row r="106" spans="6:11" hidden="1">
      <c r="K106" s="358"/>
    </row>
    <row r="107" spans="6:11" hidden="1">
      <c r="K107" s="358"/>
    </row>
    <row r="108" spans="6:11" ht="31.5" hidden="1">
      <c r="F108" s="375">
        <v>1.5</v>
      </c>
      <c r="G108" s="252" t="s">
        <v>971</v>
      </c>
      <c r="H108" s="389" t="s">
        <v>5651</v>
      </c>
    </row>
    <row r="109" spans="6:11" hidden="1"/>
    <row r="110" spans="6:11" hidden="1">
      <c r="F110" s="252">
        <v>10</v>
      </c>
      <c r="G110" s="252" t="s">
        <v>866</v>
      </c>
      <c r="H110" s="296" t="s">
        <v>1173</v>
      </c>
      <c r="I110" s="252">
        <f>C61</f>
        <v>25</v>
      </c>
      <c r="J110" s="253" t="s">
        <v>866</v>
      </c>
      <c r="K110" s="252">
        <f>(F110*I110)</f>
        <v>250</v>
      </c>
    </row>
    <row r="111" spans="6:11" hidden="1">
      <c r="F111" s="252">
        <v>10</v>
      </c>
      <c r="G111" s="252" t="s">
        <v>866</v>
      </c>
      <c r="H111" s="296" t="s">
        <v>2004</v>
      </c>
      <c r="I111" s="252">
        <f>I83</f>
        <v>2.93</v>
      </c>
      <c r="J111" s="253" t="s">
        <v>866</v>
      </c>
      <c r="K111" s="252">
        <f>(F111*I111)</f>
        <v>29.3</v>
      </c>
    </row>
    <row r="112" spans="6:11" hidden="1">
      <c r="G112" s="252" t="s">
        <v>446</v>
      </c>
      <c r="H112" s="296" t="s">
        <v>447</v>
      </c>
      <c r="J112" s="253" t="s">
        <v>446</v>
      </c>
      <c r="K112" s="252">
        <v>0</v>
      </c>
    </row>
    <row r="113" spans="6:11" hidden="1">
      <c r="K113" s="358" t="s">
        <v>1579</v>
      </c>
    </row>
    <row r="114" spans="6:11" hidden="1">
      <c r="H114" s="296" t="s">
        <v>611</v>
      </c>
      <c r="K114" s="252">
        <f>SUM(K110:K112)</f>
        <v>279.3</v>
      </c>
    </row>
    <row r="115" spans="6:11" hidden="1">
      <c r="K115" s="358" t="s">
        <v>1579</v>
      </c>
    </row>
    <row r="116" spans="6:11" hidden="1">
      <c r="H116" s="296"/>
      <c r="K116" s="252">
        <f>(K114/10)</f>
        <v>27.93</v>
      </c>
    </row>
    <row r="117" spans="6:11" hidden="1">
      <c r="K117" s="358" t="s">
        <v>2046</v>
      </c>
    </row>
    <row r="118" spans="6:11" hidden="1">
      <c r="F118" s="369"/>
      <c r="H118" s="296" t="s">
        <v>2026</v>
      </c>
      <c r="I118" s="274" t="s">
        <v>1394</v>
      </c>
      <c r="K118" s="274">
        <f>K116-K111/10</f>
        <v>25</v>
      </c>
    </row>
    <row r="119" spans="6:11" hidden="1">
      <c r="I119" s="274" t="s">
        <v>1357</v>
      </c>
      <c r="K119" s="360">
        <f>ROUND(K118+C36,2)</f>
        <v>27.6</v>
      </c>
    </row>
    <row r="120" spans="6:11" hidden="1">
      <c r="K120" s="358"/>
    </row>
    <row r="121" spans="6:11" ht="31.5" hidden="1">
      <c r="F121" s="390">
        <v>1.8</v>
      </c>
      <c r="H121" s="389" t="s">
        <v>5652</v>
      </c>
      <c r="K121" s="358"/>
    </row>
    <row r="122" spans="6:11" hidden="1">
      <c r="K122" s="358"/>
    </row>
    <row r="123" spans="6:11" hidden="1">
      <c r="F123" s="252">
        <v>10</v>
      </c>
      <c r="G123" s="252" t="s">
        <v>866</v>
      </c>
      <c r="H123" s="296" t="s">
        <v>378</v>
      </c>
      <c r="I123" s="252">
        <f>D61</f>
        <v>37.299999999999997</v>
      </c>
      <c r="J123" s="253" t="s">
        <v>866</v>
      </c>
      <c r="K123" s="252">
        <f>(F123*I123)</f>
        <v>373</v>
      </c>
    </row>
    <row r="124" spans="6:11" hidden="1">
      <c r="G124" s="252" t="s">
        <v>654</v>
      </c>
      <c r="J124" s="253" t="s">
        <v>654</v>
      </c>
      <c r="K124" s="252">
        <v>0</v>
      </c>
    </row>
    <row r="125" spans="6:11" hidden="1">
      <c r="K125" s="358" t="s">
        <v>1579</v>
      </c>
    </row>
    <row r="126" spans="6:11" hidden="1">
      <c r="H126" s="296" t="s">
        <v>611</v>
      </c>
      <c r="K126" s="252">
        <f>SUM(K123:K124)</f>
        <v>373</v>
      </c>
    </row>
    <row r="127" spans="6:11" hidden="1">
      <c r="K127" s="358" t="s">
        <v>1579</v>
      </c>
    </row>
    <row r="128" spans="6:11" ht="31.5" hidden="1">
      <c r="F128" s="375"/>
      <c r="H128" s="260" t="s">
        <v>5654</v>
      </c>
      <c r="I128" s="274" t="s">
        <v>1394</v>
      </c>
      <c r="K128" s="360">
        <f>ROUND(K126/10,2)</f>
        <v>37.299999999999997</v>
      </c>
    </row>
    <row r="129" spans="1:33" hidden="1">
      <c r="I129" s="274" t="s">
        <v>1357</v>
      </c>
      <c r="K129" s="360">
        <f>ROUND(K128+C36,2)</f>
        <v>39.9</v>
      </c>
    </row>
    <row r="130" spans="1:33" hidden="1">
      <c r="I130" s="274"/>
      <c r="K130" s="358"/>
    </row>
    <row r="131" spans="1:33" hidden="1">
      <c r="F131" s="375">
        <v>1.6</v>
      </c>
      <c r="H131" s="296" t="s">
        <v>793</v>
      </c>
      <c r="I131" s="274"/>
    </row>
    <row r="132" spans="1:33" hidden="1">
      <c r="H132" s="296" t="s">
        <v>379</v>
      </c>
      <c r="I132" s="274" t="s">
        <v>1394</v>
      </c>
      <c r="K132" s="274">
        <f>C61*1.5</f>
        <v>37.5</v>
      </c>
    </row>
    <row r="133" spans="1:33" hidden="1">
      <c r="F133" s="296" t="s">
        <v>971</v>
      </c>
      <c r="H133" s="296" t="s">
        <v>380</v>
      </c>
      <c r="I133" s="274" t="s">
        <v>1357</v>
      </c>
      <c r="K133" s="360">
        <f>ROUND(K132+C36,2)</f>
        <v>40.1</v>
      </c>
    </row>
    <row r="134" spans="1:33" hidden="1">
      <c r="K134" s="358" t="s">
        <v>2046</v>
      </c>
    </row>
    <row r="135" spans="1:33" hidden="1"/>
    <row r="136" spans="1:33" hidden="1">
      <c r="A136" s="437">
        <f>(A91+1)</f>
        <v>80</v>
      </c>
      <c r="B136" s="296" t="s">
        <v>1541</v>
      </c>
      <c r="C136" s="252">
        <f>AC30</f>
        <v>8240</v>
      </c>
      <c r="D136" s="252">
        <v>13.87</v>
      </c>
      <c r="E136" s="296" t="s">
        <v>971</v>
      </c>
      <c r="F136" s="253" t="s">
        <v>381</v>
      </c>
      <c r="G136" s="252" t="s">
        <v>2241</v>
      </c>
      <c r="H136" s="296" t="s">
        <v>382</v>
      </c>
      <c r="N136" s="296" t="s">
        <v>2306</v>
      </c>
      <c r="O136" s="296" t="s">
        <v>383</v>
      </c>
      <c r="R136" s="252" t="e">
        <f>(R89+C19)</f>
        <v>#REF!</v>
      </c>
      <c r="AG136" s="296" t="s">
        <v>2249</v>
      </c>
    </row>
    <row r="137" spans="1:33" hidden="1">
      <c r="A137" s="437">
        <f t="shared" ref="A137:A142" si="9">(A136+1)</f>
        <v>81</v>
      </c>
      <c r="B137" s="296" t="s">
        <v>384</v>
      </c>
      <c r="C137" s="252">
        <f>AC33</f>
        <v>26500</v>
      </c>
      <c r="D137" s="296" t="s">
        <v>858</v>
      </c>
      <c r="H137" s="296" t="s">
        <v>5655</v>
      </c>
      <c r="N137" s="296" t="s">
        <v>2307</v>
      </c>
      <c r="O137" s="296" t="s">
        <v>385</v>
      </c>
      <c r="R137" s="252" t="e">
        <f>(R136+C20)</f>
        <v>#REF!</v>
      </c>
      <c r="AG137" s="296" t="s">
        <v>2249</v>
      </c>
    </row>
    <row r="138" spans="1:33" hidden="1">
      <c r="A138" s="437">
        <f t="shared" si="9"/>
        <v>82</v>
      </c>
      <c r="B138" s="296" t="s">
        <v>1794</v>
      </c>
      <c r="C138" s="252">
        <f>AC32</f>
        <v>28000</v>
      </c>
      <c r="D138" s="296" t="s">
        <v>858</v>
      </c>
      <c r="H138" s="358" t="s">
        <v>1579</v>
      </c>
      <c r="N138" s="296" t="s">
        <v>2308</v>
      </c>
      <c r="O138" s="296" t="s">
        <v>2222</v>
      </c>
      <c r="R138" s="252" t="e">
        <f>(R137+C21)</f>
        <v>#REF!</v>
      </c>
      <c r="AG138" s="296" t="s">
        <v>2249</v>
      </c>
    </row>
    <row r="139" spans="1:33" hidden="1">
      <c r="A139" s="437">
        <f t="shared" si="9"/>
        <v>83</v>
      </c>
      <c r="B139" s="296" t="s">
        <v>375</v>
      </c>
      <c r="C139" s="252">
        <f>AC33</f>
        <v>26500</v>
      </c>
      <c r="D139" s="296" t="s">
        <v>858</v>
      </c>
      <c r="F139" s="252">
        <v>1</v>
      </c>
      <c r="G139" s="252" t="s">
        <v>866</v>
      </c>
      <c r="H139" s="296" t="s">
        <v>376</v>
      </c>
      <c r="I139" s="252" t="e">
        <f>C79</f>
        <v>#REF!</v>
      </c>
      <c r="J139" s="253" t="s">
        <v>866</v>
      </c>
      <c r="K139" s="252" t="e">
        <f>(F139*I139)</f>
        <v>#REF!</v>
      </c>
      <c r="N139" s="296" t="s">
        <v>2309</v>
      </c>
      <c r="O139" s="296" t="s">
        <v>377</v>
      </c>
      <c r="R139" s="252" t="e">
        <f>(R138+C21)</f>
        <v>#REF!</v>
      </c>
      <c r="AG139" s="296" t="s">
        <v>2249</v>
      </c>
    </row>
    <row r="140" spans="1:33" hidden="1">
      <c r="A140" s="437">
        <f t="shared" si="9"/>
        <v>84</v>
      </c>
      <c r="B140" s="296" t="s">
        <v>1539</v>
      </c>
      <c r="C140" s="252">
        <f>AC38</f>
        <v>169</v>
      </c>
      <c r="D140" s="296" t="s">
        <v>866</v>
      </c>
      <c r="F140" s="252">
        <v>1</v>
      </c>
      <c r="G140" s="252" t="s">
        <v>866</v>
      </c>
      <c r="H140" s="296" t="s">
        <v>1349</v>
      </c>
      <c r="I140" s="252">
        <f>C27</f>
        <v>7.8</v>
      </c>
      <c r="J140" s="253" t="s">
        <v>866</v>
      </c>
      <c r="K140" s="252">
        <f>(F140*I140)</f>
        <v>7.8</v>
      </c>
      <c r="O140" s="296" t="s">
        <v>2310</v>
      </c>
      <c r="R140" s="252" t="e">
        <f>(R139+C21)</f>
        <v>#REF!</v>
      </c>
      <c r="AG140" s="296" t="s">
        <v>2249</v>
      </c>
    </row>
    <row r="141" spans="1:33" hidden="1">
      <c r="A141" s="437">
        <f t="shared" si="9"/>
        <v>85</v>
      </c>
      <c r="B141" s="296" t="s">
        <v>191</v>
      </c>
      <c r="C141" s="252">
        <f>I255</f>
        <v>12224.58</v>
      </c>
      <c r="D141" s="296" t="s">
        <v>858</v>
      </c>
      <c r="G141" s="252" t="s">
        <v>446</v>
      </c>
      <c r="H141" s="296" t="s">
        <v>447</v>
      </c>
      <c r="I141" s="296" t="s">
        <v>971</v>
      </c>
      <c r="J141" s="253" t="s">
        <v>446</v>
      </c>
      <c r="K141" s="252">
        <v>0</v>
      </c>
      <c r="N141" s="296" t="s">
        <v>2241</v>
      </c>
      <c r="O141" s="296" t="s">
        <v>2311</v>
      </c>
      <c r="AG141" s="296" t="s">
        <v>2249</v>
      </c>
    </row>
    <row r="142" spans="1:33" hidden="1">
      <c r="A142" s="437">
        <f t="shared" si="9"/>
        <v>86</v>
      </c>
      <c r="B142" s="296" t="s">
        <v>192</v>
      </c>
      <c r="C142" s="252">
        <v>30000</v>
      </c>
      <c r="D142" s="296" t="s">
        <v>858</v>
      </c>
      <c r="K142" s="358" t="s">
        <v>1579</v>
      </c>
      <c r="O142" s="296" t="s">
        <v>1108</v>
      </c>
      <c r="AG142" s="296" t="s">
        <v>2249</v>
      </c>
    </row>
    <row r="143" spans="1:33" hidden="1">
      <c r="B143" s="296" t="s">
        <v>971</v>
      </c>
      <c r="H143" s="296" t="s">
        <v>193</v>
      </c>
      <c r="K143" s="252" t="e">
        <f>SUM(K137:K141)</f>
        <v>#REF!</v>
      </c>
      <c r="O143" s="358" t="s">
        <v>1579</v>
      </c>
      <c r="AG143" s="296" t="s">
        <v>2249</v>
      </c>
    </row>
    <row r="144" spans="1:33" hidden="1">
      <c r="A144" s="437">
        <f>(A142+1)</f>
        <v>87</v>
      </c>
      <c r="B144" s="296" t="s">
        <v>194</v>
      </c>
      <c r="C144" s="252">
        <v>7.5</v>
      </c>
      <c r="D144" s="296" t="s">
        <v>446</v>
      </c>
      <c r="K144" s="358" t="s">
        <v>1579</v>
      </c>
      <c r="M144" s="252">
        <v>4600</v>
      </c>
      <c r="N144" s="296" t="s">
        <v>1420</v>
      </c>
      <c r="O144" s="296" t="s">
        <v>1108</v>
      </c>
      <c r="P144" s="252" t="e">
        <f>(C91)</f>
        <v>#REF!</v>
      </c>
      <c r="Q144" s="296" t="s">
        <v>1587</v>
      </c>
      <c r="R144" s="252" t="e">
        <f>(M144*P144)/1000</f>
        <v>#REF!</v>
      </c>
      <c r="AG144" s="296" t="s">
        <v>2249</v>
      </c>
    </row>
    <row r="145" spans="6:11" hidden="1">
      <c r="F145" s="253" t="s">
        <v>195</v>
      </c>
      <c r="G145" s="252" t="s">
        <v>2241</v>
      </c>
      <c r="H145" s="296" t="s">
        <v>5657</v>
      </c>
    </row>
    <row r="146" spans="6:11" hidden="1">
      <c r="H146" s="296" t="s">
        <v>1023</v>
      </c>
    </row>
    <row r="147" spans="6:11" hidden="1">
      <c r="H147" s="296" t="s">
        <v>484</v>
      </c>
    </row>
    <row r="148" spans="6:11" hidden="1">
      <c r="H148" s="296" t="s">
        <v>520</v>
      </c>
    </row>
    <row r="149" spans="6:11" hidden="1">
      <c r="H149" s="296" t="s">
        <v>521</v>
      </c>
    </row>
    <row r="150" spans="6:11" hidden="1">
      <c r="H150" s="358" t="s">
        <v>1579</v>
      </c>
    </row>
    <row r="151" spans="6:11" hidden="1">
      <c r="F151" s="252">
        <v>0.7</v>
      </c>
      <c r="G151" s="252" t="s">
        <v>866</v>
      </c>
      <c r="H151" s="296" t="s">
        <v>1993</v>
      </c>
      <c r="I151" s="252" t="e">
        <f>C79</f>
        <v>#REF!</v>
      </c>
      <c r="J151" s="253" t="s">
        <v>866</v>
      </c>
      <c r="K151" s="252" t="e">
        <f t="shared" ref="K151:K156" si="10">(F151*I151)</f>
        <v>#REF!</v>
      </c>
    </row>
    <row r="152" spans="6:11" hidden="1">
      <c r="F152" s="252">
        <v>0.7</v>
      </c>
      <c r="G152" s="252" t="s">
        <v>866</v>
      </c>
      <c r="H152" s="296" t="s">
        <v>522</v>
      </c>
      <c r="I152" s="252">
        <f>C783</f>
        <v>3.05</v>
      </c>
      <c r="J152" s="253" t="s">
        <v>866</v>
      </c>
      <c r="K152" s="252">
        <f t="shared" si="10"/>
        <v>2.14</v>
      </c>
    </row>
    <row r="153" spans="6:11" hidden="1">
      <c r="F153" s="252">
        <v>0.72</v>
      </c>
      <c r="G153" s="252" t="s">
        <v>866</v>
      </c>
      <c r="H153" s="296" t="s">
        <v>1633</v>
      </c>
      <c r="I153" s="252">
        <f>C35</f>
        <v>169</v>
      </c>
      <c r="J153" s="253" t="s">
        <v>866</v>
      </c>
      <c r="K153" s="252">
        <f t="shared" si="10"/>
        <v>121.68</v>
      </c>
    </row>
    <row r="154" spans="6:11" hidden="1">
      <c r="F154" s="252">
        <v>0.72</v>
      </c>
      <c r="G154" s="252" t="s">
        <v>866</v>
      </c>
      <c r="H154" s="296" t="s">
        <v>522</v>
      </c>
      <c r="I154" s="252">
        <f>C783</f>
        <v>3.05</v>
      </c>
      <c r="J154" s="253" t="s">
        <v>866</v>
      </c>
      <c r="K154" s="252">
        <f t="shared" si="10"/>
        <v>2.2000000000000002</v>
      </c>
    </row>
    <row r="155" spans="6:11" hidden="1">
      <c r="F155" s="252">
        <v>1</v>
      </c>
      <c r="G155" s="252" t="s">
        <v>866</v>
      </c>
      <c r="H155" s="296" t="s">
        <v>1784</v>
      </c>
      <c r="I155" s="252">
        <f>C18</f>
        <v>26</v>
      </c>
      <c r="J155" s="253" t="s">
        <v>866</v>
      </c>
      <c r="K155" s="252">
        <f t="shared" si="10"/>
        <v>26</v>
      </c>
    </row>
    <row r="156" spans="6:11" hidden="1">
      <c r="F156" s="252">
        <v>1</v>
      </c>
      <c r="G156" s="252" t="s">
        <v>866</v>
      </c>
      <c r="H156" s="296" t="s">
        <v>1634</v>
      </c>
      <c r="I156" s="252">
        <v>6.05</v>
      </c>
      <c r="J156" s="253" t="s">
        <v>866</v>
      </c>
      <c r="K156" s="252">
        <f t="shared" si="10"/>
        <v>6.05</v>
      </c>
    </row>
    <row r="157" spans="6:11" hidden="1">
      <c r="H157" s="296" t="s">
        <v>1635</v>
      </c>
    </row>
    <row r="158" spans="6:11" hidden="1">
      <c r="G158" s="252" t="s">
        <v>446</v>
      </c>
      <c r="H158" s="296" t="s">
        <v>447</v>
      </c>
      <c r="I158" s="296" t="s">
        <v>971</v>
      </c>
      <c r="J158" s="253" t="s">
        <v>446</v>
      </c>
      <c r="K158" s="252">
        <v>0</v>
      </c>
    </row>
    <row r="159" spans="6:11" hidden="1">
      <c r="K159" s="358" t="s">
        <v>1579</v>
      </c>
    </row>
    <row r="160" spans="6:11" hidden="1">
      <c r="H160" s="296" t="s">
        <v>193</v>
      </c>
      <c r="K160" s="252" t="e">
        <f>SUM(K151:K158)</f>
        <v>#REF!</v>
      </c>
    </row>
    <row r="161" spans="1:11" hidden="1">
      <c r="K161" s="358" t="s">
        <v>1579</v>
      </c>
    </row>
    <row r="162" spans="1:11" hidden="1">
      <c r="H162" s="296" t="s">
        <v>971</v>
      </c>
      <c r="K162" s="296" t="s">
        <v>971</v>
      </c>
    </row>
    <row r="163" spans="1:11" hidden="1">
      <c r="K163" s="296" t="s">
        <v>971</v>
      </c>
    </row>
    <row r="164" spans="1:11" hidden="1">
      <c r="A164" s="509">
        <v>2.2999999999999998</v>
      </c>
      <c r="B164" s="296" t="s">
        <v>243</v>
      </c>
      <c r="C164" s="252" t="e">
        <f>AC19+I167</f>
        <v>#REF!</v>
      </c>
      <c r="F164" s="375">
        <v>2.6</v>
      </c>
      <c r="G164" s="252" t="s">
        <v>2241</v>
      </c>
      <c r="H164" s="296" t="s">
        <v>1167</v>
      </c>
    </row>
    <row r="165" spans="1:11" hidden="1">
      <c r="A165" s="509">
        <v>2.4</v>
      </c>
      <c r="B165" s="296" t="s">
        <v>777</v>
      </c>
      <c r="C165" s="252" t="e">
        <f>AC20+I167</f>
        <v>#REF!</v>
      </c>
      <c r="H165" s="358" t="s">
        <v>1579</v>
      </c>
    </row>
    <row r="166" spans="1:11" hidden="1">
      <c r="F166" s="252">
        <v>1</v>
      </c>
      <c r="G166" s="252" t="s">
        <v>866</v>
      </c>
      <c r="H166" s="296" t="s">
        <v>1086</v>
      </c>
      <c r="I166" s="252" t="e">
        <f>AC15</f>
        <v>#REF!</v>
      </c>
      <c r="J166" s="253" t="s">
        <v>866</v>
      </c>
      <c r="K166" s="252" t="e">
        <f>(F166*I166)</f>
        <v>#REF!</v>
      </c>
    </row>
    <row r="167" spans="1:11" hidden="1">
      <c r="F167" s="252">
        <v>1</v>
      </c>
      <c r="G167" s="252" t="s">
        <v>866</v>
      </c>
      <c r="H167" s="296" t="s">
        <v>1349</v>
      </c>
      <c r="I167" s="252">
        <f>C26</f>
        <v>8.8000000000000007</v>
      </c>
      <c r="J167" s="253" t="s">
        <v>866</v>
      </c>
      <c r="K167" s="252">
        <f>(F167*I167)</f>
        <v>8.8000000000000007</v>
      </c>
    </row>
    <row r="168" spans="1:11" hidden="1">
      <c r="G168" s="252" t="s">
        <v>446</v>
      </c>
      <c r="H168" s="296" t="s">
        <v>447</v>
      </c>
      <c r="I168" s="296" t="s">
        <v>971</v>
      </c>
      <c r="J168" s="253" t="s">
        <v>446</v>
      </c>
      <c r="K168" s="252">
        <v>0</v>
      </c>
    </row>
    <row r="169" spans="1:11" hidden="1">
      <c r="K169" s="358" t="s">
        <v>1579</v>
      </c>
    </row>
    <row r="170" spans="1:11" hidden="1">
      <c r="H170" s="296" t="s">
        <v>193</v>
      </c>
      <c r="K170" s="252" t="e">
        <f>SUM(K165:K168)</f>
        <v>#REF!</v>
      </c>
    </row>
    <row r="171" spans="1:11" hidden="1">
      <c r="K171" s="358" t="s">
        <v>1579</v>
      </c>
    </row>
    <row r="172" spans="1:11" hidden="1">
      <c r="F172" s="375">
        <v>2.7</v>
      </c>
      <c r="G172" s="252" t="s">
        <v>2241</v>
      </c>
      <c r="H172" s="296" t="s">
        <v>1982</v>
      </c>
    </row>
    <row r="173" spans="1:11" hidden="1">
      <c r="H173" s="358" t="s">
        <v>1579</v>
      </c>
    </row>
    <row r="174" spans="1:11" hidden="1">
      <c r="F174" s="252">
        <v>1</v>
      </c>
      <c r="G174" s="252" t="s">
        <v>866</v>
      </c>
      <c r="H174" s="296" t="s">
        <v>829</v>
      </c>
      <c r="I174" s="252" t="e">
        <f>AC14</f>
        <v>#REF!</v>
      </c>
      <c r="J174" s="253" t="s">
        <v>866</v>
      </c>
      <c r="K174" s="252" t="e">
        <f>(F174*I174)</f>
        <v>#REF!</v>
      </c>
    </row>
    <row r="175" spans="1:11" hidden="1">
      <c r="F175" s="252">
        <v>1</v>
      </c>
      <c r="G175" s="252" t="s">
        <v>866</v>
      </c>
      <c r="H175" s="296" t="s">
        <v>1349</v>
      </c>
      <c r="I175" s="252">
        <f>C26</f>
        <v>8.8000000000000007</v>
      </c>
      <c r="J175" s="253" t="s">
        <v>866</v>
      </c>
      <c r="K175" s="252">
        <f>(F175*I175)</f>
        <v>8.8000000000000007</v>
      </c>
    </row>
    <row r="176" spans="1:11" hidden="1">
      <c r="G176" s="252" t="s">
        <v>446</v>
      </c>
      <c r="H176" s="296" t="s">
        <v>447</v>
      </c>
      <c r="I176" s="296" t="s">
        <v>971</v>
      </c>
      <c r="J176" s="253" t="s">
        <v>446</v>
      </c>
      <c r="K176" s="252">
        <v>0</v>
      </c>
    </row>
    <row r="177" spans="1:33" hidden="1">
      <c r="K177" s="358" t="s">
        <v>1579</v>
      </c>
    </row>
    <row r="178" spans="1:33" hidden="1">
      <c r="H178" s="296" t="s">
        <v>193</v>
      </c>
      <c r="K178" s="252" t="e">
        <f>SUM(K173:K176)</f>
        <v>#REF!</v>
      </c>
    </row>
    <row r="179" spans="1:33" hidden="1">
      <c r="A179" s="437">
        <f>(A144+1)</f>
        <v>88</v>
      </c>
      <c r="B179" s="296" t="s">
        <v>1636</v>
      </c>
      <c r="C179" s="252">
        <v>15.25</v>
      </c>
      <c r="D179" s="296" t="s">
        <v>1637</v>
      </c>
      <c r="K179" s="358" t="s">
        <v>1579</v>
      </c>
      <c r="M179" s="252">
        <v>2.5</v>
      </c>
      <c r="N179" s="296" t="s">
        <v>866</v>
      </c>
      <c r="O179" s="296" t="s">
        <v>1623</v>
      </c>
      <c r="P179" s="252" t="e">
        <f>(K58)</f>
        <v>#REF!</v>
      </c>
      <c r="Q179" s="296" t="s">
        <v>866</v>
      </c>
      <c r="R179" s="252" t="e">
        <f>(M179*P179)</f>
        <v>#REF!</v>
      </c>
      <c r="AG179" s="296" t="s">
        <v>2249</v>
      </c>
    </row>
    <row r="180" spans="1:33" hidden="1">
      <c r="A180" s="437">
        <f>(A179+1)</f>
        <v>89</v>
      </c>
      <c r="B180" s="296" t="s">
        <v>1638</v>
      </c>
      <c r="C180" s="252">
        <v>110</v>
      </c>
      <c r="D180" s="296" t="s">
        <v>1637</v>
      </c>
      <c r="H180" s="296" t="s">
        <v>971</v>
      </c>
      <c r="M180" s="252">
        <v>3.5</v>
      </c>
      <c r="N180" s="296" t="s">
        <v>865</v>
      </c>
      <c r="O180" s="296" t="s">
        <v>2000</v>
      </c>
      <c r="P180" s="252">
        <f>(C10)</f>
        <v>150</v>
      </c>
      <c r="Q180" s="296" t="s">
        <v>865</v>
      </c>
      <c r="R180" s="252">
        <f>(M180*P180)</f>
        <v>525</v>
      </c>
      <c r="AG180" s="296" t="s">
        <v>2249</v>
      </c>
    </row>
    <row r="181" spans="1:33" hidden="1">
      <c r="F181" s="253" t="s">
        <v>1639</v>
      </c>
      <c r="H181" s="296" t="s">
        <v>5659</v>
      </c>
    </row>
    <row r="182" spans="1:33" hidden="1"/>
    <row r="183" spans="1:33" hidden="1">
      <c r="F183" s="252">
        <v>1</v>
      </c>
      <c r="G183" s="252" t="s">
        <v>866</v>
      </c>
      <c r="H183" s="296" t="s">
        <v>64</v>
      </c>
      <c r="I183" s="252">
        <f>C35</f>
        <v>169</v>
      </c>
      <c r="J183" s="253" t="s">
        <v>866</v>
      </c>
      <c r="K183" s="252">
        <f>(F183*I183)</f>
        <v>169</v>
      </c>
    </row>
    <row r="184" spans="1:33" hidden="1">
      <c r="F184" s="252">
        <v>1</v>
      </c>
      <c r="G184" s="252" t="s">
        <v>866</v>
      </c>
      <c r="H184" s="296" t="s">
        <v>522</v>
      </c>
      <c r="I184" s="252">
        <f>C783</f>
        <v>3.05</v>
      </c>
      <c r="J184" s="253" t="s">
        <v>866</v>
      </c>
      <c r="K184" s="252">
        <f>(F184*I184)</f>
        <v>3.05</v>
      </c>
    </row>
    <row r="185" spans="1:33" hidden="1">
      <c r="F185" s="252">
        <v>1</v>
      </c>
      <c r="G185" s="252" t="s">
        <v>866</v>
      </c>
      <c r="H185" s="296" t="s">
        <v>1634</v>
      </c>
      <c r="I185" s="252">
        <v>6.05</v>
      </c>
      <c r="J185" s="253" t="s">
        <v>866</v>
      </c>
      <c r="K185" s="252">
        <f>(F185*I185)</f>
        <v>6.05</v>
      </c>
    </row>
    <row r="186" spans="1:33" hidden="1">
      <c r="H186" s="296" t="s">
        <v>1635</v>
      </c>
    </row>
    <row r="187" spans="1:33" hidden="1">
      <c r="K187" s="358" t="s">
        <v>1579</v>
      </c>
    </row>
    <row r="188" spans="1:33" hidden="1">
      <c r="H188" s="296" t="s">
        <v>193</v>
      </c>
      <c r="K188" s="252">
        <f>SUM(K181:K186)</f>
        <v>178.1</v>
      </c>
    </row>
    <row r="189" spans="1:33" hidden="1">
      <c r="F189" s="296" t="s">
        <v>971</v>
      </c>
      <c r="K189" s="358" t="s">
        <v>1579</v>
      </c>
    </row>
    <row r="190" spans="1:33" hidden="1">
      <c r="K190" s="296" t="s">
        <v>971</v>
      </c>
    </row>
    <row r="191" spans="1:33" hidden="1">
      <c r="A191" s="437">
        <f>(A180+1)</f>
        <v>90</v>
      </c>
      <c r="B191" s="296" t="s">
        <v>661</v>
      </c>
      <c r="C191" s="252">
        <v>65</v>
      </c>
      <c r="D191" s="296" t="s">
        <v>662</v>
      </c>
      <c r="F191" s="253" t="s">
        <v>663</v>
      </c>
      <c r="G191" s="252" t="s">
        <v>2241</v>
      </c>
      <c r="H191" s="296" t="s">
        <v>664</v>
      </c>
      <c r="M191" s="252">
        <v>10.6</v>
      </c>
      <c r="N191" s="296" t="s">
        <v>865</v>
      </c>
      <c r="O191" s="296" t="s">
        <v>1704</v>
      </c>
      <c r="P191" s="252">
        <f>(C11)</f>
        <v>135</v>
      </c>
      <c r="Q191" s="296" t="s">
        <v>865</v>
      </c>
      <c r="R191" s="252">
        <f>(M191*P191)</f>
        <v>1431</v>
      </c>
      <c r="AG191" s="296" t="s">
        <v>2249</v>
      </c>
    </row>
    <row r="192" spans="1:33" hidden="1">
      <c r="A192" s="437">
        <f t="shared" ref="A192:A207" si="11">(A191+1)</f>
        <v>91</v>
      </c>
      <c r="B192" s="296" t="s">
        <v>665</v>
      </c>
      <c r="C192" s="252">
        <v>25</v>
      </c>
      <c r="D192" s="296" t="s">
        <v>662</v>
      </c>
      <c r="H192" s="296" t="s">
        <v>666</v>
      </c>
      <c r="M192" s="252">
        <v>7.1</v>
      </c>
      <c r="N192" s="296" t="s">
        <v>865</v>
      </c>
      <c r="O192" s="296" t="s">
        <v>1893</v>
      </c>
      <c r="P192" s="252">
        <f>(C12)</f>
        <v>95</v>
      </c>
      <c r="Q192" s="296" t="s">
        <v>865</v>
      </c>
      <c r="R192" s="252">
        <f>(M192*P192)</f>
        <v>674.5</v>
      </c>
      <c r="AG192" s="296" t="s">
        <v>2249</v>
      </c>
    </row>
    <row r="193" spans="1:33" hidden="1">
      <c r="A193" s="437">
        <f t="shared" si="11"/>
        <v>92</v>
      </c>
      <c r="B193" s="296" t="s">
        <v>2312</v>
      </c>
      <c r="C193" s="252">
        <v>210</v>
      </c>
      <c r="D193" s="296" t="s">
        <v>662</v>
      </c>
      <c r="H193" s="358" t="s">
        <v>1579</v>
      </c>
      <c r="M193" s="252">
        <v>21.2</v>
      </c>
      <c r="N193" s="296" t="s">
        <v>865</v>
      </c>
      <c r="O193" s="296" t="s">
        <v>317</v>
      </c>
      <c r="P193" s="252">
        <f>(C13)</f>
        <v>85</v>
      </c>
      <c r="Q193" s="296" t="s">
        <v>865</v>
      </c>
      <c r="R193" s="252">
        <f>(M193*P193)</f>
        <v>1802</v>
      </c>
      <c r="AG193" s="296" t="s">
        <v>2249</v>
      </c>
    </row>
    <row r="194" spans="1:33" hidden="1">
      <c r="A194" s="437">
        <f t="shared" si="11"/>
        <v>93</v>
      </c>
      <c r="B194" s="296" t="s">
        <v>1629</v>
      </c>
      <c r="C194" s="252">
        <v>160</v>
      </c>
      <c r="D194" s="252">
        <v>96.11</v>
      </c>
      <c r="F194" s="252">
        <v>9</v>
      </c>
      <c r="G194" s="252" t="s">
        <v>866</v>
      </c>
      <c r="H194" s="296" t="s">
        <v>1630</v>
      </c>
      <c r="I194" s="252" t="e">
        <f>(C74)</f>
        <v>#REF!</v>
      </c>
      <c r="J194" s="253" t="s">
        <v>866</v>
      </c>
      <c r="K194" s="252" t="e">
        <f>(F194*I194)</f>
        <v>#REF!</v>
      </c>
      <c r="N194" s="296" t="s">
        <v>446</v>
      </c>
      <c r="O194" s="296" t="s">
        <v>447</v>
      </c>
      <c r="Q194" s="296" t="s">
        <v>446</v>
      </c>
      <c r="R194" s="252">
        <v>0</v>
      </c>
      <c r="AG194" s="296" t="s">
        <v>2249</v>
      </c>
    </row>
    <row r="195" spans="1:33" hidden="1">
      <c r="A195" s="437">
        <f t="shared" si="11"/>
        <v>94</v>
      </c>
      <c r="B195" s="296" t="s">
        <v>833</v>
      </c>
      <c r="C195" s="252">
        <v>100</v>
      </c>
      <c r="D195" s="296" t="s">
        <v>662</v>
      </c>
      <c r="F195" s="252">
        <v>4.5</v>
      </c>
      <c r="G195" s="252" t="s">
        <v>866</v>
      </c>
      <c r="H195" s="296" t="s">
        <v>1617</v>
      </c>
      <c r="I195" s="252" t="e">
        <f>(K49)</f>
        <v>#REF!</v>
      </c>
      <c r="J195" s="253" t="s">
        <v>866</v>
      </c>
      <c r="K195" s="252" t="e">
        <f>(F195*I195)</f>
        <v>#REF!</v>
      </c>
      <c r="R195" s="358" t="s">
        <v>1579</v>
      </c>
      <c r="AG195" s="296" t="s">
        <v>2249</v>
      </c>
    </row>
    <row r="196" spans="1:33" hidden="1">
      <c r="A196" s="437">
        <f t="shared" si="11"/>
        <v>95</v>
      </c>
      <c r="B196" s="296" t="s">
        <v>834</v>
      </c>
      <c r="C196" s="252">
        <v>0.25</v>
      </c>
      <c r="D196" s="296" t="s">
        <v>865</v>
      </c>
      <c r="F196" s="252">
        <v>1.8</v>
      </c>
      <c r="G196" s="252" t="s">
        <v>865</v>
      </c>
      <c r="H196" s="296" t="s">
        <v>1704</v>
      </c>
      <c r="I196" s="252">
        <f>(C11)</f>
        <v>135</v>
      </c>
      <c r="J196" s="253" t="s">
        <v>865</v>
      </c>
      <c r="K196" s="252">
        <f>(F196*I196)</f>
        <v>243</v>
      </c>
      <c r="O196" s="296" t="s">
        <v>611</v>
      </c>
      <c r="R196" s="252" t="e">
        <f>SUM(R144:R194)</f>
        <v>#REF!</v>
      </c>
      <c r="AG196" s="296" t="s">
        <v>2249</v>
      </c>
    </row>
    <row r="197" spans="1:33" hidden="1">
      <c r="A197" s="437">
        <f t="shared" si="11"/>
        <v>96</v>
      </c>
      <c r="B197" s="296" t="s">
        <v>605</v>
      </c>
      <c r="C197" s="252">
        <v>22.6</v>
      </c>
      <c r="D197" s="296" t="s">
        <v>606</v>
      </c>
      <c r="F197" s="252">
        <v>17.7</v>
      </c>
      <c r="G197" s="252" t="s">
        <v>865</v>
      </c>
      <c r="H197" s="296" t="s">
        <v>1893</v>
      </c>
      <c r="I197" s="252">
        <f>(C12)</f>
        <v>95</v>
      </c>
      <c r="J197" s="253" t="s">
        <v>865</v>
      </c>
      <c r="K197" s="252">
        <f>(F197*I197)</f>
        <v>1681.5</v>
      </c>
      <c r="R197" s="358" t="s">
        <v>1579</v>
      </c>
      <c r="AG197" s="296" t="s">
        <v>2249</v>
      </c>
    </row>
    <row r="198" spans="1:33" hidden="1">
      <c r="A198" s="437">
        <f t="shared" si="11"/>
        <v>97</v>
      </c>
      <c r="B198" s="296" t="s">
        <v>2494</v>
      </c>
      <c r="C198" s="252">
        <v>212</v>
      </c>
      <c r="D198" s="296" t="s">
        <v>606</v>
      </c>
      <c r="F198" s="252">
        <v>14.1</v>
      </c>
      <c r="G198" s="252" t="s">
        <v>865</v>
      </c>
      <c r="H198" s="296" t="s">
        <v>317</v>
      </c>
      <c r="I198" s="252">
        <f>(C13)</f>
        <v>85</v>
      </c>
      <c r="J198" s="253" t="s">
        <v>865</v>
      </c>
      <c r="K198" s="252">
        <f>(F198*I198)</f>
        <v>1198.5</v>
      </c>
      <c r="O198" s="296" t="s">
        <v>770</v>
      </c>
      <c r="R198" s="252" t="e">
        <f>(R196/10)</f>
        <v>#REF!</v>
      </c>
      <c r="AG198" s="296" t="s">
        <v>2249</v>
      </c>
    </row>
    <row r="199" spans="1:33" hidden="1">
      <c r="A199" s="437">
        <f t="shared" si="11"/>
        <v>98</v>
      </c>
      <c r="B199" s="296" t="s">
        <v>2088</v>
      </c>
      <c r="C199" s="252">
        <v>85</v>
      </c>
      <c r="D199" s="296" t="s">
        <v>766</v>
      </c>
      <c r="G199" s="252" t="s">
        <v>446</v>
      </c>
      <c r="H199" s="296" t="s">
        <v>447</v>
      </c>
      <c r="J199" s="253" t="s">
        <v>446</v>
      </c>
      <c r="K199" s="252">
        <v>0</v>
      </c>
      <c r="R199" s="358" t="s">
        <v>2046</v>
      </c>
      <c r="AG199" s="296" t="s">
        <v>2249</v>
      </c>
    </row>
    <row r="200" spans="1:33" hidden="1">
      <c r="A200" s="437">
        <f t="shared" si="11"/>
        <v>99</v>
      </c>
      <c r="B200" s="296" t="s">
        <v>1144</v>
      </c>
      <c r="C200" s="252">
        <v>750</v>
      </c>
      <c r="D200" s="296" t="s">
        <v>766</v>
      </c>
      <c r="K200" s="358" t="s">
        <v>1579</v>
      </c>
      <c r="AG200" s="296" t="s">
        <v>2249</v>
      </c>
    </row>
    <row r="201" spans="1:33" hidden="1">
      <c r="A201" s="437">
        <f t="shared" si="11"/>
        <v>100</v>
      </c>
      <c r="B201" s="296" t="s">
        <v>1145</v>
      </c>
      <c r="C201" s="252">
        <v>47.2</v>
      </c>
      <c r="D201" s="296" t="s">
        <v>766</v>
      </c>
      <c r="K201" s="252" t="e">
        <f>SUM(K194:K199)</f>
        <v>#REF!</v>
      </c>
      <c r="N201" s="296" t="s">
        <v>3134</v>
      </c>
      <c r="O201" s="296" t="s">
        <v>383</v>
      </c>
      <c r="R201" s="252" t="e">
        <f>(R198+C19)</f>
        <v>#REF!</v>
      </c>
      <c r="AG201" s="296" t="s">
        <v>2249</v>
      </c>
    </row>
    <row r="202" spans="1:33" hidden="1">
      <c r="A202" s="437">
        <f t="shared" si="11"/>
        <v>101</v>
      </c>
      <c r="B202" s="296" t="s">
        <v>2327</v>
      </c>
      <c r="C202" s="252">
        <v>75</v>
      </c>
      <c r="D202" s="296" t="s">
        <v>766</v>
      </c>
      <c r="H202" s="296" t="s">
        <v>611</v>
      </c>
      <c r="K202" s="358" t="s">
        <v>1579</v>
      </c>
      <c r="N202" s="296" t="s">
        <v>2328</v>
      </c>
      <c r="O202" s="296" t="s">
        <v>385</v>
      </c>
      <c r="R202" s="252" t="e">
        <f>(R201+C20)</f>
        <v>#REF!</v>
      </c>
      <c r="AG202" s="296" t="s">
        <v>318</v>
      </c>
    </row>
    <row r="203" spans="1:33" hidden="1">
      <c r="A203" s="437">
        <f t="shared" si="11"/>
        <v>102</v>
      </c>
      <c r="B203" s="296" t="s">
        <v>681</v>
      </c>
      <c r="C203" s="252">
        <v>40</v>
      </c>
      <c r="D203" s="296" t="s">
        <v>766</v>
      </c>
      <c r="K203" s="252" t="e">
        <f>(K201/10)</f>
        <v>#REF!</v>
      </c>
      <c r="N203" s="296" t="s">
        <v>2329</v>
      </c>
      <c r="O203" s="296" t="s">
        <v>2222</v>
      </c>
      <c r="R203" s="252" t="e">
        <f>(R202+C21)</f>
        <v>#REF!</v>
      </c>
    </row>
    <row r="204" spans="1:33" hidden="1">
      <c r="A204" s="437">
        <f t="shared" si="11"/>
        <v>103</v>
      </c>
      <c r="B204" s="296" t="s">
        <v>618</v>
      </c>
      <c r="C204" s="252">
        <v>65</v>
      </c>
      <c r="D204" s="296" t="s">
        <v>766</v>
      </c>
      <c r="H204" s="296" t="s">
        <v>770</v>
      </c>
      <c r="K204" s="358" t="s">
        <v>2046</v>
      </c>
      <c r="N204" s="296" t="s">
        <v>2330</v>
      </c>
      <c r="O204" s="296" t="s">
        <v>377</v>
      </c>
      <c r="R204" s="252" t="e">
        <f>(R203+C21)</f>
        <v>#REF!</v>
      </c>
    </row>
    <row r="205" spans="1:33" hidden="1">
      <c r="A205" s="437">
        <f t="shared" si="11"/>
        <v>104</v>
      </c>
      <c r="B205" s="296" t="s">
        <v>2331</v>
      </c>
      <c r="C205" s="252">
        <v>65</v>
      </c>
      <c r="D205" s="296" t="s">
        <v>766</v>
      </c>
      <c r="AG205" s="296" t="s">
        <v>2249</v>
      </c>
    </row>
    <row r="206" spans="1:33" hidden="1">
      <c r="A206" s="437">
        <f t="shared" si="11"/>
        <v>105</v>
      </c>
      <c r="B206" s="296" t="s">
        <v>682</v>
      </c>
      <c r="C206" s="252">
        <v>150</v>
      </c>
      <c r="D206" s="296" t="s">
        <v>683</v>
      </c>
      <c r="F206" s="253" t="s">
        <v>684</v>
      </c>
      <c r="G206" s="252" t="s">
        <v>2241</v>
      </c>
      <c r="H206" s="296" t="s">
        <v>5660</v>
      </c>
    </row>
    <row r="207" spans="1:33" hidden="1">
      <c r="A207" s="437">
        <f t="shared" si="11"/>
        <v>106</v>
      </c>
      <c r="B207" s="296" t="s">
        <v>685</v>
      </c>
      <c r="C207" s="252">
        <v>100</v>
      </c>
      <c r="D207" s="296" t="s">
        <v>766</v>
      </c>
      <c r="H207" s="296" t="s">
        <v>1480</v>
      </c>
      <c r="N207" s="296" t="s">
        <v>686</v>
      </c>
      <c r="O207" s="296" t="s">
        <v>687</v>
      </c>
    </row>
    <row r="208" spans="1:33" hidden="1">
      <c r="H208" s="358" t="s">
        <v>1579</v>
      </c>
      <c r="O208" s="358" t="s">
        <v>1579</v>
      </c>
    </row>
    <row r="209" spans="6:18" hidden="1">
      <c r="F209" s="252">
        <v>9</v>
      </c>
      <c r="G209" s="252" t="s">
        <v>866</v>
      </c>
      <c r="H209" s="296" t="s">
        <v>688</v>
      </c>
      <c r="I209" s="252" t="e">
        <f>C73</f>
        <v>#REF!</v>
      </c>
      <c r="J209" s="253" t="s">
        <v>866</v>
      </c>
      <c r="K209" s="252" t="e">
        <f>(F209*I209)</f>
        <v>#REF!</v>
      </c>
      <c r="M209" s="400">
        <v>1.153E-2</v>
      </c>
      <c r="N209" s="296" t="s">
        <v>866</v>
      </c>
      <c r="O209" s="296" t="s">
        <v>689</v>
      </c>
      <c r="P209" s="252">
        <f>C88</f>
        <v>65420</v>
      </c>
      <c r="Q209" s="296" t="s">
        <v>866</v>
      </c>
      <c r="R209" s="252">
        <f t="shared" ref="R209:R218" si="12">(M209*P209)</f>
        <v>754.29</v>
      </c>
    </row>
    <row r="210" spans="6:18" hidden="1">
      <c r="F210" s="252">
        <v>4.5</v>
      </c>
      <c r="G210" s="252" t="s">
        <v>866</v>
      </c>
      <c r="H210" s="296" t="s">
        <v>119</v>
      </c>
      <c r="I210" s="252" t="e">
        <f>K23</f>
        <v>#REF!</v>
      </c>
      <c r="J210" s="253" t="s">
        <v>866</v>
      </c>
      <c r="K210" s="252" t="e">
        <f>(F210*I210)</f>
        <v>#REF!</v>
      </c>
      <c r="M210" s="400">
        <v>1.013E-2</v>
      </c>
      <c r="N210" s="296" t="s">
        <v>866</v>
      </c>
      <c r="O210" s="296" t="s">
        <v>690</v>
      </c>
      <c r="P210" s="252">
        <f>C89</f>
        <v>57165</v>
      </c>
      <c r="Q210" s="296" t="s">
        <v>866</v>
      </c>
      <c r="R210" s="252">
        <f t="shared" si="12"/>
        <v>579.08000000000004</v>
      </c>
    </row>
    <row r="211" spans="6:18" hidden="1">
      <c r="F211" s="252">
        <v>1.8</v>
      </c>
      <c r="G211" s="252" t="s">
        <v>865</v>
      </c>
      <c r="H211" s="296" t="s">
        <v>1704</v>
      </c>
      <c r="I211" s="252">
        <f>C11</f>
        <v>135</v>
      </c>
      <c r="J211" s="253" t="s">
        <v>865</v>
      </c>
      <c r="K211" s="252">
        <f>(F211*I211)</f>
        <v>243</v>
      </c>
      <c r="M211" s="400">
        <v>0.77780000000000005</v>
      </c>
      <c r="N211" s="296" t="s">
        <v>606</v>
      </c>
      <c r="O211" s="296" t="s">
        <v>2082</v>
      </c>
      <c r="P211" s="252">
        <f>C753</f>
        <v>381.37</v>
      </c>
      <c r="Q211" s="296" t="s">
        <v>606</v>
      </c>
      <c r="R211" s="252">
        <f t="shared" si="12"/>
        <v>296.63</v>
      </c>
    </row>
    <row r="212" spans="6:18" hidden="1">
      <c r="F212" s="252">
        <v>17.7</v>
      </c>
      <c r="G212" s="252" t="s">
        <v>865</v>
      </c>
      <c r="H212" s="296" t="s">
        <v>1893</v>
      </c>
      <c r="I212" s="252">
        <f>C12</f>
        <v>95</v>
      </c>
      <c r="J212" s="253" t="s">
        <v>865</v>
      </c>
      <c r="K212" s="252">
        <f>(F212*I212)</f>
        <v>1681.5</v>
      </c>
      <c r="M212" s="400">
        <v>1.23</v>
      </c>
      <c r="N212" s="296" t="s">
        <v>606</v>
      </c>
      <c r="O212" s="296" t="s">
        <v>2083</v>
      </c>
      <c r="P212" s="252">
        <f>D30</f>
        <v>287</v>
      </c>
      <c r="Q212" s="296" t="s">
        <v>606</v>
      </c>
      <c r="R212" s="252">
        <f t="shared" si="12"/>
        <v>353.01</v>
      </c>
    </row>
    <row r="213" spans="6:18" hidden="1">
      <c r="F213" s="252">
        <v>14.1</v>
      </c>
      <c r="G213" s="252" t="s">
        <v>865</v>
      </c>
      <c r="H213" s="296" t="s">
        <v>317</v>
      </c>
      <c r="I213" s="252">
        <f>C13</f>
        <v>85</v>
      </c>
      <c r="J213" s="253" t="s">
        <v>865</v>
      </c>
      <c r="K213" s="252">
        <f>(F213*I213)</f>
        <v>1198.5</v>
      </c>
      <c r="M213" s="252">
        <v>2</v>
      </c>
      <c r="N213" s="296" t="s">
        <v>865</v>
      </c>
      <c r="O213" s="296" t="s">
        <v>2084</v>
      </c>
      <c r="P213" s="252">
        <f>C283</f>
        <v>30</v>
      </c>
      <c r="Q213" s="296" t="s">
        <v>865</v>
      </c>
      <c r="R213" s="252">
        <f t="shared" si="12"/>
        <v>60</v>
      </c>
    </row>
    <row r="214" spans="6:18" hidden="1">
      <c r="G214" s="252" t="s">
        <v>446</v>
      </c>
      <c r="H214" s="296" t="s">
        <v>447</v>
      </c>
      <c r="J214" s="253" t="s">
        <v>446</v>
      </c>
      <c r="K214" s="252">
        <v>0</v>
      </c>
      <c r="M214" s="252">
        <v>3</v>
      </c>
      <c r="N214" s="296" t="s">
        <v>865</v>
      </c>
      <c r="O214" s="296" t="s">
        <v>2085</v>
      </c>
      <c r="P214" s="252">
        <f>C278</f>
        <v>45</v>
      </c>
      <c r="Q214" s="296" t="s">
        <v>865</v>
      </c>
      <c r="R214" s="252">
        <f t="shared" si="12"/>
        <v>135</v>
      </c>
    </row>
    <row r="215" spans="6:18" hidden="1">
      <c r="K215" s="358" t="s">
        <v>1579</v>
      </c>
      <c r="M215" s="252">
        <v>1</v>
      </c>
      <c r="N215" s="296" t="s">
        <v>865</v>
      </c>
      <c r="O215" s="296" t="s">
        <v>1970</v>
      </c>
      <c r="P215" s="252">
        <f>C285</f>
        <v>95</v>
      </c>
      <c r="Q215" s="296" t="s">
        <v>865</v>
      </c>
      <c r="R215" s="252">
        <f t="shared" si="12"/>
        <v>95</v>
      </c>
    </row>
    <row r="216" spans="6:18" hidden="1">
      <c r="K216" s="252" t="e">
        <f>SUM(K209:K214)</f>
        <v>#REF!</v>
      </c>
      <c r="M216" s="252">
        <v>1</v>
      </c>
      <c r="N216" s="296" t="s">
        <v>865</v>
      </c>
      <c r="O216" s="296" t="s">
        <v>1971</v>
      </c>
      <c r="P216" s="252">
        <f>C287</f>
        <v>8</v>
      </c>
      <c r="Q216" s="296" t="s">
        <v>865</v>
      </c>
      <c r="R216" s="252">
        <f t="shared" si="12"/>
        <v>8</v>
      </c>
    </row>
    <row r="217" spans="6:18" hidden="1">
      <c r="H217" s="296" t="s">
        <v>611</v>
      </c>
      <c r="K217" s="358" t="s">
        <v>1579</v>
      </c>
      <c r="M217" s="252">
        <v>1</v>
      </c>
      <c r="N217" s="296" t="s">
        <v>865</v>
      </c>
      <c r="O217" s="296" t="s">
        <v>1972</v>
      </c>
      <c r="P217" s="252">
        <f>C576</f>
        <v>30</v>
      </c>
      <c r="Q217" s="296" t="s">
        <v>865</v>
      </c>
      <c r="R217" s="252">
        <f t="shared" si="12"/>
        <v>30</v>
      </c>
    </row>
    <row r="218" spans="6:18" hidden="1">
      <c r="K218" s="252" t="e">
        <f>(K216/10)</f>
        <v>#REF!</v>
      </c>
      <c r="M218" s="252">
        <v>1</v>
      </c>
      <c r="N218" s="296" t="s">
        <v>865</v>
      </c>
      <c r="O218" s="296" t="s">
        <v>1973</v>
      </c>
      <c r="P218" s="252">
        <f>D576</f>
        <v>25</v>
      </c>
      <c r="Q218" s="296" t="s">
        <v>865</v>
      </c>
      <c r="R218" s="252">
        <f t="shared" si="12"/>
        <v>25</v>
      </c>
    </row>
    <row r="219" spans="6:18" hidden="1">
      <c r="H219" s="296" t="s">
        <v>770</v>
      </c>
      <c r="K219" s="358" t="s">
        <v>2046</v>
      </c>
      <c r="R219" s="358" t="s">
        <v>1579</v>
      </c>
    </row>
    <row r="220" spans="6:18" hidden="1">
      <c r="O220" s="253" t="s">
        <v>1974</v>
      </c>
      <c r="R220" s="252">
        <f>SUM(R209:R218)</f>
        <v>2336.0100000000002</v>
      </c>
    </row>
    <row r="221" spans="6:18" hidden="1">
      <c r="F221" s="253" t="s">
        <v>2062</v>
      </c>
      <c r="G221" s="252" t="s">
        <v>2241</v>
      </c>
      <c r="H221" s="296" t="s">
        <v>5661</v>
      </c>
      <c r="N221" s="296" t="s">
        <v>971</v>
      </c>
      <c r="R221" s="358" t="s">
        <v>1579</v>
      </c>
    </row>
    <row r="222" spans="6:18" hidden="1">
      <c r="H222" s="296" t="s">
        <v>2063</v>
      </c>
      <c r="M222" s="296" t="s">
        <v>971</v>
      </c>
    </row>
    <row r="223" spans="6:18" hidden="1">
      <c r="H223" s="358" t="s">
        <v>1579</v>
      </c>
      <c r="O223" s="253" t="s">
        <v>549</v>
      </c>
      <c r="R223" s="252">
        <f>R220/M212</f>
        <v>1899.2</v>
      </c>
    </row>
    <row r="224" spans="6:18" hidden="1">
      <c r="F224" s="252">
        <v>9</v>
      </c>
      <c r="G224" s="252" t="s">
        <v>866</v>
      </c>
      <c r="H224" s="296" t="s">
        <v>1802</v>
      </c>
      <c r="I224" s="252" t="e">
        <f>AC20</f>
        <v>#REF!</v>
      </c>
      <c r="J224" s="253" t="s">
        <v>866</v>
      </c>
      <c r="K224" s="252" t="e">
        <f>(F224*I224)</f>
        <v>#REF!</v>
      </c>
      <c r="M224" s="296" t="s">
        <v>318</v>
      </c>
    </row>
    <row r="225" spans="6:11" hidden="1">
      <c r="F225" s="252">
        <v>4.5</v>
      </c>
      <c r="G225" s="252" t="s">
        <v>866</v>
      </c>
      <c r="H225" s="296" t="s">
        <v>1624</v>
      </c>
      <c r="I225" s="252" t="e">
        <f>K77</f>
        <v>#REF!</v>
      </c>
      <c r="J225" s="253" t="s">
        <v>866</v>
      </c>
      <c r="K225" s="252" t="e">
        <f>(F225*I225)</f>
        <v>#REF!</v>
      </c>
    </row>
    <row r="226" spans="6:11" hidden="1">
      <c r="F226" s="252">
        <v>1.8</v>
      </c>
      <c r="G226" s="252" t="s">
        <v>865</v>
      </c>
      <c r="H226" s="296" t="s">
        <v>1704</v>
      </c>
      <c r="I226" s="252">
        <f>C11</f>
        <v>135</v>
      </c>
      <c r="J226" s="253" t="s">
        <v>865</v>
      </c>
      <c r="K226" s="252">
        <f>(F226*I226)</f>
        <v>243</v>
      </c>
    </row>
    <row r="227" spans="6:11" hidden="1">
      <c r="F227" s="252">
        <v>17.7</v>
      </c>
      <c r="G227" s="252" t="s">
        <v>865</v>
      </c>
      <c r="H227" s="296" t="s">
        <v>1893</v>
      </c>
      <c r="I227" s="252">
        <f>C12</f>
        <v>95</v>
      </c>
      <c r="J227" s="253" t="s">
        <v>865</v>
      </c>
      <c r="K227" s="252">
        <f>(F227*I227)</f>
        <v>1681.5</v>
      </c>
    </row>
    <row r="228" spans="6:11" hidden="1">
      <c r="F228" s="252">
        <v>14.1</v>
      </c>
      <c r="G228" s="252" t="s">
        <v>865</v>
      </c>
      <c r="H228" s="296" t="s">
        <v>317</v>
      </c>
      <c r="I228" s="252">
        <f>C13</f>
        <v>85</v>
      </c>
      <c r="J228" s="253" t="s">
        <v>865</v>
      </c>
      <c r="K228" s="252">
        <f>(F228*I228)</f>
        <v>1198.5</v>
      </c>
    </row>
    <row r="229" spans="6:11" hidden="1">
      <c r="G229" s="252" t="s">
        <v>446</v>
      </c>
      <c r="H229" s="296" t="s">
        <v>447</v>
      </c>
      <c r="J229" s="253" t="s">
        <v>446</v>
      </c>
      <c r="K229" s="252">
        <v>0</v>
      </c>
    </row>
    <row r="230" spans="6:11" hidden="1">
      <c r="K230" s="358" t="s">
        <v>1579</v>
      </c>
    </row>
    <row r="231" spans="6:11" hidden="1">
      <c r="K231" s="252" t="e">
        <f>SUM(K224:K229)</f>
        <v>#REF!</v>
      </c>
    </row>
    <row r="232" spans="6:11" hidden="1">
      <c r="H232" s="296" t="s">
        <v>611</v>
      </c>
      <c r="K232" s="358" t="s">
        <v>1579</v>
      </c>
    </row>
    <row r="233" spans="6:11" hidden="1">
      <c r="K233" s="252" t="e">
        <f>(K231/10)</f>
        <v>#REF!</v>
      </c>
    </row>
    <row r="234" spans="6:11" hidden="1">
      <c r="H234" s="296" t="s">
        <v>770</v>
      </c>
      <c r="K234" s="358" t="s">
        <v>2046</v>
      </c>
    </row>
    <row r="235" spans="6:11" hidden="1"/>
    <row r="236" spans="6:11" hidden="1"/>
    <row r="237" spans="6:11" hidden="1">
      <c r="F237" s="375">
        <v>3.6</v>
      </c>
      <c r="H237" s="296" t="s">
        <v>5663</v>
      </c>
    </row>
    <row r="238" spans="6:11" hidden="1">
      <c r="H238" s="296" t="s">
        <v>638</v>
      </c>
    </row>
    <row r="239" spans="6:11" hidden="1">
      <c r="H239" s="358" t="s">
        <v>2046</v>
      </c>
    </row>
    <row r="240" spans="6:11" hidden="1">
      <c r="F240" s="252">
        <v>1.25</v>
      </c>
      <c r="G240" s="252" t="s">
        <v>1336</v>
      </c>
      <c r="H240" s="296" t="s">
        <v>1497</v>
      </c>
      <c r="I240" s="252">
        <f>C783</f>
        <v>3.05</v>
      </c>
      <c r="J240" s="253" t="s">
        <v>1336</v>
      </c>
      <c r="K240" s="252">
        <f>(F240*I240)</f>
        <v>3.81</v>
      </c>
    </row>
    <row r="241" spans="6:11" hidden="1">
      <c r="F241" s="252">
        <v>0.75</v>
      </c>
      <c r="G241" s="252" t="s">
        <v>1336</v>
      </c>
      <c r="H241" s="296" t="s">
        <v>2332</v>
      </c>
      <c r="I241" s="252" t="e">
        <f>AC37</f>
        <v>#REF!</v>
      </c>
      <c r="J241" s="253" t="s">
        <v>1336</v>
      </c>
      <c r="K241" s="252" t="e">
        <f>(F241*I241)</f>
        <v>#REF!</v>
      </c>
    </row>
    <row r="242" spans="6:11" hidden="1">
      <c r="F242" s="252">
        <v>0.5</v>
      </c>
      <c r="G242" s="252" t="s">
        <v>1336</v>
      </c>
      <c r="H242" s="296" t="s">
        <v>2089</v>
      </c>
      <c r="I242" s="252" t="e">
        <f>AC36</f>
        <v>#REF!</v>
      </c>
      <c r="J242" s="253" t="s">
        <v>1336</v>
      </c>
      <c r="K242" s="252" t="e">
        <f>(F242*I242)</f>
        <v>#REF!</v>
      </c>
    </row>
    <row r="243" spans="6:11" hidden="1">
      <c r="F243" s="252">
        <v>0.45</v>
      </c>
      <c r="G243" s="252" t="s">
        <v>1336</v>
      </c>
      <c r="H243" s="296" t="s">
        <v>921</v>
      </c>
      <c r="I243" s="252">
        <f>AC38</f>
        <v>169</v>
      </c>
      <c r="J243" s="253" t="s">
        <v>1336</v>
      </c>
      <c r="K243" s="252">
        <f>(F243*I243)</f>
        <v>76.05</v>
      </c>
    </row>
    <row r="244" spans="6:11" hidden="1">
      <c r="F244" s="252">
        <v>10</v>
      </c>
      <c r="G244" s="252" t="s">
        <v>230</v>
      </c>
      <c r="H244" s="296" t="s">
        <v>1906</v>
      </c>
      <c r="I244" s="252">
        <v>17.82</v>
      </c>
      <c r="J244" s="253" t="s">
        <v>230</v>
      </c>
      <c r="K244" s="252">
        <f>(F244*I244)</f>
        <v>178.2</v>
      </c>
    </row>
    <row r="245" spans="6:11" hidden="1">
      <c r="H245" s="296" t="s">
        <v>1907</v>
      </c>
      <c r="K245" s="358" t="s">
        <v>1579</v>
      </c>
    </row>
    <row r="246" spans="6:11" hidden="1">
      <c r="H246" s="296" t="s">
        <v>1908</v>
      </c>
      <c r="K246" s="252" t="e">
        <f>SUM(K240:K244)</f>
        <v>#REF!</v>
      </c>
    </row>
    <row r="247" spans="6:11" hidden="1">
      <c r="K247" s="358" t="s">
        <v>1579</v>
      </c>
    </row>
    <row r="248" spans="6:11" hidden="1">
      <c r="H248" s="296" t="s">
        <v>1909</v>
      </c>
      <c r="K248" s="252" t="e">
        <f>K246/10</f>
        <v>#REF!</v>
      </c>
    </row>
    <row r="249" spans="6:11" hidden="1">
      <c r="K249" s="358" t="s">
        <v>2046</v>
      </c>
    </row>
    <row r="250" spans="6:11" hidden="1"/>
    <row r="251" spans="6:11" hidden="1">
      <c r="F251" s="375">
        <v>3.7</v>
      </c>
      <c r="H251" s="296" t="s">
        <v>5664</v>
      </c>
    </row>
    <row r="252" spans="6:11" hidden="1">
      <c r="H252" s="358" t="s">
        <v>1579</v>
      </c>
    </row>
    <row r="253" spans="6:11" hidden="1">
      <c r="F253" s="252">
        <v>2.7</v>
      </c>
      <c r="G253" s="252" t="s">
        <v>1336</v>
      </c>
      <c r="H253" s="296" t="s">
        <v>152</v>
      </c>
      <c r="I253" s="252" t="e">
        <f>AC35</f>
        <v>#REF!</v>
      </c>
      <c r="J253" s="253" t="s">
        <v>1336</v>
      </c>
      <c r="K253" s="252" t="e">
        <f>(F253*I253)</f>
        <v>#REF!</v>
      </c>
    </row>
    <row r="254" spans="6:11" hidden="1">
      <c r="F254" s="316">
        <v>0.14499999999999999</v>
      </c>
      <c r="G254" s="252" t="s">
        <v>1336</v>
      </c>
      <c r="H254" s="296" t="s">
        <v>908</v>
      </c>
      <c r="I254" s="252" t="e">
        <f>AC17</f>
        <v>#REF!</v>
      </c>
      <c r="J254" s="253" t="s">
        <v>1336</v>
      </c>
      <c r="K254" s="252" t="e">
        <f>(F254*I254)</f>
        <v>#REF!</v>
      </c>
    </row>
    <row r="255" spans="6:11" hidden="1">
      <c r="F255" s="252">
        <v>218.8</v>
      </c>
      <c r="G255" s="252" t="s">
        <v>909</v>
      </c>
      <c r="H255" s="296" t="s">
        <v>910</v>
      </c>
      <c r="I255" s="252">
        <v>12224.58</v>
      </c>
      <c r="J255" s="253" t="s">
        <v>909</v>
      </c>
      <c r="K255" s="252">
        <f>(F255*I255)/1000</f>
        <v>2674.74</v>
      </c>
    </row>
    <row r="256" spans="6:11" hidden="1">
      <c r="F256" s="252">
        <v>100</v>
      </c>
      <c r="G256" s="252" t="s">
        <v>230</v>
      </c>
      <c r="H256" s="296" t="s">
        <v>911</v>
      </c>
      <c r="I256" s="252">
        <v>14.3</v>
      </c>
      <c r="J256" s="253" t="s">
        <v>230</v>
      </c>
      <c r="K256" s="252">
        <f>(F256*I256)</f>
        <v>1430</v>
      </c>
    </row>
    <row r="257" spans="1:33" hidden="1">
      <c r="K257" s="358" t="s">
        <v>1579</v>
      </c>
    </row>
    <row r="258" spans="1:33" hidden="1">
      <c r="H258" s="296" t="s">
        <v>912</v>
      </c>
      <c r="K258" s="252" t="e">
        <f>SUM(K253:K256)</f>
        <v>#REF!</v>
      </c>
    </row>
    <row r="259" spans="1:33" hidden="1">
      <c r="K259" s="358" t="s">
        <v>1579</v>
      </c>
    </row>
    <row r="260" spans="1:33" hidden="1">
      <c r="H260" s="296" t="s">
        <v>1909</v>
      </c>
      <c r="K260" s="252" t="e">
        <f>K258/100</f>
        <v>#REF!</v>
      </c>
    </row>
    <row r="261" spans="1:33" hidden="1">
      <c r="F261" s="296" t="s">
        <v>971</v>
      </c>
      <c r="G261" s="252" t="s">
        <v>971</v>
      </c>
      <c r="K261" s="358" t="s">
        <v>2046</v>
      </c>
    </row>
    <row r="262" spans="1:33" hidden="1"/>
    <row r="263" spans="1:33" hidden="1"/>
    <row r="264" spans="1:33" hidden="1">
      <c r="A264" s="437">
        <f>(A205+1)</f>
        <v>105</v>
      </c>
      <c r="B264" s="296" t="s">
        <v>1803</v>
      </c>
      <c r="C264" s="252">
        <v>50.5</v>
      </c>
      <c r="D264" s="296" t="s">
        <v>766</v>
      </c>
      <c r="F264" s="253" t="s">
        <v>671</v>
      </c>
      <c r="H264" s="296" t="s">
        <v>1599</v>
      </c>
      <c r="N264" s="296" t="s">
        <v>672</v>
      </c>
      <c r="O264" s="296" t="s">
        <v>831</v>
      </c>
      <c r="AG264" s="296" t="s">
        <v>2249</v>
      </c>
    </row>
    <row r="265" spans="1:33" hidden="1">
      <c r="A265" s="437">
        <f t="shared" ref="A265:A279" si="13">(A264+1)</f>
        <v>106</v>
      </c>
      <c r="B265" s="296" t="s">
        <v>832</v>
      </c>
      <c r="C265" s="252">
        <v>115</v>
      </c>
      <c r="D265" s="296" t="s">
        <v>766</v>
      </c>
      <c r="H265" s="358" t="s">
        <v>2046</v>
      </c>
      <c r="O265" s="358" t="s">
        <v>1579</v>
      </c>
      <c r="AG265" s="296" t="s">
        <v>2249</v>
      </c>
    </row>
    <row r="266" spans="1:33" hidden="1">
      <c r="A266" s="437">
        <f t="shared" si="13"/>
        <v>107</v>
      </c>
      <c r="B266" s="296" t="s">
        <v>2333</v>
      </c>
      <c r="C266" s="252">
        <v>63</v>
      </c>
      <c r="D266" s="252">
        <v>90</v>
      </c>
      <c r="G266" s="252" t="s">
        <v>2241</v>
      </c>
      <c r="H266" s="296" t="s">
        <v>398</v>
      </c>
      <c r="M266" s="252">
        <v>1.1399999999999999</v>
      </c>
      <c r="N266" s="296" t="s">
        <v>866</v>
      </c>
      <c r="O266" s="296" t="s">
        <v>2269</v>
      </c>
      <c r="P266" s="252" t="e">
        <f>(K419)</f>
        <v>#REF!</v>
      </c>
      <c r="Q266" s="296" t="s">
        <v>865</v>
      </c>
      <c r="R266" s="252" t="e">
        <f>(M266*P266)</f>
        <v>#REF!</v>
      </c>
      <c r="AG266" s="296" t="s">
        <v>2249</v>
      </c>
    </row>
    <row r="267" spans="1:33" hidden="1">
      <c r="A267" s="437">
        <f t="shared" si="13"/>
        <v>108</v>
      </c>
      <c r="B267" s="296" t="s">
        <v>2334</v>
      </c>
      <c r="C267" s="252">
        <v>10705</v>
      </c>
      <c r="D267" s="296" t="s">
        <v>866</v>
      </c>
      <c r="H267" s="296" t="s">
        <v>2259</v>
      </c>
      <c r="M267" s="252">
        <v>1</v>
      </c>
      <c r="N267" s="296" t="s">
        <v>766</v>
      </c>
      <c r="O267" s="296" t="s">
        <v>2000</v>
      </c>
      <c r="P267" s="252">
        <f>(C10)</f>
        <v>150</v>
      </c>
      <c r="Q267" s="296" t="s">
        <v>865</v>
      </c>
      <c r="R267" s="252">
        <f>(M267*P267)</f>
        <v>150</v>
      </c>
      <c r="AG267" s="296" t="s">
        <v>2249</v>
      </c>
    </row>
    <row r="268" spans="1:33" hidden="1">
      <c r="A268" s="437">
        <f t="shared" si="13"/>
        <v>109</v>
      </c>
      <c r="B268" s="296" t="s">
        <v>3135</v>
      </c>
      <c r="C268" s="252">
        <v>9395</v>
      </c>
      <c r="D268" s="296" t="s">
        <v>866</v>
      </c>
      <c r="H268" s="358" t="s">
        <v>1579</v>
      </c>
      <c r="N268" s="296" t="s">
        <v>446</v>
      </c>
      <c r="O268" s="296" t="s">
        <v>447</v>
      </c>
      <c r="P268" s="296" t="s">
        <v>971</v>
      </c>
      <c r="Q268" s="296" t="s">
        <v>446</v>
      </c>
      <c r="R268" s="252">
        <v>0.05</v>
      </c>
      <c r="AG268" s="296" t="s">
        <v>2249</v>
      </c>
    </row>
    <row r="269" spans="1:33" hidden="1">
      <c r="A269" s="437">
        <f t="shared" si="13"/>
        <v>110</v>
      </c>
      <c r="B269" s="296" t="s">
        <v>3136</v>
      </c>
      <c r="C269" s="252">
        <v>15</v>
      </c>
      <c r="D269" s="296" t="s">
        <v>766</v>
      </c>
      <c r="F269" s="252">
        <v>9</v>
      </c>
      <c r="G269" s="252" t="s">
        <v>866</v>
      </c>
      <c r="H269" s="296" t="s">
        <v>436</v>
      </c>
      <c r="I269" s="252" t="e">
        <f>(C73)</f>
        <v>#REF!</v>
      </c>
      <c r="J269" s="253" t="s">
        <v>866</v>
      </c>
      <c r="K269" s="252" t="e">
        <f t="shared" ref="K269:K274" si="14">(F269*I269)</f>
        <v>#REF!</v>
      </c>
      <c r="R269" s="358" t="s">
        <v>1579</v>
      </c>
      <c r="AG269" s="296" t="s">
        <v>2249</v>
      </c>
    </row>
    <row r="270" spans="1:33" hidden="1">
      <c r="A270" s="437">
        <f t="shared" si="13"/>
        <v>111</v>
      </c>
      <c r="B270" s="296" t="s">
        <v>437</v>
      </c>
      <c r="C270" s="252">
        <v>35</v>
      </c>
      <c r="D270" s="296" t="s">
        <v>1637</v>
      </c>
      <c r="E270" s="370">
        <v>120</v>
      </c>
      <c r="F270" s="356">
        <v>3.2309999999999999</v>
      </c>
      <c r="G270" s="252" t="s">
        <v>858</v>
      </c>
      <c r="H270" s="296" t="s">
        <v>859</v>
      </c>
      <c r="I270" s="252">
        <f>(C67)</f>
        <v>3800</v>
      </c>
      <c r="J270" s="253" t="s">
        <v>858</v>
      </c>
      <c r="K270" s="252">
        <f t="shared" si="14"/>
        <v>12277.8</v>
      </c>
      <c r="O270" s="296" t="s">
        <v>438</v>
      </c>
      <c r="R270" s="252" t="e">
        <f>SUM(R266:R268)</f>
        <v>#REF!</v>
      </c>
      <c r="AG270" s="296" t="s">
        <v>2249</v>
      </c>
    </row>
    <row r="271" spans="1:33" hidden="1">
      <c r="A271" s="437">
        <f t="shared" si="13"/>
        <v>112</v>
      </c>
      <c r="B271" s="296" t="s">
        <v>2956</v>
      </c>
      <c r="C271" s="252">
        <v>160</v>
      </c>
      <c r="D271" s="252">
        <v>452.09</v>
      </c>
      <c r="F271" s="252">
        <v>4.5</v>
      </c>
      <c r="G271" s="252" t="s">
        <v>866</v>
      </c>
      <c r="H271" s="296" t="s">
        <v>867</v>
      </c>
      <c r="I271" s="252" t="e">
        <f>(C78)</f>
        <v>#REF!</v>
      </c>
      <c r="J271" s="253" t="s">
        <v>866</v>
      </c>
      <c r="K271" s="252" t="e">
        <f t="shared" si="14"/>
        <v>#REF!</v>
      </c>
      <c r="R271" s="358" t="s">
        <v>1579</v>
      </c>
      <c r="AG271" s="296" t="s">
        <v>2249</v>
      </c>
    </row>
    <row r="272" spans="1:33" hidden="1">
      <c r="A272" s="437">
        <f t="shared" si="13"/>
        <v>113</v>
      </c>
      <c r="B272" s="296" t="s">
        <v>1372</v>
      </c>
      <c r="C272" s="252">
        <v>13.5</v>
      </c>
      <c r="D272" s="296" t="s">
        <v>1763</v>
      </c>
      <c r="F272" s="252">
        <v>3.5</v>
      </c>
      <c r="G272" s="252" t="s">
        <v>865</v>
      </c>
      <c r="H272" s="296" t="s">
        <v>1704</v>
      </c>
      <c r="I272" s="252">
        <f>(C11)</f>
        <v>135</v>
      </c>
      <c r="J272" s="253" t="s">
        <v>865</v>
      </c>
      <c r="K272" s="252">
        <f t="shared" si="14"/>
        <v>472.5</v>
      </c>
      <c r="O272" s="296" t="s">
        <v>549</v>
      </c>
      <c r="R272" s="252" t="e">
        <f>(R270/10)</f>
        <v>#REF!</v>
      </c>
      <c r="AG272" s="296" t="s">
        <v>2249</v>
      </c>
    </row>
    <row r="273" spans="1:33" hidden="1">
      <c r="A273" s="437">
        <f t="shared" si="13"/>
        <v>114</v>
      </c>
      <c r="B273" s="296" t="s">
        <v>1373</v>
      </c>
      <c r="C273" s="252">
        <v>18.809999999999999</v>
      </c>
      <c r="D273" s="296" t="s">
        <v>766</v>
      </c>
      <c r="F273" s="252">
        <v>21.2</v>
      </c>
      <c r="G273" s="252" t="s">
        <v>865</v>
      </c>
      <c r="H273" s="296" t="s">
        <v>1893</v>
      </c>
      <c r="I273" s="252">
        <f>(C12)</f>
        <v>95</v>
      </c>
      <c r="J273" s="253" t="s">
        <v>865</v>
      </c>
      <c r="K273" s="252">
        <f t="shared" si="14"/>
        <v>2014</v>
      </c>
      <c r="R273" s="358" t="s">
        <v>2046</v>
      </c>
      <c r="AG273" s="296" t="s">
        <v>2249</v>
      </c>
    </row>
    <row r="274" spans="1:33" hidden="1">
      <c r="A274" s="437">
        <f t="shared" si="13"/>
        <v>115</v>
      </c>
      <c r="B274" s="296" t="s">
        <v>1374</v>
      </c>
      <c r="C274" s="252">
        <v>14.15</v>
      </c>
      <c r="D274" s="296" t="s">
        <v>766</v>
      </c>
      <c r="F274" s="252">
        <v>35.299999999999997</v>
      </c>
      <c r="G274" s="252" t="s">
        <v>865</v>
      </c>
      <c r="H274" s="296" t="s">
        <v>317</v>
      </c>
      <c r="I274" s="252">
        <f>(C13)</f>
        <v>85</v>
      </c>
      <c r="J274" s="253" t="s">
        <v>865</v>
      </c>
      <c r="K274" s="252">
        <f t="shared" si="14"/>
        <v>3000.5</v>
      </c>
      <c r="N274" s="296" t="s">
        <v>1130</v>
      </c>
      <c r="O274" s="296" t="s">
        <v>383</v>
      </c>
      <c r="R274" s="252" t="e">
        <f>(R272+C19/10*M266)</f>
        <v>#REF!</v>
      </c>
      <c r="AG274" s="296" t="s">
        <v>2249</v>
      </c>
    </row>
    <row r="275" spans="1:33" hidden="1">
      <c r="A275" s="437">
        <f t="shared" si="13"/>
        <v>116</v>
      </c>
      <c r="B275" s="296" t="s">
        <v>656</v>
      </c>
      <c r="C275" s="252">
        <v>16.440000000000001</v>
      </c>
      <c r="D275" s="296" t="s">
        <v>766</v>
      </c>
      <c r="G275" s="252" t="s">
        <v>446</v>
      </c>
      <c r="H275" s="296" t="s">
        <v>447</v>
      </c>
      <c r="I275" s="296" t="s">
        <v>971</v>
      </c>
      <c r="J275" s="253" t="s">
        <v>446</v>
      </c>
      <c r="K275" s="252">
        <v>0</v>
      </c>
      <c r="N275" s="296" t="s">
        <v>657</v>
      </c>
      <c r="O275" s="296" t="s">
        <v>385</v>
      </c>
      <c r="R275" s="252" t="e">
        <f>(R274+C20/10*M266)</f>
        <v>#REF!</v>
      </c>
      <c r="AG275" s="296" t="s">
        <v>2249</v>
      </c>
    </row>
    <row r="276" spans="1:33" hidden="1">
      <c r="A276" s="437">
        <f t="shared" si="13"/>
        <v>117</v>
      </c>
      <c r="B276" s="296" t="s">
        <v>658</v>
      </c>
      <c r="C276" s="252">
        <v>8</v>
      </c>
      <c r="D276" s="252">
        <v>6.25</v>
      </c>
      <c r="K276" s="358" t="s">
        <v>1579</v>
      </c>
      <c r="N276" s="296" t="s">
        <v>669</v>
      </c>
      <c r="O276" s="296" t="s">
        <v>2222</v>
      </c>
      <c r="R276" s="252" t="e">
        <f>(R275+C21/10*M266)</f>
        <v>#REF!</v>
      </c>
      <c r="AG276" s="296" t="s">
        <v>2249</v>
      </c>
    </row>
    <row r="277" spans="1:33" hidden="1">
      <c r="A277" s="437">
        <f t="shared" si="13"/>
        <v>118</v>
      </c>
      <c r="B277" s="296" t="s">
        <v>670</v>
      </c>
      <c r="C277" s="252">
        <v>170.39</v>
      </c>
      <c r="D277" s="296" t="s">
        <v>606</v>
      </c>
      <c r="H277" s="296" t="s">
        <v>2161</v>
      </c>
      <c r="K277" s="252" t="e">
        <f>SUM(K269:K275)</f>
        <v>#REF!</v>
      </c>
      <c r="N277" s="296" t="s">
        <v>2162</v>
      </c>
      <c r="O277" s="296" t="s">
        <v>377</v>
      </c>
      <c r="R277" s="252" t="e">
        <f>(R276+C21/10*M266)</f>
        <v>#REF!</v>
      </c>
      <c r="AG277" s="296" t="s">
        <v>2249</v>
      </c>
    </row>
    <row r="278" spans="1:33" hidden="1">
      <c r="A278" s="437">
        <f t="shared" si="13"/>
        <v>119</v>
      </c>
      <c r="B278" s="296" t="s">
        <v>2957</v>
      </c>
      <c r="C278" s="252">
        <v>45</v>
      </c>
      <c r="D278" s="296" t="s">
        <v>766</v>
      </c>
      <c r="K278" s="358" t="s">
        <v>1579</v>
      </c>
      <c r="AG278" s="296" t="s">
        <v>2249</v>
      </c>
    </row>
    <row r="279" spans="1:33" hidden="1">
      <c r="A279" s="437">
        <f t="shared" si="13"/>
        <v>120</v>
      </c>
      <c r="B279" s="296" t="s">
        <v>2958</v>
      </c>
      <c r="C279" s="252">
        <v>31.24</v>
      </c>
      <c r="D279" s="296" t="s">
        <v>766</v>
      </c>
      <c r="H279" s="296" t="s">
        <v>770</v>
      </c>
      <c r="K279" s="252" t="e">
        <f>(K277/10)</f>
        <v>#REF!</v>
      </c>
      <c r="N279" s="296" t="s">
        <v>672</v>
      </c>
      <c r="O279" s="296" t="s">
        <v>2163</v>
      </c>
      <c r="R279" s="296" t="s">
        <v>971</v>
      </c>
      <c r="AG279" s="296" t="s">
        <v>2249</v>
      </c>
    </row>
    <row r="280" spans="1:33" hidden="1">
      <c r="F280" s="296" t="s">
        <v>971</v>
      </c>
    </row>
    <row r="281" spans="1:33" hidden="1">
      <c r="A281" s="437">
        <f>(A279+1)</f>
        <v>121</v>
      </c>
      <c r="B281" s="296" t="s">
        <v>2959</v>
      </c>
      <c r="C281" s="252">
        <v>25</v>
      </c>
      <c r="D281" s="296" t="s">
        <v>766</v>
      </c>
      <c r="O281" s="296" t="s">
        <v>1576</v>
      </c>
      <c r="AG281" s="296" t="s">
        <v>2249</v>
      </c>
    </row>
    <row r="282" spans="1:33" hidden="1">
      <c r="A282" s="437">
        <f t="shared" ref="A282:A326" si="15">(A281+1)</f>
        <v>122</v>
      </c>
      <c r="B282" s="296" t="s">
        <v>2960</v>
      </c>
      <c r="C282" s="252">
        <v>13</v>
      </c>
      <c r="D282" s="296" t="s">
        <v>766</v>
      </c>
      <c r="F282" s="252">
        <v>1</v>
      </c>
      <c r="G282" s="252" t="s">
        <v>866</v>
      </c>
      <c r="H282" s="296" t="s">
        <v>44</v>
      </c>
      <c r="K282" s="252">
        <f>(C25)</f>
        <v>20.7</v>
      </c>
      <c r="O282" s="358" t="s">
        <v>1579</v>
      </c>
      <c r="AG282" s="296" t="s">
        <v>2249</v>
      </c>
    </row>
    <row r="283" spans="1:33" hidden="1">
      <c r="A283" s="437">
        <f t="shared" si="15"/>
        <v>123</v>
      </c>
      <c r="B283" s="296" t="s">
        <v>3124</v>
      </c>
      <c r="C283" s="252">
        <v>30</v>
      </c>
      <c r="D283" s="296" t="s">
        <v>766</v>
      </c>
      <c r="K283" s="358" t="s">
        <v>1579</v>
      </c>
      <c r="M283" s="252">
        <v>10</v>
      </c>
      <c r="N283" s="296" t="s">
        <v>606</v>
      </c>
      <c r="O283" s="296" t="s">
        <v>45</v>
      </c>
      <c r="P283" s="252" t="e">
        <f>(K1191)</f>
        <v>#REF!</v>
      </c>
      <c r="Q283" s="296" t="s">
        <v>606</v>
      </c>
      <c r="R283" s="252" t="e">
        <f>(M283*P283)</f>
        <v>#REF!</v>
      </c>
      <c r="AG283" s="296" t="s">
        <v>2249</v>
      </c>
    </row>
    <row r="284" spans="1:33" hidden="1">
      <c r="A284" s="437">
        <f t="shared" si="15"/>
        <v>124</v>
      </c>
      <c r="B284" s="296" t="s">
        <v>3125</v>
      </c>
      <c r="C284" s="252">
        <v>20</v>
      </c>
      <c r="D284" s="296" t="s">
        <v>766</v>
      </c>
      <c r="E284" s="370">
        <v>25</v>
      </c>
      <c r="H284" s="296" t="s">
        <v>599</v>
      </c>
      <c r="K284" s="252" t="e">
        <f>SUM(K279:K282)</f>
        <v>#REF!</v>
      </c>
      <c r="M284" s="252">
        <v>1.1000000000000001</v>
      </c>
      <c r="N284" s="296" t="s">
        <v>865</v>
      </c>
      <c r="O284" s="296" t="s">
        <v>1704</v>
      </c>
      <c r="P284" s="252">
        <f>(C11)</f>
        <v>135</v>
      </c>
      <c r="Q284" s="296" t="s">
        <v>865</v>
      </c>
      <c r="R284" s="252">
        <f>(M284*P284)</f>
        <v>148.5</v>
      </c>
      <c r="AG284" s="296" t="s">
        <v>2249</v>
      </c>
    </row>
    <row r="285" spans="1:33" hidden="1">
      <c r="A285" s="437">
        <f t="shared" si="15"/>
        <v>125</v>
      </c>
      <c r="B285" s="296" t="s">
        <v>600</v>
      </c>
      <c r="C285" s="252">
        <v>95</v>
      </c>
      <c r="D285" s="296" t="s">
        <v>766</v>
      </c>
      <c r="K285" s="358" t="s">
        <v>1579</v>
      </c>
      <c r="M285" s="252">
        <v>1.1000000000000001</v>
      </c>
      <c r="N285" s="296" t="s">
        <v>865</v>
      </c>
      <c r="O285" s="296" t="s">
        <v>1893</v>
      </c>
      <c r="P285" s="252">
        <f>(C12)</f>
        <v>95</v>
      </c>
      <c r="Q285" s="296" t="s">
        <v>865</v>
      </c>
      <c r="R285" s="252">
        <f>(M285*P285)</f>
        <v>104.5</v>
      </c>
      <c r="AG285" s="296" t="s">
        <v>2249</v>
      </c>
    </row>
    <row r="286" spans="1:33" hidden="1">
      <c r="A286" s="437">
        <f t="shared" si="15"/>
        <v>126</v>
      </c>
      <c r="B286" s="296" t="s">
        <v>440</v>
      </c>
      <c r="C286" s="252">
        <v>80</v>
      </c>
      <c r="D286" s="296" t="s">
        <v>766</v>
      </c>
      <c r="H286" s="296" t="s">
        <v>383</v>
      </c>
      <c r="K286" s="252" t="e">
        <f>(K284+C22)</f>
        <v>#REF!</v>
      </c>
      <c r="M286" s="252">
        <v>1.1000000000000001</v>
      </c>
      <c r="N286" s="296" t="s">
        <v>865</v>
      </c>
      <c r="O286" s="296" t="s">
        <v>317</v>
      </c>
      <c r="P286" s="252">
        <f>(C13)</f>
        <v>85</v>
      </c>
      <c r="Q286" s="296" t="s">
        <v>865</v>
      </c>
      <c r="R286" s="252">
        <f>(M286*P286)</f>
        <v>93.5</v>
      </c>
      <c r="AG286" s="296" t="s">
        <v>2249</v>
      </c>
    </row>
    <row r="287" spans="1:33" hidden="1">
      <c r="A287" s="437">
        <f t="shared" si="15"/>
        <v>127</v>
      </c>
      <c r="B287" s="296" t="s">
        <v>1797</v>
      </c>
      <c r="C287" s="252">
        <v>8</v>
      </c>
      <c r="D287" s="296" t="s">
        <v>766</v>
      </c>
      <c r="H287" s="296" t="s">
        <v>385</v>
      </c>
      <c r="K287" s="252" t="e">
        <f>(K286+C23)</f>
        <v>#REF!</v>
      </c>
      <c r="R287" s="358" t="s">
        <v>1579</v>
      </c>
      <c r="AG287" s="296" t="s">
        <v>2249</v>
      </c>
    </row>
    <row r="288" spans="1:33" hidden="1">
      <c r="A288" s="437">
        <f t="shared" si="15"/>
        <v>128</v>
      </c>
      <c r="B288" s="296" t="s">
        <v>1146</v>
      </c>
      <c r="C288" s="252">
        <v>8</v>
      </c>
      <c r="D288" s="296" t="s">
        <v>766</v>
      </c>
      <c r="H288" s="296" t="s">
        <v>2222</v>
      </c>
      <c r="K288" s="252" t="e">
        <f>(K287+C24)</f>
        <v>#REF!</v>
      </c>
      <c r="O288" s="296" t="s">
        <v>438</v>
      </c>
      <c r="R288" s="252" t="e">
        <f>SUM(R283:R286)</f>
        <v>#REF!</v>
      </c>
      <c r="AG288" s="296" t="s">
        <v>2249</v>
      </c>
    </row>
    <row r="289" spans="1:33" hidden="1">
      <c r="A289" s="437">
        <f t="shared" si="15"/>
        <v>129</v>
      </c>
      <c r="B289" s="296" t="s">
        <v>1147</v>
      </c>
      <c r="C289" s="252">
        <v>2.9</v>
      </c>
      <c r="D289" s="296" t="s">
        <v>1148</v>
      </c>
      <c r="H289" s="296" t="s">
        <v>377</v>
      </c>
      <c r="K289" s="252" t="e">
        <f>(K288+C24)</f>
        <v>#REF!</v>
      </c>
      <c r="R289" s="358" t="s">
        <v>1579</v>
      </c>
      <c r="AG289" s="296" t="s">
        <v>2249</v>
      </c>
    </row>
    <row r="290" spans="1:33" hidden="1">
      <c r="A290" s="437">
        <f t="shared" si="15"/>
        <v>130</v>
      </c>
      <c r="B290" s="296" t="s">
        <v>1149</v>
      </c>
      <c r="C290" s="252">
        <v>20.6</v>
      </c>
      <c r="D290" s="296" t="s">
        <v>1148</v>
      </c>
      <c r="H290" s="296" t="s">
        <v>485</v>
      </c>
      <c r="K290" s="252" t="e">
        <f>(K289+C24)</f>
        <v>#REF!</v>
      </c>
      <c r="O290" s="296" t="s">
        <v>549</v>
      </c>
      <c r="R290" s="252" t="e">
        <f>(R288/10)</f>
        <v>#REF!</v>
      </c>
      <c r="AG290" s="296" t="s">
        <v>2249</v>
      </c>
    </row>
    <row r="291" spans="1:33" hidden="1">
      <c r="A291" s="437">
        <f t="shared" si="15"/>
        <v>131</v>
      </c>
      <c r="B291" s="296" t="s">
        <v>486</v>
      </c>
      <c r="C291" s="252">
        <v>15.6</v>
      </c>
      <c r="D291" s="296" t="s">
        <v>766</v>
      </c>
      <c r="R291" s="358" t="s">
        <v>2046</v>
      </c>
      <c r="AG291" s="296" t="s">
        <v>2249</v>
      </c>
    </row>
    <row r="292" spans="1:33" hidden="1">
      <c r="A292" s="437">
        <f t="shared" si="15"/>
        <v>132</v>
      </c>
      <c r="B292" s="296" t="s">
        <v>487</v>
      </c>
      <c r="C292" s="252">
        <v>12.6</v>
      </c>
      <c r="D292" s="296" t="s">
        <v>766</v>
      </c>
      <c r="F292" s="253" t="s">
        <v>1505</v>
      </c>
      <c r="G292" s="252" t="s">
        <v>2241</v>
      </c>
      <c r="H292" s="296" t="s">
        <v>488</v>
      </c>
      <c r="AG292" s="296" t="s">
        <v>2249</v>
      </c>
    </row>
    <row r="293" spans="1:33" hidden="1">
      <c r="A293" s="437">
        <f t="shared" si="15"/>
        <v>133</v>
      </c>
      <c r="B293" s="296" t="s">
        <v>489</v>
      </c>
      <c r="C293" s="252">
        <v>5.75</v>
      </c>
      <c r="D293" s="296" t="s">
        <v>766</v>
      </c>
      <c r="H293" s="358" t="s">
        <v>2046</v>
      </c>
      <c r="N293" s="296" t="s">
        <v>2241</v>
      </c>
      <c r="O293" s="296" t="s">
        <v>1121</v>
      </c>
      <c r="AG293" s="296" t="s">
        <v>2249</v>
      </c>
    </row>
    <row r="294" spans="1:33" hidden="1">
      <c r="A294" s="437">
        <f t="shared" si="15"/>
        <v>134</v>
      </c>
      <c r="B294" s="296" t="s">
        <v>1122</v>
      </c>
      <c r="C294" s="252">
        <v>8.5</v>
      </c>
      <c r="D294" s="296" t="s">
        <v>766</v>
      </c>
      <c r="F294" s="252">
        <v>10</v>
      </c>
      <c r="G294" s="252" t="s">
        <v>866</v>
      </c>
      <c r="H294" s="296" t="s">
        <v>862</v>
      </c>
      <c r="I294" s="252" t="e">
        <f>(C68)</f>
        <v>#REF!</v>
      </c>
      <c r="J294" s="253" t="s">
        <v>866</v>
      </c>
      <c r="K294" s="252" t="e">
        <f t="shared" ref="K294:K300" si="16">(F294*I294)</f>
        <v>#REF!</v>
      </c>
      <c r="O294" s="358" t="s">
        <v>1579</v>
      </c>
      <c r="AG294" s="296" t="s">
        <v>2249</v>
      </c>
    </row>
    <row r="295" spans="1:33" hidden="1">
      <c r="A295" s="437">
        <f t="shared" si="15"/>
        <v>135</v>
      </c>
      <c r="B295" s="296" t="s">
        <v>1255</v>
      </c>
      <c r="C295" s="252">
        <v>10</v>
      </c>
      <c r="D295" s="296" t="s">
        <v>766</v>
      </c>
      <c r="F295" s="252">
        <v>1</v>
      </c>
      <c r="G295" s="252" t="s">
        <v>866</v>
      </c>
      <c r="H295" s="296" t="s">
        <v>869</v>
      </c>
      <c r="I295" s="252" t="e">
        <f>(C69)</f>
        <v>#REF!</v>
      </c>
      <c r="J295" s="253" t="s">
        <v>866</v>
      </c>
      <c r="K295" s="252" t="e">
        <f t="shared" si="16"/>
        <v>#REF!</v>
      </c>
      <c r="M295" s="252">
        <v>0.14000000000000001</v>
      </c>
      <c r="N295" s="296" t="s">
        <v>866</v>
      </c>
      <c r="O295" s="296" t="s">
        <v>1348</v>
      </c>
      <c r="P295" s="252" t="e">
        <f>(K32)</f>
        <v>#REF!</v>
      </c>
      <c r="Q295" s="296" t="s">
        <v>866</v>
      </c>
      <c r="R295" s="252" t="e">
        <f>(M295*P295)</f>
        <v>#REF!</v>
      </c>
      <c r="AG295" s="296" t="s">
        <v>2249</v>
      </c>
    </row>
    <row r="296" spans="1:33" hidden="1">
      <c r="A296" s="437">
        <f t="shared" si="15"/>
        <v>136</v>
      </c>
      <c r="B296" s="296" t="s">
        <v>1256</v>
      </c>
      <c r="C296" s="252">
        <v>3.25</v>
      </c>
      <c r="D296" s="296" t="s">
        <v>766</v>
      </c>
      <c r="F296" s="252">
        <v>3.4</v>
      </c>
      <c r="G296" s="252" t="s">
        <v>866</v>
      </c>
      <c r="H296" s="296" t="s">
        <v>1617</v>
      </c>
      <c r="I296" s="252" t="e">
        <f>(K49)</f>
        <v>#REF!</v>
      </c>
      <c r="J296" s="253" t="s">
        <v>866</v>
      </c>
      <c r="K296" s="252" t="e">
        <f t="shared" si="16"/>
        <v>#REF!</v>
      </c>
      <c r="M296" s="252">
        <v>1.1000000000000001</v>
      </c>
      <c r="N296" s="296" t="s">
        <v>865</v>
      </c>
      <c r="O296" s="296" t="s">
        <v>2000</v>
      </c>
      <c r="P296" s="252">
        <f>(C10)</f>
        <v>150</v>
      </c>
      <c r="Q296" s="296" t="s">
        <v>865</v>
      </c>
      <c r="R296" s="252">
        <f>(M296*P296)</f>
        <v>165</v>
      </c>
      <c r="AG296" s="296" t="s">
        <v>2249</v>
      </c>
    </row>
    <row r="297" spans="1:33" hidden="1">
      <c r="A297" s="437">
        <f t="shared" si="15"/>
        <v>137</v>
      </c>
      <c r="B297" s="296" t="s">
        <v>1257</v>
      </c>
      <c r="C297" s="252">
        <v>2.2000000000000002</v>
      </c>
      <c r="D297" s="296" t="s">
        <v>766</v>
      </c>
      <c r="F297" s="252">
        <v>7.1</v>
      </c>
      <c r="G297" s="252" t="s">
        <v>865</v>
      </c>
      <c r="H297" s="296" t="s">
        <v>2000</v>
      </c>
      <c r="I297" s="252">
        <f>(C10)</f>
        <v>150</v>
      </c>
      <c r="J297" s="253" t="s">
        <v>865</v>
      </c>
      <c r="K297" s="252">
        <f t="shared" si="16"/>
        <v>1065</v>
      </c>
      <c r="M297" s="252">
        <v>0.5</v>
      </c>
      <c r="N297" s="296" t="s">
        <v>865</v>
      </c>
      <c r="O297" s="296" t="s">
        <v>1893</v>
      </c>
      <c r="P297" s="252">
        <f>(C12)</f>
        <v>95</v>
      </c>
      <c r="Q297" s="296" t="s">
        <v>865</v>
      </c>
      <c r="R297" s="252">
        <f>(M297*P297)</f>
        <v>47.5</v>
      </c>
      <c r="AG297" s="296" t="s">
        <v>2249</v>
      </c>
    </row>
    <row r="298" spans="1:33" hidden="1">
      <c r="A298" s="437">
        <f t="shared" si="15"/>
        <v>138</v>
      </c>
      <c r="B298" s="296" t="s">
        <v>1442</v>
      </c>
      <c r="C298" s="252">
        <v>10.5</v>
      </c>
      <c r="D298" s="296" t="s">
        <v>766</v>
      </c>
      <c r="F298" s="252">
        <v>10.6</v>
      </c>
      <c r="G298" s="252" t="s">
        <v>865</v>
      </c>
      <c r="H298" s="296" t="s">
        <v>1704</v>
      </c>
      <c r="I298" s="252">
        <f>(C11)</f>
        <v>135</v>
      </c>
      <c r="J298" s="253" t="s">
        <v>865</v>
      </c>
      <c r="K298" s="252">
        <f t="shared" si="16"/>
        <v>1431</v>
      </c>
      <c r="M298" s="252">
        <v>1.1000000000000001</v>
      </c>
      <c r="N298" s="296" t="s">
        <v>865</v>
      </c>
      <c r="O298" s="296" t="s">
        <v>317</v>
      </c>
      <c r="P298" s="252">
        <f>(C13)</f>
        <v>85</v>
      </c>
      <c r="Q298" s="296" t="s">
        <v>865</v>
      </c>
      <c r="R298" s="252">
        <f>(M298*P298)</f>
        <v>93.5</v>
      </c>
      <c r="AG298" s="296" t="s">
        <v>2249</v>
      </c>
    </row>
    <row r="299" spans="1:33" hidden="1">
      <c r="A299" s="437">
        <f t="shared" si="15"/>
        <v>139</v>
      </c>
      <c r="B299" s="296" t="s">
        <v>1443</v>
      </c>
      <c r="C299" s="252">
        <v>5.5</v>
      </c>
      <c r="D299" s="296" t="s">
        <v>766</v>
      </c>
      <c r="F299" s="252">
        <v>14.1</v>
      </c>
      <c r="G299" s="252" t="s">
        <v>865</v>
      </c>
      <c r="H299" s="296" t="s">
        <v>1893</v>
      </c>
      <c r="I299" s="252">
        <f>(C12)</f>
        <v>95</v>
      </c>
      <c r="J299" s="253" t="s">
        <v>865</v>
      </c>
      <c r="K299" s="252">
        <f t="shared" si="16"/>
        <v>1339.5</v>
      </c>
      <c r="N299" s="296" t="s">
        <v>446</v>
      </c>
      <c r="O299" s="296" t="s">
        <v>447</v>
      </c>
      <c r="P299" s="296" t="s">
        <v>971</v>
      </c>
      <c r="Q299" s="296" t="s">
        <v>446</v>
      </c>
      <c r="R299" s="252">
        <v>0</v>
      </c>
      <c r="AG299" s="296" t="s">
        <v>2249</v>
      </c>
    </row>
    <row r="300" spans="1:33" hidden="1">
      <c r="A300" s="437">
        <f t="shared" si="15"/>
        <v>140</v>
      </c>
      <c r="B300" s="296" t="s">
        <v>491</v>
      </c>
      <c r="C300" s="252">
        <v>21</v>
      </c>
      <c r="D300" s="296" t="s">
        <v>766</v>
      </c>
      <c r="F300" s="252">
        <v>14.1</v>
      </c>
      <c r="G300" s="252" t="s">
        <v>865</v>
      </c>
      <c r="H300" s="296" t="s">
        <v>317</v>
      </c>
      <c r="I300" s="252">
        <f>(C13)</f>
        <v>85</v>
      </c>
      <c r="J300" s="253" t="s">
        <v>865</v>
      </c>
      <c r="K300" s="252">
        <f t="shared" si="16"/>
        <v>1198.5</v>
      </c>
      <c r="R300" s="358" t="s">
        <v>1579</v>
      </c>
      <c r="AG300" s="296" t="s">
        <v>2249</v>
      </c>
    </row>
    <row r="301" spans="1:33" hidden="1">
      <c r="A301" s="437">
        <f t="shared" si="15"/>
        <v>141</v>
      </c>
      <c r="B301" s="296" t="s">
        <v>492</v>
      </c>
      <c r="C301" s="252">
        <v>10</v>
      </c>
      <c r="D301" s="296" t="s">
        <v>766</v>
      </c>
      <c r="G301" s="252" t="s">
        <v>446</v>
      </c>
      <c r="H301" s="296" t="s">
        <v>447</v>
      </c>
      <c r="J301" s="253" t="s">
        <v>446</v>
      </c>
      <c r="K301" s="252">
        <v>0</v>
      </c>
      <c r="O301" s="296" t="s">
        <v>438</v>
      </c>
      <c r="R301" s="252" t="e">
        <f>SUM(R295:R299)</f>
        <v>#REF!</v>
      </c>
      <c r="AG301" s="296" t="s">
        <v>2249</v>
      </c>
    </row>
    <row r="302" spans="1:33" hidden="1">
      <c r="A302" s="437">
        <f t="shared" si="15"/>
        <v>142</v>
      </c>
      <c r="B302" s="296" t="s">
        <v>1797</v>
      </c>
      <c r="C302" s="252">
        <v>4</v>
      </c>
      <c r="D302" s="296" t="s">
        <v>766</v>
      </c>
      <c r="K302" s="358" t="s">
        <v>1579</v>
      </c>
      <c r="R302" s="358" t="s">
        <v>1579</v>
      </c>
      <c r="AG302" s="296" t="s">
        <v>2249</v>
      </c>
    </row>
    <row r="303" spans="1:33" hidden="1">
      <c r="A303" s="437">
        <f t="shared" si="15"/>
        <v>143</v>
      </c>
      <c r="B303" s="296" t="s">
        <v>1146</v>
      </c>
      <c r="C303" s="252">
        <v>8</v>
      </c>
      <c r="D303" s="296" t="s">
        <v>865</v>
      </c>
      <c r="H303" s="296" t="s">
        <v>611</v>
      </c>
      <c r="K303" s="252" t="e">
        <f>SUM(K294:K301)</f>
        <v>#REF!</v>
      </c>
      <c r="O303" s="296" t="s">
        <v>549</v>
      </c>
      <c r="R303" s="252" t="e">
        <f>(R301/10)</f>
        <v>#REF!</v>
      </c>
      <c r="AG303" s="296" t="s">
        <v>2249</v>
      </c>
    </row>
    <row r="304" spans="1:33" hidden="1">
      <c r="A304" s="437">
        <f t="shared" si="15"/>
        <v>144</v>
      </c>
      <c r="B304" s="296" t="s">
        <v>1147</v>
      </c>
      <c r="C304" s="252">
        <v>8.5</v>
      </c>
      <c r="D304" s="296" t="s">
        <v>766</v>
      </c>
      <c r="K304" s="358" t="s">
        <v>1579</v>
      </c>
      <c r="N304" s="296" t="s">
        <v>2241</v>
      </c>
      <c r="O304" s="296" t="s">
        <v>493</v>
      </c>
      <c r="R304" s="358" t="s">
        <v>2046</v>
      </c>
      <c r="AG304" s="296" t="s">
        <v>2249</v>
      </c>
    </row>
    <row r="305" spans="1:33" hidden="1">
      <c r="A305" s="437">
        <f t="shared" si="15"/>
        <v>145</v>
      </c>
      <c r="B305" s="296" t="s">
        <v>601</v>
      </c>
      <c r="C305" s="252">
        <v>20.6</v>
      </c>
      <c r="D305" s="296" t="s">
        <v>766</v>
      </c>
      <c r="H305" s="296" t="s">
        <v>770</v>
      </c>
      <c r="K305" s="252" t="e">
        <f>(K303/10)</f>
        <v>#REF!</v>
      </c>
      <c r="O305" s="358" t="s">
        <v>1579</v>
      </c>
      <c r="AG305" s="296" t="s">
        <v>2249</v>
      </c>
    </row>
    <row r="306" spans="1:33" hidden="1">
      <c r="A306" s="437">
        <f t="shared" si="15"/>
        <v>146</v>
      </c>
      <c r="B306" s="296" t="s">
        <v>1975</v>
      </c>
      <c r="C306" s="252">
        <v>15.6</v>
      </c>
      <c r="D306" s="296" t="s">
        <v>766</v>
      </c>
      <c r="K306" s="358" t="s">
        <v>2046</v>
      </c>
      <c r="M306" s="252">
        <v>0.14000000000000001</v>
      </c>
      <c r="N306" s="296" t="s">
        <v>866</v>
      </c>
      <c r="O306" s="296" t="s">
        <v>119</v>
      </c>
      <c r="P306" s="252" t="e">
        <f>(K23)</f>
        <v>#REF!</v>
      </c>
      <c r="Q306" s="296" t="s">
        <v>866</v>
      </c>
      <c r="R306" s="252" t="e">
        <f>(M306*P306)</f>
        <v>#REF!</v>
      </c>
      <c r="AG306" s="296" t="s">
        <v>2249</v>
      </c>
    </row>
    <row r="307" spans="1:33" hidden="1">
      <c r="A307" s="437">
        <f t="shared" si="15"/>
        <v>147</v>
      </c>
      <c r="B307" s="296" t="s">
        <v>1976</v>
      </c>
      <c r="C307" s="252">
        <v>0.9</v>
      </c>
      <c r="D307" s="296" t="s">
        <v>766</v>
      </c>
      <c r="F307" s="369">
        <v>6</v>
      </c>
      <c r="G307" s="252" t="s">
        <v>2241</v>
      </c>
      <c r="H307" s="296" t="s">
        <v>3126</v>
      </c>
      <c r="M307" s="252">
        <v>1.1000000000000001</v>
      </c>
      <c r="N307" s="296" t="s">
        <v>865</v>
      </c>
      <c r="O307" s="296" t="s">
        <v>2000</v>
      </c>
      <c r="P307" s="252">
        <f>(C10)</f>
        <v>150</v>
      </c>
      <c r="Q307" s="296" t="s">
        <v>865</v>
      </c>
      <c r="R307" s="252">
        <f>(M307*P307)</f>
        <v>165</v>
      </c>
      <c r="AG307" s="296" t="s">
        <v>2249</v>
      </c>
    </row>
    <row r="308" spans="1:33" hidden="1">
      <c r="A308" s="437">
        <f t="shared" si="15"/>
        <v>148</v>
      </c>
      <c r="B308" s="296" t="s">
        <v>1977</v>
      </c>
      <c r="C308" s="296" t="s">
        <v>971</v>
      </c>
      <c r="H308" s="296" t="s">
        <v>2895</v>
      </c>
      <c r="M308" s="252">
        <v>0.5</v>
      </c>
      <c r="N308" s="296" t="s">
        <v>865</v>
      </c>
      <c r="O308" s="296" t="s">
        <v>1893</v>
      </c>
      <c r="P308" s="252">
        <f>(C12)</f>
        <v>95</v>
      </c>
      <c r="Q308" s="296" t="s">
        <v>865</v>
      </c>
      <c r="R308" s="252">
        <f>(M308*P308)</f>
        <v>47.5</v>
      </c>
      <c r="AG308" s="296" t="s">
        <v>2249</v>
      </c>
    </row>
    <row r="309" spans="1:33" hidden="1">
      <c r="A309" s="437">
        <f t="shared" si="15"/>
        <v>149</v>
      </c>
      <c r="B309" s="296" t="s">
        <v>237</v>
      </c>
      <c r="C309" s="252">
        <v>66.44</v>
      </c>
      <c r="D309" s="296" t="s">
        <v>1763</v>
      </c>
      <c r="H309" s="358" t="s">
        <v>1579</v>
      </c>
      <c r="M309" s="252">
        <v>1.1000000000000001</v>
      </c>
      <c r="N309" s="296" t="s">
        <v>865</v>
      </c>
      <c r="O309" s="296" t="s">
        <v>317</v>
      </c>
      <c r="P309" s="252">
        <f>(C13)</f>
        <v>85</v>
      </c>
      <c r="Q309" s="296" t="s">
        <v>865</v>
      </c>
      <c r="R309" s="252">
        <f>(M309*P309)</f>
        <v>93.5</v>
      </c>
      <c r="AG309" s="296" t="s">
        <v>2249</v>
      </c>
    </row>
    <row r="310" spans="1:33" hidden="1">
      <c r="A310" s="437">
        <f t="shared" si="15"/>
        <v>150</v>
      </c>
      <c r="B310" s="296" t="s">
        <v>238</v>
      </c>
      <c r="C310" s="252">
        <v>83.5</v>
      </c>
      <c r="D310" s="296" t="s">
        <v>1763</v>
      </c>
      <c r="F310" s="252">
        <v>4800</v>
      </c>
      <c r="G310" s="252" t="s">
        <v>1420</v>
      </c>
      <c r="H310" s="252" t="str">
        <f>H308</f>
        <v>Bricks of size 22x11x7 cm</v>
      </c>
      <c r="I310" s="252" t="e">
        <f>C80</f>
        <v>#REF!</v>
      </c>
      <c r="J310" s="253" t="s">
        <v>1587</v>
      </c>
      <c r="K310" s="252" t="e">
        <f>(F310*I310)/1000</f>
        <v>#REF!</v>
      </c>
      <c r="N310" s="296" t="s">
        <v>446</v>
      </c>
      <c r="O310" s="296" t="s">
        <v>447</v>
      </c>
      <c r="P310" s="296" t="s">
        <v>971</v>
      </c>
      <c r="Q310" s="296" t="s">
        <v>446</v>
      </c>
      <c r="R310" s="252">
        <v>0</v>
      </c>
      <c r="AG310" s="296" t="s">
        <v>2249</v>
      </c>
    </row>
    <row r="311" spans="1:33" hidden="1">
      <c r="A311" s="437">
        <f t="shared" si="15"/>
        <v>151</v>
      </c>
      <c r="B311" s="296" t="s">
        <v>239</v>
      </c>
      <c r="C311" s="252">
        <v>102.12</v>
      </c>
      <c r="D311" s="296" t="s">
        <v>1763</v>
      </c>
      <c r="F311" s="252">
        <v>2.5</v>
      </c>
      <c r="G311" s="252" t="s">
        <v>866</v>
      </c>
      <c r="H311" s="296" t="s">
        <v>1617</v>
      </c>
      <c r="I311" s="252" t="e">
        <f>K49</f>
        <v>#REF!</v>
      </c>
      <c r="J311" s="253" t="s">
        <v>866</v>
      </c>
      <c r="K311" s="252" t="e">
        <f>(F311*I311)</f>
        <v>#REF!</v>
      </c>
      <c r="R311" s="358" t="s">
        <v>1579</v>
      </c>
      <c r="AG311" s="296" t="s">
        <v>2249</v>
      </c>
    </row>
    <row r="312" spans="1:33" hidden="1">
      <c r="A312" s="437">
        <f t="shared" si="15"/>
        <v>152</v>
      </c>
      <c r="B312" s="296" t="s">
        <v>2212</v>
      </c>
      <c r="C312" s="252">
        <v>182.52</v>
      </c>
      <c r="D312" s="296" t="s">
        <v>1763</v>
      </c>
      <c r="F312" s="252">
        <v>3.5</v>
      </c>
      <c r="G312" s="252" t="s">
        <v>865</v>
      </c>
      <c r="H312" s="296" t="s">
        <v>2000</v>
      </c>
      <c r="I312" s="252">
        <f>C10</f>
        <v>150</v>
      </c>
      <c r="J312" s="253" t="s">
        <v>865</v>
      </c>
      <c r="K312" s="252">
        <f>(F312*I312)</f>
        <v>525</v>
      </c>
      <c r="O312" s="296" t="s">
        <v>438</v>
      </c>
      <c r="R312" s="252" t="e">
        <f>SUM(R306:R310)</f>
        <v>#REF!</v>
      </c>
      <c r="AG312" s="296" t="s">
        <v>2249</v>
      </c>
    </row>
    <row r="313" spans="1:33" hidden="1">
      <c r="A313" s="437">
        <f t="shared" si="15"/>
        <v>153</v>
      </c>
      <c r="B313" s="296" t="s">
        <v>2213</v>
      </c>
      <c r="F313" s="252">
        <v>10.6</v>
      </c>
      <c r="G313" s="252" t="s">
        <v>865</v>
      </c>
      <c r="H313" s="296" t="s">
        <v>1704</v>
      </c>
      <c r="I313" s="252">
        <f>C11</f>
        <v>135</v>
      </c>
      <c r="J313" s="253" t="s">
        <v>865</v>
      </c>
      <c r="K313" s="252">
        <f>(F313*I313)</f>
        <v>1431</v>
      </c>
      <c r="R313" s="358" t="s">
        <v>1579</v>
      </c>
      <c r="AG313" s="296" t="s">
        <v>2249</v>
      </c>
    </row>
    <row r="314" spans="1:33" hidden="1">
      <c r="A314" s="437">
        <f t="shared" si="15"/>
        <v>154</v>
      </c>
      <c r="B314" s="296" t="s">
        <v>237</v>
      </c>
      <c r="C314" s="252">
        <v>26.62</v>
      </c>
      <c r="D314" s="296" t="s">
        <v>766</v>
      </c>
      <c r="F314" s="252">
        <v>7.1</v>
      </c>
      <c r="G314" s="252" t="s">
        <v>865</v>
      </c>
      <c r="H314" s="296" t="s">
        <v>1893</v>
      </c>
      <c r="I314" s="252">
        <f>C12</f>
        <v>95</v>
      </c>
      <c r="J314" s="253" t="s">
        <v>865</v>
      </c>
      <c r="K314" s="252">
        <f>(F314*I314)</f>
        <v>674.5</v>
      </c>
      <c r="O314" s="296" t="s">
        <v>549</v>
      </c>
      <c r="R314" s="252" t="e">
        <f>(R312/10)</f>
        <v>#REF!</v>
      </c>
      <c r="AG314" s="296" t="s">
        <v>2249</v>
      </c>
    </row>
    <row r="315" spans="1:33" hidden="1">
      <c r="A315" s="437">
        <f t="shared" si="15"/>
        <v>155</v>
      </c>
      <c r="B315" s="296" t="s">
        <v>238</v>
      </c>
      <c r="C315" s="252">
        <v>34.869999999999997</v>
      </c>
      <c r="D315" s="296" t="s">
        <v>766</v>
      </c>
      <c r="F315" s="252">
        <v>21.2</v>
      </c>
      <c r="G315" s="252" t="s">
        <v>865</v>
      </c>
      <c r="H315" s="296" t="s">
        <v>317</v>
      </c>
      <c r="I315" s="252">
        <f>C13</f>
        <v>85</v>
      </c>
      <c r="J315" s="253" t="s">
        <v>865</v>
      </c>
      <c r="K315" s="252">
        <f>(F315*I315)</f>
        <v>1802</v>
      </c>
      <c r="R315" s="358" t="s">
        <v>2046</v>
      </c>
      <c r="AG315" s="296" t="s">
        <v>2249</v>
      </c>
    </row>
    <row r="316" spans="1:33" hidden="1">
      <c r="A316" s="437">
        <f t="shared" si="15"/>
        <v>156</v>
      </c>
      <c r="B316" s="296" t="s">
        <v>239</v>
      </c>
      <c r="C316" s="252">
        <v>45</v>
      </c>
      <c r="D316" s="296" t="s">
        <v>766</v>
      </c>
      <c r="G316" s="252" t="s">
        <v>446</v>
      </c>
      <c r="H316" s="296" t="s">
        <v>447</v>
      </c>
      <c r="J316" s="253" t="s">
        <v>446</v>
      </c>
      <c r="K316" s="252">
        <v>0</v>
      </c>
      <c r="N316" s="296" t="s">
        <v>2241</v>
      </c>
      <c r="O316" s="296" t="s">
        <v>2214</v>
      </c>
      <c r="AG316" s="296" t="s">
        <v>2249</v>
      </c>
    </row>
    <row r="317" spans="1:33" hidden="1">
      <c r="A317" s="437">
        <f t="shared" si="15"/>
        <v>157</v>
      </c>
      <c r="B317" s="296" t="s">
        <v>2212</v>
      </c>
      <c r="C317" s="252">
        <v>99.75</v>
      </c>
      <c r="D317" s="296" t="s">
        <v>766</v>
      </c>
      <c r="K317" s="358" t="s">
        <v>1579</v>
      </c>
      <c r="O317" s="358" t="s">
        <v>1579</v>
      </c>
      <c r="AG317" s="296" t="s">
        <v>2249</v>
      </c>
    </row>
    <row r="318" spans="1:33" hidden="1">
      <c r="A318" s="437">
        <f t="shared" si="15"/>
        <v>158</v>
      </c>
      <c r="B318" s="296" t="s">
        <v>2176</v>
      </c>
      <c r="H318" s="296" t="s">
        <v>611</v>
      </c>
      <c r="K318" s="252" t="e">
        <f>SUM(K310:K316)</f>
        <v>#REF!</v>
      </c>
      <c r="M318" s="252">
        <v>0.1</v>
      </c>
      <c r="N318" s="296" t="s">
        <v>866</v>
      </c>
      <c r="O318" s="296" t="s">
        <v>119</v>
      </c>
      <c r="P318" s="252" t="e">
        <f>(K23)</f>
        <v>#REF!</v>
      </c>
      <c r="Q318" s="296" t="s">
        <v>866</v>
      </c>
      <c r="R318" s="252" t="e">
        <f>(M318*P318)</f>
        <v>#REF!</v>
      </c>
      <c r="AG318" s="296" t="s">
        <v>2249</v>
      </c>
    </row>
    <row r="319" spans="1:33" hidden="1">
      <c r="A319" s="437">
        <f t="shared" si="15"/>
        <v>159</v>
      </c>
      <c r="B319" s="296" t="s">
        <v>237</v>
      </c>
      <c r="C319" s="252">
        <v>43.47</v>
      </c>
      <c r="D319" s="296" t="s">
        <v>766</v>
      </c>
      <c r="K319" s="358" t="s">
        <v>1579</v>
      </c>
      <c r="M319" s="252">
        <v>1.1000000000000001</v>
      </c>
      <c r="N319" s="296" t="s">
        <v>865</v>
      </c>
      <c r="O319" s="296" t="s">
        <v>2000</v>
      </c>
      <c r="P319" s="252">
        <f>(C10)</f>
        <v>150</v>
      </c>
      <c r="Q319" s="296" t="s">
        <v>865</v>
      </c>
      <c r="R319" s="252">
        <f>(M319*P319)</f>
        <v>165</v>
      </c>
      <c r="AG319" s="296" t="s">
        <v>2249</v>
      </c>
    </row>
    <row r="320" spans="1:33" hidden="1">
      <c r="A320" s="437">
        <f t="shared" si="15"/>
        <v>160</v>
      </c>
      <c r="B320" s="296" t="s">
        <v>238</v>
      </c>
      <c r="C320" s="252">
        <v>50.34</v>
      </c>
      <c r="D320" s="296" t="s">
        <v>766</v>
      </c>
      <c r="H320" s="296" t="s">
        <v>770</v>
      </c>
      <c r="K320" s="252" t="e">
        <f>(K318/10)</f>
        <v>#REF!</v>
      </c>
      <c r="M320" s="252">
        <v>1.1000000000000001</v>
      </c>
      <c r="N320" s="296" t="s">
        <v>865</v>
      </c>
      <c r="O320" s="296" t="s">
        <v>1893</v>
      </c>
      <c r="P320" s="252">
        <f>(C12)</f>
        <v>95</v>
      </c>
      <c r="Q320" s="296" t="s">
        <v>865</v>
      </c>
      <c r="R320" s="252">
        <f>(M320*P320)</f>
        <v>104.5</v>
      </c>
      <c r="AG320" s="296" t="s">
        <v>318</v>
      </c>
    </row>
    <row r="321" spans="1:33" hidden="1">
      <c r="A321" s="437">
        <f t="shared" si="15"/>
        <v>161</v>
      </c>
      <c r="B321" s="296" t="s">
        <v>239</v>
      </c>
      <c r="C321" s="252">
        <v>65.209999999999994</v>
      </c>
      <c r="D321" s="296" t="s">
        <v>766</v>
      </c>
      <c r="K321" s="358" t="s">
        <v>2046</v>
      </c>
      <c r="M321" s="252">
        <v>1.1000000000000001</v>
      </c>
      <c r="N321" s="296" t="s">
        <v>865</v>
      </c>
      <c r="O321" s="296" t="s">
        <v>317</v>
      </c>
      <c r="P321" s="252">
        <f>(C13)</f>
        <v>85</v>
      </c>
      <c r="Q321" s="296" t="s">
        <v>865</v>
      </c>
      <c r="R321" s="252">
        <f>(M321*P321)</f>
        <v>93.5</v>
      </c>
    </row>
    <row r="322" spans="1:33" hidden="1">
      <c r="A322" s="437">
        <f t="shared" si="15"/>
        <v>162</v>
      </c>
      <c r="B322" s="296" t="s">
        <v>2212</v>
      </c>
      <c r="C322" s="252">
        <v>145.29</v>
      </c>
      <c r="D322" s="296" t="s">
        <v>766</v>
      </c>
      <c r="H322" s="296" t="s">
        <v>383</v>
      </c>
      <c r="K322" s="252" t="e">
        <f>(K320+C19)</f>
        <v>#REF!</v>
      </c>
      <c r="N322" s="296" t="s">
        <v>446</v>
      </c>
      <c r="O322" s="296" t="s">
        <v>447</v>
      </c>
      <c r="P322" s="296" t="s">
        <v>971</v>
      </c>
      <c r="Q322" s="296" t="s">
        <v>446</v>
      </c>
      <c r="R322" s="252">
        <v>0</v>
      </c>
    </row>
    <row r="323" spans="1:33" hidden="1">
      <c r="A323" s="437">
        <f t="shared" si="15"/>
        <v>163</v>
      </c>
      <c r="B323" s="296" t="s">
        <v>2177</v>
      </c>
      <c r="H323" s="296" t="s">
        <v>385</v>
      </c>
      <c r="K323" s="252" t="e">
        <f>(K322+C20)</f>
        <v>#REF!</v>
      </c>
      <c r="R323" s="358" t="s">
        <v>1579</v>
      </c>
      <c r="AG323" s="296" t="s">
        <v>2249</v>
      </c>
    </row>
    <row r="324" spans="1:33" hidden="1">
      <c r="A324" s="437">
        <f t="shared" si="15"/>
        <v>164</v>
      </c>
      <c r="B324" s="296" t="s">
        <v>237</v>
      </c>
      <c r="C324" s="252">
        <v>14.91</v>
      </c>
      <c r="D324" s="296" t="s">
        <v>1763</v>
      </c>
      <c r="H324" s="296" t="s">
        <v>2222</v>
      </c>
      <c r="K324" s="252" t="e">
        <f>(K323+C21)</f>
        <v>#REF!</v>
      </c>
      <c r="O324" s="296" t="s">
        <v>438</v>
      </c>
      <c r="R324" s="252" t="e">
        <f>SUM(R318:R322)</f>
        <v>#REF!</v>
      </c>
      <c r="AG324" s="296" t="s">
        <v>2249</v>
      </c>
    </row>
    <row r="325" spans="1:33" hidden="1">
      <c r="A325" s="437">
        <f t="shared" si="15"/>
        <v>165</v>
      </c>
      <c r="B325" s="296" t="s">
        <v>238</v>
      </c>
      <c r="C325" s="252">
        <v>19.41</v>
      </c>
      <c r="D325" s="296" t="s">
        <v>1763</v>
      </c>
      <c r="H325" s="296" t="s">
        <v>377</v>
      </c>
      <c r="K325" s="252" t="e">
        <f>(K324+C21)</f>
        <v>#REF!</v>
      </c>
      <c r="R325" s="358" t="s">
        <v>1579</v>
      </c>
      <c r="AG325" s="296" t="s">
        <v>2249</v>
      </c>
    </row>
    <row r="326" spans="1:33" hidden="1">
      <c r="A326" s="437">
        <f t="shared" si="15"/>
        <v>166</v>
      </c>
      <c r="B326" s="296" t="s">
        <v>239</v>
      </c>
      <c r="C326" s="252">
        <v>22.22</v>
      </c>
      <c r="D326" s="296" t="s">
        <v>1763</v>
      </c>
      <c r="H326" s="296" t="s">
        <v>485</v>
      </c>
      <c r="K326" s="252" t="e">
        <f>(K325+C21)</f>
        <v>#REF!</v>
      </c>
      <c r="O326" s="296" t="s">
        <v>549</v>
      </c>
      <c r="R326" s="252" t="e">
        <f>(R324/10)</f>
        <v>#REF!</v>
      </c>
      <c r="AG326" s="296" t="s">
        <v>2249</v>
      </c>
    </row>
    <row r="327" spans="1:33" hidden="1">
      <c r="A327" s="437"/>
      <c r="B327" s="296"/>
      <c r="D327" s="296"/>
      <c r="H327" s="296"/>
      <c r="O327" s="296"/>
      <c r="AG327" s="296"/>
    </row>
    <row r="328" spans="1:33" hidden="1">
      <c r="A328" s="437"/>
      <c r="B328" s="296"/>
      <c r="D328" s="296"/>
      <c r="F328" s="253" t="s">
        <v>636</v>
      </c>
      <c r="H328" s="296" t="s">
        <v>5665</v>
      </c>
      <c r="K328" s="296" t="s">
        <v>2896</v>
      </c>
      <c r="O328" s="296"/>
      <c r="AG328" s="296"/>
    </row>
    <row r="329" spans="1:33" hidden="1">
      <c r="A329" s="437"/>
      <c r="B329" s="296"/>
      <c r="D329" s="296"/>
      <c r="H329" s="296" t="s">
        <v>637</v>
      </c>
      <c r="K329" s="358" t="s">
        <v>2046</v>
      </c>
      <c r="O329" s="296"/>
      <c r="AG329" s="296"/>
    </row>
    <row r="330" spans="1:33" hidden="1">
      <c r="A330" s="437"/>
      <c r="B330" s="296"/>
      <c r="D330" s="296"/>
      <c r="H330" s="296"/>
      <c r="O330" s="296"/>
      <c r="AG330" s="296"/>
    </row>
    <row r="331" spans="1:33" hidden="1">
      <c r="A331" s="437">
        <f>(A326+1)</f>
        <v>167</v>
      </c>
      <c r="B331" s="296" t="s">
        <v>2212</v>
      </c>
      <c r="C331" s="252">
        <v>46.42</v>
      </c>
      <c r="D331" s="296" t="s">
        <v>1763</v>
      </c>
      <c r="F331" s="369">
        <v>9</v>
      </c>
      <c r="G331" s="252" t="s">
        <v>2241</v>
      </c>
      <c r="H331" s="296" t="s">
        <v>3085</v>
      </c>
      <c r="R331" s="358" t="s">
        <v>2046</v>
      </c>
      <c r="AG331" s="296" t="s">
        <v>2249</v>
      </c>
    </row>
    <row r="332" spans="1:33" hidden="1">
      <c r="A332" s="437">
        <f t="shared" ref="A332:A363" si="17">(A331+1)</f>
        <v>168</v>
      </c>
      <c r="B332" s="296" t="s">
        <v>2178</v>
      </c>
      <c r="H332" s="252" t="str">
        <f>H308</f>
        <v>Bricks of size 22x11x7 cm</v>
      </c>
      <c r="AG332" s="296" t="s">
        <v>2249</v>
      </c>
    </row>
    <row r="333" spans="1:33" hidden="1">
      <c r="A333" s="437">
        <f t="shared" si="17"/>
        <v>169</v>
      </c>
      <c r="B333" s="296" t="s">
        <v>237</v>
      </c>
      <c r="C333" s="252">
        <v>8.58</v>
      </c>
      <c r="D333" s="296" t="s">
        <v>766</v>
      </c>
      <c r="H333" s="358" t="s">
        <v>1579</v>
      </c>
      <c r="N333" s="296" t="s">
        <v>2241</v>
      </c>
      <c r="O333" s="296" t="s">
        <v>2179</v>
      </c>
      <c r="AG333" s="296" t="s">
        <v>2249</v>
      </c>
    </row>
    <row r="334" spans="1:33" hidden="1">
      <c r="A334" s="437">
        <f t="shared" si="17"/>
        <v>170</v>
      </c>
      <c r="B334" s="296" t="s">
        <v>238</v>
      </c>
      <c r="C334" s="252">
        <v>12.26</v>
      </c>
      <c r="D334" s="296" t="s">
        <v>766</v>
      </c>
      <c r="F334" s="252">
        <f>F310</f>
        <v>4800</v>
      </c>
      <c r="G334" s="252" t="s">
        <v>1420</v>
      </c>
      <c r="H334" s="252" t="str">
        <f>H308</f>
        <v>Bricks of size 22x11x7 cm</v>
      </c>
      <c r="I334" s="252" t="e">
        <f>C80</f>
        <v>#REF!</v>
      </c>
      <c r="J334" s="253" t="s">
        <v>1587</v>
      </c>
      <c r="K334" s="252" t="e">
        <f>(F334*I334)/1000</f>
        <v>#REF!</v>
      </c>
      <c r="O334" s="358" t="s">
        <v>1579</v>
      </c>
      <c r="AG334" s="296" t="s">
        <v>2249</v>
      </c>
    </row>
    <row r="335" spans="1:33" hidden="1">
      <c r="A335" s="437">
        <f t="shared" si="17"/>
        <v>171</v>
      </c>
      <c r="B335" s="296" t="s">
        <v>239</v>
      </c>
      <c r="C335" s="252">
        <v>13.89</v>
      </c>
      <c r="D335" s="296" t="s">
        <v>766</v>
      </c>
      <c r="F335" s="252">
        <f>F311</f>
        <v>2.5</v>
      </c>
      <c r="G335" s="252" t="s">
        <v>866</v>
      </c>
      <c r="H335" s="296" t="s">
        <v>1623</v>
      </c>
      <c r="I335" s="252" t="e">
        <f>K58</f>
        <v>#REF!</v>
      </c>
      <c r="J335" s="253" t="s">
        <v>866</v>
      </c>
      <c r="K335" s="252" t="e">
        <f>(F335*I335)</f>
        <v>#REF!</v>
      </c>
      <c r="M335" s="252">
        <v>0.22</v>
      </c>
      <c r="N335" s="296" t="s">
        <v>866</v>
      </c>
      <c r="O335" s="296" t="s">
        <v>1617</v>
      </c>
      <c r="P335" s="252" t="e">
        <f>(K49)</f>
        <v>#REF!</v>
      </c>
      <c r="Q335" s="296" t="s">
        <v>866</v>
      </c>
      <c r="R335" s="252" t="e">
        <f>(M335*P335)</f>
        <v>#REF!</v>
      </c>
      <c r="AG335" s="296" t="s">
        <v>2249</v>
      </c>
    </row>
    <row r="336" spans="1:33" hidden="1">
      <c r="A336" s="437">
        <f t="shared" si="17"/>
        <v>172</v>
      </c>
      <c r="B336" s="296" t="s">
        <v>2212</v>
      </c>
      <c r="C336" s="252">
        <v>36.25</v>
      </c>
      <c r="D336" s="296" t="s">
        <v>766</v>
      </c>
      <c r="F336" s="252">
        <v>3.5</v>
      </c>
      <c r="G336" s="252" t="s">
        <v>865</v>
      </c>
      <c r="H336" s="296" t="s">
        <v>2000</v>
      </c>
      <c r="I336" s="252">
        <f>C10</f>
        <v>150</v>
      </c>
      <c r="J336" s="253" t="s">
        <v>865</v>
      </c>
      <c r="K336" s="252">
        <f>(F336*I336)</f>
        <v>525</v>
      </c>
      <c r="M336" s="252">
        <v>2.2000000000000002</v>
      </c>
      <c r="N336" s="296" t="s">
        <v>865</v>
      </c>
      <c r="O336" s="296" t="s">
        <v>2000</v>
      </c>
      <c r="P336" s="252">
        <f>(C10)</f>
        <v>150</v>
      </c>
      <c r="Q336" s="296" t="s">
        <v>865</v>
      </c>
      <c r="R336" s="252">
        <f>(M336*P336)</f>
        <v>330</v>
      </c>
      <c r="AG336" s="296" t="s">
        <v>2249</v>
      </c>
    </row>
    <row r="337" spans="1:33" hidden="1">
      <c r="A337" s="437">
        <f t="shared" si="17"/>
        <v>173</v>
      </c>
      <c r="B337" s="296" t="s">
        <v>2180</v>
      </c>
      <c r="F337" s="252">
        <v>10.6</v>
      </c>
      <c r="G337" s="252" t="s">
        <v>865</v>
      </c>
      <c r="H337" s="296" t="s">
        <v>1704</v>
      </c>
      <c r="I337" s="252">
        <f>C11</f>
        <v>135</v>
      </c>
      <c r="J337" s="253" t="s">
        <v>865</v>
      </c>
      <c r="K337" s="252">
        <f>(F337*I337)</f>
        <v>1431</v>
      </c>
      <c r="M337" s="252">
        <v>0.5</v>
      </c>
      <c r="N337" s="296" t="s">
        <v>865</v>
      </c>
      <c r="O337" s="296" t="s">
        <v>1893</v>
      </c>
      <c r="P337" s="252">
        <f>(C12)</f>
        <v>95</v>
      </c>
      <c r="Q337" s="296" t="s">
        <v>865</v>
      </c>
      <c r="R337" s="252">
        <f>(M337*P337)</f>
        <v>47.5</v>
      </c>
      <c r="AG337" s="296" t="s">
        <v>2249</v>
      </c>
    </row>
    <row r="338" spans="1:33" hidden="1">
      <c r="A338" s="437">
        <f t="shared" si="17"/>
        <v>174</v>
      </c>
      <c r="B338" s="296" t="s">
        <v>237</v>
      </c>
      <c r="C338" s="252">
        <v>15.7</v>
      </c>
      <c r="D338" s="296" t="s">
        <v>766</v>
      </c>
      <c r="F338" s="252">
        <v>7.1</v>
      </c>
      <c r="G338" s="252" t="s">
        <v>865</v>
      </c>
      <c r="H338" s="296" t="s">
        <v>1893</v>
      </c>
      <c r="I338" s="252">
        <f>C12</f>
        <v>95</v>
      </c>
      <c r="J338" s="253" t="s">
        <v>865</v>
      </c>
      <c r="K338" s="252">
        <f>(F338*I338)</f>
        <v>674.5</v>
      </c>
      <c r="M338" s="252">
        <v>3.2</v>
      </c>
      <c r="N338" s="296" t="s">
        <v>865</v>
      </c>
      <c r="O338" s="296" t="s">
        <v>317</v>
      </c>
      <c r="P338" s="252">
        <f>(C13)</f>
        <v>85</v>
      </c>
      <c r="Q338" s="296" t="s">
        <v>865</v>
      </c>
      <c r="R338" s="252">
        <f>(M338*P338)</f>
        <v>272</v>
      </c>
      <c r="AG338" s="296" t="s">
        <v>2249</v>
      </c>
    </row>
    <row r="339" spans="1:33" hidden="1">
      <c r="A339" s="437">
        <f t="shared" si="17"/>
        <v>175</v>
      </c>
      <c r="B339" s="296" t="s">
        <v>238</v>
      </c>
      <c r="C339" s="252">
        <v>22.31</v>
      </c>
      <c r="D339" s="296" t="s">
        <v>766</v>
      </c>
      <c r="F339" s="252">
        <v>21.2</v>
      </c>
      <c r="G339" s="252" t="s">
        <v>865</v>
      </c>
      <c r="H339" s="296" t="s">
        <v>317</v>
      </c>
      <c r="I339" s="252">
        <f>C13</f>
        <v>85</v>
      </c>
      <c r="J339" s="253" t="s">
        <v>865</v>
      </c>
      <c r="K339" s="252">
        <f>(F339*I339)</f>
        <v>1802</v>
      </c>
      <c r="N339" s="296" t="s">
        <v>446</v>
      </c>
      <c r="O339" s="296" t="s">
        <v>447</v>
      </c>
      <c r="P339" s="296" t="s">
        <v>971</v>
      </c>
      <c r="Q339" s="296" t="s">
        <v>446</v>
      </c>
      <c r="R339" s="252">
        <v>0</v>
      </c>
      <c r="AG339" s="296" t="s">
        <v>2249</v>
      </c>
    </row>
    <row r="340" spans="1:33" hidden="1">
      <c r="A340" s="437">
        <f t="shared" si="17"/>
        <v>176</v>
      </c>
      <c r="B340" s="296" t="s">
        <v>239</v>
      </c>
      <c r="C340" s="252">
        <v>25.24</v>
      </c>
      <c r="D340" s="296" t="s">
        <v>766</v>
      </c>
      <c r="G340" s="252" t="s">
        <v>446</v>
      </c>
      <c r="H340" s="296" t="s">
        <v>447</v>
      </c>
      <c r="J340" s="253" t="s">
        <v>446</v>
      </c>
      <c r="K340" s="252">
        <v>0</v>
      </c>
      <c r="R340" s="358" t="s">
        <v>1579</v>
      </c>
      <c r="AG340" s="296" t="s">
        <v>2249</v>
      </c>
    </row>
    <row r="341" spans="1:33" hidden="1">
      <c r="A341" s="437">
        <f t="shared" si="17"/>
        <v>177</v>
      </c>
      <c r="B341" s="296" t="s">
        <v>2212</v>
      </c>
      <c r="C341" s="252">
        <v>52.34</v>
      </c>
      <c r="D341" s="296" t="s">
        <v>766</v>
      </c>
      <c r="K341" s="358" t="s">
        <v>1579</v>
      </c>
      <c r="O341" s="296" t="s">
        <v>438</v>
      </c>
      <c r="R341" s="252" t="e">
        <f>SUM(R335:R339)</f>
        <v>#REF!</v>
      </c>
      <c r="AG341" s="296" t="s">
        <v>2249</v>
      </c>
    </row>
    <row r="342" spans="1:33" hidden="1">
      <c r="A342" s="437">
        <f t="shared" si="17"/>
        <v>178</v>
      </c>
      <c r="B342" s="296" t="s">
        <v>1035</v>
      </c>
      <c r="H342" s="296" t="s">
        <v>611</v>
      </c>
      <c r="K342" s="252" t="e">
        <f>SUM(K334:K340)</f>
        <v>#REF!</v>
      </c>
      <c r="R342" s="358" t="s">
        <v>1579</v>
      </c>
      <c r="AG342" s="296" t="s">
        <v>2249</v>
      </c>
    </row>
    <row r="343" spans="1:33" hidden="1">
      <c r="A343" s="437">
        <f t="shared" si="17"/>
        <v>179</v>
      </c>
      <c r="B343" s="296" t="s">
        <v>237</v>
      </c>
      <c r="C343" s="252">
        <v>13.73</v>
      </c>
      <c r="D343" s="296" t="s">
        <v>766</v>
      </c>
      <c r="K343" s="358" t="s">
        <v>1579</v>
      </c>
      <c r="O343" s="296" t="s">
        <v>549</v>
      </c>
      <c r="R343" s="252" t="e">
        <f>(R341/10)</f>
        <v>#REF!</v>
      </c>
      <c r="AG343" s="296" t="s">
        <v>2249</v>
      </c>
    </row>
    <row r="344" spans="1:33" hidden="1">
      <c r="A344" s="437">
        <f t="shared" si="17"/>
        <v>180</v>
      </c>
      <c r="B344" s="296" t="s">
        <v>238</v>
      </c>
      <c r="C344" s="252">
        <v>20.16</v>
      </c>
      <c r="D344" s="296" t="s">
        <v>766</v>
      </c>
      <c r="H344" s="296" t="s">
        <v>770</v>
      </c>
      <c r="K344" s="252" t="e">
        <f>(K342/10)</f>
        <v>#REF!</v>
      </c>
      <c r="R344" s="358" t="s">
        <v>2046</v>
      </c>
      <c r="AG344" s="296" t="s">
        <v>2249</v>
      </c>
    </row>
    <row r="345" spans="1:33" hidden="1">
      <c r="A345" s="437">
        <f t="shared" si="17"/>
        <v>181</v>
      </c>
      <c r="B345" s="296" t="s">
        <v>239</v>
      </c>
      <c r="C345" s="252">
        <v>22.73</v>
      </c>
      <c r="D345" s="296" t="s">
        <v>766</v>
      </c>
      <c r="K345" s="358" t="s">
        <v>2046</v>
      </c>
      <c r="N345" s="296" t="s">
        <v>2241</v>
      </c>
      <c r="O345" s="296" t="s">
        <v>1036</v>
      </c>
      <c r="AG345" s="296" t="s">
        <v>2249</v>
      </c>
    </row>
    <row r="346" spans="1:33" hidden="1">
      <c r="A346" s="437">
        <f t="shared" si="17"/>
        <v>182</v>
      </c>
      <c r="B346" s="296" t="s">
        <v>2212</v>
      </c>
      <c r="C346" s="252">
        <v>46.98</v>
      </c>
      <c r="D346" s="296" t="s">
        <v>971</v>
      </c>
      <c r="H346" s="296" t="s">
        <v>383</v>
      </c>
      <c r="K346" s="252" t="e">
        <f>(K344+C19)</f>
        <v>#REF!</v>
      </c>
      <c r="O346" s="358" t="s">
        <v>1579</v>
      </c>
      <c r="AG346" s="296" t="s">
        <v>2249</v>
      </c>
    </row>
    <row r="347" spans="1:33" hidden="1">
      <c r="A347" s="437">
        <f t="shared" si="17"/>
        <v>183</v>
      </c>
      <c r="B347" s="296" t="s">
        <v>1037</v>
      </c>
      <c r="H347" s="296" t="s">
        <v>385</v>
      </c>
      <c r="K347" s="252" t="e">
        <f>(K346+C20)</f>
        <v>#REF!</v>
      </c>
      <c r="M347" s="252">
        <v>0.22</v>
      </c>
      <c r="N347" s="296" t="s">
        <v>866</v>
      </c>
      <c r="O347" s="296" t="s">
        <v>1348</v>
      </c>
      <c r="P347" s="252" t="e">
        <f>(K32)</f>
        <v>#REF!</v>
      </c>
      <c r="Q347" s="296" t="s">
        <v>866</v>
      </c>
      <c r="R347" s="252" t="e">
        <f>(M347*P347)</f>
        <v>#REF!</v>
      </c>
      <c r="AG347" s="296" t="s">
        <v>2249</v>
      </c>
    </row>
    <row r="348" spans="1:33" hidden="1">
      <c r="A348" s="437">
        <f t="shared" si="17"/>
        <v>184</v>
      </c>
      <c r="B348" s="296" t="s">
        <v>237</v>
      </c>
      <c r="C348" s="252">
        <v>19.3</v>
      </c>
      <c r="D348" s="296" t="s">
        <v>766</v>
      </c>
      <c r="H348" s="296" t="s">
        <v>2222</v>
      </c>
      <c r="K348" s="252" t="e">
        <f>(K347+C21)</f>
        <v>#REF!</v>
      </c>
      <c r="M348" s="252">
        <v>2.2000000000000002</v>
      </c>
      <c r="N348" s="296" t="s">
        <v>865</v>
      </c>
      <c r="O348" s="296" t="s">
        <v>2000</v>
      </c>
      <c r="P348" s="252">
        <f>(C10)</f>
        <v>150</v>
      </c>
      <c r="Q348" s="296" t="s">
        <v>865</v>
      </c>
      <c r="R348" s="252">
        <f>(M348*P348)</f>
        <v>330</v>
      </c>
      <c r="AG348" s="296" t="s">
        <v>2249</v>
      </c>
    </row>
    <row r="349" spans="1:33" hidden="1">
      <c r="A349" s="437">
        <f t="shared" si="17"/>
        <v>185</v>
      </c>
      <c r="B349" s="296" t="s">
        <v>239</v>
      </c>
      <c r="C349" s="252">
        <v>33.46</v>
      </c>
      <c r="D349" s="296" t="s">
        <v>766</v>
      </c>
      <c r="H349" s="296" t="s">
        <v>377</v>
      </c>
      <c r="K349" s="252" t="e">
        <f>(K348+C21)</f>
        <v>#REF!</v>
      </c>
      <c r="M349" s="252">
        <v>0.5</v>
      </c>
      <c r="N349" s="296" t="s">
        <v>865</v>
      </c>
      <c r="O349" s="296" t="s">
        <v>1893</v>
      </c>
      <c r="P349" s="252">
        <f>(C12)</f>
        <v>95</v>
      </c>
      <c r="Q349" s="296" t="s">
        <v>865</v>
      </c>
      <c r="R349" s="252">
        <f>(M349*P349)</f>
        <v>47.5</v>
      </c>
      <c r="AG349" s="296" t="s">
        <v>2249</v>
      </c>
    </row>
    <row r="350" spans="1:33" hidden="1">
      <c r="A350" s="437">
        <f t="shared" si="17"/>
        <v>186</v>
      </c>
      <c r="B350" s="296" t="s">
        <v>2212</v>
      </c>
      <c r="C350" s="252">
        <v>53.62</v>
      </c>
      <c r="D350" s="296" t="s">
        <v>766</v>
      </c>
      <c r="F350" s="296" t="s">
        <v>971</v>
      </c>
      <c r="H350" s="296" t="s">
        <v>485</v>
      </c>
      <c r="K350" s="252" t="e">
        <f>(K349+C21)</f>
        <v>#REF!</v>
      </c>
      <c r="M350" s="252">
        <v>3.2</v>
      </c>
      <c r="N350" s="296" t="s">
        <v>865</v>
      </c>
      <c r="O350" s="296" t="s">
        <v>317</v>
      </c>
      <c r="P350" s="252">
        <f>(C13)</f>
        <v>85</v>
      </c>
      <c r="Q350" s="296" t="s">
        <v>865</v>
      </c>
      <c r="R350" s="252">
        <f>(M350*P350)</f>
        <v>272</v>
      </c>
      <c r="AG350" s="296" t="s">
        <v>2249</v>
      </c>
    </row>
    <row r="351" spans="1:33" hidden="1">
      <c r="A351" s="437">
        <f t="shared" si="17"/>
        <v>187</v>
      </c>
      <c r="B351" s="296" t="s">
        <v>127</v>
      </c>
      <c r="F351" s="369">
        <v>27</v>
      </c>
      <c r="G351" s="252" t="s">
        <v>2241</v>
      </c>
      <c r="H351" s="296" t="s">
        <v>3086</v>
      </c>
      <c r="N351" s="296" t="s">
        <v>446</v>
      </c>
      <c r="O351" s="296" t="s">
        <v>447</v>
      </c>
      <c r="P351" s="296" t="s">
        <v>971</v>
      </c>
      <c r="Q351" s="296" t="s">
        <v>446</v>
      </c>
      <c r="R351" s="252">
        <v>0</v>
      </c>
      <c r="AG351" s="296" t="s">
        <v>2249</v>
      </c>
    </row>
    <row r="352" spans="1:33" hidden="1">
      <c r="A352" s="437">
        <f t="shared" si="17"/>
        <v>188</v>
      </c>
      <c r="B352" s="296" t="s">
        <v>237</v>
      </c>
      <c r="C352" s="252">
        <v>13.73</v>
      </c>
      <c r="D352" s="296" t="s">
        <v>766</v>
      </c>
      <c r="H352" s="252" t="str">
        <f>H308</f>
        <v>Bricks of size 22x11x7 cm</v>
      </c>
      <c r="R352" s="358" t="s">
        <v>1579</v>
      </c>
      <c r="AG352" s="296" t="s">
        <v>2249</v>
      </c>
    </row>
    <row r="353" spans="1:33" hidden="1">
      <c r="A353" s="437">
        <f t="shared" si="17"/>
        <v>189</v>
      </c>
      <c r="B353" s="296" t="s">
        <v>238</v>
      </c>
      <c r="C353" s="252">
        <v>20.16</v>
      </c>
      <c r="D353" s="296" t="s">
        <v>766</v>
      </c>
      <c r="H353" s="358" t="s">
        <v>1579</v>
      </c>
      <c r="O353" s="296" t="s">
        <v>438</v>
      </c>
      <c r="R353" s="252" t="e">
        <f>SUM(R347:R351)</f>
        <v>#REF!</v>
      </c>
      <c r="AG353" s="296" t="s">
        <v>2249</v>
      </c>
    </row>
    <row r="354" spans="1:33" hidden="1">
      <c r="A354" s="437">
        <f t="shared" si="17"/>
        <v>190</v>
      </c>
      <c r="B354" s="296" t="s">
        <v>239</v>
      </c>
      <c r="C354" s="252">
        <v>22.73</v>
      </c>
      <c r="D354" s="296" t="s">
        <v>766</v>
      </c>
      <c r="F354" s="252">
        <f>F310</f>
        <v>4800</v>
      </c>
      <c r="G354" s="252" t="s">
        <v>1420</v>
      </c>
      <c r="H354" s="252" t="str">
        <f>H308</f>
        <v>Bricks of size 22x11x7 cm</v>
      </c>
      <c r="I354" s="252" t="e">
        <f>C80</f>
        <v>#REF!</v>
      </c>
      <c r="J354" s="253" t="s">
        <v>1587</v>
      </c>
      <c r="K354" s="252" t="e">
        <f>(F354*I354)/1000</f>
        <v>#REF!</v>
      </c>
      <c r="R354" s="358" t="s">
        <v>1579</v>
      </c>
      <c r="AG354" s="296" t="s">
        <v>2249</v>
      </c>
    </row>
    <row r="355" spans="1:33" hidden="1">
      <c r="A355" s="437">
        <f t="shared" si="17"/>
        <v>191</v>
      </c>
      <c r="B355" s="296" t="s">
        <v>2212</v>
      </c>
      <c r="C355" s="252">
        <v>46.98</v>
      </c>
      <c r="D355" s="296" t="s">
        <v>766</v>
      </c>
      <c r="F355" s="252">
        <f>F311</f>
        <v>2.5</v>
      </c>
      <c r="G355" s="252" t="s">
        <v>866</v>
      </c>
      <c r="H355" s="296" t="s">
        <v>1302</v>
      </c>
      <c r="I355" s="252" t="e">
        <f>K40</f>
        <v>#REF!</v>
      </c>
      <c r="J355" s="253" t="s">
        <v>866</v>
      </c>
      <c r="K355" s="252" t="e">
        <f>(F355*I355)</f>
        <v>#REF!</v>
      </c>
      <c r="O355" s="296" t="s">
        <v>549</v>
      </c>
      <c r="R355" s="252" t="e">
        <f>(R353/10)</f>
        <v>#REF!</v>
      </c>
      <c r="AG355" s="296" t="s">
        <v>2249</v>
      </c>
    </row>
    <row r="356" spans="1:33" hidden="1">
      <c r="A356" s="437">
        <f t="shared" si="17"/>
        <v>192</v>
      </c>
      <c r="B356" s="296" t="s">
        <v>807</v>
      </c>
      <c r="F356" s="252">
        <v>3.5</v>
      </c>
      <c r="G356" s="252" t="s">
        <v>865</v>
      </c>
      <c r="H356" s="296" t="s">
        <v>2000</v>
      </c>
      <c r="I356" s="252">
        <f>(C10)</f>
        <v>150</v>
      </c>
      <c r="J356" s="253" t="s">
        <v>865</v>
      </c>
      <c r="K356" s="252">
        <f>(F356*I356)</f>
        <v>525</v>
      </c>
      <c r="R356" s="358" t="s">
        <v>2046</v>
      </c>
      <c r="AG356" s="296" t="s">
        <v>2249</v>
      </c>
    </row>
    <row r="357" spans="1:33" hidden="1">
      <c r="A357" s="437">
        <f t="shared" si="17"/>
        <v>193</v>
      </c>
      <c r="B357" s="296" t="s">
        <v>237</v>
      </c>
      <c r="C357" s="252">
        <v>19.3</v>
      </c>
      <c r="D357" s="296" t="s">
        <v>766</v>
      </c>
      <c r="F357" s="252">
        <v>10.6</v>
      </c>
      <c r="G357" s="252" t="s">
        <v>865</v>
      </c>
      <c r="H357" s="296" t="s">
        <v>1704</v>
      </c>
      <c r="I357" s="252">
        <f>(C11)</f>
        <v>135</v>
      </c>
      <c r="J357" s="253" t="s">
        <v>865</v>
      </c>
      <c r="K357" s="252">
        <f>(F357*I357)</f>
        <v>1431</v>
      </c>
      <c r="N357" s="296" t="s">
        <v>2241</v>
      </c>
      <c r="O357" s="296" t="s">
        <v>808</v>
      </c>
      <c r="AG357" s="296" t="s">
        <v>2249</v>
      </c>
    </row>
    <row r="358" spans="1:33" hidden="1">
      <c r="A358" s="437">
        <f t="shared" si="17"/>
        <v>194</v>
      </c>
      <c r="B358" s="296" t="s">
        <v>238</v>
      </c>
      <c r="C358" s="252">
        <v>25.74</v>
      </c>
      <c r="D358" s="296" t="s">
        <v>766</v>
      </c>
      <c r="F358" s="252">
        <v>7.1</v>
      </c>
      <c r="G358" s="252" t="s">
        <v>865</v>
      </c>
      <c r="H358" s="296" t="s">
        <v>1893</v>
      </c>
      <c r="I358" s="252">
        <f>(C12)</f>
        <v>95</v>
      </c>
      <c r="J358" s="253" t="s">
        <v>865</v>
      </c>
      <c r="K358" s="252">
        <f>(F358*I358)</f>
        <v>674.5</v>
      </c>
      <c r="O358" s="296" t="s">
        <v>809</v>
      </c>
      <c r="AG358" s="296" t="s">
        <v>2249</v>
      </c>
    </row>
    <row r="359" spans="1:33" hidden="1">
      <c r="A359" s="437">
        <f t="shared" si="17"/>
        <v>195</v>
      </c>
      <c r="B359" s="296" t="s">
        <v>239</v>
      </c>
      <c r="C359" s="252">
        <v>33.46</v>
      </c>
      <c r="D359" s="296" t="s">
        <v>766</v>
      </c>
      <c r="F359" s="252">
        <v>21.2</v>
      </c>
      <c r="G359" s="252" t="s">
        <v>865</v>
      </c>
      <c r="H359" s="296" t="s">
        <v>317</v>
      </c>
      <c r="I359" s="252">
        <f>(C13)</f>
        <v>85</v>
      </c>
      <c r="J359" s="253" t="s">
        <v>865</v>
      </c>
      <c r="K359" s="252">
        <f>(F359*I359)</f>
        <v>1802</v>
      </c>
      <c r="O359" s="296" t="s">
        <v>810</v>
      </c>
      <c r="AG359" s="296" t="s">
        <v>2249</v>
      </c>
    </row>
    <row r="360" spans="1:33" hidden="1">
      <c r="A360" s="437">
        <f t="shared" si="17"/>
        <v>196</v>
      </c>
      <c r="B360" s="296" t="s">
        <v>2212</v>
      </c>
      <c r="C360" s="252">
        <v>53.62</v>
      </c>
      <c r="D360" s="296" t="s">
        <v>971</v>
      </c>
      <c r="G360" s="252" t="s">
        <v>446</v>
      </c>
      <c r="H360" s="296" t="s">
        <v>447</v>
      </c>
      <c r="J360" s="253" t="s">
        <v>446</v>
      </c>
      <c r="K360" s="252">
        <v>0</v>
      </c>
      <c r="O360" s="358" t="s">
        <v>1579</v>
      </c>
      <c r="AG360" s="296" t="s">
        <v>2249</v>
      </c>
    </row>
    <row r="361" spans="1:33" hidden="1">
      <c r="A361" s="437">
        <f t="shared" si="17"/>
        <v>197</v>
      </c>
      <c r="B361" s="296" t="s">
        <v>965</v>
      </c>
      <c r="K361" s="358" t="s">
        <v>1579</v>
      </c>
      <c r="M361" s="252">
        <v>0.22</v>
      </c>
      <c r="N361" s="296" t="s">
        <v>866</v>
      </c>
      <c r="O361" s="296" t="s">
        <v>1302</v>
      </c>
      <c r="P361" s="252" t="e">
        <f>(K40)</f>
        <v>#REF!</v>
      </c>
      <c r="Q361" s="296" t="s">
        <v>866</v>
      </c>
      <c r="R361" s="252" t="e">
        <f t="shared" ref="R361:R366" si="18">(M361*P361)</f>
        <v>#REF!</v>
      </c>
      <c r="AG361" s="296" t="s">
        <v>2249</v>
      </c>
    </row>
    <row r="362" spans="1:33" hidden="1">
      <c r="A362" s="437">
        <f t="shared" si="17"/>
        <v>198</v>
      </c>
      <c r="B362" s="296" t="s">
        <v>237</v>
      </c>
      <c r="C362" s="252">
        <v>26.16</v>
      </c>
      <c r="D362" s="296" t="s">
        <v>766</v>
      </c>
      <c r="H362" s="296" t="s">
        <v>611</v>
      </c>
      <c r="K362" s="252" t="e">
        <f>SUM(K354:K360)</f>
        <v>#REF!</v>
      </c>
      <c r="M362" s="252">
        <v>2.2000000000000002</v>
      </c>
      <c r="N362" s="296" t="s">
        <v>865</v>
      </c>
      <c r="O362" s="296" t="s">
        <v>2000</v>
      </c>
      <c r="P362" s="252">
        <f>(C10)</f>
        <v>150</v>
      </c>
      <c r="Q362" s="296" t="s">
        <v>865</v>
      </c>
      <c r="R362" s="252">
        <f t="shared" si="18"/>
        <v>330</v>
      </c>
      <c r="AG362" s="296" t="s">
        <v>2249</v>
      </c>
    </row>
    <row r="363" spans="1:33" hidden="1">
      <c r="A363" s="437">
        <f t="shared" si="17"/>
        <v>199</v>
      </c>
      <c r="B363" s="296" t="s">
        <v>238</v>
      </c>
      <c r="C363" s="252">
        <v>34.32</v>
      </c>
      <c r="D363" s="296" t="s">
        <v>766</v>
      </c>
      <c r="K363" s="358" t="s">
        <v>1579</v>
      </c>
      <c r="M363" s="252">
        <v>0.5</v>
      </c>
      <c r="N363" s="296" t="s">
        <v>865</v>
      </c>
      <c r="O363" s="296" t="s">
        <v>1893</v>
      </c>
      <c r="P363" s="252">
        <f>(C12)</f>
        <v>95</v>
      </c>
      <c r="Q363" s="296" t="s">
        <v>865</v>
      </c>
      <c r="R363" s="252">
        <f t="shared" si="18"/>
        <v>47.5</v>
      </c>
      <c r="AG363" s="296" t="s">
        <v>2249</v>
      </c>
    </row>
    <row r="364" spans="1:33" hidden="1">
      <c r="A364" s="437">
        <f t="shared" ref="A364:A395" si="19">(A363+1)</f>
        <v>200</v>
      </c>
      <c r="B364" s="296" t="s">
        <v>239</v>
      </c>
      <c r="C364" s="252">
        <v>40.33</v>
      </c>
      <c r="D364" s="296" t="s">
        <v>766</v>
      </c>
      <c r="H364" s="296" t="s">
        <v>770</v>
      </c>
      <c r="K364" s="252" t="e">
        <f>(K362/10)</f>
        <v>#REF!</v>
      </c>
      <c r="M364" s="252">
        <v>1.1000000000000001</v>
      </c>
      <c r="N364" s="296" t="s">
        <v>966</v>
      </c>
      <c r="O364" s="296" t="s">
        <v>967</v>
      </c>
      <c r="P364" s="252">
        <f>(C10)</f>
        <v>150</v>
      </c>
      <c r="Q364" s="296" t="s">
        <v>865</v>
      </c>
      <c r="R364" s="252">
        <f t="shared" si="18"/>
        <v>165</v>
      </c>
      <c r="AG364" s="296" t="s">
        <v>2249</v>
      </c>
    </row>
    <row r="365" spans="1:33" hidden="1">
      <c r="A365" s="437">
        <f t="shared" si="19"/>
        <v>201</v>
      </c>
      <c r="B365" s="296" t="s">
        <v>968</v>
      </c>
      <c r="D365" s="296" t="s">
        <v>971</v>
      </c>
      <c r="K365" s="358" t="s">
        <v>2046</v>
      </c>
      <c r="M365" s="252">
        <v>3.2</v>
      </c>
      <c r="N365" s="296" t="s">
        <v>865</v>
      </c>
      <c r="O365" s="296" t="s">
        <v>317</v>
      </c>
      <c r="P365" s="252">
        <f>(C13)</f>
        <v>85</v>
      </c>
      <c r="Q365" s="296" t="s">
        <v>865</v>
      </c>
      <c r="R365" s="252">
        <f t="shared" si="18"/>
        <v>272</v>
      </c>
      <c r="AG365" s="296" t="s">
        <v>2249</v>
      </c>
    </row>
    <row r="366" spans="1:33" hidden="1">
      <c r="A366" s="437">
        <f t="shared" si="19"/>
        <v>202</v>
      </c>
      <c r="B366" s="296" t="s">
        <v>237</v>
      </c>
      <c r="C366" s="252">
        <v>20.329999999999998</v>
      </c>
      <c r="D366" s="296" t="s">
        <v>766</v>
      </c>
      <c r="H366" s="296" t="s">
        <v>383</v>
      </c>
      <c r="K366" s="252" t="e">
        <f>(K364+C19)</f>
        <v>#REF!</v>
      </c>
      <c r="M366" s="252">
        <v>9.8000000000000007</v>
      </c>
      <c r="N366" s="296" t="s">
        <v>1637</v>
      </c>
      <c r="O366" s="296" t="s">
        <v>1638</v>
      </c>
      <c r="P366" s="252">
        <f>(C180)</f>
        <v>110</v>
      </c>
      <c r="Q366" s="296" t="s">
        <v>1637</v>
      </c>
      <c r="R366" s="252">
        <f t="shared" si="18"/>
        <v>1078</v>
      </c>
      <c r="AG366" s="296" t="s">
        <v>2249</v>
      </c>
    </row>
    <row r="367" spans="1:33" hidden="1">
      <c r="A367" s="437">
        <f t="shared" si="19"/>
        <v>203</v>
      </c>
      <c r="B367" s="296" t="s">
        <v>238</v>
      </c>
      <c r="C367" s="252">
        <v>26.6</v>
      </c>
      <c r="D367" s="296" t="s">
        <v>766</v>
      </c>
      <c r="H367" s="296" t="s">
        <v>385</v>
      </c>
      <c r="K367" s="252" t="e">
        <f>(K366+C20)</f>
        <v>#REF!</v>
      </c>
      <c r="N367" s="296" t="s">
        <v>446</v>
      </c>
      <c r="O367" s="296" t="s">
        <v>447</v>
      </c>
      <c r="P367" s="296" t="s">
        <v>971</v>
      </c>
      <c r="Q367" s="296" t="s">
        <v>446</v>
      </c>
      <c r="R367" s="252">
        <v>0</v>
      </c>
      <c r="AG367" s="296" t="s">
        <v>2249</v>
      </c>
    </row>
    <row r="368" spans="1:33" hidden="1">
      <c r="A368" s="437">
        <f t="shared" si="19"/>
        <v>204</v>
      </c>
      <c r="B368" s="296" t="s">
        <v>239</v>
      </c>
      <c r="C368" s="252">
        <v>33.89</v>
      </c>
      <c r="D368" s="296" t="s">
        <v>766</v>
      </c>
      <c r="H368" s="296" t="s">
        <v>2222</v>
      </c>
      <c r="K368" s="252" t="e">
        <f>(K367+C21)</f>
        <v>#REF!</v>
      </c>
      <c r="R368" s="358" t="s">
        <v>1579</v>
      </c>
      <c r="AG368" s="296" t="s">
        <v>2249</v>
      </c>
    </row>
    <row r="369" spans="1:33" hidden="1">
      <c r="A369" s="437">
        <f t="shared" si="19"/>
        <v>205</v>
      </c>
      <c r="B369" s="296" t="s">
        <v>969</v>
      </c>
      <c r="H369" s="296" t="s">
        <v>377</v>
      </c>
      <c r="K369" s="252" t="e">
        <f>(K368+C21)</f>
        <v>#REF!</v>
      </c>
      <c r="O369" s="296" t="s">
        <v>438</v>
      </c>
      <c r="R369" s="252" t="e">
        <f>SUM(R361:R367)</f>
        <v>#REF!</v>
      </c>
      <c r="AG369" s="296" t="s">
        <v>2249</v>
      </c>
    </row>
    <row r="370" spans="1:33" hidden="1">
      <c r="A370" s="437">
        <f t="shared" si="19"/>
        <v>206</v>
      </c>
      <c r="B370" s="296" t="s">
        <v>237</v>
      </c>
      <c r="C370" s="252">
        <v>13.29</v>
      </c>
      <c r="D370" s="296" t="s">
        <v>766</v>
      </c>
      <c r="H370" s="296" t="s">
        <v>485</v>
      </c>
      <c r="K370" s="252" t="e">
        <f>(K369+C21)</f>
        <v>#REF!</v>
      </c>
      <c r="R370" s="358" t="s">
        <v>1579</v>
      </c>
      <c r="AG370" s="296" t="s">
        <v>2249</v>
      </c>
    </row>
    <row r="371" spans="1:33" hidden="1">
      <c r="A371" s="437">
        <f t="shared" si="19"/>
        <v>207</v>
      </c>
      <c r="B371" s="296" t="s">
        <v>238</v>
      </c>
      <c r="C371" s="252">
        <v>18.02</v>
      </c>
      <c r="D371" s="296" t="s">
        <v>766</v>
      </c>
      <c r="H371" s="296" t="s">
        <v>1823</v>
      </c>
      <c r="K371" s="252" t="e">
        <f>(K366+K367+K368)/3</f>
        <v>#REF!</v>
      </c>
      <c r="O371" s="296" t="s">
        <v>549</v>
      </c>
      <c r="R371" s="252" t="e">
        <f>(R369/10)</f>
        <v>#REF!</v>
      </c>
      <c r="AG371" s="296" t="s">
        <v>2249</v>
      </c>
    </row>
    <row r="372" spans="1:33" hidden="1">
      <c r="A372" s="437">
        <f t="shared" si="19"/>
        <v>208</v>
      </c>
      <c r="B372" s="296" t="s">
        <v>239</v>
      </c>
      <c r="C372" s="252">
        <v>23.17</v>
      </c>
      <c r="D372" s="296" t="s">
        <v>766</v>
      </c>
      <c r="R372" s="358" t="s">
        <v>2046</v>
      </c>
      <c r="AG372" s="296" t="s">
        <v>2249</v>
      </c>
    </row>
    <row r="373" spans="1:33" hidden="1">
      <c r="A373" s="437">
        <f t="shared" si="19"/>
        <v>209</v>
      </c>
      <c r="B373" s="296" t="s">
        <v>1824</v>
      </c>
      <c r="D373" s="296" t="s">
        <v>971</v>
      </c>
      <c r="H373" s="253" t="s">
        <v>1825</v>
      </c>
      <c r="N373" s="296" t="s">
        <v>2241</v>
      </c>
      <c r="O373" s="296" t="s">
        <v>1826</v>
      </c>
      <c r="AG373" s="296" t="s">
        <v>2249</v>
      </c>
    </row>
    <row r="374" spans="1:33" hidden="1">
      <c r="A374" s="437">
        <f t="shared" si="19"/>
        <v>210</v>
      </c>
      <c r="B374" s="296" t="s">
        <v>237</v>
      </c>
      <c r="C374" s="252">
        <v>9</v>
      </c>
      <c r="D374" s="296" t="s">
        <v>766</v>
      </c>
      <c r="H374" s="358" t="s">
        <v>1579</v>
      </c>
      <c r="O374" s="358" t="s">
        <v>1579</v>
      </c>
      <c r="AG374" s="296" t="s">
        <v>2249</v>
      </c>
    </row>
    <row r="375" spans="1:33" hidden="1">
      <c r="A375" s="437">
        <f t="shared" si="19"/>
        <v>211</v>
      </c>
      <c r="B375" s="296" t="s">
        <v>238</v>
      </c>
      <c r="C375" s="252">
        <v>11.58</v>
      </c>
      <c r="D375" s="296" t="s">
        <v>766</v>
      </c>
      <c r="F375" s="369">
        <v>10</v>
      </c>
      <c r="G375" s="252" t="s">
        <v>2241</v>
      </c>
      <c r="H375" s="296" t="s">
        <v>3086</v>
      </c>
      <c r="M375" s="252">
        <v>0.05</v>
      </c>
      <c r="N375" s="296" t="s">
        <v>866</v>
      </c>
      <c r="O375" s="296" t="s">
        <v>1995</v>
      </c>
      <c r="P375" s="252">
        <f>(C84)</f>
        <v>773</v>
      </c>
      <c r="Q375" s="296" t="s">
        <v>866</v>
      </c>
      <c r="R375" s="252">
        <f>(M375*P375)</f>
        <v>38.65</v>
      </c>
      <c r="AG375" s="296" t="s">
        <v>2249</v>
      </c>
    </row>
    <row r="376" spans="1:33" hidden="1">
      <c r="A376" s="437">
        <f t="shared" si="19"/>
        <v>212</v>
      </c>
      <c r="B376" s="296" t="s">
        <v>239</v>
      </c>
      <c r="C376" s="252">
        <v>14.15</v>
      </c>
      <c r="D376" s="296" t="s">
        <v>766</v>
      </c>
      <c r="H376" s="252" t="str">
        <f>H308</f>
        <v>Bricks of size 22x11x7 cm</v>
      </c>
      <c r="M376" s="252">
        <v>1.1000000000000001</v>
      </c>
      <c r="N376" s="296" t="s">
        <v>865</v>
      </c>
      <c r="O376" s="296" t="s">
        <v>1704</v>
      </c>
      <c r="P376" s="252">
        <f>(C11)</f>
        <v>135</v>
      </c>
      <c r="Q376" s="296" t="s">
        <v>865</v>
      </c>
      <c r="R376" s="252">
        <f>(M376*P376)</f>
        <v>148.5</v>
      </c>
      <c r="AG376" s="296" t="s">
        <v>2249</v>
      </c>
    </row>
    <row r="377" spans="1:33" hidden="1">
      <c r="A377" s="437">
        <f t="shared" si="19"/>
        <v>213</v>
      </c>
      <c r="B377" s="296" t="s">
        <v>1827</v>
      </c>
      <c r="H377" s="358" t="s">
        <v>1579</v>
      </c>
      <c r="M377" s="252">
        <v>0.3</v>
      </c>
      <c r="N377" s="296" t="s">
        <v>865</v>
      </c>
      <c r="O377" s="296" t="s">
        <v>1893</v>
      </c>
      <c r="P377" s="252">
        <f>(C12)</f>
        <v>95</v>
      </c>
      <c r="Q377" s="296" t="s">
        <v>865</v>
      </c>
      <c r="R377" s="252">
        <f>(M377*P377)</f>
        <v>28.5</v>
      </c>
      <c r="AG377" s="296" t="s">
        <v>2249</v>
      </c>
    </row>
    <row r="378" spans="1:33" hidden="1">
      <c r="A378" s="437">
        <f t="shared" si="19"/>
        <v>214</v>
      </c>
      <c r="B378" s="296" t="s">
        <v>237</v>
      </c>
      <c r="C378" s="252">
        <v>4.29</v>
      </c>
      <c r="D378" s="296" t="s">
        <v>766</v>
      </c>
      <c r="F378" s="252">
        <f>F310</f>
        <v>4800</v>
      </c>
      <c r="G378" s="252" t="s">
        <v>1420</v>
      </c>
      <c r="H378" s="252" t="str">
        <f>H308</f>
        <v>Bricks of size 22x11x7 cm</v>
      </c>
      <c r="I378" s="252" t="e">
        <f>(C80)</f>
        <v>#REF!</v>
      </c>
      <c r="J378" s="253" t="s">
        <v>1587</v>
      </c>
      <c r="K378" s="252" t="e">
        <f>(F378*I378)/1000</f>
        <v>#REF!</v>
      </c>
      <c r="M378" s="252">
        <v>1.9</v>
      </c>
      <c r="N378" s="296" t="s">
        <v>865</v>
      </c>
      <c r="O378" s="296" t="s">
        <v>317</v>
      </c>
      <c r="P378" s="252">
        <f>(C13)</f>
        <v>85</v>
      </c>
      <c r="Q378" s="296" t="s">
        <v>865</v>
      </c>
      <c r="R378" s="252">
        <f>(M378*P378)</f>
        <v>161.5</v>
      </c>
      <c r="AG378" s="296" t="s">
        <v>2249</v>
      </c>
    </row>
    <row r="379" spans="1:33" hidden="1">
      <c r="A379" s="437">
        <f t="shared" si="19"/>
        <v>215</v>
      </c>
      <c r="B379" s="296" t="s">
        <v>238</v>
      </c>
      <c r="C379" s="252">
        <v>6.01</v>
      </c>
      <c r="D379" s="296" t="s">
        <v>766</v>
      </c>
      <c r="F379" s="252">
        <v>1.59</v>
      </c>
      <c r="G379" s="252" t="s">
        <v>866</v>
      </c>
      <c r="H379" s="296" t="s">
        <v>1302</v>
      </c>
      <c r="I379" s="252" t="e">
        <f>(K40)</f>
        <v>#REF!</v>
      </c>
      <c r="J379" s="253" t="s">
        <v>866</v>
      </c>
      <c r="K379" s="252" t="e">
        <f>(F379*I379)</f>
        <v>#REF!</v>
      </c>
      <c r="N379" s="296" t="s">
        <v>446</v>
      </c>
      <c r="O379" s="296" t="s">
        <v>1828</v>
      </c>
      <c r="P379" s="296" t="s">
        <v>971</v>
      </c>
      <c r="Q379" s="296" t="s">
        <v>446</v>
      </c>
      <c r="R379" s="252">
        <v>1.46</v>
      </c>
      <c r="AG379" s="296" t="s">
        <v>2249</v>
      </c>
    </row>
    <row r="380" spans="1:33" hidden="1">
      <c r="A380" s="437">
        <f t="shared" si="19"/>
        <v>216</v>
      </c>
      <c r="B380" s="296" t="s">
        <v>239</v>
      </c>
      <c r="C380" s="252">
        <v>6.86</v>
      </c>
      <c r="D380" s="296" t="s">
        <v>766</v>
      </c>
      <c r="F380" s="252">
        <v>7</v>
      </c>
      <c r="G380" s="252" t="s">
        <v>865</v>
      </c>
      <c r="H380" s="296" t="s">
        <v>2000</v>
      </c>
      <c r="I380" s="252">
        <f>(C10)</f>
        <v>150</v>
      </c>
      <c r="J380" s="253" t="s">
        <v>865</v>
      </c>
      <c r="K380" s="252">
        <f>(F380*I380)</f>
        <v>1050</v>
      </c>
      <c r="R380" s="358" t="s">
        <v>1579</v>
      </c>
      <c r="AG380" s="296" t="s">
        <v>2249</v>
      </c>
    </row>
    <row r="381" spans="1:33" hidden="1">
      <c r="A381" s="437">
        <f t="shared" si="19"/>
        <v>217</v>
      </c>
      <c r="B381" s="296" t="s">
        <v>1829</v>
      </c>
      <c r="D381" s="296" t="s">
        <v>971</v>
      </c>
      <c r="F381" s="252">
        <v>7.1</v>
      </c>
      <c r="G381" s="252" t="s">
        <v>865</v>
      </c>
      <c r="H381" s="296" t="s">
        <v>1704</v>
      </c>
      <c r="I381" s="252">
        <f>(C11)</f>
        <v>135</v>
      </c>
      <c r="J381" s="253" t="s">
        <v>865</v>
      </c>
      <c r="K381" s="252">
        <f>(F381*I381)</f>
        <v>958.5</v>
      </c>
      <c r="O381" s="296" t="s">
        <v>1830</v>
      </c>
      <c r="R381" s="252">
        <f>SUM(R374:R379)</f>
        <v>378.61</v>
      </c>
      <c r="AG381" s="296" t="s">
        <v>2249</v>
      </c>
    </row>
    <row r="382" spans="1:33" hidden="1">
      <c r="A382" s="437">
        <f t="shared" si="19"/>
        <v>218</v>
      </c>
      <c r="B382" s="296" t="s">
        <v>237</v>
      </c>
      <c r="C382" s="252">
        <v>14.91</v>
      </c>
      <c r="D382" s="296" t="s">
        <v>766</v>
      </c>
      <c r="F382" s="252">
        <v>7.1</v>
      </c>
      <c r="G382" s="252" t="s">
        <v>865</v>
      </c>
      <c r="H382" s="296" t="s">
        <v>1893</v>
      </c>
      <c r="I382" s="252">
        <f>(C12)</f>
        <v>95</v>
      </c>
      <c r="J382" s="253" t="s">
        <v>865</v>
      </c>
      <c r="K382" s="252">
        <f>(F382*I382)</f>
        <v>674.5</v>
      </c>
      <c r="R382" s="358" t="s">
        <v>1579</v>
      </c>
      <c r="AG382" s="296" t="s">
        <v>2249</v>
      </c>
    </row>
    <row r="383" spans="1:33" hidden="1">
      <c r="A383" s="437">
        <f t="shared" si="19"/>
        <v>219</v>
      </c>
      <c r="B383" s="296" t="s">
        <v>238</v>
      </c>
      <c r="C383" s="252">
        <v>17.579999999999998</v>
      </c>
      <c r="D383" s="296" t="s">
        <v>766</v>
      </c>
      <c r="F383" s="252">
        <v>21.2</v>
      </c>
      <c r="G383" s="252" t="s">
        <v>865</v>
      </c>
      <c r="H383" s="296" t="s">
        <v>317</v>
      </c>
      <c r="I383" s="252">
        <f>(C13)</f>
        <v>85</v>
      </c>
      <c r="J383" s="253" t="s">
        <v>865</v>
      </c>
      <c r="K383" s="252">
        <f>(F383*I383)</f>
        <v>1802</v>
      </c>
      <c r="O383" s="296" t="s">
        <v>549</v>
      </c>
      <c r="R383" s="252">
        <f>(R381/100)</f>
        <v>3.79</v>
      </c>
      <c r="AG383" s="296" t="s">
        <v>2249</v>
      </c>
    </row>
    <row r="384" spans="1:33" hidden="1">
      <c r="A384" s="437">
        <f t="shared" si="19"/>
        <v>220</v>
      </c>
      <c r="B384" s="296" t="s">
        <v>239</v>
      </c>
      <c r="C384" s="252">
        <v>19.3</v>
      </c>
      <c r="D384" s="296" t="s">
        <v>766</v>
      </c>
      <c r="G384" s="252" t="s">
        <v>446</v>
      </c>
      <c r="H384" s="296" t="s">
        <v>447</v>
      </c>
      <c r="I384" s="296" t="s">
        <v>971</v>
      </c>
      <c r="J384" s="253" t="s">
        <v>446</v>
      </c>
      <c r="K384" s="252">
        <v>0</v>
      </c>
      <c r="R384" s="358" t="s">
        <v>2046</v>
      </c>
      <c r="AG384" s="296" t="s">
        <v>2249</v>
      </c>
    </row>
    <row r="385" spans="1:33" hidden="1">
      <c r="A385" s="437">
        <f t="shared" si="19"/>
        <v>221</v>
      </c>
      <c r="B385" s="296" t="s">
        <v>1109</v>
      </c>
      <c r="K385" s="358" t="s">
        <v>1579</v>
      </c>
      <c r="AG385" s="296" t="s">
        <v>318</v>
      </c>
    </row>
    <row r="386" spans="1:33" hidden="1">
      <c r="A386" s="437">
        <f t="shared" si="19"/>
        <v>222</v>
      </c>
      <c r="B386" s="296" t="s">
        <v>237</v>
      </c>
      <c r="C386" s="252">
        <v>15.87</v>
      </c>
      <c r="D386" s="296" t="s">
        <v>766</v>
      </c>
      <c r="H386" s="296" t="s">
        <v>611</v>
      </c>
      <c r="K386" s="252" t="e">
        <f>SUM(K378:K384)</f>
        <v>#REF!</v>
      </c>
    </row>
    <row r="387" spans="1:33" hidden="1">
      <c r="A387" s="437">
        <f t="shared" si="19"/>
        <v>223</v>
      </c>
      <c r="B387" s="296" t="s">
        <v>238</v>
      </c>
      <c r="C387" s="252">
        <v>20.16</v>
      </c>
      <c r="D387" s="296" t="s">
        <v>766</v>
      </c>
      <c r="K387" s="358" t="s">
        <v>1579</v>
      </c>
      <c r="N387" s="296" t="s">
        <v>672</v>
      </c>
      <c r="O387" s="296" t="s">
        <v>1110</v>
      </c>
    </row>
    <row r="388" spans="1:33" hidden="1">
      <c r="A388" s="437">
        <f t="shared" si="19"/>
        <v>224</v>
      </c>
      <c r="B388" s="296" t="s">
        <v>239</v>
      </c>
      <c r="C388" s="252">
        <v>22.31</v>
      </c>
      <c r="D388" s="296" t="s">
        <v>766</v>
      </c>
      <c r="H388" s="296" t="s">
        <v>770</v>
      </c>
      <c r="K388" s="252" t="e">
        <f>(K386/10)</f>
        <v>#REF!</v>
      </c>
      <c r="O388" s="358" t="s">
        <v>1579</v>
      </c>
      <c r="AG388" s="296" t="s">
        <v>2249</v>
      </c>
    </row>
    <row r="389" spans="1:33" hidden="1">
      <c r="A389" s="437">
        <f t="shared" si="19"/>
        <v>225</v>
      </c>
      <c r="B389" s="296" t="s">
        <v>3087</v>
      </c>
      <c r="D389" s="296" t="s">
        <v>971</v>
      </c>
      <c r="K389" s="358" t="s">
        <v>2046</v>
      </c>
      <c r="M389" s="252">
        <v>7.0000000000000007E-2</v>
      </c>
      <c r="N389" s="296" t="s">
        <v>866</v>
      </c>
      <c r="O389" s="296" t="s">
        <v>1995</v>
      </c>
      <c r="P389" s="252">
        <f>(C84)</f>
        <v>773</v>
      </c>
      <c r="Q389" s="296" t="s">
        <v>866</v>
      </c>
      <c r="R389" s="252">
        <f>(M389*P389)</f>
        <v>54.11</v>
      </c>
      <c r="AG389" s="296" t="s">
        <v>2249</v>
      </c>
    </row>
    <row r="390" spans="1:33" hidden="1">
      <c r="A390" s="437">
        <f t="shared" si="19"/>
        <v>226</v>
      </c>
      <c r="B390" s="296" t="s">
        <v>1111</v>
      </c>
      <c r="C390" s="252">
        <v>26.4</v>
      </c>
      <c r="D390" s="296" t="s">
        <v>1763</v>
      </c>
      <c r="M390" s="252">
        <v>1.6</v>
      </c>
      <c r="N390" s="296" t="s">
        <v>865</v>
      </c>
      <c r="O390" s="296" t="s">
        <v>1704</v>
      </c>
      <c r="P390" s="252">
        <f>(C11)</f>
        <v>135</v>
      </c>
      <c r="Q390" s="296" t="s">
        <v>865</v>
      </c>
      <c r="R390" s="252">
        <f>(M390*P390)</f>
        <v>216</v>
      </c>
      <c r="AG390" s="296" t="s">
        <v>2249</v>
      </c>
    </row>
    <row r="391" spans="1:33" hidden="1">
      <c r="A391" s="437">
        <f t="shared" si="19"/>
        <v>227</v>
      </c>
      <c r="B391" s="296" t="s">
        <v>1112</v>
      </c>
      <c r="C391" s="252">
        <v>35.26</v>
      </c>
      <c r="D391" s="296" t="s">
        <v>1763</v>
      </c>
      <c r="G391" s="252" t="s">
        <v>672</v>
      </c>
      <c r="H391" s="296" t="s">
        <v>2898</v>
      </c>
      <c r="M391" s="252">
        <v>0.5</v>
      </c>
      <c r="N391" s="296" t="s">
        <v>865</v>
      </c>
      <c r="O391" s="296" t="s">
        <v>1893</v>
      </c>
      <c r="P391" s="252">
        <f>(C12)</f>
        <v>95</v>
      </c>
      <c r="Q391" s="296" t="s">
        <v>865</v>
      </c>
      <c r="R391" s="252">
        <f>(M391*P391)</f>
        <v>47.5</v>
      </c>
      <c r="AG391" s="296" t="s">
        <v>2249</v>
      </c>
    </row>
    <row r="392" spans="1:33" hidden="1">
      <c r="A392" s="437">
        <f t="shared" si="19"/>
        <v>228</v>
      </c>
      <c r="B392" s="296" t="s">
        <v>1113</v>
      </c>
      <c r="C392" s="252">
        <v>48.71</v>
      </c>
      <c r="D392" s="296" t="s">
        <v>1763</v>
      </c>
      <c r="H392" s="358" t="s">
        <v>1579</v>
      </c>
      <c r="M392" s="252">
        <v>2.7</v>
      </c>
      <c r="N392" s="296" t="s">
        <v>865</v>
      </c>
      <c r="O392" s="296" t="s">
        <v>317</v>
      </c>
      <c r="P392" s="252">
        <f>(C13)</f>
        <v>85</v>
      </c>
      <c r="Q392" s="296" t="s">
        <v>865</v>
      </c>
      <c r="R392" s="252">
        <f>(M392*P392)</f>
        <v>229.5</v>
      </c>
      <c r="AG392" s="296" t="s">
        <v>2249</v>
      </c>
    </row>
    <row r="393" spans="1:33" hidden="1">
      <c r="A393" s="437">
        <f t="shared" si="19"/>
        <v>229</v>
      </c>
      <c r="B393" s="296" t="s">
        <v>1114</v>
      </c>
      <c r="C393" s="252">
        <v>58.75</v>
      </c>
      <c r="D393" s="296" t="s">
        <v>1763</v>
      </c>
      <c r="F393" s="252">
        <v>1.1000000000000001</v>
      </c>
      <c r="G393" s="252" t="s">
        <v>866</v>
      </c>
      <c r="H393" s="296" t="s">
        <v>1115</v>
      </c>
      <c r="I393" s="252" t="e">
        <f>(K388)</f>
        <v>#REF!</v>
      </c>
      <c r="J393" s="253" t="s">
        <v>865</v>
      </c>
      <c r="K393" s="252" t="e">
        <f>(F393*I393)</f>
        <v>#REF!</v>
      </c>
      <c r="N393" s="296" t="s">
        <v>446</v>
      </c>
      <c r="O393" s="296" t="s">
        <v>1828</v>
      </c>
      <c r="P393" s="296" t="s">
        <v>971</v>
      </c>
      <c r="Q393" s="296" t="s">
        <v>446</v>
      </c>
      <c r="R393" s="252">
        <v>2.09</v>
      </c>
      <c r="AG393" s="296" t="s">
        <v>2249</v>
      </c>
    </row>
    <row r="394" spans="1:33" hidden="1">
      <c r="A394" s="437">
        <f t="shared" si="19"/>
        <v>230</v>
      </c>
      <c r="B394" s="296" t="s">
        <v>1116</v>
      </c>
      <c r="C394" s="252">
        <v>70.2</v>
      </c>
      <c r="D394" s="296" t="s">
        <v>1763</v>
      </c>
      <c r="F394" s="252">
        <v>1</v>
      </c>
      <c r="G394" s="252" t="s">
        <v>766</v>
      </c>
      <c r="H394" s="296" t="s">
        <v>2000</v>
      </c>
      <c r="I394" s="252">
        <f>(C10)</f>
        <v>150</v>
      </c>
      <c r="J394" s="253" t="s">
        <v>865</v>
      </c>
      <c r="K394" s="252">
        <f>(F394*I394)</f>
        <v>150</v>
      </c>
      <c r="R394" s="358" t="s">
        <v>1579</v>
      </c>
      <c r="AG394" s="296" t="s">
        <v>2249</v>
      </c>
    </row>
    <row r="395" spans="1:33" hidden="1">
      <c r="A395" s="437">
        <f t="shared" si="19"/>
        <v>231</v>
      </c>
      <c r="B395" s="296" t="s">
        <v>237</v>
      </c>
      <c r="C395" s="252">
        <v>91.85</v>
      </c>
      <c r="D395" s="296" t="s">
        <v>1763</v>
      </c>
      <c r="G395" s="252" t="s">
        <v>446</v>
      </c>
      <c r="H395" s="296" t="s">
        <v>447</v>
      </c>
      <c r="I395" s="296" t="s">
        <v>971</v>
      </c>
      <c r="J395" s="253" t="s">
        <v>446</v>
      </c>
      <c r="K395" s="252">
        <v>0</v>
      </c>
      <c r="O395" s="296" t="s">
        <v>1830</v>
      </c>
      <c r="R395" s="252">
        <f>SUM(R388:R393)</f>
        <v>549.20000000000005</v>
      </c>
      <c r="AG395" s="296" t="s">
        <v>2249</v>
      </c>
    </row>
    <row r="396" spans="1:33" hidden="1">
      <c r="A396" s="437">
        <f t="shared" ref="A396:A420" si="20">(A395+1)</f>
        <v>232</v>
      </c>
      <c r="B396" s="296" t="s">
        <v>1117</v>
      </c>
      <c r="C396" s="252">
        <v>128</v>
      </c>
      <c r="D396" s="296" t="s">
        <v>1763</v>
      </c>
      <c r="K396" s="358" t="s">
        <v>1579</v>
      </c>
      <c r="R396" s="358" t="s">
        <v>1579</v>
      </c>
      <c r="AG396" s="296" t="s">
        <v>2249</v>
      </c>
    </row>
    <row r="397" spans="1:33" hidden="1">
      <c r="A397" s="437">
        <f t="shared" si="20"/>
        <v>233</v>
      </c>
      <c r="B397" s="296" t="s">
        <v>2060</v>
      </c>
      <c r="H397" s="296" t="s">
        <v>438</v>
      </c>
      <c r="K397" s="252" t="e">
        <f>SUM(K393:K395)</f>
        <v>#REF!</v>
      </c>
      <c r="O397" s="296" t="s">
        <v>549</v>
      </c>
      <c r="R397" s="252">
        <f>(R395/100)</f>
        <v>5.49</v>
      </c>
      <c r="AG397" s="296" t="s">
        <v>2249</v>
      </c>
    </row>
    <row r="398" spans="1:33" hidden="1">
      <c r="A398" s="437">
        <f t="shared" si="20"/>
        <v>234</v>
      </c>
      <c r="B398" s="296" t="s">
        <v>1111</v>
      </c>
      <c r="C398" s="252">
        <v>9</v>
      </c>
      <c r="D398" s="296" t="s">
        <v>865</v>
      </c>
      <c r="K398" s="358" t="s">
        <v>1579</v>
      </c>
      <c r="R398" s="358" t="s">
        <v>2046</v>
      </c>
      <c r="AG398" s="296" t="s">
        <v>2249</v>
      </c>
    </row>
    <row r="399" spans="1:33" hidden="1">
      <c r="A399" s="437">
        <f t="shared" si="20"/>
        <v>235</v>
      </c>
      <c r="B399" s="296" t="s">
        <v>1112</v>
      </c>
      <c r="C399" s="252">
        <v>11</v>
      </c>
      <c r="D399" s="296" t="s">
        <v>865</v>
      </c>
      <c r="H399" s="296" t="s">
        <v>549</v>
      </c>
      <c r="K399" s="252" t="e">
        <f>(K397/10)</f>
        <v>#REF!</v>
      </c>
      <c r="N399" s="296" t="s">
        <v>672</v>
      </c>
      <c r="O399" s="296" t="s">
        <v>346</v>
      </c>
      <c r="AG399" s="296" t="s">
        <v>2249</v>
      </c>
    </row>
    <row r="400" spans="1:33" hidden="1">
      <c r="A400" s="437">
        <f t="shared" si="20"/>
        <v>236</v>
      </c>
      <c r="B400" s="296" t="s">
        <v>1113</v>
      </c>
      <c r="C400" s="252">
        <v>18</v>
      </c>
      <c r="D400" s="296" t="s">
        <v>865</v>
      </c>
      <c r="K400" s="358" t="s">
        <v>2046</v>
      </c>
      <c r="O400" s="358" t="s">
        <v>1579</v>
      </c>
      <c r="AG400" s="296" t="s">
        <v>2249</v>
      </c>
    </row>
    <row r="401" spans="1:33" hidden="1">
      <c r="A401" s="437">
        <f t="shared" si="20"/>
        <v>237</v>
      </c>
      <c r="B401" s="296" t="s">
        <v>1114</v>
      </c>
      <c r="C401" s="252">
        <v>24.6</v>
      </c>
      <c r="D401" s="296" t="s">
        <v>865</v>
      </c>
      <c r="H401" s="296" t="s">
        <v>383</v>
      </c>
      <c r="K401" s="252" t="e">
        <f>(K399+C19/10*F393)</f>
        <v>#REF!</v>
      </c>
      <c r="M401" s="252">
        <v>10</v>
      </c>
      <c r="N401" s="296" t="s">
        <v>606</v>
      </c>
      <c r="O401" s="296" t="s">
        <v>1110</v>
      </c>
      <c r="P401" s="252">
        <f>(R397)</f>
        <v>5.49</v>
      </c>
      <c r="Q401" s="296" t="s">
        <v>606</v>
      </c>
      <c r="R401" s="252">
        <f>(M401*P401)</f>
        <v>54.9</v>
      </c>
      <c r="AG401" s="296" t="s">
        <v>2249</v>
      </c>
    </row>
    <row r="402" spans="1:33" hidden="1">
      <c r="A402" s="437">
        <f t="shared" si="20"/>
        <v>238</v>
      </c>
      <c r="B402" s="296" t="s">
        <v>1116</v>
      </c>
      <c r="C402" s="252">
        <v>31.46</v>
      </c>
      <c r="D402" s="296" t="s">
        <v>865</v>
      </c>
      <c r="H402" s="296" t="s">
        <v>385</v>
      </c>
      <c r="K402" s="252" t="e">
        <f>(K401+C20/10*F393)</f>
        <v>#REF!</v>
      </c>
      <c r="M402" s="252">
        <v>10</v>
      </c>
      <c r="N402" s="296" t="s">
        <v>606</v>
      </c>
      <c r="O402" s="296" t="s">
        <v>1522</v>
      </c>
      <c r="P402" s="252">
        <f>(R397/2)</f>
        <v>2.75</v>
      </c>
      <c r="Q402" s="296" t="s">
        <v>606</v>
      </c>
      <c r="R402" s="252">
        <f>(M402*P402)</f>
        <v>27.5</v>
      </c>
      <c r="AG402" s="296" t="s">
        <v>2249</v>
      </c>
    </row>
    <row r="403" spans="1:33" hidden="1">
      <c r="A403" s="437">
        <f t="shared" si="20"/>
        <v>239</v>
      </c>
      <c r="B403" s="296" t="s">
        <v>237</v>
      </c>
      <c r="C403" s="252">
        <v>53.2</v>
      </c>
      <c r="D403" s="296" t="s">
        <v>865</v>
      </c>
      <c r="H403" s="296" t="s">
        <v>2222</v>
      </c>
      <c r="K403" s="252" t="e">
        <f>(K402+C21/10*F393)</f>
        <v>#REF!</v>
      </c>
      <c r="O403" s="296" t="s">
        <v>1523</v>
      </c>
      <c r="R403" s="358" t="s">
        <v>1579</v>
      </c>
      <c r="AG403" s="296" t="s">
        <v>2249</v>
      </c>
    </row>
    <row r="404" spans="1:33" hidden="1">
      <c r="A404" s="437">
        <f t="shared" si="20"/>
        <v>240</v>
      </c>
      <c r="B404" s="296" t="s">
        <v>1117</v>
      </c>
      <c r="C404" s="252">
        <v>76.36</v>
      </c>
      <c r="D404" s="296" t="s">
        <v>865</v>
      </c>
      <c r="H404" s="296" t="s">
        <v>377</v>
      </c>
      <c r="K404" s="252" t="e">
        <f>(K403+C21/10*F393)</f>
        <v>#REF!</v>
      </c>
      <c r="R404" s="252">
        <f>SUM(R401:R402)</f>
        <v>82.4</v>
      </c>
      <c r="AG404" s="296" t="s">
        <v>2249</v>
      </c>
    </row>
    <row r="405" spans="1:33" hidden="1">
      <c r="A405" s="437">
        <f t="shared" si="20"/>
        <v>241</v>
      </c>
      <c r="B405" s="296" t="s">
        <v>1524</v>
      </c>
      <c r="D405" s="296" t="s">
        <v>971</v>
      </c>
      <c r="H405" s="296" t="s">
        <v>1525</v>
      </c>
      <c r="K405" s="252" t="e">
        <f>(K404+C21/10*F393)</f>
        <v>#REF!</v>
      </c>
      <c r="O405" s="296" t="s">
        <v>438</v>
      </c>
      <c r="R405" s="358" t="s">
        <v>1579</v>
      </c>
      <c r="AG405" s="296" t="s">
        <v>2249</v>
      </c>
    </row>
    <row r="406" spans="1:33" hidden="1">
      <c r="A406" s="437">
        <f t="shared" si="20"/>
        <v>242</v>
      </c>
      <c r="B406" s="296" t="s">
        <v>1111</v>
      </c>
      <c r="C406" s="252">
        <v>5.5</v>
      </c>
      <c r="D406" s="296" t="s">
        <v>865</v>
      </c>
      <c r="F406" s="369">
        <v>11</v>
      </c>
      <c r="G406" s="252" t="s">
        <v>2241</v>
      </c>
      <c r="H406" s="296" t="s">
        <v>3086</v>
      </c>
      <c r="R406" s="252">
        <f>(R404/10)</f>
        <v>8.24</v>
      </c>
      <c r="AG406" s="296" t="s">
        <v>2249</v>
      </c>
    </row>
    <row r="407" spans="1:33" hidden="1">
      <c r="A407" s="437">
        <f t="shared" si="20"/>
        <v>243</v>
      </c>
      <c r="B407" s="296" t="s">
        <v>1112</v>
      </c>
      <c r="C407" s="252">
        <v>8</v>
      </c>
      <c r="D407" s="296" t="s">
        <v>865</v>
      </c>
      <c r="H407" s="252" t="str">
        <f>H308</f>
        <v>Bricks of size 22x11x7 cm</v>
      </c>
      <c r="O407" s="296" t="s">
        <v>549</v>
      </c>
      <c r="R407" s="358" t="s">
        <v>2046</v>
      </c>
      <c r="AG407" s="296" t="s">
        <v>2249</v>
      </c>
    </row>
    <row r="408" spans="1:33" hidden="1">
      <c r="A408" s="437">
        <f t="shared" si="20"/>
        <v>244</v>
      </c>
      <c r="B408" s="296" t="s">
        <v>1113</v>
      </c>
      <c r="C408" s="252">
        <v>10.4</v>
      </c>
      <c r="D408" s="296" t="s">
        <v>865</v>
      </c>
      <c r="H408" s="358" t="s">
        <v>1579</v>
      </c>
      <c r="AG408" s="296" t="s">
        <v>2249</v>
      </c>
    </row>
    <row r="409" spans="1:33" hidden="1">
      <c r="A409" s="437">
        <f t="shared" si="20"/>
        <v>245</v>
      </c>
      <c r="B409" s="296" t="s">
        <v>1114</v>
      </c>
      <c r="C409" s="252">
        <v>22.06</v>
      </c>
      <c r="D409" s="296" t="s">
        <v>865</v>
      </c>
      <c r="F409" s="252">
        <f>F310</f>
        <v>4800</v>
      </c>
      <c r="G409" s="252" t="s">
        <v>1420</v>
      </c>
      <c r="H409" s="252" t="str">
        <f>H308</f>
        <v>Bricks of size 22x11x7 cm</v>
      </c>
      <c r="I409" s="252" t="e">
        <f>(C80)</f>
        <v>#REF!</v>
      </c>
      <c r="J409" s="253" t="s">
        <v>1526</v>
      </c>
      <c r="K409" s="252" t="e">
        <f>(F409*I409)/1000</f>
        <v>#REF!</v>
      </c>
      <c r="N409" s="296" t="s">
        <v>2241</v>
      </c>
      <c r="O409" s="296" t="s">
        <v>1527</v>
      </c>
      <c r="AG409" s="296" t="s">
        <v>2249</v>
      </c>
    </row>
    <row r="410" spans="1:33" hidden="1">
      <c r="A410" s="437">
        <f t="shared" si="20"/>
        <v>246</v>
      </c>
      <c r="B410" s="296" t="s">
        <v>1116</v>
      </c>
      <c r="C410" s="252">
        <v>27.91</v>
      </c>
      <c r="D410" s="296" t="s">
        <v>865</v>
      </c>
      <c r="F410" s="252">
        <v>1.59</v>
      </c>
      <c r="G410" s="252" t="s">
        <v>866</v>
      </c>
      <c r="H410" s="296" t="s">
        <v>1302</v>
      </c>
      <c r="I410" s="252" t="e">
        <f>(K40)</f>
        <v>#REF!</v>
      </c>
      <c r="J410" s="253" t="s">
        <v>866</v>
      </c>
      <c r="K410" s="252" t="e">
        <f>(F410*I410)</f>
        <v>#REF!</v>
      </c>
      <c r="O410" s="296" t="s">
        <v>1528</v>
      </c>
      <c r="AG410" s="296" t="s">
        <v>2249</v>
      </c>
    </row>
    <row r="411" spans="1:33" hidden="1">
      <c r="A411" s="437">
        <f t="shared" si="20"/>
        <v>247</v>
      </c>
      <c r="B411" s="296" t="s">
        <v>237</v>
      </c>
      <c r="C411" s="252">
        <v>49.42</v>
      </c>
      <c r="D411" s="296" t="s">
        <v>865</v>
      </c>
      <c r="F411" s="252">
        <v>7</v>
      </c>
      <c r="G411" s="252" t="s">
        <v>865</v>
      </c>
      <c r="H411" s="296" t="s">
        <v>2000</v>
      </c>
      <c r="I411" s="252">
        <f>(C10)</f>
        <v>150</v>
      </c>
      <c r="J411" s="253" t="s">
        <v>865</v>
      </c>
      <c r="K411" s="252">
        <f>(F411*I411)</f>
        <v>1050</v>
      </c>
      <c r="O411" s="358" t="s">
        <v>1579</v>
      </c>
      <c r="AG411" s="296" t="s">
        <v>2249</v>
      </c>
    </row>
    <row r="412" spans="1:33" hidden="1">
      <c r="A412" s="437">
        <f t="shared" si="20"/>
        <v>248</v>
      </c>
      <c r="B412" s="296" t="s">
        <v>1117</v>
      </c>
      <c r="C412" s="252">
        <v>86.94</v>
      </c>
      <c r="D412" s="296" t="s">
        <v>865</v>
      </c>
      <c r="F412" s="252">
        <v>7.1</v>
      </c>
      <c r="G412" s="252" t="s">
        <v>865</v>
      </c>
      <c r="H412" s="296" t="s">
        <v>1704</v>
      </c>
      <c r="I412" s="252">
        <f>(C11)</f>
        <v>135</v>
      </c>
      <c r="J412" s="253" t="s">
        <v>865</v>
      </c>
      <c r="K412" s="252">
        <f>(F412*I412)</f>
        <v>958.5</v>
      </c>
      <c r="M412" s="252">
        <v>10</v>
      </c>
      <c r="N412" s="296" t="s">
        <v>606</v>
      </c>
      <c r="O412" s="296" t="s">
        <v>1826</v>
      </c>
      <c r="P412" s="252">
        <f>(R383)</f>
        <v>3.79</v>
      </c>
      <c r="Q412" s="296" t="s">
        <v>606</v>
      </c>
      <c r="R412" s="252">
        <f>(M412*P412)</f>
        <v>37.9</v>
      </c>
      <c r="AG412" s="296" t="s">
        <v>2249</v>
      </c>
    </row>
    <row r="413" spans="1:33" hidden="1">
      <c r="A413" s="437">
        <f t="shared" si="20"/>
        <v>249</v>
      </c>
      <c r="B413" s="296" t="s">
        <v>1529</v>
      </c>
      <c r="D413" s="296" t="s">
        <v>971</v>
      </c>
      <c r="F413" s="252">
        <v>7.1</v>
      </c>
      <c r="G413" s="252" t="s">
        <v>865</v>
      </c>
      <c r="H413" s="296" t="s">
        <v>1893</v>
      </c>
      <c r="I413" s="252">
        <f>(C12)</f>
        <v>95</v>
      </c>
      <c r="J413" s="253" t="s">
        <v>865</v>
      </c>
      <c r="K413" s="252">
        <f>(F413*I413)</f>
        <v>674.5</v>
      </c>
      <c r="M413" s="252">
        <v>10</v>
      </c>
      <c r="N413" s="296" t="s">
        <v>606</v>
      </c>
      <c r="O413" s="296" t="s">
        <v>346</v>
      </c>
      <c r="P413" s="252">
        <f>(R406)</f>
        <v>8.24</v>
      </c>
      <c r="Q413" s="296" t="s">
        <v>606</v>
      </c>
      <c r="R413" s="252">
        <f>(M413*P413)</f>
        <v>82.4</v>
      </c>
      <c r="AG413" s="296" t="s">
        <v>2249</v>
      </c>
    </row>
    <row r="414" spans="1:33" hidden="1">
      <c r="A414" s="437">
        <f t="shared" si="20"/>
        <v>250</v>
      </c>
      <c r="B414" s="296" t="s">
        <v>1111</v>
      </c>
      <c r="C414" s="252">
        <v>5.75</v>
      </c>
      <c r="D414" s="296" t="s">
        <v>865</v>
      </c>
      <c r="F414" s="252">
        <v>21.2</v>
      </c>
      <c r="G414" s="252" t="s">
        <v>865</v>
      </c>
      <c r="H414" s="296" t="s">
        <v>317</v>
      </c>
      <c r="I414" s="252">
        <f>(C13)</f>
        <v>85</v>
      </c>
      <c r="J414" s="253" t="s">
        <v>865</v>
      </c>
      <c r="K414" s="252">
        <f>(F414*I414)</f>
        <v>1802</v>
      </c>
      <c r="O414" s="296" t="s">
        <v>971</v>
      </c>
      <c r="R414" s="358" t="s">
        <v>1579</v>
      </c>
      <c r="AG414" s="296" t="s">
        <v>2249</v>
      </c>
    </row>
    <row r="415" spans="1:33" hidden="1">
      <c r="A415" s="437">
        <f t="shared" si="20"/>
        <v>251</v>
      </c>
      <c r="B415" s="296" t="s">
        <v>1112</v>
      </c>
      <c r="C415" s="252">
        <v>8.5</v>
      </c>
      <c r="D415" s="296" t="s">
        <v>865</v>
      </c>
      <c r="G415" s="252" t="s">
        <v>446</v>
      </c>
      <c r="H415" s="296" t="s">
        <v>447</v>
      </c>
      <c r="I415" s="296" t="s">
        <v>971</v>
      </c>
      <c r="J415" s="253" t="s">
        <v>446</v>
      </c>
      <c r="K415" s="252">
        <v>0</v>
      </c>
      <c r="R415" s="252">
        <f>SUM(R412:R413)</f>
        <v>120.3</v>
      </c>
      <c r="AG415" s="296" t="s">
        <v>2249</v>
      </c>
    </row>
    <row r="416" spans="1:33" hidden="1">
      <c r="A416" s="437">
        <f t="shared" si="20"/>
        <v>252</v>
      </c>
      <c r="B416" s="296" t="s">
        <v>1113</v>
      </c>
      <c r="C416" s="252">
        <v>14</v>
      </c>
      <c r="D416" s="296" t="s">
        <v>865</v>
      </c>
      <c r="K416" s="358" t="s">
        <v>1579</v>
      </c>
      <c r="O416" s="296" t="s">
        <v>438</v>
      </c>
      <c r="R416" s="358" t="s">
        <v>1579</v>
      </c>
      <c r="AG416" s="296" t="s">
        <v>2249</v>
      </c>
    </row>
    <row r="417" spans="1:33" hidden="1">
      <c r="A417" s="437">
        <f t="shared" si="20"/>
        <v>253</v>
      </c>
      <c r="B417" s="296" t="s">
        <v>1114</v>
      </c>
      <c r="C417" s="252">
        <v>30.11</v>
      </c>
      <c r="D417" s="296" t="s">
        <v>865</v>
      </c>
      <c r="H417" s="296" t="s">
        <v>611</v>
      </c>
      <c r="K417" s="252" t="e">
        <f>SUM(K409:K415)</f>
        <v>#REF!</v>
      </c>
      <c r="R417" s="252">
        <f>(R415/10)</f>
        <v>12.03</v>
      </c>
      <c r="AG417" s="296" t="s">
        <v>2249</v>
      </c>
    </row>
    <row r="418" spans="1:33" hidden="1">
      <c r="A418" s="437">
        <f t="shared" si="20"/>
        <v>254</v>
      </c>
      <c r="B418" s="296" t="s">
        <v>1116</v>
      </c>
      <c r="C418" s="252">
        <v>47.25</v>
      </c>
      <c r="D418" s="296" t="s">
        <v>865</v>
      </c>
      <c r="K418" s="358" t="s">
        <v>1579</v>
      </c>
      <c r="O418" s="296" t="s">
        <v>549</v>
      </c>
      <c r="R418" s="358" t="s">
        <v>2046</v>
      </c>
      <c r="AG418" s="296" t="s">
        <v>2249</v>
      </c>
    </row>
    <row r="419" spans="1:33" hidden="1">
      <c r="A419" s="437">
        <f t="shared" si="20"/>
        <v>255</v>
      </c>
      <c r="B419" s="296" t="s">
        <v>237</v>
      </c>
      <c r="C419" s="252">
        <v>71.16</v>
      </c>
      <c r="D419" s="296" t="s">
        <v>865</v>
      </c>
      <c r="H419" s="296" t="s">
        <v>770</v>
      </c>
      <c r="K419" s="252" t="e">
        <f>(K417/10)</f>
        <v>#REF!</v>
      </c>
      <c r="AG419" s="296" t="s">
        <v>2249</v>
      </c>
    </row>
    <row r="420" spans="1:33" hidden="1">
      <c r="A420" s="437">
        <f t="shared" si="20"/>
        <v>256</v>
      </c>
      <c r="B420" s="296" t="s">
        <v>1117</v>
      </c>
      <c r="C420" s="252">
        <v>125.84</v>
      </c>
      <c r="D420" s="296" t="s">
        <v>865</v>
      </c>
      <c r="K420" s="358" t="s">
        <v>2046</v>
      </c>
      <c r="AG420" s="296" t="s">
        <v>2249</v>
      </c>
    </row>
    <row r="421" spans="1:33" hidden="1">
      <c r="F421" s="296" t="s">
        <v>246</v>
      </c>
    </row>
    <row r="422" spans="1:33" hidden="1">
      <c r="A422" s="437">
        <f>(A420+1)</f>
        <v>257</v>
      </c>
      <c r="B422" s="296" t="s">
        <v>1530</v>
      </c>
      <c r="D422" s="296" t="s">
        <v>971</v>
      </c>
      <c r="O422" s="253" t="s">
        <v>1531</v>
      </c>
      <c r="AG422" s="296" t="s">
        <v>2249</v>
      </c>
    </row>
    <row r="423" spans="1:33" hidden="1">
      <c r="A423" s="437">
        <f t="shared" ref="A423:A436" si="21">(A422+1)</f>
        <v>258</v>
      </c>
      <c r="B423" s="296" t="s">
        <v>1111</v>
      </c>
      <c r="C423" s="252">
        <v>17</v>
      </c>
      <c r="D423" s="296" t="s">
        <v>865</v>
      </c>
      <c r="G423" s="252" t="s">
        <v>1532</v>
      </c>
      <c r="H423" s="296" t="s">
        <v>428</v>
      </c>
      <c r="O423" s="358" t="s">
        <v>1579</v>
      </c>
      <c r="AG423" s="296" t="s">
        <v>2249</v>
      </c>
    </row>
    <row r="424" spans="1:33" hidden="1">
      <c r="A424" s="437">
        <f t="shared" si="21"/>
        <v>259</v>
      </c>
      <c r="B424" s="296" t="s">
        <v>1112</v>
      </c>
      <c r="C424" s="252">
        <v>23.4</v>
      </c>
      <c r="D424" s="296" t="s">
        <v>865</v>
      </c>
      <c r="H424" s="358" t="s">
        <v>1579</v>
      </c>
      <c r="N424" s="296" t="s">
        <v>2241</v>
      </c>
      <c r="O424" s="296" t="s">
        <v>2038</v>
      </c>
      <c r="AG424" s="296" t="s">
        <v>2249</v>
      </c>
    </row>
    <row r="425" spans="1:33" hidden="1">
      <c r="A425" s="437">
        <f t="shared" si="21"/>
        <v>260</v>
      </c>
      <c r="B425" s="296" t="s">
        <v>1113</v>
      </c>
      <c r="C425" s="252">
        <v>33</v>
      </c>
      <c r="D425" s="296" t="s">
        <v>865</v>
      </c>
      <c r="F425" s="252">
        <v>0.7</v>
      </c>
      <c r="G425" s="252" t="s">
        <v>866</v>
      </c>
      <c r="H425" s="296" t="s">
        <v>2269</v>
      </c>
      <c r="I425" s="252" t="e">
        <f>(K419)</f>
        <v>#REF!</v>
      </c>
      <c r="J425" s="253" t="s">
        <v>865</v>
      </c>
      <c r="K425" s="252" t="e">
        <f>(F425*I425)</f>
        <v>#REF!</v>
      </c>
      <c r="O425" s="296" t="s">
        <v>2039</v>
      </c>
      <c r="AG425" s="296" t="s">
        <v>2249</v>
      </c>
    </row>
    <row r="426" spans="1:33" hidden="1">
      <c r="A426" s="437">
        <f t="shared" si="21"/>
        <v>261</v>
      </c>
      <c r="B426" s="296" t="s">
        <v>1114</v>
      </c>
      <c r="C426" s="252">
        <v>34.22</v>
      </c>
      <c r="D426" s="296" t="s">
        <v>865</v>
      </c>
      <c r="F426" s="252">
        <v>1</v>
      </c>
      <c r="G426" s="252" t="s">
        <v>766</v>
      </c>
      <c r="H426" s="296" t="s">
        <v>2000</v>
      </c>
      <c r="I426" s="252">
        <f>(C10)</f>
        <v>150</v>
      </c>
      <c r="J426" s="253" t="s">
        <v>865</v>
      </c>
      <c r="K426" s="252">
        <f>(F426*I426)</f>
        <v>150</v>
      </c>
      <c r="O426" s="296" t="s">
        <v>153</v>
      </c>
      <c r="AG426" s="296" t="s">
        <v>2249</v>
      </c>
    </row>
    <row r="427" spans="1:33" hidden="1">
      <c r="A427" s="437">
        <f t="shared" si="21"/>
        <v>262</v>
      </c>
      <c r="B427" s="296" t="s">
        <v>1116</v>
      </c>
      <c r="C427" s="252">
        <v>75.28</v>
      </c>
      <c r="D427" s="296" t="s">
        <v>865</v>
      </c>
      <c r="G427" s="252" t="s">
        <v>446</v>
      </c>
      <c r="H427" s="296" t="s">
        <v>447</v>
      </c>
      <c r="I427" s="296" t="s">
        <v>971</v>
      </c>
      <c r="J427" s="253" t="s">
        <v>446</v>
      </c>
      <c r="K427" s="252">
        <v>0</v>
      </c>
      <c r="O427" s="358" t="s">
        <v>1579</v>
      </c>
      <c r="AG427" s="296" t="s">
        <v>2249</v>
      </c>
    </row>
    <row r="428" spans="1:33" hidden="1">
      <c r="A428" s="437">
        <f t="shared" si="21"/>
        <v>263</v>
      </c>
      <c r="B428" s="296" t="s">
        <v>237</v>
      </c>
      <c r="C428" s="252">
        <v>92.66</v>
      </c>
      <c r="D428" s="296" t="s">
        <v>865</v>
      </c>
      <c r="K428" s="358" t="s">
        <v>1579</v>
      </c>
      <c r="N428" s="296" t="s">
        <v>154</v>
      </c>
      <c r="O428" s="253" t="s">
        <v>155</v>
      </c>
      <c r="AG428" s="296" t="s">
        <v>2249</v>
      </c>
    </row>
    <row r="429" spans="1:33" hidden="1">
      <c r="A429" s="437">
        <f t="shared" si="21"/>
        <v>264</v>
      </c>
      <c r="B429" s="296" t="s">
        <v>1117</v>
      </c>
      <c r="C429" s="252">
        <v>141.86000000000001</v>
      </c>
      <c r="D429" s="296" t="s">
        <v>865</v>
      </c>
      <c r="H429" s="296" t="s">
        <v>438</v>
      </c>
      <c r="K429" s="252" t="e">
        <f>SUM(K425:K427)</f>
        <v>#REF!</v>
      </c>
      <c r="O429" s="358" t="s">
        <v>1579</v>
      </c>
      <c r="AG429" s="296" t="s">
        <v>2249</v>
      </c>
    </row>
    <row r="430" spans="1:33" hidden="1">
      <c r="A430" s="437">
        <f t="shared" si="21"/>
        <v>265</v>
      </c>
      <c r="B430" s="296" t="s">
        <v>156</v>
      </c>
      <c r="D430" s="296" t="s">
        <v>971</v>
      </c>
      <c r="K430" s="358" t="s">
        <v>1579</v>
      </c>
      <c r="M430" s="252">
        <v>8.1</v>
      </c>
      <c r="N430" s="296" t="s">
        <v>866</v>
      </c>
      <c r="O430" s="296" t="s">
        <v>614</v>
      </c>
      <c r="P430" s="252">
        <f>(C61)*2</f>
        <v>50</v>
      </c>
      <c r="Q430" s="296" t="s">
        <v>866</v>
      </c>
      <c r="R430" s="252">
        <f>(M430*P430)</f>
        <v>405</v>
      </c>
      <c r="AG430" s="296" t="s">
        <v>2249</v>
      </c>
    </row>
    <row r="431" spans="1:33" hidden="1">
      <c r="A431" s="437">
        <f t="shared" si="21"/>
        <v>266</v>
      </c>
      <c r="B431" s="296" t="s">
        <v>1111</v>
      </c>
      <c r="C431" s="252">
        <v>1.8</v>
      </c>
      <c r="D431" s="296" t="s">
        <v>865</v>
      </c>
      <c r="H431" s="296" t="s">
        <v>549</v>
      </c>
      <c r="K431" s="252" t="e">
        <f>(K429/10)</f>
        <v>#REF!</v>
      </c>
      <c r="M431" s="252">
        <v>8.1</v>
      </c>
      <c r="N431" s="296" t="s">
        <v>866</v>
      </c>
      <c r="O431" s="296" t="s">
        <v>2148</v>
      </c>
      <c r="P431" s="252">
        <f>(C26)</f>
        <v>8.8000000000000007</v>
      </c>
      <c r="Q431" s="296" t="s">
        <v>866</v>
      </c>
      <c r="R431" s="252">
        <f>(M431*P431)</f>
        <v>71.28</v>
      </c>
      <c r="AG431" s="296" t="s">
        <v>2249</v>
      </c>
    </row>
    <row r="432" spans="1:33" hidden="1">
      <c r="A432" s="437">
        <f t="shared" si="21"/>
        <v>267</v>
      </c>
      <c r="B432" s="296" t="s">
        <v>1112</v>
      </c>
      <c r="C432" s="252">
        <v>2.9</v>
      </c>
      <c r="D432" s="296" t="s">
        <v>865</v>
      </c>
      <c r="K432" s="358" t="s">
        <v>2046</v>
      </c>
      <c r="M432" s="252">
        <v>30</v>
      </c>
      <c r="N432" s="296" t="s">
        <v>1763</v>
      </c>
      <c r="O432" s="296" t="s">
        <v>2149</v>
      </c>
      <c r="P432" s="252">
        <f>(C42)</f>
        <v>1.75</v>
      </c>
      <c r="Q432" s="296" t="s">
        <v>1763</v>
      </c>
      <c r="R432" s="252">
        <f>(M432*P432)</f>
        <v>52.5</v>
      </c>
      <c r="AG432" s="296" t="s">
        <v>2249</v>
      </c>
    </row>
    <row r="433" spans="1:33" hidden="1">
      <c r="A433" s="437">
        <f t="shared" si="21"/>
        <v>268</v>
      </c>
      <c r="B433" s="296" t="s">
        <v>1113</v>
      </c>
      <c r="C433" s="252">
        <v>4</v>
      </c>
      <c r="D433" s="296" t="s">
        <v>865</v>
      </c>
      <c r="H433" s="296" t="s">
        <v>383</v>
      </c>
      <c r="K433" s="252" t="e">
        <f>(K431+C19/10*F425)</f>
        <v>#REF!</v>
      </c>
      <c r="O433" s="296" t="s">
        <v>2150</v>
      </c>
      <c r="AG433" s="296" t="s">
        <v>2249</v>
      </c>
    </row>
    <row r="434" spans="1:33" hidden="1">
      <c r="A434" s="437">
        <f t="shared" si="21"/>
        <v>269</v>
      </c>
      <c r="B434" s="296" t="s">
        <v>1114</v>
      </c>
      <c r="C434" s="252">
        <v>6.86</v>
      </c>
      <c r="D434" s="296" t="s">
        <v>865</v>
      </c>
      <c r="H434" s="296" t="s">
        <v>385</v>
      </c>
      <c r="K434" s="252" t="e">
        <f>(K433+C20/10*F425)</f>
        <v>#REF!</v>
      </c>
      <c r="O434" s="296" t="s">
        <v>2151</v>
      </c>
      <c r="AG434" s="296" t="s">
        <v>2249</v>
      </c>
    </row>
    <row r="435" spans="1:33" hidden="1">
      <c r="A435" s="437">
        <f t="shared" si="21"/>
        <v>270</v>
      </c>
      <c r="B435" s="296" t="s">
        <v>1116</v>
      </c>
      <c r="C435" s="252">
        <v>9.15</v>
      </c>
      <c r="D435" s="296" t="s">
        <v>865</v>
      </c>
      <c r="H435" s="296" t="s">
        <v>2222</v>
      </c>
      <c r="K435" s="252" t="e">
        <f>(K434+C21/10*F425)</f>
        <v>#REF!</v>
      </c>
      <c r="O435" s="296" t="s">
        <v>2152</v>
      </c>
      <c r="AG435" s="296" t="s">
        <v>2249</v>
      </c>
    </row>
    <row r="436" spans="1:33" hidden="1">
      <c r="A436" s="437">
        <f t="shared" si="21"/>
        <v>271</v>
      </c>
      <c r="B436" s="296" t="s">
        <v>237</v>
      </c>
      <c r="C436" s="252">
        <v>14.59</v>
      </c>
      <c r="D436" s="296" t="s">
        <v>865</v>
      </c>
      <c r="H436" s="296" t="s">
        <v>377</v>
      </c>
      <c r="K436" s="252" t="e">
        <f>(K435+C21/10*F425)</f>
        <v>#REF!</v>
      </c>
      <c r="O436" s="296" t="s">
        <v>2155</v>
      </c>
      <c r="AG436" s="296" t="s">
        <v>2249</v>
      </c>
    </row>
    <row r="437" spans="1:33" hidden="1">
      <c r="A437" s="437"/>
      <c r="B437" s="296"/>
      <c r="D437" s="296"/>
      <c r="H437" s="296" t="s">
        <v>830</v>
      </c>
      <c r="K437" s="252" t="e">
        <f>(K436+C22/10*F426)</f>
        <v>#REF!</v>
      </c>
      <c r="O437" s="296"/>
      <c r="AG437" s="296"/>
    </row>
    <row r="438" spans="1:33" hidden="1">
      <c r="A438" s="437">
        <f>(A436+1)</f>
        <v>272</v>
      </c>
      <c r="B438" s="296" t="s">
        <v>1117</v>
      </c>
      <c r="C438" s="252">
        <v>21.74</v>
      </c>
      <c r="D438" s="296" t="s">
        <v>865</v>
      </c>
      <c r="H438" s="253" t="s">
        <v>2134</v>
      </c>
      <c r="M438" s="252">
        <v>8</v>
      </c>
      <c r="N438" s="296" t="s">
        <v>766</v>
      </c>
      <c r="O438" s="296" t="s">
        <v>2135</v>
      </c>
      <c r="P438" s="252">
        <f>(C43)</f>
        <v>2.2000000000000002</v>
      </c>
      <c r="Q438" s="296" t="s">
        <v>766</v>
      </c>
      <c r="R438" s="252">
        <f>(M438*P438)</f>
        <v>17.600000000000001</v>
      </c>
      <c r="AG438" s="296" t="s">
        <v>2249</v>
      </c>
    </row>
    <row r="439" spans="1:33" hidden="1">
      <c r="A439" s="437">
        <f t="shared" ref="A439:A470" si="22">(A438+1)</f>
        <v>273</v>
      </c>
      <c r="B439" s="296" t="s">
        <v>2136</v>
      </c>
      <c r="D439" s="296" t="s">
        <v>971</v>
      </c>
      <c r="H439" s="253" t="s">
        <v>2110</v>
      </c>
      <c r="M439" s="252">
        <v>8</v>
      </c>
      <c r="N439" s="296" t="s">
        <v>766</v>
      </c>
      <c r="O439" s="296" t="s">
        <v>464</v>
      </c>
      <c r="P439" s="252">
        <f>(C50)</f>
        <v>3.2</v>
      </c>
      <c r="Q439" s="296" t="s">
        <v>766</v>
      </c>
      <c r="R439" s="252">
        <f>(M439*P439)</f>
        <v>25.6</v>
      </c>
      <c r="AG439" s="296" t="s">
        <v>2249</v>
      </c>
    </row>
    <row r="440" spans="1:33" hidden="1">
      <c r="A440" s="437">
        <f t="shared" si="22"/>
        <v>274</v>
      </c>
      <c r="B440" s="296" t="s">
        <v>1111</v>
      </c>
      <c r="C440" s="252">
        <v>8.85</v>
      </c>
      <c r="D440" s="296" t="s">
        <v>865</v>
      </c>
      <c r="F440" s="369">
        <v>12</v>
      </c>
      <c r="G440" s="252" t="s">
        <v>2241</v>
      </c>
      <c r="H440" s="296" t="s">
        <v>465</v>
      </c>
      <c r="M440" s="252">
        <v>1</v>
      </c>
      <c r="N440" s="296" t="s">
        <v>446</v>
      </c>
      <c r="O440" s="296" t="s">
        <v>1676</v>
      </c>
      <c r="P440" s="252">
        <f>(C56)</f>
        <v>12.1</v>
      </c>
      <c r="Q440" s="296" t="s">
        <v>446</v>
      </c>
      <c r="R440" s="252">
        <f>(M440*P440)</f>
        <v>12.1</v>
      </c>
      <c r="AG440" s="296" t="s">
        <v>2249</v>
      </c>
    </row>
    <row r="441" spans="1:33" hidden="1">
      <c r="A441" s="437">
        <f t="shared" si="22"/>
        <v>275</v>
      </c>
      <c r="B441" s="296" t="s">
        <v>1112</v>
      </c>
      <c r="C441" s="252">
        <v>14</v>
      </c>
      <c r="D441" s="296" t="s">
        <v>865</v>
      </c>
      <c r="H441" s="296" t="s">
        <v>1108</v>
      </c>
      <c r="M441" s="252">
        <v>1</v>
      </c>
      <c r="N441" s="296" t="s">
        <v>446</v>
      </c>
      <c r="O441" s="296" t="s">
        <v>447</v>
      </c>
      <c r="Q441" s="296" t="s">
        <v>446</v>
      </c>
      <c r="R441" s="252">
        <v>0</v>
      </c>
      <c r="AG441" s="296" t="s">
        <v>2249</v>
      </c>
    </row>
    <row r="442" spans="1:33" hidden="1">
      <c r="A442" s="437">
        <f t="shared" si="22"/>
        <v>276</v>
      </c>
      <c r="B442" s="296" t="s">
        <v>1113</v>
      </c>
      <c r="C442" s="252">
        <v>20.7</v>
      </c>
      <c r="D442" s="296" t="s">
        <v>865</v>
      </c>
      <c r="H442" s="358" t="s">
        <v>1579</v>
      </c>
      <c r="R442" s="358" t="s">
        <v>1579</v>
      </c>
      <c r="AG442" s="296" t="s">
        <v>2249</v>
      </c>
    </row>
    <row r="443" spans="1:33" hidden="1">
      <c r="A443" s="437">
        <f t="shared" si="22"/>
        <v>277</v>
      </c>
      <c r="B443" s="296" t="s">
        <v>1114</v>
      </c>
      <c r="C443" s="252">
        <v>41.82</v>
      </c>
      <c r="D443" s="296" t="s">
        <v>865</v>
      </c>
      <c r="F443" s="252">
        <v>6570</v>
      </c>
      <c r="G443" s="252" t="s">
        <v>1420</v>
      </c>
      <c r="H443" s="296" t="s">
        <v>1559</v>
      </c>
      <c r="I443" s="252" t="e">
        <f>(C77)</f>
        <v>#REF!</v>
      </c>
      <c r="J443" s="253" t="s">
        <v>1587</v>
      </c>
      <c r="K443" s="252" t="e">
        <f>(F443*I443)/1000</f>
        <v>#REF!</v>
      </c>
      <c r="O443" s="296" t="s">
        <v>1537</v>
      </c>
      <c r="R443" s="252">
        <f>SUM(R430:R441)</f>
        <v>584.08000000000004</v>
      </c>
      <c r="AG443" s="296" t="s">
        <v>318</v>
      </c>
    </row>
    <row r="444" spans="1:33" hidden="1">
      <c r="A444" s="437">
        <f t="shared" si="22"/>
        <v>278</v>
      </c>
      <c r="B444" s="296" t="s">
        <v>1116</v>
      </c>
      <c r="C444" s="252">
        <v>61.78</v>
      </c>
      <c r="D444" s="296" t="s">
        <v>865</v>
      </c>
      <c r="F444" s="252">
        <v>1.91</v>
      </c>
      <c r="G444" s="252" t="s">
        <v>866</v>
      </c>
      <c r="H444" s="296" t="s">
        <v>1302</v>
      </c>
      <c r="I444" s="252" t="e">
        <f>(K40)</f>
        <v>#REF!</v>
      </c>
      <c r="J444" s="253" t="s">
        <v>866</v>
      </c>
      <c r="K444" s="252" t="e">
        <f>(F444*I444)</f>
        <v>#REF!</v>
      </c>
      <c r="R444" s="358" t="s">
        <v>1579</v>
      </c>
    </row>
    <row r="445" spans="1:33" hidden="1">
      <c r="A445" s="437">
        <f t="shared" si="22"/>
        <v>279</v>
      </c>
      <c r="B445" s="296" t="s">
        <v>237</v>
      </c>
      <c r="C445" s="252">
        <v>97.93</v>
      </c>
      <c r="D445" s="296" t="s">
        <v>865</v>
      </c>
      <c r="F445" s="252">
        <v>7</v>
      </c>
      <c r="G445" s="252" t="s">
        <v>865</v>
      </c>
      <c r="H445" s="296" t="s">
        <v>2000</v>
      </c>
      <c r="I445" s="252">
        <f>(C10)</f>
        <v>150</v>
      </c>
      <c r="J445" s="253" t="s">
        <v>865</v>
      </c>
      <c r="K445" s="252">
        <f>(F445*I445)</f>
        <v>1050</v>
      </c>
      <c r="O445" s="296" t="s">
        <v>1538</v>
      </c>
      <c r="R445" s="252">
        <f>(R443/30)</f>
        <v>19.47</v>
      </c>
    </row>
    <row r="446" spans="1:33" hidden="1">
      <c r="A446" s="437">
        <f t="shared" si="22"/>
        <v>280</v>
      </c>
      <c r="B446" s="296" t="s">
        <v>1117</v>
      </c>
      <c r="C446" s="252">
        <v>156.5</v>
      </c>
      <c r="D446" s="296" t="s">
        <v>865</v>
      </c>
      <c r="F446" s="252">
        <v>3.6</v>
      </c>
      <c r="G446" s="252" t="s">
        <v>865</v>
      </c>
      <c r="H446" s="296" t="s">
        <v>1704</v>
      </c>
      <c r="I446" s="252">
        <f>(C11)</f>
        <v>135</v>
      </c>
      <c r="J446" s="253" t="s">
        <v>865</v>
      </c>
      <c r="K446" s="252">
        <f>(F446*I446)</f>
        <v>486</v>
      </c>
      <c r="R446" s="358" t="s">
        <v>1579</v>
      </c>
      <c r="AG446" s="296" t="s">
        <v>2249</v>
      </c>
    </row>
    <row r="447" spans="1:33" hidden="1">
      <c r="A447" s="437">
        <f t="shared" si="22"/>
        <v>281</v>
      </c>
      <c r="B447" s="296" t="s">
        <v>1547</v>
      </c>
      <c r="D447" s="296" t="s">
        <v>971</v>
      </c>
      <c r="F447" s="252">
        <v>7.1</v>
      </c>
      <c r="G447" s="252" t="s">
        <v>865</v>
      </c>
      <c r="H447" s="296" t="s">
        <v>1893</v>
      </c>
      <c r="I447" s="252">
        <f>(C12)</f>
        <v>95</v>
      </c>
      <c r="J447" s="253" t="s">
        <v>865</v>
      </c>
      <c r="K447" s="252">
        <f>(F447*I447)</f>
        <v>674.5</v>
      </c>
      <c r="N447" s="296" t="s">
        <v>1548</v>
      </c>
      <c r="O447" s="253" t="s">
        <v>1010</v>
      </c>
      <c r="AG447" s="296" t="s">
        <v>2249</v>
      </c>
    </row>
    <row r="448" spans="1:33" hidden="1">
      <c r="A448" s="437">
        <f t="shared" si="22"/>
        <v>282</v>
      </c>
      <c r="B448" s="296" t="s">
        <v>1111</v>
      </c>
      <c r="C448" s="252">
        <v>3.2</v>
      </c>
      <c r="D448" s="296" t="s">
        <v>865</v>
      </c>
      <c r="F448" s="252">
        <v>14.1</v>
      </c>
      <c r="G448" s="252" t="s">
        <v>865</v>
      </c>
      <c r="H448" s="296" t="s">
        <v>317</v>
      </c>
      <c r="I448" s="252">
        <f>(C13)</f>
        <v>85</v>
      </c>
      <c r="J448" s="253" t="s">
        <v>865</v>
      </c>
      <c r="K448" s="252">
        <f>(F448*I448)</f>
        <v>1198.5</v>
      </c>
      <c r="O448" s="358" t="s">
        <v>1579</v>
      </c>
      <c r="AG448" s="296" t="s">
        <v>2249</v>
      </c>
    </row>
    <row r="449" spans="1:33" hidden="1">
      <c r="A449" s="437">
        <f t="shared" si="22"/>
        <v>283</v>
      </c>
      <c r="B449" s="296" t="s">
        <v>1112</v>
      </c>
      <c r="C449" s="252">
        <v>4.7</v>
      </c>
      <c r="D449" s="296" t="s">
        <v>865</v>
      </c>
      <c r="G449" s="252" t="s">
        <v>446</v>
      </c>
      <c r="H449" s="296" t="s">
        <v>447</v>
      </c>
      <c r="I449" s="296" t="s">
        <v>971</v>
      </c>
      <c r="J449" s="253" t="s">
        <v>446</v>
      </c>
      <c r="K449" s="252">
        <v>0</v>
      </c>
      <c r="M449" s="252">
        <v>8.1</v>
      </c>
      <c r="N449" s="296" t="s">
        <v>866</v>
      </c>
      <c r="O449" s="296" t="s">
        <v>614</v>
      </c>
      <c r="P449" s="252">
        <f>(C61)*2</f>
        <v>50</v>
      </c>
      <c r="Q449" s="296" t="s">
        <v>866</v>
      </c>
      <c r="R449" s="252">
        <f>(M449*P449)</f>
        <v>405</v>
      </c>
      <c r="AG449" s="296" t="s">
        <v>2249</v>
      </c>
    </row>
    <row r="450" spans="1:33" hidden="1">
      <c r="A450" s="437">
        <f t="shared" si="22"/>
        <v>284</v>
      </c>
      <c r="B450" s="296" t="s">
        <v>1113</v>
      </c>
      <c r="C450" s="252">
        <v>7.65</v>
      </c>
      <c r="D450" s="296" t="s">
        <v>865</v>
      </c>
      <c r="K450" s="358" t="s">
        <v>1579</v>
      </c>
      <c r="M450" s="252">
        <v>8.1</v>
      </c>
      <c r="N450" s="296" t="s">
        <v>866</v>
      </c>
      <c r="O450" s="296" t="s">
        <v>2148</v>
      </c>
      <c r="P450" s="252">
        <f>(C26)</f>
        <v>8.8000000000000007</v>
      </c>
      <c r="Q450" s="296" t="s">
        <v>866</v>
      </c>
      <c r="R450" s="252">
        <f>(M450*P450)</f>
        <v>71.28</v>
      </c>
      <c r="AG450" s="296" t="s">
        <v>2249</v>
      </c>
    </row>
    <row r="451" spans="1:33" hidden="1">
      <c r="A451" s="437">
        <f t="shared" si="22"/>
        <v>285</v>
      </c>
      <c r="B451" s="296" t="s">
        <v>1114</v>
      </c>
      <c r="C451" s="252">
        <v>30.93</v>
      </c>
      <c r="D451" s="296" t="s">
        <v>865</v>
      </c>
      <c r="H451" s="296" t="s">
        <v>611</v>
      </c>
      <c r="K451" s="252" t="e">
        <f>SUM(K443:K449)</f>
        <v>#REF!</v>
      </c>
      <c r="M451" s="252">
        <v>30</v>
      </c>
      <c r="N451" s="296" t="s">
        <v>1763</v>
      </c>
      <c r="O451" s="296" t="s">
        <v>2149</v>
      </c>
      <c r="P451" s="252">
        <f>(C42)</f>
        <v>1.75</v>
      </c>
      <c r="Q451" s="296" t="s">
        <v>1763</v>
      </c>
      <c r="R451" s="252">
        <f>(M451*P451)</f>
        <v>52.5</v>
      </c>
      <c r="AG451" s="296" t="s">
        <v>2249</v>
      </c>
    </row>
    <row r="452" spans="1:33" hidden="1">
      <c r="A452" s="437">
        <f t="shared" si="22"/>
        <v>286</v>
      </c>
      <c r="B452" s="296" t="s">
        <v>1116</v>
      </c>
      <c r="C452" s="252">
        <v>39.630000000000003</v>
      </c>
      <c r="D452" s="296" t="s">
        <v>865</v>
      </c>
      <c r="K452" s="358" t="s">
        <v>1579</v>
      </c>
      <c r="O452" s="296" t="s">
        <v>2150</v>
      </c>
      <c r="AG452" s="296" t="s">
        <v>2249</v>
      </c>
    </row>
    <row r="453" spans="1:33" hidden="1">
      <c r="A453" s="437">
        <f t="shared" si="22"/>
        <v>287</v>
      </c>
      <c r="B453" s="296" t="s">
        <v>237</v>
      </c>
      <c r="C453" s="252">
        <v>70.47</v>
      </c>
      <c r="D453" s="296" t="s">
        <v>865</v>
      </c>
      <c r="H453" s="296" t="s">
        <v>770</v>
      </c>
      <c r="K453" s="252" t="e">
        <f>(K451/10)</f>
        <v>#REF!</v>
      </c>
      <c r="O453" s="296" t="s">
        <v>2151</v>
      </c>
      <c r="AG453" s="296" t="s">
        <v>2249</v>
      </c>
    </row>
    <row r="454" spans="1:33" hidden="1">
      <c r="A454" s="437">
        <f t="shared" si="22"/>
        <v>288</v>
      </c>
      <c r="B454" s="296" t="s">
        <v>1117</v>
      </c>
      <c r="C454" s="252">
        <v>70.47</v>
      </c>
      <c r="D454" s="296" t="s">
        <v>865</v>
      </c>
      <c r="K454" s="358" t="s">
        <v>2046</v>
      </c>
      <c r="O454" s="296" t="s">
        <v>2152</v>
      </c>
      <c r="AG454" s="296" t="s">
        <v>2249</v>
      </c>
    </row>
    <row r="455" spans="1:33" hidden="1">
      <c r="A455" s="437">
        <f t="shared" si="22"/>
        <v>289</v>
      </c>
      <c r="B455" s="296" t="s">
        <v>2278</v>
      </c>
      <c r="D455" s="296" t="s">
        <v>971</v>
      </c>
      <c r="O455" s="296" t="s">
        <v>2155</v>
      </c>
      <c r="AG455" s="296" t="s">
        <v>2249</v>
      </c>
    </row>
    <row r="456" spans="1:33" hidden="1">
      <c r="A456" s="437">
        <f t="shared" si="22"/>
        <v>290</v>
      </c>
      <c r="B456" s="296" t="s">
        <v>1111</v>
      </c>
      <c r="C456" s="252">
        <v>158.91999999999999</v>
      </c>
      <c r="D456" s="296" t="s">
        <v>865</v>
      </c>
      <c r="G456" s="252" t="s">
        <v>2241</v>
      </c>
      <c r="H456" s="296" t="s">
        <v>151</v>
      </c>
      <c r="M456" s="252">
        <v>8</v>
      </c>
      <c r="N456" s="296" t="s">
        <v>766</v>
      </c>
      <c r="O456" s="296" t="s">
        <v>2135</v>
      </c>
      <c r="P456" s="252">
        <f>(C44)</f>
        <v>2.2000000000000002</v>
      </c>
      <c r="Q456" s="296" t="s">
        <v>766</v>
      </c>
      <c r="R456" s="252">
        <f>(M456*P456)</f>
        <v>17.600000000000001</v>
      </c>
      <c r="AG456" s="296" t="s">
        <v>2249</v>
      </c>
    </row>
    <row r="457" spans="1:33" hidden="1">
      <c r="A457" s="437">
        <f t="shared" si="22"/>
        <v>291</v>
      </c>
      <c r="B457" s="296" t="s">
        <v>1112</v>
      </c>
      <c r="C457" s="252">
        <v>263.04000000000002</v>
      </c>
      <c r="D457" s="296" t="s">
        <v>865</v>
      </c>
      <c r="H457" s="358" t="s">
        <v>1579</v>
      </c>
      <c r="M457" s="252">
        <v>8</v>
      </c>
      <c r="N457" s="296" t="s">
        <v>766</v>
      </c>
      <c r="O457" s="296" t="s">
        <v>464</v>
      </c>
      <c r="P457" s="252">
        <f>(C51)</f>
        <v>3.2</v>
      </c>
      <c r="Q457" s="296" t="s">
        <v>766</v>
      </c>
      <c r="R457" s="252">
        <f>(M457*P457)</f>
        <v>25.6</v>
      </c>
      <c r="AG457" s="296" t="s">
        <v>2249</v>
      </c>
    </row>
    <row r="458" spans="1:33" hidden="1">
      <c r="A458" s="437">
        <f t="shared" si="22"/>
        <v>292</v>
      </c>
      <c r="B458" s="296" t="s">
        <v>1113</v>
      </c>
      <c r="D458" s="296" t="s">
        <v>971</v>
      </c>
      <c r="F458" s="252">
        <v>0.5</v>
      </c>
      <c r="G458" s="252" t="s">
        <v>866</v>
      </c>
      <c r="H458" s="296" t="s">
        <v>2269</v>
      </c>
      <c r="I458" s="252" t="e">
        <f>(K453)</f>
        <v>#REF!</v>
      </c>
      <c r="J458" s="253" t="s">
        <v>865</v>
      </c>
      <c r="K458" s="252" t="e">
        <f>(F458*I458)</f>
        <v>#REF!</v>
      </c>
      <c r="M458" s="252">
        <v>1</v>
      </c>
      <c r="N458" s="296" t="s">
        <v>446</v>
      </c>
      <c r="O458" s="296" t="s">
        <v>1676</v>
      </c>
      <c r="P458" s="252">
        <f>(C56)</f>
        <v>12.1</v>
      </c>
      <c r="Q458" s="296" t="s">
        <v>446</v>
      </c>
      <c r="R458" s="252">
        <f>(M458*P458)</f>
        <v>12.1</v>
      </c>
      <c r="AG458" s="296" t="s">
        <v>2249</v>
      </c>
    </row>
    <row r="459" spans="1:33" hidden="1">
      <c r="A459" s="437">
        <f t="shared" si="22"/>
        <v>293</v>
      </c>
      <c r="B459" s="296" t="s">
        <v>1169</v>
      </c>
      <c r="C459" s="252">
        <v>1.2</v>
      </c>
      <c r="D459" s="296" t="s">
        <v>865</v>
      </c>
      <c r="F459" s="252">
        <v>1</v>
      </c>
      <c r="G459" s="252" t="s">
        <v>766</v>
      </c>
      <c r="H459" s="296" t="s">
        <v>2000</v>
      </c>
      <c r="I459" s="252">
        <f>(C10)</f>
        <v>150</v>
      </c>
      <c r="J459" s="253" t="s">
        <v>865</v>
      </c>
      <c r="K459" s="252">
        <f>(F459*I459)</f>
        <v>150</v>
      </c>
      <c r="M459" s="252">
        <v>1</v>
      </c>
      <c r="N459" s="296" t="s">
        <v>446</v>
      </c>
      <c r="O459" s="296" t="s">
        <v>447</v>
      </c>
      <c r="Q459" s="296" t="s">
        <v>446</v>
      </c>
      <c r="R459" s="252">
        <v>0</v>
      </c>
      <c r="AG459" s="296" t="s">
        <v>2249</v>
      </c>
    </row>
    <row r="460" spans="1:33" hidden="1">
      <c r="A460" s="437">
        <f t="shared" si="22"/>
        <v>294</v>
      </c>
      <c r="B460" s="296" t="s">
        <v>1076</v>
      </c>
      <c r="C460" s="252">
        <v>0.85</v>
      </c>
      <c r="D460" s="296" t="s">
        <v>865</v>
      </c>
      <c r="G460" s="252" t="s">
        <v>446</v>
      </c>
      <c r="H460" s="296" t="s">
        <v>447</v>
      </c>
      <c r="I460" s="296" t="s">
        <v>971</v>
      </c>
      <c r="J460" s="253" t="s">
        <v>446</v>
      </c>
      <c r="K460" s="252">
        <v>0</v>
      </c>
      <c r="R460" s="358" t="s">
        <v>1579</v>
      </c>
      <c r="AG460" s="296" t="s">
        <v>2249</v>
      </c>
    </row>
    <row r="461" spans="1:33" hidden="1">
      <c r="A461" s="437">
        <f t="shared" si="22"/>
        <v>295</v>
      </c>
      <c r="B461" s="296" t="s">
        <v>1077</v>
      </c>
      <c r="C461" s="252">
        <v>350</v>
      </c>
      <c r="D461" s="252">
        <v>375</v>
      </c>
      <c r="K461" s="358" t="s">
        <v>1579</v>
      </c>
      <c r="O461" s="296" t="s">
        <v>1537</v>
      </c>
      <c r="R461" s="252">
        <f>SUM(R449:R459)</f>
        <v>584.08000000000004</v>
      </c>
      <c r="AG461" s="296" t="s">
        <v>2249</v>
      </c>
    </row>
    <row r="462" spans="1:33" hidden="1">
      <c r="A462" s="437">
        <f t="shared" si="22"/>
        <v>296</v>
      </c>
      <c r="B462" s="296" t="s">
        <v>2087</v>
      </c>
      <c r="C462" s="252">
        <v>400</v>
      </c>
      <c r="D462" s="252">
        <v>425</v>
      </c>
      <c r="H462" s="296" t="s">
        <v>438</v>
      </c>
      <c r="K462" s="252" t="e">
        <f>SUM(K458:K460)</f>
        <v>#REF!</v>
      </c>
      <c r="R462" s="358" t="s">
        <v>1579</v>
      </c>
      <c r="AG462" s="296" t="s">
        <v>2249</v>
      </c>
    </row>
    <row r="463" spans="1:33" hidden="1">
      <c r="A463" s="437">
        <f t="shared" si="22"/>
        <v>297</v>
      </c>
      <c r="B463" s="296" t="s">
        <v>1054</v>
      </c>
      <c r="C463" s="252">
        <v>450</v>
      </c>
      <c r="D463" s="252">
        <v>500</v>
      </c>
      <c r="K463" s="358" t="s">
        <v>1579</v>
      </c>
      <c r="O463" s="296" t="s">
        <v>1538</v>
      </c>
      <c r="R463" s="252">
        <f>(R461/30)</f>
        <v>19.47</v>
      </c>
      <c r="AG463" s="296" t="s">
        <v>2249</v>
      </c>
    </row>
    <row r="464" spans="1:33" hidden="1">
      <c r="A464" s="437">
        <f t="shared" si="22"/>
        <v>298</v>
      </c>
      <c r="B464" s="296" t="s">
        <v>1944</v>
      </c>
      <c r="C464" s="252">
        <v>77.819999999999993</v>
      </c>
      <c r="D464" s="296" t="s">
        <v>865</v>
      </c>
      <c r="H464" s="296" t="s">
        <v>549</v>
      </c>
      <c r="K464" s="252" t="e">
        <f>(K462/10)</f>
        <v>#REF!</v>
      </c>
      <c r="R464" s="358" t="s">
        <v>1579</v>
      </c>
      <c r="AG464" s="296" t="s">
        <v>2249</v>
      </c>
    </row>
    <row r="465" spans="1:33" hidden="1">
      <c r="A465" s="437">
        <f t="shared" si="22"/>
        <v>299</v>
      </c>
      <c r="B465" s="296" t="s">
        <v>1945</v>
      </c>
      <c r="C465" s="252">
        <v>99.74</v>
      </c>
      <c r="D465" s="296" t="s">
        <v>865</v>
      </c>
      <c r="K465" s="358" t="s">
        <v>2046</v>
      </c>
      <c r="N465" s="296" t="s">
        <v>1946</v>
      </c>
      <c r="O465" s="253" t="s">
        <v>1947</v>
      </c>
      <c r="AG465" s="296" t="s">
        <v>2249</v>
      </c>
    </row>
    <row r="466" spans="1:33" hidden="1">
      <c r="A466" s="437">
        <f t="shared" si="22"/>
        <v>300</v>
      </c>
      <c r="B466" s="296" t="s">
        <v>1113</v>
      </c>
      <c r="C466" s="252">
        <v>165</v>
      </c>
      <c r="D466" s="296" t="s">
        <v>865</v>
      </c>
      <c r="H466" s="296" t="s">
        <v>383</v>
      </c>
      <c r="K466" s="252" t="e">
        <f>(K464+C19/10*F458)</f>
        <v>#REF!</v>
      </c>
      <c r="O466" s="358" t="s">
        <v>1579</v>
      </c>
      <c r="AG466" s="296" t="s">
        <v>2249</v>
      </c>
    </row>
    <row r="467" spans="1:33" hidden="1">
      <c r="A467" s="437">
        <f t="shared" si="22"/>
        <v>301</v>
      </c>
      <c r="B467" s="296" t="s">
        <v>1114</v>
      </c>
      <c r="C467" s="252">
        <v>258</v>
      </c>
      <c r="D467" s="296" t="s">
        <v>865</v>
      </c>
      <c r="H467" s="296" t="s">
        <v>385</v>
      </c>
      <c r="K467" s="252" t="e">
        <f>(K466+C20/10*F458)</f>
        <v>#REF!</v>
      </c>
      <c r="M467" s="252">
        <v>8.1</v>
      </c>
      <c r="N467" s="296" t="s">
        <v>866</v>
      </c>
      <c r="O467" s="296" t="s">
        <v>614</v>
      </c>
      <c r="P467" s="252">
        <f>(C61)*2</f>
        <v>50</v>
      </c>
      <c r="Q467" s="296" t="s">
        <v>866</v>
      </c>
      <c r="R467" s="252">
        <f>(M467*P467)</f>
        <v>405</v>
      </c>
      <c r="AG467" s="296" t="s">
        <v>2249</v>
      </c>
    </row>
    <row r="468" spans="1:33" hidden="1">
      <c r="A468" s="437">
        <f t="shared" si="22"/>
        <v>302</v>
      </c>
      <c r="B468" s="296" t="s">
        <v>1116</v>
      </c>
      <c r="C468" s="252">
        <v>298</v>
      </c>
      <c r="D468" s="296" t="s">
        <v>865</v>
      </c>
      <c r="H468" s="296" t="s">
        <v>2222</v>
      </c>
      <c r="K468" s="252" t="e">
        <f>(K467+C21/10*F458)</f>
        <v>#REF!</v>
      </c>
      <c r="M468" s="252">
        <v>8.1</v>
      </c>
      <c r="N468" s="296" t="s">
        <v>866</v>
      </c>
      <c r="O468" s="296" t="s">
        <v>2148</v>
      </c>
      <c r="P468" s="252">
        <f>(C26)</f>
        <v>8.8000000000000007</v>
      </c>
      <c r="Q468" s="296" t="s">
        <v>866</v>
      </c>
      <c r="R468" s="252">
        <f>(M468*P468)</f>
        <v>71.28</v>
      </c>
      <c r="AG468" s="296" t="s">
        <v>2249</v>
      </c>
    </row>
    <row r="469" spans="1:33" hidden="1">
      <c r="A469" s="437">
        <f t="shared" si="22"/>
        <v>303</v>
      </c>
      <c r="B469" s="296" t="s">
        <v>237</v>
      </c>
      <c r="C469" s="252">
        <v>398</v>
      </c>
      <c r="D469" s="296" t="s">
        <v>865</v>
      </c>
      <c r="H469" s="296" t="s">
        <v>377</v>
      </c>
      <c r="K469" s="252" t="e">
        <f>(K468+C21/10*F458)</f>
        <v>#REF!</v>
      </c>
      <c r="M469" s="252">
        <v>30</v>
      </c>
      <c r="N469" s="296" t="s">
        <v>1763</v>
      </c>
      <c r="O469" s="296" t="s">
        <v>2149</v>
      </c>
      <c r="P469" s="252">
        <f>(C42)</f>
        <v>1.75</v>
      </c>
      <c r="Q469" s="296" t="s">
        <v>1763</v>
      </c>
      <c r="R469" s="252">
        <f>(M469*P469)</f>
        <v>52.5</v>
      </c>
      <c r="AG469" s="296" t="s">
        <v>2249</v>
      </c>
    </row>
    <row r="470" spans="1:33" hidden="1">
      <c r="A470" s="437">
        <f t="shared" si="22"/>
        <v>304</v>
      </c>
      <c r="B470" s="296" t="s">
        <v>1117</v>
      </c>
      <c r="D470" s="296" t="s">
        <v>865</v>
      </c>
      <c r="H470" s="296" t="s">
        <v>1525</v>
      </c>
      <c r="K470" s="252" t="e">
        <f>(K469+C22/10*F459)</f>
        <v>#REF!</v>
      </c>
      <c r="O470" s="296" t="s">
        <v>2150</v>
      </c>
      <c r="AG470" s="296" t="s">
        <v>2249</v>
      </c>
    </row>
    <row r="471" spans="1:33" hidden="1">
      <c r="A471" s="437">
        <f t="shared" ref="A471:A489" si="23">(A470+1)</f>
        <v>305</v>
      </c>
      <c r="B471" s="296" t="s">
        <v>2899</v>
      </c>
      <c r="D471" s="296" t="s">
        <v>865</v>
      </c>
      <c r="F471" s="253" t="s">
        <v>1948</v>
      </c>
      <c r="G471" s="252" t="s">
        <v>2241</v>
      </c>
      <c r="H471" s="296" t="s">
        <v>1949</v>
      </c>
      <c r="O471" s="296" t="s">
        <v>2151</v>
      </c>
      <c r="AG471" s="296" t="s">
        <v>2249</v>
      </c>
    </row>
    <row r="472" spans="1:33" hidden="1">
      <c r="A472" s="437">
        <f t="shared" si="23"/>
        <v>306</v>
      </c>
      <c r="B472" s="296" t="s">
        <v>1111</v>
      </c>
      <c r="C472" s="252">
        <v>130</v>
      </c>
      <c r="D472" s="296" t="s">
        <v>865</v>
      </c>
      <c r="H472" s="296" t="s">
        <v>2228</v>
      </c>
      <c r="O472" s="296" t="s">
        <v>2152</v>
      </c>
      <c r="AG472" s="296" t="s">
        <v>2249</v>
      </c>
    </row>
    <row r="473" spans="1:33" hidden="1">
      <c r="A473" s="437">
        <f t="shared" si="23"/>
        <v>307</v>
      </c>
      <c r="B473" s="296" t="s">
        <v>1112</v>
      </c>
      <c r="C473" s="252">
        <v>178</v>
      </c>
      <c r="D473" s="296" t="s">
        <v>865</v>
      </c>
      <c r="H473" s="358" t="s">
        <v>1579</v>
      </c>
      <c r="O473" s="296" t="s">
        <v>2155</v>
      </c>
      <c r="AG473" s="296" t="s">
        <v>2249</v>
      </c>
    </row>
    <row r="474" spans="1:33" hidden="1">
      <c r="A474" s="437">
        <f t="shared" si="23"/>
        <v>308</v>
      </c>
      <c r="B474" s="296" t="s">
        <v>1113</v>
      </c>
      <c r="C474" s="252">
        <v>279</v>
      </c>
      <c r="D474" s="296" t="s">
        <v>865</v>
      </c>
      <c r="F474" s="252">
        <v>1</v>
      </c>
      <c r="G474" s="252" t="s">
        <v>866</v>
      </c>
      <c r="H474" s="296" t="s">
        <v>2229</v>
      </c>
      <c r="I474" s="252">
        <f>(C26)</f>
        <v>8.8000000000000007</v>
      </c>
      <c r="J474" s="253" t="s">
        <v>866</v>
      </c>
      <c r="K474" s="252">
        <f>(F474*I474)</f>
        <v>8.8000000000000007</v>
      </c>
      <c r="M474" s="252">
        <v>8</v>
      </c>
      <c r="N474" s="296" t="s">
        <v>766</v>
      </c>
      <c r="O474" s="296" t="s">
        <v>2135</v>
      </c>
      <c r="P474" s="252">
        <f>(C45)</f>
        <v>2.7</v>
      </c>
      <c r="Q474" s="296" t="s">
        <v>766</v>
      </c>
      <c r="R474" s="252">
        <f>(M474*P474)</f>
        <v>21.6</v>
      </c>
      <c r="AG474" s="296" t="s">
        <v>2249</v>
      </c>
    </row>
    <row r="475" spans="1:33" hidden="1">
      <c r="A475" s="437">
        <f t="shared" si="23"/>
        <v>309</v>
      </c>
      <c r="B475" s="296" t="s">
        <v>1114</v>
      </c>
      <c r="C475" s="252">
        <v>394</v>
      </c>
      <c r="D475" s="296" t="s">
        <v>865</v>
      </c>
      <c r="K475" s="358" t="s">
        <v>2046</v>
      </c>
      <c r="M475" s="252">
        <v>8</v>
      </c>
      <c r="N475" s="296" t="s">
        <v>766</v>
      </c>
      <c r="O475" s="296" t="s">
        <v>464</v>
      </c>
      <c r="P475" s="252">
        <f>(C52)</f>
        <v>6.4</v>
      </c>
      <c r="Q475" s="296" t="s">
        <v>766</v>
      </c>
      <c r="R475" s="252">
        <f>(M475*P475)</f>
        <v>51.2</v>
      </c>
      <c r="AG475" s="296" t="s">
        <v>2249</v>
      </c>
    </row>
    <row r="476" spans="1:33" hidden="1">
      <c r="A476" s="437">
        <f t="shared" si="23"/>
        <v>310</v>
      </c>
      <c r="B476" s="296" t="s">
        <v>1116</v>
      </c>
      <c r="C476" s="252">
        <v>508</v>
      </c>
      <c r="D476" s="296" t="s">
        <v>865</v>
      </c>
      <c r="F476" s="375">
        <v>7.3</v>
      </c>
      <c r="G476" s="252" t="s">
        <v>2241</v>
      </c>
      <c r="H476" s="296" t="s">
        <v>2230</v>
      </c>
      <c r="M476" s="252">
        <v>1</v>
      </c>
      <c r="N476" s="296" t="s">
        <v>446</v>
      </c>
      <c r="O476" s="296" t="s">
        <v>1676</v>
      </c>
      <c r="P476" s="252">
        <f>(C56)</f>
        <v>12.1</v>
      </c>
      <c r="Q476" s="296" t="s">
        <v>446</v>
      </c>
      <c r="R476" s="252">
        <f>(M476*P476)</f>
        <v>12.1</v>
      </c>
      <c r="AG476" s="296" t="s">
        <v>2249</v>
      </c>
    </row>
    <row r="477" spans="1:33" hidden="1">
      <c r="A477" s="437">
        <f t="shared" si="23"/>
        <v>311</v>
      </c>
      <c r="B477" s="296" t="s">
        <v>237</v>
      </c>
      <c r="C477" s="252">
        <v>709</v>
      </c>
      <c r="D477" s="296" t="s">
        <v>865</v>
      </c>
      <c r="F477" s="296" t="s">
        <v>971</v>
      </c>
      <c r="H477" s="296" t="s">
        <v>959</v>
      </c>
      <c r="M477" s="252">
        <v>1</v>
      </c>
      <c r="N477" s="296" t="s">
        <v>446</v>
      </c>
      <c r="O477" s="296" t="s">
        <v>447</v>
      </c>
      <c r="Q477" s="296" t="s">
        <v>446</v>
      </c>
      <c r="R477" s="252">
        <v>0</v>
      </c>
      <c r="AG477" s="296" t="s">
        <v>2249</v>
      </c>
    </row>
    <row r="478" spans="1:33" hidden="1">
      <c r="A478" s="437">
        <f t="shared" si="23"/>
        <v>312</v>
      </c>
      <c r="B478" s="296" t="s">
        <v>1117</v>
      </c>
      <c r="D478" s="296" t="s">
        <v>865</v>
      </c>
      <c r="F478" s="296" t="s">
        <v>971</v>
      </c>
      <c r="H478" s="358" t="s">
        <v>1579</v>
      </c>
      <c r="R478" s="358" t="s">
        <v>1579</v>
      </c>
      <c r="AG478" s="296" t="s">
        <v>2249</v>
      </c>
    </row>
    <row r="479" spans="1:33" hidden="1">
      <c r="A479" s="437">
        <f t="shared" si="23"/>
        <v>313</v>
      </c>
      <c r="B479" s="296" t="s">
        <v>2900</v>
      </c>
      <c r="D479" s="296" t="s">
        <v>865</v>
      </c>
      <c r="F479" s="252">
        <v>0.13</v>
      </c>
      <c r="G479" s="252" t="s">
        <v>866</v>
      </c>
      <c r="H479" s="296" t="s">
        <v>1302</v>
      </c>
      <c r="I479" s="252" t="e">
        <f>(K40)</f>
        <v>#REF!</v>
      </c>
      <c r="J479" s="253" t="s">
        <v>866</v>
      </c>
      <c r="K479" s="252" t="e">
        <f t="shared" ref="K479:K484" si="24">(F479*I479)</f>
        <v>#REF!</v>
      </c>
      <c r="O479" s="296" t="s">
        <v>1537</v>
      </c>
      <c r="R479" s="252">
        <f>SUM(R467:R477)</f>
        <v>613.67999999999995</v>
      </c>
      <c r="AG479" s="296" t="s">
        <v>2249</v>
      </c>
    </row>
    <row r="480" spans="1:33" hidden="1">
      <c r="A480" s="437">
        <f t="shared" si="23"/>
        <v>314</v>
      </c>
      <c r="B480" s="296" t="s">
        <v>1111</v>
      </c>
      <c r="C480" s="252">
        <v>77</v>
      </c>
      <c r="D480" s="296" t="s">
        <v>865</v>
      </c>
      <c r="F480" s="252">
        <v>0.7</v>
      </c>
      <c r="G480" s="252" t="s">
        <v>766</v>
      </c>
      <c r="H480" s="296" t="s">
        <v>2000</v>
      </c>
      <c r="I480" s="252">
        <f>(C10)</f>
        <v>150</v>
      </c>
      <c r="J480" s="253" t="s">
        <v>766</v>
      </c>
      <c r="K480" s="252">
        <f t="shared" si="24"/>
        <v>105</v>
      </c>
      <c r="R480" s="358" t="s">
        <v>1579</v>
      </c>
      <c r="AG480" s="296" t="s">
        <v>2249</v>
      </c>
    </row>
    <row r="481" spans="1:33" hidden="1">
      <c r="A481" s="437">
        <f t="shared" si="23"/>
        <v>315</v>
      </c>
      <c r="B481" s="296" t="s">
        <v>1112</v>
      </c>
      <c r="C481" s="252">
        <v>119</v>
      </c>
      <c r="D481" s="296" t="s">
        <v>865</v>
      </c>
      <c r="F481" s="252">
        <v>0.7</v>
      </c>
      <c r="G481" s="252" t="s">
        <v>766</v>
      </c>
      <c r="H481" s="296" t="s">
        <v>1704</v>
      </c>
      <c r="I481" s="252">
        <f>(C11)</f>
        <v>135</v>
      </c>
      <c r="J481" s="253" t="s">
        <v>766</v>
      </c>
      <c r="K481" s="252">
        <f t="shared" si="24"/>
        <v>94.5</v>
      </c>
      <c r="O481" s="296" t="s">
        <v>1538</v>
      </c>
      <c r="R481" s="252">
        <f>(R479/30)</f>
        <v>20.46</v>
      </c>
      <c r="AG481" s="296" t="s">
        <v>2249</v>
      </c>
    </row>
    <row r="482" spans="1:33" hidden="1">
      <c r="A482" s="437">
        <f t="shared" si="23"/>
        <v>316</v>
      </c>
      <c r="B482" s="296" t="s">
        <v>1113</v>
      </c>
      <c r="C482" s="252">
        <v>175</v>
      </c>
      <c r="D482" s="296" t="s">
        <v>865</v>
      </c>
      <c r="F482" s="252">
        <v>1.5</v>
      </c>
      <c r="G482" s="252" t="s">
        <v>766</v>
      </c>
      <c r="H482" s="296" t="s">
        <v>1893</v>
      </c>
      <c r="I482" s="252">
        <f>(C12)</f>
        <v>95</v>
      </c>
      <c r="J482" s="253" t="s">
        <v>766</v>
      </c>
      <c r="K482" s="252">
        <f t="shared" si="24"/>
        <v>142.5</v>
      </c>
      <c r="R482" s="358" t="s">
        <v>1579</v>
      </c>
      <c r="AG482" s="296" t="s">
        <v>2249</v>
      </c>
    </row>
    <row r="483" spans="1:33" hidden="1">
      <c r="A483" s="437">
        <f t="shared" si="23"/>
        <v>317</v>
      </c>
      <c r="B483" s="296" t="s">
        <v>1114</v>
      </c>
      <c r="C483" s="252">
        <v>277</v>
      </c>
      <c r="D483" s="296" t="s">
        <v>865</v>
      </c>
      <c r="F483" s="252">
        <v>0.5</v>
      </c>
      <c r="G483" s="252" t="s">
        <v>766</v>
      </c>
      <c r="H483" s="296" t="s">
        <v>317</v>
      </c>
      <c r="I483" s="252">
        <f>(C13)</f>
        <v>85</v>
      </c>
      <c r="J483" s="253" t="s">
        <v>766</v>
      </c>
      <c r="K483" s="252">
        <f t="shared" si="24"/>
        <v>42.5</v>
      </c>
      <c r="M483" s="296" t="s">
        <v>971</v>
      </c>
      <c r="AG483" s="296" t="s">
        <v>2249</v>
      </c>
    </row>
    <row r="484" spans="1:33" hidden="1">
      <c r="A484" s="437">
        <f t="shared" si="23"/>
        <v>318</v>
      </c>
      <c r="B484" s="296" t="s">
        <v>1116</v>
      </c>
      <c r="C484" s="252">
        <v>353</v>
      </c>
      <c r="D484" s="296" t="s">
        <v>865</v>
      </c>
      <c r="F484" s="252">
        <v>0.94</v>
      </c>
      <c r="G484" s="252" t="s">
        <v>1637</v>
      </c>
      <c r="H484" s="296" t="s">
        <v>907</v>
      </c>
      <c r="I484" s="252">
        <f>C631</f>
        <v>30</v>
      </c>
      <c r="J484" s="253" t="s">
        <v>1637</v>
      </c>
      <c r="K484" s="252">
        <f t="shared" si="24"/>
        <v>28.2</v>
      </c>
      <c r="N484" s="296" t="s">
        <v>2241</v>
      </c>
      <c r="O484" s="296" t="s">
        <v>2038</v>
      </c>
      <c r="AG484" s="296" t="s">
        <v>2249</v>
      </c>
    </row>
    <row r="485" spans="1:33" hidden="1">
      <c r="A485" s="437">
        <f t="shared" si="23"/>
        <v>319</v>
      </c>
      <c r="B485" s="296" t="s">
        <v>237</v>
      </c>
      <c r="C485" s="252">
        <v>584</v>
      </c>
      <c r="D485" s="296" t="s">
        <v>865</v>
      </c>
      <c r="H485" s="296" t="s">
        <v>447</v>
      </c>
      <c r="I485" s="296" t="s">
        <v>971</v>
      </c>
      <c r="J485" s="253" t="s">
        <v>446</v>
      </c>
      <c r="K485" s="252">
        <v>0</v>
      </c>
      <c r="O485" s="296" t="s">
        <v>2039</v>
      </c>
      <c r="AG485" s="296" t="s">
        <v>2249</v>
      </c>
    </row>
    <row r="486" spans="1:33" hidden="1">
      <c r="A486" s="437">
        <f t="shared" si="23"/>
        <v>320</v>
      </c>
      <c r="B486" s="296" t="s">
        <v>1117</v>
      </c>
      <c r="D486" s="296" t="s">
        <v>865</v>
      </c>
      <c r="K486" s="358" t="s">
        <v>1579</v>
      </c>
      <c r="O486" s="296" t="s">
        <v>944</v>
      </c>
      <c r="AG486" s="296" t="s">
        <v>2249</v>
      </c>
    </row>
    <row r="487" spans="1:33" hidden="1">
      <c r="A487" s="437">
        <f t="shared" si="23"/>
        <v>321</v>
      </c>
      <c r="B487" s="296" t="s">
        <v>945</v>
      </c>
      <c r="D487" s="296" t="s">
        <v>865</v>
      </c>
      <c r="H487" s="296" t="s">
        <v>611</v>
      </c>
      <c r="K487" s="252" t="e">
        <f>SUM(K478:K485)</f>
        <v>#REF!</v>
      </c>
      <c r="O487" s="358" t="s">
        <v>1579</v>
      </c>
      <c r="AG487" s="296" t="s">
        <v>2249</v>
      </c>
    </row>
    <row r="488" spans="1:33" hidden="1">
      <c r="A488" s="437">
        <f t="shared" si="23"/>
        <v>322</v>
      </c>
      <c r="B488" s="296" t="s">
        <v>948</v>
      </c>
      <c r="C488" s="252">
        <v>8.75</v>
      </c>
      <c r="D488" s="296" t="s">
        <v>865</v>
      </c>
      <c r="K488" s="358" t="s">
        <v>1579</v>
      </c>
      <c r="N488" s="296" t="s">
        <v>154</v>
      </c>
      <c r="O488" s="253" t="s">
        <v>949</v>
      </c>
      <c r="AG488" s="296" t="s">
        <v>2249</v>
      </c>
    </row>
    <row r="489" spans="1:33" hidden="1">
      <c r="A489" s="437">
        <f t="shared" si="23"/>
        <v>323</v>
      </c>
      <c r="B489" s="296" t="s">
        <v>741</v>
      </c>
      <c r="C489" s="252">
        <v>11.5</v>
      </c>
      <c r="D489" s="296" t="s">
        <v>865</v>
      </c>
      <c r="H489" s="296" t="s">
        <v>770</v>
      </c>
      <c r="K489" s="252" t="e">
        <f>(K487/10)</f>
        <v>#REF!</v>
      </c>
      <c r="O489" s="358" t="s">
        <v>1579</v>
      </c>
      <c r="AG489" s="296" t="s">
        <v>2249</v>
      </c>
    </row>
    <row r="490" spans="1:33" hidden="1">
      <c r="F490" s="296" t="s">
        <v>971</v>
      </c>
    </row>
    <row r="491" spans="1:33" hidden="1">
      <c r="A491" s="437">
        <f>(A489+1)</f>
        <v>324</v>
      </c>
      <c r="B491" s="296" t="s">
        <v>1655</v>
      </c>
      <c r="C491" s="252">
        <v>11.5</v>
      </c>
      <c r="D491" s="296" t="s">
        <v>865</v>
      </c>
      <c r="K491" s="358" t="s">
        <v>2046</v>
      </c>
      <c r="M491" s="252">
        <v>30</v>
      </c>
      <c r="N491" s="296" t="s">
        <v>1763</v>
      </c>
      <c r="O491" s="296" t="s">
        <v>1656</v>
      </c>
      <c r="P491" s="252">
        <f>(C42)</f>
        <v>1.75</v>
      </c>
      <c r="Q491" s="296" t="s">
        <v>1763</v>
      </c>
      <c r="R491" s="252">
        <f>(M491*P491)</f>
        <v>52.5</v>
      </c>
      <c r="AG491" s="296" t="s">
        <v>2249</v>
      </c>
    </row>
    <row r="492" spans="1:33" hidden="1">
      <c r="A492" s="437">
        <f t="shared" ref="A492:A523" si="25">(A491+1)</f>
        <v>325</v>
      </c>
      <c r="B492" s="296" t="s">
        <v>1657</v>
      </c>
      <c r="C492" s="252">
        <v>56.74</v>
      </c>
      <c r="D492" s="296" t="s">
        <v>865</v>
      </c>
      <c r="F492" s="253"/>
      <c r="G492" s="252" t="s">
        <v>2241</v>
      </c>
      <c r="H492" s="296" t="s">
        <v>1658</v>
      </c>
      <c r="M492" s="296" t="s">
        <v>971</v>
      </c>
      <c r="O492" s="296" t="s">
        <v>1659</v>
      </c>
      <c r="P492" s="296" t="s">
        <v>971</v>
      </c>
      <c r="R492" s="296" t="s">
        <v>971</v>
      </c>
      <c r="AG492" s="296" t="s">
        <v>2249</v>
      </c>
    </row>
    <row r="493" spans="1:33" hidden="1">
      <c r="A493" s="437">
        <f t="shared" si="25"/>
        <v>326</v>
      </c>
      <c r="B493" s="296" t="s">
        <v>1660</v>
      </c>
      <c r="C493" s="252">
        <v>56.74</v>
      </c>
      <c r="D493" s="296" t="s">
        <v>865</v>
      </c>
      <c r="H493" s="296" t="s">
        <v>2259</v>
      </c>
      <c r="M493" s="252">
        <v>8</v>
      </c>
      <c r="N493" s="296" t="s">
        <v>865</v>
      </c>
      <c r="O493" s="296" t="s">
        <v>2135</v>
      </c>
      <c r="P493" s="252">
        <f>(C43)</f>
        <v>2.2000000000000002</v>
      </c>
      <c r="Q493" s="296" t="s">
        <v>865</v>
      </c>
      <c r="R493" s="252">
        <f t="shared" ref="R493:R498" si="26">(M493*P493)</f>
        <v>17.600000000000001</v>
      </c>
      <c r="AG493" s="296" t="s">
        <v>2249</v>
      </c>
    </row>
    <row r="494" spans="1:33" hidden="1">
      <c r="A494" s="437">
        <f t="shared" si="25"/>
        <v>327</v>
      </c>
      <c r="B494" s="296" t="s">
        <v>1661</v>
      </c>
      <c r="D494" s="296" t="s">
        <v>971</v>
      </c>
      <c r="H494" s="358" t="s">
        <v>1579</v>
      </c>
      <c r="M494" s="252">
        <v>8</v>
      </c>
      <c r="N494" s="296" t="s">
        <v>865</v>
      </c>
      <c r="O494" s="296" t="s">
        <v>464</v>
      </c>
      <c r="P494" s="252">
        <f>(C50)</f>
        <v>3.2</v>
      </c>
      <c r="Q494" s="296" t="s">
        <v>865</v>
      </c>
      <c r="R494" s="252">
        <f t="shared" si="26"/>
        <v>25.6</v>
      </c>
      <c r="AG494" s="296" t="s">
        <v>2249</v>
      </c>
    </row>
    <row r="495" spans="1:33" hidden="1">
      <c r="A495" s="437">
        <f t="shared" si="25"/>
        <v>328</v>
      </c>
      <c r="B495" s="296" t="s">
        <v>948</v>
      </c>
      <c r="C495" s="252">
        <v>15.6</v>
      </c>
      <c r="D495" s="296" t="s">
        <v>865</v>
      </c>
      <c r="F495" s="252">
        <v>9</v>
      </c>
      <c r="G495" s="252" t="s">
        <v>866</v>
      </c>
      <c r="H495" s="296" t="s">
        <v>1662</v>
      </c>
      <c r="I495" s="252" t="e">
        <f>(C70)</f>
        <v>#REF!</v>
      </c>
      <c r="J495" s="253" t="s">
        <v>866</v>
      </c>
      <c r="K495" s="252" t="e">
        <f t="shared" ref="K495:K500" si="27">(F495*I495)</f>
        <v>#REF!</v>
      </c>
      <c r="M495" s="252">
        <v>3</v>
      </c>
      <c r="N495" s="296" t="s">
        <v>865</v>
      </c>
      <c r="O495" s="296" t="s">
        <v>1837</v>
      </c>
      <c r="P495" s="252">
        <f>(C41)</f>
        <v>110</v>
      </c>
      <c r="Q495" s="296" t="s">
        <v>865</v>
      </c>
      <c r="R495" s="252">
        <f t="shared" si="26"/>
        <v>330</v>
      </c>
      <c r="AG495" s="296" t="s">
        <v>2249</v>
      </c>
    </row>
    <row r="496" spans="1:33" hidden="1">
      <c r="A496" s="437">
        <f t="shared" si="25"/>
        <v>329</v>
      </c>
      <c r="B496" s="296" t="s">
        <v>741</v>
      </c>
      <c r="C496" s="252">
        <v>15.6</v>
      </c>
      <c r="D496" s="296" t="s">
        <v>865</v>
      </c>
      <c r="F496" s="356">
        <v>3.2309999999999999</v>
      </c>
      <c r="G496" s="252" t="s">
        <v>858</v>
      </c>
      <c r="H496" s="296" t="s">
        <v>859</v>
      </c>
      <c r="I496" s="252">
        <f>(C67)</f>
        <v>3800</v>
      </c>
      <c r="J496" s="253" t="s">
        <v>858</v>
      </c>
      <c r="K496" s="252">
        <f t="shared" si="27"/>
        <v>12277.8</v>
      </c>
      <c r="M496" s="252">
        <v>1</v>
      </c>
      <c r="N496" s="296" t="s">
        <v>865</v>
      </c>
      <c r="O496" s="296" t="s">
        <v>1838</v>
      </c>
      <c r="P496" s="252">
        <f>(C10)</f>
        <v>150</v>
      </c>
      <c r="Q496" s="296" t="s">
        <v>865</v>
      </c>
      <c r="R496" s="252">
        <f t="shared" si="26"/>
        <v>150</v>
      </c>
      <c r="AG496" s="296" t="s">
        <v>2249</v>
      </c>
    </row>
    <row r="497" spans="1:33" hidden="1">
      <c r="A497" s="437">
        <f t="shared" si="25"/>
        <v>330</v>
      </c>
      <c r="B497" s="296" t="s">
        <v>1655</v>
      </c>
      <c r="C497" s="252">
        <v>15.6</v>
      </c>
      <c r="D497" s="296" t="s">
        <v>865</v>
      </c>
      <c r="F497" s="252">
        <v>4.5</v>
      </c>
      <c r="G497" s="252" t="s">
        <v>866</v>
      </c>
      <c r="H497" s="296" t="s">
        <v>867</v>
      </c>
      <c r="I497" s="252" t="e">
        <f>(C78)</f>
        <v>#REF!</v>
      </c>
      <c r="J497" s="253" t="s">
        <v>866</v>
      </c>
      <c r="K497" s="252" t="e">
        <f t="shared" si="27"/>
        <v>#REF!</v>
      </c>
      <c r="M497" s="252">
        <v>2</v>
      </c>
      <c r="N497" s="296" t="s">
        <v>865</v>
      </c>
      <c r="O497" s="296" t="s">
        <v>1893</v>
      </c>
      <c r="P497" s="252">
        <f>(C12)</f>
        <v>95</v>
      </c>
      <c r="Q497" s="296" t="s">
        <v>865</v>
      </c>
      <c r="R497" s="252">
        <f t="shared" si="26"/>
        <v>190</v>
      </c>
      <c r="AG497" s="296" t="s">
        <v>2249</v>
      </c>
    </row>
    <row r="498" spans="1:33" hidden="1">
      <c r="A498" s="437">
        <f t="shared" si="25"/>
        <v>331</v>
      </c>
      <c r="B498" s="296" t="s">
        <v>1657</v>
      </c>
      <c r="C498" s="252">
        <v>100.3</v>
      </c>
      <c r="D498" s="296" t="s">
        <v>865</v>
      </c>
      <c r="F498" s="252">
        <v>3.5</v>
      </c>
      <c r="G498" s="252" t="s">
        <v>865</v>
      </c>
      <c r="H498" s="296" t="s">
        <v>1704</v>
      </c>
      <c r="I498" s="252">
        <f>(C11)</f>
        <v>135</v>
      </c>
      <c r="J498" s="253" t="s">
        <v>865</v>
      </c>
      <c r="K498" s="252">
        <f t="shared" si="27"/>
        <v>472.5</v>
      </c>
      <c r="M498" s="252">
        <v>1</v>
      </c>
      <c r="N498" s="296" t="s">
        <v>865</v>
      </c>
      <c r="O498" s="296" t="s">
        <v>317</v>
      </c>
      <c r="P498" s="252">
        <f>(C13)</f>
        <v>85</v>
      </c>
      <c r="Q498" s="296" t="s">
        <v>865</v>
      </c>
      <c r="R498" s="252">
        <f t="shared" si="26"/>
        <v>85</v>
      </c>
      <c r="AG498" s="296" t="s">
        <v>318</v>
      </c>
    </row>
    <row r="499" spans="1:33" hidden="1">
      <c r="A499" s="437">
        <f t="shared" si="25"/>
        <v>332</v>
      </c>
      <c r="B499" s="296" t="s">
        <v>1660</v>
      </c>
      <c r="C499" s="252">
        <v>100.3</v>
      </c>
      <c r="D499" s="296" t="s">
        <v>865</v>
      </c>
      <c r="F499" s="252">
        <v>21.2</v>
      </c>
      <c r="G499" s="252" t="s">
        <v>865</v>
      </c>
      <c r="H499" s="296" t="s">
        <v>1893</v>
      </c>
      <c r="I499" s="252">
        <f>(C12)</f>
        <v>95</v>
      </c>
      <c r="J499" s="253" t="s">
        <v>865</v>
      </c>
      <c r="K499" s="252">
        <f t="shared" si="27"/>
        <v>2014</v>
      </c>
      <c r="N499" s="296" t="s">
        <v>446</v>
      </c>
      <c r="O499" s="296" t="s">
        <v>1839</v>
      </c>
      <c r="P499" s="296" t="s">
        <v>971</v>
      </c>
      <c r="Q499" s="296" t="s">
        <v>446</v>
      </c>
      <c r="R499" s="252">
        <f>(C56)</f>
        <v>12.1</v>
      </c>
    </row>
    <row r="500" spans="1:33" hidden="1">
      <c r="A500" s="437">
        <f t="shared" si="25"/>
        <v>333</v>
      </c>
      <c r="B500" s="296" t="s">
        <v>1840</v>
      </c>
      <c r="D500" s="296" t="s">
        <v>971</v>
      </c>
      <c r="F500" s="252">
        <v>35.299999999999997</v>
      </c>
      <c r="G500" s="252" t="s">
        <v>865</v>
      </c>
      <c r="H500" s="296" t="s">
        <v>317</v>
      </c>
      <c r="I500" s="252">
        <f>(C13)</f>
        <v>85</v>
      </c>
      <c r="J500" s="253" t="s">
        <v>865</v>
      </c>
      <c r="K500" s="252">
        <f t="shared" si="27"/>
        <v>3000.5</v>
      </c>
      <c r="O500" s="296" t="s">
        <v>1841</v>
      </c>
      <c r="P500" s="296" t="s">
        <v>971</v>
      </c>
      <c r="R500" s="296" t="s">
        <v>971</v>
      </c>
    </row>
    <row r="501" spans="1:33" hidden="1">
      <c r="A501" s="437">
        <f t="shared" si="25"/>
        <v>334</v>
      </c>
      <c r="B501" s="296" t="s">
        <v>948</v>
      </c>
      <c r="C501" s="252">
        <v>9.4499999999999993</v>
      </c>
      <c r="D501" s="296" t="s">
        <v>865</v>
      </c>
      <c r="G501" s="252" t="s">
        <v>446</v>
      </c>
      <c r="H501" s="296" t="s">
        <v>447</v>
      </c>
      <c r="I501" s="296" t="s">
        <v>971</v>
      </c>
      <c r="J501" s="253" t="s">
        <v>446</v>
      </c>
      <c r="K501" s="252">
        <v>0</v>
      </c>
      <c r="N501" s="296" t="s">
        <v>446</v>
      </c>
      <c r="O501" s="296" t="s">
        <v>447</v>
      </c>
      <c r="Q501" s="296" t="s">
        <v>446</v>
      </c>
      <c r="R501" s="252">
        <v>0</v>
      </c>
      <c r="AG501" s="296" t="s">
        <v>2249</v>
      </c>
    </row>
    <row r="502" spans="1:33" hidden="1">
      <c r="A502" s="437">
        <f t="shared" si="25"/>
        <v>335</v>
      </c>
      <c r="B502" s="296" t="s">
        <v>741</v>
      </c>
      <c r="C502" s="252">
        <v>15.6</v>
      </c>
      <c r="D502" s="296" t="s">
        <v>865</v>
      </c>
      <c r="K502" s="358" t="s">
        <v>1579</v>
      </c>
      <c r="R502" s="358" t="s">
        <v>1579</v>
      </c>
      <c r="AG502" s="296" t="s">
        <v>2249</v>
      </c>
    </row>
    <row r="503" spans="1:33" hidden="1">
      <c r="A503" s="437">
        <f t="shared" si="25"/>
        <v>336</v>
      </c>
      <c r="B503" s="296" t="s">
        <v>1655</v>
      </c>
      <c r="C503" s="252">
        <v>15.6</v>
      </c>
      <c r="D503" s="296" t="s">
        <v>865</v>
      </c>
      <c r="H503" s="296" t="s">
        <v>2161</v>
      </c>
      <c r="K503" s="252" t="e">
        <f>SUM(K495:K501)</f>
        <v>#REF!</v>
      </c>
      <c r="O503" s="296" t="s">
        <v>1842</v>
      </c>
      <c r="R503" s="252">
        <f>SUM(R491:R501)</f>
        <v>862.8</v>
      </c>
      <c r="AG503" s="296" t="s">
        <v>2249</v>
      </c>
    </row>
    <row r="504" spans="1:33" hidden="1">
      <c r="A504" s="437">
        <f t="shared" si="25"/>
        <v>337</v>
      </c>
      <c r="B504" s="296" t="s">
        <v>1843</v>
      </c>
      <c r="C504" s="252">
        <v>36.61</v>
      </c>
      <c r="D504" s="296" t="s">
        <v>865</v>
      </c>
      <c r="K504" s="358" t="s">
        <v>1579</v>
      </c>
      <c r="R504" s="358" t="s">
        <v>1579</v>
      </c>
      <c r="AG504" s="296" t="s">
        <v>2249</v>
      </c>
    </row>
    <row r="505" spans="1:33" hidden="1">
      <c r="A505" s="437">
        <f t="shared" si="25"/>
        <v>338</v>
      </c>
      <c r="B505" s="296" t="s">
        <v>1657</v>
      </c>
      <c r="C505" s="252">
        <v>78.709999999999994</v>
      </c>
      <c r="D505" s="296" t="s">
        <v>865</v>
      </c>
      <c r="H505" s="296" t="s">
        <v>770</v>
      </c>
      <c r="K505" s="252" t="e">
        <f>(K503/10)</f>
        <v>#REF!</v>
      </c>
      <c r="O505" s="296" t="s">
        <v>1538</v>
      </c>
      <c r="R505" s="252">
        <f>(R503/30)</f>
        <v>28.76</v>
      </c>
      <c r="AG505" s="296" t="s">
        <v>2249</v>
      </c>
    </row>
    <row r="506" spans="1:33" hidden="1">
      <c r="A506" s="437">
        <f t="shared" si="25"/>
        <v>339</v>
      </c>
      <c r="B506" s="296" t="s">
        <v>1660</v>
      </c>
      <c r="C506" s="252">
        <v>78.709999999999994</v>
      </c>
      <c r="D506" s="296" t="s">
        <v>865</v>
      </c>
      <c r="R506" s="358" t="s">
        <v>1579</v>
      </c>
      <c r="AG506" s="296" t="s">
        <v>2249</v>
      </c>
    </row>
    <row r="507" spans="1:33" hidden="1">
      <c r="A507" s="437">
        <f t="shared" si="25"/>
        <v>340</v>
      </c>
      <c r="B507" s="296" t="s">
        <v>1844</v>
      </c>
      <c r="D507" s="296" t="s">
        <v>215</v>
      </c>
      <c r="F507" s="252">
        <v>1</v>
      </c>
      <c r="G507" s="252" t="s">
        <v>866</v>
      </c>
      <c r="H507" s="296" t="s">
        <v>44</v>
      </c>
      <c r="K507" s="252">
        <f>(C25)</f>
        <v>20.7</v>
      </c>
      <c r="N507" s="296" t="s">
        <v>1548</v>
      </c>
      <c r="O507" s="253" t="s">
        <v>216</v>
      </c>
      <c r="AG507" s="296" t="s">
        <v>2249</v>
      </c>
    </row>
    <row r="508" spans="1:33" hidden="1">
      <c r="A508" s="437">
        <f t="shared" si="25"/>
        <v>341</v>
      </c>
      <c r="B508" s="296" t="s">
        <v>1064</v>
      </c>
      <c r="C508" s="252">
        <v>20.55</v>
      </c>
      <c r="D508" s="296" t="s">
        <v>1763</v>
      </c>
      <c r="K508" s="358" t="s">
        <v>1579</v>
      </c>
      <c r="O508" s="358" t="s">
        <v>1579</v>
      </c>
      <c r="AG508" s="296" t="s">
        <v>2249</v>
      </c>
    </row>
    <row r="509" spans="1:33" hidden="1">
      <c r="A509" s="437">
        <f t="shared" si="25"/>
        <v>342</v>
      </c>
      <c r="B509" s="296" t="s">
        <v>1234</v>
      </c>
      <c r="C509" s="252">
        <v>32.9</v>
      </c>
      <c r="D509" s="296" t="s">
        <v>1763</v>
      </c>
      <c r="E509" s="252">
        <v>70</v>
      </c>
      <c r="H509" s="296" t="s">
        <v>1235</v>
      </c>
      <c r="K509" s="252" t="e">
        <f>SUM(K505:K507)</f>
        <v>#REF!</v>
      </c>
      <c r="M509" s="252">
        <v>30</v>
      </c>
      <c r="N509" s="296" t="s">
        <v>1763</v>
      </c>
      <c r="O509" s="296" t="s">
        <v>1656</v>
      </c>
      <c r="P509" s="252">
        <f>(C42)</f>
        <v>1.75</v>
      </c>
      <c r="Q509" s="296" t="s">
        <v>1763</v>
      </c>
      <c r="R509" s="252">
        <f>(M509*P509)</f>
        <v>52.5</v>
      </c>
      <c r="AG509" s="296" t="s">
        <v>2249</v>
      </c>
    </row>
    <row r="510" spans="1:33" hidden="1">
      <c r="A510" s="437">
        <f t="shared" si="25"/>
        <v>343</v>
      </c>
      <c r="B510" s="296" t="s">
        <v>1236</v>
      </c>
      <c r="C510" s="252">
        <v>48.8</v>
      </c>
      <c r="D510" s="296" t="s">
        <v>1763</v>
      </c>
      <c r="K510" s="358" t="s">
        <v>1579</v>
      </c>
      <c r="M510" s="296" t="s">
        <v>971</v>
      </c>
      <c r="O510" s="296" t="s">
        <v>1659</v>
      </c>
      <c r="P510" s="296" t="s">
        <v>971</v>
      </c>
      <c r="R510" s="296" t="s">
        <v>971</v>
      </c>
      <c r="AG510" s="296" t="s">
        <v>2249</v>
      </c>
    </row>
    <row r="511" spans="1:33" hidden="1">
      <c r="A511" s="437">
        <f t="shared" si="25"/>
        <v>344</v>
      </c>
      <c r="B511" s="296" t="s">
        <v>1237</v>
      </c>
      <c r="C511" s="252">
        <v>65.7</v>
      </c>
      <c r="D511" s="296" t="s">
        <v>1763</v>
      </c>
      <c r="G511" s="252" t="s">
        <v>1238</v>
      </c>
      <c r="H511" s="296" t="s">
        <v>383</v>
      </c>
      <c r="K511" s="252" t="e">
        <f>(K509+C22)</f>
        <v>#REF!</v>
      </c>
      <c r="M511" s="252">
        <v>8</v>
      </c>
      <c r="N511" s="296" t="s">
        <v>865</v>
      </c>
      <c r="O511" s="296" t="s">
        <v>2135</v>
      </c>
      <c r="P511" s="252">
        <f>(C44)</f>
        <v>2.2000000000000002</v>
      </c>
      <c r="Q511" s="296" t="s">
        <v>865</v>
      </c>
      <c r="R511" s="252">
        <f t="shared" ref="R511:R516" si="28">(M511*P511)</f>
        <v>17.600000000000001</v>
      </c>
      <c r="AG511" s="296" t="s">
        <v>2249</v>
      </c>
    </row>
    <row r="512" spans="1:33" hidden="1">
      <c r="A512" s="437">
        <f t="shared" si="25"/>
        <v>345</v>
      </c>
      <c r="B512" s="296" t="s">
        <v>1239</v>
      </c>
      <c r="C512" s="252">
        <v>69.099999999999994</v>
      </c>
      <c r="D512" s="252">
        <v>21</v>
      </c>
      <c r="G512" s="252" t="s">
        <v>1240</v>
      </c>
      <c r="H512" s="296" t="s">
        <v>385</v>
      </c>
      <c r="K512" s="252" t="e">
        <f>(K511+C23)</f>
        <v>#REF!</v>
      </c>
      <c r="M512" s="252">
        <v>8</v>
      </c>
      <c r="N512" s="296" t="s">
        <v>865</v>
      </c>
      <c r="O512" s="296" t="s">
        <v>464</v>
      </c>
      <c r="P512" s="252">
        <f>(C51)</f>
        <v>3.2</v>
      </c>
      <c r="Q512" s="296" t="s">
        <v>865</v>
      </c>
      <c r="R512" s="252">
        <f t="shared" si="28"/>
        <v>25.6</v>
      </c>
      <c r="AG512" s="296" t="s">
        <v>2249</v>
      </c>
    </row>
    <row r="513" spans="1:33" hidden="1">
      <c r="A513" s="437">
        <f t="shared" si="25"/>
        <v>346</v>
      </c>
      <c r="B513" s="296" t="s">
        <v>373</v>
      </c>
      <c r="C513" s="252">
        <v>94.12</v>
      </c>
      <c r="D513" s="252">
        <v>37.15</v>
      </c>
      <c r="G513" s="252" t="s">
        <v>423</v>
      </c>
      <c r="H513" s="296" t="s">
        <v>2222</v>
      </c>
      <c r="K513" s="252" t="e">
        <f>(K512+C24)</f>
        <v>#REF!</v>
      </c>
      <c r="M513" s="252">
        <v>3</v>
      </c>
      <c r="N513" s="296" t="s">
        <v>865</v>
      </c>
      <c r="O513" s="296" t="s">
        <v>1837</v>
      </c>
      <c r="P513" s="252">
        <f>(C41)</f>
        <v>110</v>
      </c>
      <c r="Q513" s="296" t="s">
        <v>865</v>
      </c>
      <c r="R513" s="252">
        <f t="shared" si="28"/>
        <v>330</v>
      </c>
      <c r="AG513" s="296" t="s">
        <v>2249</v>
      </c>
    </row>
    <row r="514" spans="1:33" hidden="1">
      <c r="A514" s="437">
        <f t="shared" si="25"/>
        <v>347</v>
      </c>
      <c r="B514" s="296" t="s">
        <v>989</v>
      </c>
      <c r="D514" s="296" t="s">
        <v>971</v>
      </c>
      <c r="G514" s="252" t="s">
        <v>990</v>
      </c>
      <c r="H514" s="296" t="s">
        <v>377</v>
      </c>
      <c r="K514" s="252" t="e">
        <f>(K513+C24)</f>
        <v>#REF!</v>
      </c>
      <c r="M514" s="252">
        <v>1</v>
      </c>
      <c r="N514" s="296" t="s">
        <v>865</v>
      </c>
      <c r="O514" s="296" t="s">
        <v>1838</v>
      </c>
      <c r="P514" s="252">
        <f>(C10)</f>
        <v>150</v>
      </c>
      <c r="Q514" s="296" t="s">
        <v>865</v>
      </c>
      <c r="R514" s="252">
        <f t="shared" si="28"/>
        <v>150</v>
      </c>
      <c r="AG514" s="296" t="s">
        <v>2249</v>
      </c>
    </row>
    <row r="515" spans="1:33" hidden="1">
      <c r="A515" s="437">
        <f t="shared" si="25"/>
        <v>348</v>
      </c>
      <c r="B515" s="296" t="s">
        <v>1111</v>
      </c>
      <c r="C515" s="252">
        <v>4.1900000000000004</v>
      </c>
      <c r="D515" s="296" t="s">
        <v>865</v>
      </c>
      <c r="M515" s="252">
        <v>2</v>
      </c>
      <c r="N515" s="296" t="s">
        <v>865</v>
      </c>
      <c r="O515" s="296" t="s">
        <v>1893</v>
      </c>
      <c r="P515" s="252">
        <f>(C12)</f>
        <v>95</v>
      </c>
      <c r="Q515" s="296" t="s">
        <v>865</v>
      </c>
      <c r="R515" s="252">
        <f t="shared" si="28"/>
        <v>190</v>
      </c>
      <c r="AG515" s="296" t="s">
        <v>2249</v>
      </c>
    </row>
    <row r="516" spans="1:33" hidden="1">
      <c r="A516" s="437">
        <f t="shared" si="25"/>
        <v>349</v>
      </c>
      <c r="B516" s="296" t="s">
        <v>1112</v>
      </c>
      <c r="C516" s="252">
        <v>5</v>
      </c>
      <c r="D516" s="296" t="s">
        <v>865</v>
      </c>
      <c r="F516" s="253" t="s">
        <v>991</v>
      </c>
      <c r="G516" s="252" t="s">
        <v>2241</v>
      </c>
      <c r="H516" s="296" t="s">
        <v>992</v>
      </c>
      <c r="M516" s="252">
        <v>1</v>
      </c>
      <c r="N516" s="296" t="s">
        <v>865</v>
      </c>
      <c r="O516" s="296" t="s">
        <v>317</v>
      </c>
      <c r="P516" s="252">
        <f>(C13)</f>
        <v>85</v>
      </c>
      <c r="Q516" s="296" t="s">
        <v>865</v>
      </c>
      <c r="R516" s="252">
        <f t="shared" si="28"/>
        <v>85</v>
      </c>
      <c r="AG516" s="296" t="s">
        <v>2249</v>
      </c>
    </row>
    <row r="517" spans="1:33" hidden="1">
      <c r="A517" s="437">
        <f t="shared" si="25"/>
        <v>350</v>
      </c>
      <c r="B517" s="296" t="s">
        <v>1113</v>
      </c>
      <c r="C517" s="252">
        <v>8.06</v>
      </c>
      <c r="D517" s="296" t="s">
        <v>865</v>
      </c>
      <c r="H517" s="358" t="s">
        <v>1579</v>
      </c>
      <c r="N517" s="296" t="s">
        <v>446</v>
      </c>
      <c r="O517" s="296" t="s">
        <v>1839</v>
      </c>
      <c r="P517" s="296" t="s">
        <v>971</v>
      </c>
      <c r="Q517" s="296" t="s">
        <v>446</v>
      </c>
      <c r="R517" s="252">
        <f>(C56)</f>
        <v>12.1</v>
      </c>
      <c r="AG517" s="296" t="s">
        <v>2249</v>
      </c>
    </row>
    <row r="518" spans="1:33" hidden="1">
      <c r="A518" s="437">
        <f t="shared" si="25"/>
        <v>351</v>
      </c>
      <c r="B518" s="296" t="s">
        <v>1114</v>
      </c>
      <c r="C518" s="252">
        <v>11.86</v>
      </c>
      <c r="D518" s="296" t="s">
        <v>865</v>
      </c>
      <c r="F518" s="356">
        <v>1.4999999999999999E-2</v>
      </c>
      <c r="G518" s="252" t="s">
        <v>866</v>
      </c>
      <c r="H518" s="296" t="s">
        <v>993</v>
      </c>
      <c r="I518" s="252" t="e">
        <f>(K505)</f>
        <v>#REF!</v>
      </c>
      <c r="J518" s="253" t="s">
        <v>866</v>
      </c>
      <c r="K518" s="252" t="e">
        <f>(F518*I518)</f>
        <v>#REF!</v>
      </c>
      <c r="O518" s="296" t="s">
        <v>1841</v>
      </c>
      <c r="P518" s="296" t="s">
        <v>971</v>
      </c>
      <c r="R518" s="296" t="s">
        <v>971</v>
      </c>
      <c r="AG518" s="296" t="s">
        <v>2249</v>
      </c>
    </row>
    <row r="519" spans="1:33" hidden="1">
      <c r="A519" s="437">
        <f t="shared" si="25"/>
        <v>352</v>
      </c>
      <c r="B519" s="296" t="s">
        <v>1116</v>
      </c>
      <c r="C519" s="252">
        <v>18.88</v>
      </c>
      <c r="D519" s="296" t="s">
        <v>865</v>
      </c>
      <c r="F519" s="252">
        <v>0.5</v>
      </c>
      <c r="G519" s="252" t="s">
        <v>766</v>
      </c>
      <c r="H519" s="296" t="s">
        <v>2000</v>
      </c>
      <c r="I519" s="252">
        <f>(C10)</f>
        <v>150</v>
      </c>
      <c r="J519" s="253" t="s">
        <v>766</v>
      </c>
      <c r="K519" s="252">
        <f>(F519*I519)</f>
        <v>75</v>
      </c>
      <c r="N519" s="296" t="s">
        <v>446</v>
      </c>
      <c r="O519" s="296" t="s">
        <v>447</v>
      </c>
      <c r="Q519" s="296" t="s">
        <v>446</v>
      </c>
      <c r="R519" s="252">
        <v>0</v>
      </c>
      <c r="AG519" s="296" t="s">
        <v>2249</v>
      </c>
    </row>
    <row r="520" spans="1:33" hidden="1">
      <c r="A520" s="437">
        <f t="shared" si="25"/>
        <v>353</v>
      </c>
      <c r="B520" s="296" t="s">
        <v>237</v>
      </c>
      <c r="C520" s="252">
        <v>26</v>
      </c>
      <c r="D520" s="296" t="s">
        <v>865</v>
      </c>
      <c r="F520" s="252">
        <v>0.75</v>
      </c>
      <c r="G520" s="252" t="s">
        <v>766</v>
      </c>
      <c r="H520" s="296" t="s">
        <v>1893</v>
      </c>
      <c r="I520" s="252">
        <f>(C12)</f>
        <v>95</v>
      </c>
      <c r="J520" s="253" t="s">
        <v>766</v>
      </c>
      <c r="K520" s="252">
        <f>(F520*I520)</f>
        <v>71.25</v>
      </c>
      <c r="R520" s="358" t="s">
        <v>1579</v>
      </c>
      <c r="AG520" s="296" t="s">
        <v>2249</v>
      </c>
    </row>
    <row r="521" spans="1:33" hidden="1">
      <c r="A521" s="437">
        <f t="shared" si="25"/>
        <v>354</v>
      </c>
      <c r="B521" s="296" t="s">
        <v>679</v>
      </c>
      <c r="D521" s="296" t="s">
        <v>971</v>
      </c>
      <c r="G521" s="252" t="s">
        <v>446</v>
      </c>
      <c r="H521" s="296" t="s">
        <v>447</v>
      </c>
      <c r="J521" s="253" t="s">
        <v>446</v>
      </c>
      <c r="K521" s="252">
        <v>0</v>
      </c>
      <c r="O521" s="296" t="s">
        <v>1842</v>
      </c>
      <c r="R521" s="252">
        <f>SUM(R509:R519)</f>
        <v>862.8</v>
      </c>
      <c r="AG521" s="296" t="s">
        <v>2249</v>
      </c>
    </row>
    <row r="522" spans="1:33" hidden="1">
      <c r="A522" s="437">
        <f t="shared" si="25"/>
        <v>355</v>
      </c>
      <c r="B522" s="296" t="s">
        <v>1111</v>
      </c>
      <c r="C522" s="252">
        <v>4.62</v>
      </c>
      <c r="D522" s="296" t="s">
        <v>865</v>
      </c>
      <c r="K522" s="358" t="s">
        <v>1579</v>
      </c>
      <c r="R522" s="358" t="s">
        <v>1579</v>
      </c>
      <c r="AG522" s="296" t="s">
        <v>2249</v>
      </c>
    </row>
    <row r="523" spans="1:33" hidden="1">
      <c r="A523" s="437">
        <f t="shared" si="25"/>
        <v>356</v>
      </c>
      <c r="B523" s="296" t="s">
        <v>1112</v>
      </c>
      <c r="C523" s="252">
        <v>7.83</v>
      </c>
      <c r="D523" s="296" t="s">
        <v>865</v>
      </c>
      <c r="H523" s="296" t="s">
        <v>1740</v>
      </c>
      <c r="K523" s="252" t="e">
        <f>SUM(K518:K521)</f>
        <v>#REF!</v>
      </c>
      <c r="O523" s="296" t="s">
        <v>1538</v>
      </c>
      <c r="R523" s="252">
        <f>(R521/30)</f>
        <v>28.76</v>
      </c>
      <c r="AG523" s="296" t="s">
        <v>2249</v>
      </c>
    </row>
    <row r="524" spans="1:33" hidden="1">
      <c r="A524" s="437">
        <f t="shared" ref="A524:A546" si="29">(A523+1)</f>
        <v>357</v>
      </c>
      <c r="B524" s="296" t="s">
        <v>1113</v>
      </c>
      <c r="C524" s="252">
        <v>11.38</v>
      </c>
      <c r="D524" s="296" t="s">
        <v>865</v>
      </c>
      <c r="K524" s="358" t="s">
        <v>1579</v>
      </c>
      <c r="R524" s="358" t="s">
        <v>1579</v>
      </c>
      <c r="AG524" s="296" t="s">
        <v>2249</v>
      </c>
    </row>
    <row r="525" spans="1:33" hidden="1">
      <c r="A525" s="437">
        <f t="shared" si="29"/>
        <v>358</v>
      </c>
      <c r="B525" s="296" t="s">
        <v>1114</v>
      </c>
      <c r="C525" s="252">
        <v>18.75</v>
      </c>
      <c r="D525" s="296" t="s">
        <v>865</v>
      </c>
      <c r="H525" s="296" t="s">
        <v>549</v>
      </c>
      <c r="K525" s="252" t="e">
        <f>(K523/0.743)</f>
        <v>#REF!</v>
      </c>
      <c r="AG525" s="296" t="s">
        <v>2249</v>
      </c>
    </row>
    <row r="526" spans="1:33" hidden="1">
      <c r="A526" s="437">
        <f t="shared" si="29"/>
        <v>359</v>
      </c>
      <c r="B526" s="296" t="s">
        <v>1116</v>
      </c>
      <c r="C526" s="252">
        <v>35.1</v>
      </c>
      <c r="D526" s="296" t="s">
        <v>865</v>
      </c>
      <c r="K526" s="358" t="s">
        <v>2046</v>
      </c>
      <c r="AG526" s="296" t="s">
        <v>2249</v>
      </c>
    </row>
    <row r="527" spans="1:33" hidden="1">
      <c r="A527" s="437">
        <f t="shared" si="29"/>
        <v>360</v>
      </c>
      <c r="B527" s="296" t="s">
        <v>237</v>
      </c>
      <c r="C527" s="252">
        <v>45.57</v>
      </c>
      <c r="D527" s="296" t="s">
        <v>865</v>
      </c>
      <c r="H527" s="296" t="s">
        <v>383</v>
      </c>
      <c r="I527" s="252" t="e">
        <f>K525</f>
        <v>#REF!</v>
      </c>
      <c r="J527" s="253">
        <f>C22*0.02</f>
        <v>0.53</v>
      </c>
      <c r="K527" s="252" t="e">
        <f>I527+J527</f>
        <v>#REF!</v>
      </c>
      <c r="N527" s="296" t="s">
        <v>1946</v>
      </c>
      <c r="O527" s="253" t="s">
        <v>1267</v>
      </c>
      <c r="AG527" s="296" t="s">
        <v>2249</v>
      </c>
    </row>
    <row r="528" spans="1:33" hidden="1">
      <c r="A528" s="437">
        <f t="shared" si="29"/>
        <v>361</v>
      </c>
      <c r="B528" s="296" t="s">
        <v>1123</v>
      </c>
      <c r="D528" s="296" t="s">
        <v>971</v>
      </c>
      <c r="H528" s="296" t="s">
        <v>385</v>
      </c>
      <c r="I528" s="252" t="e">
        <f>K527</f>
        <v>#REF!</v>
      </c>
      <c r="J528" s="253">
        <f>C23*0.02</f>
        <v>1.06</v>
      </c>
      <c r="K528" s="252" t="e">
        <f>I528+J528</f>
        <v>#REF!</v>
      </c>
      <c r="O528" s="358" t="s">
        <v>1579</v>
      </c>
      <c r="AG528" s="296" t="s">
        <v>2249</v>
      </c>
    </row>
    <row r="529" spans="1:33" hidden="1">
      <c r="A529" s="437">
        <f t="shared" si="29"/>
        <v>362</v>
      </c>
      <c r="B529" s="296" t="s">
        <v>1111</v>
      </c>
      <c r="C529" s="252">
        <v>7.8</v>
      </c>
      <c r="D529" s="296" t="s">
        <v>865</v>
      </c>
      <c r="H529" s="296" t="s">
        <v>2222</v>
      </c>
      <c r="I529" s="252" t="e">
        <f>K528</f>
        <v>#REF!</v>
      </c>
      <c r="J529" s="253">
        <f>C23*0.02</f>
        <v>1.06</v>
      </c>
      <c r="K529" s="252" t="e">
        <f>I529+J529</f>
        <v>#REF!</v>
      </c>
      <c r="M529" s="252">
        <v>30</v>
      </c>
      <c r="N529" s="296" t="s">
        <v>1763</v>
      </c>
      <c r="O529" s="296" t="s">
        <v>1656</v>
      </c>
      <c r="P529" s="252">
        <f>(C42)</f>
        <v>1.75</v>
      </c>
      <c r="Q529" s="296" t="s">
        <v>1763</v>
      </c>
      <c r="R529" s="252">
        <f>(M529*P529)</f>
        <v>52.5</v>
      </c>
      <c r="AG529" s="296" t="s">
        <v>2249</v>
      </c>
    </row>
    <row r="530" spans="1:33" hidden="1">
      <c r="A530" s="437">
        <f t="shared" si="29"/>
        <v>363</v>
      </c>
      <c r="B530" s="296" t="s">
        <v>1112</v>
      </c>
      <c r="C530" s="252">
        <v>9.49</v>
      </c>
      <c r="D530" s="296" t="s">
        <v>865</v>
      </c>
      <c r="H530" s="296" t="s">
        <v>377</v>
      </c>
      <c r="I530" s="252" t="e">
        <f>K529</f>
        <v>#REF!</v>
      </c>
      <c r="J530" s="253">
        <f>C23*0.02</f>
        <v>1.06</v>
      </c>
      <c r="K530" s="252" t="e">
        <f>I530+J530</f>
        <v>#REF!</v>
      </c>
      <c r="M530" s="296" t="s">
        <v>971</v>
      </c>
      <c r="O530" s="296" t="s">
        <v>1659</v>
      </c>
      <c r="P530" s="296" t="s">
        <v>971</v>
      </c>
      <c r="R530" s="296" t="s">
        <v>971</v>
      </c>
      <c r="AG530" s="296" t="s">
        <v>2249</v>
      </c>
    </row>
    <row r="531" spans="1:33" hidden="1">
      <c r="A531" s="437">
        <f t="shared" si="29"/>
        <v>364</v>
      </c>
      <c r="B531" s="296" t="s">
        <v>1113</v>
      </c>
      <c r="C531" s="252">
        <v>13.91</v>
      </c>
      <c r="D531" s="296" t="s">
        <v>865</v>
      </c>
      <c r="H531" s="296" t="s">
        <v>385</v>
      </c>
      <c r="I531" s="252" t="e">
        <f>K530</f>
        <v>#REF!</v>
      </c>
      <c r="J531" s="253">
        <f>C24*0.02</f>
        <v>1.06</v>
      </c>
      <c r="K531" s="252" t="e">
        <f>I531+J531</f>
        <v>#REF!</v>
      </c>
      <c r="M531" s="252">
        <v>8</v>
      </c>
      <c r="N531" s="296" t="s">
        <v>865</v>
      </c>
      <c r="O531" s="296" t="s">
        <v>2135</v>
      </c>
      <c r="P531" s="252">
        <f>(C45)</f>
        <v>2.7</v>
      </c>
      <c r="Q531" s="296" t="s">
        <v>865</v>
      </c>
      <c r="R531" s="252">
        <f t="shared" ref="R531:R536" si="30">(M531*P531)</f>
        <v>21.6</v>
      </c>
      <c r="AG531" s="296" t="s">
        <v>2249</v>
      </c>
    </row>
    <row r="532" spans="1:33" hidden="1">
      <c r="A532" s="437">
        <f t="shared" si="29"/>
        <v>365</v>
      </c>
      <c r="B532" s="296" t="s">
        <v>1114</v>
      </c>
      <c r="C532" s="252">
        <v>26.59</v>
      </c>
      <c r="D532" s="296" t="s">
        <v>865</v>
      </c>
      <c r="F532" s="253" t="s">
        <v>1124</v>
      </c>
      <c r="G532" s="252" t="s">
        <v>2241</v>
      </c>
      <c r="H532" s="296" t="s">
        <v>254</v>
      </c>
      <c r="M532" s="252">
        <v>8</v>
      </c>
      <c r="N532" s="296" t="s">
        <v>865</v>
      </c>
      <c r="O532" s="296" t="s">
        <v>464</v>
      </c>
      <c r="P532" s="252">
        <f>(C52)</f>
        <v>6.4</v>
      </c>
      <c r="Q532" s="296" t="s">
        <v>865</v>
      </c>
      <c r="R532" s="252">
        <f t="shared" si="30"/>
        <v>51.2</v>
      </c>
      <c r="AG532" s="296" t="s">
        <v>2249</v>
      </c>
    </row>
    <row r="533" spans="1:33" hidden="1">
      <c r="A533" s="437">
        <f t="shared" si="29"/>
        <v>366</v>
      </c>
      <c r="B533" s="296" t="s">
        <v>1116</v>
      </c>
      <c r="C533" s="252">
        <v>39.909999999999997</v>
      </c>
      <c r="D533" s="296" t="s">
        <v>865</v>
      </c>
      <c r="H533" s="358" t="s">
        <v>1579</v>
      </c>
      <c r="M533" s="252">
        <v>3</v>
      </c>
      <c r="N533" s="296" t="s">
        <v>865</v>
      </c>
      <c r="O533" s="296" t="s">
        <v>1837</v>
      </c>
      <c r="P533" s="252">
        <f>(C41)</f>
        <v>110</v>
      </c>
      <c r="Q533" s="296" t="s">
        <v>865</v>
      </c>
      <c r="R533" s="252">
        <f t="shared" si="30"/>
        <v>330</v>
      </c>
      <c r="AG533" s="296" t="s">
        <v>2249</v>
      </c>
    </row>
    <row r="534" spans="1:33" hidden="1">
      <c r="A534" s="437">
        <f t="shared" si="29"/>
        <v>367</v>
      </c>
      <c r="B534" s="296" t="s">
        <v>237</v>
      </c>
      <c r="C534" s="252">
        <v>66</v>
      </c>
      <c r="D534" s="296" t="s">
        <v>865</v>
      </c>
      <c r="F534" s="252">
        <v>0.03</v>
      </c>
      <c r="G534" s="252" t="s">
        <v>866</v>
      </c>
      <c r="H534" s="296" t="s">
        <v>993</v>
      </c>
      <c r="I534" s="252" t="e">
        <f>(K505)</f>
        <v>#REF!</v>
      </c>
      <c r="J534" s="253" t="s">
        <v>866</v>
      </c>
      <c r="K534" s="252" t="e">
        <f>(F534*I534)</f>
        <v>#REF!</v>
      </c>
      <c r="M534" s="252">
        <v>1</v>
      </c>
      <c r="N534" s="296" t="s">
        <v>865</v>
      </c>
      <c r="O534" s="296" t="s">
        <v>1838</v>
      </c>
      <c r="P534" s="252">
        <f>(C10)</f>
        <v>150</v>
      </c>
      <c r="Q534" s="296" t="s">
        <v>865</v>
      </c>
      <c r="R534" s="252">
        <f t="shared" si="30"/>
        <v>150</v>
      </c>
      <c r="AG534" s="296" t="s">
        <v>2249</v>
      </c>
    </row>
    <row r="535" spans="1:33" hidden="1">
      <c r="A535" s="437">
        <f t="shared" si="29"/>
        <v>368</v>
      </c>
      <c r="B535" s="296" t="s">
        <v>1125</v>
      </c>
      <c r="D535" s="296" t="s">
        <v>971</v>
      </c>
      <c r="F535" s="252">
        <v>0.5</v>
      </c>
      <c r="G535" s="252" t="s">
        <v>766</v>
      </c>
      <c r="H535" s="296" t="s">
        <v>2000</v>
      </c>
      <c r="I535" s="252">
        <f>(C10)</f>
        <v>150</v>
      </c>
      <c r="J535" s="253" t="s">
        <v>766</v>
      </c>
      <c r="K535" s="252">
        <f>(F535*I535)</f>
        <v>75</v>
      </c>
      <c r="M535" s="252">
        <v>2</v>
      </c>
      <c r="N535" s="296" t="s">
        <v>865</v>
      </c>
      <c r="O535" s="296" t="s">
        <v>1893</v>
      </c>
      <c r="P535" s="252">
        <f>(C12)</f>
        <v>95</v>
      </c>
      <c r="Q535" s="296" t="s">
        <v>865</v>
      </c>
      <c r="R535" s="252">
        <f t="shared" si="30"/>
        <v>190</v>
      </c>
      <c r="AG535" s="296" t="s">
        <v>2249</v>
      </c>
    </row>
    <row r="536" spans="1:33" hidden="1">
      <c r="A536" s="437">
        <f t="shared" si="29"/>
        <v>369</v>
      </c>
      <c r="B536" s="296" t="s">
        <v>948</v>
      </c>
      <c r="C536" s="252">
        <v>4.75</v>
      </c>
      <c r="D536" s="296" t="s">
        <v>865</v>
      </c>
      <c r="F536" s="252">
        <v>0.75</v>
      </c>
      <c r="G536" s="252" t="s">
        <v>766</v>
      </c>
      <c r="H536" s="296" t="s">
        <v>1893</v>
      </c>
      <c r="I536" s="252">
        <f>(C12)</f>
        <v>95</v>
      </c>
      <c r="J536" s="253" t="s">
        <v>766</v>
      </c>
      <c r="K536" s="252">
        <f>(F536*I536)</f>
        <v>71.25</v>
      </c>
      <c r="M536" s="252">
        <v>1</v>
      </c>
      <c r="N536" s="296" t="s">
        <v>865</v>
      </c>
      <c r="O536" s="296" t="s">
        <v>317</v>
      </c>
      <c r="P536" s="252">
        <f>(C13)</f>
        <v>85</v>
      </c>
      <c r="Q536" s="296" t="s">
        <v>865</v>
      </c>
      <c r="R536" s="252">
        <f t="shared" si="30"/>
        <v>85</v>
      </c>
      <c r="AG536" s="296" t="s">
        <v>2249</v>
      </c>
    </row>
    <row r="537" spans="1:33" hidden="1">
      <c r="A537" s="437">
        <f t="shared" si="29"/>
        <v>370</v>
      </c>
      <c r="B537" s="296" t="s">
        <v>741</v>
      </c>
      <c r="C537" s="252">
        <v>6.89</v>
      </c>
      <c r="D537" s="296" t="s">
        <v>865</v>
      </c>
      <c r="G537" s="252" t="s">
        <v>446</v>
      </c>
      <c r="H537" s="296" t="s">
        <v>447</v>
      </c>
      <c r="J537" s="253" t="s">
        <v>446</v>
      </c>
      <c r="K537" s="252">
        <v>0</v>
      </c>
      <c r="N537" s="296" t="s">
        <v>446</v>
      </c>
      <c r="O537" s="296" t="s">
        <v>1839</v>
      </c>
      <c r="P537" s="296" t="s">
        <v>971</v>
      </c>
      <c r="Q537" s="296" t="s">
        <v>446</v>
      </c>
      <c r="R537" s="252">
        <f>(C56)</f>
        <v>12.1</v>
      </c>
      <c r="AG537" s="296" t="s">
        <v>2249</v>
      </c>
    </row>
    <row r="538" spans="1:33" hidden="1">
      <c r="A538" s="437">
        <f t="shared" si="29"/>
        <v>371</v>
      </c>
      <c r="B538" s="296" t="s">
        <v>1655</v>
      </c>
      <c r="C538" s="252">
        <v>6.18</v>
      </c>
      <c r="D538" s="296" t="s">
        <v>865</v>
      </c>
      <c r="K538" s="358" t="s">
        <v>1579</v>
      </c>
      <c r="O538" s="296" t="s">
        <v>1841</v>
      </c>
      <c r="P538" s="296" t="s">
        <v>971</v>
      </c>
      <c r="R538" s="296" t="s">
        <v>971</v>
      </c>
      <c r="AG538" s="296" t="s">
        <v>2249</v>
      </c>
    </row>
    <row r="539" spans="1:33" hidden="1">
      <c r="A539" s="437">
        <f t="shared" si="29"/>
        <v>372</v>
      </c>
      <c r="B539" s="296" t="s">
        <v>1126</v>
      </c>
      <c r="C539" s="252">
        <v>13.29</v>
      </c>
      <c r="D539" s="296" t="s">
        <v>865</v>
      </c>
      <c r="H539" s="296" t="s">
        <v>1740</v>
      </c>
      <c r="K539" s="252" t="e">
        <f>SUM(K534:K537)</f>
        <v>#REF!</v>
      </c>
      <c r="N539" s="296" t="s">
        <v>446</v>
      </c>
      <c r="O539" s="296" t="s">
        <v>447</v>
      </c>
      <c r="Q539" s="296" t="s">
        <v>446</v>
      </c>
      <c r="R539" s="252">
        <v>0</v>
      </c>
      <c r="AG539" s="296" t="s">
        <v>2249</v>
      </c>
    </row>
    <row r="540" spans="1:33" hidden="1">
      <c r="A540" s="437">
        <f t="shared" si="29"/>
        <v>373</v>
      </c>
      <c r="B540" s="296" t="s">
        <v>1127</v>
      </c>
      <c r="C540" s="252">
        <v>14.11</v>
      </c>
      <c r="D540" s="296" t="s">
        <v>865</v>
      </c>
      <c r="K540" s="358" t="s">
        <v>1579</v>
      </c>
      <c r="R540" s="358" t="s">
        <v>1579</v>
      </c>
      <c r="AG540" s="296" t="s">
        <v>2249</v>
      </c>
    </row>
    <row r="541" spans="1:33" hidden="1">
      <c r="A541" s="437">
        <f t="shared" si="29"/>
        <v>374</v>
      </c>
      <c r="B541" s="296" t="s">
        <v>1128</v>
      </c>
      <c r="C541" s="252">
        <v>14.69</v>
      </c>
      <c r="D541" s="296" t="s">
        <v>865</v>
      </c>
      <c r="H541" s="296" t="s">
        <v>549</v>
      </c>
      <c r="K541" s="252" t="e">
        <f>(K539/0.743)</f>
        <v>#REF!</v>
      </c>
      <c r="O541" s="296" t="s">
        <v>1842</v>
      </c>
      <c r="R541" s="252">
        <f>SUM(R529:R539)</f>
        <v>892.4</v>
      </c>
      <c r="AG541" s="296" t="s">
        <v>2249</v>
      </c>
    </row>
    <row r="542" spans="1:33" hidden="1">
      <c r="A542" s="437">
        <f t="shared" si="29"/>
        <v>375</v>
      </c>
      <c r="B542" s="296" t="s">
        <v>1856</v>
      </c>
      <c r="D542" s="296" t="s">
        <v>971</v>
      </c>
      <c r="K542" s="358" t="s">
        <v>2046</v>
      </c>
      <c r="R542" s="358" t="s">
        <v>1579</v>
      </c>
      <c r="AG542" s="296" t="s">
        <v>2249</v>
      </c>
    </row>
    <row r="543" spans="1:33" hidden="1">
      <c r="A543" s="437">
        <f t="shared" si="29"/>
        <v>376</v>
      </c>
      <c r="B543" s="296" t="s">
        <v>948</v>
      </c>
      <c r="C543" s="252">
        <v>10.3</v>
      </c>
      <c r="D543" s="296" t="s">
        <v>865</v>
      </c>
      <c r="H543" s="296" t="s">
        <v>383</v>
      </c>
      <c r="I543" s="252" t="e">
        <f>K541</f>
        <v>#REF!</v>
      </c>
      <c r="J543" s="253">
        <f>C22*0.04</f>
        <v>1.06</v>
      </c>
      <c r="K543" s="252" t="e">
        <f>I543+J543</f>
        <v>#REF!</v>
      </c>
      <c r="O543" s="296" t="s">
        <v>1538</v>
      </c>
      <c r="R543" s="252">
        <f>(R541/30)</f>
        <v>29.75</v>
      </c>
      <c r="AG543" s="296" t="s">
        <v>2249</v>
      </c>
    </row>
    <row r="544" spans="1:33" hidden="1">
      <c r="A544" s="437">
        <f t="shared" si="29"/>
        <v>377</v>
      </c>
      <c r="B544" s="296" t="s">
        <v>741</v>
      </c>
      <c r="C544" s="252">
        <v>19.05</v>
      </c>
      <c r="D544" s="296" t="s">
        <v>865</v>
      </c>
      <c r="H544" s="296" t="s">
        <v>385</v>
      </c>
      <c r="I544" s="252" t="e">
        <f>K543</f>
        <v>#REF!</v>
      </c>
      <c r="J544" s="253">
        <f>C23*0.04</f>
        <v>2.11</v>
      </c>
      <c r="K544" s="252" t="e">
        <f>I544+J544</f>
        <v>#REF!</v>
      </c>
      <c r="R544" s="358" t="s">
        <v>1579</v>
      </c>
      <c r="AG544" s="296" t="s">
        <v>2249</v>
      </c>
    </row>
    <row r="545" spans="1:33" hidden="1">
      <c r="A545" s="437">
        <f t="shared" si="29"/>
        <v>378</v>
      </c>
      <c r="B545" s="296" t="s">
        <v>1655</v>
      </c>
      <c r="C545" s="252">
        <v>15.34</v>
      </c>
      <c r="D545" s="296" t="s">
        <v>865</v>
      </c>
      <c r="H545" s="296" t="s">
        <v>2222</v>
      </c>
      <c r="I545" s="252" t="e">
        <f>K544</f>
        <v>#REF!</v>
      </c>
      <c r="J545" s="253">
        <f>C23*0.04</f>
        <v>2.11</v>
      </c>
      <c r="K545" s="252" t="e">
        <f>I545+J545</f>
        <v>#REF!</v>
      </c>
      <c r="N545" s="296" t="s">
        <v>2241</v>
      </c>
      <c r="O545" s="296" t="s">
        <v>2038</v>
      </c>
      <c r="AG545" s="296" t="s">
        <v>2249</v>
      </c>
    </row>
    <row r="546" spans="1:33" hidden="1">
      <c r="A546" s="437">
        <f t="shared" si="29"/>
        <v>379</v>
      </c>
      <c r="B546" s="296" t="s">
        <v>1857</v>
      </c>
      <c r="C546" s="252">
        <v>29.41</v>
      </c>
      <c r="D546" s="296" t="s">
        <v>865</v>
      </c>
      <c r="H546" s="296" t="s">
        <v>377</v>
      </c>
      <c r="I546" s="252" t="e">
        <f>K545</f>
        <v>#REF!</v>
      </c>
      <c r="J546" s="253">
        <f>C23*0.04</f>
        <v>2.11</v>
      </c>
      <c r="K546" s="252" t="e">
        <f>I546+J546</f>
        <v>#REF!</v>
      </c>
      <c r="O546" s="296" t="s">
        <v>1858</v>
      </c>
      <c r="AG546" s="296" t="s">
        <v>2249</v>
      </c>
    </row>
    <row r="547" spans="1:33" hidden="1">
      <c r="F547" s="296" t="s">
        <v>971</v>
      </c>
      <c r="H547" s="296" t="s">
        <v>385</v>
      </c>
      <c r="I547" s="252" t="e">
        <f>K546</f>
        <v>#REF!</v>
      </c>
      <c r="J547" s="253">
        <f>C24*0.04</f>
        <v>2.11</v>
      </c>
      <c r="K547" s="252" t="e">
        <f>I547+J547</f>
        <v>#REF!</v>
      </c>
    </row>
    <row r="548" spans="1:33" hidden="1">
      <c r="A548" s="437">
        <f>(A546+1)</f>
        <v>380</v>
      </c>
      <c r="B548" s="296" t="s">
        <v>1127</v>
      </c>
      <c r="C548" s="252">
        <v>38.35</v>
      </c>
      <c r="D548" s="296" t="s">
        <v>865</v>
      </c>
      <c r="O548" s="296" t="s">
        <v>153</v>
      </c>
      <c r="AG548" s="296" t="s">
        <v>2249</v>
      </c>
    </row>
    <row r="549" spans="1:33" hidden="1">
      <c r="A549" s="437">
        <f t="shared" ref="A549:A564" si="31">(A548+1)</f>
        <v>381</v>
      </c>
      <c r="B549" s="296" t="s">
        <v>1128</v>
      </c>
      <c r="C549" s="252">
        <v>37.96</v>
      </c>
      <c r="D549" s="296" t="s">
        <v>865</v>
      </c>
      <c r="F549" s="375"/>
      <c r="G549" s="252" t="s">
        <v>971</v>
      </c>
      <c r="H549" s="296" t="s">
        <v>133</v>
      </c>
      <c r="O549" s="358" t="s">
        <v>1579</v>
      </c>
      <c r="AG549" s="296" t="s">
        <v>2249</v>
      </c>
    </row>
    <row r="550" spans="1:33" hidden="1">
      <c r="A550" s="437">
        <f t="shared" si="31"/>
        <v>382</v>
      </c>
      <c r="B550" s="296" t="s">
        <v>134</v>
      </c>
      <c r="D550" s="296" t="s">
        <v>971</v>
      </c>
      <c r="H550" s="296" t="s">
        <v>1260</v>
      </c>
      <c r="AG550" s="296" t="s">
        <v>2249</v>
      </c>
    </row>
    <row r="551" spans="1:33" hidden="1">
      <c r="A551" s="437">
        <f t="shared" si="31"/>
        <v>383</v>
      </c>
      <c r="B551" s="296" t="s">
        <v>948</v>
      </c>
      <c r="C551" s="252">
        <v>6.68</v>
      </c>
      <c r="D551" s="296" t="s">
        <v>865</v>
      </c>
      <c r="H551" s="296" t="s">
        <v>1261</v>
      </c>
      <c r="N551" s="296" t="s">
        <v>154</v>
      </c>
      <c r="O551" s="296" t="s">
        <v>1019</v>
      </c>
      <c r="AG551" s="296" t="s">
        <v>2249</v>
      </c>
    </row>
    <row r="552" spans="1:33" hidden="1">
      <c r="A552" s="437">
        <f t="shared" si="31"/>
        <v>384</v>
      </c>
      <c r="B552" s="296" t="s">
        <v>741</v>
      </c>
      <c r="C552" s="252">
        <v>9.4499999999999993</v>
      </c>
      <c r="D552" s="296" t="s">
        <v>865</v>
      </c>
      <c r="H552" s="296" t="s">
        <v>1020</v>
      </c>
      <c r="O552" s="358" t="s">
        <v>1579</v>
      </c>
      <c r="AG552" s="296" t="s">
        <v>2249</v>
      </c>
    </row>
    <row r="553" spans="1:33" hidden="1">
      <c r="A553" s="437">
        <f t="shared" si="31"/>
        <v>385</v>
      </c>
      <c r="B553" s="296" t="s">
        <v>1655</v>
      </c>
      <c r="C553" s="252">
        <v>33.04</v>
      </c>
      <c r="D553" s="296" t="s">
        <v>865</v>
      </c>
      <c r="H553" s="296" t="s">
        <v>1021</v>
      </c>
      <c r="M553" s="252">
        <v>8.1</v>
      </c>
      <c r="N553" s="296" t="s">
        <v>866</v>
      </c>
      <c r="O553" s="296" t="s">
        <v>614</v>
      </c>
      <c r="P553" s="252">
        <f>(C61)*2</f>
        <v>50</v>
      </c>
      <c r="Q553" s="296" t="s">
        <v>866</v>
      </c>
      <c r="R553" s="252">
        <f>(M553*P553)</f>
        <v>405</v>
      </c>
      <c r="AG553" s="296" t="s">
        <v>2249</v>
      </c>
    </row>
    <row r="554" spans="1:33" hidden="1">
      <c r="A554" s="437">
        <f t="shared" si="31"/>
        <v>386</v>
      </c>
      <c r="B554" s="296" t="s">
        <v>1857</v>
      </c>
      <c r="C554" s="252">
        <v>33.04</v>
      </c>
      <c r="D554" s="296" t="s">
        <v>865</v>
      </c>
      <c r="H554" s="296" t="s">
        <v>1243</v>
      </c>
      <c r="M554" s="252">
        <v>8.1</v>
      </c>
      <c r="N554" s="296" t="s">
        <v>866</v>
      </c>
      <c r="O554" s="296" t="s">
        <v>2148</v>
      </c>
      <c r="P554" s="252">
        <f>(C26)</f>
        <v>8.8000000000000007</v>
      </c>
      <c r="Q554" s="296" t="s">
        <v>866</v>
      </c>
      <c r="R554" s="252">
        <f>(M554*P554)</f>
        <v>71.28</v>
      </c>
      <c r="AG554" s="296" t="s">
        <v>2249</v>
      </c>
    </row>
    <row r="555" spans="1:33" hidden="1">
      <c r="A555" s="437">
        <f t="shared" si="31"/>
        <v>387</v>
      </c>
      <c r="B555" s="296" t="s">
        <v>1244</v>
      </c>
      <c r="C555" s="252">
        <v>33.04</v>
      </c>
      <c r="D555" s="296" t="s">
        <v>865</v>
      </c>
      <c r="H555" s="296" t="s">
        <v>5739</v>
      </c>
      <c r="M555" s="252">
        <v>30</v>
      </c>
      <c r="N555" s="296" t="s">
        <v>1763</v>
      </c>
      <c r="O555" s="296" t="s">
        <v>2149</v>
      </c>
      <c r="P555" s="252">
        <f>(C639)</f>
        <v>3</v>
      </c>
      <c r="Q555" s="296" t="s">
        <v>1763</v>
      </c>
      <c r="R555" s="252">
        <f>(M555*P555)</f>
        <v>90</v>
      </c>
      <c r="AG555" s="296" t="s">
        <v>318</v>
      </c>
    </row>
    <row r="556" spans="1:33" hidden="1">
      <c r="A556" s="437">
        <f t="shared" si="31"/>
        <v>388</v>
      </c>
      <c r="B556" s="296" t="s">
        <v>1245</v>
      </c>
      <c r="C556" s="252">
        <v>33.04</v>
      </c>
      <c r="D556" s="296" t="s">
        <v>865</v>
      </c>
      <c r="H556" s="358" t="s">
        <v>1579</v>
      </c>
      <c r="I556" s="358" t="s">
        <v>1579</v>
      </c>
      <c r="O556" s="296" t="s">
        <v>1246</v>
      </c>
    </row>
    <row r="557" spans="1:33" hidden="1">
      <c r="A557" s="437">
        <f t="shared" si="31"/>
        <v>389</v>
      </c>
      <c r="B557" s="296" t="s">
        <v>607</v>
      </c>
      <c r="C557" s="252">
        <v>538</v>
      </c>
      <c r="D557" s="296" t="s">
        <v>865</v>
      </c>
      <c r="G557" s="252" t="s">
        <v>686</v>
      </c>
      <c r="H557" s="296" t="s">
        <v>608</v>
      </c>
      <c r="O557" s="296" t="s">
        <v>2151</v>
      </c>
    </row>
    <row r="558" spans="1:33" hidden="1">
      <c r="A558" s="437">
        <f t="shared" si="31"/>
        <v>390</v>
      </c>
      <c r="B558" s="296" t="s">
        <v>2270</v>
      </c>
      <c r="C558" s="252">
        <v>340</v>
      </c>
      <c r="D558" s="296" t="s">
        <v>865</v>
      </c>
      <c r="H558" s="296" t="s">
        <v>2271</v>
      </c>
      <c r="O558" s="296" t="s">
        <v>2152</v>
      </c>
      <c r="AG558" s="296" t="s">
        <v>2249</v>
      </c>
    </row>
    <row r="559" spans="1:33" hidden="1">
      <c r="A559" s="437">
        <f t="shared" si="31"/>
        <v>391</v>
      </c>
      <c r="B559" s="296" t="s">
        <v>2272</v>
      </c>
      <c r="C559" s="252">
        <v>1039</v>
      </c>
      <c r="D559" s="296" t="s">
        <v>865</v>
      </c>
      <c r="F559" s="252">
        <v>10</v>
      </c>
      <c r="G559" s="252" t="s">
        <v>2273</v>
      </c>
      <c r="H559" s="296" t="s">
        <v>555</v>
      </c>
      <c r="I559" s="252">
        <f>C721</f>
        <v>227</v>
      </c>
      <c r="J559" s="253" t="s">
        <v>2273</v>
      </c>
      <c r="K559" s="252">
        <f>(F559*I559)</f>
        <v>2270</v>
      </c>
      <c r="O559" s="296" t="s">
        <v>2155</v>
      </c>
      <c r="AG559" s="296" t="s">
        <v>2249</v>
      </c>
    </row>
    <row r="560" spans="1:33" hidden="1">
      <c r="A560" s="437">
        <f t="shared" si="31"/>
        <v>392</v>
      </c>
      <c r="B560" s="296" t="s">
        <v>556</v>
      </c>
      <c r="C560" s="252">
        <v>100.44</v>
      </c>
      <c r="D560" s="296" t="s">
        <v>865</v>
      </c>
      <c r="F560" s="252">
        <v>1</v>
      </c>
      <c r="G560" s="252" t="s">
        <v>557</v>
      </c>
      <c r="H560" s="296" t="s">
        <v>558</v>
      </c>
      <c r="I560" s="252">
        <f>C10</f>
        <v>150</v>
      </c>
      <c r="J560" s="253" t="s">
        <v>1393</v>
      </c>
      <c r="K560" s="252">
        <f>(F560*I560)</f>
        <v>150</v>
      </c>
      <c r="M560" s="252">
        <v>8</v>
      </c>
      <c r="N560" s="296" t="s">
        <v>766</v>
      </c>
      <c r="O560" s="296" t="s">
        <v>2135</v>
      </c>
      <c r="P560" s="252">
        <f>(C641)</f>
        <v>2.2000000000000002</v>
      </c>
      <c r="Q560" s="296" t="s">
        <v>766</v>
      </c>
      <c r="R560" s="252">
        <f>(M560*P560)</f>
        <v>17.600000000000001</v>
      </c>
      <c r="AG560" s="296" t="s">
        <v>2249</v>
      </c>
    </row>
    <row r="561" spans="1:33" hidden="1">
      <c r="A561" s="437">
        <f t="shared" si="31"/>
        <v>393</v>
      </c>
      <c r="B561" s="296" t="s">
        <v>819</v>
      </c>
      <c r="C561" s="252">
        <v>31</v>
      </c>
      <c r="D561" s="296" t="s">
        <v>1148</v>
      </c>
      <c r="F561" s="252">
        <v>1</v>
      </c>
      <c r="G561" s="252" t="s">
        <v>557</v>
      </c>
      <c r="H561" s="296" t="s">
        <v>820</v>
      </c>
      <c r="I561" s="252">
        <f>C12</f>
        <v>95</v>
      </c>
      <c r="J561" s="253" t="s">
        <v>1393</v>
      </c>
      <c r="K561" s="252">
        <f>(F561*I561)</f>
        <v>95</v>
      </c>
      <c r="M561" s="252">
        <v>8</v>
      </c>
      <c r="N561" s="296" t="s">
        <v>766</v>
      </c>
      <c r="O561" s="296" t="s">
        <v>464</v>
      </c>
      <c r="P561" s="252">
        <f>(C642)</f>
        <v>3.2</v>
      </c>
      <c r="Q561" s="296" t="s">
        <v>766</v>
      </c>
      <c r="R561" s="252">
        <f>(M561*P561)</f>
        <v>25.6</v>
      </c>
      <c r="AG561" s="296" t="s">
        <v>2249</v>
      </c>
    </row>
    <row r="562" spans="1:33" hidden="1">
      <c r="A562" s="437">
        <f t="shared" si="31"/>
        <v>394</v>
      </c>
      <c r="B562" s="296" t="s">
        <v>2901</v>
      </c>
      <c r="C562" s="252">
        <v>71.239999999999995</v>
      </c>
      <c r="D562" s="296" t="s">
        <v>865</v>
      </c>
      <c r="G562" s="252" t="s">
        <v>446</v>
      </c>
      <c r="H562" s="296" t="s">
        <v>59</v>
      </c>
      <c r="J562" s="253" t="s">
        <v>446</v>
      </c>
      <c r="K562" s="252">
        <v>120</v>
      </c>
      <c r="M562" s="252">
        <v>1</v>
      </c>
      <c r="N562" s="296" t="s">
        <v>446</v>
      </c>
      <c r="O562" s="296" t="s">
        <v>1676</v>
      </c>
      <c r="P562" s="252">
        <f>(C643)</f>
        <v>4</v>
      </c>
      <c r="Q562" s="296" t="s">
        <v>446</v>
      </c>
      <c r="R562" s="252">
        <f>(M562*P562)</f>
        <v>4</v>
      </c>
      <c r="AG562" s="296" t="s">
        <v>2249</v>
      </c>
    </row>
    <row r="563" spans="1:33" hidden="1">
      <c r="A563" s="437">
        <f t="shared" si="31"/>
        <v>395</v>
      </c>
      <c r="B563" s="296" t="s">
        <v>60</v>
      </c>
      <c r="C563" s="252">
        <v>82.2</v>
      </c>
      <c r="D563" s="296" t="s">
        <v>865</v>
      </c>
      <c r="H563" s="296" t="s">
        <v>927</v>
      </c>
      <c r="K563" s="358" t="s">
        <v>1579</v>
      </c>
      <c r="M563" s="252">
        <v>1</v>
      </c>
      <c r="N563" s="296" t="s">
        <v>446</v>
      </c>
      <c r="O563" s="296" t="s">
        <v>447</v>
      </c>
      <c r="Q563" s="296" t="s">
        <v>446</v>
      </c>
      <c r="R563" s="252">
        <v>0</v>
      </c>
      <c r="AG563" s="296" t="s">
        <v>2249</v>
      </c>
    </row>
    <row r="564" spans="1:33" hidden="1">
      <c r="A564" s="437">
        <f t="shared" si="31"/>
        <v>396</v>
      </c>
      <c r="B564" s="296" t="s">
        <v>1055</v>
      </c>
      <c r="C564" s="252">
        <v>57.51</v>
      </c>
      <c r="D564" s="296" t="s">
        <v>865</v>
      </c>
      <c r="H564" s="253" t="s">
        <v>1056</v>
      </c>
      <c r="K564" s="252">
        <f>SUM(K559:K562)</f>
        <v>2635</v>
      </c>
      <c r="R564" s="358" t="s">
        <v>1579</v>
      </c>
      <c r="AG564" s="296" t="s">
        <v>2249</v>
      </c>
    </row>
    <row r="565" spans="1:33" hidden="1">
      <c r="F565" s="296" t="s">
        <v>971</v>
      </c>
    </row>
    <row r="566" spans="1:33" hidden="1">
      <c r="A566" s="437">
        <f>(A564+1)</f>
        <v>397</v>
      </c>
      <c r="B566" s="296" t="s">
        <v>913</v>
      </c>
      <c r="C566" s="252">
        <v>28.5</v>
      </c>
      <c r="D566" s="296" t="s">
        <v>865</v>
      </c>
      <c r="K566" s="358" t="s">
        <v>1579</v>
      </c>
      <c r="O566" s="296" t="s">
        <v>1537</v>
      </c>
      <c r="R566" s="252">
        <f>SUM(R553:R563)</f>
        <v>613.48</v>
      </c>
      <c r="AG566" s="296" t="s">
        <v>2249</v>
      </c>
    </row>
    <row r="567" spans="1:33" hidden="1">
      <c r="A567" s="437">
        <f>(A566+1)</f>
        <v>398</v>
      </c>
      <c r="B567" s="296" t="s">
        <v>499</v>
      </c>
      <c r="C567" s="252">
        <v>57.51</v>
      </c>
      <c r="D567" s="296" t="s">
        <v>865</v>
      </c>
      <c r="H567" s="253" t="s">
        <v>500</v>
      </c>
      <c r="K567" s="252">
        <f>K564/10</f>
        <v>263.5</v>
      </c>
      <c r="R567" s="358" t="s">
        <v>1579</v>
      </c>
      <c r="AG567" s="296" t="s">
        <v>2249</v>
      </c>
    </row>
    <row r="568" spans="1:33" hidden="1">
      <c r="A568" s="437">
        <f>(A567+1)</f>
        <v>399</v>
      </c>
      <c r="B568" s="296" t="s">
        <v>1900</v>
      </c>
      <c r="C568" s="252">
        <v>20</v>
      </c>
      <c r="D568" s="296" t="s">
        <v>865</v>
      </c>
      <c r="H568" s="296" t="s">
        <v>383</v>
      </c>
      <c r="I568" s="252">
        <f>K567</f>
        <v>263.5</v>
      </c>
      <c r="J568" s="253">
        <f>C22*0.02</f>
        <v>0.53</v>
      </c>
      <c r="K568" s="252">
        <f>I568+J568</f>
        <v>264.02999999999997</v>
      </c>
      <c r="O568" s="296" t="s">
        <v>1538</v>
      </c>
      <c r="R568" s="252">
        <f>(R566/30)</f>
        <v>20.45</v>
      </c>
      <c r="AG568" s="296" t="s">
        <v>2249</v>
      </c>
    </row>
    <row r="569" spans="1:33" hidden="1">
      <c r="A569" s="437">
        <f>(A568+1)</f>
        <v>400</v>
      </c>
      <c r="B569" s="296" t="s">
        <v>1901</v>
      </c>
      <c r="C569" s="252">
        <v>21.92</v>
      </c>
      <c r="D569" s="296" t="s">
        <v>865</v>
      </c>
      <c r="H569" s="296" t="s">
        <v>385</v>
      </c>
      <c r="I569" s="252">
        <f>K568</f>
        <v>264.02999999999997</v>
      </c>
      <c r="J569" s="253">
        <f>C23*0.02</f>
        <v>1.06</v>
      </c>
      <c r="K569" s="252">
        <f>I569+J569</f>
        <v>265.08999999999997</v>
      </c>
      <c r="N569" s="296" t="s">
        <v>2241</v>
      </c>
      <c r="O569" s="296" t="s">
        <v>1902</v>
      </c>
      <c r="AG569" s="296" t="s">
        <v>2249</v>
      </c>
    </row>
    <row r="570" spans="1:33" hidden="1">
      <c r="A570" s="437">
        <f>(A569+1)</f>
        <v>401</v>
      </c>
      <c r="B570" s="296" t="s">
        <v>235</v>
      </c>
      <c r="C570" s="252">
        <v>28.5</v>
      </c>
      <c r="D570" s="296" t="s">
        <v>865</v>
      </c>
      <c r="H570" s="296" t="s">
        <v>2222</v>
      </c>
      <c r="I570" s="252">
        <f>K569</f>
        <v>265.08999999999997</v>
      </c>
      <c r="J570" s="253">
        <f>C23*0.02</f>
        <v>1.06</v>
      </c>
      <c r="K570" s="252">
        <f>I570+J570</f>
        <v>266.14999999999998</v>
      </c>
      <c r="O570" s="296" t="s">
        <v>236</v>
      </c>
      <c r="AG570" s="296" t="s">
        <v>2249</v>
      </c>
    </row>
    <row r="571" spans="1:33" hidden="1">
      <c r="A571" s="437">
        <f>(A570+1)</f>
        <v>402</v>
      </c>
      <c r="B571" s="296" t="s">
        <v>2059</v>
      </c>
      <c r="C571" s="252">
        <v>535</v>
      </c>
      <c r="D571" s="296" t="s">
        <v>865</v>
      </c>
      <c r="H571" s="296" t="s">
        <v>377</v>
      </c>
      <c r="I571" s="252">
        <f>K570</f>
        <v>266.14999999999998</v>
      </c>
      <c r="J571" s="253">
        <f>C23*0.02</f>
        <v>1.06</v>
      </c>
      <c r="K571" s="252">
        <f>I571+J571</f>
        <v>267.20999999999998</v>
      </c>
      <c r="O571" s="358" t="s">
        <v>1579</v>
      </c>
      <c r="AG571" s="296" t="s">
        <v>2249</v>
      </c>
    </row>
    <row r="572" spans="1:33" hidden="1">
      <c r="A572" s="437"/>
      <c r="B572" s="296"/>
      <c r="D572" s="296"/>
      <c r="H572" s="296" t="s">
        <v>1359</v>
      </c>
      <c r="I572" s="252">
        <f>K571</f>
        <v>267.20999999999998</v>
      </c>
      <c r="J572" s="253">
        <f>C24*0.02</f>
        <v>1.06</v>
      </c>
      <c r="K572" s="252">
        <f>I572+J572</f>
        <v>268.27</v>
      </c>
      <c r="O572" s="358"/>
      <c r="AG572" s="296"/>
    </row>
    <row r="573" spans="1:33" hidden="1">
      <c r="A573" s="437">
        <f>(A571+1)</f>
        <v>403</v>
      </c>
      <c r="B573" s="296" t="s">
        <v>540</v>
      </c>
      <c r="C573" s="252">
        <v>21</v>
      </c>
      <c r="D573" s="296" t="s">
        <v>865</v>
      </c>
      <c r="F573" s="375">
        <v>15.2</v>
      </c>
      <c r="G573" s="252" t="s">
        <v>686</v>
      </c>
      <c r="H573" s="296" t="s">
        <v>783</v>
      </c>
      <c r="M573" s="252">
        <v>1.08</v>
      </c>
      <c r="N573" s="296" t="s">
        <v>866</v>
      </c>
      <c r="O573" s="296" t="s">
        <v>784</v>
      </c>
      <c r="P573" s="252">
        <f>(K88)</f>
        <v>52.93</v>
      </c>
      <c r="Q573" s="296" t="s">
        <v>866</v>
      </c>
      <c r="R573" s="252">
        <f>(M573*P573)</f>
        <v>57.16</v>
      </c>
      <c r="AG573" s="296" t="s">
        <v>2249</v>
      </c>
    </row>
    <row r="574" spans="1:33" hidden="1">
      <c r="A574" s="437">
        <f t="shared" ref="A574:A586" si="32">(A573+1)</f>
        <v>404</v>
      </c>
      <c r="B574" s="296" t="s">
        <v>785</v>
      </c>
      <c r="C574" s="252">
        <v>150</v>
      </c>
      <c r="D574" s="296" t="s">
        <v>865</v>
      </c>
      <c r="H574" s="296" t="s">
        <v>2271</v>
      </c>
      <c r="M574" s="356">
        <v>0.216</v>
      </c>
      <c r="N574" s="296" t="s">
        <v>866</v>
      </c>
      <c r="O574" s="296" t="s">
        <v>786</v>
      </c>
      <c r="P574" s="252" t="e">
        <f>(R60)</f>
        <v>#REF!</v>
      </c>
      <c r="Q574" s="296" t="s">
        <v>866</v>
      </c>
      <c r="R574" s="252" t="e">
        <f>(M574*P574)</f>
        <v>#REF!</v>
      </c>
      <c r="AG574" s="296" t="s">
        <v>2249</v>
      </c>
    </row>
    <row r="575" spans="1:33" hidden="1">
      <c r="A575" s="437">
        <f t="shared" si="32"/>
        <v>405</v>
      </c>
      <c r="B575" s="296" t="s">
        <v>1966</v>
      </c>
      <c r="C575" s="252">
        <v>16.440000000000001</v>
      </c>
      <c r="D575" s="296" t="s">
        <v>865</v>
      </c>
      <c r="F575" s="252">
        <v>1</v>
      </c>
      <c r="G575" s="252" t="s">
        <v>2273</v>
      </c>
      <c r="H575" s="296" t="s">
        <v>555</v>
      </c>
      <c r="I575" s="252">
        <f>D721</f>
        <v>247</v>
      </c>
      <c r="J575" s="253" t="s">
        <v>2273</v>
      </c>
      <c r="K575" s="252">
        <f>(F575*I575)</f>
        <v>247</v>
      </c>
      <c r="M575" s="356">
        <v>0.48699999999999999</v>
      </c>
      <c r="N575" s="296" t="s">
        <v>866</v>
      </c>
      <c r="O575" s="296" t="s">
        <v>1967</v>
      </c>
      <c r="P575" s="252" t="e">
        <f>(R89)</f>
        <v>#REF!</v>
      </c>
      <c r="Q575" s="296" t="s">
        <v>866</v>
      </c>
      <c r="R575" s="252" t="e">
        <f>(M575*P575)</f>
        <v>#REF!</v>
      </c>
      <c r="AG575" s="296" t="s">
        <v>2249</v>
      </c>
    </row>
    <row r="576" spans="1:33" hidden="1">
      <c r="A576" s="437">
        <f t="shared" si="32"/>
        <v>406</v>
      </c>
      <c r="B576" s="296" t="s">
        <v>2902</v>
      </c>
      <c r="C576" s="252">
        <v>30</v>
      </c>
      <c r="D576" s="252">
        <v>25</v>
      </c>
      <c r="F576" s="252">
        <v>0.75</v>
      </c>
      <c r="G576" s="252" t="s">
        <v>557</v>
      </c>
      <c r="H576" s="296" t="s">
        <v>558</v>
      </c>
      <c r="I576" s="252">
        <f>C10</f>
        <v>150</v>
      </c>
      <c r="J576" s="253" t="s">
        <v>1393</v>
      </c>
      <c r="K576" s="252">
        <f>(F576*I576)</f>
        <v>112.5</v>
      </c>
      <c r="M576" s="356">
        <v>5.36</v>
      </c>
      <c r="N576" s="296" t="s">
        <v>606</v>
      </c>
      <c r="O576" s="296" t="s">
        <v>1968</v>
      </c>
      <c r="P576" s="252" t="e">
        <f>(R303)</f>
        <v>#REF!</v>
      </c>
      <c r="Q576" s="296" t="s">
        <v>606</v>
      </c>
      <c r="R576" s="252" t="e">
        <f>(M576*P576)</f>
        <v>#REF!</v>
      </c>
      <c r="AG576" s="296" t="s">
        <v>2249</v>
      </c>
    </row>
    <row r="577" spans="1:33" hidden="1">
      <c r="A577" s="437">
        <f t="shared" si="32"/>
        <v>407</v>
      </c>
      <c r="B577" s="296" t="s">
        <v>421</v>
      </c>
      <c r="C577" s="252">
        <v>208.5</v>
      </c>
      <c r="D577" s="296" t="s">
        <v>865</v>
      </c>
      <c r="F577" s="252">
        <v>0.75</v>
      </c>
      <c r="G577" s="252" t="s">
        <v>557</v>
      </c>
      <c r="H577" s="296" t="s">
        <v>820</v>
      </c>
      <c r="I577" s="252">
        <f>C12</f>
        <v>95</v>
      </c>
      <c r="J577" s="253" t="s">
        <v>1393</v>
      </c>
      <c r="K577" s="252">
        <f>(F577*I577)</f>
        <v>71.25</v>
      </c>
      <c r="M577" s="356">
        <v>3.2000000000000001E-2</v>
      </c>
      <c r="N577" s="296" t="s">
        <v>866</v>
      </c>
      <c r="O577" s="296" t="s">
        <v>776</v>
      </c>
      <c r="P577" s="252" t="e">
        <f>(K614)</f>
        <v>#REF!</v>
      </c>
      <c r="Q577" s="296" t="s">
        <v>866</v>
      </c>
      <c r="R577" s="252" t="e">
        <f>(M577*P577)</f>
        <v>#REF!</v>
      </c>
      <c r="AG577" s="296" t="s">
        <v>2249</v>
      </c>
    </row>
    <row r="578" spans="1:33" hidden="1">
      <c r="A578" s="437">
        <f t="shared" si="32"/>
        <v>408</v>
      </c>
      <c r="B578" s="296" t="s">
        <v>2032</v>
      </c>
      <c r="C578" s="252">
        <v>95</v>
      </c>
      <c r="D578" s="296" t="s">
        <v>865</v>
      </c>
      <c r="F578" s="252">
        <v>0.5</v>
      </c>
      <c r="G578" s="252" t="s">
        <v>557</v>
      </c>
      <c r="H578" s="296" t="s">
        <v>2033</v>
      </c>
      <c r="I578" s="252">
        <f>C41</f>
        <v>110</v>
      </c>
      <c r="J578" s="253" t="s">
        <v>1393</v>
      </c>
      <c r="K578" s="252">
        <f>(F578*I578)</f>
        <v>55</v>
      </c>
      <c r="O578" s="296" t="s">
        <v>285</v>
      </c>
      <c r="R578" s="296" t="s">
        <v>971</v>
      </c>
      <c r="AG578" s="296" t="s">
        <v>2249</v>
      </c>
    </row>
    <row r="579" spans="1:33" hidden="1">
      <c r="A579" s="437">
        <f t="shared" si="32"/>
        <v>409</v>
      </c>
      <c r="B579" s="296" t="s">
        <v>2903</v>
      </c>
      <c r="C579" s="407">
        <v>301</v>
      </c>
      <c r="D579" s="296" t="s">
        <v>606</v>
      </c>
      <c r="G579" s="252" t="s">
        <v>446</v>
      </c>
      <c r="H579" s="296" t="s">
        <v>59</v>
      </c>
      <c r="J579" s="253" t="s">
        <v>446</v>
      </c>
      <c r="K579" s="252">
        <v>53.5</v>
      </c>
      <c r="N579" s="296" t="s">
        <v>446</v>
      </c>
      <c r="O579" s="296" t="s">
        <v>337</v>
      </c>
      <c r="Q579" s="296" t="s">
        <v>446</v>
      </c>
      <c r="R579" s="252">
        <v>2.92</v>
      </c>
      <c r="AG579" s="296" t="s">
        <v>2249</v>
      </c>
    </row>
    <row r="580" spans="1:33" hidden="1">
      <c r="A580" s="437">
        <f t="shared" si="32"/>
        <v>410</v>
      </c>
      <c r="B580" s="296" t="s">
        <v>2904</v>
      </c>
      <c r="C580" s="252">
        <v>325</v>
      </c>
      <c r="D580" s="296" t="s">
        <v>606</v>
      </c>
      <c r="E580" s="296" t="s">
        <v>971</v>
      </c>
      <c r="H580" s="296" t="s">
        <v>927</v>
      </c>
      <c r="K580" s="358" t="s">
        <v>1579</v>
      </c>
      <c r="R580" s="358" t="s">
        <v>1579</v>
      </c>
      <c r="AG580" s="296" t="s">
        <v>2249</v>
      </c>
    </row>
    <row r="581" spans="1:33" hidden="1">
      <c r="A581" s="437">
        <f t="shared" si="32"/>
        <v>411</v>
      </c>
      <c r="B581" s="296" t="s">
        <v>338</v>
      </c>
      <c r="C581" s="252">
        <v>75</v>
      </c>
      <c r="D581" s="296" t="s">
        <v>865</v>
      </c>
      <c r="H581" s="253" t="s">
        <v>1742</v>
      </c>
      <c r="K581" s="252">
        <f>SUM(K575:K579)</f>
        <v>539.25</v>
      </c>
      <c r="O581" s="296" t="s">
        <v>1743</v>
      </c>
      <c r="R581" s="252" t="e">
        <f>SUM(R573:R579)</f>
        <v>#REF!</v>
      </c>
      <c r="AG581" s="296" t="s">
        <v>2249</v>
      </c>
    </row>
    <row r="582" spans="1:33" hidden="1">
      <c r="A582" s="437">
        <f t="shared" si="32"/>
        <v>412</v>
      </c>
      <c r="B582" s="296" t="s">
        <v>1744</v>
      </c>
      <c r="C582" s="252">
        <v>125</v>
      </c>
      <c r="D582" s="296" t="s">
        <v>865</v>
      </c>
      <c r="K582" s="358" t="s">
        <v>1579</v>
      </c>
      <c r="R582" s="358" t="s">
        <v>1579</v>
      </c>
      <c r="AG582" s="296" t="s">
        <v>2249</v>
      </c>
    </row>
    <row r="583" spans="1:33" hidden="1">
      <c r="A583" s="437">
        <f t="shared" si="32"/>
        <v>413</v>
      </c>
      <c r="B583" s="296" t="s">
        <v>1745</v>
      </c>
      <c r="C583" s="252">
        <v>190</v>
      </c>
      <c r="D583" s="296" t="s">
        <v>865</v>
      </c>
      <c r="H583" s="296" t="s">
        <v>383</v>
      </c>
      <c r="I583" s="252">
        <f>K581</f>
        <v>539.25</v>
      </c>
      <c r="J583" s="253">
        <f>C22*0.04</f>
        <v>1.06</v>
      </c>
      <c r="K583" s="252">
        <f>(K581+C22*0.04)</f>
        <v>540.30999999999995</v>
      </c>
      <c r="N583" s="296" t="s">
        <v>2241</v>
      </c>
      <c r="O583" s="296" t="s">
        <v>1902</v>
      </c>
      <c r="AG583" s="296" t="s">
        <v>2249</v>
      </c>
    </row>
    <row r="584" spans="1:33" hidden="1">
      <c r="A584" s="437">
        <f t="shared" si="32"/>
        <v>414</v>
      </c>
      <c r="B584" s="296" t="s">
        <v>1746</v>
      </c>
      <c r="C584" s="252">
        <v>16</v>
      </c>
      <c r="D584" s="296" t="s">
        <v>865</v>
      </c>
      <c r="H584" s="296" t="s">
        <v>385</v>
      </c>
      <c r="I584" s="252">
        <f>K583</f>
        <v>540.30999999999995</v>
      </c>
      <c r="J584" s="253">
        <f>C23*0.04</f>
        <v>2.11</v>
      </c>
      <c r="K584" s="252">
        <f>(K583+C23*0.04)</f>
        <v>542.41999999999996</v>
      </c>
      <c r="O584" s="296" t="s">
        <v>1747</v>
      </c>
      <c r="AG584" s="296" t="s">
        <v>2249</v>
      </c>
    </row>
    <row r="585" spans="1:33" hidden="1">
      <c r="A585" s="437">
        <f t="shared" si="32"/>
        <v>415</v>
      </c>
      <c r="B585" s="296" t="s">
        <v>1748</v>
      </c>
      <c r="C585" s="252">
        <v>7</v>
      </c>
      <c r="D585" s="296" t="s">
        <v>1637</v>
      </c>
      <c r="H585" s="296" t="s">
        <v>2222</v>
      </c>
      <c r="I585" s="252">
        <f>K584</f>
        <v>542.41999999999996</v>
      </c>
      <c r="J585" s="253">
        <f>C23*0.04</f>
        <v>2.11</v>
      </c>
      <c r="K585" s="252">
        <f>(K584+C24*0.04)</f>
        <v>544.53</v>
      </c>
      <c r="O585" s="358" t="s">
        <v>1579</v>
      </c>
      <c r="AG585" s="296" t="s">
        <v>2249</v>
      </c>
    </row>
    <row r="586" spans="1:33" hidden="1">
      <c r="A586" s="437">
        <f t="shared" si="32"/>
        <v>416</v>
      </c>
      <c r="B586" s="296" t="s">
        <v>2905</v>
      </c>
      <c r="C586" s="252">
        <v>19</v>
      </c>
      <c r="D586" s="296" t="s">
        <v>1637</v>
      </c>
      <c r="H586" s="296" t="s">
        <v>377</v>
      </c>
      <c r="I586" s="252">
        <f>K585</f>
        <v>544.53</v>
      </c>
      <c r="J586" s="253">
        <f>C23*0.04</f>
        <v>2.11</v>
      </c>
      <c r="K586" s="252">
        <f>(K585+C24*0.04)</f>
        <v>546.64</v>
      </c>
      <c r="M586" s="252">
        <v>1.3</v>
      </c>
      <c r="N586" s="296" t="s">
        <v>866</v>
      </c>
      <c r="O586" s="296" t="s">
        <v>784</v>
      </c>
      <c r="P586" s="252">
        <f>(K88)</f>
        <v>52.93</v>
      </c>
      <c r="Q586" s="296" t="s">
        <v>866</v>
      </c>
      <c r="R586" s="252">
        <f>(M586*P586)</f>
        <v>68.81</v>
      </c>
      <c r="AG586" s="296" t="s">
        <v>2249</v>
      </c>
    </row>
    <row r="587" spans="1:33" hidden="1">
      <c r="A587" s="437"/>
      <c r="B587" s="296"/>
      <c r="D587" s="296"/>
      <c r="H587" s="296" t="s">
        <v>1359</v>
      </c>
      <c r="I587" s="252">
        <f>K586</f>
        <v>546.64</v>
      </c>
      <c r="J587" s="253">
        <f>C24*0.04</f>
        <v>2.11</v>
      </c>
      <c r="K587" s="252">
        <f>(K586+C25*0.04)</f>
        <v>547.47</v>
      </c>
      <c r="N587" s="296"/>
      <c r="O587" s="296"/>
      <c r="Q587" s="296"/>
      <c r="AG587" s="296"/>
    </row>
    <row r="588" spans="1:33" hidden="1">
      <c r="A588" s="437">
        <f>(A586+1)</f>
        <v>417</v>
      </c>
      <c r="B588" s="296" t="s">
        <v>2906</v>
      </c>
      <c r="C588" s="252">
        <v>20</v>
      </c>
      <c r="D588" s="296" t="s">
        <v>1637</v>
      </c>
      <c r="F588" s="375">
        <v>15.1</v>
      </c>
      <c r="G588" s="252" t="s">
        <v>1749</v>
      </c>
      <c r="H588" s="296" t="s">
        <v>5673</v>
      </c>
      <c r="M588" s="356">
        <v>0.216</v>
      </c>
      <c r="N588" s="296" t="s">
        <v>866</v>
      </c>
      <c r="O588" s="296" t="s">
        <v>786</v>
      </c>
      <c r="P588" s="252" t="e">
        <f>(R60)</f>
        <v>#REF!</v>
      </c>
      <c r="Q588" s="296" t="s">
        <v>866</v>
      </c>
      <c r="R588" s="252" t="e">
        <f>(M588*P588)</f>
        <v>#REF!</v>
      </c>
      <c r="AG588" s="296" t="s">
        <v>2249</v>
      </c>
    </row>
    <row r="589" spans="1:33" hidden="1">
      <c r="A589" s="437">
        <f t="shared" ref="A589:A614" si="33">(A588+1)</f>
        <v>418</v>
      </c>
      <c r="B589" s="296" t="s">
        <v>1750</v>
      </c>
      <c r="C589" s="252">
        <v>7.5</v>
      </c>
      <c r="D589" s="296" t="s">
        <v>766</v>
      </c>
      <c r="H589" s="296" t="s">
        <v>2271</v>
      </c>
      <c r="M589" s="356">
        <v>0.60099999999999998</v>
      </c>
      <c r="N589" s="296" t="s">
        <v>866</v>
      </c>
      <c r="O589" s="296" t="s">
        <v>1967</v>
      </c>
      <c r="P589" s="252" t="e">
        <f>(R89)</f>
        <v>#REF!</v>
      </c>
      <c r="Q589" s="296" t="s">
        <v>866</v>
      </c>
      <c r="R589" s="252" t="e">
        <f>(M589*P589)</f>
        <v>#REF!</v>
      </c>
      <c r="AG589" s="296" t="s">
        <v>2249</v>
      </c>
    </row>
    <row r="590" spans="1:33" hidden="1">
      <c r="A590" s="437">
        <f t="shared" si="33"/>
        <v>419</v>
      </c>
      <c r="B590" s="296" t="s">
        <v>778</v>
      </c>
      <c r="C590" s="252">
        <v>16</v>
      </c>
      <c r="D590" s="296" t="s">
        <v>766</v>
      </c>
      <c r="E590" s="252" t="s">
        <v>1552</v>
      </c>
      <c r="F590" s="252">
        <v>10</v>
      </c>
      <c r="G590" s="252" t="s">
        <v>2273</v>
      </c>
      <c r="H590" s="296" t="s">
        <v>555</v>
      </c>
      <c r="I590" s="252">
        <f>C721</f>
        <v>227</v>
      </c>
      <c r="J590" s="253" t="s">
        <v>2273</v>
      </c>
      <c r="K590" s="252">
        <f>(F590*I590)</f>
        <v>2270</v>
      </c>
      <c r="M590" s="356">
        <v>6.35</v>
      </c>
      <c r="N590" s="296" t="s">
        <v>606</v>
      </c>
      <c r="O590" s="296" t="s">
        <v>1968</v>
      </c>
      <c r="P590" s="252" t="e">
        <f>(R303)</f>
        <v>#REF!</v>
      </c>
      <c r="Q590" s="296" t="s">
        <v>606</v>
      </c>
      <c r="R590" s="252" t="e">
        <f>(M590*P590)</f>
        <v>#REF!</v>
      </c>
      <c r="AG590" s="296" t="s">
        <v>2249</v>
      </c>
    </row>
    <row r="591" spans="1:33" hidden="1">
      <c r="A591" s="437">
        <f t="shared" si="33"/>
        <v>420</v>
      </c>
      <c r="B591" s="296" t="s">
        <v>779</v>
      </c>
      <c r="C591" s="252">
        <v>1700</v>
      </c>
      <c r="D591" s="296" t="s">
        <v>780</v>
      </c>
      <c r="E591" s="252">
        <v>2000</v>
      </c>
      <c r="F591" s="252">
        <v>0.12</v>
      </c>
      <c r="G591" s="252" t="s">
        <v>866</v>
      </c>
      <c r="H591" s="296" t="s">
        <v>781</v>
      </c>
      <c r="I591" s="252" t="e">
        <f>K32</f>
        <v>#REF!</v>
      </c>
      <c r="J591" s="253" t="s">
        <v>866</v>
      </c>
      <c r="K591" s="252" t="e">
        <f>(F591*I591)</f>
        <v>#REF!</v>
      </c>
      <c r="M591" s="356">
        <v>3.2000000000000001E-2</v>
      </c>
      <c r="N591" s="296" t="s">
        <v>866</v>
      </c>
      <c r="O591" s="296" t="s">
        <v>776</v>
      </c>
      <c r="P591" s="252" t="e">
        <f>(K614)</f>
        <v>#REF!</v>
      </c>
      <c r="Q591" s="296" t="s">
        <v>866</v>
      </c>
      <c r="R591" s="252" t="e">
        <f>(M591*P591)</f>
        <v>#REF!</v>
      </c>
      <c r="AG591" s="296" t="s">
        <v>2249</v>
      </c>
    </row>
    <row r="592" spans="1:33" hidden="1">
      <c r="A592" s="437">
        <f t="shared" si="33"/>
        <v>421</v>
      </c>
      <c r="B592" s="296" t="s">
        <v>782</v>
      </c>
      <c r="C592" s="252">
        <v>805</v>
      </c>
      <c r="D592" s="296" t="s">
        <v>780</v>
      </c>
      <c r="F592" s="252">
        <v>1</v>
      </c>
      <c r="G592" s="252" t="s">
        <v>557</v>
      </c>
      <c r="H592" s="296" t="s">
        <v>558</v>
      </c>
      <c r="I592" s="252">
        <f>C10</f>
        <v>150</v>
      </c>
      <c r="J592" s="253" t="s">
        <v>1393</v>
      </c>
      <c r="K592" s="252">
        <f>(F592*I592)</f>
        <v>150</v>
      </c>
      <c r="O592" s="296" t="s">
        <v>285</v>
      </c>
      <c r="R592" s="296" t="s">
        <v>971</v>
      </c>
      <c r="AG592" s="296" t="s">
        <v>2249</v>
      </c>
    </row>
    <row r="593" spans="1:33" hidden="1">
      <c r="A593" s="437">
        <f t="shared" si="33"/>
        <v>422</v>
      </c>
      <c r="B593" s="296" t="s">
        <v>2056</v>
      </c>
      <c r="C593" s="252">
        <f>204+53</f>
        <v>257</v>
      </c>
      <c r="D593" s="296" t="s">
        <v>780</v>
      </c>
      <c r="F593" s="252">
        <v>1</v>
      </c>
      <c r="G593" s="252" t="s">
        <v>557</v>
      </c>
      <c r="H593" s="296" t="s">
        <v>820</v>
      </c>
      <c r="I593" s="252">
        <f>C12</f>
        <v>95</v>
      </c>
      <c r="J593" s="253" t="s">
        <v>1393</v>
      </c>
      <c r="K593" s="252">
        <f>(F593*I593)</f>
        <v>95</v>
      </c>
      <c r="N593" s="296" t="s">
        <v>446</v>
      </c>
      <c r="O593" s="296" t="s">
        <v>337</v>
      </c>
      <c r="Q593" s="296" t="s">
        <v>446</v>
      </c>
      <c r="R593" s="252">
        <v>2.1</v>
      </c>
      <c r="AG593" s="296" t="s">
        <v>2249</v>
      </c>
    </row>
    <row r="594" spans="1:33" hidden="1">
      <c r="A594" s="437">
        <f t="shared" si="33"/>
        <v>423</v>
      </c>
      <c r="B594" s="296" t="s">
        <v>2907</v>
      </c>
      <c r="C594" s="252">
        <v>53</v>
      </c>
      <c r="D594" s="296" t="s">
        <v>766</v>
      </c>
      <c r="G594" s="252" t="s">
        <v>446</v>
      </c>
      <c r="H594" s="296" t="s">
        <v>59</v>
      </c>
      <c r="J594" s="253" t="s">
        <v>446</v>
      </c>
      <c r="K594" s="252">
        <v>0.33</v>
      </c>
      <c r="R594" s="358" t="s">
        <v>1579</v>
      </c>
      <c r="AG594" s="296" t="s">
        <v>2249</v>
      </c>
    </row>
    <row r="595" spans="1:33" hidden="1">
      <c r="A595" s="437">
        <f t="shared" si="33"/>
        <v>424</v>
      </c>
      <c r="B595" s="296" t="s">
        <v>303</v>
      </c>
      <c r="C595" s="252">
        <v>1050</v>
      </c>
      <c r="D595" s="296" t="s">
        <v>766</v>
      </c>
      <c r="H595" s="296" t="s">
        <v>927</v>
      </c>
      <c r="K595" s="358" t="s">
        <v>1579</v>
      </c>
      <c r="O595" s="296" t="s">
        <v>1743</v>
      </c>
      <c r="R595" s="252" t="e">
        <f>SUM(R586:R593)</f>
        <v>#REF!</v>
      </c>
      <c r="AG595" s="296" t="s">
        <v>2249</v>
      </c>
    </row>
    <row r="596" spans="1:33" hidden="1">
      <c r="A596" s="437">
        <f t="shared" si="33"/>
        <v>425</v>
      </c>
      <c r="B596" s="296" t="s">
        <v>403</v>
      </c>
      <c r="C596" s="252">
        <v>196</v>
      </c>
      <c r="D596" s="296" t="s">
        <v>766</v>
      </c>
      <c r="H596" s="253" t="s">
        <v>404</v>
      </c>
      <c r="K596" s="252" t="e">
        <f>SUM(K590:K594)</f>
        <v>#REF!</v>
      </c>
      <c r="R596" s="358" t="s">
        <v>1579</v>
      </c>
      <c r="AG596" s="296" t="s">
        <v>2249</v>
      </c>
    </row>
    <row r="597" spans="1:33" hidden="1">
      <c r="A597" s="437">
        <f t="shared" si="33"/>
        <v>426</v>
      </c>
      <c r="B597" s="296" t="s">
        <v>405</v>
      </c>
      <c r="C597" s="252">
        <v>206.9</v>
      </c>
      <c r="D597" s="296" t="s">
        <v>766</v>
      </c>
      <c r="K597" s="358" t="s">
        <v>1579</v>
      </c>
      <c r="N597" s="296" t="s">
        <v>2241</v>
      </c>
      <c r="O597" s="296" t="s">
        <v>406</v>
      </c>
      <c r="AG597" s="296" t="s">
        <v>2249</v>
      </c>
    </row>
    <row r="598" spans="1:33" hidden="1">
      <c r="A598" s="437">
        <f t="shared" si="33"/>
        <v>427</v>
      </c>
      <c r="B598" s="296" t="s">
        <v>407</v>
      </c>
      <c r="C598" s="252">
        <v>120</v>
      </c>
      <c r="D598" s="296" t="s">
        <v>1763</v>
      </c>
      <c r="H598" s="253" t="s">
        <v>408</v>
      </c>
      <c r="K598" s="252" t="e">
        <f>K596/10</f>
        <v>#REF!</v>
      </c>
      <c r="O598" s="296" t="s">
        <v>409</v>
      </c>
      <c r="AG598" s="296" t="s">
        <v>2249</v>
      </c>
    </row>
    <row r="599" spans="1:33" hidden="1">
      <c r="A599" s="437">
        <f t="shared" si="33"/>
        <v>428</v>
      </c>
      <c r="B599" s="296" t="s">
        <v>410</v>
      </c>
      <c r="C599" s="252">
        <v>80</v>
      </c>
      <c r="D599" s="296" t="s">
        <v>1763</v>
      </c>
      <c r="H599" s="296" t="s">
        <v>383</v>
      </c>
      <c r="K599" s="252" t="e">
        <f>(K598+C22*0.02)</f>
        <v>#REF!</v>
      </c>
      <c r="O599" s="358" t="s">
        <v>1579</v>
      </c>
      <c r="AG599" s="296" t="s">
        <v>2249</v>
      </c>
    </row>
    <row r="600" spans="1:33" hidden="1">
      <c r="A600" s="437">
        <f t="shared" si="33"/>
        <v>429</v>
      </c>
      <c r="B600" s="296" t="s">
        <v>411</v>
      </c>
      <c r="D600" s="296" t="s">
        <v>1763</v>
      </c>
      <c r="H600" s="296" t="s">
        <v>385</v>
      </c>
      <c r="K600" s="252" t="e">
        <f>(K599+C24*0.02)</f>
        <v>#REF!</v>
      </c>
      <c r="M600" s="252">
        <v>10.37</v>
      </c>
      <c r="N600" s="296" t="s">
        <v>866</v>
      </c>
      <c r="O600" s="296" t="s">
        <v>412</v>
      </c>
      <c r="P600" s="252">
        <f>(C61*2)</f>
        <v>50</v>
      </c>
      <c r="Q600" s="296" t="s">
        <v>866</v>
      </c>
      <c r="R600" s="252">
        <f t="shared" ref="R600:R608" si="34">(M600*P600)</f>
        <v>518.5</v>
      </c>
      <c r="AG600" s="296" t="s">
        <v>2249</v>
      </c>
    </row>
    <row r="601" spans="1:33" hidden="1">
      <c r="A601" s="437">
        <f t="shared" si="33"/>
        <v>430</v>
      </c>
      <c r="B601" s="296" t="s">
        <v>2054</v>
      </c>
      <c r="C601" s="252">
        <v>65</v>
      </c>
      <c r="D601" s="296" t="s">
        <v>865</v>
      </c>
      <c r="H601" s="296" t="s">
        <v>2222</v>
      </c>
      <c r="K601" s="252" t="e">
        <f>(K600+C24*0.02)</f>
        <v>#REF!</v>
      </c>
      <c r="M601" s="252">
        <v>0.65</v>
      </c>
      <c r="N601" s="296" t="s">
        <v>866</v>
      </c>
      <c r="O601" s="296" t="s">
        <v>2055</v>
      </c>
      <c r="P601" s="252" t="e">
        <f>R60</f>
        <v>#REF!</v>
      </c>
      <c r="Q601" s="296" t="s">
        <v>866</v>
      </c>
      <c r="R601" s="252" t="e">
        <f t="shared" si="34"/>
        <v>#REF!</v>
      </c>
      <c r="AG601" s="296" t="s">
        <v>2249</v>
      </c>
    </row>
    <row r="602" spans="1:33" hidden="1">
      <c r="A602" s="437">
        <f t="shared" si="33"/>
        <v>431</v>
      </c>
      <c r="B602" s="296" t="s">
        <v>1774</v>
      </c>
      <c r="C602" s="252">
        <v>40</v>
      </c>
      <c r="D602" s="296" t="s">
        <v>865</v>
      </c>
      <c r="H602" s="296" t="s">
        <v>377</v>
      </c>
      <c r="K602" s="252" t="e">
        <f>(K601+C24*0.02)</f>
        <v>#REF!</v>
      </c>
      <c r="M602" s="252">
        <v>1.1399999999999999</v>
      </c>
      <c r="N602" s="296" t="s">
        <v>866</v>
      </c>
      <c r="O602" s="296" t="s">
        <v>323</v>
      </c>
      <c r="P602" s="252" t="e">
        <f>K320</f>
        <v>#REF!</v>
      </c>
      <c r="Q602" s="296" t="s">
        <v>866</v>
      </c>
      <c r="R602" s="252" t="e">
        <f t="shared" si="34"/>
        <v>#REF!</v>
      </c>
      <c r="AG602" s="296" t="s">
        <v>2249</v>
      </c>
    </row>
    <row r="603" spans="1:33" hidden="1">
      <c r="A603" s="437">
        <f t="shared" si="33"/>
        <v>432</v>
      </c>
      <c r="B603" s="296" t="s">
        <v>325</v>
      </c>
      <c r="D603" s="296" t="s">
        <v>865</v>
      </c>
      <c r="H603" s="296" t="s">
        <v>1359</v>
      </c>
      <c r="K603" s="252" t="e">
        <f>(K602+C25*0.02)</f>
        <v>#REF!</v>
      </c>
      <c r="M603" s="252">
        <v>0.85</v>
      </c>
      <c r="N603" s="296" t="s">
        <v>866</v>
      </c>
      <c r="O603" s="296" t="s">
        <v>1601</v>
      </c>
      <c r="P603" s="252" t="e">
        <f>K320-K311/10</f>
        <v>#REF!</v>
      </c>
      <c r="Q603" s="296" t="s">
        <v>866</v>
      </c>
      <c r="R603" s="252" t="e">
        <f t="shared" si="34"/>
        <v>#REF!</v>
      </c>
      <c r="AG603" s="296" t="s">
        <v>2249</v>
      </c>
    </row>
    <row r="604" spans="1:33" hidden="1">
      <c r="A604" s="437">
        <f t="shared" si="33"/>
        <v>433</v>
      </c>
      <c r="B604" s="296" t="s">
        <v>1602</v>
      </c>
      <c r="C604" s="252">
        <v>45</v>
      </c>
      <c r="D604" s="296" t="s">
        <v>865</v>
      </c>
      <c r="F604" s="253" t="s">
        <v>1603</v>
      </c>
      <c r="G604" s="252" t="s">
        <v>2241</v>
      </c>
      <c r="H604" s="296" t="s">
        <v>879</v>
      </c>
      <c r="M604" s="252">
        <v>0.98</v>
      </c>
      <c r="N604" s="296" t="s">
        <v>866</v>
      </c>
      <c r="O604" s="296" t="s">
        <v>2208</v>
      </c>
      <c r="P604" s="252" t="e">
        <f>(C73)</f>
        <v>#REF!</v>
      </c>
      <c r="Q604" s="296" t="s">
        <v>866</v>
      </c>
      <c r="R604" s="252" t="e">
        <f t="shared" si="34"/>
        <v>#REF!</v>
      </c>
      <c r="AG604" s="296" t="s">
        <v>2249</v>
      </c>
    </row>
    <row r="605" spans="1:33" hidden="1">
      <c r="A605" s="437">
        <f t="shared" si="33"/>
        <v>434</v>
      </c>
      <c r="B605" s="296" t="s">
        <v>1090</v>
      </c>
      <c r="C605" s="252">
        <v>36.520000000000003</v>
      </c>
      <c r="D605" s="296" t="s">
        <v>865</v>
      </c>
      <c r="H605" s="296" t="s">
        <v>1091</v>
      </c>
      <c r="M605" s="252">
        <v>2.68</v>
      </c>
      <c r="N605" s="296" t="s">
        <v>866</v>
      </c>
      <c r="O605" s="296" t="s">
        <v>1030</v>
      </c>
      <c r="P605" s="252" t="e">
        <f>(C79)</f>
        <v>#REF!</v>
      </c>
      <c r="Q605" s="296" t="s">
        <v>866</v>
      </c>
      <c r="R605" s="252" t="e">
        <f t="shared" si="34"/>
        <v>#REF!</v>
      </c>
      <c r="AG605" s="296" t="s">
        <v>2249</v>
      </c>
    </row>
    <row r="606" spans="1:33" hidden="1">
      <c r="A606" s="437">
        <f t="shared" si="33"/>
        <v>435</v>
      </c>
      <c r="B606" s="296" t="s">
        <v>1604</v>
      </c>
      <c r="D606" s="296" t="s">
        <v>865</v>
      </c>
      <c r="H606" s="296" t="s">
        <v>1605</v>
      </c>
      <c r="M606" s="252">
        <v>7.24</v>
      </c>
      <c r="N606" s="296" t="s">
        <v>606</v>
      </c>
      <c r="O606" s="296" t="s">
        <v>1606</v>
      </c>
      <c r="P606" s="252" t="e">
        <f>(K1332)</f>
        <v>#REF!</v>
      </c>
      <c r="Q606" s="296" t="s">
        <v>606</v>
      </c>
      <c r="R606" s="252" t="e">
        <f t="shared" si="34"/>
        <v>#REF!</v>
      </c>
      <c r="AG606" s="296" t="s">
        <v>2249</v>
      </c>
    </row>
    <row r="607" spans="1:33" hidden="1">
      <c r="A607" s="437">
        <f t="shared" si="33"/>
        <v>436</v>
      </c>
      <c r="B607" s="296" t="s">
        <v>1468</v>
      </c>
      <c r="C607" s="252">
        <v>73.48</v>
      </c>
      <c r="D607" s="252">
        <v>93.72</v>
      </c>
      <c r="H607" s="358" t="s">
        <v>1579</v>
      </c>
      <c r="M607" s="252">
        <v>1</v>
      </c>
      <c r="N607" s="296" t="s">
        <v>865</v>
      </c>
      <c r="O607" s="296" t="s">
        <v>1469</v>
      </c>
      <c r="P607" s="252">
        <f>(C202)</f>
        <v>75</v>
      </c>
      <c r="Q607" s="296" t="s">
        <v>865</v>
      </c>
      <c r="R607" s="252">
        <f t="shared" si="34"/>
        <v>75</v>
      </c>
      <c r="AG607" s="296" t="s">
        <v>2249</v>
      </c>
    </row>
    <row r="608" spans="1:33" hidden="1">
      <c r="A608" s="437">
        <f t="shared" si="33"/>
        <v>437</v>
      </c>
      <c r="B608" s="296" t="s">
        <v>1470</v>
      </c>
      <c r="C608" s="252">
        <v>43.12</v>
      </c>
      <c r="D608" s="296" t="s">
        <v>865</v>
      </c>
      <c r="F608" s="252">
        <v>0.01</v>
      </c>
      <c r="G608" s="252" t="s">
        <v>866</v>
      </c>
      <c r="H608" s="296" t="s">
        <v>1471</v>
      </c>
      <c r="I608" s="252" t="e">
        <f>(K279)</f>
        <v>#REF!</v>
      </c>
      <c r="J608" s="253" t="s">
        <v>866</v>
      </c>
      <c r="K608" s="252" t="e">
        <f>(F608*I608)</f>
        <v>#REF!</v>
      </c>
      <c r="M608" s="356">
        <v>0.13600000000000001</v>
      </c>
      <c r="N608" s="296" t="s">
        <v>866</v>
      </c>
      <c r="O608" s="296" t="s">
        <v>979</v>
      </c>
      <c r="P608" s="252" t="e">
        <f>(K614)</f>
        <v>#REF!</v>
      </c>
      <c r="Q608" s="296" t="s">
        <v>866</v>
      </c>
      <c r="R608" s="252" t="e">
        <f t="shared" si="34"/>
        <v>#REF!</v>
      </c>
      <c r="AG608" s="296" t="s">
        <v>2249</v>
      </c>
    </row>
    <row r="609" spans="1:33" hidden="1">
      <c r="A609" s="437">
        <f t="shared" si="33"/>
        <v>438</v>
      </c>
      <c r="B609" s="296" t="s">
        <v>980</v>
      </c>
      <c r="D609" s="296" t="s">
        <v>865</v>
      </c>
      <c r="F609" s="252">
        <v>0.01</v>
      </c>
      <c r="G609" s="252" t="s">
        <v>866</v>
      </c>
      <c r="H609" s="296" t="s">
        <v>981</v>
      </c>
      <c r="J609" s="253" t="s">
        <v>446</v>
      </c>
      <c r="K609" s="252">
        <v>1.1499999999999999</v>
      </c>
      <c r="O609" s="296" t="s">
        <v>128</v>
      </c>
      <c r="AG609" s="296" t="s">
        <v>2249</v>
      </c>
    </row>
    <row r="610" spans="1:33" hidden="1">
      <c r="A610" s="437">
        <f t="shared" si="33"/>
        <v>439</v>
      </c>
      <c r="B610" s="296" t="s">
        <v>129</v>
      </c>
      <c r="C610" s="252">
        <v>121.88</v>
      </c>
      <c r="D610" s="296" t="s">
        <v>865</v>
      </c>
      <c r="H610" s="296" t="s">
        <v>130</v>
      </c>
      <c r="N610" s="296" t="s">
        <v>446</v>
      </c>
      <c r="O610" s="296" t="s">
        <v>337</v>
      </c>
      <c r="Q610" s="296" t="s">
        <v>446</v>
      </c>
      <c r="R610" s="252">
        <v>1.5</v>
      </c>
      <c r="AG610" s="296" t="s">
        <v>2249</v>
      </c>
    </row>
    <row r="611" spans="1:33" hidden="1">
      <c r="A611" s="437">
        <f t="shared" si="33"/>
        <v>440</v>
      </c>
      <c r="B611" s="296" t="s">
        <v>1477</v>
      </c>
      <c r="C611" s="252">
        <v>66</v>
      </c>
      <c r="D611" s="296" t="s">
        <v>865</v>
      </c>
      <c r="K611" s="358" t="s">
        <v>1579</v>
      </c>
      <c r="R611" s="358" t="s">
        <v>1579</v>
      </c>
      <c r="AG611" s="296" t="s">
        <v>2249</v>
      </c>
    </row>
    <row r="612" spans="1:33" hidden="1">
      <c r="A612" s="437">
        <f t="shared" si="33"/>
        <v>441</v>
      </c>
      <c r="B612" s="296" t="s">
        <v>1478</v>
      </c>
      <c r="D612" s="296" t="s">
        <v>865</v>
      </c>
      <c r="H612" s="296" t="s">
        <v>1479</v>
      </c>
      <c r="K612" s="252" t="e">
        <f>SUM(K608:K610)</f>
        <v>#REF!</v>
      </c>
      <c r="O612" s="296" t="s">
        <v>1743</v>
      </c>
      <c r="R612" s="252" t="e">
        <f>SUM(R600:R610)</f>
        <v>#REF!</v>
      </c>
      <c r="AG612" s="296" t="s">
        <v>318</v>
      </c>
    </row>
    <row r="613" spans="1:33" hidden="1">
      <c r="A613" s="437">
        <f t="shared" si="33"/>
        <v>442</v>
      </c>
      <c r="B613" s="296" t="s">
        <v>431</v>
      </c>
      <c r="C613" s="252">
        <v>149.16</v>
      </c>
      <c r="D613" s="296" t="s">
        <v>865</v>
      </c>
      <c r="K613" s="358" t="s">
        <v>1579</v>
      </c>
      <c r="R613" s="358" t="s">
        <v>1579</v>
      </c>
    </row>
    <row r="614" spans="1:33" hidden="1">
      <c r="A614" s="437">
        <f t="shared" si="33"/>
        <v>443</v>
      </c>
      <c r="B614" s="296" t="s">
        <v>432</v>
      </c>
      <c r="C614" s="252">
        <v>84.92</v>
      </c>
      <c r="D614" s="296" t="s">
        <v>865</v>
      </c>
      <c r="H614" s="296" t="s">
        <v>770</v>
      </c>
      <c r="K614" s="252" t="e">
        <f>ROUND(K612*100,0)</f>
        <v>#REF!</v>
      </c>
      <c r="N614" s="296" t="s">
        <v>2241</v>
      </c>
      <c r="O614" s="296" t="s">
        <v>433</v>
      </c>
    </row>
    <row r="615" spans="1:33" hidden="1">
      <c r="F615" s="296" t="s">
        <v>971</v>
      </c>
    </row>
    <row r="616" spans="1:33" hidden="1">
      <c r="A616" s="437">
        <f>(A614+1)</f>
        <v>444</v>
      </c>
      <c r="B616" s="296" t="s">
        <v>1095</v>
      </c>
      <c r="D616" s="296" t="s">
        <v>865</v>
      </c>
      <c r="K616" s="358" t="s">
        <v>2046</v>
      </c>
      <c r="O616" s="296" t="s">
        <v>1096</v>
      </c>
      <c r="AG616" s="296" t="s">
        <v>2249</v>
      </c>
    </row>
    <row r="617" spans="1:33" hidden="1">
      <c r="A617" s="437">
        <f t="shared" ref="A617:A648" si="35">(A616+1)</f>
        <v>445</v>
      </c>
      <c r="B617" s="296" t="s">
        <v>985</v>
      </c>
      <c r="C617" s="252">
        <v>195.36</v>
      </c>
      <c r="D617" s="296" t="s">
        <v>865</v>
      </c>
      <c r="G617" s="252" t="s">
        <v>672</v>
      </c>
      <c r="H617" s="296" t="s">
        <v>986</v>
      </c>
      <c r="O617" s="358" t="s">
        <v>1579</v>
      </c>
      <c r="AG617" s="296" t="s">
        <v>2249</v>
      </c>
    </row>
    <row r="618" spans="1:33" hidden="1">
      <c r="A618" s="437">
        <f t="shared" si="35"/>
        <v>446</v>
      </c>
      <c r="B618" s="296" t="s">
        <v>1644</v>
      </c>
      <c r="C618" s="252">
        <v>137.28</v>
      </c>
      <c r="D618" s="296" t="s">
        <v>865</v>
      </c>
      <c r="H618" s="296" t="s">
        <v>1645</v>
      </c>
      <c r="M618" s="252">
        <v>3</v>
      </c>
      <c r="N618" s="296" t="s">
        <v>866</v>
      </c>
      <c r="O618" s="296" t="s">
        <v>1646</v>
      </c>
      <c r="P618" s="252">
        <f>(C61*2)</f>
        <v>50</v>
      </c>
      <c r="Q618" s="296" t="s">
        <v>866</v>
      </c>
      <c r="R618" s="252">
        <f>(M618*P618)</f>
        <v>150</v>
      </c>
      <c r="AG618" s="296" t="s">
        <v>2249</v>
      </c>
    </row>
    <row r="619" spans="1:33" hidden="1">
      <c r="A619" s="437">
        <f t="shared" si="35"/>
        <v>447</v>
      </c>
      <c r="B619" s="296" t="s">
        <v>619</v>
      </c>
      <c r="D619" s="296" t="s">
        <v>865</v>
      </c>
      <c r="H619" s="358" t="s">
        <v>1579</v>
      </c>
      <c r="M619" s="252">
        <v>2.4</v>
      </c>
      <c r="N619" s="296" t="s">
        <v>866</v>
      </c>
      <c r="O619" s="296" t="s">
        <v>1625</v>
      </c>
      <c r="P619" s="252" t="e">
        <f>(C81)</f>
        <v>#REF!</v>
      </c>
      <c r="Q619" s="296" t="s">
        <v>866</v>
      </c>
      <c r="R619" s="252" t="e">
        <f>(M619*P619)</f>
        <v>#REF!</v>
      </c>
      <c r="AG619" s="296" t="s">
        <v>2249</v>
      </c>
    </row>
    <row r="620" spans="1:33" hidden="1">
      <c r="A620" s="437">
        <f t="shared" si="35"/>
        <v>448</v>
      </c>
      <c r="B620" s="296" t="s">
        <v>1430</v>
      </c>
      <c r="C620" s="252">
        <v>97.68</v>
      </c>
      <c r="D620" s="296" t="s">
        <v>865</v>
      </c>
      <c r="F620" s="356">
        <v>1.4E-2</v>
      </c>
      <c r="G620" s="252" t="s">
        <v>866</v>
      </c>
      <c r="H620" s="296" t="s">
        <v>1320</v>
      </c>
      <c r="I620" s="252" t="e">
        <f>(K614)</f>
        <v>#REF!</v>
      </c>
      <c r="J620" s="253" t="s">
        <v>866</v>
      </c>
      <c r="K620" s="252" t="e">
        <f>(F620*I620)</f>
        <v>#REF!</v>
      </c>
      <c r="M620" s="252">
        <v>5</v>
      </c>
      <c r="N620" s="296" t="s">
        <v>865</v>
      </c>
      <c r="O620" s="296" t="s">
        <v>604</v>
      </c>
      <c r="P620" s="252">
        <f>(C203)</f>
        <v>40</v>
      </c>
      <c r="Q620" s="296" t="s">
        <v>865</v>
      </c>
      <c r="R620" s="252">
        <f>(M620*P620)</f>
        <v>200</v>
      </c>
      <c r="AG620" s="296" t="s">
        <v>2249</v>
      </c>
    </row>
    <row r="621" spans="1:33" hidden="1">
      <c r="A621" s="437">
        <f t="shared" si="35"/>
        <v>449</v>
      </c>
      <c r="B621" s="296" t="s">
        <v>1765</v>
      </c>
      <c r="C621" s="252">
        <v>54.12</v>
      </c>
      <c r="D621" s="296" t="s">
        <v>865</v>
      </c>
      <c r="F621" s="356"/>
      <c r="H621" s="296" t="s">
        <v>1766</v>
      </c>
      <c r="K621" s="296" t="s">
        <v>971</v>
      </c>
      <c r="O621" s="296" t="s">
        <v>447</v>
      </c>
      <c r="Q621" s="296" t="s">
        <v>446</v>
      </c>
      <c r="R621" s="252">
        <v>0.08</v>
      </c>
      <c r="AG621" s="296" t="s">
        <v>2249</v>
      </c>
    </row>
    <row r="622" spans="1:33" hidden="1">
      <c r="A622" s="437">
        <f t="shared" si="35"/>
        <v>450</v>
      </c>
      <c r="B622" s="296" t="s">
        <v>1767</v>
      </c>
      <c r="D622" s="296" t="s">
        <v>865</v>
      </c>
      <c r="F622" s="252">
        <v>0.5</v>
      </c>
      <c r="G622" s="252" t="s">
        <v>766</v>
      </c>
      <c r="H622" s="296" t="s">
        <v>2000</v>
      </c>
      <c r="I622" s="252">
        <f>(C10)</f>
        <v>150</v>
      </c>
      <c r="J622" s="253" t="s">
        <v>766</v>
      </c>
      <c r="K622" s="252">
        <f>(F622*I622)</f>
        <v>75</v>
      </c>
      <c r="R622" s="358" t="s">
        <v>1579</v>
      </c>
      <c r="S622" s="296" t="s">
        <v>971</v>
      </c>
      <c r="AG622" s="296" t="s">
        <v>2249</v>
      </c>
    </row>
    <row r="623" spans="1:33" hidden="1">
      <c r="A623" s="437">
        <f t="shared" si="35"/>
        <v>451</v>
      </c>
      <c r="B623" s="296" t="s">
        <v>1626</v>
      </c>
      <c r="C623" s="252">
        <v>110</v>
      </c>
      <c r="D623" s="296" t="s">
        <v>865</v>
      </c>
      <c r="F623" s="252">
        <v>0.75</v>
      </c>
      <c r="G623" s="252" t="s">
        <v>766</v>
      </c>
      <c r="H623" s="296" t="s">
        <v>1893</v>
      </c>
      <c r="I623" s="252">
        <f>(C12)</f>
        <v>95</v>
      </c>
      <c r="J623" s="253" t="s">
        <v>766</v>
      </c>
      <c r="K623" s="252">
        <f>(F623*I623)</f>
        <v>71.25</v>
      </c>
      <c r="O623" s="296" t="s">
        <v>1743</v>
      </c>
      <c r="R623" s="252" t="e">
        <f>SUM(R618:R621)</f>
        <v>#REF!</v>
      </c>
      <c r="AG623" s="296" t="s">
        <v>2249</v>
      </c>
    </row>
    <row r="624" spans="1:33" hidden="1">
      <c r="A624" s="437">
        <f t="shared" si="35"/>
        <v>452</v>
      </c>
      <c r="B624" s="296" t="s">
        <v>1627</v>
      </c>
      <c r="C624" s="252">
        <v>70</v>
      </c>
      <c r="D624" s="296" t="s">
        <v>865</v>
      </c>
      <c r="G624" s="252" t="s">
        <v>446</v>
      </c>
      <c r="H624" s="296" t="s">
        <v>447</v>
      </c>
      <c r="J624" s="253" t="s">
        <v>446</v>
      </c>
      <c r="K624" s="252">
        <v>0</v>
      </c>
      <c r="R624" s="358" t="s">
        <v>1579</v>
      </c>
      <c r="AG624" s="296" t="s">
        <v>2249</v>
      </c>
    </row>
    <row r="625" spans="1:33" hidden="1">
      <c r="A625" s="437">
        <f t="shared" si="35"/>
        <v>453</v>
      </c>
      <c r="B625" s="296" t="s">
        <v>1628</v>
      </c>
      <c r="D625" s="296" t="s">
        <v>865</v>
      </c>
      <c r="K625" s="358" t="s">
        <v>1579</v>
      </c>
      <c r="AG625" s="296" t="s">
        <v>2249</v>
      </c>
    </row>
    <row r="626" spans="1:33" hidden="1">
      <c r="A626" s="437">
        <f t="shared" si="35"/>
        <v>454</v>
      </c>
      <c r="B626" s="296" t="s">
        <v>101</v>
      </c>
      <c r="C626" s="252">
        <v>12</v>
      </c>
      <c r="D626" s="296" t="s">
        <v>865</v>
      </c>
      <c r="H626" s="296" t="s">
        <v>102</v>
      </c>
      <c r="K626" s="252" t="e">
        <f>SUM(K620:K624)</f>
        <v>#REF!</v>
      </c>
      <c r="N626" s="296" t="s">
        <v>2241</v>
      </c>
      <c r="O626" s="296" t="s">
        <v>61</v>
      </c>
      <c r="AG626" s="296" t="s">
        <v>2249</v>
      </c>
    </row>
    <row r="627" spans="1:33" hidden="1">
      <c r="A627" s="437">
        <f t="shared" si="35"/>
        <v>455</v>
      </c>
      <c r="B627" s="296" t="s">
        <v>1951</v>
      </c>
      <c r="C627" s="252">
        <v>7.5</v>
      </c>
      <c r="D627" s="296" t="s">
        <v>865</v>
      </c>
      <c r="K627" s="358" t="s">
        <v>1579</v>
      </c>
      <c r="O627" s="296" t="s">
        <v>1952</v>
      </c>
      <c r="AG627" s="296" t="s">
        <v>2249</v>
      </c>
    </row>
    <row r="628" spans="1:33" hidden="1">
      <c r="A628" s="437">
        <f t="shared" si="35"/>
        <v>456</v>
      </c>
      <c r="B628" s="296" t="s">
        <v>1953</v>
      </c>
      <c r="D628" s="296" t="s">
        <v>865</v>
      </c>
      <c r="H628" s="296" t="s">
        <v>549</v>
      </c>
      <c r="K628" s="252" t="e">
        <f>(K626/0.372)</f>
        <v>#REF!</v>
      </c>
      <c r="O628" s="296" t="s">
        <v>1954</v>
      </c>
      <c r="AG628" s="296" t="s">
        <v>2249</v>
      </c>
    </row>
    <row r="629" spans="1:33" hidden="1">
      <c r="A629" s="437">
        <f t="shared" si="35"/>
        <v>457</v>
      </c>
      <c r="B629" s="296" t="s">
        <v>1955</v>
      </c>
      <c r="C629" s="252">
        <v>155.32</v>
      </c>
      <c r="D629" s="296" t="s">
        <v>865</v>
      </c>
      <c r="K629" s="358" t="s">
        <v>2046</v>
      </c>
      <c r="O629" s="358" t="s">
        <v>1579</v>
      </c>
      <c r="AG629" s="296" t="s">
        <v>2249</v>
      </c>
    </row>
    <row r="630" spans="1:33" hidden="1">
      <c r="A630" s="437">
        <f t="shared" si="35"/>
        <v>458</v>
      </c>
      <c r="B630" s="296" t="s">
        <v>1759</v>
      </c>
      <c r="C630" s="252">
        <v>91.08</v>
      </c>
      <c r="D630" s="296" t="s">
        <v>865</v>
      </c>
      <c r="H630" s="296" t="s">
        <v>383</v>
      </c>
      <c r="K630" s="252" t="e">
        <f>(K628+C22*0.014/0.372)</f>
        <v>#REF!</v>
      </c>
      <c r="M630" s="252">
        <v>9.5</v>
      </c>
      <c r="N630" s="296" t="s">
        <v>866</v>
      </c>
      <c r="O630" s="296" t="s">
        <v>1646</v>
      </c>
      <c r="P630" s="252">
        <f>(C61*2)</f>
        <v>50</v>
      </c>
      <c r="Q630" s="296" t="s">
        <v>866</v>
      </c>
      <c r="R630" s="252">
        <f t="shared" ref="R630:R638" si="36">(M630*P630)</f>
        <v>475</v>
      </c>
      <c r="AG630" s="296" t="s">
        <v>2249</v>
      </c>
    </row>
    <row r="631" spans="1:33" hidden="1">
      <c r="A631" s="437">
        <f t="shared" si="35"/>
        <v>459</v>
      </c>
      <c r="B631" s="296" t="s">
        <v>2908</v>
      </c>
      <c r="C631" s="252">
        <v>30</v>
      </c>
      <c r="D631" s="296" t="s">
        <v>1637</v>
      </c>
      <c r="H631" s="296" t="s">
        <v>385</v>
      </c>
      <c r="K631" s="252" t="e">
        <f>(K630+C23*0.014/0.372)</f>
        <v>#REF!</v>
      </c>
      <c r="M631" s="252">
        <v>0.47</v>
      </c>
      <c r="N631" s="296" t="s">
        <v>866</v>
      </c>
      <c r="O631" s="296" t="s">
        <v>339</v>
      </c>
      <c r="P631" s="252" t="e">
        <f>(R74)</f>
        <v>#REF!</v>
      </c>
      <c r="Q631" s="296" t="s">
        <v>866</v>
      </c>
      <c r="R631" s="252" t="e">
        <f t="shared" si="36"/>
        <v>#REF!</v>
      </c>
      <c r="AG631" s="296" t="s">
        <v>2249</v>
      </c>
    </row>
    <row r="632" spans="1:33" hidden="1">
      <c r="A632" s="437">
        <f t="shared" si="35"/>
        <v>460</v>
      </c>
      <c r="B632" s="296" t="s">
        <v>1835</v>
      </c>
      <c r="C632" s="252">
        <v>0.3</v>
      </c>
      <c r="D632" s="296" t="s">
        <v>865</v>
      </c>
      <c r="H632" s="296" t="s">
        <v>2222</v>
      </c>
      <c r="K632" s="252" t="e">
        <f>(K631+C24*0.014/0.372)</f>
        <v>#REF!</v>
      </c>
      <c r="M632" s="252">
        <v>1.62</v>
      </c>
      <c r="N632" s="296" t="s">
        <v>866</v>
      </c>
      <c r="O632" s="296" t="s">
        <v>1967</v>
      </c>
      <c r="P632" s="252" t="e">
        <f>(R89)</f>
        <v>#REF!</v>
      </c>
      <c r="Q632" s="296" t="s">
        <v>866</v>
      </c>
      <c r="R632" s="252" t="e">
        <f t="shared" si="36"/>
        <v>#REF!</v>
      </c>
      <c r="AG632" s="296" t="s">
        <v>2249</v>
      </c>
    </row>
    <row r="633" spans="1:33" hidden="1">
      <c r="A633" s="437">
        <f t="shared" si="35"/>
        <v>461</v>
      </c>
      <c r="B633" s="296" t="s">
        <v>2909</v>
      </c>
      <c r="C633" s="252">
        <v>99</v>
      </c>
      <c r="D633" s="296" t="s">
        <v>606</v>
      </c>
      <c r="H633" s="296" t="s">
        <v>377</v>
      </c>
      <c r="K633" s="252" t="e">
        <f>(K632+C24*0.014/0.372)</f>
        <v>#REF!</v>
      </c>
      <c r="M633" s="252">
        <v>15.22</v>
      </c>
      <c r="N633" s="296" t="s">
        <v>606</v>
      </c>
      <c r="O633" s="296" t="s">
        <v>2126</v>
      </c>
      <c r="P633" s="252" t="e">
        <f>(R303)</f>
        <v>#REF!</v>
      </c>
      <c r="Q633" s="296" t="s">
        <v>606</v>
      </c>
      <c r="R633" s="252" t="e">
        <f t="shared" si="36"/>
        <v>#REF!</v>
      </c>
      <c r="AG633" s="296" t="s">
        <v>2249</v>
      </c>
    </row>
    <row r="634" spans="1:33" hidden="1">
      <c r="A634" s="437">
        <f t="shared" si="35"/>
        <v>462</v>
      </c>
      <c r="B634" s="296" t="s">
        <v>2009</v>
      </c>
      <c r="C634" s="252">
        <v>97.31</v>
      </c>
      <c r="D634" s="296" t="s">
        <v>606</v>
      </c>
      <c r="H634" s="296" t="s">
        <v>1359</v>
      </c>
      <c r="K634" s="252" t="e">
        <f>(K633+C25*0.014/0.372)</f>
        <v>#REF!</v>
      </c>
      <c r="M634" s="252">
        <v>0.18</v>
      </c>
      <c r="N634" s="296" t="s">
        <v>866</v>
      </c>
      <c r="O634" s="296" t="s">
        <v>1328</v>
      </c>
      <c r="P634" s="252" t="e">
        <f>(K279)</f>
        <v>#REF!</v>
      </c>
      <c r="Q634" s="296" t="s">
        <v>866</v>
      </c>
      <c r="R634" s="252" t="e">
        <f t="shared" si="36"/>
        <v>#REF!</v>
      </c>
      <c r="AG634" s="296" t="s">
        <v>2249</v>
      </c>
    </row>
    <row r="635" spans="1:33" hidden="1">
      <c r="A635" s="437">
        <f t="shared" si="35"/>
        <v>463</v>
      </c>
      <c r="B635" s="296" t="s">
        <v>2910</v>
      </c>
      <c r="C635" s="252">
        <v>105.28</v>
      </c>
      <c r="D635" s="296" t="s">
        <v>1148</v>
      </c>
      <c r="F635" s="253" t="s">
        <v>1329</v>
      </c>
      <c r="H635" s="296" t="s">
        <v>756</v>
      </c>
      <c r="M635" s="252">
        <v>0.36</v>
      </c>
      <c r="N635" s="296" t="s">
        <v>606</v>
      </c>
      <c r="O635" s="296" t="s">
        <v>757</v>
      </c>
      <c r="P635" s="252" t="e">
        <f>(K466)</f>
        <v>#REF!</v>
      </c>
      <c r="Q635" s="296" t="s">
        <v>606</v>
      </c>
      <c r="R635" s="252" t="e">
        <f t="shared" si="36"/>
        <v>#REF!</v>
      </c>
      <c r="AG635" s="296" t="s">
        <v>2249</v>
      </c>
    </row>
    <row r="636" spans="1:33" hidden="1">
      <c r="A636" s="437">
        <f t="shared" si="35"/>
        <v>464</v>
      </c>
      <c r="B636" s="296" t="s">
        <v>2911</v>
      </c>
      <c r="C636" s="252">
        <v>106.75</v>
      </c>
      <c r="D636" s="296" t="s">
        <v>1148</v>
      </c>
      <c r="H636" s="296" t="s">
        <v>1404</v>
      </c>
      <c r="M636" s="252">
        <v>1</v>
      </c>
      <c r="N636" s="296" t="s">
        <v>865</v>
      </c>
      <c r="O636" s="296" t="s">
        <v>1160</v>
      </c>
      <c r="P636" s="252">
        <f>(C202)</f>
        <v>75</v>
      </c>
      <c r="Q636" s="296" t="s">
        <v>865</v>
      </c>
      <c r="R636" s="252">
        <f t="shared" si="36"/>
        <v>75</v>
      </c>
      <c r="AG636" s="296" t="s">
        <v>2249</v>
      </c>
    </row>
    <row r="637" spans="1:33" hidden="1">
      <c r="A637" s="437">
        <f t="shared" si="35"/>
        <v>465</v>
      </c>
      <c r="B637" s="296" t="s">
        <v>1161</v>
      </c>
      <c r="C637" s="252">
        <v>1</v>
      </c>
      <c r="D637" s="296" t="s">
        <v>865</v>
      </c>
      <c r="E637" s="252" t="s">
        <v>148</v>
      </c>
      <c r="H637" s="296" t="s">
        <v>331</v>
      </c>
      <c r="M637" s="252">
        <v>1.8</v>
      </c>
      <c r="N637" s="296" t="s">
        <v>332</v>
      </c>
      <c r="O637" s="296" t="s">
        <v>333</v>
      </c>
      <c r="P637" s="252">
        <f>(C324)</f>
        <v>14.91</v>
      </c>
      <c r="Q637" s="296" t="s">
        <v>332</v>
      </c>
      <c r="R637" s="252">
        <f t="shared" si="36"/>
        <v>26.84</v>
      </c>
      <c r="AG637" s="296" t="s">
        <v>2249</v>
      </c>
    </row>
    <row r="638" spans="1:33" hidden="1">
      <c r="A638" s="437">
        <f t="shared" si="35"/>
        <v>466</v>
      </c>
      <c r="B638" s="296" t="s">
        <v>2912</v>
      </c>
      <c r="C638" s="252">
        <v>37</v>
      </c>
      <c r="D638" s="296" t="s">
        <v>1637</v>
      </c>
      <c r="H638" s="296" t="s">
        <v>1496</v>
      </c>
      <c r="M638" s="252">
        <v>1</v>
      </c>
      <c r="N638" s="296" t="s">
        <v>865</v>
      </c>
      <c r="O638" s="296" t="s">
        <v>1904</v>
      </c>
      <c r="P638" s="252">
        <f>(C370)</f>
        <v>13.29</v>
      </c>
      <c r="Q638" s="296" t="s">
        <v>865</v>
      </c>
      <c r="R638" s="252">
        <f t="shared" si="36"/>
        <v>13.29</v>
      </c>
      <c r="AG638" s="296" t="s">
        <v>2249</v>
      </c>
    </row>
    <row r="639" spans="1:33" hidden="1">
      <c r="A639" s="437">
        <f t="shared" si="35"/>
        <v>467</v>
      </c>
      <c r="B639" s="660" t="s">
        <v>1905</v>
      </c>
      <c r="C639" s="252">
        <v>3</v>
      </c>
      <c r="D639" s="296" t="s">
        <v>1763</v>
      </c>
      <c r="E639" s="252">
        <v>5</v>
      </c>
      <c r="H639" s="296" t="s">
        <v>170</v>
      </c>
      <c r="N639" s="296" t="s">
        <v>446</v>
      </c>
      <c r="O639" s="296" t="s">
        <v>337</v>
      </c>
      <c r="Q639" s="296" t="s">
        <v>446</v>
      </c>
      <c r="R639" s="252">
        <v>1.6</v>
      </c>
      <c r="AG639" s="296" t="s">
        <v>2249</v>
      </c>
    </row>
    <row r="640" spans="1:33" hidden="1">
      <c r="A640" s="437">
        <f t="shared" si="35"/>
        <v>468</v>
      </c>
      <c r="B640" s="660" t="s">
        <v>171</v>
      </c>
      <c r="C640" s="252">
        <v>2.2000000000000002</v>
      </c>
      <c r="D640" s="296" t="s">
        <v>1763</v>
      </c>
      <c r="H640" s="296" t="s">
        <v>172</v>
      </c>
      <c r="R640" s="296" t="s">
        <v>971</v>
      </c>
      <c r="AG640" s="296" t="s">
        <v>2249</v>
      </c>
    </row>
    <row r="641" spans="1:33" hidden="1">
      <c r="A641" s="437">
        <f t="shared" si="35"/>
        <v>469</v>
      </c>
      <c r="B641" s="296" t="s">
        <v>2913</v>
      </c>
      <c r="C641" s="252">
        <v>2.2000000000000002</v>
      </c>
      <c r="D641" s="296">
        <v>2.7</v>
      </c>
      <c r="E641" s="252">
        <v>2</v>
      </c>
      <c r="H641" s="296" t="s">
        <v>173</v>
      </c>
      <c r="R641" s="358" t="s">
        <v>1579</v>
      </c>
      <c r="AG641" s="296" t="s">
        <v>2249</v>
      </c>
    </row>
    <row r="642" spans="1:33" hidden="1">
      <c r="A642" s="437">
        <f t="shared" si="35"/>
        <v>470</v>
      </c>
      <c r="B642" s="296" t="s">
        <v>174</v>
      </c>
      <c r="C642" s="252">
        <v>3.2</v>
      </c>
      <c r="D642" s="252">
        <v>3.2</v>
      </c>
      <c r="H642" s="358" t="s">
        <v>1579</v>
      </c>
      <c r="I642" s="358" t="s">
        <v>1579</v>
      </c>
      <c r="O642" s="296" t="s">
        <v>1743</v>
      </c>
      <c r="R642" s="252" t="e">
        <f>SUM(R630:R640)</f>
        <v>#REF!</v>
      </c>
      <c r="AG642" s="296" t="s">
        <v>2249</v>
      </c>
    </row>
    <row r="643" spans="1:33" hidden="1">
      <c r="A643" s="437">
        <f t="shared" si="35"/>
        <v>471</v>
      </c>
      <c r="B643" s="296" t="s">
        <v>175</v>
      </c>
      <c r="C643" s="252">
        <v>4</v>
      </c>
      <c r="D643" s="296" t="s">
        <v>446</v>
      </c>
      <c r="F643" s="252">
        <v>1</v>
      </c>
      <c r="G643" s="252" t="s">
        <v>606</v>
      </c>
      <c r="H643" s="296" t="s">
        <v>176</v>
      </c>
      <c r="I643" s="252">
        <f>D76</f>
        <v>240</v>
      </c>
      <c r="J643" s="253" t="s">
        <v>606</v>
      </c>
      <c r="K643" s="252">
        <f>(F643*I643)</f>
        <v>240</v>
      </c>
      <c r="R643" s="358" t="s">
        <v>1579</v>
      </c>
      <c r="AG643" s="296" t="s">
        <v>2249</v>
      </c>
    </row>
    <row r="644" spans="1:33" hidden="1">
      <c r="A644" s="437">
        <f t="shared" si="35"/>
        <v>472</v>
      </c>
      <c r="B644" s="296" t="s">
        <v>415</v>
      </c>
      <c r="C644" s="252">
        <v>5</v>
      </c>
      <c r="D644" s="296" t="s">
        <v>446</v>
      </c>
      <c r="F644" s="252">
        <v>1</v>
      </c>
      <c r="G644" s="252" t="s">
        <v>606</v>
      </c>
      <c r="H644" s="296" t="s">
        <v>1431</v>
      </c>
      <c r="I644" s="252">
        <f>C75</f>
        <v>20</v>
      </c>
      <c r="J644" s="253" t="s">
        <v>606</v>
      </c>
      <c r="K644" s="252">
        <f>(F644*I644)</f>
        <v>20</v>
      </c>
      <c r="O644" s="296" t="s">
        <v>1432</v>
      </c>
      <c r="AG644" s="296" t="s">
        <v>2249</v>
      </c>
    </row>
    <row r="645" spans="1:33" hidden="1">
      <c r="A645" s="437">
        <f t="shared" si="35"/>
        <v>473</v>
      </c>
      <c r="B645" s="296" t="s">
        <v>1591</v>
      </c>
      <c r="C645" s="252">
        <v>96</v>
      </c>
      <c r="D645" s="296" t="s">
        <v>865</v>
      </c>
      <c r="F645" s="252">
        <v>1</v>
      </c>
      <c r="G645" s="252" t="s">
        <v>446</v>
      </c>
      <c r="H645" s="296" t="s">
        <v>1592</v>
      </c>
      <c r="I645" s="252">
        <v>15</v>
      </c>
      <c r="J645" s="253" t="s">
        <v>446</v>
      </c>
      <c r="K645" s="252">
        <f>(F645*I645)</f>
        <v>15</v>
      </c>
      <c r="N645" s="296" t="s">
        <v>2241</v>
      </c>
      <c r="O645" s="296" t="s">
        <v>1593</v>
      </c>
      <c r="AG645" s="296" t="s">
        <v>2249</v>
      </c>
    </row>
    <row r="646" spans="1:33" hidden="1">
      <c r="A646" s="437">
        <f t="shared" si="35"/>
        <v>474</v>
      </c>
      <c r="B646" s="296" t="s">
        <v>1594</v>
      </c>
      <c r="C646" s="252">
        <v>75</v>
      </c>
      <c r="D646" s="296" t="s">
        <v>865</v>
      </c>
      <c r="K646" s="358" t="s">
        <v>1579</v>
      </c>
      <c r="O646" s="296" t="s">
        <v>1595</v>
      </c>
      <c r="AG646" s="296" t="s">
        <v>2249</v>
      </c>
    </row>
    <row r="647" spans="1:33" hidden="1">
      <c r="A647" s="437">
        <f t="shared" si="35"/>
        <v>475</v>
      </c>
      <c r="B647" s="296" t="s">
        <v>1596</v>
      </c>
      <c r="C647" s="252">
        <v>6.4</v>
      </c>
      <c r="D647" s="252">
        <v>12.65</v>
      </c>
      <c r="E647" s="252">
        <v>3</v>
      </c>
      <c r="H647" s="296" t="s">
        <v>549</v>
      </c>
      <c r="K647" s="252">
        <f>SUM(K641:K645)</f>
        <v>275</v>
      </c>
      <c r="O647" s="358" t="s">
        <v>1579</v>
      </c>
      <c r="AG647" s="296" t="s">
        <v>2249</v>
      </c>
    </row>
    <row r="648" spans="1:33" hidden="1">
      <c r="A648" s="437">
        <f t="shared" si="35"/>
        <v>476</v>
      </c>
      <c r="B648" s="296" t="s">
        <v>1573</v>
      </c>
      <c r="C648" s="252">
        <v>80</v>
      </c>
      <c r="D648" s="296" t="s">
        <v>865</v>
      </c>
      <c r="H648" s="296" t="s">
        <v>1574</v>
      </c>
      <c r="K648" s="358" t="s">
        <v>2046</v>
      </c>
      <c r="M648" s="252">
        <v>1</v>
      </c>
      <c r="N648" s="296" t="s">
        <v>865</v>
      </c>
      <c r="O648" s="296" t="s">
        <v>1575</v>
      </c>
      <c r="P648" s="252">
        <f>(C382)</f>
        <v>14.91</v>
      </c>
      <c r="Q648" s="296" t="s">
        <v>865</v>
      </c>
      <c r="R648" s="252">
        <f>(M648*P648)</f>
        <v>14.91</v>
      </c>
      <c r="AG648" s="296" t="s">
        <v>2249</v>
      </c>
    </row>
    <row r="649" spans="1:33" hidden="1">
      <c r="A649" s="437">
        <f t="shared" ref="A649:A673" si="37">(A648+1)</f>
        <v>477</v>
      </c>
      <c r="B649" s="296" t="s">
        <v>135</v>
      </c>
      <c r="C649" s="252">
        <v>64</v>
      </c>
      <c r="D649" s="296" t="s">
        <v>865</v>
      </c>
      <c r="H649" s="296" t="s">
        <v>383</v>
      </c>
      <c r="K649" s="252">
        <f>(K647+C19*0.05)</f>
        <v>275.88</v>
      </c>
      <c r="N649" s="296" t="s">
        <v>446</v>
      </c>
      <c r="O649" s="296" t="s">
        <v>136</v>
      </c>
      <c r="Q649" s="296" t="s">
        <v>446</v>
      </c>
      <c r="R649" s="252">
        <v>2.09</v>
      </c>
      <c r="AG649" s="296" t="s">
        <v>2249</v>
      </c>
    </row>
    <row r="650" spans="1:33" hidden="1">
      <c r="A650" s="437">
        <f t="shared" si="37"/>
        <v>478</v>
      </c>
      <c r="B650" s="296" t="s">
        <v>137</v>
      </c>
      <c r="C650" s="252">
        <v>40.5</v>
      </c>
      <c r="D650" s="296" t="s">
        <v>865</v>
      </c>
      <c r="H650" s="296" t="s">
        <v>385</v>
      </c>
      <c r="K650" s="252">
        <f>(K649+C20*0.05)</f>
        <v>277.64</v>
      </c>
      <c r="O650" s="296" t="s">
        <v>138</v>
      </c>
      <c r="R650" s="296" t="s">
        <v>971</v>
      </c>
      <c r="AG650" s="296" t="s">
        <v>2249</v>
      </c>
    </row>
    <row r="651" spans="1:33" hidden="1">
      <c r="A651" s="437">
        <f t="shared" si="37"/>
        <v>479</v>
      </c>
      <c r="B651" s="296" t="s">
        <v>1454</v>
      </c>
      <c r="C651" s="252">
        <v>92</v>
      </c>
      <c r="D651" s="296" t="s">
        <v>865</v>
      </c>
      <c r="H651" s="296" t="s">
        <v>2222</v>
      </c>
      <c r="K651" s="252">
        <f>(K650+C21*0.05)</f>
        <v>279.39999999999998</v>
      </c>
      <c r="R651" s="358" t="s">
        <v>1579</v>
      </c>
      <c r="AG651" s="296" t="s">
        <v>2249</v>
      </c>
    </row>
    <row r="652" spans="1:33" hidden="1">
      <c r="A652" s="437">
        <f t="shared" si="37"/>
        <v>480</v>
      </c>
      <c r="B652" s="296" t="s">
        <v>1557</v>
      </c>
      <c r="C652" s="252">
        <v>60</v>
      </c>
      <c r="D652" s="296" t="s">
        <v>865</v>
      </c>
      <c r="H652" s="296" t="s">
        <v>377</v>
      </c>
      <c r="K652" s="252">
        <f>(K651+C21*0.05)</f>
        <v>281.16000000000003</v>
      </c>
      <c r="O652" s="296" t="s">
        <v>1558</v>
      </c>
      <c r="R652" s="252">
        <f>SUM(R648:R650)</f>
        <v>17</v>
      </c>
      <c r="AG652" s="296" t="s">
        <v>2249</v>
      </c>
    </row>
    <row r="653" spans="1:33" hidden="1">
      <c r="A653" s="437">
        <f t="shared" si="37"/>
        <v>481</v>
      </c>
      <c r="B653" s="296" t="s">
        <v>1358</v>
      </c>
      <c r="C653" s="252">
        <v>49.87</v>
      </c>
      <c r="D653" s="296" t="s">
        <v>865</v>
      </c>
      <c r="H653" s="296" t="s">
        <v>1359</v>
      </c>
      <c r="K653" s="252">
        <f>(K652+C21*0.05)</f>
        <v>282.92</v>
      </c>
      <c r="R653" s="358" t="s">
        <v>1579</v>
      </c>
      <c r="AG653" s="296" t="s">
        <v>2249</v>
      </c>
    </row>
    <row r="654" spans="1:33" hidden="1">
      <c r="A654" s="437">
        <f t="shared" si="37"/>
        <v>482</v>
      </c>
      <c r="B654" s="296" t="s">
        <v>1807</v>
      </c>
      <c r="C654" s="252">
        <v>80</v>
      </c>
      <c r="D654" s="296" t="s">
        <v>865</v>
      </c>
      <c r="F654" s="253" t="s">
        <v>1808</v>
      </c>
      <c r="H654" s="296" t="s">
        <v>756</v>
      </c>
      <c r="AG654" s="296" t="s">
        <v>2249</v>
      </c>
    </row>
    <row r="655" spans="1:33" hidden="1">
      <c r="A655" s="437">
        <f t="shared" si="37"/>
        <v>483</v>
      </c>
      <c r="B655" s="296" t="s">
        <v>1809</v>
      </c>
      <c r="C655" s="252">
        <v>52</v>
      </c>
      <c r="D655" s="296" t="s">
        <v>865</v>
      </c>
      <c r="H655" s="296" t="s">
        <v>1810</v>
      </c>
      <c r="N655" s="296" t="s">
        <v>2241</v>
      </c>
      <c r="O655" s="296" t="s">
        <v>891</v>
      </c>
      <c r="AG655" s="296" t="s">
        <v>2249</v>
      </c>
    </row>
    <row r="656" spans="1:33" hidden="1">
      <c r="A656" s="437">
        <f t="shared" si="37"/>
        <v>484</v>
      </c>
      <c r="B656" s="296" t="s">
        <v>1178</v>
      </c>
      <c r="C656" s="252">
        <v>39</v>
      </c>
      <c r="D656" s="296" t="s">
        <v>865</v>
      </c>
      <c r="H656" s="296" t="s">
        <v>331</v>
      </c>
      <c r="O656" s="296" t="s">
        <v>1595</v>
      </c>
      <c r="AG656" s="296" t="s">
        <v>2249</v>
      </c>
    </row>
    <row r="657" spans="1:33" hidden="1">
      <c r="A657" s="437">
        <f t="shared" si="37"/>
        <v>485</v>
      </c>
      <c r="B657" s="296" t="s">
        <v>1248</v>
      </c>
      <c r="C657" s="252">
        <v>90</v>
      </c>
      <c r="D657" s="296" t="s">
        <v>865</v>
      </c>
      <c r="H657" s="296" t="s">
        <v>1496</v>
      </c>
      <c r="O657" s="358" t="s">
        <v>1579</v>
      </c>
      <c r="AG657" s="296" t="s">
        <v>2249</v>
      </c>
    </row>
    <row r="658" spans="1:33" hidden="1">
      <c r="A658" s="437">
        <f t="shared" si="37"/>
        <v>486</v>
      </c>
      <c r="B658" s="296" t="s">
        <v>1249</v>
      </c>
      <c r="C658" s="252">
        <v>60</v>
      </c>
      <c r="D658" s="296" t="s">
        <v>865</v>
      </c>
      <c r="H658" s="296" t="s">
        <v>170</v>
      </c>
      <c r="M658" s="252">
        <v>1</v>
      </c>
      <c r="N658" s="296" t="s">
        <v>865</v>
      </c>
      <c r="O658" s="296" t="s">
        <v>1080</v>
      </c>
      <c r="P658" s="252">
        <f>(C383)</f>
        <v>17.579999999999998</v>
      </c>
      <c r="Q658" s="296" t="s">
        <v>865</v>
      </c>
      <c r="R658" s="252">
        <f>(M658*P658)</f>
        <v>17.579999999999998</v>
      </c>
      <c r="AG658" s="296" t="s">
        <v>2249</v>
      </c>
    </row>
    <row r="659" spans="1:33" hidden="1">
      <c r="A659" s="437">
        <f t="shared" si="37"/>
        <v>487</v>
      </c>
      <c r="B659" s="296" t="s">
        <v>1081</v>
      </c>
      <c r="C659" s="252">
        <v>43.5</v>
      </c>
      <c r="D659" s="296" t="s">
        <v>865</v>
      </c>
      <c r="H659" s="296" t="s">
        <v>172</v>
      </c>
      <c r="N659" s="296" t="s">
        <v>446</v>
      </c>
      <c r="O659" s="296" t="s">
        <v>136</v>
      </c>
      <c r="Q659" s="296" t="s">
        <v>446</v>
      </c>
      <c r="R659" s="252">
        <v>2.09</v>
      </c>
      <c r="AG659" s="296" t="s">
        <v>2249</v>
      </c>
    </row>
    <row r="660" spans="1:33" hidden="1">
      <c r="A660" s="437">
        <f t="shared" si="37"/>
        <v>488</v>
      </c>
      <c r="B660" s="296" t="s">
        <v>244</v>
      </c>
      <c r="C660" s="252">
        <v>75</v>
      </c>
      <c r="D660" s="296" t="s">
        <v>865</v>
      </c>
      <c r="H660" s="296" t="s">
        <v>2061</v>
      </c>
      <c r="O660" s="296" t="s">
        <v>138</v>
      </c>
      <c r="R660" s="296" t="s">
        <v>971</v>
      </c>
      <c r="AG660" s="296" t="s">
        <v>2249</v>
      </c>
    </row>
    <row r="661" spans="1:33" hidden="1">
      <c r="A661" s="437">
        <f t="shared" si="37"/>
        <v>489</v>
      </c>
      <c r="B661" s="296" t="s">
        <v>2016</v>
      </c>
      <c r="C661" s="252">
        <v>52</v>
      </c>
      <c r="D661" s="296" t="s">
        <v>865</v>
      </c>
      <c r="H661" s="358" t="s">
        <v>1579</v>
      </c>
      <c r="I661" s="358" t="s">
        <v>1579</v>
      </c>
      <c r="R661" s="358" t="s">
        <v>1579</v>
      </c>
      <c r="AG661" s="296" t="s">
        <v>2249</v>
      </c>
    </row>
    <row r="662" spans="1:33" hidden="1">
      <c r="A662" s="437">
        <f t="shared" si="37"/>
        <v>490</v>
      </c>
      <c r="B662" s="296" t="s">
        <v>1178</v>
      </c>
      <c r="C662" s="252">
        <v>35.25</v>
      </c>
      <c r="D662" s="296" t="s">
        <v>865</v>
      </c>
      <c r="F662" s="252">
        <v>1</v>
      </c>
      <c r="G662" s="252" t="s">
        <v>606</v>
      </c>
      <c r="H662" s="296" t="s">
        <v>922</v>
      </c>
      <c r="I662" s="252">
        <f>C76</f>
        <v>514.62</v>
      </c>
      <c r="J662" s="253" t="s">
        <v>606</v>
      </c>
      <c r="K662" s="252">
        <f>(F662*I662)</f>
        <v>514.62</v>
      </c>
      <c r="O662" s="296" t="s">
        <v>1558</v>
      </c>
      <c r="R662" s="252">
        <f>SUM(R658:R660)</f>
        <v>19.670000000000002</v>
      </c>
      <c r="AG662" s="296" t="s">
        <v>2249</v>
      </c>
    </row>
    <row r="663" spans="1:33" hidden="1">
      <c r="A663" s="437">
        <f t="shared" si="37"/>
        <v>491</v>
      </c>
      <c r="B663" s="296" t="s">
        <v>923</v>
      </c>
      <c r="C663" s="252">
        <v>37.5</v>
      </c>
      <c r="D663" s="296" t="s">
        <v>865</v>
      </c>
      <c r="F663" s="252">
        <v>1</v>
      </c>
      <c r="G663" s="252" t="s">
        <v>606</v>
      </c>
      <c r="H663" s="296" t="s">
        <v>1431</v>
      </c>
      <c r="I663" s="252">
        <f>C75</f>
        <v>20</v>
      </c>
      <c r="J663" s="253" t="s">
        <v>606</v>
      </c>
      <c r="K663" s="252">
        <f>(F663*I663)</f>
        <v>20</v>
      </c>
      <c r="R663" s="358" t="s">
        <v>1579</v>
      </c>
      <c r="AG663" s="296" t="s">
        <v>2249</v>
      </c>
    </row>
    <row r="664" spans="1:33" hidden="1">
      <c r="A664" s="437">
        <f t="shared" si="37"/>
        <v>492</v>
      </c>
      <c r="B664" s="296" t="s">
        <v>924</v>
      </c>
      <c r="C664" s="252">
        <v>24</v>
      </c>
      <c r="D664" s="296" t="s">
        <v>865</v>
      </c>
      <c r="F664" s="252">
        <v>1</v>
      </c>
      <c r="G664" s="252" t="s">
        <v>446</v>
      </c>
      <c r="H664" s="296" t="s">
        <v>1592</v>
      </c>
      <c r="I664" s="252">
        <v>15</v>
      </c>
      <c r="J664" s="253" t="s">
        <v>446</v>
      </c>
      <c r="K664" s="252">
        <f>(F664*I664)</f>
        <v>15</v>
      </c>
      <c r="AG664" s="296" t="s">
        <v>2249</v>
      </c>
    </row>
    <row r="665" spans="1:33" hidden="1">
      <c r="A665" s="437">
        <f t="shared" si="37"/>
        <v>493</v>
      </c>
      <c r="B665" s="296" t="s">
        <v>925</v>
      </c>
      <c r="C665" s="252">
        <v>16</v>
      </c>
      <c r="D665" s="296" t="s">
        <v>865</v>
      </c>
      <c r="H665" s="296" t="s">
        <v>447</v>
      </c>
      <c r="J665" s="253" t="s">
        <v>446</v>
      </c>
      <c r="K665" s="252">
        <v>0</v>
      </c>
      <c r="N665" s="296" t="s">
        <v>2241</v>
      </c>
      <c r="O665" s="296" t="s">
        <v>478</v>
      </c>
      <c r="AG665" s="296" t="s">
        <v>2249</v>
      </c>
    </row>
    <row r="666" spans="1:33" hidden="1">
      <c r="A666" s="437">
        <f t="shared" si="37"/>
        <v>494</v>
      </c>
      <c r="B666" s="296" t="s">
        <v>479</v>
      </c>
      <c r="C666" s="252">
        <v>18</v>
      </c>
      <c r="D666" s="296" t="s">
        <v>865</v>
      </c>
      <c r="K666" s="358" t="s">
        <v>1579</v>
      </c>
      <c r="O666" s="296" t="s">
        <v>1595</v>
      </c>
      <c r="AG666" s="296" t="s">
        <v>2249</v>
      </c>
    </row>
    <row r="667" spans="1:33" hidden="1">
      <c r="A667" s="437">
        <f t="shared" si="37"/>
        <v>495</v>
      </c>
      <c r="B667" s="296" t="s">
        <v>480</v>
      </c>
      <c r="C667" s="252">
        <v>6</v>
      </c>
      <c r="D667" s="296" t="s">
        <v>865</v>
      </c>
      <c r="H667" s="296" t="s">
        <v>549</v>
      </c>
      <c r="K667" s="252">
        <f>SUM(K662:K665)</f>
        <v>549.62</v>
      </c>
      <c r="O667" s="358" t="s">
        <v>1579</v>
      </c>
      <c r="AG667" s="296" t="s">
        <v>2249</v>
      </c>
    </row>
    <row r="668" spans="1:33" hidden="1">
      <c r="A668" s="437">
        <f t="shared" si="37"/>
        <v>496</v>
      </c>
      <c r="B668" s="296" t="s">
        <v>481</v>
      </c>
      <c r="C668" s="252">
        <v>152.5</v>
      </c>
      <c r="D668" s="296" t="s">
        <v>1763</v>
      </c>
      <c r="H668" s="296" t="s">
        <v>1574</v>
      </c>
      <c r="K668" s="358" t="s">
        <v>2046</v>
      </c>
      <c r="M668" s="252">
        <v>1</v>
      </c>
      <c r="N668" s="296" t="s">
        <v>865</v>
      </c>
      <c r="O668" s="296" t="s">
        <v>482</v>
      </c>
      <c r="P668" s="252">
        <f>(C384)</f>
        <v>19.3</v>
      </c>
      <c r="Q668" s="296" t="s">
        <v>865</v>
      </c>
      <c r="R668" s="252">
        <f>(M668*P668)</f>
        <v>19.3</v>
      </c>
      <c r="AG668" s="296" t="s">
        <v>2249</v>
      </c>
    </row>
    <row r="669" spans="1:33" hidden="1">
      <c r="A669" s="437">
        <f t="shared" si="37"/>
        <v>497</v>
      </c>
      <c r="B669" s="296" t="s">
        <v>1004</v>
      </c>
      <c r="C669" s="252">
        <v>108.68</v>
      </c>
      <c r="D669" s="296" t="s">
        <v>865</v>
      </c>
      <c r="H669" s="296" t="s">
        <v>383</v>
      </c>
      <c r="J669" s="253" t="s">
        <v>971</v>
      </c>
      <c r="K669" s="252">
        <f>(K667+C19*0.11)</f>
        <v>551.55999999999995</v>
      </c>
      <c r="N669" s="296" t="s">
        <v>446</v>
      </c>
      <c r="O669" s="296" t="s">
        <v>136</v>
      </c>
      <c r="Q669" s="296" t="s">
        <v>446</v>
      </c>
      <c r="R669" s="252">
        <v>2.09</v>
      </c>
      <c r="AG669" s="296" t="s">
        <v>2249</v>
      </c>
    </row>
    <row r="670" spans="1:33" hidden="1">
      <c r="A670" s="437">
        <f t="shared" si="37"/>
        <v>498</v>
      </c>
      <c r="B670" s="296" t="s">
        <v>545</v>
      </c>
      <c r="C670" s="252">
        <v>119.89</v>
      </c>
      <c r="D670" s="296" t="s">
        <v>865</v>
      </c>
      <c r="H670" s="296" t="s">
        <v>385</v>
      </c>
      <c r="K670" s="252">
        <f>(K669+C20*0.11)</f>
        <v>555.42999999999995</v>
      </c>
      <c r="O670" s="296" t="s">
        <v>138</v>
      </c>
      <c r="R670" s="296" t="s">
        <v>971</v>
      </c>
      <c r="AG670" s="296" t="s">
        <v>2249</v>
      </c>
    </row>
    <row r="671" spans="1:33" hidden="1">
      <c r="A671" s="437">
        <f t="shared" si="37"/>
        <v>499</v>
      </c>
      <c r="B671" s="296" t="s">
        <v>546</v>
      </c>
      <c r="C671" s="252">
        <v>297.44</v>
      </c>
      <c r="D671" s="296" t="s">
        <v>865</v>
      </c>
      <c r="H671" s="296" t="s">
        <v>2222</v>
      </c>
      <c r="K671" s="252">
        <f>(K670+C21*0.11)</f>
        <v>559.29999999999995</v>
      </c>
      <c r="R671" s="358" t="s">
        <v>1579</v>
      </c>
      <c r="AG671" s="296" t="s">
        <v>318</v>
      </c>
    </row>
    <row r="672" spans="1:33" hidden="1">
      <c r="A672" s="437">
        <f t="shared" si="37"/>
        <v>500</v>
      </c>
      <c r="B672" s="296" t="s">
        <v>547</v>
      </c>
      <c r="C672" s="252">
        <v>28.6</v>
      </c>
      <c r="D672" s="296" t="s">
        <v>865</v>
      </c>
      <c r="H672" s="296" t="s">
        <v>377</v>
      </c>
      <c r="K672" s="252">
        <f>(K671+C21*0.11)</f>
        <v>563.16999999999996</v>
      </c>
      <c r="O672" s="296" t="s">
        <v>1558</v>
      </c>
      <c r="R672" s="252">
        <f>SUM(R668:R670)</f>
        <v>21.39</v>
      </c>
    </row>
    <row r="673" spans="1:33" hidden="1">
      <c r="A673" s="437">
        <f t="shared" si="37"/>
        <v>501</v>
      </c>
      <c r="B673" s="296" t="s">
        <v>186</v>
      </c>
      <c r="C673" s="252">
        <v>228.86</v>
      </c>
      <c r="D673" s="296" t="s">
        <v>865</v>
      </c>
      <c r="H673" s="296" t="s">
        <v>1359</v>
      </c>
      <c r="K673" s="252">
        <f>(K672+C21*0.11)</f>
        <v>567.04</v>
      </c>
      <c r="R673" s="358" t="s">
        <v>1579</v>
      </c>
    </row>
    <row r="674" spans="1:33" hidden="1">
      <c r="F674" s="296" t="s">
        <v>971</v>
      </c>
    </row>
    <row r="675" spans="1:33" hidden="1">
      <c r="A675" s="437">
        <f>(A673+1)</f>
        <v>502</v>
      </c>
      <c r="B675" s="296" t="s">
        <v>187</v>
      </c>
      <c r="C675" s="252">
        <v>70.47</v>
      </c>
      <c r="D675" s="296" t="s">
        <v>865</v>
      </c>
      <c r="AG675" s="296" t="s">
        <v>2249</v>
      </c>
    </row>
    <row r="676" spans="1:33" hidden="1">
      <c r="A676" s="437">
        <f t="shared" ref="A676:A707" si="38">(A675+1)</f>
        <v>503</v>
      </c>
      <c r="B676" s="296" t="s">
        <v>188</v>
      </c>
      <c r="C676" s="252">
        <v>133.62</v>
      </c>
      <c r="D676" s="296" t="s">
        <v>865</v>
      </c>
      <c r="F676" s="253" t="s">
        <v>1350</v>
      </c>
      <c r="H676" s="296" t="s">
        <v>189</v>
      </c>
      <c r="N676" s="296" t="s">
        <v>2241</v>
      </c>
      <c r="O676" s="296" t="s">
        <v>1445</v>
      </c>
      <c r="AG676" s="296" t="s">
        <v>2249</v>
      </c>
    </row>
    <row r="677" spans="1:33" hidden="1">
      <c r="A677" s="437">
        <f t="shared" si="38"/>
        <v>504</v>
      </c>
      <c r="B677" s="296" t="s">
        <v>1446</v>
      </c>
      <c r="C677" s="252">
        <v>133.62</v>
      </c>
      <c r="D677" s="296" t="s">
        <v>865</v>
      </c>
      <c r="H677" s="296" t="s">
        <v>1447</v>
      </c>
      <c r="O677" s="296" t="s">
        <v>1448</v>
      </c>
      <c r="AG677" s="296" t="s">
        <v>2249</v>
      </c>
    </row>
    <row r="678" spans="1:33" hidden="1">
      <c r="A678" s="437">
        <f t="shared" si="38"/>
        <v>505</v>
      </c>
      <c r="B678" s="296" t="s">
        <v>1449</v>
      </c>
      <c r="C678" s="252">
        <v>215</v>
      </c>
      <c r="D678" s="296" t="s">
        <v>865</v>
      </c>
      <c r="H678" s="296" t="s">
        <v>1450</v>
      </c>
      <c r="O678" s="358" t="s">
        <v>1579</v>
      </c>
      <c r="AG678" s="296" t="s">
        <v>2249</v>
      </c>
    </row>
    <row r="679" spans="1:33" hidden="1">
      <c r="A679" s="437">
        <f t="shared" si="38"/>
        <v>506</v>
      </c>
      <c r="B679" s="296" t="s">
        <v>1208</v>
      </c>
      <c r="C679" s="252">
        <v>215</v>
      </c>
      <c r="D679" s="296" t="s">
        <v>865</v>
      </c>
      <c r="H679" s="358" t="s">
        <v>1579</v>
      </c>
      <c r="M679" s="252">
        <v>1</v>
      </c>
      <c r="N679" s="296" t="s">
        <v>865</v>
      </c>
      <c r="O679" s="296" t="s">
        <v>1209</v>
      </c>
      <c r="P679" s="252">
        <f>(C392/1*0.3)</f>
        <v>14.61</v>
      </c>
      <c r="Q679" s="296" t="s">
        <v>865</v>
      </c>
      <c r="R679" s="252">
        <f>(M679*P679)</f>
        <v>14.61</v>
      </c>
      <c r="AG679" s="296" t="s">
        <v>2249</v>
      </c>
    </row>
    <row r="680" spans="1:33" hidden="1">
      <c r="A680" s="437">
        <f t="shared" si="38"/>
        <v>507</v>
      </c>
      <c r="B680" s="296" t="s">
        <v>1210</v>
      </c>
      <c r="C680" s="252">
        <v>107.64</v>
      </c>
      <c r="D680" s="296" t="s">
        <v>606</v>
      </c>
      <c r="F680" s="252">
        <v>0.4</v>
      </c>
      <c r="G680" s="252" t="s">
        <v>866</v>
      </c>
      <c r="H680" s="296" t="s">
        <v>1211</v>
      </c>
      <c r="I680" s="252">
        <f>(C267)</f>
        <v>10705</v>
      </c>
      <c r="J680" s="253" t="s">
        <v>866</v>
      </c>
      <c r="K680" s="252">
        <f>(F680*I680)</f>
        <v>4282</v>
      </c>
      <c r="N680" s="296" t="s">
        <v>446</v>
      </c>
      <c r="O680" s="296" t="s">
        <v>136</v>
      </c>
      <c r="Q680" s="296" t="s">
        <v>446</v>
      </c>
      <c r="R680" s="252">
        <v>1.65</v>
      </c>
      <c r="AG680" s="296" t="s">
        <v>2249</v>
      </c>
    </row>
    <row r="681" spans="1:33" hidden="1">
      <c r="A681" s="437">
        <f t="shared" si="38"/>
        <v>508</v>
      </c>
      <c r="B681" s="296" t="s">
        <v>1212</v>
      </c>
      <c r="F681" s="252">
        <v>0.12</v>
      </c>
      <c r="G681" s="252" t="s">
        <v>866</v>
      </c>
      <c r="H681" s="296" t="s">
        <v>1170</v>
      </c>
      <c r="I681" s="252">
        <f>(C268)</f>
        <v>9395</v>
      </c>
      <c r="J681" s="253" t="s">
        <v>866</v>
      </c>
      <c r="K681" s="252">
        <f>(F681*I681)</f>
        <v>1127.4000000000001</v>
      </c>
      <c r="O681" s="296" t="s">
        <v>138</v>
      </c>
      <c r="R681" s="296" t="s">
        <v>971</v>
      </c>
      <c r="AG681" s="296" t="s">
        <v>2249</v>
      </c>
    </row>
    <row r="682" spans="1:33" hidden="1">
      <c r="A682" s="437">
        <f t="shared" si="38"/>
        <v>509</v>
      </c>
      <c r="B682" s="296" t="s">
        <v>2108</v>
      </c>
      <c r="C682" s="252">
        <v>11.55</v>
      </c>
      <c r="D682" s="296" t="s">
        <v>865</v>
      </c>
      <c r="H682" s="296" t="s">
        <v>2109</v>
      </c>
      <c r="I682" s="296" t="s">
        <v>971</v>
      </c>
      <c r="K682" s="296" t="s">
        <v>971</v>
      </c>
      <c r="R682" s="358" t="s">
        <v>1579</v>
      </c>
      <c r="AG682" s="296" t="s">
        <v>2249</v>
      </c>
    </row>
    <row r="683" spans="1:33" hidden="1">
      <c r="A683" s="437">
        <f t="shared" si="38"/>
        <v>510</v>
      </c>
      <c r="B683" s="296" t="s">
        <v>1112</v>
      </c>
      <c r="C683" s="252">
        <v>16.399999999999999</v>
      </c>
      <c r="D683" s="296" t="s">
        <v>865</v>
      </c>
      <c r="F683" s="252">
        <v>98.5</v>
      </c>
      <c r="G683" s="252" t="s">
        <v>1763</v>
      </c>
      <c r="H683" s="296" t="s">
        <v>1421</v>
      </c>
      <c r="I683" s="252">
        <f>(C269)</f>
        <v>15</v>
      </c>
      <c r="J683" s="253" t="s">
        <v>1763</v>
      </c>
      <c r="K683" s="252">
        <f>(F683*I683)</f>
        <v>1477.5</v>
      </c>
      <c r="O683" s="296" t="s">
        <v>1558</v>
      </c>
      <c r="R683" s="252">
        <f>SUM(R679:R681)</f>
        <v>16.260000000000002</v>
      </c>
      <c r="AG683" s="296" t="s">
        <v>2249</v>
      </c>
    </row>
    <row r="684" spans="1:33" hidden="1">
      <c r="A684" s="437">
        <f t="shared" si="38"/>
        <v>511</v>
      </c>
      <c r="B684" s="296" t="s">
        <v>1113</v>
      </c>
      <c r="C684" s="252">
        <v>27.85</v>
      </c>
      <c r="D684" s="296" t="s">
        <v>865</v>
      </c>
      <c r="H684" s="296" t="s">
        <v>308</v>
      </c>
      <c r="I684" s="296" t="s">
        <v>971</v>
      </c>
      <c r="K684" s="296" t="s">
        <v>246</v>
      </c>
      <c r="R684" s="358" t="s">
        <v>1579</v>
      </c>
      <c r="AG684" s="296" t="s">
        <v>2249</v>
      </c>
    </row>
    <row r="685" spans="1:33" hidden="1">
      <c r="A685" s="437">
        <f t="shared" si="38"/>
        <v>512</v>
      </c>
      <c r="B685" s="296" t="s">
        <v>1114</v>
      </c>
      <c r="C685" s="252">
        <v>49.9</v>
      </c>
      <c r="D685" s="296" t="s">
        <v>865</v>
      </c>
      <c r="K685" s="358" t="s">
        <v>1579</v>
      </c>
      <c r="O685" s="253" t="s">
        <v>659</v>
      </c>
      <c r="R685" s="296" t="s">
        <v>971</v>
      </c>
      <c r="AG685" s="296" t="s">
        <v>2249</v>
      </c>
    </row>
    <row r="686" spans="1:33" hidden="1">
      <c r="A686" s="437">
        <f t="shared" si="38"/>
        <v>513</v>
      </c>
      <c r="B686" s="296" t="s">
        <v>1116</v>
      </c>
      <c r="C686" s="252">
        <v>69.25</v>
      </c>
      <c r="D686" s="296" t="s">
        <v>865</v>
      </c>
      <c r="H686" s="296" t="s">
        <v>660</v>
      </c>
      <c r="K686" s="252">
        <f>SUM(K680:K684)</f>
        <v>6886.9</v>
      </c>
      <c r="M686" s="316"/>
      <c r="O686" s="253" t="s">
        <v>2075</v>
      </c>
      <c r="AG686" s="296" t="s">
        <v>2249</v>
      </c>
    </row>
    <row r="687" spans="1:33" hidden="1">
      <c r="A687" s="437">
        <f t="shared" si="38"/>
        <v>514</v>
      </c>
      <c r="B687" s="296" t="s">
        <v>1897</v>
      </c>
      <c r="D687" s="296" t="s">
        <v>971</v>
      </c>
      <c r="H687" s="296" t="s">
        <v>971</v>
      </c>
      <c r="K687" s="358" t="s">
        <v>1579</v>
      </c>
      <c r="M687" s="253" t="s">
        <v>1532</v>
      </c>
      <c r="N687" s="296" t="s">
        <v>1898</v>
      </c>
      <c r="O687" s="296" t="s">
        <v>2914</v>
      </c>
      <c r="AG687" s="296" t="s">
        <v>2249</v>
      </c>
    </row>
    <row r="688" spans="1:33" hidden="1">
      <c r="A688" s="437">
        <f t="shared" si="38"/>
        <v>515</v>
      </c>
      <c r="B688" s="296" t="s">
        <v>238</v>
      </c>
      <c r="C688" s="252">
        <v>20</v>
      </c>
      <c r="D688" s="296" t="s">
        <v>865</v>
      </c>
      <c r="F688" s="252">
        <v>10</v>
      </c>
      <c r="G688" s="252" t="s">
        <v>606</v>
      </c>
      <c r="H688" s="296" t="s">
        <v>496</v>
      </c>
      <c r="I688" s="252">
        <f>(K686/50)</f>
        <v>137.74</v>
      </c>
      <c r="J688" s="253" t="s">
        <v>606</v>
      </c>
      <c r="K688" s="252">
        <f>(F688*I688)</f>
        <v>1377.4</v>
      </c>
      <c r="O688" s="358" t="s">
        <v>1579</v>
      </c>
      <c r="AG688" s="296" t="s">
        <v>2249</v>
      </c>
    </row>
    <row r="689" spans="1:33" hidden="1">
      <c r="A689" s="437">
        <f t="shared" si="38"/>
        <v>516</v>
      </c>
      <c r="B689" s="296" t="s">
        <v>497</v>
      </c>
      <c r="C689" s="252">
        <v>45</v>
      </c>
      <c r="D689" s="296" t="s">
        <v>865</v>
      </c>
      <c r="F689" s="252">
        <v>3.8</v>
      </c>
      <c r="G689" s="252" t="s">
        <v>766</v>
      </c>
      <c r="H689" s="296" t="s">
        <v>498</v>
      </c>
      <c r="I689" s="252">
        <f>(C16)</f>
        <v>150</v>
      </c>
      <c r="J689" s="253" t="s">
        <v>766</v>
      </c>
      <c r="K689" s="252">
        <f>(F689*I689)</f>
        <v>570</v>
      </c>
      <c r="M689" s="316">
        <v>2.69E-2</v>
      </c>
      <c r="N689" s="296" t="s">
        <v>866</v>
      </c>
      <c r="O689" s="296" t="s">
        <v>1309</v>
      </c>
      <c r="P689" s="252">
        <f>C86+2500</f>
        <v>23105</v>
      </c>
      <c r="Q689" s="296" t="s">
        <v>866</v>
      </c>
      <c r="R689" s="252">
        <f t="shared" ref="R689:R695" si="39">M689*P689</f>
        <v>621.52</v>
      </c>
      <c r="AG689" s="296" t="s">
        <v>2249</v>
      </c>
    </row>
    <row r="690" spans="1:33" hidden="1">
      <c r="A690" s="437">
        <f t="shared" si="38"/>
        <v>517</v>
      </c>
      <c r="B690" s="296" t="s">
        <v>1310</v>
      </c>
      <c r="D690" s="296" t="s">
        <v>246</v>
      </c>
      <c r="F690" s="252">
        <v>5.4</v>
      </c>
      <c r="G690" s="252" t="s">
        <v>766</v>
      </c>
      <c r="H690" s="296" t="s">
        <v>1893</v>
      </c>
      <c r="I690" s="252">
        <f>(C12)</f>
        <v>95</v>
      </c>
      <c r="J690" s="253" t="s">
        <v>766</v>
      </c>
      <c r="K690" s="252">
        <f>(F690*I690)</f>
        <v>513</v>
      </c>
      <c r="M690" s="316">
        <v>1.2949999999999999</v>
      </c>
      <c r="N690" s="296" t="s">
        <v>606</v>
      </c>
      <c r="O690" s="296" t="s">
        <v>1292</v>
      </c>
      <c r="P690" s="252">
        <f>C753</f>
        <v>381.37</v>
      </c>
      <c r="Q690" s="296" t="s">
        <v>606</v>
      </c>
      <c r="R690" s="252">
        <f t="shared" si="39"/>
        <v>493.87</v>
      </c>
      <c r="AG690" s="296" t="s">
        <v>2249</v>
      </c>
    </row>
    <row r="691" spans="1:33" hidden="1">
      <c r="A691" s="437">
        <f t="shared" si="38"/>
        <v>518</v>
      </c>
      <c r="B691" s="296" t="s">
        <v>238</v>
      </c>
      <c r="C691" s="252">
        <v>19.09</v>
      </c>
      <c r="D691" s="296" t="s">
        <v>865</v>
      </c>
      <c r="G691" s="252" t="s">
        <v>446</v>
      </c>
      <c r="H691" s="296" t="s">
        <v>1293</v>
      </c>
      <c r="J691" s="253" t="s">
        <v>446</v>
      </c>
      <c r="K691" s="252">
        <v>5</v>
      </c>
      <c r="M691" s="316">
        <v>1.8149999999999999</v>
      </c>
      <c r="N691" s="296" t="s">
        <v>606</v>
      </c>
      <c r="O691" s="296" t="s">
        <v>2083</v>
      </c>
      <c r="P691" s="252">
        <f>C31</f>
        <v>342</v>
      </c>
      <c r="Q691" s="296" t="s">
        <v>606</v>
      </c>
      <c r="R691" s="252">
        <f t="shared" si="39"/>
        <v>620.73</v>
      </c>
      <c r="AG691" s="296" t="s">
        <v>2249</v>
      </c>
    </row>
    <row r="692" spans="1:33" hidden="1">
      <c r="A692" s="437">
        <f t="shared" si="38"/>
        <v>519</v>
      </c>
      <c r="B692" s="296" t="s">
        <v>497</v>
      </c>
      <c r="C692" s="252">
        <v>50.66</v>
      </c>
      <c r="D692" s="296" t="s">
        <v>865</v>
      </c>
      <c r="K692" s="358" t="s">
        <v>1579</v>
      </c>
      <c r="M692" s="252">
        <v>2</v>
      </c>
      <c r="N692" s="296" t="s">
        <v>865</v>
      </c>
      <c r="O692" s="296" t="s">
        <v>1715</v>
      </c>
      <c r="P692" s="252">
        <f>C298</f>
        <v>10.5</v>
      </c>
      <c r="Q692" s="296" t="s">
        <v>865</v>
      </c>
      <c r="R692" s="252">
        <f t="shared" si="39"/>
        <v>21</v>
      </c>
      <c r="AG692" s="296" t="s">
        <v>2249</v>
      </c>
    </row>
    <row r="693" spans="1:33" hidden="1">
      <c r="A693" s="437">
        <f t="shared" si="38"/>
        <v>520</v>
      </c>
      <c r="B693" s="296" t="s">
        <v>1610</v>
      </c>
      <c r="C693" s="252">
        <v>1183.82</v>
      </c>
      <c r="D693" s="296" t="s">
        <v>606</v>
      </c>
      <c r="H693" s="296" t="s">
        <v>438</v>
      </c>
      <c r="K693" s="252">
        <f>SUM(K688:K691)</f>
        <v>2465.4</v>
      </c>
      <c r="M693" s="252">
        <v>3</v>
      </c>
      <c r="N693" s="296" t="s">
        <v>865</v>
      </c>
      <c r="O693" s="296" t="s">
        <v>1611</v>
      </c>
      <c r="P693" s="252">
        <f>C294</f>
        <v>8.5</v>
      </c>
      <c r="Q693" s="296" t="s">
        <v>865</v>
      </c>
      <c r="R693" s="252">
        <f t="shared" si="39"/>
        <v>25.5</v>
      </c>
      <c r="AG693" s="296" t="s">
        <v>2249</v>
      </c>
    </row>
    <row r="694" spans="1:33" hidden="1">
      <c r="A694" s="437">
        <f t="shared" si="38"/>
        <v>521</v>
      </c>
      <c r="B694" s="296" t="s">
        <v>1612</v>
      </c>
      <c r="C694" s="252">
        <v>1605</v>
      </c>
      <c r="D694" s="296" t="s">
        <v>606</v>
      </c>
      <c r="K694" s="358" t="s">
        <v>1579</v>
      </c>
      <c r="M694" s="252">
        <v>1</v>
      </c>
      <c r="N694" s="296" t="s">
        <v>865</v>
      </c>
      <c r="O694" s="296" t="s">
        <v>1699</v>
      </c>
      <c r="P694" s="252">
        <f>C300</f>
        <v>21</v>
      </c>
      <c r="Q694" s="296" t="s">
        <v>865</v>
      </c>
      <c r="R694" s="252">
        <f t="shared" si="39"/>
        <v>21</v>
      </c>
      <c r="AG694" s="296" t="s">
        <v>2249</v>
      </c>
    </row>
    <row r="695" spans="1:33" hidden="1">
      <c r="A695" s="437">
        <f t="shared" si="38"/>
        <v>522</v>
      </c>
      <c r="B695" s="296" t="s">
        <v>1707</v>
      </c>
      <c r="C695" s="296" t="s">
        <v>2915</v>
      </c>
      <c r="D695" s="296" t="s">
        <v>1708</v>
      </c>
      <c r="H695" s="296" t="s">
        <v>549</v>
      </c>
      <c r="K695" s="252">
        <f>(K693/10)</f>
        <v>246.54</v>
      </c>
      <c r="M695" s="252">
        <v>1</v>
      </c>
      <c r="N695" s="296" t="s">
        <v>865</v>
      </c>
      <c r="O695" s="296" t="s">
        <v>1971</v>
      </c>
      <c r="P695" s="252">
        <f>C302</f>
        <v>4</v>
      </c>
      <c r="Q695" s="296" t="s">
        <v>865</v>
      </c>
      <c r="R695" s="252">
        <f t="shared" si="39"/>
        <v>4</v>
      </c>
      <c r="AG695" s="296" t="s">
        <v>2249</v>
      </c>
    </row>
    <row r="696" spans="1:33" hidden="1">
      <c r="A696" s="437">
        <f t="shared" si="38"/>
        <v>523</v>
      </c>
      <c r="B696" s="296" t="s">
        <v>1709</v>
      </c>
      <c r="C696" s="252">
        <v>147.6</v>
      </c>
      <c r="D696" s="296" t="s">
        <v>1763</v>
      </c>
      <c r="K696" s="358" t="s">
        <v>2046</v>
      </c>
      <c r="N696" s="296" t="s">
        <v>446</v>
      </c>
      <c r="O696" s="296" t="s">
        <v>447</v>
      </c>
      <c r="Q696" s="296" t="s">
        <v>446</v>
      </c>
      <c r="R696" s="252">
        <v>0</v>
      </c>
      <c r="AG696" s="296" t="s">
        <v>2249</v>
      </c>
    </row>
    <row r="697" spans="1:33" hidden="1">
      <c r="A697" s="437">
        <f t="shared" si="38"/>
        <v>524</v>
      </c>
      <c r="B697" s="296" t="s">
        <v>1710</v>
      </c>
      <c r="C697" s="252">
        <v>147.6</v>
      </c>
      <c r="D697" s="296" t="s">
        <v>1763</v>
      </c>
      <c r="R697" s="358" t="s">
        <v>1579</v>
      </c>
      <c r="AG697" s="296" t="s">
        <v>2249</v>
      </c>
    </row>
    <row r="698" spans="1:33" hidden="1">
      <c r="A698" s="437">
        <f t="shared" si="38"/>
        <v>525</v>
      </c>
      <c r="B698" s="296" t="s">
        <v>1711</v>
      </c>
      <c r="C698" s="252">
        <v>147.6</v>
      </c>
      <c r="D698" s="296" t="s">
        <v>1763</v>
      </c>
      <c r="F698" s="253" t="s">
        <v>2035</v>
      </c>
      <c r="G698" s="252" t="s">
        <v>2241</v>
      </c>
      <c r="H698" s="296" t="s">
        <v>9</v>
      </c>
      <c r="O698" s="253" t="s">
        <v>10</v>
      </c>
      <c r="R698" s="252">
        <f>SUM(R689:R696)</f>
        <v>1807.62</v>
      </c>
      <c r="AG698" s="296" t="s">
        <v>2249</v>
      </c>
    </row>
    <row r="699" spans="1:33" hidden="1">
      <c r="A699" s="437">
        <f t="shared" si="38"/>
        <v>526</v>
      </c>
      <c r="B699" s="296" t="s">
        <v>645</v>
      </c>
      <c r="C699" s="252">
        <v>1250</v>
      </c>
      <c r="D699" s="296" t="s">
        <v>606</v>
      </c>
      <c r="H699" s="296" t="s">
        <v>646</v>
      </c>
      <c r="R699" s="358" t="s">
        <v>1579</v>
      </c>
      <c r="AG699" s="296" t="s">
        <v>2249</v>
      </c>
    </row>
    <row r="700" spans="1:33" hidden="1">
      <c r="A700" s="437">
        <f t="shared" si="38"/>
        <v>527</v>
      </c>
      <c r="B700" s="296" t="s">
        <v>647</v>
      </c>
      <c r="C700" s="252">
        <v>1250</v>
      </c>
      <c r="D700" s="296" t="s">
        <v>606</v>
      </c>
      <c r="H700" s="296" t="s">
        <v>648</v>
      </c>
      <c r="N700" s="296" t="s">
        <v>971</v>
      </c>
      <c r="O700" s="253" t="s">
        <v>549</v>
      </c>
      <c r="R700" s="252">
        <f>R698/M690</f>
        <v>1395.85</v>
      </c>
      <c r="AG700" s="296" t="s">
        <v>2249</v>
      </c>
    </row>
    <row r="701" spans="1:33" hidden="1">
      <c r="A701" s="437">
        <f t="shared" si="38"/>
        <v>528</v>
      </c>
      <c r="B701" s="296" t="s">
        <v>1230</v>
      </c>
      <c r="C701" s="252">
        <v>1250</v>
      </c>
      <c r="D701" s="296" t="s">
        <v>606</v>
      </c>
      <c r="H701" s="296" t="s">
        <v>514</v>
      </c>
      <c r="R701" s="358" t="s">
        <v>2046</v>
      </c>
      <c r="AG701" s="296" t="s">
        <v>2249</v>
      </c>
    </row>
    <row r="702" spans="1:33" hidden="1">
      <c r="A702" s="437">
        <f t="shared" si="38"/>
        <v>529</v>
      </c>
      <c r="B702" s="296" t="s">
        <v>515</v>
      </c>
      <c r="C702" s="252">
        <v>1250</v>
      </c>
      <c r="D702" s="296" t="s">
        <v>606</v>
      </c>
      <c r="H702" s="296" t="s">
        <v>516</v>
      </c>
      <c r="M702" s="253" t="s">
        <v>1532</v>
      </c>
      <c r="N702" s="296" t="s">
        <v>517</v>
      </c>
      <c r="O702" s="296" t="s">
        <v>518</v>
      </c>
      <c r="AG702" s="296" t="s">
        <v>2249</v>
      </c>
    </row>
    <row r="703" spans="1:33" hidden="1">
      <c r="A703" s="437">
        <f t="shared" si="38"/>
        <v>530</v>
      </c>
      <c r="B703" s="296" t="s">
        <v>519</v>
      </c>
      <c r="C703" s="252">
        <v>1250</v>
      </c>
      <c r="D703" s="296" t="s">
        <v>606</v>
      </c>
      <c r="H703" s="296" t="s">
        <v>2</v>
      </c>
      <c r="O703" s="358" t="s">
        <v>1579</v>
      </c>
      <c r="AG703" s="296" t="s">
        <v>2249</v>
      </c>
    </row>
    <row r="704" spans="1:33" hidden="1">
      <c r="A704" s="437">
        <f t="shared" si="38"/>
        <v>531</v>
      </c>
      <c r="B704" s="296" t="s">
        <v>758</v>
      </c>
      <c r="C704" s="252">
        <v>1250</v>
      </c>
      <c r="D704" s="296" t="s">
        <v>606</v>
      </c>
      <c r="H704" s="296" t="s">
        <v>1221</v>
      </c>
      <c r="M704" s="316">
        <v>2.5499999999999998E-2</v>
      </c>
      <c r="N704" s="296" t="s">
        <v>866</v>
      </c>
      <c r="O704" s="296" t="s">
        <v>1309</v>
      </c>
      <c r="P704" s="252">
        <f>C86+2500</f>
        <v>23105</v>
      </c>
      <c r="Q704" s="296" t="s">
        <v>866</v>
      </c>
      <c r="R704" s="252">
        <f t="shared" ref="R704:R710" si="40">M704*P704</f>
        <v>589.17999999999995</v>
      </c>
      <c r="AG704" s="296" t="s">
        <v>2249</v>
      </c>
    </row>
    <row r="705" spans="1:33" hidden="1">
      <c r="A705" s="437">
        <f t="shared" si="38"/>
        <v>532</v>
      </c>
      <c r="B705" s="296" t="s">
        <v>1222</v>
      </c>
      <c r="C705" s="252">
        <v>1250</v>
      </c>
      <c r="D705" s="296" t="s">
        <v>606</v>
      </c>
      <c r="H705" s="358" t="s">
        <v>1579</v>
      </c>
      <c r="I705" s="358" t="s">
        <v>1579</v>
      </c>
      <c r="J705" s="253" t="s">
        <v>1579</v>
      </c>
      <c r="M705" s="316">
        <v>1.1299999999999999</v>
      </c>
      <c r="N705" s="296" t="s">
        <v>606</v>
      </c>
      <c r="O705" s="296" t="s">
        <v>1292</v>
      </c>
      <c r="P705" s="252">
        <f>C753</f>
        <v>381.37</v>
      </c>
      <c r="Q705" s="296" t="s">
        <v>606</v>
      </c>
      <c r="R705" s="252">
        <f t="shared" si="40"/>
        <v>430.95</v>
      </c>
      <c r="AG705" s="296" t="s">
        <v>2249</v>
      </c>
    </row>
    <row r="706" spans="1:33" hidden="1">
      <c r="A706" s="437">
        <f t="shared" si="38"/>
        <v>533</v>
      </c>
      <c r="B706" s="296" t="s">
        <v>1223</v>
      </c>
      <c r="C706" s="252">
        <v>1250</v>
      </c>
      <c r="D706" s="296" t="s">
        <v>606</v>
      </c>
      <c r="F706" s="252">
        <v>13.46</v>
      </c>
      <c r="G706" s="252" t="s">
        <v>265</v>
      </c>
      <c r="H706" s="296" t="s">
        <v>266</v>
      </c>
      <c r="I706" s="252">
        <f>C34/1000</f>
        <v>30</v>
      </c>
      <c r="J706" s="253" t="s">
        <v>265</v>
      </c>
      <c r="K706" s="252">
        <f>(F706*I706)</f>
        <v>403.8</v>
      </c>
      <c r="M706" s="316">
        <v>1.6191</v>
      </c>
      <c r="N706" s="296" t="s">
        <v>606</v>
      </c>
      <c r="O706" s="296" t="s">
        <v>2083</v>
      </c>
      <c r="P706" s="252">
        <f>C31</f>
        <v>342</v>
      </c>
      <c r="Q706" s="296" t="s">
        <v>606</v>
      </c>
      <c r="R706" s="252">
        <f t="shared" si="40"/>
        <v>553.73</v>
      </c>
      <c r="AG706" s="296" t="s">
        <v>2249</v>
      </c>
    </row>
    <row r="707" spans="1:33" hidden="1">
      <c r="A707" s="437">
        <f t="shared" si="38"/>
        <v>534</v>
      </c>
      <c r="B707" s="296" t="s">
        <v>975</v>
      </c>
      <c r="C707" s="252">
        <v>1250</v>
      </c>
      <c r="D707" s="296" t="s">
        <v>606</v>
      </c>
      <c r="H707" s="296" t="s">
        <v>976</v>
      </c>
      <c r="M707" s="252">
        <v>2</v>
      </c>
      <c r="N707" s="296" t="s">
        <v>865</v>
      </c>
      <c r="O707" s="296" t="s">
        <v>1715</v>
      </c>
      <c r="P707" s="252">
        <f>C298</f>
        <v>10.5</v>
      </c>
      <c r="Q707" s="296" t="s">
        <v>865</v>
      </c>
      <c r="R707" s="252">
        <f t="shared" si="40"/>
        <v>21</v>
      </c>
      <c r="AG707" s="296" t="s">
        <v>2249</v>
      </c>
    </row>
    <row r="708" spans="1:33" hidden="1">
      <c r="A708" s="437">
        <f t="shared" ref="A708:A733" si="41">(A707+1)</f>
        <v>535</v>
      </c>
      <c r="B708" s="296" t="s">
        <v>977</v>
      </c>
      <c r="C708" s="252">
        <v>1250</v>
      </c>
      <c r="D708" s="296" t="s">
        <v>606</v>
      </c>
      <c r="F708" s="252">
        <v>4</v>
      </c>
      <c r="G708" s="252" t="s">
        <v>265</v>
      </c>
      <c r="H708" s="296" t="s">
        <v>978</v>
      </c>
      <c r="I708" s="252">
        <f>D34/1000</f>
        <v>30</v>
      </c>
      <c r="J708" s="253" t="s">
        <v>265</v>
      </c>
      <c r="K708" s="252">
        <f>(F708*I708)</f>
        <v>120</v>
      </c>
      <c r="M708" s="252">
        <v>3</v>
      </c>
      <c r="N708" s="296" t="s">
        <v>865</v>
      </c>
      <c r="O708" s="296" t="s">
        <v>1611</v>
      </c>
      <c r="P708" s="252">
        <f>C294</f>
        <v>8.5</v>
      </c>
      <c r="Q708" s="296" t="s">
        <v>865</v>
      </c>
      <c r="R708" s="252">
        <f t="shared" si="40"/>
        <v>25.5</v>
      </c>
      <c r="AG708" s="296" t="s">
        <v>2249</v>
      </c>
    </row>
    <row r="709" spans="1:33" hidden="1">
      <c r="A709" s="437">
        <f t="shared" si="41"/>
        <v>536</v>
      </c>
      <c r="B709" s="296" t="s">
        <v>939</v>
      </c>
      <c r="C709" s="252">
        <v>1250</v>
      </c>
      <c r="D709" s="296" t="s">
        <v>606</v>
      </c>
      <c r="H709" s="296" t="s">
        <v>1025</v>
      </c>
      <c r="M709" s="252">
        <v>1</v>
      </c>
      <c r="N709" s="296" t="s">
        <v>865</v>
      </c>
      <c r="O709" s="296" t="s">
        <v>1699</v>
      </c>
      <c r="P709" s="252">
        <f>C300</f>
        <v>21</v>
      </c>
      <c r="Q709" s="296" t="s">
        <v>865</v>
      </c>
      <c r="R709" s="252">
        <f t="shared" si="40"/>
        <v>21</v>
      </c>
      <c r="AG709" s="296" t="s">
        <v>2249</v>
      </c>
    </row>
    <row r="710" spans="1:33" hidden="1">
      <c r="A710" s="437">
        <f t="shared" si="41"/>
        <v>537</v>
      </c>
      <c r="B710" s="296" t="s">
        <v>1222</v>
      </c>
      <c r="C710" s="252">
        <v>1250</v>
      </c>
      <c r="D710" s="296" t="s">
        <v>606</v>
      </c>
      <c r="G710" s="252" t="s">
        <v>446</v>
      </c>
      <c r="H710" s="296" t="s">
        <v>1648</v>
      </c>
      <c r="J710" s="253" t="s">
        <v>446</v>
      </c>
      <c r="K710" s="252">
        <v>40</v>
      </c>
      <c r="M710" s="252">
        <v>1</v>
      </c>
      <c r="N710" s="296" t="s">
        <v>865</v>
      </c>
      <c r="O710" s="296" t="s">
        <v>1971</v>
      </c>
      <c r="P710" s="252">
        <f>C302</f>
        <v>4</v>
      </c>
      <c r="Q710" s="296" t="s">
        <v>865</v>
      </c>
      <c r="R710" s="252">
        <f t="shared" si="40"/>
        <v>4</v>
      </c>
      <c r="AG710" s="296" t="s">
        <v>2249</v>
      </c>
    </row>
    <row r="711" spans="1:33" hidden="1">
      <c r="A711" s="437">
        <f t="shared" si="41"/>
        <v>538</v>
      </c>
      <c r="B711" s="296" t="s">
        <v>1649</v>
      </c>
      <c r="D711" s="296" t="s">
        <v>971</v>
      </c>
      <c r="H711" s="296" t="s">
        <v>1650</v>
      </c>
      <c r="K711" s="358" t="s">
        <v>1579</v>
      </c>
      <c r="N711" s="296" t="s">
        <v>446</v>
      </c>
      <c r="O711" s="296" t="s">
        <v>447</v>
      </c>
      <c r="Q711" s="296" t="s">
        <v>446</v>
      </c>
      <c r="R711" s="252">
        <v>0</v>
      </c>
      <c r="AG711" s="296" t="s">
        <v>2249</v>
      </c>
    </row>
    <row r="712" spans="1:33" hidden="1">
      <c r="A712" s="437">
        <f t="shared" si="41"/>
        <v>539</v>
      </c>
      <c r="B712" s="296" t="s">
        <v>1651</v>
      </c>
      <c r="C712" s="252">
        <v>65</v>
      </c>
      <c r="D712" s="296" t="s">
        <v>1708</v>
      </c>
      <c r="H712" s="253" t="s">
        <v>23</v>
      </c>
      <c r="K712" s="252">
        <f>SUM(K706:K710)</f>
        <v>563.79999999999995</v>
      </c>
      <c r="R712" s="358" t="s">
        <v>1579</v>
      </c>
      <c r="AG712" s="296" t="s">
        <v>2249</v>
      </c>
    </row>
    <row r="713" spans="1:33" hidden="1">
      <c r="A713" s="437">
        <f t="shared" si="41"/>
        <v>540</v>
      </c>
      <c r="B713" s="296" t="s">
        <v>24</v>
      </c>
      <c r="C713" s="252">
        <v>64.55</v>
      </c>
      <c r="D713" s="296" t="s">
        <v>1708</v>
      </c>
      <c r="K713" s="358" t="s">
        <v>1579</v>
      </c>
      <c r="O713" s="253" t="s">
        <v>25</v>
      </c>
      <c r="R713" s="252">
        <f>SUM(R704:R711)</f>
        <v>1645.36</v>
      </c>
      <c r="AG713" s="296" t="s">
        <v>2249</v>
      </c>
    </row>
    <row r="714" spans="1:33" hidden="1">
      <c r="A714" s="437">
        <f t="shared" si="41"/>
        <v>541</v>
      </c>
      <c r="B714" s="296" t="s">
        <v>26</v>
      </c>
      <c r="C714" s="252">
        <v>110.95</v>
      </c>
      <c r="D714" s="296" t="s">
        <v>1708</v>
      </c>
      <c r="H714" s="253" t="s">
        <v>27</v>
      </c>
      <c r="K714" s="252">
        <f>K712/40</f>
        <v>14.1</v>
      </c>
      <c r="R714" s="358" t="s">
        <v>1579</v>
      </c>
      <c r="AG714" s="296" t="s">
        <v>2249</v>
      </c>
    </row>
    <row r="715" spans="1:33" hidden="1">
      <c r="A715" s="437">
        <f t="shared" si="41"/>
        <v>542</v>
      </c>
      <c r="B715" s="296" t="s">
        <v>1014</v>
      </c>
      <c r="C715" s="252">
        <v>399</v>
      </c>
      <c r="D715" s="296" t="s">
        <v>1708</v>
      </c>
      <c r="K715" s="358" t="s">
        <v>1579</v>
      </c>
      <c r="O715" s="253" t="s">
        <v>549</v>
      </c>
      <c r="R715" s="252">
        <f>R713/M706</f>
        <v>1016.22</v>
      </c>
      <c r="AG715" s="296" t="s">
        <v>2249</v>
      </c>
    </row>
    <row r="716" spans="1:33" hidden="1">
      <c r="A716" s="437">
        <f t="shared" si="41"/>
        <v>543</v>
      </c>
      <c r="B716" s="296" t="s">
        <v>893</v>
      </c>
      <c r="C716" s="252">
        <v>92</v>
      </c>
      <c r="D716" s="296" t="s">
        <v>1708</v>
      </c>
      <c r="H716" s="296" t="s">
        <v>894</v>
      </c>
      <c r="R716" s="358" t="s">
        <v>2046</v>
      </c>
      <c r="AG716" s="296" t="s">
        <v>2249</v>
      </c>
    </row>
    <row r="717" spans="1:33" hidden="1">
      <c r="A717" s="437">
        <f t="shared" si="41"/>
        <v>544</v>
      </c>
      <c r="B717" s="296" t="s">
        <v>309</v>
      </c>
      <c r="C717" s="252">
        <v>174.24</v>
      </c>
      <c r="D717" s="296" t="s">
        <v>1708</v>
      </c>
      <c r="H717" s="296" t="s">
        <v>310</v>
      </c>
      <c r="AG717" s="296" t="s">
        <v>2249</v>
      </c>
    </row>
    <row r="718" spans="1:33" hidden="1">
      <c r="A718" s="437">
        <f t="shared" si="41"/>
        <v>545</v>
      </c>
      <c r="B718" s="296" t="s">
        <v>311</v>
      </c>
      <c r="C718" s="252">
        <v>215.06</v>
      </c>
      <c r="D718" s="296" t="s">
        <v>1708</v>
      </c>
      <c r="H718" s="296" t="s">
        <v>312</v>
      </c>
      <c r="M718" s="253" t="s">
        <v>1532</v>
      </c>
      <c r="N718" s="296" t="s">
        <v>313</v>
      </c>
      <c r="O718" s="296" t="s">
        <v>1613</v>
      </c>
      <c r="AG718" s="296" t="s">
        <v>2249</v>
      </c>
    </row>
    <row r="719" spans="1:33" hidden="1">
      <c r="A719" s="437">
        <f t="shared" si="41"/>
        <v>546</v>
      </c>
      <c r="B719" s="296" t="s">
        <v>1614</v>
      </c>
      <c r="C719" s="252">
        <v>97.24</v>
      </c>
      <c r="D719" s="296" t="s">
        <v>1708</v>
      </c>
      <c r="O719" s="358" t="s">
        <v>1579</v>
      </c>
      <c r="AG719" s="296" t="s">
        <v>2249</v>
      </c>
    </row>
    <row r="720" spans="1:33" hidden="1">
      <c r="A720" s="437">
        <f t="shared" si="41"/>
        <v>547</v>
      </c>
      <c r="B720" s="296" t="s">
        <v>1426</v>
      </c>
      <c r="C720" s="252">
        <v>168.96</v>
      </c>
      <c r="D720" s="296" t="s">
        <v>1708</v>
      </c>
      <c r="F720" s="252">
        <v>19</v>
      </c>
      <c r="G720" s="252" t="s">
        <v>1427</v>
      </c>
      <c r="H720" s="296" t="s">
        <v>68</v>
      </c>
      <c r="I720" s="252">
        <f>K714</f>
        <v>14.1</v>
      </c>
      <c r="J720" s="253" t="s">
        <v>256</v>
      </c>
      <c r="K720" s="252">
        <f>(F720*I720)</f>
        <v>267.89999999999998</v>
      </c>
      <c r="M720" s="316">
        <v>2.35E-2</v>
      </c>
      <c r="N720" s="296" t="s">
        <v>866</v>
      </c>
      <c r="O720" s="296" t="s">
        <v>1309</v>
      </c>
      <c r="P720" s="252">
        <f>C86+2500</f>
        <v>23105</v>
      </c>
      <c r="Q720" s="296" t="s">
        <v>866</v>
      </c>
      <c r="R720" s="252">
        <f t="shared" ref="R720:R726" si="42">M720*P720</f>
        <v>542.97</v>
      </c>
      <c r="AG720" s="296" t="s">
        <v>2249</v>
      </c>
    </row>
    <row r="721" spans="1:33" hidden="1">
      <c r="A721" s="437">
        <f t="shared" si="41"/>
        <v>548</v>
      </c>
      <c r="B721" s="296" t="s">
        <v>2916</v>
      </c>
      <c r="C721" s="252">
        <v>227</v>
      </c>
      <c r="D721" s="252">
        <v>247</v>
      </c>
      <c r="H721" s="296" t="s">
        <v>1652</v>
      </c>
      <c r="M721" s="316">
        <v>0.872</v>
      </c>
      <c r="N721" s="296" t="s">
        <v>606</v>
      </c>
      <c r="O721" s="296" t="s">
        <v>1292</v>
      </c>
      <c r="P721" s="252">
        <f>C753</f>
        <v>381.37</v>
      </c>
      <c r="Q721" s="296" t="s">
        <v>606</v>
      </c>
      <c r="R721" s="252">
        <f t="shared" si="42"/>
        <v>332.55</v>
      </c>
      <c r="AG721" s="296" t="s">
        <v>2249</v>
      </c>
    </row>
    <row r="722" spans="1:33" hidden="1">
      <c r="A722" s="437">
        <f t="shared" si="41"/>
        <v>549</v>
      </c>
      <c r="B722" s="296" t="s">
        <v>2141</v>
      </c>
      <c r="C722" s="252">
        <v>250</v>
      </c>
      <c r="D722" s="296" t="s">
        <v>1708</v>
      </c>
      <c r="F722" s="252">
        <v>0.12</v>
      </c>
      <c r="G722" s="252" t="s">
        <v>2142</v>
      </c>
      <c r="H722" s="296" t="s">
        <v>2917</v>
      </c>
      <c r="I722" s="252">
        <f>C268/5</f>
        <v>1879</v>
      </c>
      <c r="J722" s="253" t="s">
        <v>256</v>
      </c>
      <c r="K722" s="252">
        <f t="shared" ref="K722:K729" si="43">(F722*I722)</f>
        <v>225.48</v>
      </c>
      <c r="M722" s="316">
        <v>1.3247</v>
      </c>
      <c r="N722" s="296" t="s">
        <v>606</v>
      </c>
      <c r="O722" s="296" t="s">
        <v>2083</v>
      </c>
      <c r="P722" s="252">
        <f>C31</f>
        <v>342</v>
      </c>
      <c r="Q722" s="296" t="s">
        <v>606</v>
      </c>
      <c r="R722" s="252">
        <f t="shared" si="42"/>
        <v>453.05</v>
      </c>
      <c r="AG722" s="296" t="s">
        <v>2249</v>
      </c>
    </row>
    <row r="723" spans="1:33" hidden="1">
      <c r="A723" s="437">
        <f t="shared" si="41"/>
        <v>550</v>
      </c>
      <c r="B723" s="296" t="s">
        <v>822</v>
      </c>
      <c r="C723" s="252">
        <v>210</v>
      </c>
      <c r="D723" s="296" t="s">
        <v>1708</v>
      </c>
      <c r="F723" s="252">
        <v>98.5</v>
      </c>
      <c r="G723" s="252" t="s">
        <v>823</v>
      </c>
      <c r="H723" s="296" t="s">
        <v>824</v>
      </c>
      <c r="I723" s="252">
        <f>C269/5</f>
        <v>3</v>
      </c>
      <c r="J723" s="253" t="s">
        <v>256</v>
      </c>
      <c r="K723" s="252">
        <f t="shared" si="43"/>
        <v>295.5</v>
      </c>
      <c r="M723" s="252">
        <v>1</v>
      </c>
      <c r="N723" s="296" t="s">
        <v>865</v>
      </c>
      <c r="O723" s="296" t="s">
        <v>1715</v>
      </c>
      <c r="P723" s="252">
        <f>C298</f>
        <v>10.5</v>
      </c>
      <c r="Q723" s="296" t="s">
        <v>865</v>
      </c>
      <c r="R723" s="252">
        <f t="shared" si="42"/>
        <v>10.5</v>
      </c>
      <c r="AG723" s="296" t="s">
        <v>2249</v>
      </c>
    </row>
    <row r="724" spans="1:33" hidden="1">
      <c r="A724" s="437">
        <f t="shared" si="41"/>
        <v>551</v>
      </c>
      <c r="B724" s="296" t="s">
        <v>2918</v>
      </c>
      <c r="C724" s="252">
        <v>1022.58</v>
      </c>
      <c r="D724" s="296" t="s">
        <v>606</v>
      </c>
      <c r="F724" s="252">
        <v>1</v>
      </c>
      <c r="G724" s="252" t="s">
        <v>446</v>
      </c>
      <c r="H724" s="296" t="s">
        <v>1386</v>
      </c>
      <c r="I724" s="252">
        <v>11</v>
      </c>
      <c r="J724" s="253" t="s">
        <v>446</v>
      </c>
      <c r="K724" s="252">
        <f t="shared" si="43"/>
        <v>11</v>
      </c>
      <c r="M724" s="252">
        <v>3</v>
      </c>
      <c r="N724" s="296" t="s">
        <v>865</v>
      </c>
      <c r="O724" s="296" t="s">
        <v>1387</v>
      </c>
      <c r="P724" s="252">
        <f>C293</f>
        <v>5.75</v>
      </c>
      <c r="Q724" s="296" t="s">
        <v>865</v>
      </c>
      <c r="R724" s="252">
        <f t="shared" si="42"/>
        <v>17.25</v>
      </c>
      <c r="AG724" s="296" t="s">
        <v>2249</v>
      </c>
    </row>
    <row r="725" spans="1:33" hidden="1">
      <c r="A725" s="437">
        <f t="shared" si="41"/>
        <v>552</v>
      </c>
      <c r="B725" s="296" t="s">
        <v>1388</v>
      </c>
      <c r="D725" s="296" t="s">
        <v>971</v>
      </c>
      <c r="F725" s="252">
        <v>3.8</v>
      </c>
      <c r="G725" s="252" t="s">
        <v>1389</v>
      </c>
      <c r="H725" s="296" t="s">
        <v>1390</v>
      </c>
      <c r="I725" s="252">
        <f>C16</f>
        <v>150</v>
      </c>
      <c r="J725" s="253" t="s">
        <v>1393</v>
      </c>
      <c r="K725" s="252">
        <f t="shared" si="43"/>
        <v>570</v>
      </c>
      <c r="M725" s="252">
        <v>1</v>
      </c>
      <c r="N725" s="296" t="s">
        <v>865</v>
      </c>
      <c r="O725" s="296" t="s">
        <v>1391</v>
      </c>
      <c r="P725" s="252">
        <f>C301</f>
        <v>10</v>
      </c>
      <c r="Q725" s="296" t="s">
        <v>865</v>
      </c>
      <c r="R725" s="252">
        <f t="shared" si="42"/>
        <v>10</v>
      </c>
      <c r="AG725" s="296" t="s">
        <v>2249</v>
      </c>
    </row>
    <row r="726" spans="1:33" hidden="1">
      <c r="A726" s="437">
        <f t="shared" si="41"/>
        <v>553</v>
      </c>
      <c r="B726" s="296" t="s">
        <v>1392</v>
      </c>
      <c r="F726" s="252">
        <v>5.4</v>
      </c>
      <c r="G726" s="252" t="s">
        <v>1389</v>
      </c>
      <c r="H726" s="296" t="s">
        <v>820</v>
      </c>
      <c r="I726" s="252">
        <f>C12</f>
        <v>95</v>
      </c>
      <c r="J726" s="253" t="s">
        <v>1393</v>
      </c>
      <c r="K726" s="252">
        <f t="shared" si="43"/>
        <v>513</v>
      </c>
      <c r="M726" s="252">
        <v>1</v>
      </c>
      <c r="N726" s="296" t="s">
        <v>865</v>
      </c>
      <c r="O726" s="296" t="s">
        <v>1971</v>
      </c>
      <c r="P726" s="252">
        <f>C302</f>
        <v>4</v>
      </c>
      <c r="Q726" s="296" t="s">
        <v>865</v>
      </c>
      <c r="R726" s="252">
        <f t="shared" si="42"/>
        <v>4</v>
      </c>
      <c r="AG726" s="296" t="s">
        <v>2249</v>
      </c>
    </row>
    <row r="727" spans="1:33" hidden="1">
      <c r="A727" s="437">
        <f t="shared" si="41"/>
        <v>554</v>
      </c>
      <c r="B727" s="296" t="s">
        <v>2168</v>
      </c>
      <c r="C727" s="252">
        <v>300</v>
      </c>
      <c r="D727" s="296" t="s">
        <v>2275</v>
      </c>
      <c r="F727" s="252">
        <v>1</v>
      </c>
      <c r="G727" s="252" t="s">
        <v>1389</v>
      </c>
      <c r="H727" s="296" t="s">
        <v>2276</v>
      </c>
      <c r="I727" s="252">
        <f>C66</f>
        <v>120</v>
      </c>
      <c r="J727" s="253" t="s">
        <v>1393</v>
      </c>
      <c r="K727" s="252">
        <f t="shared" si="43"/>
        <v>120</v>
      </c>
      <c r="N727" s="296" t="s">
        <v>446</v>
      </c>
      <c r="O727" s="296" t="s">
        <v>447</v>
      </c>
      <c r="Q727" s="296" t="s">
        <v>446</v>
      </c>
      <c r="R727" s="252">
        <v>0</v>
      </c>
      <c r="AG727" s="296" t="s">
        <v>2249</v>
      </c>
    </row>
    <row r="728" spans="1:33" hidden="1">
      <c r="A728" s="437">
        <f t="shared" si="41"/>
        <v>555</v>
      </c>
      <c r="B728" s="253" t="s">
        <v>771</v>
      </c>
      <c r="C728" s="252">
        <v>302</v>
      </c>
      <c r="D728" s="296" t="s">
        <v>2275</v>
      </c>
      <c r="F728" s="252">
        <v>1</v>
      </c>
      <c r="G728" s="252" t="s">
        <v>446</v>
      </c>
      <c r="H728" s="296" t="s">
        <v>772</v>
      </c>
      <c r="I728" s="252">
        <v>10</v>
      </c>
      <c r="J728" s="253" t="s">
        <v>446</v>
      </c>
      <c r="K728" s="252">
        <f t="shared" si="43"/>
        <v>10</v>
      </c>
      <c r="R728" s="358" t="s">
        <v>1579</v>
      </c>
      <c r="AG728" s="296" t="s">
        <v>2249</v>
      </c>
    </row>
    <row r="729" spans="1:33" hidden="1">
      <c r="A729" s="437">
        <f t="shared" si="41"/>
        <v>556</v>
      </c>
      <c r="B729" s="296" t="s">
        <v>773</v>
      </c>
      <c r="C729" s="252">
        <v>382</v>
      </c>
      <c r="D729" s="296" t="s">
        <v>2275</v>
      </c>
      <c r="F729" s="252">
        <v>19</v>
      </c>
      <c r="G729" s="252" t="s">
        <v>1427</v>
      </c>
      <c r="H729" s="296" t="s">
        <v>774</v>
      </c>
      <c r="I729" s="252">
        <v>2</v>
      </c>
      <c r="J729" s="253" t="s">
        <v>1427</v>
      </c>
      <c r="K729" s="252">
        <f t="shared" si="43"/>
        <v>38</v>
      </c>
      <c r="O729" s="253" t="s">
        <v>742</v>
      </c>
      <c r="R729" s="252">
        <f>SUM(R720:R727)</f>
        <v>1370.32</v>
      </c>
      <c r="AG729" s="296" t="s">
        <v>2249</v>
      </c>
    </row>
    <row r="730" spans="1:33" hidden="1">
      <c r="A730" s="437">
        <f t="shared" si="41"/>
        <v>557</v>
      </c>
      <c r="B730" s="296" t="s">
        <v>567</v>
      </c>
      <c r="C730" s="252">
        <v>140</v>
      </c>
      <c r="D730" s="296" t="s">
        <v>2275</v>
      </c>
      <c r="H730" s="296" t="s">
        <v>501</v>
      </c>
      <c r="K730" s="358" t="s">
        <v>1579</v>
      </c>
      <c r="R730" s="358" t="s">
        <v>1579</v>
      </c>
      <c r="AG730" s="296" t="s">
        <v>318</v>
      </c>
    </row>
    <row r="731" spans="1:33" hidden="1">
      <c r="A731" s="437">
        <f t="shared" si="41"/>
        <v>558</v>
      </c>
      <c r="B731" s="296" t="s">
        <v>835</v>
      </c>
      <c r="C731" s="252">
        <v>222</v>
      </c>
      <c r="D731" s="296" t="s">
        <v>2275</v>
      </c>
      <c r="H731" s="253" t="s">
        <v>438</v>
      </c>
      <c r="K731" s="252">
        <f>SUM(K720:K729)</f>
        <v>2050.88</v>
      </c>
      <c r="O731" s="253" t="s">
        <v>549</v>
      </c>
      <c r="R731" s="252">
        <f>R729/1.3247</f>
        <v>1034.44</v>
      </c>
    </row>
    <row r="732" spans="1:33" hidden="1">
      <c r="A732" s="437">
        <f t="shared" si="41"/>
        <v>559</v>
      </c>
      <c r="B732" s="296" t="s">
        <v>609</v>
      </c>
      <c r="C732" s="252">
        <v>505</v>
      </c>
      <c r="D732" s="296" t="s">
        <v>2275</v>
      </c>
      <c r="K732" s="358" t="s">
        <v>1579</v>
      </c>
      <c r="R732" s="358" t="s">
        <v>2046</v>
      </c>
    </row>
    <row r="733" spans="1:33" hidden="1">
      <c r="A733" s="437">
        <f t="shared" si="41"/>
        <v>560</v>
      </c>
      <c r="B733" s="296" t="s">
        <v>735</v>
      </c>
      <c r="C733" s="252">
        <v>75</v>
      </c>
      <c r="D733" s="296" t="s">
        <v>1708</v>
      </c>
      <c r="H733" s="253" t="s">
        <v>549</v>
      </c>
      <c r="K733" s="252">
        <f>(K731/10)</f>
        <v>205.09</v>
      </c>
      <c r="N733" s="296" t="s">
        <v>2241</v>
      </c>
      <c r="O733" s="296" t="s">
        <v>2274</v>
      </c>
      <c r="AG733" s="296" t="s">
        <v>2249</v>
      </c>
    </row>
    <row r="734" spans="1:33" hidden="1">
      <c r="F734" s="296" t="s">
        <v>971</v>
      </c>
    </row>
    <row r="735" spans="1:33" hidden="1">
      <c r="A735" s="437">
        <f>(A733+1)</f>
        <v>561</v>
      </c>
      <c r="B735" s="296" t="s">
        <v>100</v>
      </c>
      <c r="C735" s="252">
        <v>43.3</v>
      </c>
      <c r="D735" s="296" t="s">
        <v>1763</v>
      </c>
      <c r="K735" s="358" t="s">
        <v>2046</v>
      </c>
      <c r="O735" s="296" t="s">
        <v>2104</v>
      </c>
      <c r="AG735" s="296" t="s">
        <v>2249</v>
      </c>
    </row>
    <row r="736" spans="1:33" hidden="1">
      <c r="A736" s="437">
        <f t="shared" ref="A736:A753" si="44">(A735+1)</f>
        <v>562</v>
      </c>
      <c r="B736" s="296" t="s">
        <v>2105</v>
      </c>
      <c r="C736" s="252">
        <v>218</v>
      </c>
      <c r="D736" s="296" t="s">
        <v>1708</v>
      </c>
      <c r="F736" s="253" t="s">
        <v>1483</v>
      </c>
      <c r="G736" s="252" t="s">
        <v>2241</v>
      </c>
      <c r="H736" s="296" t="s">
        <v>713</v>
      </c>
      <c r="O736" s="296" t="s">
        <v>714</v>
      </c>
      <c r="AG736" s="296" t="s">
        <v>2249</v>
      </c>
    </row>
    <row r="737" spans="1:33" hidden="1">
      <c r="A737" s="437">
        <f t="shared" si="44"/>
        <v>563</v>
      </c>
      <c r="B737" s="296" t="s">
        <v>715</v>
      </c>
      <c r="C737" s="252">
        <v>926</v>
      </c>
      <c r="D737" s="296" t="s">
        <v>1708</v>
      </c>
      <c r="H737" s="296" t="s">
        <v>716</v>
      </c>
      <c r="O737" s="296" t="s">
        <v>86</v>
      </c>
      <c r="AG737" s="296" t="s">
        <v>2249</v>
      </c>
    </row>
    <row r="738" spans="1:33" hidden="1">
      <c r="A738" s="437">
        <f t="shared" si="44"/>
        <v>564</v>
      </c>
      <c r="B738" s="296" t="s">
        <v>87</v>
      </c>
      <c r="C738" s="252">
        <v>5.15</v>
      </c>
      <c r="D738" s="296" t="s">
        <v>1763</v>
      </c>
      <c r="H738" s="296" t="s">
        <v>2263</v>
      </c>
      <c r="O738" s="358" t="s">
        <v>1579</v>
      </c>
      <c r="AG738" s="296" t="s">
        <v>2249</v>
      </c>
    </row>
    <row r="739" spans="1:33" hidden="1">
      <c r="A739" s="437">
        <f t="shared" si="44"/>
        <v>565</v>
      </c>
      <c r="B739" s="296" t="s">
        <v>564</v>
      </c>
      <c r="C739" s="252">
        <v>550</v>
      </c>
      <c r="D739" s="296" t="s">
        <v>1708</v>
      </c>
      <c r="H739" s="358" t="s">
        <v>1579</v>
      </c>
      <c r="AG739" s="296" t="s">
        <v>2249</v>
      </c>
    </row>
    <row r="740" spans="1:33" hidden="1">
      <c r="A740" s="437">
        <f t="shared" si="44"/>
        <v>566</v>
      </c>
      <c r="B740" s="296" t="s">
        <v>974</v>
      </c>
      <c r="C740" s="252">
        <v>286</v>
      </c>
      <c r="D740" s="296" t="s">
        <v>1708</v>
      </c>
      <c r="F740" s="252">
        <v>10</v>
      </c>
      <c r="G740" s="252" t="s">
        <v>606</v>
      </c>
      <c r="H740" s="296" t="s">
        <v>895</v>
      </c>
      <c r="I740" s="252">
        <f>(K720)*1.2</f>
        <v>321.48</v>
      </c>
      <c r="J740" s="253" t="s">
        <v>256</v>
      </c>
      <c r="K740" s="252">
        <f>(F740*I740)/10</f>
        <v>321.48</v>
      </c>
      <c r="O740" s="296" t="s">
        <v>896</v>
      </c>
      <c r="R740" s="252">
        <f>(C693)</f>
        <v>1183.82</v>
      </c>
      <c r="AG740" s="296" t="s">
        <v>2249</v>
      </c>
    </row>
    <row r="741" spans="1:33" hidden="1">
      <c r="A741" s="437">
        <f t="shared" si="44"/>
        <v>567</v>
      </c>
      <c r="B741" s="296" t="s">
        <v>897</v>
      </c>
      <c r="C741" s="252">
        <v>96.3</v>
      </c>
      <c r="D741" s="296" t="s">
        <v>1763</v>
      </c>
      <c r="H741" s="296" t="s">
        <v>898</v>
      </c>
      <c r="R741" s="358" t="s">
        <v>2046</v>
      </c>
      <c r="AG741" s="296" t="s">
        <v>2249</v>
      </c>
    </row>
    <row r="742" spans="1:33" hidden="1">
      <c r="A742" s="437">
        <f t="shared" si="44"/>
        <v>568</v>
      </c>
      <c r="B742" s="296" t="s">
        <v>836</v>
      </c>
      <c r="C742" s="252">
        <v>51</v>
      </c>
      <c r="D742" s="296" t="s">
        <v>1708</v>
      </c>
      <c r="H742" s="296" t="s">
        <v>837</v>
      </c>
      <c r="AG742" s="296" t="s">
        <v>2249</v>
      </c>
    </row>
    <row r="743" spans="1:33" hidden="1">
      <c r="A743" s="437">
        <f t="shared" si="44"/>
        <v>569</v>
      </c>
      <c r="B743" s="296" t="s">
        <v>551</v>
      </c>
      <c r="C743" s="252">
        <v>181</v>
      </c>
      <c r="D743" s="296" t="s">
        <v>780</v>
      </c>
      <c r="F743" s="252">
        <v>10</v>
      </c>
      <c r="G743" s="252" t="s">
        <v>606</v>
      </c>
      <c r="H743" s="296" t="s">
        <v>552</v>
      </c>
      <c r="I743" s="252">
        <f>K722*1.2</f>
        <v>270.58</v>
      </c>
      <c r="J743" s="253" t="s">
        <v>256</v>
      </c>
      <c r="K743" s="252">
        <f>(F743*I743)/10</f>
        <v>270.58</v>
      </c>
      <c r="N743" s="296" t="s">
        <v>2241</v>
      </c>
      <c r="O743" s="296" t="s">
        <v>553</v>
      </c>
      <c r="AG743" s="296" t="s">
        <v>2249</v>
      </c>
    </row>
    <row r="744" spans="1:33" hidden="1">
      <c r="A744" s="437">
        <f t="shared" si="44"/>
        <v>570</v>
      </c>
      <c r="B744" s="296" t="s">
        <v>554</v>
      </c>
      <c r="C744" s="252">
        <v>36.200000000000003</v>
      </c>
      <c r="D744" s="296" t="s">
        <v>1763</v>
      </c>
      <c r="H744" s="296" t="s">
        <v>997</v>
      </c>
      <c r="O744" s="358" t="s">
        <v>2046</v>
      </c>
      <c r="P744" s="358" t="s">
        <v>2046</v>
      </c>
      <c r="Q744" s="358" t="s">
        <v>2046</v>
      </c>
      <c r="R744" s="296" t="s">
        <v>998</v>
      </c>
      <c r="AG744" s="296" t="s">
        <v>2249</v>
      </c>
    </row>
    <row r="745" spans="1:33" hidden="1">
      <c r="A745" s="437">
        <f t="shared" si="44"/>
        <v>571</v>
      </c>
      <c r="B745" s="296" t="s">
        <v>655</v>
      </c>
      <c r="C745" s="252">
        <v>98</v>
      </c>
      <c r="D745" s="296" t="s">
        <v>1708</v>
      </c>
      <c r="H745" s="296" t="s">
        <v>813</v>
      </c>
      <c r="O745" s="296" t="s">
        <v>1428</v>
      </c>
      <c r="Q745" s="253" t="s">
        <v>823</v>
      </c>
      <c r="R745" s="252">
        <f>(C696)</f>
        <v>147.6</v>
      </c>
      <c r="AG745" s="296" t="s">
        <v>2249</v>
      </c>
    </row>
    <row r="746" spans="1:33" hidden="1">
      <c r="A746" s="437">
        <f t="shared" si="44"/>
        <v>572</v>
      </c>
      <c r="B746" s="296" t="s">
        <v>1950</v>
      </c>
      <c r="C746" s="252">
        <v>92</v>
      </c>
      <c r="D746" s="296" t="s">
        <v>1763</v>
      </c>
      <c r="F746" s="252">
        <v>98.5</v>
      </c>
      <c r="G746" s="252" t="s">
        <v>823</v>
      </c>
      <c r="H746" s="296" t="s">
        <v>824</v>
      </c>
      <c r="I746" s="252">
        <f>C269/5</f>
        <v>3</v>
      </c>
      <c r="J746" s="253" t="s">
        <v>256</v>
      </c>
      <c r="K746" s="252">
        <f t="shared" ref="K746:K752" si="45">(F746*I746)</f>
        <v>295.5</v>
      </c>
      <c r="O746" s="296" t="s">
        <v>2074</v>
      </c>
      <c r="AG746" s="296" t="s">
        <v>2249</v>
      </c>
    </row>
    <row r="747" spans="1:33" hidden="1">
      <c r="A747" s="437">
        <f t="shared" si="44"/>
        <v>573</v>
      </c>
      <c r="B747" s="296" t="s">
        <v>321</v>
      </c>
      <c r="C747" s="252">
        <v>49.42</v>
      </c>
      <c r="D747" s="296" t="s">
        <v>1708</v>
      </c>
      <c r="F747" s="252">
        <v>3.8</v>
      </c>
      <c r="G747" s="252" t="s">
        <v>766</v>
      </c>
      <c r="H747" s="296" t="s">
        <v>498</v>
      </c>
      <c r="I747" s="252">
        <f>(C16)</f>
        <v>150</v>
      </c>
      <c r="J747" s="253" t="s">
        <v>766</v>
      </c>
      <c r="K747" s="252">
        <f t="shared" si="45"/>
        <v>570</v>
      </c>
      <c r="O747" s="296" t="s">
        <v>322</v>
      </c>
      <c r="AG747" s="296" t="s">
        <v>2249</v>
      </c>
    </row>
    <row r="748" spans="1:33" hidden="1">
      <c r="A748" s="437">
        <f t="shared" si="44"/>
        <v>574</v>
      </c>
      <c r="B748" s="296" t="s">
        <v>712</v>
      </c>
      <c r="C748" s="252">
        <v>53.2</v>
      </c>
      <c r="D748" s="296" t="s">
        <v>1708</v>
      </c>
      <c r="F748" s="252">
        <v>5.4</v>
      </c>
      <c r="G748" s="252" t="s">
        <v>766</v>
      </c>
      <c r="H748" s="296" t="s">
        <v>1893</v>
      </c>
      <c r="I748" s="252">
        <f>(C12)</f>
        <v>95</v>
      </c>
      <c r="J748" s="253" t="s">
        <v>766</v>
      </c>
      <c r="K748" s="252">
        <f t="shared" si="45"/>
        <v>513</v>
      </c>
      <c r="O748" s="296" t="s">
        <v>1038</v>
      </c>
      <c r="AG748" s="296" t="s">
        <v>2249</v>
      </c>
    </row>
    <row r="749" spans="1:33" hidden="1">
      <c r="A749" s="437">
        <f t="shared" si="44"/>
        <v>575</v>
      </c>
      <c r="B749" s="296" t="s">
        <v>1039</v>
      </c>
      <c r="C749" s="252">
        <v>59</v>
      </c>
      <c r="D749" s="296" t="s">
        <v>1708</v>
      </c>
      <c r="F749" s="252">
        <v>1</v>
      </c>
      <c r="G749" s="252" t="s">
        <v>766</v>
      </c>
      <c r="H749" s="296" t="s">
        <v>2276</v>
      </c>
      <c r="I749" s="252">
        <f>C66</f>
        <v>120</v>
      </c>
      <c r="J749" s="253" t="s">
        <v>1393</v>
      </c>
      <c r="K749" s="252">
        <f t="shared" si="45"/>
        <v>120</v>
      </c>
      <c r="O749" s="296" t="s">
        <v>1097</v>
      </c>
      <c r="AG749" s="296" t="s">
        <v>2249</v>
      </c>
    </row>
    <row r="750" spans="1:33" hidden="1">
      <c r="A750" s="437">
        <f t="shared" si="44"/>
        <v>576</v>
      </c>
      <c r="B750" s="296" t="s">
        <v>957</v>
      </c>
      <c r="C750" s="252">
        <v>100</v>
      </c>
      <c r="D750" s="296" t="s">
        <v>1708</v>
      </c>
      <c r="F750" s="252">
        <v>1</v>
      </c>
      <c r="G750" s="252" t="s">
        <v>446</v>
      </c>
      <c r="H750" s="296" t="s">
        <v>958</v>
      </c>
      <c r="I750" s="252">
        <v>11</v>
      </c>
      <c r="J750" s="253" t="s">
        <v>1393</v>
      </c>
      <c r="K750" s="252">
        <f t="shared" si="45"/>
        <v>11</v>
      </c>
      <c r="O750" s="296" t="s">
        <v>1106</v>
      </c>
      <c r="R750" s="296" t="s">
        <v>971</v>
      </c>
      <c r="AG750" s="296" t="s">
        <v>2249</v>
      </c>
    </row>
    <row r="751" spans="1:33" hidden="1">
      <c r="A751" s="437">
        <f t="shared" si="44"/>
        <v>577</v>
      </c>
      <c r="B751" s="296" t="s">
        <v>1107</v>
      </c>
      <c r="C751" s="252">
        <v>49.52</v>
      </c>
      <c r="D751" s="296" t="s">
        <v>1763</v>
      </c>
      <c r="F751" s="252">
        <v>1</v>
      </c>
      <c r="G751" s="252" t="s">
        <v>446</v>
      </c>
      <c r="H751" s="296" t="s">
        <v>1293</v>
      </c>
      <c r="I751" s="252">
        <v>10</v>
      </c>
      <c r="J751" s="253" t="s">
        <v>446</v>
      </c>
      <c r="K751" s="252">
        <f t="shared" si="45"/>
        <v>10</v>
      </c>
      <c r="O751" s="296" t="s">
        <v>971</v>
      </c>
      <c r="AG751" s="296" t="s">
        <v>2249</v>
      </c>
    </row>
    <row r="752" spans="1:33" hidden="1">
      <c r="A752" s="437">
        <f t="shared" si="44"/>
        <v>578</v>
      </c>
      <c r="B752" s="296" t="s">
        <v>2116</v>
      </c>
      <c r="C752" s="252">
        <v>1080</v>
      </c>
      <c r="D752" s="296" t="s">
        <v>1708</v>
      </c>
      <c r="F752" s="252">
        <v>19</v>
      </c>
      <c r="G752" s="252" t="s">
        <v>1427</v>
      </c>
      <c r="H752" s="296" t="s">
        <v>2117</v>
      </c>
      <c r="I752" s="252">
        <v>2</v>
      </c>
      <c r="J752" s="253" t="s">
        <v>1427</v>
      </c>
      <c r="K752" s="252">
        <f t="shared" si="45"/>
        <v>38</v>
      </c>
      <c r="AG752" s="296" t="s">
        <v>2249</v>
      </c>
    </row>
    <row r="753" spans="1:33" hidden="1">
      <c r="A753" s="437">
        <f t="shared" si="44"/>
        <v>579</v>
      </c>
      <c r="B753" s="296" t="s">
        <v>2919</v>
      </c>
      <c r="C753" s="252">
        <v>381.37</v>
      </c>
      <c r="D753" s="296" t="s">
        <v>606</v>
      </c>
      <c r="H753" s="296" t="s">
        <v>75</v>
      </c>
      <c r="N753" s="296" t="s">
        <v>2241</v>
      </c>
      <c r="O753" s="296" t="s">
        <v>2118</v>
      </c>
      <c r="Q753" s="253" t="s">
        <v>2273</v>
      </c>
      <c r="R753" s="252">
        <f>(C700)</f>
        <v>1250</v>
      </c>
      <c r="AG753" s="296" t="s">
        <v>2249</v>
      </c>
    </row>
    <row r="754" spans="1:33" hidden="1">
      <c r="A754" s="437" t="e">
        <f>(#REF!+1)</f>
        <v>#REF!</v>
      </c>
      <c r="B754" s="296" t="s">
        <v>1392</v>
      </c>
      <c r="K754" s="358" t="s">
        <v>1579</v>
      </c>
      <c r="O754" s="296" t="s">
        <v>1675</v>
      </c>
      <c r="AG754" s="296" t="s">
        <v>2249</v>
      </c>
    </row>
    <row r="755" spans="1:33" hidden="1">
      <c r="A755" s="437"/>
      <c r="B755" s="296" t="s">
        <v>2168</v>
      </c>
      <c r="C755" s="252">
        <v>300</v>
      </c>
      <c r="H755" s="296" t="s">
        <v>438</v>
      </c>
      <c r="K755" s="252">
        <f>SUM(K740:K753)</f>
        <v>2149.56</v>
      </c>
      <c r="O755" s="296" t="s">
        <v>314</v>
      </c>
      <c r="AG755" s="296" t="s">
        <v>2249</v>
      </c>
    </row>
    <row r="756" spans="1:33" hidden="1">
      <c r="A756" s="437"/>
      <c r="B756" s="253" t="s">
        <v>771</v>
      </c>
      <c r="C756" s="252">
        <v>302</v>
      </c>
      <c r="K756" s="358" t="s">
        <v>1579</v>
      </c>
      <c r="O756" s="296" t="s">
        <v>1262</v>
      </c>
      <c r="AG756" s="296" t="s">
        <v>2249</v>
      </c>
    </row>
    <row r="757" spans="1:33" hidden="1">
      <c r="A757" s="437"/>
      <c r="B757" s="296" t="s">
        <v>1263</v>
      </c>
      <c r="C757" s="252">
        <v>324</v>
      </c>
      <c r="H757" s="296" t="s">
        <v>549</v>
      </c>
      <c r="K757" s="252">
        <f>(K755/10)</f>
        <v>214.96</v>
      </c>
      <c r="AG757" s="296" t="s">
        <v>2249</v>
      </c>
    </row>
    <row r="758" spans="1:33" hidden="1">
      <c r="A758" s="437"/>
      <c r="B758" s="296" t="s">
        <v>773</v>
      </c>
      <c r="C758" s="252">
        <v>382</v>
      </c>
      <c r="K758" s="358" t="s">
        <v>2046</v>
      </c>
      <c r="N758" s="296" t="s">
        <v>2241</v>
      </c>
      <c r="O758" s="296" t="s">
        <v>591</v>
      </c>
      <c r="AG758" s="296" t="s">
        <v>2249</v>
      </c>
    </row>
    <row r="759" spans="1:33" hidden="1">
      <c r="A759" s="437"/>
      <c r="B759" s="296" t="s">
        <v>609</v>
      </c>
      <c r="C759" s="252">
        <v>505</v>
      </c>
      <c r="O759" s="296" t="s">
        <v>2080</v>
      </c>
      <c r="R759" s="296" t="s">
        <v>971</v>
      </c>
      <c r="AG759" s="296" t="s">
        <v>2249</v>
      </c>
    </row>
    <row r="760" spans="1:33" hidden="1">
      <c r="A760" s="437"/>
      <c r="B760" s="296" t="s">
        <v>567</v>
      </c>
      <c r="C760" s="252">
        <v>140</v>
      </c>
      <c r="F760" s="253" t="s">
        <v>882</v>
      </c>
      <c r="G760" s="252" t="s">
        <v>2241</v>
      </c>
      <c r="H760" s="296" t="s">
        <v>713</v>
      </c>
      <c r="O760" s="296" t="s">
        <v>2081</v>
      </c>
      <c r="AG760" s="296" t="s">
        <v>2249</v>
      </c>
    </row>
    <row r="761" spans="1:33" hidden="1">
      <c r="A761" s="437"/>
      <c r="B761" s="296" t="s">
        <v>835</v>
      </c>
      <c r="C761" s="252">
        <v>222</v>
      </c>
      <c r="H761" s="296" t="s">
        <v>716</v>
      </c>
      <c r="O761" s="358" t="s">
        <v>1579</v>
      </c>
      <c r="AG761" s="296" t="s">
        <v>2249</v>
      </c>
    </row>
    <row r="762" spans="1:33" hidden="1">
      <c r="A762" s="437"/>
      <c r="B762" s="296" t="s">
        <v>727</v>
      </c>
      <c r="C762" s="252">
        <v>100</v>
      </c>
      <c r="H762" s="296" t="s">
        <v>274</v>
      </c>
      <c r="N762" s="296" t="s">
        <v>230</v>
      </c>
      <c r="O762" s="296" t="s">
        <v>494</v>
      </c>
      <c r="P762" s="252">
        <f>(C271)</f>
        <v>160</v>
      </c>
      <c r="Q762" s="296" t="s">
        <v>230</v>
      </c>
      <c r="R762" s="252" t="e">
        <f>(#VALUE!*P762)</f>
        <v>#VALUE!</v>
      </c>
      <c r="AG762" s="296" t="s">
        <v>2249</v>
      </c>
    </row>
    <row r="763" spans="1:33" hidden="1">
      <c r="A763" s="437"/>
      <c r="B763" s="296" t="s">
        <v>495</v>
      </c>
      <c r="C763" s="252">
        <v>75</v>
      </c>
      <c r="H763" s="358" t="s">
        <v>1579</v>
      </c>
      <c r="AG763" s="296" t="s">
        <v>2249</v>
      </c>
    </row>
    <row r="764" spans="1:33" hidden="1">
      <c r="A764" s="437"/>
      <c r="B764" s="296" t="s">
        <v>1152</v>
      </c>
      <c r="C764" s="252">
        <v>218</v>
      </c>
      <c r="H764" s="296" t="s">
        <v>1153</v>
      </c>
      <c r="K764" s="252">
        <f>(K695/2)</f>
        <v>123.27</v>
      </c>
      <c r="N764" s="296" t="s">
        <v>1154</v>
      </c>
      <c r="O764" s="296" t="s">
        <v>271</v>
      </c>
      <c r="P764" s="252">
        <f>(C16)</f>
        <v>150</v>
      </c>
      <c r="Q764" s="296" t="s">
        <v>1154</v>
      </c>
      <c r="R764" s="252" t="e">
        <f>(#VALUE!*P764)</f>
        <v>#VALUE!</v>
      </c>
      <c r="AG764" s="296" t="s">
        <v>2249</v>
      </c>
    </row>
    <row r="765" spans="1:33" hidden="1">
      <c r="A765" s="437"/>
      <c r="B765" s="296" t="s">
        <v>272</v>
      </c>
      <c r="C765" s="252">
        <v>1854</v>
      </c>
      <c r="H765" s="296" t="s">
        <v>273</v>
      </c>
      <c r="K765" s="358" t="s">
        <v>2046</v>
      </c>
      <c r="AG765" s="296" t="s">
        <v>2249</v>
      </c>
    </row>
    <row r="766" spans="1:33" hidden="1"/>
    <row r="767" spans="1:33" hidden="1">
      <c r="A767" s="437"/>
      <c r="B767" s="296" t="s">
        <v>162</v>
      </c>
      <c r="C767" s="252">
        <v>51</v>
      </c>
      <c r="F767" s="253" t="s">
        <v>163</v>
      </c>
      <c r="G767" s="252" t="s">
        <v>2241</v>
      </c>
      <c r="H767" s="296" t="s">
        <v>164</v>
      </c>
      <c r="O767" s="296" t="s">
        <v>1321</v>
      </c>
      <c r="P767" s="407" t="s">
        <v>446</v>
      </c>
      <c r="R767" s="252">
        <v>0.64</v>
      </c>
      <c r="AG767" s="296" t="s">
        <v>2249</v>
      </c>
    </row>
    <row r="768" spans="1:33" hidden="1">
      <c r="A768" s="437"/>
      <c r="B768" s="296" t="s">
        <v>1377</v>
      </c>
      <c r="C768" s="252">
        <v>915</v>
      </c>
      <c r="H768" s="296" t="s">
        <v>1378</v>
      </c>
      <c r="R768" s="358" t="s">
        <v>1579</v>
      </c>
      <c r="AG768" s="296" t="s">
        <v>2249</v>
      </c>
    </row>
    <row r="769" spans="1:33" hidden="1">
      <c r="A769" s="437"/>
      <c r="B769" s="296" t="s">
        <v>131</v>
      </c>
      <c r="C769" s="252">
        <v>890</v>
      </c>
      <c r="H769" s="296" t="s">
        <v>132</v>
      </c>
      <c r="O769" s="296" t="s">
        <v>1921</v>
      </c>
      <c r="R769" s="252" t="e">
        <f>SUM(R762:R767)</f>
        <v>#VALUE!</v>
      </c>
      <c r="AG769" s="296" t="s">
        <v>2249</v>
      </c>
    </row>
    <row r="770" spans="1:33" hidden="1">
      <c r="A770" s="437"/>
      <c r="B770" s="296" t="s">
        <v>1922</v>
      </c>
      <c r="C770" s="252">
        <v>5.15</v>
      </c>
      <c r="H770" s="358" t="s">
        <v>1579</v>
      </c>
      <c r="R770" s="358" t="s">
        <v>1579</v>
      </c>
      <c r="AG770" s="296" t="s">
        <v>2249</v>
      </c>
    </row>
    <row r="771" spans="1:33" hidden="1">
      <c r="A771" s="437"/>
      <c r="B771" s="296" t="s">
        <v>1405</v>
      </c>
      <c r="C771" s="252">
        <v>43.3</v>
      </c>
      <c r="F771" s="356">
        <v>9</v>
      </c>
      <c r="G771" s="252" t="s">
        <v>866</v>
      </c>
      <c r="H771" s="296" t="s">
        <v>1406</v>
      </c>
      <c r="I771" s="252" t="e">
        <f>C73</f>
        <v>#REF!</v>
      </c>
      <c r="J771" s="253" t="s">
        <v>866</v>
      </c>
      <c r="K771" s="252" t="e">
        <f t="shared" ref="K771:K776" si="46">F771*I771</f>
        <v>#REF!</v>
      </c>
      <c r="O771" s="296" t="s">
        <v>1407</v>
      </c>
      <c r="R771" s="252" t="e">
        <f>(R769/0.4)</f>
        <v>#VALUE!</v>
      </c>
      <c r="AG771" s="296" t="s">
        <v>2249</v>
      </c>
    </row>
    <row r="772" spans="1:33" hidden="1">
      <c r="A772" s="437"/>
      <c r="B772" s="296" t="s">
        <v>79</v>
      </c>
      <c r="C772" s="252">
        <v>920</v>
      </c>
      <c r="F772" s="356">
        <v>4.3079999999999998</v>
      </c>
      <c r="G772" s="252" t="s">
        <v>858</v>
      </c>
      <c r="H772" s="296" t="s">
        <v>859</v>
      </c>
      <c r="I772" s="252">
        <f>C67</f>
        <v>3800</v>
      </c>
      <c r="J772" s="253" t="s">
        <v>858</v>
      </c>
      <c r="K772" s="252">
        <f t="shared" si="46"/>
        <v>16370.4</v>
      </c>
      <c r="R772" s="358" t="s">
        <v>2046</v>
      </c>
      <c r="AG772" s="296" t="s">
        <v>2249</v>
      </c>
    </row>
    <row r="773" spans="1:33" hidden="1">
      <c r="A773" s="437"/>
      <c r="B773" s="296" t="s">
        <v>80</v>
      </c>
      <c r="C773" s="252">
        <v>98</v>
      </c>
      <c r="F773" s="356">
        <v>4.5</v>
      </c>
      <c r="G773" s="252" t="s">
        <v>866</v>
      </c>
      <c r="H773" s="296" t="s">
        <v>867</v>
      </c>
      <c r="I773" s="252" t="e">
        <f>C78</f>
        <v>#REF!</v>
      </c>
      <c r="J773" s="253" t="s">
        <v>866</v>
      </c>
      <c r="K773" s="252" t="e">
        <f t="shared" si="46"/>
        <v>#REF!</v>
      </c>
      <c r="N773" s="296" t="s">
        <v>2241</v>
      </c>
      <c r="O773" s="296" t="s">
        <v>2106</v>
      </c>
      <c r="AG773" s="296" t="s">
        <v>2249</v>
      </c>
    </row>
    <row r="774" spans="1:33" hidden="1">
      <c r="A774" s="437"/>
      <c r="B774" s="296" t="s">
        <v>2107</v>
      </c>
      <c r="C774" s="252">
        <v>181</v>
      </c>
      <c r="F774" s="356">
        <v>3.5</v>
      </c>
      <c r="G774" s="252" t="s">
        <v>865</v>
      </c>
      <c r="H774" s="296" t="s">
        <v>1704</v>
      </c>
      <c r="I774" s="252">
        <f>C11</f>
        <v>135</v>
      </c>
      <c r="J774" s="253" t="s">
        <v>865</v>
      </c>
      <c r="K774" s="252">
        <f t="shared" si="46"/>
        <v>472.5</v>
      </c>
      <c r="O774" s="296" t="s">
        <v>708</v>
      </c>
      <c r="AG774" s="296" t="s">
        <v>2249</v>
      </c>
    </row>
    <row r="775" spans="1:33" hidden="1">
      <c r="A775" s="437"/>
      <c r="B775" s="296" t="s">
        <v>91</v>
      </c>
      <c r="C775" s="252">
        <v>1148.76</v>
      </c>
      <c r="F775" s="356">
        <v>21.2</v>
      </c>
      <c r="G775" s="252" t="s">
        <v>865</v>
      </c>
      <c r="H775" s="296" t="s">
        <v>1893</v>
      </c>
      <c r="I775" s="252">
        <f>C12</f>
        <v>95</v>
      </c>
      <c r="J775" s="253" t="s">
        <v>865</v>
      </c>
      <c r="K775" s="252">
        <f t="shared" si="46"/>
        <v>2014</v>
      </c>
      <c r="O775" s="296" t="s">
        <v>92</v>
      </c>
      <c r="AG775" s="296" t="s">
        <v>2249</v>
      </c>
    </row>
    <row r="776" spans="1:33" hidden="1">
      <c r="A776" s="437"/>
      <c r="B776" s="296" t="s">
        <v>1542</v>
      </c>
      <c r="C776" s="252">
        <v>967</v>
      </c>
      <c r="F776" s="356">
        <v>35.299999999999997</v>
      </c>
      <c r="G776" s="252" t="s">
        <v>865</v>
      </c>
      <c r="H776" s="296" t="s">
        <v>317</v>
      </c>
      <c r="I776" s="252">
        <f>C13</f>
        <v>85</v>
      </c>
      <c r="J776" s="253" t="s">
        <v>865</v>
      </c>
      <c r="K776" s="252">
        <f t="shared" si="46"/>
        <v>3000.5</v>
      </c>
      <c r="O776" s="358" t="s">
        <v>1579</v>
      </c>
      <c r="AG776" s="296" t="s">
        <v>2249</v>
      </c>
    </row>
    <row r="777" spans="1:33" hidden="1">
      <c r="A777" s="437"/>
      <c r="B777" s="296" t="s">
        <v>2050</v>
      </c>
      <c r="C777" s="252">
        <v>30</v>
      </c>
      <c r="F777" s="407" t="s">
        <v>446</v>
      </c>
      <c r="H777" s="296" t="s">
        <v>447</v>
      </c>
      <c r="J777" s="253" t="s">
        <v>446</v>
      </c>
      <c r="K777" s="252">
        <v>0</v>
      </c>
      <c r="N777" s="407" t="s">
        <v>1898</v>
      </c>
      <c r="O777" s="296" t="s">
        <v>852</v>
      </c>
      <c r="AG777" s="296" t="s">
        <v>2249</v>
      </c>
    </row>
    <row r="778" spans="1:33" hidden="1">
      <c r="A778" s="437"/>
      <c r="B778" s="296" t="s">
        <v>1754</v>
      </c>
      <c r="C778" s="252">
        <v>2107</v>
      </c>
      <c r="K778" s="358" t="s">
        <v>1579</v>
      </c>
      <c r="O778" s="296" t="s">
        <v>1755</v>
      </c>
      <c r="AG778" s="296" t="s">
        <v>2249</v>
      </c>
    </row>
    <row r="779" spans="1:33" hidden="1">
      <c r="A779" s="437"/>
      <c r="B779" s="296" t="s">
        <v>1756</v>
      </c>
      <c r="C779" s="252">
        <v>650</v>
      </c>
      <c r="H779" s="253" t="s">
        <v>611</v>
      </c>
      <c r="K779" s="252" t="e">
        <f>SUM(K771:K777)</f>
        <v>#REF!</v>
      </c>
      <c r="N779" s="296" t="s">
        <v>265</v>
      </c>
      <c r="O779" s="296" t="s">
        <v>1757</v>
      </c>
      <c r="P779" s="252">
        <v>43</v>
      </c>
      <c r="R779" s="252" t="e">
        <f>(#VALUE!*P779)</f>
        <v>#VALUE!</v>
      </c>
      <c r="AG779" s="296" t="s">
        <v>2249</v>
      </c>
    </row>
    <row r="780" spans="1:33" hidden="1">
      <c r="A780" s="437"/>
      <c r="B780" s="296" t="s">
        <v>1279</v>
      </c>
      <c r="C780" s="370">
        <v>160</v>
      </c>
      <c r="K780" s="358" t="s">
        <v>2046</v>
      </c>
      <c r="O780" s="296" t="s">
        <v>1911</v>
      </c>
      <c r="AG780" s="296" t="s">
        <v>2249</v>
      </c>
    </row>
    <row r="781" spans="1:33" hidden="1">
      <c r="A781" s="437"/>
      <c r="B781" s="296" t="s">
        <v>1280</v>
      </c>
      <c r="C781" s="370">
        <v>110</v>
      </c>
      <c r="H781" s="296" t="s">
        <v>770</v>
      </c>
      <c r="K781" s="252" t="e">
        <f>K779/10</f>
        <v>#REF!</v>
      </c>
      <c r="O781" s="296" t="s">
        <v>982</v>
      </c>
      <c r="AG781" s="296" t="s">
        <v>2249</v>
      </c>
    </row>
    <row r="782" spans="1:33" hidden="1">
      <c r="A782" s="437"/>
      <c r="N782" s="296" t="s">
        <v>606</v>
      </c>
      <c r="O782" s="296" t="s">
        <v>983</v>
      </c>
      <c r="P782" s="252">
        <f>C271</f>
        <v>160</v>
      </c>
      <c r="R782" s="252" t="e">
        <f>(#VALUE!*P782)</f>
        <v>#VALUE!</v>
      </c>
      <c r="AG782" s="296" t="s">
        <v>2249</v>
      </c>
    </row>
    <row r="783" spans="1:33" hidden="1">
      <c r="A783" s="437"/>
      <c r="C783" s="252">
        <v>3.05</v>
      </c>
      <c r="F783" s="252">
        <v>1</v>
      </c>
      <c r="G783" s="252" t="s">
        <v>866</v>
      </c>
      <c r="H783" s="296" t="s">
        <v>44</v>
      </c>
      <c r="I783" s="252">
        <f>C25</f>
        <v>20.7</v>
      </c>
      <c r="K783" s="252">
        <f>F783*I783</f>
        <v>20.7</v>
      </c>
      <c r="N783" s="296" t="s">
        <v>865</v>
      </c>
      <c r="O783" s="296" t="s">
        <v>149</v>
      </c>
      <c r="P783" s="252">
        <v>5</v>
      </c>
      <c r="R783" s="252" t="e">
        <f>(#VALUE!*P783)</f>
        <v>#VALUE!</v>
      </c>
      <c r="AG783" s="296" t="s">
        <v>2249</v>
      </c>
    </row>
    <row r="784" spans="1:33" hidden="1">
      <c r="A784" s="437"/>
      <c r="C784" s="252">
        <v>30</v>
      </c>
      <c r="K784" s="358" t="s">
        <v>1579</v>
      </c>
      <c r="N784" s="296" t="s">
        <v>865</v>
      </c>
      <c r="O784" s="296" t="s">
        <v>150</v>
      </c>
      <c r="P784" s="252">
        <v>10</v>
      </c>
      <c r="R784" s="252" t="e">
        <f>(#VALUE!*P784)</f>
        <v>#VALUE!</v>
      </c>
      <c r="AG784" s="296" t="s">
        <v>2249</v>
      </c>
    </row>
    <row r="785" spans="1:33" hidden="1">
      <c r="A785" s="437"/>
      <c r="C785" s="252">
        <v>35</v>
      </c>
      <c r="K785" s="252" t="e">
        <f>SUM(K781:K783)</f>
        <v>#REF!</v>
      </c>
      <c r="N785" s="296" t="s">
        <v>865</v>
      </c>
      <c r="O785" s="296" t="s">
        <v>1739</v>
      </c>
      <c r="P785" s="252">
        <v>8</v>
      </c>
      <c r="R785" s="252" t="e">
        <f>(#VALUE!*P785)</f>
        <v>#VALUE!</v>
      </c>
      <c r="AG785" s="296" t="s">
        <v>2249</v>
      </c>
    </row>
    <row r="786" spans="1:33" hidden="1">
      <c r="A786" s="437"/>
      <c r="C786" s="252">
        <v>125</v>
      </c>
      <c r="K786" s="358" t="s">
        <v>1579</v>
      </c>
      <c r="N786" s="296" t="s">
        <v>823</v>
      </c>
      <c r="O786" s="296" t="s">
        <v>1492</v>
      </c>
      <c r="P786" s="252">
        <v>13.66</v>
      </c>
      <c r="R786" s="252" t="e">
        <f>(#VALUE!*P786)</f>
        <v>#VALUE!</v>
      </c>
      <c r="AG786" s="296" t="s">
        <v>2249</v>
      </c>
    </row>
    <row r="787" spans="1:33" hidden="1">
      <c r="A787" s="437"/>
      <c r="B787" s="252" t="s">
        <v>2920</v>
      </c>
      <c r="C787" s="370">
        <v>162</v>
      </c>
      <c r="D787" s="370">
        <v>179</v>
      </c>
      <c r="K787" s="358"/>
      <c r="N787" s="296"/>
      <c r="O787" s="296"/>
      <c r="AG787" s="296"/>
    </row>
    <row r="788" spans="1:33" hidden="1">
      <c r="A788" s="437"/>
      <c r="B788" s="252" t="s">
        <v>2921</v>
      </c>
      <c r="C788" s="372">
        <v>185</v>
      </c>
      <c r="H788" s="296" t="s">
        <v>383</v>
      </c>
      <c r="K788" s="252" t="e">
        <f>(K785+C22)</f>
        <v>#REF!</v>
      </c>
      <c r="N788" s="296" t="s">
        <v>606</v>
      </c>
      <c r="O788" s="296" t="s">
        <v>1493</v>
      </c>
      <c r="P788" s="252">
        <v>25.46</v>
      </c>
      <c r="R788" s="252" t="e">
        <f>(#VALUE!*P788)</f>
        <v>#VALUE!</v>
      </c>
      <c r="AG788" s="296" t="s">
        <v>2249</v>
      </c>
    </row>
    <row r="789" spans="1:33" hidden="1">
      <c r="A789" s="437"/>
      <c r="B789" s="252" t="s">
        <v>2922</v>
      </c>
      <c r="C789" s="372">
        <v>170</v>
      </c>
      <c r="H789" s="296" t="s">
        <v>385</v>
      </c>
      <c r="K789" s="252" t="e">
        <f>(K788+C23)</f>
        <v>#REF!</v>
      </c>
      <c r="N789" s="296" t="s">
        <v>865</v>
      </c>
      <c r="O789" s="296" t="s">
        <v>1314</v>
      </c>
      <c r="P789" s="252">
        <v>0.5</v>
      </c>
      <c r="R789" s="252" t="e">
        <f>(#VALUE!*P789)</f>
        <v>#VALUE!</v>
      </c>
      <c r="AG789" s="296" t="s">
        <v>2249</v>
      </c>
    </row>
    <row r="790" spans="1:33" hidden="1">
      <c r="A790" s="437"/>
      <c r="B790" s="252" t="s">
        <v>2923</v>
      </c>
      <c r="C790" s="372">
        <v>160</v>
      </c>
      <c r="H790" s="296" t="s">
        <v>2222</v>
      </c>
      <c r="K790" s="252" t="e">
        <f>(K789+C24)</f>
        <v>#REF!</v>
      </c>
      <c r="R790" s="252">
        <v>0.54</v>
      </c>
      <c r="AG790" s="296" t="s">
        <v>318</v>
      </c>
    </row>
    <row r="791" spans="1:33" hidden="1">
      <c r="A791" s="437"/>
      <c r="B791" s="252" t="s">
        <v>1280</v>
      </c>
      <c r="C791" s="372">
        <v>121</v>
      </c>
      <c r="H791" s="296" t="s">
        <v>377</v>
      </c>
      <c r="K791" s="252" t="e">
        <f>(K790+C24)</f>
        <v>#REF!</v>
      </c>
      <c r="R791" s="358" t="s">
        <v>1579</v>
      </c>
    </row>
    <row r="792" spans="1:33" hidden="1">
      <c r="A792" s="437"/>
      <c r="B792" s="252" t="s">
        <v>2924</v>
      </c>
      <c r="C792" s="370">
        <v>120</v>
      </c>
      <c r="H792" s="296" t="s">
        <v>1525</v>
      </c>
      <c r="K792" s="252" t="e">
        <f>(K791+C24)</f>
        <v>#REF!</v>
      </c>
      <c r="O792" s="253" t="s">
        <v>1315</v>
      </c>
      <c r="R792" s="252" t="e">
        <f>SUM(R779:R790)</f>
        <v>#VALUE!</v>
      </c>
    </row>
    <row r="793" spans="1:33" hidden="1">
      <c r="B793" s="252" t="s">
        <v>2925</v>
      </c>
      <c r="C793" s="370">
        <v>70</v>
      </c>
      <c r="F793" s="296" t="s">
        <v>971</v>
      </c>
    </row>
    <row r="794" spans="1:33" hidden="1">
      <c r="A794" s="437"/>
      <c r="B794" s="252" t="s">
        <v>2926</v>
      </c>
      <c r="C794" s="252">
        <v>35</v>
      </c>
      <c r="F794" s="296" t="s">
        <v>971</v>
      </c>
      <c r="G794" s="252" t="s">
        <v>2241</v>
      </c>
      <c r="H794" s="253" t="s">
        <v>1316</v>
      </c>
      <c r="R794" s="358" t="s">
        <v>1579</v>
      </c>
      <c r="AG794" s="296" t="s">
        <v>2249</v>
      </c>
    </row>
    <row r="795" spans="1:33" hidden="1">
      <c r="A795" s="437"/>
      <c r="B795" s="252" t="s">
        <v>2927</v>
      </c>
      <c r="C795" s="252">
        <v>90</v>
      </c>
      <c r="H795" s="358" t="s">
        <v>2046</v>
      </c>
      <c r="AG795" s="296" t="s">
        <v>2249</v>
      </c>
    </row>
    <row r="796" spans="1:33" hidden="1">
      <c r="A796" s="437"/>
      <c r="B796" s="252" t="s">
        <v>2932</v>
      </c>
      <c r="C796" s="370">
        <v>140</v>
      </c>
      <c r="N796" s="296" t="s">
        <v>517</v>
      </c>
      <c r="O796" s="296" t="s">
        <v>1317</v>
      </c>
      <c r="AG796" s="296" t="s">
        <v>2249</v>
      </c>
    </row>
    <row r="797" spans="1:33" ht="31.5" hidden="1">
      <c r="A797" s="661">
        <v>1</v>
      </c>
      <c r="B797" s="430" t="s">
        <v>3140</v>
      </c>
      <c r="F797" s="253" t="s">
        <v>1318</v>
      </c>
      <c r="G797" s="252" t="s">
        <v>2241</v>
      </c>
      <c r="H797" s="296" t="s">
        <v>2022</v>
      </c>
      <c r="O797" s="296" t="s">
        <v>1755</v>
      </c>
      <c r="AG797" s="296" t="s">
        <v>2249</v>
      </c>
    </row>
    <row r="798" spans="1:33" hidden="1">
      <c r="A798" s="661"/>
      <c r="B798" s="252" t="s">
        <v>3141</v>
      </c>
      <c r="C798" s="423">
        <v>11</v>
      </c>
      <c r="H798" s="296" t="s">
        <v>2023</v>
      </c>
      <c r="N798" s="296" t="s">
        <v>265</v>
      </c>
      <c r="O798" s="296" t="s">
        <v>1757</v>
      </c>
      <c r="P798" s="252">
        <v>43</v>
      </c>
      <c r="R798" s="252" t="e">
        <f>(#VALUE!*P798)</f>
        <v>#VALUE!</v>
      </c>
      <c r="AG798" s="296" t="s">
        <v>2249</v>
      </c>
    </row>
    <row r="799" spans="1:33" hidden="1">
      <c r="A799" s="661"/>
      <c r="B799" s="252" t="s">
        <v>3142</v>
      </c>
      <c r="C799" s="423">
        <v>11</v>
      </c>
      <c r="H799" s="296" t="s">
        <v>2024</v>
      </c>
      <c r="O799" s="296" t="s">
        <v>1911</v>
      </c>
      <c r="AG799" s="296" t="s">
        <v>2249</v>
      </c>
    </row>
    <row r="800" spans="1:33" hidden="1">
      <c r="A800" s="661"/>
      <c r="B800" s="252" t="s">
        <v>3143</v>
      </c>
      <c r="C800" s="423">
        <v>11</v>
      </c>
      <c r="H800" s="296" t="s">
        <v>888</v>
      </c>
      <c r="O800" s="296" t="s">
        <v>982</v>
      </c>
      <c r="AG800" s="296" t="s">
        <v>2249</v>
      </c>
    </row>
    <row r="801" spans="1:33" hidden="1">
      <c r="A801" s="661"/>
      <c r="B801" s="252" t="s">
        <v>3144</v>
      </c>
      <c r="C801" s="423">
        <v>11</v>
      </c>
      <c r="H801" s="296" t="s">
        <v>889</v>
      </c>
      <c r="N801" s="296" t="s">
        <v>606</v>
      </c>
      <c r="O801" s="296" t="s">
        <v>983</v>
      </c>
      <c r="P801" s="252">
        <f>C271</f>
        <v>160</v>
      </c>
      <c r="R801" s="252" t="e">
        <f t="shared" ref="R801:R807" si="47">(#VALUE!*P801)</f>
        <v>#VALUE!</v>
      </c>
      <c r="AG801" s="296" t="s">
        <v>2249</v>
      </c>
    </row>
    <row r="802" spans="1:33" hidden="1">
      <c r="A802" s="661"/>
      <c r="B802" s="252" t="s">
        <v>3145</v>
      </c>
      <c r="C802" s="423">
        <v>12</v>
      </c>
      <c r="H802" s="296" t="s">
        <v>1713</v>
      </c>
      <c r="N802" s="296" t="s">
        <v>865</v>
      </c>
      <c r="O802" s="296" t="s">
        <v>149</v>
      </c>
      <c r="P802" s="252">
        <v>5</v>
      </c>
      <c r="R802" s="252" t="e">
        <f t="shared" si="47"/>
        <v>#VALUE!</v>
      </c>
      <c r="AG802" s="296" t="s">
        <v>2249</v>
      </c>
    </row>
    <row r="803" spans="1:33" hidden="1">
      <c r="A803" s="661"/>
      <c r="B803" s="252" t="s">
        <v>3146</v>
      </c>
      <c r="C803" s="407" t="s">
        <v>3147</v>
      </c>
      <c r="H803" s="296" t="s">
        <v>93</v>
      </c>
      <c r="N803" s="296" t="s">
        <v>865</v>
      </c>
      <c r="O803" s="296" t="s">
        <v>150</v>
      </c>
      <c r="P803" s="252">
        <v>10</v>
      </c>
      <c r="R803" s="252" t="e">
        <f t="shared" si="47"/>
        <v>#VALUE!</v>
      </c>
      <c r="AG803" s="296" t="s">
        <v>2249</v>
      </c>
    </row>
    <row r="804" spans="1:33" hidden="1">
      <c r="A804" s="661"/>
      <c r="B804" s="252" t="s">
        <v>3148</v>
      </c>
      <c r="C804" s="370">
        <v>25</v>
      </c>
      <c r="H804" s="296" t="s">
        <v>94</v>
      </c>
      <c r="N804" s="296" t="s">
        <v>865</v>
      </c>
      <c r="O804" s="296" t="s">
        <v>1739</v>
      </c>
      <c r="P804" s="252">
        <v>8</v>
      </c>
      <c r="R804" s="252" t="e">
        <f t="shared" si="47"/>
        <v>#VALUE!</v>
      </c>
      <c r="AG804" s="296" t="s">
        <v>2249</v>
      </c>
    </row>
    <row r="805" spans="1:33" hidden="1">
      <c r="A805" s="661"/>
      <c r="B805" s="252" t="s">
        <v>3149</v>
      </c>
      <c r="C805" s="407" t="s">
        <v>3147</v>
      </c>
      <c r="H805" s="296" t="s">
        <v>95</v>
      </c>
      <c r="N805" s="296" t="s">
        <v>823</v>
      </c>
      <c r="O805" s="296" t="s">
        <v>1492</v>
      </c>
      <c r="P805" s="252">
        <v>13.66</v>
      </c>
      <c r="R805" s="252" t="e">
        <f t="shared" si="47"/>
        <v>#VALUE!</v>
      </c>
      <c r="AG805" s="296" t="s">
        <v>2249</v>
      </c>
    </row>
    <row r="806" spans="1:33" hidden="1">
      <c r="A806" s="661"/>
      <c r="B806" s="252" t="s">
        <v>3150</v>
      </c>
      <c r="C806" s="407" t="s">
        <v>3147</v>
      </c>
      <c r="H806" s="296" t="s">
        <v>96</v>
      </c>
      <c r="N806" s="296" t="s">
        <v>606</v>
      </c>
      <c r="O806" s="296" t="s">
        <v>1493</v>
      </c>
      <c r="P806" s="252">
        <v>25.46</v>
      </c>
      <c r="R806" s="252" t="e">
        <f t="shared" si="47"/>
        <v>#VALUE!</v>
      </c>
      <c r="AG806" s="296" t="s">
        <v>2249</v>
      </c>
    </row>
    <row r="807" spans="1:33" hidden="1">
      <c r="A807" s="661"/>
      <c r="B807" s="252" t="s">
        <v>3151</v>
      </c>
      <c r="C807" s="407" t="s">
        <v>3147</v>
      </c>
      <c r="H807" s="296" t="s">
        <v>2044</v>
      </c>
      <c r="N807" s="296" t="s">
        <v>865</v>
      </c>
      <c r="O807" s="296" t="s">
        <v>1314</v>
      </c>
      <c r="P807" s="252">
        <v>0.5</v>
      </c>
      <c r="R807" s="252" t="e">
        <f t="shared" si="47"/>
        <v>#VALUE!</v>
      </c>
      <c r="AG807" s="296" t="s">
        <v>2249</v>
      </c>
    </row>
    <row r="808" spans="1:33" hidden="1">
      <c r="A808" s="661">
        <v>2</v>
      </c>
      <c r="B808" s="430" t="s">
        <v>3152</v>
      </c>
      <c r="H808" s="296" t="s">
        <v>1024</v>
      </c>
      <c r="R808" s="252">
        <v>0.7</v>
      </c>
      <c r="AG808" s="296" t="s">
        <v>2249</v>
      </c>
    </row>
    <row r="809" spans="1:33" hidden="1">
      <c r="A809" s="661"/>
      <c r="B809" s="252" t="s">
        <v>3153</v>
      </c>
      <c r="C809" s="423">
        <v>12.5</v>
      </c>
      <c r="H809" s="296" t="s">
        <v>1770</v>
      </c>
      <c r="R809" s="358" t="s">
        <v>1579</v>
      </c>
      <c r="AG809" s="296" t="s">
        <v>2249</v>
      </c>
    </row>
    <row r="810" spans="1:33" hidden="1">
      <c r="A810" s="661">
        <v>3</v>
      </c>
      <c r="B810" s="252" t="s">
        <v>3154</v>
      </c>
      <c r="C810" s="370">
        <v>242</v>
      </c>
      <c r="H810" s="296" t="s">
        <v>1771</v>
      </c>
      <c r="O810" s="253" t="s">
        <v>1315</v>
      </c>
      <c r="R810" s="252" t="e">
        <f>SUM(R798:R808)</f>
        <v>#VALUE!</v>
      </c>
      <c r="AG810" s="296" t="s">
        <v>2249</v>
      </c>
    </row>
    <row r="811" spans="1:33" hidden="1">
      <c r="A811" s="661" t="s">
        <v>3155</v>
      </c>
      <c r="B811" s="274" t="s">
        <v>3156</v>
      </c>
      <c r="R811" s="358" t="s">
        <v>1579</v>
      </c>
      <c r="AG811" s="296" t="s">
        <v>2249</v>
      </c>
    </row>
    <row r="812" spans="1:33" hidden="1">
      <c r="A812" s="661"/>
      <c r="B812" s="252" t="s">
        <v>2530</v>
      </c>
      <c r="C812" s="463">
        <v>75</v>
      </c>
      <c r="R812" s="358"/>
      <c r="AG812" s="296"/>
    </row>
    <row r="813" spans="1:33" hidden="1">
      <c r="A813" s="661"/>
      <c r="B813" s="268" t="s">
        <v>2531</v>
      </c>
      <c r="C813" s="463">
        <v>80</v>
      </c>
      <c r="G813" s="252" t="s">
        <v>313</v>
      </c>
      <c r="H813" s="253" t="s">
        <v>1768</v>
      </c>
      <c r="R813" s="358"/>
      <c r="AG813" s="296"/>
    </row>
    <row r="814" spans="1:33" hidden="1">
      <c r="A814" s="661">
        <v>4</v>
      </c>
      <c r="B814" s="430" t="s">
        <v>2563</v>
      </c>
      <c r="H814" s="253" t="s">
        <v>1773</v>
      </c>
      <c r="R814" s="358"/>
      <c r="AG814" s="296"/>
    </row>
    <row r="815" spans="1:33" hidden="1">
      <c r="A815" s="661"/>
      <c r="B815" s="252" t="s">
        <v>2564</v>
      </c>
      <c r="C815" s="370">
        <v>42</v>
      </c>
      <c r="F815" s="400">
        <v>3.8800000000000001E-2</v>
      </c>
      <c r="G815" s="252" t="s">
        <v>866</v>
      </c>
      <c r="H815" s="296" t="s">
        <v>2064</v>
      </c>
      <c r="I815" s="252" t="e">
        <f>K781</f>
        <v>#REF!</v>
      </c>
      <c r="J815" s="253" t="s">
        <v>866</v>
      </c>
      <c r="K815" s="252" t="e">
        <f>F815*I815</f>
        <v>#REF!</v>
      </c>
      <c r="R815" s="358"/>
      <c r="AG815" s="296"/>
    </row>
    <row r="816" spans="1:33" hidden="1">
      <c r="A816" s="661"/>
      <c r="B816" s="252" t="s">
        <v>2565</v>
      </c>
      <c r="C816" s="370">
        <v>46</v>
      </c>
      <c r="F816" s="252">
        <v>5.01</v>
      </c>
      <c r="G816" s="252" t="s">
        <v>1637</v>
      </c>
      <c r="H816" s="296" t="s">
        <v>2065</v>
      </c>
      <c r="I816" s="252">
        <f>K1513</f>
        <v>33174.400000000001</v>
      </c>
      <c r="J816" s="253" t="s">
        <v>858</v>
      </c>
      <c r="K816" s="252">
        <f>F816*I816/1000</f>
        <v>166.2</v>
      </c>
      <c r="R816" s="358"/>
      <c r="AG816" s="296"/>
    </row>
    <row r="817" spans="1:33" hidden="1">
      <c r="A817" s="661"/>
      <c r="B817" s="252" t="s">
        <v>3007</v>
      </c>
      <c r="C817" s="370">
        <v>42</v>
      </c>
      <c r="F817" s="252">
        <v>3</v>
      </c>
      <c r="G817" s="252" t="s">
        <v>865</v>
      </c>
      <c r="H817" s="296" t="s">
        <v>1182</v>
      </c>
      <c r="I817" s="252">
        <v>16.5</v>
      </c>
      <c r="J817" s="253" t="s">
        <v>865</v>
      </c>
      <c r="K817" s="252">
        <f t="shared" ref="K817:K824" si="48">F817*I817</f>
        <v>49.5</v>
      </c>
      <c r="R817" s="358"/>
      <c r="AG817" s="296"/>
    </row>
    <row r="818" spans="1:33" ht="31.5" hidden="1">
      <c r="A818" s="661">
        <v>5</v>
      </c>
      <c r="B818" s="430" t="s">
        <v>3008</v>
      </c>
      <c r="F818" s="252">
        <v>12</v>
      </c>
      <c r="G818" s="252" t="s">
        <v>865</v>
      </c>
      <c r="H818" s="296" t="s">
        <v>1183</v>
      </c>
      <c r="I818" s="252">
        <v>3.85</v>
      </c>
      <c r="J818" s="253" t="s">
        <v>865</v>
      </c>
      <c r="K818" s="252">
        <f t="shared" si="48"/>
        <v>46.2</v>
      </c>
      <c r="R818" s="358"/>
      <c r="AG818" s="296"/>
    </row>
    <row r="819" spans="1:33" hidden="1">
      <c r="A819" s="661"/>
      <c r="B819" s="252" t="s">
        <v>3009</v>
      </c>
      <c r="C819" s="370">
        <v>174</v>
      </c>
      <c r="F819" s="252">
        <v>2</v>
      </c>
      <c r="G819" s="252" t="s">
        <v>865</v>
      </c>
      <c r="H819" s="296" t="s">
        <v>1184</v>
      </c>
      <c r="I819" s="252">
        <v>5</v>
      </c>
      <c r="J819" s="253" t="s">
        <v>865</v>
      </c>
      <c r="K819" s="252">
        <f t="shared" si="48"/>
        <v>10</v>
      </c>
      <c r="R819" s="358"/>
      <c r="AG819" s="296"/>
    </row>
    <row r="820" spans="1:33" hidden="1">
      <c r="A820" s="661"/>
      <c r="B820" s="252" t="s">
        <v>3010</v>
      </c>
      <c r="C820" s="370">
        <v>182</v>
      </c>
      <c r="F820" s="252">
        <v>6</v>
      </c>
      <c r="G820" s="252" t="s">
        <v>865</v>
      </c>
      <c r="H820" s="296" t="s">
        <v>2210</v>
      </c>
      <c r="I820" s="252">
        <v>3.85</v>
      </c>
      <c r="J820" s="253" t="s">
        <v>865</v>
      </c>
      <c r="K820" s="252">
        <f t="shared" si="48"/>
        <v>23.1</v>
      </c>
      <c r="R820" s="358"/>
      <c r="AG820" s="296"/>
    </row>
    <row r="821" spans="1:33" hidden="1">
      <c r="A821" s="661"/>
      <c r="B821" s="252" t="s">
        <v>3011</v>
      </c>
      <c r="C821" s="370">
        <v>444</v>
      </c>
      <c r="F821" s="252">
        <v>1</v>
      </c>
      <c r="G821" s="252" t="s">
        <v>865</v>
      </c>
      <c r="H821" s="296" t="s">
        <v>1188</v>
      </c>
      <c r="I821" s="252">
        <f>C10</f>
        <v>150</v>
      </c>
      <c r="J821" s="253" t="s">
        <v>865</v>
      </c>
      <c r="K821" s="252">
        <f t="shared" si="48"/>
        <v>150</v>
      </c>
      <c r="R821" s="358"/>
      <c r="AG821" s="296"/>
    </row>
    <row r="822" spans="1:33" hidden="1">
      <c r="A822" s="661"/>
      <c r="B822" s="252" t="s">
        <v>3012</v>
      </c>
      <c r="C822" s="370">
        <v>626</v>
      </c>
      <c r="F822" s="252">
        <v>1</v>
      </c>
      <c r="G822" s="252" t="s">
        <v>865</v>
      </c>
      <c r="H822" s="296" t="s">
        <v>1189</v>
      </c>
      <c r="I822" s="252">
        <f>C12</f>
        <v>95</v>
      </c>
      <c r="J822" s="253" t="s">
        <v>865</v>
      </c>
      <c r="K822" s="252">
        <f t="shared" si="48"/>
        <v>95</v>
      </c>
      <c r="R822" s="358"/>
      <c r="AG822" s="296"/>
    </row>
    <row r="823" spans="1:33" ht="47.25" hidden="1">
      <c r="A823" s="661">
        <v>6</v>
      </c>
      <c r="B823" s="430" t="s">
        <v>3013</v>
      </c>
      <c r="F823" s="252">
        <v>1</v>
      </c>
      <c r="G823" s="252" t="s">
        <v>865</v>
      </c>
      <c r="H823" s="296" t="s">
        <v>1190</v>
      </c>
      <c r="I823" s="252">
        <v>25</v>
      </c>
      <c r="J823" s="253" t="s">
        <v>865</v>
      </c>
      <c r="K823" s="252">
        <f t="shared" si="48"/>
        <v>25</v>
      </c>
      <c r="R823" s="358"/>
      <c r="AG823" s="296"/>
    </row>
    <row r="824" spans="1:33" hidden="1">
      <c r="A824" s="661"/>
      <c r="B824" s="252" t="s">
        <v>3014</v>
      </c>
      <c r="C824" s="407" t="s">
        <v>3147</v>
      </c>
      <c r="F824" s="252">
        <v>0.5</v>
      </c>
      <c r="G824" s="252" t="s">
        <v>865</v>
      </c>
      <c r="H824" s="296" t="s">
        <v>1191</v>
      </c>
      <c r="I824" s="252">
        <f>C13</f>
        <v>85</v>
      </c>
      <c r="J824" s="253" t="s">
        <v>865</v>
      </c>
      <c r="K824" s="252">
        <f t="shared" si="48"/>
        <v>42.5</v>
      </c>
      <c r="R824" s="358"/>
      <c r="AG824" s="296"/>
    </row>
    <row r="825" spans="1:33" hidden="1">
      <c r="A825" s="661"/>
      <c r="B825" s="252" t="s">
        <v>3015</v>
      </c>
      <c r="C825" s="370">
        <v>306</v>
      </c>
      <c r="G825" s="252" t="s">
        <v>446</v>
      </c>
      <c r="H825" s="296" t="s">
        <v>2130</v>
      </c>
      <c r="J825" s="253" t="s">
        <v>446</v>
      </c>
      <c r="K825" s="252">
        <v>0.5</v>
      </c>
      <c r="R825" s="358"/>
      <c r="AG825" s="296"/>
    </row>
    <row r="826" spans="1:33" ht="31.5" hidden="1">
      <c r="A826" s="661"/>
      <c r="B826" s="268" t="s">
        <v>3016</v>
      </c>
      <c r="C826" s="370">
        <v>450</v>
      </c>
      <c r="K826" s="358" t="s">
        <v>1579</v>
      </c>
      <c r="R826" s="358"/>
      <c r="AG826" s="296"/>
    </row>
    <row r="827" spans="1:33" ht="47.25" hidden="1">
      <c r="A827" s="661">
        <v>7</v>
      </c>
      <c r="B827" s="430" t="s">
        <v>2545</v>
      </c>
      <c r="H827" s="253" t="s">
        <v>280</v>
      </c>
      <c r="K827" s="252" t="e">
        <f>SUM(K815:K825)</f>
        <v>#REF!</v>
      </c>
      <c r="R827" s="358"/>
      <c r="AG827" s="296"/>
    </row>
    <row r="828" spans="1:33" hidden="1">
      <c r="A828" s="661"/>
      <c r="B828" s="252" t="s">
        <v>3015</v>
      </c>
      <c r="C828" s="370">
        <v>575</v>
      </c>
      <c r="K828" s="358" t="s">
        <v>1579</v>
      </c>
      <c r="R828" s="358"/>
      <c r="AG828" s="296"/>
    </row>
    <row r="829" spans="1:33" ht="31.5" hidden="1">
      <c r="A829" s="661"/>
      <c r="B829" s="268" t="s">
        <v>3016</v>
      </c>
      <c r="C829" s="370">
        <v>750</v>
      </c>
      <c r="R829" s="358"/>
      <c r="AG829" s="296"/>
    </row>
    <row r="830" spans="1:33" ht="47.25" hidden="1">
      <c r="A830" s="661">
        <v>8</v>
      </c>
      <c r="B830" s="430" t="s">
        <v>2546</v>
      </c>
      <c r="R830" s="358"/>
      <c r="AG830" s="296"/>
    </row>
    <row r="831" spans="1:33" hidden="1">
      <c r="A831" s="661"/>
      <c r="B831" s="252" t="s">
        <v>3448</v>
      </c>
      <c r="C831" s="370">
        <v>850</v>
      </c>
      <c r="G831" s="252" t="s">
        <v>1898</v>
      </c>
      <c r="H831" s="253" t="s">
        <v>1772</v>
      </c>
      <c r="R831" s="296" t="s">
        <v>971</v>
      </c>
      <c r="AG831" s="296" t="s">
        <v>2249</v>
      </c>
    </row>
    <row r="832" spans="1:33" hidden="1">
      <c r="A832" s="661"/>
      <c r="B832" s="252" t="s">
        <v>2556</v>
      </c>
      <c r="C832" s="370">
        <v>1050</v>
      </c>
      <c r="H832" s="253" t="s">
        <v>1773</v>
      </c>
      <c r="N832" s="296" t="s">
        <v>313</v>
      </c>
      <c r="O832" s="296" t="s">
        <v>38</v>
      </c>
      <c r="AG832" s="296" t="s">
        <v>2249</v>
      </c>
    </row>
    <row r="833" spans="1:33" ht="69" hidden="1" customHeight="1">
      <c r="A833" s="661">
        <v>9</v>
      </c>
      <c r="B833" s="430" t="s">
        <v>2557</v>
      </c>
      <c r="F833" s="400">
        <v>3.7600000000000001E-2</v>
      </c>
      <c r="G833" s="252" t="s">
        <v>866</v>
      </c>
      <c r="H833" s="296" t="s">
        <v>2064</v>
      </c>
      <c r="I833" s="252" t="e">
        <f>K781</f>
        <v>#REF!</v>
      </c>
      <c r="J833" s="253" t="s">
        <v>866</v>
      </c>
      <c r="K833" s="252" t="e">
        <f>F833*I833</f>
        <v>#REF!</v>
      </c>
      <c r="O833" s="296" t="s">
        <v>1755</v>
      </c>
      <c r="AG833" s="296" t="s">
        <v>2249</v>
      </c>
    </row>
    <row r="834" spans="1:33" hidden="1">
      <c r="A834" s="661"/>
      <c r="B834" s="252" t="s">
        <v>2558</v>
      </c>
      <c r="C834" s="407" t="s">
        <v>3147</v>
      </c>
      <c r="F834" s="252">
        <v>4.87</v>
      </c>
      <c r="G834" s="252" t="s">
        <v>1637</v>
      </c>
      <c r="H834" s="296" t="s">
        <v>2065</v>
      </c>
      <c r="I834" s="252">
        <f>K1513</f>
        <v>33174.400000000001</v>
      </c>
      <c r="J834" s="253" t="s">
        <v>858</v>
      </c>
      <c r="K834" s="252">
        <f>F834*I834/1000</f>
        <v>161.56</v>
      </c>
      <c r="N834" s="296" t="s">
        <v>265</v>
      </c>
      <c r="O834" s="296" t="s">
        <v>1757</v>
      </c>
      <c r="P834" s="252">
        <v>43</v>
      </c>
      <c r="R834" s="252" t="e">
        <f>(#VALUE!*P834)</f>
        <v>#VALUE!</v>
      </c>
      <c r="AG834" s="296" t="s">
        <v>2249</v>
      </c>
    </row>
    <row r="835" spans="1:33" hidden="1">
      <c r="A835" s="661"/>
      <c r="B835" s="252" t="s">
        <v>2559</v>
      </c>
      <c r="C835" s="463" t="s">
        <v>3147</v>
      </c>
      <c r="F835" s="252">
        <v>3</v>
      </c>
      <c r="G835" s="252" t="s">
        <v>865</v>
      </c>
      <c r="H835" s="296" t="s">
        <v>1182</v>
      </c>
      <c r="I835" s="252">
        <v>16.5</v>
      </c>
      <c r="J835" s="253" t="s">
        <v>865</v>
      </c>
      <c r="K835" s="252">
        <f t="shared" ref="K835:K841" si="49">F835*I835</f>
        <v>49.5</v>
      </c>
      <c r="O835" s="296" t="s">
        <v>1911</v>
      </c>
      <c r="AG835" s="296" t="s">
        <v>2249</v>
      </c>
    </row>
    <row r="836" spans="1:33" ht="70.5" hidden="1" customHeight="1">
      <c r="A836" s="661">
        <v>10</v>
      </c>
      <c r="B836" s="430" t="s">
        <v>3017</v>
      </c>
      <c r="F836" s="252">
        <v>12</v>
      </c>
      <c r="G836" s="252" t="s">
        <v>865</v>
      </c>
      <c r="H836" s="296" t="s">
        <v>1183</v>
      </c>
      <c r="I836" s="252">
        <v>3.85</v>
      </c>
      <c r="J836" s="253" t="s">
        <v>865</v>
      </c>
      <c r="K836" s="252">
        <f t="shared" si="49"/>
        <v>46.2</v>
      </c>
      <c r="O836" s="296" t="s">
        <v>982</v>
      </c>
      <c r="AG836" s="296" t="s">
        <v>2249</v>
      </c>
    </row>
    <row r="837" spans="1:33" hidden="1">
      <c r="A837" s="661"/>
      <c r="B837" s="252" t="s">
        <v>3018</v>
      </c>
      <c r="C837" s="370" t="s">
        <v>3147</v>
      </c>
      <c r="F837" s="252">
        <v>2</v>
      </c>
      <c r="G837" s="252" t="s">
        <v>865</v>
      </c>
      <c r="H837" s="296" t="s">
        <v>1184</v>
      </c>
      <c r="I837" s="252">
        <v>5</v>
      </c>
      <c r="J837" s="253" t="s">
        <v>865</v>
      </c>
      <c r="K837" s="252">
        <f t="shared" si="49"/>
        <v>10</v>
      </c>
      <c r="N837" s="296" t="s">
        <v>606</v>
      </c>
      <c r="O837" s="296" t="s">
        <v>983</v>
      </c>
      <c r="P837" s="252">
        <f>C271</f>
        <v>160</v>
      </c>
      <c r="R837" s="252" t="e">
        <f>(#VALUE!*P837)</f>
        <v>#VALUE!</v>
      </c>
      <c r="AG837" s="296" t="s">
        <v>2249</v>
      </c>
    </row>
    <row r="838" spans="1:33" hidden="1">
      <c r="A838" s="661"/>
      <c r="B838" s="252" t="s">
        <v>2559</v>
      </c>
      <c r="C838" s="370" t="s">
        <v>3147</v>
      </c>
      <c r="F838" s="252">
        <v>6</v>
      </c>
      <c r="G838" s="252" t="s">
        <v>865</v>
      </c>
      <c r="H838" s="296" t="s">
        <v>2210</v>
      </c>
      <c r="I838" s="252">
        <v>3.85</v>
      </c>
      <c r="J838" s="253" t="s">
        <v>865</v>
      </c>
      <c r="K838" s="252">
        <f t="shared" si="49"/>
        <v>23.1</v>
      </c>
      <c r="N838" s="296" t="s">
        <v>865</v>
      </c>
      <c r="O838" s="296" t="s">
        <v>149</v>
      </c>
      <c r="P838" s="252">
        <v>5</v>
      </c>
      <c r="R838" s="252" t="e">
        <f>(#VALUE!*P838)</f>
        <v>#VALUE!</v>
      </c>
      <c r="AG838" s="296" t="s">
        <v>2249</v>
      </c>
    </row>
    <row r="839" spans="1:33" hidden="1">
      <c r="A839" s="661"/>
      <c r="B839" s="252" t="s">
        <v>3019</v>
      </c>
      <c r="C839" s="370" t="s">
        <v>3147</v>
      </c>
      <c r="F839" s="252">
        <v>1</v>
      </c>
      <c r="G839" s="252" t="s">
        <v>865</v>
      </c>
      <c r="H839" s="296" t="s">
        <v>1188</v>
      </c>
      <c r="I839" s="252">
        <f>C10</f>
        <v>150</v>
      </c>
      <c r="J839" s="253" t="s">
        <v>865</v>
      </c>
      <c r="K839" s="252">
        <f t="shared" si="49"/>
        <v>150</v>
      </c>
      <c r="N839" s="296" t="s">
        <v>865</v>
      </c>
      <c r="O839" s="296" t="s">
        <v>150</v>
      </c>
      <c r="P839" s="252">
        <v>10</v>
      </c>
      <c r="R839" s="252" t="e">
        <f>(#VALUE!*P839)</f>
        <v>#VALUE!</v>
      </c>
      <c r="AG839" s="296" t="s">
        <v>2249</v>
      </c>
    </row>
    <row r="840" spans="1:33" hidden="1">
      <c r="A840" s="661"/>
      <c r="B840" s="252" t="s">
        <v>3020</v>
      </c>
      <c r="C840" s="407" t="s">
        <v>3147</v>
      </c>
      <c r="F840" s="252">
        <v>1</v>
      </c>
      <c r="G840" s="252" t="s">
        <v>865</v>
      </c>
      <c r="H840" s="296" t="s">
        <v>1189</v>
      </c>
      <c r="I840" s="252">
        <f>C12</f>
        <v>95</v>
      </c>
      <c r="J840" s="253" t="s">
        <v>865</v>
      </c>
      <c r="K840" s="252">
        <f t="shared" si="49"/>
        <v>95</v>
      </c>
      <c r="N840" s="296" t="s">
        <v>865</v>
      </c>
      <c r="O840" s="296" t="s">
        <v>1739</v>
      </c>
      <c r="P840" s="252">
        <v>8</v>
      </c>
      <c r="R840" s="252" t="e">
        <f>(#VALUE!*P840)</f>
        <v>#VALUE!</v>
      </c>
      <c r="AG840" s="296" t="s">
        <v>2249</v>
      </c>
    </row>
    <row r="841" spans="1:33" hidden="1">
      <c r="A841" s="661"/>
      <c r="B841" s="252" t="s">
        <v>3021</v>
      </c>
      <c r="C841" s="370">
        <v>1459</v>
      </c>
      <c r="F841" s="252">
        <v>1</v>
      </c>
      <c r="G841" s="252" t="s">
        <v>865</v>
      </c>
      <c r="H841" s="296" t="s">
        <v>1190</v>
      </c>
      <c r="I841" s="252">
        <v>25</v>
      </c>
      <c r="J841" s="253" t="s">
        <v>865</v>
      </c>
      <c r="K841" s="252">
        <f t="shared" si="49"/>
        <v>25</v>
      </c>
      <c r="N841" s="296" t="s">
        <v>823</v>
      </c>
      <c r="O841" s="296" t="s">
        <v>1492</v>
      </c>
      <c r="P841" s="252">
        <v>13.66</v>
      </c>
      <c r="R841" s="252" t="e">
        <f>(#VALUE!*P841)</f>
        <v>#VALUE!</v>
      </c>
      <c r="AG841" s="296" t="s">
        <v>2249</v>
      </c>
    </row>
    <row r="842" spans="1:33" ht="33" hidden="1" customHeight="1">
      <c r="A842" s="661"/>
      <c r="B842" s="268" t="s">
        <v>3022</v>
      </c>
      <c r="C842" s="370">
        <v>1930</v>
      </c>
      <c r="H842" s="296"/>
      <c r="N842" s="296"/>
      <c r="O842" s="296"/>
      <c r="AG842" s="296"/>
    </row>
    <row r="843" spans="1:33" ht="37.5" hidden="1" customHeight="1">
      <c r="A843" s="661"/>
      <c r="B843" s="260" t="s">
        <v>2831</v>
      </c>
      <c r="C843" s="370">
        <v>2630</v>
      </c>
      <c r="F843" s="252">
        <v>0.5</v>
      </c>
      <c r="G843" s="252" t="s">
        <v>865</v>
      </c>
      <c r="H843" s="296" t="s">
        <v>1191</v>
      </c>
      <c r="I843" s="252">
        <f>C13</f>
        <v>85</v>
      </c>
      <c r="J843" s="253" t="s">
        <v>865</v>
      </c>
      <c r="K843" s="252">
        <f>F843*I843</f>
        <v>42.5</v>
      </c>
      <c r="N843" s="296" t="s">
        <v>606</v>
      </c>
      <c r="O843" s="296" t="s">
        <v>1493</v>
      </c>
      <c r="P843" s="252">
        <v>25.46</v>
      </c>
      <c r="R843" s="252" t="e">
        <f>(#VALUE!*P843)</f>
        <v>#VALUE!</v>
      </c>
      <c r="AG843" s="296" t="s">
        <v>2249</v>
      </c>
    </row>
    <row r="844" spans="1:33" ht="70.5" hidden="1" customHeight="1">
      <c r="A844" s="661">
        <v>11</v>
      </c>
      <c r="B844" s="430" t="s">
        <v>2670</v>
      </c>
      <c r="G844" s="252" t="s">
        <v>446</v>
      </c>
      <c r="H844" s="296" t="s">
        <v>2130</v>
      </c>
      <c r="J844" s="253" t="s">
        <v>446</v>
      </c>
      <c r="K844" s="252">
        <v>0.5</v>
      </c>
      <c r="N844" s="296" t="s">
        <v>865</v>
      </c>
      <c r="O844" s="296" t="s">
        <v>1314</v>
      </c>
      <c r="P844" s="252">
        <v>0.5</v>
      </c>
      <c r="R844" s="252" t="e">
        <f>(#VALUE!*P844)</f>
        <v>#VALUE!</v>
      </c>
      <c r="AG844" s="296" t="s">
        <v>2249</v>
      </c>
    </row>
    <row r="845" spans="1:33" hidden="1">
      <c r="A845" s="661"/>
      <c r="B845" s="252" t="s">
        <v>2671</v>
      </c>
      <c r="C845" s="370">
        <v>642</v>
      </c>
      <c r="K845" s="358" t="s">
        <v>1579</v>
      </c>
      <c r="R845" s="252">
        <v>0.97</v>
      </c>
      <c r="AG845" s="296" t="s">
        <v>2249</v>
      </c>
    </row>
    <row r="846" spans="1:33" ht="70.5" hidden="1" customHeight="1">
      <c r="A846" s="661">
        <v>12</v>
      </c>
      <c r="B846" s="430" t="s">
        <v>2672</v>
      </c>
      <c r="H846" s="253" t="s">
        <v>280</v>
      </c>
      <c r="K846" s="252" t="e">
        <f>SUM(K833:K844)</f>
        <v>#REF!</v>
      </c>
      <c r="R846" s="358" t="s">
        <v>1579</v>
      </c>
      <c r="AG846" s="296" t="s">
        <v>2249</v>
      </c>
    </row>
    <row r="847" spans="1:33" hidden="1">
      <c r="A847" s="661"/>
      <c r="B847" s="252" t="s">
        <v>2671</v>
      </c>
      <c r="C847" s="370">
        <v>864</v>
      </c>
      <c r="K847" s="358" t="s">
        <v>1579</v>
      </c>
      <c r="O847" s="253" t="s">
        <v>1315</v>
      </c>
      <c r="R847" s="252" t="e">
        <f>SUM(R834:R845)</f>
        <v>#VALUE!</v>
      </c>
      <c r="AG847" s="296" t="s">
        <v>2249</v>
      </c>
    </row>
    <row r="848" spans="1:33" ht="97.5" hidden="1" customHeight="1">
      <c r="A848" s="661">
        <v>13</v>
      </c>
      <c r="B848" s="430" t="s">
        <v>2673</v>
      </c>
      <c r="F848" s="253"/>
      <c r="G848" s="252" t="s">
        <v>517</v>
      </c>
      <c r="H848" s="253" t="s">
        <v>560</v>
      </c>
      <c r="R848" s="358" t="s">
        <v>1579</v>
      </c>
      <c r="AG848" s="296" t="s">
        <v>2249</v>
      </c>
    </row>
    <row r="849" spans="1:18" hidden="1">
      <c r="A849" s="661"/>
      <c r="B849" s="252" t="s">
        <v>2674</v>
      </c>
      <c r="C849" s="370">
        <v>3100</v>
      </c>
      <c r="H849" s="253" t="s">
        <v>1773</v>
      </c>
    </row>
    <row r="850" spans="1:18" hidden="1">
      <c r="A850" s="661"/>
      <c r="B850" s="268" t="s">
        <v>2675</v>
      </c>
      <c r="C850" s="370">
        <v>3267</v>
      </c>
      <c r="F850" s="400">
        <v>3.5299999999999998E-2</v>
      </c>
      <c r="G850" s="252" t="s">
        <v>866</v>
      </c>
      <c r="H850" s="296" t="s">
        <v>2064</v>
      </c>
      <c r="I850" s="252" t="e">
        <f>K781</f>
        <v>#REF!</v>
      </c>
      <c r="J850" s="253" t="s">
        <v>866</v>
      </c>
      <c r="K850" s="252" t="e">
        <f>F850*I850</f>
        <v>#REF!</v>
      </c>
      <c r="M850" s="253" t="s">
        <v>1101</v>
      </c>
      <c r="N850" s="296" t="s">
        <v>2241</v>
      </c>
      <c r="O850" s="296" t="s">
        <v>1102</v>
      </c>
    </row>
    <row r="851" spans="1:18" ht="33" hidden="1" customHeight="1">
      <c r="A851" s="661"/>
      <c r="B851" s="260" t="s">
        <v>2676</v>
      </c>
      <c r="C851" s="370">
        <v>1790</v>
      </c>
      <c r="F851" s="252">
        <v>4.59</v>
      </c>
      <c r="G851" s="252" t="s">
        <v>1637</v>
      </c>
      <c r="H851" s="296" t="s">
        <v>2065</v>
      </c>
      <c r="I851" s="252">
        <f>K1513</f>
        <v>33174.400000000001</v>
      </c>
      <c r="J851" s="253" t="s">
        <v>858</v>
      </c>
      <c r="K851" s="252">
        <f>F851*I851/1000</f>
        <v>152.27000000000001</v>
      </c>
      <c r="O851" s="296" t="s">
        <v>577</v>
      </c>
    </row>
    <row r="852" spans="1:18" ht="33" hidden="1" customHeight="1">
      <c r="A852" s="661">
        <v>14</v>
      </c>
      <c r="B852" s="258" t="s">
        <v>2827</v>
      </c>
      <c r="H852" s="296"/>
      <c r="O852" s="296"/>
    </row>
    <row r="853" spans="1:18" hidden="1">
      <c r="A853" s="661"/>
      <c r="B853" s="268" t="s">
        <v>2828</v>
      </c>
      <c r="C853" s="407" t="s">
        <v>3147</v>
      </c>
      <c r="F853" s="252">
        <v>3</v>
      </c>
      <c r="G853" s="252" t="s">
        <v>865</v>
      </c>
      <c r="H853" s="296" t="s">
        <v>1182</v>
      </c>
      <c r="I853" s="252">
        <v>16.5</v>
      </c>
      <c r="J853" s="253" t="s">
        <v>865</v>
      </c>
      <c r="K853" s="252">
        <f t="shared" ref="K853:K860" si="50">F853*I853</f>
        <v>49.5</v>
      </c>
      <c r="O853" s="358" t="s">
        <v>1579</v>
      </c>
      <c r="P853" s="358" t="s">
        <v>1579</v>
      </c>
    </row>
    <row r="854" spans="1:18" hidden="1">
      <c r="A854" s="661"/>
      <c r="B854" s="252" t="s">
        <v>2457</v>
      </c>
      <c r="C854" s="407" t="s">
        <v>3147</v>
      </c>
      <c r="F854" s="252">
        <v>12</v>
      </c>
      <c r="G854" s="252" t="s">
        <v>865</v>
      </c>
      <c r="H854" s="296" t="s">
        <v>1183</v>
      </c>
      <c r="I854" s="252">
        <v>3.85</v>
      </c>
      <c r="J854" s="253" t="s">
        <v>865</v>
      </c>
      <c r="K854" s="252">
        <f t="shared" si="50"/>
        <v>46.2</v>
      </c>
      <c r="O854" s="296" t="s">
        <v>578</v>
      </c>
    </row>
    <row r="855" spans="1:18" hidden="1">
      <c r="A855" s="661"/>
      <c r="B855" s="252" t="s">
        <v>2458</v>
      </c>
      <c r="C855" s="407" t="s">
        <v>3147</v>
      </c>
      <c r="F855" s="252">
        <v>2</v>
      </c>
      <c r="G855" s="252" t="s">
        <v>865</v>
      </c>
      <c r="H855" s="252" t="str">
        <f>H837</f>
        <v>TOWER BOLT RECEIVER</v>
      </c>
      <c r="I855" s="252">
        <v>5</v>
      </c>
      <c r="J855" s="253" t="s">
        <v>865</v>
      </c>
      <c r="K855" s="252">
        <f t="shared" si="50"/>
        <v>10</v>
      </c>
      <c r="M855" s="252">
        <v>0.5</v>
      </c>
      <c r="N855" s="253" t="s">
        <v>766</v>
      </c>
      <c r="O855" s="296" t="s">
        <v>74</v>
      </c>
      <c r="P855" s="252">
        <f>C16</f>
        <v>150</v>
      </c>
      <c r="Q855" s="253" t="s">
        <v>1708</v>
      </c>
      <c r="R855" s="252">
        <f>(M855*P855)</f>
        <v>75</v>
      </c>
    </row>
    <row r="856" spans="1:18" ht="52.5" hidden="1" customHeight="1">
      <c r="A856" s="661">
        <v>15</v>
      </c>
      <c r="B856" s="258" t="s">
        <v>2459</v>
      </c>
      <c r="C856" s="407"/>
      <c r="F856" s="252">
        <v>6</v>
      </c>
      <c r="G856" s="252" t="s">
        <v>865</v>
      </c>
      <c r="H856" s="296" t="s">
        <v>2210</v>
      </c>
      <c r="I856" s="252">
        <v>3.85</v>
      </c>
      <c r="J856" s="253" t="s">
        <v>865</v>
      </c>
      <c r="K856" s="252">
        <f t="shared" si="50"/>
        <v>23.1</v>
      </c>
      <c r="M856" s="252">
        <v>0.25</v>
      </c>
      <c r="N856" s="253" t="s">
        <v>766</v>
      </c>
      <c r="O856" s="296" t="s">
        <v>875</v>
      </c>
      <c r="P856" s="252">
        <f>C13</f>
        <v>85</v>
      </c>
      <c r="Q856" s="253" t="s">
        <v>1708</v>
      </c>
      <c r="R856" s="252">
        <f>(M856*P856)</f>
        <v>21.25</v>
      </c>
    </row>
    <row r="857" spans="1:18" hidden="1">
      <c r="A857" s="661"/>
      <c r="B857" s="252" t="s">
        <v>2460</v>
      </c>
      <c r="C857" s="407" t="s">
        <v>3147</v>
      </c>
      <c r="F857" s="252">
        <v>1</v>
      </c>
      <c r="G857" s="252" t="s">
        <v>865</v>
      </c>
      <c r="H857" s="296" t="s">
        <v>1188</v>
      </c>
      <c r="I857" s="252">
        <f>C10</f>
        <v>150</v>
      </c>
      <c r="J857" s="253" t="s">
        <v>865</v>
      </c>
      <c r="K857" s="252">
        <f t="shared" si="50"/>
        <v>150</v>
      </c>
      <c r="R857" s="358" t="s">
        <v>1579</v>
      </c>
    </row>
    <row r="858" spans="1:18" hidden="1">
      <c r="A858" s="661"/>
      <c r="B858" s="252" t="s">
        <v>2461</v>
      </c>
      <c r="C858" s="407" t="s">
        <v>3147</v>
      </c>
      <c r="F858" s="252">
        <v>1</v>
      </c>
      <c r="G858" s="252" t="s">
        <v>865</v>
      </c>
      <c r="H858" s="296" t="s">
        <v>1189</v>
      </c>
      <c r="I858" s="252">
        <f>C12</f>
        <v>95</v>
      </c>
      <c r="J858" s="253" t="s">
        <v>865</v>
      </c>
      <c r="K858" s="252">
        <f t="shared" si="50"/>
        <v>95</v>
      </c>
      <c r="O858" s="253" t="s">
        <v>1158</v>
      </c>
      <c r="R858" s="252">
        <f>SUM(R855:R856)</f>
        <v>96.25</v>
      </c>
    </row>
    <row r="859" spans="1:18" hidden="1">
      <c r="A859" s="661"/>
      <c r="B859" s="268" t="s">
        <v>2462</v>
      </c>
      <c r="C859" s="407" t="s">
        <v>3147</v>
      </c>
      <c r="F859" s="252">
        <v>1</v>
      </c>
      <c r="G859" s="252" t="s">
        <v>865</v>
      </c>
      <c r="H859" s="252" t="str">
        <f>H841</f>
        <v>MOULDING CHARGES</v>
      </c>
      <c r="I859" s="252">
        <v>25</v>
      </c>
      <c r="J859" s="253" t="s">
        <v>865</v>
      </c>
      <c r="K859" s="252">
        <f t="shared" si="50"/>
        <v>25</v>
      </c>
      <c r="R859" s="358" t="s">
        <v>1579</v>
      </c>
    </row>
    <row r="860" spans="1:18" hidden="1">
      <c r="A860" s="661">
        <v>16</v>
      </c>
      <c r="B860" s="258" t="s">
        <v>2463</v>
      </c>
      <c r="F860" s="252">
        <v>0.5</v>
      </c>
      <c r="G860" s="252" t="s">
        <v>865</v>
      </c>
      <c r="H860" s="296" t="s">
        <v>1191</v>
      </c>
      <c r="I860" s="252">
        <f>C13</f>
        <v>85</v>
      </c>
      <c r="J860" s="253" t="s">
        <v>865</v>
      </c>
      <c r="K860" s="252">
        <f t="shared" si="50"/>
        <v>42.5</v>
      </c>
      <c r="O860" s="253" t="s">
        <v>1159</v>
      </c>
      <c r="R860" s="252">
        <f>R858/0.0283</f>
        <v>3401.06</v>
      </c>
    </row>
    <row r="861" spans="1:18" hidden="1">
      <c r="A861" s="251"/>
      <c r="B861" s="252" t="s">
        <v>2387</v>
      </c>
      <c r="C861" s="370">
        <v>10</v>
      </c>
      <c r="G861" s="252" t="s">
        <v>446</v>
      </c>
      <c r="H861" s="296" t="s">
        <v>2130</v>
      </c>
      <c r="J861" s="253" t="s">
        <v>446</v>
      </c>
      <c r="K861" s="252">
        <v>0.5</v>
      </c>
      <c r="R861" s="358" t="s">
        <v>1579</v>
      </c>
    </row>
    <row r="862" spans="1:18" hidden="1">
      <c r="A862" s="251"/>
      <c r="B862" s="252" t="s">
        <v>2388</v>
      </c>
      <c r="C862" s="370">
        <v>10</v>
      </c>
      <c r="K862" s="358" t="s">
        <v>1579</v>
      </c>
    </row>
    <row r="863" spans="1:18" ht="31.5" hidden="1">
      <c r="A863" s="661">
        <v>17</v>
      </c>
      <c r="B863" s="258" t="s">
        <v>2389</v>
      </c>
      <c r="H863" s="253" t="s">
        <v>280</v>
      </c>
      <c r="K863" s="252" t="e">
        <f>SUM(K850:K861)</f>
        <v>#REF!</v>
      </c>
    </row>
    <row r="864" spans="1:18" hidden="1">
      <c r="A864" s="661"/>
      <c r="B864" s="252" t="s">
        <v>2390</v>
      </c>
      <c r="C864" s="370">
        <v>170</v>
      </c>
      <c r="K864" s="358" t="s">
        <v>1579</v>
      </c>
    </row>
    <row r="865" spans="1:33" hidden="1">
      <c r="A865" s="661"/>
      <c r="B865" s="252" t="s">
        <v>2391</v>
      </c>
      <c r="C865" s="370">
        <v>170</v>
      </c>
    </row>
    <row r="866" spans="1:33" hidden="1">
      <c r="A866" s="661"/>
      <c r="B866" s="252" t="s">
        <v>3219</v>
      </c>
      <c r="C866" s="370">
        <v>295</v>
      </c>
    </row>
    <row r="867" spans="1:33" ht="31.5" hidden="1">
      <c r="A867" s="661"/>
      <c r="B867" s="268" t="s">
        <v>3220</v>
      </c>
      <c r="C867" s="370">
        <v>240</v>
      </c>
    </row>
    <row r="868" spans="1:33" ht="142.5" hidden="1" customHeight="1">
      <c r="A868" s="661"/>
      <c r="F868" s="441">
        <v>21.3</v>
      </c>
      <c r="G868" s="252" t="s">
        <v>2241</v>
      </c>
      <c r="H868" s="442" t="s">
        <v>1719</v>
      </c>
      <c r="AG868" s="296" t="s">
        <v>2249</v>
      </c>
    </row>
    <row r="869" spans="1:33" hidden="1">
      <c r="A869" s="661"/>
      <c r="B869" s="252" t="s">
        <v>3221</v>
      </c>
      <c r="C869" s="407" t="s">
        <v>3222</v>
      </c>
      <c r="H869" s="296" t="s">
        <v>2250</v>
      </c>
      <c r="M869" s="252">
        <v>11.64</v>
      </c>
      <c r="N869" s="296" t="s">
        <v>823</v>
      </c>
      <c r="O869" s="296" t="s">
        <v>1492</v>
      </c>
      <c r="P869" s="252">
        <v>13.66</v>
      </c>
      <c r="R869" s="252">
        <f>(M869*P869)</f>
        <v>159</v>
      </c>
      <c r="AG869" s="296" t="s">
        <v>2249</v>
      </c>
    </row>
    <row r="870" spans="1:33" hidden="1">
      <c r="A870" s="661"/>
      <c r="B870" s="252" t="s">
        <v>3223</v>
      </c>
      <c r="C870" s="407" t="s">
        <v>3222</v>
      </c>
      <c r="H870" s="358" t="s">
        <v>1579</v>
      </c>
      <c r="M870" s="316">
        <v>1.62</v>
      </c>
      <c r="N870" s="296" t="s">
        <v>606</v>
      </c>
      <c r="O870" s="296" t="s">
        <v>1493</v>
      </c>
      <c r="P870" s="252">
        <v>25.46</v>
      </c>
      <c r="R870" s="252">
        <f>(M870*P870)</f>
        <v>41.25</v>
      </c>
      <c r="AG870" s="296" t="s">
        <v>2249</v>
      </c>
    </row>
    <row r="871" spans="1:33" hidden="1">
      <c r="A871" s="661"/>
      <c r="B871" s="252" t="s">
        <v>3224</v>
      </c>
      <c r="C871" s="407" t="s">
        <v>3222</v>
      </c>
      <c r="M871" s="252">
        <v>48</v>
      </c>
      <c r="N871" s="296" t="s">
        <v>865</v>
      </c>
      <c r="O871" s="296" t="s">
        <v>1314</v>
      </c>
      <c r="P871" s="252">
        <v>0.5</v>
      </c>
      <c r="R871" s="252">
        <f>(M871*P871)</f>
        <v>24</v>
      </c>
      <c r="AG871" s="296" t="s">
        <v>2249</v>
      </c>
    </row>
    <row r="872" spans="1:33" hidden="1">
      <c r="A872" s="661"/>
      <c r="B872" s="252" t="s">
        <v>3225</v>
      </c>
      <c r="C872" s="407" t="s">
        <v>3222</v>
      </c>
      <c r="H872" s="296" t="s">
        <v>2250</v>
      </c>
      <c r="J872" s="253" t="s">
        <v>606</v>
      </c>
      <c r="K872" s="252">
        <v>1450</v>
      </c>
      <c r="R872" s="252">
        <v>0.23</v>
      </c>
      <c r="AG872" s="296" t="s">
        <v>2249</v>
      </c>
    </row>
    <row r="873" spans="1:33" hidden="1">
      <c r="A873" s="661">
        <v>18</v>
      </c>
      <c r="B873" s="274" t="s">
        <v>3226</v>
      </c>
      <c r="F873" s="296" t="s">
        <v>971</v>
      </c>
    </row>
    <row r="874" spans="1:33" hidden="1">
      <c r="A874" s="661"/>
      <c r="B874" s="252" t="s">
        <v>3227</v>
      </c>
      <c r="C874" s="370">
        <v>113</v>
      </c>
      <c r="H874" s="253" t="s">
        <v>2251</v>
      </c>
      <c r="K874" s="358" t="s">
        <v>2046</v>
      </c>
      <c r="R874" s="358" t="s">
        <v>1579</v>
      </c>
      <c r="AG874" s="296" t="s">
        <v>2249</v>
      </c>
    </row>
    <row r="875" spans="1:33" hidden="1">
      <c r="A875" s="661"/>
      <c r="B875" s="252" t="s">
        <v>3228</v>
      </c>
      <c r="C875" s="370">
        <v>135</v>
      </c>
      <c r="H875" s="253" t="s">
        <v>1363</v>
      </c>
      <c r="O875" s="253" t="s">
        <v>1315</v>
      </c>
      <c r="R875" s="252">
        <f>SUM(R869:R872)</f>
        <v>224.48</v>
      </c>
      <c r="AG875" s="296" t="s">
        <v>2249</v>
      </c>
    </row>
    <row r="876" spans="1:33" hidden="1">
      <c r="A876" s="661"/>
      <c r="B876" s="252" t="s">
        <v>3229</v>
      </c>
      <c r="C876" s="370">
        <v>180</v>
      </c>
      <c r="F876" s="375">
        <v>21.2</v>
      </c>
      <c r="H876" s="274" t="s">
        <v>1720</v>
      </c>
      <c r="AG876" s="296" t="s">
        <v>2249</v>
      </c>
    </row>
    <row r="877" spans="1:33" hidden="1">
      <c r="A877" s="661"/>
      <c r="B877" s="252" t="s">
        <v>3230</v>
      </c>
      <c r="C877" s="370">
        <v>248</v>
      </c>
      <c r="F877" s="375"/>
      <c r="H877" s="358" t="s">
        <v>1579</v>
      </c>
      <c r="AG877" s="296"/>
    </row>
    <row r="878" spans="1:33" hidden="1">
      <c r="A878" s="661">
        <v>19</v>
      </c>
      <c r="B878" s="252" t="s">
        <v>3231</v>
      </c>
      <c r="C878" s="407" t="s">
        <v>3222</v>
      </c>
      <c r="G878" s="252" t="s">
        <v>154</v>
      </c>
      <c r="H878" s="296" t="s">
        <v>1364</v>
      </c>
      <c r="K878" s="296" t="s">
        <v>971</v>
      </c>
      <c r="AG878" s="296" t="s">
        <v>2249</v>
      </c>
    </row>
    <row r="879" spans="1:33" hidden="1">
      <c r="A879" s="661"/>
      <c r="B879" s="252" t="s">
        <v>3232</v>
      </c>
      <c r="C879" s="407" t="s">
        <v>3222</v>
      </c>
      <c r="H879" s="358" t="s">
        <v>1579</v>
      </c>
      <c r="K879" s="296" t="s">
        <v>971</v>
      </c>
      <c r="AG879" s="296" t="s">
        <v>2249</v>
      </c>
    </row>
    <row r="880" spans="1:33" hidden="1">
      <c r="A880" s="661">
        <v>20</v>
      </c>
      <c r="B880" s="252" t="s">
        <v>2677</v>
      </c>
      <c r="C880" s="407" t="s">
        <v>3222</v>
      </c>
      <c r="F880" s="252">
        <v>1</v>
      </c>
      <c r="G880" s="252" t="s">
        <v>866</v>
      </c>
      <c r="H880" s="296" t="s">
        <v>1561</v>
      </c>
      <c r="I880" s="252">
        <f>C30</f>
        <v>3035</v>
      </c>
      <c r="J880" s="253" t="s">
        <v>866</v>
      </c>
      <c r="K880" s="252">
        <f>(F880*I880)</f>
        <v>3035</v>
      </c>
      <c r="AG880" s="296" t="s">
        <v>2249</v>
      </c>
    </row>
    <row r="881" spans="1:33" hidden="1">
      <c r="A881" s="661">
        <v>21</v>
      </c>
      <c r="B881" s="252" t="s">
        <v>2678</v>
      </c>
      <c r="C881" s="463" t="s">
        <v>3222</v>
      </c>
      <c r="F881" s="252">
        <v>1</v>
      </c>
      <c r="G881" s="252" t="s">
        <v>866</v>
      </c>
      <c r="H881" s="296" t="s">
        <v>1364</v>
      </c>
      <c r="I881" s="252">
        <f>C88</f>
        <v>65420</v>
      </c>
      <c r="J881" s="253" t="s">
        <v>866</v>
      </c>
      <c r="K881" s="252">
        <f>(F881*I881)</f>
        <v>65420</v>
      </c>
      <c r="AG881" s="296" t="s">
        <v>2249</v>
      </c>
    </row>
    <row r="882" spans="1:33" hidden="1">
      <c r="A882" s="661">
        <v>22</v>
      </c>
      <c r="B882" s="252" t="s">
        <v>2679</v>
      </c>
      <c r="C882" s="463" t="s">
        <v>3222</v>
      </c>
      <c r="K882" s="358" t="s">
        <v>2046</v>
      </c>
      <c r="AG882" s="296" t="s">
        <v>2249</v>
      </c>
    </row>
    <row r="883" spans="1:33" hidden="1">
      <c r="A883" s="661">
        <v>23</v>
      </c>
      <c r="B883" s="274" t="s">
        <v>2680</v>
      </c>
      <c r="H883" s="296" t="s">
        <v>1562</v>
      </c>
      <c r="K883" s="252">
        <f>SUM(K880:K881)</f>
        <v>68455</v>
      </c>
      <c r="AG883" s="296" t="s">
        <v>2249</v>
      </c>
    </row>
    <row r="884" spans="1:33" hidden="1">
      <c r="A884" s="661"/>
      <c r="B884" s="252" t="s">
        <v>2681</v>
      </c>
      <c r="C884" s="407" t="s">
        <v>3222</v>
      </c>
      <c r="K884" s="358" t="s">
        <v>2046</v>
      </c>
      <c r="AG884" s="296" t="s">
        <v>2249</v>
      </c>
    </row>
    <row r="885" spans="1:33" hidden="1">
      <c r="A885" s="661"/>
      <c r="B885" s="252" t="s">
        <v>2682</v>
      </c>
      <c r="C885" s="407" t="s">
        <v>3222</v>
      </c>
      <c r="G885" s="252" t="s">
        <v>1548</v>
      </c>
      <c r="H885" s="296" t="s">
        <v>1563</v>
      </c>
      <c r="K885" s="296" t="s">
        <v>971</v>
      </c>
      <c r="AG885" s="296" t="s">
        <v>2249</v>
      </c>
    </row>
    <row r="886" spans="1:33" hidden="1">
      <c r="A886" s="661">
        <v>24</v>
      </c>
      <c r="B886" s="274" t="s">
        <v>2683</v>
      </c>
      <c r="C886" s="370">
        <v>18</v>
      </c>
      <c r="H886" s="358" t="s">
        <v>1579</v>
      </c>
      <c r="AG886" s="296" t="s">
        <v>2249</v>
      </c>
    </row>
    <row r="887" spans="1:33" ht="51" hidden="1" customHeight="1">
      <c r="A887" s="661">
        <v>25</v>
      </c>
      <c r="B887" s="260" t="s">
        <v>2684</v>
      </c>
      <c r="C887" s="370">
        <v>300</v>
      </c>
      <c r="F887" s="252">
        <v>1</v>
      </c>
      <c r="G887" s="252" t="s">
        <v>866</v>
      </c>
      <c r="H887" s="296" t="s">
        <v>1561</v>
      </c>
      <c r="I887" s="252">
        <f>C30</f>
        <v>3035</v>
      </c>
      <c r="J887" s="253" t="s">
        <v>866</v>
      </c>
      <c r="K887" s="252">
        <f>(F887*I887)</f>
        <v>3035</v>
      </c>
      <c r="AG887" s="296" t="s">
        <v>2249</v>
      </c>
    </row>
    <row r="888" spans="1:33" hidden="1">
      <c r="A888" s="661">
        <v>26</v>
      </c>
      <c r="B888" s="252" t="s">
        <v>2685</v>
      </c>
      <c r="C888" s="370">
        <v>15</v>
      </c>
      <c r="F888" s="252">
        <v>1</v>
      </c>
      <c r="G888" s="252" t="s">
        <v>866</v>
      </c>
      <c r="H888" s="296" t="s">
        <v>1364</v>
      </c>
      <c r="I888" s="252">
        <f>C89</f>
        <v>57165</v>
      </c>
      <c r="J888" s="253" t="s">
        <v>866</v>
      </c>
      <c r="K888" s="252">
        <f>(F888*I888)</f>
        <v>57165</v>
      </c>
      <c r="AG888" s="296" t="s">
        <v>2249</v>
      </c>
    </row>
    <row r="889" spans="1:33" ht="36" hidden="1" customHeight="1">
      <c r="A889" s="661">
        <v>27</v>
      </c>
      <c r="B889" s="260" t="s">
        <v>2686</v>
      </c>
      <c r="C889" s="370">
        <v>178</v>
      </c>
      <c r="K889" s="358" t="s">
        <v>2046</v>
      </c>
      <c r="AG889" s="296" t="s">
        <v>2249</v>
      </c>
    </row>
    <row r="890" spans="1:33" ht="41.25" hidden="1" customHeight="1">
      <c r="A890" s="661"/>
      <c r="B890" s="260" t="s">
        <v>2687</v>
      </c>
      <c r="C890" s="370">
        <v>1120</v>
      </c>
      <c r="H890" s="296" t="s">
        <v>1564</v>
      </c>
      <c r="K890" s="252">
        <f>SUM(K887:K888)</f>
        <v>60200</v>
      </c>
      <c r="AG890" s="296" t="s">
        <v>2249</v>
      </c>
    </row>
    <row r="891" spans="1:33" ht="39" hidden="1" customHeight="1">
      <c r="A891" s="661"/>
      <c r="B891" s="258" t="s">
        <v>2688</v>
      </c>
      <c r="K891" s="358" t="s">
        <v>2046</v>
      </c>
      <c r="AG891" s="296" t="s">
        <v>2249</v>
      </c>
    </row>
    <row r="892" spans="1:33" hidden="1">
      <c r="A892" s="661"/>
      <c r="B892" s="260" t="s">
        <v>3404</v>
      </c>
      <c r="C892" s="407" t="s">
        <v>3222</v>
      </c>
      <c r="AG892" s="296" t="s">
        <v>2249</v>
      </c>
    </row>
    <row r="893" spans="1:33" hidden="1">
      <c r="A893" s="661"/>
      <c r="B893" s="260" t="s">
        <v>2547</v>
      </c>
      <c r="C893" s="407" t="s">
        <v>3222</v>
      </c>
      <c r="F893" s="253" t="s">
        <v>561</v>
      </c>
      <c r="G893" s="252" t="s">
        <v>2241</v>
      </c>
      <c r="H893" s="296" t="s">
        <v>252</v>
      </c>
      <c r="AG893" s="296" t="s">
        <v>2249</v>
      </c>
    </row>
    <row r="894" spans="1:33" hidden="1">
      <c r="A894" s="661"/>
      <c r="B894" s="260" t="s">
        <v>2548</v>
      </c>
      <c r="C894" s="407" t="s">
        <v>3222</v>
      </c>
      <c r="H894" s="296" t="s">
        <v>253</v>
      </c>
      <c r="AG894" s="296" t="s">
        <v>2249</v>
      </c>
    </row>
    <row r="895" spans="1:33" ht="31.5" hidden="1">
      <c r="A895" s="661"/>
      <c r="B895" s="260" t="s">
        <v>2549</v>
      </c>
      <c r="C895" s="370">
        <v>120</v>
      </c>
      <c r="H895" s="296" t="s">
        <v>1463</v>
      </c>
      <c r="AG895" s="296" t="s">
        <v>2249</v>
      </c>
    </row>
    <row r="896" spans="1:33" hidden="1">
      <c r="A896" s="661"/>
      <c r="B896" s="258" t="s">
        <v>2550</v>
      </c>
      <c r="H896" s="358" t="s">
        <v>1579</v>
      </c>
      <c r="AG896" s="296" t="s">
        <v>2249</v>
      </c>
    </row>
    <row r="897" spans="1:33" hidden="1">
      <c r="A897" s="661"/>
      <c r="B897" s="260" t="s">
        <v>2551</v>
      </c>
      <c r="C897" s="370">
        <v>45</v>
      </c>
      <c r="H897" s="296" t="s">
        <v>89</v>
      </c>
    </row>
    <row r="898" spans="1:33" hidden="1">
      <c r="A898" s="661"/>
      <c r="B898" s="260" t="s">
        <v>2552</v>
      </c>
      <c r="C898" s="370">
        <v>18</v>
      </c>
      <c r="H898" s="296" t="s">
        <v>90</v>
      </c>
    </row>
    <row r="899" spans="1:33" hidden="1">
      <c r="A899" s="661"/>
      <c r="B899" s="260" t="s">
        <v>2553</v>
      </c>
      <c r="C899" s="370">
        <v>450</v>
      </c>
      <c r="J899" s="253" t="s">
        <v>1579</v>
      </c>
    </row>
    <row r="900" spans="1:33" hidden="1">
      <c r="A900" s="661"/>
      <c r="B900" s="260" t="s">
        <v>2554</v>
      </c>
      <c r="C900" s="370">
        <v>650</v>
      </c>
      <c r="H900" s="296" t="s">
        <v>1168</v>
      </c>
    </row>
    <row r="901" spans="1:33" ht="47.25" hidden="1">
      <c r="A901" s="661"/>
      <c r="B901" s="260" t="s">
        <v>2555</v>
      </c>
      <c r="C901" s="370">
        <v>5000</v>
      </c>
      <c r="H901" s="296" t="s">
        <v>1997</v>
      </c>
      <c r="K901" s="400">
        <v>2.4299999999999999E-2</v>
      </c>
    </row>
    <row r="902" spans="1:33" ht="63" hidden="1">
      <c r="A902" s="661"/>
      <c r="B902" s="260" t="s">
        <v>2574</v>
      </c>
      <c r="C902" s="370">
        <v>6750</v>
      </c>
      <c r="J902" s="253" t="s">
        <v>971</v>
      </c>
      <c r="K902" s="358" t="s">
        <v>1579</v>
      </c>
    </row>
    <row r="903" spans="1:33" ht="47.25" hidden="1">
      <c r="A903" s="661"/>
      <c r="B903" s="260" t="s">
        <v>2454</v>
      </c>
      <c r="C903" s="370">
        <v>5800</v>
      </c>
      <c r="H903" s="296" t="s">
        <v>1998</v>
      </c>
      <c r="J903" s="569" t="s">
        <v>971</v>
      </c>
      <c r="K903" s="400">
        <v>1.47E-2</v>
      </c>
    </row>
    <row r="904" spans="1:33" hidden="1">
      <c r="A904" s="661"/>
      <c r="B904" s="260" t="s">
        <v>2455</v>
      </c>
      <c r="H904" s="296" t="s">
        <v>1758</v>
      </c>
      <c r="J904" s="253" t="s">
        <v>971</v>
      </c>
      <c r="K904" s="400">
        <v>4.5999999999999999E-3</v>
      </c>
    </row>
    <row r="905" spans="1:33" ht="47.25" hidden="1">
      <c r="A905" s="661"/>
      <c r="B905" s="260" t="s">
        <v>2456</v>
      </c>
      <c r="K905" s="358" t="s">
        <v>1579</v>
      </c>
    </row>
    <row r="906" spans="1:33" ht="47.25" hidden="1">
      <c r="A906" s="661"/>
      <c r="B906" s="260" t="s">
        <v>2456</v>
      </c>
      <c r="K906" s="400">
        <v>1.9300000000000001E-2</v>
      </c>
    </row>
    <row r="907" spans="1:33" ht="47.25" hidden="1">
      <c r="A907" s="661"/>
      <c r="B907" s="260" t="s">
        <v>2469</v>
      </c>
      <c r="K907" s="358" t="s">
        <v>1579</v>
      </c>
    </row>
    <row r="908" spans="1:33" hidden="1">
      <c r="A908" s="661"/>
      <c r="B908" s="260" t="s">
        <v>2470</v>
      </c>
    </row>
    <row r="909" spans="1:33" hidden="1">
      <c r="A909" s="661"/>
      <c r="B909" s="260" t="s">
        <v>2518</v>
      </c>
    </row>
    <row r="910" spans="1:33" hidden="1">
      <c r="A910" s="661"/>
      <c r="B910" s="260" t="s">
        <v>3420</v>
      </c>
      <c r="F910" s="400">
        <v>1.14E-2</v>
      </c>
      <c r="G910" s="252" t="s">
        <v>866</v>
      </c>
      <c r="H910" s="296" t="s">
        <v>305</v>
      </c>
      <c r="I910" s="252">
        <f>C88</f>
        <v>65420</v>
      </c>
      <c r="J910" s="253" t="s">
        <v>866</v>
      </c>
      <c r="K910" s="252">
        <f>(F910*I910)</f>
        <v>745.79</v>
      </c>
      <c r="AG910" s="296" t="s">
        <v>2249</v>
      </c>
    </row>
    <row r="911" spans="1:33" hidden="1">
      <c r="A911" s="661"/>
      <c r="B911" s="260" t="s">
        <v>2532</v>
      </c>
      <c r="F911" s="400">
        <v>2.4299999999999999E-2</v>
      </c>
      <c r="G911" s="252" t="s">
        <v>866</v>
      </c>
      <c r="H911" s="296" t="s">
        <v>306</v>
      </c>
      <c r="I911" s="252">
        <f>C89</f>
        <v>57165</v>
      </c>
      <c r="J911" s="253" t="s">
        <v>866</v>
      </c>
      <c r="K911" s="252">
        <f>(F911*I911)</f>
        <v>1389.11</v>
      </c>
      <c r="AG911" s="296" t="s">
        <v>2249</v>
      </c>
    </row>
    <row r="912" spans="1:33" hidden="1">
      <c r="A912" s="661"/>
      <c r="B912" s="260" t="s">
        <v>2533</v>
      </c>
      <c r="F912" s="400">
        <v>1.9300000000000001E-2</v>
      </c>
      <c r="G912" s="252" t="s">
        <v>866</v>
      </c>
      <c r="H912" s="296" t="s">
        <v>307</v>
      </c>
      <c r="I912" s="252">
        <f>C90</f>
        <v>63870</v>
      </c>
      <c r="J912" s="253" t="s">
        <v>866</v>
      </c>
      <c r="K912" s="252">
        <f>(F912*I912)</f>
        <v>1232.69</v>
      </c>
      <c r="AG912" s="296" t="s">
        <v>2249</v>
      </c>
    </row>
    <row r="913" spans="1:33" hidden="1">
      <c r="A913" s="661"/>
      <c r="B913" s="260" t="s">
        <v>2534</v>
      </c>
      <c r="F913" s="316"/>
      <c r="H913" s="296" t="s">
        <v>443</v>
      </c>
      <c r="I913" s="296" t="s">
        <v>971</v>
      </c>
      <c r="K913" s="296" t="s">
        <v>971</v>
      </c>
      <c r="AG913" s="296" t="s">
        <v>2249</v>
      </c>
    </row>
    <row r="914" spans="1:33" hidden="1">
      <c r="A914" s="661"/>
      <c r="B914" s="260" t="s">
        <v>2535</v>
      </c>
      <c r="F914" s="316">
        <v>1.823</v>
      </c>
      <c r="G914" s="252" t="s">
        <v>606</v>
      </c>
      <c r="H914" s="296" t="s">
        <v>444</v>
      </c>
      <c r="I914" s="252">
        <f>C31</f>
        <v>342</v>
      </c>
      <c r="J914" s="253" t="s">
        <v>606</v>
      </c>
      <c r="K914" s="252">
        <f t="shared" ref="K914:K920" si="51">(F914*I914)</f>
        <v>623.47</v>
      </c>
      <c r="AG914" s="296" t="s">
        <v>2249</v>
      </c>
    </row>
    <row r="915" spans="1:33" hidden="1">
      <c r="A915" s="661"/>
      <c r="B915" s="260" t="s">
        <v>2536</v>
      </c>
      <c r="F915" s="252">
        <v>1</v>
      </c>
      <c r="G915" s="252" t="s">
        <v>766</v>
      </c>
      <c r="H915" s="296" t="s">
        <v>1456</v>
      </c>
      <c r="I915" s="252">
        <f>C576</f>
        <v>30</v>
      </c>
      <c r="J915" s="253" t="s">
        <v>865</v>
      </c>
      <c r="K915" s="252">
        <f t="shared" si="51"/>
        <v>30</v>
      </c>
      <c r="AG915" s="296" t="s">
        <v>2249</v>
      </c>
    </row>
    <row r="916" spans="1:33" ht="31.5" hidden="1">
      <c r="A916" s="661"/>
      <c r="B916" s="260" t="s">
        <v>2537</v>
      </c>
      <c r="F916" s="252">
        <v>3</v>
      </c>
      <c r="G916" s="252" t="s">
        <v>865</v>
      </c>
      <c r="H916" s="296" t="s">
        <v>1457</v>
      </c>
      <c r="I916" s="252">
        <f>C278</f>
        <v>45</v>
      </c>
      <c r="J916" s="253" t="s">
        <v>865</v>
      </c>
      <c r="K916" s="252">
        <f t="shared" si="51"/>
        <v>135</v>
      </c>
      <c r="AG916" s="296" t="s">
        <v>2249</v>
      </c>
    </row>
    <row r="917" spans="1:33" ht="31.5" hidden="1">
      <c r="A917" s="661"/>
      <c r="B917" s="260" t="s">
        <v>2538</v>
      </c>
      <c r="F917" s="252">
        <v>2</v>
      </c>
      <c r="G917" s="252" t="s">
        <v>865</v>
      </c>
      <c r="H917" s="296" t="s">
        <v>1458</v>
      </c>
      <c r="I917" s="252">
        <f>C283</f>
        <v>30</v>
      </c>
      <c r="J917" s="253" t="s">
        <v>865</v>
      </c>
      <c r="K917" s="252">
        <f t="shared" si="51"/>
        <v>60</v>
      </c>
      <c r="AG917" s="296" t="s">
        <v>2249</v>
      </c>
    </row>
    <row r="918" spans="1:33" ht="31.5" hidden="1">
      <c r="A918" s="661"/>
      <c r="B918" s="260" t="s">
        <v>2539</v>
      </c>
      <c r="F918" s="252">
        <v>1</v>
      </c>
      <c r="G918" s="252" t="s">
        <v>865</v>
      </c>
      <c r="H918" s="296" t="s">
        <v>1459</v>
      </c>
      <c r="I918" s="252">
        <f>C285</f>
        <v>95</v>
      </c>
      <c r="J918" s="253" t="s">
        <v>865</v>
      </c>
      <c r="K918" s="252">
        <f t="shared" si="51"/>
        <v>95</v>
      </c>
      <c r="AG918" s="296" t="s">
        <v>2249</v>
      </c>
    </row>
    <row r="919" spans="1:33" hidden="1">
      <c r="A919" s="661"/>
      <c r="B919" s="260" t="s">
        <v>2540</v>
      </c>
      <c r="F919" s="252">
        <v>1</v>
      </c>
      <c r="G919" s="252" t="s">
        <v>865</v>
      </c>
      <c r="H919" s="296" t="s">
        <v>1460</v>
      </c>
      <c r="I919" s="252">
        <f>C287</f>
        <v>8</v>
      </c>
      <c r="J919" s="253" t="s">
        <v>865</v>
      </c>
      <c r="K919" s="252">
        <f t="shared" si="51"/>
        <v>8</v>
      </c>
      <c r="AG919" s="296" t="s">
        <v>2249</v>
      </c>
    </row>
    <row r="920" spans="1:33" hidden="1">
      <c r="A920" s="661"/>
      <c r="B920" s="260" t="s">
        <v>2569</v>
      </c>
      <c r="F920" s="252">
        <v>1</v>
      </c>
      <c r="G920" s="252" t="s">
        <v>865</v>
      </c>
      <c r="H920" s="296" t="s">
        <v>1973</v>
      </c>
      <c r="I920" s="252">
        <f>D576</f>
        <v>25</v>
      </c>
      <c r="J920" s="253" t="s">
        <v>865</v>
      </c>
      <c r="K920" s="252">
        <f t="shared" si="51"/>
        <v>25</v>
      </c>
      <c r="AG920" s="296" t="s">
        <v>2249</v>
      </c>
    </row>
    <row r="921" spans="1:33" hidden="1">
      <c r="A921" s="661"/>
      <c r="B921" s="260" t="s">
        <v>2570</v>
      </c>
      <c r="K921" s="358" t="s">
        <v>1579</v>
      </c>
      <c r="AG921" s="296" t="s">
        <v>2249</v>
      </c>
    </row>
    <row r="922" spans="1:33" ht="31.5" hidden="1">
      <c r="A922" s="661"/>
      <c r="B922" s="260" t="s">
        <v>2571</v>
      </c>
      <c r="H922" s="296" t="s">
        <v>1461</v>
      </c>
      <c r="K922" s="252">
        <f>SUM(K910:K920)</f>
        <v>4344.0600000000004</v>
      </c>
      <c r="AG922" s="296" t="s">
        <v>2249</v>
      </c>
    </row>
    <row r="923" spans="1:33" hidden="1">
      <c r="A923" s="661"/>
      <c r="B923" s="260" t="s">
        <v>2965</v>
      </c>
      <c r="K923" s="358" t="s">
        <v>1579</v>
      </c>
      <c r="AG923" s="296" t="s">
        <v>2249</v>
      </c>
    </row>
    <row r="924" spans="1:33" hidden="1">
      <c r="A924" s="661"/>
      <c r="B924" s="260" t="s">
        <v>2966</v>
      </c>
      <c r="H924" s="296" t="s">
        <v>549</v>
      </c>
      <c r="K924" s="252">
        <f>K922/F914</f>
        <v>2382.92</v>
      </c>
      <c r="AG924" s="296" t="s">
        <v>2249</v>
      </c>
    </row>
    <row r="925" spans="1:33" hidden="1">
      <c r="A925" s="661"/>
      <c r="B925" s="260" t="s">
        <v>2967</v>
      </c>
      <c r="F925" s="296" t="s">
        <v>971</v>
      </c>
    </row>
    <row r="926" spans="1:33" hidden="1">
      <c r="A926" s="661"/>
      <c r="B926" s="260" t="s">
        <v>2968</v>
      </c>
      <c r="K926" s="358" t="s">
        <v>2046</v>
      </c>
      <c r="AG926" s="296" t="s">
        <v>2249</v>
      </c>
    </row>
    <row r="927" spans="1:33" hidden="1">
      <c r="A927" s="661"/>
      <c r="B927" s="260" t="s">
        <v>2969</v>
      </c>
    </row>
    <row r="928" spans="1:33" hidden="1">
      <c r="A928" s="661"/>
      <c r="B928" s="260" t="s">
        <v>2970</v>
      </c>
    </row>
    <row r="929" spans="1:33" hidden="1">
      <c r="A929" s="661"/>
      <c r="B929" s="260" t="s">
        <v>2971</v>
      </c>
      <c r="F929" s="253" t="s">
        <v>1333</v>
      </c>
      <c r="G929" s="252" t="s">
        <v>2241</v>
      </c>
      <c r="H929" s="296" t="s">
        <v>252</v>
      </c>
      <c r="AG929" s="296" t="s">
        <v>2249</v>
      </c>
    </row>
    <row r="930" spans="1:33" ht="16.5" hidden="1" customHeight="1">
      <c r="A930" s="661"/>
      <c r="B930" s="260" t="s">
        <v>2972</v>
      </c>
      <c r="H930" s="296" t="s">
        <v>253</v>
      </c>
      <c r="AG930" s="296" t="s">
        <v>2249</v>
      </c>
    </row>
    <row r="931" spans="1:33" ht="15.75" hidden="1" customHeight="1">
      <c r="A931" s="661"/>
      <c r="B931" s="260" t="s">
        <v>2973</v>
      </c>
      <c r="H931" s="296" t="s">
        <v>1464</v>
      </c>
      <c r="AG931" s="296" t="s">
        <v>2249</v>
      </c>
    </row>
    <row r="932" spans="1:33" hidden="1">
      <c r="A932" s="661"/>
      <c r="B932" s="260" t="s">
        <v>2974</v>
      </c>
      <c r="H932" s="358" t="s">
        <v>1579</v>
      </c>
      <c r="AG932" s="296" t="s">
        <v>2249</v>
      </c>
    </row>
    <row r="933" spans="1:33" hidden="1">
      <c r="A933" s="661"/>
      <c r="B933" s="260" t="s">
        <v>2975</v>
      </c>
    </row>
    <row r="934" spans="1:33" ht="20.25" hidden="1" customHeight="1">
      <c r="A934" s="661"/>
      <c r="B934" s="260" t="s">
        <v>2976</v>
      </c>
      <c r="H934" s="296" t="s">
        <v>641</v>
      </c>
    </row>
    <row r="935" spans="1:33" hidden="1">
      <c r="A935" s="661"/>
      <c r="B935" s="260" t="s">
        <v>2605</v>
      </c>
      <c r="H935" s="296" t="s">
        <v>642</v>
      </c>
    </row>
    <row r="936" spans="1:33" hidden="1">
      <c r="A936" s="661"/>
      <c r="B936" s="260" t="s">
        <v>2606</v>
      </c>
      <c r="J936" s="253" t="s">
        <v>1579</v>
      </c>
    </row>
    <row r="937" spans="1:33" hidden="1">
      <c r="A937" s="661"/>
      <c r="B937" s="260" t="s">
        <v>2607</v>
      </c>
      <c r="H937" s="296" t="s">
        <v>643</v>
      </c>
    </row>
    <row r="938" spans="1:33" hidden="1">
      <c r="A938" s="661"/>
      <c r="B938" s="260" t="s">
        <v>2608</v>
      </c>
      <c r="H938" s="296" t="s">
        <v>644</v>
      </c>
      <c r="K938" s="400">
        <v>2.1999999999999999E-2</v>
      </c>
    </row>
    <row r="939" spans="1:33" hidden="1">
      <c r="A939" s="661"/>
      <c r="B939" s="260" t="s">
        <v>2609</v>
      </c>
      <c r="J939" s="253" t="s">
        <v>971</v>
      </c>
      <c r="K939" s="358" t="s">
        <v>1579</v>
      </c>
    </row>
    <row r="940" spans="1:33" ht="31.5" hidden="1">
      <c r="A940" s="661"/>
      <c r="B940" s="260" t="s">
        <v>2669</v>
      </c>
      <c r="H940" s="296" t="s">
        <v>856</v>
      </c>
      <c r="J940" s="569" t="s">
        <v>971</v>
      </c>
      <c r="K940" s="400">
        <v>1.3100000000000001E-2</v>
      </c>
    </row>
    <row r="941" spans="1:33" ht="31.5" hidden="1">
      <c r="A941" s="661"/>
      <c r="B941" s="260" t="s">
        <v>3115</v>
      </c>
      <c r="H941" s="296" t="s">
        <v>2143</v>
      </c>
      <c r="J941" s="253" t="s">
        <v>971</v>
      </c>
      <c r="K941" s="400">
        <v>3.3999999999999998E-3</v>
      </c>
    </row>
    <row r="942" spans="1:33" ht="31.5" hidden="1">
      <c r="A942" s="661"/>
      <c r="B942" s="260" t="s">
        <v>2945</v>
      </c>
      <c r="K942" s="358" t="s">
        <v>1579</v>
      </c>
    </row>
    <row r="943" spans="1:33" ht="31.5" hidden="1">
      <c r="A943" s="661"/>
      <c r="B943" s="260" t="s">
        <v>2946</v>
      </c>
      <c r="K943" s="400">
        <v>1.6500000000000001E-2</v>
      </c>
    </row>
    <row r="944" spans="1:33" hidden="1">
      <c r="A944" s="661"/>
      <c r="B944" s="260" t="s">
        <v>2947</v>
      </c>
      <c r="K944" s="358" t="s">
        <v>1579</v>
      </c>
    </row>
    <row r="945" spans="1:33" hidden="1">
      <c r="A945" s="661"/>
      <c r="B945" s="260" t="s">
        <v>2948</v>
      </c>
      <c r="F945" s="400">
        <v>1.15E-2</v>
      </c>
      <c r="G945" s="252" t="s">
        <v>866</v>
      </c>
      <c r="H945" s="296" t="s">
        <v>305</v>
      </c>
      <c r="I945" s="252">
        <f>C88</f>
        <v>65420</v>
      </c>
      <c r="J945" s="253" t="s">
        <v>866</v>
      </c>
      <c r="K945" s="252">
        <f>(F945*I945)</f>
        <v>752.33</v>
      </c>
      <c r="AG945" s="296" t="s">
        <v>2249</v>
      </c>
    </row>
    <row r="946" spans="1:33" hidden="1">
      <c r="A946" s="661"/>
      <c r="B946" s="260" t="s">
        <v>2949</v>
      </c>
      <c r="F946" s="400">
        <v>2.1999999999999999E-2</v>
      </c>
      <c r="G946" s="252" t="s">
        <v>866</v>
      </c>
      <c r="H946" s="296" t="s">
        <v>306</v>
      </c>
      <c r="I946" s="252">
        <f>C89</f>
        <v>57165</v>
      </c>
      <c r="J946" s="253" t="s">
        <v>866</v>
      </c>
      <c r="K946" s="252">
        <f>(F946*I946)</f>
        <v>1257.6300000000001</v>
      </c>
      <c r="AG946" s="296" t="s">
        <v>2249</v>
      </c>
    </row>
    <row r="947" spans="1:33" hidden="1">
      <c r="A947" s="661"/>
      <c r="B947" s="260" t="s">
        <v>2950</v>
      </c>
      <c r="F947" s="400">
        <v>1.6500000000000001E-2</v>
      </c>
      <c r="G947" s="252" t="s">
        <v>866</v>
      </c>
      <c r="H947" s="296" t="s">
        <v>307</v>
      </c>
      <c r="I947" s="252">
        <f>C90</f>
        <v>63870</v>
      </c>
      <c r="J947" s="253" t="s">
        <v>866</v>
      </c>
      <c r="K947" s="252">
        <f>(F947*I947)</f>
        <v>1053.8599999999999</v>
      </c>
      <c r="AG947" s="296" t="s">
        <v>2249</v>
      </c>
    </row>
    <row r="948" spans="1:33" hidden="1">
      <c r="A948" s="661"/>
      <c r="B948" s="260" t="s">
        <v>2412</v>
      </c>
      <c r="F948" s="400"/>
      <c r="H948" s="296" t="s">
        <v>443</v>
      </c>
      <c r="I948" s="296" t="s">
        <v>971</v>
      </c>
      <c r="K948" s="296" t="s">
        <v>971</v>
      </c>
      <c r="AG948" s="296" t="s">
        <v>2249</v>
      </c>
    </row>
    <row r="949" spans="1:33" ht="31.5" hidden="1">
      <c r="A949" s="661"/>
      <c r="B949" s="260" t="s">
        <v>2413</v>
      </c>
      <c r="F949" s="400">
        <v>1.64</v>
      </c>
      <c r="G949" s="252" t="s">
        <v>606</v>
      </c>
      <c r="H949" s="296" t="s">
        <v>444</v>
      </c>
      <c r="I949" s="252">
        <f>C31</f>
        <v>342</v>
      </c>
      <c r="J949" s="253" t="s">
        <v>606</v>
      </c>
      <c r="K949" s="252">
        <f t="shared" ref="K949:K955" si="52">(F949*I949)</f>
        <v>560.88</v>
      </c>
      <c r="AG949" s="296" t="s">
        <v>2249</v>
      </c>
    </row>
    <row r="950" spans="1:33" ht="31.5" hidden="1">
      <c r="A950" s="661"/>
      <c r="B950" s="260" t="s">
        <v>3116</v>
      </c>
      <c r="F950" s="252">
        <v>1</v>
      </c>
      <c r="G950" s="252" t="s">
        <v>766</v>
      </c>
      <c r="H950" s="296" t="s">
        <v>1456</v>
      </c>
      <c r="I950" s="252">
        <f>C576</f>
        <v>30</v>
      </c>
      <c r="J950" s="253" t="s">
        <v>865</v>
      </c>
      <c r="K950" s="252">
        <f t="shared" si="52"/>
        <v>30</v>
      </c>
      <c r="AG950" s="296" t="s">
        <v>2249</v>
      </c>
    </row>
    <row r="951" spans="1:33" ht="31.5" hidden="1">
      <c r="A951" s="661"/>
      <c r="B951" s="260" t="s">
        <v>3117</v>
      </c>
      <c r="F951" s="252">
        <v>3</v>
      </c>
      <c r="G951" s="252" t="s">
        <v>865</v>
      </c>
      <c r="H951" s="296" t="s">
        <v>1457</v>
      </c>
      <c r="I951" s="252">
        <f>C278</f>
        <v>45</v>
      </c>
      <c r="J951" s="253" t="s">
        <v>865</v>
      </c>
      <c r="K951" s="252">
        <f t="shared" si="52"/>
        <v>135</v>
      </c>
      <c r="AG951" s="296" t="s">
        <v>2249</v>
      </c>
    </row>
    <row r="952" spans="1:33" ht="31.5" hidden="1">
      <c r="A952" s="661"/>
      <c r="B952" s="260" t="s">
        <v>3127</v>
      </c>
      <c r="F952" s="252">
        <v>2</v>
      </c>
      <c r="G952" s="252" t="s">
        <v>865</v>
      </c>
      <c r="H952" s="296" t="s">
        <v>1458</v>
      </c>
      <c r="I952" s="252">
        <f>C283</f>
        <v>30</v>
      </c>
      <c r="J952" s="253" t="s">
        <v>865</v>
      </c>
      <c r="K952" s="252">
        <f t="shared" si="52"/>
        <v>60</v>
      </c>
      <c r="AG952" s="296" t="s">
        <v>318</v>
      </c>
    </row>
    <row r="953" spans="1:33" ht="31.5" hidden="1">
      <c r="A953" s="661"/>
      <c r="B953" s="260" t="s">
        <v>3128</v>
      </c>
      <c r="F953" s="252">
        <v>1</v>
      </c>
      <c r="G953" s="252" t="s">
        <v>865</v>
      </c>
      <c r="H953" s="296" t="s">
        <v>1459</v>
      </c>
      <c r="I953" s="252">
        <f>C285</f>
        <v>95</v>
      </c>
      <c r="J953" s="253" t="s">
        <v>865</v>
      </c>
      <c r="K953" s="252">
        <f t="shared" si="52"/>
        <v>95</v>
      </c>
    </row>
    <row r="954" spans="1:33" ht="31.5" hidden="1">
      <c r="A954" s="661"/>
      <c r="B954" s="260" t="s">
        <v>3129</v>
      </c>
      <c r="F954" s="252">
        <v>1</v>
      </c>
      <c r="G954" s="252" t="s">
        <v>865</v>
      </c>
      <c r="H954" s="296" t="s">
        <v>1460</v>
      </c>
      <c r="I954" s="252">
        <f>C287</f>
        <v>8</v>
      </c>
      <c r="J954" s="253" t="s">
        <v>865</v>
      </c>
      <c r="K954" s="252">
        <f t="shared" si="52"/>
        <v>8</v>
      </c>
    </row>
    <row r="955" spans="1:33" ht="31.5" hidden="1">
      <c r="A955" s="661"/>
      <c r="B955" s="260" t="s">
        <v>3130</v>
      </c>
      <c r="F955" s="252">
        <v>1</v>
      </c>
      <c r="G955" s="252" t="s">
        <v>865</v>
      </c>
      <c r="H955" s="296" t="s">
        <v>1973</v>
      </c>
      <c r="I955" s="252">
        <f>D576</f>
        <v>25</v>
      </c>
      <c r="J955" s="253" t="s">
        <v>865</v>
      </c>
      <c r="K955" s="252">
        <f t="shared" si="52"/>
        <v>25</v>
      </c>
      <c r="AG955" s="296" t="s">
        <v>2249</v>
      </c>
    </row>
    <row r="956" spans="1:33" ht="31.5" hidden="1">
      <c r="A956" s="661"/>
      <c r="B956" s="260" t="s">
        <v>3131</v>
      </c>
      <c r="K956" s="358" t="s">
        <v>1579</v>
      </c>
      <c r="AG956" s="296" t="s">
        <v>2249</v>
      </c>
    </row>
    <row r="957" spans="1:33" ht="31.5" hidden="1">
      <c r="A957" s="661"/>
      <c r="B957" s="260" t="s">
        <v>3132</v>
      </c>
      <c r="H957" s="296" t="s">
        <v>2144</v>
      </c>
      <c r="K957" s="252">
        <f>SUM(K945:K955)</f>
        <v>3977.7</v>
      </c>
      <c r="AG957" s="296" t="s">
        <v>2249</v>
      </c>
    </row>
    <row r="958" spans="1:33" ht="31.5" hidden="1">
      <c r="A958" s="661"/>
      <c r="B958" s="260" t="s">
        <v>3133</v>
      </c>
      <c r="K958" s="358" t="s">
        <v>1579</v>
      </c>
      <c r="AG958" s="296" t="s">
        <v>2249</v>
      </c>
    </row>
    <row r="959" spans="1:33" ht="31.5" hidden="1">
      <c r="A959" s="661"/>
      <c r="B959" s="260" t="s">
        <v>3183</v>
      </c>
      <c r="H959" s="296" t="s">
        <v>549</v>
      </c>
      <c r="K959" s="252">
        <f>K957/F949</f>
        <v>2425.4299999999998</v>
      </c>
      <c r="AG959" s="296" t="s">
        <v>2249</v>
      </c>
    </row>
    <row r="960" spans="1:33" ht="31.5" hidden="1">
      <c r="A960" s="661"/>
      <c r="B960" s="260" t="s">
        <v>3184</v>
      </c>
      <c r="K960" s="358" t="s">
        <v>2046</v>
      </c>
      <c r="AG960" s="296" t="s">
        <v>2249</v>
      </c>
    </row>
    <row r="961" spans="1:11" ht="31.5" hidden="1">
      <c r="A961" s="661"/>
      <c r="B961" s="260" t="s">
        <v>3185</v>
      </c>
      <c r="F961" s="253" t="s">
        <v>1332</v>
      </c>
      <c r="G961" s="252" t="s">
        <v>2241</v>
      </c>
      <c r="H961" s="296" t="s">
        <v>252</v>
      </c>
    </row>
    <row r="962" spans="1:11" ht="31.5" hidden="1">
      <c r="A962" s="661"/>
      <c r="B962" s="260" t="s">
        <v>2940</v>
      </c>
      <c r="H962" s="296" t="s">
        <v>253</v>
      </c>
    </row>
    <row r="963" spans="1:11" hidden="1">
      <c r="A963" s="661"/>
      <c r="B963" s="260" t="s">
        <v>2941</v>
      </c>
      <c r="H963" s="296" t="s">
        <v>1465</v>
      </c>
    </row>
    <row r="964" spans="1:11" hidden="1">
      <c r="A964" s="661"/>
      <c r="B964" s="260" t="s">
        <v>2942</v>
      </c>
      <c r="H964" s="358" t="s">
        <v>1579</v>
      </c>
    </row>
    <row r="965" spans="1:11" hidden="1">
      <c r="A965" s="661"/>
      <c r="B965" s="260" t="s">
        <v>2943</v>
      </c>
      <c r="H965" s="296" t="s">
        <v>2145</v>
      </c>
    </row>
    <row r="966" spans="1:11" hidden="1">
      <c r="A966" s="661"/>
      <c r="B966" s="260" t="s">
        <v>2944</v>
      </c>
      <c r="H966" s="296" t="s">
        <v>90</v>
      </c>
    </row>
    <row r="967" spans="1:11" hidden="1">
      <c r="A967" s="661"/>
      <c r="B967" s="260" t="s">
        <v>3158</v>
      </c>
      <c r="J967" s="253" t="s">
        <v>1579</v>
      </c>
    </row>
    <row r="968" spans="1:11" hidden="1">
      <c r="A968" s="661"/>
      <c r="B968" s="260" t="s">
        <v>3159</v>
      </c>
      <c r="H968" s="296" t="s">
        <v>2146</v>
      </c>
    </row>
    <row r="969" spans="1:11" hidden="1">
      <c r="A969" s="661"/>
      <c r="B969" s="260" t="s">
        <v>3160</v>
      </c>
      <c r="H969" s="296" t="s">
        <v>456</v>
      </c>
      <c r="K969" s="400">
        <v>1.1900000000000001E-2</v>
      </c>
    </row>
    <row r="970" spans="1:11" ht="31.5" hidden="1">
      <c r="A970" s="661"/>
      <c r="B970" s="260" t="s">
        <v>3161</v>
      </c>
      <c r="J970" s="253" t="s">
        <v>971</v>
      </c>
      <c r="K970" s="358" t="s">
        <v>1579</v>
      </c>
    </row>
    <row r="971" spans="1:11" ht="31.5" hidden="1">
      <c r="A971" s="661"/>
      <c r="B971" s="260" t="s">
        <v>2737</v>
      </c>
      <c r="H971" s="296" t="s">
        <v>457</v>
      </c>
      <c r="J971" s="569" t="s">
        <v>971</v>
      </c>
      <c r="K971" s="400">
        <v>1.18E-2</v>
      </c>
    </row>
    <row r="972" spans="1:11" ht="31.5" hidden="1">
      <c r="A972" s="661"/>
      <c r="B972" s="260" t="s">
        <v>2738</v>
      </c>
      <c r="H972" s="296" t="s">
        <v>246</v>
      </c>
      <c r="J972" s="253" t="s">
        <v>971</v>
      </c>
      <c r="K972" s="448" t="s">
        <v>1579</v>
      </c>
    </row>
    <row r="973" spans="1:11" hidden="1">
      <c r="A973" s="661"/>
      <c r="B973" s="260" t="s">
        <v>3088</v>
      </c>
    </row>
    <row r="974" spans="1:11" hidden="1">
      <c r="A974" s="661"/>
      <c r="B974" s="260" t="s">
        <v>3089</v>
      </c>
      <c r="F974" s="400">
        <v>1.14E-2</v>
      </c>
      <c r="G974" s="252" t="s">
        <v>866</v>
      </c>
      <c r="H974" s="296" t="s">
        <v>305</v>
      </c>
      <c r="I974" s="252">
        <f>C88</f>
        <v>65420</v>
      </c>
      <c r="J974" s="253" t="s">
        <v>866</v>
      </c>
      <c r="K974" s="252">
        <f>(F974*I974)</f>
        <v>745.79</v>
      </c>
    </row>
    <row r="975" spans="1:11" hidden="1">
      <c r="A975" s="661"/>
      <c r="B975" s="260" t="s">
        <v>3090</v>
      </c>
      <c r="F975" s="400">
        <v>1.1900000000000001E-2</v>
      </c>
      <c r="G975" s="252" t="s">
        <v>866</v>
      </c>
      <c r="H975" s="296" t="s">
        <v>306</v>
      </c>
      <c r="I975" s="252">
        <f>C89</f>
        <v>57165</v>
      </c>
      <c r="J975" s="253" t="s">
        <v>866</v>
      </c>
      <c r="K975" s="252">
        <f>(F975*I975)</f>
        <v>680.26</v>
      </c>
    </row>
    <row r="976" spans="1:11" hidden="1">
      <c r="A976" s="661"/>
      <c r="B976" s="260" t="s">
        <v>3348</v>
      </c>
      <c r="F976" s="400">
        <v>1.18E-2</v>
      </c>
      <c r="G976" s="252" t="s">
        <v>866</v>
      </c>
      <c r="H976" s="296" t="s">
        <v>307</v>
      </c>
      <c r="I976" s="252">
        <f>C90</f>
        <v>63870</v>
      </c>
      <c r="J976" s="253" t="s">
        <v>866</v>
      </c>
      <c r="K976" s="252">
        <f>(F976*I976)</f>
        <v>753.67</v>
      </c>
    </row>
    <row r="977" spans="1:33" hidden="1">
      <c r="A977" s="661"/>
      <c r="B977" s="260" t="s">
        <v>3349</v>
      </c>
      <c r="F977" s="400"/>
      <c r="H977" s="296" t="s">
        <v>443</v>
      </c>
      <c r="I977" s="296" t="s">
        <v>971</v>
      </c>
      <c r="K977" s="296" t="s">
        <v>971</v>
      </c>
    </row>
    <row r="978" spans="1:33" hidden="1">
      <c r="A978" s="661"/>
      <c r="B978" s="260" t="s">
        <v>2344</v>
      </c>
      <c r="F978" s="400">
        <v>1.2150000000000001</v>
      </c>
      <c r="G978" s="252" t="s">
        <v>606</v>
      </c>
      <c r="H978" s="296" t="s">
        <v>444</v>
      </c>
      <c r="I978" s="252">
        <f>C31</f>
        <v>342</v>
      </c>
      <c r="J978" s="253" t="s">
        <v>606</v>
      </c>
      <c r="K978" s="252">
        <f t="shared" ref="K978:K984" si="53">(F978*I978)</f>
        <v>415.53</v>
      </c>
    </row>
    <row r="979" spans="1:33" hidden="1">
      <c r="A979" s="661"/>
      <c r="B979" s="260" t="s">
        <v>2345</v>
      </c>
      <c r="F979" s="252">
        <v>1</v>
      </c>
      <c r="G979" s="252" t="s">
        <v>766</v>
      </c>
      <c r="H979" s="296" t="s">
        <v>1456</v>
      </c>
      <c r="I979" s="252">
        <f>C576</f>
        <v>30</v>
      </c>
      <c r="J979" s="253" t="s">
        <v>865</v>
      </c>
      <c r="K979" s="252">
        <f t="shared" si="53"/>
        <v>30</v>
      </c>
    </row>
    <row r="980" spans="1:33" hidden="1">
      <c r="A980" s="661"/>
      <c r="B980" s="260" t="s">
        <v>2346</v>
      </c>
      <c r="F980" s="252">
        <v>3</v>
      </c>
      <c r="G980" s="252" t="s">
        <v>865</v>
      </c>
      <c r="H980" s="296" t="s">
        <v>1457</v>
      </c>
      <c r="I980" s="252">
        <f>C278</f>
        <v>45</v>
      </c>
      <c r="J980" s="253" t="s">
        <v>865</v>
      </c>
      <c r="K980" s="252">
        <f t="shared" si="53"/>
        <v>135</v>
      </c>
    </row>
    <row r="981" spans="1:33" hidden="1">
      <c r="A981" s="661"/>
      <c r="B981" s="260" t="s">
        <v>2347</v>
      </c>
      <c r="F981" s="252">
        <v>2</v>
      </c>
      <c r="G981" s="252" t="s">
        <v>865</v>
      </c>
      <c r="H981" s="296" t="s">
        <v>1458</v>
      </c>
      <c r="I981" s="252">
        <f>C283</f>
        <v>30</v>
      </c>
      <c r="J981" s="253" t="s">
        <v>865</v>
      </c>
      <c r="K981" s="252">
        <f t="shared" si="53"/>
        <v>60</v>
      </c>
    </row>
    <row r="982" spans="1:33" hidden="1">
      <c r="A982" s="661"/>
      <c r="B982" s="260" t="s">
        <v>2877</v>
      </c>
      <c r="F982" s="252">
        <v>1</v>
      </c>
      <c r="G982" s="252" t="s">
        <v>865</v>
      </c>
      <c r="H982" s="296" t="s">
        <v>1459</v>
      </c>
      <c r="I982" s="252">
        <f>C285</f>
        <v>95</v>
      </c>
      <c r="J982" s="253" t="s">
        <v>865</v>
      </c>
      <c r="K982" s="252">
        <f t="shared" si="53"/>
        <v>95</v>
      </c>
    </row>
    <row r="983" spans="1:33" ht="31.5" hidden="1">
      <c r="A983" s="661"/>
      <c r="B983" s="260" t="s">
        <v>2878</v>
      </c>
      <c r="F983" s="252">
        <v>1</v>
      </c>
      <c r="G983" s="252" t="s">
        <v>865</v>
      </c>
      <c r="H983" s="296" t="s">
        <v>1460</v>
      </c>
      <c r="I983" s="252">
        <f>C287</f>
        <v>8</v>
      </c>
      <c r="J983" s="253" t="s">
        <v>865</v>
      </c>
      <c r="K983" s="252">
        <f t="shared" si="53"/>
        <v>8</v>
      </c>
    </row>
    <row r="984" spans="1:33" hidden="1">
      <c r="A984" s="661"/>
      <c r="B984" s="260" t="s">
        <v>2888</v>
      </c>
      <c r="F984" s="252">
        <v>1</v>
      </c>
      <c r="G984" s="252" t="s">
        <v>865</v>
      </c>
      <c r="H984" s="296" t="s">
        <v>1973</v>
      </c>
      <c r="I984" s="252">
        <f>D576</f>
        <v>25</v>
      </c>
      <c r="J984" s="253" t="s">
        <v>865</v>
      </c>
      <c r="K984" s="252">
        <f t="shared" si="53"/>
        <v>25</v>
      </c>
    </row>
    <row r="985" spans="1:33" hidden="1">
      <c r="A985" s="661"/>
      <c r="B985" s="260" t="s">
        <v>2889</v>
      </c>
      <c r="K985" s="358" t="s">
        <v>1579</v>
      </c>
    </row>
    <row r="986" spans="1:33" hidden="1">
      <c r="A986" s="661"/>
      <c r="B986" s="260" t="s">
        <v>3422</v>
      </c>
      <c r="H986" s="296" t="s">
        <v>458</v>
      </c>
      <c r="K986" s="252">
        <f>SUM(K974:K984)</f>
        <v>2948.25</v>
      </c>
    </row>
    <row r="987" spans="1:33" hidden="1">
      <c r="A987" s="661"/>
      <c r="B987" s="260" t="s">
        <v>3423</v>
      </c>
      <c r="K987" s="358" t="s">
        <v>1579</v>
      </c>
    </row>
    <row r="988" spans="1:33" hidden="1">
      <c r="A988" s="661"/>
      <c r="B988" s="260" t="s">
        <v>3424</v>
      </c>
      <c r="H988" s="296" t="s">
        <v>549</v>
      </c>
      <c r="K988" s="252">
        <f>K986/F978</f>
        <v>2426.54</v>
      </c>
    </row>
    <row r="989" spans="1:33" ht="31.5" hidden="1">
      <c r="A989" s="661"/>
      <c r="B989" s="260" t="s">
        <v>3186</v>
      </c>
      <c r="K989" s="358" t="s">
        <v>2046</v>
      </c>
    </row>
    <row r="990" spans="1:33" hidden="1">
      <c r="A990" s="661"/>
      <c r="B990" s="260" t="s">
        <v>3187</v>
      </c>
    </row>
    <row r="991" spans="1:33" hidden="1">
      <c r="A991" s="661"/>
      <c r="B991" s="260" t="s">
        <v>3188</v>
      </c>
      <c r="F991" s="253" t="s">
        <v>459</v>
      </c>
      <c r="G991" s="252" t="s">
        <v>2241</v>
      </c>
      <c r="H991" s="296" t="s">
        <v>2167</v>
      </c>
      <c r="AG991" s="296" t="s">
        <v>2249</v>
      </c>
    </row>
    <row r="992" spans="1:33" hidden="1">
      <c r="A992" s="661"/>
      <c r="B992" s="260" t="s">
        <v>3189</v>
      </c>
      <c r="H992" s="296" t="s">
        <v>2169</v>
      </c>
      <c r="AG992" s="296" t="s">
        <v>2249</v>
      </c>
    </row>
    <row r="993" spans="1:33" hidden="1">
      <c r="A993" s="661"/>
      <c r="B993" s="260" t="s">
        <v>3190</v>
      </c>
      <c r="H993" s="296" t="s">
        <v>2170</v>
      </c>
      <c r="AG993" s="296" t="s">
        <v>2249</v>
      </c>
    </row>
    <row r="994" spans="1:33" hidden="1">
      <c r="A994" s="661"/>
      <c r="B994" s="260" t="s">
        <v>3191</v>
      </c>
      <c r="H994" s="296" t="s">
        <v>2171</v>
      </c>
      <c r="AG994" s="296" t="s">
        <v>2249</v>
      </c>
    </row>
    <row r="995" spans="1:33" hidden="1">
      <c r="A995" s="661"/>
      <c r="B995" s="260" t="s">
        <v>3192</v>
      </c>
      <c r="H995" s="296" t="s">
        <v>2172</v>
      </c>
      <c r="AG995" s="296" t="s">
        <v>2249</v>
      </c>
    </row>
    <row r="996" spans="1:33" hidden="1">
      <c r="A996" s="661"/>
      <c r="B996" s="260" t="s">
        <v>2577</v>
      </c>
      <c r="H996" s="296" t="s">
        <v>2173</v>
      </c>
      <c r="AG996" s="296" t="s">
        <v>2249</v>
      </c>
    </row>
    <row r="997" spans="1:33" hidden="1">
      <c r="A997" s="661"/>
      <c r="B997" s="260" t="s">
        <v>2578</v>
      </c>
      <c r="H997" s="358" t="s">
        <v>1579</v>
      </c>
      <c r="AG997" s="296" t="s">
        <v>2249</v>
      </c>
    </row>
    <row r="998" spans="1:33" hidden="1">
      <c r="A998" s="661"/>
      <c r="B998" s="260" t="s">
        <v>2579</v>
      </c>
      <c r="H998" s="296" t="s">
        <v>641</v>
      </c>
      <c r="AG998" s="296" t="s">
        <v>2249</v>
      </c>
    </row>
    <row r="999" spans="1:33" ht="31.5" hidden="1">
      <c r="A999" s="661"/>
      <c r="B999" s="260" t="s">
        <v>2580</v>
      </c>
      <c r="H999" s="296" t="s">
        <v>2174</v>
      </c>
      <c r="AG999" s="296" t="s">
        <v>2249</v>
      </c>
    </row>
    <row r="1000" spans="1:33" ht="31.5" hidden="1">
      <c r="A1000" s="661"/>
      <c r="B1000" s="260" t="s">
        <v>2581</v>
      </c>
      <c r="J1000" s="253" t="s">
        <v>1579</v>
      </c>
      <c r="AG1000" s="296" t="s">
        <v>2249</v>
      </c>
    </row>
    <row r="1001" spans="1:33" ht="31.5" hidden="1">
      <c r="A1001" s="661"/>
      <c r="B1001" s="260" t="s">
        <v>2582</v>
      </c>
      <c r="H1001" s="296" t="s">
        <v>2175</v>
      </c>
      <c r="AG1001" s="296" t="s">
        <v>2249</v>
      </c>
    </row>
    <row r="1002" spans="1:33" ht="31.5" hidden="1">
      <c r="A1002" s="661"/>
      <c r="B1002" s="260" t="s">
        <v>2583</v>
      </c>
      <c r="H1002" s="296" t="s">
        <v>971</v>
      </c>
      <c r="I1002" s="296" t="s">
        <v>971</v>
      </c>
      <c r="K1002" s="443" t="s">
        <v>971</v>
      </c>
      <c r="AG1002" s="296" t="s">
        <v>2249</v>
      </c>
    </row>
    <row r="1003" spans="1:33" hidden="1">
      <c r="A1003" s="661"/>
      <c r="B1003" s="260" t="s">
        <v>2584</v>
      </c>
      <c r="J1003" s="253" t="s">
        <v>971</v>
      </c>
      <c r="K1003" s="296" t="s">
        <v>971</v>
      </c>
      <c r="AG1003" s="296" t="s">
        <v>2249</v>
      </c>
    </row>
    <row r="1004" spans="1:33" hidden="1">
      <c r="A1004" s="661"/>
      <c r="B1004" s="260" t="s">
        <v>2585</v>
      </c>
      <c r="H1004" s="296" t="s">
        <v>2102</v>
      </c>
      <c r="J1004" s="569" t="s">
        <v>971</v>
      </c>
      <c r="K1004" s="443" t="s">
        <v>971</v>
      </c>
      <c r="AG1004" s="296" t="s">
        <v>2249</v>
      </c>
    </row>
    <row r="1005" spans="1:33" hidden="1">
      <c r="A1005" s="661"/>
      <c r="B1005" s="260" t="s">
        <v>2566</v>
      </c>
      <c r="H1005" s="296" t="s">
        <v>111</v>
      </c>
      <c r="K1005" s="443" t="s">
        <v>1732</v>
      </c>
      <c r="AG1005" s="296" t="s">
        <v>2249</v>
      </c>
    </row>
    <row r="1006" spans="1:33" hidden="1">
      <c r="A1006" s="661"/>
      <c r="B1006" s="260" t="s">
        <v>2567</v>
      </c>
      <c r="K1006" s="296" t="s">
        <v>971</v>
      </c>
      <c r="AG1006" s="296" t="s">
        <v>2249</v>
      </c>
    </row>
    <row r="1007" spans="1:33" hidden="1">
      <c r="A1007" s="661"/>
      <c r="B1007" s="260" t="s">
        <v>2568</v>
      </c>
      <c r="K1007" s="443" t="s">
        <v>971</v>
      </c>
      <c r="AG1007" s="296" t="s">
        <v>2249</v>
      </c>
    </row>
    <row r="1008" spans="1:33" hidden="1">
      <c r="A1008" s="661"/>
      <c r="B1008" s="260" t="s">
        <v>2977</v>
      </c>
      <c r="K1008" s="296" t="s">
        <v>971</v>
      </c>
      <c r="AG1008" s="296" t="s">
        <v>2249</v>
      </c>
    </row>
    <row r="1009" spans="1:33" hidden="1">
      <c r="A1009" s="661"/>
      <c r="B1009" s="260" t="s">
        <v>2978</v>
      </c>
      <c r="F1009" s="253" t="s">
        <v>1466</v>
      </c>
      <c r="H1009" s="296" t="s">
        <v>717</v>
      </c>
      <c r="K1009" s="296" t="s">
        <v>971</v>
      </c>
      <c r="AG1009" s="296" t="s">
        <v>2249</v>
      </c>
    </row>
    <row r="1010" spans="1:33" hidden="1">
      <c r="A1010" s="661"/>
      <c r="B1010" s="260" t="s">
        <v>2979</v>
      </c>
      <c r="H1010" s="358" t="s">
        <v>1579</v>
      </c>
      <c r="AG1010" s="296" t="s">
        <v>2249</v>
      </c>
    </row>
    <row r="1011" spans="1:33" hidden="1">
      <c r="A1011" s="251"/>
      <c r="B1011" s="260" t="s">
        <v>2980</v>
      </c>
      <c r="F1011" s="447">
        <v>1.153E-2</v>
      </c>
      <c r="G1011" s="252" t="s">
        <v>866</v>
      </c>
      <c r="H1011" s="296" t="s">
        <v>689</v>
      </c>
      <c r="I1011" s="252">
        <f>C88</f>
        <v>65420</v>
      </c>
      <c r="J1011" s="253" t="s">
        <v>866</v>
      </c>
      <c r="K1011" s="252">
        <f t="shared" ref="K1011:K1020" si="54">(F1011*I1011)</f>
        <v>754.29</v>
      </c>
      <c r="AG1011" s="296" t="s">
        <v>2249</v>
      </c>
    </row>
    <row r="1012" spans="1:33" hidden="1">
      <c r="A1012" s="251"/>
      <c r="B1012" s="260" t="s">
        <v>2981</v>
      </c>
      <c r="F1012" s="447">
        <v>1.35E-2</v>
      </c>
      <c r="G1012" s="252" t="s">
        <v>866</v>
      </c>
      <c r="H1012" s="296" t="s">
        <v>690</v>
      </c>
      <c r="I1012" s="252">
        <f>C89</f>
        <v>57165</v>
      </c>
      <c r="J1012" s="253" t="s">
        <v>866</v>
      </c>
      <c r="K1012" s="252">
        <f t="shared" si="54"/>
        <v>771.73</v>
      </c>
      <c r="AG1012" s="296" t="s">
        <v>2249</v>
      </c>
    </row>
    <row r="1013" spans="1:33" hidden="1">
      <c r="A1013" s="251"/>
      <c r="B1013" s="260" t="s">
        <v>2982</v>
      </c>
      <c r="F1013" s="447">
        <v>1.016</v>
      </c>
      <c r="G1013" s="252" t="s">
        <v>606</v>
      </c>
      <c r="H1013" s="296" t="s">
        <v>2082</v>
      </c>
      <c r="I1013" s="252">
        <f>C753</f>
        <v>381.37</v>
      </c>
      <c r="J1013" s="253" t="s">
        <v>606</v>
      </c>
      <c r="K1013" s="252">
        <f t="shared" si="54"/>
        <v>387.47</v>
      </c>
      <c r="AG1013" s="296" t="s">
        <v>2249</v>
      </c>
    </row>
    <row r="1014" spans="1:33" hidden="1">
      <c r="A1014" s="251"/>
      <c r="B1014" s="260" t="s">
        <v>2983</v>
      </c>
      <c r="F1014" s="447">
        <v>1.64</v>
      </c>
      <c r="G1014" s="252" t="s">
        <v>606</v>
      </c>
      <c r="H1014" s="296" t="s">
        <v>2083</v>
      </c>
      <c r="I1014" s="252">
        <f>D30</f>
        <v>287</v>
      </c>
      <c r="J1014" s="253" t="s">
        <v>606</v>
      </c>
      <c r="K1014" s="252">
        <f t="shared" si="54"/>
        <v>470.68</v>
      </c>
      <c r="AG1014" s="296" t="s">
        <v>2249</v>
      </c>
    </row>
    <row r="1015" spans="1:33" hidden="1">
      <c r="A1015" s="251"/>
      <c r="B1015" s="260" t="s">
        <v>2599</v>
      </c>
      <c r="F1015" s="252">
        <v>2</v>
      </c>
      <c r="G1015" s="252" t="s">
        <v>865</v>
      </c>
      <c r="H1015" s="296" t="s">
        <v>2084</v>
      </c>
      <c r="I1015" s="252">
        <f>C283</f>
        <v>30</v>
      </c>
      <c r="J1015" s="253" t="s">
        <v>865</v>
      </c>
      <c r="K1015" s="252">
        <f t="shared" si="54"/>
        <v>60</v>
      </c>
      <c r="AG1015" s="296" t="s">
        <v>2249</v>
      </c>
    </row>
    <row r="1016" spans="1:33" hidden="1">
      <c r="A1016" s="251"/>
      <c r="B1016" s="260" t="s">
        <v>2600</v>
      </c>
      <c r="F1016" s="252">
        <v>3</v>
      </c>
      <c r="G1016" s="252" t="s">
        <v>865</v>
      </c>
      <c r="H1016" s="296" t="s">
        <v>1510</v>
      </c>
      <c r="I1016" s="252">
        <f>C278</f>
        <v>45</v>
      </c>
      <c r="J1016" s="253" t="s">
        <v>865</v>
      </c>
      <c r="K1016" s="252">
        <f t="shared" si="54"/>
        <v>135</v>
      </c>
      <c r="AG1016" s="296" t="s">
        <v>2249</v>
      </c>
    </row>
    <row r="1017" spans="1:33" hidden="1">
      <c r="A1017" s="251"/>
      <c r="B1017" s="260" t="s">
        <v>2601</v>
      </c>
      <c r="F1017" s="252">
        <v>1</v>
      </c>
      <c r="G1017" s="252" t="s">
        <v>865</v>
      </c>
      <c r="H1017" s="296" t="s">
        <v>1970</v>
      </c>
      <c r="I1017" s="252">
        <f>C285</f>
        <v>95</v>
      </c>
      <c r="J1017" s="253" t="s">
        <v>865</v>
      </c>
      <c r="K1017" s="252">
        <f t="shared" si="54"/>
        <v>95</v>
      </c>
      <c r="AG1017" s="296" t="s">
        <v>2249</v>
      </c>
    </row>
    <row r="1018" spans="1:33" hidden="1">
      <c r="A1018" s="251"/>
      <c r="B1018" s="260" t="s">
        <v>2602</v>
      </c>
      <c r="F1018" s="252">
        <v>1</v>
      </c>
      <c r="G1018" s="252" t="s">
        <v>865</v>
      </c>
      <c r="H1018" s="296" t="s">
        <v>1971</v>
      </c>
      <c r="I1018" s="252">
        <f>C287</f>
        <v>8</v>
      </c>
      <c r="J1018" s="253" t="s">
        <v>865</v>
      </c>
      <c r="K1018" s="252">
        <f t="shared" si="54"/>
        <v>8</v>
      </c>
      <c r="AG1018" s="296" t="s">
        <v>2249</v>
      </c>
    </row>
    <row r="1019" spans="1:33" hidden="1">
      <c r="A1019" s="251"/>
      <c r="B1019" s="260" t="s">
        <v>2781</v>
      </c>
      <c r="F1019" s="252">
        <v>1</v>
      </c>
      <c r="G1019" s="252" t="s">
        <v>865</v>
      </c>
      <c r="H1019" s="296" t="s">
        <v>1972</v>
      </c>
      <c r="I1019" s="252">
        <f>C576</f>
        <v>30</v>
      </c>
      <c r="J1019" s="253" t="s">
        <v>865</v>
      </c>
      <c r="K1019" s="252">
        <f t="shared" si="54"/>
        <v>30</v>
      </c>
      <c r="AG1019" s="296" t="s">
        <v>2249</v>
      </c>
    </row>
    <row r="1020" spans="1:33" hidden="1">
      <c r="A1020" s="251"/>
      <c r="B1020" s="260" t="s">
        <v>2782</v>
      </c>
      <c r="F1020" s="252">
        <v>1</v>
      </c>
      <c r="G1020" s="252" t="s">
        <v>865</v>
      </c>
      <c r="H1020" s="296" t="s">
        <v>1973</v>
      </c>
      <c r="I1020" s="252">
        <f>D576</f>
        <v>25</v>
      </c>
      <c r="J1020" s="253" t="s">
        <v>865</v>
      </c>
      <c r="K1020" s="252">
        <f t="shared" si="54"/>
        <v>25</v>
      </c>
      <c r="AG1020" s="296" t="s">
        <v>2249</v>
      </c>
    </row>
    <row r="1021" spans="1:33" hidden="1">
      <c r="A1021" s="251"/>
      <c r="B1021" s="260" t="s">
        <v>2783</v>
      </c>
      <c r="K1021" s="358" t="s">
        <v>1579</v>
      </c>
      <c r="AG1021" s="296" t="s">
        <v>2249</v>
      </c>
    </row>
    <row r="1022" spans="1:33" hidden="1">
      <c r="A1022" s="251"/>
      <c r="B1022" s="260" t="s">
        <v>2784</v>
      </c>
      <c r="H1022" s="253" t="s">
        <v>1511</v>
      </c>
      <c r="K1022" s="252">
        <f>SUM(K1011:K1020)</f>
        <v>2737.17</v>
      </c>
      <c r="AG1022" s="296" t="s">
        <v>2249</v>
      </c>
    </row>
    <row r="1023" spans="1:33" hidden="1">
      <c r="A1023" s="251"/>
      <c r="B1023" s="260" t="s">
        <v>2785</v>
      </c>
      <c r="G1023" s="252" t="s">
        <v>971</v>
      </c>
      <c r="K1023" s="358" t="s">
        <v>1579</v>
      </c>
      <c r="AG1023" s="296" t="s">
        <v>2249</v>
      </c>
    </row>
    <row r="1024" spans="1:33" hidden="1">
      <c r="A1024" s="251"/>
      <c r="B1024" s="260" t="s">
        <v>2786</v>
      </c>
      <c r="H1024" s="253" t="s">
        <v>549</v>
      </c>
      <c r="K1024" s="252">
        <f>K1022/F1014</f>
        <v>1669.01</v>
      </c>
      <c r="AG1024" s="296" t="s">
        <v>2249</v>
      </c>
    </row>
    <row r="1025" spans="1:33" hidden="1">
      <c r="A1025" s="251"/>
      <c r="B1025" s="260" t="s">
        <v>3408</v>
      </c>
      <c r="K1025" s="358" t="s">
        <v>2046</v>
      </c>
      <c r="AG1025" s="296" t="s">
        <v>2249</v>
      </c>
    </row>
    <row r="1026" spans="1:33" hidden="1">
      <c r="A1026" s="251"/>
      <c r="B1026" s="260" t="s">
        <v>3409</v>
      </c>
      <c r="F1026" s="253" t="s">
        <v>1565</v>
      </c>
      <c r="H1026" s="296" t="s">
        <v>1334</v>
      </c>
    </row>
    <row r="1027" spans="1:33" hidden="1">
      <c r="A1027" s="251"/>
      <c r="B1027" s="260" t="s">
        <v>3410</v>
      </c>
      <c r="H1027" s="296" t="s">
        <v>1335</v>
      </c>
    </row>
    <row r="1028" spans="1:33" hidden="1">
      <c r="A1028" s="251"/>
      <c r="B1028" s="260" t="s">
        <v>3411</v>
      </c>
      <c r="H1028" s="358" t="s">
        <v>1579</v>
      </c>
    </row>
    <row r="1029" spans="1:33" hidden="1">
      <c r="A1029" s="251"/>
      <c r="B1029" s="260" t="s">
        <v>3412</v>
      </c>
      <c r="F1029" s="447">
        <v>6.6499999999999997E-3</v>
      </c>
      <c r="G1029" s="252" t="s">
        <v>1336</v>
      </c>
      <c r="H1029" s="296" t="s">
        <v>1337</v>
      </c>
      <c r="I1029" s="252">
        <f>C89</f>
        <v>57165</v>
      </c>
      <c r="J1029" s="253" t="s">
        <v>866</v>
      </c>
      <c r="K1029" s="252">
        <f t="shared" ref="K1029:K1035" si="55">(F1029*I1029)</f>
        <v>380.15</v>
      </c>
    </row>
    <row r="1030" spans="1:33" hidden="1">
      <c r="A1030" s="251"/>
      <c r="B1030" s="260" t="s">
        <v>3413</v>
      </c>
      <c r="F1030" s="447">
        <v>0.32346000000000003</v>
      </c>
      <c r="G1030" s="252" t="s">
        <v>606</v>
      </c>
      <c r="H1030" s="296" t="s">
        <v>3414</v>
      </c>
      <c r="I1030" s="252">
        <f>C271</f>
        <v>160</v>
      </c>
      <c r="J1030" s="253" t="s">
        <v>866</v>
      </c>
      <c r="K1030" s="252">
        <f t="shared" si="55"/>
        <v>51.75</v>
      </c>
    </row>
    <row r="1031" spans="1:33" hidden="1">
      <c r="A1031" s="251"/>
      <c r="B1031" s="260" t="s">
        <v>3415</v>
      </c>
      <c r="F1031" s="447">
        <v>0.47660000000000002</v>
      </c>
      <c r="G1031" s="252" t="s">
        <v>606</v>
      </c>
      <c r="H1031" s="296" t="s">
        <v>2083</v>
      </c>
      <c r="I1031" s="252">
        <f>D31</f>
        <v>320</v>
      </c>
      <c r="J1031" s="253" t="s">
        <v>606</v>
      </c>
      <c r="K1031" s="252">
        <f t="shared" si="55"/>
        <v>152.51</v>
      </c>
    </row>
    <row r="1032" spans="1:33" ht="21.75" hidden="1" customHeight="1">
      <c r="A1032" s="251"/>
      <c r="B1032" s="260" t="s">
        <v>3416</v>
      </c>
      <c r="F1032" s="252">
        <v>3</v>
      </c>
      <c r="G1032" s="252" t="s">
        <v>865</v>
      </c>
      <c r="H1032" s="296" t="s">
        <v>1338</v>
      </c>
      <c r="I1032" s="252">
        <f>C281</f>
        <v>25</v>
      </c>
      <c r="J1032" s="253" t="s">
        <v>865</v>
      </c>
      <c r="K1032" s="252">
        <f t="shared" si="55"/>
        <v>75</v>
      </c>
    </row>
    <row r="1033" spans="1:33" ht="20.25" hidden="1" customHeight="1">
      <c r="A1033" s="260"/>
      <c r="B1033" s="260" t="s">
        <v>2937</v>
      </c>
      <c r="F1033" s="252">
        <v>2</v>
      </c>
      <c r="G1033" s="252" t="s">
        <v>865</v>
      </c>
      <c r="H1033" s="296" t="s">
        <v>2098</v>
      </c>
      <c r="I1033" s="252">
        <f>C284</f>
        <v>20</v>
      </c>
      <c r="J1033" s="253" t="s">
        <v>865</v>
      </c>
      <c r="K1033" s="252">
        <f t="shared" si="55"/>
        <v>40</v>
      </c>
    </row>
    <row r="1034" spans="1:33" ht="19.5" hidden="1" customHeight="1">
      <c r="A1034" s="251"/>
      <c r="B1034" s="260" t="s">
        <v>2735</v>
      </c>
      <c r="F1034" s="252">
        <v>1</v>
      </c>
      <c r="G1034" s="252" t="s">
        <v>865</v>
      </c>
      <c r="H1034" s="296" t="s">
        <v>2099</v>
      </c>
      <c r="I1034" s="252">
        <f>C303</f>
        <v>8</v>
      </c>
      <c r="J1034" s="253" t="s">
        <v>865</v>
      </c>
      <c r="K1034" s="252">
        <f t="shared" si="55"/>
        <v>8</v>
      </c>
    </row>
    <row r="1035" spans="1:33" ht="18.75" hidden="1" customHeight="1">
      <c r="A1035" s="251"/>
      <c r="B1035" s="260" t="s">
        <v>2736</v>
      </c>
      <c r="F1035" s="252">
        <v>1</v>
      </c>
      <c r="G1035" s="252" t="s">
        <v>865</v>
      </c>
      <c r="H1035" s="296" t="s">
        <v>2100</v>
      </c>
      <c r="I1035" s="252">
        <f>C291</f>
        <v>15.6</v>
      </c>
      <c r="J1035" s="253" t="s">
        <v>865</v>
      </c>
      <c r="K1035" s="252">
        <f t="shared" si="55"/>
        <v>15.6</v>
      </c>
    </row>
    <row r="1036" spans="1:33" ht="18" hidden="1" customHeight="1">
      <c r="A1036" s="251"/>
      <c r="B1036" s="260" t="s">
        <v>2939</v>
      </c>
      <c r="K1036" s="358" t="s">
        <v>1579</v>
      </c>
    </row>
    <row r="1037" spans="1:33" ht="20.25" hidden="1" customHeight="1">
      <c r="A1037" s="251"/>
      <c r="B1037" s="260" t="s">
        <v>2524</v>
      </c>
      <c r="H1037" s="253" t="s">
        <v>2101</v>
      </c>
      <c r="K1037" s="252">
        <f>SUM(K1025:K1035)</f>
        <v>723.01</v>
      </c>
    </row>
    <row r="1038" spans="1:33" ht="21.75" hidden="1" customHeight="1">
      <c r="A1038" s="251"/>
      <c r="B1038" s="260" t="s">
        <v>2525</v>
      </c>
      <c r="K1038" s="358" t="s">
        <v>1579</v>
      </c>
    </row>
    <row r="1039" spans="1:33" ht="24" hidden="1" customHeight="1">
      <c r="A1039" s="251"/>
      <c r="B1039" s="260" t="s">
        <v>2525</v>
      </c>
      <c r="H1039" s="253" t="s">
        <v>549</v>
      </c>
      <c r="I1039" s="296" t="s">
        <v>971</v>
      </c>
      <c r="K1039" s="252">
        <f>K1037/F1031</f>
        <v>1517.02</v>
      </c>
    </row>
    <row r="1040" spans="1:33" ht="31.5" hidden="1">
      <c r="A1040" s="251"/>
      <c r="B1040" s="260" t="s">
        <v>2526</v>
      </c>
      <c r="K1040" s="358" t="s">
        <v>2046</v>
      </c>
    </row>
    <row r="1041" spans="1:11" ht="31.5" hidden="1">
      <c r="A1041" s="251"/>
      <c r="B1041" s="260" t="s">
        <v>2527</v>
      </c>
      <c r="F1041" s="253" t="s">
        <v>1607</v>
      </c>
      <c r="G1041" s="252" t="s">
        <v>2241</v>
      </c>
      <c r="H1041" s="296" t="s">
        <v>1334</v>
      </c>
    </row>
    <row r="1042" spans="1:11" hidden="1">
      <c r="A1042" s="251"/>
      <c r="H1042" s="296" t="s">
        <v>706</v>
      </c>
    </row>
    <row r="1043" spans="1:11" hidden="1">
      <c r="A1043" s="251"/>
      <c r="H1043" s="358" t="s">
        <v>1579</v>
      </c>
    </row>
    <row r="1044" spans="1:11" hidden="1">
      <c r="A1044" s="251"/>
      <c r="F1044" s="447">
        <v>5.4000000000000003E-3</v>
      </c>
      <c r="G1044" s="252" t="s">
        <v>1336</v>
      </c>
      <c r="H1044" s="296" t="s">
        <v>1337</v>
      </c>
      <c r="I1044" s="252">
        <f>C89</f>
        <v>57165</v>
      </c>
      <c r="J1044" s="253" t="s">
        <v>866</v>
      </c>
      <c r="K1044" s="252">
        <f t="shared" ref="K1044:K1050" si="56">(F1044*I1044)</f>
        <v>308.69</v>
      </c>
    </row>
    <row r="1045" spans="1:11" hidden="1">
      <c r="A1045" s="251"/>
      <c r="F1045" s="447">
        <v>0.23871000000000001</v>
      </c>
      <c r="G1045" s="252" t="s">
        <v>606</v>
      </c>
      <c r="H1045" s="296" t="s">
        <v>3414</v>
      </c>
      <c r="I1045" s="252">
        <f>C271</f>
        <v>160</v>
      </c>
      <c r="J1045" s="253" t="s">
        <v>866</v>
      </c>
      <c r="K1045" s="252">
        <f t="shared" si="56"/>
        <v>38.19</v>
      </c>
    </row>
    <row r="1046" spans="1:11" hidden="1">
      <c r="A1046" s="251"/>
      <c r="F1046" s="447">
        <v>0.36199999999999999</v>
      </c>
      <c r="G1046" s="252" t="s">
        <v>606</v>
      </c>
      <c r="H1046" s="296" t="s">
        <v>2083</v>
      </c>
      <c r="I1046" s="252">
        <f>D31</f>
        <v>320</v>
      </c>
      <c r="J1046" s="253" t="s">
        <v>606</v>
      </c>
      <c r="K1046" s="252">
        <f t="shared" si="56"/>
        <v>115.84</v>
      </c>
    </row>
    <row r="1047" spans="1:11" hidden="1">
      <c r="A1047" s="251"/>
      <c r="F1047" s="252">
        <v>3</v>
      </c>
      <c r="G1047" s="252" t="s">
        <v>865</v>
      </c>
      <c r="H1047" s="296" t="s">
        <v>1338</v>
      </c>
      <c r="I1047" s="252">
        <f>C281</f>
        <v>25</v>
      </c>
      <c r="J1047" s="253" t="s">
        <v>865</v>
      </c>
      <c r="K1047" s="252">
        <f t="shared" si="56"/>
        <v>75</v>
      </c>
    </row>
    <row r="1048" spans="1:11" hidden="1">
      <c r="A1048" s="251"/>
      <c r="F1048" s="252">
        <v>2</v>
      </c>
      <c r="G1048" s="252" t="s">
        <v>865</v>
      </c>
      <c r="H1048" s="296" t="s">
        <v>2098</v>
      </c>
      <c r="I1048" s="252">
        <f>C284</f>
        <v>20</v>
      </c>
      <c r="J1048" s="253" t="s">
        <v>865</v>
      </c>
      <c r="K1048" s="252">
        <f t="shared" si="56"/>
        <v>40</v>
      </c>
    </row>
    <row r="1049" spans="1:11" hidden="1">
      <c r="A1049" s="251"/>
      <c r="F1049" s="252">
        <v>1</v>
      </c>
      <c r="G1049" s="252" t="s">
        <v>865</v>
      </c>
      <c r="H1049" s="296" t="s">
        <v>2099</v>
      </c>
      <c r="I1049" s="252">
        <f>C303</f>
        <v>8</v>
      </c>
      <c r="J1049" s="253" t="s">
        <v>865</v>
      </c>
      <c r="K1049" s="252">
        <f t="shared" si="56"/>
        <v>8</v>
      </c>
    </row>
    <row r="1050" spans="1:11" hidden="1">
      <c r="A1050" s="251"/>
      <c r="F1050" s="252">
        <v>1</v>
      </c>
      <c r="G1050" s="252" t="s">
        <v>865</v>
      </c>
      <c r="H1050" s="296" t="s">
        <v>2100</v>
      </c>
      <c r="I1050" s="252">
        <f>C291</f>
        <v>15.6</v>
      </c>
      <c r="J1050" s="253" t="s">
        <v>865</v>
      </c>
      <c r="K1050" s="252">
        <f t="shared" si="56"/>
        <v>15.6</v>
      </c>
    </row>
    <row r="1051" spans="1:11" hidden="1">
      <c r="A1051" s="251"/>
      <c r="K1051" s="358" t="s">
        <v>1579</v>
      </c>
    </row>
    <row r="1052" spans="1:11" hidden="1">
      <c r="A1052" s="251"/>
      <c r="H1052" s="253" t="s">
        <v>886</v>
      </c>
      <c r="K1052" s="252">
        <f>SUM(K1040:K1050)</f>
        <v>601.32000000000005</v>
      </c>
    </row>
    <row r="1053" spans="1:11" hidden="1">
      <c r="A1053" s="251"/>
      <c r="K1053" s="358" t="s">
        <v>1579</v>
      </c>
    </row>
    <row r="1054" spans="1:11" hidden="1">
      <c r="A1054" s="251"/>
      <c r="H1054" s="253" t="s">
        <v>549</v>
      </c>
      <c r="I1054" s="296" t="s">
        <v>971</v>
      </c>
      <c r="K1054" s="252">
        <f>K1052/F1046</f>
        <v>1661.1</v>
      </c>
    </row>
    <row r="1055" spans="1:11" hidden="1">
      <c r="A1055" s="251"/>
      <c r="K1055" s="358" t="s">
        <v>2046</v>
      </c>
    </row>
    <row r="1056" spans="1:11" hidden="1">
      <c r="A1056" s="251"/>
      <c r="F1056" s="253" t="s">
        <v>1608</v>
      </c>
      <c r="G1056" s="252" t="s">
        <v>2241</v>
      </c>
      <c r="H1056" s="296" t="s">
        <v>887</v>
      </c>
    </row>
    <row r="1057" spans="1:11" hidden="1">
      <c r="A1057" s="251"/>
      <c r="H1057" s="296" t="s">
        <v>1985</v>
      </c>
    </row>
    <row r="1058" spans="1:11" hidden="1">
      <c r="A1058" s="251"/>
      <c r="H1058" s="358" t="s">
        <v>1579</v>
      </c>
    </row>
    <row r="1059" spans="1:11" hidden="1">
      <c r="A1059" s="251"/>
      <c r="F1059" s="447">
        <v>5.3E-3</v>
      </c>
      <c r="G1059" s="252" t="s">
        <v>1336</v>
      </c>
      <c r="H1059" s="296" t="s">
        <v>1337</v>
      </c>
      <c r="I1059" s="252">
        <f>C89</f>
        <v>57165</v>
      </c>
      <c r="J1059" s="253" t="s">
        <v>866</v>
      </c>
      <c r="K1059" s="252">
        <f t="shared" ref="K1059:K1064" si="57">(F1059*I1059)</f>
        <v>302.97000000000003</v>
      </c>
    </row>
    <row r="1060" spans="1:11" hidden="1">
      <c r="A1060" s="251"/>
      <c r="F1060" s="447">
        <v>0.27450000000000002</v>
      </c>
      <c r="G1060" s="252" t="s">
        <v>606</v>
      </c>
      <c r="H1060" s="296" t="s">
        <v>3414</v>
      </c>
      <c r="I1060" s="252">
        <f>C271</f>
        <v>160</v>
      </c>
      <c r="J1060" s="253" t="s">
        <v>866</v>
      </c>
      <c r="K1060" s="252">
        <f t="shared" si="57"/>
        <v>43.92</v>
      </c>
    </row>
    <row r="1061" spans="1:11" hidden="1">
      <c r="A1061" s="251"/>
      <c r="F1061" s="447">
        <v>0.4</v>
      </c>
      <c r="G1061" s="252" t="s">
        <v>606</v>
      </c>
      <c r="H1061" s="296" t="s">
        <v>2083</v>
      </c>
      <c r="I1061" s="252">
        <f>D32</f>
        <v>267</v>
      </c>
      <c r="J1061" s="253" t="s">
        <v>606</v>
      </c>
      <c r="K1061" s="252">
        <f t="shared" si="57"/>
        <v>106.8</v>
      </c>
    </row>
    <row r="1062" spans="1:11" hidden="1">
      <c r="A1062" s="251"/>
      <c r="F1062" s="252">
        <v>2</v>
      </c>
      <c r="G1062" s="252" t="s">
        <v>1986</v>
      </c>
      <c r="H1062" s="296" t="s">
        <v>1987</v>
      </c>
      <c r="I1062" s="252">
        <f>C304</f>
        <v>8.5</v>
      </c>
      <c r="J1062" s="253" t="s">
        <v>1986</v>
      </c>
      <c r="K1062" s="252">
        <f t="shared" si="57"/>
        <v>17</v>
      </c>
    </row>
    <row r="1063" spans="1:11" hidden="1">
      <c r="A1063" s="251"/>
      <c r="F1063" s="252">
        <v>1</v>
      </c>
      <c r="G1063" s="252" t="s">
        <v>865</v>
      </c>
      <c r="H1063" s="296" t="s">
        <v>1988</v>
      </c>
      <c r="I1063" s="252">
        <f>C292</f>
        <v>12.6</v>
      </c>
      <c r="J1063" s="253" t="s">
        <v>865</v>
      </c>
      <c r="K1063" s="252">
        <f t="shared" si="57"/>
        <v>12.6</v>
      </c>
    </row>
    <row r="1064" spans="1:11" hidden="1">
      <c r="A1064" s="251"/>
      <c r="F1064" s="252">
        <v>1</v>
      </c>
      <c r="G1064" s="252" t="s">
        <v>865</v>
      </c>
      <c r="H1064" s="296" t="s">
        <v>1989</v>
      </c>
      <c r="I1064" s="252">
        <f>C290</f>
        <v>20.6</v>
      </c>
      <c r="J1064" s="253" t="s">
        <v>865</v>
      </c>
      <c r="K1064" s="252">
        <f t="shared" si="57"/>
        <v>20.6</v>
      </c>
    </row>
    <row r="1065" spans="1:11" hidden="1">
      <c r="A1065" s="251"/>
      <c r="K1065" s="358" t="s">
        <v>1579</v>
      </c>
    </row>
    <row r="1066" spans="1:11" hidden="1">
      <c r="A1066" s="251"/>
      <c r="H1066" s="253" t="s">
        <v>886</v>
      </c>
      <c r="K1066" s="252">
        <f>SUM(K1055:K1064)</f>
        <v>503.89</v>
      </c>
    </row>
    <row r="1067" spans="1:11" hidden="1">
      <c r="A1067" s="251"/>
      <c r="K1067" s="358" t="s">
        <v>1579</v>
      </c>
    </row>
    <row r="1068" spans="1:11" hidden="1">
      <c r="A1068" s="251"/>
      <c r="H1068" s="253" t="s">
        <v>549</v>
      </c>
      <c r="I1068" s="296" t="s">
        <v>971</v>
      </c>
      <c r="K1068" s="252">
        <f>K1066/F1061</f>
        <v>1259.73</v>
      </c>
    </row>
    <row r="1069" spans="1:11" hidden="1">
      <c r="A1069" s="251"/>
      <c r="F1069" s="296" t="s">
        <v>971</v>
      </c>
    </row>
    <row r="1070" spans="1:11" hidden="1">
      <c r="A1070" s="251"/>
      <c r="K1070" s="358" t="s">
        <v>2046</v>
      </c>
    </row>
    <row r="1071" spans="1:11" hidden="1">
      <c r="A1071" s="251"/>
      <c r="F1071" s="375">
        <v>22.3</v>
      </c>
      <c r="H1071" s="296" t="s">
        <v>1990</v>
      </c>
    </row>
    <row r="1072" spans="1:11" hidden="1">
      <c r="A1072" s="251"/>
      <c r="H1072" s="358" t="s">
        <v>1579</v>
      </c>
      <c r="I1072" s="358" t="s">
        <v>1579</v>
      </c>
      <c r="J1072" s="253" t="s">
        <v>1579</v>
      </c>
    </row>
    <row r="1073" spans="1:12" hidden="1">
      <c r="A1073" s="251"/>
    </row>
    <row r="1074" spans="1:12" hidden="1">
      <c r="A1074" s="251"/>
      <c r="H1074" s="296" t="s">
        <v>1991</v>
      </c>
    </row>
    <row r="1075" spans="1:12" hidden="1">
      <c r="A1075" s="251"/>
      <c r="H1075" s="296" t="s">
        <v>1992</v>
      </c>
    </row>
    <row r="1076" spans="1:12" hidden="1">
      <c r="A1076" s="251"/>
      <c r="H1076" s="296" t="s">
        <v>451</v>
      </c>
    </row>
    <row r="1077" spans="1:12" hidden="1">
      <c r="A1077" s="251"/>
      <c r="H1077" s="296" t="s">
        <v>452</v>
      </c>
    </row>
    <row r="1078" spans="1:12" hidden="1">
      <c r="A1078" s="251"/>
      <c r="H1078" s="296" t="s">
        <v>453</v>
      </c>
      <c r="L1078" s="296" t="s">
        <v>971</v>
      </c>
    </row>
    <row r="1079" spans="1:12" hidden="1">
      <c r="A1079" s="251"/>
      <c r="J1079" s="253" t="s">
        <v>971</v>
      </c>
      <c r="K1079" s="400">
        <v>3.32E-2</v>
      </c>
    </row>
    <row r="1080" spans="1:12" hidden="1">
      <c r="A1080" s="251"/>
      <c r="H1080" s="296" t="s">
        <v>2147</v>
      </c>
      <c r="J1080" s="569" t="s">
        <v>971</v>
      </c>
      <c r="K1080" s="443" t="s">
        <v>971</v>
      </c>
    </row>
    <row r="1081" spans="1:12" hidden="1">
      <c r="A1081" s="251"/>
      <c r="H1081" s="296" t="s">
        <v>1822</v>
      </c>
      <c r="K1081" s="443" t="s">
        <v>971</v>
      </c>
    </row>
    <row r="1082" spans="1:12" hidden="1">
      <c r="A1082" s="251"/>
    </row>
    <row r="1083" spans="1:12" hidden="1">
      <c r="A1083" s="251"/>
      <c r="F1083" s="447">
        <v>1.18E-2</v>
      </c>
      <c r="G1083" s="252" t="s">
        <v>866</v>
      </c>
      <c r="H1083" s="296" t="s">
        <v>689</v>
      </c>
      <c r="I1083" s="252">
        <f>C88</f>
        <v>65420</v>
      </c>
      <c r="J1083" s="253" t="s">
        <v>866</v>
      </c>
      <c r="K1083" s="252">
        <f t="shared" ref="K1083:K1092" si="58">(F1083*I1083)</f>
        <v>771.96</v>
      </c>
    </row>
    <row r="1084" spans="1:12" hidden="1">
      <c r="A1084" s="251"/>
      <c r="F1084" s="447">
        <v>3.32E-2</v>
      </c>
      <c r="G1084" s="252" t="s">
        <v>866</v>
      </c>
      <c r="H1084" s="296" t="s">
        <v>690</v>
      </c>
      <c r="I1084" s="252">
        <f>C89</f>
        <v>57165</v>
      </c>
      <c r="J1084" s="253" t="s">
        <v>866</v>
      </c>
      <c r="K1084" s="252">
        <f t="shared" si="58"/>
        <v>1897.88</v>
      </c>
    </row>
    <row r="1085" spans="1:12" hidden="1">
      <c r="A1085" s="251"/>
      <c r="F1085" s="447">
        <v>1.8550000000000001E-2</v>
      </c>
      <c r="G1085" s="252" t="s">
        <v>866</v>
      </c>
      <c r="H1085" s="296" t="s">
        <v>883</v>
      </c>
      <c r="I1085" s="252">
        <f>C30</f>
        <v>3035</v>
      </c>
      <c r="J1085" s="253" t="s">
        <v>866</v>
      </c>
      <c r="K1085" s="252">
        <f t="shared" si="58"/>
        <v>56.3</v>
      </c>
    </row>
    <row r="1086" spans="1:12" hidden="1">
      <c r="A1086" s="251"/>
      <c r="F1086" s="447">
        <v>1.46</v>
      </c>
      <c r="G1086" s="252" t="s">
        <v>606</v>
      </c>
      <c r="H1086" s="296" t="s">
        <v>884</v>
      </c>
      <c r="I1086" s="252">
        <v>385.89</v>
      </c>
      <c r="J1086" s="253" t="s">
        <v>606</v>
      </c>
      <c r="K1086" s="252">
        <f t="shared" si="58"/>
        <v>563.4</v>
      </c>
    </row>
    <row r="1087" spans="1:12" hidden="1">
      <c r="A1087" s="251"/>
      <c r="F1087" s="447">
        <v>2.0499999999999998</v>
      </c>
      <c r="G1087" s="252" t="s">
        <v>606</v>
      </c>
      <c r="H1087" s="296" t="s">
        <v>1499</v>
      </c>
      <c r="I1087" s="252">
        <f>D30</f>
        <v>287</v>
      </c>
      <c r="J1087" s="253" t="s">
        <v>606</v>
      </c>
      <c r="K1087" s="252">
        <f t="shared" si="58"/>
        <v>588.35</v>
      </c>
    </row>
    <row r="1088" spans="1:12" hidden="1">
      <c r="A1088" s="251"/>
      <c r="F1088" s="252">
        <v>2</v>
      </c>
      <c r="G1088" s="252" t="s">
        <v>865</v>
      </c>
      <c r="H1088" s="296" t="s">
        <v>1500</v>
      </c>
      <c r="I1088" s="252">
        <v>7.5</v>
      </c>
      <c r="J1088" s="253" t="s">
        <v>865</v>
      </c>
      <c r="K1088" s="252">
        <f t="shared" si="58"/>
        <v>15</v>
      </c>
    </row>
    <row r="1089" spans="1:11" hidden="1">
      <c r="A1089" s="251"/>
      <c r="F1089" s="252">
        <v>6</v>
      </c>
      <c r="G1089" s="252" t="s">
        <v>865</v>
      </c>
      <c r="H1089" s="296" t="s">
        <v>1338</v>
      </c>
      <c r="I1089" s="252">
        <f>C281</f>
        <v>25</v>
      </c>
      <c r="J1089" s="253" t="s">
        <v>865</v>
      </c>
      <c r="K1089" s="252">
        <f t="shared" si="58"/>
        <v>150</v>
      </c>
    </row>
    <row r="1090" spans="1:11" hidden="1">
      <c r="A1090" s="251"/>
      <c r="F1090" s="252">
        <v>2</v>
      </c>
      <c r="G1090" s="252" t="s">
        <v>865</v>
      </c>
      <c r="H1090" s="296" t="s">
        <v>2414</v>
      </c>
      <c r="I1090" s="252">
        <v>50</v>
      </c>
      <c r="J1090" s="253" t="s">
        <v>865</v>
      </c>
      <c r="K1090" s="252">
        <f t="shared" si="58"/>
        <v>100</v>
      </c>
    </row>
    <row r="1091" spans="1:11" hidden="1">
      <c r="A1091" s="251"/>
      <c r="F1091" s="252">
        <v>1</v>
      </c>
      <c r="G1091" s="252" t="s">
        <v>865</v>
      </c>
      <c r="H1091" s="296" t="s">
        <v>1412</v>
      </c>
      <c r="I1091" s="252">
        <v>50</v>
      </c>
      <c r="J1091" s="253" t="s">
        <v>865</v>
      </c>
      <c r="K1091" s="252">
        <f t="shared" si="58"/>
        <v>50</v>
      </c>
    </row>
    <row r="1092" spans="1:11" hidden="1">
      <c r="A1092" s="251"/>
      <c r="F1092" s="252">
        <v>2.52</v>
      </c>
      <c r="G1092" s="252" t="s">
        <v>606</v>
      </c>
      <c r="H1092" s="296" t="s">
        <v>1705</v>
      </c>
      <c r="I1092" s="252">
        <f>K1122</f>
        <v>51.25</v>
      </c>
      <c r="J1092" s="253" t="s">
        <v>606</v>
      </c>
      <c r="K1092" s="252">
        <f t="shared" si="58"/>
        <v>129.15</v>
      </c>
    </row>
    <row r="1093" spans="1:11" hidden="1">
      <c r="A1093" s="251"/>
      <c r="H1093" s="296" t="s">
        <v>1409</v>
      </c>
      <c r="I1093" s="253" t="s">
        <v>446</v>
      </c>
      <c r="K1093" s="252">
        <v>0.21</v>
      </c>
    </row>
    <row r="1094" spans="1:11" hidden="1">
      <c r="A1094" s="251"/>
      <c r="K1094" s="358" t="s">
        <v>1579</v>
      </c>
    </row>
    <row r="1095" spans="1:11" hidden="1">
      <c r="A1095" s="251"/>
      <c r="H1095" s="253" t="s">
        <v>1410</v>
      </c>
      <c r="K1095" s="252">
        <f>SUM(K1083:K1093)</f>
        <v>4322.25</v>
      </c>
    </row>
    <row r="1096" spans="1:11" hidden="1">
      <c r="A1096" s="251"/>
      <c r="G1096" s="252" t="s">
        <v>971</v>
      </c>
      <c r="K1096" s="358" t="s">
        <v>1579</v>
      </c>
    </row>
    <row r="1097" spans="1:11" hidden="1">
      <c r="A1097" s="251"/>
      <c r="H1097" s="253" t="s">
        <v>549</v>
      </c>
      <c r="K1097" s="252">
        <f>K1095/2.52</f>
        <v>1715.18</v>
      </c>
    </row>
    <row r="1098" spans="1:11" hidden="1">
      <c r="A1098" s="251"/>
      <c r="K1098" s="358" t="s">
        <v>2046</v>
      </c>
    </row>
    <row r="1099" spans="1:11" hidden="1">
      <c r="A1099" s="251"/>
      <c r="G1099" s="252" t="s">
        <v>2241</v>
      </c>
      <c r="H1099" s="296" t="s">
        <v>182</v>
      </c>
    </row>
    <row r="1100" spans="1:11" hidden="1">
      <c r="A1100" s="251"/>
      <c r="H1100" s="358" t="s">
        <v>1579</v>
      </c>
      <c r="I1100" s="358" t="s">
        <v>1579</v>
      </c>
    </row>
    <row r="1101" spans="1:11" hidden="1">
      <c r="A1101" s="251"/>
      <c r="F1101" s="252">
        <v>0.77</v>
      </c>
      <c r="G1101" s="252" t="s">
        <v>183</v>
      </c>
      <c r="H1101" s="296" t="s">
        <v>184</v>
      </c>
      <c r="I1101" s="252">
        <f>C193</f>
        <v>210</v>
      </c>
      <c r="J1101" s="253" t="s">
        <v>183</v>
      </c>
      <c r="K1101" s="252">
        <f>(F1101*I1101)</f>
        <v>161.69999999999999</v>
      </c>
    </row>
    <row r="1102" spans="1:11" hidden="1">
      <c r="A1102" s="251"/>
      <c r="F1102" s="252">
        <v>0.61</v>
      </c>
      <c r="G1102" s="252" t="s">
        <v>183</v>
      </c>
      <c r="H1102" s="296" t="s">
        <v>185</v>
      </c>
      <c r="I1102" s="252">
        <f>C192</f>
        <v>25</v>
      </c>
      <c r="J1102" s="253" t="s">
        <v>183</v>
      </c>
      <c r="K1102" s="252">
        <f>(F1102*I1102)</f>
        <v>15.25</v>
      </c>
    </row>
    <row r="1103" spans="1:11" hidden="1">
      <c r="A1103" s="251"/>
      <c r="F1103" s="252">
        <v>0.7</v>
      </c>
      <c r="G1103" s="252" t="s">
        <v>557</v>
      </c>
      <c r="H1103" s="296" t="s">
        <v>1507</v>
      </c>
      <c r="I1103" s="252">
        <f>C14</f>
        <v>120</v>
      </c>
      <c r="J1103" s="253" t="s">
        <v>1708</v>
      </c>
      <c r="K1103" s="252">
        <f>(F1103*I1103)</f>
        <v>84</v>
      </c>
    </row>
    <row r="1104" spans="1:11" hidden="1">
      <c r="A1104" s="251"/>
      <c r="F1104" s="252">
        <v>0.7</v>
      </c>
      <c r="G1104" s="252" t="s">
        <v>557</v>
      </c>
      <c r="H1104" s="296" t="s">
        <v>875</v>
      </c>
      <c r="I1104" s="252">
        <f>C12</f>
        <v>95</v>
      </c>
      <c r="J1104" s="253" t="s">
        <v>1708</v>
      </c>
      <c r="K1104" s="252">
        <f>(F1104*I1104)</f>
        <v>66.5</v>
      </c>
    </row>
    <row r="1105" spans="1:11" hidden="1">
      <c r="A1105" s="251"/>
      <c r="G1105" s="252" t="s">
        <v>446</v>
      </c>
      <c r="H1105" s="296" t="s">
        <v>1177</v>
      </c>
      <c r="J1105" s="253" t="s">
        <v>446</v>
      </c>
      <c r="K1105" s="252">
        <v>1.5</v>
      </c>
    </row>
    <row r="1106" spans="1:11" hidden="1">
      <c r="A1106" s="251"/>
      <c r="K1106" s="358" t="s">
        <v>1579</v>
      </c>
    </row>
    <row r="1107" spans="1:11" hidden="1">
      <c r="A1107" s="251"/>
      <c r="H1107" s="253" t="s">
        <v>1433</v>
      </c>
      <c r="K1107" s="252">
        <f>SUM(K1101:K1105)</f>
        <v>328.95</v>
      </c>
    </row>
    <row r="1108" spans="1:11" hidden="1">
      <c r="A1108" s="251"/>
      <c r="K1108" s="358" t="s">
        <v>1579</v>
      </c>
    </row>
    <row r="1109" spans="1:11" hidden="1">
      <c r="A1109" s="251"/>
      <c r="H1109" s="253" t="s">
        <v>549</v>
      </c>
      <c r="K1109" s="252">
        <f>(K1107/10)</f>
        <v>32.9</v>
      </c>
    </row>
    <row r="1110" spans="1:11" hidden="1">
      <c r="A1110" s="251"/>
      <c r="K1110" s="358" t="s">
        <v>2046</v>
      </c>
    </row>
    <row r="1111" spans="1:11" hidden="1">
      <c r="A1111" s="251"/>
    </row>
    <row r="1112" spans="1:11" hidden="1">
      <c r="A1112" s="251"/>
      <c r="F1112" s="296" t="s">
        <v>971</v>
      </c>
      <c r="G1112" s="252" t="s">
        <v>2241</v>
      </c>
      <c r="H1112" s="296" t="s">
        <v>1434</v>
      </c>
    </row>
    <row r="1113" spans="1:11" hidden="1">
      <c r="A1113" s="251"/>
      <c r="H1113" s="358" t="s">
        <v>1579</v>
      </c>
      <c r="I1113" s="358" t="s">
        <v>1579</v>
      </c>
    </row>
    <row r="1114" spans="1:11" hidden="1">
      <c r="A1114" s="251"/>
      <c r="F1114" s="252">
        <v>1.2</v>
      </c>
      <c r="G1114" s="252" t="s">
        <v>183</v>
      </c>
      <c r="H1114" s="296" t="s">
        <v>184</v>
      </c>
      <c r="I1114" s="252">
        <f>C193</f>
        <v>210</v>
      </c>
      <c r="J1114" s="253" t="s">
        <v>183</v>
      </c>
      <c r="K1114" s="252">
        <f>(F1114*I1114)</f>
        <v>252</v>
      </c>
    </row>
    <row r="1115" spans="1:11" hidden="1">
      <c r="A1115" s="251"/>
      <c r="F1115" s="252">
        <v>0.9</v>
      </c>
      <c r="G1115" s="252" t="s">
        <v>183</v>
      </c>
      <c r="H1115" s="296" t="s">
        <v>185</v>
      </c>
      <c r="I1115" s="252">
        <f>C192</f>
        <v>25</v>
      </c>
      <c r="J1115" s="253" t="s">
        <v>183</v>
      </c>
      <c r="K1115" s="252">
        <f>(F1115*I1115)</f>
        <v>22.5</v>
      </c>
    </row>
    <row r="1116" spans="1:11" hidden="1">
      <c r="A1116" s="251"/>
      <c r="F1116" s="252">
        <v>1.1000000000000001</v>
      </c>
      <c r="G1116" s="252" t="s">
        <v>557</v>
      </c>
      <c r="H1116" s="296" t="s">
        <v>1507</v>
      </c>
      <c r="I1116" s="252">
        <f>C14</f>
        <v>120</v>
      </c>
      <c r="J1116" s="253" t="s">
        <v>1708</v>
      </c>
      <c r="K1116" s="252">
        <f>(F1116*I1116)</f>
        <v>132</v>
      </c>
    </row>
    <row r="1117" spans="1:11" hidden="1">
      <c r="A1117" s="251"/>
      <c r="F1117" s="252">
        <v>1.1000000000000001</v>
      </c>
      <c r="G1117" s="252" t="s">
        <v>557</v>
      </c>
      <c r="H1117" s="296" t="s">
        <v>875</v>
      </c>
      <c r="I1117" s="252">
        <f>C12</f>
        <v>95</v>
      </c>
      <c r="J1117" s="253" t="s">
        <v>1708</v>
      </c>
      <c r="K1117" s="252">
        <f>(F1117*I1117)</f>
        <v>104.5</v>
      </c>
    </row>
    <row r="1118" spans="1:11" hidden="1">
      <c r="A1118" s="251"/>
      <c r="G1118" s="252" t="s">
        <v>446</v>
      </c>
      <c r="H1118" s="296" t="s">
        <v>1177</v>
      </c>
      <c r="J1118" s="253" t="s">
        <v>446</v>
      </c>
      <c r="K1118" s="252">
        <v>1.5</v>
      </c>
    </row>
    <row r="1119" spans="1:11" hidden="1">
      <c r="A1119" s="251"/>
      <c r="K1119" s="358" t="s">
        <v>1579</v>
      </c>
    </row>
    <row r="1120" spans="1:11" hidden="1">
      <c r="A1120" s="251"/>
      <c r="H1120" s="253" t="s">
        <v>1433</v>
      </c>
      <c r="K1120" s="252">
        <f>SUM(K1114:K1118)</f>
        <v>512.5</v>
      </c>
    </row>
    <row r="1121" spans="1:33" hidden="1">
      <c r="A1121" s="251"/>
      <c r="K1121" s="358" t="s">
        <v>1579</v>
      </c>
    </row>
    <row r="1122" spans="1:33" hidden="1">
      <c r="A1122" s="251"/>
      <c r="H1122" s="253" t="s">
        <v>549</v>
      </c>
      <c r="K1122" s="252">
        <f>(K1120/10)</f>
        <v>51.25</v>
      </c>
    </row>
    <row r="1123" spans="1:33" hidden="1">
      <c r="A1123" s="251"/>
      <c r="K1123" s="358" t="s">
        <v>2046</v>
      </c>
    </row>
    <row r="1124" spans="1:33" hidden="1">
      <c r="A1124" s="251"/>
    </row>
    <row r="1125" spans="1:33" hidden="1">
      <c r="A1125" s="251"/>
      <c r="F1125" s="375">
        <v>23.3</v>
      </c>
      <c r="H1125" s="252" t="s">
        <v>2277</v>
      </c>
      <c r="K1125" s="252">
        <v>35</v>
      </c>
    </row>
    <row r="1126" spans="1:33" hidden="1">
      <c r="A1126" s="251"/>
    </row>
    <row r="1127" spans="1:33" hidden="1">
      <c r="A1127" s="251"/>
    </row>
    <row r="1128" spans="1:33" hidden="1">
      <c r="A1128" s="251"/>
      <c r="F1128" s="253" t="s">
        <v>1435</v>
      </c>
      <c r="G1128" s="252" t="s">
        <v>2241</v>
      </c>
      <c r="H1128" s="296" t="s">
        <v>2406</v>
      </c>
      <c r="AG1128" s="296" t="s">
        <v>2249</v>
      </c>
    </row>
    <row r="1129" spans="1:33" hidden="1">
      <c r="A1129" s="251"/>
      <c r="H1129" s="296" t="s">
        <v>1436</v>
      </c>
      <c r="AG1129" s="296" t="s">
        <v>2249</v>
      </c>
    </row>
    <row r="1130" spans="1:33" hidden="1">
      <c r="A1130" s="251"/>
      <c r="H1130" s="358" t="s">
        <v>1579</v>
      </c>
      <c r="I1130" s="358" t="s">
        <v>1579</v>
      </c>
      <c r="AG1130" s="296" t="s">
        <v>2249</v>
      </c>
    </row>
    <row r="1131" spans="1:33" hidden="1">
      <c r="A1131" s="251"/>
      <c r="F1131" s="316">
        <v>0.53339999999999999</v>
      </c>
      <c r="G1131" s="252" t="s">
        <v>2273</v>
      </c>
      <c r="H1131" s="296" t="s">
        <v>2407</v>
      </c>
      <c r="I1131" s="252">
        <f>C271</f>
        <v>160</v>
      </c>
      <c r="J1131" s="253" t="s">
        <v>2273</v>
      </c>
      <c r="K1131" s="252">
        <f>(F1131*I1131)</f>
        <v>85.34</v>
      </c>
      <c r="AG1131" s="296" t="s">
        <v>2249</v>
      </c>
    </row>
    <row r="1132" spans="1:33" hidden="1">
      <c r="A1132" s="251"/>
      <c r="F1132" s="252">
        <v>4.24</v>
      </c>
      <c r="G1132" s="252" t="s">
        <v>823</v>
      </c>
      <c r="H1132" s="296" t="s">
        <v>702</v>
      </c>
      <c r="I1132" s="252">
        <v>13.66</v>
      </c>
      <c r="J1132" s="253" t="s">
        <v>823</v>
      </c>
      <c r="K1132" s="252">
        <f>(F1132*I1132)</f>
        <v>57.92</v>
      </c>
      <c r="AG1132" s="296" t="s">
        <v>2249</v>
      </c>
    </row>
    <row r="1133" spans="1:33" hidden="1">
      <c r="A1133" s="251"/>
      <c r="F1133" s="252">
        <v>16</v>
      </c>
      <c r="G1133" s="252" t="s">
        <v>557</v>
      </c>
      <c r="H1133" s="296" t="s">
        <v>703</v>
      </c>
      <c r="I1133" s="252">
        <v>0.5</v>
      </c>
      <c r="J1133" s="253" t="s">
        <v>1393</v>
      </c>
      <c r="K1133" s="252">
        <f>(F1133*I1133)</f>
        <v>8</v>
      </c>
      <c r="AG1133" s="296" t="s">
        <v>318</v>
      </c>
    </row>
    <row r="1134" spans="1:33" hidden="1">
      <c r="A1134" s="251"/>
      <c r="F1134" s="316">
        <v>0.53339999999999999</v>
      </c>
      <c r="G1134" s="252" t="s">
        <v>2273</v>
      </c>
      <c r="H1134" s="296" t="s">
        <v>704</v>
      </c>
      <c r="I1134" s="252">
        <f>0.25/1.08*D16</f>
        <v>31.25</v>
      </c>
      <c r="J1134" s="253" t="s">
        <v>2273</v>
      </c>
      <c r="K1134" s="252">
        <f>(F1134*I1134)</f>
        <v>16.670000000000002</v>
      </c>
    </row>
    <row r="1135" spans="1:33" hidden="1">
      <c r="A1135" s="251"/>
      <c r="G1135" s="252" t="s">
        <v>446</v>
      </c>
      <c r="H1135" s="296" t="s">
        <v>2261</v>
      </c>
      <c r="J1135" s="253" t="s">
        <v>446</v>
      </c>
      <c r="K1135" s="252">
        <v>0</v>
      </c>
    </row>
    <row r="1136" spans="1:33" hidden="1">
      <c r="A1136" s="251"/>
      <c r="H1136" s="296" t="s">
        <v>2262</v>
      </c>
      <c r="AG1136" s="296" t="s">
        <v>2249</v>
      </c>
    </row>
    <row r="1137" spans="1:33" hidden="1">
      <c r="A1137" s="251"/>
      <c r="K1137" s="358" t="s">
        <v>1579</v>
      </c>
      <c r="AG1137" s="296" t="s">
        <v>2249</v>
      </c>
    </row>
    <row r="1138" spans="1:33" hidden="1">
      <c r="A1138" s="251"/>
      <c r="H1138" s="253" t="s">
        <v>1686</v>
      </c>
      <c r="K1138" s="252">
        <f>SUM(K1131:K1135)</f>
        <v>167.93</v>
      </c>
      <c r="AG1138" s="296" t="s">
        <v>2249</v>
      </c>
    </row>
    <row r="1139" spans="1:33" hidden="1">
      <c r="A1139" s="251"/>
      <c r="K1139" s="358" t="s">
        <v>1579</v>
      </c>
      <c r="AG1139" s="296" t="s">
        <v>2249</v>
      </c>
    </row>
    <row r="1140" spans="1:33" hidden="1">
      <c r="A1140" s="251"/>
      <c r="H1140" s="253" t="s">
        <v>1687</v>
      </c>
      <c r="K1140" s="252">
        <f>ROUND(K1138/0.5334,1)</f>
        <v>314.8</v>
      </c>
      <c r="AG1140" s="296" t="s">
        <v>2249</v>
      </c>
    </row>
    <row r="1141" spans="1:33" hidden="1">
      <c r="A1141" s="251"/>
      <c r="F1141" s="296" t="s">
        <v>971</v>
      </c>
      <c r="K1141" s="358" t="s">
        <v>2046</v>
      </c>
    </row>
    <row r="1142" spans="1:33" hidden="1">
      <c r="A1142" s="251"/>
      <c r="F1142" s="296" t="s">
        <v>971</v>
      </c>
      <c r="G1142" s="252" t="s">
        <v>971</v>
      </c>
      <c r="H1142" s="296" t="s">
        <v>971</v>
      </c>
    </row>
    <row r="1143" spans="1:33" hidden="1">
      <c r="A1143" s="251"/>
      <c r="F1143" s="253" t="s">
        <v>1790</v>
      </c>
      <c r="G1143" s="252" t="s">
        <v>2241</v>
      </c>
      <c r="H1143" s="296" t="s">
        <v>1485</v>
      </c>
      <c r="AG1143" s="296" t="s">
        <v>2249</v>
      </c>
    </row>
    <row r="1144" spans="1:33" hidden="1">
      <c r="A1144" s="251"/>
      <c r="H1144" s="296" t="s">
        <v>1486</v>
      </c>
      <c r="AG1144" s="296" t="s">
        <v>2249</v>
      </c>
    </row>
    <row r="1145" spans="1:33" hidden="1">
      <c r="A1145" s="251"/>
      <c r="H1145" s="358" t="s">
        <v>1579</v>
      </c>
      <c r="AG1145" s="296" t="s">
        <v>2249</v>
      </c>
    </row>
    <row r="1146" spans="1:33" hidden="1">
      <c r="A1146" s="251"/>
      <c r="F1146" s="252">
        <v>1</v>
      </c>
      <c r="G1146" s="252" t="s">
        <v>1637</v>
      </c>
      <c r="H1146" s="296" t="s">
        <v>2408</v>
      </c>
      <c r="I1146" s="252">
        <f>(C638)</f>
        <v>37</v>
      </c>
      <c r="J1146" s="253" t="s">
        <v>1637</v>
      </c>
      <c r="K1146" s="252">
        <f>(F1146*I1146)</f>
        <v>37</v>
      </c>
      <c r="AG1146" s="296" t="s">
        <v>2249</v>
      </c>
    </row>
    <row r="1147" spans="1:33" hidden="1">
      <c r="A1147" s="251"/>
      <c r="K1147" s="358" t="s">
        <v>2046</v>
      </c>
      <c r="AG1147" s="296" t="s">
        <v>2249</v>
      </c>
    </row>
    <row r="1148" spans="1:33" hidden="1">
      <c r="A1148" s="251"/>
      <c r="AG1148" s="296" t="s">
        <v>2249</v>
      </c>
    </row>
    <row r="1149" spans="1:33" hidden="1">
      <c r="A1149" s="251"/>
      <c r="F1149" s="253" t="s">
        <v>442</v>
      </c>
      <c r="G1149" s="252" t="s">
        <v>2241</v>
      </c>
      <c r="H1149" s="296" t="s">
        <v>258</v>
      </c>
      <c r="I1149" s="296" t="s">
        <v>971</v>
      </c>
      <c r="J1149" s="253" t="s">
        <v>1708</v>
      </c>
      <c r="K1149" s="252">
        <v>3.7</v>
      </c>
      <c r="AG1149" s="296" t="s">
        <v>2249</v>
      </c>
    </row>
    <row r="1150" spans="1:33" hidden="1">
      <c r="A1150" s="251"/>
      <c r="H1150" s="296" t="s">
        <v>259</v>
      </c>
      <c r="K1150" s="358" t="s">
        <v>2046</v>
      </c>
      <c r="AG1150" s="296" t="s">
        <v>2249</v>
      </c>
    </row>
    <row r="1151" spans="1:33" hidden="1">
      <c r="A1151" s="251"/>
      <c r="AG1151" s="296" t="s">
        <v>2249</v>
      </c>
    </row>
    <row r="1152" spans="1:33" hidden="1">
      <c r="A1152" s="251"/>
      <c r="F1152" s="253" t="s">
        <v>224</v>
      </c>
      <c r="G1152" s="252" t="s">
        <v>2241</v>
      </c>
      <c r="H1152" s="296" t="s">
        <v>1913</v>
      </c>
      <c r="AG1152" s="296" t="s">
        <v>2249</v>
      </c>
    </row>
    <row r="1153" spans="1:33" hidden="1">
      <c r="A1153" s="251"/>
      <c r="H1153" s="296" t="s">
        <v>929</v>
      </c>
      <c r="AG1153" s="296" t="s">
        <v>2249</v>
      </c>
    </row>
    <row r="1154" spans="1:33" hidden="1">
      <c r="A1154" s="251"/>
      <c r="H1154" s="358" t="s">
        <v>1579</v>
      </c>
      <c r="AG1154" s="296" t="s">
        <v>2249</v>
      </c>
    </row>
    <row r="1155" spans="1:33" hidden="1">
      <c r="A1155" s="251"/>
      <c r="F1155" s="252">
        <v>0.22</v>
      </c>
      <c r="G1155" s="252" t="s">
        <v>866</v>
      </c>
      <c r="H1155" s="296" t="s">
        <v>1302</v>
      </c>
      <c r="I1155" s="252" t="e">
        <f>(K40)</f>
        <v>#REF!</v>
      </c>
      <c r="J1155" s="253" t="s">
        <v>866</v>
      </c>
      <c r="K1155" s="252" t="e">
        <f>(F1155*I1155)</f>
        <v>#REF!</v>
      </c>
      <c r="AG1155" s="296" t="s">
        <v>2249</v>
      </c>
    </row>
    <row r="1156" spans="1:33" hidden="1">
      <c r="A1156" s="251"/>
      <c r="F1156" s="252">
        <v>2.2000000000000002</v>
      </c>
      <c r="G1156" s="252" t="s">
        <v>766</v>
      </c>
      <c r="H1156" s="296" t="s">
        <v>2000</v>
      </c>
      <c r="I1156" s="252">
        <f>(C10)</f>
        <v>150</v>
      </c>
      <c r="J1156" s="253" t="s">
        <v>766</v>
      </c>
      <c r="K1156" s="252">
        <f>(F1156*I1156)</f>
        <v>330</v>
      </c>
      <c r="AG1156" s="296" t="s">
        <v>2249</v>
      </c>
    </row>
    <row r="1157" spans="1:33" hidden="1">
      <c r="A1157" s="251"/>
      <c r="F1157" s="252">
        <v>0.5</v>
      </c>
      <c r="G1157" s="252" t="s">
        <v>766</v>
      </c>
      <c r="H1157" s="296" t="s">
        <v>930</v>
      </c>
      <c r="I1157" s="252">
        <f>(C12)</f>
        <v>95</v>
      </c>
      <c r="J1157" s="253" t="s">
        <v>766</v>
      </c>
      <c r="K1157" s="252">
        <f>(F1157*I1157)</f>
        <v>47.5</v>
      </c>
      <c r="AG1157" s="296" t="s">
        <v>2249</v>
      </c>
    </row>
    <row r="1158" spans="1:33" hidden="1">
      <c r="A1158" s="251"/>
      <c r="F1158" s="252">
        <v>3.2</v>
      </c>
      <c r="G1158" s="252" t="s">
        <v>766</v>
      </c>
      <c r="H1158" s="296" t="s">
        <v>317</v>
      </c>
      <c r="I1158" s="252">
        <f>(C13)</f>
        <v>85</v>
      </c>
      <c r="J1158" s="253" t="s">
        <v>766</v>
      </c>
      <c r="K1158" s="252">
        <f>(F1158*I1158)</f>
        <v>272</v>
      </c>
      <c r="AG1158" s="296" t="s">
        <v>2249</v>
      </c>
    </row>
    <row r="1159" spans="1:33" hidden="1">
      <c r="A1159" s="251"/>
      <c r="G1159" s="252" t="s">
        <v>446</v>
      </c>
      <c r="H1159" s="296" t="s">
        <v>447</v>
      </c>
      <c r="I1159" s="296" t="s">
        <v>971</v>
      </c>
      <c r="J1159" s="253" t="s">
        <v>446</v>
      </c>
      <c r="K1159" s="252">
        <v>0</v>
      </c>
      <c r="AG1159" s="296" t="s">
        <v>2249</v>
      </c>
    </row>
    <row r="1160" spans="1:33" hidden="1">
      <c r="A1160" s="251"/>
      <c r="K1160" s="358" t="s">
        <v>1579</v>
      </c>
      <c r="AG1160" s="296" t="s">
        <v>2249</v>
      </c>
    </row>
    <row r="1161" spans="1:33" hidden="1">
      <c r="A1161" s="251"/>
      <c r="H1161" s="296" t="s">
        <v>438</v>
      </c>
      <c r="K1161" s="252" t="e">
        <f>SUM(K1155:K1159)</f>
        <v>#REF!</v>
      </c>
      <c r="AG1161" s="296" t="s">
        <v>2249</v>
      </c>
    </row>
    <row r="1162" spans="1:33" hidden="1">
      <c r="A1162" s="251"/>
      <c r="K1162" s="358" t="s">
        <v>1579</v>
      </c>
      <c r="AG1162" s="296" t="s">
        <v>2249</v>
      </c>
    </row>
    <row r="1163" spans="1:33" hidden="1">
      <c r="A1163" s="251"/>
      <c r="H1163" s="296" t="s">
        <v>549</v>
      </c>
      <c r="K1163" s="252" t="e">
        <f>(K1161/10)</f>
        <v>#REF!</v>
      </c>
      <c r="AG1163" s="296" t="s">
        <v>2249</v>
      </c>
    </row>
    <row r="1164" spans="1:33" hidden="1">
      <c r="A1164" s="251"/>
      <c r="K1164" s="358" t="s">
        <v>2046</v>
      </c>
      <c r="AG1164" s="296" t="s">
        <v>2249</v>
      </c>
    </row>
    <row r="1165" spans="1:33" hidden="1">
      <c r="A1165" s="251"/>
      <c r="F1165" s="253" t="s">
        <v>931</v>
      </c>
      <c r="G1165" s="252" t="s">
        <v>2241</v>
      </c>
      <c r="H1165" s="296" t="s">
        <v>1836</v>
      </c>
      <c r="AG1165" s="296" t="s">
        <v>2249</v>
      </c>
    </row>
    <row r="1166" spans="1:33" hidden="1">
      <c r="A1166" s="251"/>
      <c r="H1166" s="296" t="s">
        <v>1864</v>
      </c>
      <c r="AG1166" s="296" t="s">
        <v>2249</v>
      </c>
    </row>
    <row r="1167" spans="1:33" hidden="1">
      <c r="A1167" s="251"/>
      <c r="H1167" s="358" t="s">
        <v>1579</v>
      </c>
      <c r="AG1167" s="296" t="s">
        <v>2249</v>
      </c>
    </row>
    <row r="1168" spans="1:33" hidden="1">
      <c r="A1168" s="251"/>
      <c r="F1168" s="252">
        <v>160</v>
      </c>
      <c r="G1168" s="252" t="s">
        <v>1865</v>
      </c>
      <c r="H1168" s="296" t="s">
        <v>1866</v>
      </c>
      <c r="I1168" s="252">
        <f>(C136)</f>
        <v>8240</v>
      </c>
      <c r="J1168" s="253" t="s">
        <v>1474</v>
      </c>
      <c r="K1168" s="252">
        <f>(F1168*I1168)/1000</f>
        <v>1318.4</v>
      </c>
      <c r="AG1168" s="296" t="s">
        <v>318</v>
      </c>
    </row>
    <row r="1169" spans="1:33" hidden="1">
      <c r="A1169" s="251"/>
      <c r="H1169" s="296" t="s">
        <v>1867</v>
      </c>
      <c r="I1169" s="296" t="s">
        <v>971</v>
      </c>
      <c r="K1169" s="296" t="s">
        <v>971</v>
      </c>
    </row>
    <row r="1170" spans="1:33" hidden="1">
      <c r="A1170" s="251"/>
      <c r="F1170" s="252">
        <v>0.21</v>
      </c>
      <c r="G1170" s="252" t="s">
        <v>866</v>
      </c>
      <c r="H1170" s="296" t="s">
        <v>1868</v>
      </c>
      <c r="I1170" s="252" t="e">
        <f>(K32)</f>
        <v>#REF!</v>
      </c>
      <c r="J1170" s="253" t="s">
        <v>866</v>
      </c>
      <c r="K1170" s="252" t="e">
        <f>(F1170*I1170)</f>
        <v>#REF!</v>
      </c>
    </row>
    <row r="1171" spans="1:33" hidden="1">
      <c r="A1171" s="251"/>
      <c r="H1171" s="296" t="s">
        <v>1869</v>
      </c>
      <c r="I1171" s="296" t="s">
        <v>971</v>
      </c>
      <c r="K1171" s="296" t="s">
        <v>971</v>
      </c>
      <c r="AG1171" s="296" t="s">
        <v>2249</v>
      </c>
    </row>
    <row r="1172" spans="1:33" hidden="1">
      <c r="A1172" s="251"/>
      <c r="F1172" s="252">
        <v>1.1000000000000001</v>
      </c>
      <c r="G1172" s="252" t="s">
        <v>766</v>
      </c>
      <c r="H1172" s="296" t="s">
        <v>2000</v>
      </c>
      <c r="I1172" s="252">
        <f>(C10)</f>
        <v>150</v>
      </c>
      <c r="J1172" s="253" t="s">
        <v>766</v>
      </c>
      <c r="K1172" s="252">
        <f>(F1172*I1172)</f>
        <v>165</v>
      </c>
      <c r="AG1172" s="296" t="s">
        <v>2249</v>
      </c>
    </row>
    <row r="1173" spans="1:33" hidden="1">
      <c r="A1173" s="251"/>
      <c r="F1173" s="252">
        <v>1.1000000000000001</v>
      </c>
      <c r="G1173" s="252" t="s">
        <v>766</v>
      </c>
      <c r="H1173" s="296" t="s">
        <v>1704</v>
      </c>
      <c r="I1173" s="252">
        <f>(C11)</f>
        <v>135</v>
      </c>
      <c r="J1173" s="253" t="s">
        <v>766</v>
      </c>
      <c r="K1173" s="252">
        <f>(F1173*I1173)</f>
        <v>148.5</v>
      </c>
      <c r="AG1173" s="296" t="s">
        <v>2249</v>
      </c>
    </row>
    <row r="1174" spans="1:33" hidden="1">
      <c r="A1174" s="251"/>
      <c r="F1174" s="252">
        <v>2.2000000000000002</v>
      </c>
      <c r="G1174" s="252" t="s">
        <v>766</v>
      </c>
      <c r="H1174" s="296" t="s">
        <v>1893</v>
      </c>
      <c r="I1174" s="252">
        <f>(C12)</f>
        <v>95</v>
      </c>
      <c r="J1174" s="253" t="s">
        <v>766</v>
      </c>
      <c r="K1174" s="252">
        <f>(F1174*I1174)</f>
        <v>209</v>
      </c>
      <c r="AG1174" s="296" t="s">
        <v>2249</v>
      </c>
    </row>
    <row r="1175" spans="1:33" hidden="1">
      <c r="A1175" s="251"/>
      <c r="F1175" s="252">
        <v>2.2000000000000002</v>
      </c>
      <c r="G1175" s="252" t="s">
        <v>766</v>
      </c>
      <c r="H1175" s="296" t="s">
        <v>317</v>
      </c>
      <c r="I1175" s="252">
        <f>(C13)</f>
        <v>85</v>
      </c>
      <c r="J1175" s="253" t="s">
        <v>766</v>
      </c>
      <c r="K1175" s="252">
        <f>(F1175*I1175)</f>
        <v>187</v>
      </c>
      <c r="AG1175" s="296" t="s">
        <v>2249</v>
      </c>
    </row>
    <row r="1176" spans="1:33" hidden="1">
      <c r="A1176" s="251"/>
      <c r="F1176" s="356">
        <v>22</v>
      </c>
      <c r="G1176" s="252" t="s">
        <v>1637</v>
      </c>
      <c r="H1176" s="296" t="s">
        <v>859</v>
      </c>
      <c r="I1176" s="252">
        <f>(C67)</f>
        <v>3800</v>
      </c>
      <c r="J1176" s="253" t="s">
        <v>858</v>
      </c>
      <c r="K1176" s="252">
        <f>(F1176*I1176)/1000</f>
        <v>83.6</v>
      </c>
      <c r="AG1176" s="296" t="s">
        <v>2249</v>
      </c>
    </row>
    <row r="1177" spans="1:33" hidden="1">
      <c r="A1177" s="251"/>
      <c r="F1177" s="252">
        <v>1.6</v>
      </c>
      <c r="G1177" s="252" t="s">
        <v>766</v>
      </c>
      <c r="H1177" s="296" t="s">
        <v>1704</v>
      </c>
      <c r="I1177" s="252">
        <f>(C11)</f>
        <v>135</v>
      </c>
      <c r="J1177" s="253" t="s">
        <v>766</v>
      </c>
      <c r="K1177" s="252">
        <f>(F1177*I1177)</f>
        <v>216</v>
      </c>
      <c r="AG1177" s="296" t="s">
        <v>2249</v>
      </c>
    </row>
    <row r="1178" spans="1:33" hidden="1">
      <c r="A1178" s="251"/>
      <c r="F1178" s="252">
        <v>0.5</v>
      </c>
      <c r="G1178" s="252" t="s">
        <v>766</v>
      </c>
      <c r="H1178" s="296" t="s">
        <v>1893</v>
      </c>
      <c r="I1178" s="252">
        <f>(C12)</f>
        <v>95</v>
      </c>
      <c r="J1178" s="253" t="s">
        <v>766</v>
      </c>
      <c r="K1178" s="252">
        <f>(F1178*I1178)</f>
        <v>47.5</v>
      </c>
      <c r="AG1178" s="296" t="s">
        <v>2249</v>
      </c>
    </row>
    <row r="1179" spans="1:33" hidden="1">
      <c r="A1179" s="251"/>
      <c r="F1179" s="252">
        <v>1.1000000000000001</v>
      </c>
      <c r="G1179" s="252" t="s">
        <v>766</v>
      </c>
      <c r="H1179" s="296" t="s">
        <v>317</v>
      </c>
      <c r="I1179" s="252">
        <f>(C13)</f>
        <v>85</v>
      </c>
      <c r="J1179" s="253" t="s">
        <v>766</v>
      </c>
      <c r="K1179" s="252">
        <f>(F1179*I1179)</f>
        <v>93.5</v>
      </c>
      <c r="AG1179" s="296" t="s">
        <v>2249</v>
      </c>
    </row>
    <row r="1180" spans="1:33" hidden="1">
      <c r="A1180" s="251"/>
      <c r="F1180" s="296" t="s">
        <v>246</v>
      </c>
      <c r="H1180" s="296" t="s">
        <v>1870</v>
      </c>
      <c r="I1180" s="296" t="s">
        <v>971</v>
      </c>
      <c r="K1180" s="296" t="s">
        <v>971</v>
      </c>
      <c r="AG1180" s="296" t="s">
        <v>2249</v>
      </c>
    </row>
    <row r="1181" spans="1:33" hidden="1">
      <c r="A1181" s="251"/>
      <c r="F1181" s="252">
        <v>1</v>
      </c>
      <c r="G1181" s="252" t="s">
        <v>446</v>
      </c>
      <c r="H1181" s="296" t="s">
        <v>1871</v>
      </c>
      <c r="I1181" s="252">
        <f>(C57)</f>
        <v>35</v>
      </c>
      <c r="J1181" s="253" t="s">
        <v>446</v>
      </c>
      <c r="K1181" s="252">
        <f>(F1181*I1181)</f>
        <v>35</v>
      </c>
      <c r="AG1181" s="296" t="s">
        <v>2249</v>
      </c>
    </row>
    <row r="1182" spans="1:33" hidden="1">
      <c r="A1182" s="251"/>
      <c r="F1182" s="252">
        <v>1</v>
      </c>
      <c r="G1182" s="252" t="s">
        <v>446</v>
      </c>
      <c r="H1182" s="296" t="s">
        <v>1872</v>
      </c>
      <c r="I1182" s="252">
        <f>(C58)</f>
        <v>15</v>
      </c>
      <c r="J1182" s="253" t="s">
        <v>446</v>
      </c>
      <c r="K1182" s="252">
        <f>(F1182*I1182)</f>
        <v>15</v>
      </c>
      <c r="AG1182" s="296" t="s">
        <v>2249</v>
      </c>
    </row>
    <row r="1183" spans="1:33" hidden="1">
      <c r="A1183" s="251"/>
      <c r="F1183" s="252">
        <v>1</v>
      </c>
      <c r="G1183" s="252" t="s">
        <v>446</v>
      </c>
      <c r="H1183" s="296" t="s">
        <v>177</v>
      </c>
      <c r="I1183" s="252">
        <f>(C28)</f>
        <v>58.33</v>
      </c>
      <c r="J1183" s="253" t="s">
        <v>446</v>
      </c>
      <c r="K1183" s="252">
        <f>(F1183*I1183)</f>
        <v>58.33</v>
      </c>
      <c r="AG1183" s="296" t="s">
        <v>2249</v>
      </c>
    </row>
    <row r="1184" spans="1:33" hidden="1">
      <c r="A1184" s="251"/>
      <c r="F1184" s="252">
        <v>1.1000000000000001</v>
      </c>
      <c r="G1184" s="252" t="s">
        <v>766</v>
      </c>
      <c r="H1184" s="296" t="s">
        <v>853</v>
      </c>
      <c r="I1184" s="252">
        <f>(C29)</f>
        <v>120</v>
      </c>
      <c r="J1184" s="253" t="s">
        <v>766</v>
      </c>
      <c r="K1184" s="252">
        <f>(F1184*I1184)</f>
        <v>132</v>
      </c>
      <c r="AG1184" s="296" t="s">
        <v>2249</v>
      </c>
    </row>
    <row r="1185" spans="1:33" hidden="1">
      <c r="A1185" s="251"/>
      <c r="F1185" s="252">
        <v>2.2000000000000002</v>
      </c>
      <c r="G1185" s="252" t="s">
        <v>766</v>
      </c>
      <c r="H1185" s="296" t="s">
        <v>854</v>
      </c>
      <c r="I1185" s="252">
        <f>(C13)</f>
        <v>85</v>
      </c>
      <c r="J1185" s="253" t="s">
        <v>766</v>
      </c>
      <c r="K1185" s="252">
        <f>(F1185*I1185)</f>
        <v>187</v>
      </c>
      <c r="AG1185" s="296" t="s">
        <v>2249</v>
      </c>
    </row>
    <row r="1186" spans="1:33" hidden="1">
      <c r="A1186" s="251"/>
      <c r="G1186" s="252" t="s">
        <v>446</v>
      </c>
      <c r="H1186" s="296" t="s">
        <v>447</v>
      </c>
      <c r="J1186" s="253" t="s">
        <v>446</v>
      </c>
      <c r="K1186" s="252">
        <v>0</v>
      </c>
      <c r="AG1186" s="296" t="s">
        <v>2249</v>
      </c>
    </row>
    <row r="1187" spans="1:33" hidden="1">
      <c r="A1187" s="251"/>
      <c r="K1187" s="358" t="s">
        <v>1579</v>
      </c>
      <c r="AG1187" s="296" t="s">
        <v>2249</v>
      </c>
    </row>
    <row r="1188" spans="1:33" hidden="1">
      <c r="A1188" s="251"/>
      <c r="H1188" s="296" t="s">
        <v>438</v>
      </c>
      <c r="K1188" s="252" t="e">
        <f>SUM(K1168:K1186)</f>
        <v>#REF!</v>
      </c>
      <c r="AG1188" s="296" t="s">
        <v>2249</v>
      </c>
    </row>
    <row r="1189" spans="1:33" hidden="1">
      <c r="A1189" s="251"/>
      <c r="K1189" s="358" t="s">
        <v>1579</v>
      </c>
      <c r="AG1189" s="296" t="s">
        <v>2249</v>
      </c>
    </row>
    <row r="1190" spans="1:33" hidden="1">
      <c r="A1190" s="251"/>
      <c r="F1190" s="296" t="s">
        <v>971</v>
      </c>
    </row>
    <row r="1191" spans="1:33" hidden="1">
      <c r="A1191" s="251"/>
      <c r="H1191" s="296" t="s">
        <v>549</v>
      </c>
      <c r="K1191" s="252" t="e">
        <f>(K1188/10)</f>
        <v>#REF!</v>
      </c>
      <c r="AG1191" s="296" t="s">
        <v>2249</v>
      </c>
    </row>
    <row r="1192" spans="1:33" hidden="1">
      <c r="A1192" s="251"/>
      <c r="F1192" s="296" t="s">
        <v>971</v>
      </c>
    </row>
    <row r="1193" spans="1:33" hidden="1">
      <c r="A1193" s="251"/>
      <c r="K1193" s="358" t="s">
        <v>2046</v>
      </c>
      <c r="AG1193" s="296" t="s">
        <v>2249</v>
      </c>
    </row>
    <row r="1194" spans="1:33" hidden="1">
      <c r="A1194" s="251"/>
      <c r="F1194" s="375">
        <v>29.5</v>
      </c>
      <c r="G1194" s="252" t="s">
        <v>2241</v>
      </c>
      <c r="H1194" s="296" t="s">
        <v>1805</v>
      </c>
      <c r="AG1194" s="296" t="s">
        <v>2249</v>
      </c>
    </row>
    <row r="1195" spans="1:33" hidden="1">
      <c r="A1195" s="251"/>
      <c r="H1195" s="296" t="s">
        <v>855</v>
      </c>
      <c r="AG1195" s="296" t="s">
        <v>2249</v>
      </c>
    </row>
    <row r="1196" spans="1:33" hidden="1">
      <c r="A1196" s="251"/>
      <c r="H1196" s="296" t="s">
        <v>1927</v>
      </c>
      <c r="AG1196" s="296" t="s">
        <v>2249</v>
      </c>
    </row>
    <row r="1197" spans="1:33" hidden="1">
      <c r="A1197" s="251"/>
      <c r="H1197" s="358" t="s">
        <v>1579</v>
      </c>
      <c r="I1197" s="358" t="s">
        <v>1579</v>
      </c>
      <c r="AG1197" s="296" t="s">
        <v>2249</v>
      </c>
    </row>
    <row r="1198" spans="1:33" hidden="1">
      <c r="A1198" s="251"/>
      <c r="F1198" s="252">
        <v>10</v>
      </c>
      <c r="G1198" s="252" t="s">
        <v>606</v>
      </c>
      <c r="H1198" s="296" t="s">
        <v>1928</v>
      </c>
      <c r="I1198" s="252">
        <f>(C579)</f>
        <v>301</v>
      </c>
      <c r="J1198" s="253" t="s">
        <v>606</v>
      </c>
      <c r="K1198" s="252">
        <f>(F1198*I1198)</f>
        <v>3010</v>
      </c>
      <c r="AG1198" s="296" t="s">
        <v>2249</v>
      </c>
    </row>
    <row r="1199" spans="1:33" hidden="1">
      <c r="A1199" s="251"/>
      <c r="F1199" s="252">
        <v>0.21</v>
      </c>
      <c r="G1199" s="252" t="s">
        <v>866</v>
      </c>
      <c r="H1199" s="296" t="s">
        <v>1868</v>
      </c>
      <c r="I1199" s="252" t="e">
        <f>(K32)</f>
        <v>#REF!</v>
      </c>
      <c r="J1199" s="253" t="s">
        <v>866</v>
      </c>
      <c r="K1199" s="252" t="e">
        <f>(F1199*I1199)</f>
        <v>#REF!</v>
      </c>
      <c r="AG1199" s="296" t="s">
        <v>2249</v>
      </c>
    </row>
    <row r="1200" spans="1:33" hidden="1">
      <c r="A1200" s="251"/>
      <c r="H1200" s="296" t="s">
        <v>1869</v>
      </c>
      <c r="I1200" s="296" t="s">
        <v>971</v>
      </c>
      <c r="K1200" s="296" t="s">
        <v>971</v>
      </c>
      <c r="AG1200" s="296" t="s">
        <v>2249</v>
      </c>
    </row>
    <row r="1201" spans="1:33" hidden="1">
      <c r="A1201" s="251"/>
      <c r="F1201" s="252">
        <v>1.1000000000000001</v>
      </c>
      <c r="G1201" s="252" t="s">
        <v>766</v>
      </c>
      <c r="H1201" s="296" t="s">
        <v>2000</v>
      </c>
      <c r="I1201" s="252">
        <f>(C10)</f>
        <v>150</v>
      </c>
      <c r="J1201" s="253" t="s">
        <v>766</v>
      </c>
      <c r="K1201" s="252">
        <f>(F1201*I1201)</f>
        <v>165</v>
      </c>
      <c r="AG1201" s="296" t="s">
        <v>2249</v>
      </c>
    </row>
    <row r="1202" spans="1:33" hidden="1">
      <c r="A1202" s="251"/>
      <c r="F1202" s="252">
        <v>1.1000000000000001</v>
      </c>
      <c r="G1202" s="252" t="s">
        <v>766</v>
      </c>
      <c r="H1202" s="296" t="s">
        <v>1704</v>
      </c>
      <c r="I1202" s="252">
        <f>(C11)</f>
        <v>135</v>
      </c>
      <c r="J1202" s="253" t="s">
        <v>766</v>
      </c>
      <c r="K1202" s="252">
        <f>(F1202*I1202)</f>
        <v>148.5</v>
      </c>
      <c r="AG1202" s="296" t="s">
        <v>2249</v>
      </c>
    </row>
    <row r="1203" spans="1:33" hidden="1">
      <c r="A1203" s="251"/>
      <c r="F1203" s="252">
        <v>2.2000000000000002</v>
      </c>
      <c r="G1203" s="252" t="s">
        <v>766</v>
      </c>
      <c r="H1203" s="296" t="s">
        <v>1893</v>
      </c>
      <c r="I1203" s="252">
        <f>(C12)</f>
        <v>95</v>
      </c>
      <c r="J1203" s="253" t="s">
        <v>766</v>
      </c>
      <c r="K1203" s="252">
        <f>(F1203*I1203)</f>
        <v>209</v>
      </c>
      <c r="AG1203" s="296" t="s">
        <v>2249</v>
      </c>
    </row>
    <row r="1204" spans="1:33" hidden="1">
      <c r="A1204" s="251"/>
      <c r="F1204" s="252">
        <v>2.2000000000000002</v>
      </c>
      <c r="G1204" s="252" t="s">
        <v>766</v>
      </c>
      <c r="H1204" s="296" t="s">
        <v>317</v>
      </c>
      <c r="I1204" s="252">
        <f>(C13)</f>
        <v>85</v>
      </c>
      <c r="J1204" s="253" t="s">
        <v>766</v>
      </c>
      <c r="K1204" s="252">
        <f>(F1204*I1204)</f>
        <v>187</v>
      </c>
    </row>
    <row r="1205" spans="1:33" hidden="1">
      <c r="A1205" s="251"/>
      <c r="F1205" s="356">
        <v>20</v>
      </c>
      <c r="G1205" s="252" t="s">
        <v>1637</v>
      </c>
      <c r="H1205" s="296" t="s">
        <v>859</v>
      </c>
      <c r="I1205" s="252">
        <f>(C67)</f>
        <v>3800</v>
      </c>
      <c r="J1205" s="253" t="s">
        <v>858</v>
      </c>
      <c r="K1205" s="252">
        <f>(F1205*I1205)/1000</f>
        <v>76</v>
      </c>
    </row>
    <row r="1206" spans="1:33" hidden="1">
      <c r="A1206" s="251"/>
      <c r="F1206" s="356">
        <v>2</v>
      </c>
      <c r="G1206" s="252" t="s">
        <v>1637</v>
      </c>
      <c r="H1206" s="296" t="s">
        <v>2409</v>
      </c>
      <c r="I1206" s="252">
        <f>C586</f>
        <v>19</v>
      </c>
      <c r="J1206" s="253" t="s">
        <v>1637</v>
      </c>
      <c r="K1206" s="252">
        <f>(F1206*I1206)</f>
        <v>38</v>
      </c>
      <c r="AG1206" s="296" t="s">
        <v>971</v>
      </c>
    </row>
    <row r="1207" spans="1:33" hidden="1">
      <c r="A1207" s="251"/>
      <c r="F1207" s="252">
        <v>1.6</v>
      </c>
      <c r="G1207" s="252" t="s">
        <v>766</v>
      </c>
      <c r="H1207" s="296" t="s">
        <v>1704</v>
      </c>
      <c r="I1207" s="252">
        <f>(C11)</f>
        <v>135</v>
      </c>
      <c r="J1207" s="253" t="s">
        <v>766</v>
      </c>
      <c r="K1207" s="252">
        <f>(F1207*I1207)</f>
        <v>216</v>
      </c>
    </row>
    <row r="1208" spans="1:33" hidden="1">
      <c r="A1208" s="251"/>
      <c r="F1208" s="252">
        <v>0.5</v>
      </c>
      <c r="G1208" s="252" t="s">
        <v>766</v>
      </c>
      <c r="H1208" s="296" t="s">
        <v>1893</v>
      </c>
      <c r="I1208" s="252">
        <f>(C12)</f>
        <v>95</v>
      </c>
      <c r="J1208" s="253" t="s">
        <v>766</v>
      </c>
      <c r="K1208" s="252">
        <f>(F1208*I1208)</f>
        <v>47.5</v>
      </c>
    </row>
    <row r="1209" spans="1:33" hidden="1">
      <c r="A1209" s="251"/>
      <c r="F1209" s="252">
        <v>1.1000000000000001</v>
      </c>
      <c r="G1209" s="252" t="s">
        <v>766</v>
      </c>
      <c r="H1209" s="296" t="s">
        <v>317</v>
      </c>
      <c r="I1209" s="252">
        <f>(C13)</f>
        <v>85</v>
      </c>
      <c r="J1209" s="253" t="s">
        <v>766</v>
      </c>
      <c r="K1209" s="252">
        <f>(F1209*I1209)</f>
        <v>93.5</v>
      </c>
    </row>
    <row r="1210" spans="1:33" hidden="1">
      <c r="A1210" s="251"/>
      <c r="G1210" s="252" t="s">
        <v>446</v>
      </c>
      <c r="H1210" s="296" t="s">
        <v>447</v>
      </c>
      <c r="J1210" s="253" t="s">
        <v>446</v>
      </c>
      <c r="K1210" s="252">
        <v>0</v>
      </c>
    </row>
    <row r="1211" spans="1:33" hidden="1">
      <c r="A1211" s="251"/>
      <c r="K1211" s="358" t="s">
        <v>1579</v>
      </c>
    </row>
    <row r="1212" spans="1:33" hidden="1">
      <c r="A1212" s="251"/>
      <c r="H1212" s="296" t="s">
        <v>438</v>
      </c>
      <c r="K1212" s="252" t="e">
        <f>SUM(K1198:K1210)</f>
        <v>#REF!</v>
      </c>
    </row>
    <row r="1213" spans="1:33" hidden="1">
      <c r="A1213" s="251"/>
      <c r="K1213" s="358" t="s">
        <v>1579</v>
      </c>
    </row>
    <row r="1214" spans="1:33" hidden="1">
      <c r="A1214" s="251"/>
      <c r="H1214" s="296" t="s">
        <v>549</v>
      </c>
      <c r="K1214" s="252" t="e">
        <f>(K1212/10)</f>
        <v>#REF!</v>
      </c>
    </row>
    <row r="1215" spans="1:33" hidden="1">
      <c r="A1215" s="251"/>
      <c r="K1215" s="358" t="s">
        <v>2046</v>
      </c>
    </row>
    <row r="1216" spans="1:33" hidden="1">
      <c r="A1216" s="251"/>
      <c r="F1216" s="375">
        <v>29.4</v>
      </c>
      <c r="G1216" s="252" t="s">
        <v>2241</v>
      </c>
      <c r="H1216" s="296" t="s">
        <v>1087</v>
      </c>
    </row>
    <row r="1217" spans="1:11" hidden="1">
      <c r="A1217" s="251"/>
      <c r="H1217" s="296" t="s">
        <v>1088</v>
      </c>
    </row>
    <row r="1218" spans="1:11" hidden="1">
      <c r="A1218" s="251"/>
      <c r="H1218" s="358" t="s">
        <v>1579</v>
      </c>
    </row>
    <row r="1219" spans="1:11" hidden="1">
      <c r="A1219" s="251"/>
      <c r="F1219" s="252">
        <v>1.86</v>
      </c>
      <c r="G1219" s="252" t="s">
        <v>606</v>
      </c>
      <c r="H1219" s="296" t="s">
        <v>1089</v>
      </c>
      <c r="I1219" s="252">
        <f>C580</f>
        <v>325</v>
      </c>
      <c r="J1219" s="253" t="s">
        <v>606</v>
      </c>
      <c r="K1219" s="252">
        <f>(F1219*I1219)</f>
        <v>604.5</v>
      </c>
    </row>
    <row r="1220" spans="1:11" hidden="1">
      <c r="A1220" s="251"/>
      <c r="F1220" s="252">
        <v>0.4</v>
      </c>
      <c r="G1220" s="252" t="s">
        <v>1637</v>
      </c>
      <c r="H1220" s="296" t="s">
        <v>2410</v>
      </c>
      <c r="I1220" s="252">
        <f>C586</f>
        <v>19</v>
      </c>
      <c r="J1220" s="253" t="s">
        <v>1637</v>
      </c>
      <c r="K1220" s="252">
        <f>(F1220*I1220)</f>
        <v>7.6</v>
      </c>
    </row>
    <row r="1221" spans="1:11" hidden="1">
      <c r="A1221" s="251"/>
      <c r="F1221" s="252">
        <v>0.02</v>
      </c>
      <c r="G1221" s="252" t="s">
        <v>866</v>
      </c>
      <c r="H1221" s="296" t="s">
        <v>414</v>
      </c>
      <c r="I1221" s="252" t="e">
        <f>K23</f>
        <v>#REF!</v>
      </c>
      <c r="J1221" s="253" t="s">
        <v>866</v>
      </c>
      <c r="K1221" s="252" t="e">
        <f>(F1221*I1221)</f>
        <v>#REF!</v>
      </c>
    </row>
    <row r="1222" spans="1:11" hidden="1">
      <c r="A1222" s="251"/>
      <c r="F1222" s="252">
        <v>1</v>
      </c>
      <c r="G1222" s="252" t="s">
        <v>766</v>
      </c>
      <c r="H1222" s="296" t="s">
        <v>2000</v>
      </c>
      <c r="I1222" s="252">
        <f>C10</f>
        <v>150</v>
      </c>
      <c r="J1222" s="253" t="s">
        <v>766</v>
      </c>
      <c r="K1222" s="252">
        <f>(F1222*I1222)</f>
        <v>150</v>
      </c>
    </row>
    <row r="1223" spans="1:11" hidden="1">
      <c r="A1223" s="251"/>
      <c r="F1223" s="252">
        <v>1</v>
      </c>
      <c r="G1223" s="252" t="s">
        <v>766</v>
      </c>
      <c r="H1223" s="296" t="s">
        <v>1680</v>
      </c>
      <c r="I1223" s="252">
        <f>C12</f>
        <v>95</v>
      </c>
      <c r="J1223" s="253" t="s">
        <v>766</v>
      </c>
      <c r="K1223" s="252">
        <f>(F1223*I1223)</f>
        <v>95</v>
      </c>
    </row>
    <row r="1224" spans="1:11" hidden="1">
      <c r="A1224" s="251"/>
      <c r="G1224" s="252" t="s">
        <v>446</v>
      </c>
      <c r="H1224" s="296" t="s">
        <v>447</v>
      </c>
      <c r="J1224" s="253" t="s">
        <v>446</v>
      </c>
      <c r="K1224" s="252">
        <v>0</v>
      </c>
    </row>
    <row r="1225" spans="1:11" hidden="1">
      <c r="A1225" s="251"/>
      <c r="K1225" s="358" t="s">
        <v>1579</v>
      </c>
    </row>
    <row r="1226" spans="1:11" hidden="1">
      <c r="A1226" s="251"/>
      <c r="H1226" s="296" t="s">
        <v>1681</v>
      </c>
      <c r="K1226" s="252" t="e">
        <f>SUM(K1219:K1224)</f>
        <v>#REF!</v>
      </c>
    </row>
    <row r="1227" spans="1:11" hidden="1">
      <c r="A1227" s="251"/>
      <c r="K1227" s="358" t="s">
        <v>1579</v>
      </c>
    </row>
    <row r="1228" spans="1:11" hidden="1">
      <c r="A1228" s="251"/>
      <c r="H1228" s="296" t="s">
        <v>549</v>
      </c>
      <c r="K1228" s="252" t="e">
        <f>(K1226/1.86)</f>
        <v>#REF!</v>
      </c>
    </row>
    <row r="1229" spans="1:11" hidden="1">
      <c r="A1229" s="251"/>
      <c r="K1229" s="358" t="s">
        <v>2046</v>
      </c>
    </row>
    <row r="1230" spans="1:11" hidden="1">
      <c r="A1230" s="251"/>
      <c r="F1230" s="253" t="s">
        <v>206</v>
      </c>
      <c r="G1230" s="252" t="s">
        <v>2241</v>
      </c>
      <c r="H1230" s="296" t="s">
        <v>1913</v>
      </c>
    </row>
    <row r="1231" spans="1:11" hidden="1">
      <c r="A1231" s="251"/>
      <c r="H1231" s="296" t="s">
        <v>929</v>
      </c>
    </row>
    <row r="1232" spans="1:11" hidden="1">
      <c r="A1232" s="251"/>
      <c r="H1232" s="296" t="s">
        <v>1682</v>
      </c>
    </row>
    <row r="1233" spans="1:11" hidden="1">
      <c r="A1233" s="251"/>
      <c r="H1233" s="296" t="s">
        <v>5691</v>
      </c>
    </row>
    <row r="1234" spans="1:11" hidden="1">
      <c r="A1234" s="251"/>
      <c r="H1234" s="358" t="s">
        <v>1579</v>
      </c>
    </row>
    <row r="1235" spans="1:11" hidden="1">
      <c r="A1235" s="251"/>
      <c r="F1235" s="252">
        <v>0.24</v>
      </c>
      <c r="G1235" s="252" t="s">
        <v>866</v>
      </c>
      <c r="H1235" s="296" t="s">
        <v>1683</v>
      </c>
      <c r="I1235" s="252" t="e">
        <f>(C70)</f>
        <v>#REF!</v>
      </c>
      <c r="J1235" s="253" t="s">
        <v>866</v>
      </c>
      <c r="K1235" s="252" t="e">
        <f>(F1235*I1235)</f>
        <v>#REF!</v>
      </c>
    </row>
    <row r="1236" spans="1:11" hidden="1">
      <c r="A1236" s="251"/>
      <c r="F1236" s="356">
        <v>0.11700000000000001</v>
      </c>
      <c r="G1236" s="252" t="s">
        <v>858</v>
      </c>
      <c r="H1236" s="296" t="s">
        <v>859</v>
      </c>
      <c r="I1236" s="252">
        <f>(C67)</f>
        <v>3800</v>
      </c>
      <c r="J1236" s="253" t="s">
        <v>858</v>
      </c>
      <c r="K1236" s="252">
        <f>(F1236*I1236)</f>
        <v>444.6</v>
      </c>
    </row>
    <row r="1237" spans="1:11" hidden="1">
      <c r="A1237" s="251"/>
      <c r="F1237" s="252">
        <v>0.5</v>
      </c>
      <c r="G1237" s="252" t="s">
        <v>766</v>
      </c>
      <c r="H1237" s="296" t="s">
        <v>2000</v>
      </c>
      <c r="I1237" s="252">
        <f>(C10)</f>
        <v>150</v>
      </c>
      <c r="J1237" s="253" t="s">
        <v>766</v>
      </c>
      <c r="K1237" s="252">
        <f>(F1237*I1237)</f>
        <v>75</v>
      </c>
    </row>
    <row r="1238" spans="1:11" hidden="1">
      <c r="A1238" s="251"/>
      <c r="F1238" s="252">
        <v>1.1000000000000001</v>
      </c>
      <c r="G1238" s="252" t="s">
        <v>766</v>
      </c>
      <c r="H1238" s="296" t="s">
        <v>930</v>
      </c>
      <c r="I1238" s="252">
        <f>(C12)</f>
        <v>95</v>
      </c>
      <c r="J1238" s="253" t="s">
        <v>766</v>
      </c>
      <c r="K1238" s="252">
        <f>(F1238*I1238)</f>
        <v>104.5</v>
      </c>
    </row>
    <row r="1239" spans="1:11" hidden="1">
      <c r="A1239" s="251"/>
      <c r="F1239" s="252">
        <v>4.3</v>
      </c>
      <c r="G1239" s="252" t="s">
        <v>766</v>
      </c>
      <c r="H1239" s="296" t="s">
        <v>317</v>
      </c>
      <c r="I1239" s="252">
        <f>(C13)</f>
        <v>85</v>
      </c>
      <c r="J1239" s="253" t="s">
        <v>766</v>
      </c>
      <c r="K1239" s="252">
        <f>(F1239*I1239)</f>
        <v>365.5</v>
      </c>
    </row>
    <row r="1240" spans="1:11" hidden="1">
      <c r="A1240" s="251"/>
      <c r="G1240" s="252" t="s">
        <v>446</v>
      </c>
      <c r="H1240" s="296" t="s">
        <v>447</v>
      </c>
      <c r="J1240" s="253" t="s">
        <v>446</v>
      </c>
      <c r="K1240" s="252">
        <v>0</v>
      </c>
    </row>
    <row r="1241" spans="1:11" hidden="1">
      <c r="A1241" s="251"/>
      <c r="K1241" s="358" t="s">
        <v>1579</v>
      </c>
    </row>
    <row r="1242" spans="1:11" hidden="1">
      <c r="A1242" s="251"/>
      <c r="H1242" s="296" t="s">
        <v>438</v>
      </c>
      <c r="K1242" s="252" t="e">
        <f>SUM(K1235:K1240)</f>
        <v>#REF!</v>
      </c>
    </row>
    <row r="1243" spans="1:11" hidden="1">
      <c r="A1243" s="251"/>
      <c r="K1243" s="358" t="s">
        <v>1579</v>
      </c>
    </row>
    <row r="1244" spans="1:11" hidden="1">
      <c r="A1244" s="251"/>
      <c r="H1244" s="296" t="s">
        <v>549</v>
      </c>
      <c r="K1244" s="252" t="e">
        <f>(K1242/10)</f>
        <v>#REF!</v>
      </c>
    </row>
    <row r="1245" spans="1:11" hidden="1">
      <c r="A1245" s="251"/>
      <c r="F1245" s="296" t="s">
        <v>971</v>
      </c>
    </row>
    <row r="1246" spans="1:11" hidden="1">
      <c r="A1246" s="251"/>
      <c r="K1246" s="358" t="s">
        <v>2046</v>
      </c>
    </row>
    <row r="1247" spans="1:11" hidden="1">
      <c r="A1247" s="251"/>
      <c r="F1247" s="253" t="s">
        <v>1929</v>
      </c>
      <c r="G1247" s="252" t="s">
        <v>2241</v>
      </c>
      <c r="H1247" s="276" t="s">
        <v>5692</v>
      </c>
    </row>
    <row r="1248" spans="1:11" hidden="1">
      <c r="A1248" s="251"/>
      <c r="H1248" s="296" t="s">
        <v>1930</v>
      </c>
    </row>
    <row r="1249" spans="1:11" hidden="1">
      <c r="A1249" s="251"/>
      <c r="H1249" s="296" t="s">
        <v>1931</v>
      </c>
    </row>
    <row r="1250" spans="1:11" hidden="1">
      <c r="A1250" s="251"/>
      <c r="H1250" s="296" t="s">
        <v>753</v>
      </c>
    </row>
    <row r="1251" spans="1:11" hidden="1">
      <c r="A1251" s="251"/>
      <c r="H1251" s="296" t="s">
        <v>746</v>
      </c>
    </row>
    <row r="1252" spans="1:11" hidden="1">
      <c r="A1252" s="251"/>
      <c r="H1252" s="358" t="s">
        <v>1579</v>
      </c>
    </row>
    <row r="1253" spans="1:11" hidden="1">
      <c r="A1253" s="251"/>
      <c r="F1253" s="252">
        <v>12.8</v>
      </c>
      <c r="G1253" s="252" t="s">
        <v>866</v>
      </c>
      <c r="H1253" s="296" t="s">
        <v>747</v>
      </c>
      <c r="I1253" s="252" t="e">
        <f>(C82)</f>
        <v>#REF!</v>
      </c>
      <c r="J1253" s="253" t="s">
        <v>866</v>
      </c>
      <c r="K1253" s="252" t="e">
        <f>(F1253*I1253)</f>
        <v>#REF!</v>
      </c>
    </row>
    <row r="1254" spans="1:11" hidden="1">
      <c r="A1254" s="251"/>
      <c r="F1254" s="252">
        <v>5</v>
      </c>
      <c r="G1254" s="252" t="s">
        <v>866</v>
      </c>
      <c r="H1254" s="296" t="s">
        <v>748</v>
      </c>
      <c r="I1254" s="252" t="e">
        <f>(C85)</f>
        <v>#REF!</v>
      </c>
      <c r="J1254" s="253" t="s">
        <v>866</v>
      </c>
      <c r="K1254" s="252" t="e">
        <f>(F1254*I1254)</f>
        <v>#REF!</v>
      </c>
    </row>
    <row r="1255" spans="1:11" hidden="1">
      <c r="A1255" s="251"/>
      <c r="F1255" s="252">
        <v>1.8</v>
      </c>
      <c r="G1255" s="252" t="s">
        <v>766</v>
      </c>
      <c r="H1255" s="296" t="s">
        <v>2000</v>
      </c>
      <c r="I1255" s="252">
        <f>(C10)</f>
        <v>150</v>
      </c>
      <c r="J1255" s="253" t="s">
        <v>766</v>
      </c>
      <c r="K1255" s="252">
        <f>(F1255*I1255)</f>
        <v>270</v>
      </c>
    </row>
    <row r="1256" spans="1:11" hidden="1">
      <c r="A1256" s="251"/>
      <c r="F1256" s="252">
        <v>17.7</v>
      </c>
      <c r="G1256" s="252" t="s">
        <v>766</v>
      </c>
      <c r="H1256" s="296" t="s">
        <v>930</v>
      </c>
      <c r="I1256" s="252">
        <f>(C12)</f>
        <v>95</v>
      </c>
      <c r="J1256" s="253" t="s">
        <v>766</v>
      </c>
      <c r="K1256" s="252">
        <f>(F1256*I1256)</f>
        <v>1681.5</v>
      </c>
    </row>
    <row r="1257" spans="1:11" hidden="1">
      <c r="A1257" s="251"/>
      <c r="F1257" s="252">
        <v>14.1</v>
      </c>
      <c r="G1257" s="252" t="s">
        <v>766</v>
      </c>
      <c r="H1257" s="296" t="s">
        <v>317</v>
      </c>
      <c r="I1257" s="252">
        <f>(C13)</f>
        <v>85</v>
      </c>
      <c r="J1257" s="253" t="s">
        <v>766</v>
      </c>
      <c r="K1257" s="252">
        <f>(F1257*I1257)</f>
        <v>1198.5</v>
      </c>
    </row>
    <row r="1258" spans="1:11" hidden="1">
      <c r="A1258" s="251"/>
      <c r="G1258" s="252" t="s">
        <v>446</v>
      </c>
      <c r="H1258" s="296" t="s">
        <v>447</v>
      </c>
      <c r="J1258" s="253" t="s">
        <v>446</v>
      </c>
      <c r="K1258" s="252">
        <v>0</v>
      </c>
    </row>
    <row r="1259" spans="1:11" hidden="1">
      <c r="A1259" s="251"/>
      <c r="K1259" s="358" t="s">
        <v>1579</v>
      </c>
    </row>
    <row r="1260" spans="1:11" hidden="1">
      <c r="A1260" s="251"/>
      <c r="H1260" s="296" t="s">
        <v>611</v>
      </c>
      <c r="K1260" s="252" t="e">
        <f>SUM(K1253:K1258)</f>
        <v>#REF!</v>
      </c>
    </row>
    <row r="1261" spans="1:11" hidden="1">
      <c r="A1261" s="251"/>
      <c r="K1261" s="358" t="s">
        <v>1579</v>
      </c>
    </row>
    <row r="1262" spans="1:11" hidden="1">
      <c r="A1262" s="251"/>
      <c r="H1262" s="296" t="s">
        <v>770</v>
      </c>
      <c r="K1262" s="252" t="e">
        <f>(K1260/10)</f>
        <v>#REF!</v>
      </c>
    </row>
    <row r="1263" spans="1:11" hidden="1">
      <c r="A1263" s="251"/>
      <c r="K1263" s="358" t="s">
        <v>2046</v>
      </c>
    </row>
    <row r="1264" spans="1:11" hidden="1">
      <c r="A1264" s="251"/>
    </row>
    <row r="1265" spans="1:11" hidden="1">
      <c r="A1265" s="251"/>
      <c r="G1265" s="252" t="s">
        <v>672</v>
      </c>
      <c r="H1265" s="296" t="s">
        <v>749</v>
      </c>
    </row>
    <row r="1266" spans="1:11" hidden="1">
      <c r="A1266" s="251"/>
      <c r="H1266" s="296" t="s">
        <v>750</v>
      </c>
    </row>
    <row r="1267" spans="1:11" hidden="1">
      <c r="A1267" s="251"/>
      <c r="H1267" s="358" t="s">
        <v>1579</v>
      </c>
    </row>
    <row r="1268" spans="1:11" hidden="1">
      <c r="A1268" s="251"/>
      <c r="F1268" s="252">
        <v>0.04</v>
      </c>
      <c r="G1268" s="252" t="s">
        <v>866</v>
      </c>
      <c r="H1268" s="296" t="s">
        <v>751</v>
      </c>
      <c r="I1268" s="252" t="e">
        <f>(K32)</f>
        <v>#REF!</v>
      </c>
      <c r="J1268" s="253" t="s">
        <v>866</v>
      </c>
      <c r="K1268" s="252" t="e">
        <f>(F1268*I1268)</f>
        <v>#REF!</v>
      </c>
    </row>
    <row r="1269" spans="1:11" hidden="1">
      <c r="A1269" s="251"/>
      <c r="F1269" s="252">
        <v>2.2000000000000002</v>
      </c>
      <c r="G1269" s="252" t="s">
        <v>766</v>
      </c>
      <c r="H1269" s="296" t="s">
        <v>1704</v>
      </c>
      <c r="I1269" s="252">
        <f>(C11)</f>
        <v>135</v>
      </c>
      <c r="J1269" s="253" t="s">
        <v>766</v>
      </c>
      <c r="K1269" s="252">
        <f>(F1269*I1269)</f>
        <v>297</v>
      </c>
    </row>
    <row r="1270" spans="1:11" hidden="1">
      <c r="A1270" s="251"/>
      <c r="F1270" s="252">
        <v>0.5</v>
      </c>
      <c r="G1270" s="252" t="s">
        <v>766</v>
      </c>
      <c r="H1270" s="296" t="s">
        <v>1893</v>
      </c>
      <c r="I1270" s="252">
        <f>(C12)</f>
        <v>95</v>
      </c>
      <c r="J1270" s="253" t="s">
        <v>766</v>
      </c>
      <c r="K1270" s="252">
        <f>(F1270*I1270)</f>
        <v>47.5</v>
      </c>
    </row>
    <row r="1271" spans="1:11" hidden="1">
      <c r="A1271" s="251"/>
      <c r="F1271" s="252">
        <v>1.1000000000000001</v>
      </c>
      <c r="G1271" s="252" t="s">
        <v>766</v>
      </c>
      <c r="H1271" s="296" t="s">
        <v>317</v>
      </c>
      <c r="I1271" s="252">
        <f>(C13)</f>
        <v>85</v>
      </c>
      <c r="J1271" s="253" t="s">
        <v>766</v>
      </c>
      <c r="K1271" s="252">
        <f>(F1271*I1271)</f>
        <v>93.5</v>
      </c>
    </row>
    <row r="1272" spans="1:11" hidden="1">
      <c r="A1272" s="251"/>
      <c r="G1272" s="252" t="s">
        <v>446</v>
      </c>
      <c r="H1272" s="296" t="s">
        <v>447</v>
      </c>
      <c r="J1272" s="253" t="s">
        <v>446</v>
      </c>
      <c r="K1272" s="252">
        <v>0</v>
      </c>
    </row>
    <row r="1273" spans="1:11" hidden="1">
      <c r="A1273" s="251"/>
      <c r="K1273" s="358" t="s">
        <v>1579</v>
      </c>
    </row>
    <row r="1274" spans="1:11" hidden="1">
      <c r="A1274" s="251"/>
      <c r="H1274" s="296" t="s">
        <v>438</v>
      </c>
      <c r="K1274" s="252" t="e">
        <f>SUM(K1268:K1272)</f>
        <v>#REF!</v>
      </c>
    </row>
    <row r="1275" spans="1:11" hidden="1">
      <c r="A1275" s="251"/>
      <c r="K1275" s="358" t="s">
        <v>1579</v>
      </c>
    </row>
    <row r="1276" spans="1:11" hidden="1">
      <c r="A1276" s="251"/>
      <c r="H1276" s="296" t="s">
        <v>549</v>
      </c>
      <c r="K1276" s="252" t="e">
        <f>(K1274/10)</f>
        <v>#REF!</v>
      </c>
    </row>
    <row r="1277" spans="1:11" hidden="1">
      <c r="A1277" s="251"/>
      <c r="K1277" s="358" t="s">
        <v>2046</v>
      </c>
    </row>
    <row r="1278" spans="1:11" hidden="1">
      <c r="A1278" s="251"/>
    </row>
    <row r="1279" spans="1:11" hidden="1">
      <c r="A1279" s="251"/>
      <c r="F1279" s="375">
        <v>32.1</v>
      </c>
      <c r="G1279" s="252" t="s">
        <v>2241</v>
      </c>
      <c r="H1279" s="296" t="s">
        <v>752</v>
      </c>
    </row>
    <row r="1280" spans="1:11" hidden="1">
      <c r="A1280" s="251"/>
      <c r="H1280" s="296" t="s">
        <v>1476</v>
      </c>
    </row>
    <row r="1281" spans="1:11" hidden="1">
      <c r="A1281" s="251"/>
      <c r="H1281" s="296" t="s">
        <v>680</v>
      </c>
    </row>
    <row r="1282" spans="1:11" hidden="1">
      <c r="A1282" s="251"/>
      <c r="H1282" s="296" t="s">
        <v>3101</v>
      </c>
    </row>
    <row r="1283" spans="1:11" hidden="1">
      <c r="A1283" s="251"/>
      <c r="H1283" s="296" t="s">
        <v>1288</v>
      </c>
    </row>
    <row r="1284" spans="1:11" hidden="1">
      <c r="A1284" s="251"/>
      <c r="H1284" s="358" t="s">
        <v>1579</v>
      </c>
    </row>
    <row r="1285" spans="1:11" hidden="1">
      <c r="A1285" s="251"/>
      <c r="F1285" s="252">
        <v>190</v>
      </c>
      <c r="G1285" s="252" t="s">
        <v>1865</v>
      </c>
      <c r="H1285" s="296" t="s">
        <v>2003</v>
      </c>
      <c r="I1285" s="252">
        <f>(C83)</f>
        <v>4500</v>
      </c>
      <c r="J1285" s="253" t="s">
        <v>1474</v>
      </c>
      <c r="K1285" s="252">
        <f>(F1285*I1285)/1000</f>
        <v>855</v>
      </c>
    </row>
    <row r="1286" spans="1:11" hidden="1">
      <c r="A1286" s="251"/>
      <c r="F1286" s="252">
        <v>0.12</v>
      </c>
      <c r="G1286" s="252" t="s">
        <v>866</v>
      </c>
      <c r="H1286" s="296" t="s">
        <v>1868</v>
      </c>
      <c r="I1286" s="252" t="e">
        <f>(K32)</f>
        <v>#REF!</v>
      </c>
      <c r="J1286" s="253" t="s">
        <v>866</v>
      </c>
      <c r="K1286" s="252" t="e">
        <f t="shared" ref="K1286:K1292" si="59">(F1286*I1286)</f>
        <v>#REF!</v>
      </c>
    </row>
    <row r="1287" spans="1:11" hidden="1">
      <c r="A1287" s="251"/>
      <c r="F1287" s="252">
        <v>10</v>
      </c>
      <c r="G1287" s="252" t="s">
        <v>606</v>
      </c>
      <c r="H1287" s="296" t="s">
        <v>1290</v>
      </c>
      <c r="I1287" s="252" t="e">
        <f>(K1276)</f>
        <v>#REF!</v>
      </c>
      <c r="J1287" s="253" t="s">
        <v>606</v>
      </c>
      <c r="K1287" s="252" t="e">
        <f t="shared" si="59"/>
        <v>#REF!</v>
      </c>
    </row>
    <row r="1288" spans="1:11" hidden="1">
      <c r="A1288" s="251"/>
      <c r="F1288" s="252">
        <v>1.54</v>
      </c>
      <c r="G1288" s="252" t="s">
        <v>1637</v>
      </c>
      <c r="H1288" s="296" t="s">
        <v>960</v>
      </c>
      <c r="I1288" s="252">
        <f>C631</f>
        <v>30</v>
      </c>
      <c r="J1288" s="253" t="s">
        <v>1637</v>
      </c>
      <c r="K1288" s="252">
        <f t="shared" si="59"/>
        <v>46.2</v>
      </c>
    </row>
    <row r="1289" spans="1:11" hidden="1">
      <c r="A1289" s="251"/>
      <c r="F1289" s="252">
        <v>1.1000000000000001</v>
      </c>
      <c r="G1289" s="252" t="s">
        <v>766</v>
      </c>
      <c r="H1289" s="296" t="s">
        <v>2000</v>
      </c>
      <c r="I1289" s="252">
        <f>(C10)</f>
        <v>150</v>
      </c>
      <c r="J1289" s="253" t="s">
        <v>766</v>
      </c>
      <c r="K1289" s="252">
        <f t="shared" si="59"/>
        <v>165</v>
      </c>
    </row>
    <row r="1290" spans="1:11" hidden="1">
      <c r="A1290" s="251"/>
      <c r="F1290" s="252">
        <v>2.1</v>
      </c>
      <c r="G1290" s="252" t="s">
        <v>766</v>
      </c>
      <c r="H1290" s="296" t="s">
        <v>1704</v>
      </c>
      <c r="I1290" s="252">
        <f>(C11)</f>
        <v>135</v>
      </c>
      <c r="J1290" s="253" t="s">
        <v>766</v>
      </c>
      <c r="K1290" s="252">
        <f t="shared" si="59"/>
        <v>283.5</v>
      </c>
    </row>
    <row r="1291" spans="1:11" hidden="1">
      <c r="A1291" s="251"/>
      <c r="F1291" s="252">
        <v>2.2000000000000002</v>
      </c>
      <c r="G1291" s="252" t="s">
        <v>766</v>
      </c>
      <c r="H1291" s="296" t="s">
        <v>1893</v>
      </c>
      <c r="I1291" s="252">
        <f>(C12)</f>
        <v>95</v>
      </c>
      <c r="J1291" s="253" t="s">
        <v>766</v>
      </c>
      <c r="K1291" s="252">
        <f t="shared" si="59"/>
        <v>209</v>
      </c>
    </row>
    <row r="1292" spans="1:11" hidden="1">
      <c r="A1292" s="251"/>
      <c r="F1292" s="252">
        <v>1.1000000000000001</v>
      </c>
      <c r="G1292" s="252" t="s">
        <v>766</v>
      </c>
      <c r="H1292" s="296" t="s">
        <v>317</v>
      </c>
      <c r="I1292" s="252">
        <f>(C13)</f>
        <v>85</v>
      </c>
      <c r="J1292" s="253" t="s">
        <v>766</v>
      </c>
      <c r="K1292" s="252">
        <f t="shared" si="59"/>
        <v>93.5</v>
      </c>
    </row>
    <row r="1293" spans="1:11" hidden="1">
      <c r="A1293" s="251"/>
      <c r="G1293" s="252" t="s">
        <v>446</v>
      </c>
      <c r="H1293" s="296" t="s">
        <v>447</v>
      </c>
      <c r="J1293" s="253" t="s">
        <v>446</v>
      </c>
      <c r="K1293" s="252">
        <v>0</v>
      </c>
    </row>
    <row r="1294" spans="1:11" hidden="1">
      <c r="A1294" s="251"/>
      <c r="K1294" s="358" t="s">
        <v>1579</v>
      </c>
    </row>
    <row r="1295" spans="1:11" hidden="1">
      <c r="A1295" s="251"/>
      <c r="H1295" s="296" t="s">
        <v>438</v>
      </c>
      <c r="K1295" s="252" t="e">
        <f>SUM(K1285:K1293)</f>
        <v>#REF!</v>
      </c>
    </row>
    <row r="1296" spans="1:11" hidden="1">
      <c r="A1296" s="251"/>
      <c r="K1296" s="358" t="s">
        <v>1579</v>
      </c>
    </row>
    <row r="1297" spans="1:11" hidden="1">
      <c r="A1297" s="251"/>
      <c r="H1297" s="296" t="s">
        <v>549</v>
      </c>
      <c r="K1297" s="252" t="e">
        <f>(K1295/10)</f>
        <v>#REF!</v>
      </c>
    </row>
    <row r="1298" spans="1:11" hidden="1">
      <c r="A1298" s="251"/>
      <c r="K1298" s="358" t="s">
        <v>2046</v>
      </c>
    </row>
    <row r="1299" spans="1:11" hidden="1">
      <c r="A1299" s="251"/>
      <c r="K1299" s="358"/>
    </row>
    <row r="1300" spans="1:11" hidden="1">
      <c r="A1300" s="251"/>
      <c r="K1300" s="358"/>
    </row>
    <row r="1301" spans="1:11" hidden="1">
      <c r="A1301" s="251"/>
      <c r="F1301" s="375">
        <v>32.200000000000003</v>
      </c>
      <c r="G1301" s="252" t="s">
        <v>2241</v>
      </c>
      <c r="H1301" s="296" t="s">
        <v>752</v>
      </c>
      <c r="K1301" s="358"/>
    </row>
    <row r="1302" spans="1:11" hidden="1">
      <c r="A1302" s="251"/>
      <c r="H1302" s="296" t="s">
        <v>1476</v>
      </c>
      <c r="K1302" s="358"/>
    </row>
    <row r="1303" spans="1:11" hidden="1">
      <c r="A1303" s="251"/>
      <c r="H1303" s="296" t="s">
        <v>680</v>
      </c>
      <c r="K1303" s="358"/>
    </row>
    <row r="1304" spans="1:11" hidden="1">
      <c r="A1304" s="251"/>
      <c r="H1304" s="296" t="s">
        <v>3101</v>
      </c>
      <c r="K1304" s="358"/>
    </row>
    <row r="1305" spans="1:11" hidden="1">
      <c r="A1305" s="251"/>
      <c r="H1305" s="296" t="s">
        <v>1288</v>
      </c>
      <c r="K1305" s="358"/>
    </row>
    <row r="1306" spans="1:11" hidden="1">
      <c r="A1306" s="251"/>
      <c r="H1306" s="358" t="s">
        <v>1579</v>
      </c>
      <c r="K1306" s="358"/>
    </row>
    <row r="1307" spans="1:11" hidden="1">
      <c r="A1307" s="251"/>
      <c r="F1307" s="252">
        <v>190</v>
      </c>
      <c r="G1307" s="252" t="s">
        <v>1865</v>
      </c>
      <c r="H1307" s="296" t="s">
        <v>1560</v>
      </c>
      <c r="I1307" s="252">
        <f>E83</f>
        <v>3550</v>
      </c>
      <c r="J1307" s="253" t="s">
        <v>1474</v>
      </c>
      <c r="K1307" s="252">
        <f>(F1307*I1307)/1000</f>
        <v>674.5</v>
      </c>
    </row>
    <row r="1308" spans="1:11" hidden="1">
      <c r="A1308" s="251"/>
      <c r="F1308" s="252">
        <v>0.12</v>
      </c>
      <c r="G1308" s="252" t="s">
        <v>866</v>
      </c>
      <c r="H1308" s="296" t="s">
        <v>1868</v>
      </c>
      <c r="I1308" s="252" t="e">
        <f>K32</f>
        <v>#REF!</v>
      </c>
      <c r="J1308" s="253" t="s">
        <v>866</v>
      </c>
      <c r="K1308" s="252" t="e">
        <f t="shared" ref="K1308:K1314" si="60">(F1308*I1308)</f>
        <v>#REF!</v>
      </c>
    </row>
    <row r="1309" spans="1:11" hidden="1">
      <c r="A1309" s="251"/>
      <c r="F1309" s="252">
        <v>10</v>
      </c>
      <c r="G1309" s="252" t="s">
        <v>606</v>
      </c>
      <c r="H1309" s="296" t="s">
        <v>1290</v>
      </c>
      <c r="I1309" s="252" t="e">
        <f>K1276</f>
        <v>#REF!</v>
      </c>
      <c r="J1309" s="253" t="s">
        <v>606</v>
      </c>
      <c r="K1309" s="252" t="e">
        <f t="shared" si="60"/>
        <v>#REF!</v>
      </c>
    </row>
    <row r="1310" spans="1:11" hidden="1">
      <c r="A1310" s="251"/>
      <c r="F1310" s="252">
        <v>5.8</v>
      </c>
      <c r="G1310" s="252" t="s">
        <v>1637</v>
      </c>
      <c r="H1310" s="296" t="s">
        <v>960</v>
      </c>
      <c r="I1310" s="252">
        <f>C631</f>
        <v>30</v>
      </c>
      <c r="J1310" s="253" t="s">
        <v>1637</v>
      </c>
      <c r="K1310" s="252">
        <f t="shared" si="60"/>
        <v>174</v>
      </c>
    </row>
    <row r="1311" spans="1:11" hidden="1">
      <c r="A1311" s="251"/>
      <c r="F1311" s="252">
        <v>1.1000000000000001</v>
      </c>
      <c r="G1311" s="252" t="s">
        <v>766</v>
      </c>
      <c r="H1311" s="296" t="s">
        <v>2000</v>
      </c>
      <c r="I1311" s="252">
        <f>C10</f>
        <v>150</v>
      </c>
      <c r="J1311" s="253" t="s">
        <v>766</v>
      </c>
      <c r="K1311" s="252">
        <f t="shared" si="60"/>
        <v>165</v>
      </c>
    </row>
    <row r="1312" spans="1:11" hidden="1">
      <c r="A1312" s="251"/>
      <c r="F1312" s="252">
        <v>2.1</v>
      </c>
      <c r="G1312" s="252" t="s">
        <v>766</v>
      </c>
      <c r="H1312" s="296" t="s">
        <v>1704</v>
      </c>
      <c r="I1312" s="252">
        <f>C11</f>
        <v>135</v>
      </c>
      <c r="J1312" s="253" t="s">
        <v>766</v>
      </c>
      <c r="K1312" s="252">
        <f t="shared" si="60"/>
        <v>283.5</v>
      </c>
    </row>
    <row r="1313" spans="1:11" hidden="1">
      <c r="A1313" s="251"/>
      <c r="F1313" s="252">
        <v>2.2000000000000002</v>
      </c>
      <c r="G1313" s="252" t="s">
        <v>766</v>
      </c>
      <c r="H1313" s="296" t="s">
        <v>1893</v>
      </c>
      <c r="I1313" s="252">
        <f>C12</f>
        <v>95</v>
      </c>
      <c r="J1313" s="253" t="s">
        <v>766</v>
      </c>
      <c r="K1313" s="252">
        <f t="shared" si="60"/>
        <v>209</v>
      </c>
    </row>
    <row r="1314" spans="1:11" hidden="1">
      <c r="A1314" s="251"/>
      <c r="F1314" s="252">
        <v>1.1000000000000001</v>
      </c>
      <c r="G1314" s="252" t="s">
        <v>766</v>
      </c>
      <c r="H1314" s="296" t="s">
        <v>317</v>
      </c>
      <c r="I1314" s="252">
        <f>C13</f>
        <v>85</v>
      </c>
      <c r="J1314" s="253" t="s">
        <v>766</v>
      </c>
      <c r="K1314" s="252">
        <f t="shared" si="60"/>
        <v>93.5</v>
      </c>
    </row>
    <row r="1315" spans="1:11" hidden="1">
      <c r="A1315" s="251"/>
      <c r="G1315" s="252" t="s">
        <v>446</v>
      </c>
      <c r="H1315" s="296" t="s">
        <v>447</v>
      </c>
      <c r="J1315" s="253" t="s">
        <v>446</v>
      </c>
      <c r="K1315" s="252">
        <v>0</v>
      </c>
    </row>
    <row r="1316" spans="1:11" hidden="1">
      <c r="A1316" s="251"/>
      <c r="K1316" s="358" t="s">
        <v>1579</v>
      </c>
    </row>
    <row r="1317" spans="1:11" hidden="1">
      <c r="A1317" s="251"/>
      <c r="H1317" s="296" t="s">
        <v>438</v>
      </c>
      <c r="K1317" s="252" t="e">
        <f>SUM(K1307:K1315)</f>
        <v>#REF!</v>
      </c>
    </row>
    <row r="1318" spans="1:11" hidden="1">
      <c r="A1318" s="251"/>
      <c r="K1318" s="358" t="s">
        <v>1579</v>
      </c>
    </row>
    <row r="1319" spans="1:11" hidden="1">
      <c r="A1319" s="251"/>
      <c r="H1319" s="296" t="s">
        <v>549</v>
      </c>
      <c r="K1319" s="252" t="e">
        <f>(K1317/10)</f>
        <v>#REF!</v>
      </c>
    </row>
    <row r="1320" spans="1:11" hidden="1">
      <c r="A1320" s="251"/>
      <c r="K1320" s="358" t="s">
        <v>2046</v>
      </c>
    </row>
    <row r="1321" spans="1:11" hidden="1">
      <c r="A1321" s="251"/>
      <c r="K1321" s="358"/>
    </row>
    <row r="1322" spans="1:11" hidden="1">
      <c r="A1322" s="251"/>
      <c r="F1322" s="253" t="s">
        <v>1291</v>
      </c>
      <c r="G1322" s="252" t="s">
        <v>2241</v>
      </c>
      <c r="H1322" s="296" t="s">
        <v>4</v>
      </c>
    </row>
    <row r="1323" spans="1:11" hidden="1">
      <c r="A1323" s="251"/>
      <c r="H1323" s="358" t="s">
        <v>1579</v>
      </c>
    </row>
    <row r="1324" spans="1:11" hidden="1">
      <c r="A1324" s="251"/>
      <c r="F1324" s="252">
        <v>0.14000000000000001</v>
      </c>
      <c r="G1324" s="252" t="s">
        <v>866</v>
      </c>
      <c r="H1324" s="296" t="s">
        <v>1617</v>
      </c>
      <c r="I1324" s="252" t="e">
        <f>(K49)</f>
        <v>#REF!</v>
      </c>
      <c r="J1324" s="253" t="s">
        <v>866</v>
      </c>
      <c r="K1324" s="252" t="e">
        <f>(F1324*I1324)</f>
        <v>#REF!</v>
      </c>
    </row>
    <row r="1325" spans="1:11" hidden="1">
      <c r="A1325" s="251"/>
      <c r="F1325" s="252">
        <v>1.1000000000000001</v>
      </c>
      <c r="G1325" s="252" t="s">
        <v>865</v>
      </c>
      <c r="H1325" s="296" t="s">
        <v>2000</v>
      </c>
      <c r="I1325" s="252">
        <f>(C10)</f>
        <v>150</v>
      </c>
      <c r="J1325" s="253" t="s">
        <v>865</v>
      </c>
      <c r="K1325" s="252">
        <f>(F1325*I1325)</f>
        <v>165</v>
      </c>
    </row>
    <row r="1326" spans="1:11" hidden="1">
      <c r="A1326" s="251"/>
      <c r="F1326" s="252">
        <v>0.5</v>
      </c>
      <c r="G1326" s="252" t="s">
        <v>865</v>
      </c>
      <c r="H1326" s="296" t="s">
        <v>1893</v>
      </c>
      <c r="I1326" s="252">
        <f>(C12)</f>
        <v>95</v>
      </c>
      <c r="J1326" s="253" t="s">
        <v>865</v>
      </c>
      <c r="K1326" s="252">
        <f>(F1326*I1326)</f>
        <v>47.5</v>
      </c>
    </row>
    <row r="1327" spans="1:11" hidden="1">
      <c r="A1327" s="251"/>
      <c r="F1327" s="252">
        <v>1.1000000000000001</v>
      </c>
      <c r="G1327" s="252" t="s">
        <v>865</v>
      </c>
      <c r="H1327" s="296" t="s">
        <v>317</v>
      </c>
      <c r="I1327" s="252">
        <f>(C13)</f>
        <v>85</v>
      </c>
      <c r="J1327" s="253" t="s">
        <v>865</v>
      </c>
      <c r="K1327" s="252">
        <f>(F1327*I1327)</f>
        <v>93.5</v>
      </c>
    </row>
    <row r="1328" spans="1:11" hidden="1">
      <c r="A1328" s="251"/>
      <c r="G1328" s="252" t="s">
        <v>446</v>
      </c>
      <c r="H1328" s="296" t="s">
        <v>447</v>
      </c>
      <c r="I1328" s="296" t="s">
        <v>971</v>
      </c>
      <c r="J1328" s="253" t="s">
        <v>446</v>
      </c>
      <c r="K1328" s="252">
        <v>0</v>
      </c>
    </row>
    <row r="1329" spans="1:11" hidden="1">
      <c r="A1329" s="251"/>
      <c r="K1329" s="358" t="s">
        <v>1579</v>
      </c>
    </row>
    <row r="1330" spans="1:11" hidden="1">
      <c r="A1330" s="251"/>
      <c r="H1330" s="296" t="s">
        <v>438</v>
      </c>
      <c r="K1330" s="252" t="e">
        <f>SUM(K1324:K1328)</f>
        <v>#REF!</v>
      </c>
    </row>
    <row r="1331" spans="1:11" hidden="1">
      <c r="A1331" s="251"/>
      <c r="K1331" s="358" t="s">
        <v>1579</v>
      </c>
    </row>
    <row r="1332" spans="1:11" hidden="1">
      <c r="A1332" s="251"/>
      <c r="H1332" s="296" t="s">
        <v>549</v>
      </c>
      <c r="K1332" s="252" t="e">
        <f>(K1330/10)</f>
        <v>#REF!</v>
      </c>
    </row>
    <row r="1333" spans="1:11" hidden="1">
      <c r="A1333" s="251"/>
      <c r="F1333" s="296" t="s">
        <v>971</v>
      </c>
    </row>
    <row r="1334" spans="1:11" hidden="1">
      <c r="A1334" s="251"/>
      <c r="K1334" s="358" t="s">
        <v>2046</v>
      </c>
    </row>
    <row r="1335" spans="1:11" hidden="1">
      <c r="A1335" s="251"/>
      <c r="F1335" s="253" t="s">
        <v>5</v>
      </c>
      <c r="G1335" s="252" t="s">
        <v>2241</v>
      </c>
      <c r="H1335" s="296" t="s">
        <v>6</v>
      </c>
    </row>
    <row r="1336" spans="1:11" hidden="1">
      <c r="A1336" s="251"/>
      <c r="H1336" s="358" t="s">
        <v>1579</v>
      </c>
    </row>
    <row r="1337" spans="1:11" hidden="1">
      <c r="A1337" s="251"/>
      <c r="F1337" s="252">
        <v>0.14000000000000001</v>
      </c>
      <c r="G1337" s="252" t="s">
        <v>866</v>
      </c>
      <c r="H1337" s="296" t="s">
        <v>1302</v>
      </c>
      <c r="I1337" s="252" t="e">
        <f>(K40)</f>
        <v>#REF!</v>
      </c>
      <c r="J1337" s="253" t="s">
        <v>866</v>
      </c>
      <c r="K1337" s="252" t="e">
        <f>(F1337*I1337)</f>
        <v>#REF!</v>
      </c>
    </row>
    <row r="1338" spans="1:11" hidden="1">
      <c r="A1338" s="251"/>
      <c r="F1338" s="252">
        <v>1.1000000000000001</v>
      </c>
      <c r="G1338" s="252" t="s">
        <v>865</v>
      </c>
      <c r="H1338" s="296" t="s">
        <v>2000</v>
      </c>
      <c r="I1338" s="252">
        <f>(C10)</f>
        <v>150</v>
      </c>
      <c r="J1338" s="253" t="s">
        <v>865</v>
      </c>
      <c r="K1338" s="252">
        <f>(F1338*I1338)</f>
        <v>165</v>
      </c>
    </row>
    <row r="1339" spans="1:11" hidden="1">
      <c r="A1339" s="251"/>
      <c r="F1339" s="252">
        <v>0.5</v>
      </c>
      <c r="G1339" s="252" t="s">
        <v>865</v>
      </c>
      <c r="H1339" s="296" t="s">
        <v>1893</v>
      </c>
      <c r="I1339" s="252">
        <f>(C12)</f>
        <v>95</v>
      </c>
      <c r="J1339" s="253" t="s">
        <v>865</v>
      </c>
      <c r="K1339" s="252">
        <f>(F1339*I1339)</f>
        <v>47.5</v>
      </c>
    </row>
    <row r="1340" spans="1:11" hidden="1">
      <c r="A1340" s="251"/>
      <c r="F1340" s="252">
        <v>1.1000000000000001</v>
      </c>
      <c r="G1340" s="252" t="s">
        <v>865</v>
      </c>
      <c r="H1340" s="296" t="s">
        <v>317</v>
      </c>
      <c r="I1340" s="252">
        <f>(C13)</f>
        <v>85</v>
      </c>
      <c r="J1340" s="253" t="s">
        <v>865</v>
      </c>
      <c r="K1340" s="252">
        <f>(F1340*I1340)</f>
        <v>93.5</v>
      </c>
    </row>
    <row r="1341" spans="1:11" hidden="1">
      <c r="A1341" s="251"/>
      <c r="G1341" s="252" t="s">
        <v>446</v>
      </c>
      <c r="H1341" s="296" t="s">
        <v>447</v>
      </c>
      <c r="I1341" s="296" t="s">
        <v>971</v>
      </c>
      <c r="J1341" s="253" t="s">
        <v>446</v>
      </c>
      <c r="K1341" s="252">
        <v>0</v>
      </c>
    </row>
    <row r="1342" spans="1:11" hidden="1">
      <c r="A1342" s="251"/>
      <c r="K1342" s="358" t="s">
        <v>1579</v>
      </c>
    </row>
    <row r="1343" spans="1:11" hidden="1">
      <c r="A1343" s="251"/>
      <c r="H1343" s="296" t="s">
        <v>438</v>
      </c>
      <c r="K1343" s="252" t="e">
        <f>SUM(K1337:K1341)</f>
        <v>#REF!</v>
      </c>
    </row>
    <row r="1344" spans="1:11" hidden="1">
      <c r="A1344" s="251"/>
      <c r="K1344" s="358" t="s">
        <v>1579</v>
      </c>
    </row>
    <row r="1345" spans="1:11" hidden="1">
      <c r="A1345" s="251"/>
      <c r="H1345" s="296" t="s">
        <v>549</v>
      </c>
      <c r="K1345" s="252" t="e">
        <f>(K1343/10)</f>
        <v>#REF!</v>
      </c>
    </row>
    <row r="1346" spans="1:11" hidden="1">
      <c r="A1346" s="251"/>
      <c r="K1346" s="358" t="s">
        <v>2046</v>
      </c>
    </row>
    <row r="1347" spans="1:11" hidden="1">
      <c r="A1347" s="251"/>
      <c r="F1347" s="253" t="s">
        <v>7</v>
      </c>
      <c r="G1347" s="252" t="s">
        <v>2241</v>
      </c>
      <c r="H1347" s="296" t="s">
        <v>8</v>
      </c>
    </row>
    <row r="1348" spans="1:11" hidden="1">
      <c r="A1348" s="251"/>
      <c r="H1348" s="358" t="s">
        <v>1579</v>
      </c>
    </row>
    <row r="1349" spans="1:11" hidden="1">
      <c r="A1349" s="251"/>
      <c r="F1349" s="252">
        <v>0.1</v>
      </c>
      <c r="G1349" s="252" t="s">
        <v>866</v>
      </c>
      <c r="H1349" s="296" t="s">
        <v>1348</v>
      </c>
      <c r="I1349" s="252" t="e">
        <f>(K32)</f>
        <v>#REF!</v>
      </c>
      <c r="J1349" s="253" t="s">
        <v>866</v>
      </c>
      <c r="K1349" s="252" t="e">
        <f>(F1349*I1349)</f>
        <v>#REF!</v>
      </c>
    </row>
    <row r="1350" spans="1:11" hidden="1">
      <c r="A1350" s="251"/>
      <c r="F1350" s="252">
        <v>1.1000000000000001</v>
      </c>
      <c r="G1350" s="252" t="s">
        <v>865</v>
      </c>
      <c r="H1350" s="296" t="s">
        <v>2000</v>
      </c>
      <c r="I1350" s="252">
        <f>(C10)</f>
        <v>150</v>
      </c>
      <c r="J1350" s="253" t="s">
        <v>865</v>
      </c>
      <c r="K1350" s="252">
        <f>(F1350*I1350)</f>
        <v>165</v>
      </c>
    </row>
    <row r="1351" spans="1:11" hidden="1">
      <c r="A1351" s="251"/>
      <c r="F1351" s="252">
        <v>1.1000000000000001</v>
      </c>
      <c r="G1351" s="252" t="s">
        <v>865</v>
      </c>
      <c r="H1351" s="296" t="s">
        <v>1893</v>
      </c>
      <c r="I1351" s="252">
        <f>(C12)</f>
        <v>95</v>
      </c>
      <c r="J1351" s="253" t="s">
        <v>865</v>
      </c>
      <c r="K1351" s="252">
        <f>(F1351*I1351)</f>
        <v>104.5</v>
      </c>
    </row>
    <row r="1352" spans="1:11" hidden="1">
      <c r="A1352" s="251"/>
      <c r="F1352" s="252">
        <v>1.1000000000000001</v>
      </c>
      <c r="G1352" s="252" t="s">
        <v>865</v>
      </c>
      <c r="H1352" s="296" t="s">
        <v>317</v>
      </c>
      <c r="I1352" s="252">
        <f>(C13)</f>
        <v>85</v>
      </c>
      <c r="J1352" s="253" t="s">
        <v>865</v>
      </c>
      <c r="K1352" s="252">
        <f>(F1352*I1352)</f>
        <v>93.5</v>
      </c>
    </row>
    <row r="1353" spans="1:11" hidden="1">
      <c r="A1353" s="251"/>
      <c r="G1353" s="252" t="s">
        <v>446</v>
      </c>
      <c r="H1353" s="296" t="s">
        <v>447</v>
      </c>
      <c r="I1353" s="296" t="s">
        <v>971</v>
      </c>
      <c r="J1353" s="253" t="s">
        <v>446</v>
      </c>
      <c r="K1353" s="252">
        <v>0</v>
      </c>
    </row>
    <row r="1354" spans="1:11" hidden="1">
      <c r="A1354" s="251"/>
      <c r="K1354" s="358" t="s">
        <v>1579</v>
      </c>
    </row>
    <row r="1355" spans="1:11" hidden="1">
      <c r="A1355" s="251"/>
      <c r="H1355" s="296" t="s">
        <v>438</v>
      </c>
      <c r="K1355" s="252" t="e">
        <f>SUM(K1349:K1353)</f>
        <v>#REF!</v>
      </c>
    </row>
    <row r="1356" spans="1:11" hidden="1">
      <c r="A1356" s="251"/>
      <c r="K1356" s="358" t="s">
        <v>1579</v>
      </c>
    </row>
    <row r="1357" spans="1:11" hidden="1">
      <c r="A1357" s="251"/>
      <c r="H1357" s="296" t="s">
        <v>549</v>
      </c>
      <c r="K1357" s="252" t="e">
        <f>(K1355/10)</f>
        <v>#REF!</v>
      </c>
    </row>
    <row r="1358" spans="1:11" hidden="1">
      <c r="A1358" s="251"/>
      <c r="K1358" s="358" t="s">
        <v>2046</v>
      </c>
    </row>
    <row r="1359" spans="1:11" hidden="1">
      <c r="A1359" s="251"/>
    </row>
    <row r="1360" spans="1:11" hidden="1">
      <c r="A1360" s="251"/>
      <c r="G1360" s="252" t="s">
        <v>2241</v>
      </c>
      <c r="H1360" s="296" t="s">
        <v>839</v>
      </c>
    </row>
    <row r="1361" spans="1:11" hidden="1">
      <c r="A1361" s="251"/>
      <c r="H1361" s="296" t="s">
        <v>840</v>
      </c>
    </row>
    <row r="1362" spans="1:11" hidden="1">
      <c r="A1362" s="251"/>
      <c r="H1362" s="296" t="s">
        <v>841</v>
      </c>
    </row>
    <row r="1363" spans="1:11" hidden="1">
      <c r="A1363" s="251"/>
      <c r="H1363" s="358" t="s">
        <v>1579</v>
      </c>
    </row>
    <row r="1364" spans="1:11" hidden="1">
      <c r="A1364" s="251"/>
      <c r="F1364" s="252">
        <v>0.14000000000000001</v>
      </c>
      <c r="G1364" s="252" t="s">
        <v>866</v>
      </c>
      <c r="H1364" s="296" t="s">
        <v>1348</v>
      </c>
      <c r="I1364" s="252" t="e">
        <f>(K32)</f>
        <v>#REF!</v>
      </c>
      <c r="J1364" s="253" t="s">
        <v>866</v>
      </c>
      <c r="K1364" s="252" t="e">
        <f>(F1364*I1364)</f>
        <v>#REF!</v>
      </c>
    </row>
    <row r="1365" spans="1:11" hidden="1">
      <c r="A1365" s="251"/>
      <c r="F1365" s="252">
        <v>1.1000000000000001</v>
      </c>
      <c r="G1365" s="252" t="s">
        <v>865</v>
      </c>
      <c r="H1365" s="296" t="s">
        <v>2000</v>
      </c>
      <c r="I1365" s="252">
        <f>(C10)</f>
        <v>150</v>
      </c>
      <c r="J1365" s="253" t="s">
        <v>865</v>
      </c>
      <c r="K1365" s="252">
        <f>(F1365*I1365)</f>
        <v>165</v>
      </c>
    </row>
    <row r="1366" spans="1:11" hidden="1">
      <c r="A1366" s="251"/>
      <c r="F1366" s="252">
        <v>0.5</v>
      </c>
      <c r="G1366" s="252" t="s">
        <v>865</v>
      </c>
      <c r="H1366" s="296" t="s">
        <v>1893</v>
      </c>
      <c r="I1366" s="252">
        <f>(C12)</f>
        <v>95</v>
      </c>
      <c r="J1366" s="253" t="s">
        <v>865</v>
      </c>
      <c r="K1366" s="252">
        <f>(F1366*I1366)</f>
        <v>47.5</v>
      </c>
    </row>
    <row r="1367" spans="1:11" hidden="1">
      <c r="A1367" s="251"/>
      <c r="F1367" s="252">
        <v>1.1000000000000001</v>
      </c>
      <c r="G1367" s="252" t="s">
        <v>865</v>
      </c>
      <c r="H1367" s="296" t="s">
        <v>317</v>
      </c>
      <c r="I1367" s="252">
        <f>(C13)</f>
        <v>85</v>
      </c>
      <c r="J1367" s="253" t="s">
        <v>865</v>
      </c>
      <c r="K1367" s="252">
        <f>(F1367*I1367)</f>
        <v>93.5</v>
      </c>
    </row>
    <row r="1368" spans="1:11" hidden="1">
      <c r="A1368" s="251"/>
      <c r="F1368" s="252">
        <v>2</v>
      </c>
      <c r="G1368" s="252" t="s">
        <v>1637</v>
      </c>
      <c r="H1368" s="296" t="s">
        <v>842</v>
      </c>
      <c r="I1368" s="252">
        <f>(C631)</f>
        <v>30</v>
      </c>
      <c r="J1368" s="253" t="s">
        <v>1637</v>
      </c>
      <c r="K1368" s="252">
        <f>(F1368*I1368)</f>
        <v>60</v>
      </c>
    </row>
    <row r="1369" spans="1:11" hidden="1">
      <c r="A1369" s="251"/>
      <c r="G1369" s="252" t="s">
        <v>446</v>
      </c>
      <c r="H1369" s="296" t="s">
        <v>447</v>
      </c>
      <c r="I1369" s="296" t="s">
        <v>971</v>
      </c>
      <c r="J1369" s="253" t="s">
        <v>446</v>
      </c>
      <c r="K1369" s="252">
        <v>0</v>
      </c>
    </row>
    <row r="1370" spans="1:11" hidden="1">
      <c r="A1370" s="251"/>
      <c r="K1370" s="358" t="s">
        <v>1579</v>
      </c>
    </row>
    <row r="1371" spans="1:11" hidden="1">
      <c r="A1371" s="251"/>
      <c r="F1371" s="296" t="s">
        <v>971</v>
      </c>
      <c r="H1371" s="296" t="s">
        <v>438</v>
      </c>
      <c r="K1371" s="252" t="e">
        <f>SUM(K1364:K1369)</f>
        <v>#REF!</v>
      </c>
    </row>
    <row r="1372" spans="1:11" hidden="1">
      <c r="A1372" s="251"/>
      <c r="K1372" s="358" t="s">
        <v>1579</v>
      </c>
    </row>
    <row r="1373" spans="1:11" hidden="1">
      <c r="A1373" s="251"/>
      <c r="H1373" s="296" t="s">
        <v>549</v>
      </c>
      <c r="K1373" s="252" t="e">
        <f>(K1371/10)</f>
        <v>#REF!</v>
      </c>
    </row>
    <row r="1374" spans="1:11" hidden="1">
      <c r="A1374" s="251"/>
      <c r="K1374" s="358" t="s">
        <v>2046</v>
      </c>
    </row>
    <row r="1375" spans="1:11" hidden="1">
      <c r="A1375" s="251"/>
      <c r="H1375" s="296" t="s">
        <v>971</v>
      </c>
    </row>
    <row r="1376" spans="1:11" hidden="1">
      <c r="A1376" s="251"/>
    </row>
    <row r="1377" spans="1:11" hidden="1">
      <c r="A1377" s="251"/>
      <c r="F1377" s="253" t="s">
        <v>843</v>
      </c>
      <c r="G1377" s="252" t="s">
        <v>2241</v>
      </c>
      <c r="H1377" s="296" t="s">
        <v>844</v>
      </c>
    </row>
    <row r="1378" spans="1:11" hidden="1">
      <c r="A1378" s="251"/>
      <c r="H1378" s="296" t="s">
        <v>1355</v>
      </c>
    </row>
    <row r="1379" spans="1:11" hidden="1">
      <c r="A1379" s="251"/>
      <c r="H1379" s="296" t="s">
        <v>1356</v>
      </c>
    </row>
    <row r="1380" spans="1:11" hidden="1">
      <c r="A1380" s="251"/>
      <c r="H1380" s="296" t="s">
        <v>695</v>
      </c>
    </row>
    <row r="1381" spans="1:11" hidden="1">
      <c r="A1381" s="251"/>
      <c r="H1381" s="358" t="s">
        <v>1579</v>
      </c>
      <c r="I1381" s="358" t="s">
        <v>1579</v>
      </c>
    </row>
    <row r="1382" spans="1:11" hidden="1">
      <c r="A1382" s="251"/>
      <c r="G1382" s="252" t="s">
        <v>1898</v>
      </c>
      <c r="H1382" s="296" t="s">
        <v>696</v>
      </c>
    </row>
    <row r="1383" spans="1:11" hidden="1">
      <c r="A1383" s="251"/>
      <c r="G1383" s="252" t="s">
        <v>1579</v>
      </c>
      <c r="H1383" s="358" t="s">
        <v>1579</v>
      </c>
    </row>
    <row r="1384" spans="1:11" hidden="1">
      <c r="A1384" s="251"/>
      <c r="F1384" s="316">
        <v>1.4E-2</v>
      </c>
      <c r="G1384" s="252" t="s">
        <v>2142</v>
      </c>
      <c r="H1384" s="296" t="s">
        <v>697</v>
      </c>
      <c r="I1384" s="252" t="e">
        <f>K49</f>
        <v>#REF!</v>
      </c>
      <c r="J1384" s="253" t="s">
        <v>2142</v>
      </c>
      <c r="K1384" s="252" t="e">
        <f>(F1384*I1384)</f>
        <v>#REF!</v>
      </c>
    </row>
    <row r="1385" spans="1:11" hidden="1">
      <c r="A1385" s="251"/>
      <c r="F1385" s="252">
        <v>0.3</v>
      </c>
      <c r="G1385" s="252" t="s">
        <v>557</v>
      </c>
      <c r="H1385" s="296" t="s">
        <v>698</v>
      </c>
      <c r="I1385" s="252">
        <f>C10</f>
        <v>150</v>
      </c>
      <c r="J1385" s="253" t="s">
        <v>557</v>
      </c>
      <c r="K1385" s="252">
        <f>(F1385*I1385)</f>
        <v>45</v>
      </c>
    </row>
    <row r="1386" spans="1:11" hidden="1">
      <c r="A1386" s="251"/>
      <c r="F1386" s="252">
        <v>0.3</v>
      </c>
      <c r="G1386" s="252" t="s">
        <v>557</v>
      </c>
      <c r="H1386" s="296" t="s">
        <v>820</v>
      </c>
      <c r="I1386" s="252">
        <f>C12</f>
        <v>95</v>
      </c>
      <c r="J1386" s="253" t="s">
        <v>557</v>
      </c>
      <c r="K1386" s="252">
        <f>(F1386*I1386)</f>
        <v>28.5</v>
      </c>
    </row>
    <row r="1387" spans="1:11" hidden="1">
      <c r="A1387" s="251"/>
      <c r="G1387" s="252" t="s">
        <v>446</v>
      </c>
      <c r="H1387" s="296" t="s">
        <v>2261</v>
      </c>
      <c r="J1387" s="253" t="s">
        <v>446</v>
      </c>
      <c r="K1387" s="252">
        <v>0</v>
      </c>
    </row>
    <row r="1388" spans="1:11" hidden="1">
      <c r="A1388" s="251"/>
      <c r="K1388" s="358" t="s">
        <v>1579</v>
      </c>
    </row>
    <row r="1389" spans="1:11" hidden="1">
      <c r="A1389" s="251"/>
      <c r="H1389" s="253" t="s">
        <v>699</v>
      </c>
      <c r="K1389" s="252" t="e">
        <f>SUM(K1384:K1387)</f>
        <v>#REF!</v>
      </c>
    </row>
    <row r="1390" spans="1:11" hidden="1">
      <c r="A1390" s="251"/>
      <c r="K1390" s="358" t="s">
        <v>1579</v>
      </c>
    </row>
    <row r="1391" spans="1:11" hidden="1">
      <c r="A1391" s="251"/>
      <c r="H1391" s="253" t="s">
        <v>700</v>
      </c>
      <c r="K1391" s="252" t="e">
        <f>K1389/6.77</f>
        <v>#REF!</v>
      </c>
    </row>
    <row r="1392" spans="1:11" hidden="1">
      <c r="A1392" s="251"/>
      <c r="F1392" s="296" t="s">
        <v>971</v>
      </c>
    </row>
    <row r="1393" spans="1:11" hidden="1">
      <c r="A1393" s="251"/>
      <c r="K1393" s="358" t="s">
        <v>2046</v>
      </c>
    </row>
    <row r="1394" spans="1:11" hidden="1">
      <c r="A1394" s="251"/>
      <c r="G1394" s="252" t="s">
        <v>517</v>
      </c>
      <c r="H1394" s="296" t="s">
        <v>701</v>
      </c>
    </row>
    <row r="1395" spans="1:11" hidden="1">
      <c r="A1395" s="251"/>
      <c r="G1395" s="252" t="s">
        <v>1579</v>
      </c>
      <c r="H1395" s="358" t="s">
        <v>1579</v>
      </c>
    </row>
    <row r="1396" spans="1:11" hidden="1">
      <c r="A1396" s="251"/>
      <c r="F1396" s="316">
        <v>7.0000000000000001E-3</v>
      </c>
      <c r="G1396" s="252" t="s">
        <v>2142</v>
      </c>
      <c r="H1396" s="296" t="s">
        <v>697</v>
      </c>
      <c r="I1396" s="252" t="e">
        <f>K49</f>
        <v>#REF!</v>
      </c>
      <c r="J1396" s="253" t="s">
        <v>2142</v>
      </c>
      <c r="K1396" s="252" t="e">
        <f>(F1396*I1396)</f>
        <v>#REF!</v>
      </c>
    </row>
    <row r="1397" spans="1:11" hidden="1">
      <c r="A1397" s="251"/>
      <c r="F1397" s="252">
        <v>0.2</v>
      </c>
      <c r="G1397" s="252" t="s">
        <v>557</v>
      </c>
      <c r="H1397" s="296" t="s">
        <v>698</v>
      </c>
      <c r="I1397" s="252">
        <f>C10</f>
        <v>150</v>
      </c>
      <c r="J1397" s="253" t="s">
        <v>557</v>
      </c>
      <c r="K1397" s="252">
        <f>(F1397*I1397)</f>
        <v>30</v>
      </c>
    </row>
    <row r="1398" spans="1:11" hidden="1">
      <c r="A1398" s="251"/>
      <c r="F1398" s="252">
        <v>0.2</v>
      </c>
      <c r="G1398" s="252" t="s">
        <v>557</v>
      </c>
      <c r="H1398" s="296" t="s">
        <v>820</v>
      </c>
      <c r="I1398" s="252">
        <f>C12</f>
        <v>95</v>
      </c>
      <c r="J1398" s="253" t="s">
        <v>557</v>
      </c>
      <c r="K1398" s="252">
        <f>(F1398*I1398)</f>
        <v>19</v>
      </c>
    </row>
    <row r="1399" spans="1:11" hidden="1">
      <c r="A1399" s="251"/>
      <c r="H1399" s="296" t="s">
        <v>2261</v>
      </c>
      <c r="K1399" s="252">
        <v>0</v>
      </c>
    </row>
    <row r="1400" spans="1:11" hidden="1">
      <c r="A1400" s="251"/>
      <c r="K1400" s="358" t="s">
        <v>1579</v>
      </c>
    </row>
    <row r="1401" spans="1:11" hidden="1">
      <c r="A1401" s="251"/>
      <c r="H1401" s="253" t="s">
        <v>699</v>
      </c>
      <c r="K1401" s="252" t="e">
        <f>SUM(K1396:K1399)</f>
        <v>#REF!</v>
      </c>
    </row>
    <row r="1402" spans="1:11" hidden="1">
      <c r="A1402" s="251"/>
      <c r="K1402" s="358" t="s">
        <v>1579</v>
      </c>
    </row>
    <row r="1403" spans="1:11" hidden="1">
      <c r="A1403" s="251"/>
      <c r="H1403" s="253" t="s">
        <v>700</v>
      </c>
      <c r="K1403" s="252" t="e">
        <f>K1401/6.77</f>
        <v>#REF!</v>
      </c>
    </row>
    <row r="1404" spans="1:11" hidden="1">
      <c r="A1404" s="251"/>
      <c r="K1404" s="358" t="s">
        <v>2046</v>
      </c>
    </row>
    <row r="1405" spans="1:11" hidden="1">
      <c r="A1405" s="251"/>
      <c r="K1405" s="358"/>
    </row>
    <row r="1406" spans="1:11" hidden="1">
      <c r="A1406" s="251"/>
      <c r="K1406" s="358"/>
    </row>
    <row r="1407" spans="1:11" hidden="1">
      <c r="A1407" s="251"/>
      <c r="G1407" s="252" t="s">
        <v>313</v>
      </c>
      <c r="H1407" s="296" t="s">
        <v>935</v>
      </c>
      <c r="K1407" s="358"/>
    </row>
    <row r="1408" spans="1:11" hidden="1">
      <c r="A1408" s="251"/>
      <c r="G1408" s="252" t="s">
        <v>1579</v>
      </c>
      <c r="H1408" s="358" t="s">
        <v>1579</v>
      </c>
      <c r="K1408" s="358"/>
    </row>
    <row r="1409" spans="1:11" hidden="1">
      <c r="A1409" s="251"/>
      <c r="F1409" s="316">
        <v>4.7000000000000002E-3</v>
      </c>
      <c r="G1409" s="252" t="s">
        <v>2142</v>
      </c>
      <c r="H1409" s="296" t="s">
        <v>697</v>
      </c>
      <c r="I1409" s="252" t="e">
        <f>K49</f>
        <v>#REF!</v>
      </c>
      <c r="J1409" s="253" t="s">
        <v>2142</v>
      </c>
      <c r="K1409" s="252" t="e">
        <f>(F1409*I1409)</f>
        <v>#REF!</v>
      </c>
    </row>
    <row r="1410" spans="1:11" hidden="1">
      <c r="A1410" s="251"/>
      <c r="F1410" s="252">
        <v>0.15</v>
      </c>
      <c r="G1410" s="252" t="s">
        <v>557</v>
      </c>
      <c r="H1410" s="296" t="s">
        <v>698</v>
      </c>
      <c r="I1410" s="252">
        <f>C10</f>
        <v>150</v>
      </c>
      <c r="J1410" s="253" t="s">
        <v>557</v>
      </c>
      <c r="K1410" s="252">
        <f>(F1410*I1410)</f>
        <v>22.5</v>
      </c>
    </row>
    <row r="1411" spans="1:11" hidden="1">
      <c r="A1411" s="251"/>
      <c r="F1411" s="252">
        <v>0.15</v>
      </c>
      <c r="G1411" s="252" t="s">
        <v>557</v>
      </c>
      <c r="H1411" s="296" t="s">
        <v>820</v>
      </c>
      <c r="I1411" s="252">
        <f>C12</f>
        <v>95</v>
      </c>
      <c r="J1411" s="253" t="s">
        <v>557</v>
      </c>
      <c r="K1411" s="252">
        <f>(F1411*I1411)</f>
        <v>14.25</v>
      </c>
    </row>
    <row r="1412" spans="1:11" hidden="1">
      <c r="A1412" s="251"/>
      <c r="H1412" s="296" t="s">
        <v>2261</v>
      </c>
      <c r="K1412" s="252">
        <v>0</v>
      </c>
    </row>
    <row r="1413" spans="1:11" hidden="1">
      <c r="A1413" s="251"/>
      <c r="K1413" s="358" t="s">
        <v>1579</v>
      </c>
    </row>
    <row r="1414" spans="1:11" hidden="1">
      <c r="A1414" s="251"/>
      <c r="H1414" s="253" t="s">
        <v>699</v>
      </c>
      <c r="K1414" s="252" t="e">
        <f>SUM(K1409:K1412)</f>
        <v>#REF!</v>
      </c>
    </row>
    <row r="1415" spans="1:11" hidden="1">
      <c r="A1415" s="251"/>
      <c r="K1415" s="358" t="s">
        <v>1579</v>
      </c>
    </row>
    <row r="1416" spans="1:11" hidden="1">
      <c r="A1416" s="251"/>
      <c r="H1416" s="253" t="s">
        <v>700</v>
      </c>
      <c r="K1416" s="252" t="e">
        <f>K1414/6.77</f>
        <v>#REF!</v>
      </c>
    </row>
    <row r="1417" spans="1:11" hidden="1">
      <c r="A1417" s="251"/>
      <c r="K1417" s="358" t="s">
        <v>2046</v>
      </c>
    </row>
    <row r="1418" spans="1:11" hidden="1">
      <c r="A1418" s="251"/>
      <c r="K1418" s="358"/>
    </row>
    <row r="1419" spans="1:11" hidden="1">
      <c r="A1419" s="251"/>
      <c r="F1419" s="375">
        <v>37.1</v>
      </c>
      <c r="G1419" s="252" t="s">
        <v>2241</v>
      </c>
      <c r="H1419" s="296" t="s">
        <v>392</v>
      </c>
    </row>
    <row r="1420" spans="1:11" hidden="1">
      <c r="A1420" s="251"/>
      <c r="H1420" s="358" t="s">
        <v>1579</v>
      </c>
    </row>
    <row r="1421" spans="1:11" hidden="1">
      <c r="A1421" s="251"/>
      <c r="F1421" s="252">
        <v>0.09</v>
      </c>
      <c r="G1421" s="252" t="s">
        <v>866</v>
      </c>
      <c r="H1421" s="296" t="s">
        <v>1995</v>
      </c>
      <c r="I1421" s="252">
        <f>(C84)</f>
        <v>773</v>
      </c>
      <c r="J1421" s="253" t="s">
        <v>866</v>
      </c>
      <c r="K1421" s="252">
        <f>(F1421*I1421)</f>
        <v>69.569999999999993</v>
      </c>
    </row>
    <row r="1422" spans="1:11" hidden="1">
      <c r="A1422" s="251"/>
      <c r="F1422" s="252">
        <v>2.2000000000000002</v>
      </c>
      <c r="G1422" s="252" t="s">
        <v>865</v>
      </c>
      <c r="H1422" s="296" t="s">
        <v>1704</v>
      </c>
      <c r="I1422" s="252">
        <f>(C11)</f>
        <v>135</v>
      </c>
      <c r="J1422" s="253" t="s">
        <v>865</v>
      </c>
      <c r="K1422" s="252">
        <f>(F1422*I1422)</f>
        <v>297</v>
      </c>
    </row>
    <row r="1423" spans="1:11" hidden="1">
      <c r="A1423" s="251"/>
      <c r="F1423" s="252">
        <v>0.5</v>
      </c>
      <c r="G1423" s="252" t="s">
        <v>865</v>
      </c>
      <c r="H1423" s="296" t="s">
        <v>1893</v>
      </c>
      <c r="I1423" s="252">
        <f>(C12)</f>
        <v>95</v>
      </c>
      <c r="J1423" s="253" t="s">
        <v>865</v>
      </c>
      <c r="K1423" s="252">
        <f>(F1423*I1423)</f>
        <v>47.5</v>
      </c>
    </row>
    <row r="1424" spans="1:11" hidden="1">
      <c r="A1424" s="251"/>
      <c r="F1424" s="252">
        <v>3.8</v>
      </c>
      <c r="G1424" s="252" t="s">
        <v>865</v>
      </c>
      <c r="H1424" s="296" t="s">
        <v>317</v>
      </c>
      <c r="I1424" s="252">
        <f>(C13)</f>
        <v>85</v>
      </c>
      <c r="J1424" s="253" t="s">
        <v>865</v>
      </c>
      <c r="K1424" s="252">
        <f>(F1424*I1424)</f>
        <v>323</v>
      </c>
    </row>
    <row r="1425" spans="1:11" hidden="1">
      <c r="A1425" s="251"/>
      <c r="G1425" s="252" t="s">
        <v>446</v>
      </c>
      <c r="H1425" s="296" t="s">
        <v>502</v>
      </c>
      <c r="I1425" s="296" t="s">
        <v>971</v>
      </c>
      <c r="J1425" s="253" t="s">
        <v>446</v>
      </c>
      <c r="K1425" s="252">
        <v>1.5</v>
      </c>
    </row>
    <row r="1426" spans="1:11" hidden="1">
      <c r="A1426" s="251"/>
      <c r="K1426" s="358" t="s">
        <v>1579</v>
      </c>
    </row>
    <row r="1427" spans="1:11" hidden="1">
      <c r="A1427" s="251"/>
      <c r="H1427" s="296" t="s">
        <v>1830</v>
      </c>
      <c r="K1427" s="252">
        <f>SUM(K1420:K1425)</f>
        <v>738.57</v>
      </c>
    </row>
    <row r="1428" spans="1:11" hidden="1">
      <c r="A1428" s="251"/>
      <c r="K1428" s="358" t="s">
        <v>1579</v>
      </c>
    </row>
    <row r="1429" spans="1:11" hidden="1">
      <c r="A1429" s="251"/>
      <c r="H1429" s="296" t="s">
        <v>549</v>
      </c>
      <c r="K1429" s="252">
        <f>(K1427/100)</f>
        <v>7.39</v>
      </c>
    </row>
    <row r="1430" spans="1:11" hidden="1">
      <c r="A1430" s="251"/>
      <c r="K1430" s="358" t="s">
        <v>2046</v>
      </c>
    </row>
    <row r="1431" spans="1:11" hidden="1">
      <c r="A1431" s="251"/>
      <c r="F1431" s="253" t="s">
        <v>845</v>
      </c>
      <c r="G1431" s="252" t="s">
        <v>2241</v>
      </c>
      <c r="H1431" s="296" t="s">
        <v>994</v>
      </c>
    </row>
    <row r="1432" spans="1:11" hidden="1">
      <c r="A1432" s="251"/>
      <c r="H1432" s="296" t="s">
        <v>995</v>
      </c>
    </row>
    <row r="1433" spans="1:11" hidden="1">
      <c r="A1433" s="251"/>
      <c r="H1433" s="296" t="s">
        <v>996</v>
      </c>
    </row>
    <row r="1434" spans="1:11" hidden="1">
      <c r="A1434" s="251"/>
      <c r="H1434" s="296" t="s">
        <v>28</v>
      </c>
    </row>
    <row r="1435" spans="1:11" hidden="1">
      <c r="A1435" s="251"/>
      <c r="H1435" s="358" t="s">
        <v>1579</v>
      </c>
    </row>
    <row r="1436" spans="1:11" hidden="1">
      <c r="A1436" s="251"/>
      <c r="F1436" s="252">
        <v>4.8</v>
      </c>
      <c r="G1436" s="252" t="s">
        <v>1637</v>
      </c>
      <c r="H1436" s="296" t="s">
        <v>437</v>
      </c>
      <c r="I1436" s="252">
        <f>(C270)</f>
        <v>35</v>
      </c>
      <c r="J1436" s="253" t="s">
        <v>1637</v>
      </c>
      <c r="K1436" s="252">
        <f>(F1436*I1436)</f>
        <v>168</v>
      </c>
    </row>
    <row r="1437" spans="1:11" hidden="1">
      <c r="A1437" s="251"/>
      <c r="F1437" s="252">
        <v>0.75</v>
      </c>
      <c r="G1437" s="252" t="s">
        <v>865</v>
      </c>
      <c r="H1437" s="296" t="s">
        <v>29</v>
      </c>
      <c r="I1437" s="252">
        <f>(C14)</f>
        <v>120</v>
      </c>
      <c r="J1437" s="253" t="s">
        <v>865</v>
      </c>
      <c r="K1437" s="252">
        <f>(F1437*I1437)</f>
        <v>90</v>
      </c>
    </row>
    <row r="1438" spans="1:11" hidden="1">
      <c r="A1438" s="251"/>
      <c r="F1438" s="252">
        <v>0.75</v>
      </c>
      <c r="G1438" s="252" t="s">
        <v>865</v>
      </c>
      <c r="H1438" s="296" t="s">
        <v>930</v>
      </c>
      <c r="I1438" s="252">
        <f>(C12)</f>
        <v>95</v>
      </c>
      <c r="J1438" s="253" t="s">
        <v>865</v>
      </c>
      <c r="K1438" s="252">
        <f>(F1438*I1438)</f>
        <v>71.25</v>
      </c>
    </row>
    <row r="1439" spans="1:11" hidden="1">
      <c r="A1439" s="251"/>
      <c r="F1439" s="252">
        <v>1.2</v>
      </c>
      <c r="G1439" s="252" t="s">
        <v>865</v>
      </c>
      <c r="H1439" s="296" t="s">
        <v>317</v>
      </c>
      <c r="I1439" s="252">
        <f>(C13)</f>
        <v>85</v>
      </c>
      <c r="J1439" s="253" t="s">
        <v>865</v>
      </c>
      <c r="K1439" s="252">
        <f>(F1439*I1439)</f>
        <v>102</v>
      </c>
    </row>
    <row r="1440" spans="1:11" hidden="1">
      <c r="A1440" s="251"/>
      <c r="G1440" s="252" t="s">
        <v>446</v>
      </c>
      <c r="H1440" s="296" t="s">
        <v>1828</v>
      </c>
      <c r="I1440" s="296" t="s">
        <v>971</v>
      </c>
      <c r="J1440" s="253" t="s">
        <v>446</v>
      </c>
      <c r="K1440" s="252">
        <v>1.45</v>
      </c>
    </row>
    <row r="1441" spans="1:11" hidden="1">
      <c r="A1441" s="251"/>
      <c r="K1441" s="358" t="s">
        <v>1579</v>
      </c>
    </row>
    <row r="1442" spans="1:11" hidden="1">
      <c r="A1442" s="251"/>
      <c r="H1442" s="296" t="s">
        <v>438</v>
      </c>
      <c r="K1442" s="252">
        <f>SUM(K1436:K1440)</f>
        <v>432.7</v>
      </c>
    </row>
    <row r="1443" spans="1:11" hidden="1">
      <c r="A1443" s="251"/>
      <c r="K1443" s="358" t="s">
        <v>1579</v>
      </c>
    </row>
    <row r="1444" spans="1:11" hidden="1">
      <c r="A1444" s="251"/>
      <c r="H1444" s="296" t="s">
        <v>549</v>
      </c>
      <c r="K1444" s="252">
        <f>(K1442/10)</f>
        <v>43.27</v>
      </c>
    </row>
    <row r="1445" spans="1:11" hidden="1">
      <c r="A1445" s="251"/>
      <c r="K1445" s="358" t="s">
        <v>2046</v>
      </c>
    </row>
    <row r="1446" spans="1:11" hidden="1">
      <c r="A1446" s="251"/>
      <c r="F1446" s="253" t="s">
        <v>30</v>
      </c>
      <c r="G1446" s="252" t="s">
        <v>2241</v>
      </c>
      <c r="H1446" s="253" t="s">
        <v>31</v>
      </c>
    </row>
    <row r="1447" spans="1:11" hidden="1">
      <c r="A1447" s="251"/>
      <c r="H1447" s="253" t="s">
        <v>32</v>
      </c>
    </row>
    <row r="1448" spans="1:11" hidden="1">
      <c r="A1448" s="251"/>
      <c r="F1448" s="252">
        <v>3.08</v>
      </c>
      <c r="G1448" s="252" t="s">
        <v>1365</v>
      </c>
      <c r="H1448" s="296" t="s">
        <v>31</v>
      </c>
      <c r="I1448" s="252">
        <v>120</v>
      </c>
      <c r="J1448" s="253" t="s">
        <v>1365</v>
      </c>
      <c r="K1448" s="252">
        <f>(F1448*I1448)</f>
        <v>369.6</v>
      </c>
    </row>
    <row r="1449" spans="1:11" hidden="1">
      <c r="A1449" s="251"/>
      <c r="F1449" s="252">
        <v>0.5</v>
      </c>
      <c r="G1449" s="252" t="s">
        <v>557</v>
      </c>
      <c r="H1449" s="296" t="s">
        <v>1366</v>
      </c>
      <c r="I1449" s="252">
        <f>C14</f>
        <v>120</v>
      </c>
      <c r="J1449" s="253" t="s">
        <v>557</v>
      </c>
      <c r="K1449" s="252">
        <f>(F1449*I1449)</f>
        <v>60</v>
      </c>
    </row>
    <row r="1450" spans="1:11" hidden="1">
      <c r="A1450" s="251"/>
      <c r="F1450" s="252">
        <v>0.5</v>
      </c>
      <c r="G1450" s="252" t="s">
        <v>557</v>
      </c>
      <c r="H1450" s="296" t="s">
        <v>820</v>
      </c>
      <c r="I1450" s="252">
        <f>C12</f>
        <v>95</v>
      </c>
      <c r="J1450" s="253" t="s">
        <v>557</v>
      </c>
      <c r="K1450" s="252">
        <f>(F1450*I1450)</f>
        <v>47.5</v>
      </c>
    </row>
    <row r="1451" spans="1:11" hidden="1">
      <c r="A1451" s="251"/>
      <c r="F1451" s="252">
        <v>0.8</v>
      </c>
      <c r="G1451" s="252" t="s">
        <v>557</v>
      </c>
      <c r="H1451" s="296" t="s">
        <v>1367</v>
      </c>
      <c r="I1451" s="252">
        <f>C13</f>
        <v>85</v>
      </c>
      <c r="J1451" s="253" t="s">
        <v>557</v>
      </c>
      <c r="K1451" s="252">
        <f>(F1451*I1451)</f>
        <v>68</v>
      </c>
    </row>
    <row r="1452" spans="1:11" hidden="1">
      <c r="A1452" s="251"/>
      <c r="G1452" s="252" t="s">
        <v>446</v>
      </c>
      <c r="H1452" s="296" t="s">
        <v>1828</v>
      </c>
      <c r="J1452" s="253" t="s">
        <v>446</v>
      </c>
      <c r="K1452" s="252">
        <v>1.5</v>
      </c>
    </row>
    <row r="1453" spans="1:11" hidden="1">
      <c r="A1453" s="251"/>
    </row>
    <row r="1454" spans="1:11" hidden="1">
      <c r="A1454" s="251"/>
      <c r="K1454" s="358" t="s">
        <v>1579</v>
      </c>
    </row>
    <row r="1455" spans="1:11" hidden="1">
      <c r="A1455" s="251"/>
      <c r="H1455" s="253" t="s">
        <v>1368</v>
      </c>
      <c r="K1455" s="252">
        <f>SUM(K1448:K1452)</f>
        <v>546.6</v>
      </c>
    </row>
    <row r="1456" spans="1:11" hidden="1">
      <c r="A1456" s="251"/>
      <c r="K1456" s="358" t="s">
        <v>1579</v>
      </c>
    </row>
    <row r="1457" spans="1:11" hidden="1">
      <c r="A1457" s="251"/>
      <c r="F1457" s="296" t="s">
        <v>971</v>
      </c>
      <c r="G1457" s="252" t="s">
        <v>971</v>
      </c>
      <c r="H1457" s="253" t="s">
        <v>1687</v>
      </c>
      <c r="I1457" s="296" t="s">
        <v>971</v>
      </c>
      <c r="J1457" s="253" t="s">
        <v>971</v>
      </c>
      <c r="K1457" s="252">
        <f>K1455/10</f>
        <v>54.66</v>
      </c>
    </row>
    <row r="1458" spans="1:11" hidden="1">
      <c r="A1458" s="251"/>
      <c r="K1458" s="358" t="s">
        <v>2046</v>
      </c>
    </row>
    <row r="1459" spans="1:11" hidden="1">
      <c r="A1459" s="251"/>
      <c r="F1459" s="253" t="s">
        <v>1369</v>
      </c>
      <c r="G1459" s="252" t="s">
        <v>2241</v>
      </c>
      <c r="H1459" s="296" t="s">
        <v>1370</v>
      </c>
    </row>
    <row r="1460" spans="1:11" hidden="1">
      <c r="A1460" s="251"/>
      <c r="H1460" s="296" t="s">
        <v>1371</v>
      </c>
    </row>
    <row r="1461" spans="1:11" hidden="1">
      <c r="A1461" s="251"/>
      <c r="H1461" s="296" t="s">
        <v>1232</v>
      </c>
    </row>
    <row r="1462" spans="1:11" hidden="1">
      <c r="A1462" s="251"/>
      <c r="H1462" s="358" t="s">
        <v>1579</v>
      </c>
    </row>
    <row r="1463" spans="1:11" hidden="1">
      <c r="A1463" s="251"/>
      <c r="F1463" s="252">
        <v>1.44</v>
      </c>
      <c r="G1463" s="252" t="s">
        <v>1233</v>
      </c>
      <c r="H1463" s="296" t="s">
        <v>1174</v>
      </c>
      <c r="I1463" s="252">
        <f>(C195)</f>
        <v>100</v>
      </c>
      <c r="J1463" s="253" t="s">
        <v>1233</v>
      </c>
      <c r="K1463" s="252">
        <f>(F1463*I1463)</f>
        <v>144</v>
      </c>
    </row>
    <row r="1464" spans="1:11" hidden="1">
      <c r="A1464" s="251"/>
      <c r="F1464" s="252">
        <v>0.7</v>
      </c>
      <c r="G1464" s="252" t="s">
        <v>766</v>
      </c>
      <c r="H1464" s="296" t="s">
        <v>1175</v>
      </c>
      <c r="I1464" s="252">
        <f>(C14)</f>
        <v>120</v>
      </c>
      <c r="J1464" s="253" t="s">
        <v>766</v>
      </c>
      <c r="K1464" s="252">
        <f>(F1464*I1464)</f>
        <v>84</v>
      </c>
    </row>
    <row r="1465" spans="1:11" hidden="1">
      <c r="A1465" s="251"/>
      <c r="F1465" s="252">
        <v>2.5499999999999998</v>
      </c>
      <c r="G1465" s="252" t="s">
        <v>1233</v>
      </c>
      <c r="H1465" s="296" t="s">
        <v>1176</v>
      </c>
      <c r="I1465" s="252">
        <f>(C194)</f>
        <v>160</v>
      </c>
      <c r="J1465" s="253" t="s">
        <v>1233</v>
      </c>
      <c r="K1465" s="252">
        <f>(F1465*I1465)</f>
        <v>408</v>
      </c>
    </row>
    <row r="1466" spans="1:11" hidden="1">
      <c r="A1466" s="251"/>
      <c r="F1466" s="252">
        <v>1.2</v>
      </c>
      <c r="G1466" s="252" t="s">
        <v>766</v>
      </c>
      <c r="H1466" s="296" t="s">
        <v>1175</v>
      </c>
      <c r="I1466" s="252">
        <f>(C14)</f>
        <v>120</v>
      </c>
      <c r="J1466" s="253" t="s">
        <v>766</v>
      </c>
      <c r="K1466" s="252">
        <f>(F1466*I1466)</f>
        <v>144</v>
      </c>
    </row>
    <row r="1467" spans="1:11" hidden="1">
      <c r="A1467" s="251"/>
      <c r="G1467" s="252" t="s">
        <v>446</v>
      </c>
      <c r="H1467" s="296" t="s">
        <v>1177</v>
      </c>
      <c r="I1467" s="296" t="s">
        <v>971</v>
      </c>
      <c r="J1467" s="253" t="s">
        <v>446</v>
      </c>
      <c r="K1467" s="252">
        <v>1.5</v>
      </c>
    </row>
    <row r="1468" spans="1:11" hidden="1">
      <c r="A1468" s="251"/>
      <c r="K1468" s="358" t="s">
        <v>1579</v>
      </c>
    </row>
    <row r="1469" spans="1:11" hidden="1">
      <c r="A1469" s="251"/>
      <c r="H1469" s="296" t="s">
        <v>438</v>
      </c>
      <c r="K1469" s="252">
        <f>SUM(K1463:K1467)</f>
        <v>781.5</v>
      </c>
    </row>
    <row r="1470" spans="1:11" hidden="1">
      <c r="A1470" s="251"/>
      <c r="K1470" s="358" t="s">
        <v>1579</v>
      </c>
    </row>
    <row r="1471" spans="1:11" hidden="1">
      <c r="A1471" s="251"/>
      <c r="H1471" s="296" t="s">
        <v>549</v>
      </c>
      <c r="K1471" s="252">
        <f>(K1469/10)</f>
        <v>78.150000000000006</v>
      </c>
    </row>
    <row r="1472" spans="1:11" hidden="1">
      <c r="A1472" s="251"/>
      <c r="F1472" s="296" t="s">
        <v>971</v>
      </c>
    </row>
    <row r="1473" spans="1:11" hidden="1">
      <c r="A1473" s="251"/>
      <c r="K1473" s="358" t="s">
        <v>2046</v>
      </c>
    </row>
    <row r="1474" spans="1:11" hidden="1">
      <c r="A1474" s="251"/>
      <c r="F1474" s="369">
        <v>41</v>
      </c>
      <c r="G1474" s="252" t="s">
        <v>2241</v>
      </c>
      <c r="H1474" s="296" t="s">
        <v>1370</v>
      </c>
    </row>
    <row r="1475" spans="1:11" hidden="1">
      <c r="A1475" s="251"/>
      <c r="H1475" s="296" t="s">
        <v>1041</v>
      </c>
    </row>
    <row r="1476" spans="1:11" hidden="1">
      <c r="A1476" s="251"/>
      <c r="H1476" s="296" t="s">
        <v>1232</v>
      </c>
    </row>
    <row r="1477" spans="1:11" hidden="1">
      <c r="A1477" s="251"/>
      <c r="H1477" s="358" t="s">
        <v>1579</v>
      </c>
    </row>
    <row r="1478" spans="1:11" hidden="1">
      <c r="A1478" s="251"/>
      <c r="F1478" s="252">
        <v>2.2200000000000002</v>
      </c>
      <c r="G1478" s="252" t="s">
        <v>1233</v>
      </c>
      <c r="H1478" s="296" t="s">
        <v>1176</v>
      </c>
      <c r="I1478" s="252">
        <f>(C206)</f>
        <v>150</v>
      </c>
      <c r="J1478" s="253" t="s">
        <v>1233</v>
      </c>
      <c r="K1478" s="252">
        <f>(F1478*I1478)</f>
        <v>333</v>
      </c>
    </row>
    <row r="1479" spans="1:11" hidden="1">
      <c r="A1479" s="251"/>
      <c r="F1479" s="252">
        <v>1.1000000000000001</v>
      </c>
      <c r="G1479" s="252" t="s">
        <v>766</v>
      </c>
      <c r="H1479" s="296" t="s">
        <v>1175</v>
      </c>
      <c r="I1479" s="252">
        <f>(C14)</f>
        <v>120</v>
      </c>
      <c r="J1479" s="253" t="s">
        <v>766</v>
      </c>
      <c r="K1479" s="252">
        <f>(F1479*I1479)</f>
        <v>132</v>
      </c>
    </row>
    <row r="1480" spans="1:11" hidden="1">
      <c r="A1480" s="251"/>
      <c r="G1480" s="252" t="s">
        <v>446</v>
      </c>
      <c r="H1480" s="296" t="s">
        <v>1177</v>
      </c>
      <c r="I1480" s="296" t="s">
        <v>971</v>
      </c>
      <c r="J1480" s="253" t="s">
        <v>446</v>
      </c>
      <c r="K1480" s="252">
        <v>1.5</v>
      </c>
    </row>
    <row r="1481" spans="1:11" hidden="1">
      <c r="A1481" s="251"/>
      <c r="K1481" s="358" t="s">
        <v>1579</v>
      </c>
    </row>
    <row r="1482" spans="1:11" hidden="1">
      <c r="A1482" s="251"/>
      <c r="H1482" s="296" t="s">
        <v>438</v>
      </c>
      <c r="K1482" s="252">
        <f>SUM(K1478:K1480)</f>
        <v>466.5</v>
      </c>
    </row>
    <row r="1483" spans="1:11" hidden="1">
      <c r="A1483" s="251"/>
      <c r="K1483" s="358" t="s">
        <v>1579</v>
      </c>
    </row>
    <row r="1484" spans="1:11" hidden="1">
      <c r="A1484" s="251"/>
      <c r="H1484" s="296" t="s">
        <v>549</v>
      </c>
      <c r="K1484" s="252">
        <f>(K1482/10)</f>
        <v>46.65</v>
      </c>
    </row>
    <row r="1485" spans="1:11" hidden="1">
      <c r="A1485" s="251"/>
      <c r="H1485" s="296"/>
    </row>
    <row r="1486" spans="1:11" hidden="1">
      <c r="A1486" s="251"/>
      <c r="H1486" s="296"/>
    </row>
    <row r="1487" spans="1:11" hidden="1">
      <c r="A1487" s="251"/>
      <c r="F1487" s="369">
        <v>238</v>
      </c>
      <c r="G1487" s="252" t="s">
        <v>2241</v>
      </c>
      <c r="H1487" s="296" t="s">
        <v>583</v>
      </c>
    </row>
    <row r="1488" spans="1:11" hidden="1">
      <c r="A1488" s="251"/>
      <c r="H1488" s="296" t="s">
        <v>3102</v>
      </c>
    </row>
    <row r="1489" spans="1:11" hidden="1">
      <c r="A1489" s="251"/>
      <c r="H1489" s="358" t="s">
        <v>1579</v>
      </c>
    </row>
    <row r="1490" spans="1:11" hidden="1">
      <c r="A1490" s="251"/>
      <c r="F1490" s="252">
        <v>20</v>
      </c>
      <c r="G1490" s="252" t="s">
        <v>1233</v>
      </c>
      <c r="H1490" s="296" t="s">
        <v>584</v>
      </c>
      <c r="I1490" s="252">
        <f>D40</f>
        <v>105.45</v>
      </c>
      <c r="J1490" s="253" t="s">
        <v>1233</v>
      </c>
      <c r="K1490" s="252">
        <f>(F1490*I1490)</f>
        <v>2109</v>
      </c>
    </row>
    <row r="1491" spans="1:11" hidden="1">
      <c r="A1491" s="251"/>
      <c r="H1491" s="296" t="s">
        <v>585</v>
      </c>
      <c r="K1491" s="296" t="s">
        <v>971</v>
      </c>
    </row>
    <row r="1492" spans="1:11" hidden="1">
      <c r="A1492" s="251"/>
      <c r="F1492" s="252">
        <v>50</v>
      </c>
      <c r="G1492" s="252" t="s">
        <v>1637</v>
      </c>
      <c r="H1492" s="296" t="s">
        <v>859</v>
      </c>
      <c r="I1492" s="252">
        <f>C67/1000</f>
        <v>3.8</v>
      </c>
      <c r="J1492" s="253" t="s">
        <v>1637</v>
      </c>
      <c r="K1492" s="252">
        <f>(F1492*I1492)</f>
        <v>190</v>
      </c>
    </row>
    <row r="1493" spans="1:11" hidden="1">
      <c r="A1493" s="251"/>
      <c r="F1493" s="252">
        <v>1</v>
      </c>
      <c r="G1493" s="252" t="s">
        <v>446</v>
      </c>
      <c r="H1493" s="296" t="s">
        <v>586</v>
      </c>
      <c r="I1493" s="252">
        <v>75</v>
      </c>
      <c r="J1493" s="253" t="s">
        <v>446</v>
      </c>
      <c r="K1493" s="252">
        <f>(F1493*I1493)</f>
        <v>75</v>
      </c>
    </row>
    <row r="1494" spans="1:11" hidden="1">
      <c r="A1494" s="251"/>
      <c r="F1494" s="252">
        <v>1</v>
      </c>
      <c r="G1494" s="252" t="s">
        <v>446</v>
      </c>
      <c r="H1494" s="296" t="s">
        <v>587</v>
      </c>
      <c r="I1494" s="252">
        <f>C38</f>
        <v>40</v>
      </c>
      <c r="J1494" s="253" t="s">
        <v>446</v>
      </c>
      <c r="K1494" s="252">
        <f>(F1494*I1494)</f>
        <v>40</v>
      </c>
    </row>
    <row r="1495" spans="1:11" hidden="1">
      <c r="A1495" s="251"/>
      <c r="F1495" s="252">
        <v>2.5</v>
      </c>
      <c r="G1495" s="252" t="s">
        <v>446</v>
      </c>
      <c r="H1495" s="296" t="s">
        <v>588</v>
      </c>
      <c r="I1495" s="252">
        <f>D14</f>
        <v>110</v>
      </c>
      <c r="J1495" s="253" t="s">
        <v>446</v>
      </c>
      <c r="K1495" s="252">
        <f>(F1495*I1495)</f>
        <v>275</v>
      </c>
    </row>
    <row r="1496" spans="1:11" hidden="1">
      <c r="A1496" s="251"/>
      <c r="G1496" s="252" t="s">
        <v>446</v>
      </c>
      <c r="H1496" s="296" t="s">
        <v>503</v>
      </c>
      <c r="J1496" s="253" t="s">
        <v>446</v>
      </c>
      <c r="K1496" s="407">
        <v>1.5</v>
      </c>
    </row>
    <row r="1497" spans="1:11" hidden="1">
      <c r="A1497" s="251"/>
      <c r="K1497" s="358" t="s">
        <v>1579</v>
      </c>
    </row>
    <row r="1498" spans="1:11" hidden="1">
      <c r="A1498" s="251"/>
      <c r="H1498" s="296" t="s">
        <v>589</v>
      </c>
      <c r="K1498" s="252">
        <f>SUM(K1490:K1496)</f>
        <v>2690.5</v>
      </c>
    </row>
    <row r="1499" spans="1:11" hidden="1">
      <c r="A1499" s="251"/>
      <c r="H1499" s="296"/>
      <c r="K1499" s="358" t="s">
        <v>1579</v>
      </c>
    </row>
    <row r="1500" spans="1:11" hidden="1">
      <c r="A1500" s="251"/>
      <c r="K1500" s="358"/>
    </row>
    <row r="1501" spans="1:11" hidden="1">
      <c r="A1501" s="251"/>
      <c r="F1501" s="253" t="s">
        <v>1042</v>
      </c>
      <c r="G1501" s="252" t="s">
        <v>2241</v>
      </c>
      <c r="H1501" s="296" t="s">
        <v>548</v>
      </c>
    </row>
    <row r="1502" spans="1:11" hidden="1">
      <c r="A1502" s="251"/>
      <c r="H1502" s="296" t="s">
        <v>2125</v>
      </c>
    </row>
    <row r="1503" spans="1:11" hidden="1">
      <c r="A1503" s="251"/>
      <c r="H1503" s="358" t="s">
        <v>1579</v>
      </c>
    </row>
    <row r="1504" spans="1:11" hidden="1">
      <c r="A1504" s="251"/>
      <c r="F1504" s="252">
        <v>1</v>
      </c>
      <c r="G1504" s="252" t="s">
        <v>523</v>
      </c>
      <c r="H1504" s="296" t="s">
        <v>524</v>
      </c>
      <c r="I1504" s="252">
        <f>(C138)</f>
        <v>28000</v>
      </c>
      <c r="J1504" s="253" t="s">
        <v>525</v>
      </c>
      <c r="K1504" s="252">
        <f>(F1504*I1504)/10</f>
        <v>2800</v>
      </c>
    </row>
    <row r="1505" spans="1:15" hidden="1">
      <c r="A1505" s="251"/>
      <c r="F1505" s="356">
        <v>0.01</v>
      </c>
      <c r="G1505" s="252" t="s">
        <v>523</v>
      </c>
      <c r="H1505" s="296" t="s">
        <v>192</v>
      </c>
      <c r="I1505" s="252">
        <f>(C142)</f>
        <v>30000</v>
      </c>
      <c r="J1505" s="253" t="s">
        <v>525</v>
      </c>
      <c r="K1505" s="252">
        <f>(F1505*I1505)/10</f>
        <v>30</v>
      </c>
    </row>
    <row r="1506" spans="1:15" hidden="1">
      <c r="A1506" s="251"/>
      <c r="F1506" s="356">
        <v>3.5</v>
      </c>
      <c r="G1506" s="252" t="s">
        <v>766</v>
      </c>
      <c r="H1506" s="296" t="s">
        <v>526</v>
      </c>
      <c r="I1506" s="252">
        <f>(C17)</f>
        <v>130</v>
      </c>
      <c r="J1506" s="253" t="s">
        <v>1393</v>
      </c>
      <c r="K1506" s="252">
        <f>(F1506*I1506)</f>
        <v>455</v>
      </c>
      <c r="O1506" s="252">
        <f>92+18.4</f>
        <v>110.4</v>
      </c>
    </row>
    <row r="1507" spans="1:15" hidden="1">
      <c r="A1507" s="251"/>
      <c r="F1507" s="252">
        <v>1.3</v>
      </c>
      <c r="G1507" s="252" t="s">
        <v>1637</v>
      </c>
      <c r="H1507" s="296" t="s">
        <v>527</v>
      </c>
      <c r="I1507" s="252">
        <f>C67/1000</f>
        <v>3.8</v>
      </c>
      <c r="J1507" s="253" t="s">
        <v>1637</v>
      </c>
      <c r="K1507" s="252">
        <f>(F1507*I1507)</f>
        <v>4.9400000000000004</v>
      </c>
      <c r="O1507" s="252">
        <f>95+19</f>
        <v>114</v>
      </c>
    </row>
    <row r="1508" spans="1:15" hidden="1">
      <c r="A1508" s="251"/>
      <c r="F1508" s="252">
        <v>0.25</v>
      </c>
      <c r="G1508" s="252" t="s">
        <v>766</v>
      </c>
      <c r="H1508" s="296" t="s">
        <v>528</v>
      </c>
      <c r="I1508" s="252">
        <f>D14</f>
        <v>110</v>
      </c>
      <c r="J1508" s="253" t="s">
        <v>1393</v>
      </c>
      <c r="K1508" s="252">
        <f>(F1508*I1508)</f>
        <v>27.5</v>
      </c>
    </row>
    <row r="1509" spans="1:15" hidden="1">
      <c r="A1509" s="251"/>
      <c r="F1509" s="356"/>
      <c r="G1509" s="252" t="s">
        <v>446</v>
      </c>
      <c r="H1509" s="296" t="s">
        <v>447</v>
      </c>
      <c r="J1509" s="253" t="s">
        <v>446</v>
      </c>
      <c r="K1509" s="252">
        <f>(F1509*I1509)</f>
        <v>0</v>
      </c>
    </row>
    <row r="1510" spans="1:15" hidden="1">
      <c r="A1510" s="251"/>
      <c r="F1510" s="356"/>
      <c r="K1510" s="358" t="s">
        <v>1579</v>
      </c>
    </row>
    <row r="1511" spans="1:15" hidden="1">
      <c r="A1511" s="251"/>
      <c r="F1511" s="356"/>
      <c r="H1511" s="296" t="s">
        <v>529</v>
      </c>
      <c r="K1511" s="252">
        <f>SUM(K1504:K1509)</f>
        <v>3317.44</v>
      </c>
    </row>
    <row r="1512" spans="1:15" hidden="1">
      <c r="A1512" s="251"/>
      <c r="F1512" s="356"/>
      <c r="K1512" s="358" t="s">
        <v>1579</v>
      </c>
    </row>
    <row r="1513" spans="1:15" hidden="1">
      <c r="A1513" s="251"/>
      <c r="F1513" s="356"/>
      <c r="H1513" s="296" t="s">
        <v>530</v>
      </c>
      <c r="K1513" s="252">
        <f>(K1511*10)</f>
        <v>33174.400000000001</v>
      </c>
    </row>
    <row r="1514" spans="1:15" hidden="1">
      <c r="A1514" s="251"/>
      <c r="F1514" s="356"/>
      <c r="K1514" s="358" t="s">
        <v>2046</v>
      </c>
    </row>
    <row r="1515" spans="1:15" hidden="1">
      <c r="A1515" s="251"/>
      <c r="F1515" s="356"/>
      <c r="K1515" s="358"/>
    </row>
    <row r="1516" spans="1:15" hidden="1">
      <c r="A1516" s="251"/>
      <c r="F1516" s="356"/>
      <c r="H1516" s="274" t="s">
        <v>531</v>
      </c>
      <c r="K1516" s="358"/>
    </row>
    <row r="1517" spans="1:15" hidden="1">
      <c r="A1517" s="251"/>
      <c r="F1517" s="252">
        <v>1</v>
      </c>
      <c r="G1517" s="252" t="s">
        <v>523</v>
      </c>
      <c r="H1517" s="296" t="s">
        <v>532</v>
      </c>
      <c r="I1517" s="252">
        <f>C137</f>
        <v>26500</v>
      </c>
      <c r="J1517" s="253" t="s">
        <v>525</v>
      </c>
      <c r="K1517" s="252">
        <f>(F1517*I1517)/10</f>
        <v>2650</v>
      </c>
    </row>
    <row r="1518" spans="1:15" hidden="1">
      <c r="A1518" s="251"/>
      <c r="F1518" s="356">
        <v>0.01</v>
      </c>
      <c r="G1518" s="252" t="s">
        <v>523</v>
      </c>
      <c r="H1518" s="296" t="s">
        <v>192</v>
      </c>
      <c r="I1518" s="252">
        <f>C142</f>
        <v>30000</v>
      </c>
      <c r="J1518" s="253" t="s">
        <v>525</v>
      </c>
      <c r="K1518" s="252">
        <f>(F1518*I1518)/10</f>
        <v>30</v>
      </c>
    </row>
    <row r="1519" spans="1:15" hidden="1">
      <c r="A1519" s="251"/>
      <c r="F1519" s="356">
        <v>3.5</v>
      </c>
      <c r="G1519" s="252" t="s">
        <v>766</v>
      </c>
      <c r="H1519" s="296" t="s">
        <v>526</v>
      </c>
      <c r="I1519" s="252">
        <f>C17</f>
        <v>130</v>
      </c>
      <c r="J1519" s="253" t="s">
        <v>1393</v>
      </c>
      <c r="K1519" s="252">
        <f>(F1519*I1519)</f>
        <v>455</v>
      </c>
    </row>
    <row r="1520" spans="1:15" hidden="1">
      <c r="A1520" s="251"/>
      <c r="F1520" s="252">
        <v>1.3</v>
      </c>
      <c r="G1520" s="252" t="s">
        <v>1637</v>
      </c>
      <c r="H1520" s="296" t="s">
        <v>527</v>
      </c>
      <c r="I1520" s="252">
        <f>C67/1000</f>
        <v>3.8</v>
      </c>
      <c r="J1520" s="253" t="s">
        <v>1637</v>
      </c>
      <c r="K1520" s="252">
        <f>(F1520*I1520)</f>
        <v>4.9400000000000004</v>
      </c>
    </row>
    <row r="1521" spans="1:11" hidden="1">
      <c r="A1521" s="251"/>
      <c r="F1521" s="252">
        <v>0.25</v>
      </c>
      <c r="G1521" s="252" t="s">
        <v>766</v>
      </c>
      <c r="H1521" s="296" t="s">
        <v>528</v>
      </c>
      <c r="I1521" s="252">
        <f>D14</f>
        <v>110</v>
      </c>
      <c r="J1521" s="253" t="s">
        <v>1393</v>
      </c>
      <c r="K1521" s="252">
        <f>(F1521*I1521)</f>
        <v>27.5</v>
      </c>
    </row>
    <row r="1522" spans="1:11" hidden="1">
      <c r="A1522" s="251"/>
      <c r="F1522" s="356"/>
      <c r="G1522" s="252" t="s">
        <v>446</v>
      </c>
      <c r="H1522" s="296" t="s">
        <v>447</v>
      </c>
      <c r="J1522" s="253" t="s">
        <v>446</v>
      </c>
      <c r="K1522" s="252">
        <f>(F1522*I1522)</f>
        <v>0</v>
      </c>
    </row>
    <row r="1523" spans="1:11" hidden="1">
      <c r="A1523" s="251"/>
      <c r="F1523" s="356"/>
      <c r="K1523" s="358" t="s">
        <v>1579</v>
      </c>
    </row>
    <row r="1524" spans="1:11" hidden="1">
      <c r="A1524" s="251"/>
      <c r="F1524" s="356"/>
      <c r="H1524" s="296" t="s">
        <v>529</v>
      </c>
      <c r="K1524" s="252">
        <f>SUM(K1517:K1522)</f>
        <v>3167.44</v>
      </c>
    </row>
    <row r="1525" spans="1:11" hidden="1">
      <c r="A1525" s="251"/>
      <c r="F1525" s="356"/>
      <c r="K1525" s="358" t="s">
        <v>1579</v>
      </c>
    </row>
    <row r="1526" spans="1:11" hidden="1">
      <c r="A1526" s="251"/>
      <c r="F1526" s="356"/>
      <c r="H1526" s="296" t="s">
        <v>530</v>
      </c>
      <c r="K1526" s="252">
        <f>(K1524*10)</f>
        <v>31674.400000000001</v>
      </c>
    </row>
    <row r="1527" spans="1:11" hidden="1">
      <c r="A1527" s="251"/>
      <c r="F1527" s="356"/>
      <c r="K1527" s="358" t="s">
        <v>2046</v>
      </c>
    </row>
    <row r="1528" spans="1:11" hidden="1">
      <c r="A1528" s="251"/>
      <c r="F1528" s="356"/>
      <c r="H1528" s="296" t="s">
        <v>971</v>
      </c>
      <c r="K1528" s="296" t="s">
        <v>971</v>
      </c>
    </row>
    <row r="1529" spans="1:11" hidden="1">
      <c r="A1529" s="251"/>
      <c r="F1529" s="384" t="s">
        <v>533</v>
      </c>
      <c r="G1529" s="252" t="s">
        <v>1898</v>
      </c>
      <c r="H1529" s="296" t="s">
        <v>548</v>
      </c>
    </row>
    <row r="1530" spans="1:11" hidden="1">
      <c r="A1530" s="251"/>
      <c r="F1530" s="356"/>
      <c r="H1530" s="296" t="s">
        <v>534</v>
      </c>
    </row>
    <row r="1531" spans="1:11" hidden="1">
      <c r="A1531" s="251"/>
      <c r="F1531" s="356"/>
      <c r="H1531" s="358" t="s">
        <v>1579</v>
      </c>
    </row>
    <row r="1532" spans="1:11" hidden="1">
      <c r="A1532" s="251"/>
      <c r="F1532" s="252">
        <v>1</v>
      </c>
      <c r="G1532" s="252" t="s">
        <v>523</v>
      </c>
      <c r="H1532" s="296" t="s">
        <v>524</v>
      </c>
      <c r="I1532" s="252">
        <f>(C138)</f>
        <v>28000</v>
      </c>
      <c r="J1532" s="253" t="s">
        <v>525</v>
      </c>
      <c r="K1532" s="252">
        <f>(F1532*I1532)/10</f>
        <v>2800</v>
      </c>
    </row>
    <row r="1533" spans="1:11" hidden="1">
      <c r="A1533" s="251"/>
      <c r="F1533" s="356">
        <v>0.01</v>
      </c>
      <c r="G1533" s="252" t="s">
        <v>523</v>
      </c>
      <c r="H1533" s="296" t="s">
        <v>192</v>
      </c>
      <c r="I1533" s="252">
        <f>(C142)</f>
        <v>30000</v>
      </c>
      <c r="J1533" s="253" t="s">
        <v>525</v>
      </c>
      <c r="K1533" s="252">
        <f>(F1533*I1533)/10</f>
        <v>30</v>
      </c>
    </row>
    <row r="1534" spans="1:11" hidden="1">
      <c r="A1534" s="251"/>
      <c r="F1534" s="356">
        <v>3.5</v>
      </c>
      <c r="G1534" s="252" t="s">
        <v>766</v>
      </c>
      <c r="H1534" s="296" t="s">
        <v>526</v>
      </c>
      <c r="I1534" s="252">
        <f>(C17)</f>
        <v>130</v>
      </c>
      <c r="J1534" s="253" t="s">
        <v>766</v>
      </c>
      <c r="K1534" s="252">
        <f>(F1534*I1534)</f>
        <v>455</v>
      </c>
    </row>
    <row r="1535" spans="1:11" hidden="1">
      <c r="A1535" s="251"/>
      <c r="F1535" s="356"/>
      <c r="G1535" s="252" t="s">
        <v>446</v>
      </c>
      <c r="H1535" s="296" t="s">
        <v>447</v>
      </c>
      <c r="J1535" s="253" t="s">
        <v>446</v>
      </c>
      <c r="K1535" s="252">
        <v>0</v>
      </c>
    </row>
    <row r="1536" spans="1:11" hidden="1">
      <c r="A1536" s="251"/>
      <c r="K1536" s="358" t="s">
        <v>1579</v>
      </c>
    </row>
    <row r="1537" spans="1:11" hidden="1">
      <c r="A1537" s="251"/>
      <c r="H1537" s="296" t="s">
        <v>529</v>
      </c>
      <c r="K1537" s="252">
        <f>SUM(K1532:K1535)</f>
        <v>3285</v>
      </c>
    </row>
    <row r="1538" spans="1:11" hidden="1">
      <c r="A1538" s="251"/>
      <c r="K1538" s="358" t="s">
        <v>1579</v>
      </c>
    </row>
    <row r="1539" spans="1:11" hidden="1">
      <c r="A1539" s="251"/>
      <c r="H1539" s="296" t="s">
        <v>530</v>
      </c>
      <c r="K1539" s="252">
        <f>(K1537*10)</f>
        <v>32850</v>
      </c>
    </row>
    <row r="1540" spans="1:11" hidden="1">
      <c r="A1540" s="251"/>
      <c r="H1540" s="296" t="s">
        <v>971</v>
      </c>
      <c r="K1540" s="296" t="s">
        <v>971</v>
      </c>
    </row>
    <row r="1541" spans="1:11" hidden="1">
      <c r="A1541" s="251"/>
      <c r="G1541" s="252" t="s">
        <v>517</v>
      </c>
      <c r="H1541" s="296" t="s">
        <v>548</v>
      </c>
      <c r="K1541" s="296"/>
    </row>
    <row r="1542" spans="1:11" hidden="1">
      <c r="A1542" s="251"/>
      <c r="H1542" s="296" t="s">
        <v>1588</v>
      </c>
      <c r="K1542" s="296"/>
    </row>
    <row r="1543" spans="1:11" hidden="1">
      <c r="A1543" s="251"/>
      <c r="F1543" s="356"/>
      <c r="H1543" s="358" t="s">
        <v>1579</v>
      </c>
      <c r="K1543" s="296"/>
    </row>
    <row r="1544" spans="1:11" hidden="1">
      <c r="A1544" s="251"/>
      <c r="F1544" s="252">
        <v>1</v>
      </c>
      <c r="G1544" s="252" t="s">
        <v>523</v>
      </c>
      <c r="H1544" s="296" t="s">
        <v>532</v>
      </c>
      <c r="I1544" s="252">
        <f>C137</f>
        <v>26500</v>
      </c>
      <c r="J1544" s="253" t="s">
        <v>525</v>
      </c>
      <c r="K1544" s="252">
        <f>(F1544*I1544)/10</f>
        <v>2650</v>
      </c>
    </row>
    <row r="1545" spans="1:11" hidden="1">
      <c r="A1545" s="251"/>
      <c r="F1545" s="356">
        <v>0.01</v>
      </c>
      <c r="G1545" s="252" t="s">
        <v>523</v>
      </c>
      <c r="H1545" s="296" t="s">
        <v>192</v>
      </c>
      <c r="I1545" s="252">
        <f>C142</f>
        <v>30000</v>
      </c>
      <c r="J1545" s="253" t="s">
        <v>525</v>
      </c>
      <c r="K1545" s="252">
        <f>(F1545*I1545)/10</f>
        <v>30</v>
      </c>
    </row>
    <row r="1546" spans="1:11" hidden="1">
      <c r="A1546" s="251"/>
      <c r="F1546" s="356">
        <v>3.5</v>
      </c>
      <c r="G1546" s="252" t="s">
        <v>766</v>
      </c>
      <c r="H1546" s="296" t="s">
        <v>526</v>
      </c>
      <c r="I1546" s="252">
        <f>C17</f>
        <v>130</v>
      </c>
      <c r="J1546" s="253" t="s">
        <v>766</v>
      </c>
      <c r="K1546" s="252">
        <f>(F1546*I1546)</f>
        <v>455</v>
      </c>
    </row>
    <row r="1547" spans="1:11" hidden="1">
      <c r="A1547" s="251"/>
      <c r="F1547" s="356"/>
      <c r="G1547" s="252" t="s">
        <v>446</v>
      </c>
      <c r="H1547" s="296" t="s">
        <v>447</v>
      </c>
      <c r="J1547" s="253" t="s">
        <v>446</v>
      </c>
      <c r="K1547" s="252">
        <v>0</v>
      </c>
    </row>
    <row r="1548" spans="1:11" hidden="1">
      <c r="A1548" s="251"/>
      <c r="K1548" s="358" t="s">
        <v>1579</v>
      </c>
    </row>
    <row r="1549" spans="1:11" hidden="1">
      <c r="A1549" s="251"/>
      <c r="H1549" s="296" t="s">
        <v>529</v>
      </c>
      <c r="K1549" s="252">
        <f>SUM(K1544:K1547)</f>
        <v>3135</v>
      </c>
    </row>
    <row r="1550" spans="1:11" hidden="1">
      <c r="A1550" s="251"/>
      <c r="K1550" s="358" t="s">
        <v>1579</v>
      </c>
    </row>
    <row r="1551" spans="1:11" hidden="1">
      <c r="A1551" s="251"/>
      <c r="H1551" s="296" t="s">
        <v>530</v>
      </c>
      <c r="K1551" s="252">
        <f>(K1549*10)</f>
        <v>31350</v>
      </c>
    </row>
    <row r="1552" spans="1:11" hidden="1">
      <c r="A1552" s="251"/>
      <c r="H1552" s="296" t="s">
        <v>971</v>
      </c>
    </row>
    <row r="1553" spans="1:11" hidden="1">
      <c r="A1553" s="251"/>
      <c r="F1553" s="375">
        <v>44.1</v>
      </c>
      <c r="G1553" s="252" t="s">
        <v>2241</v>
      </c>
      <c r="H1553" s="296" t="s">
        <v>1589</v>
      </c>
    </row>
    <row r="1554" spans="1:11" hidden="1">
      <c r="A1554" s="251"/>
      <c r="H1554" s="296" t="s">
        <v>1590</v>
      </c>
    </row>
    <row r="1555" spans="1:11" hidden="1">
      <c r="A1555" s="251"/>
      <c r="H1555" s="296" t="s">
        <v>3103</v>
      </c>
    </row>
    <row r="1556" spans="1:11" hidden="1">
      <c r="A1556" s="251"/>
      <c r="H1556" s="358" t="s">
        <v>1579</v>
      </c>
    </row>
    <row r="1557" spans="1:11" hidden="1">
      <c r="A1557" s="251"/>
      <c r="F1557" s="252">
        <v>3</v>
      </c>
      <c r="G1557" s="252" t="s">
        <v>1763</v>
      </c>
      <c r="H1557" s="296" t="s">
        <v>2037</v>
      </c>
      <c r="I1557" s="252">
        <f>(C598)</f>
        <v>120</v>
      </c>
      <c r="J1557" s="253" t="s">
        <v>1763</v>
      </c>
      <c r="K1557" s="252">
        <f t="shared" ref="K1557:K1562" si="61">(F1557*I1557)</f>
        <v>360</v>
      </c>
    </row>
    <row r="1558" spans="1:11" hidden="1">
      <c r="A1558" s="251"/>
      <c r="F1558" s="252">
        <v>1</v>
      </c>
      <c r="G1558" s="252" t="s">
        <v>865</v>
      </c>
      <c r="H1558" s="296" t="s">
        <v>2090</v>
      </c>
      <c r="I1558" s="252">
        <f>(C601)</f>
        <v>65</v>
      </c>
      <c r="J1558" s="253" t="s">
        <v>865</v>
      </c>
      <c r="K1558" s="252">
        <f t="shared" si="61"/>
        <v>65</v>
      </c>
    </row>
    <row r="1559" spans="1:11" hidden="1">
      <c r="A1559" s="251"/>
      <c r="F1559" s="252">
        <v>1</v>
      </c>
      <c r="G1559" s="252" t="s">
        <v>865</v>
      </c>
      <c r="H1559" s="296" t="s">
        <v>2091</v>
      </c>
      <c r="I1559" s="252">
        <f>(C604)</f>
        <v>45</v>
      </c>
      <c r="J1559" s="253" t="s">
        <v>865</v>
      </c>
      <c r="K1559" s="252">
        <f t="shared" si="61"/>
        <v>45</v>
      </c>
    </row>
    <row r="1560" spans="1:11" hidden="1">
      <c r="A1560" s="251"/>
      <c r="F1560" s="252">
        <v>2</v>
      </c>
      <c r="G1560" s="252" t="s">
        <v>865</v>
      </c>
      <c r="H1560" s="296" t="s">
        <v>2092</v>
      </c>
      <c r="I1560" s="252">
        <f>C575</f>
        <v>16.440000000000001</v>
      </c>
      <c r="J1560" s="253" t="s">
        <v>865</v>
      </c>
      <c r="K1560" s="252">
        <f t="shared" si="61"/>
        <v>32.880000000000003</v>
      </c>
    </row>
    <row r="1561" spans="1:11" hidden="1">
      <c r="A1561" s="251"/>
      <c r="F1561" s="252">
        <v>1</v>
      </c>
      <c r="G1561" s="252" t="s">
        <v>865</v>
      </c>
      <c r="H1561" s="296" t="s">
        <v>2093</v>
      </c>
      <c r="I1561" s="252">
        <f>(C666)</f>
        <v>18</v>
      </c>
      <c r="J1561" s="253" t="s">
        <v>865</v>
      </c>
      <c r="K1561" s="252">
        <f t="shared" si="61"/>
        <v>18</v>
      </c>
    </row>
    <row r="1562" spans="1:11" hidden="1">
      <c r="A1562" s="251"/>
      <c r="F1562" s="252">
        <v>0.5</v>
      </c>
      <c r="G1562" s="252" t="s">
        <v>865</v>
      </c>
      <c r="H1562" s="296" t="s">
        <v>2094</v>
      </c>
      <c r="I1562" s="252">
        <f>(C15)</f>
        <v>130</v>
      </c>
      <c r="J1562" s="253" t="s">
        <v>865</v>
      </c>
      <c r="K1562" s="252">
        <f t="shared" si="61"/>
        <v>65</v>
      </c>
    </row>
    <row r="1563" spans="1:11" hidden="1">
      <c r="A1563" s="251"/>
      <c r="G1563" s="252" t="s">
        <v>446</v>
      </c>
      <c r="H1563" s="296" t="s">
        <v>602</v>
      </c>
      <c r="J1563" s="253" t="s">
        <v>446</v>
      </c>
      <c r="K1563" s="252">
        <v>0.75</v>
      </c>
    </row>
    <row r="1564" spans="1:11" hidden="1">
      <c r="A1564" s="251"/>
      <c r="H1564" s="296" t="s">
        <v>20</v>
      </c>
    </row>
    <row r="1565" spans="1:11" hidden="1">
      <c r="A1565" s="251"/>
      <c r="K1565" s="358" t="s">
        <v>1579</v>
      </c>
    </row>
    <row r="1566" spans="1:11" hidden="1">
      <c r="A1566" s="251"/>
      <c r="H1566" s="296" t="s">
        <v>1312</v>
      </c>
      <c r="K1566" s="252">
        <f>SUM(K1557:K1563)</f>
        <v>586.63</v>
      </c>
    </row>
    <row r="1567" spans="1:11" hidden="1">
      <c r="A1567" s="251"/>
      <c r="F1567" s="296" t="s">
        <v>971</v>
      </c>
    </row>
    <row r="1568" spans="1:11" hidden="1">
      <c r="A1568" s="251"/>
      <c r="K1568" s="358" t="s">
        <v>1579</v>
      </c>
    </row>
    <row r="1569" spans="1:11" hidden="1">
      <c r="A1569" s="251"/>
      <c r="H1569" s="296" t="s">
        <v>1538</v>
      </c>
      <c r="K1569" s="252">
        <f>(K1566/3)</f>
        <v>195.54</v>
      </c>
    </row>
    <row r="1570" spans="1:11" hidden="1">
      <c r="A1570" s="251"/>
      <c r="H1570" s="296"/>
      <c r="K1570" s="358" t="s">
        <v>2046</v>
      </c>
    </row>
    <row r="1571" spans="1:11" hidden="1">
      <c r="A1571" s="251"/>
      <c r="F1571" s="253" t="s">
        <v>1313</v>
      </c>
      <c r="H1571" s="296" t="s">
        <v>14</v>
      </c>
    </row>
    <row r="1572" spans="1:11" hidden="1">
      <c r="A1572" s="251"/>
      <c r="H1572" s="296" t="s">
        <v>15</v>
      </c>
    </row>
    <row r="1573" spans="1:11" hidden="1">
      <c r="A1573" s="251"/>
      <c r="H1573" s="296" t="s">
        <v>2027</v>
      </c>
    </row>
    <row r="1574" spans="1:11" hidden="1">
      <c r="A1574" s="251"/>
      <c r="H1574" s="358" t="s">
        <v>1579</v>
      </c>
    </row>
    <row r="1575" spans="1:11" hidden="1">
      <c r="A1575" s="251"/>
      <c r="F1575" s="252">
        <v>0.15</v>
      </c>
      <c r="G1575" s="252" t="s">
        <v>866</v>
      </c>
      <c r="H1575" s="296" t="s">
        <v>2028</v>
      </c>
      <c r="I1575" s="252" t="e">
        <f>(C70)</f>
        <v>#REF!</v>
      </c>
      <c r="J1575" s="253" t="s">
        <v>866</v>
      </c>
      <c r="K1575" s="252" t="e">
        <f>(F1575*I1575)</f>
        <v>#REF!</v>
      </c>
    </row>
    <row r="1576" spans="1:11" hidden="1">
      <c r="A1576" s="251"/>
      <c r="F1576" s="316">
        <v>8.6499999999999994E-2</v>
      </c>
      <c r="G1576" s="252" t="s">
        <v>858</v>
      </c>
      <c r="H1576" s="296" t="s">
        <v>859</v>
      </c>
      <c r="I1576" s="252">
        <f>(C67)</f>
        <v>3800</v>
      </c>
      <c r="J1576" s="253" t="s">
        <v>858</v>
      </c>
      <c r="K1576" s="252">
        <f>(F1576*I1576)</f>
        <v>328.7</v>
      </c>
    </row>
    <row r="1577" spans="1:11" hidden="1">
      <c r="A1577" s="251"/>
      <c r="F1577" s="252">
        <v>1.6</v>
      </c>
      <c r="G1577" s="252" t="s">
        <v>766</v>
      </c>
      <c r="H1577" s="296" t="s">
        <v>2000</v>
      </c>
      <c r="I1577" s="252">
        <f>(C10)</f>
        <v>150</v>
      </c>
      <c r="J1577" s="253" t="s">
        <v>766</v>
      </c>
      <c r="K1577" s="252">
        <f>(F1577*I1577)</f>
        <v>240</v>
      </c>
    </row>
    <row r="1578" spans="1:11" hidden="1">
      <c r="A1578" s="251"/>
      <c r="F1578" s="252">
        <v>0.5</v>
      </c>
      <c r="G1578" s="252" t="s">
        <v>766</v>
      </c>
      <c r="H1578" s="296" t="s">
        <v>1893</v>
      </c>
      <c r="I1578" s="252">
        <f>(C12)</f>
        <v>95</v>
      </c>
      <c r="J1578" s="253" t="s">
        <v>766</v>
      </c>
      <c r="K1578" s="252">
        <f>(F1578*I1578)</f>
        <v>47.5</v>
      </c>
    </row>
    <row r="1579" spans="1:11" hidden="1">
      <c r="A1579" s="251"/>
      <c r="F1579" s="252">
        <v>1.1000000000000001</v>
      </c>
      <c r="G1579" s="252" t="s">
        <v>766</v>
      </c>
      <c r="H1579" s="296" t="s">
        <v>317</v>
      </c>
      <c r="I1579" s="252">
        <f>(C13)</f>
        <v>85</v>
      </c>
      <c r="J1579" s="253" t="s">
        <v>766</v>
      </c>
      <c r="K1579" s="252">
        <f>(F1579*I1579)</f>
        <v>93.5</v>
      </c>
    </row>
    <row r="1580" spans="1:11" hidden="1">
      <c r="A1580" s="251"/>
      <c r="G1580" s="252" t="s">
        <v>446</v>
      </c>
      <c r="H1580" s="296" t="s">
        <v>447</v>
      </c>
      <c r="I1580" s="296" t="s">
        <v>971</v>
      </c>
      <c r="J1580" s="253" t="s">
        <v>446</v>
      </c>
      <c r="K1580" s="252">
        <v>0</v>
      </c>
    </row>
    <row r="1581" spans="1:11" hidden="1">
      <c r="A1581" s="251"/>
      <c r="K1581" s="358" t="s">
        <v>1579</v>
      </c>
    </row>
    <row r="1582" spans="1:11" hidden="1">
      <c r="A1582" s="251"/>
      <c r="H1582" s="296" t="s">
        <v>438</v>
      </c>
      <c r="K1582" s="252" t="e">
        <f>SUM(K1575:K1580)</f>
        <v>#REF!</v>
      </c>
    </row>
    <row r="1583" spans="1:11" hidden="1">
      <c r="A1583" s="251"/>
      <c r="K1583" s="358" t="s">
        <v>1579</v>
      </c>
    </row>
    <row r="1584" spans="1:11" hidden="1">
      <c r="A1584" s="251"/>
      <c r="H1584" s="296" t="s">
        <v>549</v>
      </c>
      <c r="K1584" s="252" t="e">
        <f>(K1582/10)</f>
        <v>#REF!</v>
      </c>
    </row>
    <row r="1585" spans="1:11" hidden="1">
      <c r="A1585" s="251"/>
      <c r="K1585" s="358" t="s">
        <v>2046</v>
      </c>
    </row>
    <row r="1586" spans="1:11" hidden="1">
      <c r="A1586" s="251"/>
      <c r="F1586" s="253" t="s">
        <v>2029</v>
      </c>
      <c r="G1586" s="252" t="s">
        <v>2241</v>
      </c>
      <c r="H1586" s="296" t="s">
        <v>2030</v>
      </c>
    </row>
    <row r="1587" spans="1:11" hidden="1">
      <c r="A1587" s="251"/>
      <c r="H1587" s="296" t="s">
        <v>1206</v>
      </c>
    </row>
    <row r="1588" spans="1:11" hidden="1">
      <c r="A1588" s="251"/>
      <c r="H1588" s="296" t="s">
        <v>1207</v>
      </c>
      <c r="J1588" s="253" t="s">
        <v>971</v>
      </c>
    </row>
    <row r="1589" spans="1:11" hidden="1">
      <c r="A1589" s="251"/>
      <c r="H1589" s="296" t="s">
        <v>1103</v>
      </c>
    </row>
    <row r="1590" spans="1:11" hidden="1">
      <c r="A1590" s="251"/>
      <c r="H1590" s="296" t="s">
        <v>1022</v>
      </c>
    </row>
    <row r="1591" spans="1:11" hidden="1">
      <c r="A1591" s="251"/>
      <c r="H1591" s="296" t="s">
        <v>1804</v>
      </c>
    </row>
    <row r="1592" spans="1:11" hidden="1">
      <c r="A1592" s="251"/>
      <c r="H1592" s="296" t="s">
        <v>275</v>
      </c>
    </row>
    <row r="1593" spans="1:11" hidden="1">
      <c r="A1593" s="251"/>
      <c r="H1593" s="296" t="s">
        <v>276</v>
      </c>
    </row>
    <row r="1594" spans="1:11" hidden="1">
      <c r="A1594" s="251"/>
      <c r="H1594" s="296" t="s">
        <v>277</v>
      </c>
    </row>
    <row r="1595" spans="1:11" hidden="1">
      <c r="A1595" s="251"/>
      <c r="H1595" s="358" t="s">
        <v>2046</v>
      </c>
    </row>
    <row r="1596" spans="1:11" hidden="1">
      <c r="A1596" s="251"/>
    </row>
    <row r="1597" spans="1:11" hidden="1">
      <c r="A1597" s="251"/>
      <c r="F1597" s="252">
        <v>1</v>
      </c>
      <c r="G1597" s="252" t="s">
        <v>823</v>
      </c>
      <c r="H1597" s="296" t="s">
        <v>278</v>
      </c>
      <c r="I1597" s="252">
        <v>50</v>
      </c>
      <c r="J1597" s="253" t="s">
        <v>823</v>
      </c>
      <c r="K1597" s="252">
        <f>(F1597*I1597)</f>
        <v>50</v>
      </c>
    </row>
    <row r="1598" spans="1:11" hidden="1">
      <c r="A1598" s="251"/>
      <c r="F1598" s="252">
        <v>1</v>
      </c>
      <c r="G1598" s="252" t="s">
        <v>279</v>
      </c>
      <c r="H1598" s="296" t="s">
        <v>1151</v>
      </c>
      <c r="I1598" s="252">
        <v>9</v>
      </c>
      <c r="J1598" s="253" t="s">
        <v>279</v>
      </c>
      <c r="K1598" s="252">
        <f>(F1598*I1598)</f>
        <v>9</v>
      </c>
    </row>
    <row r="1599" spans="1:11" hidden="1">
      <c r="A1599" s="251"/>
      <c r="G1599" s="252" t="s">
        <v>446</v>
      </c>
      <c r="H1599" s="296" t="s">
        <v>504</v>
      </c>
      <c r="J1599" s="253" t="s">
        <v>446</v>
      </c>
      <c r="K1599" s="252">
        <v>7</v>
      </c>
    </row>
    <row r="1600" spans="1:11" hidden="1">
      <c r="A1600" s="251"/>
      <c r="K1600" s="358" t="s">
        <v>1579</v>
      </c>
    </row>
    <row r="1601" spans="1:11" hidden="1">
      <c r="A1601" s="251"/>
      <c r="H1601" s="253" t="s">
        <v>1631</v>
      </c>
      <c r="K1601" s="252">
        <f>SUM(K1597:K1599)</f>
        <v>66</v>
      </c>
    </row>
    <row r="1602" spans="1:11" hidden="1">
      <c r="A1602" s="251"/>
      <c r="K1602" s="358" t="s">
        <v>2046</v>
      </c>
    </row>
    <row r="1603" spans="1:11" hidden="1">
      <c r="A1603" s="251"/>
      <c r="F1603" s="253" t="s">
        <v>1632</v>
      </c>
      <c r="G1603" s="252" t="s">
        <v>2241</v>
      </c>
      <c r="H1603" s="296" t="s">
        <v>5702</v>
      </c>
    </row>
    <row r="1604" spans="1:11" hidden="1">
      <c r="A1604" s="251"/>
      <c r="H1604" s="296" t="s">
        <v>399</v>
      </c>
    </row>
    <row r="1605" spans="1:11" hidden="1">
      <c r="A1605" s="251"/>
      <c r="H1605" s="296" t="s">
        <v>400</v>
      </c>
    </row>
    <row r="1606" spans="1:11" hidden="1">
      <c r="A1606" s="251"/>
      <c r="H1606" s="296" t="s">
        <v>397</v>
      </c>
    </row>
    <row r="1607" spans="1:11" hidden="1">
      <c r="A1607" s="251"/>
      <c r="H1607" s="296" t="s">
        <v>1751</v>
      </c>
    </row>
    <row r="1608" spans="1:11" hidden="1">
      <c r="A1608" s="251"/>
      <c r="H1608" s="358" t="s">
        <v>1579</v>
      </c>
      <c r="I1608" s="358" t="s">
        <v>1579</v>
      </c>
    </row>
    <row r="1609" spans="1:11" hidden="1">
      <c r="A1609" s="251"/>
      <c r="F1609" s="252">
        <v>1</v>
      </c>
      <c r="G1609" s="252" t="s">
        <v>1752</v>
      </c>
      <c r="H1609" s="296" t="s">
        <v>1545</v>
      </c>
      <c r="I1609" s="252">
        <v>27.3</v>
      </c>
      <c r="J1609" s="253" t="s">
        <v>1393</v>
      </c>
      <c r="K1609" s="252">
        <f>(F1609*I1609)</f>
        <v>27.3</v>
      </c>
    </row>
    <row r="1610" spans="1:11" hidden="1">
      <c r="A1610" s="251"/>
      <c r="G1610" s="252" t="s">
        <v>446</v>
      </c>
      <c r="H1610" s="296" t="s">
        <v>1546</v>
      </c>
      <c r="J1610" s="253" t="s">
        <v>446</v>
      </c>
      <c r="K1610" s="252">
        <v>7.5</v>
      </c>
    </row>
    <row r="1611" spans="1:11" hidden="1">
      <c r="A1611" s="251"/>
      <c r="G1611" s="252" t="s">
        <v>446</v>
      </c>
      <c r="H1611" s="296" t="s">
        <v>620</v>
      </c>
      <c r="J1611" s="253" t="s">
        <v>446</v>
      </c>
      <c r="K1611" s="252">
        <v>1.2</v>
      </c>
    </row>
    <row r="1612" spans="1:11" hidden="1">
      <c r="A1612" s="251"/>
      <c r="H1612" s="296" t="s">
        <v>621</v>
      </c>
      <c r="K1612" s="358" t="s">
        <v>1579</v>
      </c>
    </row>
    <row r="1613" spans="1:11" hidden="1">
      <c r="A1613" s="251"/>
      <c r="H1613" s="253" t="s">
        <v>1631</v>
      </c>
      <c r="K1613" s="252">
        <f>SUM(K1609:K1611)</f>
        <v>36</v>
      </c>
    </row>
    <row r="1614" spans="1:11" hidden="1">
      <c r="A1614" s="251"/>
      <c r="K1614" s="358" t="s">
        <v>2046</v>
      </c>
    </row>
    <row r="1615" spans="1:11" hidden="1">
      <c r="A1615" s="251"/>
      <c r="F1615" s="253" t="s">
        <v>622</v>
      </c>
      <c r="G1615" s="252" t="s">
        <v>2241</v>
      </c>
      <c r="H1615" s="296" t="s">
        <v>5703</v>
      </c>
    </row>
    <row r="1616" spans="1:11" hidden="1">
      <c r="A1616" s="251"/>
      <c r="H1616" s="296" t="s">
        <v>623</v>
      </c>
      <c r="K1616" s="296" t="s">
        <v>971</v>
      </c>
    </row>
    <row r="1617" spans="1:11" hidden="1">
      <c r="A1617" s="251"/>
      <c r="H1617" s="358" t="s">
        <v>1579</v>
      </c>
    </row>
    <row r="1618" spans="1:11" hidden="1">
      <c r="A1618" s="251"/>
      <c r="F1618" s="252">
        <v>1</v>
      </c>
      <c r="G1618" s="252" t="s">
        <v>1752</v>
      </c>
      <c r="H1618" s="296" t="s">
        <v>624</v>
      </c>
      <c r="I1618" s="252">
        <v>20</v>
      </c>
      <c r="J1618" s="253" t="s">
        <v>1393</v>
      </c>
      <c r="K1618" s="252">
        <f>(F1618*I1618)</f>
        <v>20</v>
      </c>
    </row>
    <row r="1619" spans="1:11" hidden="1">
      <c r="A1619" s="251"/>
      <c r="G1619" s="252" t="s">
        <v>446</v>
      </c>
      <c r="H1619" s="296" t="s">
        <v>625</v>
      </c>
      <c r="J1619" s="253" t="s">
        <v>446</v>
      </c>
      <c r="K1619" s="252">
        <v>5</v>
      </c>
    </row>
    <row r="1620" spans="1:11" hidden="1">
      <c r="A1620" s="251"/>
      <c r="K1620" s="358" t="s">
        <v>1579</v>
      </c>
    </row>
    <row r="1621" spans="1:11" hidden="1">
      <c r="A1621" s="251"/>
      <c r="H1621" s="253" t="s">
        <v>626</v>
      </c>
      <c r="K1621" s="252">
        <f>SUM(K1617:K1619)</f>
        <v>25</v>
      </c>
    </row>
    <row r="1622" spans="1:11" hidden="1">
      <c r="A1622" s="251"/>
      <c r="K1622" s="358" t="s">
        <v>2046</v>
      </c>
    </row>
    <row r="1623" spans="1:11" hidden="1">
      <c r="A1623" s="251"/>
      <c r="F1623" s="253" t="s">
        <v>2139</v>
      </c>
      <c r="G1623" s="252" t="s">
        <v>2241</v>
      </c>
      <c r="H1623" s="296" t="s">
        <v>5704</v>
      </c>
    </row>
    <row r="1624" spans="1:11" hidden="1">
      <c r="A1624" s="251"/>
      <c r="H1624" s="358" t="s">
        <v>1579</v>
      </c>
      <c r="I1624" s="358" t="s">
        <v>1579</v>
      </c>
    </row>
    <row r="1625" spans="1:11" hidden="1">
      <c r="A1625" s="251"/>
      <c r="F1625" s="252">
        <v>1</v>
      </c>
      <c r="G1625" s="252" t="s">
        <v>1752</v>
      </c>
      <c r="H1625" s="296" t="s">
        <v>2140</v>
      </c>
      <c r="I1625" s="252">
        <v>1</v>
      </c>
      <c r="J1625" s="253" t="s">
        <v>1393</v>
      </c>
      <c r="K1625" s="252">
        <f>(F1625*I1625)</f>
        <v>1</v>
      </c>
    </row>
    <row r="1626" spans="1:11" hidden="1">
      <c r="A1626" s="251"/>
      <c r="G1626" s="252" t="s">
        <v>446</v>
      </c>
      <c r="H1626" s="296" t="s">
        <v>625</v>
      </c>
      <c r="J1626" s="253" t="s">
        <v>446</v>
      </c>
      <c r="K1626" s="252">
        <v>0.25</v>
      </c>
    </row>
    <row r="1627" spans="1:11" hidden="1">
      <c r="A1627" s="251"/>
      <c r="K1627" s="358" t="s">
        <v>1579</v>
      </c>
    </row>
    <row r="1628" spans="1:11" hidden="1">
      <c r="A1628" s="251"/>
      <c r="H1628" s="253" t="s">
        <v>626</v>
      </c>
      <c r="K1628" s="252">
        <f>SUM(K1623:K1626)</f>
        <v>1.25</v>
      </c>
    </row>
    <row r="1629" spans="1:11" hidden="1">
      <c r="A1629" s="251"/>
      <c r="F1629" s="296" t="s">
        <v>971</v>
      </c>
      <c r="K1629" s="358" t="s">
        <v>1579</v>
      </c>
    </row>
    <row r="1630" spans="1:11" hidden="1">
      <c r="A1630" s="251"/>
      <c r="F1630" s="375">
        <v>50.1</v>
      </c>
      <c r="G1630" s="252" t="s">
        <v>2241</v>
      </c>
      <c r="H1630" s="296" t="s">
        <v>2156</v>
      </c>
    </row>
    <row r="1631" spans="1:11" hidden="1">
      <c r="A1631" s="251"/>
      <c r="H1631" s="296" t="s">
        <v>12</v>
      </c>
    </row>
    <row r="1632" spans="1:11" hidden="1">
      <c r="A1632" s="251"/>
      <c r="H1632" s="296" t="s">
        <v>41</v>
      </c>
    </row>
    <row r="1633" spans="1:11" hidden="1">
      <c r="A1633" s="251"/>
      <c r="H1633" s="296" t="s">
        <v>42</v>
      </c>
    </row>
    <row r="1634" spans="1:11" hidden="1">
      <c r="A1634" s="251"/>
      <c r="H1634" s="296" t="s">
        <v>43</v>
      </c>
    </row>
    <row r="1635" spans="1:11" hidden="1">
      <c r="A1635" s="251"/>
      <c r="H1635" s="358" t="s">
        <v>1579</v>
      </c>
      <c r="I1635" s="358" t="s">
        <v>1579</v>
      </c>
    </row>
    <row r="1636" spans="1:11" hidden="1">
      <c r="A1636" s="251"/>
      <c r="F1636" s="252">
        <v>9</v>
      </c>
      <c r="G1636" s="252" t="s">
        <v>2142</v>
      </c>
      <c r="H1636" s="296" t="s">
        <v>1567</v>
      </c>
      <c r="I1636" s="252" t="e">
        <f>C73</f>
        <v>#REF!</v>
      </c>
      <c r="J1636" s="253" t="s">
        <v>2142</v>
      </c>
      <c r="K1636" s="252" t="e">
        <f>(F1636*I1636)</f>
        <v>#REF!</v>
      </c>
    </row>
    <row r="1637" spans="1:11" hidden="1">
      <c r="A1637" s="251"/>
      <c r="F1637" s="252">
        <v>4.5</v>
      </c>
      <c r="G1637" s="252" t="s">
        <v>2142</v>
      </c>
      <c r="H1637" s="296" t="s">
        <v>1568</v>
      </c>
      <c r="I1637" s="252" t="e">
        <f>K32</f>
        <v>#REF!</v>
      </c>
      <c r="J1637" s="253" t="s">
        <v>2142</v>
      </c>
      <c r="K1637" s="252" t="e">
        <f>(F1637*I1637)</f>
        <v>#REF!</v>
      </c>
    </row>
    <row r="1638" spans="1:11" hidden="1">
      <c r="A1638" s="251"/>
      <c r="F1638" s="252">
        <v>1.8</v>
      </c>
      <c r="G1638" s="252" t="s">
        <v>557</v>
      </c>
      <c r="H1638" s="296" t="s">
        <v>1569</v>
      </c>
      <c r="I1638" s="252">
        <f>C11</f>
        <v>135</v>
      </c>
      <c r="J1638" s="253" t="s">
        <v>1393</v>
      </c>
      <c r="K1638" s="252">
        <f>(F1638*I1638)</f>
        <v>243</v>
      </c>
    </row>
    <row r="1639" spans="1:11" hidden="1">
      <c r="A1639" s="251"/>
      <c r="F1639" s="252">
        <v>17.7</v>
      </c>
      <c r="G1639" s="252" t="s">
        <v>557</v>
      </c>
      <c r="H1639" s="296" t="s">
        <v>820</v>
      </c>
      <c r="I1639" s="252">
        <f>C12</f>
        <v>95</v>
      </c>
      <c r="J1639" s="253" t="s">
        <v>1393</v>
      </c>
      <c r="K1639" s="252">
        <f>(F1639*I1639)</f>
        <v>1681.5</v>
      </c>
    </row>
    <row r="1640" spans="1:11" hidden="1">
      <c r="A1640" s="251"/>
      <c r="F1640" s="252">
        <v>14.1</v>
      </c>
      <c r="G1640" s="252" t="s">
        <v>557</v>
      </c>
      <c r="H1640" s="296" t="s">
        <v>1367</v>
      </c>
      <c r="I1640" s="252">
        <f>C13</f>
        <v>85</v>
      </c>
      <c r="J1640" s="253" t="s">
        <v>1393</v>
      </c>
      <c r="K1640" s="252">
        <f>(F1640*I1640)</f>
        <v>1198.5</v>
      </c>
    </row>
    <row r="1641" spans="1:11" hidden="1">
      <c r="A1641" s="251"/>
      <c r="K1641" s="358" t="s">
        <v>1579</v>
      </c>
    </row>
    <row r="1642" spans="1:11" hidden="1">
      <c r="A1642" s="251"/>
      <c r="H1642" s="253" t="s">
        <v>1570</v>
      </c>
      <c r="K1642" s="252" t="e">
        <f>SUM(K1636:K1640)</f>
        <v>#REF!</v>
      </c>
    </row>
    <row r="1643" spans="1:11" hidden="1">
      <c r="A1643" s="251"/>
      <c r="K1643" s="358" t="s">
        <v>1579</v>
      </c>
    </row>
    <row r="1644" spans="1:11" hidden="1">
      <c r="A1644" s="251"/>
      <c r="H1644" s="253" t="s">
        <v>1571</v>
      </c>
      <c r="K1644" s="252" t="e">
        <f>(K1642/10)</f>
        <v>#REF!</v>
      </c>
    </row>
    <row r="1645" spans="1:11" hidden="1">
      <c r="A1645" s="251"/>
      <c r="K1645" s="358" t="s">
        <v>2046</v>
      </c>
    </row>
    <row r="1646" spans="1:11" hidden="1">
      <c r="A1646" s="251"/>
    </row>
    <row r="1647" spans="1:11" hidden="1">
      <c r="A1647" s="251"/>
      <c r="G1647" s="252" t="s">
        <v>672</v>
      </c>
      <c r="H1647" s="296" t="s">
        <v>1143</v>
      </c>
    </row>
    <row r="1648" spans="1:11" hidden="1">
      <c r="A1648" s="251"/>
      <c r="H1648" s="296" t="s">
        <v>5705</v>
      </c>
    </row>
    <row r="1649" spans="1:11" hidden="1">
      <c r="A1649" s="251"/>
      <c r="H1649" s="358" t="s">
        <v>1579</v>
      </c>
      <c r="I1649" s="358" t="s">
        <v>1579</v>
      </c>
    </row>
    <row r="1650" spans="1:11" hidden="1">
      <c r="A1650" s="251"/>
    </row>
    <row r="1651" spans="1:11" hidden="1">
      <c r="A1651" s="251"/>
      <c r="F1651" s="356">
        <v>0.314</v>
      </c>
      <c r="G1651" s="252" t="s">
        <v>2142</v>
      </c>
      <c r="H1651" s="296" t="s">
        <v>439</v>
      </c>
      <c r="I1651" s="252" t="e">
        <f>K1644</f>
        <v>#REF!</v>
      </c>
      <c r="J1651" s="253" t="s">
        <v>2142</v>
      </c>
      <c r="K1651" s="252" t="e">
        <f>(F1651*I1651)</f>
        <v>#REF!</v>
      </c>
    </row>
    <row r="1652" spans="1:11" hidden="1">
      <c r="A1652" s="251"/>
      <c r="F1652" s="252">
        <v>18</v>
      </c>
      <c r="G1652" s="252" t="s">
        <v>557</v>
      </c>
      <c r="H1652" s="296" t="s">
        <v>535</v>
      </c>
      <c r="I1652" s="252">
        <v>2</v>
      </c>
      <c r="J1652" s="253" t="s">
        <v>1393</v>
      </c>
      <c r="K1652" s="252">
        <f>(F1652*I1652)</f>
        <v>36</v>
      </c>
    </row>
    <row r="1653" spans="1:11" hidden="1">
      <c r="A1653" s="251"/>
      <c r="F1653" s="252">
        <v>18</v>
      </c>
      <c r="G1653" s="252" t="s">
        <v>557</v>
      </c>
      <c r="H1653" s="296" t="s">
        <v>536</v>
      </c>
      <c r="I1653" s="252">
        <v>1</v>
      </c>
      <c r="J1653" s="253" t="s">
        <v>1393</v>
      </c>
      <c r="K1653" s="252">
        <f>(F1653*I1653)</f>
        <v>18</v>
      </c>
    </row>
    <row r="1654" spans="1:11" hidden="1">
      <c r="A1654" s="251"/>
      <c r="F1654" s="252">
        <v>18</v>
      </c>
      <c r="G1654" s="252" t="s">
        <v>557</v>
      </c>
      <c r="H1654" s="296" t="s">
        <v>537</v>
      </c>
      <c r="I1654" s="252">
        <v>2</v>
      </c>
      <c r="J1654" s="253" t="s">
        <v>1393</v>
      </c>
      <c r="K1654" s="252">
        <f>(F1654*I1654)</f>
        <v>36</v>
      </c>
    </row>
    <row r="1655" spans="1:11" hidden="1">
      <c r="A1655" s="251"/>
      <c r="K1655" s="358" t="s">
        <v>1579</v>
      </c>
    </row>
    <row r="1656" spans="1:11" hidden="1">
      <c r="A1656" s="251"/>
      <c r="H1656" s="253" t="s">
        <v>1940</v>
      </c>
      <c r="K1656" s="252" t="e">
        <f>SUM(K1650:K1654)</f>
        <v>#REF!</v>
      </c>
    </row>
    <row r="1657" spans="1:11" hidden="1">
      <c r="A1657" s="251"/>
      <c r="K1657" s="358" t="s">
        <v>1579</v>
      </c>
    </row>
    <row r="1658" spans="1:11" hidden="1">
      <c r="A1658" s="251"/>
      <c r="H1658" s="253" t="s">
        <v>1941</v>
      </c>
      <c r="K1658" s="252" t="e">
        <f>(K1656/6.28)</f>
        <v>#REF!</v>
      </c>
    </row>
    <row r="1659" spans="1:11" hidden="1">
      <c r="A1659" s="251"/>
      <c r="K1659" s="358" t="s">
        <v>2046</v>
      </c>
    </row>
    <row r="1660" spans="1:11" hidden="1">
      <c r="A1660" s="251"/>
      <c r="F1660" s="296" t="s">
        <v>971</v>
      </c>
      <c r="H1660" s="296" t="s">
        <v>728</v>
      </c>
    </row>
    <row r="1661" spans="1:11" hidden="1">
      <c r="A1661" s="251"/>
      <c r="H1661" s="358" t="s">
        <v>1579</v>
      </c>
    </row>
    <row r="1662" spans="1:11" hidden="1">
      <c r="A1662" s="251"/>
      <c r="F1662" s="356">
        <v>0.01</v>
      </c>
      <c r="G1662" s="252" t="s">
        <v>2142</v>
      </c>
      <c r="H1662" s="296" t="s">
        <v>439</v>
      </c>
      <c r="I1662" s="252" t="e">
        <f>K1644</f>
        <v>#REF!</v>
      </c>
      <c r="J1662" s="253" t="s">
        <v>2142</v>
      </c>
      <c r="K1662" s="252" t="e">
        <f>(F1662*I1662)</f>
        <v>#REF!</v>
      </c>
    </row>
    <row r="1663" spans="1:11" hidden="1">
      <c r="A1663" s="251"/>
      <c r="F1663" s="252">
        <v>0.01</v>
      </c>
      <c r="G1663" s="252" t="s">
        <v>1336</v>
      </c>
      <c r="H1663" s="296" t="s">
        <v>729</v>
      </c>
      <c r="I1663" s="407" t="s">
        <v>654</v>
      </c>
      <c r="K1663" s="252">
        <v>1.2</v>
      </c>
    </row>
    <row r="1664" spans="1:11" hidden="1">
      <c r="A1664" s="251"/>
      <c r="I1664" s="407"/>
      <c r="K1664" s="358" t="s">
        <v>1579</v>
      </c>
    </row>
    <row r="1665" spans="1:11" hidden="1">
      <c r="A1665" s="251"/>
      <c r="H1665" s="253" t="s">
        <v>737</v>
      </c>
      <c r="K1665" s="252" t="e">
        <f>SUM(K1659:K1663)</f>
        <v>#REF!</v>
      </c>
    </row>
    <row r="1666" spans="1:11" hidden="1">
      <c r="A1666" s="251"/>
      <c r="K1666" s="358" t="s">
        <v>1579</v>
      </c>
    </row>
    <row r="1667" spans="1:11" hidden="1">
      <c r="A1667" s="251"/>
      <c r="H1667" s="253" t="s">
        <v>2165</v>
      </c>
      <c r="K1667" s="252" t="e">
        <f>K1665/0.01</f>
        <v>#REF!</v>
      </c>
    </row>
    <row r="1668" spans="1:11" hidden="1">
      <c r="A1668" s="251"/>
      <c r="K1668" s="358" t="s">
        <v>2046</v>
      </c>
    </row>
    <row r="1669" spans="1:11" hidden="1">
      <c r="A1669" s="251"/>
      <c r="F1669" s="253" t="s">
        <v>2166</v>
      </c>
      <c r="G1669" s="252" t="s">
        <v>672</v>
      </c>
      <c r="H1669" s="296" t="s">
        <v>1143</v>
      </c>
    </row>
    <row r="1670" spans="1:11" hidden="1">
      <c r="A1670" s="251"/>
      <c r="H1670" s="276" t="s">
        <v>5706</v>
      </c>
    </row>
    <row r="1671" spans="1:11" hidden="1">
      <c r="A1671" s="251"/>
      <c r="H1671" s="358" t="s">
        <v>1579</v>
      </c>
      <c r="I1671" s="358" t="s">
        <v>1579</v>
      </c>
    </row>
    <row r="1672" spans="1:11" hidden="1">
      <c r="A1672" s="251"/>
      <c r="F1672" s="356">
        <v>0.40500000000000003</v>
      </c>
      <c r="G1672" s="252" t="s">
        <v>2142</v>
      </c>
      <c r="H1672" s="296" t="s">
        <v>439</v>
      </c>
      <c r="I1672" s="252" t="e">
        <f>K1667</f>
        <v>#REF!</v>
      </c>
      <c r="J1672" s="253" t="s">
        <v>2142</v>
      </c>
      <c r="K1672" s="252" t="e">
        <f>(F1672*I1672)</f>
        <v>#REF!</v>
      </c>
    </row>
    <row r="1673" spans="1:11" hidden="1">
      <c r="A1673" s="251"/>
      <c r="F1673" s="296" t="s">
        <v>971</v>
      </c>
      <c r="G1673" s="252" t="s">
        <v>971</v>
      </c>
      <c r="H1673" s="296" t="s">
        <v>1640</v>
      </c>
      <c r="I1673" s="407" t="s">
        <v>654</v>
      </c>
      <c r="K1673" s="296" t="s">
        <v>971</v>
      </c>
    </row>
    <row r="1674" spans="1:11" hidden="1">
      <c r="A1674" s="251"/>
      <c r="K1674" s="358" t="s">
        <v>1579</v>
      </c>
    </row>
    <row r="1675" spans="1:11" hidden="1">
      <c r="A1675" s="251"/>
      <c r="H1675" s="253" t="s">
        <v>1641</v>
      </c>
      <c r="K1675" s="252" t="e">
        <f>SUM(K1669:K1673)</f>
        <v>#REF!</v>
      </c>
    </row>
    <row r="1676" spans="1:11" hidden="1">
      <c r="A1676" s="251"/>
      <c r="K1676" s="358" t="s">
        <v>1579</v>
      </c>
    </row>
    <row r="1677" spans="1:11" hidden="1">
      <c r="A1677" s="251"/>
      <c r="H1677" s="253" t="s">
        <v>1642</v>
      </c>
      <c r="K1677" s="252" t="e">
        <f>K1675/9</f>
        <v>#REF!</v>
      </c>
    </row>
    <row r="1678" spans="1:11" hidden="1">
      <c r="A1678" s="251"/>
      <c r="K1678" s="358" t="s">
        <v>2046</v>
      </c>
    </row>
    <row r="1679" spans="1:11" hidden="1">
      <c r="A1679" s="251"/>
      <c r="F1679" s="253" t="s">
        <v>1400</v>
      </c>
      <c r="H1679" s="296" t="s">
        <v>466</v>
      </c>
    </row>
    <row r="1680" spans="1:11" hidden="1">
      <c r="A1680" s="251"/>
      <c r="H1680" s="358" t="s">
        <v>1579</v>
      </c>
    </row>
    <row r="1681" spans="1:11" hidden="1">
      <c r="A1681" s="251"/>
      <c r="F1681" s="252">
        <v>4.32</v>
      </c>
      <c r="G1681" s="252" t="s">
        <v>866</v>
      </c>
      <c r="H1681" s="296" t="s">
        <v>354</v>
      </c>
      <c r="I1681" s="252">
        <f>C61</f>
        <v>25</v>
      </c>
      <c r="J1681" s="253" t="s">
        <v>866</v>
      </c>
      <c r="K1681" s="252">
        <f t="shared" ref="K1681:K1688" si="62">(F1681*I1681)</f>
        <v>108</v>
      </c>
    </row>
    <row r="1682" spans="1:11" hidden="1">
      <c r="A1682" s="251"/>
      <c r="F1682" s="252">
        <v>1.44</v>
      </c>
      <c r="G1682" s="252" t="s">
        <v>866</v>
      </c>
      <c r="H1682" s="296" t="s">
        <v>467</v>
      </c>
      <c r="I1682" s="252">
        <v>60.5</v>
      </c>
      <c r="J1682" s="253" t="s">
        <v>866</v>
      </c>
      <c r="K1682" s="252">
        <f t="shared" si="62"/>
        <v>87.12</v>
      </c>
    </row>
    <row r="1683" spans="1:11" hidden="1">
      <c r="A1683" s="251"/>
      <c r="F1683" s="252">
        <v>1.44</v>
      </c>
      <c r="G1683" s="252" t="s">
        <v>866</v>
      </c>
      <c r="H1683" s="296" t="s">
        <v>468</v>
      </c>
      <c r="I1683" s="252">
        <f>C35</f>
        <v>169</v>
      </c>
      <c r="J1683" s="253" t="s">
        <v>866</v>
      </c>
      <c r="K1683" s="252">
        <f t="shared" si="62"/>
        <v>243.36</v>
      </c>
    </row>
    <row r="1684" spans="1:11" hidden="1">
      <c r="A1684" s="251"/>
      <c r="F1684" s="252">
        <v>1.44</v>
      </c>
      <c r="G1684" s="252" t="s">
        <v>866</v>
      </c>
      <c r="H1684" s="296" t="s">
        <v>469</v>
      </c>
      <c r="I1684" s="252" t="e">
        <f>C78</f>
        <v>#REF!</v>
      </c>
      <c r="J1684" s="253" t="s">
        <v>866</v>
      </c>
      <c r="K1684" s="252" t="e">
        <f t="shared" si="62"/>
        <v>#REF!</v>
      </c>
    </row>
    <row r="1685" spans="1:11" hidden="1">
      <c r="A1685" s="251"/>
      <c r="F1685" s="252">
        <v>2.88</v>
      </c>
      <c r="G1685" s="252" t="s">
        <v>866</v>
      </c>
      <c r="H1685" s="296" t="s">
        <v>470</v>
      </c>
      <c r="I1685" s="252">
        <v>10</v>
      </c>
      <c r="J1685" s="253" t="s">
        <v>866</v>
      </c>
      <c r="K1685" s="252">
        <f t="shared" si="62"/>
        <v>28.8</v>
      </c>
    </row>
    <row r="1686" spans="1:11" hidden="1">
      <c r="A1686" s="251"/>
      <c r="F1686" s="252">
        <v>20</v>
      </c>
      <c r="G1686" s="252" t="s">
        <v>255</v>
      </c>
      <c r="H1686" s="296" t="s">
        <v>1616</v>
      </c>
      <c r="I1686" s="252">
        <v>40</v>
      </c>
      <c r="J1686" s="253" t="s">
        <v>255</v>
      </c>
      <c r="K1686" s="252">
        <f t="shared" si="62"/>
        <v>800</v>
      </c>
    </row>
    <row r="1687" spans="1:11" hidden="1">
      <c r="A1687" s="251"/>
      <c r="F1687" s="252">
        <v>42</v>
      </c>
      <c r="G1687" s="252" t="s">
        <v>2186</v>
      </c>
      <c r="H1687" s="296" t="s">
        <v>3104</v>
      </c>
      <c r="I1687" s="252">
        <v>10</v>
      </c>
      <c r="J1687" s="253" t="s">
        <v>2186</v>
      </c>
      <c r="K1687" s="252">
        <f t="shared" si="62"/>
        <v>420</v>
      </c>
    </row>
    <row r="1688" spans="1:11" hidden="1">
      <c r="A1688" s="251"/>
      <c r="F1688" s="252">
        <v>4.32</v>
      </c>
      <c r="G1688" s="252" t="s">
        <v>866</v>
      </c>
      <c r="H1688" s="296" t="s">
        <v>1609</v>
      </c>
      <c r="I1688" s="252">
        <f>C27</f>
        <v>7.8</v>
      </c>
      <c r="J1688" s="253" t="s">
        <v>866</v>
      </c>
      <c r="K1688" s="252">
        <f t="shared" si="62"/>
        <v>33.700000000000003</v>
      </c>
    </row>
    <row r="1689" spans="1:11" hidden="1">
      <c r="A1689" s="251"/>
      <c r="F1689" s="253" t="s">
        <v>730</v>
      </c>
      <c r="H1689" s="296" t="s">
        <v>1016</v>
      </c>
      <c r="K1689" s="252">
        <v>2000</v>
      </c>
    </row>
    <row r="1690" spans="1:11" hidden="1">
      <c r="A1690" s="251"/>
      <c r="K1690" s="358" t="s">
        <v>1579</v>
      </c>
    </row>
    <row r="1691" spans="1:11" hidden="1">
      <c r="A1691" s="251"/>
      <c r="H1691" s="296" t="s">
        <v>1017</v>
      </c>
      <c r="K1691" s="252" t="e">
        <f>SUM(K1681:K1689)</f>
        <v>#REF!</v>
      </c>
    </row>
    <row r="1692" spans="1:11" hidden="1">
      <c r="A1692" s="251"/>
      <c r="K1692" s="358" t="s">
        <v>1579</v>
      </c>
    </row>
    <row r="1693" spans="1:11" hidden="1">
      <c r="A1693" s="251"/>
      <c r="H1693" s="296" t="s">
        <v>1396</v>
      </c>
      <c r="K1693" s="252" t="e">
        <f>K1691/20</f>
        <v>#REF!</v>
      </c>
    </row>
    <row r="1694" spans="1:11" hidden="1">
      <c r="A1694" s="251"/>
      <c r="K1694" s="358" t="s">
        <v>2046</v>
      </c>
    </row>
    <row r="1695" spans="1:11" hidden="1">
      <c r="A1695" s="251"/>
    </row>
    <row r="1696" spans="1:11" hidden="1">
      <c r="A1696" s="251"/>
      <c r="F1696" s="253" t="s">
        <v>1018</v>
      </c>
      <c r="H1696" s="296" t="s">
        <v>1311</v>
      </c>
    </row>
    <row r="1697" spans="1:11" hidden="1">
      <c r="A1697" s="251"/>
      <c r="H1697" s="358" t="s">
        <v>1579</v>
      </c>
    </row>
    <row r="1698" spans="1:11" hidden="1">
      <c r="A1698" s="251"/>
      <c r="F1698" s="252">
        <v>0.1</v>
      </c>
      <c r="G1698" s="252" t="s">
        <v>866</v>
      </c>
      <c r="H1698" s="296" t="s">
        <v>354</v>
      </c>
      <c r="I1698" s="252">
        <f>K90</f>
        <v>50</v>
      </c>
      <c r="J1698" s="253" t="s">
        <v>866</v>
      </c>
      <c r="K1698" s="252">
        <f t="shared" ref="K1698:K1703" si="63">(F1698*I1698)</f>
        <v>5</v>
      </c>
    </row>
    <row r="1699" spans="1:11" hidden="1">
      <c r="A1699" s="251"/>
      <c r="F1699" s="252">
        <v>6.3</v>
      </c>
      <c r="G1699" s="252" t="s">
        <v>2186</v>
      </c>
      <c r="H1699" s="296" t="s">
        <v>632</v>
      </c>
      <c r="I1699" s="370">
        <v>21</v>
      </c>
      <c r="J1699" s="253" t="s">
        <v>2186</v>
      </c>
      <c r="K1699" s="252">
        <f t="shared" si="63"/>
        <v>132.30000000000001</v>
      </c>
    </row>
    <row r="1700" spans="1:11" hidden="1">
      <c r="A1700" s="251"/>
      <c r="F1700" s="252">
        <v>6.3</v>
      </c>
      <c r="G1700" s="252" t="s">
        <v>2186</v>
      </c>
      <c r="H1700" s="296" t="s">
        <v>3104</v>
      </c>
      <c r="I1700" s="252">
        <v>10</v>
      </c>
      <c r="J1700" s="253" t="s">
        <v>2186</v>
      </c>
      <c r="K1700" s="252">
        <f t="shared" si="63"/>
        <v>63</v>
      </c>
    </row>
    <row r="1701" spans="1:11" hidden="1">
      <c r="A1701" s="251"/>
      <c r="F1701" s="252">
        <v>3.15</v>
      </c>
      <c r="G1701" s="252" t="s">
        <v>230</v>
      </c>
      <c r="H1701" s="296" t="s">
        <v>633</v>
      </c>
      <c r="I1701" s="370">
        <v>22.6</v>
      </c>
      <c r="J1701" s="253" t="s">
        <v>230</v>
      </c>
      <c r="K1701" s="252">
        <f t="shared" si="63"/>
        <v>71.19</v>
      </c>
    </row>
    <row r="1702" spans="1:11" hidden="1">
      <c r="A1702" s="251"/>
      <c r="F1702" s="252">
        <v>0.25</v>
      </c>
      <c r="G1702" s="252" t="s">
        <v>1752</v>
      </c>
      <c r="H1702" s="296" t="s">
        <v>634</v>
      </c>
      <c r="I1702" s="252">
        <f>D16</f>
        <v>135</v>
      </c>
      <c r="J1702" s="253" t="s">
        <v>1752</v>
      </c>
      <c r="K1702" s="252">
        <f t="shared" si="63"/>
        <v>33.75</v>
      </c>
    </row>
    <row r="1703" spans="1:11" hidden="1">
      <c r="A1703" s="251"/>
      <c r="F1703" s="252">
        <v>0.2</v>
      </c>
      <c r="G1703" s="252" t="s">
        <v>1752</v>
      </c>
      <c r="H1703" s="296" t="s">
        <v>635</v>
      </c>
      <c r="I1703" s="252">
        <f>C17</f>
        <v>130</v>
      </c>
      <c r="J1703" s="253" t="s">
        <v>1752</v>
      </c>
      <c r="K1703" s="252">
        <f t="shared" si="63"/>
        <v>26</v>
      </c>
    </row>
    <row r="1704" spans="1:11" hidden="1">
      <c r="A1704" s="251"/>
      <c r="H1704" s="296" t="s">
        <v>505</v>
      </c>
      <c r="I1704" s="296" t="s">
        <v>971</v>
      </c>
      <c r="J1704" s="253" t="s">
        <v>971</v>
      </c>
      <c r="K1704" s="252">
        <v>0</v>
      </c>
    </row>
    <row r="1705" spans="1:11" hidden="1">
      <c r="A1705" s="251"/>
      <c r="J1705" s="253" t="s">
        <v>971</v>
      </c>
      <c r="K1705" s="358" t="s">
        <v>1579</v>
      </c>
    </row>
    <row r="1706" spans="1:11" hidden="1">
      <c r="A1706" s="251"/>
      <c r="F1706" s="296" t="s">
        <v>971</v>
      </c>
      <c r="G1706" s="252" t="s">
        <v>971</v>
      </c>
      <c r="H1706" s="296" t="s">
        <v>1396</v>
      </c>
      <c r="K1706" s="252">
        <f>SUM(K1698:K1704)</f>
        <v>331.24</v>
      </c>
    </row>
    <row r="1707" spans="1:11" hidden="1">
      <c r="A1707" s="251"/>
      <c r="H1707" s="296" t="s">
        <v>971</v>
      </c>
      <c r="K1707" s="358" t="s">
        <v>1579</v>
      </c>
    </row>
    <row r="1708" spans="1:11" hidden="1">
      <c r="A1708" s="251"/>
      <c r="K1708" s="358"/>
    </row>
    <row r="1709" spans="1:11" hidden="1">
      <c r="A1709" s="251"/>
      <c r="F1709" s="253" t="s">
        <v>590</v>
      </c>
      <c r="H1709" s="296" t="s">
        <v>926</v>
      </c>
    </row>
    <row r="1710" spans="1:11" hidden="1">
      <c r="A1710" s="251"/>
      <c r="H1710" s="358" t="s">
        <v>1579</v>
      </c>
    </row>
    <row r="1711" spans="1:11" hidden="1">
      <c r="A1711" s="251"/>
      <c r="F1711" s="316">
        <v>0.48599999999999999</v>
      </c>
      <c r="G1711" s="252" t="s">
        <v>1336</v>
      </c>
      <c r="H1711" s="296" t="s">
        <v>354</v>
      </c>
      <c r="I1711" s="252">
        <f>C61</f>
        <v>25</v>
      </c>
      <c r="J1711" s="253" t="s">
        <v>1336</v>
      </c>
      <c r="K1711" s="252">
        <f t="shared" ref="K1711:K1717" si="64">(F1711*I1711)</f>
        <v>12.15</v>
      </c>
    </row>
    <row r="1712" spans="1:11" hidden="1">
      <c r="A1712" s="251"/>
      <c r="F1712" s="316">
        <v>0.48599999999999999</v>
      </c>
      <c r="G1712" s="252" t="s">
        <v>1336</v>
      </c>
      <c r="H1712" s="296" t="s">
        <v>355</v>
      </c>
      <c r="I1712" s="252" t="e">
        <f>K203</f>
        <v>#REF!</v>
      </c>
      <c r="J1712" s="253" t="s">
        <v>1336</v>
      </c>
      <c r="K1712" s="252" t="e">
        <f t="shared" si="64"/>
        <v>#REF!</v>
      </c>
    </row>
    <row r="1713" spans="1:11" hidden="1">
      <c r="A1713" s="251"/>
      <c r="F1713" s="252">
        <v>81.75</v>
      </c>
      <c r="G1713" s="252" t="s">
        <v>356</v>
      </c>
      <c r="H1713" s="296" t="s">
        <v>357</v>
      </c>
      <c r="I1713" s="252">
        <v>30</v>
      </c>
      <c r="J1713" s="253" t="s">
        <v>356</v>
      </c>
      <c r="K1713" s="252">
        <f t="shared" si="64"/>
        <v>2452.5</v>
      </c>
    </row>
    <row r="1714" spans="1:11" hidden="1">
      <c r="A1714" s="251"/>
      <c r="F1714" s="252">
        <v>7.2</v>
      </c>
      <c r="G1714" s="252" t="s">
        <v>356</v>
      </c>
      <c r="H1714" s="296" t="s">
        <v>358</v>
      </c>
      <c r="I1714" s="252">
        <v>30</v>
      </c>
      <c r="J1714" s="253" t="s">
        <v>356</v>
      </c>
      <c r="K1714" s="252">
        <f t="shared" si="64"/>
        <v>216</v>
      </c>
    </row>
    <row r="1715" spans="1:11" hidden="1">
      <c r="A1715" s="251"/>
      <c r="F1715" s="252">
        <v>43.68</v>
      </c>
      <c r="G1715" s="252" t="s">
        <v>356</v>
      </c>
      <c r="H1715" s="296" t="s">
        <v>1549</v>
      </c>
      <c r="I1715" s="252">
        <f>I1713</f>
        <v>30</v>
      </c>
      <c r="J1715" s="253" t="s">
        <v>356</v>
      </c>
      <c r="K1715" s="252">
        <f t="shared" si="64"/>
        <v>1310.4000000000001</v>
      </c>
    </row>
    <row r="1716" spans="1:11" hidden="1">
      <c r="A1716" s="251"/>
      <c r="F1716" s="252">
        <v>132.63</v>
      </c>
      <c r="G1716" s="252" t="s">
        <v>356</v>
      </c>
      <c r="H1716" s="296" t="s">
        <v>1550</v>
      </c>
      <c r="I1716" s="370">
        <v>12.3</v>
      </c>
      <c r="J1716" s="253" t="s">
        <v>356</v>
      </c>
      <c r="K1716" s="252">
        <f t="shared" si="64"/>
        <v>1631.35</v>
      </c>
    </row>
    <row r="1717" spans="1:11" hidden="1">
      <c r="A1717" s="251"/>
      <c r="F1717" s="252">
        <v>2.2000000000000002</v>
      </c>
      <c r="G1717" s="252" t="s">
        <v>230</v>
      </c>
      <c r="H1717" s="296" t="s">
        <v>2411</v>
      </c>
      <c r="I1717" s="252">
        <v>360</v>
      </c>
      <c r="J1717" s="253" t="s">
        <v>230</v>
      </c>
      <c r="K1717" s="252">
        <f t="shared" si="64"/>
        <v>792</v>
      </c>
    </row>
    <row r="1718" spans="1:11" hidden="1">
      <c r="A1718" s="251"/>
      <c r="F1718" s="407" t="s">
        <v>654</v>
      </c>
      <c r="H1718" s="296" t="s">
        <v>1551</v>
      </c>
      <c r="I1718" s="407" t="s">
        <v>654</v>
      </c>
      <c r="K1718" s="252">
        <v>250</v>
      </c>
    </row>
    <row r="1719" spans="1:11" hidden="1">
      <c r="A1719" s="251"/>
      <c r="F1719" s="407" t="s">
        <v>654</v>
      </c>
      <c r="H1719" s="296" t="s">
        <v>1395</v>
      </c>
      <c r="I1719" s="407" t="s">
        <v>654</v>
      </c>
      <c r="K1719" s="252">
        <v>20</v>
      </c>
    </row>
    <row r="1720" spans="1:11" hidden="1">
      <c r="A1720" s="251"/>
      <c r="K1720" s="358" t="s">
        <v>1579</v>
      </c>
    </row>
    <row r="1721" spans="1:11" hidden="1">
      <c r="A1721" s="251"/>
      <c r="K1721" s="252" t="e">
        <f>SUM(K1711:K1720)</f>
        <v>#REF!</v>
      </c>
    </row>
    <row r="1722" spans="1:11" hidden="1">
      <c r="A1722" s="251"/>
      <c r="K1722" s="358" t="s">
        <v>1579</v>
      </c>
    </row>
    <row r="1723" spans="1:11" hidden="1">
      <c r="A1723" s="251"/>
      <c r="K1723" s="358"/>
    </row>
    <row r="1724" spans="1:11" hidden="1">
      <c r="A1724" s="251"/>
      <c r="F1724" s="369">
        <v>86</v>
      </c>
      <c r="H1724" s="296" t="s">
        <v>2050</v>
      </c>
      <c r="K1724" s="252">
        <f>C777</f>
        <v>30</v>
      </c>
    </row>
    <row r="1725" spans="1:11" hidden="1">
      <c r="A1725" s="251"/>
      <c r="F1725" s="375"/>
      <c r="H1725" s="296"/>
    </row>
    <row r="1726" spans="1:11" hidden="1">
      <c r="A1726" s="251"/>
      <c r="F1726" s="253" t="s">
        <v>1643</v>
      </c>
      <c r="H1726" s="296" t="s">
        <v>2265</v>
      </c>
      <c r="K1726" s="296">
        <v>3135</v>
      </c>
    </row>
    <row r="1727" spans="1:11" hidden="1">
      <c r="A1727" s="251"/>
      <c r="H1727" s="296" t="s">
        <v>2266</v>
      </c>
      <c r="K1727" s="252">
        <f>K1726</f>
        <v>3135</v>
      </c>
    </row>
    <row r="1728" spans="1:11" hidden="1">
      <c r="A1728" s="251"/>
      <c r="F1728" s="296" t="s">
        <v>971</v>
      </c>
    </row>
    <row r="1729" spans="1:11" hidden="1">
      <c r="A1729" s="251"/>
      <c r="F1729" s="375"/>
      <c r="G1729" s="252" t="s">
        <v>2241</v>
      </c>
      <c r="H1729" s="296" t="s">
        <v>2038</v>
      </c>
    </row>
    <row r="1730" spans="1:11" hidden="1">
      <c r="A1730" s="251"/>
      <c r="H1730" s="296" t="s">
        <v>2267</v>
      </c>
    </row>
    <row r="1731" spans="1:11" hidden="1">
      <c r="A1731" s="251"/>
      <c r="H1731" s="296" t="s">
        <v>944</v>
      </c>
    </row>
    <row r="1732" spans="1:11" hidden="1">
      <c r="A1732" s="251"/>
      <c r="H1732" s="358" t="s">
        <v>1579</v>
      </c>
    </row>
    <row r="1733" spans="1:11" hidden="1">
      <c r="A1733" s="251"/>
      <c r="G1733" s="252" t="s">
        <v>2268</v>
      </c>
      <c r="H1733" s="296" t="s">
        <v>944</v>
      </c>
      <c r="K1733" s="296" t="s">
        <v>1444</v>
      </c>
    </row>
    <row r="1734" spans="1:11" hidden="1">
      <c r="A1734" s="251"/>
      <c r="H1734" s="358" t="s">
        <v>1579</v>
      </c>
      <c r="K1734" s="358" t="s">
        <v>2046</v>
      </c>
    </row>
    <row r="1735" spans="1:11" hidden="1">
      <c r="A1735" s="251"/>
      <c r="F1735" s="252">
        <v>30</v>
      </c>
      <c r="G1735" s="252" t="s">
        <v>1763</v>
      </c>
      <c r="H1735" s="296" t="s">
        <v>1656</v>
      </c>
      <c r="I1735" s="252">
        <f>(C639)</f>
        <v>3</v>
      </c>
      <c r="J1735" s="253" t="s">
        <v>1763</v>
      </c>
      <c r="K1735" s="252">
        <f>(F1735*I1735)</f>
        <v>90</v>
      </c>
    </row>
    <row r="1736" spans="1:11" hidden="1">
      <c r="A1736" s="251"/>
      <c r="F1736" s="296" t="s">
        <v>971</v>
      </c>
      <c r="H1736" s="296" t="s">
        <v>1659</v>
      </c>
      <c r="I1736" s="296" t="s">
        <v>971</v>
      </c>
      <c r="K1736" s="296" t="s">
        <v>971</v>
      </c>
    </row>
    <row r="1737" spans="1:11" hidden="1">
      <c r="A1737" s="251"/>
      <c r="F1737" s="252">
        <v>8</v>
      </c>
      <c r="G1737" s="252" t="s">
        <v>865</v>
      </c>
      <c r="H1737" s="296" t="s">
        <v>2135</v>
      </c>
      <c r="I1737" s="252">
        <f>(C641)</f>
        <v>2.2000000000000002</v>
      </c>
      <c r="J1737" s="253" t="s">
        <v>865</v>
      </c>
      <c r="K1737" s="252">
        <f t="shared" ref="K1737:K1742" si="65">(F1737*I1737)</f>
        <v>17.600000000000001</v>
      </c>
    </row>
    <row r="1738" spans="1:11" hidden="1">
      <c r="A1738" s="251"/>
      <c r="F1738" s="252">
        <v>8</v>
      </c>
      <c r="G1738" s="252" t="s">
        <v>865</v>
      </c>
      <c r="H1738" s="296" t="s">
        <v>464</v>
      </c>
      <c r="I1738" s="252">
        <f>(C642)</f>
        <v>3.2</v>
      </c>
      <c r="J1738" s="253" t="s">
        <v>865</v>
      </c>
      <c r="K1738" s="252">
        <f t="shared" si="65"/>
        <v>25.6</v>
      </c>
    </row>
    <row r="1739" spans="1:11" hidden="1">
      <c r="A1739" s="251"/>
      <c r="F1739" s="252">
        <v>3</v>
      </c>
      <c r="G1739" s="252" t="s">
        <v>865</v>
      </c>
      <c r="H1739" s="296" t="s">
        <v>1837</v>
      </c>
      <c r="I1739" s="252">
        <f>(C41)</f>
        <v>110</v>
      </c>
      <c r="J1739" s="253" t="s">
        <v>865</v>
      </c>
      <c r="K1739" s="252">
        <f t="shared" si="65"/>
        <v>330</v>
      </c>
    </row>
    <row r="1740" spans="1:11" hidden="1">
      <c r="A1740" s="251"/>
      <c r="F1740" s="252">
        <v>1</v>
      </c>
      <c r="G1740" s="252" t="s">
        <v>865</v>
      </c>
      <c r="H1740" s="296" t="s">
        <v>1375</v>
      </c>
      <c r="I1740" s="252">
        <f>(C10)</f>
        <v>150</v>
      </c>
      <c r="J1740" s="253" t="s">
        <v>865</v>
      </c>
      <c r="K1740" s="252">
        <f t="shared" si="65"/>
        <v>150</v>
      </c>
    </row>
    <row r="1741" spans="1:11" hidden="1">
      <c r="A1741" s="251"/>
      <c r="F1741" s="252">
        <v>2</v>
      </c>
      <c r="G1741" s="252" t="s">
        <v>865</v>
      </c>
      <c r="H1741" s="296" t="s">
        <v>1893</v>
      </c>
      <c r="I1741" s="252">
        <f>(C12)</f>
        <v>95</v>
      </c>
      <c r="J1741" s="253" t="s">
        <v>865</v>
      </c>
      <c r="K1741" s="252">
        <f t="shared" si="65"/>
        <v>190</v>
      </c>
    </row>
    <row r="1742" spans="1:11" hidden="1">
      <c r="A1742" s="251"/>
      <c r="F1742" s="252">
        <v>1</v>
      </c>
      <c r="G1742" s="252" t="s">
        <v>865</v>
      </c>
      <c r="H1742" s="296" t="s">
        <v>317</v>
      </c>
      <c r="I1742" s="252">
        <f>(C13)</f>
        <v>85</v>
      </c>
      <c r="J1742" s="253" t="s">
        <v>865</v>
      </c>
      <c r="K1742" s="252">
        <f t="shared" si="65"/>
        <v>85</v>
      </c>
    </row>
    <row r="1743" spans="1:11" hidden="1">
      <c r="A1743" s="251"/>
      <c r="G1743" s="252" t="s">
        <v>446</v>
      </c>
      <c r="H1743" s="296" t="s">
        <v>1376</v>
      </c>
      <c r="I1743" s="296" t="s">
        <v>971</v>
      </c>
      <c r="J1743" s="253" t="s">
        <v>446</v>
      </c>
      <c r="K1743" s="252">
        <v>5</v>
      </c>
    </row>
    <row r="1744" spans="1:11" hidden="1">
      <c r="A1744" s="251"/>
      <c r="H1744" s="296" t="s">
        <v>928</v>
      </c>
      <c r="I1744" s="296" t="s">
        <v>971</v>
      </c>
      <c r="K1744" s="296" t="s">
        <v>971</v>
      </c>
    </row>
    <row r="1745" spans="1:11" hidden="1">
      <c r="A1745" s="251"/>
      <c r="G1745" s="252" t="s">
        <v>446</v>
      </c>
      <c r="H1745" s="296" t="s">
        <v>447</v>
      </c>
      <c r="J1745" s="253" t="s">
        <v>446</v>
      </c>
      <c r="K1745" s="252">
        <v>0</v>
      </c>
    </row>
    <row r="1746" spans="1:11" hidden="1">
      <c r="A1746" s="251"/>
      <c r="K1746" s="358" t="s">
        <v>1579</v>
      </c>
    </row>
    <row r="1747" spans="1:11" hidden="1">
      <c r="A1747" s="251"/>
      <c r="H1747" s="296" t="s">
        <v>1842</v>
      </c>
      <c r="K1747" s="252">
        <f>SUM(K1735:K1745)</f>
        <v>893.2</v>
      </c>
    </row>
    <row r="1748" spans="1:11" hidden="1">
      <c r="A1748" s="251"/>
      <c r="K1748" s="358" t="s">
        <v>1579</v>
      </c>
    </row>
    <row r="1749" spans="1:11" hidden="1">
      <c r="A1749" s="251"/>
      <c r="H1749" s="296" t="s">
        <v>1538</v>
      </c>
      <c r="K1749" s="252">
        <f>(K1747/30)</f>
        <v>29.77</v>
      </c>
    </row>
    <row r="1750" spans="1:11" hidden="1">
      <c r="A1750" s="251"/>
      <c r="K1750" s="358" t="s">
        <v>1579</v>
      </c>
    </row>
    <row r="1751" spans="1:11" hidden="1">
      <c r="A1751" s="251"/>
      <c r="G1751" s="252" t="s">
        <v>517</v>
      </c>
      <c r="H1751" s="296" t="s">
        <v>944</v>
      </c>
      <c r="K1751" s="296" t="s">
        <v>21</v>
      </c>
    </row>
    <row r="1752" spans="1:11" hidden="1">
      <c r="A1752" s="251"/>
      <c r="H1752" s="358" t="s">
        <v>1579</v>
      </c>
      <c r="K1752" s="358" t="s">
        <v>2046</v>
      </c>
    </row>
    <row r="1753" spans="1:11" hidden="1">
      <c r="A1753" s="251"/>
      <c r="F1753" s="252">
        <v>30</v>
      </c>
      <c r="G1753" s="252" t="s">
        <v>1763</v>
      </c>
      <c r="H1753" s="296" t="s">
        <v>1656</v>
      </c>
      <c r="I1753" s="252">
        <f>(C639)</f>
        <v>3</v>
      </c>
      <c r="J1753" s="253" t="s">
        <v>1763</v>
      </c>
      <c r="K1753" s="252">
        <f>(F1753*I1753)</f>
        <v>90</v>
      </c>
    </row>
    <row r="1754" spans="1:11" hidden="1">
      <c r="A1754" s="251"/>
      <c r="F1754" s="296" t="s">
        <v>971</v>
      </c>
      <c r="H1754" s="296" t="s">
        <v>1659</v>
      </c>
      <c r="I1754" s="296" t="s">
        <v>971</v>
      </c>
      <c r="K1754" s="296" t="s">
        <v>971</v>
      </c>
    </row>
    <row r="1755" spans="1:11" hidden="1">
      <c r="A1755" s="251"/>
      <c r="F1755" s="252">
        <v>8</v>
      </c>
      <c r="G1755" s="252" t="s">
        <v>865</v>
      </c>
      <c r="H1755" s="296" t="s">
        <v>2135</v>
      </c>
      <c r="I1755" s="252">
        <f>(C641)</f>
        <v>2.2000000000000002</v>
      </c>
      <c r="J1755" s="253" t="s">
        <v>865</v>
      </c>
      <c r="K1755" s="252">
        <f t="shared" ref="K1755:K1760" si="66">(F1755*I1755)</f>
        <v>17.600000000000001</v>
      </c>
    </row>
    <row r="1756" spans="1:11" hidden="1">
      <c r="A1756" s="251"/>
      <c r="F1756" s="252">
        <v>8</v>
      </c>
      <c r="G1756" s="252" t="s">
        <v>865</v>
      </c>
      <c r="H1756" s="296" t="s">
        <v>464</v>
      </c>
      <c r="I1756" s="252">
        <f>(D642)</f>
        <v>3.2</v>
      </c>
      <c r="J1756" s="253" t="s">
        <v>865</v>
      </c>
      <c r="K1756" s="252">
        <f t="shared" si="66"/>
        <v>25.6</v>
      </c>
    </row>
    <row r="1757" spans="1:11" hidden="1">
      <c r="A1757" s="251"/>
      <c r="F1757" s="252">
        <v>3</v>
      </c>
      <c r="G1757" s="252" t="s">
        <v>865</v>
      </c>
      <c r="H1757" s="296" t="s">
        <v>1837</v>
      </c>
      <c r="I1757" s="252">
        <f>(C41)</f>
        <v>110</v>
      </c>
      <c r="J1757" s="253" t="s">
        <v>865</v>
      </c>
      <c r="K1757" s="252">
        <f t="shared" si="66"/>
        <v>330</v>
      </c>
    </row>
    <row r="1758" spans="1:11" hidden="1">
      <c r="A1758" s="251"/>
      <c r="F1758" s="252">
        <v>1</v>
      </c>
      <c r="G1758" s="252" t="s">
        <v>865</v>
      </c>
      <c r="H1758" s="296" t="s">
        <v>1375</v>
      </c>
      <c r="I1758" s="252">
        <f>(C10)</f>
        <v>150</v>
      </c>
      <c r="J1758" s="253" t="s">
        <v>865</v>
      </c>
      <c r="K1758" s="252">
        <f t="shared" si="66"/>
        <v>150</v>
      </c>
    </row>
    <row r="1759" spans="1:11" hidden="1">
      <c r="A1759" s="251"/>
      <c r="F1759" s="252">
        <v>2</v>
      </c>
      <c r="G1759" s="252" t="s">
        <v>865</v>
      </c>
      <c r="H1759" s="296" t="s">
        <v>1893</v>
      </c>
      <c r="I1759" s="252">
        <f>(C12)</f>
        <v>95</v>
      </c>
      <c r="J1759" s="253" t="s">
        <v>865</v>
      </c>
      <c r="K1759" s="252">
        <f t="shared" si="66"/>
        <v>190</v>
      </c>
    </row>
    <row r="1760" spans="1:11" hidden="1">
      <c r="A1760" s="251"/>
      <c r="F1760" s="252">
        <v>1</v>
      </c>
      <c r="G1760" s="252" t="s">
        <v>865</v>
      </c>
      <c r="H1760" s="296" t="s">
        <v>317</v>
      </c>
      <c r="I1760" s="252">
        <f>(C13)</f>
        <v>85</v>
      </c>
      <c r="J1760" s="253" t="s">
        <v>865</v>
      </c>
      <c r="K1760" s="252">
        <f t="shared" si="66"/>
        <v>85</v>
      </c>
    </row>
    <row r="1761" spans="1:11" hidden="1">
      <c r="A1761" s="251"/>
      <c r="G1761" s="252" t="s">
        <v>446</v>
      </c>
      <c r="H1761" s="296" t="s">
        <v>1376</v>
      </c>
      <c r="I1761" s="296" t="s">
        <v>971</v>
      </c>
      <c r="J1761" s="253" t="s">
        <v>446</v>
      </c>
      <c r="K1761" s="252">
        <v>5</v>
      </c>
    </row>
    <row r="1762" spans="1:11" hidden="1">
      <c r="A1762" s="251"/>
      <c r="H1762" s="296" t="s">
        <v>928</v>
      </c>
      <c r="I1762" s="296" t="s">
        <v>971</v>
      </c>
      <c r="K1762" s="296" t="s">
        <v>971</v>
      </c>
    </row>
    <row r="1763" spans="1:11" hidden="1">
      <c r="A1763" s="251"/>
      <c r="G1763" s="252" t="s">
        <v>446</v>
      </c>
      <c r="H1763" s="296" t="s">
        <v>447</v>
      </c>
      <c r="J1763" s="253" t="s">
        <v>446</v>
      </c>
      <c r="K1763" s="252">
        <v>0</v>
      </c>
    </row>
    <row r="1764" spans="1:11" hidden="1">
      <c r="A1764" s="251"/>
      <c r="K1764" s="358" t="s">
        <v>1579</v>
      </c>
    </row>
    <row r="1765" spans="1:11" hidden="1">
      <c r="A1765" s="251"/>
      <c r="H1765" s="296" t="s">
        <v>1842</v>
      </c>
      <c r="K1765" s="252">
        <f>SUM(K1753:K1763)</f>
        <v>893.2</v>
      </c>
    </row>
    <row r="1766" spans="1:11" hidden="1">
      <c r="A1766" s="251"/>
      <c r="K1766" s="358" t="s">
        <v>1579</v>
      </c>
    </row>
    <row r="1767" spans="1:11" hidden="1">
      <c r="A1767" s="251"/>
      <c r="H1767" s="296" t="s">
        <v>1538</v>
      </c>
      <c r="K1767" s="252">
        <f>(K1765/30)</f>
        <v>29.77</v>
      </c>
    </row>
    <row r="1768" spans="1:11" hidden="1">
      <c r="A1768" s="251"/>
      <c r="K1768" s="358" t="s">
        <v>1579</v>
      </c>
    </row>
    <row r="1769" spans="1:11" hidden="1">
      <c r="A1769" s="251"/>
      <c r="G1769" s="252" t="s">
        <v>1898</v>
      </c>
      <c r="H1769" s="296" t="s">
        <v>944</v>
      </c>
      <c r="K1769" s="296" t="s">
        <v>22</v>
      </c>
    </row>
    <row r="1770" spans="1:11" hidden="1">
      <c r="A1770" s="251"/>
      <c r="H1770" s="358" t="s">
        <v>1579</v>
      </c>
      <c r="K1770" s="358" t="s">
        <v>2046</v>
      </c>
    </row>
    <row r="1771" spans="1:11" hidden="1">
      <c r="A1771" s="251"/>
      <c r="F1771" s="252">
        <v>30</v>
      </c>
      <c r="G1771" s="252" t="s">
        <v>1763</v>
      </c>
      <c r="H1771" s="296" t="s">
        <v>1656</v>
      </c>
      <c r="I1771" s="252">
        <f>(C639)</f>
        <v>3</v>
      </c>
      <c r="J1771" s="253" t="s">
        <v>1763</v>
      </c>
      <c r="K1771" s="252">
        <f>(F1771*I1771)</f>
        <v>90</v>
      </c>
    </row>
    <row r="1772" spans="1:11" hidden="1">
      <c r="A1772" s="251"/>
      <c r="F1772" s="296" t="s">
        <v>971</v>
      </c>
      <c r="H1772" s="296" t="s">
        <v>1659</v>
      </c>
      <c r="I1772" s="296" t="s">
        <v>971</v>
      </c>
      <c r="K1772" s="296" t="s">
        <v>971</v>
      </c>
    </row>
    <row r="1773" spans="1:11" hidden="1">
      <c r="A1773" s="251"/>
      <c r="F1773" s="252">
        <v>8</v>
      </c>
      <c r="G1773" s="252" t="s">
        <v>865</v>
      </c>
      <c r="H1773" s="296" t="s">
        <v>2135</v>
      </c>
      <c r="I1773" s="252">
        <f>(D641)</f>
        <v>2.7</v>
      </c>
      <c r="J1773" s="253" t="s">
        <v>865</v>
      </c>
      <c r="K1773" s="252">
        <f t="shared" ref="K1773:K1778" si="67">(F1773*I1773)</f>
        <v>21.6</v>
      </c>
    </row>
    <row r="1774" spans="1:11" hidden="1">
      <c r="A1774" s="251"/>
      <c r="F1774" s="252">
        <v>8</v>
      </c>
      <c r="G1774" s="252" t="s">
        <v>865</v>
      </c>
      <c r="H1774" s="296" t="s">
        <v>464</v>
      </c>
      <c r="I1774" s="252">
        <f>(C647)</f>
        <v>6.4</v>
      </c>
      <c r="J1774" s="253" t="s">
        <v>865</v>
      </c>
      <c r="K1774" s="252">
        <f t="shared" si="67"/>
        <v>51.2</v>
      </c>
    </row>
    <row r="1775" spans="1:11" hidden="1">
      <c r="A1775" s="251"/>
      <c r="F1775" s="252">
        <v>3</v>
      </c>
      <c r="G1775" s="252" t="s">
        <v>865</v>
      </c>
      <c r="H1775" s="296" t="s">
        <v>1837</v>
      </c>
      <c r="I1775" s="252">
        <f>(C41)</f>
        <v>110</v>
      </c>
      <c r="J1775" s="253" t="s">
        <v>865</v>
      </c>
      <c r="K1775" s="252">
        <f t="shared" si="67"/>
        <v>330</v>
      </c>
    </row>
    <row r="1776" spans="1:11" hidden="1">
      <c r="A1776" s="251"/>
      <c r="F1776" s="252">
        <v>1</v>
      </c>
      <c r="G1776" s="252" t="s">
        <v>865</v>
      </c>
      <c r="H1776" s="296" t="s">
        <v>1375</v>
      </c>
      <c r="I1776" s="252">
        <f>(C10)</f>
        <v>150</v>
      </c>
      <c r="J1776" s="253" t="s">
        <v>865</v>
      </c>
      <c r="K1776" s="252">
        <f t="shared" si="67"/>
        <v>150</v>
      </c>
    </row>
    <row r="1777" spans="1:11" hidden="1">
      <c r="A1777" s="251"/>
      <c r="F1777" s="252">
        <v>2</v>
      </c>
      <c r="G1777" s="252" t="s">
        <v>865</v>
      </c>
      <c r="H1777" s="296" t="s">
        <v>1893</v>
      </c>
      <c r="I1777" s="252">
        <f>(C12)</f>
        <v>95</v>
      </c>
      <c r="J1777" s="253" t="s">
        <v>865</v>
      </c>
      <c r="K1777" s="252">
        <f t="shared" si="67"/>
        <v>190</v>
      </c>
    </row>
    <row r="1778" spans="1:11" hidden="1">
      <c r="A1778" s="251"/>
      <c r="F1778" s="252">
        <v>1</v>
      </c>
      <c r="G1778" s="252" t="s">
        <v>865</v>
      </c>
      <c r="H1778" s="296" t="s">
        <v>317</v>
      </c>
      <c r="I1778" s="252">
        <f>(C13)</f>
        <v>85</v>
      </c>
      <c r="J1778" s="253" t="s">
        <v>865</v>
      </c>
      <c r="K1778" s="252">
        <f t="shared" si="67"/>
        <v>85</v>
      </c>
    </row>
    <row r="1779" spans="1:11" hidden="1">
      <c r="A1779" s="251"/>
      <c r="G1779" s="252" t="s">
        <v>446</v>
      </c>
      <c r="H1779" s="296" t="s">
        <v>1376</v>
      </c>
      <c r="I1779" s="296" t="s">
        <v>971</v>
      </c>
      <c r="J1779" s="253" t="s">
        <v>446</v>
      </c>
      <c r="K1779" s="252">
        <v>5</v>
      </c>
    </row>
    <row r="1780" spans="1:11" hidden="1">
      <c r="A1780" s="251"/>
      <c r="H1780" s="296" t="s">
        <v>928</v>
      </c>
      <c r="I1780" s="296" t="s">
        <v>971</v>
      </c>
      <c r="K1780" s="296" t="s">
        <v>971</v>
      </c>
    </row>
    <row r="1781" spans="1:11" hidden="1">
      <c r="A1781" s="251"/>
      <c r="G1781" s="252" t="s">
        <v>446</v>
      </c>
      <c r="H1781" s="296" t="s">
        <v>447</v>
      </c>
      <c r="J1781" s="253" t="s">
        <v>446</v>
      </c>
      <c r="K1781" s="252">
        <v>0</v>
      </c>
    </row>
    <row r="1782" spans="1:11" hidden="1">
      <c r="A1782" s="251"/>
      <c r="K1782" s="358" t="s">
        <v>1579</v>
      </c>
    </row>
    <row r="1783" spans="1:11" hidden="1">
      <c r="A1783" s="251"/>
      <c r="H1783" s="296" t="s">
        <v>1842</v>
      </c>
      <c r="K1783" s="252">
        <f>SUM(K1771:K1781)</f>
        <v>922.8</v>
      </c>
    </row>
    <row r="1784" spans="1:11" hidden="1">
      <c r="A1784" s="251"/>
      <c r="K1784" s="358" t="s">
        <v>1579</v>
      </c>
    </row>
    <row r="1785" spans="1:11" hidden="1">
      <c r="A1785" s="251"/>
      <c r="H1785" s="296" t="s">
        <v>1538</v>
      </c>
      <c r="K1785" s="252">
        <f>(K1783/30)</f>
        <v>30.76</v>
      </c>
    </row>
    <row r="1786" spans="1:11" hidden="1">
      <c r="A1786" s="251"/>
      <c r="K1786" s="358" t="s">
        <v>1579</v>
      </c>
    </row>
    <row r="1787" spans="1:11" hidden="1">
      <c r="A1787" s="251"/>
    </row>
    <row r="1788" spans="1:11" hidden="1">
      <c r="A1788" s="251"/>
      <c r="F1788" s="369">
        <v>52</v>
      </c>
      <c r="G1788" s="252" t="s">
        <v>2241</v>
      </c>
      <c r="H1788" s="296" t="s">
        <v>99</v>
      </c>
    </row>
    <row r="1789" spans="1:11" hidden="1">
      <c r="A1789" s="251"/>
      <c r="H1789" s="296" t="s">
        <v>2159</v>
      </c>
    </row>
    <row r="1790" spans="1:11" hidden="1">
      <c r="A1790" s="251"/>
      <c r="H1790" s="296" t="s">
        <v>2160</v>
      </c>
    </row>
    <row r="1791" spans="1:11" hidden="1">
      <c r="A1791" s="251"/>
      <c r="H1791" s="296" t="s">
        <v>1401</v>
      </c>
    </row>
    <row r="1792" spans="1:11" hidden="1">
      <c r="A1792" s="251"/>
      <c r="H1792" s="296" t="s">
        <v>1402</v>
      </c>
    </row>
    <row r="1793" spans="1:11" hidden="1">
      <c r="A1793" s="251"/>
      <c r="H1793" s="296" t="s">
        <v>1346</v>
      </c>
    </row>
    <row r="1794" spans="1:11" hidden="1">
      <c r="A1794" s="251"/>
      <c r="H1794" s="296" t="s">
        <v>1347</v>
      </c>
    </row>
    <row r="1795" spans="1:11" hidden="1">
      <c r="A1795" s="251"/>
      <c r="H1795" s="296" t="s">
        <v>707</v>
      </c>
    </row>
    <row r="1796" spans="1:11" hidden="1">
      <c r="A1796" s="251"/>
      <c r="H1796" s="358" t="s">
        <v>2046</v>
      </c>
      <c r="I1796" s="358" t="s">
        <v>2046</v>
      </c>
    </row>
    <row r="1797" spans="1:11" hidden="1">
      <c r="A1797" s="251"/>
      <c r="G1797" s="252" t="s">
        <v>2241</v>
      </c>
      <c r="H1797" s="296" t="s">
        <v>914</v>
      </c>
    </row>
    <row r="1798" spans="1:11" hidden="1">
      <c r="A1798" s="251"/>
      <c r="H1798" s="296" t="s">
        <v>803</v>
      </c>
    </row>
    <row r="1799" spans="1:11" hidden="1">
      <c r="A1799" s="251"/>
      <c r="G1799" s="252" t="s">
        <v>313</v>
      </c>
      <c r="H1799" s="296" t="s">
        <v>804</v>
      </c>
    </row>
    <row r="1800" spans="1:11" hidden="1">
      <c r="A1800" s="251"/>
      <c r="H1800" s="358" t="s">
        <v>1579</v>
      </c>
    </row>
    <row r="1801" spans="1:11" hidden="1">
      <c r="A1801" s="251"/>
      <c r="F1801" s="252">
        <v>1</v>
      </c>
      <c r="G1801" s="252" t="s">
        <v>823</v>
      </c>
      <c r="H1801" s="296" t="s">
        <v>615</v>
      </c>
      <c r="I1801" s="252">
        <f>C509</f>
        <v>32.9</v>
      </c>
      <c r="J1801" s="253" t="s">
        <v>823</v>
      </c>
      <c r="K1801" s="252">
        <f>(F1801*I1801)</f>
        <v>32.9</v>
      </c>
    </row>
    <row r="1802" spans="1:11" hidden="1">
      <c r="A1802" s="251"/>
      <c r="F1802" s="252">
        <v>1</v>
      </c>
      <c r="G1802" s="252" t="s">
        <v>446</v>
      </c>
      <c r="H1802" s="296" t="s">
        <v>1793</v>
      </c>
      <c r="I1802" s="252">
        <f>I1801*0.7</f>
        <v>23.03</v>
      </c>
      <c r="J1802" s="253" t="s">
        <v>446</v>
      </c>
      <c r="K1802" s="252">
        <f>(F1802*I1802)</f>
        <v>23.03</v>
      </c>
    </row>
    <row r="1803" spans="1:11" hidden="1">
      <c r="A1803" s="251"/>
      <c r="F1803" s="252">
        <v>1</v>
      </c>
      <c r="G1803" s="252" t="s">
        <v>823</v>
      </c>
      <c r="H1803" s="296" t="s">
        <v>161</v>
      </c>
      <c r="I1803" s="252">
        <f>K1749</f>
        <v>29.77</v>
      </c>
      <c r="J1803" s="253" t="s">
        <v>823</v>
      </c>
      <c r="K1803" s="252">
        <f>(F1803*I1803)</f>
        <v>29.77</v>
      </c>
    </row>
    <row r="1804" spans="1:11" hidden="1">
      <c r="A1804" s="251"/>
      <c r="I1804" s="296" t="s">
        <v>971</v>
      </c>
      <c r="K1804" s="358" t="s">
        <v>1579</v>
      </c>
    </row>
    <row r="1805" spans="1:11" hidden="1">
      <c r="A1805" s="251"/>
      <c r="H1805" s="296" t="s">
        <v>374</v>
      </c>
      <c r="K1805" s="252">
        <f>SUM(K1801:K1803)</f>
        <v>85.7</v>
      </c>
    </row>
    <row r="1806" spans="1:11" hidden="1">
      <c r="A1806" s="251"/>
      <c r="H1806" s="296" t="s">
        <v>971</v>
      </c>
      <c r="I1806" s="296" t="s">
        <v>971</v>
      </c>
      <c r="K1806" s="358" t="s">
        <v>2046</v>
      </c>
    </row>
    <row r="1807" spans="1:11" hidden="1">
      <c r="A1807" s="251"/>
      <c r="G1807" s="252" t="s">
        <v>517</v>
      </c>
      <c r="H1807" s="296" t="s">
        <v>739</v>
      </c>
    </row>
    <row r="1808" spans="1:11" hidden="1">
      <c r="A1808" s="251"/>
      <c r="H1808" s="358" t="s">
        <v>1579</v>
      </c>
    </row>
    <row r="1809" spans="1:11" hidden="1">
      <c r="A1809" s="251"/>
      <c r="F1809" s="252">
        <v>1</v>
      </c>
      <c r="G1809" s="252" t="s">
        <v>823</v>
      </c>
      <c r="H1809" s="296" t="s">
        <v>740</v>
      </c>
      <c r="I1809" s="252">
        <f>C510</f>
        <v>48.8</v>
      </c>
      <c r="J1809" s="253" t="s">
        <v>823</v>
      </c>
      <c r="K1809" s="252">
        <f>(F1809*I1809)</f>
        <v>48.8</v>
      </c>
    </row>
    <row r="1810" spans="1:11" hidden="1">
      <c r="A1810" s="251"/>
      <c r="F1810" s="252">
        <v>1</v>
      </c>
      <c r="G1810" s="252" t="s">
        <v>446</v>
      </c>
      <c r="H1810" s="296" t="s">
        <v>890</v>
      </c>
      <c r="I1810" s="252">
        <f>I1809*0.4</f>
        <v>19.52</v>
      </c>
      <c r="J1810" s="253" t="s">
        <v>446</v>
      </c>
      <c r="K1810" s="252">
        <f>(F1810*I1810)</f>
        <v>19.52</v>
      </c>
    </row>
    <row r="1811" spans="1:11" hidden="1">
      <c r="A1811" s="251"/>
      <c r="F1811" s="252">
        <v>1</v>
      </c>
      <c r="G1811" s="252" t="s">
        <v>823</v>
      </c>
      <c r="H1811" s="296" t="s">
        <v>161</v>
      </c>
      <c r="I1811" s="252">
        <f>K1767</f>
        <v>29.77</v>
      </c>
      <c r="J1811" s="253" t="s">
        <v>823</v>
      </c>
      <c r="K1811" s="252">
        <f>(F1811*I1811)</f>
        <v>29.77</v>
      </c>
    </row>
    <row r="1812" spans="1:11" hidden="1">
      <c r="A1812" s="251"/>
      <c r="I1812" s="296" t="s">
        <v>971</v>
      </c>
      <c r="K1812" s="358" t="s">
        <v>1579</v>
      </c>
    </row>
    <row r="1813" spans="1:11" hidden="1">
      <c r="A1813" s="251"/>
      <c r="H1813" s="296" t="s">
        <v>374</v>
      </c>
      <c r="K1813" s="252">
        <f>SUM(K1809:K1811)</f>
        <v>98.09</v>
      </c>
    </row>
    <row r="1814" spans="1:11" hidden="1">
      <c r="A1814" s="251"/>
      <c r="I1814" s="296" t="s">
        <v>971</v>
      </c>
      <c r="K1814" s="358" t="s">
        <v>2046</v>
      </c>
    </row>
    <row r="1815" spans="1:11" hidden="1">
      <c r="A1815" s="251"/>
      <c r="G1815" s="252" t="s">
        <v>1898</v>
      </c>
      <c r="H1815" s="296" t="s">
        <v>372</v>
      </c>
    </row>
    <row r="1816" spans="1:11" hidden="1">
      <c r="A1816" s="251"/>
      <c r="H1816" s="358" t="s">
        <v>1579</v>
      </c>
    </row>
    <row r="1817" spans="1:11" hidden="1">
      <c r="A1817" s="251"/>
      <c r="F1817" s="252">
        <v>1</v>
      </c>
      <c r="G1817" s="252" t="s">
        <v>823</v>
      </c>
      <c r="H1817" s="296" t="s">
        <v>1663</v>
      </c>
      <c r="I1817" s="252">
        <f>C511</f>
        <v>65.7</v>
      </c>
      <c r="J1817" s="253" t="s">
        <v>823</v>
      </c>
      <c r="K1817" s="252">
        <f>(F1817*I1817)</f>
        <v>65.7</v>
      </c>
    </row>
    <row r="1818" spans="1:11" hidden="1">
      <c r="A1818" s="251"/>
      <c r="F1818" s="252">
        <v>1</v>
      </c>
      <c r="G1818" s="252" t="s">
        <v>446</v>
      </c>
      <c r="H1818" s="296" t="s">
        <v>1664</v>
      </c>
      <c r="I1818" s="252">
        <f>I1817*0.2</f>
        <v>13.14</v>
      </c>
      <c r="J1818" s="253" t="s">
        <v>446</v>
      </c>
      <c r="K1818" s="252">
        <f>(F1818*I1818)</f>
        <v>13.14</v>
      </c>
    </row>
    <row r="1819" spans="1:11" hidden="1">
      <c r="A1819" s="251"/>
      <c r="F1819" s="252">
        <v>1</v>
      </c>
      <c r="G1819" s="252" t="s">
        <v>823</v>
      </c>
      <c r="H1819" s="296" t="s">
        <v>161</v>
      </c>
      <c r="I1819" s="252">
        <f>K1785</f>
        <v>30.76</v>
      </c>
      <c r="J1819" s="253" t="s">
        <v>823</v>
      </c>
      <c r="K1819" s="252">
        <f>(F1819*I1819)</f>
        <v>30.76</v>
      </c>
    </row>
    <row r="1820" spans="1:11" hidden="1">
      <c r="A1820" s="251"/>
      <c r="I1820" s="296" t="s">
        <v>971</v>
      </c>
      <c r="K1820" s="358" t="s">
        <v>1579</v>
      </c>
    </row>
    <row r="1821" spans="1:11" hidden="1">
      <c r="A1821" s="251"/>
      <c r="H1821" s="296" t="s">
        <v>374</v>
      </c>
      <c r="K1821" s="252">
        <f>SUM(K1817:K1819)</f>
        <v>109.6</v>
      </c>
    </row>
    <row r="1822" spans="1:11" hidden="1">
      <c r="A1822" s="251"/>
      <c r="I1822" s="296" t="s">
        <v>971</v>
      </c>
      <c r="K1822" s="358" t="s">
        <v>2046</v>
      </c>
    </row>
    <row r="1823" spans="1:11" hidden="1">
      <c r="A1823" s="251"/>
      <c r="I1823" s="296"/>
      <c r="K1823" s="358"/>
    </row>
    <row r="1824" spans="1:11" ht="31.5" hidden="1">
      <c r="A1824" s="251"/>
      <c r="F1824" s="509">
        <v>52.1</v>
      </c>
      <c r="H1824" s="268" t="s">
        <v>2191</v>
      </c>
      <c r="I1824" s="296"/>
      <c r="K1824" s="358"/>
    </row>
    <row r="1825" spans="1:11" hidden="1">
      <c r="A1825" s="251"/>
      <c r="I1825" s="296"/>
      <c r="K1825" s="358"/>
    </row>
    <row r="1826" spans="1:11" hidden="1">
      <c r="A1826" s="251"/>
      <c r="F1826" s="253"/>
      <c r="H1826" s="296" t="s">
        <v>2038</v>
      </c>
      <c r="I1826" s="296"/>
      <c r="K1826" s="358"/>
    </row>
    <row r="1827" spans="1:11" hidden="1">
      <c r="A1827" s="251"/>
      <c r="H1827" s="296" t="s">
        <v>2192</v>
      </c>
      <c r="I1827" s="296"/>
      <c r="K1827" s="358"/>
    </row>
    <row r="1828" spans="1:11" hidden="1">
      <c r="A1828" s="251"/>
      <c r="H1828" s="358" t="s">
        <v>1579</v>
      </c>
      <c r="I1828" s="296"/>
      <c r="K1828" s="358"/>
    </row>
    <row r="1829" spans="1:11" hidden="1">
      <c r="A1829" s="251"/>
      <c r="F1829" s="252">
        <v>30</v>
      </c>
      <c r="G1829" s="252" t="s">
        <v>1763</v>
      </c>
      <c r="H1829" s="296" t="s">
        <v>147</v>
      </c>
      <c r="I1829" s="407">
        <f>E639</f>
        <v>5</v>
      </c>
      <c r="J1829" s="253" t="s">
        <v>1763</v>
      </c>
      <c r="K1829" s="252">
        <f t="shared" ref="K1829:K1835" si="68">(F1829*I1829)</f>
        <v>150</v>
      </c>
    </row>
    <row r="1830" spans="1:11" hidden="1">
      <c r="A1830" s="251"/>
      <c r="F1830" s="252">
        <v>8</v>
      </c>
      <c r="G1830" s="252" t="s">
        <v>865</v>
      </c>
      <c r="H1830" s="296" t="s">
        <v>2135</v>
      </c>
      <c r="I1830" s="407">
        <f>I1737</f>
        <v>2.2000000000000002</v>
      </c>
      <c r="J1830" s="253" t="s">
        <v>865</v>
      </c>
      <c r="K1830" s="252">
        <f t="shared" si="68"/>
        <v>17.600000000000001</v>
      </c>
    </row>
    <row r="1831" spans="1:11" hidden="1">
      <c r="A1831" s="251"/>
      <c r="F1831" s="252">
        <v>8</v>
      </c>
      <c r="G1831" s="252" t="s">
        <v>865</v>
      </c>
      <c r="H1831" s="296" t="s">
        <v>464</v>
      </c>
      <c r="I1831" s="407">
        <f>I1738</f>
        <v>3.2</v>
      </c>
      <c r="J1831" s="253" t="s">
        <v>865</v>
      </c>
      <c r="K1831" s="252">
        <f t="shared" si="68"/>
        <v>25.6</v>
      </c>
    </row>
    <row r="1832" spans="1:11" hidden="1">
      <c r="A1832" s="251"/>
      <c r="F1832" s="252">
        <v>3</v>
      </c>
      <c r="G1832" s="252" t="s">
        <v>865</v>
      </c>
      <c r="H1832" s="296" t="s">
        <v>1837</v>
      </c>
      <c r="I1832" s="407">
        <f>C41</f>
        <v>110</v>
      </c>
      <c r="J1832" s="253" t="s">
        <v>865</v>
      </c>
      <c r="K1832" s="252">
        <f t="shared" si="68"/>
        <v>330</v>
      </c>
    </row>
    <row r="1833" spans="1:11" hidden="1">
      <c r="A1833" s="251"/>
      <c r="F1833" s="252">
        <v>1</v>
      </c>
      <c r="G1833" s="252" t="s">
        <v>865</v>
      </c>
      <c r="H1833" s="296" t="s">
        <v>1375</v>
      </c>
      <c r="I1833" s="407">
        <f>C10</f>
        <v>150</v>
      </c>
      <c r="J1833" s="253" t="s">
        <v>865</v>
      </c>
      <c r="K1833" s="252">
        <f t="shared" si="68"/>
        <v>150</v>
      </c>
    </row>
    <row r="1834" spans="1:11" hidden="1">
      <c r="A1834" s="251"/>
      <c r="F1834" s="252">
        <v>2</v>
      </c>
      <c r="G1834" s="252" t="s">
        <v>865</v>
      </c>
      <c r="H1834" s="296" t="s">
        <v>1893</v>
      </c>
      <c r="I1834" s="407">
        <f>C12</f>
        <v>95</v>
      </c>
      <c r="J1834" s="253" t="s">
        <v>865</v>
      </c>
      <c r="K1834" s="252">
        <f t="shared" si="68"/>
        <v>190</v>
      </c>
    </row>
    <row r="1835" spans="1:11" hidden="1">
      <c r="A1835" s="251"/>
      <c r="F1835" s="252">
        <v>1</v>
      </c>
      <c r="G1835" s="252" t="s">
        <v>865</v>
      </c>
      <c r="H1835" s="296" t="s">
        <v>317</v>
      </c>
      <c r="I1835" s="407">
        <f>C13</f>
        <v>85</v>
      </c>
      <c r="J1835" s="253" t="s">
        <v>865</v>
      </c>
      <c r="K1835" s="252">
        <f t="shared" si="68"/>
        <v>85</v>
      </c>
    </row>
    <row r="1836" spans="1:11" hidden="1">
      <c r="A1836" s="251"/>
      <c r="K1836" s="358" t="s">
        <v>1579</v>
      </c>
    </row>
    <row r="1837" spans="1:11" hidden="1">
      <c r="A1837" s="251"/>
      <c r="H1837" s="296" t="s">
        <v>1842</v>
      </c>
      <c r="K1837" s="252">
        <f>SUM(K1829:K1835)</f>
        <v>948.2</v>
      </c>
    </row>
    <row r="1838" spans="1:11" hidden="1">
      <c r="A1838" s="251"/>
      <c r="K1838" s="358" t="s">
        <v>1579</v>
      </c>
    </row>
    <row r="1839" spans="1:11" hidden="1">
      <c r="A1839" s="251"/>
      <c r="H1839" s="296" t="s">
        <v>1538</v>
      </c>
      <c r="K1839" s="252">
        <f>(K1837/30)</f>
        <v>31.61</v>
      </c>
    </row>
    <row r="1840" spans="1:11" hidden="1">
      <c r="A1840" s="251"/>
      <c r="K1840" s="358" t="s">
        <v>1579</v>
      </c>
    </row>
    <row r="1841" spans="1:11" hidden="1">
      <c r="A1841" s="251"/>
      <c r="I1841" s="296"/>
      <c r="K1841" s="358"/>
    </row>
    <row r="1842" spans="1:11" hidden="1">
      <c r="A1842" s="251"/>
      <c r="H1842" s="252" t="s">
        <v>334</v>
      </c>
      <c r="I1842" s="296"/>
      <c r="K1842" s="358"/>
    </row>
    <row r="1843" spans="1:11" hidden="1">
      <c r="A1843" s="251"/>
      <c r="H1843" s="358" t="s">
        <v>1579</v>
      </c>
      <c r="I1843" s="296"/>
      <c r="K1843" s="358"/>
    </row>
    <row r="1844" spans="1:11" hidden="1">
      <c r="A1844" s="251"/>
      <c r="F1844" s="252">
        <v>1</v>
      </c>
      <c r="G1844" s="252" t="s">
        <v>823</v>
      </c>
      <c r="H1844" s="296" t="s">
        <v>335</v>
      </c>
      <c r="I1844" s="407">
        <f>E509</f>
        <v>70</v>
      </c>
      <c r="J1844" s="253" t="s">
        <v>823</v>
      </c>
      <c r="K1844" s="252">
        <f>(F1844*I1844)</f>
        <v>70</v>
      </c>
    </row>
    <row r="1845" spans="1:11" hidden="1">
      <c r="A1845" s="251"/>
      <c r="F1845" s="252">
        <v>1</v>
      </c>
      <c r="G1845" s="252" t="s">
        <v>446</v>
      </c>
      <c r="H1845" s="296" t="s">
        <v>336</v>
      </c>
      <c r="I1845" s="407">
        <f>I1844*0.2</f>
        <v>14</v>
      </c>
      <c r="J1845" s="253" t="s">
        <v>446</v>
      </c>
      <c r="K1845" s="252">
        <f>(F1845*I1845)</f>
        <v>14</v>
      </c>
    </row>
    <row r="1846" spans="1:11" hidden="1">
      <c r="A1846" s="251"/>
      <c r="F1846" s="252">
        <v>1</v>
      </c>
      <c r="G1846" s="252" t="s">
        <v>823</v>
      </c>
      <c r="H1846" s="296" t="s">
        <v>161</v>
      </c>
      <c r="I1846" s="407">
        <f>K1839</f>
        <v>31.61</v>
      </c>
      <c r="J1846" s="253" t="s">
        <v>823</v>
      </c>
      <c r="K1846" s="252">
        <f>(F1846*I1846)</f>
        <v>31.61</v>
      </c>
    </row>
    <row r="1847" spans="1:11" ht="31.5" hidden="1">
      <c r="A1847" s="251"/>
      <c r="H1847" s="389" t="s">
        <v>1072</v>
      </c>
      <c r="I1847" s="407"/>
      <c r="J1847" s="253" t="s">
        <v>446</v>
      </c>
      <c r="K1847" s="252">
        <v>1.25</v>
      </c>
    </row>
    <row r="1848" spans="1:11" hidden="1">
      <c r="A1848" s="251"/>
      <c r="I1848" s="296"/>
      <c r="K1848" s="358" t="s">
        <v>1579</v>
      </c>
    </row>
    <row r="1849" spans="1:11" hidden="1">
      <c r="A1849" s="251"/>
      <c r="H1849" s="296" t="s">
        <v>374</v>
      </c>
      <c r="I1849" s="296"/>
      <c r="K1849" s="252">
        <f>SUM(K1844:K1847)</f>
        <v>116.86</v>
      </c>
    </row>
    <row r="1850" spans="1:11" hidden="1">
      <c r="A1850" s="251"/>
      <c r="I1850" s="296"/>
      <c r="K1850" s="358" t="s">
        <v>2046</v>
      </c>
    </row>
    <row r="1851" spans="1:11" hidden="1">
      <c r="A1851" s="251"/>
      <c r="I1851" s="296"/>
      <c r="K1851" s="358"/>
    </row>
    <row r="1852" spans="1:11" hidden="1">
      <c r="A1852" s="251"/>
      <c r="I1852" s="296"/>
      <c r="K1852" s="358"/>
    </row>
    <row r="1853" spans="1:11" hidden="1">
      <c r="A1853" s="251"/>
      <c r="F1853" s="375">
        <v>53.1</v>
      </c>
      <c r="G1853" s="252" t="s">
        <v>2241</v>
      </c>
      <c r="H1853" s="296" t="s">
        <v>2209</v>
      </c>
    </row>
    <row r="1854" spans="1:11" hidden="1">
      <c r="A1854" s="251"/>
      <c r="H1854" s="276" t="s">
        <v>5708</v>
      </c>
    </row>
    <row r="1855" spans="1:11" hidden="1">
      <c r="A1855" s="251"/>
      <c r="H1855" s="296" t="s">
        <v>1138</v>
      </c>
    </row>
    <row r="1856" spans="1:11" hidden="1">
      <c r="A1856" s="251"/>
      <c r="H1856" s="296" t="s">
        <v>1139</v>
      </c>
    </row>
    <row r="1857" spans="1:11" hidden="1">
      <c r="A1857" s="251"/>
      <c r="H1857" s="358" t="s">
        <v>1579</v>
      </c>
    </row>
    <row r="1858" spans="1:11" ht="57" hidden="1" customHeight="1">
      <c r="A1858" s="251"/>
      <c r="F1858" s="510">
        <v>1</v>
      </c>
      <c r="G1858" s="510" t="s">
        <v>865</v>
      </c>
      <c r="H1858" s="389" t="s">
        <v>2653</v>
      </c>
      <c r="I1858" s="510">
        <f>(C595)</f>
        <v>1050</v>
      </c>
      <c r="J1858" s="510" t="s">
        <v>865</v>
      </c>
      <c r="K1858" s="510">
        <f>(F1858*I1858)</f>
        <v>1050</v>
      </c>
    </row>
    <row r="1859" spans="1:11" hidden="1">
      <c r="A1859" s="251"/>
      <c r="H1859" s="296"/>
    </row>
    <row r="1860" spans="1:11" hidden="1">
      <c r="A1860" s="251"/>
      <c r="H1860" s="296"/>
    </row>
    <row r="1861" spans="1:11" hidden="1">
      <c r="A1861" s="251"/>
      <c r="H1861" s="296"/>
    </row>
    <row r="1862" spans="1:11" hidden="1">
      <c r="A1862" s="251"/>
      <c r="H1862" s="296"/>
    </row>
    <row r="1863" spans="1:11" hidden="1">
      <c r="A1863" s="251"/>
      <c r="H1863" s="296"/>
    </row>
    <row r="1864" spans="1:11" hidden="1">
      <c r="A1864" s="251"/>
      <c r="H1864" s="296"/>
    </row>
    <row r="1865" spans="1:11" hidden="1">
      <c r="A1865" s="251"/>
      <c r="F1865" s="252">
        <v>0.5</v>
      </c>
      <c r="G1865" s="252" t="s">
        <v>865</v>
      </c>
      <c r="H1865" s="296" t="s">
        <v>2094</v>
      </c>
      <c r="I1865" s="252">
        <f>(C15)</f>
        <v>130</v>
      </c>
      <c r="J1865" s="253" t="s">
        <v>865</v>
      </c>
      <c r="K1865" s="252">
        <f>(F1865*I1865)</f>
        <v>65</v>
      </c>
    </row>
    <row r="1866" spans="1:11" hidden="1">
      <c r="A1866" s="251"/>
      <c r="F1866" s="252">
        <v>1</v>
      </c>
      <c r="G1866" s="252" t="s">
        <v>865</v>
      </c>
      <c r="H1866" s="296" t="s">
        <v>1893</v>
      </c>
      <c r="I1866" s="252">
        <f>(C12)</f>
        <v>95</v>
      </c>
      <c r="J1866" s="253" t="s">
        <v>865</v>
      </c>
      <c r="K1866" s="252">
        <f>(F1866*I1866)</f>
        <v>95</v>
      </c>
    </row>
    <row r="1867" spans="1:11" hidden="1">
      <c r="A1867" s="251"/>
      <c r="F1867" s="252">
        <v>0.5</v>
      </c>
      <c r="G1867" s="252" t="s">
        <v>865</v>
      </c>
      <c r="H1867" s="296" t="s">
        <v>2000</v>
      </c>
      <c r="I1867" s="252">
        <f>(C10)</f>
        <v>150</v>
      </c>
      <c r="J1867" s="253" t="s">
        <v>865</v>
      </c>
      <c r="K1867" s="252">
        <f>(F1867*I1867)</f>
        <v>75</v>
      </c>
    </row>
    <row r="1868" spans="1:11" hidden="1">
      <c r="A1868" s="251"/>
      <c r="G1868" s="252" t="s">
        <v>446</v>
      </c>
      <c r="H1868" s="296" t="s">
        <v>1140</v>
      </c>
      <c r="J1868" s="253" t="s">
        <v>446</v>
      </c>
      <c r="K1868" s="252">
        <v>0.5</v>
      </c>
    </row>
    <row r="1869" spans="1:11" hidden="1">
      <c r="A1869" s="251"/>
      <c r="K1869" s="358" t="s">
        <v>1579</v>
      </c>
    </row>
    <row r="1870" spans="1:11" hidden="1">
      <c r="A1870" s="251"/>
      <c r="H1870" s="296" t="s">
        <v>1743</v>
      </c>
      <c r="K1870" s="252">
        <f>SUM(K1858:K1868)</f>
        <v>1285.5</v>
      </c>
    </row>
    <row r="1871" spans="1:11" hidden="1">
      <c r="A1871" s="251"/>
      <c r="K1871" s="358" t="s">
        <v>1579</v>
      </c>
    </row>
    <row r="1872" spans="1:11" hidden="1">
      <c r="A1872" s="251"/>
      <c r="F1872" s="253" t="s">
        <v>1397</v>
      </c>
      <c r="H1872" s="296" t="s">
        <v>1398</v>
      </c>
      <c r="K1872" s="296" t="s">
        <v>2654</v>
      </c>
    </row>
    <row r="1873" spans="1:11" hidden="1">
      <c r="A1873" s="251"/>
    </row>
    <row r="1874" spans="1:11" hidden="1">
      <c r="A1874" s="251"/>
      <c r="F1874" s="253" t="s">
        <v>1399</v>
      </c>
      <c r="H1874" s="296" t="s">
        <v>2655</v>
      </c>
      <c r="K1874" s="296" t="s">
        <v>2656</v>
      </c>
    </row>
    <row r="1875" spans="1:11" hidden="1">
      <c r="A1875" s="251"/>
      <c r="F1875" s="253"/>
      <c r="H1875" s="296"/>
      <c r="K1875" s="296"/>
    </row>
    <row r="1876" spans="1:11" hidden="1">
      <c r="A1876" s="251"/>
      <c r="F1876" s="369">
        <v>54</v>
      </c>
      <c r="G1876" s="252" t="s">
        <v>2241</v>
      </c>
      <c r="H1876" s="296" t="s">
        <v>1135</v>
      </c>
      <c r="J1876" s="253" t="s">
        <v>1393</v>
      </c>
      <c r="K1876" s="252">
        <v>140</v>
      </c>
    </row>
    <row r="1877" spans="1:11" hidden="1">
      <c r="A1877" s="251"/>
      <c r="K1877" s="358" t="s">
        <v>2046</v>
      </c>
    </row>
    <row r="1878" spans="1:11" hidden="1">
      <c r="A1878" s="251"/>
    </row>
    <row r="1879" spans="1:11" hidden="1">
      <c r="A1879" s="251"/>
      <c r="F1879" s="375">
        <v>54.1</v>
      </c>
      <c r="G1879" s="252" t="s">
        <v>2241</v>
      </c>
      <c r="H1879" s="296" t="s">
        <v>1289</v>
      </c>
      <c r="J1879" s="253" t="s">
        <v>1393</v>
      </c>
      <c r="K1879" s="252">
        <v>240</v>
      </c>
    </row>
    <row r="1880" spans="1:11" hidden="1">
      <c r="A1880" s="251"/>
      <c r="K1880" s="358" t="s">
        <v>2046</v>
      </c>
    </row>
    <row r="1881" spans="1:11" hidden="1">
      <c r="A1881" s="251"/>
    </row>
    <row r="1882" spans="1:11" hidden="1">
      <c r="A1882" s="251"/>
      <c r="F1882" s="375">
        <v>54.2</v>
      </c>
      <c r="G1882" s="252" t="s">
        <v>2241</v>
      </c>
      <c r="H1882" s="296" t="s">
        <v>934</v>
      </c>
      <c r="J1882" s="253" t="s">
        <v>1393</v>
      </c>
      <c r="K1882" s="252">
        <v>270</v>
      </c>
    </row>
    <row r="1883" spans="1:11" hidden="1">
      <c r="A1883" s="251"/>
      <c r="K1883" s="358" t="s">
        <v>2046</v>
      </c>
    </row>
    <row r="1884" spans="1:11" hidden="1">
      <c r="A1884" s="251"/>
    </row>
    <row r="1885" spans="1:11" hidden="1">
      <c r="A1885" s="251"/>
      <c r="F1885" s="253" t="s">
        <v>1136</v>
      </c>
      <c r="G1885" s="252" t="s">
        <v>2241</v>
      </c>
      <c r="H1885" s="296" t="s">
        <v>81</v>
      </c>
    </row>
    <row r="1886" spans="1:11" hidden="1">
      <c r="A1886" s="251"/>
      <c r="H1886" s="296" t="s">
        <v>1098</v>
      </c>
    </row>
    <row r="1887" spans="1:11" hidden="1">
      <c r="A1887" s="251"/>
      <c r="H1887" s="296" t="s">
        <v>1099</v>
      </c>
    </row>
    <row r="1888" spans="1:11" hidden="1">
      <c r="A1888" s="251"/>
      <c r="H1888" s="296" t="s">
        <v>1100</v>
      </c>
    </row>
    <row r="1889" spans="1:22" hidden="1">
      <c r="A1889" s="251"/>
      <c r="H1889" s="358" t="s">
        <v>1579</v>
      </c>
    </row>
    <row r="1890" spans="1:22" hidden="1">
      <c r="A1890" s="251"/>
      <c r="F1890" s="252">
        <v>1</v>
      </c>
      <c r="G1890" s="252" t="s">
        <v>865</v>
      </c>
      <c r="H1890" s="296" t="s">
        <v>709</v>
      </c>
      <c r="I1890" s="252">
        <f>(C200)</f>
        <v>750</v>
      </c>
      <c r="J1890" s="253" t="s">
        <v>865</v>
      </c>
      <c r="K1890" s="252">
        <f t="shared" ref="K1890:K1896" si="69">(F1890*I1890)</f>
        <v>750</v>
      </c>
    </row>
    <row r="1891" spans="1:22" hidden="1">
      <c r="A1891" s="251"/>
      <c r="F1891" s="252">
        <v>0.65</v>
      </c>
      <c r="G1891" s="252" t="s">
        <v>866</v>
      </c>
      <c r="H1891" s="296" t="s">
        <v>247</v>
      </c>
      <c r="I1891" s="252">
        <f>(C61*2)</f>
        <v>50</v>
      </c>
      <c r="J1891" s="253" t="s">
        <v>866</v>
      </c>
      <c r="K1891" s="252">
        <f t="shared" si="69"/>
        <v>32.5</v>
      </c>
    </row>
    <row r="1892" spans="1:22" hidden="1">
      <c r="A1892" s="251"/>
      <c r="F1892" s="252">
        <v>0.56999999999999995</v>
      </c>
      <c r="G1892" s="252" t="s">
        <v>866</v>
      </c>
      <c r="H1892" s="296" t="s">
        <v>248</v>
      </c>
      <c r="I1892" s="252">
        <f>(C26)</f>
        <v>8.8000000000000007</v>
      </c>
      <c r="J1892" s="253" t="s">
        <v>866</v>
      </c>
      <c r="K1892" s="252">
        <f t="shared" si="69"/>
        <v>5.0199999999999996</v>
      </c>
    </row>
    <row r="1893" spans="1:22" hidden="1">
      <c r="A1893" s="251"/>
      <c r="F1893" s="356">
        <v>8.1000000000000003E-2</v>
      </c>
      <c r="G1893" s="252" t="s">
        <v>866</v>
      </c>
      <c r="H1893" s="296" t="s">
        <v>249</v>
      </c>
      <c r="I1893" s="252" t="e">
        <f>(R60)</f>
        <v>#REF!</v>
      </c>
      <c r="J1893" s="253" t="s">
        <v>866</v>
      </c>
      <c r="K1893" s="252" t="e">
        <f t="shared" si="69"/>
        <v>#REF!</v>
      </c>
    </row>
    <row r="1894" spans="1:22" hidden="1">
      <c r="A1894" s="251"/>
      <c r="F1894" s="252">
        <v>1</v>
      </c>
      <c r="G1894" s="252" t="s">
        <v>865</v>
      </c>
      <c r="H1894" s="296" t="s">
        <v>2094</v>
      </c>
      <c r="I1894" s="252">
        <f>(C15)</f>
        <v>130</v>
      </c>
      <c r="J1894" s="253" t="s">
        <v>865</v>
      </c>
      <c r="K1894" s="252">
        <f t="shared" si="69"/>
        <v>130</v>
      </c>
    </row>
    <row r="1895" spans="1:22" hidden="1">
      <c r="A1895" s="251"/>
      <c r="F1895" s="252">
        <v>0.5</v>
      </c>
      <c r="G1895" s="252" t="s">
        <v>865</v>
      </c>
      <c r="H1895" s="296" t="s">
        <v>1704</v>
      </c>
      <c r="I1895" s="252">
        <f>(C11)</f>
        <v>135</v>
      </c>
      <c r="J1895" s="253" t="s">
        <v>865</v>
      </c>
      <c r="K1895" s="252">
        <f t="shared" si="69"/>
        <v>67.5</v>
      </c>
    </row>
    <row r="1896" spans="1:22" hidden="1">
      <c r="A1896" s="251"/>
      <c r="F1896" s="252">
        <v>0.5</v>
      </c>
      <c r="G1896" s="252" t="s">
        <v>865</v>
      </c>
      <c r="H1896" s="296" t="s">
        <v>1893</v>
      </c>
      <c r="I1896" s="252">
        <f>(C12)</f>
        <v>95</v>
      </c>
      <c r="J1896" s="253" t="s">
        <v>865</v>
      </c>
      <c r="K1896" s="252">
        <f t="shared" si="69"/>
        <v>47.5</v>
      </c>
    </row>
    <row r="1897" spans="1:22" hidden="1">
      <c r="A1897" s="251"/>
      <c r="G1897" s="252" t="s">
        <v>446</v>
      </c>
      <c r="H1897" s="296" t="s">
        <v>447</v>
      </c>
      <c r="I1897" s="296" t="s">
        <v>971</v>
      </c>
      <c r="J1897" s="253" t="s">
        <v>446</v>
      </c>
      <c r="K1897" s="252">
        <v>0</v>
      </c>
    </row>
    <row r="1898" spans="1:22" hidden="1">
      <c r="A1898" s="251"/>
      <c r="K1898" s="358" t="s">
        <v>1579</v>
      </c>
    </row>
    <row r="1899" spans="1:22" hidden="1">
      <c r="A1899" s="251"/>
      <c r="H1899" s="296" t="s">
        <v>1743</v>
      </c>
      <c r="K1899" s="252" t="e">
        <f>SUM(K1890:K1897)</f>
        <v>#REF!</v>
      </c>
    </row>
    <row r="1900" spans="1:22" hidden="1">
      <c r="A1900" s="251"/>
      <c r="K1900" s="358" t="s">
        <v>2046</v>
      </c>
    </row>
    <row r="1901" spans="1:22" hidden="1">
      <c r="A1901" s="251"/>
      <c r="G1901" s="252" t="s">
        <v>971</v>
      </c>
      <c r="H1901" s="296" t="s">
        <v>971</v>
      </c>
      <c r="K1901" s="296" t="s">
        <v>971</v>
      </c>
    </row>
    <row r="1902" spans="1:22" hidden="1">
      <c r="A1902" s="251"/>
      <c r="J1902" s="253" t="s">
        <v>971</v>
      </c>
      <c r="K1902" s="296" t="s">
        <v>971</v>
      </c>
    </row>
    <row r="1903" spans="1:22" hidden="1">
      <c r="A1903" s="251"/>
      <c r="F1903" s="253" t="s">
        <v>250</v>
      </c>
      <c r="G1903" s="252" t="s">
        <v>2241</v>
      </c>
      <c r="H1903" s="296" t="s">
        <v>81</v>
      </c>
    </row>
    <row r="1904" spans="1:22" hidden="1">
      <c r="A1904" s="251"/>
      <c r="H1904" s="296" t="s">
        <v>1098</v>
      </c>
      <c r="V1904" s="296" t="s">
        <v>1444</v>
      </c>
    </row>
    <row r="1905" spans="1:11" hidden="1">
      <c r="A1905" s="251"/>
      <c r="H1905" s="296" t="s">
        <v>1099</v>
      </c>
    </row>
    <row r="1906" spans="1:11" hidden="1">
      <c r="A1906" s="251"/>
      <c r="H1906" s="296" t="s">
        <v>251</v>
      </c>
    </row>
    <row r="1907" spans="1:11" hidden="1">
      <c r="A1907" s="251"/>
      <c r="H1907" s="358" t="s">
        <v>1579</v>
      </c>
    </row>
    <row r="1908" spans="1:11" hidden="1">
      <c r="A1908" s="251"/>
      <c r="F1908" s="252">
        <v>1</v>
      </c>
      <c r="G1908" s="252" t="s">
        <v>865</v>
      </c>
      <c r="H1908" s="296" t="s">
        <v>709</v>
      </c>
      <c r="I1908" s="252">
        <f>(C200)</f>
        <v>750</v>
      </c>
      <c r="J1908" s="253" t="s">
        <v>865</v>
      </c>
      <c r="K1908" s="252">
        <f>(F1908*I1908)</f>
        <v>750</v>
      </c>
    </row>
    <row r="1909" spans="1:11" hidden="1">
      <c r="A1909" s="251"/>
      <c r="F1909" s="356">
        <v>0.40500000000000003</v>
      </c>
      <c r="G1909" s="252" t="s">
        <v>866</v>
      </c>
      <c r="H1909" s="296" t="s">
        <v>2629</v>
      </c>
      <c r="I1909" s="252" t="e">
        <f>(K1262)</f>
        <v>#REF!</v>
      </c>
      <c r="J1909" s="253" t="s">
        <v>866</v>
      </c>
      <c r="K1909" s="252" t="e">
        <f>(F1909*I1909)</f>
        <v>#REF!</v>
      </c>
    </row>
    <row r="1910" spans="1:11" hidden="1">
      <c r="A1910" s="251"/>
      <c r="H1910" s="296" t="s">
        <v>1093</v>
      </c>
      <c r="I1910" s="296" t="s">
        <v>971</v>
      </c>
      <c r="K1910" s="296" t="s">
        <v>971</v>
      </c>
    </row>
    <row r="1911" spans="1:11" hidden="1">
      <c r="A1911" s="251"/>
      <c r="F1911" s="252">
        <v>1.89</v>
      </c>
      <c r="G1911" s="252" t="s">
        <v>606</v>
      </c>
      <c r="H1911" s="296" t="s">
        <v>261</v>
      </c>
      <c r="I1911" s="252" t="e">
        <f>(K1373)</f>
        <v>#REF!</v>
      </c>
      <c r="J1911" s="253" t="s">
        <v>606</v>
      </c>
      <c r="K1911" s="252" t="e">
        <f>(F1911*I1911)</f>
        <v>#REF!</v>
      </c>
    </row>
    <row r="1912" spans="1:11" hidden="1">
      <c r="A1912" s="251"/>
      <c r="H1912" s="296" t="s">
        <v>262</v>
      </c>
      <c r="I1912" s="296" t="s">
        <v>971</v>
      </c>
      <c r="K1912" s="296" t="s">
        <v>971</v>
      </c>
    </row>
    <row r="1913" spans="1:11" hidden="1">
      <c r="A1913" s="251"/>
      <c r="F1913" s="356">
        <v>8.1000000000000003E-2</v>
      </c>
      <c r="G1913" s="252" t="s">
        <v>866</v>
      </c>
      <c r="H1913" s="296" t="s">
        <v>263</v>
      </c>
      <c r="I1913" s="252" t="e">
        <f>(R60)</f>
        <v>#REF!</v>
      </c>
      <c r="J1913" s="253" t="s">
        <v>866</v>
      </c>
      <c r="K1913" s="252" t="e">
        <f>(F1913*I1913)</f>
        <v>#REF!</v>
      </c>
    </row>
    <row r="1914" spans="1:11" hidden="1">
      <c r="A1914" s="251"/>
      <c r="H1914" s="296" t="s">
        <v>264</v>
      </c>
    </row>
    <row r="1915" spans="1:11" hidden="1">
      <c r="A1915" s="251"/>
      <c r="F1915" s="252">
        <v>1</v>
      </c>
      <c r="G1915" s="252" t="s">
        <v>766</v>
      </c>
      <c r="H1915" s="296" t="s">
        <v>2094</v>
      </c>
      <c r="I1915" s="252">
        <f>(C15)</f>
        <v>130</v>
      </c>
      <c r="J1915" s="253" t="s">
        <v>766</v>
      </c>
      <c r="K1915" s="252">
        <f>(F1915*I1915)</f>
        <v>130</v>
      </c>
    </row>
    <row r="1916" spans="1:11" hidden="1">
      <c r="A1916" s="251"/>
      <c r="F1916" s="252">
        <v>0.5</v>
      </c>
      <c r="G1916" s="252" t="s">
        <v>865</v>
      </c>
      <c r="H1916" s="296" t="s">
        <v>1704</v>
      </c>
      <c r="I1916" s="252">
        <f>(C11)</f>
        <v>135</v>
      </c>
      <c r="J1916" s="253" t="s">
        <v>865</v>
      </c>
      <c r="K1916" s="252">
        <f>(F1916*I1916)</f>
        <v>67.5</v>
      </c>
    </row>
    <row r="1917" spans="1:11" hidden="1">
      <c r="A1917" s="251"/>
      <c r="F1917" s="252">
        <v>0.5</v>
      </c>
      <c r="G1917" s="252" t="s">
        <v>865</v>
      </c>
      <c r="H1917" s="296" t="s">
        <v>1893</v>
      </c>
      <c r="I1917" s="252">
        <f>(C12)</f>
        <v>95</v>
      </c>
      <c r="J1917" s="253" t="s">
        <v>865</v>
      </c>
      <c r="K1917" s="252">
        <f>(F1917*I1917)</f>
        <v>47.5</v>
      </c>
    </row>
    <row r="1918" spans="1:11" hidden="1">
      <c r="A1918" s="251"/>
      <c r="G1918" s="252" t="s">
        <v>446</v>
      </c>
      <c r="H1918" s="296" t="s">
        <v>447</v>
      </c>
      <c r="I1918" s="296" t="s">
        <v>971</v>
      </c>
      <c r="J1918" s="253" t="s">
        <v>446</v>
      </c>
      <c r="K1918" s="252">
        <v>0</v>
      </c>
    </row>
    <row r="1919" spans="1:11" hidden="1">
      <c r="A1919" s="251"/>
      <c r="H1919" s="296" t="s">
        <v>971</v>
      </c>
      <c r="K1919" s="358" t="s">
        <v>1579</v>
      </c>
    </row>
    <row r="1920" spans="1:11" hidden="1">
      <c r="A1920" s="251"/>
      <c r="H1920" s="296" t="s">
        <v>1743</v>
      </c>
      <c r="K1920" s="252" t="e">
        <f>SUM(K1908:K1918)</f>
        <v>#REF!</v>
      </c>
    </row>
    <row r="1921" spans="1:11" hidden="1">
      <c r="A1921" s="251"/>
      <c r="K1921" s="358" t="s">
        <v>2046</v>
      </c>
    </row>
    <row r="1922" spans="1:11" hidden="1">
      <c r="A1922" s="251"/>
      <c r="G1922" s="252" t="s">
        <v>971</v>
      </c>
      <c r="H1922" s="296" t="s">
        <v>971</v>
      </c>
      <c r="K1922" s="296" t="s">
        <v>971</v>
      </c>
    </row>
    <row r="1923" spans="1:11" hidden="1">
      <c r="A1923" s="251"/>
      <c r="J1923" s="253" t="s">
        <v>971</v>
      </c>
      <c r="K1923" s="296" t="s">
        <v>246</v>
      </c>
    </row>
    <row r="1924" spans="1:11" hidden="1">
      <c r="A1924" s="251"/>
      <c r="F1924" s="369">
        <v>57</v>
      </c>
      <c r="G1924" s="252" t="s">
        <v>2241</v>
      </c>
      <c r="H1924" s="296" t="s">
        <v>5709</v>
      </c>
    </row>
    <row r="1925" spans="1:11" hidden="1">
      <c r="A1925" s="251"/>
      <c r="H1925" s="296" t="s">
        <v>200</v>
      </c>
    </row>
    <row r="1926" spans="1:11" hidden="1">
      <c r="A1926" s="251"/>
      <c r="H1926" s="296" t="s">
        <v>1764</v>
      </c>
    </row>
    <row r="1927" spans="1:11" hidden="1">
      <c r="A1927" s="251"/>
      <c r="H1927" s="358" t="s">
        <v>1579</v>
      </c>
    </row>
    <row r="1928" spans="1:11" ht="95.25" hidden="1" customHeight="1">
      <c r="A1928" s="251"/>
      <c r="F1928" s="510">
        <v>1</v>
      </c>
      <c r="G1928" s="510" t="s">
        <v>780</v>
      </c>
      <c r="H1928" s="389" t="s">
        <v>1118</v>
      </c>
      <c r="I1928" s="510">
        <f>C591</f>
        <v>1700</v>
      </c>
      <c r="J1928" s="662" t="s">
        <v>780</v>
      </c>
      <c r="K1928" s="510">
        <f>(F1928*I1928)</f>
        <v>1700</v>
      </c>
    </row>
    <row r="1929" spans="1:11" hidden="1">
      <c r="A1929" s="251"/>
      <c r="H1929" s="276" t="s">
        <v>1157</v>
      </c>
    </row>
    <row r="1930" spans="1:11" hidden="1">
      <c r="A1930" s="251"/>
      <c r="F1930" s="252">
        <v>1</v>
      </c>
      <c r="G1930" s="252" t="s">
        <v>865</v>
      </c>
      <c r="H1930" s="296" t="s">
        <v>2000</v>
      </c>
      <c r="I1930" s="252">
        <f>(C10)</f>
        <v>150</v>
      </c>
      <c r="J1930" s="253" t="s">
        <v>865</v>
      </c>
      <c r="K1930" s="252">
        <f>(F1930*I1930)</f>
        <v>150</v>
      </c>
    </row>
    <row r="1931" spans="1:11" hidden="1">
      <c r="A1931" s="251"/>
      <c r="F1931" s="252">
        <v>2</v>
      </c>
      <c r="G1931" s="252" t="s">
        <v>865</v>
      </c>
      <c r="H1931" s="296" t="s">
        <v>2094</v>
      </c>
      <c r="I1931" s="252">
        <f>(C15)</f>
        <v>130</v>
      </c>
      <c r="J1931" s="253" t="s">
        <v>865</v>
      </c>
      <c r="K1931" s="252">
        <f>(F1931*I1931)</f>
        <v>260</v>
      </c>
    </row>
    <row r="1932" spans="1:11" hidden="1">
      <c r="A1932" s="251"/>
      <c r="F1932" s="252">
        <v>1</v>
      </c>
      <c r="G1932" s="252" t="s">
        <v>865</v>
      </c>
      <c r="H1932" s="296" t="s">
        <v>317</v>
      </c>
      <c r="I1932" s="252">
        <f>(C13)</f>
        <v>85</v>
      </c>
      <c r="J1932" s="253" t="s">
        <v>865</v>
      </c>
      <c r="K1932" s="252">
        <f>(F1932*I1932)</f>
        <v>85</v>
      </c>
    </row>
    <row r="1933" spans="1:11" hidden="1">
      <c r="A1933" s="251"/>
      <c r="H1933" s="276" t="s">
        <v>710</v>
      </c>
    </row>
    <row r="1934" spans="1:11" hidden="1">
      <c r="A1934" s="251"/>
      <c r="F1934" s="252">
        <v>0.5</v>
      </c>
      <c r="G1934" s="252" t="s">
        <v>865</v>
      </c>
      <c r="H1934" s="296" t="s">
        <v>2094</v>
      </c>
      <c r="I1934" s="252">
        <f>(C15)</f>
        <v>130</v>
      </c>
      <c r="J1934" s="253" t="s">
        <v>865</v>
      </c>
      <c r="K1934" s="252">
        <f>(F1934*I1934)</f>
        <v>65</v>
      </c>
    </row>
    <row r="1935" spans="1:11" hidden="1">
      <c r="A1935" s="251"/>
      <c r="F1935" s="252">
        <v>0.5</v>
      </c>
      <c r="G1935" s="252" t="s">
        <v>865</v>
      </c>
      <c r="H1935" s="296" t="s">
        <v>1893</v>
      </c>
      <c r="I1935" s="252">
        <f>(C12)</f>
        <v>95</v>
      </c>
      <c r="J1935" s="253" t="s">
        <v>865</v>
      </c>
      <c r="K1935" s="252">
        <f>(F1935*I1935)</f>
        <v>47.5</v>
      </c>
    </row>
    <row r="1936" spans="1:11" hidden="1">
      <c r="A1936" s="251"/>
      <c r="G1936" s="252" t="s">
        <v>446</v>
      </c>
      <c r="H1936" s="296" t="s">
        <v>447</v>
      </c>
      <c r="J1936" s="253" t="s">
        <v>446</v>
      </c>
      <c r="K1936" s="252">
        <v>0</v>
      </c>
    </row>
    <row r="1937" spans="1:11" hidden="1">
      <c r="A1937" s="251"/>
      <c r="K1937" s="358" t="s">
        <v>1579</v>
      </c>
    </row>
    <row r="1938" spans="1:11" hidden="1">
      <c r="A1938" s="251"/>
      <c r="H1938" s="296" t="s">
        <v>1743</v>
      </c>
      <c r="K1938" s="252">
        <f>SUM(K1928:K1936)</f>
        <v>2307.5</v>
      </c>
    </row>
    <row r="1939" spans="1:11" hidden="1">
      <c r="A1939" s="251"/>
      <c r="F1939" s="296" t="s">
        <v>971</v>
      </c>
    </row>
    <row r="1940" spans="1:11" hidden="1">
      <c r="A1940" s="251"/>
      <c r="K1940" s="358" t="s">
        <v>1579</v>
      </c>
    </row>
    <row r="1941" spans="1:11" hidden="1">
      <c r="A1941" s="251"/>
      <c r="G1941" s="252" t="s">
        <v>971</v>
      </c>
      <c r="H1941" s="296" t="s">
        <v>971</v>
      </c>
      <c r="K1941" s="296" t="s">
        <v>971</v>
      </c>
    </row>
    <row r="1942" spans="1:11" hidden="1">
      <c r="A1942" s="251"/>
      <c r="H1942" s="296" t="s">
        <v>971</v>
      </c>
    </row>
    <row r="1943" spans="1:11" hidden="1">
      <c r="A1943" s="251"/>
      <c r="F1943" s="375">
        <v>57.1</v>
      </c>
      <c r="G1943" s="252" t="s">
        <v>2241</v>
      </c>
      <c r="H1943" s="296" t="s">
        <v>5710</v>
      </c>
    </row>
    <row r="1944" spans="1:11" hidden="1">
      <c r="A1944" s="251"/>
      <c r="H1944" s="296" t="s">
        <v>200</v>
      </c>
    </row>
    <row r="1945" spans="1:11" hidden="1">
      <c r="A1945" s="251"/>
      <c r="H1945" s="296" t="s">
        <v>1764</v>
      </c>
    </row>
    <row r="1946" spans="1:11" hidden="1">
      <c r="A1946" s="251"/>
      <c r="H1946" s="358" t="s">
        <v>1579</v>
      </c>
    </row>
    <row r="1947" spans="1:11" ht="63" hidden="1">
      <c r="A1947" s="251"/>
      <c r="F1947" s="510">
        <v>1</v>
      </c>
      <c r="G1947" s="510" t="s">
        <v>780</v>
      </c>
      <c r="H1947" s="389" t="s">
        <v>1118</v>
      </c>
      <c r="I1947" s="252">
        <f>E591</f>
        <v>2000</v>
      </c>
      <c r="J1947" s="662" t="s">
        <v>780</v>
      </c>
      <c r="K1947" s="510">
        <f>(F1947*I1947)</f>
        <v>2000</v>
      </c>
    </row>
    <row r="1948" spans="1:11" hidden="1">
      <c r="A1948" s="251"/>
      <c r="H1948" s="276" t="s">
        <v>1157</v>
      </c>
    </row>
    <row r="1949" spans="1:11" hidden="1">
      <c r="A1949" s="251"/>
      <c r="F1949" s="252">
        <v>1</v>
      </c>
      <c r="G1949" s="252" t="s">
        <v>865</v>
      </c>
      <c r="H1949" s="296" t="s">
        <v>2000</v>
      </c>
      <c r="I1949" s="252">
        <f>C10</f>
        <v>150</v>
      </c>
      <c r="J1949" s="253" t="s">
        <v>865</v>
      </c>
      <c r="K1949" s="252">
        <f>(F1949*I1949)</f>
        <v>150</v>
      </c>
    </row>
    <row r="1950" spans="1:11" hidden="1">
      <c r="A1950" s="251"/>
      <c r="F1950" s="252">
        <v>2</v>
      </c>
      <c r="G1950" s="252" t="s">
        <v>865</v>
      </c>
      <c r="H1950" s="296" t="s">
        <v>2094</v>
      </c>
      <c r="I1950" s="252">
        <f>C15</f>
        <v>130</v>
      </c>
      <c r="J1950" s="253" t="s">
        <v>865</v>
      </c>
      <c r="K1950" s="252">
        <f>(F1950*I1950)</f>
        <v>260</v>
      </c>
    </row>
    <row r="1951" spans="1:11" hidden="1">
      <c r="A1951" s="251"/>
      <c r="F1951" s="252">
        <v>1</v>
      </c>
      <c r="G1951" s="252" t="s">
        <v>865</v>
      </c>
      <c r="H1951" s="296" t="s">
        <v>317</v>
      </c>
      <c r="I1951" s="252">
        <f>C13</f>
        <v>85</v>
      </c>
      <c r="J1951" s="253" t="s">
        <v>865</v>
      </c>
      <c r="K1951" s="252">
        <f>(F1951*I1951)</f>
        <v>85</v>
      </c>
    </row>
    <row r="1952" spans="1:11" hidden="1">
      <c r="A1952" s="251"/>
      <c r="H1952" s="276" t="s">
        <v>710</v>
      </c>
    </row>
    <row r="1953" spans="1:11" hidden="1">
      <c r="A1953" s="251"/>
      <c r="F1953" s="252">
        <v>0.5</v>
      </c>
      <c r="G1953" s="252" t="s">
        <v>865</v>
      </c>
      <c r="H1953" s="296" t="s">
        <v>2094</v>
      </c>
      <c r="I1953" s="252">
        <f>C15</f>
        <v>130</v>
      </c>
      <c r="J1953" s="253" t="s">
        <v>865</v>
      </c>
      <c r="K1953" s="252">
        <f>(F1953*I1953)</f>
        <v>65</v>
      </c>
    </row>
    <row r="1954" spans="1:11" hidden="1">
      <c r="A1954" s="251"/>
      <c r="F1954" s="252">
        <v>0.5</v>
      </c>
      <c r="G1954" s="252" t="s">
        <v>865</v>
      </c>
      <c r="H1954" s="296" t="s">
        <v>1893</v>
      </c>
      <c r="I1954" s="252">
        <f>C12</f>
        <v>95</v>
      </c>
      <c r="J1954" s="253" t="s">
        <v>865</v>
      </c>
      <c r="K1954" s="252">
        <f>(F1954*I1954)</f>
        <v>47.5</v>
      </c>
    </row>
    <row r="1955" spans="1:11" hidden="1">
      <c r="A1955" s="251"/>
      <c r="G1955" s="252" t="s">
        <v>446</v>
      </c>
      <c r="H1955" s="296" t="s">
        <v>447</v>
      </c>
      <c r="J1955" s="253" t="s">
        <v>446</v>
      </c>
      <c r="K1955" s="252">
        <v>0</v>
      </c>
    </row>
    <row r="1956" spans="1:11" hidden="1">
      <c r="A1956" s="251"/>
      <c r="K1956" s="358" t="s">
        <v>1579</v>
      </c>
    </row>
    <row r="1957" spans="1:11" hidden="1">
      <c r="A1957" s="251"/>
      <c r="H1957" s="296" t="s">
        <v>1743</v>
      </c>
      <c r="K1957" s="252">
        <f>SUM(K1947:K1955)</f>
        <v>2607.5</v>
      </c>
    </row>
    <row r="1958" spans="1:11" hidden="1">
      <c r="A1958" s="251"/>
      <c r="H1958" s="296"/>
    </row>
    <row r="1959" spans="1:11" hidden="1">
      <c r="A1959" s="251"/>
      <c r="H1959" s="296"/>
      <c r="K1959" s="358" t="s">
        <v>1579</v>
      </c>
    </row>
    <row r="1960" spans="1:11" hidden="1">
      <c r="A1960" s="251"/>
      <c r="H1960" s="296"/>
    </row>
    <row r="1961" spans="1:11" hidden="1">
      <c r="A1961" s="251"/>
      <c r="F1961" s="253" t="s">
        <v>711</v>
      </c>
      <c r="G1961" s="252" t="s">
        <v>2241</v>
      </c>
      <c r="H1961" s="296" t="s">
        <v>805</v>
      </c>
    </row>
    <row r="1962" spans="1:11" hidden="1">
      <c r="A1962" s="251"/>
      <c r="H1962" s="296" t="s">
        <v>160</v>
      </c>
    </row>
    <row r="1963" spans="1:11" hidden="1">
      <c r="A1963" s="251"/>
      <c r="H1963" s="358" t="s">
        <v>1579</v>
      </c>
    </row>
    <row r="1964" spans="1:11" hidden="1">
      <c r="A1964" s="251"/>
      <c r="G1964" s="252" t="s">
        <v>686</v>
      </c>
      <c r="H1964" s="296" t="s">
        <v>40</v>
      </c>
    </row>
    <row r="1965" spans="1:11" hidden="1">
      <c r="A1965" s="251"/>
      <c r="H1965" s="296" t="s">
        <v>2630</v>
      </c>
    </row>
    <row r="1966" spans="1:11" hidden="1">
      <c r="A1966" s="251"/>
      <c r="H1966" s="296" t="s">
        <v>942</v>
      </c>
    </row>
    <row r="1967" spans="1:11" hidden="1">
      <c r="A1967" s="251"/>
      <c r="H1967" s="296" t="s">
        <v>943</v>
      </c>
    </row>
    <row r="1968" spans="1:11" hidden="1">
      <c r="A1968" s="251"/>
      <c r="H1968" s="296" t="s">
        <v>2095</v>
      </c>
    </row>
    <row r="1969" spans="1:11" hidden="1">
      <c r="A1969" s="251"/>
      <c r="H1969" s="296" t="s">
        <v>2096</v>
      </c>
    </row>
    <row r="1970" spans="1:11" hidden="1">
      <c r="A1970" s="251"/>
      <c r="H1970" s="296" t="s">
        <v>2631</v>
      </c>
    </row>
    <row r="1971" spans="1:11" hidden="1">
      <c r="A1971" s="251"/>
      <c r="H1971" s="358" t="s">
        <v>1579</v>
      </c>
    </row>
    <row r="1972" spans="1:11" hidden="1">
      <c r="A1972" s="251"/>
      <c r="F1972" s="252">
        <v>3</v>
      </c>
      <c r="G1972" s="252" t="s">
        <v>1763</v>
      </c>
      <c r="H1972" s="296" t="s">
        <v>2097</v>
      </c>
      <c r="I1972" s="252">
        <f>(C598)</f>
        <v>120</v>
      </c>
      <c r="J1972" s="253" t="s">
        <v>1763</v>
      </c>
      <c r="K1972" s="252">
        <f t="shared" ref="K1972:K1978" si="70">(F1972*I1972)</f>
        <v>360</v>
      </c>
    </row>
    <row r="1973" spans="1:11" hidden="1">
      <c r="A1973" s="251"/>
      <c r="F1973" s="252">
        <v>1</v>
      </c>
      <c r="G1973" s="252" t="s">
        <v>766</v>
      </c>
      <c r="H1973" s="296" t="s">
        <v>667</v>
      </c>
      <c r="I1973" s="252">
        <f>C601</f>
        <v>65</v>
      </c>
      <c r="J1973" s="253" t="s">
        <v>1708</v>
      </c>
      <c r="K1973" s="252">
        <f t="shared" si="70"/>
        <v>65</v>
      </c>
    </row>
    <row r="1974" spans="1:11" hidden="1">
      <c r="A1974" s="251"/>
      <c r="F1974" s="252">
        <v>1</v>
      </c>
      <c r="G1974" s="252" t="s">
        <v>766</v>
      </c>
      <c r="H1974" s="296" t="s">
        <v>668</v>
      </c>
      <c r="I1974" s="252">
        <f>C626</f>
        <v>12</v>
      </c>
      <c r="J1974" s="253" t="s">
        <v>1708</v>
      </c>
      <c r="K1974" s="252">
        <f t="shared" si="70"/>
        <v>12</v>
      </c>
    </row>
    <row r="1975" spans="1:11" hidden="1">
      <c r="A1975" s="251"/>
      <c r="F1975" s="252">
        <v>1</v>
      </c>
      <c r="G1975" s="252" t="s">
        <v>766</v>
      </c>
      <c r="H1975" s="296" t="s">
        <v>1515</v>
      </c>
      <c r="I1975" s="252">
        <f>C623</f>
        <v>110</v>
      </c>
      <c r="J1975" s="253" t="s">
        <v>1708</v>
      </c>
      <c r="K1975" s="252">
        <f t="shared" si="70"/>
        <v>110</v>
      </c>
    </row>
    <row r="1976" spans="1:11" hidden="1">
      <c r="A1976" s="251"/>
      <c r="F1976" s="252">
        <v>0.5</v>
      </c>
      <c r="G1976" s="252" t="s">
        <v>865</v>
      </c>
      <c r="H1976" s="296" t="s">
        <v>2094</v>
      </c>
      <c r="I1976" s="252">
        <f>(C15)</f>
        <v>130</v>
      </c>
      <c r="J1976" s="253" t="s">
        <v>1708</v>
      </c>
      <c r="K1976" s="252">
        <f t="shared" si="70"/>
        <v>65</v>
      </c>
    </row>
    <row r="1977" spans="1:11" hidden="1">
      <c r="A1977" s="251"/>
      <c r="F1977" s="252">
        <v>0.5</v>
      </c>
      <c r="G1977" s="252" t="s">
        <v>865</v>
      </c>
      <c r="H1977" s="296" t="s">
        <v>1704</v>
      </c>
      <c r="I1977" s="252">
        <f>(C11)</f>
        <v>135</v>
      </c>
      <c r="J1977" s="253" t="s">
        <v>1708</v>
      </c>
      <c r="K1977" s="252">
        <f t="shared" si="70"/>
        <v>67.5</v>
      </c>
    </row>
    <row r="1978" spans="1:11" hidden="1">
      <c r="A1978" s="251"/>
      <c r="F1978" s="252">
        <v>0.5</v>
      </c>
      <c r="G1978" s="252" t="s">
        <v>865</v>
      </c>
      <c r="H1978" s="296" t="s">
        <v>1893</v>
      </c>
      <c r="I1978" s="252">
        <f>(C12)</f>
        <v>95</v>
      </c>
      <c r="J1978" s="253" t="s">
        <v>1708</v>
      </c>
      <c r="K1978" s="252">
        <f t="shared" si="70"/>
        <v>47.5</v>
      </c>
    </row>
    <row r="1979" spans="1:11" hidden="1">
      <c r="A1979" s="251"/>
      <c r="G1979" s="252" t="s">
        <v>446</v>
      </c>
      <c r="H1979" s="296" t="s">
        <v>1516</v>
      </c>
      <c r="I1979" s="252">
        <v>2.79</v>
      </c>
      <c r="J1979" s="253" t="s">
        <v>446</v>
      </c>
      <c r="K1979" s="252">
        <v>2.79</v>
      </c>
    </row>
    <row r="1980" spans="1:11" hidden="1">
      <c r="A1980" s="251"/>
      <c r="H1980" s="296" t="s">
        <v>83</v>
      </c>
    </row>
    <row r="1981" spans="1:11" hidden="1">
      <c r="A1981" s="251"/>
      <c r="H1981" s="296" t="s">
        <v>190</v>
      </c>
    </row>
    <row r="1982" spans="1:11" hidden="1">
      <c r="A1982" s="251"/>
      <c r="H1982" s="296" t="s">
        <v>731</v>
      </c>
      <c r="J1982" s="253" t="s">
        <v>446</v>
      </c>
      <c r="K1982" s="252">
        <v>0</v>
      </c>
    </row>
    <row r="1983" spans="1:11" hidden="1">
      <c r="A1983" s="251"/>
      <c r="K1983" s="358" t="s">
        <v>1579</v>
      </c>
    </row>
    <row r="1984" spans="1:11" hidden="1">
      <c r="A1984" s="251"/>
      <c r="H1984" s="296" t="s">
        <v>1312</v>
      </c>
      <c r="K1984" s="252">
        <f>SUM(K1972:K1982)</f>
        <v>729.79</v>
      </c>
    </row>
    <row r="1985" spans="1:11" hidden="1">
      <c r="A1985" s="251"/>
      <c r="K1985" s="358" t="s">
        <v>1579</v>
      </c>
    </row>
    <row r="1986" spans="1:11" hidden="1">
      <c r="A1986" s="251"/>
      <c r="H1986" s="296" t="s">
        <v>1538</v>
      </c>
      <c r="K1986" s="252">
        <f>(K1984/3)</f>
        <v>243.26</v>
      </c>
    </row>
    <row r="1987" spans="1:11" hidden="1">
      <c r="A1987" s="251"/>
      <c r="K1987" s="358" t="s">
        <v>1579</v>
      </c>
    </row>
    <row r="1988" spans="1:11" hidden="1">
      <c r="A1988" s="251"/>
      <c r="F1988" s="253" t="s">
        <v>732</v>
      </c>
      <c r="G1988" s="252" t="s">
        <v>281</v>
      </c>
      <c r="H1988" s="296" t="s">
        <v>733</v>
      </c>
    </row>
    <row r="1989" spans="1:11" hidden="1">
      <c r="A1989" s="251"/>
      <c r="H1989" s="296" t="s">
        <v>3352</v>
      </c>
    </row>
    <row r="1990" spans="1:11" hidden="1">
      <c r="A1990" s="251"/>
      <c r="H1990" s="296" t="s">
        <v>942</v>
      </c>
    </row>
    <row r="1991" spans="1:11" hidden="1">
      <c r="A1991" s="251"/>
      <c r="H1991" s="296" t="s">
        <v>734</v>
      </c>
    </row>
    <row r="1992" spans="1:11" hidden="1">
      <c r="A1992" s="251"/>
      <c r="H1992" s="296" t="s">
        <v>538</v>
      </c>
    </row>
    <row r="1993" spans="1:11" hidden="1">
      <c r="A1993" s="251"/>
      <c r="H1993" s="296" t="s">
        <v>2096</v>
      </c>
    </row>
    <row r="1994" spans="1:11" hidden="1">
      <c r="A1994" s="251"/>
      <c r="H1994" s="296" t="s">
        <v>2631</v>
      </c>
    </row>
    <row r="1995" spans="1:11" hidden="1">
      <c r="A1995" s="251"/>
      <c r="H1995" s="358" t="s">
        <v>1579</v>
      </c>
    </row>
    <row r="1996" spans="1:11" hidden="1">
      <c r="A1996" s="251"/>
      <c r="F1996" s="252">
        <v>3</v>
      </c>
      <c r="G1996" s="252" t="s">
        <v>1763</v>
      </c>
      <c r="H1996" s="296" t="s">
        <v>999</v>
      </c>
      <c r="I1996" s="252">
        <f>(C599)</f>
        <v>80</v>
      </c>
      <c r="J1996" s="253" t="s">
        <v>1763</v>
      </c>
      <c r="K1996" s="252">
        <f t="shared" ref="K1996:K2002" si="71">(F1996*I1996)</f>
        <v>240</v>
      </c>
    </row>
    <row r="1997" spans="1:11" hidden="1">
      <c r="A1997" s="251"/>
      <c r="F1997" s="252">
        <v>1</v>
      </c>
      <c r="G1997" s="252" t="s">
        <v>766</v>
      </c>
      <c r="H1997" s="296" t="s">
        <v>1000</v>
      </c>
      <c r="I1997" s="252">
        <f>C602</f>
        <v>40</v>
      </c>
      <c r="J1997" s="253" t="s">
        <v>766</v>
      </c>
      <c r="K1997" s="252">
        <f t="shared" si="71"/>
        <v>40</v>
      </c>
    </row>
    <row r="1998" spans="1:11" hidden="1">
      <c r="A1998" s="251"/>
      <c r="F1998" s="252">
        <v>1</v>
      </c>
      <c r="G1998" s="252" t="s">
        <v>766</v>
      </c>
      <c r="H1998" s="296" t="s">
        <v>1001</v>
      </c>
      <c r="I1998" s="252">
        <f>C627</f>
        <v>7.5</v>
      </c>
      <c r="J1998" s="253" t="s">
        <v>766</v>
      </c>
      <c r="K1998" s="252">
        <f t="shared" si="71"/>
        <v>7.5</v>
      </c>
    </row>
    <row r="1999" spans="1:11" hidden="1">
      <c r="A1999" s="251"/>
      <c r="F1999" s="252">
        <v>1</v>
      </c>
      <c r="G1999" s="252" t="s">
        <v>766</v>
      </c>
      <c r="H1999" s="296" t="s">
        <v>84</v>
      </c>
      <c r="I1999" s="252">
        <f>C624</f>
        <v>70</v>
      </c>
      <c r="J1999" s="253" t="s">
        <v>766</v>
      </c>
      <c r="K1999" s="252">
        <f t="shared" si="71"/>
        <v>70</v>
      </c>
    </row>
    <row r="2000" spans="1:11" hidden="1">
      <c r="A2000" s="251"/>
      <c r="F2000" s="252">
        <v>0.5</v>
      </c>
      <c r="G2000" s="252" t="s">
        <v>865</v>
      </c>
      <c r="H2000" s="296" t="s">
        <v>2094</v>
      </c>
      <c r="I2000" s="252">
        <f>(C15)</f>
        <v>130</v>
      </c>
      <c r="J2000" s="253" t="s">
        <v>865</v>
      </c>
      <c r="K2000" s="252">
        <f t="shared" si="71"/>
        <v>65</v>
      </c>
    </row>
    <row r="2001" spans="1:11" hidden="1">
      <c r="A2001" s="251"/>
      <c r="F2001" s="252">
        <v>0.5</v>
      </c>
      <c r="G2001" s="252" t="s">
        <v>865</v>
      </c>
      <c r="H2001" s="296" t="s">
        <v>1704</v>
      </c>
      <c r="I2001" s="252">
        <f>(C11)</f>
        <v>135</v>
      </c>
      <c r="J2001" s="253" t="s">
        <v>865</v>
      </c>
      <c r="K2001" s="252">
        <f t="shared" si="71"/>
        <v>67.5</v>
      </c>
    </row>
    <row r="2002" spans="1:11" hidden="1">
      <c r="A2002" s="251"/>
      <c r="F2002" s="252">
        <v>0.5</v>
      </c>
      <c r="G2002" s="252" t="s">
        <v>865</v>
      </c>
      <c r="H2002" s="296" t="s">
        <v>1893</v>
      </c>
      <c r="I2002" s="252">
        <f>(C12)</f>
        <v>95</v>
      </c>
      <c r="J2002" s="253" t="s">
        <v>865</v>
      </c>
      <c r="K2002" s="252">
        <f t="shared" si="71"/>
        <v>47.5</v>
      </c>
    </row>
    <row r="2003" spans="1:11" hidden="1">
      <c r="A2003" s="251"/>
      <c r="G2003" s="252" t="s">
        <v>446</v>
      </c>
      <c r="H2003" s="296" t="s">
        <v>1516</v>
      </c>
      <c r="I2003" s="296" t="s">
        <v>971</v>
      </c>
      <c r="J2003" s="253" t="s">
        <v>446</v>
      </c>
      <c r="K2003" s="252">
        <v>2.73</v>
      </c>
    </row>
    <row r="2004" spans="1:11" hidden="1">
      <c r="A2004" s="251"/>
      <c r="H2004" s="296" t="s">
        <v>83</v>
      </c>
    </row>
    <row r="2005" spans="1:11" hidden="1">
      <c r="A2005" s="251"/>
      <c r="H2005" s="296" t="s">
        <v>190</v>
      </c>
    </row>
    <row r="2006" spans="1:11" hidden="1">
      <c r="A2006" s="251"/>
      <c r="H2006" s="296" t="s">
        <v>731</v>
      </c>
      <c r="J2006" s="253" t="s">
        <v>446</v>
      </c>
      <c r="K2006" s="252">
        <v>0</v>
      </c>
    </row>
    <row r="2007" spans="1:11" hidden="1">
      <c r="A2007" s="251"/>
      <c r="K2007" s="358" t="s">
        <v>1579</v>
      </c>
    </row>
    <row r="2008" spans="1:11" hidden="1">
      <c r="A2008" s="251"/>
      <c r="H2008" s="296" t="s">
        <v>1312</v>
      </c>
      <c r="K2008" s="252">
        <f>SUM(K1996:K2006)</f>
        <v>540.23</v>
      </c>
    </row>
    <row r="2009" spans="1:11" hidden="1">
      <c r="A2009" s="251"/>
      <c r="K2009" s="358" t="s">
        <v>1579</v>
      </c>
    </row>
    <row r="2010" spans="1:11" hidden="1">
      <c r="A2010" s="251"/>
      <c r="H2010" s="296" t="s">
        <v>1538</v>
      </c>
      <c r="K2010" s="252">
        <f>(K2008/3)</f>
        <v>180.08</v>
      </c>
    </row>
    <row r="2011" spans="1:11" hidden="1">
      <c r="A2011" s="251"/>
      <c r="K2011" s="358" t="s">
        <v>1579</v>
      </c>
    </row>
    <row r="2012" spans="1:11" hidden="1">
      <c r="A2012" s="251"/>
      <c r="F2012" s="253" t="s">
        <v>85</v>
      </c>
      <c r="H2012" s="296" t="s">
        <v>205</v>
      </c>
    </row>
    <row r="2013" spans="1:11" hidden="1">
      <c r="A2013" s="251"/>
      <c r="H2013" s="296" t="s">
        <v>1811</v>
      </c>
    </row>
    <row r="2014" spans="1:11" hidden="1">
      <c r="A2014" s="251"/>
      <c r="F2014" s="296" t="s">
        <v>971</v>
      </c>
      <c r="H2014" s="296" t="s">
        <v>2185</v>
      </c>
    </row>
    <row r="2015" spans="1:11" hidden="1">
      <c r="A2015" s="251"/>
      <c r="H2015" s="358" t="s">
        <v>1579</v>
      </c>
    </row>
    <row r="2016" spans="1:11" hidden="1">
      <c r="A2016" s="251"/>
      <c r="F2016" s="252">
        <v>3</v>
      </c>
      <c r="G2016" s="252" t="s">
        <v>2186</v>
      </c>
      <c r="H2016" s="296" t="s">
        <v>2187</v>
      </c>
      <c r="I2016" s="252">
        <v>108</v>
      </c>
      <c r="J2016" s="253" t="s">
        <v>2186</v>
      </c>
      <c r="K2016" s="252">
        <f>(F2016*I2016)</f>
        <v>324</v>
      </c>
    </row>
    <row r="2017" spans="1:11" hidden="1">
      <c r="A2017" s="251"/>
      <c r="F2017" s="252">
        <v>1</v>
      </c>
      <c r="G2017" s="252" t="s">
        <v>1752</v>
      </c>
      <c r="H2017" s="296" t="s">
        <v>2188</v>
      </c>
      <c r="I2017" s="252">
        <v>12</v>
      </c>
      <c r="J2017" s="253" t="s">
        <v>1752</v>
      </c>
      <c r="K2017" s="252">
        <f>(F2017*I2017)</f>
        <v>12</v>
      </c>
    </row>
    <row r="2018" spans="1:11" hidden="1">
      <c r="A2018" s="251"/>
      <c r="F2018" s="252">
        <v>1</v>
      </c>
      <c r="G2018" s="252" t="s">
        <v>1752</v>
      </c>
      <c r="H2018" s="296" t="s">
        <v>2189</v>
      </c>
      <c r="I2018" s="252">
        <v>8</v>
      </c>
      <c r="J2018" s="253" t="s">
        <v>1752</v>
      </c>
      <c r="K2018" s="252">
        <f>(F2018*I2018)</f>
        <v>8</v>
      </c>
    </row>
    <row r="2019" spans="1:11" hidden="1">
      <c r="A2019" s="251"/>
      <c r="F2019" s="253" t="s">
        <v>730</v>
      </c>
      <c r="H2019" s="296" t="s">
        <v>2190</v>
      </c>
      <c r="I2019" s="253" t="s">
        <v>730</v>
      </c>
      <c r="K2019" s="252">
        <v>1.21</v>
      </c>
    </row>
    <row r="2020" spans="1:11" hidden="1">
      <c r="A2020" s="251"/>
      <c r="K2020" s="358" t="s">
        <v>1579</v>
      </c>
    </row>
    <row r="2021" spans="1:11" hidden="1">
      <c r="A2021" s="251"/>
      <c r="H2021" s="296" t="s">
        <v>393</v>
      </c>
      <c r="K2021" s="252">
        <f>SUM(K2016:K2019)</f>
        <v>345.21</v>
      </c>
    </row>
    <row r="2022" spans="1:11" hidden="1">
      <c r="A2022" s="251"/>
      <c r="K2022" s="358" t="s">
        <v>1579</v>
      </c>
    </row>
    <row r="2023" spans="1:11" hidden="1">
      <c r="A2023" s="251"/>
    </row>
    <row r="2024" spans="1:11" hidden="1">
      <c r="A2024" s="251"/>
      <c r="F2024" s="253" t="s">
        <v>394</v>
      </c>
      <c r="G2024" s="252" t="s">
        <v>2241</v>
      </c>
      <c r="H2024" s="296" t="s">
        <v>1129</v>
      </c>
    </row>
    <row r="2025" spans="1:11" hidden="1">
      <c r="A2025" s="251"/>
      <c r="H2025" s="296" t="s">
        <v>291</v>
      </c>
    </row>
    <row r="2026" spans="1:11" hidden="1">
      <c r="A2026" s="251"/>
      <c r="H2026" s="358" t="s">
        <v>1579</v>
      </c>
    </row>
    <row r="2027" spans="1:11" hidden="1">
      <c r="A2027" s="251"/>
      <c r="F2027" s="252">
        <v>1</v>
      </c>
      <c r="G2027" s="252" t="s">
        <v>865</v>
      </c>
      <c r="H2027" s="296" t="s">
        <v>291</v>
      </c>
      <c r="I2027" s="252">
        <f>(C265)</f>
        <v>115</v>
      </c>
      <c r="J2027" s="253" t="s">
        <v>865</v>
      </c>
      <c r="K2027" s="252">
        <f>(F2027*I2027)</f>
        <v>115</v>
      </c>
    </row>
    <row r="2028" spans="1:11" hidden="1">
      <c r="A2028" s="251"/>
      <c r="F2028" s="252">
        <v>0.05</v>
      </c>
      <c r="G2028" s="252" t="s">
        <v>866</v>
      </c>
      <c r="H2028" s="296" t="s">
        <v>1171</v>
      </c>
      <c r="I2028" s="252" t="e">
        <f>(R60)</f>
        <v>#REF!</v>
      </c>
      <c r="J2028" s="253" t="s">
        <v>866</v>
      </c>
      <c r="K2028" s="252" t="e">
        <f>(F2028*I2028)</f>
        <v>#REF!</v>
      </c>
    </row>
    <row r="2029" spans="1:11" hidden="1">
      <c r="A2029" s="251"/>
      <c r="F2029" s="252">
        <v>0.5</v>
      </c>
      <c r="G2029" s="252" t="s">
        <v>865</v>
      </c>
      <c r="H2029" s="296" t="s">
        <v>2094</v>
      </c>
      <c r="I2029" s="252">
        <f>(C15)</f>
        <v>130</v>
      </c>
      <c r="J2029" s="253" t="s">
        <v>865</v>
      </c>
      <c r="K2029" s="252">
        <f>(F2029*I2029)</f>
        <v>65</v>
      </c>
    </row>
    <row r="2030" spans="1:11" hidden="1">
      <c r="A2030" s="251"/>
      <c r="F2030" s="252">
        <v>1</v>
      </c>
      <c r="G2030" s="252" t="s">
        <v>865</v>
      </c>
      <c r="H2030" s="296" t="s">
        <v>1893</v>
      </c>
      <c r="I2030" s="252">
        <f>(C12)</f>
        <v>95</v>
      </c>
      <c r="J2030" s="253" t="s">
        <v>865</v>
      </c>
      <c r="K2030" s="252">
        <f>(F2030*I2030)</f>
        <v>95</v>
      </c>
    </row>
    <row r="2031" spans="1:11" hidden="1">
      <c r="A2031" s="251"/>
      <c r="F2031" s="252">
        <v>1</v>
      </c>
      <c r="G2031" s="252" t="s">
        <v>865</v>
      </c>
      <c r="H2031" s="296" t="s">
        <v>317</v>
      </c>
      <c r="I2031" s="252">
        <f>(C13)</f>
        <v>85</v>
      </c>
      <c r="J2031" s="253" t="s">
        <v>865</v>
      </c>
      <c r="K2031" s="252">
        <f>(F2031*I2031)</f>
        <v>85</v>
      </c>
    </row>
    <row r="2032" spans="1:11" hidden="1">
      <c r="A2032" s="251"/>
      <c r="G2032" s="252" t="s">
        <v>446</v>
      </c>
      <c r="H2032" s="296" t="s">
        <v>447</v>
      </c>
      <c r="I2032" s="296" t="s">
        <v>971</v>
      </c>
      <c r="J2032" s="253" t="s">
        <v>446</v>
      </c>
      <c r="K2032" s="252">
        <v>0</v>
      </c>
    </row>
    <row r="2033" spans="1:11" hidden="1">
      <c r="A2033" s="251"/>
      <c r="H2033" s="296" t="s">
        <v>971</v>
      </c>
      <c r="K2033" s="358" t="s">
        <v>1579</v>
      </c>
    </row>
    <row r="2034" spans="1:11" hidden="1">
      <c r="A2034" s="251"/>
      <c r="H2034" s="296" t="s">
        <v>1743</v>
      </c>
      <c r="K2034" s="252" t="e">
        <f>SUM(K2027:K2032)</f>
        <v>#REF!</v>
      </c>
    </row>
    <row r="2035" spans="1:11" hidden="1">
      <c r="A2035" s="251"/>
      <c r="K2035" s="358" t="s">
        <v>2046</v>
      </c>
    </row>
    <row r="2036" spans="1:11" hidden="1">
      <c r="A2036" s="251"/>
      <c r="F2036" s="253" t="s">
        <v>1172</v>
      </c>
      <c r="G2036" s="252" t="s">
        <v>2241</v>
      </c>
      <c r="H2036" s="296" t="s">
        <v>2215</v>
      </c>
    </row>
    <row r="2037" spans="1:11" hidden="1">
      <c r="A2037" s="251"/>
      <c r="H2037" s="296" t="s">
        <v>2368</v>
      </c>
    </row>
    <row r="2038" spans="1:11" hidden="1">
      <c r="A2038" s="251"/>
      <c r="H2038" s="358" t="s">
        <v>1579</v>
      </c>
    </row>
    <row r="2039" spans="1:11" hidden="1">
      <c r="A2039" s="251"/>
      <c r="F2039" s="252">
        <v>1</v>
      </c>
      <c r="G2039" s="252" t="s">
        <v>865</v>
      </c>
      <c r="H2039" s="296" t="s">
        <v>2216</v>
      </c>
      <c r="I2039" s="252">
        <f>(D266)</f>
        <v>90</v>
      </c>
      <c r="J2039" s="253" t="s">
        <v>865</v>
      </c>
      <c r="K2039" s="252">
        <f>(F2039*I2039)</f>
        <v>90</v>
      </c>
    </row>
    <row r="2040" spans="1:11" hidden="1">
      <c r="A2040" s="251"/>
      <c r="G2040" s="252" t="s">
        <v>446</v>
      </c>
      <c r="H2040" s="296" t="s">
        <v>1678</v>
      </c>
      <c r="J2040" s="253" t="s">
        <v>446</v>
      </c>
      <c r="K2040" s="252">
        <v>4</v>
      </c>
    </row>
    <row r="2041" spans="1:11" hidden="1">
      <c r="A2041" s="251"/>
      <c r="J2041" s="253" t="s">
        <v>971</v>
      </c>
      <c r="K2041" s="358" t="s">
        <v>1579</v>
      </c>
    </row>
    <row r="2042" spans="1:11" hidden="1">
      <c r="A2042" s="251"/>
      <c r="H2042" s="296" t="s">
        <v>1743</v>
      </c>
      <c r="K2042" s="252">
        <f>SUM(K2039:K2041)</f>
        <v>94</v>
      </c>
    </row>
    <row r="2043" spans="1:11" hidden="1">
      <c r="A2043" s="251"/>
      <c r="K2043" s="358" t="s">
        <v>1579</v>
      </c>
    </row>
    <row r="2044" spans="1:11" hidden="1">
      <c r="A2044" s="251"/>
      <c r="F2044" s="253" t="s">
        <v>1679</v>
      </c>
      <c r="G2044" s="252" t="s">
        <v>2241</v>
      </c>
      <c r="H2044" s="296" t="s">
        <v>51</v>
      </c>
    </row>
    <row r="2045" spans="1:11" hidden="1">
      <c r="A2045" s="251"/>
      <c r="H2045" s="296" t="s">
        <v>52</v>
      </c>
    </row>
    <row r="2046" spans="1:11" hidden="1">
      <c r="A2046" s="251"/>
      <c r="H2046" s="358" t="s">
        <v>1579</v>
      </c>
    </row>
    <row r="2047" spans="1:11" hidden="1">
      <c r="A2047" s="251"/>
      <c r="F2047" s="252">
        <v>50</v>
      </c>
      <c r="G2047" s="252" t="s">
        <v>865</v>
      </c>
      <c r="H2047" s="296" t="s">
        <v>787</v>
      </c>
      <c r="I2047" s="252">
        <f>(C203)</f>
        <v>40</v>
      </c>
      <c r="J2047" s="253" t="s">
        <v>865</v>
      </c>
      <c r="K2047" s="252">
        <f t="shared" ref="K2047:K2056" si="72">(F2047*I2047)</f>
        <v>2000</v>
      </c>
    </row>
    <row r="2048" spans="1:11" hidden="1">
      <c r="A2048" s="251"/>
      <c r="F2048" s="252">
        <v>21.6</v>
      </c>
      <c r="G2048" s="252" t="s">
        <v>866</v>
      </c>
      <c r="H2048" s="296" t="s">
        <v>788</v>
      </c>
      <c r="I2048" s="252">
        <f>(C61*2)</f>
        <v>50</v>
      </c>
      <c r="J2048" s="253" t="s">
        <v>866</v>
      </c>
      <c r="K2048" s="252">
        <f t="shared" si="72"/>
        <v>1080</v>
      </c>
    </row>
    <row r="2049" spans="1:11" hidden="1">
      <c r="A2049" s="251"/>
      <c r="F2049" s="252">
        <v>21.6</v>
      </c>
      <c r="G2049" s="252" t="s">
        <v>866</v>
      </c>
      <c r="H2049" s="296" t="s">
        <v>248</v>
      </c>
      <c r="I2049" s="252">
        <f>(C26)</f>
        <v>8.8000000000000007</v>
      </c>
      <c r="J2049" s="253" t="s">
        <v>866</v>
      </c>
      <c r="K2049" s="252">
        <f t="shared" si="72"/>
        <v>190.08</v>
      </c>
    </row>
    <row r="2050" spans="1:11" hidden="1">
      <c r="A2050" s="251"/>
      <c r="F2050" s="252">
        <v>45</v>
      </c>
      <c r="G2050" s="252" t="s">
        <v>1637</v>
      </c>
      <c r="H2050" s="296" t="s">
        <v>859</v>
      </c>
      <c r="I2050" s="252">
        <f>(C67/1000)</f>
        <v>3.8</v>
      </c>
      <c r="J2050" s="253" t="s">
        <v>1637</v>
      </c>
      <c r="K2050" s="252">
        <f t="shared" si="72"/>
        <v>171</v>
      </c>
    </row>
    <row r="2051" spans="1:11" hidden="1">
      <c r="A2051" s="251"/>
      <c r="F2051" s="252">
        <v>0.04</v>
      </c>
      <c r="G2051" s="252" t="s">
        <v>866</v>
      </c>
      <c r="H2051" s="296" t="s">
        <v>867</v>
      </c>
      <c r="I2051" s="252" t="e">
        <f>(C78)</f>
        <v>#REF!</v>
      </c>
      <c r="J2051" s="253" t="s">
        <v>866</v>
      </c>
      <c r="K2051" s="252" t="e">
        <f t="shared" si="72"/>
        <v>#REF!</v>
      </c>
    </row>
    <row r="2052" spans="1:11" hidden="1">
      <c r="A2052" s="251"/>
      <c r="F2052" s="252">
        <v>3.63</v>
      </c>
      <c r="G2052" s="252" t="s">
        <v>1637</v>
      </c>
      <c r="H2052" s="296" t="s">
        <v>789</v>
      </c>
      <c r="I2052" s="252">
        <f>(C585)</f>
        <v>7</v>
      </c>
      <c r="J2052" s="253" t="s">
        <v>1637</v>
      </c>
      <c r="K2052" s="252">
        <f t="shared" si="72"/>
        <v>25.41</v>
      </c>
    </row>
    <row r="2053" spans="1:11" hidden="1">
      <c r="A2053" s="251"/>
      <c r="F2053" s="252">
        <v>2</v>
      </c>
      <c r="G2053" s="252" t="s">
        <v>865</v>
      </c>
      <c r="H2053" s="296" t="s">
        <v>2000</v>
      </c>
      <c r="I2053" s="252">
        <f>(C10)</f>
        <v>150</v>
      </c>
      <c r="J2053" s="253" t="s">
        <v>865</v>
      </c>
      <c r="K2053" s="252">
        <f t="shared" si="72"/>
        <v>300</v>
      </c>
    </row>
    <row r="2054" spans="1:11" hidden="1">
      <c r="A2054" s="251"/>
      <c r="F2054" s="252">
        <v>1</v>
      </c>
      <c r="G2054" s="252" t="s">
        <v>865</v>
      </c>
      <c r="H2054" s="296" t="s">
        <v>790</v>
      </c>
      <c r="I2054" s="252">
        <f>AE37</f>
        <v>120</v>
      </c>
      <c r="J2054" s="253" t="s">
        <v>865</v>
      </c>
      <c r="K2054" s="252">
        <f t="shared" si="72"/>
        <v>120</v>
      </c>
    </row>
    <row r="2055" spans="1:11" hidden="1">
      <c r="A2055" s="251"/>
      <c r="F2055" s="252">
        <v>5</v>
      </c>
      <c r="G2055" s="252" t="s">
        <v>865</v>
      </c>
      <c r="H2055" s="296" t="s">
        <v>1893</v>
      </c>
      <c r="I2055" s="252">
        <f>(C12)</f>
        <v>95</v>
      </c>
      <c r="J2055" s="253" t="s">
        <v>865</v>
      </c>
      <c r="K2055" s="252">
        <f t="shared" si="72"/>
        <v>475</v>
      </c>
    </row>
    <row r="2056" spans="1:11" hidden="1">
      <c r="A2056" s="251"/>
      <c r="F2056" s="252">
        <v>2</v>
      </c>
      <c r="G2056" s="252" t="s">
        <v>865</v>
      </c>
      <c r="H2056" s="296" t="s">
        <v>317</v>
      </c>
      <c r="I2056" s="252">
        <f>(C13)</f>
        <v>85</v>
      </c>
      <c r="J2056" s="253" t="s">
        <v>865</v>
      </c>
      <c r="K2056" s="252">
        <f t="shared" si="72"/>
        <v>170</v>
      </c>
    </row>
    <row r="2057" spans="1:11" hidden="1">
      <c r="A2057" s="251"/>
      <c r="G2057" s="252" t="s">
        <v>446</v>
      </c>
      <c r="H2057" s="296" t="s">
        <v>2127</v>
      </c>
      <c r="J2057" s="253" t="s">
        <v>446</v>
      </c>
      <c r="K2057" s="252">
        <f>SUM(K2053:K2056)/10</f>
        <v>106.5</v>
      </c>
    </row>
    <row r="2058" spans="1:11" hidden="1">
      <c r="A2058" s="251"/>
      <c r="K2058" s="358" t="s">
        <v>1579</v>
      </c>
    </row>
    <row r="2059" spans="1:11" hidden="1">
      <c r="A2059" s="251"/>
      <c r="H2059" s="296" t="s">
        <v>2128</v>
      </c>
      <c r="K2059" s="252" t="e">
        <f>SUM(K2047:K2057)</f>
        <v>#REF!</v>
      </c>
    </row>
    <row r="2060" spans="1:11" hidden="1">
      <c r="A2060" s="251"/>
      <c r="K2060" s="358" t="s">
        <v>1579</v>
      </c>
    </row>
    <row r="2061" spans="1:11" hidden="1">
      <c r="A2061" s="251"/>
      <c r="H2061" s="296" t="s">
        <v>1119</v>
      </c>
      <c r="K2061" s="252" t="e">
        <f>(K2059/30)</f>
        <v>#REF!</v>
      </c>
    </row>
    <row r="2062" spans="1:11" hidden="1">
      <c r="A2062" s="251"/>
      <c r="K2062" s="358" t="s">
        <v>2046</v>
      </c>
    </row>
    <row r="2063" spans="1:11" hidden="1">
      <c r="A2063" s="251"/>
    </row>
    <row r="2064" spans="1:11" hidden="1">
      <c r="A2064" s="251"/>
      <c r="F2064" s="253" t="s">
        <v>1120</v>
      </c>
      <c r="G2064" s="252" t="s">
        <v>2241</v>
      </c>
      <c r="H2064" s="296" t="s">
        <v>1015</v>
      </c>
    </row>
    <row r="2065" spans="1:11" hidden="1">
      <c r="A2065" s="251"/>
      <c r="H2065" s="296" t="s">
        <v>52</v>
      </c>
    </row>
    <row r="2066" spans="1:11" hidden="1">
      <c r="A2066" s="251"/>
      <c r="H2066" s="358" t="s">
        <v>1579</v>
      </c>
    </row>
    <row r="2067" spans="1:11" hidden="1">
      <c r="A2067" s="251"/>
      <c r="F2067" s="252">
        <v>50</v>
      </c>
      <c r="G2067" s="252" t="s">
        <v>865</v>
      </c>
      <c r="H2067" s="296" t="s">
        <v>565</v>
      </c>
      <c r="I2067" s="252">
        <f>C204</f>
        <v>65</v>
      </c>
      <c r="J2067" s="253" t="s">
        <v>865</v>
      </c>
      <c r="K2067" s="252">
        <f t="shared" ref="K2067:K2076" si="73">(F2067*I2067)</f>
        <v>3250</v>
      </c>
    </row>
    <row r="2068" spans="1:11" hidden="1">
      <c r="A2068" s="251"/>
      <c r="F2068" s="252">
        <v>21.6</v>
      </c>
      <c r="G2068" s="252" t="s">
        <v>866</v>
      </c>
      <c r="H2068" s="296" t="s">
        <v>788</v>
      </c>
      <c r="I2068" s="252">
        <f>(C61*2)</f>
        <v>50</v>
      </c>
      <c r="J2068" s="253" t="s">
        <v>866</v>
      </c>
      <c r="K2068" s="252">
        <f t="shared" si="73"/>
        <v>1080</v>
      </c>
    </row>
    <row r="2069" spans="1:11" hidden="1">
      <c r="A2069" s="251"/>
      <c r="F2069" s="252">
        <v>21.6</v>
      </c>
      <c r="G2069" s="252" t="s">
        <v>866</v>
      </c>
      <c r="H2069" s="296" t="s">
        <v>248</v>
      </c>
      <c r="I2069" s="252">
        <f>(C26)</f>
        <v>8.8000000000000007</v>
      </c>
      <c r="J2069" s="253" t="s">
        <v>866</v>
      </c>
      <c r="K2069" s="252">
        <f t="shared" si="73"/>
        <v>190.08</v>
      </c>
    </row>
    <row r="2070" spans="1:11" hidden="1">
      <c r="A2070" s="251"/>
      <c r="F2070" s="252">
        <v>68</v>
      </c>
      <c r="G2070" s="252" t="s">
        <v>1637</v>
      </c>
      <c r="H2070" s="296" t="s">
        <v>859</v>
      </c>
      <c r="I2070" s="252">
        <f>(C67/1000)</f>
        <v>3.8</v>
      </c>
      <c r="J2070" s="253" t="s">
        <v>1637</v>
      </c>
      <c r="K2070" s="252">
        <f t="shared" si="73"/>
        <v>258.39999999999998</v>
      </c>
    </row>
    <row r="2071" spans="1:11" hidden="1">
      <c r="A2071" s="251"/>
      <c r="F2071" s="252">
        <v>7.0000000000000007E-2</v>
      </c>
      <c r="G2071" s="252" t="s">
        <v>866</v>
      </c>
      <c r="H2071" s="296" t="s">
        <v>867</v>
      </c>
      <c r="I2071" s="252" t="e">
        <f>(C78)</f>
        <v>#REF!</v>
      </c>
      <c r="J2071" s="253" t="s">
        <v>866</v>
      </c>
      <c r="K2071" s="252" t="e">
        <f t="shared" si="73"/>
        <v>#REF!</v>
      </c>
    </row>
    <row r="2072" spans="1:11" hidden="1">
      <c r="A2072" s="251"/>
      <c r="F2072" s="252">
        <v>5.45</v>
      </c>
      <c r="G2072" s="252" t="s">
        <v>1637</v>
      </c>
      <c r="H2072" s="296" t="s">
        <v>789</v>
      </c>
      <c r="I2072" s="252">
        <f>(C585)</f>
        <v>7</v>
      </c>
      <c r="J2072" s="253" t="s">
        <v>1637</v>
      </c>
      <c r="K2072" s="252">
        <f t="shared" si="73"/>
        <v>38.15</v>
      </c>
    </row>
    <row r="2073" spans="1:11" hidden="1">
      <c r="A2073" s="251"/>
      <c r="F2073" s="252">
        <v>3</v>
      </c>
      <c r="G2073" s="252" t="s">
        <v>865</v>
      </c>
      <c r="H2073" s="296" t="s">
        <v>2000</v>
      </c>
      <c r="I2073" s="252">
        <f>(C10)</f>
        <v>150</v>
      </c>
      <c r="J2073" s="253" t="s">
        <v>865</v>
      </c>
      <c r="K2073" s="252">
        <f t="shared" si="73"/>
        <v>450</v>
      </c>
    </row>
    <row r="2074" spans="1:11" hidden="1">
      <c r="A2074" s="251"/>
      <c r="F2074" s="252">
        <v>2</v>
      </c>
      <c r="G2074" s="252" t="s">
        <v>865</v>
      </c>
      <c r="H2074" s="296" t="s">
        <v>790</v>
      </c>
      <c r="I2074" s="252">
        <f>AE37</f>
        <v>120</v>
      </c>
      <c r="J2074" s="253" t="s">
        <v>865</v>
      </c>
      <c r="K2074" s="252">
        <f t="shared" si="73"/>
        <v>240</v>
      </c>
    </row>
    <row r="2075" spans="1:11" hidden="1">
      <c r="A2075" s="251"/>
      <c r="F2075" s="252">
        <v>6</v>
      </c>
      <c r="G2075" s="252" t="s">
        <v>865</v>
      </c>
      <c r="H2075" s="296" t="s">
        <v>1893</v>
      </c>
      <c r="I2075" s="252">
        <f>(C12)</f>
        <v>95</v>
      </c>
      <c r="J2075" s="253" t="s">
        <v>865</v>
      </c>
      <c r="K2075" s="252">
        <f t="shared" si="73"/>
        <v>570</v>
      </c>
    </row>
    <row r="2076" spans="1:11" hidden="1">
      <c r="A2076" s="251"/>
      <c r="F2076" s="252">
        <v>3</v>
      </c>
      <c r="G2076" s="252" t="s">
        <v>865</v>
      </c>
      <c r="H2076" s="296" t="s">
        <v>317</v>
      </c>
      <c r="I2076" s="252">
        <f>(C13)</f>
        <v>85</v>
      </c>
      <c r="J2076" s="253" t="s">
        <v>865</v>
      </c>
      <c r="K2076" s="252">
        <f t="shared" si="73"/>
        <v>255</v>
      </c>
    </row>
    <row r="2077" spans="1:11" hidden="1">
      <c r="A2077" s="251"/>
      <c r="G2077" s="252" t="s">
        <v>446</v>
      </c>
      <c r="H2077" s="296" t="s">
        <v>2127</v>
      </c>
      <c r="J2077" s="253" t="s">
        <v>446</v>
      </c>
      <c r="K2077" s="252">
        <f>SUM(K2073:K2076)/10</f>
        <v>151.5</v>
      </c>
    </row>
    <row r="2078" spans="1:11" hidden="1">
      <c r="A2078" s="251"/>
      <c r="K2078" s="358" t="s">
        <v>1579</v>
      </c>
    </row>
    <row r="2079" spans="1:11" hidden="1">
      <c r="A2079" s="251"/>
      <c r="H2079" s="296" t="s">
        <v>2128</v>
      </c>
      <c r="K2079" s="252" t="e">
        <f>SUM(K2067:K2077)</f>
        <v>#REF!</v>
      </c>
    </row>
    <row r="2080" spans="1:11" hidden="1">
      <c r="A2080" s="251"/>
      <c r="K2080" s="358" t="s">
        <v>1579</v>
      </c>
    </row>
    <row r="2081" spans="1:11" hidden="1">
      <c r="A2081" s="251"/>
      <c r="H2081" s="296" t="s">
        <v>1119</v>
      </c>
      <c r="K2081" s="252" t="e">
        <f>(K2079/30)</f>
        <v>#REF!</v>
      </c>
    </row>
    <row r="2082" spans="1:11" hidden="1">
      <c r="A2082" s="251"/>
      <c r="K2082" s="358" t="s">
        <v>2046</v>
      </c>
    </row>
    <row r="2083" spans="1:11" hidden="1">
      <c r="A2083" s="251"/>
      <c r="F2083" s="253" t="s">
        <v>566</v>
      </c>
      <c r="G2083" s="252" t="s">
        <v>2241</v>
      </c>
      <c r="H2083" s="296" t="s">
        <v>51</v>
      </c>
    </row>
    <row r="2084" spans="1:11" hidden="1">
      <c r="A2084" s="251"/>
      <c r="H2084" s="296" t="s">
        <v>217</v>
      </c>
    </row>
    <row r="2085" spans="1:11" hidden="1">
      <c r="A2085" s="251"/>
      <c r="H2085" s="358" t="s">
        <v>1579</v>
      </c>
    </row>
    <row r="2086" spans="1:11" hidden="1">
      <c r="A2086" s="251"/>
      <c r="F2086" s="252">
        <v>50</v>
      </c>
      <c r="G2086" s="252" t="s">
        <v>865</v>
      </c>
      <c r="H2086" s="296" t="s">
        <v>218</v>
      </c>
      <c r="I2086" s="252">
        <f>C203</f>
        <v>40</v>
      </c>
      <c r="J2086" s="253" t="s">
        <v>865</v>
      </c>
      <c r="K2086" s="252">
        <f>(F2086*I2086)</f>
        <v>2000</v>
      </c>
    </row>
    <row r="2087" spans="1:11" hidden="1">
      <c r="A2087" s="251"/>
      <c r="F2087" s="252">
        <v>1</v>
      </c>
      <c r="G2087" s="252" t="s">
        <v>865</v>
      </c>
      <c r="H2087" s="296" t="s">
        <v>790</v>
      </c>
      <c r="I2087" s="252">
        <f>AE37</f>
        <v>120</v>
      </c>
      <c r="J2087" s="253" t="s">
        <v>865</v>
      </c>
      <c r="K2087" s="252">
        <f>(F2087*I2087)</f>
        <v>120</v>
      </c>
    </row>
    <row r="2088" spans="1:11" hidden="1">
      <c r="A2088" s="251"/>
      <c r="F2088" s="252">
        <v>5</v>
      </c>
      <c r="G2088" s="252" t="s">
        <v>865</v>
      </c>
      <c r="H2088" s="296" t="s">
        <v>1893</v>
      </c>
      <c r="I2088" s="252">
        <f>C12</f>
        <v>95</v>
      </c>
      <c r="J2088" s="253" t="s">
        <v>865</v>
      </c>
      <c r="K2088" s="252">
        <f>(F2088*I2088)</f>
        <v>475</v>
      </c>
    </row>
    <row r="2089" spans="1:11" hidden="1">
      <c r="A2089" s="251"/>
      <c r="K2089" s="358" t="s">
        <v>1579</v>
      </c>
    </row>
    <row r="2090" spans="1:11" hidden="1">
      <c r="A2090" s="251"/>
      <c r="H2090" s="296" t="s">
        <v>2128</v>
      </c>
      <c r="K2090" s="252">
        <f>SUM(K2086:K2088)</f>
        <v>2595</v>
      </c>
    </row>
    <row r="2091" spans="1:11" hidden="1">
      <c r="A2091" s="251"/>
      <c r="F2091" s="296" t="s">
        <v>971</v>
      </c>
      <c r="K2091" s="358" t="s">
        <v>1579</v>
      </c>
    </row>
    <row r="2092" spans="1:11" hidden="1">
      <c r="A2092" s="251"/>
      <c r="H2092" s="296" t="s">
        <v>1119</v>
      </c>
      <c r="K2092" s="252">
        <f>(K2090/30)</f>
        <v>86.5</v>
      </c>
    </row>
    <row r="2093" spans="1:11" hidden="1">
      <c r="A2093" s="251"/>
      <c r="F2093" s="296" t="s">
        <v>971</v>
      </c>
    </row>
    <row r="2094" spans="1:11" hidden="1">
      <c r="A2094" s="251"/>
      <c r="F2094" s="296" t="s">
        <v>971</v>
      </c>
    </row>
    <row r="2095" spans="1:11" hidden="1">
      <c r="A2095" s="251"/>
      <c r="K2095" s="358" t="s">
        <v>2046</v>
      </c>
    </row>
    <row r="2096" spans="1:11" hidden="1">
      <c r="A2096" s="251"/>
      <c r="F2096" s="253" t="s">
        <v>1120</v>
      </c>
      <c r="G2096" s="252" t="s">
        <v>2241</v>
      </c>
      <c r="H2096" s="296" t="s">
        <v>1015</v>
      </c>
    </row>
    <row r="2097" spans="1:11" hidden="1">
      <c r="A2097" s="251"/>
      <c r="H2097" s="252" t="str">
        <f>H2084</f>
        <v>DIA S.W.PIPE(LOOSE JOINTING)</v>
      </c>
    </row>
    <row r="2098" spans="1:11" hidden="1">
      <c r="A2098" s="251"/>
      <c r="H2098" s="358" t="s">
        <v>1579</v>
      </c>
    </row>
    <row r="2099" spans="1:11" hidden="1">
      <c r="A2099" s="251"/>
      <c r="F2099" s="252">
        <v>50</v>
      </c>
      <c r="G2099" s="252" t="s">
        <v>865</v>
      </c>
      <c r="H2099" s="296" t="s">
        <v>219</v>
      </c>
      <c r="I2099" s="252">
        <f>C204</f>
        <v>65</v>
      </c>
      <c r="J2099" s="253" t="s">
        <v>865</v>
      </c>
      <c r="K2099" s="252">
        <f>(F2099*I2099)</f>
        <v>3250</v>
      </c>
    </row>
    <row r="2100" spans="1:11" hidden="1">
      <c r="A2100" s="251"/>
      <c r="F2100" s="252">
        <v>2</v>
      </c>
      <c r="G2100" s="252" t="s">
        <v>865</v>
      </c>
      <c r="H2100" s="296" t="s">
        <v>790</v>
      </c>
      <c r="I2100" s="252">
        <f>AE37</f>
        <v>120</v>
      </c>
      <c r="J2100" s="253" t="s">
        <v>865</v>
      </c>
      <c r="K2100" s="252">
        <f>(F2100*I2100)</f>
        <v>240</v>
      </c>
    </row>
    <row r="2101" spans="1:11" hidden="1">
      <c r="A2101" s="251"/>
      <c r="F2101" s="252">
        <v>6</v>
      </c>
      <c r="G2101" s="252" t="s">
        <v>865</v>
      </c>
      <c r="H2101" s="296" t="s">
        <v>1893</v>
      </c>
      <c r="I2101" s="252">
        <f>C12</f>
        <v>95</v>
      </c>
      <c r="J2101" s="253" t="s">
        <v>865</v>
      </c>
      <c r="K2101" s="252">
        <f>(F2101*I2101)</f>
        <v>570</v>
      </c>
    </row>
    <row r="2102" spans="1:11" hidden="1">
      <c r="A2102" s="251"/>
      <c r="K2102" s="358" t="s">
        <v>1579</v>
      </c>
    </row>
    <row r="2103" spans="1:11" hidden="1">
      <c r="A2103" s="251"/>
      <c r="H2103" s="296" t="s">
        <v>2128</v>
      </c>
      <c r="K2103" s="252">
        <f>SUM(K2099:K2101)</f>
        <v>4060</v>
      </c>
    </row>
    <row r="2104" spans="1:11" hidden="1">
      <c r="A2104" s="251"/>
      <c r="K2104" s="358" t="s">
        <v>1579</v>
      </c>
    </row>
    <row r="2105" spans="1:11" hidden="1">
      <c r="A2105" s="251"/>
      <c r="H2105" s="296" t="s">
        <v>1119</v>
      </c>
      <c r="K2105" s="252">
        <f>(K2103/30)</f>
        <v>135.33000000000001</v>
      </c>
    </row>
    <row r="2106" spans="1:11" hidden="1">
      <c r="A2106" s="251"/>
      <c r="K2106" s="358" t="s">
        <v>2046</v>
      </c>
    </row>
    <row r="2107" spans="1:11" hidden="1">
      <c r="A2107" s="251"/>
      <c r="H2107" s="253" t="s">
        <v>220</v>
      </c>
      <c r="K2107" s="252">
        <f>SUM(K2104:K2105)</f>
        <v>135.33000000000001</v>
      </c>
    </row>
    <row r="2108" spans="1:11" hidden="1">
      <c r="A2108" s="251"/>
      <c r="K2108" s="358" t="s">
        <v>2046</v>
      </c>
    </row>
    <row r="2109" spans="1:11" hidden="1">
      <c r="A2109" s="251"/>
      <c r="F2109" s="253" t="s">
        <v>1861</v>
      </c>
      <c r="G2109" s="252" t="s">
        <v>2241</v>
      </c>
      <c r="H2109" s="296" t="s">
        <v>51</v>
      </c>
    </row>
    <row r="2110" spans="1:11" hidden="1">
      <c r="A2110" s="251"/>
      <c r="H2110" s="296" t="s">
        <v>56</v>
      </c>
    </row>
    <row r="2111" spans="1:11" hidden="1">
      <c r="A2111" s="251"/>
      <c r="H2111" s="358" t="s">
        <v>1579</v>
      </c>
    </row>
    <row r="2112" spans="1:11" hidden="1">
      <c r="A2112" s="251"/>
      <c r="F2112" s="252">
        <v>1</v>
      </c>
      <c r="G2112" s="252" t="s">
        <v>865</v>
      </c>
      <c r="H2112" s="296" t="s">
        <v>1085</v>
      </c>
      <c r="I2112" s="252">
        <f>C205</f>
        <v>65</v>
      </c>
      <c r="J2112" s="253" t="s">
        <v>865</v>
      </c>
      <c r="K2112" s="252">
        <f>(F2112*I2112)</f>
        <v>65</v>
      </c>
    </row>
    <row r="2113" spans="1:11" hidden="1">
      <c r="A2113" s="251"/>
      <c r="F2113" s="296" t="s">
        <v>971</v>
      </c>
      <c r="H2113" s="296" t="s">
        <v>57</v>
      </c>
    </row>
    <row r="2114" spans="1:11" hidden="1">
      <c r="A2114" s="251"/>
      <c r="F2114" s="296" t="s">
        <v>971</v>
      </c>
      <c r="H2114" s="296" t="s">
        <v>58</v>
      </c>
      <c r="I2114" s="253" t="s">
        <v>446</v>
      </c>
      <c r="K2114" s="252">
        <v>2.5</v>
      </c>
    </row>
    <row r="2115" spans="1:11" hidden="1">
      <c r="A2115" s="251"/>
      <c r="K2115" s="358" t="s">
        <v>1579</v>
      </c>
    </row>
    <row r="2116" spans="1:11" hidden="1">
      <c r="A2116" s="251"/>
      <c r="H2116" s="296" t="s">
        <v>2128</v>
      </c>
      <c r="K2116" s="252">
        <f>SUM(K2112:K2114)</f>
        <v>67.5</v>
      </c>
    </row>
    <row r="2117" spans="1:11" hidden="1">
      <c r="A2117" s="251"/>
      <c r="F2117" s="253" t="s">
        <v>1861</v>
      </c>
      <c r="G2117" s="252" t="s">
        <v>2241</v>
      </c>
      <c r="H2117" s="296" t="s">
        <v>1015</v>
      </c>
      <c r="K2117" s="358" t="s">
        <v>1579</v>
      </c>
    </row>
    <row r="2118" spans="1:11" hidden="1">
      <c r="A2118" s="251"/>
      <c r="H2118" s="296" t="s">
        <v>56</v>
      </c>
    </row>
    <row r="2119" spans="1:11" hidden="1">
      <c r="A2119" s="251"/>
      <c r="H2119" s="358" t="s">
        <v>1579</v>
      </c>
      <c r="K2119" s="358" t="s">
        <v>1579</v>
      </c>
    </row>
    <row r="2120" spans="1:11" hidden="1">
      <c r="A2120" s="251"/>
      <c r="F2120" s="252">
        <v>1</v>
      </c>
      <c r="G2120" s="252" t="s">
        <v>766</v>
      </c>
      <c r="H2120" s="296" t="s">
        <v>1084</v>
      </c>
      <c r="J2120" s="253" t="s">
        <v>1389</v>
      </c>
      <c r="K2120" s="252">
        <v>92.5</v>
      </c>
    </row>
    <row r="2121" spans="1:11" hidden="1">
      <c r="A2121" s="251"/>
      <c r="K2121" s="358" t="s">
        <v>1579</v>
      </c>
    </row>
    <row r="2122" spans="1:11" hidden="1">
      <c r="A2122" s="251"/>
      <c r="F2122" s="253" t="s">
        <v>1259</v>
      </c>
      <c r="G2122" s="252" t="s">
        <v>2241</v>
      </c>
      <c r="H2122" s="296" t="s">
        <v>51</v>
      </c>
    </row>
    <row r="2123" spans="1:11" hidden="1">
      <c r="A2123" s="251"/>
      <c r="H2123" s="296" t="s">
        <v>1266</v>
      </c>
    </row>
    <row r="2124" spans="1:11" hidden="1">
      <c r="A2124" s="251"/>
      <c r="H2124" s="358" t="s">
        <v>1579</v>
      </c>
    </row>
    <row r="2125" spans="1:11" hidden="1">
      <c r="A2125" s="251"/>
      <c r="F2125" s="252">
        <v>1</v>
      </c>
      <c r="G2125" s="252" t="s">
        <v>865</v>
      </c>
      <c r="H2125" s="296" t="s">
        <v>1083</v>
      </c>
      <c r="I2125" s="252">
        <f>C202</f>
        <v>75</v>
      </c>
      <c r="J2125" s="253" t="s">
        <v>865</v>
      </c>
      <c r="K2125" s="252">
        <f>(F2125*I2125)</f>
        <v>75</v>
      </c>
    </row>
    <row r="2126" spans="1:11" hidden="1">
      <c r="A2126" s="251"/>
      <c r="F2126" s="296" t="s">
        <v>971</v>
      </c>
      <c r="H2126" s="296" t="s">
        <v>57</v>
      </c>
    </row>
    <row r="2127" spans="1:11" hidden="1">
      <c r="A2127" s="251"/>
      <c r="F2127" s="296" t="s">
        <v>971</v>
      </c>
      <c r="H2127" s="296" t="s">
        <v>58</v>
      </c>
      <c r="I2127" s="253" t="s">
        <v>446</v>
      </c>
      <c r="K2127" s="252">
        <v>3</v>
      </c>
    </row>
    <row r="2128" spans="1:11" hidden="1">
      <c r="A2128" s="251"/>
      <c r="K2128" s="358" t="s">
        <v>1579</v>
      </c>
    </row>
    <row r="2129" spans="1:11" hidden="1">
      <c r="A2129" s="251"/>
      <c r="H2129" s="296" t="s">
        <v>2128</v>
      </c>
      <c r="K2129" s="252">
        <f>SUM(K2125:K2127)</f>
        <v>78</v>
      </c>
    </row>
    <row r="2130" spans="1:11" hidden="1">
      <c r="A2130" s="251"/>
      <c r="K2130" s="358" t="s">
        <v>1579</v>
      </c>
    </row>
    <row r="2131" spans="1:11" hidden="1">
      <c r="A2131" s="251"/>
    </row>
    <row r="2132" spans="1:11" hidden="1">
      <c r="A2132" s="251"/>
      <c r="F2132" s="253" t="s">
        <v>1796</v>
      </c>
      <c r="G2132" s="252" t="s">
        <v>2241</v>
      </c>
      <c r="H2132" s="296" t="s">
        <v>1015</v>
      </c>
    </row>
    <row r="2133" spans="1:11" hidden="1">
      <c r="A2133" s="251"/>
      <c r="H2133" s="296" t="s">
        <v>1266</v>
      </c>
    </row>
    <row r="2134" spans="1:11" hidden="1">
      <c r="A2134" s="251"/>
      <c r="H2134" s="358" t="s">
        <v>1579</v>
      </c>
    </row>
    <row r="2135" spans="1:11" hidden="1">
      <c r="A2135" s="251"/>
      <c r="F2135" s="252">
        <v>1</v>
      </c>
      <c r="G2135" s="252" t="s">
        <v>865</v>
      </c>
      <c r="H2135" s="296" t="s">
        <v>802</v>
      </c>
      <c r="I2135" s="252">
        <f>C207</f>
        <v>100</v>
      </c>
      <c r="J2135" s="253" t="s">
        <v>865</v>
      </c>
      <c r="K2135" s="252">
        <f>(F2135*I2135)</f>
        <v>100</v>
      </c>
    </row>
    <row r="2136" spans="1:11" hidden="1">
      <c r="A2136" s="251"/>
      <c r="F2136" s="296" t="s">
        <v>971</v>
      </c>
      <c r="H2136" s="296" t="s">
        <v>57</v>
      </c>
    </row>
    <row r="2137" spans="1:11" hidden="1">
      <c r="A2137" s="251"/>
      <c r="F2137" s="296" t="s">
        <v>971</v>
      </c>
      <c r="H2137" s="296" t="s">
        <v>58</v>
      </c>
      <c r="I2137" s="253" t="s">
        <v>446</v>
      </c>
      <c r="K2137" s="252">
        <v>3</v>
      </c>
    </row>
    <row r="2138" spans="1:11" hidden="1">
      <c r="A2138" s="251"/>
      <c r="K2138" s="358" t="s">
        <v>1579</v>
      </c>
    </row>
    <row r="2139" spans="1:11" hidden="1">
      <c r="A2139" s="251"/>
      <c r="H2139" s="296" t="s">
        <v>2128</v>
      </c>
      <c r="K2139" s="252">
        <f>SUM(K2135:K2137)</f>
        <v>103</v>
      </c>
    </row>
    <row r="2140" spans="1:11" hidden="1">
      <c r="A2140" s="251"/>
      <c r="K2140" s="358" t="s">
        <v>1579</v>
      </c>
    </row>
    <row r="2141" spans="1:11" hidden="1">
      <c r="A2141" s="251"/>
      <c r="F2141" s="253" t="s">
        <v>1533</v>
      </c>
      <c r="H2141" s="296" t="s">
        <v>1534</v>
      </c>
    </row>
    <row r="2142" spans="1:11" hidden="1">
      <c r="A2142" s="251"/>
      <c r="H2142" s="296" t="s">
        <v>1066</v>
      </c>
    </row>
    <row r="2143" spans="1:11" hidden="1">
      <c r="A2143" s="251"/>
      <c r="H2143" s="358" t="s">
        <v>1579</v>
      </c>
    </row>
    <row r="2144" spans="1:11" hidden="1">
      <c r="A2144" s="251"/>
      <c r="F2144" s="252">
        <v>2.5</v>
      </c>
      <c r="G2144" s="252" t="s">
        <v>1067</v>
      </c>
      <c r="H2144" s="296" t="s">
        <v>1534</v>
      </c>
      <c r="I2144" s="252">
        <f>C566</f>
        <v>28.5</v>
      </c>
      <c r="J2144" s="253">
        <v>2.5</v>
      </c>
      <c r="K2144" s="252">
        <f>(F2144*I2144)/F2144</f>
        <v>28.5</v>
      </c>
    </row>
    <row r="2145" spans="1:11" hidden="1">
      <c r="A2145" s="251"/>
      <c r="H2145" s="296" t="s">
        <v>1068</v>
      </c>
      <c r="J2145" s="253" t="s">
        <v>1067</v>
      </c>
    </row>
    <row r="2146" spans="1:11" hidden="1">
      <c r="A2146" s="251"/>
      <c r="G2146" s="252" t="s">
        <v>446</v>
      </c>
      <c r="H2146" s="296" t="s">
        <v>1069</v>
      </c>
      <c r="J2146" s="253" t="s">
        <v>446</v>
      </c>
      <c r="K2146" s="252">
        <v>1.5</v>
      </c>
    </row>
    <row r="2147" spans="1:11" hidden="1">
      <c r="A2147" s="251"/>
      <c r="K2147" s="358" t="s">
        <v>1579</v>
      </c>
    </row>
    <row r="2148" spans="1:11" hidden="1">
      <c r="A2148" s="251"/>
      <c r="H2148" s="253" t="s">
        <v>220</v>
      </c>
      <c r="K2148" s="252">
        <f>SUM(K2144:K2146)</f>
        <v>30</v>
      </c>
    </row>
    <row r="2149" spans="1:11" hidden="1">
      <c r="A2149" s="251"/>
      <c r="K2149" s="358" t="s">
        <v>2046</v>
      </c>
    </row>
    <row r="2150" spans="1:11" hidden="1">
      <c r="A2150" s="251"/>
    </row>
    <row r="2151" spans="1:11" hidden="1">
      <c r="A2151" s="251"/>
      <c r="F2151" s="253" t="s">
        <v>1070</v>
      </c>
      <c r="G2151" s="252" t="s">
        <v>2241</v>
      </c>
      <c r="H2151" s="296" t="s">
        <v>270</v>
      </c>
    </row>
    <row r="2152" spans="1:11" hidden="1">
      <c r="A2152" s="251"/>
      <c r="H2152" s="296" t="s">
        <v>62</v>
      </c>
    </row>
    <row r="2153" spans="1:11" hidden="1">
      <c r="A2153" s="251"/>
      <c r="H2153" s="296" t="s">
        <v>367</v>
      </c>
    </row>
    <row r="2154" spans="1:11" hidden="1">
      <c r="A2154" s="251"/>
      <c r="H2154" s="296" t="s">
        <v>348</v>
      </c>
    </row>
    <row r="2155" spans="1:11" hidden="1">
      <c r="A2155" s="251"/>
      <c r="H2155" s="296" t="s">
        <v>429</v>
      </c>
    </row>
    <row r="2156" spans="1:11" hidden="1">
      <c r="A2156" s="251"/>
      <c r="H2156" s="296" t="s">
        <v>1472</v>
      </c>
    </row>
    <row r="2157" spans="1:11" hidden="1">
      <c r="A2157" s="251"/>
      <c r="H2157" s="296" t="s">
        <v>1859</v>
      </c>
    </row>
    <row r="2158" spans="1:11" hidden="1">
      <c r="A2158" s="251"/>
      <c r="H2158" s="296" t="s">
        <v>2193</v>
      </c>
    </row>
    <row r="2159" spans="1:11" hidden="1">
      <c r="A2159" s="251"/>
      <c r="H2159" s="296" t="s">
        <v>563</v>
      </c>
    </row>
    <row r="2160" spans="1:11" hidden="1">
      <c r="A2160" s="251"/>
      <c r="H2160" s="296" t="s">
        <v>1270</v>
      </c>
    </row>
    <row r="2161" spans="1:11" hidden="1">
      <c r="A2161" s="251"/>
      <c r="H2161" s="296" t="s">
        <v>1271</v>
      </c>
    </row>
    <row r="2162" spans="1:11" hidden="1">
      <c r="A2162" s="251"/>
      <c r="H2162" s="296" t="s">
        <v>1272</v>
      </c>
    </row>
    <row r="2163" spans="1:11" hidden="1">
      <c r="A2163" s="251"/>
      <c r="H2163" s="358" t="s">
        <v>1579</v>
      </c>
      <c r="I2163" s="358" t="s">
        <v>1579</v>
      </c>
    </row>
    <row r="2164" spans="1:11" hidden="1">
      <c r="A2164" s="251"/>
      <c r="F2164" s="296" t="s">
        <v>971</v>
      </c>
    </row>
    <row r="2165" spans="1:11" hidden="1">
      <c r="A2165" s="251"/>
      <c r="F2165" s="316">
        <v>1.7399999999999999E-2</v>
      </c>
      <c r="G2165" s="252" t="s">
        <v>2142</v>
      </c>
      <c r="H2165" s="296" t="s">
        <v>1273</v>
      </c>
      <c r="I2165" s="252">
        <f>C86</f>
        <v>20605</v>
      </c>
      <c r="J2165" s="253" t="s">
        <v>2142</v>
      </c>
      <c r="K2165" s="252">
        <f t="shared" ref="K2165:K2172" si="74">F2165*I2165</f>
        <v>358.53</v>
      </c>
    </row>
    <row r="2166" spans="1:11" hidden="1">
      <c r="A2166" s="251"/>
      <c r="F2166" s="316">
        <v>2.93E-2</v>
      </c>
      <c r="G2166" s="252" t="s">
        <v>2142</v>
      </c>
      <c r="H2166" s="296" t="s">
        <v>1274</v>
      </c>
      <c r="I2166" s="252">
        <f>C87</f>
        <v>23685</v>
      </c>
      <c r="J2166" s="253" t="s">
        <v>2142</v>
      </c>
      <c r="K2166" s="252">
        <f t="shared" si="74"/>
        <v>693.97</v>
      </c>
    </row>
    <row r="2167" spans="1:11" hidden="1">
      <c r="A2167" s="251"/>
      <c r="F2167" s="316">
        <v>1.093</v>
      </c>
      <c r="G2167" s="252" t="s">
        <v>2273</v>
      </c>
      <c r="H2167" s="296" t="s">
        <v>1275</v>
      </c>
      <c r="I2167" s="370">
        <f>C198</f>
        <v>212</v>
      </c>
      <c r="J2167" s="253" t="s">
        <v>2273</v>
      </c>
      <c r="K2167" s="252">
        <f t="shared" si="74"/>
        <v>231.72</v>
      </c>
    </row>
    <row r="2168" spans="1:11" hidden="1">
      <c r="A2168" s="251"/>
      <c r="F2168" s="252">
        <v>6</v>
      </c>
      <c r="G2168" s="252" t="s">
        <v>557</v>
      </c>
      <c r="H2168" s="296" t="s">
        <v>2369</v>
      </c>
      <c r="I2168" s="252">
        <f>C296</f>
        <v>3.25</v>
      </c>
      <c r="J2168" s="253" t="s">
        <v>1393</v>
      </c>
      <c r="K2168" s="252">
        <f t="shared" si="74"/>
        <v>19.5</v>
      </c>
    </row>
    <row r="2169" spans="1:11" hidden="1">
      <c r="A2169" s="251"/>
      <c r="F2169" s="252">
        <v>1</v>
      </c>
      <c r="G2169" s="252" t="s">
        <v>557</v>
      </c>
      <c r="H2169" s="296" t="s">
        <v>2324</v>
      </c>
      <c r="I2169" s="252">
        <f>C286</f>
        <v>80</v>
      </c>
      <c r="J2169" s="253" t="s">
        <v>1393</v>
      </c>
      <c r="K2169" s="252">
        <f t="shared" si="74"/>
        <v>80</v>
      </c>
    </row>
    <row r="2170" spans="1:11" hidden="1">
      <c r="A2170" s="251"/>
      <c r="F2170" s="252">
        <v>2</v>
      </c>
      <c r="G2170" s="252" t="s">
        <v>557</v>
      </c>
      <c r="H2170" s="296" t="s">
        <v>1741</v>
      </c>
      <c r="I2170" s="252">
        <f>C307</f>
        <v>0.9</v>
      </c>
      <c r="J2170" s="253" t="s">
        <v>1393</v>
      </c>
      <c r="K2170" s="252">
        <f t="shared" si="74"/>
        <v>1.8</v>
      </c>
    </row>
    <row r="2171" spans="1:11" hidden="1">
      <c r="A2171" s="251"/>
      <c r="F2171" s="252">
        <v>6</v>
      </c>
      <c r="G2171" s="252" t="s">
        <v>557</v>
      </c>
      <c r="H2171" s="296" t="s">
        <v>139</v>
      </c>
      <c r="I2171" s="252">
        <v>8</v>
      </c>
      <c r="J2171" s="253" t="s">
        <v>1393</v>
      </c>
      <c r="K2171" s="252">
        <f t="shared" si="74"/>
        <v>48</v>
      </c>
    </row>
    <row r="2172" spans="1:11" hidden="1">
      <c r="A2172" s="251"/>
      <c r="F2172" s="356">
        <v>1.62</v>
      </c>
      <c r="G2172" s="252" t="s">
        <v>2273</v>
      </c>
      <c r="H2172" s="296" t="s">
        <v>140</v>
      </c>
      <c r="I2172" s="252">
        <f>D33</f>
        <v>240</v>
      </c>
      <c r="J2172" s="253" t="s">
        <v>2273</v>
      </c>
      <c r="K2172" s="252">
        <f t="shared" si="74"/>
        <v>388.8</v>
      </c>
    </row>
    <row r="2173" spans="1:11" hidden="1">
      <c r="A2173" s="251"/>
      <c r="G2173" s="252" t="s">
        <v>446</v>
      </c>
      <c r="H2173" s="296" t="s">
        <v>506</v>
      </c>
      <c r="J2173" s="253" t="s">
        <v>446</v>
      </c>
      <c r="K2173" s="252">
        <v>0.25</v>
      </c>
    </row>
    <row r="2174" spans="1:11" hidden="1">
      <c r="A2174" s="251"/>
      <c r="K2174" s="358" t="s">
        <v>1579</v>
      </c>
    </row>
    <row r="2175" spans="1:11" hidden="1">
      <c r="A2175" s="251"/>
      <c r="H2175" s="253" t="s">
        <v>141</v>
      </c>
      <c r="K2175" s="252">
        <f>SUM(K2165:K2173)</f>
        <v>1822.57</v>
      </c>
    </row>
    <row r="2176" spans="1:11" hidden="1">
      <c r="A2176" s="251"/>
      <c r="K2176" s="358" t="s">
        <v>1579</v>
      </c>
    </row>
    <row r="2177" spans="1:11" hidden="1">
      <c r="A2177" s="251"/>
    </row>
    <row r="2178" spans="1:11" hidden="1">
      <c r="A2178" s="251"/>
      <c r="H2178" s="253" t="s">
        <v>142</v>
      </c>
      <c r="I2178" s="296" t="s">
        <v>971</v>
      </c>
      <c r="K2178" s="252">
        <f>K2175/1.62</f>
        <v>1125.04</v>
      </c>
    </row>
    <row r="2179" spans="1:11" hidden="1">
      <c r="A2179" s="251"/>
      <c r="F2179" s="296" t="s">
        <v>971</v>
      </c>
      <c r="G2179" s="252" t="s">
        <v>971</v>
      </c>
      <c r="H2179" s="296" t="s">
        <v>971</v>
      </c>
      <c r="I2179" s="296" t="s">
        <v>971</v>
      </c>
      <c r="J2179" s="253" t="s">
        <v>971</v>
      </c>
    </row>
    <row r="2180" spans="1:11" hidden="1">
      <c r="A2180" s="251"/>
    </row>
    <row r="2181" spans="1:11" hidden="1">
      <c r="A2181" s="251"/>
      <c r="G2181" s="252" t="s">
        <v>1532</v>
      </c>
      <c r="H2181" s="296" t="s">
        <v>1388</v>
      </c>
    </row>
    <row r="2182" spans="1:11" hidden="1">
      <c r="A2182" s="251"/>
      <c r="H2182" s="296" t="s">
        <v>794</v>
      </c>
    </row>
    <row r="2183" spans="1:11" hidden="1">
      <c r="A2183" s="251"/>
      <c r="F2183" s="296" t="s">
        <v>971</v>
      </c>
      <c r="H2183" s="296" t="s">
        <v>795</v>
      </c>
    </row>
    <row r="2184" spans="1:11" hidden="1">
      <c r="A2184" s="251"/>
      <c r="F2184" s="253" t="s">
        <v>796</v>
      </c>
      <c r="H2184" s="296" t="s">
        <v>2168</v>
      </c>
      <c r="K2184" s="252">
        <f>K2860</f>
        <v>1678.69</v>
      </c>
    </row>
    <row r="2185" spans="1:11" hidden="1">
      <c r="A2185" s="251"/>
      <c r="F2185" s="253" t="s">
        <v>797</v>
      </c>
      <c r="H2185" s="253" t="s">
        <v>771</v>
      </c>
      <c r="K2185" s="252">
        <f>K2884</f>
        <v>1681.79</v>
      </c>
    </row>
    <row r="2186" spans="1:11" hidden="1">
      <c r="A2186" s="251"/>
      <c r="F2186" s="253" t="s">
        <v>798</v>
      </c>
      <c r="H2186" s="296" t="s">
        <v>1263</v>
      </c>
      <c r="K2186" s="252">
        <f>K2899</f>
        <v>1711.44</v>
      </c>
    </row>
    <row r="2187" spans="1:11" hidden="1">
      <c r="A2187" s="251"/>
      <c r="F2187" s="369">
        <v>65</v>
      </c>
      <c r="H2187" s="296" t="s">
        <v>773</v>
      </c>
      <c r="K2187" s="252">
        <f>K2921</f>
        <v>1734.1</v>
      </c>
    </row>
    <row r="2188" spans="1:11" hidden="1">
      <c r="A2188" s="251"/>
      <c r="F2188" s="369">
        <v>66</v>
      </c>
      <c r="H2188" s="296" t="s">
        <v>609</v>
      </c>
      <c r="K2188" s="252">
        <f>K2945</f>
        <v>3158.59</v>
      </c>
    </row>
    <row r="2189" spans="1:11" hidden="1">
      <c r="A2189" s="251"/>
      <c r="F2189" s="369">
        <v>67</v>
      </c>
      <c r="H2189" s="296" t="s">
        <v>567</v>
      </c>
      <c r="K2189" s="252">
        <f>K2977</f>
        <v>864.66</v>
      </c>
    </row>
    <row r="2190" spans="1:11" hidden="1">
      <c r="A2190" s="251"/>
      <c r="F2190" s="369">
        <v>68</v>
      </c>
      <c r="H2190" s="296" t="s">
        <v>835</v>
      </c>
      <c r="K2190" s="252">
        <f>K2965</f>
        <v>1161.3</v>
      </c>
    </row>
    <row r="2191" spans="1:11" hidden="1">
      <c r="A2191" s="251"/>
      <c r="F2191" s="369">
        <v>69</v>
      </c>
      <c r="H2191" s="296" t="s">
        <v>799</v>
      </c>
      <c r="K2191" s="252">
        <f>K2988</f>
        <v>134.47</v>
      </c>
    </row>
    <row r="2192" spans="1:11" hidden="1">
      <c r="A2192" s="251"/>
      <c r="F2192" s="369" t="s">
        <v>800</v>
      </c>
      <c r="H2192" s="296" t="s">
        <v>495</v>
      </c>
      <c r="K2192" s="252">
        <f>K3135</f>
        <v>506.46</v>
      </c>
    </row>
    <row r="2193" spans="1:11" hidden="1">
      <c r="A2193" s="251"/>
      <c r="F2193" s="369" t="s">
        <v>290</v>
      </c>
      <c r="H2193" s="296" t="s">
        <v>2325</v>
      </c>
    </row>
    <row r="2194" spans="1:11" hidden="1">
      <c r="A2194" s="251"/>
      <c r="F2194" s="369" t="s">
        <v>1933</v>
      </c>
      <c r="H2194" s="296" t="s">
        <v>1495</v>
      </c>
      <c r="K2194" s="252">
        <v>10</v>
      </c>
    </row>
    <row r="2195" spans="1:11" hidden="1">
      <c r="A2195" s="251"/>
      <c r="F2195" s="369" t="s">
        <v>1934</v>
      </c>
      <c r="H2195" s="296" t="s">
        <v>579</v>
      </c>
      <c r="K2195" s="252">
        <v>8</v>
      </c>
    </row>
    <row r="2196" spans="1:11" hidden="1">
      <c r="A2196" s="251"/>
      <c r="F2196" s="369">
        <v>71</v>
      </c>
      <c r="H2196" s="296" t="s">
        <v>1152</v>
      </c>
      <c r="K2196" s="252">
        <f>K3154</f>
        <v>819</v>
      </c>
    </row>
    <row r="2197" spans="1:11" hidden="1">
      <c r="A2197" s="251"/>
      <c r="F2197" s="369">
        <v>72</v>
      </c>
      <c r="H2197" s="296" t="s">
        <v>801</v>
      </c>
      <c r="K2197" s="252">
        <v>31</v>
      </c>
    </row>
    <row r="2198" spans="1:11" hidden="1">
      <c r="A2198" s="251"/>
      <c r="F2198" s="369" t="s">
        <v>580</v>
      </c>
      <c r="H2198" s="296" t="s">
        <v>272</v>
      </c>
      <c r="K2198" s="252">
        <f>K3233</f>
        <v>4092.34</v>
      </c>
    </row>
    <row r="2199" spans="1:11" hidden="1">
      <c r="A2199" s="251"/>
      <c r="F2199" s="369" t="s">
        <v>581</v>
      </c>
      <c r="H2199" s="296" t="s">
        <v>582</v>
      </c>
      <c r="K2199" s="252">
        <f>K3221</f>
        <v>3355.34</v>
      </c>
    </row>
    <row r="2200" spans="1:11" hidden="1">
      <c r="A2200" s="251"/>
      <c r="F2200" s="369">
        <v>74</v>
      </c>
      <c r="H2200" s="296" t="s">
        <v>162</v>
      </c>
      <c r="K2200" s="252">
        <f>K3277</f>
        <v>600.79999999999995</v>
      </c>
    </row>
    <row r="2201" spans="1:11" hidden="1">
      <c r="A2201" s="251"/>
      <c r="F2201" s="369" t="s">
        <v>629</v>
      </c>
      <c r="H2201" s="296" t="s">
        <v>1377</v>
      </c>
      <c r="K2201" s="252">
        <f>K3767</f>
        <v>185.9</v>
      </c>
    </row>
    <row r="2202" spans="1:11" hidden="1">
      <c r="A2202" s="251"/>
      <c r="F2202" s="369" t="s">
        <v>630</v>
      </c>
      <c r="H2202" s="296" t="s">
        <v>131</v>
      </c>
      <c r="K2202" s="252">
        <v>0</v>
      </c>
    </row>
    <row r="2203" spans="1:11" hidden="1">
      <c r="A2203" s="251"/>
      <c r="F2203" s="369">
        <v>112</v>
      </c>
      <c r="H2203" s="296" t="s">
        <v>743</v>
      </c>
      <c r="K2203" s="252">
        <f>K3744</f>
        <v>1912.71</v>
      </c>
    </row>
    <row r="2204" spans="1:11" hidden="1">
      <c r="A2204" s="251"/>
      <c r="F2204" s="369">
        <v>76</v>
      </c>
      <c r="H2204" s="296" t="s">
        <v>1922</v>
      </c>
      <c r="K2204" s="252">
        <f>K3294</f>
        <v>24.93</v>
      </c>
    </row>
    <row r="2205" spans="1:11" hidden="1">
      <c r="A2205" s="251"/>
      <c r="F2205" s="369">
        <v>77</v>
      </c>
      <c r="H2205" s="296" t="s">
        <v>2258</v>
      </c>
      <c r="K2205" s="252">
        <f>K3080</f>
        <v>214.21</v>
      </c>
    </row>
    <row r="2206" spans="1:11" ht="31.5" hidden="1">
      <c r="A2206" s="251"/>
      <c r="F2206" s="390">
        <v>77.099999999999994</v>
      </c>
      <c r="H2206" s="389" t="s">
        <v>1799</v>
      </c>
      <c r="K2206" s="269">
        <f>K3105</f>
        <v>249.61</v>
      </c>
    </row>
    <row r="2207" spans="1:11" hidden="1">
      <c r="A2207" s="251"/>
      <c r="F2207" s="375">
        <v>77.2</v>
      </c>
      <c r="H2207" s="296" t="s">
        <v>1800</v>
      </c>
      <c r="K2207" s="252">
        <v>500</v>
      </c>
    </row>
    <row r="2208" spans="1:11" hidden="1">
      <c r="A2208" s="251"/>
      <c r="F2208" s="375">
        <v>77.3</v>
      </c>
      <c r="H2208" s="296" t="s">
        <v>1494</v>
      </c>
      <c r="K2208" s="252">
        <f>K3712</f>
        <v>674.69</v>
      </c>
    </row>
    <row r="2209" spans="1:11" hidden="1">
      <c r="A2209" s="251"/>
      <c r="F2209" s="369">
        <v>78</v>
      </c>
      <c r="H2209" s="296" t="s">
        <v>79</v>
      </c>
      <c r="K2209" s="252">
        <f>K3319</f>
        <v>2630.25</v>
      </c>
    </row>
    <row r="2210" spans="1:11" hidden="1">
      <c r="A2210" s="251"/>
      <c r="F2210" s="369">
        <v>80</v>
      </c>
      <c r="H2210" s="296" t="s">
        <v>2107</v>
      </c>
      <c r="K2210" s="252">
        <f>K3441</f>
        <v>848</v>
      </c>
    </row>
    <row r="2211" spans="1:11" hidden="1">
      <c r="A2211" s="251"/>
      <c r="F2211" s="369">
        <v>81</v>
      </c>
      <c r="H2211" s="296" t="s">
        <v>91</v>
      </c>
      <c r="K2211" s="252">
        <f>K2178</f>
        <v>1125.04</v>
      </c>
    </row>
    <row r="2212" spans="1:11" hidden="1">
      <c r="A2212" s="251"/>
      <c r="F2212" s="369">
        <v>82</v>
      </c>
      <c r="H2212" s="296" t="s">
        <v>1542</v>
      </c>
      <c r="K2212" s="252">
        <f>K3638</f>
        <v>4551.28</v>
      </c>
    </row>
    <row r="2213" spans="1:11" hidden="1">
      <c r="A2213" s="251"/>
      <c r="F2213" s="369">
        <v>87</v>
      </c>
      <c r="H2213" s="296" t="s">
        <v>1754</v>
      </c>
      <c r="K2213" s="252">
        <f>K3458</f>
        <v>653.75</v>
      </c>
    </row>
    <row r="2214" spans="1:11" hidden="1">
      <c r="A2214" s="251"/>
    </row>
    <row r="2215" spans="1:11" hidden="1">
      <c r="A2215" s="251"/>
    </row>
    <row r="2216" spans="1:11" ht="31.5" hidden="1">
      <c r="A2216" s="251"/>
      <c r="F2216" s="441">
        <v>77.400000000000006</v>
      </c>
      <c r="H2216" s="260" t="s">
        <v>1714</v>
      </c>
    </row>
    <row r="2217" spans="1:11" hidden="1">
      <c r="A2217" s="251"/>
      <c r="H2217" s="296" t="s">
        <v>794</v>
      </c>
    </row>
    <row r="2218" spans="1:11" ht="31.5" hidden="1">
      <c r="A2218" s="251"/>
      <c r="F2218" s="252">
        <v>90</v>
      </c>
      <c r="G2218" s="252" t="s">
        <v>369</v>
      </c>
      <c r="H2218" s="268" t="s">
        <v>2204</v>
      </c>
      <c r="I2218" s="252">
        <v>16.95</v>
      </c>
      <c r="J2218" s="253" t="s">
        <v>369</v>
      </c>
      <c r="K2218" s="252">
        <f>I2218*F2218</f>
        <v>1525.5</v>
      </c>
    </row>
    <row r="2219" spans="1:11" hidden="1">
      <c r="A2219" s="251"/>
      <c r="F2219" s="252">
        <v>0.15</v>
      </c>
      <c r="G2219" s="252" t="s">
        <v>525</v>
      </c>
      <c r="H2219" s="252" t="s">
        <v>859</v>
      </c>
      <c r="I2219" s="252">
        <f>AC31</f>
        <v>3800</v>
      </c>
      <c r="J2219" s="253" t="s">
        <v>525</v>
      </c>
      <c r="K2219" s="252">
        <f>I2219*F2219</f>
        <v>570</v>
      </c>
    </row>
    <row r="2220" spans="1:11" hidden="1">
      <c r="A2220" s="251"/>
      <c r="F2220" s="252">
        <v>1</v>
      </c>
      <c r="G2220" s="252" t="s">
        <v>766</v>
      </c>
      <c r="H2220" s="252" t="s">
        <v>368</v>
      </c>
      <c r="I2220" s="252">
        <f>C780</f>
        <v>160</v>
      </c>
      <c r="J2220" s="253" t="s">
        <v>766</v>
      </c>
      <c r="K2220" s="252">
        <f>I2220*F2220</f>
        <v>160</v>
      </c>
    </row>
    <row r="2221" spans="1:11" hidden="1">
      <c r="A2221" s="251"/>
      <c r="F2221" s="252">
        <v>2</v>
      </c>
      <c r="G2221" s="252" t="s">
        <v>766</v>
      </c>
      <c r="H2221" s="252" t="s">
        <v>1704</v>
      </c>
      <c r="I2221" s="252">
        <f>AE10</f>
        <v>135</v>
      </c>
      <c r="J2221" s="253" t="s">
        <v>766</v>
      </c>
      <c r="K2221" s="252">
        <f>I2221*F2221</f>
        <v>270</v>
      </c>
    </row>
    <row r="2222" spans="1:11" hidden="1">
      <c r="A2222" s="251"/>
      <c r="F2222" s="252">
        <v>4</v>
      </c>
      <c r="G2222" s="252" t="s">
        <v>766</v>
      </c>
      <c r="H2222" s="252" t="s">
        <v>1280</v>
      </c>
      <c r="I2222" s="252">
        <f>C781</f>
        <v>110</v>
      </c>
      <c r="J2222" s="253" t="s">
        <v>766</v>
      </c>
      <c r="K2222" s="252">
        <f>I2222*F2222</f>
        <v>440</v>
      </c>
    </row>
    <row r="2223" spans="1:11" hidden="1">
      <c r="A2223" s="251"/>
      <c r="H2223" s="252" t="s">
        <v>370</v>
      </c>
      <c r="K2223" s="252">
        <v>8.5</v>
      </c>
    </row>
    <row r="2224" spans="1:11" hidden="1">
      <c r="A2224" s="251"/>
      <c r="K2224" s="358" t="s">
        <v>1579</v>
      </c>
    </row>
    <row r="2225" spans="1:11" hidden="1">
      <c r="A2225" s="251"/>
      <c r="H2225" s="296" t="s">
        <v>2257</v>
      </c>
      <c r="K2225" s="252">
        <f>SUM(K2218:K2223)</f>
        <v>2974</v>
      </c>
    </row>
    <row r="2226" spans="1:11" hidden="1">
      <c r="A2226" s="251"/>
      <c r="K2226" s="358" t="s">
        <v>1579</v>
      </c>
    </row>
    <row r="2227" spans="1:11" hidden="1">
      <c r="A2227" s="251"/>
      <c r="H2227" s="296" t="s">
        <v>1119</v>
      </c>
      <c r="K2227" s="252">
        <f>(K2225/90)</f>
        <v>33.04</v>
      </c>
    </row>
    <row r="2228" spans="1:11" hidden="1">
      <c r="A2228" s="251"/>
      <c r="K2228" s="358" t="s">
        <v>2046</v>
      </c>
    </row>
    <row r="2229" spans="1:11" hidden="1">
      <c r="A2229" s="251"/>
    </row>
    <row r="2230" spans="1:11" hidden="1">
      <c r="A2230" s="251"/>
      <c r="F2230" s="375">
        <v>78.099999999999994</v>
      </c>
      <c r="H2230" s="296" t="s">
        <v>1553</v>
      </c>
    </row>
    <row r="2231" spans="1:11" hidden="1">
      <c r="A2231" s="251"/>
      <c r="H2231" s="296" t="s">
        <v>794</v>
      </c>
    </row>
    <row r="2232" spans="1:11" hidden="1">
      <c r="A2232" s="251"/>
      <c r="F2232" s="252">
        <v>2.5</v>
      </c>
      <c r="G2232" s="252" t="s">
        <v>766</v>
      </c>
      <c r="H2232" s="252" t="s">
        <v>1554</v>
      </c>
      <c r="I2232" s="252">
        <v>120</v>
      </c>
      <c r="J2232" s="253" t="s">
        <v>766</v>
      </c>
      <c r="K2232" s="252">
        <f t="shared" ref="K2232:K2237" si="75">I2232*F2232</f>
        <v>300</v>
      </c>
    </row>
    <row r="2233" spans="1:11" hidden="1">
      <c r="A2233" s="251"/>
      <c r="F2233" s="252">
        <v>20</v>
      </c>
      <c r="G2233" s="252" t="s">
        <v>356</v>
      </c>
      <c r="H2233" s="252" t="s">
        <v>1555</v>
      </c>
      <c r="I2233" s="252">
        <v>4</v>
      </c>
      <c r="J2233" s="253" t="s">
        <v>356</v>
      </c>
      <c r="K2233" s="252">
        <f t="shared" si="75"/>
        <v>80</v>
      </c>
    </row>
    <row r="2234" spans="1:11" hidden="1">
      <c r="A2234" s="251"/>
      <c r="F2234" s="252">
        <v>9</v>
      </c>
      <c r="G2234" s="252" t="s">
        <v>356</v>
      </c>
      <c r="H2234" s="252" t="s">
        <v>1556</v>
      </c>
      <c r="I2234" s="252">
        <v>4</v>
      </c>
      <c r="J2234" s="253" t="s">
        <v>356</v>
      </c>
      <c r="K2234" s="252">
        <f t="shared" si="75"/>
        <v>36</v>
      </c>
    </row>
    <row r="2235" spans="1:11" hidden="1">
      <c r="A2235" s="251"/>
      <c r="F2235" s="252">
        <v>0.5</v>
      </c>
      <c r="G2235" s="252" t="s">
        <v>356</v>
      </c>
      <c r="H2235" s="252" t="s">
        <v>1278</v>
      </c>
      <c r="I2235" s="252">
        <v>30</v>
      </c>
      <c r="J2235" s="253" t="s">
        <v>356</v>
      </c>
      <c r="K2235" s="252">
        <f t="shared" si="75"/>
        <v>15</v>
      </c>
    </row>
    <row r="2236" spans="1:11" hidden="1">
      <c r="A2236" s="251"/>
      <c r="F2236" s="252">
        <v>0.5</v>
      </c>
      <c r="G2236" s="252" t="s">
        <v>766</v>
      </c>
      <c r="H2236" s="252" t="s">
        <v>1279</v>
      </c>
      <c r="I2236" s="252">
        <f>C780</f>
        <v>160</v>
      </c>
      <c r="J2236" s="253" t="s">
        <v>766</v>
      </c>
      <c r="K2236" s="252">
        <f t="shared" si="75"/>
        <v>80</v>
      </c>
    </row>
    <row r="2237" spans="1:11" hidden="1">
      <c r="A2237" s="251"/>
      <c r="F2237" s="252">
        <v>1</v>
      </c>
      <c r="G2237" s="252" t="s">
        <v>766</v>
      </c>
      <c r="H2237" s="252" t="s">
        <v>1280</v>
      </c>
      <c r="I2237" s="252">
        <f>C781</f>
        <v>110</v>
      </c>
      <c r="J2237" s="253" t="s">
        <v>766</v>
      </c>
      <c r="K2237" s="252">
        <f t="shared" si="75"/>
        <v>110</v>
      </c>
    </row>
    <row r="2238" spans="1:11" ht="31.5" hidden="1">
      <c r="A2238" s="251"/>
      <c r="G2238" s="252" t="s">
        <v>654</v>
      </c>
      <c r="H2238" s="268" t="s">
        <v>1281</v>
      </c>
      <c r="J2238" s="253" t="s">
        <v>654</v>
      </c>
      <c r="K2238" s="252">
        <v>165</v>
      </c>
    </row>
    <row r="2239" spans="1:11" hidden="1">
      <c r="A2239" s="251"/>
      <c r="G2239" s="252" t="s">
        <v>654</v>
      </c>
      <c r="H2239" s="252" t="s">
        <v>1205</v>
      </c>
      <c r="J2239" s="253" t="s">
        <v>654</v>
      </c>
      <c r="K2239" s="252">
        <v>9.5</v>
      </c>
    </row>
    <row r="2240" spans="1:11" hidden="1">
      <c r="A2240" s="251"/>
      <c r="K2240" s="358" t="s">
        <v>1579</v>
      </c>
    </row>
    <row r="2241" spans="1:11" hidden="1">
      <c r="A2241" s="251"/>
      <c r="H2241" s="252" t="s">
        <v>280</v>
      </c>
      <c r="K2241" s="252">
        <f>SUM(K2232:K2239)</f>
        <v>795.5</v>
      </c>
    </row>
    <row r="2242" spans="1:11" hidden="1">
      <c r="A2242" s="251"/>
      <c r="K2242" s="358" t="s">
        <v>1579</v>
      </c>
    </row>
    <row r="2243" spans="1:11" hidden="1">
      <c r="A2243" s="251"/>
    </row>
    <row r="2244" spans="1:11" ht="20.25" hidden="1">
      <c r="A2244" s="251"/>
      <c r="H2244" s="357" t="s">
        <v>2879</v>
      </c>
    </row>
    <row r="2245" spans="1:11" hidden="1">
      <c r="A2245" s="251"/>
      <c r="I2245" s="253"/>
      <c r="J2245" s="252"/>
    </row>
    <row r="2246" spans="1:11" hidden="1">
      <c r="A2246" s="251"/>
      <c r="F2246" s="252">
        <v>53.3</v>
      </c>
      <c r="H2246" s="252" t="s">
        <v>2880</v>
      </c>
      <c r="I2246" s="253"/>
      <c r="J2246" s="252"/>
      <c r="K2246" s="252">
        <v>957</v>
      </c>
    </row>
    <row r="2247" spans="1:11" hidden="1">
      <c r="A2247" s="251"/>
      <c r="I2247" s="253"/>
      <c r="J2247" s="252"/>
    </row>
    <row r="2248" spans="1:11" hidden="1">
      <c r="A2248" s="251"/>
      <c r="F2248" s="407" t="s">
        <v>2881</v>
      </c>
      <c r="H2248" s="430" t="s">
        <v>1990</v>
      </c>
      <c r="I2248" s="253"/>
      <c r="J2248" s="252"/>
    </row>
    <row r="2249" spans="1:11" hidden="1">
      <c r="A2249" s="251"/>
      <c r="H2249" s="268" t="s">
        <v>1579</v>
      </c>
      <c r="I2249" s="268" t="s">
        <v>1579</v>
      </c>
      <c r="J2249" s="268" t="s">
        <v>1579</v>
      </c>
    </row>
    <row r="2250" spans="1:11" hidden="1">
      <c r="A2250" s="251"/>
      <c r="I2250" s="253"/>
      <c r="J2250" s="252"/>
    </row>
    <row r="2251" spans="1:11" hidden="1">
      <c r="A2251" s="251"/>
      <c r="H2251" s="252" t="s">
        <v>1991</v>
      </c>
      <c r="I2251" s="253"/>
      <c r="J2251" s="252"/>
    </row>
    <row r="2252" spans="1:11" hidden="1">
      <c r="A2252" s="251"/>
      <c r="H2252" s="252" t="s">
        <v>1992</v>
      </c>
      <c r="I2252" s="253"/>
      <c r="J2252" s="252"/>
    </row>
    <row r="2253" spans="1:11" hidden="1">
      <c r="A2253" s="251"/>
      <c r="H2253" s="252" t="s">
        <v>451</v>
      </c>
      <c r="I2253" s="253"/>
      <c r="J2253" s="252"/>
    </row>
    <row r="2254" spans="1:11" hidden="1">
      <c r="A2254" s="251"/>
      <c r="H2254" s="252" t="s">
        <v>452</v>
      </c>
      <c r="I2254" s="253"/>
      <c r="J2254" s="252"/>
    </row>
    <row r="2255" spans="1:11" hidden="1">
      <c r="A2255" s="251"/>
      <c r="H2255" s="252" t="s">
        <v>453</v>
      </c>
      <c r="I2255" s="253"/>
      <c r="J2255" s="252"/>
    </row>
    <row r="2256" spans="1:11" hidden="1">
      <c r="A2256" s="251"/>
      <c r="H2256" s="252" t="s">
        <v>2882</v>
      </c>
      <c r="I2256" s="253"/>
      <c r="J2256" s="252" t="s">
        <v>971</v>
      </c>
      <c r="K2256" s="252">
        <v>3.32E-2</v>
      </c>
    </row>
    <row r="2257" spans="1:11" hidden="1">
      <c r="A2257" s="251"/>
      <c r="H2257" s="252" t="s">
        <v>2883</v>
      </c>
      <c r="I2257" s="253"/>
      <c r="J2257" s="252" t="s">
        <v>971</v>
      </c>
      <c r="K2257" s="252" t="s">
        <v>971</v>
      </c>
    </row>
    <row r="2258" spans="1:11" hidden="1">
      <c r="A2258" s="251"/>
      <c r="H2258" s="252" t="s">
        <v>1822</v>
      </c>
      <c r="I2258" s="253"/>
      <c r="J2258" s="252"/>
      <c r="K2258" s="252" t="s">
        <v>971</v>
      </c>
    </row>
    <row r="2259" spans="1:11" hidden="1">
      <c r="A2259" s="251"/>
      <c r="I2259" s="253"/>
      <c r="J2259" s="252"/>
    </row>
    <row r="2260" spans="1:11" hidden="1">
      <c r="A2260" s="251"/>
      <c r="F2260" s="447">
        <v>1.18E-2</v>
      </c>
      <c r="G2260" s="252" t="s">
        <v>866</v>
      </c>
      <c r="H2260" s="252" t="s">
        <v>689</v>
      </c>
      <c r="I2260" s="253">
        <f>I1083</f>
        <v>65420</v>
      </c>
      <c r="J2260" s="252" t="s">
        <v>866</v>
      </c>
      <c r="K2260" s="252">
        <f t="shared" ref="K2260:K2269" si="76">I2260*F2260</f>
        <v>771.96</v>
      </c>
    </row>
    <row r="2261" spans="1:11" hidden="1">
      <c r="A2261" s="251"/>
      <c r="F2261" s="447">
        <v>3.7699999999999997E-2</v>
      </c>
      <c r="G2261" s="252" t="s">
        <v>866</v>
      </c>
      <c r="H2261" s="252" t="s">
        <v>690</v>
      </c>
      <c r="I2261" s="253">
        <f>I1084</f>
        <v>57165</v>
      </c>
      <c r="J2261" s="252" t="s">
        <v>866</v>
      </c>
      <c r="K2261" s="252">
        <f t="shared" si="76"/>
        <v>2155.12</v>
      </c>
    </row>
    <row r="2262" spans="1:11" hidden="1">
      <c r="A2262" s="251"/>
      <c r="F2262" s="447">
        <v>1.8550000000000001E-2</v>
      </c>
      <c r="G2262" s="252" t="s">
        <v>866</v>
      </c>
      <c r="H2262" s="252" t="s">
        <v>883</v>
      </c>
      <c r="I2262" s="253">
        <f>I1085</f>
        <v>3035</v>
      </c>
      <c r="J2262" s="252" t="s">
        <v>866</v>
      </c>
      <c r="K2262" s="252">
        <f t="shared" si="76"/>
        <v>56.3</v>
      </c>
    </row>
    <row r="2263" spans="1:11" hidden="1">
      <c r="A2263" s="251"/>
      <c r="F2263" s="447">
        <v>1.36</v>
      </c>
      <c r="G2263" s="252" t="s">
        <v>606</v>
      </c>
      <c r="H2263" s="252" t="s">
        <v>884</v>
      </c>
      <c r="I2263" s="253">
        <v>385.89</v>
      </c>
      <c r="J2263" s="252" t="s">
        <v>606</v>
      </c>
      <c r="K2263" s="252">
        <f t="shared" si="76"/>
        <v>524.80999999999995</v>
      </c>
    </row>
    <row r="2264" spans="1:11" hidden="1">
      <c r="A2264" s="251"/>
      <c r="F2264" s="447">
        <v>2.0499999999999998</v>
      </c>
      <c r="G2264" s="252" t="s">
        <v>606</v>
      </c>
      <c r="H2264" s="252" t="s">
        <v>1499</v>
      </c>
      <c r="I2264" s="253">
        <f>I1087</f>
        <v>287</v>
      </c>
      <c r="J2264" s="252" t="s">
        <v>606</v>
      </c>
      <c r="K2264" s="252">
        <f t="shared" si="76"/>
        <v>588.35</v>
      </c>
    </row>
    <row r="2265" spans="1:11" hidden="1">
      <c r="A2265" s="251"/>
      <c r="F2265" s="252">
        <v>2</v>
      </c>
      <c r="G2265" s="252" t="s">
        <v>865</v>
      </c>
      <c r="H2265" s="252" t="s">
        <v>1384</v>
      </c>
      <c r="I2265" s="253">
        <v>25</v>
      </c>
      <c r="J2265" s="252" t="s">
        <v>865</v>
      </c>
      <c r="K2265" s="252">
        <f t="shared" si="76"/>
        <v>50</v>
      </c>
    </row>
    <row r="2266" spans="1:11" hidden="1">
      <c r="A2266" s="251"/>
      <c r="F2266" s="252">
        <v>6</v>
      </c>
      <c r="G2266" s="252" t="s">
        <v>865</v>
      </c>
      <c r="H2266" s="252" t="s">
        <v>1338</v>
      </c>
      <c r="I2266" s="253">
        <v>25</v>
      </c>
      <c r="J2266" s="252" t="s">
        <v>865</v>
      </c>
      <c r="K2266" s="252">
        <f t="shared" si="76"/>
        <v>150</v>
      </c>
    </row>
    <row r="2267" spans="1:11" hidden="1">
      <c r="A2267" s="251"/>
      <c r="F2267" s="252">
        <v>2</v>
      </c>
      <c r="G2267" s="252" t="s">
        <v>865</v>
      </c>
      <c r="H2267" s="252" t="s">
        <v>2414</v>
      </c>
      <c r="I2267" s="253">
        <v>35</v>
      </c>
      <c r="J2267" s="252" t="s">
        <v>865</v>
      </c>
      <c r="K2267" s="252">
        <f t="shared" si="76"/>
        <v>70</v>
      </c>
    </row>
    <row r="2268" spans="1:11" hidden="1">
      <c r="A2268" s="251"/>
      <c r="F2268" s="252">
        <v>1</v>
      </c>
      <c r="G2268" s="252" t="s">
        <v>865</v>
      </c>
      <c r="H2268" s="252" t="s">
        <v>1412</v>
      </c>
      <c r="I2268" s="253">
        <v>60</v>
      </c>
      <c r="J2268" s="252" t="s">
        <v>865</v>
      </c>
      <c r="K2268" s="252">
        <f t="shared" si="76"/>
        <v>60</v>
      </c>
    </row>
    <row r="2269" spans="1:11" hidden="1">
      <c r="A2269" s="251"/>
      <c r="F2269" s="447">
        <v>2.52</v>
      </c>
      <c r="G2269" s="252" t="s">
        <v>606</v>
      </c>
      <c r="H2269" s="252" t="s">
        <v>1705</v>
      </c>
      <c r="I2269" s="253">
        <f>K1122</f>
        <v>51.25</v>
      </c>
      <c r="J2269" s="252" t="s">
        <v>606</v>
      </c>
      <c r="K2269" s="252">
        <f t="shared" si="76"/>
        <v>129.15</v>
      </c>
    </row>
    <row r="2270" spans="1:11" hidden="1">
      <c r="A2270" s="251"/>
      <c r="H2270" s="252" t="s">
        <v>1409</v>
      </c>
      <c r="I2270" s="253" t="s">
        <v>446</v>
      </c>
      <c r="J2270" s="252"/>
      <c r="K2270" s="252">
        <v>0.28000000000000003</v>
      </c>
    </row>
    <row r="2271" spans="1:11" hidden="1">
      <c r="A2271" s="251"/>
      <c r="I2271" s="253"/>
      <c r="J2271" s="252"/>
      <c r="K2271" s="358" t="s">
        <v>1579</v>
      </c>
    </row>
    <row r="2272" spans="1:11" hidden="1">
      <c r="A2272" s="251"/>
      <c r="H2272" s="252" t="s">
        <v>1410</v>
      </c>
      <c r="I2272" s="253"/>
      <c r="J2272" s="252"/>
      <c r="K2272" s="252">
        <f>SUM(K2260:K2271)</f>
        <v>4555.97</v>
      </c>
    </row>
    <row r="2273" spans="1:11" hidden="1">
      <c r="A2273" s="251"/>
      <c r="G2273" s="252" t="s">
        <v>971</v>
      </c>
      <c r="I2273" s="253"/>
      <c r="J2273" s="252"/>
      <c r="K2273" s="358" t="s">
        <v>1579</v>
      </c>
    </row>
    <row r="2274" spans="1:11" hidden="1">
      <c r="A2274" s="251"/>
      <c r="H2274" s="252" t="s">
        <v>549</v>
      </c>
      <c r="I2274" s="253"/>
      <c r="J2274" s="252"/>
      <c r="K2274" s="252">
        <f>K2272/F2269</f>
        <v>1807.92</v>
      </c>
    </row>
    <row r="2275" spans="1:11" hidden="1">
      <c r="A2275" s="251"/>
      <c r="I2275" s="253"/>
      <c r="J2275" s="252"/>
    </row>
    <row r="2276" spans="1:11" hidden="1">
      <c r="A2276" s="251"/>
    </row>
    <row r="2277" spans="1:11" hidden="1">
      <c r="A2277" s="251"/>
    </row>
    <row r="2278" spans="1:11" ht="31.5" hidden="1">
      <c r="A2278" s="251"/>
      <c r="H2278" s="268" t="s">
        <v>3432</v>
      </c>
      <c r="J2278" s="253" t="s">
        <v>1393</v>
      </c>
      <c r="K2278" s="252">
        <v>600</v>
      </c>
    </row>
    <row r="2279" spans="1:11" hidden="1">
      <c r="A2279" s="251"/>
    </row>
    <row r="2280" spans="1:11" hidden="1">
      <c r="A2280" s="251"/>
    </row>
    <row r="2281" spans="1:11" hidden="1">
      <c r="A2281" s="251"/>
      <c r="H2281" s="268" t="s">
        <v>2399</v>
      </c>
      <c r="J2281" s="253" t="s">
        <v>1393</v>
      </c>
      <c r="K2281" s="252">
        <v>300</v>
      </c>
    </row>
    <row r="2282" spans="1:11" hidden="1">
      <c r="A2282" s="251"/>
    </row>
    <row r="2283" spans="1:11" hidden="1">
      <c r="A2283" s="251"/>
    </row>
    <row r="2284" spans="1:11" hidden="1">
      <c r="A2284" s="251"/>
    </row>
    <row r="2285" spans="1:11" hidden="1">
      <c r="A2285" s="251"/>
      <c r="H2285" s="268" t="s">
        <v>2400</v>
      </c>
      <c r="J2285" s="253" t="s">
        <v>1393</v>
      </c>
      <c r="K2285" s="252">
        <v>260</v>
      </c>
    </row>
    <row r="2286" spans="1:11" hidden="1">
      <c r="A2286" s="251"/>
    </row>
    <row r="2287" spans="1:11" hidden="1">
      <c r="A2287" s="251"/>
    </row>
    <row r="2288" spans="1:11" hidden="1">
      <c r="A2288" s="251"/>
    </row>
    <row r="2289" spans="1:11" hidden="1">
      <c r="A2289" s="251"/>
      <c r="H2289" s="268" t="s">
        <v>2401</v>
      </c>
      <c r="J2289" s="253" t="s">
        <v>1393</v>
      </c>
      <c r="K2289" s="252">
        <v>650</v>
      </c>
    </row>
    <row r="2290" spans="1:11" hidden="1">
      <c r="A2290" s="251"/>
    </row>
    <row r="2291" spans="1:11" hidden="1">
      <c r="A2291" s="251"/>
    </row>
    <row r="2292" spans="1:11" hidden="1">
      <c r="A2292" s="251"/>
      <c r="H2292" s="252" t="s">
        <v>3388</v>
      </c>
      <c r="J2292" s="253" t="s">
        <v>1393</v>
      </c>
      <c r="K2292" s="252">
        <v>436</v>
      </c>
    </row>
    <row r="2293" spans="1:11" hidden="1">
      <c r="A2293" s="251"/>
    </row>
    <row r="2294" spans="1:11" hidden="1">
      <c r="A2294" s="251"/>
    </row>
    <row r="2295" spans="1:11" hidden="1">
      <c r="A2295" s="251"/>
      <c r="H2295" s="252" t="s">
        <v>3389</v>
      </c>
      <c r="J2295" s="253" t="s">
        <v>1393</v>
      </c>
      <c r="K2295" s="252">
        <v>518</v>
      </c>
    </row>
    <row r="2296" spans="1:11" hidden="1">
      <c r="A2296" s="251"/>
    </row>
    <row r="2297" spans="1:11" hidden="1">
      <c r="A2297" s="251"/>
    </row>
    <row r="2298" spans="1:11" hidden="1">
      <c r="A2298" s="251"/>
    </row>
    <row r="2299" spans="1:11" ht="31.5" hidden="1">
      <c r="A2299" s="251"/>
      <c r="H2299" s="268" t="s">
        <v>3390</v>
      </c>
    </row>
    <row r="2300" spans="1:11" hidden="1">
      <c r="A2300" s="251"/>
    </row>
    <row r="2301" spans="1:11" hidden="1">
      <c r="A2301" s="251"/>
      <c r="H2301" s="252" t="s">
        <v>3391</v>
      </c>
    </row>
    <row r="2302" spans="1:11" hidden="1">
      <c r="A2302" s="251"/>
      <c r="H2302" s="252" t="s">
        <v>3392</v>
      </c>
    </row>
    <row r="2303" spans="1:11" hidden="1">
      <c r="A2303" s="251"/>
    </row>
    <row r="2304" spans="1:11" hidden="1">
      <c r="A2304" s="251"/>
    </row>
    <row r="2305" spans="1:11" hidden="1">
      <c r="A2305" s="251"/>
    </row>
    <row r="2306" spans="1:11" hidden="1">
      <c r="A2306" s="251"/>
      <c r="F2306" s="252">
        <v>1.96</v>
      </c>
      <c r="G2306" s="252" t="s">
        <v>2142</v>
      </c>
      <c r="H2306" s="252" t="s">
        <v>3393</v>
      </c>
      <c r="I2306" s="252" t="e">
        <f>K1644</f>
        <v>#REF!</v>
      </c>
      <c r="J2306" s="253" t="s">
        <v>2142</v>
      </c>
      <c r="K2306" s="252" t="e">
        <f t="shared" ref="K2306:K2311" si="77">I2306*F2306</f>
        <v>#REF!</v>
      </c>
    </row>
    <row r="2307" spans="1:11" hidden="1">
      <c r="A2307" s="251"/>
      <c r="F2307" s="252">
        <v>2</v>
      </c>
      <c r="G2307" s="252" t="s">
        <v>1389</v>
      </c>
      <c r="H2307" s="252" t="s">
        <v>3394</v>
      </c>
      <c r="I2307" s="252">
        <f>C10</f>
        <v>150</v>
      </c>
      <c r="J2307" s="253" t="s">
        <v>1389</v>
      </c>
      <c r="K2307" s="252">
        <f t="shared" si="77"/>
        <v>300</v>
      </c>
    </row>
    <row r="2308" spans="1:11" hidden="1">
      <c r="A2308" s="251"/>
      <c r="F2308" s="252">
        <v>2</v>
      </c>
      <c r="G2308" s="252" t="s">
        <v>1389</v>
      </c>
      <c r="H2308" s="252" t="s">
        <v>3395</v>
      </c>
      <c r="I2308" s="252">
        <f>C13</f>
        <v>85</v>
      </c>
      <c r="J2308" s="253" t="s">
        <v>1389</v>
      </c>
      <c r="K2308" s="252">
        <f t="shared" si="77"/>
        <v>170</v>
      </c>
    </row>
    <row r="2309" spans="1:11" hidden="1">
      <c r="A2309" s="251"/>
      <c r="F2309" s="252">
        <v>500</v>
      </c>
      <c r="G2309" s="252" t="s">
        <v>1389</v>
      </c>
      <c r="H2309" s="252" t="s">
        <v>3396</v>
      </c>
      <c r="I2309" s="252">
        <v>2</v>
      </c>
      <c r="J2309" s="253" t="s">
        <v>1389</v>
      </c>
      <c r="K2309" s="252">
        <f t="shared" si="77"/>
        <v>1000</v>
      </c>
    </row>
    <row r="2310" spans="1:11" hidden="1">
      <c r="A2310" s="251"/>
      <c r="F2310" s="252">
        <v>8.5</v>
      </c>
      <c r="G2310" s="252" t="s">
        <v>2138</v>
      </c>
      <c r="H2310" s="252" t="s">
        <v>3397</v>
      </c>
      <c r="I2310" s="252">
        <v>25</v>
      </c>
      <c r="J2310" s="253" t="s">
        <v>2138</v>
      </c>
      <c r="K2310" s="252">
        <f t="shared" si="77"/>
        <v>212.5</v>
      </c>
    </row>
    <row r="2311" spans="1:11" hidden="1">
      <c r="A2311" s="251"/>
      <c r="F2311" s="252">
        <v>0.28000000000000003</v>
      </c>
      <c r="G2311" s="252" t="s">
        <v>2273</v>
      </c>
      <c r="H2311" s="252" t="s">
        <v>3398</v>
      </c>
      <c r="I2311" s="252">
        <f>K2448</f>
        <v>168.13</v>
      </c>
      <c r="J2311" s="253" t="s">
        <v>2273</v>
      </c>
      <c r="K2311" s="252">
        <f t="shared" si="77"/>
        <v>47.08</v>
      </c>
    </row>
    <row r="2312" spans="1:11" hidden="1">
      <c r="A2312" s="251"/>
      <c r="K2312" s="252" t="s">
        <v>3399</v>
      </c>
    </row>
    <row r="2313" spans="1:11" hidden="1">
      <c r="A2313" s="251"/>
      <c r="I2313" s="252" t="s">
        <v>3400</v>
      </c>
      <c r="J2313" s="253">
        <v>39.200000000000003</v>
      </c>
      <c r="K2313" s="252" t="e">
        <f>SUM(K2306:K2312)</f>
        <v>#REF!</v>
      </c>
    </row>
    <row r="2314" spans="1:11" hidden="1">
      <c r="A2314" s="251"/>
      <c r="K2314" s="252" t="s">
        <v>3401</v>
      </c>
    </row>
    <row r="2315" spans="1:11" hidden="1">
      <c r="A2315" s="251"/>
    </row>
    <row r="2316" spans="1:11" hidden="1">
      <c r="A2316" s="251"/>
      <c r="I2316" s="252" t="s">
        <v>3402</v>
      </c>
      <c r="K2316" s="274" t="e">
        <f>K2313/J2313</f>
        <v>#REF!</v>
      </c>
    </row>
    <row r="2317" spans="1:11" hidden="1">
      <c r="A2317" s="251"/>
      <c r="K2317" s="358" t="s">
        <v>2046</v>
      </c>
    </row>
    <row r="2318" spans="1:11" hidden="1">
      <c r="A2318" s="251"/>
    </row>
    <row r="2319" spans="1:11" ht="31.5" hidden="1">
      <c r="A2319" s="251"/>
      <c r="H2319" s="268" t="s">
        <v>3403</v>
      </c>
    </row>
    <row r="2320" spans="1:11" hidden="1">
      <c r="A2320" s="251"/>
    </row>
    <row r="2321" spans="1:11" hidden="1">
      <c r="A2321" s="251"/>
      <c r="F2321" s="252">
        <v>4</v>
      </c>
      <c r="G2321" s="252" t="s">
        <v>823</v>
      </c>
      <c r="H2321" s="252" t="s">
        <v>3433</v>
      </c>
      <c r="I2321" s="252">
        <v>110</v>
      </c>
      <c r="J2321" s="253" t="s">
        <v>823</v>
      </c>
      <c r="K2321" s="252">
        <f t="shared" ref="K2321:K2328" si="78">I2321*F2321</f>
        <v>440</v>
      </c>
    </row>
    <row r="2322" spans="1:11" hidden="1">
      <c r="A2322" s="251"/>
      <c r="F2322" s="252">
        <v>2.52</v>
      </c>
      <c r="G2322" s="252" t="s">
        <v>1637</v>
      </c>
      <c r="H2322" s="252" t="s">
        <v>2760</v>
      </c>
      <c r="I2322" s="252">
        <v>30</v>
      </c>
      <c r="J2322" s="253" t="s">
        <v>1637</v>
      </c>
      <c r="K2322" s="252">
        <f t="shared" si="78"/>
        <v>75.599999999999994</v>
      </c>
    </row>
    <row r="2323" spans="1:11" hidden="1">
      <c r="A2323" s="251"/>
      <c r="F2323" s="252">
        <v>1.1299999999999999</v>
      </c>
      <c r="G2323" s="252" t="s">
        <v>1637</v>
      </c>
      <c r="H2323" s="252" t="s">
        <v>2761</v>
      </c>
      <c r="I2323" s="252">
        <v>30</v>
      </c>
      <c r="J2323" s="253" t="s">
        <v>1637</v>
      </c>
      <c r="K2323" s="252">
        <f t="shared" si="78"/>
        <v>33.9</v>
      </c>
    </row>
    <row r="2324" spans="1:11" hidden="1">
      <c r="A2324" s="251"/>
      <c r="F2324" s="252">
        <v>0.35</v>
      </c>
      <c r="G2324" s="252" t="s">
        <v>1637</v>
      </c>
      <c r="H2324" s="252" t="s">
        <v>2762</v>
      </c>
      <c r="I2324" s="252">
        <v>30</v>
      </c>
      <c r="J2324" s="253" t="s">
        <v>1637</v>
      </c>
      <c r="K2324" s="252">
        <f t="shared" si="78"/>
        <v>10.5</v>
      </c>
    </row>
    <row r="2325" spans="1:11" hidden="1">
      <c r="A2325" s="251"/>
      <c r="F2325" s="252">
        <v>4</v>
      </c>
      <c r="G2325" s="252" t="s">
        <v>1637</v>
      </c>
      <c r="H2325" s="252" t="s">
        <v>106</v>
      </c>
      <c r="I2325" s="252">
        <v>12.25</v>
      </c>
      <c r="J2325" s="253" t="s">
        <v>1637</v>
      </c>
      <c r="K2325" s="252">
        <f t="shared" si="78"/>
        <v>49</v>
      </c>
    </row>
    <row r="2326" spans="1:11" hidden="1">
      <c r="A2326" s="251"/>
      <c r="F2326" s="252">
        <v>6</v>
      </c>
      <c r="G2326" s="252" t="s">
        <v>1427</v>
      </c>
      <c r="H2326" s="252" t="s">
        <v>2763</v>
      </c>
      <c r="I2326" s="252">
        <v>1</v>
      </c>
      <c r="J2326" s="253" t="s">
        <v>1393</v>
      </c>
      <c r="K2326" s="252">
        <f t="shared" si="78"/>
        <v>6</v>
      </c>
    </row>
    <row r="2327" spans="1:11" hidden="1">
      <c r="A2327" s="251"/>
      <c r="F2327" s="252">
        <v>0.5</v>
      </c>
      <c r="G2327" s="252" t="s">
        <v>1427</v>
      </c>
      <c r="H2327" s="252" t="s">
        <v>2764</v>
      </c>
      <c r="I2327" s="252">
        <f>C12</f>
        <v>95</v>
      </c>
      <c r="J2327" s="253" t="s">
        <v>1393</v>
      </c>
      <c r="K2327" s="252">
        <f t="shared" si="78"/>
        <v>47.5</v>
      </c>
    </row>
    <row r="2328" spans="1:11" hidden="1">
      <c r="A2328" s="251"/>
      <c r="F2328" s="252">
        <v>0.5</v>
      </c>
      <c r="G2328" s="252" t="s">
        <v>1427</v>
      </c>
      <c r="H2328" s="252" t="s">
        <v>2765</v>
      </c>
      <c r="I2328" s="252">
        <f>C13</f>
        <v>85</v>
      </c>
      <c r="J2328" s="253" t="s">
        <v>1393</v>
      </c>
      <c r="K2328" s="252">
        <f t="shared" si="78"/>
        <v>42.5</v>
      </c>
    </row>
    <row r="2329" spans="1:11" hidden="1">
      <c r="A2329" s="251"/>
      <c r="F2329" s="407" t="s">
        <v>446</v>
      </c>
      <c r="H2329" s="252" t="s">
        <v>2766</v>
      </c>
      <c r="J2329" s="253" t="s">
        <v>446</v>
      </c>
      <c r="K2329" s="252">
        <v>19.22</v>
      </c>
    </row>
    <row r="2330" spans="1:11" hidden="1">
      <c r="A2330" s="251"/>
    </row>
    <row r="2331" spans="1:11" hidden="1">
      <c r="A2331" s="251"/>
      <c r="K2331" s="252" t="s">
        <v>2767</v>
      </c>
    </row>
    <row r="2332" spans="1:11" hidden="1">
      <c r="A2332" s="251"/>
      <c r="I2332" s="252" t="s">
        <v>2768</v>
      </c>
      <c r="J2332" s="253" t="s">
        <v>2769</v>
      </c>
      <c r="K2332" s="252">
        <f>SUM(K2321:K2331)</f>
        <v>724.22</v>
      </c>
    </row>
    <row r="2333" spans="1:11" hidden="1">
      <c r="A2333" s="251"/>
      <c r="I2333" s="252">
        <v>2</v>
      </c>
      <c r="J2333" s="296" t="s">
        <v>1427</v>
      </c>
      <c r="K2333" s="252" t="s">
        <v>3401</v>
      </c>
    </row>
    <row r="2334" spans="1:11" hidden="1">
      <c r="A2334" s="251"/>
      <c r="I2334" s="268"/>
    </row>
    <row r="2335" spans="1:11" hidden="1">
      <c r="A2335" s="251"/>
    </row>
    <row r="2336" spans="1:11" hidden="1">
      <c r="A2336" s="251"/>
      <c r="I2336" s="252" t="s">
        <v>2770</v>
      </c>
      <c r="K2336" s="274">
        <f>K2332/I2333</f>
        <v>362.11</v>
      </c>
    </row>
    <row r="2337" spans="1:12" hidden="1">
      <c r="A2337" s="251"/>
      <c r="K2337" s="358" t="s">
        <v>2046</v>
      </c>
    </row>
    <row r="2338" spans="1:12" hidden="1">
      <c r="A2338" s="251"/>
    </row>
    <row r="2339" spans="1:12" ht="18" hidden="1">
      <c r="A2339" s="251"/>
      <c r="F2339" s="663"/>
      <c r="G2339" s="663"/>
      <c r="H2339" s="663"/>
      <c r="I2339" s="663"/>
      <c r="J2339" s="663"/>
      <c r="K2339" s="663"/>
      <c r="L2339" s="663"/>
    </row>
    <row r="2340" spans="1:12" hidden="1">
      <c r="A2340" s="251"/>
      <c r="J2340" s="252"/>
    </row>
    <row r="2341" spans="1:12" ht="18" hidden="1">
      <c r="A2341" s="251"/>
      <c r="E2341" s="1246" t="s">
        <v>2771</v>
      </c>
      <c r="F2341" s="1246"/>
      <c r="G2341" s="1246"/>
      <c r="H2341" s="1246"/>
      <c r="I2341" s="1246"/>
      <c r="J2341" s="1246"/>
      <c r="K2341" s="1246"/>
      <c r="L2341" s="664"/>
    </row>
    <row r="2342" spans="1:12" ht="18" hidden="1">
      <c r="A2342" s="251"/>
      <c r="J2342" s="252"/>
      <c r="L2342" s="665"/>
    </row>
    <row r="2343" spans="1:12" ht="18" hidden="1">
      <c r="A2343" s="251"/>
      <c r="E2343" s="522"/>
      <c r="F2343" s="664" t="s">
        <v>1034</v>
      </c>
      <c r="G2343" s="663"/>
      <c r="H2343" s="310" t="s">
        <v>1769</v>
      </c>
      <c r="I2343" s="664" t="s">
        <v>97</v>
      </c>
      <c r="J2343" s="310" t="s">
        <v>2772</v>
      </c>
      <c r="K2343" s="664" t="s">
        <v>970</v>
      </c>
      <c r="L2343" s="666"/>
    </row>
    <row r="2344" spans="1:12" ht="18" hidden="1">
      <c r="A2344" s="251"/>
      <c r="E2344" s="667">
        <v>18.100000000000001</v>
      </c>
      <c r="F2344" s="668" t="s">
        <v>2773</v>
      </c>
      <c r="H2344" s="669" t="s">
        <v>5740</v>
      </c>
      <c r="I2344" s="665"/>
      <c r="J2344" s="665"/>
      <c r="K2344" s="665"/>
      <c r="L2344" s="666"/>
    </row>
    <row r="2345" spans="1:12" ht="18" hidden="1">
      <c r="A2345" s="251"/>
      <c r="E2345" s="522"/>
      <c r="F2345" s="666"/>
      <c r="G2345" s="522"/>
      <c r="H2345" s="670" t="s">
        <v>2774</v>
      </c>
      <c r="I2345" s="666"/>
      <c r="J2345" s="522"/>
      <c r="K2345" s="666"/>
      <c r="L2345" s="666"/>
    </row>
    <row r="2346" spans="1:12" ht="20.25" hidden="1">
      <c r="A2346" s="251"/>
      <c r="E2346" s="522"/>
      <c r="F2346" s="666"/>
      <c r="G2346" s="522"/>
      <c r="H2346" s="670" t="s">
        <v>5741</v>
      </c>
      <c r="I2346" s="666"/>
      <c r="J2346" s="522"/>
      <c r="K2346" s="666"/>
      <c r="L2346" s="666"/>
    </row>
    <row r="2347" spans="1:12" ht="20.25" hidden="1">
      <c r="A2347" s="251"/>
      <c r="E2347" s="522"/>
      <c r="F2347" s="666"/>
      <c r="G2347" s="522"/>
      <c r="H2347" s="670" t="s">
        <v>5742</v>
      </c>
      <c r="I2347" s="666"/>
      <c r="J2347" s="522"/>
      <c r="K2347" s="666"/>
      <c r="L2347" s="666"/>
    </row>
    <row r="2348" spans="1:12" ht="18" hidden="1">
      <c r="A2348" s="251"/>
      <c r="E2348" s="522"/>
      <c r="F2348" s="666"/>
      <c r="G2348" s="522"/>
      <c r="H2348" s="670" t="s">
        <v>2775</v>
      </c>
      <c r="I2348" s="666"/>
      <c r="J2348" s="522"/>
      <c r="K2348" s="666"/>
      <c r="L2348" s="666"/>
    </row>
    <row r="2349" spans="1:12" ht="38.25" hidden="1">
      <c r="A2349" s="251"/>
      <c r="E2349" s="522"/>
      <c r="F2349" s="666"/>
      <c r="G2349" s="522"/>
      <c r="H2349" s="670" t="s">
        <v>5743</v>
      </c>
      <c r="I2349" s="666"/>
      <c r="J2349" s="522"/>
      <c r="K2349" s="666"/>
      <c r="L2349" s="666"/>
    </row>
    <row r="2350" spans="1:12" ht="72" hidden="1">
      <c r="A2350" s="251"/>
      <c r="E2350" s="522"/>
      <c r="F2350" s="666"/>
      <c r="G2350" s="522"/>
      <c r="H2350" s="670" t="s">
        <v>2776</v>
      </c>
      <c r="I2350" s="666"/>
      <c r="J2350" s="522"/>
      <c r="K2350" s="666"/>
      <c r="L2350" s="666"/>
    </row>
    <row r="2351" spans="1:12" ht="36" hidden="1">
      <c r="A2351" s="251"/>
      <c r="E2351" s="522"/>
      <c r="F2351" s="666"/>
      <c r="G2351" s="522"/>
      <c r="H2351" s="670" t="s">
        <v>2777</v>
      </c>
      <c r="I2351" s="666"/>
      <c r="J2351" s="522"/>
      <c r="K2351" s="666"/>
      <c r="L2351" s="666"/>
    </row>
    <row r="2352" spans="1:12" ht="38.25" hidden="1">
      <c r="A2352" s="251"/>
      <c r="E2352" s="522"/>
      <c r="F2352" s="666"/>
      <c r="G2352" s="522"/>
      <c r="H2352" s="670" t="s">
        <v>5744</v>
      </c>
      <c r="I2352" s="666"/>
      <c r="J2352" s="522"/>
      <c r="K2352" s="666"/>
      <c r="L2352" s="666"/>
    </row>
    <row r="2353" spans="1:12" ht="18" hidden="1">
      <c r="A2353" s="251"/>
      <c r="E2353" s="522"/>
      <c r="F2353" s="666"/>
      <c r="G2353" s="522"/>
      <c r="H2353" s="522"/>
      <c r="I2353" s="666"/>
      <c r="J2353" s="522"/>
      <c r="K2353" s="666"/>
      <c r="L2353" s="666"/>
    </row>
    <row r="2354" spans="1:12" ht="20.25" hidden="1">
      <c r="A2354" s="251"/>
      <c r="E2354" s="522"/>
      <c r="F2354" s="671">
        <v>62</v>
      </c>
      <c r="G2354" s="672" t="s">
        <v>5745</v>
      </c>
      <c r="H2354" s="673" t="s">
        <v>3180</v>
      </c>
      <c r="I2354" s="671">
        <f>K2378</f>
        <v>217.41</v>
      </c>
      <c r="J2354" s="672" t="s">
        <v>5745</v>
      </c>
      <c r="K2354" s="666">
        <f>I2354*F2354</f>
        <v>13479.42</v>
      </c>
      <c r="L2354" s="666"/>
    </row>
    <row r="2355" spans="1:12" ht="20.25" hidden="1">
      <c r="A2355" s="251"/>
      <c r="E2355" s="522"/>
      <c r="F2355" s="671">
        <v>121.64</v>
      </c>
      <c r="G2355" s="672" t="s">
        <v>5745</v>
      </c>
      <c r="H2355" s="673" t="s">
        <v>3181</v>
      </c>
      <c r="I2355" s="671">
        <f>I2383</f>
        <v>168.13</v>
      </c>
      <c r="J2355" s="672" t="s">
        <v>5746</v>
      </c>
      <c r="K2355" s="666">
        <f>I2355*F2355</f>
        <v>20451.330000000002</v>
      </c>
      <c r="L2355" s="674"/>
    </row>
    <row r="2356" spans="1:12" ht="20.25" hidden="1">
      <c r="A2356" s="251"/>
      <c r="E2356" s="522"/>
      <c r="F2356" s="666"/>
      <c r="G2356" s="522"/>
      <c r="H2356" s="673" t="s">
        <v>5747</v>
      </c>
      <c r="I2356" s="666"/>
      <c r="J2356" s="522"/>
      <c r="K2356" s="666">
        <f>SUM(K2354:K2355)</f>
        <v>33930.75</v>
      </c>
      <c r="L2356" s="675"/>
    </row>
    <row r="2357" spans="1:12" ht="20.25" hidden="1">
      <c r="A2357" s="251"/>
      <c r="E2357" s="522"/>
      <c r="F2357" s="666"/>
      <c r="G2357" s="522"/>
      <c r="H2357" s="673" t="s">
        <v>5748</v>
      </c>
      <c r="I2357" s="666"/>
      <c r="J2357" s="522"/>
      <c r="K2357" s="674">
        <f>K2356/F2354</f>
        <v>547.27</v>
      </c>
      <c r="L2357" s="666"/>
    </row>
    <row r="2358" spans="1:12" ht="18" hidden="1">
      <c r="A2358" s="251"/>
      <c r="E2358" s="522"/>
      <c r="F2358" s="666"/>
      <c r="G2358" s="522"/>
      <c r="H2358" s="672"/>
      <c r="I2358" s="666"/>
      <c r="J2358" s="522"/>
      <c r="K2358" s="675"/>
      <c r="L2358" s="666"/>
    </row>
    <row r="2359" spans="1:12" ht="18" hidden="1">
      <c r="A2359" s="251"/>
      <c r="E2359" s="676">
        <v>18.100000000000001</v>
      </c>
      <c r="F2359" s="668" t="s">
        <v>3182</v>
      </c>
      <c r="G2359" s="522"/>
      <c r="H2359" s="677" t="s">
        <v>2723</v>
      </c>
      <c r="I2359" s="666"/>
      <c r="J2359" s="522"/>
      <c r="K2359" s="666"/>
      <c r="L2359" s="666"/>
    </row>
    <row r="2360" spans="1:12" ht="18" hidden="1">
      <c r="A2360" s="251"/>
      <c r="E2360" s="522"/>
      <c r="F2360" s="666"/>
      <c r="G2360" s="522"/>
      <c r="H2360" s="522"/>
      <c r="I2360" s="666"/>
      <c r="J2360" s="522"/>
      <c r="K2360" s="666"/>
      <c r="L2360" s="666"/>
    </row>
    <row r="2361" spans="1:12" ht="18" hidden="1">
      <c r="A2361" s="251"/>
      <c r="E2361" s="522"/>
      <c r="F2361" s="671">
        <v>13.46</v>
      </c>
      <c r="G2361" s="672" t="s">
        <v>1637</v>
      </c>
      <c r="H2361" s="670" t="s">
        <v>2724</v>
      </c>
      <c r="I2361" s="671">
        <f>I706</f>
        <v>30</v>
      </c>
      <c r="J2361" s="672" t="s">
        <v>1637</v>
      </c>
      <c r="K2361" s="666">
        <f>I2361*F2361</f>
        <v>403.8</v>
      </c>
      <c r="L2361" s="666"/>
    </row>
    <row r="2362" spans="1:12" ht="18" hidden="1">
      <c r="A2362" s="251"/>
      <c r="E2362" s="522"/>
      <c r="F2362" s="671">
        <v>4</v>
      </c>
      <c r="G2362" s="672" t="s">
        <v>1637</v>
      </c>
      <c r="H2362" s="670" t="s">
        <v>2725</v>
      </c>
      <c r="I2362" s="671">
        <f>I708</f>
        <v>30</v>
      </c>
      <c r="J2362" s="672" t="s">
        <v>1637</v>
      </c>
      <c r="K2362" s="666">
        <f>I2362*F2362</f>
        <v>120</v>
      </c>
      <c r="L2362" s="678"/>
    </row>
    <row r="2363" spans="1:12" ht="18" hidden="1">
      <c r="A2363" s="251"/>
      <c r="E2363" s="522"/>
      <c r="F2363" s="671">
        <v>1</v>
      </c>
      <c r="G2363" s="672" t="s">
        <v>2726</v>
      </c>
      <c r="H2363" s="670" t="s">
        <v>3425</v>
      </c>
      <c r="I2363" s="671">
        <v>40</v>
      </c>
      <c r="J2363" s="672" t="s">
        <v>446</v>
      </c>
      <c r="K2363" s="666">
        <f>I2363*F2363</f>
        <v>40</v>
      </c>
      <c r="L2363" s="666"/>
    </row>
    <row r="2364" spans="1:12" ht="18" hidden="1">
      <c r="A2364" s="251"/>
      <c r="E2364" s="522"/>
      <c r="F2364" s="666"/>
      <c r="G2364" s="522"/>
      <c r="H2364" s="679" t="s">
        <v>3426</v>
      </c>
      <c r="I2364" s="666"/>
      <c r="J2364" s="522"/>
      <c r="K2364" s="678">
        <f>SUM(K2361:K2363)</f>
        <v>563.79999999999995</v>
      </c>
      <c r="L2364" s="666"/>
    </row>
    <row r="2365" spans="1:12" ht="18" hidden="1">
      <c r="A2365" s="251"/>
      <c r="E2365" s="522"/>
      <c r="F2365" s="666"/>
      <c r="G2365" s="522"/>
      <c r="H2365" s="679" t="s">
        <v>3427</v>
      </c>
      <c r="I2365" s="675">
        <f>K2364/40</f>
        <v>14.1</v>
      </c>
      <c r="J2365" s="522"/>
      <c r="K2365" s="666"/>
      <c r="L2365" s="666"/>
    </row>
    <row r="2366" spans="1:12" ht="18" hidden="1">
      <c r="A2366" s="251"/>
      <c r="E2366" s="522"/>
      <c r="F2366" s="666"/>
      <c r="G2366" s="522"/>
      <c r="H2366" s="522"/>
      <c r="I2366" s="666"/>
      <c r="J2366" s="522"/>
      <c r="K2366" s="666"/>
      <c r="L2366" s="666"/>
    </row>
    <row r="2367" spans="1:12" ht="18" hidden="1">
      <c r="A2367" s="251"/>
      <c r="E2367" s="522"/>
      <c r="F2367" s="671">
        <v>19</v>
      </c>
      <c r="G2367" s="672" t="s">
        <v>1389</v>
      </c>
      <c r="H2367" s="522" t="s">
        <v>3428</v>
      </c>
      <c r="I2367" s="671">
        <f>I2365</f>
        <v>14.1</v>
      </c>
      <c r="J2367" s="672" t="s">
        <v>1752</v>
      </c>
      <c r="K2367" s="666">
        <f>I2367*F2367</f>
        <v>267.89999999999998</v>
      </c>
      <c r="L2367" s="666"/>
    </row>
    <row r="2368" spans="1:12" ht="18" hidden="1">
      <c r="A2368" s="251"/>
      <c r="E2368" s="522"/>
      <c r="F2368" s="671">
        <v>0.12</v>
      </c>
      <c r="G2368" s="672" t="s">
        <v>364</v>
      </c>
      <c r="H2368" s="522" t="s">
        <v>3429</v>
      </c>
      <c r="I2368" s="671">
        <f>C268/5</f>
        <v>1879</v>
      </c>
      <c r="J2368" s="672" t="s">
        <v>364</v>
      </c>
      <c r="K2368" s="666">
        <f>I2368*F2368</f>
        <v>225.48</v>
      </c>
      <c r="L2368" s="666"/>
    </row>
    <row r="2369" spans="1:12" ht="18" hidden="1">
      <c r="A2369" s="251"/>
      <c r="E2369" s="522"/>
      <c r="F2369" s="671">
        <v>98.5</v>
      </c>
      <c r="G2369" s="672" t="s">
        <v>3430</v>
      </c>
      <c r="H2369" s="522" t="s">
        <v>2593</v>
      </c>
      <c r="I2369" s="671">
        <f>C269/5</f>
        <v>3</v>
      </c>
      <c r="J2369" s="672" t="s">
        <v>3430</v>
      </c>
      <c r="K2369" s="666">
        <f>I2369*F2369</f>
        <v>295.5</v>
      </c>
      <c r="L2369" s="680"/>
    </row>
    <row r="2370" spans="1:12" ht="18" hidden="1">
      <c r="A2370" s="251"/>
      <c r="E2370" s="522"/>
      <c r="F2370" s="1247" t="s">
        <v>446</v>
      </c>
      <c r="G2370" s="1247"/>
      <c r="H2370" s="522" t="s">
        <v>2594</v>
      </c>
      <c r="I2370" s="671">
        <v>11</v>
      </c>
      <c r="J2370" s="672" t="s">
        <v>446</v>
      </c>
      <c r="K2370" s="666">
        <f>I2370</f>
        <v>11</v>
      </c>
      <c r="L2370" s="680"/>
    </row>
    <row r="2371" spans="1:12" ht="20.25" hidden="1">
      <c r="A2371" s="251"/>
      <c r="E2371" s="522"/>
      <c r="F2371" s="671">
        <v>3.8</v>
      </c>
      <c r="G2371" s="672" t="s">
        <v>1389</v>
      </c>
      <c r="H2371" s="522" t="s">
        <v>5749</v>
      </c>
      <c r="I2371" s="671">
        <f>C16</f>
        <v>150</v>
      </c>
      <c r="J2371" s="672" t="s">
        <v>1389</v>
      </c>
      <c r="K2371" s="680">
        <f>I2371*F2371</f>
        <v>570</v>
      </c>
      <c r="L2371" s="680"/>
    </row>
    <row r="2372" spans="1:12" ht="20.25" hidden="1">
      <c r="A2372" s="251"/>
      <c r="E2372" s="522"/>
      <c r="F2372" s="671">
        <v>5.4</v>
      </c>
      <c r="G2372" s="672" t="s">
        <v>1389</v>
      </c>
      <c r="H2372" s="522" t="s">
        <v>5750</v>
      </c>
      <c r="I2372" s="671">
        <f>C12</f>
        <v>95</v>
      </c>
      <c r="J2372" s="672" t="s">
        <v>1389</v>
      </c>
      <c r="K2372" s="680">
        <f>I2372*F2372</f>
        <v>513</v>
      </c>
      <c r="L2372" s="666"/>
    </row>
    <row r="2373" spans="1:12" ht="20.25" hidden="1">
      <c r="A2373" s="251"/>
      <c r="E2373" s="522"/>
      <c r="F2373" s="671">
        <v>1</v>
      </c>
      <c r="G2373" s="672" t="s">
        <v>1389</v>
      </c>
      <c r="H2373" s="522" t="s">
        <v>5751</v>
      </c>
      <c r="I2373" s="671">
        <f>D17</f>
        <v>120</v>
      </c>
      <c r="J2373" s="672" t="s">
        <v>1389</v>
      </c>
      <c r="K2373" s="680">
        <f>I2373*F2373</f>
        <v>120</v>
      </c>
      <c r="L2373" s="681"/>
    </row>
    <row r="2374" spans="1:12" ht="18" hidden="1">
      <c r="A2374" s="251"/>
      <c r="E2374" s="522"/>
      <c r="F2374" s="1247" t="s">
        <v>446</v>
      </c>
      <c r="G2374" s="1247"/>
      <c r="H2374" s="522" t="s">
        <v>2595</v>
      </c>
      <c r="I2374" s="1247" t="s">
        <v>446</v>
      </c>
      <c r="J2374" s="1247"/>
      <c r="K2374" s="666">
        <v>10</v>
      </c>
      <c r="L2374" s="675"/>
    </row>
    <row r="2375" spans="1:12" ht="18" hidden="1">
      <c r="A2375" s="251"/>
      <c r="E2375" s="522"/>
      <c r="F2375" s="671">
        <v>19</v>
      </c>
      <c r="G2375" s="672" t="s">
        <v>1752</v>
      </c>
      <c r="H2375" s="522" t="s">
        <v>2596</v>
      </c>
      <c r="I2375" s="671">
        <v>2</v>
      </c>
      <c r="J2375" s="672" t="s">
        <v>446</v>
      </c>
      <c r="K2375" s="681">
        <f>I2375*F2375</f>
        <v>38</v>
      </c>
      <c r="L2375" s="666"/>
    </row>
    <row r="2376" spans="1:12" ht="18" hidden="1">
      <c r="A2376" s="251"/>
      <c r="E2376" s="522"/>
      <c r="F2376" s="666"/>
      <c r="G2376" s="522"/>
      <c r="H2376" s="522"/>
      <c r="I2376" s="666"/>
      <c r="J2376" s="522"/>
      <c r="K2376" s="675">
        <f>SUM(K2367:K2375)</f>
        <v>2050.88</v>
      </c>
      <c r="L2376" s="675"/>
    </row>
    <row r="2377" spans="1:12" ht="20.25" hidden="1">
      <c r="A2377" s="251"/>
      <c r="E2377" s="522"/>
      <c r="F2377" s="666"/>
      <c r="G2377" s="522"/>
      <c r="H2377" s="679" t="s">
        <v>5752</v>
      </c>
      <c r="I2377" s="675">
        <f>K2376/10</f>
        <v>205.09</v>
      </c>
      <c r="J2377" s="522"/>
      <c r="K2377" s="666"/>
      <c r="L2377" s="666"/>
    </row>
    <row r="2378" spans="1:12" ht="18" hidden="1">
      <c r="A2378" s="251"/>
      <c r="E2378" s="522"/>
      <c r="F2378" s="666"/>
      <c r="G2378" s="522"/>
      <c r="H2378" s="310" t="s">
        <v>2597</v>
      </c>
      <c r="I2378" s="675">
        <f>I2377</f>
        <v>205.09</v>
      </c>
      <c r="J2378" s="461">
        <f>I2393</f>
        <v>12.32</v>
      </c>
      <c r="K2378" s="675">
        <f>I2378+J2378</f>
        <v>217.41</v>
      </c>
      <c r="L2378" s="666"/>
    </row>
    <row r="2379" spans="1:12" ht="36" hidden="1">
      <c r="A2379" s="251"/>
      <c r="E2379" s="676">
        <v>18.100000000000001</v>
      </c>
      <c r="F2379" s="668" t="s">
        <v>2598</v>
      </c>
      <c r="G2379" s="522"/>
      <c r="H2379" s="682" t="s">
        <v>3360</v>
      </c>
      <c r="I2379" s="666"/>
      <c r="J2379" s="522"/>
      <c r="K2379" s="666"/>
      <c r="L2379" s="666"/>
    </row>
    <row r="2380" spans="1:12" ht="18" hidden="1">
      <c r="A2380" s="251"/>
      <c r="E2380" s="522"/>
      <c r="F2380" s="666"/>
      <c r="G2380" s="522"/>
      <c r="H2380" s="522" t="s">
        <v>3361</v>
      </c>
      <c r="I2380" s="671">
        <f>K2376</f>
        <v>2050.88</v>
      </c>
      <c r="J2380" s="522"/>
      <c r="K2380" s="666"/>
      <c r="L2380" s="666"/>
    </row>
    <row r="2381" spans="1:12" ht="18" hidden="1">
      <c r="A2381" s="251"/>
      <c r="E2381" s="522"/>
      <c r="F2381" s="666"/>
      <c r="G2381" s="522"/>
      <c r="H2381" s="522" t="s">
        <v>2593</v>
      </c>
      <c r="I2381" s="671">
        <f>K2391</f>
        <v>369.6</v>
      </c>
      <c r="J2381" s="676" t="s">
        <v>3362</v>
      </c>
      <c r="K2381" s="666"/>
      <c r="L2381" s="666"/>
    </row>
    <row r="2382" spans="1:12" ht="18" hidden="1">
      <c r="A2382" s="251"/>
      <c r="E2382" s="522"/>
      <c r="F2382" s="666"/>
      <c r="G2382" s="522"/>
      <c r="H2382" s="522"/>
      <c r="I2382" s="668">
        <f>I2380-I2381</f>
        <v>1681.28</v>
      </c>
      <c r="J2382" s="522"/>
      <c r="K2382" s="666"/>
      <c r="L2382" s="666"/>
    </row>
    <row r="2383" spans="1:12" ht="20.25" hidden="1">
      <c r="A2383" s="251"/>
      <c r="E2383" s="522"/>
      <c r="F2383" s="666"/>
      <c r="G2383" s="522"/>
      <c r="H2383" s="679" t="s">
        <v>5752</v>
      </c>
      <c r="I2383" s="668">
        <f>I2382/10</f>
        <v>168.13</v>
      </c>
      <c r="J2383" s="522"/>
      <c r="K2383" s="666"/>
      <c r="L2383" s="666"/>
    </row>
    <row r="2384" spans="1:12" ht="18" hidden="1">
      <c r="A2384" s="251"/>
      <c r="E2384" s="522"/>
      <c r="F2384" s="666"/>
      <c r="G2384" s="522"/>
      <c r="H2384" s="522"/>
      <c r="I2384" s="666"/>
      <c r="J2384" s="522"/>
      <c r="K2384" s="666"/>
      <c r="L2384" s="666"/>
    </row>
    <row r="2385" spans="1:12" ht="18" hidden="1">
      <c r="A2385" s="251"/>
      <c r="E2385" s="522"/>
      <c r="F2385" s="666"/>
      <c r="G2385" s="522"/>
      <c r="H2385" s="676" t="s">
        <v>3363</v>
      </c>
      <c r="I2385" s="666"/>
      <c r="J2385" s="522"/>
      <c r="K2385" s="666"/>
      <c r="L2385" s="671"/>
    </row>
    <row r="2386" spans="1:12" ht="36" hidden="1">
      <c r="A2386" s="251"/>
      <c r="E2386" s="522"/>
      <c r="F2386" s="666"/>
      <c r="G2386" s="522"/>
      <c r="H2386" s="682" t="s">
        <v>2350</v>
      </c>
      <c r="I2386" s="666"/>
      <c r="J2386" s="522"/>
      <c r="K2386" s="666"/>
      <c r="L2386" s="671"/>
    </row>
    <row r="2387" spans="1:12" ht="36" hidden="1">
      <c r="A2387" s="251"/>
      <c r="E2387" s="522"/>
      <c r="F2387" s="671">
        <v>98.5</v>
      </c>
      <c r="G2387" s="672" t="s">
        <v>3430</v>
      </c>
      <c r="H2387" s="683" t="s">
        <v>2351</v>
      </c>
      <c r="I2387" s="671">
        <f>I2369</f>
        <v>3</v>
      </c>
      <c r="J2387" s="672" t="s">
        <v>3430</v>
      </c>
      <c r="K2387" s="671">
        <f>I2387*F2387</f>
        <v>295.5</v>
      </c>
      <c r="L2387" s="671"/>
    </row>
    <row r="2388" spans="1:12" ht="20.25" hidden="1">
      <c r="A2388" s="251"/>
      <c r="E2388" s="522"/>
      <c r="F2388" s="671">
        <v>0.3</v>
      </c>
      <c r="G2388" s="672" t="s">
        <v>1752</v>
      </c>
      <c r="H2388" s="683" t="s">
        <v>5753</v>
      </c>
      <c r="I2388" s="671">
        <f>I2371</f>
        <v>150</v>
      </c>
      <c r="J2388" s="672" t="s">
        <v>1752</v>
      </c>
      <c r="K2388" s="671">
        <f>I2388*F2388</f>
        <v>45</v>
      </c>
      <c r="L2388" s="671"/>
    </row>
    <row r="2389" spans="1:12" ht="20.25" hidden="1">
      <c r="A2389" s="251"/>
      <c r="E2389" s="522"/>
      <c r="F2389" s="671">
        <v>0.3</v>
      </c>
      <c r="G2389" s="672" t="s">
        <v>1752</v>
      </c>
      <c r="H2389" s="683" t="s">
        <v>5754</v>
      </c>
      <c r="I2389" s="671">
        <f>I2372</f>
        <v>95</v>
      </c>
      <c r="J2389" s="672" t="s">
        <v>1752</v>
      </c>
      <c r="K2389" s="671">
        <f>I2389*F2389</f>
        <v>28.5</v>
      </c>
      <c r="L2389" s="668"/>
    </row>
    <row r="2390" spans="1:12" ht="18" hidden="1">
      <c r="A2390" s="251"/>
      <c r="E2390" s="522"/>
      <c r="F2390" s="666"/>
      <c r="G2390" s="522"/>
      <c r="H2390" s="684" t="s">
        <v>2352</v>
      </c>
      <c r="I2390" s="1248" t="s">
        <v>446</v>
      </c>
      <c r="J2390" s="1248"/>
      <c r="K2390" s="671">
        <v>0.6</v>
      </c>
      <c r="L2390" s="666"/>
    </row>
    <row r="2391" spans="1:12" ht="20.25" hidden="1">
      <c r="A2391" s="251"/>
      <c r="E2391" s="522"/>
      <c r="F2391" s="666"/>
      <c r="G2391" s="522"/>
      <c r="H2391" s="684" t="s">
        <v>5755</v>
      </c>
      <c r="I2391" s="666"/>
      <c r="J2391" s="522"/>
      <c r="K2391" s="668">
        <f>SUM(K2387:K2390)</f>
        <v>369.6</v>
      </c>
      <c r="L2391" s="666"/>
    </row>
    <row r="2392" spans="1:12" ht="20.25" hidden="1">
      <c r="A2392" s="251"/>
      <c r="E2392" s="522"/>
      <c r="F2392" s="666"/>
      <c r="G2392" s="522"/>
      <c r="H2392" s="684" t="s">
        <v>5756</v>
      </c>
      <c r="I2392" s="675">
        <f>K2391/10</f>
        <v>36.96</v>
      </c>
      <c r="J2392" s="522"/>
      <c r="K2392" s="666"/>
      <c r="L2392" s="666"/>
    </row>
    <row r="2393" spans="1:12" ht="18" hidden="1">
      <c r="A2393" s="251"/>
      <c r="E2393" s="522"/>
      <c r="F2393" s="666"/>
      <c r="G2393" s="522"/>
      <c r="H2393" s="684" t="s">
        <v>2353</v>
      </c>
      <c r="I2393" s="675">
        <f>I2392/3</f>
        <v>12.32</v>
      </c>
      <c r="J2393" s="522"/>
      <c r="K2393" s="666"/>
      <c r="L2393" s="666"/>
    </row>
    <row r="2394" spans="1:12" ht="18" hidden="1">
      <c r="A2394" s="251"/>
      <c r="E2394" s="522"/>
      <c r="F2394" s="666"/>
      <c r="G2394" s="522"/>
      <c r="H2394" s="683"/>
      <c r="I2394" s="666"/>
      <c r="J2394" s="522"/>
      <c r="K2394" s="666"/>
      <c r="L2394" s="666"/>
    </row>
    <row r="2395" spans="1:12" ht="54" hidden="1">
      <c r="A2395" s="251"/>
      <c r="E2395" s="676">
        <v>18.100000000000001</v>
      </c>
      <c r="F2395" s="668" t="s">
        <v>2268</v>
      </c>
      <c r="G2395" s="522"/>
      <c r="H2395" s="656" t="s">
        <v>2996</v>
      </c>
      <c r="I2395" s="668">
        <f>I2377*1.2</f>
        <v>246.11</v>
      </c>
      <c r="J2395" s="522"/>
      <c r="K2395" s="666"/>
    </row>
    <row r="2396" spans="1:12" ht="36" hidden="1">
      <c r="A2396" s="251"/>
      <c r="E2396" s="667">
        <v>18.100000000000001</v>
      </c>
      <c r="F2396" s="668" t="s">
        <v>2997</v>
      </c>
      <c r="G2396" s="522"/>
      <c r="H2396" s="685" t="s">
        <v>2998</v>
      </c>
      <c r="I2396" s="668">
        <f>I2377*1.1</f>
        <v>225.6</v>
      </c>
      <c r="J2396" s="522"/>
      <c r="K2396" s="666"/>
    </row>
    <row r="2397" spans="1:12" hidden="1">
      <c r="A2397" s="251"/>
    </row>
    <row r="2398" spans="1:12" hidden="1">
      <c r="A2398" s="251"/>
    </row>
    <row r="2399" spans="1:12" ht="22.5" hidden="1">
      <c r="A2399" s="251"/>
      <c r="H2399" s="686" t="s">
        <v>2376</v>
      </c>
    </row>
    <row r="2400" spans="1:12" ht="16.5" hidden="1">
      <c r="A2400" s="251"/>
      <c r="F2400" s="687">
        <v>18.100000000000001</v>
      </c>
      <c r="G2400" s="252" t="s">
        <v>2241</v>
      </c>
      <c r="H2400" s="296" t="s">
        <v>9</v>
      </c>
    </row>
    <row r="2401" spans="1:11" hidden="1">
      <c r="A2401" s="251"/>
      <c r="H2401" s="296" t="s">
        <v>646</v>
      </c>
    </row>
    <row r="2402" spans="1:11" hidden="1">
      <c r="A2402" s="251"/>
      <c r="H2402" s="296" t="s">
        <v>648</v>
      </c>
    </row>
    <row r="2403" spans="1:11" hidden="1">
      <c r="A2403" s="251"/>
      <c r="H2403" s="296" t="s">
        <v>514</v>
      </c>
    </row>
    <row r="2404" spans="1:11" hidden="1">
      <c r="A2404" s="251"/>
      <c r="H2404" s="296" t="s">
        <v>516</v>
      </c>
    </row>
    <row r="2405" spans="1:11" hidden="1">
      <c r="A2405" s="251"/>
      <c r="H2405" s="296" t="s">
        <v>2</v>
      </c>
    </row>
    <row r="2406" spans="1:11" hidden="1">
      <c r="A2406" s="251"/>
      <c r="H2406" s="296" t="s">
        <v>1221</v>
      </c>
    </row>
    <row r="2407" spans="1:11" hidden="1">
      <c r="A2407" s="251"/>
      <c r="H2407" s="358" t="s">
        <v>1579</v>
      </c>
      <c r="I2407" s="358" t="s">
        <v>1579</v>
      </c>
      <c r="J2407" s="253" t="s">
        <v>1579</v>
      </c>
    </row>
    <row r="2408" spans="1:11" hidden="1">
      <c r="A2408" s="251"/>
      <c r="F2408" s="252">
        <v>13.46</v>
      </c>
      <c r="G2408" s="252" t="s">
        <v>265</v>
      </c>
      <c r="H2408" s="296" t="s">
        <v>266</v>
      </c>
      <c r="I2408" s="252">
        <f>I2361</f>
        <v>30</v>
      </c>
      <c r="J2408" s="253" t="s">
        <v>265</v>
      </c>
      <c r="K2408" s="252">
        <f>(F2408*I2408)</f>
        <v>403.8</v>
      </c>
    </row>
    <row r="2409" spans="1:11" hidden="1">
      <c r="A2409" s="251"/>
      <c r="H2409" s="296" t="s">
        <v>976</v>
      </c>
    </row>
    <row r="2410" spans="1:11" hidden="1">
      <c r="A2410" s="251"/>
      <c r="F2410" s="252">
        <v>4</v>
      </c>
      <c r="G2410" s="252" t="s">
        <v>265</v>
      </c>
      <c r="H2410" s="296" t="s">
        <v>978</v>
      </c>
      <c r="I2410" s="252">
        <f>I2362</f>
        <v>30</v>
      </c>
      <c r="J2410" s="253" t="s">
        <v>265</v>
      </c>
      <c r="K2410" s="252">
        <f>(F2410*I2410)</f>
        <v>120</v>
      </c>
    </row>
    <row r="2411" spans="1:11" hidden="1">
      <c r="A2411" s="251"/>
      <c r="H2411" s="296" t="s">
        <v>1025</v>
      </c>
    </row>
    <row r="2412" spans="1:11" hidden="1">
      <c r="A2412" s="251"/>
      <c r="G2412" s="252" t="s">
        <v>446</v>
      </c>
      <c r="H2412" s="296" t="s">
        <v>1648</v>
      </c>
      <c r="J2412" s="253" t="s">
        <v>446</v>
      </c>
      <c r="K2412" s="252">
        <v>40</v>
      </c>
    </row>
    <row r="2413" spans="1:11" hidden="1">
      <c r="A2413" s="251"/>
      <c r="H2413" s="296" t="s">
        <v>1650</v>
      </c>
      <c r="K2413" s="358" t="s">
        <v>1579</v>
      </c>
    </row>
    <row r="2414" spans="1:11" hidden="1">
      <c r="A2414" s="251"/>
      <c r="H2414" s="253" t="s">
        <v>23</v>
      </c>
      <c r="K2414" s="252">
        <f>SUM(K2408:K2412)</f>
        <v>563.79999999999995</v>
      </c>
    </row>
    <row r="2415" spans="1:11" hidden="1">
      <c r="A2415" s="251"/>
      <c r="K2415" s="358" t="s">
        <v>1579</v>
      </c>
    </row>
    <row r="2416" spans="1:11" hidden="1">
      <c r="A2416" s="251"/>
      <c r="H2416" s="253" t="s">
        <v>27</v>
      </c>
      <c r="K2416" s="252">
        <f>K2414/40</f>
        <v>14.1</v>
      </c>
    </row>
    <row r="2417" spans="1:11" hidden="1">
      <c r="A2417" s="251"/>
      <c r="K2417" s="358" t="s">
        <v>1579</v>
      </c>
    </row>
    <row r="2418" spans="1:11" hidden="1">
      <c r="A2418" s="251"/>
      <c r="H2418" s="296" t="s">
        <v>894</v>
      </c>
    </row>
    <row r="2419" spans="1:11" hidden="1">
      <c r="A2419" s="251"/>
      <c r="H2419" s="296" t="s">
        <v>310</v>
      </c>
    </row>
    <row r="2420" spans="1:11" hidden="1">
      <c r="A2420" s="251"/>
      <c r="H2420" s="296" t="s">
        <v>312</v>
      </c>
    </row>
    <row r="2421" spans="1:11" hidden="1">
      <c r="A2421" s="251"/>
    </row>
    <row r="2422" spans="1:11" hidden="1">
      <c r="A2422" s="251"/>
      <c r="F2422" s="252">
        <v>19</v>
      </c>
      <c r="G2422" s="252" t="s">
        <v>1427</v>
      </c>
      <c r="H2422" s="296" t="s">
        <v>68</v>
      </c>
      <c r="I2422" s="252">
        <f>K2416</f>
        <v>14.1</v>
      </c>
      <c r="J2422" s="253" t="s">
        <v>256</v>
      </c>
      <c r="K2422" s="252">
        <f>(F2422*I2422)</f>
        <v>267.89999999999998</v>
      </c>
    </row>
    <row r="2423" spans="1:11" hidden="1">
      <c r="A2423" s="251"/>
      <c r="H2423" s="296" t="s">
        <v>1652</v>
      </c>
    </row>
    <row r="2424" spans="1:11" hidden="1">
      <c r="A2424" s="251"/>
      <c r="F2424" s="252">
        <v>0.12</v>
      </c>
      <c r="G2424" s="252" t="s">
        <v>2142</v>
      </c>
      <c r="H2424" s="296" t="s">
        <v>2917</v>
      </c>
      <c r="I2424" s="252">
        <f>9395/5</f>
        <v>1879</v>
      </c>
      <c r="J2424" s="253" t="s">
        <v>256</v>
      </c>
      <c r="K2424" s="252">
        <f t="shared" ref="K2424:K2431" si="79">(F2424*I2424)</f>
        <v>225.48</v>
      </c>
    </row>
    <row r="2425" spans="1:11" hidden="1">
      <c r="A2425" s="251"/>
      <c r="F2425" s="252">
        <v>98.5</v>
      </c>
      <c r="G2425" s="252" t="s">
        <v>823</v>
      </c>
      <c r="H2425" s="296" t="s">
        <v>824</v>
      </c>
      <c r="I2425" s="252">
        <f>I2369</f>
        <v>3</v>
      </c>
      <c r="J2425" s="253" t="s">
        <v>256</v>
      </c>
      <c r="K2425" s="252">
        <f t="shared" si="79"/>
        <v>295.5</v>
      </c>
    </row>
    <row r="2426" spans="1:11" hidden="1">
      <c r="A2426" s="251"/>
      <c r="F2426" s="252">
        <v>1</v>
      </c>
      <c r="G2426" s="252" t="s">
        <v>446</v>
      </c>
      <c r="H2426" s="296" t="s">
        <v>1386</v>
      </c>
      <c r="I2426" s="252">
        <v>11</v>
      </c>
      <c r="J2426" s="253" t="s">
        <v>446</v>
      </c>
      <c r="K2426" s="252">
        <f t="shared" si="79"/>
        <v>11</v>
      </c>
    </row>
    <row r="2427" spans="1:11" hidden="1">
      <c r="A2427" s="251"/>
      <c r="F2427" s="252">
        <v>3.8</v>
      </c>
      <c r="G2427" s="252" t="s">
        <v>1389</v>
      </c>
      <c r="H2427" s="296" t="s">
        <v>1390</v>
      </c>
      <c r="I2427" s="252">
        <f>C16</f>
        <v>150</v>
      </c>
      <c r="J2427" s="253" t="s">
        <v>1393</v>
      </c>
      <c r="K2427" s="252">
        <f t="shared" si="79"/>
        <v>570</v>
      </c>
    </row>
    <row r="2428" spans="1:11" hidden="1">
      <c r="A2428" s="251"/>
      <c r="F2428" s="252">
        <v>5.4</v>
      </c>
      <c r="G2428" s="252" t="s">
        <v>1389</v>
      </c>
      <c r="H2428" s="296" t="s">
        <v>820</v>
      </c>
      <c r="I2428" s="252">
        <f>C12</f>
        <v>95</v>
      </c>
      <c r="J2428" s="253" t="s">
        <v>1393</v>
      </c>
      <c r="K2428" s="252">
        <f t="shared" si="79"/>
        <v>513</v>
      </c>
    </row>
    <row r="2429" spans="1:11" hidden="1">
      <c r="A2429" s="251"/>
      <c r="F2429" s="252">
        <v>1</v>
      </c>
      <c r="G2429" s="252" t="s">
        <v>1389</v>
      </c>
      <c r="H2429" s="296" t="s">
        <v>2276</v>
      </c>
      <c r="I2429" s="252">
        <f>D17</f>
        <v>120</v>
      </c>
      <c r="J2429" s="253" t="s">
        <v>1393</v>
      </c>
      <c r="K2429" s="252">
        <f t="shared" si="79"/>
        <v>120</v>
      </c>
    </row>
    <row r="2430" spans="1:11" hidden="1">
      <c r="A2430" s="251"/>
      <c r="F2430" s="252">
        <v>1</v>
      </c>
      <c r="G2430" s="252" t="s">
        <v>446</v>
      </c>
      <c r="H2430" s="296" t="s">
        <v>772</v>
      </c>
      <c r="I2430" s="252">
        <v>10</v>
      </c>
      <c r="J2430" s="253" t="s">
        <v>446</v>
      </c>
      <c r="K2430" s="252">
        <f t="shared" si="79"/>
        <v>10</v>
      </c>
    </row>
    <row r="2431" spans="1:11" hidden="1">
      <c r="A2431" s="251"/>
      <c r="F2431" s="252">
        <v>19</v>
      </c>
      <c r="G2431" s="252" t="s">
        <v>1427</v>
      </c>
      <c r="H2431" s="296" t="s">
        <v>774</v>
      </c>
      <c r="I2431" s="252">
        <v>2</v>
      </c>
      <c r="J2431" s="253" t="s">
        <v>1427</v>
      </c>
      <c r="K2431" s="252">
        <f t="shared" si="79"/>
        <v>38</v>
      </c>
    </row>
    <row r="2432" spans="1:11" hidden="1">
      <c r="A2432" s="251"/>
      <c r="H2432" s="296" t="s">
        <v>501</v>
      </c>
      <c r="K2432" s="358" t="s">
        <v>1579</v>
      </c>
    </row>
    <row r="2433" spans="1:11" hidden="1">
      <c r="A2433" s="251"/>
      <c r="H2433" s="253" t="s">
        <v>438</v>
      </c>
      <c r="K2433" s="252">
        <f>SUM(K2422:K2431)</f>
        <v>2050.88</v>
      </c>
    </row>
    <row r="2434" spans="1:11" hidden="1">
      <c r="A2434" s="251"/>
      <c r="K2434" s="358" t="s">
        <v>1579</v>
      </c>
    </row>
    <row r="2435" spans="1:11" hidden="1">
      <c r="A2435" s="251"/>
      <c r="H2435" s="253" t="s">
        <v>549</v>
      </c>
      <c r="K2435" s="252">
        <f>(K2433/10)</f>
        <v>205.09</v>
      </c>
    </row>
    <row r="2436" spans="1:11" hidden="1">
      <c r="A2436" s="251"/>
      <c r="F2436" s="296" t="s">
        <v>971</v>
      </c>
    </row>
    <row r="2437" spans="1:11" hidden="1">
      <c r="A2437" s="251"/>
      <c r="K2437" s="358" t="s">
        <v>2046</v>
      </c>
    </row>
    <row r="2438" spans="1:11" ht="28.5" hidden="1">
      <c r="A2438" s="251"/>
      <c r="F2438" s="688" t="s">
        <v>2598</v>
      </c>
      <c r="G2438" s="407"/>
      <c r="H2438" s="689" t="s">
        <v>3434</v>
      </c>
    </row>
    <row r="2439" spans="1:11" hidden="1">
      <c r="A2439" s="251"/>
      <c r="F2439" s="407"/>
      <c r="K2439" s="377"/>
    </row>
    <row r="2440" spans="1:11" hidden="1">
      <c r="A2440" s="251"/>
      <c r="F2440" s="252">
        <v>98.5</v>
      </c>
      <c r="G2440" s="252" t="s">
        <v>823</v>
      </c>
      <c r="H2440" s="296" t="s">
        <v>824</v>
      </c>
      <c r="I2440" s="252">
        <f>I2425</f>
        <v>3</v>
      </c>
      <c r="J2440" s="253" t="s">
        <v>256</v>
      </c>
      <c r="K2440" s="252">
        <f>(F2440*I2440)</f>
        <v>295.5</v>
      </c>
    </row>
    <row r="2441" spans="1:11" hidden="1">
      <c r="A2441" s="251"/>
      <c r="F2441" s="252">
        <v>0.3</v>
      </c>
      <c r="G2441" s="252" t="s">
        <v>1389</v>
      </c>
      <c r="H2441" s="296" t="s">
        <v>1390</v>
      </c>
      <c r="I2441" s="252">
        <f>I2427</f>
        <v>150</v>
      </c>
      <c r="J2441" s="253" t="s">
        <v>1393</v>
      </c>
      <c r="K2441" s="252">
        <f>(F2441*I2441)</f>
        <v>45</v>
      </c>
    </row>
    <row r="2442" spans="1:11" hidden="1">
      <c r="A2442" s="251"/>
      <c r="F2442" s="252">
        <v>0.3</v>
      </c>
      <c r="G2442" s="252" t="s">
        <v>1389</v>
      </c>
      <c r="H2442" s="296" t="s">
        <v>820</v>
      </c>
      <c r="I2442" s="252">
        <f>I2428</f>
        <v>95</v>
      </c>
      <c r="J2442" s="253" t="s">
        <v>1393</v>
      </c>
      <c r="K2442" s="252">
        <f>(F2442*I2442)</f>
        <v>28.5</v>
      </c>
    </row>
    <row r="2443" spans="1:11" hidden="1">
      <c r="A2443" s="251"/>
      <c r="H2443" s="296" t="s">
        <v>2261</v>
      </c>
      <c r="J2443" s="253" t="s">
        <v>67</v>
      </c>
      <c r="K2443" s="377">
        <v>0.6</v>
      </c>
    </row>
    <row r="2444" spans="1:11" hidden="1">
      <c r="A2444" s="251"/>
      <c r="H2444" s="253" t="s">
        <v>438</v>
      </c>
      <c r="K2444" s="252">
        <f>SUM(K2440:K2443)</f>
        <v>369.6</v>
      </c>
    </row>
    <row r="2445" spans="1:11" hidden="1">
      <c r="A2445" s="251"/>
      <c r="H2445" s="296"/>
      <c r="K2445" s="377" t="s">
        <v>426</v>
      </c>
    </row>
    <row r="2446" spans="1:11" hidden="1">
      <c r="A2446" s="251"/>
      <c r="H2446" s="253" t="s">
        <v>549</v>
      </c>
      <c r="K2446" s="252">
        <f>K2444/10</f>
        <v>36.96</v>
      </c>
    </row>
    <row r="2447" spans="1:11" hidden="1">
      <c r="A2447" s="251"/>
      <c r="H2447" s="253"/>
    </row>
    <row r="2448" spans="1:11" ht="31.5" hidden="1">
      <c r="A2448" s="251"/>
      <c r="H2448" s="389" t="s">
        <v>3435</v>
      </c>
      <c r="J2448" s="253" t="s">
        <v>3436</v>
      </c>
      <c r="K2448" s="252">
        <f>K2435-K2446</f>
        <v>168.13</v>
      </c>
    </row>
    <row r="2449" spans="1:11" hidden="1">
      <c r="A2449" s="251"/>
      <c r="H2449" s="296"/>
      <c r="K2449" s="377" t="s">
        <v>32</v>
      </c>
    </row>
    <row r="2450" spans="1:11" hidden="1">
      <c r="A2450" s="251"/>
    </row>
    <row r="2451" spans="1:11" ht="42.75" hidden="1">
      <c r="A2451" s="251"/>
      <c r="F2451" s="688" t="s">
        <v>3182</v>
      </c>
      <c r="H2451" s="689" t="s">
        <v>2999</v>
      </c>
      <c r="J2451" s="253" t="s">
        <v>3436</v>
      </c>
      <c r="K2451" s="252">
        <f>K2435</f>
        <v>205.09</v>
      </c>
    </row>
    <row r="2452" spans="1:11" hidden="1">
      <c r="A2452" s="251"/>
      <c r="H2452" s="296"/>
      <c r="K2452" s="377" t="s">
        <v>32</v>
      </c>
    </row>
    <row r="2453" spans="1:11" ht="28.5" hidden="1">
      <c r="A2453" s="251"/>
      <c r="F2453" s="688" t="s">
        <v>2268</v>
      </c>
      <c r="H2453" s="689" t="s">
        <v>2996</v>
      </c>
      <c r="J2453" s="253" t="s">
        <v>3436</v>
      </c>
      <c r="K2453" s="377">
        <f>K2451*1.2</f>
        <v>246.11</v>
      </c>
    </row>
    <row r="2454" spans="1:11" hidden="1">
      <c r="A2454" s="251"/>
      <c r="K2454" s="377" t="s">
        <v>1219</v>
      </c>
    </row>
    <row r="2455" spans="1:11" ht="20.25" hidden="1">
      <c r="A2455" s="251"/>
      <c r="F2455" s="688" t="s">
        <v>2997</v>
      </c>
      <c r="H2455" s="689" t="s">
        <v>2998</v>
      </c>
      <c r="J2455" s="253" t="s">
        <v>3436</v>
      </c>
      <c r="K2455" s="252">
        <f>K2451*1.1</f>
        <v>225.6</v>
      </c>
    </row>
    <row r="2456" spans="1:11" hidden="1">
      <c r="A2456" s="251"/>
      <c r="K2456" s="377" t="s">
        <v>1219</v>
      </c>
    </row>
    <row r="2457" spans="1:11" hidden="1">
      <c r="A2457" s="251"/>
    </row>
    <row r="2458" spans="1:11" hidden="1">
      <c r="A2458" s="251"/>
      <c r="F2458" s="252">
        <v>50.6</v>
      </c>
      <c r="G2458" s="252" t="s">
        <v>672</v>
      </c>
      <c r="H2458" s="296" t="s">
        <v>1143</v>
      </c>
    </row>
    <row r="2459" spans="1:11" ht="31.5" hidden="1">
      <c r="A2459" s="251"/>
      <c r="H2459" s="389" t="s">
        <v>5757</v>
      </c>
    </row>
    <row r="2460" spans="1:11" hidden="1">
      <c r="A2460" s="251"/>
      <c r="H2460" s="358" t="s">
        <v>1579</v>
      </c>
      <c r="I2460" s="358" t="s">
        <v>1579</v>
      </c>
    </row>
    <row r="2461" spans="1:11" ht="18" hidden="1">
      <c r="A2461" s="251"/>
      <c r="H2461" s="358" t="s">
        <v>5758</v>
      </c>
      <c r="I2461" s="358"/>
    </row>
    <row r="2462" spans="1:11" ht="18" hidden="1">
      <c r="A2462" s="251"/>
      <c r="H2462" s="358" t="s">
        <v>5759</v>
      </c>
      <c r="I2462" s="358"/>
    </row>
    <row r="2463" spans="1:11" hidden="1">
      <c r="A2463" s="251"/>
      <c r="H2463" s="358"/>
      <c r="I2463" s="358"/>
    </row>
    <row r="2464" spans="1:11" hidden="1">
      <c r="A2464" s="251"/>
    </row>
    <row r="2465" spans="1:11" hidden="1">
      <c r="A2465" s="251"/>
      <c r="F2465" s="356">
        <v>1.96</v>
      </c>
      <c r="G2465" s="252" t="s">
        <v>2142</v>
      </c>
      <c r="H2465" s="296" t="s">
        <v>439</v>
      </c>
      <c r="I2465" s="252" t="e">
        <f>K1644</f>
        <v>#REF!</v>
      </c>
      <c r="J2465" s="253" t="s">
        <v>2142</v>
      </c>
      <c r="K2465" s="252" t="e">
        <f t="shared" ref="K2465:K2470" si="80">(F2465*I2465)</f>
        <v>#REF!</v>
      </c>
    </row>
    <row r="2466" spans="1:11" hidden="1">
      <c r="A2466" s="251"/>
      <c r="F2466" s="252">
        <v>2</v>
      </c>
      <c r="G2466" s="252" t="s">
        <v>557</v>
      </c>
      <c r="H2466" s="296" t="s">
        <v>351</v>
      </c>
      <c r="I2466" s="252">
        <f>C10</f>
        <v>150</v>
      </c>
      <c r="J2466" s="253" t="s">
        <v>1393</v>
      </c>
      <c r="K2466" s="252">
        <f t="shared" si="80"/>
        <v>300</v>
      </c>
    </row>
    <row r="2467" spans="1:11" hidden="1">
      <c r="A2467" s="251"/>
      <c r="F2467" s="252">
        <v>2</v>
      </c>
      <c r="G2467" s="252" t="s">
        <v>557</v>
      </c>
      <c r="H2467" s="296" t="s">
        <v>352</v>
      </c>
      <c r="I2467" s="252">
        <f>C13</f>
        <v>85</v>
      </c>
      <c r="J2467" s="253" t="s">
        <v>1393</v>
      </c>
      <c r="K2467" s="252">
        <f t="shared" si="80"/>
        <v>170</v>
      </c>
    </row>
    <row r="2468" spans="1:11" hidden="1">
      <c r="A2468" s="251"/>
      <c r="F2468" s="252">
        <v>0.28000000000000003</v>
      </c>
      <c r="G2468" s="252" t="s">
        <v>2273</v>
      </c>
      <c r="H2468" s="296" t="s">
        <v>3000</v>
      </c>
      <c r="I2468" s="252">
        <f>K2448</f>
        <v>168.13</v>
      </c>
      <c r="J2468" s="253" t="s">
        <v>2273</v>
      </c>
      <c r="K2468" s="252">
        <f t="shared" si="80"/>
        <v>47.08</v>
      </c>
    </row>
    <row r="2469" spans="1:11" hidden="1">
      <c r="A2469" s="251"/>
      <c r="F2469" s="252">
        <v>500</v>
      </c>
      <c r="G2469" s="252" t="s">
        <v>1427</v>
      </c>
      <c r="H2469" s="296" t="s">
        <v>3001</v>
      </c>
      <c r="I2469" s="252">
        <v>2</v>
      </c>
      <c r="J2469" s="253" t="s">
        <v>1393</v>
      </c>
      <c r="K2469" s="252">
        <f t="shared" si="80"/>
        <v>1000</v>
      </c>
    </row>
    <row r="2470" spans="1:11" hidden="1">
      <c r="A2470" s="251"/>
      <c r="F2470" s="252">
        <v>8.5</v>
      </c>
      <c r="G2470" s="252" t="s">
        <v>3211</v>
      </c>
      <c r="H2470" s="296" t="s">
        <v>3212</v>
      </c>
      <c r="I2470" s="252">
        <v>25</v>
      </c>
      <c r="J2470" s="253" t="s">
        <v>2138</v>
      </c>
      <c r="K2470" s="252">
        <f t="shared" si="80"/>
        <v>212.5</v>
      </c>
    </row>
    <row r="2471" spans="1:11" hidden="1">
      <c r="A2471" s="251"/>
      <c r="K2471" s="358" t="s">
        <v>1579</v>
      </c>
    </row>
    <row r="2472" spans="1:11" hidden="1">
      <c r="A2472" s="251"/>
      <c r="H2472" s="253" t="s">
        <v>3213</v>
      </c>
      <c r="K2472" s="252" t="e">
        <f>SUM(K2465:K2471)</f>
        <v>#REF!</v>
      </c>
    </row>
    <row r="2473" spans="1:11" hidden="1">
      <c r="A2473" s="251"/>
      <c r="K2473" s="543" t="s">
        <v>3214</v>
      </c>
    </row>
    <row r="2474" spans="1:11" hidden="1">
      <c r="A2474" s="251"/>
      <c r="H2474" s="253" t="s">
        <v>3215</v>
      </c>
      <c r="K2474" s="252" t="e">
        <f>K2472/39.2</f>
        <v>#REF!</v>
      </c>
    </row>
    <row r="2475" spans="1:11" hidden="1">
      <c r="A2475" s="251"/>
      <c r="K2475" s="377" t="s">
        <v>1219</v>
      </c>
    </row>
    <row r="2476" spans="1:11" hidden="1">
      <c r="A2476" s="251"/>
      <c r="H2476" s="613" t="s">
        <v>3206</v>
      </c>
    </row>
    <row r="2477" spans="1:11" hidden="1">
      <c r="A2477" s="251"/>
      <c r="H2477" s="252" t="s">
        <v>3207</v>
      </c>
      <c r="I2477" s="252" t="s">
        <v>3238</v>
      </c>
    </row>
    <row r="2478" spans="1:11" hidden="1">
      <c r="A2478" s="251"/>
      <c r="I2478" s="377" t="s">
        <v>3239</v>
      </c>
      <c r="J2478" s="253" t="s">
        <v>3240</v>
      </c>
    </row>
    <row r="2479" spans="1:11" hidden="1">
      <c r="A2479" s="251"/>
      <c r="H2479" s="252" t="s">
        <v>3241</v>
      </c>
      <c r="I2479" s="252" t="s">
        <v>3242</v>
      </c>
    </row>
    <row r="2480" spans="1:11" hidden="1">
      <c r="A2480" s="251"/>
    </row>
    <row r="2481" spans="1:11" hidden="1">
      <c r="A2481" s="251"/>
      <c r="H2481" s="252" t="s">
        <v>3243</v>
      </c>
    </row>
    <row r="2482" spans="1:11" hidden="1">
      <c r="A2482" s="251"/>
      <c r="H2482" s="252" t="s">
        <v>3244</v>
      </c>
      <c r="I2482" s="252" t="s">
        <v>3245</v>
      </c>
    </row>
    <row r="2483" spans="1:11" hidden="1">
      <c r="A2483" s="251"/>
      <c r="H2483" s="252" t="s">
        <v>3246</v>
      </c>
      <c r="I2483" s="252" t="s">
        <v>3247</v>
      </c>
    </row>
    <row r="2484" spans="1:11" hidden="1">
      <c r="A2484" s="251"/>
      <c r="H2484" s="252" t="s">
        <v>3293</v>
      </c>
    </row>
    <row r="2485" spans="1:11" hidden="1">
      <c r="A2485" s="251"/>
    </row>
    <row r="2486" spans="1:11" hidden="1">
      <c r="A2486" s="251"/>
    </row>
    <row r="2487" spans="1:11" hidden="1">
      <c r="A2487" s="251"/>
    </row>
    <row r="2488" spans="1:11" ht="47.25" hidden="1">
      <c r="A2488" s="251"/>
      <c r="F2488" s="690">
        <v>83</v>
      </c>
      <c r="H2488" s="268" t="s">
        <v>3294</v>
      </c>
    </row>
    <row r="2489" spans="1:11" hidden="1">
      <c r="A2489" s="251"/>
      <c r="H2489" s="377" t="s">
        <v>3329</v>
      </c>
    </row>
    <row r="2490" spans="1:11" ht="63" hidden="1">
      <c r="A2490" s="251"/>
      <c r="F2490" s="259">
        <v>3.25</v>
      </c>
      <c r="G2490" s="262" t="s">
        <v>3330</v>
      </c>
      <c r="H2490" s="262" t="s">
        <v>3331</v>
      </c>
      <c r="I2490" s="262">
        <v>27</v>
      </c>
      <c r="J2490" s="262" t="s">
        <v>1637</v>
      </c>
      <c r="K2490" s="262">
        <f>I2490*F2490</f>
        <v>87.75</v>
      </c>
    </row>
    <row r="2491" spans="1:11" hidden="1">
      <c r="A2491" s="251"/>
      <c r="H2491" s="252" t="s">
        <v>1186</v>
      </c>
      <c r="K2491" s="252">
        <v>0.25</v>
      </c>
    </row>
    <row r="2492" spans="1:11" hidden="1">
      <c r="A2492" s="251"/>
      <c r="K2492" s="358" t="s">
        <v>1579</v>
      </c>
    </row>
    <row r="2493" spans="1:11" hidden="1">
      <c r="A2493" s="251"/>
      <c r="H2493" s="252" t="s">
        <v>3332</v>
      </c>
      <c r="K2493" s="252">
        <f>SUM(K2490:K2492)</f>
        <v>88</v>
      </c>
    </row>
    <row r="2494" spans="1:11" hidden="1">
      <c r="A2494" s="251"/>
      <c r="K2494" s="358" t="s">
        <v>2046</v>
      </c>
    </row>
    <row r="2495" spans="1:11" ht="18" hidden="1">
      <c r="A2495" s="251"/>
      <c r="F2495" s="691">
        <v>79.099999999999994</v>
      </c>
      <c r="H2495" s="252" t="s">
        <v>3333</v>
      </c>
    </row>
    <row r="2496" spans="1:11" hidden="1">
      <c r="A2496" s="251"/>
      <c r="H2496" s="377" t="s">
        <v>3334</v>
      </c>
    </row>
    <row r="2497" spans="1:11" hidden="1">
      <c r="A2497" s="251"/>
      <c r="F2497" s="252">
        <v>1</v>
      </c>
      <c r="G2497" s="252" t="s">
        <v>1389</v>
      </c>
      <c r="H2497" s="252" t="s">
        <v>3335</v>
      </c>
      <c r="I2497" s="252">
        <v>75</v>
      </c>
      <c r="J2497" s="253" t="s">
        <v>1393</v>
      </c>
      <c r="K2497" s="252">
        <f>I2497*F2497</f>
        <v>75</v>
      </c>
    </row>
    <row r="2498" spans="1:11" hidden="1">
      <c r="A2498" s="251"/>
      <c r="F2498" s="252">
        <v>1</v>
      </c>
      <c r="G2498" s="252" t="s">
        <v>1389</v>
      </c>
      <c r="H2498" s="252" t="s">
        <v>3336</v>
      </c>
      <c r="I2498" s="252">
        <v>17.75</v>
      </c>
      <c r="J2498" s="253" t="s">
        <v>1393</v>
      </c>
      <c r="K2498" s="252">
        <f>I2498*F2498</f>
        <v>17.75</v>
      </c>
    </row>
    <row r="2499" spans="1:11" hidden="1">
      <c r="A2499" s="251"/>
      <c r="F2499" s="252">
        <v>1</v>
      </c>
      <c r="G2499" s="252" t="s">
        <v>1389</v>
      </c>
      <c r="H2499" s="252" t="s">
        <v>140</v>
      </c>
      <c r="I2499" s="252">
        <f>K2510</f>
        <v>65.13</v>
      </c>
      <c r="J2499" s="253" t="s">
        <v>1393</v>
      </c>
      <c r="K2499" s="252">
        <f>I2499*F2499</f>
        <v>65.13</v>
      </c>
    </row>
    <row r="2500" spans="1:11" hidden="1">
      <c r="A2500" s="251"/>
      <c r="H2500" s="252" t="s">
        <v>2317</v>
      </c>
      <c r="J2500" s="253" t="s">
        <v>446</v>
      </c>
      <c r="K2500" s="252">
        <v>3.12</v>
      </c>
    </row>
    <row r="2501" spans="1:11" hidden="1">
      <c r="A2501" s="251"/>
      <c r="K2501" s="377" t="s">
        <v>2318</v>
      </c>
    </row>
    <row r="2502" spans="1:11" hidden="1">
      <c r="A2502" s="251"/>
      <c r="K2502" s="252">
        <f>SUM(K2497:K2501)</f>
        <v>161</v>
      </c>
    </row>
    <row r="2503" spans="1:11" hidden="1">
      <c r="A2503" s="251"/>
      <c r="K2503" s="377" t="s">
        <v>146</v>
      </c>
    </row>
    <row r="2504" spans="1:11" hidden="1">
      <c r="A2504" s="251"/>
      <c r="F2504" s="252" t="s">
        <v>140</v>
      </c>
    </row>
    <row r="2505" spans="1:11" hidden="1">
      <c r="A2505" s="251"/>
      <c r="F2505" s="252">
        <v>1</v>
      </c>
      <c r="G2505" s="252" t="s">
        <v>1389</v>
      </c>
      <c r="H2505" s="252" t="s">
        <v>2319</v>
      </c>
      <c r="I2505" s="252">
        <v>131</v>
      </c>
      <c r="J2505" s="253" t="s">
        <v>1393</v>
      </c>
      <c r="K2505" s="252">
        <f>I2505*F2505</f>
        <v>131</v>
      </c>
    </row>
    <row r="2506" spans="1:11" hidden="1">
      <c r="A2506" s="251"/>
      <c r="F2506" s="252">
        <v>1</v>
      </c>
      <c r="G2506" s="252" t="s">
        <v>1389</v>
      </c>
      <c r="H2506" s="252" t="s">
        <v>2320</v>
      </c>
      <c r="I2506" s="252">
        <v>117</v>
      </c>
      <c r="J2506" s="253" t="s">
        <v>1393</v>
      </c>
      <c r="K2506" s="252">
        <f>I2506*F2506</f>
        <v>117</v>
      </c>
    </row>
    <row r="2507" spans="1:11" hidden="1">
      <c r="A2507" s="251"/>
      <c r="F2507" s="252">
        <v>3</v>
      </c>
      <c r="G2507" s="252" t="s">
        <v>1427</v>
      </c>
      <c r="H2507" s="252" t="s">
        <v>2321</v>
      </c>
      <c r="I2507" s="252">
        <v>91</v>
      </c>
      <c r="J2507" s="253" t="s">
        <v>1393</v>
      </c>
      <c r="K2507" s="252">
        <f>I2507*F2507</f>
        <v>273</v>
      </c>
    </row>
    <row r="2508" spans="1:11" hidden="1">
      <c r="A2508" s="251"/>
      <c r="K2508" s="377" t="s">
        <v>426</v>
      </c>
    </row>
    <row r="2509" spans="1:11" hidden="1">
      <c r="A2509" s="251"/>
      <c r="H2509" s="252" t="s">
        <v>2322</v>
      </c>
      <c r="K2509" s="252">
        <f>SUM(K2505:K2508)</f>
        <v>521</v>
      </c>
    </row>
    <row r="2510" spans="1:11" hidden="1">
      <c r="A2510" s="251"/>
      <c r="H2510" s="252" t="s">
        <v>2323</v>
      </c>
      <c r="K2510" s="252">
        <f>K2509/8</f>
        <v>65.13</v>
      </c>
    </row>
    <row r="2511" spans="1:11" hidden="1">
      <c r="A2511" s="251"/>
    </row>
    <row r="2512" spans="1:11" hidden="1">
      <c r="A2512" s="251"/>
      <c r="K2512" s="377"/>
    </row>
    <row r="2513" spans="1:11" hidden="1">
      <c r="A2513" s="251"/>
      <c r="F2513" s="253" t="s">
        <v>3301</v>
      </c>
      <c r="G2513" s="252" t="s">
        <v>2241</v>
      </c>
      <c r="H2513" s="296" t="s">
        <v>2167</v>
      </c>
    </row>
    <row r="2514" spans="1:11" hidden="1">
      <c r="A2514" s="251"/>
      <c r="H2514" s="296" t="s">
        <v>2169</v>
      </c>
    </row>
    <row r="2515" spans="1:11" hidden="1">
      <c r="A2515" s="251"/>
      <c r="H2515" s="296" t="s">
        <v>2170</v>
      </c>
    </row>
    <row r="2516" spans="1:11" hidden="1">
      <c r="A2516" s="251"/>
      <c r="H2516" s="296" t="s">
        <v>2171</v>
      </c>
    </row>
    <row r="2517" spans="1:11" hidden="1">
      <c r="A2517" s="251"/>
      <c r="H2517" s="296" t="s">
        <v>2172</v>
      </c>
    </row>
    <row r="2518" spans="1:11" hidden="1">
      <c r="A2518" s="251"/>
      <c r="H2518" s="296" t="s">
        <v>2173</v>
      </c>
    </row>
    <row r="2519" spans="1:11" hidden="1">
      <c r="A2519" s="251"/>
      <c r="H2519" s="358" t="s">
        <v>1579</v>
      </c>
    </row>
    <row r="2520" spans="1:11" hidden="1">
      <c r="A2520" s="251"/>
      <c r="F2520" s="253"/>
      <c r="H2520" s="296" t="s">
        <v>1806</v>
      </c>
      <c r="K2520" s="296" t="s">
        <v>971</v>
      </c>
    </row>
    <row r="2521" spans="1:11" hidden="1">
      <c r="A2521" s="251"/>
      <c r="H2521" s="358" t="s">
        <v>1579</v>
      </c>
    </row>
    <row r="2522" spans="1:11" hidden="1">
      <c r="A2522" s="251"/>
      <c r="F2522" s="447">
        <v>1.153E-2</v>
      </c>
      <c r="G2522" s="252" t="s">
        <v>866</v>
      </c>
      <c r="H2522" s="296" t="s">
        <v>689</v>
      </c>
      <c r="I2522" s="252">
        <f t="shared" ref="I2522:I2531" si="81">I1011</f>
        <v>65420</v>
      </c>
      <c r="J2522" s="253" t="s">
        <v>866</v>
      </c>
      <c r="K2522" s="252">
        <f t="shared" ref="K2522:K2531" si="82">(F2522*I2522)</f>
        <v>754.29</v>
      </c>
    </row>
    <row r="2523" spans="1:11" hidden="1">
      <c r="A2523" s="251"/>
      <c r="F2523" s="447">
        <v>1.52E-2</v>
      </c>
      <c r="G2523" s="252" t="s">
        <v>866</v>
      </c>
      <c r="H2523" s="296" t="s">
        <v>690</v>
      </c>
      <c r="I2523" s="252">
        <f t="shared" si="81"/>
        <v>57165</v>
      </c>
      <c r="J2523" s="253" t="s">
        <v>866</v>
      </c>
      <c r="K2523" s="252">
        <f t="shared" si="82"/>
        <v>868.91</v>
      </c>
    </row>
    <row r="2524" spans="1:11" hidden="1">
      <c r="A2524" s="251"/>
      <c r="F2524" s="447">
        <v>1.2787999999999999</v>
      </c>
      <c r="G2524" s="252" t="s">
        <v>606</v>
      </c>
      <c r="H2524" s="296" t="s">
        <v>2082</v>
      </c>
      <c r="I2524" s="252">
        <f t="shared" si="81"/>
        <v>381.37</v>
      </c>
      <c r="J2524" s="253" t="s">
        <v>606</v>
      </c>
      <c r="K2524" s="252">
        <f t="shared" si="82"/>
        <v>487.7</v>
      </c>
    </row>
    <row r="2525" spans="1:11" hidden="1">
      <c r="A2525" s="251"/>
      <c r="F2525" s="447">
        <v>1.845</v>
      </c>
      <c r="G2525" s="252" t="s">
        <v>606</v>
      </c>
      <c r="H2525" s="296" t="s">
        <v>2083</v>
      </c>
      <c r="I2525" s="252">
        <f t="shared" si="81"/>
        <v>287</v>
      </c>
      <c r="J2525" s="253" t="s">
        <v>606</v>
      </c>
      <c r="K2525" s="252">
        <f t="shared" si="82"/>
        <v>529.52</v>
      </c>
    </row>
    <row r="2526" spans="1:11" hidden="1">
      <c r="A2526" s="251"/>
      <c r="F2526" s="252">
        <v>2</v>
      </c>
      <c r="G2526" s="252" t="s">
        <v>865</v>
      </c>
      <c r="H2526" s="296" t="s">
        <v>2084</v>
      </c>
      <c r="I2526" s="252">
        <f t="shared" si="81"/>
        <v>30</v>
      </c>
      <c r="J2526" s="253" t="s">
        <v>865</v>
      </c>
      <c r="K2526" s="252">
        <f t="shared" si="82"/>
        <v>60</v>
      </c>
    </row>
    <row r="2527" spans="1:11" hidden="1">
      <c r="A2527" s="251"/>
      <c r="F2527" s="252">
        <v>3</v>
      </c>
      <c r="G2527" s="252" t="s">
        <v>865</v>
      </c>
      <c r="H2527" s="296" t="s">
        <v>1510</v>
      </c>
      <c r="I2527" s="252">
        <f t="shared" si="81"/>
        <v>45</v>
      </c>
      <c r="J2527" s="253" t="s">
        <v>865</v>
      </c>
      <c r="K2527" s="252">
        <f t="shared" si="82"/>
        <v>135</v>
      </c>
    </row>
    <row r="2528" spans="1:11" hidden="1">
      <c r="A2528" s="251"/>
      <c r="F2528" s="252">
        <v>1</v>
      </c>
      <c r="G2528" s="252" t="s">
        <v>865</v>
      </c>
      <c r="H2528" s="296" t="s">
        <v>1970</v>
      </c>
      <c r="I2528" s="252">
        <f t="shared" si="81"/>
        <v>95</v>
      </c>
      <c r="J2528" s="253" t="s">
        <v>865</v>
      </c>
      <c r="K2528" s="252">
        <f t="shared" si="82"/>
        <v>95</v>
      </c>
    </row>
    <row r="2529" spans="1:11" hidden="1">
      <c r="A2529" s="251"/>
      <c r="F2529" s="252">
        <v>1</v>
      </c>
      <c r="G2529" s="252" t="s">
        <v>865</v>
      </c>
      <c r="H2529" s="296" t="s">
        <v>1971</v>
      </c>
      <c r="I2529" s="252">
        <f t="shared" si="81"/>
        <v>8</v>
      </c>
      <c r="J2529" s="253" t="s">
        <v>865</v>
      </c>
      <c r="K2529" s="252">
        <f t="shared" si="82"/>
        <v>8</v>
      </c>
    </row>
    <row r="2530" spans="1:11" hidden="1">
      <c r="A2530" s="251"/>
      <c r="F2530" s="252">
        <v>1</v>
      </c>
      <c r="G2530" s="252" t="s">
        <v>865</v>
      </c>
      <c r="H2530" s="296" t="s">
        <v>1972</v>
      </c>
      <c r="I2530" s="252">
        <f t="shared" si="81"/>
        <v>30</v>
      </c>
      <c r="J2530" s="253" t="s">
        <v>865</v>
      </c>
      <c r="K2530" s="252">
        <f t="shared" si="82"/>
        <v>30</v>
      </c>
    </row>
    <row r="2531" spans="1:11" hidden="1">
      <c r="A2531" s="251"/>
      <c r="F2531" s="252">
        <v>1</v>
      </c>
      <c r="G2531" s="252" t="s">
        <v>865</v>
      </c>
      <c r="H2531" s="296" t="s">
        <v>1973</v>
      </c>
      <c r="I2531" s="252">
        <f t="shared" si="81"/>
        <v>25</v>
      </c>
      <c r="J2531" s="253" t="s">
        <v>865</v>
      </c>
      <c r="K2531" s="252">
        <f t="shared" si="82"/>
        <v>25</v>
      </c>
    </row>
    <row r="2532" spans="1:11" hidden="1">
      <c r="A2532" s="251"/>
      <c r="K2532" s="358" t="s">
        <v>1579</v>
      </c>
    </row>
    <row r="2533" spans="1:11" hidden="1">
      <c r="A2533" s="251"/>
      <c r="H2533" s="253" t="s">
        <v>454</v>
      </c>
      <c r="K2533" s="252">
        <f>SUM(K2522:K2532)</f>
        <v>2993.42</v>
      </c>
    </row>
    <row r="2534" spans="1:11" hidden="1">
      <c r="A2534" s="251"/>
      <c r="G2534" s="252" t="s">
        <v>971</v>
      </c>
      <c r="K2534" s="358" t="s">
        <v>1579</v>
      </c>
    </row>
    <row r="2535" spans="1:11" hidden="1">
      <c r="A2535" s="251"/>
      <c r="H2535" s="253" t="s">
        <v>549</v>
      </c>
      <c r="K2535" s="252">
        <f>K2533/F2525</f>
        <v>1622.45</v>
      </c>
    </row>
    <row r="2536" spans="1:11" hidden="1">
      <c r="A2536" s="251"/>
      <c r="K2536" s="358" t="s">
        <v>2046</v>
      </c>
    </row>
    <row r="2537" spans="1:11" hidden="1">
      <c r="A2537" s="251"/>
      <c r="F2537" s="375">
        <v>98.1</v>
      </c>
      <c r="G2537" s="252" t="s">
        <v>2241</v>
      </c>
      <c r="H2537" s="296" t="s">
        <v>3302</v>
      </c>
    </row>
    <row r="2538" spans="1:11" hidden="1">
      <c r="A2538" s="251"/>
      <c r="H2538" s="296" t="s">
        <v>253</v>
      </c>
    </row>
    <row r="2539" spans="1:11" hidden="1">
      <c r="A2539" s="251"/>
      <c r="H2539" s="276" t="s">
        <v>2290</v>
      </c>
    </row>
    <row r="2540" spans="1:11" hidden="1">
      <c r="A2540" s="251"/>
      <c r="H2540" s="358" t="s">
        <v>1579</v>
      </c>
    </row>
    <row r="2541" spans="1:11" hidden="1">
      <c r="A2541" s="251"/>
      <c r="H2541" s="296" t="s">
        <v>2291</v>
      </c>
      <c r="J2541" s="655"/>
    </row>
    <row r="2542" spans="1:11" hidden="1">
      <c r="A2542" s="251"/>
      <c r="H2542" s="296" t="s">
        <v>2292</v>
      </c>
    </row>
    <row r="2543" spans="1:11" hidden="1">
      <c r="A2543" s="251"/>
      <c r="J2543" s="253" t="s">
        <v>1579</v>
      </c>
    </row>
    <row r="2544" spans="1:11" hidden="1">
      <c r="A2544" s="251"/>
      <c r="H2544" s="296" t="s">
        <v>2293</v>
      </c>
    </row>
    <row r="2545" spans="1:11" hidden="1">
      <c r="A2545" s="251"/>
      <c r="H2545" s="296" t="s">
        <v>2660</v>
      </c>
      <c r="K2545" s="400">
        <v>3.5400000000000001E-2</v>
      </c>
    </row>
    <row r="2546" spans="1:11" hidden="1">
      <c r="A2546" s="251"/>
      <c r="J2546" s="253" t="s">
        <v>971</v>
      </c>
      <c r="K2546" s="358" t="s">
        <v>1579</v>
      </c>
    </row>
    <row r="2547" spans="1:11" hidden="1">
      <c r="A2547" s="251"/>
      <c r="H2547" s="296" t="s">
        <v>2661</v>
      </c>
      <c r="J2547" s="569" t="s">
        <v>971</v>
      </c>
      <c r="K2547" s="400">
        <v>2.5899999999999999E-2</v>
      </c>
    </row>
    <row r="2548" spans="1:11" hidden="1">
      <c r="A2548" s="251"/>
      <c r="H2548" s="296" t="s">
        <v>2662</v>
      </c>
      <c r="J2548" s="253" t="s">
        <v>971</v>
      </c>
      <c r="K2548" s="400">
        <v>6.4999999999999997E-3</v>
      </c>
    </row>
    <row r="2549" spans="1:11" hidden="1">
      <c r="A2549" s="251"/>
      <c r="K2549" s="358" t="s">
        <v>1579</v>
      </c>
    </row>
    <row r="2550" spans="1:11" hidden="1">
      <c r="A2550" s="251"/>
      <c r="K2550" s="400">
        <v>3.2300000000000002E-2</v>
      </c>
    </row>
    <row r="2551" spans="1:11" hidden="1">
      <c r="A2551" s="251"/>
      <c r="K2551" s="358" t="s">
        <v>1579</v>
      </c>
    </row>
    <row r="2552" spans="1:11" hidden="1">
      <c r="A2552" s="251"/>
    </row>
    <row r="2553" spans="1:11" hidden="1">
      <c r="A2553" s="251"/>
    </row>
    <row r="2554" spans="1:11" hidden="1">
      <c r="A2554" s="251"/>
      <c r="F2554" s="400">
        <v>2.2800000000000001E-2</v>
      </c>
      <c r="G2554" s="252" t="s">
        <v>866</v>
      </c>
      <c r="H2554" s="296" t="s">
        <v>305</v>
      </c>
      <c r="I2554" s="252">
        <f>I910</f>
        <v>65420</v>
      </c>
      <c r="J2554" s="253" t="s">
        <v>866</v>
      </c>
      <c r="K2554" s="252">
        <f t="shared" ref="K2554:K2564" si="83">(F2554*I2554)</f>
        <v>1491.58</v>
      </c>
    </row>
    <row r="2555" spans="1:11" hidden="1">
      <c r="A2555" s="251"/>
      <c r="F2555" s="400">
        <v>3.5400000000000001E-2</v>
      </c>
      <c r="G2555" s="252" t="s">
        <v>866</v>
      </c>
      <c r="H2555" s="296" t="s">
        <v>306</v>
      </c>
      <c r="I2555" s="252">
        <f>I911</f>
        <v>57165</v>
      </c>
      <c r="J2555" s="253" t="s">
        <v>866</v>
      </c>
      <c r="K2555" s="252">
        <f t="shared" si="83"/>
        <v>2023.64</v>
      </c>
    </row>
    <row r="2556" spans="1:11" hidden="1">
      <c r="A2556" s="251"/>
      <c r="F2556" s="400">
        <v>3.2300000000000002E-2</v>
      </c>
      <c r="G2556" s="252" t="s">
        <v>866</v>
      </c>
      <c r="H2556" s="296" t="s">
        <v>307</v>
      </c>
      <c r="I2556" s="252">
        <f>I912</f>
        <v>63870</v>
      </c>
      <c r="J2556" s="253" t="s">
        <v>866</v>
      </c>
      <c r="K2556" s="252">
        <f t="shared" si="83"/>
        <v>2063</v>
      </c>
    </row>
    <row r="2557" spans="1:11" hidden="1">
      <c r="A2557" s="251"/>
      <c r="F2557" s="316"/>
      <c r="H2557" s="296" t="s">
        <v>941</v>
      </c>
      <c r="K2557" s="252">
        <f t="shared" si="83"/>
        <v>0</v>
      </c>
    </row>
    <row r="2558" spans="1:11" hidden="1">
      <c r="A2558" s="251"/>
      <c r="F2558" s="316">
        <v>2.835</v>
      </c>
      <c r="G2558" s="252" t="s">
        <v>606</v>
      </c>
      <c r="H2558" s="296" t="s">
        <v>444</v>
      </c>
      <c r="I2558" s="252">
        <f t="shared" ref="I2558:I2564" si="84">I914</f>
        <v>342</v>
      </c>
      <c r="J2558" s="253" t="s">
        <v>606</v>
      </c>
      <c r="K2558" s="252">
        <f t="shared" si="83"/>
        <v>969.57</v>
      </c>
    </row>
    <row r="2559" spans="1:11" hidden="1">
      <c r="A2559" s="251"/>
      <c r="F2559" s="252">
        <v>2</v>
      </c>
      <c r="G2559" s="252" t="s">
        <v>766</v>
      </c>
      <c r="H2559" s="296" t="s">
        <v>1456</v>
      </c>
      <c r="I2559" s="252">
        <f t="shared" si="84"/>
        <v>30</v>
      </c>
      <c r="J2559" s="253" t="s">
        <v>865</v>
      </c>
      <c r="K2559" s="252">
        <f t="shared" si="83"/>
        <v>60</v>
      </c>
    </row>
    <row r="2560" spans="1:11" hidden="1">
      <c r="A2560" s="251"/>
      <c r="F2560" s="252">
        <v>6</v>
      </c>
      <c r="G2560" s="252" t="s">
        <v>865</v>
      </c>
      <c r="H2560" s="296" t="s">
        <v>1457</v>
      </c>
      <c r="I2560" s="252">
        <f t="shared" si="84"/>
        <v>45</v>
      </c>
      <c r="J2560" s="253" t="s">
        <v>865</v>
      </c>
      <c r="K2560" s="252">
        <f t="shared" si="83"/>
        <v>270</v>
      </c>
    </row>
    <row r="2561" spans="1:11" hidden="1">
      <c r="A2561" s="251"/>
      <c r="F2561" s="252">
        <v>4</v>
      </c>
      <c r="G2561" s="252" t="s">
        <v>865</v>
      </c>
      <c r="H2561" s="296" t="s">
        <v>1458</v>
      </c>
      <c r="I2561" s="252">
        <f t="shared" si="84"/>
        <v>30</v>
      </c>
      <c r="J2561" s="253" t="s">
        <v>865</v>
      </c>
      <c r="K2561" s="252">
        <f t="shared" si="83"/>
        <v>120</v>
      </c>
    </row>
    <row r="2562" spans="1:11" hidden="1">
      <c r="A2562" s="251"/>
      <c r="F2562" s="252">
        <v>1</v>
      </c>
      <c r="G2562" s="252" t="s">
        <v>865</v>
      </c>
      <c r="H2562" s="296" t="s">
        <v>1459</v>
      </c>
      <c r="I2562" s="252">
        <f t="shared" si="84"/>
        <v>95</v>
      </c>
      <c r="J2562" s="253" t="s">
        <v>865</v>
      </c>
      <c r="K2562" s="252">
        <f t="shared" si="83"/>
        <v>95</v>
      </c>
    </row>
    <row r="2563" spans="1:11" hidden="1">
      <c r="A2563" s="251"/>
      <c r="F2563" s="252">
        <v>2</v>
      </c>
      <c r="G2563" s="252" t="s">
        <v>865</v>
      </c>
      <c r="H2563" s="296" t="s">
        <v>1460</v>
      </c>
      <c r="I2563" s="252">
        <f t="shared" si="84"/>
        <v>8</v>
      </c>
      <c r="J2563" s="253" t="s">
        <v>865</v>
      </c>
      <c r="K2563" s="252">
        <f t="shared" si="83"/>
        <v>16</v>
      </c>
    </row>
    <row r="2564" spans="1:11" hidden="1">
      <c r="A2564" s="251"/>
      <c r="F2564" s="252">
        <v>2</v>
      </c>
      <c r="G2564" s="252" t="s">
        <v>865</v>
      </c>
      <c r="H2564" s="296" t="s">
        <v>1973</v>
      </c>
      <c r="I2564" s="252">
        <f t="shared" si="84"/>
        <v>25</v>
      </c>
      <c r="J2564" s="253" t="s">
        <v>865</v>
      </c>
      <c r="K2564" s="252">
        <f t="shared" si="83"/>
        <v>50</v>
      </c>
    </row>
    <row r="2565" spans="1:11" hidden="1">
      <c r="A2565" s="251"/>
      <c r="K2565" s="358" t="s">
        <v>1579</v>
      </c>
    </row>
    <row r="2566" spans="1:11" hidden="1">
      <c r="A2566" s="251"/>
      <c r="H2566" s="296" t="s">
        <v>3303</v>
      </c>
      <c r="K2566" s="252">
        <f>SUM(K2554:K2564)</f>
        <v>7158.79</v>
      </c>
    </row>
    <row r="2567" spans="1:11" hidden="1">
      <c r="A2567" s="251"/>
      <c r="K2567" s="358" t="s">
        <v>1579</v>
      </c>
    </row>
    <row r="2568" spans="1:11" hidden="1">
      <c r="A2568" s="251"/>
      <c r="H2568" s="296" t="s">
        <v>549</v>
      </c>
      <c r="K2568" s="252">
        <f>K2566/F2558</f>
        <v>2525.15</v>
      </c>
    </row>
    <row r="2569" spans="1:11" hidden="1">
      <c r="A2569" s="251"/>
      <c r="H2569" s="296"/>
      <c r="K2569" s="358" t="s">
        <v>2046</v>
      </c>
    </row>
    <row r="2570" spans="1:11" hidden="1">
      <c r="A2570" s="251"/>
      <c r="H2570" s="276" t="s">
        <v>705</v>
      </c>
    </row>
    <row r="2571" spans="1:11" hidden="1">
      <c r="A2571" s="251"/>
      <c r="H2571" s="358" t="s">
        <v>1579</v>
      </c>
    </row>
    <row r="2572" spans="1:11" hidden="1">
      <c r="A2572" s="251"/>
      <c r="H2572" s="296" t="s">
        <v>420</v>
      </c>
      <c r="J2572" s="655"/>
    </row>
    <row r="2573" spans="1:11" hidden="1">
      <c r="A2573" s="251"/>
      <c r="H2573" s="296" t="s">
        <v>2292</v>
      </c>
    </row>
    <row r="2574" spans="1:11" hidden="1">
      <c r="A2574" s="251"/>
      <c r="J2574" s="253" t="s">
        <v>1579</v>
      </c>
    </row>
    <row r="2575" spans="1:11" hidden="1">
      <c r="A2575" s="251"/>
      <c r="H2575" s="296" t="s">
        <v>3304</v>
      </c>
    </row>
    <row r="2576" spans="1:11" hidden="1">
      <c r="A2576" s="251"/>
      <c r="H2576" s="296" t="s">
        <v>3305</v>
      </c>
      <c r="K2576" s="400">
        <v>2.5000000000000001E-2</v>
      </c>
    </row>
    <row r="2577" spans="1:11" hidden="1">
      <c r="A2577" s="251"/>
      <c r="J2577" s="253" t="s">
        <v>971</v>
      </c>
      <c r="K2577" s="358" t="s">
        <v>1579</v>
      </c>
    </row>
    <row r="2578" spans="1:11" hidden="1">
      <c r="A2578" s="251"/>
      <c r="H2578" s="296" t="s">
        <v>3306</v>
      </c>
      <c r="J2578" s="569" t="s">
        <v>971</v>
      </c>
      <c r="K2578" s="400">
        <v>1.7850000000000001E-2</v>
      </c>
    </row>
    <row r="2579" spans="1:11" hidden="1">
      <c r="A2579" s="251"/>
      <c r="H2579" s="296" t="s">
        <v>3037</v>
      </c>
      <c r="J2579" s="253" t="s">
        <v>971</v>
      </c>
      <c r="K2579" s="400">
        <v>1.4500000000000001E-2</v>
      </c>
    </row>
    <row r="2580" spans="1:11" hidden="1">
      <c r="A2580" s="251"/>
      <c r="K2580" s="358" t="s">
        <v>1579</v>
      </c>
    </row>
    <row r="2581" spans="1:11" hidden="1">
      <c r="A2581" s="251"/>
      <c r="K2581" s="400">
        <v>2.23E-2</v>
      </c>
    </row>
    <row r="2582" spans="1:11" hidden="1">
      <c r="A2582" s="251"/>
      <c r="K2582" s="358" t="s">
        <v>1579</v>
      </c>
    </row>
    <row r="2583" spans="1:11" hidden="1">
      <c r="A2583" s="251"/>
    </row>
    <row r="2584" spans="1:11" hidden="1">
      <c r="A2584" s="251"/>
    </row>
    <row r="2585" spans="1:11" hidden="1">
      <c r="A2585" s="251"/>
      <c r="F2585" s="400">
        <v>2.2800000000000001E-2</v>
      </c>
      <c r="G2585" s="252" t="s">
        <v>866</v>
      </c>
      <c r="H2585" s="296" t="s">
        <v>305</v>
      </c>
      <c r="I2585" s="252">
        <f>I2554</f>
        <v>65420</v>
      </c>
      <c r="J2585" s="253" t="s">
        <v>866</v>
      </c>
      <c r="K2585" s="252">
        <f>(F2585*I2585)</f>
        <v>1491.58</v>
      </c>
    </row>
    <row r="2586" spans="1:11" hidden="1">
      <c r="A2586" s="251"/>
      <c r="F2586" s="400">
        <v>2.5000000000000001E-2</v>
      </c>
      <c r="G2586" s="252" t="s">
        <v>866</v>
      </c>
      <c r="H2586" s="296" t="s">
        <v>306</v>
      </c>
      <c r="I2586" s="252">
        <f>I2555</f>
        <v>57165</v>
      </c>
      <c r="J2586" s="253" t="s">
        <v>866</v>
      </c>
      <c r="K2586" s="252">
        <f>(F2586*I2586)</f>
        <v>1429.13</v>
      </c>
    </row>
    <row r="2587" spans="1:11" hidden="1">
      <c r="A2587" s="251"/>
      <c r="F2587" s="400">
        <v>2.23E-2</v>
      </c>
      <c r="G2587" s="252" t="s">
        <v>866</v>
      </c>
      <c r="H2587" s="296" t="s">
        <v>307</v>
      </c>
      <c r="I2587" s="252">
        <f>I2556</f>
        <v>63870</v>
      </c>
      <c r="J2587" s="253" t="s">
        <v>866</v>
      </c>
      <c r="K2587" s="252">
        <f>(F2587*I2587)</f>
        <v>1424.3</v>
      </c>
    </row>
    <row r="2588" spans="1:11" hidden="1">
      <c r="A2588" s="251"/>
      <c r="F2588" s="316"/>
      <c r="H2588" s="296" t="s">
        <v>941</v>
      </c>
      <c r="K2588" s="296" t="s">
        <v>971</v>
      </c>
    </row>
    <row r="2589" spans="1:11" hidden="1">
      <c r="A2589" s="251"/>
      <c r="F2589" s="316">
        <v>2.2275</v>
      </c>
      <c r="G2589" s="252" t="s">
        <v>606</v>
      </c>
      <c r="H2589" s="296" t="s">
        <v>444</v>
      </c>
      <c r="I2589" s="252">
        <f t="shared" ref="I2589:I2595" si="85">I2558</f>
        <v>342</v>
      </c>
      <c r="J2589" s="253" t="s">
        <v>606</v>
      </c>
      <c r="K2589" s="252">
        <f t="shared" ref="K2589:K2595" si="86">(F2589*I2589)</f>
        <v>761.81</v>
      </c>
    </row>
    <row r="2590" spans="1:11" hidden="1">
      <c r="A2590" s="251"/>
      <c r="F2590" s="252">
        <v>2</v>
      </c>
      <c r="G2590" s="252" t="s">
        <v>766</v>
      </c>
      <c r="H2590" s="296" t="s">
        <v>1456</v>
      </c>
      <c r="I2590" s="252">
        <f t="shared" si="85"/>
        <v>30</v>
      </c>
      <c r="J2590" s="253" t="s">
        <v>865</v>
      </c>
      <c r="K2590" s="252">
        <f t="shared" si="86"/>
        <v>60</v>
      </c>
    </row>
    <row r="2591" spans="1:11" hidden="1">
      <c r="A2591" s="251"/>
      <c r="F2591" s="252">
        <v>6</v>
      </c>
      <c r="G2591" s="252" t="s">
        <v>865</v>
      </c>
      <c r="H2591" s="296" t="s">
        <v>1457</v>
      </c>
      <c r="I2591" s="252">
        <f t="shared" si="85"/>
        <v>45</v>
      </c>
      <c r="J2591" s="253" t="s">
        <v>865</v>
      </c>
      <c r="K2591" s="252">
        <f t="shared" si="86"/>
        <v>270</v>
      </c>
    </row>
    <row r="2592" spans="1:11" hidden="1">
      <c r="A2592" s="251"/>
      <c r="F2592" s="252">
        <v>4</v>
      </c>
      <c r="G2592" s="252" t="s">
        <v>865</v>
      </c>
      <c r="H2592" s="296" t="s">
        <v>1458</v>
      </c>
      <c r="I2592" s="252">
        <f t="shared" si="85"/>
        <v>30</v>
      </c>
      <c r="J2592" s="253" t="s">
        <v>865</v>
      </c>
      <c r="K2592" s="252">
        <f t="shared" si="86"/>
        <v>120</v>
      </c>
    </row>
    <row r="2593" spans="1:11" hidden="1">
      <c r="A2593" s="251"/>
      <c r="F2593" s="252">
        <v>1</v>
      </c>
      <c r="G2593" s="252" t="s">
        <v>865</v>
      </c>
      <c r="H2593" s="296" t="s">
        <v>1459</v>
      </c>
      <c r="I2593" s="252">
        <f t="shared" si="85"/>
        <v>95</v>
      </c>
      <c r="J2593" s="253" t="s">
        <v>865</v>
      </c>
      <c r="K2593" s="252">
        <f t="shared" si="86"/>
        <v>95</v>
      </c>
    </row>
    <row r="2594" spans="1:11" hidden="1">
      <c r="A2594" s="251"/>
      <c r="F2594" s="252">
        <v>2</v>
      </c>
      <c r="G2594" s="252" t="s">
        <v>865</v>
      </c>
      <c r="H2594" s="296" t="s">
        <v>1460</v>
      </c>
      <c r="I2594" s="252">
        <f t="shared" si="85"/>
        <v>8</v>
      </c>
      <c r="J2594" s="253" t="s">
        <v>865</v>
      </c>
      <c r="K2594" s="252">
        <f t="shared" si="86"/>
        <v>16</v>
      </c>
    </row>
    <row r="2595" spans="1:11" hidden="1">
      <c r="A2595" s="251"/>
      <c r="F2595" s="252">
        <v>2</v>
      </c>
      <c r="G2595" s="252" t="s">
        <v>865</v>
      </c>
      <c r="H2595" s="296" t="s">
        <v>1973</v>
      </c>
      <c r="I2595" s="252">
        <f t="shared" si="85"/>
        <v>25</v>
      </c>
      <c r="J2595" s="253" t="s">
        <v>865</v>
      </c>
      <c r="K2595" s="252">
        <f t="shared" si="86"/>
        <v>50</v>
      </c>
    </row>
    <row r="2596" spans="1:11" hidden="1">
      <c r="A2596" s="251"/>
      <c r="K2596" s="358" t="s">
        <v>1579</v>
      </c>
    </row>
    <row r="2597" spans="1:11" hidden="1">
      <c r="A2597" s="251"/>
      <c r="H2597" s="296" t="s">
        <v>755</v>
      </c>
      <c r="K2597" s="252">
        <f>SUM(K2585:K2595)</f>
        <v>5717.82</v>
      </c>
    </row>
    <row r="2598" spans="1:11" hidden="1">
      <c r="A2598" s="251"/>
      <c r="K2598" s="358" t="s">
        <v>1579</v>
      </c>
    </row>
    <row r="2599" spans="1:11" hidden="1">
      <c r="A2599" s="251"/>
      <c r="H2599" s="296" t="s">
        <v>549</v>
      </c>
      <c r="K2599" s="252">
        <f>K2597/F2589</f>
        <v>2566.92</v>
      </c>
    </row>
    <row r="2600" spans="1:11" hidden="1">
      <c r="A2600" s="251"/>
      <c r="H2600" s="296"/>
      <c r="K2600" s="358" t="s">
        <v>2046</v>
      </c>
    </row>
    <row r="2601" spans="1:11" hidden="1">
      <c r="A2601" s="251"/>
    </row>
    <row r="2602" spans="1:11" hidden="1">
      <c r="A2602" s="251"/>
      <c r="F2602" s="252">
        <v>55.2</v>
      </c>
      <c r="H2602" s="253" t="s">
        <v>3038</v>
      </c>
    </row>
    <row r="2603" spans="1:11" hidden="1">
      <c r="A2603" s="251"/>
      <c r="H2603" s="692" t="s">
        <v>1579</v>
      </c>
    </row>
    <row r="2604" spans="1:11" hidden="1">
      <c r="A2604" s="251"/>
      <c r="F2604" s="252">
        <v>1</v>
      </c>
      <c r="G2604" s="252" t="s">
        <v>1389</v>
      </c>
      <c r="H2604" s="252" t="s">
        <v>3039</v>
      </c>
      <c r="I2604" s="252">
        <v>650</v>
      </c>
      <c r="J2604" s="253" t="s">
        <v>1389</v>
      </c>
      <c r="K2604" s="252">
        <f>F2604*I2604</f>
        <v>650</v>
      </c>
    </row>
    <row r="2605" spans="1:11" hidden="1">
      <c r="A2605" s="251"/>
      <c r="F2605" s="252">
        <v>0.5</v>
      </c>
      <c r="G2605" s="252" t="s">
        <v>1389</v>
      </c>
      <c r="H2605" s="252" t="s">
        <v>2053</v>
      </c>
      <c r="I2605" s="252">
        <f>C15</f>
        <v>130</v>
      </c>
      <c r="J2605" s="253" t="s">
        <v>1389</v>
      </c>
      <c r="K2605" s="252">
        <f>F2605*I2605</f>
        <v>65</v>
      </c>
    </row>
    <row r="2606" spans="1:11" hidden="1">
      <c r="A2606" s="251"/>
      <c r="F2606" s="252">
        <v>0.5</v>
      </c>
      <c r="G2606" s="252" t="s">
        <v>1389</v>
      </c>
      <c r="H2606" s="252" t="s">
        <v>3040</v>
      </c>
      <c r="I2606" s="252">
        <f>C10</f>
        <v>150</v>
      </c>
      <c r="J2606" s="253" t="s">
        <v>1389</v>
      </c>
      <c r="K2606" s="252">
        <f>F2606*I2606</f>
        <v>75</v>
      </c>
    </row>
    <row r="2607" spans="1:11" hidden="1">
      <c r="A2607" s="251"/>
      <c r="F2607" s="252">
        <v>0.5</v>
      </c>
      <c r="G2607" s="252" t="s">
        <v>1389</v>
      </c>
      <c r="H2607" s="252" t="s">
        <v>2764</v>
      </c>
      <c r="I2607" s="252">
        <f>C12</f>
        <v>95</v>
      </c>
      <c r="J2607" s="253" t="s">
        <v>1389</v>
      </c>
      <c r="K2607" s="252">
        <f>F2607*I2607</f>
        <v>47.5</v>
      </c>
    </row>
    <row r="2608" spans="1:11" hidden="1">
      <c r="A2608" s="251"/>
      <c r="K2608" s="358" t="s">
        <v>1579</v>
      </c>
    </row>
    <row r="2609" spans="1:11" hidden="1">
      <c r="A2609" s="251"/>
      <c r="K2609" s="252">
        <f>SUM(K2604:K2608)</f>
        <v>837.5</v>
      </c>
    </row>
    <row r="2610" spans="1:11" hidden="1">
      <c r="A2610" s="251"/>
      <c r="K2610" s="358" t="s">
        <v>2046</v>
      </c>
    </row>
    <row r="2611" spans="1:11" hidden="1">
      <c r="A2611" s="251"/>
      <c r="F2611" s="252">
        <v>44.2</v>
      </c>
      <c r="G2611" s="252" t="s">
        <v>2241</v>
      </c>
      <c r="H2611" s="252" t="s">
        <v>3041</v>
      </c>
    </row>
    <row r="2612" spans="1:11" hidden="1">
      <c r="A2612" s="251"/>
      <c r="H2612" s="377" t="s">
        <v>3334</v>
      </c>
    </row>
    <row r="2613" spans="1:11" hidden="1">
      <c r="A2613" s="251"/>
      <c r="F2613" s="252">
        <v>0.47</v>
      </c>
      <c r="G2613" s="252" t="s">
        <v>1336</v>
      </c>
      <c r="H2613" s="252" t="s">
        <v>354</v>
      </c>
      <c r="I2613" s="252">
        <f>K88</f>
        <v>52.93</v>
      </c>
      <c r="J2613" s="253" t="s">
        <v>2142</v>
      </c>
      <c r="K2613" s="252">
        <f>I2613*F2613</f>
        <v>24.88</v>
      </c>
    </row>
    <row r="2614" spans="1:11" hidden="1">
      <c r="A2614" s="251"/>
      <c r="F2614" s="252">
        <v>4.9000000000000004</v>
      </c>
      <c r="G2614" s="252" t="s">
        <v>823</v>
      </c>
      <c r="H2614" s="252" t="s">
        <v>3042</v>
      </c>
      <c r="I2614" s="252">
        <f>K2629</f>
        <v>50.58</v>
      </c>
      <c r="J2614" s="253" t="s">
        <v>823</v>
      </c>
      <c r="K2614" s="252">
        <f>I2614*F2614</f>
        <v>247.84</v>
      </c>
    </row>
    <row r="2615" spans="1:11" hidden="1">
      <c r="A2615" s="251"/>
      <c r="F2615" s="252">
        <v>0.59</v>
      </c>
      <c r="G2615" s="252" t="s">
        <v>1336</v>
      </c>
      <c r="H2615" s="252" t="s">
        <v>1163</v>
      </c>
      <c r="I2615" s="252" t="e">
        <f>AC15</f>
        <v>#REF!</v>
      </c>
      <c r="J2615" s="253" t="s">
        <v>2142</v>
      </c>
      <c r="K2615" s="252" t="e">
        <f>I2615*F2615</f>
        <v>#REF!</v>
      </c>
    </row>
    <row r="2616" spans="1:11" hidden="1">
      <c r="A2616" s="251"/>
      <c r="F2616" s="252">
        <v>0.79</v>
      </c>
      <c r="G2616" s="252" t="s">
        <v>2273</v>
      </c>
      <c r="H2616" s="252" t="s">
        <v>1164</v>
      </c>
      <c r="I2616" s="252" t="e">
        <f>K630</f>
        <v>#REF!</v>
      </c>
      <c r="J2616" s="253" t="s">
        <v>2273</v>
      </c>
      <c r="K2616" s="252" t="e">
        <f>I2616*F2616</f>
        <v>#REF!</v>
      </c>
    </row>
    <row r="2617" spans="1:11" hidden="1">
      <c r="A2617" s="251"/>
      <c r="F2617" s="252">
        <v>0.24</v>
      </c>
      <c r="G2617" s="252" t="s">
        <v>1336</v>
      </c>
      <c r="H2617" s="252" t="s">
        <v>908</v>
      </c>
      <c r="I2617" s="252" t="e">
        <f>AC17</f>
        <v>#REF!</v>
      </c>
      <c r="J2617" s="253" t="s">
        <v>2142</v>
      </c>
      <c r="K2617" s="252" t="e">
        <f>I2617*F2617</f>
        <v>#REF!</v>
      </c>
    </row>
    <row r="2618" spans="1:11" hidden="1">
      <c r="A2618" s="251"/>
      <c r="H2618" s="252" t="s">
        <v>2261</v>
      </c>
    </row>
    <row r="2619" spans="1:11" hidden="1">
      <c r="A2619" s="251"/>
      <c r="K2619" s="377" t="s">
        <v>3043</v>
      </c>
    </row>
    <row r="2620" spans="1:11" hidden="1">
      <c r="A2620" s="251"/>
      <c r="K2620" s="252" t="e">
        <f>SUM(K2613:K2619)</f>
        <v>#REF!</v>
      </c>
    </row>
    <row r="2621" spans="1:11" hidden="1">
      <c r="A2621" s="251"/>
      <c r="K2621" s="377" t="s">
        <v>32</v>
      </c>
    </row>
    <row r="2622" spans="1:11" hidden="1">
      <c r="A2622" s="251"/>
      <c r="H2622" s="497" t="s">
        <v>3044</v>
      </c>
    </row>
    <row r="2623" spans="1:11" hidden="1">
      <c r="A2623" s="251"/>
    </row>
    <row r="2624" spans="1:11" hidden="1">
      <c r="A2624" s="251"/>
      <c r="F2624" s="252">
        <v>0.25</v>
      </c>
      <c r="G2624" s="252" t="s">
        <v>1389</v>
      </c>
      <c r="H2624" s="252" t="s">
        <v>462</v>
      </c>
      <c r="I2624" s="252">
        <f>C11</f>
        <v>135</v>
      </c>
      <c r="J2624" s="253" t="s">
        <v>1393</v>
      </c>
      <c r="K2624" s="252">
        <f>I2624*F2624</f>
        <v>33.75</v>
      </c>
    </row>
    <row r="2625" spans="1:11" hidden="1">
      <c r="A2625" s="251"/>
      <c r="F2625" s="252">
        <v>1</v>
      </c>
      <c r="G2625" s="252" t="s">
        <v>1389</v>
      </c>
      <c r="H2625" s="252" t="s">
        <v>345</v>
      </c>
      <c r="I2625" s="252">
        <f>C12</f>
        <v>95</v>
      </c>
      <c r="J2625" s="253" t="s">
        <v>1393</v>
      </c>
      <c r="K2625" s="252">
        <f>I2625*F2625</f>
        <v>95</v>
      </c>
    </row>
    <row r="2626" spans="1:11" hidden="1">
      <c r="A2626" s="251"/>
      <c r="F2626" s="252">
        <v>1</v>
      </c>
      <c r="H2626" s="252" t="s">
        <v>3045</v>
      </c>
      <c r="I2626" s="252">
        <v>23</v>
      </c>
      <c r="J2626" s="253" t="s">
        <v>446</v>
      </c>
      <c r="K2626" s="252">
        <f>I2626*F2626</f>
        <v>23</v>
      </c>
    </row>
    <row r="2627" spans="1:11" hidden="1">
      <c r="A2627" s="251"/>
      <c r="K2627" s="377" t="s">
        <v>3043</v>
      </c>
    </row>
    <row r="2628" spans="1:11" hidden="1">
      <c r="A2628" s="251"/>
      <c r="H2628" s="252" t="s">
        <v>3046</v>
      </c>
      <c r="K2628" s="252">
        <f>SUM(K2624:K2627)</f>
        <v>151.75</v>
      </c>
    </row>
    <row r="2629" spans="1:11" hidden="1">
      <c r="A2629" s="251"/>
      <c r="H2629" s="252" t="s">
        <v>3047</v>
      </c>
      <c r="K2629" s="252">
        <f>K2628/3</f>
        <v>50.58</v>
      </c>
    </row>
    <row r="2630" spans="1:11" hidden="1">
      <c r="A2630" s="251"/>
      <c r="K2630" s="358" t="s">
        <v>1579</v>
      </c>
    </row>
    <row r="2631" spans="1:11" ht="40.5" hidden="1" customHeight="1">
      <c r="A2631" s="251"/>
      <c r="F2631" s="252">
        <v>84</v>
      </c>
      <c r="H2631" s="262" t="s">
        <v>3048</v>
      </c>
    </row>
    <row r="2632" spans="1:11" hidden="1">
      <c r="A2632" s="251"/>
      <c r="H2632" s="358" t="s">
        <v>1579</v>
      </c>
    </row>
    <row r="2633" spans="1:11" hidden="1">
      <c r="A2633" s="251"/>
      <c r="F2633" s="262">
        <v>180</v>
      </c>
      <c r="G2633" s="262" t="s">
        <v>823</v>
      </c>
      <c r="H2633" s="262" t="s">
        <v>3049</v>
      </c>
      <c r="I2633" s="262">
        <v>15.6</v>
      </c>
      <c r="J2633" s="262" t="s">
        <v>823</v>
      </c>
      <c r="K2633" s="262">
        <f t="shared" ref="K2633:K2640" si="87">I2633*F2633</f>
        <v>2808</v>
      </c>
    </row>
    <row r="2634" spans="1:11" hidden="1">
      <c r="A2634" s="251"/>
      <c r="F2634" s="262">
        <v>4</v>
      </c>
      <c r="G2634" s="262" t="s">
        <v>1637</v>
      </c>
      <c r="H2634" s="262" t="s">
        <v>3314</v>
      </c>
      <c r="I2634" s="262">
        <v>37</v>
      </c>
      <c r="J2634" s="262" t="s">
        <v>1637</v>
      </c>
      <c r="K2634" s="262">
        <f t="shared" si="87"/>
        <v>148</v>
      </c>
    </row>
    <row r="2635" spans="1:11" hidden="1">
      <c r="A2635" s="251"/>
      <c r="F2635" s="262">
        <v>180</v>
      </c>
      <c r="G2635" s="262" t="s">
        <v>1427</v>
      </c>
      <c r="H2635" s="262" t="s">
        <v>3315</v>
      </c>
      <c r="I2635" s="262">
        <v>0.25</v>
      </c>
      <c r="J2635" s="262" t="s">
        <v>1393</v>
      </c>
      <c r="K2635" s="262">
        <f t="shared" si="87"/>
        <v>45</v>
      </c>
    </row>
    <row r="2636" spans="1:11" hidden="1">
      <c r="A2636" s="251"/>
      <c r="F2636" s="262">
        <v>1</v>
      </c>
      <c r="G2636" s="262" t="s">
        <v>1637</v>
      </c>
      <c r="H2636" s="262" t="s">
        <v>3316</v>
      </c>
      <c r="I2636" s="262">
        <v>37</v>
      </c>
      <c r="J2636" s="262" t="s">
        <v>1637</v>
      </c>
      <c r="K2636" s="262">
        <f t="shared" si="87"/>
        <v>37</v>
      </c>
    </row>
    <row r="2637" spans="1:11" hidden="1">
      <c r="A2637" s="251"/>
      <c r="F2637" s="262">
        <v>1</v>
      </c>
      <c r="G2637" s="262" t="s">
        <v>1427</v>
      </c>
      <c r="H2637" s="262" t="s">
        <v>3317</v>
      </c>
      <c r="I2637" s="262">
        <v>148</v>
      </c>
      <c r="J2637" s="262" t="s">
        <v>1393</v>
      </c>
      <c r="K2637" s="262">
        <f t="shared" si="87"/>
        <v>148</v>
      </c>
    </row>
    <row r="2638" spans="1:11" hidden="1">
      <c r="A2638" s="251"/>
      <c r="F2638" s="262">
        <v>2</v>
      </c>
      <c r="G2638" s="262" t="s">
        <v>1427</v>
      </c>
      <c r="H2638" s="262" t="s">
        <v>3318</v>
      </c>
      <c r="I2638" s="262">
        <v>131</v>
      </c>
      <c r="J2638" s="262" t="s">
        <v>1393</v>
      </c>
      <c r="K2638" s="262">
        <f t="shared" si="87"/>
        <v>262</v>
      </c>
    </row>
    <row r="2639" spans="1:11" hidden="1">
      <c r="A2639" s="251"/>
      <c r="F2639" s="262">
        <v>2</v>
      </c>
      <c r="G2639" s="262" t="s">
        <v>1427</v>
      </c>
      <c r="H2639" s="262" t="s">
        <v>3319</v>
      </c>
      <c r="I2639" s="262">
        <v>117</v>
      </c>
      <c r="J2639" s="262" t="s">
        <v>1393</v>
      </c>
      <c r="K2639" s="262">
        <f t="shared" si="87"/>
        <v>234</v>
      </c>
    </row>
    <row r="2640" spans="1:11" hidden="1">
      <c r="A2640" s="251"/>
      <c r="F2640" s="262">
        <v>3</v>
      </c>
      <c r="G2640" s="262" t="s">
        <v>1427</v>
      </c>
      <c r="H2640" s="262" t="s">
        <v>2321</v>
      </c>
      <c r="I2640" s="262">
        <v>91</v>
      </c>
      <c r="J2640" s="262" t="s">
        <v>1393</v>
      </c>
      <c r="K2640" s="262">
        <f t="shared" si="87"/>
        <v>273</v>
      </c>
    </row>
    <row r="2641" spans="1:11" hidden="1">
      <c r="A2641" s="251"/>
      <c r="F2641" s="262"/>
      <c r="G2641" s="262"/>
      <c r="H2641" s="262" t="s">
        <v>3320</v>
      </c>
      <c r="I2641" s="262"/>
      <c r="J2641" s="262"/>
      <c r="K2641" s="262">
        <v>5</v>
      </c>
    </row>
    <row r="2642" spans="1:11" hidden="1">
      <c r="A2642" s="251"/>
      <c r="F2642" s="262"/>
      <c r="G2642" s="262"/>
      <c r="H2642" s="262"/>
      <c r="I2642" s="262"/>
      <c r="J2642" s="262"/>
      <c r="K2642" s="693" t="s">
        <v>1579</v>
      </c>
    </row>
    <row r="2643" spans="1:11" hidden="1">
      <c r="A2643" s="251"/>
      <c r="F2643" s="262"/>
      <c r="G2643" s="262"/>
      <c r="H2643" s="262" t="s">
        <v>3321</v>
      </c>
      <c r="I2643" s="262"/>
      <c r="J2643" s="262"/>
      <c r="K2643" s="262">
        <f>SUM(K2633:K2642)</f>
        <v>3960</v>
      </c>
    </row>
    <row r="2644" spans="1:11" hidden="1">
      <c r="A2644" s="251"/>
      <c r="F2644" s="262"/>
      <c r="G2644" s="262"/>
      <c r="H2644" s="262"/>
      <c r="I2644" s="262"/>
      <c r="J2644" s="262"/>
      <c r="K2644" s="693" t="s">
        <v>1579</v>
      </c>
    </row>
    <row r="2645" spans="1:11" hidden="1">
      <c r="A2645" s="251"/>
      <c r="F2645" s="262"/>
      <c r="G2645" s="262"/>
      <c r="H2645" s="262" t="s">
        <v>3322</v>
      </c>
      <c r="I2645" s="262"/>
      <c r="J2645" s="262"/>
      <c r="K2645" s="262">
        <f>K2643/90</f>
        <v>44</v>
      </c>
    </row>
    <row r="2646" spans="1:11" hidden="1">
      <c r="A2646" s="251"/>
      <c r="F2646" s="262"/>
      <c r="G2646" s="262"/>
      <c r="H2646" s="262"/>
      <c r="I2646" s="262"/>
      <c r="J2646" s="262"/>
      <c r="K2646" s="693" t="s">
        <v>2046</v>
      </c>
    </row>
    <row r="2647" spans="1:11" hidden="1">
      <c r="A2647" s="251"/>
      <c r="F2647" s="375"/>
      <c r="H2647" s="296" t="s">
        <v>1990</v>
      </c>
    </row>
    <row r="2648" spans="1:11" hidden="1">
      <c r="A2648" s="251"/>
      <c r="H2648" s="358" t="s">
        <v>1579</v>
      </c>
      <c r="I2648" s="358" t="s">
        <v>1579</v>
      </c>
      <c r="J2648" s="253" t="s">
        <v>1579</v>
      </c>
    </row>
    <row r="2649" spans="1:11" hidden="1">
      <c r="A2649" s="251"/>
    </row>
    <row r="2650" spans="1:11" hidden="1">
      <c r="A2650" s="251"/>
      <c r="F2650" s="509">
        <v>22.5</v>
      </c>
      <c r="H2650" s="296" t="s">
        <v>1991</v>
      </c>
    </row>
    <row r="2651" spans="1:11" hidden="1">
      <c r="A2651" s="251"/>
      <c r="H2651" s="296"/>
    </row>
    <row r="2652" spans="1:11" hidden="1">
      <c r="A2652" s="251"/>
      <c r="H2652" s="296" t="s">
        <v>1992</v>
      </c>
    </row>
    <row r="2653" spans="1:11" hidden="1">
      <c r="A2653" s="251"/>
      <c r="H2653" s="296" t="s">
        <v>451</v>
      </c>
    </row>
    <row r="2654" spans="1:11" hidden="1">
      <c r="A2654" s="251"/>
      <c r="H2654" s="296" t="s">
        <v>452</v>
      </c>
    </row>
    <row r="2655" spans="1:11" hidden="1">
      <c r="A2655" s="251"/>
      <c r="H2655" s="296" t="s">
        <v>453</v>
      </c>
    </row>
    <row r="2656" spans="1:11" hidden="1">
      <c r="A2656" s="251"/>
      <c r="H2656" s="296" t="s">
        <v>878</v>
      </c>
      <c r="J2656" s="253" t="s">
        <v>971</v>
      </c>
      <c r="K2656" s="400">
        <v>3.7699999999999997E-2</v>
      </c>
    </row>
    <row r="2657" spans="1:11" hidden="1">
      <c r="A2657" s="251"/>
      <c r="H2657" s="296" t="s">
        <v>692</v>
      </c>
      <c r="J2657" s="569" t="s">
        <v>971</v>
      </c>
      <c r="K2657" s="443" t="s">
        <v>971</v>
      </c>
    </row>
    <row r="2658" spans="1:11" hidden="1">
      <c r="A2658" s="251"/>
      <c r="H2658" s="296" t="s">
        <v>1822</v>
      </c>
      <c r="K2658" s="443" t="s">
        <v>971</v>
      </c>
    </row>
    <row r="2659" spans="1:11" hidden="1">
      <c r="A2659" s="251"/>
      <c r="H2659" s="296"/>
      <c r="K2659" s="443"/>
    </row>
    <row r="2660" spans="1:11" hidden="1">
      <c r="A2660" s="251"/>
      <c r="H2660" s="296"/>
      <c r="K2660" s="443"/>
    </row>
    <row r="2661" spans="1:11" hidden="1">
      <c r="A2661" s="251"/>
    </row>
    <row r="2662" spans="1:11" hidden="1">
      <c r="A2662" s="251"/>
      <c r="F2662" s="447">
        <v>1.18E-2</v>
      </c>
      <c r="G2662" s="252" t="s">
        <v>866</v>
      </c>
      <c r="H2662" s="296" t="s">
        <v>689</v>
      </c>
      <c r="I2662" s="252">
        <f t="shared" ref="I2662:I2671" si="88">I2260</f>
        <v>65420</v>
      </c>
      <c r="J2662" s="253" t="s">
        <v>866</v>
      </c>
      <c r="K2662" s="252">
        <f t="shared" ref="K2662:K2671" si="89">(F2662*I2662)</f>
        <v>771.96</v>
      </c>
    </row>
    <row r="2663" spans="1:11" hidden="1">
      <c r="A2663" s="251"/>
      <c r="F2663" s="447">
        <v>3.7699999999999997E-2</v>
      </c>
      <c r="G2663" s="252" t="s">
        <v>866</v>
      </c>
      <c r="H2663" s="296" t="s">
        <v>690</v>
      </c>
      <c r="I2663" s="252">
        <f t="shared" si="88"/>
        <v>57165</v>
      </c>
      <c r="J2663" s="253" t="s">
        <v>866</v>
      </c>
      <c r="K2663" s="252">
        <f t="shared" si="89"/>
        <v>2155.12</v>
      </c>
    </row>
    <row r="2664" spans="1:11" hidden="1">
      <c r="A2664" s="251"/>
      <c r="F2664" s="447">
        <v>1.8550000000000001E-2</v>
      </c>
      <c r="G2664" s="252" t="s">
        <v>866</v>
      </c>
      <c r="H2664" s="296" t="s">
        <v>883</v>
      </c>
      <c r="I2664" s="252">
        <f t="shared" si="88"/>
        <v>3035</v>
      </c>
      <c r="J2664" s="253" t="s">
        <v>866</v>
      </c>
      <c r="K2664" s="252">
        <f t="shared" si="89"/>
        <v>56.3</v>
      </c>
    </row>
    <row r="2665" spans="1:11" hidden="1">
      <c r="A2665" s="251"/>
      <c r="F2665" s="447">
        <v>1.36</v>
      </c>
      <c r="G2665" s="252" t="s">
        <v>606</v>
      </c>
      <c r="H2665" s="296" t="s">
        <v>884</v>
      </c>
      <c r="I2665" s="252">
        <f t="shared" si="88"/>
        <v>385.89</v>
      </c>
      <c r="J2665" s="253" t="s">
        <v>606</v>
      </c>
      <c r="K2665" s="252">
        <f t="shared" si="89"/>
        <v>524.80999999999995</v>
      </c>
    </row>
    <row r="2666" spans="1:11" hidden="1">
      <c r="A2666" s="251"/>
      <c r="F2666" s="447">
        <v>2.0499999999999998</v>
      </c>
      <c r="G2666" s="252" t="s">
        <v>606</v>
      </c>
      <c r="H2666" s="296" t="s">
        <v>1499</v>
      </c>
      <c r="I2666" s="252">
        <f t="shared" si="88"/>
        <v>287</v>
      </c>
      <c r="J2666" s="253" t="s">
        <v>606</v>
      </c>
      <c r="K2666" s="252">
        <f t="shared" si="89"/>
        <v>588.35</v>
      </c>
    </row>
    <row r="2667" spans="1:11" hidden="1">
      <c r="A2667" s="251"/>
      <c r="F2667" s="252">
        <v>2</v>
      </c>
      <c r="G2667" s="252" t="s">
        <v>865</v>
      </c>
      <c r="H2667" s="296" t="s">
        <v>1384</v>
      </c>
      <c r="I2667" s="252">
        <f t="shared" si="88"/>
        <v>25</v>
      </c>
      <c r="J2667" s="253" t="s">
        <v>865</v>
      </c>
      <c r="K2667" s="252">
        <f t="shared" si="89"/>
        <v>50</v>
      </c>
    </row>
    <row r="2668" spans="1:11" hidden="1">
      <c r="A2668" s="251"/>
      <c r="F2668" s="252">
        <v>6</v>
      </c>
      <c r="G2668" s="252" t="s">
        <v>865</v>
      </c>
      <c r="H2668" s="296" t="s">
        <v>1338</v>
      </c>
      <c r="I2668" s="252">
        <f t="shared" si="88"/>
        <v>25</v>
      </c>
      <c r="J2668" s="253" t="s">
        <v>865</v>
      </c>
      <c r="K2668" s="252">
        <f t="shared" si="89"/>
        <v>150</v>
      </c>
    </row>
    <row r="2669" spans="1:11" hidden="1">
      <c r="A2669" s="251"/>
      <c r="F2669" s="252">
        <v>2</v>
      </c>
      <c r="G2669" s="252" t="s">
        <v>865</v>
      </c>
      <c r="H2669" s="296" t="s">
        <v>1385</v>
      </c>
      <c r="I2669" s="252">
        <f t="shared" si="88"/>
        <v>35</v>
      </c>
      <c r="J2669" s="253" t="s">
        <v>865</v>
      </c>
      <c r="K2669" s="252">
        <f t="shared" si="89"/>
        <v>70</v>
      </c>
    </row>
    <row r="2670" spans="1:11" hidden="1">
      <c r="A2670" s="251"/>
      <c r="F2670" s="252">
        <v>1</v>
      </c>
      <c r="G2670" s="252" t="s">
        <v>865</v>
      </c>
      <c r="H2670" s="296" t="s">
        <v>1412</v>
      </c>
      <c r="I2670" s="252">
        <f t="shared" si="88"/>
        <v>60</v>
      </c>
      <c r="J2670" s="253" t="s">
        <v>865</v>
      </c>
      <c r="K2670" s="252">
        <f t="shared" si="89"/>
        <v>60</v>
      </c>
    </row>
    <row r="2671" spans="1:11" hidden="1">
      <c r="A2671" s="251"/>
      <c r="F2671" s="252">
        <v>2.52</v>
      </c>
      <c r="G2671" s="252" t="s">
        <v>606</v>
      </c>
      <c r="H2671" s="296" t="s">
        <v>1705</v>
      </c>
      <c r="I2671" s="252">
        <f t="shared" si="88"/>
        <v>51.25</v>
      </c>
      <c r="J2671" s="253" t="s">
        <v>606</v>
      </c>
      <c r="K2671" s="252">
        <f t="shared" si="89"/>
        <v>129.15</v>
      </c>
    </row>
    <row r="2672" spans="1:11" hidden="1">
      <c r="A2672" s="251"/>
      <c r="H2672" s="296" t="s">
        <v>1409</v>
      </c>
      <c r="I2672" s="253" t="s">
        <v>446</v>
      </c>
      <c r="K2672" s="252">
        <v>0.28000000000000003</v>
      </c>
    </row>
    <row r="2673" spans="1:11" hidden="1">
      <c r="A2673" s="251"/>
      <c r="K2673" s="358" t="s">
        <v>1579</v>
      </c>
    </row>
    <row r="2674" spans="1:11" hidden="1">
      <c r="A2674" s="251"/>
      <c r="H2674" s="253" t="s">
        <v>1410</v>
      </c>
      <c r="K2674" s="252">
        <f>SUM(K2662:K2672)</f>
        <v>4555.97</v>
      </c>
    </row>
    <row r="2675" spans="1:11" hidden="1">
      <c r="A2675" s="251"/>
      <c r="G2675" s="252" t="s">
        <v>971</v>
      </c>
      <c r="K2675" s="358" t="s">
        <v>1579</v>
      </c>
    </row>
    <row r="2676" spans="1:11" hidden="1">
      <c r="A2676" s="251"/>
      <c r="H2676" s="253" t="s">
        <v>549</v>
      </c>
      <c r="K2676" s="252">
        <f>K2674/F2671</f>
        <v>1807.92</v>
      </c>
    </row>
    <row r="2677" spans="1:11" hidden="1">
      <c r="A2677" s="251"/>
      <c r="K2677" s="358" t="s">
        <v>2046</v>
      </c>
    </row>
    <row r="2678" spans="1:11" hidden="1">
      <c r="A2678" s="251"/>
      <c r="F2678" s="262">
        <v>44.4</v>
      </c>
      <c r="G2678" s="262"/>
      <c r="H2678" s="262" t="s">
        <v>3323</v>
      </c>
      <c r="I2678" s="262"/>
      <c r="J2678" s="262"/>
      <c r="K2678" s="262"/>
    </row>
    <row r="2679" spans="1:11" hidden="1">
      <c r="A2679" s="251"/>
      <c r="F2679" s="262"/>
      <c r="G2679" s="262"/>
      <c r="H2679" s="358" t="s">
        <v>1579</v>
      </c>
      <c r="I2679" s="262"/>
      <c r="J2679" s="262"/>
      <c r="K2679" s="262"/>
    </row>
    <row r="2680" spans="1:11" hidden="1">
      <c r="A2680" s="251"/>
      <c r="F2680" s="262">
        <v>4.9000000000000004</v>
      </c>
      <c r="G2680" s="262" t="s">
        <v>823</v>
      </c>
      <c r="H2680" s="262" t="s">
        <v>3324</v>
      </c>
      <c r="I2680" s="262">
        <v>49.01</v>
      </c>
      <c r="J2680" s="262" t="s">
        <v>823</v>
      </c>
      <c r="K2680" s="262">
        <f>F2680*I2680</f>
        <v>240.15</v>
      </c>
    </row>
    <row r="2681" spans="1:11" hidden="1">
      <c r="A2681" s="251"/>
      <c r="F2681" s="262">
        <v>0.12</v>
      </c>
      <c r="G2681" s="262" t="s">
        <v>866</v>
      </c>
      <c r="H2681" s="262" t="s">
        <v>3325</v>
      </c>
      <c r="I2681" s="262" t="e">
        <f>AC15</f>
        <v>#REF!</v>
      </c>
      <c r="J2681" s="262" t="s">
        <v>866</v>
      </c>
      <c r="K2681" s="262" t="e">
        <f>F2681*I2681</f>
        <v>#REF!</v>
      </c>
    </row>
    <row r="2682" spans="1:11" hidden="1">
      <c r="A2682" s="251"/>
      <c r="F2682" s="262">
        <v>0.18</v>
      </c>
      <c r="G2682" s="262" t="s">
        <v>866</v>
      </c>
      <c r="H2682" s="262" t="s">
        <v>3326</v>
      </c>
      <c r="I2682" s="262" t="e">
        <f>AC14</f>
        <v>#REF!</v>
      </c>
      <c r="J2682" s="262" t="s">
        <v>866</v>
      </c>
      <c r="K2682" s="262" t="e">
        <f>F2682*I2682</f>
        <v>#REF!</v>
      </c>
    </row>
    <row r="2683" spans="1:11" hidden="1">
      <c r="A2683" s="251"/>
      <c r="F2683" s="262">
        <v>0.05</v>
      </c>
      <c r="G2683" s="262" t="s">
        <v>866</v>
      </c>
      <c r="H2683" s="262" t="s">
        <v>3327</v>
      </c>
      <c r="I2683" s="262" t="e">
        <f>AC16</f>
        <v>#REF!</v>
      </c>
      <c r="J2683" s="262" t="s">
        <v>866</v>
      </c>
      <c r="K2683" s="262" t="e">
        <f>F2683*I2683</f>
        <v>#REF!</v>
      </c>
    </row>
    <row r="2684" spans="1:11" hidden="1">
      <c r="A2684" s="251"/>
      <c r="F2684" s="262"/>
      <c r="G2684" s="262"/>
      <c r="H2684" s="262"/>
      <c r="I2684" s="262"/>
      <c r="J2684" s="262"/>
      <c r="K2684" s="693" t="s">
        <v>1579</v>
      </c>
    </row>
    <row r="2685" spans="1:11" hidden="1">
      <c r="A2685" s="251"/>
      <c r="F2685" s="262"/>
      <c r="G2685" s="262"/>
      <c r="H2685" s="262" t="s">
        <v>3072</v>
      </c>
      <c r="I2685" s="262"/>
      <c r="J2685" s="262"/>
      <c r="K2685" s="262" t="e">
        <f>SUM(K2680:K2684)</f>
        <v>#REF!</v>
      </c>
    </row>
    <row r="2686" spans="1:11" hidden="1">
      <c r="A2686" s="251"/>
      <c r="F2686" s="262"/>
      <c r="G2686" s="262"/>
      <c r="H2686" s="262"/>
      <c r="I2686" s="262"/>
      <c r="J2686" s="262"/>
      <c r="K2686" s="693" t="s">
        <v>1579</v>
      </c>
    </row>
    <row r="2687" spans="1:11" hidden="1">
      <c r="A2687" s="251"/>
      <c r="F2687" s="262"/>
      <c r="G2687" s="262"/>
      <c r="H2687" s="262" t="s">
        <v>3073</v>
      </c>
      <c r="I2687" s="262"/>
      <c r="J2687" s="262"/>
      <c r="K2687" s="262" t="e">
        <f>K2685/F2680</f>
        <v>#REF!</v>
      </c>
    </row>
    <row r="2688" spans="1:11" hidden="1">
      <c r="A2688" s="251"/>
      <c r="F2688" s="262"/>
      <c r="G2688" s="262"/>
      <c r="H2688" s="262"/>
      <c r="I2688" s="262"/>
      <c r="J2688" s="262"/>
      <c r="K2688" s="693" t="s">
        <v>2046</v>
      </c>
    </row>
    <row r="2689" spans="1:11" ht="63" hidden="1">
      <c r="A2689" s="251"/>
      <c r="F2689" s="262">
        <v>44.5</v>
      </c>
      <c r="G2689" s="262"/>
      <c r="H2689" s="262" t="s">
        <v>3337</v>
      </c>
      <c r="I2689" s="262"/>
      <c r="J2689" s="262"/>
      <c r="K2689" s="262"/>
    </row>
    <row r="2690" spans="1:11" hidden="1">
      <c r="A2690" s="251"/>
      <c r="F2690" s="262"/>
      <c r="G2690" s="262"/>
      <c r="H2690" s="358" t="s">
        <v>1579</v>
      </c>
      <c r="I2690" s="262"/>
      <c r="J2690" s="262"/>
      <c r="K2690" s="262"/>
    </row>
    <row r="2691" spans="1:11" hidden="1">
      <c r="A2691" s="251"/>
      <c r="F2691" s="262">
        <v>0.38</v>
      </c>
      <c r="G2691" s="262" t="s">
        <v>2142</v>
      </c>
      <c r="H2691" s="262" t="s">
        <v>354</v>
      </c>
      <c r="I2691" s="262">
        <f>I2613</f>
        <v>52.93</v>
      </c>
      <c r="J2691" s="262" t="s">
        <v>866</v>
      </c>
      <c r="K2691" s="262">
        <f>I2691*F2691</f>
        <v>20.11</v>
      </c>
    </row>
    <row r="2692" spans="1:11" hidden="1">
      <c r="A2692" s="251"/>
      <c r="F2692" s="262">
        <v>0.38</v>
      </c>
      <c r="G2692" s="262" t="s">
        <v>2142</v>
      </c>
      <c r="H2692" s="262" t="s">
        <v>3338</v>
      </c>
      <c r="I2692" s="262" t="e">
        <f>AC15</f>
        <v>#REF!</v>
      </c>
      <c r="J2692" s="262" t="s">
        <v>866</v>
      </c>
      <c r="K2692" s="262" t="e">
        <f>I2692*F2692</f>
        <v>#REF!</v>
      </c>
    </row>
    <row r="2693" spans="1:11" hidden="1">
      <c r="A2693" s="251"/>
      <c r="F2693" s="262">
        <v>0.12</v>
      </c>
      <c r="G2693" s="252" t="s">
        <v>2142</v>
      </c>
      <c r="H2693" s="262" t="s">
        <v>3339</v>
      </c>
      <c r="I2693" s="252" t="e">
        <f>K614</f>
        <v>#REF!</v>
      </c>
      <c r="J2693" s="262" t="s">
        <v>866</v>
      </c>
      <c r="K2693" s="262" t="e">
        <f>I2693*F2693</f>
        <v>#REF!</v>
      </c>
    </row>
    <row r="2694" spans="1:11" hidden="1">
      <c r="A2694" s="251"/>
      <c r="F2694" s="262">
        <v>9.6</v>
      </c>
      <c r="G2694" s="262" t="s">
        <v>1637</v>
      </c>
      <c r="H2694" s="262" t="s">
        <v>3340</v>
      </c>
      <c r="I2694" s="252">
        <f>AC32</f>
        <v>28000</v>
      </c>
      <c r="J2694" s="262" t="s">
        <v>525</v>
      </c>
      <c r="K2694" s="262">
        <f>I2694*F2694/1000</f>
        <v>268.8</v>
      </c>
    </row>
    <row r="2695" spans="1:11" hidden="1">
      <c r="A2695" s="251"/>
      <c r="K2695" s="358" t="s">
        <v>1579</v>
      </c>
    </row>
    <row r="2696" spans="1:11" hidden="1">
      <c r="A2696" s="251"/>
      <c r="H2696" s="262" t="s">
        <v>3341</v>
      </c>
      <c r="K2696" s="252" t="e">
        <f>SUM(K2691:K2695)</f>
        <v>#REF!</v>
      </c>
    </row>
    <row r="2697" spans="1:11" hidden="1">
      <c r="A2697" s="251"/>
      <c r="K2697" s="358" t="s">
        <v>2046</v>
      </c>
    </row>
    <row r="2698" spans="1:11" ht="63" hidden="1">
      <c r="A2698" s="251"/>
      <c r="F2698" s="694">
        <v>71.3</v>
      </c>
      <c r="G2698" s="364"/>
      <c r="H2698" s="695" t="s">
        <v>3342</v>
      </c>
      <c r="I2698" s="364"/>
      <c r="J2698" s="431"/>
      <c r="K2698" s="364"/>
    </row>
    <row r="2699" spans="1:11" hidden="1">
      <c r="A2699" s="251"/>
      <c r="F2699" s="364"/>
      <c r="G2699" s="364"/>
      <c r="H2699" s="696" t="s">
        <v>2370</v>
      </c>
      <c r="I2699" s="364"/>
      <c r="J2699" s="431"/>
      <c r="K2699" s="364"/>
    </row>
    <row r="2700" spans="1:11" hidden="1">
      <c r="A2700" s="251"/>
      <c r="F2700" s="364">
        <v>1</v>
      </c>
      <c r="G2700" s="364" t="s">
        <v>1389</v>
      </c>
      <c r="H2700" s="364" t="s">
        <v>3050</v>
      </c>
      <c r="I2700" s="364"/>
      <c r="J2700" s="431">
        <v>1880</v>
      </c>
      <c r="K2700" s="364">
        <f>J2700*F2700</f>
        <v>1880</v>
      </c>
    </row>
    <row r="2701" spans="1:11" hidden="1">
      <c r="A2701" s="251"/>
      <c r="F2701" s="364">
        <v>1</v>
      </c>
      <c r="G2701" s="364" t="s">
        <v>1389</v>
      </c>
      <c r="H2701" s="364" t="s">
        <v>3051</v>
      </c>
      <c r="I2701" s="364"/>
      <c r="J2701" s="431">
        <v>480</v>
      </c>
      <c r="K2701" s="364">
        <f>J2701*F2701</f>
        <v>480</v>
      </c>
    </row>
    <row r="2702" spans="1:11" hidden="1">
      <c r="A2702" s="251"/>
      <c r="F2702" s="364"/>
      <c r="G2702" s="364"/>
      <c r="H2702" s="364" t="s">
        <v>3052</v>
      </c>
      <c r="I2702" s="364"/>
      <c r="J2702" s="431"/>
      <c r="K2702" s="364">
        <v>35.67</v>
      </c>
    </row>
    <row r="2703" spans="1:11" hidden="1">
      <c r="A2703" s="251"/>
      <c r="F2703" s="364"/>
      <c r="G2703" s="364"/>
      <c r="H2703" s="364" t="s">
        <v>1814</v>
      </c>
      <c r="I2703" s="364"/>
      <c r="J2703" s="431"/>
      <c r="K2703" s="364">
        <f>K2711</f>
        <v>104.33</v>
      </c>
    </row>
    <row r="2704" spans="1:11" hidden="1">
      <c r="A2704" s="251"/>
      <c r="F2704" s="364"/>
      <c r="G2704" s="364"/>
      <c r="H2704" s="364"/>
      <c r="I2704" s="364"/>
      <c r="J2704" s="431"/>
      <c r="K2704" s="697" t="s">
        <v>3043</v>
      </c>
    </row>
    <row r="2705" spans="1:11" hidden="1">
      <c r="A2705" s="251"/>
      <c r="F2705" s="364"/>
      <c r="G2705" s="364"/>
      <c r="H2705" s="364"/>
      <c r="I2705" s="364"/>
      <c r="J2705" s="431"/>
      <c r="K2705" s="364">
        <f>SUM(K2700:K2704)</f>
        <v>2500</v>
      </c>
    </row>
    <row r="2706" spans="1:11" hidden="1">
      <c r="A2706" s="251"/>
      <c r="F2706" s="364"/>
      <c r="G2706" s="364"/>
      <c r="H2706" s="364" t="s">
        <v>911</v>
      </c>
      <c r="I2706" s="364"/>
      <c r="J2706" s="431"/>
      <c r="K2706" s="697" t="s">
        <v>32</v>
      </c>
    </row>
    <row r="2707" spans="1:11" hidden="1">
      <c r="A2707" s="251"/>
      <c r="F2707" s="364">
        <v>1</v>
      </c>
      <c r="G2707" s="364" t="s">
        <v>1389</v>
      </c>
      <c r="H2707" s="364" t="s">
        <v>3053</v>
      </c>
      <c r="I2707" s="364">
        <v>131</v>
      </c>
      <c r="J2707" s="431" t="s">
        <v>1393</v>
      </c>
      <c r="K2707" s="364">
        <f>I2707*F2707</f>
        <v>131</v>
      </c>
    </row>
    <row r="2708" spans="1:11" hidden="1">
      <c r="A2708" s="251"/>
      <c r="F2708" s="364">
        <v>2</v>
      </c>
      <c r="G2708" s="364" t="s">
        <v>1427</v>
      </c>
      <c r="H2708" s="364" t="s">
        <v>3054</v>
      </c>
      <c r="I2708" s="364">
        <v>91</v>
      </c>
      <c r="J2708" s="431" t="s">
        <v>1393</v>
      </c>
      <c r="K2708" s="364">
        <f>I2708*F2708</f>
        <v>182</v>
      </c>
    </row>
    <row r="2709" spans="1:11" hidden="1">
      <c r="A2709" s="251"/>
      <c r="F2709" s="364"/>
      <c r="G2709" s="364"/>
      <c r="H2709" s="364"/>
      <c r="I2709" s="364"/>
      <c r="J2709" s="431"/>
      <c r="K2709" s="697" t="s">
        <v>3055</v>
      </c>
    </row>
    <row r="2710" spans="1:11" hidden="1">
      <c r="A2710" s="251"/>
      <c r="F2710" s="364"/>
      <c r="G2710" s="364"/>
      <c r="H2710" s="364" t="s">
        <v>3056</v>
      </c>
      <c r="I2710" s="364"/>
      <c r="J2710" s="431"/>
      <c r="K2710" s="364">
        <f>SUM(K2707:K2709)</f>
        <v>313</v>
      </c>
    </row>
    <row r="2711" spans="1:11" hidden="1">
      <c r="A2711" s="251"/>
      <c r="F2711" s="364"/>
      <c r="G2711" s="364"/>
      <c r="H2711" s="364" t="s">
        <v>3057</v>
      </c>
      <c r="I2711" s="364"/>
      <c r="J2711" s="431"/>
      <c r="K2711" s="364">
        <f>K2710/3</f>
        <v>104.33</v>
      </c>
    </row>
    <row r="2712" spans="1:11" hidden="1">
      <c r="A2712" s="251"/>
    </row>
    <row r="2713" spans="1:11" ht="15.75" hidden="1" customHeight="1">
      <c r="A2713" s="251"/>
      <c r="F2713" s="698">
        <v>79.400000000000006</v>
      </c>
      <c r="H2713" s="1249" t="s">
        <v>2706</v>
      </c>
      <c r="I2713" s="1249"/>
    </row>
    <row r="2714" spans="1:11" hidden="1">
      <c r="A2714" s="251"/>
      <c r="F2714" s="259"/>
      <c r="H2714" s="260"/>
      <c r="I2714" s="260"/>
    </row>
    <row r="2715" spans="1:11" hidden="1">
      <c r="A2715" s="251"/>
      <c r="F2715" s="252">
        <v>3</v>
      </c>
      <c r="G2715" s="252" t="s">
        <v>1427</v>
      </c>
      <c r="H2715" s="252" t="s">
        <v>2707</v>
      </c>
      <c r="I2715" s="370">
        <v>190</v>
      </c>
      <c r="J2715" s="253" t="s">
        <v>1393</v>
      </c>
      <c r="K2715" s="252">
        <f>I2715*F2715</f>
        <v>570</v>
      </c>
    </row>
    <row r="2716" spans="1:11" hidden="1">
      <c r="A2716" s="251"/>
      <c r="F2716" s="252">
        <v>1</v>
      </c>
      <c r="G2716" s="252" t="s">
        <v>1389</v>
      </c>
      <c r="H2716" s="252" t="s">
        <v>2708</v>
      </c>
      <c r="I2716" s="252">
        <v>223.63</v>
      </c>
      <c r="J2716" s="253" t="s">
        <v>1393</v>
      </c>
      <c r="K2716" s="252">
        <f>I2716*F2716</f>
        <v>223.63</v>
      </c>
    </row>
    <row r="2717" spans="1:11" hidden="1">
      <c r="A2717" s="251"/>
      <c r="H2717" s="252" t="s">
        <v>911</v>
      </c>
      <c r="K2717" s="252">
        <f>K2728</f>
        <v>76.5</v>
      </c>
    </row>
    <row r="2718" spans="1:11" hidden="1">
      <c r="A2718" s="251"/>
      <c r="H2718" s="252" t="s">
        <v>2709</v>
      </c>
      <c r="K2718" s="252">
        <v>4.87</v>
      </c>
    </row>
    <row r="2719" spans="1:11" hidden="1">
      <c r="A2719" s="251"/>
      <c r="K2719" s="377" t="s">
        <v>426</v>
      </c>
    </row>
    <row r="2720" spans="1:11" hidden="1">
      <c r="A2720" s="251"/>
      <c r="K2720" s="252">
        <f>SUM(K2715:K2719)</f>
        <v>875</v>
      </c>
    </row>
    <row r="2721" spans="1:11" hidden="1">
      <c r="A2721" s="251"/>
      <c r="K2721" s="377" t="s">
        <v>146</v>
      </c>
    </row>
    <row r="2722" spans="1:11" hidden="1">
      <c r="A2722" s="251"/>
      <c r="H2722" s="252" t="s">
        <v>911</v>
      </c>
    </row>
    <row r="2723" spans="1:11" hidden="1">
      <c r="A2723" s="251"/>
      <c r="F2723" s="252">
        <v>1</v>
      </c>
      <c r="G2723" s="252" t="s">
        <v>1389</v>
      </c>
      <c r="H2723" s="252" t="s">
        <v>2710</v>
      </c>
      <c r="I2723" s="252">
        <v>131</v>
      </c>
      <c r="J2723" s="253" t="s">
        <v>1393</v>
      </c>
      <c r="K2723" s="252">
        <f>I2723*F2723</f>
        <v>131</v>
      </c>
    </row>
    <row r="2724" spans="1:11" hidden="1">
      <c r="A2724" s="251"/>
      <c r="F2724" s="252">
        <v>1</v>
      </c>
      <c r="G2724" s="252" t="s">
        <v>1389</v>
      </c>
      <c r="H2724" s="252" t="s">
        <v>2711</v>
      </c>
      <c r="I2724" s="252">
        <v>117</v>
      </c>
      <c r="J2724" s="253" t="s">
        <v>1393</v>
      </c>
      <c r="K2724" s="252">
        <f>I2724*F2724</f>
        <v>117</v>
      </c>
    </row>
    <row r="2725" spans="1:11" hidden="1">
      <c r="A2725" s="251"/>
      <c r="F2725" s="252">
        <v>4</v>
      </c>
      <c r="G2725" s="252" t="s">
        <v>1427</v>
      </c>
      <c r="H2725" s="252" t="s">
        <v>3054</v>
      </c>
      <c r="I2725" s="252">
        <v>91</v>
      </c>
      <c r="J2725" s="253" t="s">
        <v>1393</v>
      </c>
      <c r="K2725" s="252">
        <f>I2725*F2725</f>
        <v>364</v>
      </c>
    </row>
    <row r="2726" spans="1:11" hidden="1">
      <c r="A2726" s="251"/>
      <c r="K2726" s="377" t="s">
        <v>3297</v>
      </c>
    </row>
    <row r="2727" spans="1:11" hidden="1">
      <c r="A2727" s="251"/>
      <c r="H2727" s="252" t="s">
        <v>3298</v>
      </c>
      <c r="K2727" s="252">
        <f>SUM(K2723:K2726)</f>
        <v>612</v>
      </c>
    </row>
    <row r="2728" spans="1:11" hidden="1">
      <c r="A2728" s="251"/>
      <c r="H2728" s="252" t="s">
        <v>3299</v>
      </c>
      <c r="K2728" s="252">
        <f>K2727/8</f>
        <v>76.5</v>
      </c>
    </row>
    <row r="2729" spans="1:11" hidden="1">
      <c r="A2729" s="251"/>
    </row>
    <row r="2730" spans="1:11" ht="31.5" hidden="1">
      <c r="A2730" s="251"/>
      <c r="F2730" s="699">
        <v>170</v>
      </c>
      <c r="H2730" s="268" t="s">
        <v>3300</v>
      </c>
    </row>
    <row r="2731" spans="1:11" hidden="1">
      <c r="A2731" s="251"/>
      <c r="H2731" s="358" t="s">
        <v>1579</v>
      </c>
    </row>
    <row r="2732" spans="1:11" hidden="1">
      <c r="A2732" s="251"/>
      <c r="F2732" s="252">
        <v>1</v>
      </c>
      <c r="G2732" s="252" t="s">
        <v>1389</v>
      </c>
      <c r="H2732" s="252" t="s">
        <v>2438</v>
      </c>
      <c r="I2732" s="252">
        <v>2400</v>
      </c>
      <c r="J2732" s="253" t="s">
        <v>1393</v>
      </c>
      <c r="K2732" s="252">
        <f>I2732*F2732</f>
        <v>2400</v>
      </c>
    </row>
    <row r="2733" spans="1:11" hidden="1">
      <c r="A2733" s="251"/>
      <c r="F2733" s="252">
        <v>1</v>
      </c>
      <c r="G2733" s="252" t="s">
        <v>1389</v>
      </c>
      <c r="H2733" s="252" t="s">
        <v>2989</v>
      </c>
      <c r="I2733" s="252">
        <v>485</v>
      </c>
      <c r="J2733" s="253" t="s">
        <v>1393</v>
      </c>
      <c r="K2733" s="252">
        <f>I2733*F2733</f>
        <v>485</v>
      </c>
    </row>
    <row r="2734" spans="1:11" hidden="1">
      <c r="A2734" s="251"/>
      <c r="F2734" s="252">
        <v>4</v>
      </c>
      <c r="G2734" s="252" t="s">
        <v>1427</v>
      </c>
      <c r="H2734" s="252" t="s">
        <v>2990</v>
      </c>
      <c r="I2734" s="252">
        <v>525</v>
      </c>
      <c r="J2734" s="253" t="s">
        <v>1393</v>
      </c>
      <c r="K2734" s="252">
        <f>I2734*F2734</f>
        <v>2100</v>
      </c>
    </row>
    <row r="2735" spans="1:11" hidden="1">
      <c r="A2735" s="251"/>
      <c r="F2735" s="252">
        <v>4.5</v>
      </c>
      <c r="G2735" s="252" t="s">
        <v>1637</v>
      </c>
      <c r="H2735" s="252" t="s">
        <v>2991</v>
      </c>
      <c r="I2735" s="252">
        <v>27</v>
      </c>
      <c r="J2735" s="253" t="s">
        <v>1637</v>
      </c>
      <c r="K2735" s="252">
        <f>I2735*F2735</f>
        <v>121.5</v>
      </c>
    </row>
    <row r="2736" spans="1:11" hidden="1">
      <c r="A2736" s="251"/>
      <c r="H2736" s="252" t="s">
        <v>2992</v>
      </c>
      <c r="K2736" s="252">
        <f>SUM(K2732:K2735)*1%-0.57</f>
        <v>50.5</v>
      </c>
    </row>
    <row r="2737" spans="1:11" hidden="1">
      <c r="A2737" s="251"/>
      <c r="H2737" s="252" t="s">
        <v>140</v>
      </c>
      <c r="K2737" s="252">
        <v>298</v>
      </c>
    </row>
    <row r="2738" spans="1:11" hidden="1">
      <c r="A2738" s="251"/>
      <c r="K2738" s="358" t="s">
        <v>1579</v>
      </c>
    </row>
    <row r="2739" spans="1:11" hidden="1">
      <c r="A2739" s="251"/>
      <c r="K2739" s="252">
        <f>SUM(K2732:K2738)</f>
        <v>5455</v>
      </c>
    </row>
    <row r="2740" spans="1:11" hidden="1">
      <c r="A2740" s="251"/>
      <c r="K2740" s="358" t="s">
        <v>2046</v>
      </c>
    </row>
    <row r="2741" spans="1:11" hidden="1">
      <c r="A2741" s="251"/>
      <c r="F2741" s="699">
        <v>180</v>
      </c>
      <c r="H2741" s="252" t="s">
        <v>2993</v>
      </c>
    </row>
    <row r="2742" spans="1:11" hidden="1">
      <c r="A2742" s="251"/>
      <c r="H2742" s="358" t="s">
        <v>1579</v>
      </c>
    </row>
    <row r="2743" spans="1:11" hidden="1">
      <c r="A2743" s="251"/>
      <c r="F2743" s="252">
        <v>0.8</v>
      </c>
      <c r="G2743" s="252" t="s">
        <v>1637</v>
      </c>
      <c r="H2743" s="252" t="s">
        <v>2994</v>
      </c>
      <c r="I2743" s="252">
        <v>230</v>
      </c>
      <c r="J2743" s="253" t="s">
        <v>1637</v>
      </c>
      <c r="K2743" s="252">
        <f>I2743*F2743</f>
        <v>184</v>
      </c>
    </row>
    <row r="2744" spans="1:11" hidden="1">
      <c r="A2744" s="251"/>
      <c r="F2744" s="252">
        <v>3</v>
      </c>
      <c r="G2744" s="252" t="s">
        <v>1427</v>
      </c>
      <c r="H2744" s="252" t="s">
        <v>2995</v>
      </c>
      <c r="I2744" s="252">
        <v>20</v>
      </c>
      <c r="J2744" s="253" t="s">
        <v>1393</v>
      </c>
      <c r="K2744" s="252">
        <f>I2744*F2744</f>
        <v>60</v>
      </c>
    </row>
    <row r="2745" spans="1:11" hidden="1">
      <c r="A2745" s="251"/>
      <c r="H2745" s="252" t="s">
        <v>2992</v>
      </c>
      <c r="K2745" s="252">
        <f>SUM(K2743:K2744)*1%+1.16</f>
        <v>3.6</v>
      </c>
    </row>
    <row r="2746" spans="1:11" hidden="1">
      <c r="A2746" s="251"/>
      <c r="H2746" s="252" t="s">
        <v>140</v>
      </c>
      <c r="K2746" s="252">
        <v>32.4</v>
      </c>
    </row>
    <row r="2747" spans="1:11" hidden="1">
      <c r="A2747" s="251"/>
      <c r="K2747" s="358" t="s">
        <v>1579</v>
      </c>
    </row>
    <row r="2748" spans="1:11" hidden="1">
      <c r="A2748" s="251"/>
      <c r="K2748" s="252">
        <f>SUM(K2743:K2747)</f>
        <v>280</v>
      </c>
    </row>
    <row r="2749" spans="1:11" hidden="1">
      <c r="A2749" s="251"/>
      <c r="K2749" s="358" t="s">
        <v>2046</v>
      </c>
    </row>
    <row r="2750" spans="1:11" ht="31.5" hidden="1">
      <c r="A2750" s="251"/>
      <c r="F2750" s="699">
        <v>184</v>
      </c>
      <c r="H2750" s="268" t="s">
        <v>3201</v>
      </c>
    </row>
    <row r="2751" spans="1:11" hidden="1">
      <c r="A2751" s="251"/>
      <c r="H2751" s="358" t="s">
        <v>1579</v>
      </c>
    </row>
    <row r="2752" spans="1:11" hidden="1">
      <c r="A2752" s="251"/>
      <c r="F2752" s="252">
        <v>1</v>
      </c>
      <c r="G2752" s="252" t="s">
        <v>1389</v>
      </c>
      <c r="H2752" s="252" t="s">
        <v>3202</v>
      </c>
      <c r="I2752" s="252">
        <v>1860</v>
      </c>
      <c r="J2752" s="253" t="s">
        <v>1393</v>
      </c>
      <c r="K2752" s="252">
        <f t="shared" ref="K2752:K2760" si="90">I2752*F2752</f>
        <v>1860</v>
      </c>
    </row>
    <row r="2753" spans="1:11" hidden="1">
      <c r="A2753" s="251"/>
      <c r="F2753" s="252">
        <v>2</v>
      </c>
      <c r="G2753" s="252" t="s">
        <v>1389</v>
      </c>
      <c r="H2753" s="252" t="s">
        <v>3203</v>
      </c>
      <c r="I2753" s="252">
        <v>46</v>
      </c>
      <c r="J2753" s="253" t="s">
        <v>1393</v>
      </c>
      <c r="K2753" s="252">
        <f t="shared" si="90"/>
        <v>92</v>
      </c>
    </row>
    <row r="2754" spans="1:11" hidden="1">
      <c r="A2754" s="251"/>
      <c r="F2754" s="252">
        <v>1.5</v>
      </c>
      <c r="G2754" s="252" t="s">
        <v>823</v>
      </c>
      <c r="H2754" s="252" t="s">
        <v>3204</v>
      </c>
      <c r="I2754" s="252">
        <v>31</v>
      </c>
      <c r="J2754" s="253" t="s">
        <v>823</v>
      </c>
      <c r="K2754" s="252">
        <f t="shared" si="90"/>
        <v>46.5</v>
      </c>
    </row>
    <row r="2755" spans="1:11" hidden="1">
      <c r="A2755" s="251"/>
      <c r="F2755" s="252">
        <v>2</v>
      </c>
      <c r="G2755" s="252" t="s">
        <v>1389</v>
      </c>
      <c r="H2755" s="252" t="s">
        <v>2787</v>
      </c>
      <c r="I2755" s="252">
        <v>6</v>
      </c>
      <c r="J2755" s="253" t="s">
        <v>1393</v>
      </c>
      <c r="K2755" s="252">
        <f t="shared" si="90"/>
        <v>12</v>
      </c>
    </row>
    <row r="2756" spans="1:11" hidden="1">
      <c r="A2756" s="251"/>
      <c r="F2756" s="252">
        <v>2</v>
      </c>
      <c r="G2756" s="252" t="s">
        <v>1389</v>
      </c>
      <c r="H2756" s="252" t="s">
        <v>2788</v>
      </c>
      <c r="I2756" s="252">
        <v>12</v>
      </c>
      <c r="J2756" s="253" t="s">
        <v>1393</v>
      </c>
      <c r="K2756" s="252">
        <f t="shared" si="90"/>
        <v>24</v>
      </c>
    </row>
    <row r="2757" spans="1:11" hidden="1">
      <c r="A2757" s="251"/>
      <c r="F2757" s="252">
        <v>2</v>
      </c>
      <c r="G2757" s="252" t="s">
        <v>823</v>
      </c>
      <c r="H2757" s="252" t="s">
        <v>2789</v>
      </c>
      <c r="I2757" s="252">
        <v>7.8</v>
      </c>
      <c r="J2757" s="253" t="s">
        <v>823</v>
      </c>
      <c r="K2757" s="252">
        <f t="shared" si="90"/>
        <v>15.6</v>
      </c>
    </row>
    <row r="2758" spans="1:11" hidden="1">
      <c r="A2758" s="251"/>
      <c r="F2758" s="252">
        <v>0.1</v>
      </c>
      <c r="G2758" s="252" t="s">
        <v>1389</v>
      </c>
      <c r="H2758" s="252" t="s">
        <v>2710</v>
      </c>
      <c r="I2758" s="252">
        <f>I2867</f>
        <v>826</v>
      </c>
      <c r="J2758" s="253" t="s">
        <v>1393</v>
      </c>
      <c r="K2758" s="252">
        <f t="shared" si="90"/>
        <v>82.6</v>
      </c>
    </row>
    <row r="2759" spans="1:11" hidden="1">
      <c r="A2759" s="251"/>
      <c r="F2759" s="252">
        <v>0.2</v>
      </c>
      <c r="G2759" s="252" t="s">
        <v>1389</v>
      </c>
      <c r="H2759" s="252" t="s">
        <v>2711</v>
      </c>
      <c r="I2759" s="252">
        <f>I2868</f>
        <v>820</v>
      </c>
      <c r="J2759" s="253" t="s">
        <v>1393</v>
      </c>
      <c r="K2759" s="252">
        <f t="shared" si="90"/>
        <v>164</v>
      </c>
    </row>
    <row r="2760" spans="1:11" hidden="1">
      <c r="A2760" s="251"/>
      <c r="F2760" s="252">
        <v>0.3</v>
      </c>
      <c r="G2760" s="252" t="s">
        <v>1389</v>
      </c>
      <c r="H2760" s="252" t="s">
        <v>2321</v>
      </c>
      <c r="I2760" s="252">
        <f>I2869</f>
        <v>644</v>
      </c>
      <c r="J2760" s="253" t="s">
        <v>1393</v>
      </c>
      <c r="K2760" s="252">
        <f t="shared" si="90"/>
        <v>193.2</v>
      </c>
    </row>
    <row r="2761" spans="1:11" hidden="1">
      <c r="A2761" s="251"/>
      <c r="H2761" s="252" t="s">
        <v>2992</v>
      </c>
      <c r="K2761" s="252">
        <f>SUM(K2752:K2760)*1%-0.63</f>
        <v>24.27</v>
      </c>
    </row>
    <row r="2762" spans="1:11" hidden="1">
      <c r="A2762" s="251"/>
    </row>
    <row r="2763" spans="1:11" hidden="1">
      <c r="A2763" s="251"/>
      <c r="K2763" s="358" t="s">
        <v>1579</v>
      </c>
    </row>
    <row r="2764" spans="1:11" hidden="1">
      <c r="A2764" s="251"/>
      <c r="K2764" s="252">
        <f>SUM(K2752:K2763)</f>
        <v>2514.17</v>
      </c>
    </row>
    <row r="2765" spans="1:11" hidden="1">
      <c r="A2765" s="251"/>
      <c r="K2765" s="358" t="s">
        <v>2046</v>
      </c>
    </row>
    <row r="2766" spans="1:11" hidden="1">
      <c r="A2766" s="251"/>
      <c r="F2766" s="509">
        <v>53.4</v>
      </c>
      <c r="H2766" s="296" t="s">
        <v>2880</v>
      </c>
      <c r="J2766" s="253" t="s">
        <v>1393</v>
      </c>
      <c r="K2766" s="252">
        <v>957</v>
      </c>
    </row>
    <row r="2767" spans="1:11" hidden="1">
      <c r="A2767" s="251"/>
    </row>
    <row r="2768" spans="1:11" ht="31.5" hidden="1">
      <c r="A2768" s="251"/>
      <c r="F2768" s="700">
        <v>383</v>
      </c>
      <c r="H2768" s="268" t="s">
        <v>3432</v>
      </c>
      <c r="J2768" s="253" t="s">
        <v>1393</v>
      </c>
      <c r="K2768" s="252">
        <v>600</v>
      </c>
    </row>
    <row r="2769" spans="1:11" hidden="1">
      <c r="A2769" s="251"/>
    </row>
    <row r="2770" spans="1:11" hidden="1">
      <c r="A2770" s="251"/>
    </row>
    <row r="2771" spans="1:11" hidden="1">
      <c r="A2771" s="251"/>
      <c r="F2771" s="701">
        <v>344.2</v>
      </c>
      <c r="H2771" s="268" t="s">
        <v>2399</v>
      </c>
      <c r="J2771" s="253" t="s">
        <v>1393</v>
      </c>
      <c r="K2771" s="252">
        <v>300</v>
      </c>
    </row>
    <row r="2772" spans="1:11" hidden="1">
      <c r="A2772" s="251"/>
      <c r="F2772" s="700"/>
    </row>
    <row r="2773" spans="1:11" hidden="1">
      <c r="A2773" s="251"/>
      <c r="F2773" s="700"/>
    </row>
    <row r="2774" spans="1:11" hidden="1">
      <c r="A2774" s="251"/>
      <c r="F2774" s="700"/>
    </row>
    <row r="2775" spans="1:11" hidden="1">
      <c r="A2775" s="251"/>
      <c r="F2775" s="701">
        <v>344.1</v>
      </c>
      <c r="H2775" s="268" t="s">
        <v>2400</v>
      </c>
      <c r="J2775" s="253" t="s">
        <v>1393</v>
      </c>
      <c r="K2775" s="252">
        <v>260</v>
      </c>
    </row>
    <row r="2776" spans="1:11" hidden="1">
      <c r="A2776" s="251"/>
      <c r="F2776" s="259"/>
    </row>
    <row r="2777" spans="1:11" hidden="1">
      <c r="A2777" s="251"/>
      <c r="F2777" s="259"/>
    </row>
    <row r="2778" spans="1:11" hidden="1">
      <c r="A2778" s="251"/>
      <c r="F2778" s="252">
        <v>384</v>
      </c>
    </row>
    <row r="2779" spans="1:11" hidden="1">
      <c r="A2779" s="251"/>
      <c r="H2779" s="268" t="s">
        <v>2401</v>
      </c>
      <c r="J2779" s="253" t="s">
        <v>1393</v>
      </c>
      <c r="K2779" s="252">
        <v>650</v>
      </c>
    </row>
    <row r="2780" spans="1:11" hidden="1">
      <c r="A2780" s="251"/>
    </row>
    <row r="2781" spans="1:11" ht="18" hidden="1">
      <c r="A2781" s="251"/>
      <c r="F2781" s="702">
        <v>385</v>
      </c>
      <c r="H2781" s="252" t="s">
        <v>2790</v>
      </c>
    </row>
    <row r="2782" spans="1:11" hidden="1">
      <c r="A2782" s="251"/>
      <c r="H2782" s="377" t="s">
        <v>2791</v>
      </c>
    </row>
    <row r="2783" spans="1:11" hidden="1">
      <c r="A2783" s="251"/>
      <c r="F2783" s="252">
        <v>4</v>
      </c>
      <c r="G2783" s="252" t="s">
        <v>823</v>
      </c>
      <c r="H2783" s="252" t="s">
        <v>3196</v>
      </c>
      <c r="I2783" s="252">
        <v>110</v>
      </c>
      <c r="J2783" s="252" t="s">
        <v>823</v>
      </c>
      <c r="K2783" s="252">
        <f t="shared" ref="K2783:K2790" si="91">I2783*F2783</f>
        <v>440</v>
      </c>
    </row>
    <row r="2784" spans="1:11" hidden="1">
      <c r="A2784" s="251"/>
      <c r="F2784" s="252">
        <v>2.52</v>
      </c>
      <c r="G2784" s="252" t="s">
        <v>1637</v>
      </c>
      <c r="H2784" s="252" t="s">
        <v>3197</v>
      </c>
      <c r="I2784" s="252">
        <v>30</v>
      </c>
      <c r="J2784" s="252" t="s">
        <v>1637</v>
      </c>
      <c r="K2784" s="252">
        <f t="shared" si="91"/>
        <v>75.599999999999994</v>
      </c>
    </row>
    <row r="2785" spans="1:11" hidden="1">
      <c r="A2785" s="251"/>
      <c r="F2785" s="252">
        <v>1.1299999999999999</v>
      </c>
      <c r="G2785" s="252" t="s">
        <v>1637</v>
      </c>
      <c r="H2785" s="252" t="s">
        <v>3075</v>
      </c>
      <c r="I2785" s="252">
        <v>30</v>
      </c>
      <c r="J2785" s="252" t="s">
        <v>1637</v>
      </c>
      <c r="K2785" s="252">
        <f t="shared" si="91"/>
        <v>33.9</v>
      </c>
    </row>
    <row r="2786" spans="1:11" hidden="1">
      <c r="A2786" s="251"/>
      <c r="F2786" s="252">
        <v>0.35</v>
      </c>
      <c r="G2786" s="252" t="s">
        <v>1637</v>
      </c>
      <c r="H2786" s="252" t="s">
        <v>3076</v>
      </c>
      <c r="I2786" s="252">
        <v>30</v>
      </c>
      <c r="J2786" s="252" t="s">
        <v>1637</v>
      </c>
      <c r="K2786" s="252">
        <f t="shared" si="91"/>
        <v>10.5</v>
      </c>
    </row>
    <row r="2787" spans="1:11" hidden="1">
      <c r="A2787" s="251"/>
      <c r="F2787" s="252">
        <v>4</v>
      </c>
      <c r="G2787" s="252" t="s">
        <v>1637</v>
      </c>
      <c r="H2787" s="252" t="s">
        <v>3077</v>
      </c>
      <c r="I2787" s="252">
        <v>12.25</v>
      </c>
      <c r="J2787" s="252" t="s">
        <v>1637</v>
      </c>
      <c r="K2787" s="252">
        <f t="shared" si="91"/>
        <v>49</v>
      </c>
    </row>
    <row r="2788" spans="1:11" hidden="1">
      <c r="A2788" s="251"/>
      <c r="F2788" s="252">
        <v>6</v>
      </c>
      <c r="G2788" s="252" t="s">
        <v>1427</v>
      </c>
      <c r="H2788" s="252" t="s">
        <v>3078</v>
      </c>
      <c r="I2788" s="252">
        <v>1</v>
      </c>
      <c r="J2788" s="252" t="s">
        <v>1427</v>
      </c>
      <c r="K2788" s="252">
        <f t="shared" si="91"/>
        <v>6</v>
      </c>
    </row>
    <row r="2789" spans="1:11" hidden="1">
      <c r="A2789" s="251"/>
      <c r="F2789" s="252">
        <v>0.5</v>
      </c>
      <c r="G2789" s="252" t="s">
        <v>1427</v>
      </c>
      <c r="H2789" s="252" t="s">
        <v>345</v>
      </c>
      <c r="I2789" s="252">
        <f>C12</f>
        <v>95</v>
      </c>
      <c r="J2789" s="252" t="s">
        <v>1393</v>
      </c>
      <c r="K2789" s="252">
        <f t="shared" si="91"/>
        <v>47.5</v>
      </c>
    </row>
    <row r="2790" spans="1:11" hidden="1">
      <c r="A2790" s="251"/>
      <c r="F2790" s="252">
        <v>0.5</v>
      </c>
      <c r="G2790" s="252" t="s">
        <v>1427</v>
      </c>
      <c r="H2790" s="252" t="s">
        <v>1218</v>
      </c>
      <c r="I2790" s="252">
        <f>C13</f>
        <v>85</v>
      </c>
      <c r="J2790" s="252" t="s">
        <v>1393</v>
      </c>
      <c r="K2790" s="252">
        <f t="shared" si="91"/>
        <v>42.5</v>
      </c>
    </row>
    <row r="2791" spans="1:11" hidden="1">
      <c r="A2791" s="251"/>
      <c r="J2791" s="252"/>
      <c r="K2791" s="377" t="s">
        <v>3297</v>
      </c>
    </row>
    <row r="2792" spans="1:11" hidden="1">
      <c r="A2792" s="251"/>
      <c r="H2792" s="252" t="s">
        <v>3079</v>
      </c>
      <c r="K2792" s="252">
        <f>SUM(K2783:K2791)</f>
        <v>705</v>
      </c>
    </row>
    <row r="2793" spans="1:11" hidden="1">
      <c r="A2793" s="251"/>
      <c r="K2793" s="377" t="s">
        <v>3043</v>
      </c>
    </row>
    <row r="2794" spans="1:11" hidden="1">
      <c r="A2794" s="251"/>
      <c r="H2794" s="252" t="s">
        <v>2770</v>
      </c>
      <c r="K2794" s="252">
        <f>K2792/2</f>
        <v>352.5</v>
      </c>
    </row>
    <row r="2795" spans="1:11" hidden="1">
      <c r="A2795" s="251"/>
      <c r="K2795" s="377" t="s">
        <v>32</v>
      </c>
    </row>
    <row r="2796" spans="1:11" ht="18" hidden="1">
      <c r="A2796" s="251"/>
      <c r="F2796" s="691">
        <v>112.1</v>
      </c>
      <c r="H2796" s="522" t="s">
        <v>2450</v>
      </c>
    </row>
    <row r="2797" spans="1:11" hidden="1">
      <c r="A2797" s="251"/>
      <c r="H2797" s="377" t="s">
        <v>2451</v>
      </c>
    </row>
    <row r="2798" spans="1:11" hidden="1">
      <c r="A2798" s="251"/>
      <c r="F2798" s="252">
        <v>1</v>
      </c>
      <c r="G2798" s="252" t="s">
        <v>1389</v>
      </c>
      <c r="H2798" s="268" t="s">
        <v>2450</v>
      </c>
      <c r="I2798" s="372">
        <v>1059</v>
      </c>
      <c r="J2798" s="253" t="s">
        <v>1393</v>
      </c>
      <c r="K2798" s="252">
        <f>I2798*F2798</f>
        <v>1059</v>
      </c>
    </row>
    <row r="2799" spans="1:11" hidden="1">
      <c r="A2799" s="251"/>
      <c r="F2799" s="252">
        <v>1</v>
      </c>
      <c r="G2799" s="252" t="s">
        <v>1389</v>
      </c>
      <c r="H2799" s="268" t="s">
        <v>2452</v>
      </c>
      <c r="I2799" s="252">
        <v>95</v>
      </c>
      <c r="J2799" s="253" t="s">
        <v>1393</v>
      </c>
      <c r="K2799" s="252">
        <f>I2799*F2799</f>
        <v>95</v>
      </c>
    </row>
    <row r="2800" spans="1:11" ht="31.5" hidden="1">
      <c r="A2800" s="251"/>
      <c r="F2800" s="252" t="s">
        <v>446</v>
      </c>
      <c r="H2800" s="268" t="s">
        <v>2487</v>
      </c>
      <c r="J2800" s="253" t="s">
        <v>446</v>
      </c>
      <c r="K2800" s="252">
        <v>16.64</v>
      </c>
    </row>
    <row r="2801" spans="1:11" hidden="1">
      <c r="A2801" s="251"/>
      <c r="H2801" s="252" t="s">
        <v>2488</v>
      </c>
      <c r="K2801" s="252">
        <v>10.11</v>
      </c>
    </row>
    <row r="2802" spans="1:11" hidden="1">
      <c r="A2802" s="251"/>
      <c r="H2802" s="252" t="s">
        <v>1493</v>
      </c>
      <c r="J2802" s="253" t="s">
        <v>1393</v>
      </c>
      <c r="K2802" s="252">
        <f>K2811</f>
        <v>78.25</v>
      </c>
    </row>
    <row r="2803" spans="1:11" hidden="1">
      <c r="A2803" s="251"/>
      <c r="K2803" s="377" t="s">
        <v>2318</v>
      </c>
    </row>
    <row r="2804" spans="1:11" hidden="1">
      <c r="A2804" s="251"/>
      <c r="K2804" s="252">
        <f>SUM(K2798:K2803)</f>
        <v>1259</v>
      </c>
    </row>
    <row r="2805" spans="1:11" hidden="1">
      <c r="A2805" s="251"/>
      <c r="K2805" s="377" t="s">
        <v>876</v>
      </c>
    </row>
    <row r="2806" spans="1:11" hidden="1">
      <c r="A2806" s="251"/>
      <c r="F2806" s="252" t="s">
        <v>140</v>
      </c>
    </row>
    <row r="2807" spans="1:11" hidden="1">
      <c r="A2807" s="251"/>
      <c r="F2807" s="252">
        <v>1</v>
      </c>
      <c r="G2807" s="252" t="s">
        <v>1389</v>
      </c>
      <c r="H2807" s="252" t="s">
        <v>2489</v>
      </c>
      <c r="I2807" s="252">
        <v>131</v>
      </c>
      <c r="J2807" s="253" t="s">
        <v>1393</v>
      </c>
      <c r="K2807" s="252">
        <f>I2807*F2807</f>
        <v>131</v>
      </c>
    </row>
    <row r="2808" spans="1:11" hidden="1">
      <c r="A2808" s="251"/>
      <c r="F2808" s="252">
        <v>2</v>
      </c>
      <c r="G2808" s="252" t="s">
        <v>1427</v>
      </c>
      <c r="H2808" s="252" t="s">
        <v>2321</v>
      </c>
      <c r="I2808" s="252">
        <v>91</v>
      </c>
      <c r="J2808" s="253" t="s">
        <v>1393</v>
      </c>
      <c r="K2808" s="252">
        <f>I2808*F2808</f>
        <v>182</v>
      </c>
    </row>
    <row r="2809" spans="1:11" hidden="1">
      <c r="A2809" s="251"/>
      <c r="K2809" s="377" t="s">
        <v>2318</v>
      </c>
    </row>
    <row r="2810" spans="1:11" hidden="1">
      <c r="A2810" s="251"/>
      <c r="H2810" s="252" t="s">
        <v>2490</v>
      </c>
      <c r="K2810" s="252">
        <f>SUM(K2807:K2809)</f>
        <v>313</v>
      </c>
    </row>
    <row r="2811" spans="1:11" hidden="1">
      <c r="A2811" s="251"/>
      <c r="H2811" s="252" t="s">
        <v>2491</v>
      </c>
      <c r="K2811" s="252">
        <f>K2810/4</f>
        <v>78.25</v>
      </c>
    </row>
    <row r="2812" spans="1:11" hidden="1">
      <c r="A2812" s="251"/>
      <c r="H2812" s="407"/>
    </row>
    <row r="2813" spans="1:11" hidden="1">
      <c r="A2813" s="251"/>
      <c r="F2813" s="252">
        <v>70.5</v>
      </c>
      <c r="H2813" s="252" t="s">
        <v>2492</v>
      </c>
    </row>
    <row r="2814" spans="1:11" hidden="1">
      <c r="A2814" s="251"/>
      <c r="H2814" s="358" t="s">
        <v>1579</v>
      </c>
    </row>
    <row r="2815" spans="1:11" ht="47.25" hidden="1">
      <c r="A2815" s="251"/>
      <c r="F2815" s="262">
        <v>1</v>
      </c>
      <c r="G2815" s="262" t="s">
        <v>1389</v>
      </c>
      <c r="H2815" s="262" t="s">
        <v>2854</v>
      </c>
      <c r="I2815" s="252">
        <v>322</v>
      </c>
      <c r="J2815" s="253" t="s">
        <v>1393</v>
      </c>
      <c r="K2815" s="252">
        <f>F2815*I2815</f>
        <v>322</v>
      </c>
    </row>
    <row r="2816" spans="1:11" hidden="1">
      <c r="A2816" s="251"/>
      <c r="F2816" s="262">
        <v>1</v>
      </c>
      <c r="G2816" s="262" t="s">
        <v>1389</v>
      </c>
      <c r="H2816" s="252" t="s">
        <v>2855</v>
      </c>
      <c r="I2816" s="372">
        <v>37</v>
      </c>
      <c r="J2816" s="253" t="s">
        <v>1393</v>
      </c>
      <c r="K2816" s="252">
        <f>F2816*I2816</f>
        <v>37</v>
      </c>
    </row>
    <row r="2817" spans="1:11" hidden="1">
      <c r="A2817" s="251"/>
      <c r="F2817" s="262">
        <v>2</v>
      </c>
      <c r="G2817" s="262" t="s">
        <v>1389</v>
      </c>
      <c r="H2817" s="252" t="s">
        <v>2856</v>
      </c>
      <c r="I2817" s="252">
        <v>600</v>
      </c>
      <c r="J2817" s="253" t="s">
        <v>2857</v>
      </c>
      <c r="K2817" s="252">
        <f>(F2817*I2817)/100</f>
        <v>12</v>
      </c>
    </row>
    <row r="2818" spans="1:11" hidden="1">
      <c r="A2818" s="251"/>
      <c r="F2818" s="262">
        <v>2</v>
      </c>
      <c r="G2818" s="262" t="s">
        <v>1389</v>
      </c>
      <c r="H2818" s="252" t="s">
        <v>2858</v>
      </c>
      <c r="I2818" s="252">
        <v>914.1</v>
      </c>
      <c r="J2818" s="253" t="s">
        <v>2859</v>
      </c>
      <c r="K2818" s="252">
        <f>(F2818*I2818)/100</f>
        <v>18.28</v>
      </c>
    </row>
    <row r="2819" spans="1:11" hidden="1">
      <c r="A2819" s="251"/>
      <c r="F2819" s="262"/>
      <c r="G2819" s="262"/>
      <c r="H2819" s="252" t="s">
        <v>2860</v>
      </c>
      <c r="I2819" s="252">
        <f>K2830</f>
        <v>49.25</v>
      </c>
      <c r="J2819" s="253" t="s">
        <v>446</v>
      </c>
      <c r="K2819" s="252">
        <f>I2819</f>
        <v>49.25</v>
      </c>
    </row>
    <row r="2820" spans="1:11" hidden="1">
      <c r="A2820" s="251"/>
      <c r="H2820" s="252" t="s">
        <v>2861</v>
      </c>
      <c r="J2820" s="253" t="s">
        <v>446</v>
      </c>
      <c r="K2820" s="252">
        <v>1.84</v>
      </c>
    </row>
    <row r="2821" spans="1:11" hidden="1">
      <c r="A2821" s="251"/>
      <c r="K2821" s="358" t="s">
        <v>1579</v>
      </c>
    </row>
    <row r="2822" spans="1:11" hidden="1">
      <c r="A2822" s="251"/>
      <c r="H2822" s="252" t="s">
        <v>2235</v>
      </c>
      <c r="K2822" s="252">
        <f>SUM(K2815:K2821)</f>
        <v>440.37</v>
      </c>
    </row>
    <row r="2823" spans="1:11" hidden="1">
      <c r="A2823" s="251"/>
      <c r="K2823" s="358" t="s">
        <v>2046</v>
      </c>
    </row>
    <row r="2824" spans="1:11" hidden="1">
      <c r="A2824" s="251"/>
      <c r="H2824" s="252" t="s">
        <v>2862</v>
      </c>
    </row>
    <row r="2825" spans="1:11" hidden="1">
      <c r="A2825" s="251"/>
      <c r="F2825" s="252">
        <v>1</v>
      </c>
      <c r="G2825" s="252" t="s">
        <v>1389</v>
      </c>
      <c r="H2825" s="252" t="s">
        <v>3318</v>
      </c>
      <c r="I2825" s="252">
        <v>160</v>
      </c>
      <c r="J2825" s="253" t="s">
        <v>1393</v>
      </c>
      <c r="K2825" s="252">
        <f>F2825*I2825</f>
        <v>160</v>
      </c>
    </row>
    <row r="2826" spans="1:11" hidden="1">
      <c r="A2826" s="251"/>
      <c r="F2826" s="252">
        <v>2</v>
      </c>
      <c r="G2826" s="252" t="s">
        <v>1389</v>
      </c>
      <c r="H2826" s="252" t="s">
        <v>3319</v>
      </c>
      <c r="I2826" s="252">
        <v>149</v>
      </c>
      <c r="J2826" s="253" t="s">
        <v>1393</v>
      </c>
      <c r="K2826" s="252">
        <f>F2826*I2826</f>
        <v>298</v>
      </c>
    </row>
    <row r="2827" spans="1:11" hidden="1">
      <c r="A2827" s="251"/>
      <c r="F2827" s="252">
        <v>3</v>
      </c>
      <c r="G2827" s="252" t="s">
        <v>1389</v>
      </c>
      <c r="H2827" s="252" t="s">
        <v>2321</v>
      </c>
      <c r="I2827" s="252">
        <v>110</v>
      </c>
      <c r="J2827" s="253" t="s">
        <v>1393</v>
      </c>
      <c r="K2827" s="252">
        <f>F2827*I2827</f>
        <v>330</v>
      </c>
    </row>
    <row r="2828" spans="1:11" hidden="1">
      <c r="A2828" s="251"/>
      <c r="K2828" s="358" t="s">
        <v>1579</v>
      </c>
    </row>
    <row r="2829" spans="1:11" hidden="1">
      <c r="A2829" s="251"/>
      <c r="H2829" s="252" t="s">
        <v>2863</v>
      </c>
      <c r="K2829" s="252">
        <f>SUM(K2825:K2828)</f>
        <v>788</v>
      </c>
    </row>
    <row r="2830" spans="1:11" hidden="1">
      <c r="A2830" s="251"/>
      <c r="H2830" s="252" t="s">
        <v>2864</v>
      </c>
      <c r="K2830" s="252">
        <f>K2829/16</f>
        <v>49.25</v>
      </c>
    </row>
    <row r="2831" spans="1:11" hidden="1">
      <c r="A2831" s="251"/>
      <c r="K2831" s="358" t="s">
        <v>1579</v>
      </c>
    </row>
    <row r="2832" spans="1:11" ht="9" customHeight="1">
      <c r="A2832" s="251"/>
    </row>
    <row r="2833" spans="1:18" ht="18">
      <c r="A2833" s="251"/>
      <c r="H2833" s="254" t="s">
        <v>3690</v>
      </c>
    </row>
    <row r="2834" spans="1:18">
      <c r="A2834" s="251"/>
      <c r="H2834" s="255" t="s">
        <v>3898</v>
      </c>
    </row>
    <row r="2835" spans="1:18" ht="9" customHeight="1">
      <c r="A2835" s="251"/>
    </row>
    <row r="2836" spans="1:18" ht="20.25" customHeight="1">
      <c r="A2836" s="251"/>
      <c r="H2836" s="256" t="s">
        <v>2865</v>
      </c>
    </row>
    <row r="2837" spans="1:18" ht="20.25" customHeight="1">
      <c r="A2837" s="251"/>
      <c r="H2837" s="257" t="s">
        <v>2866</v>
      </c>
      <c r="O2837" s="258" t="s">
        <v>2867</v>
      </c>
    </row>
    <row r="2838" spans="1:18" ht="16.5" customHeight="1">
      <c r="A2838" s="251"/>
      <c r="H2838" s="257" t="s">
        <v>2868</v>
      </c>
    </row>
    <row r="2839" spans="1:18">
      <c r="A2839" s="251"/>
      <c r="H2839" s="259"/>
    </row>
    <row r="2840" spans="1:18" ht="25.5" customHeight="1">
      <c r="A2840" s="251"/>
      <c r="H2840" s="257" t="s">
        <v>2869</v>
      </c>
    </row>
    <row r="2841" spans="1:18" ht="1.5" customHeight="1">
      <c r="A2841" s="251"/>
    </row>
    <row r="2842" spans="1:18" ht="167.25" customHeight="1">
      <c r="A2842" s="251"/>
      <c r="H2842" s="260" t="s">
        <v>2375</v>
      </c>
      <c r="M2842" s="261"/>
      <c r="N2842" s="261"/>
      <c r="O2842" s="260" t="s">
        <v>5631</v>
      </c>
      <c r="P2842" s="261"/>
      <c r="Q2842" s="261"/>
      <c r="R2842" s="261"/>
    </row>
    <row r="2843" spans="1:18" ht="36.75" customHeight="1">
      <c r="A2843" s="251"/>
      <c r="F2843" s="261">
        <v>90</v>
      </c>
      <c r="G2843" s="261" t="s">
        <v>823</v>
      </c>
      <c r="H2843" s="262" t="s">
        <v>3875</v>
      </c>
      <c r="I2843" s="263">
        <f>Elec.Data!I12</f>
        <v>16.55</v>
      </c>
      <c r="J2843" s="261" t="s">
        <v>2529</v>
      </c>
      <c r="K2843" s="261">
        <f>F2843*I2843</f>
        <v>1489.5</v>
      </c>
      <c r="M2843" s="261"/>
      <c r="N2843" s="261"/>
      <c r="O2843" s="258"/>
      <c r="P2843" s="261"/>
      <c r="Q2843" s="261"/>
      <c r="R2843" s="261"/>
    </row>
    <row r="2844" spans="1:18" ht="42.75" customHeight="1">
      <c r="A2844" s="251"/>
      <c r="E2844" s="261"/>
      <c r="F2844" s="261">
        <v>45</v>
      </c>
      <c r="G2844" s="261" t="s">
        <v>823</v>
      </c>
      <c r="H2844" s="260" t="s">
        <v>3870</v>
      </c>
      <c r="I2844" s="263">
        <f>Elec.Data!I13</f>
        <v>20</v>
      </c>
      <c r="J2844" s="261" t="s">
        <v>2355</v>
      </c>
      <c r="K2844" s="261">
        <f>F2844*I2844</f>
        <v>900</v>
      </c>
      <c r="L2844" s="261"/>
      <c r="M2844" s="261"/>
      <c r="N2844" s="261"/>
      <c r="P2844" s="261" t="s">
        <v>971</v>
      </c>
      <c r="Q2844" s="261"/>
      <c r="R2844" s="261"/>
    </row>
    <row r="2845" spans="1:18" ht="24.95" customHeight="1">
      <c r="A2845" s="251"/>
      <c r="E2845" s="261"/>
      <c r="F2845" s="261">
        <v>20</v>
      </c>
      <c r="G2845" s="261" t="s">
        <v>1389</v>
      </c>
      <c r="H2845" s="261" t="s">
        <v>3869</v>
      </c>
      <c r="I2845" s="263">
        <f>Elec.Data!I14</f>
        <v>3.15</v>
      </c>
      <c r="J2845" s="261" t="s">
        <v>1389</v>
      </c>
      <c r="K2845" s="261">
        <f>F2845*I2845</f>
        <v>63</v>
      </c>
      <c r="L2845" s="261"/>
      <c r="M2845" s="261"/>
      <c r="N2845" s="261"/>
      <c r="O2845" s="261"/>
      <c r="P2845" s="261"/>
      <c r="Q2845" s="261"/>
      <c r="R2845" s="261"/>
    </row>
    <row r="2846" spans="1:18" ht="19.5" customHeight="1">
      <c r="A2846" s="251"/>
      <c r="E2846" s="261"/>
      <c r="F2846" s="261">
        <v>10</v>
      </c>
      <c r="G2846" s="261" t="s">
        <v>1389</v>
      </c>
      <c r="H2846" s="261" t="s">
        <v>3877</v>
      </c>
      <c r="I2846" s="263">
        <f>Elec.Data!I15</f>
        <v>1.34</v>
      </c>
      <c r="J2846" s="261" t="s">
        <v>1389</v>
      </c>
      <c r="K2846" s="261">
        <f>F2846*I2846</f>
        <v>13.4</v>
      </c>
      <c r="L2846" s="261"/>
      <c r="M2846" s="261">
        <v>90</v>
      </c>
      <c r="N2846" s="261" t="s">
        <v>823</v>
      </c>
      <c r="O2846" s="268" t="s">
        <v>2528</v>
      </c>
      <c r="P2846" s="261">
        <f>I2856</f>
        <v>16.55</v>
      </c>
      <c r="Q2846" s="261" t="s">
        <v>823</v>
      </c>
      <c r="R2846" s="261">
        <f>M2846*P2846</f>
        <v>1489.5</v>
      </c>
    </row>
    <row r="2847" spans="1:18" ht="42.75" customHeight="1">
      <c r="A2847" s="251"/>
      <c r="E2847" s="261"/>
      <c r="F2847" s="261">
        <v>1</v>
      </c>
      <c r="G2847" s="261" t="s">
        <v>1389</v>
      </c>
      <c r="H2847" s="272" t="s">
        <v>3841</v>
      </c>
      <c r="I2847" s="703">
        <v>58</v>
      </c>
      <c r="J2847" s="261" t="s">
        <v>1389</v>
      </c>
      <c r="K2847" s="261">
        <f>F2847*I2847</f>
        <v>58</v>
      </c>
      <c r="L2847" s="261"/>
      <c r="M2847" s="261">
        <v>45</v>
      </c>
      <c r="N2847" s="261" t="s">
        <v>823</v>
      </c>
      <c r="O2847" s="260" t="s">
        <v>2354</v>
      </c>
      <c r="P2847" s="261">
        <f>I2844</f>
        <v>20</v>
      </c>
      <c r="Q2847" s="261" t="s">
        <v>2355</v>
      </c>
      <c r="R2847" s="261">
        <f>M2847*P2847</f>
        <v>900</v>
      </c>
    </row>
    <row r="2848" spans="1:18">
      <c r="A2848" s="251"/>
      <c r="E2848" s="261"/>
      <c r="F2848" s="261"/>
      <c r="G2848" s="261"/>
      <c r="H2848" s="261"/>
      <c r="I2848" s="261"/>
      <c r="J2848" s="261"/>
      <c r="K2848" s="261"/>
      <c r="L2848" s="261"/>
      <c r="M2848" s="261">
        <v>75</v>
      </c>
      <c r="N2848" s="261" t="s">
        <v>1389</v>
      </c>
      <c r="O2848" s="261" t="s">
        <v>3732</v>
      </c>
      <c r="P2848" s="264">
        <v>3.6</v>
      </c>
      <c r="Q2848" s="261" t="s">
        <v>3368</v>
      </c>
      <c r="R2848" s="261">
        <f>M2848*P2848/12</f>
        <v>22.5</v>
      </c>
    </row>
    <row r="2849" spans="1:20" ht="34.5" customHeight="1">
      <c r="A2849" s="251"/>
      <c r="E2849" s="261"/>
      <c r="F2849" s="265">
        <v>1.4999999999999999E-2</v>
      </c>
      <c r="G2849" s="261" t="s">
        <v>2273</v>
      </c>
      <c r="H2849" s="261" t="s">
        <v>3871</v>
      </c>
      <c r="I2849" s="263">
        <f>Elec.Data!I18</f>
        <v>661</v>
      </c>
      <c r="J2849" s="261" t="s">
        <v>2273</v>
      </c>
      <c r="K2849" s="261">
        <f t="shared" ref="K2849:K2856" si="92">F2849*I2849</f>
        <v>9.92</v>
      </c>
      <c r="L2849" s="261"/>
      <c r="M2849" s="261">
        <v>12</v>
      </c>
      <c r="N2849" s="261" t="s">
        <v>1389</v>
      </c>
      <c r="O2849" s="261" t="s">
        <v>2356</v>
      </c>
      <c r="P2849" s="261">
        <f>I2845</f>
        <v>3.15</v>
      </c>
      <c r="Q2849" s="261" t="s">
        <v>1389</v>
      </c>
      <c r="R2849" s="261">
        <f>M2849*P2849</f>
        <v>37.799999999999997</v>
      </c>
    </row>
    <row r="2850" spans="1:20" ht="24.95" customHeight="1">
      <c r="A2850" s="251"/>
      <c r="E2850" s="261"/>
      <c r="F2850" s="261">
        <v>10</v>
      </c>
      <c r="G2850" s="261" t="s">
        <v>1389</v>
      </c>
      <c r="H2850" s="261" t="s">
        <v>3872</v>
      </c>
      <c r="I2850" s="263">
        <f>Elec.Data!I19</f>
        <v>16.21</v>
      </c>
      <c r="J2850" s="261" t="s">
        <v>1389</v>
      </c>
      <c r="K2850" s="261">
        <f t="shared" si="92"/>
        <v>162.1</v>
      </c>
      <c r="L2850" s="261"/>
      <c r="M2850" s="261">
        <v>6</v>
      </c>
      <c r="N2850" s="261" t="s">
        <v>1389</v>
      </c>
      <c r="O2850" s="261" t="s">
        <v>3365</v>
      </c>
      <c r="P2850" s="261">
        <f>I2846</f>
        <v>1.34</v>
      </c>
      <c r="Q2850" s="261" t="s">
        <v>1389</v>
      </c>
      <c r="R2850" s="261">
        <f>M2850*P2850</f>
        <v>8.0399999999999991</v>
      </c>
    </row>
    <row r="2851" spans="1:20" ht="24.95" customHeight="1">
      <c r="A2851" s="251"/>
      <c r="E2851" s="261"/>
      <c r="F2851" s="261">
        <v>10</v>
      </c>
      <c r="G2851" s="261" t="s">
        <v>1389</v>
      </c>
      <c r="H2851" s="261" t="s">
        <v>3873</v>
      </c>
      <c r="I2851" s="263">
        <f>Elec.Data!I20</f>
        <v>13.8</v>
      </c>
      <c r="J2851" s="261" t="s">
        <v>1389</v>
      </c>
      <c r="K2851" s="261">
        <f t="shared" si="92"/>
        <v>138</v>
      </c>
      <c r="L2851" s="261"/>
      <c r="M2851" s="261">
        <v>150</v>
      </c>
      <c r="N2851" s="261" t="s">
        <v>1427</v>
      </c>
      <c r="O2851" s="261" t="s">
        <v>2619</v>
      </c>
      <c r="P2851" s="261">
        <f>Elec.Data!P20</f>
        <v>287</v>
      </c>
      <c r="Q2851" s="261">
        <v>1000</v>
      </c>
      <c r="R2851" s="261">
        <f>(M2851*P2851)/1000</f>
        <v>43.05</v>
      </c>
    </row>
    <row r="2852" spans="1:20" ht="24.95" customHeight="1">
      <c r="A2852" s="251"/>
      <c r="E2852" s="261"/>
      <c r="F2852" s="261">
        <v>10</v>
      </c>
      <c r="G2852" s="261" t="s">
        <v>1389</v>
      </c>
      <c r="H2852" s="261" t="s">
        <v>3874</v>
      </c>
      <c r="I2852" s="263">
        <f>Elec.Data!I21</f>
        <v>3.6</v>
      </c>
      <c r="J2852" s="261" t="s">
        <v>1389</v>
      </c>
      <c r="K2852" s="261">
        <f t="shared" si="92"/>
        <v>36</v>
      </c>
      <c r="L2852" s="261"/>
      <c r="M2852" s="265">
        <v>7</v>
      </c>
      <c r="N2852" s="261" t="s">
        <v>1427</v>
      </c>
      <c r="O2852" s="261" t="s">
        <v>2621</v>
      </c>
      <c r="P2852" s="261">
        <f>I2852</f>
        <v>3.6</v>
      </c>
      <c r="Q2852" s="261" t="s">
        <v>1389</v>
      </c>
      <c r="R2852" s="261">
        <f>M2852*P2852</f>
        <v>25.2</v>
      </c>
    </row>
    <row r="2853" spans="1:20" ht="24.95" customHeight="1">
      <c r="A2853" s="251"/>
      <c r="E2853" s="261"/>
      <c r="F2853" s="261">
        <v>1.25</v>
      </c>
      <c r="G2853" s="261" t="s">
        <v>2622</v>
      </c>
      <c r="H2853" s="261" t="s">
        <v>387</v>
      </c>
      <c r="I2853" s="263">
        <f>Elec.Data!I22</f>
        <v>302</v>
      </c>
      <c r="J2853" s="261" t="s">
        <v>2622</v>
      </c>
      <c r="K2853" s="261">
        <f t="shared" si="92"/>
        <v>377.5</v>
      </c>
      <c r="L2853" s="261"/>
      <c r="M2853" s="261">
        <v>6</v>
      </c>
      <c r="N2853" s="261" t="s">
        <v>1389</v>
      </c>
      <c r="O2853" s="261" t="s">
        <v>2618</v>
      </c>
      <c r="P2853" s="261">
        <f>I2851</f>
        <v>13.8</v>
      </c>
      <c r="Q2853" s="261" t="s">
        <v>1393</v>
      </c>
      <c r="R2853" s="261">
        <f>M2853*P2853</f>
        <v>82.8</v>
      </c>
    </row>
    <row r="2854" spans="1:20" ht="24.95" customHeight="1">
      <c r="A2854" s="251"/>
      <c r="E2854" s="261"/>
      <c r="F2854" s="261">
        <v>10</v>
      </c>
      <c r="G2854" s="261" t="s">
        <v>1389</v>
      </c>
      <c r="H2854" s="272" t="s">
        <v>3841</v>
      </c>
      <c r="I2854" s="703">
        <f>I2847</f>
        <v>58</v>
      </c>
      <c r="J2854" s="261" t="s">
        <v>1389</v>
      </c>
      <c r="K2854" s="261">
        <f t="shared" si="92"/>
        <v>580</v>
      </c>
      <c r="L2854" s="261"/>
      <c r="M2854" s="261">
        <v>6</v>
      </c>
      <c r="N2854" s="261" t="s">
        <v>1389</v>
      </c>
      <c r="O2854" s="261" t="s">
        <v>2624</v>
      </c>
      <c r="P2854" s="261">
        <f>Elec.Data!P23</f>
        <v>16.21</v>
      </c>
      <c r="Q2854" s="261" t="s">
        <v>3368</v>
      </c>
      <c r="R2854" s="261">
        <f>(M2854*P2854)/12</f>
        <v>8.11</v>
      </c>
    </row>
    <row r="2855" spans="1:20" ht="24.95" customHeight="1">
      <c r="A2855" s="251"/>
      <c r="E2855" s="261"/>
      <c r="F2855" s="261">
        <v>0.15</v>
      </c>
      <c r="G2855" s="261" t="s">
        <v>2273</v>
      </c>
      <c r="H2855" s="261" t="s">
        <v>3871</v>
      </c>
      <c r="I2855" s="263">
        <f>Elec.Data!I24</f>
        <v>661</v>
      </c>
      <c r="J2855" s="261" t="s">
        <v>2273</v>
      </c>
      <c r="K2855" s="261">
        <f t="shared" si="92"/>
        <v>99.15</v>
      </c>
      <c r="L2855" s="261"/>
      <c r="M2855" s="261">
        <v>1</v>
      </c>
      <c r="N2855" s="261" t="s">
        <v>2626</v>
      </c>
      <c r="O2855" s="261" t="s">
        <v>2627</v>
      </c>
      <c r="P2855" s="261">
        <v>84.1</v>
      </c>
      <c r="Q2855" s="261" t="s">
        <v>2626</v>
      </c>
      <c r="R2855" s="261">
        <f>(M2855*P2855)</f>
        <v>84.1</v>
      </c>
    </row>
    <row r="2856" spans="1:20" ht="44.25" customHeight="1">
      <c r="A2856" s="251"/>
      <c r="E2856" s="261"/>
      <c r="F2856" s="261">
        <v>45</v>
      </c>
      <c r="G2856" s="261" t="s">
        <v>823</v>
      </c>
      <c r="H2856" s="262" t="s">
        <v>3876</v>
      </c>
      <c r="I2856" s="263">
        <f>Elec.Data!I25</f>
        <v>16.55</v>
      </c>
      <c r="J2856" s="261" t="s">
        <v>3280</v>
      </c>
      <c r="K2856" s="261">
        <f t="shared" si="92"/>
        <v>744.75</v>
      </c>
      <c r="L2856" s="261"/>
      <c r="M2856" s="261">
        <v>6</v>
      </c>
      <c r="N2856" s="261" t="s">
        <v>1427</v>
      </c>
      <c r="O2856" s="260" t="s">
        <v>3281</v>
      </c>
      <c r="P2856" s="261">
        <v>168.95</v>
      </c>
      <c r="Q2856" s="261" t="s">
        <v>2622</v>
      </c>
      <c r="R2856" s="261">
        <f>M2856*P2856</f>
        <v>1013.7</v>
      </c>
    </row>
    <row r="2857" spans="1:20" ht="24.95" customHeight="1">
      <c r="A2857" s="251"/>
      <c r="E2857" s="261"/>
      <c r="F2857" s="261" t="s">
        <v>654</v>
      </c>
      <c r="G2857" s="261"/>
      <c r="H2857" s="261" t="s">
        <v>911</v>
      </c>
      <c r="I2857" s="261"/>
      <c r="J2857" s="261" t="s">
        <v>654</v>
      </c>
      <c r="K2857" s="261">
        <f>K2873</f>
        <v>12075</v>
      </c>
      <c r="L2857" s="261"/>
      <c r="M2857" s="267">
        <v>0.16666666666666666</v>
      </c>
      <c r="N2857" s="261" t="s">
        <v>3282</v>
      </c>
      <c r="O2857" s="261" t="s">
        <v>387</v>
      </c>
      <c r="P2857" s="264">
        <f>I2853</f>
        <v>302</v>
      </c>
      <c r="Q2857" s="261" t="s">
        <v>3282</v>
      </c>
      <c r="R2857" s="261">
        <f>M2857*P2857</f>
        <v>50.33</v>
      </c>
    </row>
    <row r="2858" spans="1:20" ht="20.25" customHeight="1">
      <c r="A2858" s="251"/>
      <c r="E2858" s="261"/>
      <c r="F2858" s="261" t="s">
        <v>654</v>
      </c>
      <c r="G2858" s="261"/>
      <c r="H2858" s="261" t="s">
        <v>2261</v>
      </c>
      <c r="I2858" s="261"/>
      <c r="J2858" s="261" t="s">
        <v>654</v>
      </c>
      <c r="K2858" s="261">
        <v>40.6</v>
      </c>
      <c r="L2858" s="261"/>
      <c r="M2858" s="261">
        <v>45</v>
      </c>
      <c r="N2858" s="261" t="s">
        <v>3430</v>
      </c>
      <c r="O2858" s="268" t="s">
        <v>2628</v>
      </c>
      <c r="P2858" s="261">
        <f>P2846</f>
        <v>16.55</v>
      </c>
      <c r="Q2858" s="261" t="s">
        <v>2273</v>
      </c>
      <c r="R2858" s="261">
        <f>M2858*P2858</f>
        <v>744.75</v>
      </c>
    </row>
    <row r="2859" spans="1:20" ht="24.95" customHeight="1">
      <c r="A2859" s="251"/>
      <c r="E2859" s="261"/>
      <c r="F2859" s="261"/>
      <c r="G2859" s="261"/>
      <c r="H2859" s="269" t="s">
        <v>3283</v>
      </c>
      <c r="I2859" s="261"/>
      <c r="J2859" s="261"/>
      <c r="K2859" s="270">
        <f>SUM(K2843:K2858)</f>
        <v>16786.919999999998</v>
      </c>
      <c r="L2859" s="261"/>
      <c r="M2859" s="261">
        <v>6</v>
      </c>
      <c r="N2859" s="261" t="s">
        <v>3284</v>
      </c>
      <c r="O2859" s="261" t="s">
        <v>911</v>
      </c>
      <c r="P2859" s="261">
        <f>R2877</f>
        <v>1272.5</v>
      </c>
      <c r="Q2859" s="261" t="s">
        <v>3284</v>
      </c>
      <c r="R2859" s="261">
        <f>M2859*P2859</f>
        <v>7635</v>
      </c>
    </row>
    <row r="2860" spans="1:20" ht="21.75" customHeight="1">
      <c r="A2860" s="251"/>
      <c r="E2860" s="261"/>
      <c r="F2860" s="261"/>
      <c r="G2860" s="261"/>
      <c r="H2860" s="271" t="s">
        <v>3285</v>
      </c>
      <c r="I2860" s="261"/>
      <c r="J2860" s="261"/>
      <c r="K2860" s="272">
        <f>K2859/10</f>
        <v>1678.69</v>
      </c>
      <c r="L2860" s="261">
        <f>1206*10</f>
        <v>12060</v>
      </c>
      <c r="M2860" s="261"/>
      <c r="N2860" s="261" t="s">
        <v>67</v>
      </c>
      <c r="O2860" s="261" t="s">
        <v>3286</v>
      </c>
      <c r="P2860" s="261"/>
      <c r="Q2860" s="261"/>
      <c r="R2860" s="261">
        <f>18.56+1.91</f>
        <v>20.47</v>
      </c>
    </row>
    <row r="2861" spans="1:20" ht="21" customHeight="1">
      <c r="A2861" s="251"/>
      <c r="E2861" s="261"/>
      <c r="F2861" s="261"/>
      <c r="G2861" s="261"/>
      <c r="H2861" s="261"/>
      <c r="I2861" s="261"/>
      <c r="J2861" s="261"/>
      <c r="K2861" s="261"/>
      <c r="L2861" s="261">
        <f>L2860-K2859</f>
        <v>-4726.92</v>
      </c>
      <c r="M2861" s="261"/>
      <c r="N2861" s="261"/>
      <c r="P2861" s="261"/>
      <c r="Q2861" s="261"/>
      <c r="R2861" s="261"/>
    </row>
    <row r="2862" spans="1:20" ht="16.5" customHeight="1">
      <c r="A2862" s="251"/>
      <c r="E2862" s="261"/>
      <c r="F2862" s="261"/>
      <c r="G2862" s="261"/>
      <c r="H2862" s="272" t="s">
        <v>3287</v>
      </c>
      <c r="I2862" s="261"/>
      <c r="J2862" s="261"/>
      <c r="K2862" s="261"/>
      <c r="L2862" s="261">
        <f>L2860-K2859</f>
        <v>-4726.92</v>
      </c>
      <c r="M2862" s="261"/>
      <c r="N2862" s="261"/>
      <c r="O2862" s="269" t="s">
        <v>3288</v>
      </c>
      <c r="P2862" s="261"/>
      <c r="Q2862" s="261"/>
      <c r="R2862" s="270">
        <f>SUM(R2846:R2861)</f>
        <v>12165.35</v>
      </c>
    </row>
    <row r="2863" spans="1:20" ht="15.75" customHeight="1">
      <c r="A2863" s="251"/>
      <c r="E2863" s="261"/>
      <c r="F2863" s="261"/>
      <c r="G2863" s="261"/>
      <c r="H2863" s="261"/>
      <c r="I2863" s="261"/>
      <c r="J2863" s="261"/>
      <c r="K2863" s="261"/>
      <c r="L2863" s="261"/>
      <c r="M2863" s="261"/>
      <c r="N2863" s="261"/>
      <c r="O2863" s="271" t="s">
        <v>3285</v>
      </c>
      <c r="P2863" s="261"/>
      <c r="Q2863" s="261"/>
      <c r="R2863" s="272">
        <f>R2862/6</f>
        <v>2027.56</v>
      </c>
      <c r="T2863" s="252">
        <f>1382*6</f>
        <v>8292</v>
      </c>
    </row>
    <row r="2864" spans="1:20" ht="19.5" customHeight="1">
      <c r="A2864" s="251"/>
      <c r="E2864" s="261"/>
      <c r="F2864" s="261"/>
      <c r="G2864" s="261"/>
      <c r="H2864" s="272" t="s">
        <v>3363</v>
      </c>
      <c r="I2864" s="261"/>
      <c r="J2864" s="261"/>
      <c r="K2864" s="261"/>
      <c r="L2864" s="261"/>
      <c r="M2864" s="261"/>
      <c r="N2864" s="261"/>
      <c r="O2864" s="261"/>
      <c r="P2864" s="261"/>
      <c r="Q2864" s="261"/>
      <c r="R2864" s="261"/>
      <c r="T2864" s="252">
        <f>T2863-R2862</f>
        <v>-3873.35</v>
      </c>
    </row>
    <row r="2865" spans="1:18" ht="6.75" customHeight="1">
      <c r="A2865" s="251"/>
      <c r="E2865" s="261"/>
      <c r="F2865" s="261"/>
      <c r="G2865" s="261"/>
      <c r="H2865" s="261"/>
      <c r="I2865" s="261"/>
      <c r="J2865" s="261"/>
      <c r="K2865" s="261"/>
      <c r="L2865" s="261"/>
      <c r="M2865" s="261"/>
    </row>
    <row r="2866" spans="1:18" ht="20.25" customHeight="1">
      <c r="A2866" s="251"/>
      <c r="E2866" s="261"/>
      <c r="F2866" s="261">
        <v>1</v>
      </c>
      <c r="G2866" s="261" t="s">
        <v>1389</v>
      </c>
      <c r="H2866" s="261" t="s">
        <v>3289</v>
      </c>
      <c r="I2866" s="264">
        <f>Elec.Data!I35</f>
        <v>947</v>
      </c>
      <c r="J2866" s="261" t="s">
        <v>1389</v>
      </c>
      <c r="K2866" s="261">
        <f>F2866*I2866</f>
        <v>947</v>
      </c>
      <c r="L2866" s="261"/>
      <c r="M2866" s="261"/>
      <c r="N2866" s="272" t="s">
        <v>3287</v>
      </c>
      <c r="O2866" s="261"/>
      <c r="P2866" s="261"/>
      <c r="Q2866" s="261"/>
    </row>
    <row r="2867" spans="1:18" ht="20.25" customHeight="1">
      <c r="A2867" s="251"/>
      <c r="E2867" s="261"/>
      <c r="F2867" s="261">
        <v>2</v>
      </c>
      <c r="G2867" s="261" t="s">
        <v>1389</v>
      </c>
      <c r="H2867" s="261" t="s">
        <v>3290</v>
      </c>
      <c r="I2867" s="264">
        <f>Elec.Data!I36</f>
        <v>826</v>
      </c>
      <c r="J2867" s="261" t="s">
        <v>1389</v>
      </c>
      <c r="K2867" s="261">
        <f>F2867*I2867</f>
        <v>1652</v>
      </c>
      <c r="L2867" s="261"/>
      <c r="M2867" s="261"/>
      <c r="N2867" s="261"/>
      <c r="O2867" s="261"/>
      <c r="P2867" s="261"/>
      <c r="Q2867" s="261"/>
    </row>
    <row r="2868" spans="1:18" ht="20.25" customHeight="1">
      <c r="A2868" s="251"/>
      <c r="E2868" s="261"/>
      <c r="F2868" s="261">
        <v>3</v>
      </c>
      <c r="G2868" s="261" t="s">
        <v>1389</v>
      </c>
      <c r="H2868" s="261" t="s">
        <v>3291</v>
      </c>
      <c r="I2868" s="264">
        <f>Elec.Data!I37</f>
        <v>820</v>
      </c>
      <c r="J2868" s="261" t="s">
        <v>1389</v>
      </c>
      <c r="K2868" s="261">
        <f>F2868*I2868</f>
        <v>2460</v>
      </c>
      <c r="L2868" s="261"/>
      <c r="M2868" s="261"/>
      <c r="N2868" s="272" t="s">
        <v>3363</v>
      </c>
      <c r="O2868" s="261"/>
      <c r="P2868" s="261"/>
      <c r="Q2868" s="261"/>
    </row>
    <row r="2869" spans="1:18" ht="20.25" customHeight="1">
      <c r="A2869" s="251"/>
      <c r="E2869" s="261"/>
      <c r="F2869" s="261">
        <v>4</v>
      </c>
      <c r="G2869" s="261" t="s">
        <v>1389</v>
      </c>
      <c r="H2869" s="261" t="s">
        <v>2321</v>
      </c>
      <c r="I2869" s="264">
        <f>Elec.Data!I38</f>
        <v>644</v>
      </c>
      <c r="J2869" s="261" t="s">
        <v>1389</v>
      </c>
      <c r="K2869" s="261">
        <f>F2869*I2869</f>
        <v>2576</v>
      </c>
      <c r="L2869" s="261"/>
      <c r="M2869" s="261"/>
      <c r="N2869" s="261"/>
      <c r="O2869" s="261"/>
      <c r="P2869" s="261"/>
      <c r="Q2869" s="261"/>
    </row>
    <row r="2870" spans="1:18" ht="24.95" customHeight="1">
      <c r="A2870" s="251"/>
      <c r="E2870" s="261"/>
      <c r="F2870" s="261"/>
      <c r="G2870" s="261"/>
      <c r="H2870" s="272" t="s">
        <v>3067</v>
      </c>
      <c r="I2870" s="264">
        <f>Elec.Data!I39</f>
        <v>0</v>
      </c>
      <c r="J2870" s="261"/>
      <c r="K2870" s="261"/>
      <c r="M2870" s="261">
        <v>1</v>
      </c>
      <c r="N2870" s="261" t="s">
        <v>1389</v>
      </c>
      <c r="O2870" s="261" t="s">
        <v>3289</v>
      </c>
      <c r="P2870" s="261">
        <f>I2866</f>
        <v>947</v>
      </c>
      <c r="Q2870" s="261" t="s">
        <v>1389</v>
      </c>
      <c r="R2870" s="261">
        <f>M2870*P2870</f>
        <v>947</v>
      </c>
    </row>
    <row r="2871" spans="1:18" ht="24.95" customHeight="1">
      <c r="A2871" s="251"/>
      <c r="E2871" s="261"/>
      <c r="F2871" s="261">
        <v>2</v>
      </c>
      <c r="G2871" s="261" t="s">
        <v>1389</v>
      </c>
      <c r="H2871" s="261" t="s">
        <v>5632</v>
      </c>
      <c r="I2871" s="264">
        <f>Elec.Data!I40</f>
        <v>932</v>
      </c>
      <c r="J2871" s="261" t="s">
        <v>1389</v>
      </c>
      <c r="K2871" s="261">
        <f>F2871*I2871</f>
        <v>1864</v>
      </c>
      <c r="M2871" s="261">
        <v>2</v>
      </c>
      <c r="N2871" s="261" t="s">
        <v>1389</v>
      </c>
      <c r="O2871" s="261" t="s">
        <v>3290</v>
      </c>
      <c r="P2871" s="261">
        <f>I2867</f>
        <v>826</v>
      </c>
      <c r="Q2871" s="261" t="s">
        <v>1389</v>
      </c>
      <c r="R2871" s="261">
        <f>M2871*P2871</f>
        <v>1652</v>
      </c>
    </row>
    <row r="2872" spans="1:18" ht="24.95" customHeight="1">
      <c r="A2872" s="251"/>
      <c r="E2872" s="261"/>
      <c r="F2872" s="261">
        <v>4</v>
      </c>
      <c r="G2872" s="261" t="s">
        <v>1389</v>
      </c>
      <c r="H2872" s="261" t="s">
        <v>3054</v>
      </c>
      <c r="I2872" s="264">
        <f>Elec.Data!I41</f>
        <v>644</v>
      </c>
      <c r="J2872" s="261" t="s">
        <v>1389</v>
      </c>
      <c r="K2872" s="261">
        <f>F2872*I2872</f>
        <v>2576</v>
      </c>
      <c r="M2872" s="261">
        <v>3</v>
      </c>
      <c r="N2872" s="261" t="s">
        <v>1389</v>
      </c>
      <c r="O2872" s="261" t="s">
        <v>3291</v>
      </c>
      <c r="P2872" s="261">
        <f>I2868</f>
        <v>820</v>
      </c>
      <c r="Q2872" s="261" t="s">
        <v>1389</v>
      </c>
      <c r="R2872" s="261">
        <f>M2872*P2872</f>
        <v>2460</v>
      </c>
    </row>
    <row r="2873" spans="1:18" ht="20.25" customHeight="1">
      <c r="A2873" s="251"/>
      <c r="E2873" s="261"/>
      <c r="F2873" s="261"/>
      <c r="G2873" s="261"/>
      <c r="H2873" s="261"/>
      <c r="I2873" s="261"/>
      <c r="J2873" s="261"/>
      <c r="K2873" s="273">
        <f>SUM(K2866:K2872)</f>
        <v>12075</v>
      </c>
      <c r="M2873" s="261">
        <v>4</v>
      </c>
      <c r="N2873" s="261" t="s">
        <v>1389</v>
      </c>
      <c r="O2873" s="261" t="s">
        <v>2321</v>
      </c>
      <c r="P2873" s="261">
        <f>I2869</f>
        <v>644</v>
      </c>
      <c r="Q2873" s="261" t="s">
        <v>1389</v>
      </c>
      <c r="R2873" s="261">
        <f>M2873*P2873</f>
        <v>2576</v>
      </c>
    </row>
    <row r="2874" spans="1:18" ht="5.25" hidden="1" customHeight="1">
      <c r="A2874" s="251"/>
      <c r="E2874" s="261"/>
      <c r="F2874" s="261"/>
      <c r="G2874" s="261"/>
      <c r="H2874" s="261"/>
      <c r="I2874" s="261"/>
      <c r="J2874" s="261"/>
      <c r="K2874" s="270"/>
      <c r="M2874" s="261"/>
      <c r="N2874" s="261"/>
      <c r="O2874" s="261"/>
      <c r="P2874" s="261"/>
      <c r="Q2874" s="261"/>
      <c r="R2874" s="261"/>
    </row>
    <row r="2875" spans="1:18" ht="39.950000000000003" customHeight="1">
      <c r="A2875" s="251"/>
      <c r="E2875" s="261"/>
      <c r="F2875" s="261"/>
      <c r="G2875" s="261"/>
      <c r="H2875" s="274" t="s">
        <v>3068</v>
      </c>
      <c r="I2875" s="261"/>
      <c r="J2875" s="261"/>
      <c r="K2875" s="261"/>
      <c r="L2875" s="261"/>
      <c r="M2875" s="261"/>
      <c r="O2875" s="275" t="s">
        <v>5633</v>
      </c>
      <c r="R2875" s="272">
        <f>SUM(R2870:R2873)</f>
        <v>7635</v>
      </c>
    </row>
    <row r="2876" spans="1:18" ht="30.75" customHeight="1">
      <c r="A2876" s="251"/>
      <c r="E2876" s="261"/>
      <c r="F2876" s="261"/>
      <c r="G2876" s="261"/>
      <c r="H2876" s="274" t="s">
        <v>3371</v>
      </c>
      <c r="I2876" s="261"/>
      <c r="J2876" s="261"/>
      <c r="K2876" s="261"/>
      <c r="L2876" s="261"/>
      <c r="M2876" s="261"/>
    </row>
    <row r="2877" spans="1:18">
      <c r="A2877" s="251"/>
      <c r="E2877" s="261"/>
      <c r="F2877" s="261"/>
      <c r="G2877" s="261"/>
      <c r="H2877" s="261"/>
      <c r="I2877" s="261"/>
      <c r="J2877" s="261"/>
      <c r="K2877" s="261"/>
      <c r="L2877" s="261"/>
      <c r="M2877" s="261"/>
      <c r="Q2877" s="261" t="s">
        <v>3372</v>
      </c>
      <c r="R2877" s="276">
        <f>R2875/6</f>
        <v>1272.5</v>
      </c>
    </row>
    <row r="2878" spans="1:18" ht="186.75" customHeight="1">
      <c r="A2878" s="251"/>
      <c r="E2878" s="261"/>
      <c r="F2878" s="261"/>
      <c r="G2878" s="261"/>
      <c r="H2878" s="260" t="s">
        <v>2471</v>
      </c>
      <c r="I2878" s="261"/>
      <c r="J2878" s="261"/>
      <c r="K2878" s="261"/>
      <c r="L2878" s="261"/>
      <c r="M2878" s="261"/>
      <c r="O2878" s="260" t="s">
        <v>2435</v>
      </c>
    </row>
    <row r="2879" spans="1:18" ht="30" customHeight="1">
      <c r="A2879" s="251"/>
      <c r="E2879" s="261"/>
      <c r="F2879" s="261"/>
      <c r="G2879" s="261"/>
      <c r="H2879" s="261" t="s">
        <v>2436</v>
      </c>
      <c r="I2879" s="261"/>
      <c r="J2879" s="261"/>
      <c r="K2879" s="261">
        <f>K2859-K2858</f>
        <v>16746.32</v>
      </c>
      <c r="L2879" s="261"/>
      <c r="M2879" s="261">
        <v>90</v>
      </c>
      <c r="N2879" s="261" t="s">
        <v>823</v>
      </c>
      <c r="O2879" s="268" t="s">
        <v>2528</v>
      </c>
      <c r="P2879" s="261">
        <f t="shared" ref="P2879:P2887" si="93">P2846</f>
        <v>16.55</v>
      </c>
      <c r="Q2879" s="261" t="s">
        <v>823</v>
      </c>
      <c r="R2879" s="261">
        <f>M2879*P2879</f>
        <v>1489.5</v>
      </c>
    </row>
    <row r="2880" spans="1:18" ht="30" customHeight="1">
      <c r="A2880" s="251"/>
      <c r="E2880" s="261"/>
      <c r="F2880" s="261"/>
      <c r="G2880" s="261"/>
      <c r="H2880" s="261" t="s">
        <v>2437</v>
      </c>
      <c r="I2880" s="261"/>
      <c r="J2880" s="261"/>
      <c r="K2880" s="261">
        <f>K2851</f>
        <v>138</v>
      </c>
      <c r="L2880" s="261"/>
      <c r="M2880" s="261">
        <v>45</v>
      </c>
      <c r="N2880" s="261" t="s">
        <v>823</v>
      </c>
      <c r="O2880" s="260" t="s">
        <v>2354</v>
      </c>
      <c r="P2880" s="261">
        <f t="shared" si="93"/>
        <v>20</v>
      </c>
      <c r="Q2880" s="261" t="s">
        <v>2355</v>
      </c>
      <c r="R2880" s="261">
        <f>M2880*P2880</f>
        <v>900</v>
      </c>
    </row>
    <row r="2881" spans="1:19" ht="30" customHeight="1">
      <c r="A2881" s="251"/>
      <c r="E2881" s="261"/>
      <c r="F2881" s="261"/>
      <c r="G2881" s="261"/>
      <c r="H2881" s="264" t="s">
        <v>3689</v>
      </c>
      <c r="I2881" s="264"/>
      <c r="J2881" s="264"/>
      <c r="K2881" s="264">
        <f>Elec.Data!K50</f>
        <v>166.5</v>
      </c>
      <c r="L2881" s="261"/>
      <c r="M2881" s="261">
        <v>75</v>
      </c>
      <c r="N2881" s="261" t="s">
        <v>1389</v>
      </c>
      <c r="O2881" s="261" t="s">
        <v>3367</v>
      </c>
      <c r="P2881" s="261">
        <f t="shared" si="93"/>
        <v>3.6</v>
      </c>
      <c r="Q2881" s="261" t="s">
        <v>3368</v>
      </c>
      <c r="R2881" s="261">
        <f>M2881*P2881/12</f>
        <v>22.5</v>
      </c>
    </row>
    <row r="2882" spans="1:19" ht="30" customHeight="1">
      <c r="A2882" s="251"/>
      <c r="E2882" s="261"/>
      <c r="F2882" s="261"/>
      <c r="G2882" s="261"/>
      <c r="H2882" s="261" t="s">
        <v>2261</v>
      </c>
      <c r="I2882" s="261"/>
      <c r="J2882" s="261"/>
      <c r="K2882" s="261">
        <v>43.1</v>
      </c>
      <c r="L2882" s="261"/>
      <c r="M2882" s="261">
        <v>12</v>
      </c>
      <c r="N2882" s="261" t="s">
        <v>1389</v>
      </c>
      <c r="O2882" s="261" t="s">
        <v>2356</v>
      </c>
      <c r="P2882" s="261">
        <f t="shared" si="93"/>
        <v>3.15</v>
      </c>
      <c r="Q2882" s="261" t="s">
        <v>1389</v>
      </c>
      <c r="R2882" s="261">
        <f>M2882*P2882</f>
        <v>37.799999999999997</v>
      </c>
    </row>
    <row r="2883" spans="1:19" ht="39.950000000000003" customHeight="1">
      <c r="A2883" s="251"/>
      <c r="E2883" s="261"/>
      <c r="F2883" s="261"/>
      <c r="G2883" s="261"/>
      <c r="H2883" s="269" t="s">
        <v>2415</v>
      </c>
      <c r="I2883" s="261"/>
      <c r="J2883" s="261"/>
      <c r="K2883" s="270">
        <f>K2879-K2880+K2881+K2882</f>
        <v>16817.919999999998</v>
      </c>
      <c r="L2883" s="261"/>
      <c r="M2883" s="261">
        <v>6</v>
      </c>
      <c r="N2883" s="261" t="s">
        <v>1389</v>
      </c>
      <c r="O2883" s="261" t="s">
        <v>3365</v>
      </c>
      <c r="P2883" s="261">
        <f t="shared" si="93"/>
        <v>1.34</v>
      </c>
      <c r="Q2883" s="261" t="s">
        <v>1389</v>
      </c>
      <c r="R2883" s="261">
        <f>M2883*P2883</f>
        <v>8.0399999999999991</v>
      </c>
    </row>
    <row r="2884" spans="1:19" ht="25.5" customHeight="1">
      <c r="A2884" s="251"/>
      <c r="E2884" s="261"/>
      <c r="F2884" s="261"/>
      <c r="G2884" s="261"/>
      <c r="H2884" s="271" t="s">
        <v>2416</v>
      </c>
      <c r="I2884" s="261"/>
      <c r="J2884" s="261"/>
      <c r="K2884" s="272">
        <f>K2883/10</f>
        <v>1681.79</v>
      </c>
      <c r="L2884" s="261">
        <f>1078*10</f>
        <v>10780</v>
      </c>
      <c r="M2884" s="261">
        <v>150</v>
      </c>
      <c r="N2884" s="261" t="s">
        <v>1427</v>
      </c>
      <c r="O2884" s="261" t="s">
        <v>2619</v>
      </c>
      <c r="P2884" s="261">
        <f t="shared" si="93"/>
        <v>287</v>
      </c>
      <c r="Q2884" s="261">
        <v>1000</v>
      </c>
      <c r="R2884" s="261">
        <f>(M2884*P2884)/1000</f>
        <v>43.05</v>
      </c>
    </row>
    <row r="2885" spans="1:19">
      <c r="A2885" s="251"/>
      <c r="E2885" s="261"/>
      <c r="F2885" s="261"/>
      <c r="G2885" s="261"/>
      <c r="H2885" s="261"/>
      <c r="I2885" s="261"/>
      <c r="J2885" s="261"/>
      <c r="K2885" s="261"/>
      <c r="L2885" s="261">
        <f>L2884-K2883</f>
        <v>-6037.92</v>
      </c>
      <c r="M2885" s="265">
        <v>7</v>
      </c>
      <c r="N2885" s="261" t="s">
        <v>1427</v>
      </c>
      <c r="O2885" s="261" t="s">
        <v>2621</v>
      </c>
      <c r="P2885" s="261">
        <f t="shared" si="93"/>
        <v>3.6</v>
      </c>
      <c r="Q2885" s="261" t="s">
        <v>1389</v>
      </c>
      <c r="R2885" s="261">
        <f>M2885*P2885</f>
        <v>25.2</v>
      </c>
    </row>
    <row r="2886" spans="1:19" ht="24.95" customHeight="1">
      <c r="A2886" s="251"/>
      <c r="E2886" s="261"/>
      <c r="F2886" s="261"/>
      <c r="G2886" s="261"/>
      <c r="H2886" s="272" t="s">
        <v>2986</v>
      </c>
      <c r="I2886" s="261"/>
      <c r="J2886" s="261"/>
      <c r="K2886" s="261"/>
      <c r="L2886" s="261"/>
      <c r="M2886" s="261">
        <v>6</v>
      </c>
      <c r="N2886" s="261" t="s">
        <v>1389</v>
      </c>
      <c r="O2886" s="261" t="s">
        <v>2618</v>
      </c>
      <c r="P2886" s="261">
        <f t="shared" si="93"/>
        <v>13.8</v>
      </c>
      <c r="Q2886" s="261" t="s">
        <v>1393</v>
      </c>
      <c r="R2886" s="261">
        <f>M2886*P2886</f>
        <v>82.8</v>
      </c>
    </row>
    <row r="2887" spans="1:19" ht="56.25" customHeight="1">
      <c r="A2887" s="251"/>
      <c r="E2887" s="261"/>
      <c r="F2887" s="261"/>
      <c r="G2887" s="261"/>
      <c r="H2887" s="258" t="s">
        <v>2987</v>
      </c>
      <c r="I2887" s="261"/>
      <c r="J2887" s="261"/>
      <c r="K2887" s="261"/>
      <c r="L2887" s="261"/>
      <c r="M2887" s="261">
        <v>6</v>
      </c>
      <c r="N2887" s="261" t="s">
        <v>1389</v>
      </c>
      <c r="O2887" s="261" t="s">
        <v>2624</v>
      </c>
      <c r="P2887" s="261">
        <f t="shared" si="93"/>
        <v>16.21</v>
      </c>
      <c r="Q2887" s="261" t="s">
        <v>3368</v>
      </c>
      <c r="R2887" s="261">
        <f>(M2887*P2887)/12</f>
        <v>8.11</v>
      </c>
    </row>
    <row r="2888" spans="1:19">
      <c r="A2888" s="251"/>
      <c r="E2888" s="261"/>
      <c r="F2888" s="261"/>
      <c r="G2888" s="261"/>
      <c r="H2888" s="261"/>
      <c r="I2888" s="261"/>
      <c r="J2888" s="261"/>
      <c r="K2888" s="261"/>
      <c r="L2888" s="261"/>
      <c r="M2888" s="261">
        <v>1</v>
      </c>
      <c r="N2888" s="261" t="s">
        <v>2626</v>
      </c>
      <c r="O2888" s="261" t="s">
        <v>2627</v>
      </c>
      <c r="P2888" s="261">
        <f>P2855</f>
        <v>84.1</v>
      </c>
      <c r="Q2888" s="261" t="s">
        <v>2626</v>
      </c>
      <c r="R2888" s="261">
        <f>(M2888*P2888)</f>
        <v>84.1</v>
      </c>
    </row>
    <row r="2889" spans="1:19" ht="186" customHeight="1">
      <c r="A2889" s="251"/>
      <c r="E2889" s="261"/>
      <c r="F2889" s="261"/>
      <c r="G2889" s="261"/>
      <c r="H2889" s="260" t="s">
        <v>3446</v>
      </c>
      <c r="I2889" s="261"/>
      <c r="J2889" s="261"/>
      <c r="K2889" s="261"/>
      <c r="L2889" s="261"/>
      <c r="M2889" s="261">
        <v>6</v>
      </c>
      <c r="N2889" s="261" t="s">
        <v>1427</v>
      </c>
      <c r="O2889" s="260" t="s">
        <v>3369</v>
      </c>
      <c r="P2889" s="261">
        <v>42.25</v>
      </c>
      <c r="Q2889" s="261" t="s">
        <v>2622</v>
      </c>
      <c r="R2889" s="261">
        <f>M2889*P2889</f>
        <v>253.5</v>
      </c>
    </row>
    <row r="2890" spans="1:19" ht="21.75" customHeight="1">
      <c r="A2890" s="251"/>
      <c r="E2890" s="261"/>
      <c r="F2890" s="261"/>
      <c r="G2890" s="261"/>
      <c r="H2890" s="261" t="s">
        <v>3370</v>
      </c>
      <c r="I2890" s="261"/>
      <c r="J2890" s="261"/>
      <c r="K2890" s="261">
        <f>K2879</f>
        <v>16746.32</v>
      </c>
      <c r="L2890" s="261"/>
      <c r="M2890" s="267">
        <v>0.16666666666666666</v>
      </c>
      <c r="N2890" s="261" t="s">
        <v>3282</v>
      </c>
      <c r="O2890" s="261" t="s">
        <v>387</v>
      </c>
      <c r="P2890" s="261">
        <f>P2857</f>
        <v>302</v>
      </c>
      <c r="Q2890" s="261" t="s">
        <v>3282</v>
      </c>
      <c r="R2890" s="261">
        <f>M2890*P2890</f>
        <v>50.33</v>
      </c>
    </row>
    <row r="2891" spans="1:19" ht="30" customHeight="1">
      <c r="A2891" s="251"/>
      <c r="E2891" s="261"/>
      <c r="F2891" s="261"/>
      <c r="G2891" s="261"/>
      <c r="H2891" s="261" t="s">
        <v>2961</v>
      </c>
      <c r="I2891" s="261"/>
      <c r="J2891" s="261"/>
      <c r="K2891" s="261">
        <f>K2880</f>
        <v>138</v>
      </c>
      <c r="L2891" s="261"/>
      <c r="M2891" s="261"/>
      <c r="N2891" s="261"/>
      <c r="O2891" s="268"/>
      <c r="P2891" s="261"/>
      <c r="Q2891" s="261"/>
      <c r="R2891" s="261"/>
    </row>
    <row r="2892" spans="1:19" ht="30" customHeight="1">
      <c r="A2892" s="251"/>
      <c r="E2892" s="261"/>
      <c r="F2892" s="261"/>
      <c r="G2892" s="261"/>
      <c r="H2892" s="261" t="s">
        <v>2962</v>
      </c>
      <c r="I2892" s="261"/>
      <c r="J2892" s="261"/>
      <c r="K2892" s="261">
        <f>K2852</f>
        <v>36</v>
      </c>
      <c r="L2892" s="261"/>
      <c r="M2892" s="261">
        <v>6</v>
      </c>
      <c r="N2892" s="261" t="s">
        <v>3284</v>
      </c>
      <c r="O2892" s="261" t="s">
        <v>911</v>
      </c>
      <c r="P2892" s="261">
        <f>R2877</f>
        <v>1272.5</v>
      </c>
      <c r="Q2892" s="261" t="s">
        <v>3284</v>
      </c>
      <c r="R2892" s="261">
        <f>M2892*P2892</f>
        <v>7635</v>
      </c>
    </row>
    <row r="2893" spans="1:19" ht="30" customHeight="1">
      <c r="A2893" s="251"/>
      <c r="E2893" s="261"/>
      <c r="F2893" s="261"/>
      <c r="G2893" s="261"/>
      <c r="H2893" s="261" t="s">
        <v>2963</v>
      </c>
      <c r="I2893" s="261"/>
      <c r="J2893" s="261"/>
      <c r="K2893" s="261">
        <f>K2850</f>
        <v>162.1</v>
      </c>
      <c r="L2893" s="261"/>
      <c r="M2893" s="261"/>
      <c r="N2893" s="261" t="s">
        <v>67</v>
      </c>
      <c r="O2893" s="261" t="s">
        <v>3286</v>
      </c>
      <c r="P2893" s="261"/>
      <c r="Q2893" s="261"/>
      <c r="R2893" s="261">
        <v>13.68</v>
      </c>
    </row>
    <row r="2894" spans="1:19" ht="30" customHeight="1">
      <c r="A2894" s="251"/>
      <c r="E2894" s="261"/>
      <c r="F2894" s="261"/>
      <c r="G2894" s="261"/>
      <c r="H2894" s="261" t="s">
        <v>3685</v>
      </c>
      <c r="I2894" s="261"/>
      <c r="J2894" s="261"/>
      <c r="K2894" s="263">
        <f>Elec.Data!K63</f>
        <v>417</v>
      </c>
      <c r="L2894" s="261"/>
      <c r="M2894" s="261"/>
      <c r="N2894" s="261"/>
      <c r="P2894" s="261"/>
      <c r="Q2894" s="261"/>
      <c r="R2894" s="261"/>
    </row>
    <row r="2895" spans="1:19" ht="30" customHeight="1">
      <c r="A2895" s="251"/>
      <c r="E2895" s="261"/>
      <c r="F2895" s="261"/>
      <c r="G2895" s="261"/>
      <c r="H2895" s="261" t="s">
        <v>2964</v>
      </c>
      <c r="I2895" s="261"/>
      <c r="J2895" s="261"/>
      <c r="K2895" s="261">
        <f>10*9</f>
        <v>90</v>
      </c>
      <c r="L2895" s="261"/>
      <c r="M2895" s="261"/>
      <c r="N2895" s="261"/>
      <c r="O2895" s="269" t="s">
        <v>3288</v>
      </c>
      <c r="P2895" s="261"/>
      <c r="Q2895" s="261"/>
      <c r="R2895" s="270">
        <f>SUM(R2879:R2894)</f>
        <v>10653.61</v>
      </c>
    </row>
    <row r="2896" spans="1:19" ht="30" customHeight="1">
      <c r="A2896" s="251"/>
      <c r="E2896" s="261"/>
      <c r="F2896" s="261"/>
      <c r="G2896" s="261"/>
      <c r="H2896" s="261" t="s">
        <v>3686</v>
      </c>
      <c r="I2896" s="261"/>
      <c r="J2896" s="261"/>
      <c r="K2896" s="263">
        <f>Elec.Data!K65</f>
        <v>165</v>
      </c>
      <c r="L2896" s="261"/>
      <c r="M2896" s="261"/>
      <c r="N2896" s="261"/>
      <c r="O2896" s="271" t="s">
        <v>3285</v>
      </c>
      <c r="P2896" s="261"/>
      <c r="Q2896" s="261"/>
      <c r="R2896" s="272">
        <f>R2895/6</f>
        <v>1775.6</v>
      </c>
      <c r="S2896" s="252">
        <f>1199*6</f>
        <v>7194</v>
      </c>
    </row>
    <row r="2897" spans="1:19" ht="30" customHeight="1">
      <c r="A2897" s="251"/>
      <c r="E2897" s="261"/>
      <c r="F2897" s="261"/>
      <c r="G2897" s="261"/>
      <c r="H2897" s="261" t="s">
        <v>2261</v>
      </c>
      <c r="I2897" s="261"/>
      <c r="J2897" s="261"/>
      <c r="K2897" s="261">
        <v>32.200000000000003</v>
      </c>
      <c r="L2897" s="261"/>
      <c r="M2897" s="261"/>
      <c r="S2897" s="252">
        <f>S2896-R2895</f>
        <v>-3459.61</v>
      </c>
    </row>
    <row r="2898" spans="1:19" ht="25.5" customHeight="1">
      <c r="A2898" s="251"/>
      <c r="E2898" s="261"/>
      <c r="F2898" s="261"/>
      <c r="G2898" s="261"/>
      <c r="H2898" s="269" t="s">
        <v>2415</v>
      </c>
      <c r="I2898" s="261"/>
      <c r="J2898" s="261"/>
      <c r="K2898" s="270">
        <f>(K2890-K2891-K2892-K2893)+(K2894+K2895+K2896+K2897)</f>
        <v>17114.419999999998</v>
      </c>
      <c r="L2898" s="261"/>
      <c r="M2898" s="261"/>
    </row>
    <row r="2899" spans="1:19" ht="27.75" customHeight="1">
      <c r="A2899" s="251"/>
      <c r="E2899" s="261"/>
      <c r="F2899" s="261"/>
      <c r="G2899" s="261"/>
      <c r="H2899" s="271" t="s">
        <v>3137</v>
      </c>
      <c r="I2899" s="261"/>
      <c r="J2899" s="261"/>
      <c r="K2899" s="272">
        <f>K2898/10</f>
        <v>1711.44</v>
      </c>
      <c r="L2899" s="261">
        <f>1107*10</f>
        <v>11070</v>
      </c>
      <c r="M2899" s="261"/>
    </row>
    <row r="2900" spans="1:19">
      <c r="A2900" s="251"/>
      <c r="E2900" s="261"/>
      <c r="F2900" s="261"/>
      <c r="G2900" s="261"/>
      <c r="H2900" s="261"/>
      <c r="I2900" s="261"/>
      <c r="J2900" s="261"/>
      <c r="K2900" s="261"/>
      <c r="L2900" s="261">
        <f>L2899-K2898</f>
        <v>-6044.42</v>
      </c>
      <c r="M2900" s="261"/>
    </row>
    <row r="2901" spans="1:19">
      <c r="A2901" s="251"/>
      <c r="E2901" s="261"/>
      <c r="F2901" s="261"/>
      <c r="G2901" s="261"/>
      <c r="H2901" s="272" t="s">
        <v>3138</v>
      </c>
      <c r="I2901" s="261"/>
      <c r="J2901" s="261"/>
      <c r="K2901" s="261"/>
      <c r="L2901" s="261"/>
      <c r="M2901" s="261"/>
    </row>
    <row r="2902" spans="1:19">
      <c r="A2902" s="251"/>
      <c r="E2902" s="261"/>
      <c r="F2902" s="261"/>
      <c r="G2902" s="261"/>
      <c r="H2902" s="272" t="s">
        <v>3139</v>
      </c>
      <c r="I2902" s="261"/>
      <c r="J2902" s="261"/>
      <c r="K2902" s="261"/>
      <c r="L2902" s="261"/>
      <c r="M2902" s="261"/>
    </row>
    <row r="2903" spans="1:19" ht="157.5">
      <c r="A2903" s="251"/>
      <c r="E2903" s="261"/>
      <c r="F2903" s="261"/>
      <c r="G2903" s="261"/>
      <c r="H2903" s="260" t="s">
        <v>2759</v>
      </c>
      <c r="I2903" s="261"/>
      <c r="J2903" s="261"/>
      <c r="K2903" s="261"/>
      <c r="L2903" s="261"/>
      <c r="M2903" s="261"/>
    </row>
    <row r="2904" spans="1:19">
      <c r="A2904" s="251"/>
      <c r="E2904" s="261"/>
      <c r="F2904" s="261"/>
      <c r="G2904" s="261"/>
      <c r="H2904" s="261"/>
      <c r="I2904" s="261"/>
      <c r="J2904" s="261"/>
      <c r="K2904" s="261"/>
      <c r="L2904" s="261"/>
      <c r="M2904" s="261"/>
    </row>
    <row r="2905" spans="1:19" ht="31.5">
      <c r="A2905" s="251"/>
      <c r="E2905" s="261"/>
      <c r="F2905" s="261">
        <v>90</v>
      </c>
      <c r="G2905" s="261" t="s">
        <v>823</v>
      </c>
      <c r="H2905" s="268" t="str">
        <f>H2843</f>
        <v>1.5 sqmm copper PVC insulated unsheathed single core cable (P-79 it-2/b)</v>
      </c>
      <c r="I2905" s="261">
        <f>I2843</f>
        <v>16.55</v>
      </c>
      <c r="J2905" s="261" t="s">
        <v>3280</v>
      </c>
      <c r="K2905" s="261">
        <f t="shared" ref="K2905:K2917" si="94">F2905*I2905</f>
        <v>1489.5</v>
      </c>
      <c r="L2905" s="261"/>
      <c r="M2905" s="261"/>
    </row>
    <row r="2906" spans="1:19" ht="31.5">
      <c r="A2906" s="251"/>
      <c r="E2906" s="261"/>
      <c r="F2906" s="261">
        <v>45</v>
      </c>
      <c r="G2906" s="261" t="s">
        <v>823</v>
      </c>
      <c r="H2906" s="260" t="s">
        <v>3870</v>
      </c>
      <c r="I2906" s="261">
        <f>I2844</f>
        <v>20</v>
      </c>
      <c r="J2906" s="261" t="s">
        <v>823</v>
      </c>
      <c r="K2906" s="261">
        <f t="shared" si="94"/>
        <v>900</v>
      </c>
      <c r="L2906" s="261"/>
      <c r="M2906" s="261"/>
    </row>
    <row r="2907" spans="1:19">
      <c r="A2907" s="251"/>
      <c r="E2907" s="261"/>
      <c r="F2907" s="261">
        <v>20</v>
      </c>
      <c r="G2907" s="261" t="s">
        <v>1389</v>
      </c>
      <c r="H2907" s="261" t="s">
        <v>3869</v>
      </c>
      <c r="I2907" s="261">
        <f>I2845</f>
        <v>3.15</v>
      </c>
      <c r="J2907" s="261" t="s">
        <v>1389</v>
      </c>
      <c r="K2907" s="261">
        <f t="shared" si="94"/>
        <v>63</v>
      </c>
      <c r="L2907" s="261"/>
      <c r="M2907" s="261"/>
    </row>
    <row r="2908" spans="1:19">
      <c r="A2908" s="251"/>
      <c r="E2908" s="261"/>
      <c r="F2908" s="261">
        <v>10</v>
      </c>
      <c r="G2908" s="261" t="s">
        <v>1389</v>
      </c>
      <c r="H2908" s="261" t="s">
        <v>3877</v>
      </c>
      <c r="I2908" s="261">
        <f>I2846</f>
        <v>1.34</v>
      </c>
      <c r="J2908" s="261" t="s">
        <v>1389</v>
      </c>
      <c r="K2908" s="261">
        <f t="shared" si="94"/>
        <v>13.4</v>
      </c>
      <c r="L2908" s="261"/>
      <c r="M2908" s="261"/>
    </row>
    <row r="2909" spans="1:19">
      <c r="A2909" s="251"/>
      <c r="E2909" s="261"/>
      <c r="F2909" s="261">
        <v>10</v>
      </c>
      <c r="G2909" s="261" t="s">
        <v>1389</v>
      </c>
      <c r="H2909" s="261" t="str">
        <f>H2852</f>
        <v>19 mm PVC junction box  ( p-83,6-b( 44.8/12=3.73)</v>
      </c>
      <c r="I2909" s="261">
        <f>I2852</f>
        <v>3.6</v>
      </c>
      <c r="J2909" s="261" t="s">
        <v>1389</v>
      </c>
      <c r="K2909" s="261">
        <f t="shared" si="94"/>
        <v>36</v>
      </c>
      <c r="L2909" s="261"/>
      <c r="M2909" s="261"/>
    </row>
    <row r="2910" spans="1:19">
      <c r="A2910" s="251"/>
      <c r="E2910" s="261"/>
      <c r="F2910" s="261">
        <v>10</v>
      </c>
      <c r="G2910" s="261" t="s">
        <v>1389</v>
      </c>
      <c r="H2910" s="261" t="str">
        <f>H2851</f>
        <v>Ceiling rose p-70 it-23</v>
      </c>
      <c r="I2910" s="261">
        <f>I2851</f>
        <v>13.8</v>
      </c>
      <c r="J2910" s="261" t="s">
        <v>1389</v>
      </c>
      <c r="K2910" s="261">
        <f t="shared" si="94"/>
        <v>138</v>
      </c>
      <c r="L2910" s="261"/>
      <c r="M2910" s="261"/>
    </row>
    <row r="2911" spans="1:19">
      <c r="A2911" s="251"/>
      <c r="E2911" s="261"/>
      <c r="F2911" s="261">
        <v>10</v>
      </c>
      <c r="G2911" s="261" t="s">
        <v>1389</v>
      </c>
      <c r="H2911" s="261" t="str">
        <f>H2850</f>
        <v>5 amps flush type switch p-72, Part-C,1 a ( 207/12=17.25)</v>
      </c>
      <c r="I2911" s="261">
        <f>I2850</f>
        <v>16.21</v>
      </c>
      <c r="J2911" s="261" t="s">
        <v>1389</v>
      </c>
      <c r="K2911" s="261">
        <f t="shared" si="94"/>
        <v>162.1</v>
      </c>
      <c r="L2911" s="261"/>
      <c r="M2911" s="261"/>
    </row>
    <row r="2912" spans="1:19">
      <c r="A2912" s="251"/>
      <c r="E2912" s="261"/>
      <c r="F2912" s="261">
        <v>10</v>
      </c>
      <c r="G2912" s="261" t="s">
        <v>1389</v>
      </c>
      <c r="H2912" s="272" t="s">
        <v>3838</v>
      </c>
      <c r="I2912" s="301">
        <v>85</v>
      </c>
      <c r="J2912" s="261" t="s">
        <v>1389</v>
      </c>
      <c r="K2912" s="261">
        <f t="shared" si="94"/>
        <v>850</v>
      </c>
      <c r="L2912" s="261"/>
      <c r="M2912" s="261"/>
    </row>
    <row r="2913" spans="1:13">
      <c r="A2913" s="251"/>
      <c r="E2913" s="261"/>
      <c r="F2913" s="261">
        <v>0.6</v>
      </c>
      <c r="G2913" s="261" t="s">
        <v>2273</v>
      </c>
      <c r="H2913" s="261" t="s">
        <v>2625</v>
      </c>
      <c r="I2913" s="261">
        <f>I2849</f>
        <v>661</v>
      </c>
      <c r="J2913" s="261" t="s">
        <v>2273</v>
      </c>
      <c r="K2913" s="261">
        <f t="shared" si="94"/>
        <v>396.6</v>
      </c>
      <c r="L2913" s="261"/>
      <c r="M2913" s="261"/>
    </row>
    <row r="2914" spans="1:13">
      <c r="A2914" s="251"/>
      <c r="E2914" s="261"/>
      <c r="F2914" s="261">
        <v>1</v>
      </c>
      <c r="G2914" s="261" t="s">
        <v>1389</v>
      </c>
      <c r="H2914" s="272" t="s">
        <v>3841</v>
      </c>
      <c r="I2914" s="266">
        <f>I2854</f>
        <v>58</v>
      </c>
      <c r="J2914" s="261" t="s">
        <v>1389</v>
      </c>
      <c r="K2914" s="261">
        <f t="shared" si="94"/>
        <v>58</v>
      </c>
      <c r="L2914" s="261"/>
      <c r="M2914" s="261"/>
    </row>
    <row r="2915" spans="1:13">
      <c r="A2915" s="251"/>
      <c r="E2915" s="261"/>
      <c r="F2915" s="265">
        <v>1.4999999999999999E-2</v>
      </c>
      <c r="G2915" s="261" t="s">
        <v>2273</v>
      </c>
      <c r="H2915" s="261" t="s">
        <v>3871</v>
      </c>
      <c r="I2915" s="261">
        <f>I2913</f>
        <v>661</v>
      </c>
      <c r="J2915" s="261" t="s">
        <v>2273</v>
      </c>
      <c r="K2915" s="261">
        <f t="shared" si="94"/>
        <v>9.92</v>
      </c>
      <c r="L2915" s="261"/>
      <c r="M2915" s="261"/>
    </row>
    <row r="2916" spans="1:13">
      <c r="A2916" s="251"/>
      <c r="E2916" s="261"/>
      <c r="F2916" s="261">
        <v>1.25</v>
      </c>
      <c r="G2916" s="261" t="s">
        <v>2622</v>
      </c>
      <c r="H2916" s="261" t="s">
        <v>387</v>
      </c>
      <c r="I2916" s="261">
        <f>I2853</f>
        <v>302</v>
      </c>
      <c r="J2916" s="261" t="s">
        <v>2622</v>
      </c>
      <c r="K2916" s="261">
        <f t="shared" si="94"/>
        <v>377.5</v>
      </c>
      <c r="L2916" s="261"/>
      <c r="M2916" s="261"/>
    </row>
    <row r="2917" spans="1:13" ht="31.5">
      <c r="A2917" s="251"/>
      <c r="E2917" s="261"/>
      <c r="F2917" s="261">
        <v>45</v>
      </c>
      <c r="G2917" s="261" t="s">
        <v>823</v>
      </c>
      <c r="H2917" s="262" t="s">
        <v>3876</v>
      </c>
      <c r="I2917" s="261">
        <f>I2843</f>
        <v>16.55</v>
      </c>
      <c r="J2917" s="261" t="s">
        <v>3280</v>
      </c>
      <c r="K2917" s="261">
        <f t="shared" si="94"/>
        <v>744.75</v>
      </c>
      <c r="L2917" s="261"/>
      <c r="M2917" s="261"/>
    </row>
    <row r="2918" spans="1:13">
      <c r="A2918" s="251"/>
      <c r="E2918" s="261"/>
      <c r="F2918" s="261" t="s">
        <v>654</v>
      </c>
      <c r="G2918" s="261"/>
      <c r="H2918" s="261" t="s">
        <v>911</v>
      </c>
      <c r="I2918" s="261"/>
      <c r="J2918" s="261"/>
      <c r="K2918" s="261">
        <f>K2873</f>
        <v>12075</v>
      </c>
      <c r="L2918" s="261"/>
      <c r="M2918" s="261"/>
    </row>
    <row r="2919" spans="1:13">
      <c r="A2919" s="251"/>
      <c r="E2919" s="261"/>
      <c r="F2919" s="261" t="s">
        <v>654</v>
      </c>
      <c r="G2919" s="261"/>
      <c r="H2919" s="261" t="s">
        <v>2261</v>
      </c>
      <c r="I2919" s="261"/>
      <c r="J2919" s="261"/>
      <c r="K2919" s="261">
        <v>27.25</v>
      </c>
      <c r="L2919" s="261"/>
      <c r="M2919" s="261"/>
    </row>
    <row r="2920" spans="1:13">
      <c r="A2920" s="251"/>
      <c r="E2920" s="261"/>
      <c r="F2920" s="261"/>
      <c r="G2920" s="261"/>
      <c r="H2920" s="269" t="s">
        <v>2415</v>
      </c>
      <c r="I2920" s="261"/>
      <c r="J2920" s="261"/>
      <c r="K2920" s="270">
        <f>SUM(K2905:K2919)</f>
        <v>17341.02</v>
      </c>
      <c r="L2920" s="261"/>
      <c r="M2920" s="261"/>
    </row>
    <row r="2921" spans="1:13">
      <c r="A2921" s="251"/>
      <c r="E2921" s="261"/>
      <c r="F2921" s="261"/>
      <c r="G2921" s="261"/>
      <c r="H2921" s="271" t="s">
        <v>3137</v>
      </c>
      <c r="I2921" s="261"/>
      <c r="J2921" s="261"/>
      <c r="K2921" s="272">
        <f>K2920/10</f>
        <v>1734.1</v>
      </c>
      <c r="L2921" s="261">
        <f>1257*10</f>
        <v>12570</v>
      </c>
      <c r="M2921" s="261"/>
    </row>
    <row r="2922" spans="1:13" hidden="1">
      <c r="A2922" s="251"/>
      <c r="E2922" s="261"/>
      <c r="F2922" s="261"/>
      <c r="G2922" s="261"/>
      <c r="H2922" s="272" t="s">
        <v>3445</v>
      </c>
      <c r="I2922" s="261"/>
      <c r="J2922" s="261"/>
      <c r="K2922" s="272"/>
      <c r="L2922" s="261"/>
      <c r="M2922" s="261"/>
    </row>
    <row r="2923" spans="1:13" hidden="1">
      <c r="A2923" s="251"/>
      <c r="E2923" s="261"/>
      <c r="F2923" s="261"/>
      <c r="G2923" s="261"/>
      <c r="H2923" s="269" t="s">
        <v>2809</v>
      </c>
      <c r="I2923" s="261">
        <f>90</f>
        <v>90</v>
      </c>
      <c r="J2923" s="261"/>
      <c r="K2923" s="272"/>
      <c r="L2923" s="261"/>
      <c r="M2923" s="261"/>
    </row>
    <row r="2924" spans="1:13" hidden="1">
      <c r="A2924" s="251"/>
      <c r="E2924" s="261"/>
      <c r="F2924" s="261"/>
      <c r="G2924" s="261"/>
      <c r="H2924" s="269" t="s">
        <v>2810</v>
      </c>
      <c r="I2924" s="278">
        <v>8.2500000000000004E-2</v>
      </c>
      <c r="J2924" s="261"/>
      <c r="K2924" s="272"/>
      <c r="L2924" s="261"/>
      <c r="M2924" s="261"/>
    </row>
    <row r="2925" spans="1:13" ht="18" hidden="1">
      <c r="A2925" s="251"/>
      <c r="E2925" s="261"/>
      <c r="F2925" s="261"/>
      <c r="G2925" s="261"/>
      <c r="H2925" s="269" t="s">
        <v>5634</v>
      </c>
      <c r="I2925" s="265">
        <v>0.13500000000000001</v>
      </c>
      <c r="J2925" s="261"/>
      <c r="K2925" s="272">
        <f>I2923*I2925/I2924</f>
        <v>147.27000000000001</v>
      </c>
      <c r="L2925" s="261"/>
      <c r="M2925" s="261"/>
    </row>
    <row r="2926" spans="1:13">
      <c r="A2926" s="251"/>
      <c r="E2926" s="261"/>
      <c r="F2926" s="261"/>
      <c r="G2926" s="261"/>
      <c r="H2926" s="271"/>
      <c r="I2926" s="261"/>
      <c r="J2926" s="261"/>
      <c r="K2926" s="272"/>
      <c r="L2926" s="261">
        <f>L2921-K2920</f>
        <v>-4771.0200000000004</v>
      </c>
      <c r="M2926" s="261"/>
    </row>
    <row r="2927" spans="1:13" ht="6" customHeight="1">
      <c r="A2927" s="251"/>
      <c r="E2927" s="261"/>
      <c r="F2927" s="261"/>
      <c r="G2927" s="261"/>
      <c r="H2927" s="261"/>
      <c r="I2927" s="261"/>
      <c r="J2927" s="261"/>
      <c r="K2927" s="261"/>
      <c r="L2927" s="261"/>
      <c r="M2927" s="261"/>
    </row>
    <row r="2928" spans="1:13" ht="24.75" customHeight="1">
      <c r="A2928" s="251"/>
      <c r="E2928" s="261"/>
      <c r="F2928" s="261"/>
      <c r="G2928" s="261"/>
      <c r="H2928" s="272" t="s">
        <v>2811</v>
      </c>
      <c r="I2928" s="261"/>
      <c r="J2928" s="261"/>
      <c r="K2928" s="261"/>
      <c r="L2928" s="261"/>
      <c r="M2928" s="261"/>
    </row>
    <row r="2929" spans="1:13" ht="29.25" customHeight="1">
      <c r="A2929" s="251"/>
      <c r="E2929" s="261"/>
      <c r="F2929" s="261"/>
      <c r="G2929" s="261"/>
      <c r="H2929" s="272" t="s">
        <v>2812</v>
      </c>
      <c r="I2929" s="261"/>
      <c r="J2929" s="261"/>
      <c r="K2929" s="261"/>
      <c r="L2929" s="261"/>
      <c r="M2929" s="261"/>
    </row>
    <row r="2930" spans="1:13" ht="177.75" customHeight="1">
      <c r="A2930" s="251"/>
      <c r="E2930" s="261"/>
      <c r="F2930" s="261"/>
      <c r="G2930" s="261"/>
      <c r="H2930" s="260" t="s">
        <v>2432</v>
      </c>
      <c r="I2930" s="261"/>
      <c r="J2930" s="261"/>
      <c r="K2930" s="261"/>
      <c r="L2930" s="261"/>
      <c r="M2930" s="261"/>
    </row>
    <row r="2931" spans="1:13" ht="31.5">
      <c r="A2931" s="251"/>
      <c r="E2931" s="261"/>
      <c r="F2931" s="261">
        <v>90</v>
      </c>
      <c r="G2931" s="261" t="s">
        <v>823</v>
      </c>
      <c r="H2931" s="262" t="s">
        <v>3875</v>
      </c>
      <c r="I2931" s="261">
        <f>I2843</f>
        <v>16.55</v>
      </c>
      <c r="J2931" s="261" t="s">
        <v>2529</v>
      </c>
      <c r="K2931" s="261">
        <f t="shared" ref="K2931:K2941" si="95">F2931*I2931</f>
        <v>1489.5</v>
      </c>
      <c r="L2931" s="261"/>
      <c r="M2931" s="261"/>
    </row>
    <row r="2932" spans="1:13" ht="31.5">
      <c r="A2932" s="251"/>
      <c r="E2932" s="261"/>
      <c r="F2932" s="261">
        <v>30</v>
      </c>
      <c r="G2932" s="261" t="s">
        <v>823</v>
      </c>
      <c r="H2932" s="260" t="s">
        <v>3870</v>
      </c>
      <c r="I2932" s="261">
        <f>I2906</f>
        <v>20</v>
      </c>
      <c r="J2932" s="261" t="s">
        <v>823</v>
      </c>
      <c r="K2932" s="261">
        <f t="shared" si="95"/>
        <v>600</v>
      </c>
      <c r="L2932" s="261"/>
      <c r="M2932" s="261"/>
    </row>
    <row r="2933" spans="1:13">
      <c r="A2933" s="251"/>
      <c r="E2933" s="261"/>
      <c r="F2933" s="261">
        <v>10</v>
      </c>
      <c r="G2933" s="261" t="s">
        <v>1389</v>
      </c>
      <c r="H2933" s="261" t="s">
        <v>3869</v>
      </c>
      <c r="I2933" s="261">
        <f>I2907</f>
        <v>3.15</v>
      </c>
      <c r="J2933" s="261" t="s">
        <v>1389</v>
      </c>
      <c r="K2933" s="261">
        <f t="shared" si="95"/>
        <v>31.5</v>
      </c>
      <c r="L2933" s="261"/>
      <c r="M2933" s="261"/>
    </row>
    <row r="2934" spans="1:13">
      <c r="A2934" s="251"/>
      <c r="E2934" s="261"/>
      <c r="F2934" s="261">
        <v>5</v>
      </c>
      <c r="G2934" s="261" t="s">
        <v>1389</v>
      </c>
      <c r="H2934" s="261" t="s">
        <v>3877</v>
      </c>
      <c r="I2934" s="261">
        <f>I2908</f>
        <v>1.34</v>
      </c>
      <c r="J2934" s="261" t="s">
        <v>1389</v>
      </c>
      <c r="K2934" s="261">
        <f t="shared" si="95"/>
        <v>6.7</v>
      </c>
      <c r="L2934" s="261"/>
      <c r="M2934" s="261"/>
    </row>
    <row r="2935" spans="1:13">
      <c r="A2935" s="251"/>
      <c r="E2935" s="261"/>
      <c r="F2935" s="261">
        <v>10</v>
      </c>
      <c r="G2935" s="261" t="s">
        <v>1389</v>
      </c>
      <c r="H2935" s="261" t="s">
        <v>3878</v>
      </c>
      <c r="I2935" s="264">
        <f>ROUND(237/12,2)</f>
        <v>19.75</v>
      </c>
      <c r="J2935" s="261" t="s">
        <v>1389</v>
      </c>
      <c r="K2935" s="261">
        <f t="shared" si="95"/>
        <v>197.5</v>
      </c>
      <c r="L2935" s="261"/>
      <c r="M2935" s="261">
        <f>253/12</f>
        <v>21.08</v>
      </c>
    </row>
    <row r="2936" spans="1:13">
      <c r="A2936" s="251"/>
      <c r="E2936" s="261"/>
      <c r="F2936" s="261">
        <v>5</v>
      </c>
      <c r="G2936" s="261" t="s">
        <v>1389</v>
      </c>
      <c r="H2936" s="261" t="str">
        <f>H2910</f>
        <v>Ceiling rose p-70 it-23</v>
      </c>
      <c r="I2936" s="261">
        <f>I2910</f>
        <v>13.8</v>
      </c>
      <c r="J2936" s="261" t="s">
        <v>1389</v>
      </c>
      <c r="K2936" s="261">
        <f t="shared" si="95"/>
        <v>69</v>
      </c>
      <c r="L2936" s="261"/>
      <c r="M2936" s="261"/>
    </row>
    <row r="2937" spans="1:13">
      <c r="A2937" s="251"/>
      <c r="E2937" s="261"/>
      <c r="F2937" s="261">
        <v>5</v>
      </c>
      <c r="G2937" s="261" t="s">
        <v>1389</v>
      </c>
      <c r="H2937" s="261" t="str">
        <f>H2909</f>
        <v>19 mm PVC junction box  ( p-83,6-b( 44.8/12=3.73)</v>
      </c>
      <c r="I2937" s="261">
        <f>I2909</f>
        <v>3.6</v>
      </c>
      <c r="J2937" s="261" t="s">
        <v>1389</v>
      </c>
      <c r="K2937" s="261">
        <f t="shared" si="95"/>
        <v>18</v>
      </c>
      <c r="L2937" s="261"/>
      <c r="M2937" s="261"/>
    </row>
    <row r="2938" spans="1:13">
      <c r="A2938" s="251"/>
      <c r="E2938" s="261"/>
      <c r="F2938" s="261">
        <v>6</v>
      </c>
      <c r="G2938" s="261" t="s">
        <v>1389</v>
      </c>
      <c r="H2938" s="272" t="s">
        <v>3841</v>
      </c>
      <c r="I2938" s="272">
        <f>I2914</f>
        <v>58</v>
      </c>
      <c r="J2938" s="261" t="s">
        <v>1389</v>
      </c>
      <c r="K2938" s="261">
        <f t="shared" si="95"/>
        <v>348</v>
      </c>
      <c r="L2938" s="261"/>
      <c r="M2938" s="261"/>
    </row>
    <row r="2939" spans="1:13">
      <c r="A2939" s="251"/>
      <c r="E2939" s="261"/>
      <c r="F2939" s="261">
        <v>0.09</v>
      </c>
      <c r="G2939" s="261" t="s">
        <v>2273</v>
      </c>
      <c r="H2939" s="261" t="s">
        <v>3871</v>
      </c>
      <c r="I2939" s="261">
        <f>I2913</f>
        <v>661</v>
      </c>
      <c r="J2939" s="261" t="s">
        <v>2273</v>
      </c>
      <c r="K2939" s="261">
        <f t="shared" si="95"/>
        <v>59.49</v>
      </c>
      <c r="L2939" s="261"/>
      <c r="M2939" s="261"/>
    </row>
    <row r="2940" spans="1:13">
      <c r="A2940" s="251"/>
      <c r="E2940" s="261"/>
      <c r="F2940" s="261">
        <v>1.25</v>
      </c>
      <c r="G2940" s="261" t="s">
        <v>2622</v>
      </c>
      <c r="H2940" s="261" t="s">
        <v>387</v>
      </c>
      <c r="I2940" s="261">
        <f>I2916</f>
        <v>302</v>
      </c>
      <c r="J2940" s="261" t="s">
        <v>2622</v>
      </c>
      <c r="K2940" s="261">
        <f t="shared" si="95"/>
        <v>377.5</v>
      </c>
      <c r="L2940" s="261"/>
      <c r="M2940" s="261"/>
    </row>
    <row r="2941" spans="1:13" ht="31.5">
      <c r="A2941" s="251"/>
      <c r="E2941" s="261"/>
      <c r="F2941" s="261">
        <v>30</v>
      </c>
      <c r="G2941" s="261" t="s">
        <v>823</v>
      </c>
      <c r="H2941" s="262" t="s">
        <v>3876</v>
      </c>
      <c r="I2941" s="261">
        <f>I2931</f>
        <v>16.55</v>
      </c>
      <c r="J2941" s="261" t="s">
        <v>3280</v>
      </c>
      <c r="K2941" s="261">
        <f t="shared" si="95"/>
        <v>496.5</v>
      </c>
      <c r="L2941" s="261"/>
      <c r="M2941" s="261"/>
    </row>
    <row r="2942" spans="1:13">
      <c r="A2942" s="251"/>
      <c r="E2942" s="261"/>
      <c r="F2942" s="261"/>
      <c r="G2942" s="261"/>
      <c r="H2942" s="261" t="s">
        <v>911</v>
      </c>
      <c r="I2942" s="261"/>
      <c r="J2942" s="261"/>
      <c r="K2942" s="261">
        <f>K2873</f>
        <v>12075</v>
      </c>
      <c r="L2942" s="261"/>
      <c r="M2942" s="261"/>
    </row>
    <row r="2943" spans="1:13">
      <c r="A2943" s="251"/>
      <c r="E2943" s="261"/>
      <c r="F2943" s="261"/>
      <c r="G2943" s="261"/>
      <c r="H2943" s="261" t="s">
        <v>2261</v>
      </c>
      <c r="I2943" s="261"/>
      <c r="J2943" s="261"/>
      <c r="K2943" s="261">
        <v>24.28</v>
      </c>
      <c r="L2943" s="261"/>
      <c r="M2943" s="261"/>
    </row>
    <row r="2944" spans="1:13">
      <c r="A2944" s="251"/>
      <c r="E2944" s="261"/>
      <c r="F2944" s="261"/>
      <c r="G2944" s="261"/>
      <c r="H2944" s="269" t="s">
        <v>2542</v>
      </c>
      <c r="I2944" s="261"/>
      <c r="J2944" s="261"/>
      <c r="K2944" s="270">
        <f>SUM(K2931:K2943)</f>
        <v>15792.97</v>
      </c>
      <c r="L2944" s="261"/>
      <c r="M2944" s="261"/>
    </row>
    <row r="2945" spans="1:14">
      <c r="A2945" s="251"/>
      <c r="E2945" s="261"/>
      <c r="F2945" s="261"/>
      <c r="G2945" s="261"/>
      <c r="H2945" s="271" t="s">
        <v>3137</v>
      </c>
      <c r="I2945" s="261"/>
      <c r="J2945" s="261"/>
      <c r="K2945" s="272">
        <f>K2944/5</f>
        <v>3158.59</v>
      </c>
      <c r="L2945" s="261">
        <f>1983*5</f>
        <v>9915</v>
      </c>
      <c r="M2945" s="261"/>
    </row>
    <row r="2946" spans="1:14">
      <c r="A2946" s="251"/>
      <c r="E2946" s="261"/>
      <c r="F2946" s="261"/>
      <c r="G2946" s="261"/>
      <c r="H2946" s="261"/>
      <c r="I2946" s="261"/>
      <c r="J2946" s="261"/>
      <c r="K2946" s="261"/>
      <c r="L2946" s="261">
        <f>L2945-K2944</f>
        <v>-5877.97</v>
      </c>
      <c r="M2946" s="261"/>
    </row>
    <row r="2947" spans="1:14">
      <c r="A2947" s="251"/>
      <c r="E2947" s="261"/>
      <c r="F2947" s="261"/>
      <c r="G2947" s="261"/>
      <c r="H2947" s="272" t="s">
        <v>2543</v>
      </c>
      <c r="I2947" s="261"/>
      <c r="J2947" s="261"/>
      <c r="K2947" s="261"/>
      <c r="L2947" s="261"/>
      <c r="M2947" s="261"/>
    </row>
    <row r="2948" spans="1:14">
      <c r="A2948" s="251"/>
      <c r="E2948" s="261"/>
      <c r="F2948" s="261"/>
      <c r="G2948" s="261"/>
      <c r="H2948" s="272" t="s">
        <v>2544</v>
      </c>
      <c r="I2948" s="261"/>
      <c r="J2948" s="261"/>
      <c r="K2948" s="261"/>
      <c r="L2948" s="261"/>
      <c r="M2948" s="261"/>
    </row>
    <row r="2949" spans="1:14" ht="6.75" customHeight="1">
      <c r="A2949" s="251"/>
      <c r="E2949" s="261"/>
      <c r="F2949" s="261"/>
      <c r="G2949" s="261"/>
      <c r="H2949" s="261"/>
      <c r="I2949" s="261"/>
      <c r="J2949" s="261"/>
      <c r="K2949" s="261"/>
      <c r="L2949" s="261"/>
      <c r="M2949" s="261"/>
    </row>
    <row r="2950" spans="1:14" ht="147.75" customHeight="1">
      <c r="A2950" s="251"/>
      <c r="E2950" s="261"/>
      <c r="F2950" s="261"/>
      <c r="G2950" s="261"/>
      <c r="H2950" s="260" t="s">
        <v>2712</v>
      </c>
      <c r="I2950" s="261"/>
      <c r="J2950" s="261"/>
      <c r="K2950" s="261"/>
      <c r="L2950" s="261"/>
      <c r="M2950" s="261"/>
    </row>
    <row r="2951" spans="1:14" ht="31.5">
      <c r="A2951" s="251"/>
      <c r="E2951" s="261"/>
      <c r="F2951" s="261">
        <v>90</v>
      </c>
      <c r="G2951" s="261" t="s">
        <v>823</v>
      </c>
      <c r="H2951" s="268" t="s">
        <v>2528</v>
      </c>
      <c r="I2951" s="261">
        <f>I2931</f>
        <v>16.55</v>
      </c>
      <c r="J2951" s="261" t="s">
        <v>3280</v>
      </c>
      <c r="K2951" s="261">
        <f t="shared" ref="K2951:K2961" si="96">F2951*I2951</f>
        <v>1489.5</v>
      </c>
      <c r="L2951" s="261"/>
      <c r="M2951" s="261"/>
    </row>
    <row r="2952" spans="1:14" ht="31.5">
      <c r="E2952" s="261"/>
      <c r="F2952" s="261">
        <v>45</v>
      </c>
      <c r="G2952" s="261" t="s">
        <v>823</v>
      </c>
      <c r="H2952" s="260" t="s">
        <v>2354</v>
      </c>
      <c r="I2952" s="261">
        <f>I2932</f>
        <v>20</v>
      </c>
      <c r="J2952" s="261" t="s">
        <v>823</v>
      </c>
      <c r="K2952" s="261">
        <f t="shared" si="96"/>
        <v>900</v>
      </c>
      <c r="L2952" s="261"/>
      <c r="M2952" s="261"/>
    </row>
    <row r="2953" spans="1:14" ht="20.100000000000001" customHeight="1">
      <c r="E2953" s="261"/>
      <c r="F2953" s="261">
        <v>20</v>
      </c>
      <c r="G2953" s="261" t="s">
        <v>1389</v>
      </c>
      <c r="H2953" s="261" t="s">
        <v>2356</v>
      </c>
      <c r="I2953" s="261">
        <f>I2933</f>
        <v>3.15</v>
      </c>
      <c r="J2953" s="261" t="s">
        <v>3368</v>
      </c>
      <c r="K2953" s="261">
        <f t="shared" si="96"/>
        <v>63</v>
      </c>
      <c r="L2953" s="261"/>
      <c r="M2953" s="261"/>
    </row>
    <row r="2954" spans="1:14" ht="20.100000000000001" customHeight="1">
      <c r="E2954" s="261"/>
      <c r="F2954" s="261">
        <v>10</v>
      </c>
      <c r="G2954" s="261" t="s">
        <v>1389</v>
      </c>
      <c r="H2954" s="261" t="s">
        <v>3365</v>
      </c>
      <c r="I2954" s="261">
        <f>I2934</f>
        <v>1.34</v>
      </c>
      <c r="J2954" s="261" t="s">
        <v>3368</v>
      </c>
      <c r="K2954" s="261">
        <f t="shared" si="96"/>
        <v>13.4</v>
      </c>
      <c r="L2954" s="261"/>
      <c r="M2954" s="261"/>
    </row>
    <row r="2955" spans="1:14" ht="20.100000000000001" customHeight="1">
      <c r="E2955" s="261"/>
      <c r="F2955" s="261">
        <v>1</v>
      </c>
      <c r="G2955" s="261" t="s">
        <v>1389</v>
      </c>
      <c r="H2955" s="272" t="s">
        <v>3841</v>
      </c>
      <c r="I2955" s="272">
        <f>I2938</f>
        <v>58</v>
      </c>
      <c r="J2955" s="261" t="s">
        <v>1389</v>
      </c>
      <c r="K2955" s="261">
        <f t="shared" si="96"/>
        <v>58</v>
      </c>
      <c r="L2955" s="261"/>
      <c r="M2955" s="261"/>
    </row>
    <row r="2956" spans="1:14" ht="20.100000000000001" customHeight="1">
      <c r="E2956" s="261"/>
      <c r="F2956" s="265">
        <v>1.4999999999999999E-2</v>
      </c>
      <c r="G2956" s="261" t="s">
        <v>2273</v>
      </c>
      <c r="H2956" s="261" t="s">
        <v>2541</v>
      </c>
      <c r="I2956" s="261">
        <f>I2849</f>
        <v>661</v>
      </c>
      <c r="J2956" s="261" t="s">
        <v>2273</v>
      </c>
      <c r="K2956" s="261">
        <f t="shared" si="96"/>
        <v>9.92</v>
      </c>
      <c r="L2956" s="261"/>
      <c r="M2956" s="261"/>
    </row>
    <row r="2957" spans="1:14" ht="31.5" customHeight="1">
      <c r="E2957" s="261"/>
      <c r="F2957" s="261">
        <v>15</v>
      </c>
      <c r="G2957" s="261" t="s">
        <v>1389</v>
      </c>
      <c r="H2957" s="260" t="s">
        <v>3687</v>
      </c>
      <c r="I2957" s="264">
        <f>Elec.Data!I126</f>
        <v>40.31</v>
      </c>
      <c r="J2957" s="261" t="s">
        <v>1389</v>
      </c>
      <c r="K2957" s="261">
        <f t="shared" si="96"/>
        <v>604.65</v>
      </c>
      <c r="L2957" s="279">
        <f>185+230</f>
        <v>415</v>
      </c>
      <c r="M2957" s="261">
        <f>L2957/12</f>
        <v>34.58</v>
      </c>
      <c r="N2957" s="252">
        <f>M2957/12</f>
        <v>2.88</v>
      </c>
    </row>
    <row r="2958" spans="1:14" ht="20.100000000000001" customHeight="1">
      <c r="E2958" s="261"/>
      <c r="F2958" s="261">
        <v>15</v>
      </c>
      <c r="G2958" s="261" t="s">
        <v>1389</v>
      </c>
      <c r="H2958" s="272" t="s">
        <v>3841</v>
      </c>
      <c r="I2958" s="261">
        <f>I2955</f>
        <v>58</v>
      </c>
      <c r="J2958" s="261" t="s">
        <v>1389</v>
      </c>
      <c r="K2958" s="261">
        <f t="shared" si="96"/>
        <v>870</v>
      </c>
      <c r="L2958" s="261"/>
      <c r="M2958" s="261"/>
    </row>
    <row r="2959" spans="1:14" ht="20.100000000000001" customHeight="1">
      <c r="E2959" s="261"/>
      <c r="F2959" s="265">
        <v>0.22500000000000001</v>
      </c>
      <c r="G2959" s="261" t="s">
        <v>2273</v>
      </c>
      <c r="H2959" s="261" t="s">
        <v>3871</v>
      </c>
      <c r="I2959" s="261">
        <f>I2956</f>
        <v>661</v>
      </c>
      <c r="J2959" s="261" t="s">
        <v>2714</v>
      </c>
      <c r="K2959" s="261">
        <f t="shared" si="96"/>
        <v>148.72999999999999</v>
      </c>
      <c r="L2959" s="261"/>
      <c r="M2959" s="261"/>
    </row>
    <row r="2960" spans="1:14" ht="20.100000000000001" customHeight="1">
      <c r="E2960" s="261"/>
      <c r="F2960" s="261">
        <v>1.25</v>
      </c>
      <c r="G2960" s="261" t="s">
        <v>2622</v>
      </c>
      <c r="H2960" s="261" t="s">
        <v>387</v>
      </c>
      <c r="I2960" s="261">
        <f>I2940</f>
        <v>302</v>
      </c>
      <c r="J2960" s="261" t="s">
        <v>2622</v>
      </c>
      <c r="K2960" s="261">
        <f t="shared" si="96"/>
        <v>377.5</v>
      </c>
      <c r="L2960" s="261"/>
      <c r="M2960" s="261"/>
    </row>
    <row r="2961" spans="5:13" ht="31.5">
      <c r="E2961" s="261"/>
      <c r="F2961" s="261">
        <v>45</v>
      </c>
      <c r="G2961" s="261" t="s">
        <v>2273</v>
      </c>
      <c r="H2961" s="262" t="s">
        <v>3876</v>
      </c>
      <c r="I2961" s="261">
        <f>I2951</f>
        <v>16.55</v>
      </c>
      <c r="J2961" s="261" t="s">
        <v>3280</v>
      </c>
      <c r="K2961" s="261">
        <f t="shared" si="96"/>
        <v>744.75</v>
      </c>
      <c r="L2961" s="261"/>
      <c r="M2961" s="261"/>
    </row>
    <row r="2962" spans="5:13" ht="15.75" customHeight="1">
      <c r="E2962" s="261"/>
      <c r="F2962" s="261"/>
      <c r="G2962" s="261"/>
      <c r="H2962" s="261" t="s">
        <v>911</v>
      </c>
      <c r="I2962" s="261"/>
      <c r="J2962" s="261"/>
      <c r="K2962" s="261">
        <f>K2918</f>
        <v>12075</v>
      </c>
      <c r="L2962" s="261"/>
      <c r="M2962" s="261"/>
    </row>
    <row r="2963" spans="5:13" ht="17.25" customHeight="1">
      <c r="E2963" s="261"/>
      <c r="F2963" s="261"/>
      <c r="G2963" s="261"/>
      <c r="H2963" s="261" t="s">
        <v>2261</v>
      </c>
      <c r="I2963" s="261"/>
      <c r="J2963" s="261"/>
      <c r="K2963" s="261">
        <v>65.12</v>
      </c>
      <c r="L2963" s="261"/>
      <c r="M2963" s="261"/>
    </row>
    <row r="2964" spans="5:13">
      <c r="E2964" s="261"/>
      <c r="F2964" s="261"/>
      <c r="G2964" s="261"/>
      <c r="H2964" s="269" t="s">
        <v>2715</v>
      </c>
      <c r="I2964" s="261"/>
      <c r="J2964" s="261"/>
      <c r="K2964" s="270">
        <f>SUM(K2951:K2963)</f>
        <v>17419.57</v>
      </c>
      <c r="L2964" s="261"/>
      <c r="M2964" s="261"/>
    </row>
    <row r="2965" spans="5:13">
      <c r="E2965" s="261"/>
      <c r="F2965" s="261"/>
      <c r="G2965" s="261"/>
      <c r="H2965" s="271" t="s">
        <v>3137</v>
      </c>
      <c r="I2965" s="261"/>
      <c r="J2965" s="261"/>
      <c r="K2965" s="272">
        <f>K2964/15</f>
        <v>1161.3</v>
      </c>
      <c r="L2965" s="261">
        <f>846*15</f>
        <v>12690</v>
      </c>
      <c r="M2965" s="261"/>
    </row>
    <row r="2966" spans="5:13" ht="16.5" customHeight="1">
      <c r="E2966" s="261"/>
      <c r="F2966" s="261"/>
      <c r="G2966" s="261"/>
      <c r="H2966" s="261"/>
      <c r="I2966" s="261"/>
      <c r="J2966" s="261"/>
      <c r="K2966" s="261"/>
      <c r="L2966" s="261">
        <f>L2965-K2964</f>
        <v>-4729.57</v>
      </c>
      <c r="M2966" s="261"/>
    </row>
    <row r="2967" spans="5:13">
      <c r="E2967" s="261"/>
      <c r="F2967" s="261"/>
      <c r="G2967" s="261"/>
      <c r="H2967" s="272" t="s">
        <v>2716</v>
      </c>
      <c r="I2967" s="261"/>
      <c r="J2967" s="261"/>
      <c r="K2967" s="261"/>
      <c r="L2967" s="261"/>
      <c r="M2967" s="261"/>
    </row>
    <row r="2968" spans="5:13">
      <c r="E2968" s="261"/>
      <c r="F2968" s="261"/>
      <c r="G2968" s="261"/>
      <c r="H2968" s="272" t="s">
        <v>2717</v>
      </c>
      <c r="I2968" s="261"/>
      <c r="J2968" s="261"/>
      <c r="K2968" s="261"/>
      <c r="L2968" s="261"/>
      <c r="M2968" s="261"/>
    </row>
    <row r="2969" spans="5:13" ht="3.75" customHeight="1">
      <c r="E2969" s="261"/>
      <c r="F2969" s="261"/>
      <c r="G2969" s="261"/>
      <c r="H2969" s="261"/>
      <c r="I2969" s="261"/>
      <c r="J2969" s="261"/>
      <c r="K2969" s="261"/>
      <c r="L2969" s="261"/>
      <c r="M2969" s="261"/>
    </row>
    <row r="2970" spans="5:13" ht="147.75" customHeight="1">
      <c r="E2970" s="261"/>
      <c r="F2970" s="261"/>
      <c r="G2970" s="261"/>
      <c r="H2970" s="260" t="s">
        <v>2519</v>
      </c>
      <c r="I2970" s="261"/>
      <c r="J2970" s="261"/>
      <c r="K2970" s="261"/>
      <c r="L2970" s="261"/>
      <c r="M2970" s="261"/>
    </row>
    <row r="2971" spans="5:13" ht="2.25" hidden="1" customHeight="1">
      <c r="E2971" s="261"/>
      <c r="F2971" s="261"/>
      <c r="G2971" s="261"/>
      <c r="H2971" s="261"/>
      <c r="I2971" s="261"/>
      <c r="J2971" s="261"/>
      <c r="K2971" s="261"/>
      <c r="L2971" s="261"/>
      <c r="M2971" s="261"/>
    </row>
    <row r="2972" spans="5:13" ht="31.5">
      <c r="E2972" s="261"/>
      <c r="F2972" s="261">
        <v>5</v>
      </c>
      <c r="G2972" s="261" t="s">
        <v>823</v>
      </c>
      <c r="H2972" s="268" t="s">
        <v>2528</v>
      </c>
      <c r="I2972" s="261">
        <f>I2951</f>
        <v>16.55</v>
      </c>
      <c r="J2972" s="261" t="s">
        <v>2355</v>
      </c>
      <c r="K2972" s="261">
        <f>F2972*I2972</f>
        <v>82.75</v>
      </c>
      <c r="L2972" s="261"/>
      <c r="M2972" s="261"/>
    </row>
    <row r="2973" spans="5:13" ht="24.75" customHeight="1">
      <c r="E2973" s="261"/>
      <c r="F2973" s="261">
        <v>2.5</v>
      </c>
      <c r="G2973" s="261" t="s">
        <v>823</v>
      </c>
      <c r="H2973" s="260" t="s">
        <v>2354</v>
      </c>
      <c r="I2973" s="261">
        <f>I2952</f>
        <v>20</v>
      </c>
      <c r="J2973" s="261" t="s">
        <v>823</v>
      </c>
      <c r="K2973" s="261">
        <f>F2973*I2973</f>
        <v>50</v>
      </c>
      <c r="L2973" s="261"/>
      <c r="M2973" s="261"/>
    </row>
    <row r="2974" spans="5:13" ht="39.75" customHeight="1">
      <c r="E2974" s="261"/>
      <c r="F2974" s="261">
        <v>1</v>
      </c>
      <c r="G2974" s="261" t="s">
        <v>1389</v>
      </c>
      <c r="H2974" s="260" t="s">
        <v>3879</v>
      </c>
      <c r="I2974" s="263">
        <f>I2957</f>
        <v>40.31</v>
      </c>
      <c r="J2974" s="261" t="s">
        <v>1389</v>
      </c>
      <c r="K2974" s="261">
        <f>F2974*I2974</f>
        <v>40.31</v>
      </c>
      <c r="L2974" s="261"/>
      <c r="M2974" s="261"/>
    </row>
    <row r="2975" spans="5:13">
      <c r="E2975" s="261"/>
      <c r="F2975" s="261"/>
      <c r="G2975" s="261"/>
      <c r="H2975" s="261" t="s">
        <v>911</v>
      </c>
      <c r="I2975" s="261"/>
      <c r="J2975" s="261"/>
      <c r="K2975" s="261">
        <f>ROUND(K2873*5/90,2)</f>
        <v>670.83</v>
      </c>
      <c r="L2975" s="261"/>
      <c r="M2975" s="261"/>
    </row>
    <row r="2976" spans="5:13">
      <c r="E2976" s="261"/>
      <c r="F2976" s="261"/>
      <c r="G2976" s="261"/>
      <c r="H2976" s="261" t="s">
        <v>2261</v>
      </c>
      <c r="I2976" s="261"/>
      <c r="J2976" s="261"/>
      <c r="K2976" s="261">
        <v>20.77</v>
      </c>
      <c r="L2976" s="261"/>
      <c r="M2976" s="261"/>
    </row>
    <row r="2977" spans="5:13" ht="16.5" customHeight="1">
      <c r="E2977" s="261"/>
      <c r="F2977" s="261"/>
      <c r="G2977" s="261"/>
      <c r="H2977" s="271" t="s">
        <v>3137</v>
      </c>
      <c r="I2977" s="261"/>
      <c r="J2977" s="261"/>
      <c r="K2977" s="273">
        <f>SUM(K2972:K2976)</f>
        <v>864.66</v>
      </c>
      <c r="L2977" s="261">
        <f>612-K2977</f>
        <v>-252.66</v>
      </c>
      <c r="M2977" s="261"/>
    </row>
    <row r="2978" spans="5:13" ht="0.75" customHeight="1">
      <c r="E2978" s="261"/>
      <c r="F2978" s="261"/>
      <c r="G2978" s="261"/>
      <c r="H2978" s="261"/>
      <c r="I2978" s="261"/>
      <c r="J2978" s="261"/>
      <c r="K2978" s="261"/>
      <c r="L2978" s="261"/>
      <c r="M2978" s="261"/>
    </row>
    <row r="2979" spans="5:13">
      <c r="E2979" s="261"/>
      <c r="F2979" s="261"/>
      <c r="G2979" s="261"/>
      <c r="H2979" s="272" t="s">
        <v>2520</v>
      </c>
      <c r="I2979" s="261"/>
      <c r="J2979" s="261"/>
      <c r="K2979" s="261"/>
      <c r="L2979" s="261"/>
      <c r="M2979" s="261"/>
    </row>
    <row r="2980" spans="5:13" ht="14.25" customHeight="1">
      <c r="E2980" s="261"/>
      <c r="F2980" s="261"/>
      <c r="G2980" s="261"/>
      <c r="H2980" s="272" t="s">
        <v>2521</v>
      </c>
      <c r="I2980" s="261"/>
      <c r="J2980" s="261"/>
      <c r="K2980" s="261"/>
      <c r="L2980" s="261"/>
      <c r="M2980" s="261"/>
    </row>
    <row r="2981" spans="5:13" ht="1.5" customHeight="1">
      <c r="E2981" s="261"/>
      <c r="F2981" s="261"/>
      <c r="G2981" s="261"/>
      <c r="H2981" s="261"/>
      <c r="I2981" s="261"/>
      <c r="J2981" s="261"/>
      <c r="K2981" s="261"/>
      <c r="L2981" s="261"/>
      <c r="M2981" s="261"/>
    </row>
    <row r="2982" spans="5:13" ht="65.25" customHeight="1">
      <c r="E2982" s="261"/>
      <c r="F2982" s="261"/>
      <c r="G2982" s="261"/>
      <c r="H2982" s="260" t="s">
        <v>5635</v>
      </c>
      <c r="I2982" s="261"/>
      <c r="J2982" s="261"/>
      <c r="K2982" s="261"/>
      <c r="L2982" s="261"/>
      <c r="M2982" s="261"/>
    </row>
    <row r="2983" spans="5:13" ht="2.25" customHeight="1">
      <c r="E2983" s="261"/>
      <c r="F2983" s="261"/>
      <c r="G2983" s="261"/>
      <c r="H2983" s="261"/>
      <c r="I2983" s="261"/>
      <c r="J2983" s="261"/>
      <c r="K2983" s="261"/>
      <c r="L2983" s="261"/>
      <c r="M2983" s="261"/>
    </row>
    <row r="2984" spans="5:13" ht="17.25" customHeight="1">
      <c r="E2984" s="261"/>
      <c r="F2984" s="261">
        <v>1</v>
      </c>
      <c r="G2984" s="261" t="s">
        <v>1389</v>
      </c>
      <c r="H2984" s="261" t="s">
        <v>3118</v>
      </c>
      <c r="I2984" s="264">
        <f>Elec.Data!I153</f>
        <v>54.5</v>
      </c>
      <c r="J2984" s="261" t="s">
        <v>1389</v>
      </c>
      <c r="K2984" s="261">
        <f>F2984*I2984</f>
        <v>54.5</v>
      </c>
      <c r="L2984" s="261"/>
      <c r="M2984" s="261"/>
    </row>
    <row r="2985" spans="5:13" ht="14.25" customHeight="1">
      <c r="E2985" s="261"/>
      <c r="F2985" s="261">
        <v>1</v>
      </c>
      <c r="G2985" s="261" t="s">
        <v>1389</v>
      </c>
      <c r="H2985" s="272" t="s">
        <v>3841</v>
      </c>
      <c r="I2985" s="261">
        <f>I2955</f>
        <v>58</v>
      </c>
      <c r="J2985" s="261" t="s">
        <v>1389</v>
      </c>
      <c r="K2985" s="261">
        <f>F2985*I2985</f>
        <v>58</v>
      </c>
      <c r="L2985" s="261"/>
      <c r="M2985" s="261"/>
    </row>
    <row r="2986" spans="5:13" ht="13.5" customHeight="1">
      <c r="E2986" s="261"/>
      <c r="F2986" s="265">
        <v>1.4999999999999999E-2</v>
      </c>
      <c r="G2986" s="261" t="s">
        <v>2273</v>
      </c>
      <c r="H2986" s="261" t="s">
        <v>3120</v>
      </c>
      <c r="I2986" s="261">
        <f>I2956</f>
        <v>661</v>
      </c>
      <c r="J2986" s="261" t="s">
        <v>2273</v>
      </c>
      <c r="K2986" s="261">
        <f>F2986*I2986</f>
        <v>9.92</v>
      </c>
      <c r="L2986" s="261"/>
      <c r="M2986" s="261"/>
    </row>
    <row r="2987" spans="5:13" ht="17.25" customHeight="1">
      <c r="E2987" s="261"/>
      <c r="F2987" s="261" t="s">
        <v>654</v>
      </c>
      <c r="G2987" s="261"/>
      <c r="H2987" s="261" t="s">
        <v>3121</v>
      </c>
      <c r="I2987" s="261"/>
      <c r="J2987" s="261"/>
      <c r="K2987" s="261">
        <v>12.05</v>
      </c>
      <c r="L2987" s="261"/>
      <c r="M2987" s="261"/>
    </row>
    <row r="2988" spans="5:13" ht="20.25" customHeight="1">
      <c r="E2988" s="261"/>
      <c r="F2988" s="261"/>
      <c r="G2988" s="261"/>
      <c r="H2988" s="271" t="s">
        <v>1058</v>
      </c>
      <c r="I2988" s="261"/>
      <c r="J2988" s="261"/>
      <c r="K2988" s="273">
        <f>SUM(K2984:K2987)</f>
        <v>134.47</v>
      </c>
      <c r="L2988" s="261">
        <f>131-K2988</f>
        <v>-3.47</v>
      </c>
      <c r="M2988" s="261"/>
    </row>
    <row r="2989" spans="5:13">
      <c r="E2989" s="261"/>
      <c r="F2989" s="261"/>
      <c r="G2989" s="261"/>
      <c r="H2989" s="261"/>
      <c r="I2989" s="261"/>
      <c r="J2989" s="261"/>
      <c r="K2989" s="261"/>
      <c r="L2989" s="261"/>
      <c r="M2989" s="261"/>
    </row>
    <row r="2990" spans="5:13">
      <c r="E2990" s="261"/>
      <c r="F2990" s="261"/>
      <c r="G2990" s="261"/>
      <c r="H2990" s="272" t="s">
        <v>3122</v>
      </c>
      <c r="I2990" s="261"/>
      <c r="J2990" s="261"/>
      <c r="K2990" s="261"/>
      <c r="L2990" s="261"/>
      <c r="M2990" s="261"/>
    </row>
    <row r="2991" spans="5:13" ht="31.5">
      <c r="E2991" s="261"/>
      <c r="F2991" s="261"/>
      <c r="G2991" s="261"/>
      <c r="H2991" s="258" t="s">
        <v>3123</v>
      </c>
      <c r="I2991" s="261"/>
      <c r="J2991" s="261"/>
      <c r="K2991" s="261"/>
      <c r="L2991" s="261"/>
      <c r="M2991" s="261"/>
    </row>
    <row r="2992" spans="5:13">
      <c r="E2992" s="261"/>
      <c r="F2992" s="261"/>
      <c r="G2992" s="261"/>
      <c r="H2992" s="258"/>
      <c r="I2992" s="261"/>
      <c r="J2992" s="261"/>
      <c r="K2992" s="261"/>
      <c r="L2992" s="261"/>
      <c r="M2992" s="261"/>
    </row>
    <row r="2993" spans="5:13" ht="210.75" customHeight="1">
      <c r="E2993" s="261"/>
      <c r="F2993" s="261"/>
      <c r="G2993" s="261"/>
      <c r="H2993" s="260" t="s">
        <v>2417</v>
      </c>
      <c r="I2993" s="261"/>
      <c r="J2993" s="261"/>
      <c r="K2993" s="261"/>
      <c r="L2993" s="261"/>
      <c r="M2993" s="261"/>
    </row>
    <row r="2994" spans="5:13">
      <c r="E2994" s="261"/>
      <c r="F2994" s="261"/>
      <c r="G2994" s="261"/>
      <c r="H2994" s="261"/>
      <c r="I2994" s="261"/>
      <c r="J2994" s="261"/>
      <c r="K2994" s="261"/>
      <c r="L2994" s="261"/>
      <c r="M2994" s="261"/>
    </row>
    <row r="2995" spans="5:13" ht="31.5">
      <c r="E2995" s="261"/>
      <c r="F2995" s="261">
        <v>90</v>
      </c>
      <c r="G2995" s="261" t="s">
        <v>823</v>
      </c>
      <c r="H2995" s="268" t="s">
        <v>2528</v>
      </c>
      <c r="I2995" s="261">
        <f>I2843</f>
        <v>16.55</v>
      </c>
      <c r="J2995" s="261" t="s">
        <v>823</v>
      </c>
      <c r="K2995" s="261">
        <f t="shared" ref="K2995:K3007" si="97">F2995*I2995</f>
        <v>1489.5</v>
      </c>
      <c r="L2995" s="261"/>
      <c r="M2995" s="261"/>
    </row>
    <row r="2996" spans="5:13" ht="31.5">
      <c r="E2996" s="261"/>
      <c r="F2996" s="261">
        <v>45</v>
      </c>
      <c r="G2996" s="261" t="s">
        <v>823</v>
      </c>
      <c r="H2996" s="260" t="s">
        <v>2354</v>
      </c>
      <c r="I2996" s="261">
        <f>I2844</f>
        <v>20</v>
      </c>
      <c r="J2996" s="261" t="s">
        <v>2355</v>
      </c>
      <c r="K2996" s="261">
        <f t="shared" si="97"/>
        <v>900</v>
      </c>
      <c r="L2996" s="261"/>
      <c r="M2996" s="261"/>
    </row>
    <row r="2997" spans="5:13">
      <c r="E2997" s="261"/>
      <c r="F2997" s="261">
        <v>12</v>
      </c>
      <c r="G2997" s="261" t="s">
        <v>1389</v>
      </c>
      <c r="H2997" s="261" t="s">
        <v>2356</v>
      </c>
      <c r="I2997" s="261">
        <f>I2845</f>
        <v>3.15</v>
      </c>
      <c r="J2997" s="261" t="s">
        <v>1389</v>
      </c>
      <c r="K2997" s="261">
        <f t="shared" si="97"/>
        <v>37.799999999999997</v>
      </c>
      <c r="L2997" s="261"/>
      <c r="M2997" s="261"/>
    </row>
    <row r="2998" spans="5:13">
      <c r="E2998" s="261"/>
      <c r="F2998" s="261">
        <v>6</v>
      </c>
      <c r="G2998" s="261" t="s">
        <v>1389</v>
      </c>
      <c r="H2998" s="261" t="s">
        <v>3365</v>
      </c>
      <c r="I2998" s="261">
        <f>I2846</f>
        <v>1.34</v>
      </c>
      <c r="J2998" s="261" t="s">
        <v>1389</v>
      </c>
      <c r="K2998" s="261">
        <f t="shared" si="97"/>
        <v>8.0399999999999991</v>
      </c>
      <c r="L2998" s="261"/>
      <c r="M2998" s="261"/>
    </row>
    <row r="2999" spans="5:13">
      <c r="E2999" s="261"/>
      <c r="F2999" s="261">
        <v>1</v>
      </c>
      <c r="G2999" s="261" t="s">
        <v>1389</v>
      </c>
      <c r="H2999" s="272" t="s">
        <v>3841</v>
      </c>
      <c r="I2999" s="266">
        <f>I2847</f>
        <v>58</v>
      </c>
      <c r="J2999" s="261" t="s">
        <v>1389</v>
      </c>
      <c r="K2999" s="261">
        <f t="shared" si="97"/>
        <v>58</v>
      </c>
      <c r="L2999" s="261"/>
      <c r="M2999" s="261"/>
    </row>
    <row r="3000" spans="5:13">
      <c r="E3000" s="261"/>
      <c r="F3000" s="265">
        <v>1.4999999999999999E-2</v>
      </c>
      <c r="G3000" s="261" t="s">
        <v>2273</v>
      </c>
      <c r="H3000" s="261" t="s">
        <v>3236</v>
      </c>
      <c r="I3000" s="261">
        <f t="shared" ref="I3000:I3007" si="98">I2849</f>
        <v>661</v>
      </c>
      <c r="J3000" s="261" t="s">
        <v>2273</v>
      </c>
      <c r="K3000" s="261">
        <f t="shared" si="97"/>
        <v>9.92</v>
      </c>
      <c r="L3000" s="261"/>
      <c r="M3000" s="261"/>
    </row>
    <row r="3001" spans="5:13">
      <c r="E3001" s="261"/>
      <c r="F3001" s="261">
        <v>6</v>
      </c>
      <c r="G3001" s="261" t="s">
        <v>1389</v>
      </c>
      <c r="H3001" s="261" t="s">
        <v>3237</v>
      </c>
      <c r="I3001" s="261">
        <f t="shared" si="98"/>
        <v>16.21</v>
      </c>
      <c r="J3001" s="261" t="s">
        <v>3368</v>
      </c>
      <c r="K3001" s="261">
        <f t="shared" si="97"/>
        <v>97.26</v>
      </c>
      <c r="L3001" s="261"/>
      <c r="M3001" s="261"/>
    </row>
    <row r="3002" spans="5:13">
      <c r="E3002" s="261"/>
      <c r="F3002" s="261">
        <v>6</v>
      </c>
      <c r="G3002" s="261" t="s">
        <v>1389</v>
      </c>
      <c r="H3002" s="261" t="s">
        <v>2618</v>
      </c>
      <c r="I3002" s="261">
        <f t="shared" si="98"/>
        <v>13.8</v>
      </c>
      <c r="J3002" s="261" t="s">
        <v>1389</v>
      </c>
      <c r="K3002" s="261">
        <f t="shared" si="97"/>
        <v>82.8</v>
      </c>
      <c r="L3002" s="261"/>
      <c r="M3002" s="261"/>
    </row>
    <row r="3003" spans="5:13">
      <c r="E3003" s="261"/>
      <c r="F3003" s="261">
        <v>6</v>
      </c>
      <c r="G3003" s="261" t="s">
        <v>1389</v>
      </c>
      <c r="H3003" s="261" t="s">
        <v>2620</v>
      </c>
      <c r="I3003" s="261">
        <f t="shared" si="98"/>
        <v>3.6</v>
      </c>
      <c r="J3003" s="261" t="s">
        <v>1389</v>
      </c>
      <c r="K3003" s="261">
        <f t="shared" si="97"/>
        <v>21.6</v>
      </c>
      <c r="L3003" s="261"/>
      <c r="M3003" s="261"/>
    </row>
    <row r="3004" spans="5:13">
      <c r="E3004" s="261"/>
      <c r="F3004" s="261">
        <v>1.25</v>
      </c>
      <c r="G3004" s="261" t="s">
        <v>2622</v>
      </c>
      <c r="H3004" s="261" t="s">
        <v>387</v>
      </c>
      <c r="I3004" s="261">
        <f t="shared" si="98"/>
        <v>302</v>
      </c>
      <c r="J3004" s="261" t="s">
        <v>2622</v>
      </c>
      <c r="K3004" s="261">
        <f t="shared" si="97"/>
        <v>377.5</v>
      </c>
      <c r="L3004" s="261"/>
      <c r="M3004" s="261"/>
    </row>
    <row r="3005" spans="5:13">
      <c r="E3005" s="261"/>
      <c r="F3005" s="261">
        <v>6</v>
      </c>
      <c r="G3005" s="261" t="s">
        <v>1389</v>
      </c>
      <c r="H3005" s="272" t="s">
        <v>3841</v>
      </c>
      <c r="I3005" s="266">
        <f t="shared" si="98"/>
        <v>58</v>
      </c>
      <c r="J3005" s="261" t="s">
        <v>1389</v>
      </c>
      <c r="K3005" s="261">
        <f t="shared" si="97"/>
        <v>348</v>
      </c>
      <c r="L3005" s="261"/>
      <c r="M3005" s="261"/>
    </row>
    <row r="3006" spans="5:13">
      <c r="E3006" s="261"/>
      <c r="F3006" s="261">
        <v>0.09</v>
      </c>
      <c r="G3006" s="261" t="s">
        <v>2273</v>
      </c>
      <c r="H3006" s="261" t="s">
        <v>2625</v>
      </c>
      <c r="I3006" s="261">
        <f t="shared" si="98"/>
        <v>661</v>
      </c>
      <c r="J3006" s="261" t="s">
        <v>2273</v>
      </c>
      <c r="K3006" s="261">
        <f t="shared" si="97"/>
        <v>59.49</v>
      </c>
      <c r="L3006" s="261"/>
      <c r="M3006" s="261"/>
    </row>
    <row r="3007" spans="5:13" ht="31.5">
      <c r="E3007" s="261"/>
      <c r="F3007" s="261">
        <v>45</v>
      </c>
      <c r="G3007" s="261"/>
      <c r="H3007" s="268" t="s">
        <v>2628</v>
      </c>
      <c r="I3007" s="261">
        <f t="shared" si="98"/>
        <v>16.55</v>
      </c>
      <c r="J3007" s="261" t="s">
        <v>3280</v>
      </c>
      <c r="K3007" s="261">
        <f t="shared" si="97"/>
        <v>744.75</v>
      </c>
      <c r="L3007" s="261"/>
      <c r="M3007" s="261"/>
    </row>
    <row r="3008" spans="5:13">
      <c r="E3008" s="261"/>
      <c r="F3008" s="261"/>
      <c r="G3008" s="261"/>
      <c r="H3008" s="261" t="s">
        <v>911</v>
      </c>
      <c r="I3008" s="261"/>
      <c r="J3008" s="261" t="s">
        <v>654</v>
      </c>
      <c r="K3008" s="261">
        <f>K2857</f>
        <v>12075</v>
      </c>
      <c r="L3008" s="261"/>
      <c r="M3008" s="261"/>
    </row>
    <row r="3009" spans="5:14">
      <c r="E3009" s="261"/>
      <c r="F3009" s="261"/>
      <c r="G3009" s="261"/>
      <c r="H3009" s="261" t="s">
        <v>2261</v>
      </c>
      <c r="I3009" s="261"/>
      <c r="J3009" s="261" t="s">
        <v>654</v>
      </c>
      <c r="K3009" s="261">
        <v>49.34</v>
      </c>
      <c r="L3009" s="261"/>
      <c r="M3009" s="261"/>
    </row>
    <row r="3010" spans="5:14" ht="30" customHeight="1">
      <c r="E3010" s="261"/>
      <c r="F3010" s="261"/>
      <c r="G3010" s="261"/>
      <c r="H3010" s="269" t="s">
        <v>3288</v>
      </c>
      <c r="I3010" s="261"/>
      <c r="J3010" s="261"/>
      <c r="K3010" s="270">
        <f>SUM(K2995:K3009)</f>
        <v>16359</v>
      </c>
      <c r="L3010" s="261"/>
      <c r="M3010" s="261"/>
    </row>
    <row r="3011" spans="5:14" ht="30" customHeight="1">
      <c r="E3011" s="261"/>
      <c r="F3011" s="261"/>
      <c r="G3011" s="261"/>
      <c r="H3011" s="271" t="s">
        <v>3285</v>
      </c>
      <c r="I3011" s="261"/>
      <c r="J3011" s="261"/>
      <c r="K3011" s="272">
        <f>K3010/6</f>
        <v>2726.5</v>
      </c>
      <c r="L3011" s="261">
        <f>2623*6</f>
        <v>15738</v>
      </c>
      <c r="M3011" s="261"/>
    </row>
    <row r="3012" spans="5:14">
      <c r="E3012" s="261"/>
      <c r="F3012" s="261"/>
      <c r="G3012" s="261"/>
      <c r="H3012" s="261"/>
      <c r="I3012" s="261"/>
      <c r="J3012" s="261"/>
      <c r="K3012" s="261"/>
      <c r="L3012" s="261">
        <f>L3011-K3010</f>
        <v>-621</v>
      </c>
      <c r="M3012" s="261"/>
    </row>
    <row r="3013" spans="5:14" ht="30" customHeight="1">
      <c r="E3013" s="261"/>
      <c r="F3013" s="261"/>
      <c r="G3013" s="261"/>
      <c r="H3013" s="272" t="s">
        <v>2418</v>
      </c>
      <c r="I3013" s="261"/>
      <c r="J3013" s="261"/>
      <c r="K3013" s="261"/>
      <c r="L3013" s="261"/>
      <c r="M3013" s="261"/>
    </row>
    <row r="3014" spans="5:14" ht="47.25">
      <c r="E3014" s="261"/>
      <c r="F3014" s="261"/>
      <c r="G3014" s="261"/>
      <c r="H3014" s="258" t="s">
        <v>2419</v>
      </c>
      <c r="I3014" s="261"/>
      <c r="J3014" s="261"/>
      <c r="K3014" s="261"/>
      <c r="L3014" s="261"/>
      <c r="M3014" s="261"/>
    </row>
    <row r="3015" spans="5:14">
      <c r="E3015" s="261"/>
      <c r="F3015" s="261"/>
      <c r="G3015" s="261"/>
      <c r="H3015" s="261"/>
      <c r="I3015" s="261"/>
      <c r="J3015" s="261"/>
      <c r="K3015" s="261"/>
      <c r="L3015" s="261"/>
      <c r="M3015" s="261"/>
    </row>
    <row r="3016" spans="5:14" ht="194.25" customHeight="1">
      <c r="E3016" s="261"/>
      <c r="F3016" s="261"/>
      <c r="G3016" s="261"/>
      <c r="H3016" s="260" t="s">
        <v>2294</v>
      </c>
      <c r="I3016" s="261"/>
      <c r="J3016" s="261"/>
      <c r="K3016" s="261"/>
      <c r="L3016" s="261"/>
      <c r="M3016" s="261"/>
    </row>
    <row r="3017" spans="5:14" hidden="1">
      <c r="E3017" s="261"/>
      <c r="F3017" s="261"/>
      <c r="G3017" s="261"/>
      <c r="H3017" s="261"/>
      <c r="I3017" s="261"/>
      <c r="J3017" s="261"/>
      <c r="K3017" s="261"/>
      <c r="L3017" s="261"/>
      <c r="M3017" s="261"/>
    </row>
    <row r="3018" spans="5:14" ht="15.75" customHeight="1">
      <c r="E3018" s="261"/>
      <c r="F3018" s="261"/>
      <c r="G3018" s="261"/>
      <c r="H3018" s="261" t="s">
        <v>2295</v>
      </c>
      <c r="I3018" s="261"/>
      <c r="J3018" s="261"/>
      <c r="K3018" s="261">
        <f>K3010-K3009</f>
        <v>16309.66</v>
      </c>
      <c r="L3018" s="261">
        <f>K3010-K3009</f>
        <v>16309.66</v>
      </c>
      <c r="M3018" s="261"/>
    </row>
    <row r="3019" spans="5:14" ht="19.5" customHeight="1">
      <c r="E3019" s="261"/>
      <c r="F3019" s="261"/>
      <c r="G3019" s="261"/>
      <c r="H3019" s="261" t="s">
        <v>2823</v>
      </c>
      <c r="I3019" s="261"/>
      <c r="J3019" s="261"/>
      <c r="K3019" s="261">
        <f>K3002</f>
        <v>82.8</v>
      </c>
      <c r="L3019" s="261"/>
      <c r="M3019" s="261"/>
    </row>
    <row r="3020" spans="5:14" ht="21.75" customHeight="1">
      <c r="E3020" s="261"/>
      <c r="F3020" s="261"/>
      <c r="G3020" s="261"/>
      <c r="H3020" s="261" t="str">
        <f>Elec.Data!H189</f>
        <v>Add cost of Bakelite battern type holders 6 nos @ 16.65/Each9 (New item 25-p-116)</v>
      </c>
      <c r="I3020" s="261"/>
      <c r="J3020" s="261"/>
      <c r="K3020" s="264">
        <f>Elec.Data!K189</f>
        <v>99.9</v>
      </c>
      <c r="L3020" s="261"/>
      <c r="M3020" s="261"/>
    </row>
    <row r="3021" spans="5:14" ht="16.5" customHeight="1">
      <c r="E3021" s="261"/>
      <c r="F3021" s="261"/>
      <c r="G3021" s="261"/>
      <c r="H3021" s="261" t="s">
        <v>2261</v>
      </c>
      <c r="I3021" s="261"/>
      <c r="J3021" s="261"/>
      <c r="K3021" s="261">
        <v>44.24</v>
      </c>
      <c r="L3021" s="261"/>
      <c r="M3021" s="261"/>
    </row>
    <row r="3022" spans="5:14" ht="15.75" customHeight="1">
      <c r="E3022" s="261"/>
      <c r="F3022" s="261"/>
      <c r="G3022" s="261"/>
      <c r="H3022" s="269" t="s">
        <v>2824</v>
      </c>
      <c r="I3022" s="261"/>
      <c r="J3022" s="261"/>
      <c r="K3022" s="270">
        <f>(K3018-K3019)+K3020+K3021</f>
        <v>16371</v>
      </c>
      <c r="L3022" s="261"/>
      <c r="M3022" s="261"/>
    </row>
    <row r="3023" spans="5:14" ht="24" customHeight="1">
      <c r="E3023" s="261"/>
      <c r="F3023" s="261"/>
      <c r="G3023" s="261"/>
      <c r="H3023" s="271" t="s">
        <v>2825</v>
      </c>
      <c r="I3023" s="261"/>
      <c r="J3023" s="261"/>
      <c r="K3023" s="272">
        <f>K3022/6</f>
        <v>2728.5</v>
      </c>
      <c r="L3023" s="261"/>
      <c r="M3023" s="261">
        <f>2625*6</f>
        <v>15750</v>
      </c>
      <c r="N3023" s="252">
        <f>M3023-K3022</f>
        <v>-621</v>
      </c>
    </row>
    <row r="3024" spans="5:14">
      <c r="E3024" s="261"/>
      <c r="F3024" s="261"/>
      <c r="G3024" s="261"/>
      <c r="H3024" s="261"/>
      <c r="I3024" s="261"/>
      <c r="J3024" s="261"/>
      <c r="K3024" s="261"/>
      <c r="L3024" s="261"/>
      <c r="M3024" s="261">
        <f>M3023-K3022</f>
        <v>-621</v>
      </c>
    </row>
    <row r="3025" spans="5:13">
      <c r="E3025" s="261"/>
      <c r="F3025" s="261"/>
      <c r="G3025" s="261"/>
      <c r="H3025" s="272" t="s">
        <v>2826</v>
      </c>
      <c r="I3025" s="261"/>
      <c r="J3025" s="261"/>
      <c r="K3025" s="261"/>
      <c r="L3025" s="261"/>
      <c r="M3025" s="261"/>
    </row>
    <row r="3026" spans="5:13" ht="30.75" customHeight="1">
      <c r="E3026" s="261"/>
      <c r="F3026" s="261"/>
      <c r="G3026" s="261"/>
      <c r="H3026" s="258" t="s">
        <v>2867</v>
      </c>
      <c r="I3026" s="261"/>
      <c r="J3026" s="261"/>
      <c r="K3026" s="261"/>
      <c r="L3026" s="261"/>
      <c r="M3026" s="261"/>
    </row>
    <row r="3027" spans="5:13" ht="173.25">
      <c r="E3027" s="261"/>
      <c r="F3027" s="261"/>
      <c r="G3027" s="261"/>
      <c r="H3027" s="260" t="s">
        <v>2893</v>
      </c>
      <c r="I3027" s="261"/>
      <c r="J3027" s="261"/>
      <c r="K3027" s="261"/>
      <c r="L3027" s="261"/>
      <c r="M3027" s="261"/>
    </row>
    <row r="3028" spans="5:13" ht="30.75" customHeight="1">
      <c r="E3028" s="261"/>
      <c r="F3028" s="261">
        <v>90</v>
      </c>
      <c r="G3028" s="261" t="s">
        <v>823</v>
      </c>
      <c r="H3028" s="268" t="s">
        <v>2528</v>
      </c>
      <c r="I3028" s="261">
        <f t="shared" ref="I3028:I3040" si="99">I2905</f>
        <v>16.55</v>
      </c>
      <c r="J3028" s="261" t="s">
        <v>2529</v>
      </c>
      <c r="K3028" s="261">
        <f t="shared" ref="K3028:K3040" si="100">F3028*I3028</f>
        <v>1489.5</v>
      </c>
      <c r="L3028" s="261"/>
      <c r="M3028" s="261"/>
    </row>
    <row r="3029" spans="5:13" ht="27.75" customHeight="1">
      <c r="E3029" s="261"/>
      <c r="F3029" s="261">
        <v>45</v>
      </c>
      <c r="G3029" s="261" t="s">
        <v>823</v>
      </c>
      <c r="H3029" s="260" t="s">
        <v>2354</v>
      </c>
      <c r="I3029" s="261">
        <f t="shared" si="99"/>
        <v>20</v>
      </c>
      <c r="J3029" s="261" t="s">
        <v>823</v>
      </c>
      <c r="K3029" s="261">
        <f t="shared" si="100"/>
        <v>900</v>
      </c>
      <c r="L3029" s="261"/>
      <c r="M3029" s="261"/>
    </row>
    <row r="3030" spans="5:13">
      <c r="E3030" s="261"/>
      <c r="F3030" s="261">
        <v>12</v>
      </c>
      <c r="G3030" s="261" t="s">
        <v>1389</v>
      </c>
      <c r="H3030" s="261" t="s">
        <v>2356</v>
      </c>
      <c r="I3030" s="261">
        <f t="shared" si="99"/>
        <v>3.15</v>
      </c>
      <c r="J3030" s="261" t="s">
        <v>1389</v>
      </c>
      <c r="K3030" s="261">
        <f t="shared" si="100"/>
        <v>37.799999999999997</v>
      </c>
      <c r="L3030" s="261"/>
      <c r="M3030" s="261"/>
    </row>
    <row r="3031" spans="5:13">
      <c r="E3031" s="261"/>
      <c r="F3031" s="261">
        <v>6</v>
      </c>
      <c r="G3031" s="261" t="s">
        <v>1389</v>
      </c>
      <c r="H3031" s="261" t="s">
        <v>3365</v>
      </c>
      <c r="I3031" s="261">
        <f t="shared" si="99"/>
        <v>1.34</v>
      </c>
      <c r="J3031" s="261" t="s">
        <v>1389</v>
      </c>
      <c r="K3031" s="261">
        <f t="shared" si="100"/>
        <v>8.0399999999999991</v>
      </c>
      <c r="L3031" s="261"/>
      <c r="M3031" s="261"/>
    </row>
    <row r="3032" spans="5:13">
      <c r="E3032" s="261"/>
      <c r="F3032" s="261">
        <v>6</v>
      </c>
      <c r="G3032" s="261" t="s">
        <v>1389</v>
      </c>
      <c r="H3032" s="261" t="s">
        <v>3444</v>
      </c>
      <c r="I3032" s="261">
        <f t="shared" si="99"/>
        <v>3.6</v>
      </c>
      <c r="J3032" s="261" t="s">
        <v>1389</v>
      </c>
      <c r="K3032" s="261">
        <f t="shared" si="100"/>
        <v>21.6</v>
      </c>
      <c r="L3032" s="261"/>
      <c r="M3032" s="261"/>
    </row>
    <row r="3033" spans="5:13">
      <c r="E3033" s="261"/>
      <c r="F3033" s="261">
        <v>6</v>
      </c>
      <c r="G3033" s="261" t="s">
        <v>1389</v>
      </c>
      <c r="H3033" s="261" t="s">
        <v>2618</v>
      </c>
      <c r="I3033" s="261">
        <f t="shared" si="99"/>
        <v>13.8</v>
      </c>
      <c r="J3033" s="261" t="s">
        <v>1389</v>
      </c>
      <c r="K3033" s="261">
        <f t="shared" si="100"/>
        <v>82.8</v>
      </c>
      <c r="L3033" s="261"/>
      <c r="M3033" s="261"/>
    </row>
    <row r="3034" spans="5:13">
      <c r="E3034" s="261"/>
      <c r="F3034" s="261">
        <v>6</v>
      </c>
      <c r="G3034" s="261" t="s">
        <v>1389</v>
      </c>
      <c r="H3034" s="261" t="s">
        <v>3237</v>
      </c>
      <c r="I3034" s="261">
        <f t="shared" si="99"/>
        <v>16.21</v>
      </c>
      <c r="J3034" s="261" t="s">
        <v>3368</v>
      </c>
      <c r="K3034" s="261">
        <f>F3034*I3034</f>
        <v>97.26</v>
      </c>
      <c r="L3034" s="261"/>
      <c r="M3034" s="261"/>
    </row>
    <row r="3035" spans="5:13">
      <c r="E3035" s="261"/>
      <c r="F3035" s="261">
        <v>6</v>
      </c>
      <c r="G3035" s="261" t="s">
        <v>1389</v>
      </c>
      <c r="H3035" s="272" t="s">
        <v>3838</v>
      </c>
      <c r="I3035" s="261">
        <f t="shared" si="99"/>
        <v>85</v>
      </c>
      <c r="J3035" s="261" t="s">
        <v>1389</v>
      </c>
      <c r="K3035" s="261">
        <f t="shared" si="100"/>
        <v>510</v>
      </c>
      <c r="L3035" s="261"/>
      <c r="M3035" s="261"/>
    </row>
    <row r="3036" spans="5:13">
      <c r="E3036" s="261"/>
      <c r="F3036" s="261">
        <v>0.36</v>
      </c>
      <c r="G3036" s="261" t="s">
        <v>2273</v>
      </c>
      <c r="H3036" s="261" t="s">
        <v>2625</v>
      </c>
      <c r="I3036" s="261">
        <f t="shared" si="99"/>
        <v>661</v>
      </c>
      <c r="J3036" s="261" t="s">
        <v>2273</v>
      </c>
      <c r="K3036" s="261">
        <f t="shared" si="100"/>
        <v>237.96</v>
      </c>
      <c r="L3036" s="261"/>
      <c r="M3036" s="261"/>
    </row>
    <row r="3037" spans="5:13">
      <c r="E3037" s="261"/>
      <c r="F3037" s="261">
        <v>1</v>
      </c>
      <c r="G3037" s="261" t="s">
        <v>1389</v>
      </c>
      <c r="H3037" s="272" t="s">
        <v>3841</v>
      </c>
      <c r="I3037" s="261">
        <f t="shared" si="99"/>
        <v>58</v>
      </c>
      <c r="J3037" s="261" t="s">
        <v>1389</v>
      </c>
      <c r="K3037" s="261">
        <f t="shared" si="100"/>
        <v>58</v>
      </c>
      <c r="L3037" s="261"/>
      <c r="M3037" s="261"/>
    </row>
    <row r="3038" spans="5:13">
      <c r="E3038" s="261"/>
      <c r="F3038" s="265">
        <v>1.4999999999999999E-2</v>
      </c>
      <c r="G3038" s="261" t="s">
        <v>2273</v>
      </c>
      <c r="H3038" s="261" t="s">
        <v>3871</v>
      </c>
      <c r="I3038" s="261">
        <f t="shared" si="99"/>
        <v>661</v>
      </c>
      <c r="J3038" s="261" t="s">
        <v>2273</v>
      </c>
      <c r="K3038" s="261">
        <f t="shared" si="100"/>
        <v>9.92</v>
      </c>
      <c r="L3038" s="261"/>
      <c r="M3038" s="261"/>
    </row>
    <row r="3039" spans="5:13">
      <c r="E3039" s="261"/>
      <c r="F3039" s="261">
        <v>1.25</v>
      </c>
      <c r="G3039" s="261" t="s">
        <v>2622</v>
      </c>
      <c r="H3039" s="261" t="s">
        <v>387</v>
      </c>
      <c r="I3039" s="261">
        <f t="shared" si="99"/>
        <v>302</v>
      </c>
      <c r="J3039" s="261" t="s">
        <v>2622</v>
      </c>
      <c r="K3039" s="261">
        <f t="shared" si="100"/>
        <v>377.5</v>
      </c>
      <c r="L3039" s="261"/>
      <c r="M3039" s="261"/>
    </row>
    <row r="3040" spans="5:13" ht="31.5">
      <c r="E3040" s="261"/>
      <c r="F3040" s="261">
        <v>45</v>
      </c>
      <c r="G3040" s="261" t="s">
        <v>823</v>
      </c>
      <c r="H3040" s="262" t="s">
        <v>3876</v>
      </c>
      <c r="I3040" s="261">
        <f t="shared" si="99"/>
        <v>16.55</v>
      </c>
      <c r="J3040" s="261" t="s">
        <v>2529</v>
      </c>
      <c r="K3040" s="261">
        <f t="shared" si="100"/>
        <v>744.75</v>
      </c>
      <c r="L3040" s="261"/>
      <c r="M3040" s="261"/>
    </row>
    <row r="3041" spans="5:13">
      <c r="E3041" s="261"/>
      <c r="F3041" s="261"/>
      <c r="G3041" s="261"/>
      <c r="H3041" s="261" t="s">
        <v>911</v>
      </c>
      <c r="I3041" s="261"/>
      <c r="J3041" s="261"/>
      <c r="K3041" s="261">
        <f>K2918</f>
        <v>12075</v>
      </c>
      <c r="L3041" s="261"/>
      <c r="M3041" s="261"/>
    </row>
    <row r="3042" spans="5:13">
      <c r="E3042" s="261"/>
      <c r="F3042" s="261"/>
      <c r="G3042" s="261"/>
      <c r="H3042" s="261" t="s">
        <v>2261</v>
      </c>
      <c r="I3042" s="261"/>
      <c r="J3042" s="261"/>
      <c r="K3042" s="261">
        <v>38.75</v>
      </c>
      <c r="L3042" s="261"/>
      <c r="M3042" s="261"/>
    </row>
    <row r="3043" spans="5:13">
      <c r="E3043" s="261"/>
      <c r="F3043" s="261"/>
      <c r="G3043" s="261"/>
      <c r="H3043" s="269" t="s">
        <v>2824</v>
      </c>
      <c r="I3043" s="261"/>
      <c r="J3043" s="261"/>
      <c r="K3043" s="270">
        <f>SUM(K3028:K3042)</f>
        <v>16688.88</v>
      </c>
      <c r="L3043" s="261"/>
      <c r="M3043" s="261"/>
    </row>
    <row r="3044" spans="5:13">
      <c r="E3044" s="261"/>
      <c r="F3044" s="261"/>
      <c r="G3044" s="261"/>
      <c r="H3044" s="271" t="s">
        <v>3137</v>
      </c>
      <c r="I3044" s="261"/>
      <c r="J3044" s="261"/>
      <c r="K3044" s="272">
        <f>K3043/6</f>
        <v>2781.48</v>
      </c>
      <c r="L3044" s="261">
        <f>1774*6</f>
        <v>10644</v>
      </c>
      <c r="M3044" s="261"/>
    </row>
    <row r="3045" spans="5:13" ht="21.75" customHeight="1">
      <c r="E3045" s="261"/>
      <c r="F3045" s="261"/>
      <c r="G3045" s="261"/>
      <c r="H3045" s="261"/>
      <c r="I3045" s="261"/>
      <c r="J3045" s="261"/>
      <c r="K3045" s="261"/>
      <c r="L3045" s="261">
        <f>L3044-K3043</f>
        <v>-6044.88</v>
      </c>
      <c r="M3045" s="261"/>
    </row>
    <row r="3046" spans="5:13">
      <c r="E3046" s="261"/>
      <c r="F3046" s="261"/>
      <c r="G3046" s="261"/>
      <c r="H3046" s="272" t="s">
        <v>2894</v>
      </c>
      <c r="I3046" s="261"/>
      <c r="J3046" s="261"/>
      <c r="K3046" s="261"/>
      <c r="L3046" s="261"/>
      <c r="M3046" s="261"/>
    </row>
    <row r="3047" spans="5:13" ht="34.5" customHeight="1">
      <c r="E3047" s="261"/>
      <c r="F3047" s="261"/>
      <c r="G3047" s="261"/>
      <c r="H3047" s="258" t="s">
        <v>2380</v>
      </c>
      <c r="I3047" s="261"/>
      <c r="J3047" s="261"/>
      <c r="K3047" s="261"/>
      <c r="L3047" s="261"/>
      <c r="M3047" s="261"/>
    </row>
    <row r="3048" spans="5:13" ht="192.75" customHeight="1">
      <c r="E3048" s="261"/>
      <c r="F3048" s="261"/>
      <c r="G3048" s="261"/>
      <c r="H3048" s="260" t="s">
        <v>2928</v>
      </c>
      <c r="I3048" s="261"/>
      <c r="J3048" s="261"/>
      <c r="K3048" s="261"/>
      <c r="L3048" s="261"/>
      <c r="M3048" s="261"/>
    </row>
    <row r="3049" spans="5:13" ht="30" customHeight="1">
      <c r="E3049" s="261"/>
      <c r="F3049" s="261">
        <v>90</v>
      </c>
      <c r="G3049" s="261" t="s">
        <v>823</v>
      </c>
      <c r="H3049" s="268" t="s">
        <v>2528</v>
      </c>
      <c r="I3049" s="261">
        <f t="shared" ref="I3049:I3059" si="101">I2931</f>
        <v>16.55</v>
      </c>
      <c r="J3049" s="261" t="s">
        <v>2529</v>
      </c>
      <c r="K3049" s="261">
        <f t="shared" ref="K3049:K3059" si="102">F3049*I3049</f>
        <v>1489.5</v>
      </c>
      <c r="L3049" s="261"/>
      <c r="M3049" s="261"/>
    </row>
    <row r="3050" spans="5:13" ht="27.75" customHeight="1">
      <c r="E3050" s="261"/>
      <c r="F3050" s="261">
        <v>30</v>
      </c>
      <c r="G3050" s="261" t="s">
        <v>823</v>
      </c>
      <c r="H3050" s="260" t="s">
        <v>2354</v>
      </c>
      <c r="I3050" s="261">
        <f t="shared" si="101"/>
        <v>20</v>
      </c>
      <c r="J3050" s="261" t="s">
        <v>823</v>
      </c>
      <c r="K3050" s="261">
        <f t="shared" si="102"/>
        <v>600</v>
      </c>
      <c r="L3050" s="261"/>
      <c r="M3050" s="261"/>
    </row>
    <row r="3051" spans="5:13">
      <c r="E3051" s="261"/>
      <c r="F3051" s="261">
        <v>6</v>
      </c>
      <c r="G3051" s="261" t="s">
        <v>1389</v>
      </c>
      <c r="H3051" s="261" t="s">
        <v>2356</v>
      </c>
      <c r="I3051" s="261">
        <f t="shared" si="101"/>
        <v>3.15</v>
      </c>
      <c r="J3051" s="261" t="s">
        <v>1389</v>
      </c>
      <c r="K3051" s="261">
        <f t="shared" si="102"/>
        <v>18.899999999999999</v>
      </c>
      <c r="L3051" s="261"/>
      <c r="M3051" s="261"/>
    </row>
    <row r="3052" spans="5:13">
      <c r="E3052" s="261"/>
      <c r="F3052" s="261">
        <v>3</v>
      </c>
      <c r="G3052" s="261" t="s">
        <v>1389</v>
      </c>
      <c r="H3052" s="261" t="s">
        <v>3365</v>
      </c>
      <c r="I3052" s="261">
        <f t="shared" si="101"/>
        <v>1.34</v>
      </c>
      <c r="J3052" s="261" t="s">
        <v>1389</v>
      </c>
      <c r="K3052" s="261">
        <f t="shared" si="102"/>
        <v>4.0199999999999996</v>
      </c>
      <c r="L3052" s="261"/>
      <c r="M3052" s="261"/>
    </row>
    <row r="3053" spans="5:13">
      <c r="E3053" s="261"/>
      <c r="F3053" s="261">
        <v>6</v>
      </c>
      <c r="G3053" s="261" t="s">
        <v>1389</v>
      </c>
      <c r="H3053" s="261" t="s">
        <v>2433</v>
      </c>
      <c r="I3053" s="261">
        <f t="shared" si="101"/>
        <v>19.75</v>
      </c>
      <c r="J3053" s="261" t="s">
        <v>1389</v>
      </c>
      <c r="K3053" s="261">
        <f t="shared" si="102"/>
        <v>118.5</v>
      </c>
      <c r="L3053" s="261"/>
      <c r="M3053" s="261"/>
    </row>
    <row r="3054" spans="5:13">
      <c r="E3054" s="261"/>
      <c r="F3054" s="261">
        <v>3</v>
      </c>
      <c r="G3054" s="261" t="s">
        <v>1389</v>
      </c>
      <c r="H3054" s="261" t="s">
        <v>2618</v>
      </c>
      <c r="I3054" s="261">
        <f t="shared" si="101"/>
        <v>13.8</v>
      </c>
      <c r="J3054" s="261" t="s">
        <v>1389</v>
      </c>
      <c r="K3054" s="261">
        <f t="shared" si="102"/>
        <v>41.4</v>
      </c>
      <c r="L3054" s="261"/>
      <c r="M3054" s="261"/>
    </row>
    <row r="3055" spans="5:13">
      <c r="E3055" s="261"/>
      <c r="F3055" s="261">
        <v>3</v>
      </c>
      <c r="G3055" s="261" t="s">
        <v>1389</v>
      </c>
      <c r="H3055" s="261" t="s">
        <v>2620</v>
      </c>
      <c r="I3055" s="261">
        <f t="shared" si="101"/>
        <v>3.6</v>
      </c>
      <c r="J3055" s="261" t="s">
        <v>1389</v>
      </c>
      <c r="K3055" s="261">
        <f t="shared" si="102"/>
        <v>10.8</v>
      </c>
      <c r="L3055" s="261"/>
      <c r="M3055" s="261"/>
    </row>
    <row r="3056" spans="5:13">
      <c r="E3056" s="261"/>
      <c r="F3056" s="261">
        <v>3</v>
      </c>
      <c r="G3056" s="261" t="s">
        <v>1389</v>
      </c>
      <c r="H3056" s="272" t="s">
        <v>3841</v>
      </c>
      <c r="I3056" s="261">
        <f t="shared" si="101"/>
        <v>58</v>
      </c>
      <c r="J3056" s="261" t="s">
        <v>1389</v>
      </c>
      <c r="K3056" s="261">
        <f t="shared" si="102"/>
        <v>174</v>
      </c>
      <c r="L3056" s="261"/>
      <c r="M3056" s="261"/>
    </row>
    <row r="3057" spans="5:18">
      <c r="E3057" s="261"/>
      <c r="F3057" s="265">
        <v>5.3999999999999999E-2</v>
      </c>
      <c r="G3057" s="261" t="s">
        <v>2273</v>
      </c>
      <c r="H3057" s="261" t="s">
        <v>3871</v>
      </c>
      <c r="I3057" s="261">
        <f t="shared" si="101"/>
        <v>661</v>
      </c>
      <c r="J3057" s="261" t="s">
        <v>2273</v>
      </c>
      <c r="K3057" s="261">
        <f t="shared" si="102"/>
        <v>35.69</v>
      </c>
      <c r="L3057" s="261"/>
      <c r="M3057" s="261"/>
    </row>
    <row r="3058" spans="5:18">
      <c r="E3058" s="261"/>
      <c r="F3058" s="261">
        <v>1.25</v>
      </c>
      <c r="G3058" s="261" t="s">
        <v>2622</v>
      </c>
      <c r="H3058" s="261" t="s">
        <v>387</v>
      </c>
      <c r="I3058" s="261">
        <f t="shared" si="101"/>
        <v>302</v>
      </c>
      <c r="J3058" s="261" t="s">
        <v>2622</v>
      </c>
      <c r="K3058" s="261">
        <f t="shared" si="102"/>
        <v>377.5</v>
      </c>
      <c r="L3058" s="261"/>
      <c r="M3058" s="261"/>
    </row>
    <row r="3059" spans="5:18" ht="35.25" customHeight="1">
      <c r="E3059" s="261"/>
      <c r="F3059" s="261">
        <v>30</v>
      </c>
      <c r="G3059" s="261" t="s">
        <v>823</v>
      </c>
      <c r="H3059" s="262" t="s">
        <v>3876</v>
      </c>
      <c r="I3059" s="261">
        <f t="shared" si="101"/>
        <v>16.55</v>
      </c>
      <c r="J3059" s="261" t="s">
        <v>2529</v>
      </c>
      <c r="K3059" s="261">
        <f t="shared" si="102"/>
        <v>496.5</v>
      </c>
      <c r="L3059" s="261"/>
      <c r="M3059" s="261"/>
    </row>
    <row r="3060" spans="5:18">
      <c r="E3060" s="261"/>
      <c r="F3060" s="261"/>
      <c r="G3060" s="261"/>
      <c r="H3060" s="261" t="s">
        <v>911</v>
      </c>
      <c r="I3060" s="261"/>
      <c r="J3060" s="261"/>
      <c r="K3060" s="261">
        <f>K2942</f>
        <v>12075</v>
      </c>
      <c r="L3060" s="261"/>
      <c r="M3060" s="261"/>
    </row>
    <row r="3061" spans="5:18">
      <c r="E3061" s="261"/>
      <c r="F3061" s="261"/>
      <c r="G3061" s="261"/>
      <c r="H3061" s="261" t="s">
        <v>2261</v>
      </c>
      <c r="I3061" s="261"/>
      <c r="J3061" s="261"/>
      <c r="K3061" s="261">
        <v>20.97</v>
      </c>
      <c r="L3061" s="261"/>
      <c r="M3061" s="261"/>
    </row>
    <row r="3062" spans="5:18">
      <c r="E3062" s="261"/>
      <c r="F3062" s="261"/>
      <c r="G3062" s="261"/>
      <c r="H3062" s="269" t="s">
        <v>2929</v>
      </c>
      <c r="I3062" s="261"/>
      <c r="J3062" s="261"/>
      <c r="K3062" s="270">
        <f>SUM(K3049:K3061)</f>
        <v>15462.78</v>
      </c>
      <c r="L3062" s="261"/>
      <c r="M3062" s="261"/>
    </row>
    <row r="3063" spans="5:18">
      <c r="E3063" s="261"/>
      <c r="F3063" s="261"/>
      <c r="G3063" s="261"/>
      <c r="H3063" s="271" t="s">
        <v>3137</v>
      </c>
      <c r="I3063" s="261"/>
      <c r="J3063" s="261"/>
      <c r="K3063" s="272">
        <f>K3062/3</f>
        <v>5154.26</v>
      </c>
      <c r="L3063" s="261">
        <f>3196*3</f>
        <v>9588</v>
      </c>
      <c r="M3063" s="261"/>
    </row>
    <row r="3064" spans="5:18">
      <c r="E3064" s="261"/>
      <c r="F3064" s="261"/>
      <c r="G3064" s="261"/>
      <c r="H3064" s="261"/>
      <c r="I3064" s="261"/>
      <c r="J3064" s="261"/>
      <c r="K3064" s="261"/>
      <c r="L3064" s="261">
        <f>L3063-K3062</f>
        <v>-5874.78</v>
      </c>
      <c r="M3064" s="261"/>
    </row>
    <row r="3065" spans="5:18" ht="22.5" customHeight="1">
      <c r="E3065" s="261"/>
      <c r="F3065" s="261"/>
      <c r="G3065" s="261"/>
      <c r="H3065" s="280" t="s">
        <v>2930</v>
      </c>
      <c r="I3065" s="261"/>
      <c r="J3065" s="261"/>
      <c r="K3065" s="261"/>
      <c r="L3065" s="261"/>
      <c r="M3065" s="261"/>
    </row>
    <row r="3066" spans="5:18">
      <c r="E3066" s="261"/>
      <c r="F3066" s="261"/>
      <c r="G3066" s="261"/>
      <c r="H3066" s="261"/>
      <c r="I3066" s="261"/>
      <c r="J3066" s="261"/>
      <c r="K3066" s="261"/>
      <c r="L3066" s="261"/>
      <c r="M3066" s="261"/>
    </row>
    <row r="3067" spans="5:18" ht="24.75" customHeight="1">
      <c r="E3067" s="261"/>
      <c r="F3067" s="261"/>
      <c r="G3067" s="261"/>
      <c r="H3067" s="272" t="s">
        <v>2931</v>
      </c>
      <c r="I3067" s="261"/>
      <c r="J3067" s="261"/>
      <c r="K3067" s="261"/>
      <c r="L3067" s="261"/>
      <c r="M3067" s="261"/>
      <c r="N3067" s="261"/>
      <c r="O3067" s="272" t="s">
        <v>2935</v>
      </c>
      <c r="P3067" s="261"/>
      <c r="Q3067" s="261"/>
      <c r="R3067" s="261"/>
    </row>
    <row r="3068" spans="5:18" ht="23.25" customHeight="1">
      <c r="E3068" s="261"/>
      <c r="F3068" s="261"/>
      <c r="G3068" s="261"/>
      <c r="H3068" s="272" t="s">
        <v>2381</v>
      </c>
      <c r="I3068" s="261"/>
      <c r="J3068" s="261"/>
      <c r="K3068" s="261"/>
      <c r="L3068" s="261"/>
      <c r="M3068" s="261"/>
      <c r="N3068" s="261"/>
      <c r="O3068" s="272" t="s">
        <v>3616</v>
      </c>
      <c r="P3068" s="261"/>
      <c r="Q3068" s="261"/>
      <c r="R3068" s="261"/>
    </row>
    <row r="3069" spans="5:18">
      <c r="E3069" s="261"/>
      <c r="F3069" s="261"/>
      <c r="G3069" s="261"/>
      <c r="H3069" s="261"/>
      <c r="I3069" s="261"/>
      <c r="J3069" s="261"/>
      <c r="K3069" s="261"/>
      <c r="L3069" s="261"/>
      <c r="M3069" s="261"/>
      <c r="N3069" s="261"/>
      <c r="O3069" s="261"/>
      <c r="P3069" s="261"/>
      <c r="Q3069" s="261"/>
      <c r="R3069" s="261"/>
    </row>
    <row r="3070" spans="5:18" ht="114.75" customHeight="1">
      <c r="E3070" s="261"/>
      <c r="F3070" s="261"/>
      <c r="G3070" s="261"/>
      <c r="H3070" s="260" t="s">
        <v>2382</v>
      </c>
      <c r="I3070" s="261"/>
      <c r="J3070" s="261"/>
      <c r="K3070" s="261"/>
      <c r="L3070" s="261"/>
      <c r="M3070" s="261"/>
      <c r="N3070" s="261"/>
      <c r="O3070" s="260" t="s">
        <v>3162</v>
      </c>
      <c r="P3070" s="261"/>
      <c r="Q3070" s="261"/>
      <c r="R3070" s="261"/>
    </row>
    <row r="3071" spans="5:18" ht="31.5">
      <c r="E3071" s="261"/>
      <c r="F3071" s="261"/>
      <c r="G3071" s="261"/>
      <c r="H3071" s="261"/>
      <c r="I3071" s="261"/>
      <c r="J3071" s="261"/>
      <c r="K3071" s="261"/>
      <c r="L3071" s="261"/>
      <c r="M3071" s="261">
        <v>180</v>
      </c>
      <c r="N3071" s="261" t="s">
        <v>823</v>
      </c>
      <c r="O3071" s="268" t="s">
        <v>3788</v>
      </c>
      <c r="P3071" s="264">
        <v>53.75</v>
      </c>
      <c r="Q3071" s="261" t="s">
        <v>2529</v>
      </c>
      <c r="R3071" s="261">
        <f>M3071*P3071</f>
        <v>9675</v>
      </c>
    </row>
    <row r="3072" spans="5:18" ht="38.25" customHeight="1">
      <c r="E3072" s="261"/>
      <c r="F3072" s="261">
        <v>180</v>
      </c>
      <c r="G3072" s="261" t="s">
        <v>823</v>
      </c>
      <c r="H3072" s="262" t="s">
        <v>2528</v>
      </c>
      <c r="I3072" s="261">
        <f>I3049</f>
        <v>16.55</v>
      </c>
      <c r="J3072" s="261" t="s">
        <v>823</v>
      </c>
      <c r="K3072" s="261">
        <f>F3072*I3072</f>
        <v>2979</v>
      </c>
      <c r="L3072" s="261"/>
      <c r="M3072" s="261">
        <v>90</v>
      </c>
      <c r="N3072" s="261" t="s">
        <v>823</v>
      </c>
      <c r="O3072" s="260" t="s">
        <v>2354</v>
      </c>
      <c r="P3072" s="264">
        <f>I3099</f>
        <v>20</v>
      </c>
      <c r="Q3072" s="261" t="s">
        <v>823</v>
      </c>
      <c r="R3072" s="261">
        <f>M3072*P3072</f>
        <v>1800</v>
      </c>
    </row>
    <row r="3073" spans="5:18" ht="37.5" customHeight="1">
      <c r="E3073" s="261"/>
      <c r="F3073" s="261">
        <v>90</v>
      </c>
      <c r="G3073" s="261" t="s">
        <v>823</v>
      </c>
      <c r="H3073" s="260" t="s">
        <v>2354</v>
      </c>
      <c r="I3073" s="261">
        <f>I3050</f>
        <v>20</v>
      </c>
      <c r="J3073" s="261" t="s">
        <v>823</v>
      </c>
      <c r="K3073" s="261">
        <f>F3073*I3073</f>
        <v>1800</v>
      </c>
      <c r="L3073" s="261"/>
      <c r="M3073" s="261">
        <v>3</v>
      </c>
      <c r="N3073" s="261" t="s">
        <v>2622</v>
      </c>
      <c r="O3073" s="261" t="s">
        <v>387</v>
      </c>
      <c r="P3073" s="264">
        <f>I3100</f>
        <v>302</v>
      </c>
      <c r="Q3073" s="261" t="s">
        <v>2622</v>
      </c>
      <c r="R3073" s="261">
        <f>M3073*P3073</f>
        <v>906</v>
      </c>
    </row>
    <row r="3074" spans="5:18" ht="35.25" customHeight="1">
      <c r="E3074" s="261"/>
      <c r="F3074" s="261">
        <v>3</v>
      </c>
      <c r="G3074" s="261" t="s">
        <v>2622</v>
      </c>
      <c r="H3074" s="261" t="s">
        <v>387</v>
      </c>
      <c r="I3074" s="261">
        <f>I3058</f>
        <v>302</v>
      </c>
      <c r="J3074" s="261" t="s">
        <v>2622</v>
      </c>
      <c r="K3074" s="261">
        <f>F3074*I3074</f>
        <v>906</v>
      </c>
      <c r="L3074" s="261"/>
      <c r="M3074" s="261">
        <v>90</v>
      </c>
      <c r="N3074" s="261" t="s">
        <v>823</v>
      </c>
      <c r="O3074" s="268" t="s">
        <v>3163</v>
      </c>
      <c r="P3074" s="264">
        <f>I3101</f>
        <v>20.3</v>
      </c>
      <c r="Q3074" s="261" t="s">
        <v>2529</v>
      </c>
      <c r="R3074" s="261">
        <f>M3074*P3074</f>
        <v>1827</v>
      </c>
    </row>
    <row r="3075" spans="5:18" ht="39.75" customHeight="1">
      <c r="E3075" s="261"/>
      <c r="F3075" s="261">
        <v>90</v>
      </c>
      <c r="G3075" s="261" t="s">
        <v>823</v>
      </c>
      <c r="H3075" s="262" t="s">
        <v>2628</v>
      </c>
      <c r="I3075" s="261">
        <f>I3072</f>
        <v>16.55</v>
      </c>
      <c r="J3075" s="261" t="s">
        <v>2529</v>
      </c>
      <c r="K3075" s="261">
        <f>F3075*I3075</f>
        <v>1489.5</v>
      </c>
      <c r="L3075" s="261"/>
      <c r="M3075" s="261"/>
      <c r="N3075" s="261"/>
      <c r="O3075" s="261" t="s">
        <v>911</v>
      </c>
      <c r="P3075" s="261"/>
      <c r="Q3075" s="261"/>
      <c r="R3075" s="261">
        <f>K3102</f>
        <v>12075</v>
      </c>
    </row>
    <row r="3076" spans="5:18" ht="20.25" customHeight="1">
      <c r="E3076" s="261"/>
      <c r="F3076" s="261"/>
      <c r="G3076" s="261"/>
      <c r="H3076" s="261" t="s">
        <v>911</v>
      </c>
      <c r="I3076" s="261"/>
      <c r="J3076" s="261"/>
      <c r="K3076" s="261">
        <f>K3060</f>
        <v>12075</v>
      </c>
      <c r="L3076" s="261"/>
      <c r="M3076" s="261"/>
      <c r="N3076" s="261"/>
      <c r="O3076" s="261" t="s">
        <v>2261</v>
      </c>
      <c r="P3076" s="261"/>
      <c r="Q3076" s="261"/>
      <c r="R3076" s="261">
        <v>24</v>
      </c>
    </row>
    <row r="3077" spans="5:18">
      <c r="E3077" s="261"/>
      <c r="F3077" s="261"/>
      <c r="G3077" s="261"/>
      <c r="H3077" s="261"/>
      <c r="I3077" s="261"/>
      <c r="J3077" s="261"/>
      <c r="K3077" s="261">
        <f>SUM(K3072:K3076)</f>
        <v>19249.5</v>
      </c>
      <c r="L3077" s="261"/>
      <c r="M3077" s="261"/>
      <c r="N3077" s="261"/>
      <c r="O3077" s="269" t="s">
        <v>2383</v>
      </c>
      <c r="P3077" s="261"/>
      <c r="Q3077" s="261"/>
      <c r="R3077" s="270">
        <f>SUM(R3071:R3076)</f>
        <v>26307</v>
      </c>
    </row>
    <row r="3078" spans="5:18" ht="20.25" customHeight="1">
      <c r="E3078" s="261"/>
      <c r="F3078" s="261"/>
      <c r="G3078" s="261"/>
      <c r="H3078" s="261" t="s">
        <v>2261</v>
      </c>
      <c r="I3078" s="261"/>
      <c r="J3078" s="261"/>
      <c r="K3078" s="261">
        <f>29.99-0.59</f>
        <v>29.4</v>
      </c>
      <c r="L3078" s="261"/>
      <c r="M3078" s="261"/>
      <c r="N3078" s="261"/>
      <c r="O3078" s="271" t="s">
        <v>2384</v>
      </c>
      <c r="P3078" s="261"/>
      <c r="Q3078" s="261"/>
      <c r="R3078" s="272">
        <f>R3077/90</f>
        <v>292.3</v>
      </c>
    </row>
    <row r="3079" spans="5:18">
      <c r="E3079" s="261"/>
      <c r="F3079" s="261"/>
      <c r="G3079" s="261"/>
      <c r="H3079" s="269" t="s">
        <v>2383</v>
      </c>
      <c r="I3079" s="261"/>
      <c r="J3079" s="261"/>
      <c r="K3079" s="270">
        <f>SUM(K3077:K3078)</f>
        <v>19278.900000000001</v>
      </c>
      <c r="L3079" s="261"/>
      <c r="M3079" s="261"/>
      <c r="N3079" s="261"/>
      <c r="O3079" s="261"/>
      <c r="P3079" s="261"/>
      <c r="Q3079" s="261"/>
      <c r="R3079" s="261"/>
    </row>
    <row r="3080" spans="5:18" ht="21.75" customHeight="1">
      <c r="E3080" s="261"/>
      <c r="F3080" s="261"/>
      <c r="G3080" s="261"/>
      <c r="H3080" s="271" t="s">
        <v>2384</v>
      </c>
      <c r="I3080" s="261"/>
      <c r="J3080" s="261"/>
      <c r="K3080" s="272">
        <f>K3079/90</f>
        <v>214.21</v>
      </c>
      <c r="L3080" s="261">
        <f>131*90</f>
        <v>11790</v>
      </c>
      <c r="M3080" s="261"/>
    </row>
    <row r="3081" spans="5:18">
      <c r="E3081" s="261"/>
      <c r="F3081" s="261"/>
      <c r="G3081" s="261"/>
      <c r="H3081" s="261"/>
      <c r="I3081" s="261"/>
      <c r="J3081" s="261"/>
      <c r="K3081" s="261"/>
      <c r="L3081" s="261">
        <f>K3079-L3080</f>
        <v>7488.9</v>
      </c>
      <c r="M3081" s="261"/>
    </row>
    <row r="3082" spans="5:18">
      <c r="E3082" s="261"/>
      <c r="F3082" s="261"/>
      <c r="G3082" s="261"/>
      <c r="H3082" s="272" t="s">
        <v>2385</v>
      </c>
      <c r="I3082" s="261"/>
      <c r="J3082" s="261"/>
      <c r="K3082" s="261"/>
      <c r="L3082" s="261"/>
      <c r="M3082" s="261"/>
    </row>
    <row r="3083" spans="5:18">
      <c r="E3083" s="261"/>
      <c r="F3083" s="261"/>
      <c r="G3083" s="261"/>
      <c r="H3083" s="272" t="s">
        <v>2386</v>
      </c>
      <c r="I3083" s="261"/>
      <c r="J3083" s="261"/>
      <c r="K3083" s="261"/>
      <c r="L3083" s="261"/>
      <c r="M3083" s="261"/>
    </row>
    <row r="3084" spans="5:18">
      <c r="E3084" s="261"/>
      <c r="F3084" s="261"/>
      <c r="G3084" s="261"/>
      <c r="H3084" s="261"/>
      <c r="I3084" s="261"/>
      <c r="J3084" s="261"/>
      <c r="K3084" s="261"/>
      <c r="L3084" s="261"/>
      <c r="M3084" s="261"/>
    </row>
    <row r="3085" spans="5:18" ht="113.25" customHeight="1">
      <c r="E3085" s="261"/>
      <c r="F3085" s="261"/>
      <c r="G3085" s="261"/>
      <c r="H3085" s="260" t="s">
        <v>2984</v>
      </c>
      <c r="I3085" s="261"/>
      <c r="J3085" s="261"/>
      <c r="K3085" s="261"/>
      <c r="L3085" s="261"/>
      <c r="M3085" s="261"/>
    </row>
    <row r="3086" spans="5:18">
      <c r="E3086" s="261"/>
      <c r="F3086" s="261"/>
      <c r="G3086" s="261"/>
      <c r="H3086" s="261"/>
      <c r="I3086" s="261"/>
      <c r="J3086" s="261"/>
      <c r="K3086" s="261"/>
      <c r="L3086" s="261"/>
      <c r="M3086" s="261"/>
    </row>
    <row r="3087" spans="5:18">
      <c r="E3087" s="261"/>
      <c r="F3087" s="261"/>
      <c r="G3087" s="261"/>
      <c r="H3087" s="261" t="s">
        <v>2985</v>
      </c>
      <c r="I3087" s="261"/>
      <c r="J3087" s="261"/>
      <c r="K3087" s="261">
        <f>K3077</f>
        <v>19249.5</v>
      </c>
      <c r="L3087" s="261"/>
      <c r="M3087" s="261"/>
    </row>
    <row r="3088" spans="5:18" ht="34.5" customHeight="1">
      <c r="E3088" s="261"/>
      <c r="F3088" s="261">
        <v>180</v>
      </c>
      <c r="G3088" s="261" t="s">
        <v>823</v>
      </c>
      <c r="H3088" s="260" t="s">
        <v>4258</v>
      </c>
      <c r="I3088" s="264">
        <v>20.3</v>
      </c>
      <c r="J3088" s="261" t="s">
        <v>823</v>
      </c>
      <c r="K3088" s="261">
        <f>F3088*I3088</f>
        <v>3654</v>
      </c>
      <c r="L3088" s="261"/>
      <c r="M3088" s="261"/>
    </row>
    <row r="3089" spans="5:18" ht="36.75" customHeight="1">
      <c r="E3089" s="261"/>
      <c r="F3089" s="261">
        <v>180</v>
      </c>
      <c r="G3089" s="261" t="s">
        <v>823</v>
      </c>
      <c r="H3089" s="260" t="s">
        <v>2933</v>
      </c>
      <c r="I3089" s="261">
        <f>I3075</f>
        <v>16.55</v>
      </c>
      <c r="J3089" s="261" t="s">
        <v>2529</v>
      </c>
      <c r="K3089" s="261">
        <f>F3089*I3089</f>
        <v>2979</v>
      </c>
      <c r="L3089" s="261"/>
      <c r="M3089" s="261"/>
    </row>
    <row r="3090" spans="5:18" ht="25.5" customHeight="1">
      <c r="E3090" s="261"/>
      <c r="F3090" s="261"/>
      <c r="G3090" s="261"/>
      <c r="H3090" s="261" t="s">
        <v>2261</v>
      </c>
      <c r="I3090" s="261"/>
      <c r="J3090" s="261"/>
      <c r="K3090" s="261">
        <f>47.4+13.1</f>
        <v>60.5</v>
      </c>
      <c r="L3090" s="261"/>
      <c r="M3090" s="261"/>
    </row>
    <row r="3091" spans="5:18">
      <c r="E3091" s="261"/>
      <c r="F3091" s="261"/>
      <c r="G3091" s="261"/>
      <c r="H3091" s="269" t="s">
        <v>2934</v>
      </c>
      <c r="I3091" s="261"/>
      <c r="J3091" s="261"/>
      <c r="K3091" s="270">
        <f>K3087+K3088-K3089+K3090</f>
        <v>19985</v>
      </c>
      <c r="L3091" s="261"/>
      <c r="M3091" s="261"/>
    </row>
    <row r="3092" spans="5:18">
      <c r="E3092" s="261"/>
      <c r="F3092" s="261"/>
      <c r="G3092" s="261"/>
      <c r="H3092" s="271" t="s">
        <v>2384</v>
      </c>
      <c r="I3092" s="261"/>
      <c r="J3092" s="261"/>
      <c r="K3092" s="272">
        <f>K3091/90</f>
        <v>222.06</v>
      </c>
      <c r="L3092" s="261">
        <f>152*90</f>
        <v>13680</v>
      </c>
      <c r="M3092" s="261"/>
    </row>
    <row r="3093" spans="5:18">
      <c r="E3093" s="261"/>
      <c r="F3093" s="261"/>
      <c r="G3093" s="261"/>
      <c r="H3093" s="261"/>
      <c r="I3093" s="261"/>
      <c r="J3093" s="261"/>
      <c r="K3093" s="261"/>
      <c r="L3093" s="261">
        <f>L3092-K3091</f>
        <v>-6305</v>
      </c>
      <c r="M3093" s="261"/>
    </row>
    <row r="3094" spans="5:18">
      <c r="E3094" s="261"/>
      <c r="F3094" s="261"/>
      <c r="G3094" s="261"/>
      <c r="H3094" s="272" t="s">
        <v>2935</v>
      </c>
      <c r="I3094" s="261"/>
      <c r="J3094" s="261"/>
      <c r="K3094" s="261"/>
      <c r="L3094" s="261"/>
      <c r="M3094" s="261"/>
    </row>
    <row r="3095" spans="5:18">
      <c r="E3095" s="261"/>
      <c r="F3095" s="261"/>
      <c r="G3095" s="261"/>
      <c r="H3095" s="272" t="s">
        <v>2936</v>
      </c>
      <c r="I3095" s="261"/>
      <c r="J3095" s="261"/>
      <c r="K3095" s="261"/>
      <c r="L3095" s="261"/>
      <c r="M3095" s="261"/>
    </row>
    <row r="3096" spans="5:18">
      <c r="E3096" s="261"/>
      <c r="F3096" s="261"/>
      <c r="G3096" s="261"/>
      <c r="H3096" s="261"/>
      <c r="I3096" s="261"/>
      <c r="J3096" s="261"/>
      <c r="K3096" s="261"/>
      <c r="L3096" s="261"/>
      <c r="M3096" s="261"/>
    </row>
    <row r="3097" spans="5:18" ht="111.75" customHeight="1">
      <c r="E3097" s="261"/>
      <c r="F3097" s="261"/>
      <c r="G3097" s="261"/>
      <c r="H3097" s="260" t="s">
        <v>3162</v>
      </c>
      <c r="I3097" s="261"/>
      <c r="J3097" s="261"/>
      <c r="K3097" s="261"/>
      <c r="L3097" s="261"/>
      <c r="M3097" s="261"/>
      <c r="N3097" s="261"/>
      <c r="O3097" s="260"/>
      <c r="P3097" s="261"/>
      <c r="Q3097" s="261"/>
      <c r="R3097" s="261"/>
    </row>
    <row r="3098" spans="5:18" ht="36" customHeight="1">
      <c r="E3098" s="261"/>
      <c r="F3098" s="261">
        <v>180</v>
      </c>
      <c r="G3098" s="261" t="s">
        <v>823</v>
      </c>
      <c r="H3098" s="262" t="s">
        <v>4259</v>
      </c>
      <c r="I3098" s="264">
        <v>32.200000000000003</v>
      </c>
      <c r="J3098" s="261" t="s">
        <v>2529</v>
      </c>
      <c r="K3098" s="261">
        <f>F3098*I3098</f>
        <v>5796</v>
      </c>
      <c r="L3098" s="261"/>
      <c r="M3098" s="261"/>
      <c r="N3098" s="261"/>
      <c r="O3098" s="268"/>
      <c r="P3098" s="261"/>
      <c r="Q3098" s="261"/>
      <c r="R3098" s="261"/>
    </row>
    <row r="3099" spans="5:18" ht="39" customHeight="1">
      <c r="E3099" s="261"/>
      <c r="F3099" s="261">
        <v>90</v>
      </c>
      <c r="G3099" s="261" t="s">
        <v>823</v>
      </c>
      <c r="H3099" s="260" t="s">
        <v>2354</v>
      </c>
      <c r="I3099" s="261">
        <f>I3073</f>
        <v>20</v>
      </c>
      <c r="J3099" s="261" t="s">
        <v>823</v>
      </c>
      <c r="K3099" s="261">
        <f>F3099*I3099</f>
        <v>1800</v>
      </c>
      <c r="L3099" s="261"/>
      <c r="M3099" s="261"/>
      <c r="N3099" s="261"/>
      <c r="O3099" s="260"/>
      <c r="P3099" s="261"/>
      <c r="Q3099" s="261"/>
      <c r="R3099" s="261"/>
    </row>
    <row r="3100" spans="5:18" ht="23.25" customHeight="1">
      <c r="E3100" s="261"/>
      <c r="F3100" s="261">
        <v>3</v>
      </c>
      <c r="G3100" s="261" t="s">
        <v>2622</v>
      </c>
      <c r="H3100" s="261" t="s">
        <v>387</v>
      </c>
      <c r="I3100" s="261">
        <f>I3074</f>
        <v>302</v>
      </c>
      <c r="J3100" s="261" t="s">
        <v>2622</v>
      </c>
      <c r="K3100" s="261">
        <f>F3100*I3100</f>
        <v>906</v>
      </c>
      <c r="L3100" s="261"/>
      <c r="M3100" s="261"/>
      <c r="N3100" s="261"/>
      <c r="O3100" s="261"/>
      <c r="P3100" s="261"/>
      <c r="Q3100" s="261"/>
      <c r="R3100" s="261"/>
    </row>
    <row r="3101" spans="5:18" ht="38.25" customHeight="1">
      <c r="E3101" s="261"/>
      <c r="F3101" s="261">
        <v>90</v>
      </c>
      <c r="G3101" s="261" t="s">
        <v>823</v>
      </c>
      <c r="H3101" s="262" t="s">
        <v>3163</v>
      </c>
      <c r="I3101" s="261">
        <f>I3088</f>
        <v>20.3</v>
      </c>
      <c r="J3101" s="261" t="s">
        <v>2529</v>
      </c>
      <c r="K3101" s="261">
        <f>F3101*I3101</f>
        <v>1827</v>
      </c>
      <c r="L3101" s="261"/>
      <c r="M3101" s="261"/>
      <c r="N3101" s="261"/>
      <c r="O3101" s="268"/>
      <c r="P3101" s="261"/>
      <c r="Q3101" s="261"/>
      <c r="R3101" s="261"/>
    </row>
    <row r="3102" spans="5:18">
      <c r="E3102" s="261"/>
      <c r="F3102" s="261"/>
      <c r="G3102" s="261"/>
      <c r="H3102" s="261" t="s">
        <v>911</v>
      </c>
      <c r="I3102" s="261"/>
      <c r="J3102" s="261"/>
      <c r="K3102" s="261">
        <f>K3076</f>
        <v>12075</v>
      </c>
      <c r="L3102" s="261"/>
      <c r="M3102" s="261"/>
      <c r="N3102" s="261"/>
      <c r="O3102" s="261"/>
      <c r="P3102" s="261"/>
      <c r="Q3102" s="261"/>
      <c r="R3102" s="261"/>
    </row>
    <row r="3103" spans="5:18">
      <c r="E3103" s="261"/>
      <c r="F3103" s="261"/>
      <c r="G3103" s="261"/>
      <c r="H3103" s="261" t="s">
        <v>2261</v>
      </c>
      <c r="I3103" s="261"/>
      <c r="J3103" s="261"/>
      <c r="K3103" s="261">
        <v>60.5</v>
      </c>
      <c r="L3103" s="261"/>
      <c r="M3103" s="261"/>
      <c r="N3103" s="261"/>
      <c r="O3103" s="261"/>
      <c r="P3103" s="261"/>
      <c r="Q3103" s="261"/>
      <c r="R3103" s="261"/>
    </row>
    <row r="3104" spans="5:18">
      <c r="E3104" s="261"/>
      <c r="F3104" s="261"/>
      <c r="G3104" s="261"/>
      <c r="H3104" s="269" t="s">
        <v>2383</v>
      </c>
      <c r="I3104" s="261"/>
      <c r="J3104" s="261"/>
      <c r="K3104" s="270">
        <f>SUM(K3098:K3103)</f>
        <v>22464.5</v>
      </c>
      <c r="L3104" s="261"/>
      <c r="M3104" s="261"/>
      <c r="N3104" s="261"/>
      <c r="O3104" s="269"/>
      <c r="P3104" s="261"/>
      <c r="Q3104" s="261"/>
      <c r="R3104" s="270"/>
    </row>
    <row r="3105" spans="5:19">
      <c r="E3105" s="261"/>
      <c r="F3105" s="261"/>
      <c r="G3105" s="261"/>
      <c r="H3105" s="271" t="s">
        <v>2384</v>
      </c>
      <c r="I3105" s="261"/>
      <c r="J3105" s="261"/>
      <c r="K3105" s="272">
        <f>K3104/90</f>
        <v>249.61</v>
      </c>
      <c r="L3105" s="261">
        <f>189*90</f>
        <v>17010</v>
      </c>
      <c r="M3105" s="261"/>
      <c r="N3105" s="261"/>
      <c r="O3105" s="271"/>
      <c r="P3105" s="261"/>
      <c r="Q3105" s="261"/>
      <c r="R3105" s="272"/>
    </row>
    <row r="3106" spans="5:19">
      <c r="E3106" s="261"/>
      <c r="F3106" s="261"/>
      <c r="G3106" s="261"/>
      <c r="H3106" s="261"/>
      <c r="I3106" s="261"/>
      <c r="J3106" s="261"/>
      <c r="K3106" s="261"/>
      <c r="L3106" s="261">
        <f>L3105-K3104</f>
        <v>-5454.5</v>
      </c>
      <c r="M3106" s="261"/>
    </row>
    <row r="3107" spans="5:19">
      <c r="E3107" s="261"/>
      <c r="F3107" s="261"/>
      <c r="G3107" s="261"/>
      <c r="H3107" s="261"/>
      <c r="I3107" s="261"/>
      <c r="J3107" s="261"/>
      <c r="K3107" s="261"/>
      <c r="L3107" s="261"/>
      <c r="M3107" s="261"/>
    </row>
    <row r="3108" spans="5:19">
      <c r="E3108" s="261"/>
      <c r="F3108" s="261"/>
      <c r="G3108" s="261"/>
      <c r="H3108" s="272" t="s">
        <v>3164</v>
      </c>
      <c r="I3108" s="261"/>
      <c r="J3108" s="261"/>
      <c r="K3108" s="261"/>
      <c r="L3108" s="261"/>
      <c r="M3108" s="261"/>
      <c r="N3108" s="261"/>
      <c r="O3108" s="272" t="s">
        <v>3164</v>
      </c>
      <c r="P3108" s="261"/>
      <c r="Q3108" s="261"/>
      <c r="R3108" s="261"/>
      <c r="S3108" s="261"/>
    </row>
    <row r="3109" spans="5:19">
      <c r="E3109" s="261"/>
      <c r="F3109" s="261"/>
      <c r="G3109" s="261"/>
      <c r="H3109" s="272" t="s">
        <v>2326</v>
      </c>
      <c r="I3109" s="261"/>
      <c r="J3109" s="261"/>
      <c r="K3109" s="261"/>
      <c r="L3109" s="261"/>
      <c r="M3109" s="261"/>
      <c r="N3109" s="261"/>
      <c r="O3109" s="272" t="s">
        <v>3608</v>
      </c>
      <c r="P3109" s="261"/>
      <c r="Q3109" s="261"/>
      <c r="R3109" s="261"/>
      <c r="S3109" s="261"/>
    </row>
    <row r="3110" spans="5:19">
      <c r="E3110" s="261"/>
      <c r="F3110" s="261"/>
      <c r="G3110" s="261"/>
      <c r="H3110" s="261"/>
      <c r="I3110" s="261"/>
      <c r="J3110" s="261"/>
      <c r="K3110" s="261"/>
      <c r="L3110" s="261"/>
      <c r="M3110" s="261"/>
      <c r="N3110" s="261"/>
      <c r="O3110" s="261"/>
      <c r="P3110" s="261"/>
      <c r="Q3110" s="261"/>
      <c r="R3110" s="261"/>
      <c r="S3110" s="261"/>
    </row>
    <row r="3111" spans="5:19" ht="115.5" customHeight="1">
      <c r="E3111" s="261"/>
      <c r="F3111" s="261"/>
      <c r="G3111" s="261"/>
      <c r="H3111" s="260" t="s">
        <v>2335</v>
      </c>
      <c r="I3111" s="261"/>
      <c r="J3111" s="261"/>
      <c r="K3111" s="261"/>
      <c r="L3111" s="261"/>
      <c r="M3111" s="261"/>
      <c r="N3111" s="261"/>
      <c r="O3111" s="1242" t="s">
        <v>3609</v>
      </c>
      <c r="P3111" s="1242"/>
      <c r="Q3111" s="261"/>
      <c r="R3111" s="261"/>
      <c r="S3111" s="261"/>
    </row>
    <row r="3112" spans="5:19" ht="34.5" customHeight="1">
      <c r="E3112" s="261"/>
      <c r="F3112" s="261">
        <v>360</v>
      </c>
      <c r="G3112" s="261"/>
      <c r="H3112" s="262" t="s">
        <v>3880</v>
      </c>
      <c r="I3112" s="264">
        <f>I3098</f>
        <v>32.200000000000003</v>
      </c>
      <c r="J3112" s="261" t="s">
        <v>2529</v>
      </c>
      <c r="K3112" s="261">
        <f>F3112*I3112</f>
        <v>11592</v>
      </c>
      <c r="L3112" s="261"/>
      <c r="M3112" s="261">
        <v>360</v>
      </c>
      <c r="N3112" s="261"/>
      <c r="O3112" s="704" t="s">
        <v>3788</v>
      </c>
      <c r="P3112" s="264">
        <f>P3071</f>
        <v>53.75</v>
      </c>
      <c r="Q3112" s="261" t="s">
        <v>2529</v>
      </c>
      <c r="R3112" s="261">
        <f>M3112*P3112</f>
        <v>19350</v>
      </c>
      <c r="S3112" s="261"/>
    </row>
    <row r="3113" spans="5:19" ht="36" customHeight="1">
      <c r="E3113" s="261"/>
      <c r="F3113" s="261">
        <v>90</v>
      </c>
      <c r="G3113" s="261"/>
      <c r="H3113" s="260" t="s">
        <v>4266</v>
      </c>
      <c r="I3113" s="264">
        <v>24.2</v>
      </c>
      <c r="J3113" s="261" t="s">
        <v>823</v>
      </c>
      <c r="K3113" s="261">
        <f>F3113*I3113</f>
        <v>2178</v>
      </c>
      <c r="L3113" s="261"/>
      <c r="M3113" s="261">
        <v>90</v>
      </c>
      <c r="N3113" s="261"/>
      <c r="O3113" s="260" t="s">
        <v>2336</v>
      </c>
      <c r="P3113" s="264">
        <f>I3113</f>
        <v>24.2</v>
      </c>
      <c r="Q3113" s="261" t="s">
        <v>823</v>
      </c>
      <c r="R3113" s="261">
        <f>M3113*P3113</f>
        <v>2178</v>
      </c>
      <c r="S3113" s="261"/>
    </row>
    <row r="3114" spans="5:19" ht="21" customHeight="1">
      <c r="E3114" s="261"/>
      <c r="F3114" s="261">
        <v>3</v>
      </c>
      <c r="G3114" s="261"/>
      <c r="H3114" s="261" t="s">
        <v>387</v>
      </c>
      <c r="I3114" s="261">
        <f>I3100</f>
        <v>302</v>
      </c>
      <c r="J3114" s="261" t="s">
        <v>2622</v>
      </c>
      <c r="K3114" s="261">
        <f>F3114*I3114</f>
        <v>906</v>
      </c>
      <c r="L3114" s="261"/>
      <c r="M3114" s="261">
        <v>3</v>
      </c>
      <c r="N3114" s="261"/>
      <c r="O3114" s="261" t="s">
        <v>387</v>
      </c>
      <c r="P3114" s="264">
        <f>I3114</f>
        <v>302</v>
      </c>
      <c r="Q3114" s="261" t="s">
        <v>2622</v>
      </c>
      <c r="R3114" s="261">
        <f>M3114*P3114</f>
        <v>906</v>
      </c>
      <c r="S3114" s="261"/>
    </row>
    <row r="3115" spans="5:19" ht="33.75" customHeight="1">
      <c r="E3115" s="261"/>
      <c r="F3115" s="261">
        <v>90</v>
      </c>
      <c r="G3115" s="261"/>
      <c r="H3115" s="262" t="s">
        <v>3163</v>
      </c>
      <c r="I3115" s="261">
        <f>I3101</f>
        <v>20.3</v>
      </c>
      <c r="J3115" s="261" t="s">
        <v>2529</v>
      </c>
      <c r="K3115" s="261">
        <f>F3115*I3115</f>
        <v>1827</v>
      </c>
      <c r="L3115" s="261"/>
      <c r="M3115" s="261">
        <v>90</v>
      </c>
      <c r="N3115" s="261"/>
      <c r="O3115" s="268" t="s">
        <v>3163</v>
      </c>
      <c r="P3115" s="264">
        <f>I3115</f>
        <v>20.3</v>
      </c>
      <c r="Q3115" s="261" t="s">
        <v>2529</v>
      </c>
      <c r="R3115" s="261">
        <f>M3115*P3115</f>
        <v>1827</v>
      </c>
      <c r="S3115" s="261"/>
    </row>
    <row r="3116" spans="5:19">
      <c r="E3116" s="261"/>
      <c r="F3116" s="261"/>
      <c r="G3116" s="261"/>
      <c r="H3116" s="261" t="s">
        <v>911</v>
      </c>
      <c r="I3116" s="261"/>
      <c r="J3116" s="261"/>
      <c r="K3116" s="261">
        <f>I3122</f>
        <v>15892.5</v>
      </c>
      <c r="L3116" s="261"/>
      <c r="M3116" s="261"/>
      <c r="N3116" s="261"/>
      <c r="O3116" s="261" t="s">
        <v>911</v>
      </c>
      <c r="P3116" s="261"/>
      <c r="Q3116" s="261"/>
      <c r="R3116" s="261">
        <f>K3116</f>
        <v>15892.5</v>
      </c>
      <c r="S3116" s="261"/>
    </row>
    <row r="3117" spans="5:19">
      <c r="E3117" s="261"/>
      <c r="F3117" s="261"/>
      <c r="G3117" s="261"/>
      <c r="H3117" s="261" t="s">
        <v>2261</v>
      </c>
      <c r="I3117" s="261"/>
      <c r="J3117" s="261"/>
      <c r="K3117" s="261">
        <v>25.5</v>
      </c>
      <c r="L3117" s="261"/>
      <c r="M3117" s="261"/>
      <c r="N3117" s="261"/>
      <c r="O3117" s="261" t="s">
        <v>2261</v>
      </c>
      <c r="P3117" s="261"/>
      <c r="Q3117" s="261"/>
      <c r="R3117" s="261">
        <v>28.5</v>
      </c>
      <c r="S3117" s="261"/>
    </row>
    <row r="3118" spans="5:19">
      <c r="E3118" s="261"/>
      <c r="F3118" s="261"/>
      <c r="G3118" s="261"/>
      <c r="H3118" s="269" t="s">
        <v>2383</v>
      </c>
      <c r="I3118" s="261"/>
      <c r="J3118" s="261"/>
      <c r="K3118" s="270">
        <f>SUM(K3112:K3117)</f>
        <v>32421</v>
      </c>
      <c r="L3118" s="261"/>
      <c r="M3118" s="261"/>
      <c r="N3118" s="261"/>
      <c r="O3118" s="269" t="s">
        <v>2383</v>
      </c>
      <c r="P3118" s="261"/>
      <c r="Q3118" s="261"/>
      <c r="R3118" s="270">
        <f>SUM(R3112:R3117)</f>
        <v>40182</v>
      </c>
      <c r="S3118" s="261">
        <f>217.3*90</f>
        <v>19557</v>
      </c>
    </row>
    <row r="3119" spans="5:19">
      <c r="E3119" s="261"/>
      <c r="F3119" s="261"/>
      <c r="G3119" s="261"/>
      <c r="H3119" s="271" t="s">
        <v>2384</v>
      </c>
      <c r="I3119" s="261"/>
      <c r="J3119" s="261"/>
      <c r="K3119" s="272">
        <f>K3118/90</f>
        <v>360.23</v>
      </c>
      <c r="L3119" s="261">
        <f>299*90</f>
        <v>26910</v>
      </c>
      <c r="M3119" s="261"/>
      <c r="N3119" s="261"/>
      <c r="O3119" s="271" t="s">
        <v>2384</v>
      </c>
      <c r="P3119" s="261"/>
      <c r="Q3119" s="261"/>
      <c r="R3119" s="272">
        <f>R3118/90</f>
        <v>446.47</v>
      </c>
      <c r="S3119" s="261">
        <f>S3118-R3118</f>
        <v>-20625</v>
      </c>
    </row>
    <row r="3120" spans="5:19">
      <c r="E3120" s="261"/>
      <c r="F3120" s="261"/>
      <c r="G3120" s="261"/>
      <c r="H3120" s="261"/>
      <c r="I3120" s="261"/>
      <c r="J3120" s="261"/>
      <c r="K3120" s="261"/>
      <c r="L3120" s="261">
        <f>L3119-K3118</f>
        <v>-5511</v>
      </c>
      <c r="M3120" s="261"/>
    </row>
    <row r="3121" spans="5:18">
      <c r="E3121" s="261"/>
      <c r="F3121" s="261"/>
      <c r="G3121" s="261"/>
      <c r="H3121" s="272" t="s">
        <v>2337</v>
      </c>
      <c r="I3121" s="261"/>
      <c r="J3121" s="261"/>
      <c r="K3121" s="261"/>
      <c r="L3121" s="261"/>
      <c r="M3121" s="261"/>
    </row>
    <row r="3122" spans="5:18" s="283" customFormat="1">
      <c r="E3122" s="281"/>
      <c r="F3122" s="281"/>
      <c r="G3122" s="281"/>
      <c r="H3122" s="281" t="s">
        <v>3786</v>
      </c>
      <c r="I3122" s="282">
        <f>(1.5*K2873)-((K2871+K2872)/2)</f>
        <v>15892.5</v>
      </c>
      <c r="J3122" s="281"/>
      <c r="K3122" s="281"/>
      <c r="L3122" s="281"/>
      <c r="M3122" s="261"/>
      <c r="N3122" s="261"/>
      <c r="O3122" s="272" t="s">
        <v>3164</v>
      </c>
      <c r="P3122" s="261"/>
      <c r="Q3122" s="261"/>
      <c r="R3122" s="261"/>
    </row>
    <row r="3123" spans="5:18">
      <c r="E3123" s="261"/>
      <c r="F3123" s="261"/>
      <c r="G3123" s="261"/>
      <c r="H3123" s="261">
        <f>1.5*K2873-(K2871+K2872)/2</f>
        <v>15892.5</v>
      </c>
      <c r="I3123" s="261"/>
      <c r="J3123" s="261"/>
      <c r="K3123" s="261"/>
      <c r="L3123" s="261"/>
      <c r="M3123" s="261"/>
      <c r="N3123" s="261"/>
      <c r="O3123" s="272" t="s">
        <v>3610</v>
      </c>
      <c r="P3123" s="261"/>
      <c r="Q3123" s="261"/>
      <c r="R3123" s="261"/>
    </row>
    <row r="3124" spans="5:18">
      <c r="E3124" s="261"/>
      <c r="F3124" s="261"/>
      <c r="G3124" s="261"/>
      <c r="H3124" s="261"/>
      <c r="I3124" s="261"/>
      <c r="J3124" s="261"/>
      <c r="K3124" s="261"/>
      <c r="L3124" s="261"/>
      <c r="M3124" s="261"/>
      <c r="N3124" s="261"/>
      <c r="O3124" s="261"/>
      <c r="P3124" s="261"/>
      <c r="Q3124" s="261"/>
      <c r="R3124" s="261"/>
    </row>
    <row r="3125" spans="5:18" ht="22.5" customHeight="1">
      <c r="E3125" s="261"/>
      <c r="F3125" s="261"/>
      <c r="G3125" s="261"/>
      <c r="H3125" s="280" t="s">
        <v>2338</v>
      </c>
      <c r="I3125" s="261"/>
      <c r="J3125" s="261"/>
      <c r="K3125" s="261"/>
      <c r="L3125" s="261"/>
      <c r="M3125" s="261"/>
      <c r="N3125" s="261"/>
      <c r="O3125" s="260" t="s">
        <v>3611</v>
      </c>
      <c r="P3125" s="261"/>
      <c r="Q3125" s="261"/>
      <c r="R3125" s="261"/>
    </row>
    <row r="3126" spans="5:18" ht="31.5">
      <c r="E3126" s="261"/>
      <c r="F3126" s="261"/>
      <c r="G3126" s="261"/>
      <c r="H3126" s="261"/>
      <c r="I3126" s="261"/>
      <c r="J3126" s="261"/>
      <c r="K3126" s="261"/>
      <c r="L3126" s="261"/>
      <c r="M3126" s="261">
        <v>360</v>
      </c>
      <c r="N3126" s="261"/>
      <c r="O3126" s="704" t="s">
        <v>3789</v>
      </c>
      <c r="P3126" s="264">
        <v>80.650000000000006</v>
      </c>
      <c r="Q3126" s="261" t="s">
        <v>2529</v>
      </c>
      <c r="R3126" s="261">
        <f>M3126*P3126</f>
        <v>29034</v>
      </c>
    </row>
    <row r="3127" spans="5:18" ht="18" customHeight="1">
      <c r="E3127" s="261"/>
      <c r="F3127" s="261"/>
      <c r="G3127" s="261"/>
      <c r="H3127" s="272" t="s">
        <v>2339</v>
      </c>
      <c r="I3127" s="261"/>
      <c r="J3127" s="261"/>
      <c r="K3127" s="261"/>
      <c r="L3127" s="261"/>
      <c r="M3127" s="261">
        <v>90</v>
      </c>
      <c r="N3127" s="261"/>
      <c r="O3127" s="260" t="s">
        <v>2336</v>
      </c>
      <c r="P3127" s="264">
        <f>P3113</f>
        <v>24.2</v>
      </c>
      <c r="Q3127" s="261" t="s">
        <v>823</v>
      </c>
      <c r="R3127" s="261">
        <f>M3127*P3127</f>
        <v>2178</v>
      </c>
    </row>
    <row r="3128" spans="5:18">
      <c r="E3128" s="261"/>
      <c r="F3128" s="261"/>
      <c r="G3128" s="261"/>
      <c r="H3128" s="261"/>
      <c r="I3128" s="261"/>
      <c r="J3128" s="261"/>
      <c r="K3128" s="261"/>
      <c r="L3128" s="261"/>
      <c r="M3128" s="261">
        <v>3</v>
      </c>
      <c r="N3128" s="261"/>
      <c r="O3128" s="261" t="s">
        <v>387</v>
      </c>
      <c r="P3128" s="264">
        <f>P3114</f>
        <v>302</v>
      </c>
      <c r="Q3128" s="261" t="s">
        <v>2622</v>
      </c>
      <c r="R3128" s="261">
        <f>M3128*P3128</f>
        <v>906</v>
      </c>
    </row>
    <row r="3129" spans="5:18" ht="23.25" customHeight="1">
      <c r="E3129" s="261"/>
      <c r="F3129" s="261"/>
      <c r="G3129" s="261"/>
      <c r="H3129" s="272" t="s">
        <v>2340</v>
      </c>
      <c r="I3129" s="261"/>
      <c r="J3129" s="261"/>
      <c r="K3129" s="261"/>
      <c r="L3129" s="261"/>
      <c r="M3129" s="261">
        <v>90</v>
      </c>
      <c r="N3129" s="261"/>
      <c r="O3129" s="268" t="s">
        <v>3163</v>
      </c>
      <c r="P3129" s="264">
        <f>P3115</f>
        <v>20.3</v>
      </c>
      <c r="Q3129" s="261" t="s">
        <v>2529</v>
      </c>
      <c r="R3129" s="261">
        <f>M3129*P3129</f>
        <v>1827</v>
      </c>
    </row>
    <row r="3130" spans="5:18">
      <c r="E3130" s="261"/>
      <c r="F3130" s="261"/>
      <c r="G3130" s="261"/>
      <c r="H3130" s="261"/>
      <c r="I3130" s="261"/>
      <c r="J3130" s="261"/>
      <c r="K3130" s="261"/>
      <c r="L3130" s="261"/>
      <c r="M3130" s="261"/>
      <c r="N3130" s="261"/>
      <c r="O3130" s="261" t="s">
        <v>911</v>
      </c>
      <c r="P3130" s="261"/>
      <c r="Q3130" s="261"/>
      <c r="R3130" s="261">
        <f>R3116</f>
        <v>15892.5</v>
      </c>
    </row>
    <row r="3131" spans="5:18" ht="47.25">
      <c r="E3131" s="261"/>
      <c r="F3131" s="261"/>
      <c r="G3131" s="261"/>
      <c r="H3131" s="260" t="s">
        <v>2341</v>
      </c>
      <c r="I3131" s="261"/>
      <c r="J3131" s="261"/>
      <c r="K3131" s="261"/>
      <c r="L3131" s="261"/>
      <c r="M3131" s="261"/>
      <c r="N3131" s="261"/>
      <c r="O3131" s="261" t="s">
        <v>2261</v>
      </c>
      <c r="P3131" s="261"/>
      <c r="Q3131" s="261"/>
      <c r="R3131" s="261">
        <v>28.5</v>
      </c>
    </row>
    <row r="3132" spans="5:18">
      <c r="E3132" s="261"/>
      <c r="F3132" s="261">
        <v>1</v>
      </c>
      <c r="G3132" s="261" t="s">
        <v>1389</v>
      </c>
      <c r="H3132" s="261" t="s">
        <v>4260</v>
      </c>
      <c r="I3132" s="264">
        <v>263.39999999999998</v>
      </c>
      <c r="J3132" s="261" t="s">
        <v>1389</v>
      </c>
      <c r="K3132" s="261">
        <f>F3132*I3132</f>
        <v>263.39999999999998</v>
      </c>
      <c r="L3132" s="261"/>
      <c r="M3132" s="261"/>
      <c r="N3132" s="261"/>
      <c r="O3132" s="269" t="s">
        <v>2383</v>
      </c>
      <c r="P3132" s="261"/>
      <c r="Q3132" s="261"/>
      <c r="R3132" s="270">
        <f>SUM(R3126:R3131)</f>
        <v>49866</v>
      </c>
    </row>
    <row r="3133" spans="5:18">
      <c r="E3133" s="261"/>
      <c r="F3133" s="261"/>
      <c r="G3133" s="261"/>
      <c r="H3133" s="261" t="s">
        <v>2261</v>
      </c>
      <c r="I3133" s="261"/>
      <c r="J3133" s="261"/>
      <c r="K3133" s="261">
        <v>4.93</v>
      </c>
      <c r="L3133" s="261"/>
      <c r="M3133" s="261"/>
      <c r="N3133" s="261"/>
      <c r="O3133" s="271" t="s">
        <v>2384</v>
      </c>
      <c r="P3133" s="261"/>
      <c r="Q3133" s="261"/>
      <c r="R3133" s="272">
        <f>R3132/90</f>
        <v>554.07000000000005</v>
      </c>
    </row>
    <row r="3134" spans="5:18">
      <c r="E3134" s="261"/>
      <c r="F3134" s="261"/>
      <c r="G3134" s="261"/>
      <c r="H3134" s="261" t="s">
        <v>911</v>
      </c>
      <c r="I3134" s="261"/>
      <c r="J3134" s="261"/>
      <c r="K3134" s="261">
        <f>K3142</f>
        <v>238.13</v>
      </c>
      <c r="L3134" s="261"/>
      <c r="M3134" s="261"/>
    </row>
    <row r="3135" spans="5:18">
      <c r="E3135" s="261"/>
      <c r="F3135" s="261"/>
      <c r="G3135" s="261"/>
      <c r="H3135" s="271" t="s">
        <v>2342</v>
      </c>
      <c r="I3135" s="261"/>
      <c r="J3135" s="261"/>
      <c r="K3135" s="272">
        <f>SUM(K3132:K3134)</f>
        <v>506.46</v>
      </c>
      <c r="L3135" s="261">
        <f>K3135-461</f>
        <v>45.46</v>
      </c>
      <c r="M3135" s="261"/>
    </row>
    <row r="3136" spans="5:18">
      <c r="E3136" s="261"/>
      <c r="F3136" s="261"/>
      <c r="G3136" s="261"/>
      <c r="H3136" s="261"/>
      <c r="I3136" s="261"/>
      <c r="J3136" s="261"/>
      <c r="K3136" s="261"/>
      <c r="L3136" s="261"/>
      <c r="M3136" s="261"/>
    </row>
    <row r="3137" spans="5:13">
      <c r="E3137" s="261"/>
      <c r="F3137" s="261"/>
      <c r="G3137" s="261"/>
      <c r="H3137" s="261"/>
      <c r="I3137" s="261"/>
      <c r="J3137" s="261"/>
      <c r="K3137" s="261"/>
      <c r="L3137" s="261"/>
      <c r="M3137" s="261"/>
    </row>
    <row r="3138" spans="5:13">
      <c r="E3138" s="261"/>
      <c r="F3138" s="261"/>
      <c r="G3138" s="261"/>
      <c r="H3138" s="273" t="s">
        <v>2343</v>
      </c>
      <c r="I3138" s="261"/>
      <c r="J3138" s="261"/>
      <c r="K3138" s="261"/>
      <c r="L3138" s="261"/>
      <c r="M3138" s="261"/>
    </row>
    <row r="3139" spans="5:13" ht="19.5" customHeight="1">
      <c r="E3139" s="261"/>
      <c r="F3139" s="261">
        <v>2</v>
      </c>
      <c r="G3139" s="261" t="s">
        <v>1389</v>
      </c>
      <c r="H3139" s="261" t="s">
        <v>2575</v>
      </c>
      <c r="I3139" s="261">
        <f>I2868</f>
        <v>820</v>
      </c>
      <c r="J3139" s="261" t="s">
        <v>1389</v>
      </c>
      <c r="K3139" s="261">
        <f>F3139*I3139</f>
        <v>1640</v>
      </c>
      <c r="L3139" s="261"/>
      <c r="M3139" s="261"/>
    </row>
    <row r="3140" spans="5:13" ht="19.5" customHeight="1">
      <c r="E3140" s="261"/>
      <c r="F3140" s="261">
        <v>3</v>
      </c>
      <c r="G3140" s="261" t="s">
        <v>1389</v>
      </c>
      <c r="H3140" s="261" t="s">
        <v>2576</v>
      </c>
      <c r="I3140" s="261">
        <f>I2869</f>
        <v>644</v>
      </c>
      <c r="J3140" s="261" t="s">
        <v>1389</v>
      </c>
      <c r="K3140" s="261">
        <f>F3140*I3140</f>
        <v>1932</v>
      </c>
      <c r="L3140" s="261"/>
      <c r="M3140" s="261"/>
    </row>
    <row r="3141" spans="5:13" ht="19.5" customHeight="1">
      <c r="E3141" s="261"/>
      <c r="F3141" s="261"/>
      <c r="G3141" s="261"/>
      <c r="H3141" s="269" t="s">
        <v>3417</v>
      </c>
      <c r="I3141" s="261"/>
      <c r="J3141" s="261"/>
      <c r="K3141" s="270">
        <f>SUM(K3139:K3140)</f>
        <v>3572</v>
      </c>
      <c r="L3141" s="261"/>
      <c r="M3141" s="261"/>
    </row>
    <row r="3142" spans="5:13" ht="19.5" customHeight="1">
      <c r="E3142" s="261"/>
      <c r="F3142" s="261"/>
      <c r="G3142" s="261"/>
      <c r="H3142" s="271" t="s">
        <v>2770</v>
      </c>
      <c r="I3142" s="261"/>
      <c r="J3142" s="261"/>
      <c r="K3142" s="272">
        <f>K3141/15</f>
        <v>238.13</v>
      </c>
      <c r="L3142" s="261"/>
      <c r="M3142" s="261"/>
    </row>
    <row r="3143" spans="5:13">
      <c r="E3143" s="261"/>
      <c r="F3143" s="261"/>
      <c r="G3143" s="261"/>
      <c r="H3143" s="261"/>
      <c r="I3143" s="261"/>
      <c r="J3143" s="261"/>
      <c r="K3143" s="261"/>
      <c r="L3143" s="261"/>
      <c r="M3143" s="261"/>
    </row>
    <row r="3144" spans="5:13">
      <c r="E3144" s="261"/>
      <c r="F3144" s="261"/>
      <c r="G3144" s="261"/>
      <c r="H3144" s="272" t="s">
        <v>3418</v>
      </c>
      <c r="I3144" s="261"/>
      <c r="J3144" s="261"/>
      <c r="K3144" s="261"/>
      <c r="L3144" s="261"/>
      <c r="M3144" s="261"/>
    </row>
    <row r="3145" spans="5:13">
      <c r="E3145" s="261"/>
      <c r="F3145" s="261"/>
      <c r="G3145" s="261"/>
      <c r="H3145" s="261"/>
      <c r="I3145" s="261"/>
      <c r="J3145" s="261"/>
      <c r="K3145" s="261"/>
      <c r="L3145" s="261"/>
      <c r="M3145" s="261"/>
    </row>
    <row r="3146" spans="5:13" ht="65.25" customHeight="1">
      <c r="E3146" s="261"/>
      <c r="F3146" s="261"/>
      <c r="G3146" s="261"/>
      <c r="H3146" s="258" t="s">
        <v>3419</v>
      </c>
      <c r="I3146" s="261"/>
      <c r="J3146" s="261"/>
      <c r="K3146" s="261"/>
      <c r="L3146" s="261"/>
      <c r="M3146" s="261"/>
    </row>
    <row r="3147" spans="5:13">
      <c r="E3147" s="261"/>
      <c r="F3147" s="261"/>
      <c r="G3147" s="261"/>
      <c r="H3147" s="261"/>
      <c r="I3147" s="261"/>
      <c r="J3147" s="261"/>
      <c r="K3147" s="261"/>
      <c r="L3147" s="261"/>
      <c r="M3147" s="261"/>
    </row>
    <row r="3148" spans="5:13" ht="78" customHeight="1">
      <c r="E3148" s="261"/>
      <c r="F3148" s="261"/>
      <c r="G3148" s="261"/>
      <c r="H3148" s="260" t="s">
        <v>2740</v>
      </c>
      <c r="I3148" s="261"/>
      <c r="J3148" s="261"/>
      <c r="K3148" s="261"/>
      <c r="L3148" s="261"/>
      <c r="M3148" s="261"/>
    </row>
    <row r="3149" spans="5:13">
      <c r="E3149" s="261"/>
      <c r="F3149" s="261"/>
      <c r="G3149" s="261"/>
      <c r="H3149" s="261"/>
      <c r="I3149" s="261"/>
      <c r="J3149" s="261"/>
      <c r="K3149" s="261"/>
      <c r="L3149" s="261"/>
      <c r="M3149" s="261"/>
    </row>
    <row r="3150" spans="5:13" s="288" customFormat="1">
      <c r="E3150" s="285"/>
      <c r="F3150" s="285">
        <v>1</v>
      </c>
      <c r="G3150" s="285" t="s">
        <v>1389</v>
      </c>
      <c r="H3150" s="290" t="s">
        <v>2741</v>
      </c>
      <c r="I3150" s="287">
        <v>200</v>
      </c>
      <c r="J3150" s="285" t="s">
        <v>1389</v>
      </c>
      <c r="K3150" s="285">
        <f>F3150*I3150</f>
        <v>200</v>
      </c>
      <c r="L3150" s="285"/>
      <c r="M3150" s="285"/>
    </row>
    <row r="3151" spans="5:13" s="288" customFormat="1" ht="31.5">
      <c r="E3151" s="285"/>
      <c r="F3151" s="285">
        <v>1</v>
      </c>
      <c r="G3151" s="285" t="s">
        <v>1389</v>
      </c>
      <c r="H3151" s="290" t="s">
        <v>3502</v>
      </c>
      <c r="I3151" s="298">
        <v>81.349999999999994</v>
      </c>
      <c r="J3151" s="285" t="s">
        <v>1389</v>
      </c>
      <c r="K3151" s="285">
        <f>F3151*I3151</f>
        <v>81.349999999999994</v>
      </c>
      <c r="L3151" s="285"/>
      <c r="M3151" s="285"/>
    </row>
    <row r="3152" spans="5:13" ht="31.5">
      <c r="E3152" s="261"/>
      <c r="F3152" s="261"/>
      <c r="G3152" s="261"/>
      <c r="H3152" s="260" t="s">
        <v>2743</v>
      </c>
      <c r="I3152" s="261"/>
      <c r="J3152" s="261"/>
      <c r="K3152" s="261">
        <v>9.15</v>
      </c>
      <c r="L3152" s="261"/>
      <c r="M3152" s="261"/>
    </row>
    <row r="3153" spans="5:13">
      <c r="E3153" s="261"/>
      <c r="F3153" s="261"/>
      <c r="G3153" s="261"/>
      <c r="H3153" s="261" t="s">
        <v>911</v>
      </c>
      <c r="I3153" s="261"/>
      <c r="J3153" s="261"/>
      <c r="K3153" s="261">
        <f>K3161</f>
        <v>528.5</v>
      </c>
      <c r="L3153" s="261"/>
      <c r="M3153" s="261"/>
    </row>
    <row r="3154" spans="5:13" ht="19.5" customHeight="1">
      <c r="E3154" s="261"/>
      <c r="F3154" s="261"/>
      <c r="G3154" s="261"/>
      <c r="H3154" s="271" t="s">
        <v>2770</v>
      </c>
      <c r="I3154" s="261"/>
      <c r="J3154" s="261"/>
      <c r="K3154" s="272">
        <f>SUM(K3150:K3153)</f>
        <v>819</v>
      </c>
      <c r="L3154" s="261">
        <f>K3154-562</f>
        <v>257</v>
      </c>
      <c r="M3154" s="261"/>
    </row>
    <row r="3155" spans="5:13">
      <c r="E3155" s="261"/>
      <c r="F3155" s="261"/>
      <c r="G3155" s="261"/>
      <c r="H3155" s="261"/>
      <c r="I3155" s="261"/>
      <c r="J3155" s="261"/>
      <c r="K3155" s="261"/>
      <c r="L3155" s="261"/>
      <c r="M3155" s="261"/>
    </row>
    <row r="3156" spans="5:13">
      <c r="E3156" s="261"/>
      <c r="F3156" s="261"/>
      <c r="G3156" s="261"/>
      <c r="H3156" s="261"/>
      <c r="I3156" s="261"/>
      <c r="J3156" s="261"/>
      <c r="K3156" s="261"/>
      <c r="L3156" s="261"/>
      <c r="M3156" s="261"/>
    </row>
    <row r="3157" spans="5:13">
      <c r="E3157" s="261"/>
      <c r="F3157" s="261"/>
      <c r="G3157" s="261"/>
      <c r="H3157" s="273" t="s">
        <v>911</v>
      </c>
      <c r="I3157" s="261"/>
      <c r="J3157" s="261"/>
      <c r="K3157" s="261"/>
      <c r="L3157" s="261"/>
      <c r="M3157" s="261"/>
    </row>
    <row r="3158" spans="5:13" ht="18.75" customHeight="1">
      <c r="E3158" s="261"/>
      <c r="F3158" s="261">
        <v>1</v>
      </c>
      <c r="G3158" s="261" t="s">
        <v>1389</v>
      </c>
      <c r="H3158" s="261" t="s">
        <v>2744</v>
      </c>
      <c r="I3158" s="261">
        <f>I2867</f>
        <v>826</v>
      </c>
      <c r="J3158" s="261" t="s">
        <v>1389</v>
      </c>
      <c r="K3158" s="261">
        <f>F3158*I3158</f>
        <v>826</v>
      </c>
      <c r="L3158" s="261"/>
      <c r="M3158" s="261"/>
    </row>
    <row r="3159" spans="5:13" ht="18.75" customHeight="1">
      <c r="E3159" s="261"/>
      <c r="F3159" s="261">
        <v>2</v>
      </c>
      <c r="G3159" s="261" t="s">
        <v>1389</v>
      </c>
      <c r="H3159" s="261" t="s">
        <v>2576</v>
      </c>
      <c r="I3159" s="261">
        <f>I3140</f>
        <v>644</v>
      </c>
      <c r="J3159" s="261" t="s">
        <v>1389</v>
      </c>
      <c r="K3159" s="261">
        <f>F3159*I3159</f>
        <v>1288</v>
      </c>
      <c r="L3159" s="261"/>
      <c r="M3159" s="261"/>
    </row>
    <row r="3160" spans="5:13" ht="15" customHeight="1">
      <c r="E3160" s="261"/>
      <c r="F3160" s="261"/>
      <c r="G3160" s="261"/>
      <c r="H3160" s="269" t="s">
        <v>2745</v>
      </c>
      <c r="I3160" s="261"/>
      <c r="J3160" s="261"/>
      <c r="K3160" s="270">
        <f>SUM(K3158:K3159)</f>
        <v>2114</v>
      </c>
      <c r="L3160" s="261"/>
      <c r="M3160" s="261"/>
    </row>
    <row r="3161" spans="5:13" ht="20.25" customHeight="1">
      <c r="E3161" s="261"/>
      <c r="F3161" s="261"/>
      <c r="G3161" s="261"/>
      <c r="H3161" s="271" t="s">
        <v>2864</v>
      </c>
      <c r="I3161" s="261"/>
      <c r="J3161" s="261"/>
      <c r="K3161" s="272">
        <f>K3160/4</f>
        <v>528.5</v>
      </c>
      <c r="L3161" s="261"/>
      <c r="M3161" s="261"/>
    </row>
    <row r="3162" spans="5:13">
      <c r="E3162" s="261"/>
      <c r="F3162" s="261"/>
      <c r="G3162" s="261"/>
      <c r="H3162" s="261"/>
      <c r="I3162" s="261"/>
      <c r="J3162" s="261"/>
      <c r="K3162" s="261"/>
      <c r="L3162" s="261"/>
      <c r="M3162" s="261"/>
    </row>
    <row r="3163" spans="5:13">
      <c r="E3163" s="261"/>
      <c r="F3163" s="261"/>
      <c r="G3163" s="261"/>
      <c r="H3163" s="272" t="s">
        <v>2746</v>
      </c>
      <c r="I3163" s="261"/>
      <c r="J3163" s="261"/>
      <c r="K3163" s="261"/>
      <c r="L3163" s="261"/>
      <c r="M3163" s="261"/>
    </row>
    <row r="3164" spans="5:13">
      <c r="E3164" s="261"/>
      <c r="F3164" s="261"/>
      <c r="G3164" s="261"/>
      <c r="H3164" s="261"/>
      <c r="I3164" s="261"/>
      <c r="J3164" s="261"/>
      <c r="K3164" s="261"/>
      <c r="L3164" s="261"/>
      <c r="M3164" s="261"/>
    </row>
    <row r="3165" spans="5:13" ht="47.25">
      <c r="E3165" s="261"/>
      <c r="F3165" s="261"/>
      <c r="G3165" s="261"/>
      <c r="H3165" s="258" t="s">
        <v>2747</v>
      </c>
      <c r="I3165" s="261"/>
      <c r="J3165" s="261"/>
      <c r="K3165" s="261"/>
      <c r="L3165" s="261"/>
      <c r="M3165" s="261"/>
    </row>
    <row r="3166" spans="5:13">
      <c r="E3166" s="261"/>
      <c r="F3166" s="261"/>
      <c r="G3166" s="261"/>
      <c r="H3166" s="261"/>
      <c r="I3166" s="261"/>
      <c r="J3166" s="261"/>
      <c r="K3166" s="261"/>
      <c r="L3166" s="261"/>
      <c r="M3166" s="261"/>
    </row>
    <row r="3167" spans="5:13" ht="63">
      <c r="E3167" s="261"/>
      <c r="F3167" s="261"/>
      <c r="G3167" s="261"/>
      <c r="H3167" s="260" t="s">
        <v>3193</v>
      </c>
      <c r="I3167" s="261"/>
      <c r="J3167" s="261"/>
      <c r="K3167" s="261"/>
      <c r="L3167" s="261"/>
      <c r="M3167" s="261"/>
    </row>
    <row r="3168" spans="5:13">
      <c r="E3168" s="261"/>
      <c r="F3168" s="261"/>
      <c r="G3168" s="261"/>
      <c r="H3168" s="261"/>
      <c r="I3168" s="261"/>
      <c r="J3168" s="261"/>
      <c r="K3168" s="261"/>
      <c r="L3168" s="261"/>
      <c r="M3168" s="261"/>
    </row>
    <row r="3169" spans="5:13" s="288" customFormat="1" ht="39.75" customHeight="1">
      <c r="E3169" s="285"/>
      <c r="F3169" s="285">
        <v>1</v>
      </c>
      <c r="G3169" s="285" t="s">
        <v>1389</v>
      </c>
      <c r="H3169" s="290" t="s">
        <v>3194</v>
      </c>
      <c r="I3169" s="287">
        <v>455</v>
      </c>
      <c r="J3169" s="285" t="s">
        <v>1389</v>
      </c>
      <c r="K3169" s="285">
        <f>F3169*I3169</f>
        <v>455</v>
      </c>
      <c r="L3169" s="285"/>
      <c r="M3169" s="285"/>
    </row>
    <row r="3170" spans="5:13" s="288" customFormat="1" ht="39" customHeight="1">
      <c r="E3170" s="285"/>
      <c r="F3170" s="285">
        <v>1</v>
      </c>
      <c r="G3170" s="285" t="s">
        <v>1389</v>
      </c>
      <c r="H3170" s="290" t="s">
        <v>2742</v>
      </c>
      <c r="I3170" s="285">
        <f>I3151</f>
        <v>81.349999999999994</v>
      </c>
      <c r="J3170" s="285" t="s">
        <v>1389</v>
      </c>
      <c r="K3170" s="285">
        <f>F3170*I3170</f>
        <v>81.349999999999994</v>
      </c>
      <c r="L3170" s="285"/>
      <c r="M3170" s="285"/>
    </row>
    <row r="3171" spans="5:13" ht="42.75" customHeight="1">
      <c r="E3171" s="261"/>
      <c r="F3171" s="261"/>
      <c r="G3171" s="261"/>
      <c r="H3171" s="260" t="s">
        <v>2743</v>
      </c>
      <c r="I3171" s="261"/>
      <c r="J3171" s="261"/>
      <c r="K3171" s="261">
        <v>9.15</v>
      </c>
      <c r="L3171" s="261"/>
      <c r="M3171" s="261"/>
    </row>
    <row r="3172" spans="5:13" ht="20.100000000000001" customHeight="1">
      <c r="E3172" s="261"/>
      <c r="F3172" s="261"/>
      <c r="G3172" s="261"/>
      <c r="H3172" s="261" t="s">
        <v>911</v>
      </c>
      <c r="I3172" s="261"/>
      <c r="J3172" s="261"/>
      <c r="K3172" s="261">
        <f>K3161</f>
        <v>528.5</v>
      </c>
      <c r="L3172" s="261"/>
      <c r="M3172" s="261"/>
    </row>
    <row r="3173" spans="5:13" ht="30" customHeight="1">
      <c r="E3173" s="261"/>
      <c r="F3173" s="261"/>
      <c r="G3173" s="261"/>
      <c r="H3173" s="271" t="s">
        <v>2770</v>
      </c>
      <c r="I3173" s="261"/>
      <c r="J3173" s="261"/>
      <c r="K3173" s="272">
        <f>SUM(K3169:K3172)</f>
        <v>1074</v>
      </c>
      <c r="L3173" s="261">
        <f>806-K3173</f>
        <v>-268</v>
      </c>
      <c r="M3173" s="261"/>
    </row>
    <row r="3174" spans="5:13">
      <c r="E3174" s="261"/>
      <c r="F3174" s="261"/>
      <c r="G3174" s="261"/>
      <c r="H3174" s="261"/>
      <c r="I3174" s="261"/>
      <c r="J3174" s="261"/>
      <c r="K3174" s="261"/>
      <c r="L3174" s="261"/>
      <c r="M3174" s="261"/>
    </row>
    <row r="3175" spans="5:13">
      <c r="E3175" s="261"/>
      <c r="F3175" s="261"/>
      <c r="G3175" s="261"/>
      <c r="H3175" s="261"/>
      <c r="I3175" s="261"/>
      <c r="J3175" s="261"/>
      <c r="K3175" s="261"/>
      <c r="L3175" s="261"/>
      <c r="M3175" s="261"/>
    </row>
    <row r="3176" spans="5:13" ht="20.100000000000001" customHeight="1">
      <c r="E3176" s="261"/>
      <c r="F3176" s="261"/>
      <c r="G3176" s="261"/>
      <c r="H3176" s="272" t="s">
        <v>3200</v>
      </c>
      <c r="I3176" s="261"/>
      <c r="J3176" s="261"/>
      <c r="K3176" s="261"/>
      <c r="L3176" s="261"/>
      <c r="M3176" s="261"/>
    </row>
    <row r="3177" spans="5:13">
      <c r="E3177" s="261"/>
      <c r="F3177" s="261"/>
      <c r="G3177" s="261"/>
      <c r="H3177" s="261"/>
      <c r="I3177" s="261"/>
      <c r="J3177" s="261"/>
      <c r="K3177" s="261"/>
      <c r="L3177" s="261"/>
      <c r="M3177" s="261"/>
    </row>
    <row r="3178" spans="5:13" ht="58.5" customHeight="1">
      <c r="E3178" s="261"/>
      <c r="F3178" s="261"/>
      <c r="G3178" s="261"/>
      <c r="H3178" s="260" t="s">
        <v>2396</v>
      </c>
      <c r="I3178" s="261"/>
      <c r="J3178" s="261"/>
      <c r="K3178" s="261"/>
      <c r="L3178" s="261"/>
      <c r="M3178" s="261"/>
    </row>
    <row r="3179" spans="5:13">
      <c r="E3179" s="261"/>
      <c r="F3179" s="261"/>
      <c r="G3179" s="261"/>
      <c r="H3179" s="261"/>
      <c r="I3179" s="261"/>
      <c r="J3179" s="261"/>
      <c r="K3179" s="261"/>
      <c r="L3179" s="261"/>
      <c r="M3179" s="261"/>
    </row>
    <row r="3180" spans="5:13" ht="40.5" customHeight="1">
      <c r="E3180" s="261"/>
      <c r="F3180" s="261">
        <v>1</v>
      </c>
      <c r="G3180" s="261" t="s">
        <v>1389</v>
      </c>
      <c r="H3180" s="260" t="s">
        <v>4261</v>
      </c>
      <c r="I3180" s="263">
        <v>439</v>
      </c>
      <c r="J3180" s="261" t="s">
        <v>1389</v>
      </c>
      <c r="K3180" s="261">
        <f>F3180*I3180</f>
        <v>439</v>
      </c>
      <c r="L3180" s="261"/>
      <c r="M3180" s="261"/>
    </row>
    <row r="3181" spans="5:13" ht="20.100000000000001" customHeight="1">
      <c r="E3181" s="261"/>
      <c r="F3181" s="261">
        <v>1</v>
      </c>
      <c r="G3181" s="261" t="s">
        <v>1389</v>
      </c>
      <c r="H3181" s="261" t="s">
        <v>2397</v>
      </c>
      <c r="I3181" s="261">
        <f>I3170</f>
        <v>81.349999999999994</v>
      </c>
      <c r="J3181" s="261" t="s">
        <v>1389</v>
      </c>
      <c r="K3181" s="261">
        <f>F3181*I3181</f>
        <v>81.349999999999994</v>
      </c>
      <c r="L3181" s="261"/>
      <c r="M3181" s="261"/>
    </row>
    <row r="3182" spans="5:13" ht="20.100000000000001" customHeight="1">
      <c r="E3182" s="261"/>
      <c r="F3182" s="261"/>
      <c r="G3182" s="261"/>
      <c r="H3182" s="261" t="s">
        <v>2261</v>
      </c>
      <c r="I3182" s="261"/>
      <c r="J3182" s="261"/>
      <c r="K3182" s="261">
        <f>8.65+1.07+0.43</f>
        <v>10.15</v>
      </c>
      <c r="L3182" s="261"/>
      <c r="M3182" s="261"/>
    </row>
    <row r="3183" spans="5:13" ht="20.100000000000001" customHeight="1">
      <c r="E3183" s="261"/>
      <c r="F3183" s="261"/>
      <c r="G3183" s="261"/>
      <c r="H3183" s="261" t="s">
        <v>2398</v>
      </c>
      <c r="I3183" s="261"/>
      <c r="J3183" s="261"/>
      <c r="K3183" s="261">
        <f>K3161</f>
        <v>528.5</v>
      </c>
      <c r="L3183" s="261"/>
      <c r="M3183" s="261"/>
    </row>
    <row r="3184" spans="5:13" ht="30" customHeight="1">
      <c r="E3184" s="261"/>
      <c r="F3184" s="261"/>
      <c r="G3184" s="261"/>
      <c r="H3184" s="271" t="s">
        <v>1058</v>
      </c>
      <c r="I3184" s="261"/>
      <c r="J3184" s="261"/>
      <c r="K3184" s="272">
        <f>SUM(K3180:K3183)</f>
        <v>1059</v>
      </c>
      <c r="L3184" s="261">
        <f>891-K3184</f>
        <v>-168</v>
      </c>
      <c r="M3184" s="261"/>
    </row>
    <row r="3185" spans="5:13">
      <c r="E3185" s="261"/>
      <c r="F3185" s="261"/>
      <c r="G3185" s="261"/>
      <c r="H3185" s="261"/>
      <c r="I3185" s="261"/>
      <c r="J3185" s="261"/>
      <c r="K3185" s="261"/>
      <c r="L3185" s="261"/>
      <c r="M3185" s="261"/>
    </row>
    <row r="3186" spans="5:13" ht="20.100000000000001" customHeight="1">
      <c r="E3186" s="261"/>
      <c r="F3186" s="261"/>
      <c r="G3186" s="261"/>
      <c r="H3186" s="272" t="s">
        <v>2746</v>
      </c>
      <c r="I3186" s="261"/>
      <c r="J3186" s="261"/>
      <c r="K3186" s="261"/>
      <c r="L3186" s="261"/>
      <c r="M3186" s="261"/>
    </row>
    <row r="3187" spans="5:13">
      <c r="E3187" s="261"/>
      <c r="F3187" s="261"/>
      <c r="G3187" s="261"/>
      <c r="H3187" s="261"/>
      <c r="I3187" s="261"/>
      <c r="J3187" s="261"/>
      <c r="K3187" s="261"/>
      <c r="L3187" s="261"/>
      <c r="M3187" s="261"/>
    </row>
    <row r="3188" spans="5:13" ht="52.5" customHeight="1">
      <c r="E3188" s="261"/>
      <c r="F3188" s="261"/>
      <c r="G3188" s="261"/>
      <c r="H3188" s="258" t="s">
        <v>3405</v>
      </c>
      <c r="I3188" s="261"/>
      <c r="J3188" s="261"/>
      <c r="K3188" s="261"/>
      <c r="L3188" s="261"/>
      <c r="M3188" s="261"/>
    </row>
    <row r="3189" spans="5:13">
      <c r="E3189" s="261"/>
      <c r="F3189" s="261"/>
      <c r="G3189" s="261"/>
      <c r="H3189" s="261"/>
      <c r="I3189" s="261"/>
      <c r="J3189" s="261"/>
      <c r="K3189" s="261"/>
      <c r="L3189" s="261"/>
      <c r="M3189" s="261"/>
    </row>
    <row r="3190" spans="5:13" ht="88.5" customHeight="1">
      <c r="E3190" s="261"/>
      <c r="F3190" s="261"/>
      <c r="G3190" s="261"/>
      <c r="H3190" s="260" t="s">
        <v>3406</v>
      </c>
      <c r="I3190" s="261"/>
      <c r="J3190" s="261"/>
      <c r="K3190" s="261"/>
      <c r="L3190" s="261"/>
      <c r="M3190" s="261"/>
    </row>
    <row r="3191" spans="5:13" ht="38.25" customHeight="1">
      <c r="E3191" s="261"/>
      <c r="F3191" s="261">
        <v>1</v>
      </c>
      <c r="G3191" s="261" t="s">
        <v>1389</v>
      </c>
      <c r="H3191" s="260" t="s">
        <v>3407</v>
      </c>
      <c r="I3191" s="266">
        <v>480</v>
      </c>
      <c r="J3191" s="261" t="s">
        <v>1389</v>
      </c>
      <c r="K3191" s="261">
        <f>F3191*I3191</f>
        <v>480</v>
      </c>
      <c r="L3191" s="261"/>
      <c r="M3191" s="261"/>
    </row>
    <row r="3192" spans="5:13" ht="40.5" customHeight="1">
      <c r="E3192" s="261"/>
      <c r="F3192" s="261">
        <v>1</v>
      </c>
      <c r="G3192" s="261" t="s">
        <v>1389</v>
      </c>
      <c r="H3192" s="260" t="s">
        <v>2586</v>
      </c>
      <c r="I3192" s="261">
        <v>130</v>
      </c>
      <c r="J3192" s="261" t="s">
        <v>1389</v>
      </c>
      <c r="K3192" s="261">
        <f>F3192*I3192</f>
        <v>130</v>
      </c>
      <c r="L3192" s="261"/>
      <c r="M3192" s="261"/>
    </row>
    <row r="3193" spans="5:13" ht="38.25" customHeight="1">
      <c r="E3193" s="261"/>
      <c r="F3193" s="261"/>
      <c r="G3193" s="261"/>
      <c r="H3193" s="260" t="s">
        <v>2587</v>
      </c>
      <c r="I3193" s="261"/>
      <c r="J3193" s="261"/>
      <c r="K3193" s="261">
        <v>12.67</v>
      </c>
      <c r="L3193" s="261"/>
      <c r="M3193" s="261"/>
    </row>
    <row r="3194" spans="5:13" ht="23.25" customHeight="1">
      <c r="E3194" s="261"/>
      <c r="F3194" s="261"/>
      <c r="G3194" s="261"/>
      <c r="H3194" s="261" t="s">
        <v>911</v>
      </c>
      <c r="I3194" s="261"/>
      <c r="J3194" s="261"/>
      <c r="K3194" s="261">
        <f>K3201</f>
        <v>704.67</v>
      </c>
      <c r="L3194" s="261"/>
      <c r="M3194" s="261"/>
    </row>
    <row r="3195" spans="5:13" ht="30" customHeight="1">
      <c r="E3195" s="261"/>
      <c r="F3195" s="261"/>
      <c r="G3195" s="261"/>
      <c r="H3195" s="271" t="s">
        <v>1058</v>
      </c>
      <c r="I3195" s="261"/>
      <c r="J3195" s="261"/>
      <c r="K3195" s="272">
        <f>SUM(K3191:K3194)</f>
        <v>1327.34</v>
      </c>
      <c r="L3195" s="261">
        <f>968-K3195</f>
        <v>-359.34</v>
      </c>
      <c r="M3195" s="261"/>
    </row>
    <row r="3196" spans="5:13">
      <c r="E3196" s="261"/>
      <c r="F3196" s="261"/>
      <c r="G3196" s="261"/>
      <c r="H3196" s="261"/>
      <c r="I3196" s="261"/>
      <c r="J3196" s="261"/>
      <c r="K3196" s="261"/>
      <c r="L3196" s="261"/>
      <c r="M3196" s="261"/>
    </row>
    <row r="3197" spans="5:13" ht="20.100000000000001" customHeight="1">
      <c r="E3197" s="261"/>
      <c r="F3197" s="261"/>
      <c r="G3197" s="261"/>
      <c r="H3197" s="270" t="s">
        <v>911</v>
      </c>
      <c r="I3197" s="261"/>
      <c r="J3197" s="261"/>
      <c r="K3197" s="261"/>
      <c r="L3197" s="261"/>
      <c r="M3197" s="261"/>
    </row>
    <row r="3198" spans="5:13">
      <c r="E3198" s="261"/>
      <c r="F3198" s="261">
        <v>1</v>
      </c>
      <c r="G3198" s="261" t="s">
        <v>1389</v>
      </c>
      <c r="H3198" s="261" t="s">
        <v>2588</v>
      </c>
      <c r="I3198" s="261">
        <f>I3158</f>
        <v>826</v>
      </c>
      <c r="J3198" s="261" t="s">
        <v>1389</v>
      </c>
      <c r="K3198" s="261">
        <f>F3198*I3198</f>
        <v>826</v>
      </c>
      <c r="L3198" s="261"/>
      <c r="M3198" s="261"/>
    </row>
    <row r="3199" spans="5:13">
      <c r="E3199" s="261"/>
      <c r="F3199" s="261">
        <v>2</v>
      </c>
      <c r="G3199" s="261" t="s">
        <v>1389</v>
      </c>
      <c r="H3199" s="261" t="s">
        <v>3054</v>
      </c>
      <c r="I3199" s="261">
        <f>I3159</f>
        <v>644</v>
      </c>
      <c r="J3199" s="261" t="s">
        <v>1389</v>
      </c>
      <c r="K3199" s="261">
        <f>F3199*I3199</f>
        <v>1288</v>
      </c>
      <c r="L3199" s="261"/>
      <c r="M3199" s="261"/>
    </row>
    <row r="3200" spans="5:13" ht="20.100000000000001" customHeight="1">
      <c r="E3200" s="261"/>
      <c r="F3200" s="261"/>
      <c r="G3200" s="261"/>
      <c r="H3200" s="269" t="s">
        <v>3056</v>
      </c>
      <c r="I3200" s="261"/>
      <c r="J3200" s="261"/>
      <c r="K3200" s="261">
        <f>SUM(K3198:K3199)</f>
        <v>2114</v>
      </c>
      <c r="L3200" s="261"/>
      <c r="M3200" s="261"/>
    </row>
    <row r="3201" spans="5:13" ht="20.100000000000001" customHeight="1">
      <c r="E3201" s="261"/>
      <c r="F3201" s="261"/>
      <c r="G3201" s="261"/>
      <c r="H3201" s="271" t="s">
        <v>2770</v>
      </c>
      <c r="I3201" s="261"/>
      <c r="J3201" s="261"/>
      <c r="K3201" s="272">
        <f>K3200/3</f>
        <v>704.67</v>
      </c>
      <c r="L3201" s="261"/>
      <c r="M3201" s="261"/>
    </row>
    <row r="3202" spans="5:13">
      <c r="E3202" s="261"/>
      <c r="F3202" s="261"/>
      <c r="G3202" s="261"/>
      <c r="H3202" s="261"/>
      <c r="I3202" s="261"/>
      <c r="J3202" s="261"/>
      <c r="K3202" s="261"/>
      <c r="L3202" s="261"/>
      <c r="M3202" s="261"/>
    </row>
    <row r="3203" spans="5:13" ht="30" customHeight="1">
      <c r="E3203" s="261"/>
      <c r="F3203" s="261"/>
      <c r="G3203" s="261"/>
      <c r="H3203" s="272" t="s">
        <v>2589</v>
      </c>
      <c r="I3203" s="261"/>
      <c r="J3203" s="261"/>
      <c r="K3203" s="261"/>
      <c r="L3203" s="261"/>
      <c r="M3203" s="261"/>
    </row>
    <row r="3204" spans="5:13">
      <c r="E3204" s="261"/>
      <c r="F3204" s="261"/>
      <c r="G3204" s="261"/>
      <c r="H3204" s="261"/>
      <c r="I3204" s="261"/>
      <c r="J3204" s="261"/>
      <c r="K3204" s="261"/>
      <c r="L3204" s="261"/>
      <c r="M3204" s="261"/>
    </row>
    <row r="3205" spans="5:13" ht="91.5" customHeight="1">
      <c r="E3205" s="261"/>
      <c r="F3205" s="261"/>
      <c r="G3205" s="261"/>
      <c r="H3205" s="258" t="s">
        <v>5637</v>
      </c>
      <c r="I3205" s="261"/>
      <c r="J3205" s="261"/>
      <c r="K3205" s="261"/>
      <c r="L3205" s="261"/>
      <c r="M3205" s="261"/>
    </row>
    <row r="3206" spans="5:13" ht="30" customHeight="1">
      <c r="E3206" s="261"/>
      <c r="F3206" s="261">
        <v>1</v>
      </c>
      <c r="G3206" s="261" t="s">
        <v>1389</v>
      </c>
      <c r="H3206" s="261" t="s">
        <v>2603</v>
      </c>
      <c r="I3206" s="266">
        <v>800</v>
      </c>
      <c r="J3206" s="261" t="s">
        <v>1389</v>
      </c>
      <c r="K3206" s="261">
        <f>F3206*I3206</f>
        <v>800</v>
      </c>
      <c r="L3206" s="261"/>
      <c r="M3206" s="261"/>
    </row>
    <row r="3207" spans="5:13" ht="43.5" customHeight="1">
      <c r="E3207" s="261"/>
      <c r="F3207" s="261">
        <v>1</v>
      </c>
      <c r="G3207" s="261" t="s">
        <v>1389</v>
      </c>
      <c r="H3207" s="260" t="s">
        <v>2586</v>
      </c>
      <c r="I3207" s="261">
        <f>I3192</f>
        <v>130</v>
      </c>
      <c r="J3207" s="261" t="s">
        <v>1389</v>
      </c>
      <c r="K3207" s="261">
        <f>F3207*I3207</f>
        <v>130</v>
      </c>
      <c r="L3207" s="261"/>
      <c r="M3207" s="261"/>
    </row>
    <row r="3208" spans="5:13" ht="41.25" customHeight="1">
      <c r="E3208" s="261"/>
      <c r="F3208" s="261"/>
      <c r="G3208" s="261"/>
      <c r="H3208" s="260" t="s">
        <v>2587</v>
      </c>
      <c r="I3208" s="261"/>
      <c r="J3208" s="261"/>
      <c r="K3208" s="261">
        <v>10.67</v>
      </c>
      <c r="L3208" s="261"/>
      <c r="M3208" s="261"/>
    </row>
    <row r="3209" spans="5:13" ht="30" customHeight="1">
      <c r="E3209" s="261"/>
      <c r="F3209" s="261"/>
      <c r="G3209" s="261"/>
      <c r="H3209" s="261" t="s">
        <v>911</v>
      </c>
      <c r="I3209" s="261"/>
      <c r="J3209" s="261"/>
      <c r="K3209" s="261">
        <f>K3201</f>
        <v>704.67</v>
      </c>
      <c r="L3209" s="261"/>
      <c r="M3209" s="261"/>
    </row>
    <row r="3210" spans="5:13" ht="30" customHeight="1">
      <c r="E3210" s="261"/>
      <c r="F3210" s="261"/>
      <c r="G3210" s="261"/>
      <c r="H3210" s="271" t="s">
        <v>1058</v>
      </c>
      <c r="I3210" s="261"/>
      <c r="J3210" s="261"/>
      <c r="K3210" s="272">
        <f>SUM(K3206:K3209)</f>
        <v>1645.34</v>
      </c>
      <c r="L3210" s="261">
        <f>1287-K3210</f>
        <v>-358.34</v>
      </c>
      <c r="M3210" s="261"/>
    </row>
    <row r="3211" spans="5:13">
      <c r="E3211" s="261"/>
      <c r="F3211" s="261"/>
      <c r="G3211" s="261"/>
      <c r="H3211" s="261"/>
      <c r="I3211" s="261"/>
      <c r="J3211" s="261"/>
      <c r="K3211" s="261"/>
      <c r="L3211" s="261"/>
      <c r="M3211" s="261"/>
    </row>
    <row r="3212" spans="5:13" ht="30" customHeight="1">
      <c r="E3212" s="261"/>
      <c r="F3212" s="261"/>
      <c r="G3212" s="261"/>
      <c r="H3212" s="272" t="s">
        <v>2604</v>
      </c>
      <c r="I3212" s="261"/>
      <c r="J3212" s="261"/>
      <c r="K3212" s="261"/>
      <c r="L3212" s="261"/>
      <c r="M3212" s="261"/>
    </row>
    <row r="3213" spans="5:13">
      <c r="E3213" s="261"/>
      <c r="F3213" s="261"/>
      <c r="G3213" s="261"/>
      <c r="H3213" s="261"/>
      <c r="I3213" s="261"/>
      <c r="J3213" s="261"/>
      <c r="K3213" s="261"/>
      <c r="L3213" s="261"/>
      <c r="M3213" s="261"/>
    </row>
    <row r="3214" spans="5:13" ht="74.25" customHeight="1">
      <c r="E3214" s="261"/>
      <c r="F3214" s="261"/>
      <c r="G3214" s="261"/>
      <c r="H3214" s="258" t="s">
        <v>3113</v>
      </c>
      <c r="I3214" s="261"/>
      <c r="J3214" s="261"/>
      <c r="K3214" s="261"/>
      <c r="L3214" s="261"/>
      <c r="M3214" s="261"/>
    </row>
    <row r="3215" spans="5:13" ht="95.25" customHeight="1">
      <c r="E3215" s="261"/>
      <c r="F3215" s="261"/>
      <c r="G3215" s="261"/>
      <c r="H3215" s="260" t="s">
        <v>3376</v>
      </c>
      <c r="I3215" s="261"/>
      <c r="J3215" s="261"/>
      <c r="K3215" s="261"/>
      <c r="L3215" s="261"/>
      <c r="M3215" s="261"/>
    </row>
    <row r="3216" spans="5:13">
      <c r="E3216" s="261"/>
      <c r="F3216" s="261"/>
      <c r="G3216" s="261"/>
      <c r="H3216" s="261"/>
      <c r="I3216" s="261"/>
      <c r="J3216" s="261"/>
      <c r="K3216" s="261"/>
      <c r="L3216" s="261"/>
      <c r="M3216" s="261"/>
    </row>
    <row r="3217" spans="5:14" ht="45" customHeight="1">
      <c r="E3217" s="261"/>
      <c r="F3217" s="261">
        <v>1</v>
      </c>
      <c r="G3217" s="261" t="s">
        <v>1389</v>
      </c>
      <c r="H3217" s="260" t="s">
        <v>4262</v>
      </c>
      <c r="I3217" s="263">
        <v>2190</v>
      </c>
      <c r="J3217" s="261" t="s">
        <v>1389</v>
      </c>
      <c r="K3217" s="261">
        <f>F3217*I3217</f>
        <v>2190</v>
      </c>
      <c r="L3217" s="261"/>
      <c r="M3217" s="261"/>
    </row>
    <row r="3218" spans="5:14" ht="30" customHeight="1">
      <c r="E3218" s="261"/>
      <c r="F3218" s="261">
        <v>1</v>
      </c>
      <c r="G3218" s="261" t="s">
        <v>1389</v>
      </c>
      <c r="H3218" s="261" t="s">
        <v>3377</v>
      </c>
      <c r="I3218" s="263">
        <f>K3222</f>
        <v>433.59</v>
      </c>
      <c r="J3218" s="261" t="s">
        <v>1389</v>
      </c>
      <c r="K3218" s="261">
        <f>F3218*I3218</f>
        <v>433.59</v>
      </c>
      <c r="L3218" s="261"/>
      <c r="M3218" s="261"/>
    </row>
    <row r="3219" spans="5:14" ht="44.25" customHeight="1">
      <c r="E3219" s="261"/>
      <c r="F3219" s="261"/>
      <c r="G3219" s="261"/>
      <c r="H3219" s="260" t="s">
        <v>3378</v>
      </c>
      <c r="I3219" s="261"/>
      <c r="J3219" s="261"/>
      <c r="K3219" s="261">
        <f>26.9+0.18</f>
        <v>27.08</v>
      </c>
      <c r="L3219" s="261"/>
      <c r="M3219" s="261"/>
    </row>
    <row r="3220" spans="5:14" ht="30" customHeight="1">
      <c r="E3220" s="261"/>
      <c r="F3220" s="261"/>
      <c r="G3220" s="261"/>
      <c r="H3220" s="261" t="s">
        <v>911</v>
      </c>
      <c r="I3220" s="261"/>
      <c r="J3220" s="261"/>
      <c r="K3220" s="261">
        <f>K3201</f>
        <v>704.67</v>
      </c>
      <c r="L3220" s="261"/>
      <c r="M3220" s="261"/>
    </row>
    <row r="3221" spans="5:14" ht="30" customHeight="1">
      <c r="E3221" s="261"/>
      <c r="F3221" s="261"/>
      <c r="G3221" s="261"/>
      <c r="H3221" s="271" t="s">
        <v>1058</v>
      </c>
      <c r="I3221" s="261"/>
      <c r="J3221" s="261"/>
      <c r="K3221" s="272">
        <f>SUM(K3217:K3220)</f>
        <v>3355.34</v>
      </c>
      <c r="L3221" s="261">
        <f>K3221-3050</f>
        <v>305.33999999999997</v>
      </c>
      <c r="M3221" s="261"/>
    </row>
    <row r="3222" spans="5:14" ht="30" customHeight="1">
      <c r="E3222" s="261"/>
      <c r="F3222" s="261"/>
      <c r="G3222" s="261"/>
      <c r="H3222" s="261" t="s">
        <v>3847</v>
      </c>
      <c r="I3222" s="263">
        <f>N3222</f>
        <v>107060</v>
      </c>
      <c r="J3222" s="292">
        <f>0.75*0.45*0.012</f>
        <v>4.0499999999999998E-3</v>
      </c>
      <c r="K3222" s="261">
        <f>J3222*I3222</f>
        <v>433.59</v>
      </c>
      <c r="L3222" s="261"/>
      <c r="M3222" s="261">
        <f>6180+82300</f>
        <v>88480</v>
      </c>
      <c r="N3222" s="252">
        <f>7460+99600</f>
        <v>107060</v>
      </c>
    </row>
    <row r="3223" spans="5:14" ht="30" customHeight="1">
      <c r="E3223" s="261"/>
      <c r="F3223" s="261"/>
      <c r="G3223" s="261"/>
      <c r="H3223" s="272" t="s">
        <v>3379</v>
      </c>
      <c r="I3223" s="261"/>
      <c r="J3223" s="261"/>
      <c r="K3223" s="261"/>
      <c r="L3223" s="261"/>
      <c r="M3223" s="261"/>
    </row>
    <row r="3224" spans="5:14">
      <c r="E3224" s="261"/>
      <c r="F3224" s="261"/>
      <c r="G3224" s="261"/>
      <c r="H3224" s="261"/>
      <c r="I3224" s="261"/>
      <c r="J3224" s="261"/>
      <c r="K3224" s="261"/>
      <c r="L3224" s="261"/>
      <c r="M3224" s="261"/>
    </row>
    <row r="3225" spans="5:14" ht="92.25" customHeight="1">
      <c r="E3225" s="261"/>
      <c r="F3225" s="261"/>
      <c r="G3225" s="261"/>
      <c r="H3225" s="258" t="s">
        <v>2572</v>
      </c>
      <c r="I3225" s="261"/>
      <c r="J3225" s="261"/>
      <c r="K3225" s="261"/>
      <c r="L3225" s="261"/>
      <c r="M3225" s="261"/>
    </row>
    <row r="3226" spans="5:14">
      <c r="E3226" s="261"/>
      <c r="F3226" s="261"/>
      <c r="G3226" s="261"/>
      <c r="H3226" s="261"/>
      <c r="I3226" s="261"/>
      <c r="J3226" s="261"/>
      <c r="K3226" s="261"/>
      <c r="L3226" s="261"/>
      <c r="M3226" s="261"/>
    </row>
    <row r="3227" spans="5:14" ht="30" customHeight="1">
      <c r="E3227" s="261"/>
      <c r="F3227" s="261"/>
      <c r="G3227" s="261"/>
      <c r="H3227" s="261" t="s">
        <v>2573</v>
      </c>
      <c r="I3227" s="261"/>
      <c r="J3227" s="261"/>
      <c r="K3227" s="261"/>
      <c r="L3227" s="261"/>
      <c r="M3227" s="261"/>
    </row>
    <row r="3228" spans="5:14">
      <c r="E3228" s="261"/>
      <c r="F3228" s="261"/>
      <c r="G3228" s="261"/>
      <c r="H3228" s="261"/>
      <c r="I3228" s="261"/>
      <c r="J3228" s="261"/>
      <c r="K3228" s="261"/>
      <c r="L3228" s="261"/>
      <c r="M3228" s="261"/>
    </row>
    <row r="3229" spans="5:14" ht="30" customHeight="1">
      <c r="E3229" s="261"/>
      <c r="F3229" s="261"/>
      <c r="G3229" s="261"/>
      <c r="H3229" s="261" t="s">
        <v>2938</v>
      </c>
      <c r="I3229" s="261"/>
      <c r="J3229" s="261"/>
      <c r="K3229" s="261">
        <f>K3221</f>
        <v>3355.34</v>
      </c>
      <c r="L3229" s="261"/>
      <c r="M3229" s="261"/>
    </row>
    <row r="3230" spans="5:14" ht="30" customHeight="1">
      <c r="E3230" s="261"/>
      <c r="F3230" s="261">
        <v>1</v>
      </c>
      <c r="G3230" s="261" t="s">
        <v>1389</v>
      </c>
      <c r="H3230" s="261" t="s">
        <v>4263</v>
      </c>
      <c r="I3230" s="263">
        <v>2925</v>
      </c>
      <c r="J3230" s="261" t="s">
        <v>1389</v>
      </c>
      <c r="K3230" s="261">
        <f>F3230*I3230</f>
        <v>2925</v>
      </c>
      <c r="L3230" s="261"/>
      <c r="M3230" s="261"/>
    </row>
    <row r="3231" spans="5:14" ht="30" customHeight="1">
      <c r="E3231" s="261"/>
      <c r="F3231" s="261">
        <v>1</v>
      </c>
      <c r="G3231" s="261" t="s">
        <v>1389</v>
      </c>
      <c r="H3231" s="261" t="s">
        <v>4264</v>
      </c>
      <c r="I3231" s="264">
        <f>I3217</f>
        <v>2190</v>
      </c>
      <c r="J3231" s="261" t="s">
        <v>1389</v>
      </c>
      <c r="K3231" s="261">
        <f>F3231*I3231</f>
        <v>2190</v>
      </c>
      <c r="L3231" s="261"/>
      <c r="M3231" s="261"/>
    </row>
    <row r="3232" spans="5:14" ht="30" customHeight="1">
      <c r="E3232" s="261"/>
      <c r="F3232" s="261"/>
      <c r="G3232" s="261"/>
      <c r="H3232" s="261" t="s">
        <v>2261</v>
      </c>
      <c r="I3232" s="261"/>
      <c r="J3232" s="261"/>
      <c r="K3232" s="261">
        <f>1.31+0.69</f>
        <v>2</v>
      </c>
      <c r="L3232" s="261"/>
      <c r="M3232" s="261"/>
    </row>
    <row r="3233" spans="5:13" ht="30" customHeight="1">
      <c r="E3233" s="261"/>
      <c r="F3233" s="261"/>
      <c r="G3233" s="261"/>
      <c r="H3233" s="271" t="s">
        <v>1058</v>
      </c>
      <c r="I3233" s="261"/>
      <c r="J3233" s="261"/>
      <c r="K3233" s="272">
        <f>K3229+K3230-K3231+K3232</f>
        <v>4092.34</v>
      </c>
      <c r="L3233" s="261"/>
      <c r="M3233" s="261"/>
    </row>
    <row r="3234" spans="5:13" ht="39.75" customHeight="1">
      <c r="E3234" s="261"/>
      <c r="F3234" s="261"/>
      <c r="G3234" s="261"/>
      <c r="H3234" s="261"/>
      <c r="I3234" s="261"/>
      <c r="J3234" s="261"/>
      <c r="K3234" s="261"/>
      <c r="L3234" s="261"/>
      <c r="M3234" s="261"/>
    </row>
    <row r="3235" spans="5:13" ht="24.95" customHeight="1">
      <c r="E3235" s="261"/>
      <c r="F3235" s="261"/>
      <c r="G3235" s="261"/>
      <c r="H3235" s="272" t="s">
        <v>2589</v>
      </c>
      <c r="I3235" s="261"/>
      <c r="J3235" s="261"/>
      <c r="K3235" s="261"/>
      <c r="L3235" s="261"/>
      <c r="M3235" s="261"/>
    </row>
    <row r="3236" spans="5:13">
      <c r="E3236" s="261"/>
      <c r="F3236" s="261"/>
      <c r="G3236" s="261"/>
      <c r="H3236" s="261"/>
      <c r="I3236" s="261"/>
      <c r="J3236" s="261"/>
      <c r="K3236" s="261"/>
      <c r="L3236" s="261"/>
      <c r="M3236" s="261"/>
    </row>
    <row r="3237" spans="5:13" ht="39" customHeight="1">
      <c r="E3237" s="261"/>
      <c r="F3237" s="261"/>
      <c r="G3237" s="261"/>
      <c r="H3237" s="258" t="s">
        <v>3328</v>
      </c>
      <c r="I3237" s="261"/>
      <c r="J3237" s="261"/>
      <c r="K3237" s="261"/>
      <c r="L3237" s="261"/>
      <c r="M3237" s="261"/>
    </row>
    <row r="3238" spans="5:13">
      <c r="E3238" s="261"/>
      <c r="F3238" s="261"/>
      <c r="G3238" s="261"/>
      <c r="H3238" s="261"/>
      <c r="I3238" s="261"/>
      <c r="J3238" s="261"/>
      <c r="K3238" s="261"/>
      <c r="L3238" s="261"/>
      <c r="M3238" s="261"/>
    </row>
    <row r="3239" spans="5:13" ht="95.25" customHeight="1">
      <c r="E3239" s="261"/>
      <c r="F3239" s="261"/>
      <c r="G3239" s="261"/>
      <c r="H3239" s="260" t="s">
        <v>2313</v>
      </c>
      <c r="I3239" s="261"/>
      <c r="J3239" s="261"/>
      <c r="K3239" s="261"/>
      <c r="L3239" s="261"/>
      <c r="M3239" s="261"/>
    </row>
    <row r="3240" spans="5:13" ht="24.95" customHeight="1">
      <c r="E3240" s="261"/>
      <c r="F3240" s="261">
        <v>2</v>
      </c>
      <c r="G3240" s="261" t="s">
        <v>1389</v>
      </c>
      <c r="H3240" s="261" t="s">
        <v>4265</v>
      </c>
      <c r="I3240" s="263">
        <v>527</v>
      </c>
      <c r="J3240" s="261" t="s">
        <v>2857</v>
      </c>
      <c r="K3240" s="261">
        <f>F3240*(I3240/100)</f>
        <v>10.54</v>
      </c>
      <c r="L3240" s="261"/>
      <c r="M3240" s="261"/>
    </row>
    <row r="3241" spans="5:13" ht="24.95" customHeight="1">
      <c r="E3241" s="261"/>
      <c r="F3241" s="261">
        <v>2</v>
      </c>
      <c r="G3241" s="261" t="s">
        <v>823</v>
      </c>
      <c r="H3241" s="261" t="s">
        <v>2314</v>
      </c>
      <c r="I3241" s="293">
        <v>914.1</v>
      </c>
      <c r="J3241" s="261" t="s">
        <v>2315</v>
      </c>
      <c r="K3241" s="261">
        <f>F3241*(I3241/100)</f>
        <v>18.28</v>
      </c>
      <c r="L3241" s="261"/>
      <c r="M3241" s="261"/>
    </row>
    <row r="3242" spans="5:13" ht="24.95" customHeight="1">
      <c r="E3242" s="261"/>
      <c r="F3242" s="261"/>
      <c r="G3242" s="261"/>
      <c r="H3242" s="261" t="s">
        <v>2316</v>
      </c>
      <c r="I3242" s="261"/>
      <c r="J3242" s="261"/>
      <c r="K3242" s="261">
        <v>7.93</v>
      </c>
      <c r="L3242" s="261"/>
      <c r="M3242" s="261"/>
    </row>
    <row r="3243" spans="5:13" ht="24.95" customHeight="1">
      <c r="E3243" s="261"/>
      <c r="F3243" s="261"/>
      <c r="G3243" s="261"/>
      <c r="H3243" s="261" t="s">
        <v>3343</v>
      </c>
      <c r="I3243" s="261"/>
      <c r="J3243" s="261"/>
      <c r="K3243" s="261">
        <f>K3251</f>
        <v>274.88</v>
      </c>
      <c r="L3243" s="261"/>
      <c r="M3243" s="261"/>
    </row>
    <row r="3244" spans="5:13" ht="24.95" customHeight="1">
      <c r="E3244" s="261"/>
      <c r="F3244" s="261"/>
      <c r="G3244" s="261"/>
      <c r="H3244" s="271" t="s">
        <v>1058</v>
      </c>
      <c r="I3244" s="261"/>
      <c r="J3244" s="261"/>
      <c r="K3244" s="272">
        <f>SUM(K3240:K3243)</f>
        <v>311.63</v>
      </c>
      <c r="L3244" s="261"/>
      <c r="M3244" s="261"/>
    </row>
    <row r="3245" spans="5:13">
      <c r="E3245" s="261"/>
      <c r="F3245" s="261"/>
      <c r="G3245" s="261"/>
      <c r="H3245" s="261"/>
      <c r="I3245" s="261"/>
      <c r="J3245" s="261"/>
      <c r="K3245" s="261"/>
      <c r="L3245" s="261"/>
      <c r="M3245" s="261"/>
    </row>
    <row r="3246" spans="5:13">
      <c r="E3246" s="261"/>
      <c r="F3246" s="261"/>
      <c r="H3246" s="270" t="s">
        <v>3344</v>
      </c>
      <c r="I3246" s="261"/>
      <c r="J3246" s="261"/>
      <c r="K3246" s="261"/>
      <c r="L3246" s="261"/>
      <c r="M3246" s="261"/>
    </row>
    <row r="3247" spans="5:13">
      <c r="E3247" s="261"/>
      <c r="F3247" s="261">
        <v>1</v>
      </c>
      <c r="G3247" s="261" t="s">
        <v>1389</v>
      </c>
      <c r="H3247" s="261" t="s">
        <v>2744</v>
      </c>
      <c r="I3247" s="261">
        <f>I2867</f>
        <v>826</v>
      </c>
      <c r="J3247" s="261" t="s">
        <v>1389</v>
      </c>
      <c r="K3247" s="261">
        <f>F3247*I3247</f>
        <v>826</v>
      </c>
      <c r="L3247" s="261"/>
      <c r="M3247" s="261"/>
    </row>
    <row r="3248" spans="5:13">
      <c r="E3248" s="261"/>
      <c r="F3248" s="261">
        <v>2</v>
      </c>
      <c r="G3248" s="261" t="s">
        <v>1389</v>
      </c>
      <c r="H3248" s="261" t="s">
        <v>2575</v>
      </c>
      <c r="I3248" s="261">
        <f>I2868</f>
        <v>820</v>
      </c>
      <c r="J3248" s="261" t="s">
        <v>1389</v>
      </c>
      <c r="K3248" s="261">
        <f>F3248*I3248</f>
        <v>1640</v>
      </c>
      <c r="L3248" s="261"/>
      <c r="M3248" s="261"/>
    </row>
    <row r="3249" spans="5:13">
      <c r="E3249" s="261"/>
      <c r="F3249" s="261">
        <v>3</v>
      </c>
      <c r="G3249" s="261" t="s">
        <v>1389</v>
      </c>
      <c r="H3249" s="261" t="s">
        <v>3054</v>
      </c>
      <c r="I3249" s="261">
        <f>I2869</f>
        <v>644</v>
      </c>
      <c r="J3249" s="261" t="s">
        <v>1389</v>
      </c>
      <c r="K3249" s="261">
        <f>F3249*I3249</f>
        <v>1932</v>
      </c>
      <c r="L3249" s="261"/>
      <c r="M3249" s="261"/>
    </row>
    <row r="3250" spans="5:13">
      <c r="E3250" s="261"/>
      <c r="F3250" s="261"/>
      <c r="G3250" s="261"/>
      <c r="H3250" s="269" t="s">
        <v>3345</v>
      </c>
      <c r="I3250" s="261"/>
      <c r="J3250" s="261"/>
      <c r="K3250" s="270">
        <f>SUM(K3247:K3249)</f>
        <v>4398</v>
      </c>
      <c r="L3250" s="261"/>
      <c r="M3250" s="261"/>
    </row>
    <row r="3251" spans="5:13">
      <c r="E3251" s="261"/>
      <c r="F3251" s="261"/>
      <c r="G3251" s="261"/>
      <c r="H3251" s="271" t="s">
        <v>2770</v>
      </c>
      <c r="I3251" s="261"/>
      <c r="J3251" s="261"/>
      <c r="K3251" s="272">
        <f>K3250/16</f>
        <v>274.88</v>
      </c>
      <c r="L3251" s="261"/>
      <c r="M3251" s="261"/>
    </row>
    <row r="3252" spans="5:13">
      <c r="E3252" s="261"/>
      <c r="F3252" s="261"/>
      <c r="G3252" s="261"/>
      <c r="H3252" s="261"/>
      <c r="I3252" s="261"/>
      <c r="J3252" s="261"/>
      <c r="K3252" s="261"/>
      <c r="L3252" s="261"/>
      <c r="M3252" s="261"/>
    </row>
    <row r="3253" spans="5:13">
      <c r="E3253" s="261"/>
      <c r="F3253" s="261"/>
      <c r="G3253" s="261"/>
      <c r="H3253" s="272" t="s">
        <v>3346</v>
      </c>
      <c r="I3253" s="261"/>
      <c r="J3253" s="261"/>
      <c r="K3253" s="261"/>
      <c r="L3253" s="261"/>
      <c r="M3253" s="261"/>
    </row>
    <row r="3254" spans="5:13" ht="36" customHeight="1">
      <c r="E3254" s="261"/>
      <c r="F3254" s="261"/>
      <c r="G3254" s="261"/>
      <c r="H3254" s="258" t="s">
        <v>3347</v>
      </c>
      <c r="I3254" s="261"/>
      <c r="J3254" s="261"/>
      <c r="K3254" s="261"/>
      <c r="L3254" s="261"/>
      <c r="M3254" s="261"/>
    </row>
    <row r="3255" spans="5:13">
      <c r="E3255" s="261"/>
      <c r="F3255" s="261"/>
      <c r="G3255" s="261"/>
      <c r="H3255" s="261"/>
      <c r="I3255" s="261"/>
      <c r="J3255" s="261"/>
      <c r="K3255" s="261"/>
      <c r="L3255" s="261"/>
      <c r="M3255" s="261"/>
    </row>
    <row r="3256" spans="5:13" ht="112.5" customHeight="1">
      <c r="E3256" s="261"/>
      <c r="F3256" s="261"/>
      <c r="G3256" s="261"/>
      <c r="H3256" s="260" t="s">
        <v>2719</v>
      </c>
      <c r="I3256" s="261"/>
      <c r="J3256" s="261"/>
      <c r="K3256" s="261"/>
      <c r="L3256" s="261"/>
      <c r="M3256" s="261"/>
    </row>
    <row r="3257" spans="5:13">
      <c r="E3257" s="261"/>
      <c r="F3257" s="261">
        <v>1.5</v>
      </c>
      <c r="G3257" s="261" t="s">
        <v>823</v>
      </c>
      <c r="H3257" s="261" t="s">
        <v>3884</v>
      </c>
      <c r="I3257" s="263">
        <v>27.2</v>
      </c>
      <c r="J3257" s="261" t="s">
        <v>823</v>
      </c>
      <c r="K3257" s="261">
        <f>F3257*I3257</f>
        <v>40.799999999999997</v>
      </c>
      <c r="L3257" s="261"/>
      <c r="M3257" s="261"/>
    </row>
    <row r="3258" spans="5:13">
      <c r="E3258" s="261"/>
      <c r="F3258" s="261">
        <v>2</v>
      </c>
      <c r="G3258" s="261" t="s">
        <v>1389</v>
      </c>
      <c r="H3258" s="261" t="s">
        <v>2720</v>
      </c>
      <c r="I3258" s="261">
        <f>I3240</f>
        <v>527</v>
      </c>
      <c r="J3258" s="261" t="s">
        <v>2857</v>
      </c>
      <c r="K3258" s="261">
        <f>F3258*(I3258/100)</f>
        <v>10.54</v>
      </c>
      <c r="L3258" s="261"/>
      <c r="M3258" s="261"/>
    </row>
    <row r="3259" spans="5:13">
      <c r="E3259" s="261"/>
      <c r="F3259" s="261">
        <v>2</v>
      </c>
      <c r="G3259" s="261" t="s">
        <v>823</v>
      </c>
      <c r="H3259" s="261" t="s">
        <v>2314</v>
      </c>
      <c r="I3259" s="261">
        <f>I3241</f>
        <v>914.1</v>
      </c>
      <c r="J3259" s="261" t="s">
        <v>823</v>
      </c>
      <c r="K3259" s="261">
        <f>F3259*(I3259/100)</f>
        <v>18.28</v>
      </c>
      <c r="L3259" s="261"/>
      <c r="M3259" s="261"/>
    </row>
    <row r="3260" spans="5:13" ht="31.5" customHeight="1">
      <c r="E3260" s="261"/>
      <c r="F3260" s="261"/>
      <c r="G3260" s="261"/>
      <c r="H3260" s="260" t="s">
        <v>2721</v>
      </c>
      <c r="I3260" s="261"/>
      <c r="J3260" s="261"/>
      <c r="K3260" s="261">
        <v>5.98</v>
      </c>
      <c r="L3260" s="261"/>
      <c r="M3260" s="261"/>
    </row>
    <row r="3261" spans="5:13">
      <c r="E3261" s="261"/>
      <c r="F3261" s="261"/>
      <c r="G3261" s="261"/>
      <c r="H3261" s="261" t="s">
        <v>911</v>
      </c>
      <c r="I3261" s="261"/>
      <c r="J3261" s="261"/>
      <c r="K3261" s="261">
        <f>K3269</f>
        <v>439.8</v>
      </c>
      <c r="L3261" s="261"/>
      <c r="M3261" s="261"/>
    </row>
    <row r="3262" spans="5:13" ht="24.95" customHeight="1">
      <c r="E3262" s="261"/>
      <c r="F3262" s="261"/>
      <c r="G3262" s="261"/>
      <c r="H3262" s="271" t="s">
        <v>1058</v>
      </c>
      <c r="I3262" s="261"/>
      <c r="J3262" s="261"/>
      <c r="K3262" s="272">
        <f>SUM(K3257:K3261)</f>
        <v>515.4</v>
      </c>
      <c r="L3262" s="261"/>
      <c r="M3262" s="261"/>
    </row>
    <row r="3263" spans="5:13">
      <c r="E3263" s="261"/>
      <c r="F3263" s="261"/>
      <c r="G3263" s="261"/>
      <c r="H3263" s="261"/>
      <c r="I3263" s="261"/>
      <c r="J3263" s="261"/>
      <c r="K3263" s="261"/>
      <c r="L3263" s="261"/>
      <c r="M3263" s="261"/>
    </row>
    <row r="3264" spans="5:13">
      <c r="E3264" s="261"/>
      <c r="F3264" s="261"/>
      <c r="G3264" s="261"/>
      <c r="H3264" s="272" t="s">
        <v>140</v>
      </c>
      <c r="I3264" s="261"/>
      <c r="J3264" s="261"/>
      <c r="K3264" s="261"/>
      <c r="L3264" s="261"/>
      <c r="M3264" s="261"/>
    </row>
    <row r="3265" spans="5:13">
      <c r="E3265" s="261"/>
      <c r="F3265" s="261">
        <v>1</v>
      </c>
      <c r="G3265" s="261" t="s">
        <v>1389</v>
      </c>
      <c r="H3265" s="261" t="s">
        <v>2744</v>
      </c>
      <c r="I3265" s="261">
        <f>I3247</f>
        <v>826</v>
      </c>
      <c r="J3265" s="261" t="s">
        <v>1389</v>
      </c>
      <c r="K3265" s="261">
        <f>F3265*I3265</f>
        <v>826</v>
      </c>
      <c r="L3265" s="261"/>
      <c r="M3265" s="261"/>
    </row>
    <row r="3266" spans="5:13">
      <c r="E3266" s="261"/>
      <c r="F3266" s="261">
        <v>2</v>
      </c>
      <c r="G3266" s="261" t="s">
        <v>1389</v>
      </c>
      <c r="H3266" s="261" t="s">
        <v>2575</v>
      </c>
      <c r="I3266" s="261">
        <f>I3248</f>
        <v>820</v>
      </c>
      <c r="J3266" s="261" t="s">
        <v>1389</v>
      </c>
      <c r="K3266" s="261">
        <f>F3266*I3266</f>
        <v>1640</v>
      </c>
      <c r="L3266" s="261"/>
      <c r="M3266" s="261"/>
    </row>
    <row r="3267" spans="5:13">
      <c r="E3267" s="261"/>
      <c r="F3267" s="261">
        <v>3</v>
      </c>
      <c r="G3267" s="261" t="s">
        <v>1389</v>
      </c>
      <c r="H3267" s="261" t="s">
        <v>3054</v>
      </c>
      <c r="I3267" s="261">
        <f>I3249</f>
        <v>644</v>
      </c>
      <c r="J3267" s="261" t="s">
        <v>1389</v>
      </c>
      <c r="K3267" s="261">
        <f>F3267*I3267</f>
        <v>1932</v>
      </c>
      <c r="L3267" s="261"/>
      <c r="M3267" s="261"/>
    </row>
    <row r="3268" spans="5:13">
      <c r="E3268" s="261"/>
      <c r="F3268" s="261"/>
      <c r="G3268" s="261"/>
      <c r="H3268" s="269" t="s">
        <v>2722</v>
      </c>
      <c r="I3268" s="261"/>
      <c r="J3268" s="261"/>
      <c r="K3268" s="270">
        <f>SUM(K3265:K3267)</f>
        <v>4398</v>
      </c>
      <c r="L3268" s="261"/>
      <c r="M3268" s="261"/>
    </row>
    <row r="3269" spans="5:13">
      <c r="E3269" s="261"/>
      <c r="F3269" s="261"/>
      <c r="G3269" s="261"/>
      <c r="H3269" s="271" t="s">
        <v>2770</v>
      </c>
      <c r="I3269" s="261"/>
      <c r="J3269" s="261"/>
      <c r="K3269" s="272">
        <f>K3268/10</f>
        <v>439.8</v>
      </c>
      <c r="L3269" s="261"/>
      <c r="M3269" s="261"/>
    </row>
    <row r="3270" spans="5:13">
      <c r="E3270" s="261"/>
      <c r="F3270" s="261"/>
      <c r="G3270" s="261"/>
      <c r="H3270" s="261"/>
      <c r="I3270" s="261"/>
      <c r="J3270" s="261"/>
      <c r="K3270" s="261"/>
      <c r="L3270" s="261"/>
      <c r="M3270" s="261"/>
    </row>
    <row r="3271" spans="5:13">
      <c r="E3271" s="261"/>
      <c r="F3271" s="261"/>
      <c r="G3271" s="261"/>
      <c r="H3271" s="272" t="s">
        <v>3379</v>
      </c>
      <c r="I3271" s="261"/>
      <c r="J3271" s="261"/>
      <c r="K3271" s="261"/>
      <c r="L3271" s="261"/>
      <c r="M3271" s="261"/>
    </row>
    <row r="3272" spans="5:13" ht="83.25" customHeight="1">
      <c r="E3272" s="261"/>
      <c r="F3272" s="261"/>
      <c r="G3272" s="261"/>
      <c r="H3272" s="260" t="s">
        <v>3093</v>
      </c>
      <c r="I3272" s="261"/>
      <c r="J3272" s="261"/>
      <c r="K3272" s="261"/>
      <c r="L3272" s="261"/>
      <c r="M3272" s="261"/>
    </row>
    <row r="3273" spans="5:13">
      <c r="E3273" s="261"/>
      <c r="F3273" s="261"/>
      <c r="G3273" s="261"/>
      <c r="H3273" s="261"/>
      <c r="I3273" s="261"/>
      <c r="J3273" s="261"/>
      <c r="K3273" s="261"/>
      <c r="L3273" s="261"/>
      <c r="M3273" s="261"/>
    </row>
    <row r="3274" spans="5:13" ht="22.5" customHeight="1">
      <c r="E3274" s="261"/>
      <c r="F3274" s="261">
        <v>1</v>
      </c>
      <c r="G3274" s="261" t="s">
        <v>823</v>
      </c>
      <c r="H3274" s="261" t="s">
        <v>2314</v>
      </c>
      <c r="I3274" s="261">
        <f>I3259</f>
        <v>914.1</v>
      </c>
      <c r="J3274" s="261" t="s">
        <v>3094</v>
      </c>
      <c r="K3274" s="261">
        <f>F3274*(I3274/100)</f>
        <v>9.14</v>
      </c>
      <c r="L3274" s="261"/>
      <c r="M3274" s="261"/>
    </row>
    <row r="3275" spans="5:13" ht="24.95" customHeight="1">
      <c r="E3275" s="261"/>
      <c r="F3275" s="261"/>
      <c r="G3275" s="261"/>
      <c r="H3275" s="261" t="s">
        <v>140</v>
      </c>
      <c r="I3275" s="261"/>
      <c r="J3275" s="261"/>
      <c r="K3275" s="261">
        <f>K3282</f>
        <v>586.79999999999995</v>
      </c>
      <c r="L3275" s="261"/>
      <c r="M3275" s="261"/>
    </row>
    <row r="3276" spans="5:13" ht="24.95" customHeight="1">
      <c r="E3276" s="261"/>
      <c r="F3276" s="261"/>
      <c r="G3276" s="261"/>
      <c r="H3276" s="261" t="s">
        <v>2317</v>
      </c>
      <c r="J3276" s="261"/>
      <c r="K3276" s="261">
        <v>4.8600000000000003</v>
      </c>
      <c r="L3276" s="261"/>
      <c r="M3276" s="261"/>
    </row>
    <row r="3277" spans="5:13" ht="24.95" customHeight="1">
      <c r="E3277" s="261"/>
      <c r="F3277" s="261"/>
      <c r="G3277" s="261"/>
      <c r="H3277" s="270" t="s">
        <v>3095</v>
      </c>
      <c r="I3277" s="272" t="s">
        <v>1058</v>
      </c>
      <c r="J3277" s="261"/>
      <c r="K3277" s="272">
        <f>SUM(K3274:K3276)</f>
        <v>600.79999999999995</v>
      </c>
      <c r="L3277" s="261">
        <f>304-K3277</f>
        <v>-296.8</v>
      </c>
      <c r="M3277" s="261"/>
    </row>
    <row r="3278" spans="5:13" ht="21" customHeight="1">
      <c r="E3278" s="261"/>
      <c r="F3278" s="261">
        <v>1</v>
      </c>
      <c r="G3278" s="261" t="s">
        <v>1389</v>
      </c>
      <c r="H3278" s="261" t="s">
        <v>2744</v>
      </c>
      <c r="I3278" s="261">
        <f>I3265</f>
        <v>826</v>
      </c>
      <c r="J3278" s="261" t="s">
        <v>1389</v>
      </c>
      <c r="K3278" s="261">
        <f>F3278*I3278</f>
        <v>826</v>
      </c>
      <c r="L3278" s="261"/>
      <c r="M3278" s="261"/>
    </row>
    <row r="3279" spans="5:13" ht="21" customHeight="1">
      <c r="E3279" s="261"/>
      <c r="F3279" s="261">
        <v>1</v>
      </c>
      <c r="G3279" s="261" t="s">
        <v>1389</v>
      </c>
      <c r="H3279" s="261" t="s">
        <v>2575</v>
      </c>
      <c r="I3279" s="261">
        <f>I3266</f>
        <v>820</v>
      </c>
      <c r="J3279" s="261" t="s">
        <v>1389</v>
      </c>
      <c r="K3279" s="261">
        <f>F3279*I3279</f>
        <v>820</v>
      </c>
      <c r="L3279" s="261"/>
      <c r="M3279" s="261"/>
    </row>
    <row r="3280" spans="5:13" ht="21" customHeight="1">
      <c r="E3280" s="261"/>
      <c r="F3280" s="261">
        <v>2</v>
      </c>
      <c r="G3280" s="261" t="s">
        <v>1389</v>
      </c>
      <c r="H3280" s="261" t="s">
        <v>3054</v>
      </c>
      <c r="I3280" s="261">
        <f>I3267</f>
        <v>644</v>
      </c>
      <c r="J3280" s="261" t="s">
        <v>1389</v>
      </c>
      <c r="K3280" s="261">
        <f>F3280*I3280</f>
        <v>1288</v>
      </c>
      <c r="L3280" s="261"/>
      <c r="M3280" s="261"/>
    </row>
    <row r="3281" spans="5:13" ht="24.95" customHeight="1">
      <c r="E3281" s="261"/>
      <c r="F3281" s="261"/>
      <c r="G3281" s="261"/>
      <c r="H3281" s="269" t="s">
        <v>3096</v>
      </c>
      <c r="I3281" s="261"/>
      <c r="J3281" s="261"/>
      <c r="K3281" s="270">
        <f>SUM(K3278:K3280)</f>
        <v>2934</v>
      </c>
      <c r="L3281" s="261"/>
      <c r="M3281" s="261"/>
    </row>
    <row r="3282" spans="5:13" ht="19.5" customHeight="1">
      <c r="E3282" s="261"/>
      <c r="F3282" s="261"/>
      <c r="G3282" s="261"/>
      <c r="H3282" s="271" t="s">
        <v>1058</v>
      </c>
      <c r="I3282" s="261"/>
      <c r="J3282" s="261"/>
      <c r="K3282" s="272">
        <f>K3281/5</f>
        <v>586.79999999999995</v>
      </c>
      <c r="L3282" s="261"/>
      <c r="M3282" s="261"/>
    </row>
    <row r="3283" spans="5:13" ht="24.95" customHeight="1">
      <c r="E3283" s="261"/>
      <c r="F3283" s="261"/>
      <c r="G3283" s="261"/>
      <c r="H3283" s="294" t="s">
        <v>3097</v>
      </c>
      <c r="I3283" s="261"/>
      <c r="J3283" s="261"/>
      <c r="K3283" s="261"/>
      <c r="L3283" s="261"/>
      <c r="M3283" s="261"/>
    </row>
    <row r="3284" spans="5:13">
      <c r="E3284" s="261"/>
      <c r="F3284" s="261"/>
      <c r="G3284" s="261"/>
      <c r="H3284" s="272" t="s">
        <v>3098</v>
      </c>
      <c r="I3284" s="261"/>
      <c r="J3284" s="261"/>
      <c r="K3284" s="261"/>
      <c r="L3284" s="261"/>
      <c r="M3284" s="261"/>
    </row>
    <row r="3285" spans="5:13">
      <c r="E3285" s="261"/>
      <c r="F3285" s="261"/>
      <c r="G3285" s="261"/>
      <c r="H3285" s="272" t="s">
        <v>3099</v>
      </c>
      <c r="I3285" s="261"/>
      <c r="J3285" s="261"/>
      <c r="K3285" s="261"/>
      <c r="L3285" s="261"/>
      <c r="M3285" s="261"/>
    </row>
    <row r="3286" spans="5:13">
      <c r="E3286" s="261"/>
      <c r="F3286" s="261"/>
      <c r="G3286" s="261"/>
      <c r="H3286" s="261" t="s">
        <v>3100</v>
      </c>
      <c r="I3286" s="261"/>
      <c r="J3286" s="261"/>
      <c r="K3286" s="261"/>
      <c r="L3286" s="261"/>
      <c r="M3286" s="261"/>
    </row>
    <row r="3287" spans="5:13" ht="68.25" customHeight="1">
      <c r="E3287" s="261"/>
      <c r="F3287" s="261"/>
      <c r="G3287" s="261"/>
      <c r="H3287" s="260" t="s">
        <v>3431</v>
      </c>
      <c r="I3287" s="261"/>
      <c r="J3287" s="261"/>
      <c r="K3287" s="261"/>
      <c r="L3287" s="261"/>
      <c r="M3287" s="261"/>
    </row>
    <row r="3288" spans="5:13">
      <c r="E3288" s="261"/>
      <c r="F3288" s="261"/>
      <c r="G3288" s="261"/>
      <c r="H3288" s="261"/>
      <c r="I3288" s="261"/>
      <c r="J3288" s="261"/>
      <c r="K3288" s="261"/>
      <c r="L3288" s="261"/>
      <c r="M3288" s="261"/>
    </row>
    <row r="3289" spans="5:13">
      <c r="E3289" s="261"/>
      <c r="F3289" s="261">
        <v>9.5</v>
      </c>
      <c r="G3289" s="261" t="s">
        <v>1637</v>
      </c>
      <c r="H3289" s="261" t="s">
        <v>4268</v>
      </c>
      <c r="I3289" s="263">
        <v>79.7</v>
      </c>
      <c r="J3289" s="261" t="s">
        <v>1637</v>
      </c>
      <c r="K3289" s="261">
        <f>F3289*I3289</f>
        <v>757.15</v>
      </c>
      <c r="L3289" s="261"/>
      <c r="M3289" s="261"/>
    </row>
    <row r="3290" spans="5:13">
      <c r="E3290" s="261"/>
      <c r="F3290" s="261">
        <v>0.5</v>
      </c>
      <c r="G3290" s="261" t="s">
        <v>1637</v>
      </c>
      <c r="H3290" s="261" t="s">
        <v>4017</v>
      </c>
      <c r="I3290" s="263">
        <v>19.22</v>
      </c>
      <c r="J3290" s="261"/>
      <c r="K3290" s="261">
        <f>F3290*I3290</f>
        <v>9.61</v>
      </c>
      <c r="L3290" s="261"/>
      <c r="M3290" s="261"/>
    </row>
    <row r="3291" spans="5:13">
      <c r="E3291" s="261"/>
      <c r="F3291" s="261"/>
      <c r="G3291" s="261"/>
      <c r="H3291" s="261" t="s">
        <v>1814</v>
      </c>
      <c r="I3291" s="261"/>
      <c r="J3291" s="261"/>
      <c r="K3291" s="261">
        <f>K3299</f>
        <v>1470</v>
      </c>
      <c r="L3291" s="261"/>
      <c r="M3291" s="261"/>
    </row>
    <row r="3292" spans="5:13">
      <c r="E3292" s="261"/>
      <c r="F3292" s="261"/>
      <c r="G3292" s="261"/>
      <c r="H3292" s="261" t="s">
        <v>2261</v>
      </c>
      <c r="I3292" s="261"/>
      <c r="J3292" s="261"/>
      <c r="K3292" s="261">
        <v>7.24</v>
      </c>
      <c r="L3292" s="261"/>
      <c r="M3292" s="261"/>
    </row>
    <row r="3293" spans="5:13">
      <c r="E3293" s="261"/>
      <c r="F3293" s="261"/>
      <c r="G3293" s="261"/>
      <c r="H3293" s="269" t="s">
        <v>3350</v>
      </c>
      <c r="I3293" s="261"/>
      <c r="J3293" s="261"/>
      <c r="K3293" s="270">
        <f>SUM(K3289:K3292)</f>
        <v>2244</v>
      </c>
      <c r="L3293" s="261"/>
      <c r="M3293" s="261"/>
    </row>
    <row r="3294" spans="5:13">
      <c r="E3294" s="261"/>
      <c r="F3294" s="261"/>
      <c r="G3294" s="261"/>
      <c r="H3294" s="271" t="s">
        <v>2739</v>
      </c>
      <c r="I3294" s="261"/>
      <c r="J3294" s="261"/>
      <c r="K3294" s="272">
        <f>K3293/90</f>
        <v>24.93</v>
      </c>
      <c r="L3294" s="261"/>
      <c r="M3294" s="261"/>
    </row>
    <row r="3295" spans="5:13">
      <c r="E3295" s="261"/>
      <c r="F3295" s="261"/>
      <c r="G3295" s="261"/>
      <c r="H3295" s="261"/>
      <c r="I3295" s="261"/>
      <c r="J3295" s="261"/>
      <c r="K3295" s="261"/>
      <c r="L3295" s="261"/>
      <c r="M3295" s="261"/>
    </row>
    <row r="3296" spans="5:13">
      <c r="E3296" s="261"/>
      <c r="F3296" s="261"/>
      <c r="G3296" s="261"/>
      <c r="H3296" s="270" t="s">
        <v>2633</v>
      </c>
      <c r="I3296" s="261"/>
      <c r="J3296" s="261"/>
      <c r="K3296" s="261"/>
      <c r="L3296" s="261"/>
      <c r="M3296" s="261"/>
    </row>
    <row r="3297" spans="5:13">
      <c r="E3297" s="261"/>
      <c r="F3297" s="261">
        <v>1</v>
      </c>
      <c r="G3297" s="261"/>
      <c r="H3297" s="261" t="s">
        <v>2744</v>
      </c>
      <c r="I3297" s="261">
        <f>I3278</f>
        <v>826</v>
      </c>
      <c r="J3297" s="261" t="s">
        <v>1389</v>
      </c>
      <c r="K3297" s="261">
        <f>F3297*I3297</f>
        <v>826</v>
      </c>
      <c r="L3297" s="261"/>
      <c r="M3297" s="261"/>
    </row>
    <row r="3298" spans="5:13">
      <c r="E3298" s="261"/>
      <c r="F3298" s="261">
        <v>1</v>
      </c>
      <c r="G3298" s="261"/>
      <c r="H3298" s="261" t="s">
        <v>3054</v>
      </c>
      <c r="I3298" s="261">
        <f>I3280</f>
        <v>644</v>
      </c>
      <c r="J3298" s="261" t="s">
        <v>1389</v>
      </c>
      <c r="K3298" s="261">
        <f>F3298*I3298</f>
        <v>644</v>
      </c>
      <c r="L3298" s="261"/>
      <c r="M3298" s="261"/>
    </row>
    <row r="3299" spans="5:13">
      <c r="E3299" s="261"/>
      <c r="F3299" s="261"/>
      <c r="G3299" s="261"/>
      <c r="H3299" s="261"/>
      <c r="I3299" s="261"/>
      <c r="J3299" s="261"/>
      <c r="K3299" s="272">
        <f>SUM(K3297:K3298)</f>
        <v>1470</v>
      </c>
      <c r="L3299" s="261"/>
      <c r="M3299" s="261"/>
    </row>
    <row r="3300" spans="5:13">
      <c r="E3300" s="261"/>
      <c r="F3300" s="261" t="s">
        <v>2634</v>
      </c>
      <c r="G3300" s="261"/>
      <c r="H3300" s="261"/>
      <c r="I3300" s="261"/>
      <c r="J3300" s="261"/>
      <c r="K3300" s="261"/>
      <c r="L3300" s="261"/>
      <c r="M3300" s="261"/>
    </row>
    <row r="3301" spans="5:13">
      <c r="E3301" s="261"/>
      <c r="F3301" s="261"/>
      <c r="G3301" s="261"/>
      <c r="H3301" s="261"/>
      <c r="I3301" s="261"/>
      <c r="J3301" s="261"/>
      <c r="K3301" s="261"/>
      <c r="L3301" s="261"/>
      <c r="M3301" s="261"/>
    </row>
    <row r="3302" spans="5:13">
      <c r="E3302" s="261"/>
      <c r="F3302" s="261"/>
      <c r="G3302" s="261"/>
      <c r="H3302" s="272" t="s">
        <v>2635</v>
      </c>
      <c r="I3302" s="261"/>
      <c r="J3302" s="261"/>
      <c r="K3302" s="261"/>
      <c r="L3302" s="261"/>
      <c r="M3302" s="261"/>
    </row>
    <row r="3303" spans="5:13">
      <c r="E3303" s="261"/>
      <c r="F3303" s="261"/>
      <c r="G3303" s="261"/>
      <c r="H3303" s="272" t="s">
        <v>2636</v>
      </c>
      <c r="I3303" s="261"/>
      <c r="J3303" s="261"/>
      <c r="K3303" s="261"/>
      <c r="L3303" s="261"/>
      <c r="M3303" s="261"/>
    </row>
    <row r="3304" spans="5:13">
      <c r="E3304" s="261"/>
      <c r="F3304" s="261"/>
      <c r="G3304" s="261"/>
      <c r="H3304" s="261"/>
      <c r="I3304" s="261"/>
      <c r="J3304" s="261"/>
      <c r="K3304" s="261"/>
      <c r="L3304" s="261"/>
      <c r="M3304" s="261"/>
    </row>
    <row r="3305" spans="5:13" ht="57" customHeight="1">
      <c r="E3305" s="261"/>
      <c r="F3305" s="261"/>
      <c r="G3305" s="261"/>
      <c r="H3305" s="260" t="s">
        <v>2637</v>
      </c>
      <c r="I3305" s="261"/>
      <c r="J3305" s="261"/>
      <c r="K3305" s="261"/>
      <c r="L3305" s="261"/>
      <c r="M3305" s="261"/>
    </row>
    <row r="3306" spans="5:13">
      <c r="E3306" s="261"/>
      <c r="F3306" s="261">
        <v>2.5</v>
      </c>
      <c r="G3306" s="261" t="s">
        <v>823</v>
      </c>
      <c r="H3306" s="261" t="s">
        <v>2638</v>
      </c>
      <c r="I3306" s="263">
        <f>Elec.Data!I475</f>
        <v>98.6</v>
      </c>
      <c r="J3306" s="261" t="s">
        <v>823</v>
      </c>
      <c r="K3306" s="261">
        <f>F3306*I3306</f>
        <v>246.5</v>
      </c>
      <c r="L3306" s="261"/>
      <c r="M3306" s="261"/>
    </row>
    <row r="3307" spans="5:13">
      <c r="E3307" s="261"/>
      <c r="F3307" s="261">
        <v>1</v>
      </c>
      <c r="G3307" s="261" t="s">
        <v>823</v>
      </c>
      <c r="H3307" s="261" t="s">
        <v>2639</v>
      </c>
      <c r="I3307" s="263">
        <f>Elec.Data!I476</f>
        <v>69.8</v>
      </c>
      <c r="J3307" s="261" t="s">
        <v>823</v>
      </c>
      <c r="K3307" s="261">
        <f>F3307*I3307</f>
        <v>69.8</v>
      </c>
      <c r="L3307" s="261"/>
      <c r="M3307" s="261"/>
    </row>
    <row r="3308" spans="5:13">
      <c r="E3308" s="261"/>
      <c r="F3308" s="261">
        <v>1</v>
      </c>
      <c r="G3308" s="261" t="s">
        <v>823</v>
      </c>
      <c r="H3308" s="261" t="s">
        <v>2640</v>
      </c>
      <c r="I3308" s="263">
        <f>Elec.Data!I477</f>
        <v>52</v>
      </c>
      <c r="J3308" s="261" t="s">
        <v>823</v>
      </c>
      <c r="K3308" s="261">
        <f>F3308*I3308</f>
        <v>52</v>
      </c>
      <c r="L3308" s="261"/>
      <c r="M3308" s="261"/>
    </row>
    <row r="3309" spans="5:13">
      <c r="E3309" s="261"/>
      <c r="F3309" s="261">
        <v>1</v>
      </c>
      <c r="G3309" s="261" t="s">
        <v>1389</v>
      </c>
      <c r="H3309" s="261" t="s">
        <v>3840</v>
      </c>
      <c r="I3309" s="263">
        <f>Elec.Data!I478</f>
        <v>24.1</v>
      </c>
      <c r="J3309" s="261" t="s">
        <v>1389</v>
      </c>
      <c r="K3309" s="261">
        <f>F3309*I3309</f>
        <v>24.1</v>
      </c>
      <c r="L3309" s="261"/>
      <c r="M3309" s="261"/>
    </row>
    <row r="3310" spans="5:13">
      <c r="E3310" s="261"/>
      <c r="F3310" s="261">
        <v>1</v>
      </c>
      <c r="G3310" s="261" t="s">
        <v>279</v>
      </c>
      <c r="H3310" s="261" t="s">
        <v>2641</v>
      </c>
      <c r="I3310" s="263">
        <f>Elec.Data!I479</f>
        <v>447</v>
      </c>
      <c r="J3310" s="261" t="s">
        <v>279</v>
      </c>
      <c r="K3310" s="261">
        <v>15</v>
      </c>
      <c r="L3310" s="261"/>
      <c r="M3310" s="261"/>
    </row>
    <row r="3311" spans="5:13">
      <c r="E3311" s="261"/>
      <c r="F3311" s="261"/>
      <c r="G3311" s="261" t="s">
        <v>654</v>
      </c>
      <c r="H3311" s="261" t="s">
        <v>2642</v>
      </c>
      <c r="I3311" s="263">
        <f>Elec.Data!I480</f>
        <v>100</v>
      </c>
      <c r="J3311" s="261" t="s">
        <v>654</v>
      </c>
      <c r="K3311" s="261">
        <v>150</v>
      </c>
      <c r="L3311" s="261"/>
      <c r="M3311" s="261"/>
    </row>
    <row r="3312" spans="5:13">
      <c r="E3312" s="261"/>
      <c r="F3312" s="261">
        <v>1</v>
      </c>
      <c r="G3312" s="261" t="s">
        <v>1389</v>
      </c>
      <c r="H3312" s="261" t="s">
        <v>2643</v>
      </c>
      <c r="I3312" s="263">
        <f>Elec.Data!I481</f>
        <v>5</v>
      </c>
      <c r="J3312" s="261" t="s">
        <v>1389</v>
      </c>
      <c r="K3312" s="261">
        <f>F3312*I3312</f>
        <v>5</v>
      </c>
      <c r="L3312" s="261"/>
      <c r="M3312" s="261"/>
    </row>
    <row r="3313" spans="5:13">
      <c r="E3313" s="261"/>
      <c r="F3313" s="261">
        <v>40</v>
      </c>
      <c r="G3313" s="261" t="s">
        <v>1637</v>
      </c>
      <c r="H3313" s="261" t="s">
        <v>2644</v>
      </c>
      <c r="I3313" s="263">
        <f>Elec.Data!I482</f>
        <v>13.6</v>
      </c>
      <c r="J3313" s="261" t="s">
        <v>1637</v>
      </c>
      <c r="K3313" s="261">
        <f>F3313*I3313</f>
        <v>544</v>
      </c>
      <c r="L3313" s="261"/>
      <c r="M3313" s="261"/>
    </row>
    <row r="3314" spans="5:13">
      <c r="E3314" s="261"/>
      <c r="F3314" s="261">
        <v>2</v>
      </c>
      <c r="G3314" s="261" t="s">
        <v>1389</v>
      </c>
      <c r="H3314" s="261" t="s">
        <v>2645</v>
      </c>
      <c r="I3314" s="263">
        <f>Elec.Data!I483</f>
        <v>13.6</v>
      </c>
      <c r="J3314" s="261" t="s">
        <v>1389</v>
      </c>
      <c r="K3314" s="261">
        <f>F3314*I3314</f>
        <v>27.2</v>
      </c>
      <c r="L3314" s="261"/>
      <c r="M3314" s="261"/>
    </row>
    <row r="3315" spans="5:13">
      <c r="E3315" s="261"/>
      <c r="F3315" s="261">
        <v>4</v>
      </c>
      <c r="G3315" s="261" t="s">
        <v>1389</v>
      </c>
      <c r="H3315" s="261" t="s">
        <v>2646</v>
      </c>
      <c r="I3315" s="263">
        <f>Elec.Data!I484</f>
        <v>3.7</v>
      </c>
      <c r="J3315" s="261" t="s">
        <v>1389</v>
      </c>
      <c r="K3315" s="261">
        <f>F3315*I3315</f>
        <v>14.8</v>
      </c>
      <c r="L3315" s="261"/>
      <c r="M3315" s="261"/>
    </row>
    <row r="3316" spans="5:13">
      <c r="E3316" s="261"/>
      <c r="F3316" s="261">
        <v>10</v>
      </c>
      <c r="G3316" s="261" t="s">
        <v>1637</v>
      </c>
      <c r="H3316" s="261" t="s">
        <v>2647</v>
      </c>
      <c r="I3316" s="263">
        <f>Elec.Data!I485</f>
        <v>0</v>
      </c>
      <c r="J3316" s="261" t="s">
        <v>1637</v>
      </c>
      <c r="K3316" s="261">
        <f>F3316*I3316</f>
        <v>0</v>
      </c>
      <c r="L3316" s="261"/>
      <c r="M3316" s="261"/>
    </row>
    <row r="3317" spans="5:13">
      <c r="E3317" s="261"/>
      <c r="F3317" s="261"/>
      <c r="G3317" s="261"/>
      <c r="H3317" s="261" t="s">
        <v>2261</v>
      </c>
      <c r="I3317" s="261"/>
      <c r="J3317" s="261"/>
      <c r="K3317" s="261">
        <v>11.85</v>
      </c>
      <c r="L3317" s="261"/>
      <c r="M3317" s="261"/>
    </row>
    <row r="3318" spans="5:13">
      <c r="E3318" s="261"/>
      <c r="F3318" s="261"/>
      <c r="G3318" s="261"/>
      <c r="H3318" s="261" t="s">
        <v>911</v>
      </c>
      <c r="I3318" s="261"/>
      <c r="J3318" s="261"/>
      <c r="K3318" s="261">
        <f>K3324</f>
        <v>1470</v>
      </c>
      <c r="L3318" s="261"/>
      <c r="M3318" s="261"/>
    </row>
    <row r="3319" spans="5:13">
      <c r="E3319" s="261"/>
      <c r="F3319" s="261"/>
      <c r="G3319" s="261"/>
      <c r="H3319" s="271" t="s">
        <v>1058</v>
      </c>
      <c r="I3319" s="261"/>
      <c r="J3319" s="261"/>
      <c r="K3319" s="272">
        <f>SUM(K3306:K3318)</f>
        <v>2630.25</v>
      </c>
      <c r="L3319" s="261">
        <f>2035-K3319</f>
        <v>-595.25</v>
      </c>
      <c r="M3319" s="261"/>
    </row>
    <row r="3320" spans="5:13">
      <c r="E3320" s="261"/>
      <c r="F3320" s="261"/>
      <c r="G3320" s="261"/>
      <c r="H3320" s="261"/>
      <c r="I3320" s="261"/>
      <c r="J3320" s="261"/>
      <c r="K3320" s="261"/>
      <c r="L3320" s="261"/>
      <c r="M3320" s="261"/>
    </row>
    <row r="3321" spans="5:13">
      <c r="E3321" s="261"/>
      <c r="F3321" s="261"/>
      <c r="G3321" s="261"/>
      <c r="H3321" s="270" t="s">
        <v>911</v>
      </c>
      <c r="I3321" s="261"/>
      <c r="J3321" s="261"/>
      <c r="K3321" s="261"/>
      <c r="L3321" s="261"/>
      <c r="M3321" s="261"/>
    </row>
    <row r="3322" spans="5:13">
      <c r="E3322" s="261"/>
      <c r="F3322" s="261">
        <v>1</v>
      </c>
      <c r="G3322" s="261" t="s">
        <v>1389</v>
      </c>
      <c r="H3322" s="261" t="s">
        <v>2744</v>
      </c>
      <c r="I3322" s="261">
        <f>I3297</f>
        <v>826</v>
      </c>
      <c r="J3322" s="261" t="s">
        <v>1389</v>
      </c>
      <c r="K3322" s="261">
        <f>F3322*I3322</f>
        <v>826</v>
      </c>
      <c r="L3322" s="261"/>
      <c r="M3322" s="261"/>
    </row>
    <row r="3323" spans="5:13">
      <c r="E3323" s="261"/>
      <c r="F3323" s="261">
        <v>1</v>
      </c>
      <c r="G3323" s="261" t="s">
        <v>1389</v>
      </c>
      <c r="H3323" s="261" t="s">
        <v>3054</v>
      </c>
      <c r="I3323" s="261">
        <f>I3298</f>
        <v>644</v>
      </c>
      <c r="J3323" s="261" t="s">
        <v>1389</v>
      </c>
      <c r="K3323" s="261">
        <f>F3323*I3323</f>
        <v>644</v>
      </c>
      <c r="L3323" s="261"/>
      <c r="M3323" s="261"/>
    </row>
    <row r="3324" spans="5:13">
      <c r="E3324" s="261"/>
      <c r="F3324" s="261"/>
      <c r="G3324" s="261"/>
      <c r="H3324" s="261"/>
      <c r="I3324" s="261"/>
      <c r="J3324" s="261"/>
      <c r="K3324" s="272">
        <f>SUM(K3322:K3323)</f>
        <v>1470</v>
      </c>
      <c r="L3324" s="261"/>
      <c r="M3324" s="261"/>
    </row>
    <row r="3325" spans="5:13">
      <c r="E3325" s="261"/>
      <c r="F3325" s="261"/>
      <c r="G3325" s="261"/>
      <c r="H3325" s="272" t="s">
        <v>2648</v>
      </c>
      <c r="I3325" s="261"/>
      <c r="J3325" s="261"/>
      <c r="K3325" s="261"/>
      <c r="L3325" s="261"/>
      <c r="M3325" s="261"/>
    </row>
    <row r="3326" spans="5:13">
      <c r="E3326" s="261"/>
      <c r="F3326" s="261"/>
      <c r="G3326" s="261"/>
      <c r="H3326" s="272" t="s">
        <v>2649</v>
      </c>
      <c r="I3326" s="261"/>
      <c r="J3326" s="261"/>
      <c r="K3326" s="261"/>
      <c r="L3326" s="261"/>
      <c r="M3326" s="261"/>
    </row>
    <row r="3327" spans="5:13">
      <c r="E3327" s="261"/>
      <c r="F3327" s="261"/>
      <c r="G3327" s="261"/>
      <c r="H3327" s="261"/>
      <c r="I3327" s="261"/>
      <c r="J3327" s="261"/>
      <c r="K3327" s="261"/>
      <c r="L3327" s="261"/>
      <c r="M3327" s="261"/>
    </row>
    <row r="3328" spans="5:13" ht="86.25" customHeight="1">
      <c r="E3328" s="261"/>
      <c r="F3328" s="261"/>
      <c r="G3328" s="261"/>
      <c r="H3328" s="260" t="s">
        <v>3292</v>
      </c>
      <c r="I3328" s="261"/>
      <c r="J3328" s="261"/>
      <c r="K3328" s="261"/>
      <c r="L3328" s="261"/>
      <c r="M3328" s="261"/>
    </row>
    <row r="3329" spans="5:13">
      <c r="E3329" s="261"/>
      <c r="F3329" s="261"/>
      <c r="G3329" s="261"/>
      <c r="H3329" s="261"/>
      <c r="I3329" s="261"/>
      <c r="J3329" s="261"/>
      <c r="K3329" s="261"/>
      <c r="L3329" s="261"/>
      <c r="M3329" s="261"/>
    </row>
    <row r="3330" spans="5:13">
      <c r="E3330" s="261"/>
      <c r="F3330" s="261">
        <v>1</v>
      </c>
      <c r="G3330" s="261" t="s">
        <v>1389</v>
      </c>
      <c r="H3330" s="261" t="s">
        <v>3165</v>
      </c>
      <c r="I3330" s="261">
        <f>K3335</f>
        <v>64.239999999999995</v>
      </c>
      <c r="J3330" s="261" t="s">
        <v>1393</v>
      </c>
      <c r="K3330" s="261">
        <f>F3330*I3330</f>
        <v>64.239999999999995</v>
      </c>
      <c r="L3330" s="261"/>
      <c r="M3330" s="261"/>
    </row>
    <row r="3331" spans="5:13" ht="56.25" customHeight="1">
      <c r="E3331" s="261"/>
      <c r="F3331" s="261"/>
      <c r="G3331" s="261"/>
      <c r="H3331" s="260" t="s">
        <v>3166</v>
      </c>
      <c r="I3331" s="261"/>
      <c r="J3331" s="261" t="s">
        <v>654</v>
      </c>
      <c r="K3331" s="261">
        <f>13.65+0.61</f>
        <v>14.26</v>
      </c>
      <c r="L3331" s="261"/>
      <c r="M3331" s="261"/>
    </row>
    <row r="3332" spans="5:13">
      <c r="E3332" s="261"/>
      <c r="F3332" s="261"/>
      <c r="G3332" s="261"/>
      <c r="H3332" s="261" t="s">
        <v>140</v>
      </c>
      <c r="I3332" s="261"/>
      <c r="J3332" s="261"/>
      <c r="K3332" s="261">
        <f>K3340</f>
        <v>328.6</v>
      </c>
      <c r="L3332" s="261"/>
      <c r="M3332" s="261"/>
    </row>
    <row r="3333" spans="5:13">
      <c r="E3333" s="261"/>
      <c r="F3333" s="261"/>
      <c r="G3333" s="261"/>
      <c r="H3333" s="271" t="s">
        <v>1058</v>
      </c>
      <c r="I3333" s="261"/>
      <c r="J3333" s="261"/>
      <c r="K3333" s="272">
        <f>SUM(K3330:K3332)</f>
        <v>407.1</v>
      </c>
      <c r="L3333" s="261">
        <f>K3333-268</f>
        <v>139.1</v>
      </c>
      <c r="M3333" s="261"/>
    </row>
    <row r="3334" spans="5:13">
      <c r="E3334" s="261"/>
      <c r="F3334" s="261"/>
      <c r="G3334" s="261"/>
      <c r="H3334" s="261"/>
      <c r="I3334" s="261"/>
      <c r="J3334" s="261"/>
      <c r="K3334" s="261"/>
      <c r="L3334" s="261"/>
      <c r="M3334" s="261"/>
    </row>
    <row r="3335" spans="5:13">
      <c r="E3335" s="261"/>
      <c r="F3335" s="261"/>
      <c r="G3335" s="261"/>
      <c r="H3335" s="272" t="s">
        <v>3167</v>
      </c>
      <c r="I3335" s="261">
        <f>I3222</f>
        <v>107060</v>
      </c>
      <c r="J3335" s="278">
        <v>5.9999999999999995E-4</v>
      </c>
      <c r="K3335" s="261">
        <f>ROUND(I3335*J3335,2)</f>
        <v>64.239999999999995</v>
      </c>
      <c r="L3335" s="261"/>
      <c r="M3335" s="261"/>
    </row>
    <row r="3336" spans="5:13">
      <c r="E3336" s="261"/>
      <c r="F3336" s="261"/>
      <c r="G3336" s="261"/>
      <c r="H3336" s="261" t="s">
        <v>140</v>
      </c>
      <c r="I3336" s="261"/>
      <c r="J3336" s="261"/>
      <c r="K3336" s="261"/>
      <c r="L3336" s="261"/>
      <c r="M3336" s="261"/>
    </row>
    <row r="3337" spans="5:13">
      <c r="E3337" s="261"/>
      <c r="F3337" s="261">
        <v>1</v>
      </c>
      <c r="G3337" s="261" t="s">
        <v>1389</v>
      </c>
      <c r="H3337" s="261" t="s">
        <v>3168</v>
      </c>
      <c r="I3337" s="261">
        <f>I3278</f>
        <v>826</v>
      </c>
      <c r="J3337" s="261" t="s">
        <v>1393</v>
      </c>
      <c r="K3337" s="261">
        <f>F3337*I3337</f>
        <v>826</v>
      </c>
      <c r="L3337" s="261"/>
      <c r="M3337" s="261"/>
    </row>
    <row r="3338" spans="5:13">
      <c r="E3338" s="261"/>
      <c r="F3338" s="261">
        <v>3</v>
      </c>
      <c r="G3338" s="261" t="s">
        <v>1389</v>
      </c>
      <c r="H3338" s="261" t="s">
        <v>2575</v>
      </c>
      <c r="I3338" s="261">
        <f>I3279</f>
        <v>820</v>
      </c>
      <c r="J3338" s="261" t="s">
        <v>1393</v>
      </c>
      <c r="K3338" s="261">
        <f>F3338*I3338</f>
        <v>2460</v>
      </c>
      <c r="L3338" s="261"/>
      <c r="M3338" s="261"/>
    </row>
    <row r="3339" spans="5:13">
      <c r="E3339" s="261"/>
      <c r="F3339" s="261"/>
      <c r="G3339" s="261"/>
      <c r="H3339" s="269" t="s">
        <v>3169</v>
      </c>
      <c r="I3339" s="261"/>
      <c r="J3339" s="261"/>
      <c r="K3339" s="261">
        <f>SUM(K3337:K3338)</f>
        <v>3286</v>
      </c>
      <c r="L3339" s="261"/>
      <c r="M3339" s="261"/>
    </row>
    <row r="3340" spans="5:13">
      <c r="E3340" s="261"/>
      <c r="F3340" s="261"/>
      <c r="G3340" s="261"/>
      <c r="H3340" s="269" t="s">
        <v>3170</v>
      </c>
      <c r="I3340" s="261"/>
      <c r="J3340" s="261"/>
      <c r="K3340" s="272">
        <f>K3339/10</f>
        <v>328.6</v>
      </c>
      <c r="L3340" s="261"/>
      <c r="M3340" s="261"/>
    </row>
    <row r="3341" spans="5:13">
      <c r="E3341" s="261"/>
      <c r="F3341" s="261"/>
      <c r="G3341" s="261"/>
      <c r="H3341" s="261"/>
      <c r="I3341" s="261"/>
      <c r="J3341" s="261"/>
      <c r="K3341" s="261"/>
      <c r="L3341" s="261"/>
      <c r="M3341" s="261"/>
    </row>
    <row r="3342" spans="5:13">
      <c r="E3342" s="261"/>
      <c r="F3342" s="261"/>
      <c r="G3342" s="261"/>
      <c r="H3342" s="272" t="s">
        <v>3171</v>
      </c>
      <c r="I3342" s="261"/>
      <c r="J3342" s="261"/>
      <c r="K3342" s="261"/>
      <c r="L3342" s="261"/>
      <c r="M3342" s="261"/>
    </row>
    <row r="3343" spans="5:13" ht="103.5" customHeight="1">
      <c r="E3343" s="261"/>
      <c r="F3343" s="261"/>
      <c r="G3343" s="261"/>
      <c r="H3343" s="260" t="s">
        <v>5760</v>
      </c>
      <c r="I3343" s="261"/>
      <c r="J3343" s="261"/>
      <c r="K3343" s="261"/>
      <c r="L3343" s="261"/>
      <c r="M3343" s="261"/>
    </row>
    <row r="3344" spans="5:13">
      <c r="E3344" s="261"/>
      <c r="F3344" s="261"/>
      <c r="G3344" s="261"/>
      <c r="H3344" s="261"/>
      <c r="I3344" s="261"/>
      <c r="J3344" s="261"/>
      <c r="K3344" s="261"/>
      <c r="L3344" s="261"/>
      <c r="M3344" s="261"/>
    </row>
    <row r="3345" spans="5:13">
      <c r="E3345" s="261"/>
      <c r="F3345" s="261">
        <v>1</v>
      </c>
      <c r="G3345" s="261" t="s">
        <v>1389</v>
      </c>
      <c r="H3345" s="272" t="s">
        <v>3838</v>
      </c>
      <c r="I3345" s="705">
        <v>110</v>
      </c>
      <c r="J3345" s="261" t="s">
        <v>1389</v>
      </c>
      <c r="K3345" s="261">
        <f>F3345*I3345</f>
        <v>110</v>
      </c>
      <c r="L3345" s="261"/>
      <c r="M3345" s="261"/>
    </row>
    <row r="3346" spans="5:13" ht="52.5" customHeight="1">
      <c r="E3346" s="261"/>
      <c r="F3346" s="261"/>
      <c r="G3346" s="261"/>
      <c r="H3346" s="260" t="s">
        <v>3174</v>
      </c>
      <c r="I3346" s="261"/>
      <c r="J3346" s="261"/>
      <c r="K3346" s="261">
        <v>22.75</v>
      </c>
      <c r="L3346" s="261"/>
      <c r="M3346" s="261"/>
    </row>
    <row r="3347" spans="5:13">
      <c r="E3347" s="261"/>
      <c r="F3347" s="261"/>
      <c r="G3347" s="261"/>
      <c r="H3347" s="261" t="s">
        <v>911</v>
      </c>
      <c r="I3347" s="261"/>
      <c r="J3347" s="261"/>
      <c r="K3347" s="261">
        <f>K3356</f>
        <v>393</v>
      </c>
      <c r="L3347" s="261"/>
      <c r="M3347" s="261"/>
    </row>
    <row r="3348" spans="5:13">
      <c r="E3348" s="261"/>
      <c r="F3348" s="261"/>
      <c r="G3348" s="261"/>
      <c r="H3348" s="271" t="s">
        <v>1058</v>
      </c>
      <c r="I3348" s="261"/>
      <c r="J3348" s="261"/>
      <c r="K3348" s="272">
        <f>SUM(K3345:K3347)</f>
        <v>525.75</v>
      </c>
      <c r="L3348" s="261">
        <f>K3348-376</f>
        <v>149.75</v>
      </c>
      <c r="M3348" s="261"/>
    </row>
    <row r="3349" spans="5:13">
      <c r="E3349" s="261"/>
      <c r="F3349" s="261"/>
      <c r="G3349" s="261"/>
      <c r="H3349" s="271"/>
      <c r="I3349" s="261"/>
      <c r="J3349" s="261"/>
      <c r="K3349" s="272"/>
      <c r="L3349" s="261"/>
      <c r="M3349" s="261"/>
    </row>
    <row r="3350" spans="5:13">
      <c r="E3350" s="261"/>
      <c r="F3350" s="261"/>
      <c r="G3350" s="261"/>
      <c r="H3350" s="261" t="s">
        <v>140</v>
      </c>
      <c r="I3350" s="261"/>
      <c r="J3350" s="261"/>
      <c r="K3350" s="261"/>
      <c r="L3350" s="261"/>
      <c r="M3350" s="261"/>
    </row>
    <row r="3351" spans="5:13">
      <c r="E3351" s="261"/>
      <c r="F3351" s="261">
        <v>1</v>
      </c>
      <c r="G3351" s="261"/>
      <c r="H3351" s="261" t="s">
        <v>2744</v>
      </c>
      <c r="I3351" s="261">
        <f>I2867</f>
        <v>826</v>
      </c>
      <c r="J3351" s="261" t="s">
        <v>1389</v>
      </c>
      <c r="K3351" s="261">
        <f>F3351*I3351</f>
        <v>826</v>
      </c>
      <c r="L3351" s="261"/>
      <c r="M3351" s="261"/>
    </row>
    <row r="3352" spans="5:13">
      <c r="E3352" s="261"/>
      <c r="F3352" s="261">
        <v>3</v>
      </c>
      <c r="G3352" s="261"/>
      <c r="H3352" s="261" t="s">
        <v>2575</v>
      </c>
      <c r="I3352" s="261">
        <f>I2868</f>
        <v>820</v>
      </c>
      <c r="J3352" s="261" t="s">
        <v>1389</v>
      </c>
      <c r="K3352" s="261">
        <f>F3352*I3352</f>
        <v>2460</v>
      </c>
      <c r="L3352" s="261"/>
      <c r="M3352" s="261"/>
    </row>
    <row r="3353" spans="5:13">
      <c r="E3353" s="261"/>
      <c r="F3353" s="261">
        <v>1</v>
      </c>
      <c r="G3353" s="261"/>
      <c r="H3353" s="261" t="s">
        <v>2321</v>
      </c>
      <c r="I3353" s="261">
        <f>I2869</f>
        <v>644</v>
      </c>
      <c r="J3353" s="261" t="s">
        <v>1389</v>
      </c>
      <c r="K3353" s="261">
        <f>F3353*I3353</f>
        <v>644</v>
      </c>
      <c r="L3353" s="261"/>
      <c r="M3353" s="261"/>
    </row>
    <row r="3354" spans="5:13">
      <c r="E3354" s="261"/>
      <c r="F3354" s="261">
        <v>0.5</v>
      </c>
      <c r="G3354" s="261"/>
      <c r="H3354" s="261" t="str">
        <f>Elec.Data!H523</f>
        <v>Total for 10 Nos</v>
      </c>
      <c r="I3354" s="263">
        <f>Elec.Data!I523</f>
        <v>0</v>
      </c>
      <c r="J3354" s="261" t="s">
        <v>1389</v>
      </c>
      <c r="K3354" s="261">
        <f>F3354*I3354</f>
        <v>0</v>
      </c>
      <c r="L3354" s="261"/>
      <c r="M3354" s="261"/>
    </row>
    <row r="3355" spans="5:13">
      <c r="E3355" s="261"/>
      <c r="F3355" s="261"/>
      <c r="G3355" s="261"/>
      <c r="H3355" s="269" t="s">
        <v>3175</v>
      </c>
      <c r="I3355" s="261"/>
      <c r="J3355" s="261"/>
      <c r="K3355" s="270">
        <f>SUM(K3351:K3354)</f>
        <v>3930</v>
      </c>
      <c r="L3355" s="261"/>
      <c r="M3355" s="261"/>
    </row>
    <row r="3356" spans="5:13">
      <c r="E3356" s="261"/>
      <c r="F3356" s="261"/>
      <c r="G3356" s="261"/>
      <c r="H3356" s="271" t="s">
        <v>3176</v>
      </c>
      <c r="I3356" s="272"/>
      <c r="J3356" s="272"/>
      <c r="K3356" s="272">
        <f>K3355/10</f>
        <v>393</v>
      </c>
      <c r="L3356" s="261"/>
      <c r="M3356" s="261"/>
    </row>
    <row r="3357" spans="5:13">
      <c r="E3357" s="261"/>
      <c r="F3357" s="261"/>
      <c r="G3357" s="261"/>
      <c r="H3357" s="261"/>
      <c r="I3357" s="261"/>
      <c r="J3357" s="261"/>
      <c r="K3357" s="261"/>
      <c r="L3357" s="261"/>
      <c r="M3357" s="261"/>
    </row>
    <row r="3358" spans="5:13">
      <c r="E3358" s="261"/>
      <c r="F3358" s="261"/>
      <c r="G3358" s="261"/>
      <c r="H3358" s="272" t="s">
        <v>3177</v>
      </c>
      <c r="I3358" s="261"/>
      <c r="J3358" s="261"/>
      <c r="K3358" s="261"/>
      <c r="L3358" s="261"/>
      <c r="M3358" s="261"/>
    </row>
    <row r="3359" spans="5:13">
      <c r="E3359" s="261"/>
      <c r="F3359" s="261"/>
      <c r="G3359" s="261"/>
      <c r="H3359" s="272" t="s">
        <v>3178</v>
      </c>
      <c r="I3359" s="261"/>
      <c r="J3359" s="261"/>
      <c r="K3359" s="261"/>
      <c r="L3359" s="261"/>
      <c r="M3359" s="261"/>
    </row>
    <row r="3360" spans="5:13">
      <c r="E3360" s="261"/>
      <c r="F3360" s="261"/>
      <c r="G3360" s="261"/>
      <c r="H3360" s="261"/>
      <c r="I3360" s="261"/>
      <c r="J3360" s="261"/>
      <c r="K3360" s="261"/>
      <c r="L3360" s="261"/>
      <c r="M3360" s="261"/>
    </row>
    <row r="3361" spans="5:13" ht="103.5" customHeight="1">
      <c r="E3361" s="261"/>
      <c r="F3361" s="261"/>
      <c r="G3361" s="261"/>
      <c r="H3361" s="260" t="s">
        <v>3208</v>
      </c>
      <c r="I3361" s="261"/>
      <c r="J3361" s="261"/>
      <c r="K3361" s="261"/>
      <c r="L3361" s="261"/>
      <c r="M3361" s="261"/>
    </row>
    <row r="3362" spans="5:13">
      <c r="E3362" s="261"/>
      <c r="F3362" s="261"/>
      <c r="G3362" s="261"/>
      <c r="H3362" s="261"/>
      <c r="I3362" s="261"/>
      <c r="J3362" s="261"/>
      <c r="K3362" s="261"/>
      <c r="L3362" s="261"/>
      <c r="M3362" s="261"/>
    </row>
    <row r="3363" spans="5:13">
      <c r="E3363" s="261"/>
      <c r="F3363" s="261">
        <v>1</v>
      </c>
      <c r="G3363" s="261" t="s">
        <v>1389</v>
      </c>
      <c r="H3363" s="261" t="s">
        <v>3209</v>
      </c>
      <c r="I3363" s="261">
        <f>K3368</f>
        <v>128.47</v>
      </c>
      <c r="J3363" s="261" t="s">
        <v>1393</v>
      </c>
      <c r="K3363" s="261">
        <f>F3363*I3363</f>
        <v>128.47</v>
      </c>
      <c r="L3363" s="261"/>
      <c r="M3363" s="261"/>
    </row>
    <row r="3364" spans="5:13" ht="51" customHeight="1">
      <c r="E3364" s="261"/>
      <c r="F3364" s="261" t="s">
        <v>654</v>
      </c>
      <c r="G3364" s="261" t="s">
        <v>654</v>
      </c>
      <c r="H3364" s="260" t="s">
        <v>3210</v>
      </c>
      <c r="I3364" s="261" t="s">
        <v>654</v>
      </c>
      <c r="J3364" s="261" t="s">
        <v>654</v>
      </c>
      <c r="K3364" s="261">
        <v>40.33</v>
      </c>
      <c r="L3364" s="261"/>
      <c r="M3364" s="261"/>
    </row>
    <row r="3365" spans="5:13">
      <c r="E3365" s="261"/>
      <c r="F3365" s="261"/>
      <c r="G3365" s="261"/>
      <c r="H3365" s="261" t="s">
        <v>140</v>
      </c>
      <c r="I3365" s="261"/>
      <c r="J3365" s="261"/>
      <c r="K3365" s="261">
        <f>K3340</f>
        <v>328.6</v>
      </c>
      <c r="L3365" s="261"/>
      <c r="M3365" s="261"/>
    </row>
    <row r="3366" spans="5:13">
      <c r="E3366" s="261"/>
      <c r="F3366" s="261"/>
      <c r="G3366" s="261"/>
      <c r="H3366" s="271" t="s">
        <v>1058</v>
      </c>
      <c r="I3366" s="261"/>
      <c r="J3366" s="261"/>
      <c r="K3366" s="272">
        <f>SUM(K3363:K3365)</f>
        <v>497.4</v>
      </c>
      <c r="L3366" s="261"/>
      <c r="M3366" s="261"/>
    </row>
    <row r="3367" spans="5:13">
      <c r="E3367" s="261"/>
      <c r="F3367" s="261"/>
      <c r="G3367" s="261"/>
      <c r="H3367" s="261"/>
      <c r="I3367" s="261"/>
      <c r="J3367" s="261"/>
      <c r="K3367" s="272"/>
      <c r="L3367" s="261"/>
      <c r="M3367" s="261"/>
    </row>
    <row r="3368" spans="5:13">
      <c r="E3368" s="261"/>
      <c r="F3368" s="261"/>
      <c r="G3368" s="261"/>
      <c r="H3368" s="272" t="s">
        <v>3209</v>
      </c>
      <c r="I3368" s="261">
        <f>I3335</f>
        <v>107060</v>
      </c>
      <c r="J3368" s="278">
        <f>0.0012</f>
        <v>1.1999999999999999E-3</v>
      </c>
      <c r="K3368" s="272">
        <f>I3368*J3368</f>
        <v>128.47</v>
      </c>
      <c r="L3368" s="261"/>
      <c r="M3368" s="261"/>
    </row>
    <row r="3369" spans="5:13">
      <c r="E3369" s="261"/>
      <c r="F3369" s="261"/>
      <c r="G3369" s="261"/>
      <c r="H3369" s="261"/>
      <c r="I3369" s="261"/>
      <c r="J3369" s="261"/>
      <c r="K3369" s="261"/>
      <c r="L3369" s="261"/>
      <c r="M3369" s="261"/>
    </row>
    <row r="3370" spans="5:13">
      <c r="E3370" s="261"/>
      <c r="F3370" s="261"/>
      <c r="G3370" s="261"/>
      <c r="H3370" s="272" t="s">
        <v>2648</v>
      </c>
      <c r="I3370" s="261"/>
      <c r="J3370" s="261"/>
      <c r="K3370" s="261"/>
      <c r="L3370" s="261"/>
      <c r="M3370" s="261"/>
    </row>
    <row r="3371" spans="5:13">
      <c r="E3371" s="261"/>
      <c r="F3371" s="261"/>
      <c r="G3371" s="261"/>
      <c r="H3371" s="261"/>
      <c r="I3371" s="261"/>
      <c r="J3371" s="261"/>
      <c r="K3371" s="261"/>
      <c r="L3371" s="261"/>
      <c r="M3371" s="261"/>
    </row>
    <row r="3372" spans="5:13">
      <c r="E3372" s="261"/>
      <c r="F3372" s="261"/>
      <c r="G3372" s="261"/>
      <c r="H3372" s="272" t="s">
        <v>2522</v>
      </c>
      <c r="I3372" s="261"/>
      <c r="J3372" s="261"/>
      <c r="K3372" s="261"/>
      <c r="L3372" s="261"/>
      <c r="M3372" s="261"/>
    </row>
    <row r="3373" spans="5:13">
      <c r="E3373" s="261"/>
      <c r="F3373" s="261"/>
      <c r="G3373" s="261"/>
      <c r="H3373" s="261"/>
      <c r="I3373" s="261"/>
      <c r="J3373" s="261"/>
      <c r="K3373" s="261"/>
      <c r="L3373" s="261"/>
      <c r="M3373" s="261"/>
    </row>
    <row r="3374" spans="5:13" ht="102" customHeight="1">
      <c r="E3374" s="261"/>
      <c r="F3374" s="261"/>
      <c r="G3374" s="261"/>
      <c r="H3374" s="260" t="s">
        <v>3839</v>
      </c>
      <c r="I3374" s="261"/>
      <c r="J3374" s="261"/>
      <c r="K3374" s="261"/>
      <c r="L3374" s="261"/>
      <c r="M3374" s="261"/>
    </row>
    <row r="3375" spans="5:13">
      <c r="E3375" s="261"/>
      <c r="F3375" s="261"/>
      <c r="G3375" s="261"/>
      <c r="H3375" s="261"/>
      <c r="I3375" s="261"/>
      <c r="J3375" s="261"/>
      <c r="K3375" s="261"/>
      <c r="L3375" s="261"/>
      <c r="M3375" s="261"/>
    </row>
    <row r="3376" spans="5:13">
      <c r="E3376" s="261"/>
      <c r="F3376" s="261">
        <v>1</v>
      </c>
      <c r="G3376" s="261" t="s">
        <v>1389</v>
      </c>
      <c r="H3376" s="272" t="s">
        <v>3838</v>
      </c>
      <c r="I3376" s="705">
        <v>110</v>
      </c>
      <c r="J3376" s="261" t="s">
        <v>1389</v>
      </c>
      <c r="K3376" s="261">
        <f>F3376*I3376</f>
        <v>110</v>
      </c>
      <c r="L3376" s="261"/>
      <c r="M3376" s="261"/>
    </row>
    <row r="3377" spans="5:13" ht="31.5">
      <c r="E3377" s="261"/>
      <c r="F3377" s="261"/>
      <c r="G3377" s="261"/>
      <c r="H3377" s="260" t="s">
        <v>3174</v>
      </c>
      <c r="I3377" s="261"/>
      <c r="J3377" s="261"/>
      <c r="K3377" s="261">
        <v>35.75</v>
      </c>
      <c r="L3377" s="261"/>
      <c r="M3377" s="261"/>
    </row>
    <row r="3378" spans="5:13">
      <c r="E3378" s="261"/>
      <c r="F3378" s="261"/>
      <c r="G3378" s="261"/>
      <c r="H3378" s="261" t="s">
        <v>911</v>
      </c>
      <c r="I3378" s="261"/>
      <c r="J3378" s="261"/>
      <c r="K3378" s="261">
        <f>K3356</f>
        <v>393</v>
      </c>
      <c r="L3378" s="261"/>
      <c r="M3378" s="261"/>
    </row>
    <row r="3379" spans="5:13">
      <c r="E3379" s="261"/>
      <c r="F3379" s="261"/>
      <c r="G3379" s="261"/>
      <c r="H3379" s="271" t="s">
        <v>1058</v>
      </c>
      <c r="I3379" s="261"/>
      <c r="J3379" s="261"/>
      <c r="K3379" s="272">
        <f>SUM(K3376:K3378)</f>
        <v>538.75</v>
      </c>
      <c r="L3379" s="261">
        <f>389-K3379</f>
        <v>-149.75</v>
      </c>
      <c r="M3379" s="261"/>
    </row>
    <row r="3380" spans="5:13">
      <c r="E3380" s="261"/>
      <c r="F3380" s="261"/>
      <c r="G3380" s="261"/>
      <c r="H3380" s="261"/>
      <c r="I3380" s="261"/>
      <c r="J3380" s="261"/>
      <c r="K3380" s="261"/>
      <c r="L3380" s="261"/>
      <c r="M3380" s="261"/>
    </row>
    <row r="3381" spans="5:13">
      <c r="E3381" s="261"/>
      <c r="F3381" s="261"/>
      <c r="G3381" s="261"/>
      <c r="H3381" s="272" t="s">
        <v>2403</v>
      </c>
      <c r="I3381" s="261"/>
      <c r="J3381" s="261"/>
      <c r="K3381" s="261"/>
      <c r="L3381" s="261"/>
      <c r="M3381" s="261"/>
    </row>
    <row r="3382" spans="5:13">
      <c r="E3382" s="261"/>
      <c r="F3382" s="261"/>
      <c r="G3382" s="261"/>
      <c r="H3382" s="272" t="s">
        <v>2404</v>
      </c>
      <c r="I3382" s="261"/>
      <c r="J3382" s="261"/>
      <c r="K3382" s="261"/>
      <c r="L3382" s="261"/>
      <c r="M3382" s="261"/>
    </row>
    <row r="3383" spans="5:13">
      <c r="E3383" s="261"/>
      <c r="F3383" s="261"/>
      <c r="G3383" s="261"/>
      <c r="H3383" s="261"/>
      <c r="I3383" s="261"/>
      <c r="J3383" s="261"/>
      <c r="K3383" s="261"/>
      <c r="L3383" s="261"/>
      <c r="M3383" s="261"/>
    </row>
    <row r="3384" spans="5:13" ht="39" customHeight="1">
      <c r="E3384" s="261"/>
      <c r="F3384" s="261">
        <v>1</v>
      </c>
      <c r="G3384" s="261" t="s">
        <v>1389</v>
      </c>
      <c r="H3384" s="260">
        <f>Elec.Data!H553</f>
        <v>0</v>
      </c>
      <c r="I3384" s="263">
        <f>Elec.Data!I553</f>
        <v>0</v>
      </c>
      <c r="J3384" s="261" t="s">
        <v>1389</v>
      </c>
      <c r="K3384" s="272">
        <f>F3384*I3384</f>
        <v>0</v>
      </c>
      <c r="L3384" s="261"/>
      <c r="M3384" s="261"/>
    </row>
    <row r="3385" spans="5:13">
      <c r="E3385" s="261"/>
      <c r="F3385" s="261"/>
      <c r="G3385" s="261"/>
      <c r="H3385" s="261"/>
      <c r="I3385" s="261"/>
      <c r="J3385" s="261"/>
      <c r="K3385" s="261"/>
      <c r="L3385" s="261"/>
      <c r="M3385" s="261"/>
    </row>
    <row r="3386" spans="5:13">
      <c r="E3386" s="261"/>
      <c r="F3386" s="261"/>
      <c r="G3386" s="261"/>
      <c r="H3386" s="272" t="s">
        <v>2405</v>
      </c>
      <c r="I3386" s="261"/>
      <c r="J3386" s="261"/>
      <c r="K3386" s="261"/>
      <c r="L3386" s="261"/>
      <c r="M3386" s="261"/>
    </row>
    <row r="3387" spans="5:13">
      <c r="E3387" s="261"/>
      <c r="F3387" s="261"/>
      <c r="G3387" s="261"/>
      <c r="H3387" s="272" t="s">
        <v>2392</v>
      </c>
      <c r="I3387" s="261"/>
      <c r="J3387" s="261"/>
      <c r="K3387" s="261"/>
      <c r="L3387" s="261"/>
      <c r="M3387" s="261"/>
    </row>
    <row r="3388" spans="5:13">
      <c r="E3388" s="261"/>
      <c r="F3388" s="261"/>
      <c r="G3388" s="261"/>
      <c r="H3388" s="261"/>
      <c r="I3388" s="261"/>
      <c r="J3388" s="261"/>
      <c r="K3388" s="261"/>
      <c r="L3388" s="261"/>
      <c r="M3388" s="261"/>
    </row>
    <row r="3389" spans="5:13" ht="36.75" customHeight="1">
      <c r="E3389" s="261"/>
      <c r="F3389" s="261">
        <v>1</v>
      </c>
      <c r="G3389" s="261" t="s">
        <v>1389</v>
      </c>
      <c r="H3389" s="260" t="s">
        <v>5761</v>
      </c>
      <c r="I3389" s="263">
        <f>Elec.Data!I558</f>
        <v>0</v>
      </c>
      <c r="J3389" s="261" t="s">
        <v>1389</v>
      </c>
      <c r="K3389" s="301">
        <f>F3389*I3389</f>
        <v>0</v>
      </c>
      <c r="L3389" s="261"/>
      <c r="M3389" s="261"/>
    </row>
    <row r="3390" spans="5:13" ht="7.5" customHeight="1">
      <c r="E3390" s="261"/>
      <c r="F3390" s="261"/>
      <c r="G3390" s="261"/>
      <c r="H3390" s="261"/>
      <c r="I3390" s="261"/>
      <c r="J3390" s="261"/>
      <c r="K3390" s="261"/>
      <c r="L3390" s="261"/>
      <c r="M3390" s="261"/>
    </row>
    <row r="3391" spans="5:13">
      <c r="E3391" s="261"/>
      <c r="F3391" s="261"/>
      <c r="G3391" s="261"/>
      <c r="H3391" s="272" t="s">
        <v>2393</v>
      </c>
      <c r="I3391" s="261"/>
      <c r="J3391" s="261"/>
      <c r="K3391" s="261"/>
      <c r="L3391" s="261"/>
      <c r="M3391" s="261"/>
    </row>
    <row r="3392" spans="5:13">
      <c r="E3392" s="261"/>
      <c r="F3392" s="261"/>
      <c r="G3392" s="261"/>
      <c r="H3392" s="272" t="s">
        <v>2394</v>
      </c>
      <c r="I3392" s="261"/>
      <c r="J3392" s="261"/>
      <c r="K3392" s="261"/>
      <c r="L3392" s="261"/>
      <c r="M3392" s="261"/>
    </row>
    <row r="3393" spans="5:15">
      <c r="E3393" s="261"/>
      <c r="F3393" s="261"/>
      <c r="G3393" s="261"/>
      <c r="H3393" s="270" t="s">
        <v>2395</v>
      </c>
      <c r="I3393" s="261"/>
      <c r="J3393" s="261"/>
      <c r="K3393" s="261"/>
      <c r="L3393" s="261"/>
      <c r="M3393" s="261"/>
    </row>
    <row r="3394" spans="5:15">
      <c r="E3394" s="261"/>
      <c r="F3394" s="261"/>
      <c r="G3394" s="261"/>
      <c r="H3394" s="261"/>
      <c r="I3394" s="261"/>
      <c r="J3394" s="261"/>
      <c r="K3394" s="261"/>
      <c r="L3394" s="261"/>
      <c r="M3394" s="261"/>
    </row>
    <row r="3395" spans="5:15" ht="63">
      <c r="E3395" s="261"/>
      <c r="F3395" s="261"/>
      <c r="G3395" s="261"/>
      <c r="H3395" s="260" t="s">
        <v>2697</v>
      </c>
      <c r="I3395" s="261"/>
      <c r="J3395" s="261"/>
      <c r="K3395" s="261"/>
      <c r="L3395" s="260" t="s">
        <v>3449</v>
      </c>
      <c r="M3395" s="260" t="s">
        <v>3450</v>
      </c>
      <c r="N3395" s="260" t="s">
        <v>3688</v>
      </c>
      <c r="O3395" s="260" t="s">
        <v>3848</v>
      </c>
    </row>
    <row r="3396" spans="5:15">
      <c r="E3396" s="261"/>
      <c r="F3396" s="261">
        <v>1</v>
      </c>
      <c r="G3396" s="261" t="s">
        <v>1389</v>
      </c>
      <c r="H3396" s="261" t="s">
        <v>2698</v>
      </c>
      <c r="I3396" s="263">
        <f>Elec.Data!I565</f>
        <v>31.28</v>
      </c>
      <c r="J3396" s="261" t="s">
        <v>1389</v>
      </c>
      <c r="K3396" s="261">
        <f>F3396*I3396</f>
        <v>31.28</v>
      </c>
      <c r="L3396" s="261">
        <f>Elec.Data!L565</f>
        <v>31.28</v>
      </c>
      <c r="M3396" s="261">
        <f>Elec.Data!M565</f>
        <v>31.28</v>
      </c>
      <c r="N3396" s="261">
        <f>Elec.Data!N565</f>
        <v>31.28</v>
      </c>
      <c r="O3396" s="261">
        <f>Elec.Data!O565</f>
        <v>31.28</v>
      </c>
    </row>
    <row r="3397" spans="5:15">
      <c r="E3397" s="261"/>
      <c r="F3397" s="261">
        <v>1</v>
      </c>
      <c r="G3397" s="261" t="s">
        <v>1389</v>
      </c>
      <c r="H3397" s="261" t="s">
        <v>2699</v>
      </c>
      <c r="I3397" s="261">
        <f>K3402</f>
        <v>32.119999999999997</v>
      </c>
      <c r="J3397" s="261" t="s">
        <v>1389</v>
      </c>
      <c r="K3397" s="261">
        <f>F3397*I3397</f>
        <v>32.119999999999997</v>
      </c>
      <c r="L3397" s="261">
        <f t="shared" ref="L3397:O3399" si="103">K3397</f>
        <v>32.119999999999997</v>
      </c>
      <c r="M3397" s="261">
        <f t="shared" si="103"/>
        <v>32.119999999999997</v>
      </c>
      <c r="N3397" s="261">
        <f t="shared" si="103"/>
        <v>32.119999999999997</v>
      </c>
      <c r="O3397" s="296">
        <f t="shared" si="103"/>
        <v>32.119999999999997</v>
      </c>
    </row>
    <row r="3398" spans="5:15">
      <c r="E3398" s="261"/>
      <c r="F3398" s="261"/>
      <c r="G3398" s="261"/>
      <c r="H3398" s="261" t="s">
        <v>911</v>
      </c>
      <c r="I3398" s="261"/>
      <c r="J3398" s="261"/>
      <c r="K3398" s="261">
        <f>K3409</f>
        <v>447.25</v>
      </c>
      <c r="L3398" s="261">
        <f t="shared" si="103"/>
        <v>447.25</v>
      </c>
      <c r="M3398" s="261">
        <f t="shared" si="103"/>
        <v>447.25</v>
      </c>
      <c r="N3398" s="261">
        <f t="shared" si="103"/>
        <v>447.25</v>
      </c>
      <c r="O3398" s="296">
        <f t="shared" si="103"/>
        <v>447.25</v>
      </c>
    </row>
    <row r="3399" spans="5:15">
      <c r="E3399" s="261"/>
      <c r="F3399" s="261"/>
      <c r="G3399" s="261"/>
      <c r="H3399" s="261" t="s">
        <v>2700</v>
      </c>
      <c r="I3399" s="261" t="s">
        <v>654</v>
      </c>
      <c r="J3399" s="261"/>
      <c r="K3399" s="261">
        <v>5.05</v>
      </c>
      <c r="L3399" s="261">
        <f t="shared" si="103"/>
        <v>5.05</v>
      </c>
      <c r="M3399" s="261">
        <f t="shared" si="103"/>
        <v>5.05</v>
      </c>
      <c r="N3399" s="261">
        <f t="shared" si="103"/>
        <v>5.05</v>
      </c>
      <c r="O3399" s="296">
        <f t="shared" si="103"/>
        <v>5.05</v>
      </c>
    </row>
    <row r="3400" spans="5:15">
      <c r="E3400" s="261"/>
      <c r="F3400" s="261"/>
      <c r="G3400" s="261"/>
      <c r="H3400" s="271" t="s">
        <v>1058</v>
      </c>
      <c r="I3400" s="261"/>
      <c r="J3400" s="261"/>
      <c r="K3400" s="272">
        <f>SUM(K3396:K3399)</f>
        <v>515.70000000000005</v>
      </c>
      <c r="L3400" s="272">
        <f>SUM(L3396:L3399)</f>
        <v>515.70000000000005</v>
      </c>
      <c r="M3400" s="272">
        <f>SUM(M3396:M3399)</f>
        <v>515.70000000000005</v>
      </c>
      <c r="N3400" s="272">
        <f>SUM(N3396:N3399)</f>
        <v>515.70000000000005</v>
      </c>
      <c r="O3400" s="272">
        <f>SUM(O3396:O3399)</f>
        <v>515.70000000000005</v>
      </c>
    </row>
    <row r="3401" spans="5:15" ht="9.75" customHeight="1">
      <c r="E3401" s="261"/>
      <c r="F3401" s="261"/>
      <c r="G3401" s="261"/>
      <c r="H3401" s="261"/>
      <c r="I3401" s="261"/>
      <c r="J3401" s="261"/>
      <c r="K3401" s="261"/>
      <c r="L3401" s="261"/>
      <c r="M3401" s="261"/>
    </row>
    <row r="3402" spans="5:15">
      <c r="E3402" s="261"/>
      <c r="F3402" s="261"/>
      <c r="G3402" s="261"/>
      <c r="H3402" s="272" t="s">
        <v>2701</v>
      </c>
      <c r="I3402" s="261">
        <f>I3368</f>
        <v>107060</v>
      </c>
      <c r="J3402" s="278">
        <v>2.9999999999999997E-4</v>
      </c>
      <c r="K3402" s="272">
        <f>I3402*J3402</f>
        <v>32.119999999999997</v>
      </c>
      <c r="L3402" s="261"/>
      <c r="M3402" s="261"/>
    </row>
    <row r="3403" spans="5:15">
      <c r="E3403" s="261"/>
      <c r="F3403" s="261"/>
      <c r="G3403" s="261"/>
      <c r="H3403" s="261"/>
      <c r="I3403" s="261"/>
      <c r="J3403" s="261"/>
      <c r="K3403" s="261"/>
      <c r="L3403" s="261"/>
      <c r="M3403" s="261"/>
    </row>
    <row r="3404" spans="5:15">
      <c r="E3404" s="261"/>
      <c r="F3404" s="261"/>
      <c r="G3404" s="261"/>
      <c r="H3404" s="270" t="s">
        <v>140</v>
      </c>
      <c r="I3404" s="261"/>
      <c r="J3404" s="261"/>
      <c r="K3404" s="261"/>
      <c r="L3404" s="261"/>
      <c r="M3404" s="261"/>
    </row>
    <row r="3405" spans="5:15">
      <c r="E3405" s="261"/>
      <c r="F3405" s="261">
        <v>1</v>
      </c>
      <c r="G3405" s="261" t="s">
        <v>1389</v>
      </c>
      <c r="H3405" s="261" t="s">
        <v>2744</v>
      </c>
      <c r="I3405" s="261">
        <f>I3351</f>
        <v>826</v>
      </c>
      <c r="J3405" s="261" t="s">
        <v>1389</v>
      </c>
      <c r="K3405" s="261">
        <f>F3405*I3405</f>
        <v>826</v>
      </c>
      <c r="L3405" s="261"/>
      <c r="M3405" s="261"/>
    </row>
    <row r="3406" spans="5:15">
      <c r="E3406" s="261"/>
      <c r="F3406" s="261">
        <v>1</v>
      </c>
      <c r="G3406" s="261" t="s">
        <v>1389</v>
      </c>
      <c r="H3406" s="261" t="s">
        <v>2575</v>
      </c>
      <c r="I3406" s="261">
        <f>I3352</f>
        <v>820</v>
      </c>
      <c r="J3406" s="261" t="s">
        <v>1389</v>
      </c>
      <c r="K3406" s="261">
        <f>F3406*I3406</f>
        <v>820</v>
      </c>
      <c r="L3406" s="261"/>
      <c r="M3406" s="261"/>
    </row>
    <row r="3407" spans="5:15">
      <c r="E3407" s="261"/>
      <c r="F3407" s="261">
        <v>3</v>
      </c>
      <c r="G3407" s="261" t="s">
        <v>1389</v>
      </c>
      <c r="H3407" s="261" t="s">
        <v>2321</v>
      </c>
      <c r="I3407" s="261">
        <f>I3353</f>
        <v>644</v>
      </c>
      <c r="J3407" s="261" t="s">
        <v>1389</v>
      </c>
      <c r="K3407" s="261">
        <f>F3407*I3407</f>
        <v>1932</v>
      </c>
      <c r="L3407" s="261"/>
      <c r="M3407" s="261"/>
    </row>
    <row r="3408" spans="5:15">
      <c r="E3408" s="261"/>
      <c r="F3408" s="261"/>
      <c r="G3408" s="261"/>
      <c r="H3408" s="269" t="s">
        <v>2650</v>
      </c>
      <c r="I3408" s="261"/>
      <c r="J3408" s="261"/>
      <c r="K3408" s="261">
        <f>SUM(K3405:K3407)</f>
        <v>3578</v>
      </c>
      <c r="L3408" s="261"/>
      <c r="M3408" s="261"/>
    </row>
    <row r="3409" spans="5:13">
      <c r="E3409" s="261"/>
      <c r="F3409" s="261"/>
      <c r="G3409" s="261"/>
      <c r="H3409" s="271" t="s">
        <v>2770</v>
      </c>
      <c r="I3409" s="261"/>
      <c r="J3409" s="261"/>
      <c r="K3409" s="272">
        <f>K3408/8</f>
        <v>447.25</v>
      </c>
      <c r="L3409" s="261"/>
      <c r="M3409" s="261"/>
    </row>
    <row r="3410" spans="5:13" ht="9" customHeight="1">
      <c r="E3410" s="261"/>
      <c r="F3410" s="261"/>
      <c r="G3410" s="261"/>
      <c r="H3410" s="261"/>
      <c r="I3410" s="261"/>
      <c r="J3410" s="261"/>
      <c r="K3410" s="261"/>
      <c r="L3410" s="261"/>
      <c r="M3410" s="261"/>
    </row>
    <row r="3411" spans="5:13">
      <c r="E3411" s="261"/>
      <c r="F3411" s="261"/>
      <c r="G3411" s="261"/>
      <c r="H3411" s="272" t="s">
        <v>2651</v>
      </c>
      <c r="I3411" s="261"/>
      <c r="J3411" s="261"/>
      <c r="K3411" s="261"/>
      <c r="L3411" s="261"/>
      <c r="M3411" s="261"/>
    </row>
    <row r="3412" spans="5:13">
      <c r="E3412" s="261"/>
      <c r="F3412" s="261"/>
      <c r="G3412" s="261"/>
      <c r="H3412" s="272" t="s">
        <v>2652</v>
      </c>
      <c r="I3412" s="261"/>
      <c r="J3412" s="261"/>
      <c r="K3412" s="261"/>
      <c r="L3412" s="261"/>
      <c r="M3412" s="261"/>
    </row>
    <row r="3413" spans="5:13">
      <c r="E3413" s="261"/>
      <c r="F3413" s="261"/>
      <c r="G3413" s="261"/>
      <c r="H3413" s="261"/>
      <c r="I3413" s="261"/>
      <c r="J3413" s="261"/>
      <c r="K3413" s="261"/>
      <c r="L3413" s="261"/>
      <c r="M3413" s="261"/>
    </row>
    <row r="3414" spans="5:13" ht="63">
      <c r="E3414" s="261"/>
      <c r="F3414" s="261"/>
      <c r="G3414" s="261"/>
      <c r="H3414" s="260" t="s">
        <v>2657</v>
      </c>
      <c r="I3414" s="261"/>
      <c r="J3414" s="261"/>
      <c r="K3414" s="261"/>
      <c r="L3414" s="261" t="s">
        <v>3504</v>
      </c>
      <c r="M3414" s="261"/>
    </row>
    <row r="3415" spans="5:13">
      <c r="E3415" s="261"/>
      <c r="F3415" s="261">
        <v>3</v>
      </c>
      <c r="G3415" s="261" t="s">
        <v>1389</v>
      </c>
      <c r="H3415" s="261" t="s">
        <v>2698</v>
      </c>
      <c r="I3415" s="264">
        <f>I3396</f>
        <v>31.28</v>
      </c>
      <c r="J3415" s="261" t="s">
        <v>1393</v>
      </c>
      <c r="K3415" s="261">
        <f>F3415*I3415</f>
        <v>93.84</v>
      </c>
      <c r="L3415" s="261">
        <f>L3396*3</f>
        <v>93.84</v>
      </c>
      <c r="M3415" s="261"/>
    </row>
    <row r="3416" spans="5:13">
      <c r="E3416" s="261"/>
      <c r="F3416" s="261">
        <v>1</v>
      </c>
      <c r="G3416" s="261" t="s">
        <v>1389</v>
      </c>
      <c r="H3416" s="261" t="s">
        <v>3165</v>
      </c>
      <c r="I3416" s="261">
        <f>K3421</f>
        <v>64.239999999999995</v>
      </c>
      <c r="J3416" s="261" t="s">
        <v>1389</v>
      </c>
      <c r="K3416" s="261">
        <f>F3416*I3416</f>
        <v>64.239999999999995</v>
      </c>
      <c r="L3416" s="261">
        <f>K3416</f>
        <v>64.239999999999995</v>
      </c>
      <c r="M3416" s="261"/>
    </row>
    <row r="3417" spans="5:13">
      <c r="E3417" s="261"/>
      <c r="F3417" s="261"/>
      <c r="G3417" s="261"/>
      <c r="H3417" s="261" t="s">
        <v>911</v>
      </c>
      <c r="I3417" s="261"/>
      <c r="J3417" s="261"/>
      <c r="K3417" s="261">
        <f>K3428</f>
        <v>527.75</v>
      </c>
      <c r="L3417" s="261">
        <f>K3417</f>
        <v>527.75</v>
      </c>
      <c r="M3417" s="261"/>
    </row>
    <row r="3418" spans="5:13">
      <c r="E3418" s="261"/>
      <c r="F3418" s="261"/>
      <c r="G3418" s="261"/>
      <c r="H3418" s="261" t="s">
        <v>2700</v>
      </c>
      <c r="I3418" s="261" t="s">
        <v>654</v>
      </c>
      <c r="J3418" s="261"/>
      <c r="K3418" s="261">
        <v>8.5299999999999994</v>
      </c>
      <c r="L3418" s="261">
        <f>K3418</f>
        <v>8.5299999999999994</v>
      </c>
      <c r="M3418" s="261"/>
    </row>
    <row r="3419" spans="5:13">
      <c r="E3419" s="261"/>
      <c r="F3419" s="261"/>
      <c r="G3419" s="261"/>
      <c r="H3419" s="271" t="s">
        <v>1058</v>
      </c>
      <c r="I3419" s="261"/>
      <c r="J3419" s="261"/>
      <c r="K3419" s="272">
        <f>SUM(K3415:K3418)</f>
        <v>694.36</v>
      </c>
      <c r="L3419" s="272">
        <f>SUM(L3415:L3418)</f>
        <v>694.36</v>
      </c>
      <c r="M3419" s="261"/>
    </row>
    <row r="3420" spans="5:13">
      <c r="E3420" s="261"/>
      <c r="F3420" s="261"/>
      <c r="G3420" s="261"/>
      <c r="H3420" s="271"/>
      <c r="I3420" s="261"/>
      <c r="J3420" s="261"/>
      <c r="K3420" s="272"/>
      <c r="L3420" s="261"/>
      <c r="M3420" s="261"/>
    </row>
    <row r="3421" spans="5:13">
      <c r="E3421" s="261"/>
      <c r="F3421" s="261"/>
      <c r="G3421" s="261"/>
      <c r="H3421" s="272" t="s">
        <v>3165</v>
      </c>
      <c r="I3421" s="261">
        <f>I3402</f>
        <v>107060</v>
      </c>
      <c r="J3421" s="278">
        <v>5.9999999999999995E-4</v>
      </c>
      <c r="K3421" s="272">
        <f>I3421*J3421</f>
        <v>64.239999999999995</v>
      </c>
      <c r="L3421" s="261"/>
      <c r="M3421" s="261"/>
    </row>
    <row r="3422" spans="5:13">
      <c r="E3422" s="261"/>
      <c r="F3422" s="261"/>
      <c r="G3422" s="261"/>
      <c r="H3422" s="271"/>
      <c r="I3422" s="261"/>
      <c r="J3422" s="261"/>
      <c r="K3422" s="261"/>
      <c r="L3422" s="261"/>
      <c r="M3422" s="261"/>
    </row>
    <row r="3423" spans="5:13">
      <c r="E3423" s="261"/>
      <c r="F3423" s="261"/>
      <c r="G3423" s="261"/>
      <c r="H3423" s="270" t="s">
        <v>140</v>
      </c>
      <c r="I3423" s="261"/>
      <c r="J3423" s="261"/>
      <c r="K3423" s="261"/>
      <c r="L3423" s="261"/>
      <c r="M3423" s="261"/>
    </row>
    <row r="3424" spans="5:13">
      <c r="E3424" s="261"/>
      <c r="F3424" s="261">
        <v>1</v>
      </c>
      <c r="G3424" s="261" t="s">
        <v>1389</v>
      </c>
      <c r="H3424" s="261" t="s">
        <v>2744</v>
      </c>
      <c r="I3424" s="261">
        <f>I3405</f>
        <v>826</v>
      </c>
      <c r="J3424" s="261" t="s">
        <v>1389</v>
      </c>
      <c r="K3424" s="261">
        <f>F3424*I3424</f>
        <v>826</v>
      </c>
      <c r="L3424" s="261"/>
      <c r="M3424" s="261"/>
    </row>
    <row r="3425" spans="5:13">
      <c r="E3425" s="261"/>
      <c r="F3425" s="261">
        <v>1</v>
      </c>
      <c r="G3425" s="261" t="s">
        <v>1389</v>
      </c>
      <c r="H3425" s="261" t="s">
        <v>2575</v>
      </c>
      <c r="I3425" s="261">
        <f>I3406</f>
        <v>820</v>
      </c>
      <c r="J3425" s="261" t="s">
        <v>1389</v>
      </c>
      <c r="K3425" s="261">
        <f>F3425*I3425</f>
        <v>820</v>
      </c>
      <c r="L3425" s="261"/>
      <c r="M3425" s="261"/>
    </row>
    <row r="3426" spans="5:13">
      <c r="E3426" s="261"/>
      <c r="F3426" s="261">
        <v>4</v>
      </c>
      <c r="G3426" s="261" t="s">
        <v>1389</v>
      </c>
      <c r="H3426" s="261" t="s">
        <v>2321</v>
      </c>
      <c r="I3426" s="261">
        <f>I3407</f>
        <v>644</v>
      </c>
      <c r="J3426" s="261" t="s">
        <v>1389</v>
      </c>
      <c r="K3426" s="261">
        <f>F3426*I3426</f>
        <v>2576</v>
      </c>
      <c r="L3426" s="261"/>
      <c r="M3426" s="261"/>
    </row>
    <row r="3427" spans="5:13">
      <c r="E3427" s="261"/>
      <c r="F3427" s="261"/>
      <c r="G3427" s="261"/>
      <c r="H3427" s="269" t="s">
        <v>2650</v>
      </c>
      <c r="I3427" s="261"/>
      <c r="J3427" s="261"/>
      <c r="K3427" s="261">
        <f>SUM(K3424:K3426)</f>
        <v>4222</v>
      </c>
      <c r="L3427" s="261"/>
      <c r="M3427" s="261"/>
    </row>
    <row r="3428" spans="5:13">
      <c r="E3428" s="261"/>
      <c r="F3428" s="261"/>
      <c r="G3428" s="261"/>
      <c r="H3428" s="271" t="s">
        <v>2864</v>
      </c>
      <c r="I3428" s="261"/>
      <c r="J3428" s="261"/>
      <c r="K3428" s="272">
        <f>K3427/8</f>
        <v>527.75</v>
      </c>
      <c r="L3428" s="261"/>
      <c r="M3428" s="261"/>
    </row>
    <row r="3429" spans="5:13">
      <c r="E3429" s="261"/>
      <c r="F3429" s="261"/>
      <c r="G3429" s="261"/>
      <c r="H3429" s="261"/>
      <c r="I3429" s="261"/>
      <c r="J3429" s="261"/>
      <c r="K3429" s="261"/>
      <c r="L3429" s="261"/>
      <c r="M3429" s="261"/>
    </row>
    <row r="3430" spans="5:13">
      <c r="E3430" s="261"/>
      <c r="F3430" s="261"/>
      <c r="G3430" s="261"/>
      <c r="H3430" s="272" t="s">
        <v>2658</v>
      </c>
      <c r="I3430" s="261"/>
      <c r="J3430" s="261"/>
      <c r="K3430" s="261"/>
      <c r="L3430" s="261"/>
      <c r="M3430" s="261"/>
    </row>
    <row r="3431" spans="5:13">
      <c r="E3431" s="261"/>
      <c r="F3431" s="261"/>
      <c r="G3431" s="261"/>
      <c r="H3431" s="261"/>
      <c r="I3431" s="261"/>
      <c r="J3431" s="261"/>
      <c r="K3431" s="261"/>
      <c r="L3431" s="261"/>
      <c r="M3431" s="261"/>
    </row>
    <row r="3432" spans="5:13">
      <c r="E3432" s="261"/>
      <c r="F3432" s="261"/>
      <c r="G3432" s="261"/>
      <c r="H3432" s="272" t="s">
        <v>2659</v>
      </c>
      <c r="I3432" s="261"/>
      <c r="J3432" s="261"/>
      <c r="K3432" s="261"/>
      <c r="L3432" s="261"/>
      <c r="M3432" s="261"/>
    </row>
    <row r="3433" spans="5:13">
      <c r="E3433" s="261"/>
      <c r="F3433" s="261"/>
      <c r="G3433" s="261"/>
      <c r="H3433" s="261"/>
      <c r="I3433" s="261"/>
      <c r="J3433" s="261"/>
      <c r="K3433" s="261"/>
      <c r="L3433" s="261"/>
      <c r="M3433" s="261"/>
    </row>
    <row r="3434" spans="5:13" ht="81" customHeight="1">
      <c r="E3434" s="261"/>
      <c r="F3434" s="261"/>
      <c r="G3434" s="261"/>
      <c r="H3434" s="260" t="s">
        <v>2357</v>
      </c>
      <c r="I3434" s="261"/>
      <c r="J3434" s="261"/>
      <c r="K3434" s="261"/>
      <c r="L3434" s="261"/>
      <c r="M3434" s="261"/>
    </row>
    <row r="3435" spans="5:13">
      <c r="E3435" s="261"/>
      <c r="F3435" s="261"/>
      <c r="G3435" s="261"/>
      <c r="H3435" s="261"/>
      <c r="I3435" s="261"/>
      <c r="J3435" s="261"/>
      <c r="K3435" s="261"/>
      <c r="L3435" s="261"/>
      <c r="M3435" s="261"/>
    </row>
    <row r="3436" spans="5:13">
      <c r="E3436" s="261"/>
      <c r="F3436" s="261">
        <v>1</v>
      </c>
      <c r="G3436" s="261" t="s">
        <v>1389</v>
      </c>
      <c r="H3436" s="261" t="s">
        <v>4269</v>
      </c>
      <c r="I3436" s="264">
        <v>45.6</v>
      </c>
      <c r="J3436" s="261" t="s">
        <v>1389</v>
      </c>
      <c r="K3436" s="261">
        <f>F3436*I3436</f>
        <v>45.6</v>
      </c>
      <c r="L3436" s="261"/>
      <c r="M3436" s="261"/>
    </row>
    <row r="3437" spans="5:13">
      <c r="E3437" s="261"/>
      <c r="F3437" s="261">
        <v>1</v>
      </c>
      <c r="G3437" s="261" t="s">
        <v>1389</v>
      </c>
      <c r="H3437" s="260" t="s">
        <v>2358</v>
      </c>
      <c r="I3437" s="261">
        <f>K3443</f>
        <v>240.89</v>
      </c>
      <c r="J3437" s="261" t="s">
        <v>1389</v>
      </c>
      <c r="K3437" s="261">
        <f>F3437*I3437</f>
        <v>240.89</v>
      </c>
      <c r="L3437" s="261"/>
      <c r="M3437" s="261"/>
    </row>
    <row r="3438" spans="5:13">
      <c r="E3438" s="261"/>
      <c r="F3438" s="261">
        <v>1</v>
      </c>
      <c r="G3438" s="261" t="s">
        <v>1389</v>
      </c>
      <c r="H3438" s="261" t="s">
        <v>2359</v>
      </c>
      <c r="I3438" s="293">
        <v>25</v>
      </c>
      <c r="J3438" s="261" t="s">
        <v>2360</v>
      </c>
      <c r="K3438" s="261">
        <f>F3438*I3438</f>
        <v>25</v>
      </c>
      <c r="L3438" s="261"/>
      <c r="M3438" s="261"/>
    </row>
    <row r="3439" spans="5:13">
      <c r="E3439" s="261"/>
      <c r="F3439" s="261"/>
      <c r="G3439" s="261"/>
      <c r="H3439" s="261" t="s">
        <v>140</v>
      </c>
      <c r="I3439" s="261"/>
      <c r="J3439" s="261"/>
      <c r="K3439" s="261">
        <f>K3449</f>
        <v>528.5</v>
      </c>
      <c r="L3439" s="261"/>
      <c r="M3439" s="261"/>
    </row>
    <row r="3440" spans="5:13">
      <c r="E3440" s="261"/>
      <c r="F3440" s="261"/>
      <c r="G3440" s="261"/>
      <c r="H3440" s="261" t="s">
        <v>2361</v>
      </c>
      <c r="I3440" s="261"/>
      <c r="J3440" s="261"/>
      <c r="K3440" s="261">
        <v>8.01</v>
      </c>
      <c r="L3440" s="261"/>
      <c r="M3440" s="261"/>
    </row>
    <row r="3441" spans="5:13">
      <c r="E3441" s="261"/>
      <c r="F3441" s="261"/>
      <c r="G3441" s="261"/>
      <c r="H3441" s="271" t="s">
        <v>2362</v>
      </c>
      <c r="I3441" s="261"/>
      <c r="J3441" s="261"/>
      <c r="K3441" s="272">
        <f>SUM(K3436:K3440)</f>
        <v>848</v>
      </c>
      <c r="L3441" s="261"/>
      <c r="M3441" s="261"/>
    </row>
    <row r="3442" spans="5:13" ht="8.25" customHeight="1">
      <c r="E3442" s="261"/>
      <c r="F3442" s="261"/>
      <c r="G3442" s="261"/>
      <c r="H3442" s="261"/>
      <c r="I3442" s="261"/>
      <c r="J3442" s="261"/>
      <c r="K3442" s="261"/>
      <c r="L3442" s="261"/>
      <c r="M3442" s="261"/>
    </row>
    <row r="3443" spans="5:13">
      <c r="E3443" s="261"/>
      <c r="F3443" s="261"/>
      <c r="G3443" s="261"/>
      <c r="H3443" s="272" t="s">
        <v>2363</v>
      </c>
      <c r="I3443" s="261">
        <f>I3421</f>
        <v>107060</v>
      </c>
      <c r="J3443" s="297">
        <v>2.2499999999999998E-3</v>
      </c>
      <c r="K3443" s="261">
        <f>I3443*J3443</f>
        <v>240.89</v>
      </c>
      <c r="L3443" s="261"/>
      <c r="M3443" s="261"/>
    </row>
    <row r="3444" spans="5:13" ht="7.5" customHeight="1">
      <c r="E3444" s="261"/>
      <c r="F3444" s="261"/>
      <c r="G3444" s="261"/>
      <c r="H3444" s="261"/>
      <c r="I3444" s="261"/>
      <c r="J3444" s="261"/>
      <c r="K3444" s="261"/>
      <c r="L3444" s="261"/>
      <c r="M3444" s="261"/>
    </row>
    <row r="3445" spans="5:13">
      <c r="E3445" s="261"/>
      <c r="F3445" s="261"/>
      <c r="G3445" s="261"/>
      <c r="H3445" s="272" t="s">
        <v>911</v>
      </c>
      <c r="I3445" s="261"/>
      <c r="J3445" s="261"/>
      <c r="K3445" s="261"/>
      <c r="L3445" s="261"/>
      <c r="M3445" s="261"/>
    </row>
    <row r="3446" spans="5:13">
      <c r="E3446" s="261"/>
      <c r="F3446" s="261">
        <v>1</v>
      </c>
      <c r="G3446" s="261" t="s">
        <v>1389</v>
      </c>
      <c r="H3446" s="261" t="s">
        <v>2744</v>
      </c>
      <c r="I3446" s="296">
        <f>I3424</f>
        <v>826</v>
      </c>
      <c r="J3446" s="261" t="s">
        <v>1389</v>
      </c>
      <c r="K3446" s="261">
        <f>F3446*I3446</f>
        <v>826</v>
      </c>
      <c r="L3446" s="261"/>
      <c r="M3446" s="261"/>
    </row>
    <row r="3447" spans="5:13">
      <c r="E3447" s="261"/>
      <c r="F3447" s="261">
        <v>2</v>
      </c>
      <c r="G3447" s="261" t="s">
        <v>1389</v>
      </c>
      <c r="H3447" s="261" t="s">
        <v>2576</v>
      </c>
      <c r="I3447" s="296">
        <f>I3426</f>
        <v>644</v>
      </c>
      <c r="J3447" s="261" t="s">
        <v>1389</v>
      </c>
      <c r="K3447" s="261">
        <f>F3447*I3447</f>
        <v>1288</v>
      </c>
      <c r="L3447" s="261"/>
      <c r="M3447" s="261"/>
    </row>
    <row r="3448" spans="5:13">
      <c r="E3448" s="261"/>
      <c r="F3448" s="261"/>
      <c r="G3448" s="261"/>
      <c r="H3448" s="269" t="s">
        <v>2745</v>
      </c>
      <c r="I3448" s="261"/>
      <c r="J3448" s="261"/>
      <c r="K3448" s="261">
        <f>SUM(K3446:K3447)</f>
        <v>2114</v>
      </c>
      <c r="L3448" s="261"/>
      <c r="M3448" s="261"/>
    </row>
    <row r="3449" spans="5:13">
      <c r="E3449" s="261"/>
      <c r="F3449" s="261"/>
      <c r="G3449" s="261"/>
      <c r="H3449" s="271" t="s">
        <v>2770</v>
      </c>
      <c r="I3449" s="261"/>
      <c r="J3449" s="261"/>
      <c r="K3449" s="272">
        <f>K3448/4</f>
        <v>528.5</v>
      </c>
      <c r="L3449" s="261"/>
      <c r="M3449" s="261"/>
    </row>
    <row r="3450" spans="5:13">
      <c r="E3450" s="261"/>
      <c r="F3450" s="261"/>
      <c r="G3450" s="261"/>
      <c r="H3450" s="261"/>
      <c r="I3450" s="261"/>
      <c r="J3450" s="261"/>
      <c r="K3450" s="261"/>
      <c r="L3450" s="261"/>
      <c r="M3450" s="261"/>
    </row>
    <row r="3451" spans="5:13">
      <c r="E3451" s="261"/>
      <c r="F3451" s="261"/>
      <c r="G3451" s="261"/>
      <c r="H3451" s="272" t="s">
        <v>2364</v>
      </c>
      <c r="I3451" s="261"/>
      <c r="J3451" s="261"/>
      <c r="K3451" s="261"/>
      <c r="L3451" s="261"/>
      <c r="M3451" s="261"/>
    </row>
    <row r="3452" spans="5:13">
      <c r="E3452" s="261"/>
      <c r="F3452" s="261"/>
      <c r="G3452" s="261"/>
      <c r="H3452" s="272" t="s">
        <v>2365</v>
      </c>
      <c r="I3452" s="261"/>
      <c r="J3452" s="261"/>
      <c r="K3452" s="261"/>
      <c r="L3452" s="261"/>
      <c r="M3452" s="261"/>
    </row>
    <row r="3453" spans="5:13">
      <c r="E3453" s="261"/>
      <c r="F3453" s="261"/>
      <c r="G3453" s="261"/>
      <c r="H3453" s="261" t="s">
        <v>971</v>
      </c>
      <c r="I3453" s="261"/>
      <c r="J3453" s="261"/>
      <c r="K3453" s="261"/>
      <c r="L3453" s="261"/>
      <c r="M3453" s="261"/>
    </row>
    <row r="3454" spans="5:13">
      <c r="E3454" s="261"/>
      <c r="F3454" s="261">
        <v>1</v>
      </c>
      <c r="G3454" s="261" t="s">
        <v>1389</v>
      </c>
      <c r="H3454" s="261" t="s">
        <v>2483</v>
      </c>
      <c r="I3454" s="264">
        <f>Elec.Data!I623</f>
        <v>128</v>
      </c>
      <c r="J3454" s="261" t="s">
        <v>1389</v>
      </c>
      <c r="K3454" s="261">
        <f>F3454*I3454</f>
        <v>128</v>
      </c>
      <c r="L3454" s="261"/>
      <c r="M3454" s="261"/>
    </row>
    <row r="3455" spans="5:13">
      <c r="E3455" s="261"/>
      <c r="F3455" s="261">
        <v>3</v>
      </c>
      <c r="G3455" s="261" t="s">
        <v>1389</v>
      </c>
      <c r="H3455" s="261" t="str">
        <f>Elec.Data!H624</f>
        <v>Labour charges ( as per data No:28)</v>
      </c>
      <c r="I3455" s="264">
        <f>Elec.Data!I624</f>
        <v>0</v>
      </c>
      <c r="J3455" s="261" t="s">
        <v>1389</v>
      </c>
      <c r="K3455" s="261">
        <f>F3455*I3455</f>
        <v>0</v>
      </c>
      <c r="L3455" s="261"/>
      <c r="M3455" s="261"/>
    </row>
    <row r="3456" spans="5:13">
      <c r="E3456" s="261"/>
      <c r="F3456" s="261"/>
      <c r="G3456" s="261"/>
      <c r="H3456" s="261" t="s">
        <v>2484</v>
      </c>
      <c r="I3456" s="261"/>
      <c r="J3456" s="261"/>
      <c r="K3456" s="261">
        <f>K3348</f>
        <v>525.75</v>
      </c>
      <c r="L3456" s="261"/>
      <c r="M3456" s="261"/>
    </row>
    <row r="3457" spans="5:13">
      <c r="E3457" s="261"/>
      <c r="F3457" s="261"/>
      <c r="G3457" s="261"/>
      <c r="H3457" s="261" t="s">
        <v>2261</v>
      </c>
      <c r="I3457" s="261"/>
      <c r="J3457" s="261"/>
      <c r="K3457" s="261">
        <v>0</v>
      </c>
      <c r="L3457" s="261"/>
      <c r="M3457" s="261"/>
    </row>
    <row r="3458" spans="5:13">
      <c r="E3458" s="261"/>
      <c r="F3458" s="261"/>
      <c r="G3458" s="261"/>
      <c r="H3458" s="271" t="s">
        <v>2485</v>
      </c>
      <c r="I3458" s="261"/>
      <c r="J3458" s="261"/>
      <c r="K3458" s="272">
        <f>SUM(K3454:K3457)</f>
        <v>653.75</v>
      </c>
      <c r="L3458" s="261"/>
      <c r="M3458" s="261"/>
    </row>
    <row r="3459" spans="5:13">
      <c r="E3459" s="261"/>
      <c r="F3459" s="261"/>
      <c r="G3459" s="261"/>
      <c r="H3459" s="261"/>
      <c r="I3459" s="261"/>
      <c r="J3459" s="261"/>
      <c r="K3459" s="261"/>
      <c r="L3459" s="261"/>
      <c r="M3459" s="261"/>
    </row>
    <row r="3460" spans="5:13">
      <c r="E3460" s="261"/>
      <c r="F3460" s="261"/>
      <c r="G3460" s="261"/>
      <c r="H3460" s="272" t="s">
        <v>2364</v>
      </c>
      <c r="I3460" s="261"/>
      <c r="J3460" s="261"/>
      <c r="K3460" s="261"/>
      <c r="L3460" s="261"/>
      <c r="M3460" s="261"/>
    </row>
    <row r="3461" spans="5:13">
      <c r="E3461" s="261"/>
      <c r="F3461" s="261"/>
      <c r="G3461" s="261"/>
      <c r="H3461" s="261"/>
      <c r="I3461" s="261"/>
      <c r="J3461" s="261"/>
      <c r="K3461" s="261"/>
      <c r="L3461" s="261"/>
      <c r="M3461" s="261"/>
    </row>
    <row r="3462" spans="5:13">
      <c r="E3462" s="261"/>
      <c r="F3462" s="261"/>
      <c r="G3462" s="261"/>
      <c r="H3462" s="272" t="s">
        <v>2486</v>
      </c>
      <c r="I3462" s="261"/>
      <c r="J3462" s="261"/>
      <c r="K3462" s="261"/>
      <c r="L3462" s="261"/>
      <c r="M3462" s="261"/>
    </row>
    <row r="3463" spans="5:13">
      <c r="E3463" s="261"/>
      <c r="F3463" s="261"/>
      <c r="G3463" s="261"/>
      <c r="H3463" s="261"/>
      <c r="I3463" s="261"/>
      <c r="J3463" s="261"/>
      <c r="K3463" s="261"/>
      <c r="L3463" s="261"/>
      <c r="M3463" s="261"/>
    </row>
    <row r="3464" spans="5:13">
      <c r="E3464" s="261"/>
      <c r="F3464" s="261">
        <v>1</v>
      </c>
      <c r="G3464" s="261" t="s">
        <v>1389</v>
      </c>
      <c r="H3464" s="261" t="str">
        <f>Elec.Data!H623</f>
        <v>3 No of 30 amps MCB ( Part -L, P-132   6-a havells)</v>
      </c>
      <c r="I3464" s="264">
        <f>K3389</f>
        <v>0</v>
      </c>
      <c r="J3464" s="261" t="s">
        <v>1389</v>
      </c>
      <c r="K3464" s="261">
        <f>F3464*I3464</f>
        <v>0</v>
      </c>
      <c r="L3464" s="261"/>
      <c r="M3464" s="261"/>
    </row>
    <row r="3465" spans="5:13">
      <c r="E3465" s="261"/>
      <c r="F3465" s="261">
        <v>3</v>
      </c>
      <c r="G3465" s="261" t="s">
        <v>1389</v>
      </c>
      <c r="H3465" s="261" t="str">
        <f>Elec.Data!H624</f>
        <v>Labour charges ( as per data No:28)</v>
      </c>
      <c r="I3465" s="261">
        <f>I3455</f>
        <v>0</v>
      </c>
      <c r="J3465" s="261" t="s">
        <v>1389</v>
      </c>
      <c r="K3465" s="261">
        <f>F3465*I3465</f>
        <v>0</v>
      </c>
      <c r="L3465" s="261"/>
      <c r="M3465" s="261"/>
    </row>
    <row r="3466" spans="5:13">
      <c r="E3466" s="261"/>
      <c r="F3466" s="261"/>
      <c r="G3466" s="261"/>
      <c r="H3466" s="261" t="s">
        <v>2832</v>
      </c>
      <c r="I3466" s="261"/>
      <c r="J3466" s="261"/>
      <c r="K3466" s="261">
        <f>K3379</f>
        <v>538.75</v>
      </c>
      <c r="L3466" s="261"/>
      <c r="M3466" s="261"/>
    </row>
    <row r="3467" spans="5:13">
      <c r="E3467" s="261"/>
      <c r="F3467" s="261"/>
      <c r="G3467" s="261"/>
      <c r="H3467" s="261" t="s">
        <v>2261</v>
      </c>
      <c r="I3467" s="261"/>
      <c r="J3467" s="261"/>
      <c r="K3467" s="261"/>
      <c r="L3467" s="261"/>
      <c r="M3467" s="261"/>
    </row>
    <row r="3468" spans="5:13">
      <c r="E3468" s="261"/>
      <c r="F3468" s="261"/>
      <c r="G3468" s="261"/>
      <c r="H3468" s="271" t="s">
        <v>2833</v>
      </c>
      <c r="I3468" s="261"/>
      <c r="J3468" s="261"/>
      <c r="K3468" s="272">
        <f>SUM(K3464:K3467)</f>
        <v>538.75</v>
      </c>
      <c r="L3468" s="261"/>
      <c r="M3468" s="261"/>
    </row>
    <row r="3469" spans="5:13">
      <c r="E3469" s="261"/>
      <c r="F3469" s="261"/>
      <c r="G3469" s="261"/>
      <c r="H3469" s="261"/>
      <c r="I3469" s="261"/>
      <c r="J3469" s="261"/>
      <c r="K3469" s="261"/>
      <c r="L3469" s="261"/>
      <c r="M3469" s="261"/>
    </row>
    <row r="3470" spans="5:13">
      <c r="E3470" s="261"/>
      <c r="F3470" s="261"/>
      <c r="G3470" s="261"/>
      <c r="H3470" s="272" t="s">
        <v>2834</v>
      </c>
      <c r="I3470" s="261"/>
      <c r="J3470" s="261"/>
      <c r="K3470" s="261"/>
      <c r="L3470" s="261"/>
      <c r="M3470" s="261"/>
    </row>
    <row r="3471" spans="5:13">
      <c r="E3471" s="261"/>
      <c r="F3471" s="261"/>
      <c r="G3471" s="261"/>
      <c r="H3471" s="261"/>
      <c r="I3471" s="261"/>
      <c r="J3471" s="261"/>
      <c r="K3471" s="261"/>
      <c r="L3471" s="261"/>
      <c r="M3471" s="261"/>
    </row>
    <row r="3472" spans="5:13">
      <c r="E3472" s="261"/>
      <c r="F3472" s="261"/>
      <c r="G3472" s="261"/>
      <c r="H3472" s="272" t="s">
        <v>2835</v>
      </c>
      <c r="I3472" s="261"/>
      <c r="J3472" s="261"/>
      <c r="K3472" s="261"/>
      <c r="L3472" s="261"/>
      <c r="M3472" s="261"/>
    </row>
    <row r="3473" spans="5:13">
      <c r="E3473" s="261"/>
      <c r="F3473" s="261"/>
      <c r="G3473" s="261"/>
      <c r="H3473" s="261"/>
      <c r="I3473" s="261"/>
      <c r="J3473" s="261"/>
      <c r="K3473" s="261"/>
      <c r="L3473" s="261"/>
      <c r="M3473" s="261"/>
    </row>
    <row r="3474" spans="5:13" ht="78.75">
      <c r="E3474" s="261"/>
      <c r="F3474" s="261"/>
      <c r="G3474" s="261"/>
      <c r="H3474" s="260" t="s">
        <v>5640</v>
      </c>
      <c r="I3474" s="261"/>
      <c r="J3474" s="261"/>
      <c r="K3474" s="261"/>
      <c r="L3474" s="261"/>
      <c r="M3474" s="261"/>
    </row>
    <row r="3475" spans="5:13">
      <c r="E3475" s="261"/>
      <c r="F3475" s="261"/>
      <c r="G3475" s="261"/>
      <c r="H3475" s="261"/>
      <c r="I3475" s="261"/>
      <c r="J3475" s="261"/>
      <c r="K3475" s="261"/>
      <c r="L3475" s="261"/>
      <c r="M3475" s="261"/>
    </row>
    <row r="3476" spans="5:13" ht="24.95" customHeight="1">
      <c r="E3476" s="261"/>
      <c r="F3476" s="261">
        <v>3</v>
      </c>
      <c r="G3476" s="261" t="s">
        <v>1389</v>
      </c>
      <c r="H3476" s="261" t="s">
        <v>2836</v>
      </c>
      <c r="I3476" s="261">
        <f>I3396</f>
        <v>31.28</v>
      </c>
      <c r="J3476" s="261" t="s">
        <v>1389</v>
      </c>
      <c r="K3476" s="261">
        <f>F3476*I3476</f>
        <v>93.84</v>
      </c>
      <c r="L3476" s="261"/>
      <c r="M3476" s="261"/>
    </row>
    <row r="3477" spans="5:13" ht="24.95" customHeight="1">
      <c r="E3477" s="261"/>
      <c r="F3477" s="261">
        <v>1</v>
      </c>
      <c r="G3477" s="261" t="s">
        <v>1389</v>
      </c>
      <c r="H3477" s="260" t="s">
        <v>2837</v>
      </c>
      <c r="I3477" s="261">
        <f>K3483</f>
        <v>361.33</v>
      </c>
      <c r="J3477" s="261" t="s">
        <v>1389</v>
      </c>
      <c r="K3477" s="261">
        <f>F3477*I3477</f>
        <v>361.33</v>
      </c>
      <c r="L3477" s="261"/>
      <c r="M3477" s="261"/>
    </row>
    <row r="3478" spans="5:13" ht="24.95" customHeight="1">
      <c r="E3478" s="261"/>
      <c r="F3478" s="261">
        <v>1</v>
      </c>
      <c r="G3478" s="261" t="s">
        <v>1389</v>
      </c>
      <c r="H3478" s="261" t="s">
        <v>2359</v>
      </c>
      <c r="I3478" s="261">
        <f>I3438</f>
        <v>25</v>
      </c>
      <c r="J3478" s="261" t="s">
        <v>2360</v>
      </c>
      <c r="K3478" s="261">
        <f>F3478*I3478</f>
        <v>25</v>
      </c>
      <c r="L3478" s="261"/>
      <c r="M3478" s="261"/>
    </row>
    <row r="3479" spans="5:13" ht="24.95" customHeight="1">
      <c r="E3479" s="261"/>
      <c r="F3479" s="261"/>
      <c r="G3479" s="261"/>
      <c r="H3479" s="261" t="s">
        <v>140</v>
      </c>
      <c r="I3479" s="261"/>
      <c r="J3479" s="261"/>
      <c r="K3479" s="261">
        <f>K3489</f>
        <v>704.67</v>
      </c>
      <c r="L3479" s="261"/>
      <c r="M3479" s="261"/>
    </row>
    <row r="3480" spans="5:13">
      <c r="E3480" s="261"/>
      <c r="F3480" s="261"/>
      <c r="G3480" s="261"/>
      <c r="H3480" s="261" t="s">
        <v>2361</v>
      </c>
      <c r="I3480" s="261"/>
      <c r="J3480" s="261"/>
      <c r="K3480" s="261">
        <f>3.77+0.47</f>
        <v>4.24</v>
      </c>
      <c r="L3480" s="261"/>
      <c r="M3480" s="261"/>
    </row>
    <row r="3481" spans="5:13" ht="24.95" customHeight="1">
      <c r="E3481" s="261"/>
      <c r="F3481" s="261"/>
      <c r="G3481" s="261"/>
      <c r="H3481" s="271" t="s">
        <v>2362</v>
      </c>
      <c r="I3481" s="261"/>
      <c r="J3481" s="261"/>
      <c r="K3481" s="272">
        <f>SUM(K3476:K3480)</f>
        <v>1189.08</v>
      </c>
      <c r="L3481" s="261">
        <f>K3481-1032</f>
        <v>157.08000000000001</v>
      </c>
      <c r="M3481" s="261"/>
    </row>
    <row r="3482" spans="5:13">
      <c r="E3482" s="261"/>
      <c r="F3482" s="261"/>
      <c r="G3482" s="261"/>
      <c r="H3482" s="261"/>
      <c r="I3482" s="261"/>
      <c r="J3482" s="261"/>
      <c r="K3482" s="261"/>
      <c r="L3482" s="261"/>
      <c r="M3482" s="261"/>
    </row>
    <row r="3483" spans="5:13">
      <c r="E3483" s="261"/>
      <c r="F3483" s="261"/>
      <c r="G3483" s="261"/>
      <c r="H3483" s="272" t="s">
        <v>2838</v>
      </c>
      <c r="I3483" s="261">
        <f>I3443</f>
        <v>107060</v>
      </c>
      <c r="J3483" s="297">
        <v>3.375E-3</v>
      </c>
      <c r="K3483" s="261">
        <f>I3483*J3483</f>
        <v>361.33</v>
      </c>
      <c r="L3483" s="261"/>
      <c r="M3483" s="261"/>
    </row>
    <row r="3484" spans="5:13">
      <c r="E3484" s="261"/>
      <c r="F3484" s="261"/>
      <c r="G3484" s="261"/>
      <c r="H3484" s="261"/>
      <c r="I3484" s="261"/>
      <c r="J3484" s="261"/>
      <c r="K3484" s="261"/>
      <c r="L3484" s="261"/>
      <c r="M3484" s="261"/>
    </row>
    <row r="3485" spans="5:13" ht="21.75" customHeight="1">
      <c r="E3485" s="261"/>
      <c r="F3485" s="261"/>
      <c r="G3485" s="261"/>
      <c r="H3485" s="270" t="s">
        <v>911</v>
      </c>
      <c r="I3485" s="261"/>
      <c r="J3485" s="261"/>
      <c r="K3485" s="261"/>
      <c r="L3485" s="261"/>
      <c r="M3485" s="261"/>
    </row>
    <row r="3486" spans="5:13" ht="21.75" customHeight="1">
      <c r="E3486" s="261"/>
      <c r="F3486" s="261">
        <v>1</v>
      </c>
      <c r="G3486" s="261" t="s">
        <v>1389</v>
      </c>
      <c r="H3486" s="261" t="s">
        <v>2744</v>
      </c>
      <c r="I3486" s="261">
        <f>I3446</f>
        <v>826</v>
      </c>
      <c r="J3486" s="261" t="s">
        <v>1389</v>
      </c>
      <c r="K3486" s="261">
        <f>F3486*I3486</f>
        <v>826</v>
      </c>
      <c r="L3486" s="261"/>
      <c r="M3486" s="261"/>
    </row>
    <row r="3487" spans="5:13" ht="21.75" customHeight="1">
      <c r="E3487" s="261"/>
      <c r="F3487" s="261">
        <v>2</v>
      </c>
      <c r="G3487" s="261" t="s">
        <v>1389</v>
      </c>
      <c r="H3487" s="261" t="s">
        <v>2576</v>
      </c>
      <c r="I3487" s="261">
        <f>I3447</f>
        <v>644</v>
      </c>
      <c r="J3487" s="261" t="s">
        <v>1389</v>
      </c>
      <c r="K3487" s="261">
        <f>F3487*I3487</f>
        <v>1288</v>
      </c>
      <c r="L3487" s="261"/>
      <c r="M3487" s="261"/>
    </row>
    <row r="3488" spans="5:13" ht="21.75" customHeight="1">
      <c r="E3488" s="261"/>
      <c r="F3488" s="261"/>
      <c r="G3488" s="261"/>
      <c r="H3488" s="269" t="s">
        <v>2839</v>
      </c>
      <c r="I3488" s="261"/>
      <c r="J3488" s="272"/>
      <c r="K3488" s="261">
        <f>SUM(K3486:K3487)</f>
        <v>2114</v>
      </c>
      <c r="L3488" s="261"/>
      <c r="M3488" s="261"/>
    </row>
    <row r="3489" spans="5:18" ht="21.75" customHeight="1">
      <c r="E3489" s="261"/>
      <c r="F3489" s="261"/>
      <c r="G3489" s="261"/>
      <c r="H3489" s="271" t="s">
        <v>2770</v>
      </c>
      <c r="I3489" s="261"/>
      <c r="J3489" s="272"/>
      <c r="K3489" s="272">
        <f>K3488/3</f>
        <v>704.67</v>
      </c>
      <c r="L3489" s="261"/>
      <c r="M3489" s="261"/>
    </row>
    <row r="3490" spans="5:18">
      <c r="E3490" s="261"/>
      <c r="F3490" s="261"/>
      <c r="G3490" s="261"/>
      <c r="H3490" s="261"/>
      <c r="I3490" s="261"/>
      <c r="J3490" s="261"/>
      <c r="K3490" s="261"/>
      <c r="L3490" s="261"/>
      <c r="M3490" s="261"/>
    </row>
    <row r="3491" spans="5:18">
      <c r="E3491" s="261"/>
      <c r="F3491" s="261"/>
      <c r="G3491" s="261"/>
      <c r="H3491" s="272" t="s">
        <v>2840</v>
      </c>
      <c r="I3491" s="261"/>
      <c r="J3491" s="261"/>
      <c r="K3491" s="261"/>
      <c r="L3491" s="261"/>
      <c r="M3491" s="261"/>
    </row>
    <row r="3492" spans="5:18">
      <c r="E3492" s="261"/>
      <c r="F3492" s="261"/>
      <c r="G3492" s="261"/>
      <c r="H3492" s="261"/>
      <c r="I3492" s="261"/>
      <c r="J3492" s="261"/>
      <c r="K3492" s="261"/>
      <c r="L3492" s="261"/>
      <c r="M3492" s="261"/>
    </row>
    <row r="3493" spans="5:18" ht="61.5" customHeight="1">
      <c r="E3493" s="261"/>
      <c r="F3493" s="261"/>
      <c r="G3493" s="261"/>
      <c r="H3493" s="258" t="s">
        <v>2689</v>
      </c>
      <c r="I3493" s="261"/>
      <c r="J3493" s="261"/>
      <c r="K3493" s="261"/>
      <c r="L3493" s="261"/>
      <c r="M3493" s="261"/>
      <c r="N3493" s="261"/>
      <c r="O3493" s="258" t="s">
        <v>300</v>
      </c>
      <c r="P3493" s="261"/>
      <c r="Q3493" s="261"/>
      <c r="R3493" s="261"/>
    </row>
    <row r="3494" spans="5:18" ht="36" customHeight="1">
      <c r="E3494" s="261"/>
      <c r="F3494" s="261">
        <v>180</v>
      </c>
      <c r="G3494" s="261" t="s">
        <v>823</v>
      </c>
      <c r="H3494" s="260" t="s">
        <v>3886</v>
      </c>
      <c r="I3494" s="263">
        <f>I3112</f>
        <v>32.200000000000003</v>
      </c>
      <c r="J3494" s="261" t="s">
        <v>823</v>
      </c>
      <c r="K3494" s="261">
        <f>F3494*I3494</f>
        <v>5796</v>
      </c>
      <c r="L3494" s="261"/>
      <c r="M3494" s="261">
        <v>180</v>
      </c>
      <c r="N3494" s="261" t="s">
        <v>823</v>
      </c>
      <c r="O3494" s="260" t="s">
        <v>301</v>
      </c>
      <c r="P3494" s="263">
        <f>I3101</f>
        <v>20.3</v>
      </c>
      <c r="Q3494" s="261" t="s">
        <v>823</v>
      </c>
      <c r="R3494" s="261">
        <f>M3494*P3494</f>
        <v>3654</v>
      </c>
    </row>
    <row r="3495" spans="5:18" ht="24.95" customHeight="1">
      <c r="E3495" s="261"/>
      <c r="F3495" s="261">
        <v>4</v>
      </c>
      <c r="G3495" s="261" t="s">
        <v>1637</v>
      </c>
      <c r="H3495" s="261" t="s">
        <v>3314</v>
      </c>
      <c r="I3495" s="263">
        <v>89.7</v>
      </c>
      <c r="J3495" s="261" t="s">
        <v>1637</v>
      </c>
      <c r="K3495" s="261">
        <f>F3495*I3495</f>
        <v>358.8</v>
      </c>
      <c r="L3495" s="261"/>
      <c r="M3495" s="261">
        <v>4</v>
      </c>
      <c r="N3495" s="261" t="s">
        <v>1637</v>
      </c>
      <c r="O3495" s="261" t="s">
        <v>3314</v>
      </c>
      <c r="P3495" s="263">
        <f>I3495</f>
        <v>89.7</v>
      </c>
      <c r="Q3495" s="261" t="s">
        <v>1637</v>
      </c>
      <c r="R3495" s="261">
        <f>M3495*P3495</f>
        <v>358.8</v>
      </c>
    </row>
    <row r="3496" spans="5:18" ht="24.95" customHeight="1">
      <c r="E3496" s="261"/>
      <c r="F3496" s="261">
        <v>180</v>
      </c>
      <c r="G3496" s="261" t="s">
        <v>1393</v>
      </c>
      <c r="H3496" s="261" t="s">
        <v>2691</v>
      </c>
      <c r="I3496" s="263">
        <f>ROUND(6.7/12,2)</f>
        <v>0.56000000000000005</v>
      </c>
      <c r="J3496" s="261" t="s">
        <v>1393</v>
      </c>
      <c r="K3496" s="261">
        <f>F3496*I3496</f>
        <v>100.8</v>
      </c>
      <c r="L3496" s="261"/>
      <c r="M3496" s="261">
        <v>180</v>
      </c>
      <c r="N3496" s="261" t="s">
        <v>1393</v>
      </c>
      <c r="O3496" s="261" t="s">
        <v>2691</v>
      </c>
      <c r="P3496" s="263">
        <f>I3496</f>
        <v>0.56000000000000005</v>
      </c>
      <c r="Q3496" s="261" t="s">
        <v>1393</v>
      </c>
      <c r="R3496" s="261">
        <f>M3496*P3496</f>
        <v>100.8</v>
      </c>
    </row>
    <row r="3497" spans="5:18" ht="24.95" customHeight="1">
      <c r="E3497" s="261"/>
      <c r="F3497" s="261">
        <v>1</v>
      </c>
      <c r="G3497" s="261" t="s">
        <v>1637</v>
      </c>
      <c r="H3497" s="261" t="s">
        <v>2692</v>
      </c>
      <c r="I3497" s="263">
        <f>I3495</f>
        <v>89.7</v>
      </c>
      <c r="J3497" s="261" t="s">
        <v>1637</v>
      </c>
      <c r="K3497" s="261">
        <f>F3497*I3497</f>
        <v>89.7</v>
      </c>
      <c r="L3497" s="261"/>
      <c r="M3497" s="261">
        <v>1</v>
      </c>
      <c r="N3497" s="261" t="s">
        <v>1637</v>
      </c>
      <c r="O3497" s="261" t="s">
        <v>2692</v>
      </c>
      <c r="P3497" s="263">
        <f>I3497</f>
        <v>89.7</v>
      </c>
      <c r="Q3497" s="261" t="s">
        <v>1637</v>
      </c>
      <c r="R3497" s="261">
        <f>M3497*P3497</f>
        <v>89.7</v>
      </c>
    </row>
    <row r="3498" spans="5:18" ht="24.95" customHeight="1">
      <c r="E3498" s="261"/>
      <c r="F3498" s="261"/>
      <c r="G3498" s="261"/>
      <c r="H3498" s="261" t="s">
        <v>911</v>
      </c>
      <c r="I3498" s="261"/>
      <c r="J3498" s="261"/>
      <c r="K3498" s="261">
        <f>K3507</f>
        <v>6171</v>
      </c>
      <c r="L3498" s="261"/>
      <c r="M3498" s="261"/>
      <c r="N3498" s="261"/>
      <c r="O3498" s="261" t="s">
        <v>911</v>
      </c>
      <c r="P3498" s="261"/>
      <c r="Q3498" s="261"/>
      <c r="R3498" s="261">
        <f>R3507</f>
        <v>6171</v>
      </c>
    </row>
    <row r="3499" spans="5:18" ht="24.95" customHeight="1">
      <c r="E3499" s="261"/>
      <c r="F3499" s="261"/>
      <c r="G3499" s="261"/>
      <c r="H3499" s="261" t="s">
        <v>2693</v>
      </c>
      <c r="I3499" s="261"/>
      <c r="J3499" s="261"/>
      <c r="K3499" s="261">
        <v>38</v>
      </c>
      <c r="L3499" s="261">
        <v>26.5</v>
      </c>
      <c r="M3499" s="261"/>
      <c r="N3499" s="261"/>
      <c r="O3499" s="261" t="s">
        <v>2693</v>
      </c>
      <c r="P3499" s="261"/>
      <c r="Q3499" s="261"/>
      <c r="R3499" s="261">
        <v>30.7</v>
      </c>
    </row>
    <row r="3500" spans="5:18" ht="24.95" customHeight="1">
      <c r="E3500" s="261"/>
      <c r="F3500" s="261"/>
      <c r="G3500" s="261"/>
      <c r="H3500" s="269" t="s">
        <v>2694</v>
      </c>
      <c r="I3500" s="261"/>
      <c r="J3500" s="261"/>
      <c r="K3500" s="261">
        <f>SUM(K3494:K3499)</f>
        <v>12554.3</v>
      </c>
      <c r="L3500" s="261"/>
      <c r="M3500" s="261"/>
      <c r="N3500" s="261"/>
      <c r="O3500" s="269" t="s">
        <v>2694</v>
      </c>
      <c r="P3500" s="261"/>
      <c r="Q3500" s="261"/>
      <c r="R3500" s="261">
        <v>30.7</v>
      </c>
    </row>
    <row r="3501" spans="5:18" ht="24.95" customHeight="1">
      <c r="E3501" s="261"/>
      <c r="F3501" s="261"/>
      <c r="G3501" s="261"/>
      <c r="H3501" s="271" t="s">
        <v>2384</v>
      </c>
      <c r="I3501" s="261"/>
      <c r="J3501" s="261"/>
      <c r="K3501" s="272">
        <f>K3500/90</f>
        <v>139.49</v>
      </c>
      <c r="L3501" s="261"/>
      <c r="M3501" s="261"/>
      <c r="N3501" s="261"/>
      <c r="O3501" s="271" t="s">
        <v>2384</v>
      </c>
      <c r="P3501" s="261"/>
      <c r="Q3501" s="261"/>
      <c r="R3501" s="272">
        <f>R3500/90</f>
        <v>0.34</v>
      </c>
    </row>
    <row r="3502" spans="5:18">
      <c r="E3502" s="261"/>
      <c r="F3502" s="261"/>
      <c r="G3502" s="261"/>
      <c r="H3502" s="270" t="s">
        <v>2633</v>
      </c>
      <c r="I3502" s="261"/>
      <c r="J3502" s="261"/>
      <c r="K3502" s="261"/>
      <c r="L3502" s="261">
        <f>L3501-K3500</f>
        <v>-12554.3</v>
      </c>
      <c r="M3502" s="261"/>
      <c r="N3502" s="261"/>
      <c r="O3502" s="270" t="s">
        <v>2633</v>
      </c>
      <c r="P3502" s="261"/>
      <c r="Q3502" s="261"/>
      <c r="R3502" s="261"/>
    </row>
    <row r="3503" spans="5:18">
      <c r="E3503" s="261"/>
      <c r="F3503" s="261">
        <v>1</v>
      </c>
      <c r="G3503" s="261" t="s">
        <v>1389</v>
      </c>
      <c r="H3503" s="261" t="s">
        <v>2695</v>
      </c>
      <c r="I3503" s="261">
        <f>I2866</f>
        <v>947</v>
      </c>
      <c r="J3503" s="261" t="s">
        <v>1389</v>
      </c>
      <c r="K3503" s="261">
        <f>F3503*I3503</f>
        <v>947</v>
      </c>
      <c r="L3503" s="261"/>
      <c r="M3503" s="261">
        <v>1</v>
      </c>
      <c r="N3503" s="261" t="s">
        <v>1389</v>
      </c>
      <c r="O3503" s="261" t="s">
        <v>2695</v>
      </c>
      <c r="P3503" s="261">
        <f>I3503</f>
        <v>947</v>
      </c>
      <c r="Q3503" s="261" t="s">
        <v>1389</v>
      </c>
      <c r="R3503" s="261">
        <f>M3503*P3503</f>
        <v>947</v>
      </c>
    </row>
    <row r="3504" spans="5:18">
      <c r="E3504" s="261"/>
      <c r="F3504" s="261">
        <v>2</v>
      </c>
      <c r="G3504" s="261" t="s">
        <v>1389</v>
      </c>
      <c r="H3504" s="261" t="s">
        <v>2744</v>
      </c>
      <c r="I3504" s="261">
        <f>I2867</f>
        <v>826</v>
      </c>
      <c r="J3504" s="261" t="s">
        <v>1389</v>
      </c>
      <c r="K3504" s="261">
        <f>F3504*I3504</f>
        <v>1652</v>
      </c>
      <c r="L3504" s="261"/>
      <c r="M3504" s="261">
        <v>2</v>
      </c>
      <c r="N3504" s="261" t="s">
        <v>1389</v>
      </c>
      <c r="O3504" s="261" t="s">
        <v>2744</v>
      </c>
      <c r="P3504" s="261">
        <f>I3504</f>
        <v>826</v>
      </c>
      <c r="Q3504" s="261" t="s">
        <v>1389</v>
      </c>
      <c r="R3504" s="261">
        <f>M3504*P3504</f>
        <v>1652</v>
      </c>
    </row>
    <row r="3505" spans="5:18">
      <c r="E3505" s="261"/>
      <c r="F3505" s="261">
        <v>2</v>
      </c>
      <c r="G3505" s="261" t="s">
        <v>1389</v>
      </c>
      <c r="H3505" s="261" t="s">
        <v>2575</v>
      </c>
      <c r="I3505" s="261">
        <f>I2868</f>
        <v>820</v>
      </c>
      <c r="J3505" s="261" t="s">
        <v>1389</v>
      </c>
      <c r="K3505" s="261">
        <f>F3505*I3505</f>
        <v>1640</v>
      </c>
      <c r="L3505" s="261"/>
      <c r="M3505" s="261">
        <v>2</v>
      </c>
      <c r="N3505" s="261" t="s">
        <v>1389</v>
      </c>
      <c r="O3505" s="261" t="s">
        <v>2575</v>
      </c>
      <c r="P3505" s="261">
        <f>I3505</f>
        <v>820</v>
      </c>
      <c r="Q3505" s="261" t="s">
        <v>1389</v>
      </c>
      <c r="R3505" s="261">
        <f>M3505*P3505</f>
        <v>1640</v>
      </c>
    </row>
    <row r="3506" spans="5:18">
      <c r="E3506" s="261"/>
      <c r="F3506" s="261">
        <v>3</v>
      </c>
      <c r="G3506" s="261" t="s">
        <v>1389</v>
      </c>
      <c r="H3506" s="261" t="s">
        <v>2321</v>
      </c>
      <c r="I3506" s="261">
        <f>I2869</f>
        <v>644</v>
      </c>
      <c r="J3506" s="261" t="s">
        <v>1389</v>
      </c>
      <c r="K3506" s="261">
        <f>F3506*I3506</f>
        <v>1932</v>
      </c>
      <c r="L3506" s="261"/>
      <c r="M3506" s="261">
        <v>3</v>
      </c>
      <c r="N3506" s="261" t="s">
        <v>1389</v>
      </c>
      <c r="O3506" s="261" t="s">
        <v>2321</v>
      </c>
      <c r="P3506" s="261">
        <f>I3506</f>
        <v>644</v>
      </c>
      <c r="Q3506" s="261" t="s">
        <v>1389</v>
      </c>
      <c r="R3506" s="261">
        <f>M3506*P3506</f>
        <v>1932</v>
      </c>
    </row>
    <row r="3507" spans="5:18" ht="24.95" customHeight="1">
      <c r="E3507" s="261"/>
      <c r="F3507" s="261"/>
      <c r="G3507" s="261"/>
      <c r="H3507" s="261"/>
      <c r="I3507" s="261"/>
      <c r="J3507" s="261"/>
      <c r="K3507" s="272">
        <f>SUM(K3503:K3506)</f>
        <v>6171</v>
      </c>
      <c r="L3507" s="261"/>
      <c r="M3507" s="261"/>
      <c r="N3507" s="261"/>
      <c r="O3507" s="261"/>
      <c r="P3507" s="261"/>
      <c r="Q3507" s="261"/>
      <c r="R3507" s="272">
        <f>SUM(R3503:R3506)</f>
        <v>6171</v>
      </c>
    </row>
    <row r="3508" spans="5:18" ht="21.75" customHeight="1">
      <c r="E3508" s="261"/>
      <c r="F3508" s="261"/>
      <c r="G3508" s="261"/>
      <c r="H3508" s="261"/>
      <c r="I3508" s="261"/>
      <c r="J3508" s="261"/>
      <c r="K3508" s="261"/>
      <c r="L3508" s="261"/>
      <c r="M3508" s="261"/>
    </row>
    <row r="3509" spans="5:18">
      <c r="E3509" s="261"/>
      <c r="F3509" s="261"/>
      <c r="G3509" s="261"/>
      <c r="H3509" s="272" t="s">
        <v>2696</v>
      </c>
      <c r="I3509" s="261"/>
      <c r="J3509" s="261"/>
      <c r="K3509" s="261"/>
      <c r="L3509" s="261"/>
      <c r="M3509" s="261"/>
    </row>
    <row r="3510" spans="5:18" ht="29.25" customHeight="1">
      <c r="E3510" s="261"/>
      <c r="F3510" s="261"/>
      <c r="G3510" s="261"/>
      <c r="H3510" s="258" t="s">
        <v>2296</v>
      </c>
      <c r="I3510" s="261"/>
      <c r="J3510" s="261"/>
      <c r="K3510" s="261"/>
      <c r="L3510" s="261"/>
      <c r="M3510" s="261"/>
    </row>
    <row r="3511" spans="5:18" ht="18" customHeight="1">
      <c r="E3511" s="261"/>
      <c r="F3511" s="261"/>
      <c r="G3511" s="261"/>
      <c r="H3511" s="261"/>
      <c r="I3511" s="261"/>
      <c r="J3511" s="261"/>
      <c r="K3511" s="261"/>
      <c r="L3511" s="261"/>
      <c r="M3511" s="261"/>
    </row>
    <row r="3512" spans="5:18" ht="47.25" customHeight="1">
      <c r="E3512" s="261"/>
      <c r="F3512" s="261"/>
      <c r="G3512" s="261"/>
      <c r="H3512" s="260" t="s">
        <v>2632</v>
      </c>
      <c r="I3512" s="261"/>
      <c r="J3512" s="261"/>
      <c r="K3512" s="261"/>
      <c r="L3512" s="261"/>
      <c r="M3512" s="261"/>
    </row>
    <row r="3513" spans="5:18">
      <c r="E3513" s="261"/>
      <c r="F3513" s="261">
        <v>1</v>
      </c>
      <c r="G3513" s="261" t="s">
        <v>823</v>
      </c>
      <c r="H3513" s="261" t="s">
        <v>4273</v>
      </c>
      <c r="I3513" s="263">
        <v>120.8</v>
      </c>
      <c r="J3513" s="261" t="s">
        <v>823</v>
      </c>
      <c r="K3513" s="269">
        <f>F3513*I3513</f>
        <v>120.8</v>
      </c>
      <c r="L3513" s="261"/>
      <c r="M3513" s="261"/>
    </row>
    <row r="3514" spans="5:18">
      <c r="E3514" s="261"/>
      <c r="F3514" s="261"/>
      <c r="G3514" s="261"/>
      <c r="H3514" s="261" t="s">
        <v>2261</v>
      </c>
      <c r="I3514" s="261"/>
      <c r="J3514" s="261"/>
      <c r="K3514" s="269">
        <f>1.87+0.33</f>
        <v>2.2000000000000002</v>
      </c>
      <c r="L3514" s="261"/>
      <c r="M3514" s="261"/>
    </row>
    <row r="3515" spans="5:18">
      <c r="E3515" s="261"/>
      <c r="F3515" s="261"/>
      <c r="G3515" s="261"/>
      <c r="H3515" s="271" t="s">
        <v>3353</v>
      </c>
      <c r="I3515" s="261"/>
      <c r="J3515" s="261"/>
      <c r="K3515" s="271">
        <f>SUM(K3513:K3514)</f>
        <v>123</v>
      </c>
      <c r="L3515" s="261"/>
      <c r="M3515" s="261"/>
    </row>
    <row r="3516" spans="5:18" ht="9.75" customHeight="1">
      <c r="E3516" s="261"/>
      <c r="F3516" s="261"/>
      <c r="G3516" s="261"/>
      <c r="H3516" s="261"/>
      <c r="I3516" s="261"/>
      <c r="J3516" s="261"/>
      <c r="K3516" s="261"/>
      <c r="L3516" s="261"/>
      <c r="M3516" s="261"/>
    </row>
    <row r="3517" spans="5:18">
      <c r="E3517" s="261"/>
      <c r="F3517" s="261"/>
      <c r="G3517" s="261"/>
      <c r="H3517" s="272" t="s">
        <v>3354</v>
      </c>
      <c r="I3517" s="261"/>
      <c r="J3517" s="261"/>
      <c r="K3517" s="261"/>
      <c r="L3517" s="261"/>
      <c r="M3517" s="261"/>
    </row>
    <row r="3518" spans="5:18">
      <c r="E3518" s="261"/>
      <c r="F3518" s="261"/>
      <c r="G3518" s="261"/>
      <c r="H3518" s="272" t="s">
        <v>3355</v>
      </c>
      <c r="I3518" s="261"/>
      <c r="J3518" s="261"/>
      <c r="K3518" s="261"/>
      <c r="L3518" s="261"/>
      <c r="M3518" s="261"/>
    </row>
    <row r="3519" spans="5:18">
      <c r="E3519" s="261"/>
      <c r="F3519" s="261"/>
      <c r="G3519" s="261"/>
      <c r="H3519" s="261"/>
      <c r="I3519" s="261"/>
      <c r="J3519" s="261"/>
      <c r="K3519" s="261"/>
      <c r="L3519" s="261"/>
      <c r="M3519" s="261"/>
    </row>
    <row r="3520" spans="5:18" ht="49.5" customHeight="1">
      <c r="E3520" s="261"/>
      <c r="F3520" s="261"/>
      <c r="G3520" s="261"/>
      <c r="H3520" s="260" t="s">
        <v>3356</v>
      </c>
      <c r="I3520" s="261"/>
      <c r="J3520" s="261"/>
      <c r="K3520" s="261"/>
      <c r="L3520" s="261"/>
      <c r="M3520" s="261"/>
    </row>
    <row r="3521" spans="5:13">
      <c r="E3521" s="261"/>
      <c r="F3521" s="261">
        <v>1</v>
      </c>
      <c r="G3521" s="261" t="s">
        <v>823</v>
      </c>
      <c r="H3521" s="261" t="s">
        <v>4274</v>
      </c>
      <c r="I3521" s="263">
        <v>43.9</v>
      </c>
      <c r="J3521" s="261" t="s">
        <v>356</v>
      </c>
      <c r="K3521" s="261">
        <f>F3522*I3521</f>
        <v>142.68</v>
      </c>
      <c r="L3521" s="261"/>
      <c r="M3521" s="261"/>
    </row>
    <row r="3522" spans="5:13">
      <c r="E3522" s="261"/>
      <c r="F3522" s="261">
        <v>3.25</v>
      </c>
      <c r="G3522" s="261" t="s">
        <v>3357</v>
      </c>
      <c r="H3522" s="261"/>
      <c r="I3522" s="261"/>
      <c r="J3522" s="261"/>
      <c r="K3522" s="261"/>
      <c r="L3522" s="261"/>
      <c r="M3522" s="261"/>
    </row>
    <row r="3523" spans="5:13">
      <c r="E3523" s="261"/>
      <c r="F3523" s="261"/>
      <c r="G3523" s="261"/>
      <c r="H3523" s="261" t="s">
        <v>2261</v>
      </c>
      <c r="I3523" s="261"/>
      <c r="J3523" s="261"/>
      <c r="K3523" s="261">
        <f>1.95+0.64-0.27</f>
        <v>2.3199999999999998</v>
      </c>
      <c r="L3523" s="261"/>
      <c r="M3523" s="261"/>
    </row>
    <row r="3524" spans="5:13">
      <c r="E3524" s="261"/>
      <c r="F3524" s="261"/>
      <c r="G3524" s="261"/>
      <c r="H3524" s="271" t="s">
        <v>2739</v>
      </c>
      <c r="I3524" s="261"/>
      <c r="J3524" s="261"/>
      <c r="K3524" s="272">
        <f>SUM(K3521:K3523)</f>
        <v>145</v>
      </c>
      <c r="L3524" s="261">
        <f>169-K3524</f>
        <v>24</v>
      </c>
      <c r="M3524" s="261"/>
    </row>
    <row r="3525" spans="5:13">
      <c r="E3525" s="261"/>
      <c r="F3525" s="261"/>
      <c r="G3525" s="261"/>
      <c r="H3525" s="271"/>
      <c r="I3525" s="261"/>
      <c r="J3525" s="261"/>
      <c r="K3525" s="272"/>
      <c r="L3525" s="261"/>
      <c r="M3525" s="261"/>
    </row>
    <row r="3526" spans="5:13">
      <c r="E3526" s="261"/>
      <c r="F3526" s="261"/>
      <c r="G3526" s="261"/>
      <c r="H3526" s="272" t="s">
        <v>3358</v>
      </c>
      <c r="I3526" s="261"/>
      <c r="J3526" s="261"/>
      <c r="K3526" s="261"/>
      <c r="L3526" s="261"/>
      <c r="M3526" s="261"/>
    </row>
    <row r="3527" spans="5:13">
      <c r="E3527" s="261"/>
      <c r="F3527" s="261"/>
      <c r="G3527" s="261"/>
      <c r="H3527" s="261"/>
      <c r="I3527" s="261"/>
      <c r="J3527" s="261"/>
      <c r="K3527" s="261"/>
      <c r="L3527" s="261"/>
      <c r="M3527" s="261"/>
    </row>
    <row r="3528" spans="5:13" ht="45" customHeight="1">
      <c r="E3528" s="261"/>
      <c r="F3528" s="261"/>
      <c r="G3528" s="261"/>
      <c r="H3528" s="258" t="s">
        <v>3359</v>
      </c>
      <c r="I3528" s="261"/>
      <c r="J3528" s="261"/>
      <c r="K3528" s="261"/>
      <c r="L3528" s="261"/>
      <c r="M3528" s="261"/>
    </row>
    <row r="3529" spans="5:13">
      <c r="E3529" s="261"/>
      <c r="F3529" s="261"/>
      <c r="G3529" s="261"/>
      <c r="H3529" s="261"/>
      <c r="I3529" s="261"/>
      <c r="J3529" s="261"/>
      <c r="K3529" s="261"/>
      <c r="L3529" s="261"/>
      <c r="M3529" s="261"/>
    </row>
    <row r="3530" spans="5:13" ht="135.75" customHeight="1">
      <c r="E3530" s="261"/>
      <c r="F3530" s="261"/>
      <c r="G3530" s="261"/>
      <c r="H3530" s="260" t="s">
        <v>2890</v>
      </c>
      <c r="I3530" s="261"/>
      <c r="J3530" s="261"/>
      <c r="K3530" s="261"/>
      <c r="L3530" s="261"/>
      <c r="M3530" s="261"/>
    </row>
    <row r="3531" spans="5:13">
      <c r="E3531" s="261"/>
      <c r="F3531" s="261"/>
      <c r="G3531" s="261"/>
      <c r="H3531" s="261"/>
      <c r="I3531" s="261"/>
      <c r="J3531" s="261"/>
      <c r="K3531" s="261"/>
      <c r="L3531" s="261"/>
      <c r="M3531" s="261"/>
    </row>
    <row r="3532" spans="5:13" ht="29.25" customHeight="1">
      <c r="E3532" s="261"/>
      <c r="F3532" s="261">
        <v>360</v>
      </c>
      <c r="G3532" s="261" t="s">
        <v>823</v>
      </c>
      <c r="H3532" s="260" t="s">
        <v>2690</v>
      </c>
      <c r="I3532" s="261">
        <f>I3494</f>
        <v>32.200000000000003</v>
      </c>
      <c r="J3532" s="261" t="s">
        <v>823</v>
      </c>
      <c r="K3532" s="261">
        <f>F3532*I3532</f>
        <v>11592</v>
      </c>
      <c r="L3532" s="261"/>
      <c r="M3532" s="261"/>
    </row>
    <row r="3533" spans="5:13" ht="15.75" customHeight="1">
      <c r="E3533" s="261"/>
      <c r="F3533" s="261">
        <v>4</v>
      </c>
      <c r="G3533" s="261" t="s">
        <v>1637</v>
      </c>
      <c r="H3533" s="261" t="s">
        <v>3314</v>
      </c>
      <c r="I3533" s="261">
        <f>I3495</f>
        <v>89.7</v>
      </c>
      <c r="J3533" s="261" t="s">
        <v>1637</v>
      </c>
      <c r="K3533" s="261">
        <f>F3533*I3533</f>
        <v>358.8</v>
      </c>
      <c r="L3533" s="261"/>
      <c r="M3533" s="261"/>
    </row>
    <row r="3534" spans="5:13">
      <c r="E3534" s="261"/>
      <c r="F3534" s="261">
        <v>360</v>
      </c>
      <c r="G3534" s="261" t="s">
        <v>1393</v>
      </c>
      <c r="H3534" s="261" t="s">
        <v>2691</v>
      </c>
      <c r="I3534" s="261">
        <f>I3496</f>
        <v>0.56000000000000005</v>
      </c>
      <c r="J3534" s="261" t="s">
        <v>1393</v>
      </c>
      <c r="K3534" s="261">
        <f>F3534*I3534</f>
        <v>201.6</v>
      </c>
      <c r="L3534" s="261"/>
      <c r="M3534" s="261"/>
    </row>
    <row r="3535" spans="5:13">
      <c r="E3535" s="261"/>
      <c r="F3535" s="261">
        <v>1.5</v>
      </c>
      <c r="G3535" s="261" t="s">
        <v>1637</v>
      </c>
      <c r="H3535" s="261" t="s">
        <v>2692</v>
      </c>
      <c r="I3535" s="261">
        <f>I3497</f>
        <v>89.7</v>
      </c>
      <c r="J3535" s="261" t="s">
        <v>1637</v>
      </c>
      <c r="K3535" s="261">
        <f>F3535*I3535</f>
        <v>134.55000000000001</v>
      </c>
      <c r="L3535" s="261"/>
      <c r="M3535" s="261"/>
    </row>
    <row r="3536" spans="5:13">
      <c r="E3536" s="261"/>
      <c r="F3536" s="261"/>
      <c r="G3536" s="261"/>
      <c r="H3536" s="261" t="s">
        <v>2891</v>
      </c>
      <c r="I3536" s="261"/>
      <c r="J3536" s="261"/>
      <c r="K3536" s="261">
        <f>K3507*1.5</f>
        <v>9256.5</v>
      </c>
      <c r="L3536" s="261"/>
      <c r="M3536" s="261"/>
    </row>
    <row r="3537" spans="5:13">
      <c r="E3537" s="261"/>
      <c r="F3537" s="261"/>
      <c r="G3537" s="261"/>
      <c r="H3537" s="261" t="s">
        <v>2693</v>
      </c>
      <c r="I3537" s="261"/>
      <c r="J3537" s="261"/>
      <c r="K3537" s="261">
        <v>167.55</v>
      </c>
      <c r="L3537" s="261"/>
      <c r="M3537" s="261"/>
    </row>
    <row r="3538" spans="5:13">
      <c r="E3538" s="261"/>
      <c r="F3538" s="261"/>
      <c r="G3538" s="261"/>
      <c r="H3538" s="269" t="s">
        <v>2694</v>
      </c>
      <c r="I3538" s="261"/>
      <c r="J3538" s="261"/>
      <c r="K3538" s="261">
        <f>SUM(K3532:K3537)</f>
        <v>21711</v>
      </c>
      <c r="L3538" s="261"/>
      <c r="M3538" s="261"/>
    </row>
    <row r="3539" spans="5:13">
      <c r="E3539" s="261"/>
      <c r="F3539" s="261"/>
      <c r="G3539" s="261"/>
      <c r="H3539" s="271" t="s">
        <v>2384</v>
      </c>
      <c r="I3539" s="261"/>
      <c r="J3539" s="261"/>
      <c r="K3539" s="272">
        <f>K3538/90</f>
        <v>241.23</v>
      </c>
      <c r="L3539" s="261"/>
      <c r="M3539" s="261"/>
    </row>
    <row r="3540" spans="5:13" ht="20.25" customHeight="1">
      <c r="E3540" s="261"/>
      <c r="F3540" s="261"/>
      <c r="G3540" s="261"/>
      <c r="H3540" s="261"/>
      <c r="I3540" s="261"/>
      <c r="J3540" s="261"/>
      <c r="K3540" s="261"/>
      <c r="L3540" s="261"/>
      <c r="M3540" s="261"/>
    </row>
    <row r="3541" spans="5:13">
      <c r="E3541" s="261"/>
      <c r="F3541" s="261"/>
      <c r="G3541" s="261"/>
      <c r="H3541" s="272" t="s">
        <v>2892</v>
      </c>
      <c r="I3541" s="261"/>
      <c r="J3541" s="261"/>
      <c r="K3541" s="261"/>
      <c r="L3541" s="261"/>
      <c r="M3541" s="261"/>
    </row>
    <row r="3542" spans="5:13" ht="32.25" customHeight="1">
      <c r="E3542" s="261"/>
      <c r="F3542" s="261"/>
      <c r="G3542" s="261"/>
      <c r="H3542" s="258" t="s">
        <v>2366</v>
      </c>
      <c r="I3542" s="261"/>
      <c r="J3542" s="261"/>
      <c r="K3542" s="261"/>
      <c r="L3542" s="261"/>
      <c r="M3542" s="261"/>
    </row>
    <row r="3543" spans="5:13">
      <c r="E3543" s="261"/>
      <c r="F3543" s="261"/>
      <c r="G3543" s="261"/>
      <c r="H3543" s="261"/>
      <c r="I3543" s="261"/>
      <c r="J3543" s="261"/>
      <c r="K3543" s="261"/>
      <c r="L3543" s="261"/>
      <c r="M3543" s="261"/>
    </row>
    <row r="3544" spans="5:13" ht="47.25" customHeight="1">
      <c r="E3544" s="261"/>
      <c r="F3544" s="261"/>
      <c r="G3544" s="261"/>
      <c r="H3544" s="260" t="s">
        <v>2297</v>
      </c>
      <c r="I3544" s="261"/>
      <c r="J3544" s="261"/>
      <c r="K3544" s="261"/>
      <c r="L3544" s="261"/>
      <c r="M3544" s="261"/>
    </row>
    <row r="3545" spans="5:13">
      <c r="E3545" s="261"/>
      <c r="F3545" s="261">
        <v>1</v>
      </c>
      <c r="G3545" s="261" t="s">
        <v>823</v>
      </c>
      <c r="H3545" s="261" t="str">
        <f>Elec.Data!H714</f>
        <v>Sundries</v>
      </c>
      <c r="I3545" s="264">
        <f>Elec.Data!I714</f>
        <v>0</v>
      </c>
      <c r="J3545" s="261" t="s">
        <v>823</v>
      </c>
      <c r="K3545" s="269">
        <f>F3545*I3545</f>
        <v>0</v>
      </c>
      <c r="L3545" s="261"/>
      <c r="M3545" s="261"/>
    </row>
    <row r="3546" spans="5:13">
      <c r="E3546" s="261"/>
      <c r="F3546" s="261"/>
      <c r="G3546" s="261"/>
      <c r="H3546" s="261" t="s">
        <v>2261</v>
      </c>
      <c r="I3546" s="261"/>
      <c r="J3546" s="261"/>
      <c r="K3546" s="269">
        <v>1.1000000000000001</v>
      </c>
      <c r="L3546" s="261"/>
      <c r="M3546" s="261"/>
    </row>
    <row r="3547" spans="5:13">
      <c r="E3547" s="261"/>
      <c r="F3547" s="261"/>
      <c r="G3547" s="261"/>
      <c r="H3547" s="271" t="s">
        <v>3353</v>
      </c>
      <c r="I3547" s="261"/>
      <c r="J3547" s="261"/>
      <c r="K3547" s="271">
        <f>SUM(K3545:K3546)</f>
        <v>1.1000000000000001</v>
      </c>
      <c r="L3547" s="261"/>
      <c r="M3547" s="261"/>
    </row>
    <row r="3548" spans="5:13" ht="7.5" customHeight="1">
      <c r="E3548" s="261"/>
      <c r="F3548" s="261"/>
      <c r="G3548" s="261"/>
      <c r="H3548" s="261"/>
      <c r="I3548" s="261"/>
      <c r="J3548" s="261"/>
      <c r="K3548" s="261"/>
      <c r="L3548" s="261"/>
      <c r="M3548" s="261"/>
    </row>
    <row r="3549" spans="5:13">
      <c r="E3549" s="261"/>
      <c r="F3549" s="261"/>
      <c r="G3549" s="261"/>
      <c r="H3549" s="272" t="s">
        <v>2298</v>
      </c>
      <c r="I3549" s="261"/>
      <c r="J3549" s="261"/>
      <c r="K3549" s="261"/>
      <c r="L3549" s="261"/>
      <c r="M3549" s="261"/>
    </row>
    <row r="3550" spans="5:13">
      <c r="E3550" s="261"/>
      <c r="F3550" s="261"/>
      <c r="G3550" s="261"/>
      <c r="H3550" s="272" t="s">
        <v>3355</v>
      </c>
      <c r="I3550" s="261"/>
      <c r="J3550" s="261"/>
      <c r="K3550" s="261"/>
      <c r="L3550" s="261"/>
      <c r="M3550" s="261"/>
    </row>
    <row r="3551" spans="5:13">
      <c r="E3551" s="261"/>
      <c r="F3551" s="261"/>
      <c r="G3551" s="261"/>
      <c r="H3551" s="261"/>
      <c r="I3551" s="261"/>
      <c r="J3551" s="261"/>
      <c r="K3551" s="261"/>
      <c r="L3551" s="261"/>
      <c r="M3551" s="261"/>
    </row>
    <row r="3552" spans="5:13" ht="47.25">
      <c r="E3552" s="261"/>
      <c r="F3552" s="261"/>
      <c r="G3552" s="261"/>
      <c r="H3552" s="260" t="s">
        <v>3356</v>
      </c>
      <c r="I3552" s="261"/>
      <c r="J3552" s="261"/>
      <c r="K3552" s="261"/>
      <c r="L3552" s="261"/>
      <c r="M3552" s="261"/>
    </row>
    <row r="3553" spans="5:15">
      <c r="E3553" s="261"/>
      <c r="F3553" s="261">
        <v>1</v>
      </c>
      <c r="G3553" s="261" t="s">
        <v>823</v>
      </c>
      <c r="H3553" s="261">
        <f>Elec.Data!H722</f>
        <v>0</v>
      </c>
      <c r="I3553" s="263">
        <f>I3521</f>
        <v>43.9</v>
      </c>
      <c r="J3553" s="261" t="s">
        <v>356</v>
      </c>
      <c r="K3553" s="261">
        <f>F3554*I3553</f>
        <v>142.68</v>
      </c>
      <c r="L3553" s="261"/>
      <c r="M3553" s="261"/>
    </row>
    <row r="3554" spans="5:15">
      <c r="E3554" s="261"/>
      <c r="F3554" s="261">
        <v>3.25</v>
      </c>
      <c r="G3554" s="261" t="s">
        <v>3357</v>
      </c>
      <c r="H3554" s="261"/>
      <c r="I3554" s="261"/>
      <c r="J3554" s="261"/>
      <c r="K3554" s="261"/>
      <c r="L3554" s="261"/>
      <c r="M3554" s="261"/>
    </row>
    <row r="3555" spans="5:15">
      <c r="E3555" s="261"/>
      <c r="F3555" s="261"/>
      <c r="G3555" s="261"/>
      <c r="H3555" s="261" t="s">
        <v>2261</v>
      </c>
      <c r="I3555" s="261"/>
      <c r="J3555" s="261"/>
      <c r="K3555" s="261">
        <v>3.32</v>
      </c>
      <c r="L3555" s="261"/>
      <c r="M3555" s="261"/>
    </row>
    <row r="3556" spans="5:15">
      <c r="E3556" s="261"/>
      <c r="F3556" s="261"/>
      <c r="G3556" s="261"/>
      <c r="H3556" s="271" t="s">
        <v>2739</v>
      </c>
      <c r="I3556" s="261"/>
      <c r="J3556" s="261"/>
      <c r="K3556" s="272">
        <f>SUM(K3553:K3555)</f>
        <v>146</v>
      </c>
      <c r="L3556" s="261"/>
      <c r="M3556" s="261"/>
    </row>
    <row r="3557" spans="5:15">
      <c r="E3557" s="261"/>
      <c r="F3557" s="261"/>
      <c r="G3557" s="261"/>
      <c r="H3557" s="261"/>
      <c r="I3557" s="261"/>
      <c r="J3557" s="261"/>
      <c r="K3557" s="261"/>
      <c r="L3557" s="261"/>
      <c r="M3557" s="261"/>
    </row>
    <row r="3558" spans="5:15">
      <c r="E3558" s="261"/>
      <c r="F3558" s="261"/>
      <c r="G3558" s="261"/>
      <c r="H3558" s="272" t="s">
        <v>2299</v>
      </c>
      <c r="I3558" s="261"/>
      <c r="J3558" s="261"/>
      <c r="K3558" s="261"/>
      <c r="L3558" s="261"/>
      <c r="M3558" s="261"/>
    </row>
    <row r="3559" spans="5:15">
      <c r="E3559" s="261"/>
      <c r="F3559" s="261"/>
      <c r="G3559" s="261"/>
      <c r="H3559" s="261"/>
      <c r="I3559" s="261"/>
      <c r="J3559" s="261"/>
      <c r="K3559" s="261"/>
      <c r="L3559" s="261"/>
      <c r="M3559" s="261"/>
    </row>
    <row r="3560" spans="5:15" ht="80.25" customHeight="1">
      <c r="E3560" s="261"/>
      <c r="F3560" s="261"/>
      <c r="G3560" s="261"/>
      <c r="H3560" s="260" t="s">
        <v>5641</v>
      </c>
      <c r="I3560" s="261"/>
      <c r="J3560" s="261"/>
      <c r="K3560" s="261"/>
      <c r="L3560" s="261"/>
      <c r="M3560" s="261"/>
    </row>
    <row r="3561" spans="5:15" ht="15.75" customHeight="1">
      <c r="E3561" s="261"/>
      <c r="F3561" s="261">
        <v>30.42</v>
      </c>
      <c r="G3561" s="261" t="s">
        <v>2142</v>
      </c>
      <c r="H3561" s="261" t="s">
        <v>4275</v>
      </c>
      <c r="I3561" s="298">
        <v>134.6</v>
      </c>
      <c r="J3561" s="261" t="s">
        <v>2142</v>
      </c>
      <c r="K3561" s="261">
        <f>F3561*I3561</f>
        <v>4094.53</v>
      </c>
      <c r="L3561" s="261"/>
      <c r="M3561" s="261"/>
      <c r="O3561" s="252">
        <f>M3561+N3561</f>
        <v>0</v>
      </c>
    </row>
    <row r="3562" spans="5:15" ht="15.75" customHeight="1">
      <c r="E3562" s="261"/>
      <c r="F3562" s="261">
        <v>6.1</v>
      </c>
      <c r="G3562" s="261" t="s">
        <v>2142</v>
      </c>
      <c r="H3562" s="296" t="s">
        <v>4238</v>
      </c>
      <c r="I3562" s="264">
        <v>168</v>
      </c>
      <c r="J3562" s="261" t="s">
        <v>2142</v>
      </c>
      <c r="K3562" s="261">
        <f>F3562*I3562</f>
        <v>1024.8</v>
      </c>
      <c r="L3562" s="261"/>
      <c r="M3562" s="261"/>
    </row>
    <row r="3563" spans="5:15" ht="15.75" customHeight="1">
      <c r="E3563" s="261"/>
      <c r="F3563" s="261">
        <v>750</v>
      </c>
      <c r="G3563" s="261" t="s">
        <v>1389</v>
      </c>
      <c r="H3563" s="261" t="s">
        <v>3849</v>
      </c>
      <c r="I3563" s="263">
        <f>DATA!Y18</f>
        <v>5709</v>
      </c>
      <c r="J3563" s="261" t="s">
        <v>1474</v>
      </c>
      <c r="K3563" s="261">
        <f>F3563*(I3563/1000)</f>
        <v>4281.75</v>
      </c>
      <c r="L3563" s="261"/>
      <c r="M3563" s="261"/>
    </row>
    <row r="3564" spans="5:15" ht="15.75" customHeight="1">
      <c r="E3564" s="261"/>
      <c r="F3564" s="261"/>
      <c r="G3564" s="261"/>
      <c r="H3564" s="261" t="s">
        <v>911</v>
      </c>
      <c r="I3564" s="261"/>
      <c r="J3564" s="261"/>
      <c r="K3564" s="261">
        <f>K3573</f>
        <v>4349</v>
      </c>
      <c r="L3564" s="261"/>
      <c r="M3564" s="261"/>
    </row>
    <row r="3565" spans="5:15" ht="15.75" customHeight="1">
      <c r="E3565" s="261"/>
      <c r="F3565" s="261"/>
      <c r="G3565" s="261"/>
      <c r="H3565" s="261" t="s">
        <v>2261</v>
      </c>
      <c r="I3565" s="261"/>
      <c r="J3565" s="261"/>
      <c r="K3565" s="261">
        <v>112.17</v>
      </c>
      <c r="L3565" s="261"/>
      <c r="M3565" s="261"/>
    </row>
    <row r="3566" spans="5:15" ht="15.75" customHeight="1">
      <c r="E3566" s="261"/>
      <c r="F3566" s="261"/>
      <c r="G3566" s="261"/>
      <c r="H3566" s="269" t="s">
        <v>2694</v>
      </c>
      <c r="I3566" s="261"/>
      <c r="J3566" s="261"/>
      <c r="K3566" s="261">
        <f>SUM(K3561:K3565)</f>
        <v>13862.25</v>
      </c>
      <c r="L3566" s="261"/>
      <c r="M3566" s="261"/>
    </row>
    <row r="3567" spans="5:15" ht="15.75" customHeight="1">
      <c r="E3567" s="261"/>
      <c r="F3567" s="261"/>
      <c r="G3567" s="261"/>
      <c r="H3567" s="271" t="s">
        <v>2384</v>
      </c>
      <c r="I3567" s="261"/>
      <c r="J3567" s="261"/>
      <c r="K3567" s="272">
        <f>K3566/90</f>
        <v>154.03</v>
      </c>
      <c r="L3567" s="261"/>
      <c r="M3567" s="261"/>
    </row>
    <row r="3568" spans="5:15" ht="8.25" customHeight="1">
      <c r="E3568" s="261"/>
      <c r="F3568" s="261"/>
      <c r="G3568" s="261"/>
      <c r="H3568" s="261"/>
      <c r="I3568" s="261"/>
      <c r="J3568" s="261"/>
      <c r="K3568" s="261"/>
      <c r="L3568" s="261"/>
      <c r="M3568" s="261"/>
    </row>
    <row r="3569" spans="5:13" ht="15.75" customHeight="1">
      <c r="E3569" s="261"/>
      <c r="F3569" s="261"/>
      <c r="G3569" s="261"/>
      <c r="H3569" s="270" t="s">
        <v>140</v>
      </c>
      <c r="K3569" s="261"/>
      <c r="L3569" s="261"/>
      <c r="M3569" s="261"/>
    </row>
    <row r="3570" spans="5:13" ht="15.75" customHeight="1">
      <c r="E3570" s="261"/>
      <c r="F3570" s="261">
        <v>1</v>
      </c>
      <c r="G3570" s="261" t="s">
        <v>1389</v>
      </c>
      <c r="H3570" s="261" t="s">
        <v>2695</v>
      </c>
      <c r="I3570" s="296">
        <f>I3503</f>
        <v>947</v>
      </c>
      <c r="J3570" s="261" t="s">
        <v>1389</v>
      </c>
      <c r="K3570" s="261">
        <f>F3570*I3570</f>
        <v>947</v>
      </c>
      <c r="L3570" s="261"/>
      <c r="M3570" s="261"/>
    </row>
    <row r="3571" spans="5:13" ht="15.75" customHeight="1">
      <c r="E3571" s="261"/>
      <c r="F3571" s="261">
        <v>1</v>
      </c>
      <c r="G3571" s="261" t="s">
        <v>1389</v>
      </c>
      <c r="H3571" s="261" t="s">
        <v>2744</v>
      </c>
      <c r="I3571" s="296">
        <f>I3504</f>
        <v>826</v>
      </c>
      <c r="J3571" s="261" t="s">
        <v>1389</v>
      </c>
      <c r="K3571" s="261">
        <f>F3571*I3571</f>
        <v>826</v>
      </c>
      <c r="L3571" s="261"/>
      <c r="M3571" s="261"/>
    </row>
    <row r="3572" spans="5:13" ht="15.75" customHeight="1">
      <c r="E3572" s="261"/>
      <c r="F3572" s="261">
        <v>4</v>
      </c>
      <c r="G3572" s="261" t="s">
        <v>1389</v>
      </c>
      <c r="H3572" s="261" t="s">
        <v>2321</v>
      </c>
      <c r="I3572" s="261">
        <f>I3506</f>
        <v>644</v>
      </c>
      <c r="J3572" s="261" t="s">
        <v>1389</v>
      </c>
      <c r="K3572" s="261">
        <f>F3572*I3572</f>
        <v>2576</v>
      </c>
      <c r="L3572" s="261"/>
      <c r="M3572" s="261"/>
    </row>
    <row r="3573" spans="5:13" ht="15.75" customHeight="1">
      <c r="E3573" s="261"/>
      <c r="F3573" s="261"/>
      <c r="G3573" s="261"/>
      <c r="H3573" s="261"/>
      <c r="I3573" s="261"/>
      <c r="J3573" s="261"/>
      <c r="K3573" s="272">
        <f>SUM(K3570:K3572)</f>
        <v>4349</v>
      </c>
      <c r="L3573" s="261"/>
      <c r="M3573" s="261"/>
    </row>
    <row r="3574" spans="5:13">
      <c r="E3574" s="261"/>
      <c r="F3574" s="261"/>
      <c r="G3574" s="261"/>
      <c r="H3574" s="272" t="s">
        <v>2367</v>
      </c>
      <c r="I3574" s="261"/>
      <c r="J3574" s="261"/>
      <c r="K3574" s="261"/>
      <c r="L3574" s="261"/>
      <c r="M3574" s="261"/>
    </row>
    <row r="3575" spans="5:13">
      <c r="E3575" s="261"/>
      <c r="F3575" s="261"/>
      <c r="G3575" s="261"/>
      <c r="H3575" s="261"/>
      <c r="I3575" s="261"/>
      <c r="J3575" s="261"/>
      <c r="K3575" s="261"/>
      <c r="L3575" s="261"/>
      <c r="M3575" s="261"/>
    </row>
    <row r="3576" spans="5:13" ht="29.25" customHeight="1">
      <c r="E3576" s="261"/>
      <c r="F3576" s="261"/>
      <c r="G3576" s="261"/>
      <c r="H3576" s="272" t="s">
        <v>3296</v>
      </c>
      <c r="I3576" s="261"/>
      <c r="J3576" s="261"/>
      <c r="K3576" s="261"/>
      <c r="L3576" s="261"/>
      <c r="M3576" s="261"/>
    </row>
    <row r="3577" spans="5:13" ht="75" customHeight="1">
      <c r="E3577" s="261"/>
      <c r="F3577" s="261"/>
      <c r="G3577" s="261"/>
      <c r="H3577" s="260" t="s">
        <v>2727</v>
      </c>
      <c r="I3577" s="261"/>
      <c r="J3577" s="261"/>
      <c r="K3577" s="261"/>
      <c r="L3577" s="261"/>
      <c r="M3577" s="261"/>
    </row>
    <row r="3578" spans="5:13" ht="26.25" customHeight="1">
      <c r="E3578" s="261"/>
      <c r="F3578" s="261">
        <v>1</v>
      </c>
      <c r="G3578" s="261" t="s">
        <v>2626</v>
      </c>
      <c r="H3578" s="261" t="str">
        <f>Elec.Data!H747</f>
        <v>Brass screws  ( 40 mm x 6 no) P131  Part-L 1-c</v>
      </c>
      <c r="I3578" s="263">
        <f>Elec.Data!I747</f>
        <v>69.400000000000006</v>
      </c>
      <c r="J3578" s="261" t="s">
        <v>2626</v>
      </c>
      <c r="K3578" s="261">
        <f>F3578*I3578</f>
        <v>69.400000000000006</v>
      </c>
      <c r="L3578" s="261"/>
      <c r="M3578" s="261"/>
    </row>
    <row r="3579" spans="5:13" ht="26.25" customHeight="1">
      <c r="E3579" s="261"/>
      <c r="F3579" s="261">
        <v>300</v>
      </c>
      <c r="G3579" s="261" t="s">
        <v>1389</v>
      </c>
      <c r="H3579" s="261" t="str">
        <f>Elec.Data!H748</f>
        <v>TW plugs 1 1/2" x 1"x2"( part-J 1-e P-130  )</v>
      </c>
      <c r="I3579" s="263">
        <f>Elec.Data!I748</f>
        <v>287</v>
      </c>
      <c r="J3579" s="261" t="s">
        <v>2626</v>
      </c>
      <c r="K3579" s="261">
        <f>F3579*(I3579/144)</f>
        <v>597.91999999999996</v>
      </c>
      <c r="L3579" s="261"/>
      <c r="M3579" s="261"/>
    </row>
    <row r="3580" spans="5:13" ht="26.25" customHeight="1">
      <c r="E3580" s="261"/>
      <c r="F3580" s="261">
        <v>300</v>
      </c>
      <c r="G3580" s="261" t="s">
        <v>1389</v>
      </c>
      <c r="H3580" s="261" t="str">
        <f>Elec.Data!H749</f>
        <v>Sundries for redoing on dismantled portion,etc.,</v>
      </c>
      <c r="I3580" s="263">
        <f>Elec.Data!I749</f>
        <v>0</v>
      </c>
      <c r="J3580" s="261" t="s">
        <v>1474</v>
      </c>
      <c r="K3580" s="261">
        <f>F3580*(I3580/1000)</f>
        <v>0</v>
      </c>
      <c r="L3580" s="261"/>
      <c r="M3580" s="261"/>
    </row>
    <row r="3581" spans="5:13" ht="26.25" customHeight="1">
      <c r="E3581" s="261"/>
      <c r="F3581" s="261"/>
      <c r="G3581" s="261"/>
      <c r="H3581" s="261" t="s">
        <v>2728</v>
      </c>
      <c r="I3581" s="261"/>
      <c r="J3581" s="261"/>
      <c r="K3581" s="261">
        <v>63.36</v>
      </c>
      <c r="L3581" s="261"/>
      <c r="M3581" s="261"/>
    </row>
    <row r="3582" spans="5:13" ht="26.25" customHeight="1">
      <c r="E3582" s="261"/>
      <c r="F3582" s="261"/>
      <c r="G3582" s="261"/>
      <c r="H3582" s="261" t="s">
        <v>911</v>
      </c>
      <c r="I3582" s="261"/>
      <c r="J3582" s="261"/>
      <c r="K3582" s="261">
        <f>K3592</f>
        <v>13376</v>
      </c>
      <c r="L3582" s="261"/>
      <c r="M3582" s="261"/>
    </row>
    <row r="3583" spans="5:13" ht="26.25" customHeight="1">
      <c r="E3583" s="261"/>
      <c r="F3583" s="261"/>
      <c r="G3583" s="261"/>
      <c r="H3583" s="269" t="s">
        <v>2729</v>
      </c>
      <c r="I3583" s="261"/>
      <c r="J3583" s="261"/>
      <c r="K3583" s="270">
        <f>SUM(K3578:K3582)</f>
        <v>14106.68</v>
      </c>
      <c r="L3583" s="261"/>
      <c r="M3583" s="261"/>
    </row>
    <row r="3584" spans="5:13" ht="26.25" customHeight="1">
      <c r="E3584" s="261"/>
      <c r="F3584" s="261"/>
      <c r="G3584" s="261"/>
      <c r="H3584" s="271" t="s">
        <v>2739</v>
      </c>
      <c r="I3584" s="261"/>
      <c r="J3584" s="261"/>
      <c r="K3584" s="272">
        <f>K3583/90</f>
        <v>156.74</v>
      </c>
      <c r="L3584" s="261"/>
      <c r="M3584" s="261"/>
    </row>
    <row r="3585" spans="5:13">
      <c r="E3585" s="261"/>
      <c r="F3585" s="261"/>
      <c r="G3585" s="261"/>
      <c r="H3585" s="261"/>
      <c r="I3585" s="261"/>
      <c r="J3585" s="261"/>
      <c r="K3585" s="261"/>
      <c r="L3585" s="261"/>
      <c r="M3585" s="261"/>
    </row>
    <row r="3586" spans="5:13" ht="24.95" customHeight="1">
      <c r="E3586" s="261"/>
      <c r="F3586" s="261"/>
      <c r="G3586" s="261"/>
      <c r="H3586" s="270" t="s">
        <v>2633</v>
      </c>
      <c r="I3586" s="261"/>
      <c r="J3586" s="261"/>
      <c r="K3586" s="261"/>
      <c r="L3586" s="261"/>
      <c r="M3586" s="261"/>
    </row>
    <row r="3587" spans="5:13" ht="24.95" customHeight="1">
      <c r="E3587" s="261"/>
      <c r="F3587" s="261">
        <v>1</v>
      </c>
      <c r="G3587" s="261" t="s">
        <v>1389</v>
      </c>
      <c r="H3587" s="261" t="s">
        <v>2730</v>
      </c>
      <c r="I3587" s="263">
        <f>I3354</f>
        <v>0</v>
      </c>
      <c r="J3587" s="261" t="s">
        <v>1389</v>
      </c>
      <c r="K3587" s="261">
        <f>F3587*I3587</f>
        <v>0</v>
      </c>
      <c r="L3587" s="261"/>
      <c r="M3587" s="261"/>
    </row>
    <row r="3588" spans="5:13" ht="24.95" customHeight="1">
      <c r="E3588" s="261"/>
      <c r="F3588" s="261">
        <v>2</v>
      </c>
      <c r="G3588" s="261" t="s">
        <v>1389</v>
      </c>
      <c r="H3588" s="261" t="s">
        <v>2744</v>
      </c>
      <c r="I3588" s="261">
        <f>I3504</f>
        <v>826</v>
      </c>
      <c r="J3588" s="261" t="s">
        <v>1389</v>
      </c>
      <c r="K3588" s="261">
        <f>F3588*I3588</f>
        <v>1652</v>
      </c>
      <c r="L3588" s="261"/>
      <c r="M3588" s="261"/>
    </row>
    <row r="3589" spans="5:13" ht="24.95" customHeight="1">
      <c r="E3589" s="261"/>
      <c r="F3589" s="261">
        <v>3</v>
      </c>
      <c r="G3589" s="261" t="s">
        <v>1389</v>
      </c>
      <c r="H3589" s="261" t="s">
        <v>2575</v>
      </c>
      <c r="I3589" s="261">
        <f>I3505</f>
        <v>820</v>
      </c>
      <c r="J3589" s="261" t="s">
        <v>1389</v>
      </c>
      <c r="K3589" s="261">
        <f>F3589*I3589</f>
        <v>2460</v>
      </c>
      <c r="L3589" s="261"/>
      <c r="M3589" s="261"/>
    </row>
    <row r="3590" spans="5:13" ht="24.95" customHeight="1">
      <c r="E3590" s="261"/>
      <c r="F3590" s="261">
        <v>4</v>
      </c>
      <c r="G3590" s="261" t="s">
        <v>1389</v>
      </c>
      <c r="H3590" s="261" t="s">
        <v>2321</v>
      </c>
      <c r="I3590" s="261">
        <f>I3506</f>
        <v>644</v>
      </c>
      <c r="J3590" s="261" t="s">
        <v>1389</v>
      </c>
      <c r="K3590" s="261">
        <f>F3590*I3590</f>
        <v>2576</v>
      </c>
      <c r="L3590" s="261"/>
      <c r="M3590" s="261"/>
    </row>
    <row r="3591" spans="5:13" ht="24.95" customHeight="1">
      <c r="E3591" s="261"/>
      <c r="F3591" s="261"/>
      <c r="G3591" s="261"/>
      <c r="H3591" s="269" t="s">
        <v>2731</v>
      </c>
      <c r="I3591" s="261"/>
      <c r="J3591" s="261"/>
      <c r="K3591" s="261">
        <f>SUM(K3587:K3590)</f>
        <v>6688</v>
      </c>
      <c r="L3591" s="261"/>
      <c r="M3591" s="261"/>
    </row>
    <row r="3592" spans="5:13" ht="24.95" customHeight="1">
      <c r="E3592" s="261"/>
      <c r="F3592" s="261"/>
      <c r="G3592" s="261"/>
      <c r="H3592" s="271" t="s">
        <v>2732</v>
      </c>
      <c r="I3592" s="261"/>
      <c r="J3592" s="261"/>
      <c r="K3592" s="272">
        <f>K3591*2</f>
        <v>13376</v>
      </c>
      <c r="L3592" s="261"/>
      <c r="M3592" s="261"/>
    </row>
    <row r="3593" spans="5:13">
      <c r="E3593" s="261"/>
      <c r="F3593" s="261"/>
      <c r="G3593" s="261"/>
      <c r="H3593" s="261"/>
      <c r="I3593" s="261"/>
      <c r="J3593" s="261"/>
      <c r="K3593" s="261"/>
      <c r="L3593" s="261"/>
      <c r="M3593" s="261"/>
    </row>
    <row r="3594" spans="5:13" ht="21" customHeight="1">
      <c r="E3594" s="261"/>
      <c r="F3594" s="261"/>
      <c r="G3594" s="261"/>
      <c r="H3594" s="272" t="s">
        <v>2733</v>
      </c>
      <c r="I3594" s="261"/>
      <c r="J3594" s="261"/>
      <c r="K3594" s="261"/>
      <c r="L3594" s="261"/>
      <c r="M3594" s="261"/>
    </row>
    <row r="3595" spans="5:13">
      <c r="E3595" s="261"/>
      <c r="F3595" s="261"/>
      <c r="G3595" s="261"/>
      <c r="H3595" s="261"/>
      <c r="I3595" s="261"/>
      <c r="J3595" s="261"/>
      <c r="K3595" s="261"/>
      <c r="L3595" s="261"/>
      <c r="M3595" s="261"/>
    </row>
    <row r="3596" spans="5:13" ht="27" customHeight="1">
      <c r="E3596" s="261"/>
      <c r="F3596" s="261"/>
      <c r="G3596" s="261"/>
      <c r="H3596" s="272" t="s">
        <v>2734</v>
      </c>
      <c r="I3596" s="261"/>
      <c r="J3596" s="261"/>
      <c r="K3596" s="261"/>
      <c r="L3596" s="261"/>
      <c r="M3596" s="261"/>
    </row>
    <row r="3597" spans="5:13">
      <c r="E3597" s="261"/>
      <c r="F3597" s="261"/>
      <c r="G3597" s="261"/>
      <c r="H3597" s="261"/>
      <c r="I3597" s="261"/>
      <c r="J3597" s="261"/>
      <c r="K3597" s="261"/>
      <c r="L3597" s="261"/>
      <c r="M3597" s="261"/>
    </row>
    <row r="3598" spans="5:13" ht="182.25" customHeight="1">
      <c r="E3598" s="261"/>
      <c r="F3598" s="261"/>
      <c r="G3598" s="261"/>
      <c r="H3598" s="260" t="s">
        <v>3084</v>
      </c>
      <c r="I3598" s="261"/>
      <c r="J3598" s="261"/>
      <c r="K3598" s="261"/>
      <c r="L3598" s="261"/>
      <c r="M3598" s="261"/>
    </row>
    <row r="3599" spans="5:13" ht="26.25" customHeight="1">
      <c r="E3599" s="261"/>
      <c r="F3599" s="261"/>
      <c r="G3599" s="261"/>
      <c r="H3599" s="272" t="s">
        <v>3074</v>
      </c>
      <c r="I3599" s="261"/>
      <c r="J3599" s="261"/>
      <c r="K3599" s="261"/>
      <c r="L3599" s="261"/>
      <c r="M3599" s="261"/>
    </row>
    <row r="3600" spans="5:13">
      <c r="E3600" s="261"/>
      <c r="F3600" s="261"/>
      <c r="G3600" s="261"/>
      <c r="H3600" s="261"/>
      <c r="I3600" s="261"/>
      <c r="J3600" s="261"/>
      <c r="K3600" s="261"/>
      <c r="L3600" s="261"/>
      <c r="M3600" s="261"/>
    </row>
    <row r="3601" spans="5:18" ht="225" customHeight="1">
      <c r="E3601" s="261"/>
      <c r="F3601" s="261"/>
      <c r="G3601" s="261"/>
      <c r="H3601" s="260" t="s">
        <v>2793</v>
      </c>
      <c r="I3601" s="261"/>
      <c r="J3601" s="261"/>
      <c r="K3601" s="261"/>
      <c r="L3601" s="261"/>
      <c r="M3601" s="261"/>
    </row>
    <row r="3602" spans="5:18" ht="22.5" customHeight="1">
      <c r="E3602" s="261"/>
      <c r="F3602" s="261"/>
      <c r="G3602" s="261"/>
      <c r="H3602" s="270" t="s">
        <v>2794</v>
      </c>
      <c r="I3602" s="270" t="s">
        <v>2795</v>
      </c>
      <c r="J3602" s="270" t="s">
        <v>2796</v>
      </c>
      <c r="K3602" s="270" t="s">
        <v>2797</v>
      </c>
      <c r="L3602" s="270" t="s">
        <v>2798</v>
      </c>
      <c r="M3602" s="261"/>
    </row>
    <row r="3603" spans="5:18" ht="22.5" customHeight="1">
      <c r="E3603" s="261"/>
      <c r="F3603" s="261"/>
      <c r="G3603" s="261"/>
      <c r="H3603" s="261" t="s">
        <v>4277</v>
      </c>
      <c r="I3603" s="263">
        <v>2970</v>
      </c>
      <c r="J3603" s="263">
        <v>2970</v>
      </c>
      <c r="K3603" s="263">
        <v>2850</v>
      </c>
      <c r="L3603" s="263">
        <v>2890</v>
      </c>
      <c r="M3603" s="261"/>
    </row>
    <row r="3604" spans="5:18" ht="22.5" customHeight="1">
      <c r="E3604" s="261"/>
      <c r="F3604" s="261"/>
      <c r="G3604" s="261"/>
      <c r="H3604" s="261" t="s">
        <v>4276</v>
      </c>
      <c r="I3604" s="261">
        <v>166</v>
      </c>
      <c r="J3604" s="261">
        <v>405</v>
      </c>
      <c r="K3604" s="300">
        <v>548</v>
      </c>
      <c r="L3604" s="300">
        <v>639</v>
      </c>
      <c r="M3604" s="261"/>
    </row>
    <row r="3605" spans="5:18" ht="29.25" customHeight="1">
      <c r="E3605" s="261"/>
      <c r="F3605" s="261"/>
      <c r="G3605" s="261"/>
      <c r="H3605" s="271" t="s">
        <v>2799</v>
      </c>
      <c r="I3605" s="272">
        <f>SUM(I3603:I3604)</f>
        <v>3136</v>
      </c>
      <c r="J3605" s="272">
        <f>SUM(J3603:J3604)</f>
        <v>3375</v>
      </c>
      <c r="K3605" s="301">
        <f>SUM(K3603:K3604)</f>
        <v>3398</v>
      </c>
      <c r="L3605" s="301">
        <f>SUM(L3603:L3604)</f>
        <v>3529</v>
      </c>
      <c r="M3605" s="261"/>
    </row>
    <row r="3606" spans="5:18">
      <c r="E3606" s="261"/>
      <c r="F3606" s="261"/>
      <c r="G3606" s="261"/>
      <c r="H3606" s="261"/>
      <c r="I3606" s="261"/>
      <c r="J3606" s="261"/>
      <c r="K3606" s="261"/>
      <c r="L3606" s="261"/>
      <c r="M3606" s="261"/>
    </row>
    <row r="3607" spans="5:18">
      <c r="E3607" s="261"/>
      <c r="F3607" s="261"/>
      <c r="G3607" s="261"/>
      <c r="H3607" s="272" t="s">
        <v>2800</v>
      </c>
      <c r="I3607" s="261"/>
      <c r="J3607" s="261"/>
      <c r="K3607" s="261"/>
      <c r="L3607" s="261"/>
      <c r="M3607" s="261"/>
    </row>
    <row r="3608" spans="5:18" ht="15.75" customHeight="1">
      <c r="E3608" s="261"/>
      <c r="F3608" s="261"/>
      <c r="G3608" s="261"/>
      <c r="H3608" s="261"/>
      <c r="I3608" s="261"/>
      <c r="J3608" s="261"/>
      <c r="K3608" s="261"/>
      <c r="L3608" s="261"/>
      <c r="M3608" s="261"/>
    </row>
    <row r="3609" spans="5:18">
      <c r="E3609" s="261"/>
      <c r="F3609" s="261"/>
      <c r="G3609" s="261"/>
      <c r="H3609" s="272" t="s">
        <v>2801</v>
      </c>
      <c r="I3609" s="261"/>
      <c r="J3609" s="261"/>
      <c r="K3609" s="261"/>
      <c r="L3609" s="261"/>
      <c r="M3609" s="261"/>
    </row>
    <row r="3610" spans="5:18" ht="86.25" customHeight="1">
      <c r="E3610" s="261"/>
      <c r="F3610" s="261"/>
      <c r="G3610" s="261"/>
      <c r="H3610" s="260" t="s">
        <v>2849</v>
      </c>
      <c r="I3610" s="261"/>
      <c r="J3610" s="261"/>
      <c r="K3610" s="261"/>
      <c r="L3610" s="261"/>
      <c r="M3610" s="1243" t="s">
        <v>3694</v>
      </c>
      <c r="N3610" s="1243"/>
      <c r="O3610" s="1243"/>
      <c r="P3610" s="1243"/>
      <c r="Q3610" s="1243"/>
      <c r="R3610" s="1243"/>
    </row>
    <row r="3611" spans="5:18" ht="15.75" customHeight="1">
      <c r="E3611" s="261"/>
      <c r="F3611" s="261"/>
      <c r="G3611" s="261"/>
      <c r="H3611" s="261"/>
      <c r="I3611" s="261"/>
      <c r="J3611" s="261"/>
      <c r="K3611" s="261"/>
      <c r="L3611" s="261"/>
      <c r="M3611" s="1244" t="s">
        <v>3695</v>
      </c>
      <c r="N3611" s="1244"/>
      <c r="O3611" s="1244"/>
      <c r="P3611" s="1244"/>
      <c r="Q3611" s="1244"/>
      <c r="R3611" s="1244"/>
    </row>
    <row r="3612" spans="5:18" ht="26.25" customHeight="1">
      <c r="E3612" s="261"/>
      <c r="F3612" s="261">
        <v>2</v>
      </c>
      <c r="G3612" s="261" t="s">
        <v>823</v>
      </c>
      <c r="H3612" s="261" t="str">
        <f>Elec.Data!H781</f>
        <v>Back lamp with bolts &amp; nuts</v>
      </c>
      <c r="I3612" s="263">
        <f>Elec.Data!I781</f>
        <v>35</v>
      </c>
      <c r="J3612" s="261" t="s">
        <v>823</v>
      </c>
      <c r="K3612" s="261">
        <f>F3612*I3612</f>
        <v>70</v>
      </c>
      <c r="L3612" s="261"/>
      <c r="M3612" s="261"/>
      <c r="N3612" s="261"/>
      <c r="O3612" s="261"/>
      <c r="P3612" s="261"/>
      <c r="Q3612" s="261"/>
      <c r="R3612" s="261"/>
    </row>
    <row r="3613" spans="5:18" ht="26.25" customHeight="1">
      <c r="E3613" s="261"/>
      <c r="F3613" s="261">
        <v>2</v>
      </c>
      <c r="G3613" s="261" t="s">
        <v>1986</v>
      </c>
      <c r="H3613" s="261" t="s">
        <v>2850</v>
      </c>
      <c r="I3613" s="261">
        <v>35</v>
      </c>
      <c r="J3613" s="261" t="s">
        <v>1986</v>
      </c>
      <c r="K3613" s="261">
        <f>F3613*I3613</f>
        <v>70</v>
      </c>
      <c r="L3613" s="261"/>
      <c r="M3613" s="269">
        <v>1.5</v>
      </c>
      <c r="N3613" s="261" t="s">
        <v>823</v>
      </c>
      <c r="O3613" s="261" t="s">
        <v>3696</v>
      </c>
      <c r="P3613" s="302">
        <v>136</v>
      </c>
      <c r="Q3613" s="261" t="s">
        <v>823</v>
      </c>
      <c r="R3613" s="269">
        <f>P3613*M3613</f>
        <v>204</v>
      </c>
    </row>
    <row r="3614" spans="5:18" ht="26.25" customHeight="1">
      <c r="E3614" s="261"/>
      <c r="F3614" s="261">
        <v>1</v>
      </c>
      <c r="G3614" s="261" t="s">
        <v>1389</v>
      </c>
      <c r="H3614" s="261" t="s">
        <v>3730</v>
      </c>
      <c r="I3614" s="263">
        <f>Elec.Data!I783</f>
        <v>31.28</v>
      </c>
      <c r="J3614" s="261" t="s">
        <v>1393</v>
      </c>
      <c r="K3614" s="261">
        <f>F3614*I3614</f>
        <v>31.28</v>
      </c>
      <c r="L3614" s="261"/>
      <c r="M3614" s="269">
        <v>2</v>
      </c>
      <c r="N3614" s="261" t="s">
        <v>1986</v>
      </c>
      <c r="O3614" s="261" t="s">
        <v>2850</v>
      </c>
      <c r="P3614" s="269">
        <f>I3613</f>
        <v>35</v>
      </c>
      <c r="Q3614" s="261" t="s">
        <v>1986</v>
      </c>
      <c r="R3614" s="269">
        <f>M3614*P3614</f>
        <v>70</v>
      </c>
    </row>
    <row r="3615" spans="5:18" ht="26.25" customHeight="1">
      <c r="E3615" s="261"/>
      <c r="F3615" s="261">
        <v>1</v>
      </c>
      <c r="G3615" s="261" t="s">
        <v>1389</v>
      </c>
      <c r="H3615" s="261" t="s">
        <v>2851</v>
      </c>
      <c r="I3615" s="261">
        <f>K3628</f>
        <v>32.119999999999997</v>
      </c>
      <c r="J3615" s="261" t="s">
        <v>1393</v>
      </c>
      <c r="K3615" s="261">
        <f>F3615*I3615</f>
        <v>32.119999999999997</v>
      </c>
      <c r="L3615" s="261"/>
      <c r="M3615" s="269"/>
      <c r="N3615" s="261"/>
      <c r="O3615" s="261"/>
      <c r="P3615" s="302"/>
      <c r="Q3615" s="261"/>
      <c r="R3615" s="269"/>
    </row>
    <row r="3616" spans="5:18" ht="26.25" customHeight="1">
      <c r="E3616" s="261"/>
      <c r="F3616" s="261">
        <v>8</v>
      </c>
      <c r="G3616" s="261" t="s">
        <v>823</v>
      </c>
      <c r="H3616" s="261" t="s">
        <v>2852</v>
      </c>
      <c r="I3616" s="261">
        <f>I3101</f>
        <v>20.3</v>
      </c>
      <c r="J3616" s="261" t="s">
        <v>3280</v>
      </c>
      <c r="K3616" s="261">
        <f>F3616*I3616</f>
        <v>162.4</v>
      </c>
      <c r="L3616" s="261"/>
      <c r="M3616" s="269"/>
      <c r="N3616" s="261"/>
      <c r="O3616" s="261"/>
      <c r="P3616" s="269"/>
      <c r="Q3616" s="261"/>
      <c r="R3616" s="269"/>
    </row>
    <row r="3617" spans="5:18" ht="51" customHeight="1">
      <c r="E3617" s="261"/>
      <c r="F3617" s="261">
        <v>1</v>
      </c>
      <c r="G3617" s="261" t="s">
        <v>1389</v>
      </c>
      <c r="H3617" s="260" t="s">
        <v>2853</v>
      </c>
      <c r="I3617" s="261"/>
      <c r="J3617" s="261"/>
      <c r="K3617" s="261">
        <f>K3627</f>
        <v>1781.67</v>
      </c>
      <c r="L3617" s="261"/>
      <c r="M3617" s="269">
        <v>8</v>
      </c>
      <c r="N3617" s="261" t="s">
        <v>823</v>
      </c>
      <c r="O3617" s="260" t="s">
        <v>2852</v>
      </c>
      <c r="P3617" s="269">
        <f>I3616</f>
        <v>20.3</v>
      </c>
      <c r="Q3617" s="261" t="s">
        <v>3280</v>
      </c>
      <c r="R3617" s="269">
        <f>M3617*P3617</f>
        <v>162.4</v>
      </c>
    </row>
    <row r="3618" spans="5:18" ht="49.5" customHeight="1">
      <c r="E3618" s="261"/>
      <c r="F3618" s="261"/>
      <c r="G3618" s="261"/>
      <c r="H3618" s="260" t="s">
        <v>2480</v>
      </c>
      <c r="I3618" s="261" t="s">
        <v>654</v>
      </c>
      <c r="J3618" s="261"/>
      <c r="K3618" s="261">
        <f>15.7+0.31</f>
        <v>16.010000000000002</v>
      </c>
      <c r="L3618" s="261"/>
      <c r="M3618" s="269">
        <v>1</v>
      </c>
      <c r="N3618" s="261" t="s">
        <v>1389</v>
      </c>
      <c r="O3618" s="260" t="s">
        <v>2853</v>
      </c>
      <c r="P3618" s="269">
        <f>R3628</f>
        <v>881.67</v>
      </c>
      <c r="Q3618" s="261" t="s">
        <v>1393</v>
      </c>
      <c r="R3618" s="269">
        <f>R3628</f>
        <v>881.67</v>
      </c>
    </row>
    <row r="3619" spans="5:18" ht="29.25" customHeight="1">
      <c r="E3619" s="261"/>
      <c r="F3619" s="261"/>
      <c r="G3619" s="261"/>
      <c r="H3619" s="271" t="s">
        <v>2362</v>
      </c>
      <c r="I3619" s="261"/>
      <c r="J3619" s="261"/>
      <c r="K3619" s="272">
        <f>SUM(K3612:K3618)</f>
        <v>2163.48</v>
      </c>
      <c r="L3619" s="261">
        <f>K3619-1520</f>
        <v>643.48</v>
      </c>
      <c r="M3619" s="269"/>
      <c r="N3619" s="261"/>
      <c r="O3619" s="260" t="s">
        <v>2480</v>
      </c>
      <c r="P3619" s="1245" t="s">
        <v>654</v>
      </c>
      <c r="Q3619" s="1245"/>
      <c r="R3619" s="269">
        <v>15.73</v>
      </c>
    </row>
    <row r="3620" spans="5:18">
      <c r="E3620" s="261"/>
      <c r="F3620" s="261"/>
      <c r="G3620" s="261"/>
      <c r="H3620" s="261"/>
      <c r="I3620" s="261"/>
      <c r="J3620" s="261"/>
      <c r="K3620" s="261"/>
      <c r="L3620" s="261"/>
      <c r="M3620" s="269"/>
      <c r="N3620" s="261"/>
      <c r="O3620" s="271" t="s">
        <v>2362</v>
      </c>
      <c r="P3620" s="261"/>
      <c r="Q3620" s="261"/>
      <c r="R3620" s="271">
        <f>SUM(R3613:R3619)</f>
        <v>1333.8</v>
      </c>
    </row>
    <row r="3621" spans="5:18">
      <c r="E3621" s="261"/>
      <c r="F3621" s="261"/>
      <c r="G3621" s="261"/>
      <c r="H3621" s="270" t="s">
        <v>2481</v>
      </c>
      <c r="I3621" s="261"/>
      <c r="J3621" s="261"/>
      <c r="K3621" s="261"/>
      <c r="L3621" s="261"/>
      <c r="M3621" s="269"/>
      <c r="N3621" s="261"/>
      <c r="O3621" s="261"/>
      <c r="P3621" s="261"/>
      <c r="Q3621" s="261"/>
      <c r="R3621" s="261"/>
    </row>
    <row r="3622" spans="5:18">
      <c r="E3622" s="261"/>
      <c r="F3622" s="261">
        <v>1</v>
      </c>
      <c r="G3622" s="261" t="s">
        <v>1389</v>
      </c>
      <c r="H3622" s="261" t="s">
        <v>2695</v>
      </c>
      <c r="I3622" s="261">
        <f>I3503</f>
        <v>947</v>
      </c>
      <c r="J3622" s="261" t="s">
        <v>1389</v>
      </c>
      <c r="K3622" s="261">
        <f>F3622*I3622</f>
        <v>947</v>
      </c>
      <c r="L3622" s="261"/>
      <c r="M3622" s="269"/>
      <c r="N3622" s="261"/>
      <c r="O3622" s="270" t="s">
        <v>2481</v>
      </c>
      <c r="P3622" s="261"/>
      <c r="Q3622" s="261"/>
      <c r="R3622" s="261"/>
    </row>
    <row r="3623" spans="5:18">
      <c r="E3623" s="261"/>
      <c r="F3623" s="261">
        <v>1</v>
      </c>
      <c r="G3623" s="261" t="s">
        <v>1389</v>
      </c>
      <c r="H3623" s="261" t="s">
        <v>2744</v>
      </c>
      <c r="I3623" s="261">
        <f>I3504</f>
        <v>826</v>
      </c>
      <c r="J3623" s="261" t="s">
        <v>1389</v>
      </c>
      <c r="K3623" s="261">
        <f>F3623*I3623</f>
        <v>826</v>
      </c>
      <c r="L3623" s="261"/>
      <c r="M3623" s="269">
        <v>1</v>
      </c>
      <c r="N3623" s="261" t="s">
        <v>1389</v>
      </c>
      <c r="O3623" s="261" t="s">
        <v>2695</v>
      </c>
      <c r="P3623" s="269">
        <v>471</v>
      </c>
      <c r="Q3623" s="261" t="s">
        <v>1389</v>
      </c>
      <c r="R3623" s="261">
        <f>M3623*P3623</f>
        <v>471</v>
      </c>
    </row>
    <row r="3624" spans="5:18">
      <c r="E3624" s="261"/>
      <c r="F3624" s="261">
        <v>2</v>
      </c>
      <c r="G3624" s="261" t="s">
        <v>1389</v>
      </c>
      <c r="H3624" s="261" t="s">
        <v>2575</v>
      </c>
      <c r="I3624" s="261">
        <f>I3505</f>
        <v>820</v>
      </c>
      <c r="J3624" s="261" t="s">
        <v>1389</v>
      </c>
      <c r="K3624" s="261">
        <f>F3624*I3624</f>
        <v>1640</v>
      </c>
      <c r="L3624" s="261"/>
      <c r="M3624" s="269">
        <v>1</v>
      </c>
      <c r="N3624" s="261" t="s">
        <v>1389</v>
      </c>
      <c r="O3624" s="261" t="s">
        <v>2744</v>
      </c>
      <c r="P3624" s="269">
        <v>432</v>
      </c>
      <c r="Q3624" s="261" t="s">
        <v>1389</v>
      </c>
      <c r="R3624" s="261">
        <f>M3624*P3624</f>
        <v>432</v>
      </c>
    </row>
    <row r="3625" spans="5:18">
      <c r="E3625" s="261"/>
      <c r="F3625" s="261">
        <v>3</v>
      </c>
      <c r="G3625" s="261" t="s">
        <v>1389</v>
      </c>
      <c r="H3625" s="261" t="s">
        <v>2321</v>
      </c>
      <c r="I3625" s="261">
        <f>I3506</f>
        <v>644</v>
      </c>
      <c r="J3625" s="261" t="s">
        <v>1389</v>
      </c>
      <c r="K3625" s="261">
        <f>F3625*I3625</f>
        <v>1932</v>
      </c>
      <c r="L3625" s="261"/>
      <c r="M3625" s="269">
        <v>2</v>
      </c>
      <c r="N3625" s="261" t="s">
        <v>1389</v>
      </c>
      <c r="O3625" s="261" t="s">
        <v>2575</v>
      </c>
      <c r="P3625" s="269">
        <v>409</v>
      </c>
      <c r="Q3625" s="261" t="s">
        <v>1389</v>
      </c>
      <c r="R3625" s="261">
        <f>M3625*P3625</f>
        <v>818</v>
      </c>
    </row>
    <row r="3626" spans="5:18">
      <c r="E3626" s="261"/>
      <c r="F3626" s="261"/>
      <c r="G3626" s="261"/>
      <c r="H3626" s="269" t="s">
        <v>2839</v>
      </c>
      <c r="I3626" s="261"/>
      <c r="J3626" s="261"/>
      <c r="K3626" s="270">
        <f>SUM(K3622:K3625)</f>
        <v>5345</v>
      </c>
      <c r="L3626" s="261"/>
      <c r="M3626" s="269">
        <v>3</v>
      </c>
      <c r="N3626" s="261" t="s">
        <v>1389</v>
      </c>
      <c r="O3626" s="261" t="s">
        <v>2321</v>
      </c>
      <c r="P3626" s="269">
        <v>308</v>
      </c>
      <c r="Q3626" s="261" t="s">
        <v>1389</v>
      </c>
      <c r="R3626" s="261">
        <f>M3626*P3626</f>
        <v>924</v>
      </c>
    </row>
    <row r="3627" spans="5:18">
      <c r="E3627" s="261"/>
      <c r="F3627" s="261"/>
      <c r="G3627" s="261"/>
      <c r="H3627" s="271" t="s">
        <v>2770</v>
      </c>
      <c r="I3627" s="261"/>
      <c r="J3627" s="261"/>
      <c r="K3627" s="272">
        <f>K3626/3</f>
        <v>1781.67</v>
      </c>
      <c r="L3627" s="261"/>
      <c r="M3627" s="261"/>
      <c r="N3627" s="261"/>
      <c r="O3627" s="269" t="s">
        <v>2839</v>
      </c>
      <c r="P3627" s="261"/>
      <c r="Q3627" s="261"/>
      <c r="R3627" s="270">
        <f>SUM(R3623:R3626)</f>
        <v>2645</v>
      </c>
    </row>
    <row r="3628" spans="5:18">
      <c r="E3628" s="261"/>
      <c r="F3628" s="261"/>
      <c r="G3628" s="261"/>
      <c r="H3628" s="272" t="s">
        <v>2482</v>
      </c>
      <c r="I3628" s="261">
        <f>I3483</f>
        <v>107060</v>
      </c>
      <c r="J3628" s="278">
        <v>2.9999999999999997E-4</v>
      </c>
      <c r="K3628" s="272">
        <f>I3628*J3628</f>
        <v>32.119999999999997</v>
      </c>
      <c r="L3628" s="261"/>
      <c r="M3628" s="261"/>
      <c r="N3628" s="261"/>
      <c r="O3628" s="271" t="s">
        <v>2770</v>
      </c>
      <c r="P3628" s="261"/>
      <c r="Q3628" s="261"/>
      <c r="R3628" s="272">
        <f>R3627/3</f>
        <v>881.67</v>
      </c>
    </row>
    <row r="3629" spans="5:18">
      <c r="E3629" s="261"/>
      <c r="F3629" s="261"/>
      <c r="G3629" s="261"/>
      <c r="H3629" s="261"/>
      <c r="I3629" s="261"/>
      <c r="J3629" s="261"/>
      <c r="K3629" s="261"/>
      <c r="L3629" s="261"/>
      <c r="M3629" s="261"/>
      <c r="N3629" s="261"/>
      <c r="O3629" s="303"/>
      <c r="P3629" s="279"/>
      <c r="Q3629" s="304"/>
      <c r="R3629" s="303"/>
    </row>
    <row r="3630" spans="5:18" ht="23.25" customHeight="1">
      <c r="E3630" s="261"/>
      <c r="F3630" s="261"/>
      <c r="G3630" s="261"/>
      <c r="H3630" s="272" t="s">
        <v>2364</v>
      </c>
      <c r="I3630" s="261"/>
      <c r="J3630" s="261"/>
      <c r="K3630" s="261"/>
      <c r="L3630" s="261"/>
      <c r="M3630" s="261"/>
      <c r="N3630" s="261"/>
      <c r="O3630" s="261"/>
      <c r="P3630" s="261"/>
      <c r="Q3630" s="261"/>
      <c r="R3630" s="261"/>
    </row>
    <row r="3631" spans="5:18" ht="15.75" customHeight="1">
      <c r="E3631" s="261"/>
      <c r="F3631" s="261"/>
      <c r="G3631" s="261"/>
      <c r="H3631" s="261"/>
      <c r="I3631" s="261"/>
      <c r="J3631" s="261"/>
      <c r="K3631" s="261"/>
      <c r="L3631" s="261"/>
      <c r="M3631" s="261"/>
      <c r="N3631" s="261"/>
      <c r="O3631" s="272" t="s">
        <v>2364</v>
      </c>
      <c r="P3631" s="261"/>
      <c r="Q3631" s="261"/>
      <c r="R3631" s="261"/>
    </row>
    <row r="3632" spans="5:18" ht="24.95" customHeight="1">
      <c r="E3632" s="261"/>
      <c r="F3632" s="261"/>
      <c r="G3632" s="261"/>
      <c r="H3632" s="272" t="s">
        <v>3082</v>
      </c>
      <c r="I3632" s="261"/>
      <c r="J3632" s="261"/>
      <c r="K3632" s="261"/>
      <c r="L3632" s="261"/>
      <c r="M3632" s="261"/>
      <c r="N3632" s="261"/>
      <c r="O3632" s="272"/>
      <c r="P3632" s="261"/>
      <c r="Q3632" s="261"/>
      <c r="R3632" s="261"/>
    </row>
    <row r="3633" spans="5:18" ht="15.75" customHeight="1">
      <c r="E3633" s="261"/>
      <c r="F3633" s="261"/>
      <c r="G3633" s="261"/>
      <c r="H3633" s="261"/>
      <c r="I3633" s="261"/>
      <c r="J3633" s="261"/>
      <c r="K3633" s="261"/>
      <c r="L3633" s="261"/>
      <c r="M3633" s="261"/>
      <c r="N3633" s="261"/>
      <c r="O3633" s="272" t="s">
        <v>3697</v>
      </c>
      <c r="P3633" s="261"/>
      <c r="Q3633" s="261"/>
      <c r="R3633" s="261"/>
    </row>
    <row r="3634" spans="5:18" ht="24.95" customHeight="1">
      <c r="E3634" s="261"/>
      <c r="F3634" s="261">
        <v>1</v>
      </c>
      <c r="G3634" s="261" t="s">
        <v>1389</v>
      </c>
      <c r="H3634" s="260" t="str">
        <f>Elec.Data!H803</f>
        <v>Tubular lamp P-112 ,4b</v>
      </c>
      <c r="I3634" s="703">
        <f>Elec.Data!I803</f>
        <v>36.200000000000003</v>
      </c>
      <c r="J3634" s="261" t="s">
        <v>1389</v>
      </c>
      <c r="K3634" s="261">
        <f>F3634*I3634</f>
        <v>36.200000000000003</v>
      </c>
      <c r="L3634" s="261"/>
      <c r="M3634" s="261"/>
      <c r="N3634" s="261"/>
      <c r="O3634" s="272"/>
      <c r="P3634" s="261"/>
      <c r="Q3634" s="261"/>
      <c r="R3634" s="261"/>
    </row>
    <row r="3635" spans="5:18" ht="24.95" customHeight="1">
      <c r="E3635" s="261"/>
      <c r="F3635" s="261">
        <v>1</v>
      </c>
      <c r="G3635" s="261" t="s">
        <v>1389</v>
      </c>
      <c r="H3635" s="260" t="str">
        <f>Elec.Data!H804</f>
        <v>Labour charges</v>
      </c>
      <c r="I3635" s="703">
        <f>Elec.Data!I804</f>
        <v>2350</v>
      </c>
      <c r="J3635" s="261" t="s">
        <v>1389</v>
      </c>
      <c r="K3635" s="261">
        <f>F3635*I3635</f>
        <v>2350</v>
      </c>
      <c r="L3635" s="261"/>
      <c r="M3635" s="261">
        <v>1</v>
      </c>
      <c r="N3635" s="261" t="s">
        <v>1389</v>
      </c>
      <c r="O3635" s="260" t="s">
        <v>3698</v>
      </c>
      <c r="P3635" s="308">
        <v>1717.5</v>
      </c>
      <c r="Q3635" s="261" t="s">
        <v>1389</v>
      </c>
      <c r="R3635" s="261">
        <f>M3635*P3635</f>
        <v>1717.5</v>
      </c>
    </row>
    <row r="3636" spans="5:18" ht="24.95" customHeight="1">
      <c r="E3636" s="261"/>
      <c r="F3636" s="261">
        <v>1</v>
      </c>
      <c r="G3636" s="261" t="s">
        <v>1389</v>
      </c>
      <c r="H3636" s="260" t="s">
        <v>911</v>
      </c>
      <c r="I3636" s="261">
        <f>K3619</f>
        <v>2163.48</v>
      </c>
      <c r="J3636" s="261" t="s">
        <v>1389</v>
      </c>
      <c r="K3636" s="261">
        <f>F3636*I3636</f>
        <v>2163.48</v>
      </c>
      <c r="L3636" s="261"/>
      <c r="M3636" s="261">
        <v>1</v>
      </c>
      <c r="N3636" s="261" t="s">
        <v>1389</v>
      </c>
      <c r="O3636" s="260" t="s">
        <v>911</v>
      </c>
      <c r="P3636" s="308">
        <f>R3620</f>
        <v>1333.8</v>
      </c>
      <c r="Q3636" s="261" t="s">
        <v>1389</v>
      </c>
      <c r="R3636" s="261">
        <f>M3636*P3636</f>
        <v>1333.8</v>
      </c>
    </row>
    <row r="3637" spans="5:18" ht="24.95" customHeight="1">
      <c r="E3637" s="261"/>
      <c r="F3637" s="261"/>
      <c r="G3637" s="261"/>
      <c r="H3637" s="260" t="s">
        <v>2261</v>
      </c>
      <c r="I3637" s="261"/>
      <c r="J3637" s="261"/>
      <c r="K3637" s="261">
        <f>2.5-0.9</f>
        <v>1.6</v>
      </c>
      <c r="L3637" s="261"/>
      <c r="M3637" s="261"/>
      <c r="N3637" s="261"/>
      <c r="O3637" s="260" t="s">
        <v>2261</v>
      </c>
      <c r="P3637" s="261"/>
      <c r="Q3637" s="261"/>
      <c r="R3637" s="261">
        <v>0.5</v>
      </c>
    </row>
    <row r="3638" spans="5:18" ht="24.95" customHeight="1">
      <c r="E3638" s="261"/>
      <c r="F3638" s="261"/>
      <c r="G3638" s="261"/>
      <c r="H3638" s="271" t="s">
        <v>1058</v>
      </c>
      <c r="I3638" s="261"/>
      <c r="J3638" s="261"/>
      <c r="K3638" s="272">
        <f>SUM(K3634:K3637)</f>
        <v>4551.28</v>
      </c>
      <c r="L3638" s="261">
        <f>K3638-2170</f>
        <v>2381.2800000000002</v>
      </c>
      <c r="M3638" s="261"/>
      <c r="N3638" s="261"/>
      <c r="O3638" s="271" t="s">
        <v>1058</v>
      </c>
      <c r="P3638" s="261"/>
      <c r="Q3638" s="261"/>
      <c r="R3638" s="272">
        <f>SUM(R3635:R3637)</f>
        <v>3051.8</v>
      </c>
    </row>
    <row r="3639" spans="5:18">
      <c r="E3639" s="261"/>
      <c r="F3639" s="261"/>
      <c r="G3639" s="261"/>
      <c r="H3639" s="261"/>
      <c r="I3639" s="261"/>
      <c r="J3639" s="261"/>
      <c r="K3639" s="261"/>
      <c r="L3639" s="261"/>
      <c r="M3639" s="261"/>
      <c r="N3639" s="261"/>
      <c r="P3639" s="261"/>
      <c r="Q3639" s="261"/>
      <c r="R3639" s="272"/>
    </row>
    <row r="3640" spans="5:18" ht="24.75" customHeight="1">
      <c r="E3640" s="261"/>
      <c r="F3640" s="261"/>
      <c r="G3640" s="261"/>
      <c r="H3640" s="272" t="s">
        <v>3069</v>
      </c>
      <c r="I3640" s="261"/>
      <c r="J3640" s="261"/>
      <c r="K3640" s="261"/>
      <c r="L3640" s="261"/>
      <c r="M3640" s="261"/>
    </row>
    <row r="3641" spans="5:18" ht="63">
      <c r="E3641" s="261"/>
      <c r="F3641" s="261"/>
      <c r="G3641" s="261"/>
      <c r="H3641" s="260" t="s">
        <v>3070</v>
      </c>
      <c r="I3641" s="261"/>
      <c r="J3641" s="261"/>
      <c r="K3641" s="261"/>
      <c r="L3641" s="261"/>
      <c r="M3641" s="261"/>
    </row>
    <row r="3642" spans="5:18">
      <c r="E3642" s="261"/>
      <c r="F3642" s="261"/>
      <c r="G3642" s="261"/>
      <c r="H3642" s="261"/>
      <c r="I3642" s="261"/>
      <c r="J3642" s="261"/>
      <c r="K3642" s="261"/>
      <c r="L3642" s="261"/>
      <c r="M3642" s="261"/>
    </row>
    <row r="3643" spans="5:18" ht="24.75" customHeight="1">
      <c r="E3643" s="261"/>
      <c r="F3643" s="261">
        <v>1.5</v>
      </c>
      <c r="G3643" s="261" t="s">
        <v>823</v>
      </c>
      <c r="H3643" s="261" t="str">
        <f>Elec.Data!H812</f>
        <v>Back clamps with bolts and nuts</v>
      </c>
      <c r="I3643" s="263">
        <f>Elec.Data!I812</f>
        <v>35</v>
      </c>
      <c r="J3643" s="261" t="s">
        <v>823</v>
      </c>
      <c r="K3643" s="261">
        <f>F3643*I3643</f>
        <v>52.5</v>
      </c>
      <c r="L3643" s="261"/>
      <c r="M3643" s="261"/>
    </row>
    <row r="3644" spans="5:18" ht="24.75" customHeight="1">
      <c r="E3644" s="261"/>
      <c r="F3644" s="261">
        <v>2</v>
      </c>
      <c r="G3644" s="261" t="s">
        <v>3080</v>
      </c>
      <c r="H3644" s="261" t="s">
        <v>3081</v>
      </c>
      <c r="I3644" s="261">
        <f>I3613</f>
        <v>35</v>
      </c>
      <c r="J3644" s="261" t="s">
        <v>3080</v>
      </c>
      <c r="K3644" s="261">
        <f>F3644*I3644</f>
        <v>70</v>
      </c>
      <c r="L3644" s="261"/>
      <c r="M3644" s="261"/>
    </row>
    <row r="3645" spans="5:18" ht="24.75" customHeight="1">
      <c r="E3645" s="261"/>
      <c r="F3645" s="261">
        <v>1</v>
      </c>
      <c r="G3645" s="261" t="s">
        <v>1389</v>
      </c>
      <c r="H3645" s="261" t="s">
        <v>3071</v>
      </c>
      <c r="I3645" s="261">
        <f>I3614</f>
        <v>31.28</v>
      </c>
      <c r="J3645" s="261" t="s">
        <v>1389</v>
      </c>
      <c r="K3645" s="261">
        <f>F3645*I3645</f>
        <v>31.28</v>
      </c>
      <c r="L3645" s="261"/>
      <c r="M3645" s="261"/>
    </row>
    <row r="3646" spans="5:18" ht="24.75" customHeight="1">
      <c r="E3646" s="261"/>
      <c r="F3646" s="261">
        <v>1</v>
      </c>
      <c r="G3646" s="261" t="s">
        <v>1389</v>
      </c>
      <c r="H3646" s="261" t="s">
        <v>3205</v>
      </c>
      <c r="I3646" s="261">
        <f>I3615</f>
        <v>32.119999999999997</v>
      </c>
      <c r="J3646" s="261" t="s">
        <v>1389</v>
      </c>
      <c r="K3646" s="261">
        <f>F3646*I3646</f>
        <v>32.119999999999997</v>
      </c>
      <c r="L3646" s="261"/>
      <c r="M3646" s="261"/>
    </row>
    <row r="3647" spans="5:18" ht="24.75" customHeight="1">
      <c r="E3647" s="261"/>
      <c r="F3647" s="261">
        <v>8</v>
      </c>
      <c r="G3647" s="261" t="s">
        <v>823</v>
      </c>
      <c r="H3647" s="261" t="s">
        <v>2852</v>
      </c>
      <c r="I3647" s="261">
        <f>I3616</f>
        <v>20.3</v>
      </c>
      <c r="J3647" s="261" t="s">
        <v>3280</v>
      </c>
      <c r="K3647" s="261">
        <f>F3647*I3647</f>
        <v>162.4</v>
      </c>
      <c r="L3647" s="261"/>
      <c r="M3647" s="261"/>
    </row>
    <row r="3648" spans="5:18" ht="61.5" customHeight="1">
      <c r="E3648" s="261"/>
      <c r="F3648" s="261"/>
      <c r="G3648" s="261"/>
      <c r="H3648" s="260" t="s">
        <v>2853</v>
      </c>
      <c r="I3648" s="261"/>
      <c r="J3648" s="261"/>
      <c r="K3648" s="261">
        <f>K3627</f>
        <v>1781.67</v>
      </c>
      <c r="L3648" s="261"/>
      <c r="M3648" s="261"/>
    </row>
    <row r="3649" spans="5:13" ht="52.5" customHeight="1">
      <c r="E3649" s="261"/>
      <c r="F3649" s="261"/>
      <c r="G3649" s="261"/>
      <c r="H3649" s="260" t="s">
        <v>2480</v>
      </c>
      <c r="I3649" s="261"/>
      <c r="J3649" s="261" t="s">
        <v>654</v>
      </c>
      <c r="K3649" s="261">
        <f>14.2-0.69</f>
        <v>13.51</v>
      </c>
      <c r="L3649" s="261"/>
      <c r="M3649" s="261"/>
    </row>
    <row r="3650" spans="5:13" ht="24" customHeight="1">
      <c r="E3650" s="261"/>
      <c r="F3650" s="261"/>
      <c r="G3650" s="261"/>
      <c r="H3650" s="271" t="s">
        <v>2362</v>
      </c>
      <c r="I3650" s="261"/>
      <c r="J3650" s="261"/>
      <c r="K3650" s="272">
        <f>SUM(K3643:K3649)</f>
        <v>2143.48</v>
      </c>
      <c r="L3650" s="261"/>
      <c r="M3650" s="261"/>
    </row>
    <row r="3651" spans="5:13">
      <c r="E3651" s="261"/>
      <c r="F3651" s="261"/>
      <c r="G3651" s="261"/>
      <c r="H3651" s="261"/>
      <c r="I3651" s="261"/>
      <c r="J3651" s="261"/>
      <c r="K3651" s="261"/>
      <c r="L3651" s="261"/>
      <c r="M3651" s="261"/>
    </row>
    <row r="3652" spans="5:13">
      <c r="E3652" s="261"/>
      <c r="F3652" s="261"/>
      <c r="G3652" s="261"/>
      <c r="H3652" s="261"/>
      <c r="I3652" s="261"/>
      <c r="J3652" s="261"/>
      <c r="K3652" s="261"/>
      <c r="L3652" s="261"/>
      <c r="M3652" s="261"/>
    </row>
    <row r="3653" spans="5:13">
      <c r="E3653" s="261"/>
      <c r="F3653" s="261"/>
      <c r="G3653" s="261"/>
      <c r="H3653" s="261"/>
      <c r="I3653" s="261"/>
      <c r="J3653" s="261"/>
      <c r="K3653" s="261"/>
      <c r="L3653" s="261"/>
      <c r="M3653" s="261"/>
    </row>
    <row r="3654" spans="5:13">
      <c r="E3654" s="261"/>
      <c r="F3654" s="261"/>
      <c r="G3654" s="261"/>
      <c r="H3654" s="261"/>
      <c r="I3654" s="261"/>
      <c r="J3654" s="261"/>
      <c r="K3654" s="261"/>
      <c r="L3654" s="261"/>
      <c r="M3654" s="261"/>
    </row>
    <row r="3655" spans="5:13">
      <c r="E3655" s="261"/>
      <c r="F3655" s="261"/>
      <c r="G3655" s="261"/>
      <c r="H3655" s="301" t="s">
        <v>2800</v>
      </c>
      <c r="I3655" s="261"/>
      <c r="J3655" s="261"/>
      <c r="K3655" s="261"/>
      <c r="L3655" s="261"/>
      <c r="M3655" s="261"/>
    </row>
    <row r="3656" spans="5:13">
      <c r="E3656" s="261"/>
      <c r="F3656" s="261"/>
      <c r="G3656" s="261"/>
      <c r="H3656" s="261"/>
      <c r="I3656" s="261"/>
      <c r="J3656" s="261"/>
      <c r="K3656" s="261"/>
      <c r="L3656" s="261"/>
      <c r="M3656" s="261"/>
    </row>
    <row r="3657" spans="5:13">
      <c r="E3657" s="261"/>
      <c r="F3657" s="261"/>
      <c r="G3657" s="261"/>
      <c r="H3657" s="301" t="s">
        <v>2988</v>
      </c>
      <c r="I3657" s="261"/>
      <c r="J3657" s="261"/>
      <c r="K3657" s="261"/>
      <c r="L3657" s="261"/>
      <c r="M3657" s="261"/>
    </row>
    <row r="3658" spans="5:13">
      <c r="E3658" s="261"/>
      <c r="F3658" s="261"/>
      <c r="G3658" s="261"/>
      <c r="H3658" s="261"/>
      <c r="I3658" s="261"/>
      <c r="J3658" s="261"/>
      <c r="K3658" s="261"/>
      <c r="L3658" s="261"/>
      <c r="M3658" s="261"/>
    </row>
    <row r="3659" spans="5:13" ht="299.25">
      <c r="E3659" s="261"/>
      <c r="F3659" s="261"/>
      <c r="G3659" s="261"/>
      <c r="H3659" s="260" t="s">
        <v>2523</v>
      </c>
      <c r="I3659" s="261"/>
      <c r="J3659" s="261"/>
      <c r="K3659" s="261"/>
      <c r="L3659" s="261"/>
      <c r="M3659" s="261"/>
    </row>
    <row r="3660" spans="5:13">
      <c r="E3660" s="261"/>
      <c r="F3660" s="261"/>
      <c r="G3660" s="261"/>
      <c r="H3660" s="261"/>
      <c r="I3660" s="261"/>
      <c r="J3660" s="261"/>
      <c r="K3660" s="261"/>
      <c r="L3660" s="261"/>
      <c r="M3660" s="261"/>
    </row>
    <row r="3661" spans="5:13">
      <c r="E3661" s="261"/>
      <c r="F3661" s="261"/>
      <c r="G3661" s="261"/>
      <c r="H3661" s="272" t="s">
        <v>2815</v>
      </c>
      <c r="I3661" s="261"/>
      <c r="K3661" s="261"/>
      <c r="L3661" s="261"/>
      <c r="M3661" s="261"/>
    </row>
    <row r="3662" spans="5:13" ht="47.25">
      <c r="E3662" s="261"/>
      <c r="F3662" s="261">
        <v>1</v>
      </c>
      <c r="G3662" s="261" t="s">
        <v>1389</v>
      </c>
      <c r="H3662" s="260" t="s">
        <v>3837</v>
      </c>
      <c r="I3662" s="264">
        <f>Elec.Data!I831</f>
        <v>281.56</v>
      </c>
      <c r="J3662" s="261" t="s">
        <v>1389</v>
      </c>
      <c r="K3662" s="261">
        <f t="shared" ref="K3662:K3667" si="104">F3662*I3662</f>
        <v>281.56</v>
      </c>
      <c r="L3662" s="261"/>
      <c r="M3662" s="261"/>
    </row>
    <row r="3663" spans="5:13" ht="20.100000000000001" customHeight="1">
      <c r="E3663" s="261"/>
      <c r="F3663" s="261">
        <v>1</v>
      </c>
      <c r="G3663" s="261" t="s">
        <v>1389</v>
      </c>
      <c r="H3663" s="261" t="s">
        <v>2816</v>
      </c>
      <c r="I3663" s="261">
        <f>K3677</f>
        <v>289.06</v>
      </c>
      <c r="J3663" s="261" t="s">
        <v>1389</v>
      </c>
      <c r="K3663" s="261">
        <f t="shared" si="104"/>
        <v>289.06</v>
      </c>
      <c r="L3663" s="261"/>
      <c r="M3663" s="261"/>
    </row>
    <row r="3664" spans="5:13" ht="20.100000000000001" customHeight="1">
      <c r="E3664" s="261"/>
      <c r="F3664" s="261">
        <v>1</v>
      </c>
      <c r="G3664" s="261" t="s">
        <v>1389</v>
      </c>
      <c r="H3664" s="261" t="s">
        <v>2817</v>
      </c>
      <c r="I3664" s="263">
        <f>Elec.Data!I833</f>
        <v>25</v>
      </c>
      <c r="J3664" s="261" t="s">
        <v>1389</v>
      </c>
      <c r="K3664" s="261">
        <f t="shared" si="104"/>
        <v>25</v>
      </c>
      <c r="L3664" s="261"/>
      <c r="M3664" s="261"/>
    </row>
    <row r="3665" spans="4:13" ht="20.100000000000001" customHeight="1">
      <c r="E3665" s="261"/>
      <c r="F3665" s="261">
        <v>1</v>
      </c>
      <c r="G3665" s="261" t="s">
        <v>1389</v>
      </c>
      <c r="H3665" s="261" t="s">
        <v>2818</v>
      </c>
      <c r="I3665" s="261">
        <f>I3478</f>
        <v>25</v>
      </c>
      <c r="J3665" s="261" t="s">
        <v>1389</v>
      </c>
      <c r="K3665" s="261">
        <f t="shared" si="104"/>
        <v>25</v>
      </c>
      <c r="L3665" s="261"/>
      <c r="M3665" s="261"/>
    </row>
    <row r="3666" spans="4:13" ht="20.100000000000001" customHeight="1">
      <c r="E3666" s="261"/>
      <c r="F3666" s="261">
        <v>5</v>
      </c>
      <c r="G3666" s="261" t="s">
        <v>823</v>
      </c>
      <c r="H3666" s="261" t="s">
        <v>3198</v>
      </c>
      <c r="I3666" s="263">
        <f>Elec.Data!I835</f>
        <v>40.950000000000003</v>
      </c>
      <c r="J3666" s="261" t="s">
        <v>823</v>
      </c>
      <c r="K3666" s="261">
        <f t="shared" si="104"/>
        <v>204.75</v>
      </c>
      <c r="L3666" s="261"/>
      <c r="M3666" s="261"/>
    </row>
    <row r="3667" spans="4:13">
      <c r="E3667" s="261"/>
      <c r="F3667" s="261">
        <v>20</v>
      </c>
      <c r="G3667" s="261" t="s">
        <v>823</v>
      </c>
      <c r="H3667" s="260" t="s">
        <v>2690</v>
      </c>
      <c r="I3667" s="261">
        <f>I3098</f>
        <v>32.200000000000003</v>
      </c>
      <c r="J3667" s="261" t="s">
        <v>823</v>
      </c>
      <c r="K3667" s="261">
        <f t="shared" si="104"/>
        <v>644</v>
      </c>
      <c r="L3667" s="261"/>
      <c r="M3667" s="261"/>
    </row>
    <row r="3668" spans="4:13" ht="20.100000000000001" customHeight="1">
      <c r="E3668" s="261"/>
      <c r="F3668" s="261"/>
      <c r="G3668" s="261"/>
      <c r="H3668" s="272" t="s">
        <v>3199</v>
      </c>
      <c r="I3668" s="261"/>
      <c r="J3668" s="261"/>
      <c r="K3668" s="261"/>
      <c r="L3668" s="261"/>
      <c r="M3668" s="261"/>
    </row>
    <row r="3669" spans="4:13" ht="56.25" customHeight="1">
      <c r="E3669" s="261"/>
      <c r="F3669" s="261">
        <v>1</v>
      </c>
      <c r="G3669" s="261" t="s">
        <v>1389</v>
      </c>
      <c r="H3669" s="260" t="s">
        <v>3233</v>
      </c>
      <c r="I3669" s="261">
        <f>I3662</f>
        <v>281.56</v>
      </c>
      <c r="J3669" s="261" t="s">
        <v>1389</v>
      </c>
      <c r="K3669" s="261">
        <f>F3669*I3669</f>
        <v>281.56</v>
      </c>
      <c r="L3669" s="261"/>
      <c r="M3669" s="261"/>
    </row>
    <row r="3670" spans="4:13">
      <c r="E3670" s="261"/>
      <c r="F3670" s="261">
        <v>1</v>
      </c>
      <c r="G3670" s="261" t="s">
        <v>1389</v>
      </c>
      <c r="H3670" s="261" t="str">
        <f>Elec.Data!H839</f>
        <v>40 A single pole MCb isolator</v>
      </c>
      <c r="I3670" s="264">
        <f>Elec.Data!I839</f>
        <v>93.5</v>
      </c>
      <c r="J3670" s="261" t="s">
        <v>1389</v>
      </c>
      <c r="K3670" s="261">
        <f>F3670*I3670</f>
        <v>93.5</v>
      </c>
      <c r="L3670" s="261"/>
      <c r="M3670" s="261"/>
    </row>
    <row r="3671" spans="4:13">
      <c r="E3671" s="261"/>
      <c r="F3671" s="261">
        <v>1</v>
      </c>
      <c r="G3671" s="261" t="s">
        <v>1389</v>
      </c>
      <c r="H3671" s="261" t="s">
        <v>3836</v>
      </c>
      <c r="I3671" s="261">
        <v>93.5</v>
      </c>
      <c r="J3671" s="261" t="s">
        <v>1389</v>
      </c>
      <c r="K3671" s="261">
        <f>F3671*I3671</f>
        <v>93.5</v>
      </c>
      <c r="L3671" s="261"/>
      <c r="M3671" s="261"/>
    </row>
    <row r="3672" spans="4:13">
      <c r="E3672" s="261"/>
      <c r="F3672" s="261">
        <v>1</v>
      </c>
      <c r="G3672" s="261" t="s">
        <v>1389</v>
      </c>
      <c r="H3672" s="261" t="s">
        <v>3235</v>
      </c>
      <c r="I3672" s="261">
        <v>89.6</v>
      </c>
      <c r="J3672" s="261" t="s">
        <v>1389</v>
      </c>
      <c r="K3672" s="261">
        <f>F3672*I3672</f>
        <v>89.6</v>
      </c>
      <c r="L3672" s="261"/>
      <c r="M3672" s="261"/>
    </row>
    <row r="3673" spans="4:13">
      <c r="E3673" s="261"/>
      <c r="F3673" s="261">
        <v>1</v>
      </c>
      <c r="G3673" s="261" t="s">
        <v>1389</v>
      </c>
      <c r="H3673" s="261" t="s">
        <v>2816</v>
      </c>
      <c r="I3673" s="261">
        <f>K3677</f>
        <v>289.06</v>
      </c>
      <c r="J3673" s="261" t="s">
        <v>1389</v>
      </c>
      <c r="K3673" s="261">
        <f>F3673*I3673</f>
        <v>289.06</v>
      </c>
      <c r="L3673" s="261"/>
      <c r="M3673" s="261"/>
    </row>
    <row r="3674" spans="4:13">
      <c r="D3674" s="316">
        <f>0.6*0.225*0.02</f>
        <v>2.7000000000000001E-3</v>
      </c>
      <c r="E3674" s="261"/>
      <c r="F3674" s="261"/>
      <c r="G3674" s="261"/>
      <c r="H3674" s="261" t="s">
        <v>2610</v>
      </c>
      <c r="I3674" s="261"/>
      <c r="J3674" s="261"/>
      <c r="K3674" s="261">
        <f>K3627</f>
        <v>1781.67</v>
      </c>
      <c r="L3674" s="261"/>
      <c r="M3674" s="261"/>
    </row>
    <row r="3675" spans="4:13" ht="41.25" customHeight="1">
      <c r="E3675" s="261"/>
      <c r="F3675" s="261"/>
      <c r="G3675" s="261"/>
      <c r="H3675" s="260" t="s">
        <v>2611</v>
      </c>
      <c r="I3675" s="261"/>
      <c r="J3675" s="261"/>
      <c r="K3675" s="261">
        <f>8-0.09</f>
        <v>7.91</v>
      </c>
      <c r="L3675" s="261"/>
      <c r="M3675" s="261"/>
    </row>
    <row r="3676" spans="4:13" ht="24.95" customHeight="1">
      <c r="E3676" s="261"/>
      <c r="F3676" s="261"/>
      <c r="G3676" s="261"/>
      <c r="H3676" s="269" t="s">
        <v>1058</v>
      </c>
      <c r="I3676" s="261"/>
      <c r="J3676" s="261"/>
      <c r="K3676" s="272">
        <f>SUM(K3662:K3675)</f>
        <v>4106.17</v>
      </c>
      <c r="L3676" s="261"/>
      <c r="M3676" s="261">
        <f>4254-K3676</f>
        <v>147.83000000000001</v>
      </c>
    </row>
    <row r="3677" spans="4:13" ht="20.100000000000001" customHeight="1">
      <c r="E3677" s="261"/>
      <c r="F3677" s="261"/>
      <c r="G3677" s="261"/>
      <c r="H3677" s="272" t="s">
        <v>3209</v>
      </c>
      <c r="I3677" s="261">
        <f>I3628</f>
        <v>107060</v>
      </c>
      <c r="J3677" s="278">
        <v>2.7000000000000001E-3</v>
      </c>
      <c r="K3677" s="272">
        <f>I3677*J3677</f>
        <v>289.06</v>
      </c>
      <c r="L3677" s="261"/>
      <c r="M3677" s="261"/>
    </row>
    <row r="3678" spans="4:13">
      <c r="E3678" s="261"/>
      <c r="F3678" s="261"/>
      <c r="G3678" s="261"/>
      <c r="H3678" s="272" t="s">
        <v>2612</v>
      </c>
      <c r="I3678" s="261"/>
      <c r="J3678" s="261"/>
      <c r="K3678" s="261"/>
      <c r="L3678" s="261"/>
      <c r="M3678" s="261"/>
    </row>
    <row r="3679" spans="4:13">
      <c r="E3679" s="261"/>
      <c r="F3679" s="261"/>
      <c r="G3679" s="261"/>
      <c r="H3679" s="272"/>
      <c r="I3679" s="261"/>
      <c r="J3679" s="261"/>
      <c r="K3679" s="261"/>
      <c r="L3679" s="261"/>
      <c r="M3679" s="261"/>
    </row>
    <row r="3680" spans="4:13" ht="31.5">
      <c r="E3680" s="261"/>
      <c r="F3680" s="261"/>
      <c r="G3680" s="261"/>
      <c r="H3680" s="258" t="s">
        <v>1714</v>
      </c>
      <c r="I3680" s="261"/>
      <c r="J3680" s="261"/>
      <c r="K3680" s="261"/>
      <c r="L3680" s="261"/>
      <c r="M3680" s="261"/>
    </row>
    <row r="3681" spans="5:13">
      <c r="E3681" s="261"/>
      <c r="F3681" s="261"/>
      <c r="G3681" s="261"/>
      <c r="H3681" s="261" t="s">
        <v>794</v>
      </c>
      <c r="I3681" s="261"/>
      <c r="J3681" s="261"/>
      <c r="K3681" s="261"/>
      <c r="L3681" s="261"/>
      <c r="M3681" s="261"/>
    </row>
    <row r="3682" spans="5:13" ht="35.25" customHeight="1">
      <c r="E3682" s="261"/>
      <c r="F3682" s="261">
        <v>90</v>
      </c>
      <c r="G3682" s="261" t="s">
        <v>369</v>
      </c>
      <c r="H3682" s="260" t="s">
        <v>2204</v>
      </c>
      <c r="I3682" s="261">
        <f>I2996</f>
        <v>20</v>
      </c>
      <c r="J3682" s="261" t="s">
        <v>369</v>
      </c>
      <c r="K3682" s="261">
        <f>F3682*I3682</f>
        <v>1800</v>
      </c>
      <c r="L3682" s="261"/>
      <c r="M3682" s="261"/>
    </row>
    <row r="3683" spans="5:13">
      <c r="E3683" s="261"/>
      <c r="F3683" s="261">
        <v>0.15</v>
      </c>
      <c r="G3683" s="261" t="s">
        <v>525</v>
      </c>
      <c r="H3683" s="261" t="s">
        <v>859</v>
      </c>
      <c r="I3683" s="263">
        <f>Elec.Data!I852</f>
        <v>826</v>
      </c>
      <c r="J3683" s="261" t="s">
        <v>525</v>
      </c>
      <c r="K3683" s="261">
        <f>F3683*I3683</f>
        <v>123.9</v>
      </c>
      <c r="L3683" s="261"/>
      <c r="M3683" s="261"/>
    </row>
    <row r="3684" spans="5:13">
      <c r="E3684" s="261"/>
      <c r="F3684" s="261">
        <v>1</v>
      </c>
      <c r="G3684" s="261" t="s">
        <v>766</v>
      </c>
      <c r="H3684" s="261" t="s">
        <v>368</v>
      </c>
      <c r="I3684" s="261">
        <f>I3623</f>
        <v>826</v>
      </c>
      <c r="J3684" s="261" t="s">
        <v>766</v>
      </c>
      <c r="K3684" s="261">
        <f>F3684*I3684</f>
        <v>826</v>
      </c>
      <c r="L3684" s="261"/>
      <c r="M3684" s="261"/>
    </row>
    <row r="3685" spans="5:13">
      <c r="E3685" s="261"/>
      <c r="F3685" s="261">
        <v>2</v>
      </c>
      <c r="G3685" s="261" t="s">
        <v>766</v>
      </c>
      <c r="H3685" s="261" t="s">
        <v>1704</v>
      </c>
      <c r="I3685" s="263">
        <f>I2871</f>
        <v>932</v>
      </c>
      <c r="J3685" s="261" t="s">
        <v>766</v>
      </c>
      <c r="K3685" s="261">
        <f>F3685*I3685</f>
        <v>1864</v>
      </c>
      <c r="L3685" s="261"/>
      <c r="M3685" s="261"/>
    </row>
    <row r="3686" spans="5:13">
      <c r="E3686" s="261"/>
      <c r="F3686" s="261">
        <v>4</v>
      </c>
      <c r="G3686" s="261" t="s">
        <v>766</v>
      </c>
      <c r="H3686" s="261" t="s">
        <v>1280</v>
      </c>
      <c r="I3686" s="261">
        <f>I3590</f>
        <v>644</v>
      </c>
      <c r="J3686" s="261" t="s">
        <v>766</v>
      </c>
      <c r="K3686" s="261">
        <f>F3686*I3686</f>
        <v>2576</v>
      </c>
      <c r="L3686" s="261"/>
      <c r="M3686" s="261"/>
    </row>
    <row r="3687" spans="5:13" ht="30" customHeight="1">
      <c r="E3687" s="261"/>
      <c r="F3687" s="261"/>
      <c r="G3687" s="261"/>
      <c r="H3687" s="260" t="s">
        <v>370</v>
      </c>
      <c r="I3687" s="261"/>
      <c r="J3687" s="261"/>
      <c r="K3687" s="261">
        <v>50.5</v>
      </c>
      <c r="L3687" s="261"/>
      <c r="M3687" s="261"/>
    </row>
    <row r="3688" spans="5:13" ht="18.75" customHeight="1">
      <c r="E3688" s="261"/>
      <c r="F3688" s="261"/>
      <c r="G3688" s="261"/>
      <c r="H3688" s="269" t="s">
        <v>2257</v>
      </c>
      <c r="I3688" s="261"/>
      <c r="J3688" s="261"/>
      <c r="K3688" s="261">
        <f>SUM(K3682:K3687)</f>
        <v>7240.4</v>
      </c>
      <c r="L3688" s="261"/>
      <c r="M3688" s="261"/>
    </row>
    <row r="3689" spans="5:13" ht="18.75" customHeight="1">
      <c r="E3689" s="261"/>
      <c r="F3689" s="261"/>
      <c r="G3689" s="261"/>
      <c r="H3689" s="271" t="s">
        <v>1119</v>
      </c>
      <c r="I3689" s="261"/>
      <c r="J3689" s="261"/>
      <c r="K3689" s="272">
        <f>K3688/90</f>
        <v>80.45</v>
      </c>
      <c r="L3689" s="261">
        <f>60.7*90</f>
        <v>5463</v>
      </c>
      <c r="M3689" s="261"/>
    </row>
    <row r="3690" spans="5:13">
      <c r="E3690" s="261"/>
      <c r="F3690" s="261"/>
      <c r="G3690" s="261"/>
      <c r="H3690" s="261"/>
      <c r="I3690" s="261"/>
      <c r="J3690" s="261"/>
      <c r="K3690" s="261"/>
      <c r="L3690" s="261">
        <f>L3689-K3688</f>
        <v>-1777.4</v>
      </c>
      <c r="M3690" s="261"/>
    </row>
    <row r="3691" spans="5:13" ht="20.25" customHeight="1">
      <c r="E3691" s="261"/>
      <c r="F3691" s="261"/>
      <c r="G3691" s="261"/>
      <c r="H3691" s="272" t="s">
        <v>2613</v>
      </c>
      <c r="I3691" s="261"/>
      <c r="J3691" s="261"/>
      <c r="K3691" s="261"/>
      <c r="L3691" s="261"/>
      <c r="M3691" s="261"/>
    </row>
    <row r="3692" spans="5:13" ht="20.25" customHeight="1">
      <c r="E3692" s="261"/>
      <c r="F3692" s="261"/>
      <c r="G3692" s="261"/>
      <c r="H3692" s="261" t="s">
        <v>2614</v>
      </c>
      <c r="I3692" s="261"/>
      <c r="J3692" s="261"/>
      <c r="K3692" s="261">
        <f>K3689</f>
        <v>80.45</v>
      </c>
      <c r="L3692" s="261"/>
      <c r="M3692" s="261"/>
    </row>
    <row r="3693" spans="5:13" ht="20.25" customHeight="1">
      <c r="E3693" s="261"/>
      <c r="F3693" s="261">
        <v>1</v>
      </c>
      <c r="G3693" s="261" t="s">
        <v>823</v>
      </c>
      <c r="H3693" s="261" t="s">
        <v>2615</v>
      </c>
      <c r="I3693" s="261">
        <f>I3682</f>
        <v>20</v>
      </c>
      <c r="J3693" s="261" t="s">
        <v>823</v>
      </c>
      <c r="K3693" s="261">
        <f>F3693*I3693</f>
        <v>20</v>
      </c>
      <c r="L3693" s="261"/>
      <c r="M3693" s="261"/>
    </row>
    <row r="3694" spans="5:13" ht="20.25" customHeight="1">
      <c r="E3694" s="261"/>
      <c r="F3694" s="261">
        <v>1</v>
      </c>
      <c r="G3694" s="261" t="s">
        <v>823</v>
      </c>
      <c r="H3694" s="261">
        <f>Elec.Data!H863</f>
        <v>0</v>
      </c>
      <c r="I3694" s="263">
        <f>Elec.Data!I863</f>
        <v>0</v>
      </c>
      <c r="J3694" s="261" t="s">
        <v>823</v>
      </c>
      <c r="K3694" s="261">
        <f>F3694*I3694</f>
        <v>0</v>
      </c>
      <c r="L3694" s="261"/>
      <c r="M3694" s="261"/>
    </row>
    <row r="3695" spans="5:13" ht="20.25" customHeight="1">
      <c r="E3695" s="261"/>
      <c r="F3695" s="261"/>
      <c r="G3695" s="261"/>
      <c r="H3695" s="261"/>
      <c r="I3695" s="261"/>
      <c r="J3695" s="261"/>
      <c r="K3695" s="272">
        <f>(K3692-K3693)+K3694</f>
        <v>60.45</v>
      </c>
      <c r="L3695" s="261"/>
      <c r="M3695" s="261"/>
    </row>
    <row r="3696" spans="5:13" ht="20.25" customHeight="1">
      <c r="E3696" s="261"/>
      <c r="F3696" s="261"/>
      <c r="G3696" s="261"/>
      <c r="H3696" s="272" t="s">
        <v>2616</v>
      </c>
      <c r="I3696" s="261"/>
      <c r="J3696" s="261"/>
      <c r="K3696" s="261"/>
      <c r="L3696" s="261"/>
      <c r="M3696" s="261"/>
    </row>
    <row r="3697" spans="5:13">
      <c r="E3697" s="261"/>
      <c r="F3697" s="261"/>
      <c r="G3697" s="261"/>
      <c r="H3697" s="272"/>
      <c r="I3697" s="261"/>
      <c r="J3697" s="261"/>
      <c r="K3697" s="261"/>
      <c r="L3697" s="261"/>
      <c r="M3697" s="261"/>
    </row>
    <row r="3698" spans="5:13" ht="19.5" customHeight="1">
      <c r="E3698" s="261"/>
      <c r="F3698" s="261"/>
      <c r="G3698" s="261"/>
      <c r="H3698" s="272" t="s">
        <v>2617</v>
      </c>
      <c r="I3698" s="261"/>
      <c r="J3698" s="261"/>
      <c r="K3698" s="261"/>
      <c r="L3698" s="261"/>
      <c r="M3698" s="261"/>
    </row>
    <row r="3699" spans="5:13" ht="21.75" customHeight="1">
      <c r="E3699" s="261"/>
      <c r="F3699" s="261">
        <v>1</v>
      </c>
      <c r="G3699" s="261" t="s">
        <v>1389</v>
      </c>
      <c r="H3699" s="261" t="str">
        <f>Elec.Data!H868</f>
        <v>Hylem sheet</v>
      </c>
      <c r="I3699" s="263">
        <f>Elec.Data!I868</f>
        <v>661</v>
      </c>
      <c r="J3699" s="261" t="s">
        <v>1389</v>
      </c>
      <c r="K3699" s="261">
        <f>F3699*I3699</f>
        <v>661</v>
      </c>
      <c r="L3699" s="261"/>
      <c r="M3699" s="261"/>
    </row>
    <row r="3700" spans="5:13" ht="21.75" customHeight="1">
      <c r="E3700" s="261"/>
      <c r="F3700" s="265">
        <v>1.4999999999999999E-2</v>
      </c>
      <c r="G3700" s="261" t="s">
        <v>2273</v>
      </c>
      <c r="H3700" s="260" t="s">
        <v>3447</v>
      </c>
      <c r="I3700" s="261">
        <f>I3000</f>
        <v>661</v>
      </c>
      <c r="J3700" s="261" t="s">
        <v>2273</v>
      </c>
      <c r="K3700" s="261">
        <f>F3700*I3700</f>
        <v>9.92</v>
      </c>
      <c r="L3700" s="261"/>
      <c r="M3700" s="261"/>
    </row>
    <row r="3701" spans="5:13" ht="21.75" customHeight="1">
      <c r="E3701" s="261"/>
      <c r="F3701" s="261"/>
      <c r="G3701" s="261"/>
      <c r="H3701" s="261" t="s">
        <v>3437</v>
      </c>
      <c r="I3701" s="261"/>
      <c r="J3701" s="261" t="s">
        <v>654</v>
      </c>
      <c r="K3701" s="261">
        <v>5.84</v>
      </c>
      <c r="L3701" s="261"/>
      <c r="M3701" s="261"/>
    </row>
    <row r="3702" spans="5:13" ht="21.75" customHeight="1">
      <c r="E3702" s="261"/>
      <c r="F3702" s="261"/>
      <c r="G3702" s="261"/>
      <c r="H3702" s="271" t="s">
        <v>1058</v>
      </c>
      <c r="I3702" s="261"/>
      <c r="J3702" s="261"/>
      <c r="K3702" s="272">
        <f>SUM(K3699:K3701)</f>
        <v>676.76</v>
      </c>
      <c r="L3702" s="261"/>
      <c r="M3702" s="261"/>
    </row>
    <row r="3703" spans="5:13">
      <c r="E3703" s="261"/>
      <c r="F3703" s="261"/>
      <c r="G3703" s="261"/>
      <c r="H3703" s="261"/>
      <c r="I3703" s="261"/>
      <c r="J3703" s="261"/>
      <c r="K3703" s="261"/>
      <c r="L3703" s="261"/>
      <c r="M3703" s="261"/>
    </row>
    <row r="3704" spans="5:13">
      <c r="E3704" s="261"/>
      <c r="F3704" s="261"/>
      <c r="G3704" s="261"/>
      <c r="H3704" s="272" t="s">
        <v>3438</v>
      </c>
      <c r="I3704" s="261"/>
      <c r="J3704" s="261"/>
      <c r="K3704" s="261"/>
      <c r="L3704" s="261"/>
      <c r="M3704" s="261"/>
    </row>
    <row r="3705" spans="5:13">
      <c r="E3705" s="261"/>
      <c r="F3705" s="261"/>
      <c r="G3705" s="261"/>
      <c r="H3705" s="261"/>
      <c r="I3705" s="261"/>
      <c r="J3705" s="261"/>
      <c r="K3705" s="261"/>
      <c r="L3705" s="261"/>
      <c r="M3705" s="261"/>
    </row>
    <row r="3706" spans="5:13" ht="57.75" customHeight="1">
      <c r="E3706" s="261"/>
      <c r="F3706" s="261"/>
      <c r="G3706" s="261"/>
      <c r="H3706" s="260" t="s">
        <v>5642</v>
      </c>
      <c r="I3706" s="261"/>
      <c r="J3706" s="261"/>
      <c r="K3706" s="261"/>
      <c r="L3706" s="261"/>
      <c r="M3706" s="261"/>
    </row>
    <row r="3707" spans="5:13">
      <c r="E3707" s="261"/>
      <c r="F3707" s="261"/>
      <c r="G3707" s="261"/>
      <c r="H3707" s="261"/>
      <c r="I3707" s="261"/>
      <c r="J3707" s="261"/>
      <c r="K3707" s="261"/>
      <c r="L3707" s="261"/>
      <c r="M3707" s="261"/>
    </row>
    <row r="3708" spans="5:13" ht="21.75" customHeight="1">
      <c r="E3708" s="261"/>
      <c r="F3708" s="261">
        <v>1</v>
      </c>
      <c r="G3708" s="261" t="s">
        <v>1389</v>
      </c>
      <c r="H3708" s="261" t="str">
        <f>Elec.Data!H877</f>
        <v>Hylem sheet</v>
      </c>
      <c r="I3708" s="263">
        <f>Elec.Data!I877</f>
        <v>661</v>
      </c>
      <c r="J3708" s="261" t="s">
        <v>1389</v>
      </c>
      <c r="K3708" s="261">
        <f>F3708*I3708</f>
        <v>661</v>
      </c>
      <c r="L3708" s="261"/>
      <c r="M3708" s="261"/>
    </row>
    <row r="3709" spans="5:13" ht="21.75" customHeight="1">
      <c r="E3709" s="261"/>
      <c r="F3709" s="261">
        <v>0.01</v>
      </c>
      <c r="G3709" s="261" t="s">
        <v>3439</v>
      </c>
      <c r="H3709" s="261" t="s">
        <v>3447</v>
      </c>
      <c r="I3709" s="261">
        <f>I3700</f>
        <v>661</v>
      </c>
      <c r="J3709" s="261" t="s">
        <v>2273</v>
      </c>
      <c r="K3709" s="261">
        <f>F3709*I3709</f>
        <v>6.61</v>
      </c>
      <c r="L3709" s="261"/>
      <c r="M3709" s="261"/>
    </row>
    <row r="3710" spans="5:13" ht="21.75" customHeight="1">
      <c r="E3710" s="261"/>
      <c r="F3710" s="261">
        <v>1</v>
      </c>
      <c r="G3710" s="261" t="s">
        <v>1389</v>
      </c>
      <c r="H3710" s="261" t="s">
        <v>3440</v>
      </c>
      <c r="I3710" s="266" t="str">
        <f>Elec.Data!I879</f>
        <v>LS</v>
      </c>
      <c r="J3710" s="261" t="s">
        <v>1389</v>
      </c>
      <c r="K3710" s="261">
        <f>F3710*I3710</f>
        <v>0</v>
      </c>
      <c r="L3710" s="261"/>
      <c r="M3710" s="261"/>
    </row>
    <row r="3711" spans="5:13" ht="21.75" customHeight="1">
      <c r="E3711" s="261"/>
      <c r="F3711" s="261"/>
      <c r="G3711" s="261"/>
      <c r="H3711" s="261" t="s">
        <v>3441</v>
      </c>
      <c r="I3711" s="261" t="s">
        <v>654</v>
      </c>
      <c r="J3711" s="261"/>
      <c r="K3711" s="261">
        <v>7.08</v>
      </c>
      <c r="L3711" s="261"/>
      <c r="M3711" s="261"/>
    </row>
    <row r="3712" spans="5:13" ht="21.75" customHeight="1">
      <c r="E3712" s="261"/>
      <c r="F3712" s="261"/>
      <c r="G3712" s="261"/>
      <c r="H3712" s="271" t="s">
        <v>3442</v>
      </c>
      <c r="I3712" s="261"/>
      <c r="J3712" s="261"/>
      <c r="K3712" s="272">
        <f>SUM(K3708:K3711)</f>
        <v>674.69</v>
      </c>
      <c r="L3712" s="261"/>
      <c r="M3712" s="261">
        <f>54-K3712</f>
        <v>-620.69000000000005</v>
      </c>
    </row>
    <row r="3713" spans="5:13">
      <c r="E3713" s="261"/>
      <c r="F3713" s="261"/>
      <c r="G3713" s="261"/>
      <c r="H3713" s="261"/>
      <c r="I3713" s="261"/>
      <c r="J3713" s="261"/>
      <c r="K3713" s="261"/>
      <c r="L3713" s="261"/>
      <c r="M3713" s="261"/>
    </row>
    <row r="3714" spans="5:13">
      <c r="E3714" s="261"/>
      <c r="F3714" s="261"/>
      <c r="G3714" s="261"/>
      <c r="H3714" s="272" t="s">
        <v>3443</v>
      </c>
      <c r="I3714" s="261"/>
      <c r="J3714" s="261"/>
      <c r="K3714" s="261"/>
      <c r="L3714" s="261"/>
      <c r="M3714" s="261"/>
    </row>
    <row r="3715" spans="5:13">
      <c r="E3715" s="261"/>
      <c r="F3715" s="261"/>
      <c r="G3715" s="261"/>
      <c r="H3715" s="261"/>
      <c r="I3715" s="261"/>
      <c r="J3715" s="261"/>
      <c r="K3715" s="261"/>
      <c r="L3715" s="261"/>
      <c r="M3715" s="261"/>
    </row>
    <row r="3716" spans="5:13" ht="287.25" customHeight="1">
      <c r="E3716" s="261"/>
      <c r="F3716" s="261"/>
      <c r="G3716" s="261"/>
      <c r="H3716" s="317" t="s">
        <v>2954</v>
      </c>
      <c r="I3716" s="261"/>
      <c r="J3716" s="261"/>
      <c r="K3716" s="261"/>
      <c r="L3716" s="261"/>
      <c r="M3716" s="261"/>
    </row>
    <row r="3717" spans="5:13">
      <c r="E3717" s="261"/>
      <c r="F3717" s="261"/>
      <c r="G3717" s="261"/>
      <c r="H3717" s="261"/>
      <c r="I3717" s="261"/>
      <c r="J3717" s="261"/>
      <c r="K3717" s="261"/>
      <c r="L3717" s="261"/>
      <c r="M3717" s="261"/>
    </row>
    <row r="3718" spans="5:13" ht="22.5" customHeight="1">
      <c r="F3718" s="261">
        <v>6</v>
      </c>
      <c r="G3718" s="261" t="s">
        <v>823</v>
      </c>
      <c r="H3718" s="261" t="str">
        <f>Elec.Data!H887</f>
        <v>20 mm dia 'B' class GI pipe p- 50 it-142 iv</v>
      </c>
      <c r="I3718" s="263">
        <f>Elec.Data!I887</f>
        <v>98.6</v>
      </c>
      <c r="J3718" s="261" t="s">
        <v>823</v>
      </c>
      <c r="K3718" s="261">
        <f>F3718*I3718</f>
        <v>591.6</v>
      </c>
      <c r="L3718" s="261"/>
      <c r="M3718" s="261"/>
    </row>
    <row r="3719" spans="5:13" ht="22.5" customHeight="1">
      <c r="F3719" s="261">
        <v>2</v>
      </c>
      <c r="G3719" s="261" t="s">
        <v>823</v>
      </c>
      <c r="H3719" s="261" t="str">
        <f>Elec.Data!H888</f>
        <v>Base plate 45 cm x45 cm x 6mm thick [SD 98]</v>
      </c>
      <c r="I3719" s="263">
        <f>Elec.Data!I888</f>
        <v>225.4</v>
      </c>
      <c r="J3719" s="261" t="s">
        <v>823</v>
      </c>
      <c r="K3719" s="261">
        <f>F3719*I3719</f>
        <v>450.8</v>
      </c>
      <c r="L3719" s="261"/>
      <c r="M3719" s="261"/>
    </row>
    <row r="3720" spans="5:13" ht="22.5" customHeight="1">
      <c r="F3720" s="261">
        <v>1</v>
      </c>
      <c r="G3720" s="261" t="s">
        <v>1389</v>
      </c>
      <c r="H3720" s="261" t="s">
        <v>3373</v>
      </c>
      <c r="I3720" s="261">
        <v>130</v>
      </c>
      <c r="J3720" s="261" t="s">
        <v>1389</v>
      </c>
      <c r="K3720" s="261">
        <f>F3720*I3720</f>
        <v>130</v>
      </c>
      <c r="L3720" s="261"/>
      <c r="M3720" s="261"/>
    </row>
    <row r="3721" spans="5:13" ht="22.5" customHeight="1">
      <c r="F3721" s="261">
        <v>1</v>
      </c>
      <c r="G3721" s="261" t="s">
        <v>1389</v>
      </c>
      <c r="H3721" s="261" t="s">
        <v>4281</v>
      </c>
      <c r="I3721" s="264">
        <f>Elec.Data!I890</f>
        <v>6400</v>
      </c>
      <c r="J3721" s="261" t="s">
        <v>1389</v>
      </c>
      <c r="K3721" s="261">
        <f>F3721*I3721</f>
        <v>6400</v>
      </c>
      <c r="L3721" s="261"/>
      <c r="M3721" s="261"/>
    </row>
    <row r="3722" spans="5:13" ht="22.5" customHeight="1">
      <c r="F3722" s="265">
        <v>0.23799999999999999</v>
      </c>
      <c r="G3722" s="261" t="s">
        <v>2142</v>
      </c>
      <c r="H3722" s="261" t="s">
        <v>2814</v>
      </c>
      <c r="I3722" s="263" t="str">
        <f>Elec.Data!I891</f>
        <v>LS</v>
      </c>
      <c r="J3722" s="261" t="s">
        <v>2142</v>
      </c>
      <c r="K3722" s="261">
        <f>F3722*I3722</f>
        <v>0</v>
      </c>
      <c r="L3722" s="261"/>
      <c r="M3722" s="261"/>
    </row>
    <row r="3723" spans="5:13" ht="43.5" customHeight="1">
      <c r="F3723" s="261"/>
      <c r="G3723" s="261" t="s">
        <v>654</v>
      </c>
      <c r="H3723" s="260" t="s">
        <v>3036</v>
      </c>
      <c r="I3723" s="261" t="s">
        <v>654</v>
      </c>
      <c r="J3723" s="261"/>
      <c r="K3723" s="261">
        <v>226.3</v>
      </c>
      <c r="L3723" s="261"/>
      <c r="M3723" s="261"/>
    </row>
    <row r="3724" spans="5:13" ht="60.75" customHeight="1">
      <c r="F3724" s="261">
        <v>1</v>
      </c>
      <c r="G3724" s="261" t="s">
        <v>1389</v>
      </c>
      <c r="H3724" s="260" t="s">
        <v>2702</v>
      </c>
      <c r="I3724" s="261" t="s">
        <v>654</v>
      </c>
      <c r="J3724" s="261"/>
      <c r="K3724" s="261">
        <v>64.3</v>
      </c>
      <c r="L3724" s="261">
        <f>5300-5225.8</f>
        <v>74.2</v>
      </c>
      <c r="M3724" s="261"/>
    </row>
    <row r="3725" spans="5:13" ht="37.5" customHeight="1">
      <c r="F3725" s="261">
        <v>8</v>
      </c>
      <c r="G3725" s="261" t="s">
        <v>823</v>
      </c>
      <c r="H3725" s="260" t="s">
        <v>2703</v>
      </c>
      <c r="I3725" s="261">
        <f>I2843</f>
        <v>16.55</v>
      </c>
      <c r="J3725" s="261"/>
      <c r="K3725" s="261">
        <f>F3725*I3725</f>
        <v>132.4</v>
      </c>
      <c r="L3725" s="261"/>
      <c r="M3725" s="261"/>
    </row>
    <row r="3726" spans="5:13">
      <c r="E3726" s="261"/>
      <c r="F3726" s="261"/>
      <c r="G3726" s="261"/>
      <c r="H3726" s="261" t="s">
        <v>911</v>
      </c>
      <c r="I3726" s="261"/>
      <c r="J3726" s="261"/>
      <c r="K3726" s="261">
        <f>K3733</f>
        <v>3341</v>
      </c>
      <c r="L3726" s="261"/>
      <c r="M3726" s="261"/>
    </row>
    <row r="3727" spans="5:13">
      <c r="E3727" s="261"/>
      <c r="F3727" s="261"/>
      <c r="G3727" s="261"/>
      <c r="H3727" s="271" t="s">
        <v>1058</v>
      </c>
      <c r="I3727" s="261"/>
      <c r="J3727" s="261"/>
      <c r="K3727" s="272">
        <f>SUM(K3718:K3726)</f>
        <v>11336.4</v>
      </c>
      <c r="L3727" s="261"/>
      <c r="M3727" s="261">
        <f>5120-K3727</f>
        <v>-6216.4</v>
      </c>
    </row>
    <row r="3728" spans="5:13" ht="3.75" customHeight="1">
      <c r="E3728" s="261"/>
      <c r="F3728" s="261"/>
      <c r="G3728" s="261"/>
      <c r="H3728" s="261"/>
      <c r="I3728" s="261"/>
      <c r="J3728" s="261"/>
      <c r="K3728" s="261"/>
      <c r="L3728" s="261"/>
      <c r="M3728" s="261"/>
    </row>
    <row r="3729" spans="5:13">
      <c r="E3729" s="261"/>
      <c r="F3729" s="261"/>
      <c r="G3729" s="261"/>
      <c r="H3729" s="270" t="s">
        <v>140</v>
      </c>
      <c r="I3729" s="261"/>
      <c r="J3729" s="261"/>
      <c r="K3729" s="261"/>
      <c r="L3729" s="261"/>
      <c r="M3729" s="261"/>
    </row>
    <row r="3730" spans="5:13">
      <c r="E3730" s="261"/>
      <c r="F3730" s="261">
        <v>0.5</v>
      </c>
      <c r="G3730" s="261" t="s">
        <v>1389</v>
      </c>
      <c r="H3730" s="261" t="s">
        <v>2744</v>
      </c>
      <c r="I3730" s="261">
        <f>I3623</f>
        <v>826</v>
      </c>
      <c r="J3730" s="261" t="s">
        <v>1389</v>
      </c>
      <c r="K3730" s="261">
        <f>F3730*I3730</f>
        <v>413</v>
      </c>
      <c r="L3730" s="261"/>
      <c r="M3730" s="261"/>
    </row>
    <row r="3731" spans="5:13">
      <c r="E3731" s="261"/>
      <c r="F3731" s="261">
        <v>2</v>
      </c>
      <c r="G3731" s="261" t="s">
        <v>1389</v>
      </c>
      <c r="H3731" s="261" t="s">
        <v>2575</v>
      </c>
      <c r="I3731" s="261">
        <f>I3624</f>
        <v>820</v>
      </c>
      <c r="J3731" s="261" t="s">
        <v>1389</v>
      </c>
      <c r="K3731" s="261">
        <f>F3731*I3731</f>
        <v>1640</v>
      </c>
      <c r="L3731" s="261"/>
      <c r="M3731" s="261"/>
    </row>
    <row r="3732" spans="5:13">
      <c r="E3732" s="261"/>
      <c r="F3732" s="261">
        <v>2</v>
      </c>
      <c r="G3732" s="261" t="s">
        <v>1389</v>
      </c>
      <c r="H3732" s="261" t="s">
        <v>2321</v>
      </c>
      <c r="I3732" s="261">
        <f>I3625</f>
        <v>644</v>
      </c>
      <c r="J3732" s="261" t="s">
        <v>1389</v>
      </c>
      <c r="K3732" s="261">
        <f>F3732*I3732</f>
        <v>1288</v>
      </c>
      <c r="L3732" s="261"/>
      <c r="M3732" s="261"/>
    </row>
    <row r="3733" spans="5:13">
      <c r="E3733" s="261"/>
      <c r="F3733" s="261"/>
      <c r="G3733" s="261"/>
      <c r="H3733" s="261"/>
      <c r="I3733" s="261"/>
      <c r="J3733" s="261"/>
      <c r="K3733" s="270">
        <f>SUM(K3730:K3732)</f>
        <v>3341</v>
      </c>
      <c r="L3733" s="261"/>
      <c r="M3733" s="261"/>
    </row>
    <row r="3734" spans="5:13">
      <c r="E3734" s="261"/>
      <c r="F3734" s="261"/>
      <c r="G3734" s="261"/>
      <c r="H3734" s="261"/>
      <c r="I3734" s="261"/>
      <c r="J3734" s="261"/>
      <c r="K3734" s="261"/>
      <c r="L3734" s="261"/>
      <c r="M3734" s="261"/>
    </row>
    <row r="3735" spans="5:13" ht="24.95" customHeight="1">
      <c r="E3735" s="261"/>
      <c r="F3735" s="261"/>
      <c r="G3735" s="261"/>
      <c r="H3735" s="272" t="s">
        <v>2704</v>
      </c>
      <c r="I3735" s="261"/>
      <c r="J3735" s="261"/>
      <c r="K3735" s="261"/>
      <c r="L3735" s="261"/>
      <c r="M3735" s="261"/>
    </row>
    <row r="3736" spans="5:13">
      <c r="E3736" s="261"/>
      <c r="F3736" s="261"/>
      <c r="G3736" s="261"/>
      <c r="H3736" s="261"/>
      <c r="I3736" s="261"/>
      <c r="J3736" s="261"/>
      <c r="K3736" s="261"/>
      <c r="L3736" s="261"/>
      <c r="M3736" s="261"/>
    </row>
    <row r="3737" spans="5:13" ht="24.95" customHeight="1">
      <c r="E3737" s="261"/>
      <c r="F3737" s="261"/>
      <c r="G3737" s="261"/>
      <c r="H3737" s="272" t="s">
        <v>2705</v>
      </c>
      <c r="I3737" s="261"/>
      <c r="J3737" s="261"/>
      <c r="K3737" s="261"/>
      <c r="L3737" s="261"/>
      <c r="M3737" s="261"/>
    </row>
    <row r="3738" spans="5:13">
      <c r="E3738" s="261"/>
      <c r="F3738" s="261"/>
      <c r="G3738" s="261"/>
      <c r="H3738" s="261"/>
      <c r="I3738" s="261"/>
      <c r="J3738" s="261"/>
      <c r="K3738" s="261"/>
      <c r="L3738" s="261"/>
      <c r="M3738" s="261"/>
    </row>
    <row r="3739" spans="5:13">
      <c r="E3739" s="261"/>
      <c r="F3739" s="261">
        <v>1</v>
      </c>
      <c r="G3739" s="261" t="s">
        <v>1389</v>
      </c>
      <c r="H3739" s="261" t="s">
        <v>4282</v>
      </c>
      <c r="I3739" s="300">
        <v>1155</v>
      </c>
      <c r="J3739" s="261" t="s">
        <v>1389</v>
      </c>
      <c r="K3739" s="261">
        <f>F3739*I3739</f>
        <v>1155</v>
      </c>
      <c r="L3739" s="261"/>
      <c r="M3739" s="261"/>
    </row>
    <row r="3740" spans="5:13" ht="30.75" customHeight="1">
      <c r="E3740" s="261"/>
      <c r="F3740" s="261"/>
      <c r="G3740" s="261"/>
      <c r="H3740" s="261" t="s">
        <v>2452</v>
      </c>
      <c r="I3740" s="263">
        <v>197</v>
      </c>
      <c r="J3740" s="261" t="s">
        <v>1389</v>
      </c>
      <c r="K3740" s="261">
        <f>I3740</f>
        <v>197</v>
      </c>
      <c r="L3740" s="261"/>
      <c r="M3740" s="261"/>
    </row>
    <row r="3741" spans="5:13" ht="39" customHeight="1">
      <c r="E3741" s="261"/>
      <c r="F3741" s="261"/>
      <c r="G3741" s="261"/>
      <c r="H3741" s="260" t="s">
        <v>5762</v>
      </c>
      <c r="I3741" s="261"/>
      <c r="J3741" s="261"/>
      <c r="K3741" s="263">
        <v>18.5</v>
      </c>
      <c r="L3741" s="261"/>
      <c r="M3741" s="261"/>
    </row>
    <row r="3742" spans="5:13">
      <c r="E3742" s="261"/>
      <c r="F3742" s="261"/>
      <c r="G3742" s="261"/>
      <c r="H3742" s="261" t="s">
        <v>2842</v>
      </c>
      <c r="I3742" s="261"/>
      <c r="J3742" s="261">
        <f>SUM(K3739:K3741)</f>
        <v>1370.5</v>
      </c>
      <c r="K3742" s="261">
        <f>J3742*1%</f>
        <v>13.71</v>
      </c>
      <c r="L3742" s="261"/>
      <c r="M3742" s="261"/>
    </row>
    <row r="3743" spans="5:13">
      <c r="E3743" s="261"/>
      <c r="F3743" s="261"/>
      <c r="G3743" s="261"/>
      <c r="H3743" s="261" t="s">
        <v>2843</v>
      </c>
      <c r="I3743" s="261"/>
      <c r="J3743" s="261"/>
      <c r="K3743" s="261">
        <f>K3750</f>
        <v>528.5</v>
      </c>
      <c r="L3743" s="261"/>
      <c r="M3743" s="261"/>
    </row>
    <row r="3744" spans="5:13" ht="24.95" customHeight="1">
      <c r="E3744" s="261"/>
      <c r="F3744" s="261"/>
      <c r="G3744" s="261"/>
      <c r="H3744" s="271" t="s">
        <v>2844</v>
      </c>
      <c r="I3744" s="261"/>
      <c r="J3744" s="261"/>
      <c r="K3744" s="272">
        <f>SUM(K3739:K3743)</f>
        <v>1912.71</v>
      </c>
      <c r="L3744" s="261"/>
      <c r="M3744" s="261">
        <f>1883-K3744</f>
        <v>-29.71</v>
      </c>
    </row>
    <row r="3745" spans="5:13">
      <c r="E3745" s="261"/>
      <c r="F3745" s="261"/>
      <c r="G3745" s="261"/>
      <c r="H3745" s="261"/>
      <c r="I3745" s="261"/>
      <c r="J3745" s="261"/>
      <c r="K3745" s="261"/>
      <c r="L3745" s="261"/>
      <c r="M3745" s="261"/>
    </row>
    <row r="3746" spans="5:13">
      <c r="E3746" s="261"/>
      <c r="F3746" s="261"/>
      <c r="G3746" s="261"/>
      <c r="H3746" s="270" t="s">
        <v>911</v>
      </c>
      <c r="I3746" s="261"/>
      <c r="J3746" s="261"/>
      <c r="K3746" s="261"/>
      <c r="L3746" s="261"/>
      <c r="M3746" s="261"/>
    </row>
    <row r="3747" spans="5:13">
      <c r="E3747" s="261"/>
      <c r="F3747" s="261">
        <v>1</v>
      </c>
      <c r="G3747" s="261" t="s">
        <v>1389</v>
      </c>
      <c r="H3747" s="261" t="s">
        <v>2744</v>
      </c>
      <c r="I3747" s="261">
        <f>I3730</f>
        <v>826</v>
      </c>
      <c r="J3747" s="261" t="s">
        <v>1389</v>
      </c>
      <c r="K3747" s="261">
        <f>F3747*I3747</f>
        <v>826</v>
      </c>
      <c r="L3747" s="261"/>
      <c r="M3747" s="261"/>
    </row>
    <row r="3748" spans="5:13">
      <c r="E3748" s="261"/>
      <c r="F3748" s="261">
        <v>2</v>
      </c>
      <c r="G3748" s="261" t="s">
        <v>1389</v>
      </c>
      <c r="H3748" s="261" t="s">
        <v>2321</v>
      </c>
      <c r="I3748" s="261">
        <f>I3732</f>
        <v>644</v>
      </c>
      <c r="J3748" s="261" t="s">
        <v>1389</v>
      </c>
      <c r="K3748" s="261">
        <f>F3748*I3748</f>
        <v>1288</v>
      </c>
      <c r="L3748" s="261"/>
      <c r="M3748" s="261"/>
    </row>
    <row r="3749" spans="5:13">
      <c r="E3749" s="261"/>
      <c r="F3749" s="261"/>
      <c r="G3749" s="261"/>
      <c r="H3749" s="269" t="s">
        <v>2845</v>
      </c>
      <c r="I3749" s="261"/>
      <c r="J3749" s="261"/>
      <c r="K3749" s="270">
        <f>SUM(K3747:K3748)</f>
        <v>2114</v>
      </c>
      <c r="L3749" s="261"/>
      <c r="M3749" s="261"/>
    </row>
    <row r="3750" spans="5:13" ht="24.95" customHeight="1">
      <c r="E3750" s="261"/>
      <c r="F3750" s="261"/>
      <c r="G3750" s="261"/>
      <c r="H3750" s="271" t="s">
        <v>2770</v>
      </c>
      <c r="I3750" s="261"/>
      <c r="J3750" s="261"/>
      <c r="K3750" s="272">
        <f>K3749/4</f>
        <v>528.5</v>
      </c>
      <c r="L3750" s="261"/>
      <c r="M3750" s="261"/>
    </row>
    <row r="3751" spans="5:13">
      <c r="E3751" s="261"/>
      <c r="F3751" s="261"/>
      <c r="G3751" s="261"/>
      <c r="H3751" s="261"/>
      <c r="I3751" s="261"/>
      <c r="J3751" s="261"/>
      <c r="K3751" s="261"/>
      <c r="L3751" s="261"/>
      <c r="M3751" s="261"/>
    </row>
    <row r="3752" spans="5:13">
      <c r="E3752" s="261"/>
      <c r="F3752" s="261"/>
      <c r="G3752" s="261"/>
      <c r="H3752" s="261"/>
      <c r="I3752" s="261"/>
      <c r="J3752" s="261"/>
      <c r="K3752" s="261"/>
      <c r="L3752" s="261"/>
      <c r="M3752" s="261"/>
    </row>
    <row r="3753" spans="5:13" ht="24.95" customHeight="1">
      <c r="E3753" s="261"/>
      <c r="F3753" s="261"/>
      <c r="G3753" s="261"/>
      <c r="H3753" s="272" t="s">
        <v>2846</v>
      </c>
      <c r="I3753" s="261"/>
      <c r="J3753" s="261"/>
      <c r="K3753" s="261"/>
      <c r="L3753" s="261"/>
      <c r="M3753" s="261"/>
    </row>
    <row r="3754" spans="5:13">
      <c r="E3754" s="261"/>
      <c r="F3754" s="261"/>
      <c r="G3754" s="261"/>
      <c r="H3754" s="261"/>
      <c r="I3754" s="261"/>
      <c r="J3754" s="261"/>
      <c r="K3754" s="261"/>
      <c r="L3754" s="261"/>
      <c r="M3754" s="261"/>
    </row>
    <row r="3755" spans="5:13" ht="24.95" customHeight="1">
      <c r="E3755" s="261"/>
      <c r="F3755" s="261"/>
      <c r="G3755" s="261"/>
      <c r="H3755" s="272" t="s">
        <v>2847</v>
      </c>
      <c r="I3755" s="261"/>
      <c r="J3755" s="261"/>
      <c r="K3755" s="261"/>
      <c r="L3755" s="261"/>
      <c r="M3755" s="261"/>
    </row>
    <row r="3756" spans="5:13">
      <c r="E3756" s="261"/>
      <c r="F3756" s="261"/>
      <c r="G3756" s="261"/>
      <c r="H3756" s="261"/>
      <c r="I3756" s="261"/>
      <c r="J3756" s="261"/>
      <c r="K3756" s="261"/>
      <c r="L3756" s="261"/>
      <c r="M3756" s="261"/>
    </row>
    <row r="3757" spans="5:13">
      <c r="E3757" s="261"/>
      <c r="F3757" s="261"/>
      <c r="G3757" s="261"/>
      <c r="H3757" s="261" t="s">
        <v>4283</v>
      </c>
      <c r="I3757" s="300">
        <v>1010</v>
      </c>
      <c r="J3757" s="261" t="s">
        <v>1389</v>
      </c>
      <c r="K3757" s="261">
        <f>I3757</f>
        <v>1010</v>
      </c>
      <c r="L3757" s="261"/>
      <c r="M3757" s="261"/>
    </row>
    <row r="3758" spans="5:13">
      <c r="E3758" s="261"/>
      <c r="F3758" s="261"/>
      <c r="G3758" s="261"/>
      <c r="H3758" s="261" t="s">
        <v>2452</v>
      </c>
      <c r="I3758" s="261">
        <f>I3740</f>
        <v>197</v>
      </c>
      <c r="J3758" s="261" t="s">
        <v>1389</v>
      </c>
      <c r="K3758" s="261">
        <f>I3758</f>
        <v>197</v>
      </c>
      <c r="L3758" s="261"/>
      <c r="M3758" s="261"/>
    </row>
    <row r="3759" spans="5:13" ht="31.5">
      <c r="E3759" s="261"/>
      <c r="F3759" s="261"/>
      <c r="G3759" s="261"/>
      <c r="H3759" s="260" t="s">
        <v>2841</v>
      </c>
      <c r="I3759" s="261"/>
      <c r="J3759" s="261"/>
      <c r="K3759" s="261">
        <f>K3741</f>
        <v>18.5</v>
      </c>
      <c r="L3759" s="261"/>
      <c r="M3759" s="261"/>
    </row>
    <row r="3760" spans="5:13">
      <c r="E3760" s="261"/>
      <c r="F3760" s="261"/>
      <c r="G3760" s="261"/>
      <c r="H3760" s="261" t="s">
        <v>2842</v>
      </c>
      <c r="I3760" s="261"/>
      <c r="J3760" s="261"/>
      <c r="K3760" s="261">
        <f>K3742</f>
        <v>13.71</v>
      </c>
      <c r="L3760" s="261"/>
      <c r="M3760" s="261"/>
    </row>
    <row r="3761" spans="5:18">
      <c r="E3761" s="261"/>
      <c r="F3761" s="261"/>
      <c r="G3761" s="261"/>
      <c r="H3761" s="261" t="s">
        <v>2843</v>
      </c>
      <c r="I3761" s="261"/>
      <c r="J3761" s="261"/>
      <c r="K3761" s="261">
        <f>K3743</f>
        <v>528.5</v>
      </c>
      <c r="L3761" s="261"/>
      <c r="M3761" s="261"/>
    </row>
    <row r="3762" spans="5:18" ht="24.95" customHeight="1">
      <c r="E3762" s="261"/>
      <c r="F3762" s="261"/>
      <c r="G3762" s="261"/>
      <c r="H3762" s="271" t="s">
        <v>2844</v>
      </c>
      <c r="I3762" s="261"/>
      <c r="J3762" s="261"/>
      <c r="K3762" s="272">
        <f>SUM(K3757:K3761)</f>
        <v>1767.71</v>
      </c>
      <c r="L3762" s="261"/>
      <c r="M3762" s="261"/>
    </row>
    <row r="3763" spans="5:18">
      <c r="E3763" s="261"/>
      <c r="F3763" s="261"/>
      <c r="G3763" s="261"/>
      <c r="H3763" s="261"/>
      <c r="I3763" s="261"/>
      <c r="J3763" s="261"/>
      <c r="K3763" s="261"/>
      <c r="L3763" s="261"/>
      <c r="M3763" s="261"/>
    </row>
    <row r="3764" spans="5:18" ht="24.95" customHeight="1">
      <c r="E3764" s="261"/>
      <c r="F3764" s="261"/>
      <c r="G3764" s="261"/>
      <c r="H3764" s="272" t="s">
        <v>2848</v>
      </c>
      <c r="I3764" s="261"/>
      <c r="J3764" s="261"/>
      <c r="K3764" s="261"/>
      <c r="L3764" s="261"/>
      <c r="M3764" s="261"/>
    </row>
    <row r="3765" spans="5:18" ht="24.95" customHeight="1">
      <c r="E3765" s="261"/>
      <c r="F3765" s="261">
        <v>1</v>
      </c>
      <c r="G3765" s="261" t="s">
        <v>1389</v>
      </c>
      <c r="H3765" s="261" t="str">
        <f>Elec.Data!H934</f>
        <v>Cost of electronic regulator( Part- B 1 d p-117</v>
      </c>
      <c r="I3765" s="263">
        <f>Elec.Data!I934</f>
        <v>185.9</v>
      </c>
      <c r="J3765" s="261" t="s">
        <v>1389</v>
      </c>
      <c r="K3765" s="261">
        <f>F3765*I3765</f>
        <v>185.9</v>
      </c>
      <c r="L3765" s="261"/>
      <c r="M3765" s="261"/>
    </row>
    <row r="3766" spans="5:18" ht="24.95" customHeight="1">
      <c r="E3766" s="261"/>
      <c r="F3766" s="261">
        <v>1</v>
      </c>
      <c r="G3766" s="261" t="s">
        <v>1389</v>
      </c>
      <c r="H3766" s="261" t="s">
        <v>2420</v>
      </c>
      <c r="I3766" s="263">
        <f>Elec.Data!I935</f>
        <v>0</v>
      </c>
      <c r="J3766" s="261" t="s">
        <v>1389</v>
      </c>
      <c r="K3766" s="261">
        <f>F3766*I3766</f>
        <v>0</v>
      </c>
      <c r="L3766" s="261"/>
      <c r="M3766" s="261"/>
    </row>
    <row r="3767" spans="5:18" ht="24.95" customHeight="1">
      <c r="E3767" s="261"/>
      <c r="F3767" s="261"/>
      <c r="G3767" s="261"/>
      <c r="H3767" s="271" t="s">
        <v>2844</v>
      </c>
      <c r="I3767" s="261"/>
      <c r="J3767" s="261"/>
      <c r="K3767" s="272">
        <f>SUM(K3765:K3766)</f>
        <v>185.9</v>
      </c>
      <c r="L3767" s="261"/>
      <c r="M3767" s="261"/>
    </row>
    <row r="3768" spans="5:18" ht="23.25" customHeight="1">
      <c r="E3768" s="261"/>
      <c r="F3768" s="261"/>
      <c r="G3768" s="261"/>
      <c r="H3768" s="271"/>
      <c r="I3768" s="261"/>
      <c r="J3768" s="261"/>
      <c r="K3768" s="272"/>
      <c r="L3768" s="261"/>
      <c r="M3768" s="261"/>
    </row>
    <row r="3769" spans="5:18" ht="24.95" customHeight="1">
      <c r="E3769" s="261"/>
      <c r="F3769" s="261"/>
      <c r="G3769" s="261"/>
      <c r="H3769" s="318" t="s">
        <v>3835</v>
      </c>
      <c r="I3769" s="261"/>
      <c r="J3769" s="261"/>
      <c r="K3769" s="261"/>
      <c r="L3769" s="261"/>
      <c r="M3769" s="261"/>
      <c r="N3769" s="318" t="s">
        <v>3834</v>
      </c>
      <c r="O3769" s="261"/>
      <c r="P3769" s="261"/>
      <c r="Q3769" s="261"/>
    </row>
    <row r="3770" spans="5:18" ht="24.95" customHeight="1">
      <c r="E3770" s="261"/>
      <c r="F3770" s="261">
        <v>1</v>
      </c>
      <c r="G3770" s="261" t="s">
        <v>1389</v>
      </c>
      <c r="H3770" s="261" t="str">
        <f>Elec.Data!H939</f>
        <v>slim tube light 36 w P-112 4 B</v>
      </c>
      <c r="I3770" s="264">
        <f>Elec.Data!I939</f>
        <v>36.200000000000003</v>
      </c>
      <c r="J3770" s="261" t="s">
        <v>1389</v>
      </c>
      <c r="K3770" s="261">
        <f>F3770*I3770</f>
        <v>36.200000000000003</v>
      </c>
      <c r="L3770" s="261">
        <v>1</v>
      </c>
      <c r="M3770" s="261" t="s">
        <v>1389</v>
      </c>
      <c r="O3770" s="261" t="s">
        <v>2422</v>
      </c>
      <c r="P3770" s="264">
        <v>529</v>
      </c>
      <c r="Q3770" s="261" t="s">
        <v>1389</v>
      </c>
      <c r="R3770" s="261">
        <f>L3770*P3770</f>
        <v>529</v>
      </c>
    </row>
    <row r="3771" spans="5:18" ht="24.95" customHeight="1">
      <c r="E3771" s="261"/>
      <c r="F3771" s="261">
        <v>1</v>
      </c>
      <c r="G3771" s="261" t="s">
        <v>1389</v>
      </c>
      <c r="H3771" s="261" t="s">
        <v>2423</v>
      </c>
      <c r="I3771" s="300">
        <f>Elec.Data!I947</f>
        <v>0</v>
      </c>
      <c r="J3771" s="261" t="s">
        <v>1389</v>
      </c>
      <c r="K3771" s="261">
        <f>F3771*I3771</f>
        <v>0</v>
      </c>
      <c r="L3771" s="261">
        <v>1</v>
      </c>
      <c r="M3771" s="261" t="s">
        <v>1389</v>
      </c>
      <c r="O3771" s="261" t="s">
        <v>3833</v>
      </c>
      <c r="P3771" s="300">
        <v>42.3</v>
      </c>
      <c r="Q3771" s="261" t="s">
        <v>1389</v>
      </c>
      <c r="R3771" s="261">
        <f>L3771*P3771</f>
        <v>42.3</v>
      </c>
    </row>
    <row r="3772" spans="5:18" ht="24.95" customHeight="1">
      <c r="E3772" s="261"/>
      <c r="F3772" s="261"/>
      <c r="G3772" s="261"/>
      <c r="H3772" s="261" t="s">
        <v>2424</v>
      </c>
      <c r="I3772" s="261"/>
      <c r="J3772" s="261"/>
      <c r="K3772" s="261">
        <f>K3244</f>
        <v>311.63</v>
      </c>
      <c r="L3772" s="261"/>
      <c r="M3772" s="261"/>
      <c r="O3772" s="261" t="s">
        <v>2424</v>
      </c>
      <c r="P3772" s="261"/>
      <c r="Q3772" s="261"/>
      <c r="R3772" s="261">
        <f>K3244</f>
        <v>311.63</v>
      </c>
    </row>
    <row r="3773" spans="5:18" ht="24.95" customHeight="1">
      <c r="E3773" s="261"/>
      <c r="F3773" s="261"/>
      <c r="G3773" s="261"/>
      <c r="H3773" s="261" t="s">
        <v>2261</v>
      </c>
      <c r="I3773" s="261"/>
      <c r="J3773" s="261"/>
      <c r="K3773" s="261">
        <v>1.4</v>
      </c>
      <c r="L3773" s="261"/>
      <c r="M3773" s="261"/>
      <c r="O3773" s="261" t="s">
        <v>2261</v>
      </c>
      <c r="P3773" s="261"/>
      <c r="Q3773" s="261"/>
      <c r="R3773" s="261">
        <v>0.7</v>
      </c>
    </row>
    <row r="3774" spans="5:18" ht="24.95" customHeight="1">
      <c r="E3774" s="261"/>
      <c r="F3774" s="261"/>
      <c r="G3774" s="261"/>
      <c r="H3774" s="271" t="s">
        <v>2844</v>
      </c>
      <c r="I3774" s="261"/>
      <c r="J3774" s="261"/>
      <c r="K3774" s="272">
        <f>SUM(K3770:K3773)</f>
        <v>349.23</v>
      </c>
      <c r="L3774" s="261"/>
      <c r="M3774" s="261"/>
      <c r="O3774" s="271" t="s">
        <v>2844</v>
      </c>
      <c r="P3774" s="261"/>
      <c r="Q3774" s="261"/>
      <c r="R3774" s="272">
        <f>SUM(R3770:R3773)</f>
        <v>883.63</v>
      </c>
    </row>
    <row r="3775" spans="5:18">
      <c r="E3775" s="261"/>
      <c r="F3775" s="261"/>
      <c r="G3775" s="261"/>
      <c r="H3775" s="261"/>
      <c r="I3775" s="261"/>
      <c r="J3775" s="261"/>
      <c r="K3775" s="261"/>
      <c r="L3775" s="261"/>
      <c r="M3775" s="261"/>
      <c r="O3775" s="261"/>
      <c r="P3775" s="261"/>
      <c r="Q3775" s="261"/>
      <c r="R3775" s="261"/>
    </row>
    <row r="3776" spans="5:18" ht="24.95" customHeight="1">
      <c r="E3776" s="261"/>
      <c r="F3776" s="261"/>
      <c r="G3776" s="261"/>
      <c r="H3776" s="318" t="s">
        <v>3832</v>
      </c>
      <c r="I3776" s="261"/>
      <c r="J3776" s="261"/>
      <c r="K3776" s="261"/>
      <c r="L3776" s="261"/>
      <c r="M3776" s="261"/>
      <c r="O3776" s="318" t="s">
        <v>2425</v>
      </c>
      <c r="P3776" s="261"/>
      <c r="Q3776" s="261"/>
      <c r="R3776" s="261"/>
    </row>
    <row r="3777" spans="5:18" ht="24.95" customHeight="1">
      <c r="E3777" s="261"/>
      <c r="F3777" s="261">
        <v>1</v>
      </c>
      <c r="G3777" s="261" t="s">
        <v>1389</v>
      </c>
      <c r="H3777" s="261" t="str">
        <f>Elec.Data!H946</f>
        <v>slim tube light 36 w P-112 4 c</v>
      </c>
      <c r="I3777" s="264">
        <f>Elec.Data!I946</f>
        <v>35.4</v>
      </c>
      <c r="J3777" s="261" t="s">
        <v>1389</v>
      </c>
      <c r="K3777" s="261">
        <f>F3777*I3777</f>
        <v>35.4</v>
      </c>
      <c r="L3777" s="261">
        <v>1</v>
      </c>
      <c r="M3777" s="261" t="s">
        <v>1389</v>
      </c>
      <c r="O3777" s="261" t="s">
        <v>2422</v>
      </c>
      <c r="P3777" s="264">
        <v>360</v>
      </c>
      <c r="Q3777" s="261" t="s">
        <v>1389</v>
      </c>
      <c r="R3777" s="261">
        <f>L3777*P3777</f>
        <v>360</v>
      </c>
    </row>
    <row r="3778" spans="5:18" ht="24.95" customHeight="1">
      <c r="E3778" s="261"/>
      <c r="F3778" s="261">
        <v>1</v>
      </c>
      <c r="G3778" s="261" t="s">
        <v>1389</v>
      </c>
      <c r="H3778" s="261" t="str">
        <f>H3771</f>
        <v>slim tube light 36 w</v>
      </c>
      <c r="I3778" s="300">
        <f>I3771</f>
        <v>0</v>
      </c>
      <c r="J3778" s="261" t="s">
        <v>1389</v>
      </c>
      <c r="K3778" s="261">
        <f>F3778*I3778</f>
        <v>0</v>
      </c>
      <c r="L3778" s="261">
        <v>1</v>
      </c>
      <c r="M3778" s="261" t="s">
        <v>1389</v>
      </c>
      <c r="O3778" s="261" t="str">
        <f>O3771</f>
        <v>slim tube light 40 w</v>
      </c>
      <c r="P3778" s="300">
        <f>P3771</f>
        <v>42.3</v>
      </c>
      <c r="Q3778" s="261" t="s">
        <v>1389</v>
      </c>
      <c r="R3778" s="261">
        <f>L3778*P3778</f>
        <v>42.3</v>
      </c>
    </row>
    <row r="3779" spans="5:18" ht="24.95" customHeight="1">
      <c r="E3779" s="261"/>
      <c r="F3779" s="261"/>
      <c r="G3779" s="261"/>
      <c r="H3779" s="261" t="s">
        <v>2424</v>
      </c>
      <c r="I3779" s="261"/>
      <c r="J3779" s="261"/>
      <c r="K3779" s="261">
        <f>K3772</f>
        <v>311.63</v>
      </c>
      <c r="L3779" s="261"/>
      <c r="M3779" s="261"/>
      <c r="O3779" s="261" t="s">
        <v>2424</v>
      </c>
      <c r="P3779" s="261"/>
      <c r="Q3779" s="261"/>
      <c r="R3779" s="261">
        <f>R3772</f>
        <v>311.63</v>
      </c>
    </row>
    <row r="3780" spans="5:18" ht="24.95" customHeight="1">
      <c r="E3780" s="261"/>
      <c r="F3780" s="261"/>
      <c r="G3780" s="261"/>
      <c r="H3780" s="261" t="s">
        <v>2261</v>
      </c>
      <c r="I3780" s="261"/>
      <c r="J3780" s="261"/>
      <c r="K3780" s="261">
        <v>1.4</v>
      </c>
      <c r="L3780" s="261"/>
      <c r="M3780" s="261"/>
      <c r="O3780" s="261" t="s">
        <v>2261</v>
      </c>
      <c r="P3780" s="261"/>
      <c r="Q3780" s="261"/>
      <c r="R3780" s="261">
        <v>0.7</v>
      </c>
    </row>
    <row r="3781" spans="5:18" ht="24.95" customHeight="1">
      <c r="E3781" s="261"/>
      <c r="F3781" s="261"/>
      <c r="G3781" s="261"/>
      <c r="H3781" s="271" t="s">
        <v>2844</v>
      </c>
      <c r="I3781" s="261"/>
      <c r="J3781" s="261"/>
      <c r="K3781" s="272">
        <f>SUM(K3777:K3780)</f>
        <v>348.43</v>
      </c>
      <c r="L3781" s="261"/>
      <c r="M3781" s="261"/>
      <c r="O3781" s="271" t="s">
        <v>2844</v>
      </c>
      <c r="P3781" s="261"/>
      <c r="R3781" s="272">
        <f>SUM(R3777:R3780)</f>
        <v>714.63</v>
      </c>
    </row>
    <row r="3782" spans="5:18">
      <c r="E3782" s="261"/>
      <c r="F3782" s="261"/>
      <c r="G3782" s="261"/>
      <c r="H3782" s="261"/>
      <c r="I3782" s="261"/>
      <c r="J3782" s="261"/>
      <c r="K3782" s="261"/>
      <c r="L3782" s="261"/>
      <c r="M3782" s="261"/>
    </row>
    <row r="3783" spans="5:18">
      <c r="E3783" s="261"/>
      <c r="F3783" s="261"/>
      <c r="G3783" s="261"/>
      <c r="H3783" s="261"/>
      <c r="I3783" s="261"/>
      <c r="J3783" s="261"/>
      <c r="K3783" s="261"/>
      <c r="L3783" s="261"/>
      <c r="M3783" s="261"/>
    </row>
    <row r="3784" spans="5:18">
      <c r="E3784" s="261"/>
      <c r="F3784" s="261"/>
      <c r="G3784" s="261"/>
      <c r="H3784" s="261"/>
      <c r="I3784" s="261"/>
      <c r="J3784" s="261"/>
      <c r="K3784" s="261"/>
      <c r="L3784" s="261"/>
      <c r="M3784" s="261"/>
    </row>
    <row r="3785" spans="5:18">
      <c r="E3785" s="261"/>
      <c r="F3785" s="261"/>
      <c r="G3785" s="261"/>
      <c r="H3785" s="261"/>
      <c r="I3785" s="261"/>
      <c r="J3785" s="261"/>
      <c r="K3785" s="261"/>
      <c r="L3785" s="261"/>
      <c r="M3785" s="261"/>
    </row>
    <row r="3786" spans="5:18">
      <c r="E3786" s="261"/>
      <c r="F3786" s="261"/>
      <c r="G3786" s="261"/>
      <c r="H3786" s="261"/>
      <c r="I3786" s="261"/>
      <c r="J3786" s="261"/>
      <c r="K3786" s="261"/>
      <c r="L3786" s="261"/>
      <c r="M3786" s="261"/>
    </row>
    <row r="3787" spans="5:18">
      <c r="E3787" s="261"/>
      <c r="F3787" s="261"/>
      <c r="G3787" s="261"/>
      <c r="J3787" s="252"/>
      <c r="L3787" s="261"/>
      <c r="M3787" s="261"/>
    </row>
    <row r="3788" spans="5:18">
      <c r="E3788" s="261"/>
      <c r="F3788" s="261"/>
      <c r="G3788" s="261"/>
      <c r="H3788" s="261"/>
      <c r="I3788" s="261"/>
      <c r="J3788" s="261"/>
      <c r="K3788" s="272"/>
      <c r="L3788" s="261"/>
      <c r="M3788" s="261"/>
    </row>
    <row r="3789" spans="5:18">
      <c r="E3789" s="261"/>
      <c r="F3789" s="261"/>
      <c r="G3789" s="261"/>
      <c r="H3789" s="261"/>
      <c r="I3789" s="261"/>
      <c r="J3789" s="261"/>
      <c r="K3789" s="261"/>
      <c r="L3789" s="261"/>
      <c r="M3789" s="261"/>
    </row>
    <row r="3790" spans="5:18">
      <c r="E3790" s="261"/>
      <c r="H3790" s="274" t="s">
        <v>2431</v>
      </c>
      <c r="L3790" s="261"/>
      <c r="M3790" s="261"/>
    </row>
    <row r="3791" spans="5:18">
      <c r="E3791" s="261"/>
      <c r="L3791" s="261"/>
      <c r="M3791" s="261"/>
    </row>
    <row r="3792" spans="5:18">
      <c r="E3792" s="261"/>
      <c r="H3792" s="274" t="s">
        <v>2281</v>
      </c>
      <c r="L3792" s="261"/>
      <c r="M3792" s="261"/>
    </row>
    <row r="3793" spans="5:13">
      <c r="E3793" s="261"/>
      <c r="L3793" s="261"/>
      <c r="M3793" s="261"/>
    </row>
    <row r="3794" spans="5:13" ht="157.5">
      <c r="E3794" s="261"/>
      <c r="H3794" s="260" t="s">
        <v>2663</v>
      </c>
      <c r="L3794" s="261"/>
      <c r="M3794" s="261"/>
    </row>
    <row r="3795" spans="5:13" ht="31.5">
      <c r="E3795" s="261"/>
      <c r="F3795" s="261">
        <v>90</v>
      </c>
      <c r="G3795" s="261" t="s">
        <v>823</v>
      </c>
      <c r="H3795" s="268" t="s">
        <v>2528</v>
      </c>
      <c r="I3795" s="261">
        <f>I2843</f>
        <v>16.55</v>
      </c>
      <c r="J3795" s="261" t="s">
        <v>2529</v>
      </c>
      <c r="K3795" s="261">
        <f>F3795*I3795</f>
        <v>1489.5</v>
      </c>
      <c r="L3795" s="261"/>
      <c r="M3795" s="261"/>
    </row>
    <row r="3796" spans="5:13" ht="31.5">
      <c r="E3796" s="261"/>
      <c r="F3796" s="261">
        <v>45</v>
      </c>
      <c r="G3796" s="261" t="s">
        <v>823</v>
      </c>
      <c r="H3796" s="260" t="s">
        <v>2354</v>
      </c>
      <c r="I3796" s="261">
        <f>I2844</f>
        <v>20</v>
      </c>
      <c r="J3796" s="261" t="s">
        <v>2355</v>
      </c>
      <c r="K3796" s="261">
        <f>F3796*I3796</f>
        <v>900</v>
      </c>
      <c r="L3796" s="261"/>
      <c r="M3796" s="261"/>
    </row>
    <row r="3797" spans="5:13">
      <c r="E3797" s="261"/>
      <c r="F3797" s="261">
        <v>20</v>
      </c>
      <c r="G3797" s="261" t="s">
        <v>1389</v>
      </c>
      <c r="H3797" s="261" t="s">
        <v>2356</v>
      </c>
      <c r="I3797" s="261">
        <f>I2845</f>
        <v>3.15</v>
      </c>
      <c r="J3797" s="261" t="s">
        <v>1389</v>
      </c>
      <c r="K3797" s="261">
        <f>F3797*I3797</f>
        <v>63</v>
      </c>
      <c r="L3797" s="261"/>
      <c r="M3797" s="261"/>
    </row>
    <row r="3798" spans="5:13">
      <c r="E3798" s="261"/>
      <c r="F3798" s="261">
        <v>150</v>
      </c>
      <c r="G3798" s="261" t="s">
        <v>1389</v>
      </c>
      <c r="H3798" s="261" t="s">
        <v>2664</v>
      </c>
      <c r="I3798" s="263">
        <v>347</v>
      </c>
      <c r="J3798" s="261" t="s">
        <v>2665</v>
      </c>
      <c r="K3798" s="261">
        <f>(F3798*I3798)/1000</f>
        <v>52.05</v>
      </c>
      <c r="L3798" s="261"/>
      <c r="M3798" s="261"/>
    </row>
    <row r="3799" spans="5:13">
      <c r="E3799" s="261"/>
      <c r="F3799" s="261">
        <v>10</v>
      </c>
      <c r="G3799" s="261" t="s">
        <v>1389</v>
      </c>
      <c r="H3799" s="261" t="s">
        <v>3365</v>
      </c>
      <c r="I3799" s="261">
        <f>I2846</f>
        <v>1.34</v>
      </c>
      <c r="J3799" s="261" t="s">
        <v>1389</v>
      </c>
      <c r="K3799" s="261">
        <f>F3799*I3799</f>
        <v>13.4</v>
      </c>
      <c r="L3799" s="261"/>
      <c r="M3799" s="261"/>
    </row>
    <row r="3800" spans="5:13">
      <c r="E3800" s="261"/>
      <c r="F3800" s="261">
        <v>10</v>
      </c>
      <c r="G3800" s="261" t="s">
        <v>1389</v>
      </c>
      <c r="H3800" s="261" t="s">
        <v>2666</v>
      </c>
      <c r="I3800" s="264">
        <v>44.8</v>
      </c>
      <c r="J3800" s="261" t="s">
        <v>3368</v>
      </c>
      <c r="K3800" s="261">
        <f>(F3800*I3800)/12</f>
        <v>37.33</v>
      </c>
      <c r="L3800" s="261"/>
      <c r="M3800" s="261"/>
    </row>
    <row r="3801" spans="5:13">
      <c r="E3801" s="261"/>
      <c r="F3801" s="265">
        <v>1.4999999999999999E-2</v>
      </c>
      <c r="G3801" s="261" t="s">
        <v>2273</v>
      </c>
      <c r="H3801" s="261" t="s">
        <v>3236</v>
      </c>
      <c r="I3801" s="261">
        <f>I2849</f>
        <v>661</v>
      </c>
      <c r="J3801" s="261" t="s">
        <v>2273</v>
      </c>
      <c r="K3801" s="261">
        <f>F3801*I3801</f>
        <v>9.92</v>
      </c>
      <c r="L3801" s="261"/>
      <c r="M3801" s="261"/>
    </row>
    <row r="3802" spans="5:13">
      <c r="E3802" s="261"/>
      <c r="F3802" s="261">
        <v>10</v>
      </c>
      <c r="G3802" s="261" t="s">
        <v>1389</v>
      </c>
      <c r="H3802" s="261" t="s">
        <v>3237</v>
      </c>
      <c r="I3802" s="261">
        <f>I2850</f>
        <v>16.21</v>
      </c>
      <c r="J3802" s="261" t="s">
        <v>1389</v>
      </c>
      <c r="K3802" s="261">
        <f>(F3802*I3802)</f>
        <v>162.1</v>
      </c>
      <c r="L3802" s="261"/>
      <c r="M3802" s="261"/>
    </row>
    <row r="3803" spans="5:13">
      <c r="E3803" s="261"/>
      <c r="F3803" s="261">
        <v>10</v>
      </c>
      <c r="G3803" s="261" t="s">
        <v>1389</v>
      </c>
      <c r="H3803" s="261" t="s">
        <v>2618</v>
      </c>
      <c r="I3803" s="261">
        <f>I2851</f>
        <v>13.8</v>
      </c>
      <c r="J3803" s="261" t="s">
        <v>1389</v>
      </c>
      <c r="K3803" s="261">
        <f>F3803*I3803</f>
        <v>138</v>
      </c>
      <c r="L3803" s="261"/>
      <c r="M3803" s="261"/>
    </row>
    <row r="3804" spans="5:13">
      <c r="E3804" s="261"/>
      <c r="F3804" s="261">
        <v>1</v>
      </c>
      <c r="G3804" s="261" t="s">
        <v>2626</v>
      </c>
      <c r="H3804" s="261" t="s">
        <v>3831</v>
      </c>
      <c r="I3804" s="263">
        <v>84.1</v>
      </c>
      <c r="J3804" s="261" t="s">
        <v>2626</v>
      </c>
      <c r="K3804" s="261">
        <f>F3804*I3804</f>
        <v>84.1</v>
      </c>
      <c r="L3804" s="261"/>
      <c r="M3804" s="261"/>
    </row>
    <row r="3805" spans="5:13">
      <c r="E3805" s="261"/>
      <c r="F3805" s="261">
        <v>72</v>
      </c>
      <c r="G3805" s="261" t="s">
        <v>1389</v>
      </c>
      <c r="H3805" s="261" t="s">
        <v>3830</v>
      </c>
      <c r="I3805" s="706">
        <v>47.7</v>
      </c>
      <c r="J3805" s="261" t="s">
        <v>2626</v>
      </c>
      <c r="K3805" s="261">
        <f>(F3805*I3805)/144</f>
        <v>23.85</v>
      </c>
      <c r="L3805" s="261"/>
      <c r="M3805" s="261"/>
    </row>
    <row r="3806" spans="5:13">
      <c r="E3806" s="261"/>
      <c r="F3806" s="267">
        <v>0.16666666666666666</v>
      </c>
      <c r="G3806" s="261" t="s">
        <v>2622</v>
      </c>
      <c r="H3806" s="261" t="s">
        <v>387</v>
      </c>
      <c r="I3806" s="264">
        <f>6850/20</f>
        <v>342.5</v>
      </c>
      <c r="J3806" s="261" t="s">
        <v>2622</v>
      </c>
      <c r="K3806" s="261">
        <f t="shared" ref="K3806:K3811" si="105">F3806*I3806</f>
        <v>57.08</v>
      </c>
      <c r="L3806" s="261"/>
      <c r="M3806" s="261"/>
    </row>
    <row r="3807" spans="5:13">
      <c r="E3807" s="261"/>
      <c r="F3807" s="261">
        <v>10</v>
      </c>
      <c r="G3807" s="261" t="s">
        <v>1389</v>
      </c>
      <c r="H3807" s="261" t="s">
        <v>2668</v>
      </c>
      <c r="I3807" s="264">
        <v>16.7</v>
      </c>
      <c r="J3807" s="261" t="s">
        <v>1389</v>
      </c>
      <c r="K3807" s="261">
        <f t="shared" si="105"/>
        <v>167</v>
      </c>
      <c r="L3807" s="261"/>
      <c r="M3807" s="261"/>
    </row>
    <row r="3808" spans="5:13">
      <c r="E3808" s="261"/>
      <c r="F3808" s="261">
        <v>1</v>
      </c>
      <c r="G3808" s="261" t="s">
        <v>1389</v>
      </c>
      <c r="H3808" s="261" t="s">
        <v>3002</v>
      </c>
      <c r="I3808" s="264">
        <v>20.100000000000001</v>
      </c>
      <c r="J3808" s="261" t="s">
        <v>1389</v>
      </c>
      <c r="K3808" s="261">
        <f t="shared" si="105"/>
        <v>20.100000000000001</v>
      </c>
      <c r="L3808" s="261"/>
      <c r="M3808" s="261"/>
    </row>
    <row r="3809" spans="5:13">
      <c r="E3809" s="261"/>
      <c r="F3809" s="261">
        <v>0.1</v>
      </c>
      <c r="G3809" s="261" t="s">
        <v>2273</v>
      </c>
      <c r="H3809" s="261" t="s">
        <v>3003</v>
      </c>
      <c r="I3809" s="261">
        <f>I2855</f>
        <v>661</v>
      </c>
      <c r="J3809" s="261" t="s">
        <v>2273</v>
      </c>
      <c r="K3809" s="261">
        <f t="shared" si="105"/>
        <v>66.099999999999994</v>
      </c>
      <c r="L3809" s="261"/>
      <c r="M3809" s="261"/>
    </row>
    <row r="3810" spans="5:13" ht="31.5">
      <c r="E3810" s="261"/>
      <c r="F3810" s="261">
        <v>45</v>
      </c>
      <c r="G3810" s="261" t="s">
        <v>823</v>
      </c>
      <c r="H3810" s="268" t="s">
        <v>2628</v>
      </c>
      <c r="I3810" s="261">
        <f>I2856</f>
        <v>16.55</v>
      </c>
      <c r="J3810" s="261" t="s">
        <v>3280</v>
      </c>
      <c r="K3810" s="261">
        <f t="shared" si="105"/>
        <v>744.75</v>
      </c>
      <c r="L3810" s="261"/>
      <c r="M3810" s="261"/>
    </row>
    <row r="3811" spans="5:13">
      <c r="E3811" s="261"/>
      <c r="F3811" s="267">
        <v>0.5</v>
      </c>
      <c r="G3811" s="261" t="s">
        <v>53</v>
      </c>
      <c r="H3811" s="268" t="s">
        <v>3514</v>
      </c>
      <c r="I3811" s="264">
        <v>247.4</v>
      </c>
      <c r="J3811" s="261" t="s">
        <v>53</v>
      </c>
      <c r="K3811" s="261">
        <f t="shared" si="105"/>
        <v>123.7</v>
      </c>
      <c r="L3811" s="261"/>
      <c r="M3811" s="261"/>
    </row>
    <row r="3812" spans="5:13">
      <c r="E3812" s="261"/>
      <c r="F3812" s="261">
        <v>10</v>
      </c>
      <c r="G3812" s="261" t="s">
        <v>3284</v>
      </c>
      <c r="H3812" s="261" t="s">
        <v>911</v>
      </c>
      <c r="I3812" s="261"/>
      <c r="J3812" s="261" t="s">
        <v>654</v>
      </c>
      <c r="K3812" s="261">
        <f>K3831</f>
        <v>5090</v>
      </c>
      <c r="L3812" s="261"/>
      <c r="M3812" s="261"/>
    </row>
    <row r="3813" spans="5:13">
      <c r="E3813" s="261"/>
      <c r="F3813" s="261" t="s">
        <v>654</v>
      </c>
      <c r="G3813" s="261"/>
      <c r="H3813" s="261" t="s">
        <v>3004</v>
      </c>
      <c r="I3813" s="261"/>
      <c r="J3813" s="261" t="s">
        <v>654</v>
      </c>
      <c r="K3813" s="261">
        <f>22+0.07</f>
        <v>22.07</v>
      </c>
      <c r="L3813" s="261"/>
      <c r="M3813" s="261"/>
    </row>
    <row r="3814" spans="5:13">
      <c r="E3814" s="261"/>
      <c r="F3814" s="261"/>
      <c r="G3814" s="261"/>
      <c r="H3814" s="269" t="s">
        <v>3283</v>
      </c>
      <c r="I3814" s="261"/>
      <c r="J3814" s="261"/>
      <c r="K3814" s="270">
        <f>SUM(K3795:K3813)</f>
        <v>9264.0499999999993</v>
      </c>
      <c r="L3814" s="261"/>
      <c r="M3814" s="261"/>
    </row>
    <row r="3815" spans="5:13">
      <c r="E3815" s="261"/>
      <c r="F3815" s="261"/>
      <c r="G3815" s="261"/>
      <c r="H3815" s="271" t="s">
        <v>3285</v>
      </c>
      <c r="I3815" s="261"/>
      <c r="J3815" s="261"/>
      <c r="K3815" s="272">
        <f>K3814/10</f>
        <v>926.41</v>
      </c>
      <c r="L3815" s="261">
        <f>K3815-639</f>
        <v>287.41000000000003</v>
      </c>
      <c r="M3815" s="261"/>
    </row>
    <row r="3816" spans="5:13">
      <c r="E3816" s="261"/>
      <c r="F3816" s="261"/>
      <c r="G3816" s="261"/>
      <c r="H3816" s="261"/>
      <c r="I3816" s="261"/>
      <c r="J3816" s="261"/>
      <c r="K3816" s="261"/>
      <c r="L3816" s="261"/>
      <c r="M3816" s="261"/>
    </row>
    <row r="3817" spans="5:13">
      <c r="E3817" s="261"/>
      <c r="F3817" s="261"/>
      <c r="G3817" s="261"/>
      <c r="H3817" s="261"/>
      <c r="I3817" s="261"/>
      <c r="J3817" s="261"/>
      <c r="K3817" s="261"/>
      <c r="L3817" s="261"/>
      <c r="M3817" s="261"/>
    </row>
    <row r="3818" spans="5:13">
      <c r="E3818" s="261"/>
      <c r="F3818" s="261"/>
      <c r="G3818" s="261"/>
      <c r="H3818" s="261"/>
      <c r="I3818" s="261"/>
      <c r="J3818" s="261"/>
      <c r="K3818" s="261"/>
      <c r="L3818" s="261"/>
      <c r="M3818" s="261"/>
    </row>
    <row r="3819" spans="5:13">
      <c r="E3819" s="261"/>
      <c r="F3819" s="261"/>
      <c r="G3819" s="261"/>
      <c r="H3819" s="261"/>
      <c r="I3819" s="261"/>
      <c r="J3819" s="261"/>
      <c r="K3819" s="261"/>
      <c r="L3819" s="261"/>
      <c r="M3819" s="261"/>
    </row>
    <row r="3820" spans="5:13">
      <c r="E3820" s="261"/>
      <c r="F3820" s="261"/>
      <c r="G3820" s="272" t="s">
        <v>3287</v>
      </c>
      <c r="H3820" s="261"/>
      <c r="I3820" s="261"/>
      <c r="J3820" s="261"/>
      <c r="M3820" s="261"/>
    </row>
    <row r="3821" spans="5:13">
      <c r="E3821" s="261"/>
      <c r="F3821" s="261"/>
      <c r="G3821" s="261"/>
      <c r="H3821" s="261"/>
      <c r="I3821" s="261"/>
      <c r="J3821" s="261"/>
      <c r="M3821" s="261"/>
    </row>
    <row r="3822" spans="5:13">
      <c r="E3822" s="261"/>
      <c r="F3822" s="261"/>
      <c r="G3822" s="272" t="s">
        <v>3363</v>
      </c>
      <c r="H3822" s="261"/>
      <c r="I3822" s="261"/>
      <c r="J3822" s="261"/>
      <c r="M3822" s="261"/>
    </row>
    <row r="3823" spans="5:13">
      <c r="E3823" s="261"/>
      <c r="F3823" s="261"/>
      <c r="G3823" s="261"/>
      <c r="H3823" s="261"/>
      <c r="I3823" s="261"/>
      <c r="J3823" s="261"/>
      <c r="M3823" s="261"/>
    </row>
    <row r="3824" spans="5:13">
      <c r="F3824" s="261">
        <v>1</v>
      </c>
      <c r="G3824" s="261" t="s">
        <v>1389</v>
      </c>
      <c r="H3824" s="261" t="s">
        <v>3289</v>
      </c>
      <c r="I3824" s="261">
        <f>I2866</f>
        <v>947</v>
      </c>
      <c r="J3824" s="261" t="s">
        <v>1389</v>
      </c>
      <c r="K3824" s="261">
        <f>F3824*I3824</f>
        <v>947</v>
      </c>
      <c r="L3824" s="261"/>
      <c r="M3824" s="261"/>
    </row>
    <row r="3825" spans="5:13">
      <c r="F3825" s="261">
        <v>2</v>
      </c>
      <c r="G3825" s="261" t="s">
        <v>1389</v>
      </c>
      <c r="H3825" s="261" t="s">
        <v>3290</v>
      </c>
      <c r="I3825" s="261">
        <f>I2867</f>
        <v>826</v>
      </c>
      <c r="J3825" s="261" t="s">
        <v>1389</v>
      </c>
      <c r="K3825" s="261">
        <f>F3825*I3825</f>
        <v>1652</v>
      </c>
      <c r="L3825" s="261"/>
      <c r="M3825" s="261"/>
    </row>
    <row r="3826" spans="5:13">
      <c r="F3826" s="261">
        <v>3</v>
      </c>
      <c r="G3826" s="261" t="s">
        <v>1389</v>
      </c>
      <c r="H3826" s="261" t="s">
        <v>3291</v>
      </c>
      <c r="I3826" s="261">
        <f>I2868</f>
        <v>820</v>
      </c>
      <c r="J3826" s="261" t="s">
        <v>1389</v>
      </c>
      <c r="K3826" s="261">
        <f>F3826*I3826</f>
        <v>2460</v>
      </c>
      <c r="L3826" s="261"/>
      <c r="M3826" s="261"/>
    </row>
    <row r="3827" spans="5:13">
      <c r="F3827" s="261">
        <v>4</v>
      </c>
      <c r="G3827" s="261" t="s">
        <v>1389</v>
      </c>
      <c r="H3827" s="261" t="s">
        <v>2321</v>
      </c>
      <c r="I3827" s="261">
        <f>I2869</f>
        <v>644</v>
      </c>
      <c r="J3827" s="261" t="s">
        <v>1389</v>
      </c>
      <c r="K3827" s="261">
        <f>F3827*I3827</f>
        <v>2576</v>
      </c>
      <c r="L3827" s="261"/>
      <c r="M3827" s="261"/>
    </row>
    <row r="3828" spans="5:13">
      <c r="F3828" s="261"/>
      <c r="G3828" s="261"/>
      <c r="H3828" s="261"/>
      <c r="I3828" s="261"/>
      <c r="J3828" s="261"/>
      <c r="K3828" s="261"/>
      <c r="L3828" s="261"/>
      <c r="M3828" s="261"/>
    </row>
    <row r="3829" spans="5:13" ht="49.5">
      <c r="E3829" s="261"/>
      <c r="F3829" s="261"/>
      <c r="H3829" s="275" t="s">
        <v>5633</v>
      </c>
      <c r="J3829" s="252"/>
      <c r="K3829" s="272">
        <f>SUM(K3824:K3827)</f>
        <v>7635</v>
      </c>
      <c r="L3829" s="272"/>
      <c r="M3829" s="261"/>
    </row>
    <row r="3830" spans="5:13">
      <c r="E3830" s="261"/>
      <c r="F3830" s="261"/>
      <c r="J3830" s="252"/>
      <c r="M3830" s="261"/>
    </row>
    <row r="3831" spans="5:13">
      <c r="E3831" s="261"/>
      <c r="F3831" s="261"/>
      <c r="J3831" s="261"/>
      <c r="K3831" s="276">
        <f>K3829*2/3</f>
        <v>5090</v>
      </c>
      <c r="L3831" s="276"/>
      <c r="M3831" s="261"/>
    </row>
    <row r="3832" spans="5:13">
      <c r="E3832" s="261"/>
      <c r="F3832" s="261"/>
      <c r="G3832" s="261"/>
      <c r="H3832" s="261"/>
      <c r="I3832" s="261"/>
      <c r="J3832" s="261"/>
      <c r="K3832" s="261"/>
      <c r="L3832" s="261"/>
      <c r="M3832" s="261"/>
    </row>
    <row r="3833" spans="5:13">
      <c r="E3833" s="261"/>
      <c r="F3833" s="261"/>
      <c r="G3833" s="261"/>
      <c r="H3833" s="274" t="s">
        <v>3005</v>
      </c>
      <c r="I3833" s="261"/>
      <c r="J3833" s="261"/>
      <c r="K3833" s="261"/>
      <c r="L3833" s="261"/>
      <c r="M3833" s="261"/>
    </row>
    <row r="3834" spans="5:13">
      <c r="E3834" s="261"/>
      <c r="F3834" s="261"/>
      <c r="G3834" s="261"/>
      <c r="H3834" s="261"/>
      <c r="I3834" s="261"/>
      <c r="J3834" s="261"/>
      <c r="K3834" s="261"/>
      <c r="L3834" s="261"/>
      <c r="M3834" s="261"/>
    </row>
    <row r="3835" spans="5:13" ht="173.25">
      <c r="E3835" s="261"/>
      <c r="F3835" s="261"/>
      <c r="G3835" s="261"/>
      <c r="H3835" s="260" t="s">
        <v>3023</v>
      </c>
      <c r="I3835" s="261"/>
      <c r="J3835" s="261"/>
      <c r="K3835" s="261"/>
      <c r="L3835" s="261"/>
      <c r="M3835" s="261"/>
    </row>
    <row r="3836" spans="5:13">
      <c r="E3836" s="261"/>
      <c r="F3836" s="261"/>
      <c r="G3836" s="261"/>
      <c r="H3836" s="261" t="s">
        <v>2436</v>
      </c>
      <c r="I3836" s="261"/>
      <c r="J3836" s="261"/>
      <c r="K3836" s="261">
        <f>K3814-K3813</f>
        <v>9241.98</v>
      </c>
      <c r="L3836" s="261"/>
      <c r="M3836" s="261"/>
    </row>
    <row r="3837" spans="5:13">
      <c r="E3837" s="261"/>
      <c r="F3837" s="261"/>
      <c r="G3837" s="261"/>
      <c r="H3837" s="261" t="s">
        <v>2437</v>
      </c>
      <c r="I3837" s="261"/>
      <c r="J3837" s="261"/>
      <c r="K3837" s="261">
        <f>K3803</f>
        <v>138</v>
      </c>
      <c r="L3837" s="261"/>
      <c r="M3837" s="261"/>
    </row>
    <row r="3838" spans="5:13">
      <c r="E3838" s="261"/>
      <c r="F3838" s="261"/>
      <c r="G3838" s="261"/>
      <c r="H3838" s="261" t="s">
        <v>3689</v>
      </c>
      <c r="I3838" s="261"/>
      <c r="J3838" s="261"/>
      <c r="K3838" s="264">
        <f>10*20.2</f>
        <v>202</v>
      </c>
      <c r="L3838" s="261"/>
      <c r="M3838" s="261"/>
    </row>
    <row r="3839" spans="5:13">
      <c r="E3839" s="261"/>
      <c r="F3839" s="261"/>
      <c r="G3839" s="261"/>
      <c r="H3839" s="261" t="s">
        <v>2261</v>
      </c>
      <c r="I3839" s="261"/>
      <c r="J3839" s="261"/>
      <c r="K3839" s="261">
        <v>22.11</v>
      </c>
      <c r="L3839" s="261"/>
      <c r="M3839" s="261"/>
    </row>
    <row r="3840" spans="5:13">
      <c r="E3840" s="261"/>
      <c r="F3840" s="261"/>
      <c r="G3840" s="261"/>
      <c r="H3840" s="269" t="s">
        <v>2415</v>
      </c>
      <c r="I3840" s="261"/>
      <c r="J3840" s="261"/>
      <c r="K3840" s="270">
        <f>K3836-K3837+K3838+K3839</f>
        <v>9328.09</v>
      </c>
      <c r="L3840" s="261"/>
      <c r="M3840" s="261"/>
    </row>
    <row r="3841" spans="5:14">
      <c r="E3841" s="261"/>
      <c r="F3841" s="261"/>
      <c r="G3841" s="261"/>
      <c r="H3841" s="271" t="s">
        <v>2416</v>
      </c>
      <c r="I3841" s="261"/>
      <c r="J3841" s="261"/>
      <c r="K3841" s="272">
        <f>K3840/10</f>
        <v>932.81</v>
      </c>
      <c r="L3841" s="261"/>
      <c r="M3841" s="261"/>
    </row>
    <row r="3842" spans="5:14">
      <c r="E3842" s="261"/>
      <c r="F3842" s="261"/>
      <c r="G3842" s="261"/>
      <c r="H3842" s="261"/>
      <c r="I3842" s="261"/>
      <c r="J3842" s="261"/>
      <c r="K3842" s="261"/>
      <c r="L3842" s="261"/>
      <c r="M3842" s="261"/>
    </row>
    <row r="3843" spans="5:14">
      <c r="E3843" s="261"/>
      <c r="F3843" s="261"/>
      <c r="G3843" s="261"/>
      <c r="H3843" s="261"/>
      <c r="I3843" s="261"/>
      <c r="J3843" s="261"/>
      <c r="K3843" s="261"/>
      <c r="L3843" s="261"/>
      <c r="M3843" s="261"/>
    </row>
    <row r="3844" spans="5:14">
      <c r="E3844" s="261"/>
      <c r="F3844" s="261"/>
      <c r="G3844" s="261"/>
      <c r="H3844" s="261"/>
      <c r="I3844" s="261"/>
      <c r="J3844" s="261"/>
      <c r="K3844" s="261"/>
      <c r="L3844" s="261"/>
      <c r="M3844" s="261"/>
    </row>
    <row r="3845" spans="5:14" ht="47.25">
      <c r="E3845" s="261"/>
      <c r="F3845" s="261"/>
      <c r="G3845" s="261"/>
      <c r="H3845" s="258" t="s">
        <v>3364</v>
      </c>
      <c r="I3845" s="261"/>
      <c r="J3845" s="261"/>
      <c r="K3845" s="261"/>
      <c r="L3845" s="261"/>
      <c r="M3845" s="261"/>
    </row>
    <row r="3846" spans="5:14">
      <c r="E3846" s="261"/>
      <c r="F3846" s="261"/>
      <c r="G3846" s="261"/>
      <c r="H3846" s="261"/>
      <c r="I3846" s="261"/>
      <c r="J3846" s="261"/>
      <c r="K3846" s="261"/>
      <c r="L3846" s="261"/>
      <c r="M3846" s="261"/>
    </row>
    <row r="3847" spans="5:14" ht="173.25">
      <c r="E3847" s="261"/>
      <c r="F3847" s="261"/>
      <c r="G3847" s="261"/>
      <c r="H3847" s="260" t="s">
        <v>3351</v>
      </c>
      <c r="I3847" s="261"/>
      <c r="J3847" s="261"/>
      <c r="K3847" s="261"/>
      <c r="L3847" s="261"/>
      <c r="M3847" s="261"/>
    </row>
    <row r="3848" spans="5:14">
      <c r="E3848" s="261"/>
      <c r="F3848" s="261"/>
      <c r="G3848" s="261"/>
      <c r="H3848" s="261" t="s">
        <v>3370</v>
      </c>
      <c r="I3848" s="261"/>
      <c r="J3848" s="261"/>
      <c r="K3848" s="261">
        <f>K3836</f>
        <v>9241.98</v>
      </c>
      <c r="L3848" s="261"/>
      <c r="M3848" s="261"/>
    </row>
    <row r="3849" spans="5:14">
      <c r="E3849" s="261"/>
      <c r="F3849" s="261"/>
      <c r="G3849" s="261"/>
      <c r="H3849" s="261" t="s">
        <v>2961</v>
      </c>
      <c r="I3849" s="261"/>
      <c r="J3849" s="261"/>
      <c r="K3849" s="261">
        <f>K3837</f>
        <v>138</v>
      </c>
      <c r="L3849" s="261"/>
      <c r="M3849" s="261"/>
    </row>
    <row r="3850" spans="5:14">
      <c r="E3850" s="261"/>
      <c r="F3850" s="261"/>
      <c r="G3850" s="261"/>
      <c r="H3850" s="261" t="s">
        <v>2962</v>
      </c>
      <c r="I3850" s="261"/>
      <c r="J3850" s="261"/>
      <c r="K3850" s="261">
        <f>K2892</f>
        <v>36</v>
      </c>
      <c r="L3850" s="261"/>
      <c r="M3850" s="261"/>
    </row>
    <row r="3851" spans="5:14">
      <c r="E3851" s="261"/>
      <c r="F3851" s="261"/>
      <c r="G3851" s="261"/>
      <c r="H3851" s="261" t="s">
        <v>2963</v>
      </c>
      <c r="I3851" s="261"/>
      <c r="J3851" s="261"/>
      <c r="K3851" s="261">
        <f>K2893</f>
        <v>162.1</v>
      </c>
      <c r="L3851" s="261"/>
      <c r="M3851" s="261"/>
    </row>
    <row r="3852" spans="5:14">
      <c r="E3852" s="261"/>
      <c r="F3852" s="261"/>
      <c r="G3852" s="261"/>
      <c r="H3852" s="261" t="s">
        <v>3685</v>
      </c>
      <c r="I3852" s="261"/>
      <c r="J3852" s="261"/>
      <c r="K3852" s="264">
        <f>50.4*10</f>
        <v>504</v>
      </c>
      <c r="L3852" s="261"/>
      <c r="M3852" s="261"/>
      <c r="N3852" s="252">
        <f>50.4*10</f>
        <v>504</v>
      </c>
    </row>
    <row r="3853" spans="5:14">
      <c r="E3853" s="261"/>
      <c r="F3853" s="261"/>
      <c r="G3853" s="261"/>
      <c r="H3853" s="261" t="s">
        <v>3829</v>
      </c>
      <c r="I3853" s="261"/>
      <c r="J3853" s="261"/>
      <c r="K3853" s="264">
        <f>10*17.25</f>
        <v>172.5</v>
      </c>
      <c r="L3853" s="261"/>
      <c r="M3853" s="261"/>
    </row>
    <row r="3854" spans="5:14">
      <c r="E3854" s="261"/>
      <c r="F3854" s="261"/>
      <c r="G3854" s="261"/>
      <c r="H3854" s="261" t="s">
        <v>3686</v>
      </c>
      <c r="I3854" s="261"/>
      <c r="J3854" s="261"/>
      <c r="K3854" s="264">
        <f>20.1*10</f>
        <v>201</v>
      </c>
      <c r="L3854" s="261"/>
      <c r="M3854" s="261"/>
    </row>
    <row r="3855" spans="5:14">
      <c r="E3855" s="261"/>
      <c r="F3855" s="261"/>
      <c r="G3855" s="261"/>
      <c r="H3855" s="261" t="s">
        <v>2261</v>
      </c>
      <c r="I3855" s="261"/>
      <c r="J3855" s="261"/>
      <c r="K3855" s="261">
        <v>16.41</v>
      </c>
      <c r="L3855" s="261"/>
      <c r="M3855" s="261"/>
    </row>
    <row r="3856" spans="5:14">
      <c r="E3856" s="261"/>
      <c r="F3856" s="261"/>
      <c r="G3856" s="261"/>
      <c r="H3856" s="269" t="s">
        <v>2415</v>
      </c>
      <c r="I3856" s="261"/>
      <c r="J3856" s="261"/>
      <c r="K3856" s="270">
        <f>(K3848-K3849-K3850-K3851)+(K3852+K3853+K3854+K3855)</f>
        <v>9799.7900000000009</v>
      </c>
      <c r="L3856" s="261"/>
      <c r="M3856" s="261"/>
      <c r="N3856" s="252">
        <f>17.25*10</f>
        <v>172.5</v>
      </c>
    </row>
    <row r="3857" spans="5:13">
      <c r="E3857" s="261"/>
      <c r="F3857" s="261"/>
      <c r="G3857" s="261"/>
      <c r="H3857" s="271" t="s">
        <v>3137</v>
      </c>
      <c r="I3857" s="261"/>
      <c r="J3857" s="261"/>
      <c r="K3857" s="272">
        <f>K3856/10</f>
        <v>979.98</v>
      </c>
      <c r="L3857" s="261"/>
      <c r="M3857" s="261"/>
    </row>
    <row r="3858" spans="5:13">
      <c r="E3858" s="261"/>
      <c r="F3858" s="261"/>
      <c r="G3858" s="261"/>
      <c r="H3858" s="261"/>
      <c r="I3858" s="261"/>
      <c r="J3858" s="261"/>
      <c r="K3858" s="261"/>
      <c r="L3858" s="261"/>
      <c r="M3858" s="261"/>
    </row>
    <row r="3859" spans="5:13">
      <c r="E3859" s="261"/>
      <c r="F3859" s="261"/>
      <c r="G3859" s="261"/>
      <c r="H3859" s="261"/>
      <c r="I3859" s="261"/>
      <c r="J3859" s="261"/>
      <c r="K3859" s="261"/>
      <c r="L3859" s="261"/>
      <c r="M3859" s="261"/>
    </row>
    <row r="3860" spans="5:13">
      <c r="E3860" s="261"/>
      <c r="F3860" s="261"/>
      <c r="G3860" s="261"/>
      <c r="H3860" s="261"/>
      <c r="I3860" s="261"/>
      <c r="J3860" s="261"/>
      <c r="K3860" s="261"/>
      <c r="L3860" s="261"/>
      <c r="M3860" s="261"/>
    </row>
    <row r="3861" spans="5:13">
      <c r="E3861" s="261"/>
      <c r="F3861" s="261"/>
      <c r="G3861" s="261"/>
      <c r="H3861" s="261"/>
      <c r="I3861" s="261"/>
      <c r="J3861" s="261"/>
      <c r="K3861" s="261"/>
      <c r="L3861" s="261"/>
      <c r="M3861" s="261"/>
    </row>
    <row r="3862" spans="5:13">
      <c r="E3862" s="261"/>
      <c r="F3862" s="261"/>
      <c r="G3862" s="261"/>
      <c r="H3862" s="261"/>
      <c r="I3862" s="261"/>
      <c r="J3862" s="261"/>
      <c r="K3862" s="261"/>
      <c r="L3862" s="261"/>
      <c r="M3862" s="261"/>
    </row>
    <row r="3863" spans="5:13" ht="31.5">
      <c r="E3863" s="261"/>
      <c r="F3863" s="261"/>
      <c r="G3863" s="261"/>
      <c r="H3863" s="258" t="s">
        <v>2867</v>
      </c>
      <c r="I3863" s="261"/>
      <c r="J3863" s="261"/>
      <c r="K3863" s="261"/>
      <c r="L3863" s="261"/>
      <c r="M3863" s="261"/>
    </row>
    <row r="3864" spans="5:13">
      <c r="E3864" s="261"/>
      <c r="F3864" s="261"/>
      <c r="G3864" s="261"/>
      <c r="I3864" s="261"/>
      <c r="J3864" s="261"/>
      <c r="K3864" s="261"/>
      <c r="L3864" s="261"/>
      <c r="M3864" s="261"/>
    </row>
    <row r="3865" spans="5:13">
      <c r="E3865" s="261"/>
      <c r="F3865" s="261"/>
      <c r="G3865" s="261"/>
      <c r="I3865" s="261"/>
      <c r="J3865" s="261"/>
      <c r="K3865" s="261"/>
      <c r="L3865" s="261"/>
      <c r="M3865" s="261"/>
    </row>
    <row r="3866" spans="5:13">
      <c r="E3866" s="261"/>
      <c r="F3866" s="261"/>
      <c r="G3866" s="261"/>
      <c r="I3866" s="261"/>
      <c r="J3866" s="261"/>
      <c r="K3866" s="261"/>
      <c r="L3866" s="261"/>
      <c r="M3866" s="261"/>
    </row>
    <row r="3867" spans="5:13">
      <c r="E3867" s="261"/>
      <c r="F3867" s="261"/>
      <c r="G3867" s="261"/>
      <c r="I3867" s="261"/>
      <c r="J3867" s="261"/>
      <c r="K3867" s="261"/>
      <c r="L3867" s="261"/>
      <c r="M3867" s="261"/>
    </row>
    <row r="3868" spans="5:13" ht="173.25">
      <c r="E3868" s="261"/>
      <c r="F3868" s="261"/>
      <c r="G3868" s="261"/>
      <c r="H3868" s="260" t="s">
        <v>5631</v>
      </c>
      <c r="I3868" s="261"/>
      <c r="J3868" s="261"/>
      <c r="K3868" s="261"/>
      <c r="L3868" s="261"/>
      <c r="M3868" s="261"/>
    </row>
    <row r="3869" spans="5:13">
      <c r="E3869" s="261"/>
      <c r="F3869" s="261"/>
      <c r="G3869" s="261"/>
      <c r="H3869" s="261"/>
      <c r="I3869" s="261"/>
      <c r="J3869" s="261"/>
      <c r="K3869" s="261"/>
      <c r="L3869" s="261"/>
      <c r="M3869" s="261"/>
    </row>
    <row r="3870" spans="5:13">
      <c r="E3870" s="261"/>
      <c r="F3870" s="261"/>
      <c r="G3870" s="261"/>
      <c r="H3870" s="261"/>
      <c r="I3870" s="261"/>
      <c r="J3870" s="261"/>
      <c r="K3870" s="261"/>
      <c r="L3870" s="261"/>
      <c r="M3870" s="261"/>
    </row>
    <row r="3871" spans="5:13">
      <c r="E3871" s="261"/>
      <c r="F3871" s="261"/>
      <c r="G3871" s="261"/>
      <c r="H3871" s="261"/>
      <c r="I3871" s="261"/>
      <c r="J3871" s="261"/>
      <c r="K3871" s="261"/>
      <c r="L3871" s="261"/>
      <c r="M3871" s="261"/>
    </row>
    <row r="3872" spans="5:13">
      <c r="E3872" s="261"/>
      <c r="F3872" s="261"/>
      <c r="G3872" s="261"/>
      <c r="H3872" s="261" t="s">
        <v>2436</v>
      </c>
      <c r="I3872" s="261"/>
      <c r="J3872" s="261"/>
      <c r="K3872" s="261">
        <f>K3814</f>
        <v>9264.0499999999993</v>
      </c>
      <c r="L3872" s="261"/>
      <c r="M3872" s="261"/>
    </row>
    <row r="3873" spans="5:13">
      <c r="E3873" s="261"/>
      <c r="F3873" s="261"/>
      <c r="G3873" s="261"/>
      <c r="H3873" s="261" t="s">
        <v>3691</v>
      </c>
      <c r="I3873" s="261"/>
      <c r="J3873" s="261"/>
      <c r="K3873" s="261">
        <f>K3807</f>
        <v>167</v>
      </c>
      <c r="L3873" s="261"/>
      <c r="M3873" s="261"/>
    </row>
    <row r="3874" spans="5:13">
      <c r="E3874" s="261"/>
      <c r="F3874" s="261"/>
      <c r="G3874" s="261"/>
      <c r="H3874" s="261" t="s">
        <v>2792</v>
      </c>
      <c r="I3874" s="261"/>
      <c r="J3874" s="261"/>
      <c r="K3874" s="261">
        <f>K3809</f>
        <v>66.099999999999994</v>
      </c>
      <c r="L3874" s="261"/>
      <c r="M3874" s="261"/>
    </row>
    <row r="3875" spans="5:13">
      <c r="E3875" s="261"/>
      <c r="F3875" s="261"/>
      <c r="G3875" s="261"/>
      <c r="H3875" s="261" t="s">
        <v>3692</v>
      </c>
      <c r="I3875" s="261"/>
      <c r="J3875" s="261"/>
      <c r="K3875" s="264">
        <f>84.2*10</f>
        <v>842</v>
      </c>
      <c r="L3875" s="261"/>
      <c r="M3875" s="261"/>
    </row>
    <row r="3876" spans="5:13">
      <c r="E3876" s="261"/>
      <c r="F3876" s="261"/>
      <c r="G3876" s="261"/>
      <c r="H3876" s="261" t="s">
        <v>3693</v>
      </c>
      <c r="I3876" s="261"/>
      <c r="J3876" s="261"/>
      <c r="K3876" s="264">
        <f>0.6*685</f>
        <v>411</v>
      </c>
      <c r="L3876" s="261"/>
      <c r="M3876" s="261"/>
    </row>
    <row r="3877" spans="5:13">
      <c r="E3877" s="261"/>
      <c r="F3877" s="261"/>
      <c r="G3877" s="261"/>
      <c r="H3877" s="261" t="s">
        <v>3006</v>
      </c>
      <c r="I3877" s="261"/>
      <c r="J3877" s="261"/>
      <c r="K3877" s="261">
        <v>12.5</v>
      </c>
      <c r="L3877" s="261"/>
      <c r="M3877" s="261"/>
    </row>
    <row r="3878" spans="5:13">
      <c r="E3878" s="261"/>
      <c r="F3878" s="261"/>
      <c r="G3878" s="261"/>
      <c r="H3878" s="269" t="s">
        <v>2415</v>
      </c>
      <c r="I3878" s="261"/>
      <c r="J3878" s="261"/>
      <c r="K3878" s="270">
        <f>K3872-K3873-K3874+K3875+K3876+K3877</f>
        <v>10296.450000000001</v>
      </c>
      <c r="L3878" s="261"/>
      <c r="M3878" s="261"/>
    </row>
    <row r="3879" spans="5:13">
      <c r="E3879" s="261"/>
      <c r="F3879" s="261"/>
      <c r="G3879" s="261"/>
      <c r="H3879" s="271" t="s">
        <v>2416</v>
      </c>
      <c r="I3879" s="261"/>
      <c r="J3879" s="261"/>
      <c r="K3879" s="272">
        <f>K3878/10</f>
        <v>1029.6500000000001</v>
      </c>
      <c r="L3879" s="261"/>
      <c r="M3879" s="261"/>
    </row>
    <row r="3880" spans="5:13">
      <c r="E3880" s="261"/>
      <c r="F3880" s="261"/>
      <c r="G3880" s="261"/>
      <c r="H3880" s="261"/>
      <c r="I3880" s="261"/>
      <c r="J3880" s="261"/>
      <c r="K3880" s="261"/>
      <c r="L3880" s="261"/>
      <c r="M3880" s="261"/>
    </row>
    <row r="3881" spans="5:13">
      <c r="E3881" s="261"/>
      <c r="F3881" s="261"/>
      <c r="G3881" s="261"/>
      <c r="H3881" s="261"/>
      <c r="I3881" s="261"/>
      <c r="J3881" s="261"/>
      <c r="K3881" s="261"/>
      <c r="L3881" s="261"/>
      <c r="M3881" s="261"/>
    </row>
    <row r="3882" spans="5:13">
      <c r="E3882" s="261"/>
      <c r="F3882" s="261"/>
      <c r="G3882" s="261"/>
      <c r="H3882" s="261"/>
      <c r="I3882" s="261"/>
      <c r="J3882" s="261"/>
      <c r="K3882" s="261"/>
      <c r="L3882" s="261"/>
      <c r="M3882" s="261"/>
    </row>
    <row r="3883" spans="5:13" ht="31.5">
      <c r="E3883" s="261"/>
      <c r="F3883" s="261"/>
      <c r="G3883" s="261"/>
      <c r="H3883" s="258" t="s">
        <v>2955</v>
      </c>
      <c r="I3883" s="261"/>
      <c r="J3883" s="261"/>
      <c r="K3883" s="261"/>
      <c r="L3883" s="261"/>
      <c r="M3883" s="261"/>
    </row>
    <row r="3884" spans="5:13" ht="189" customHeight="1">
      <c r="E3884" s="261"/>
      <c r="F3884" s="261"/>
      <c r="G3884" s="261"/>
      <c r="H3884" s="260" t="s">
        <v>2951</v>
      </c>
      <c r="I3884" s="261"/>
      <c r="J3884" s="261"/>
      <c r="K3884" s="261"/>
      <c r="L3884" s="261"/>
      <c r="M3884" s="261"/>
    </row>
    <row r="3885" spans="5:13" ht="31.5">
      <c r="E3885" s="261"/>
      <c r="F3885" s="261">
        <v>90</v>
      </c>
      <c r="G3885" s="261" t="s">
        <v>823</v>
      </c>
      <c r="H3885" s="268" t="s">
        <v>2528</v>
      </c>
      <c r="I3885" s="261">
        <f>I3049</f>
        <v>16.55</v>
      </c>
      <c r="J3885" s="261" t="s">
        <v>2529</v>
      </c>
      <c r="K3885" s="261">
        <f t="shared" ref="K3885:K3895" si="106">F3885*I3885</f>
        <v>1489.5</v>
      </c>
      <c r="L3885" s="261"/>
      <c r="M3885" s="261"/>
    </row>
    <row r="3886" spans="5:13" ht="31.5">
      <c r="E3886" s="261"/>
      <c r="F3886" s="261">
        <v>30</v>
      </c>
      <c r="G3886" s="261" t="s">
        <v>823</v>
      </c>
      <c r="H3886" s="260" t="s">
        <v>2354</v>
      </c>
      <c r="I3886" s="261">
        <f>I3050</f>
        <v>20</v>
      </c>
      <c r="J3886" s="261" t="s">
        <v>823</v>
      </c>
      <c r="K3886" s="261">
        <f t="shared" si="106"/>
        <v>600</v>
      </c>
      <c r="L3886" s="261"/>
      <c r="M3886" s="261"/>
    </row>
    <row r="3887" spans="5:13">
      <c r="E3887" s="261"/>
      <c r="F3887" s="261">
        <v>10</v>
      </c>
      <c r="G3887" s="261" t="s">
        <v>1389</v>
      </c>
      <c r="H3887" s="261" t="s">
        <v>2356</v>
      </c>
      <c r="I3887" s="261">
        <f>I3051</f>
        <v>3.15</v>
      </c>
      <c r="J3887" s="261" t="s">
        <v>1389</v>
      </c>
      <c r="K3887" s="261">
        <f t="shared" si="106"/>
        <v>31.5</v>
      </c>
      <c r="L3887" s="261"/>
      <c r="M3887" s="261"/>
    </row>
    <row r="3888" spans="5:13">
      <c r="E3888" s="261"/>
      <c r="F3888" s="261">
        <v>5</v>
      </c>
      <c r="G3888" s="261" t="s">
        <v>1389</v>
      </c>
      <c r="H3888" s="261" t="s">
        <v>3365</v>
      </c>
      <c r="I3888" s="261">
        <f>I3052</f>
        <v>1.34</v>
      </c>
      <c r="J3888" s="261" t="s">
        <v>1389</v>
      </c>
      <c r="K3888" s="261">
        <f t="shared" si="106"/>
        <v>6.7</v>
      </c>
      <c r="L3888" s="261"/>
      <c r="M3888" s="261"/>
    </row>
    <row r="3889" spans="5:13">
      <c r="E3889" s="261"/>
      <c r="F3889" s="261">
        <v>10</v>
      </c>
      <c r="G3889" s="261" t="s">
        <v>1389</v>
      </c>
      <c r="H3889" s="261" t="s">
        <v>2433</v>
      </c>
      <c r="I3889" s="261">
        <f>I3053</f>
        <v>19.75</v>
      </c>
      <c r="J3889" s="261" t="s">
        <v>1389</v>
      </c>
      <c r="K3889" s="261">
        <f t="shared" si="106"/>
        <v>197.5</v>
      </c>
      <c r="L3889" s="261"/>
      <c r="M3889" s="261"/>
    </row>
    <row r="3890" spans="5:13">
      <c r="E3890" s="261"/>
      <c r="F3890" s="261">
        <v>5</v>
      </c>
      <c r="G3890" s="261" t="s">
        <v>1389</v>
      </c>
      <c r="H3890" s="261" t="s">
        <v>2952</v>
      </c>
      <c r="I3890" s="261">
        <v>2.5</v>
      </c>
      <c r="J3890" s="261" t="s">
        <v>1393</v>
      </c>
      <c r="K3890" s="261">
        <f t="shared" si="106"/>
        <v>12.5</v>
      </c>
      <c r="L3890" s="261"/>
      <c r="M3890" s="261"/>
    </row>
    <row r="3891" spans="5:13">
      <c r="E3891" s="261"/>
      <c r="F3891" s="261">
        <v>5</v>
      </c>
      <c r="G3891" s="261" t="s">
        <v>1389</v>
      </c>
      <c r="H3891" s="261" t="s">
        <v>2618</v>
      </c>
      <c r="I3891" s="261">
        <f>I3054</f>
        <v>13.8</v>
      </c>
      <c r="J3891" s="261" t="s">
        <v>1389</v>
      </c>
      <c r="K3891" s="261">
        <f t="shared" si="106"/>
        <v>69</v>
      </c>
      <c r="L3891" s="261"/>
      <c r="M3891" s="261"/>
    </row>
    <row r="3892" spans="5:13">
      <c r="E3892" s="261"/>
      <c r="F3892" s="265">
        <v>0.09</v>
      </c>
      <c r="G3892" s="261" t="s">
        <v>2273</v>
      </c>
      <c r="H3892" s="261" t="s">
        <v>2541</v>
      </c>
      <c r="I3892" s="261">
        <f>I3057</f>
        <v>661</v>
      </c>
      <c r="J3892" s="261" t="s">
        <v>2273</v>
      </c>
      <c r="K3892" s="261">
        <f t="shared" si="106"/>
        <v>59.49</v>
      </c>
      <c r="L3892" s="261"/>
      <c r="M3892" s="261"/>
    </row>
    <row r="3893" spans="5:13">
      <c r="E3893" s="261"/>
      <c r="F3893" s="261">
        <v>1</v>
      </c>
      <c r="G3893" s="261" t="s">
        <v>2622</v>
      </c>
      <c r="H3893" s="261" t="s">
        <v>387</v>
      </c>
      <c r="I3893" s="264">
        <f>6850/20</f>
        <v>342.5</v>
      </c>
      <c r="J3893" s="261" t="s">
        <v>2622</v>
      </c>
      <c r="K3893" s="261">
        <f t="shared" si="106"/>
        <v>342.5</v>
      </c>
      <c r="L3893" s="261"/>
      <c r="M3893" s="261">
        <f>1000/50</f>
        <v>20</v>
      </c>
    </row>
    <row r="3894" spans="5:13">
      <c r="E3894" s="261"/>
      <c r="F3894" s="261">
        <v>6</v>
      </c>
      <c r="G3894" s="261" t="s">
        <v>1389</v>
      </c>
      <c r="H3894" s="261" t="s">
        <v>2953</v>
      </c>
      <c r="I3894" s="264">
        <v>20.100000000000001</v>
      </c>
      <c r="J3894" s="261" t="s">
        <v>1393</v>
      </c>
      <c r="K3894" s="261">
        <f t="shared" si="106"/>
        <v>120.6</v>
      </c>
      <c r="L3894" s="261"/>
      <c r="M3894" s="261"/>
    </row>
    <row r="3895" spans="5:13" ht="31.5">
      <c r="E3895" s="261"/>
      <c r="F3895" s="261">
        <v>30</v>
      </c>
      <c r="G3895" s="261" t="s">
        <v>823</v>
      </c>
      <c r="H3895" s="268" t="s">
        <v>2628</v>
      </c>
      <c r="I3895" s="261">
        <f>I3885</f>
        <v>16.55</v>
      </c>
      <c r="J3895" s="261" t="s">
        <v>2529</v>
      </c>
      <c r="K3895" s="261">
        <f t="shared" si="106"/>
        <v>496.5</v>
      </c>
      <c r="L3895" s="261"/>
      <c r="M3895" s="261"/>
    </row>
    <row r="3896" spans="5:13">
      <c r="E3896" s="261"/>
      <c r="F3896" s="261"/>
      <c r="G3896" s="261"/>
      <c r="H3896" s="261" t="s">
        <v>911</v>
      </c>
      <c r="I3896" s="261"/>
      <c r="J3896" s="261"/>
      <c r="K3896" s="261">
        <f>K3829</f>
        <v>7635</v>
      </c>
      <c r="L3896" s="261"/>
      <c r="M3896" s="261"/>
    </row>
    <row r="3897" spans="5:13">
      <c r="E3897" s="261"/>
      <c r="F3897" s="261"/>
      <c r="G3897" s="261"/>
      <c r="H3897" s="261" t="s">
        <v>2261</v>
      </c>
      <c r="I3897" s="261"/>
      <c r="J3897" s="261"/>
      <c r="K3897" s="261">
        <v>8.3000000000000007</v>
      </c>
      <c r="L3897" s="261"/>
      <c r="M3897" s="261"/>
    </row>
    <row r="3898" spans="5:13">
      <c r="E3898" s="261"/>
      <c r="F3898" s="261"/>
      <c r="G3898" s="261"/>
      <c r="H3898" s="269" t="s">
        <v>2542</v>
      </c>
      <c r="I3898" s="261"/>
      <c r="J3898" s="261"/>
      <c r="K3898" s="270">
        <f>SUM(K3885:K3897)</f>
        <v>11069.09</v>
      </c>
      <c r="L3898" s="261"/>
      <c r="M3898" s="261"/>
    </row>
    <row r="3899" spans="5:13">
      <c r="E3899" s="261"/>
      <c r="F3899" s="261"/>
      <c r="G3899" s="261"/>
      <c r="H3899" s="271" t="s">
        <v>3137</v>
      </c>
      <c r="I3899" s="261"/>
      <c r="J3899" s="261"/>
      <c r="K3899" s="272">
        <f>K3898/5</f>
        <v>2213.8200000000002</v>
      </c>
      <c r="L3899" s="261"/>
      <c r="M3899" s="261"/>
    </row>
    <row r="3900" spans="5:13">
      <c r="E3900" s="261"/>
      <c r="F3900" s="261"/>
      <c r="G3900" s="261"/>
      <c r="H3900" s="272"/>
      <c r="I3900" s="261"/>
      <c r="J3900" s="261"/>
      <c r="K3900" s="261"/>
      <c r="L3900" s="261"/>
      <c r="M3900" s="261"/>
    </row>
    <row r="3901" spans="5:13">
      <c r="E3901" s="261"/>
      <c r="F3901" s="261"/>
      <c r="G3901" s="261"/>
      <c r="H3901" s="272" t="s">
        <v>1512</v>
      </c>
      <c r="I3901" s="261"/>
      <c r="J3901" s="261"/>
      <c r="K3901" s="261"/>
      <c r="L3901" s="261"/>
      <c r="M3901" s="261"/>
    </row>
    <row r="3902" spans="5:13">
      <c r="E3902" s="261"/>
      <c r="F3902" s="261"/>
      <c r="G3902" s="261"/>
      <c r="H3902" s="261"/>
      <c r="I3902" s="261"/>
      <c r="J3902" s="261"/>
      <c r="K3902" s="261"/>
      <c r="L3902" s="261"/>
      <c r="M3902" s="261"/>
    </row>
    <row r="3903" spans="5:13" ht="157.5">
      <c r="E3903" s="261"/>
      <c r="F3903" s="261"/>
      <c r="G3903" s="261"/>
      <c r="H3903" s="260" t="s">
        <v>2712</v>
      </c>
      <c r="I3903" s="261"/>
      <c r="J3903" s="261"/>
      <c r="K3903" s="261"/>
      <c r="L3903" s="261"/>
      <c r="M3903" s="261"/>
    </row>
    <row r="3904" spans="5:13" ht="31.5">
      <c r="E3904" s="261"/>
      <c r="F3904" s="261">
        <v>90</v>
      </c>
      <c r="G3904" s="261" t="s">
        <v>823</v>
      </c>
      <c r="H3904" s="268" t="s">
        <v>2528</v>
      </c>
      <c r="I3904" s="261">
        <f t="shared" ref="I3904:I3914" si="107">I2951</f>
        <v>16.55</v>
      </c>
      <c r="J3904" s="261" t="s">
        <v>3280</v>
      </c>
      <c r="K3904" s="261">
        <f t="shared" ref="K3904:K3914" si="108">F3904*I3904</f>
        <v>1489.5</v>
      </c>
      <c r="L3904" s="261"/>
      <c r="M3904" s="261"/>
    </row>
    <row r="3905" spans="5:13" ht="31.5">
      <c r="E3905" s="261"/>
      <c r="F3905" s="261">
        <v>45</v>
      </c>
      <c r="G3905" s="261" t="s">
        <v>823</v>
      </c>
      <c r="H3905" s="260" t="s">
        <v>2354</v>
      </c>
      <c r="I3905" s="261">
        <f t="shared" si="107"/>
        <v>20</v>
      </c>
      <c r="J3905" s="261" t="s">
        <v>823</v>
      </c>
      <c r="K3905" s="261">
        <f t="shared" si="108"/>
        <v>900</v>
      </c>
      <c r="L3905" s="261"/>
      <c r="M3905" s="261"/>
    </row>
    <row r="3906" spans="5:13">
      <c r="E3906" s="261"/>
      <c r="F3906" s="261">
        <v>20</v>
      </c>
      <c r="G3906" s="261" t="s">
        <v>1389</v>
      </c>
      <c r="H3906" s="261" t="s">
        <v>2356</v>
      </c>
      <c r="I3906" s="261">
        <f t="shared" si="107"/>
        <v>3.15</v>
      </c>
      <c r="J3906" s="261" t="s">
        <v>3368</v>
      </c>
      <c r="K3906" s="261">
        <f t="shared" si="108"/>
        <v>63</v>
      </c>
      <c r="L3906" s="261"/>
      <c r="M3906" s="261"/>
    </row>
    <row r="3907" spans="5:13">
      <c r="E3907" s="261"/>
      <c r="F3907" s="261">
        <v>10</v>
      </c>
      <c r="G3907" s="261" t="s">
        <v>1389</v>
      </c>
      <c r="H3907" s="261" t="s">
        <v>3365</v>
      </c>
      <c r="I3907" s="261">
        <f t="shared" si="107"/>
        <v>1.34</v>
      </c>
      <c r="J3907" s="261" t="s">
        <v>3368</v>
      </c>
      <c r="K3907" s="261">
        <f t="shared" si="108"/>
        <v>13.4</v>
      </c>
      <c r="L3907" s="261"/>
      <c r="M3907" s="261"/>
    </row>
    <row r="3908" spans="5:13" s="288" customFormat="1">
      <c r="E3908" s="285"/>
      <c r="F3908" s="707">
        <v>1</v>
      </c>
      <c r="G3908" s="707" t="s">
        <v>1389</v>
      </c>
      <c r="H3908" s="272" t="s">
        <v>3841</v>
      </c>
      <c r="I3908" s="707">
        <f>I2955</f>
        <v>58</v>
      </c>
      <c r="J3908" s="707" t="s">
        <v>1389</v>
      </c>
      <c r="K3908" s="707">
        <f t="shared" si="108"/>
        <v>58</v>
      </c>
      <c r="L3908" s="285"/>
      <c r="M3908" s="285"/>
    </row>
    <row r="3909" spans="5:13">
      <c r="E3909" s="261"/>
      <c r="F3909" s="265">
        <v>1.4999999999999999E-2</v>
      </c>
      <c r="G3909" s="261" t="s">
        <v>2273</v>
      </c>
      <c r="H3909" s="261" t="s">
        <v>2541</v>
      </c>
      <c r="I3909" s="261">
        <f t="shared" si="107"/>
        <v>661</v>
      </c>
      <c r="J3909" s="261" t="s">
        <v>2273</v>
      </c>
      <c r="K3909" s="261">
        <f t="shared" si="108"/>
        <v>9.92</v>
      </c>
      <c r="L3909" s="261"/>
      <c r="M3909" s="261"/>
    </row>
    <row r="3910" spans="5:13">
      <c r="E3910" s="261"/>
      <c r="F3910" s="261">
        <v>15</v>
      </c>
      <c r="G3910" s="261" t="s">
        <v>1389</v>
      </c>
      <c r="H3910" s="261" t="s">
        <v>2713</v>
      </c>
      <c r="I3910" s="261">
        <f t="shared" si="107"/>
        <v>40.31</v>
      </c>
      <c r="J3910" s="261" t="s">
        <v>1389</v>
      </c>
      <c r="K3910" s="261">
        <f t="shared" si="108"/>
        <v>604.65</v>
      </c>
      <c r="L3910" s="261"/>
      <c r="M3910" s="261"/>
    </row>
    <row r="3911" spans="5:13">
      <c r="E3911" s="261"/>
      <c r="F3911" s="264">
        <v>15</v>
      </c>
      <c r="G3911" s="264" t="s">
        <v>1389</v>
      </c>
      <c r="H3911" s="264" t="str">
        <f>H3908</f>
        <v>6" PVC Electrical Box (150mm)</v>
      </c>
      <c r="I3911" s="708">
        <f>I3908</f>
        <v>58</v>
      </c>
      <c r="J3911" s="264" t="s">
        <v>1389</v>
      </c>
      <c r="K3911" s="264">
        <f t="shared" si="108"/>
        <v>870</v>
      </c>
      <c r="L3911" s="261"/>
      <c r="M3911" s="261"/>
    </row>
    <row r="3912" spans="5:13">
      <c r="E3912" s="261"/>
      <c r="F3912" s="265">
        <v>0.22500000000000001</v>
      </c>
      <c r="G3912" s="261" t="s">
        <v>2273</v>
      </c>
      <c r="H3912" s="261" t="s">
        <v>2541</v>
      </c>
      <c r="I3912" s="261">
        <f t="shared" si="107"/>
        <v>661</v>
      </c>
      <c r="J3912" s="261" t="s">
        <v>2714</v>
      </c>
      <c r="K3912" s="261">
        <f t="shared" si="108"/>
        <v>148.72999999999999</v>
      </c>
      <c r="L3912" s="261"/>
      <c r="M3912" s="261"/>
    </row>
    <row r="3913" spans="5:13">
      <c r="E3913" s="261"/>
      <c r="F3913" s="261">
        <v>1.25</v>
      </c>
      <c r="G3913" s="261" t="s">
        <v>2622</v>
      </c>
      <c r="H3913" s="261" t="s">
        <v>387</v>
      </c>
      <c r="I3913" s="261">
        <f t="shared" si="107"/>
        <v>302</v>
      </c>
      <c r="J3913" s="261" t="s">
        <v>2622</v>
      </c>
      <c r="K3913" s="261">
        <f t="shared" si="108"/>
        <v>377.5</v>
      </c>
      <c r="L3913" s="261"/>
      <c r="M3913" s="261"/>
    </row>
    <row r="3914" spans="5:13" ht="31.5">
      <c r="E3914" s="261"/>
      <c r="F3914" s="261">
        <v>45</v>
      </c>
      <c r="G3914" s="261" t="s">
        <v>2273</v>
      </c>
      <c r="H3914" s="268" t="s">
        <v>2628</v>
      </c>
      <c r="I3914" s="261">
        <f t="shared" si="107"/>
        <v>16.55</v>
      </c>
      <c r="J3914" s="261" t="s">
        <v>3280</v>
      </c>
      <c r="K3914" s="261">
        <f t="shared" si="108"/>
        <v>744.75</v>
      </c>
      <c r="L3914" s="261"/>
      <c r="M3914" s="261"/>
    </row>
    <row r="3915" spans="5:13">
      <c r="E3915" s="261"/>
      <c r="F3915" s="261"/>
      <c r="G3915" s="261"/>
      <c r="H3915" s="261" t="s">
        <v>911</v>
      </c>
      <c r="I3915" s="261"/>
      <c r="J3915" s="261"/>
      <c r="K3915" s="261">
        <f>K3831</f>
        <v>5090</v>
      </c>
      <c r="L3915" s="261"/>
      <c r="M3915" s="261"/>
    </row>
    <row r="3916" spans="5:13">
      <c r="E3916" s="261"/>
      <c r="F3916" s="261"/>
      <c r="G3916" s="261"/>
      <c r="H3916" s="261" t="s">
        <v>2261</v>
      </c>
      <c r="I3916" s="261"/>
      <c r="J3916" s="261"/>
      <c r="K3916" s="261">
        <v>30.66</v>
      </c>
      <c r="L3916" s="261"/>
      <c r="M3916" s="261"/>
    </row>
    <row r="3917" spans="5:13">
      <c r="E3917" s="261"/>
      <c r="F3917" s="261"/>
      <c r="G3917" s="261"/>
      <c r="H3917" s="269" t="s">
        <v>2715</v>
      </c>
      <c r="I3917" s="261"/>
      <c r="J3917" s="261"/>
      <c r="K3917" s="270">
        <f>SUM(K3904:K3916)</f>
        <v>10400.11</v>
      </c>
      <c r="L3917" s="261"/>
      <c r="M3917" s="261"/>
    </row>
    <row r="3918" spans="5:13">
      <c r="E3918" s="261"/>
      <c r="F3918" s="261"/>
      <c r="G3918" s="261"/>
      <c r="H3918" s="271" t="s">
        <v>3137</v>
      </c>
      <c r="I3918" s="261"/>
      <c r="J3918" s="261"/>
      <c r="K3918" s="272">
        <f>K3917/15</f>
        <v>693.34</v>
      </c>
      <c r="L3918" s="261">
        <f>537*15</f>
        <v>8055</v>
      </c>
      <c r="M3918" s="261"/>
    </row>
    <row r="3919" spans="5:13">
      <c r="E3919" s="261"/>
      <c r="F3919" s="261"/>
      <c r="G3919" s="261"/>
      <c r="H3919" s="272" t="s">
        <v>911</v>
      </c>
      <c r="I3919" s="261"/>
      <c r="J3919" s="261"/>
      <c r="K3919" s="272"/>
      <c r="L3919" s="261">
        <f>L3918-K3917</f>
        <v>-2345.11</v>
      </c>
      <c r="M3919" s="261"/>
    </row>
    <row r="3920" spans="5:13">
      <c r="E3920" s="261"/>
      <c r="F3920" s="261">
        <v>1</v>
      </c>
      <c r="G3920" s="261" t="s">
        <v>1389</v>
      </c>
      <c r="H3920" s="261" t="s">
        <v>3289</v>
      </c>
      <c r="I3920" s="261">
        <f>I2866</f>
        <v>947</v>
      </c>
      <c r="J3920" s="261" t="s">
        <v>1389</v>
      </c>
      <c r="K3920" s="261">
        <f>F3920*I3920</f>
        <v>947</v>
      </c>
      <c r="L3920" s="261"/>
      <c r="M3920" s="261"/>
    </row>
    <row r="3921" spans="5:13">
      <c r="E3921" s="261"/>
      <c r="F3921" s="261">
        <v>2</v>
      </c>
      <c r="G3921" s="261" t="s">
        <v>1389</v>
      </c>
      <c r="H3921" s="261" t="s">
        <v>3290</v>
      </c>
      <c r="I3921" s="261">
        <f>I2867</f>
        <v>826</v>
      </c>
      <c r="J3921" s="261" t="s">
        <v>1389</v>
      </c>
      <c r="K3921" s="261">
        <f>F3921*I3921</f>
        <v>1652</v>
      </c>
      <c r="L3921" s="261"/>
      <c r="M3921" s="261"/>
    </row>
    <row r="3922" spans="5:13">
      <c r="E3922" s="261"/>
      <c r="F3922" s="261">
        <v>3</v>
      </c>
      <c r="G3922" s="261" t="s">
        <v>1389</v>
      </c>
      <c r="H3922" s="261" t="s">
        <v>3291</v>
      </c>
      <c r="I3922" s="261">
        <f>I2868</f>
        <v>820</v>
      </c>
      <c r="J3922" s="261" t="s">
        <v>1389</v>
      </c>
      <c r="K3922" s="261">
        <f>F3922*I3922</f>
        <v>2460</v>
      </c>
      <c r="L3922" s="261"/>
      <c r="M3922" s="261"/>
    </row>
    <row r="3923" spans="5:13">
      <c r="E3923" s="261"/>
      <c r="F3923" s="261">
        <v>4</v>
      </c>
      <c r="G3923" s="261" t="s">
        <v>1389</v>
      </c>
      <c r="H3923" s="261" t="s">
        <v>2321</v>
      </c>
      <c r="I3923" s="261">
        <f>I2869</f>
        <v>644</v>
      </c>
      <c r="J3923" s="261" t="s">
        <v>1389</v>
      </c>
      <c r="K3923" s="261">
        <f>F3923*I3923</f>
        <v>2576</v>
      </c>
      <c r="L3923" s="261"/>
      <c r="M3923" s="261"/>
    </row>
    <row r="3924" spans="5:13">
      <c r="E3924" s="261"/>
      <c r="F3924" s="261"/>
      <c r="G3924" s="261"/>
      <c r="H3924" s="271"/>
      <c r="I3924" s="261"/>
      <c r="J3924" s="261"/>
      <c r="K3924" s="272">
        <f>SUM(K3920:K3923)</f>
        <v>7635</v>
      </c>
      <c r="L3924" s="261"/>
      <c r="M3924" s="261"/>
    </row>
    <row r="3925" spans="5:13">
      <c r="E3925" s="261"/>
      <c r="F3925" s="261"/>
      <c r="G3925" s="261"/>
      <c r="H3925" s="271"/>
      <c r="I3925" s="261"/>
      <c r="J3925" s="261"/>
      <c r="K3925" s="272"/>
      <c r="L3925" s="261"/>
      <c r="M3925" s="261"/>
    </row>
    <row r="3926" spans="5:13">
      <c r="E3926" s="261"/>
      <c r="F3926" s="261"/>
      <c r="G3926" s="261"/>
      <c r="H3926" s="271"/>
      <c r="I3926" s="261"/>
      <c r="J3926" s="261"/>
      <c r="K3926" s="272"/>
      <c r="L3926" s="261"/>
      <c r="M3926" s="261"/>
    </row>
    <row r="3927" spans="5:13">
      <c r="E3927" s="261"/>
      <c r="F3927" s="261"/>
      <c r="G3927" s="261"/>
      <c r="H3927" s="272" t="s">
        <v>2381</v>
      </c>
      <c r="I3927" s="261"/>
      <c r="J3927" s="261"/>
      <c r="K3927" s="261"/>
      <c r="L3927" s="261"/>
      <c r="M3927" s="261"/>
    </row>
    <row r="3928" spans="5:13">
      <c r="E3928" s="261"/>
      <c r="F3928" s="261"/>
      <c r="G3928" s="261"/>
      <c r="H3928" s="261"/>
      <c r="I3928" s="261"/>
      <c r="J3928" s="261"/>
      <c r="K3928" s="261"/>
      <c r="L3928" s="261"/>
      <c r="M3928" s="261"/>
    </row>
    <row r="3929" spans="5:13" ht="110.25">
      <c r="E3929" s="261"/>
      <c r="F3929" s="261"/>
      <c r="G3929" s="261"/>
      <c r="H3929" s="260" t="s">
        <v>3503</v>
      </c>
      <c r="I3929" s="261"/>
      <c r="J3929" s="261"/>
      <c r="K3929" s="261"/>
      <c r="L3929" s="261"/>
      <c r="M3929" s="261"/>
    </row>
    <row r="3930" spans="5:13">
      <c r="E3930" s="261"/>
      <c r="F3930" s="261"/>
      <c r="G3930" s="261"/>
      <c r="H3930" s="261"/>
      <c r="I3930" s="261"/>
      <c r="J3930" s="261"/>
      <c r="K3930" s="261"/>
      <c r="L3930" s="261"/>
      <c r="M3930" s="261"/>
    </row>
    <row r="3931" spans="5:13" ht="31.5">
      <c r="E3931" s="261"/>
      <c r="F3931" s="261">
        <v>180</v>
      </c>
      <c r="G3931" s="261" t="s">
        <v>823</v>
      </c>
      <c r="H3931" s="268" t="s">
        <v>2528</v>
      </c>
      <c r="I3931" s="261">
        <f>I3072</f>
        <v>16.55</v>
      </c>
      <c r="J3931" s="261" t="s">
        <v>823</v>
      </c>
      <c r="K3931" s="261">
        <f>I3931*F3931</f>
        <v>2979</v>
      </c>
      <c r="L3931" s="261"/>
      <c r="M3931" s="261"/>
    </row>
    <row r="3932" spans="5:13" ht="31.5">
      <c r="E3932" s="261"/>
      <c r="F3932" s="261">
        <v>90</v>
      </c>
      <c r="G3932" s="261" t="s">
        <v>823</v>
      </c>
      <c r="H3932" s="260" t="s">
        <v>2354</v>
      </c>
      <c r="I3932" s="261">
        <f>I3073</f>
        <v>20</v>
      </c>
      <c r="J3932" s="261" t="s">
        <v>823</v>
      </c>
      <c r="K3932" s="261">
        <f>I3932*F3932</f>
        <v>1800</v>
      </c>
      <c r="L3932" s="261"/>
      <c r="M3932" s="261"/>
    </row>
    <row r="3933" spans="5:13">
      <c r="E3933" s="261"/>
      <c r="F3933" s="261">
        <v>1</v>
      </c>
      <c r="G3933" s="261" t="s">
        <v>3105</v>
      </c>
      <c r="H3933" s="260" t="s">
        <v>3106</v>
      </c>
      <c r="I3933" s="264">
        <f>Elec.Data!I1111</f>
        <v>287</v>
      </c>
      <c r="J3933" s="261" t="s">
        <v>3105</v>
      </c>
      <c r="K3933" s="261">
        <f>I3933*F3933</f>
        <v>287</v>
      </c>
      <c r="L3933" s="261"/>
      <c r="M3933" s="261"/>
    </row>
    <row r="3934" spans="5:13">
      <c r="E3934" s="261"/>
      <c r="F3934" s="261">
        <v>300</v>
      </c>
      <c r="G3934" s="261" t="s">
        <v>1427</v>
      </c>
      <c r="H3934" s="260" t="s">
        <v>3107</v>
      </c>
      <c r="I3934" s="264">
        <f>Elec.Data!I1112</f>
        <v>69.400000000000006</v>
      </c>
      <c r="J3934" s="261" t="s">
        <v>3109</v>
      </c>
      <c r="K3934" s="261">
        <f>(I3934*F3934)/1000</f>
        <v>20.82</v>
      </c>
      <c r="L3934" s="261"/>
      <c r="M3934" s="261"/>
    </row>
    <row r="3935" spans="5:13">
      <c r="E3935" s="261"/>
      <c r="F3935" s="261">
        <v>2</v>
      </c>
      <c r="G3935" s="261" t="s">
        <v>2626</v>
      </c>
      <c r="H3935" s="260" t="s">
        <v>3108</v>
      </c>
      <c r="I3935" s="261">
        <f>I3804</f>
        <v>84.1</v>
      </c>
      <c r="J3935" s="261" t="s">
        <v>3105</v>
      </c>
      <c r="K3935" s="261">
        <f>I3935*F3935</f>
        <v>168.2</v>
      </c>
      <c r="L3935" s="261"/>
      <c r="M3935" s="261"/>
    </row>
    <row r="3936" spans="5:13">
      <c r="E3936" s="261"/>
      <c r="F3936" s="261">
        <v>0.33</v>
      </c>
      <c r="G3936" s="261" t="s">
        <v>2622</v>
      </c>
      <c r="H3936" s="261" t="s">
        <v>387</v>
      </c>
      <c r="I3936" s="261">
        <f>I3074</f>
        <v>302</v>
      </c>
      <c r="J3936" s="261" t="s">
        <v>2622</v>
      </c>
      <c r="K3936" s="261">
        <f>I3936*F3936</f>
        <v>99.66</v>
      </c>
      <c r="L3936" s="261"/>
      <c r="M3936" s="261"/>
    </row>
    <row r="3937" spans="5:13" ht="31.5">
      <c r="E3937" s="261"/>
      <c r="F3937" s="261">
        <v>90</v>
      </c>
      <c r="G3937" s="261" t="s">
        <v>823</v>
      </c>
      <c r="H3937" s="268" t="s">
        <v>2628</v>
      </c>
      <c r="I3937" s="261">
        <f>I3075</f>
        <v>16.55</v>
      </c>
      <c r="J3937" s="261" t="s">
        <v>2529</v>
      </c>
      <c r="K3937" s="261">
        <f>I3937*F3937</f>
        <v>1489.5</v>
      </c>
      <c r="L3937" s="261"/>
      <c r="M3937" s="261"/>
    </row>
    <row r="3938" spans="5:13">
      <c r="E3938" s="261"/>
      <c r="F3938" s="321" t="s">
        <v>3112</v>
      </c>
      <c r="G3938" s="261"/>
      <c r="H3938" s="261" t="s">
        <v>911</v>
      </c>
      <c r="I3938" s="261">
        <f>K3924</f>
        <v>7635</v>
      </c>
      <c r="J3938" s="261"/>
      <c r="K3938" s="261">
        <f>2/3*I3938</f>
        <v>5090</v>
      </c>
      <c r="L3938" s="261"/>
      <c r="M3938" s="261"/>
    </row>
    <row r="3939" spans="5:13">
      <c r="E3939" s="261"/>
      <c r="F3939" s="261"/>
      <c r="G3939" s="261"/>
      <c r="H3939" s="261"/>
      <c r="I3939" s="261"/>
      <c r="J3939" s="261"/>
      <c r="K3939" s="261">
        <f>SUM(K3931:K3938)</f>
        <v>11934.18</v>
      </c>
      <c r="L3939" s="261"/>
      <c r="M3939" s="261"/>
    </row>
    <row r="3940" spans="5:13">
      <c r="E3940" s="261"/>
      <c r="F3940" s="261"/>
      <c r="G3940" s="261"/>
      <c r="H3940" s="261" t="s">
        <v>2261</v>
      </c>
      <c r="I3940" s="261"/>
      <c r="J3940" s="261"/>
      <c r="K3940" s="261">
        <v>52.28</v>
      </c>
      <c r="L3940" s="261"/>
      <c r="M3940" s="261"/>
    </row>
    <row r="3941" spans="5:13">
      <c r="E3941" s="261"/>
      <c r="F3941" s="261"/>
      <c r="G3941" s="261"/>
      <c r="H3941" s="269" t="s">
        <v>2383</v>
      </c>
      <c r="I3941" s="261"/>
      <c r="J3941" s="261"/>
      <c r="K3941" s="270">
        <f>SUM(K3939:K3940)</f>
        <v>11986.46</v>
      </c>
      <c r="L3941" s="261"/>
      <c r="M3941" s="261"/>
    </row>
    <row r="3942" spans="5:13">
      <c r="E3942" s="261"/>
      <c r="F3942" s="261"/>
      <c r="G3942" s="261"/>
      <c r="H3942" s="271" t="s">
        <v>2384</v>
      </c>
      <c r="I3942" s="261"/>
      <c r="J3942" s="261"/>
      <c r="K3942" s="272">
        <f>K3941/90</f>
        <v>133.18</v>
      </c>
      <c r="L3942" s="261"/>
      <c r="M3942" s="261"/>
    </row>
    <row r="3943" spans="5:13">
      <c r="E3943" s="261"/>
      <c r="F3943" s="261"/>
      <c r="G3943" s="261"/>
      <c r="H3943" s="261"/>
      <c r="I3943" s="261"/>
      <c r="J3943" s="261"/>
      <c r="K3943" s="261"/>
      <c r="L3943" s="261"/>
      <c r="M3943" s="261"/>
    </row>
    <row r="3944" spans="5:13">
      <c r="E3944" s="261"/>
      <c r="F3944" s="261"/>
      <c r="G3944" s="261"/>
      <c r="H3944" s="272" t="s">
        <v>3110</v>
      </c>
      <c r="I3944" s="261"/>
      <c r="J3944" s="261"/>
      <c r="K3944" s="261"/>
      <c r="L3944" s="261"/>
      <c r="M3944" s="261"/>
    </row>
    <row r="3945" spans="5:13">
      <c r="E3945" s="261"/>
      <c r="F3945" s="261"/>
      <c r="G3945" s="261"/>
      <c r="H3945" s="261"/>
      <c r="I3945" s="261"/>
      <c r="J3945" s="261"/>
      <c r="K3945" s="261"/>
      <c r="L3945" s="261"/>
      <c r="M3945" s="261"/>
    </row>
    <row r="3946" spans="5:13" ht="110.25">
      <c r="E3946" s="261"/>
      <c r="F3946" s="261"/>
      <c r="G3946" s="261"/>
      <c r="H3946" s="260" t="s">
        <v>2984</v>
      </c>
      <c r="I3946" s="261"/>
      <c r="J3946" s="261"/>
      <c r="K3946" s="261"/>
      <c r="L3946" s="261"/>
      <c r="M3946" s="261"/>
    </row>
    <row r="3947" spans="5:13">
      <c r="E3947" s="261"/>
      <c r="F3947" s="261"/>
      <c r="G3947" s="261"/>
      <c r="H3947" s="261"/>
      <c r="I3947" s="261"/>
      <c r="J3947" s="261"/>
      <c r="K3947" s="261"/>
      <c r="L3947" s="261"/>
      <c r="M3947" s="261"/>
    </row>
    <row r="3948" spans="5:13">
      <c r="E3948" s="261"/>
      <c r="F3948" s="261"/>
      <c r="G3948" s="261"/>
      <c r="H3948" s="261" t="s">
        <v>3111</v>
      </c>
      <c r="I3948" s="261"/>
      <c r="J3948" s="261"/>
      <c r="K3948" s="261">
        <f>K3941</f>
        <v>11986.46</v>
      </c>
      <c r="L3948" s="261"/>
      <c r="M3948" s="261"/>
    </row>
    <row r="3949" spans="5:13" ht="31.5">
      <c r="E3949" s="261"/>
      <c r="F3949" s="261">
        <v>180</v>
      </c>
      <c r="G3949" s="261" t="s">
        <v>823</v>
      </c>
      <c r="H3949" s="260" t="s">
        <v>3216</v>
      </c>
      <c r="I3949" s="261">
        <f>I3088</f>
        <v>20.3</v>
      </c>
      <c r="J3949" s="261" t="s">
        <v>823</v>
      </c>
      <c r="K3949" s="261">
        <f>F3949*I3949</f>
        <v>3654</v>
      </c>
      <c r="L3949" s="261"/>
      <c r="M3949" s="261"/>
    </row>
    <row r="3950" spans="5:13" ht="31.5">
      <c r="E3950" s="261"/>
      <c r="F3950" s="261">
        <v>180</v>
      </c>
      <c r="G3950" s="261" t="s">
        <v>823</v>
      </c>
      <c r="H3950" s="260" t="s">
        <v>2933</v>
      </c>
      <c r="I3950" s="261">
        <f>I3931</f>
        <v>16.55</v>
      </c>
      <c r="J3950" s="261" t="s">
        <v>2529</v>
      </c>
      <c r="K3950" s="261">
        <f>F3950*I3950</f>
        <v>2979</v>
      </c>
      <c r="L3950" s="261"/>
      <c r="M3950" s="261"/>
    </row>
    <row r="3951" spans="5:13">
      <c r="E3951" s="261"/>
      <c r="F3951" s="261"/>
      <c r="G3951" s="261"/>
      <c r="H3951" s="261" t="s">
        <v>2261</v>
      </c>
      <c r="I3951" s="261"/>
      <c r="J3951" s="261"/>
      <c r="K3951" s="261">
        <v>36</v>
      </c>
      <c r="L3951" s="261"/>
      <c r="M3951" s="261"/>
    </row>
    <row r="3952" spans="5:13">
      <c r="E3952" s="261"/>
      <c r="F3952" s="261"/>
      <c r="G3952" s="261"/>
      <c r="H3952" s="269" t="s">
        <v>2934</v>
      </c>
      <c r="I3952" s="261"/>
      <c r="J3952" s="261"/>
      <c r="K3952" s="270">
        <f>K3948+K3949-K3950+K3951</f>
        <v>12697.46</v>
      </c>
      <c r="L3952" s="261"/>
      <c r="M3952" s="261"/>
    </row>
    <row r="3953" spans="5:13">
      <c r="E3953" s="261"/>
      <c r="F3953" s="261"/>
      <c r="G3953" s="261"/>
      <c r="H3953" s="271" t="s">
        <v>2384</v>
      </c>
      <c r="I3953" s="261"/>
      <c r="J3953" s="261"/>
      <c r="K3953" s="272">
        <f>K3952/90</f>
        <v>141.08000000000001</v>
      </c>
      <c r="L3953" s="261"/>
      <c r="M3953" s="261"/>
    </row>
    <row r="3954" spans="5:13">
      <c r="E3954" s="261"/>
      <c r="F3954" s="261"/>
      <c r="G3954" s="261"/>
      <c r="H3954" s="261"/>
      <c r="I3954" s="261"/>
      <c r="J3954" s="261"/>
      <c r="K3954" s="261"/>
      <c r="L3954" s="261"/>
      <c r="M3954" s="261"/>
    </row>
    <row r="3955" spans="5:13">
      <c r="E3955" s="261"/>
      <c r="F3955" s="261"/>
      <c r="G3955" s="261"/>
      <c r="H3955" s="261"/>
      <c r="I3955" s="261"/>
      <c r="J3955" s="261"/>
      <c r="K3955" s="261"/>
      <c r="L3955" s="261"/>
      <c r="M3955" s="261"/>
    </row>
    <row r="3956" spans="5:13">
      <c r="E3956" s="261"/>
      <c r="F3956" s="261"/>
      <c r="G3956" s="261"/>
      <c r="H3956" s="272"/>
      <c r="I3956" s="261"/>
      <c r="J3956" s="261"/>
      <c r="K3956" s="261"/>
      <c r="L3956" s="261"/>
      <c r="M3956" s="261"/>
    </row>
    <row r="3957" spans="5:13">
      <c r="E3957" s="261"/>
      <c r="F3957" s="261"/>
      <c r="G3957" s="261"/>
      <c r="H3957" s="260"/>
      <c r="I3957" s="261"/>
      <c r="J3957" s="261"/>
      <c r="K3957" s="261"/>
      <c r="L3957" s="261"/>
      <c r="M3957" s="261"/>
    </row>
    <row r="3958" spans="5:13">
      <c r="E3958" s="261"/>
      <c r="F3958" s="261"/>
      <c r="G3958" s="261"/>
      <c r="H3958" s="268"/>
      <c r="I3958" s="261"/>
      <c r="J3958" s="261"/>
      <c r="K3958" s="261"/>
      <c r="L3958" s="261"/>
      <c r="M3958" s="261"/>
    </row>
    <row r="3959" spans="5:13">
      <c r="E3959" s="261"/>
      <c r="F3959" s="261"/>
      <c r="G3959" s="261"/>
      <c r="H3959" s="260"/>
      <c r="I3959" s="261"/>
      <c r="J3959" s="261"/>
      <c r="K3959" s="261"/>
      <c r="L3959" s="261"/>
      <c r="M3959" s="261"/>
    </row>
    <row r="3960" spans="5:13">
      <c r="E3960" s="261"/>
      <c r="F3960" s="261"/>
      <c r="G3960" s="261"/>
      <c r="H3960" s="261"/>
      <c r="I3960" s="261"/>
      <c r="J3960" s="261"/>
      <c r="K3960" s="261"/>
      <c r="L3960" s="261"/>
      <c r="M3960" s="261"/>
    </row>
    <row r="3961" spans="5:13">
      <c r="E3961" s="261"/>
      <c r="F3961" s="261"/>
      <c r="G3961" s="261"/>
      <c r="H3961" s="261"/>
      <c r="I3961" s="261"/>
      <c r="J3961" s="261"/>
      <c r="K3961" s="261"/>
      <c r="L3961" s="261"/>
      <c r="M3961" s="261"/>
    </row>
    <row r="3962" spans="5:13">
      <c r="E3962" s="261"/>
      <c r="F3962" s="261"/>
      <c r="G3962" s="261"/>
      <c r="H3962" s="261"/>
      <c r="I3962" s="261"/>
      <c r="J3962" s="261"/>
      <c r="K3962" s="261"/>
      <c r="L3962" s="261"/>
      <c r="M3962" s="261"/>
    </row>
    <row r="3963" spans="5:13">
      <c r="E3963" s="261"/>
      <c r="F3963" s="261"/>
      <c r="G3963" s="261"/>
      <c r="H3963" s="261"/>
      <c r="I3963" s="261"/>
      <c r="J3963" s="261"/>
      <c r="K3963" s="261"/>
      <c r="L3963" s="261"/>
      <c r="M3963" s="261"/>
    </row>
    <row r="3964" spans="5:13">
      <c r="E3964" s="261"/>
      <c r="F3964" s="261"/>
      <c r="G3964" s="261"/>
      <c r="H3964" s="261"/>
      <c r="I3964" s="261"/>
      <c r="J3964" s="261"/>
      <c r="K3964" s="261"/>
      <c r="L3964" s="261"/>
      <c r="M3964" s="261"/>
    </row>
    <row r="3965" spans="5:13">
      <c r="E3965" s="261"/>
      <c r="F3965" s="261"/>
      <c r="G3965" s="261"/>
      <c r="H3965" s="261"/>
      <c r="I3965" s="261"/>
      <c r="J3965" s="261"/>
      <c r="K3965" s="261"/>
      <c r="L3965" s="261"/>
      <c r="M3965" s="261"/>
    </row>
    <row r="3966" spans="5:13">
      <c r="E3966" s="261"/>
      <c r="F3966" s="261"/>
      <c r="G3966" s="261"/>
      <c r="H3966" s="261"/>
      <c r="I3966" s="261"/>
      <c r="J3966" s="261"/>
      <c r="K3966" s="261"/>
      <c r="L3966" s="261"/>
      <c r="M3966" s="261"/>
    </row>
    <row r="3967" spans="5:13">
      <c r="E3967" s="261"/>
      <c r="F3967" s="261"/>
      <c r="G3967" s="261"/>
      <c r="H3967" s="261"/>
      <c r="I3967" s="261"/>
      <c r="J3967" s="261"/>
      <c r="K3967" s="261"/>
      <c r="L3967" s="261"/>
      <c r="M3967" s="261"/>
    </row>
    <row r="3968" spans="5:13">
      <c r="E3968" s="261"/>
      <c r="F3968" s="261"/>
      <c r="G3968" s="261"/>
      <c r="H3968" s="268"/>
      <c r="I3968" s="261"/>
      <c r="J3968" s="261"/>
      <c r="K3968" s="261"/>
      <c r="L3968" s="261"/>
      <c r="M3968" s="261"/>
    </row>
    <row r="3969" spans="5:13">
      <c r="E3969" s="261"/>
      <c r="F3969" s="261"/>
      <c r="G3969" s="261"/>
      <c r="H3969" s="261"/>
      <c r="I3969" s="261"/>
      <c r="J3969" s="261"/>
      <c r="K3969" s="261"/>
      <c r="L3969" s="261"/>
      <c r="M3969" s="261"/>
    </row>
    <row r="3970" spans="5:13">
      <c r="E3970" s="261"/>
      <c r="F3970" s="261"/>
      <c r="G3970" s="261"/>
      <c r="H3970" s="261"/>
      <c r="I3970" s="261"/>
      <c r="J3970" s="261"/>
      <c r="K3970" s="261"/>
      <c r="L3970" s="261"/>
      <c r="M3970" s="261"/>
    </row>
    <row r="3971" spans="5:13">
      <c r="E3971" s="261"/>
      <c r="F3971" s="261"/>
      <c r="G3971" s="261"/>
      <c r="H3971" s="269"/>
      <c r="I3971" s="261"/>
      <c r="J3971" s="261"/>
      <c r="K3971" s="270"/>
      <c r="L3971" s="261"/>
      <c r="M3971" s="261"/>
    </row>
    <row r="3972" spans="5:13">
      <c r="E3972" s="261"/>
      <c r="F3972" s="261"/>
      <c r="G3972" s="261"/>
      <c r="H3972" s="271"/>
      <c r="I3972" s="261"/>
      <c r="J3972" s="261"/>
      <c r="K3972" s="272"/>
      <c r="L3972" s="261"/>
      <c r="M3972" s="261"/>
    </row>
    <row r="3973" spans="5:13">
      <c r="E3973" s="261"/>
      <c r="F3973" s="261"/>
      <c r="G3973" s="261"/>
      <c r="H3973" s="261"/>
      <c r="I3973" s="261"/>
      <c r="J3973" s="261"/>
      <c r="K3973" s="261"/>
      <c r="L3973" s="261"/>
      <c r="M3973" s="261"/>
    </row>
    <row r="3974" spans="5:13">
      <c r="E3974" s="261"/>
      <c r="F3974" s="261"/>
      <c r="G3974" s="261"/>
      <c r="H3974" s="261"/>
      <c r="I3974" s="261"/>
      <c r="J3974" s="261"/>
      <c r="K3974" s="261"/>
      <c r="L3974" s="261"/>
      <c r="M3974" s="261"/>
    </row>
    <row r="3975" spans="5:13">
      <c r="E3975" s="261"/>
      <c r="F3975" s="261"/>
      <c r="G3975" s="261"/>
      <c r="H3975" s="261"/>
      <c r="I3975" s="261"/>
      <c r="J3975" s="261"/>
      <c r="K3975" s="261"/>
      <c r="L3975" s="261"/>
      <c r="M3975" s="261"/>
    </row>
    <row r="3976" spans="5:13">
      <c r="E3976" s="261"/>
      <c r="F3976" s="261"/>
      <c r="G3976" s="261"/>
      <c r="H3976" s="261"/>
      <c r="I3976" s="261"/>
      <c r="J3976" s="261"/>
      <c r="K3976" s="261"/>
      <c r="L3976" s="261"/>
      <c r="M3976" s="261"/>
    </row>
    <row r="3977" spans="5:13">
      <c r="E3977" s="261"/>
      <c r="F3977" s="261"/>
      <c r="G3977" s="261"/>
      <c r="H3977" s="261"/>
      <c r="I3977" s="261"/>
      <c r="J3977" s="261"/>
      <c r="K3977" s="261"/>
      <c r="L3977" s="261"/>
      <c r="M3977" s="261"/>
    </row>
    <row r="3978" spans="5:13">
      <c r="E3978" s="261"/>
      <c r="F3978" s="261"/>
      <c r="G3978" s="261"/>
      <c r="H3978" s="261"/>
      <c r="I3978" s="261"/>
      <c r="J3978" s="261"/>
      <c r="K3978" s="261"/>
      <c r="L3978" s="261"/>
      <c r="M3978" s="261"/>
    </row>
    <row r="3979" spans="5:13">
      <c r="E3979" s="261"/>
      <c r="F3979" s="261"/>
      <c r="G3979" s="261"/>
      <c r="H3979" s="261"/>
      <c r="I3979" s="261"/>
      <c r="J3979" s="261"/>
      <c r="K3979" s="261"/>
      <c r="L3979" s="261"/>
      <c r="M3979" s="261"/>
    </row>
    <row r="3980" spans="5:13">
      <c r="E3980" s="261"/>
      <c r="F3980" s="261"/>
      <c r="G3980" s="261"/>
      <c r="H3980" s="261"/>
      <c r="I3980" s="261"/>
      <c r="J3980" s="261"/>
      <c r="K3980" s="261"/>
      <c r="L3980" s="261"/>
      <c r="M3980" s="261"/>
    </row>
    <row r="3981" spans="5:13">
      <c r="E3981" s="261"/>
      <c r="F3981" s="261"/>
      <c r="G3981" s="261"/>
      <c r="H3981" s="261"/>
      <c r="I3981" s="261"/>
      <c r="J3981" s="261"/>
      <c r="K3981" s="261"/>
      <c r="L3981" s="261"/>
      <c r="M3981" s="261"/>
    </row>
    <row r="3982" spans="5:13">
      <c r="E3982" s="261"/>
      <c r="F3982" s="261"/>
      <c r="G3982" s="261"/>
      <c r="H3982" s="261"/>
      <c r="I3982" s="261"/>
      <c r="J3982" s="261"/>
      <c r="K3982" s="261"/>
      <c r="L3982" s="261"/>
      <c r="M3982" s="261"/>
    </row>
    <row r="3983" spans="5:13">
      <c r="E3983" s="261"/>
      <c r="F3983" s="261"/>
      <c r="G3983" s="261"/>
      <c r="H3983" s="261"/>
      <c r="I3983" s="261"/>
      <c r="J3983" s="261"/>
      <c r="K3983" s="261"/>
      <c r="L3983" s="261"/>
      <c r="M3983" s="261"/>
    </row>
    <row r="3984" spans="5:13">
      <c r="E3984" s="261"/>
      <c r="F3984" s="261"/>
      <c r="G3984" s="261"/>
      <c r="H3984" s="261"/>
      <c r="I3984" s="261"/>
      <c r="J3984" s="261"/>
      <c r="K3984" s="261"/>
      <c r="L3984" s="261"/>
      <c r="M3984" s="261"/>
    </row>
    <row r="3985" spans="5:13">
      <c r="E3985" s="261"/>
      <c r="F3985" s="261"/>
      <c r="G3985" s="261"/>
      <c r="H3985" s="261"/>
      <c r="I3985" s="261"/>
      <c r="J3985" s="261"/>
      <c r="K3985" s="261"/>
      <c r="L3985" s="261"/>
      <c r="M3985" s="261"/>
    </row>
    <row r="3986" spans="5:13">
      <c r="E3986" s="261"/>
      <c r="F3986" s="261"/>
      <c r="G3986" s="261"/>
      <c r="H3986" s="261"/>
      <c r="I3986" s="261"/>
      <c r="J3986" s="261"/>
      <c r="K3986" s="261"/>
      <c r="L3986" s="261"/>
      <c r="M3986" s="261"/>
    </row>
    <row r="3987" spans="5:13">
      <c r="E3987" s="261"/>
      <c r="F3987" s="261"/>
      <c r="G3987" s="261"/>
      <c r="H3987" s="261"/>
      <c r="I3987" s="261"/>
      <c r="J3987" s="261"/>
      <c r="K3987" s="261"/>
      <c r="L3987" s="261"/>
      <c r="M3987" s="261"/>
    </row>
    <row r="3988" spans="5:13">
      <c r="E3988" s="261"/>
      <c r="F3988" s="261"/>
      <c r="G3988" s="261"/>
      <c r="H3988" s="261"/>
      <c r="I3988" s="261"/>
      <c r="J3988" s="261"/>
      <c r="K3988" s="261"/>
      <c r="L3988" s="261"/>
      <c r="M3988" s="261"/>
    </row>
    <row r="3989" spans="5:13">
      <c r="E3989" s="261"/>
      <c r="F3989" s="261"/>
      <c r="G3989" s="261"/>
      <c r="H3989" s="261"/>
      <c r="I3989" s="261"/>
      <c r="J3989" s="261"/>
      <c r="K3989" s="261"/>
      <c r="L3989" s="261"/>
      <c r="M3989" s="261"/>
    </row>
    <row r="3990" spans="5:13">
      <c r="E3990" s="261"/>
      <c r="F3990" s="261"/>
      <c r="G3990" s="261"/>
      <c r="H3990" s="261"/>
      <c r="I3990" s="261"/>
      <c r="J3990" s="261"/>
      <c r="K3990" s="261"/>
      <c r="L3990" s="261"/>
      <c r="M3990" s="261"/>
    </row>
    <row r="3991" spans="5:13">
      <c r="E3991" s="261"/>
      <c r="F3991" s="261"/>
      <c r="G3991" s="261"/>
      <c r="H3991" s="261"/>
      <c r="I3991" s="261"/>
      <c r="J3991" s="261"/>
      <c r="K3991" s="261"/>
      <c r="L3991" s="261"/>
      <c r="M3991" s="261"/>
    </row>
    <row r="3992" spans="5:13">
      <c r="E3992" s="261"/>
      <c r="F3992" s="261"/>
      <c r="G3992" s="261"/>
      <c r="H3992" s="261"/>
      <c r="I3992" s="261"/>
      <c r="J3992" s="261"/>
      <c r="K3992" s="261"/>
      <c r="L3992" s="261"/>
      <c r="M3992" s="261"/>
    </row>
    <row r="3993" spans="5:13">
      <c r="E3993" s="261"/>
      <c r="F3993" s="261"/>
      <c r="G3993" s="261"/>
      <c r="H3993" s="261"/>
      <c r="I3993" s="261"/>
      <c r="J3993" s="261"/>
      <c r="K3993" s="261"/>
      <c r="L3993" s="261"/>
      <c r="M3993" s="261"/>
    </row>
    <row r="3994" spans="5:13">
      <c r="E3994" s="261"/>
      <c r="F3994" s="261"/>
      <c r="G3994" s="261"/>
      <c r="H3994" s="261"/>
      <c r="I3994" s="261"/>
      <c r="J3994" s="261"/>
      <c r="K3994" s="261"/>
      <c r="L3994" s="261"/>
      <c r="M3994" s="261"/>
    </row>
    <row r="3995" spans="5:13">
      <c r="E3995" s="261"/>
      <c r="F3995" s="261"/>
      <c r="G3995" s="261"/>
      <c r="H3995" s="261"/>
      <c r="I3995" s="261"/>
      <c r="J3995" s="261"/>
      <c r="K3995" s="261"/>
      <c r="L3995" s="261"/>
      <c r="M3995" s="261"/>
    </row>
    <row r="3996" spans="5:13">
      <c r="E3996" s="261"/>
      <c r="F3996" s="261"/>
      <c r="G3996" s="261"/>
      <c r="H3996" s="261"/>
      <c r="I3996" s="261"/>
      <c r="J3996" s="261"/>
      <c r="K3996" s="261"/>
      <c r="L3996" s="261"/>
      <c r="M3996" s="261"/>
    </row>
    <row r="3997" spans="5:13">
      <c r="E3997" s="261"/>
      <c r="F3997" s="261"/>
      <c r="G3997" s="261"/>
      <c r="H3997" s="261"/>
      <c r="I3997" s="261"/>
      <c r="J3997" s="261"/>
      <c r="K3997" s="261"/>
      <c r="L3997" s="261"/>
      <c r="M3997" s="261"/>
    </row>
    <row r="3998" spans="5:13">
      <c r="E3998" s="261"/>
      <c r="F3998" s="261"/>
      <c r="G3998" s="261"/>
      <c r="H3998" s="261"/>
      <c r="I3998" s="261"/>
      <c r="J3998" s="261"/>
      <c r="K3998" s="261"/>
      <c r="L3998" s="261"/>
      <c r="M3998" s="261"/>
    </row>
    <row r="3999" spans="5:13">
      <c r="E3999" s="261"/>
      <c r="F3999" s="261"/>
      <c r="G3999" s="261"/>
      <c r="H3999" s="261"/>
      <c r="I3999" s="261"/>
      <c r="J3999" s="261"/>
      <c r="K3999" s="261"/>
      <c r="L3999" s="261"/>
      <c r="M3999" s="261"/>
    </row>
    <row r="4000" spans="5:13">
      <c r="E4000" s="261"/>
      <c r="F4000" s="261"/>
      <c r="G4000" s="261"/>
      <c r="H4000" s="261"/>
      <c r="I4000" s="261"/>
      <c r="J4000" s="261"/>
      <c r="K4000" s="261"/>
      <c r="L4000" s="261"/>
      <c r="M4000" s="261"/>
    </row>
    <row r="4001" spans="5:13">
      <c r="E4001" s="261"/>
      <c r="F4001" s="261"/>
      <c r="G4001" s="261"/>
      <c r="H4001" s="261"/>
      <c r="I4001" s="261"/>
      <c r="J4001" s="261"/>
      <c r="K4001" s="261"/>
      <c r="L4001" s="261"/>
      <c r="M4001" s="261"/>
    </row>
    <row r="4002" spans="5:13">
      <c r="E4002" s="261"/>
      <c r="F4002" s="261"/>
      <c r="G4002" s="261"/>
      <c r="H4002" s="261"/>
      <c r="I4002" s="261"/>
      <c r="J4002" s="261"/>
      <c r="K4002" s="261"/>
      <c r="L4002" s="261"/>
      <c r="M4002" s="261"/>
    </row>
    <row r="4003" spans="5:13">
      <c r="E4003" s="261"/>
      <c r="F4003" s="261"/>
      <c r="G4003" s="261"/>
      <c r="H4003" s="261"/>
      <c r="I4003" s="261"/>
      <c r="J4003" s="261"/>
      <c r="K4003" s="261"/>
      <c r="L4003" s="261"/>
      <c r="M4003" s="261"/>
    </row>
    <row r="4004" spans="5:13">
      <c r="E4004" s="261"/>
      <c r="F4004" s="261"/>
      <c r="G4004" s="261"/>
      <c r="H4004" s="261"/>
      <c r="I4004" s="261"/>
      <c r="J4004" s="261"/>
      <c r="K4004" s="261"/>
      <c r="L4004" s="261"/>
      <c r="M4004" s="261"/>
    </row>
    <row r="4005" spans="5:13">
      <c r="E4005" s="261"/>
      <c r="F4005" s="261"/>
      <c r="G4005" s="261"/>
      <c r="H4005" s="261"/>
      <c r="I4005" s="261"/>
      <c r="J4005" s="261"/>
      <c r="K4005" s="261"/>
      <c r="L4005" s="261"/>
      <c r="M4005" s="261"/>
    </row>
    <row r="4006" spans="5:13">
      <c r="E4006" s="261"/>
      <c r="F4006" s="261"/>
      <c r="G4006" s="261"/>
      <c r="H4006" s="261"/>
      <c r="I4006" s="261"/>
      <c r="J4006" s="261"/>
      <c r="K4006" s="261"/>
      <c r="L4006" s="261"/>
      <c r="M4006" s="261"/>
    </row>
    <row r="4007" spans="5:13">
      <c r="E4007" s="261"/>
      <c r="F4007" s="261"/>
      <c r="G4007" s="261"/>
      <c r="H4007" s="261"/>
      <c r="I4007" s="261"/>
      <c r="J4007" s="261"/>
      <c r="K4007" s="261"/>
      <c r="L4007" s="261"/>
      <c r="M4007" s="261"/>
    </row>
    <row r="4008" spans="5:13">
      <c r="E4008" s="261"/>
      <c r="F4008" s="261"/>
      <c r="G4008" s="261"/>
      <c r="H4008" s="261"/>
      <c r="I4008" s="261"/>
      <c r="J4008" s="261"/>
      <c r="K4008" s="261"/>
      <c r="L4008" s="261"/>
      <c r="M4008" s="261"/>
    </row>
    <row r="4009" spans="5:13">
      <c r="E4009" s="261"/>
      <c r="F4009" s="261"/>
      <c r="G4009" s="261"/>
      <c r="H4009" s="261"/>
      <c r="I4009" s="261"/>
      <c r="J4009" s="261"/>
      <c r="K4009" s="261"/>
      <c r="L4009" s="261"/>
      <c r="M4009" s="261"/>
    </row>
    <row r="4010" spans="5:13">
      <c r="E4010" s="261"/>
      <c r="F4010" s="261"/>
      <c r="G4010" s="261"/>
      <c r="H4010" s="261"/>
      <c r="I4010" s="261"/>
      <c r="J4010" s="261"/>
      <c r="K4010" s="261"/>
      <c r="L4010" s="261"/>
      <c r="M4010" s="261"/>
    </row>
    <row r="4011" spans="5:13">
      <c r="E4011" s="261"/>
      <c r="F4011" s="261"/>
      <c r="G4011" s="261"/>
      <c r="H4011" s="261"/>
      <c r="I4011" s="261"/>
      <c r="J4011" s="261"/>
      <c r="K4011" s="261"/>
      <c r="L4011" s="261"/>
      <c r="M4011" s="261"/>
    </row>
    <row r="4012" spans="5:13">
      <c r="E4012" s="261"/>
      <c r="F4012" s="261"/>
      <c r="G4012" s="261"/>
      <c r="H4012" s="261"/>
      <c r="I4012" s="261"/>
      <c r="J4012" s="261"/>
      <c r="K4012" s="261"/>
      <c r="L4012" s="261"/>
      <c r="M4012" s="261"/>
    </row>
    <row r="4013" spans="5:13">
      <c r="E4013" s="261"/>
      <c r="F4013" s="261"/>
      <c r="G4013" s="261"/>
      <c r="H4013" s="261"/>
      <c r="I4013" s="261"/>
      <c r="J4013" s="261"/>
      <c r="K4013" s="261"/>
      <c r="L4013" s="261"/>
      <c r="M4013" s="261"/>
    </row>
    <row r="4014" spans="5:13">
      <c r="E4014" s="261"/>
      <c r="F4014" s="261"/>
      <c r="G4014" s="261"/>
      <c r="H4014" s="261"/>
      <c r="I4014" s="261"/>
      <c r="J4014" s="261"/>
      <c r="K4014" s="261"/>
      <c r="L4014" s="261"/>
      <c r="M4014" s="261"/>
    </row>
    <row r="4015" spans="5:13">
      <c r="E4015" s="261"/>
      <c r="F4015" s="261"/>
      <c r="G4015" s="261"/>
      <c r="H4015" s="261"/>
      <c r="I4015" s="261"/>
      <c r="J4015" s="261"/>
      <c r="K4015" s="261"/>
      <c r="L4015" s="261"/>
      <c r="M4015" s="261"/>
    </row>
    <row r="4016" spans="5:13">
      <c r="E4016" s="261"/>
      <c r="F4016" s="261"/>
      <c r="G4016" s="261"/>
      <c r="H4016" s="261"/>
      <c r="I4016" s="261"/>
      <c r="J4016" s="261"/>
      <c r="K4016" s="261"/>
      <c r="L4016" s="261"/>
      <c r="M4016" s="261"/>
    </row>
    <row r="4017" spans="5:13">
      <c r="E4017" s="261"/>
      <c r="F4017" s="261"/>
      <c r="G4017" s="261"/>
      <c r="H4017" s="261"/>
      <c r="I4017" s="261"/>
      <c r="J4017" s="261"/>
      <c r="K4017" s="261"/>
      <c r="L4017" s="261"/>
      <c r="M4017" s="261"/>
    </row>
    <row r="4018" spans="5:13">
      <c r="E4018" s="261"/>
      <c r="F4018" s="261"/>
      <c r="G4018" s="261"/>
      <c r="H4018" s="261"/>
      <c r="I4018" s="261"/>
      <c r="J4018" s="261"/>
      <c r="K4018" s="261"/>
      <c r="L4018" s="261"/>
      <c r="M4018" s="261"/>
    </row>
    <row r="4019" spans="5:13">
      <c r="E4019" s="261"/>
      <c r="F4019" s="261"/>
      <c r="G4019" s="261"/>
      <c r="H4019" s="261"/>
      <c r="I4019" s="261"/>
      <c r="J4019" s="261"/>
      <c r="K4019" s="261"/>
      <c r="L4019" s="261"/>
      <c r="M4019" s="261"/>
    </row>
    <row r="4020" spans="5:13">
      <c r="E4020" s="261"/>
      <c r="F4020" s="261"/>
      <c r="G4020" s="261"/>
      <c r="H4020" s="261"/>
      <c r="I4020" s="261"/>
      <c r="J4020" s="261"/>
      <c r="K4020" s="261"/>
      <c r="L4020" s="261"/>
      <c r="M4020" s="261"/>
    </row>
    <row r="4021" spans="5:13">
      <c r="E4021" s="261"/>
      <c r="F4021" s="261"/>
      <c r="G4021" s="261"/>
      <c r="H4021" s="261"/>
      <c r="I4021" s="261"/>
      <c r="J4021" s="261"/>
      <c r="K4021" s="261"/>
      <c r="L4021" s="261"/>
      <c r="M4021" s="261"/>
    </row>
    <row r="4022" spans="5:13">
      <c r="E4022" s="261"/>
      <c r="F4022" s="261"/>
      <c r="G4022" s="261"/>
      <c r="H4022" s="261"/>
      <c r="I4022" s="261"/>
      <c r="J4022" s="261"/>
      <c r="K4022" s="261"/>
      <c r="L4022" s="261"/>
      <c r="M4022" s="261"/>
    </row>
    <row r="4023" spans="5:13">
      <c r="E4023" s="261"/>
      <c r="F4023" s="261"/>
      <c r="G4023" s="261"/>
      <c r="H4023" s="261"/>
      <c r="I4023" s="261"/>
      <c r="J4023" s="261"/>
      <c r="K4023" s="261"/>
      <c r="L4023" s="261"/>
      <c r="M4023" s="261"/>
    </row>
    <row r="4024" spans="5:13">
      <c r="E4024" s="261"/>
      <c r="F4024" s="261"/>
      <c r="G4024" s="261"/>
      <c r="H4024" s="261"/>
      <c r="I4024" s="261"/>
      <c r="J4024" s="261"/>
      <c r="K4024" s="261"/>
      <c r="L4024" s="261"/>
      <c r="M4024" s="261"/>
    </row>
    <row r="4025" spans="5:13">
      <c r="E4025" s="261"/>
      <c r="F4025" s="261"/>
      <c r="G4025" s="261"/>
      <c r="H4025" s="261"/>
      <c r="I4025" s="261"/>
      <c r="J4025" s="261"/>
      <c r="K4025" s="261"/>
      <c r="L4025" s="261"/>
      <c r="M4025" s="261"/>
    </row>
    <row r="4026" spans="5:13">
      <c r="E4026" s="261"/>
      <c r="F4026" s="261"/>
      <c r="G4026" s="261"/>
      <c r="H4026" s="261"/>
      <c r="I4026" s="261"/>
      <c r="J4026" s="261"/>
      <c r="K4026" s="261"/>
      <c r="L4026" s="261"/>
      <c r="M4026" s="261"/>
    </row>
    <row r="4027" spans="5:13">
      <c r="E4027" s="261"/>
      <c r="F4027" s="261"/>
      <c r="G4027" s="261"/>
      <c r="H4027" s="261"/>
      <c r="I4027" s="261"/>
      <c r="J4027" s="261"/>
      <c r="K4027" s="261"/>
      <c r="L4027" s="261"/>
      <c r="M4027" s="261"/>
    </row>
    <row r="4028" spans="5:13">
      <c r="E4028" s="261"/>
      <c r="F4028" s="261"/>
      <c r="G4028" s="261"/>
      <c r="H4028" s="261"/>
      <c r="I4028" s="261"/>
      <c r="J4028" s="261"/>
      <c r="K4028" s="261"/>
      <c r="L4028" s="261"/>
      <c r="M4028" s="261"/>
    </row>
    <row r="4029" spans="5:13">
      <c r="E4029" s="261"/>
      <c r="F4029" s="261"/>
      <c r="G4029" s="261"/>
      <c r="H4029" s="261"/>
      <c r="I4029" s="261"/>
      <c r="J4029" s="261"/>
      <c r="K4029" s="261"/>
      <c r="L4029" s="261"/>
      <c r="M4029" s="261"/>
    </row>
    <row r="4030" spans="5:13">
      <c r="E4030" s="261"/>
      <c r="F4030" s="261"/>
      <c r="G4030" s="261"/>
      <c r="H4030" s="261"/>
      <c r="I4030" s="261"/>
      <c r="J4030" s="261"/>
      <c r="K4030" s="261"/>
      <c r="L4030" s="261"/>
      <c r="M4030" s="261"/>
    </row>
    <row r="4031" spans="5:13">
      <c r="E4031" s="261"/>
      <c r="F4031" s="261"/>
      <c r="G4031" s="261"/>
      <c r="H4031" s="261"/>
      <c r="I4031" s="261"/>
      <c r="J4031" s="261"/>
      <c r="K4031" s="261"/>
      <c r="L4031" s="261"/>
      <c r="M4031" s="261"/>
    </row>
    <row r="4032" spans="5:13">
      <c r="E4032" s="261"/>
      <c r="F4032" s="261"/>
      <c r="G4032" s="261"/>
      <c r="H4032" s="261"/>
      <c r="I4032" s="261"/>
      <c r="J4032" s="261"/>
      <c r="K4032" s="261"/>
      <c r="L4032" s="261"/>
      <c r="M4032" s="261"/>
    </row>
    <row r="4033" spans="5:13">
      <c r="E4033" s="261"/>
      <c r="F4033" s="261"/>
      <c r="G4033" s="261"/>
      <c r="H4033" s="261"/>
      <c r="I4033" s="261"/>
      <c r="J4033" s="261"/>
      <c r="K4033" s="261"/>
      <c r="L4033" s="261"/>
      <c r="M4033" s="261"/>
    </row>
    <row r="4034" spans="5:13">
      <c r="E4034" s="261"/>
      <c r="F4034" s="261"/>
      <c r="G4034" s="261"/>
      <c r="H4034" s="261"/>
      <c r="I4034" s="261"/>
      <c r="J4034" s="261"/>
      <c r="K4034" s="261"/>
      <c r="L4034" s="261"/>
      <c r="M4034" s="261"/>
    </row>
    <row r="4035" spans="5:13">
      <c r="E4035" s="261"/>
      <c r="F4035" s="261"/>
      <c r="G4035" s="261"/>
      <c r="H4035" s="261"/>
      <c r="I4035" s="261"/>
      <c r="J4035" s="261"/>
      <c r="K4035" s="261"/>
      <c r="L4035" s="261"/>
      <c r="M4035" s="261"/>
    </row>
    <row r="4036" spans="5:13">
      <c r="E4036" s="261"/>
      <c r="F4036" s="261"/>
      <c r="G4036" s="261"/>
      <c r="H4036" s="261"/>
      <c r="I4036" s="261"/>
      <c r="J4036" s="261"/>
      <c r="K4036" s="261"/>
      <c r="L4036" s="261"/>
      <c r="M4036" s="261"/>
    </row>
    <row r="4037" spans="5:13">
      <c r="E4037" s="261"/>
      <c r="F4037" s="261"/>
      <c r="G4037" s="261"/>
      <c r="H4037" s="261"/>
      <c r="I4037" s="261"/>
      <c r="J4037" s="261"/>
      <c r="K4037" s="261"/>
      <c r="L4037" s="261"/>
      <c r="M4037" s="261"/>
    </row>
    <row r="4038" spans="5:13">
      <c r="E4038" s="261"/>
      <c r="F4038" s="261"/>
      <c r="G4038" s="261"/>
      <c r="H4038" s="261"/>
      <c r="I4038" s="261"/>
      <c r="J4038" s="261"/>
      <c r="K4038" s="261"/>
      <c r="L4038" s="261"/>
      <c r="M4038" s="261"/>
    </row>
    <row r="4039" spans="5:13">
      <c r="E4039" s="261"/>
      <c r="F4039" s="261"/>
      <c r="G4039" s="261"/>
      <c r="H4039" s="261"/>
      <c r="I4039" s="261"/>
      <c r="J4039" s="261"/>
      <c r="K4039" s="261"/>
      <c r="L4039" s="261"/>
      <c r="M4039" s="261"/>
    </row>
    <row r="4040" spans="5:13">
      <c r="E4040" s="261"/>
      <c r="F4040" s="261"/>
      <c r="G4040" s="261"/>
      <c r="H4040" s="261"/>
      <c r="I4040" s="261"/>
      <c r="J4040" s="261"/>
      <c r="K4040" s="261"/>
      <c r="L4040" s="261"/>
      <c r="M4040" s="261"/>
    </row>
    <row r="4041" spans="5:13">
      <c r="E4041" s="261"/>
      <c r="F4041" s="261"/>
      <c r="G4041" s="261"/>
      <c r="H4041" s="261"/>
      <c r="I4041" s="261"/>
      <c r="J4041" s="261"/>
      <c r="K4041" s="261"/>
      <c r="L4041" s="261"/>
      <c r="M4041" s="261"/>
    </row>
    <row r="4042" spans="5:13">
      <c r="E4042" s="261"/>
      <c r="F4042" s="261"/>
      <c r="G4042" s="261"/>
      <c r="H4042" s="261"/>
      <c r="I4042" s="261"/>
      <c r="J4042" s="261"/>
      <c r="K4042" s="261"/>
      <c r="L4042" s="261"/>
      <c r="M4042" s="261"/>
    </row>
    <row r="4043" spans="5:13">
      <c r="E4043" s="261"/>
      <c r="F4043" s="261"/>
      <c r="G4043" s="261"/>
      <c r="H4043" s="261"/>
      <c r="I4043" s="261"/>
      <c r="J4043" s="261"/>
      <c r="K4043" s="261"/>
      <c r="L4043" s="261"/>
      <c r="M4043" s="261"/>
    </row>
    <row r="4044" spans="5:13">
      <c r="E4044" s="261"/>
      <c r="F4044" s="261"/>
      <c r="G4044" s="261"/>
      <c r="H4044" s="261"/>
      <c r="I4044" s="261"/>
      <c r="J4044" s="261"/>
      <c r="K4044" s="261"/>
      <c r="L4044" s="261"/>
      <c r="M4044" s="261"/>
    </row>
    <row r="4045" spans="5:13">
      <c r="E4045" s="261"/>
      <c r="F4045" s="261"/>
      <c r="G4045" s="261"/>
      <c r="H4045" s="261"/>
      <c r="I4045" s="261"/>
      <c r="J4045" s="261"/>
      <c r="K4045" s="261"/>
      <c r="L4045" s="261"/>
      <c r="M4045" s="261"/>
    </row>
    <row r="4046" spans="5:13">
      <c r="E4046" s="261"/>
      <c r="F4046" s="261"/>
      <c r="G4046" s="261"/>
      <c r="H4046" s="261"/>
      <c r="I4046" s="261"/>
      <c r="J4046" s="261"/>
      <c r="K4046" s="261"/>
      <c r="L4046" s="261"/>
      <c r="M4046" s="261"/>
    </row>
    <row r="4047" spans="5:13">
      <c r="E4047" s="261"/>
      <c r="F4047" s="261"/>
      <c r="G4047" s="261"/>
      <c r="H4047" s="261"/>
      <c r="I4047" s="261"/>
      <c r="J4047" s="261"/>
      <c r="K4047" s="261"/>
      <c r="L4047" s="261"/>
      <c r="M4047" s="261"/>
    </row>
    <row r="4048" spans="5:13">
      <c r="E4048" s="261"/>
      <c r="F4048" s="261"/>
      <c r="G4048" s="261"/>
      <c r="H4048" s="261"/>
      <c r="I4048" s="261"/>
      <c r="J4048" s="261"/>
      <c r="K4048" s="261"/>
      <c r="L4048" s="261"/>
      <c r="M4048" s="261"/>
    </row>
    <row r="4049" spans="5:13">
      <c r="E4049" s="261"/>
      <c r="F4049" s="261"/>
      <c r="G4049" s="261"/>
      <c r="H4049" s="261"/>
      <c r="I4049" s="261"/>
      <c r="J4049" s="261"/>
      <c r="K4049" s="261"/>
      <c r="L4049" s="261"/>
      <c r="M4049" s="261"/>
    </row>
    <row r="4050" spans="5:13">
      <c r="E4050" s="261"/>
      <c r="F4050" s="261"/>
      <c r="G4050" s="261"/>
      <c r="H4050" s="261"/>
      <c r="I4050" s="261"/>
      <c r="J4050" s="261"/>
      <c r="K4050" s="261"/>
      <c r="L4050" s="261"/>
      <c r="M4050" s="261"/>
    </row>
    <row r="4051" spans="5:13">
      <c r="E4051" s="261"/>
      <c r="F4051" s="261"/>
      <c r="G4051" s="261"/>
      <c r="H4051" s="261"/>
      <c r="I4051" s="261"/>
      <c r="J4051" s="261"/>
      <c r="K4051" s="261"/>
      <c r="L4051" s="261"/>
      <c r="M4051" s="261"/>
    </row>
    <row r="4052" spans="5:13">
      <c r="E4052" s="261"/>
      <c r="F4052" s="261"/>
      <c r="G4052" s="261"/>
      <c r="H4052" s="261"/>
      <c r="I4052" s="261"/>
      <c r="J4052" s="261"/>
      <c r="K4052" s="261"/>
      <c r="L4052" s="261"/>
      <c r="M4052" s="261"/>
    </row>
    <row r="4053" spans="5:13">
      <c r="E4053" s="261"/>
      <c r="F4053" s="261"/>
      <c r="G4053" s="261"/>
      <c r="H4053" s="261"/>
      <c r="I4053" s="261"/>
      <c r="J4053" s="261"/>
      <c r="K4053" s="261"/>
      <c r="L4053" s="261"/>
      <c r="M4053" s="261"/>
    </row>
    <row r="4054" spans="5:13">
      <c r="E4054" s="261"/>
      <c r="F4054" s="261"/>
      <c r="G4054" s="261"/>
      <c r="H4054" s="261"/>
      <c r="I4054" s="261"/>
      <c r="J4054" s="261"/>
      <c r="K4054" s="261"/>
      <c r="L4054" s="261"/>
      <c r="M4054" s="261"/>
    </row>
    <row r="4055" spans="5:13">
      <c r="E4055" s="261"/>
      <c r="F4055" s="261"/>
      <c r="G4055" s="261"/>
      <c r="H4055" s="261"/>
      <c r="I4055" s="261"/>
      <c r="J4055" s="261"/>
      <c r="K4055" s="261"/>
      <c r="L4055" s="261"/>
      <c r="M4055" s="261"/>
    </row>
    <row r="4056" spans="5:13">
      <c r="E4056" s="261"/>
      <c r="F4056" s="261"/>
      <c r="G4056" s="261"/>
      <c r="H4056" s="261"/>
      <c r="I4056" s="261"/>
      <c r="J4056" s="261"/>
      <c r="K4056" s="261"/>
      <c r="L4056" s="261"/>
      <c r="M4056" s="261"/>
    </row>
    <row r="4057" spans="5:13">
      <c r="E4057" s="261"/>
      <c r="F4057" s="261"/>
      <c r="G4057" s="261"/>
      <c r="H4057" s="261"/>
      <c r="I4057" s="261"/>
      <c r="J4057" s="261"/>
      <c r="K4057" s="261"/>
      <c r="L4057" s="261"/>
      <c r="M4057" s="261"/>
    </row>
    <row r="4058" spans="5:13">
      <c r="E4058" s="261"/>
      <c r="F4058" s="261"/>
      <c r="G4058" s="261"/>
      <c r="H4058" s="261"/>
      <c r="I4058" s="261"/>
      <c r="J4058" s="261"/>
      <c r="K4058" s="261"/>
      <c r="L4058" s="261"/>
      <c r="M4058" s="261"/>
    </row>
    <row r="4059" spans="5:13">
      <c r="E4059" s="261"/>
      <c r="F4059" s="261"/>
      <c r="G4059" s="261"/>
      <c r="H4059" s="261"/>
      <c r="I4059" s="261"/>
      <c r="J4059" s="261"/>
      <c r="K4059" s="261"/>
      <c r="L4059" s="261"/>
      <c r="M4059" s="261"/>
    </row>
    <row r="4060" spans="5:13">
      <c r="E4060" s="261"/>
      <c r="F4060" s="261"/>
      <c r="G4060" s="261"/>
      <c r="H4060" s="261"/>
      <c r="I4060" s="261"/>
      <c r="J4060" s="261"/>
      <c r="K4060" s="261"/>
      <c r="L4060" s="261"/>
      <c r="M4060" s="261"/>
    </row>
    <row r="4061" spans="5:13">
      <c r="E4061" s="261"/>
      <c r="F4061" s="261"/>
      <c r="G4061" s="261"/>
      <c r="H4061" s="261"/>
      <c r="I4061" s="261"/>
      <c r="J4061" s="261"/>
      <c r="K4061" s="261"/>
      <c r="L4061" s="261"/>
      <c r="M4061" s="261"/>
    </row>
    <row r="4062" spans="5:13">
      <c r="E4062" s="261"/>
      <c r="F4062" s="261"/>
      <c r="G4062" s="261"/>
      <c r="H4062" s="261"/>
      <c r="I4062" s="261"/>
      <c r="J4062" s="261"/>
      <c r="K4062" s="261"/>
      <c r="L4062" s="261"/>
      <c r="M4062" s="261"/>
    </row>
    <row r="4063" spans="5:13">
      <c r="E4063" s="261"/>
      <c r="F4063" s="261"/>
      <c r="G4063" s="261"/>
      <c r="H4063" s="261"/>
      <c r="I4063" s="261"/>
      <c r="J4063" s="261"/>
      <c r="K4063" s="261"/>
      <c r="L4063" s="261"/>
      <c r="M4063" s="261"/>
    </row>
    <row r="4064" spans="5:13">
      <c r="E4064" s="261"/>
      <c r="F4064" s="261"/>
      <c r="G4064" s="261"/>
      <c r="H4064" s="261"/>
      <c r="I4064" s="261"/>
      <c r="J4064" s="261"/>
      <c r="K4064" s="261"/>
      <c r="L4064" s="261"/>
      <c r="M4064" s="261"/>
    </row>
    <row r="4065" spans="5:13">
      <c r="E4065" s="261"/>
      <c r="F4065" s="261"/>
      <c r="G4065" s="261"/>
      <c r="H4065" s="261"/>
      <c r="I4065" s="261"/>
      <c r="J4065" s="261"/>
      <c r="K4065" s="261"/>
      <c r="L4065" s="261"/>
      <c r="M4065" s="261"/>
    </row>
    <row r="4066" spans="5:13">
      <c r="E4066" s="261"/>
      <c r="F4066" s="261"/>
      <c r="G4066" s="261"/>
      <c r="H4066" s="261"/>
      <c r="I4066" s="261"/>
      <c r="J4066" s="261"/>
      <c r="K4066" s="261"/>
      <c r="L4066" s="261"/>
      <c r="M4066" s="261"/>
    </row>
    <row r="4067" spans="5:13">
      <c r="E4067" s="261"/>
      <c r="F4067" s="261"/>
      <c r="G4067" s="261"/>
      <c r="H4067" s="261"/>
      <c r="I4067" s="261"/>
      <c r="J4067" s="261"/>
      <c r="K4067" s="261"/>
      <c r="L4067" s="261"/>
      <c r="M4067" s="261"/>
    </row>
    <row r="4068" spans="5:13">
      <c r="E4068" s="261"/>
      <c r="F4068" s="261"/>
      <c r="G4068" s="261"/>
      <c r="H4068" s="261"/>
      <c r="I4068" s="261"/>
      <c r="J4068" s="261"/>
      <c r="K4068" s="261"/>
      <c r="L4068" s="261"/>
      <c r="M4068" s="261"/>
    </row>
    <row r="4069" spans="5:13">
      <c r="E4069" s="261"/>
      <c r="F4069" s="261"/>
      <c r="G4069" s="261"/>
      <c r="H4069" s="261"/>
      <c r="I4069" s="261"/>
      <c r="J4069" s="261"/>
      <c r="K4069" s="261"/>
      <c r="L4069" s="261"/>
      <c r="M4069" s="261"/>
    </row>
    <row r="4070" spans="5:13">
      <c r="E4070" s="261"/>
      <c r="F4070" s="261"/>
      <c r="G4070" s="261"/>
      <c r="H4070" s="261"/>
      <c r="I4070" s="261"/>
      <c r="J4070" s="261"/>
      <c r="K4070" s="261"/>
      <c r="L4070" s="261"/>
      <c r="M4070" s="261"/>
    </row>
    <row r="4071" spans="5:13">
      <c r="E4071" s="261"/>
      <c r="F4071" s="261"/>
      <c r="G4071" s="261"/>
      <c r="H4071" s="261"/>
      <c r="I4071" s="261"/>
      <c r="J4071" s="261"/>
      <c r="K4071" s="261"/>
      <c r="L4071" s="261"/>
      <c r="M4071" s="261"/>
    </row>
    <row r="4072" spans="5:13">
      <c r="E4072" s="261"/>
      <c r="F4072" s="261"/>
      <c r="G4072" s="261"/>
      <c r="H4072" s="261"/>
      <c r="I4072" s="261"/>
      <c r="J4072" s="261"/>
      <c r="K4072" s="261"/>
      <c r="L4072" s="261"/>
      <c r="M4072" s="261"/>
    </row>
    <row r="4073" spans="5:13">
      <c r="E4073" s="261"/>
      <c r="F4073" s="261"/>
      <c r="G4073" s="261"/>
      <c r="H4073" s="261"/>
      <c r="I4073" s="261"/>
      <c r="J4073" s="261"/>
      <c r="K4073" s="261"/>
      <c r="L4073" s="261"/>
      <c r="M4073" s="261"/>
    </row>
    <row r="4074" spans="5:13">
      <c r="E4074" s="261"/>
      <c r="F4074" s="261"/>
      <c r="G4074" s="261"/>
      <c r="H4074" s="261"/>
      <c r="I4074" s="261"/>
      <c r="J4074" s="261"/>
      <c r="K4074" s="261"/>
      <c r="L4074" s="261"/>
      <c r="M4074" s="261"/>
    </row>
    <row r="4075" spans="5:13">
      <c r="E4075" s="261"/>
      <c r="F4075" s="261"/>
      <c r="G4075" s="261"/>
      <c r="H4075" s="261"/>
      <c r="I4075" s="261"/>
      <c r="J4075" s="261"/>
      <c r="K4075" s="261"/>
      <c r="L4075" s="261"/>
      <c r="M4075" s="261"/>
    </row>
    <row r="4076" spans="5:13">
      <c r="E4076" s="261"/>
      <c r="F4076" s="261"/>
      <c r="G4076" s="261"/>
      <c r="H4076" s="261"/>
      <c r="I4076" s="261"/>
      <c r="J4076" s="261"/>
      <c r="K4076" s="261"/>
      <c r="L4076" s="261"/>
      <c r="M4076" s="261"/>
    </row>
    <row r="4077" spans="5:13">
      <c r="E4077" s="261"/>
      <c r="F4077" s="261"/>
      <c r="G4077" s="261"/>
      <c r="H4077" s="261"/>
      <c r="I4077" s="261"/>
      <c r="J4077" s="261"/>
      <c r="K4077" s="261"/>
      <c r="L4077" s="261"/>
      <c r="M4077" s="261"/>
    </row>
    <row r="4078" spans="5:13">
      <c r="E4078" s="261"/>
      <c r="F4078" s="261"/>
      <c r="G4078" s="261"/>
      <c r="H4078" s="261"/>
      <c r="I4078" s="261"/>
      <c r="J4078" s="261"/>
      <c r="K4078" s="261"/>
      <c r="L4078" s="261"/>
      <c r="M4078" s="261"/>
    </row>
    <row r="4079" spans="5:13">
      <c r="E4079" s="261"/>
      <c r="F4079" s="261"/>
      <c r="G4079" s="261"/>
      <c r="H4079" s="261"/>
      <c r="I4079" s="261"/>
      <c r="J4079" s="261"/>
      <c r="K4079" s="261"/>
      <c r="L4079" s="261"/>
      <c r="M4079" s="261"/>
    </row>
    <row r="4080" spans="5:13">
      <c r="E4080" s="261"/>
      <c r="F4080" s="261"/>
      <c r="G4080" s="261"/>
      <c r="H4080" s="261"/>
      <c r="I4080" s="261"/>
      <c r="J4080" s="261"/>
      <c r="K4080" s="261"/>
      <c r="L4080" s="261"/>
      <c r="M4080" s="261"/>
    </row>
    <row r="4081" spans="5:13">
      <c r="E4081" s="261"/>
      <c r="F4081" s="261"/>
      <c r="G4081" s="261"/>
      <c r="H4081" s="261"/>
      <c r="I4081" s="261"/>
      <c r="J4081" s="261"/>
      <c r="K4081" s="261"/>
      <c r="L4081" s="261"/>
      <c r="M4081" s="261"/>
    </row>
    <row r="4082" spans="5:13">
      <c r="E4082" s="261"/>
      <c r="F4082" s="261"/>
      <c r="G4082" s="261"/>
      <c r="H4082" s="261"/>
      <c r="I4082" s="261"/>
      <c r="J4082" s="261"/>
      <c r="K4082" s="261"/>
      <c r="L4082" s="261"/>
      <c r="M4082" s="261"/>
    </row>
    <row r="4083" spans="5:13">
      <c r="E4083" s="261"/>
      <c r="F4083" s="261"/>
      <c r="G4083" s="261"/>
      <c r="H4083" s="261"/>
      <c r="I4083" s="261"/>
      <c r="J4083" s="261"/>
      <c r="K4083" s="261"/>
      <c r="L4083" s="261"/>
      <c r="M4083" s="261"/>
    </row>
    <row r="4084" spans="5:13">
      <c r="E4084" s="261"/>
      <c r="F4084" s="261"/>
      <c r="G4084" s="261"/>
      <c r="H4084" s="261"/>
      <c r="I4084" s="261"/>
      <c r="J4084" s="261"/>
      <c r="K4084" s="261"/>
      <c r="L4084" s="261"/>
      <c r="M4084" s="261"/>
    </row>
    <row r="4085" spans="5:13">
      <c r="E4085" s="261"/>
      <c r="F4085" s="261"/>
      <c r="G4085" s="261"/>
      <c r="H4085" s="261"/>
      <c r="I4085" s="261"/>
      <c r="J4085" s="261"/>
      <c r="K4085" s="261"/>
      <c r="L4085" s="261"/>
      <c r="M4085" s="261"/>
    </row>
    <row r="4086" spans="5:13">
      <c r="E4086" s="261"/>
      <c r="F4086" s="261"/>
      <c r="G4086" s="261"/>
      <c r="H4086" s="261"/>
      <c r="I4086" s="261"/>
      <c r="J4086" s="261"/>
      <c r="K4086" s="261"/>
      <c r="L4086" s="261"/>
      <c r="M4086" s="261"/>
    </row>
    <row r="4087" spans="5:13">
      <c r="E4087" s="261"/>
      <c r="F4087" s="261"/>
      <c r="G4087" s="261"/>
      <c r="H4087" s="261"/>
      <c r="I4087" s="261"/>
      <c r="J4087" s="261"/>
      <c r="K4087" s="261"/>
      <c r="L4087" s="261"/>
      <c r="M4087" s="261"/>
    </row>
    <row r="4088" spans="5:13">
      <c r="E4088" s="261"/>
      <c r="F4088" s="261"/>
      <c r="G4088" s="261"/>
      <c r="H4088" s="261"/>
      <c r="I4088" s="261"/>
      <c r="J4088" s="261"/>
      <c r="K4088" s="261"/>
      <c r="L4088" s="261"/>
      <c r="M4088" s="261"/>
    </row>
    <row r="4089" spans="5:13">
      <c r="E4089" s="261"/>
      <c r="F4089" s="261"/>
      <c r="G4089" s="261"/>
      <c r="H4089" s="261"/>
      <c r="I4089" s="261"/>
      <c r="J4089" s="261"/>
      <c r="K4089" s="261"/>
      <c r="L4089" s="261"/>
      <c r="M4089" s="261"/>
    </row>
    <row r="4090" spans="5:13">
      <c r="E4090" s="261"/>
      <c r="F4090" s="261"/>
      <c r="G4090" s="261"/>
      <c r="H4090" s="261"/>
      <c r="I4090" s="261"/>
      <c r="J4090" s="261"/>
      <c r="K4090" s="261"/>
      <c r="L4090" s="261"/>
      <c r="M4090" s="261"/>
    </row>
    <row r="4091" spans="5:13">
      <c r="E4091" s="261"/>
      <c r="F4091" s="261"/>
      <c r="G4091" s="261"/>
      <c r="H4091" s="261"/>
      <c r="I4091" s="261"/>
      <c r="J4091" s="261"/>
      <c r="K4091" s="261"/>
      <c r="L4091" s="261"/>
      <c r="M4091" s="261"/>
    </row>
    <row r="4092" spans="5:13">
      <c r="E4092" s="261"/>
      <c r="F4092" s="261"/>
      <c r="G4092" s="261"/>
      <c r="H4092" s="261"/>
      <c r="I4092" s="261"/>
      <c r="J4092" s="261"/>
      <c r="K4092" s="261"/>
      <c r="L4092" s="261"/>
      <c r="M4092" s="261"/>
    </row>
    <row r="4093" spans="5:13">
      <c r="E4093" s="261"/>
      <c r="F4093" s="261"/>
      <c r="G4093" s="261"/>
      <c r="H4093" s="261"/>
      <c r="I4093" s="261"/>
      <c r="J4093" s="261"/>
      <c r="K4093" s="261"/>
      <c r="L4093" s="261"/>
      <c r="M4093" s="261"/>
    </row>
    <row r="4094" spans="5:13">
      <c r="E4094" s="261"/>
      <c r="F4094" s="261"/>
      <c r="G4094" s="261"/>
      <c r="H4094" s="261"/>
      <c r="I4094" s="261"/>
      <c r="J4094" s="261"/>
      <c r="K4094" s="261"/>
      <c r="L4094" s="261"/>
      <c r="M4094" s="261"/>
    </row>
    <row r="4095" spans="5:13">
      <c r="E4095" s="261"/>
      <c r="F4095" s="261"/>
      <c r="G4095" s="261"/>
      <c r="H4095" s="261"/>
      <c r="I4095" s="261"/>
      <c r="J4095" s="261"/>
      <c r="K4095" s="261"/>
      <c r="L4095" s="261"/>
      <c r="M4095" s="261"/>
    </row>
    <row r="4096" spans="5:13">
      <c r="E4096" s="261"/>
      <c r="F4096" s="261"/>
      <c r="G4096" s="261"/>
      <c r="H4096" s="261"/>
      <c r="I4096" s="261"/>
      <c r="J4096" s="261"/>
      <c r="K4096" s="261"/>
      <c r="L4096" s="261"/>
      <c r="M4096" s="261"/>
    </row>
    <row r="4097" spans="5:13">
      <c r="E4097" s="261"/>
      <c r="F4097" s="261"/>
      <c r="G4097" s="261"/>
      <c r="H4097" s="261"/>
      <c r="I4097" s="261"/>
      <c r="J4097" s="261"/>
      <c r="K4097" s="261"/>
      <c r="L4097" s="261"/>
      <c r="M4097" s="261"/>
    </row>
    <row r="4098" spans="5:13">
      <c r="E4098" s="261"/>
      <c r="F4098" s="261"/>
      <c r="G4098" s="261"/>
      <c r="H4098" s="261"/>
      <c r="I4098" s="261"/>
      <c r="J4098" s="261"/>
      <c r="K4098" s="261"/>
      <c r="L4098" s="261"/>
      <c r="M4098" s="261"/>
    </row>
    <row r="4099" spans="5:13">
      <c r="E4099" s="261"/>
      <c r="F4099" s="261"/>
      <c r="G4099" s="261"/>
      <c r="H4099" s="261"/>
      <c r="I4099" s="261"/>
      <c r="J4099" s="261"/>
      <c r="K4099" s="261"/>
      <c r="L4099" s="261"/>
      <c r="M4099" s="261"/>
    </row>
    <row r="4100" spans="5:13">
      <c r="E4100" s="261"/>
      <c r="F4100" s="261"/>
      <c r="G4100" s="261"/>
      <c r="H4100" s="261"/>
      <c r="I4100" s="261"/>
      <c r="J4100" s="261"/>
      <c r="K4100" s="261"/>
      <c r="L4100" s="261"/>
      <c r="M4100" s="261"/>
    </row>
    <row r="4101" spans="5:13">
      <c r="E4101" s="261"/>
      <c r="F4101" s="261"/>
      <c r="G4101" s="261"/>
      <c r="H4101" s="261"/>
      <c r="I4101" s="261"/>
      <c r="J4101" s="261"/>
      <c r="K4101" s="261"/>
      <c r="L4101" s="261"/>
      <c r="M4101" s="261"/>
    </row>
    <row r="4102" spans="5:13">
      <c r="E4102" s="261"/>
      <c r="F4102" s="261"/>
      <c r="G4102" s="261"/>
      <c r="H4102" s="261"/>
      <c r="I4102" s="261"/>
      <c r="J4102" s="261"/>
      <c r="K4102" s="261"/>
      <c r="L4102" s="261"/>
      <c r="M4102" s="261"/>
    </row>
    <row r="4103" spans="5:13">
      <c r="E4103" s="261"/>
      <c r="F4103" s="261"/>
      <c r="G4103" s="261"/>
      <c r="H4103" s="261"/>
      <c r="I4103" s="261"/>
      <c r="J4103" s="261"/>
      <c r="K4103" s="261"/>
      <c r="L4103" s="261"/>
      <c r="M4103" s="261"/>
    </row>
    <row r="4104" spans="5:13">
      <c r="E4104" s="261"/>
      <c r="F4104" s="261"/>
      <c r="G4104" s="261"/>
      <c r="H4104" s="261"/>
      <c r="I4104" s="261"/>
      <c r="J4104" s="261"/>
      <c r="K4104" s="261"/>
      <c r="L4104" s="261"/>
      <c r="M4104" s="261"/>
    </row>
    <row r="4105" spans="5:13">
      <c r="E4105" s="261"/>
      <c r="F4105" s="261"/>
      <c r="G4105" s="261"/>
      <c r="H4105" s="261"/>
      <c r="I4105" s="261"/>
      <c r="J4105" s="261"/>
      <c r="K4105" s="261"/>
      <c r="L4105" s="261"/>
      <c r="M4105" s="261"/>
    </row>
    <row r="4106" spans="5:13">
      <c r="E4106" s="261"/>
      <c r="F4106" s="261"/>
      <c r="G4106" s="261"/>
      <c r="H4106" s="261"/>
      <c r="I4106" s="261"/>
      <c r="J4106" s="261"/>
      <c r="K4106" s="261"/>
      <c r="L4106" s="261"/>
      <c r="M4106" s="261"/>
    </row>
    <row r="4107" spans="5:13">
      <c r="E4107" s="261"/>
      <c r="F4107" s="261"/>
      <c r="G4107" s="261"/>
      <c r="H4107" s="261"/>
      <c r="I4107" s="261"/>
      <c r="J4107" s="261"/>
      <c r="K4107" s="261"/>
      <c r="L4107" s="261"/>
      <c r="M4107" s="261"/>
    </row>
    <row r="4108" spans="5:13">
      <c r="E4108" s="261"/>
      <c r="F4108" s="261"/>
      <c r="G4108" s="261"/>
      <c r="H4108" s="261"/>
      <c r="I4108" s="261"/>
      <c r="J4108" s="261"/>
      <c r="K4108" s="261"/>
      <c r="L4108" s="261"/>
      <c r="M4108" s="261"/>
    </row>
    <row r="4109" spans="5:13">
      <c r="E4109" s="261"/>
      <c r="F4109" s="261"/>
      <c r="G4109" s="261"/>
      <c r="H4109" s="261"/>
      <c r="I4109" s="261"/>
      <c r="J4109" s="261"/>
      <c r="K4109" s="261"/>
      <c r="L4109" s="261"/>
      <c r="M4109" s="261"/>
    </row>
    <row r="4110" spans="5:13">
      <c r="E4110" s="261"/>
      <c r="F4110" s="261"/>
      <c r="G4110" s="261"/>
      <c r="H4110" s="261"/>
      <c r="I4110" s="261"/>
      <c r="J4110" s="261"/>
      <c r="K4110" s="261"/>
      <c r="L4110" s="261"/>
      <c r="M4110" s="261"/>
    </row>
    <row r="4111" spans="5:13">
      <c r="E4111" s="261"/>
      <c r="F4111" s="261"/>
      <c r="G4111" s="261"/>
      <c r="H4111" s="261"/>
      <c r="I4111" s="261"/>
      <c r="J4111" s="261"/>
      <c r="K4111" s="261"/>
      <c r="L4111" s="261"/>
      <c r="M4111" s="261"/>
    </row>
    <row r="4112" spans="5:13">
      <c r="E4112" s="261"/>
      <c r="F4112" s="261"/>
      <c r="G4112" s="261"/>
      <c r="H4112" s="261"/>
      <c r="I4112" s="261"/>
      <c r="J4112" s="261"/>
      <c r="K4112" s="261"/>
      <c r="L4112" s="261"/>
      <c r="M4112" s="261"/>
    </row>
    <row r="4113" spans="5:13">
      <c r="E4113" s="261"/>
      <c r="F4113" s="261"/>
      <c r="G4113" s="261"/>
      <c r="H4113" s="261"/>
      <c r="I4113" s="261"/>
      <c r="J4113" s="261"/>
      <c r="K4113" s="261"/>
      <c r="L4113" s="261"/>
      <c r="M4113" s="261"/>
    </row>
    <row r="4114" spans="5:13">
      <c r="E4114" s="261"/>
      <c r="F4114" s="261"/>
      <c r="G4114" s="261"/>
      <c r="H4114" s="261"/>
      <c r="I4114" s="261"/>
      <c r="J4114" s="261"/>
      <c r="K4114" s="261"/>
      <c r="L4114" s="261"/>
      <c r="M4114" s="261"/>
    </row>
    <row r="4115" spans="5:13">
      <c r="E4115" s="261"/>
      <c r="F4115" s="261"/>
      <c r="G4115" s="261"/>
      <c r="H4115" s="261"/>
      <c r="I4115" s="261"/>
      <c r="J4115" s="261"/>
      <c r="K4115" s="261"/>
      <c r="L4115" s="261"/>
      <c r="M4115" s="261"/>
    </row>
    <row r="4116" spans="5:13">
      <c r="E4116" s="261"/>
      <c r="F4116" s="261"/>
      <c r="G4116" s="261"/>
      <c r="H4116" s="261"/>
      <c r="I4116" s="261"/>
      <c r="J4116" s="261"/>
      <c r="K4116" s="261"/>
      <c r="L4116" s="261"/>
      <c r="M4116" s="261"/>
    </row>
    <row r="4117" spans="5:13">
      <c r="E4117" s="261"/>
      <c r="F4117" s="261"/>
      <c r="G4117" s="261"/>
      <c r="H4117" s="261"/>
      <c r="I4117" s="261"/>
      <c r="J4117" s="261"/>
      <c r="K4117" s="261"/>
      <c r="L4117" s="261"/>
      <c r="M4117" s="261"/>
    </row>
    <row r="4118" spans="5:13">
      <c r="E4118" s="261"/>
      <c r="F4118" s="261"/>
      <c r="G4118" s="261"/>
      <c r="H4118" s="261"/>
      <c r="I4118" s="261"/>
      <c r="J4118" s="261"/>
      <c r="K4118" s="261"/>
      <c r="L4118" s="261"/>
      <c r="M4118" s="261"/>
    </row>
    <row r="4119" spans="5:13">
      <c r="E4119" s="261"/>
      <c r="F4119" s="261"/>
      <c r="G4119" s="261"/>
      <c r="H4119" s="261"/>
      <c r="I4119" s="261"/>
      <c r="J4119" s="261"/>
      <c r="K4119" s="261"/>
      <c r="L4119" s="261"/>
      <c r="M4119" s="261"/>
    </row>
    <row r="4120" spans="5:13">
      <c r="E4120" s="261"/>
      <c r="F4120" s="261"/>
      <c r="G4120" s="261"/>
      <c r="H4120" s="261"/>
      <c r="I4120" s="261"/>
      <c r="J4120" s="261"/>
      <c r="K4120" s="261"/>
      <c r="L4120" s="261"/>
      <c r="M4120" s="261"/>
    </row>
    <row r="4121" spans="5:13">
      <c r="E4121" s="261"/>
      <c r="F4121" s="261"/>
      <c r="G4121" s="261"/>
      <c r="H4121" s="261"/>
      <c r="I4121" s="261"/>
      <c r="J4121" s="261"/>
      <c r="K4121" s="261"/>
      <c r="L4121" s="261"/>
      <c r="M4121" s="261"/>
    </row>
    <row r="4122" spans="5:13">
      <c r="E4122" s="261"/>
      <c r="F4122" s="261"/>
      <c r="G4122" s="261"/>
      <c r="H4122" s="261"/>
      <c r="I4122" s="261"/>
      <c r="J4122" s="261"/>
      <c r="K4122" s="261"/>
      <c r="L4122" s="261"/>
      <c r="M4122" s="261"/>
    </row>
    <row r="4123" spans="5:13">
      <c r="E4123" s="261"/>
      <c r="F4123" s="261"/>
      <c r="G4123" s="261"/>
      <c r="H4123" s="261"/>
      <c r="I4123" s="261"/>
      <c r="J4123" s="261"/>
      <c r="K4123" s="261"/>
      <c r="L4123" s="261"/>
      <c r="M4123" s="261"/>
    </row>
    <row r="4124" spans="5:13">
      <c r="E4124" s="261"/>
      <c r="F4124" s="261"/>
      <c r="G4124" s="261"/>
      <c r="H4124" s="261"/>
      <c r="I4124" s="261"/>
      <c r="J4124" s="261"/>
      <c r="K4124" s="261"/>
      <c r="L4124" s="261"/>
      <c r="M4124" s="261"/>
    </row>
    <row r="4125" spans="5:13">
      <c r="E4125" s="261"/>
      <c r="F4125" s="261"/>
      <c r="G4125" s="261"/>
      <c r="H4125" s="261"/>
      <c r="I4125" s="261"/>
      <c r="J4125" s="261"/>
      <c r="K4125" s="261"/>
      <c r="L4125" s="261"/>
      <c r="M4125" s="261"/>
    </row>
    <row r="4126" spans="5:13">
      <c r="E4126" s="261"/>
      <c r="F4126" s="261"/>
      <c r="G4126" s="261"/>
      <c r="H4126" s="261"/>
      <c r="I4126" s="261"/>
      <c r="J4126" s="261"/>
      <c r="K4126" s="261"/>
      <c r="L4126" s="261"/>
      <c r="M4126" s="261"/>
    </row>
    <row r="4127" spans="5:13">
      <c r="E4127" s="261"/>
      <c r="F4127" s="261"/>
      <c r="G4127" s="261"/>
      <c r="H4127" s="261"/>
      <c r="I4127" s="261"/>
      <c r="J4127" s="261"/>
      <c r="K4127" s="261"/>
      <c r="L4127" s="261"/>
      <c r="M4127" s="261"/>
    </row>
    <row r="4128" spans="5:13">
      <c r="E4128" s="261"/>
      <c r="F4128" s="261"/>
      <c r="G4128" s="261"/>
      <c r="H4128" s="261"/>
      <c r="I4128" s="261"/>
      <c r="J4128" s="261"/>
      <c r="K4128" s="261"/>
      <c r="L4128" s="261"/>
      <c r="M4128" s="261"/>
    </row>
    <row r="4129" spans="5:13">
      <c r="E4129" s="261"/>
      <c r="F4129" s="261"/>
      <c r="G4129" s="261"/>
      <c r="H4129" s="261"/>
      <c r="I4129" s="261"/>
      <c r="J4129" s="261"/>
      <c r="K4129" s="261"/>
      <c r="L4129" s="261"/>
      <c r="M4129" s="261"/>
    </row>
    <row r="4130" spans="5:13">
      <c r="E4130" s="261"/>
      <c r="F4130" s="261"/>
      <c r="G4130" s="261"/>
      <c r="H4130" s="261"/>
      <c r="I4130" s="261"/>
      <c r="J4130" s="261"/>
      <c r="K4130" s="261"/>
      <c r="L4130" s="261"/>
      <c r="M4130" s="261"/>
    </row>
    <row r="4131" spans="5:13">
      <c r="E4131" s="261"/>
      <c r="F4131" s="261"/>
      <c r="G4131" s="261"/>
      <c r="H4131" s="261"/>
      <c r="I4131" s="261"/>
      <c r="J4131" s="261"/>
      <c r="K4131" s="261"/>
      <c r="L4131" s="261"/>
      <c r="M4131" s="261"/>
    </row>
    <row r="4132" spans="5:13">
      <c r="E4132" s="261"/>
      <c r="F4132" s="261"/>
      <c r="G4132" s="261"/>
      <c r="H4132" s="261"/>
      <c r="I4132" s="261"/>
      <c r="J4132" s="261"/>
      <c r="K4132" s="261"/>
      <c r="L4132" s="261"/>
      <c r="M4132" s="261"/>
    </row>
    <row r="4133" spans="5:13">
      <c r="E4133" s="261"/>
      <c r="F4133" s="261"/>
      <c r="G4133" s="261"/>
      <c r="H4133" s="261"/>
      <c r="I4133" s="261"/>
      <c r="J4133" s="261"/>
      <c r="K4133" s="261"/>
      <c r="L4133" s="261"/>
      <c r="M4133" s="261"/>
    </row>
    <row r="4134" spans="5:13">
      <c r="E4134" s="261"/>
      <c r="F4134" s="261"/>
      <c r="G4134" s="261"/>
      <c r="H4134" s="261"/>
      <c r="I4134" s="261"/>
      <c r="J4134" s="261"/>
      <c r="K4134" s="261"/>
      <c r="L4134" s="261"/>
      <c r="M4134" s="261"/>
    </row>
    <row r="4135" spans="5:13">
      <c r="E4135" s="261"/>
      <c r="F4135" s="261"/>
      <c r="G4135" s="261"/>
      <c r="H4135" s="261"/>
      <c r="I4135" s="261"/>
      <c r="J4135" s="261"/>
      <c r="K4135" s="261"/>
      <c r="L4135" s="261"/>
      <c r="M4135" s="261"/>
    </row>
    <row r="4136" spans="5:13">
      <c r="E4136" s="261"/>
      <c r="F4136" s="261"/>
      <c r="G4136" s="261"/>
      <c r="H4136" s="261"/>
      <c r="I4136" s="261"/>
      <c r="J4136" s="261"/>
      <c r="K4136" s="261"/>
      <c r="L4136" s="261"/>
      <c r="M4136" s="261"/>
    </row>
    <row r="4137" spans="5:13">
      <c r="E4137" s="261"/>
      <c r="F4137" s="261"/>
      <c r="G4137" s="261"/>
      <c r="H4137" s="261"/>
      <c r="I4137" s="261"/>
      <c r="J4137" s="261"/>
      <c r="K4137" s="261"/>
      <c r="L4137" s="261"/>
      <c r="M4137" s="261"/>
    </row>
    <row r="4138" spans="5:13">
      <c r="E4138" s="261"/>
      <c r="F4138" s="261"/>
      <c r="G4138" s="261"/>
      <c r="H4138" s="261"/>
      <c r="I4138" s="261"/>
      <c r="J4138" s="261"/>
      <c r="K4138" s="261"/>
      <c r="L4138" s="261"/>
      <c r="M4138" s="261"/>
    </row>
    <row r="4139" spans="5:13">
      <c r="E4139" s="261"/>
      <c r="F4139" s="261"/>
      <c r="G4139" s="261"/>
      <c r="H4139" s="261"/>
      <c r="I4139" s="261"/>
      <c r="J4139" s="261"/>
      <c r="K4139" s="261"/>
      <c r="L4139" s="261"/>
      <c r="M4139" s="261"/>
    </row>
    <row r="4140" spans="5:13">
      <c r="E4140" s="261"/>
      <c r="F4140" s="261"/>
      <c r="G4140" s="261"/>
      <c r="H4140" s="261"/>
      <c r="I4140" s="261"/>
      <c r="J4140" s="261"/>
      <c r="K4140" s="261"/>
      <c r="L4140" s="261"/>
      <c r="M4140" s="261"/>
    </row>
    <row r="4141" spans="5:13">
      <c r="E4141" s="261"/>
      <c r="F4141" s="261"/>
      <c r="G4141" s="261"/>
      <c r="H4141" s="261"/>
      <c r="I4141" s="261"/>
      <c r="J4141" s="261"/>
      <c r="K4141" s="261"/>
      <c r="L4141" s="261"/>
      <c r="M4141" s="261"/>
    </row>
    <row r="4142" spans="5:13">
      <c r="E4142" s="261"/>
      <c r="F4142" s="261"/>
      <c r="G4142" s="261"/>
      <c r="H4142" s="261"/>
      <c r="I4142" s="261"/>
      <c r="J4142" s="261"/>
      <c r="K4142" s="261"/>
      <c r="L4142" s="261"/>
      <c r="M4142" s="261"/>
    </row>
    <row r="4143" spans="5:13">
      <c r="E4143" s="261"/>
      <c r="F4143" s="261"/>
      <c r="G4143" s="261"/>
      <c r="H4143" s="261"/>
      <c r="I4143" s="261"/>
      <c r="J4143" s="261"/>
      <c r="K4143" s="261"/>
      <c r="L4143" s="261"/>
      <c r="M4143" s="261"/>
    </row>
    <row r="4144" spans="5:13">
      <c r="E4144" s="261"/>
      <c r="F4144" s="261"/>
      <c r="G4144" s="261"/>
      <c r="H4144" s="261"/>
      <c r="I4144" s="261"/>
      <c r="J4144" s="261"/>
      <c r="K4144" s="261"/>
      <c r="L4144" s="261"/>
      <c r="M4144" s="261"/>
    </row>
    <row r="4145" spans="5:13">
      <c r="E4145" s="261"/>
      <c r="F4145" s="261"/>
      <c r="G4145" s="261"/>
      <c r="H4145" s="261"/>
      <c r="I4145" s="261"/>
      <c r="J4145" s="261"/>
      <c r="K4145" s="261"/>
      <c r="L4145" s="261"/>
      <c r="M4145" s="261"/>
    </row>
    <row r="4146" spans="5:13">
      <c r="E4146" s="261"/>
      <c r="F4146" s="261"/>
      <c r="G4146" s="261"/>
      <c r="H4146" s="261"/>
      <c r="I4146" s="261"/>
      <c r="J4146" s="261"/>
      <c r="K4146" s="261"/>
      <c r="L4146" s="261"/>
      <c r="M4146" s="261"/>
    </row>
    <row r="4147" spans="5:13">
      <c r="E4147" s="261"/>
      <c r="F4147" s="261"/>
      <c r="G4147" s="261"/>
      <c r="H4147" s="261"/>
      <c r="I4147" s="261"/>
      <c r="J4147" s="261"/>
      <c r="K4147" s="261"/>
      <c r="L4147" s="261"/>
      <c r="M4147" s="261"/>
    </row>
    <row r="4148" spans="5:13">
      <c r="E4148" s="261"/>
      <c r="F4148" s="261"/>
      <c r="G4148" s="261"/>
      <c r="H4148" s="261"/>
      <c r="I4148" s="261"/>
      <c r="J4148" s="261"/>
      <c r="K4148" s="261"/>
      <c r="L4148" s="261"/>
      <c r="M4148" s="261"/>
    </row>
    <row r="4149" spans="5:13">
      <c r="E4149" s="261"/>
      <c r="F4149" s="261"/>
      <c r="G4149" s="261"/>
      <c r="H4149" s="261"/>
      <c r="I4149" s="261"/>
      <c r="J4149" s="261"/>
      <c r="K4149" s="261"/>
      <c r="L4149" s="261"/>
      <c r="M4149" s="261"/>
    </row>
    <row r="4150" spans="5:13">
      <c r="E4150" s="261"/>
      <c r="F4150" s="261"/>
      <c r="G4150" s="261"/>
      <c r="H4150" s="261"/>
      <c r="I4150" s="261"/>
      <c r="J4150" s="261"/>
      <c r="K4150" s="261"/>
      <c r="L4150" s="261"/>
      <c r="M4150" s="261"/>
    </row>
    <row r="4151" spans="5:13">
      <c r="E4151" s="261"/>
      <c r="F4151" s="261"/>
      <c r="G4151" s="261"/>
      <c r="H4151" s="261"/>
      <c r="I4151" s="261"/>
      <c r="J4151" s="261"/>
      <c r="K4151" s="261"/>
      <c r="L4151" s="261"/>
      <c r="M4151" s="261"/>
    </row>
    <row r="4152" spans="5:13">
      <c r="E4152" s="261"/>
      <c r="F4152" s="261"/>
      <c r="G4152" s="261"/>
      <c r="H4152" s="261"/>
      <c r="I4152" s="261"/>
      <c r="J4152" s="261"/>
      <c r="K4152" s="261"/>
      <c r="L4152" s="261"/>
      <c r="M4152" s="261"/>
    </row>
    <row r="4153" spans="5:13">
      <c r="E4153" s="261"/>
      <c r="F4153" s="261"/>
      <c r="G4153" s="261"/>
      <c r="H4153" s="261"/>
      <c r="I4153" s="261"/>
      <c r="J4153" s="261"/>
      <c r="K4153" s="261"/>
      <c r="L4153" s="261"/>
      <c r="M4153" s="261"/>
    </row>
    <row r="4154" spans="5:13">
      <c r="E4154" s="261"/>
      <c r="F4154" s="261"/>
      <c r="G4154" s="261"/>
      <c r="H4154" s="261"/>
      <c r="I4154" s="261"/>
      <c r="J4154" s="261"/>
      <c r="K4154" s="261"/>
      <c r="L4154" s="261"/>
      <c r="M4154" s="261"/>
    </row>
    <row r="4155" spans="5:13">
      <c r="E4155" s="261"/>
      <c r="F4155" s="261"/>
      <c r="G4155" s="261"/>
      <c r="H4155" s="261"/>
      <c r="I4155" s="261"/>
      <c r="J4155" s="261"/>
      <c r="K4155" s="261"/>
      <c r="L4155" s="261"/>
      <c r="M4155" s="261"/>
    </row>
    <row r="4156" spans="5:13">
      <c r="E4156" s="261"/>
      <c r="F4156" s="261"/>
      <c r="G4156" s="261"/>
      <c r="H4156" s="261"/>
      <c r="I4156" s="261"/>
      <c r="J4156" s="261"/>
      <c r="K4156" s="261"/>
      <c r="L4156" s="261"/>
      <c r="M4156" s="261"/>
    </row>
    <row r="4157" spans="5:13">
      <c r="E4157" s="261"/>
      <c r="F4157" s="261"/>
      <c r="G4157" s="261"/>
      <c r="H4157" s="261"/>
      <c r="I4157" s="261"/>
      <c r="J4157" s="261"/>
      <c r="K4157" s="261"/>
      <c r="L4157" s="261"/>
      <c r="M4157" s="261"/>
    </row>
    <row r="4158" spans="5:13">
      <c r="E4158" s="261"/>
      <c r="F4158" s="261"/>
      <c r="G4158" s="261"/>
      <c r="H4158" s="261"/>
      <c r="I4158" s="261"/>
      <c r="J4158" s="261"/>
      <c r="K4158" s="261"/>
      <c r="L4158" s="261"/>
      <c r="M4158" s="261"/>
    </row>
    <row r="4159" spans="5:13">
      <c r="E4159" s="261"/>
      <c r="F4159" s="261"/>
      <c r="G4159" s="261"/>
      <c r="H4159" s="261"/>
      <c r="I4159" s="261"/>
      <c r="J4159" s="261"/>
      <c r="K4159" s="261"/>
      <c r="L4159" s="261"/>
      <c r="M4159" s="261"/>
    </row>
    <row r="4160" spans="5:13">
      <c r="E4160" s="261"/>
      <c r="F4160" s="261"/>
      <c r="G4160" s="261"/>
      <c r="H4160" s="261"/>
      <c r="I4160" s="261"/>
      <c r="J4160" s="261"/>
      <c r="K4160" s="261"/>
      <c r="L4160" s="261"/>
      <c r="M4160" s="261"/>
    </row>
    <row r="4161" spans="5:13">
      <c r="E4161" s="261"/>
      <c r="F4161" s="261"/>
      <c r="G4161" s="261"/>
      <c r="H4161" s="261"/>
      <c r="I4161" s="261"/>
      <c r="J4161" s="261"/>
      <c r="K4161" s="261"/>
      <c r="L4161" s="261"/>
      <c r="M4161" s="261"/>
    </row>
    <row r="4162" spans="5:13">
      <c r="E4162" s="261"/>
      <c r="F4162" s="261"/>
      <c r="G4162" s="261"/>
      <c r="H4162" s="261"/>
      <c r="I4162" s="261"/>
      <c r="J4162" s="261"/>
      <c r="K4162" s="261"/>
      <c r="L4162" s="261"/>
      <c r="M4162" s="261"/>
    </row>
    <row r="4163" spans="5:13">
      <c r="E4163" s="261"/>
      <c r="F4163" s="261"/>
      <c r="G4163" s="261"/>
      <c r="H4163" s="261"/>
      <c r="I4163" s="261"/>
      <c r="J4163" s="261"/>
      <c r="K4163" s="261"/>
      <c r="L4163" s="261"/>
      <c r="M4163" s="261"/>
    </row>
    <row r="4164" spans="5:13">
      <c r="E4164" s="261"/>
      <c r="F4164" s="261"/>
      <c r="G4164" s="261"/>
      <c r="H4164" s="261"/>
      <c r="I4164" s="261"/>
      <c r="J4164" s="261"/>
      <c r="K4164" s="261"/>
      <c r="L4164" s="261"/>
      <c r="M4164" s="261"/>
    </row>
    <row r="4165" spans="5:13">
      <c r="E4165" s="261"/>
      <c r="F4165" s="261"/>
      <c r="G4165" s="261"/>
      <c r="H4165" s="261"/>
      <c r="I4165" s="261"/>
      <c r="J4165" s="261"/>
      <c r="K4165" s="261"/>
      <c r="L4165" s="261"/>
      <c r="M4165" s="261"/>
    </row>
    <row r="4166" spans="5:13">
      <c r="E4166" s="261"/>
      <c r="F4166" s="261"/>
      <c r="G4166" s="261"/>
      <c r="H4166" s="261"/>
      <c r="I4166" s="261"/>
      <c r="J4166" s="261"/>
      <c r="K4166" s="261"/>
      <c r="L4166" s="261"/>
      <c r="M4166" s="261"/>
    </row>
    <row r="4167" spans="5:13">
      <c r="E4167" s="261"/>
      <c r="F4167" s="261"/>
      <c r="G4167" s="261"/>
      <c r="H4167" s="261"/>
      <c r="I4167" s="261"/>
      <c r="J4167" s="261"/>
      <c r="K4167" s="261"/>
      <c r="L4167" s="261"/>
      <c r="M4167" s="261"/>
    </row>
    <row r="4168" spans="5:13">
      <c r="E4168" s="261"/>
      <c r="F4168" s="261"/>
      <c r="G4168" s="261"/>
      <c r="H4168" s="261"/>
      <c r="I4168" s="261"/>
      <c r="J4168" s="261"/>
      <c r="K4168" s="261"/>
      <c r="L4168" s="261"/>
      <c r="M4168" s="261"/>
    </row>
    <row r="4169" spans="5:13">
      <c r="E4169" s="261"/>
      <c r="F4169" s="261"/>
      <c r="G4169" s="261"/>
      <c r="H4169" s="261"/>
      <c r="I4169" s="261"/>
      <c r="J4169" s="261"/>
      <c r="K4169" s="261"/>
      <c r="L4169" s="261"/>
      <c r="M4169" s="261"/>
    </row>
    <row r="4170" spans="5:13">
      <c r="E4170" s="261"/>
      <c r="F4170" s="261"/>
      <c r="G4170" s="261"/>
      <c r="H4170" s="261"/>
      <c r="I4170" s="261"/>
      <c r="J4170" s="261"/>
      <c r="K4170" s="261"/>
      <c r="L4170" s="261"/>
      <c r="M4170" s="261"/>
    </row>
    <row r="4171" spans="5:13">
      <c r="E4171" s="261"/>
      <c r="F4171" s="261"/>
      <c r="G4171" s="261"/>
      <c r="H4171" s="261"/>
      <c r="I4171" s="261"/>
      <c r="J4171" s="261"/>
      <c r="K4171" s="261"/>
      <c r="L4171" s="261"/>
      <c r="M4171" s="261"/>
    </row>
    <row r="4172" spans="5:13">
      <c r="E4172" s="261"/>
      <c r="F4172" s="261"/>
      <c r="G4172" s="261"/>
      <c r="H4172" s="261"/>
      <c r="I4172" s="261"/>
      <c r="J4172" s="261"/>
      <c r="K4172" s="261"/>
      <c r="L4172" s="261"/>
      <c r="M4172" s="261"/>
    </row>
    <row r="4173" spans="5:13">
      <c r="E4173" s="261"/>
      <c r="F4173" s="261"/>
      <c r="G4173" s="261"/>
      <c r="H4173" s="261"/>
      <c r="I4173" s="261"/>
      <c r="J4173" s="261"/>
      <c r="K4173" s="261"/>
      <c r="L4173" s="261"/>
      <c r="M4173" s="261"/>
    </row>
    <row r="4174" spans="5:13">
      <c r="E4174" s="261"/>
      <c r="F4174" s="261"/>
      <c r="G4174" s="261"/>
      <c r="H4174" s="261"/>
      <c r="I4174" s="261"/>
      <c r="J4174" s="261"/>
      <c r="K4174" s="261"/>
      <c r="L4174" s="261"/>
      <c r="M4174" s="261"/>
    </row>
    <row r="4175" spans="5:13">
      <c r="E4175" s="261"/>
      <c r="F4175" s="261"/>
      <c r="G4175" s="261"/>
      <c r="H4175" s="261"/>
      <c r="I4175" s="261"/>
      <c r="J4175" s="261"/>
      <c r="K4175" s="261"/>
      <c r="L4175" s="261"/>
      <c r="M4175" s="261"/>
    </row>
    <row r="4176" spans="5:13">
      <c r="E4176" s="261"/>
      <c r="F4176" s="261"/>
      <c r="G4176" s="261"/>
      <c r="H4176" s="261"/>
      <c r="I4176" s="261"/>
      <c r="J4176" s="261"/>
      <c r="K4176" s="261"/>
      <c r="L4176" s="261"/>
      <c r="M4176" s="261"/>
    </row>
    <row r="4177" spans="5:13">
      <c r="E4177" s="261"/>
      <c r="F4177" s="261"/>
      <c r="G4177" s="261"/>
      <c r="H4177" s="261"/>
      <c r="I4177" s="261"/>
      <c r="J4177" s="261"/>
      <c r="K4177" s="261"/>
      <c r="L4177" s="261"/>
      <c r="M4177" s="261"/>
    </row>
    <row r="4178" spans="5:13">
      <c r="E4178" s="261"/>
      <c r="F4178" s="261"/>
      <c r="G4178" s="261"/>
      <c r="H4178" s="261"/>
      <c r="I4178" s="261"/>
      <c r="J4178" s="261"/>
      <c r="K4178" s="261"/>
      <c r="L4178" s="261"/>
      <c r="M4178" s="261"/>
    </row>
    <row r="4179" spans="5:13">
      <c r="E4179" s="261"/>
      <c r="F4179" s="261"/>
      <c r="G4179" s="261"/>
      <c r="H4179" s="261"/>
      <c r="I4179" s="261"/>
      <c r="J4179" s="261"/>
      <c r="K4179" s="261"/>
      <c r="L4179" s="261"/>
      <c r="M4179" s="261"/>
    </row>
    <row r="4180" spans="5:13">
      <c r="E4180" s="261"/>
      <c r="F4180" s="261"/>
      <c r="G4180" s="261"/>
      <c r="H4180" s="261"/>
      <c r="I4180" s="261"/>
      <c r="J4180" s="261"/>
      <c r="K4180" s="261"/>
      <c r="L4180" s="261"/>
      <c r="M4180" s="261"/>
    </row>
    <row r="4181" spans="5:13">
      <c r="E4181" s="261"/>
      <c r="F4181" s="261"/>
      <c r="G4181" s="261"/>
      <c r="H4181" s="261"/>
      <c r="I4181" s="261"/>
      <c r="J4181" s="261"/>
      <c r="K4181" s="261"/>
      <c r="L4181" s="261"/>
      <c r="M4181" s="261"/>
    </row>
    <row r="4182" spans="5:13">
      <c r="E4182" s="261"/>
      <c r="F4182" s="261"/>
      <c r="G4182" s="261"/>
      <c r="H4182" s="261"/>
      <c r="I4182" s="261"/>
      <c r="J4182" s="261"/>
      <c r="K4182" s="261"/>
      <c r="L4182" s="261"/>
      <c r="M4182" s="261"/>
    </row>
    <row r="4183" spans="5:13">
      <c r="E4183" s="261"/>
      <c r="F4183" s="261"/>
      <c r="G4183" s="261"/>
      <c r="H4183" s="261"/>
      <c r="I4183" s="261"/>
      <c r="J4183" s="261"/>
      <c r="K4183" s="261"/>
      <c r="L4183" s="261"/>
      <c r="M4183" s="261"/>
    </row>
    <row r="4184" spans="5:13">
      <c r="E4184" s="261"/>
      <c r="F4184" s="261"/>
      <c r="G4184" s="261"/>
      <c r="H4184" s="261"/>
      <c r="I4184" s="261"/>
      <c r="J4184" s="261"/>
      <c r="K4184" s="261"/>
      <c r="L4184" s="261"/>
      <c r="M4184" s="261"/>
    </row>
    <row r="4185" spans="5:13">
      <c r="E4185" s="261"/>
      <c r="F4185" s="261"/>
      <c r="G4185" s="261"/>
      <c r="H4185" s="261"/>
      <c r="I4185" s="261"/>
      <c r="J4185" s="261"/>
      <c r="K4185" s="261"/>
      <c r="L4185" s="261"/>
      <c r="M4185" s="261"/>
    </row>
    <row r="4186" spans="5:13">
      <c r="E4186" s="261"/>
      <c r="F4186" s="261"/>
      <c r="G4186" s="261"/>
      <c r="H4186" s="261"/>
      <c r="I4186" s="261"/>
      <c r="J4186" s="261"/>
      <c r="K4186" s="261"/>
      <c r="L4186" s="261"/>
      <c r="M4186" s="261"/>
    </row>
    <row r="4187" spans="5:13">
      <c r="E4187" s="261"/>
      <c r="F4187" s="261"/>
      <c r="G4187" s="261"/>
      <c r="H4187" s="261"/>
      <c r="I4187" s="261"/>
      <c r="J4187" s="261"/>
      <c r="K4187" s="261"/>
      <c r="L4187" s="261"/>
      <c r="M4187" s="261"/>
    </row>
    <row r="4188" spans="5:13">
      <c r="E4188" s="261"/>
      <c r="F4188" s="261"/>
      <c r="G4188" s="261"/>
      <c r="H4188" s="261"/>
      <c r="I4188" s="261"/>
      <c r="J4188" s="261"/>
      <c r="K4188" s="261"/>
      <c r="L4188" s="261"/>
      <c r="M4188" s="261"/>
    </row>
    <row r="4189" spans="5:13">
      <c r="E4189" s="261"/>
      <c r="F4189" s="261"/>
      <c r="G4189" s="261"/>
      <c r="H4189" s="261"/>
      <c r="I4189" s="261"/>
      <c r="J4189" s="261"/>
      <c r="K4189" s="261"/>
      <c r="L4189" s="261"/>
      <c r="M4189" s="261"/>
    </row>
    <row r="4190" spans="5:13">
      <c r="E4190" s="261"/>
      <c r="F4190" s="261"/>
      <c r="G4190" s="261"/>
      <c r="H4190" s="261"/>
      <c r="I4190" s="261"/>
      <c r="J4190" s="261"/>
      <c r="K4190" s="261"/>
      <c r="L4190" s="261"/>
      <c r="M4190" s="261"/>
    </row>
    <row r="4191" spans="5:13">
      <c r="E4191" s="261"/>
      <c r="F4191" s="261"/>
      <c r="G4191" s="261"/>
      <c r="H4191" s="261"/>
      <c r="I4191" s="261"/>
      <c r="J4191" s="261"/>
      <c r="K4191" s="261"/>
      <c r="L4191" s="261"/>
      <c r="M4191" s="261"/>
    </row>
    <row r="4192" spans="5:13">
      <c r="E4192" s="261"/>
      <c r="F4192" s="261"/>
      <c r="G4192" s="261"/>
      <c r="H4192" s="261"/>
      <c r="I4192" s="261"/>
      <c r="J4192" s="261"/>
      <c r="K4192" s="261"/>
      <c r="L4192" s="261"/>
      <c r="M4192" s="261"/>
    </row>
    <row r="4193" spans="5:13">
      <c r="E4193" s="261"/>
      <c r="F4193" s="261"/>
      <c r="G4193" s="261"/>
      <c r="H4193" s="261"/>
      <c r="I4193" s="261"/>
      <c r="J4193" s="261"/>
      <c r="K4193" s="261"/>
      <c r="L4193" s="261"/>
      <c r="M4193" s="261"/>
    </row>
    <row r="4194" spans="5:13">
      <c r="E4194" s="261"/>
      <c r="F4194" s="261"/>
      <c r="G4194" s="261"/>
      <c r="H4194" s="261"/>
      <c r="I4194" s="261"/>
      <c r="J4194" s="261"/>
      <c r="K4194" s="261"/>
      <c r="L4194" s="261"/>
      <c r="M4194" s="261"/>
    </row>
    <row r="4195" spans="5:13">
      <c r="E4195" s="261"/>
      <c r="F4195" s="261"/>
      <c r="G4195" s="261"/>
      <c r="H4195" s="261"/>
      <c r="I4195" s="261"/>
      <c r="J4195" s="261"/>
      <c r="K4195" s="261"/>
      <c r="L4195" s="261"/>
      <c r="M4195" s="261"/>
    </row>
    <row r="4196" spans="5:13">
      <c r="E4196" s="261"/>
      <c r="F4196" s="261"/>
      <c r="G4196" s="261"/>
      <c r="H4196" s="261"/>
      <c r="I4196" s="261"/>
      <c r="J4196" s="261"/>
      <c r="K4196" s="261"/>
      <c r="L4196" s="261"/>
      <c r="M4196" s="261"/>
    </row>
    <row r="4197" spans="5:13">
      <c r="E4197" s="261"/>
      <c r="F4197" s="261"/>
      <c r="G4197" s="261"/>
      <c r="H4197" s="261"/>
      <c r="I4197" s="261"/>
      <c r="J4197" s="261"/>
      <c r="K4197" s="261"/>
      <c r="L4197" s="261"/>
      <c r="M4197" s="261"/>
    </row>
    <row r="4198" spans="5:13">
      <c r="E4198" s="261"/>
      <c r="F4198" s="261"/>
      <c r="G4198" s="261"/>
      <c r="H4198" s="261"/>
      <c r="I4198" s="261"/>
      <c r="J4198" s="261"/>
      <c r="K4198" s="261"/>
      <c r="L4198" s="261"/>
      <c r="M4198" s="261"/>
    </row>
    <row r="4199" spans="5:13">
      <c r="E4199" s="261"/>
      <c r="F4199" s="261"/>
      <c r="G4199" s="261"/>
      <c r="H4199" s="261"/>
      <c r="I4199" s="261"/>
      <c r="J4199" s="261"/>
      <c r="K4199" s="261"/>
      <c r="L4199" s="261"/>
      <c r="M4199" s="261"/>
    </row>
    <row r="4200" spans="5:13">
      <c r="E4200" s="261"/>
      <c r="F4200" s="261"/>
      <c r="G4200" s="261"/>
      <c r="H4200" s="261"/>
      <c r="I4200" s="261"/>
      <c r="J4200" s="261"/>
      <c r="K4200" s="261"/>
      <c r="L4200" s="261"/>
      <c r="M4200" s="261"/>
    </row>
    <row r="4201" spans="5:13">
      <c r="E4201" s="261"/>
      <c r="F4201" s="261"/>
      <c r="G4201" s="261"/>
      <c r="H4201" s="261"/>
      <c r="I4201" s="261"/>
      <c r="J4201" s="261"/>
      <c r="K4201" s="261"/>
      <c r="L4201" s="261"/>
      <c r="M4201" s="261"/>
    </row>
    <row r="4202" spans="5:13">
      <c r="E4202" s="261"/>
      <c r="F4202" s="261"/>
      <c r="G4202" s="261"/>
      <c r="H4202" s="261"/>
      <c r="I4202" s="261"/>
      <c r="J4202" s="261"/>
      <c r="K4202" s="261"/>
      <c r="L4202" s="261"/>
      <c r="M4202" s="261"/>
    </row>
    <row r="4203" spans="5:13">
      <c r="E4203" s="261"/>
      <c r="F4203" s="261"/>
      <c r="G4203" s="261"/>
      <c r="H4203" s="261"/>
      <c r="I4203" s="261"/>
      <c r="J4203" s="261"/>
      <c r="K4203" s="261"/>
      <c r="L4203" s="261"/>
      <c r="M4203" s="261"/>
    </row>
    <row r="4204" spans="5:13">
      <c r="E4204" s="261"/>
      <c r="F4204" s="261"/>
      <c r="G4204" s="261"/>
      <c r="H4204" s="261"/>
      <c r="I4204" s="261"/>
      <c r="J4204" s="261"/>
      <c r="K4204" s="261"/>
      <c r="L4204" s="261"/>
      <c r="M4204" s="261"/>
    </row>
    <row r="4205" spans="5:13">
      <c r="E4205" s="261"/>
      <c r="F4205" s="261"/>
      <c r="G4205" s="261"/>
      <c r="H4205" s="261"/>
      <c r="I4205" s="261"/>
      <c r="J4205" s="261"/>
      <c r="K4205" s="261"/>
      <c r="L4205" s="261"/>
      <c r="M4205" s="261"/>
    </row>
    <row r="4206" spans="5:13">
      <c r="E4206" s="261"/>
      <c r="F4206" s="261"/>
      <c r="G4206" s="261"/>
      <c r="H4206" s="261"/>
      <c r="I4206" s="261"/>
      <c r="J4206" s="261"/>
      <c r="K4206" s="261"/>
      <c r="L4206" s="261"/>
      <c r="M4206" s="261"/>
    </row>
    <row r="4207" spans="5:13">
      <c r="E4207" s="261"/>
      <c r="F4207" s="261"/>
      <c r="G4207" s="261"/>
      <c r="H4207" s="261"/>
      <c r="I4207" s="261"/>
      <c r="J4207" s="261"/>
      <c r="K4207" s="261"/>
      <c r="L4207" s="261"/>
      <c r="M4207" s="261"/>
    </row>
    <row r="4208" spans="5:13">
      <c r="E4208" s="261"/>
      <c r="F4208" s="261"/>
      <c r="G4208" s="261"/>
      <c r="H4208" s="261"/>
      <c r="I4208" s="261"/>
      <c r="J4208" s="261"/>
      <c r="K4208" s="261"/>
      <c r="L4208" s="261"/>
      <c r="M4208" s="261"/>
    </row>
    <row r="4209" spans="5:13">
      <c r="E4209" s="261"/>
      <c r="F4209" s="261"/>
      <c r="G4209" s="261"/>
      <c r="H4209" s="261"/>
      <c r="I4209" s="261"/>
      <c r="J4209" s="261"/>
      <c r="K4209" s="261"/>
      <c r="L4209" s="261"/>
      <c r="M4209" s="261"/>
    </row>
    <row r="4210" spans="5:13">
      <c r="E4210" s="261"/>
      <c r="F4210" s="261"/>
      <c r="G4210" s="261"/>
      <c r="H4210" s="261"/>
      <c r="I4210" s="261"/>
      <c r="J4210" s="261"/>
      <c r="K4210" s="261"/>
      <c r="L4210" s="261"/>
      <c r="M4210" s="261"/>
    </row>
    <row r="4211" spans="5:13">
      <c r="E4211" s="261"/>
      <c r="F4211" s="261"/>
      <c r="G4211" s="261"/>
      <c r="H4211" s="261"/>
      <c r="I4211" s="261"/>
      <c r="J4211" s="261"/>
      <c r="K4211" s="261"/>
      <c r="L4211" s="261"/>
      <c r="M4211" s="261"/>
    </row>
    <row r="4212" spans="5:13">
      <c r="E4212" s="261"/>
      <c r="F4212" s="261"/>
      <c r="G4212" s="261"/>
      <c r="H4212" s="261"/>
      <c r="I4212" s="261"/>
      <c r="J4212" s="261"/>
      <c r="K4212" s="261"/>
      <c r="L4212" s="261"/>
      <c r="M4212" s="261"/>
    </row>
    <row r="4213" spans="5:13">
      <c r="E4213" s="261"/>
      <c r="F4213" s="261"/>
      <c r="G4213" s="261"/>
      <c r="H4213" s="261"/>
      <c r="I4213" s="261"/>
      <c r="J4213" s="261"/>
      <c r="K4213" s="261"/>
      <c r="L4213" s="261"/>
      <c r="M4213" s="261"/>
    </row>
    <row r="4214" spans="5:13">
      <c r="E4214" s="261"/>
      <c r="F4214" s="261"/>
      <c r="G4214" s="261"/>
      <c r="H4214" s="261"/>
      <c r="I4214" s="261"/>
      <c r="J4214" s="261"/>
      <c r="K4214" s="261"/>
      <c r="L4214" s="261"/>
      <c r="M4214" s="261"/>
    </row>
    <row r="4215" spans="5:13">
      <c r="E4215" s="261"/>
      <c r="F4215" s="261"/>
      <c r="G4215" s="261"/>
      <c r="H4215" s="261"/>
      <c r="I4215" s="261"/>
      <c r="J4215" s="261"/>
      <c r="K4215" s="261"/>
      <c r="L4215" s="261"/>
      <c r="M4215" s="261"/>
    </row>
    <row r="4216" spans="5:13">
      <c r="E4216" s="261"/>
      <c r="F4216" s="261"/>
      <c r="G4216" s="261"/>
      <c r="H4216" s="261"/>
      <c r="I4216" s="261"/>
      <c r="J4216" s="261"/>
      <c r="K4216" s="261"/>
      <c r="L4216" s="261"/>
      <c r="M4216" s="261"/>
    </row>
    <row r="4217" spans="5:13">
      <c r="E4217" s="261"/>
      <c r="F4217" s="261"/>
      <c r="G4217" s="261"/>
      <c r="H4217" s="261"/>
      <c r="I4217" s="261"/>
      <c r="J4217" s="261"/>
      <c r="K4217" s="261"/>
      <c r="L4217" s="261"/>
      <c r="M4217" s="261"/>
    </row>
    <row r="4218" spans="5:13">
      <c r="E4218" s="261"/>
      <c r="F4218" s="261"/>
      <c r="G4218" s="261"/>
      <c r="H4218" s="261"/>
      <c r="I4218" s="261"/>
      <c r="J4218" s="261"/>
      <c r="K4218" s="261"/>
      <c r="L4218" s="261"/>
      <c r="M4218" s="261"/>
    </row>
    <row r="4219" spans="5:13">
      <c r="E4219" s="261"/>
      <c r="F4219" s="261"/>
      <c r="G4219" s="261"/>
      <c r="H4219" s="261"/>
      <c r="I4219" s="261"/>
      <c r="J4219" s="261"/>
      <c r="K4219" s="261"/>
      <c r="L4219" s="261"/>
      <c r="M4219" s="261"/>
    </row>
    <row r="4220" spans="5:13">
      <c r="E4220" s="261"/>
      <c r="F4220" s="261"/>
      <c r="G4220" s="261"/>
      <c r="H4220" s="261"/>
      <c r="I4220" s="261"/>
      <c r="J4220" s="261"/>
      <c r="K4220" s="261"/>
      <c r="L4220" s="261"/>
      <c r="M4220" s="261"/>
    </row>
    <row r="4221" spans="5:13">
      <c r="E4221" s="261"/>
      <c r="F4221" s="261"/>
      <c r="G4221" s="261"/>
      <c r="H4221" s="261"/>
      <c r="I4221" s="261"/>
      <c r="J4221" s="261"/>
      <c r="K4221" s="261"/>
      <c r="L4221" s="261"/>
      <c r="M4221" s="261"/>
    </row>
    <row r="4222" spans="5:13">
      <c r="E4222" s="261"/>
      <c r="F4222" s="261"/>
      <c r="G4222" s="261"/>
      <c r="H4222" s="261"/>
      <c r="I4222" s="261"/>
      <c r="J4222" s="261"/>
      <c r="K4222" s="261"/>
      <c r="L4222" s="261"/>
      <c r="M4222" s="261"/>
    </row>
    <row r="4223" spans="5:13">
      <c r="E4223" s="261"/>
      <c r="F4223" s="261"/>
      <c r="G4223" s="261"/>
      <c r="H4223" s="261"/>
      <c r="I4223" s="261"/>
      <c r="J4223" s="261"/>
      <c r="K4223" s="261"/>
      <c r="L4223" s="261"/>
      <c r="M4223" s="261"/>
    </row>
    <row r="4224" spans="5:13">
      <c r="E4224" s="261"/>
      <c r="F4224" s="261"/>
      <c r="G4224" s="261"/>
      <c r="H4224" s="261"/>
      <c r="I4224" s="261"/>
      <c r="J4224" s="261"/>
      <c r="K4224" s="261"/>
      <c r="L4224" s="261"/>
      <c r="M4224" s="261"/>
    </row>
    <row r="4225" spans="5:13">
      <c r="E4225" s="261"/>
      <c r="F4225" s="261"/>
      <c r="G4225" s="261"/>
      <c r="H4225" s="261"/>
      <c r="I4225" s="261"/>
      <c r="J4225" s="261"/>
      <c r="K4225" s="261"/>
      <c r="L4225" s="261"/>
      <c r="M4225" s="261"/>
    </row>
    <row r="4226" spans="5:13">
      <c r="E4226" s="261"/>
      <c r="F4226" s="261"/>
      <c r="G4226" s="261"/>
      <c r="H4226" s="261"/>
      <c r="I4226" s="261"/>
      <c r="J4226" s="261"/>
      <c r="K4226" s="261"/>
      <c r="L4226" s="261"/>
      <c r="M4226" s="261"/>
    </row>
    <row r="4227" spans="5:13">
      <c r="E4227" s="261"/>
      <c r="F4227" s="261"/>
      <c r="G4227" s="261"/>
      <c r="H4227" s="261"/>
      <c r="I4227" s="261"/>
      <c r="J4227" s="261"/>
      <c r="K4227" s="261"/>
      <c r="L4227" s="261"/>
      <c r="M4227" s="261"/>
    </row>
    <row r="4228" spans="5:13">
      <c r="E4228" s="261"/>
      <c r="F4228" s="261"/>
      <c r="G4228" s="261"/>
      <c r="H4228" s="261"/>
      <c r="I4228" s="261"/>
      <c r="J4228" s="261"/>
      <c r="K4228" s="261"/>
      <c r="L4228" s="261"/>
      <c r="M4228" s="261"/>
    </row>
    <row r="4229" spans="5:13">
      <c r="E4229" s="261"/>
      <c r="F4229" s="261"/>
      <c r="G4229" s="261"/>
      <c r="H4229" s="261"/>
      <c r="I4229" s="261"/>
      <c r="J4229" s="261"/>
      <c r="K4229" s="261"/>
      <c r="L4229" s="261"/>
      <c r="M4229" s="261"/>
    </row>
    <row r="4230" spans="5:13">
      <c r="E4230" s="261"/>
      <c r="F4230" s="261"/>
      <c r="G4230" s="261"/>
      <c r="H4230" s="261"/>
      <c r="I4230" s="261"/>
      <c r="J4230" s="261"/>
      <c r="K4230" s="261"/>
      <c r="L4230" s="261"/>
      <c r="M4230" s="261"/>
    </row>
    <row r="4231" spans="5:13">
      <c r="E4231" s="261"/>
      <c r="F4231" s="261"/>
      <c r="G4231" s="261"/>
      <c r="H4231" s="261"/>
      <c r="I4231" s="261"/>
      <c r="J4231" s="261"/>
      <c r="K4231" s="261"/>
      <c r="L4231" s="261"/>
      <c r="M4231" s="261"/>
    </row>
    <row r="4232" spans="5:13">
      <c r="E4232" s="261"/>
      <c r="F4232" s="261"/>
      <c r="G4232" s="261"/>
      <c r="H4232" s="261"/>
      <c r="I4232" s="261"/>
      <c r="J4232" s="261"/>
      <c r="K4232" s="261"/>
      <c r="L4232" s="261"/>
      <c r="M4232" s="261"/>
    </row>
    <row r="4233" spans="5:13">
      <c r="E4233" s="261"/>
      <c r="F4233" s="261"/>
      <c r="G4233" s="261"/>
      <c r="H4233" s="261"/>
      <c r="I4233" s="261"/>
      <c r="J4233" s="261"/>
      <c r="K4233" s="261"/>
      <c r="L4233" s="261"/>
      <c r="M4233" s="261"/>
    </row>
    <row r="4234" spans="5:13">
      <c r="E4234" s="261"/>
      <c r="F4234" s="261"/>
      <c r="G4234" s="261"/>
      <c r="H4234" s="261"/>
      <c r="I4234" s="261"/>
      <c r="J4234" s="261"/>
      <c r="K4234" s="261"/>
      <c r="L4234" s="261"/>
      <c r="M4234" s="261"/>
    </row>
    <row r="4235" spans="5:13">
      <c r="E4235" s="261"/>
      <c r="F4235" s="261"/>
      <c r="G4235" s="261"/>
      <c r="H4235" s="261"/>
      <c r="I4235" s="261"/>
      <c r="J4235" s="261"/>
      <c r="K4235" s="261"/>
      <c r="L4235" s="261"/>
      <c r="M4235" s="261"/>
    </row>
    <row r="4236" spans="5:13">
      <c r="E4236" s="261"/>
      <c r="F4236" s="261"/>
      <c r="G4236" s="261"/>
      <c r="H4236" s="261"/>
      <c r="I4236" s="261"/>
      <c r="J4236" s="261"/>
      <c r="K4236" s="261"/>
      <c r="L4236" s="261"/>
      <c r="M4236" s="261"/>
    </row>
    <row r="4237" spans="5:13">
      <c r="E4237" s="261"/>
      <c r="F4237" s="261"/>
      <c r="G4237" s="261"/>
      <c r="H4237" s="261"/>
      <c r="I4237" s="261"/>
      <c r="J4237" s="261"/>
      <c r="K4237" s="261"/>
      <c r="L4237" s="261"/>
      <c r="M4237" s="261"/>
    </row>
    <row r="4238" spans="5:13">
      <c r="E4238" s="261"/>
      <c r="F4238" s="261"/>
      <c r="G4238" s="261"/>
      <c r="H4238" s="261"/>
      <c r="I4238" s="261"/>
      <c r="J4238" s="261"/>
      <c r="K4238" s="261"/>
      <c r="L4238" s="261"/>
      <c r="M4238" s="261"/>
    </row>
    <row r="4239" spans="5:13">
      <c r="E4239" s="261"/>
      <c r="F4239" s="261"/>
      <c r="G4239" s="261"/>
      <c r="H4239" s="261"/>
      <c r="I4239" s="261"/>
      <c r="J4239" s="261"/>
      <c r="K4239" s="261"/>
      <c r="L4239" s="261"/>
      <c r="M4239" s="261"/>
    </row>
    <row r="4240" spans="5:13">
      <c r="E4240" s="261"/>
      <c r="F4240" s="261"/>
      <c r="G4240" s="261"/>
      <c r="H4240" s="261"/>
      <c r="I4240" s="261"/>
      <c r="J4240" s="261"/>
      <c r="K4240" s="261"/>
      <c r="L4240" s="261"/>
      <c r="M4240" s="261"/>
    </row>
    <row r="4241" spans="5:13">
      <c r="E4241" s="261"/>
      <c r="F4241" s="261"/>
      <c r="G4241" s="261"/>
      <c r="H4241" s="261"/>
      <c r="I4241" s="261"/>
      <c r="J4241" s="261"/>
      <c r="K4241" s="261"/>
      <c r="L4241" s="261"/>
      <c r="M4241" s="261"/>
    </row>
    <row r="4242" spans="5:13">
      <c r="E4242" s="261"/>
      <c r="F4242" s="261"/>
      <c r="G4242" s="261"/>
      <c r="H4242" s="261"/>
      <c r="I4242" s="261"/>
      <c r="J4242" s="261"/>
      <c r="K4242" s="261"/>
      <c r="L4242" s="261"/>
      <c r="M4242" s="261"/>
    </row>
    <row r="4243" spans="5:13">
      <c r="E4243" s="261"/>
      <c r="F4243" s="261"/>
      <c r="G4243" s="261"/>
      <c r="H4243" s="261"/>
      <c r="I4243" s="261"/>
      <c r="J4243" s="261"/>
      <c r="K4243" s="261"/>
      <c r="L4243" s="261"/>
      <c r="M4243" s="261"/>
    </row>
    <row r="4244" spans="5:13">
      <c r="E4244" s="261"/>
      <c r="F4244" s="261"/>
      <c r="G4244" s="261"/>
      <c r="H4244" s="261"/>
      <c r="I4244" s="261"/>
      <c r="J4244" s="261"/>
      <c r="K4244" s="261"/>
      <c r="L4244" s="261"/>
      <c r="M4244" s="261"/>
    </row>
    <row r="4245" spans="5:13">
      <c r="E4245" s="261"/>
      <c r="F4245" s="261"/>
      <c r="G4245" s="261"/>
      <c r="H4245" s="261"/>
      <c r="I4245" s="261"/>
      <c r="J4245" s="261"/>
      <c r="K4245" s="261"/>
      <c r="L4245" s="261"/>
      <c r="M4245" s="261"/>
    </row>
    <row r="4246" spans="5:13">
      <c r="E4246" s="261"/>
      <c r="F4246" s="261"/>
      <c r="G4246" s="261"/>
      <c r="H4246" s="261"/>
      <c r="I4246" s="261"/>
      <c r="J4246" s="261"/>
      <c r="K4246" s="261"/>
      <c r="L4246" s="261"/>
      <c r="M4246" s="261"/>
    </row>
    <row r="4247" spans="5:13">
      <c r="E4247" s="261"/>
      <c r="F4247" s="261"/>
      <c r="G4247" s="261"/>
      <c r="H4247" s="261"/>
      <c r="I4247" s="261"/>
      <c r="J4247" s="261"/>
      <c r="K4247" s="261"/>
      <c r="L4247" s="261"/>
      <c r="M4247" s="261"/>
    </row>
    <row r="4248" spans="5:13">
      <c r="E4248" s="261"/>
      <c r="F4248" s="261"/>
      <c r="G4248" s="261"/>
      <c r="H4248" s="261"/>
      <c r="I4248" s="261"/>
      <c r="J4248" s="261"/>
      <c r="K4248" s="261"/>
      <c r="L4248" s="261"/>
      <c r="M4248" s="261"/>
    </row>
    <row r="4249" spans="5:13">
      <c r="E4249" s="261"/>
      <c r="F4249" s="261"/>
      <c r="G4249" s="261"/>
      <c r="H4249" s="261"/>
      <c r="I4249" s="261"/>
      <c r="J4249" s="261"/>
      <c r="K4249" s="261"/>
      <c r="L4249" s="261"/>
      <c r="M4249" s="261"/>
    </row>
    <row r="4250" spans="5:13">
      <c r="E4250" s="261"/>
      <c r="F4250" s="261"/>
      <c r="G4250" s="261"/>
      <c r="H4250" s="261"/>
      <c r="I4250" s="261"/>
      <c r="J4250" s="261"/>
      <c r="K4250" s="261"/>
      <c r="L4250" s="261"/>
      <c r="M4250" s="261"/>
    </row>
    <row r="4251" spans="5:13">
      <c r="E4251" s="261"/>
      <c r="F4251" s="261"/>
      <c r="G4251" s="261"/>
      <c r="H4251" s="261"/>
      <c r="I4251" s="261"/>
      <c r="J4251" s="261"/>
      <c r="K4251" s="261"/>
      <c r="L4251" s="261"/>
      <c r="M4251" s="261"/>
    </row>
    <row r="4252" spans="5:13">
      <c r="E4252" s="261"/>
      <c r="F4252" s="261"/>
      <c r="G4252" s="261"/>
      <c r="H4252" s="261"/>
      <c r="I4252" s="261"/>
      <c r="J4252" s="261"/>
      <c r="K4252" s="261"/>
      <c r="L4252" s="261"/>
      <c r="M4252" s="261"/>
    </row>
    <row r="4253" spans="5:13">
      <c r="E4253" s="261"/>
      <c r="F4253" s="261"/>
      <c r="G4253" s="261"/>
      <c r="H4253" s="261"/>
      <c r="I4253" s="261"/>
      <c r="J4253" s="261"/>
      <c r="K4253" s="261"/>
      <c r="L4253" s="261"/>
      <c r="M4253" s="261"/>
    </row>
    <row r="4254" spans="5:13">
      <c r="E4254" s="261"/>
      <c r="F4254" s="261"/>
      <c r="G4254" s="261"/>
      <c r="H4254" s="261"/>
      <c r="I4254" s="261"/>
      <c r="J4254" s="261"/>
      <c r="K4254" s="261"/>
      <c r="L4254" s="261"/>
      <c r="M4254" s="261"/>
    </row>
    <row r="4255" spans="5:13">
      <c r="E4255" s="261"/>
      <c r="F4255" s="261"/>
      <c r="G4255" s="261"/>
      <c r="H4255" s="261"/>
      <c r="I4255" s="261"/>
      <c r="J4255" s="261"/>
      <c r="K4255" s="261"/>
      <c r="L4255" s="261"/>
      <c r="M4255" s="261"/>
    </row>
    <row r="4256" spans="5:13">
      <c r="E4256" s="261"/>
      <c r="F4256" s="261"/>
      <c r="G4256" s="261"/>
      <c r="H4256" s="261"/>
      <c r="I4256" s="261"/>
      <c r="J4256" s="261"/>
      <c r="K4256" s="261"/>
      <c r="L4256" s="261"/>
      <c r="M4256" s="261"/>
    </row>
    <row r="4257" spans="5:13">
      <c r="E4257" s="261"/>
      <c r="F4257" s="261"/>
      <c r="G4257" s="261"/>
      <c r="H4257" s="261"/>
      <c r="I4257" s="261"/>
      <c r="J4257" s="261"/>
      <c r="K4257" s="261"/>
      <c r="L4257" s="261"/>
      <c r="M4257" s="261"/>
    </row>
    <row r="4258" spans="5:13">
      <c r="E4258" s="261"/>
      <c r="F4258" s="261"/>
      <c r="G4258" s="261"/>
      <c r="H4258" s="261"/>
      <c r="I4258" s="261"/>
      <c r="J4258" s="261"/>
      <c r="K4258" s="261"/>
      <c r="L4258" s="261"/>
      <c r="M4258" s="261"/>
    </row>
    <row r="4259" spans="5:13">
      <c r="E4259" s="261"/>
      <c r="F4259" s="261"/>
      <c r="G4259" s="261"/>
      <c r="H4259" s="261"/>
      <c r="I4259" s="261"/>
      <c r="J4259" s="261"/>
      <c r="K4259" s="261"/>
      <c r="L4259" s="261"/>
      <c r="M4259" s="261"/>
    </row>
    <row r="4260" spans="5:13">
      <c r="E4260" s="261"/>
      <c r="F4260" s="261"/>
      <c r="G4260" s="261"/>
      <c r="H4260" s="261"/>
      <c r="I4260" s="261"/>
      <c r="J4260" s="261"/>
      <c r="K4260" s="261"/>
      <c r="L4260" s="261"/>
      <c r="M4260" s="261"/>
    </row>
    <row r="4261" spans="5:13">
      <c r="E4261" s="261"/>
      <c r="F4261" s="261"/>
      <c r="G4261" s="261"/>
      <c r="H4261" s="261"/>
      <c r="I4261" s="261"/>
      <c r="J4261" s="261"/>
      <c r="K4261" s="261"/>
      <c r="L4261" s="261"/>
      <c r="M4261" s="261"/>
    </row>
    <row r="4262" spans="5:13">
      <c r="E4262" s="261"/>
      <c r="F4262" s="261"/>
      <c r="G4262" s="261"/>
      <c r="H4262" s="261"/>
      <c r="I4262" s="261"/>
      <c r="J4262" s="261"/>
      <c r="K4262" s="261"/>
      <c r="L4262" s="261"/>
      <c r="M4262" s="261"/>
    </row>
    <row r="4263" spans="5:13">
      <c r="E4263" s="261"/>
      <c r="F4263" s="261"/>
      <c r="G4263" s="261"/>
      <c r="H4263" s="261"/>
      <c r="I4263" s="261"/>
      <c r="J4263" s="261"/>
      <c r="K4263" s="261"/>
      <c r="L4263" s="261"/>
      <c r="M4263" s="261"/>
    </row>
    <row r="4264" spans="5:13">
      <c r="E4264" s="261"/>
      <c r="F4264" s="261"/>
      <c r="G4264" s="261"/>
      <c r="H4264" s="261"/>
      <c r="I4264" s="261"/>
      <c r="J4264" s="261"/>
      <c r="K4264" s="261"/>
      <c r="L4264" s="261"/>
      <c r="M4264" s="261"/>
    </row>
    <row r="4265" spans="5:13">
      <c r="E4265" s="261"/>
      <c r="F4265" s="261"/>
      <c r="G4265" s="261"/>
      <c r="H4265" s="261"/>
      <c r="I4265" s="261"/>
      <c r="J4265" s="261"/>
      <c r="K4265" s="261"/>
      <c r="L4265" s="261"/>
      <c r="M4265" s="261"/>
    </row>
    <row r="4266" spans="5:13">
      <c r="E4266" s="261"/>
      <c r="F4266" s="261"/>
      <c r="G4266" s="261"/>
      <c r="H4266" s="261"/>
      <c r="I4266" s="261"/>
      <c r="J4266" s="261"/>
      <c r="K4266" s="261"/>
      <c r="L4266" s="261"/>
      <c r="M4266" s="261"/>
    </row>
    <row r="4267" spans="5:13">
      <c r="E4267" s="261"/>
      <c r="F4267" s="261"/>
      <c r="G4267" s="261"/>
      <c r="H4267" s="261"/>
      <c r="I4267" s="261"/>
      <c r="J4267" s="261"/>
      <c r="K4267" s="261"/>
      <c r="L4267" s="261"/>
      <c r="M4267" s="261"/>
    </row>
    <row r="4268" spans="5:13">
      <c r="E4268" s="261"/>
      <c r="F4268" s="261"/>
      <c r="G4268" s="261"/>
      <c r="H4268" s="261"/>
      <c r="I4268" s="261"/>
      <c r="J4268" s="261"/>
      <c r="K4268" s="261"/>
      <c r="L4268" s="261"/>
      <c r="M4268" s="261"/>
    </row>
    <row r="4269" spans="5:13">
      <c r="E4269" s="261"/>
      <c r="F4269" s="261"/>
      <c r="G4269" s="261"/>
      <c r="H4269" s="261"/>
      <c r="I4269" s="261"/>
      <c r="J4269" s="261"/>
      <c r="K4269" s="261"/>
      <c r="L4269" s="261"/>
      <c r="M4269" s="261"/>
    </row>
    <row r="4270" spans="5:13">
      <c r="E4270" s="261"/>
      <c r="F4270" s="261"/>
      <c r="G4270" s="261"/>
      <c r="H4270" s="261"/>
      <c r="I4270" s="261"/>
      <c r="J4270" s="261"/>
      <c r="K4270" s="261"/>
      <c r="L4270" s="261"/>
      <c r="M4270" s="261"/>
    </row>
    <row r="4271" spans="5:13">
      <c r="E4271" s="261"/>
      <c r="F4271" s="261"/>
      <c r="G4271" s="261"/>
      <c r="H4271" s="261"/>
      <c r="I4271" s="261"/>
      <c r="J4271" s="261"/>
      <c r="K4271" s="261"/>
      <c r="L4271" s="261"/>
      <c r="M4271" s="261"/>
    </row>
    <row r="4272" spans="5:13">
      <c r="E4272" s="261"/>
      <c r="F4272" s="261"/>
      <c r="G4272" s="261"/>
      <c r="H4272" s="261"/>
      <c r="I4272" s="261"/>
      <c r="J4272" s="261"/>
      <c r="K4272" s="261"/>
      <c r="L4272" s="261"/>
      <c r="M4272" s="261"/>
    </row>
    <row r="4273" spans="5:13">
      <c r="E4273" s="261"/>
      <c r="F4273" s="261"/>
      <c r="G4273" s="261"/>
      <c r="H4273" s="261"/>
      <c r="I4273" s="261"/>
      <c r="J4273" s="261"/>
      <c r="K4273" s="261"/>
      <c r="L4273" s="261"/>
      <c r="M4273" s="261"/>
    </row>
    <row r="4274" spans="5:13">
      <c r="E4274" s="261"/>
      <c r="F4274" s="261"/>
      <c r="G4274" s="261"/>
      <c r="H4274" s="261"/>
      <c r="I4274" s="261"/>
      <c r="J4274" s="261"/>
      <c r="K4274" s="261"/>
      <c r="L4274" s="261"/>
      <c r="M4274" s="261"/>
    </row>
    <row r="4275" spans="5:13">
      <c r="E4275" s="261"/>
      <c r="F4275" s="261"/>
      <c r="G4275" s="261"/>
      <c r="H4275" s="261"/>
      <c r="I4275" s="261"/>
      <c r="J4275" s="261"/>
      <c r="K4275" s="261"/>
      <c r="L4275" s="261"/>
      <c r="M4275" s="261"/>
    </row>
    <row r="4276" spans="5:13">
      <c r="E4276" s="261"/>
      <c r="F4276" s="261"/>
      <c r="G4276" s="261"/>
      <c r="H4276" s="261"/>
      <c r="I4276" s="261"/>
      <c r="J4276" s="261"/>
      <c r="K4276" s="261"/>
      <c r="L4276" s="261"/>
      <c r="M4276" s="261"/>
    </row>
    <row r="4277" spans="5:13">
      <c r="E4277" s="261"/>
      <c r="F4277" s="261"/>
      <c r="G4277" s="261"/>
      <c r="H4277" s="261"/>
      <c r="I4277" s="261"/>
      <c r="J4277" s="261"/>
      <c r="K4277" s="261"/>
      <c r="L4277" s="261"/>
      <c r="M4277" s="261"/>
    </row>
    <row r="4278" spans="5:13">
      <c r="E4278" s="261"/>
      <c r="F4278" s="261"/>
      <c r="G4278" s="261"/>
      <c r="H4278" s="261"/>
      <c r="I4278" s="261"/>
      <c r="J4278" s="261"/>
      <c r="K4278" s="261"/>
      <c r="L4278" s="261"/>
      <c r="M4278" s="261"/>
    </row>
    <row r="4279" spans="5:13">
      <c r="E4279" s="261"/>
      <c r="F4279" s="261"/>
      <c r="G4279" s="261"/>
      <c r="H4279" s="261"/>
      <c r="I4279" s="261"/>
      <c r="J4279" s="261"/>
      <c r="K4279" s="261"/>
      <c r="L4279" s="261"/>
      <c r="M4279" s="261"/>
    </row>
    <row r="4280" spans="5:13">
      <c r="E4280" s="261"/>
      <c r="F4280" s="261"/>
      <c r="G4280" s="261"/>
      <c r="H4280" s="261"/>
      <c r="I4280" s="261"/>
      <c r="J4280" s="261"/>
      <c r="K4280" s="261"/>
      <c r="L4280" s="261"/>
      <c r="M4280" s="261"/>
    </row>
    <row r="4281" spans="5:13">
      <c r="E4281" s="261"/>
      <c r="F4281" s="261"/>
      <c r="G4281" s="261"/>
      <c r="H4281" s="261"/>
      <c r="I4281" s="261"/>
      <c r="J4281" s="261"/>
      <c r="K4281" s="261"/>
      <c r="L4281" s="261"/>
      <c r="M4281" s="261"/>
    </row>
    <row r="4282" spans="5:13">
      <c r="E4282" s="261"/>
      <c r="F4282" s="261"/>
      <c r="G4282" s="261"/>
      <c r="H4282" s="261"/>
      <c r="I4282" s="261"/>
      <c r="J4282" s="261"/>
      <c r="K4282" s="261"/>
      <c r="L4282" s="261"/>
      <c r="M4282" s="261"/>
    </row>
    <row r="4283" spans="5:13">
      <c r="E4283" s="261"/>
      <c r="F4283" s="261"/>
      <c r="G4283" s="261"/>
      <c r="H4283" s="261"/>
      <c r="I4283" s="261"/>
      <c r="J4283" s="261"/>
      <c r="K4283" s="261"/>
      <c r="L4283" s="261"/>
      <c r="M4283" s="261"/>
    </row>
    <row r="4284" spans="5:13">
      <c r="E4284" s="261"/>
      <c r="F4284" s="261"/>
      <c r="G4284" s="261"/>
      <c r="H4284" s="261"/>
      <c r="I4284" s="261"/>
      <c r="J4284" s="261"/>
      <c r="K4284" s="261"/>
      <c r="L4284" s="261"/>
      <c r="M4284" s="261"/>
    </row>
    <row r="4285" spans="5:13">
      <c r="E4285" s="261"/>
      <c r="F4285" s="261"/>
      <c r="G4285" s="261"/>
      <c r="H4285" s="261"/>
      <c r="I4285" s="261"/>
      <c r="J4285" s="261"/>
      <c r="K4285" s="261"/>
      <c r="L4285" s="261"/>
      <c r="M4285" s="261"/>
    </row>
    <row r="4286" spans="5:13">
      <c r="E4286" s="261"/>
      <c r="F4286" s="261"/>
      <c r="G4286" s="261"/>
      <c r="H4286" s="261"/>
      <c r="I4286" s="261"/>
      <c r="J4286" s="261"/>
      <c r="K4286" s="261"/>
      <c r="L4286" s="261"/>
      <c r="M4286" s="261"/>
    </row>
    <row r="4287" spans="5:13">
      <c r="E4287" s="261"/>
      <c r="F4287" s="261"/>
      <c r="G4287" s="261"/>
      <c r="H4287" s="261"/>
      <c r="I4287" s="261"/>
      <c r="J4287" s="261"/>
      <c r="K4287" s="261"/>
      <c r="L4287" s="261"/>
      <c r="M4287" s="261"/>
    </row>
    <row r="4288" spans="5:13">
      <c r="E4288" s="261"/>
      <c r="F4288" s="261"/>
      <c r="G4288" s="261"/>
      <c r="H4288" s="261"/>
      <c r="I4288" s="261"/>
      <c r="J4288" s="261"/>
      <c r="K4288" s="261"/>
      <c r="L4288" s="261"/>
      <c r="M4288" s="261"/>
    </row>
    <row r="4289" spans="5:13">
      <c r="E4289" s="261"/>
      <c r="F4289" s="261"/>
      <c r="G4289" s="261"/>
      <c r="H4289" s="261"/>
      <c r="I4289" s="261"/>
      <c r="J4289" s="261"/>
      <c r="K4289" s="261"/>
      <c r="L4289" s="261"/>
      <c r="M4289" s="261"/>
    </row>
    <row r="4290" spans="5:13">
      <c r="E4290" s="261"/>
      <c r="F4290" s="261"/>
      <c r="G4290" s="261"/>
      <c r="H4290" s="261"/>
      <c r="I4290" s="261"/>
      <c r="J4290" s="261"/>
      <c r="K4290" s="261"/>
      <c r="L4290" s="261"/>
      <c r="M4290" s="261"/>
    </row>
    <row r="4291" spans="5:13">
      <c r="E4291" s="261"/>
      <c r="F4291" s="261"/>
      <c r="G4291" s="261"/>
      <c r="H4291" s="261"/>
      <c r="I4291" s="261"/>
      <c r="J4291" s="261"/>
      <c r="K4291" s="261"/>
      <c r="L4291" s="261"/>
      <c r="M4291" s="261"/>
    </row>
    <row r="4292" spans="5:13">
      <c r="E4292" s="261"/>
      <c r="F4292" s="261"/>
      <c r="G4292" s="261"/>
      <c r="H4292" s="261"/>
      <c r="I4292" s="261"/>
      <c r="J4292" s="261"/>
      <c r="K4292" s="261"/>
      <c r="L4292" s="261"/>
      <c r="M4292" s="261"/>
    </row>
    <row r="4293" spans="5:13">
      <c r="E4293" s="261"/>
      <c r="F4293" s="261"/>
      <c r="G4293" s="261"/>
      <c r="H4293" s="261"/>
      <c r="I4293" s="261"/>
      <c r="J4293" s="261"/>
      <c r="K4293" s="261"/>
      <c r="L4293" s="261"/>
      <c r="M4293" s="261"/>
    </row>
    <row r="4294" spans="5:13">
      <c r="E4294" s="261"/>
      <c r="F4294" s="261"/>
      <c r="G4294" s="261"/>
      <c r="H4294" s="261"/>
      <c r="I4294" s="261"/>
      <c r="J4294" s="261"/>
      <c r="K4294" s="261"/>
      <c r="L4294" s="261"/>
      <c r="M4294" s="261"/>
    </row>
    <row r="4295" spans="5:13">
      <c r="E4295" s="261"/>
      <c r="F4295" s="261"/>
      <c r="G4295" s="261"/>
      <c r="H4295" s="261"/>
      <c r="I4295" s="261"/>
      <c r="J4295" s="261"/>
      <c r="K4295" s="261"/>
      <c r="L4295" s="261"/>
      <c r="M4295" s="261"/>
    </row>
    <row r="4296" spans="5:13">
      <c r="E4296" s="261"/>
      <c r="F4296" s="261"/>
      <c r="G4296" s="261"/>
      <c r="H4296" s="261"/>
      <c r="I4296" s="261"/>
      <c r="J4296" s="261"/>
      <c r="K4296" s="261"/>
      <c r="L4296" s="261"/>
      <c r="M4296" s="261"/>
    </row>
    <row r="4297" spans="5:13">
      <c r="E4297" s="261"/>
      <c r="F4297" s="261"/>
      <c r="G4297" s="261"/>
      <c r="H4297" s="261"/>
      <c r="I4297" s="261"/>
      <c r="J4297" s="261"/>
      <c r="K4297" s="261"/>
      <c r="L4297" s="261"/>
      <c r="M4297" s="261"/>
    </row>
    <row r="4298" spans="5:13">
      <c r="E4298" s="261"/>
      <c r="F4298" s="261"/>
      <c r="G4298" s="261"/>
      <c r="H4298" s="261"/>
      <c r="I4298" s="261"/>
      <c r="J4298" s="261"/>
      <c r="K4298" s="261"/>
      <c r="L4298" s="261"/>
      <c r="M4298" s="261"/>
    </row>
    <row r="4299" spans="5:13">
      <c r="E4299" s="261"/>
      <c r="F4299" s="261"/>
      <c r="G4299" s="261"/>
      <c r="H4299" s="261"/>
      <c r="I4299" s="261"/>
      <c r="J4299" s="261"/>
      <c r="K4299" s="261"/>
      <c r="L4299" s="261"/>
      <c r="M4299" s="261"/>
    </row>
    <row r="4300" spans="5:13">
      <c r="E4300" s="261"/>
      <c r="F4300" s="261"/>
      <c r="G4300" s="261"/>
      <c r="H4300" s="261"/>
      <c r="I4300" s="261"/>
      <c r="J4300" s="261"/>
      <c r="K4300" s="261"/>
      <c r="L4300" s="261"/>
      <c r="M4300" s="261"/>
    </row>
    <row r="4301" spans="5:13">
      <c r="E4301" s="261"/>
      <c r="F4301" s="261"/>
      <c r="G4301" s="261"/>
      <c r="H4301" s="261"/>
      <c r="I4301" s="261"/>
      <c r="J4301" s="261"/>
      <c r="K4301" s="261"/>
      <c r="L4301" s="261"/>
      <c r="M4301" s="261"/>
    </row>
    <row r="4302" spans="5:13">
      <c r="E4302" s="261"/>
      <c r="F4302" s="261"/>
      <c r="G4302" s="261"/>
      <c r="H4302" s="261"/>
      <c r="I4302" s="261"/>
      <c r="J4302" s="261"/>
      <c r="K4302" s="261"/>
      <c r="L4302" s="261"/>
      <c r="M4302" s="261"/>
    </row>
    <row r="4303" spans="5:13">
      <c r="E4303" s="261"/>
      <c r="F4303" s="261"/>
      <c r="G4303" s="261"/>
      <c r="H4303" s="261"/>
      <c r="I4303" s="261"/>
      <c r="J4303" s="261"/>
      <c r="K4303" s="261"/>
      <c r="L4303" s="261"/>
      <c r="M4303" s="261"/>
    </row>
    <row r="4304" spans="5:13">
      <c r="E4304" s="261"/>
      <c r="F4304" s="261"/>
      <c r="G4304" s="261"/>
      <c r="H4304" s="261"/>
      <c r="I4304" s="261"/>
      <c r="J4304" s="261"/>
      <c r="K4304" s="261"/>
      <c r="L4304" s="261"/>
      <c r="M4304" s="261"/>
    </row>
    <row r="4305" spans="5:13">
      <c r="E4305" s="261"/>
      <c r="F4305" s="261"/>
      <c r="G4305" s="261"/>
      <c r="H4305" s="261"/>
      <c r="I4305" s="261"/>
      <c r="J4305" s="261"/>
      <c r="K4305" s="261"/>
      <c r="L4305" s="261"/>
      <c r="M4305" s="261"/>
    </row>
    <row r="4306" spans="5:13">
      <c r="E4306" s="261"/>
      <c r="F4306" s="261"/>
      <c r="G4306" s="261"/>
      <c r="H4306" s="261"/>
      <c r="I4306" s="261"/>
      <c r="J4306" s="261"/>
      <c r="K4306" s="261"/>
      <c r="L4306" s="261"/>
      <c r="M4306" s="261"/>
    </row>
    <row r="4307" spans="5:13">
      <c r="E4307" s="261"/>
      <c r="F4307" s="261"/>
      <c r="G4307" s="261"/>
      <c r="H4307" s="261"/>
      <c r="I4307" s="261"/>
      <c r="J4307" s="261"/>
      <c r="K4307" s="261"/>
      <c r="L4307" s="261"/>
      <c r="M4307" s="261"/>
    </row>
    <row r="4308" spans="5:13">
      <c r="E4308" s="261"/>
      <c r="F4308" s="261"/>
      <c r="G4308" s="261"/>
      <c r="H4308" s="261"/>
      <c r="I4308" s="261"/>
      <c r="J4308" s="261"/>
      <c r="K4308" s="261"/>
      <c r="L4308" s="261"/>
      <c r="M4308" s="261"/>
    </row>
    <row r="4309" spans="5:13">
      <c r="E4309" s="261"/>
      <c r="F4309" s="261"/>
      <c r="G4309" s="261"/>
      <c r="H4309" s="261"/>
      <c r="I4309" s="261"/>
      <c r="J4309" s="261"/>
      <c r="K4309" s="261"/>
      <c r="L4309" s="261"/>
      <c r="M4309" s="261"/>
    </row>
    <row r="4310" spans="5:13">
      <c r="E4310" s="261"/>
      <c r="F4310" s="261"/>
      <c r="G4310" s="261"/>
      <c r="H4310" s="261"/>
      <c r="I4310" s="261"/>
      <c r="J4310" s="261"/>
      <c r="K4310" s="261"/>
      <c r="L4310" s="261"/>
      <c r="M4310" s="261"/>
    </row>
    <row r="4311" spans="5:13">
      <c r="E4311" s="261"/>
      <c r="F4311" s="261"/>
      <c r="G4311" s="261"/>
      <c r="H4311" s="261"/>
      <c r="I4311" s="261"/>
      <c r="J4311" s="261"/>
      <c r="K4311" s="261"/>
      <c r="L4311" s="261"/>
      <c r="M4311" s="261"/>
    </row>
    <row r="4312" spans="5:13">
      <c r="E4312" s="261"/>
      <c r="F4312" s="261"/>
      <c r="G4312" s="261"/>
      <c r="H4312" s="261"/>
      <c r="I4312" s="261"/>
      <c r="J4312" s="261"/>
      <c r="K4312" s="261"/>
      <c r="L4312" s="261"/>
      <c r="M4312" s="261"/>
    </row>
    <row r="4313" spans="5:13">
      <c r="E4313" s="261"/>
      <c r="F4313" s="261"/>
      <c r="G4313" s="261"/>
      <c r="H4313" s="261"/>
      <c r="I4313" s="261"/>
      <c r="J4313" s="261"/>
      <c r="K4313" s="261"/>
      <c r="L4313" s="261"/>
      <c r="M4313" s="261"/>
    </row>
    <row r="4314" spans="5:13">
      <c r="E4314" s="261"/>
      <c r="F4314" s="261"/>
      <c r="G4314" s="261"/>
      <c r="H4314" s="261"/>
      <c r="I4314" s="261"/>
      <c r="J4314" s="261"/>
      <c r="K4314" s="261"/>
      <c r="L4314" s="261"/>
      <c r="M4314" s="261"/>
    </row>
    <row r="4315" spans="5:13">
      <c r="E4315" s="261"/>
      <c r="F4315" s="261"/>
      <c r="G4315" s="261"/>
      <c r="H4315" s="261"/>
      <c r="I4315" s="261"/>
      <c r="J4315" s="261"/>
      <c r="K4315" s="261"/>
      <c r="L4315" s="261"/>
      <c r="M4315" s="261"/>
    </row>
    <row r="4316" spans="5:13">
      <c r="E4316" s="261"/>
      <c r="F4316" s="261"/>
      <c r="G4316" s="261"/>
      <c r="H4316" s="261"/>
      <c r="I4316" s="261"/>
      <c r="J4316" s="261"/>
      <c r="K4316" s="261"/>
      <c r="L4316" s="261"/>
      <c r="M4316" s="261"/>
    </row>
    <row r="4317" spans="5:13">
      <c r="E4317" s="261"/>
      <c r="F4317" s="261"/>
      <c r="G4317" s="261"/>
      <c r="H4317" s="261"/>
      <c r="I4317" s="261"/>
      <c r="J4317" s="261"/>
      <c r="K4317" s="261"/>
      <c r="L4317" s="261"/>
      <c r="M4317" s="261"/>
    </row>
    <row r="4318" spans="5:13">
      <c r="E4318" s="261"/>
      <c r="F4318" s="261"/>
      <c r="G4318" s="261"/>
      <c r="H4318" s="261"/>
      <c r="I4318" s="261"/>
      <c r="J4318" s="261"/>
      <c r="K4318" s="261"/>
      <c r="L4318" s="261"/>
      <c r="M4318" s="261"/>
    </row>
    <row r="4319" spans="5:13">
      <c r="E4319" s="261"/>
      <c r="F4319" s="261"/>
      <c r="G4319" s="261"/>
      <c r="H4319" s="261"/>
      <c r="I4319" s="261"/>
      <c r="J4319" s="261"/>
      <c r="K4319" s="261"/>
      <c r="L4319" s="261"/>
      <c r="M4319" s="261"/>
    </row>
    <row r="4320" spans="5:13">
      <c r="E4320" s="261"/>
      <c r="F4320" s="261"/>
      <c r="G4320" s="261"/>
      <c r="H4320" s="261"/>
      <c r="I4320" s="261"/>
      <c r="J4320" s="261"/>
      <c r="K4320" s="261"/>
      <c r="L4320" s="261"/>
      <c r="M4320" s="261"/>
    </row>
    <row r="4321" spans="5:13">
      <c r="E4321" s="261"/>
      <c r="F4321" s="261"/>
      <c r="G4321" s="261"/>
      <c r="H4321" s="261"/>
      <c r="I4321" s="261"/>
      <c r="J4321" s="261"/>
      <c r="K4321" s="261"/>
      <c r="L4321" s="261"/>
      <c r="M4321" s="261"/>
    </row>
    <row r="4322" spans="5:13">
      <c r="E4322" s="261"/>
      <c r="F4322" s="261"/>
      <c r="G4322" s="261"/>
      <c r="H4322" s="261"/>
      <c r="I4322" s="261"/>
      <c r="J4322" s="261"/>
      <c r="K4322" s="261"/>
      <c r="L4322" s="261"/>
      <c r="M4322" s="261"/>
    </row>
    <row r="4323" spans="5:13">
      <c r="E4323" s="261"/>
      <c r="F4323" s="261"/>
      <c r="G4323" s="261"/>
      <c r="H4323" s="261"/>
      <c r="I4323" s="261"/>
      <c r="J4323" s="261"/>
      <c r="K4323" s="261"/>
      <c r="L4323" s="261"/>
      <c r="M4323" s="261"/>
    </row>
    <row r="4324" spans="5:13">
      <c r="E4324" s="261"/>
      <c r="F4324" s="261"/>
      <c r="G4324" s="261"/>
      <c r="H4324" s="261"/>
      <c r="I4324" s="261"/>
      <c r="J4324" s="261"/>
      <c r="K4324" s="261"/>
      <c r="L4324" s="261"/>
      <c r="M4324" s="261"/>
    </row>
    <row r="4325" spans="5:13">
      <c r="E4325" s="261"/>
      <c r="F4325" s="261"/>
      <c r="G4325" s="261"/>
      <c r="H4325" s="261"/>
      <c r="I4325" s="261"/>
      <c r="J4325" s="261"/>
      <c r="K4325" s="261"/>
      <c r="L4325" s="261"/>
      <c r="M4325" s="261"/>
    </row>
    <row r="4326" spans="5:13">
      <c r="E4326" s="261"/>
      <c r="F4326" s="261"/>
      <c r="G4326" s="261"/>
      <c r="H4326" s="261"/>
      <c r="I4326" s="261"/>
      <c r="J4326" s="261"/>
      <c r="K4326" s="261"/>
      <c r="L4326" s="261"/>
      <c r="M4326" s="261"/>
    </row>
    <row r="4327" spans="5:13">
      <c r="E4327" s="261"/>
      <c r="F4327" s="261"/>
      <c r="G4327" s="261"/>
      <c r="H4327" s="261"/>
      <c r="I4327" s="261"/>
      <c r="J4327" s="261"/>
      <c r="K4327" s="261"/>
      <c r="L4327" s="261"/>
      <c r="M4327" s="261"/>
    </row>
    <row r="4328" spans="5:13">
      <c r="E4328" s="261"/>
      <c r="F4328" s="261"/>
      <c r="G4328" s="261"/>
      <c r="H4328" s="261"/>
      <c r="I4328" s="261"/>
      <c r="J4328" s="261"/>
      <c r="K4328" s="261"/>
      <c r="L4328" s="261"/>
      <c r="M4328" s="261"/>
    </row>
    <row r="4329" spans="5:13">
      <c r="E4329" s="261"/>
      <c r="F4329" s="261"/>
      <c r="G4329" s="261"/>
      <c r="H4329" s="261"/>
      <c r="I4329" s="261"/>
      <c r="J4329" s="261"/>
      <c r="K4329" s="261"/>
      <c r="L4329" s="261"/>
      <c r="M4329" s="261"/>
    </row>
    <row r="4330" spans="5:13">
      <c r="E4330" s="261"/>
      <c r="F4330" s="261"/>
      <c r="G4330" s="261"/>
      <c r="H4330" s="261"/>
      <c r="I4330" s="261"/>
      <c r="J4330" s="261"/>
      <c r="K4330" s="261"/>
      <c r="L4330" s="261"/>
      <c r="M4330" s="261"/>
    </row>
    <row r="4331" spans="5:13">
      <c r="E4331" s="261"/>
      <c r="F4331" s="261"/>
      <c r="G4331" s="261"/>
      <c r="H4331" s="261"/>
      <c r="I4331" s="261"/>
      <c r="J4331" s="261"/>
      <c r="K4331" s="261"/>
      <c r="L4331" s="261"/>
      <c r="M4331" s="261"/>
    </row>
    <row r="4332" spans="5:13">
      <c r="E4332" s="261"/>
      <c r="F4332" s="261"/>
      <c r="G4332" s="261"/>
      <c r="H4332" s="261"/>
      <c r="I4332" s="261"/>
      <c r="J4332" s="261"/>
      <c r="K4332" s="261"/>
      <c r="L4332" s="261"/>
      <c r="M4332" s="261"/>
    </row>
    <row r="4333" spans="5:13">
      <c r="E4333" s="261"/>
      <c r="F4333" s="261"/>
      <c r="G4333" s="261"/>
      <c r="H4333" s="261"/>
      <c r="I4333" s="261"/>
      <c r="J4333" s="261"/>
      <c r="K4333" s="261"/>
      <c r="L4333" s="261"/>
      <c r="M4333" s="261"/>
    </row>
    <row r="4334" spans="5:13">
      <c r="E4334" s="261"/>
      <c r="F4334" s="261"/>
      <c r="G4334" s="261"/>
      <c r="H4334" s="261"/>
      <c r="I4334" s="261"/>
      <c r="J4334" s="261"/>
      <c r="K4334" s="261"/>
      <c r="L4334" s="261"/>
      <c r="M4334" s="261"/>
    </row>
    <row r="4335" spans="5:13">
      <c r="E4335" s="261"/>
      <c r="F4335" s="261"/>
      <c r="G4335" s="261"/>
      <c r="H4335" s="261"/>
      <c r="I4335" s="261"/>
      <c r="J4335" s="261"/>
      <c r="K4335" s="261"/>
      <c r="L4335" s="261"/>
      <c r="M4335" s="261"/>
    </row>
    <row r="4336" spans="5:13">
      <c r="E4336" s="261"/>
      <c r="F4336" s="261"/>
      <c r="G4336" s="261"/>
      <c r="H4336" s="261"/>
      <c r="I4336" s="261"/>
      <c r="J4336" s="261"/>
      <c r="K4336" s="261"/>
      <c r="L4336" s="261"/>
      <c r="M4336" s="261"/>
    </row>
    <row r="4337" spans="5:13">
      <c r="E4337" s="261"/>
      <c r="F4337" s="261"/>
      <c r="G4337" s="261"/>
      <c r="H4337" s="261"/>
      <c r="I4337" s="261"/>
      <c r="J4337" s="261"/>
      <c r="K4337" s="261"/>
      <c r="L4337" s="261"/>
      <c r="M4337" s="261"/>
    </row>
    <row r="4338" spans="5:13">
      <c r="E4338" s="261"/>
      <c r="F4338" s="261"/>
      <c r="G4338" s="261"/>
      <c r="H4338" s="261"/>
      <c r="I4338" s="261"/>
      <c r="J4338" s="261"/>
      <c r="K4338" s="261"/>
      <c r="L4338" s="261"/>
      <c r="M4338" s="261"/>
    </row>
    <row r="4339" spans="5:13">
      <c r="E4339" s="261"/>
      <c r="F4339" s="261"/>
      <c r="G4339" s="261"/>
      <c r="H4339" s="261"/>
      <c r="I4339" s="261"/>
      <c r="J4339" s="261"/>
      <c r="K4339" s="261"/>
      <c r="L4339" s="261"/>
      <c r="M4339" s="261"/>
    </row>
    <row r="4340" spans="5:13">
      <c r="E4340" s="261"/>
      <c r="F4340" s="261"/>
      <c r="G4340" s="261"/>
      <c r="H4340" s="261"/>
      <c r="I4340" s="261"/>
      <c r="J4340" s="261"/>
      <c r="K4340" s="261"/>
      <c r="L4340" s="261"/>
      <c r="M4340" s="261"/>
    </row>
    <row r="4341" spans="5:13">
      <c r="E4341" s="261"/>
      <c r="F4341" s="261"/>
      <c r="G4341" s="261"/>
      <c r="H4341" s="261"/>
      <c r="I4341" s="261"/>
      <c r="J4341" s="261"/>
      <c r="K4341" s="261"/>
      <c r="L4341" s="261"/>
      <c r="M4341" s="261"/>
    </row>
    <row r="4342" spans="5:13">
      <c r="E4342" s="261"/>
      <c r="F4342" s="261"/>
      <c r="G4342" s="261"/>
      <c r="H4342" s="261"/>
      <c r="I4342" s="261"/>
      <c r="J4342" s="261"/>
      <c r="K4342" s="261"/>
      <c r="L4342" s="261"/>
      <c r="M4342" s="261"/>
    </row>
    <row r="4343" spans="5:13">
      <c r="E4343" s="261"/>
      <c r="F4343" s="261"/>
      <c r="G4343" s="261"/>
      <c r="H4343" s="261"/>
      <c r="I4343" s="261"/>
      <c r="J4343" s="261"/>
      <c r="K4343" s="261"/>
      <c r="L4343" s="261"/>
      <c r="M4343" s="261"/>
    </row>
    <row r="4344" spans="5:13">
      <c r="E4344" s="261"/>
      <c r="F4344" s="261"/>
      <c r="G4344" s="261"/>
      <c r="H4344" s="261"/>
      <c r="I4344" s="261"/>
      <c r="J4344" s="261"/>
      <c r="K4344" s="261"/>
      <c r="L4344" s="261"/>
      <c r="M4344" s="261"/>
    </row>
    <row r="4345" spans="5:13">
      <c r="E4345" s="261"/>
      <c r="F4345" s="261"/>
      <c r="G4345" s="261"/>
      <c r="H4345" s="261"/>
      <c r="I4345" s="261"/>
      <c r="J4345" s="261"/>
      <c r="K4345" s="261"/>
      <c r="L4345" s="261"/>
      <c r="M4345" s="261"/>
    </row>
    <row r="4346" spans="5:13">
      <c r="E4346" s="261"/>
      <c r="F4346" s="261"/>
      <c r="G4346" s="261"/>
      <c r="H4346" s="261"/>
      <c r="I4346" s="261"/>
      <c r="J4346" s="261"/>
      <c r="K4346" s="261"/>
      <c r="L4346" s="261"/>
      <c r="M4346" s="261"/>
    </row>
    <row r="4347" spans="5:13">
      <c r="E4347" s="261"/>
      <c r="F4347" s="261"/>
      <c r="G4347" s="261"/>
      <c r="H4347" s="261"/>
      <c r="I4347" s="261"/>
      <c r="J4347" s="261"/>
      <c r="K4347" s="261"/>
      <c r="L4347" s="261"/>
      <c r="M4347" s="261"/>
    </row>
    <row r="4348" spans="5:13">
      <c r="E4348" s="261"/>
      <c r="F4348" s="261"/>
      <c r="G4348" s="261"/>
      <c r="H4348" s="261"/>
      <c r="I4348" s="261"/>
      <c r="J4348" s="261"/>
      <c r="K4348" s="261"/>
      <c r="L4348" s="261"/>
      <c r="M4348" s="261"/>
    </row>
    <row r="4349" spans="5:13">
      <c r="E4349" s="261"/>
      <c r="F4349" s="261"/>
      <c r="G4349" s="261"/>
      <c r="H4349" s="261"/>
      <c r="I4349" s="261"/>
      <c r="J4349" s="261"/>
      <c r="K4349" s="261"/>
      <c r="L4349" s="261"/>
      <c r="M4349" s="261"/>
    </row>
    <row r="4350" spans="5:13">
      <c r="E4350" s="261"/>
      <c r="F4350" s="261"/>
      <c r="G4350" s="261"/>
      <c r="H4350" s="261"/>
      <c r="I4350" s="261"/>
      <c r="J4350" s="261"/>
      <c r="K4350" s="261"/>
      <c r="L4350" s="261"/>
      <c r="M4350" s="261"/>
    </row>
    <row r="4351" spans="5:13">
      <c r="E4351" s="261"/>
      <c r="F4351" s="261"/>
      <c r="G4351" s="261"/>
      <c r="H4351" s="261"/>
      <c r="I4351" s="261"/>
      <c r="J4351" s="261"/>
      <c r="K4351" s="261"/>
      <c r="L4351" s="261"/>
      <c r="M4351" s="261"/>
    </row>
    <row r="4352" spans="5:13">
      <c r="E4352" s="261"/>
      <c r="F4352" s="261"/>
      <c r="G4352" s="261"/>
      <c r="H4352" s="261"/>
      <c r="I4352" s="261"/>
      <c r="J4352" s="261"/>
      <c r="K4352" s="261"/>
      <c r="L4352" s="261"/>
      <c r="M4352" s="261"/>
    </row>
    <row r="4353" spans="5:13">
      <c r="E4353" s="261"/>
      <c r="F4353" s="261"/>
      <c r="G4353" s="261"/>
      <c r="H4353" s="261"/>
      <c r="I4353" s="261"/>
      <c r="J4353" s="261"/>
      <c r="K4353" s="261"/>
      <c r="L4353" s="261"/>
      <c r="M4353" s="261"/>
    </row>
    <row r="4354" spans="5:13">
      <c r="E4354" s="261"/>
      <c r="F4354" s="261"/>
      <c r="G4354" s="261"/>
      <c r="H4354" s="261"/>
      <c r="I4354" s="261"/>
      <c r="J4354" s="261"/>
      <c r="K4354" s="261"/>
      <c r="L4354" s="261"/>
      <c r="M4354" s="261"/>
    </row>
    <row r="4355" spans="5:13">
      <c r="E4355" s="261"/>
      <c r="F4355" s="261"/>
      <c r="G4355" s="261"/>
      <c r="H4355" s="261"/>
      <c r="I4355" s="261"/>
      <c r="J4355" s="261"/>
      <c r="K4355" s="261"/>
      <c r="L4355" s="261"/>
      <c r="M4355" s="261"/>
    </row>
    <row r="4356" spans="5:13">
      <c r="E4356" s="261"/>
      <c r="F4356" s="261"/>
      <c r="G4356" s="261"/>
      <c r="H4356" s="261"/>
      <c r="I4356" s="261"/>
      <c r="J4356" s="261"/>
      <c r="K4356" s="261"/>
      <c r="L4356" s="261"/>
      <c r="M4356" s="261"/>
    </row>
    <row r="4357" spans="5:13">
      <c r="E4357" s="261"/>
      <c r="F4357" s="261"/>
      <c r="G4357" s="261"/>
      <c r="H4357" s="261"/>
      <c r="I4357" s="261"/>
      <c r="J4357" s="261"/>
      <c r="K4357" s="261"/>
      <c r="L4357" s="261"/>
      <c r="M4357" s="261"/>
    </row>
    <row r="4358" spans="5:13">
      <c r="E4358" s="261"/>
      <c r="F4358" s="261"/>
      <c r="G4358" s="261"/>
      <c r="H4358" s="261"/>
      <c r="I4358" s="261"/>
      <c r="J4358" s="261"/>
      <c r="K4358" s="261"/>
      <c r="L4358" s="261"/>
      <c r="M4358" s="261"/>
    </row>
    <row r="4359" spans="5:13">
      <c r="E4359" s="261"/>
      <c r="F4359" s="261"/>
      <c r="G4359" s="261"/>
      <c r="H4359" s="261"/>
      <c r="I4359" s="261"/>
      <c r="J4359" s="261"/>
      <c r="K4359" s="261"/>
      <c r="L4359" s="261"/>
      <c r="M4359" s="261"/>
    </row>
    <row r="4360" spans="5:13">
      <c r="E4360" s="261"/>
      <c r="F4360" s="261"/>
      <c r="G4360" s="261"/>
      <c r="H4360" s="261"/>
      <c r="I4360" s="261"/>
      <c r="J4360" s="261"/>
      <c r="K4360" s="261"/>
      <c r="L4360" s="261"/>
      <c r="M4360" s="261"/>
    </row>
    <row r="4361" spans="5:13">
      <c r="E4361" s="261"/>
      <c r="F4361" s="261"/>
      <c r="G4361" s="261"/>
      <c r="H4361" s="261"/>
      <c r="I4361" s="261"/>
      <c r="J4361" s="261"/>
      <c r="K4361" s="261"/>
      <c r="L4361" s="261"/>
      <c r="M4361" s="261"/>
    </row>
    <row r="4362" spans="5:13">
      <c r="E4362" s="261"/>
      <c r="F4362" s="261"/>
      <c r="G4362" s="261"/>
      <c r="H4362" s="261"/>
      <c r="I4362" s="261"/>
      <c r="J4362" s="261"/>
      <c r="K4362" s="261"/>
      <c r="L4362" s="261"/>
      <c r="M4362" s="261"/>
    </row>
    <row r="4363" spans="5:13">
      <c r="E4363" s="261"/>
      <c r="F4363" s="261"/>
      <c r="G4363" s="261"/>
      <c r="H4363" s="261"/>
      <c r="I4363" s="261"/>
      <c r="J4363" s="261"/>
      <c r="K4363" s="261"/>
      <c r="L4363" s="261"/>
      <c r="M4363" s="261"/>
    </row>
    <row r="4364" spans="5:13">
      <c r="E4364" s="261"/>
      <c r="F4364" s="261"/>
      <c r="G4364" s="261"/>
      <c r="H4364" s="261"/>
      <c r="I4364" s="261"/>
      <c r="J4364" s="261"/>
      <c r="K4364" s="261"/>
      <c r="L4364" s="261"/>
      <c r="M4364" s="261"/>
    </row>
    <row r="4365" spans="5:13">
      <c r="E4365" s="261"/>
      <c r="F4365" s="261"/>
      <c r="G4365" s="261"/>
      <c r="H4365" s="261"/>
      <c r="I4365" s="261"/>
      <c r="J4365" s="261"/>
      <c r="K4365" s="261"/>
      <c r="L4365" s="261"/>
      <c r="M4365" s="261"/>
    </row>
    <row r="4366" spans="5:13">
      <c r="E4366" s="261"/>
      <c r="F4366" s="261"/>
      <c r="G4366" s="261"/>
      <c r="H4366" s="261"/>
      <c r="I4366" s="261"/>
      <c r="J4366" s="261"/>
      <c r="K4366" s="261"/>
      <c r="L4366" s="261"/>
      <c r="M4366" s="261"/>
    </row>
    <row r="4367" spans="5:13">
      <c r="E4367" s="261"/>
      <c r="F4367" s="261"/>
      <c r="G4367" s="261"/>
      <c r="H4367" s="261"/>
      <c r="I4367" s="261"/>
      <c r="J4367" s="261"/>
      <c r="K4367" s="261"/>
      <c r="L4367" s="261"/>
      <c r="M4367" s="261"/>
    </row>
    <row r="4368" spans="5:13">
      <c r="E4368" s="261"/>
      <c r="F4368" s="261"/>
      <c r="G4368" s="261"/>
      <c r="H4368" s="261"/>
      <c r="I4368" s="261"/>
      <c r="J4368" s="261"/>
      <c r="K4368" s="261"/>
      <c r="L4368" s="261"/>
      <c r="M4368" s="261"/>
    </row>
    <row r="4369" spans="5:13">
      <c r="E4369" s="261"/>
      <c r="F4369" s="261"/>
      <c r="G4369" s="261"/>
      <c r="H4369" s="261"/>
      <c r="I4369" s="261"/>
      <c r="J4369" s="261"/>
      <c r="K4369" s="261"/>
      <c r="L4369" s="261"/>
      <c r="M4369" s="261"/>
    </row>
    <row r="4370" spans="5:13">
      <c r="E4370" s="261"/>
      <c r="F4370" s="261"/>
      <c r="G4370" s="261"/>
      <c r="H4370" s="261"/>
      <c r="I4370" s="261"/>
      <c r="J4370" s="261"/>
      <c r="K4370" s="261"/>
      <c r="L4370" s="261"/>
      <c r="M4370" s="261"/>
    </row>
    <row r="4371" spans="5:13">
      <c r="E4371" s="261"/>
      <c r="F4371" s="261"/>
      <c r="G4371" s="261"/>
      <c r="H4371" s="261"/>
      <c r="I4371" s="261"/>
      <c r="J4371" s="261"/>
      <c r="K4371" s="261"/>
      <c r="L4371" s="261"/>
      <c r="M4371" s="261"/>
    </row>
    <row r="4372" spans="5:13">
      <c r="E4372" s="261"/>
      <c r="F4372" s="261"/>
      <c r="G4372" s="261"/>
      <c r="H4372" s="261"/>
      <c r="I4372" s="261"/>
      <c r="J4372" s="261"/>
      <c r="K4372" s="261"/>
      <c r="L4372" s="261"/>
      <c r="M4372" s="261"/>
    </row>
    <row r="4373" spans="5:13">
      <c r="E4373" s="261"/>
      <c r="F4373" s="261"/>
      <c r="G4373" s="261"/>
      <c r="H4373" s="261"/>
      <c r="I4373" s="261"/>
      <c r="J4373" s="261"/>
      <c r="K4373" s="261"/>
      <c r="L4373" s="261"/>
      <c r="M4373" s="261"/>
    </row>
    <row r="4374" spans="5:13">
      <c r="E4374" s="261"/>
      <c r="F4374" s="261"/>
      <c r="G4374" s="261"/>
      <c r="H4374" s="261"/>
      <c r="I4374" s="261"/>
      <c r="J4374" s="261"/>
      <c r="K4374" s="261"/>
      <c r="L4374" s="261"/>
      <c r="M4374" s="261"/>
    </row>
    <row r="4375" spans="5:13">
      <c r="E4375" s="261"/>
      <c r="F4375" s="261"/>
      <c r="G4375" s="261"/>
      <c r="H4375" s="261"/>
      <c r="I4375" s="261"/>
      <c r="J4375" s="261"/>
      <c r="K4375" s="261"/>
      <c r="L4375" s="261"/>
      <c r="M4375" s="261"/>
    </row>
    <row r="4376" spans="5:13">
      <c r="E4376" s="261"/>
      <c r="F4376" s="261"/>
      <c r="G4376" s="261"/>
      <c r="H4376" s="261"/>
      <c r="I4376" s="261"/>
      <c r="J4376" s="261"/>
      <c r="K4376" s="261"/>
      <c r="L4376" s="261"/>
      <c r="M4376" s="261"/>
    </row>
    <row r="4377" spans="5:13">
      <c r="E4377" s="261"/>
      <c r="F4377" s="261"/>
      <c r="G4377" s="261"/>
      <c r="H4377" s="261"/>
      <c r="I4377" s="261"/>
      <c r="J4377" s="261"/>
      <c r="K4377" s="261"/>
      <c r="L4377" s="261"/>
      <c r="M4377" s="261"/>
    </row>
    <row r="4378" spans="5:13">
      <c r="E4378" s="261"/>
      <c r="F4378" s="261"/>
      <c r="G4378" s="261"/>
      <c r="H4378" s="261"/>
      <c r="I4378" s="261"/>
      <c r="J4378" s="261"/>
      <c r="K4378" s="261"/>
      <c r="L4378" s="261"/>
      <c r="M4378" s="261"/>
    </row>
    <row r="4379" spans="5:13">
      <c r="E4379" s="261"/>
      <c r="F4379" s="261"/>
      <c r="G4379" s="261"/>
      <c r="H4379" s="261"/>
      <c r="I4379" s="261"/>
      <c r="J4379" s="261"/>
      <c r="K4379" s="261"/>
      <c r="L4379" s="261"/>
      <c r="M4379" s="261"/>
    </row>
    <row r="4380" spans="5:13">
      <c r="E4380" s="261"/>
      <c r="F4380" s="261"/>
      <c r="G4380" s="261"/>
      <c r="H4380" s="261"/>
      <c r="I4380" s="261"/>
      <c r="J4380" s="261"/>
      <c r="K4380" s="261"/>
      <c r="L4380" s="261"/>
      <c r="M4380" s="261"/>
    </row>
    <row r="4381" spans="5:13">
      <c r="E4381" s="261"/>
      <c r="F4381" s="261"/>
      <c r="G4381" s="261"/>
      <c r="H4381" s="261"/>
      <c r="I4381" s="261"/>
      <c r="J4381" s="261"/>
      <c r="K4381" s="261"/>
      <c r="L4381" s="261"/>
      <c r="M4381" s="261"/>
    </row>
    <row r="4382" spans="5:13">
      <c r="E4382" s="261"/>
      <c r="F4382" s="261"/>
      <c r="G4382" s="261"/>
      <c r="H4382" s="261"/>
      <c r="I4382" s="261"/>
      <c r="J4382" s="261"/>
      <c r="K4382" s="261"/>
      <c r="L4382" s="261"/>
      <c r="M4382" s="261"/>
    </row>
    <row r="4383" spans="5:13">
      <c r="E4383" s="261"/>
      <c r="F4383" s="261"/>
      <c r="G4383" s="261"/>
      <c r="H4383" s="261"/>
      <c r="I4383" s="261"/>
      <c r="J4383" s="261"/>
      <c r="K4383" s="261"/>
      <c r="L4383" s="261"/>
      <c r="M4383" s="261"/>
    </row>
    <row r="4384" spans="5:13">
      <c r="E4384" s="261"/>
      <c r="F4384" s="261"/>
      <c r="G4384" s="261"/>
      <c r="H4384" s="261"/>
      <c r="I4384" s="261"/>
      <c r="J4384" s="261"/>
      <c r="K4384" s="261"/>
      <c r="L4384" s="261"/>
      <c r="M4384" s="261"/>
    </row>
    <row r="4385" spans="5:13">
      <c r="E4385" s="261"/>
      <c r="F4385" s="261"/>
      <c r="G4385" s="261"/>
      <c r="H4385" s="261"/>
      <c r="I4385" s="261"/>
      <c r="J4385" s="261"/>
      <c r="K4385" s="261"/>
      <c r="L4385" s="261"/>
      <c r="M4385" s="261"/>
    </row>
    <row r="4386" spans="5:13">
      <c r="E4386" s="261"/>
      <c r="F4386" s="261"/>
      <c r="G4386" s="261"/>
      <c r="H4386" s="261"/>
      <c r="I4386" s="261"/>
      <c r="J4386" s="261"/>
      <c r="K4386" s="261"/>
      <c r="L4386" s="261"/>
      <c r="M4386" s="261"/>
    </row>
    <row r="4387" spans="5:13">
      <c r="E4387" s="261"/>
      <c r="F4387" s="261"/>
      <c r="G4387" s="261"/>
      <c r="H4387" s="261"/>
      <c r="I4387" s="261"/>
      <c r="J4387" s="261"/>
      <c r="K4387" s="261"/>
      <c r="L4387" s="261"/>
      <c r="M4387" s="261"/>
    </row>
    <row r="4388" spans="5:13">
      <c r="E4388" s="261"/>
      <c r="F4388" s="261"/>
      <c r="G4388" s="261"/>
      <c r="H4388" s="261"/>
      <c r="I4388" s="261"/>
      <c r="J4388" s="261"/>
      <c r="K4388" s="261"/>
      <c r="L4388" s="261"/>
      <c r="M4388" s="261"/>
    </row>
    <row r="4389" spans="5:13">
      <c r="E4389" s="261"/>
      <c r="F4389" s="261"/>
      <c r="G4389" s="261"/>
      <c r="H4389" s="261"/>
      <c r="I4389" s="261"/>
      <c r="J4389" s="261"/>
      <c r="K4389" s="261"/>
      <c r="L4389" s="261"/>
      <c r="M4389" s="261"/>
    </row>
    <row r="4390" spans="5:13">
      <c r="E4390" s="261"/>
      <c r="F4390" s="261"/>
      <c r="G4390" s="261"/>
      <c r="H4390" s="261"/>
      <c r="I4390" s="261"/>
      <c r="J4390" s="261"/>
      <c r="K4390" s="261"/>
      <c r="L4390" s="261"/>
      <c r="M4390" s="261"/>
    </row>
    <row r="4391" spans="5:13">
      <c r="E4391" s="261"/>
      <c r="F4391" s="261"/>
      <c r="G4391" s="261"/>
      <c r="H4391" s="261"/>
      <c r="I4391" s="261"/>
      <c r="J4391" s="261"/>
      <c r="K4391" s="261"/>
      <c r="L4391" s="261"/>
      <c r="M4391" s="261"/>
    </row>
    <row r="4392" spans="5:13">
      <c r="E4392" s="261"/>
      <c r="F4392" s="261"/>
      <c r="G4392" s="261"/>
      <c r="H4392" s="261"/>
      <c r="I4392" s="261"/>
      <c r="J4392" s="261"/>
      <c r="K4392" s="261"/>
      <c r="L4392" s="261"/>
      <c r="M4392" s="261"/>
    </row>
    <row r="4393" spans="5:13">
      <c r="E4393" s="261"/>
      <c r="F4393" s="261"/>
      <c r="G4393" s="261"/>
      <c r="H4393" s="261"/>
      <c r="I4393" s="261"/>
      <c r="J4393" s="261"/>
      <c r="K4393" s="261"/>
      <c r="L4393" s="261"/>
      <c r="M4393" s="261"/>
    </row>
    <row r="4394" spans="5:13">
      <c r="E4394" s="261"/>
      <c r="F4394" s="261"/>
      <c r="G4394" s="261"/>
      <c r="H4394" s="261"/>
      <c r="I4394" s="261"/>
      <c r="J4394" s="261"/>
      <c r="K4394" s="261"/>
      <c r="L4394" s="261"/>
      <c r="M4394" s="261"/>
    </row>
    <row r="4395" spans="5:13">
      <c r="E4395" s="261"/>
      <c r="F4395" s="261"/>
      <c r="G4395" s="261"/>
      <c r="H4395" s="261"/>
      <c r="I4395" s="261"/>
      <c r="J4395" s="261"/>
      <c r="K4395" s="261"/>
      <c r="L4395" s="261"/>
      <c r="M4395" s="261"/>
    </row>
    <row r="4396" spans="5:13">
      <c r="E4396" s="261"/>
      <c r="F4396" s="261"/>
      <c r="G4396" s="261"/>
      <c r="H4396" s="261"/>
      <c r="I4396" s="261"/>
      <c r="J4396" s="261"/>
      <c r="K4396" s="261"/>
      <c r="L4396" s="261"/>
      <c r="M4396" s="261"/>
    </row>
    <row r="4397" spans="5:13">
      <c r="E4397" s="261"/>
      <c r="F4397" s="261"/>
      <c r="G4397" s="261"/>
      <c r="H4397" s="261"/>
      <c r="I4397" s="261"/>
      <c r="J4397" s="261"/>
      <c r="K4397" s="261"/>
      <c r="L4397" s="261"/>
      <c r="M4397" s="261"/>
    </row>
    <row r="4398" spans="5:13">
      <c r="E4398" s="261"/>
      <c r="F4398" s="261"/>
      <c r="G4398" s="261"/>
      <c r="H4398" s="261"/>
      <c r="I4398" s="261"/>
      <c r="J4398" s="261"/>
      <c r="K4398" s="261"/>
      <c r="L4398" s="261"/>
      <c r="M4398" s="261"/>
    </row>
    <row r="4399" spans="5:13">
      <c r="E4399" s="261"/>
      <c r="F4399" s="261"/>
      <c r="G4399" s="261"/>
      <c r="H4399" s="261"/>
      <c r="I4399" s="261"/>
      <c r="J4399" s="261"/>
      <c r="K4399" s="261"/>
      <c r="L4399" s="261"/>
      <c r="M4399" s="261"/>
    </row>
    <row r="4400" spans="5:13">
      <c r="E4400" s="261"/>
      <c r="F4400" s="261"/>
      <c r="G4400" s="261"/>
      <c r="H4400" s="261"/>
      <c r="I4400" s="261"/>
      <c r="J4400" s="261"/>
      <c r="K4400" s="261"/>
      <c r="L4400" s="261"/>
      <c r="M4400" s="261"/>
    </row>
    <row r="4401" spans="5:13">
      <c r="E4401" s="261"/>
      <c r="F4401" s="261"/>
      <c r="G4401" s="261"/>
      <c r="H4401" s="261"/>
      <c r="I4401" s="261"/>
      <c r="J4401" s="261"/>
      <c r="K4401" s="261"/>
      <c r="L4401" s="261"/>
      <c r="M4401" s="261"/>
    </row>
    <row r="4402" spans="5:13">
      <c r="E4402" s="261"/>
      <c r="F4402" s="261"/>
      <c r="G4402" s="261"/>
      <c r="H4402" s="261"/>
      <c r="I4402" s="261"/>
      <c r="J4402" s="261"/>
      <c r="K4402" s="261"/>
      <c r="L4402" s="261"/>
      <c r="M4402" s="261"/>
    </row>
    <row r="4403" spans="5:13">
      <c r="E4403" s="261"/>
      <c r="F4403" s="261"/>
      <c r="G4403" s="261"/>
      <c r="H4403" s="261"/>
      <c r="I4403" s="261"/>
      <c r="J4403" s="261"/>
      <c r="K4403" s="261"/>
      <c r="L4403" s="261"/>
      <c r="M4403" s="261"/>
    </row>
    <row r="4404" spans="5:13">
      <c r="E4404" s="261"/>
      <c r="F4404" s="261"/>
      <c r="G4404" s="261"/>
      <c r="H4404" s="261"/>
      <c r="I4404" s="261"/>
      <c r="J4404" s="261"/>
      <c r="K4404" s="261"/>
      <c r="L4404" s="261"/>
      <c r="M4404" s="261"/>
    </row>
    <row r="4405" spans="5:13">
      <c r="E4405" s="261"/>
      <c r="F4405" s="261"/>
      <c r="G4405" s="261"/>
      <c r="H4405" s="261"/>
      <c r="I4405" s="261"/>
      <c r="J4405" s="261"/>
      <c r="K4405" s="261"/>
      <c r="L4405" s="261"/>
      <c r="M4405" s="261"/>
    </row>
    <row r="4406" spans="5:13">
      <c r="E4406" s="261"/>
      <c r="F4406" s="261"/>
      <c r="G4406" s="261"/>
      <c r="H4406" s="261"/>
      <c r="I4406" s="261"/>
      <c r="J4406" s="261"/>
      <c r="K4406" s="261"/>
      <c r="L4406" s="261"/>
      <c r="M4406" s="261"/>
    </row>
    <row r="4407" spans="5:13">
      <c r="E4407" s="261"/>
      <c r="F4407" s="261"/>
      <c r="G4407" s="261"/>
      <c r="H4407" s="261"/>
      <c r="I4407" s="261"/>
      <c r="J4407" s="261"/>
      <c r="K4407" s="261"/>
      <c r="L4407" s="261"/>
      <c r="M4407" s="261"/>
    </row>
    <row r="4408" spans="5:13">
      <c r="E4408" s="261"/>
      <c r="F4408" s="261"/>
      <c r="G4408" s="261"/>
      <c r="H4408" s="261"/>
      <c r="I4408" s="261"/>
      <c r="J4408" s="261"/>
      <c r="K4408" s="261"/>
      <c r="L4408" s="261"/>
      <c r="M4408" s="261"/>
    </row>
    <row r="4409" spans="5:13">
      <c r="E4409" s="261"/>
      <c r="F4409" s="261"/>
      <c r="G4409" s="261"/>
      <c r="H4409" s="261"/>
      <c r="I4409" s="261"/>
      <c r="J4409" s="261"/>
      <c r="K4409" s="261"/>
      <c r="L4409" s="261"/>
      <c r="M4409" s="261"/>
    </row>
    <row r="4410" spans="5:13">
      <c r="E4410" s="261"/>
      <c r="F4410" s="261"/>
      <c r="G4410" s="261"/>
      <c r="H4410" s="261"/>
      <c r="I4410" s="261"/>
      <c r="J4410" s="261"/>
      <c r="K4410" s="261"/>
      <c r="L4410" s="261"/>
      <c r="M4410" s="261"/>
    </row>
    <row r="4411" spans="5:13">
      <c r="E4411" s="261"/>
      <c r="F4411" s="261"/>
      <c r="G4411" s="261"/>
      <c r="H4411" s="261"/>
      <c r="I4411" s="261"/>
      <c r="J4411" s="261"/>
      <c r="K4411" s="261"/>
      <c r="L4411" s="261"/>
      <c r="M4411" s="261"/>
    </row>
    <row r="4412" spans="5:13">
      <c r="E4412" s="261"/>
      <c r="F4412" s="261"/>
      <c r="G4412" s="261"/>
      <c r="H4412" s="261"/>
      <c r="I4412" s="261"/>
      <c r="J4412" s="261"/>
      <c r="K4412" s="261"/>
      <c r="L4412" s="261"/>
      <c r="M4412" s="261"/>
    </row>
    <row r="4413" spans="5:13">
      <c r="E4413" s="261"/>
      <c r="F4413" s="261"/>
      <c r="G4413" s="261"/>
      <c r="H4413" s="261"/>
      <c r="I4413" s="261"/>
      <c r="J4413" s="261"/>
      <c r="K4413" s="261"/>
      <c r="L4413" s="261"/>
      <c r="M4413" s="261"/>
    </row>
    <row r="4414" spans="5:13">
      <c r="E4414" s="261"/>
      <c r="F4414" s="261"/>
      <c r="G4414" s="261"/>
      <c r="H4414" s="261"/>
      <c r="I4414" s="261"/>
      <c r="J4414" s="261"/>
      <c r="K4414" s="261"/>
      <c r="L4414" s="261"/>
      <c r="M4414" s="261"/>
    </row>
    <row r="4415" spans="5:13">
      <c r="E4415" s="261"/>
      <c r="F4415" s="261"/>
      <c r="G4415" s="261"/>
      <c r="H4415" s="261"/>
      <c r="I4415" s="261"/>
      <c r="J4415" s="261"/>
      <c r="K4415" s="261"/>
      <c r="L4415" s="261"/>
      <c r="M4415" s="261"/>
    </row>
    <row r="4416" spans="5:13">
      <c r="E4416" s="261"/>
      <c r="F4416" s="261"/>
      <c r="G4416" s="261"/>
      <c r="H4416" s="261"/>
      <c r="I4416" s="261"/>
      <c r="J4416" s="261"/>
      <c r="K4416" s="261"/>
      <c r="L4416" s="261"/>
      <c r="M4416" s="261"/>
    </row>
    <row r="4417" spans="5:13">
      <c r="E4417" s="261"/>
      <c r="F4417" s="261"/>
      <c r="G4417" s="261"/>
      <c r="H4417" s="261"/>
      <c r="I4417" s="261"/>
      <c r="J4417" s="261"/>
      <c r="K4417" s="261"/>
      <c r="L4417" s="261"/>
      <c r="M4417" s="261"/>
    </row>
    <row r="4418" spans="5:13">
      <c r="E4418" s="261"/>
      <c r="F4418" s="261"/>
      <c r="G4418" s="261"/>
      <c r="H4418" s="261"/>
      <c r="I4418" s="261"/>
      <c r="J4418" s="261"/>
      <c r="K4418" s="261"/>
      <c r="L4418" s="261"/>
      <c r="M4418" s="261"/>
    </row>
    <row r="4419" spans="5:13">
      <c r="E4419" s="261"/>
      <c r="F4419" s="261"/>
      <c r="G4419" s="261"/>
      <c r="H4419" s="261"/>
      <c r="I4419" s="261"/>
      <c r="J4419" s="261"/>
      <c r="K4419" s="261"/>
      <c r="L4419" s="261"/>
      <c r="M4419" s="261"/>
    </row>
    <row r="4420" spans="5:13">
      <c r="E4420" s="261"/>
      <c r="F4420" s="261"/>
      <c r="G4420" s="261"/>
      <c r="H4420" s="261"/>
      <c r="I4420" s="261"/>
      <c r="J4420" s="261"/>
      <c r="K4420" s="261"/>
      <c r="L4420" s="261"/>
      <c r="M4420" s="261"/>
    </row>
    <row r="4421" spans="5:13">
      <c r="E4421" s="261"/>
      <c r="F4421" s="261"/>
      <c r="G4421" s="261"/>
      <c r="H4421" s="261"/>
      <c r="I4421" s="261"/>
      <c r="J4421" s="261"/>
      <c r="K4421" s="261"/>
      <c r="L4421" s="261"/>
      <c r="M4421" s="261"/>
    </row>
    <row r="4422" spans="5:13">
      <c r="E4422" s="261"/>
      <c r="F4422" s="261"/>
      <c r="G4422" s="261"/>
      <c r="H4422" s="261"/>
      <c r="I4422" s="261"/>
      <c r="J4422" s="261"/>
      <c r="K4422" s="261"/>
      <c r="L4422" s="261"/>
      <c r="M4422" s="261"/>
    </row>
    <row r="4423" spans="5:13">
      <c r="E4423" s="261"/>
      <c r="F4423" s="261"/>
      <c r="G4423" s="261"/>
      <c r="H4423" s="261"/>
      <c r="I4423" s="261"/>
      <c r="J4423" s="261"/>
      <c r="K4423" s="261"/>
      <c r="L4423" s="261"/>
      <c r="M4423" s="261"/>
    </row>
    <row r="4424" spans="5:13">
      <c r="E4424" s="261"/>
      <c r="F4424" s="261"/>
      <c r="G4424" s="261"/>
      <c r="H4424" s="261"/>
      <c r="I4424" s="261"/>
      <c r="J4424" s="261"/>
      <c r="K4424" s="261"/>
      <c r="L4424" s="261"/>
      <c r="M4424" s="261"/>
    </row>
    <row r="4425" spans="5:13">
      <c r="E4425" s="261"/>
      <c r="F4425" s="261"/>
      <c r="G4425" s="261"/>
      <c r="H4425" s="261"/>
      <c r="I4425" s="261"/>
      <c r="J4425" s="261"/>
      <c r="K4425" s="261"/>
      <c r="L4425" s="261"/>
      <c r="M4425" s="261"/>
    </row>
    <row r="4426" spans="5:13">
      <c r="E4426" s="261"/>
      <c r="F4426" s="261"/>
      <c r="G4426" s="261"/>
      <c r="H4426" s="261"/>
      <c r="I4426" s="261"/>
      <c r="J4426" s="261"/>
      <c r="K4426" s="261"/>
      <c r="L4426" s="261"/>
      <c r="M4426" s="261"/>
    </row>
    <row r="4427" spans="5:13">
      <c r="E4427" s="261"/>
      <c r="F4427" s="261"/>
      <c r="G4427" s="261"/>
      <c r="H4427" s="261"/>
      <c r="I4427" s="261"/>
      <c r="J4427" s="261"/>
      <c r="K4427" s="261"/>
      <c r="L4427" s="261"/>
      <c r="M4427" s="261"/>
    </row>
    <row r="4428" spans="5:13">
      <c r="E4428" s="261"/>
      <c r="F4428" s="261"/>
      <c r="G4428" s="261"/>
      <c r="H4428" s="261"/>
      <c r="I4428" s="261"/>
      <c r="J4428" s="261"/>
      <c r="K4428" s="261"/>
      <c r="L4428" s="261"/>
      <c r="M4428" s="261"/>
    </row>
    <row r="4429" spans="5:13">
      <c r="E4429" s="261"/>
      <c r="F4429" s="261"/>
      <c r="G4429" s="261"/>
      <c r="H4429" s="261"/>
      <c r="I4429" s="261"/>
      <c r="J4429" s="261"/>
      <c r="K4429" s="261"/>
      <c r="L4429" s="261"/>
      <c r="M4429" s="261"/>
    </row>
    <row r="4430" spans="5:13">
      <c r="E4430" s="261"/>
      <c r="F4430" s="261"/>
      <c r="G4430" s="261"/>
      <c r="H4430" s="261"/>
      <c r="I4430" s="261"/>
      <c r="J4430" s="261"/>
      <c r="K4430" s="261"/>
      <c r="L4430" s="261"/>
      <c r="M4430" s="261"/>
    </row>
    <row r="4431" spans="5:13">
      <c r="E4431" s="261"/>
      <c r="F4431" s="261"/>
      <c r="G4431" s="261"/>
      <c r="H4431" s="261"/>
      <c r="I4431" s="261"/>
      <c r="J4431" s="261"/>
      <c r="K4431" s="261"/>
      <c r="L4431" s="261"/>
      <c r="M4431" s="261"/>
    </row>
    <row r="4432" spans="5:13">
      <c r="E4432" s="261"/>
      <c r="F4432" s="261"/>
      <c r="G4432" s="261"/>
      <c r="H4432" s="261"/>
      <c r="I4432" s="261"/>
      <c r="J4432" s="261"/>
      <c r="K4432" s="261"/>
      <c r="L4432" s="261"/>
      <c r="M4432" s="261"/>
    </row>
    <row r="4433" spans="5:13">
      <c r="E4433" s="261"/>
      <c r="F4433" s="261"/>
      <c r="G4433" s="261"/>
      <c r="H4433" s="261"/>
      <c r="I4433" s="261"/>
      <c r="J4433" s="261"/>
      <c r="K4433" s="261"/>
      <c r="L4433" s="261"/>
      <c r="M4433" s="261"/>
    </row>
    <row r="4434" spans="5:13">
      <c r="E4434" s="261"/>
      <c r="F4434" s="261"/>
      <c r="G4434" s="261"/>
      <c r="H4434" s="261"/>
      <c r="I4434" s="261"/>
      <c r="J4434" s="261"/>
      <c r="K4434" s="261"/>
      <c r="L4434" s="261"/>
      <c r="M4434" s="261"/>
    </row>
    <row r="4435" spans="5:13">
      <c r="E4435" s="261"/>
      <c r="F4435" s="261"/>
      <c r="G4435" s="261"/>
      <c r="H4435" s="261"/>
      <c r="I4435" s="261"/>
      <c r="J4435" s="261"/>
      <c r="K4435" s="261"/>
      <c r="L4435" s="261"/>
      <c r="M4435" s="261"/>
    </row>
    <row r="4436" spans="5:13">
      <c r="E4436" s="261"/>
      <c r="F4436" s="261"/>
      <c r="G4436" s="261"/>
      <c r="H4436" s="261"/>
      <c r="I4436" s="261"/>
      <c r="J4436" s="261"/>
      <c r="K4436" s="261"/>
      <c r="L4436" s="261"/>
      <c r="M4436" s="261"/>
    </row>
    <row r="4437" spans="5:13">
      <c r="E4437" s="261"/>
      <c r="F4437" s="261"/>
      <c r="G4437" s="261"/>
      <c r="H4437" s="261"/>
      <c r="I4437" s="261"/>
      <c r="J4437" s="261"/>
      <c r="K4437" s="261"/>
      <c r="L4437" s="261"/>
      <c r="M4437" s="261"/>
    </row>
    <row r="4438" spans="5:13">
      <c r="E4438" s="261"/>
      <c r="F4438" s="261"/>
      <c r="G4438" s="261"/>
      <c r="H4438" s="261"/>
      <c r="I4438" s="261"/>
      <c r="J4438" s="261"/>
      <c r="K4438" s="261"/>
      <c r="L4438" s="261"/>
      <c r="M4438" s="261"/>
    </row>
    <row r="4439" spans="5:13">
      <c r="E4439" s="261"/>
      <c r="F4439" s="261"/>
      <c r="G4439" s="261"/>
      <c r="H4439" s="261"/>
      <c r="I4439" s="261"/>
      <c r="J4439" s="261"/>
      <c r="K4439" s="261"/>
      <c r="L4439" s="261"/>
      <c r="M4439" s="261"/>
    </row>
    <row r="4440" spans="5:13">
      <c r="E4440" s="261"/>
      <c r="F4440" s="261"/>
      <c r="G4440" s="261"/>
      <c r="H4440" s="261"/>
      <c r="I4440" s="261"/>
      <c r="J4440" s="261"/>
      <c r="K4440" s="261"/>
      <c r="L4440" s="261"/>
      <c r="M4440" s="261"/>
    </row>
    <row r="4441" spans="5:13">
      <c r="E4441" s="261"/>
      <c r="F4441" s="261"/>
      <c r="G4441" s="261"/>
      <c r="H4441" s="261"/>
      <c r="I4441" s="261"/>
      <c r="J4441" s="261"/>
      <c r="K4441" s="261"/>
      <c r="L4441" s="261"/>
      <c r="M4441" s="261"/>
    </row>
    <row r="4442" spans="5:13">
      <c r="E4442" s="261"/>
      <c r="F4442" s="261"/>
      <c r="G4442" s="261"/>
      <c r="H4442" s="261"/>
      <c r="I4442" s="261"/>
      <c r="J4442" s="261"/>
      <c r="K4442" s="261"/>
      <c r="L4442" s="261"/>
      <c r="M4442" s="261"/>
    </row>
    <row r="4443" spans="5:13">
      <c r="E4443" s="261"/>
      <c r="F4443" s="261"/>
      <c r="G4443" s="261"/>
      <c r="H4443" s="261"/>
      <c r="I4443" s="261"/>
      <c r="J4443" s="261"/>
      <c r="K4443" s="261"/>
      <c r="L4443" s="261"/>
      <c r="M4443" s="261"/>
    </row>
    <row r="4444" spans="5:13">
      <c r="E4444" s="261"/>
      <c r="F4444" s="261"/>
      <c r="G4444" s="261"/>
      <c r="H4444" s="261"/>
      <c r="I4444" s="261"/>
      <c r="J4444" s="261"/>
      <c r="K4444" s="261"/>
      <c r="L4444" s="261"/>
      <c r="M4444" s="261"/>
    </row>
    <row r="4445" spans="5:13">
      <c r="E4445" s="261"/>
      <c r="F4445" s="261"/>
      <c r="G4445" s="261"/>
      <c r="H4445" s="261"/>
      <c r="I4445" s="261"/>
      <c r="J4445" s="261"/>
      <c r="K4445" s="261"/>
      <c r="L4445" s="261"/>
      <c r="M4445" s="261"/>
    </row>
    <row r="4446" spans="5:13">
      <c r="E4446" s="261"/>
      <c r="F4446" s="261"/>
      <c r="G4446" s="261"/>
      <c r="H4446" s="261"/>
      <c r="I4446" s="261"/>
      <c r="J4446" s="261"/>
      <c r="K4446" s="261"/>
      <c r="L4446" s="261"/>
      <c r="M4446" s="261"/>
    </row>
    <row r="4447" spans="5:13">
      <c r="E4447" s="261"/>
      <c r="F4447" s="261"/>
      <c r="G4447" s="261"/>
      <c r="H4447" s="261"/>
      <c r="I4447" s="261"/>
      <c r="J4447" s="261"/>
      <c r="K4447" s="261"/>
      <c r="L4447" s="261"/>
      <c r="M4447" s="261"/>
    </row>
    <row r="4448" spans="5:13">
      <c r="E4448" s="261"/>
      <c r="F4448" s="261"/>
      <c r="G4448" s="261"/>
      <c r="H4448" s="261"/>
      <c r="I4448" s="261"/>
      <c r="J4448" s="261"/>
      <c r="K4448" s="261"/>
      <c r="L4448" s="261"/>
      <c r="M4448" s="261"/>
    </row>
    <row r="4449" spans="5:13">
      <c r="E4449" s="261"/>
      <c r="F4449" s="261"/>
      <c r="G4449" s="261"/>
      <c r="H4449" s="261"/>
      <c r="I4449" s="261"/>
      <c r="J4449" s="261"/>
      <c r="K4449" s="261"/>
      <c r="L4449" s="261"/>
      <c r="M4449" s="261"/>
    </row>
    <row r="4450" spans="5:13">
      <c r="E4450" s="261"/>
      <c r="F4450" s="261"/>
      <c r="G4450" s="261"/>
      <c r="H4450" s="261"/>
      <c r="I4450" s="261"/>
      <c r="J4450" s="261"/>
      <c r="K4450" s="261"/>
      <c r="L4450" s="261"/>
      <c r="M4450" s="261"/>
    </row>
    <row r="4451" spans="5:13">
      <c r="E4451" s="261"/>
      <c r="F4451" s="261"/>
      <c r="G4451" s="261"/>
      <c r="H4451" s="261"/>
      <c r="I4451" s="261"/>
      <c r="J4451" s="261"/>
      <c r="K4451" s="261"/>
      <c r="L4451" s="261"/>
      <c r="M4451" s="261"/>
    </row>
    <row r="4452" spans="5:13">
      <c r="E4452" s="261"/>
      <c r="F4452" s="261"/>
      <c r="G4452" s="261"/>
      <c r="H4452" s="261"/>
      <c r="I4452" s="261"/>
      <c r="J4452" s="261"/>
      <c r="K4452" s="261"/>
      <c r="L4452" s="261"/>
      <c r="M4452" s="261"/>
    </row>
    <row r="4453" spans="5:13">
      <c r="E4453" s="261"/>
      <c r="F4453" s="261"/>
      <c r="G4453" s="261"/>
      <c r="H4453" s="261"/>
      <c r="I4453" s="261"/>
      <c r="J4453" s="261"/>
      <c r="K4453" s="261"/>
      <c r="L4453" s="261"/>
      <c r="M4453" s="261"/>
    </row>
    <row r="4454" spans="5:13">
      <c r="E4454" s="261"/>
      <c r="F4454" s="261"/>
      <c r="G4454" s="261"/>
      <c r="H4454" s="261"/>
      <c r="I4454" s="261"/>
      <c r="J4454" s="261"/>
      <c r="K4454" s="261"/>
      <c r="L4454" s="261"/>
      <c r="M4454" s="261"/>
    </row>
    <row r="4455" spans="5:13">
      <c r="E4455" s="261"/>
      <c r="F4455" s="261"/>
      <c r="G4455" s="261"/>
      <c r="H4455" s="261"/>
      <c r="I4455" s="261"/>
      <c r="J4455" s="261"/>
      <c r="K4455" s="261"/>
      <c r="L4455" s="261"/>
      <c r="M4455" s="261"/>
    </row>
    <row r="4456" spans="5:13">
      <c r="E4456" s="261"/>
      <c r="F4456" s="261"/>
      <c r="G4456" s="261"/>
      <c r="H4456" s="261"/>
      <c r="I4456" s="261"/>
      <c r="J4456" s="261"/>
      <c r="K4456" s="261"/>
      <c r="L4456" s="261"/>
      <c r="M4456" s="261"/>
    </row>
    <row r="4457" spans="5:13">
      <c r="E4457" s="261"/>
      <c r="F4457" s="261"/>
      <c r="G4457" s="261"/>
      <c r="H4457" s="261"/>
      <c r="I4457" s="261"/>
      <c r="J4457" s="261"/>
      <c r="K4457" s="261"/>
      <c r="L4457" s="261"/>
      <c r="M4457" s="261"/>
    </row>
    <row r="4458" spans="5:13">
      <c r="E4458" s="261"/>
      <c r="F4458" s="261"/>
      <c r="G4458" s="261"/>
      <c r="H4458" s="261"/>
      <c r="I4458" s="261"/>
      <c r="J4458" s="261"/>
      <c r="K4458" s="261"/>
      <c r="L4458" s="261"/>
      <c r="M4458" s="261"/>
    </row>
    <row r="4459" spans="5:13">
      <c r="E4459" s="261"/>
      <c r="F4459" s="261"/>
      <c r="G4459" s="261"/>
      <c r="H4459" s="261"/>
      <c r="I4459" s="261"/>
      <c r="J4459" s="261"/>
      <c r="K4459" s="261"/>
      <c r="L4459" s="261"/>
      <c r="M4459" s="261"/>
    </row>
    <row r="4460" spans="5:13">
      <c r="E4460" s="261"/>
      <c r="F4460" s="261"/>
      <c r="G4460" s="261"/>
      <c r="H4460" s="261"/>
      <c r="I4460" s="261"/>
      <c r="J4460" s="261"/>
      <c r="K4460" s="261"/>
      <c r="L4460" s="261"/>
      <c r="M4460" s="261"/>
    </row>
    <row r="4461" spans="5:13">
      <c r="E4461" s="261"/>
      <c r="F4461" s="261"/>
      <c r="G4461" s="261"/>
      <c r="H4461" s="261"/>
      <c r="I4461" s="261"/>
      <c r="J4461" s="261"/>
      <c r="K4461" s="261"/>
      <c r="L4461" s="261"/>
      <c r="M4461" s="261"/>
    </row>
    <row r="4462" spans="5:13">
      <c r="E4462" s="261"/>
      <c r="F4462" s="261"/>
      <c r="G4462" s="261"/>
      <c r="H4462" s="261"/>
      <c r="I4462" s="261"/>
      <c r="J4462" s="261"/>
      <c r="K4462" s="261"/>
      <c r="L4462" s="261"/>
      <c r="M4462" s="261"/>
    </row>
    <row r="4463" spans="5:13">
      <c r="E4463" s="261"/>
      <c r="F4463" s="261"/>
      <c r="G4463" s="261"/>
      <c r="H4463" s="261"/>
      <c r="I4463" s="261"/>
      <c r="J4463" s="261"/>
      <c r="K4463" s="261"/>
      <c r="L4463" s="261"/>
      <c r="M4463" s="261"/>
    </row>
    <row r="4464" spans="5:13">
      <c r="E4464" s="261"/>
      <c r="F4464" s="261"/>
      <c r="G4464" s="261"/>
      <c r="H4464" s="261"/>
      <c r="I4464" s="261"/>
      <c r="J4464" s="261"/>
      <c r="K4464" s="261"/>
      <c r="L4464" s="261"/>
      <c r="M4464" s="261"/>
    </row>
    <row r="4465" spans="5:13">
      <c r="E4465" s="261"/>
      <c r="F4465" s="261"/>
      <c r="G4465" s="261"/>
      <c r="H4465" s="261"/>
      <c r="I4465" s="261"/>
      <c r="J4465" s="261"/>
      <c r="K4465" s="261"/>
      <c r="L4465" s="261"/>
      <c r="M4465" s="261"/>
    </row>
    <row r="4466" spans="5:13">
      <c r="E4466" s="261"/>
      <c r="F4466" s="261"/>
      <c r="G4466" s="261"/>
      <c r="H4466" s="261"/>
      <c r="I4466" s="261"/>
      <c r="J4466" s="261"/>
      <c r="K4466" s="261"/>
      <c r="L4466" s="261"/>
      <c r="M4466" s="261"/>
    </row>
    <row r="4467" spans="5:13">
      <c r="E4467" s="261"/>
      <c r="F4467" s="261"/>
      <c r="G4467" s="261"/>
      <c r="H4467" s="261"/>
      <c r="I4467" s="261"/>
      <c r="J4467" s="261"/>
      <c r="K4467" s="261"/>
      <c r="L4467" s="261"/>
      <c r="M4467" s="261"/>
    </row>
    <row r="4468" spans="5:13">
      <c r="E4468" s="261"/>
      <c r="F4468" s="261"/>
      <c r="G4468" s="261"/>
      <c r="H4468" s="261"/>
      <c r="I4468" s="261"/>
      <c r="J4468" s="261"/>
      <c r="K4468" s="261"/>
      <c r="L4468" s="261"/>
      <c r="M4468" s="261"/>
    </row>
    <row r="4469" spans="5:13">
      <c r="E4469" s="261"/>
      <c r="F4469" s="261"/>
      <c r="G4469" s="261"/>
      <c r="H4469" s="261"/>
      <c r="I4469" s="261"/>
      <c r="J4469" s="261"/>
      <c r="K4469" s="261"/>
      <c r="L4469" s="261"/>
      <c r="M4469" s="261"/>
    </row>
    <row r="4470" spans="5:13">
      <c r="E4470" s="261"/>
      <c r="F4470" s="261"/>
      <c r="G4470" s="261"/>
      <c r="H4470" s="261"/>
      <c r="I4470" s="261"/>
      <c r="J4470" s="261"/>
      <c r="K4470" s="261"/>
      <c r="L4470" s="261"/>
      <c r="M4470" s="261"/>
    </row>
    <row r="4471" spans="5:13">
      <c r="E4471" s="261"/>
      <c r="F4471" s="261"/>
      <c r="G4471" s="261"/>
      <c r="H4471" s="261"/>
      <c r="I4471" s="261"/>
      <c r="J4471" s="261"/>
      <c r="K4471" s="261"/>
      <c r="L4471" s="261"/>
      <c r="M4471" s="261"/>
    </row>
    <row r="4472" spans="5:13">
      <c r="E4472" s="261"/>
      <c r="F4472" s="261"/>
      <c r="G4472" s="261"/>
      <c r="H4472" s="261"/>
      <c r="I4472" s="261"/>
      <c r="J4472" s="261"/>
      <c r="K4472" s="261"/>
      <c r="L4472" s="261"/>
      <c r="M4472" s="261"/>
    </row>
    <row r="4473" spans="5:13">
      <c r="E4473" s="261"/>
      <c r="F4473" s="261"/>
      <c r="G4473" s="261"/>
      <c r="H4473" s="261"/>
      <c r="I4473" s="261"/>
      <c r="J4473" s="261"/>
      <c r="K4473" s="261"/>
      <c r="L4473" s="261"/>
      <c r="M4473" s="261"/>
    </row>
    <row r="4474" spans="5:13">
      <c r="E4474" s="261"/>
      <c r="F4474" s="261"/>
      <c r="G4474" s="261"/>
      <c r="H4474" s="261"/>
      <c r="I4474" s="261"/>
      <c r="J4474" s="261"/>
      <c r="K4474" s="261"/>
      <c r="L4474" s="261"/>
      <c r="M4474" s="261"/>
    </row>
    <row r="4475" spans="5:13">
      <c r="E4475" s="261"/>
      <c r="F4475" s="261"/>
      <c r="G4475" s="261"/>
      <c r="H4475" s="261"/>
      <c r="I4475" s="261"/>
      <c r="J4475" s="261"/>
      <c r="K4475" s="261"/>
      <c r="L4475" s="261"/>
      <c r="M4475" s="261"/>
    </row>
    <row r="4476" spans="5:13">
      <c r="E4476" s="261"/>
      <c r="F4476" s="261"/>
      <c r="G4476" s="261"/>
      <c r="H4476" s="261"/>
      <c r="I4476" s="261"/>
      <c r="J4476" s="261"/>
      <c r="K4476" s="261"/>
      <c r="L4476" s="261"/>
      <c r="M4476" s="261"/>
    </row>
    <row r="4477" spans="5:13">
      <c r="E4477" s="261"/>
      <c r="F4477" s="261"/>
      <c r="G4477" s="261"/>
      <c r="H4477" s="261"/>
      <c r="I4477" s="261"/>
      <c r="J4477" s="261"/>
      <c r="K4477" s="261"/>
      <c r="L4477" s="261"/>
      <c r="M4477" s="261"/>
    </row>
    <row r="4478" spans="5:13">
      <c r="E4478" s="261"/>
      <c r="F4478" s="261"/>
      <c r="G4478" s="261"/>
      <c r="H4478" s="261"/>
      <c r="I4478" s="261"/>
      <c r="J4478" s="261"/>
      <c r="K4478" s="261"/>
      <c r="L4478" s="261"/>
      <c r="M4478" s="261"/>
    </row>
    <row r="4479" spans="5:13">
      <c r="E4479" s="261"/>
      <c r="F4479" s="261"/>
      <c r="G4479" s="261"/>
      <c r="H4479" s="261"/>
      <c r="I4479" s="261"/>
      <c r="J4479" s="261"/>
      <c r="K4479" s="261"/>
      <c r="L4479" s="261"/>
      <c r="M4479" s="261"/>
    </row>
    <row r="4480" spans="5:13">
      <c r="E4480" s="261"/>
      <c r="F4480" s="261"/>
      <c r="G4480" s="261"/>
      <c r="H4480" s="261"/>
      <c r="I4480" s="261"/>
      <c r="J4480" s="261"/>
      <c r="K4480" s="261"/>
      <c r="L4480" s="261"/>
      <c r="M4480" s="261"/>
    </row>
    <row r="4481" spans="5:13">
      <c r="E4481" s="261"/>
      <c r="F4481" s="261"/>
      <c r="G4481" s="261"/>
      <c r="H4481" s="261"/>
      <c r="I4481" s="261"/>
      <c r="J4481" s="261"/>
      <c r="K4481" s="261"/>
      <c r="L4481" s="261"/>
      <c r="M4481" s="261"/>
    </row>
    <row r="4482" spans="5:13">
      <c r="E4482" s="261"/>
      <c r="F4482" s="261"/>
      <c r="G4482" s="261"/>
      <c r="H4482" s="261"/>
      <c r="I4482" s="261"/>
      <c r="J4482" s="261"/>
      <c r="K4482" s="261"/>
      <c r="L4482" s="261"/>
      <c r="M4482" s="261"/>
    </row>
    <row r="4483" spans="5:13">
      <c r="E4483" s="261"/>
      <c r="F4483" s="261"/>
      <c r="G4483" s="261"/>
      <c r="H4483" s="261"/>
      <c r="I4483" s="261"/>
      <c r="J4483" s="261"/>
      <c r="K4483" s="261"/>
      <c r="L4483" s="261"/>
      <c r="M4483" s="261"/>
    </row>
    <row r="4484" spans="5:13">
      <c r="E4484" s="261"/>
      <c r="F4484" s="261"/>
      <c r="G4484" s="261"/>
      <c r="H4484" s="261"/>
      <c r="I4484" s="261"/>
      <c r="J4484" s="261"/>
      <c r="K4484" s="261"/>
      <c r="L4484" s="261"/>
      <c r="M4484" s="261"/>
    </row>
    <row r="4485" spans="5:13">
      <c r="E4485" s="261"/>
      <c r="F4485" s="261"/>
      <c r="G4485" s="261"/>
      <c r="H4485" s="261"/>
      <c r="I4485" s="261"/>
      <c r="J4485" s="261"/>
      <c r="K4485" s="261"/>
      <c r="L4485" s="261"/>
      <c r="M4485" s="261"/>
    </row>
    <row r="4486" spans="5:13">
      <c r="E4486" s="261"/>
      <c r="F4486" s="261"/>
      <c r="G4486" s="261"/>
      <c r="H4486" s="261"/>
      <c r="I4486" s="261"/>
      <c r="J4486" s="261"/>
      <c r="K4486" s="261"/>
      <c r="L4486" s="261"/>
      <c r="M4486" s="261"/>
    </row>
    <row r="4487" spans="5:13">
      <c r="E4487" s="261"/>
      <c r="F4487" s="261"/>
      <c r="G4487" s="261"/>
      <c r="H4487" s="261"/>
      <c r="I4487" s="261"/>
      <c r="J4487" s="261"/>
      <c r="K4487" s="261"/>
      <c r="L4487" s="261"/>
      <c r="M4487" s="261"/>
    </row>
    <row r="4488" spans="5:13">
      <c r="E4488" s="261"/>
      <c r="F4488" s="261"/>
      <c r="G4488" s="261"/>
      <c r="H4488" s="261"/>
      <c r="I4488" s="261"/>
      <c r="J4488" s="261"/>
      <c r="K4488" s="261"/>
      <c r="L4488" s="261"/>
      <c r="M4488" s="261"/>
    </row>
    <row r="4489" spans="5:13">
      <c r="E4489" s="261"/>
      <c r="F4489" s="261"/>
      <c r="G4489" s="261"/>
      <c r="H4489" s="261"/>
      <c r="I4489" s="261"/>
      <c r="J4489" s="261"/>
      <c r="K4489" s="261"/>
      <c r="L4489" s="261"/>
      <c r="M4489" s="261"/>
    </row>
    <row r="4490" spans="5:13">
      <c r="E4490" s="261"/>
      <c r="F4490" s="261"/>
      <c r="G4490" s="261"/>
      <c r="H4490" s="261"/>
      <c r="I4490" s="261"/>
      <c r="J4490" s="261"/>
      <c r="K4490" s="261"/>
      <c r="L4490" s="261"/>
      <c r="M4490" s="261"/>
    </row>
    <row r="4491" spans="5:13">
      <c r="E4491" s="261"/>
      <c r="F4491" s="261"/>
      <c r="G4491" s="261"/>
      <c r="H4491" s="261"/>
      <c r="I4491" s="261"/>
      <c r="J4491" s="261"/>
      <c r="K4491" s="261"/>
      <c r="L4491" s="261"/>
      <c r="M4491" s="261"/>
    </row>
    <row r="4492" spans="5:13">
      <c r="E4492" s="261"/>
      <c r="F4492" s="261"/>
      <c r="G4492" s="261"/>
      <c r="H4492" s="261"/>
      <c r="I4492" s="261"/>
      <c r="J4492" s="261"/>
      <c r="K4492" s="261"/>
      <c r="L4492" s="261"/>
      <c r="M4492" s="261"/>
    </row>
    <row r="4493" spans="5:13">
      <c r="E4493" s="261"/>
      <c r="F4493" s="261"/>
      <c r="G4493" s="261"/>
      <c r="H4493" s="261"/>
      <c r="I4493" s="261"/>
      <c r="J4493" s="261"/>
      <c r="K4493" s="261"/>
      <c r="L4493" s="261"/>
      <c r="M4493" s="261"/>
    </row>
    <row r="4494" spans="5:13">
      <c r="E4494" s="261"/>
      <c r="F4494" s="261"/>
      <c r="G4494" s="261"/>
      <c r="H4494" s="261"/>
      <c r="I4494" s="261"/>
      <c r="J4494" s="261"/>
      <c r="K4494" s="261"/>
      <c r="L4494" s="261"/>
      <c r="M4494" s="261"/>
    </row>
    <row r="4495" spans="5:13">
      <c r="E4495" s="261"/>
      <c r="F4495" s="261"/>
      <c r="G4495" s="261"/>
      <c r="H4495" s="261"/>
      <c r="I4495" s="261"/>
      <c r="J4495" s="261"/>
      <c r="K4495" s="261"/>
      <c r="L4495" s="261"/>
      <c r="M4495" s="261"/>
    </row>
    <row r="4496" spans="5:13">
      <c r="E4496" s="261"/>
      <c r="F4496" s="261"/>
      <c r="G4496" s="261"/>
      <c r="H4496" s="261"/>
      <c r="I4496" s="261"/>
      <c r="J4496" s="261"/>
      <c r="K4496" s="261"/>
      <c r="L4496" s="261"/>
      <c r="M4496" s="261"/>
    </row>
    <row r="4497" spans="5:13">
      <c r="E4497" s="261"/>
      <c r="F4497" s="261"/>
      <c r="G4497" s="261"/>
      <c r="H4497" s="261"/>
      <c r="I4497" s="261"/>
      <c r="J4497" s="261"/>
      <c r="K4497" s="261"/>
      <c r="L4497" s="261"/>
      <c r="M4497" s="261"/>
    </row>
    <row r="4498" spans="5:13">
      <c r="E4498" s="261"/>
      <c r="F4498" s="261"/>
      <c r="G4498" s="261"/>
      <c r="H4498" s="261"/>
      <c r="I4498" s="261"/>
      <c r="J4498" s="261"/>
      <c r="K4498" s="261"/>
      <c r="L4498" s="261"/>
      <c r="M4498" s="261"/>
    </row>
    <row r="4499" spans="5:13">
      <c r="E4499" s="261"/>
      <c r="F4499" s="261"/>
      <c r="G4499" s="261"/>
      <c r="H4499" s="261"/>
      <c r="I4499" s="261"/>
      <c r="J4499" s="261"/>
      <c r="K4499" s="261"/>
      <c r="L4499" s="261"/>
      <c r="M4499" s="261"/>
    </row>
    <row r="4500" spans="5:13">
      <c r="E4500" s="261"/>
      <c r="F4500" s="261"/>
      <c r="G4500" s="261"/>
      <c r="H4500" s="261"/>
      <c r="I4500" s="261"/>
      <c r="J4500" s="261"/>
      <c r="K4500" s="261"/>
      <c r="L4500" s="261"/>
      <c r="M4500" s="261"/>
    </row>
    <row r="4501" spans="5:13">
      <c r="E4501" s="261"/>
      <c r="F4501" s="261"/>
      <c r="G4501" s="261"/>
      <c r="H4501" s="261"/>
      <c r="I4501" s="261"/>
      <c r="J4501" s="261"/>
      <c r="K4501" s="261"/>
      <c r="L4501" s="261"/>
      <c r="M4501" s="261"/>
    </row>
    <row r="4502" spans="5:13">
      <c r="E4502" s="261"/>
      <c r="F4502" s="261"/>
      <c r="G4502" s="261"/>
      <c r="H4502" s="261"/>
      <c r="I4502" s="261"/>
      <c r="J4502" s="261"/>
      <c r="K4502" s="261"/>
      <c r="L4502" s="261"/>
      <c r="M4502" s="261"/>
    </row>
    <row r="4503" spans="5:13">
      <c r="E4503" s="261"/>
      <c r="F4503" s="261"/>
      <c r="G4503" s="261"/>
      <c r="H4503" s="261"/>
      <c r="I4503" s="261"/>
      <c r="J4503" s="261"/>
      <c r="K4503" s="261"/>
      <c r="L4503" s="261"/>
      <c r="M4503" s="261"/>
    </row>
    <row r="4504" spans="5:13">
      <c r="E4504" s="261"/>
      <c r="F4504" s="261"/>
      <c r="G4504" s="261"/>
      <c r="H4504" s="261"/>
      <c r="I4504" s="261"/>
      <c r="J4504" s="261"/>
      <c r="K4504" s="261"/>
      <c r="L4504" s="261"/>
      <c r="M4504" s="261"/>
    </row>
    <row r="4505" spans="5:13">
      <c r="E4505" s="261"/>
      <c r="F4505" s="261"/>
      <c r="G4505" s="261"/>
      <c r="H4505" s="261"/>
      <c r="I4505" s="261"/>
      <c r="J4505" s="261"/>
      <c r="K4505" s="261"/>
      <c r="L4505" s="261"/>
      <c r="M4505" s="261"/>
    </row>
    <row r="4506" spans="5:13">
      <c r="E4506" s="261"/>
      <c r="F4506" s="261"/>
      <c r="G4506" s="261"/>
      <c r="H4506" s="261"/>
      <c r="I4506" s="261"/>
      <c r="J4506" s="261"/>
      <c r="K4506" s="261"/>
      <c r="L4506" s="261"/>
      <c r="M4506" s="261"/>
    </row>
    <row r="4507" spans="5:13">
      <c r="E4507" s="261"/>
      <c r="F4507" s="261"/>
      <c r="G4507" s="261"/>
      <c r="H4507" s="261"/>
      <c r="I4507" s="261"/>
      <c r="J4507" s="261"/>
      <c r="K4507" s="261"/>
      <c r="L4507" s="261"/>
      <c r="M4507" s="261"/>
    </row>
    <row r="4508" spans="5:13">
      <c r="E4508" s="261"/>
      <c r="F4508" s="261"/>
      <c r="G4508" s="261"/>
      <c r="H4508" s="261"/>
      <c r="I4508" s="261"/>
      <c r="J4508" s="261"/>
      <c r="K4508" s="261"/>
      <c r="L4508" s="261"/>
      <c r="M4508" s="261"/>
    </row>
    <row r="4509" spans="5:13">
      <c r="E4509" s="261"/>
      <c r="F4509" s="261"/>
      <c r="G4509" s="261"/>
      <c r="H4509" s="261"/>
      <c r="I4509" s="261"/>
      <c r="J4509" s="261"/>
      <c r="K4509" s="261"/>
      <c r="L4509" s="261"/>
      <c r="M4509" s="261"/>
    </row>
    <row r="4510" spans="5:13">
      <c r="E4510" s="261"/>
      <c r="F4510" s="261"/>
      <c r="G4510" s="261"/>
      <c r="H4510" s="261"/>
      <c r="I4510" s="261"/>
      <c r="J4510" s="261"/>
      <c r="K4510" s="261"/>
      <c r="L4510" s="261"/>
      <c r="M4510" s="261"/>
    </row>
    <row r="4511" spans="5:13">
      <c r="E4511" s="261"/>
      <c r="F4511" s="261"/>
      <c r="G4511" s="261"/>
      <c r="H4511" s="261"/>
      <c r="I4511" s="261"/>
      <c r="J4511" s="261"/>
      <c r="K4511" s="261"/>
      <c r="L4511" s="261"/>
      <c r="M4511" s="261"/>
    </row>
    <row r="4512" spans="5:13">
      <c r="E4512" s="261"/>
      <c r="F4512" s="261"/>
      <c r="G4512" s="261"/>
      <c r="H4512" s="261"/>
      <c r="I4512" s="261"/>
      <c r="J4512" s="261"/>
      <c r="K4512" s="261"/>
      <c r="L4512" s="261"/>
      <c r="M4512" s="261"/>
    </row>
    <row r="4513" spans="5:13">
      <c r="E4513" s="261"/>
      <c r="F4513" s="261"/>
      <c r="G4513" s="261"/>
      <c r="H4513" s="261"/>
      <c r="I4513" s="261"/>
      <c r="J4513" s="261"/>
      <c r="K4513" s="261"/>
      <c r="L4513" s="261"/>
      <c r="M4513" s="261"/>
    </row>
    <row r="4514" spans="5:13">
      <c r="E4514" s="261"/>
      <c r="F4514" s="261"/>
      <c r="G4514" s="261"/>
      <c r="H4514" s="261"/>
      <c r="I4514" s="261"/>
      <c r="J4514" s="261"/>
      <c r="K4514" s="261"/>
      <c r="L4514" s="261"/>
      <c r="M4514" s="261"/>
    </row>
    <row r="4515" spans="5:13">
      <c r="E4515" s="261"/>
      <c r="F4515" s="261"/>
      <c r="G4515" s="261"/>
      <c r="H4515" s="261"/>
      <c r="I4515" s="261"/>
      <c r="J4515" s="261"/>
      <c r="K4515" s="261"/>
      <c r="L4515" s="261"/>
      <c r="M4515" s="261"/>
    </row>
    <row r="4516" spans="5:13">
      <c r="E4516" s="261"/>
      <c r="F4516" s="261"/>
      <c r="G4516" s="261"/>
      <c r="H4516" s="261"/>
      <c r="I4516" s="261"/>
      <c r="J4516" s="261"/>
      <c r="K4516" s="261"/>
      <c r="L4516" s="261"/>
      <c r="M4516" s="261"/>
    </row>
    <row r="4517" spans="5:13">
      <c r="E4517" s="261"/>
      <c r="F4517" s="261"/>
      <c r="G4517" s="261"/>
      <c r="H4517" s="261"/>
      <c r="I4517" s="261"/>
      <c r="J4517" s="261"/>
      <c r="K4517" s="261"/>
      <c r="L4517" s="261"/>
      <c r="M4517" s="261"/>
    </row>
    <row r="4518" spans="5:13">
      <c r="E4518" s="261"/>
      <c r="F4518" s="261"/>
      <c r="G4518" s="261"/>
      <c r="H4518" s="261"/>
      <c r="I4518" s="261"/>
      <c r="J4518" s="261"/>
      <c r="K4518" s="261"/>
      <c r="L4518" s="261"/>
      <c r="M4518" s="261"/>
    </row>
    <row r="4519" spans="5:13">
      <c r="E4519" s="261"/>
      <c r="F4519" s="261"/>
      <c r="G4519" s="261"/>
      <c r="H4519" s="261"/>
      <c r="I4519" s="261"/>
      <c r="J4519" s="261"/>
      <c r="K4519" s="261"/>
      <c r="L4519" s="261"/>
      <c r="M4519" s="261"/>
    </row>
    <row r="4520" spans="5:13">
      <c r="E4520" s="261"/>
      <c r="F4520" s="261"/>
      <c r="G4520" s="261"/>
      <c r="H4520" s="261"/>
      <c r="I4520" s="261"/>
      <c r="J4520" s="261"/>
      <c r="K4520" s="261"/>
      <c r="L4520" s="261"/>
      <c r="M4520" s="261"/>
    </row>
    <row r="4521" spans="5:13">
      <c r="E4521" s="261"/>
      <c r="F4521" s="261"/>
      <c r="G4521" s="261"/>
      <c r="H4521" s="261"/>
      <c r="I4521" s="261"/>
      <c r="J4521" s="261"/>
      <c r="K4521" s="261"/>
      <c r="L4521" s="261"/>
      <c r="M4521" s="261"/>
    </row>
    <row r="4522" spans="5:13">
      <c r="E4522" s="261"/>
      <c r="F4522" s="261"/>
      <c r="G4522" s="261"/>
      <c r="H4522" s="261"/>
      <c r="I4522" s="261"/>
      <c r="J4522" s="261"/>
      <c r="K4522" s="261"/>
      <c r="L4522" s="261"/>
      <c r="M4522" s="261"/>
    </row>
    <row r="4523" spans="5:13">
      <c r="E4523" s="261"/>
      <c r="F4523" s="261"/>
      <c r="G4523" s="261"/>
      <c r="H4523" s="261"/>
      <c r="I4523" s="261"/>
      <c r="J4523" s="261"/>
      <c r="K4523" s="261"/>
      <c r="L4523" s="261"/>
      <c r="M4523" s="261"/>
    </row>
    <row r="4524" spans="5:13">
      <c r="E4524" s="261"/>
      <c r="F4524" s="261"/>
      <c r="G4524" s="261"/>
      <c r="H4524" s="261"/>
      <c r="I4524" s="261"/>
      <c r="J4524" s="261"/>
      <c r="K4524" s="261"/>
      <c r="L4524" s="261"/>
      <c r="M4524" s="261"/>
    </row>
    <row r="4525" spans="5:13">
      <c r="E4525" s="261"/>
      <c r="F4525" s="261"/>
      <c r="G4525" s="261"/>
      <c r="H4525" s="261"/>
      <c r="I4525" s="261"/>
      <c r="J4525" s="261"/>
      <c r="K4525" s="261"/>
      <c r="L4525" s="261"/>
      <c r="M4525" s="261"/>
    </row>
    <row r="4526" spans="5:13">
      <c r="E4526" s="261"/>
      <c r="F4526" s="261"/>
      <c r="G4526" s="261"/>
      <c r="H4526" s="261"/>
      <c r="I4526" s="261"/>
      <c r="J4526" s="261"/>
      <c r="K4526" s="261"/>
      <c r="L4526" s="261"/>
      <c r="M4526" s="261"/>
    </row>
    <row r="4527" spans="5:13">
      <c r="E4527" s="261"/>
      <c r="F4527" s="261"/>
      <c r="G4527" s="261"/>
      <c r="H4527" s="261"/>
      <c r="I4527" s="261"/>
      <c r="J4527" s="261"/>
      <c r="K4527" s="261"/>
      <c r="L4527" s="261"/>
      <c r="M4527" s="261"/>
    </row>
    <row r="4528" spans="5:13">
      <c r="E4528" s="261"/>
      <c r="F4528" s="261"/>
      <c r="G4528" s="261"/>
      <c r="H4528" s="261"/>
      <c r="I4528" s="261"/>
      <c r="J4528" s="261"/>
      <c r="K4528" s="261"/>
      <c r="L4528" s="261"/>
      <c r="M4528" s="261"/>
    </row>
    <row r="4529" spans="5:13">
      <c r="E4529" s="261"/>
      <c r="F4529" s="261"/>
      <c r="G4529" s="261"/>
      <c r="H4529" s="261"/>
      <c r="I4529" s="261"/>
      <c r="J4529" s="261"/>
      <c r="K4529" s="261"/>
      <c r="L4529" s="261"/>
      <c r="M4529" s="261"/>
    </row>
    <row r="4530" spans="5:13">
      <c r="E4530" s="261"/>
      <c r="F4530" s="261"/>
      <c r="G4530" s="261"/>
      <c r="H4530" s="261"/>
      <c r="I4530" s="261"/>
      <c r="J4530" s="261"/>
      <c r="K4530" s="261"/>
      <c r="L4530" s="261"/>
      <c r="M4530" s="261"/>
    </row>
    <row r="4531" spans="5:13">
      <c r="E4531" s="261"/>
      <c r="F4531" s="261"/>
      <c r="G4531" s="261"/>
      <c r="H4531" s="261"/>
      <c r="I4531" s="261"/>
      <c r="J4531" s="261"/>
      <c r="K4531" s="261"/>
      <c r="L4531" s="261"/>
      <c r="M4531" s="261"/>
    </row>
    <row r="4532" spans="5:13">
      <c r="E4532" s="261"/>
      <c r="F4532" s="261"/>
      <c r="G4532" s="261"/>
      <c r="H4532" s="261"/>
      <c r="I4532" s="261"/>
      <c r="J4532" s="261"/>
      <c r="K4532" s="261"/>
      <c r="L4532" s="261"/>
      <c r="M4532" s="261"/>
    </row>
    <row r="4533" spans="5:13">
      <c r="E4533" s="261"/>
      <c r="F4533" s="261"/>
      <c r="G4533" s="261"/>
      <c r="H4533" s="261"/>
      <c r="I4533" s="261"/>
      <c r="J4533" s="261"/>
      <c r="K4533" s="261"/>
      <c r="L4533" s="261"/>
      <c r="M4533" s="261"/>
    </row>
    <row r="4534" spans="5:13">
      <c r="E4534" s="261"/>
      <c r="F4534" s="261"/>
      <c r="G4534" s="261"/>
      <c r="H4534" s="261"/>
      <c r="I4534" s="261"/>
      <c r="J4534" s="261"/>
      <c r="K4534" s="261"/>
      <c r="L4534" s="261"/>
      <c r="M4534" s="261"/>
    </row>
    <row r="4535" spans="5:13">
      <c r="E4535" s="261"/>
      <c r="F4535" s="261"/>
      <c r="G4535" s="261"/>
      <c r="H4535" s="261"/>
      <c r="I4535" s="261"/>
      <c r="J4535" s="261"/>
      <c r="K4535" s="261"/>
      <c r="L4535" s="261"/>
      <c r="M4535" s="261"/>
    </row>
    <row r="4536" spans="5:13">
      <c r="E4536" s="261"/>
      <c r="F4536" s="261"/>
      <c r="G4536" s="261"/>
      <c r="H4536" s="261"/>
      <c r="I4536" s="261"/>
      <c r="J4536" s="261"/>
      <c r="K4536" s="261"/>
      <c r="L4536" s="261"/>
      <c r="M4536" s="261"/>
    </row>
    <row r="4537" spans="5:13">
      <c r="E4537" s="261"/>
      <c r="F4537" s="261"/>
      <c r="G4537" s="261"/>
      <c r="H4537" s="261"/>
      <c r="I4537" s="261"/>
      <c r="J4537" s="261"/>
      <c r="K4537" s="261"/>
      <c r="L4537" s="261"/>
      <c r="M4537" s="261"/>
    </row>
    <row r="4538" spans="5:13">
      <c r="E4538" s="261"/>
      <c r="F4538" s="261"/>
      <c r="G4538" s="261"/>
      <c r="H4538" s="261"/>
      <c r="I4538" s="261"/>
      <c r="J4538" s="261"/>
      <c r="K4538" s="261"/>
      <c r="L4538" s="261"/>
      <c r="M4538" s="261"/>
    </row>
    <row r="4539" spans="5:13">
      <c r="E4539" s="261"/>
      <c r="F4539" s="261"/>
      <c r="G4539" s="261"/>
      <c r="H4539" s="261"/>
      <c r="I4539" s="261"/>
      <c r="J4539" s="261"/>
      <c r="K4539" s="261"/>
      <c r="L4539" s="261"/>
      <c r="M4539" s="261"/>
    </row>
    <row r="4540" spans="5:13">
      <c r="E4540" s="261"/>
      <c r="F4540" s="261"/>
      <c r="G4540" s="261"/>
      <c r="H4540" s="261"/>
      <c r="I4540" s="261"/>
      <c r="J4540" s="261"/>
      <c r="K4540" s="261"/>
      <c r="L4540" s="261"/>
      <c r="M4540" s="261"/>
    </row>
    <row r="4541" spans="5:13">
      <c r="E4541" s="261"/>
      <c r="F4541" s="261"/>
      <c r="G4541" s="261"/>
      <c r="H4541" s="261"/>
      <c r="I4541" s="261"/>
      <c r="J4541" s="261"/>
      <c r="K4541" s="261"/>
      <c r="L4541" s="261"/>
      <c r="M4541" s="261"/>
    </row>
    <row r="4542" spans="5:13">
      <c r="E4542" s="261"/>
      <c r="F4542" s="261"/>
      <c r="G4542" s="261"/>
      <c r="H4542" s="261"/>
      <c r="I4542" s="261"/>
      <c r="J4542" s="261"/>
      <c r="K4542" s="261"/>
      <c r="L4542" s="261"/>
      <c r="M4542" s="261"/>
    </row>
    <row r="4543" spans="5:13">
      <c r="E4543" s="261"/>
      <c r="F4543" s="261"/>
      <c r="G4543" s="261"/>
      <c r="H4543" s="261"/>
      <c r="I4543" s="261"/>
      <c r="J4543" s="261"/>
      <c r="K4543" s="261"/>
      <c r="L4543" s="261"/>
      <c r="M4543" s="261"/>
    </row>
    <row r="4544" spans="5:13">
      <c r="E4544" s="261"/>
      <c r="F4544" s="261"/>
      <c r="G4544" s="261"/>
      <c r="H4544" s="261"/>
      <c r="I4544" s="261"/>
      <c r="J4544" s="261"/>
      <c r="K4544" s="261"/>
      <c r="L4544" s="261"/>
      <c r="M4544" s="261"/>
    </row>
    <row r="4545" spans="5:13">
      <c r="E4545" s="261"/>
      <c r="F4545" s="261"/>
      <c r="G4545" s="261"/>
      <c r="H4545" s="261"/>
      <c r="I4545" s="261"/>
      <c r="J4545" s="261"/>
      <c r="K4545" s="261"/>
      <c r="L4545" s="261"/>
      <c r="M4545" s="261"/>
    </row>
    <row r="4546" spans="5:13">
      <c r="E4546" s="261"/>
      <c r="F4546" s="261"/>
      <c r="G4546" s="261"/>
      <c r="H4546" s="261"/>
      <c r="I4546" s="261"/>
      <c r="J4546" s="261"/>
      <c r="K4546" s="261"/>
      <c r="L4546" s="261"/>
      <c r="M4546" s="261"/>
    </row>
    <row r="4547" spans="5:13">
      <c r="E4547" s="261"/>
      <c r="F4547" s="261"/>
      <c r="G4547" s="261"/>
      <c r="H4547" s="261"/>
      <c r="I4547" s="261"/>
      <c r="J4547" s="261"/>
      <c r="K4547" s="261"/>
      <c r="L4547" s="261"/>
      <c r="M4547" s="261"/>
    </row>
    <row r="4548" spans="5:13">
      <c r="E4548" s="261"/>
      <c r="F4548" s="261"/>
      <c r="G4548" s="261"/>
      <c r="H4548" s="261"/>
      <c r="I4548" s="261"/>
      <c r="J4548" s="261"/>
      <c r="K4548" s="261"/>
      <c r="L4548" s="261"/>
      <c r="M4548" s="261"/>
    </row>
    <row r="4549" spans="5:13">
      <c r="E4549" s="261"/>
      <c r="F4549" s="261"/>
      <c r="G4549" s="261"/>
      <c r="H4549" s="261"/>
      <c r="I4549" s="261"/>
      <c r="J4549" s="261"/>
      <c r="K4549" s="261"/>
      <c r="L4549" s="261"/>
      <c r="M4549" s="261"/>
    </row>
    <row r="4550" spans="5:13">
      <c r="E4550" s="261"/>
      <c r="F4550" s="261"/>
      <c r="G4550" s="261"/>
      <c r="H4550" s="261"/>
      <c r="I4550" s="261"/>
      <c r="J4550" s="261"/>
      <c r="K4550" s="261"/>
      <c r="L4550" s="261"/>
      <c r="M4550" s="261"/>
    </row>
    <row r="4551" spans="5:13">
      <c r="E4551" s="261"/>
      <c r="F4551" s="261"/>
      <c r="G4551" s="261"/>
      <c r="H4551" s="261"/>
      <c r="I4551" s="261"/>
      <c r="J4551" s="261"/>
      <c r="K4551" s="261"/>
      <c r="L4551" s="261"/>
      <c r="M4551" s="261"/>
    </row>
    <row r="4552" spans="5:13">
      <c r="E4552" s="261"/>
      <c r="F4552" s="261"/>
      <c r="G4552" s="261"/>
      <c r="H4552" s="261"/>
      <c r="I4552" s="261"/>
      <c r="J4552" s="261"/>
      <c r="K4552" s="261"/>
      <c r="L4552" s="261"/>
      <c r="M4552" s="261"/>
    </row>
    <row r="4553" spans="5:13">
      <c r="E4553" s="261"/>
      <c r="F4553" s="261"/>
      <c r="G4553" s="261"/>
      <c r="H4553" s="261"/>
      <c r="I4553" s="261"/>
      <c r="J4553" s="261"/>
      <c r="K4553" s="261"/>
      <c r="L4553" s="261"/>
      <c r="M4553" s="261"/>
    </row>
    <row r="4554" spans="5:13">
      <c r="E4554" s="261"/>
      <c r="F4554" s="261"/>
      <c r="G4554" s="261"/>
      <c r="H4554" s="261"/>
      <c r="I4554" s="261"/>
      <c r="J4554" s="261"/>
      <c r="K4554" s="261"/>
      <c r="L4554" s="261"/>
      <c r="M4554" s="261"/>
    </row>
    <row r="4555" spans="5:13">
      <c r="E4555" s="261"/>
      <c r="F4555" s="261"/>
      <c r="G4555" s="261"/>
      <c r="H4555" s="261"/>
      <c r="I4555" s="261"/>
      <c r="J4555" s="261"/>
      <c r="K4555" s="261"/>
      <c r="L4555" s="261"/>
      <c r="M4555" s="261"/>
    </row>
    <row r="4556" spans="5:13">
      <c r="E4556" s="261"/>
      <c r="F4556" s="261"/>
      <c r="G4556" s="261"/>
      <c r="H4556" s="261"/>
      <c r="I4556" s="261"/>
      <c r="J4556" s="261"/>
      <c r="K4556" s="261"/>
      <c r="L4556" s="261"/>
      <c r="M4556" s="261"/>
    </row>
    <row r="4557" spans="5:13">
      <c r="E4557" s="261"/>
      <c r="F4557" s="261"/>
      <c r="G4557" s="261"/>
      <c r="H4557" s="261"/>
      <c r="I4557" s="261"/>
      <c r="J4557" s="261"/>
      <c r="K4557" s="261"/>
      <c r="L4557" s="261"/>
      <c r="M4557" s="261"/>
    </row>
    <row r="4558" spans="5:13">
      <c r="E4558" s="261"/>
      <c r="F4558" s="261"/>
      <c r="G4558" s="261"/>
      <c r="H4558" s="261"/>
      <c r="I4558" s="261"/>
      <c r="J4558" s="261"/>
      <c r="K4558" s="261"/>
      <c r="L4558" s="261"/>
      <c r="M4558" s="261"/>
    </row>
    <row r="4559" spans="5:13">
      <c r="E4559" s="261"/>
      <c r="F4559" s="261"/>
      <c r="G4559" s="261"/>
      <c r="H4559" s="261"/>
      <c r="I4559" s="261"/>
      <c r="J4559" s="261"/>
      <c r="K4559" s="261"/>
      <c r="L4559" s="261"/>
      <c r="M4559" s="261"/>
    </row>
    <row r="4560" spans="5:13">
      <c r="E4560" s="261"/>
      <c r="F4560" s="261"/>
      <c r="G4560" s="261"/>
      <c r="H4560" s="261"/>
      <c r="I4560" s="261"/>
      <c r="J4560" s="261"/>
      <c r="K4560" s="261"/>
      <c r="L4560" s="261"/>
      <c r="M4560" s="261"/>
    </row>
    <row r="4561" spans="5:13">
      <c r="E4561" s="261"/>
      <c r="F4561" s="261"/>
      <c r="G4561" s="261"/>
      <c r="H4561" s="261"/>
      <c r="I4561" s="261"/>
      <c r="J4561" s="261"/>
      <c r="K4561" s="261"/>
      <c r="L4561" s="261"/>
      <c r="M4561" s="261"/>
    </row>
    <row r="4562" spans="5:13">
      <c r="E4562" s="261"/>
      <c r="F4562" s="261"/>
      <c r="G4562" s="261"/>
      <c r="H4562" s="261"/>
      <c r="I4562" s="261"/>
      <c r="J4562" s="261"/>
      <c r="K4562" s="261"/>
      <c r="L4562" s="261"/>
      <c r="M4562" s="261"/>
    </row>
    <row r="4563" spans="5:13">
      <c r="E4563" s="261"/>
      <c r="F4563" s="261"/>
      <c r="G4563" s="261"/>
      <c r="H4563" s="261"/>
      <c r="I4563" s="261"/>
      <c r="J4563" s="261"/>
      <c r="K4563" s="261"/>
      <c r="L4563" s="261"/>
      <c r="M4563" s="261"/>
    </row>
    <row r="4564" spans="5:13">
      <c r="E4564" s="261"/>
      <c r="F4564" s="261"/>
      <c r="G4564" s="261"/>
      <c r="H4564" s="261"/>
      <c r="I4564" s="261"/>
      <c r="J4564" s="261"/>
      <c r="K4564" s="261"/>
      <c r="L4564" s="261"/>
      <c r="M4564" s="261"/>
    </row>
    <row r="4565" spans="5:13">
      <c r="E4565" s="261"/>
      <c r="F4565" s="261"/>
      <c r="G4565" s="261"/>
      <c r="H4565" s="261"/>
      <c r="I4565" s="261"/>
      <c r="J4565" s="261"/>
      <c r="K4565" s="261"/>
      <c r="L4565" s="261"/>
      <c r="M4565" s="261"/>
    </row>
    <row r="4566" spans="5:13">
      <c r="E4566" s="261"/>
      <c r="F4566" s="261"/>
      <c r="G4566" s="261"/>
      <c r="H4566" s="261"/>
      <c r="I4566" s="261"/>
      <c r="J4566" s="261"/>
      <c r="K4566" s="261"/>
      <c r="L4566" s="261"/>
      <c r="M4566" s="261"/>
    </row>
    <row r="4567" spans="5:13">
      <c r="E4567" s="261"/>
      <c r="F4567" s="261"/>
      <c r="G4567" s="261"/>
      <c r="H4567" s="261"/>
      <c r="I4567" s="261"/>
      <c r="J4567" s="261"/>
      <c r="K4567" s="261"/>
      <c r="L4567" s="261"/>
      <c r="M4567" s="261"/>
    </row>
    <row r="4568" spans="5:13">
      <c r="E4568" s="261"/>
      <c r="F4568" s="261"/>
      <c r="G4568" s="261"/>
      <c r="H4568" s="261"/>
      <c r="I4568" s="261"/>
      <c r="J4568" s="261"/>
      <c r="K4568" s="261"/>
      <c r="L4568" s="261"/>
      <c r="M4568" s="261"/>
    </row>
    <row r="4569" spans="5:13">
      <c r="E4569" s="261"/>
      <c r="F4569" s="261"/>
      <c r="G4569" s="261"/>
      <c r="H4569" s="261"/>
      <c r="I4569" s="261"/>
      <c r="J4569" s="261"/>
      <c r="K4569" s="261"/>
      <c r="L4569" s="261"/>
      <c r="M4569" s="261"/>
    </row>
    <row r="4570" spans="5:13">
      <c r="E4570" s="261"/>
      <c r="F4570" s="261"/>
      <c r="G4570" s="261"/>
      <c r="H4570" s="261"/>
      <c r="I4570" s="261"/>
      <c r="J4570" s="261"/>
      <c r="K4570" s="261"/>
      <c r="L4570" s="261"/>
      <c r="M4570" s="261"/>
    </row>
    <row r="4571" spans="5:13">
      <c r="E4571" s="261"/>
      <c r="F4571" s="261"/>
      <c r="G4571" s="261"/>
      <c r="H4571" s="261"/>
      <c r="I4571" s="261"/>
      <c r="J4571" s="261"/>
      <c r="K4571" s="261"/>
      <c r="L4571" s="261"/>
      <c r="M4571" s="261"/>
    </row>
    <row r="4572" spans="5:13">
      <c r="E4572" s="261"/>
      <c r="F4572" s="261"/>
      <c r="G4572" s="261"/>
      <c r="H4572" s="261"/>
      <c r="I4572" s="261"/>
      <c r="J4572" s="261"/>
      <c r="K4572" s="261"/>
      <c r="L4572" s="261"/>
      <c r="M4572" s="261"/>
    </row>
    <row r="4573" spans="5:13">
      <c r="E4573" s="261"/>
      <c r="F4573" s="261"/>
      <c r="G4573" s="261"/>
      <c r="H4573" s="261"/>
      <c r="I4573" s="261"/>
      <c r="J4573" s="261"/>
      <c r="K4573" s="261"/>
      <c r="L4573" s="261"/>
      <c r="M4573" s="261"/>
    </row>
    <row r="4574" spans="5:13">
      <c r="E4574" s="261"/>
      <c r="F4574" s="261"/>
      <c r="G4574" s="261"/>
      <c r="H4574" s="261"/>
      <c r="I4574" s="261"/>
      <c r="J4574" s="261"/>
      <c r="K4574" s="261"/>
      <c r="L4574" s="261"/>
      <c r="M4574" s="261"/>
    </row>
    <row r="4575" spans="5:13">
      <c r="E4575" s="261"/>
      <c r="F4575" s="261"/>
      <c r="G4575" s="261"/>
      <c r="H4575" s="261"/>
      <c r="I4575" s="261"/>
      <c r="J4575" s="261"/>
      <c r="K4575" s="261"/>
      <c r="L4575" s="261"/>
      <c r="M4575" s="261"/>
    </row>
    <row r="4576" spans="5:13">
      <c r="E4576" s="261"/>
      <c r="F4576" s="261"/>
      <c r="G4576" s="261"/>
      <c r="H4576" s="261"/>
      <c r="I4576" s="261"/>
      <c r="J4576" s="261"/>
      <c r="K4576" s="261"/>
      <c r="L4576" s="261"/>
      <c r="M4576" s="261"/>
    </row>
    <row r="4577" spans="5:13">
      <c r="E4577" s="261"/>
      <c r="F4577" s="261"/>
      <c r="G4577" s="261"/>
      <c r="H4577" s="261"/>
      <c r="I4577" s="261"/>
      <c r="J4577" s="261"/>
      <c r="K4577" s="261"/>
      <c r="L4577" s="261"/>
      <c r="M4577" s="261"/>
    </row>
    <row r="4578" spans="5:13">
      <c r="E4578" s="261"/>
      <c r="F4578" s="261"/>
      <c r="G4578" s="261"/>
      <c r="H4578" s="261"/>
      <c r="I4578" s="261"/>
      <c r="J4578" s="261"/>
      <c r="K4578" s="261"/>
      <c r="L4578" s="261"/>
      <c r="M4578" s="261"/>
    </row>
    <row r="4579" spans="5:13">
      <c r="E4579" s="261"/>
      <c r="F4579" s="261"/>
      <c r="G4579" s="261"/>
      <c r="H4579" s="261"/>
      <c r="I4579" s="261"/>
      <c r="J4579" s="261"/>
      <c r="K4579" s="261"/>
      <c r="L4579" s="261"/>
      <c r="M4579" s="261"/>
    </row>
    <row r="4580" spans="5:13">
      <c r="E4580" s="261"/>
      <c r="F4580" s="261"/>
      <c r="G4580" s="261"/>
      <c r="H4580" s="261"/>
      <c r="I4580" s="261"/>
      <c r="J4580" s="261"/>
      <c r="K4580" s="261"/>
      <c r="L4580" s="261"/>
      <c r="M4580" s="261"/>
    </row>
    <row r="4581" spans="5:13">
      <c r="E4581" s="261"/>
      <c r="F4581" s="261"/>
      <c r="G4581" s="261"/>
      <c r="H4581" s="261"/>
      <c r="I4581" s="261"/>
      <c r="J4581" s="261"/>
      <c r="K4581" s="261"/>
      <c r="L4581" s="261"/>
      <c r="M4581" s="261"/>
    </row>
    <row r="4582" spans="5:13">
      <c r="E4582" s="261"/>
      <c r="F4582" s="261"/>
      <c r="G4582" s="261"/>
      <c r="H4582" s="261"/>
      <c r="I4582" s="261"/>
      <c r="J4582" s="261"/>
      <c r="K4582" s="261"/>
      <c r="L4582" s="261"/>
      <c r="M4582" s="261"/>
    </row>
    <row r="4583" spans="5:13">
      <c r="E4583" s="261"/>
      <c r="F4583" s="261"/>
      <c r="G4583" s="261"/>
      <c r="H4583" s="261"/>
      <c r="I4583" s="261"/>
      <c r="J4583" s="261"/>
      <c r="K4583" s="261"/>
      <c r="L4583" s="261"/>
      <c r="M4583" s="261"/>
    </row>
    <row r="4584" spans="5:13">
      <c r="E4584" s="261"/>
      <c r="F4584" s="261"/>
      <c r="G4584" s="261"/>
      <c r="H4584" s="261"/>
      <c r="I4584" s="261"/>
      <c r="J4584" s="261"/>
      <c r="K4584" s="261"/>
      <c r="L4584" s="261"/>
      <c r="M4584" s="261"/>
    </row>
    <row r="4585" spans="5:13">
      <c r="E4585" s="261"/>
      <c r="F4585" s="261"/>
      <c r="G4585" s="261"/>
      <c r="H4585" s="261"/>
      <c r="I4585" s="261"/>
      <c r="J4585" s="261"/>
      <c r="K4585" s="261"/>
      <c r="L4585" s="261"/>
      <c r="M4585" s="261"/>
    </row>
    <row r="4586" spans="5:13">
      <c r="E4586" s="261"/>
      <c r="F4586" s="261"/>
      <c r="G4586" s="261"/>
      <c r="H4586" s="261"/>
      <c r="I4586" s="261"/>
      <c r="J4586" s="261"/>
      <c r="K4586" s="261"/>
      <c r="L4586" s="261"/>
      <c r="M4586" s="261"/>
    </row>
    <row r="4587" spans="5:13">
      <c r="E4587" s="261"/>
      <c r="F4587" s="261"/>
      <c r="G4587" s="261"/>
      <c r="H4587" s="261"/>
      <c r="I4587" s="261"/>
      <c r="J4587" s="261"/>
      <c r="K4587" s="261"/>
      <c r="L4587" s="261"/>
      <c r="M4587" s="261"/>
    </row>
    <row r="4588" spans="5:13">
      <c r="E4588" s="261"/>
      <c r="F4588" s="261"/>
      <c r="G4588" s="261"/>
      <c r="H4588" s="261"/>
      <c r="I4588" s="261"/>
      <c r="J4588" s="261"/>
      <c r="K4588" s="261"/>
      <c r="L4588" s="261"/>
      <c r="M4588" s="261"/>
    </row>
    <row r="4589" spans="5:13">
      <c r="E4589" s="261"/>
      <c r="F4589" s="261"/>
      <c r="G4589" s="261"/>
      <c r="H4589" s="261"/>
      <c r="I4589" s="261"/>
      <c r="J4589" s="261"/>
      <c r="K4589" s="261"/>
      <c r="L4589" s="261"/>
      <c r="M4589" s="261"/>
    </row>
    <row r="4590" spans="5:13">
      <c r="E4590" s="261"/>
      <c r="F4590" s="261"/>
      <c r="G4590" s="261"/>
      <c r="H4590" s="261"/>
      <c r="I4590" s="261"/>
      <c r="J4590" s="261"/>
      <c r="K4590" s="261"/>
      <c r="L4590" s="261"/>
      <c r="M4590" s="261"/>
    </row>
    <row r="4591" spans="5:13">
      <c r="E4591" s="261"/>
      <c r="F4591" s="261"/>
      <c r="G4591" s="261"/>
      <c r="H4591" s="261"/>
      <c r="I4591" s="261"/>
      <c r="J4591" s="261"/>
      <c r="K4591" s="261"/>
      <c r="L4591" s="261"/>
      <c r="M4591" s="261"/>
    </row>
    <row r="4592" spans="5:13">
      <c r="E4592" s="261"/>
      <c r="F4592" s="261"/>
      <c r="G4592" s="261"/>
      <c r="H4592" s="261"/>
      <c r="I4592" s="261"/>
      <c r="J4592" s="261"/>
      <c r="K4592" s="261"/>
      <c r="L4592" s="261"/>
      <c r="M4592" s="261"/>
    </row>
    <row r="4593" spans="5:13">
      <c r="E4593" s="261"/>
      <c r="F4593" s="261"/>
      <c r="G4593" s="261"/>
      <c r="H4593" s="261"/>
      <c r="I4593" s="261"/>
      <c r="J4593" s="261"/>
      <c r="K4593" s="261"/>
      <c r="L4593" s="261"/>
      <c r="M4593" s="261"/>
    </row>
    <row r="4594" spans="5:13">
      <c r="E4594" s="261"/>
      <c r="F4594" s="261"/>
      <c r="G4594" s="261"/>
      <c r="H4594" s="261"/>
      <c r="I4594" s="261"/>
      <c r="J4594" s="261"/>
      <c r="K4594" s="261"/>
      <c r="L4594" s="261"/>
      <c r="M4594" s="261"/>
    </row>
    <row r="4595" spans="5:13">
      <c r="E4595" s="261"/>
      <c r="F4595" s="261"/>
      <c r="G4595" s="261"/>
      <c r="H4595" s="261"/>
      <c r="I4595" s="261"/>
      <c r="J4595" s="261"/>
      <c r="K4595" s="261"/>
      <c r="L4595" s="261"/>
      <c r="M4595" s="261"/>
    </row>
    <row r="4596" spans="5:13">
      <c r="E4596" s="261"/>
      <c r="F4596" s="261"/>
      <c r="G4596" s="261"/>
      <c r="H4596" s="261"/>
      <c r="I4596" s="261"/>
      <c r="J4596" s="261"/>
      <c r="K4596" s="261"/>
      <c r="L4596" s="261"/>
      <c r="M4596" s="261"/>
    </row>
    <row r="4597" spans="5:13">
      <c r="E4597" s="261"/>
      <c r="F4597" s="261"/>
      <c r="G4597" s="261"/>
      <c r="H4597" s="261"/>
      <c r="I4597" s="261"/>
      <c r="J4597" s="261"/>
      <c r="K4597" s="261"/>
      <c r="L4597" s="261"/>
      <c r="M4597" s="261"/>
    </row>
    <row r="4598" spans="5:13">
      <c r="E4598" s="261"/>
      <c r="F4598" s="261"/>
      <c r="G4598" s="261"/>
      <c r="H4598" s="261"/>
      <c r="I4598" s="261"/>
      <c r="J4598" s="261"/>
      <c r="K4598" s="261"/>
      <c r="L4598" s="261"/>
      <c r="M4598" s="261"/>
    </row>
    <row r="4599" spans="5:13">
      <c r="E4599" s="261"/>
      <c r="F4599" s="261"/>
      <c r="G4599" s="261"/>
      <c r="H4599" s="261"/>
      <c r="I4599" s="261"/>
      <c r="J4599" s="261"/>
      <c r="K4599" s="261"/>
      <c r="L4599" s="261"/>
      <c r="M4599" s="261"/>
    </row>
    <row r="4600" spans="5:13">
      <c r="E4600" s="261"/>
      <c r="F4600" s="261"/>
      <c r="G4600" s="261"/>
      <c r="H4600" s="261"/>
      <c r="I4600" s="261"/>
      <c r="J4600" s="261"/>
      <c r="K4600" s="261"/>
      <c r="L4600" s="261"/>
      <c r="M4600" s="261"/>
    </row>
    <row r="4601" spans="5:13">
      <c r="E4601" s="261"/>
      <c r="F4601" s="261"/>
      <c r="G4601" s="261"/>
      <c r="H4601" s="261"/>
      <c r="I4601" s="261"/>
      <c r="J4601" s="261"/>
      <c r="K4601" s="261"/>
      <c r="L4601" s="261"/>
      <c r="M4601" s="261"/>
    </row>
    <row r="4602" spans="5:13">
      <c r="E4602" s="261"/>
      <c r="F4602" s="261"/>
      <c r="G4602" s="261"/>
      <c r="H4602" s="261"/>
      <c r="I4602" s="261"/>
      <c r="J4602" s="261"/>
      <c r="K4602" s="261"/>
      <c r="L4602" s="261"/>
      <c r="M4602" s="261"/>
    </row>
    <row r="4603" spans="5:13">
      <c r="E4603" s="261"/>
      <c r="F4603" s="261"/>
      <c r="G4603" s="261"/>
      <c r="H4603" s="261"/>
      <c r="I4603" s="261"/>
      <c r="J4603" s="261"/>
      <c r="K4603" s="261"/>
      <c r="L4603" s="261"/>
      <c r="M4603" s="261"/>
    </row>
    <row r="4604" spans="5:13">
      <c r="E4604" s="261"/>
      <c r="F4604" s="261"/>
      <c r="G4604" s="261"/>
      <c r="H4604" s="261"/>
      <c r="I4604" s="261"/>
      <c r="J4604" s="261"/>
      <c r="K4604" s="261"/>
      <c r="L4604" s="261"/>
      <c r="M4604" s="261"/>
    </row>
    <row r="4605" spans="5:13">
      <c r="E4605" s="261"/>
      <c r="F4605" s="261"/>
      <c r="G4605" s="261"/>
      <c r="H4605" s="261"/>
      <c r="I4605" s="261"/>
      <c r="J4605" s="261"/>
      <c r="K4605" s="261"/>
      <c r="L4605" s="261"/>
      <c r="M4605" s="261"/>
    </row>
    <row r="4606" spans="5:13">
      <c r="E4606" s="261"/>
      <c r="F4606" s="261"/>
      <c r="G4606" s="261"/>
      <c r="H4606" s="261"/>
      <c r="I4606" s="261"/>
      <c r="J4606" s="261"/>
      <c r="K4606" s="261"/>
      <c r="L4606" s="261"/>
      <c r="M4606" s="261"/>
    </row>
    <row r="4607" spans="5:13">
      <c r="E4607" s="261"/>
      <c r="F4607" s="261"/>
      <c r="G4607" s="261"/>
      <c r="H4607" s="261"/>
      <c r="I4607" s="261"/>
      <c r="J4607" s="261"/>
      <c r="K4607" s="261"/>
      <c r="L4607" s="261"/>
      <c r="M4607" s="261"/>
    </row>
    <row r="4608" spans="5:13">
      <c r="E4608" s="261"/>
      <c r="F4608" s="261"/>
      <c r="G4608" s="261"/>
      <c r="H4608" s="261"/>
      <c r="I4608" s="261"/>
      <c r="J4608" s="261"/>
      <c r="K4608" s="261"/>
      <c r="L4608" s="261"/>
      <c r="M4608" s="261"/>
    </row>
    <row r="4609" spans="5:13">
      <c r="E4609" s="261"/>
      <c r="F4609" s="261"/>
      <c r="G4609" s="261"/>
      <c r="H4609" s="261"/>
      <c r="I4609" s="261"/>
      <c r="J4609" s="261"/>
      <c r="K4609" s="261"/>
      <c r="L4609" s="261"/>
      <c r="M4609" s="261"/>
    </row>
    <row r="4610" spans="5:13">
      <c r="E4610" s="261"/>
      <c r="F4610" s="261"/>
      <c r="G4610" s="261"/>
      <c r="H4610" s="261"/>
      <c r="I4610" s="261"/>
      <c r="J4610" s="261"/>
      <c r="K4610" s="261"/>
      <c r="L4610" s="261"/>
      <c r="M4610" s="261"/>
    </row>
    <row r="4611" spans="5:13">
      <c r="E4611" s="261"/>
      <c r="F4611" s="261"/>
      <c r="G4611" s="261"/>
      <c r="H4611" s="261"/>
      <c r="I4611" s="261"/>
      <c r="J4611" s="261"/>
      <c r="K4611" s="261"/>
      <c r="L4611" s="261"/>
      <c r="M4611" s="261"/>
    </row>
    <row r="4612" spans="5:13">
      <c r="E4612" s="261"/>
      <c r="F4612" s="261"/>
      <c r="G4612" s="261"/>
      <c r="H4612" s="261"/>
      <c r="I4612" s="261"/>
      <c r="J4612" s="261"/>
      <c r="K4612" s="261"/>
      <c r="L4612" s="261"/>
      <c r="M4612" s="261"/>
    </row>
    <row r="4613" spans="5:13">
      <c r="E4613" s="261"/>
      <c r="F4613" s="261"/>
      <c r="G4613" s="261"/>
      <c r="H4613" s="261"/>
      <c r="I4613" s="261"/>
      <c r="J4613" s="261"/>
      <c r="K4613" s="261"/>
      <c r="L4613" s="261"/>
      <c r="M4613" s="261"/>
    </row>
    <row r="4614" spans="5:13">
      <c r="E4614" s="261"/>
      <c r="F4614" s="261"/>
      <c r="G4614" s="261"/>
      <c r="H4614" s="261"/>
      <c r="I4614" s="261"/>
      <c r="J4614" s="261"/>
      <c r="K4614" s="261"/>
      <c r="L4614" s="261"/>
      <c r="M4614" s="261"/>
    </row>
    <row r="4615" spans="5:13">
      <c r="E4615" s="261"/>
      <c r="F4615" s="261"/>
      <c r="G4615" s="261"/>
      <c r="H4615" s="261"/>
      <c r="I4615" s="261"/>
      <c r="J4615" s="261"/>
      <c r="K4615" s="261"/>
      <c r="L4615" s="261"/>
      <c r="M4615" s="261"/>
    </row>
    <row r="4616" spans="5:13">
      <c r="E4616" s="261"/>
      <c r="F4616" s="261"/>
      <c r="G4616" s="261"/>
      <c r="H4616" s="261"/>
      <c r="I4616" s="261"/>
      <c r="J4616" s="261"/>
      <c r="K4616" s="261"/>
      <c r="L4616" s="261"/>
      <c r="M4616" s="261"/>
    </row>
    <row r="4617" spans="5:13">
      <c r="E4617" s="261"/>
      <c r="F4617" s="261"/>
      <c r="G4617" s="261"/>
      <c r="H4617" s="261"/>
      <c r="I4617" s="261"/>
      <c r="J4617" s="261"/>
      <c r="K4617" s="261"/>
      <c r="L4617" s="261"/>
      <c r="M4617" s="261"/>
    </row>
    <row r="4618" spans="5:13">
      <c r="E4618" s="261"/>
      <c r="F4618" s="261"/>
      <c r="G4618" s="261"/>
      <c r="H4618" s="261"/>
      <c r="I4618" s="261"/>
      <c r="J4618" s="261"/>
      <c r="K4618" s="261"/>
      <c r="L4618" s="261"/>
      <c r="M4618" s="261"/>
    </row>
    <row r="4619" spans="5:13">
      <c r="E4619" s="261"/>
      <c r="F4619" s="261"/>
      <c r="G4619" s="261"/>
      <c r="H4619" s="261"/>
      <c r="I4619" s="261"/>
      <c r="J4619" s="261"/>
      <c r="K4619" s="261"/>
      <c r="L4619" s="261"/>
      <c r="M4619" s="261"/>
    </row>
    <row r="4620" spans="5:13">
      <c r="E4620" s="261"/>
      <c r="F4620" s="261"/>
      <c r="G4620" s="261"/>
      <c r="H4620" s="261"/>
      <c r="I4620" s="261"/>
      <c r="J4620" s="261"/>
      <c r="K4620" s="261"/>
      <c r="L4620" s="261"/>
      <c r="M4620" s="261"/>
    </row>
    <row r="4621" spans="5:13">
      <c r="E4621" s="261"/>
      <c r="F4621" s="261"/>
      <c r="G4621" s="261"/>
      <c r="H4621" s="261"/>
      <c r="I4621" s="261"/>
      <c r="J4621" s="261"/>
      <c r="K4621" s="261"/>
      <c r="L4621" s="261"/>
      <c r="M4621" s="261"/>
    </row>
    <row r="4622" spans="5:13">
      <c r="E4622" s="261"/>
      <c r="F4622" s="261"/>
      <c r="G4622" s="261"/>
      <c r="H4622" s="261"/>
      <c r="I4622" s="261"/>
      <c r="J4622" s="261"/>
      <c r="K4622" s="261"/>
      <c r="L4622" s="261"/>
      <c r="M4622" s="261"/>
    </row>
    <row r="4623" spans="5:13">
      <c r="E4623" s="261"/>
      <c r="F4623" s="261"/>
      <c r="G4623" s="261"/>
      <c r="H4623" s="261"/>
      <c r="I4623" s="261"/>
      <c r="J4623" s="261"/>
      <c r="K4623" s="261"/>
      <c r="L4623" s="261"/>
      <c r="M4623" s="261"/>
    </row>
    <row r="4624" spans="5:13">
      <c r="E4624" s="261"/>
      <c r="F4624" s="261"/>
      <c r="G4624" s="261"/>
      <c r="H4624" s="261"/>
      <c r="I4624" s="261"/>
      <c r="J4624" s="261"/>
      <c r="K4624" s="261"/>
      <c r="L4624" s="261"/>
      <c r="M4624" s="261"/>
    </row>
    <row r="4625" spans="5:13">
      <c r="E4625" s="261"/>
      <c r="F4625" s="261"/>
      <c r="G4625" s="261"/>
      <c r="H4625" s="261"/>
      <c r="I4625" s="261"/>
      <c r="J4625" s="261"/>
      <c r="K4625" s="261"/>
      <c r="L4625" s="261"/>
      <c r="M4625" s="261"/>
    </row>
    <row r="4626" spans="5:13">
      <c r="E4626" s="261"/>
      <c r="F4626" s="261"/>
      <c r="G4626" s="261"/>
      <c r="H4626" s="261"/>
      <c r="I4626" s="261"/>
      <c r="J4626" s="261"/>
      <c r="K4626" s="261"/>
      <c r="L4626" s="261"/>
      <c r="M4626" s="261"/>
    </row>
    <row r="4627" spans="5:13">
      <c r="E4627" s="261"/>
      <c r="F4627" s="261"/>
      <c r="G4627" s="261"/>
      <c r="H4627" s="261"/>
      <c r="I4627" s="261"/>
      <c r="J4627" s="261"/>
      <c r="K4627" s="261"/>
      <c r="L4627" s="261"/>
      <c r="M4627" s="261"/>
    </row>
    <row r="4628" spans="5:13">
      <c r="E4628" s="261"/>
      <c r="F4628" s="261"/>
      <c r="G4628" s="261"/>
      <c r="H4628" s="261"/>
      <c r="I4628" s="261"/>
      <c r="J4628" s="261"/>
      <c r="K4628" s="261"/>
      <c r="L4628" s="261"/>
      <c r="M4628" s="261"/>
    </row>
    <row r="4629" spans="5:13">
      <c r="E4629" s="261"/>
      <c r="F4629" s="261"/>
      <c r="G4629" s="261"/>
      <c r="H4629" s="261"/>
      <c r="I4629" s="261"/>
      <c r="J4629" s="261"/>
      <c r="K4629" s="261"/>
      <c r="L4629" s="261"/>
      <c r="M4629" s="261"/>
    </row>
    <row r="4630" spans="5:13">
      <c r="E4630" s="261"/>
      <c r="F4630" s="261"/>
      <c r="G4630" s="261"/>
      <c r="H4630" s="261"/>
      <c r="I4630" s="261"/>
      <c r="J4630" s="261"/>
      <c r="K4630" s="261"/>
      <c r="L4630" s="261"/>
      <c r="M4630" s="261"/>
    </row>
    <row r="4631" spans="5:13">
      <c r="E4631" s="261"/>
      <c r="F4631" s="261"/>
      <c r="G4631" s="261"/>
      <c r="H4631" s="261"/>
      <c r="I4631" s="261"/>
      <c r="J4631" s="261"/>
      <c r="K4631" s="261"/>
      <c r="L4631" s="261"/>
      <c r="M4631" s="261"/>
    </row>
    <row r="4632" spans="5:13">
      <c r="E4632" s="261"/>
      <c r="F4632" s="261"/>
      <c r="G4632" s="261"/>
      <c r="H4632" s="261"/>
      <c r="I4632" s="261"/>
      <c r="J4632" s="261"/>
      <c r="K4632" s="261"/>
      <c r="L4632" s="261"/>
      <c r="M4632" s="261"/>
    </row>
    <row r="4633" spans="5:13">
      <c r="E4633" s="261"/>
      <c r="F4633" s="261"/>
      <c r="G4633" s="261"/>
      <c r="H4633" s="261"/>
      <c r="I4633" s="261"/>
      <c r="J4633" s="261"/>
      <c r="K4633" s="261"/>
      <c r="L4633" s="261"/>
      <c r="M4633" s="261"/>
    </row>
    <row r="4634" spans="5:13">
      <c r="E4634" s="261"/>
      <c r="F4634" s="261"/>
      <c r="G4634" s="261"/>
      <c r="H4634" s="261"/>
      <c r="I4634" s="261"/>
      <c r="J4634" s="261"/>
      <c r="K4634" s="261"/>
      <c r="L4634" s="261"/>
      <c r="M4634" s="261"/>
    </row>
    <row r="4635" spans="5:13">
      <c r="E4635" s="261"/>
      <c r="F4635" s="261"/>
      <c r="G4635" s="261"/>
      <c r="H4635" s="261"/>
      <c r="I4635" s="261"/>
      <c r="J4635" s="261"/>
      <c r="K4635" s="261"/>
      <c r="L4635" s="261"/>
      <c r="M4635" s="261"/>
    </row>
    <row r="4636" spans="5:13">
      <c r="E4636" s="261"/>
      <c r="F4636" s="261"/>
      <c r="G4636" s="261"/>
      <c r="H4636" s="261"/>
      <c r="I4636" s="261"/>
      <c r="J4636" s="261"/>
      <c r="K4636" s="261"/>
      <c r="L4636" s="261"/>
      <c r="M4636" s="261"/>
    </row>
    <row r="4637" spans="5:13">
      <c r="E4637" s="261"/>
      <c r="F4637" s="261"/>
      <c r="G4637" s="261"/>
      <c r="H4637" s="261"/>
      <c r="I4637" s="261"/>
      <c r="J4637" s="261"/>
      <c r="K4637" s="261"/>
      <c r="L4637" s="261"/>
      <c r="M4637" s="261"/>
    </row>
    <row r="4638" spans="5:13">
      <c r="E4638" s="261"/>
      <c r="F4638" s="261"/>
      <c r="G4638" s="261"/>
      <c r="H4638" s="261"/>
      <c r="I4638" s="261"/>
      <c r="J4638" s="261"/>
      <c r="K4638" s="261"/>
      <c r="L4638" s="261"/>
      <c r="M4638" s="261"/>
    </row>
    <row r="4639" spans="5:13">
      <c r="E4639" s="261"/>
      <c r="F4639" s="261"/>
      <c r="G4639" s="261"/>
      <c r="H4639" s="261"/>
      <c r="I4639" s="261"/>
      <c r="J4639" s="261"/>
      <c r="K4639" s="261"/>
      <c r="L4639" s="261"/>
      <c r="M4639" s="261"/>
    </row>
    <row r="4640" spans="5:13">
      <c r="E4640" s="261"/>
      <c r="F4640" s="261"/>
      <c r="G4640" s="261"/>
      <c r="H4640" s="261"/>
      <c r="I4640" s="261"/>
      <c r="J4640" s="261"/>
      <c r="K4640" s="261"/>
      <c r="L4640" s="261"/>
      <c r="M4640" s="261"/>
    </row>
    <row r="4641" spans="5:13">
      <c r="E4641" s="261"/>
      <c r="F4641" s="261"/>
      <c r="G4641" s="261"/>
      <c r="H4641" s="261"/>
      <c r="I4641" s="261"/>
      <c r="J4641" s="261"/>
      <c r="K4641" s="261"/>
      <c r="L4641" s="261"/>
      <c r="M4641" s="261"/>
    </row>
    <row r="4642" spans="5:13">
      <c r="E4642" s="261"/>
      <c r="F4642" s="261"/>
      <c r="G4642" s="261"/>
      <c r="H4642" s="261"/>
      <c r="I4642" s="261"/>
      <c r="J4642" s="261"/>
      <c r="K4642" s="261"/>
      <c r="L4642" s="261"/>
      <c r="M4642" s="261"/>
    </row>
    <row r="4643" spans="5:13">
      <c r="E4643" s="261"/>
      <c r="F4643" s="261"/>
      <c r="G4643" s="261"/>
      <c r="H4643" s="261"/>
      <c r="I4643" s="261"/>
      <c r="J4643" s="261"/>
      <c r="K4643" s="261"/>
      <c r="L4643" s="261"/>
      <c r="M4643" s="261"/>
    </row>
    <row r="4644" spans="5:13">
      <c r="E4644" s="261"/>
      <c r="F4644" s="261"/>
      <c r="G4644" s="261"/>
      <c r="H4644" s="261"/>
      <c r="I4644" s="261"/>
      <c r="J4644" s="261"/>
      <c r="K4644" s="261"/>
      <c r="L4644" s="261"/>
      <c r="M4644" s="261"/>
    </row>
    <row r="4645" spans="5:13">
      <c r="E4645" s="261"/>
      <c r="F4645" s="261"/>
      <c r="G4645" s="261"/>
      <c r="H4645" s="261"/>
      <c r="I4645" s="261"/>
      <c r="J4645" s="261"/>
      <c r="K4645" s="261"/>
      <c r="L4645" s="261"/>
      <c r="M4645" s="261"/>
    </row>
    <row r="4646" spans="5:13">
      <c r="E4646" s="261"/>
      <c r="F4646" s="261"/>
      <c r="G4646" s="261"/>
      <c r="H4646" s="261"/>
      <c r="I4646" s="261"/>
      <c r="J4646" s="261"/>
      <c r="K4646" s="261"/>
      <c r="L4646" s="261"/>
      <c r="M4646" s="261"/>
    </row>
    <row r="4647" spans="5:13">
      <c r="E4647" s="261"/>
      <c r="F4647" s="261"/>
      <c r="G4647" s="261"/>
      <c r="H4647" s="261"/>
      <c r="I4647" s="261"/>
      <c r="J4647" s="261"/>
      <c r="K4647" s="261"/>
      <c r="L4647" s="261"/>
      <c r="M4647" s="261"/>
    </row>
    <row r="4648" spans="5:13">
      <c r="E4648" s="261"/>
      <c r="F4648" s="261"/>
      <c r="G4648" s="261"/>
      <c r="H4648" s="261"/>
      <c r="I4648" s="261"/>
      <c r="J4648" s="261"/>
      <c r="K4648" s="261"/>
      <c r="L4648" s="261"/>
      <c r="M4648" s="261"/>
    </row>
    <row r="4649" spans="5:13">
      <c r="E4649" s="261"/>
      <c r="F4649" s="261"/>
      <c r="G4649" s="261"/>
      <c r="H4649" s="261"/>
      <c r="I4649" s="261"/>
      <c r="J4649" s="261"/>
      <c r="K4649" s="261"/>
      <c r="L4649" s="261"/>
      <c r="M4649" s="261"/>
    </row>
    <row r="4650" spans="5:13">
      <c r="E4650" s="261"/>
      <c r="F4650" s="261"/>
      <c r="G4650" s="261"/>
      <c r="H4650" s="261"/>
      <c r="I4650" s="261"/>
      <c r="J4650" s="261"/>
      <c r="K4650" s="261"/>
      <c r="L4650" s="261"/>
      <c r="M4650" s="261"/>
    </row>
    <row r="4651" spans="5:13">
      <c r="E4651" s="261"/>
      <c r="F4651" s="261"/>
      <c r="G4651" s="261"/>
      <c r="H4651" s="261"/>
      <c r="I4651" s="261"/>
      <c r="J4651" s="261"/>
      <c r="K4651" s="261"/>
      <c r="L4651" s="261"/>
      <c r="M4651" s="261"/>
    </row>
    <row r="4652" spans="5:13">
      <c r="E4652" s="261"/>
      <c r="F4652" s="261"/>
      <c r="G4652" s="261"/>
      <c r="H4652" s="261"/>
      <c r="I4652" s="261"/>
      <c r="J4652" s="261"/>
      <c r="K4652" s="261"/>
      <c r="L4652" s="261"/>
      <c r="M4652" s="261"/>
    </row>
    <row r="4653" spans="5:13">
      <c r="E4653" s="261"/>
      <c r="F4653" s="261"/>
      <c r="G4653" s="261"/>
      <c r="H4653" s="261"/>
      <c r="I4653" s="261"/>
      <c r="J4653" s="261"/>
      <c r="K4653" s="261"/>
      <c r="L4653" s="261"/>
      <c r="M4653" s="261"/>
    </row>
    <row r="4654" spans="5:13">
      <c r="E4654" s="261"/>
      <c r="F4654" s="261"/>
      <c r="G4654" s="261"/>
      <c r="H4654" s="261"/>
      <c r="I4654" s="261"/>
      <c r="J4654" s="261"/>
      <c r="K4654" s="261"/>
      <c r="L4654" s="261"/>
      <c r="M4654" s="261"/>
    </row>
    <row r="4655" spans="5:13">
      <c r="E4655" s="261"/>
      <c r="F4655" s="261"/>
      <c r="G4655" s="261"/>
      <c r="H4655" s="261"/>
      <c r="I4655" s="261"/>
      <c r="J4655" s="261"/>
      <c r="K4655" s="261"/>
      <c r="L4655" s="261"/>
      <c r="M4655" s="261"/>
    </row>
    <row r="4656" spans="5:13">
      <c r="E4656" s="261"/>
      <c r="F4656" s="261"/>
      <c r="G4656" s="261"/>
      <c r="H4656" s="261"/>
      <c r="I4656" s="261"/>
      <c r="J4656" s="261"/>
      <c r="K4656" s="261"/>
      <c r="L4656" s="261"/>
      <c r="M4656" s="261"/>
    </row>
    <row r="4657" spans="5:13">
      <c r="E4657" s="261"/>
      <c r="F4657" s="261"/>
      <c r="G4657" s="261"/>
      <c r="H4657" s="261"/>
      <c r="I4657" s="261"/>
      <c r="J4657" s="261"/>
      <c r="K4657" s="261"/>
      <c r="L4657" s="261"/>
      <c r="M4657" s="261"/>
    </row>
    <row r="4658" spans="5:13">
      <c r="E4658" s="261"/>
      <c r="F4658" s="261"/>
      <c r="G4658" s="261"/>
      <c r="H4658" s="261"/>
      <c r="I4658" s="261"/>
      <c r="J4658" s="261"/>
      <c r="K4658" s="261"/>
      <c r="L4658" s="261"/>
      <c r="M4658" s="261"/>
    </row>
    <row r="4659" spans="5:13">
      <c r="E4659" s="261"/>
      <c r="F4659" s="261"/>
      <c r="G4659" s="261"/>
      <c r="H4659" s="261"/>
      <c r="I4659" s="261"/>
      <c r="J4659" s="261"/>
      <c r="K4659" s="261"/>
      <c r="L4659" s="261"/>
      <c r="M4659" s="261"/>
    </row>
    <row r="4660" spans="5:13">
      <c r="E4660" s="261"/>
      <c r="F4660" s="261"/>
      <c r="G4660" s="261"/>
      <c r="H4660" s="261"/>
      <c r="I4660" s="261"/>
      <c r="J4660" s="261"/>
      <c r="K4660" s="261"/>
      <c r="L4660" s="261"/>
      <c r="M4660" s="261"/>
    </row>
    <row r="4661" spans="5:13">
      <c r="E4661" s="261"/>
      <c r="F4661" s="261"/>
      <c r="G4661" s="261"/>
      <c r="H4661" s="261"/>
      <c r="I4661" s="261"/>
      <c r="J4661" s="261"/>
      <c r="K4661" s="261"/>
      <c r="L4661" s="261"/>
      <c r="M4661" s="261"/>
    </row>
    <row r="4662" spans="5:13">
      <c r="E4662" s="261"/>
      <c r="F4662" s="261"/>
      <c r="G4662" s="261"/>
      <c r="H4662" s="261"/>
      <c r="I4662" s="261"/>
      <c r="J4662" s="261"/>
      <c r="K4662" s="261"/>
      <c r="L4662" s="261"/>
      <c r="M4662" s="261"/>
    </row>
    <row r="4663" spans="5:13">
      <c r="E4663" s="261"/>
      <c r="F4663" s="261"/>
      <c r="G4663" s="261"/>
      <c r="H4663" s="261"/>
      <c r="I4663" s="261"/>
      <c r="J4663" s="261"/>
      <c r="K4663" s="261"/>
      <c r="L4663" s="261"/>
      <c r="M4663" s="261"/>
    </row>
    <row r="4664" spans="5:13">
      <c r="E4664" s="261"/>
      <c r="F4664" s="261"/>
      <c r="G4664" s="261"/>
      <c r="H4664" s="261"/>
      <c r="I4664" s="261"/>
      <c r="J4664" s="261"/>
      <c r="K4664" s="261"/>
      <c r="L4664" s="261"/>
      <c r="M4664" s="261"/>
    </row>
    <row r="4665" spans="5:13">
      <c r="E4665" s="261"/>
      <c r="F4665" s="261"/>
      <c r="G4665" s="261"/>
      <c r="H4665" s="261"/>
      <c r="I4665" s="261"/>
      <c r="J4665" s="261"/>
      <c r="K4665" s="261"/>
      <c r="L4665" s="261"/>
      <c r="M4665" s="261"/>
    </row>
    <row r="4666" spans="5:13">
      <c r="E4666" s="261"/>
      <c r="F4666" s="261"/>
      <c r="G4666" s="261"/>
      <c r="H4666" s="261"/>
      <c r="I4666" s="261"/>
      <c r="J4666" s="261"/>
      <c r="K4666" s="261"/>
      <c r="L4666" s="261"/>
      <c r="M4666" s="261"/>
    </row>
    <row r="4667" spans="5:13">
      <c r="E4667" s="261"/>
      <c r="F4667" s="261"/>
      <c r="G4667" s="261"/>
      <c r="H4667" s="261"/>
      <c r="I4667" s="261"/>
      <c r="J4667" s="261"/>
      <c r="K4667" s="261"/>
      <c r="L4667" s="261"/>
      <c r="M4667" s="261"/>
    </row>
    <row r="4668" spans="5:13">
      <c r="E4668" s="261"/>
      <c r="F4668" s="261"/>
      <c r="G4668" s="261"/>
      <c r="H4668" s="261"/>
      <c r="I4668" s="261"/>
      <c r="J4668" s="261"/>
      <c r="K4668" s="261"/>
      <c r="L4668" s="261"/>
      <c r="M4668" s="261"/>
    </row>
    <row r="4669" spans="5:13">
      <c r="E4669" s="261"/>
      <c r="F4669" s="261"/>
      <c r="G4669" s="261"/>
      <c r="H4669" s="261"/>
      <c r="I4669" s="261"/>
      <c r="J4669" s="261"/>
      <c r="K4669" s="261"/>
      <c r="L4669" s="261"/>
      <c r="M4669" s="261"/>
    </row>
    <row r="4670" spans="5:13">
      <c r="E4670" s="261"/>
      <c r="F4670" s="261"/>
      <c r="G4670" s="261"/>
      <c r="H4670" s="261"/>
      <c r="I4670" s="261"/>
      <c r="J4670" s="261"/>
      <c r="K4670" s="261"/>
      <c r="L4670" s="261"/>
      <c r="M4670" s="261"/>
    </row>
    <row r="4671" spans="5:13">
      <c r="E4671" s="261"/>
      <c r="F4671" s="261"/>
      <c r="G4671" s="261"/>
      <c r="H4671" s="261"/>
      <c r="I4671" s="261"/>
      <c r="J4671" s="261"/>
      <c r="K4671" s="261"/>
      <c r="L4671" s="261"/>
      <c r="M4671" s="261"/>
    </row>
    <row r="4672" spans="5:13">
      <c r="E4672" s="261"/>
      <c r="F4672" s="261"/>
      <c r="G4672" s="261"/>
      <c r="H4672" s="261"/>
      <c r="I4672" s="261"/>
      <c r="J4672" s="261"/>
      <c r="K4672" s="261"/>
      <c r="L4672" s="261"/>
      <c r="M4672" s="261"/>
    </row>
    <row r="4673" spans="5:13">
      <c r="E4673" s="261"/>
      <c r="F4673" s="261"/>
      <c r="G4673" s="261"/>
      <c r="H4673" s="261"/>
      <c r="I4673" s="261"/>
      <c r="J4673" s="261"/>
      <c r="K4673" s="261"/>
      <c r="L4673" s="261"/>
      <c r="M4673" s="261"/>
    </row>
    <row r="4674" spans="5:13">
      <c r="E4674" s="261"/>
      <c r="F4674" s="261"/>
      <c r="G4674" s="261"/>
      <c r="H4674" s="261"/>
      <c r="I4674" s="261"/>
      <c r="J4674" s="261"/>
      <c r="K4674" s="261"/>
      <c r="L4674" s="261"/>
      <c r="M4674" s="261"/>
    </row>
    <row r="4675" spans="5:13">
      <c r="E4675" s="261"/>
      <c r="F4675" s="261"/>
      <c r="G4675" s="261"/>
      <c r="H4675" s="261"/>
      <c r="I4675" s="261"/>
      <c r="J4675" s="261"/>
      <c r="K4675" s="261"/>
      <c r="L4675" s="261"/>
      <c r="M4675" s="261"/>
    </row>
    <row r="4676" spans="5:13">
      <c r="E4676" s="261"/>
      <c r="F4676" s="261"/>
      <c r="G4676" s="261"/>
      <c r="H4676" s="261"/>
      <c r="I4676" s="261"/>
      <c r="J4676" s="261"/>
      <c r="K4676" s="261"/>
      <c r="L4676" s="261"/>
      <c r="M4676" s="261"/>
    </row>
    <row r="4677" spans="5:13">
      <c r="E4677" s="261"/>
      <c r="F4677" s="261"/>
      <c r="G4677" s="261"/>
      <c r="H4677" s="261"/>
      <c r="I4677" s="261"/>
      <c r="J4677" s="261"/>
      <c r="K4677" s="261"/>
      <c r="L4677" s="261"/>
      <c r="M4677" s="261"/>
    </row>
    <row r="4678" spans="5:13">
      <c r="E4678" s="261"/>
      <c r="F4678" s="261"/>
      <c r="G4678" s="261"/>
      <c r="H4678" s="261"/>
      <c r="I4678" s="261"/>
      <c r="J4678" s="261"/>
      <c r="K4678" s="261"/>
      <c r="L4678" s="261"/>
      <c r="M4678" s="261"/>
    </row>
    <row r="4679" spans="5:13">
      <c r="E4679" s="261"/>
      <c r="F4679" s="261"/>
      <c r="G4679" s="261"/>
      <c r="H4679" s="261"/>
      <c r="I4679" s="261"/>
      <c r="J4679" s="261"/>
      <c r="K4679" s="261"/>
      <c r="L4679" s="261"/>
      <c r="M4679" s="261"/>
    </row>
    <row r="4680" spans="5:13">
      <c r="E4680" s="261"/>
      <c r="F4680" s="261"/>
      <c r="G4680" s="261"/>
      <c r="H4680" s="261"/>
      <c r="I4680" s="261"/>
      <c r="J4680" s="261"/>
      <c r="K4680" s="261"/>
      <c r="L4680" s="261"/>
      <c r="M4680" s="261"/>
    </row>
    <row r="4681" spans="5:13">
      <c r="E4681" s="261"/>
      <c r="F4681" s="261"/>
      <c r="G4681" s="261"/>
      <c r="H4681" s="261"/>
      <c r="I4681" s="261"/>
      <c r="J4681" s="261"/>
      <c r="K4681" s="261"/>
      <c r="L4681" s="261"/>
      <c r="M4681" s="261"/>
    </row>
    <row r="4682" spans="5:13">
      <c r="E4682" s="261"/>
      <c r="F4682" s="261"/>
      <c r="G4682" s="261"/>
      <c r="H4682" s="261"/>
      <c r="I4682" s="261"/>
      <c r="J4682" s="261"/>
      <c r="K4682" s="261"/>
      <c r="L4682" s="261"/>
      <c r="M4682" s="261"/>
    </row>
    <row r="4683" spans="5:13">
      <c r="E4683" s="261"/>
      <c r="F4683" s="261"/>
      <c r="G4683" s="261"/>
      <c r="H4683" s="261"/>
      <c r="I4683" s="261"/>
      <c r="J4683" s="261"/>
      <c r="K4683" s="261"/>
      <c r="L4683" s="261"/>
      <c r="M4683" s="261"/>
    </row>
    <row r="4684" spans="5:13">
      <c r="E4684" s="261"/>
      <c r="F4684" s="261"/>
      <c r="G4684" s="261"/>
      <c r="H4684" s="261"/>
      <c r="I4684" s="261"/>
      <c r="J4684" s="261"/>
      <c r="K4684" s="261"/>
      <c r="L4684" s="261"/>
      <c r="M4684" s="261"/>
    </row>
    <row r="4685" spans="5:13">
      <c r="E4685" s="261"/>
      <c r="F4685" s="261"/>
      <c r="G4685" s="261"/>
      <c r="H4685" s="261"/>
      <c r="I4685" s="261"/>
      <c r="J4685" s="261"/>
      <c r="K4685" s="261"/>
      <c r="L4685" s="261"/>
      <c r="M4685" s="261"/>
    </row>
    <row r="4686" spans="5:13">
      <c r="E4686" s="261"/>
      <c r="F4686" s="261"/>
      <c r="G4686" s="261"/>
      <c r="H4686" s="261"/>
      <c r="I4686" s="261"/>
      <c r="J4686" s="261"/>
      <c r="K4686" s="261"/>
      <c r="L4686" s="261"/>
      <c r="M4686" s="261"/>
    </row>
    <row r="4687" spans="5:13">
      <c r="E4687" s="261"/>
      <c r="F4687" s="261"/>
      <c r="G4687" s="261"/>
      <c r="H4687" s="261"/>
      <c r="I4687" s="261"/>
      <c r="J4687" s="261"/>
      <c r="K4687" s="261"/>
      <c r="L4687" s="261"/>
      <c r="M4687" s="261"/>
    </row>
    <row r="4688" spans="5:13">
      <c r="E4688" s="261"/>
      <c r="F4688" s="261"/>
      <c r="G4688" s="261"/>
      <c r="H4688" s="261"/>
      <c r="I4688" s="261"/>
      <c r="J4688" s="261"/>
      <c r="K4688" s="261"/>
      <c r="L4688" s="261"/>
      <c r="M4688" s="261"/>
    </row>
    <row r="4689" spans="5:13">
      <c r="E4689" s="261"/>
      <c r="F4689" s="261"/>
      <c r="G4689" s="261"/>
      <c r="H4689" s="261"/>
      <c r="I4689" s="261"/>
      <c r="J4689" s="261"/>
      <c r="K4689" s="261"/>
      <c r="L4689" s="261"/>
      <c r="M4689" s="261"/>
    </row>
    <row r="4690" spans="5:13">
      <c r="E4690" s="261"/>
      <c r="F4690" s="261"/>
      <c r="G4690" s="261"/>
      <c r="H4690" s="261"/>
      <c r="I4690" s="261"/>
      <c r="J4690" s="261"/>
      <c r="K4690" s="261"/>
      <c r="L4690" s="261"/>
      <c r="M4690" s="261"/>
    </row>
    <row r="4691" spans="5:13">
      <c r="E4691" s="261"/>
      <c r="F4691" s="261"/>
      <c r="G4691" s="261"/>
      <c r="H4691" s="261"/>
      <c r="I4691" s="261"/>
      <c r="J4691" s="261"/>
      <c r="K4691" s="261"/>
      <c r="L4691" s="261"/>
      <c r="M4691" s="261"/>
    </row>
    <row r="4692" spans="5:13">
      <c r="E4692" s="261"/>
      <c r="F4692" s="261"/>
      <c r="G4692" s="261"/>
      <c r="H4692" s="261"/>
      <c r="I4692" s="261"/>
      <c r="J4692" s="261"/>
      <c r="K4692" s="261"/>
      <c r="L4692" s="261"/>
      <c r="M4692" s="261"/>
    </row>
    <row r="4693" spans="5:13">
      <c r="E4693" s="261"/>
      <c r="F4693" s="261"/>
      <c r="G4693" s="261"/>
      <c r="H4693" s="261"/>
      <c r="I4693" s="261"/>
      <c r="J4693" s="261"/>
      <c r="K4693" s="261"/>
      <c r="L4693" s="261"/>
      <c r="M4693" s="261"/>
    </row>
    <row r="4694" spans="5:13">
      <c r="E4694" s="261"/>
      <c r="F4694" s="261"/>
      <c r="G4694" s="261"/>
      <c r="H4694" s="261"/>
      <c r="I4694" s="261"/>
      <c r="J4694" s="261"/>
      <c r="K4694" s="261"/>
      <c r="L4694" s="261"/>
      <c r="M4694" s="261"/>
    </row>
    <row r="4695" spans="5:13">
      <c r="E4695" s="261"/>
      <c r="F4695" s="261"/>
      <c r="G4695" s="261"/>
      <c r="H4695" s="261"/>
      <c r="I4695" s="261"/>
      <c r="J4695" s="261"/>
      <c r="K4695" s="261"/>
      <c r="L4695" s="261"/>
      <c r="M4695" s="261"/>
    </row>
    <row r="4696" spans="5:13">
      <c r="E4696" s="261"/>
      <c r="F4696" s="261"/>
      <c r="G4696" s="261"/>
      <c r="H4696" s="261"/>
      <c r="I4696" s="261"/>
      <c r="J4696" s="261"/>
      <c r="K4696" s="261"/>
      <c r="L4696" s="261"/>
      <c r="M4696" s="261"/>
    </row>
    <row r="4697" spans="5:13">
      <c r="E4697" s="261"/>
      <c r="F4697" s="261"/>
      <c r="G4697" s="261"/>
      <c r="H4697" s="261"/>
      <c r="I4697" s="261"/>
      <c r="J4697" s="261"/>
      <c r="K4697" s="261"/>
      <c r="L4697" s="261"/>
      <c r="M4697" s="261"/>
    </row>
    <row r="4698" spans="5:13">
      <c r="E4698" s="261"/>
      <c r="F4698" s="261"/>
      <c r="G4698" s="261"/>
      <c r="H4698" s="261"/>
      <c r="I4698" s="261"/>
      <c r="J4698" s="261"/>
      <c r="K4698" s="261"/>
      <c r="L4698" s="261"/>
      <c r="M4698" s="261"/>
    </row>
    <row r="4699" spans="5:13">
      <c r="E4699" s="261"/>
      <c r="F4699" s="261"/>
      <c r="G4699" s="261"/>
      <c r="H4699" s="261"/>
      <c r="I4699" s="261"/>
      <c r="J4699" s="261"/>
      <c r="K4699" s="261"/>
      <c r="L4699" s="261"/>
      <c r="M4699" s="261"/>
    </row>
    <row r="4700" spans="5:13">
      <c r="E4700" s="261"/>
      <c r="F4700" s="261"/>
      <c r="G4700" s="261"/>
      <c r="H4700" s="261"/>
      <c r="I4700" s="261"/>
      <c r="J4700" s="261"/>
      <c r="K4700" s="261"/>
      <c r="L4700" s="261"/>
      <c r="M4700" s="261"/>
    </row>
    <row r="4701" spans="5:13">
      <c r="E4701" s="261"/>
      <c r="F4701" s="261"/>
      <c r="G4701" s="261"/>
      <c r="H4701" s="261"/>
      <c r="I4701" s="261"/>
      <c r="J4701" s="261"/>
      <c r="K4701" s="261"/>
      <c r="L4701" s="261"/>
      <c r="M4701" s="261"/>
    </row>
    <row r="4702" spans="5:13">
      <c r="E4702" s="261"/>
      <c r="F4702" s="261"/>
      <c r="G4702" s="261"/>
      <c r="H4702" s="261"/>
      <c r="I4702" s="261"/>
      <c r="J4702" s="261"/>
      <c r="K4702" s="261"/>
      <c r="L4702" s="261"/>
      <c r="M4702" s="261"/>
    </row>
    <row r="4703" spans="5:13">
      <c r="E4703" s="261"/>
      <c r="F4703" s="261"/>
      <c r="G4703" s="261"/>
      <c r="H4703" s="261"/>
      <c r="I4703" s="261"/>
      <c r="J4703" s="261"/>
      <c r="K4703" s="261"/>
      <c r="L4703" s="261"/>
      <c r="M4703" s="261"/>
    </row>
    <row r="4704" spans="5:13">
      <c r="E4704" s="261"/>
      <c r="F4704" s="261"/>
      <c r="G4704" s="261"/>
      <c r="H4704" s="261"/>
      <c r="I4704" s="261"/>
      <c r="J4704" s="261"/>
      <c r="K4704" s="261"/>
      <c r="L4704" s="261"/>
      <c r="M4704" s="261"/>
    </row>
    <row r="4705" spans="5:13">
      <c r="E4705" s="261"/>
      <c r="F4705" s="261"/>
      <c r="G4705" s="261"/>
      <c r="H4705" s="261"/>
      <c r="I4705" s="261"/>
      <c r="J4705" s="261"/>
      <c r="K4705" s="261"/>
      <c r="L4705" s="261"/>
      <c r="M4705" s="261"/>
    </row>
    <row r="4706" spans="5:13">
      <c r="E4706" s="261"/>
      <c r="F4706" s="261"/>
      <c r="G4706" s="261"/>
      <c r="H4706" s="261"/>
      <c r="I4706" s="261"/>
      <c r="J4706" s="261"/>
      <c r="K4706" s="261"/>
      <c r="L4706" s="261"/>
      <c r="M4706" s="261"/>
    </row>
    <row r="4707" spans="5:13">
      <c r="E4707" s="261"/>
      <c r="F4707" s="261"/>
      <c r="G4707" s="261"/>
      <c r="H4707" s="261"/>
      <c r="I4707" s="261"/>
      <c r="J4707" s="261"/>
      <c r="K4707" s="261"/>
      <c r="L4707" s="261"/>
      <c r="M4707" s="261"/>
    </row>
    <row r="4708" spans="5:13">
      <c r="E4708" s="261"/>
      <c r="F4708" s="261"/>
      <c r="G4708" s="261"/>
      <c r="H4708" s="261"/>
      <c r="I4708" s="261"/>
      <c r="J4708" s="261"/>
      <c r="K4708" s="261"/>
      <c r="L4708" s="261"/>
      <c r="M4708" s="261"/>
    </row>
    <row r="4709" spans="5:13">
      <c r="E4709" s="261"/>
      <c r="F4709" s="261"/>
      <c r="G4709" s="261"/>
      <c r="H4709" s="261"/>
      <c r="I4709" s="261"/>
      <c r="J4709" s="261"/>
      <c r="K4709" s="261"/>
      <c r="L4709" s="261"/>
      <c r="M4709" s="261"/>
    </row>
    <row r="4710" spans="5:13">
      <c r="E4710" s="261"/>
      <c r="F4710" s="261"/>
      <c r="G4710" s="261"/>
      <c r="H4710" s="261"/>
      <c r="I4710" s="261"/>
      <c r="J4710" s="261"/>
      <c r="K4710" s="261"/>
      <c r="L4710" s="261"/>
      <c r="M4710" s="261"/>
    </row>
    <row r="4711" spans="5:13">
      <c r="E4711" s="261"/>
      <c r="F4711" s="261"/>
      <c r="G4711" s="261"/>
      <c r="H4711" s="261"/>
      <c r="I4711" s="261"/>
      <c r="J4711" s="261"/>
      <c r="K4711" s="261"/>
      <c r="L4711" s="261"/>
      <c r="M4711" s="261"/>
    </row>
    <row r="4712" spans="5:13">
      <c r="E4712" s="261"/>
      <c r="F4712" s="261"/>
      <c r="G4712" s="261"/>
      <c r="H4712" s="261"/>
      <c r="I4712" s="261"/>
      <c r="J4712" s="261"/>
      <c r="K4712" s="261"/>
      <c r="L4712" s="261"/>
      <c r="M4712" s="261"/>
    </row>
    <row r="4713" spans="5:13">
      <c r="E4713" s="261"/>
      <c r="F4713" s="261"/>
      <c r="G4713" s="261"/>
      <c r="H4713" s="261"/>
      <c r="I4713" s="261"/>
      <c r="J4713" s="261"/>
      <c r="K4713" s="261"/>
      <c r="L4713" s="261"/>
      <c r="M4713" s="261"/>
    </row>
    <row r="4714" spans="5:13">
      <c r="E4714" s="261"/>
      <c r="F4714" s="261"/>
      <c r="G4714" s="261"/>
      <c r="H4714" s="261"/>
      <c r="I4714" s="261"/>
      <c r="J4714" s="261"/>
      <c r="K4714" s="261"/>
      <c r="L4714" s="261"/>
      <c r="M4714" s="261"/>
    </row>
    <row r="4715" spans="5:13">
      <c r="E4715" s="261"/>
      <c r="F4715" s="261"/>
      <c r="G4715" s="261"/>
      <c r="H4715" s="261"/>
      <c r="I4715" s="261"/>
      <c r="J4715" s="261"/>
      <c r="K4715" s="261"/>
      <c r="L4715" s="261"/>
      <c r="M4715" s="261"/>
    </row>
    <row r="4716" spans="5:13">
      <c r="E4716" s="261"/>
      <c r="F4716" s="261"/>
      <c r="G4716" s="261"/>
      <c r="H4716" s="261"/>
      <c r="I4716" s="261"/>
      <c r="J4716" s="261"/>
      <c r="K4716" s="261"/>
      <c r="L4716" s="261"/>
      <c r="M4716" s="261"/>
    </row>
    <row r="4717" spans="5:13">
      <c r="E4717" s="261"/>
      <c r="F4717" s="261"/>
      <c r="G4717" s="261"/>
      <c r="H4717" s="261"/>
      <c r="I4717" s="261"/>
      <c r="J4717" s="261"/>
      <c r="K4717" s="261"/>
      <c r="L4717" s="261"/>
      <c r="M4717" s="261"/>
    </row>
    <row r="4718" spans="5:13">
      <c r="E4718" s="261"/>
      <c r="F4718" s="261"/>
      <c r="G4718" s="261"/>
      <c r="H4718" s="261"/>
      <c r="I4718" s="261"/>
      <c r="J4718" s="261"/>
      <c r="K4718" s="261"/>
      <c r="L4718" s="261"/>
      <c r="M4718" s="261"/>
    </row>
    <row r="4719" spans="5:13">
      <c r="E4719" s="261"/>
      <c r="F4719" s="261"/>
      <c r="G4719" s="261"/>
      <c r="H4719" s="261"/>
      <c r="I4719" s="261"/>
      <c r="J4719" s="261"/>
      <c r="K4719" s="261"/>
      <c r="L4719" s="261"/>
      <c r="M4719" s="261"/>
    </row>
    <row r="4720" spans="5:13">
      <c r="E4720" s="261"/>
      <c r="F4720" s="261"/>
      <c r="G4720" s="261"/>
      <c r="H4720" s="261"/>
      <c r="I4720" s="261"/>
      <c r="J4720" s="261"/>
      <c r="K4720" s="261"/>
      <c r="L4720" s="261"/>
      <c r="M4720" s="261"/>
    </row>
    <row r="4721" spans="5:13">
      <c r="E4721" s="261"/>
      <c r="F4721" s="261"/>
      <c r="G4721" s="261"/>
      <c r="H4721" s="261"/>
      <c r="I4721" s="261"/>
      <c r="J4721" s="261"/>
      <c r="K4721" s="261"/>
      <c r="L4721" s="261"/>
      <c r="M4721" s="261"/>
    </row>
    <row r="4722" spans="5:13">
      <c r="E4722" s="261"/>
      <c r="F4722" s="261"/>
      <c r="G4722" s="261"/>
      <c r="H4722" s="261"/>
      <c r="I4722" s="261"/>
      <c r="J4722" s="261"/>
      <c r="K4722" s="261"/>
      <c r="L4722" s="261"/>
      <c r="M4722" s="261"/>
    </row>
    <row r="4723" spans="5:13">
      <c r="E4723" s="261"/>
      <c r="F4723" s="261"/>
      <c r="G4723" s="261"/>
      <c r="H4723" s="261"/>
      <c r="I4723" s="261"/>
      <c r="J4723" s="261"/>
      <c r="K4723" s="261"/>
      <c r="L4723" s="261"/>
      <c r="M4723" s="261"/>
    </row>
    <row r="4724" spans="5:13">
      <c r="E4724" s="261"/>
      <c r="F4724" s="261"/>
      <c r="G4724" s="261"/>
      <c r="H4724" s="261"/>
      <c r="I4724" s="261"/>
      <c r="J4724" s="261"/>
      <c r="K4724" s="261"/>
      <c r="L4724" s="261"/>
      <c r="M4724" s="261"/>
    </row>
    <row r="4725" spans="5:13">
      <c r="E4725" s="261"/>
      <c r="F4725" s="261"/>
      <c r="G4725" s="261"/>
      <c r="H4725" s="261"/>
      <c r="I4725" s="261"/>
      <c r="J4725" s="261"/>
      <c r="K4725" s="261"/>
      <c r="L4725" s="261"/>
      <c r="M4725" s="261"/>
    </row>
    <row r="4726" spans="5:13">
      <c r="E4726" s="261"/>
      <c r="F4726" s="261"/>
      <c r="G4726" s="261"/>
      <c r="H4726" s="261"/>
      <c r="I4726" s="261"/>
      <c r="J4726" s="261"/>
      <c r="K4726" s="261"/>
      <c r="L4726" s="261"/>
      <c r="M4726" s="261"/>
    </row>
    <row r="4727" spans="5:13">
      <c r="E4727" s="261"/>
      <c r="F4727" s="261"/>
      <c r="G4727" s="261"/>
      <c r="H4727" s="261"/>
      <c r="I4727" s="261"/>
      <c r="J4727" s="261"/>
      <c r="K4727" s="261"/>
      <c r="L4727" s="261"/>
      <c r="M4727" s="261"/>
    </row>
    <row r="4728" spans="5:13">
      <c r="E4728" s="261"/>
      <c r="F4728" s="261"/>
      <c r="G4728" s="261"/>
      <c r="H4728" s="261"/>
      <c r="I4728" s="261"/>
      <c r="J4728" s="261"/>
      <c r="K4728" s="261"/>
      <c r="L4728" s="261"/>
      <c r="M4728" s="261"/>
    </row>
    <row r="4729" spans="5:13">
      <c r="E4729" s="261"/>
      <c r="F4729" s="261"/>
      <c r="G4729" s="261"/>
      <c r="H4729" s="261"/>
      <c r="I4729" s="261"/>
      <c r="J4729" s="261"/>
      <c r="K4729" s="261"/>
      <c r="L4729" s="261"/>
      <c r="M4729" s="261"/>
    </row>
    <row r="4730" spans="5:13">
      <c r="E4730" s="261"/>
      <c r="F4730" s="261"/>
      <c r="G4730" s="261"/>
      <c r="H4730" s="261"/>
      <c r="I4730" s="261"/>
      <c r="J4730" s="261"/>
      <c r="K4730" s="261"/>
      <c r="L4730" s="261"/>
      <c r="M4730" s="261"/>
    </row>
    <row r="4731" spans="5:13">
      <c r="E4731" s="261"/>
      <c r="F4731" s="261"/>
      <c r="G4731" s="261"/>
      <c r="H4731" s="261"/>
      <c r="I4731" s="261"/>
      <c r="J4731" s="261"/>
      <c r="K4731" s="261"/>
      <c r="L4731" s="261"/>
      <c r="M4731" s="261"/>
    </row>
    <row r="4732" spans="5:13">
      <c r="E4732" s="261"/>
      <c r="F4732" s="261"/>
      <c r="G4732" s="261"/>
      <c r="H4732" s="261"/>
      <c r="I4732" s="261"/>
      <c r="J4732" s="261"/>
      <c r="K4732" s="261"/>
      <c r="L4732" s="261"/>
      <c r="M4732" s="261"/>
    </row>
    <row r="4733" spans="5:13">
      <c r="E4733" s="261"/>
      <c r="F4733" s="261"/>
      <c r="G4733" s="261"/>
      <c r="H4733" s="261"/>
      <c r="I4733" s="261"/>
      <c r="J4733" s="261"/>
      <c r="K4733" s="261"/>
      <c r="L4733" s="261"/>
      <c r="M4733" s="261"/>
    </row>
    <row r="4734" spans="5:13">
      <c r="E4734" s="261"/>
      <c r="F4734" s="261"/>
      <c r="G4734" s="261"/>
      <c r="H4734" s="261"/>
      <c r="I4734" s="261"/>
      <c r="J4734" s="261"/>
      <c r="K4734" s="261"/>
      <c r="L4734" s="261"/>
      <c r="M4734" s="261"/>
    </row>
    <row r="4735" spans="5:13">
      <c r="E4735" s="261"/>
      <c r="F4735" s="261"/>
      <c r="G4735" s="261"/>
      <c r="H4735" s="261"/>
      <c r="I4735" s="261"/>
      <c r="J4735" s="261"/>
      <c r="K4735" s="261"/>
      <c r="L4735" s="261"/>
      <c r="M4735" s="261"/>
    </row>
    <row r="4736" spans="5:13">
      <c r="E4736" s="261"/>
      <c r="F4736" s="261"/>
      <c r="G4736" s="261"/>
      <c r="H4736" s="261"/>
      <c r="I4736" s="261"/>
      <c r="J4736" s="261"/>
      <c r="K4736" s="261"/>
      <c r="L4736" s="261"/>
      <c r="M4736" s="261"/>
    </row>
    <row r="4737" spans="5:13">
      <c r="E4737" s="261"/>
      <c r="F4737" s="261"/>
      <c r="G4737" s="261"/>
      <c r="H4737" s="261"/>
      <c r="I4737" s="261"/>
      <c r="J4737" s="261"/>
      <c r="K4737" s="261"/>
      <c r="L4737" s="261"/>
      <c r="M4737" s="261"/>
    </row>
    <row r="4738" spans="5:13">
      <c r="E4738" s="261"/>
      <c r="F4738" s="261"/>
      <c r="G4738" s="261"/>
      <c r="H4738" s="261"/>
      <c r="I4738" s="261"/>
      <c r="J4738" s="261"/>
      <c r="K4738" s="261"/>
      <c r="L4738" s="261"/>
      <c r="M4738" s="261"/>
    </row>
    <row r="4739" spans="5:13">
      <c r="E4739" s="261"/>
      <c r="F4739" s="261"/>
      <c r="G4739" s="261"/>
      <c r="H4739" s="261"/>
      <c r="I4739" s="261"/>
      <c r="J4739" s="261"/>
      <c r="K4739" s="261"/>
      <c r="L4739" s="261"/>
      <c r="M4739" s="261"/>
    </row>
    <row r="4740" spans="5:13">
      <c r="E4740" s="261"/>
      <c r="F4740" s="261"/>
      <c r="G4740" s="261"/>
      <c r="H4740" s="261"/>
      <c r="I4740" s="261"/>
      <c r="J4740" s="261"/>
      <c r="K4740" s="261"/>
      <c r="L4740" s="261"/>
      <c r="M4740" s="261"/>
    </row>
    <row r="4741" spans="5:13">
      <c r="E4741" s="261"/>
      <c r="F4741" s="261"/>
      <c r="G4741" s="261"/>
      <c r="H4741" s="261"/>
      <c r="I4741" s="261"/>
      <c r="J4741" s="261"/>
      <c r="K4741" s="261"/>
      <c r="L4741" s="261"/>
      <c r="M4741" s="261"/>
    </row>
    <row r="4742" spans="5:13">
      <c r="E4742" s="261"/>
      <c r="F4742" s="261"/>
      <c r="G4742" s="261"/>
      <c r="H4742" s="261"/>
      <c r="I4742" s="261"/>
      <c r="J4742" s="261"/>
      <c r="K4742" s="261"/>
      <c r="L4742" s="261"/>
      <c r="M4742" s="261"/>
    </row>
    <row r="4743" spans="5:13">
      <c r="E4743" s="261"/>
      <c r="F4743" s="261"/>
      <c r="G4743" s="261"/>
      <c r="H4743" s="261"/>
      <c r="I4743" s="261"/>
      <c r="J4743" s="261"/>
      <c r="K4743" s="261"/>
      <c r="L4743" s="261"/>
      <c r="M4743" s="261"/>
    </row>
    <row r="4744" spans="5:13">
      <c r="E4744" s="261"/>
      <c r="F4744" s="261"/>
      <c r="G4744" s="261"/>
      <c r="H4744" s="261"/>
      <c r="I4744" s="261"/>
      <c r="J4744" s="261"/>
      <c r="K4744" s="261"/>
      <c r="L4744" s="261"/>
      <c r="M4744" s="261"/>
    </row>
    <row r="4745" spans="5:13">
      <c r="E4745" s="261"/>
      <c r="F4745" s="261"/>
      <c r="G4745" s="261"/>
      <c r="H4745" s="261"/>
      <c r="I4745" s="261"/>
      <c r="J4745" s="261"/>
      <c r="K4745" s="261"/>
      <c r="L4745" s="261"/>
      <c r="M4745" s="261"/>
    </row>
    <row r="4746" spans="5:13">
      <c r="E4746" s="261"/>
      <c r="F4746" s="261"/>
      <c r="G4746" s="261"/>
      <c r="H4746" s="261"/>
      <c r="I4746" s="261"/>
      <c r="J4746" s="261"/>
      <c r="K4746" s="261"/>
      <c r="L4746" s="261"/>
      <c r="M4746" s="261"/>
    </row>
    <row r="4747" spans="5:13">
      <c r="E4747" s="261"/>
      <c r="F4747" s="261"/>
      <c r="G4747" s="261"/>
      <c r="H4747" s="261"/>
      <c r="I4747" s="261"/>
      <c r="J4747" s="261"/>
      <c r="K4747" s="261"/>
      <c r="L4747" s="261"/>
      <c r="M4747" s="261"/>
    </row>
    <row r="4748" spans="5:13">
      <c r="E4748" s="261"/>
      <c r="F4748" s="261"/>
      <c r="G4748" s="261"/>
      <c r="H4748" s="261"/>
      <c r="I4748" s="261"/>
      <c r="J4748" s="261"/>
      <c r="K4748" s="261"/>
      <c r="L4748" s="261"/>
      <c r="M4748" s="261"/>
    </row>
    <row r="4749" spans="5:13">
      <c r="E4749" s="261"/>
      <c r="F4749" s="261"/>
      <c r="G4749" s="261"/>
      <c r="H4749" s="261"/>
      <c r="I4749" s="261"/>
      <c r="J4749" s="261"/>
      <c r="K4749" s="261"/>
      <c r="L4749" s="261"/>
      <c r="M4749" s="261"/>
    </row>
    <row r="4750" spans="5:13">
      <c r="E4750" s="261"/>
      <c r="F4750" s="261"/>
      <c r="G4750" s="261"/>
      <c r="H4750" s="261"/>
      <c r="I4750" s="261"/>
      <c r="J4750" s="261"/>
      <c r="K4750" s="261"/>
      <c r="L4750" s="261"/>
      <c r="M4750" s="261"/>
    </row>
    <row r="4751" spans="5:13">
      <c r="E4751" s="261"/>
      <c r="F4751" s="261"/>
      <c r="G4751" s="261"/>
      <c r="H4751" s="261"/>
      <c r="I4751" s="261"/>
      <c r="J4751" s="261"/>
      <c r="K4751" s="261"/>
      <c r="L4751" s="261"/>
      <c r="M4751" s="261"/>
    </row>
    <row r="4752" spans="5:13">
      <c r="E4752" s="261"/>
      <c r="F4752" s="261"/>
      <c r="G4752" s="261"/>
      <c r="H4752" s="261"/>
      <c r="I4752" s="261"/>
      <c r="J4752" s="261"/>
      <c r="K4752" s="261"/>
      <c r="L4752" s="261"/>
      <c r="M4752" s="261"/>
    </row>
    <row r="4753" spans="5:13">
      <c r="E4753" s="261"/>
      <c r="F4753" s="261"/>
      <c r="G4753" s="261"/>
      <c r="H4753" s="261"/>
      <c r="I4753" s="261"/>
      <c r="J4753" s="261"/>
      <c r="K4753" s="261"/>
      <c r="L4753" s="261"/>
      <c r="M4753" s="261"/>
    </row>
    <row r="4754" spans="5:13">
      <c r="E4754" s="261"/>
      <c r="F4754" s="261"/>
      <c r="G4754" s="261"/>
      <c r="H4754" s="261"/>
      <c r="I4754" s="261"/>
      <c r="J4754" s="261"/>
      <c r="K4754" s="261"/>
      <c r="L4754" s="261"/>
      <c r="M4754" s="261"/>
    </row>
    <row r="4755" spans="5:13">
      <c r="E4755" s="261"/>
      <c r="F4755" s="261"/>
      <c r="G4755" s="261"/>
      <c r="H4755" s="261"/>
      <c r="I4755" s="261"/>
      <c r="J4755" s="261"/>
      <c r="K4755" s="261"/>
      <c r="L4755" s="261"/>
      <c r="M4755" s="261"/>
    </row>
    <row r="4756" spans="5:13">
      <c r="E4756" s="261"/>
      <c r="F4756" s="261"/>
      <c r="G4756" s="261"/>
      <c r="H4756" s="261"/>
      <c r="I4756" s="261"/>
      <c r="J4756" s="261"/>
      <c r="K4756" s="261"/>
      <c r="L4756" s="261"/>
      <c r="M4756" s="261"/>
    </row>
    <row r="4757" spans="5:13">
      <c r="E4757" s="261"/>
      <c r="F4757" s="261"/>
      <c r="G4757" s="261"/>
      <c r="H4757" s="261"/>
      <c r="I4757" s="261"/>
      <c r="J4757" s="261"/>
      <c r="K4757" s="261"/>
      <c r="L4757" s="261"/>
      <c r="M4757" s="261"/>
    </row>
    <row r="4758" spans="5:13">
      <c r="E4758" s="261"/>
      <c r="F4758" s="261"/>
      <c r="G4758" s="261"/>
      <c r="H4758" s="261"/>
      <c r="I4758" s="261"/>
      <c r="J4758" s="261"/>
      <c r="K4758" s="261"/>
      <c r="L4758" s="261"/>
      <c r="M4758" s="261"/>
    </row>
    <row r="4759" spans="5:13">
      <c r="E4759" s="261"/>
      <c r="F4759" s="261"/>
      <c r="G4759" s="261"/>
      <c r="H4759" s="261"/>
      <c r="I4759" s="261"/>
      <c r="J4759" s="261"/>
      <c r="K4759" s="261"/>
      <c r="L4759" s="261"/>
      <c r="M4759" s="261"/>
    </row>
    <row r="4760" spans="5:13">
      <c r="E4760" s="261"/>
      <c r="F4760" s="261"/>
      <c r="G4760" s="261"/>
      <c r="H4760" s="261"/>
      <c r="I4760" s="261"/>
      <c r="J4760" s="261"/>
      <c r="K4760" s="261"/>
      <c r="L4760" s="261"/>
      <c r="M4760" s="261"/>
    </row>
    <row r="4761" spans="5:13">
      <c r="E4761" s="261"/>
      <c r="F4761" s="261"/>
      <c r="G4761" s="261"/>
      <c r="H4761" s="261"/>
      <c r="I4761" s="261"/>
      <c r="J4761" s="261"/>
      <c r="K4761" s="261"/>
      <c r="L4761" s="261"/>
      <c r="M4761" s="261"/>
    </row>
    <row r="4762" spans="5:13">
      <c r="E4762" s="261"/>
      <c r="F4762" s="261"/>
      <c r="G4762" s="261"/>
      <c r="H4762" s="261"/>
      <c r="I4762" s="261"/>
      <c r="J4762" s="261"/>
      <c r="K4762" s="261"/>
      <c r="L4762" s="261"/>
      <c r="M4762" s="261"/>
    </row>
    <row r="4763" spans="5:13">
      <c r="E4763" s="261"/>
      <c r="F4763" s="261"/>
      <c r="G4763" s="261"/>
      <c r="H4763" s="261"/>
      <c r="I4763" s="261"/>
      <c r="J4763" s="261"/>
      <c r="K4763" s="261"/>
      <c r="L4763" s="261"/>
      <c r="M4763" s="261"/>
    </row>
    <row r="4764" spans="5:13">
      <c r="E4764" s="261"/>
      <c r="F4764" s="261"/>
      <c r="G4764" s="261"/>
      <c r="H4764" s="261"/>
      <c r="I4764" s="261"/>
      <c r="J4764" s="261"/>
      <c r="K4764" s="261"/>
      <c r="L4764" s="261"/>
      <c r="M4764" s="261"/>
    </row>
    <row r="4765" spans="5:13">
      <c r="E4765" s="261"/>
      <c r="F4765" s="261"/>
      <c r="G4765" s="261"/>
      <c r="H4765" s="261"/>
      <c r="I4765" s="261"/>
      <c r="J4765" s="261"/>
      <c r="K4765" s="261"/>
      <c r="L4765" s="261"/>
      <c r="M4765" s="261"/>
    </row>
    <row r="4766" spans="5:13">
      <c r="E4766" s="261"/>
      <c r="F4766" s="261"/>
      <c r="G4766" s="261"/>
      <c r="H4766" s="261"/>
      <c r="I4766" s="261"/>
      <c r="J4766" s="261"/>
      <c r="K4766" s="261"/>
      <c r="L4766" s="261"/>
      <c r="M4766" s="261"/>
    </row>
    <row r="4767" spans="5:13">
      <c r="E4767" s="261"/>
      <c r="F4767" s="261"/>
      <c r="G4767" s="261"/>
      <c r="H4767" s="261"/>
      <c r="I4767" s="261"/>
      <c r="J4767" s="261"/>
      <c r="K4767" s="261"/>
      <c r="L4767" s="261"/>
      <c r="M4767" s="261"/>
    </row>
    <row r="4768" spans="5:13">
      <c r="E4768" s="261"/>
      <c r="F4768" s="261"/>
      <c r="G4768" s="261"/>
      <c r="H4768" s="261"/>
      <c r="I4768" s="261"/>
      <c r="J4768" s="261"/>
      <c r="K4768" s="261"/>
      <c r="L4768" s="261"/>
      <c r="M4768" s="261"/>
    </row>
    <row r="4769" spans="5:13">
      <c r="E4769" s="261"/>
      <c r="F4769" s="261"/>
      <c r="G4769" s="261"/>
      <c r="H4769" s="261"/>
      <c r="I4769" s="261"/>
      <c r="J4769" s="261"/>
      <c r="K4769" s="261"/>
      <c r="L4769" s="261"/>
      <c r="M4769" s="261"/>
    </row>
    <row r="4770" spans="5:13">
      <c r="E4770" s="261"/>
      <c r="F4770" s="261"/>
      <c r="G4770" s="261"/>
      <c r="H4770" s="261"/>
      <c r="I4770" s="261"/>
      <c r="J4770" s="261"/>
      <c r="K4770" s="261"/>
      <c r="L4770" s="261"/>
      <c r="M4770" s="261"/>
    </row>
    <row r="4771" spans="5:13">
      <c r="E4771" s="261"/>
      <c r="F4771" s="261"/>
      <c r="G4771" s="261"/>
      <c r="H4771" s="261"/>
      <c r="I4771" s="261"/>
      <c r="J4771" s="261"/>
      <c r="K4771" s="261"/>
      <c r="L4771" s="261"/>
      <c r="M4771" s="261"/>
    </row>
    <row r="4772" spans="5:13">
      <c r="E4772" s="261"/>
      <c r="F4772" s="261"/>
      <c r="G4772" s="261"/>
      <c r="H4772" s="261"/>
      <c r="I4772" s="261"/>
      <c r="J4772" s="261"/>
      <c r="K4772" s="261"/>
      <c r="L4772" s="261"/>
      <c r="M4772" s="261"/>
    </row>
    <row r="4773" spans="5:13">
      <c r="E4773" s="261"/>
      <c r="F4773" s="261"/>
      <c r="G4773" s="261"/>
      <c r="H4773" s="261"/>
      <c r="I4773" s="261"/>
      <c r="J4773" s="261"/>
      <c r="K4773" s="261"/>
      <c r="L4773" s="261"/>
      <c r="M4773" s="261"/>
    </row>
    <row r="4774" spans="5:13">
      <c r="E4774" s="261"/>
      <c r="F4774" s="261"/>
      <c r="G4774" s="261"/>
      <c r="H4774" s="261"/>
      <c r="I4774" s="261"/>
      <c r="J4774" s="261"/>
      <c r="K4774" s="261"/>
      <c r="L4774" s="261"/>
      <c r="M4774" s="261"/>
    </row>
    <row r="4775" spans="5:13">
      <c r="E4775" s="261"/>
      <c r="F4775" s="261"/>
      <c r="G4775" s="261"/>
      <c r="H4775" s="261"/>
      <c r="I4775" s="261"/>
      <c r="J4775" s="261"/>
      <c r="K4775" s="261"/>
      <c r="L4775" s="261"/>
      <c r="M4775" s="261"/>
    </row>
    <row r="4776" spans="5:13">
      <c r="E4776" s="261"/>
      <c r="F4776" s="261"/>
      <c r="G4776" s="261"/>
      <c r="H4776" s="261"/>
      <c r="I4776" s="261"/>
      <c r="J4776" s="261"/>
      <c r="K4776" s="261"/>
      <c r="L4776" s="261"/>
      <c r="M4776" s="261"/>
    </row>
    <row r="4777" spans="5:13">
      <c r="E4777" s="261"/>
      <c r="F4777" s="261"/>
      <c r="G4777" s="261"/>
      <c r="H4777" s="261"/>
      <c r="I4777" s="261"/>
      <c r="J4777" s="261"/>
      <c r="K4777" s="261"/>
      <c r="L4777" s="261"/>
      <c r="M4777" s="261"/>
    </row>
    <row r="4778" spans="5:13">
      <c r="E4778" s="261"/>
      <c r="F4778" s="261"/>
      <c r="G4778" s="261"/>
      <c r="H4778" s="261"/>
      <c r="I4778" s="261"/>
      <c r="J4778" s="261"/>
      <c r="K4778" s="261"/>
      <c r="L4778" s="261"/>
      <c r="M4778" s="261"/>
    </row>
    <row r="4779" spans="5:13">
      <c r="E4779" s="261"/>
      <c r="F4779" s="261"/>
      <c r="G4779" s="261"/>
      <c r="H4779" s="261"/>
      <c r="I4779" s="261"/>
      <c r="J4779" s="261"/>
      <c r="K4779" s="261"/>
      <c r="L4779" s="261"/>
      <c r="M4779" s="261"/>
    </row>
    <row r="4780" spans="5:13">
      <c r="E4780" s="261"/>
      <c r="F4780" s="261"/>
      <c r="G4780" s="261"/>
      <c r="H4780" s="261"/>
      <c r="I4780" s="261"/>
      <c r="J4780" s="261"/>
      <c r="K4780" s="261"/>
      <c r="L4780" s="261"/>
      <c r="M4780" s="261"/>
    </row>
    <row r="4781" spans="5:13">
      <c r="E4781" s="261"/>
      <c r="F4781" s="261"/>
      <c r="G4781" s="261"/>
      <c r="H4781" s="261"/>
      <c r="I4781" s="261"/>
      <c r="J4781" s="261"/>
      <c r="K4781" s="261"/>
      <c r="L4781" s="261"/>
      <c r="M4781" s="261"/>
    </row>
    <row r="4782" spans="5:13">
      <c r="E4782" s="261"/>
      <c r="F4782" s="261"/>
      <c r="G4782" s="261"/>
      <c r="H4782" s="261"/>
      <c r="I4782" s="261"/>
      <c r="J4782" s="261"/>
      <c r="K4782" s="261"/>
      <c r="L4782" s="261"/>
      <c r="M4782" s="261"/>
    </row>
    <row r="4783" spans="5:13">
      <c r="E4783" s="261"/>
      <c r="F4783" s="261"/>
      <c r="G4783" s="261"/>
      <c r="H4783" s="261"/>
      <c r="I4783" s="261"/>
      <c r="J4783" s="261"/>
      <c r="K4783" s="261"/>
      <c r="L4783" s="261"/>
      <c r="M4783" s="261"/>
    </row>
    <row r="4784" spans="5:13">
      <c r="E4784" s="261"/>
      <c r="F4784" s="261"/>
      <c r="G4784" s="261"/>
      <c r="H4784" s="261"/>
      <c r="I4784" s="261"/>
      <c r="J4784" s="261"/>
      <c r="K4784" s="261"/>
      <c r="L4784" s="261"/>
      <c r="M4784" s="261"/>
    </row>
    <row r="4785" spans="5:13">
      <c r="E4785" s="261"/>
      <c r="F4785" s="261"/>
      <c r="G4785" s="261"/>
      <c r="H4785" s="261"/>
      <c r="I4785" s="261"/>
      <c r="J4785" s="261"/>
      <c r="K4785" s="261"/>
      <c r="L4785" s="261"/>
      <c r="M4785" s="261"/>
    </row>
    <row r="4786" spans="5:13">
      <c r="E4786" s="261"/>
      <c r="F4786" s="261"/>
      <c r="G4786" s="261"/>
      <c r="H4786" s="261"/>
      <c r="I4786" s="261"/>
      <c r="J4786" s="261"/>
      <c r="K4786" s="261"/>
      <c r="L4786" s="261"/>
      <c r="M4786" s="261"/>
    </row>
    <row r="4787" spans="5:13">
      <c r="E4787" s="261"/>
      <c r="F4787" s="261"/>
      <c r="G4787" s="261"/>
      <c r="H4787" s="261"/>
      <c r="I4787" s="261"/>
      <c r="J4787" s="261"/>
      <c r="K4787" s="261"/>
      <c r="L4787" s="261"/>
      <c r="M4787" s="261"/>
    </row>
    <row r="4788" spans="5:13">
      <c r="E4788" s="261"/>
      <c r="F4788" s="261"/>
      <c r="G4788" s="261"/>
      <c r="H4788" s="261"/>
      <c r="I4788" s="261"/>
      <c r="J4788" s="261"/>
      <c r="K4788" s="261"/>
      <c r="L4788" s="261"/>
      <c r="M4788" s="261"/>
    </row>
    <row r="4789" spans="5:13">
      <c r="E4789" s="261"/>
      <c r="F4789" s="261"/>
      <c r="G4789" s="261"/>
      <c r="H4789" s="261"/>
      <c r="I4789" s="261"/>
      <c r="J4789" s="261"/>
      <c r="K4789" s="261"/>
      <c r="L4789" s="261"/>
      <c r="M4789" s="261"/>
    </row>
    <row r="4790" spans="5:13">
      <c r="E4790" s="261"/>
      <c r="F4790" s="261"/>
      <c r="G4790" s="261"/>
      <c r="H4790" s="261"/>
      <c r="I4790" s="261"/>
      <c r="J4790" s="261"/>
      <c r="K4790" s="261"/>
      <c r="L4790" s="261"/>
      <c r="M4790" s="261"/>
    </row>
    <row r="4791" spans="5:13">
      <c r="E4791" s="261"/>
      <c r="F4791" s="261"/>
      <c r="G4791" s="261"/>
      <c r="H4791" s="261"/>
      <c r="I4791" s="261"/>
      <c r="J4791" s="261"/>
      <c r="K4791" s="261"/>
      <c r="L4791" s="261"/>
      <c r="M4791" s="261"/>
    </row>
    <row r="4792" spans="5:13">
      <c r="E4792" s="261"/>
      <c r="F4792" s="261"/>
      <c r="G4792" s="261"/>
      <c r="H4792" s="261"/>
      <c r="I4792" s="261"/>
      <c r="J4792" s="261"/>
      <c r="K4792" s="261"/>
      <c r="L4792" s="261"/>
      <c r="M4792" s="261"/>
    </row>
    <row r="4793" spans="5:13">
      <c r="E4793" s="261"/>
      <c r="F4793" s="261"/>
      <c r="G4793" s="261"/>
      <c r="H4793" s="261"/>
      <c r="I4793" s="261"/>
      <c r="J4793" s="261"/>
      <c r="K4793" s="261"/>
      <c r="L4793" s="261"/>
      <c r="M4793" s="261"/>
    </row>
    <row r="4794" spans="5:13">
      <c r="E4794" s="261"/>
      <c r="F4794" s="261"/>
      <c r="G4794" s="261"/>
      <c r="H4794" s="261"/>
      <c r="I4794" s="261"/>
      <c r="J4794" s="261"/>
      <c r="K4794" s="261"/>
      <c r="L4794" s="261"/>
      <c r="M4794" s="261"/>
    </row>
    <row r="4795" spans="5:13">
      <c r="E4795" s="261"/>
      <c r="F4795" s="261"/>
      <c r="G4795" s="261"/>
      <c r="H4795" s="261"/>
      <c r="I4795" s="261"/>
      <c r="J4795" s="261"/>
      <c r="K4795" s="261"/>
      <c r="L4795" s="261"/>
      <c r="M4795" s="261"/>
    </row>
    <row r="4796" spans="5:13">
      <c r="E4796" s="261"/>
      <c r="F4796" s="261"/>
      <c r="G4796" s="261"/>
      <c r="H4796" s="261"/>
      <c r="I4796" s="261"/>
      <c r="J4796" s="261"/>
      <c r="K4796" s="261"/>
      <c r="L4796" s="261"/>
      <c r="M4796" s="261"/>
    </row>
    <row r="4797" spans="5:13">
      <c r="E4797" s="261"/>
      <c r="F4797" s="261"/>
      <c r="G4797" s="261"/>
      <c r="H4797" s="261"/>
      <c r="I4797" s="261"/>
      <c r="J4797" s="261"/>
      <c r="K4797" s="261"/>
      <c r="L4797" s="261"/>
      <c r="M4797" s="261"/>
    </row>
    <row r="4798" spans="5:13">
      <c r="E4798" s="261"/>
      <c r="F4798" s="261"/>
      <c r="G4798" s="261"/>
      <c r="H4798" s="261"/>
      <c r="I4798" s="261"/>
      <c r="J4798" s="261"/>
      <c r="K4798" s="261"/>
      <c r="L4798" s="261"/>
      <c r="M4798" s="261"/>
    </row>
    <row r="4799" spans="5:13">
      <c r="E4799" s="261"/>
      <c r="F4799" s="261"/>
      <c r="G4799" s="261"/>
      <c r="H4799" s="261"/>
      <c r="I4799" s="261"/>
      <c r="J4799" s="261"/>
      <c r="K4799" s="261"/>
      <c r="L4799" s="261"/>
      <c r="M4799" s="261"/>
    </row>
    <row r="4800" spans="5:13">
      <c r="E4800" s="261"/>
      <c r="F4800" s="261"/>
      <c r="G4800" s="261"/>
      <c r="H4800" s="261"/>
      <c r="I4800" s="261"/>
      <c r="J4800" s="261"/>
      <c r="K4800" s="261"/>
      <c r="L4800" s="261"/>
      <c r="M4800" s="261"/>
    </row>
    <row r="4801" spans="5:13">
      <c r="E4801" s="261"/>
      <c r="F4801" s="261"/>
      <c r="G4801" s="261"/>
      <c r="H4801" s="261"/>
      <c r="I4801" s="261"/>
      <c r="J4801" s="261"/>
      <c r="K4801" s="261"/>
      <c r="L4801" s="261"/>
      <c r="M4801" s="261"/>
    </row>
    <row r="4802" spans="5:13">
      <c r="E4802" s="261"/>
      <c r="F4802" s="261"/>
      <c r="G4802" s="261"/>
      <c r="H4802" s="261"/>
      <c r="I4802" s="261"/>
      <c r="J4802" s="261"/>
      <c r="K4802" s="261"/>
      <c r="L4802" s="261"/>
      <c r="M4802" s="261"/>
    </row>
    <row r="4803" spans="5:13">
      <c r="E4803" s="261"/>
      <c r="F4803" s="261"/>
      <c r="G4803" s="261"/>
      <c r="H4803" s="261"/>
      <c r="I4803" s="261"/>
      <c r="J4803" s="261"/>
      <c r="K4803" s="261"/>
      <c r="L4803" s="261"/>
      <c r="M4803" s="261"/>
    </row>
    <row r="4804" spans="5:13">
      <c r="E4804" s="261"/>
      <c r="F4804" s="261"/>
      <c r="G4804" s="261"/>
      <c r="H4804" s="261"/>
      <c r="I4804" s="261"/>
      <c r="J4804" s="261"/>
      <c r="K4804" s="261"/>
      <c r="L4804" s="261"/>
      <c r="M4804" s="261"/>
    </row>
    <row r="4805" spans="5:13">
      <c r="E4805" s="261"/>
      <c r="F4805" s="261"/>
      <c r="G4805" s="261"/>
      <c r="H4805" s="261"/>
      <c r="I4805" s="261"/>
      <c r="J4805" s="261"/>
      <c r="K4805" s="261"/>
      <c r="L4805" s="261"/>
      <c r="M4805" s="261"/>
    </row>
    <row r="4806" spans="5:13">
      <c r="E4806" s="261"/>
      <c r="F4806" s="261"/>
      <c r="G4806" s="261"/>
      <c r="H4806" s="261"/>
      <c r="I4806" s="261"/>
      <c r="J4806" s="261"/>
      <c r="K4806" s="261"/>
      <c r="L4806" s="261"/>
      <c r="M4806" s="261"/>
    </row>
    <row r="4807" spans="5:13">
      <c r="E4807" s="261"/>
      <c r="F4807" s="261"/>
      <c r="G4807" s="261"/>
      <c r="H4807" s="261"/>
      <c r="I4807" s="261"/>
      <c r="J4807" s="261"/>
      <c r="K4807" s="261"/>
      <c r="L4807" s="261"/>
      <c r="M4807" s="261"/>
    </row>
    <row r="4808" spans="5:13">
      <c r="E4808" s="261"/>
      <c r="F4808" s="261"/>
      <c r="G4808" s="261"/>
      <c r="H4808" s="261"/>
      <c r="I4808" s="261"/>
      <c r="J4808" s="261"/>
      <c r="K4808" s="261"/>
      <c r="L4808" s="261"/>
      <c r="M4808" s="261"/>
    </row>
    <row r="4809" spans="5:13">
      <c r="E4809" s="261"/>
      <c r="F4809" s="261"/>
      <c r="G4809" s="261"/>
      <c r="H4809" s="261"/>
      <c r="I4809" s="261"/>
      <c r="J4809" s="261"/>
      <c r="K4809" s="261"/>
      <c r="L4809" s="261"/>
      <c r="M4809" s="261"/>
    </row>
    <row r="4810" spans="5:13">
      <c r="E4810" s="261"/>
      <c r="F4810" s="261"/>
      <c r="G4810" s="261"/>
      <c r="H4810" s="261"/>
      <c r="I4810" s="261"/>
      <c r="J4810" s="261"/>
      <c r="K4810" s="261"/>
      <c r="L4810" s="261"/>
      <c r="M4810" s="261"/>
    </row>
    <row r="4811" spans="5:13">
      <c r="E4811" s="261"/>
      <c r="F4811" s="261"/>
      <c r="G4811" s="261"/>
      <c r="H4811" s="261"/>
      <c r="I4811" s="261"/>
      <c r="J4811" s="261"/>
      <c r="K4811" s="261"/>
      <c r="L4811" s="261"/>
      <c r="M4811" s="261"/>
    </row>
    <row r="4812" spans="5:13">
      <c r="E4812" s="261"/>
      <c r="F4812" s="261"/>
      <c r="G4812" s="261"/>
      <c r="H4812" s="261"/>
      <c r="I4812" s="261"/>
      <c r="J4812" s="261"/>
      <c r="K4812" s="261"/>
      <c r="L4812" s="261"/>
      <c r="M4812" s="261"/>
    </row>
    <row r="4813" spans="5:13">
      <c r="E4813" s="261"/>
      <c r="F4813" s="261"/>
      <c r="G4813" s="261"/>
      <c r="H4813" s="261"/>
      <c r="I4813" s="261"/>
      <c r="J4813" s="261"/>
      <c r="K4813" s="261"/>
      <c r="L4813" s="261"/>
      <c r="M4813" s="261"/>
    </row>
    <row r="4814" spans="5:13">
      <c r="E4814" s="261"/>
      <c r="F4814" s="261"/>
      <c r="G4814" s="261"/>
      <c r="H4814" s="261"/>
      <c r="I4814" s="261"/>
      <c r="J4814" s="261"/>
      <c r="K4814" s="261"/>
      <c r="L4814" s="261"/>
      <c r="M4814" s="261"/>
    </row>
    <row r="4815" spans="5:13">
      <c r="E4815" s="261"/>
      <c r="F4815" s="261"/>
      <c r="G4815" s="261"/>
      <c r="H4815" s="261"/>
      <c r="I4815" s="261"/>
      <c r="J4815" s="261"/>
      <c r="K4815" s="261"/>
      <c r="L4815" s="261"/>
      <c r="M4815" s="261"/>
    </row>
    <row r="4816" spans="5:13">
      <c r="E4816" s="261"/>
      <c r="F4816" s="261"/>
      <c r="G4816" s="261"/>
      <c r="H4816" s="261"/>
      <c r="I4816" s="261"/>
      <c r="J4816" s="261"/>
      <c r="K4816" s="261"/>
      <c r="L4816" s="261"/>
      <c r="M4816" s="261"/>
    </row>
    <row r="4817" spans="5:13">
      <c r="E4817" s="261"/>
      <c r="F4817" s="261"/>
      <c r="G4817" s="261"/>
      <c r="H4817" s="261"/>
      <c r="I4817" s="261"/>
      <c r="J4817" s="261"/>
      <c r="K4817" s="261"/>
      <c r="L4817" s="261"/>
      <c r="M4817" s="261"/>
    </row>
    <row r="4818" spans="5:13">
      <c r="E4818" s="261"/>
      <c r="F4818" s="261"/>
      <c r="G4818" s="261"/>
      <c r="H4818" s="261"/>
      <c r="I4818" s="261"/>
      <c r="J4818" s="261"/>
      <c r="K4818" s="261"/>
      <c r="L4818" s="261"/>
      <c r="M4818" s="261"/>
    </row>
    <row r="4819" spans="5:13">
      <c r="E4819" s="261"/>
      <c r="F4819" s="261"/>
      <c r="G4819" s="261"/>
      <c r="H4819" s="261"/>
      <c r="I4819" s="261"/>
      <c r="J4819" s="261"/>
      <c r="K4819" s="261"/>
      <c r="L4819" s="261"/>
      <c r="M4819" s="261"/>
    </row>
    <row r="4820" spans="5:13">
      <c r="E4820" s="261"/>
      <c r="F4820" s="261"/>
      <c r="G4820" s="261"/>
      <c r="H4820" s="261"/>
      <c r="I4820" s="261"/>
      <c r="J4820" s="261"/>
      <c r="K4820" s="261"/>
      <c r="L4820" s="261"/>
      <c r="M4820" s="261"/>
    </row>
    <row r="4821" spans="5:13">
      <c r="E4821" s="261"/>
      <c r="F4821" s="261"/>
      <c r="G4821" s="261"/>
      <c r="H4821" s="261"/>
      <c r="I4821" s="261"/>
      <c r="J4821" s="261"/>
      <c r="K4821" s="261"/>
      <c r="L4821" s="261"/>
      <c r="M4821" s="261"/>
    </row>
    <row r="4822" spans="5:13">
      <c r="E4822" s="261"/>
      <c r="F4822" s="261"/>
      <c r="G4822" s="261"/>
      <c r="H4822" s="261"/>
      <c r="I4822" s="261"/>
      <c r="J4822" s="261"/>
      <c r="K4822" s="261"/>
      <c r="L4822" s="261"/>
      <c r="M4822" s="261"/>
    </row>
    <row r="4823" spans="5:13">
      <c r="E4823" s="261"/>
      <c r="F4823" s="261"/>
      <c r="G4823" s="261"/>
      <c r="H4823" s="261"/>
      <c r="I4823" s="261"/>
      <c r="J4823" s="261"/>
      <c r="K4823" s="261"/>
      <c r="L4823" s="261"/>
      <c r="M4823" s="261"/>
    </row>
    <row r="4824" spans="5:13">
      <c r="E4824" s="261"/>
      <c r="F4824" s="261"/>
      <c r="G4824" s="261"/>
      <c r="H4824" s="261"/>
      <c r="I4824" s="261"/>
      <c r="J4824" s="261"/>
      <c r="K4824" s="261"/>
      <c r="L4824" s="261"/>
      <c r="M4824" s="261"/>
    </row>
    <row r="4825" spans="5:13">
      <c r="E4825" s="261"/>
      <c r="F4825" s="261"/>
      <c r="G4825" s="261"/>
      <c r="H4825" s="261"/>
      <c r="I4825" s="261"/>
      <c r="J4825" s="261"/>
      <c r="K4825" s="261"/>
      <c r="L4825" s="261"/>
      <c r="M4825" s="261"/>
    </row>
    <row r="4826" spans="5:13">
      <c r="E4826" s="261"/>
      <c r="F4826" s="261"/>
      <c r="G4826" s="261"/>
      <c r="H4826" s="261"/>
      <c r="I4826" s="261"/>
      <c r="J4826" s="261"/>
      <c r="K4826" s="261"/>
      <c r="L4826" s="261"/>
      <c r="M4826" s="261"/>
    </row>
    <row r="4827" spans="5:13">
      <c r="E4827" s="261"/>
      <c r="F4827" s="261"/>
      <c r="G4827" s="261"/>
      <c r="H4827" s="261"/>
      <c r="I4827" s="261"/>
      <c r="J4827" s="261"/>
      <c r="K4827" s="261"/>
      <c r="L4827" s="261"/>
      <c r="M4827" s="261"/>
    </row>
    <row r="4828" spans="5:13">
      <c r="E4828" s="261"/>
      <c r="F4828" s="261"/>
      <c r="G4828" s="261"/>
      <c r="H4828" s="261"/>
      <c r="I4828" s="261"/>
      <c r="J4828" s="261"/>
      <c r="K4828" s="261"/>
      <c r="L4828" s="261"/>
      <c r="M4828" s="261"/>
    </row>
    <row r="4829" spans="5:13">
      <c r="E4829" s="261"/>
      <c r="F4829" s="261"/>
      <c r="G4829" s="261"/>
      <c r="H4829" s="261"/>
      <c r="I4829" s="261"/>
      <c r="J4829" s="261"/>
      <c r="K4829" s="261"/>
      <c r="L4829" s="261"/>
      <c r="M4829" s="261"/>
    </row>
    <row r="4830" spans="5:13">
      <c r="E4830" s="261"/>
      <c r="F4830" s="261"/>
      <c r="G4830" s="261"/>
      <c r="H4830" s="261"/>
      <c r="I4830" s="261"/>
      <c r="J4830" s="261"/>
      <c r="K4830" s="261"/>
      <c r="L4830" s="261"/>
      <c r="M4830" s="261"/>
    </row>
    <row r="4831" spans="5:13">
      <c r="E4831" s="261"/>
      <c r="F4831" s="261"/>
      <c r="G4831" s="261"/>
      <c r="H4831" s="261"/>
      <c r="I4831" s="261"/>
      <c r="J4831" s="261"/>
      <c r="K4831" s="261"/>
      <c r="L4831" s="261"/>
      <c r="M4831" s="261"/>
    </row>
    <row r="4832" spans="5:13">
      <c r="E4832" s="261"/>
      <c r="F4832" s="261"/>
      <c r="G4832" s="261"/>
      <c r="H4832" s="261"/>
      <c r="I4832" s="261"/>
      <c r="J4832" s="261"/>
      <c r="K4832" s="261"/>
      <c r="L4832" s="261"/>
      <c r="M4832" s="261"/>
    </row>
    <row r="4833" spans="5:13">
      <c r="E4833" s="261"/>
      <c r="F4833" s="261"/>
      <c r="G4833" s="261"/>
      <c r="H4833" s="261"/>
      <c r="I4833" s="261"/>
      <c r="J4833" s="261"/>
      <c r="K4833" s="261"/>
      <c r="L4833" s="261"/>
      <c r="M4833" s="261"/>
    </row>
    <row r="4834" spans="5:13">
      <c r="E4834" s="261"/>
      <c r="F4834" s="261"/>
      <c r="G4834" s="261"/>
      <c r="H4834" s="261"/>
      <c r="I4834" s="261"/>
      <c r="J4834" s="261"/>
      <c r="K4834" s="261"/>
      <c r="L4834" s="261"/>
      <c r="M4834" s="261"/>
    </row>
    <row r="4835" spans="5:13">
      <c r="E4835" s="261"/>
      <c r="F4835" s="261"/>
      <c r="G4835" s="261"/>
      <c r="H4835" s="261"/>
      <c r="I4835" s="261"/>
      <c r="J4835" s="261"/>
      <c r="K4835" s="261"/>
      <c r="L4835" s="261"/>
      <c r="M4835" s="261"/>
    </row>
    <row r="4836" spans="5:13">
      <c r="E4836" s="261"/>
      <c r="F4836" s="261"/>
      <c r="G4836" s="261"/>
      <c r="H4836" s="261"/>
      <c r="I4836" s="261"/>
      <c r="J4836" s="261"/>
      <c r="K4836" s="261"/>
      <c r="L4836" s="261"/>
      <c r="M4836" s="261"/>
    </row>
    <row r="4837" spans="5:13">
      <c r="E4837" s="261"/>
      <c r="F4837" s="261"/>
      <c r="G4837" s="261"/>
      <c r="H4837" s="261"/>
      <c r="I4837" s="261"/>
      <c r="J4837" s="261"/>
      <c r="K4837" s="261"/>
      <c r="L4837" s="261"/>
      <c r="M4837" s="261"/>
    </row>
    <row r="4838" spans="5:13">
      <c r="E4838" s="261"/>
      <c r="F4838" s="261"/>
      <c r="G4838" s="261"/>
      <c r="H4838" s="261"/>
      <c r="I4838" s="261"/>
      <c r="J4838" s="261"/>
      <c r="K4838" s="261"/>
      <c r="L4838" s="261"/>
      <c r="M4838" s="261"/>
    </row>
    <row r="4839" spans="5:13">
      <c r="E4839" s="261"/>
      <c r="F4839" s="261"/>
      <c r="G4839" s="261"/>
      <c r="H4839" s="261"/>
      <c r="I4839" s="261"/>
      <c r="J4839" s="261"/>
      <c r="K4839" s="261"/>
      <c r="L4839" s="261"/>
      <c r="M4839" s="261"/>
    </row>
    <row r="4840" spans="5:13">
      <c r="E4840" s="261"/>
      <c r="F4840" s="261"/>
      <c r="G4840" s="261"/>
      <c r="H4840" s="261"/>
      <c r="I4840" s="261"/>
      <c r="J4840" s="261"/>
      <c r="K4840" s="261"/>
      <c r="L4840" s="261"/>
      <c r="M4840" s="261"/>
    </row>
    <row r="4841" spans="5:13">
      <c r="E4841" s="261"/>
      <c r="F4841" s="261"/>
      <c r="G4841" s="261"/>
      <c r="H4841" s="261"/>
      <c r="I4841" s="261"/>
      <c r="J4841" s="261"/>
      <c r="K4841" s="261"/>
      <c r="L4841" s="261"/>
      <c r="M4841" s="261"/>
    </row>
    <row r="4842" spans="5:13">
      <c r="E4842" s="261"/>
      <c r="F4842" s="261"/>
      <c r="G4842" s="261"/>
      <c r="H4842" s="261"/>
      <c r="I4842" s="261"/>
      <c r="J4842" s="261"/>
      <c r="K4842" s="261"/>
      <c r="L4842" s="261"/>
      <c r="M4842" s="261"/>
    </row>
    <row r="4843" spans="5:13">
      <c r="E4843" s="261"/>
      <c r="F4843" s="261"/>
      <c r="G4843" s="261"/>
      <c r="H4843" s="261"/>
      <c r="I4843" s="261"/>
      <c r="J4843" s="261"/>
      <c r="K4843" s="261"/>
      <c r="L4843" s="261"/>
      <c r="M4843" s="261"/>
    </row>
    <row r="4844" spans="5:13">
      <c r="E4844" s="261"/>
      <c r="F4844" s="261"/>
      <c r="G4844" s="261"/>
      <c r="H4844" s="261"/>
      <c r="I4844" s="261"/>
      <c r="J4844" s="261"/>
      <c r="K4844" s="261"/>
      <c r="L4844" s="261"/>
      <c r="M4844" s="261"/>
    </row>
    <row r="4845" spans="5:13">
      <c r="E4845" s="261"/>
      <c r="F4845" s="261"/>
      <c r="G4845" s="261"/>
      <c r="H4845" s="261"/>
      <c r="I4845" s="261"/>
      <c r="J4845" s="261"/>
      <c r="K4845" s="261"/>
      <c r="L4845" s="261"/>
      <c r="M4845" s="261"/>
    </row>
    <row r="4846" spans="5:13">
      <c r="E4846" s="261"/>
      <c r="F4846" s="261"/>
      <c r="G4846" s="261"/>
      <c r="H4846" s="261"/>
      <c r="I4846" s="261"/>
      <c r="J4846" s="261"/>
      <c r="K4846" s="261"/>
      <c r="L4846" s="261"/>
      <c r="M4846" s="261"/>
    </row>
    <row r="4847" spans="5:13">
      <c r="E4847" s="261"/>
      <c r="F4847" s="261"/>
      <c r="G4847" s="261"/>
      <c r="H4847" s="261"/>
      <c r="I4847" s="261"/>
      <c r="J4847" s="261"/>
      <c r="K4847" s="261"/>
      <c r="L4847" s="261"/>
      <c r="M4847" s="261"/>
    </row>
    <row r="4848" spans="5:13">
      <c r="E4848" s="261"/>
      <c r="F4848" s="261"/>
      <c r="G4848" s="261"/>
      <c r="H4848" s="261"/>
      <c r="I4848" s="261"/>
      <c r="J4848" s="261"/>
      <c r="K4848" s="261"/>
      <c r="L4848" s="261"/>
      <c r="M4848" s="261"/>
    </row>
    <row r="4849" spans="5:13">
      <c r="E4849" s="261"/>
      <c r="F4849" s="261"/>
      <c r="G4849" s="261"/>
      <c r="H4849" s="261"/>
      <c r="I4849" s="261"/>
      <c r="J4849" s="261"/>
      <c r="K4849" s="261"/>
      <c r="L4849" s="261"/>
      <c r="M4849" s="261"/>
    </row>
    <row r="4850" spans="5:13">
      <c r="E4850" s="261"/>
      <c r="F4850" s="261"/>
      <c r="G4850" s="261"/>
      <c r="H4850" s="261"/>
      <c r="I4850" s="261"/>
      <c r="J4850" s="261"/>
      <c r="K4850" s="261"/>
      <c r="L4850" s="261"/>
      <c r="M4850" s="261"/>
    </row>
    <row r="4851" spans="5:13">
      <c r="E4851" s="261"/>
      <c r="F4851" s="261"/>
      <c r="G4851" s="261"/>
      <c r="H4851" s="261"/>
      <c r="I4851" s="261"/>
      <c r="J4851" s="261"/>
      <c r="K4851" s="261"/>
      <c r="L4851" s="261"/>
      <c r="M4851" s="261"/>
    </row>
    <row r="4852" spans="5:13">
      <c r="E4852" s="261"/>
      <c r="F4852" s="261"/>
      <c r="G4852" s="261"/>
      <c r="H4852" s="261"/>
      <c r="I4852" s="261"/>
      <c r="J4852" s="261"/>
      <c r="K4852" s="261"/>
      <c r="L4852" s="261"/>
      <c r="M4852" s="261"/>
    </row>
    <row r="4853" spans="5:13">
      <c r="E4853" s="261"/>
      <c r="F4853" s="261"/>
      <c r="G4853" s="261"/>
      <c r="H4853" s="261"/>
      <c r="I4853" s="261"/>
      <c r="J4853" s="261"/>
      <c r="K4853" s="261"/>
      <c r="L4853" s="261"/>
      <c r="M4853" s="261"/>
    </row>
    <row r="4854" spans="5:13">
      <c r="E4854" s="261"/>
      <c r="F4854" s="261"/>
      <c r="G4854" s="261"/>
      <c r="H4854" s="261"/>
      <c r="I4854" s="261"/>
      <c r="J4854" s="261"/>
      <c r="K4854" s="261"/>
      <c r="L4854" s="261"/>
      <c r="M4854" s="261"/>
    </row>
    <row r="4855" spans="5:13">
      <c r="E4855" s="261"/>
      <c r="F4855" s="261"/>
      <c r="G4855" s="261"/>
      <c r="H4855" s="261"/>
      <c r="I4855" s="261"/>
      <c r="J4855" s="261"/>
      <c r="K4855" s="261"/>
      <c r="L4855" s="261"/>
      <c r="M4855" s="261"/>
    </row>
    <row r="4856" spans="5:13">
      <c r="E4856" s="261"/>
      <c r="F4856" s="261"/>
      <c r="G4856" s="261"/>
      <c r="H4856" s="261"/>
      <c r="I4856" s="261"/>
      <c r="J4856" s="261"/>
      <c r="K4856" s="261"/>
      <c r="L4856" s="261"/>
      <c r="M4856" s="261"/>
    </row>
    <row r="4857" spans="5:13">
      <c r="E4857" s="261"/>
      <c r="F4857" s="261"/>
      <c r="G4857" s="261"/>
      <c r="H4857" s="261"/>
      <c r="I4857" s="261"/>
      <c r="J4857" s="261"/>
      <c r="K4857" s="261"/>
      <c r="L4857" s="261"/>
      <c r="M4857" s="261"/>
    </row>
    <row r="4858" spans="5:13">
      <c r="E4858" s="261"/>
      <c r="F4858" s="261"/>
      <c r="G4858" s="261"/>
      <c r="H4858" s="261"/>
      <c r="I4858" s="261"/>
      <c r="J4858" s="261"/>
      <c r="K4858" s="261"/>
      <c r="L4858" s="261"/>
      <c r="M4858" s="261"/>
    </row>
    <row r="4859" spans="5:13">
      <c r="E4859" s="261"/>
      <c r="F4859" s="261"/>
      <c r="G4859" s="261"/>
      <c r="H4859" s="261"/>
      <c r="I4859" s="261"/>
      <c r="J4859" s="261"/>
      <c r="K4859" s="261"/>
      <c r="L4859" s="261"/>
      <c r="M4859" s="261"/>
    </row>
    <row r="4860" spans="5:13">
      <c r="E4860" s="261"/>
      <c r="F4860" s="261"/>
      <c r="G4860" s="261"/>
      <c r="H4860" s="261"/>
      <c r="I4860" s="261"/>
      <c r="J4860" s="261"/>
      <c r="K4860" s="261"/>
      <c r="L4860" s="261"/>
      <c r="M4860" s="261"/>
    </row>
    <row r="4861" spans="5:13">
      <c r="E4861" s="261"/>
      <c r="F4861" s="261"/>
      <c r="G4861" s="261"/>
      <c r="H4861" s="261"/>
      <c r="I4861" s="261"/>
      <c r="J4861" s="261"/>
      <c r="K4861" s="261"/>
      <c r="L4861" s="261"/>
      <c r="M4861" s="261"/>
    </row>
    <row r="4862" spans="5:13">
      <c r="E4862" s="261"/>
      <c r="F4862" s="261"/>
      <c r="G4862" s="261"/>
      <c r="H4862" s="261"/>
      <c r="I4862" s="261"/>
      <c r="J4862" s="261"/>
      <c r="K4862" s="261"/>
      <c r="L4862" s="261"/>
      <c r="M4862" s="261"/>
    </row>
    <row r="4863" spans="5:13">
      <c r="E4863" s="261"/>
      <c r="F4863" s="261"/>
      <c r="G4863" s="261"/>
      <c r="H4863" s="261"/>
      <c r="I4863" s="261"/>
      <c r="J4863" s="261"/>
      <c r="K4863" s="261"/>
      <c r="L4863" s="261"/>
      <c r="M4863" s="261"/>
    </row>
    <row r="4864" spans="5:13">
      <c r="E4864" s="261"/>
      <c r="F4864" s="261"/>
      <c r="G4864" s="261"/>
      <c r="H4864" s="261"/>
      <c r="I4864" s="261"/>
      <c r="J4864" s="261"/>
      <c r="K4864" s="261"/>
      <c r="L4864" s="261"/>
      <c r="M4864" s="261"/>
    </row>
    <row r="4865" spans="5:13">
      <c r="E4865" s="261"/>
      <c r="F4865" s="261"/>
      <c r="G4865" s="261"/>
      <c r="H4865" s="261"/>
      <c r="I4865" s="261"/>
      <c r="J4865" s="261"/>
      <c r="K4865" s="261"/>
      <c r="L4865" s="261"/>
      <c r="M4865" s="261"/>
    </row>
    <row r="4866" spans="5:13">
      <c r="E4866" s="261"/>
      <c r="F4866" s="261"/>
      <c r="G4866" s="261"/>
      <c r="H4866" s="261"/>
      <c r="I4866" s="261"/>
      <c r="J4866" s="261"/>
      <c r="K4866" s="261"/>
      <c r="L4866" s="261"/>
      <c r="M4866" s="261"/>
    </row>
    <row r="4867" spans="5:13">
      <c r="E4867" s="261"/>
      <c r="F4867" s="261"/>
      <c r="G4867" s="261"/>
      <c r="H4867" s="261"/>
      <c r="I4867" s="261"/>
      <c r="J4867" s="261"/>
      <c r="K4867" s="261"/>
      <c r="L4867" s="261"/>
      <c r="M4867" s="261"/>
    </row>
    <row r="4868" spans="5:13">
      <c r="E4868" s="261"/>
      <c r="F4868" s="261"/>
      <c r="G4868" s="261"/>
      <c r="H4868" s="261"/>
      <c r="I4868" s="261"/>
      <c r="J4868" s="261"/>
      <c r="K4868" s="261"/>
      <c r="L4868" s="261"/>
      <c r="M4868" s="261"/>
    </row>
    <row r="4869" spans="5:13">
      <c r="E4869" s="261"/>
      <c r="F4869" s="261"/>
      <c r="G4869" s="261"/>
      <c r="H4869" s="261"/>
      <c r="I4869" s="261"/>
      <c r="J4869" s="261"/>
      <c r="K4869" s="261"/>
      <c r="L4869" s="261"/>
      <c r="M4869" s="261"/>
    </row>
    <row r="4870" spans="5:13">
      <c r="E4870" s="261"/>
      <c r="F4870" s="261"/>
      <c r="G4870" s="261"/>
      <c r="H4870" s="261"/>
      <c r="I4870" s="261"/>
      <c r="J4870" s="261"/>
      <c r="K4870" s="261"/>
      <c r="L4870" s="261"/>
      <c r="M4870" s="261"/>
    </row>
    <row r="4871" spans="5:13">
      <c r="E4871" s="261"/>
      <c r="F4871" s="261"/>
      <c r="G4871" s="261"/>
      <c r="H4871" s="261"/>
      <c r="I4871" s="261"/>
      <c r="J4871" s="261"/>
      <c r="K4871" s="261"/>
      <c r="L4871" s="261"/>
      <c r="M4871" s="261"/>
    </row>
    <row r="4872" spans="5:13">
      <c r="E4872" s="261"/>
      <c r="F4872" s="261"/>
      <c r="G4872" s="261"/>
      <c r="H4872" s="261"/>
      <c r="I4872" s="261"/>
      <c r="J4872" s="261"/>
      <c r="K4872" s="261"/>
      <c r="L4872" s="261"/>
      <c r="M4872" s="261"/>
    </row>
    <row r="4873" spans="5:13">
      <c r="E4873" s="261"/>
      <c r="F4873" s="261"/>
      <c r="G4873" s="261"/>
      <c r="H4873" s="261"/>
      <c r="I4873" s="261"/>
      <c r="J4873" s="261"/>
      <c r="K4873" s="261"/>
      <c r="L4873" s="261"/>
      <c r="M4873" s="261"/>
    </row>
    <row r="4874" spans="5:13">
      <c r="E4874" s="261"/>
      <c r="F4874" s="261"/>
      <c r="G4874" s="261"/>
      <c r="H4874" s="261"/>
      <c r="I4874" s="261"/>
      <c r="J4874" s="261"/>
      <c r="K4874" s="261"/>
      <c r="L4874" s="261"/>
      <c r="M4874" s="261"/>
    </row>
    <row r="4875" spans="5:13">
      <c r="E4875" s="261"/>
      <c r="F4875" s="261"/>
      <c r="G4875" s="261"/>
      <c r="H4875" s="261"/>
      <c r="I4875" s="261"/>
      <c r="J4875" s="261"/>
      <c r="K4875" s="261"/>
      <c r="L4875" s="261"/>
      <c r="M4875" s="261"/>
    </row>
    <row r="4876" spans="5:13">
      <c r="E4876" s="261"/>
      <c r="F4876" s="261"/>
      <c r="G4876" s="261"/>
      <c r="H4876" s="261"/>
      <c r="I4876" s="261"/>
      <c r="J4876" s="261"/>
      <c r="K4876" s="261"/>
      <c r="L4876" s="261"/>
      <c r="M4876" s="261"/>
    </row>
    <row r="4877" spans="5:13">
      <c r="E4877" s="261"/>
      <c r="F4877" s="261"/>
      <c r="G4877" s="261"/>
      <c r="H4877" s="261"/>
      <c r="I4877" s="261"/>
      <c r="J4877" s="261"/>
      <c r="K4877" s="261"/>
      <c r="L4877" s="261"/>
      <c r="M4877" s="261"/>
    </row>
    <row r="4878" spans="5:13">
      <c r="E4878" s="261"/>
      <c r="F4878" s="261"/>
      <c r="G4878" s="261"/>
      <c r="H4878" s="261"/>
      <c r="I4878" s="261"/>
      <c r="J4878" s="261"/>
      <c r="K4878" s="261"/>
      <c r="L4878" s="261"/>
      <c r="M4878" s="261"/>
    </row>
    <row r="4879" spans="5:13">
      <c r="E4879" s="261"/>
      <c r="F4879" s="261"/>
      <c r="G4879" s="261"/>
      <c r="H4879" s="261"/>
      <c r="I4879" s="261"/>
      <c r="J4879" s="261"/>
      <c r="K4879" s="261"/>
      <c r="L4879" s="261"/>
      <c r="M4879" s="261"/>
    </row>
    <row r="4880" spans="5:13">
      <c r="E4880" s="261"/>
      <c r="F4880" s="261"/>
      <c r="G4880" s="261"/>
      <c r="H4880" s="261"/>
      <c r="I4880" s="261"/>
      <c r="J4880" s="261"/>
      <c r="K4880" s="261"/>
      <c r="L4880" s="261"/>
      <c r="M4880" s="261"/>
    </row>
    <row r="4881" spans="5:13">
      <c r="E4881" s="261"/>
      <c r="F4881" s="261"/>
      <c r="G4881" s="261"/>
      <c r="H4881" s="261"/>
      <c r="I4881" s="261"/>
      <c r="J4881" s="261"/>
      <c r="K4881" s="261"/>
      <c r="L4881" s="261"/>
      <c r="M4881" s="261"/>
    </row>
    <row r="4882" spans="5:13">
      <c r="E4882" s="261"/>
      <c r="F4882" s="261"/>
      <c r="G4882" s="261"/>
      <c r="H4882" s="261"/>
      <c r="I4882" s="261"/>
      <c r="J4882" s="261"/>
      <c r="K4882" s="261"/>
      <c r="L4882" s="261"/>
      <c r="M4882" s="261"/>
    </row>
    <row r="4883" spans="5:13">
      <c r="E4883" s="261"/>
      <c r="F4883" s="261"/>
      <c r="G4883" s="261"/>
      <c r="H4883" s="261"/>
      <c r="I4883" s="261"/>
      <c r="J4883" s="261"/>
      <c r="K4883" s="261"/>
      <c r="L4883" s="261"/>
      <c r="M4883" s="261"/>
    </row>
    <row r="4884" spans="5:13">
      <c r="E4884" s="261"/>
      <c r="F4884" s="261"/>
      <c r="G4884" s="261"/>
      <c r="H4884" s="261"/>
      <c r="I4884" s="261"/>
      <c r="J4884" s="261"/>
      <c r="K4884" s="261"/>
      <c r="L4884" s="261"/>
      <c r="M4884" s="261"/>
    </row>
    <row r="4885" spans="5:13">
      <c r="E4885" s="261"/>
      <c r="F4885" s="261"/>
      <c r="G4885" s="261"/>
      <c r="H4885" s="261"/>
      <c r="I4885" s="261"/>
      <c r="J4885" s="261"/>
      <c r="K4885" s="261"/>
      <c r="L4885" s="261"/>
      <c r="M4885" s="261"/>
    </row>
    <row r="4886" spans="5:13">
      <c r="E4886" s="261"/>
      <c r="F4886" s="261"/>
      <c r="G4886" s="261"/>
      <c r="H4886" s="261"/>
      <c r="I4886" s="261"/>
      <c r="J4886" s="261"/>
      <c r="K4886" s="261"/>
      <c r="L4886" s="261"/>
      <c r="M4886" s="261"/>
    </row>
    <row r="4887" spans="5:13">
      <c r="E4887" s="261"/>
      <c r="F4887" s="261"/>
      <c r="G4887" s="261"/>
      <c r="H4887" s="261"/>
      <c r="I4887" s="261"/>
      <c r="J4887" s="261"/>
      <c r="K4887" s="261"/>
      <c r="L4887" s="261"/>
      <c r="M4887" s="261"/>
    </row>
    <row r="4888" spans="5:13">
      <c r="E4888" s="261"/>
      <c r="F4888" s="261"/>
      <c r="G4888" s="261"/>
      <c r="H4888" s="261"/>
      <c r="I4888" s="261"/>
      <c r="J4888" s="261"/>
      <c r="K4888" s="261"/>
      <c r="L4888" s="261"/>
      <c r="M4888" s="261"/>
    </row>
    <row r="4889" spans="5:13">
      <c r="E4889" s="261"/>
      <c r="F4889" s="261"/>
      <c r="G4889" s="261"/>
      <c r="H4889" s="261"/>
      <c r="I4889" s="261"/>
      <c r="J4889" s="261"/>
      <c r="K4889" s="261"/>
      <c r="L4889" s="261"/>
      <c r="M4889" s="261"/>
    </row>
    <row r="4890" spans="5:13">
      <c r="E4890" s="261"/>
      <c r="F4890" s="261"/>
      <c r="G4890" s="261"/>
      <c r="H4890" s="261"/>
      <c r="I4890" s="261"/>
      <c r="J4890" s="261"/>
      <c r="K4890" s="261"/>
      <c r="L4890" s="261"/>
      <c r="M4890" s="261"/>
    </row>
    <row r="4891" spans="5:13">
      <c r="E4891" s="261"/>
      <c r="F4891" s="261"/>
      <c r="G4891" s="261"/>
      <c r="H4891" s="261"/>
      <c r="I4891" s="261"/>
      <c r="J4891" s="261"/>
      <c r="K4891" s="261"/>
      <c r="L4891" s="261"/>
      <c r="M4891" s="261"/>
    </row>
    <row r="4892" spans="5:13">
      <c r="E4892" s="261"/>
      <c r="F4892" s="261"/>
      <c r="G4892" s="261"/>
      <c r="H4892" s="261"/>
      <c r="I4892" s="261"/>
      <c r="J4892" s="261"/>
      <c r="K4892" s="261"/>
      <c r="L4892" s="261"/>
      <c r="M4892" s="261"/>
    </row>
    <row r="4893" spans="5:13">
      <c r="E4893" s="261"/>
      <c r="F4893" s="261"/>
      <c r="G4893" s="261"/>
      <c r="H4893" s="261"/>
      <c r="I4893" s="261"/>
      <c r="J4893" s="261"/>
      <c r="K4893" s="261"/>
      <c r="L4893" s="261"/>
      <c r="M4893" s="261"/>
    </row>
    <row r="4894" spans="5:13">
      <c r="E4894" s="261"/>
      <c r="F4894" s="261"/>
      <c r="G4894" s="261"/>
      <c r="H4894" s="261"/>
      <c r="I4894" s="261"/>
      <c r="J4894" s="261"/>
      <c r="K4894" s="261"/>
      <c r="L4894" s="261"/>
      <c r="M4894" s="261"/>
    </row>
    <row r="4895" spans="5:13">
      <c r="E4895" s="261"/>
      <c r="F4895" s="261"/>
      <c r="G4895" s="261"/>
      <c r="H4895" s="261"/>
      <c r="I4895" s="261"/>
      <c r="J4895" s="261"/>
      <c r="K4895" s="261"/>
      <c r="L4895" s="261"/>
      <c r="M4895" s="261"/>
    </row>
    <row r="4896" spans="5:13">
      <c r="E4896" s="261"/>
      <c r="F4896" s="261"/>
      <c r="G4896" s="261"/>
      <c r="H4896" s="261"/>
      <c r="I4896" s="261"/>
      <c r="J4896" s="261"/>
      <c r="K4896" s="261"/>
      <c r="L4896" s="261"/>
      <c r="M4896" s="261"/>
    </row>
    <row r="4897" spans="5:13">
      <c r="E4897" s="261"/>
      <c r="F4897" s="261"/>
      <c r="G4897" s="261"/>
      <c r="H4897" s="261"/>
      <c r="I4897" s="261"/>
      <c r="J4897" s="261"/>
      <c r="K4897" s="261"/>
      <c r="L4897" s="261"/>
      <c r="M4897" s="261"/>
    </row>
    <row r="4898" spans="5:13">
      <c r="E4898" s="261"/>
      <c r="F4898" s="261"/>
      <c r="G4898" s="261"/>
      <c r="H4898" s="261"/>
      <c r="I4898" s="261"/>
      <c r="J4898" s="261"/>
      <c r="K4898" s="261"/>
      <c r="L4898" s="261"/>
      <c r="M4898" s="261"/>
    </row>
    <row r="4899" spans="5:13">
      <c r="E4899" s="261"/>
      <c r="F4899" s="261"/>
      <c r="G4899" s="261"/>
      <c r="H4899" s="261"/>
      <c r="I4899" s="261"/>
      <c r="J4899" s="261"/>
      <c r="K4899" s="261"/>
      <c r="L4899" s="261"/>
      <c r="M4899" s="261"/>
    </row>
    <row r="4900" spans="5:13">
      <c r="E4900" s="261"/>
      <c r="F4900" s="261"/>
      <c r="G4900" s="261"/>
      <c r="H4900" s="261"/>
      <c r="I4900" s="261"/>
      <c r="J4900" s="261"/>
      <c r="K4900" s="261"/>
      <c r="L4900" s="261"/>
      <c r="M4900" s="261"/>
    </row>
    <row r="4901" spans="5:13">
      <c r="E4901" s="261"/>
      <c r="F4901" s="261"/>
      <c r="G4901" s="261"/>
      <c r="H4901" s="261"/>
      <c r="I4901" s="261"/>
      <c r="J4901" s="261"/>
      <c r="K4901" s="261"/>
      <c r="L4901" s="261"/>
      <c r="M4901" s="261"/>
    </row>
    <row r="4902" spans="5:13">
      <c r="E4902" s="261"/>
      <c r="F4902" s="261"/>
      <c r="G4902" s="261"/>
      <c r="H4902" s="261"/>
      <c r="I4902" s="261"/>
      <c r="J4902" s="261"/>
      <c r="K4902" s="261"/>
      <c r="L4902" s="261"/>
      <c r="M4902" s="261"/>
    </row>
    <row r="4903" spans="5:13">
      <c r="E4903" s="261"/>
      <c r="F4903" s="261"/>
      <c r="G4903" s="261"/>
      <c r="H4903" s="261"/>
      <c r="I4903" s="261"/>
      <c r="J4903" s="261"/>
      <c r="K4903" s="261"/>
      <c r="L4903" s="261"/>
      <c r="M4903" s="261"/>
    </row>
    <row r="4904" spans="5:13">
      <c r="E4904" s="261"/>
      <c r="F4904" s="261"/>
      <c r="G4904" s="261"/>
      <c r="H4904" s="261"/>
      <c r="I4904" s="261"/>
      <c r="J4904" s="261"/>
      <c r="K4904" s="261"/>
      <c r="L4904" s="261"/>
      <c r="M4904" s="261"/>
    </row>
    <row r="4905" spans="5:13">
      <c r="E4905" s="261"/>
      <c r="F4905" s="261"/>
      <c r="G4905" s="261"/>
      <c r="H4905" s="261"/>
      <c r="I4905" s="261"/>
      <c r="J4905" s="261"/>
      <c r="K4905" s="261"/>
      <c r="L4905" s="261"/>
      <c r="M4905" s="261"/>
    </row>
    <row r="4906" spans="5:13">
      <c r="E4906" s="261"/>
      <c r="F4906" s="261"/>
      <c r="G4906" s="261"/>
      <c r="H4906" s="261"/>
      <c r="I4906" s="261"/>
      <c r="J4906" s="261"/>
      <c r="K4906" s="261"/>
      <c r="L4906" s="261"/>
      <c r="M4906" s="261"/>
    </row>
    <row r="4907" spans="5:13">
      <c r="E4907" s="261"/>
      <c r="F4907" s="261"/>
      <c r="G4907" s="261"/>
      <c r="H4907" s="261"/>
      <c r="I4907" s="261"/>
      <c r="J4907" s="261"/>
      <c r="K4907" s="261"/>
      <c r="L4907" s="261"/>
      <c r="M4907" s="261"/>
    </row>
    <row r="4908" spans="5:13">
      <c r="E4908" s="261"/>
      <c r="F4908" s="261"/>
      <c r="G4908" s="261"/>
      <c r="H4908" s="261"/>
      <c r="I4908" s="261"/>
      <c r="J4908" s="261"/>
      <c r="K4908" s="261"/>
      <c r="L4908" s="261"/>
      <c r="M4908" s="261"/>
    </row>
    <row r="4909" spans="5:13">
      <c r="E4909" s="261"/>
      <c r="F4909" s="261"/>
      <c r="G4909" s="261"/>
      <c r="H4909" s="261"/>
      <c r="I4909" s="261"/>
      <c r="J4909" s="261"/>
      <c r="K4909" s="261"/>
      <c r="L4909" s="261"/>
      <c r="M4909" s="261"/>
    </row>
    <row r="4910" spans="5:13">
      <c r="E4910" s="261"/>
      <c r="F4910" s="261"/>
      <c r="G4910" s="261"/>
      <c r="H4910" s="261"/>
      <c r="I4910" s="261"/>
      <c r="J4910" s="261"/>
      <c r="K4910" s="261"/>
      <c r="L4910" s="261"/>
      <c r="M4910" s="261"/>
    </row>
    <row r="4911" spans="5:13">
      <c r="E4911" s="261"/>
      <c r="F4911" s="261"/>
      <c r="G4911" s="261"/>
      <c r="H4911" s="261"/>
      <c r="I4911" s="261"/>
      <c r="J4911" s="261"/>
      <c r="K4911" s="261"/>
      <c r="L4911" s="261"/>
      <c r="M4911" s="261"/>
    </row>
    <row r="4912" spans="5:13">
      <c r="E4912" s="261"/>
      <c r="F4912" s="261"/>
      <c r="G4912" s="261"/>
      <c r="H4912" s="261"/>
      <c r="I4912" s="261"/>
      <c r="J4912" s="261"/>
      <c r="K4912" s="261"/>
      <c r="L4912" s="261"/>
      <c r="M4912" s="261"/>
    </row>
    <row r="4913" spans="5:13">
      <c r="E4913" s="261"/>
      <c r="F4913" s="261"/>
      <c r="G4913" s="261"/>
      <c r="H4913" s="261"/>
      <c r="I4913" s="261"/>
      <c r="J4913" s="261"/>
      <c r="K4913" s="261"/>
      <c r="L4913" s="261"/>
      <c r="M4913" s="261"/>
    </row>
    <row r="4914" spans="5:13">
      <c r="E4914" s="261"/>
      <c r="F4914" s="261"/>
      <c r="G4914" s="261"/>
      <c r="H4914" s="261"/>
      <c r="I4914" s="261"/>
      <c r="J4914" s="261"/>
      <c r="K4914" s="261"/>
      <c r="L4914" s="261"/>
      <c r="M4914" s="261"/>
    </row>
    <row r="4915" spans="5:13">
      <c r="E4915" s="261"/>
      <c r="F4915" s="261"/>
      <c r="G4915" s="261"/>
      <c r="H4915" s="261"/>
      <c r="I4915" s="261"/>
      <c r="J4915" s="261"/>
      <c r="K4915" s="261"/>
      <c r="L4915" s="261"/>
      <c r="M4915" s="261"/>
    </row>
    <row r="4916" spans="5:13">
      <c r="E4916" s="261"/>
      <c r="F4916" s="261"/>
      <c r="G4916" s="261"/>
      <c r="H4916" s="261"/>
      <c r="I4916" s="261"/>
      <c r="J4916" s="261"/>
      <c r="K4916" s="261"/>
      <c r="L4916" s="261"/>
      <c r="M4916" s="261"/>
    </row>
    <row r="4917" spans="5:13">
      <c r="E4917" s="261"/>
      <c r="F4917" s="261"/>
      <c r="G4917" s="261"/>
      <c r="H4917" s="261"/>
      <c r="I4917" s="261"/>
      <c r="J4917" s="261"/>
      <c r="K4917" s="261"/>
      <c r="L4917" s="261"/>
      <c r="M4917" s="261"/>
    </row>
    <row r="4918" spans="5:13">
      <c r="E4918" s="261"/>
      <c r="F4918" s="261"/>
      <c r="G4918" s="261"/>
      <c r="H4918" s="261"/>
      <c r="I4918" s="261"/>
      <c r="J4918" s="261"/>
      <c r="K4918" s="261"/>
      <c r="L4918" s="261"/>
      <c r="M4918" s="261"/>
    </row>
    <row r="4919" spans="5:13">
      <c r="E4919" s="261"/>
      <c r="F4919" s="261"/>
      <c r="G4919" s="261"/>
      <c r="H4919" s="261"/>
      <c r="I4919" s="261"/>
      <c r="J4919" s="261"/>
      <c r="K4919" s="261"/>
      <c r="L4919" s="261"/>
      <c r="M4919" s="261"/>
    </row>
    <row r="4920" spans="5:13">
      <c r="E4920" s="261"/>
      <c r="F4920" s="261"/>
      <c r="G4920" s="261"/>
      <c r="H4920" s="261"/>
      <c r="I4920" s="261"/>
      <c r="J4920" s="261"/>
      <c r="K4920" s="261"/>
      <c r="L4920" s="261"/>
      <c r="M4920" s="261"/>
    </row>
    <row r="4921" spans="5:13">
      <c r="E4921" s="261"/>
      <c r="F4921" s="261"/>
      <c r="G4921" s="261"/>
      <c r="H4921" s="261"/>
      <c r="I4921" s="261"/>
      <c r="J4921" s="261"/>
      <c r="K4921" s="261"/>
      <c r="L4921" s="261"/>
      <c r="M4921" s="261"/>
    </row>
    <row r="4922" spans="5:13">
      <c r="E4922" s="261"/>
      <c r="F4922" s="261"/>
      <c r="G4922" s="261"/>
      <c r="H4922" s="261"/>
      <c r="I4922" s="261"/>
      <c r="J4922" s="261"/>
      <c r="K4922" s="261"/>
      <c r="L4922" s="261"/>
      <c r="M4922" s="261"/>
    </row>
    <row r="4923" spans="5:13">
      <c r="E4923" s="261"/>
      <c r="F4923" s="261"/>
      <c r="G4923" s="261"/>
      <c r="H4923" s="261"/>
      <c r="I4923" s="261"/>
      <c r="J4923" s="261"/>
      <c r="K4923" s="261"/>
      <c r="L4923" s="261"/>
      <c r="M4923" s="261"/>
    </row>
    <row r="4924" spans="5:13">
      <c r="E4924" s="261"/>
      <c r="F4924" s="261"/>
      <c r="G4924" s="261"/>
      <c r="H4924" s="261"/>
      <c r="I4924" s="261"/>
      <c r="J4924" s="261"/>
      <c r="K4924" s="261"/>
      <c r="L4924" s="261"/>
      <c r="M4924" s="261"/>
    </row>
    <row r="4925" spans="5:13">
      <c r="E4925" s="261"/>
      <c r="F4925" s="261"/>
      <c r="G4925" s="261"/>
      <c r="H4925" s="261"/>
      <c r="I4925" s="261"/>
      <c r="J4925" s="261"/>
      <c r="K4925" s="261"/>
      <c r="L4925" s="261"/>
      <c r="M4925" s="261"/>
    </row>
    <row r="4926" spans="5:13">
      <c r="E4926" s="261"/>
      <c r="F4926" s="261"/>
      <c r="G4926" s="261"/>
      <c r="H4926" s="261"/>
      <c r="I4926" s="261"/>
      <c r="J4926" s="261"/>
      <c r="K4926" s="261"/>
      <c r="L4926" s="261"/>
      <c r="M4926" s="261"/>
    </row>
    <row r="4927" spans="5:13">
      <c r="E4927" s="261"/>
      <c r="F4927" s="261"/>
      <c r="G4927" s="261"/>
      <c r="H4927" s="261"/>
      <c r="I4927" s="261"/>
      <c r="J4927" s="261"/>
      <c r="K4927" s="261"/>
      <c r="L4927" s="261"/>
      <c r="M4927" s="261"/>
    </row>
    <row r="4928" spans="5:13">
      <c r="E4928" s="261"/>
      <c r="F4928" s="261"/>
      <c r="G4928" s="261"/>
      <c r="H4928" s="261"/>
      <c r="I4928" s="261"/>
      <c r="J4928" s="261"/>
      <c r="K4928" s="261"/>
      <c r="L4928" s="261"/>
      <c r="M4928" s="261"/>
    </row>
    <row r="4929" spans="5:13">
      <c r="E4929" s="261"/>
      <c r="F4929" s="261"/>
      <c r="G4929" s="261"/>
      <c r="H4929" s="261"/>
      <c r="I4929" s="261"/>
      <c r="J4929" s="261"/>
      <c r="K4929" s="261"/>
      <c r="L4929" s="261"/>
      <c r="M4929" s="261"/>
    </row>
    <row r="4930" spans="5:13">
      <c r="E4930" s="261"/>
      <c r="F4930" s="261"/>
      <c r="G4930" s="261"/>
      <c r="H4930" s="261"/>
      <c r="I4930" s="261"/>
      <c r="J4930" s="261"/>
      <c r="K4930" s="261"/>
      <c r="L4930" s="261"/>
      <c r="M4930" s="261"/>
    </row>
    <row r="4931" spans="5:13">
      <c r="E4931" s="261"/>
      <c r="F4931" s="261"/>
      <c r="G4931" s="261"/>
      <c r="H4931" s="261"/>
      <c r="I4931" s="261"/>
      <c r="J4931" s="261"/>
      <c r="K4931" s="261"/>
      <c r="L4931" s="261"/>
      <c r="M4931" s="261"/>
    </row>
    <row r="4932" spans="5:13">
      <c r="E4932" s="261"/>
      <c r="F4932" s="261"/>
      <c r="G4932" s="261"/>
      <c r="H4932" s="261"/>
      <c r="I4932" s="261"/>
      <c r="J4932" s="261"/>
      <c r="K4932" s="261"/>
      <c r="L4932" s="261"/>
      <c r="M4932" s="261"/>
    </row>
    <row r="4933" spans="5:13">
      <c r="E4933" s="261"/>
      <c r="F4933" s="261"/>
      <c r="G4933" s="261"/>
      <c r="H4933" s="261"/>
      <c r="I4933" s="261"/>
      <c r="J4933" s="261"/>
      <c r="K4933" s="261"/>
      <c r="L4933" s="261"/>
      <c r="M4933" s="261"/>
    </row>
    <row r="4934" spans="5:13">
      <c r="E4934" s="261"/>
      <c r="F4934" s="261"/>
      <c r="G4934" s="261"/>
      <c r="H4934" s="261"/>
      <c r="I4934" s="261"/>
      <c r="J4934" s="261"/>
      <c r="K4934" s="261"/>
      <c r="L4934" s="261"/>
      <c r="M4934" s="261"/>
    </row>
    <row r="4935" spans="5:13">
      <c r="E4935" s="261"/>
      <c r="F4935" s="261"/>
      <c r="G4935" s="261"/>
      <c r="H4935" s="261"/>
      <c r="I4935" s="261"/>
      <c r="J4935" s="261"/>
      <c r="K4935" s="261"/>
      <c r="L4935" s="261"/>
      <c r="M4935" s="261"/>
    </row>
    <row r="4936" spans="5:13">
      <c r="E4936" s="261"/>
      <c r="F4936" s="261"/>
      <c r="G4936" s="261"/>
      <c r="H4936" s="261"/>
      <c r="I4936" s="261"/>
      <c r="J4936" s="261"/>
      <c r="K4936" s="261"/>
      <c r="L4936" s="261"/>
      <c r="M4936" s="261"/>
    </row>
    <row r="4937" spans="5:13">
      <c r="E4937" s="261"/>
      <c r="F4937" s="261"/>
      <c r="G4937" s="261"/>
      <c r="H4937" s="261"/>
      <c r="I4937" s="261"/>
      <c r="J4937" s="261"/>
      <c r="K4937" s="261"/>
      <c r="L4937" s="261"/>
      <c r="M4937" s="261"/>
    </row>
    <row r="4938" spans="5:13">
      <c r="E4938" s="261"/>
      <c r="F4938" s="261"/>
      <c r="G4938" s="261"/>
      <c r="H4938" s="261"/>
      <c r="I4938" s="261"/>
      <c r="J4938" s="261"/>
      <c r="K4938" s="261"/>
      <c r="L4938" s="261"/>
      <c r="M4938" s="261"/>
    </row>
    <row r="4939" spans="5:13">
      <c r="E4939" s="261"/>
      <c r="F4939" s="261"/>
      <c r="G4939" s="261"/>
      <c r="H4939" s="261"/>
      <c r="I4939" s="261"/>
      <c r="J4939" s="261"/>
      <c r="K4939" s="261"/>
      <c r="L4939" s="261"/>
      <c r="M4939" s="261"/>
    </row>
    <row r="4940" spans="5:13">
      <c r="E4940" s="261"/>
      <c r="F4940" s="261"/>
      <c r="G4940" s="261"/>
      <c r="H4940" s="261"/>
      <c r="I4940" s="261"/>
      <c r="J4940" s="261"/>
      <c r="K4940" s="261"/>
      <c r="L4940" s="261"/>
      <c r="M4940" s="261"/>
    </row>
    <row r="4941" spans="5:13">
      <c r="E4941" s="261"/>
      <c r="F4941" s="261"/>
      <c r="G4941" s="261"/>
      <c r="H4941" s="261"/>
      <c r="I4941" s="261"/>
      <c r="J4941" s="261"/>
      <c r="K4941" s="261"/>
      <c r="L4941" s="261"/>
      <c r="M4941" s="261"/>
    </row>
    <row r="4942" spans="5:13">
      <c r="E4942" s="261"/>
      <c r="F4942" s="261"/>
      <c r="G4942" s="261"/>
      <c r="H4942" s="261"/>
      <c r="I4942" s="261"/>
      <c r="J4942" s="261"/>
      <c r="K4942" s="261"/>
      <c r="L4942" s="261"/>
      <c r="M4942" s="261"/>
    </row>
    <row r="4943" spans="5:13">
      <c r="E4943" s="261"/>
      <c r="F4943" s="261"/>
      <c r="G4943" s="261"/>
      <c r="H4943" s="261"/>
      <c r="I4943" s="261"/>
      <c r="J4943" s="261"/>
      <c r="K4943" s="261"/>
      <c r="L4943" s="261"/>
      <c r="M4943" s="261"/>
    </row>
    <row r="4944" spans="5:13">
      <c r="E4944" s="261"/>
      <c r="F4944" s="261"/>
      <c r="G4944" s="261"/>
      <c r="H4944" s="261"/>
      <c r="I4944" s="261"/>
      <c r="J4944" s="261"/>
      <c r="K4944" s="261"/>
      <c r="L4944" s="261"/>
      <c r="M4944" s="261"/>
    </row>
    <row r="4945" spans="5:13">
      <c r="E4945" s="261"/>
      <c r="F4945" s="261"/>
      <c r="G4945" s="261"/>
      <c r="H4945" s="261"/>
      <c r="I4945" s="261"/>
      <c r="J4945" s="261"/>
      <c r="K4945" s="261"/>
      <c r="L4945" s="261"/>
      <c r="M4945" s="261"/>
    </row>
    <row r="4946" spans="5:13">
      <c r="E4946" s="261"/>
      <c r="F4946" s="261"/>
      <c r="G4946" s="261"/>
      <c r="H4946" s="261"/>
      <c r="I4946" s="261"/>
      <c r="J4946" s="261"/>
      <c r="K4946" s="261"/>
      <c r="L4946" s="261"/>
      <c r="M4946" s="261"/>
    </row>
    <row r="4947" spans="5:13">
      <c r="E4947" s="261"/>
      <c r="F4947" s="261"/>
      <c r="G4947" s="261"/>
      <c r="H4947" s="261"/>
      <c r="I4947" s="261"/>
      <c r="J4947" s="261"/>
      <c r="K4947" s="261"/>
      <c r="L4947" s="261"/>
      <c r="M4947" s="261"/>
    </row>
    <row r="4948" spans="5:13">
      <c r="E4948" s="261"/>
      <c r="F4948" s="261"/>
      <c r="G4948" s="261"/>
      <c r="H4948" s="261"/>
      <c r="I4948" s="261"/>
      <c r="J4948" s="261"/>
      <c r="K4948" s="261"/>
      <c r="L4948" s="261"/>
      <c r="M4948" s="261"/>
    </row>
    <row r="4949" spans="5:13">
      <c r="E4949" s="261"/>
      <c r="F4949" s="261"/>
      <c r="G4949" s="261"/>
      <c r="H4949" s="261"/>
      <c r="I4949" s="261"/>
      <c r="J4949" s="261"/>
      <c r="K4949" s="261"/>
      <c r="L4949" s="261"/>
      <c r="M4949" s="261"/>
    </row>
    <row r="4950" spans="5:13">
      <c r="E4950" s="261"/>
      <c r="F4950" s="261"/>
      <c r="G4950" s="261"/>
      <c r="H4950" s="261"/>
      <c r="I4950" s="261"/>
      <c r="J4950" s="261"/>
      <c r="K4950" s="261"/>
      <c r="L4950" s="261"/>
      <c r="M4950" s="261"/>
    </row>
    <row r="4951" spans="5:13">
      <c r="E4951" s="261"/>
      <c r="F4951" s="261"/>
      <c r="G4951" s="261"/>
      <c r="H4951" s="261"/>
      <c r="I4951" s="261"/>
      <c r="J4951" s="261"/>
      <c r="K4951" s="261"/>
      <c r="L4951" s="261"/>
      <c r="M4951" s="261"/>
    </row>
    <row r="4952" spans="5:13">
      <c r="E4952" s="261"/>
      <c r="F4952" s="261"/>
      <c r="G4952" s="261"/>
      <c r="H4952" s="261"/>
      <c r="I4952" s="261"/>
      <c r="J4952" s="261"/>
      <c r="K4952" s="261"/>
      <c r="L4952" s="261"/>
      <c r="M4952" s="261"/>
    </row>
    <row r="4953" spans="5:13">
      <c r="E4953" s="261"/>
      <c r="F4953" s="261"/>
      <c r="G4953" s="261"/>
      <c r="H4953" s="261"/>
      <c r="I4953" s="261"/>
      <c r="J4953" s="261"/>
      <c r="K4953" s="261"/>
      <c r="L4953" s="261"/>
      <c r="M4953" s="261"/>
    </row>
    <row r="4954" spans="5:13">
      <c r="E4954" s="261"/>
      <c r="F4954" s="261"/>
      <c r="G4954" s="261"/>
      <c r="H4954" s="261"/>
      <c r="I4954" s="261"/>
      <c r="J4954" s="261"/>
      <c r="K4954" s="261"/>
      <c r="L4954" s="261"/>
      <c r="M4954" s="261"/>
    </row>
    <row r="4955" spans="5:13">
      <c r="E4955" s="261"/>
      <c r="F4955" s="261"/>
      <c r="G4955" s="261"/>
      <c r="H4955" s="261"/>
      <c r="I4955" s="261"/>
      <c r="J4955" s="261"/>
      <c r="K4955" s="261"/>
      <c r="L4955" s="261"/>
      <c r="M4955" s="261"/>
    </row>
    <row r="4956" spans="5:13">
      <c r="E4956" s="261"/>
      <c r="F4956" s="261"/>
      <c r="G4956" s="261"/>
      <c r="H4956" s="261"/>
      <c r="I4956" s="261"/>
      <c r="J4956" s="261"/>
      <c r="K4956" s="261"/>
      <c r="L4956" s="261"/>
      <c r="M4956" s="261"/>
    </row>
    <row r="4957" spans="5:13">
      <c r="E4957" s="261"/>
      <c r="F4957" s="261"/>
      <c r="G4957" s="261"/>
      <c r="H4957" s="261"/>
      <c r="I4957" s="261"/>
      <c r="J4957" s="261"/>
      <c r="K4957" s="261"/>
      <c r="L4957" s="261"/>
      <c r="M4957" s="261"/>
    </row>
    <row r="4958" spans="5:13">
      <c r="E4958" s="261"/>
      <c r="F4958" s="261"/>
      <c r="G4958" s="261"/>
      <c r="H4958" s="261"/>
      <c r="I4958" s="261"/>
      <c r="J4958" s="261"/>
      <c r="K4958" s="261"/>
      <c r="L4958" s="261"/>
      <c r="M4958" s="261"/>
    </row>
    <row r="4959" spans="5:13">
      <c r="E4959" s="261"/>
      <c r="F4959" s="261"/>
      <c r="G4959" s="261"/>
      <c r="H4959" s="261"/>
      <c r="I4959" s="261"/>
      <c r="J4959" s="261"/>
      <c r="K4959" s="261"/>
      <c r="L4959" s="261"/>
      <c r="M4959" s="261"/>
    </row>
    <row r="4960" spans="5:13">
      <c r="E4960" s="261"/>
      <c r="F4960" s="261"/>
      <c r="G4960" s="261"/>
      <c r="H4960" s="261"/>
      <c r="I4960" s="261"/>
      <c r="J4960" s="261"/>
      <c r="K4960" s="261"/>
      <c r="L4960" s="261"/>
      <c r="M4960" s="261"/>
    </row>
    <row r="4961" spans="5:13">
      <c r="E4961" s="261"/>
      <c r="F4961" s="261"/>
      <c r="G4961" s="261"/>
      <c r="H4961" s="261"/>
      <c r="I4961" s="261"/>
      <c r="J4961" s="261"/>
      <c r="K4961" s="261"/>
      <c r="L4961" s="261"/>
      <c r="M4961" s="261"/>
    </row>
    <row r="4962" spans="5:13">
      <c r="E4962" s="261"/>
      <c r="F4962" s="261"/>
      <c r="G4962" s="261"/>
      <c r="H4962" s="261"/>
      <c r="I4962" s="261"/>
      <c r="J4962" s="261"/>
      <c r="K4962" s="261"/>
      <c r="L4962" s="261"/>
      <c r="M4962" s="261"/>
    </row>
    <row r="4963" spans="5:13">
      <c r="E4963" s="261"/>
      <c r="F4963" s="261"/>
      <c r="G4963" s="261"/>
      <c r="H4963" s="261"/>
      <c r="I4963" s="261"/>
      <c r="J4963" s="261"/>
      <c r="K4963" s="261"/>
      <c r="L4963" s="261"/>
      <c r="M4963" s="261"/>
    </row>
    <row r="4964" spans="5:13">
      <c r="E4964" s="261"/>
      <c r="F4964" s="261"/>
      <c r="G4964" s="261"/>
      <c r="H4964" s="261"/>
      <c r="I4964" s="261"/>
      <c r="J4964" s="261"/>
      <c r="K4964" s="261"/>
      <c r="L4964" s="261"/>
      <c r="M4964" s="261"/>
    </row>
    <row r="4965" spans="5:13">
      <c r="E4965" s="261"/>
      <c r="F4965" s="261"/>
      <c r="G4965" s="261"/>
      <c r="H4965" s="261"/>
      <c r="I4965" s="261"/>
      <c r="J4965" s="261"/>
      <c r="K4965" s="261"/>
      <c r="L4965" s="261"/>
      <c r="M4965" s="261"/>
    </row>
    <row r="4966" spans="5:13">
      <c r="E4966" s="261"/>
      <c r="F4966" s="261"/>
      <c r="G4966" s="261"/>
      <c r="H4966" s="261"/>
      <c r="I4966" s="261"/>
      <c r="J4966" s="261"/>
      <c r="K4966" s="261"/>
      <c r="L4966" s="261"/>
      <c r="M4966" s="261"/>
    </row>
    <row r="4967" spans="5:13">
      <c r="E4967" s="261"/>
      <c r="F4967" s="261"/>
      <c r="G4967" s="261"/>
      <c r="H4967" s="261"/>
      <c r="I4967" s="261"/>
      <c r="J4967" s="261"/>
      <c r="K4967" s="261"/>
      <c r="L4967" s="261"/>
      <c r="M4967" s="261"/>
    </row>
    <row r="4968" spans="5:13">
      <c r="E4968" s="261"/>
      <c r="F4968" s="261"/>
      <c r="G4968" s="261"/>
      <c r="H4968" s="261"/>
      <c r="I4968" s="261"/>
      <c r="J4968" s="261"/>
      <c r="K4968" s="261"/>
      <c r="L4968" s="261"/>
      <c r="M4968" s="261"/>
    </row>
    <row r="4969" spans="5:13">
      <c r="E4969" s="261"/>
      <c r="F4969" s="261"/>
      <c r="G4969" s="261"/>
      <c r="H4969" s="261"/>
      <c r="I4969" s="261"/>
      <c r="J4969" s="261"/>
      <c r="K4969" s="261"/>
      <c r="L4969" s="261"/>
      <c r="M4969" s="261"/>
    </row>
    <row r="4970" spans="5:13">
      <c r="E4970" s="261"/>
      <c r="F4970" s="261"/>
      <c r="G4970" s="261"/>
      <c r="H4970" s="261"/>
      <c r="I4970" s="261"/>
      <c r="J4970" s="261"/>
      <c r="K4970" s="261"/>
      <c r="L4970" s="261"/>
      <c r="M4970" s="261"/>
    </row>
    <row r="4971" spans="5:13">
      <c r="E4971" s="261"/>
      <c r="F4971" s="261"/>
      <c r="G4971" s="261"/>
      <c r="H4971" s="261"/>
      <c r="I4971" s="261"/>
      <c r="J4971" s="261"/>
      <c r="K4971" s="261"/>
      <c r="L4971" s="261"/>
      <c r="M4971" s="261"/>
    </row>
    <row r="4972" spans="5:13">
      <c r="E4972" s="261"/>
      <c r="F4972" s="261"/>
      <c r="G4972" s="261"/>
      <c r="H4972" s="261"/>
      <c r="I4972" s="261"/>
      <c r="J4972" s="261"/>
      <c r="K4972" s="261"/>
      <c r="L4972" s="261"/>
      <c r="M4972" s="261"/>
    </row>
    <row r="4973" spans="5:13">
      <c r="E4973" s="261"/>
      <c r="F4973" s="261"/>
      <c r="G4973" s="261"/>
      <c r="H4973" s="261"/>
      <c r="I4973" s="261"/>
      <c r="J4973" s="261"/>
      <c r="K4973" s="261"/>
      <c r="L4973" s="261"/>
      <c r="M4973" s="261"/>
    </row>
    <row r="4974" spans="5:13">
      <c r="E4974" s="261"/>
      <c r="F4974" s="261"/>
      <c r="G4974" s="261"/>
      <c r="H4974" s="261"/>
      <c r="I4974" s="261"/>
      <c r="J4974" s="261"/>
      <c r="K4974" s="261"/>
      <c r="L4974" s="261"/>
      <c r="M4974" s="261"/>
    </row>
    <row r="4975" spans="5:13">
      <c r="E4975" s="261"/>
      <c r="F4975" s="261"/>
      <c r="G4975" s="261"/>
      <c r="H4975" s="261"/>
      <c r="I4975" s="261"/>
      <c r="J4975" s="261"/>
      <c r="K4975" s="261"/>
      <c r="L4975" s="261"/>
      <c r="M4975" s="261"/>
    </row>
    <row r="4976" spans="5:13">
      <c r="E4976" s="261"/>
      <c r="F4976" s="261"/>
      <c r="G4976" s="261"/>
      <c r="H4976" s="261"/>
      <c r="I4976" s="261"/>
      <c r="J4976" s="261"/>
      <c r="K4976" s="261"/>
      <c r="L4976" s="261"/>
      <c r="M4976" s="261"/>
    </row>
    <row r="4977" spans="5:13">
      <c r="E4977" s="261"/>
      <c r="F4977" s="261"/>
      <c r="G4977" s="261"/>
      <c r="H4977" s="261"/>
      <c r="I4977" s="261"/>
      <c r="J4977" s="261"/>
      <c r="K4977" s="261"/>
      <c r="L4977" s="261"/>
      <c r="M4977" s="261"/>
    </row>
    <row r="4978" spans="5:13">
      <c r="E4978" s="261"/>
      <c r="F4978" s="261"/>
      <c r="G4978" s="261"/>
      <c r="H4978" s="261"/>
      <c r="I4978" s="261"/>
      <c r="J4978" s="261"/>
      <c r="K4978" s="261"/>
      <c r="L4978" s="261"/>
      <c r="M4978" s="261"/>
    </row>
    <row r="4979" spans="5:13">
      <c r="E4979" s="261"/>
      <c r="F4979" s="261"/>
      <c r="G4979" s="261"/>
      <c r="H4979" s="261"/>
      <c r="I4979" s="261"/>
      <c r="J4979" s="261"/>
      <c r="K4979" s="261"/>
      <c r="L4979" s="261"/>
      <c r="M4979" s="261"/>
    </row>
    <row r="4980" spans="5:13">
      <c r="E4980" s="261"/>
      <c r="F4980" s="261"/>
      <c r="G4980" s="261"/>
      <c r="H4980" s="261"/>
      <c r="I4980" s="261"/>
      <c r="J4980" s="261"/>
      <c r="K4980" s="261"/>
      <c r="L4980" s="261"/>
      <c r="M4980" s="261"/>
    </row>
    <row r="4981" spans="5:13">
      <c r="E4981" s="261"/>
      <c r="F4981" s="261"/>
      <c r="G4981" s="261"/>
      <c r="H4981" s="261"/>
      <c r="I4981" s="261"/>
      <c r="J4981" s="261"/>
      <c r="K4981" s="261"/>
      <c r="L4981" s="261"/>
      <c r="M4981" s="261"/>
    </row>
    <row r="4982" spans="5:13">
      <c r="E4982" s="261"/>
      <c r="F4982" s="261"/>
      <c r="G4982" s="261"/>
      <c r="H4982" s="261"/>
      <c r="I4982" s="261"/>
      <c r="J4982" s="261"/>
      <c r="K4982" s="261"/>
      <c r="L4982" s="261"/>
      <c r="M4982" s="261"/>
    </row>
    <row r="4983" spans="5:13">
      <c r="E4983" s="261"/>
      <c r="F4983" s="261"/>
      <c r="G4983" s="261"/>
      <c r="H4983" s="261"/>
      <c r="I4983" s="261"/>
      <c r="J4983" s="261"/>
      <c r="K4983" s="261"/>
      <c r="L4983" s="261"/>
      <c r="M4983" s="261"/>
    </row>
    <row r="4984" spans="5:13">
      <c r="E4984" s="261"/>
      <c r="F4984" s="261"/>
      <c r="G4984" s="261"/>
      <c r="H4984" s="261"/>
      <c r="I4984" s="261"/>
      <c r="J4984" s="261"/>
      <c r="K4984" s="261"/>
      <c r="L4984" s="261"/>
      <c r="M4984" s="261"/>
    </row>
    <row r="4985" spans="5:13">
      <c r="E4985" s="261"/>
      <c r="F4985" s="261"/>
      <c r="G4985" s="261"/>
      <c r="H4985" s="261"/>
      <c r="I4985" s="261"/>
      <c r="J4985" s="261"/>
      <c r="K4985" s="261"/>
      <c r="L4985" s="261"/>
      <c r="M4985" s="261"/>
    </row>
    <row r="4986" spans="5:13">
      <c r="E4986" s="261"/>
      <c r="F4986" s="261"/>
      <c r="G4986" s="261"/>
      <c r="H4986" s="261"/>
      <c r="I4986" s="261"/>
      <c r="J4986" s="261"/>
      <c r="K4986" s="261"/>
      <c r="L4986" s="261"/>
      <c r="M4986" s="261"/>
    </row>
    <row r="4987" spans="5:13">
      <c r="E4987" s="261"/>
      <c r="F4987" s="261"/>
      <c r="G4987" s="261"/>
      <c r="H4987" s="261"/>
      <c r="I4987" s="261"/>
      <c r="J4987" s="261"/>
      <c r="K4987" s="261"/>
      <c r="L4987" s="261"/>
      <c r="M4987" s="261"/>
    </row>
    <row r="4988" spans="5:13">
      <c r="E4988" s="261"/>
      <c r="F4988" s="261"/>
      <c r="G4988" s="261"/>
      <c r="H4988" s="261"/>
      <c r="I4988" s="261"/>
      <c r="J4988" s="261"/>
      <c r="K4988" s="261"/>
      <c r="L4988" s="261"/>
      <c r="M4988" s="261"/>
    </row>
    <row r="4989" spans="5:13">
      <c r="E4989" s="261"/>
      <c r="F4989" s="261"/>
      <c r="G4989" s="261"/>
      <c r="H4989" s="261"/>
      <c r="I4989" s="261"/>
      <c r="J4989" s="261"/>
      <c r="K4989" s="261"/>
      <c r="L4989" s="261"/>
      <c r="M4989" s="261"/>
    </row>
    <row r="4990" spans="5:13">
      <c r="E4990" s="261"/>
      <c r="F4990" s="261"/>
      <c r="G4990" s="261"/>
      <c r="H4990" s="261"/>
      <c r="I4990" s="261"/>
      <c r="J4990" s="261"/>
      <c r="K4990" s="261"/>
      <c r="L4990" s="261"/>
      <c r="M4990" s="261"/>
    </row>
    <row r="4991" spans="5:13">
      <c r="E4991" s="261"/>
      <c r="F4991" s="261"/>
      <c r="G4991" s="261"/>
      <c r="H4991" s="261"/>
      <c r="I4991" s="261"/>
      <c r="J4991" s="261"/>
      <c r="K4991" s="261"/>
      <c r="L4991" s="261"/>
      <c r="M4991" s="261"/>
    </row>
    <row r="4992" spans="5:13">
      <c r="E4992" s="261"/>
      <c r="F4992" s="261"/>
      <c r="G4992" s="261"/>
      <c r="H4992" s="261"/>
      <c r="I4992" s="261"/>
      <c r="J4992" s="261"/>
      <c r="K4992" s="261"/>
      <c r="L4992" s="261"/>
      <c r="M4992" s="261"/>
    </row>
    <row r="4993" spans="5:13">
      <c r="E4993" s="261"/>
      <c r="F4993" s="261"/>
      <c r="G4993" s="261"/>
      <c r="H4993" s="261"/>
      <c r="I4993" s="261"/>
      <c r="J4993" s="261"/>
      <c r="K4993" s="261"/>
      <c r="L4993" s="261"/>
      <c r="M4993" s="261"/>
    </row>
    <row r="4994" spans="5:13">
      <c r="E4994" s="261"/>
      <c r="F4994" s="261"/>
      <c r="G4994" s="261"/>
      <c r="H4994" s="261"/>
      <c r="I4994" s="261"/>
      <c r="J4994" s="261"/>
      <c r="K4994" s="261"/>
      <c r="L4994" s="261"/>
      <c r="M4994" s="261"/>
    </row>
    <row r="4995" spans="5:13">
      <c r="E4995" s="261"/>
      <c r="F4995" s="261"/>
      <c r="G4995" s="261"/>
      <c r="H4995" s="261"/>
      <c r="I4995" s="261"/>
      <c r="J4995" s="261"/>
      <c r="K4995" s="261"/>
      <c r="L4995" s="261"/>
      <c r="M4995" s="261"/>
    </row>
    <row r="4996" spans="5:13">
      <c r="E4996" s="261"/>
      <c r="F4996" s="261"/>
      <c r="G4996" s="261"/>
      <c r="H4996" s="261"/>
      <c r="I4996" s="261"/>
      <c r="J4996" s="261"/>
      <c r="K4996" s="261"/>
      <c r="L4996" s="261"/>
      <c r="M4996" s="261"/>
    </row>
    <row r="4997" spans="5:13">
      <c r="E4997" s="261"/>
      <c r="F4997" s="261"/>
      <c r="G4997" s="261"/>
      <c r="H4997" s="261"/>
      <c r="I4997" s="261"/>
      <c r="J4997" s="261"/>
      <c r="K4997" s="261"/>
      <c r="L4997" s="261"/>
      <c r="M4997" s="261"/>
    </row>
    <row r="4998" spans="5:13">
      <c r="E4998" s="261"/>
      <c r="F4998" s="261"/>
      <c r="G4998" s="261"/>
      <c r="H4998" s="261"/>
      <c r="I4998" s="261"/>
      <c r="J4998" s="261"/>
      <c r="K4998" s="261"/>
      <c r="L4998" s="261"/>
      <c r="M4998" s="261"/>
    </row>
    <row r="4999" spans="5:13">
      <c r="E4999" s="261"/>
      <c r="F4999" s="261"/>
      <c r="G4999" s="261"/>
      <c r="H4999" s="261"/>
      <c r="I4999" s="261"/>
      <c r="J4999" s="261"/>
      <c r="K4999" s="261"/>
      <c r="L4999" s="261"/>
      <c r="M4999" s="261"/>
    </row>
    <row r="5000" spans="5:13">
      <c r="E5000" s="261"/>
      <c r="F5000" s="261"/>
      <c r="G5000" s="261"/>
      <c r="H5000" s="261"/>
      <c r="I5000" s="261"/>
      <c r="J5000" s="261"/>
      <c r="K5000" s="261"/>
      <c r="L5000" s="261"/>
      <c r="M5000" s="261"/>
    </row>
    <row r="5001" spans="5:13">
      <c r="E5001" s="261"/>
      <c r="F5001" s="261"/>
      <c r="G5001" s="261"/>
      <c r="H5001" s="261"/>
      <c r="I5001" s="261"/>
      <c r="J5001" s="261"/>
      <c r="K5001" s="261"/>
      <c r="L5001" s="261"/>
      <c r="M5001" s="261"/>
    </row>
    <row r="5002" spans="5:13">
      <c r="E5002" s="261"/>
      <c r="F5002" s="261"/>
      <c r="G5002" s="261"/>
      <c r="H5002" s="261"/>
      <c r="I5002" s="261"/>
      <c r="J5002" s="261"/>
      <c r="K5002" s="261"/>
      <c r="L5002" s="261"/>
      <c r="M5002" s="261"/>
    </row>
    <row r="5003" spans="5:13">
      <c r="E5003" s="261"/>
      <c r="F5003" s="261"/>
      <c r="G5003" s="261"/>
      <c r="H5003" s="261"/>
      <c r="I5003" s="261"/>
      <c r="J5003" s="261"/>
      <c r="K5003" s="261"/>
      <c r="L5003" s="261"/>
      <c r="M5003" s="261"/>
    </row>
    <row r="5004" spans="5:13">
      <c r="E5004" s="261"/>
      <c r="F5004" s="261"/>
      <c r="G5004" s="261"/>
      <c r="H5004" s="261"/>
      <c r="I5004" s="261"/>
      <c r="J5004" s="261"/>
      <c r="K5004" s="261"/>
      <c r="L5004" s="261"/>
      <c r="M5004" s="261"/>
    </row>
    <row r="5005" spans="5:13">
      <c r="E5005" s="261"/>
      <c r="F5005" s="261"/>
      <c r="G5005" s="261"/>
      <c r="H5005" s="261"/>
      <c r="I5005" s="261"/>
      <c r="J5005" s="261"/>
      <c r="K5005" s="261"/>
      <c r="L5005" s="261"/>
      <c r="M5005" s="261"/>
    </row>
    <row r="5006" spans="5:13">
      <c r="E5006" s="261"/>
      <c r="F5006" s="261"/>
      <c r="G5006" s="261"/>
      <c r="H5006" s="261"/>
      <c r="I5006" s="261"/>
      <c r="J5006" s="261"/>
      <c r="K5006" s="261"/>
      <c r="L5006" s="261"/>
      <c r="M5006" s="261"/>
    </row>
    <row r="5007" spans="5:13">
      <c r="E5007" s="261"/>
      <c r="F5007" s="261"/>
      <c r="G5007" s="261"/>
      <c r="H5007" s="261"/>
      <c r="I5007" s="261"/>
      <c r="J5007" s="261"/>
      <c r="K5007" s="261"/>
      <c r="L5007" s="261"/>
      <c r="M5007" s="261"/>
    </row>
    <row r="5008" spans="5:13">
      <c r="E5008" s="261"/>
      <c r="F5008" s="261"/>
      <c r="G5008" s="261"/>
      <c r="H5008" s="261"/>
      <c r="I5008" s="261"/>
      <c r="J5008" s="261"/>
      <c r="K5008" s="261"/>
      <c r="L5008" s="261"/>
      <c r="M5008" s="261"/>
    </row>
    <row r="5009" spans="5:13">
      <c r="E5009" s="261"/>
      <c r="F5009" s="261"/>
      <c r="G5009" s="261"/>
      <c r="H5009" s="261"/>
      <c r="I5009" s="261"/>
      <c r="J5009" s="261"/>
      <c r="K5009" s="261"/>
      <c r="L5009" s="261"/>
      <c r="M5009" s="261"/>
    </row>
    <row r="5010" spans="5:13">
      <c r="E5010" s="261"/>
      <c r="F5010" s="261"/>
      <c r="G5010" s="261"/>
      <c r="H5010" s="261"/>
      <c r="I5010" s="261"/>
      <c r="J5010" s="261"/>
      <c r="K5010" s="261"/>
      <c r="L5010" s="261"/>
      <c r="M5010" s="261"/>
    </row>
    <row r="5011" spans="5:13">
      <c r="E5011" s="261"/>
      <c r="F5011" s="261"/>
      <c r="G5011" s="261"/>
      <c r="H5011" s="261"/>
      <c r="I5011" s="261"/>
      <c r="J5011" s="261"/>
      <c r="K5011" s="261"/>
      <c r="L5011" s="261"/>
      <c r="M5011" s="261"/>
    </row>
    <row r="5012" spans="5:13">
      <c r="E5012" s="261"/>
      <c r="F5012" s="261"/>
      <c r="G5012" s="261"/>
      <c r="H5012" s="261"/>
      <c r="I5012" s="261"/>
      <c r="J5012" s="261"/>
      <c r="K5012" s="261"/>
      <c r="L5012" s="261"/>
      <c r="M5012" s="261"/>
    </row>
    <row r="5013" spans="5:13">
      <c r="E5013" s="261"/>
      <c r="F5013" s="261"/>
      <c r="G5013" s="261"/>
      <c r="H5013" s="261"/>
      <c r="I5013" s="261"/>
      <c r="J5013" s="261"/>
      <c r="K5013" s="261"/>
      <c r="L5013" s="261"/>
      <c r="M5013" s="261"/>
    </row>
    <row r="5014" spans="5:13">
      <c r="E5014" s="261"/>
      <c r="F5014" s="261"/>
      <c r="G5014" s="261"/>
      <c r="H5014" s="261"/>
      <c r="I5014" s="261"/>
      <c r="J5014" s="261"/>
      <c r="K5014" s="261"/>
      <c r="L5014" s="261"/>
      <c r="M5014" s="261"/>
    </row>
    <row r="5015" spans="5:13">
      <c r="E5015" s="261"/>
      <c r="F5015" s="261"/>
      <c r="G5015" s="261"/>
      <c r="H5015" s="261"/>
      <c r="I5015" s="261"/>
      <c r="J5015" s="261"/>
      <c r="K5015" s="261"/>
      <c r="L5015" s="261"/>
      <c r="M5015" s="261"/>
    </row>
    <row r="5016" spans="5:13">
      <c r="E5016" s="261"/>
      <c r="F5016" s="261"/>
      <c r="G5016" s="261"/>
      <c r="H5016" s="261"/>
      <c r="I5016" s="261"/>
      <c r="J5016" s="261"/>
      <c r="K5016" s="261"/>
      <c r="L5016" s="261"/>
      <c r="M5016" s="261"/>
    </row>
    <row r="5017" spans="5:13">
      <c r="E5017" s="261"/>
      <c r="F5017" s="261"/>
      <c r="G5017" s="261"/>
      <c r="H5017" s="261"/>
      <c r="I5017" s="261"/>
      <c r="J5017" s="261"/>
      <c r="K5017" s="261"/>
      <c r="L5017" s="261"/>
      <c r="M5017" s="261"/>
    </row>
    <row r="5018" spans="5:13">
      <c r="E5018" s="261"/>
      <c r="F5018" s="261"/>
      <c r="G5018" s="261"/>
      <c r="H5018" s="261"/>
      <c r="I5018" s="261"/>
      <c r="J5018" s="261"/>
      <c r="K5018" s="261"/>
      <c r="L5018" s="261"/>
      <c r="M5018" s="261"/>
    </row>
    <row r="5019" spans="5:13">
      <c r="E5019" s="261"/>
      <c r="F5019" s="261"/>
      <c r="G5019" s="261"/>
      <c r="H5019" s="261"/>
      <c r="I5019" s="261"/>
      <c r="J5019" s="261"/>
      <c r="K5019" s="261"/>
      <c r="L5019" s="261"/>
      <c r="M5019" s="261"/>
    </row>
    <row r="5020" spans="5:13">
      <c r="E5020" s="261"/>
      <c r="F5020" s="261"/>
      <c r="G5020" s="261"/>
      <c r="H5020" s="261"/>
      <c r="I5020" s="261"/>
      <c r="J5020" s="261"/>
      <c r="K5020" s="261"/>
      <c r="L5020" s="261"/>
      <c r="M5020" s="261"/>
    </row>
    <row r="5021" spans="5:13">
      <c r="E5021" s="261"/>
      <c r="F5021" s="261"/>
      <c r="G5021" s="261"/>
      <c r="H5021" s="261"/>
      <c r="I5021" s="261"/>
      <c r="J5021" s="261"/>
      <c r="K5021" s="261"/>
      <c r="L5021" s="261"/>
      <c r="M5021" s="261"/>
    </row>
    <row r="5022" spans="5:13">
      <c r="E5022" s="261"/>
      <c r="F5022" s="261"/>
      <c r="G5022" s="261"/>
      <c r="H5022" s="261"/>
      <c r="I5022" s="261"/>
      <c r="J5022" s="261"/>
      <c r="K5022" s="261"/>
      <c r="L5022" s="261"/>
      <c r="M5022" s="261"/>
    </row>
    <row r="5023" spans="5:13">
      <c r="E5023" s="261"/>
      <c r="F5023" s="261"/>
      <c r="G5023" s="261"/>
      <c r="H5023" s="261"/>
      <c r="I5023" s="261"/>
      <c r="J5023" s="261"/>
      <c r="K5023" s="261"/>
      <c r="L5023" s="261"/>
      <c r="M5023" s="261"/>
    </row>
    <row r="5024" spans="5:13">
      <c r="E5024" s="261"/>
      <c r="F5024" s="261"/>
      <c r="G5024" s="261"/>
      <c r="H5024" s="261"/>
      <c r="I5024" s="261"/>
      <c r="J5024" s="261"/>
      <c r="K5024" s="261"/>
      <c r="L5024" s="261"/>
      <c r="M5024" s="261"/>
    </row>
    <row r="5025" spans="5:13">
      <c r="E5025" s="261"/>
      <c r="F5025" s="261"/>
      <c r="G5025" s="261"/>
      <c r="H5025" s="261"/>
      <c r="I5025" s="261"/>
      <c r="J5025" s="261"/>
      <c r="K5025" s="261"/>
      <c r="L5025" s="261"/>
      <c r="M5025" s="261"/>
    </row>
    <row r="5026" spans="5:13">
      <c r="E5026" s="261"/>
      <c r="F5026" s="261"/>
      <c r="G5026" s="261"/>
      <c r="H5026" s="261"/>
      <c r="I5026" s="261"/>
      <c r="J5026" s="261"/>
      <c r="K5026" s="261"/>
      <c r="L5026" s="261"/>
      <c r="M5026" s="261"/>
    </row>
    <row r="5027" spans="5:13">
      <c r="E5027" s="261"/>
      <c r="F5027" s="261"/>
      <c r="G5027" s="261"/>
      <c r="H5027" s="261"/>
      <c r="I5027" s="261"/>
      <c r="J5027" s="261"/>
      <c r="K5027" s="261"/>
      <c r="L5027" s="261"/>
      <c r="M5027" s="261"/>
    </row>
    <row r="5028" spans="5:13">
      <c r="E5028" s="261"/>
      <c r="F5028" s="261"/>
      <c r="G5028" s="261"/>
      <c r="H5028" s="261"/>
      <c r="I5028" s="261"/>
      <c r="J5028" s="261"/>
      <c r="K5028" s="261"/>
      <c r="L5028" s="261"/>
      <c r="M5028" s="261"/>
    </row>
    <row r="5029" spans="5:13">
      <c r="E5029" s="261"/>
      <c r="F5029" s="261"/>
      <c r="G5029" s="261"/>
      <c r="H5029" s="261"/>
      <c r="I5029" s="261"/>
      <c r="J5029" s="261"/>
      <c r="K5029" s="261"/>
      <c r="L5029" s="261"/>
      <c r="M5029" s="261"/>
    </row>
    <row r="5030" spans="5:13">
      <c r="E5030" s="261"/>
      <c r="F5030" s="261"/>
      <c r="G5030" s="261"/>
      <c r="H5030" s="261"/>
      <c r="I5030" s="261"/>
      <c r="J5030" s="261"/>
      <c r="K5030" s="261"/>
      <c r="L5030" s="261"/>
      <c r="M5030" s="261"/>
    </row>
    <row r="5031" spans="5:13">
      <c r="E5031" s="261"/>
      <c r="F5031" s="261"/>
      <c r="G5031" s="261"/>
      <c r="H5031" s="261"/>
      <c r="I5031" s="261"/>
      <c r="J5031" s="261"/>
      <c r="K5031" s="261"/>
      <c r="L5031" s="261"/>
      <c r="M5031" s="261"/>
    </row>
    <row r="5032" spans="5:13">
      <c r="E5032" s="261"/>
      <c r="F5032" s="261"/>
      <c r="G5032" s="261"/>
      <c r="H5032" s="261"/>
      <c r="I5032" s="261"/>
      <c r="J5032" s="261"/>
      <c r="K5032" s="261"/>
      <c r="L5032" s="261"/>
      <c r="M5032" s="261"/>
    </row>
    <row r="5033" spans="5:13">
      <c r="E5033" s="261"/>
      <c r="F5033" s="261"/>
      <c r="G5033" s="261"/>
      <c r="H5033" s="261"/>
      <c r="I5033" s="261"/>
      <c r="J5033" s="261"/>
      <c r="K5033" s="261"/>
      <c r="L5033" s="261"/>
      <c r="M5033" s="261"/>
    </row>
    <row r="5034" spans="5:13">
      <c r="E5034" s="261"/>
      <c r="F5034" s="261"/>
      <c r="G5034" s="261"/>
      <c r="H5034" s="261"/>
      <c r="I5034" s="261"/>
      <c r="J5034" s="261"/>
      <c r="K5034" s="261"/>
      <c r="L5034" s="261"/>
      <c r="M5034" s="261"/>
    </row>
    <row r="5035" spans="5:13">
      <c r="E5035" s="261"/>
      <c r="F5035" s="261"/>
      <c r="G5035" s="261"/>
      <c r="H5035" s="261"/>
      <c r="I5035" s="261"/>
      <c r="J5035" s="261"/>
      <c r="K5035" s="261"/>
      <c r="L5035" s="261"/>
      <c r="M5035" s="261"/>
    </row>
    <row r="5036" spans="5:13">
      <c r="E5036" s="261"/>
      <c r="F5036" s="261"/>
      <c r="G5036" s="261"/>
      <c r="H5036" s="261"/>
      <c r="I5036" s="261"/>
      <c r="J5036" s="261"/>
      <c r="K5036" s="261"/>
      <c r="L5036" s="261"/>
      <c r="M5036" s="261"/>
    </row>
    <row r="5037" spans="5:13">
      <c r="E5037" s="261"/>
      <c r="F5037" s="261"/>
      <c r="G5037" s="261"/>
      <c r="H5037" s="261"/>
      <c r="I5037" s="261"/>
      <c r="J5037" s="261"/>
      <c r="K5037" s="261"/>
      <c r="L5037" s="261"/>
      <c r="M5037" s="261"/>
    </row>
    <row r="5038" spans="5:13">
      <c r="E5038" s="261"/>
      <c r="F5038" s="261"/>
      <c r="G5038" s="261"/>
      <c r="H5038" s="261"/>
      <c r="I5038" s="261"/>
      <c r="J5038" s="261"/>
      <c r="K5038" s="261"/>
      <c r="L5038" s="261"/>
      <c r="M5038" s="261"/>
    </row>
    <row r="5039" spans="5:13">
      <c r="E5039" s="261"/>
      <c r="F5039" s="261"/>
      <c r="G5039" s="261"/>
      <c r="H5039" s="261"/>
      <c r="I5039" s="261"/>
      <c r="J5039" s="261"/>
      <c r="K5039" s="261"/>
      <c r="L5039" s="261"/>
      <c r="M5039" s="261"/>
    </row>
    <row r="5040" spans="5:13">
      <c r="E5040" s="261"/>
      <c r="F5040" s="261"/>
      <c r="G5040" s="261"/>
      <c r="H5040" s="261"/>
      <c r="I5040" s="261"/>
      <c r="J5040" s="261"/>
      <c r="K5040" s="261"/>
      <c r="L5040" s="261"/>
      <c r="M5040" s="261"/>
    </row>
    <row r="5041" spans="5:13">
      <c r="E5041" s="261"/>
      <c r="F5041" s="261"/>
      <c r="G5041" s="261"/>
      <c r="H5041" s="261"/>
      <c r="I5041" s="261"/>
      <c r="J5041" s="261"/>
      <c r="K5041" s="261"/>
      <c r="L5041" s="261"/>
      <c r="M5041" s="261"/>
    </row>
    <row r="5042" spans="5:13">
      <c r="E5042" s="261"/>
      <c r="F5042" s="261"/>
      <c r="G5042" s="261"/>
      <c r="H5042" s="261"/>
      <c r="I5042" s="261"/>
      <c r="J5042" s="261"/>
      <c r="K5042" s="261"/>
      <c r="L5042" s="261"/>
      <c r="M5042" s="261"/>
    </row>
    <row r="5043" spans="5:13">
      <c r="E5043" s="261"/>
      <c r="F5043" s="261"/>
      <c r="G5043" s="261"/>
      <c r="H5043" s="261"/>
      <c r="I5043" s="261"/>
      <c r="J5043" s="261"/>
      <c r="K5043" s="261"/>
      <c r="L5043" s="261"/>
      <c r="M5043" s="261"/>
    </row>
    <row r="5044" spans="5:13">
      <c r="E5044" s="261"/>
      <c r="F5044" s="261"/>
      <c r="G5044" s="261"/>
      <c r="H5044" s="261"/>
      <c r="I5044" s="261"/>
      <c r="J5044" s="261"/>
      <c r="K5044" s="261"/>
      <c r="L5044" s="261"/>
      <c r="M5044" s="261"/>
    </row>
    <row r="5045" spans="5:13">
      <c r="E5045" s="261"/>
      <c r="F5045" s="261"/>
      <c r="G5045" s="261"/>
      <c r="H5045" s="261"/>
      <c r="I5045" s="261"/>
      <c r="J5045" s="261"/>
      <c r="K5045" s="261"/>
      <c r="L5045" s="261"/>
      <c r="M5045" s="261"/>
    </row>
    <row r="5046" spans="5:13">
      <c r="E5046" s="261"/>
      <c r="F5046" s="261"/>
      <c r="G5046" s="261"/>
      <c r="H5046" s="261"/>
      <c r="I5046" s="261"/>
      <c r="J5046" s="261"/>
      <c r="K5046" s="261"/>
      <c r="L5046" s="261"/>
      <c r="M5046" s="261"/>
    </row>
    <row r="5047" spans="5:13">
      <c r="E5047" s="261"/>
      <c r="F5047" s="261"/>
      <c r="G5047" s="261"/>
      <c r="H5047" s="261"/>
      <c r="I5047" s="261"/>
      <c r="J5047" s="261"/>
      <c r="K5047" s="261"/>
      <c r="L5047" s="261"/>
      <c r="M5047" s="261"/>
    </row>
    <row r="5048" spans="5:13">
      <c r="E5048" s="261"/>
      <c r="F5048" s="261"/>
      <c r="G5048" s="261"/>
      <c r="H5048" s="261"/>
      <c r="I5048" s="261"/>
      <c r="J5048" s="261"/>
      <c r="K5048" s="261"/>
      <c r="L5048" s="261"/>
      <c r="M5048" s="261"/>
    </row>
    <row r="5049" spans="5:13">
      <c r="E5049" s="261"/>
      <c r="F5049" s="261"/>
      <c r="G5049" s="261"/>
      <c r="H5049" s="261"/>
      <c r="I5049" s="261"/>
      <c r="J5049" s="261"/>
      <c r="K5049" s="261"/>
      <c r="L5049" s="261"/>
      <c r="M5049" s="261"/>
    </row>
    <row r="5050" spans="5:13">
      <c r="E5050" s="261"/>
      <c r="F5050" s="261"/>
      <c r="G5050" s="261"/>
      <c r="H5050" s="261"/>
      <c r="I5050" s="261"/>
      <c r="J5050" s="261"/>
      <c r="K5050" s="261"/>
      <c r="L5050" s="261"/>
      <c r="M5050" s="261"/>
    </row>
    <row r="5051" spans="5:13">
      <c r="E5051" s="261"/>
      <c r="F5051" s="261"/>
      <c r="G5051" s="261"/>
      <c r="H5051" s="261"/>
      <c r="I5051" s="261"/>
      <c r="J5051" s="261"/>
      <c r="K5051" s="261"/>
      <c r="L5051" s="261"/>
      <c r="M5051" s="261"/>
    </row>
    <row r="5052" spans="5:13">
      <c r="E5052" s="261"/>
      <c r="F5052" s="261"/>
      <c r="G5052" s="261"/>
      <c r="H5052" s="261"/>
      <c r="I5052" s="261"/>
      <c r="J5052" s="261"/>
      <c r="K5052" s="261"/>
      <c r="L5052" s="261"/>
      <c r="M5052" s="261"/>
    </row>
    <row r="5053" spans="5:13">
      <c r="E5053" s="261"/>
      <c r="F5053" s="261"/>
      <c r="G5053" s="261"/>
      <c r="H5053" s="261"/>
      <c r="I5053" s="261"/>
      <c r="J5053" s="261"/>
      <c r="K5053" s="261"/>
      <c r="L5053" s="261"/>
      <c r="M5053" s="261"/>
    </row>
    <row r="5054" spans="5:13">
      <c r="E5054" s="261"/>
      <c r="F5054" s="261"/>
      <c r="G5054" s="261"/>
      <c r="H5054" s="261"/>
      <c r="I5054" s="261"/>
      <c r="J5054" s="261"/>
      <c r="K5054" s="261"/>
      <c r="L5054" s="261"/>
      <c r="M5054" s="261"/>
    </row>
    <row r="5055" spans="5:13">
      <c r="E5055" s="261"/>
      <c r="F5055" s="261"/>
      <c r="G5055" s="261"/>
      <c r="H5055" s="261"/>
      <c r="I5055" s="261"/>
      <c r="J5055" s="261"/>
      <c r="K5055" s="261"/>
      <c r="L5055" s="261"/>
      <c r="M5055" s="261"/>
    </row>
    <row r="5056" spans="5:13">
      <c r="E5056" s="261"/>
      <c r="F5056" s="261"/>
      <c r="G5056" s="261"/>
      <c r="H5056" s="261"/>
      <c r="I5056" s="261"/>
      <c r="J5056" s="261"/>
      <c r="K5056" s="261"/>
      <c r="L5056" s="261"/>
      <c r="M5056" s="261"/>
    </row>
    <row r="5057" spans="5:13">
      <c r="E5057" s="261"/>
      <c r="F5057" s="261"/>
      <c r="G5057" s="261"/>
      <c r="H5057" s="261"/>
      <c r="I5057" s="261"/>
      <c r="J5057" s="261"/>
      <c r="K5057" s="261"/>
      <c r="L5057" s="261"/>
      <c r="M5057" s="261"/>
    </row>
    <row r="5058" spans="5:13">
      <c r="E5058" s="261"/>
      <c r="F5058" s="261"/>
      <c r="G5058" s="261"/>
      <c r="H5058" s="261"/>
      <c r="I5058" s="261"/>
      <c r="J5058" s="261"/>
      <c r="K5058" s="261"/>
      <c r="L5058" s="261"/>
      <c r="M5058" s="261"/>
    </row>
    <row r="5059" spans="5:13">
      <c r="E5059" s="261"/>
      <c r="F5059" s="261"/>
      <c r="G5059" s="261"/>
      <c r="H5059" s="261"/>
      <c r="I5059" s="261"/>
      <c r="J5059" s="261"/>
      <c r="K5059" s="261"/>
      <c r="L5059" s="261"/>
      <c r="M5059" s="261"/>
    </row>
    <row r="5060" spans="5:13">
      <c r="E5060" s="261"/>
      <c r="F5060" s="261"/>
      <c r="G5060" s="261"/>
      <c r="H5060" s="261"/>
      <c r="I5060" s="261"/>
      <c r="J5060" s="261"/>
      <c r="K5060" s="261"/>
      <c r="L5060" s="261"/>
      <c r="M5060" s="261"/>
    </row>
    <row r="5061" spans="5:13">
      <c r="E5061" s="261"/>
      <c r="F5061" s="261"/>
      <c r="G5061" s="261"/>
      <c r="H5061" s="261"/>
      <c r="I5061" s="261"/>
      <c r="J5061" s="261"/>
      <c r="K5061" s="261"/>
      <c r="L5061" s="261"/>
      <c r="M5061" s="261"/>
    </row>
    <row r="5062" spans="5:13">
      <c r="E5062" s="261"/>
      <c r="F5062" s="261"/>
      <c r="G5062" s="261"/>
      <c r="H5062" s="261"/>
      <c r="I5062" s="261"/>
      <c r="J5062" s="261"/>
      <c r="K5062" s="261"/>
      <c r="L5062" s="261"/>
      <c r="M5062" s="261"/>
    </row>
    <row r="5063" spans="5:13">
      <c r="E5063" s="261"/>
      <c r="F5063" s="261"/>
      <c r="G5063" s="261"/>
      <c r="H5063" s="261"/>
      <c r="I5063" s="261"/>
      <c r="J5063" s="261"/>
      <c r="K5063" s="261"/>
      <c r="L5063" s="261"/>
      <c r="M5063" s="261"/>
    </row>
    <row r="5064" spans="5:13">
      <c r="E5064" s="261"/>
      <c r="F5064" s="261"/>
      <c r="G5064" s="261"/>
      <c r="H5064" s="261"/>
      <c r="I5064" s="261"/>
      <c r="J5064" s="261"/>
      <c r="K5064" s="261"/>
      <c r="L5064" s="261"/>
      <c r="M5064" s="261"/>
    </row>
    <row r="5065" spans="5:13">
      <c r="E5065" s="261"/>
      <c r="F5065" s="261"/>
      <c r="G5065" s="261"/>
      <c r="H5065" s="261"/>
      <c r="I5065" s="261"/>
      <c r="J5065" s="261"/>
      <c r="K5065" s="261"/>
      <c r="L5065" s="261"/>
      <c r="M5065" s="261"/>
    </row>
    <row r="5066" spans="5:13">
      <c r="E5066" s="261"/>
      <c r="F5066" s="261"/>
      <c r="G5066" s="261"/>
      <c r="H5066" s="261"/>
      <c r="I5066" s="261"/>
      <c r="J5066" s="261"/>
      <c r="K5066" s="261"/>
      <c r="L5066" s="261"/>
      <c r="M5066" s="261"/>
    </row>
    <row r="5067" spans="5:13">
      <c r="E5067" s="261"/>
      <c r="F5067" s="261"/>
      <c r="G5067" s="261"/>
      <c r="H5067" s="261"/>
      <c r="I5067" s="261"/>
      <c r="J5067" s="261"/>
      <c r="K5067" s="261"/>
      <c r="L5067" s="261"/>
      <c r="M5067" s="261"/>
    </row>
    <row r="5068" spans="5:13">
      <c r="E5068" s="261"/>
      <c r="F5068" s="261"/>
      <c r="G5068" s="261"/>
      <c r="H5068" s="261"/>
      <c r="I5068" s="261"/>
      <c r="J5068" s="261"/>
      <c r="K5068" s="261"/>
      <c r="L5068" s="261"/>
      <c r="M5068" s="261"/>
    </row>
    <row r="5069" spans="5:13">
      <c r="E5069" s="261"/>
      <c r="F5069" s="261"/>
      <c r="G5069" s="261"/>
      <c r="H5069" s="261"/>
      <c r="I5069" s="261"/>
      <c r="J5069" s="261"/>
      <c r="K5069" s="261"/>
      <c r="L5069" s="261"/>
      <c r="M5069" s="261"/>
    </row>
    <row r="5070" spans="5:13">
      <c r="E5070" s="261"/>
      <c r="F5070" s="261"/>
      <c r="G5070" s="261"/>
      <c r="H5070" s="261"/>
      <c r="I5070" s="261"/>
      <c r="J5070" s="261"/>
      <c r="K5070" s="261"/>
      <c r="L5070" s="261"/>
      <c r="M5070" s="261"/>
    </row>
    <row r="5071" spans="5:13">
      <c r="E5071" s="261"/>
      <c r="F5071" s="261"/>
      <c r="G5071" s="261"/>
      <c r="H5071" s="261"/>
      <c r="I5071" s="261"/>
      <c r="J5071" s="261"/>
      <c r="K5071" s="261"/>
      <c r="L5071" s="261"/>
      <c r="M5071" s="261"/>
    </row>
    <row r="5072" spans="5:13">
      <c r="E5072" s="261"/>
      <c r="F5072" s="261"/>
      <c r="G5072" s="261"/>
      <c r="H5072" s="261"/>
      <c r="I5072" s="261"/>
      <c r="J5072" s="261"/>
      <c r="K5072" s="261"/>
      <c r="L5072" s="261"/>
      <c r="M5072" s="261"/>
    </row>
    <row r="5073" spans="5:13">
      <c r="E5073" s="261"/>
      <c r="F5073" s="261"/>
      <c r="G5073" s="261"/>
      <c r="H5073" s="261"/>
      <c r="I5073" s="261"/>
      <c r="J5073" s="261"/>
      <c r="K5073" s="261"/>
      <c r="L5073" s="261"/>
      <c r="M5073" s="261"/>
    </row>
    <row r="5074" spans="5:13">
      <c r="E5074" s="261"/>
      <c r="F5074" s="261"/>
      <c r="G5074" s="261"/>
      <c r="H5074" s="261"/>
      <c r="I5074" s="261"/>
      <c r="J5074" s="261"/>
      <c r="K5074" s="261"/>
      <c r="L5074" s="261"/>
      <c r="M5074" s="261"/>
    </row>
    <row r="5075" spans="5:13">
      <c r="E5075" s="261"/>
      <c r="F5075" s="261"/>
      <c r="G5075" s="261"/>
      <c r="H5075" s="261"/>
      <c r="I5075" s="261"/>
      <c r="J5075" s="261"/>
      <c r="K5075" s="261"/>
      <c r="L5075" s="261"/>
      <c r="M5075" s="261"/>
    </row>
    <row r="5076" spans="5:13">
      <c r="E5076" s="261"/>
      <c r="F5076" s="261"/>
      <c r="G5076" s="261"/>
      <c r="H5076" s="261"/>
      <c r="I5076" s="261"/>
      <c r="J5076" s="261"/>
      <c r="K5076" s="261"/>
      <c r="L5076" s="261"/>
      <c r="M5076" s="261"/>
    </row>
    <row r="5077" spans="5:13">
      <c r="E5077" s="261"/>
      <c r="F5077" s="261"/>
      <c r="G5077" s="261"/>
      <c r="H5077" s="261"/>
      <c r="I5077" s="261"/>
      <c r="J5077" s="261"/>
      <c r="K5077" s="261"/>
      <c r="L5077" s="261"/>
      <c r="M5077" s="261"/>
    </row>
    <row r="5078" spans="5:13">
      <c r="E5078" s="261"/>
      <c r="F5078" s="261"/>
      <c r="G5078" s="261"/>
      <c r="H5078" s="261"/>
      <c r="I5078" s="261"/>
      <c r="J5078" s="261"/>
      <c r="K5078" s="261"/>
      <c r="L5078" s="261"/>
      <c r="M5078" s="261"/>
    </row>
    <row r="5079" spans="5:13">
      <c r="E5079" s="261"/>
      <c r="F5079" s="261"/>
      <c r="G5079" s="261"/>
      <c r="H5079" s="261"/>
      <c r="I5079" s="261"/>
      <c r="J5079" s="261"/>
      <c r="K5079" s="261"/>
      <c r="L5079" s="261"/>
      <c r="M5079" s="261"/>
    </row>
    <row r="5080" spans="5:13">
      <c r="E5080" s="261"/>
      <c r="F5080" s="261"/>
      <c r="G5080" s="261"/>
      <c r="H5080" s="261"/>
      <c r="I5080" s="261"/>
      <c r="J5080" s="261"/>
      <c r="K5080" s="261"/>
      <c r="L5080" s="261"/>
      <c r="M5080" s="261"/>
    </row>
    <row r="5081" spans="5:13">
      <c r="E5081" s="261"/>
      <c r="F5081" s="261"/>
      <c r="G5081" s="261"/>
      <c r="H5081" s="261"/>
      <c r="I5081" s="261"/>
      <c r="J5081" s="261"/>
      <c r="K5081" s="261"/>
      <c r="L5081" s="261"/>
      <c r="M5081" s="261"/>
    </row>
    <row r="5082" spans="5:13">
      <c r="E5082" s="261"/>
      <c r="F5082" s="261"/>
      <c r="G5082" s="261"/>
      <c r="H5082" s="261"/>
      <c r="I5082" s="261"/>
      <c r="J5082" s="261"/>
      <c r="K5082" s="261"/>
      <c r="L5082" s="261"/>
      <c r="M5082" s="261"/>
    </row>
    <row r="5083" spans="5:13">
      <c r="E5083" s="261"/>
      <c r="F5083" s="261"/>
      <c r="G5083" s="261"/>
      <c r="H5083" s="261"/>
      <c r="I5083" s="261"/>
      <c r="J5083" s="261"/>
      <c r="K5083" s="261"/>
      <c r="L5083" s="261"/>
      <c r="M5083" s="261"/>
    </row>
    <row r="5084" spans="5:13">
      <c r="E5084" s="261"/>
      <c r="F5084" s="261"/>
      <c r="G5084" s="261"/>
      <c r="H5084" s="261"/>
      <c r="I5084" s="261"/>
      <c r="J5084" s="261"/>
      <c r="K5084" s="261"/>
      <c r="L5084" s="261"/>
      <c r="M5084" s="261"/>
    </row>
    <row r="5085" spans="5:13">
      <c r="E5085" s="261"/>
      <c r="F5085" s="261"/>
      <c r="G5085" s="261"/>
      <c r="H5085" s="261"/>
      <c r="I5085" s="261"/>
      <c r="J5085" s="261"/>
      <c r="K5085" s="261"/>
      <c r="L5085" s="261"/>
      <c r="M5085" s="261"/>
    </row>
    <row r="5086" spans="5:13">
      <c r="E5086" s="261"/>
      <c r="F5086" s="261"/>
      <c r="G5086" s="261"/>
      <c r="H5086" s="261"/>
      <c r="I5086" s="261"/>
      <c r="J5086" s="261"/>
      <c r="K5086" s="261"/>
      <c r="L5086" s="261"/>
      <c r="M5086" s="261"/>
    </row>
    <row r="5087" spans="5:13">
      <c r="E5087" s="261"/>
      <c r="F5087" s="261"/>
      <c r="G5087" s="261"/>
      <c r="H5087" s="261"/>
      <c r="I5087" s="261"/>
      <c r="J5087" s="261"/>
      <c r="K5087" s="261"/>
      <c r="L5087" s="261"/>
      <c r="M5087" s="261"/>
    </row>
    <row r="5088" spans="5:13">
      <c r="E5088" s="261"/>
      <c r="F5088" s="261"/>
      <c r="G5088" s="261"/>
      <c r="H5088" s="261"/>
      <c r="I5088" s="261"/>
      <c r="J5088" s="261"/>
      <c r="K5088" s="261"/>
      <c r="L5088" s="261"/>
      <c r="M5088" s="261"/>
    </row>
    <row r="5089" spans="5:13">
      <c r="E5089" s="261"/>
      <c r="F5089" s="261"/>
      <c r="G5089" s="261"/>
      <c r="H5089" s="261"/>
      <c r="I5089" s="261"/>
      <c r="J5089" s="261"/>
      <c r="K5089" s="261"/>
      <c r="L5089" s="261"/>
      <c r="M5089" s="261"/>
    </row>
    <row r="5090" spans="5:13">
      <c r="E5090" s="261"/>
      <c r="F5090" s="261"/>
      <c r="G5090" s="261"/>
      <c r="H5090" s="261"/>
      <c r="I5090" s="261"/>
      <c r="J5090" s="261"/>
      <c r="K5090" s="261"/>
      <c r="L5090" s="261"/>
      <c r="M5090" s="261"/>
    </row>
    <row r="5091" spans="5:13">
      <c r="E5091" s="261"/>
      <c r="F5091" s="261"/>
      <c r="G5091" s="261"/>
      <c r="H5091" s="261"/>
      <c r="I5091" s="261"/>
      <c r="J5091" s="261"/>
      <c r="K5091" s="261"/>
      <c r="L5091" s="261"/>
      <c r="M5091" s="261"/>
    </row>
    <row r="5092" spans="5:13">
      <c r="E5092" s="261"/>
      <c r="F5092" s="261"/>
      <c r="G5092" s="261"/>
      <c r="H5092" s="261"/>
      <c r="I5092" s="261"/>
      <c r="J5092" s="261"/>
      <c r="K5092" s="261"/>
      <c r="L5092" s="261"/>
      <c r="M5092" s="261"/>
    </row>
    <row r="5093" spans="5:13">
      <c r="E5093" s="261"/>
      <c r="F5093" s="261"/>
      <c r="G5093" s="261"/>
      <c r="H5093" s="261"/>
      <c r="I5093" s="261"/>
      <c r="J5093" s="261"/>
      <c r="K5093" s="261"/>
      <c r="L5093" s="261"/>
      <c r="M5093" s="261"/>
    </row>
    <row r="5094" spans="5:13">
      <c r="E5094" s="261"/>
      <c r="F5094" s="261"/>
      <c r="G5094" s="261"/>
      <c r="H5094" s="261"/>
      <c r="I5094" s="261"/>
      <c r="J5094" s="261"/>
      <c r="K5094" s="261"/>
      <c r="L5094" s="261"/>
      <c r="M5094" s="261"/>
    </row>
    <row r="5095" spans="5:13">
      <c r="E5095" s="261"/>
      <c r="F5095" s="261"/>
      <c r="G5095" s="261"/>
      <c r="H5095" s="261"/>
      <c r="I5095" s="261"/>
      <c r="J5095" s="261"/>
      <c r="K5095" s="261"/>
      <c r="L5095" s="261"/>
      <c r="M5095" s="261"/>
    </row>
    <row r="5096" spans="5:13">
      <c r="E5096" s="261"/>
      <c r="F5096" s="261"/>
      <c r="G5096" s="261"/>
      <c r="H5096" s="261"/>
      <c r="I5096" s="261"/>
      <c r="J5096" s="261"/>
      <c r="K5096" s="261"/>
      <c r="L5096" s="261"/>
      <c r="M5096" s="261"/>
    </row>
    <row r="5097" spans="5:13">
      <c r="E5097" s="261"/>
      <c r="F5097" s="261"/>
      <c r="G5097" s="261"/>
      <c r="H5097" s="261"/>
      <c r="I5097" s="261"/>
      <c r="J5097" s="261"/>
      <c r="K5097" s="261"/>
      <c r="L5097" s="261"/>
      <c r="M5097" s="261"/>
    </row>
    <row r="5098" spans="5:13">
      <c r="E5098" s="261"/>
      <c r="F5098" s="261"/>
      <c r="G5098" s="261"/>
      <c r="H5098" s="261"/>
      <c r="I5098" s="261"/>
      <c r="J5098" s="261"/>
      <c r="K5098" s="261"/>
      <c r="L5098" s="261"/>
      <c r="M5098" s="261"/>
    </row>
    <row r="5099" spans="5:13">
      <c r="E5099" s="261"/>
      <c r="F5099" s="261"/>
      <c r="G5099" s="261"/>
      <c r="H5099" s="261"/>
      <c r="I5099" s="261"/>
      <c r="J5099" s="261"/>
      <c r="K5099" s="261"/>
      <c r="L5099" s="261"/>
      <c r="M5099" s="261"/>
    </row>
    <row r="5100" spans="5:13">
      <c r="E5100" s="261"/>
      <c r="F5100" s="261"/>
      <c r="G5100" s="261"/>
      <c r="H5100" s="261"/>
      <c r="I5100" s="261"/>
      <c r="J5100" s="261"/>
      <c r="K5100" s="261"/>
      <c r="L5100" s="261"/>
      <c r="M5100" s="261"/>
    </row>
    <row r="5101" spans="5:13">
      <c r="E5101" s="261"/>
      <c r="F5101" s="261"/>
      <c r="G5101" s="261"/>
      <c r="H5101" s="261"/>
      <c r="I5101" s="261"/>
      <c r="J5101" s="261"/>
      <c r="K5101" s="261"/>
      <c r="L5101" s="261"/>
      <c r="M5101" s="261"/>
    </row>
    <row r="5102" spans="5:13">
      <c r="E5102" s="261"/>
      <c r="F5102" s="261"/>
      <c r="G5102" s="261"/>
      <c r="H5102" s="261"/>
      <c r="I5102" s="261"/>
      <c r="J5102" s="261"/>
      <c r="K5102" s="261"/>
      <c r="L5102" s="261"/>
      <c r="M5102" s="261"/>
    </row>
    <row r="5103" spans="5:13">
      <c r="E5103" s="261"/>
      <c r="F5103" s="261"/>
      <c r="G5103" s="261"/>
      <c r="H5103" s="261"/>
      <c r="I5103" s="261"/>
      <c r="J5103" s="261"/>
      <c r="K5103" s="261"/>
      <c r="L5103" s="261"/>
      <c r="M5103" s="261"/>
    </row>
    <row r="5104" spans="5:13">
      <c r="E5104" s="261"/>
      <c r="F5104" s="261"/>
      <c r="G5104" s="261"/>
      <c r="H5104" s="261"/>
      <c r="I5104" s="261"/>
      <c r="J5104" s="261"/>
      <c r="K5104" s="261"/>
      <c r="L5104" s="261"/>
      <c r="M5104" s="261"/>
    </row>
    <row r="5105" spans="5:13">
      <c r="E5105" s="261"/>
      <c r="F5105" s="261"/>
      <c r="G5105" s="261"/>
      <c r="H5105" s="261"/>
      <c r="I5105" s="261"/>
      <c r="J5105" s="261"/>
      <c r="K5105" s="261"/>
      <c r="L5105" s="261"/>
      <c r="M5105" s="261"/>
    </row>
    <row r="5106" spans="5:13">
      <c r="E5106" s="261"/>
      <c r="F5106" s="261"/>
      <c r="G5106" s="261"/>
      <c r="H5106" s="261"/>
      <c r="I5106" s="261"/>
      <c r="J5106" s="261"/>
      <c r="K5106" s="261"/>
      <c r="L5106" s="261"/>
      <c r="M5106" s="261"/>
    </row>
    <row r="5107" spans="5:13">
      <c r="E5107" s="261"/>
      <c r="F5107" s="261"/>
      <c r="G5107" s="261"/>
      <c r="H5107" s="261"/>
      <c r="I5107" s="261"/>
      <c r="J5107" s="261"/>
      <c r="K5107" s="261"/>
      <c r="L5107" s="261"/>
      <c r="M5107" s="261"/>
    </row>
    <row r="5108" spans="5:13">
      <c r="E5108" s="261"/>
      <c r="F5108" s="261"/>
      <c r="G5108" s="261"/>
      <c r="H5108" s="261"/>
      <c r="I5108" s="261"/>
      <c r="J5108" s="261"/>
      <c r="K5108" s="261"/>
      <c r="L5108" s="261"/>
      <c r="M5108" s="261"/>
    </row>
    <row r="5109" spans="5:13">
      <c r="E5109" s="261"/>
      <c r="F5109" s="261"/>
      <c r="G5109" s="261"/>
      <c r="H5109" s="261"/>
      <c r="I5109" s="261"/>
      <c r="J5109" s="261"/>
      <c r="K5109" s="261"/>
      <c r="L5109" s="261"/>
      <c r="M5109" s="261"/>
    </row>
    <row r="5110" spans="5:13">
      <c r="E5110" s="261"/>
      <c r="F5110" s="261"/>
      <c r="G5110" s="261"/>
      <c r="H5110" s="261"/>
      <c r="I5110" s="261"/>
      <c r="J5110" s="261"/>
      <c r="K5110" s="261"/>
      <c r="L5110" s="261"/>
      <c r="M5110" s="261"/>
    </row>
    <row r="5111" spans="5:13">
      <c r="E5111" s="261"/>
      <c r="F5111" s="261"/>
      <c r="G5111" s="261"/>
      <c r="H5111" s="261"/>
      <c r="I5111" s="261"/>
      <c r="J5111" s="261"/>
      <c r="K5111" s="261"/>
      <c r="L5111" s="261"/>
      <c r="M5111" s="261"/>
    </row>
    <row r="5112" spans="5:13">
      <c r="E5112" s="261"/>
      <c r="F5112" s="261"/>
      <c r="G5112" s="261"/>
      <c r="H5112" s="261"/>
      <c r="I5112" s="261"/>
      <c r="J5112" s="261"/>
      <c r="K5112" s="261"/>
      <c r="L5112" s="261"/>
      <c r="M5112" s="261"/>
    </row>
    <row r="5113" spans="5:13">
      <c r="E5113" s="261"/>
      <c r="F5113" s="261"/>
      <c r="G5113" s="261"/>
      <c r="H5113" s="261"/>
      <c r="I5113" s="261"/>
      <c r="J5113" s="261"/>
      <c r="K5113" s="261"/>
      <c r="L5113" s="261"/>
      <c r="M5113" s="261"/>
    </row>
    <row r="5114" spans="5:13">
      <c r="E5114" s="261"/>
      <c r="F5114" s="261"/>
      <c r="G5114" s="261"/>
      <c r="H5114" s="261"/>
      <c r="I5114" s="261"/>
      <c r="J5114" s="261"/>
      <c r="K5114" s="261"/>
      <c r="L5114" s="261"/>
      <c r="M5114" s="261"/>
    </row>
    <row r="5115" spans="5:13">
      <c r="E5115" s="261"/>
      <c r="F5115" s="261"/>
      <c r="G5115" s="261"/>
      <c r="H5115" s="261"/>
      <c r="I5115" s="261"/>
      <c r="J5115" s="261"/>
      <c r="K5115" s="261"/>
      <c r="L5115" s="261"/>
      <c r="M5115" s="261"/>
    </row>
    <row r="5116" spans="5:13">
      <c r="E5116" s="261"/>
      <c r="F5116" s="261"/>
      <c r="G5116" s="261"/>
      <c r="H5116" s="261"/>
      <c r="I5116" s="261"/>
      <c r="J5116" s="261"/>
      <c r="K5116" s="261"/>
      <c r="L5116" s="261"/>
      <c r="M5116" s="261"/>
    </row>
    <row r="5117" spans="5:13">
      <c r="E5117" s="261"/>
      <c r="F5117" s="261"/>
      <c r="G5117" s="261"/>
      <c r="H5117" s="261"/>
      <c r="I5117" s="261"/>
      <c r="J5117" s="261"/>
      <c r="K5117" s="261"/>
      <c r="L5117" s="261"/>
      <c r="M5117" s="261"/>
    </row>
    <row r="5118" spans="5:13">
      <c r="E5118" s="261"/>
      <c r="F5118" s="261"/>
      <c r="G5118" s="261"/>
      <c r="H5118" s="261"/>
      <c r="I5118" s="261"/>
      <c r="J5118" s="261"/>
      <c r="K5118" s="261"/>
      <c r="L5118" s="261"/>
      <c r="M5118" s="261"/>
    </row>
    <row r="5119" spans="5:13">
      <c r="E5119" s="261"/>
      <c r="F5119" s="261"/>
      <c r="G5119" s="261"/>
      <c r="H5119" s="261"/>
      <c r="I5119" s="261"/>
      <c r="J5119" s="261"/>
      <c r="K5119" s="261"/>
      <c r="L5119" s="261"/>
      <c r="M5119" s="261"/>
    </row>
    <row r="5120" spans="5:13">
      <c r="E5120" s="261"/>
      <c r="F5120" s="261"/>
      <c r="G5120" s="261"/>
      <c r="H5120" s="261"/>
      <c r="I5120" s="261"/>
      <c r="J5120" s="261"/>
      <c r="K5120" s="261"/>
      <c r="L5120" s="261"/>
      <c r="M5120" s="261"/>
    </row>
    <row r="5121" spans="5:13">
      <c r="E5121" s="261"/>
      <c r="F5121" s="261"/>
      <c r="G5121" s="261"/>
      <c r="H5121" s="261"/>
      <c r="I5121" s="261"/>
      <c r="J5121" s="261"/>
      <c r="K5121" s="261"/>
      <c r="L5121" s="261"/>
      <c r="M5121" s="261"/>
    </row>
    <row r="5122" spans="5:13">
      <c r="E5122" s="261"/>
      <c r="F5122" s="261"/>
      <c r="G5122" s="261"/>
      <c r="H5122" s="261"/>
      <c r="I5122" s="261"/>
      <c r="J5122" s="261"/>
      <c r="K5122" s="261"/>
      <c r="L5122" s="261"/>
      <c r="M5122" s="261"/>
    </row>
    <row r="5123" spans="5:13">
      <c r="E5123" s="261"/>
      <c r="F5123" s="261"/>
      <c r="G5123" s="261"/>
      <c r="H5123" s="261"/>
      <c r="I5123" s="261"/>
      <c r="J5123" s="261"/>
      <c r="K5123" s="261"/>
      <c r="L5123" s="261"/>
      <c r="M5123" s="261"/>
    </row>
    <row r="5124" spans="5:13">
      <c r="E5124" s="261"/>
      <c r="F5124" s="261"/>
      <c r="G5124" s="261"/>
      <c r="H5124" s="261"/>
      <c r="I5124" s="261"/>
      <c r="J5124" s="261"/>
      <c r="K5124" s="261"/>
      <c r="L5124" s="261"/>
      <c r="M5124" s="261"/>
    </row>
    <row r="5125" spans="5:13">
      <c r="E5125" s="261"/>
      <c r="F5125" s="261"/>
      <c r="G5125" s="261"/>
      <c r="H5125" s="261"/>
      <c r="I5125" s="261"/>
      <c r="J5125" s="261"/>
      <c r="K5125" s="261"/>
      <c r="L5125" s="261"/>
      <c r="M5125" s="261"/>
    </row>
    <row r="5126" spans="5:13">
      <c r="E5126" s="261"/>
      <c r="F5126" s="261"/>
      <c r="G5126" s="261"/>
      <c r="H5126" s="261"/>
      <c r="I5126" s="261"/>
      <c r="J5126" s="261"/>
      <c r="K5126" s="261"/>
      <c r="L5126" s="261"/>
      <c r="M5126" s="261"/>
    </row>
    <row r="5127" spans="5:13">
      <c r="E5127" s="261"/>
      <c r="F5127" s="261"/>
      <c r="G5127" s="261"/>
      <c r="H5127" s="261"/>
      <c r="I5127" s="261"/>
      <c r="J5127" s="261"/>
      <c r="K5127" s="261"/>
      <c r="L5127" s="261"/>
      <c r="M5127" s="261"/>
    </row>
    <row r="5128" spans="5:13">
      <c r="E5128" s="261"/>
      <c r="F5128" s="261"/>
      <c r="G5128" s="261"/>
      <c r="H5128" s="261"/>
      <c r="I5128" s="261"/>
      <c r="J5128" s="261"/>
      <c r="K5128" s="261"/>
      <c r="L5128" s="261"/>
      <c r="M5128" s="261"/>
    </row>
    <row r="5129" spans="5:13">
      <c r="E5129" s="261"/>
      <c r="F5129" s="261"/>
      <c r="G5129" s="261"/>
      <c r="H5129" s="261"/>
      <c r="I5129" s="261"/>
      <c r="J5129" s="261"/>
      <c r="K5129" s="261"/>
      <c r="L5129" s="261"/>
      <c r="M5129" s="261"/>
    </row>
    <row r="5130" spans="5:13">
      <c r="E5130" s="261"/>
      <c r="F5130" s="261"/>
      <c r="G5130" s="261"/>
      <c r="H5130" s="261"/>
      <c r="I5130" s="261"/>
      <c r="J5130" s="261"/>
      <c r="K5130" s="261"/>
      <c r="L5130" s="261"/>
      <c r="M5130" s="261"/>
    </row>
    <row r="5131" spans="5:13">
      <c r="E5131" s="261"/>
      <c r="F5131" s="261"/>
      <c r="G5131" s="261"/>
      <c r="H5131" s="261"/>
      <c r="I5131" s="261"/>
      <c r="J5131" s="261"/>
      <c r="K5131" s="261"/>
      <c r="L5131" s="261"/>
      <c r="M5131" s="261"/>
    </row>
    <row r="5132" spans="5:13">
      <c r="E5132" s="261"/>
      <c r="F5132" s="261"/>
      <c r="G5132" s="261"/>
      <c r="H5132" s="261"/>
      <c r="I5132" s="261"/>
      <c r="J5132" s="261"/>
      <c r="K5132" s="261"/>
      <c r="L5132" s="261"/>
      <c r="M5132" s="261"/>
    </row>
    <row r="5133" spans="5:13">
      <c r="E5133" s="261"/>
      <c r="F5133" s="261"/>
      <c r="G5133" s="261"/>
      <c r="H5133" s="261"/>
      <c r="I5133" s="261"/>
      <c r="J5133" s="261"/>
      <c r="K5133" s="261"/>
      <c r="L5133" s="261"/>
      <c r="M5133" s="261"/>
    </row>
    <row r="5134" spans="5:13">
      <c r="E5134" s="261"/>
      <c r="F5134" s="261"/>
      <c r="G5134" s="261"/>
      <c r="H5134" s="261"/>
      <c r="I5134" s="261"/>
      <c r="J5134" s="261"/>
      <c r="K5134" s="261"/>
      <c r="L5134" s="261"/>
      <c r="M5134" s="261"/>
    </row>
    <row r="5135" spans="5:13">
      <c r="E5135" s="261"/>
      <c r="F5135" s="261"/>
      <c r="G5135" s="261"/>
      <c r="H5135" s="261"/>
      <c r="I5135" s="261"/>
      <c r="J5135" s="261"/>
      <c r="K5135" s="261"/>
      <c r="L5135" s="261"/>
      <c r="M5135" s="261"/>
    </row>
    <row r="5136" spans="5:13">
      <c r="E5136" s="261"/>
      <c r="F5136" s="261"/>
      <c r="G5136" s="261"/>
      <c r="H5136" s="261"/>
      <c r="I5136" s="261"/>
      <c r="J5136" s="261"/>
      <c r="K5136" s="261"/>
      <c r="L5136" s="261"/>
      <c r="M5136" s="261"/>
    </row>
    <row r="5137" spans="5:13">
      <c r="E5137" s="261"/>
      <c r="F5137" s="261"/>
      <c r="G5137" s="261"/>
      <c r="H5137" s="261"/>
      <c r="I5137" s="261"/>
      <c r="J5137" s="261"/>
      <c r="K5137" s="261"/>
      <c r="L5137" s="261"/>
      <c r="M5137" s="261"/>
    </row>
    <row r="5138" spans="5:13">
      <c r="E5138" s="261"/>
      <c r="F5138" s="261"/>
      <c r="G5138" s="261"/>
      <c r="H5138" s="261"/>
      <c r="I5138" s="261"/>
      <c r="J5138" s="261"/>
      <c r="K5138" s="261"/>
      <c r="L5138" s="261"/>
      <c r="M5138" s="261"/>
    </row>
    <row r="5139" spans="5:13">
      <c r="E5139" s="261"/>
      <c r="F5139" s="261"/>
      <c r="G5139" s="261"/>
      <c r="H5139" s="261"/>
      <c r="I5139" s="261"/>
      <c r="J5139" s="261"/>
      <c r="K5139" s="261"/>
      <c r="L5139" s="261"/>
      <c r="M5139" s="261"/>
    </row>
    <row r="5140" spans="5:13">
      <c r="E5140" s="261"/>
      <c r="F5140" s="261"/>
      <c r="G5140" s="261"/>
      <c r="H5140" s="261"/>
      <c r="I5140" s="261"/>
      <c r="J5140" s="261"/>
      <c r="K5140" s="261"/>
      <c r="L5140" s="261"/>
      <c r="M5140" s="261"/>
    </row>
    <row r="5141" spans="5:13">
      <c r="E5141" s="261"/>
      <c r="F5141" s="261"/>
      <c r="G5141" s="261"/>
      <c r="H5141" s="261"/>
      <c r="I5141" s="261"/>
      <c r="J5141" s="261"/>
      <c r="K5141" s="261"/>
      <c r="L5141" s="261"/>
      <c r="M5141" s="261"/>
    </row>
    <row r="5142" spans="5:13">
      <c r="E5142" s="261"/>
      <c r="F5142" s="261"/>
      <c r="G5142" s="261"/>
      <c r="H5142" s="261"/>
      <c r="I5142" s="261"/>
      <c r="J5142" s="261"/>
      <c r="K5142" s="261"/>
      <c r="L5142" s="261"/>
      <c r="M5142" s="261"/>
    </row>
    <row r="5143" spans="5:13">
      <c r="E5143" s="261"/>
      <c r="F5143" s="261"/>
      <c r="G5143" s="261"/>
      <c r="H5143" s="261"/>
      <c r="I5143" s="261"/>
      <c r="J5143" s="261"/>
      <c r="K5143" s="261"/>
      <c r="L5143" s="261"/>
      <c r="M5143" s="261"/>
    </row>
    <row r="5144" spans="5:13">
      <c r="E5144" s="261"/>
      <c r="F5144" s="261"/>
      <c r="G5144" s="261"/>
      <c r="H5144" s="261"/>
      <c r="I5144" s="261"/>
      <c r="J5144" s="261"/>
      <c r="K5144" s="261"/>
      <c r="L5144" s="261"/>
      <c r="M5144" s="261"/>
    </row>
    <row r="5145" spans="5:13">
      <c r="E5145" s="261"/>
      <c r="F5145" s="261"/>
      <c r="G5145" s="261"/>
      <c r="H5145" s="261"/>
      <c r="I5145" s="261"/>
      <c r="J5145" s="261"/>
      <c r="K5145" s="261"/>
      <c r="L5145" s="261"/>
      <c r="M5145" s="261"/>
    </row>
    <row r="5146" spans="5:13">
      <c r="E5146" s="261"/>
      <c r="F5146" s="261"/>
      <c r="G5146" s="261"/>
      <c r="H5146" s="261"/>
      <c r="I5146" s="261"/>
      <c r="J5146" s="261"/>
      <c r="K5146" s="261"/>
      <c r="L5146" s="261"/>
      <c r="M5146" s="261"/>
    </row>
    <row r="5147" spans="5:13">
      <c r="E5147" s="261"/>
      <c r="F5147" s="261"/>
      <c r="G5147" s="261"/>
      <c r="H5147" s="261"/>
      <c r="I5147" s="261"/>
      <c r="J5147" s="261"/>
      <c r="K5147" s="261"/>
      <c r="L5147" s="261"/>
      <c r="M5147" s="261"/>
    </row>
    <row r="5148" spans="5:13">
      <c r="E5148" s="261"/>
      <c r="F5148" s="261"/>
      <c r="G5148" s="261"/>
      <c r="H5148" s="261"/>
      <c r="I5148" s="261"/>
      <c r="J5148" s="261"/>
      <c r="K5148" s="261"/>
      <c r="L5148" s="261"/>
      <c r="M5148" s="261"/>
    </row>
    <row r="5149" spans="5:13">
      <c r="E5149" s="261"/>
      <c r="F5149" s="261"/>
      <c r="G5149" s="261"/>
      <c r="H5149" s="261"/>
      <c r="I5149" s="261"/>
      <c r="J5149" s="261"/>
      <c r="K5149" s="261"/>
      <c r="L5149" s="261"/>
      <c r="M5149" s="261"/>
    </row>
    <row r="5150" spans="5:13">
      <c r="E5150" s="261"/>
      <c r="F5150" s="261"/>
      <c r="G5150" s="261"/>
      <c r="H5150" s="261"/>
      <c r="I5150" s="261"/>
      <c r="J5150" s="261"/>
      <c r="K5150" s="261"/>
      <c r="L5150" s="261"/>
      <c r="M5150" s="261"/>
    </row>
    <row r="5151" spans="5:13">
      <c r="E5151" s="261"/>
      <c r="F5151" s="261"/>
      <c r="G5151" s="261"/>
      <c r="H5151" s="261"/>
      <c r="I5151" s="261"/>
      <c r="J5151" s="261"/>
      <c r="K5151" s="261"/>
      <c r="L5151" s="261"/>
      <c r="M5151" s="261"/>
    </row>
    <row r="5152" spans="5:13">
      <c r="E5152" s="261"/>
      <c r="F5152" s="261"/>
      <c r="G5152" s="261"/>
      <c r="H5152" s="261"/>
      <c r="I5152" s="261"/>
      <c r="J5152" s="261"/>
      <c r="K5152" s="261"/>
      <c r="L5152" s="261"/>
      <c r="M5152" s="261"/>
    </row>
    <row r="5153" spans="5:13">
      <c r="E5153" s="261"/>
      <c r="F5153" s="261"/>
      <c r="G5153" s="261"/>
      <c r="H5153" s="261"/>
      <c r="I5153" s="261"/>
      <c r="J5153" s="261"/>
      <c r="K5153" s="261"/>
      <c r="L5153" s="261"/>
      <c r="M5153" s="261"/>
    </row>
    <row r="5154" spans="5:13">
      <c r="E5154" s="261"/>
      <c r="F5154" s="261"/>
      <c r="G5154" s="261"/>
      <c r="H5154" s="261"/>
      <c r="I5154" s="261"/>
      <c r="J5154" s="261"/>
      <c r="K5154" s="261"/>
      <c r="L5154" s="261"/>
      <c r="M5154" s="261"/>
    </row>
    <row r="5155" spans="5:13">
      <c r="E5155" s="261"/>
      <c r="F5155" s="261"/>
      <c r="G5155" s="261"/>
      <c r="H5155" s="261"/>
      <c r="I5155" s="261"/>
      <c r="J5155" s="261"/>
      <c r="K5155" s="261"/>
      <c r="L5155" s="261"/>
      <c r="M5155" s="261"/>
    </row>
    <row r="5156" spans="5:13">
      <c r="E5156" s="261"/>
      <c r="F5156" s="261"/>
      <c r="G5156" s="261"/>
      <c r="H5156" s="261"/>
      <c r="I5156" s="261"/>
      <c r="J5156" s="261"/>
      <c r="K5156" s="261"/>
      <c r="L5156" s="261"/>
      <c r="M5156" s="261"/>
    </row>
    <row r="5157" spans="5:13">
      <c r="E5157" s="261"/>
      <c r="F5157" s="261"/>
      <c r="G5157" s="261"/>
      <c r="H5157" s="261"/>
      <c r="I5157" s="261"/>
      <c r="J5157" s="261"/>
      <c r="K5157" s="261"/>
      <c r="L5157" s="261"/>
      <c r="M5157" s="261"/>
    </row>
    <row r="5158" spans="5:13">
      <c r="E5158" s="261"/>
      <c r="F5158" s="261"/>
      <c r="G5158" s="261"/>
      <c r="H5158" s="261"/>
      <c r="I5158" s="261"/>
      <c r="J5158" s="261"/>
      <c r="K5158" s="261"/>
      <c r="L5158" s="261"/>
      <c r="M5158" s="261"/>
    </row>
    <row r="5159" spans="5:13">
      <c r="E5159" s="261"/>
      <c r="F5159" s="261"/>
      <c r="G5159" s="261"/>
      <c r="H5159" s="261"/>
      <c r="I5159" s="261"/>
      <c r="J5159" s="261"/>
      <c r="K5159" s="261"/>
      <c r="L5159" s="261"/>
      <c r="M5159" s="261"/>
    </row>
    <row r="5160" spans="5:13">
      <c r="E5160" s="261"/>
      <c r="F5160" s="261"/>
      <c r="G5160" s="261"/>
      <c r="H5160" s="261"/>
      <c r="I5160" s="261"/>
      <c r="J5160" s="261"/>
      <c r="K5160" s="261"/>
      <c r="L5160" s="261"/>
      <c r="M5160" s="261"/>
    </row>
    <row r="5161" spans="5:13">
      <c r="E5161" s="261"/>
      <c r="F5161" s="261"/>
      <c r="G5161" s="261"/>
      <c r="H5161" s="261"/>
      <c r="I5161" s="261"/>
      <c r="J5161" s="261"/>
      <c r="K5161" s="261"/>
      <c r="L5161" s="261"/>
      <c r="M5161" s="261"/>
    </row>
    <row r="5162" spans="5:13">
      <c r="E5162" s="261"/>
      <c r="F5162" s="261"/>
      <c r="G5162" s="261"/>
      <c r="H5162" s="261"/>
      <c r="I5162" s="261"/>
      <c r="J5162" s="261"/>
      <c r="K5162" s="261"/>
      <c r="L5162" s="261"/>
      <c r="M5162" s="261"/>
    </row>
    <row r="5163" spans="5:13">
      <c r="E5163" s="261"/>
      <c r="F5163" s="261"/>
      <c r="G5163" s="261"/>
      <c r="H5163" s="261"/>
      <c r="I5163" s="261"/>
      <c r="J5163" s="261"/>
      <c r="K5163" s="261"/>
      <c r="L5163" s="261"/>
      <c r="M5163" s="261"/>
    </row>
    <row r="5164" spans="5:13">
      <c r="E5164" s="261"/>
      <c r="F5164" s="261"/>
      <c r="G5164" s="261"/>
      <c r="H5164" s="261"/>
      <c r="I5164" s="261"/>
      <c r="J5164" s="261"/>
      <c r="K5164" s="261"/>
      <c r="L5164" s="261"/>
      <c r="M5164" s="261"/>
    </row>
    <row r="5165" spans="5:13">
      <c r="E5165" s="261"/>
      <c r="F5165" s="261"/>
      <c r="G5165" s="261"/>
      <c r="H5165" s="261"/>
      <c r="I5165" s="261"/>
      <c r="J5165" s="261"/>
      <c r="K5165" s="261"/>
      <c r="L5165" s="261"/>
      <c r="M5165" s="261"/>
    </row>
    <row r="5166" spans="5:13">
      <c r="E5166" s="261"/>
      <c r="F5166" s="261"/>
      <c r="G5166" s="261"/>
      <c r="H5166" s="261"/>
      <c r="I5166" s="261"/>
      <c r="J5166" s="261"/>
      <c r="K5166" s="261"/>
      <c r="L5166" s="261"/>
      <c r="M5166" s="261"/>
    </row>
    <row r="5167" spans="5:13">
      <c r="E5167" s="261"/>
      <c r="F5167" s="261"/>
      <c r="G5167" s="261"/>
      <c r="H5167" s="261"/>
      <c r="I5167" s="261"/>
      <c r="J5167" s="261"/>
      <c r="K5167" s="261"/>
      <c r="L5167" s="261"/>
      <c r="M5167" s="261"/>
    </row>
    <row r="5168" spans="5:13">
      <c r="E5168" s="261"/>
      <c r="F5168" s="261"/>
      <c r="G5168" s="261"/>
      <c r="H5168" s="261"/>
      <c r="I5168" s="261"/>
      <c r="J5168" s="261"/>
      <c r="K5168" s="261"/>
      <c r="L5168" s="261"/>
      <c r="M5168" s="261"/>
    </row>
    <row r="5169" spans="5:13">
      <c r="E5169" s="261"/>
      <c r="F5169" s="261"/>
      <c r="G5169" s="261"/>
      <c r="H5169" s="261"/>
      <c r="I5169" s="261"/>
      <c r="J5169" s="261"/>
      <c r="K5169" s="261"/>
      <c r="L5169" s="261"/>
      <c r="M5169" s="261"/>
    </row>
    <row r="5170" spans="5:13">
      <c r="E5170" s="261"/>
      <c r="F5170" s="261"/>
      <c r="G5170" s="261"/>
      <c r="H5170" s="261"/>
      <c r="I5170" s="261"/>
      <c r="J5170" s="261"/>
      <c r="K5170" s="261"/>
      <c r="L5170" s="261"/>
      <c r="M5170" s="261"/>
    </row>
    <row r="5171" spans="5:13">
      <c r="E5171" s="261"/>
      <c r="F5171" s="261"/>
      <c r="G5171" s="261"/>
      <c r="H5171" s="261"/>
      <c r="I5171" s="261"/>
      <c r="J5171" s="261"/>
      <c r="K5171" s="261"/>
      <c r="L5171" s="261"/>
      <c r="M5171" s="261"/>
    </row>
    <row r="5172" spans="5:13">
      <c r="E5172" s="261"/>
      <c r="F5172" s="261"/>
      <c r="G5172" s="261"/>
      <c r="H5172" s="261"/>
      <c r="I5172" s="261"/>
      <c r="J5172" s="261"/>
      <c r="K5172" s="261"/>
      <c r="L5172" s="261"/>
      <c r="M5172" s="261"/>
    </row>
    <row r="5173" spans="5:13">
      <c r="E5173" s="261"/>
      <c r="F5173" s="261"/>
      <c r="G5173" s="261"/>
      <c r="H5173" s="261"/>
      <c r="I5173" s="261"/>
      <c r="J5173" s="261"/>
      <c r="K5173" s="261"/>
      <c r="L5173" s="261"/>
      <c r="M5173" s="261"/>
    </row>
    <row r="5174" spans="5:13">
      <c r="E5174" s="261"/>
      <c r="F5174" s="261"/>
      <c r="G5174" s="261"/>
      <c r="H5174" s="261"/>
      <c r="I5174" s="261"/>
      <c r="J5174" s="261"/>
      <c r="K5174" s="261"/>
      <c r="L5174" s="261"/>
      <c r="M5174" s="261"/>
    </row>
    <row r="5175" spans="5:13">
      <c r="E5175" s="261"/>
      <c r="F5175" s="261"/>
      <c r="G5175" s="261"/>
      <c r="H5175" s="261"/>
      <c r="I5175" s="261"/>
      <c r="J5175" s="261"/>
      <c r="K5175" s="261"/>
      <c r="L5175" s="261"/>
      <c r="M5175" s="261"/>
    </row>
    <row r="5176" spans="5:13">
      <c r="E5176" s="261"/>
      <c r="F5176" s="261"/>
      <c r="G5176" s="261"/>
      <c r="H5176" s="261"/>
      <c r="I5176" s="261"/>
      <c r="J5176" s="261"/>
      <c r="K5176" s="261"/>
      <c r="L5176" s="261"/>
      <c r="M5176" s="261"/>
    </row>
    <row r="5177" spans="5:13">
      <c r="E5177" s="261"/>
      <c r="F5177" s="261"/>
      <c r="G5177" s="261"/>
      <c r="H5177" s="261"/>
      <c r="I5177" s="261"/>
      <c r="J5177" s="261"/>
      <c r="K5177" s="261"/>
      <c r="L5177" s="261"/>
      <c r="M5177" s="261"/>
    </row>
    <row r="5178" spans="5:13">
      <c r="E5178" s="261"/>
      <c r="F5178" s="261"/>
      <c r="G5178" s="261"/>
      <c r="H5178" s="261"/>
      <c r="I5178" s="261"/>
      <c r="J5178" s="261"/>
      <c r="K5178" s="261"/>
      <c r="L5178" s="261"/>
      <c r="M5178" s="261"/>
    </row>
    <row r="5179" spans="5:13">
      <c r="E5179" s="261"/>
      <c r="F5179" s="261"/>
      <c r="G5179" s="261"/>
      <c r="H5179" s="261"/>
      <c r="I5179" s="261"/>
      <c r="J5179" s="261"/>
      <c r="K5179" s="261"/>
      <c r="L5179" s="261"/>
      <c r="M5179" s="261"/>
    </row>
    <row r="5180" spans="5:13">
      <c r="E5180" s="261"/>
      <c r="F5180" s="261"/>
      <c r="G5180" s="261"/>
      <c r="H5180" s="261"/>
      <c r="I5180" s="261"/>
      <c r="J5180" s="261"/>
      <c r="K5180" s="261"/>
      <c r="L5180" s="261"/>
      <c r="M5180" s="261"/>
    </row>
    <row r="5181" spans="5:13">
      <c r="E5181" s="261"/>
      <c r="F5181" s="261"/>
      <c r="G5181" s="261"/>
      <c r="H5181" s="261"/>
      <c r="I5181" s="261"/>
      <c r="J5181" s="261"/>
      <c r="K5181" s="261"/>
      <c r="L5181" s="261"/>
      <c r="M5181" s="261"/>
    </row>
    <row r="5182" spans="5:13">
      <c r="E5182" s="261"/>
      <c r="F5182" s="261"/>
      <c r="G5182" s="261"/>
      <c r="H5182" s="261"/>
      <c r="I5182" s="261"/>
      <c r="J5182" s="261"/>
      <c r="K5182" s="261"/>
      <c r="L5182" s="261"/>
      <c r="M5182" s="261"/>
    </row>
    <row r="5183" spans="5:13">
      <c r="E5183" s="261"/>
      <c r="F5183" s="261"/>
      <c r="G5183" s="261"/>
      <c r="H5183" s="261"/>
      <c r="I5183" s="261"/>
      <c r="J5183" s="261"/>
      <c r="K5183" s="261"/>
      <c r="L5183" s="261"/>
      <c r="M5183" s="261"/>
    </row>
    <row r="5184" spans="5:13">
      <c r="E5184" s="261"/>
      <c r="F5184" s="261"/>
      <c r="G5184" s="261"/>
      <c r="H5184" s="261"/>
      <c r="I5184" s="261"/>
      <c r="J5184" s="261"/>
      <c r="K5184" s="261"/>
      <c r="L5184" s="261"/>
      <c r="M5184" s="261"/>
    </row>
    <row r="5185" spans="5:13">
      <c r="E5185" s="261"/>
      <c r="F5185" s="261"/>
      <c r="G5185" s="261"/>
      <c r="H5185" s="261"/>
      <c r="I5185" s="261"/>
      <c r="J5185" s="261"/>
      <c r="K5185" s="261"/>
      <c r="L5185" s="261"/>
      <c r="M5185" s="261"/>
    </row>
    <row r="5186" spans="5:13">
      <c r="E5186" s="261"/>
      <c r="F5186" s="261"/>
      <c r="G5186" s="261"/>
      <c r="H5186" s="261"/>
      <c r="I5186" s="261"/>
      <c r="J5186" s="261"/>
      <c r="K5186" s="261"/>
      <c r="L5186" s="261"/>
      <c r="M5186" s="261"/>
    </row>
    <row r="5187" spans="5:13">
      <c r="E5187" s="261"/>
      <c r="F5187" s="261"/>
      <c r="G5187" s="261"/>
      <c r="H5187" s="261"/>
      <c r="I5187" s="261"/>
      <c r="J5187" s="261"/>
      <c r="K5187" s="261"/>
      <c r="L5187" s="261"/>
      <c r="M5187" s="261"/>
    </row>
    <row r="5188" spans="5:13">
      <c r="E5188" s="261"/>
      <c r="F5188" s="261"/>
      <c r="G5188" s="261"/>
      <c r="H5188" s="261"/>
      <c r="I5188" s="261"/>
      <c r="J5188" s="261"/>
      <c r="K5188" s="261"/>
      <c r="L5188" s="261"/>
      <c r="M5188" s="261"/>
    </row>
    <row r="5189" spans="5:13">
      <c r="E5189" s="261"/>
      <c r="F5189" s="261"/>
      <c r="G5189" s="261"/>
      <c r="H5189" s="261"/>
      <c r="I5189" s="261"/>
      <c r="J5189" s="261"/>
      <c r="K5189" s="261"/>
      <c r="L5189" s="261"/>
      <c r="M5189" s="261"/>
    </row>
    <row r="5190" spans="5:13">
      <c r="E5190" s="261"/>
      <c r="F5190" s="261"/>
      <c r="G5190" s="261"/>
      <c r="H5190" s="261"/>
      <c r="I5190" s="261"/>
      <c r="J5190" s="261"/>
      <c r="K5190" s="261"/>
      <c r="L5190" s="261"/>
      <c r="M5190" s="261"/>
    </row>
    <row r="5191" spans="5:13">
      <c r="E5191" s="261"/>
      <c r="F5191" s="261"/>
      <c r="G5191" s="261"/>
      <c r="H5191" s="261"/>
      <c r="I5191" s="261"/>
      <c r="J5191" s="261"/>
      <c r="K5191" s="261"/>
      <c r="L5191" s="261"/>
      <c r="M5191" s="261"/>
    </row>
    <row r="5192" spans="5:13">
      <c r="E5192" s="261"/>
      <c r="F5192" s="261"/>
      <c r="G5192" s="261"/>
      <c r="H5192" s="261"/>
      <c r="I5192" s="261"/>
      <c r="J5192" s="261"/>
      <c r="K5192" s="261"/>
      <c r="L5192" s="261"/>
      <c r="M5192" s="261"/>
    </row>
    <row r="5193" spans="5:13">
      <c r="E5193" s="261"/>
      <c r="F5193" s="261"/>
      <c r="G5193" s="261"/>
      <c r="H5193" s="261"/>
      <c r="I5193" s="261"/>
      <c r="J5193" s="261"/>
      <c r="K5193" s="261"/>
      <c r="L5193" s="261"/>
      <c r="M5193" s="261"/>
    </row>
    <row r="5194" spans="5:13">
      <c r="E5194" s="261"/>
      <c r="F5194" s="261"/>
      <c r="G5194" s="261"/>
      <c r="H5194" s="261"/>
      <c r="I5194" s="261"/>
      <c r="J5194" s="261"/>
      <c r="K5194" s="261"/>
      <c r="L5194" s="261"/>
      <c r="M5194" s="261"/>
    </row>
    <row r="5195" spans="5:13">
      <c r="E5195" s="261"/>
      <c r="F5195" s="261"/>
      <c r="G5195" s="261"/>
      <c r="H5195" s="261"/>
      <c r="I5195" s="261"/>
      <c r="J5195" s="261"/>
      <c r="K5195" s="261"/>
      <c r="L5195" s="261"/>
      <c r="M5195" s="261"/>
    </row>
    <row r="5196" spans="5:13">
      <c r="E5196" s="261"/>
      <c r="F5196" s="261"/>
      <c r="G5196" s="261"/>
      <c r="H5196" s="261"/>
      <c r="I5196" s="261"/>
      <c r="J5196" s="261"/>
      <c r="K5196" s="261"/>
      <c r="L5196" s="261"/>
      <c r="M5196" s="261"/>
    </row>
    <row r="5197" spans="5:13">
      <c r="E5197" s="261"/>
      <c r="F5197" s="261"/>
      <c r="G5197" s="261"/>
      <c r="H5197" s="261"/>
      <c r="I5197" s="261"/>
      <c r="J5197" s="261"/>
      <c r="K5197" s="261"/>
      <c r="L5197" s="261"/>
      <c r="M5197" s="261"/>
    </row>
    <row r="5198" spans="5:13">
      <c r="E5198" s="261"/>
      <c r="F5198" s="261"/>
      <c r="G5198" s="261"/>
      <c r="H5198" s="261"/>
      <c r="I5198" s="261"/>
      <c r="J5198" s="261"/>
      <c r="K5198" s="261"/>
      <c r="L5198" s="261"/>
      <c r="M5198" s="261"/>
    </row>
    <row r="5199" spans="5:13">
      <c r="E5199" s="261"/>
      <c r="F5199" s="261"/>
      <c r="G5199" s="261"/>
      <c r="H5199" s="261"/>
      <c r="I5199" s="261"/>
      <c r="J5199" s="261"/>
      <c r="K5199" s="261"/>
      <c r="L5199" s="261"/>
      <c r="M5199" s="261"/>
    </row>
    <row r="5200" spans="5:13">
      <c r="E5200" s="261"/>
      <c r="F5200" s="261"/>
      <c r="G5200" s="261"/>
      <c r="H5200" s="261"/>
      <c r="I5200" s="261"/>
      <c r="J5200" s="261"/>
      <c r="K5200" s="261"/>
      <c r="L5200" s="261"/>
      <c r="M5200" s="261"/>
    </row>
    <row r="5201" spans="5:13">
      <c r="E5201" s="261"/>
      <c r="F5201" s="261"/>
      <c r="G5201" s="261"/>
      <c r="H5201" s="261"/>
      <c r="I5201" s="261"/>
      <c r="J5201" s="261"/>
      <c r="K5201" s="261"/>
      <c r="L5201" s="261"/>
      <c r="M5201" s="261"/>
    </row>
    <row r="5202" spans="5:13">
      <c r="E5202" s="261"/>
      <c r="F5202" s="261"/>
      <c r="G5202" s="261"/>
      <c r="H5202" s="261"/>
      <c r="I5202" s="261"/>
      <c r="J5202" s="261"/>
      <c r="K5202" s="261"/>
      <c r="L5202" s="261"/>
      <c r="M5202" s="261"/>
    </row>
    <row r="5203" spans="5:13">
      <c r="E5203" s="261"/>
      <c r="F5203" s="261"/>
      <c r="G5203" s="261"/>
      <c r="H5203" s="261"/>
      <c r="I5203" s="261"/>
      <c r="J5203" s="261"/>
      <c r="K5203" s="261"/>
      <c r="L5203" s="261"/>
      <c r="M5203" s="261"/>
    </row>
    <row r="5204" spans="5:13">
      <c r="E5204" s="261"/>
      <c r="F5204" s="261"/>
      <c r="G5204" s="261"/>
      <c r="H5204" s="261"/>
      <c r="I5204" s="261"/>
      <c r="J5204" s="261"/>
      <c r="K5204" s="261"/>
      <c r="L5204" s="261"/>
      <c r="M5204" s="261"/>
    </row>
    <row r="5205" spans="5:13">
      <c r="E5205" s="261"/>
      <c r="F5205" s="261"/>
      <c r="G5205" s="261"/>
      <c r="H5205" s="261"/>
      <c r="I5205" s="261"/>
      <c r="J5205" s="261"/>
      <c r="K5205" s="261"/>
      <c r="L5205" s="261"/>
      <c r="M5205" s="261"/>
    </row>
    <row r="5206" spans="5:13">
      <c r="E5206" s="261"/>
      <c r="F5206" s="261"/>
      <c r="G5206" s="261"/>
      <c r="H5206" s="261"/>
      <c r="I5206" s="261"/>
      <c r="J5206" s="261"/>
      <c r="K5206" s="261"/>
      <c r="L5206" s="261"/>
      <c r="M5206" s="261"/>
    </row>
    <row r="5207" spans="5:13">
      <c r="E5207" s="261"/>
      <c r="F5207" s="261"/>
      <c r="G5207" s="261"/>
      <c r="H5207" s="261"/>
      <c r="I5207" s="261"/>
      <c r="J5207" s="261"/>
      <c r="K5207" s="261"/>
      <c r="L5207" s="261"/>
      <c r="M5207" s="261"/>
    </row>
    <row r="5208" spans="5:13">
      <c r="E5208" s="261"/>
      <c r="F5208" s="261"/>
      <c r="G5208" s="261"/>
      <c r="H5208" s="261"/>
      <c r="I5208" s="261"/>
      <c r="J5208" s="261"/>
      <c r="K5208" s="261"/>
      <c r="L5208" s="261"/>
      <c r="M5208" s="261"/>
    </row>
    <row r="5209" spans="5:13">
      <c r="E5209" s="261"/>
      <c r="F5209" s="261"/>
      <c r="G5209" s="261"/>
      <c r="H5209" s="261"/>
      <c r="I5209" s="261"/>
      <c r="J5209" s="261"/>
      <c r="K5209" s="261"/>
      <c r="L5209" s="261"/>
      <c r="M5209" s="261"/>
    </row>
    <row r="5210" spans="5:13">
      <c r="E5210" s="261"/>
      <c r="F5210" s="261"/>
      <c r="G5210" s="261"/>
      <c r="H5210" s="261"/>
      <c r="I5210" s="261"/>
      <c r="J5210" s="261"/>
      <c r="K5210" s="261"/>
      <c r="L5210" s="261"/>
      <c r="M5210" s="261"/>
    </row>
    <row r="5211" spans="5:13">
      <c r="E5211" s="261"/>
      <c r="F5211" s="261"/>
      <c r="G5211" s="261"/>
      <c r="H5211" s="261"/>
      <c r="I5211" s="261"/>
      <c r="J5211" s="261"/>
      <c r="K5211" s="261"/>
      <c r="L5211" s="261"/>
      <c r="M5211" s="261"/>
    </row>
    <row r="5212" spans="5:13">
      <c r="E5212" s="261"/>
      <c r="F5212" s="261"/>
      <c r="G5212" s="261"/>
      <c r="H5212" s="261"/>
      <c r="I5212" s="261"/>
      <c r="J5212" s="261"/>
      <c r="K5212" s="261"/>
      <c r="L5212" s="261"/>
      <c r="M5212" s="261"/>
    </row>
    <row r="5213" spans="5:13">
      <c r="E5213" s="261"/>
      <c r="F5213" s="261"/>
      <c r="G5213" s="261"/>
      <c r="H5213" s="261"/>
      <c r="I5213" s="261"/>
      <c r="J5213" s="261"/>
      <c r="K5213" s="261"/>
      <c r="L5213" s="261"/>
      <c r="M5213" s="261"/>
    </row>
    <row r="5214" spans="5:13">
      <c r="E5214" s="261"/>
      <c r="F5214" s="261"/>
      <c r="G5214" s="261"/>
      <c r="H5214" s="261"/>
      <c r="I5214" s="261"/>
      <c r="J5214" s="261"/>
      <c r="K5214" s="261"/>
      <c r="L5214" s="261"/>
      <c r="M5214" s="261"/>
    </row>
    <row r="5215" spans="5:13">
      <c r="E5215" s="261"/>
      <c r="F5215" s="261"/>
      <c r="G5215" s="261"/>
      <c r="H5215" s="261"/>
      <c r="I5215" s="261"/>
      <c r="J5215" s="261"/>
      <c r="K5215" s="261"/>
      <c r="L5215" s="261"/>
      <c r="M5215" s="261"/>
    </row>
    <row r="5216" spans="5:13">
      <c r="E5216" s="261"/>
      <c r="F5216" s="261"/>
      <c r="G5216" s="261"/>
      <c r="H5216" s="261"/>
      <c r="I5216" s="261"/>
      <c r="J5216" s="261"/>
      <c r="K5216" s="261"/>
      <c r="L5216" s="261"/>
      <c r="M5216" s="261"/>
    </row>
    <row r="5217" spans="5:13">
      <c r="E5217" s="261"/>
      <c r="F5217" s="261"/>
      <c r="G5217" s="261"/>
      <c r="H5217" s="261"/>
      <c r="I5217" s="261"/>
      <c r="J5217" s="261"/>
      <c r="K5217" s="261"/>
      <c r="L5217" s="261"/>
      <c r="M5217" s="261"/>
    </row>
    <row r="5218" spans="5:13">
      <c r="E5218" s="261"/>
      <c r="F5218" s="261"/>
      <c r="G5218" s="261"/>
      <c r="H5218" s="261"/>
      <c r="I5218" s="261"/>
      <c r="J5218" s="261"/>
      <c r="K5218" s="261"/>
      <c r="L5218" s="261"/>
      <c r="M5218" s="261"/>
    </row>
    <row r="5219" spans="5:13">
      <c r="E5219" s="261"/>
      <c r="F5219" s="261"/>
      <c r="G5219" s="261"/>
      <c r="H5219" s="261"/>
      <c r="I5219" s="261"/>
      <c r="J5219" s="261"/>
      <c r="K5219" s="261"/>
      <c r="L5219" s="261"/>
      <c r="M5219" s="261"/>
    </row>
    <row r="5220" spans="5:13">
      <c r="E5220" s="261"/>
      <c r="F5220" s="261"/>
      <c r="G5220" s="261"/>
      <c r="H5220" s="261"/>
      <c r="I5220" s="261"/>
      <c r="J5220" s="261"/>
      <c r="K5220" s="261"/>
      <c r="L5220" s="261"/>
      <c r="M5220" s="261"/>
    </row>
    <row r="5221" spans="5:13">
      <c r="E5221" s="261"/>
      <c r="F5221" s="261"/>
      <c r="G5221" s="261"/>
      <c r="H5221" s="261"/>
      <c r="I5221" s="261"/>
      <c r="J5221" s="261"/>
      <c r="K5221" s="261"/>
      <c r="L5221" s="261"/>
      <c r="M5221" s="261"/>
    </row>
    <row r="5222" spans="5:13">
      <c r="E5222" s="261"/>
      <c r="F5222" s="261"/>
      <c r="G5222" s="261"/>
      <c r="H5222" s="261"/>
      <c r="I5222" s="261"/>
      <c r="J5222" s="261"/>
      <c r="K5222" s="261"/>
      <c r="L5222" s="261"/>
      <c r="M5222" s="261"/>
    </row>
    <row r="5223" spans="5:13">
      <c r="E5223" s="261"/>
      <c r="F5223" s="261"/>
      <c r="G5223" s="261"/>
      <c r="H5223" s="261"/>
      <c r="I5223" s="261"/>
      <c r="J5223" s="261"/>
      <c r="K5223" s="261"/>
      <c r="L5223" s="261"/>
      <c r="M5223" s="261"/>
    </row>
    <row r="5224" spans="5:13">
      <c r="E5224" s="261"/>
      <c r="F5224" s="261"/>
      <c r="G5224" s="261"/>
      <c r="H5224" s="261"/>
      <c r="I5224" s="261"/>
      <c r="J5224" s="261"/>
      <c r="K5224" s="261"/>
      <c r="L5224" s="261"/>
      <c r="M5224" s="261"/>
    </row>
    <row r="5225" spans="5:13">
      <c r="E5225" s="261"/>
      <c r="F5225" s="261"/>
      <c r="G5225" s="261"/>
      <c r="H5225" s="261"/>
      <c r="I5225" s="261"/>
      <c r="J5225" s="261"/>
      <c r="K5225" s="261"/>
      <c r="L5225" s="261"/>
      <c r="M5225" s="261"/>
    </row>
    <row r="5226" spans="5:13">
      <c r="E5226" s="261"/>
      <c r="F5226" s="261"/>
      <c r="G5226" s="261"/>
      <c r="H5226" s="261"/>
      <c r="I5226" s="261"/>
      <c r="J5226" s="261"/>
      <c r="K5226" s="261"/>
      <c r="L5226" s="261"/>
      <c r="M5226" s="261"/>
    </row>
    <row r="5227" spans="5:13">
      <c r="E5227" s="261"/>
      <c r="F5227" s="261"/>
      <c r="G5227" s="261"/>
      <c r="H5227" s="261"/>
      <c r="I5227" s="261"/>
      <c r="J5227" s="261"/>
      <c r="K5227" s="261"/>
      <c r="L5227" s="261"/>
      <c r="M5227" s="261"/>
    </row>
    <row r="5228" spans="5:13">
      <c r="E5228" s="261"/>
      <c r="F5228" s="261"/>
      <c r="G5228" s="261"/>
      <c r="H5228" s="261"/>
      <c r="I5228" s="261"/>
      <c r="J5228" s="261"/>
      <c r="K5228" s="261"/>
      <c r="L5228" s="261"/>
      <c r="M5228" s="261"/>
    </row>
    <row r="5229" spans="5:13">
      <c r="E5229" s="261"/>
      <c r="F5229" s="261"/>
      <c r="G5229" s="261"/>
      <c r="H5229" s="261"/>
      <c r="I5229" s="261"/>
      <c r="J5229" s="261"/>
      <c r="K5229" s="261"/>
      <c r="L5229" s="261"/>
      <c r="M5229" s="261"/>
    </row>
    <row r="5230" spans="5:13">
      <c r="E5230" s="261"/>
      <c r="F5230" s="261"/>
      <c r="G5230" s="261"/>
      <c r="H5230" s="261"/>
      <c r="I5230" s="261"/>
      <c r="J5230" s="261"/>
      <c r="K5230" s="261"/>
      <c r="L5230" s="261"/>
      <c r="M5230" s="261"/>
    </row>
    <row r="5231" spans="5:13">
      <c r="E5231" s="261"/>
      <c r="F5231" s="261"/>
      <c r="G5231" s="261"/>
      <c r="H5231" s="261"/>
      <c r="I5231" s="261"/>
      <c r="J5231" s="261"/>
      <c r="K5231" s="261"/>
      <c r="L5231" s="261"/>
      <c r="M5231" s="261"/>
    </row>
    <row r="5232" spans="5:13">
      <c r="E5232" s="261"/>
      <c r="F5232" s="261"/>
      <c r="G5232" s="261"/>
      <c r="H5232" s="261"/>
      <c r="I5232" s="261"/>
      <c r="J5232" s="261"/>
      <c r="K5232" s="261"/>
      <c r="L5232" s="261"/>
      <c r="M5232" s="261"/>
    </row>
    <row r="5233" spans="5:13">
      <c r="E5233" s="261"/>
      <c r="F5233" s="261"/>
      <c r="G5233" s="261"/>
      <c r="H5233" s="261"/>
      <c r="I5233" s="261"/>
      <c r="J5233" s="261"/>
      <c r="K5233" s="261"/>
      <c r="L5233" s="261"/>
      <c r="M5233" s="261"/>
    </row>
    <row r="5234" spans="5:13">
      <c r="E5234" s="261"/>
      <c r="F5234" s="261"/>
      <c r="G5234" s="261"/>
      <c r="H5234" s="261"/>
      <c r="I5234" s="261"/>
      <c r="J5234" s="261"/>
      <c r="K5234" s="261"/>
      <c r="L5234" s="261"/>
      <c r="M5234" s="261"/>
    </row>
    <row r="5235" spans="5:13">
      <c r="E5235" s="261"/>
      <c r="F5235" s="261"/>
      <c r="G5235" s="261"/>
      <c r="H5235" s="261"/>
      <c r="I5235" s="261"/>
      <c r="J5235" s="261"/>
      <c r="K5235" s="261"/>
      <c r="L5235" s="261"/>
      <c r="M5235" s="261"/>
    </row>
    <row r="5236" spans="5:13">
      <c r="E5236" s="261"/>
      <c r="F5236" s="261"/>
      <c r="G5236" s="261"/>
      <c r="H5236" s="261"/>
      <c r="I5236" s="261"/>
      <c r="J5236" s="261"/>
      <c r="K5236" s="261"/>
      <c r="L5236" s="261"/>
      <c r="M5236" s="261"/>
    </row>
    <row r="5237" spans="5:13">
      <c r="E5237" s="261"/>
      <c r="F5237" s="261"/>
      <c r="G5237" s="261"/>
      <c r="H5237" s="261"/>
      <c r="I5237" s="261"/>
      <c r="J5237" s="261"/>
      <c r="K5237" s="261"/>
      <c r="L5237" s="261"/>
      <c r="M5237" s="261"/>
    </row>
    <row r="5238" spans="5:13">
      <c r="E5238" s="261"/>
      <c r="F5238" s="261"/>
      <c r="G5238" s="261"/>
      <c r="H5238" s="261"/>
      <c r="I5238" s="261"/>
      <c r="J5238" s="261"/>
      <c r="K5238" s="261"/>
      <c r="L5238" s="261"/>
      <c r="M5238" s="261"/>
    </row>
    <row r="5239" spans="5:13">
      <c r="E5239" s="261"/>
      <c r="F5239" s="261"/>
      <c r="G5239" s="261"/>
      <c r="H5239" s="261"/>
      <c r="I5239" s="261"/>
      <c r="J5239" s="261"/>
      <c r="K5239" s="261"/>
      <c r="L5239" s="261"/>
      <c r="M5239" s="261"/>
    </row>
    <row r="5240" spans="5:13">
      <c r="E5240" s="261"/>
      <c r="F5240" s="261"/>
      <c r="G5240" s="261"/>
      <c r="H5240" s="261"/>
      <c r="I5240" s="261"/>
      <c r="J5240" s="261"/>
      <c r="K5240" s="261"/>
      <c r="L5240" s="261"/>
      <c r="M5240" s="261"/>
    </row>
    <row r="5241" spans="5:13">
      <c r="E5241" s="261"/>
      <c r="F5241" s="261"/>
      <c r="G5241" s="261"/>
      <c r="H5241" s="261"/>
      <c r="I5241" s="261"/>
      <c r="J5241" s="261"/>
      <c r="K5241" s="261"/>
      <c r="L5241" s="261"/>
      <c r="M5241" s="261"/>
    </row>
    <row r="5242" spans="5:13">
      <c r="E5242" s="261"/>
      <c r="F5242" s="261"/>
      <c r="G5242" s="261"/>
      <c r="H5242" s="261"/>
      <c r="I5242" s="261"/>
      <c r="J5242" s="261"/>
      <c r="K5242" s="261"/>
      <c r="L5242" s="261"/>
      <c r="M5242" s="261"/>
    </row>
    <row r="5243" spans="5:13">
      <c r="E5243" s="261"/>
      <c r="F5243" s="261"/>
      <c r="G5243" s="261"/>
      <c r="H5243" s="261"/>
      <c r="I5243" s="261"/>
      <c r="J5243" s="261"/>
      <c r="K5243" s="261"/>
      <c r="L5243" s="261"/>
      <c r="M5243" s="261"/>
    </row>
    <row r="5244" spans="5:13">
      <c r="E5244" s="261"/>
      <c r="F5244" s="261"/>
      <c r="G5244" s="261"/>
      <c r="H5244" s="261"/>
      <c r="I5244" s="261"/>
      <c r="J5244" s="261"/>
      <c r="K5244" s="261"/>
      <c r="L5244" s="261"/>
      <c r="M5244" s="261"/>
    </row>
    <row r="5245" spans="5:13">
      <c r="E5245" s="261"/>
      <c r="F5245" s="261"/>
      <c r="G5245" s="261"/>
      <c r="H5245" s="261"/>
      <c r="I5245" s="261"/>
      <c r="J5245" s="261"/>
      <c r="K5245" s="261"/>
      <c r="L5245" s="261"/>
      <c r="M5245" s="261"/>
    </row>
    <row r="5246" spans="5:13">
      <c r="E5246" s="261"/>
      <c r="F5246" s="261"/>
      <c r="G5246" s="261"/>
      <c r="H5246" s="261"/>
      <c r="I5246" s="261"/>
      <c r="J5246" s="261"/>
      <c r="K5246" s="261"/>
      <c r="L5246" s="261"/>
      <c r="M5246" s="261"/>
    </row>
    <row r="5247" spans="5:13">
      <c r="E5247" s="261"/>
      <c r="F5247" s="261"/>
      <c r="G5247" s="261"/>
      <c r="H5247" s="261"/>
      <c r="I5247" s="261"/>
      <c r="J5247" s="261"/>
      <c r="K5247" s="261"/>
      <c r="L5247" s="261"/>
      <c r="M5247" s="261"/>
    </row>
    <row r="5248" spans="5:13">
      <c r="E5248" s="261"/>
      <c r="F5248" s="261"/>
      <c r="G5248" s="261"/>
      <c r="H5248" s="261"/>
      <c r="I5248" s="261"/>
      <c r="J5248" s="261"/>
      <c r="K5248" s="261"/>
      <c r="L5248" s="261"/>
      <c r="M5248" s="261"/>
    </row>
    <row r="5249" spans="5:13">
      <c r="E5249" s="261"/>
      <c r="F5249" s="261"/>
      <c r="G5249" s="261"/>
      <c r="H5249" s="261"/>
      <c r="I5249" s="261"/>
      <c r="J5249" s="261"/>
      <c r="K5249" s="261"/>
      <c r="L5249" s="261"/>
      <c r="M5249" s="261"/>
    </row>
    <row r="5250" spans="5:13">
      <c r="E5250" s="261"/>
      <c r="F5250" s="261"/>
      <c r="G5250" s="261"/>
      <c r="H5250" s="261"/>
      <c r="I5250" s="261"/>
      <c r="J5250" s="261"/>
      <c r="K5250" s="261"/>
      <c r="L5250" s="261"/>
      <c r="M5250" s="261"/>
    </row>
    <row r="5251" spans="5:13">
      <c r="E5251" s="261"/>
      <c r="F5251" s="261"/>
      <c r="G5251" s="261"/>
      <c r="H5251" s="261"/>
      <c r="I5251" s="261"/>
      <c r="J5251" s="261"/>
      <c r="K5251" s="261"/>
      <c r="L5251" s="261"/>
      <c r="M5251" s="261"/>
    </row>
    <row r="5252" spans="5:13">
      <c r="E5252" s="261"/>
      <c r="F5252" s="261"/>
      <c r="G5252" s="261"/>
      <c r="H5252" s="261"/>
      <c r="I5252" s="261"/>
      <c r="J5252" s="261"/>
      <c r="K5252" s="261"/>
      <c r="L5252" s="261"/>
      <c r="M5252" s="261"/>
    </row>
    <row r="5253" spans="5:13">
      <c r="E5253" s="261"/>
      <c r="F5253" s="261"/>
      <c r="G5253" s="261"/>
      <c r="H5253" s="261"/>
      <c r="I5253" s="261"/>
      <c r="J5253" s="261"/>
      <c r="K5253" s="261"/>
      <c r="L5253" s="261"/>
      <c r="M5253" s="261"/>
    </row>
    <row r="5254" spans="5:13">
      <c r="E5254" s="261"/>
      <c r="F5254" s="261"/>
      <c r="G5254" s="261"/>
      <c r="H5254" s="261"/>
      <c r="I5254" s="261"/>
      <c r="J5254" s="261"/>
      <c r="K5254" s="261"/>
      <c r="L5254" s="261"/>
      <c r="M5254" s="261"/>
    </row>
    <row r="5255" spans="5:13">
      <c r="E5255" s="261"/>
      <c r="F5255" s="261"/>
      <c r="G5255" s="261"/>
      <c r="H5255" s="261"/>
      <c r="I5255" s="261"/>
      <c r="J5255" s="261"/>
      <c r="K5255" s="261"/>
      <c r="L5255" s="261"/>
      <c r="M5255" s="261"/>
    </row>
    <row r="5256" spans="5:13">
      <c r="E5256" s="261"/>
      <c r="F5256" s="261"/>
      <c r="G5256" s="261"/>
      <c r="H5256" s="261"/>
      <c r="I5256" s="261"/>
      <c r="J5256" s="261"/>
      <c r="K5256" s="261"/>
      <c r="L5256" s="261"/>
      <c r="M5256" s="261"/>
    </row>
    <row r="5257" spans="5:13">
      <c r="E5257" s="261"/>
      <c r="F5257" s="261"/>
      <c r="G5257" s="261"/>
      <c r="H5257" s="261"/>
      <c r="I5257" s="261"/>
      <c r="J5257" s="261"/>
      <c r="K5257" s="261"/>
      <c r="L5257" s="261"/>
      <c r="M5257" s="261"/>
    </row>
    <row r="5258" spans="5:13">
      <c r="E5258" s="261"/>
      <c r="F5258" s="261"/>
      <c r="G5258" s="261"/>
      <c r="H5258" s="261"/>
      <c r="I5258" s="261"/>
      <c r="J5258" s="261"/>
      <c r="K5258" s="261"/>
      <c r="L5258" s="261"/>
      <c r="M5258" s="261"/>
    </row>
    <row r="5259" spans="5:13">
      <c r="E5259" s="261"/>
      <c r="F5259" s="261"/>
      <c r="G5259" s="261"/>
      <c r="H5259" s="261"/>
      <c r="I5259" s="261"/>
      <c r="J5259" s="261"/>
      <c r="K5259" s="261"/>
      <c r="L5259" s="261"/>
      <c r="M5259" s="261"/>
    </row>
    <row r="5260" spans="5:13">
      <c r="E5260" s="261"/>
      <c r="F5260" s="261"/>
      <c r="G5260" s="261"/>
      <c r="H5260" s="261"/>
      <c r="I5260" s="261"/>
      <c r="J5260" s="261"/>
      <c r="K5260" s="261"/>
      <c r="L5260" s="261"/>
      <c r="M5260" s="261"/>
    </row>
    <row r="5261" spans="5:13">
      <c r="E5261" s="261"/>
      <c r="F5261" s="261"/>
      <c r="G5261" s="261"/>
      <c r="H5261" s="261"/>
      <c r="I5261" s="261"/>
      <c r="J5261" s="261"/>
      <c r="K5261" s="261"/>
      <c r="L5261" s="261"/>
      <c r="M5261" s="261"/>
    </row>
    <row r="5262" spans="5:13">
      <c r="E5262" s="261"/>
      <c r="F5262" s="261"/>
      <c r="G5262" s="261"/>
      <c r="H5262" s="261"/>
      <c r="I5262" s="261"/>
      <c r="J5262" s="261"/>
      <c r="K5262" s="261"/>
      <c r="L5262" s="261"/>
      <c r="M5262" s="261"/>
    </row>
    <row r="5263" spans="5:13">
      <c r="E5263" s="261"/>
      <c r="F5263" s="261"/>
      <c r="G5263" s="261"/>
      <c r="H5263" s="261"/>
      <c r="I5263" s="261"/>
      <c r="J5263" s="261"/>
      <c r="K5263" s="261"/>
      <c r="L5263" s="261"/>
      <c r="M5263" s="261"/>
    </row>
    <row r="5264" spans="5:13">
      <c r="E5264" s="261"/>
      <c r="F5264" s="261"/>
      <c r="G5264" s="261"/>
      <c r="H5264" s="261"/>
      <c r="I5264" s="261"/>
      <c r="J5264" s="261"/>
      <c r="K5264" s="261"/>
      <c r="L5264" s="261"/>
      <c r="M5264" s="261"/>
    </row>
    <row r="5265" spans="5:13">
      <c r="E5265" s="261"/>
      <c r="F5265" s="261"/>
      <c r="G5265" s="261"/>
      <c r="H5265" s="261"/>
      <c r="I5265" s="261"/>
      <c r="J5265" s="261"/>
      <c r="K5265" s="261"/>
      <c r="L5265" s="261"/>
      <c r="M5265" s="261"/>
    </row>
    <row r="5266" spans="5:13">
      <c r="E5266" s="261"/>
      <c r="F5266" s="261"/>
      <c r="G5266" s="261"/>
      <c r="H5266" s="261"/>
      <c r="I5266" s="261"/>
      <c r="J5266" s="261"/>
      <c r="K5266" s="261"/>
      <c r="L5266" s="261"/>
      <c r="M5266" s="261"/>
    </row>
    <row r="5267" spans="5:13">
      <c r="E5267" s="261"/>
      <c r="F5267" s="261"/>
      <c r="G5267" s="261"/>
      <c r="H5267" s="261"/>
      <c r="I5267" s="261"/>
      <c r="J5267" s="261"/>
      <c r="K5267" s="261"/>
      <c r="L5267" s="261"/>
      <c r="M5267" s="261"/>
    </row>
    <row r="5268" spans="5:13">
      <c r="E5268" s="261"/>
      <c r="F5268" s="261"/>
      <c r="G5268" s="261"/>
      <c r="H5268" s="261"/>
      <c r="I5268" s="261"/>
      <c r="J5268" s="261"/>
      <c r="K5268" s="261"/>
      <c r="L5268" s="261"/>
      <c r="M5268" s="261"/>
    </row>
    <row r="5269" spans="5:13">
      <c r="E5269" s="261"/>
      <c r="F5269" s="261"/>
      <c r="G5269" s="261"/>
      <c r="H5269" s="261"/>
      <c r="I5269" s="261"/>
      <c r="J5269" s="261"/>
      <c r="K5269" s="261"/>
      <c r="L5269" s="261"/>
      <c r="M5269" s="261"/>
    </row>
    <row r="5270" spans="5:13">
      <c r="E5270" s="261"/>
      <c r="F5270" s="261"/>
      <c r="G5270" s="261"/>
      <c r="H5270" s="261"/>
      <c r="I5270" s="261"/>
      <c r="J5270" s="261"/>
      <c r="K5270" s="261"/>
      <c r="L5270" s="261"/>
      <c r="M5270" s="261"/>
    </row>
    <row r="5271" spans="5:13">
      <c r="E5271" s="261"/>
      <c r="F5271" s="261"/>
      <c r="G5271" s="261"/>
      <c r="H5271" s="261"/>
      <c r="I5271" s="261"/>
      <c r="J5271" s="261"/>
      <c r="K5271" s="261"/>
      <c r="L5271" s="261"/>
      <c r="M5271" s="261"/>
    </row>
    <row r="5272" spans="5:13">
      <c r="E5272" s="261"/>
      <c r="F5272" s="261"/>
      <c r="G5272" s="261"/>
      <c r="H5272" s="261"/>
      <c r="I5272" s="261"/>
      <c r="J5272" s="261"/>
      <c r="K5272" s="261"/>
      <c r="L5272" s="261"/>
      <c r="M5272" s="261"/>
    </row>
    <row r="5273" spans="5:13">
      <c r="E5273" s="261"/>
      <c r="F5273" s="261"/>
      <c r="G5273" s="261"/>
      <c r="H5273" s="261"/>
      <c r="I5273" s="261"/>
      <c r="J5273" s="261"/>
      <c r="K5273" s="261"/>
      <c r="L5273" s="261"/>
      <c r="M5273" s="261"/>
    </row>
    <row r="5274" spans="5:13">
      <c r="E5274" s="261"/>
      <c r="F5274" s="261"/>
      <c r="G5274" s="261"/>
      <c r="H5274" s="261"/>
      <c r="I5274" s="261"/>
      <c r="J5274" s="261"/>
      <c r="K5274" s="261"/>
      <c r="L5274" s="261"/>
      <c r="M5274" s="261"/>
    </row>
    <row r="5275" spans="5:13">
      <c r="E5275" s="261"/>
      <c r="F5275" s="261"/>
      <c r="G5275" s="261"/>
      <c r="H5275" s="261"/>
      <c r="I5275" s="261"/>
      <c r="J5275" s="261"/>
      <c r="K5275" s="261"/>
      <c r="L5275" s="261"/>
      <c r="M5275" s="261"/>
    </row>
    <row r="5276" spans="5:13">
      <c r="E5276" s="261"/>
      <c r="F5276" s="261"/>
      <c r="G5276" s="261"/>
      <c r="H5276" s="261"/>
      <c r="I5276" s="261"/>
      <c r="J5276" s="261"/>
      <c r="K5276" s="261"/>
      <c r="L5276" s="261"/>
      <c r="M5276" s="261"/>
    </row>
    <row r="5277" spans="5:13">
      <c r="E5277" s="261"/>
      <c r="F5277" s="261"/>
      <c r="G5277" s="261"/>
      <c r="H5277" s="261"/>
      <c r="I5277" s="261"/>
      <c r="J5277" s="261"/>
      <c r="K5277" s="261"/>
      <c r="L5277" s="261"/>
      <c r="M5277" s="261"/>
    </row>
    <row r="5278" spans="5:13">
      <c r="E5278" s="261"/>
      <c r="F5278" s="261"/>
      <c r="G5278" s="261"/>
      <c r="H5278" s="261"/>
      <c r="I5278" s="261"/>
      <c r="J5278" s="261"/>
      <c r="K5278" s="261"/>
      <c r="L5278" s="261"/>
      <c r="M5278" s="261"/>
    </row>
    <row r="5279" spans="5:13">
      <c r="E5279" s="261"/>
      <c r="F5279" s="261"/>
      <c r="G5279" s="261"/>
      <c r="H5279" s="261"/>
      <c r="I5279" s="261"/>
      <c r="J5279" s="261"/>
      <c r="K5279" s="261"/>
      <c r="L5279" s="261"/>
      <c r="M5279" s="261"/>
    </row>
    <row r="5280" spans="5:13">
      <c r="E5280" s="261"/>
      <c r="F5280" s="261"/>
      <c r="G5280" s="261"/>
      <c r="H5280" s="261"/>
      <c r="I5280" s="261"/>
      <c r="J5280" s="261"/>
      <c r="K5280" s="261"/>
      <c r="L5280" s="261"/>
      <c r="M5280" s="261"/>
    </row>
    <row r="5281" spans="5:13">
      <c r="E5281" s="261"/>
      <c r="F5281" s="261"/>
      <c r="G5281" s="261"/>
      <c r="H5281" s="261"/>
      <c r="I5281" s="261"/>
      <c r="J5281" s="261"/>
      <c r="K5281" s="261"/>
      <c r="L5281" s="261"/>
      <c r="M5281" s="261"/>
    </row>
    <row r="5282" spans="5:13">
      <c r="E5282" s="261"/>
      <c r="F5282" s="261"/>
      <c r="G5282" s="261"/>
      <c r="H5282" s="261"/>
      <c r="I5282" s="261"/>
      <c r="J5282" s="261"/>
      <c r="K5282" s="261"/>
      <c r="L5282" s="261"/>
      <c r="M5282" s="261"/>
    </row>
    <row r="5283" spans="5:13">
      <c r="E5283" s="261"/>
      <c r="F5283" s="261"/>
      <c r="G5283" s="261"/>
      <c r="H5283" s="261"/>
      <c r="I5283" s="261"/>
      <c r="J5283" s="261"/>
      <c r="K5283" s="261"/>
      <c r="L5283" s="261"/>
      <c r="M5283" s="261"/>
    </row>
    <row r="5284" spans="5:13">
      <c r="E5284" s="261"/>
      <c r="F5284" s="261"/>
      <c r="G5284" s="261"/>
      <c r="H5284" s="261"/>
      <c r="I5284" s="261"/>
      <c r="J5284" s="261"/>
      <c r="K5284" s="261"/>
      <c r="L5284" s="261"/>
      <c r="M5284" s="261"/>
    </row>
    <row r="5285" spans="5:13">
      <c r="E5285" s="261"/>
      <c r="F5285" s="261"/>
      <c r="G5285" s="261"/>
      <c r="H5285" s="261"/>
      <c r="I5285" s="261"/>
      <c r="J5285" s="261"/>
      <c r="K5285" s="261"/>
      <c r="L5285" s="261"/>
      <c r="M5285" s="261"/>
    </row>
    <row r="5286" spans="5:13">
      <c r="E5286" s="261"/>
      <c r="F5286" s="261"/>
      <c r="G5286" s="261"/>
      <c r="H5286" s="261"/>
      <c r="I5286" s="261"/>
      <c r="J5286" s="261"/>
      <c r="K5286" s="261"/>
      <c r="L5286" s="261"/>
      <c r="M5286" s="261"/>
    </row>
    <row r="5287" spans="5:13">
      <c r="E5287" s="261"/>
      <c r="F5287" s="261"/>
      <c r="G5287" s="261"/>
      <c r="H5287" s="261"/>
      <c r="I5287" s="261"/>
      <c r="J5287" s="261"/>
      <c r="K5287" s="261"/>
      <c r="L5287" s="261"/>
      <c r="M5287" s="261"/>
    </row>
    <row r="5288" spans="5:13">
      <c r="E5288" s="261"/>
      <c r="F5288" s="261"/>
      <c r="G5288" s="261"/>
      <c r="H5288" s="261"/>
      <c r="I5288" s="261"/>
      <c r="J5288" s="261"/>
      <c r="K5288" s="261"/>
      <c r="L5288" s="261"/>
      <c r="M5288" s="261"/>
    </row>
    <row r="5289" spans="5:13">
      <c r="E5289" s="261"/>
      <c r="F5289" s="261"/>
      <c r="G5289" s="261"/>
      <c r="H5289" s="261"/>
      <c r="I5289" s="261"/>
      <c r="J5289" s="261"/>
      <c r="K5289" s="261"/>
      <c r="L5289" s="261"/>
      <c r="M5289" s="261"/>
    </row>
    <row r="5290" spans="5:13">
      <c r="E5290" s="261"/>
      <c r="F5290" s="261"/>
      <c r="G5290" s="261"/>
      <c r="H5290" s="261"/>
      <c r="I5290" s="261"/>
      <c r="J5290" s="261"/>
      <c r="K5290" s="261"/>
      <c r="L5290" s="261"/>
      <c r="M5290" s="261"/>
    </row>
    <row r="5291" spans="5:13">
      <c r="E5291" s="261"/>
      <c r="F5291" s="261"/>
      <c r="G5291" s="261"/>
      <c r="H5291" s="261"/>
      <c r="I5291" s="261"/>
      <c r="J5291" s="261"/>
      <c r="K5291" s="261"/>
      <c r="L5291" s="261"/>
      <c r="M5291" s="261"/>
    </row>
    <row r="5292" spans="5:13">
      <c r="E5292" s="261"/>
      <c r="F5292" s="261"/>
      <c r="G5292" s="261"/>
      <c r="H5292" s="261"/>
      <c r="I5292" s="261"/>
      <c r="J5292" s="261"/>
      <c r="K5292" s="261"/>
      <c r="L5292" s="261"/>
      <c r="M5292" s="261"/>
    </row>
    <row r="5293" spans="5:13">
      <c r="E5293" s="261"/>
      <c r="F5293" s="261"/>
      <c r="G5293" s="261"/>
      <c r="H5293" s="261"/>
      <c r="I5293" s="261"/>
      <c r="J5293" s="261"/>
      <c r="K5293" s="261"/>
      <c r="L5293" s="261"/>
      <c r="M5293" s="261"/>
    </row>
    <row r="5294" spans="5:13">
      <c r="E5294" s="261"/>
      <c r="F5294" s="261"/>
      <c r="G5294" s="261"/>
      <c r="H5294" s="261"/>
      <c r="I5294" s="261"/>
      <c r="J5294" s="261"/>
      <c r="K5294" s="261"/>
      <c r="L5294" s="261"/>
      <c r="M5294" s="261"/>
    </row>
    <row r="5295" spans="5:13">
      <c r="E5295" s="261"/>
      <c r="F5295" s="261"/>
      <c r="G5295" s="261"/>
      <c r="H5295" s="261"/>
      <c r="I5295" s="261"/>
      <c r="J5295" s="261"/>
      <c r="K5295" s="261"/>
      <c r="L5295" s="261"/>
      <c r="M5295" s="261"/>
    </row>
    <row r="5296" spans="5:13">
      <c r="E5296" s="261"/>
      <c r="F5296" s="261"/>
      <c r="G5296" s="261"/>
      <c r="H5296" s="261"/>
      <c r="I5296" s="261"/>
      <c r="J5296" s="261"/>
      <c r="K5296" s="261"/>
      <c r="L5296" s="261"/>
      <c r="M5296" s="261"/>
    </row>
    <row r="5297" spans="5:13">
      <c r="E5297" s="261"/>
      <c r="F5297" s="261"/>
      <c r="G5297" s="261"/>
      <c r="H5297" s="261"/>
      <c r="I5297" s="261"/>
      <c r="J5297" s="261"/>
      <c r="K5297" s="261"/>
      <c r="L5297" s="261"/>
      <c r="M5297" s="261"/>
    </row>
    <row r="5298" spans="5:13">
      <c r="E5298" s="261"/>
      <c r="F5298" s="261"/>
      <c r="G5298" s="261"/>
      <c r="H5298" s="261"/>
      <c r="I5298" s="261"/>
      <c r="J5298" s="261"/>
      <c r="K5298" s="261"/>
      <c r="L5298" s="261"/>
      <c r="M5298" s="261"/>
    </row>
    <row r="5299" spans="5:13">
      <c r="E5299" s="261"/>
      <c r="F5299" s="261"/>
      <c r="G5299" s="261"/>
      <c r="H5299" s="261"/>
      <c r="I5299" s="261"/>
      <c r="J5299" s="261"/>
      <c r="K5299" s="261"/>
      <c r="L5299" s="261"/>
      <c r="M5299" s="261"/>
    </row>
    <row r="5300" spans="5:13">
      <c r="E5300" s="261"/>
      <c r="F5300" s="261"/>
      <c r="G5300" s="261"/>
      <c r="H5300" s="261"/>
      <c r="I5300" s="261"/>
      <c r="J5300" s="261"/>
      <c r="K5300" s="261"/>
      <c r="L5300" s="261"/>
      <c r="M5300" s="261"/>
    </row>
    <row r="5301" spans="5:13">
      <c r="E5301" s="261"/>
      <c r="F5301" s="261"/>
      <c r="G5301" s="261"/>
      <c r="H5301" s="261"/>
      <c r="I5301" s="261"/>
      <c r="J5301" s="261"/>
      <c r="K5301" s="261"/>
      <c r="L5301" s="261"/>
      <c r="M5301" s="261"/>
    </row>
    <row r="5302" spans="5:13">
      <c r="E5302" s="261"/>
      <c r="F5302" s="261"/>
      <c r="G5302" s="261"/>
      <c r="H5302" s="261"/>
      <c r="I5302" s="261"/>
      <c r="J5302" s="261"/>
      <c r="K5302" s="261"/>
      <c r="L5302" s="261"/>
      <c r="M5302" s="261"/>
    </row>
    <row r="5303" spans="5:13">
      <c r="E5303" s="261"/>
      <c r="F5303" s="261"/>
      <c r="G5303" s="261"/>
      <c r="H5303" s="261"/>
      <c r="I5303" s="261"/>
      <c r="J5303" s="261"/>
      <c r="K5303" s="261"/>
      <c r="L5303" s="261"/>
      <c r="M5303" s="261"/>
    </row>
    <row r="5304" spans="5:13">
      <c r="E5304" s="261"/>
      <c r="F5304" s="261"/>
      <c r="G5304" s="261"/>
      <c r="H5304" s="261"/>
      <c r="I5304" s="261"/>
      <c r="J5304" s="261"/>
      <c r="K5304" s="261"/>
      <c r="L5304" s="261"/>
      <c r="M5304" s="261"/>
    </row>
    <row r="5305" spans="5:13">
      <c r="E5305" s="261"/>
      <c r="F5305" s="261"/>
      <c r="G5305" s="261"/>
      <c r="H5305" s="261"/>
      <c r="I5305" s="261"/>
      <c r="J5305" s="261"/>
      <c r="K5305" s="261"/>
      <c r="L5305" s="261"/>
      <c r="M5305" s="261"/>
    </row>
    <row r="5306" spans="5:13">
      <c r="E5306" s="261"/>
      <c r="F5306" s="261"/>
      <c r="G5306" s="261"/>
      <c r="H5306" s="261"/>
      <c r="I5306" s="261"/>
      <c r="J5306" s="261"/>
      <c r="K5306" s="261"/>
      <c r="L5306" s="261"/>
      <c r="M5306" s="261"/>
    </row>
    <row r="5307" spans="5:13">
      <c r="E5307" s="261"/>
      <c r="F5307" s="261"/>
      <c r="G5307" s="261"/>
      <c r="H5307" s="261"/>
      <c r="I5307" s="261"/>
      <c r="J5307" s="261"/>
      <c r="K5307" s="261"/>
      <c r="L5307" s="261"/>
      <c r="M5307" s="261"/>
    </row>
    <row r="5308" spans="5:13">
      <c r="E5308" s="261"/>
      <c r="F5308" s="261"/>
      <c r="G5308" s="261"/>
      <c r="H5308" s="261"/>
      <c r="I5308" s="261"/>
      <c r="J5308" s="261"/>
      <c r="K5308" s="261"/>
      <c r="L5308" s="261"/>
      <c r="M5308" s="261"/>
    </row>
    <row r="5309" spans="5:13">
      <c r="E5309" s="261"/>
      <c r="F5309" s="261"/>
      <c r="G5309" s="261"/>
      <c r="H5309" s="261"/>
      <c r="I5309" s="261"/>
      <c r="J5309" s="261"/>
      <c r="K5309" s="261"/>
      <c r="L5309" s="261"/>
      <c r="M5309" s="261"/>
    </row>
    <row r="5310" spans="5:13">
      <c r="E5310" s="261"/>
      <c r="F5310" s="261"/>
      <c r="G5310" s="261"/>
      <c r="H5310" s="261"/>
      <c r="I5310" s="261"/>
      <c r="J5310" s="261"/>
      <c r="K5310" s="261"/>
      <c r="L5310" s="261"/>
      <c r="M5310" s="261"/>
    </row>
    <row r="5311" spans="5:13">
      <c r="E5311" s="261"/>
      <c r="F5311" s="261"/>
      <c r="G5311" s="261"/>
      <c r="H5311" s="261"/>
      <c r="I5311" s="261"/>
      <c r="J5311" s="261"/>
      <c r="K5311" s="261"/>
      <c r="L5311" s="261"/>
      <c r="M5311" s="261"/>
    </row>
    <row r="5312" spans="5:13">
      <c r="E5312" s="261"/>
      <c r="F5312" s="261"/>
      <c r="G5312" s="261"/>
      <c r="H5312" s="261"/>
      <c r="I5312" s="261"/>
      <c r="J5312" s="261"/>
      <c r="K5312" s="261"/>
      <c r="L5312" s="261"/>
      <c r="M5312" s="261"/>
    </row>
    <row r="5313" spans="5:13">
      <c r="E5313" s="261"/>
      <c r="F5313" s="261"/>
      <c r="G5313" s="261"/>
      <c r="H5313" s="261"/>
      <c r="I5313" s="261"/>
      <c r="J5313" s="261"/>
      <c r="K5313" s="261"/>
      <c r="L5313" s="261"/>
      <c r="M5313" s="261"/>
    </row>
    <row r="5314" spans="5:13">
      <c r="E5314" s="261"/>
      <c r="F5314" s="261"/>
      <c r="G5314" s="261"/>
      <c r="H5314" s="261"/>
      <c r="I5314" s="261"/>
      <c r="J5314" s="261"/>
      <c r="K5314" s="261"/>
      <c r="L5314" s="261"/>
      <c r="M5314" s="261"/>
    </row>
    <row r="5315" spans="5:13">
      <c r="E5315" s="261"/>
      <c r="F5315" s="261"/>
      <c r="G5315" s="261"/>
      <c r="H5315" s="261"/>
      <c r="I5315" s="261"/>
      <c r="J5315" s="261"/>
      <c r="K5315" s="261"/>
      <c r="L5315" s="261"/>
      <c r="M5315" s="261"/>
    </row>
    <row r="5316" spans="5:13">
      <c r="E5316" s="261"/>
      <c r="F5316" s="261"/>
      <c r="G5316" s="261"/>
      <c r="H5316" s="261"/>
      <c r="I5316" s="261"/>
      <c r="J5316" s="261"/>
      <c r="K5316" s="261"/>
      <c r="L5316" s="261"/>
      <c r="M5316" s="261"/>
    </row>
    <row r="5317" spans="5:13">
      <c r="E5317" s="261"/>
      <c r="F5317" s="261"/>
      <c r="G5317" s="261"/>
      <c r="H5317" s="261"/>
      <c r="I5317" s="261"/>
      <c r="J5317" s="261"/>
      <c r="K5317" s="261"/>
      <c r="L5317" s="261"/>
      <c r="M5317" s="261"/>
    </row>
    <row r="5318" spans="5:13">
      <c r="E5318" s="261"/>
      <c r="F5318" s="261"/>
      <c r="G5318" s="261"/>
      <c r="H5318" s="261"/>
      <c r="I5318" s="261"/>
      <c r="J5318" s="261"/>
      <c r="K5318" s="261"/>
      <c r="L5318" s="261"/>
      <c r="M5318" s="261"/>
    </row>
    <row r="5319" spans="5:13">
      <c r="E5319" s="261"/>
      <c r="F5319" s="261"/>
      <c r="G5319" s="261"/>
      <c r="H5319" s="261"/>
      <c r="I5319" s="261"/>
      <c r="J5319" s="261"/>
      <c r="K5319" s="261"/>
      <c r="L5319" s="261"/>
      <c r="M5319" s="261"/>
    </row>
    <row r="5320" spans="5:13">
      <c r="E5320" s="261"/>
      <c r="F5320" s="261"/>
      <c r="G5320" s="261"/>
      <c r="H5320" s="261"/>
      <c r="I5320" s="261"/>
      <c r="J5320" s="261"/>
      <c r="K5320" s="261"/>
      <c r="L5320" s="261"/>
      <c r="M5320" s="261"/>
    </row>
    <row r="5321" spans="5:13">
      <c r="E5321" s="261"/>
      <c r="F5321" s="261"/>
      <c r="G5321" s="261"/>
      <c r="H5321" s="261"/>
      <c r="I5321" s="261"/>
      <c r="J5321" s="261"/>
      <c r="K5321" s="261"/>
      <c r="L5321" s="261"/>
      <c r="M5321" s="261"/>
    </row>
    <row r="5322" spans="5:13">
      <c r="E5322" s="261"/>
      <c r="F5322" s="261"/>
      <c r="G5322" s="261"/>
      <c r="H5322" s="261"/>
      <c r="I5322" s="261"/>
      <c r="J5322" s="261"/>
      <c r="K5322" s="261"/>
      <c r="L5322" s="261"/>
      <c r="M5322" s="261"/>
    </row>
    <row r="5323" spans="5:13">
      <c r="E5323" s="261"/>
      <c r="F5323" s="261"/>
      <c r="G5323" s="261"/>
      <c r="H5323" s="261"/>
      <c r="I5323" s="261"/>
      <c r="J5323" s="261"/>
      <c r="K5323" s="261"/>
      <c r="L5323" s="261"/>
      <c r="M5323" s="261"/>
    </row>
    <row r="5324" spans="5:13">
      <c r="E5324" s="261"/>
      <c r="F5324" s="261"/>
      <c r="G5324" s="261"/>
      <c r="H5324" s="261"/>
      <c r="I5324" s="261"/>
      <c r="J5324" s="261"/>
      <c r="K5324" s="261"/>
      <c r="L5324" s="261"/>
      <c r="M5324" s="261"/>
    </row>
    <row r="5325" spans="5:13">
      <c r="E5325" s="261"/>
      <c r="F5325" s="261"/>
      <c r="G5325" s="261"/>
      <c r="H5325" s="261"/>
      <c r="I5325" s="261"/>
      <c r="J5325" s="261"/>
      <c r="K5325" s="261"/>
      <c r="L5325" s="261"/>
      <c r="M5325" s="261"/>
    </row>
    <row r="5326" spans="5:13">
      <c r="E5326" s="261"/>
      <c r="F5326" s="261"/>
      <c r="G5326" s="261"/>
      <c r="H5326" s="261"/>
      <c r="I5326" s="261"/>
      <c r="J5326" s="261"/>
      <c r="K5326" s="261"/>
      <c r="L5326" s="261"/>
      <c r="M5326" s="261"/>
    </row>
    <row r="5327" spans="5:13">
      <c r="E5327" s="261"/>
      <c r="F5327" s="261"/>
      <c r="G5327" s="261"/>
      <c r="H5327" s="261"/>
      <c r="I5327" s="261"/>
      <c r="J5327" s="261"/>
      <c r="K5327" s="261"/>
      <c r="L5327" s="261"/>
      <c r="M5327" s="261"/>
    </row>
    <row r="5328" spans="5:13">
      <c r="E5328" s="261"/>
      <c r="F5328" s="261"/>
      <c r="G5328" s="261"/>
      <c r="H5328" s="261"/>
      <c r="I5328" s="261"/>
      <c r="J5328" s="261"/>
      <c r="K5328" s="261"/>
      <c r="L5328" s="261"/>
      <c r="M5328" s="261"/>
    </row>
    <row r="5329" spans="5:13">
      <c r="E5329" s="261"/>
      <c r="F5329" s="261"/>
      <c r="G5329" s="261"/>
      <c r="H5329" s="261"/>
      <c r="I5329" s="261"/>
      <c r="J5329" s="261"/>
      <c r="K5329" s="261"/>
      <c r="L5329" s="261"/>
      <c r="M5329" s="261"/>
    </row>
    <row r="5330" spans="5:13">
      <c r="E5330" s="261"/>
      <c r="F5330" s="261"/>
      <c r="G5330" s="261"/>
      <c r="H5330" s="261"/>
      <c r="I5330" s="261"/>
      <c r="J5330" s="261"/>
      <c r="K5330" s="261"/>
      <c r="L5330" s="261"/>
      <c r="M5330" s="261"/>
    </row>
    <row r="5331" spans="5:13">
      <c r="E5331" s="261"/>
      <c r="F5331" s="261"/>
      <c r="G5331" s="261"/>
      <c r="H5331" s="261"/>
      <c r="I5331" s="261"/>
      <c r="J5331" s="261"/>
      <c r="K5331" s="261"/>
      <c r="L5331" s="261"/>
      <c r="M5331" s="261"/>
    </row>
    <row r="5332" spans="5:13">
      <c r="E5332" s="261"/>
      <c r="F5332" s="261"/>
      <c r="G5332" s="261"/>
      <c r="H5332" s="261"/>
      <c r="I5332" s="261"/>
      <c r="J5332" s="261"/>
      <c r="K5332" s="261"/>
      <c r="L5332" s="261"/>
      <c r="M5332" s="261"/>
    </row>
    <row r="5333" spans="5:13">
      <c r="E5333" s="261"/>
      <c r="F5333" s="261"/>
      <c r="G5333" s="261"/>
      <c r="H5333" s="261"/>
      <c r="I5333" s="261"/>
      <c r="J5333" s="261"/>
      <c r="K5333" s="261"/>
      <c r="L5333" s="261"/>
      <c r="M5333" s="261"/>
    </row>
    <row r="5334" spans="5:13">
      <c r="E5334" s="261"/>
      <c r="F5334" s="261"/>
      <c r="G5334" s="261"/>
      <c r="H5334" s="261"/>
      <c r="I5334" s="261"/>
      <c r="J5334" s="261"/>
      <c r="K5334" s="261"/>
      <c r="L5334" s="261"/>
      <c r="M5334" s="261"/>
    </row>
    <row r="5335" spans="5:13">
      <c r="E5335" s="261"/>
      <c r="F5335" s="261"/>
      <c r="G5335" s="261"/>
      <c r="H5335" s="261"/>
      <c r="I5335" s="261"/>
      <c r="J5335" s="261"/>
      <c r="K5335" s="261"/>
      <c r="L5335" s="261"/>
      <c r="M5335" s="261"/>
    </row>
    <row r="5336" spans="5:13">
      <c r="E5336" s="261"/>
      <c r="F5336" s="261"/>
      <c r="G5336" s="261"/>
      <c r="H5336" s="261"/>
      <c r="I5336" s="261"/>
      <c r="J5336" s="261"/>
      <c r="K5336" s="261"/>
      <c r="L5336" s="261"/>
      <c r="M5336" s="261"/>
    </row>
    <row r="5337" spans="5:13">
      <c r="E5337" s="261"/>
      <c r="F5337" s="261"/>
      <c r="G5337" s="261"/>
      <c r="H5337" s="261"/>
      <c r="I5337" s="261"/>
      <c r="J5337" s="261"/>
      <c r="K5337" s="261"/>
      <c r="L5337" s="261"/>
      <c r="M5337" s="261"/>
    </row>
    <row r="5338" spans="5:13">
      <c r="E5338" s="261"/>
      <c r="F5338" s="261"/>
      <c r="G5338" s="261"/>
      <c r="H5338" s="261"/>
      <c r="I5338" s="261"/>
      <c r="J5338" s="261"/>
      <c r="K5338" s="261"/>
      <c r="L5338" s="261"/>
      <c r="M5338" s="261"/>
    </row>
    <row r="5339" spans="5:13">
      <c r="E5339" s="261"/>
      <c r="F5339" s="261"/>
      <c r="G5339" s="261"/>
      <c r="H5339" s="261"/>
      <c r="I5339" s="261"/>
      <c r="J5339" s="261"/>
      <c r="K5339" s="261"/>
      <c r="L5339" s="261"/>
      <c r="M5339" s="261"/>
    </row>
    <row r="5340" spans="5:13">
      <c r="E5340" s="261"/>
      <c r="F5340" s="261"/>
      <c r="G5340" s="261"/>
      <c r="H5340" s="261"/>
      <c r="I5340" s="261"/>
      <c r="J5340" s="261"/>
      <c r="K5340" s="261"/>
      <c r="L5340" s="261"/>
      <c r="M5340" s="261"/>
    </row>
    <row r="5341" spans="5:13">
      <c r="E5341" s="261"/>
      <c r="F5341" s="261"/>
      <c r="G5341" s="261"/>
      <c r="H5341" s="261"/>
      <c r="I5341" s="261"/>
      <c r="J5341" s="261"/>
      <c r="K5341" s="261"/>
      <c r="L5341" s="261"/>
      <c r="M5341" s="261"/>
    </row>
    <row r="5342" spans="5:13">
      <c r="E5342" s="261"/>
      <c r="F5342" s="261"/>
      <c r="G5342" s="261"/>
      <c r="H5342" s="261"/>
      <c r="I5342" s="261"/>
      <c r="J5342" s="261"/>
      <c r="K5342" s="261"/>
      <c r="L5342" s="261"/>
      <c r="M5342" s="261"/>
    </row>
    <row r="5343" spans="5:13">
      <c r="E5343" s="261"/>
      <c r="F5343" s="261"/>
      <c r="G5343" s="261"/>
      <c r="H5343" s="261"/>
      <c r="I5343" s="261"/>
      <c r="J5343" s="261"/>
      <c r="K5343" s="261"/>
      <c r="L5343" s="261"/>
      <c r="M5343" s="261"/>
    </row>
    <row r="5344" spans="5:13">
      <c r="E5344" s="261"/>
      <c r="F5344" s="261"/>
      <c r="G5344" s="261"/>
      <c r="H5344" s="261"/>
      <c r="I5344" s="261"/>
      <c r="J5344" s="261"/>
      <c r="K5344" s="261"/>
      <c r="L5344" s="261"/>
      <c r="M5344" s="261"/>
    </row>
    <row r="5345" spans="5:13">
      <c r="E5345" s="261"/>
      <c r="F5345" s="261"/>
      <c r="G5345" s="261"/>
      <c r="H5345" s="261"/>
      <c r="I5345" s="261"/>
      <c r="J5345" s="261"/>
      <c r="K5345" s="261"/>
      <c r="L5345" s="261"/>
      <c r="M5345" s="261"/>
    </row>
    <row r="5346" spans="5:13">
      <c r="E5346" s="261"/>
      <c r="F5346" s="261"/>
      <c r="G5346" s="261"/>
      <c r="H5346" s="261"/>
      <c r="I5346" s="261"/>
      <c r="J5346" s="261"/>
      <c r="K5346" s="261"/>
      <c r="L5346" s="261"/>
      <c r="M5346" s="261"/>
    </row>
    <row r="5347" spans="5:13">
      <c r="E5347" s="261"/>
      <c r="F5347" s="261"/>
      <c r="G5347" s="261"/>
      <c r="H5347" s="261"/>
      <c r="I5347" s="261"/>
      <c r="J5347" s="261"/>
      <c r="K5347" s="261"/>
      <c r="L5347" s="261"/>
      <c r="M5347" s="261"/>
    </row>
    <row r="5348" spans="5:13">
      <c r="E5348" s="261"/>
      <c r="F5348" s="261"/>
      <c r="G5348" s="261"/>
      <c r="H5348" s="261"/>
      <c r="I5348" s="261"/>
      <c r="J5348" s="261"/>
      <c r="K5348" s="261"/>
      <c r="L5348" s="261"/>
      <c r="M5348" s="261"/>
    </row>
    <row r="5349" spans="5:13">
      <c r="E5349" s="261"/>
      <c r="F5349" s="261"/>
      <c r="G5349" s="261"/>
      <c r="H5349" s="261"/>
      <c r="I5349" s="261"/>
      <c r="J5349" s="261"/>
      <c r="K5349" s="261"/>
      <c r="L5349" s="261"/>
      <c r="M5349" s="261"/>
    </row>
    <row r="5350" spans="5:13">
      <c r="E5350" s="261"/>
      <c r="F5350" s="261"/>
      <c r="G5350" s="261"/>
      <c r="H5350" s="261"/>
      <c r="I5350" s="261"/>
      <c r="J5350" s="261"/>
      <c r="K5350" s="261"/>
      <c r="L5350" s="261"/>
      <c r="M5350" s="261"/>
    </row>
    <row r="5351" spans="5:13">
      <c r="E5351" s="261"/>
      <c r="F5351" s="261"/>
      <c r="G5351" s="261"/>
      <c r="H5351" s="261"/>
      <c r="I5351" s="261"/>
      <c r="J5351" s="261"/>
      <c r="K5351" s="261"/>
      <c r="L5351" s="261"/>
      <c r="M5351" s="261"/>
    </row>
    <row r="5352" spans="5:13">
      <c r="E5352" s="261"/>
      <c r="F5352" s="261"/>
      <c r="G5352" s="261"/>
      <c r="H5352" s="261"/>
      <c r="I5352" s="261"/>
      <c r="J5352" s="261"/>
      <c r="K5352" s="261"/>
      <c r="L5352" s="261"/>
      <c r="M5352" s="261"/>
    </row>
    <row r="5353" spans="5:13">
      <c r="E5353" s="261"/>
      <c r="F5353" s="261"/>
      <c r="G5353" s="261"/>
      <c r="H5353" s="261"/>
      <c r="I5353" s="261"/>
      <c r="J5353" s="261"/>
      <c r="K5353" s="261"/>
      <c r="L5353" s="261"/>
      <c r="M5353" s="261"/>
    </row>
    <row r="5354" spans="5:13">
      <c r="E5354" s="261"/>
      <c r="F5354" s="261"/>
      <c r="G5354" s="261"/>
      <c r="H5354" s="261"/>
      <c r="I5354" s="261"/>
      <c r="J5354" s="261"/>
      <c r="K5354" s="261"/>
      <c r="L5354" s="261"/>
      <c r="M5354" s="261"/>
    </row>
    <row r="5355" spans="5:13">
      <c r="E5355" s="261"/>
      <c r="F5355" s="261"/>
      <c r="G5355" s="261"/>
      <c r="H5355" s="261"/>
      <c r="I5355" s="261"/>
      <c r="J5355" s="261"/>
      <c r="K5355" s="261"/>
      <c r="L5355" s="261"/>
      <c r="M5355" s="261"/>
    </row>
    <row r="5356" spans="5:13">
      <c r="E5356" s="261"/>
      <c r="F5356" s="261"/>
      <c r="G5356" s="261"/>
      <c r="H5356" s="261"/>
      <c r="I5356" s="261"/>
      <c r="J5356" s="261"/>
      <c r="K5356" s="261"/>
      <c r="L5356" s="261"/>
      <c r="M5356" s="261"/>
    </row>
    <row r="5357" spans="5:13">
      <c r="E5357" s="261"/>
      <c r="F5357" s="261"/>
      <c r="G5357" s="261"/>
      <c r="H5357" s="261"/>
      <c r="I5357" s="261"/>
      <c r="J5357" s="261"/>
      <c r="K5357" s="261"/>
      <c r="L5357" s="261"/>
      <c r="M5357" s="261"/>
    </row>
    <row r="5358" spans="5:13">
      <c r="E5358" s="261"/>
      <c r="F5358" s="261"/>
      <c r="G5358" s="261"/>
      <c r="H5358" s="261"/>
      <c r="I5358" s="261"/>
      <c r="J5358" s="261"/>
      <c r="K5358" s="261"/>
      <c r="L5358" s="261"/>
      <c r="M5358" s="261"/>
    </row>
    <row r="5359" spans="5:13">
      <c r="E5359" s="261"/>
      <c r="F5359" s="261"/>
      <c r="G5359" s="261"/>
      <c r="H5359" s="261"/>
      <c r="I5359" s="261"/>
      <c r="J5359" s="261"/>
      <c r="K5359" s="261"/>
      <c r="L5359" s="261"/>
      <c r="M5359" s="261"/>
    </row>
    <row r="5360" spans="5:13">
      <c r="E5360" s="261"/>
      <c r="F5360" s="261"/>
      <c r="G5360" s="261"/>
      <c r="H5360" s="261"/>
      <c r="I5360" s="261"/>
      <c r="J5360" s="261"/>
      <c r="K5360" s="261"/>
      <c r="L5360" s="261"/>
      <c r="M5360" s="261"/>
    </row>
    <row r="5361" spans="5:13">
      <c r="E5361" s="261"/>
      <c r="F5361" s="261"/>
      <c r="G5361" s="261"/>
      <c r="H5361" s="261"/>
      <c r="I5361" s="261"/>
      <c r="J5361" s="261"/>
      <c r="K5361" s="261"/>
      <c r="L5361" s="261"/>
      <c r="M5361" s="261"/>
    </row>
    <row r="5362" spans="5:13">
      <c r="E5362" s="261"/>
      <c r="F5362" s="261"/>
      <c r="G5362" s="261"/>
      <c r="H5362" s="261"/>
      <c r="I5362" s="261"/>
      <c r="J5362" s="261"/>
      <c r="K5362" s="261"/>
      <c r="L5362" s="261"/>
      <c r="M5362" s="261"/>
    </row>
    <row r="5363" spans="5:13">
      <c r="E5363" s="261"/>
      <c r="F5363" s="261"/>
      <c r="G5363" s="261"/>
      <c r="H5363" s="261"/>
      <c r="I5363" s="261"/>
      <c r="J5363" s="261"/>
      <c r="K5363" s="261"/>
      <c r="L5363" s="261"/>
      <c r="M5363" s="261"/>
    </row>
    <row r="5364" spans="5:13">
      <c r="E5364" s="261"/>
      <c r="F5364" s="261"/>
      <c r="G5364" s="261"/>
      <c r="H5364" s="261"/>
      <c r="I5364" s="261"/>
      <c r="J5364" s="261"/>
      <c r="K5364" s="261"/>
      <c r="L5364" s="261"/>
      <c r="M5364" s="261"/>
    </row>
    <row r="5365" spans="5:13">
      <c r="E5365" s="261"/>
      <c r="F5365" s="261"/>
      <c r="G5365" s="261"/>
      <c r="H5365" s="261"/>
      <c r="I5365" s="261"/>
      <c r="J5365" s="261"/>
      <c r="K5365" s="261"/>
      <c r="L5365" s="261"/>
      <c r="M5365" s="261"/>
    </row>
    <row r="5366" spans="5:13">
      <c r="E5366" s="261"/>
      <c r="F5366" s="261"/>
      <c r="G5366" s="261"/>
      <c r="H5366" s="261"/>
      <c r="I5366" s="261"/>
      <c r="J5366" s="261"/>
      <c r="K5366" s="261"/>
      <c r="L5366" s="261"/>
      <c r="M5366" s="261"/>
    </row>
    <row r="5367" spans="5:13">
      <c r="E5367" s="261"/>
      <c r="F5367" s="261"/>
      <c r="G5367" s="261"/>
      <c r="H5367" s="261"/>
      <c r="I5367" s="261"/>
      <c r="J5367" s="261"/>
      <c r="K5367" s="261"/>
      <c r="L5367" s="261"/>
      <c r="M5367" s="261"/>
    </row>
    <row r="5368" spans="5:13">
      <c r="E5368" s="261"/>
      <c r="F5368" s="261"/>
      <c r="G5368" s="261"/>
      <c r="H5368" s="261"/>
      <c r="I5368" s="261"/>
      <c r="J5368" s="261"/>
      <c r="K5368" s="261"/>
      <c r="L5368" s="261"/>
      <c r="M5368" s="261"/>
    </row>
    <row r="5369" spans="5:13">
      <c r="E5369" s="261"/>
      <c r="F5369" s="261"/>
      <c r="G5369" s="261"/>
      <c r="H5369" s="261"/>
      <c r="I5369" s="261"/>
      <c r="J5369" s="261"/>
      <c r="K5369" s="261"/>
      <c r="L5369" s="261"/>
      <c r="M5369" s="261"/>
    </row>
    <row r="5370" spans="5:13">
      <c r="E5370" s="261"/>
      <c r="F5370" s="261"/>
      <c r="G5370" s="261"/>
      <c r="H5370" s="261"/>
      <c r="I5370" s="261"/>
      <c r="J5370" s="261"/>
      <c r="K5370" s="261"/>
      <c r="L5370" s="261"/>
      <c r="M5370" s="261"/>
    </row>
    <row r="5371" spans="5:13">
      <c r="E5371" s="261"/>
      <c r="F5371" s="261"/>
      <c r="G5371" s="261"/>
      <c r="H5371" s="261"/>
      <c r="I5371" s="261"/>
      <c r="J5371" s="261"/>
      <c r="K5371" s="261"/>
      <c r="L5371" s="261"/>
      <c r="M5371" s="261"/>
    </row>
    <row r="5372" spans="5:13">
      <c r="E5372" s="261"/>
      <c r="F5372" s="261"/>
      <c r="G5372" s="261"/>
      <c r="H5372" s="261"/>
      <c r="I5372" s="261"/>
      <c r="J5372" s="261"/>
      <c r="K5372" s="261"/>
      <c r="L5372" s="261"/>
      <c r="M5372" s="261"/>
    </row>
    <row r="5373" spans="5:13">
      <c r="E5373" s="261"/>
      <c r="F5373" s="261"/>
      <c r="G5373" s="261"/>
      <c r="H5373" s="261"/>
      <c r="I5373" s="261"/>
      <c r="J5373" s="261"/>
      <c r="K5373" s="261"/>
      <c r="L5373" s="261"/>
      <c r="M5373" s="261"/>
    </row>
    <row r="5374" spans="5:13">
      <c r="E5374" s="261"/>
      <c r="F5374" s="261"/>
      <c r="G5374" s="261"/>
      <c r="H5374" s="261"/>
      <c r="I5374" s="261"/>
      <c r="J5374" s="261"/>
      <c r="K5374" s="261"/>
      <c r="L5374" s="261"/>
      <c r="M5374" s="261"/>
    </row>
    <row r="5375" spans="5:13">
      <c r="E5375" s="261"/>
      <c r="F5375" s="261"/>
      <c r="G5375" s="261"/>
      <c r="H5375" s="261"/>
      <c r="I5375" s="261"/>
      <c r="J5375" s="261"/>
      <c r="K5375" s="261"/>
      <c r="L5375" s="261"/>
      <c r="M5375" s="261"/>
    </row>
    <row r="5376" spans="5:13">
      <c r="E5376" s="261"/>
      <c r="F5376" s="261"/>
      <c r="G5376" s="261"/>
      <c r="H5376" s="261"/>
      <c r="I5376" s="261"/>
      <c r="J5376" s="261"/>
      <c r="K5376" s="261"/>
      <c r="L5376" s="261"/>
      <c r="M5376" s="261"/>
    </row>
    <row r="5377" spans="5:13">
      <c r="E5377" s="261"/>
      <c r="F5377" s="261"/>
      <c r="G5377" s="261"/>
      <c r="H5377" s="261"/>
      <c r="I5377" s="261"/>
      <c r="J5377" s="261"/>
      <c r="K5377" s="261"/>
      <c r="L5377" s="261"/>
      <c r="M5377" s="261"/>
    </row>
    <row r="5378" spans="5:13">
      <c r="E5378" s="261"/>
      <c r="F5378" s="261"/>
      <c r="G5378" s="261"/>
      <c r="H5378" s="261"/>
      <c r="I5378" s="261"/>
      <c r="J5378" s="261"/>
      <c r="K5378" s="261"/>
      <c r="L5378" s="261"/>
      <c r="M5378" s="261"/>
    </row>
    <row r="5379" spans="5:13">
      <c r="E5379" s="261"/>
      <c r="F5379" s="261"/>
      <c r="G5379" s="261"/>
      <c r="H5379" s="261"/>
      <c r="I5379" s="261"/>
      <c r="J5379" s="261"/>
      <c r="K5379" s="261"/>
      <c r="L5379" s="261"/>
      <c r="M5379" s="261"/>
    </row>
    <row r="5380" spans="5:13">
      <c r="E5380" s="261"/>
      <c r="F5380" s="261"/>
      <c r="G5380" s="261"/>
      <c r="H5380" s="261"/>
      <c r="I5380" s="261"/>
      <c r="J5380" s="261"/>
      <c r="K5380" s="261"/>
      <c r="L5380" s="261"/>
      <c r="M5380" s="261"/>
    </row>
    <row r="5381" spans="5:13">
      <c r="E5381" s="261"/>
      <c r="F5381" s="261"/>
      <c r="G5381" s="261"/>
      <c r="H5381" s="261"/>
      <c r="I5381" s="261"/>
      <c r="J5381" s="261"/>
      <c r="K5381" s="261"/>
      <c r="L5381" s="261"/>
      <c r="M5381" s="261"/>
    </row>
    <row r="5382" spans="5:13">
      <c r="E5382" s="261"/>
      <c r="F5382" s="261"/>
      <c r="G5382" s="261"/>
      <c r="H5382" s="261"/>
      <c r="I5382" s="261"/>
      <c r="J5382" s="261"/>
      <c r="K5382" s="261"/>
      <c r="L5382" s="261"/>
      <c r="M5382" s="261"/>
    </row>
    <row r="5383" spans="5:13">
      <c r="E5383" s="261"/>
      <c r="F5383" s="261"/>
      <c r="G5383" s="261"/>
      <c r="H5383" s="261"/>
      <c r="I5383" s="261"/>
      <c r="J5383" s="261"/>
      <c r="K5383" s="261"/>
      <c r="L5383" s="261"/>
      <c r="M5383" s="261"/>
    </row>
    <row r="5384" spans="5:13">
      <c r="E5384" s="261"/>
      <c r="F5384" s="261"/>
      <c r="G5384" s="261"/>
      <c r="H5384" s="261"/>
      <c r="I5384" s="261"/>
      <c r="J5384" s="261"/>
      <c r="K5384" s="261"/>
      <c r="L5384" s="261"/>
      <c r="M5384" s="261"/>
    </row>
    <row r="5385" spans="5:13">
      <c r="E5385" s="261"/>
      <c r="F5385" s="261"/>
      <c r="G5385" s="261"/>
      <c r="H5385" s="261"/>
      <c r="I5385" s="261"/>
      <c r="J5385" s="261"/>
      <c r="K5385" s="261"/>
      <c r="L5385" s="261"/>
      <c r="M5385" s="261"/>
    </row>
    <row r="5386" spans="5:13">
      <c r="E5386" s="261"/>
      <c r="F5386" s="261"/>
      <c r="G5386" s="261"/>
      <c r="H5386" s="261"/>
      <c r="I5386" s="261"/>
      <c r="J5386" s="261"/>
      <c r="K5386" s="261"/>
      <c r="L5386" s="261"/>
      <c r="M5386" s="261"/>
    </row>
    <row r="5387" spans="5:13">
      <c r="E5387" s="261"/>
      <c r="F5387" s="261"/>
      <c r="G5387" s="261"/>
      <c r="H5387" s="261"/>
      <c r="I5387" s="261"/>
      <c r="J5387" s="261"/>
      <c r="K5387" s="261"/>
      <c r="L5387" s="261"/>
      <c r="M5387" s="261"/>
    </row>
    <row r="5388" spans="5:13">
      <c r="E5388" s="261"/>
      <c r="F5388" s="261"/>
      <c r="G5388" s="261"/>
      <c r="H5388" s="261"/>
      <c r="I5388" s="261"/>
      <c r="J5388" s="261"/>
      <c r="K5388" s="261"/>
      <c r="L5388" s="261"/>
      <c r="M5388" s="261"/>
    </row>
    <row r="5389" spans="5:13">
      <c r="E5389" s="261"/>
      <c r="F5389" s="261"/>
      <c r="G5389" s="261"/>
      <c r="H5389" s="261"/>
      <c r="I5389" s="261"/>
      <c r="J5389" s="261"/>
      <c r="K5389" s="261"/>
      <c r="L5389" s="261"/>
      <c r="M5389" s="261"/>
    </row>
    <row r="5390" spans="5:13">
      <c r="E5390" s="261"/>
      <c r="F5390" s="261"/>
      <c r="G5390" s="261"/>
      <c r="H5390" s="261"/>
      <c r="I5390" s="261"/>
      <c r="J5390" s="261"/>
      <c r="K5390" s="261"/>
      <c r="L5390" s="261"/>
      <c r="M5390" s="261"/>
    </row>
    <row r="5391" spans="5:13">
      <c r="E5391" s="261"/>
      <c r="F5391" s="261"/>
      <c r="G5391" s="261"/>
      <c r="H5391" s="261"/>
      <c r="I5391" s="261"/>
      <c r="J5391" s="261"/>
      <c r="K5391" s="261"/>
      <c r="L5391" s="261"/>
      <c r="M5391" s="261"/>
    </row>
    <row r="5392" spans="5:13">
      <c r="E5392" s="261"/>
      <c r="F5392" s="261"/>
      <c r="G5392" s="261"/>
      <c r="H5392" s="261"/>
      <c r="I5392" s="261"/>
      <c r="J5392" s="261"/>
      <c r="K5392" s="261"/>
      <c r="L5392" s="261"/>
      <c r="M5392" s="261"/>
    </row>
    <row r="5393" spans="5:13">
      <c r="E5393" s="261"/>
      <c r="F5393" s="261"/>
      <c r="G5393" s="261"/>
      <c r="H5393" s="261"/>
      <c r="I5393" s="261"/>
      <c r="J5393" s="261"/>
      <c r="K5393" s="261"/>
      <c r="L5393" s="261"/>
      <c r="M5393" s="261"/>
    </row>
    <row r="5394" spans="5:13">
      <c r="E5394" s="261"/>
      <c r="F5394" s="261"/>
      <c r="G5394" s="261"/>
      <c r="H5394" s="261"/>
      <c r="I5394" s="261"/>
      <c r="J5394" s="261"/>
      <c r="K5394" s="261"/>
      <c r="L5394" s="261"/>
      <c r="M5394" s="261"/>
    </row>
    <row r="5395" spans="5:13">
      <c r="E5395" s="261"/>
      <c r="F5395" s="261"/>
      <c r="G5395" s="261"/>
      <c r="H5395" s="261"/>
      <c r="I5395" s="261"/>
      <c r="J5395" s="261"/>
      <c r="K5395" s="261"/>
      <c r="L5395" s="261"/>
      <c r="M5395" s="261"/>
    </row>
    <row r="5396" spans="5:13">
      <c r="E5396" s="261"/>
      <c r="F5396" s="261"/>
      <c r="G5396" s="261"/>
      <c r="H5396" s="261"/>
      <c r="I5396" s="261"/>
      <c r="J5396" s="261"/>
      <c r="K5396" s="261"/>
      <c r="L5396" s="261"/>
      <c r="M5396" s="261"/>
    </row>
    <row r="5397" spans="5:13">
      <c r="E5397" s="261"/>
      <c r="F5397" s="261"/>
      <c r="G5397" s="261"/>
      <c r="H5397" s="261"/>
      <c r="I5397" s="261"/>
      <c r="J5397" s="261"/>
      <c r="K5397" s="261"/>
      <c r="L5397" s="261"/>
      <c r="M5397" s="261"/>
    </row>
    <row r="5398" spans="5:13">
      <c r="E5398" s="261"/>
      <c r="F5398" s="261"/>
      <c r="G5398" s="261"/>
      <c r="H5398" s="261"/>
      <c r="I5398" s="261"/>
      <c r="J5398" s="261"/>
      <c r="K5398" s="261"/>
      <c r="L5398" s="261"/>
      <c r="M5398" s="261"/>
    </row>
    <row r="5399" spans="5:13">
      <c r="E5399" s="261"/>
      <c r="F5399" s="261"/>
      <c r="G5399" s="261"/>
      <c r="H5399" s="261"/>
      <c r="I5399" s="261"/>
      <c r="J5399" s="261"/>
      <c r="K5399" s="261"/>
      <c r="L5399" s="261"/>
      <c r="M5399" s="261"/>
    </row>
    <row r="5400" spans="5:13">
      <c r="E5400" s="261"/>
      <c r="F5400" s="261"/>
      <c r="G5400" s="261"/>
      <c r="H5400" s="261"/>
      <c r="I5400" s="261"/>
      <c r="J5400" s="261"/>
      <c r="K5400" s="261"/>
      <c r="L5400" s="261"/>
      <c r="M5400" s="261"/>
    </row>
    <row r="5401" spans="5:13">
      <c r="E5401" s="261"/>
      <c r="F5401" s="261"/>
      <c r="G5401" s="261"/>
      <c r="H5401" s="261"/>
      <c r="I5401" s="261"/>
      <c r="J5401" s="261"/>
      <c r="K5401" s="261"/>
      <c r="L5401" s="261"/>
      <c r="M5401" s="261"/>
    </row>
    <row r="5402" spans="5:13">
      <c r="E5402" s="261"/>
      <c r="F5402" s="261"/>
      <c r="G5402" s="261"/>
      <c r="H5402" s="261"/>
      <c r="I5402" s="261"/>
      <c r="J5402" s="261"/>
      <c r="K5402" s="261"/>
      <c r="L5402" s="261"/>
      <c r="M5402" s="261"/>
    </row>
    <row r="5403" spans="5:13">
      <c r="E5403" s="261"/>
      <c r="F5403" s="261"/>
      <c r="G5403" s="261"/>
      <c r="H5403" s="261"/>
      <c r="I5403" s="261"/>
      <c r="J5403" s="261"/>
      <c r="K5403" s="261"/>
      <c r="L5403" s="261"/>
      <c r="M5403" s="261"/>
    </row>
    <row r="5404" spans="5:13">
      <c r="E5404" s="261"/>
      <c r="F5404" s="261"/>
      <c r="G5404" s="261"/>
      <c r="H5404" s="261"/>
      <c r="I5404" s="261"/>
      <c r="J5404" s="261"/>
      <c r="K5404" s="261"/>
      <c r="L5404" s="261"/>
      <c r="M5404" s="261"/>
    </row>
    <row r="5405" spans="5:13">
      <c r="E5405" s="261"/>
      <c r="F5405" s="261"/>
      <c r="G5405" s="261"/>
      <c r="H5405" s="261"/>
      <c r="I5405" s="261"/>
      <c r="J5405" s="261"/>
      <c r="K5405" s="261"/>
      <c r="L5405" s="261"/>
      <c r="M5405" s="261"/>
    </row>
    <row r="5406" spans="5:13">
      <c r="E5406" s="261"/>
      <c r="F5406" s="261"/>
      <c r="G5406" s="261"/>
      <c r="H5406" s="261"/>
      <c r="I5406" s="261"/>
      <c r="J5406" s="261"/>
      <c r="K5406" s="261"/>
      <c r="L5406" s="261"/>
      <c r="M5406" s="261"/>
    </row>
    <row r="5407" spans="5:13">
      <c r="E5407" s="261"/>
      <c r="F5407" s="261"/>
      <c r="G5407" s="261"/>
      <c r="H5407" s="261"/>
      <c r="I5407" s="261"/>
      <c r="J5407" s="261"/>
      <c r="K5407" s="261"/>
      <c r="L5407" s="261"/>
      <c r="M5407" s="261"/>
    </row>
    <row r="5408" spans="5:13">
      <c r="E5408" s="261"/>
      <c r="F5408" s="261"/>
      <c r="G5408" s="261"/>
      <c r="H5408" s="261"/>
      <c r="I5408" s="261"/>
      <c r="J5408" s="261"/>
      <c r="K5408" s="261"/>
      <c r="L5408" s="261"/>
      <c r="M5408" s="261"/>
    </row>
    <row r="5409" spans="5:13">
      <c r="E5409" s="261"/>
      <c r="F5409" s="261"/>
      <c r="G5409" s="261"/>
      <c r="H5409" s="261"/>
      <c r="I5409" s="261"/>
      <c r="J5409" s="261"/>
      <c r="K5409" s="261"/>
      <c r="L5409" s="261"/>
      <c r="M5409" s="261"/>
    </row>
    <row r="5410" spans="5:13">
      <c r="E5410" s="261"/>
      <c r="F5410" s="261"/>
      <c r="G5410" s="261"/>
      <c r="H5410" s="261"/>
      <c r="I5410" s="261"/>
      <c r="J5410" s="261"/>
      <c r="K5410" s="261"/>
      <c r="L5410" s="261"/>
      <c r="M5410" s="261"/>
    </row>
    <row r="5411" spans="5:13">
      <c r="E5411" s="261"/>
      <c r="F5411" s="261"/>
      <c r="G5411" s="261"/>
      <c r="H5411" s="261"/>
      <c r="I5411" s="261"/>
      <c r="J5411" s="261"/>
      <c r="K5411" s="261"/>
      <c r="L5411" s="261"/>
      <c r="M5411" s="261"/>
    </row>
    <row r="5412" spans="5:13">
      <c r="E5412" s="261"/>
      <c r="F5412" s="261"/>
      <c r="G5412" s="261"/>
      <c r="H5412" s="261"/>
      <c r="I5412" s="261"/>
      <c r="J5412" s="261"/>
      <c r="K5412" s="261"/>
      <c r="L5412" s="261"/>
      <c r="M5412" s="261"/>
    </row>
    <row r="5413" spans="5:13">
      <c r="E5413" s="261"/>
      <c r="F5413" s="261"/>
      <c r="G5413" s="261"/>
      <c r="H5413" s="261"/>
      <c r="I5413" s="261"/>
      <c r="J5413" s="261"/>
      <c r="K5413" s="261"/>
      <c r="L5413" s="261"/>
      <c r="M5413" s="261"/>
    </row>
    <row r="5414" spans="5:13">
      <c r="E5414" s="261"/>
      <c r="F5414" s="261"/>
      <c r="G5414" s="261"/>
      <c r="H5414" s="261"/>
      <c r="I5414" s="261"/>
      <c r="J5414" s="261"/>
      <c r="K5414" s="261"/>
      <c r="L5414" s="261"/>
      <c r="M5414" s="261"/>
    </row>
    <row r="5415" spans="5:13">
      <c r="E5415" s="261"/>
      <c r="F5415" s="261"/>
      <c r="G5415" s="261"/>
      <c r="H5415" s="261"/>
      <c r="I5415" s="261"/>
      <c r="J5415" s="261"/>
      <c r="K5415" s="261"/>
      <c r="L5415" s="261"/>
      <c r="M5415" s="261"/>
    </row>
    <row r="5416" spans="5:13">
      <c r="E5416" s="261"/>
      <c r="F5416" s="261"/>
      <c r="G5416" s="261"/>
      <c r="H5416" s="261"/>
      <c r="I5416" s="261"/>
      <c r="J5416" s="261"/>
      <c r="K5416" s="261"/>
      <c r="L5416" s="261"/>
      <c r="M5416" s="261"/>
    </row>
    <row r="5417" spans="5:13">
      <c r="E5417" s="261"/>
      <c r="F5417" s="261"/>
      <c r="G5417" s="261"/>
      <c r="H5417" s="261"/>
      <c r="I5417" s="261"/>
      <c r="J5417" s="261"/>
      <c r="K5417" s="261"/>
      <c r="L5417" s="261"/>
      <c r="M5417" s="261"/>
    </row>
    <row r="5418" spans="5:13">
      <c r="E5418" s="261"/>
      <c r="F5418" s="261"/>
      <c r="G5418" s="261"/>
      <c r="H5418" s="261"/>
      <c r="I5418" s="261"/>
      <c r="J5418" s="261"/>
      <c r="K5418" s="261"/>
      <c r="L5418" s="261"/>
      <c r="M5418" s="261"/>
    </row>
    <row r="5419" spans="5:13">
      <c r="E5419" s="261"/>
      <c r="F5419" s="261"/>
      <c r="G5419" s="261"/>
      <c r="H5419" s="261"/>
      <c r="I5419" s="261"/>
      <c r="J5419" s="261"/>
      <c r="K5419" s="261"/>
      <c r="L5419" s="261"/>
      <c r="M5419" s="261"/>
    </row>
    <row r="5420" spans="5:13">
      <c r="E5420" s="261"/>
      <c r="F5420" s="261"/>
      <c r="G5420" s="261"/>
      <c r="H5420" s="261"/>
      <c r="I5420" s="261"/>
      <c r="J5420" s="261"/>
      <c r="K5420" s="261"/>
      <c r="L5420" s="261"/>
      <c r="M5420" s="261"/>
    </row>
    <row r="5421" spans="5:13">
      <c r="E5421" s="261"/>
      <c r="F5421" s="261"/>
      <c r="G5421" s="261"/>
      <c r="H5421" s="261"/>
      <c r="I5421" s="261"/>
      <c r="J5421" s="261"/>
      <c r="K5421" s="261"/>
      <c r="L5421" s="261"/>
      <c r="M5421" s="261"/>
    </row>
    <row r="5422" spans="5:13">
      <c r="E5422" s="261"/>
      <c r="F5422" s="261"/>
      <c r="G5422" s="261"/>
      <c r="H5422" s="261"/>
      <c r="I5422" s="261"/>
      <c r="J5422" s="261"/>
      <c r="K5422" s="261"/>
      <c r="L5422" s="261"/>
      <c r="M5422" s="261"/>
    </row>
    <row r="5423" spans="5:13">
      <c r="E5423" s="261"/>
      <c r="F5423" s="261"/>
      <c r="G5423" s="261"/>
      <c r="H5423" s="261"/>
      <c r="I5423" s="261"/>
      <c r="J5423" s="261"/>
      <c r="K5423" s="261"/>
      <c r="L5423" s="261"/>
      <c r="M5423" s="261"/>
    </row>
    <row r="5424" spans="5:13">
      <c r="E5424" s="261"/>
      <c r="F5424" s="261"/>
      <c r="G5424" s="261"/>
      <c r="H5424" s="261"/>
      <c r="I5424" s="261"/>
      <c r="J5424" s="261"/>
      <c r="K5424" s="261"/>
      <c r="L5424" s="261"/>
      <c r="M5424" s="261"/>
    </row>
    <row r="5425" spans="5:13">
      <c r="E5425" s="261"/>
      <c r="F5425" s="261"/>
      <c r="G5425" s="261"/>
      <c r="H5425" s="261"/>
      <c r="I5425" s="261"/>
      <c r="J5425" s="261"/>
      <c r="K5425" s="261"/>
      <c r="L5425" s="261"/>
      <c r="M5425" s="261"/>
    </row>
    <row r="5426" spans="5:13">
      <c r="E5426" s="261"/>
      <c r="F5426" s="261"/>
      <c r="G5426" s="261"/>
      <c r="H5426" s="261"/>
      <c r="I5426" s="261"/>
      <c r="J5426" s="261"/>
      <c r="K5426" s="261"/>
      <c r="L5426" s="261"/>
      <c r="M5426" s="261"/>
    </row>
    <row r="5427" spans="5:13">
      <c r="E5427" s="261"/>
      <c r="F5427" s="261"/>
      <c r="G5427" s="261"/>
      <c r="H5427" s="261"/>
      <c r="I5427" s="261"/>
      <c r="J5427" s="261"/>
      <c r="K5427" s="261"/>
      <c r="L5427" s="261"/>
      <c r="M5427" s="261"/>
    </row>
    <row r="5428" spans="5:13">
      <c r="E5428" s="261"/>
      <c r="F5428" s="261"/>
      <c r="G5428" s="261"/>
      <c r="H5428" s="261"/>
      <c r="I5428" s="261"/>
      <c r="J5428" s="261"/>
      <c r="K5428" s="261"/>
      <c r="L5428" s="261"/>
      <c r="M5428" s="261"/>
    </row>
    <row r="5429" spans="5:13">
      <c r="E5429" s="261"/>
      <c r="F5429" s="261"/>
      <c r="G5429" s="261"/>
      <c r="H5429" s="261"/>
      <c r="I5429" s="261"/>
      <c r="J5429" s="261"/>
      <c r="K5429" s="261"/>
      <c r="L5429" s="261"/>
      <c r="M5429" s="261"/>
    </row>
    <row r="5430" spans="5:13">
      <c r="E5430" s="261"/>
      <c r="F5430" s="261"/>
      <c r="G5430" s="261"/>
      <c r="H5430" s="261"/>
      <c r="I5430" s="261"/>
      <c r="J5430" s="261"/>
      <c r="K5430" s="261"/>
      <c r="L5430" s="261"/>
      <c r="M5430" s="261"/>
    </row>
    <row r="5431" spans="5:13">
      <c r="E5431" s="261"/>
      <c r="F5431" s="261"/>
      <c r="G5431" s="261"/>
      <c r="H5431" s="261"/>
      <c r="I5431" s="261"/>
      <c r="J5431" s="261"/>
      <c r="K5431" s="261"/>
      <c r="L5431" s="261"/>
      <c r="M5431" s="261"/>
    </row>
    <row r="5432" spans="5:13">
      <c r="E5432" s="261"/>
      <c r="F5432" s="261"/>
      <c r="G5432" s="261"/>
      <c r="H5432" s="261"/>
      <c r="I5432" s="261"/>
      <c r="J5432" s="261"/>
      <c r="K5432" s="261"/>
      <c r="L5432" s="261"/>
      <c r="M5432" s="261"/>
    </row>
    <row r="5433" spans="5:13">
      <c r="E5433" s="261"/>
      <c r="F5433" s="261"/>
      <c r="G5433" s="261"/>
      <c r="H5433" s="261"/>
      <c r="I5433" s="261"/>
      <c r="J5433" s="261"/>
      <c r="K5433" s="261"/>
      <c r="L5433" s="261"/>
      <c r="M5433" s="261"/>
    </row>
    <row r="5434" spans="5:13">
      <c r="E5434" s="261"/>
      <c r="F5434" s="261"/>
      <c r="G5434" s="261"/>
      <c r="H5434" s="261"/>
      <c r="I5434" s="261"/>
      <c r="J5434" s="261"/>
      <c r="K5434" s="261"/>
      <c r="L5434" s="261"/>
      <c r="M5434" s="261"/>
    </row>
    <row r="5435" spans="5:13">
      <c r="E5435" s="261"/>
      <c r="F5435" s="261"/>
      <c r="G5435" s="261"/>
      <c r="H5435" s="261"/>
      <c r="I5435" s="261"/>
      <c r="J5435" s="261"/>
      <c r="K5435" s="261"/>
      <c r="L5435" s="261"/>
      <c r="M5435" s="261"/>
    </row>
    <row r="5436" spans="5:13">
      <c r="E5436" s="261"/>
      <c r="F5436" s="261"/>
      <c r="G5436" s="261"/>
      <c r="H5436" s="261"/>
      <c r="I5436" s="261"/>
      <c r="J5436" s="261"/>
      <c r="K5436" s="261"/>
      <c r="L5436" s="261"/>
      <c r="M5436" s="261"/>
    </row>
    <row r="5437" spans="5:13">
      <c r="E5437" s="261"/>
      <c r="F5437" s="261"/>
      <c r="G5437" s="261"/>
      <c r="H5437" s="261"/>
      <c r="I5437" s="261"/>
      <c r="J5437" s="261"/>
      <c r="K5437" s="261"/>
      <c r="L5437" s="261"/>
      <c r="M5437" s="261"/>
    </row>
    <row r="5438" spans="5:13">
      <c r="E5438" s="261"/>
      <c r="F5438" s="261"/>
      <c r="G5438" s="261"/>
      <c r="H5438" s="261"/>
      <c r="I5438" s="261"/>
      <c r="J5438" s="261"/>
      <c r="K5438" s="261"/>
      <c r="L5438" s="261"/>
      <c r="M5438" s="261"/>
    </row>
    <row r="5439" spans="5:13">
      <c r="E5439" s="261"/>
      <c r="F5439" s="261"/>
      <c r="G5439" s="261"/>
      <c r="H5439" s="261"/>
      <c r="I5439" s="261"/>
      <c r="J5439" s="261"/>
      <c r="K5439" s="261"/>
      <c r="L5439" s="261"/>
      <c r="M5439" s="261"/>
    </row>
    <row r="5440" spans="5:13">
      <c r="E5440" s="261"/>
      <c r="F5440" s="261"/>
      <c r="G5440" s="261"/>
      <c r="H5440" s="261"/>
      <c r="I5440" s="261"/>
      <c r="J5440" s="261"/>
      <c r="K5440" s="261"/>
      <c r="L5440" s="261"/>
      <c r="M5440" s="261"/>
    </row>
    <row r="5441" spans="5:13">
      <c r="E5441" s="261"/>
      <c r="F5441" s="261"/>
      <c r="G5441" s="261"/>
      <c r="H5441" s="261"/>
      <c r="I5441" s="261"/>
      <c r="J5441" s="261"/>
      <c r="K5441" s="261"/>
      <c r="L5441" s="261"/>
      <c r="M5441" s="261"/>
    </row>
    <row r="5442" spans="5:13">
      <c r="E5442" s="261"/>
      <c r="F5442" s="261"/>
      <c r="G5442" s="261"/>
      <c r="H5442" s="261"/>
      <c r="I5442" s="261"/>
      <c r="J5442" s="261"/>
      <c r="K5442" s="261"/>
      <c r="L5442" s="261"/>
      <c r="M5442" s="261"/>
    </row>
    <row r="5443" spans="5:13">
      <c r="E5443" s="261"/>
      <c r="F5443" s="261"/>
      <c r="G5443" s="261"/>
      <c r="H5443" s="261"/>
      <c r="I5443" s="261"/>
      <c r="J5443" s="261"/>
      <c r="K5443" s="261"/>
      <c r="L5443" s="261"/>
      <c r="M5443" s="261"/>
    </row>
    <row r="5444" spans="5:13">
      <c r="E5444" s="261"/>
      <c r="F5444" s="261"/>
      <c r="G5444" s="261"/>
      <c r="H5444" s="261"/>
      <c r="I5444" s="261"/>
      <c r="J5444" s="261"/>
      <c r="K5444" s="261"/>
      <c r="L5444" s="261"/>
      <c r="M5444" s="261"/>
    </row>
    <row r="5445" spans="5:13">
      <c r="E5445" s="261"/>
      <c r="F5445" s="261"/>
      <c r="G5445" s="261"/>
      <c r="H5445" s="261"/>
      <c r="I5445" s="261"/>
      <c r="J5445" s="261"/>
      <c r="K5445" s="261"/>
      <c r="L5445" s="261"/>
      <c r="M5445" s="261"/>
    </row>
    <row r="5446" spans="5:13">
      <c r="E5446" s="261"/>
      <c r="F5446" s="261"/>
      <c r="G5446" s="261"/>
      <c r="H5446" s="261"/>
      <c r="I5446" s="261"/>
      <c r="J5446" s="261"/>
      <c r="K5446" s="261"/>
      <c r="L5446" s="261"/>
      <c r="M5446" s="261"/>
    </row>
    <row r="5447" spans="5:13">
      <c r="E5447" s="261"/>
      <c r="F5447" s="261"/>
      <c r="G5447" s="261"/>
      <c r="H5447" s="261"/>
      <c r="I5447" s="261"/>
      <c r="J5447" s="261"/>
      <c r="K5447" s="261"/>
      <c r="L5447" s="261"/>
      <c r="M5447" s="261"/>
    </row>
    <row r="5448" spans="5:13">
      <c r="E5448" s="261"/>
      <c r="F5448" s="261"/>
      <c r="G5448" s="261"/>
      <c r="H5448" s="261"/>
      <c r="I5448" s="261"/>
      <c r="J5448" s="261"/>
      <c r="K5448" s="261"/>
      <c r="L5448" s="261"/>
      <c r="M5448" s="261"/>
    </row>
    <row r="5449" spans="5:13">
      <c r="E5449" s="261"/>
      <c r="F5449" s="261"/>
      <c r="G5449" s="261"/>
      <c r="H5449" s="261"/>
      <c r="I5449" s="261"/>
      <c r="J5449" s="261"/>
      <c r="K5449" s="261"/>
      <c r="L5449" s="261"/>
      <c r="M5449" s="261"/>
    </row>
    <row r="5450" spans="5:13">
      <c r="E5450" s="261"/>
      <c r="F5450" s="261"/>
      <c r="G5450" s="261"/>
      <c r="H5450" s="261"/>
      <c r="I5450" s="261"/>
      <c r="J5450" s="261"/>
      <c r="K5450" s="261"/>
      <c r="L5450" s="261"/>
      <c r="M5450" s="261"/>
    </row>
    <row r="5451" spans="5:13">
      <c r="E5451" s="261"/>
      <c r="F5451" s="261"/>
      <c r="G5451" s="261"/>
      <c r="H5451" s="261"/>
      <c r="I5451" s="261"/>
      <c r="J5451" s="261"/>
      <c r="K5451" s="261"/>
      <c r="L5451" s="261"/>
      <c r="M5451" s="261"/>
    </row>
    <row r="5452" spans="5:13">
      <c r="E5452" s="261"/>
      <c r="F5452" s="261"/>
      <c r="G5452" s="261"/>
      <c r="H5452" s="261"/>
      <c r="I5452" s="261"/>
      <c r="J5452" s="261"/>
      <c r="K5452" s="261"/>
      <c r="L5452" s="261"/>
      <c r="M5452" s="261"/>
    </row>
    <row r="5453" spans="5:13">
      <c r="E5453" s="261"/>
      <c r="F5453" s="261"/>
      <c r="G5453" s="261"/>
      <c r="H5453" s="261"/>
      <c r="I5453" s="261"/>
      <c r="J5453" s="261"/>
      <c r="K5453" s="261"/>
      <c r="L5453" s="261"/>
      <c r="M5453" s="261"/>
    </row>
    <row r="5454" spans="5:13">
      <c r="E5454" s="261"/>
      <c r="F5454" s="261"/>
      <c r="G5454" s="261"/>
      <c r="H5454" s="261"/>
      <c r="I5454" s="261"/>
      <c r="J5454" s="261"/>
      <c r="K5454" s="261"/>
      <c r="L5454" s="261"/>
      <c r="M5454" s="261"/>
    </row>
    <row r="5455" spans="5:13">
      <c r="E5455" s="261"/>
      <c r="F5455" s="261"/>
      <c r="G5455" s="261"/>
      <c r="H5455" s="261"/>
      <c r="I5455" s="261"/>
      <c r="J5455" s="261"/>
      <c r="K5455" s="261"/>
      <c r="L5455" s="261"/>
      <c r="M5455" s="261"/>
    </row>
    <row r="5456" spans="5:13">
      <c r="E5456" s="261"/>
      <c r="F5456" s="261"/>
      <c r="G5456" s="261"/>
      <c r="H5456" s="261"/>
      <c r="I5456" s="261"/>
      <c r="J5456" s="261"/>
      <c r="K5456" s="261"/>
      <c r="L5456" s="261"/>
      <c r="M5456" s="261"/>
    </row>
    <row r="5457" spans="5:13">
      <c r="E5457" s="261"/>
      <c r="F5457" s="261"/>
      <c r="G5457" s="261"/>
      <c r="H5457" s="261"/>
      <c r="I5457" s="261"/>
      <c r="J5457" s="261"/>
      <c r="K5457" s="261"/>
      <c r="L5457" s="261"/>
      <c r="M5457" s="261"/>
    </row>
    <row r="5458" spans="5:13">
      <c r="E5458" s="261"/>
      <c r="F5458" s="261"/>
      <c r="G5458" s="261"/>
      <c r="H5458" s="261"/>
      <c r="I5458" s="261"/>
      <c r="J5458" s="261"/>
      <c r="K5458" s="261"/>
      <c r="L5458" s="261"/>
      <c r="M5458" s="261"/>
    </row>
    <row r="5459" spans="5:13">
      <c r="E5459" s="261"/>
      <c r="F5459" s="261"/>
      <c r="G5459" s="261"/>
      <c r="H5459" s="261"/>
      <c r="I5459" s="261"/>
      <c r="J5459" s="261"/>
      <c r="K5459" s="261"/>
      <c r="L5459" s="261"/>
      <c r="M5459" s="261"/>
    </row>
    <row r="5460" spans="5:13">
      <c r="E5460" s="261"/>
      <c r="F5460" s="261"/>
      <c r="G5460" s="261"/>
      <c r="H5460" s="261"/>
      <c r="I5460" s="261"/>
      <c r="J5460" s="261"/>
      <c r="K5460" s="261"/>
      <c r="L5460" s="261"/>
      <c r="M5460" s="261"/>
    </row>
    <row r="5461" spans="5:13">
      <c r="E5461" s="261"/>
      <c r="F5461" s="261"/>
      <c r="G5461" s="261"/>
      <c r="H5461" s="261"/>
      <c r="I5461" s="261"/>
      <c r="J5461" s="261"/>
      <c r="K5461" s="261"/>
      <c r="L5461" s="261"/>
      <c r="M5461" s="261"/>
    </row>
    <row r="5462" spans="5:13">
      <c r="E5462" s="261"/>
      <c r="F5462" s="261"/>
      <c r="G5462" s="261"/>
      <c r="H5462" s="261"/>
      <c r="I5462" s="261"/>
      <c r="J5462" s="261"/>
      <c r="K5462" s="261"/>
      <c r="L5462" s="261"/>
      <c r="M5462" s="261"/>
    </row>
    <row r="5463" spans="5:13">
      <c r="E5463" s="261"/>
      <c r="F5463" s="261"/>
      <c r="G5463" s="261"/>
      <c r="H5463" s="261"/>
      <c r="I5463" s="261"/>
      <c r="J5463" s="261"/>
      <c r="K5463" s="261"/>
      <c r="L5463" s="261"/>
      <c r="M5463" s="261"/>
    </row>
    <row r="5464" spans="5:13">
      <c r="E5464" s="261"/>
      <c r="F5464" s="261"/>
      <c r="G5464" s="261"/>
      <c r="H5464" s="261"/>
      <c r="I5464" s="261"/>
      <c r="J5464" s="261"/>
      <c r="K5464" s="261"/>
      <c r="L5464" s="261"/>
      <c r="M5464" s="261"/>
    </row>
    <row r="5465" spans="5:13">
      <c r="E5465" s="261"/>
      <c r="F5465" s="261"/>
      <c r="G5465" s="261"/>
      <c r="H5465" s="261"/>
      <c r="I5465" s="261"/>
      <c r="J5465" s="261"/>
      <c r="K5465" s="261"/>
      <c r="L5465" s="261"/>
      <c r="M5465" s="261"/>
    </row>
    <row r="5466" spans="5:13">
      <c r="E5466" s="261"/>
      <c r="F5466" s="261"/>
      <c r="G5466" s="261"/>
      <c r="H5466" s="261"/>
      <c r="I5466" s="261"/>
      <c r="J5466" s="261"/>
      <c r="K5466" s="261"/>
      <c r="L5466" s="261"/>
      <c r="M5466" s="261"/>
    </row>
    <row r="5467" spans="5:13">
      <c r="E5467" s="261"/>
      <c r="F5467" s="261"/>
      <c r="G5467" s="261"/>
      <c r="H5467" s="261"/>
      <c r="I5467" s="261"/>
      <c r="J5467" s="261"/>
      <c r="K5467" s="261"/>
      <c r="L5467" s="261"/>
      <c r="M5467" s="261"/>
    </row>
    <row r="5468" spans="5:13">
      <c r="E5468" s="261"/>
      <c r="F5468" s="261"/>
      <c r="G5468" s="261"/>
      <c r="H5468" s="261"/>
      <c r="I5468" s="261"/>
      <c r="J5468" s="261"/>
      <c r="K5468" s="261"/>
      <c r="L5468" s="261"/>
      <c r="M5468" s="261"/>
    </row>
    <row r="5469" spans="5:13">
      <c r="E5469" s="261"/>
      <c r="F5469" s="261"/>
      <c r="G5469" s="261"/>
      <c r="H5469" s="261"/>
      <c r="I5469" s="261"/>
      <c r="J5469" s="261"/>
      <c r="K5469" s="261"/>
      <c r="L5469" s="261"/>
      <c r="M5469" s="261"/>
    </row>
    <row r="5470" spans="5:13">
      <c r="E5470" s="261"/>
      <c r="F5470" s="261"/>
      <c r="G5470" s="261"/>
      <c r="H5470" s="261"/>
      <c r="I5470" s="261"/>
      <c r="J5470" s="261"/>
      <c r="K5470" s="261"/>
      <c r="L5470" s="261"/>
      <c r="M5470" s="261"/>
    </row>
    <row r="5471" spans="5:13">
      <c r="E5471" s="261"/>
      <c r="F5471" s="261"/>
      <c r="G5471" s="261"/>
      <c r="H5471" s="261"/>
      <c r="I5471" s="261"/>
      <c r="J5471" s="261"/>
      <c r="K5471" s="261"/>
      <c r="L5471" s="261"/>
      <c r="M5471" s="261"/>
    </row>
    <row r="5472" spans="5:13">
      <c r="E5472" s="261"/>
      <c r="F5472" s="261"/>
      <c r="G5472" s="261"/>
      <c r="H5472" s="261"/>
      <c r="I5472" s="261"/>
      <c r="J5472" s="261"/>
      <c r="K5472" s="261"/>
      <c r="L5472" s="261"/>
      <c r="M5472" s="261"/>
    </row>
    <row r="5473" spans="5:13">
      <c r="E5473" s="261"/>
      <c r="F5473" s="261"/>
      <c r="G5473" s="261"/>
      <c r="H5473" s="261"/>
      <c r="I5473" s="261"/>
      <c r="J5473" s="261"/>
      <c r="K5473" s="261"/>
      <c r="L5473" s="261"/>
      <c r="M5473" s="261"/>
    </row>
    <row r="5474" spans="5:13">
      <c r="E5474" s="261"/>
      <c r="F5474" s="261"/>
      <c r="G5474" s="261"/>
      <c r="H5474" s="261"/>
      <c r="I5474" s="261"/>
      <c r="J5474" s="261"/>
      <c r="K5474" s="261"/>
      <c r="L5474" s="261"/>
      <c r="M5474" s="261"/>
    </row>
    <row r="5475" spans="5:13">
      <c r="E5475" s="261"/>
      <c r="F5475" s="261"/>
      <c r="G5475" s="261"/>
      <c r="H5475" s="261"/>
      <c r="I5475" s="261"/>
      <c r="J5475" s="261"/>
      <c r="K5475" s="261"/>
      <c r="L5475" s="261"/>
      <c r="M5475" s="261"/>
    </row>
    <row r="5476" spans="5:13">
      <c r="E5476" s="261"/>
      <c r="F5476" s="261"/>
      <c r="G5476" s="261"/>
      <c r="H5476" s="261"/>
      <c r="I5476" s="261"/>
      <c r="J5476" s="261"/>
      <c r="K5476" s="261"/>
      <c r="L5476" s="261"/>
      <c r="M5476" s="261"/>
    </row>
    <row r="5477" spans="5:13">
      <c r="E5477" s="261"/>
      <c r="F5477" s="261"/>
      <c r="G5477" s="261"/>
      <c r="H5477" s="261"/>
      <c r="I5477" s="261"/>
      <c r="J5477" s="261"/>
      <c r="K5477" s="261"/>
      <c r="L5477" s="261"/>
      <c r="M5477" s="261"/>
    </row>
    <row r="5478" spans="5:13">
      <c r="E5478" s="261"/>
      <c r="F5478" s="261"/>
      <c r="G5478" s="261"/>
      <c r="H5478" s="261"/>
      <c r="I5478" s="261"/>
      <c r="J5478" s="261"/>
      <c r="K5478" s="261"/>
      <c r="L5478" s="261"/>
      <c r="M5478" s="261"/>
    </row>
    <row r="5479" spans="5:13">
      <c r="E5479" s="261"/>
      <c r="F5479" s="261"/>
      <c r="G5479" s="261"/>
      <c r="H5479" s="261"/>
      <c r="I5479" s="261"/>
      <c r="J5479" s="261"/>
      <c r="K5479" s="261"/>
      <c r="L5479" s="261"/>
      <c r="M5479" s="261"/>
    </row>
    <row r="5480" spans="5:13">
      <c r="E5480" s="261"/>
      <c r="F5480" s="261"/>
      <c r="G5480" s="261"/>
      <c r="H5480" s="261"/>
      <c r="I5480" s="261"/>
      <c r="J5480" s="261"/>
      <c r="K5480" s="261"/>
      <c r="L5480" s="261"/>
      <c r="M5480" s="261"/>
    </row>
    <row r="5481" spans="5:13">
      <c r="E5481" s="261"/>
      <c r="F5481" s="261"/>
      <c r="G5481" s="261"/>
      <c r="H5481" s="261"/>
      <c r="I5481" s="261"/>
      <c r="J5481" s="261"/>
      <c r="K5481" s="261"/>
      <c r="L5481" s="261"/>
      <c r="M5481" s="261"/>
    </row>
    <row r="5482" spans="5:13">
      <c r="E5482" s="261"/>
      <c r="F5482" s="261"/>
      <c r="G5482" s="261"/>
      <c r="H5482" s="261"/>
      <c r="I5482" s="261"/>
      <c r="J5482" s="261"/>
      <c r="K5482" s="261"/>
      <c r="L5482" s="261"/>
      <c r="M5482" s="261"/>
    </row>
    <row r="5483" spans="5:13">
      <c r="E5483" s="261"/>
      <c r="F5483" s="261"/>
      <c r="G5483" s="261"/>
      <c r="H5483" s="261"/>
      <c r="I5483" s="261"/>
      <c r="J5483" s="261"/>
      <c r="K5483" s="261"/>
      <c r="L5483" s="261"/>
      <c r="M5483" s="261"/>
    </row>
    <row r="5484" spans="5:13">
      <c r="E5484" s="261"/>
      <c r="F5484" s="261"/>
      <c r="G5484" s="261"/>
      <c r="H5484" s="261"/>
      <c r="I5484" s="261"/>
      <c r="J5484" s="261"/>
      <c r="K5484" s="261"/>
      <c r="L5484" s="261"/>
      <c r="M5484" s="261"/>
    </row>
    <row r="5485" spans="5:13">
      <c r="E5485" s="261"/>
      <c r="F5485" s="261"/>
      <c r="G5485" s="261"/>
      <c r="H5485" s="261"/>
      <c r="I5485" s="261"/>
      <c r="J5485" s="261"/>
      <c r="K5485" s="261"/>
      <c r="L5485" s="261"/>
      <c r="M5485" s="261"/>
    </row>
    <row r="5486" spans="5:13">
      <c r="E5486" s="261"/>
      <c r="F5486" s="261"/>
      <c r="G5486" s="261"/>
      <c r="H5486" s="261"/>
      <c r="I5486" s="261"/>
      <c r="J5486" s="261"/>
      <c r="K5486" s="261"/>
      <c r="L5486" s="261"/>
      <c r="M5486" s="261"/>
    </row>
    <row r="5487" spans="5:13">
      <c r="E5487" s="261"/>
      <c r="F5487" s="261"/>
      <c r="G5487" s="261"/>
      <c r="H5487" s="261"/>
      <c r="I5487" s="261"/>
      <c r="J5487" s="261"/>
      <c r="K5487" s="261"/>
      <c r="L5487" s="261"/>
      <c r="M5487" s="261"/>
    </row>
    <row r="5488" spans="5:13">
      <c r="E5488" s="261"/>
      <c r="F5488" s="261"/>
      <c r="G5488" s="261"/>
      <c r="H5488" s="261"/>
      <c r="I5488" s="261"/>
      <c r="J5488" s="261"/>
      <c r="K5488" s="261"/>
      <c r="L5488" s="261"/>
      <c r="M5488" s="261"/>
    </row>
    <row r="5489" spans="5:13">
      <c r="E5489" s="261"/>
      <c r="F5489" s="261"/>
      <c r="G5489" s="261"/>
      <c r="H5489" s="261"/>
      <c r="I5489" s="261"/>
      <c r="J5489" s="261"/>
      <c r="K5489" s="261"/>
      <c r="L5489" s="261"/>
      <c r="M5489" s="261"/>
    </row>
    <row r="5490" spans="5:13">
      <c r="E5490" s="261"/>
      <c r="F5490" s="261"/>
      <c r="G5490" s="261"/>
      <c r="H5490" s="261"/>
      <c r="I5490" s="261"/>
      <c r="J5490" s="261"/>
      <c r="K5490" s="261"/>
      <c r="L5490" s="261"/>
      <c r="M5490" s="261"/>
    </row>
    <row r="5491" spans="5:13">
      <c r="E5491" s="261"/>
      <c r="F5491" s="261"/>
      <c r="G5491" s="261"/>
      <c r="H5491" s="261"/>
      <c r="I5491" s="261"/>
      <c r="J5491" s="261"/>
      <c r="K5491" s="261"/>
      <c r="L5491" s="261"/>
      <c r="M5491" s="261"/>
    </row>
    <row r="5492" spans="5:13">
      <c r="E5492" s="261"/>
      <c r="F5492" s="261"/>
      <c r="G5492" s="261"/>
      <c r="H5492" s="261"/>
      <c r="I5492" s="261"/>
      <c r="J5492" s="261"/>
      <c r="K5492" s="261"/>
      <c r="L5492" s="261"/>
      <c r="M5492" s="261"/>
    </row>
    <row r="5493" spans="5:13">
      <c r="E5493" s="261"/>
      <c r="F5493" s="261"/>
      <c r="G5493" s="261"/>
      <c r="H5493" s="261"/>
      <c r="I5493" s="261"/>
      <c r="J5493" s="261"/>
      <c r="K5493" s="261"/>
      <c r="L5493" s="261"/>
      <c r="M5493" s="261"/>
    </row>
    <row r="5494" spans="5:13">
      <c r="E5494" s="261"/>
      <c r="F5494" s="261"/>
      <c r="G5494" s="261"/>
      <c r="H5494" s="261"/>
      <c r="I5494" s="261"/>
      <c r="J5494" s="261"/>
      <c r="K5494" s="261"/>
      <c r="L5494" s="261"/>
      <c r="M5494" s="261"/>
    </row>
    <row r="5495" spans="5:13">
      <c r="E5495" s="261"/>
      <c r="F5495" s="261"/>
      <c r="G5495" s="261"/>
      <c r="H5495" s="261"/>
      <c r="I5495" s="261"/>
      <c r="J5495" s="261"/>
      <c r="K5495" s="261"/>
      <c r="L5495" s="261"/>
      <c r="M5495" s="261"/>
    </row>
    <row r="5496" spans="5:13">
      <c r="E5496" s="261"/>
      <c r="F5496" s="261"/>
      <c r="G5496" s="261"/>
      <c r="H5496" s="261"/>
      <c r="I5496" s="261"/>
      <c r="J5496" s="261"/>
      <c r="K5496" s="261"/>
      <c r="L5496" s="261"/>
      <c r="M5496" s="261"/>
    </row>
    <row r="5497" spans="5:13">
      <c r="E5497" s="261"/>
      <c r="F5497" s="261"/>
      <c r="G5497" s="261"/>
      <c r="H5497" s="261"/>
      <c r="I5497" s="261"/>
      <c r="J5497" s="261"/>
      <c r="K5497" s="261"/>
      <c r="L5497" s="261"/>
      <c r="M5497" s="261"/>
    </row>
    <row r="5498" spans="5:13">
      <c r="E5498" s="261"/>
      <c r="F5498" s="261"/>
      <c r="G5498" s="261"/>
      <c r="H5498" s="261"/>
      <c r="I5498" s="261"/>
      <c r="J5498" s="261"/>
      <c r="K5498" s="261"/>
      <c r="L5498" s="261"/>
      <c r="M5498" s="261"/>
    </row>
    <row r="5499" spans="5:13">
      <c r="E5499" s="261"/>
      <c r="F5499" s="261"/>
      <c r="G5499" s="261"/>
      <c r="H5499" s="261"/>
      <c r="I5499" s="261"/>
      <c r="J5499" s="261"/>
      <c r="K5499" s="261"/>
      <c r="L5499" s="261"/>
      <c r="M5499" s="261"/>
    </row>
    <row r="5500" spans="5:13">
      <c r="E5500" s="261"/>
      <c r="F5500" s="261"/>
      <c r="G5500" s="261"/>
      <c r="H5500" s="261"/>
      <c r="I5500" s="261"/>
      <c r="J5500" s="261"/>
      <c r="K5500" s="261"/>
      <c r="L5500" s="261"/>
      <c r="M5500" s="261"/>
    </row>
    <row r="5501" spans="5:13">
      <c r="E5501" s="261"/>
      <c r="F5501" s="261"/>
      <c r="G5501" s="261"/>
      <c r="H5501" s="261"/>
      <c r="I5501" s="261"/>
      <c r="J5501" s="261"/>
      <c r="K5501" s="261"/>
      <c r="L5501" s="261"/>
      <c r="M5501" s="261"/>
    </row>
    <row r="5502" spans="5:13">
      <c r="E5502" s="261"/>
      <c r="F5502" s="261"/>
      <c r="G5502" s="261"/>
      <c r="H5502" s="261"/>
      <c r="I5502" s="261"/>
      <c r="J5502" s="261"/>
      <c r="K5502" s="261"/>
      <c r="L5502" s="261"/>
      <c r="M5502" s="261"/>
    </row>
    <row r="5503" spans="5:13">
      <c r="E5503" s="261"/>
      <c r="F5503" s="261"/>
      <c r="G5503" s="261"/>
      <c r="H5503" s="261"/>
      <c r="I5503" s="261"/>
      <c r="J5503" s="261"/>
      <c r="K5503" s="261"/>
      <c r="L5503" s="261"/>
      <c r="M5503" s="261"/>
    </row>
    <row r="5504" spans="5:13">
      <c r="E5504" s="261"/>
      <c r="F5504" s="261"/>
      <c r="G5504" s="261"/>
      <c r="H5504" s="261"/>
      <c r="I5504" s="261"/>
      <c r="J5504" s="261"/>
      <c r="K5504" s="261"/>
      <c r="L5504" s="261"/>
      <c r="M5504" s="261"/>
    </row>
    <row r="5505" spans="5:13">
      <c r="E5505" s="261"/>
      <c r="F5505" s="261"/>
      <c r="G5505" s="261"/>
      <c r="H5505" s="261"/>
      <c r="I5505" s="261"/>
      <c r="J5505" s="261"/>
      <c r="K5505" s="261"/>
      <c r="L5505" s="261"/>
      <c r="M5505" s="261"/>
    </row>
    <row r="5506" spans="5:13">
      <c r="E5506" s="261"/>
      <c r="F5506" s="261"/>
      <c r="G5506" s="261"/>
      <c r="H5506" s="261"/>
      <c r="I5506" s="261"/>
      <c r="J5506" s="261"/>
      <c r="K5506" s="261"/>
      <c r="L5506" s="261"/>
      <c r="M5506" s="261"/>
    </row>
    <row r="5507" spans="5:13">
      <c r="E5507" s="261"/>
      <c r="F5507" s="261"/>
      <c r="G5507" s="261"/>
      <c r="H5507" s="261"/>
      <c r="I5507" s="261"/>
      <c r="J5507" s="261"/>
      <c r="K5507" s="261"/>
      <c r="L5507" s="261"/>
      <c r="M5507" s="261"/>
    </row>
    <row r="5508" spans="5:13">
      <c r="E5508" s="261"/>
      <c r="F5508" s="261"/>
      <c r="G5508" s="261"/>
      <c r="H5508" s="261"/>
      <c r="I5508" s="261"/>
      <c r="J5508" s="261"/>
      <c r="K5508" s="261"/>
      <c r="L5508" s="261"/>
      <c r="M5508" s="261"/>
    </row>
    <row r="5509" spans="5:13">
      <c r="E5509" s="261"/>
      <c r="F5509" s="261"/>
      <c r="G5509" s="261"/>
      <c r="H5509" s="261"/>
      <c r="I5509" s="261"/>
      <c r="J5509" s="261"/>
      <c r="K5509" s="261"/>
      <c r="L5509" s="261"/>
      <c r="M5509" s="261"/>
    </row>
    <row r="5510" spans="5:13">
      <c r="E5510" s="261"/>
      <c r="F5510" s="261"/>
      <c r="G5510" s="261"/>
      <c r="H5510" s="261"/>
      <c r="I5510" s="261"/>
      <c r="J5510" s="261"/>
      <c r="K5510" s="261"/>
      <c r="L5510" s="261"/>
      <c r="M5510" s="261"/>
    </row>
    <row r="5511" spans="5:13">
      <c r="E5511" s="261"/>
      <c r="F5511" s="261"/>
      <c r="G5511" s="261"/>
      <c r="H5511" s="261"/>
      <c r="I5511" s="261"/>
      <c r="J5511" s="261"/>
      <c r="K5511" s="261"/>
      <c r="L5511" s="261"/>
      <c r="M5511" s="261"/>
    </row>
    <row r="5512" spans="5:13">
      <c r="E5512" s="261"/>
      <c r="F5512" s="261"/>
      <c r="G5512" s="261"/>
      <c r="H5512" s="261"/>
      <c r="I5512" s="261"/>
      <c r="J5512" s="261"/>
      <c r="K5512" s="261"/>
      <c r="L5512" s="261"/>
      <c r="M5512" s="261"/>
    </row>
    <row r="5513" spans="5:13">
      <c r="E5513" s="261"/>
      <c r="F5513" s="261"/>
      <c r="G5513" s="261"/>
      <c r="H5513" s="261"/>
      <c r="I5513" s="261"/>
      <c r="J5513" s="261"/>
      <c r="K5513" s="261"/>
      <c r="L5513" s="261"/>
      <c r="M5513" s="261"/>
    </row>
    <row r="5514" spans="5:13">
      <c r="E5514" s="261"/>
      <c r="F5514" s="261"/>
      <c r="G5514" s="261"/>
      <c r="H5514" s="261"/>
      <c r="I5514" s="261"/>
      <c r="J5514" s="261"/>
      <c r="K5514" s="261"/>
      <c r="L5514" s="261"/>
      <c r="M5514" s="261"/>
    </row>
    <row r="5515" spans="5:13">
      <c r="E5515" s="261"/>
      <c r="F5515" s="261"/>
      <c r="G5515" s="261"/>
      <c r="H5515" s="261"/>
      <c r="I5515" s="261"/>
      <c r="J5515" s="261"/>
      <c r="K5515" s="261"/>
      <c r="L5515" s="261"/>
      <c r="M5515" s="261"/>
    </row>
    <row r="5516" spans="5:13">
      <c r="E5516" s="261"/>
      <c r="F5516" s="261"/>
      <c r="G5516" s="261"/>
      <c r="H5516" s="261"/>
      <c r="I5516" s="261"/>
      <c r="J5516" s="261"/>
      <c r="K5516" s="261"/>
      <c r="L5516" s="261"/>
      <c r="M5516" s="261"/>
    </row>
    <row r="5517" spans="5:13">
      <c r="E5517" s="261"/>
      <c r="F5517" s="261"/>
      <c r="G5517" s="261"/>
      <c r="H5517" s="261"/>
      <c r="I5517" s="261"/>
      <c r="J5517" s="261"/>
      <c r="K5517" s="261"/>
      <c r="L5517" s="261"/>
      <c r="M5517" s="261"/>
    </row>
    <row r="5518" spans="5:13">
      <c r="E5518" s="261"/>
      <c r="F5518" s="261"/>
      <c r="G5518" s="261"/>
      <c r="H5518" s="261"/>
      <c r="I5518" s="261"/>
      <c r="J5518" s="261"/>
      <c r="K5518" s="261"/>
      <c r="L5518" s="261"/>
      <c r="M5518" s="261"/>
    </row>
    <row r="5519" spans="5:13">
      <c r="E5519" s="261"/>
      <c r="F5519" s="261"/>
      <c r="G5519" s="261"/>
      <c r="H5519" s="261"/>
      <c r="I5519" s="261"/>
      <c r="J5519" s="261"/>
      <c r="K5519" s="261"/>
      <c r="L5519" s="261"/>
      <c r="M5519" s="261"/>
    </row>
    <row r="5520" spans="5:13">
      <c r="E5520" s="261"/>
      <c r="F5520" s="261"/>
      <c r="G5520" s="261"/>
      <c r="H5520" s="261"/>
      <c r="I5520" s="261"/>
      <c r="J5520" s="261"/>
      <c r="K5520" s="261"/>
      <c r="L5520" s="261"/>
      <c r="M5520" s="261"/>
    </row>
    <row r="5521" spans="5:13">
      <c r="E5521" s="261"/>
      <c r="F5521" s="261"/>
      <c r="G5521" s="261"/>
      <c r="H5521" s="261"/>
      <c r="I5521" s="261"/>
      <c r="J5521" s="261"/>
      <c r="K5521" s="261"/>
      <c r="L5521" s="261"/>
      <c r="M5521" s="261"/>
    </row>
    <row r="5522" spans="5:13">
      <c r="E5522" s="261"/>
      <c r="F5522" s="261"/>
      <c r="G5522" s="261"/>
      <c r="H5522" s="261"/>
      <c r="I5522" s="261"/>
      <c r="J5522" s="261"/>
      <c r="K5522" s="261"/>
      <c r="L5522" s="261"/>
      <c r="M5522" s="261"/>
    </row>
    <row r="5523" spans="5:13">
      <c r="E5523" s="261"/>
      <c r="F5523" s="261"/>
      <c r="G5523" s="261"/>
      <c r="H5523" s="261"/>
      <c r="I5523" s="261"/>
      <c r="J5523" s="261"/>
      <c r="K5523" s="261"/>
      <c r="L5523" s="261"/>
      <c r="M5523" s="261"/>
    </row>
    <row r="5524" spans="5:13">
      <c r="E5524" s="261"/>
      <c r="F5524" s="261"/>
      <c r="G5524" s="261"/>
      <c r="H5524" s="261"/>
      <c r="I5524" s="261"/>
      <c r="J5524" s="261"/>
      <c r="K5524" s="261"/>
      <c r="L5524" s="261"/>
      <c r="M5524" s="261"/>
    </row>
    <row r="5525" spans="5:13">
      <c r="E5525" s="261"/>
      <c r="F5525" s="261"/>
      <c r="G5525" s="261"/>
      <c r="H5525" s="261"/>
      <c r="I5525" s="261"/>
      <c r="J5525" s="261"/>
      <c r="K5525" s="261"/>
      <c r="L5525" s="261"/>
      <c r="M5525" s="261"/>
    </row>
    <row r="5526" spans="5:13">
      <c r="E5526" s="261"/>
      <c r="F5526" s="261"/>
      <c r="G5526" s="261"/>
      <c r="H5526" s="261"/>
      <c r="I5526" s="261"/>
      <c r="J5526" s="261"/>
      <c r="K5526" s="261"/>
      <c r="L5526" s="261"/>
      <c r="M5526" s="261"/>
    </row>
    <row r="5527" spans="5:13">
      <c r="E5527" s="261"/>
      <c r="F5527" s="261"/>
      <c r="G5527" s="261"/>
      <c r="H5527" s="261"/>
      <c r="I5527" s="261"/>
      <c r="J5527" s="261"/>
      <c r="K5527" s="261"/>
      <c r="L5527" s="261"/>
      <c r="M5527" s="261"/>
    </row>
    <row r="5528" spans="5:13">
      <c r="E5528" s="261"/>
      <c r="F5528" s="261"/>
      <c r="G5528" s="261"/>
      <c r="H5528" s="261"/>
      <c r="I5528" s="261"/>
      <c r="J5528" s="261"/>
      <c r="K5528" s="261"/>
      <c r="L5528" s="261"/>
      <c r="M5528" s="261"/>
    </row>
    <row r="5529" spans="5:13">
      <c r="E5529" s="261"/>
      <c r="F5529" s="261"/>
      <c r="G5529" s="261"/>
      <c r="H5529" s="261"/>
      <c r="I5529" s="261"/>
      <c r="J5529" s="261"/>
      <c r="K5529" s="261"/>
      <c r="L5529" s="261"/>
      <c r="M5529" s="261"/>
    </row>
    <row r="5530" spans="5:13">
      <c r="E5530" s="261"/>
      <c r="F5530" s="261"/>
      <c r="G5530" s="261"/>
      <c r="H5530" s="261"/>
      <c r="I5530" s="261"/>
      <c r="J5530" s="261"/>
      <c r="K5530" s="261"/>
      <c r="L5530" s="261"/>
      <c r="M5530" s="261"/>
    </row>
    <row r="5531" spans="5:13">
      <c r="E5531" s="261"/>
      <c r="F5531" s="261"/>
      <c r="G5531" s="261"/>
      <c r="H5531" s="261"/>
      <c r="I5531" s="261"/>
      <c r="J5531" s="261"/>
      <c r="K5531" s="261"/>
      <c r="L5531" s="261"/>
      <c r="M5531" s="261"/>
    </row>
    <row r="5532" spans="5:13">
      <c r="E5532" s="261"/>
      <c r="F5532" s="261"/>
      <c r="G5532" s="261"/>
      <c r="H5532" s="261"/>
      <c r="I5532" s="261"/>
      <c r="J5532" s="261"/>
      <c r="K5532" s="261"/>
      <c r="L5532" s="261"/>
      <c r="M5532" s="261"/>
    </row>
    <row r="5533" spans="5:13">
      <c r="E5533" s="261"/>
      <c r="F5533" s="261"/>
      <c r="G5533" s="261"/>
      <c r="H5533" s="261"/>
      <c r="I5533" s="261"/>
      <c r="J5533" s="261"/>
      <c r="K5533" s="261"/>
      <c r="L5533" s="261"/>
      <c r="M5533" s="261"/>
    </row>
    <row r="5534" spans="5:13">
      <c r="E5534" s="261"/>
      <c r="F5534" s="261"/>
      <c r="G5534" s="261"/>
      <c r="H5534" s="261"/>
      <c r="I5534" s="261"/>
      <c r="J5534" s="261"/>
      <c r="K5534" s="261"/>
      <c r="L5534" s="261"/>
      <c r="M5534" s="261"/>
    </row>
    <row r="5535" spans="5:13">
      <c r="E5535" s="261"/>
      <c r="F5535" s="261"/>
      <c r="G5535" s="261"/>
      <c r="H5535" s="261"/>
      <c r="I5535" s="261"/>
      <c r="J5535" s="261"/>
      <c r="K5535" s="261"/>
      <c r="L5535" s="261"/>
      <c r="M5535" s="261"/>
    </row>
    <row r="5536" spans="5:13">
      <c r="E5536" s="261"/>
      <c r="F5536" s="261"/>
      <c r="G5536" s="261"/>
      <c r="H5536" s="261"/>
      <c r="I5536" s="261"/>
      <c r="J5536" s="261"/>
      <c r="K5536" s="261"/>
      <c r="L5536" s="261"/>
      <c r="M5536" s="261"/>
    </row>
    <row r="5537" spans="5:13">
      <c r="E5537" s="261"/>
      <c r="F5537" s="261"/>
      <c r="G5537" s="261"/>
      <c r="H5537" s="261"/>
      <c r="I5537" s="261"/>
      <c r="J5537" s="261"/>
      <c r="K5537" s="261"/>
      <c r="L5537" s="261"/>
      <c r="M5537" s="261"/>
    </row>
    <row r="5538" spans="5:13">
      <c r="E5538" s="261"/>
      <c r="F5538" s="261"/>
      <c r="G5538" s="261"/>
      <c r="H5538" s="261"/>
      <c r="I5538" s="261"/>
      <c r="J5538" s="261"/>
      <c r="K5538" s="261"/>
      <c r="L5538" s="261"/>
      <c r="M5538" s="261"/>
    </row>
    <row r="5539" spans="5:13">
      <c r="E5539" s="261"/>
      <c r="F5539" s="261"/>
      <c r="G5539" s="261"/>
      <c r="H5539" s="261"/>
      <c r="I5539" s="261"/>
      <c r="J5539" s="261"/>
      <c r="K5539" s="261"/>
      <c r="L5539" s="261"/>
      <c r="M5539" s="261"/>
    </row>
    <row r="5540" spans="5:13">
      <c r="E5540" s="261"/>
      <c r="F5540" s="261"/>
      <c r="G5540" s="261"/>
      <c r="H5540" s="261"/>
      <c r="I5540" s="261"/>
      <c r="J5540" s="261"/>
      <c r="K5540" s="261"/>
      <c r="L5540" s="261"/>
      <c r="M5540" s="261"/>
    </row>
    <row r="5541" spans="5:13">
      <c r="E5541" s="261"/>
      <c r="F5541" s="261"/>
      <c r="G5541" s="261"/>
      <c r="H5541" s="261"/>
      <c r="I5541" s="261"/>
      <c r="J5541" s="261"/>
      <c r="K5541" s="261"/>
      <c r="L5541" s="261"/>
      <c r="M5541" s="261"/>
    </row>
    <row r="5542" spans="5:13">
      <c r="E5542" s="261"/>
      <c r="F5542" s="261"/>
      <c r="G5542" s="261"/>
      <c r="H5542" s="261"/>
      <c r="I5542" s="261"/>
      <c r="J5542" s="261"/>
      <c r="K5542" s="261"/>
      <c r="L5542" s="261"/>
      <c r="M5542" s="261"/>
    </row>
    <row r="5543" spans="5:13">
      <c r="E5543" s="261"/>
      <c r="F5543" s="261"/>
      <c r="G5543" s="261"/>
      <c r="H5543" s="261"/>
      <c r="I5543" s="261"/>
      <c r="J5543" s="261"/>
      <c r="K5543" s="261"/>
      <c r="L5543" s="261"/>
      <c r="M5543" s="261"/>
    </row>
    <row r="5544" spans="5:13">
      <c r="E5544" s="261"/>
      <c r="F5544" s="261"/>
      <c r="G5544" s="261"/>
      <c r="H5544" s="261"/>
      <c r="I5544" s="261"/>
      <c r="J5544" s="261"/>
      <c r="K5544" s="261"/>
      <c r="L5544" s="261"/>
      <c r="M5544" s="261"/>
    </row>
    <row r="5545" spans="5:13">
      <c r="E5545" s="261"/>
      <c r="F5545" s="261"/>
      <c r="G5545" s="261"/>
      <c r="H5545" s="261"/>
      <c r="I5545" s="261"/>
      <c r="J5545" s="261"/>
      <c r="K5545" s="261"/>
      <c r="L5545" s="261"/>
      <c r="M5545" s="261"/>
    </row>
    <row r="5546" spans="5:13">
      <c r="E5546" s="261"/>
      <c r="F5546" s="261"/>
      <c r="G5546" s="261"/>
      <c r="H5546" s="261"/>
      <c r="I5546" s="261"/>
      <c r="J5546" s="261"/>
      <c r="K5546" s="261"/>
      <c r="L5546" s="261"/>
      <c r="M5546" s="261"/>
    </row>
    <row r="5547" spans="5:13">
      <c r="E5547" s="261"/>
      <c r="F5547" s="261"/>
      <c r="G5547" s="261"/>
      <c r="H5547" s="261"/>
      <c r="I5547" s="261"/>
      <c r="J5547" s="261"/>
      <c r="K5547" s="261"/>
      <c r="L5547" s="261"/>
      <c r="M5547" s="261"/>
    </row>
    <row r="5548" spans="5:13">
      <c r="E5548" s="261"/>
      <c r="F5548" s="261"/>
      <c r="G5548" s="261"/>
      <c r="H5548" s="261"/>
      <c r="I5548" s="261"/>
      <c r="J5548" s="261"/>
      <c r="K5548" s="261"/>
      <c r="L5548" s="261"/>
      <c r="M5548" s="261"/>
    </row>
    <row r="5549" spans="5:13">
      <c r="E5549" s="261"/>
      <c r="F5549" s="261"/>
      <c r="G5549" s="261"/>
      <c r="H5549" s="261"/>
      <c r="I5549" s="261"/>
      <c r="J5549" s="261"/>
      <c r="K5549" s="261"/>
      <c r="L5549" s="261"/>
      <c r="M5549" s="261"/>
    </row>
    <row r="5550" spans="5:13">
      <c r="E5550" s="261"/>
      <c r="F5550" s="261"/>
      <c r="G5550" s="261"/>
      <c r="H5550" s="261"/>
      <c r="I5550" s="261"/>
      <c r="J5550" s="261"/>
      <c r="K5550" s="261"/>
      <c r="L5550" s="261"/>
      <c r="M5550" s="261"/>
    </row>
    <row r="5551" spans="5:13">
      <c r="E5551" s="261"/>
      <c r="F5551" s="261"/>
      <c r="G5551" s="261"/>
      <c r="H5551" s="261"/>
      <c r="I5551" s="261"/>
      <c r="J5551" s="261"/>
      <c r="K5551" s="261"/>
      <c r="L5551" s="261"/>
      <c r="M5551" s="261"/>
    </row>
    <row r="5552" spans="5:13">
      <c r="E5552" s="261"/>
      <c r="F5552" s="261"/>
      <c r="G5552" s="261"/>
      <c r="H5552" s="261"/>
      <c r="I5552" s="261"/>
      <c r="J5552" s="261"/>
      <c r="K5552" s="261"/>
      <c r="L5552" s="261"/>
      <c r="M5552" s="261"/>
    </row>
    <row r="5553" spans="5:13">
      <c r="E5553" s="261"/>
      <c r="F5553" s="261"/>
      <c r="G5553" s="261"/>
      <c r="H5553" s="261"/>
      <c r="I5553" s="261"/>
      <c r="J5553" s="261"/>
      <c r="K5553" s="261"/>
      <c r="L5553" s="261"/>
      <c r="M5553" s="261"/>
    </row>
    <row r="5554" spans="5:13">
      <c r="E5554" s="261"/>
      <c r="F5554" s="261"/>
      <c r="G5554" s="261"/>
      <c r="H5554" s="261"/>
      <c r="I5554" s="261"/>
      <c r="J5554" s="261"/>
      <c r="K5554" s="261"/>
      <c r="L5554" s="261"/>
      <c r="M5554" s="261"/>
    </row>
    <row r="5555" spans="5:13">
      <c r="E5555" s="261"/>
      <c r="F5555" s="261"/>
      <c r="G5555" s="261"/>
      <c r="H5555" s="261"/>
      <c r="I5555" s="261"/>
      <c r="J5555" s="261"/>
      <c r="K5555" s="261"/>
      <c r="L5555" s="261"/>
      <c r="M5555" s="261"/>
    </row>
    <row r="5556" spans="5:13">
      <c r="E5556" s="261"/>
      <c r="F5556" s="261"/>
      <c r="G5556" s="261"/>
      <c r="H5556" s="261"/>
      <c r="I5556" s="261"/>
      <c r="J5556" s="261"/>
      <c r="K5556" s="261"/>
      <c r="L5556" s="261"/>
      <c r="M5556" s="261"/>
    </row>
    <row r="5557" spans="5:13">
      <c r="E5557" s="261"/>
      <c r="F5557" s="261"/>
      <c r="G5557" s="261"/>
      <c r="H5557" s="261"/>
      <c r="I5557" s="261"/>
      <c r="J5557" s="261"/>
      <c r="K5557" s="261"/>
      <c r="L5557" s="261"/>
      <c r="M5557" s="261"/>
    </row>
    <row r="5558" spans="5:13">
      <c r="E5558" s="261"/>
      <c r="F5558" s="261"/>
      <c r="G5558" s="261"/>
      <c r="H5558" s="261"/>
      <c r="I5558" s="261"/>
      <c r="J5558" s="261"/>
      <c r="K5558" s="261"/>
      <c r="L5558" s="261"/>
      <c r="M5558" s="261"/>
    </row>
    <row r="5559" spans="5:13">
      <c r="E5559" s="261"/>
      <c r="F5559" s="261"/>
      <c r="G5559" s="261"/>
      <c r="H5559" s="261"/>
      <c r="I5559" s="261"/>
      <c r="J5559" s="261"/>
      <c r="K5559" s="261"/>
      <c r="L5559" s="261"/>
      <c r="M5559" s="261"/>
    </row>
    <row r="5560" spans="5:13">
      <c r="E5560" s="261"/>
      <c r="F5560" s="261"/>
      <c r="G5560" s="261"/>
      <c r="H5560" s="261"/>
      <c r="I5560" s="261"/>
      <c r="J5560" s="261"/>
      <c r="K5560" s="261"/>
      <c r="L5560" s="261"/>
      <c r="M5560" s="261"/>
    </row>
    <row r="5561" spans="5:13">
      <c r="E5561" s="261"/>
      <c r="F5561" s="261"/>
      <c r="G5561" s="261"/>
      <c r="H5561" s="261"/>
      <c r="I5561" s="261"/>
      <c r="J5561" s="261"/>
      <c r="K5561" s="261"/>
      <c r="L5561" s="261"/>
      <c r="M5561" s="261"/>
    </row>
    <row r="5562" spans="5:13">
      <c r="E5562" s="261"/>
      <c r="F5562" s="261"/>
      <c r="G5562" s="261"/>
      <c r="H5562" s="261"/>
      <c r="I5562" s="261"/>
      <c r="J5562" s="261"/>
      <c r="K5562" s="261"/>
      <c r="L5562" s="261"/>
      <c r="M5562" s="261"/>
    </row>
    <row r="5563" spans="5:13">
      <c r="E5563" s="261"/>
      <c r="F5563" s="261"/>
      <c r="G5563" s="261"/>
      <c r="H5563" s="261"/>
      <c r="I5563" s="261"/>
      <c r="J5563" s="261"/>
      <c r="K5563" s="261"/>
      <c r="L5563" s="261"/>
      <c r="M5563" s="261"/>
    </row>
    <row r="5564" spans="5:13">
      <c r="E5564" s="261"/>
      <c r="F5564" s="261"/>
      <c r="G5564" s="261"/>
      <c r="H5564" s="261"/>
      <c r="I5564" s="261"/>
      <c r="J5564" s="261"/>
      <c r="K5564" s="261"/>
      <c r="L5564" s="261"/>
      <c r="M5564" s="261"/>
    </row>
    <row r="5565" spans="5:13">
      <c r="E5565" s="261"/>
      <c r="F5565" s="261"/>
      <c r="G5565" s="261"/>
      <c r="H5565" s="261"/>
      <c r="I5565" s="261"/>
      <c r="J5565" s="261"/>
      <c r="K5565" s="261"/>
      <c r="L5565" s="261"/>
      <c r="M5565" s="261"/>
    </row>
    <row r="5566" spans="5:13">
      <c r="E5566" s="261"/>
      <c r="F5566" s="261"/>
      <c r="G5566" s="261"/>
      <c r="H5566" s="261"/>
      <c r="I5566" s="261"/>
      <c r="J5566" s="261"/>
      <c r="K5566" s="261"/>
      <c r="L5566" s="261"/>
      <c r="M5566" s="261"/>
    </row>
    <row r="5567" spans="5:13">
      <c r="E5567" s="261"/>
      <c r="F5567" s="261"/>
      <c r="G5567" s="261"/>
      <c r="H5567" s="261"/>
      <c r="I5567" s="261"/>
      <c r="J5567" s="261"/>
      <c r="K5567" s="261"/>
      <c r="L5567" s="261"/>
      <c r="M5567" s="261"/>
    </row>
    <row r="5568" spans="5:13">
      <c r="E5568" s="261"/>
      <c r="F5568" s="261"/>
      <c r="G5568" s="261"/>
      <c r="H5568" s="261"/>
      <c r="I5568" s="261"/>
      <c r="J5568" s="261"/>
      <c r="K5568" s="261"/>
      <c r="L5568" s="261"/>
      <c r="M5568" s="261"/>
    </row>
    <row r="5569" spans="5:13">
      <c r="E5569" s="261"/>
      <c r="F5569" s="261"/>
      <c r="G5569" s="261"/>
      <c r="H5569" s="261"/>
      <c r="I5569" s="261"/>
      <c r="J5569" s="261"/>
      <c r="K5569" s="261"/>
      <c r="L5569" s="261"/>
      <c r="M5569" s="261"/>
    </row>
    <row r="5570" spans="5:13">
      <c r="E5570" s="261"/>
      <c r="F5570" s="261"/>
      <c r="G5570" s="261"/>
      <c r="H5570" s="261"/>
      <c r="I5570" s="261"/>
      <c r="J5570" s="261"/>
      <c r="K5570" s="261"/>
      <c r="L5570" s="261"/>
      <c r="M5570" s="261"/>
    </row>
    <row r="5571" spans="5:13">
      <c r="E5571" s="261"/>
      <c r="F5571" s="261"/>
      <c r="G5571" s="261"/>
      <c r="H5571" s="261"/>
      <c r="I5571" s="261"/>
      <c r="J5571" s="261"/>
      <c r="K5571" s="261"/>
      <c r="L5571" s="261"/>
      <c r="M5571" s="261"/>
    </row>
    <row r="5572" spans="5:13">
      <c r="E5572" s="261"/>
      <c r="F5572" s="261"/>
      <c r="G5572" s="261"/>
      <c r="H5572" s="261"/>
      <c r="I5572" s="261"/>
      <c r="J5572" s="261"/>
      <c r="K5572" s="261"/>
      <c r="L5572" s="261"/>
      <c r="M5572" s="261"/>
    </row>
    <row r="5573" spans="5:13">
      <c r="E5573" s="261"/>
      <c r="F5573" s="261"/>
      <c r="G5573" s="261"/>
      <c r="H5573" s="261"/>
      <c r="I5573" s="261"/>
      <c r="J5573" s="261"/>
      <c r="K5573" s="261"/>
      <c r="L5573" s="261"/>
      <c r="M5573" s="261"/>
    </row>
    <row r="5574" spans="5:13">
      <c r="E5574" s="261"/>
      <c r="F5574" s="261"/>
      <c r="G5574" s="261"/>
      <c r="H5574" s="261"/>
      <c r="I5574" s="261"/>
      <c r="J5574" s="261"/>
      <c r="K5574" s="261"/>
      <c r="L5574" s="261"/>
      <c r="M5574" s="261"/>
    </row>
    <row r="5575" spans="5:13">
      <c r="E5575" s="261"/>
      <c r="F5575" s="261"/>
      <c r="G5575" s="261"/>
      <c r="H5575" s="261"/>
      <c r="I5575" s="261"/>
      <c r="J5575" s="261"/>
      <c r="K5575" s="261"/>
      <c r="L5575" s="261"/>
      <c r="M5575" s="261"/>
    </row>
    <row r="5576" spans="5:13">
      <c r="E5576" s="261"/>
      <c r="F5576" s="261"/>
      <c r="G5576" s="261"/>
      <c r="H5576" s="261"/>
      <c r="I5576" s="261"/>
      <c r="J5576" s="261"/>
      <c r="K5576" s="261"/>
      <c r="L5576" s="261"/>
      <c r="M5576" s="261"/>
    </row>
    <row r="5577" spans="5:13">
      <c r="E5577" s="261"/>
      <c r="F5577" s="261"/>
      <c r="G5577" s="261"/>
      <c r="H5577" s="261"/>
      <c r="I5577" s="261"/>
      <c r="J5577" s="261"/>
      <c r="K5577" s="261"/>
      <c r="L5577" s="261"/>
      <c r="M5577" s="261"/>
    </row>
    <row r="5578" spans="5:13">
      <c r="E5578" s="261"/>
      <c r="F5578" s="261"/>
      <c r="G5578" s="261"/>
      <c r="H5578" s="261"/>
      <c r="I5578" s="261"/>
      <c r="J5578" s="261"/>
      <c r="K5578" s="261"/>
      <c r="L5578" s="261"/>
      <c r="M5578" s="261"/>
    </row>
    <row r="5579" spans="5:13">
      <c r="E5579" s="261"/>
      <c r="F5579" s="261"/>
      <c r="G5579" s="261"/>
      <c r="H5579" s="261"/>
      <c r="I5579" s="261"/>
      <c r="J5579" s="261"/>
      <c r="K5579" s="261"/>
      <c r="L5579" s="261"/>
      <c r="M5579" s="261"/>
    </row>
    <row r="5580" spans="5:13">
      <c r="E5580" s="261"/>
      <c r="F5580" s="261"/>
      <c r="G5580" s="261"/>
      <c r="H5580" s="261"/>
      <c r="I5580" s="261"/>
      <c r="J5580" s="261"/>
      <c r="K5580" s="261"/>
      <c r="L5580" s="261"/>
      <c r="M5580" s="261"/>
    </row>
    <row r="5581" spans="5:13">
      <c r="E5581" s="261"/>
      <c r="F5581" s="261"/>
      <c r="G5581" s="261"/>
      <c r="H5581" s="261"/>
      <c r="I5581" s="261"/>
      <c r="J5581" s="261"/>
      <c r="K5581" s="261"/>
      <c r="L5581" s="261"/>
      <c r="M5581" s="261"/>
    </row>
    <row r="5582" spans="5:13">
      <c r="E5582" s="261"/>
      <c r="F5582" s="261"/>
      <c r="G5582" s="261"/>
      <c r="H5582" s="261"/>
      <c r="I5582" s="261"/>
      <c r="J5582" s="261"/>
      <c r="K5582" s="261"/>
      <c r="L5582" s="261"/>
      <c r="M5582" s="261"/>
    </row>
    <row r="5583" spans="5:13">
      <c r="E5583" s="261"/>
      <c r="F5583" s="261"/>
      <c r="G5583" s="261"/>
      <c r="H5583" s="261"/>
      <c r="I5583" s="261"/>
      <c r="J5583" s="261"/>
      <c r="K5583" s="261"/>
      <c r="L5583" s="261"/>
      <c r="M5583" s="261"/>
    </row>
    <row r="5584" spans="5:13">
      <c r="E5584" s="261"/>
      <c r="F5584" s="261"/>
      <c r="G5584" s="261"/>
      <c r="H5584" s="261"/>
      <c r="I5584" s="261"/>
      <c r="J5584" s="261"/>
      <c r="K5584" s="261"/>
      <c r="L5584" s="261"/>
      <c r="M5584" s="261"/>
    </row>
    <row r="5585" spans="5:13">
      <c r="E5585" s="261"/>
      <c r="F5585" s="261"/>
      <c r="G5585" s="261"/>
      <c r="H5585" s="261"/>
      <c r="I5585" s="261"/>
      <c r="J5585" s="261"/>
      <c r="K5585" s="261"/>
      <c r="L5585" s="261"/>
      <c r="M5585" s="261"/>
    </row>
    <row r="5586" spans="5:13">
      <c r="E5586" s="261"/>
      <c r="F5586" s="261"/>
      <c r="G5586" s="261"/>
      <c r="H5586" s="261"/>
      <c r="I5586" s="261"/>
      <c r="J5586" s="261"/>
      <c r="K5586" s="261"/>
      <c r="L5586" s="261"/>
      <c r="M5586" s="261"/>
    </row>
    <row r="5587" spans="5:13">
      <c r="E5587" s="261"/>
      <c r="F5587" s="261"/>
      <c r="G5587" s="261"/>
      <c r="H5587" s="261"/>
      <c r="I5587" s="261"/>
      <c r="J5587" s="261"/>
      <c r="K5587" s="261"/>
      <c r="L5587" s="261"/>
      <c r="M5587" s="261"/>
    </row>
    <row r="5588" spans="5:13">
      <c r="E5588" s="261"/>
      <c r="F5588" s="261"/>
      <c r="G5588" s="261"/>
      <c r="H5588" s="261"/>
      <c r="I5588" s="261"/>
      <c r="J5588" s="261"/>
      <c r="K5588" s="261"/>
      <c r="L5588" s="261"/>
      <c r="M5588" s="261"/>
    </row>
    <row r="5589" spans="5:13">
      <c r="E5589" s="261"/>
      <c r="F5589" s="261"/>
      <c r="G5589" s="261"/>
      <c r="H5589" s="261"/>
      <c r="I5589" s="261"/>
      <c r="J5589" s="261"/>
      <c r="K5589" s="261"/>
      <c r="L5589" s="261"/>
      <c r="M5589" s="261"/>
    </row>
    <row r="5590" spans="5:13">
      <c r="E5590" s="261"/>
      <c r="F5590" s="261"/>
      <c r="G5590" s="261"/>
      <c r="H5590" s="261"/>
      <c r="I5590" s="261"/>
      <c r="J5590" s="261"/>
      <c r="K5590" s="261"/>
      <c r="L5590" s="261"/>
      <c r="M5590" s="261"/>
    </row>
    <row r="5591" spans="5:13">
      <c r="E5591" s="261"/>
      <c r="F5591" s="261"/>
      <c r="G5591" s="261"/>
      <c r="H5591" s="261"/>
      <c r="I5591" s="261"/>
      <c r="J5591" s="261"/>
      <c r="K5591" s="261"/>
      <c r="L5591" s="261"/>
      <c r="M5591" s="261"/>
    </row>
    <row r="5592" spans="5:13">
      <c r="E5592" s="261"/>
      <c r="F5592" s="261"/>
      <c r="G5592" s="261"/>
      <c r="H5592" s="261"/>
      <c r="I5592" s="261"/>
      <c r="J5592" s="261"/>
      <c r="K5592" s="261"/>
      <c r="L5592" s="261"/>
      <c r="M5592" s="261"/>
    </row>
    <row r="5593" spans="5:13">
      <c r="E5593" s="261"/>
      <c r="F5593" s="261"/>
      <c r="G5593" s="261"/>
      <c r="H5593" s="261"/>
      <c r="I5593" s="261"/>
      <c r="J5593" s="261"/>
      <c r="K5593" s="261"/>
      <c r="L5593" s="261"/>
      <c r="M5593" s="261"/>
    </row>
    <row r="5594" spans="5:13">
      <c r="E5594" s="261"/>
      <c r="F5594" s="261"/>
      <c r="G5594" s="261"/>
      <c r="H5594" s="261"/>
      <c r="I5594" s="261"/>
      <c r="J5594" s="261"/>
      <c r="K5594" s="261"/>
      <c r="L5594" s="261"/>
      <c r="M5594" s="261"/>
    </row>
    <row r="5595" spans="5:13">
      <c r="E5595" s="261"/>
      <c r="F5595" s="261"/>
      <c r="G5595" s="261"/>
      <c r="H5595" s="261"/>
      <c r="I5595" s="261"/>
      <c r="J5595" s="261"/>
      <c r="K5595" s="261"/>
      <c r="L5595" s="261"/>
      <c r="M5595" s="261"/>
    </row>
    <row r="5596" spans="5:13">
      <c r="E5596" s="261"/>
      <c r="F5596" s="261"/>
      <c r="G5596" s="261"/>
      <c r="H5596" s="261"/>
      <c r="I5596" s="261"/>
      <c r="J5596" s="261"/>
      <c r="K5596" s="261"/>
      <c r="L5596" s="261"/>
      <c r="M5596" s="261"/>
    </row>
    <row r="5597" spans="5:13">
      <c r="E5597" s="261"/>
      <c r="F5597" s="261"/>
      <c r="G5597" s="261"/>
      <c r="H5597" s="261"/>
      <c r="I5597" s="261"/>
      <c r="J5597" s="261"/>
      <c r="K5597" s="261"/>
      <c r="L5597" s="261"/>
      <c r="M5597" s="261"/>
    </row>
    <row r="5598" spans="5:13">
      <c r="E5598" s="261"/>
      <c r="F5598" s="261"/>
      <c r="G5598" s="261"/>
      <c r="H5598" s="261"/>
      <c r="I5598" s="261"/>
      <c r="J5598" s="261"/>
      <c r="K5598" s="261"/>
      <c r="L5598" s="261"/>
      <c r="M5598" s="261"/>
    </row>
    <row r="5599" spans="5:13">
      <c r="E5599" s="261"/>
      <c r="F5599" s="261"/>
      <c r="G5599" s="261"/>
      <c r="H5599" s="261"/>
      <c r="I5599" s="261"/>
      <c r="J5599" s="261"/>
      <c r="K5599" s="261"/>
      <c r="L5599" s="261"/>
      <c r="M5599" s="261"/>
    </row>
    <row r="5600" spans="5:13">
      <c r="E5600" s="261"/>
      <c r="F5600" s="261"/>
      <c r="G5600" s="261"/>
      <c r="H5600" s="261"/>
      <c r="I5600" s="261"/>
      <c r="J5600" s="261"/>
      <c r="K5600" s="261"/>
      <c r="L5600" s="261"/>
      <c r="M5600" s="261"/>
    </row>
    <row r="5601" spans="5:13">
      <c r="E5601" s="261"/>
      <c r="F5601" s="261"/>
      <c r="G5601" s="261"/>
      <c r="H5601" s="261"/>
      <c r="I5601" s="261"/>
      <c r="J5601" s="261"/>
      <c r="K5601" s="261"/>
      <c r="L5601" s="261"/>
      <c r="M5601" s="261"/>
    </row>
    <row r="5602" spans="5:13">
      <c r="E5602" s="261"/>
      <c r="F5602" s="261"/>
      <c r="G5602" s="261"/>
      <c r="H5602" s="261"/>
      <c r="I5602" s="261"/>
      <c r="J5602" s="261"/>
      <c r="K5602" s="261"/>
      <c r="L5602" s="261"/>
      <c r="M5602" s="261"/>
    </row>
    <row r="5603" spans="5:13">
      <c r="E5603" s="261"/>
      <c r="F5603" s="261"/>
      <c r="G5603" s="261"/>
      <c r="H5603" s="261"/>
      <c r="I5603" s="261"/>
      <c r="J5603" s="261"/>
      <c r="K5603" s="261"/>
      <c r="L5603" s="261"/>
      <c r="M5603" s="261"/>
    </row>
    <row r="5604" spans="5:13">
      <c r="E5604" s="261"/>
      <c r="F5604" s="261"/>
      <c r="G5604" s="261"/>
      <c r="H5604" s="261"/>
      <c r="I5604" s="261"/>
      <c r="J5604" s="261"/>
      <c r="K5604" s="261"/>
      <c r="L5604" s="261"/>
      <c r="M5604" s="261"/>
    </row>
    <row r="5605" spans="5:13">
      <c r="E5605" s="261"/>
      <c r="F5605" s="261"/>
      <c r="G5605" s="261"/>
      <c r="H5605" s="261"/>
      <c r="I5605" s="261"/>
      <c r="J5605" s="261"/>
      <c r="K5605" s="261"/>
      <c r="L5605" s="261"/>
      <c r="M5605" s="261"/>
    </row>
    <row r="5606" spans="5:13">
      <c r="E5606" s="261"/>
      <c r="F5606" s="261"/>
      <c r="G5606" s="261"/>
      <c r="H5606" s="261"/>
      <c r="I5606" s="261"/>
      <c r="J5606" s="261"/>
      <c r="K5606" s="261"/>
      <c r="L5606" s="261"/>
      <c r="M5606" s="261"/>
    </row>
    <row r="5607" spans="5:13">
      <c r="E5607" s="261"/>
      <c r="F5607" s="261"/>
      <c r="G5607" s="261"/>
      <c r="H5607" s="261"/>
      <c r="I5607" s="261"/>
      <c r="J5607" s="261"/>
      <c r="K5607" s="261"/>
      <c r="L5607" s="261"/>
      <c r="M5607" s="261"/>
    </row>
    <row r="5608" spans="5:13">
      <c r="E5608" s="261"/>
      <c r="F5608" s="261"/>
      <c r="G5608" s="261"/>
      <c r="H5608" s="261"/>
      <c r="I5608" s="261"/>
      <c r="J5608" s="261"/>
      <c r="K5608" s="261"/>
      <c r="L5608" s="261"/>
      <c r="M5608" s="261"/>
    </row>
    <row r="5609" spans="5:13">
      <c r="E5609" s="261"/>
      <c r="F5609" s="261"/>
      <c r="G5609" s="261"/>
      <c r="H5609" s="261"/>
      <c r="I5609" s="261"/>
      <c r="J5609" s="261"/>
      <c r="K5609" s="261"/>
      <c r="L5609" s="261"/>
      <c r="M5609" s="261"/>
    </row>
    <row r="5610" spans="5:13">
      <c r="E5610" s="261"/>
      <c r="F5610" s="261"/>
      <c r="G5610" s="261"/>
      <c r="H5610" s="261"/>
      <c r="I5610" s="261"/>
      <c r="J5610" s="261"/>
      <c r="K5610" s="261"/>
      <c r="L5610" s="261"/>
      <c r="M5610" s="261"/>
    </row>
    <row r="5611" spans="5:13">
      <c r="E5611" s="261"/>
      <c r="F5611" s="261"/>
      <c r="G5611" s="261"/>
      <c r="H5611" s="261"/>
      <c r="I5611" s="261"/>
      <c r="J5611" s="261"/>
      <c r="K5611" s="261"/>
      <c r="L5611" s="261"/>
      <c r="M5611" s="261"/>
    </row>
    <row r="5612" spans="5:13">
      <c r="E5612" s="261"/>
      <c r="F5612" s="261"/>
      <c r="G5612" s="261"/>
      <c r="H5612" s="261"/>
      <c r="I5612" s="261"/>
      <c r="J5612" s="261"/>
      <c r="K5612" s="261"/>
      <c r="L5612" s="261"/>
      <c r="M5612" s="261"/>
    </row>
    <row r="5613" spans="5:13">
      <c r="E5613" s="261"/>
      <c r="F5613" s="261"/>
      <c r="G5613" s="261"/>
      <c r="H5613" s="261"/>
      <c r="I5613" s="261"/>
      <c r="J5613" s="261"/>
      <c r="K5613" s="261"/>
      <c r="L5613" s="261"/>
      <c r="M5613" s="261"/>
    </row>
    <row r="5614" spans="5:13">
      <c r="E5614" s="261"/>
      <c r="F5614" s="261"/>
      <c r="G5614" s="261"/>
      <c r="H5614" s="261"/>
      <c r="I5614" s="261"/>
      <c r="J5614" s="261"/>
      <c r="K5614" s="261"/>
      <c r="L5614" s="261"/>
      <c r="M5614" s="261"/>
    </row>
    <row r="5615" spans="5:13">
      <c r="E5615" s="261"/>
      <c r="F5615" s="261"/>
      <c r="G5615" s="261"/>
      <c r="H5615" s="261"/>
      <c r="I5615" s="261"/>
      <c r="J5615" s="261"/>
      <c r="K5615" s="261"/>
      <c r="L5615" s="261"/>
      <c r="M5615" s="261"/>
    </row>
    <row r="5616" spans="5:13">
      <c r="E5616" s="261"/>
      <c r="F5616" s="261"/>
      <c r="G5616" s="261"/>
      <c r="H5616" s="261"/>
      <c r="I5616" s="261"/>
      <c r="J5616" s="261"/>
      <c r="K5616" s="261"/>
      <c r="L5616" s="261"/>
      <c r="M5616" s="261"/>
    </row>
    <row r="5617" spans="5:13">
      <c r="E5617" s="261"/>
      <c r="F5617" s="261"/>
      <c r="G5617" s="261"/>
      <c r="H5617" s="261"/>
      <c r="I5617" s="261"/>
      <c r="J5617" s="261"/>
      <c r="K5617" s="261"/>
      <c r="L5617" s="261"/>
      <c r="M5617" s="261"/>
    </row>
    <row r="5618" spans="5:13">
      <c r="E5618" s="261"/>
      <c r="F5618" s="261"/>
      <c r="G5618" s="261"/>
      <c r="H5618" s="261"/>
      <c r="I5618" s="261"/>
      <c r="J5618" s="261"/>
      <c r="K5618" s="261"/>
      <c r="L5618" s="261"/>
      <c r="M5618" s="261"/>
    </row>
    <row r="5619" spans="5:13">
      <c r="E5619" s="261"/>
      <c r="F5619" s="261"/>
      <c r="G5619" s="261"/>
      <c r="H5619" s="261"/>
      <c r="I5619" s="261"/>
      <c r="J5619" s="261"/>
      <c r="K5619" s="261"/>
      <c r="L5619" s="261"/>
      <c r="M5619" s="261"/>
    </row>
    <row r="5620" spans="5:13">
      <c r="E5620" s="261"/>
      <c r="F5620" s="261"/>
      <c r="G5620" s="261"/>
      <c r="H5620" s="261"/>
      <c r="I5620" s="261"/>
      <c r="J5620" s="261"/>
      <c r="K5620" s="261"/>
      <c r="L5620" s="261"/>
      <c r="M5620" s="261"/>
    </row>
    <row r="5621" spans="5:13">
      <c r="E5621" s="261"/>
      <c r="F5621" s="261"/>
      <c r="G5621" s="261"/>
      <c r="H5621" s="261"/>
      <c r="I5621" s="261"/>
      <c r="J5621" s="261"/>
      <c r="K5621" s="261"/>
      <c r="L5621" s="261"/>
      <c r="M5621" s="261"/>
    </row>
    <row r="5622" spans="5:13">
      <c r="E5622" s="261"/>
      <c r="F5622" s="261"/>
      <c r="G5622" s="261"/>
      <c r="H5622" s="261"/>
      <c r="I5622" s="261"/>
      <c r="J5622" s="261"/>
      <c r="K5622" s="261"/>
      <c r="L5622" s="261"/>
      <c r="M5622" s="261"/>
    </row>
    <row r="5623" spans="5:13">
      <c r="E5623" s="261"/>
      <c r="F5623" s="261"/>
      <c r="G5623" s="261"/>
      <c r="H5623" s="261"/>
      <c r="I5623" s="261"/>
      <c r="J5623" s="261"/>
      <c r="K5623" s="261"/>
      <c r="L5623" s="261"/>
      <c r="M5623" s="261"/>
    </row>
    <row r="5624" spans="5:13">
      <c r="E5624" s="261"/>
      <c r="F5624" s="261"/>
      <c r="G5624" s="261"/>
      <c r="H5624" s="261"/>
      <c r="I5624" s="261"/>
      <c r="J5624" s="261"/>
      <c r="K5624" s="261"/>
      <c r="L5624" s="261"/>
      <c r="M5624" s="261"/>
    </row>
    <row r="5625" spans="5:13">
      <c r="E5625" s="261"/>
      <c r="F5625" s="261"/>
      <c r="G5625" s="261"/>
      <c r="H5625" s="261"/>
      <c r="I5625" s="261"/>
      <c r="J5625" s="261"/>
      <c r="K5625" s="261"/>
      <c r="L5625" s="261"/>
      <c r="M5625" s="261"/>
    </row>
    <row r="5626" spans="5:13">
      <c r="E5626" s="261"/>
      <c r="F5626" s="261"/>
      <c r="G5626" s="261"/>
      <c r="H5626" s="261"/>
      <c r="I5626" s="261"/>
      <c r="J5626" s="261"/>
      <c r="K5626" s="261"/>
      <c r="L5626" s="261"/>
      <c r="M5626" s="261"/>
    </row>
    <row r="5627" spans="5:13">
      <c r="E5627" s="261"/>
      <c r="F5627" s="261"/>
      <c r="G5627" s="261"/>
      <c r="H5627" s="261"/>
      <c r="I5627" s="261"/>
      <c r="J5627" s="261"/>
      <c r="K5627" s="261"/>
      <c r="L5627" s="261"/>
      <c r="M5627" s="261"/>
    </row>
    <row r="5628" spans="5:13">
      <c r="E5628" s="261"/>
      <c r="F5628" s="261"/>
      <c r="G5628" s="261"/>
      <c r="H5628" s="261"/>
      <c r="I5628" s="261"/>
      <c r="J5628" s="261"/>
      <c r="K5628" s="261"/>
      <c r="L5628" s="261"/>
      <c r="M5628" s="261"/>
    </row>
    <row r="5629" spans="5:13">
      <c r="E5629" s="261"/>
      <c r="F5629" s="261"/>
      <c r="G5629" s="261"/>
      <c r="H5629" s="261"/>
      <c r="I5629" s="261"/>
      <c r="J5629" s="261"/>
      <c r="K5629" s="261"/>
      <c r="L5629" s="261"/>
      <c r="M5629" s="261"/>
    </row>
    <row r="5630" spans="5:13">
      <c r="E5630" s="261"/>
      <c r="F5630" s="261"/>
      <c r="G5630" s="261"/>
      <c r="H5630" s="261"/>
      <c r="I5630" s="261"/>
      <c r="J5630" s="261"/>
      <c r="K5630" s="261"/>
      <c r="L5630" s="261"/>
      <c r="M5630" s="261"/>
    </row>
    <row r="5631" spans="5:13">
      <c r="E5631" s="261"/>
      <c r="F5631" s="261"/>
      <c r="G5631" s="261"/>
      <c r="H5631" s="261"/>
      <c r="I5631" s="261"/>
      <c r="J5631" s="261"/>
      <c r="K5631" s="261"/>
      <c r="L5631" s="261"/>
      <c r="M5631" s="261"/>
    </row>
    <row r="5632" spans="5:13">
      <c r="E5632" s="261"/>
      <c r="F5632" s="261"/>
      <c r="G5632" s="261"/>
      <c r="H5632" s="261"/>
      <c r="I5632" s="261"/>
      <c r="J5632" s="261"/>
      <c r="K5632" s="261"/>
      <c r="L5632" s="261"/>
      <c r="M5632" s="261"/>
    </row>
    <row r="5633" spans="5:13">
      <c r="E5633" s="261"/>
      <c r="F5633" s="261"/>
      <c r="G5633" s="261"/>
      <c r="H5633" s="261"/>
      <c r="I5633" s="261"/>
      <c r="J5633" s="261"/>
      <c r="K5633" s="261"/>
      <c r="L5633" s="261"/>
      <c r="M5633" s="261"/>
    </row>
    <row r="5634" spans="5:13">
      <c r="E5634" s="261"/>
      <c r="F5634" s="261"/>
      <c r="G5634" s="261"/>
      <c r="H5634" s="261"/>
      <c r="I5634" s="261"/>
      <c r="J5634" s="261"/>
      <c r="K5634" s="261"/>
      <c r="L5634" s="261"/>
      <c r="M5634" s="261"/>
    </row>
    <row r="5635" spans="5:13">
      <c r="E5635" s="261"/>
      <c r="F5635" s="261"/>
      <c r="G5635" s="261"/>
      <c r="H5635" s="261"/>
      <c r="I5635" s="261"/>
      <c r="J5635" s="261"/>
      <c r="K5635" s="261"/>
      <c r="L5635" s="261"/>
      <c r="M5635" s="261"/>
    </row>
    <row r="5636" spans="5:13">
      <c r="E5636" s="261"/>
      <c r="F5636" s="261"/>
      <c r="G5636" s="261"/>
      <c r="H5636" s="261"/>
      <c r="I5636" s="261"/>
      <c r="J5636" s="261"/>
      <c r="K5636" s="261"/>
      <c r="L5636" s="261"/>
      <c r="M5636" s="261"/>
    </row>
    <row r="5637" spans="5:13">
      <c r="E5637" s="261"/>
      <c r="F5637" s="261"/>
      <c r="G5637" s="261"/>
      <c r="H5637" s="261"/>
      <c r="I5637" s="261"/>
      <c r="J5637" s="261"/>
      <c r="K5637" s="261"/>
      <c r="L5637" s="261"/>
      <c r="M5637" s="261"/>
    </row>
    <row r="5638" spans="5:13">
      <c r="E5638" s="261"/>
      <c r="F5638" s="261"/>
      <c r="G5638" s="261"/>
      <c r="H5638" s="261"/>
      <c r="I5638" s="261"/>
      <c r="J5638" s="261"/>
      <c r="K5638" s="261"/>
      <c r="L5638" s="261"/>
      <c r="M5638" s="261"/>
    </row>
    <row r="5639" spans="5:13">
      <c r="E5639" s="261"/>
      <c r="F5639" s="261"/>
      <c r="G5639" s="261"/>
      <c r="H5639" s="261"/>
      <c r="I5639" s="261"/>
      <c r="J5639" s="261"/>
      <c r="K5639" s="261"/>
      <c r="L5639" s="261"/>
      <c r="M5639" s="261"/>
    </row>
    <row r="5640" spans="5:13">
      <c r="E5640" s="261"/>
      <c r="F5640" s="261"/>
      <c r="G5640" s="261"/>
      <c r="H5640" s="261"/>
      <c r="I5640" s="261"/>
      <c r="J5640" s="261"/>
      <c r="K5640" s="261"/>
      <c r="L5640" s="261"/>
      <c r="M5640" s="261"/>
    </row>
    <row r="5641" spans="5:13">
      <c r="E5641" s="261"/>
      <c r="F5641" s="261"/>
      <c r="G5641" s="261"/>
      <c r="H5641" s="261"/>
      <c r="I5641" s="261"/>
      <c r="J5641" s="261"/>
      <c r="K5641" s="261"/>
      <c r="L5641" s="261"/>
      <c r="M5641" s="261"/>
    </row>
    <row r="5642" spans="5:13">
      <c r="E5642" s="261"/>
      <c r="F5642" s="261"/>
      <c r="G5642" s="261"/>
      <c r="H5642" s="261"/>
      <c r="I5642" s="261"/>
      <c r="J5642" s="261"/>
      <c r="K5642" s="261"/>
      <c r="L5642" s="261"/>
      <c r="M5642" s="261"/>
    </row>
    <row r="5643" spans="5:13">
      <c r="E5643" s="261"/>
      <c r="F5643" s="261"/>
      <c r="G5643" s="261"/>
      <c r="H5643" s="261"/>
      <c r="I5643" s="261"/>
      <c r="J5643" s="261"/>
      <c r="K5643" s="261"/>
      <c r="L5643" s="261"/>
      <c r="M5643" s="261"/>
    </row>
    <row r="5644" spans="5:13">
      <c r="E5644" s="261"/>
      <c r="F5644" s="261"/>
      <c r="G5644" s="261"/>
      <c r="H5644" s="261"/>
      <c r="I5644" s="261"/>
      <c r="J5644" s="261"/>
      <c r="K5644" s="261"/>
      <c r="L5644" s="261"/>
      <c r="M5644" s="261"/>
    </row>
    <row r="5645" spans="5:13">
      <c r="E5645" s="261"/>
      <c r="F5645" s="261"/>
      <c r="G5645" s="261"/>
      <c r="H5645" s="261"/>
      <c r="I5645" s="261"/>
      <c r="J5645" s="261"/>
      <c r="K5645" s="261"/>
      <c r="L5645" s="261"/>
      <c r="M5645" s="261"/>
    </row>
    <row r="5646" spans="5:13">
      <c r="E5646" s="261"/>
      <c r="F5646" s="261"/>
      <c r="G5646" s="261"/>
      <c r="H5646" s="261"/>
      <c r="I5646" s="261"/>
      <c r="J5646" s="261"/>
      <c r="K5646" s="261"/>
      <c r="L5646" s="261"/>
      <c r="M5646" s="261"/>
    </row>
    <row r="5647" spans="5:13">
      <c r="E5647" s="261"/>
      <c r="F5647" s="261"/>
      <c r="G5647" s="261"/>
      <c r="H5647" s="261"/>
      <c r="I5647" s="261"/>
      <c r="J5647" s="261"/>
      <c r="K5647" s="261"/>
      <c r="L5647" s="261"/>
      <c r="M5647" s="261"/>
    </row>
    <row r="5648" spans="5:13">
      <c r="E5648" s="261"/>
      <c r="F5648" s="261"/>
      <c r="G5648" s="261"/>
      <c r="H5648" s="261"/>
      <c r="I5648" s="261"/>
      <c r="J5648" s="261"/>
      <c r="K5648" s="261"/>
      <c r="L5648" s="261"/>
      <c r="M5648" s="261"/>
    </row>
    <row r="5649" spans="5:13">
      <c r="E5649" s="261"/>
      <c r="F5649" s="261"/>
      <c r="G5649" s="261"/>
      <c r="H5649" s="261"/>
      <c r="I5649" s="261"/>
      <c r="J5649" s="261"/>
      <c r="K5649" s="261"/>
      <c r="L5649" s="261"/>
      <c r="M5649" s="261"/>
    </row>
    <row r="5650" spans="5:13">
      <c r="E5650" s="261"/>
      <c r="F5650" s="261"/>
      <c r="G5650" s="261"/>
      <c r="H5650" s="261"/>
      <c r="I5650" s="261"/>
      <c r="J5650" s="261"/>
      <c r="K5650" s="261"/>
      <c r="L5650" s="261"/>
      <c r="M5650" s="261"/>
    </row>
    <row r="5651" spans="5:13">
      <c r="E5651" s="261"/>
      <c r="F5651" s="261"/>
      <c r="G5651" s="261"/>
      <c r="H5651" s="261"/>
      <c r="I5651" s="261"/>
      <c r="J5651" s="261"/>
      <c r="K5651" s="261"/>
      <c r="L5651" s="261"/>
      <c r="M5651" s="261"/>
    </row>
    <row r="5652" spans="5:13">
      <c r="E5652" s="261"/>
      <c r="F5652" s="261"/>
      <c r="G5652" s="261"/>
      <c r="H5652" s="261"/>
      <c r="I5652" s="261"/>
      <c r="J5652" s="261"/>
      <c r="K5652" s="261"/>
      <c r="L5652" s="261"/>
      <c r="M5652" s="261"/>
    </row>
    <row r="5653" spans="5:13">
      <c r="E5653" s="261"/>
      <c r="F5653" s="261"/>
      <c r="G5653" s="261"/>
      <c r="H5653" s="261"/>
      <c r="I5653" s="261"/>
      <c r="J5653" s="261"/>
      <c r="K5653" s="261"/>
      <c r="L5653" s="261"/>
      <c r="M5653" s="261"/>
    </row>
    <row r="5654" spans="5:13">
      <c r="E5654" s="261"/>
      <c r="F5654" s="261"/>
      <c r="G5654" s="261"/>
      <c r="H5654" s="261"/>
      <c r="I5654" s="261"/>
      <c r="J5654" s="261"/>
      <c r="K5654" s="261"/>
      <c r="L5654" s="261"/>
      <c r="M5654" s="261"/>
    </row>
    <row r="5655" spans="5:13">
      <c r="E5655" s="261"/>
      <c r="F5655" s="261"/>
      <c r="G5655" s="261"/>
      <c r="H5655" s="261"/>
      <c r="I5655" s="261"/>
      <c r="J5655" s="261"/>
      <c r="K5655" s="261"/>
      <c r="L5655" s="261"/>
      <c r="M5655" s="261"/>
    </row>
    <row r="5656" spans="5:13">
      <c r="E5656" s="261"/>
      <c r="F5656" s="261"/>
      <c r="G5656" s="261"/>
      <c r="H5656" s="261"/>
      <c r="I5656" s="261"/>
      <c r="J5656" s="261"/>
      <c r="K5656" s="261"/>
      <c r="L5656" s="261"/>
      <c r="M5656" s="261"/>
    </row>
    <row r="5657" spans="5:13">
      <c r="E5657" s="261"/>
      <c r="F5657" s="261"/>
      <c r="G5657" s="261"/>
      <c r="H5657" s="261"/>
      <c r="I5657" s="261"/>
      <c r="J5657" s="261"/>
      <c r="K5657" s="261"/>
      <c r="L5657" s="261"/>
      <c r="M5657" s="261"/>
    </row>
    <row r="5658" spans="5:13">
      <c r="E5658" s="261"/>
      <c r="F5658" s="261"/>
      <c r="G5658" s="261"/>
      <c r="H5658" s="261"/>
      <c r="I5658" s="261"/>
      <c r="J5658" s="261"/>
      <c r="K5658" s="261"/>
      <c r="L5658" s="261"/>
      <c r="M5658" s="261"/>
    </row>
    <row r="5659" spans="5:13">
      <c r="E5659" s="261"/>
      <c r="F5659" s="261"/>
      <c r="G5659" s="261"/>
      <c r="H5659" s="261"/>
      <c r="I5659" s="261"/>
      <c r="J5659" s="261"/>
      <c r="K5659" s="261"/>
      <c r="L5659" s="261"/>
      <c r="M5659" s="261"/>
    </row>
    <row r="5660" spans="5:13">
      <c r="E5660" s="261"/>
      <c r="F5660" s="261"/>
      <c r="G5660" s="261"/>
      <c r="H5660" s="261"/>
      <c r="I5660" s="261"/>
      <c r="J5660" s="261"/>
      <c r="K5660" s="261"/>
      <c r="L5660" s="261"/>
      <c r="M5660" s="261"/>
    </row>
    <row r="5661" spans="5:13">
      <c r="E5661" s="261"/>
      <c r="F5661" s="261"/>
      <c r="G5661" s="261"/>
      <c r="H5661" s="261"/>
      <c r="I5661" s="261"/>
      <c r="J5661" s="261"/>
      <c r="K5661" s="261"/>
      <c r="L5661" s="261"/>
      <c r="M5661" s="261"/>
    </row>
    <row r="5662" spans="5:13">
      <c r="E5662" s="261"/>
      <c r="F5662" s="261"/>
      <c r="G5662" s="261"/>
      <c r="H5662" s="261"/>
      <c r="I5662" s="261"/>
      <c r="J5662" s="261"/>
      <c r="K5662" s="261"/>
      <c r="L5662" s="261"/>
      <c r="M5662" s="261"/>
    </row>
    <row r="5663" spans="5:13">
      <c r="E5663" s="261"/>
      <c r="F5663" s="261"/>
      <c r="G5663" s="261"/>
      <c r="H5663" s="261"/>
      <c r="I5663" s="261"/>
      <c r="J5663" s="261"/>
      <c r="K5663" s="261"/>
      <c r="L5663" s="261"/>
      <c r="M5663" s="261"/>
    </row>
    <row r="5664" spans="5:13">
      <c r="E5664" s="261"/>
      <c r="F5664" s="261"/>
      <c r="G5664" s="261"/>
      <c r="H5664" s="261"/>
      <c r="I5664" s="261"/>
      <c r="J5664" s="261"/>
      <c r="K5664" s="261"/>
      <c r="L5664" s="261"/>
      <c r="M5664" s="261"/>
    </row>
    <row r="5665" spans="5:13">
      <c r="E5665" s="261"/>
      <c r="F5665" s="261"/>
      <c r="G5665" s="261"/>
      <c r="H5665" s="261"/>
      <c r="I5665" s="261"/>
      <c r="J5665" s="261"/>
      <c r="K5665" s="261"/>
      <c r="L5665" s="261"/>
      <c r="M5665" s="261"/>
    </row>
    <row r="5666" spans="5:13">
      <c r="E5666" s="261"/>
      <c r="F5666" s="261"/>
      <c r="G5666" s="261"/>
      <c r="H5666" s="261"/>
      <c r="I5666" s="261"/>
      <c r="J5666" s="261"/>
      <c r="K5666" s="261"/>
      <c r="L5666" s="261"/>
      <c r="M5666" s="261"/>
    </row>
    <row r="5667" spans="5:13">
      <c r="E5667" s="261"/>
      <c r="F5667" s="261"/>
      <c r="G5667" s="261"/>
      <c r="H5667" s="261"/>
      <c r="I5667" s="261"/>
      <c r="J5667" s="261"/>
      <c r="K5667" s="261"/>
      <c r="L5667" s="261"/>
      <c r="M5667" s="261"/>
    </row>
    <row r="5668" spans="5:13">
      <c r="E5668" s="261"/>
      <c r="F5668" s="261"/>
      <c r="G5668" s="261"/>
      <c r="H5668" s="261"/>
      <c r="I5668" s="261"/>
      <c r="J5668" s="261"/>
      <c r="K5668" s="261"/>
      <c r="L5668" s="261"/>
      <c r="M5668" s="261"/>
    </row>
    <row r="5669" spans="5:13">
      <c r="E5669" s="261"/>
      <c r="F5669" s="261"/>
      <c r="G5669" s="261"/>
      <c r="H5669" s="261"/>
      <c r="I5669" s="261"/>
      <c r="J5669" s="261"/>
      <c r="K5669" s="261"/>
      <c r="L5669" s="261"/>
      <c r="M5669" s="261"/>
    </row>
    <row r="5670" spans="5:13">
      <c r="E5670" s="261"/>
      <c r="F5670" s="261"/>
      <c r="G5670" s="261"/>
      <c r="H5670" s="261"/>
      <c r="I5670" s="261"/>
      <c r="J5670" s="261"/>
      <c r="K5670" s="261"/>
      <c r="L5670" s="261"/>
      <c r="M5670" s="261"/>
    </row>
    <row r="5671" spans="5:13">
      <c r="E5671" s="261"/>
      <c r="F5671" s="261"/>
      <c r="G5671" s="261"/>
      <c r="H5671" s="261"/>
      <c r="I5671" s="261"/>
      <c r="J5671" s="261"/>
      <c r="K5671" s="261"/>
      <c r="L5671" s="261"/>
      <c r="M5671" s="261"/>
    </row>
    <row r="5672" spans="5:13">
      <c r="E5672" s="261"/>
      <c r="F5672" s="261"/>
      <c r="G5672" s="261"/>
      <c r="H5672" s="261"/>
      <c r="I5672" s="261"/>
      <c r="J5672" s="261"/>
      <c r="K5672" s="261"/>
      <c r="L5672" s="261"/>
      <c r="M5672" s="261"/>
    </row>
    <row r="5673" spans="5:13">
      <c r="E5673" s="261"/>
      <c r="F5673" s="261"/>
      <c r="G5673" s="261"/>
      <c r="H5673" s="261"/>
      <c r="I5673" s="261"/>
      <c r="J5673" s="261"/>
      <c r="K5673" s="261"/>
      <c r="L5673" s="261"/>
      <c r="M5673" s="261"/>
    </row>
    <row r="5674" spans="5:13">
      <c r="E5674" s="261"/>
      <c r="F5674" s="261"/>
      <c r="G5674" s="261"/>
      <c r="H5674" s="261"/>
      <c r="I5674" s="261"/>
      <c r="J5674" s="261"/>
      <c r="K5674" s="261"/>
      <c r="L5674" s="261"/>
      <c r="M5674" s="261"/>
    </row>
    <row r="5675" spans="5:13">
      <c r="E5675" s="261"/>
      <c r="F5675" s="261"/>
      <c r="G5675" s="261"/>
      <c r="H5675" s="261"/>
      <c r="I5675" s="261"/>
      <c r="J5675" s="261"/>
      <c r="K5675" s="261"/>
      <c r="L5675" s="261"/>
      <c r="M5675" s="261"/>
    </row>
    <row r="5676" spans="5:13">
      <c r="E5676" s="261"/>
      <c r="F5676" s="261"/>
      <c r="G5676" s="261"/>
      <c r="H5676" s="261"/>
      <c r="I5676" s="261"/>
      <c r="J5676" s="261"/>
      <c r="K5676" s="261"/>
      <c r="L5676" s="261"/>
      <c r="M5676" s="261"/>
    </row>
    <row r="5677" spans="5:13">
      <c r="E5677" s="261"/>
      <c r="F5677" s="261"/>
      <c r="G5677" s="261"/>
      <c r="H5677" s="261"/>
      <c r="I5677" s="261"/>
      <c r="J5677" s="261"/>
      <c r="K5677" s="261"/>
      <c r="L5677" s="261"/>
      <c r="M5677" s="261"/>
    </row>
    <row r="5678" spans="5:13">
      <c r="E5678" s="261"/>
      <c r="F5678" s="261"/>
      <c r="G5678" s="261"/>
      <c r="H5678" s="261"/>
      <c r="I5678" s="261"/>
      <c r="J5678" s="261"/>
      <c r="K5678" s="261"/>
      <c r="L5678" s="261"/>
      <c r="M5678" s="261"/>
    </row>
    <row r="5679" spans="5:13">
      <c r="E5679" s="261"/>
      <c r="F5679" s="261"/>
      <c r="G5679" s="261"/>
      <c r="H5679" s="261"/>
      <c r="I5679" s="261"/>
      <c r="J5679" s="261"/>
      <c r="K5679" s="261"/>
      <c r="L5679" s="261"/>
      <c r="M5679" s="261"/>
    </row>
    <row r="5680" spans="5:13">
      <c r="E5680" s="261"/>
      <c r="F5680" s="261"/>
      <c r="G5680" s="261"/>
      <c r="H5680" s="261"/>
      <c r="I5680" s="261"/>
      <c r="J5680" s="261"/>
      <c r="K5680" s="261"/>
      <c r="L5680" s="261"/>
      <c r="M5680" s="261"/>
    </row>
    <row r="5681" spans="5:13">
      <c r="E5681" s="261"/>
      <c r="F5681" s="261"/>
      <c r="G5681" s="261"/>
      <c r="H5681" s="261"/>
      <c r="I5681" s="261"/>
      <c r="J5681" s="261"/>
      <c r="K5681" s="261"/>
      <c r="L5681" s="261"/>
      <c r="M5681" s="261"/>
    </row>
    <row r="5682" spans="5:13">
      <c r="E5682" s="261"/>
      <c r="F5682" s="261"/>
      <c r="G5682" s="261"/>
      <c r="H5682" s="261"/>
      <c r="I5682" s="261"/>
      <c r="J5682" s="261"/>
      <c r="K5682" s="261"/>
      <c r="L5682" s="261"/>
      <c r="M5682" s="261"/>
    </row>
    <row r="5683" spans="5:13">
      <c r="E5683" s="261"/>
      <c r="F5683" s="261"/>
      <c r="G5683" s="261"/>
      <c r="H5683" s="261"/>
      <c r="I5683" s="261"/>
      <c r="J5683" s="261"/>
      <c r="K5683" s="261"/>
      <c r="L5683" s="261"/>
      <c r="M5683" s="261"/>
    </row>
    <row r="5684" spans="5:13">
      <c r="E5684" s="261"/>
      <c r="F5684" s="261"/>
      <c r="G5684" s="261"/>
      <c r="H5684" s="261"/>
      <c r="I5684" s="261"/>
      <c r="J5684" s="261"/>
      <c r="K5684" s="261"/>
      <c r="L5684" s="261"/>
      <c r="M5684" s="261"/>
    </row>
    <row r="5685" spans="5:13">
      <c r="E5685" s="261"/>
      <c r="F5685" s="261"/>
      <c r="G5685" s="261"/>
      <c r="H5685" s="261"/>
      <c r="I5685" s="261"/>
      <c r="J5685" s="261"/>
      <c r="K5685" s="261"/>
      <c r="L5685" s="261"/>
      <c r="M5685" s="261"/>
    </row>
    <row r="5686" spans="5:13">
      <c r="E5686" s="261"/>
      <c r="F5686" s="261"/>
      <c r="G5686" s="261"/>
      <c r="H5686" s="261"/>
      <c r="I5686" s="261"/>
      <c r="J5686" s="261"/>
      <c r="K5686" s="261"/>
      <c r="L5686" s="261"/>
      <c r="M5686" s="261"/>
    </row>
    <row r="5687" spans="5:13">
      <c r="E5687" s="261"/>
      <c r="F5687" s="261"/>
      <c r="G5687" s="261"/>
      <c r="H5687" s="261"/>
      <c r="I5687" s="261"/>
      <c r="J5687" s="261"/>
      <c r="K5687" s="261"/>
      <c r="L5687" s="261"/>
      <c r="M5687" s="261"/>
    </row>
    <row r="5688" spans="5:13">
      <c r="E5688" s="261"/>
      <c r="F5688" s="261"/>
      <c r="G5688" s="261"/>
      <c r="H5688" s="261"/>
      <c r="I5688" s="261"/>
      <c r="J5688" s="261"/>
      <c r="K5688" s="261"/>
      <c r="L5688" s="261"/>
      <c r="M5688" s="261"/>
    </row>
    <row r="5689" spans="5:13">
      <c r="E5689" s="261"/>
      <c r="F5689" s="261"/>
      <c r="G5689" s="261"/>
      <c r="H5689" s="261"/>
      <c r="I5689" s="261"/>
      <c r="J5689" s="261"/>
      <c r="K5689" s="261"/>
      <c r="L5689" s="261"/>
      <c r="M5689" s="261"/>
    </row>
    <row r="5690" spans="5:13">
      <c r="E5690" s="261"/>
      <c r="F5690" s="261"/>
      <c r="G5690" s="261"/>
      <c r="H5690" s="261"/>
      <c r="I5690" s="261"/>
      <c r="J5690" s="261"/>
      <c r="K5690" s="261"/>
      <c r="L5690" s="261"/>
      <c r="M5690" s="261"/>
    </row>
    <row r="5691" spans="5:13">
      <c r="E5691" s="261"/>
      <c r="F5691" s="261"/>
      <c r="G5691" s="261"/>
      <c r="H5691" s="261"/>
      <c r="I5691" s="261"/>
      <c r="J5691" s="261"/>
      <c r="K5691" s="261"/>
      <c r="L5691" s="261"/>
      <c r="M5691" s="261"/>
    </row>
    <row r="5692" spans="5:13">
      <c r="E5692" s="261"/>
      <c r="F5692" s="261"/>
      <c r="G5692" s="261"/>
      <c r="H5692" s="261"/>
      <c r="I5692" s="261"/>
      <c r="J5692" s="261"/>
      <c r="K5692" s="261"/>
      <c r="L5692" s="261"/>
      <c r="M5692" s="261"/>
    </row>
    <row r="5693" spans="5:13">
      <c r="E5693" s="261"/>
      <c r="F5693" s="261"/>
      <c r="G5693" s="261"/>
      <c r="H5693" s="261"/>
      <c r="I5693" s="261"/>
      <c r="J5693" s="261"/>
      <c r="K5693" s="261"/>
      <c r="L5693" s="261"/>
      <c r="M5693" s="261"/>
    </row>
    <row r="5694" spans="5:13">
      <c r="E5694" s="261"/>
      <c r="F5694" s="261"/>
      <c r="G5694" s="261"/>
      <c r="H5694" s="261"/>
      <c r="I5694" s="261"/>
      <c r="J5694" s="261"/>
      <c r="K5694" s="261"/>
      <c r="L5694" s="261"/>
      <c r="M5694" s="261"/>
    </row>
    <row r="5695" spans="5:13">
      <c r="E5695" s="261"/>
      <c r="F5695" s="261"/>
      <c r="G5695" s="261"/>
      <c r="H5695" s="261"/>
      <c r="I5695" s="261"/>
      <c r="J5695" s="261"/>
      <c r="K5695" s="261"/>
      <c r="L5695" s="261"/>
      <c r="M5695" s="261"/>
    </row>
    <row r="5696" spans="5:13">
      <c r="E5696" s="261"/>
      <c r="F5696" s="261"/>
      <c r="G5696" s="261"/>
      <c r="H5696" s="261"/>
      <c r="I5696" s="261"/>
      <c r="J5696" s="261"/>
      <c r="K5696" s="261"/>
      <c r="L5696" s="261"/>
      <c r="M5696" s="261"/>
    </row>
    <row r="5697" spans="5:13">
      <c r="E5697" s="261"/>
      <c r="F5697" s="261"/>
      <c r="G5697" s="261"/>
      <c r="H5697" s="261"/>
      <c r="I5697" s="261"/>
      <c r="J5697" s="261"/>
      <c r="K5697" s="261"/>
      <c r="L5697" s="261"/>
      <c r="M5697" s="261"/>
    </row>
    <row r="5698" spans="5:13">
      <c r="E5698" s="261"/>
      <c r="F5698" s="261"/>
      <c r="G5698" s="261"/>
      <c r="H5698" s="261"/>
      <c r="I5698" s="261"/>
      <c r="J5698" s="261"/>
      <c r="K5698" s="261"/>
      <c r="L5698" s="261"/>
      <c r="M5698" s="261"/>
    </row>
    <row r="5699" spans="5:13">
      <c r="E5699" s="261"/>
      <c r="F5699" s="261"/>
      <c r="G5699" s="261"/>
      <c r="H5699" s="261"/>
      <c r="I5699" s="261"/>
      <c r="J5699" s="261"/>
      <c r="K5699" s="261"/>
      <c r="L5699" s="261"/>
      <c r="M5699" s="261"/>
    </row>
    <row r="5700" spans="5:13">
      <c r="E5700" s="261"/>
      <c r="F5700" s="261"/>
      <c r="G5700" s="261"/>
      <c r="H5700" s="261"/>
      <c r="I5700" s="261"/>
      <c r="J5700" s="261"/>
      <c r="K5700" s="261"/>
      <c r="L5700" s="261"/>
      <c r="M5700" s="261"/>
    </row>
    <row r="5701" spans="5:13">
      <c r="E5701" s="261"/>
      <c r="F5701" s="261"/>
      <c r="G5701" s="261"/>
      <c r="H5701" s="261"/>
      <c r="I5701" s="261"/>
      <c r="J5701" s="261"/>
      <c r="K5701" s="261"/>
      <c r="L5701" s="261"/>
      <c r="M5701" s="261"/>
    </row>
    <row r="5702" spans="5:13">
      <c r="E5702" s="261"/>
      <c r="F5702" s="261"/>
      <c r="G5702" s="261"/>
      <c r="H5702" s="261"/>
      <c r="I5702" s="261"/>
      <c r="J5702" s="261"/>
      <c r="K5702" s="261"/>
      <c r="L5702" s="261"/>
      <c r="M5702" s="261"/>
    </row>
    <row r="5703" spans="5:13">
      <c r="E5703" s="261"/>
      <c r="F5703" s="261"/>
      <c r="G5703" s="261"/>
      <c r="H5703" s="261"/>
      <c r="I5703" s="261"/>
      <c r="J5703" s="261"/>
      <c r="K5703" s="261"/>
      <c r="L5703" s="261"/>
      <c r="M5703" s="261"/>
    </row>
    <row r="5704" spans="5:13">
      <c r="E5704" s="261"/>
      <c r="F5704" s="261"/>
      <c r="G5704" s="261"/>
      <c r="H5704" s="261"/>
      <c r="I5704" s="261"/>
      <c r="J5704" s="261"/>
      <c r="K5704" s="261"/>
      <c r="L5704" s="261"/>
      <c r="M5704" s="261"/>
    </row>
    <row r="5705" spans="5:13">
      <c r="E5705" s="261"/>
      <c r="F5705" s="261"/>
      <c r="G5705" s="261"/>
      <c r="H5705" s="261"/>
      <c r="I5705" s="261"/>
      <c r="J5705" s="261"/>
      <c r="K5705" s="261"/>
      <c r="L5705" s="261"/>
      <c r="M5705" s="261"/>
    </row>
    <row r="5706" spans="5:13">
      <c r="E5706" s="261"/>
      <c r="F5706" s="261"/>
      <c r="G5706" s="261"/>
      <c r="H5706" s="261"/>
      <c r="I5706" s="261"/>
      <c r="J5706" s="261"/>
      <c r="K5706" s="261"/>
      <c r="L5706" s="261"/>
      <c r="M5706" s="261"/>
    </row>
    <row r="5707" spans="5:13">
      <c r="E5707" s="261"/>
      <c r="F5707" s="261"/>
      <c r="G5707" s="261"/>
      <c r="H5707" s="261"/>
      <c r="I5707" s="261"/>
      <c r="J5707" s="261"/>
      <c r="K5707" s="261"/>
      <c r="L5707" s="261"/>
      <c r="M5707" s="261"/>
    </row>
    <row r="5708" spans="5:13">
      <c r="E5708" s="261"/>
      <c r="F5708" s="261"/>
      <c r="G5708" s="261"/>
      <c r="H5708" s="261"/>
      <c r="I5708" s="261"/>
      <c r="J5708" s="261"/>
      <c r="K5708" s="261"/>
      <c r="L5708" s="261"/>
      <c r="M5708" s="261"/>
    </row>
    <row r="5709" spans="5:13">
      <c r="E5709" s="261"/>
      <c r="F5709" s="261"/>
      <c r="G5709" s="261"/>
      <c r="H5709" s="261"/>
      <c r="I5709" s="261"/>
      <c r="J5709" s="261"/>
      <c r="K5709" s="261"/>
      <c r="L5709" s="261"/>
      <c r="M5709" s="261"/>
    </row>
    <row r="5710" spans="5:13">
      <c r="E5710" s="261"/>
      <c r="F5710" s="261"/>
      <c r="G5710" s="261"/>
      <c r="H5710" s="261"/>
      <c r="I5710" s="261"/>
      <c r="J5710" s="261"/>
      <c r="K5710" s="261"/>
      <c r="L5710" s="261"/>
      <c r="M5710" s="261"/>
    </row>
    <row r="5711" spans="5:13">
      <c r="E5711" s="261"/>
      <c r="F5711" s="261"/>
      <c r="G5711" s="261"/>
      <c r="H5711" s="261"/>
      <c r="I5711" s="261"/>
      <c r="J5711" s="261"/>
      <c r="K5711" s="261"/>
      <c r="L5711" s="261"/>
      <c r="M5711" s="261"/>
    </row>
    <row r="5712" spans="5:13">
      <c r="E5712" s="261"/>
      <c r="F5712" s="261"/>
      <c r="G5712" s="261"/>
      <c r="H5712" s="261"/>
      <c r="I5712" s="261"/>
      <c r="J5712" s="261"/>
      <c r="K5712" s="261"/>
      <c r="L5712" s="261"/>
      <c r="M5712" s="261"/>
    </row>
    <row r="5713" spans="5:13">
      <c r="E5713" s="261"/>
      <c r="F5713" s="261"/>
      <c r="G5713" s="261"/>
      <c r="H5713" s="261"/>
      <c r="I5713" s="261"/>
      <c r="J5713" s="261"/>
      <c r="K5713" s="261"/>
      <c r="L5713" s="261"/>
      <c r="M5713" s="261"/>
    </row>
    <row r="5714" spans="5:13">
      <c r="E5714" s="261"/>
      <c r="F5714" s="261"/>
      <c r="G5714" s="261"/>
      <c r="H5714" s="261"/>
      <c r="I5714" s="261"/>
      <c r="J5714" s="261"/>
      <c r="K5714" s="261"/>
      <c r="L5714" s="261"/>
      <c r="M5714" s="261"/>
    </row>
    <row r="5715" spans="5:13">
      <c r="E5715" s="261"/>
      <c r="F5715" s="261"/>
      <c r="G5715" s="261"/>
      <c r="H5715" s="261"/>
      <c r="I5715" s="261"/>
      <c r="J5715" s="261"/>
      <c r="K5715" s="261"/>
      <c r="L5715" s="261"/>
      <c r="M5715" s="261"/>
    </row>
    <row r="5716" spans="5:13">
      <c r="E5716" s="261"/>
      <c r="F5716" s="261"/>
      <c r="G5716" s="261"/>
      <c r="H5716" s="261"/>
      <c r="I5716" s="261"/>
      <c r="J5716" s="261"/>
      <c r="K5716" s="261"/>
      <c r="L5716" s="261"/>
      <c r="M5716" s="261"/>
    </row>
    <row r="5717" spans="5:13">
      <c r="E5717" s="261"/>
      <c r="F5717" s="261"/>
      <c r="G5717" s="261"/>
      <c r="H5717" s="261"/>
      <c r="I5717" s="261"/>
      <c r="J5717" s="261"/>
      <c r="K5717" s="261"/>
      <c r="L5717" s="261"/>
      <c r="M5717" s="261"/>
    </row>
    <row r="5718" spans="5:13">
      <c r="E5718" s="261"/>
      <c r="F5718" s="261"/>
      <c r="G5718" s="261"/>
      <c r="H5718" s="261"/>
      <c r="I5718" s="261"/>
      <c r="J5718" s="261"/>
      <c r="K5718" s="261"/>
      <c r="L5718" s="261"/>
      <c r="M5718" s="261"/>
    </row>
    <row r="5719" spans="5:13">
      <c r="E5719" s="261"/>
      <c r="F5719" s="261"/>
      <c r="G5719" s="261"/>
      <c r="H5719" s="261"/>
      <c r="I5719" s="261"/>
      <c r="J5719" s="261"/>
      <c r="K5719" s="261"/>
      <c r="L5719" s="261"/>
      <c r="M5719" s="261"/>
    </row>
    <row r="5720" spans="5:13">
      <c r="E5720" s="261"/>
      <c r="F5720" s="261"/>
      <c r="G5720" s="261"/>
      <c r="H5720" s="261"/>
      <c r="I5720" s="261"/>
      <c r="J5720" s="261"/>
      <c r="K5720" s="261"/>
      <c r="L5720" s="261"/>
      <c r="M5720" s="261"/>
    </row>
    <row r="5721" spans="5:13">
      <c r="E5721" s="261"/>
      <c r="F5721" s="261"/>
      <c r="G5721" s="261"/>
      <c r="H5721" s="261"/>
      <c r="I5721" s="261"/>
      <c r="J5721" s="261"/>
      <c r="K5721" s="261"/>
      <c r="L5721" s="261"/>
      <c r="M5721" s="261"/>
    </row>
    <row r="5722" spans="5:13">
      <c r="E5722" s="261"/>
      <c r="F5722" s="261"/>
      <c r="G5722" s="261"/>
      <c r="H5722" s="261"/>
      <c r="I5722" s="261"/>
      <c r="J5722" s="261"/>
      <c r="K5722" s="261"/>
      <c r="L5722" s="261"/>
      <c r="M5722" s="261"/>
    </row>
    <row r="5723" spans="5:13">
      <c r="E5723" s="261"/>
      <c r="F5723" s="261"/>
      <c r="G5723" s="261"/>
      <c r="H5723" s="261"/>
      <c r="I5723" s="261"/>
      <c r="J5723" s="261"/>
      <c r="K5723" s="261"/>
      <c r="L5723" s="261"/>
      <c r="M5723" s="261"/>
    </row>
    <row r="5724" spans="5:13">
      <c r="E5724" s="261"/>
      <c r="F5724" s="261"/>
      <c r="G5724" s="261"/>
      <c r="H5724" s="261"/>
      <c r="I5724" s="261"/>
      <c r="J5724" s="261"/>
      <c r="K5724" s="261"/>
      <c r="L5724" s="261"/>
      <c r="M5724" s="261"/>
    </row>
    <row r="5725" spans="5:13">
      <c r="E5725" s="261"/>
      <c r="F5725" s="261"/>
      <c r="G5725" s="261"/>
      <c r="H5725" s="261"/>
      <c r="I5725" s="261"/>
      <c r="J5725" s="261"/>
      <c r="K5725" s="261"/>
      <c r="L5725" s="261"/>
      <c r="M5725" s="261"/>
    </row>
    <row r="5726" spans="5:13">
      <c r="E5726" s="261"/>
      <c r="F5726" s="261"/>
      <c r="G5726" s="261"/>
      <c r="H5726" s="261"/>
      <c r="I5726" s="261"/>
      <c r="J5726" s="261"/>
      <c r="K5726" s="261"/>
      <c r="L5726" s="261"/>
      <c r="M5726" s="261"/>
    </row>
    <row r="5727" spans="5:13">
      <c r="E5727" s="261"/>
      <c r="F5727" s="261"/>
      <c r="G5727" s="261"/>
      <c r="H5727" s="261"/>
      <c r="I5727" s="261"/>
      <c r="J5727" s="261"/>
      <c r="K5727" s="261"/>
      <c r="L5727" s="261"/>
      <c r="M5727" s="261"/>
    </row>
    <row r="5728" spans="5:13">
      <c r="E5728" s="261"/>
      <c r="F5728" s="261"/>
      <c r="G5728" s="261"/>
      <c r="H5728" s="261"/>
      <c r="I5728" s="261"/>
      <c r="J5728" s="261"/>
      <c r="K5728" s="261"/>
      <c r="L5728" s="261"/>
      <c r="M5728" s="261"/>
    </row>
    <row r="5729" spans="5:13">
      <c r="E5729" s="261"/>
      <c r="F5729" s="261"/>
      <c r="G5729" s="261"/>
      <c r="H5729" s="261"/>
      <c r="I5729" s="261"/>
      <c r="J5729" s="261"/>
      <c r="K5729" s="261"/>
      <c r="L5729" s="261"/>
      <c r="M5729" s="261"/>
    </row>
    <row r="5730" spans="5:13">
      <c r="E5730" s="261"/>
      <c r="F5730" s="261"/>
      <c r="G5730" s="261"/>
      <c r="H5730" s="261"/>
      <c r="I5730" s="261"/>
      <c r="J5730" s="261"/>
      <c r="K5730" s="261"/>
      <c r="L5730" s="261"/>
      <c r="M5730" s="261"/>
    </row>
    <row r="5731" spans="5:13">
      <c r="E5731" s="261"/>
      <c r="F5731" s="261"/>
      <c r="G5731" s="261"/>
      <c r="H5731" s="261"/>
      <c r="I5731" s="261"/>
      <c r="J5731" s="261"/>
      <c r="K5731" s="261"/>
      <c r="L5731" s="261"/>
      <c r="M5731" s="261"/>
    </row>
    <row r="5732" spans="5:13">
      <c r="E5732" s="261"/>
      <c r="F5732" s="261"/>
      <c r="G5732" s="261"/>
      <c r="H5732" s="261"/>
      <c r="I5732" s="261"/>
      <c r="J5732" s="261"/>
      <c r="K5732" s="261"/>
      <c r="L5732" s="261"/>
      <c r="M5732" s="261"/>
    </row>
    <row r="5733" spans="5:13">
      <c r="E5733" s="261"/>
      <c r="F5733" s="261"/>
      <c r="G5733" s="261"/>
      <c r="H5733" s="261"/>
      <c r="I5733" s="261"/>
      <c r="J5733" s="261"/>
      <c r="K5733" s="261"/>
      <c r="L5733" s="261"/>
      <c r="M5733" s="261"/>
    </row>
    <row r="5734" spans="5:13">
      <c r="E5734" s="261"/>
      <c r="F5734" s="261"/>
      <c r="G5734" s="261"/>
      <c r="H5734" s="261"/>
      <c r="I5734" s="261"/>
      <c r="J5734" s="261"/>
      <c r="K5734" s="261"/>
      <c r="L5734" s="261"/>
      <c r="M5734" s="261"/>
    </row>
    <row r="5735" spans="5:13">
      <c r="E5735" s="261"/>
      <c r="F5735" s="261"/>
      <c r="G5735" s="261"/>
      <c r="H5735" s="261"/>
      <c r="I5735" s="261"/>
      <c r="J5735" s="261"/>
      <c r="K5735" s="261"/>
      <c r="L5735" s="261"/>
      <c r="M5735" s="261"/>
    </row>
    <row r="5736" spans="5:13">
      <c r="E5736" s="261"/>
      <c r="F5736" s="261"/>
      <c r="G5736" s="261"/>
      <c r="H5736" s="261"/>
      <c r="I5736" s="261"/>
      <c r="J5736" s="261"/>
      <c r="K5736" s="261"/>
      <c r="L5736" s="261"/>
      <c r="M5736" s="261"/>
    </row>
    <row r="5737" spans="5:13">
      <c r="E5737" s="261"/>
      <c r="F5737" s="261"/>
      <c r="G5737" s="261"/>
      <c r="H5737" s="261"/>
      <c r="I5737" s="261"/>
      <c r="J5737" s="261"/>
      <c r="K5737" s="261"/>
      <c r="L5737" s="261"/>
      <c r="M5737" s="261"/>
    </row>
    <row r="5738" spans="5:13">
      <c r="E5738" s="261"/>
      <c r="F5738" s="261"/>
      <c r="G5738" s="261"/>
      <c r="H5738" s="261"/>
      <c r="I5738" s="261"/>
      <c r="J5738" s="261"/>
      <c r="K5738" s="261"/>
      <c r="L5738" s="261"/>
      <c r="M5738" s="261"/>
    </row>
    <row r="5739" spans="5:13">
      <c r="E5739" s="261"/>
      <c r="F5739" s="261"/>
      <c r="G5739" s="261"/>
      <c r="H5739" s="261"/>
      <c r="I5739" s="261"/>
      <c r="J5739" s="261"/>
      <c r="K5739" s="261"/>
      <c r="L5739" s="261"/>
      <c r="M5739" s="261"/>
    </row>
    <row r="5740" spans="5:13">
      <c r="E5740" s="261"/>
      <c r="F5740" s="261"/>
      <c r="G5740" s="261"/>
      <c r="H5740" s="261"/>
      <c r="I5740" s="261"/>
      <c r="J5740" s="261"/>
      <c r="K5740" s="261"/>
      <c r="L5740" s="261"/>
      <c r="M5740" s="261"/>
    </row>
    <row r="5741" spans="5:13">
      <c r="E5741" s="261"/>
      <c r="F5741" s="261"/>
      <c r="G5741" s="261"/>
      <c r="H5741" s="261"/>
      <c r="I5741" s="261"/>
      <c r="J5741" s="261"/>
      <c r="K5741" s="261"/>
      <c r="L5741" s="261"/>
      <c r="M5741" s="261"/>
    </row>
    <row r="5742" spans="5:13">
      <c r="E5742" s="261"/>
      <c r="F5742" s="261"/>
      <c r="G5742" s="261"/>
      <c r="H5742" s="261"/>
      <c r="I5742" s="261"/>
      <c r="J5742" s="261"/>
      <c r="K5742" s="261"/>
      <c r="L5742" s="261"/>
      <c r="M5742" s="261"/>
    </row>
    <row r="5743" spans="5:13">
      <c r="E5743" s="261"/>
      <c r="F5743" s="261"/>
      <c r="G5743" s="261"/>
      <c r="H5743" s="261"/>
      <c r="I5743" s="261"/>
      <c r="J5743" s="261"/>
      <c r="K5743" s="261"/>
      <c r="L5743" s="261"/>
      <c r="M5743" s="261"/>
    </row>
    <row r="5744" spans="5:13">
      <c r="E5744" s="261"/>
      <c r="F5744" s="261"/>
      <c r="G5744" s="261"/>
      <c r="H5744" s="261"/>
      <c r="I5744" s="261"/>
      <c r="J5744" s="261"/>
      <c r="K5744" s="261"/>
      <c r="L5744" s="261"/>
      <c r="M5744" s="261"/>
    </row>
    <row r="5745" spans="5:13">
      <c r="E5745" s="261"/>
      <c r="F5745" s="261"/>
      <c r="G5745" s="261"/>
      <c r="H5745" s="261"/>
      <c r="I5745" s="261"/>
      <c r="J5745" s="261"/>
      <c r="K5745" s="261"/>
      <c r="L5745" s="261"/>
      <c r="M5745" s="261"/>
    </row>
    <row r="5746" spans="5:13">
      <c r="E5746" s="261"/>
      <c r="F5746" s="261"/>
      <c r="G5746" s="261"/>
      <c r="H5746" s="261"/>
      <c r="I5746" s="261"/>
      <c r="J5746" s="261"/>
      <c r="K5746" s="261"/>
      <c r="L5746" s="261"/>
      <c r="M5746" s="261"/>
    </row>
    <row r="5747" spans="5:13">
      <c r="E5747" s="261"/>
      <c r="F5747" s="261"/>
      <c r="G5747" s="261"/>
      <c r="H5747" s="261"/>
      <c r="I5747" s="261"/>
      <c r="J5747" s="261"/>
      <c r="K5747" s="261"/>
      <c r="L5747" s="261"/>
      <c r="M5747" s="261"/>
    </row>
    <row r="5748" spans="5:13">
      <c r="E5748" s="261"/>
      <c r="F5748" s="261"/>
      <c r="G5748" s="261"/>
      <c r="H5748" s="261"/>
      <c r="I5748" s="261"/>
      <c r="J5748" s="261"/>
      <c r="K5748" s="261"/>
      <c r="L5748" s="261"/>
      <c r="M5748" s="261"/>
    </row>
    <row r="5749" spans="5:13">
      <c r="E5749" s="261"/>
      <c r="F5749" s="261"/>
      <c r="G5749" s="261"/>
      <c r="H5749" s="261"/>
      <c r="I5749" s="261"/>
      <c r="J5749" s="261"/>
      <c r="K5749" s="261"/>
      <c r="L5749" s="261"/>
      <c r="M5749" s="261"/>
    </row>
    <row r="5750" spans="5:13">
      <c r="E5750" s="261"/>
      <c r="F5750" s="261"/>
      <c r="G5750" s="261"/>
      <c r="H5750" s="261"/>
      <c r="I5750" s="261"/>
      <c r="J5750" s="261"/>
      <c r="K5750" s="261"/>
      <c r="L5750" s="261"/>
      <c r="M5750" s="261"/>
    </row>
    <row r="5751" spans="5:13">
      <c r="E5751" s="261"/>
      <c r="F5751" s="261"/>
      <c r="G5751" s="261"/>
      <c r="H5751" s="261"/>
      <c r="I5751" s="261"/>
      <c r="J5751" s="261"/>
      <c r="K5751" s="261"/>
      <c r="L5751" s="261"/>
      <c r="M5751" s="261"/>
    </row>
    <row r="5752" spans="5:13">
      <c r="E5752" s="261"/>
      <c r="F5752" s="261"/>
      <c r="G5752" s="261"/>
      <c r="H5752" s="261"/>
      <c r="I5752" s="261"/>
      <c r="J5752" s="261"/>
      <c r="K5752" s="261"/>
      <c r="L5752" s="261"/>
      <c r="M5752" s="261"/>
    </row>
    <row r="5753" spans="5:13">
      <c r="E5753" s="261"/>
      <c r="F5753" s="261"/>
      <c r="G5753" s="261"/>
      <c r="H5753" s="261"/>
      <c r="I5753" s="261"/>
      <c r="J5753" s="261"/>
      <c r="K5753" s="261"/>
      <c r="L5753" s="261"/>
      <c r="M5753" s="261"/>
    </row>
    <row r="5754" spans="5:13">
      <c r="E5754" s="261"/>
      <c r="F5754" s="261"/>
      <c r="G5754" s="261"/>
      <c r="H5754" s="261"/>
      <c r="I5754" s="261"/>
      <c r="J5754" s="261"/>
      <c r="K5754" s="261"/>
      <c r="L5754" s="261"/>
      <c r="M5754" s="261"/>
    </row>
    <row r="5755" spans="5:13">
      <c r="E5755" s="261"/>
      <c r="F5755" s="261"/>
      <c r="G5755" s="261"/>
      <c r="H5755" s="261"/>
      <c r="I5755" s="261"/>
      <c r="J5755" s="261"/>
      <c r="K5755" s="261"/>
      <c r="L5755" s="261"/>
      <c r="M5755" s="261"/>
    </row>
    <row r="5756" spans="5:13">
      <c r="E5756" s="261"/>
      <c r="F5756" s="261"/>
      <c r="G5756" s="261"/>
      <c r="H5756" s="261"/>
      <c r="I5756" s="261"/>
      <c r="J5756" s="261"/>
      <c r="K5756" s="261"/>
      <c r="L5756" s="261"/>
      <c r="M5756" s="261"/>
    </row>
    <row r="5757" spans="5:13">
      <c r="E5757" s="261"/>
      <c r="F5757" s="261"/>
      <c r="G5757" s="261"/>
      <c r="H5757" s="261"/>
      <c r="I5757" s="261"/>
      <c r="J5757" s="261"/>
      <c r="K5757" s="261"/>
      <c r="L5757" s="261"/>
      <c r="M5757" s="261"/>
    </row>
    <row r="5758" spans="5:13">
      <c r="E5758" s="261"/>
      <c r="F5758" s="261"/>
      <c r="G5758" s="261"/>
      <c r="H5758" s="261"/>
      <c r="I5758" s="261"/>
      <c r="J5758" s="261"/>
      <c r="K5758" s="261"/>
      <c r="L5758" s="261"/>
      <c r="M5758" s="261"/>
    </row>
    <row r="5759" spans="5:13">
      <c r="E5759" s="261"/>
      <c r="F5759" s="261"/>
      <c r="G5759" s="261"/>
      <c r="H5759" s="261"/>
      <c r="I5759" s="261"/>
      <c r="J5759" s="261"/>
      <c r="K5759" s="261"/>
      <c r="L5759" s="261"/>
      <c r="M5759" s="261"/>
    </row>
    <row r="5760" spans="5:13">
      <c r="E5760" s="261"/>
      <c r="F5760" s="261"/>
      <c r="G5760" s="261"/>
      <c r="H5760" s="261"/>
      <c r="I5760" s="261"/>
      <c r="J5760" s="261"/>
      <c r="K5760" s="261"/>
      <c r="L5760" s="261"/>
      <c r="M5760" s="261"/>
    </row>
    <row r="5761" spans="5:13">
      <c r="E5761" s="261"/>
      <c r="F5761" s="261"/>
      <c r="G5761" s="261"/>
      <c r="H5761" s="261"/>
      <c r="I5761" s="261"/>
      <c r="J5761" s="261"/>
      <c r="K5761" s="261"/>
      <c r="L5761" s="261"/>
      <c r="M5761" s="261"/>
    </row>
    <row r="5762" spans="5:13">
      <c r="E5762" s="261"/>
      <c r="F5762" s="261"/>
      <c r="G5762" s="261"/>
      <c r="H5762" s="261"/>
      <c r="I5762" s="261"/>
      <c r="J5762" s="261"/>
      <c r="K5762" s="261"/>
      <c r="L5762" s="261"/>
      <c r="M5762" s="261"/>
    </row>
    <row r="5763" spans="5:13">
      <c r="E5763" s="261"/>
      <c r="F5763" s="261"/>
      <c r="G5763" s="261"/>
      <c r="H5763" s="261"/>
      <c r="I5763" s="261"/>
      <c r="J5763" s="261"/>
      <c r="K5763" s="261"/>
      <c r="L5763" s="261"/>
      <c r="M5763" s="261"/>
    </row>
    <row r="5764" spans="5:13">
      <c r="E5764" s="261"/>
      <c r="F5764" s="261"/>
      <c r="G5764" s="261"/>
      <c r="H5764" s="261"/>
      <c r="I5764" s="261"/>
      <c r="J5764" s="261"/>
      <c r="K5764" s="261"/>
      <c r="L5764" s="261"/>
      <c r="M5764" s="261"/>
    </row>
    <row r="5765" spans="5:13">
      <c r="E5765" s="261"/>
      <c r="F5765" s="261"/>
      <c r="G5765" s="261"/>
      <c r="H5765" s="261"/>
      <c r="I5765" s="261"/>
      <c r="J5765" s="261"/>
      <c r="K5765" s="261"/>
      <c r="L5765" s="261"/>
      <c r="M5765" s="261"/>
    </row>
    <row r="5766" spans="5:13">
      <c r="E5766" s="261"/>
      <c r="F5766" s="261"/>
      <c r="G5766" s="261"/>
      <c r="H5766" s="261"/>
      <c r="I5766" s="261"/>
      <c r="J5766" s="261"/>
      <c r="K5766" s="261"/>
      <c r="L5766" s="261"/>
      <c r="M5766" s="261"/>
    </row>
    <row r="5767" spans="5:13">
      <c r="E5767" s="261"/>
      <c r="F5767" s="261"/>
      <c r="G5767" s="261"/>
      <c r="H5767" s="261"/>
      <c r="I5767" s="261"/>
      <c r="J5767" s="261"/>
      <c r="K5767" s="261"/>
      <c r="L5767" s="261"/>
      <c r="M5767" s="261"/>
    </row>
    <row r="5768" spans="5:13">
      <c r="E5768" s="261"/>
      <c r="F5768" s="261"/>
      <c r="G5768" s="261"/>
      <c r="H5768" s="261"/>
      <c r="I5768" s="261"/>
      <c r="J5768" s="261"/>
      <c r="K5768" s="261"/>
      <c r="L5768" s="261"/>
      <c r="M5768" s="261"/>
    </row>
    <row r="5769" spans="5:13">
      <c r="E5769" s="261"/>
      <c r="F5769" s="261"/>
      <c r="G5769" s="261"/>
      <c r="H5769" s="261"/>
      <c r="I5769" s="261"/>
      <c r="J5769" s="261"/>
      <c r="K5769" s="261"/>
      <c r="L5769" s="261"/>
      <c r="M5769" s="261"/>
    </row>
    <row r="5770" spans="5:13">
      <c r="E5770" s="261"/>
      <c r="F5770" s="261"/>
      <c r="G5770" s="261"/>
      <c r="H5770" s="261"/>
      <c r="I5770" s="261"/>
      <c r="J5770" s="261"/>
      <c r="K5770" s="261"/>
      <c r="L5770" s="261"/>
      <c r="M5770" s="261"/>
    </row>
    <row r="5771" spans="5:13">
      <c r="E5771" s="261"/>
      <c r="F5771" s="261"/>
      <c r="G5771" s="261"/>
      <c r="H5771" s="261"/>
      <c r="I5771" s="261"/>
      <c r="J5771" s="261"/>
      <c r="K5771" s="261"/>
      <c r="L5771" s="261"/>
      <c r="M5771" s="261"/>
    </row>
    <row r="5772" spans="5:13">
      <c r="E5772" s="261"/>
      <c r="F5772" s="261"/>
      <c r="G5772" s="261"/>
      <c r="H5772" s="261"/>
      <c r="I5772" s="261"/>
      <c r="J5772" s="261"/>
      <c r="K5772" s="261"/>
      <c r="L5772" s="261"/>
      <c r="M5772" s="261"/>
    </row>
    <row r="5773" spans="5:13">
      <c r="E5773" s="261"/>
      <c r="F5773" s="261"/>
      <c r="G5773" s="261"/>
      <c r="H5773" s="261"/>
      <c r="I5773" s="261"/>
      <c r="J5773" s="261"/>
      <c r="K5773" s="261"/>
      <c r="L5773" s="261"/>
      <c r="M5773" s="261"/>
    </row>
    <row r="5774" spans="5:13">
      <c r="E5774" s="261"/>
      <c r="F5774" s="261"/>
      <c r="G5774" s="261"/>
      <c r="H5774" s="261"/>
      <c r="I5774" s="261"/>
      <c r="J5774" s="261"/>
      <c r="K5774" s="261"/>
      <c r="L5774" s="261"/>
      <c r="M5774" s="261"/>
    </row>
    <row r="5775" spans="5:13">
      <c r="E5775" s="261"/>
      <c r="F5775" s="261"/>
      <c r="G5775" s="261"/>
      <c r="H5775" s="261"/>
      <c r="I5775" s="261"/>
      <c r="J5775" s="261"/>
      <c r="K5775" s="261"/>
      <c r="L5775" s="261"/>
      <c r="M5775" s="261"/>
    </row>
    <row r="5776" spans="5:13">
      <c r="E5776" s="261"/>
      <c r="F5776" s="261"/>
      <c r="G5776" s="261"/>
      <c r="H5776" s="261"/>
      <c r="I5776" s="261"/>
      <c r="J5776" s="261"/>
      <c r="K5776" s="261"/>
      <c r="L5776" s="261"/>
      <c r="M5776" s="261"/>
    </row>
    <row r="5777" spans="5:13">
      <c r="E5777" s="261"/>
      <c r="F5777" s="261"/>
      <c r="G5777" s="261"/>
      <c r="H5777" s="261"/>
      <c r="I5777" s="261"/>
      <c r="J5777" s="261"/>
      <c r="K5777" s="261"/>
      <c r="L5777" s="261"/>
      <c r="M5777" s="261"/>
    </row>
    <row r="5778" spans="5:13">
      <c r="E5778" s="261"/>
      <c r="F5778" s="261"/>
      <c r="G5778" s="261"/>
      <c r="H5778" s="261"/>
      <c r="I5778" s="261"/>
      <c r="J5778" s="261"/>
      <c r="K5778" s="261"/>
      <c r="L5778" s="261"/>
      <c r="M5778" s="261"/>
    </row>
    <row r="5779" spans="5:13">
      <c r="E5779" s="261"/>
      <c r="F5779" s="261"/>
      <c r="G5779" s="261"/>
      <c r="H5779" s="261"/>
      <c r="I5779" s="261"/>
      <c r="J5779" s="261"/>
      <c r="K5779" s="261"/>
      <c r="L5779" s="261"/>
      <c r="M5779" s="261"/>
    </row>
    <row r="5780" spans="5:13">
      <c r="E5780" s="261"/>
      <c r="F5780" s="261"/>
      <c r="G5780" s="261"/>
      <c r="H5780" s="261"/>
      <c r="I5780" s="261"/>
      <c r="J5780" s="261"/>
      <c r="K5780" s="261"/>
      <c r="L5780" s="261"/>
      <c r="M5780" s="261"/>
    </row>
    <row r="5781" spans="5:13">
      <c r="E5781" s="261"/>
      <c r="F5781" s="261"/>
      <c r="G5781" s="261"/>
      <c r="H5781" s="261"/>
      <c r="I5781" s="261"/>
      <c r="J5781" s="261"/>
      <c r="K5781" s="261"/>
      <c r="L5781" s="261"/>
      <c r="M5781" s="261"/>
    </row>
    <row r="5782" spans="5:13">
      <c r="E5782" s="261"/>
      <c r="F5782" s="261"/>
      <c r="G5782" s="261"/>
      <c r="H5782" s="261"/>
      <c r="I5782" s="261"/>
      <c r="J5782" s="261"/>
      <c r="K5782" s="261"/>
      <c r="L5782" s="261"/>
      <c r="M5782" s="261"/>
    </row>
    <row r="5783" spans="5:13">
      <c r="E5783" s="261"/>
      <c r="F5783" s="261"/>
      <c r="G5783" s="261"/>
      <c r="H5783" s="261"/>
      <c r="I5783" s="261"/>
      <c r="J5783" s="261"/>
      <c r="K5783" s="261"/>
      <c r="L5783" s="261"/>
      <c r="M5783" s="261"/>
    </row>
    <row r="5784" spans="5:13">
      <c r="E5784" s="261"/>
      <c r="F5784" s="261"/>
      <c r="G5784" s="261"/>
      <c r="H5784" s="261"/>
      <c r="I5784" s="261"/>
      <c r="J5784" s="261"/>
      <c r="K5784" s="261"/>
      <c r="L5784" s="261"/>
      <c r="M5784" s="261"/>
    </row>
    <row r="5785" spans="5:13">
      <c r="E5785" s="261"/>
      <c r="F5785" s="261"/>
      <c r="G5785" s="261"/>
      <c r="H5785" s="261"/>
      <c r="I5785" s="261"/>
      <c r="J5785" s="261"/>
      <c r="K5785" s="261"/>
      <c r="L5785" s="261"/>
      <c r="M5785" s="261"/>
    </row>
    <row r="5786" spans="5:13">
      <c r="E5786" s="261"/>
      <c r="F5786" s="261"/>
      <c r="G5786" s="261"/>
      <c r="H5786" s="261"/>
      <c r="I5786" s="261"/>
      <c r="J5786" s="261"/>
      <c r="K5786" s="261"/>
      <c r="L5786" s="261"/>
      <c r="M5786" s="261"/>
    </row>
    <row r="5787" spans="5:13">
      <c r="E5787" s="261"/>
      <c r="F5787" s="261"/>
      <c r="G5787" s="261"/>
      <c r="H5787" s="261"/>
      <c r="I5787" s="261"/>
      <c r="J5787" s="261"/>
      <c r="K5787" s="261"/>
      <c r="L5787" s="261"/>
      <c r="M5787" s="261"/>
    </row>
    <row r="5788" spans="5:13">
      <c r="E5788" s="261"/>
      <c r="F5788" s="261"/>
      <c r="G5788" s="261"/>
      <c r="H5788" s="261"/>
      <c r="I5788" s="261"/>
      <c r="J5788" s="261"/>
      <c r="K5788" s="261"/>
      <c r="L5788" s="261"/>
      <c r="M5788" s="261"/>
    </row>
    <row r="5789" spans="5:13">
      <c r="E5789" s="261"/>
      <c r="F5789" s="261"/>
      <c r="G5789" s="261"/>
      <c r="H5789" s="261"/>
      <c r="I5789" s="261"/>
      <c r="J5789" s="261"/>
      <c r="K5789" s="261"/>
      <c r="L5789" s="261"/>
      <c r="M5789" s="261"/>
    </row>
    <row r="5790" spans="5:13">
      <c r="E5790" s="261"/>
      <c r="F5790" s="261"/>
      <c r="G5790" s="261"/>
      <c r="H5790" s="261"/>
      <c r="I5790" s="261"/>
      <c r="J5790" s="261"/>
      <c r="K5790" s="261"/>
      <c r="L5790" s="261"/>
      <c r="M5790" s="261"/>
    </row>
    <row r="5791" spans="5:13">
      <c r="E5791" s="261"/>
      <c r="F5791" s="261"/>
      <c r="G5791" s="261"/>
      <c r="H5791" s="261"/>
      <c r="I5791" s="261"/>
      <c r="J5791" s="261"/>
      <c r="K5791" s="261"/>
      <c r="L5791" s="261"/>
      <c r="M5791" s="261"/>
    </row>
    <row r="5792" spans="5:13">
      <c r="E5792" s="261"/>
      <c r="F5792" s="261"/>
      <c r="G5792" s="261"/>
      <c r="H5792" s="261"/>
      <c r="I5792" s="261"/>
      <c r="J5792" s="261"/>
      <c r="K5792" s="261"/>
      <c r="L5792" s="261"/>
      <c r="M5792" s="261"/>
    </row>
    <row r="5793" spans="5:13">
      <c r="E5793" s="261"/>
      <c r="F5793" s="261"/>
      <c r="G5793" s="261"/>
      <c r="H5793" s="261"/>
      <c r="I5793" s="261"/>
      <c r="J5793" s="261"/>
      <c r="K5793" s="261"/>
      <c r="L5793" s="261"/>
      <c r="M5793" s="261"/>
    </row>
    <row r="5794" spans="5:13">
      <c r="E5794" s="261"/>
      <c r="F5794" s="261"/>
      <c r="G5794" s="261"/>
      <c r="H5794" s="261"/>
      <c r="I5794" s="261"/>
      <c r="J5794" s="261"/>
      <c r="K5794" s="261"/>
      <c r="L5794" s="261"/>
      <c r="M5794" s="261"/>
    </row>
    <row r="5795" spans="5:13">
      <c r="E5795" s="261"/>
      <c r="F5795" s="261"/>
      <c r="G5795" s="261"/>
      <c r="H5795" s="261"/>
      <c r="I5795" s="261"/>
      <c r="J5795" s="261"/>
      <c r="K5795" s="261"/>
      <c r="L5795" s="261"/>
      <c r="M5795" s="261"/>
    </row>
    <row r="5796" spans="5:13">
      <c r="E5796" s="261"/>
      <c r="F5796" s="261"/>
      <c r="G5796" s="261"/>
      <c r="H5796" s="261"/>
      <c r="I5796" s="261"/>
      <c r="J5796" s="261"/>
      <c r="K5796" s="261"/>
      <c r="L5796" s="261"/>
      <c r="M5796" s="261"/>
    </row>
    <row r="5797" spans="5:13">
      <c r="E5797" s="261"/>
      <c r="F5797" s="261"/>
      <c r="G5797" s="261"/>
      <c r="H5797" s="261"/>
      <c r="I5797" s="261"/>
      <c r="J5797" s="261"/>
      <c r="K5797" s="261"/>
      <c r="L5797" s="261"/>
      <c r="M5797" s="261"/>
    </row>
    <row r="5798" spans="5:13">
      <c r="E5798" s="261"/>
      <c r="F5798" s="261"/>
      <c r="G5798" s="261"/>
      <c r="H5798" s="261"/>
      <c r="I5798" s="261"/>
      <c r="J5798" s="261"/>
      <c r="K5798" s="261"/>
      <c r="L5798" s="261"/>
      <c r="M5798" s="261"/>
    </row>
    <row r="5799" spans="5:13">
      <c r="E5799" s="261"/>
      <c r="F5799" s="261"/>
      <c r="G5799" s="261"/>
      <c r="H5799" s="261"/>
      <c r="I5799" s="261"/>
      <c r="J5799" s="261"/>
      <c r="K5799" s="261"/>
      <c r="L5799" s="261"/>
      <c r="M5799" s="261"/>
    </row>
    <row r="5800" spans="5:13">
      <c r="E5800" s="261"/>
      <c r="F5800" s="261"/>
      <c r="G5800" s="261"/>
      <c r="H5800" s="261"/>
      <c r="I5800" s="261"/>
      <c r="J5800" s="261"/>
      <c r="K5800" s="261"/>
      <c r="L5800" s="261"/>
      <c r="M5800" s="261"/>
    </row>
    <row r="5801" spans="5:13">
      <c r="E5801" s="261"/>
      <c r="F5801" s="261"/>
      <c r="G5801" s="261"/>
      <c r="H5801" s="261"/>
      <c r="I5801" s="261"/>
      <c r="J5801" s="261"/>
      <c r="K5801" s="261"/>
      <c r="L5801" s="261"/>
      <c r="M5801" s="261"/>
    </row>
    <row r="5802" spans="5:13">
      <c r="E5802" s="261"/>
      <c r="F5802" s="261"/>
      <c r="G5802" s="261"/>
      <c r="H5802" s="261"/>
      <c r="I5802" s="261"/>
      <c r="J5802" s="261"/>
      <c r="K5802" s="261"/>
      <c r="L5802" s="261"/>
      <c r="M5802" s="261"/>
    </row>
    <row r="5803" spans="5:13">
      <c r="E5803" s="261"/>
      <c r="F5803" s="261"/>
      <c r="G5803" s="261"/>
      <c r="H5803" s="261"/>
      <c r="I5803" s="261"/>
      <c r="J5803" s="261"/>
      <c r="K5803" s="261"/>
      <c r="L5803" s="261"/>
      <c r="M5803" s="261"/>
    </row>
    <row r="5804" spans="5:13">
      <c r="E5804" s="261"/>
      <c r="F5804" s="261"/>
      <c r="G5804" s="261"/>
      <c r="H5804" s="261"/>
      <c r="I5804" s="261"/>
      <c r="J5804" s="261"/>
      <c r="K5804" s="261"/>
      <c r="L5804" s="261"/>
      <c r="M5804" s="261"/>
    </row>
    <row r="5805" spans="5:13">
      <c r="E5805" s="261"/>
      <c r="F5805" s="261"/>
      <c r="G5805" s="261"/>
      <c r="H5805" s="261"/>
      <c r="I5805" s="261"/>
      <c r="J5805" s="261"/>
      <c r="K5805" s="261"/>
      <c r="L5805" s="261"/>
      <c r="M5805" s="261"/>
    </row>
    <row r="5806" spans="5:13">
      <c r="E5806" s="261"/>
      <c r="F5806" s="261"/>
      <c r="G5806" s="261"/>
      <c r="H5806" s="261"/>
      <c r="I5806" s="261"/>
      <c r="J5806" s="261"/>
      <c r="K5806" s="261"/>
      <c r="L5806" s="261"/>
      <c r="M5806" s="261"/>
    </row>
    <row r="5807" spans="5:13">
      <c r="E5807" s="261"/>
      <c r="F5807" s="261"/>
      <c r="G5807" s="261"/>
      <c r="H5807" s="261"/>
      <c r="I5807" s="261"/>
      <c r="J5807" s="261"/>
      <c r="K5807" s="261"/>
      <c r="L5807" s="261"/>
      <c r="M5807" s="261"/>
    </row>
    <row r="5808" spans="5:13">
      <c r="E5808" s="261"/>
      <c r="F5808" s="261"/>
      <c r="G5808" s="261"/>
      <c r="H5808" s="261"/>
      <c r="I5808" s="261"/>
      <c r="J5808" s="261"/>
      <c r="K5808" s="261"/>
      <c r="L5808" s="261"/>
      <c r="M5808" s="261"/>
    </row>
    <row r="5809" spans="5:13">
      <c r="E5809" s="261"/>
      <c r="F5809" s="261"/>
      <c r="G5809" s="261"/>
      <c r="H5809" s="261"/>
      <c r="I5809" s="261"/>
      <c r="J5809" s="261"/>
      <c r="K5809" s="261"/>
      <c r="L5809" s="261"/>
      <c r="M5809" s="261"/>
    </row>
    <row r="5810" spans="5:13">
      <c r="E5810" s="261"/>
      <c r="F5810" s="261"/>
      <c r="G5810" s="261"/>
      <c r="H5810" s="261"/>
      <c r="I5810" s="261"/>
      <c r="J5810" s="261"/>
      <c r="K5810" s="261"/>
      <c r="L5810" s="261"/>
      <c r="M5810" s="261"/>
    </row>
    <row r="5811" spans="5:13">
      <c r="E5811" s="261"/>
      <c r="F5811" s="261"/>
      <c r="G5811" s="261"/>
      <c r="H5811" s="261"/>
      <c r="I5811" s="261"/>
      <c r="J5811" s="261"/>
      <c r="K5811" s="261"/>
      <c r="L5811" s="261"/>
      <c r="M5811" s="261"/>
    </row>
    <row r="5812" spans="5:13">
      <c r="E5812" s="261"/>
      <c r="F5812" s="261"/>
      <c r="G5812" s="261"/>
      <c r="H5812" s="261"/>
      <c r="I5812" s="261"/>
      <c r="J5812" s="261"/>
      <c r="K5812" s="261"/>
      <c r="L5812" s="261"/>
      <c r="M5812" s="261"/>
    </row>
    <row r="5813" spans="5:13">
      <c r="E5813" s="261"/>
      <c r="F5813" s="261"/>
      <c r="G5813" s="261"/>
      <c r="H5813" s="261"/>
      <c r="I5813" s="261"/>
      <c r="J5813" s="261"/>
      <c r="K5813" s="261"/>
      <c r="L5813" s="261"/>
      <c r="M5813" s="261"/>
    </row>
    <row r="5814" spans="5:13">
      <c r="E5814" s="261"/>
      <c r="F5814" s="261"/>
      <c r="G5814" s="261"/>
      <c r="H5814" s="261"/>
      <c r="I5814" s="261"/>
      <c r="J5814" s="261"/>
      <c r="K5814" s="261"/>
      <c r="L5814" s="261"/>
      <c r="M5814" s="261"/>
    </row>
    <row r="5815" spans="5:13">
      <c r="E5815" s="261"/>
      <c r="F5815" s="261"/>
      <c r="G5815" s="261"/>
      <c r="H5815" s="261"/>
      <c r="I5815" s="261"/>
      <c r="J5815" s="261"/>
      <c r="K5815" s="261"/>
      <c r="L5815" s="261"/>
      <c r="M5815" s="261"/>
    </row>
    <row r="5816" spans="5:13">
      <c r="E5816" s="261"/>
      <c r="F5816" s="261"/>
      <c r="G5816" s="261"/>
      <c r="H5816" s="261"/>
      <c r="I5816" s="261"/>
      <c r="J5816" s="261"/>
      <c r="K5816" s="261"/>
      <c r="L5816" s="261"/>
      <c r="M5816" s="261"/>
    </row>
    <row r="5817" spans="5:13">
      <c r="E5817" s="261"/>
      <c r="F5817" s="261"/>
      <c r="G5817" s="261"/>
      <c r="H5817" s="261"/>
      <c r="I5817" s="261"/>
      <c r="J5817" s="261"/>
      <c r="K5817" s="261"/>
      <c r="L5817" s="261"/>
      <c r="M5817" s="261"/>
    </row>
    <row r="5818" spans="5:13">
      <c r="E5818" s="261"/>
      <c r="F5818" s="261"/>
      <c r="G5818" s="261"/>
      <c r="H5818" s="261"/>
      <c r="I5818" s="261"/>
      <c r="J5818" s="261"/>
      <c r="K5818" s="261"/>
      <c r="L5818" s="261"/>
      <c r="M5818" s="261"/>
    </row>
    <row r="5819" spans="5:13">
      <c r="E5819" s="261"/>
      <c r="F5819" s="261"/>
      <c r="G5819" s="261"/>
      <c r="H5819" s="261"/>
      <c r="I5819" s="261"/>
      <c r="J5819" s="261"/>
      <c r="K5819" s="261"/>
      <c r="L5819" s="261"/>
      <c r="M5819" s="261"/>
    </row>
    <row r="5820" spans="5:13">
      <c r="E5820" s="261"/>
      <c r="F5820" s="261"/>
      <c r="G5820" s="261"/>
      <c r="H5820" s="261"/>
      <c r="I5820" s="261"/>
      <c r="J5820" s="261"/>
      <c r="K5820" s="261"/>
      <c r="L5820" s="261"/>
      <c r="M5820" s="261"/>
    </row>
    <row r="5821" spans="5:13">
      <c r="E5821" s="261"/>
      <c r="F5821" s="261"/>
      <c r="G5821" s="261"/>
      <c r="H5821" s="261"/>
      <c r="I5821" s="261"/>
      <c r="J5821" s="261"/>
      <c r="K5821" s="261"/>
      <c r="L5821" s="261"/>
      <c r="M5821" s="261"/>
    </row>
    <row r="5822" spans="5:13">
      <c r="E5822" s="261"/>
      <c r="F5822" s="261"/>
      <c r="G5822" s="261"/>
      <c r="H5822" s="261"/>
      <c r="I5822" s="261"/>
      <c r="J5822" s="261"/>
      <c r="K5822" s="261"/>
      <c r="L5822" s="261"/>
      <c r="M5822" s="261"/>
    </row>
    <row r="5823" spans="5:13">
      <c r="E5823" s="261"/>
      <c r="F5823" s="261"/>
      <c r="G5823" s="261"/>
      <c r="H5823" s="261"/>
      <c r="I5823" s="261"/>
      <c r="J5823" s="261"/>
      <c r="K5823" s="261"/>
      <c r="L5823" s="261"/>
      <c r="M5823" s="261"/>
    </row>
    <row r="5824" spans="5:13">
      <c r="E5824" s="261"/>
      <c r="F5824" s="261"/>
      <c r="G5824" s="261"/>
      <c r="H5824" s="261"/>
      <c r="I5824" s="261"/>
      <c r="J5824" s="261"/>
      <c r="K5824" s="261"/>
      <c r="L5824" s="261"/>
      <c r="M5824" s="261"/>
    </row>
    <row r="5825" spans="5:13">
      <c r="E5825" s="261"/>
      <c r="F5825" s="261"/>
      <c r="G5825" s="261"/>
      <c r="H5825" s="261"/>
      <c r="I5825" s="261"/>
      <c r="J5825" s="261"/>
      <c r="K5825" s="261"/>
      <c r="L5825" s="261"/>
      <c r="M5825" s="261"/>
    </row>
    <row r="5826" spans="5:13">
      <c r="E5826" s="261"/>
      <c r="F5826" s="261"/>
      <c r="G5826" s="261"/>
      <c r="H5826" s="261"/>
      <c r="I5826" s="261"/>
      <c r="J5826" s="261"/>
      <c r="K5826" s="261"/>
      <c r="L5826" s="261"/>
      <c r="M5826" s="261"/>
    </row>
    <row r="5827" spans="5:13">
      <c r="E5827" s="261"/>
      <c r="F5827" s="261"/>
      <c r="G5827" s="261"/>
      <c r="H5827" s="261"/>
      <c r="I5827" s="261"/>
      <c r="J5827" s="261"/>
      <c r="K5827" s="261"/>
      <c r="L5827" s="261"/>
      <c r="M5827" s="261"/>
    </row>
    <row r="5828" spans="5:13">
      <c r="E5828" s="261"/>
      <c r="F5828" s="261"/>
      <c r="G5828" s="261"/>
      <c r="H5828" s="261"/>
      <c r="I5828" s="261"/>
      <c r="J5828" s="261"/>
      <c r="K5828" s="261"/>
      <c r="L5828" s="261"/>
      <c r="M5828" s="261"/>
    </row>
    <row r="5829" spans="5:13">
      <c r="E5829" s="261"/>
      <c r="F5829" s="261"/>
      <c r="G5829" s="261"/>
      <c r="H5829" s="261"/>
      <c r="I5829" s="261"/>
      <c r="J5829" s="261"/>
      <c r="K5829" s="261"/>
      <c r="L5829" s="261"/>
      <c r="M5829" s="261"/>
    </row>
    <row r="5830" spans="5:13">
      <c r="E5830" s="261"/>
      <c r="F5830" s="261"/>
      <c r="G5830" s="261"/>
      <c r="H5830" s="261"/>
      <c r="I5830" s="261"/>
      <c r="J5830" s="261"/>
      <c r="K5830" s="261"/>
      <c r="L5830" s="261"/>
      <c r="M5830" s="261"/>
    </row>
    <row r="5831" spans="5:13">
      <c r="E5831" s="261"/>
      <c r="F5831" s="261"/>
      <c r="G5831" s="261"/>
      <c r="H5831" s="261"/>
      <c r="I5831" s="261"/>
      <c r="J5831" s="261"/>
      <c r="K5831" s="261"/>
      <c r="L5831" s="261"/>
      <c r="M5831" s="261"/>
    </row>
    <row r="5832" spans="5:13">
      <c r="E5832" s="261"/>
      <c r="F5832" s="261"/>
      <c r="G5832" s="261"/>
      <c r="H5832" s="261"/>
      <c r="I5832" s="261"/>
      <c r="J5832" s="261"/>
      <c r="K5832" s="261"/>
      <c r="L5832" s="261"/>
      <c r="M5832" s="261"/>
    </row>
    <row r="5833" spans="5:13">
      <c r="E5833" s="261"/>
      <c r="F5833" s="261"/>
      <c r="G5833" s="261"/>
      <c r="H5833" s="261"/>
      <c r="I5833" s="261"/>
      <c r="J5833" s="261"/>
      <c r="K5833" s="261"/>
      <c r="L5833" s="261"/>
      <c r="M5833" s="261"/>
    </row>
    <row r="5834" spans="5:13">
      <c r="E5834" s="261"/>
      <c r="F5834" s="261"/>
      <c r="G5834" s="261"/>
      <c r="H5834" s="261"/>
      <c r="I5834" s="261"/>
      <c r="J5834" s="261"/>
      <c r="K5834" s="261"/>
      <c r="L5834" s="261"/>
      <c r="M5834" s="261"/>
    </row>
    <row r="5835" spans="5:13">
      <c r="E5835" s="261"/>
      <c r="F5835" s="261"/>
      <c r="G5835" s="261"/>
      <c r="H5835" s="261"/>
      <c r="I5835" s="261"/>
      <c r="J5835" s="261"/>
      <c r="K5835" s="261"/>
      <c r="L5835" s="261"/>
      <c r="M5835" s="261"/>
    </row>
    <row r="5836" spans="5:13">
      <c r="E5836" s="261"/>
      <c r="F5836" s="261"/>
      <c r="G5836" s="261"/>
      <c r="H5836" s="261"/>
      <c r="I5836" s="261"/>
      <c r="J5836" s="261"/>
      <c r="K5836" s="261"/>
      <c r="L5836" s="261"/>
      <c r="M5836" s="261"/>
    </row>
    <row r="5837" spans="5:13">
      <c r="E5837" s="261"/>
      <c r="F5837" s="261"/>
      <c r="G5837" s="261"/>
      <c r="H5837" s="261"/>
      <c r="I5837" s="261"/>
      <c r="J5837" s="261"/>
      <c r="K5837" s="261"/>
      <c r="L5837" s="261"/>
      <c r="M5837" s="261"/>
    </row>
    <row r="5838" spans="5:13">
      <c r="E5838" s="261"/>
      <c r="F5838" s="261"/>
      <c r="G5838" s="261"/>
      <c r="H5838" s="261"/>
      <c r="I5838" s="261"/>
      <c r="J5838" s="261"/>
      <c r="K5838" s="261"/>
      <c r="L5838" s="261"/>
      <c r="M5838" s="261"/>
    </row>
    <row r="5839" spans="5:13">
      <c r="E5839" s="261"/>
      <c r="F5839" s="261"/>
      <c r="G5839" s="261"/>
      <c r="H5839" s="261"/>
      <c r="I5839" s="261"/>
      <c r="J5839" s="261"/>
      <c r="K5839" s="261"/>
      <c r="L5839" s="261"/>
      <c r="M5839" s="261"/>
    </row>
    <row r="5840" spans="5:13">
      <c r="E5840" s="261"/>
      <c r="F5840" s="261"/>
      <c r="G5840" s="261"/>
      <c r="H5840" s="261"/>
      <c r="I5840" s="261"/>
      <c r="J5840" s="261"/>
      <c r="K5840" s="261"/>
      <c r="L5840" s="261"/>
      <c r="M5840" s="261"/>
    </row>
    <row r="5841" spans="5:13">
      <c r="E5841" s="261"/>
      <c r="F5841" s="261"/>
      <c r="G5841" s="261"/>
      <c r="H5841" s="261"/>
      <c r="I5841" s="261"/>
      <c r="J5841" s="261"/>
      <c r="K5841" s="261"/>
      <c r="L5841" s="261"/>
      <c r="M5841" s="261"/>
    </row>
    <row r="5842" spans="5:13">
      <c r="E5842" s="261"/>
      <c r="F5842" s="261"/>
      <c r="G5842" s="261"/>
      <c r="H5842" s="261"/>
      <c r="I5842" s="261"/>
      <c r="J5842" s="261"/>
      <c r="K5842" s="261"/>
      <c r="L5842" s="261"/>
      <c r="M5842" s="261"/>
    </row>
    <row r="5843" spans="5:13">
      <c r="E5843" s="261"/>
      <c r="F5843" s="261"/>
      <c r="G5843" s="261"/>
      <c r="H5843" s="261"/>
      <c r="I5843" s="261"/>
      <c r="J5843" s="261"/>
      <c r="K5843" s="261"/>
      <c r="L5843" s="261"/>
      <c r="M5843" s="261"/>
    </row>
    <row r="5844" spans="5:13">
      <c r="E5844" s="261"/>
      <c r="F5844" s="261"/>
      <c r="G5844" s="261"/>
      <c r="H5844" s="261"/>
      <c r="I5844" s="261"/>
      <c r="J5844" s="261"/>
      <c r="K5844" s="261"/>
      <c r="L5844" s="261"/>
      <c r="M5844" s="261"/>
    </row>
    <row r="5845" spans="5:13">
      <c r="E5845" s="261"/>
      <c r="F5845" s="261"/>
      <c r="G5845" s="261"/>
      <c r="H5845" s="261"/>
      <c r="I5845" s="261"/>
      <c r="J5845" s="261"/>
      <c r="K5845" s="261"/>
      <c r="L5845" s="261"/>
      <c r="M5845" s="261"/>
    </row>
    <row r="5846" spans="5:13">
      <c r="E5846" s="261"/>
      <c r="F5846" s="261"/>
      <c r="G5846" s="261"/>
      <c r="H5846" s="261"/>
      <c r="I5846" s="261"/>
      <c r="J5846" s="261"/>
      <c r="K5846" s="261"/>
      <c r="L5846" s="261"/>
      <c r="M5846" s="261"/>
    </row>
    <row r="5847" spans="5:13">
      <c r="E5847" s="261"/>
      <c r="F5847" s="261"/>
      <c r="G5847" s="261"/>
      <c r="H5847" s="261"/>
      <c r="I5847" s="261"/>
      <c r="J5847" s="261"/>
      <c r="K5847" s="261"/>
      <c r="L5847" s="261"/>
      <c r="M5847" s="261"/>
    </row>
    <row r="5848" spans="5:13">
      <c r="E5848" s="261"/>
      <c r="F5848" s="261"/>
      <c r="G5848" s="261"/>
      <c r="H5848" s="261"/>
      <c r="I5848" s="261"/>
      <c r="J5848" s="261"/>
      <c r="K5848" s="261"/>
      <c r="L5848" s="261"/>
      <c r="M5848" s="261"/>
    </row>
    <row r="5849" spans="5:13">
      <c r="E5849" s="261"/>
      <c r="F5849" s="261"/>
      <c r="G5849" s="261"/>
      <c r="H5849" s="261"/>
      <c r="I5849" s="261"/>
      <c r="J5849" s="261"/>
      <c r="K5849" s="261"/>
      <c r="L5849" s="261"/>
      <c r="M5849" s="261"/>
    </row>
    <row r="5850" spans="5:13">
      <c r="E5850" s="261"/>
      <c r="F5850" s="261"/>
      <c r="G5850" s="261"/>
      <c r="H5850" s="261"/>
      <c r="I5850" s="261"/>
      <c r="J5850" s="261"/>
      <c r="K5850" s="261"/>
      <c r="L5850" s="261"/>
      <c r="M5850" s="261"/>
    </row>
    <row r="5851" spans="5:13">
      <c r="E5851" s="261"/>
      <c r="F5851" s="261"/>
      <c r="G5851" s="261"/>
      <c r="H5851" s="261"/>
      <c r="I5851" s="261"/>
      <c r="J5851" s="261"/>
      <c r="K5851" s="261"/>
      <c r="L5851" s="261"/>
      <c r="M5851" s="261"/>
    </row>
    <row r="5852" spans="5:13">
      <c r="E5852" s="261"/>
      <c r="F5852" s="261"/>
      <c r="G5852" s="261"/>
      <c r="H5852" s="261"/>
      <c r="I5852" s="261"/>
      <c r="J5852" s="261"/>
      <c r="K5852" s="261"/>
      <c r="L5852" s="261"/>
      <c r="M5852" s="261"/>
    </row>
    <row r="5853" spans="5:13">
      <c r="E5853" s="261"/>
      <c r="F5853" s="261"/>
      <c r="G5853" s="261"/>
      <c r="H5853" s="261"/>
      <c r="I5853" s="261"/>
      <c r="J5853" s="261"/>
      <c r="K5853" s="261"/>
      <c r="L5853" s="261"/>
      <c r="M5853" s="261"/>
    </row>
    <row r="5854" spans="5:13">
      <c r="E5854" s="261"/>
      <c r="F5854" s="261"/>
      <c r="G5854" s="261"/>
      <c r="H5854" s="261"/>
      <c r="I5854" s="261"/>
      <c r="J5854" s="261"/>
      <c r="K5854" s="261"/>
      <c r="L5854" s="261"/>
      <c r="M5854" s="261"/>
    </row>
    <row r="5855" spans="5:13">
      <c r="E5855" s="261"/>
      <c r="F5855" s="261"/>
      <c r="G5855" s="261"/>
      <c r="H5855" s="261"/>
      <c r="I5855" s="261"/>
      <c r="J5855" s="261"/>
      <c r="K5855" s="261"/>
      <c r="L5855" s="261"/>
      <c r="M5855" s="261"/>
    </row>
    <row r="5856" spans="5:13">
      <c r="E5856" s="261"/>
      <c r="F5856" s="261"/>
      <c r="G5856" s="261"/>
      <c r="H5856" s="261"/>
      <c r="I5856" s="261"/>
      <c r="J5856" s="261"/>
      <c r="K5856" s="261"/>
      <c r="L5856" s="261"/>
      <c r="M5856" s="261"/>
    </row>
    <row r="5857" spans="5:13">
      <c r="E5857" s="261"/>
      <c r="F5857" s="261"/>
      <c r="G5857" s="261"/>
      <c r="H5857" s="261"/>
      <c r="I5857" s="261"/>
      <c r="J5857" s="261"/>
      <c r="K5857" s="261"/>
      <c r="L5857" s="261"/>
      <c r="M5857" s="261"/>
    </row>
    <row r="5858" spans="5:13">
      <c r="E5858" s="261"/>
      <c r="F5858" s="261"/>
      <c r="G5858" s="261"/>
      <c r="H5858" s="261"/>
      <c r="I5858" s="261"/>
      <c r="J5858" s="261"/>
      <c r="K5858" s="261"/>
      <c r="L5858" s="261"/>
      <c r="M5858" s="261"/>
    </row>
    <row r="5859" spans="5:13">
      <c r="E5859" s="261"/>
      <c r="F5859" s="261"/>
      <c r="G5859" s="261"/>
      <c r="H5859" s="261"/>
      <c r="I5859" s="261"/>
      <c r="J5859" s="261"/>
      <c r="K5859" s="261"/>
      <c r="L5859" s="261"/>
      <c r="M5859" s="261"/>
    </row>
    <row r="5860" spans="5:13">
      <c r="E5860" s="261"/>
      <c r="F5860" s="261"/>
      <c r="G5860" s="261"/>
      <c r="H5860" s="261"/>
      <c r="I5860" s="261"/>
      <c r="J5860" s="261"/>
      <c r="K5860" s="261"/>
      <c r="L5860" s="261"/>
      <c r="M5860" s="261"/>
    </row>
    <row r="5861" spans="5:13">
      <c r="E5861" s="261"/>
      <c r="F5861" s="261"/>
      <c r="G5861" s="261"/>
      <c r="H5861" s="261"/>
      <c r="I5861" s="261"/>
      <c r="J5861" s="261"/>
      <c r="K5861" s="261"/>
      <c r="L5861" s="261"/>
      <c r="M5861" s="261"/>
    </row>
    <row r="5862" spans="5:13">
      <c r="E5862" s="261"/>
      <c r="F5862" s="261"/>
      <c r="G5862" s="261"/>
      <c r="H5862" s="261"/>
      <c r="I5862" s="261"/>
      <c r="J5862" s="261"/>
      <c r="K5862" s="261"/>
      <c r="L5862" s="261"/>
      <c r="M5862" s="261"/>
    </row>
    <row r="5863" spans="5:13">
      <c r="E5863" s="261"/>
      <c r="F5863" s="261"/>
      <c r="G5863" s="261"/>
      <c r="H5863" s="261"/>
      <c r="I5863" s="261"/>
      <c r="J5863" s="261"/>
      <c r="K5863" s="261"/>
      <c r="L5863" s="261"/>
      <c r="M5863" s="261"/>
    </row>
    <row r="5864" spans="5:13">
      <c r="E5864" s="261"/>
      <c r="F5864" s="261"/>
      <c r="G5864" s="261"/>
      <c r="H5864" s="261"/>
      <c r="I5864" s="261"/>
      <c r="J5864" s="261"/>
      <c r="K5864" s="261"/>
      <c r="L5864" s="261"/>
      <c r="M5864" s="261"/>
    </row>
    <row r="5865" spans="5:13">
      <c r="E5865" s="261"/>
      <c r="F5865" s="261"/>
      <c r="G5865" s="261"/>
      <c r="H5865" s="261"/>
      <c r="I5865" s="261"/>
      <c r="J5865" s="261"/>
      <c r="K5865" s="261"/>
      <c r="L5865" s="261"/>
      <c r="M5865" s="261"/>
    </row>
    <row r="5866" spans="5:13">
      <c r="E5866" s="261"/>
      <c r="F5866" s="261"/>
      <c r="G5866" s="261"/>
      <c r="H5866" s="261"/>
      <c r="I5866" s="261"/>
      <c r="J5866" s="261"/>
      <c r="K5866" s="261"/>
      <c r="L5866" s="261"/>
      <c r="M5866" s="261"/>
    </row>
    <row r="5867" spans="5:13">
      <c r="E5867" s="261"/>
      <c r="F5867" s="261"/>
      <c r="G5867" s="261"/>
      <c r="H5867" s="261"/>
      <c r="I5867" s="261"/>
      <c r="J5867" s="261"/>
      <c r="K5867" s="261"/>
      <c r="L5867" s="261"/>
      <c r="M5867" s="261"/>
    </row>
    <row r="5868" spans="5:13">
      <c r="E5868" s="261"/>
      <c r="F5868" s="261"/>
      <c r="G5868" s="261"/>
      <c r="H5868" s="261"/>
      <c r="I5868" s="261"/>
      <c r="J5868" s="261"/>
      <c r="K5868" s="261"/>
      <c r="L5868" s="261"/>
      <c r="M5868" s="261"/>
    </row>
    <row r="5869" spans="5:13">
      <c r="E5869" s="261"/>
      <c r="F5869" s="261"/>
      <c r="G5869" s="261"/>
      <c r="H5869" s="261"/>
      <c r="I5869" s="261"/>
      <c r="J5869" s="261"/>
      <c r="K5869" s="261"/>
      <c r="L5869" s="261"/>
      <c r="M5869" s="261"/>
    </row>
    <row r="5870" spans="5:13">
      <c r="E5870" s="261"/>
      <c r="F5870" s="261"/>
      <c r="G5870" s="261"/>
      <c r="H5870" s="261"/>
      <c r="I5870" s="261"/>
      <c r="J5870" s="261"/>
      <c r="K5870" s="261"/>
      <c r="L5870" s="261"/>
      <c r="M5870" s="261"/>
    </row>
    <row r="5871" spans="5:13">
      <c r="E5871" s="261"/>
      <c r="F5871" s="261"/>
      <c r="G5871" s="261"/>
      <c r="H5871" s="261"/>
      <c r="I5871" s="261"/>
      <c r="J5871" s="261"/>
      <c r="K5871" s="261"/>
      <c r="L5871" s="261"/>
      <c r="M5871" s="261"/>
    </row>
    <row r="5872" spans="5:13">
      <c r="E5872" s="261"/>
      <c r="F5872" s="261"/>
      <c r="G5872" s="261"/>
      <c r="H5872" s="261"/>
      <c r="I5872" s="261"/>
      <c r="J5872" s="261"/>
      <c r="K5872" s="261"/>
      <c r="L5872" s="261"/>
      <c r="M5872" s="261"/>
    </row>
    <row r="5873" spans="5:13">
      <c r="E5873" s="261"/>
      <c r="F5873" s="261"/>
      <c r="G5873" s="261"/>
      <c r="H5873" s="261"/>
      <c r="I5873" s="261"/>
      <c r="J5873" s="261"/>
      <c r="K5873" s="261"/>
      <c r="L5873" s="261"/>
      <c r="M5873" s="261"/>
    </row>
    <row r="5874" spans="5:13">
      <c r="E5874" s="261"/>
      <c r="F5874" s="261"/>
      <c r="G5874" s="261"/>
      <c r="H5874" s="261"/>
      <c r="I5874" s="261"/>
      <c r="J5874" s="261"/>
      <c r="K5874" s="261"/>
      <c r="L5874" s="261"/>
      <c r="M5874" s="261"/>
    </row>
    <row r="5875" spans="5:13">
      <c r="E5875" s="261"/>
      <c r="F5875" s="261"/>
      <c r="G5875" s="261"/>
      <c r="H5875" s="261"/>
      <c r="I5875" s="261"/>
      <c r="J5875" s="261"/>
      <c r="K5875" s="261"/>
      <c r="L5875" s="261"/>
      <c r="M5875" s="261"/>
    </row>
    <row r="5876" spans="5:13">
      <c r="E5876" s="261"/>
      <c r="F5876" s="261"/>
      <c r="G5876" s="261"/>
      <c r="H5876" s="261"/>
      <c r="I5876" s="261"/>
      <c r="J5876" s="261"/>
      <c r="K5876" s="261"/>
      <c r="L5876" s="261"/>
      <c r="M5876" s="261"/>
    </row>
    <row r="5877" spans="5:13">
      <c r="E5877" s="261"/>
      <c r="F5877" s="261"/>
      <c r="G5877" s="261"/>
      <c r="H5877" s="261"/>
      <c r="I5877" s="261"/>
      <c r="J5877" s="261"/>
      <c r="K5877" s="261"/>
      <c r="L5877" s="261"/>
      <c r="M5877" s="261"/>
    </row>
    <row r="5878" spans="5:13">
      <c r="E5878" s="261"/>
      <c r="F5878" s="261"/>
      <c r="G5878" s="261"/>
      <c r="H5878" s="261"/>
      <c r="I5878" s="261"/>
      <c r="J5878" s="261"/>
      <c r="K5878" s="261"/>
      <c r="L5878" s="261"/>
      <c r="M5878" s="261"/>
    </row>
    <row r="5879" spans="5:13">
      <c r="E5879" s="261"/>
      <c r="F5879" s="261"/>
      <c r="G5879" s="261"/>
      <c r="H5879" s="261"/>
      <c r="I5879" s="261"/>
      <c r="J5879" s="261"/>
      <c r="K5879" s="261"/>
      <c r="L5879" s="261"/>
      <c r="M5879" s="261"/>
    </row>
    <row r="5880" spans="5:13">
      <c r="E5880" s="261"/>
      <c r="F5880" s="261"/>
      <c r="G5880" s="261"/>
      <c r="H5880" s="261"/>
      <c r="I5880" s="261"/>
      <c r="J5880" s="261"/>
      <c r="K5880" s="261"/>
      <c r="L5880" s="261"/>
      <c r="M5880" s="261"/>
    </row>
    <row r="5881" spans="5:13">
      <c r="E5881" s="261"/>
      <c r="F5881" s="261"/>
      <c r="G5881" s="261"/>
      <c r="H5881" s="261"/>
      <c r="I5881" s="261"/>
      <c r="J5881" s="261"/>
      <c r="K5881" s="261"/>
      <c r="L5881" s="261"/>
      <c r="M5881" s="261"/>
    </row>
    <row r="5882" spans="5:13">
      <c r="E5882" s="261"/>
      <c r="F5882" s="261"/>
      <c r="G5882" s="261"/>
      <c r="H5882" s="261"/>
      <c r="I5882" s="261"/>
      <c r="J5882" s="261"/>
      <c r="K5882" s="261"/>
      <c r="L5882" s="261"/>
      <c r="M5882" s="261"/>
    </row>
    <row r="5883" spans="5:13">
      <c r="E5883" s="261"/>
      <c r="F5883" s="261"/>
      <c r="G5883" s="261"/>
      <c r="H5883" s="261"/>
      <c r="I5883" s="261"/>
      <c r="J5883" s="261"/>
      <c r="K5883" s="261"/>
      <c r="L5883" s="261"/>
      <c r="M5883" s="261"/>
    </row>
    <row r="5884" spans="5:13">
      <c r="E5884" s="261"/>
      <c r="F5884" s="261"/>
      <c r="G5884" s="261"/>
      <c r="H5884" s="261"/>
      <c r="I5884" s="261"/>
      <c r="J5884" s="261"/>
      <c r="K5884" s="261"/>
      <c r="L5884" s="261"/>
      <c r="M5884" s="261"/>
    </row>
    <row r="5885" spans="5:13">
      <c r="E5885" s="261"/>
      <c r="F5885" s="261"/>
      <c r="G5885" s="261"/>
      <c r="H5885" s="261"/>
      <c r="I5885" s="261"/>
      <c r="J5885" s="261"/>
      <c r="K5885" s="261"/>
      <c r="L5885" s="261"/>
      <c r="M5885" s="261"/>
    </row>
    <row r="5886" spans="5:13">
      <c r="E5886" s="261"/>
      <c r="F5886" s="261"/>
      <c r="G5886" s="261"/>
      <c r="H5886" s="261"/>
      <c r="I5886" s="261"/>
      <c r="J5886" s="261"/>
      <c r="K5886" s="261"/>
      <c r="L5886" s="261"/>
      <c r="M5886" s="261"/>
    </row>
    <row r="5887" spans="5:13">
      <c r="E5887" s="261"/>
      <c r="F5887" s="261"/>
      <c r="G5887" s="261"/>
      <c r="H5887" s="261"/>
      <c r="I5887" s="261"/>
      <c r="J5887" s="261"/>
      <c r="K5887" s="261"/>
      <c r="L5887" s="261"/>
      <c r="M5887" s="261"/>
    </row>
    <row r="5888" spans="5:13">
      <c r="E5888" s="261"/>
      <c r="F5888" s="261"/>
      <c r="G5888" s="261"/>
      <c r="H5888" s="261"/>
      <c r="I5888" s="261"/>
      <c r="J5888" s="261"/>
      <c r="K5888" s="261"/>
      <c r="L5888" s="261"/>
      <c r="M5888" s="261"/>
    </row>
    <row r="5889" spans="5:13">
      <c r="E5889" s="261"/>
      <c r="F5889" s="261"/>
      <c r="G5889" s="261"/>
      <c r="H5889" s="261"/>
      <c r="I5889" s="261"/>
      <c r="J5889" s="261"/>
      <c r="K5889" s="261"/>
      <c r="L5889" s="261"/>
      <c r="M5889" s="261"/>
    </row>
    <row r="5890" spans="5:13">
      <c r="E5890" s="261"/>
      <c r="F5890" s="261"/>
      <c r="G5890" s="261"/>
      <c r="H5890" s="261"/>
      <c r="I5890" s="261"/>
      <c r="J5890" s="261"/>
      <c r="K5890" s="261"/>
      <c r="L5890" s="261"/>
      <c r="M5890" s="261"/>
    </row>
    <row r="5891" spans="5:13">
      <c r="E5891" s="261"/>
      <c r="F5891" s="261"/>
      <c r="G5891" s="261"/>
      <c r="H5891" s="261"/>
      <c r="I5891" s="261"/>
      <c r="J5891" s="261"/>
      <c r="K5891" s="261"/>
      <c r="L5891" s="261"/>
      <c r="M5891" s="261"/>
    </row>
    <row r="5892" spans="5:13">
      <c r="E5892" s="261"/>
      <c r="F5892" s="261"/>
      <c r="G5892" s="261"/>
      <c r="H5892" s="261"/>
      <c r="I5892" s="261"/>
      <c r="J5892" s="261"/>
      <c r="K5892" s="261"/>
      <c r="L5892" s="261"/>
      <c r="M5892" s="261"/>
    </row>
    <row r="5893" spans="5:13">
      <c r="E5893" s="261"/>
      <c r="F5893" s="261"/>
      <c r="G5893" s="261"/>
      <c r="H5893" s="261"/>
      <c r="I5893" s="261"/>
      <c r="J5893" s="261"/>
      <c r="K5893" s="261"/>
      <c r="L5893" s="261"/>
      <c r="M5893" s="261"/>
    </row>
    <row r="5894" spans="5:13">
      <c r="E5894" s="261"/>
      <c r="F5894" s="261"/>
      <c r="G5894" s="261"/>
      <c r="H5894" s="261"/>
      <c r="I5894" s="261"/>
      <c r="J5894" s="261"/>
      <c r="K5894" s="261"/>
      <c r="L5894" s="261"/>
      <c r="M5894" s="261"/>
    </row>
    <row r="5895" spans="5:13">
      <c r="E5895" s="261"/>
      <c r="F5895" s="261"/>
      <c r="G5895" s="261"/>
      <c r="H5895" s="261"/>
      <c r="I5895" s="261"/>
      <c r="J5895" s="261"/>
      <c r="K5895" s="261"/>
      <c r="L5895" s="261"/>
      <c r="M5895" s="261"/>
    </row>
    <row r="5896" spans="5:13">
      <c r="E5896" s="261"/>
      <c r="F5896" s="261"/>
      <c r="G5896" s="261"/>
      <c r="H5896" s="261"/>
      <c r="I5896" s="261"/>
      <c r="J5896" s="261"/>
      <c r="K5896" s="261"/>
      <c r="L5896" s="261"/>
      <c r="M5896" s="261"/>
    </row>
    <row r="5897" spans="5:13">
      <c r="E5897" s="261"/>
      <c r="F5897" s="261"/>
      <c r="G5897" s="261"/>
      <c r="H5897" s="261"/>
      <c r="I5897" s="261"/>
      <c r="J5897" s="261"/>
      <c r="K5897" s="261"/>
      <c r="L5897" s="261"/>
      <c r="M5897" s="261"/>
    </row>
    <row r="5898" spans="5:13">
      <c r="E5898" s="261"/>
      <c r="F5898" s="261"/>
      <c r="G5898" s="261"/>
      <c r="H5898" s="261"/>
      <c r="I5898" s="261"/>
      <c r="J5898" s="261"/>
      <c r="K5898" s="261"/>
      <c r="L5898" s="261"/>
      <c r="M5898" s="261"/>
    </row>
    <row r="5899" spans="5:13">
      <c r="E5899" s="261"/>
      <c r="F5899" s="261"/>
      <c r="G5899" s="261"/>
      <c r="H5899" s="261"/>
      <c r="I5899" s="261"/>
      <c r="J5899" s="261"/>
      <c r="K5899" s="261"/>
      <c r="L5899" s="261"/>
      <c r="M5899" s="261"/>
    </row>
    <row r="5900" spans="5:13">
      <c r="E5900" s="261"/>
      <c r="F5900" s="261"/>
      <c r="G5900" s="261"/>
      <c r="H5900" s="261"/>
      <c r="I5900" s="261"/>
      <c r="J5900" s="261"/>
      <c r="K5900" s="261"/>
      <c r="L5900" s="261"/>
      <c r="M5900" s="261"/>
    </row>
    <row r="5901" spans="5:13">
      <c r="E5901" s="261"/>
      <c r="F5901" s="261"/>
      <c r="G5901" s="261"/>
      <c r="H5901" s="261"/>
      <c r="I5901" s="261"/>
      <c r="J5901" s="261"/>
      <c r="K5901" s="261"/>
      <c r="L5901" s="261"/>
      <c r="M5901" s="261"/>
    </row>
    <row r="5902" spans="5:13">
      <c r="E5902" s="261"/>
      <c r="F5902" s="261"/>
      <c r="G5902" s="261"/>
      <c r="H5902" s="261"/>
      <c r="I5902" s="261"/>
      <c r="J5902" s="261"/>
      <c r="K5902" s="261"/>
      <c r="L5902" s="261"/>
      <c r="M5902" s="261"/>
    </row>
    <row r="5903" spans="5:13">
      <c r="E5903" s="261"/>
      <c r="F5903" s="261"/>
      <c r="G5903" s="261"/>
      <c r="H5903" s="261"/>
      <c r="I5903" s="261"/>
      <c r="J5903" s="261"/>
      <c r="K5903" s="261"/>
      <c r="L5903" s="261"/>
      <c r="M5903" s="261"/>
    </row>
    <row r="5904" spans="5:13">
      <c r="E5904" s="261"/>
      <c r="F5904" s="261"/>
      <c r="G5904" s="261"/>
      <c r="H5904" s="261"/>
      <c r="I5904" s="261"/>
      <c r="J5904" s="261"/>
      <c r="K5904" s="261"/>
      <c r="L5904" s="261"/>
      <c r="M5904" s="261"/>
    </row>
    <row r="5905" spans="5:13">
      <c r="E5905" s="261"/>
      <c r="F5905" s="261"/>
      <c r="G5905" s="261"/>
      <c r="H5905" s="261"/>
      <c r="I5905" s="261"/>
      <c r="J5905" s="261"/>
      <c r="K5905" s="261"/>
      <c r="L5905" s="261"/>
      <c r="M5905" s="261"/>
    </row>
    <row r="5906" spans="5:13">
      <c r="E5906" s="261"/>
      <c r="F5906" s="261"/>
      <c r="G5906" s="261"/>
      <c r="H5906" s="261"/>
      <c r="I5906" s="261"/>
      <c r="J5906" s="261"/>
      <c r="K5906" s="261"/>
      <c r="L5906" s="261"/>
      <c r="M5906" s="261"/>
    </row>
    <row r="5907" spans="5:13">
      <c r="E5907" s="261"/>
      <c r="F5907" s="261"/>
      <c r="G5907" s="261"/>
      <c r="H5907" s="261"/>
      <c r="I5907" s="261"/>
      <c r="J5907" s="261"/>
      <c r="K5907" s="261"/>
      <c r="L5907" s="261"/>
      <c r="M5907" s="261"/>
    </row>
    <row r="5908" spans="5:13">
      <c r="E5908" s="261"/>
      <c r="F5908" s="261"/>
      <c r="G5908" s="261"/>
      <c r="H5908" s="261"/>
      <c r="I5908" s="261"/>
      <c r="J5908" s="261"/>
      <c r="K5908" s="261"/>
      <c r="L5908" s="261"/>
      <c r="M5908" s="261"/>
    </row>
    <row r="5909" spans="5:13">
      <c r="E5909" s="261"/>
      <c r="F5909" s="261"/>
      <c r="G5909" s="261"/>
      <c r="H5909" s="261"/>
      <c r="I5909" s="261"/>
      <c r="J5909" s="261"/>
      <c r="K5909" s="261"/>
      <c r="L5909" s="261"/>
      <c r="M5909" s="261"/>
    </row>
    <row r="5910" spans="5:13">
      <c r="E5910" s="261"/>
      <c r="F5910" s="261"/>
      <c r="G5910" s="261"/>
      <c r="H5910" s="261"/>
      <c r="I5910" s="261"/>
      <c r="J5910" s="261"/>
      <c r="K5910" s="261"/>
      <c r="L5910" s="261"/>
      <c r="M5910" s="261"/>
    </row>
    <row r="5911" spans="5:13">
      <c r="E5911" s="261"/>
      <c r="F5911" s="261"/>
      <c r="G5911" s="261"/>
      <c r="H5911" s="261"/>
      <c r="I5911" s="261"/>
      <c r="J5911" s="261"/>
      <c r="K5911" s="261"/>
      <c r="L5911" s="261"/>
      <c r="M5911" s="261"/>
    </row>
    <row r="5912" spans="5:13">
      <c r="E5912" s="261"/>
      <c r="F5912" s="261"/>
      <c r="G5912" s="261"/>
      <c r="H5912" s="261"/>
      <c r="I5912" s="261"/>
      <c r="J5912" s="261"/>
      <c r="K5912" s="261"/>
      <c r="L5912" s="261"/>
      <c r="M5912" s="261"/>
    </row>
    <row r="5913" spans="5:13">
      <c r="E5913" s="261"/>
      <c r="F5913" s="261"/>
      <c r="G5913" s="261"/>
      <c r="H5913" s="261"/>
      <c r="I5913" s="261"/>
      <c r="J5913" s="261"/>
      <c r="K5913" s="261"/>
      <c r="L5913" s="261"/>
      <c r="M5913" s="261"/>
    </row>
    <row r="5914" spans="5:13">
      <c r="E5914" s="261"/>
      <c r="F5914" s="261"/>
      <c r="G5914" s="261"/>
      <c r="H5914" s="261"/>
      <c r="I5914" s="261"/>
      <c r="J5914" s="261"/>
      <c r="K5914" s="261"/>
      <c r="L5914" s="261"/>
      <c r="M5914" s="261"/>
    </row>
    <row r="5915" spans="5:13">
      <c r="E5915" s="261"/>
      <c r="F5915" s="261"/>
      <c r="G5915" s="261"/>
      <c r="H5915" s="261"/>
      <c r="I5915" s="261"/>
      <c r="J5915" s="261"/>
      <c r="K5915" s="261"/>
      <c r="L5915" s="261"/>
      <c r="M5915" s="261"/>
    </row>
    <row r="5916" spans="5:13">
      <c r="E5916" s="261"/>
      <c r="F5916" s="261"/>
      <c r="G5916" s="261"/>
      <c r="H5916" s="261"/>
      <c r="I5916" s="261"/>
      <c r="J5916" s="261"/>
      <c r="K5916" s="261"/>
      <c r="L5916" s="261"/>
      <c r="M5916" s="261"/>
    </row>
    <row r="5917" spans="5:13">
      <c r="E5917" s="261"/>
      <c r="F5917" s="261"/>
      <c r="G5917" s="261"/>
      <c r="H5917" s="261"/>
      <c r="I5917" s="261"/>
      <c r="J5917" s="261"/>
      <c r="K5917" s="261"/>
      <c r="L5917" s="261"/>
      <c r="M5917" s="261"/>
    </row>
    <row r="5918" spans="5:13">
      <c r="E5918" s="261"/>
      <c r="F5918" s="261"/>
      <c r="G5918" s="261"/>
      <c r="H5918" s="261"/>
      <c r="I5918" s="261"/>
      <c r="J5918" s="261"/>
      <c r="K5918" s="261"/>
      <c r="L5918" s="261"/>
      <c r="M5918" s="261"/>
    </row>
    <row r="5919" spans="5:13">
      <c r="E5919" s="261"/>
      <c r="F5919" s="261"/>
      <c r="G5919" s="261"/>
      <c r="H5919" s="261"/>
      <c r="I5919" s="261"/>
      <c r="J5919" s="261"/>
      <c r="K5919" s="261"/>
      <c r="L5919" s="261"/>
      <c r="M5919" s="261"/>
    </row>
    <row r="5920" spans="5:13">
      <c r="E5920" s="261"/>
      <c r="F5920" s="261"/>
      <c r="G5920" s="261"/>
      <c r="H5920" s="261"/>
      <c r="I5920" s="261"/>
      <c r="J5920" s="261"/>
      <c r="K5920" s="261"/>
      <c r="L5920" s="261"/>
      <c r="M5920" s="261"/>
    </row>
    <row r="5921" spans="5:13">
      <c r="E5921" s="261"/>
      <c r="F5921" s="261"/>
      <c r="G5921" s="261"/>
      <c r="H5921" s="261"/>
      <c r="I5921" s="261"/>
      <c r="J5921" s="261"/>
      <c r="K5921" s="261"/>
      <c r="L5921" s="261"/>
      <c r="M5921" s="261"/>
    </row>
    <row r="5922" spans="5:13">
      <c r="E5922" s="261"/>
      <c r="F5922" s="261"/>
      <c r="G5922" s="261"/>
      <c r="H5922" s="261"/>
      <c r="I5922" s="261"/>
      <c r="J5922" s="261"/>
      <c r="K5922" s="261"/>
      <c r="L5922" s="261"/>
      <c r="M5922" s="261"/>
    </row>
    <row r="5923" spans="5:13">
      <c r="E5923" s="261"/>
      <c r="F5923" s="261"/>
      <c r="G5923" s="261"/>
      <c r="H5923" s="261"/>
      <c r="I5923" s="261"/>
      <c r="J5923" s="261"/>
      <c r="K5923" s="261"/>
      <c r="L5923" s="261"/>
      <c r="M5923" s="261"/>
    </row>
    <row r="5924" spans="5:13">
      <c r="E5924" s="261"/>
      <c r="F5924" s="261"/>
      <c r="G5924" s="261"/>
      <c r="H5924" s="261"/>
      <c r="I5924" s="261"/>
      <c r="J5924" s="261"/>
      <c r="K5924" s="261"/>
      <c r="L5924" s="261"/>
      <c r="M5924" s="261"/>
    </row>
    <row r="5925" spans="5:13">
      <c r="E5925" s="261"/>
      <c r="F5925" s="261"/>
      <c r="G5925" s="261"/>
      <c r="H5925" s="261"/>
      <c r="I5925" s="261"/>
      <c r="J5925" s="261"/>
      <c r="K5925" s="261"/>
      <c r="L5925" s="261"/>
      <c r="M5925" s="261"/>
    </row>
    <row r="5926" spans="5:13">
      <c r="E5926" s="261"/>
      <c r="F5926" s="261"/>
      <c r="G5926" s="261"/>
      <c r="H5926" s="261"/>
      <c r="I5926" s="261"/>
      <c r="J5926" s="261"/>
      <c r="K5926" s="261"/>
      <c r="L5926" s="261"/>
      <c r="M5926" s="261"/>
    </row>
    <row r="5927" spans="5:13">
      <c r="E5927" s="261"/>
      <c r="F5927" s="261"/>
      <c r="G5927" s="261"/>
      <c r="H5927" s="261"/>
      <c r="I5927" s="261"/>
      <c r="J5927" s="261"/>
      <c r="K5927" s="261"/>
      <c r="L5927" s="261"/>
      <c r="M5927" s="261"/>
    </row>
    <row r="5928" spans="5:13">
      <c r="E5928" s="261"/>
      <c r="F5928" s="261"/>
      <c r="G5928" s="261"/>
      <c r="H5928" s="261"/>
      <c r="I5928" s="261"/>
      <c r="J5928" s="261"/>
      <c r="K5928" s="261"/>
      <c r="L5928" s="261"/>
      <c r="M5928" s="261"/>
    </row>
    <row r="5929" spans="5:13">
      <c r="E5929" s="261"/>
      <c r="F5929" s="261"/>
      <c r="G5929" s="261"/>
      <c r="H5929" s="261"/>
      <c r="I5929" s="261"/>
      <c r="J5929" s="261"/>
      <c r="K5929" s="261"/>
      <c r="L5929" s="261"/>
      <c r="M5929" s="261"/>
    </row>
    <row r="5930" spans="5:13">
      <c r="E5930" s="261"/>
      <c r="F5930" s="261"/>
      <c r="G5930" s="261"/>
      <c r="H5930" s="261"/>
      <c r="I5930" s="261"/>
      <c r="J5930" s="261"/>
      <c r="K5930" s="261"/>
      <c r="L5930" s="261"/>
      <c r="M5930" s="261"/>
    </row>
    <row r="5931" spans="5:13">
      <c r="E5931" s="261"/>
      <c r="F5931" s="261"/>
      <c r="G5931" s="261"/>
      <c r="H5931" s="261"/>
      <c r="I5931" s="261"/>
      <c r="J5931" s="261"/>
      <c r="K5931" s="261"/>
      <c r="L5931" s="261"/>
      <c r="M5931" s="261"/>
    </row>
    <row r="5932" spans="5:13">
      <c r="E5932" s="261"/>
      <c r="F5932" s="261"/>
      <c r="G5932" s="261"/>
      <c r="H5932" s="261"/>
      <c r="I5932" s="261"/>
      <c r="J5932" s="261"/>
      <c r="K5932" s="261"/>
      <c r="L5932" s="261"/>
      <c r="M5932" s="261"/>
    </row>
    <row r="5933" spans="5:13">
      <c r="E5933" s="261"/>
      <c r="F5933" s="261"/>
      <c r="G5933" s="261"/>
      <c r="H5933" s="261"/>
      <c r="I5933" s="261"/>
      <c r="J5933" s="261"/>
      <c r="K5933" s="261"/>
      <c r="L5933" s="261"/>
      <c r="M5933" s="261"/>
    </row>
    <row r="5934" spans="5:13">
      <c r="E5934" s="261"/>
      <c r="F5934" s="261"/>
      <c r="G5934" s="261"/>
      <c r="H5934" s="261"/>
      <c r="I5934" s="261"/>
      <c r="J5934" s="261"/>
      <c r="K5934" s="261"/>
      <c r="L5934" s="261"/>
      <c r="M5934" s="261"/>
    </row>
    <row r="5935" spans="5:13">
      <c r="E5935" s="261"/>
      <c r="F5935" s="261"/>
      <c r="G5935" s="261"/>
      <c r="H5935" s="261"/>
      <c r="I5935" s="261"/>
      <c r="J5935" s="261"/>
      <c r="K5935" s="261"/>
      <c r="L5935" s="261"/>
      <c r="M5935" s="261"/>
    </row>
    <row r="5936" spans="5:13">
      <c r="E5936" s="261"/>
      <c r="F5936" s="261"/>
      <c r="G5936" s="261"/>
      <c r="H5936" s="261"/>
      <c r="I5936" s="261"/>
      <c r="J5936" s="261"/>
      <c r="K5936" s="261"/>
      <c r="L5936" s="261"/>
      <c r="M5936" s="261"/>
    </row>
    <row r="5937" spans="5:13">
      <c r="E5937" s="261"/>
      <c r="F5937" s="261"/>
      <c r="G5937" s="261"/>
      <c r="H5937" s="261"/>
      <c r="I5937" s="261"/>
      <c r="J5937" s="261"/>
      <c r="K5937" s="261"/>
      <c r="L5937" s="261"/>
      <c r="M5937" s="261"/>
    </row>
    <row r="5938" spans="5:13">
      <c r="E5938" s="261"/>
      <c r="F5938" s="261"/>
      <c r="G5938" s="261"/>
      <c r="H5938" s="261"/>
      <c r="I5938" s="261"/>
      <c r="J5938" s="261"/>
      <c r="K5938" s="261"/>
      <c r="L5938" s="261"/>
      <c r="M5938" s="261"/>
    </row>
    <row r="5939" spans="5:13">
      <c r="E5939" s="261"/>
      <c r="F5939" s="261"/>
      <c r="G5939" s="261"/>
      <c r="H5939" s="261"/>
      <c r="I5939" s="261"/>
      <c r="J5939" s="261"/>
      <c r="K5939" s="261"/>
      <c r="L5939" s="261"/>
      <c r="M5939" s="261"/>
    </row>
    <row r="5940" spans="5:13">
      <c r="E5940" s="261"/>
      <c r="F5940" s="261"/>
      <c r="G5940" s="261"/>
      <c r="H5940" s="261"/>
      <c r="I5940" s="261"/>
      <c r="J5940" s="261"/>
      <c r="K5940" s="261"/>
      <c r="L5940" s="261"/>
      <c r="M5940" s="261"/>
    </row>
    <row r="5941" spans="5:13">
      <c r="E5941" s="261"/>
      <c r="F5941" s="261"/>
      <c r="G5941" s="261"/>
      <c r="H5941" s="261"/>
      <c r="I5941" s="261"/>
      <c r="J5941" s="261"/>
      <c r="K5941" s="261"/>
      <c r="L5941" s="261"/>
      <c r="M5941" s="261"/>
    </row>
    <row r="5942" spans="5:13">
      <c r="E5942" s="261"/>
      <c r="F5942" s="261"/>
      <c r="G5942" s="261"/>
      <c r="H5942" s="261"/>
      <c r="I5942" s="261"/>
      <c r="J5942" s="261"/>
      <c r="K5942" s="261"/>
      <c r="L5942" s="261"/>
      <c r="M5942" s="261"/>
    </row>
    <row r="5943" spans="5:13">
      <c r="E5943" s="261"/>
      <c r="F5943" s="261"/>
      <c r="G5943" s="261"/>
      <c r="H5943" s="261"/>
      <c r="I5943" s="261"/>
      <c r="J5943" s="261"/>
      <c r="K5943" s="261"/>
      <c r="L5943" s="261"/>
      <c r="M5943" s="261"/>
    </row>
    <row r="5944" spans="5:13">
      <c r="E5944" s="261"/>
      <c r="F5944" s="261"/>
      <c r="G5944" s="261"/>
      <c r="H5944" s="261"/>
      <c r="I5944" s="261"/>
      <c r="J5944" s="261"/>
      <c r="K5944" s="261"/>
      <c r="L5944" s="261"/>
      <c r="M5944" s="261"/>
    </row>
    <row r="5945" spans="5:13">
      <c r="E5945" s="261"/>
      <c r="F5945" s="261"/>
      <c r="G5945" s="261"/>
      <c r="H5945" s="261"/>
      <c r="I5945" s="261"/>
      <c r="J5945" s="261"/>
      <c r="K5945" s="261"/>
      <c r="L5945" s="261"/>
      <c r="M5945" s="261"/>
    </row>
    <row r="5946" spans="5:13">
      <c r="E5946" s="261"/>
      <c r="F5946" s="261"/>
      <c r="G5946" s="261"/>
      <c r="H5946" s="261"/>
      <c r="I5946" s="261"/>
      <c r="J5946" s="261"/>
      <c r="K5946" s="261"/>
      <c r="L5946" s="261"/>
      <c r="M5946" s="261"/>
    </row>
    <row r="5947" spans="5:13">
      <c r="E5947" s="261"/>
      <c r="F5947" s="261"/>
      <c r="G5947" s="261"/>
      <c r="H5947" s="261"/>
      <c r="I5947" s="261"/>
      <c r="J5947" s="261"/>
      <c r="K5947" s="261"/>
      <c r="L5947" s="261"/>
      <c r="M5947" s="261"/>
    </row>
    <row r="5948" spans="5:13">
      <c r="E5948" s="261"/>
      <c r="F5948" s="261"/>
      <c r="G5948" s="261"/>
      <c r="H5948" s="261"/>
      <c r="I5948" s="261"/>
      <c r="J5948" s="261"/>
      <c r="K5948" s="261"/>
      <c r="L5948" s="261"/>
      <c r="M5948" s="261"/>
    </row>
    <row r="5949" spans="5:13">
      <c r="E5949" s="261"/>
      <c r="F5949" s="261"/>
      <c r="G5949" s="261"/>
      <c r="H5949" s="261"/>
      <c r="I5949" s="261"/>
      <c r="J5949" s="261"/>
      <c r="K5949" s="261"/>
      <c r="L5949" s="261"/>
      <c r="M5949" s="261"/>
    </row>
    <row r="5950" spans="5:13">
      <c r="E5950" s="261"/>
      <c r="F5950" s="261"/>
      <c r="G5950" s="261"/>
      <c r="H5950" s="261"/>
      <c r="I5950" s="261"/>
      <c r="J5950" s="261"/>
      <c r="K5950" s="261"/>
      <c r="L5950" s="261"/>
      <c r="M5950" s="261"/>
    </row>
    <row r="5951" spans="5:13">
      <c r="E5951" s="261"/>
      <c r="F5951" s="261"/>
      <c r="G5951" s="261"/>
      <c r="H5951" s="261"/>
      <c r="I5951" s="261"/>
      <c r="J5951" s="261"/>
      <c r="K5951" s="261"/>
      <c r="L5951" s="261"/>
      <c r="M5951" s="261"/>
    </row>
    <row r="5952" spans="5:13">
      <c r="E5952" s="261"/>
      <c r="F5952" s="261"/>
      <c r="G5952" s="261"/>
      <c r="H5952" s="261"/>
      <c r="I5952" s="261"/>
      <c r="J5952" s="261"/>
      <c r="K5952" s="261"/>
      <c r="L5952" s="261"/>
      <c r="M5952" s="261"/>
    </row>
    <row r="5953" spans="5:13">
      <c r="E5953" s="261"/>
      <c r="F5953" s="261"/>
      <c r="G5953" s="261"/>
      <c r="H5953" s="261"/>
      <c r="I5953" s="261"/>
      <c r="J5953" s="261"/>
      <c r="K5953" s="261"/>
      <c r="L5953" s="261"/>
      <c r="M5953" s="261"/>
    </row>
    <row r="5954" spans="5:13">
      <c r="E5954" s="261"/>
      <c r="F5954" s="261"/>
      <c r="G5954" s="261"/>
      <c r="H5954" s="261"/>
      <c r="I5954" s="261"/>
      <c r="J5954" s="261"/>
      <c r="K5954" s="261"/>
      <c r="L5954" s="261"/>
      <c r="M5954" s="261"/>
    </row>
    <row r="5955" spans="5:13">
      <c r="E5955" s="261"/>
      <c r="F5955" s="261"/>
      <c r="G5955" s="261"/>
      <c r="H5955" s="261"/>
      <c r="I5955" s="261"/>
      <c r="J5955" s="261"/>
      <c r="K5955" s="261"/>
      <c r="L5955" s="261"/>
      <c r="M5955" s="261"/>
    </row>
    <row r="5956" spans="5:13">
      <c r="E5956" s="261"/>
      <c r="F5956" s="261"/>
      <c r="G5956" s="261"/>
      <c r="H5956" s="261"/>
      <c r="I5956" s="261"/>
      <c r="J5956" s="261"/>
      <c r="K5956" s="261"/>
      <c r="L5956" s="261"/>
      <c r="M5956" s="261"/>
    </row>
    <row r="5957" spans="5:13">
      <c r="E5957" s="261"/>
      <c r="F5957" s="261"/>
      <c r="G5957" s="261"/>
      <c r="H5957" s="261"/>
      <c r="I5957" s="261"/>
      <c r="J5957" s="261"/>
      <c r="K5957" s="261"/>
      <c r="L5957" s="261"/>
      <c r="M5957" s="261"/>
    </row>
    <row r="5958" spans="5:13">
      <c r="E5958" s="261"/>
      <c r="F5958" s="261"/>
      <c r="G5958" s="261"/>
      <c r="H5958" s="261"/>
      <c r="I5958" s="261"/>
      <c r="J5958" s="261"/>
      <c r="K5958" s="261"/>
      <c r="L5958" s="261"/>
      <c r="M5958" s="261"/>
    </row>
    <row r="5959" spans="5:13">
      <c r="E5959" s="261"/>
      <c r="F5959" s="261"/>
      <c r="G5959" s="261"/>
      <c r="H5959" s="261"/>
      <c r="I5959" s="261"/>
      <c r="J5959" s="261"/>
      <c r="K5959" s="261"/>
      <c r="L5959" s="261"/>
      <c r="M5959" s="261"/>
    </row>
    <row r="5960" spans="5:13">
      <c r="E5960" s="261"/>
      <c r="F5960" s="261"/>
      <c r="G5960" s="261"/>
      <c r="H5960" s="261"/>
      <c r="I5960" s="261"/>
      <c r="J5960" s="261"/>
      <c r="K5960" s="261"/>
      <c r="L5960" s="261"/>
      <c r="M5960" s="261"/>
    </row>
    <row r="5961" spans="5:13">
      <c r="E5961" s="261"/>
      <c r="F5961" s="261"/>
      <c r="G5961" s="261"/>
      <c r="H5961" s="261"/>
      <c r="I5961" s="261"/>
      <c r="J5961" s="261"/>
      <c r="K5961" s="261"/>
      <c r="L5961" s="261"/>
      <c r="M5961" s="261"/>
    </row>
    <row r="5962" spans="5:13">
      <c r="E5962" s="261"/>
      <c r="F5962" s="261"/>
      <c r="G5962" s="261"/>
      <c r="H5962" s="261"/>
      <c r="I5962" s="261"/>
      <c r="J5962" s="261"/>
      <c r="K5962" s="261"/>
      <c r="L5962" s="261"/>
      <c r="M5962" s="261"/>
    </row>
    <row r="5963" spans="5:13">
      <c r="E5963" s="261"/>
      <c r="F5963" s="261"/>
      <c r="G5963" s="261"/>
      <c r="H5963" s="261"/>
      <c r="I5963" s="261"/>
      <c r="J5963" s="261"/>
      <c r="K5963" s="261"/>
      <c r="L5963" s="261"/>
      <c r="M5963" s="261"/>
    </row>
    <row r="5964" spans="5:13">
      <c r="E5964" s="261"/>
      <c r="F5964" s="261"/>
      <c r="G5964" s="261"/>
      <c r="H5964" s="261"/>
      <c r="I5964" s="261"/>
      <c r="J5964" s="261"/>
      <c r="K5964" s="261"/>
      <c r="L5964" s="261"/>
      <c r="M5964" s="261"/>
    </row>
    <row r="5965" spans="5:13">
      <c r="E5965" s="261"/>
      <c r="F5965" s="261"/>
      <c r="G5965" s="261"/>
      <c r="H5965" s="261"/>
      <c r="I5965" s="261"/>
      <c r="J5965" s="261"/>
      <c r="K5965" s="261"/>
      <c r="L5965" s="261"/>
      <c r="M5965" s="261"/>
    </row>
    <row r="5966" spans="5:13">
      <c r="E5966" s="261"/>
      <c r="F5966" s="261"/>
      <c r="G5966" s="261"/>
      <c r="H5966" s="261"/>
      <c r="I5966" s="261"/>
      <c r="J5966" s="261"/>
      <c r="K5966" s="261"/>
      <c r="L5966" s="261"/>
      <c r="M5966" s="261"/>
    </row>
    <row r="5967" spans="5:13">
      <c r="E5967" s="261"/>
      <c r="F5967" s="261"/>
      <c r="G5967" s="261"/>
      <c r="H5967" s="261"/>
      <c r="I5967" s="261"/>
      <c r="J5967" s="261"/>
      <c r="K5967" s="261"/>
      <c r="L5967" s="261"/>
      <c r="M5967" s="261"/>
    </row>
    <row r="5968" spans="5:13">
      <c r="E5968" s="261"/>
      <c r="F5968" s="261"/>
      <c r="G5968" s="261"/>
      <c r="H5968" s="261"/>
      <c r="I5968" s="261"/>
      <c r="J5968" s="261"/>
      <c r="K5968" s="261"/>
      <c r="L5968" s="261"/>
      <c r="M5968" s="261"/>
    </row>
    <row r="5969" spans="5:13">
      <c r="E5969" s="261"/>
      <c r="F5969" s="261"/>
      <c r="G5969" s="261"/>
      <c r="H5969" s="261"/>
      <c r="I5969" s="261"/>
      <c r="J5969" s="261"/>
      <c r="K5969" s="261"/>
      <c r="L5969" s="261"/>
      <c r="M5969" s="261"/>
    </row>
    <row r="5970" spans="5:13">
      <c r="E5970" s="261"/>
      <c r="F5970" s="261"/>
      <c r="G5970" s="261"/>
      <c r="H5970" s="261"/>
      <c r="I5970" s="261"/>
      <c r="J5970" s="261"/>
      <c r="K5970" s="261"/>
      <c r="L5970" s="261"/>
      <c r="M5970" s="261"/>
    </row>
    <row r="5971" spans="5:13">
      <c r="E5971" s="261"/>
      <c r="F5971" s="261"/>
      <c r="G5971" s="261"/>
      <c r="H5971" s="261"/>
      <c r="I5971" s="261"/>
      <c r="J5971" s="261"/>
      <c r="K5971" s="261"/>
      <c r="L5971" s="261"/>
      <c r="M5971" s="261"/>
    </row>
    <row r="5972" spans="5:13">
      <c r="E5972" s="261"/>
      <c r="F5972" s="261"/>
      <c r="G5972" s="261"/>
      <c r="H5972" s="261"/>
      <c r="I5972" s="261"/>
      <c r="J5972" s="261"/>
      <c r="K5972" s="261"/>
      <c r="L5972" s="261"/>
      <c r="M5972" s="261"/>
    </row>
    <row r="5973" spans="5:13">
      <c r="E5973" s="261"/>
      <c r="F5973" s="261"/>
      <c r="G5973" s="261"/>
      <c r="H5973" s="261"/>
      <c r="I5973" s="261"/>
      <c r="J5973" s="261"/>
      <c r="K5973" s="261"/>
      <c r="L5973" s="261"/>
      <c r="M5973" s="261"/>
    </row>
    <row r="5974" spans="5:13">
      <c r="E5974" s="261"/>
      <c r="F5974" s="261"/>
      <c r="G5974" s="261"/>
      <c r="H5974" s="261"/>
      <c r="I5974" s="261"/>
      <c r="J5974" s="261"/>
      <c r="K5974" s="261"/>
      <c r="L5974" s="261"/>
      <c r="M5974" s="261"/>
    </row>
    <row r="5975" spans="5:13">
      <c r="E5975" s="261"/>
      <c r="F5975" s="261"/>
      <c r="G5975" s="261"/>
      <c r="H5975" s="261"/>
      <c r="I5975" s="261"/>
      <c r="J5975" s="261"/>
      <c r="K5975" s="261"/>
      <c r="L5975" s="261"/>
      <c r="M5975" s="261"/>
    </row>
    <row r="5976" spans="5:13">
      <c r="E5976" s="261"/>
      <c r="F5976" s="261"/>
      <c r="G5976" s="261"/>
      <c r="H5976" s="261"/>
      <c r="I5976" s="261"/>
      <c r="J5976" s="261"/>
      <c r="K5976" s="261"/>
      <c r="L5976" s="261"/>
      <c r="M5976" s="261"/>
    </row>
    <row r="5977" spans="5:13">
      <c r="E5977" s="261"/>
      <c r="F5977" s="261"/>
      <c r="G5977" s="261"/>
      <c r="H5977" s="261"/>
      <c r="I5977" s="261"/>
      <c r="J5977" s="261"/>
      <c r="K5977" s="261"/>
      <c r="L5977" s="261"/>
      <c r="M5977" s="261"/>
    </row>
    <row r="5978" spans="5:13">
      <c r="E5978" s="261"/>
      <c r="F5978" s="261"/>
      <c r="G5978" s="261"/>
      <c r="H5978" s="261"/>
      <c r="I5978" s="261"/>
      <c r="J5978" s="261"/>
      <c r="K5978" s="261"/>
      <c r="L5978" s="261"/>
      <c r="M5978" s="261"/>
    </row>
    <row r="5979" spans="5:13">
      <c r="E5979" s="261"/>
      <c r="F5979" s="261"/>
      <c r="G5979" s="261"/>
      <c r="H5979" s="261"/>
      <c r="I5979" s="261"/>
      <c r="J5979" s="261"/>
      <c r="K5979" s="261"/>
      <c r="L5979" s="261"/>
      <c r="M5979" s="261"/>
    </row>
    <row r="5980" spans="5:13">
      <c r="E5980" s="261"/>
      <c r="F5980" s="261"/>
      <c r="G5980" s="261"/>
      <c r="H5980" s="261"/>
      <c r="I5980" s="261"/>
      <c r="J5980" s="261"/>
      <c r="K5980" s="261"/>
      <c r="L5980" s="261"/>
      <c r="M5980" s="261"/>
    </row>
    <row r="5981" spans="5:13">
      <c r="E5981" s="261"/>
      <c r="F5981" s="261"/>
      <c r="G5981" s="261"/>
      <c r="H5981" s="261"/>
      <c r="I5981" s="261"/>
      <c r="J5981" s="261"/>
      <c r="K5981" s="261"/>
      <c r="L5981" s="261"/>
      <c r="M5981" s="261"/>
    </row>
    <row r="5982" spans="5:13">
      <c r="E5982" s="261"/>
      <c r="F5982" s="261"/>
      <c r="G5982" s="261"/>
      <c r="H5982" s="261"/>
      <c r="I5982" s="261"/>
      <c r="J5982" s="261"/>
      <c r="K5982" s="261"/>
      <c r="L5982" s="261"/>
      <c r="M5982" s="261"/>
    </row>
    <row r="5983" spans="5:13">
      <c r="E5983" s="261"/>
      <c r="F5983" s="261"/>
      <c r="G5983" s="261"/>
      <c r="H5983" s="261"/>
      <c r="I5983" s="261"/>
      <c r="J5983" s="261"/>
      <c r="K5983" s="261"/>
      <c r="L5983" s="261"/>
      <c r="M5983" s="261"/>
    </row>
    <row r="5984" spans="5:13">
      <c r="E5984" s="261"/>
      <c r="F5984" s="261"/>
      <c r="G5984" s="261"/>
      <c r="H5984" s="261"/>
      <c r="I5984" s="261"/>
      <c r="J5984" s="261"/>
      <c r="K5984" s="261"/>
      <c r="L5984" s="261"/>
      <c r="M5984" s="261"/>
    </row>
    <row r="5985" spans="5:13">
      <c r="E5985" s="261"/>
      <c r="F5985" s="261"/>
      <c r="G5985" s="261"/>
      <c r="H5985" s="261"/>
      <c r="I5985" s="261"/>
      <c r="J5985" s="261"/>
      <c r="K5985" s="261"/>
      <c r="L5985" s="261"/>
      <c r="M5985" s="261"/>
    </row>
    <row r="5986" spans="5:13">
      <c r="E5986" s="261"/>
      <c r="F5986" s="261"/>
      <c r="G5986" s="261"/>
      <c r="H5986" s="261"/>
      <c r="I5986" s="261"/>
      <c r="J5986" s="261"/>
      <c r="K5986" s="261"/>
      <c r="L5986" s="261"/>
      <c r="M5986" s="261"/>
    </row>
    <row r="5987" spans="5:13">
      <c r="E5987" s="261"/>
      <c r="F5987" s="261"/>
      <c r="G5987" s="261"/>
      <c r="H5987" s="261"/>
      <c r="I5987" s="261"/>
      <c r="J5987" s="261"/>
      <c r="K5987" s="261"/>
      <c r="L5987" s="261"/>
      <c r="M5987" s="261"/>
    </row>
    <row r="5988" spans="5:13">
      <c r="E5988" s="261"/>
      <c r="F5988" s="261"/>
      <c r="G5988" s="261"/>
      <c r="H5988" s="261"/>
      <c r="I5988" s="261"/>
      <c r="J5988" s="261"/>
      <c r="K5988" s="261"/>
      <c r="L5988" s="261"/>
      <c r="M5988" s="261"/>
    </row>
    <row r="5989" spans="5:13">
      <c r="E5989" s="261"/>
      <c r="F5989" s="261"/>
      <c r="G5989" s="261"/>
      <c r="H5989" s="261"/>
      <c r="I5989" s="261"/>
      <c r="J5989" s="261"/>
      <c r="K5989" s="261"/>
      <c r="L5989" s="261"/>
      <c r="M5989" s="261"/>
    </row>
    <row r="5990" spans="5:13">
      <c r="E5990" s="261"/>
      <c r="F5990" s="261"/>
      <c r="G5990" s="261"/>
      <c r="H5990" s="261"/>
      <c r="I5990" s="261"/>
      <c r="J5990" s="261"/>
      <c r="K5990" s="261"/>
      <c r="L5990" s="261"/>
      <c r="M5990" s="261"/>
    </row>
    <row r="5991" spans="5:13">
      <c r="E5991" s="261"/>
      <c r="F5991" s="261"/>
      <c r="G5991" s="261"/>
      <c r="H5991" s="261"/>
      <c r="I5991" s="261"/>
      <c r="J5991" s="261"/>
      <c r="K5991" s="261"/>
      <c r="L5991" s="261"/>
      <c r="M5991" s="261"/>
    </row>
    <row r="5992" spans="5:13">
      <c r="E5992" s="261"/>
      <c r="F5992" s="261"/>
      <c r="G5992" s="261"/>
      <c r="H5992" s="261"/>
      <c r="I5992" s="261"/>
      <c r="J5992" s="261"/>
      <c r="K5992" s="261"/>
      <c r="L5992" s="261"/>
      <c r="M5992" s="261"/>
    </row>
    <row r="5993" spans="5:13">
      <c r="E5993" s="261"/>
      <c r="F5993" s="261"/>
      <c r="G5993" s="261"/>
      <c r="H5993" s="261"/>
      <c r="I5993" s="261"/>
      <c r="J5993" s="261"/>
      <c r="K5993" s="261"/>
      <c r="L5993" s="261"/>
      <c r="M5993" s="261"/>
    </row>
    <row r="5994" spans="5:13">
      <c r="E5994" s="261"/>
      <c r="F5994" s="261"/>
      <c r="G5994" s="261"/>
      <c r="H5994" s="261"/>
      <c r="I5994" s="261"/>
      <c r="J5994" s="261"/>
      <c r="K5994" s="261"/>
      <c r="L5994" s="261"/>
      <c r="M5994" s="261"/>
    </row>
    <row r="5995" spans="5:13">
      <c r="E5995" s="261"/>
      <c r="F5995" s="261"/>
      <c r="G5995" s="261"/>
      <c r="H5995" s="261"/>
      <c r="I5995" s="261"/>
      <c r="J5995" s="261"/>
      <c r="K5995" s="261"/>
      <c r="L5995" s="261"/>
      <c r="M5995" s="261"/>
    </row>
    <row r="5996" spans="5:13">
      <c r="E5996" s="261"/>
      <c r="F5996" s="261"/>
      <c r="G5996" s="261"/>
      <c r="H5996" s="261"/>
      <c r="I5996" s="261"/>
      <c r="J5996" s="261"/>
      <c r="K5996" s="261"/>
      <c r="L5996" s="261"/>
      <c r="M5996" s="261"/>
    </row>
    <row r="5997" spans="5:13">
      <c r="E5997" s="261"/>
      <c r="F5997" s="261"/>
      <c r="G5997" s="261"/>
      <c r="H5997" s="261"/>
      <c r="I5997" s="261"/>
      <c r="J5997" s="261"/>
      <c r="K5997" s="261"/>
      <c r="L5997" s="261"/>
      <c r="M5997" s="261"/>
    </row>
    <row r="5998" spans="5:13">
      <c r="E5998" s="261"/>
      <c r="F5998" s="261"/>
      <c r="G5998" s="261"/>
      <c r="H5998" s="261"/>
      <c r="I5998" s="261"/>
      <c r="J5998" s="261"/>
      <c r="K5998" s="261"/>
      <c r="L5998" s="261"/>
      <c r="M5998" s="261"/>
    </row>
    <row r="5999" spans="5:13">
      <c r="E5999" s="261"/>
      <c r="F5999" s="261"/>
      <c r="G5999" s="261"/>
      <c r="H5999" s="261"/>
      <c r="I5999" s="261"/>
      <c r="J5999" s="261"/>
      <c r="K5999" s="261"/>
      <c r="L5999" s="261"/>
      <c r="M5999" s="261"/>
    </row>
    <row r="6000" spans="5:13">
      <c r="E6000" s="261"/>
      <c r="F6000" s="261"/>
      <c r="G6000" s="261"/>
      <c r="H6000" s="261"/>
      <c r="I6000" s="261"/>
      <c r="J6000" s="261"/>
      <c r="K6000" s="261"/>
      <c r="L6000" s="261"/>
      <c r="M6000" s="261"/>
    </row>
    <row r="6001" spans="5:13">
      <c r="E6001" s="261"/>
      <c r="F6001" s="261"/>
      <c r="G6001" s="261"/>
      <c r="H6001" s="261"/>
      <c r="I6001" s="261"/>
      <c r="J6001" s="261"/>
      <c r="K6001" s="261"/>
      <c r="L6001" s="261"/>
      <c r="M6001" s="261"/>
    </row>
    <row r="6002" spans="5:13">
      <c r="E6002" s="261"/>
      <c r="F6002" s="261"/>
      <c r="G6002" s="261"/>
      <c r="H6002" s="261"/>
      <c r="I6002" s="261"/>
      <c r="J6002" s="261"/>
      <c r="K6002" s="261"/>
      <c r="L6002" s="261"/>
      <c r="M6002" s="261"/>
    </row>
    <row r="6003" spans="5:13">
      <c r="E6003" s="261"/>
      <c r="F6003" s="261"/>
      <c r="G6003" s="261"/>
      <c r="H6003" s="261"/>
      <c r="I6003" s="261"/>
      <c r="J6003" s="261"/>
      <c r="K6003" s="261"/>
      <c r="L6003" s="261"/>
      <c r="M6003" s="261"/>
    </row>
    <row r="6004" spans="5:13">
      <c r="E6004" s="261"/>
      <c r="F6004" s="261"/>
      <c r="G6004" s="261"/>
      <c r="H6004" s="261"/>
      <c r="I6004" s="261"/>
      <c r="J6004" s="261"/>
      <c r="K6004" s="261"/>
      <c r="L6004" s="261"/>
      <c r="M6004" s="261"/>
    </row>
    <row r="6005" spans="5:13">
      <c r="E6005" s="261"/>
      <c r="F6005" s="261"/>
      <c r="G6005" s="261"/>
      <c r="H6005" s="261"/>
      <c r="I6005" s="261"/>
      <c r="J6005" s="261"/>
      <c r="K6005" s="261"/>
      <c r="L6005" s="261"/>
      <c r="M6005" s="261"/>
    </row>
    <row r="6006" spans="5:13">
      <c r="E6006" s="261"/>
      <c r="F6006" s="261"/>
      <c r="G6006" s="261"/>
      <c r="H6006" s="261"/>
      <c r="I6006" s="261"/>
      <c r="J6006" s="261"/>
      <c r="K6006" s="261"/>
      <c r="L6006" s="261"/>
      <c r="M6006" s="261"/>
    </row>
    <row r="6007" spans="5:13">
      <c r="E6007" s="261"/>
      <c r="F6007" s="261"/>
      <c r="G6007" s="261"/>
      <c r="H6007" s="261"/>
      <c r="I6007" s="261"/>
      <c r="J6007" s="261"/>
      <c r="K6007" s="261"/>
      <c r="L6007" s="261"/>
      <c r="M6007" s="261"/>
    </row>
    <row r="6008" spans="5:13">
      <c r="E6008" s="261"/>
      <c r="F6008" s="261"/>
      <c r="G6008" s="261"/>
      <c r="H6008" s="261"/>
      <c r="I6008" s="261"/>
      <c r="J6008" s="261"/>
      <c r="K6008" s="261"/>
      <c r="L6008" s="261"/>
      <c r="M6008" s="261"/>
    </row>
    <row r="6009" spans="5:13">
      <c r="E6009" s="261"/>
      <c r="F6009" s="261"/>
      <c r="G6009" s="261"/>
      <c r="H6009" s="261"/>
      <c r="I6009" s="261"/>
      <c r="J6009" s="261"/>
      <c r="K6009" s="261"/>
      <c r="L6009" s="261"/>
      <c r="M6009" s="261"/>
    </row>
    <row r="6010" spans="5:13">
      <c r="E6010" s="261"/>
      <c r="F6010" s="261"/>
      <c r="G6010" s="261"/>
      <c r="H6010" s="261"/>
      <c r="I6010" s="261"/>
      <c r="J6010" s="261"/>
      <c r="K6010" s="261"/>
      <c r="L6010" s="261"/>
      <c r="M6010" s="261"/>
    </row>
    <row r="6011" spans="5:13">
      <c r="E6011" s="261"/>
      <c r="F6011" s="261"/>
      <c r="G6011" s="261"/>
      <c r="H6011" s="261"/>
      <c r="I6011" s="261"/>
      <c r="J6011" s="261"/>
      <c r="K6011" s="261"/>
      <c r="L6011" s="261"/>
      <c r="M6011" s="261"/>
    </row>
    <row r="6012" spans="5:13">
      <c r="E6012" s="261"/>
      <c r="F6012" s="261"/>
      <c r="G6012" s="261"/>
      <c r="H6012" s="261"/>
      <c r="I6012" s="261"/>
      <c r="J6012" s="261"/>
      <c r="K6012" s="261"/>
      <c r="L6012" s="261"/>
      <c r="M6012" s="261"/>
    </row>
    <row r="6013" spans="5:13">
      <c r="E6013" s="261"/>
      <c r="F6013" s="261"/>
      <c r="G6013" s="261"/>
      <c r="H6013" s="261"/>
      <c r="I6013" s="261"/>
      <c r="J6013" s="261"/>
      <c r="K6013" s="261"/>
      <c r="L6013" s="261"/>
      <c r="M6013" s="261"/>
    </row>
    <row r="6014" spans="5:13">
      <c r="E6014" s="261"/>
      <c r="F6014" s="261"/>
      <c r="G6014" s="261"/>
      <c r="H6014" s="261"/>
      <c r="I6014" s="261"/>
      <c r="J6014" s="261"/>
      <c r="K6014" s="261"/>
      <c r="L6014" s="261"/>
      <c r="M6014" s="261"/>
    </row>
    <row r="6015" spans="5:13">
      <c r="E6015" s="261"/>
      <c r="F6015" s="261"/>
      <c r="G6015" s="261"/>
      <c r="H6015" s="261"/>
      <c r="I6015" s="261"/>
      <c r="J6015" s="261"/>
      <c r="K6015" s="261"/>
      <c r="L6015" s="261"/>
      <c r="M6015" s="261"/>
    </row>
    <row r="6016" spans="5:13">
      <c r="E6016" s="261"/>
      <c r="F6016" s="261"/>
      <c r="G6016" s="261"/>
      <c r="H6016" s="261"/>
      <c r="I6016" s="261"/>
      <c r="J6016" s="261"/>
      <c r="K6016" s="261"/>
      <c r="L6016" s="261"/>
      <c r="M6016" s="261"/>
    </row>
    <row r="6017" spans="5:13">
      <c r="E6017" s="261"/>
      <c r="F6017" s="261"/>
      <c r="G6017" s="261"/>
      <c r="H6017" s="261"/>
      <c r="I6017" s="261"/>
      <c r="J6017" s="261"/>
      <c r="K6017" s="261"/>
      <c r="L6017" s="261"/>
      <c r="M6017" s="261"/>
    </row>
    <row r="6018" spans="5:13">
      <c r="E6018" s="261"/>
      <c r="F6018" s="261"/>
      <c r="G6018" s="261"/>
      <c r="H6018" s="261"/>
      <c r="I6018" s="261"/>
      <c r="J6018" s="261"/>
      <c r="K6018" s="261"/>
      <c r="L6018" s="261"/>
      <c r="M6018" s="261"/>
    </row>
    <row r="6019" spans="5:13">
      <c r="E6019" s="261"/>
      <c r="F6019" s="261"/>
      <c r="G6019" s="261"/>
      <c r="H6019" s="261"/>
      <c r="I6019" s="261"/>
      <c r="J6019" s="261"/>
      <c r="K6019" s="261"/>
      <c r="L6019" s="261"/>
      <c r="M6019" s="261"/>
    </row>
    <row r="6020" spans="5:13">
      <c r="E6020" s="261"/>
      <c r="F6020" s="261"/>
      <c r="G6020" s="261"/>
      <c r="H6020" s="261"/>
      <c r="I6020" s="261"/>
      <c r="J6020" s="261"/>
      <c r="K6020" s="261"/>
      <c r="L6020" s="261"/>
      <c r="M6020" s="261"/>
    </row>
    <row r="6021" spans="5:13">
      <c r="E6021" s="261"/>
      <c r="F6021" s="261"/>
      <c r="G6021" s="261"/>
      <c r="H6021" s="261"/>
      <c r="I6021" s="261"/>
      <c r="J6021" s="261"/>
      <c r="K6021" s="261"/>
      <c r="L6021" s="261"/>
      <c r="M6021" s="261"/>
    </row>
    <row r="6022" spans="5:13">
      <c r="E6022" s="261"/>
      <c r="F6022" s="261"/>
      <c r="G6022" s="261"/>
      <c r="H6022" s="261"/>
      <c r="I6022" s="261"/>
      <c r="J6022" s="261"/>
      <c r="K6022" s="261"/>
      <c r="L6022" s="261"/>
      <c r="M6022" s="261"/>
    </row>
    <row r="6023" spans="5:13">
      <c r="E6023" s="261"/>
      <c r="F6023" s="261"/>
      <c r="G6023" s="261"/>
      <c r="H6023" s="261"/>
      <c r="I6023" s="261"/>
      <c r="J6023" s="261"/>
      <c r="K6023" s="261"/>
      <c r="L6023" s="261"/>
      <c r="M6023" s="261"/>
    </row>
    <row r="6024" spans="5:13">
      <c r="E6024" s="261"/>
      <c r="F6024" s="261"/>
      <c r="G6024" s="261"/>
      <c r="H6024" s="261"/>
      <c r="I6024" s="261"/>
      <c r="J6024" s="261"/>
      <c r="K6024" s="261"/>
      <c r="L6024" s="261"/>
      <c r="M6024" s="261"/>
    </row>
    <row r="6025" spans="5:13">
      <c r="E6025" s="261"/>
      <c r="F6025" s="261"/>
      <c r="G6025" s="261"/>
      <c r="H6025" s="261"/>
      <c r="I6025" s="261"/>
      <c r="J6025" s="261"/>
      <c r="K6025" s="261"/>
      <c r="L6025" s="261"/>
      <c r="M6025" s="261"/>
    </row>
    <row r="6026" spans="5:13">
      <c r="E6026" s="261"/>
      <c r="F6026" s="261"/>
      <c r="G6026" s="261"/>
      <c r="H6026" s="261"/>
      <c r="I6026" s="261"/>
      <c r="J6026" s="261"/>
      <c r="K6026" s="261"/>
      <c r="L6026" s="261"/>
      <c r="M6026" s="261"/>
    </row>
    <row r="6027" spans="5:13">
      <c r="E6027" s="261"/>
      <c r="F6027" s="261"/>
      <c r="G6027" s="261"/>
      <c r="H6027" s="261"/>
      <c r="I6027" s="261"/>
      <c r="J6027" s="261"/>
      <c r="K6027" s="261"/>
      <c r="L6027" s="261"/>
      <c r="M6027" s="261"/>
    </row>
    <row r="6028" spans="5:13">
      <c r="E6028" s="261"/>
      <c r="F6028" s="261"/>
      <c r="G6028" s="261"/>
      <c r="H6028" s="261"/>
      <c r="I6028" s="261"/>
      <c r="J6028" s="261"/>
      <c r="K6028" s="261"/>
      <c r="L6028" s="261"/>
      <c r="M6028" s="261"/>
    </row>
    <row r="6029" spans="5:13">
      <c r="E6029" s="261"/>
      <c r="F6029" s="261"/>
      <c r="G6029" s="261"/>
      <c r="H6029" s="261"/>
      <c r="I6029" s="261"/>
      <c r="J6029" s="261"/>
      <c r="K6029" s="261"/>
      <c r="L6029" s="261"/>
      <c r="M6029" s="261"/>
    </row>
    <row r="6030" spans="5:13">
      <c r="E6030" s="261"/>
      <c r="F6030" s="261"/>
      <c r="G6030" s="261"/>
      <c r="H6030" s="261"/>
      <c r="I6030" s="261"/>
      <c r="J6030" s="261"/>
      <c r="K6030" s="261"/>
      <c r="L6030" s="261"/>
      <c r="M6030" s="261"/>
    </row>
    <row r="6031" spans="5:13">
      <c r="E6031" s="261"/>
      <c r="F6031" s="261"/>
      <c r="G6031" s="261"/>
      <c r="H6031" s="261"/>
      <c r="I6031" s="261"/>
      <c r="J6031" s="261"/>
      <c r="K6031" s="261"/>
      <c r="L6031" s="261"/>
      <c r="M6031" s="261"/>
    </row>
    <row r="6032" spans="5:13">
      <c r="E6032" s="261"/>
      <c r="F6032" s="261"/>
      <c r="G6032" s="261"/>
      <c r="H6032" s="261"/>
      <c r="I6032" s="261"/>
      <c r="J6032" s="261"/>
      <c r="K6032" s="261"/>
      <c r="L6032" s="261"/>
      <c r="M6032" s="261"/>
    </row>
    <row r="6033" spans="5:13">
      <c r="E6033" s="261"/>
      <c r="F6033" s="261"/>
      <c r="G6033" s="261"/>
      <c r="H6033" s="261"/>
      <c r="I6033" s="261"/>
      <c r="J6033" s="261"/>
      <c r="K6033" s="261"/>
      <c r="L6033" s="261"/>
      <c r="M6033" s="261"/>
    </row>
    <row r="6034" spans="5:13">
      <c r="E6034" s="261"/>
      <c r="F6034" s="261"/>
      <c r="G6034" s="261"/>
      <c r="H6034" s="261"/>
      <c r="I6034" s="261"/>
      <c r="J6034" s="261"/>
      <c r="K6034" s="261"/>
      <c r="L6034" s="261"/>
      <c r="M6034" s="261"/>
    </row>
    <row r="6035" spans="5:13">
      <c r="E6035" s="261"/>
      <c r="F6035" s="261"/>
      <c r="G6035" s="261"/>
      <c r="H6035" s="261"/>
      <c r="I6035" s="261"/>
      <c r="J6035" s="261"/>
      <c r="K6035" s="261"/>
      <c r="L6035" s="261"/>
      <c r="M6035" s="261"/>
    </row>
    <row r="6036" spans="5:13">
      <c r="E6036" s="261"/>
      <c r="F6036" s="261"/>
      <c r="G6036" s="261"/>
      <c r="H6036" s="261"/>
      <c r="I6036" s="261"/>
      <c r="J6036" s="261"/>
      <c r="K6036" s="261"/>
      <c r="L6036" s="261"/>
      <c r="M6036" s="261"/>
    </row>
    <row r="6037" spans="5:13">
      <c r="E6037" s="261"/>
      <c r="F6037" s="261"/>
      <c r="G6037" s="261"/>
      <c r="H6037" s="261"/>
      <c r="I6037" s="261"/>
      <c r="J6037" s="261"/>
      <c r="K6037" s="261"/>
      <c r="L6037" s="261"/>
      <c r="M6037" s="261"/>
    </row>
    <row r="6038" spans="5:13">
      <c r="E6038" s="261"/>
      <c r="F6038" s="261"/>
      <c r="G6038" s="261"/>
      <c r="H6038" s="261"/>
      <c r="I6038" s="261"/>
      <c r="J6038" s="261"/>
      <c r="K6038" s="261"/>
      <c r="L6038" s="261"/>
      <c r="M6038" s="261"/>
    </row>
    <row r="6039" spans="5:13">
      <c r="E6039" s="261"/>
      <c r="F6039" s="261"/>
      <c r="G6039" s="261"/>
      <c r="H6039" s="261"/>
      <c r="I6039" s="261"/>
      <c r="J6039" s="261"/>
      <c r="K6039" s="261"/>
      <c r="L6039" s="261"/>
      <c r="M6039" s="261"/>
    </row>
    <row r="6040" spans="5:13">
      <c r="E6040" s="261"/>
      <c r="F6040" s="261"/>
      <c r="G6040" s="261"/>
      <c r="H6040" s="261"/>
      <c r="I6040" s="261"/>
      <c r="J6040" s="261"/>
      <c r="K6040" s="261"/>
      <c r="L6040" s="261"/>
      <c r="M6040" s="261"/>
    </row>
    <row r="6041" spans="5:13">
      <c r="E6041" s="261"/>
      <c r="F6041" s="261"/>
      <c r="G6041" s="261"/>
      <c r="H6041" s="261"/>
      <c r="I6041" s="261"/>
      <c r="J6041" s="261"/>
      <c r="K6041" s="261"/>
      <c r="L6041" s="261"/>
      <c r="M6041" s="261"/>
    </row>
    <row r="6042" spans="5:13">
      <c r="E6042" s="261"/>
      <c r="F6042" s="261"/>
      <c r="G6042" s="261"/>
      <c r="H6042" s="261"/>
      <c r="I6042" s="261"/>
      <c r="J6042" s="261"/>
      <c r="K6042" s="261"/>
      <c r="L6042" s="261"/>
      <c r="M6042" s="261"/>
    </row>
    <row r="6043" spans="5:13">
      <c r="E6043" s="261"/>
      <c r="F6043" s="261"/>
      <c r="G6043" s="261"/>
      <c r="H6043" s="261"/>
      <c r="I6043" s="261"/>
      <c r="J6043" s="261"/>
      <c r="K6043" s="261"/>
      <c r="L6043" s="261"/>
      <c r="M6043" s="261"/>
    </row>
    <row r="6044" spans="5:13">
      <c r="E6044" s="261"/>
      <c r="F6044" s="261"/>
      <c r="G6044" s="261"/>
      <c r="H6044" s="261"/>
      <c r="I6044" s="261"/>
      <c r="J6044" s="261"/>
      <c r="K6044" s="261"/>
      <c r="L6044" s="261"/>
      <c r="M6044" s="261"/>
    </row>
    <row r="6045" spans="5:13">
      <c r="E6045" s="261"/>
      <c r="F6045" s="261"/>
      <c r="G6045" s="261"/>
      <c r="H6045" s="261"/>
      <c r="I6045" s="261"/>
      <c r="J6045" s="261"/>
      <c r="K6045" s="261"/>
      <c r="L6045" s="261"/>
      <c r="M6045" s="261"/>
    </row>
    <row r="6046" spans="5:13">
      <c r="E6046" s="261"/>
      <c r="F6046" s="261"/>
      <c r="G6046" s="261"/>
      <c r="H6046" s="261"/>
      <c r="I6046" s="261"/>
      <c r="J6046" s="261"/>
      <c r="K6046" s="261"/>
      <c r="L6046" s="261"/>
      <c r="M6046" s="261"/>
    </row>
    <row r="6047" spans="5:13">
      <c r="E6047" s="261"/>
      <c r="F6047" s="261"/>
      <c r="G6047" s="261"/>
      <c r="H6047" s="261"/>
      <c r="I6047" s="261"/>
      <c r="J6047" s="261"/>
      <c r="K6047" s="261"/>
      <c r="L6047" s="261"/>
      <c r="M6047" s="261"/>
    </row>
    <row r="6048" spans="5:13">
      <c r="E6048" s="261"/>
      <c r="F6048" s="261"/>
      <c r="G6048" s="261"/>
      <c r="H6048" s="261"/>
      <c r="I6048" s="261"/>
      <c r="J6048" s="261"/>
      <c r="K6048" s="261"/>
      <c r="L6048" s="261"/>
      <c r="M6048" s="261"/>
    </row>
    <row r="6049" spans="5:13">
      <c r="E6049" s="261"/>
      <c r="F6049" s="261"/>
      <c r="G6049" s="261"/>
      <c r="H6049" s="261"/>
      <c r="I6049" s="261"/>
      <c r="J6049" s="261"/>
      <c r="K6049" s="261"/>
      <c r="L6049" s="261"/>
      <c r="M6049" s="261"/>
    </row>
    <row r="6050" spans="5:13">
      <c r="E6050" s="261"/>
      <c r="F6050" s="261"/>
      <c r="G6050" s="261"/>
      <c r="H6050" s="261"/>
      <c r="I6050" s="261"/>
      <c r="J6050" s="261"/>
      <c r="K6050" s="261"/>
      <c r="L6050" s="261"/>
      <c r="M6050" s="261"/>
    </row>
    <row r="6051" spans="5:13">
      <c r="E6051" s="261"/>
      <c r="F6051" s="261"/>
      <c r="G6051" s="261"/>
      <c r="H6051" s="261"/>
      <c r="I6051" s="261"/>
      <c r="J6051" s="261"/>
      <c r="K6051" s="261"/>
      <c r="L6051" s="261"/>
      <c r="M6051" s="261"/>
    </row>
    <row r="6052" spans="5:13">
      <c r="E6052" s="261"/>
      <c r="F6052" s="261"/>
      <c r="G6052" s="261"/>
      <c r="H6052" s="261"/>
      <c r="I6052" s="261"/>
      <c r="J6052" s="261"/>
      <c r="K6052" s="261"/>
      <c r="L6052" s="261"/>
      <c r="M6052" s="261"/>
    </row>
    <row r="6053" spans="5:13">
      <c r="E6053" s="261"/>
      <c r="F6053" s="261"/>
      <c r="G6053" s="261"/>
      <c r="H6053" s="261"/>
      <c r="I6053" s="261"/>
      <c r="J6053" s="261"/>
      <c r="K6053" s="261"/>
      <c r="L6053" s="261"/>
      <c r="M6053" s="261"/>
    </row>
    <row r="6054" spans="5:13">
      <c r="E6054" s="261"/>
      <c r="F6054" s="261"/>
      <c r="G6054" s="261"/>
      <c r="H6054" s="261"/>
      <c r="I6054" s="261"/>
      <c r="J6054" s="261"/>
      <c r="K6054" s="261"/>
      <c r="L6054" s="261"/>
      <c r="M6054" s="261"/>
    </row>
    <row r="6055" spans="5:13">
      <c r="E6055" s="261"/>
      <c r="F6055" s="261"/>
      <c r="G6055" s="261"/>
      <c r="H6055" s="261"/>
      <c r="I6055" s="261"/>
      <c r="J6055" s="261"/>
      <c r="K6055" s="261"/>
      <c r="L6055" s="261"/>
      <c r="M6055" s="261"/>
    </row>
    <row r="6056" spans="5:13">
      <c r="E6056" s="261"/>
      <c r="F6056" s="261"/>
      <c r="G6056" s="261"/>
      <c r="H6056" s="261"/>
      <c r="I6056" s="261"/>
      <c r="J6056" s="261"/>
      <c r="K6056" s="261"/>
      <c r="L6056" s="261"/>
      <c r="M6056" s="261"/>
    </row>
    <row r="6057" spans="5:13">
      <c r="E6057" s="261"/>
      <c r="F6057" s="261"/>
      <c r="G6057" s="261"/>
      <c r="H6057" s="261"/>
      <c r="I6057" s="261"/>
      <c r="J6057" s="261"/>
      <c r="K6057" s="261"/>
      <c r="L6057" s="261"/>
      <c r="M6057" s="261"/>
    </row>
    <row r="6058" spans="5:13">
      <c r="E6058" s="261"/>
      <c r="F6058" s="261"/>
      <c r="G6058" s="261"/>
      <c r="H6058" s="261"/>
      <c r="I6058" s="261"/>
      <c r="J6058" s="261"/>
      <c r="K6058" s="261"/>
      <c r="L6058" s="261"/>
      <c r="M6058" s="261"/>
    </row>
    <row r="6059" spans="5:13">
      <c r="E6059" s="261"/>
      <c r="F6059" s="261"/>
      <c r="G6059" s="261"/>
      <c r="H6059" s="261"/>
      <c r="I6059" s="261"/>
      <c r="J6059" s="261"/>
      <c r="K6059" s="261"/>
      <c r="L6059" s="261"/>
      <c r="M6059" s="261"/>
    </row>
    <row r="6060" spans="5:13">
      <c r="E6060" s="261"/>
      <c r="F6060" s="261"/>
      <c r="G6060" s="261"/>
      <c r="H6060" s="261"/>
      <c r="I6060" s="261"/>
      <c r="J6060" s="261"/>
      <c r="K6060" s="261"/>
      <c r="L6060" s="261"/>
      <c r="M6060" s="261"/>
    </row>
    <row r="6061" spans="5:13">
      <c r="E6061" s="261"/>
      <c r="F6061" s="261"/>
      <c r="G6061" s="261"/>
      <c r="H6061" s="261"/>
      <c r="I6061" s="261"/>
      <c r="J6061" s="261"/>
      <c r="K6061" s="261"/>
      <c r="L6061" s="261"/>
      <c r="M6061" s="261"/>
    </row>
    <row r="6062" spans="5:13">
      <c r="E6062" s="261"/>
      <c r="F6062" s="261"/>
      <c r="G6062" s="261"/>
      <c r="H6062" s="261"/>
      <c r="I6062" s="261"/>
      <c r="J6062" s="261"/>
      <c r="K6062" s="261"/>
      <c r="L6062" s="261"/>
      <c r="M6062" s="261"/>
    </row>
    <row r="6063" spans="5:13">
      <c r="E6063" s="261"/>
      <c r="F6063" s="261"/>
      <c r="G6063" s="261"/>
      <c r="H6063" s="261"/>
      <c r="I6063" s="261"/>
      <c r="J6063" s="261"/>
      <c r="K6063" s="261"/>
      <c r="L6063" s="261"/>
      <c r="M6063" s="261"/>
    </row>
    <row r="6064" spans="5:13">
      <c r="E6064" s="261"/>
      <c r="F6064" s="261"/>
      <c r="G6064" s="261"/>
      <c r="H6064" s="261"/>
      <c r="I6064" s="261"/>
      <c r="J6064" s="261"/>
      <c r="K6064" s="261"/>
      <c r="L6064" s="261"/>
      <c r="M6064" s="261"/>
    </row>
    <row r="6065" spans="5:13">
      <c r="E6065" s="261"/>
      <c r="F6065" s="261"/>
      <c r="G6065" s="261"/>
      <c r="H6065" s="261"/>
      <c r="I6065" s="261"/>
      <c r="J6065" s="261"/>
      <c r="K6065" s="261"/>
      <c r="L6065" s="261"/>
      <c r="M6065" s="261"/>
    </row>
    <row r="6066" spans="5:13">
      <c r="E6066" s="261"/>
      <c r="F6066" s="261"/>
      <c r="G6066" s="261"/>
      <c r="H6066" s="261"/>
      <c r="I6066" s="261"/>
      <c r="J6066" s="261"/>
      <c r="K6066" s="261"/>
      <c r="L6066" s="261"/>
      <c r="M6066" s="261"/>
    </row>
    <row r="6067" spans="5:13">
      <c r="E6067" s="261"/>
      <c r="F6067" s="261"/>
      <c r="G6067" s="261"/>
      <c r="H6067" s="261"/>
      <c r="I6067" s="261"/>
      <c r="J6067" s="261"/>
      <c r="K6067" s="261"/>
      <c r="L6067" s="261"/>
      <c r="M6067" s="261"/>
    </row>
    <row r="6068" spans="5:13">
      <c r="E6068" s="261"/>
      <c r="F6068" s="261"/>
      <c r="G6068" s="261"/>
      <c r="H6068" s="261"/>
      <c r="I6068" s="261"/>
      <c r="J6068" s="261"/>
      <c r="K6068" s="261"/>
      <c r="L6068" s="261"/>
      <c r="M6068" s="261"/>
    </row>
    <row r="6069" spans="5:13">
      <c r="E6069" s="261"/>
      <c r="F6069" s="261"/>
      <c r="G6069" s="261"/>
      <c r="H6069" s="261"/>
      <c r="I6069" s="261"/>
      <c r="J6069" s="261"/>
      <c r="K6069" s="261"/>
      <c r="L6069" s="261"/>
      <c r="M6069" s="261"/>
    </row>
    <row r="6070" spans="5:13">
      <c r="E6070" s="261"/>
      <c r="F6070" s="261"/>
      <c r="G6070" s="261"/>
      <c r="H6070" s="261"/>
      <c r="I6070" s="261"/>
      <c r="J6070" s="261"/>
      <c r="K6070" s="261"/>
      <c r="L6070" s="261"/>
      <c r="M6070" s="261"/>
    </row>
    <row r="6071" spans="5:13">
      <c r="E6071" s="261"/>
      <c r="F6071" s="261"/>
      <c r="G6071" s="261"/>
      <c r="H6071" s="261"/>
      <c r="I6071" s="261"/>
      <c r="J6071" s="261"/>
      <c r="K6071" s="261"/>
      <c r="L6071" s="261"/>
      <c r="M6071" s="261"/>
    </row>
    <row r="6072" spans="5:13">
      <c r="E6072" s="261"/>
      <c r="F6072" s="261"/>
      <c r="G6072" s="261"/>
      <c r="H6072" s="261"/>
      <c r="I6072" s="261"/>
      <c r="J6072" s="261"/>
      <c r="K6072" s="261"/>
      <c r="L6072" s="261"/>
      <c r="M6072" s="261"/>
    </row>
    <row r="6073" spans="5:13">
      <c r="E6073" s="261"/>
      <c r="F6073" s="261"/>
      <c r="G6073" s="261"/>
      <c r="H6073" s="261"/>
      <c r="I6073" s="261"/>
      <c r="J6073" s="261"/>
      <c r="K6073" s="261"/>
      <c r="L6073" s="261"/>
      <c r="M6073" s="261"/>
    </row>
    <row r="6074" spans="5:13">
      <c r="E6074" s="261"/>
      <c r="F6074" s="261"/>
      <c r="G6074" s="261"/>
      <c r="H6074" s="261"/>
      <c r="I6074" s="261"/>
      <c r="J6074" s="261"/>
      <c r="K6074" s="261"/>
      <c r="L6074" s="261"/>
      <c r="M6074" s="261"/>
    </row>
    <row r="6075" spans="5:13">
      <c r="E6075" s="261"/>
      <c r="F6075" s="261"/>
      <c r="G6075" s="261"/>
      <c r="H6075" s="261"/>
      <c r="I6075" s="261"/>
      <c r="J6075" s="261"/>
      <c r="K6075" s="261"/>
      <c r="L6075" s="261"/>
      <c r="M6075" s="261"/>
    </row>
    <row r="6076" spans="5:13">
      <c r="E6076" s="261"/>
      <c r="F6076" s="261"/>
      <c r="G6076" s="261"/>
      <c r="H6076" s="261"/>
      <c r="I6076" s="261"/>
      <c r="J6076" s="261"/>
      <c r="K6076" s="261"/>
      <c r="L6076" s="261"/>
      <c r="M6076" s="261"/>
    </row>
    <row r="6077" spans="5:13">
      <c r="E6077" s="261"/>
      <c r="F6077" s="261"/>
      <c r="G6077" s="261"/>
      <c r="H6077" s="261"/>
      <c r="I6077" s="261"/>
      <c r="J6077" s="261"/>
      <c r="K6077" s="261"/>
      <c r="L6077" s="261"/>
      <c r="M6077" s="261"/>
    </row>
    <row r="6078" spans="5:13">
      <c r="E6078" s="261"/>
      <c r="F6078" s="261"/>
      <c r="G6078" s="261"/>
      <c r="H6078" s="261"/>
      <c r="I6078" s="261"/>
      <c r="J6078" s="261"/>
      <c r="K6078" s="261"/>
      <c r="L6078" s="261"/>
      <c r="M6078" s="261"/>
    </row>
    <row r="6079" spans="5:13">
      <c r="E6079" s="261"/>
      <c r="F6079" s="261"/>
      <c r="G6079" s="261"/>
      <c r="H6079" s="261"/>
      <c r="I6079" s="261"/>
      <c r="J6079" s="261"/>
      <c r="K6079" s="261"/>
      <c r="L6079" s="261"/>
      <c r="M6079" s="261"/>
    </row>
    <row r="6080" spans="5:13">
      <c r="E6080" s="261"/>
      <c r="F6080" s="261"/>
      <c r="G6080" s="261"/>
      <c r="H6080" s="261"/>
      <c r="I6080" s="261"/>
      <c r="J6080" s="261"/>
      <c r="K6080" s="261"/>
      <c r="L6080" s="261"/>
      <c r="M6080" s="261"/>
    </row>
    <row r="6081" spans="5:13">
      <c r="E6081" s="261"/>
      <c r="F6081" s="261"/>
      <c r="G6081" s="261"/>
      <c r="H6081" s="261"/>
      <c r="I6081" s="261"/>
      <c r="J6081" s="261"/>
      <c r="K6081" s="261"/>
      <c r="L6081" s="261"/>
      <c r="M6081" s="261"/>
    </row>
    <row r="6082" spans="5:13">
      <c r="E6082" s="261"/>
      <c r="F6082" s="261"/>
      <c r="G6082" s="261"/>
      <c r="H6082" s="261"/>
      <c r="I6082" s="261"/>
      <c r="J6082" s="261"/>
      <c r="K6082" s="261"/>
      <c r="L6082" s="261"/>
      <c r="M6082" s="261"/>
    </row>
    <row r="6083" spans="5:13">
      <c r="E6083" s="261"/>
      <c r="F6083" s="261"/>
      <c r="G6083" s="261"/>
      <c r="H6083" s="261"/>
      <c r="I6083" s="261"/>
      <c r="J6083" s="261"/>
      <c r="K6083" s="261"/>
      <c r="L6083" s="261"/>
      <c r="M6083" s="261"/>
    </row>
    <row r="6084" spans="5:13">
      <c r="E6084" s="261"/>
      <c r="F6084" s="261"/>
      <c r="G6084" s="261"/>
      <c r="H6084" s="261"/>
      <c r="I6084" s="261"/>
      <c r="J6084" s="261"/>
      <c r="K6084" s="261"/>
      <c r="L6084" s="261"/>
      <c r="M6084" s="261"/>
    </row>
    <row r="6085" spans="5:13">
      <c r="E6085" s="261"/>
      <c r="F6085" s="261"/>
      <c r="G6085" s="261"/>
      <c r="H6085" s="261"/>
      <c r="I6085" s="261"/>
      <c r="J6085" s="261"/>
      <c r="K6085" s="261"/>
      <c r="L6085" s="261"/>
      <c r="M6085" s="261"/>
    </row>
    <row r="6086" spans="5:13">
      <c r="E6086" s="261"/>
      <c r="F6086" s="261"/>
      <c r="G6086" s="261"/>
      <c r="H6086" s="261"/>
      <c r="I6086" s="261"/>
      <c r="J6086" s="261"/>
      <c r="K6086" s="261"/>
      <c r="L6086" s="261"/>
      <c r="M6086" s="261"/>
    </row>
    <row r="6087" spans="5:13">
      <c r="E6087" s="261"/>
      <c r="F6087" s="261"/>
      <c r="G6087" s="261"/>
      <c r="H6087" s="261"/>
      <c r="I6087" s="261"/>
      <c r="J6087" s="261"/>
      <c r="K6087" s="261"/>
      <c r="L6087" s="261"/>
      <c r="M6087" s="261"/>
    </row>
    <row r="6088" spans="5:13">
      <c r="E6088" s="261"/>
      <c r="F6088" s="261"/>
      <c r="G6088" s="261"/>
      <c r="H6088" s="261"/>
      <c r="I6088" s="261"/>
      <c r="J6088" s="261"/>
      <c r="K6088" s="261"/>
      <c r="L6088" s="261"/>
      <c r="M6088" s="261"/>
    </row>
    <row r="6089" spans="5:13">
      <c r="E6089" s="261"/>
      <c r="F6089" s="261"/>
      <c r="G6089" s="261"/>
      <c r="H6089" s="261"/>
      <c r="I6089" s="261"/>
      <c r="J6089" s="261"/>
      <c r="K6089" s="261"/>
      <c r="L6089" s="261"/>
      <c r="M6089" s="261"/>
    </row>
    <row r="6090" spans="5:13">
      <c r="E6090" s="261"/>
      <c r="F6090" s="261"/>
      <c r="G6090" s="261"/>
      <c r="H6090" s="261"/>
      <c r="I6090" s="261"/>
      <c r="J6090" s="261"/>
      <c r="K6090" s="261"/>
      <c r="L6090" s="261"/>
      <c r="M6090" s="261"/>
    </row>
    <row r="6091" spans="5:13">
      <c r="E6091" s="261"/>
      <c r="F6091" s="261"/>
      <c r="G6091" s="261"/>
      <c r="H6091" s="261"/>
      <c r="I6091" s="261"/>
      <c r="J6091" s="261"/>
      <c r="K6091" s="261"/>
      <c r="L6091" s="261"/>
      <c r="M6091" s="261"/>
    </row>
    <row r="6092" spans="5:13">
      <c r="E6092" s="261"/>
      <c r="F6092" s="261"/>
      <c r="G6092" s="261"/>
      <c r="H6092" s="261"/>
      <c r="I6092" s="261"/>
      <c r="J6092" s="261"/>
      <c r="K6092" s="261"/>
      <c r="L6092" s="261"/>
      <c r="M6092" s="261"/>
    </row>
    <row r="6093" spans="5:13">
      <c r="E6093" s="261"/>
      <c r="F6093" s="261"/>
      <c r="G6093" s="261"/>
      <c r="H6093" s="261"/>
      <c r="I6093" s="261"/>
      <c r="J6093" s="261"/>
      <c r="K6093" s="261"/>
      <c r="L6093" s="261"/>
      <c r="M6093" s="261"/>
    </row>
    <row r="6094" spans="5:13">
      <c r="E6094" s="261"/>
      <c r="F6094" s="261"/>
      <c r="G6094" s="261"/>
      <c r="H6094" s="261"/>
      <c r="I6094" s="261"/>
      <c r="J6094" s="261"/>
      <c r="K6094" s="261"/>
      <c r="L6094" s="261"/>
      <c r="M6094" s="261"/>
    </row>
    <row r="6095" spans="5:13">
      <c r="E6095" s="261"/>
      <c r="F6095" s="261"/>
      <c r="G6095" s="261"/>
      <c r="H6095" s="261"/>
      <c r="I6095" s="261"/>
      <c r="J6095" s="261"/>
      <c r="K6095" s="261"/>
      <c r="L6095" s="261"/>
      <c r="M6095" s="261"/>
    </row>
    <row r="6096" spans="5:13">
      <c r="E6096" s="261"/>
      <c r="F6096" s="261"/>
      <c r="G6096" s="261"/>
      <c r="H6096" s="261"/>
      <c r="I6096" s="261"/>
      <c r="J6096" s="261"/>
      <c r="K6096" s="261"/>
      <c r="L6096" s="261"/>
      <c r="M6096" s="261"/>
    </row>
    <row r="6097" spans="5:13">
      <c r="E6097" s="261"/>
      <c r="F6097" s="261"/>
      <c r="G6097" s="261"/>
      <c r="H6097" s="261"/>
      <c r="I6097" s="261"/>
      <c r="J6097" s="261"/>
      <c r="K6097" s="261"/>
      <c r="L6097" s="261"/>
      <c r="M6097" s="261"/>
    </row>
    <row r="6098" spans="5:13">
      <c r="E6098" s="261"/>
      <c r="F6098" s="261"/>
      <c r="G6098" s="261"/>
      <c r="H6098" s="261"/>
      <c r="I6098" s="261"/>
      <c r="J6098" s="261"/>
      <c r="K6098" s="261"/>
      <c r="L6098" s="261"/>
      <c r="M6098" s="261"/>
    </row>
    <row r="6099" spans="5:13">
      <c r="E6099" s="261"/>
      <c r="F6099" s="261"/>
      <c r="G6099" s="261"/>
      <c r="H6099" s="261"/>
      <c r="I6099" s="261"/>
      <c r="J6099" s="261"/>
      <c r="K6099" s="261"/>
      <c r="L6099" s="261"/>
      <c r="M6099" s="261"/>
    </row>
    <row r="6100" spans="5:13">
      <c r="E6100" s="261"/>
      <c r="F6100" s="261"/>
      <c r="G6100" s="261"/>
      <c r="H6100" s="261"/>
      <c r="I6100" s="261"/>
      <c r="J6100" s="261"/>
      <c r="K6100" s="261"/>
      <c r="L6100" s="261"/>
      <c r="M6100" s="261"/>
    </row>
    <row r="6101" spans="5:13">
      <c r="E6101" s="261"/>
      <c r="F6101" s="261"/>
      <c r="G6101" s="261"/>
      <c r="H6101" s="261"/>
      <c r="I6101" s="261"/>
      <c r="J6101" s="261"/>
      <c r="K6101" s="261"/>
      <c r="L6101" s="261"/>
      <c r="M6101" s="261"/>
    </row>
    <row r="6102" spans="5:13">
      <c r="E6102" s="261"/>
      <c r="F6102" s="261"/>
      <c r="G6102" s="261"/>
      <c r="H6102" s="261"/>
      <c r="I6102" s="261"/>
      <c r="J6102" s="261"/>
      <c r="K6102" s="261"/>
      <c r="L6102" s="261"/>
      <c r="M6102" s="261"/>
    </row>
    <row r="6103" spans="5:13">
      <c r="E6103" s="261"/>
      <c r="F6103" s="261"/>
      <c r="G6103" s="261"/>
      <c r="H6103" s="261"/>
      <c r="I6103" s="261"/>
      <c r="J6103" s="261"/>
      <c r="K6103" s="261"/>
      <c r="L6103" s="261"/>
      <c r="M6103" s="261"/>
    </row>
    <row r="6104" spans="5:13">
      <c r="E6104" s="261"/>
      <c r="F6104" s="261"/>
      <c r="G6104" s="261"/>
      <c r="H6104" s="261"/>
      <c r="I6104" s="261"/>
      <c r="J6104" s="261"/>
      <c r="K6104" s="261"/>
      <c r="L6104" s="261"/>
      <c r="M6104" s="261"/>
    </row>
    <row r="6105" spans="5:13">
      <c r="E6105" s="261"/>
      <c r="F6105" s="261"/>
      <c r="G6105" s="261"/>
      <c r="H6105" s="261"/>
      <c r="I6105" s="261"/>
      <c r="J6105" s="261"/>
      <c r="K6105" s="261"/>
      <c r="L6105" s="261"/>
      <c r="M6105" s="261"/>
    </row>
    <row r="6106" spans="5:13">
      <c r="E6106" s="261"/>
      <c r="F6106" s="261"/>
      <c r="G6106" s="261"/>
      <c r="H6106" s="261"/>
      <c r="I6106" s="261"/>
      <c r="J6106" s="261"/>
      <c r="K6106" s="261"/>
      <c r="L6106" s="261"/>
      <c r="M6106" s="261"/>
    </row>
    <row r="6107" spans="5:13">
      <c r="E6107" s="261"/>
      <c r="F6107" s="261"/>
      <c r="G6107" s="261"/>
      <c r="H6107" s="261"/>
      <c r="I6107" s="261"/>
      <c r="J6107" s="261"/>
      <c r="K6107" s="261"/>
      <c r="L6107" s="261"/>
      <c r="M6107" s="261"/>
    </row>
    <row r="6108" spans="5:13">
      <c r="E6108" s="261"/>
      <c r="F6108" s="261"/>
      <c r="G6108" s="261"/>
      <c r="H6108" s="261"/>
      <c r="I6108" s="261"/>
      <c r="J6108" s="261"/>
      <c r="K6108" s="261"/>
      <c r="L6108" s="261"/>
      <c r="M6108" s="261"/>
    </row>
    <row r="6109" spans="5:13">
      <c r="E6109" s="261"/>
      <c r="F6109" s="261"/>
      <c r="G6109" s="261"/>
      <c r="H6109" s="261"/>
      <c r="I6109" s="261"/>
      <c r="J6109" s="261"/>
      <c r="K6109" s="261"/>
      <c r="L6109" s="261"/>
      <c r="M6109" s="261"/>
    </row>
    <row r="6110" spans="5:13">
      <c r="E6110" s="261"/>
      <c r="F6110" s="261"/>
      <c r="G6110" s="261"/>
      <c r="H6110" s="261"/>
      <c r="I6110" s="261"/>
      <c r="J6110" s="261"/>
      <c r="K6110" s="261"/>
      <c r="L6110" s="261"/>
      <c r="M6110" s="261"/>
    </row>
    <row r="6111" spans="5:13">
      <c r="E6111" s="261"/>
      <c r="F6111" s="261"/>
      <c r="G6111" s="261"/>
      <c r="H6111" s="261"/>
      <c r="I6111" s="261"/>
      <c r="J6111" s="261"/>
      <c r="K6111" s="261"/>
      <c r="L6111" s="261"/>
      <c r="M6111" s="261"/>
    </row>
    <row r="6112" spans="5:13">
      <c r="E6112" s="261"/>
      <c r="F6112" s="261"/>
      <c r="G6112" s="261"/>
      <c r="H6112" s="261"/>
      <c r="I6112" s="261"/>
      <c r="J6112" s="261"/>
      <c r="K6112" s="261"/>
      <c r="L6112" s="261"/>
      <c r="M6112" s="261"/>
    </row>
    <row r="6113" spans="5:13">
      <c r="E6113" s="261"/>
      <c r="F6113" s="261"/>
      <c r="G6113" s="261"/>
      <c r="H6113" s="261"/>
      <c r="I6113" s="261"/>
      <c r="J6113" s="261"/>
      <c r="K6113" s="261"/>
      <c r="L6113" s="261"/>
      <c r="M6113" s="261"/>
    </row>
    <row r="6114" spans="5:13">
      <c r="E6114" s="261"/>
      <c r="F6114" s="261"/>
      <c r="G6114" s="261"/>
      <c r="H6114" s="261"/>
      <c r="I6114" s="261"/>
      <c r="J6114" s="261"/>
      <c r="K6114" s="261"/>
      <c r="L6114" s="261"/>
      <c r="M6114" s="261"/>
    </row>
    <row r="6115" spans="5:13">
      <c r="E6115" s="261"/>
      <c r="F6115" s="261"/>
      <c r="G6115" s="261"/>
      <c r="H6115" s="261"/>
      <c r="I6115" s="261"/>
      <c r="J6115" s="261"/>
      <c r="K6115" s="261"/>
      <c r="L6115" s="261"/>
      <c r="M6115" s="261"/>
    </row>
    <row r="6116" spans="5:13">
      <c r="E6116" s="261"/>
      <c r="F6116" s="261"/>
      <c r="G6116" s="261"/>
      <c r="H6116" s="261"/>
      <c r="I6116" s="261"/>
      <c r="J6116" s="261"/>
      <c r="K6116" s="261"/>
      <c r="L6116" s="261"/>
      <c r="M6116" s="261"/>
    </row>
    <row r="6117" spans="5:13">
      <c r="E6117" s="261"/>
      <c r="F6117" s="261"/>
      <c r="G6117" s="261"/>
      <c r="H6117" s="261"/>
      <c r="I6117" s="261"/>
      <c r="J6117" s="261"/>
      <c r="K6117" s="261"/>
      <c r="L6117" s="261"/>
      <c r="M6117" s="261"/>
    </row>
    <row r="6118" spans="5:13">
      <c r="E6118" s="261"/>
      <c r="F6118" s="261"/>
      <c r="G6118" s="261"/>
      <c r="H6118" s="261"/>
      <c r="I6118" s="261"/>
      <c r="J6118" s="261"/>
      <c r="K6118" s="261"/>
      <c r="L6118" s="261"/>
      <c r="M6118" s="261"/>
    </row>
    <row r="6119" spans="5:13">
      <c r="E6119" s="261"/>
      <c r="F6119" s="261"/>
      <c r="G6119" s="261"/>
      <c r="H6119" s="261"/>
      <c r="I6119" s="261"/>
      <c r="J6119" s="261"/>
      <c r="K6119" s="261"/>
      <c r="L6119" s="261"/>
      <c r="M6119" s="261"/>
    </row>
    <row r="6120" spans="5:13">
      <c r="E6120" s="261"/>
      <c r="F6120" s="261"/>
      <c r="G6120" s="261"/>
      <c r="H6120" s="261"/>
      <c r="I6120" s="261"/>
      <c r="J6120" s="261"/>
      <c r="K6120" s="261"/>
      <c r="L6120" s="261"/>
      <c r="M6120" s="261"/>
    </row>
    <row r="6121" spans="5:13">
      <c r="E6121" s="261"/>
      <c r="F6121" s="261"/>
      <c r="G6121" s="261"/>
      <c r="H6121" s="261"/>
      <c r="I6121" s="261"/>
      <c r="J6121" s="261"/>
      <c r="K6121" s="261"/>
      <c r="L6121" s="261"/>
      <c r="M6121" s="261"/>
    </row>
    <row r="6122" spans="5:13">
      <c r="E6122" s="261"/>
      <c r="F6122" s="261"/>
      <c r="G6122" s="261"/>
      <c r="H6122" s="261"/>
      <c r="I6122" s="261"/>
      <c r="J6122" s="261"/>
      <c r="K6122" s="261"/>
      <c r="L6122" s="261"/>
      <c r="M6122" s="261"/>
    </row>
    <row r="6123" spans="5:13">
      <c r="E6123" s="261"/>
      <c r="F6123" s="261"/>
      <c r="G6123" s="261"/>
      <c r="H6123" s="261"/>
      <c r="I6123" s="261"/>
      <c r="J6123" s="261"/>
      <c r="K6123" s="261"/>
      <c r="L6123" s="261"/>
      <c r="M6123" s="261"/>
    </row>
    <row r="6124" spans="5:13">
      <c r="E6124" s="261"/>
      <c r="F6124" s="261"/>
      <c r="G6124" s="261"/>
      <c r="H6124" s="261"/>
      <c r="I6124" s="261"/>
      <c r="J6124" s="261"/>
      <c r="K6124" s="261"/>
      <c r="L6124" s="261"/>
      <c r="M6124" s="261"/>
    </row>
    <row r="6125" spans="5:13">
      <c r="E6125" s="261"/>
      <c r="F6125" s="261"/>
      <c r="G6125" s="261"/>
      <c r="H6125" s="261"/>
      <c r="I6125" s="261"/>
      <c r="J6125" s="261"/>
      <c r="K6125" s="261"/>
      <c r="L6125" s="261"/>
      <c r="M6125" s="261"/>
    </row>
    <row r="6126" spans="5:13">
      <c r="E6126" s="261"/>
      <c r="F6126" s="261"/>
      <c r="G6126" s="261"/>
      <c r="H6126" s="261"/>
      <c r="I6126" s="261"/>
      <c r="J6126" s="261"/>
      <c r="K6126" s="261"/>
      <c r="L6126" s="261"/>
      <c r="M6126" s="261"/>
    </row>
    <row r="6127" spans="5:13">
      <c r="E6127" s="261"/>
      <c r="F6127" s="261"/>
      <c r="G6127" s="261"/>
      <c r="H6127" s="261"/>
      <c r="I6127" s="261"/>
      <c r="J6127" s="261"/>
      <c r="K6127" s="261"/>
      <c r="L6127" s="261"/>
      <c r="M6127" s="261"/>
    </row>
    <row r="6128" spans="5:13">
      <c r="E6128" s="261"/>
      <c r="F6128" s="261"/>
      <c r="G6128" s="261"/>
      <c r="H6128" s="261"/>
      <c r="I6128" s="261"/>
      <c r="J6128" s="261"/>
      <c r="K6128" s="261"/>
      <c r="L6128" s="261"/>
      <c r="M6128" s="261"/>
    </row>
    <row r="6129" spans="5:13">
      <c r="E6129" s="261"/>
      <c r="F6129" s="261"/>
      <c r="G6129" s="261"/>
      <c r="H6129" s="261"/>
      <c r="I6129" s="261"/>
      <c r="J6129" s="261"/>
      <c r="K6129" s="261"/>
      <c r="L6129" s="261"/>
      <c r="M6129" s="261"/>
    </row>
    <row r="6130" spans="5:13">
      <c r="E6130" s="261"/>
      <c r="F6130" s="261"/>
      <c r="G6130" s="261"/>
      <c r="H6130" s="261"/>
      <c r="I6130" s="261"/>
      <c r="J6130" s="261"/>
      <c r="K6130" s="261"/>
      <c r="L6130" s="261"/>
      <c r="M6130" s="261"/>
    </row>
    <row r="6131" spans="5:13">
      <c r="E6131" s="261"/>
      <c r="F6131" s="261"/>
      <c r="G6131" s="261"/>
      <c r="H6131" s="261"/>
      <c r="I6131" s="261"/>
      <c r="J6131" s="261"/>
      <c r="K6131" s="261"/>
      <c r="L6131" s="261"/>
      <c r="M6131" s="261"/>
    </row>
    <row r="6132" spans="5:13">
      <c r="E6132" s="261"/>
      <c r="F6132" s="261"/>
      <c r="G6132" s="261"/>
      <c r="H6132" s="261"/>
      <c r="I6132" s="261"/>
      <c r="J6132" s="261"/>
      <c r="K6132" s="261"/>
      <c r="L6132" s="261"/>
      <c r="M6132" s="261"/>
    </row>
    <row r="6133" spans="5:13">
      <c r="E6133" s="261"/>
      <c r="F6133" s="261"/>
      <c r="G6133" s="261"/>
      <c r="H6133" s="261"/>
      <c r="I6133" s="261"/>
      <c r="J6133" s="261"/>
      <c r="K6133" s="261"/>
      <c r="L6133" s="261"/>
      <c r="M6133" s="261"/>
    </row>
    <row r="6134" spans="5:13">
      <c r="E6134" s="261"/>
      <c r="F6134" s="261"/>
      <c r="G6134" s="261"/>
      <c r="H6134" s="261"/>
      <c r="I6134" s="261"/>
      <c r="J6134" s="261"/>
      <c r="K6134" s="261"/>
      <c r="L6134" s="261"/>
      <c r="M6134" s="261"/>
    </row>
    <row r="6135" spans="5:13">
      <c r="E6135" s="261"/>
      <c r="F6135" s="261"/>
      <c r="G6135" s="261"/>
      <c r="H6135" s="261"/>
      <c r="I6135" s="261"/>
      <c r="J6135" s="261"/>
      <c r="K6135" s="261"/>
      <c r="L6135" s="261"/>
      <c r="M6135" s="261"/>
    </row>
    <row r="6136" spans="5:13">
      <c r="E6136" s="261"/>
      <c r="F6136" s="261"/>
      <c r="G6136" s="261"/>
      <c r="H6136" s="261"/>
      <c r="I6136" s="261"/>
      <c r="J6136" s="261"/>
      <c r="K6136" s="261"/>
      <c r="L6136" s="261"/>
      <c r="M6136" s="261"/>
    </row>
    <row r="6137" spans="5:13">
      <c r="E6137" s="261"/>
      <c r="F6137" s="261"/>
      <c r="G6137" s="261"/>
      <c r="H6137" s="261"/>
      <c r="I6137" s="261"/>
      <c r="J6137" s="261"/>
      <c r="K6137" s="261"/>
      <c r="L6137" s="261"/>
      <c r="M6137" s="261"/>
    </row>
    <row r="6138" spans="5:13">
      <c r="E6138" s="261"/>
      <c r="F6138" s="261"/>
      <c r="G6138" s="261"/>
      <c r="H6138" s="261"/>
      <c r="I6138" s="261"/>
      <c r="J6138" s="261"/>
      <c r="K6138" s="261"/>
      <c r="L6138" s="261"/>
      <c r="M6138" s="261"/>
    </row>
    <row r="6139" spans="5:13">
      <c r="E6139" s="261"/>
      <c r="F6139" s="261"/>
      <c r="G6139" s="261"/>
      <c r="H6139" s="261"/>
      <c r="I6139" s="261"/>
      <c r="J6139" s="261"/>
      <c r="K6139" s="261"/>
      <c r="L6139" s="261"/>
      <c r="M6139" s="261"/>
    </row>
    <row r="6140" spans="5:13">
      <c r="E6140" s="261"/>
      <c r="F6140" s="261"/>
      <c r="G6140" s="261"/>
      <c r="H6140" s="261"/>
      <c r="I6140" s="261"/>
      <c r="J6140" s="261"/>
      <c r="K6140" s="261"/>
      <c r="L6140" s="261"/>
      <c r="M6140" s="261"/>
    </row>
    <row r="6141" spans="5:13">
      <c r="E6141" s="261"/>
      <c r="F6141" s="261"/>
      <c r="G6141" s="261"/>
      <c r="H6141" s="261"/>
      <c r="I6141" s="261"/>
      <c r="J6141" s="261"/>
      <c r="K6141" s="261"/>
      <c r="L6141" s="261"/>
      <c r="M6141" s="261"/>
    </row>
    <row r="6142" spans="5:13">
      <c r="E6142" s="261"/>
      <c r="F6142" s="261"/>
      <c r="G6142" s="261"/>
      <c r="H6142" s="261"/>
      <c r="I6142" s="261"/>
      <c r="J6142" s="261"/>
      <c r="K6142" s="261"/>
      <c r="L6142" s="261"/>
      <c r="M6142" s="261"/>
    </row>
    <row r="6143" spans="5:13">
      <c r="E6143" s="261"/>
      <c r="F6143" s="261"/>
      <c r="G6143" s="261"/>
      <c r="H6143" s="261"/>
      <c r="I6143" s="261"/>
      <c r="J6143" s="261"/>
      <c r="K6143" s="261"/>
      <c r="L6143" s="261"/>
      <c r="M6143" s="261"/>
    </row>
    <row r="6144" spans="5:13">
      <c r="E6144" s="261"/>
      <c r="F6144" s="261"/>
      <c r="G6144" s="261"/>
      <c r="H6144" s="261"/>
      <c r="I6144" s="261"/>
      <c r="J6144" s="261"/>
      <c r="K6144" s="261"/>
      <c r="L6144" s="261"/>
      <c r="M6144" s="261"/>
    </row>
    <row r="6145" spans="5:13">
      <c r="E6145" s="261"/>
      <c r="F6145" s="261"/>
      <c r="G6145" s="261"/>
      <c r="H6145" s="261"/>
      <c r="I6145" s="261"/>
      <c r="J6145" s="261"/>
      <c r="K6145" s="261"/>
      <c r="L6145" s="261"/>
      <c r="M6145" s="261"/>
    </row>
    <row r="6146" spans="5:13">
      <c r="E6146" s="261"/>
      <c r="F6146" s="261"/>
      <c r="G6146" s="261"/>
      <c r="H6146" s="261"/>
      <c r="I6146" s="261"/>
      <c r="J6146" s="261"/>
      <c r="K6146" s="261"/>
      <c r="L6146" s="261"/>
      <c r="M6146" s="261"/>
    </row>
    <row r="6147" spans="5:13">
      <c r="E6147" s="261"/>
      <c r="F6147" s="261"/>
      <c r="G6147" s="261"/>
      <c r="H6147" s="261"/>
      <c r="I6147" s="261"/>
      <c r="J6147" s="261"/>
      <c r="K6147" s="261"/>
      <c r="L6147" s="261"/>
      <c r="M6147" s="261"/>
    </row>
    <row r="6148" spans="5:13">
      <c r="E6148" s="261"/>
      <c r="F6148" s="261"/>
      <c r="G6148" s="261"/>
      <c r="H6148" s="261"/>
      <c r="I6148" s="261"/>
      <c r="J6148" s="261"/>
      <c r="K6148" s="261"/>
      <c r="L6148" s="261"/>
      <c r="M6148" s="261"/>
    </row>
    <row r="6149" spans="5:13">
      <c r="E6149" s="261"/>
      <c r="F6149" s="261"/>
      <c r="G6149" s="261"/>
      <c r="H6149" s="261"/>
      <c r="I6149" s="261"/>
      <c r="J6149" s="261"/>
      <c r="K6149" s="261"/>
      <c r="L6149" s="261"/>
      <c r="M6149" s="261"/>
    </row>
    <row r="6150" spans="5:13">
      <c r="E6150" s="261"/>
      <c r="F6150" s="261"/>
      <c r="G6150" s="261"/>
      <c r="H6150" s="261"/>
      <c r="I6150" s="261"/>
      <c r="J6150" s="261"/>
      <c r="K6150" s="261"/>
      <c r="L6150" s="261"/>
      <c r="M6150" s="261"/>
    </row>
    <row r="6151" spans="5:13">
      <c r="E6151" s="261"/>
      <c r="F6151" s="261"/>
      <c r="G6151" s="261"/>
      <c r="H6151" s="261"/>
      <c r="I6151" s="261"/>
      <c r="J6151" s="261"/>
      <c r="K6151" s="261"/>
      <c r="L6151" s="261"/>
      <c r="M6151" s="261"/>
    </row>
    <row r="6152" spans="5:13">
      <c r="E6152" s="261"/>
      <c r="F6152" s="261"/>
      <c r="G6152" s="261"/>
      <c r="H6152" s="261"/>
      <c r="I6152" s="261"/>
      <c r="J6152" s="261"/>
      <c r="K6152" s="261"/>
      <c r="L6152" s="261"/>
      <c r="M6152" s="261"/>
    </row>
    <row r="6153" spans="5:13">
      <c r="E6153" s="261"/>
      <c r="F6153" s="261"/>
      <c r="G6153" s="261"/>
      <c r="H6153" s="261"/>
      <c r="I6153" s="261"/>
      <c r="J6153" s="261"/>
      <c r="K6153" s="261"/>
      <c r="L6153" s="261"/>
      <c r="M6153" s="261"/>
    </row>
    <row r="6154" spans="5:13">
      <c r="E6154" s="261"/>
      <c r="F6154" s="261"/>
      <c r="G6154" s="261"/>
      <c r="H6154" s="261"/>
      <c r="I6154" s="261"/>
      <c r="J6154" s="261"/>
      <c r="K6154" s="261"/>
      <c r="L6154" s="261"/>
      <c r="M6154" s="261"/>
    </row>
    <row r="6155" spans="5:13">
      <c r="E6155" s="261"/>
      <c r="F6155" s="261"/>
      <c r="G6155" s="261"/>
      <c r="H6155" s="261"/>
      <c r="I6155" s="261"/>
      <c r="J6155" s="261"/>
      <c r="K6155" s="261"/>
      <c r="L6155" s="261"/>
      <c r="M6155" s="261"/>
    </row>
    <row r="6156" spans="5:13">
      <c r="E6156" s="261"/>
      <c r="F6156" s="261"/>
      <c r="G6156" s="261"/>
      <c r="H6156" s="261"/>
      <c r="I6156" s="261"/>
      <c r="J6156" s="261"/>
      <c r="K6156" s="261"/>
      <c r="L6156" s="261"/>
      <c r="M6156" s="261"/>
    </row>
    <row r="6157" spans="5:13">
      <c r="E6157" s="261"/>
      <c r="F6157" s="261"/>
      <c r="G6157" s="261"/>
      <c r="H6157" s="261"/>
      <c r="I6157" s="261"/>
      <c r="J6157" s="261"/>
      <c r="K6157" s="261"/>
      <c r="L6157" s="261"/>
      <c r="M6157" s="261"/>
    </row>
    <row r="6158" spans="5:13">
      <c r="E6158" s="261"/>
      <c r="F6158" s="261"/>
      <c r="G6158" s="261"/>
      <c r="H6158" s="261"/>
      <c r="I6158" s="261"/>
      <c r="J6158" s="261"/>
      <c r="K6158" s="261"/>
      <c r="L6158" s="261"/>
      <c r="M6158" s="261"/>
    </row>
    <row r="6159" spans="5:13">
      <c r="E6159" s="261"/>
      <c r="F6159" s="261"/>
      <c r="G6159" s="261"/>
      <c r="H6159" s="261"/>
      <c r="I6159" s="261"/>
      <c r="J6159" s="261"/>
      <c r="K6159" s="261"/>
      <c r="L6159" s="261"/>
      <c r="M6159" s="261"/>
    </row>
    <row r="6160" spans="5:13">
      <c r="E6160" s="261"/>
      <c r="F6160" s="261"/>
      <c r="G6160" s="261"/>
      <c r="H6160" s="261"/>
      <c r="I6160" s="261"/>
      <c r="J6160" s="261"/>
      <c r="K6160" s="261"/>
      <c r="L6160" s="261"/>
      <c r="M6160" s="261"/>
    </row>
    <row r="6161" spans="5:13">
      <c r="E6161" s="261"/>
      <c r="F6161" s="261"/>
      <c r="G6161" s="261"/>
      <c r="H6161" s="261"/>
      <c r="I6161" s="261"/>
      <c r="J6161" s="261"/>
      <c r="K6161" s="261"/>
      <c r="L6161" s="261"/>
      <c r="M6161" s="261"/>
    </row>
    <row r="6162" spans="5:13">
      <c r="E6162" s="261"/>
      <c r="F6162" s="261"/>
      <c r="G6162" s="261"/>
      <c r="H6162" s="261"/>
      <c r="I6162" s="261"/>
      <c r="J6162" s="261"/>
      <c r="K6162" s="261"/>
      <c r="L6162" s="261"/>
      <c r="M6162" s="261"/>
    </row>
    <row r="6163" spans="5:13">
      <c r="E6163" s="261"/>
      <c r="F6163" s="261"/>
      <c r="G6163" s="261"/>
      <c r="H6163" s="261"/>
      <c r="I6163" s="261"/>
      <c r="J6163" s="261"/>
      <c r="K6163" s="261"/>
      <c r="L6163" s="261"/>
      <c r="M6163" s="261"/>
    </row>
    <row r="6164" spans="5:13">
      <c r="E6164" s="261"/>
      <c r="F6164" s="261"/>
      <c r="G6164" s="261"/>
      <c r="H6164" s="261"/>
      <c r="I6164" s="261"/>
      <c r="J6164" s="261"/>
      <c r="K6164" s="261"/>
      <c r="L6164" s="261"/>
      <c r="M6164" s="261"/>
    </row>
    <row r="6165" spans="5:13">
      <c r="E6165" s="261"/>
      <c r="F6165" s="261"/>
      <c r="G6165" s="261"/>
      <c r="H6165" s="261"/>
      <c r="I6165" s="261"/>
      <c r="J6165" s="261"/>
      <c r="K6165" s="261"/>
      <c r="L6165" s="261"/>
      <c r="M6165" s="261"/>
    </row>
    <row r="6166" spans="5:13">
      <c r="E6166" s="261"/>
      <c r="F6166" s="261"/>
      <c r="G6166" s="261"/>
      <c r="H6166" s="261"/>
      <c r="I6166" s="261"/>
      <c r="J6166" s="261"/>
      <c r="K6166" s="261"/>
      <c r="L6166" s="261"/>
      <c r="M6166" s="261"/>
    </row>
    <row r="6167" spans="5:13">
      <c r="E6167" s="261"/>
      <c r="F6167" s="261"/>
      <c r="G6167" s="261"/>
      <c r="H6167" s="261"/>
      <c r="I6167" s="261"/>
      <c r="J6167" s="261"/>
      <c r="K6167" s="261"/>
      <c r="L6167" s="261"/>
      <c r="M6167" s="261"/>
    </row>
    <row r="6168" spans="5:13">
      <c r="E6168" s="261"/>
      <c r="F6168" s="261"/>
      <c r="G6168" s="261"/>
      <c r="H6168" s="261"/>
      <c r="I6168" s="261"/>
      <c r="J6168" s="261"/>
      <c r="K6168" s="261"/>
      <c r="L6168" s="261"/>
      <c r="M6168" s="261"/>
    </row>
    <row r="6169" spans="5:13">
      <c r="E6169" s="261"/>
      <c r="F6169" s="261"/>
      <c r="G6169" s="261"/>
      <c r="H6169" s="261"/>
      <c r="I6169" s="261"/>
      <c r="J6169" s="261"/>
      <c r="K6169" s="261"/>
      <c r="L6169" s="261"/>
      <c r="M6169" s="261"/>
    </row>
    <row r="6170" spans="5:13">
      <c r="E6170" s="261"/>
      <c r="F6170" s="261"/>
      <c r="G6170" s="261"/>
      <c r="H6170" s="261"/>
      <c r="I6170" s="261"/>
      <c r="J6170" s="261"/>
      <c r="K6170" s="261"/>
      <c r="L6170" s="261"/>
      <c r="M6170" s="261"/>
    </row>
    <row r="6171" spans="5:13">
      <c r="E6171" s="261"/>
      <c r="F6171" s="261"/>
      <c r="G6171" s="261"/>
      <c r="H6171" s="261"/>
      <c r="I6171" s="261"/>
      <c r="J6171" s="261"/>
      <c r="K6171" s="261"/>
      <c r="L6171" s="261"/>
      <c r="M6171" s="261"/>
    </row>
    <row r="6172" spans="5:13">
      <c r="E6172" s="261"/>
      <c r="F6172" s="261"/>
      <c r="G6172" s="261"/>
      <c r="H6172" s="261"/>
      <c r="I6172" s="261"/>
      <c r="J6172" s="261"/>
      <c r="K6172" s="261"/>
      <c r="L6172" s="261"/>
      <c r="M6172" s="261"/>
    </row>
    <row r="6173" spans="5:13">
      <c r="E6173" s="261"/>
      <c r="F6173" s="261"/>
      <c r="G6173" s="261"/>
      <c r="H6173" s="261"/>
      <c r="I6173" s="261"/>
      <c r="J6173" s="261"/>
      <c r="K6173" s="261"/>
      <c r="L6173" s="261"/>
      <c r="M6173" s="261"/>
    </row>
    <row r="6174" spans="5:13">
      <c r="E6174" s="261"/>
      <c r="F6174" s="261"/>
      <c r="G6174" s="261"/>
      <c r="H6174" s="261"/>
      <c r="I6174" s="261"/>
      <c r="J6174" s="261"/>
      <c r="K6174" s="261"/>
      <c r="L6174" s="261"/>
      <c r="M6174" s="261"/>
    </row>
    <row r="6175" spans="5:13">
      <c r="E6175" s="261"/>
      <c r="F6175" s="261"/>
      <c r="G6175" s="261"/>
      <c r="H6175" s="261"/>
      <c r="I6175" s="261"/>
      <c r="J6175" s="261"/>
      <c r="K6175" s="261"/>
      <c r="L6175" s="261"/>
      <c r="M6175" s="261"/>
    </row>
    <row r="6176" spans="5:13">
      <c r="E6176" s="261"/>
      <c r="F6176" s="261"/>
      <c r="G6176" s="261"/>
      <c r="H6176" s="261"/>
      <c r="I6176" s="261"/>
      <c r="J6176" s="261"/>
      <c r="K6176" s="261"/>
      <c r="L6176" s="261"/>
      <c r="M6176" s="261"/>
    </row>
    <row r="6177" spans="5:13">
      <c r="E6177" s="261"/>
      <c r="F6177" s="261"/>
      <c r="G6177" s="261"/>
      <c r="H6177" s="261"/>
      <c r="I6177" s="261"/>
      <c r="J6177" s="261"/>
      <c r="K6177" s="261"/>
      <c r="L6177" s="261"/>
      <c r="M6177" s="261"/>
    </row>
    <row r="6178" spans="5:13">
      <c r="E6178" s="261"/>
      <c r="F6178" s="261"/>
      <c r="G6178" s="261"/>
      <c r="H6178" s="261"/>
      <c r="I6178" s="261"/>
      <c r="J6178" s="261"/>
      <c r="K6178" s="261"/>
      <c r="L6178" s="261"/>
      <c r="M6178" s="261"/>
    </row>
    <row r="6179" spans="5:13">
      <c r="E6179" s="261"/>
      <c r="F6179" s="261"/>
      <c r="G6179" s="261"/>
      <c r="H6179" s="261"/>
      <c r="I6179" s="261"/>
      <c r="J6179" s="261"/>
      <c r="K6179" s="261"/>
      <c r="L6179" s="261"/>
      <c r="M6179" s="261"/>
    </row>
    <row r="6180" spans="5:13">
      <c r="E6180" s="261"/>
      <c r="F6180" s="261"/>
      <c r="G6180" s="261"/>
      <c r="H6180" s="261"/>
      <c r="I6180" s="261"/>
      <c r="J6180" s="261"/>
      <c r="K6180" s="261"/>
      <c r="L6180" s="261"/>
      <c r="M6180" s="261"/>
    </row>
    <row r="6181" spans="5:13">
      <c r="E6181" s="261"/>
      <c r="F6181" s="261"/>
      <c r="G6181" s="261"/>
      <c r="H6181" s="261"/>
      <c r="I6181" s="261"/>
      <c r="J6181" s="261"/>
      <c r="K6181" s="261"/>
      <c r="L6181" s="261"/>
      <c r="M6181" s="261"/>
    </row>
    <row r="6182" spans="5:13">
      <c r="E6182" s="261"/>
      <c r="F6182" s="261"/>
      <c r="G6182" s="261"/>
      <c r="H6182" s="261"/>
      <c r="I6182" s="261"/>
      <c r="J6182" s="261"/>
      <c r="K6182" s="261"/>
      <c r="L6182" s="261"/>
      <c r="M6182" s="261"/>
    </row>
    <row r="6183" spans="5:13">
      <c r="E6183" s="261"/>
      <c r="F6183" s="261"/>
      <c r="G6183" s="261"/>
      <c r="H6183" s="261"/>
      <c r="I6183" s="261"/>
      <c r="J6183" s="261"/>
      <c r="K6183" s="261"/>
      <c r="L6183" s="261"/>
      <c r="M6183" s="261"/>
    </row>
    <row r="6184" spans="5:13">
      <c r="E6184" s="261"/>
      <c r="F6184" s="261"/>
      <c r="G6184" s="261"/>
      <c r="H6184" s="261"/>
      <c r="I6184" s="261"/>
      <c r="J6184" s="261"/>
      <c r="K6184" s="261"/>
      <c r="L6184" s="261"/>
      <c r="M6184" s="261"/>
    </row>
    <row r="6185" spans="5:13">
      <c r="E6185" s="261"/>
      <c r="F6185" s="261"/>
      <c r="G6185" s="261"/>
      <c r="H6185" s="261"/>
      <c r="I6185" s="261"/>
      <c r="J6185" s="261"/>
      <c r="K6185" s="261"/>
      <c r="L6185" s="261"/>
      <c r="M6185" s="261"/>
    </row>
    <row r="6186" spans="5:13">
      <c r="E6186" s="261"/>
      <c r="F6186" s="261"/>
      <c r="G6186" s="261"/>
      <c r="H6186" s="261"/>
      <c r="I6186" s="261"/>
      <c r="J6186" s="261"/>
      <c r="K6186" s="261"/>
      <c r="L6186" s="261"/>
      <c r="M6186" s="261"/>
    </row>
    <row r="6187" spans="5:13">
      <c r="E6187" s="261"/>
      <c r="F6187" s="261"/>
      <c r="G6187" s="261"/>
      <c r="H6187" s="261"/>
      <c r="I6187" s="261"/>
      <c r="J6187" s="261"/>
      <c r="K6187" s="261"/>
      <c r="L6187" s="261"/>
      <c r="M6187" s="261"/>
    </row>
    <row r="6188" spans="5:13">
      <c r="E6188" s="261"/>
      <c r="F6188" s="261"/>
      <c r="G6188" s="261"/>
      <c r="H6188" s="261"/>
      <c r="I6188" s="261"/>
      <c r="J6188" s="261"/>
      <c r="K6188" s="261"/>
      <c r="L6188" s="261"/>
      <c r="M6188" s="261"/>
    </row>
    <row r="6189" spans="5:13">
      <c r="E6189" s="261"/>
      <c r="F6189" s="261"/>
      <c r="G6189" s="261"/>
      <c r="H6189" s="261"/>
      <c r="I6189" s="261"/>
      <c r="J6189" s="261"/>
      <c r="K6189" s="261"/>
      <c r="L6189" s="261"/>
      <c r="M6189" s="261"/>
    </row>
    <row r="6190" spans="5:13">
      <c r="E6190" s="261"/>
      <c r="F6190" s="261"/>
      <c r="G6190" s="261"/>
      <c r="H6190" s="261"/>
      <c r="I6190" s="261"/>
      <c r="J6190" s="261"/>
      <c r="K6190" s="261"/>
      <c r="L6190" s="261"/>
      <c r="M6190" s="261"/>
    </row>
    <row r="6191" spans="5:13">
      <c r="E6191" s="261"/>
      <c r="F6191" s="261"/>
      <c r="G6191" s="261"/>
      <c r="H6191" s="261"/>
      <c r="I6191" s="261"/>
      <c r="J6191" s="261"/>
      <c r="K6191" s="261"/>
      <c r="L6191" s="261"/>
      <c r="M6191" s="261"/>
    </row>
    <row r="6192" spans="5:13">
      <c r="E6192" s="261"/>
      <c r="F6192" s="261"/>
      <c r="G6192" s="261"/>
      <c r="H6192" s="261"/>
      <c r="I6192" s="261"/>
      <c r="J6192" s="261"/>
      <c r="K6192" s="261"/>
      <c r="L6192" s="261"/>
      <c r="M6192" s="261"/>
    </row>
    <row r="6193" spans="5:13">
      <c r="E6193" s="261"/>
      <c r="F6193" s="261"/>
      <c r="G6193" s="261"/>
      <c r="H6193" s="261"/>
      <c r="I6193" s="261"/>
      <c r="J6193" s="261"/>
      <c r="K6193" s="261"/>
      <c r="L6193" s="261"/>
      <c r="M6193" s="261"/>
    </row>
    <row r="6194" spans="5:13">
      <c r="E6194" s="261"/>
      <c r="F6194" s="261"/>
      <c r="G6194" s="261"/>
      <c r="H6194" s="261"/>
      <c r="I6194" s="261"/>
      <c r="J6194" s="261"/>
      <c r="K6194" s="261"/>
      <c r="L6194" s="261"/>
      <c r="M6194" s="261"/>
    </row>
    <row r="6195" spans="5:13">
      <c r="E6195" s="261"/>
      <c r="F6195" s="261"/>
      <c r="G6195" s="261"/>
      <c r="H6195" s="261"/>
      <c r="I6195" s="261"/>
      <c r="J6195" s="261"/>
      <c r="K6195" s="261"/>
      <c r="L6195" s="261"/>
      <c r="M6195" s="261"/>
    </row>
    <row r="6196" spans="5:13">
      <c r="E6196" s="261"/>
      <c r="F6196" s="261"/>
      <c r="G6196" s="261"/>
      <c r="H6196" s="261"/>
      <c r="I6196" s="261"/>
      <c r="J6196" s="261"/>
      <c r="K6196" s="261"/>
      <c r="L6196" s="261"/>
      <c r="M6196" s="261"/>
    </row>
    <row r="6197" spans="5:13">
      <c r="E6197" s="261"/>
      <c r="F6197" s="261"/>
      <c r="G6197" s="261"/>
      <c r="H6197" s="261"/>
      <c r="I6197" s="261"/>
      <c r="J6197" s="261"/>
      <c r="K6197" s="261"/>
      <c r="L6197" s="261"/>
      <c r="M6197" s="261"/>
    </row>
    <row r="6198" spans="5:13">
      <c r="E6198" s="261"/>
      <c r="F6198" s="261"/>
      <c r="G6198" s="261"/>
      <c r="H6198" s="261"/>
      <c r="I6198" s="261"/>
      <c r="J6198" s="261"/>
      <c r="K6198" s="261"/>
      <c r="L6198" s="261"/>
      <c r="M6198" s="261"/>
    </row>
    <row r="6199" spans="5:13">
      <c r="E6199" s="261"/>
      <c r="F6199" s="261"/>
      <c r="G6199" s="261"/>
      <c r="H6199" s="261"/>
      <c r="I6199" s="261"/>
      <c r="J6199" s="261"/>
      <c r="K6199" s="261"/>
      <c r="L6199" s="261"/>
      <c r="M6199" s="261"/>
    </row>
    <row r="6200" spans="5:13">
      <c r="E6200" s="261"/>
      <c r="F6200" s="261"/>
      <c r="G6200" s="261"/>
      <c r="H6200" s="261"/>
      <c r="I6200" s="261"/>
      <c r="J6200" s="261"/>
      <c r="K6200" s="261"/>
      <c r="L6200" s="261"/>
      <c r="M6200" s="261"/>
    </row>
    <row r="6201" spans="5:13">
      <c r="E6201" s="261"/>
      <c r="F6201" s="261"/>
      <c r="G6201" s="261"/>
      <c r="H6201" s="261"/>
      <c r="I6201" s="261"/>
      <c r="J6201" s="261"/>
      <c r="K6201" s="261"/>
      <c r="L6201" s="261"/>
      <c r="M6201" s="261"/>
    </row>
    <row r="6202" spans="5:13">
      <c r="E6202" s="261"/>
      <c r="F6202" s="261"/>
      <c r="G6202" s="261"/>
      <c r="H6202" s="261"/>
      <c r="I6202" s="261"/>
      <c r="J6202" s="261"/>
      <c r="K6202" s="261"/>
      <c r="L6202" s="261"/>
      <c r="M6202" s="261"/>
    </row>
    <row r="6203" spans="5:13">
      <c r="E6203" s="261"/>
      <c r="F6203" s="261"/>
      <c r="G6203" s="261"/>
      <c r="H6203" s="261"/>
      <c r="I6203" s="261"/>
      <c r="J6203" s="261"/>
      <c r="K6203" s="261"/>
      <c r="L6203" s="261"/>
      <c r="M6203" s="261"/>
    </row>
    <row r="6204" spans="5:13">
      <c r="E6204" s="261"/>
      <c r="F6204" s="261"/>
      <c r="G6204" s="261"/>
      <c r="H6204" s="261"/>
      <c r="I6204" s="261"/>
      <c r="J6204" s="261"/>
      <c r="K6204" s="261"/>
      <c r="L6204" s="261"/>
      <c r="M6204" s="261"/>
    </row>
    <row r="6205" spans="5:13">
      <c r="E6205" s="261"/>
      <c r="F6205" s="261"/>
      <c r="G6205" s="261"/>
      <c r="H6205" s="261"/>
      <c r="I6205" s="261"/>
      <c r="J6205" s="261"/>
      <c r="K6205" s="261"/>
      <c r="L6205" s="261"/>
      <c r="M6205" s="261"/>
    </row>
    <row r="6206" spans="5:13">
      <c r="E6206" s="261"/>
      <c r="F6206" s="261"/>
      <c r="G6206" s="261"/>
      <c r="H6206" s="261"/>
      <c r="I6206" s="261"/>
      <c r="J6206" s="261"/>
      <c r="K6206" s="261"/>
      <c r="L6206" s="261"/>
      <c r="M6206" s="261"/>
    </row>
    <row r="6207" spans="5:13">
      <c r="E6207" s="261"/>
      <c r="F6207" s="261"/>
      <c r="G6207" s="261"/>
      <c r="H6207" s="261"/>
      <c r="I6207" s="261"/>
      <c r="J6207" s="261"/>
      <c r="K6207" s="261"/>
      <c r="L6207" s="261"/>
      <c r="M6207" s="261"/>
    </row>
    <row r="6208" spans="5:13">
      <c r="E6208" s="261"/>
      <c r="F6208" s="261"/>
      <c r="G6208" s="261"/>
      <c r="H6208" s="261"/>
      <c r="I6208" s="261"/>
      <c r="J6208" s="261"/>
      <c r="K6208" s="261"/>
      <c r="L6208" s="261"/>
      <c r="M6208" s="261"/>
    </row>
    <row r="6209" spans="5:13">
      <c r="E6209" s="261"/>
      <c r="F6209" s="261"/>
      <c r="G6209" s="261"/>
      <c r="H6209" s="261"/>
      <c r="I6209" s="261"/>
      <c r="J6209" s="261"/>
      <c r="K6209" s="261"/>
      <c r="L6209" s="261"/>
      <c r="M6209" s="261"/>
    </row>
    <row r="6210" spans="5:13">
      <c r="E6210" s="261"/>
      <c r="F6210" s="261"/>
      <c r="G6210" s="261"/>
      <c r="H6210" s="261"/>
      <c r="I6210" s="261"/>
      <c r="J6210" s="261"/>
      <c r="K6210" s="261"/>
      <c r="L6210" s="261"/>
      <c r="M6210" s="261"/>
    </row>
    <row r="6211" spans="5:13">
      <c r="E6211" s="261"/>
      <c r="F6211" s="261"/>
      <c r="G6211" s="261"/>
      <c r="H6211" s="261"/>
      <c r="I6211" s="261"/>
      <c r="J6211" s="261"/>
      <c r="K6211" s="261"/>
      <c r="L6211" s="261"/>
      <c r="M6211" s="261"/>
    </row>
    <row r="6212" spans="5:13">
      <c r="E6212" s="261"/>
      <c r="F6212" s="261"/>
      <c r="G6212" s="261"/>
      <c r="H6212" s="261"/>
      <c r="I6212" s="261"/>
      <c r="J6212" s="261"/>
      <c r="K6212" s="261"/>
      <c r="L6212" s="261"/>
      <c r="M6212" s="261"/>
    </row>
    <row r="6213" spans="5:13">
      <c r="E6213" s="261"/>
      <c r="F6213" s="261"/>
      <c r="G6213" s="261"/>
      <c r="H6213" s="261"/>
      <c r="I6213" s="261"/>
      <c r="J6213" s="261"/>
      <c r="K6213" s="261"/>
      <c r="L6213" s="261"/>
      <c r="M6213" s="261"/>
    </row>
    <row r="6214" spans="5:13">
      <c r="E6214" s="261"/>
      <c r="F6214" s="261"/>
      <c r="G6214" s="261"/>
      <c r="H6214" s="261"/>
      <c r="I6214" s="261"/>
      <c r="J6214" s="261"/>
      <c r="K6214" s="261"/>
      <c r="L6214" s="261"/>
      <c r="M6214" s="261"/>
    </row>
    <row r="6215" spans="5:13">
      <c r="E6215" s="261"/>
      <c r="F6215" s="261"/>
      <c r="G6215" s="261"/>
      <c r="H6215" s="261"/>
      <c r="I6215" s="261"/>
      <c r="J6215" s="261"/>
      <c r="K6215" s="261"/>
      <c r="L6215" s="261"/>
      <c r="M6215" s="261"/>
    </row>
    <row r="6216" spans="5:13">
      <c r="E6216" s="261"/>
      <c r="F6216" s="261"/>
      <c r="G6216" s="261"/>
      <c r="H6216" s="261"/>
      <c r="I6216" s="261"/>
      <c r="J6216" s="261"/>
      <c r="K6216" s="261"/>
      <c r="L6216" s="261"/>
      <c r="M6216" s="261"/>
    </row>
    <row r="6217" spans="5:13">
      <c r="E6217" s="261"/>
      <c r="F6217" s="261"/>
      <c r="G6217" s="261"/>
      <c r="H6217" s="261"/>
      <c r="I6217" s="261"/>
      <c r="J6217" s="261"/>
      <c r="K6217" s="261"/>
      <c r="L6217" s="261"/>
      <c r="M6217" s="261"/>
    </row>
    <row r="6218" spans="5:13">
      <c r="E6218" s="261"/>
      <c r="F6218" s="261"/>
      <c r="G6218" s="261"/>
      <c r="H6218" s="261"/>
      <c r="I6218" s="261"/>
      <c r="J6218" s="261"/>
      <c r="K6218" s="261"/>
      <c r="L6218" s="261"/>
      <c r="M6218" s="261"/>
    </row>
    <row r="6219" spans="5:13">
      <c r="E6219" s="261"/>
      <c r="F6219" s="261"/>
      <c r="G6219" s="261"/>
      <c r="H6219" s="261"/>
      <c r="I6219" s="261"/>
      <c r="J6219" s="261"/>
      <c r="K6219" s="261"/>
      <c r="L6219" s="261"/>
      <c r="M6219" s="261"/>
    </row>
    <row r="6220" spans="5:13">
      <c r="E6220" s="261"/>
      <c r="F6220" s="261"/>
      <c r="G6220" s="261"/>
      <c r="H6220" s="261"/>
      <c r="I6220" s="261"/>
      <c r="J6220" s="261"/>
      <c r="K6220" s="261"/>
      <c r="L6220" s="261"/>
      <c r="M6220" s="261"/>
    </row>
    <row r="6221" spans="5:13">
      <c r="E6221" s="261"/>
      <c r="F6221" s="261"/>
      <c r="G6221" s="261"/>
      <c r="H6221" s="261"/>
      <c r="I6221" s="261"/>
      <c r="J6221" s="261"/>
      <c r="K6221" s="261"/>
      <c r="L6221" s="261"/>
      <c r="M6221" s="261"/>
    </row>
    <row r="6222" spans="5:13">
      <c r="E6222" s="261"/>
      <c r="F6222" s="261"/>
      <c r="G6222" s="261"/>
      <c r="H6222" s="261"/>
      <c r="I6222" s="261"/>
      <c r="J6222" s="261"/>
      <c r="K6222" s="261"/>
      <c r="L6222" s="261"/>
      <c r="M6222" s="261"/>
    </row>
    <row r="6223" spans="5:13">
      <c r="E6223" s="261"/>
      <c r="F6223" s="261"/>
      <c r="G6223" s="261"/>
      <c r="H6223" s="261"/>
      <c r="I6223" s="261"/>
      <c r="J6223" s="261"/>
      <c r="K6223" s="261"/>
      <c r="L6223" s="261"/>
      <c r="M6223" s="261"/>
    </row>
    <row r="6224" spans="5:13">
      <c r="E6224" s="261"/>
      <c r="F6224" s="261"/>
      <c r="G6224" s="261"/>
      <c r="H6224" s="261"/>
      <c r="I6224" s="261"/>
      <c r="J6224" s="261"/>
      <c r="K6224" s="261"/>
      <c r="L6224" s="261"/>
      <c r="M6224" s="261"/>
    </row>
    <row r="6225" spans="5:13">
      <c r="E6225" s="261"/>
      <c r="F6225" s="261"/>
      <c r="G6225" s="261"/>
      <c r="H6225" s="261"/>
      <c r="I6225" s="261"/>
      <c r="J6225" s="261"/>
      <c r="K6225" s="261"/>
      <c r="L6225" s="261"/>
      <c r="M6225" s="261"/>
    </row>
    <row r="6226" spans="5:13">
      <c r="E6226" s="261"/>
      <c r="F6226" s="261"/>
      <c r="G6226" s="261"/>
      <c r="H6226" s="261"/>
      <c r="I6226" s="261"/>
      <c r="J6226" s="261"/>
      <c r="K6226" s="261"/>
      <c r="L6226" s="261"/>
      <c r="M6226" s="261"/>
    </row>
    <row r="6227" spans="5:13">
      <c r="E6227" s="261"/>
      <c r="F6227" s="261"/>
      <c r="G6227" s="261"/>
      <c r="H6227" s="261"/>
      <c r="I6227" s="261"/>
      <c r="J6227" s="261"/>
      <c r="K6227" s="261"/>
      <c r="L6227" s="261"/>
      <c r="M6227" s="261"/>
    </row>
    <row r="6228" spans="5:13">
      <c r="E6228" s="261"/>
      <c r="F6228" s="261"/>
      <c r="G6228" s="261"/>
      <c r="H6228" s="261"/>
      <c r="I6228" s="261"/>
      <c r="J6228" s="261"/>
      <c r="K6228" s="261"/>
      <c r="L6228" s="261"/>
      <c r="M6228" s="261"/>
    </row>
    <row r="6229" spans="5:13">
      <c r="E6229" s="261"/>
      <c r="F6229" s="261"/>
      <c r="G6229" s="261"/>
      <c r="H6229" s="261"/>
      <c r="I6229" s="261"/>
      <c r="J6229" s="261"/>
      <c r="K6229" s="261"/>
      <c r="L6229" s="261"/>
      <c r="M6229" s="261"/>
    </row>
    <row r="6230" spans="5:13">
      <c r="E6230" s="261"/>
      <c r="F6230" s="261"/>
      <c r="G6230" s="261"/>
      <c r="H6230" s="261"/>
      <c r="I6230" s="261"/>
      <c r="J6230" s="261"/>
      <c r="K6230" s="261"/>
      <c r="L6230" s="261"/>
      <c r="M6230" s="261"/>
    </row>
    <row r="6231" spans="5:13">
      <c r="E6231" s="261"/>
      <c r="F6231" s="261"/>
      <c r="G6231" s="261"/>
      <c r="H6231" s="261"/>
      <c r="I6231" s="261"/>
      <c r="J6231" s="261"/>
      <c r="K6231" s="261"/>
      <c r="L6231" s="261"/>
      <c r="M6231" s="261"/>
    </row>
    <row r="6232" spans="5:13">
      <c r="E6232" s="261"/>
      <c r="F6232" s="261"/>
      <c r="G6232" s="261"/>
      <c r="H6232" s="261"/>
      <c r="I6232" s="261"/>
      <c r="J6232" s="261"/>
      <c r="K6232" s="261"/>
      <c r="L6232" s="261"/>
      <c r="M6232" s="261"/>
    </row>
    <row r="6233" spans="5:13">
      <c r="E6233" s="261"/>
      <c r="F6233" s="261"/>
      <c r="G6233" s="261"/>
      <c r="H6233" s="261"/>
      <c r="I6233" s="261"/>
      <c r="J6233" s="261"/>
      <c r="K6233" s="261"/>
      <c r="L6233" s="261"/>
      <c r="M6233" s="261"/>
    </row>
    <row r="6234" spans="5:13">
      <c r="E6234" s="261"/>
      <c r="F6234" s="261"/>
      <c r="G6234" s="261"/>
      <c r="H6234" s="261"/>
      <c r="I6234" s="261"/>
      <c r="J6234" s="261"/>
      <c r="K6234" s="261"/>
      <c r="L6234" s="261"/>
      <c r="M6234" s="261"/>
    </row>
    <row r="6235" spans="5:13">
      <c r="E6235" s="261"/>
      <c r="F6235" s="261"/>
      <c r="G6235" s="261"/>
      <c r="H6235" s="261"/>
      <c r="I6235" s="261"/>
      <c r="J6235" s="261"/>
      <c r="K6235" s="261"/>
      <c r="L6235" s="261"/>
      <c r="M6235" s="261"/>
    </row>
    <row r="6236" spans="5:13">
      <c r="E6236" s="261"/>
      <c r="F6236" s="261"/>
      <c r="G6236" s="261"/>
      <c r="H6236" s="261"/>
      <c r="I6236" s="261"/>
      <c r="J6236" s="261"/>
      <c r="K6236" s="261"/>
      <c r="L6236" s="261"/>
      <c r="M6236" s="261"/>
    </row>
    <row r="6237" spans="5:13">
      <c r="E6237" s="261"/>
      <c r="F6237" s="261"/>
      <c r="G6237" s="261"/>
      <c r="H6237" s="261"/>
      <c r="I6237" s="261"/>
      <c r="J6237" s="261"/>
      <c r="K6237" s="261"/>
      <c r="L6237" s="261"/>
      <c r="M6237" s="261"/>
    </row>
    <row r="6238" spans="5:13">
      <c r="E6238" s="261"/>
      <c r="F6238" s="261"/>
      <c r="G6238" s="261"/>
      <c r="H6238" s="261"/>
      <c r="I6238" s="261"/>
      <c r="J6238" s="261"/>
      <c r="K6238" s="261"/>
      <c r="L6238" s="261"/>
      <c r="M6238" s="261"/>
    </row>
    <row r="6239" spans="5:13">
      <c r="E6239" s="261"/>
      <c r="F6239" s="261"/>
      <c r="G6239" s="261"/>
      <c r="H6239" s="261"/>
      <c r="I6239" s="261"/>
      <c r="J6239" s="261"/>
      <c r="K6239" s="261"/>
      <c r="L6239" s="261"/>
      <c r="M6239" s="261"/>
    </row>
    <row r="6240" spans="5:13">
      <c r="E6240" s="261"/>
      <c r="F6240" s="261"/>
      <c r="G6240" s="261"/>
      <c r="H6240" s="261"/>
      <c r="I6240" s="261"/>
      <c r="J6240" s="261"/>
      <c r="K6240" s="261"/>
      <c r="L6240" s="261"/>
      <c r="M6240" s="261"/>
    </row>
    <row r="6241" spans="5:13">
      <c r="E6241" s="261"/>
      <c r="F6241" s="261"/>
      <c r="G6241" s="261"/>
      <c r="H6241" s="261"/>
      <c r="I6241" s="261"/>
      <c r="J6241" s="261"/>
      <c r="K6241" s="261"/>
      <c r="L6241" s="261"/>
      <c r="M6241" s="261"/>
    </row>
    <row r="6242" spans="5:13">
      <c r="E6242" s="261"/>
      <c r="F6242" s="261"/>
      <c r="G6242" s="261"/>
      <c r="H6242" s="261"/>
      <c r="I6242" s="261"/>
      <c r="J6242" s="261"/>
      <c r="K6242" s="261"/>
      <c r="L6242" s="261"/>
      <c r="M6242" s="261"/>
    </row>
    <row r="6243" spans="5:13">
      <c r="E6243" s="261"/>
      <c r="F6243" s="261"/>
      <c r="G6243" s="261"/>
      <c r="H6243" s="261"/>
      <c r="I6243" s="261"/>
      <c r="J6243" s="261"/>
      <c r="K6243" s="261"/>
      <c r="L6243" s="261"/>
      <c r="M6243" s="261"/>
    </row>
    <row r="6244" spans="5:13">
      <c r="E6244" s="261"/>
      <c r="F6244" s="261"/>
      <c r="G6244" s="261"/>
      <c r="H6244" s="261"/>
      <c r="I6244" s="261"/>
      <c r="J6244" s="261"/>
      <c r="K6244" s="261"/>
      <c r="L6244" s="261"/>
      <c r="M6244" s="261"/>
    </row>
    <row r="6245" spans="5:13">
      <c r="E6245" s="261"/>
      <c r="F6245" s="261"/>
      <c r="G6245" s="261"/>
      <c r="H6245" s="261"/>
      <c r="I6245" s="261"/>
      <c r="J6245" s="261"/>
      <c r="K6245" s="261"/>
      <c r="L6245" s="261"/>
      <c r="M6245" s="261"/>
    </row>
    <row r="6246" spans="5:13">
      <c r="E6246" s="261"/>
      <c r="F6246" s="261"/>
      <c r="G6246" s="261"/>
      <c r="H6246" s="261"/>
      <c r="I6246" s="261"/>
      <c r="J6246" s="261"/>
      <c r="K6246" s="261"/>
      <c r="L6246" s="261"/>
      <c r="M6246" s="261"/>
    </row>
    <row r="6247" spans="5:13">
      <c r="E6247" s="261"/>
      <c r="F6247" s="261"/>
      <c r="G6247" s="261"/>
      <c r="H6247" s="261"/>
      <c r="I6247" s="261"/>
      <c r="J6247" s="261"/>
      <c r="K6247" s="261"/>
      <c r="L6247" s="261"/>
      <c r="M6247" s="261"/>
    </row>
    <row r="6248" spans="5:13">
      <c r="E6248" s="261"/>
      <c r="F6248" s="261"/>
      <c r="G6248" s="261"/>
      <c r="H6248" s="261"/>
      <c r="I6248" s="261"/>
      <c r="J6248" s="261"/>
      <c r="K6248" s="261"/>
      <c r="L6248" s="261"/>
      <c r="M6248" s="261"/>
    </row>
    <row r="6249" spans="5:13">
      <c r="E6249" s="261"/>
      <c r="F6249" s="261"/>
      <c r="G6249" s="261"/>
      <c r="H6249" s="261"/>
      <c r="I6249" s="261"/>
      <c r="J6249" s="261"/>
      <c r="K6249" s="261"/>
      <c r="L6249" s="261"/>
      <c r="M6249" s="261"/>
    </row>
    <row r="6250" spans="5:13">
      <c r="E6250" s="261"/>
      <c r="F6250" s="261"/>
      <c r="G6250" s="261"/>
      <c r="H6250" s="261"/>
      <c r="I6250" s="261"/>
      <c r="J6250" s="261"/>
      <c r="K6250" s="261"/>
      <c r="L6250" s="261"/>
      <c r="M6250" s="261"/>
    </row>
    <row r="6251" spans="5:13">
      <c r="E6251" s="261"/>
      <c r="F6251" s="261"/>
      <c r="G6251" s="261"/>
      <c r="H6251" s="261"/>
      <c r="I6251" s="261"/>
      <c r="J6251" s="261"/>
      <c r="K6251" s="261"/>
      <c r="L6251" s="261"/>
      <c r="M6251" s="261"/>
    </row>
    <row r="6252" spans="5:13">
      <c r="E6252" s="261"/>
      <c r="F6252" s="261"/>
      <c r="G6252" s="261"/>
      <c r="H6252" s="261"/>
      <c r="I6252" s="261"/>
      <c r="J6252" s="261"/>
      <c r="K6252" s="261"/>
      <c r="L6252" s="261"/>
      <c r="M6252" s="261"/>
    </row>
    <row r="6253" spans="5:13">
      <c r="E6253" s="261"/>
      <c r="F6253" s="261"/>
      <c r="G6253" s="261"/>
      <c r="H6253" s="261"/>
      <c r="I6253" s="261"/>
      <c r="J6253" s="261"/>
      <c r="K6253" s="261"/>
      <c r="L6253" s="261"/>
      <c r="M6253" s="261"/>
    </row>
    <row r="6254" spans="5:13">
      <c r="E6254" s="261"/>
      <c r="F6254" s="261"/>
      <c r="G6254" s="261"/>
      <c r="H6254" s="261"/>
      <c r="I6254" s="261"/>
      <c r="J6254" s="261"/>
      <c r="K6254" s="261"/>
      <c r="L6254" s="261"/>
      <c r="M6254" s="261"/>
    </row>
    <row r="6255" spans="5:13">
      <c r="E6255" s="261"/>
      <c r="F6255" s="261"/>
      <c r="G6255" s="261"/>
      <c r="H6255" s="261"/>
      <c r="I6255" s="261"/>
      <c r="J6255" s="261"/>
      <c r="K6255" s="261"/>
      <c r="L6255" s="261"/>
      <c r="M6255" s="261"/>
    </row>
    <row r="6256" spans="5:13">
      <c r="E6256" s="261"/>
      <c r="F6256" s="261"/>
      <c r="G6256" s="261"/>
      <c r="H6256" s="261"/>
      <c r="I6256" s="261"/>
      <c r="J6256" s="261"/>
      <c r="K6256" s="261"/>
      <c r="L6256" s="261"/>
      <c r="M6256" s="261"/>
    </row>
    <row r="6257" spans="5:13">
      <c r="E6257" s="261"/>
      <c r="F6257" s="261"/>
      <c r="G6257" s="261"/>
      <c r="H6257" s="261"/>
      <c r="I6257" s="261"/>
      <c r="J6257" s="261"/>
      <c r="K6257" s="261"/>
      <c r="L6257" s="261"/>
      <c r="M6257" s="261"/>
    </row>
    <row r="6258" spans="5:13">
      <c r="E6258" s="261"/>
      <c r="F6258" s="261"/>
      <c r="G6258" s="261"/>
      <c r="H6258" s="261"/>
      <c r="I6258" s="261"/>
      <c r="J6258" s="261"/>
      <c r="K6258" s="261"/>
      <c r="L6258" s="261"/>
      <c r="M6258" s="261"/>
    </row>
    <row r="6259" spans="5:13">
      <c r="E6259" s="261"/>
      <c r="F6259" s="261"/>
      <c r="G6259" s="261"/>
      <c r="H6259" s="261"/>
      <c r="I6259" s="261"/>
      <c r="J6259" s="261"/>
      <c r="K6259" s="261"/>
      <c r="L6259" s="261"/>
      <c r="M6259" s="261"/>
    </row>
    <row r="6260" spans="5:13">
      <c r="E6260" s="261"/>
      <c r="F6260" s="261"/>
      <c r="G6260" s="261"/>
      <c r="H6260" s="261"/>
      <c r="I6260" s="261"/>
      <c r="J6260" s="261"/>
      <c r="K6260" s="261"/>
      <c r="L6260" s="261"/>
      <c r="M6260" s="261"/>
    </row>
    <row r="6261" spans="5:13">
      <c r="E6261" s="261"/>
      <c r="F6261" s="261"/>
      <c r="G6261" s="261"/>
      <c r="H6261" s="261"/>
      <c r="I6261" s="261"/>
      <c r="J6261" s="261"/>
      <c r="K6261" s="261"/>
      <c r="L6261" s="261"/>
      <c r="M6261" s="261"/>
    </row>
    <row r="6262" spans="5:13">
      <c r="E6262" s="261"/>
      <c r="F6262" s="261"/>
      <c r="G6262" s="261"/>
      <c r="H6262" s="261"/>
      <c r="I6262" s="261"/>
      <c r="J6262" s="261"/>
      <c r="K6262" s="261"/>
      <c r="L6262" s="261"/>
      <c r="M6262" s="261"/>
    </row>
    <row r="6263" spans="5:13">
      <c r="E6263" s="261"/>
      <c r="F6263" s="261"/>
      <c r="G6263" s="261"/>
      <c r="H6263" s="261"/>
      <c r="I6263" s="261"/>
      <c r="J6263" s="261"/>
      <c r="K6263" s="261"/>
      <c r="L6263" s="261"/>
      <c r="M6263" s="261"/>
    </row>
    <row r="6264" spans="5:13">
      <c r="E6264" s="261"/>
      <c r="F6264" s="261"/>
      <c r="G6264" s="261"/>
      <c r="H6264" s="261"/>
      <c r="I6264" s="261"/>
      <c r="J6264" s="261"/>
      <c r="K6264" s="261"/>
      <c r="L6264" s="261"/>
      <c r="M6264" s="261"/>
    </row>
    <row r="6265" spans="5:13">
      <c r="E6265" s="261"/>
      <c r="F6265" s="261"/>
      <c r="G6265" s="261"/>
      <c r="H6265" s="261"/>
      <c r="I6265" s="261"/>
      <c r="J6265" s="261"/>
      <c r="K6265" s="261"/>
      <c r="L6265" s="261"/>
      <c r="M6265" s="261"/>
    </row>
    <row r="6266" spans="5:13">
      <c r="E6266" s="261"/>
      <c r="F6266" s="261"/>
      <c r="G6266" s="261"/>
      <c r="H6266" s="261"/>
      <c r="I6266" s="261"/>
      <c r="J6266" s="261"/>
      <c r="K6266" s="261"/>
      <c r="L6266" s="261"/>
      <c r="M6266" s="261"/>
    </row>
    <row r="6267" spans="5:13">
      <c r="E6267" s="261"/>
      <c r="F6267" s="261"/>
      <c r="G6267" s="261"/>
      <c r="H6267" s="261"/>
      <c r="I6267" s="261"/>
      <c r="J6267" s="261"/>
      <c r="K6267" s="261"/>
      <c r="L6267" s="261"/>
      <c r="M6267" s="261"/>
    </row>
    <row r="6268" spans="5:13">
      <c r="E6268" s="261"/>
      <c r="F6268" s="261"/>
      <c r="G6268" s="261"/>
      <c r="H6268" s="261"/>
      <c r="I6268" s="261"/>
      <c r="J6268" s="261"/>
      <c r="K6268" s="261"/>
      <c r="L6268" s="261"/>
      <c r="M6268" s="261"/>
    </row>
    <row r="6269" spans="5:13">
      <c r="E6269" s="261"/>
      <c r="F6269" s="261"/>
      <c r="G6269" s="261"/>
      <c r="H6269" s="261"/>
      <c r="I6269" s="261"/>
      <c r="J6269" s="261"/>
      <c r="K6269" s="261"/>
      <c r="L6269" s="261"/>
      <c r="M6269" s="261"/>
    </row>
    <row r="6270" spans="5:13">
      <c r="E6270" s="261"/>
      <c r="F6270" s="261"/>
      <c r="G6270" s="261"/>
      <c r="H6270" s="261"/>
      <c r="I6270" s="261"/>
      <c r="J6270" s="261"/>
      <c r="K6270" s="261"/>
      <c r="L6270" s="261"/>
      <c r="M6270" s="261"/>
    </row>
    <row r="6271" spans="5:13">
      <c r="E6271" s="261"/>
      <c r="F6271" s="261"/>
      <c r="G6271" s="261"/>
      <c r="H6271" s="261"/>
      <c r="I6271" s="261"/>
      <c r="J6271" s="261"/>
      <c r="K6271" s="261"/>
      <c r="L6271" s="261"/>
      <c r="M6271" s="261"/>
    </row>
    <row r="6272" spans="5:13">
      <c r="E6272" s="261"/>
      <c r="F6272" s="261"/>
      <c r="G6272" s="261"/>
      <c r="H6272" s="261"/>
      <c r="I6272" s="261"/>
      <c r="J6272" s="261"/>
      <c r="K6272" s="261"/>
      <c r="L6272" s="261"/>
      <c r="M6272" s="261"/>
    </row>
    <row r="6273" spans="5:13">
      <c r="E6273" s="261"/>
      <c r="F6273" s="261"/>
      <c r="G6273" s="261"/>
      <c r="H6273" s="261"/>
      <c r="I6273" s="261"/>
      <c r="J6273" s="261"/>
      <c r="K6273" s="261"/>
      <c r="L6273" s="261"/>
      <c r="M6273" s="261"/>
    </row>
    <row r="6274" spans="5:13">
      <c r="E6274" s="261"/>
      <c r="F6274" s="261"/>
      <c r="G6274" s="261"/>
      <c r="H6274" s="261"/>
      <c r="I6274" s="261"/>
      <c r="J6274" s="261"/>
      <c r="K6274" s="261"/>
      <c r="L6274" s="261"/>
      <c r="M6274" s="261"/>
    </row>
    <row r="6275" spans="5:13">
      <c r="E6275" s="261"/>
      <c r="F6275" s="261"/>
      <c r="G6275" s="261"/>
      <c r="H6275" s="261"/>
      <c r="I6275" s="261"/>
      <c r="J6275" s="261"/>
      <c r="K6275" s="261"/>
      <c r="L6275" s="261"/>
      <c r="M6275" s="261"/>
    </row>
    <row r="6276" spans="5:13">
      <c r="E6276" s="261"/>
      <c r="F6276" s="261"/>
      <c r="G6276" s="261"/>
      <c r="H6276" s="261"/>
      <c r="I6276" s="261"/>
      <c r="J6276" s="261"/>
      <c r="K6276" s="261"/>
      <c r="L6276" s="261"/>
      <c r="M6276" s="261"/>
    </row>
    <row r="6277" spans="5:13">
      <c r="E6277" s="261"/>
      <c r="F6277" s="261"/>
      <c r="G6277" s="261"/>
      <c r="H6277" s="261"/>
      <c r="I6277" s="261"/>
      <c r="J6277" s="261"/>
      <c r="K6277" s="261"/>
      <c r="L6277" s="261"/>
      <c r="M6277" s="261"/>
    </row>
    <row r="6278" spans="5:13">
      <c r="E6278" s="261"/>
      <c r="F6278" s="261"/>
      <c r="G6278" s="261"/>
      <c r="H6278" s="261"/>
      <c r="I6278" s="261"/>
      <c r="J6278" s="261"/>
      <c r="K6278" s="261"/>
      <c r="L6278" s="261"/>
      <c r="M6278" s="261"/>
    </row>
    <row r="6279" spans="5:13">
      <c r="E6279" s="261"/>
      <c r="F6279" s="261"/>
      <c r="G6279" s="261"/>
      <c r="H6279" s="261"/>
      <c r="I6279" s="261"/>
      <c r="J6279" s="261"/>
      <c r="K6279" s="261"/>
      <c r="L6279" s="261"/>
      <c r="M6279" s="261"/>
    </row>
    <row r="6280" spans="5:13">
      <c r="E6280" s="261"/>
      <c r="F6280" s="261"/>
      <c r="G6280" s="261"/>
      <c r="H6280" s="261"/>
      <c r="I6280" s="261"/>
      <c r="J6280" s="261"/>
      <c r="K6280" s="261"/>
      <c r="L6280" s="261"/>
      <c r="M6280" s="261"/>
    </row>
    <row r="6281" spans="5:13">
      <c r="E6281" s="261"/>
      <c r="F6281" s="261"/>
      <c r="G6281" s="261"/>
      <c r="H6281" s="261"/>
      <c r="I6281" s="261"/>
      <c r="J6281" s="261"/>
      <c r="K6281" s="261"/>
      <c r="L6281" s="261"/>
      <c r="M6281" s="261"/>
    </row>
    <row r="6282" spans="5:13">
      <c r="E6282" s="261"/>
      <c r="F6282" s="261"/>
      <c r="G6282" s="261"/>
      <c r="H6282" s="261"/>
      <c r="I6282" s="261"/>
      <c r="J6282" s="261"/>
      <c r="K6282" s="261"/>
      <c r="L6282" s="261"/>
      <c r="M6282" s="261"/>
    </row>
    <row r="6283" spans="5:13">
      <c r="E6283" s="261"/>
      <c r="F6283" s="261"/>
      <c r="G6283" s="261"/>
      <c r="H6283" s="261"/>
      <c r="I6283" s="261"/>
      <c r="J6283" s="261"/>
      <c r="K6283" s="261"/>
      <c r="L6283" s="261"/>
      <c r="M6283" s="261"/>
    </row>
    <row r="6284" spans="5:13">
      <c r="E6284" s="261"/>
      <c r="F6284" s="261"/>
      <c r="G6284" s="261"/>
      <c r="H6284" s="261"/>
      <c r="I6284" s="261"/>
      <c r="J6284" s="261"/>
      <c r="K6284" s="261"/>
      <c r="L6284" s="261"/>
      <c r="M6284" s="261"/>
    </row>
    <row r="6285" spans="5:13">
      <c r="E6285" s="261"/>
      <c r="F6285" s="261"/>
      <c r="G6285" s="261"/>
      <c r="H6285" s="261"/>
      <c r="I6285" s="261"/>
      <c r="J6285" s="261"/>
      <c r="K6285" s="261"/>
      <c r="L6285" s="261"/>
      <c r="M6285" s="261"/>
    </row>
    <row r="6286" spans="5:13">
      <c r="E6286" s="261"/>
      <c r="F6286" s="261"/>
      <c r="G6286" s="261"/>
      <c r="H6286" s="261"/>
      <c r="I6286" s="261"/>
      <c r="J6286" s="261"/>
      <c r="K6286" s="261"/>
      <c r="L6286" s="261"/>
      <c r="M6286" s="261"/>
    </row>
    <row r="6287" spans="5:13">
      <c r="E6287" s="261"/>
      <c r="F6287" s="261"/>
      <c r="G6287" s="261"/>
      <c r="H6287" s="261"/>
      <c r="I6287" s="261"/>
      <c r="J6287" s="261"/>
      <c r="K6287" s="261"/>
      <c r="L6287" s="261"/>
      <c r="M6287" s="261"/>
    </row>
    <row r="6288" spans="5:13">
      <c r="E6288" s="261"/>
      <c r="F6288" s="261"/>
      <c r="G6288" s="261"/>
      <c r="H6288" s="261"/>
      <c r="I6288" s="261"/>
      <c r="J6288" s="261"/>
      <c r="K6288" s="261"/>
      <c r="L6288" s="261"/>
      <c r="M6288" s="261"/>
    </row>
    <row r="6289" spans="5:13">
      <c r="E6289" s="261"/>
      <c r="F6289" s="261"/>
      <c r="G6289" s="261"/>
      <c r="H6289" s="261"/>
      <c r="I6289" s="261"/>
      <c r="J6289" s="261"/>
      <c r="K6289" s="261"/>
      <c r="L6289" s="261"/>
      <c r="M6289" s="261"/>
    </row>
    <row r="6290" spans="5:13">
      <c r="E6290" s="261"/>
      <c r="F6290" s="261"/>
      <c r="G6290" s="261"/>
      <c r="H6290" s="261"/>
      <c r="I6290" s="261"/>
      <c r="J6290" s="261"/>
      <c r="K6290" s="261"/>
      <c r="L6290" s="261"/>
      <c r="M6290" s="261"/>
    </row>
    <row r="6291" spans="5:13">
      <c r="E6291" s="261"/>
      <c r="F6291" s="261"/>
      <c r="G6291" s="261"/>
      <c r="H6291" s="261"/>
      <c r="I6291" s="261"/>
      <c r="J6291" s="261"/>
      <c r="K6291" s="261"/>
      <c r="L6291" s="261"/>
      <c r="M6291" s="261"/>
    </row>
    <row r="6292" spans="5:13">
      <c r="E6292" s="261"/>
      <c r="F6292" s="261"/>
      <c r="G6292" s="261"/>
      <c r="H6292" s="261"/>
      <c r="I6292" s="261"/>
      <c r="J6292" s="261"/>
      <c r="K6292" s="261"/>
      <c r="L6292" s="261"/>
      <c r="M6292" s="261"/>
    </row>
    <row r="6293" spans="5:13">
      <c r="E6293" s="261"/>
      <c r="F6293" s="261"/>
      <c r="G6293" s="261"/>
      <c r="H6293" s="261"/>
      <c r="I6293" s="261"/>
      <c r="J6293" s="261"/>
      <c r="K6293" s="261"/>
      <c r="L6293" s="261"/>
      <c r="M6293" s="261"/>
    </row>
    <row r="6294" spans="5:13">
      <c r="E6294" s="261"/>
      <c r="F6294" s="261"/>
      <c r="G6294" s="261"/>
      <c r="H6294" s="261"/>
      <c r="I6294" s="261"/>
      <c r="J6294" s="261"/>
      <c r="K6294" s="261"/>
      <c r="L6294" s="261"/>
      <c r="M6294" s="261"/>
    </row>
    <row r="6295" spans="5:13">
      <c r="E6295" s="261"/>
      <c r="F6295" s="261"/>
      <c r="G6295" s="261"/>
      <c r="H6295" s="261"/>
      <c r="I6295" s="261"/>
      <c r="J6295" s="261"/>
      <c r="K6295" s="261"/>
      <c r="L6295" s="261"/>
      <c r="M6295" s="261"/>
    </row>
    <row r="6296" spans="5:13">
      <c r="E6296" s="261"/>
      <c r="F6296" s="261"/>
      <c r="G6296" s="261"/>
      <c r="H6296" s="261"/>
      <c r="I6296" s="261"/>
      <c r="J6296" s="261"/>
      <c r="K6296" s="261"/>
      <c r="L6296" s="261"/>
      <c r="M6296" s="261"/>
    </row>
    <row r="6297" spans="5:13">
      <c r="E6297" s="261"/>
      <c r="F6297" s="261"/>
      <c r="G6297" s="261"/>
      <c r="H6297" s="261"/>
      <c r="I6297" s="261"/>
      <c r="J6297" s="261"/>
      <c r="K6297" s="261"/>
      <c r="L6297" s="261"/>
      <c r="M6297" s="261"/>
    </row>
    <row r="6298" spans="5:13">
      <c r="E6298" s="261"/>
      <c r="F6298" s="261"/>
      <c r="G6298" s="261"/>
      <c r="H6298" s="261"/>
      <c r="I6298" s="261"/>
      <c r="J6298" s="261"/>
      <c r="K6298" s="261"/>
      <c r="L6298" s="261"/>
      <c r="M6298" s="261"/>
    </row>
    <row r="6299" spans="5:13">
      <c r="E6299" s="261"/>
      <c r="F6299" s="261"/>
      <c r="G6299" s="261"/>
      <c r="H6299" s="261"/>
      <c r="I6299" s="261"/>
      <c r="J6299" s="261"/>
      <c r="K6299" s="261"/>
      <c r="L6299" s="261"/>
      <c r="M6299" s="261"/>
    </row>
    <row r="6300" spans="5:13">
      <c r="E6300" s="261"/>
      <c r="F6300" s="261"/>
      <c r="G6300" s="261"/>
      <c r="H6300" s="261"/>
      <c r="I6300" s="261"/>
      <c r="J6300" s="261"/>
      <c r="K6300" s="261"/>
      <c r="L6300" s="261"/>
      <c r="M6300" s="261"/>
    </row>
    <row r="6301" spans="5:13">
      <c r="E6301" s="261"/>
      <c r="F6301" s="261"/>
      <c r="G6301" s="261"/>
      <c r="H6301" s="261"/>
      <c r="I6301" s="261"/>
      <c r="J6301" s="261"/>
      <c r="K6301" s="261"/>
      <c r="L6301" s="261"/>
      <c r="M6301" s="261"/>
    </row>
    <row r="6302" spans="5:13">
      <c r="E6302" s="261"/>
      <c r="F6302" s="261"/>
      <c r="G6302" s="261"/>
      <c r="H6302" s="261"/>
      <c r="I6302" s="261"/>
      <c r="J6302" s="261"/>
      <c r="K6302" s="261"/>
      <c r="L6302" s="261"/>
      <c r="M6302" s="261"/>
    </row>
    <row r="6303" spans="5:13">
      <c r="E6303" s="261"/>
      <c r="F6303" s="261"/>
      <c r="G6303" s="261"/>
      <c r="H6303" s="261"/>
      <c r="I6303" s="261"/>
      <c r="J6303" s="261"/>
      <c r="K6303" s="261"/>
      <c r="L6303" s="261"/>
      <c r="M6303" s="261"/>
    </row>
    <row r="6304" spans="5:13">
      <c r="E6304" s="261"/>
      <c r="F6304" s="261"/>
      <c r="G6304" s="261"/>
      <c r="H6304" s="261"/>
      <c r="I6304" s="261"/>
      <c r="J6304" s="261"/>
      <c r="K6304" s="261"/>
      <c r="L6304" s="261"/>
      <c r="M6304" s="261"/>
    </row>
    <row r="6305" spans="5:13">
      <c r="E6305" s="261"/>
      <c r="F6305" s="261"/>
      <c r="G6305" s="261"/>
      <c r="H6305" s="261"/>
      <c r="I6305" s="261"/>
      <c r="J6305" s="261"/>
      <c r="K6305" s="261"/>
      <c r="L6305" s="261"/>
      <c r="M6305" s="261"/>
    </row>
    <row r="6306" spans="5:13">
      <c r="E6306" s="261"/>
      <c r="F6306" s="261"/>
      <c r="G6306" s="261"/>
      <c r="H6306" s="261"/>
      <c r="I6306" s="261"/>
      <c r="J6306" s="261"/>
      <c r="K6306" s="261"/>
      <c r="L6306" s="261"/>
      <c r="M6306" s="261"/>
    </row>
    <row r="6307" spans="5:13">
      <c r="E6307" s="261"/>
      <c r="F6307" s="261"/>
      <c r="G6307" s="261"/>
      <c r="H6307" s="261"/>
      <c r="I6307" s="261"/>
      <c r="J6307" s="261"/>
      <c r="K6307" s="261"/>
      <c r="L6307" s="261"/>
      <c r="M6307" s="261"/>
    </row>
    <row r="6308" spans="5:13">
      <c r="E6308" s="261"/>
      <c r="F6308" s="261"/>
      <c r="G6308" s="261"/>
      <c r="H6308" s="261"/>
      <c r="I6308" s="261"/>
      <c r="J6308" s="261"/>
      <c r="K6308" s="261"/>
      <c r="L6308" s="261"/>
      <c r="M6308" s="261"/>
    </row>
    <row r="6309" spans="5:13">
      <c r="E6309" s="261"/>
      <c r="F6309" s="261"/>
      <c r="G6309" s="261"/>
      <c r="H6309" s="261"/>
      <c r="I6309" s="261"/>
      <c r="J6309" s="261"/>
      <c r="K6309" s="261"/>
      <c r="L6309" s="261"/>
      <c r="M6309" s="261"/>
    </row>
    <row r="6310" spans="5:13">
      <c r="E6310" s="261"/>
      <c r="F6310" s="261"/>
      <c r="G6310" s="261"/>
      <c r="H6310" s="261"/>
      <c r="I6310" s="261"/>
      <c r="J6310" s="261"/>
      <c r="K6310" s="261"/>
      <c r="L6310" s="261"/>
      <c r="M6310" s="261"/>
    </row>
    <row r="6311" spans="5:13">
      <c r="E6311" s="261"/>
      <c r="F6311" s="261"/>
      <c r="G6311" s="261"/>
      <c r="H6311" s="261"/>
      <c r="I6311" s="261"/>
      <c r="J6311" s="261"/>
      <c r="K6311" s="261"/>
      <c r="L6311" s="261"/>
      <c r="M6311" s="261"/>
    </row>
    <row r="6312" spans="5:13">
      <c r="E6312" s="261"/>
      <c r="F6312" s="261"/>
      <c r="G6312" s="261"/>
      <c r="H6312" s="261"/>
      <c r="I6312" s="261"/>
      <c r="J6312" s="261"/>
      <c r="K6312" s="261"/>
      <c r="L6312" s="261"/>
      <c r="M6312" s="261"/>
    </row>
    <row r="6313" spans="5:13">
      <c r="E6313" s="261"/>
      <c r="F6313" s="261"/>
      <c r="G6313" s="261"/>
      <c r="H6313" s="261"/>
      <c r="I6313" s="261"/>
      <c r="J6313" s="261"/>
      <c r="K6313" s="261"/>
      <c r="L6313" s="261"/>
      <c r="M6313" s="261"/>
    </row>
    <row r="6314" spans="5:13">
      <c r="E6314" s="261"/>
      <c r="F6314" s="261"/>
      <c r="G6314" s="261"/>
      <c r="H6314" s="261"/>
      <c r="I6314" s="261"/>
      <c r="J6314" s="261"/>
      <c r="K6314" s="261"/>
      <c r="L6314" s="261"/>
      <c r="M6314" s="261"/>
    </row>
    <row r="6315" spans="5:13">
      <c r="E6315" s="261"/>
      <c r="F6315" s="261"/>
      <c r="G6315" s="261"/>
      <c r="H6315" s="261"/>
      <c r="I6315" s="261"/>
      <c r="J6315" s="261"/>
      <c r="K6315" s="261"/>
      <c r="L6315" s="261"/>
      <c r="M6315" s="261"/>
    </row>
    <row r="6316" spans="5:13">
      <c r="E6316" s="261"/>
      <c r="F6316" s="261"/>
      <c r="G6316" s="261"/>
      <c r="H6316" s="261"/>
      <c r="I6316" s="261"/>
      <c r="J6316" s="261"/>
      <c r="K6316" s="261"/>
      <c r="L6316" s="261"/>
      <c r="M6316" s="261"/>
    </row>
    <row r="6317" spans="5:13">
      <c r="E6317" s="261"/>
      <c r="F6317" s="261"/>
      <c r="G6317" s="261"/>
      <c r="H6317" s="261"/>
      <c r="I6317" s="261"/>
      <c r="J6317" s="261"/>
      <c r="K6317" s="261"/>
      <c r="L6317" s="261"/>
      <c r="M6317" s="261"/>
    </row>
    <row r="6318" spans="5:13">
      <c r="E6318" s="261"/>
      <c r="F6318" s="261"/>
      <c r="G6318" s="261"/>
      <c r="H6318" s="261"/>
      <c r="I6318" s="261"/>
      <c r="J6318" s="261"/>
      <c r="K6318" s="261"/>
      <c r="L6318" s="261"/>
      <c r="M6318" s="261"/>
    </row>
    <row r="6319" spans="5:13">
      <c r="E6319" s="261"/>
      <c r="F6319" s="261"/>
      <c r="G6319" s="261"/>
      <c r="H6319" s="261"/>
      <c r="I6319" s="261"/>
      <c r="J6319" s="261"/>
      <c r="K6319" s="261"/>
      <c r="L6319" s="261"/>
      <c r="M6319" s="261"/>
    </row>
    <row r="6320" spans="5:13">
      <c r="E6320" s="261"/>
      <c r="F6320" s="261"/>
      <c r="G6320" s="261"/>
      <c r="H6320" s="261"/>
      <c r="I6320" s="261"/>
      <c r="J6320" s="261"/>
      <c r="K6320" s="261"/>
      <c r="L6320" s="261"/>
      <c r="M6320" s="261"/>
    </row>
    <row r="6321" spans="5:13">
      <c r="E6321" s="261"/>
      <c r="F6321" s="261"/>
      <c r="G6321" s="261"/>
      <c r="H6321" s="261"/>
      <c r="I6321" s="261"/>
      <c r="J6321" s="261"/>
      <c r="K6321" s="261"/>
      <c r="L6321" s="261"/>
      <c r="M6321" s="261"/>
    </row>
    <row r="6322" spans="5:13">
      <c r="E6322" s="261"/>
      <c r="F6322" s="261"/>
      <c r="G6322" s="261"/>
      <c r="H6322" s="261"/>
      <c r="I6322" s="261"/>
      <c r="J6322" s="261"/>
      <c r="K6322" s="261"/>
      <c r="L6322" s="261"/>
      <c r="M6322" s="261"/>
    </row>
    <row r="6323" spans="5:13">
      <c r="E6323" s="261"/>
      <c r="F6323" s="261"/>
      <c r="G6323" s="261"/>
      <c r="H6323" s="261"/>
      <c r="I6323" s="261"/>
      <c r="J6323" s="261"/>
      <c r="K6323" s="261"/>
      <c r="L6323" s="261"/>
      <c r="M6323" s="261"/>
    </row>
    <row r="6324" spans="5:13">
      <c r="E6324" s="261"/>
      <c r="F6324" s="261"/>
      <c r="G6324" s="261"/>
      <c r="H6324" s="261"/>
      <c r="I6324" s="261"/>
      <c r="J6324" s="261"/>
      <c r="K6324" s="261"/>
      <c r="L6324" s="261"/>
      <c r="M6324" s="261"/>
    </row>
    <row r="6325" spans="5:13">
      <c r="E6325" s="261"/>
      <c r="F6325" s="261"/>
      <c r="G6325" s="261"/>
      <c r="H6325" s="261"/>
      <c r="I6325" s="261"/>
      <c r="J6325" s="261"/>
      <c r="K6325" s="261"/>
      <c r="L6325" s="261"/>
      <c r="M6325" s="261"/>
    </row>
    <row r="6326" spans="5:13">
      <c r="E6326" s="261"/>
      <c r="F6326" s="261"/>
      <c r="G6326" s="261"/>
      <c r="H6326" s="261"/>
      <c r="I6326" s="261"/>
      <c r="J6326" s="261"/>
      <c r="K6326" s="261"/>
      <c r="L6326" s="261"/>
      <c r="M6326" s="261"/>
    </row>
    <row r="6327" spans="5:13">
      <c r="E6327" s="261"/>
      <c r="F6327" s="261"/>
      <c r="G6327" s="261"/>
      <c r="H6327" s="261"/>
      <c r="I6327" s="261"/>
      <c r="J6327" s="261"/>
      <c r="K6327" s="261"/>
      <c r="L6327" s="261"/>
      <c r="M6327" s="261"/>
    </row>
    <row r="6328" spans="5:13">
      <c r="E6328" s="261"/>
      <c r="F6328" s="261"/>
      <c r="G6328" s="261"/>
      <c r="H6328" s="261"/>
      <c r="I6328" s="261"/>
      <c r="J6328" s="261"/>
      <c r="K6328" s="261"/>
      <c r="L6328" s="261"/>
      <c r="M6328" s="261"/>
    </row>
    <row r="6329" spans="5:13">
      <c r="E6329" s="261"/>
      <c r="F6329" s="261"/>
      <c r="G6329" s="261"/>
      <c r="H6329" s="261"/>
      <c r="I6329" s="261"/>
      <c r="J6329" s="261"/>
      <c r="K6329" s="261"/>
      <c r="L6329" s="261"/>
      <c r="M6329" s="261"/>
    </row>
    <row r="6330" spans="5:13">
      <c r="E6330" s="261"/>
      <c r="F6330" s="261"/>
      <c r="G6330" s="261"/>
      <c r="H6330" s="261"/>
      <c r="I6330" s="261"/>
      <c r="J6330" s="261"/>
      <c r="K6330" s="261"/>
      <c r="L6330" s="261"/>
      <c r="M6330" s="261"/>
    </row>
    <row r="6331" spans="5:13">
      <c r="E6331" s="261"/>
      <c r="F6331" s="261"/>
      <c r="G6331" s="261"/>
      <c r="H6331" s="261"/>
      <c r="I6331" s="261"/>
      <c r="J6331" s="261"/>
      <c r="K6331" s="261"/>
      <c r="L6331" s="261"/>
      <c r="M6331" s="261"/>
    </row>
    <row r="6332" spans="5:13">
      <c r="E6332" s="261"/>
      <c r="F6332" s="261"/>
      <c r="G6332" s="261"/>
      <c r="H6332" s="261"/>
      <c r="I6332" s="261"/>
      <c r="J6332" s="261"/>
      <c r="K6332" s="261"/>
      <c r="L6332" s="261"/>
      <c r="M6332" s="261"/>
    </row>
    <row r="6333" spans="5:13">
      <c r="E6333" s="261"/>
      <c r="F6333" s="261"/>
      <c r="G6333" s="261"/>
      <c r="H6333" s="261"/>
      <c r="I6333" s="261"/>
      <c r="J6333" s="261"/>
      <c r="K6333" s="261"/>
      <c r="L6333" s="261"/>
      <c r="M6333" s="261"/>
    </row>
    <row r="6334" spans="5:13">
      <c r="E6334" s="261"/>
      <c r="F6334" s="261"/>
      <c r="G6334" s="261"/>
      <c r="H6334" s="261"/>
      <c r="I6334" s="261"/>
      <c r="J6334" s="261"/>
      <c r="K6334" s="261"/>
      <c r="L6334" s="261"/>
      <c r="M6334" s="261"/>
    </row>
    <row r="6335" spans="5:13">
      <c r="E6335" s="261"/>
      <c r="F6335" s="261"/>
      <c r="G6335" s="261"/>
      <c r="H6335" s="261"/>
      <c r="I6335" s="261"/>
      <c r="J6335" s="261"/>
      <c r="K6335" s="261"/>
      <c r="L6335" s="261"/>
      <c r="M6335" s="261"/>
    </row>
    <row r="6336" spans="5:13">
      <c r="E6336" s="261"/>
      <c r="F6336" s="261"/>
      <c r="G6336" s="261"/>
      <c r="H6336" s="261"/>
      <c r="I6336" s="261"/>
      <c r="J6336" s="261"/>
      <c r="K6336" s="261"/>
      <c r="L6336" s="261"/>
      <c r="M6336" s="261"/>
    </row>
    <row r="6337" spans="5:13">
      <c r="E6337" s="261"/>
      <c r="F6337" s="261"/>
      <c r="G6337" s="261"/>
      <c r="H6337" s="261"/>
      <c r="I6337" s="261"/>
      <c r="J6337" s="261"/>
      <c r="K6337" s="261"/>
      <c r="L6337" s="261"/>
      <c r="M6337" s="261"/>
    </row>
    <row r="6338" spans="5:13">
      <c r="E6338" s="261"/>
      <c r="F6338" s="261"/>
      <c r="G6338" s="261"/>
      <c r="H6338" s="261"/>
      <c r="I6338" s="261"/>
      <c r="J6338" s="261"/>
      <c r="K6338" s="261"/>
      <c r="L6338" s="261"/>
      <c r="M6338" s="261"/>
    </row>
    <row r="6339" spans="5:13">
      <c r="E6339" s="261"/>
      <c r="F6339" s="261"/>
      <c r="G6339" s="261"/>
      <c r="H6339" s="261"/>
      <c r="I6339" s="261"/>
      <c r="J6339" s="261"/>
      <c r="K6339" s="261"/>
      <c r="L6339" s="261"/>
      <c r="M6339" s="261"/>
    </row>
    <row r="6340" spans="5:13">
      <c r="E6340" s="261"/>
      <c r="F6340" s="261"/>
      <c r="G6340" s="261"/>
      <c r="H6340" s="261"/>
      <c r="I6340" s="261"/>
      <c r="J6340" s="261"/>
      <c r="K6340" s="261"/>
      <c r="L6340" s="261"/>
      <c r="M6340" s="261"/>
    </row>
    <row r="6341" spans="5:13">
      <c r="E6341" s="261"/>
      <c r="F6341" s="261"/>
      <c r="G6341" s="261"/>
      <c r="H6341" s="261"/>
      <c r="I6341" s="261"/>
      <c r="J6341" s="261"/>
      <c r="K6341" s="261"/>
      <c r="L6341" s="261"/>
      <c r="M6341" s="261"/>
    </row>
    <row r="6342" spans="5:13">
      <c r="E6342" s="261"/>
      <c r="F6342" s="261"/>
      <c r="G6342" s="261"/>
      <c r="H6342" s="261"/>
      <c r="I6342" s="261"/>
      <c r="J6342" s="261"/>
      <c r="K6342" s="261"/>
      <c r="L6342" s="261"/>
      <c r="M6342" s="261"/>
    </row>
    <row r="6343" spans="5:13">
      <c r="E6343" s="261"/>
      <c r="F6343" s="261"/>
      <c r="G6343" s="261"/>
      <c r="H6343" s="261"/>
      <c r="I6343" s="261"/>
      <c r="J6343" s="261"/>
      <c r="K6343" s="261"/>
      <c r="L6343" s="261"/>
      <c r="M6343" s="261"/>
    </row>
    <row r="6344" spans="5:13">
      <c r="E6344" s="261"/>
      <c r="F6344" s="261"/>
      <c r="G6344" s="261"/>
      <c r="H6344" s="261"/>
      <c r="I6344" s="261"/>
      <c r="J6344" s="261"/>
      <c r="K6344" s="261"/>
      <c r="L6344" s="261"/>
      <c r="M6344" s="261"/>
    </row>
    <row r="6345" spans="5:13">
      <c r="E6345" s="261"/>
      <c r="F6345" s="261"/>
      <c r="G6345" s="261"/>
      <c r="H6345" s="261"/>
      <c r="I6345" s="261"/>
      <c r="J6345" s="261"/>
      <c r="K6345" s="261"/>
      <c r="L6345" s="261"/>
      <c r="M6345" s="261"/>
    </row>
    <row r="6346" spans="5:13">
      <c r="E6346" s="261"/>
      <c r="F6346" s="261"/>
      <c r="G6346" s="261"/>
      <c r="H6346" s="261"/>
      <c r="I6346" s="261"/>
      <c r="J6346" s="261"/>
      <c r="K6346" s="261"/>
      <c r="L6346" s="261"/>
      <c r="M6346" s="261"/>
    </row>
    <row r="6347" spans="5:13">
      <c r="E6347" s="261"/>
      <c r="F6347" s="261"/>
      <c r="G6347" s="261"/>
      <c r="H6347" s="261"/>
      <c r="I6347" s="261"/>
      <c r="J6347" s="261"/>
      <c r="K6347" s="261"/>
      <c r="L6347" s="261"/>
      <c r="M6347" s="261"/>
    </row>
    <row r="6348" spans="5:13">
      <c r="E6348" s="261"/>
      <c r="F6348" s="261"/>
      <c r="G6348" s="261"/>
      <c r="H6348" s="261"/>
      <c r="I6348" s="261"/>
      <c r="J6348" s="261"/>
      <c r="K6348" s="261"/>
      <c r="L6348" s="261"/>
      <c r="M6348" s="261"/>
    </row>
    <row r="6349" spans="5:13">
      <c r="E6349" s="261"/>
      <c r="F6349" s="261"/>
      <c r="G6349" s="261"/>
      <c r="H6349" s="261"/>
      <c r="I6349" s="261"/>
      <c r="J6349" s="261"/>
      <c r="K6349" s="261"/>
      <c r="L6349" s="261"/>
      <c r="M6349" s="261"/>
    </row>
    <row r="6350" spans="5:13">
      <c r="E6350" s="261"/>
      <c r="F6350" s="261"/>
      <c r="G6350" s="261"/>
      <c r="H6350" s="261"/>
      <c r="I6350" s="261"/>
      <c r="J6350" s="261"/>
      <c r="K6350" s="261"/>
      <c r="L6350" s="261"/>
      <c r="M6350" s="261"/>
    </row>
    <row r="6351" spans="5:13">
      <c r="E6351" s="261"/>
      <c r="F6351" s="261"/>
      <c r="G6351" s="261"/>
      <c r="H6351" s="261"/>
      <c r="I6351" s="261"/>
      <c r="J6351" s="261"/>
      <c r="K6351" s="261"/>
      <c r="L6351" s="261"/>
      <c r="M6351" s="261"/>
    </row>
    <row r="6352" spans="5:13">
      <c r="E6352" s="261"/>
      <c r="F6352" s="261"/>
      <c r="G6352" s="261"/>
      <c r="H6352" s="261"/>
      <c r="I6352" s="261"/>
      <c r="J6352" s="261"/>
      <c r="K6352" s="261"/>
      <c r="L6352" s="261"/>
      <c r="M6352" s="261"/>
    </row>
    <row r="6353" spans="5:13">
      <c r="E6353" s="261"/>
      <c r="F6353" s="261"/>
      <c r="G6353" s="261"/>
      <c r="H6353" s="261"/>
      <c r="I6353" s="261"/>
      <c r="J6353" s="261"/>
      <c r="K6353" s="261"/>
      <c r="L6353" s="261"/>
      <c r="M6353" s="261"/>
    </row>
    <row r="6354" spans="5:13">
      <c r="E6354" s="261"/>
      <c r="F6354" s="261"/>
      <c r="G6354" s="261"/>
      <c r="H6354" s="261"/>
      <c r="I6354" s="261"/>
      <c r="J6354" s="261"/>
      <c r="K6354" s="261"/>
      <c r="L6354" s="261"/>
      <c r="M6354" s="261"/>
    </row>
    <row r="6355" spans="5:13">
      <c r="E6355" s="261"/>
      <c r="F6355" s="261"/>
      <c r="G6355" s="261"/>
      <c r="H6355" s="261"/>
      <c r="I6355" s="261"/>
      <c r="J6355" s="261"/>
      <c r="K6355" s="261"/>
      <c r="L6355" s="261"/>
      <c r="M6355" s="261"/>
    </row>
    <row r="6356" spans="5:13">
      <c r="E6356" s="261"/>
      <c r="F6356" s="261"/>
      <c r="G6356" s="261"/>
      <c r="H6356" s="261"/>
      <c r="I6356" s="261"/>
      <c r="J6356" s="261"/>
      <c r="K6356" s="261"/>
      <c r="L6356" s="261"/>
      <c r="M6356" s="261"/>
    </row>
    <row r="6357" spans="5:13">
      <c r="E6357" s="261"/>
      <c r="F6357" s="261"/>
      <c r="G6357" s="261"/>
      <c r="H6357" s="261"/>
      <c r="I6357" s="261"/>
      <c r="J6357" s="261"/>
      <c r="K6357" s="261"/>
      <c r="L6357" s="261"/>
      <c r="M6357" s="261"/>
    </row>
    <row r="6358" spans="5:13">
      <c r="E6358" s="261"/>
      <c r="F6358" s="261"/>
      <c r="G6358" s="261"/>
      <c r="H6358" s="261"/>
      <c r="I6358" s="261"/>
      <c r="J6358" s="261"/>
      <c r="K6358" s="261"/>
      <c r="L6358" s="261"/>
      <c r="M6358" s="261"/>
    </row>
    <row r="6359" spans="5:13">
      <c r="E6359" s="261"/>
      <c r="F6359" s="261"/>
      <c r="G6359" s="261"/>
      <c r="H6359" s="261"/>
      <c r="I6359" s="261"/>
      <c r="J6359" s="261"/>
      <c r="K6359" s="261"/>
      <c r="L6359" s="261"/>
      <c r="M6359" s="261"/>
    </row>
    <row r="6360" spans="5:13">
      <c r="E6360" s="261"/>
      <c r="F6360" s="261"/>
      <c r="G6360" s="261"/>
      <c r="H6360" s="261"/>
      <c r="I6360" s="261"/>
      <c r="J6360" s="261"/>
      <c r="K6360" s="261"/>
      <c r="L6360" s="261"/>
      <c r="M6360" s="261"/>
    </row>
    <row r="6361" spans="5:13">
      <c r="E6361" s="261"/>
      <c r="F6361" s="261"/>
      <c r="G6361" s="261"/>
      <c r="H6361" s="261"/>
      <c r="I6361" s="261"/>
      <c r="J6361" s="261"/>
      <c r="K6361" s="261"/>
      <c r="L6361" s="261"/>
      <c r="M6361" s="261"/>
    </row>
    <row r="6362" spans="5:13">
      <c r="E6362" s="261"/>
      <c r="F6362" s="261"/>
      <c r="G6362" s="261"/>
      <c r="H6362" s="261"/>
      <c r="I6362" s="261"/>
      <c r="J6362" s="261"/>
      <c r="K6362" s="261"/>
      <c r="L6362" s="261"/>
      <c r="M6362" s="261"/>
    </row>
    <row r="6363" spans="5:13">
      <c r="E6363" s="261"/>
      <c r="F6363" s="261"/>
      <c r="G6363" s="261"/>
      <c r="H6363" s="261"/>
      <c r="I6363" s="261"/>
      <c r="J6363" s="261"/>
      <c r="K6363" s="261"/>
      <c r="L6363" s="261"/>
      <c r="M6363" s="261"/>
    </row>
    <row r="6364" spans="5:13">
      <c r="E6364" s="261"/>
      <c r="F6364" s="261"/>
      <c r="G6364" s="261"/>
      <c r="H6364" s="261"/>
      <c r="I6364" s="261"/>
      <c r="J6364" s="261"/>
      <c r="K6364" s="261"/>
      <c r="L6364" s="261"/>
      <c r="M6364" s="261"/>
    </row>
    <row r="6365" spans="5:13">
      <c r="E6365" s="261"/>
      <c r="F6365" s="261"/>
      <c r="G6365" s="261"/>
      <c r="H6365" s="261"/>
      <c r="I6365" s="261"/>
      <c r="J6365" s="261"/>
      <c r="K6365" s="261"/>
      <c r="L6365" s="261"/>
      <c r="M6365" s="261"/>
    </row>
    <row r="6366" spans="5:13">
      <c r="E6366" s="261"/>
      <c r="F6366" s="261"/>
      <c r="G6366" s="261"/>
      <c r="H6366" s="261"/>
      <c r="I6366" s="261"/>
      <c r="J6366" s="261"/>
      <c r="K6366" s="261"/>
      <c r="L6366" s="261"/>
      <c r="M6366" s="261"/>
    </row>
    <row r="6367" spans="5:13">
      <c r="E6367" s="261"/>
      <c r="F6367" s="261"/>
      <c r="G6367" s="261"/>
      <c r="H6367" s="261"/>
      <c r="I6367" s="261"/>
      <c r="J6367" s="261"/>
      <c r="K6367" s="261"/>
      <c r="L6367" s="261"/>
      <c r="M6367" s="261"/>
    </row>
    <row r="6368" spans="5:13">
      <c r="E6368" s="261"/>
      <c r="F6368" s="261"/>
      <c r="G6368" s="261"/>
      <c r="H6368" s="261"/>
      <c r="I6368" s="261"/>
      <c r="J6368" s="261"/>
      <c r="K6368" s="261"/>
      <c r="L6368" s="261"/>
      <c r="M6368" s="261"/>
    </row>
    <row r="6369" spans="5:13">
      <c r="E6369" s="261"/>
      <c r="F6369" s="261"/>
      <c r="G6369" s="261"/>
      <c r="H6369" s="261"/>
      <c r="I6369" s="261"/>
      <c r="J6369" s="261"/>
      <c r="K6369" s="261"/>
      <c r="L6369" s="261"/>
      <c r="M6369" s="261"/>
    </row>
    <row r="6370" spans="5:13">
      <c r="E6370" s="261"/>
      <c r="F6370" s="261"/>
      <c r="G6370" s="261"/>
      <c r="H6370" s="261"/>
      <c r="I6370" s="261"/>
      <c r="J6370" s="261"/>
      <c r="K6370" s="261"/>
      <c r="L6370" s="261"/>
      <c r="M6370" s="261"/>
    </row>
    <row r="6371" spans="5:13">
      <c r="E6371" s="261"/>
      <c r="F6371" s="261"/>
      <c r="G6371" s="261"/>
      <c r="H6371" s="261"/>
      <c r="I6371" s="261"/>
      <c r="J6371" s="261"/>
      <c r="K6371" s="261"/>
      <c r="L6371" s="261"/>
      <c r="M6371" s="261"/>
    </row>
    <row r="6372" spans="5:13">
      <c r="E6372" s="261"/>
      <c r="F6372" s="261"/>
      <c r="G6372" s="261"/>
      <c r="H6372" s="261"/>
      <c r="I6372" s="261"/>
      <c r="J6372" s="261"/>
      <c r="K6372" s="261"/>
      <c r="L6372" s="261"/>
      <c r="M6372" s="261"/>
    </row>
    <row r="6373" spans="5:13">
      <c r="E6373" s="261"/>
      <c r="F6373" s="261"/>
      <c r="G6373" s="261"/>
      <c r="H6373" s="261"/>
      <c r="I6373" s="261"/>
      <c r="J6373" s="261"/>
      <c r="K6373" s="261"/>
      <c r="L6373" s="261"/>
      <c r="M6373" s="261"/>
    </row>
    <row r="6374" spans="5:13">
      <c r="E6374" s="261"/>
      <c r="F6374" s="261"/>
      <c r="G6374" s="261"/>
      <c r="H6374" s="261"/>
      <c r="I6374" s="261"/>
      <c r="J6374" s="261"/>
      <c r="K6374" s="261"/>
      <c r="L6374" s="261"/>
      <c r="M6374" s="261"/>
    </row>
    <row r="6375" spans="5:13">
      <c r="E6375" s="261"/>
      <c r="F6375" s="261"/>
      <c r="G6375" s="261"/>
      <c r="H6375" s="261"/>
      <c r="I6375" s="261"/>
      <c r="J6375" s="261"/>
      <c r="K6375" s="261"/>
      <c r="L6375" s="261"/>
      <c r="M6375" s="261"/>
    </row>
    <row r="6376" spans="5:13">
      <c r="E6376" s="261"/>
      <c r="F6376" s="261"/>
      <c r="G6376" s="261"/>
      <c r="H6376" s="261"/>
      <c r="I6376" s="261"/>
      <c r="J6376" s="261"/>
      <c r="K6376" s="261"/>
      <c r="L6376" s="261"/>
      <c r="M6376" s="261"/>
    </row>
    <row r="6377" spans="5:13">
      <c r="E6377" s="261"/>
      <c r="F6377" s="261"/>
      <c r="G6377" s="261"/>
      <c r="H6377" s="261"/>
      <c r="I6377" s="261"/>
      <c r="J6377" s="261"/>
      <c r="K6377" s="261"/>
      <c r="L6377" s="261"/>
      <c r="M6377" s="261"/>
    </row>
    <row r="6378" spans="5:13">
      <c r="E6378" s="261"/>
      <c r="F6378" s="261"/>
      <c r="G6378" s="261"/>
      <c r="H6378" s="261"/>
      <c r="I6378" s="261"/>
      <c r="J6378" s="261"/>
      <c r="K6378" s="261"/>
      <c r="L6378" s="261"/>
      <c r="M6378" s="261"/>
    </row>
    <row r="6379" spans="5:13">
      <c r="E6379" s="261"/>
      <c r="F6379" s="261"/>
      <c r="G6379" s="261"/>
      <c r="H6379" s="261"/>
      <c r="I6379" s="261"/>
      <c r="J6379" s="261"/>
      <c r="K6379" s="261"/>
      <c r="L6379" s="261"/>
      <c r="M6379" s="261"/>
    </row>
    <row r="6380" spans="5:13">
      <c r="E6380" s="261"/>
      <c r="F6380" s="261"/>
      <c r="G6380" s="261"/>
      <c r="H6380" s="261"/>
      <c r="I6380" s="261"/>
      <c r="J6380" s="261"/>
      <c r="K6380" s="261"/>
      <c r="L6380" s="261"/>
      <c r="M6380" s="261"/>
    </row>
    <row r="6381" spans="5:13">
      <c r="E6381" s="261"/>
      <c r="F6381" s="261"/>
      <c r="G6381" s="261"/>
      <c r="H6381" s="261"/>
      <c r="I6381" s="261"/>
      <c r="J6381" s="261"/>
      <c r="K6381" s="261"/>
      <c r="L6381" s="261"/>
      <c r="M6381" s="261"/>
    </row>
    <row r="6382" spans="5:13">
      <c r="E6382" s="261"/>
      <c r="F6382" s="261"/>
      <c r="G6382" s="261"/>
      <c r="H6382" s="261"/>
      <c r="I6382" s="261"/>
      <c r="J6382" s="261"/>
      <c r="K6382" s="261"/>
      <c r="L6382" s="261"/>
      <c r="M6382" s="261"/>
    </row>
    <row r="6383" spans="5:13">
      <c r="E6383" s="261"/>
      <c r="F6383" s="261"/>
      <c r="G6383" s="261"/>
      <c r="H6383" s="261"/>
      <c r="I6383" s="261"/>
      <c r="J6383" s="261"/>
      <c r="K6383" s="261"/>
      <c r="L6383" s="261"/>
      <c r="M6383" s="261"/>
    </row>
    <row r="6384" spans="5:13">
      <c r="E6384" s="261"/>
      <c r="F6384" s="261"/>
      <c r="G6384" s="261"/>
      <c r="H6384" s="261"/>
      <c r="I6384" s="261"/>
      <c r="J6384" s="261"/>
      <c r="K6384" s="261"/>
      <c r="L6384" s="261"/>
      <c r="M6384" s="261"/>
    </row>
    <row r="6385" spans="5:13">
      <c r="E6385" s="261"/>
      <c r="F6385" s="261"/>
      <c r="G6385" s="261"/>
      <c r="H6385" s="261"/>
      <c r="I6385" s="261"/>
      <c r="J6385" s="261"/>
      <c r="K6385" s="261"/>
      <c r="L6385" s="261"/>
      <c r="M6385" s="261"/>
    </row>
    <row r="6386" spans="5:13">
      <c r="E6386" s="261"/>
      <c r="F6386" s="261"/>
      <c r="G6386" s="261"/>
      <c r="H6386" s="261"/>
      <c r="I6386" s="261"/>
      <c r="J6386" s="261"/>
      <c r="K6386" s="261"/>
      <c r="L6386" s="261"/>
      <c r="M6386" s="261"/>
    </row>
    <row r="6387" spans="5:13">
      <c r="E6387" s="261"/>
      <c r="F6387" s="261"/>
      <c r="G6387" s="261"/>
      <c r="H6387" s="261"/>
      <c r="I6387" s="261"/>
      <c r="J6387" s="261"/>
      <c r="K6387" s="261"/>
      <c r="L6387" s="261"/>
      <c r="M6387" s="261"/>
    </row>
    <row r="6388" spans="5:13">
      <c r="E6388" s="261"/>
      <c r="F6388" s="261"/>
      <c r="G6388" s="261"/>
      <c r="H6388" s="261"/>
      <c r="I6388" s="261"/>
      <c r="J6388" s="261"/>
      <c r="K6388" s="261"/>
      <c r="L6388" s="261"/>
      <c r="M6388" s="261"/>
    </row>
    <row r="6389" spans="5:13">
      <c r="E6389" s="261"/>
      <c r="F6389" s="261"/>
      <c r="G6389" s="261"/>
      <c r="H6389" s="261"/>
      <c r="I6389" s="261"/>
      <c r="J6389" s="261"/>
      <c r="K6389" s="261"/>
      <c r="L6389" s="261"/>
      <c r="M6389" s="261"/>
    </row>
    <row r="6390" spans="5:13">
      <c r="E6390" s="261"/>
      <c r="F6390" s="261"/>
      <c r="G6390" s="261"/>
      <c r="H6390" s="261"/>
      <c r="I6390" s="261"/>
      <c r="J6390" s="261"/>
      <c r="K6390" s="261"/>
      <c r="L6390" s="261"/>
      <c r="M6390" s="261"/>
    </row>
    <row r="6391" spans="5:13">
      <c r="E6391" s="261"/>
      <c r="F6391" s="261"/>
      <c r="G6391" s="261"/>
      <c r="H6391" s="261"/>
      <c r="I6391" s="261"/>
      <c r="J6391" s="261"/>
      <c r="K6391" s="261"/>
      <c r="L6391" s="261"/>
      <c r="M6391" s="261"/>
    </row>
    <row r="6392" spans="5:13">
      <c r="E6392" s="261"/>
      <c r="F6392" s="261"/>
      <c r="G6392" s="261"/>
      <c r="H6392" s="261"/>
      <c r="I6392" s="261"/>
      <c r="J6392" s="261"/>
      <c r="K6392" s="261"/>
      <c r="L6392" s="261"/>
      <c r="M6392" s="261"/>
    </row>
    <row r="6393" spans="5:13">
      <c r="E6393" s="261"/>
      <c r="F6393" s="261"/>
      <c r="G6393" s="261"/>
      <c r="H6393" s="261"/>
      <c r="I6393" s="261"/>
      <c r="J6393" s="261"/>
      <c r="K6393" s="261"/>
      <c r="L6393" s="261"/>
      <c r="M6393" s="261"/>
    </row>
    <row r="6394" spans="5:13">
      <c r="E6394" s="261"/>
      <c r="F6394" s="261"/>
      <c r="G6394" s="261"/>
      <c r="H6394" s="261"/>
      <c r="I6394" s="261"/>
      <c r="J6394" s="261"/>
      <c r="K6394" s="261"/>
      <c r="L6394" s="261"/>
      <c r="M6394" s="261"/>
    </row>
    <row r="6395" spans="5:13">
      <c r="E6395" s="261"/>
      <c r="F6395" s="261"/>
      <c r="G6395" s="261"/>
      <c r="H6395" s="261"/>
      <c r="I6395" s="261"/>
      <c r="J6395" s="261"/>
      <c r="K6395" s="261"/>
      <c r="L6395" s="261"/>
      <c r="M6395" s="261"/>
    </row>
    <row r="6396" spans="5:13">
      <c r="E6396" s="261"/>
      <c r="F6396" s="261"/>
      <c r="G6396" s="261"/>
      <c r="H6396" s="261"/>
      <c r="I6396" s="261"/>
      <c r="J6396" s="261"/>
      <c r="K6396" s="261"/>
      <c r="L6396" s="261"/>
      <c r="M6396" s="261"/>
    </row>
    <row r="6397" spans="5:13">
      <c r="E6397" s="261"/>
      <c r="F6397" s="261"/>
      <c r="G6397" s="261"/>
      <c r="H6397" s="261"/>
      <c r="I6397" s="261"/>
      <c r="J6397" s="261"/>
      <c r="K6397" s="261"/>
      <c r="L6397" s="261"/>
      <c r="M6397" s="261"/>
    </row>
    <row r="6398" spans="5:13">
      <c r="E6398" s="261"/>
      <c r="F6398" s="261"/>
      <c r="G6398" s="261"/>
      <c r="H6398" s="261"/>
      <c r="I6398" s="261"/>
      <c r="J6398" s="261"/>
      <c r="K6398" s="261"/>
      <c r="L6398" s="261"/>
      <c r="M6398" s="261"/>
    </row>
    <row r="6399" spans="5:13">
      <c r="E6399" s="261"/>
      <c r="F6399" s="261"/>
      <c r="G6399" s="261"/>
      <c r="H6399" s="261"/>
      <c r="I6399" s="261"/>
      <c r="J6399" s="261"/>
      <c r="K6399" s="261"/>
      <c r="L6399" s="261"/>
      <c r="M6399" s="261"/>
    </row>
    <row r="6400" spans="5:13">
      <c r="E6400" s="261"/>
      <c r="F6400" s="261"/>
      <c r="G6400" s="261"/>
      <c r="H6400" s="261"/>
      <c r="I6400" s="261"/>
      <c r="J6400" s="261"/>
      <c r="K6400" s="261"/>
      <c r="L6400" s="261"/>
      <c r="M6400" s="261"/>
    </row>
    <row r="6401" spans="5:13">
      <c r="E6401" s="261"/>
      <c r="F6401" s="261"/>
      <c r="G6401" s="261"/>
      <c r="H6401" s="261"/>
      <c r="I6401" s="261"/>
      <c r="J6401" s="261"/>
      <c r="K6401" s="261"/>
      <c r="L6401" s="261"/>
      <c r="M6401" s="261"/>
    </row>
    <row r="6402" spans="5:13">
      <c r="E6402" s="261"/>
      <c r="F6402" s="261"/>
      <c r="G6402" s="261"/>
      <c r="H6402" s="261"/>
      <c r="I6402" s="261"/>
      <c r="J6402" s="261"/>
      <c r="K6402" s="261"/>
      <c r="L6402" s="261"/>
      <c r="M6402" s="261"/>
    </row>
    <row r="6403" spans="5:13">
      <c r="E6403" s="261"/>
      <c r="F6403" s="261"/>
      <c r="G6403" s="261"/>
      <c r="H6403" s="261"/>
      <c r="I6403" s="261"/>
      <c r="J6403" s="261"/>
      <c r="K6403" s="261"/>
      <c r="L6403" s="261"/>
      <c r="M6403" s="261"/>
    </row>
    <row r="6404" spans="5:13">
      <c r="E6404" s="261"/>
      <c r="F6404" s="261"/>
      <c r="G6404" s="261"/>
      <c r="H6404" s="261"/>
      <c r="I6404" s="261"/>
      <c r="J6404" s="261"/>
      <c r="K6404" s="261"/>
      <c r="L6404" s="261"/>
      <c r="M6404" s="261"/>
    </row>
    <row r="6405" spans="5:13">
      <c r="E6405" s="261"/>
      <c r="F6405" s="261"/>
      <c r="G6405" s="261"/>
      <c r="H6405" s="261"/>
      <c r="I6405" s="261"/>
      <c r="J6405" s="261"/>
      <c r="K6405" s="261"/>
      <c r="L6405" s="261"/>
      <c r="M6405" s="261"/>
    </row>
    <row r="6406" spans="5:13">
      <c r="E6406" s="261"/>
      <c r="F6406" s="261"/>
      <c r="G6406" s="261"/>
      <c r="H6406" s="261"/>
      <c r="I6406" s="261"/>
      <c r="J6406" s="261"/>
      <c r="K6406" s="261"/>
      <c r="L6406" s="261"/>
      <c r="M6406" s="261"/>
    </row>
    <row r="6407" spans="5:13">
      <c r="E6407" s="261"/>
      <c r="F6407" s="261"/>
      <c r="G6407" s="261"/>
      <c r="H6407" s="261"/>
      <c r="I6407" s="261"/>
      <c r="J6407" s="261"/>
      <c r="K6407" s="261"/>
      <c r="L6407" s="261"/>
      <c r="M6407" s="261"/>
    </row>
    <row r="6408" spans="5:13">
      <c r="E6408" s="261"/>
      <c r="F6408" s="261"/>
      <c r="G6408" s="261"/>
      <c r="H6408" s="261"/>
      <c r="I6408" s="261"/>
      <c r="J6408" s="261"/>
      <c r="K6408" s="261"/>
      <c r="L6408" s="261"/>
      <c r="M6408" s="261"/>
    </row>
    <row r="6409" spans="5:13">
      <c r="E6409" s="261"/>
      <c r="F6409" s="261"/>
      <c r="G6409" s="261"/>
      <c r="H6409" s="261"/>
      <c r="I6409" s="261"/>
      <c r="J6409" s="261"/>
      <c r="K6409" s="261"/>
      <c r="L6409" s="261"/>
      <c r="M6409" s="261"/>
    </row>
    <row r="6410" spans="5:13">
      <c r="E6410" s="261"/>
      <c r="F6410" s="261"/>
      <c r="G6410" s="261"/>
      <c r="H6410" s="261"/>
      <c r="I6410" s="261"/>
      <c r="J6410" s="261"/>
      <c r="K6410" s="261"/>
      <c r="L6410" s="261"/>
      <c r="M6410" s="261"/>
    </row>
    <row r="6411" spans="5:13">
      <c r="E6411" s="261"/>
      <c r="F6411" s="261"/>
      <c r="G6411" s="261"/>
      <c r="H6411" s="261"/>
      <c r="I6411" s="261"/>
      <c r="J6411" s="261"/>
      <c r="K6411" s="261"/>
      <c r="L6411" s="261"/>
      <c r="M6411" s="261"/>
    </row>
    <row r="6412" spans="5:13">
      <c r="E6412" s="261"/>
      <c r="F6412" s="261"/>
      <c r="G6412" s="261"/>
      <c r="H6412" s="261"/>
      <c r="I6412" s="261"/>
      <c r="J6412" s="261"/>
      <c r="K6412" s="261"/>
      <c r="L6412" s="261"/>
      <c r="M6412" s="261"/>
    </row>
    <row r="6413" spans="5:13">
      <c r="E6413" s="261"/>
      <c r="F6413" s="261"/>
      <c r="G6413" s="261"/>
      <c r="H6413" s="261"/>
      <c r="I6413" s="261"/>
      <c r="J6413" s="261"/>
      <c r="K6413" s="261"/>
      <c r="L6413" s="261"/>
      <c r="M6413" s="261"/>
    </row>
    <row r="6414" spans="5:13">
      <c r="E6414" s="261"/>
      <c r="F6414" s="261"/>
      <c r="G6414" s="261"/>
      <c r="H6414" s="261"/>
      <c r="I6414" s="261"/>
      <c r="J6414" s="261"/>
      <c r="K6414" s="261"/>
      <c r="L6414" s="261"/>
      <c r="M6414" s="261"/>
    </row>
    <row r="6415" spans="5:13">
      <c r="E6415" s="261"/>
      <c r="F6415" s="261"/>
      <c r="G6415" s="261"/>
      <c r="H6415" s="261"/>
      <c r="I6415" s="261"/>
      <c r="J6415" s="261"/>
      <c r="K6415" s="261"/>
      <c r="L6415" s="261"/>
      <c r="M6415" s="261"/>
    </row>
    <row r="6416" spans="5:13">
      <c r="E6416" s="261"/>
      <c r="F6416" s="261"/>
      <c r="G6416" s="261"/>
      <c r="H6416" s="261"/>
      <c r="I6416" s="261"/>
      <c r="J6416" s="261"/>
      <c r="K6416" s="261"/>
      <c r="L6416" s="261"/>
      <c r="M6416" s="261"/>
    </row>
    <row r="6417" spans="5:13">
      <c r="E6417" s="261"/>
      <c r="F6417" s="261"/>
      <c r="G6417" s="261"/>
      <c r="H6417" s="261"/>
      <c r="I6417" s="261"/>
      <c r="J6417" s="261"/>
      <c r="K6417" s="261"/>
      <c r="L6417" s="261"/>
      <c r="M6417" s="261"/>
    </row>
    <row r="6418" spans="5:13">
      <c r="E6418" s="261"/>
      <c r="F6418" s="261"/>
      <c r="G6418" s="261"/>
      <c r="H6418" s="261"/>
      <c r="I6418" s="261"/>
      <c r="J6418" s="261"/>
      <c r="K6418" s="261"/>
      <c r="L6418" s="261"/>
      <c r="M6418" s="261"/>
    </row>
    <row r="6419" spans="5:13">
      <c r="E6419" s="261"/>
      <c r="F6419" s="261"/>
      <c r="G6419" s="261"/>
      <c r="H6419" s="261"/>
      <c r="I6419" s="261"/>
      <c r="J6419" s="261"/>
      <c r="K6419" s="261"/>
      <c r="L6419" s="261"/>
      <c r="M6419" s="261"/>
    </row>
    <row r="6420" spans="5:13">
      <c r="E6420" s="261"/>
      <c r="F6420" s="261"/>
      <c r="G6420" s="261"/>
      <c r="H6420" s="261"/>
      <c r="I6420" s="261"/>
      <c r="J6420" s="261"/>
      <c r="K6420" s="261"/>
      <c r="L6420" s="261"/>
      <c r="M6420" s="261"/>
    </row>
    <row r="6421" spans="5:13">
      <c r="E6421" s="261"/>
      <c r="F6421" s="261"/>
      <c r="G6421" s="261"/>
      <c r="H6421" s="261"/>
      <c r="I6421" s="261"/>
      <c r="J6421" s="261"/>
      <c r="K6421" s="261"/>
      <c r="L6421" s="261"/>
      <c r="M6421" s="261"/>
    </row>
    <row r="6422" spans="5:13">
      <c r="E6422" s="261"/>
      <c r="F6422" s="261"/>
      <c r="G6422" s="261"/>
      <c r="H6422" s="261"/>
      <c r="I6422" s="261"/>
      <c r="J6422" s="261"/>
      <c r="K6422" s="261"/>
      <c r="L6422" s="261"/>
      <c r="M6422" s="261"/>
    </row>
    <row r="6423" spans="5:13">
      <c r="E6423" s="261"/>
      <c r="F6423" s="261"/>
      <c r="G6423" s="261"/>
      <c r="H6423" s="261"/>
      <c r="I6423" s="261"/>
      <c r="J6423" s="261"/>
      <c r="K6423" s="261"/>
      <c r="L6423" s="261"/>
      <c r="M6423" s="261"/>
    </row>
    <row r="6424" spans="5:13">
      <c r="E6424" s="261"/>
      <c r="F6424" s="261"/>
      <c r="G6424" s="261"/>
      <c r="H6424" s="261"/>
      <c r="I6424" s="261"/>
      <c r="J6424" s="261"/>
      <c r="K6424" s="261"/>
      <c r="L6424" s="261"/>
      <c r="M6424" s="261"/>
    </row>
    <row r="6425" spans="5:13">
      <c r="E6425" s="261"/>
      <c r="F6425" s="261"/>
      <c r="G6425" s="261"/>
      <c r="H6425" s="261"/>
      <c r="I6425" s="261"/>
      <c r="J6425" s="261"/>
      <c r="K6425" s="261"/>
      <c r="L6425" s="261"/>
      <c r="M6425" s="261"/>
    </row>
    <row r="6426" spans="5:13">
      <c r="E6426" s="261"/>
      <c r="F6426" s="261"/>
      <c r="G6426" s="261"/>
      <c r="H6426" s="261"/>
      <c r="I6426" s="261"/>
      <c r="J6426" s="261"/>
      <c r="K6426" s="261"/>
      <c r="L6426" s="261"/>
      <c r="M6426" s="261"/>
    </row>
    <row r="6427" spans="5:13">
      <c r="E6427" s="261"/>
      <c r="F6427" s="261"/>
      <c r="G6427" s="261"/>
      <c r="H6427" s="261"/>
      <c r="I6427" s="261"/>
      <c r="J6427" s="261"/>
      <c r="K6427" s="261"/>
      <c r="L6427" s="261"/>
      <c r="M6427" s="261"/>
    </row>
    <row r="6428" spans="5:13">
      <c r="E6428" s="261"/>
      <c r="F6428" s="261"/>
      <c r="G6428" s="261"/>
      <c r="H6428" s="261"/>
      <c r="I6428" s="261"/>
      <c r="J6428" s="261"/>
      <c r="K6428" s="261"/>
      <c r="L6428" s="261"/>
      <c r="M6428" s="261"/>
    </row>
    <row r="6429" spans="5:13">
      <c r="E6429" s="261"/>
      <c r="F6429" s="261"/>
      <c r="G6429" s="261"/>
      <c r="H6429" s="261"/>
      <c r="I6429" s="261"/>
      <c r="J6429" s="261"/>
      <c r="K6429" s="261"/>
      <c r="L6429" s="261"/>
      <c r="M6429" s="261"/>
    </row>
    <row r="6430" spans="5:13">
      <c r="E6430" s="261"/>
      <c r="F6430" s="261"/>
      <c r="G6430" s="261"/>
      <c r="H6430" s="261"/>
      <c r="I6430" s="261"/>
      <c r="J6430" s="261"/>
      <c r="K6430" s="261"/>
      <c r="L6430" s="261"/>
      <c r="M6430" s="261"/>
    </row>
    <row r="6431" spans="5:13">
      <c r="E6431" s="261"/>
      <c r="F6431" s="261"/>
      <c r="G6431" s="261"/>
      <c r="H6431" s="261"/>
      <c r="I6431" s="261"/>
      <c r="J6431" s="261"/>
      <c r="K6431" s="261"/>
      <c r="L6431" s="261"/>
      <c r="M6431" s="261"/>
    </row>
    <row r="6432" spans="5:13">
      <c r="E6432" s="261"/>
      <c r="F6432" s="261"/>
      <c r="G6432" s="261"/>
      <c r="H6432" s="261"/>
      <c r="I6432" s="261"/>
      <c r="J6432" s="261"/>
      <c r="K6432" s="261"/>
      <c r="L6432" s="261"/>
      <c r="M6432" s="261"/>
    </row>
    <row r="6433" spans="5:13">
      <c r="E6433" s="261"/>
      <c r="F6433" s="261"/>
      <c r="G6433" s="261"/>
      <c r="H6433" s="261"/>
      <c r="I6433" s="261"/>
      <c r="J6433" s="261"/>
      <c r="K6433" s="261"/>
      <c r="L6433" s="261"/>
      <c r="M6433" s="261"/>
    </row>
    <row r="6434" spans="5:13">
      <c r="E6434" s="261"/>
      <c r="F6434" s="261"/>
      <c r="G6434" s="261"/>
      <c r="H6434" s="261"/>
      <c r="I6434" s="261"/>
      <c r="J6434" s="261"/>
      <c r="K6434" s="261"/>
      <c r="L6434" s="261"/>
      <c r="M6434" s="261"/>
    </row>
    <row r="6435" spans="5:13">
      <c r="E6435" s="261"/>
      <c r="F6435" s="261"/>
      <c r="G6435" s="261"/>
      <c r="H6435" s="261"/>
      <c r="I6435" s="261"/>
      <c r="J6435" s="261"/>
      <c r="K6435" s="261"/>
      <c r="L6435" s="261"/>
      <c r="M6435" s="261"/>
    </row>
    <row r="6436" spans="5:13">
      <c r="E6436" s="261"/>
      <c r="F6436" s="261"/>
      <c r="G6436" s="261"/>
      <c r="H6436" s="261"/>
      <c r="I6436" s="261"/>
      <c r="J6436" s="261"/>
      <c r="K6436" s="261"/>
      <c r="L6436" s="261"/>
      <c r="M6436" s="261"/>
    </row>
    <row r="6437" spans="5:13">
      <c r="E6437" s="261"/>
      <c r="F6437" s="261"/>
      <c r="G6437" s="261"/>
      <c r="H6437" s="261"/>
      <c r="I6437" s="261"/>
      <c r="J6437" s="261"/>
      <c r="K6437" s="261"/>
      <c r="L6437" s="261"/>
      <c r="M6437" s="261"/>
    </row>
    <row r="6438" spans="5:13">
      <c r="E6438" s="261"/>
      <c r="F6438" s="261"/>
      <c r="G6438" s="261"/>
      <c r="H6438" s="261"/>
      <c r="I6438" s="261"/>
      <c r="J6438" s="261"/>
      <c r="K6438" s="261"/>
      <c r="L6438" s="261"/>
      <c r="M6438" s="261"/>
    </row>
    <row r="6439" spans="5:13">
      <c r="E6439" s="261"/>
      <c r="F6439" s="261"/>
      <c r="G6439" s="261"/>
      <c r="H6439" s="261"/>
      <c r="I6439" s="261"/>
      <c r="J6439" s="261"/>
      <c r="K6439" s="261"/>
      <c r="L6439" s="261"/>
      <c r="M6439" s="261"/>
    </row>
    <row r="6440" spans="5:13">
      <c r="E6440" s="261"/>
      <c r="F6440" s="261"/>
      <c r="G6440" s="261"/>
      <c r="H6440" s="261"/>
      <c r="I6440" s="261"/>
      <c r="J6440" s="261"/>
      <c r="K6440" s="261"/>
      <c r="L6440" s="261"/>
      <c r="M6440" s="261"/>
    </row>
    <row r="6441" spans="5:13">
      <c r="E6441" s="261"/>
      <c r="F6441" s="261"/>
      <c r="G6441" s="261"/>
      <c r="H6441" s="261"/>
      <c r="I6441" s="261"/>
      <c r="J6441" s="261"/>
      <c r="K6441" s="261"/>
      <c r="L6441" s="261"/>
      <c r="M6441" s="261"/>
    </row>
    <row r="6442" spans="5:13">
      <c r="E6442" s="261"/>
      <c r="F6442" s="261"/>
      <c r="G6442" s="261"/>
      <c r="H6442" s="261"/>
      <c r="I6442" s="261"/>
      <c r="J6442" s="261"/>
      <c r="K6442" s="261"/>
      <c r="L6442" s="261"/>
      <c r="M6442" s="261"/>
    </row>
    <row r="6443" spans="5:13">
      <c r="E6443" s="261"/>
      <c r="F6443" s="261"/>
      <c r="G6443" s="261"/>
      <c r="H6443" s="261"/>
      <c r="I6443" s="261"/>
      <c r="J6443" s="261"/>
      <c r="K6443" s="261"/>
      <c r="L6443" s="261"/>
      <c r="M6443" s="261"/>
    </row>
    <row r="6444" spans="5:13">
      <c r="E6444" s="261"/>
      <c r="F6444" s="261"/>
      <c r="G6444" s="261"/>
      <c r="H6444" s="261"/>
      <c r="I6444" s="261"/>
      <c r="J6444" s="261"/>
      <c r="K6444" s="261"/>
      <c r="L6444" s="261"/>
      <c r="M6444" s="261"/>
    </row>
    <row r="6445" spans="5:13">
      <c r="E6445" s="261"/>
      <c r="F6445" s="261"/>
      <c r="G6445" s="261"/>
      <c r="H6445" s="261"/>
      <c r="I6445" s="261"/>
      <c r="J6445" s="261"/>
      <c r="K6445" s="261"/>
      <c r="L6445" s="261"/>
      <c r="M6445" s="261"/>
    </row>
    <row r="6446" spans="5:13">
      <c r="E6446" s="261"/>
      <c r="F6446" s="261"/>
      <c r="G6446" s="261"/>
      <c r="H6446" s="261"/>
      <c r="I6446" s="261"/>
      <c r="J6446" s="261"/>
      <c r="K6446" s="261"/>
      <c r="L6446" s="261"/>
      <c r="M6446" s="261"/>
    </row>
    <row r="6447" spans="5:13">
      <c r="E6447" s="261"/>
      <c r="F6447" s="261"/>
      <c r="G6447" s="261"/>
      <c r="H6447" s="261"/>
      <c r="I6447" s="261"/>
      <c r="J6447" s="261"/>
      <c r="K6447" s="261"/>
      <c r="L6447" s="261"/>
      <c r="M6447" s="261"/>
    </row>
    <row r="6448" spans="5:13">
      <c r="E6448" s="261"/>
      <c r="F6448" s="261"/>
      <c r="G6448" s="261"/>
      <c r="H6448" s="261"/>
      <c r="I6448" s="261"/>
      <c r="J6448" s="261"/>
      <c r="K6448" s="261"/>
      <c r="L6448" s="261"/>
      <c r="M6448" s="261"/>
    </row>
    <row r="6449" spans="5:13">
      <c r="E6449" s="261"/>
      <c r="F6449" s="261"/>
      <c r="G6449" s="261"/>
      <c r="H6449" s="261"/>
      <c r="I6449" s="261"/>
      <c r="J6449" s="261"/>
      <c r="K6449" s="261"/>
      <c r="L6449" s="261"/>
      <c r="M6449" s="261"/>
    </row>
    <row r="6450" spans="5:13">
      <c r="E6450" s="261"/>
      <c r="F6450" s="261"/>
      <c r="G6450" s="261"/>
      <c r="H6450" s="261"/>
      <c r="I6450" s="261"/>
      <c r="J6450" s="261"/>
      <c r="K6450" s="261"/>
      <c r="L6450" s="261"/>
      <c r="M6450" s="261"/>
    </row>
    <row r="6451" spans="5:13">
      <c r="E6451" s="261"/>
      <c r="F6451" s="261"/>
      <c r="G6451" s="261"/>
      <c r="H6451" s="261"/>
      <c r="I6451" s="261"/>
      <c r="J6451" s="261"/>
      <c r="K6451" s="261"/>
      <c r="L6451" s="261"/>
      <c r="M6451" s="261"/>
    </row>
    <row r="6452" spans="5:13">
      <c r="E6452" s="261"/>
      <c r="F6452" s="261"/>
      <c r="G6452" s="261"/>
      <c r="H6452" s="261"/>
      <c r="I6452" s="261"/>
      <c r="J6452" s="261"/>
      <c r="K6452" s="261"/>
      <c r="L6452" s="261"/>
      <c r="M6452" s="261"/>
    </row>
    <row r="6453" spans="5:13">
      <c r="E6453" s="261"/>
      <c r="F6453" s="261"/>
      <c r="G6453" s="261"/>
      <c r="H6453" s="261"/>
      <c r="I6453" s="261"/>
      <c r="J6453" s="261"/>
      <c r="K6453" s="261"/>
      <c r="L6453" s="261"/>
      <c r="M6453" s="261"/>
    </row>
    <row r="6454" spans="5:13">
      <c r="E6454" s="261"/>
      <c r="F6454" s="261"/>
      <c r="G6454" s="261"/>
      <c r="H6454" s="261"/>
      <c r="I6454" s="261"/>
      <c r="J6454" s="261"/>
      <c r="K6454" s="261"/>
      <c r="L6454" s="261"/>
      <c r="M6454" s="261"/>
    </row>
    <row r="6455" spans="5:13">
      <c r="E6455" s="261"/>
      <c r="F6455" s="261"/>
      <c r="G6455" s="261"/>
      <c r="H6455" s="261"/>
      <c r="I6455" s="261"/>
      <c r="J6455" s="261"/>
      <c r="K6455" s="261"/>
      <c r="L6455" s="261"/>
      <c r="M6455" s="261"/>
    </row>
    <row r="6456" spans="5:13">
      <c r="E6456" s="261"/>
      <c r="F6456" s="261"/>
      <c r="G6456" s="261"/>
      <c r="H6456" s="261"/>
      <c r="I6456" s="261"/>
      <c r="J6456" s="261"/>
      <c r="K6456" s="261"/>
      <c r="L6456" s="261"/>
      <c r="M6456" s="261"/>
    </row>
    <row r="6457" spans="5:13">
      <c r="E6457" s="261"/>
      <c r="F6457" s="261"/>
      <c r="G6457" s="261"/>
      <c r="H6457" s="261"/>
      <c r="I6457" s="261"/>
      <c r="J6457" s="261"/>
      <c r="K6457" s="261"/>
      <c r="L6457" s="261"/>
      <c r="M6457" s="261"/>
    </row>
    <row r="6458" spans="5:13">
      <c r="E6458" s="261"/>
      <c r="F6458" s="261"/>
      <c r="G6458" s="261"/>
      <c r="H6458" s="261"/>
      <c r="I6458" s="261"/>
      <c r="J6458" s="261"/>
      <c r="K6458" s="261"/>
      <c r="L6458" s="261"/>
      <c r="M6458" s="261"/>
    </row>
    <row r="6459" spans="5:13">
      <c r="E6459" s="261"/>
      <c r="F6459" s="261"/>
      <c r="G6459" s="261"/>
      <c r="H6459" s="261"/>
      <c r="I6459" s="261"/>
      <c r="J6459" s="261"/>
      <c r="K6459" s="261"/>
      <c r="L6459" s="261"/>
      <c r="M6459" s="261"/>
    </row>
    <row r="6460" spans="5:13">
      <c r="E6460" s="261"/>
      <c r="F6460" s="261"/>
      <c r="G6460" s="261"/>
      <c r="H6460" s="261"/>
      <c r="I6460" s="261"/>
      <c r="J6460" s="261"/>
      <c r="K6460" s="261"/>
      <c r="L6460" s="261"/>
      <c r="M6460" s="261"/>
    </row>
    <row r="6461" spans="5:13">
      <c r="E6461" s="261"/>
      <c r="F6461" s="261"/>
      <c r="G6461" s="261"/>
      <c r="H6461" s="261"/>
      <c r="I6461" s="261"/>
      <c r="J6461" s="261"/>
      <c r="K6461" s="261"/>
      <c r="L6461" s="261"/>
      <c r="M6461" s="261"/>
    </row>
    <row r="6462" spans="5:13">
      <c r="E6462" s="261"/>
      <c r="F6462" s="261"/>
      <c r="G6462" s="261"/>
      <c r="H6462" s="261"/>
      <c r="I6462" s="261"/>
      <c r="J6462" s="261"/>
      <c r="K6462" s="261"/>
      <c r="L6462" s="261"/>
      <c r="M6462" s="261"/>
    </row>
    <row r="6463" spans="5:13">
      <c r="E6463" s="261"/>
      <c r="F6463" s="261"/>
      <c r="G6463" s="261"/>
      <c r="H6463" s="261"/>
      <c r="I6463" s="261"/>
      <c r="J6463" s="261"/>
      <c r="K6463" s="261"/>
      <c r="L6463" s="261"/>
      <c r="M6463" s="261"/>
    </row>
    <row r="6464" spans="5:13">
      <c r="E6464" s="261"/>
      <c r="F6464" s="261"/>
      <c r="G6464" s="261"/>
      <c r="H6464" s="261"/>
      <c r="I6464" s="261"/>
      <c r="J6464" s="261"/>
      <c r="K6464" s="261"/>
      <c r="L6464" s="261"/>
      <c r="M6464" s="261"/>
    </row>
    <row r="6465" spans="5:13">
      <c r="E6465" s="261"/>
      <c r="F6465" s="261"/>
      <c r="G6465" s="261"/>
      <c r="H6465" s="261"/>
      <c r="I6465" s="261"/>
      <c r="J6465" s="261"/>
      <c r="K6465" s="261"/>
      <c r="L6465" s="261"/>
      <c r="M6465" s="261"/>
    </row>
    <row r="6466" spans="5:13">
      <c r="E6466" s="261"/>
      <c r="F6466" s="261"/>
      <c r="G6466" s="261"/>
      <c r="H6466" s="261"/>
      <c r="I6466" s="261"/>
      <c r="J6466" s="261"/>
      <c r="K6466" s="261"/>
      <c r="L6466" s="261"/>
      <c r="M6466" s="261"/>
    </row>
    <row r="6467" spans="5:13">
      <c r="E6467" s="261"/>
      <c r="F6467" s="261"/>
      <c r="G6467" s="261"/>
      <c r="H6467" s="261"/>
      <c r="I6467" s="261"/>
      <c r="J6467" s="261"/>
      <c r="K6467" s="261"/>
      <c r="L6467" s="261"/>
      <c r="M6467" s="261"/>
    </row>
    <row r="6468" spans="5:13">
      <c r="E6468" s="261"/>
      <c r="F6468" s="261"/>
      <c r="G6468" s="261"/>
      <c r="H6468" s="261"/>
      <c r="I6468" s="261"/>
      <c r="J6468" s="261"/>
      <c r="K6468" s="261"/>
      <c r="L6468" s="261"/>
      <c r="M6468" s="261"/>
    </row>
    <row r="6469" spans="5:13">
      <c r="E6469" s="261"/>
      <c r="F6469" s="261"/>
      <c r="G6469" s="261"/>
      <c r="H6469" s="261"/>
      <c r="I6469" s="261"/>
      <c r="J6469" s="261"/>
      <c r="K6469" s="261"/>
      <c r="L6469" s="261"/>
      <c r="M6469" s="261"/>
    </row>
    <row r="6470" spans="5:13">
      <c r="E6470" s="261"/>
      <c r="F6470" s="261"/>
      <c r="G6470" s="261"/>
      <c r="H6470" s="261"/>
      <c r="I6470" s="261"/>
      <c r="J6470" s="261"/>
      <c r="K6470" s="261"/>
      <c r="L6470" s="261"/>
      <c r="M6470" s="261"/>
    </row>
    <row r="6471" spans="5:13">
      <c r="E6471" s="261"/>
      <c r="F6471" s="261"/>
      <c r="G6471" s="261"/>
      <c r="H6471" s="261"/>
      <c r="I6471" s="261"/>
      <c r="J6471" s="261"/>
      <c r="K6471" s="261"/>
      <c r="L6471" s="261"/>
      <c r="M6471" s="261"/>
    </row>
    <row r="6472" spans="5:13">
      <c r="E6472" s="261"/>
      <c r="F6472" s="261"/>
      <c r="G6472" s="261"/>
      <c r="H6472" s="261"/>
      <c r="I6472" s="261"/>
      <c r="J6472" s="261"/>
      <c r="K6472" s="261"/>
      <c r="L6472" s="261"/>
      <c r="M6472" s="261"/>
    </row>
    <row r="6473" spans="5:13">
      <c r="E6473" s="261"/>
      <c r="F6473" s="261"/>
      <c r="G6473" s="261"/>
      <c r="H6473" s="261"/>
      <c r="I6473" s="261"/>
      <c r="J6473" s="261"/>
      <c r="K6473" s="261"/>
      <c r="L6473" s="261"/>
      <c r="M6473" s="261"/>
    </row>
    <row r="6474" spans="5:13">
      <c r="E6474" s="261"/>
      <c r="F6474" s="261"/>
      <c r="G6474" s="261"/>
      <c r="H6474" s="261"/>
      <c r="I6474" s="261"/>
      <c r="J6474" s="261"/>
      <c r="K6474" s="261"/>
      <c r="L6474" s="261"/>
      <c r="M6474" s="261"/>
    </row>
    <row r="6475" spans="5:13">
      <c r="E6475" s="261"/>
      <c r="F6475" s="261"/>
      <c r="G6475" s="261"/>
      <c r="H6475" s="261"/>
      <c r="I6475" s="261"/>
      <c r="J6475" s="261"/>
      <c r="K6475" s="261"/>
      <c r="L6475" s="261"/>
      <c r="M6475" s="261"/>
    </row>
    <row r="6476" spans="5:13">
      <c r="E6476" s="261"/>
      <c r="F6476" s="261"/>
      <c r="G6476" s="261"/>
      <c r="H6476" s="261"/>
      <c r="I6476" s="261"/>
      <c r="J6476" s="261"/>
      <c r="K6476" s="261"/>
      <c r="L6476" s="261"/>
      <c r="M6476" s="261"/>
    </row>
    <row r="6477" spans="5:13">
      <c r="E6477" s="261"/>
      <c r="F6477" s="261"/>
      <c r="G6477" s="261"/>
      <c r="H6477" s="261"/>
      <c r="I6477" s="261"/>
      <c r="J6477" s="261"/>
      <c r="K6477" s="261"/>
      <c r="L6477" s="261"/>
      <c r="M6477" s="261"/>
    </row>
    <row r="6478" spans="5:13">
      <c r="E6478" s="261"/>
      <c r="F6478" s="261"/>
      <c r="G6478" s="261"/>
      <c r="H6478" s="261"/>
      <c r="I6478" s="261"/>
      <c r="J6478" s="261"/>
      <c r="K6478" s="261"/>
      <c r="L6478" s="261"/>
      <c r="M6478" s="261"/>
    </row>
    <row r="6479" spans="5:13">
      <c r="E6479" s="261"/>
      <c r="F6479" s="261"/>
      <c r="G6479" s="261"/>
      <c r="H6479" s="261"/>
      <c r="I6479" s="261"/>
      <c r="J6479" s="261"/>
      <c r="K6479" s="261"/>
      <c r="L6479" s="261"/>
      <c r="M6479" s="261"/>
    </row>
    <row r="6480" spans="5:13">
      <c r="E6480" s="261"/>
      <c r="F6480" s="261"/>
      <c r="G6480" s="261"/>
      <c r="H6480" s="261"/>
      <c r="I6480" s="261"/>
      <c r="J6480" s="261"/>
      <c r="K6480" s="261"/>
      <c r="L6480" s="261"/>
      <c r="M6480" s="261"/>
    </row>
    <row r="6481" spans="5:13">
      <c r="E6481" s="261"/>
      <c r="F6481" s="261"/>
      <c r="G6481" s="261"/>
      <c r="H6481" s="261"/>
      <c r="I6481" s="261"/>
      <c r="J6481" s="261"/>
      <c r="K6481" s="261"/>
      <c r="L6481" s="261"/>
      <c r="M6481" s="261"/>
    </row>
    <row r="6482" spans="5:13">
      <c r="E6482" s="261"/>
      <c r="F6482" s="261"/>
      <c r="G6482" s="261"/>
      <c r="H6482" s="261"/>
      <c r="I6482" s="261"/>
      <c r="J6482" s="261"/>
      <c r="K6482" s="261"/>
      <c r="L6482" s="261"/>
      <c r="M6482" s="261"/>
    </row>
    <row r="6483" spans="5:13">
      <c r="E6483" s="261"/>
      <c r="F6483" s="261"/>
      <c r="G6483" s="261"/>
      <c r="H6483" s="261"/>
      <c r="I6483" s="261"/>
      <c r="J6483" s="261"/>
      <c r="K6483" s="261"/>
      <c r="L6483" s="261"/>
      <c r="M6483" s="261"/>
    </row>
    <row r="6484" spans="5:13">
      <c r="E6484" s="261"/>
      <c r="F6484" s="261"/>
      <c r="G6484" s="261"/>
      <c r="H6484" s="261"/>
      <c r="I6484" s="261"/>
      <c r="J6484" s="261"/>
      <c r="K6484" s="261"/>
      <c r="L6484" s="261"/>
      <c r="M6484" s="261"/>
    </row>
    <row r="6485" spans="5:13">
      <c r="E6485" s="261"/>
      <c r="F6485" s="261"/>
      <c r="G6485" s="261"/>
      <c r="H6485" s="261"/>
      <c r="I6485" s="261"/>
      <c r="J6485" s="261"/>
      <c r="K6485" s="261"/>
      <c r="L6485" s="261"/>
      <c r="M6485" s="261"/>
    </row>
    <row r="6486" spans="5:13">
      <c r="E6486" s="261"/>
      <c r="F6486" s="261"/>
      <c r="G6486" s="261"/>
      <c r="H6486" s="261"/>
      <c r="I6486" s="261"/>
      <c r="J6486" s="261"/>
      <c r="K6486" s="261"/>
      <c r="L6486" s="261"/>
      <c r="M6486" s="261"/>
    </row>
    <row r="6487" spans="5:13">
      <c r="E6487" s="261"/>
      <c r="F6487" s="261"/>
      <c r="G6487" s="261"/>
      <c r="H6487" s="261"/>
      <c r="I6487" s="261"/>
      <c r="J6487" s="261"/>
      <c r="K6487" s="261"/>
      <c r="L6487" s="261"/>
      <c r="M6487" s="261"/>
    </row>
    <row r="6488" spans="5:13">
      <c r="E6488" s="261"/>
      <c r="F6488" s="261"/>
      <c r="G6488" s="261"/>
      <c r="H6488" s="261"/>
      <c r="I6488" s="261"/>
      <c r="J6488" s="261"/>
      <c r="K6488" s="261"/>
      <c r="L6488" s="261"/>
      <c r="M6488" s="261"/>
    </row>
    <row r="6489" spans="5:13">
      <c r="E6489" s="261"/>
      <c r="F6489" s="261"/>
      <c r="G6489" s="261"/>
      <c r="H6489" s="261"/>
      <c r="I6489" s="261"/>
      <c r="J6489" s="261"/>
      <c r="K6489" s="261"/>
      <c r="L6489" s="261"/>
      <c r="M6489" s="261"/>
    </row>
    <row r="6490" spans="5:13">
      <c r="E6490" s="261"/>
      <c r="F6490" s="261"/>
      <c r="G6490" s="261"/>
      <c r="H6490" s="261"/>
      <c r="I6490" s="261"/>
      <c r="J6490" s="261"/>
      <c r="K6490" s="261"/>
      <c r="L6490" s="261"/>
      <c r="M6490" s="261"/>
    </row>
    <row r="6491" spans="5:13">
      <c r="E6491" s="261"/>
      <c r="F6491" s="261"/>
      <c r="G6491" s="261"/>
      <c r="H6491" s="261"/>
      <c r="I6491" s="261"/>
      <c r="J6491" s="261"/>
      <c r="K6491" s="261"/>
      <c r="L6491" s="261"/>
      <c r="M6491" s="261"/>
    </row>
    <row r="6492" spans="5:13">
      <c r="E6492" s="261"/>
      <c r="F6492" s="261"/>
      <c r="G6492" s="261"/>
      <c r="H6492" s="261"/>
      <c r="I6492" s="261"/>
      <c r="J6492" s="261"/>
      <c r="K6492" s="261"/>
      <c r="L6492" s="261"/>
      <c r="M6492" s="261"/>
    </row>
    <row r="6493" spans="5:13">
      <c r="E6493" s="261"/>
      <c r="F6493" s="261"/>
      <c r="G6493" s="261"/>
      <c r="H6493" s="261"/>
      <c r="I6493" s="261"/>
      <c r="J6493" s="261"/>
      <c r="K6493" s="261"/>
      <c r="L6493" s="261"/>
      <c r="M6493" s="261"/>
    </row>
    <row r="6494" spans="5:13">
      <c r="E6494" s="261"/>
      <c r="F6494" s="261"/>
      <c r="G6494" s="261"/>
      <c r="H6494" s="261"/>
      <c r="I6494" s="261"/>
      <c r="J6494" s="261"/>
      <c r="K6494" s="261"/>
      <c r="L6494" s="261"/>
      <c r="M6494" s="261"/>
    </row>
    <row r="6495" spans="5:13">
      <c r="E6495" s="261"/>
      <c r="F6495" s="261"/>
      <c r="G6495" s="261"/>
      <c r="H6495" s="261"/>
      <c r="I6495" s="261"/>
      <c r="J6495" s="261"/>
      <c r="K6495" s="261"/>
      <c r="L6495" s="261"/>
      <c r="M6495" s="261"/>
    </row>
    <row r="6496" spans="5:13">
      <c r="E6496" s="261"/>
      <c r="F6496" s="261"/>
      <c r="G6496" s="261"/>
      <c r="H6496" s="261"/>
      <c r="I6496" s="261"/>
      <c r="J6496" s="261"/>
      <c r="K6496" s="261"/>
      <c r="L6496" s="261"/>
      <c r="M6496" s="261"/>
    </row>
    <row r="6497" spans="5:13">
      <c r="E6497" s="261"/>
      <c r="F6497" s="261"/>
      <c r="G6497" s="261"/>
      <c r="H6497" s="261"/>
      <c r="I6497" s="261"/>
      <c r="J6497" s="261"/>
      <c r="K6497" s="261"/>
      <c r="L6497" s="261"/>
      <c r="M6497" s="261"/>
    </row>
    <row r="6498" spans="5:13">
      <c r="E6498" s="261"/>
      <c r="F6498" s="261"/>
      <c r="G6498" s="261"/>
      <c r="H6498" s="261"/>
      <c r="I6498" s="261"/>
      <c r="J6498" s="261"/>
      <c r="K6498" s="261"/>
      <c r="L6498" s="261"/>
      <c r="M6498" s="261"/>
    </row>
    <row r="6499" spans="5:13">
      <c r="E6499" s="261"/>
      <c r="F6499" s="261"/>
      <c r="G6499" s="261"/>
      <c r="H6499" s="261"/>
      <c r="I6499" s="261"/>
      <c r="J6499" s="261"/>
      <c r="K6499" s="261"/>
      <c r="L6499" s="261"/>
      <c r="M6499" s="261"/>
    </row>
    <row r="6500" spans="5:13">
      <c r="E6500" s="261"/>
      <c r="F6500" s="261"/>
      <c r="G6500" s="261"/>
      <c r="H6500" s="261"/>
      <c r="I6500" s="261"/>
      <c r="J6500" s="261"/>
      <c r="K6500" s="261"/>
      <c r="L6500" s="261"/>
      <c r="M6500" s="261"/>
    </row>
    <row r="6501" spans="5:13">
      <c r="E6501" s="261"/>
      <c r="F6501" s="261"/>
      <c r="G6501" s="261"/>
      <c r="H6501" s="261"/>
      <c r="I6501" s="261"/>
      <c r="J6501" s="261"/>
      <c r="K6501" s="261"/>
      <c r="L6501" s="261"/>
      <c r="M6501" s="261"/>
    </row>
    <row r="6502" spans="5:13">
      <c r="E6502" s="261"/>
      <c r="F6502" s="261"/>
      <c r="G6502" s="261"/>
      <c r="H6502" s="261"/>
      <c r="I6502" s="261"/>
      <c r="J6502" s="261"/>
      <c r="K6502" s="261"/>
      <c r="L6502" s="261"/>
      <c r="M6502" s="261"/>
    </row>
    <row r="6503" spans="5:13">
      <c r="E6503" s="261"/>
      <c r="F6503" s="261"/>
      <c r="G6503" s="261"/>
      <c r="H6503" s="261"/>
      <c r="I6503" s="261"/>
      <c r="J6503" s="261"/>
      <c r="K6503" s="261"/>
      <c r="L6503" s="261"/>
      <c r="M6503" s="261"/>
    </row>
    <row r="6504" spans="5:13">
      <c r="E6504" s="261"/>
      <c r="F6504" s="261"/>
      <c r="G6504" s="261"/>
      <c r="H6504" s="261"/>
      <c r="I6504" s="261"/>
      <c r="J6504" s="261"/>
      <c r="K6504" s="261"/>
      <c r="L6504" s="261"/>
      <c r="M6504" s="261"/>
    </row>
    <row r="6505" spans="5:13">
      <c r="E6505" s="261"/>
      <c r="F6505" s="261"/>
      <c r="G6505" s="261"/>
      <c r="H6505" s="261"/>
      <c r="I6505" s="261"/>
      <c r="J6505" s="261"/>
      <c r="K6505" s="261"/>
      <c r="L6505" s="261"/>
      <c r="M6505" s="261"/>
    </row>
    <row r="6506" spans="5:13">
      <c r="E6506" s="261"/>
      <c r="F6506" s="261"/>
      <c r="G6506" s="261"/>
      <c r="H6506" s="261"/>
      <c r="I6506" s="261"/>
      <c r="J6506" s="261"/>
      <c r="K6506" s="261"/>
      <c r="L6506" s="261"/>
      <c r="M6506" s="261"/>
    </row>
    <row r="6507" spans="5:13">
      <c r="E6507" s="261"/>
      <c r="F6507" s="261"/>
      <c r="G6507" s="261"/>
      <c r="H6507" s="261"/>
      <c r="I6507" s="261"/>
      <c r="J6507" s="261"/>
      <c r="K6507" s="261"/>
      <c r="L6507" s="261"/>
      <c r="M6507" s="261"/>
    </row>
    <row r="6508" spans="5:13">
      <c r="E6508" s="261"/>
      <c r="F6508" s="261"/>
      <c r="G6508" s="261"/>
      <c r="H6508" s="261"/>
      <c r="I6508" s="261"/>
      <c r="J6508" s="261"/>
      <c r="K6508" s="261"/>
      <c r="L6508" s="261"/>
      <c r="M6508" s="261"/>
    </row>
    <row r="6509" spans="5:13">
      <c r="E6509" s="261"/>
      <c r="F6509" s="261"/>
      <c r="G6509" s="261"/>
      <c r="H6509" s="261"/>
      <c r="I6509" s="261"/>
      <c r="J6509" s="261"/>
      <c r="K6509" s="261"/>
      <c r="L6509" s="261"/>
      <c r="M6509" s="261"/>
    </row>
    <row r="6510" spans="5:13">
      <c r="E6510" s="261"/>
      <c r="F6510" s="261"/>
      <c r="G6510" s="261"/>
      <c r="H6510" s="261"/>
      <c r="I6510" s="261"/>
      <c r="J6510" s="261"/>
      <c r="K6510" s="261"/>
      <c r="L6510" s="261"/>
      <c r="M6510" s="261"/>
    </row>
    <row r="6511" spans="5:13">
      <c r="E6511" s="261"/>
      <c r="F6511" s="261"/>
      <c r="G6511" s="261"/>
      <c r="H6511" s="261"/>
      <c r="I6511" s="261"/>
      <c r="J6511" s="261"/>
      <c r="K6511" s="261"/>
      <c r="L6511" s="261"/>
      <c r="M6511" s="261"/>
    </row>
    <row r="6512" spans="5:13">
      <c r="E6512" s="261"/>
      <c r="F6512" s="261"/>
      <c r="G6512" s="261"/>
      <c r="H6512" s="261"/>
      <c r="I6512" s="261"/>
      <c r="J6512" s="261"/>
      <c r="K6512" s="261"/>
      <c r="L6512" s="261"/>
      <c r="M6512" s="261"/>
    </row>
    <row r="6513" spans="5:13">
      <c r="E6513" s="261"/>
      <c r="F6513" s="261"/>
      <c r="G6513" s="261"/>
      <c r="H6513" s="261"/>
      <c r="I6513" s="261"/>
      <c r="J6513" s="261"/>
      <c r="K6513" s="261"/>
      <c r="L6513" s="261"/>
      <c r="M6513" s="261"/>
    </row>
    <row r="6514" spans="5:13">
      <c r="E6514" s="261"/>
      <c r="F6514" s="261"/>
      <c r="G6514" s="261"/>
      <c r="H6514" s="261"/>
      <c r="I6514" s="261"/>
      <c r="J6514" s="261"/>
      <c r="K6514" s="261"/>
      <c r="L6514" s="261"/>
      <c r="M6514" s="261"/>
    </row>
    <row r="6515" spans="5:13">
      <c r="E6515" s="261"/>
      <c r="F6515" s="261"/>
      <c r="G6515" s="261"/>
      <c r="H6515" s="261"/>
      <c r="I6515" s="261"/>
      <c r="J6515" s="261"/>
      <c r="K6515" s="261"/>
      <c r="L6515" s="261"/>
      <c r="M6515" s="261"/>
    </row>
    <row r="6516" spans="5:13">
      <c r="E6516" s="261"/>
      <c r="F6516" s="261"/>
      <c r="G6516" s="261"/>
      <c r="H6516" s="261"/>
      <c r="I6516" s="261"/>
      <c r="J6516" s="261"/>
      <c r="K6516" s="261"/>
      <c r="L6516" s="261"/>
      <c r="M6516" s="261"/>
    </row>
    <row r="6517" spans="5:13">
      <c r="E6517" s="261"/>
      <c r="F6517" s="261"/>
      <c r="G6517" s="261"/>
      <c r="H6517" s="261"/>
      <c r="I6517" s="261"/>
      <c r="J6517" s="261"/>
      <c r="K6517" s="261"/>
      <c r="L6517" s="261"/>
      <c r="M6517" s="261"/>
    </row>
    <row r="6518" spans="5:13">
      <c r="E6518" s="261"/>
      <c r="F6518" s="261"/>
      <c r="G6518" s="261"/>
      <c r="H6518" s="261"/>
      <c r="I6518" s="261"/>
      <c r="J6518" s="261"/>
      <c r="K6518" s="261"/>
      <c r="L6518" s="261"/>
      <c r="M6518" s="261"/>
    </row>
    <row r="6519" spans="5:13">
      <c r="E6519" s="261"/>
      <c r="F6519" s="261"/>
      <c r="G6519" s="261"/>
      <c r="H6519" s="261"/>
      <c r="I6519" s="261"/>
      <c r="J6519" s="261"/>
      <c r="K6519" s="261"/>
      <c r="L6519" s="261"/>
      <c r="M6519" s="261"/>
    </row>
    <row r="6520" spans="5:13">
      <c r="E6520" s="261"/>
      <c r="F6520" s="261"/>
      <c r="G6520" s="261"/>
      <c r="H6520" s="261"/>
      <c r="I6520" s="261"/>
      <c r="J6520" s="261"/>
      <c r="K6520" s="261"/>
      <c r="L6520" s="261"/>
      <c r="M6520" s="261"/>
    </row>
    <row r="6521" spans="5:13">
      <c r="E6521" s="261"/>
      <c r="F6521" s="261"/>
      <c r="G6521" s="261"/>
      <c r="H6521" s="261"/>
      <c r="I6521" s="261"/>
      <c r="J6521" s="261"/>
      <c r="K6521" s="261"/>
      <c r="L6521" s="261"/>
      <c r="M6521" s="261"/>
    </row>
    <row r="6522" spans="5:13">
      <c r="E6522" s="261"/>
      <c r="F6522" s="261"/>
      <c r="G6522" s="261"/>
      <c r="H6522" s="261"/>
      <c r="I6522" s="261"/>
      <c r="J6522" s="261"/>
      <c r="K6522" s="261"/>
      <c r="L6522" s="261"/>
      <c r="M6522" s="261"/>
    </row>
    <row r="6523" spans="5:13">
      <c r="E6523" s="261"/>
      <c r="F6523" s="261"/>
      <c r="G6523" s="261"/>
      <c r="H6523" s="261"/>
      <c r="I6523" s="261"/>
      <c r="J6523" s="261"/>
      <c r="K6523" s="261"/>
      <c r="L6523" s="261"/>
      <c r="M6523" s="261"/>
    </row>
    <row r="6524" spans="5:13">
      <c r="E6524" s="261"/>
      <c r="F6524" s="261"/>
      <c r="G6524" s="261"/>
      <c r="H6524" s="261"/>
      <c r="I6524" s="261"/>
      <c r="J6524" s="261"/>
      <c r="K6524" s="261"/>
      <c r="L6524" s="261"/>
      <c r="M6524" s="261"/>
    </row>
    <row r="6525" spans="5:13">
      <c r="E6525" s="261"/>
      <c r="F6525" s="261"/>
      <c r="G6525" s="261"/>
      <c r="H6525" s="261"/>
      <c r="I6525" s="261"/>
      <c r="J6525" s="261"/>
      <c r="K6525" s="261"/>
      <c r="L6525" s="261"/>
      <c r="M6525" s="261"/>
    </row>
    <row r="6526" spans="5:13">
      <c r="E6526" s="261"/>
      <c r="F6526" s="261"/>
      <c r="G6526" s="261"/>
      <c r="H6526" s="261"/>
      <c r="I6526" s="261"/>
      <c r="J6526" s="261"/>
      <c r="K6526" s="261"/>
      <c r="L6526" s="261"/>
      <c r="M6526" s="261"/>
    </row>
    <row r="6527" spans="5:13">
      <c r="E6527" s="261"/>
      <c r="F6527" s="261"/>
      <c r="G6527" s="261"/>
      <c r="H6527" s="261"/>
      <c r="I6527" s="261"/>
      <c r="J6527" s="261"/>
      <c r="K6527" s="261"/>
      <c r="L6527" s="261"/>
      <c r="M6527" s="261"/>
    </row>
    <row r="6528" spans="5:13">
      <c r="E6528" s="261"/>
      <c r="F6528" s="261"/>
      <c r="G6528" s="261"/>
      <c r="H6528" s="261"/>
      <c r="I6528" s="261"/>
      <c r="J6528" s="261"/>
      <c r="K6528" s="261"/>
      <c r="L6528" s="261"/>
      <c r="M6528" s="261"/>
    </row>
    <row r="6529" spans="5:13">
      <c r="E6529" s="261"/>
      <c r="F6529" s="261"/>
      <c r="G6529" s="261"/>
      <c r="H6529" s="261"/>
      <c r="I6529" s="261"/>
      <c r="J6529" s="261"/>
      <c r="K6529" s="261"/>
      <c r="L6529" s="261"/>
      <c r="M6529" s="261"/>
    </row>
    <row r="6530" spans="5:13">
      <c r="E6530" s="261"/>
      <c r="F6530" s="261"/>
      <c r="G6530" s="261"/>
      <c r="H6530" s="261"/>
      <c r="I6530" s="261"/>
      <c r="J6530" s="261"/>
      <c r="K6530" s="261"/>
      <c r="L6530" s="261"/>
      <c r="M6530" s="261"/>
    </row>
    <row r="6531" spans="5:13">
      <c r="E6531" s="261"/>
      <c r="F6531" s="261"/>
      <c r="G6531" s="261"/>
      <c r="H6531" s="261"/>
      <c r="I6531" s="261"/>
      <c r="J6531" s="261"/>
      <c r="K6531" s="261"/>
      <c r="L6531" s="261"/>
      <c r="M6531" s="261"/>
    </row>
    <row r="6532" spans="5:13">
      <c r="E6532" s="261"/>
      <c r="F6532" s="261"/>
      <c r="G6532" s="261"/>
      <c r="H6532" s="261"/>
      <c r="I6532" s="261"/>
      <c r="J6532" s="261"/>
      <c r="K6532" s="261"/>
      <c r="L6532" s="261"/>
      <c r="M6532" s="261"/>
    </row>
    <row r="6533" spans="5:13">
      <c r="E6533" s="261"/>
      <c r="F6533" s="261"/>
      <c r="G6533" s="261"/>
      <c r="H6533" s="261"/>
      <c r="I6533" s="261"/>
      <c r="J6533" s="261"/>
      <c r="K6533" s="261"/>
      <c r="L6533" s="261"/>
      <c r="M6533" s="261"/>
    </row>
    <row r="6534" spans="5:13">
      <c r="E6534" s="261"/>
      <c r="F6534" s="261"/>
      <c r="G6534" s="261"/>
      <c r="H6534" s="261"/>
      <c r="I6534" s="261"/>
      <c r="J6534" s="261"/>
      <c r="K6534" s="261"/>
      <c r="L6534" s="261"/>
      <c r="M6534" s="261"/>
    </row>
    <row r="6535" spans="5:13">
      <c r="E6535" s="261"/>
      <c r="F6535" s="261"/>
      <c r="G6535" s="261"/>
      <c r="H6535" s="261"/>
      <c r="I6535" s="261"/>
      <c r="J6535" s="261"/>
      <c r="K6535" s="261"/>
      <c r="L6535" s="261"/>
      <c r="M6535" s="261"/>
    </row>
    <row r="6536" spans="5:13">
      <c r="E6536" s="261"/>
      <c r="F6536" s="261"/>
      <c r="G6536" s="261"/>
      <c r="H6536" s="261"/>
      <c r="I6536" s="261"/>
      <c r="J6536" s="261"/>
      <c r="K6536" s="261"/>
      <c r="L6536" s="261"/>
      <c r="M6536" s="261"/>
    </row>
    <row r="6537" spans="5:13">
      <c r="E6537" s="261"/>
      <c r="F6537" s="261"/>
      <c r="G6537" s="261"/>
      <c r="H6537" s="261"/>
      <c r="I6537" s="261"/>
      <c r="J6537" s="261"/>
      <c r="K6537" s="261"/>
      <c r="L6537" s="261"/>
      <c r="M6537" s="261"/>
    </row>
    <row r="6538" spans="5:13">
      <c r="E6538" s="261"/>
      <c r="F6538" s="261"/>
      <c r="G6538" s="261"/>
      <c r="H6538" s="261"/>
      <c r="I6538" s="261"/>
      <c r="J6538" s="261"/>
      <c r="K6538" s="261"/>
      <c r="L6538" s="261"/>
      <c r="M6538" s="261"/>
    </row>
    <row r="6539" spans="5:13">
      <c r="E6539" s="261"/>
      <c r="F6539" s="261"/>
      <c r="G6539" s="261"/>
      <c r="H6539" s="261"/>
      <c r="I6539" s="261"/>
      <c r="J6539" s="261"/>
      <c r="K6539" s="261"/>
      <c r="L6539" s="261"/>
      <c r="M6539" s="261"/>
    </row>
    <row r="6540" spans="5:13">
      <c r="E6540" s="261"/>
      <c r="F6540" s="261"/>
      <c r="G6540" s="261"/>
      <c r="H6540" s="261"/>
      <c r="I6540" s="261"/>
      <c r="J6540" s="261"/>
      <c r="K6540" s="261"/>
      <c r="L6540" s="261"/>
      <c r="M6540" s="261"/>
    </row>
    <row r="6541" spans="5:13">
      <c r="E6541" s="261"/>
      <c r="F6541" s="261"/>
      <c r="G6541" s="261"/>
      <c r="H6541" s="261"/>
      <c r="I6541" s="261"/>
      <c r="J6541" s="261"/>
      <c r="K6541" s="261"/>
      <c r="L6541" s="261"/>
      <c r="M6541" s="261"/>
    </row>
    <row r="6542" spans="5:13">
      <c r="E6542" s="261"/>
      <c r="F6542" s="261"/>
      <c r="G6542" s="261"/>
      <c r="H6542" s="261"/>
      <c r="I6542" s="261"/>
      <c r="J6542" s="261"/>
      <c r="K6542" s="261"/>
      <c r="L6542" s="261"/>
      <c r="M6542" s="261"/>
    </row>
    <row r="6543" spans="5:13">
      <c r="E6543" s="261"/>
      <c r="F6543" s="261"/>
      <c r="G6543" s="261"/>
      <c r="H6543" s="261"/>
      <c r="I6543" s="261"/>
      <c r="J6543" s="261"/>
      <c r="K6543" s="261"/>
      <c r="L6543" s="261"/>
      <c r="M6543" s="261"/>
    </row>
    <row r="6544" spans="5:13">
      <c r="E6544" s="261"/>
      <c r="F6544" s="261"/>
      <c r="G6544" s="261"/>
      <c r="H6544" s="261"/>
      <c r="I6544" s="261"/>
      <c r="J6544" s="261"/>
      <c r="K6544" s="261"/>
      <c r="L6544" s="261"/>
      <c r="M6544" s="261"/>
    </row>
    <row r="6545" spans="5:13">
      <c r="E6545" s="261"/>
      <c r="F6545" s="261"/>
      <c r="G6545" s="261"/>
      <c r="H6545" s="261"/>
      <c r="I6545" s="261"/>
      <c r="J6545" s="261"/>
      <c r="K6545" s="261"/>
      <c r="L6545" s="261"/>
      <c r="M6545" s="261"/>
    </row>
    <row r="6546" spans="5:13">
      <c r="E6546" s="261"/>
      <c r="F6546" s="261"/>
      <c r="G6546" s="261"/>
      <c r="H6546" s="261"/>
      <c r="I6546" s="261"/>
      <c r="J6546" s="261"/>
      <c r="K6546" s="261"/>
      <c r="L6546" s="261"/>
      <c r="M6546" s="261"/>
    </row>
    <row r="6547" spans="5:13">
      <c r="E6547" s="261"/>
      <c r="F6547" s="261"/>
      <c r="G6547" s="261"/>
      <c r="H6547" s="261"/>
      <c r="I6547" s="261"/>
      <c r="J6547" s="261"/>
      <c r="K6547" s="261"/>
      <c r="L6547" s="261"/>
      <c r="M6547" s="261"/>
    </row>
    <row r="6548" spans="5:13">
      <c r="E6548" s="261"/>
      <c r="F6548" s="261"/>
      <c r="G6548" s="261"/>
      <c r="H6548" s="261"/>
      <c r="I6548" s="261"/>
      <c r="J6548" s="261"/>
      <c r="K6548" s="261"/>
      <c r="L6548" s="261"/>
      <c r="M6548" s="261"/>
    </row>
    <row r="6549" spans="5:13">
      <c r="E6549" s="261"/>
      <c r="F6549" s="261"/>
      <c r="G6549" s="261"/>
      <c r="H6549" s="261"/>
      <c r="I6549" s="261"/>
      <c r="J6549" s="261"/>
      <c r="K6549" s="261"/>
      <c r="L6549" s="261"/>
      <c r="M6549" s="261"/>
    </row>
    <row r="6550" spans="5:13">
      <c r="E6550" s="261"/>
      <c r="F6550" s="261"/>
      <c r="G6550" s="261"/>
      <c r="H6550" s="261"/>
      <c r="I6550" s="261"/>
      <c r="J6550" s="261"/>
      <c r="K6550" s="261"/>
      <c r="L6550" s="261"/>
      <c r="M6550" s="261"/>
    </row>
    <row r="6551" spans="5:13">
      <c r="E6551" s="261"/>
      <c r="F6551" s="261"/>
      <c r="G6551" s="261"/>
      <c r="H6551" s="261"/>
      <c r="I6551" s="261"/>
      <c r="J6551" s="261"/>
      <c r="K6551" s="261"/>
      <c r="L6551" s="261"/>
      <c r="M6551" s="261"/>
    </row>
    <row r="6552" spans="5:13">
      <c r="E6552" s="261"/>
      <c r="F6552" s="261"/>
      <c r="G6552" s="261"/>
      <c r="H6552" s="261"/>
      <c r="I6552" s="261"/>
      <c r="J6552" s="261"/>
      <c r="K6552" s="261"/>
      <c r="L6552" s="261"/>
      <c r="M6552" s="261"/>
    </row>
    <row r="6553" spans="5:13">
      <c r="E6553" s="261"/>
      <c r="F6553" s="261"/>
      <c r="G6553" s="261"/>
      <c r="H6553" s="261"/>
      <c r="I6553" s="261"/>
      <c r="J6553" s="261"/>
      <c r="K6553" s="261"/>
      <c r="L6553" s="261"/>
      <c r="M6553" s="261"/>
    </row>
    <row r="6554" spans="5:13">
      <c r="E6554" s="261"/>
      <c r="F6554" s="261"/>
      <c r="G6554" s="261"/>
      <c r="H6554" s="261"/>
      <c r="I6554" s="261"/>
      <c r="J6554" s="261"/>
      <c r="K6554" s="261"/>
      <c r="L6554" s="261"/>
      <c r="M6554" s="261"/>
    </row>
    <row r="6555" spans="5:13">
      <c r="E6555" s="261"/>
      <c r="F6555" s="261"/>
      <c r="G6555" s="261"/>
      <c r="H6555" s="261"/>
      <c r="I6555" s="261"/>
      <c r="J6555" s="261"/>
      <c r="K6555" s="261"/>
      <c r="L6555" s="261"/>
      <c r="M6555" s="261"/>
    </row>
    <row r="6556" spans="5:13">
      <c r="E6556" s="261"/>
      <c r="F6556" s="261"/>
      <c r="G6556" s="261"/>
      <c r="H6556" s="261"/>
      <c r="I6556" s="261"/>
      <c r="J6556" s="261"/>
      <c r="K6556" s="261"/>
      <c r="L6556" s="261"/>
      <c r="M6556" s="261"/>
    </row>
    <row r="6557" spans="5:13">
      <c r="E6557" s="261"/>
      <c r="F6557" s="261"/>
      <c r="G6557" s="261"/>
      <c r="H6557" s="261"/>
      <c r="I6557" s="261"/>
      <c r="J6557" s="261"/>
      <c r="K6557" s="261"/>
      <c r="L6557" s="261"/>
      <c r="M6557" s="261"/>
    </row>
    <row r="6558" spans="5:13">
      <c r="E6558" s="261"/>
      <c r="F6558" s="261"/>
      <c r="G6558" s="261"/>
      <c r="H6558" s="261"/>
      <c r="I6558" s="261"/>
      <c r="J6558" s="261"/>
      <c r="K6558" s="261"/>
      <c r="L6558" s="261"/>
      <c r="M6558" s="261"/>
    </row>
    <row r="6559" spans="5:13">
      <c r="E6559" s="261"/>
      <c r="F6559" s="261"/>
      <c r="G6559" s="261"/>
      <c r="H6559" s="261"/>
      <c r="I6559" s="261"/>
      <c r="J6559" s="261"/>
      <c r="K6559" s="261"/>
      <c r="L6559" s="261"/>
      <c r="M6559" s="261"/>
    </row>
    <row r="6560" spans="5:13">
      <c r="E6560" s="261"/>
      <c r="F6560" s="261"/>
      <c r="G6560" s="261"/>
      <c r="H6560" s="261"/>
      <c r="I6560" s="261"/>
      <c r="J6560" s="261"/>
      <c r="K6560" s="261"/>
      <c r="L6560" s="261"/>
      <c r="M6560" s="261"/>
    </row>
    <row r="6561" spans="5:13">
      <c r="E6561" s="261"/>
      <c r="F6561" s="261"/>
      <c r="G6561" s="261"/>
      <c r="H6561" s="261"/>
      <c r="I6561" s="261"/>
      <c r="J6561" s="261"/>
      <c r="K6561" s="261"/>
      <c r="L6561" s="261"/>
      <c r="M6561" s="261"/>
    </row>
    <row r="6562" spans="5:13">
      <c r="E6562" s="261"/>
      <c r="F6562" s="261"/>
      <c r="G6562" s="261"/>
      <c r="H6562" s="261"/>
      <c r="I6562" s="261"/>
      <c r="J6562" s="261"/>
      <c r="K6562" s="261"/>
      <c r="L6562" s="261"/>
      <c r="M6562" s="261"/>
    </row>
    <row r="6563" spans="5:13">
      <c r="E6563" s="261"/>
      <c r="F6563" s="261"/>
      <c r="G6563" s="261"/>
      <c r="H6563" s="261"/>
      <c r="I6563" s="261"/>
      <c r="J6563" s="261"/>
      <c r="K6563" s="261"/>
      <c r="L6563" s="261"/>
      <c r="M6563" s="261"/>
    </row>
    <row r="6564" spans="5:13">
      <c r="E6564" s="261"/>
      <c r="F6564" s="261"/>
      <c r="G6564" s="261"/>
      <c r="H6564" s="261"/>
      <c r="I6564" s="261"/>
      <c r="J6564" s="261"/>
      <c r="K6564" s="261"/>
      <c r="L6564" s="261"/>
      <c r="M6564" s="261"/>
    </row>
    <row r="6565" spans="5:13">
      <c r="E6565" s="261"/>
      <c r="F6565" s="261"/>
      <c r="G6565" s="261"/>
      <c r="H6565" s="261"/>
      <c r="I6565" s="261"/>
      <c r="J6565" s="261"/>
      <c r="K6565" s="261"/>
      <c r="L6565" s="261"/>
      <c r="M6565" s="261"/>
    </row>
    <row r="6566" spans="5:13">
      <c r="E6566" s="261"/>
      <c r="F6566" s="261"/>
      <c r="G6566" s="261"/>
      <c r="H6566" s="261"/>
      <c r="I6566" s="261"/>
      <c r="J6566" s="261"/>
      <c r="K6566" s="261"/>
      <c r="L6566" s="261"/>
      <c r="M6566" s="261"/>
    </row>
    <row r="6567" spans="5:13">
      <c r="E6567" s="261"/>
      <c r="F6567" s="261"/>
      <c r="G6567" s="261"/>
      <c r="H6567" s="261"/>
      <c r="I6567" s="261"/>
      <c r="J6567" s="261"/>
      <c r="K6567" s="261"/>
      <c r="L6567" s="261"/>
      <c r="M6567" s="261"/>
    </row>
    <row r="6568" spans="5:13">
      <c r="E6568" s="261"/>
      <c r="F6568" s="261"/>
      <c r="G6568" s="261"/>
      <c r="H6568" s="261"/>
      <c r="I6568" s="261"/>
      <c r="J6568" s="261"/>
      <c r="K6568" s="261"/>
      <c r="L6568" s="261"/>
      <c r="M6568" s="261"/>
    </row>
    <row r="6569" spans="5:13">
      <c r="E6569" s="261"/>
      <c r="F6569" s="261"/>
      <c r="G6569" s="261"/>
      <c r="H6569" s="261"/>
      <c r="I6569" s="261"/>
      <c r="J6569" s="261"/>
      <c r="K6569" s="261"/>
      <c r="L6569" s="261"/>
      <c r="M6569" s="261"/>
    </row>
    <row r="6570" spans="5:13">
      <c r="E6570" s="261"/>
      <c r="F6570" s="261"/>
      <c r="G6570" s="261"/>
      <c r="H6570" s="261"/>
      <c r="I6570" s="261"/>
      <c r="J6570" s="261"/>
      <c r="K6570" s="261"/>
      <c r="L6570" s="261"/>
      <c r="M6570" s="261"/>
    </row>
    <row r="6571" spans="5:13">
      <c r="E6571" s="261"/>
      <c r="F6571" s="261"/>
      <c r="G6571" s="261"/>
      <c r="H6571" s="261"/>
      <c r="I6571" s="261"/>
      <c r="J6571" s="261"/>
      <c r="K6571" s="261"/>
      <c r="L6571" s="261"/>
      <c r="M6571" s="261"/>
    </row>
    <row r="6572" spans="5:13">
      <c r="E6572" s="261"/>
      <c r="F6572" s="261"/>
      <c r="G6572" s="261"/>
      <c r="H6572" s="261"/>
      <c r="I6572" s="261"/>
      <c r="J6572" s="261"/>
      <c r="K6572" s="261"/>
      <c r="L6572" s="261"/>
      <c r="M6572" s="261"/>
    </row>
    <row r="6573" spans="5:13">
      <c r="E6573" s="261"/>
      <c r="F6573" s="261"/>
      <c r="G6573" s="261"/>
      <c r="H6573" s="261"/>
      <c r="I6573" s="261"/>
      <c r="J6573" s="261"/>
      <c r="K6573" s="261"/>
      <c r="L6573" s="261"/>
      <c r="M6573" s="261"/>
    </row>
    <row r="6574" spans="5:13">
      <c r="E6574" s="261"/>
      <c r="F6574" s="261"/>
      <c r="G6574" s="261"/>
      <c r="H6574" s="261"/>
      <c r="I6574" s="261"/>
      <c r="J6574" s="261"/>
      <c r="K6574" s="261"/>
      <c r="L6574" s="261"/>
      <c r="M6574" s="261"/>
    </row>
    <row r="6575" spans="5:13">
      <c r="E6575" s="261"/>
      <c r="F6575" s="261"/>
      <c r="G6575" s="261"/>
      <c r="H6575" s="261"/>
      <c r="I6575" s="261"/>
      <c r="J6575" s="261"/>
      <c r="K6575" s="261"/>
      <c r="L6575" s="261"/>
      <c r="M6575" s="261"/>
    </row>
    <row r="6576" spans="5:13">
      <c r="E6576" s="261"/>
      <c r="F6576" s="261"/>
      <c r="G6576" s="261"/>
      <c r="H6576" s="261"/>
      <c r="I6576" s="261"/>
      <c r="J6576" s="261"/>
      <c r="K6576" s="261"/>
      <c r="L6576" s="261"/>
      <c r="M6576" s="261"/>
    </row>
    <row r="6577" spans="5:13">
      <c r="E6577" s="261"/>
      <c r="F6577" s="261"/>
      <c r="G6577" s="261"/>
      <c r="H6577" s="261"/>
      <c r="I6577" s="261"/>
      <c r="J6577" s="261"/>
      <c r="K6577" s="261"/>
      <c r="L6577" s="261"/>
      <c r="M6577" s="261"/>
    </row>
    <row r="6578" spans="5:13">
      <c r="E6578" s="261"/>
      <c r="F6578" s="261"/>
      <c r="G6578" s="261"/>
      <c r="H6578" s="261"/>
      <c r="I6578" s="261"/>
      <c r="J6578" s="261"/>
      <c r="K6578" s="261"/>
      <c r="L6578" s="261"/>
      <c r="M6578" s="261"/>
    </row>
    <row r="6579" spans="5:13">
      <c r="E6579" s="261"/>
      <c r="F6579" s="261"/>
      <c r="G6579" s="261"/>
      <c r="H6579" s="261"/>
      <c r="I6579" s="261"/>
      <c r="J6579" s="261"/>
      <c r="K6579" s="261"/>
      <c r="L6579" s="261"/>
      <c r="M6579" s="261"/>
    </row>
    <row r="6580" spans="5:13">
      <c r="E6580" s="261"/>
      <c r="F6580" s="261"/>
      <c r="G6580" s="261"/>
      <c r="H6580" s="261"/>
      <c r="I6580" s="261"/>
      <c r="J6580" s="261"/>
      <c r="K6580" s="261"/>
      <c r="L6580" s="261"/>
      <c r="M6580" s="261"/>
    </row>
    <row r="6581" spans="5:13">
      <c r="E6581" s="261"/>
      <c r="F6581" s="261"/>
      <c r="G6581" s="261"/>
      <c r="H6581" s="261"/>
      <c r="I6581" s="261"/>
      <c r="J6581" s="261"/>
      <c r="K6581" s="261"/>
      <c r="L6581" s="261"/>
      <c r="M6581" s="261"/>
    </row>
    <row r="6582" spans="5:13">
      <c r="E6582" s="261"/>
      <c r="F6582" s="261"/>
      <c r="G6582" s="261"/>
      <c r="H6582" s="261"/>
      <c r="I6582" s="261"/>
      <c r="J6582" s="261"/>
      <c r="K6582" s="261"/>
      <c r="L6582" s="261"/>
      <c r="M6582" s="261"/>
    </row>
    <row r="6583" spans="5:13">
      <c r="E6583" s="261"/>
      <c r="F6583" s="261"/>
      <c r="G6583" s="261"/>
      <c r="H6583" s="261"/>
      <c r="I6583" s="261"/>
      <c r="J6583" s="261"/>
      <c r="K6583" s="261"/>
      <c r="L6583" s="261"/>
      <c r="M6583" s="261"/>
    </row>
    <row r="6584" spans="5:13">
      <c r="E6584" s="261"/>
      <c r="F6584" s="261"/>
      <c r="G6584" s="261"/>
      <c r="H6584" s="261"/>
      <c r="I6584" s="261"/>
      <c r="J6584" s="261"/>
      <c r="K6584" s="261"/>
      <c r="L6584" s="261"/>
      <c r="M6584" s="261"/>
    </row>
    <row r="6585" spans="5:13">
      <c r="E6585" s="261"/>
      <c r="F6585" s="261"/>
      <c r="G6585" s="261"/>
      <c r="H6585" s="261"/>
      <c r="I6585" s="261"/>
      <c r="J6585" s="261"/>
      <c r="K6585" s="261"/>
      <c r="L6585" s="261"/>
      <c r="M6585" s="261"/>
    </row>
    <row r="6586" spans="5:13">
      <c r="E6586" s="261"/>
      <c r="F6586" s="261"/>
      <c r="G6586" s="261"/>
      <c r="H6586" s="261"/>
      <c r="I6586" s="261"/>
      <c r="J6586" s="261"/>
      <c r="K6586" s="261"/>
      <c r="L6586" s="261"/>
      <c r="M6586" s="261"/>
    </row>
    <row r="6587" spans="5:13">
      <c r="E6587" s="261"/>
      <c r="F6587" s="261"/>
      <c r="G6587" s="261"/>
      <c r="H6587" s="261"/>
      <c r="I6587" s="261"/>
      <c r="J6587" s="261"/>
      <c r="K6587" s="261"/>
      <c r="L6587" s="261"/>
      <c r="M6587" s="261"/>
    </row>
    <row r="6588" spans="5:13">
      <c r="E6588" s="261"/>
      <c r="F6588" s="261"/>
      <c r="G6588" s="261"/>
      <c r="H6588" s="261"/>
      <c r="I6588" s="261"/>
      <c r="J6588" s="261"/>
      <c r="K6588" s="261"/>
      <c r="L6588" s="261"/>
      <c r="M6588" s="261"/>
    </row>
    <row r="6589" spans="5:13">
      <c r="E6589" s="261"/>
      <c r="F6589" s="261"/>
      <c r="G6589" s="261"/>
      <c r="H6589" s="261"/>
      <c r="I6589" s="261"/>
      <c r="J6589" s="261"/>
      <c r="K6589" s="261"/>
      <c r="L6589" s="261"/>
      <c r="M6589" s="261"/>
    </row>
    <row r="6590" spans="5:13">
      <c r="E6590" s="261"/>
      <c r="F6590" s="261"/>
      <c r="G6590" s="261"/>
      <c r="H6590" s="261"/>
      <c r="I6590" s="261"/>
      <c r="J6590" s="261"/>
      <c r="K6590" s="261"/>
      <c r="L6590" s="261"/>
      <c r="M6590" s="261"/>
    </row>
    <row r="6591" spans="5:13">
      <c r="E6591" s="261"/>
      <c r="F6591" s="261"/>
      <c r="G6591" s="261"/>
      <c r="H6591" s="261"/>
      <c r="I6591" s="261"/>
      <c r="J6591" s="261"/>
      <c r="K6591" s="261"/>
      <c r="L6591" s="261"/>
      <c r="M6591" s="261"/>
    </row>
    <row r="6592" spans="5:13">
      <c r="E6592" s="261"/>
      <c r="F6592" s="261"/>
      <c r="G6592" s="261"/>
      <c r="H6592" s="261"/>
      <c r="I6592" s="261"/>
      <c r="J6592" s="261"/>
      <c r="K6592" s="261"/>
      <c r="L6592" s="261"/>
      <c r="M6592" s="261"/>
    </row>
    <row r="6593" spans="5:13">
      <c r="E6593" s="261"/>
      <c r="F6593" s="261"/>
      <c r="G6593" s="261"/>
      <c r="H6593" s="261"/>
      <c r="I6593" s="261"/>
      <c r="J6593" s="261"/>
      <c r="K6593" s="261"/>
      <c r="L6593" s="261"/>
      <c r="M6593" s="261"/>
    </row>
    <row r="6594" spans="5:13">
      <c r="E6594" s="261"/>
      <c r="F6594" s="261"/>
      <c r="G6594" s="261"/>
      <c r="H6594" s="261"/>
      <c r="I6594" s="261"/>
      <c r="J6594" s="261"/>
      <c r="K6594" s="261"/>
      <c r="L6594" s="261"/>
      <c r="M6594" s="261"/>
    </row>
    <row r="6595" spans="5:13">
      <c r="E6595" s="261"/>
      <c r="F6595" s="261"/>
      <c r="G6595" s="261"/>
      <c r="H6595" s="261"/>
      <c r="I6595" s="261"/>
      <c r="J6595" s="261"/>
      <c r="K6595" s="261"/>
      <c r="L6595" s="261"/>
      <c r="M6595" s="261"/>
    </row>
    <row r="6596" spans="5:13">
      <c r="E6596" s="261"/>
      <c r="F6596" s="261"/>
      <c r="G6596" s="261"/>
      <c r="H6596" s="261"/>
      <c r="I6596" s="261"/>
      <c r="J6596" s="261"/>
      <c r="K6596" s="261"/>
      <c r="L6596" s="261"/>
      <c r="M6596" s="261"/>
    </row>
    <row r="6597" spans="5:13">
      <c r="E6597" s="261"/>
      <c r="F6597" s="261"/>
      <c r="G6597" s="261"/>
      <c r="H6597" s="261"/>
      <c r="I6597" s="261"/>
      <c r="J6597" s="261"/>
      <c r="K6597" s="261"/>
      <c r="L6597" s="261"/>
      <c r="M6597" s="261"/>
    </row>
    <row r="6598" spans="5:13">
      <c r="E6598" s="261"/>
      <c r="F6598" s="261"/>
      <c r="G6598" s="261"/>
      <c r="H6598" s="261"/>
      <c r="I6598" s="261"/>
      <c r="J6598" s="261"/>
      <c r="K6598" s="261"/>
      <c r="L6598" s="261"/>
      <c r="M6598" s="261"/>
    </row>
    <row r="6599" spans="5:13">
      <c r="E6599" s="261"/>
      <c r="F6599" s="261"/>
      <c r="G6599" s="261"/>
      <c r="H6599" s="261"/>
      <c r="I6599" s="261"/>
      <c r="J6599" s="261"/>
      <c r="K6599" s="261"/>
      <c r="L6599" s="261"/>
      <c r="M6599" s="261"/>
    </row>
    <row r="6600" spans="5:13">
      <c r="E6600" s="261"/>
      <c r="F6600" s="261"/>
      <c r="G6600" s="261"/>
      <c r="H6600" s="261"/>
      <c r="I6600" s="261"/>
      <c r="J6600" s="261"/>
      <c r="K6600" s="261"/>
      <c r="L6600" s="261"/>
      <c r="M6600" s="261"/>
    </row>
    <row r="6601" spans="5:13">
      <c r="E6601" s="261"/>
      <c r="F6601" s="261"/>
      <c r="G6601" s="261"/>
      <c r="H6601" s="261"/>
      <c r="I6601" s="261"/>
      <c r="J6601" s="261"/>
      <c r="K6601" s="261"/>
      <c r="L6601" s="261"/>
      <c r="M6601" s="261"/>
    </row>
    <row r="6602" spans="5:13">
      <c r="E6602" s="261"/>
      <c r="F6602" s="261"/>
      <c r="G6602" s="261"/>
      <c r="H6602" s="261"/>
      <c r="I6602" s="261"/>
      <c r="J6602" s="261"/>
      <c r="K6602" s="261"/>
      <c r="L6602" s="261"/>
      <c r="M6602" s="261"/>
    </row>
    <row r="6603" spans="5:13">
      <c r="E6603" s="261"/>
      <c r="F6603" s="261"/>
      <c r="G6603" s="261"/>
      <c r="H6603" s="261"/>
      <c r="I6603" s="261"/>
      <c r="J6603" s="261"/>
      <c r="K6603" s="261"/>
      <c r="L6603" s="261"/>
      <c r="M6603" s="261"/>
    </row>
    <row r="6604" spans="5:13">
      <c r="E6604" s="261"/>
      <c r="F6604" s="261"/>
      <c r="G6604" s="261"/>
      <c r="H6604" s="261"/>
      <c r="I6604" s="261"/>
      <c r="J6604" s="261"/>
      <c r="K6604" s="261"/>
      <c r="L6604" s="261"/>
      <c r="M6604" s="261"/>
    </row>
    <row r="6605" spans="5:13">
      <c r="E6605" s="261"/>
      <c r="F6605" s="261"/>
      <c r="G6605" s="261"/>
      <c r="H6605" s="261"/>
      <c r="I6605" s="261"/>
      <c r="J6605" s="261"/>
      <c r="K6605" s="261"/>
      <c r="L6605" s="261"/>
      <c r="M6605" s="261"/>
    </row>
    <row r="6606" spans="5:13">
      <c r="E6606" s="261"/>
      <c r="F6606" s="261"/>
      <c r="G6606" s="261"/>
      <c r="H6606" s="261"/>
      <c r="I6606" s="261"/>
      <c r="J6606" s="261"/>
      <c r="K6606" s="261"/>
      <c r="L6606" s="261"/>
      <c r="M6606" s="261"/>
    </row>
    <row r="6607" spans="5:13">
      <c r="E6607" s="261"/>
      <c r="F6607" s="261"/>
      <c r="G6607" s="261"/>
      <c r="H6607" s="261"/>
      <c r="I6607" s="261"/>
      <c r="J6607" s="261"/>
      <c r="K6607" s="261"/>
      <c r="L6607" s="261"/>
      <c r="M6607" s="261"/>
    </row>
    <row r="6608" spans="5:13">
      <c r="E6608" s="261"/>
      <c r="F6608" s="261"/>
      <c r="G6608" s="261"/>
      <c r="H6608" s="261"/>
      <c r="I6608" s="261"/>
      <c r="J6608" s="261"/>
      <c r="K6608" s="261"/>
      <c r="L6608" s="261"/>
      <c r="M6608" s="261"/>
    </row>
    <row r="6609" spans="5:13">
      <c r="E6609" s="261"/>
      <c r="F6609" s="261"/>
      <c r="G6609" s="261"/>
      <c r="H6609" s="261"/>
      <c r="I6609" s="261"/>
      <c r="J6609" s="261"/>
      <c r="K6609" s="261"/>
      <c r="L6609" s="261"/>
      <c r="M6609" s="261"/>
    </row>
    <row r="6610" spans="5:13">
      <c r="E6610" s="261"/>
      <c r="F6610" s="261"/>
      <c r="G6610" s="261"/>
      <c r="H6610" s="261"/>
      <c r="I6610" s="261"/>
      <c r="J6610" s="261"/>
      <c r="K6610" s="261"/>
      <c r="L6610" s="261"/>
      <c r="M6610" s="261"/>
    </row>
    <row r="6611" spans="5:13">
      <c r="E6611" s="261"/>
      <c r="F6611" s="261"/>
      <c r="G6611" s="261"/>
      <c r="H6611" s="261"/>
      <c r="I6611" s="261"/>
      <c r="J6611" s="261"/>
      <c r="K6611" s="261"/>
      <c r="L6611" s="261"/>
      <c r="M6611" s="261"/>
    </row>
    <row r="6612" spans="5:13">
      <c r="E6612" s="261"/>
      <c r="F6612" s="261"/>
      <c r="G6612" s="261"/>
      <c r="H6612" s="261"/>
      <c r="I6612" s="261"/>
      <c r="J6612" s="261"/>
      <c r="K6612" s="261"/>
      <c r="L6612" s="261"/>
      <c r="M6612" s="261"/>
    </row>
    <row r="6613" spans="5:13">
      <c r="E6613" s="261"/>
      <c r="F6613" s="261"/>
      <c r="G6613" s="261"/>
      <c r="H6613" s="261"/>
      <c r="I6613" s="261"/>
      <c r="J6613" s="261"/>
      <c r="K6613" s="261"/>
      <c r="L6613" s="261"/>
      <c r="M6613" s="261"/>
    </row>
    <row r="6614" spans="5:13">
      <c r="E6614" s="261"/>
      <c r="F6614" s="261"/>
      <c r="G6614" s="261"/>
      <c r="H6614" s="261"/>
      <c r="I6614" s="261"/>
      <c r="J6614" s="261"/>
      <c r="K6614" s="261"/>
      <c r="L6614" s="261"/>
      <c r="M6614" s="261"/>
    </row>
    <row r="6615" spans="5:13">
      <c r="E6615" s="261"/>
      <c r="F6615" s="261"/>
      <c r="G6615" s="261"/>
      <c r="H6615" s="261"/>
      <c r="I6615" s="261"/>
      <c r="J6615" s="261"/>
      <c r="K6615" s="261"/>
      <c r="L6615" s="261"/>
      <c r="M6615" s="261"/>
    </row>
    <row r="6616" spans="5:13">
      <c r="E6616" s="261"/>
      <c r="F6616" s="261"/>
      <c r="G6616" s="261"/>
      <c r="H6616" s="261"/>
      <c r="I6616" s="261"/>
      <c r="J6616" s="261"/>
      <c r="K6616" s="261"/>
      <c r="L6616" s="261"/>
      <c r="M6616" s="261"/>
    </row>
    <row r="6617" spans="5:13">
      <c r="E6617" s="261"/>
      <c r="F6617" s="261"/>
      <c r="G6617" s="261"/>
      <c r="H6617" s="261"/>
      <c r="I6617" s="261"/>
      <c r="J6617" s="261"/>
      <c r="K6617" s="261"/>
      <c r="L6617" s="261"/>
      <c r="M6617" s="261"/>
    </row>
    <row r="6618" spans="5:13">
      <c r="E6618" s="261"/>
      <c r="F6618" s="261"/>
      <c r="G6618" s="261"/>
      <c r="H6618" s="261"/>
      <c r="I6618" s="261"/>
      <c r="J6618" s="261"/>
      <c r="K6618" s="261"/>
      <c r="L6618" s="261"/>
      <c r="M6618" s="261"/>
    </row>
    <row r="6619" spans="5:13">
      <c r="E6619" s="261"/>
      <c r="F6619" s="261"/>
      <c r="G6619" s="261"/>
      <c r="H6619" s="261"/>
      <c r="I6619" s="261"/>
      <c r="J6619" s="261"/>
      <c r="K6619" s="261"/>
      <c r="L6619" s="261"/>
      <c r="M6619" s="261"/>
    </row>
    <row r="6620" spans="5:13">
      <c r="E6620" s="261"/>
      <c r="F6620" s="261"/>
      <c r="G6620" s="261"/>
      <c r="H6620" s="261"/>
      <c r="I6620" s="261"/>
      <c r="J6620" s="261"/>
      <c r="K6620" s="261"/>
      <c r="L6620" s="261"/>
      <c r="M6620" s="261"/>
    </row>
    <row r="6621" spans="5:13">
      <c r="E6621" s="261"/>
      <c r="F6621" s="261"/>
      <c r="G6621" s="261"/>
      <c r="H6621" s="261"/>
      <c r="I6621" s="261"/>
      <c r="J6621" s="261"/>
      <c r="K6621" s="261"/>
      <c r="L6621" s="261"/>
      <c r="M6621" s="261"/>
    </row>
    <row r="6622" spans="5:13">
      <c r="E6622" s="261"/>
      <c r="F6622" s="261"/>
      <c r="G6622" s="261"/>
      <c r="H6622" s="261"/>
      <c r="I6622" s="261"/>
      <c r="J6622" s="261"/>
      <c r="K6622" s="261"/>
      <c r="L6622" s="261"/>
      <c r="M6622" s="261"/>
    </row>
    <row r="6623" spans="5:13">
      <c r="E6623" s="261"/>
      <c r="F6623" s="261"/>
      <c r="G6623" s="261"/>
      <c r="H6623" s="261"/>
      <c r="I6623" s="261"/>
      <c r="J6623" s="261"/>
      <c r="K6623" s="261"/>
      <c r="L6623" s="261"/>
      <c r="M6623" s="261"/>
    </row>
    <row r="6624" spans="5:13">
      <c r="E6624" s="261"/>
      <c r="F6624" s="261"/>
      <c r="G6624" s="261"/>
      <c r="H6624" s="261"/>
      <c r="I6624" s="261"/>
      <c r="J6624" s="261"/>
      <c r="K6624" s="261"/>
      <c r="L6624" s="261"/>
      <c r="M6624" s="261"/>
    </row>
    <row r="6625" spans="5:13">
      <c r="E6625" s="261"/>
      <c r="F6625" s="261"/>
      <c r="G6625" s="261"/>
      <c r="H6625" s="261"/>
      <c r="I6625" s="261"/>
      <c r="J6625" s="261"/>
      <c r="K6625" s="261"/>
      <c r="L6625" s="261"/>
      <c r="M6625" s="261"/>
    </row>
    <row r="6626" spans="5:13">
      <c r="E6626" s="261"/>
      <c r="F6626" s="261"/>
      <c r="G6626" s="261"/>
      <c r="H6626" s="261"/>
      <c r="I6626" s="261"/>
      <c r="J6626" s="261"/>
      <c r="K6626" s="261"/>
      <c r="L6626" s="261"/>
      <c r="M6626" s="261"/>
    </row>
    <row r="6627" spans="5:13">
      <c r="E6627" s="261"/>
      <c r="F6627" s="261"/>
      <c r="G6627" s="261"/>
      <c r="H6627" s="261"/>
      <c r="I6627" s="261"/>
      <c r="J6627" s="261"/>
      <c r="K6627" s="261"/>
      <c r="L6627" s="261"/>
      <c r="M6627" s="261"/>
    </row>
    <row r="6628" spans="5:13">
      <c r="E6628" s="261"/>
      <c r="F6628" s="261"/>
      <c r="G6628" s="261"/>
      <c r="H6628" s="261"/>
      <c r="I6628" s="261"/>
      <c r="J6628" s="261"/>
      <c r="K6628" s="261"/>
      <c r="L6628" s="261"/>
      <c r="M6628" s="261"/>
    </row>
    <row r="6629" spans="5:13">
      <c r="E6629" s="261"/>
      <c r="F6629" s="261"/>
      <c r="G6629" s="261"/>
      <c r="H6629" s="261"/>
      <c r="I6629" s="261"/>
      <c r="J6629" s="261"/>
      <c r="K6629" s="261"/>
      <c r="L6629" s="261"/>
      <c r="M6629" s="261"/>
    </row>
    <row r="6630" spans="5:13">
      <c r="E6630" s="261"/>
      <c r="F6630" s="261"/>
      <c r="G6630" s="261"/>
      <c r="H6630" s="261"/>
      <c r="I6630" s="261"/>
      <c r="J6630" s="261"/>
      <c r="K6630" s="261"/>
      <c r="L6630" s="261"/>
      <c r="M6630" s="261"/>
    </row>
    <row r="6631" spans="5:13">
      <c r="E6631" s="261"/>
      <c r="F6631" s="261"/>
      <c r="G6631" s="261"/>
      <c r="H6631" s="261"/>
      <c r="I6631" s="261"/>
      <c r="J6631" s="261"/>
      <c r="K6631" s="261"/>
      <c r="L6631" s="261"/>
      <c r="M6631" s="261"/>
    </row>
    <row r="6632" spans="5:13">
      <c r="E6632" s="261"/>
      <c r="F6632" s="261"/>
      <c r="G6632" s="261"/>
      <c r="H6632" s="261"/>
      <c r="I6632" s="261"/>
      <c r="J6632" s="261"/>
      <c r="K6632" s="261"/>
      <c r="L6632" s="261"/>
      <c r="M6632" s="261"/>
    </row>
    <row r="6633" spans="5:13">
      <c r="E6633" s="261"/>
      <c r="F6633" s="261"/>
      <c r="G6633" s="261"/>
      <c r="H6633" s="261"/>
      <c r="I6633" s="261"/>
      <c r="J6633" s="261"/>
      <c r="K6633" s="261"/>
      <c r="L6633" s="261"/>
      <c r="M6633" s="261"/>
    </row>
    <row r="6634" spans="5:13">
      <c r="E6634" s="261"/>
      <c r="F6634" s="261"/>
      <c r="G6634" s="261"/>
      <c r="H6634" s="261"/>
      <c r="I6634" s="261"/>
      <c r="J6634" s="261"/>
      <c r="K6634" s="261"/>
      <c r="L6634" s="261"/>
      <c r="M6634" s="261"/>
    </row>
    <row r="6635" spans="5:13">
      <c r="E6635" s="261"/>
      <c r="F6635" s="261"/>
      <c r="G6635" s="261"/>
      <c r="H6635" s="261"/>
      <c r="I6635" s="261"/>
      <c r="J6635" s="261"/>
      <c r="K6635" s="261"/>
      <c r="L6635" s="261"/>
      <c r="M6635" s="261"/>
    </row>
    <row r="6636" spans="5:13">
      <c r="E6636" s="261"/>
      <c r="F6636" s="261"/>
      <c r="G6636" s="261"/>
      <c r="H6636" s="261"/>
      <c r="I6636" s="261"/>
      <c r="J6636" s="261"/>
      <c r="K6636" s="261"/>
      <c r="L6636" s="261"/>
      <c r="M6636" s="261"/>
    </row>
    <row r="6637" spans="5:13">
      <c r="E6637" s="261"/>
      <c r="F6637" s="261"/>
      <c r="G6637" s="261"/>
      <c r="H6637" s="261"/>
      <c r="I6637" s="261"/>
      <c r="J6637" s="261"/>
      <c r="K6637" s="261"/>
      <c r="L6637" s="261"/>
      <c r="M6637" s="261"/>
    </row>
    <row r="6638" spans="5:13">
      <c r="E6638" s="261"/>
      <c r="F6638" s="261"/>
      <c r="G6638" s="261"/>
      <c r="H6638" s="261"/>
      <c r="I6638" s="261"/>
      <c r="J6638" s="261"/>
      <c r="K6638" s="261"/>
      <c r="L6638" s="261"/>
      <c r="M6638" s="261"/>
    </row>
    <row r="6639" spans="5:13">
      <c r="E6639" s="261"/>
      <c r="F6639" s="261"/>
      <c r="G6639" s="261"/>
      <c r="H6639" s="261"/>
      <c r="I6639" s="261"/>
      <c r="J6639" s="261"/>
      <c r="K6639" s="261"/>
      <c r="L6639" s="261"/>
      <c r="M6639" s="261"/>
    </row>
    <row r="6640" spans="5:13">
      <c r="E6640" s="261"/>
      <c r="F6640" s="261"/>
      <c r="G6640" s="261"/>
      <c r="H6640" s="261"/>
      <c r="I6640" s="261"/>
      <c r="J6640" s="261"/>
      <c r="K6640" s="261"/>
      <c r="L6640" s="261"/>
      <c r="M6640" s="261"/>
    </row>
    <row r="6641" spans="5:13">
      <c r="E6641" s="261"/>
      <c r="F6641" s="261"/>
      <c r="G6641" s="261"/>
      <c r="H6641" s="261"/>
      <c r="I6641" s="261"/>
      <c r="J6641" s="261"/>
      <c r="K6641" s="261"/>
      <c r="L6641" s="261"/>
      <c r="M6641" s="261"/>
    </row>
    <row r="6642" spans="5:13">
      <c r="E6642" s="261"/>
      <c r="F6642" s="261"/>
      <c r="G6642" s="261"/>
      <c r="H6642" s="261"/>
      <c r="I6642" s="261"/>
      <c r="J6642" s="261"/>
      <c r="K6642" s="261"/>
      <c r="L6642" s="261"/>
      <c r="M6642" s="261"/>
    </row>
    <row r="6643" spans="5:13">
      <c r="E6643" s="261"/>
      <c r="F6643" s="261"/>
      <c r="G6643" s="261"/>
      <c r="H6643" s="261"/>
      <c r="I6643" s="261"/>
      <c r="J6643" s="261"/>
      <c r="K6643" s="261"/>
      <c r="L6643" s="261"/>
      <c r="M6643" s="261"/>
    </row>
    <row r="6644" spans="5:13">
      <c r="E6644" s="261"/>
      <c r="F6644" s="261"/>
      <c r="G6644" s="261"/>
      <c r="H6644" s="261"/>
      <c r="I6644" s="261"/>
      <c r="J6644" s="261"/>
      <c r="K6644" s="261"/>
      <c r="L6644" s="261"/>
      <c r="M6644" s="261"/>
    </row>
    <row r="6645" spans="5:13">
      <c r="E6645" s="261"/>
      <c r="F6645" s="261"/>
      <c r="G6645" s="261"/>
      <c r="H6645" s="261"/>
      <c r="I6645" s="261"/>
      <c r="J6645" s="261"/>
      <c r="K6645" s="261"/>
      <c r="L6645" s="261"/>
      <c r="M6645" s="261"/>
    </row>
    <row r="6646" spans="5:13">
      <c r="E6646" s="261"/>
      <c r="F6646" s="261"/>
      <c r="G6646" s="261"/>
      <c r="H6646" s="261"/>
      <c r="I6646" s="261"/>
      <c r="J6646" s="261"/>
      <c r="K6646" s="261"/>
      <c r="L6646" s="261"/>
      <c r="M6646" s="261"/>
    </row>
    <row r="6647" spans="5:13">
      <c r="E6647" s="261"/>
      <c r="F6647" s="261"/>
      <c r="G6647" s="261"/>
      <c r="H6647" s="261"/>
      <c r="I6647" s="261"/>
      <c r="J6647" s="261"/>
      <c r="K6647" s="261"/>
      <c r="L6647" s="261"/>
      <c r="M6647" s="261"/>
    </row>
    <row r="6648" spans="5:13">
      <c r="E6648" s="261"/>
      <c r="F6648" s="261"/>
      <c r="G6648" s="261"/>
      <c r="H6648" s="261"/>
      <c r="I6648" s="261"/>
      <c r="J6648" s="261"/>
      <c r="K6648" s="261"/>
      <c r="L6648" s="261"/>
      <c r="M6648" s="261"/>
    </row>
    <row r="6649" spans="5:13">
      <c r="E6649" s="261"/>
      <c r="F6649" s="261"/>
      <c r="G6649" s="261"/>
      <c r="H6649" s="261"/>
      <c r="I6649" s="261"/>
      <c r="J6649" s="261"/>
      <c r="K6649" s="261"/>
      <c r="L6649" s="261"/>
      <c r="M6649" s="261"/>
    </row>
    <row r="6650" spans="5:13">
      <c r="E6650" s="261"/>
      <c r="F6650" s="261"/>
      <c r="G6650" s="261"/>
      <c r="H6650" s="261"/>
      <c r="I6650" s="261"/>
      <c r="J6650" s="261"/>
      <c r="K6650" s="261"/>
      <c r="L6650" s="261"/>
      <c r="M6650" s="261"/>
    </row>
    <row r="6651" spans="5:13">
      <c r="E6651" s="261"/>
      <c r="F6651" s="261"/>
      <c r="G6651" s="261"/>
      <c r="H6651" s="261"/>
      <c r="I6651" s="261"/>
      <c r="J6651" s="261"/>
      <c r="K6651" s="261"/>
      <c r="L6651" s="261"/>
      <c r="M6651" s="261"/>
    </row>
    <row r="6652" spans="5:13">
      <c r="E6652" s="261"/>
      <c r="F6652" s="261"/>
      <c r="G6652" s="261"/>
      <c r="H6652" s="261"/>
      <c r="I6652" s="261"/>
      <c r="J6652" s="261"/>
      <c r="K6652" s="261"/>
      <c r="L6652" s="261"/>
      <c r="M6652" s="261"/>
    </row>
    <row r="6653" spans="5:13">
      <c r="E6653" s="261"/>
      <c r="F6653" s="261"/>
      <c r="G6653" s="261"/>
      <c r="H6653" s="261"/>
      <c r="I6653" s="261"/>
      <c r="J6653" s="261"/>
      <c r="K6653" s="261"/>
      <c r="L6653" s="261"/>
      <c r="M6653" s="261"/>
    </row>
    <row r="6654" spans="5:13">
      <c r="E6654" s="261"/>
      <c r="F6654" s="261"/>
      <c r="G6654" s="261"/>
      <c r="H6654" s="261"/>
      <c r="I6654" s="261"/>
      <c r="J6654" s="261"/>
      <c r="K6654" s="261"/>
      <c r="L6654" s="261"/>
      <c r="M6654" s="261"/>
    </row>
    <row r="6655" spans="5:13">
      <c r="E6655" s="261"/>
      <c r="F6655" s="261"/>
      <c r="G6655" s="261"/>
      <c r="H6655" s="261"/>
      <c r="I6655" s="261"/>
      <c r="J6655" s="261"/>
      <c r="K6655" s="261"/>
      <c r="L6655" s="261"/>
      <c r="M6655" s="261"/>
    </row>
    <row r="6656" spans="5:13">
      <c r="E6656" s="261"/>
      <c r="F6656" s="261"/>
      <c r="G6656" s="261"/>
      <c r="H6656" s="261"/>
      <c r="I6656" s="261"/>
      <c r="J6656" s="261"/>
      <c r="K6656" s="261"/>
      <c r="L6656" s="261"/>
      <c r="M6656" s="261"/>
    </row>
    <row r="6657" spans="5:13">
      <c r="E6657" s="261"/>
      <c r="F6657" s="261"/>
      <c r="G6657" s="261"/>
      <c r="H6657" s="261"/>
      <c r="I6657" s="261"/>
      <c r="J6657" s="261"/>
      <c r="K6657" s="261"/>
      <c r="L6657" s="261"/>
      <c r="M6657" s="261"/>
    </row>
    <row r="6658" spans="5:13">
      <c r="E6658" s="261"/>
      <c r="F6658" s="261"/>
      <c r="G6658" s="261"/>
      <c r="H6658" s="261"/>
      <c r="I6658" s="261"/>
      <c r="J6658" s="261"/>
      <c r="K6658" s="261"/>
      <c r="L6658" s="261"/>
      <c r="M6658" s="261"/>
    </row>
    <row r="6659" spans="5:13">
      <c r="E6659" s="261"/>
      <c r="F6659" s="261"/>
      <c r="G6659" s="261"/>
      <c r="H6659" s="261"/>
      <c r="I6659" s="261"/>
      <c r="J6659" s="261"/>
      <c r="K6659" s="261"/>
      <c r="L6659" s="261"/>
      <c r="M6659" s="261"/>
    </row>
    <row r="6660" spans="5:13">
      <c r="E6660" s="261"/>
      <c r="F6660" s="261"/>
      <c r="G6660" s="261"/>
      <c r="H6660" s="261"/>
      <c r="I6660" s="261"/>
      <c r="J6660" s="261"/>
      <c r="K6660" s="261"/>
      <c r="L6660" s="261"/>
      <c r="M6660" s="261"/>
    </row>
    <row r="6661" spans="5:13">
      <c r="E6661" s="261"/>
      <c r="F6661" s="261"/>
      <c r="G6661" s="261"/>
      <c r="H6661" s="261"/>
      <c r="I6661" s="261"/>
      <c r="J6661" s="261"/>
      <c r="K6661" s="261"/>
      <c r="L6661" s="261"/>
      <c r="M6661" s="261"/>
    </row>
    <row r="6662" spans="5:13">
      <c r="E6662" s="261"/>
      <c r="F6662" s="261"/>
      <c r="G6662" s="261"/>
      <c r="H6662" s="261"/>
      <c r="I6662" s="261"/>
      <c r="J6662" s="261"/>
      <c r="K6662" s="261"/>
      <c r="L6662" s="261"/>
      <c r="M6662" s="261"/>
    </row>
    <row r="6663" spans="5:13">
      <c r="E6663" s="261"/>
      <c r="F6663" s="261"/>
      <c r="G6663" s="261"/>
      <c r="H6663" s="261"/>
      <c r="I6663" s="261"/>
      <c r="J6663" s="261"/>
      <c r="K6663" s="261"/>
      <c r="L6663" s="261"/>
      <c r="M6663" s="261"/>
    </row>
    <row r="6664" spans="5:13">
      <c r="E6664" s="261"/>
      <c r="F6664" s="261"/>
      <c r="G6664" s="261"/>
      <c r="H6664" s="261"/>
      <c r="I6664" s="261"/>
      <c r="J6664" s="261"/>
      <c r="K6664" s="261"/>
      <c r="L6664" s="261"/>
      <c r="M6664" s="261"/>
    </row>
    <row r="6665" spans="5:13">
      <c r="E6665" s="261"/>
      <c r="F6665" s="261"/>
      <c r="G6665" s="261"/>
      <c r="H6665" s="261"/>
      <c r="I6665" s="261"/>
      <c r="J6665" s="261"/>
      <c r="K6665" s="261"/>
      <c r="L6665" s="261"/>
      <c r="M6665" s="261"/>
    </row>
    <row r="6666" spans="5:13">
      <c r="E6666" s="261"/>
      <c r="F6666" s="261"/>
      <c r="G6666" s="261"/>
      <c r="H6666" s="261"/>
      <c r="I6666" s="261"/>
      <c r="J6666" s="261"/>
      <c r="K6666" s="261"/>
      <c r="L6666" s="261"/>
      <c r="M6666" s="261"/>
    </row>
    <row r="6667" spans="5:13">
      <c r="E6667" s="261"/>
      <c r="F6667" s="261"/>
      <c r="G6667" s="261"/>
      <c r="H6667" s="261"/>
      <c r="I6667" s="261"/>
      <c r="J6667" s="261"/>
      <c r="K6667" s="261"/>
      <c r="L6667" s="261"/>
      <c r="M6667" s="261"/>
    </row>
    <row r="6668" spans="5:13">
      <c r="E6668" s="261"/>
      <c r="F6668" s="261"/>
      <c r="G6668" s="261"/>
      <c r="H6668" s="261"/>
      <c r="I6668" s="261"/>
      <c r="J6668" s="261"/>
      <c r="K6668" s="261"/>
      <c r="L6668" s="261"/>
      <c r="M6668" s="261"/>
    </row>
    <row r="6669" spans="5:13">
      <c r="E6669" s="261"/>
      <c r="F6669" s="261"/>
      <c r="G6669" s="261"/>
      <c r="H6669" s="261"/>
      <c r="I6669" s="261"/>
      <c r="J6669" s="261"/>
      <c r="K6669" s="261"/>
      <c r="L6669" s="261"/>
      <c r="M6669" s="261"/>
    </row>
    <row r="6670" spans="5:13">
      <c r="E6670" s="261"/>
      <c r="F6670" s="261"/>
      <c r="G6670" s="261"/>
      <c r="H6670" s="261"/>
      <c r="I6670" s="261"/>
      <c r="J6670" s="261"/>
      <c r="K6670" s="261"/>
      <c r="L6670" s="261"/>
      <c r="M6670" s="261"/>
    </row>
    <row r="6671" spans="5:13">
      <c r="E6671" s="261"/>
      <c r="F6671" s="261"/>
      <c r="G6671" s="261"/>
      <c r="H6671" s="261"/>
      <c r="I6671" s="261"/>
      <c r="J6671" s="261"/>
      <c r="K6671" s="261"/>
      <c r="L6671" s="261"/>
      <c r="M6671" s="261"/>
    </row>
    <row r="6672" spans="5:13">
      <c r="E6672" s="261"/>
      <c r="F6672" s="261"/>
      <c r="G6672" s="261"/>
      <c r="H6672" s="261"/>
      <c r="I6672" s="261"/>
      <c r="J6672" s="261"/>
      <c r="K6672" s="261"/>
      <c r="L6672" s="261"/>
      <c r="M6672" s="261"/>
    </row>
    <row r="6673" spans="5:13">
      <c r="E6673" s="261"/>
      <c r="F6673" s="261"/>
      <c r="G6673" s="261"/>
      <c r="H6673" s="261"/>
      <c r="I6673" s="261"/>
      <c r="J6673" s="261"/>
      <c r="K6673" s="261"/>
      <c r="L6673" s="261"/>
      <c r="M6673" s="261"/>
    </row>
    <row r="6674" spans="5:13">
      <c r="E6674" s="261"/>
      <c r="F6674" s="261"/>
      <c r="G6674" s="261"/>
      <c r="H6674" s="261"/>
      <c r="I6674" s="261"/>
      <c r="J6674" s="261"/>
      <c r="K6674" s="261"/>
      <c r="L6674" s="261"/>
      <c r="M6674" s="261"/>
    </row>
    <row r="6675" spans="5:13">
      <c r="E6675" s="261"/>
      <c r="F6675" s="261"/>
      <c r="G6675" s="261"/>
      <c r="H6675" s="261"/>
      <c r="I6675" s="261"/>
      <c r="J6675" s="261"/>
      <c r="K6675" s="261"/>
      <c r="L6675" s="261"/>
      <c r="M6675" s="261"/>
    </row>
    <row r="6676" spans="5:13">
      <c r="E6676" s="261"/>
      <c r="F6676" s="261"/>
      <c r="G6676" s="261"/>
      <c r="H6676" s="261"/>
      <c r="I6676" s="261"/>
      <c r="J6676" s="261"/>
      <c r="K6676" s="261"/>
      <c r="L6676" s="261"/>
      <c r="M6676" s="261"/>
    </row>
    <row r="6677" spans="5:13">
      <c r="E6677" s="261"/>
      <c r="F6677" s="261"/>
      <c r="G6677" s="261"/>
      <c r="H6677" s="261"/>
      <c r="I6677" s="261"/>
      <c r="J6677" s="261"/>
      <c r="K6677" s="261"/>
      <c r="L6677" s="261"/>
      <c r="M6677" s="261"/>
    </row>
    <row r="6678" spans="5:13">
      <c r="E6678" s="261"/>
      <c r="F6678" s="261"/>
      <c r="G6678" s="261"/>
      <c r="H6678" s="261"/>
      <c r="I6678" s="261"/>
      <c r="J6678" s="261"/>
      <c r="K6678" s="261"/>
      <c r="L6678" s="261"/>
      <c r="M6678" s="261"/>
    </row>
    <row r="6679" spans="5:13">
      <c r="E6679" s="261"/>
      <c r="F6679" s="261"/>
      <c r="G6679" s="261"/>
      <c r="H6679" s="261"/>
      <c r="I6679" s="261"/>
      <c r="J6679" s="261"/>
      <c r="K6679" s="261"/>
      <c r="L6679" s="261"/>
      <c r="M6679" s="261"/>
    </row>
    <row r="6680" spans="5:13">
      <c r="E6680" s="261"/>
      <c r="F6680" s="261"/>
      <c r="G6680" s="261"/>
      <c r="H6680" s="261"/>
      <c r="I6680" s="261"/>
      <c r="J6680" s="261"/>
      <c r="K6680" s="261"/>
      <c r="L6680" s="261"/>
      <c r="M6680" s="261"/>
    </row>
    <row r="6681" spans="5:13">
      <c r="E6681" s="261"/>
      <c r="F6681" s="261"/>
      <c r="G6681" s="261"/>
      <c r="H6681" s="261"/>
      <c r="I6681" s="261"/>
      <c r="J6681" s="261"/>
      <c r="K6681" s="261"/>
      <c r="L6681" s="261"/>
      <c r="M6681" s="261"/>
    </row>
    <row r="6682" spans="5:13">
      <c r="E6682" s="261"/>
      <c r="F6682" s="261"/>
      <c r="G6682" s="261"/>
      <c r="H6682" s="261"/>
      <c r="I6682" s="261"/>
      <c r="J6682" s="261"/>
      <c r="K6682" s="261"/>
      <c r="L6682" s="261"/>
      <c r="M6682" s="261"/>
    </row>
    <row r="6683" spans="5:13">
      <c r="E6683" s="261"/>
      <c r="F6683" s="261"/>
      <c r="G6683" s="261"/>
      <c r="H6683" s="261"/>
      <c r="I6683" s="261"/>
      <c r="J6683" s="261"/>
      <c r="K6683" s="261"/>
      <c r="L6683" s="261"/>
      <c r="M6683" s="261"/>
    </row>
    <row r="6684" spans="5:13">
      <c r="E6684" s="261"/>
      <c r="F6684" s="261"/>
      <c r="G6684" s="261"/>
      <c r="H6684" s="261"/>
      <c r="I6684" s="261"/>
      <c r="J6684" s="261"/>
      <c r="K6684" s="261"/>
      <c r="L6684" s="261"/>
      <c r="M6684" s="261"/>
    </row>
    <row r="6685" spans="5:13">
      <c r="E6685" s="261"/>
      <c r="F6685" s="261"/>
      <c r="G6685" s="261"/>
      <c r="H6685" s="261"/>
      <c r="I6685" s="261"/>
      <c r="J6685" s="261"/>
      <c r="K6685" s="261"/>
      <c r="L6685" s="261"/>
      <c r="M6685" s="261"/>
    </row>
    <row r="6686" spans="5:13">
      <c r="E6686" s="261"/>
      <c r="F6686" s="261"/>
      <c r="G6686" s="261"/>
      <c r="H6686" s="261"/>
      <c r="I6686" s="261"/>
      <c r="J6686" s="261"/>
      <c r="K6686" s="261"/>
      <c r="L6686" s="261"/>
      <c r="M6686" s="261"/>
    </row>
    <row r="6687" spans="5:13">
      <c r="E6687" s="261"/>
      <c r="F6687" s="261"/>
      <c r="G6687" s="261"/>
      <c r="H6687" s="261"/>
      <c r="I6687" s="261"/>
      <c r="J6687" s="261"/>
      <c r="K6687" s="261"/>
      <c r="L6687" s="261"/>
      <c r="M6687" s="261"/>
    </row>
    <row r="6688" spans="5:13">
      <c r="E6688" s="261"/>
      <c r="F6688" s="261"/>
      <c r="G6688" s="261"/>
      <c r="H6688" s="261"/>
      <c r="I6688" s="261"/>
      <c r="J6688" s="261"/>
      <c r="K6688" s="261"/>
      <c r="L6688" s="261"/>
      <c r="M6688" s="261"/>
    </row>
    <row r="6689" spans="5:13">
      <c r="E6689" s="261"/>
      <c r="F6689" s="261"/>
      <c r="G6689" s="261"/>
      <c r="H6689" s="261"/>
      <c r="I6689" s="261"/>
      <c r="J6689" s="261"/>
      <c r="K6689" s="261"/>
      <c r="L6689" s="261"/>
      <c r="M6689" s="261"/>
    </row>
    <row r="6690" spans="5:13">
      <c r="E6690" s="261"/>
      <c r="F6690" s="261"/>
      <c r="G6690" s="261"/>
      <c r="H6690" s="261"/>
      <c r="I6690" s="261"/>
      <c r="J6690" s="261"/>
      <c r="K6690" s="261"/>
      <c r="L6690" s="261"/>
      <c r="M6690" s="261"/>
    </row>
    <row r="6691" spans="5:13">
      <c r="E6691" s="261"/>
      <c r="F6691" s="261"/>
      <c r="G6691" s="261"/>
      <c r="H6691" s="261"/>
      <c r="I6691" s="261"/>
      <c r="J6691" s="261"/>
      <c r="K6691" s="261"/>
      <c r="L6691" s="261"/>
      <c r="M6691" s="261"/>
    </row>
    <row r="6692" spans="5:13">
      <c r="E6692" s="261"/>
      <c r="F6692" s="261"/>
      <c r="G6692" s="261"/>
      <c r="H6692" s="261"/>
      <c r="I6692" s="261"/>
      <c r="J6692" s="261"/>
      <c r="K6692" s="261"/>
      <c r="L6692" s="261"/>
      <c r="M6692" s="261"/>
    </row>
    <row r="6693" spans="5:13">
      <c r="E6693" s="261"/>
      <c r="F6693" s="261"/>
      <c r="G6693" s="261"/>
      <c r="H6693" s="261"/>
      <c r="I6693" s="261"/>
      <c r="J6693" s="261"/>
      <c r="K6693" s="261"/>
      <c r="L6693" s="261"/>
      <c r="M6693" s="261"/>
    </row>
    <row r="6694" spans="5:13">
      <c r="E6694" s="261"/>
      <c r="F6694" s="261"/>
      <c r="G6694" s="261"/>
      <c r="H6694" s="261"/>
      <c r="I6694" s="261"/>
      <c r="J6694" s="261"/>
      <c r="K6694" s="261"/>
      <c r="L6694" s="261"/>
      <c r="M6694" s="261"/>
    </row>
    <row r="6695" spans="5:13">
      <c r="E6695" s="261"/>
      <c r="F6695" s="261"/>
      <c r="G6695" s="261"/>
      <c r="H6695" s="261"/>
      <c r="I6695" s="261"/>
      <c r="J6695" s="261"/>
      <c r="K6695" s="261"/>
      <c r="L6695" s="261"/>
      <c r="M6695" s="261"/>
    </row>
    <row r="6696" spans="5:13">
      <c r="E6696" s="261"/>
      <c r="F6696" s="261"/>
      <c r="G6696" s="261"/>
      <c r="H6696" s="261"/>
      <c r="I6696" s="261"/>
      <c r="J6696" s="261"/>
      <c r="K6696" s="261"/>
      <c r="L6696" s="261"/>
      <c r="M6696" s="261"/>
    </row>
    <row r="6697" spans="5:13">
      <c r="E6697" s="261"/>
      <c r="F6697" s="261"/>
      <c r="G6697" s="261"/>
      <c r="H6697" s="261"/>
      <c r="I6697" s="261"/>
      <c r="J6697" s="261"/>
      <c r="K6697" s="261"/>
      <c r="L6697" s="261"/>
      <c r="M6697" s="261"/>
    </row>
    <row r="6698" spans="5:13">
      <c r="E6698" s="261"/>
      <c r="F6698" s="261"/>
      <c r="G6698" s="261"/>
      <c r="H6698" s="261"/>
      <c r="I6698" s="261"/>
      <c r="J6698" s="261"/>
      <c r="K6698" s="261"/>
      <c r="L6698" s="261"/>
      <c r="M6698" s="261"/>
    </row>
    <row r="6699" spans="5:13">
      <c r="E6699" s="261"/>
      <c r="F6699" s="261"/>
      <c r="G6699" s="261"/>
      <c r="H6699" s="261"/>
      <c r="I6699" s="261"/>
      <c r="J6699" s="261"/>
      <c r="K6699" s="261"/>
      <c r="L6699" s="261"/>
      <c r="M6699" s="261"/>
    </row>
    <row r="6700" spans="5:13">
      <c r="E6700" s="261"/>
      <c r="F6700" s="261"/>
      <c r="G6700" s="261"/>
      <c r="H6700" s="261"/>
      <c r="I6700" s="261"/>
      <c r="J6700" s="261"/>
      <c r="K6700" s="261"/>
      <c r="L6700" s="261"/>
      <c r="M6700" s="261"/>
    </row>
    <row r="6701" spans="5:13">
      <c r="E6701" s="261"/>
      <c r="F6701" s="261"/>
      <c r="G6701" s="261"/>
      <c r="H6701" s="261"/>
      <c r="I6701" s="261"/>
      <c r="J6701" s="261"/>
      <c r="K6701" s="261"/>
      <c r="L6701" s="261"/>
      <c r="M6701" s="261"/>
    </row>
    <row r="6702" spans="5:13">
      <c r="E6702" s="261"/>
      <c r="F6702" s="261"/>
      <c r="G6702" s="261"/>
      <c r="H6702" s="261"/>
      <c r="I6702" s="261"/>
      <c r="J6702" s="261"/>
      <c r="K6702" s="261"/>
      <c r="L6702" s="261"/>
      <c r="M6702" s="261"/>
    </row>
    <row r="6703" spans="5:13">
      <c r="E6703" s="261"/>
      <c r="F6703" s="261"/>
      <c r="G6703" s="261"/>
      <c r="H6703" s="261"/>
      <c r="I6703" s="261"/>
      <c r="J6703" s="261"/>
      <c r="K6703" s="261"/>
      <c r="L6703" s="261"/>
      <c r="M6703" s="261"/>
    </row>
    <row r="6704" spans="5:13">
      <c r="E6704" s="261"/>
      <c r="F6704" s="261"/>
      <c r="G6704" s="261"/>
      <c r="H6704" s="261"/>
      <c r="I6704" s="261"/>
      <c r="J6704" s="261"/>
      <c r="K6704" s="261"/>
      <c r="L6704" s="261"/>
      <c r="M6704" s="261"/>
    </row>
    <row r="6705" spans="5:13">
      <c r="E6705" s="261"/>
      <c r="F6705" s="261"/>
      <c r="G6705" s="261"/>
      <c r="H6705" s="261"/>
      <c r="I6705" s="261"/>
      <c r="J6705" s="261"/>
      <c r="K6705" s="261"/>
      <c r="L6705" s="261"/>
      <c r="M6705" s="261"/>
    </row>
    <row r="6706" spans="5:13">
      <c r="E6706" s="261"/>
      <c r="F6706" s="261"/>
      <c r="G6706" s="261"/>
      <c r="H6706" s="261"/>
      <c r="I6706" s="261"/>
      <c r="J6706" s="261"/>
      <c r="K6706" s="261"/>
      <c r="L6706" s="261"/>
      <c r="M6706" s="261"/>
    </row>
    <row r="6707" spans="5:13">
      <c r="E6707" s="261"/>
      <c r="F6707" s="261"/>
      <c r="G6707" s="261"/>
      <c r="H6707" s="261"/>
      <c r="I6707" s="261"/>
      <c r="J6707" s="261"/>
      <c r="K6707" s="261"/>
      <c r="L6707" s="261"/>
      <c r="M6707" s="261"/>
    </row>
    <row r="6708" spans="5:13">
      <c r="E6708" s="261"/>
      <c r="F6708" s="261"/>
      <c r="G6708" s="261"/>
      <c r="H6708" s="261"/>
      <c r="I6708" s="261"/>
      <c r="J6708" s="261"/>
      <c r="K6708" s="261"/>
      <c r="L6708" s="261"/>
      <c r="M6708" s="261"/>
    </row>
    <row r="6709" spans="5:13">
      <c r="E6709" s="261"/>
      <c r="F6709" s="261"/>
      <c r="G6709" s="261"/>
      <c r="H6709" s="261"/>
      <c r="I6709" s="261"/>
      <c r="J6709" s="261"/>
      <c r="K6709" s="261"/>
      <c r="L6709" s="261"/>
      <c r="M6709" s="261"/>
    </row>
    <row r="6710" spans="5:13">
      <c r="E6710" s="261"/>
      <c r="F6710" s="261"/>
      <c r="G6710" s="261"/>
      <c r="H6710" s="261"/>
      <c r="I6710" s="261"/>
      <c r="J6710" s="261"/>
      <c r="K6710" s="261"/>
      <c r="L6710" s="261"/>
      <c r="M6710" s="261"/>
    </row>
    <row r="6711" spans="5:13">
      <c r="E6711" s="261"/>
      <c r="F6711" s="261"/>
      <c r="G6711" s="261"/>
      <c r="H6711" s="261"/>
      <c r="I6711" s="261"/>
      <c r="J6711" s="261"/>
      <c r="K6711" s="261"/>
      <c r="L6711" s="261"/>
      <c r="M6711" s="261"/>
    </row>
    <row r="6712" spans="5:13">
      <c r="E6712" s="261"/>
      <c r="F6712" s="261"/>
      <c r="G6712" s="261"/>
      <c r="H6712" s="261"/>
      <c r="I6712" s="261"/>
      <c r="J6712" s="261"/>
      <c r="K6712" s="261"/>
      <c r="L6712" s="261"/>
      <c r="M6712" s="261"/>
    </row>
    <row r="6713" spans="5:13">
      <c r="E6713" s="261"/>
      <c r="F6713" s="261"/>
      <c r="G6713" s="261"/>
      <c r="H6713" s="261"/>
      <c r="I6713" s="261"/>
      <c r="J6713" s="261"/>
      <c r="K6713" s="261"/>
      <c r="L6713" s="261"/>
      <c r="M6713" s="261"/>
    </row>
    <row r="6714" spans="5:13">
      <c r="E6714" s="261"/>
      <c r="F6714" s="261"/>
      <c r="G6714" s="261"/>
      <c r="H6714" s="261"/>
      <c r="I6714" s="261"/>
      <c r="J6714" s="261"/>
      <c r="K6714" s="261"/>
      <c r="L6714" s="261"/>
      <c r="M6714" s="261"/>
    </row>
    <row r="6715" spans="5:13">
      <c r="E6715" s="261"/>
      <c r="F6715" s="261"/>
      <c r="G6715" s="261"/>
      <c r="H6715" s="261"/>
      <c r="I6715" s="261"/>
      <c r="J6715" s="261"/>
      <c r="K6715" s="261"/>
      <c r="L6715" s="261"/>
      <c r="M6715" s="261"/>
    </row>
    <row r="6716" spans="5:13">
      <c r="E6716" s="261"/>
      <c r="F6716" s="261"/>
      <c r="G6716" s="261"/>
      <c r="H6716" s="261"/>
      <c r="I6716" s="261"/>
      <c r="J6716" s="261"/>
      <c r="K6716" s="261"/>
      <c r="L6716" s="261"/>
      <c r="M6716" s="261"/>
    </row>
    <row r="6717" spans="5:13">
      <c r="E6717" s="261"/>
      <c r="F6717" s="261"/>
      <c r="G6717" s="261"/>
      <c r="H6717" s="261"/>
      <c r="I6717" s="261"/>
      <c r="J6717" s="261"/>
      <c r="K6717" s="261"/>
      <c r="L6717" s="261"/>
      <c r="M6717" s="261"/>
    </row>
    <row r="6718" spans="5:13">
      <c r="E6718" s="261"/>
      <c r="F6718" s="261"/>
      <c r="G6718" s="261"/>
      <c r="H6718" s="261"/>
      <c r="I6718" s="261"/>
      <c r="J6718" s="261"/>
      <c r="K6718" s="261"/>
      <c r="L6718" s="261"/>
      <c r="M6718" s="261"/>
    </row>
    <row r="6719" spans="5:13">
      <c r="E6719" s="261"/>
      <c r="F6719" s="261"/>
      <c r="G6719" s="261"/>
      <c r="H6719" s="261"/>
      <c r="I6719" s="261"/>
      <c r="J6719" s="261"/>
      <c r="K6719" s="261"/>
      <c r="L6719" s="261"/>
      <c r="M6719" s="261"/>
    </row>
    <row r="6720" spans="5:13">
      <c r="E6720" s="261"/>
      <c r="F6720" s="261"/>
      <c r="G6720" s="261"/>
      <c r="H6720" s="261"/>
      <c r="I6720" s="261"/>
      <c r="J6720" s="261"/>
      <c r="K6720" s="261"/>
      <c r="L6720" s="261"/>
      <c r="M6720" s="261"/>
    </row>
    <row r="6721" spans="5:13">
      <c r="E6721" s="261"/>
      <c r="F6721" s="261"/>
      <c r="G6721" s="261"/>
      <c r="H6721" s="261"/>
      <c r="I6721" s="261"/>
      <c r="J6721" s="261"/>
      <c r="K6721" s="261"/>
      <c r="L6721" s="261"/>
      <c r="M6721" s="261"/>
    </row>
    <row r="6722" spans="5:13">
      <c r="E6722" s="261"/>
      <c r="F6722" s="261"/>
      <c r="G6722" s="261"/>
      <c r="H6722" s="261"/>
      <c r="I6722" s="261"/>
      <c r="J6722" s="261"/>
      <c r="K6722" s="261"/>
      <c r="L6722" s="261"/>
      <c r="M6722" s="261"/>
    </row>
    <row r="6723" spans="5:13">
      <c r="E6723" s="261"/>
      <c r="F6723" s="261"/>
      <c r="G6723" s="261"/>
      <c r="H6723" s="261"/>
      <c r="I6723" s="261"/>
      <c r="J6723" s="261"/>
      <c r="K6723" s="261"/>
      <c r="L6723" s="261"/>
      <c r="M6723" s="261"/>
    </row>
    <row r="6724" spans="5:13">
      <c r="E6724" s="261"/>
      <c r="F6724" s="261"/>
      <c r="G6724" s="261"/>
      <c r="H6724" s="261"/>
      <c r="I6724" s="261"/>
      <c r="J6724" s="261"/>
      <c r="K6724" s="261"/>
      <c r="L6724" s="261"/>
      <c r="M6724" s="261"/>
    </row>
    <row r="6725" spans="5:13">
      <c r="E6725" s="261"/>
      <c r="F6725" s="261"/>
      <c r="G6725" s="261"/>
      <c r="H6725" s="261"/>
      <c r="I6725" s="261"/>
      <c r="J6725" s="261"/>
      <c r="K6725" s="261"/>
      <c r="L6725" s="261"/>
      <c r="M6725" s="261"/>
    </row>
    <row r="6726" spans="5:13">
      <c r="E6726" s="261"/>
      <c r="F6726" s="261"/>
      <c r="G6726" s="261"/>
      <c r="H6726" s="261"/>
      <c r="I6726" s="261"/>
      <c r="J6726" s="261"/>
      <c r="K6726" s="261"/>
      <c r="L6726" s="261"/>
      <c r="M6726" s="261"/>
    </row>
    <row r="6727" spans="5:13">
      <c r="E6727" s="261"/>
      <c r="F6727" s="261"/>
      <c r="G6727" s="261"/>
      <c r="H6727" s="261"/>
      <c r="I6727" s="261"/>
      <c r="J6727" s="261"/>
      <c r="K6727" s="261"/>
      <c r="L6727" s="261"/>
      <c r="M6727" s="261"/>
    </row>
    <row r="6728" spans="5:13">
      <c r="E6728" s="261"/>
      <c r="F6728" s="261"/>
      <c r="G6728" s="261"/>
      <c r="H6728" s="261"/>
      <c r="I6728" s="261"/>
      <c r="J6728" s="261"/>
      <c r="K6728" s="261"/>
      <c r="L6728" s="261"/>
      <c r="M6728" s="261"/>
    </row>
    <row r="6729" spans="5:13">
      <c r="E6729" s="261"/>
      <c r="F6729" s="261"/>
      <c r="G6729" s="261"/>
      <c r="H6729" s="261"/>
      <c r="I6729" s="261"/>
      <c r="J6729" s="261"/>
      <c r="K6729" s="261"/>
      <c r="L6729" s="261"/>
      <c r="M6729" s="261"/>
    </row>
    <row r="6730" spans="5:13">
      <c r="E6730" s="261"/>
      <c r="F6730" s="261"/>
      <c r="G6730" s="261"/>
      <c r="H6730" s="261"/>
      <c r="I6730" s="261"/>
      <c r="J6730" s="261"/>
      <c r="K6730" s="261"/>
      <c r="L6730" s="261"/>
      <c r="M6730" s="261"/>
    </row>
    <row r="6731" spans="5:13">
      <c r="E6731" s="261"/>
      <c r="F6731" s="261"/>
      <c r="G6731" s="261"/>
      <c r="H6731" s="261"/>
      <c r="I6731" s="261"/>
      <c r="J6731" s="261"/>
      <c r="K6731" s="261"/>
      <c r="L6731" s="261"/>
      <c r="M6731" s="261"/>
    </row>
    <row r="6732" spans="5:13">
      <c r="E6732" s="261"/>
      <c r="F6732" s="261"/>
      <c r="G6732" s="261"/>
      <c r="H6732" s="261"/>
      <c r="I6732" s="261"/>
      <c r="J6732" s="261"/>
      <c r="K6732" s="261"/>
      <c r="L6732" s="261"/>
      <c r="M6732" s="261"/>
    </row>
    <row r="6733" spans="5:13">
      <c r="E6733" s="261"/>
      <c r="F6733" s="261"/>
      <c r="G6733" s="261"/>
      <c r="H6733" s="261"/>
      <c r="I6733" s="261"/>
      <c r="J6733" s="261"/>
      <c r="K6733" s="261"/>
      <c r="L6733" s="261"/>
      <c r="M6733" s="261"/>
    </row>
    <row r="6734" spans="5:13">
      <c r="E6734" s="261"/>
      <c r="F6734" s="261"/>
      <c r="G6734" s="261"/>
      <c r="H6734" s="261"/>
      <c r="I6734" s="261"/>
      <c r="J6734" s="261"/>
      <c r="K6734" s="261"/>
      <c r="L6734" s="261"/>
      <c r="M6734" s="261"/>
    </row>
    <row r="6735" spans="5:13">
      <c r="E6735" s="261"/>
      <c r="F6735" s="261"/>
      <c r="G6735" s="261"/>
      <c r="H6735" s="261"/>
      <c r="I6735" s="261"/>
      <c r="J6735" s="261"/>
      <c r="K6735" s="261"/>
      <c r="L6735" s="261"/>
      <c r="M6735" s="261"/>
    </row>
    <row r="6736" spans="5:13">
      <c r="E6736" s="261"/>
      <c r="F6736" s="261"/>
      <c r="G6736" s="261"/>
      <c r="H6736" s="261"/>
      <c r="I6736" s="261"/>
      <c r="J6736" s="261"/>
      <c r="K6736" s="261"/>
      <c r="L6736" s="261"/>
      <c r="M6736" s="261"/>
    </row>
    <row r="6737" spans="5:13">
      <c r="E6737" s="261"/>
      <c r="F6737" s="261"/>
      <c r="G6737" s="261"/>
      <c r="H6737" s="261"/>
      <c r="I6737" s="261"/>
      <c r="J6737" s="261"/>
      <c r="K6737" s="261"/>
      <c r="L6737" s="261"/>
      <c r="M6737" s="261"/>
    </row>
    <row r="6738" spans="5:13">
      <c r="E6738" s="261"/>
      <c r="F6738" s="261"/>
      <c r="G6738" s="261"/>
      <c r="H6738" s="261"/>
      <c r="I6738" s="261"/>
      <c r="J6738" s="261"/>
      <c r="K6738" s="261"/>
      <c r="L6738" s="261"/>
      <c r="M6738" s="261"/>
    </row>
    <row r="6739" spans="5:13">
      <c r="E6739" s="261"/>
      <c r="F6739" s="261"/>
      <c r="G6739" s="261"/>
      <c r="H6739" s="261"/>
      <c r="I6739" s="261"/>
      <c r="J6739" s="261"/>
      <c r="K6739" s="261"/>
      <c r="L6739" s="261"/>
      <c r="M6739" s="261"/>
    </row>
    <row r="6740" spans="5:13">
      <c r="E6740" s="261"/>
      <c r="F6740" s="261"/>
      <c r="G6740" s="261"/>
      <c r="H6740" s="261"/>
      <c r="I6740" s="261"/>
      <c r="J6740" s="261"/>
      <c r="K6740" s="261"/>
      <c r="L6740" s="261"/>
      <c r="M6740" s="261"/>
    </row>
    <row r="6741" spans="5:13">
      <c r="E6741" s="261"/>
      <c r="F6741" s="261"/>
      <c r="G6741" s="261"/>
      <c r="H6741" s="261"/>
      <c r="I6741" s="261"/>
      <c r="J6741" s="261"/>
      <c r="K6741" s="261"/>
      <c r="L6741" s="261"/>
      <c r="M6741" s="261"/>
    </row>
    <row r="6742" spans="5:13">
      <c r="E6742" s="261"/>
      <c r="F6742" s="261"/>
      <c r="G6742" s="261"/>
      <c r="H6742" s="261"/>
      <c r="I6742" s="261"/>
      <c r="J6742" s="261"/>
      <c r="K6742" s="261"/>
      <c r="L6742" s="261"/>
      <c r="M6742" s="261"/>
    </row>
    <row r="6743" spans="5:13">
      <c r="E6743" s="261"/>
      <c r="F6743" s="261"/>
      <c r="G6743" s="261"/>
      <c r="H6743" s="261"/>
      <c r="I6743" s="261"/>
      <c r="J6743" s="261"/>
      <c r="K6743" s="261"/>
      <c r="L6743" s="261"/>
      <c r="M6743" s="261"/>
    </row>
    <row r="6744" spans="5:13">
      <c r="E6744" s="261"/>
      <c r="F6744" s="261"/>
      <c r="G6744" s="261"/>
      <c r="H6744" s="261"/>
      <c r="I6744" s="261"/>
      <c r="J6744" s="261"/>
      <c r="K6744" s="261"/>
      <c r="L6744" s="261"/>
      <c r="M6744" s="261"/>
    </row>
    <row r="6745" spans="5:13">
      <c r="E6745" s="261"/>
      <c r="F6745" s="261"/>
      <c r="G6745" s="261"/>
      <c r="H6745" s="261"/>
      <c r="I6745" s="261"/>
      <c r="J6745" s="261"/>
      <c r="K6745" s="261"/>
      <c r="L6745" s="261"/>
      <c r="M6745" s="261"/>
    </row>
    <row r="6746" spans="5:13">
      <c r="E6746" s="261"/>
      <c r="F6746" s="261"/>
      <c r="G6746" s="261"/>
      <c r="H6746" s="261"/>
      <c r="I6746" s="261"/>
      <c r="J6746" s="261"/>
      <c r="K6746" s="261"/>
      <c r="L6746" s="261"/>
      <c r="M6746" s="261"/>
    </row>
    <row r="6747" spans="5:13">
      <c r="E6747" s="261"/>
      <c r="F6747" s="261"/>
      <c r="G6747" s="261"/>
      <c r="H6747" s="261"/>
      <c r="I6747" s="261"/>
      <c r="J6747" s="261"/>
      <c r="K6747" s="261"/>
      <c r="L6747" s="261"/>
      <c r="M6747" s="261"/>
    </row>
    <row r="6748" spans="5:13">
      <c r="E6748" s="261"/>
      <c r="F6748" s="261"/>
      <c r="G6748" s="261"/>
      <c r="H6748" s="261"/>
      <c r="I6748" s="261"/>
      <c r="J6748" s="261"/>
      <c r="K6748" s="261"/>
      <c r="L6748" s="261"/>
      <c r="M6748" s="261"/>
    </row>
    <row r="6749" spans="5:13">
      <c r="E6749" s="261"/>
      <c r="F6749" s="261"/>
      <c r="G6749" s="261"/>
      <c r="H6749" s="261"/>
      <c r="I6749" s="261"/>
      <c r="J6749" s="261"/>
      <c r="K6749" s="261"/>
      <c r="L6749" s="261"/>
      <c r="M6749" s="261"/>
    </row>
    <row r="6750" spans="5:13">
      <c r="E6750" s="261"/>
      <c r="F6750" s="261"/>
      <c r="G6750" s="261"/>
      <c r="H6750" s="261"/>
      <c r="I6750" s="261"/>
      <c r="J6750" s="261"/>
      <c r="K6750" s="261"/>
      <c r="L6750" s="261"/>
      <c r="M6750" s="261"/>
    </row>
    <row r="6751" spans="5:13">
      <c r="E6751" s="261"/>
      <c r="F6751" s="261"/>
      <c r="G6751" s="261"/>
      <c r="H6751" s="261"/>
      <c r="I6751" s="261"/>
      <c r="J6751" s="261"/>
      <c r="K6751" s="261"/>
      <c r="L6751" s="261"/>
      <c r="M6751" s="261"/>
    </row>
    <row r="6752" spans="5:13">
      <c r="E6752" s="261"/>
      <c r="F6752" s="261"/>
      <c r="G6752" s="261"/>
      <c r="H6752" s="261"/>
      <c r="I6752" s="261"/>
      <c r="J6752" s="261"/>
      <c r="K6752" s="261"/>
      <c r="L6752" s="261"/>
      <c r="M6752" s="261"/>
    </row>
    <row r="6753" spans="5:13">
      <c r="E6753" s="261"/>
      <c r="F6753" s="261"/>
      <c r="G6753" s="261"/>
      <c r="H6753" s="261"/>
      <c r="I6753" s="261"/>
      <c r="J6753" s="261"/>
      <c r="K6753" s="261"/>
      <c r="L6753" s="261"/>
      <c r="M6753" s="261"/>
    </row>
    <row r="6754" spans="5:13">
      <c r="E6754" s="261"/>
      <c r="F6754" s="261"/>
      <c r="G6754" s="261"/>
      <c r="H6754" s="261"/>
      <c r="I6754" s="261"/>
      <c r="J6754" s="261"/>
      <c r="K6754" s="261"/>
      <c r="L6754" s="261"/>
      <c r="M6754" s="261"/>
    </row>
    <row r="6755" spans="5:13">
      <c r="E6755" s="261"/>
      <c r="F6755" s="261"/>
      <c r="G6755" s="261"/>
      <c r="H6755" s="261"/>
      <c r="I6755" s="261"/>
      <c r="J6755" s="261"/>
      <c r="K6755" s="261"/>
      <c r="L6755" s="261"/>
      <c r="M6755" s="261"/>
    </row>
    <row r="6756" spans="5:13">
      <c r="E6756" s="261"/>
      <c r="F6756" s="261"/>
      <c r="G6756" s="261"/>
      <c r="H6756" s="261"/>
      <c r="I6756" s="261"/>
      <c r="J6756" s="261"/>
      <c r="K6756" s="261"/>
      <c r="L6756" s="261"/>
      <c r="M6756" s="261"/>
    </row>
    <row r="6757" spans="5:13">
      <c r="E6757" s="261"/>
      <c r="F6757" s="261"/>
      <c r="G6757" s="261"/>
      <c r="H6757" s="261"/>
      <c r="I6757" s="261"/>
      <c r="J6757" s="261"/>
      <c r="K6757" s="261"/>
      <c r="L6757" s="261"/>
      <c r="M6757" s="261"/>
    </row>
    <row r="6758" spans="5:13">
      <c r="E6758" s="261"/>
      <c r="F6758" s="261"/>
      <c r="G6758" s="261"/>
      <c r="H6758" s="261"/>
      <c r="I6758" s="261"/>
      <c r="J6758" s="261"/>
      <c r="K6758" s="261"/>
      <c r="L6758" s="261"/>
      <c r="M6758" s="261"/>
    </row>
    <row r="6759" spans="5:13">
      <c r="E6759" s="261"/>
      <c r="F6759" s="261"/>
      <c r="G6759" s="261"/>
      <c r="H6759" s="261"/>
      <c r="I6759" s="261"/>
      <c r="J6759" s="261"/>
      <c r="K6759" s="261"/>
      <c r="L6759" s="261"/>
      <c r="M6759" s="261"/>
    </row>
    <row r="6760" spans="5:13">
      <c r="E6760" s="261"/>
      <c r="F6760" s="261"/>
      <c r="G6760" s="261"/>
      <c r="H6760" s="261"/>
      <c r="I6760" s="261"/>
      <c r="J6760" s="261"/>
      <c r="K6760" s="261"/>
      <c r="L6760" s="261"/>
      <c r="M6760" s="261"/>
    </row>
    <row r="6761" spans="5:13">
      <c r="E6761" s="261"/>
      <c r="F6761" s="261"/>
      <c r="G6761" s="261"/>
      <c r="H6761" s="261"/>
      <c r="I6761" s="261"/>
      <c r="J6761" s="261"/>
      <c r="K6761" s="261"/>
      <c r="L6761" s="261"/>
      <c r="M6761" s="261"/>
    </row>
    <row r="6762" spans="5:13">
      <c r="E6762" s="261"/>
      <c r="F6762" s="261"/>
      <c r="G6762" s="261"/>
      <c r="H6762" s="261"/>
      <c r="I6762" s="261"/>
      <c r="J6762" s="261"/>
      <c r="K6762" s="261"/>
      <c r="L6762" s="261"/>
      <c r="M6762" s="261"/>
    </row>
    <row r="6763" spans="5:13">
      <c r="E6763" s="261"/>
      <c r="F6763" s="261"/>
      <c r="G6763" s="261"/>
      <c r="H6763" s="261"/>
      <c r="I6763" s="261"/>
      <c r="J6763" s="261"/>
      <c r="K6763" s="261"/>
      <c r="L6763" s="261"/>
      <c r="M6763" s="261"/>
    </row>
    <row r="6764" spans="5:13">
      <c r="E6764" s="261"/>
      <c r="F6764" s="261"/>
      <c r="G6764" s="261"/>
      <c r="H6764" s="261"/>
      <c r="I6764" s="261"/>
      <c r="J6764" s="261"/>
      <c r="K6764" s="261"/>
      <c r="L6764" s="261"/>
      <c r="M6764" s="261"/>
    </row>
    <row r="6765" spans="5:13">
      <c r="E6765" s="261"/>
      <c r="F6765" s="261"/>
      <c r="G6765" s="261"/>
      <c r="H6765" s="261"/>
      <c r="I6765" s="261"/>
      <c r="J6765" s="261"/>
      <c r="K6765" s="261"/>
      <c r="L6765" s="261"/>
      <c r="M6765" s="261"/>
    </row>
    <row r="6766" spans="5:13">
      <c r="E6766" s="261"/>
      <c r="F6766" s="261"/>
      <c r="G6766" s="261"/>
      <c r="H6766" s="261"/>
      <c r="I6766" s="261"/>
      <c r="J6766" s="261"/>
      <c r="K6766" s="261"/>
      <c r="L6766" s="261"/>
      <c r="M6766" s="261"/>
    </row>
    <row r="6767" spans="5:13">
      <c r="E6767" s="261"/>
      <c r="F6767" s="261"/>
      <c r="G6767" s="261"/>
      <c r="H6767" s="261"/>
      <c r="I6767" s="261"/>
      <c r="J6767" s="261"/>
      <c r="K6767" s="261"/>
      <c r="L6767" s="261"/>
      <c r="M6767" s="261"/>
    </row>
    <row r="6768" spans="5:13">
      <c r="E6768" s="261"/>
      <c r="F6768" s="261"/>
      <c r="G6768" s="261"/>
      <c r="H6768" s="261"/>
      <c r="I6768" s="261"/>
      <c r="J6768" s="261"/>
      <c r="K6768" s="261"/>
      <c r="L6768" s="261"/>
      <c r="M6768" s="261"/>
    </row>
    <row r="6769" spans="5:13">
      <c r="E6769" s="261"/>
      <c r="F6769" s="261"/>
      <c r="G6769" s="261"/>
      <c r="H6769" s="261"/>
      <c r="I6769" s="261"/>
      <c r="J6769" s="261"/>
      <c r="K6769" s="261"/>
      <c r="L6769" s="261"/>
      <c r="M6769" s="261"/>
    </row>
    <row r="6770" spans="5:13">
      <c r="E6770" s="261"/>
      <c r="F6770" s="261"/>
      <c r="G6770" s="261"/>
      <c r="H6770" s="261"/>
      <c r="I6770" s="261"/>
      <c r="J6770" s="261"/>
      <c r="K6770" s="261"/>
      <c r="L6770" s="261"/>
      <c r="M6770" s="261"/>
    </row>
    <row r="6771" spans="5:13">
      <c r="E6771" s="261"/>
      <c r="F6771" s="261"/>
      <c r="G6771" s="261"/>
      <c r="H6771" s="261"/>
      <c r="I6771" s="261"/>
      <c r="J6771" s="261"/>
      <c r="K6771" s="261"/>
      <c r="L6771" s="261"/>
      <c r="M6771" s="261"/>
    </row>
    <row r="6772" spans="5:13">
      <c r="E6772" s="261"/>
      <c r="F6772" s="261"/>
      <c r="G6772" s="261"/>
      <c r="H6772" s="261"/>
      <c r="I6772" s="261"/>
      <c r="J6772" s="261"/>
      <c r="K6772" s="261"/>
      <c r="L6772" s="261"/>
      <c r="M6772" s="261"/>
    </row>
    <row r="6773" spans="5:13">
      <c r="E6773" s="261"/>
      <c r="F6773" s="261"/>
      <c r="G6773" s="261"/>
      <c r="H6773" s="261"/>
      <c r="I6773" s="261"/>
      <c r="J6773" s="261"/>
      <c r="K6773" s="261"/>
      <c r="L6773" s="261"/>
      <c r="M6773" s="261"/>
    </row>
    <row r="6774" spans="5:13">
      <c r="E6774" s="261"/>
      <c r="F6774" s="261"/>
      <c r="G6774" s="261"/>
      <c r="H6774" s="261"/>
      <c r="I6774" s="261"/>
      <c r="J6774" s="261"/>
      <c r="K6774" s="261"/>
      <c r="L6774" s="261"/>
      <c r="M6774" s="261"/>
    </row>
    <row r="6775" spans="5:13">
      <c r="E6775" s="261"/>
      <c r="F6775" s="261"/>
      <c r="G6775" s="261"/>
      <c r="H6775" s="261"/>
      <c r="I6775" s="261"/>
      <c r="J6775" s="261"/>
      <c r="K6775" s="261"/>
      <c r="L6775" s="261"/>
      <c r="M6775" s="261"/>
    </row>
    <row r="6776" spans="5:13">
      <c r="E6776" s="261"/>
      <c r="F6776" s="261"/>
      <c r="G6776" s="261"/>
      <c r="H6776" s="261"/>
      <c r="I6776" s="261"/>
      <c r="J6776" s="261"/>
      <c r="K6776" s="261"/>
      <c r="L6776" s="261"/>
      <c r="M6776" s="261"/>
    </row>
    <row r="6777" spans="5:13">
      <c r="E6777" s="261"/>
      <c r="F6777" s="261"/>
      <c r="G6777" s="261"/>
      <c r="H6777" s="261"/>
      <c r="I6777" s="261"/>
      <c r="J6777" s="261"/>
      <c r="K6777" s="261"/>
      <c r="L6777" s="261"/>
      <c r="M6777" s="261"/>
    </row>
    <row r="6778" spans="5:13">
      <c r="E6778" s="261"/>
      <c r="F6778" s="261"/>
      <c r="G6778" s="261"/>
      <c r="H6778" s="261"/>
      <c r="I6778" s="261"/>
      <c r="J6778" s="261"/>
      <c r="K6778" s="261"/>
      <c r="L6778" s="261"/>
      <c r="M6778" s="261"/>
    </row>
    <row r="6779" spans="5:13">
      <c r="E6779" s="261"/>
      <c r="F6779" s="261"/>
      <c r="G6779" s="261"/>
      <c r="H6779" s="261"/>
      <c r="I6779" s="261"/>
      <c r="J6779" s="261"/>
      <c r="K6779" s="261"/>
      <c r="L6779" s="261"/>
      <c r="M6779" s="261"/>
    </row>
    <row r="6780" spans="5:13">
      <c r="E6780" s="261"/>
      <c r="F6780" s="261"/>
      <c r="G6780" s="261"/>
      <c r="H6780" s="261"/>
      <c r="I6780" s="261"/>
      <c r="J6780" s="261"/>
      <c r="K6780" s="261"/>
      <c r="L6780" s="261"/>
      <c r="M6780" s="261"/>
    </row>
    <row r="6781" spans="5:13">
      <c r="E6781" s="261"/>
      <c r="F6781" s="261"/>
      <c r="G6781" s="261"/>
      <c r="H6781" s="261"/>
      <c r="I6781" s="261"/>
      <c r="J6781" s="261"/>
      <c r="K6781" s="261"/>
      <c r="L6781" s="261"/>
      <c r="M6781" s="261"/>
    </row>
    <row r="6782" spans="5:13">
      <c r="E6782" s="261"/>
      <c r="F6782" s="261"/>
      <c r="G6782" s="261"/>
      <c r="H6782" s="261"/>
      <c r="I6782" s="261"/>
      <c r="J6782" s="261"/>
      <c r="K6782" s="261"/>
      <c r="L6782" s="261"/>
      <c r="M6782" s="261"/>
    </row>
    <row r="6783" spans="5:13">
      <c r="E6783" s="261"/>
      <c r="F6783" s="261"/>
      <c r="G6783" s="261"/>
      <c r="H6783" s="261"/>
      <c r="I6783" s="261"/>
      <c r="J6783" s="261"/>
      <c r="K6783" s="261"/>
      <c r="L6783" s="261"/>
      <c r="M6783" s="261"/>
    </row>
    <row r="6784" spans="5:13">
      <c r="E6784" s="261"/>
      <c r="F6784" s="261"/>
      <c r="G6784" s="261"/>
      <c r="H6784" s="261"/>
      <c r="I6784" s="261"/>
      <c r="J6784" s="261"/>
      <c r="K6784" s="261"/>
      <c r="L6784" s="261"/>
      <c r="M6784" s="261"/>
    </row>
    <row r="6785" spans="5:13">
      <c r="E6785" s="261"/>
      <c r="F6785" s="261"/>
      <c r="G6785" s="261"/>
      <c r="H6785" s="261"/>
      <c r="I6785" s="261"/>
      <c r="J6785" s="261"/>
      <c r="K6785" s="261"/>
      <c r="L6785" s="261"/>
      <c r="M6785" s="261"/>
    </row>
    <row r="6786" spans="5:13">
      <c r="E6786" s="261"/>
      <c r="F6786" s="261"/>
      <c r="G6786" s="261"/>
      <c r="H6786" s="261"/>
      <c r="I6786" s="261"/>
      <c r="J6786" s="261"/>
      <c r="K6786" s="261"/>
      <c r="L6786" s="261"/>
      <c r="M6786" s="261"/>
    </row>
    <row r="6787" spans="5:13">
      <c r="E6787" s="261"/>
      <c r="F6787" s="261"/>
      <c r="G6787" s="261"/>
      <c r="H6787" s="261"/>
      <c r="I6787" s="261"/>
      <c r="J6787" s="261"/>
      <c r="K6787" s="261"/>
      <c r="L6787" s="261"/>
      <c r="M6787" s="261"/>
    </row>
    <row r="6788" spans="5:13">
      <c r="E6788" s="261"/>
      <c r="F6788" s="261"/>
      <c r="G6788" s="261"/>
      <c r="H6788" s="261"/>
      <c r="I6788" s="261"/>
      <c r="J6788" s="261"/>
      <c r="K6788" s="261"/>
      <c r="L6788" s="261"/>
      <c r="M6788" s="261"/>
    </row>
    <row r="6789" spans="5:13">
      <c r="E6789" s="261"/>
      <c r="F6789" s="261"/>
      <c r="G6789" s="261"/>
      <c r="H6789" s="261"/>
      <c r="I6789" s="261"/>
      <c r="J6789" s="261"/>
      <c r="K6789" s="261"/>
      <c r="L6789" s="261"/>
      <c r="M6789" s="261"/>
    </row>
    <row r="6790" spans="5:13">
      <c r="E6790" s="261"/>
      <c r="F6790" s="261"/>
      <c r="G6790" s="261"/>
      <c r="H6790" s="261"/>
      <c r="I6790" s="261"/>
      <c r="J6790" s="261"/>
      <c r="K6790" s="261"/>
      <c r="L6790" s="261"/>
      <c r="M6790" s="261"/>
    </row>
    <row r="6791" spans="5:13">
      <c r="E6791" s="261"/>
      <c r="F6791" s="261"/>
      <c r="G6791" s="261"/>
      <c r="H6791" s="261"/>
      <c r="I6791" s="261"/>
      <c r="J6791" s="261"/>
      <c r="K6791" s="261"/>
      <c r="L6791" s="261"/>
      <c r="M6791" s="261"/>
    </row>
    <row r="6792" spans="5:13">
      <c r="E6792" s="261"/>
      <c r="F6792" s="261"/>
      <c r="G6792" s="261"/>
      <c r="H6792" s="261"/>
      <c r="I6792" s="261"/>
      <c r="J6792" s="261"/>
      <c r="K6792" s="261"/>
      <c r="L6792" s="261"/>
      <c r="M6792" s="261"/>
    </row>
    <row r="6793" spans="5:13">
      <c r="E6793" s="261"/>
      <c r="F6793" s="261"/>
      <c r="G6793" s="261"/>
      <c r="H6793" s="261"/>
      <c r="I6793" s="261"/>
      <c r="J6793" s="261"/>
      <c r="K6793" s="261"/>
      <c r="L6793" s="261"/>
      <c r="M6793" s="261"/>
    </row>
    <row r="6794" spans="5:13">
      <c r="E6794" s="261"/>
      <c r="F6794" s="261"/>
      <c r="G6794" s="261"/>
      <c r="H6794" s="261"/>
      <c r="I6794" s="261"/>
      <c r="J6794" s="261"/>
      <c r="K6794" s="261"/>
      <c r="L6794" s="261"/>
      <c r="M6794" s="261"/>
    </row>
    <row r="6795" spans="5:13">
      <c r="E6795" s="261"/>
      <c r="F6795" s="261"/>
      <c r="G6795" s="261"/>
      <c r="H6795" s="261"/>
      <c r="I6795" s="261"/>
      <c r="J6795" s="261"/>
      <c r="K6795" s="261"/>
      <c r="L6795" s="261"/>
      <c r="M6795" s="261"/>
    </row>
    <row r="6796" spans="5:13">
      <c r="E6796" s="261"/>
      <c r="F6796" s="261"/>
      <c r="G6796" s="261"/>
      <c r="H6796" s="261"/>
      <c r="I6796" s="261"/>
      <c r="J6796" s="261"/>
      <c r="K6796" s="261"/>
      <c r="L6796" s="261"/>
      <c r="M6796" s="261"/>
    </row>
    <row r="6797" spans="5:13">
      <c r="E6797" s="261"/>
      <c r="F6797" s="261"/>
      <c r="G6797" s="261"/>
      <c r="H6797" s="261"/>
      <c r="I6797" s="261"/>
      <c r="J6797" s="261"/>
      <c r="K6797" s="261"/>
      <c r="L6797" s="261"/>
      <c r="M6797" s="261"/>
    </row>
    <row r="6798" spans="5:13">
      <c r="E6798" s="261"/>
      <c r="F6798" s="261"/>
      <c r="G6798" s="261"/>
      <c r="H6798" s="261"/>
      <c r="I6798" s="261"/>
      <c r="J6798" s="261"/>
      <c r="K6798" s="261"/>
      <c r="L6798" s="261"/>
      <c r="M6798" s="261"/>
    </row>
    <row r="6799" spans="5:13">
      <c r="E6799" s="261"/>
      <c r="F6799" s="261"/>
      <c r="G6799" s="261"/>
      <c r="H6799" s="261"/>
      <c r="I6799" s="261"/>
      <c r="J6799" s="261"/>
      <c r="K6799" s="261"/>
      <c r="L6799" s="261"/>
      <c r="M6799" s="261"/>
    </row>
    <row r="6800" spans="5:13">
      <c r="E6800" s="261"/>
      <c r="F6800" s="261"/>
      <c r="G6800" s="261"/>
      <c r="H6800" s="261"/>
      <c r="I6800" s="261"/>
      <c r="J6800" s="261"/>
      <c r="K6800" s="261"/>
      <c r="L6800" s="261"/>
      <c r="M6800" s="261"/>
    </row>
    <row r="6801" spans="5:13">
      <c r="E6801" s="261"/>
      <c r="F6801" s="261"/>
      <c r="G6801" s="261"/>
      <c r="H6801" s="261"/>
      <c r="I6801" s="261"/>
      <c r="J6801" s="261"/>
      <c r="K6801" s="261"/>
      <c r="L6801" s="261"/>
      <c r="M6801" s="261"/>
    </row>
    <row r="6802" spans="5:13">
      <c r="E6802" s="261"/>
      <c r="F6802" s="261"/>
      <c r="G6802" s="261"/>
      <c r="H6802" s="261"/>
      <c r="I6802" s="261"/>
      <c r="J6802" s="261"/>
      <c r="K6802" s="261"/>
      <c r="L6802" s="261"/>
      <c r="M6802" s="261"/>
    </row>
    <row r="6803" spans="5:13">
      <c r="E6803" s="261"/>
      <c r="F6803" s="261"/>
      <c r="G6803" s="261"/>
      <c r="H6803" s="261"/>
      <c r="I6803" s="261"/>
      <c r="J6803" s="261"/>
      <c r="K6803" s="261"/>
      <c r="L6803" s="261"/>
      <c r="M6803" s="261"/>
    </row>
    <row r="6804" spans="5:13">
      <c r="E6804" s="261"/>
      <c r="F6804" s="261"/>
      <c r="G6804" s="261"/>
      <c r="H6804" s="261"/>
      <c r="I6804" s="261"/>
      <c r="J6804" s="261"/>
      <c r="K6804" s="261"/>
      <c r="L6804" s="261"/>
      <c r="M6804" s="261"/>
    </row>
    <row r="6805" spans="5:13">
      <c r="E6805" s="261"/>
      <c r="F6805" s="261"/>
      <c r="G6805" s="261"/>
      <c r="H6805" s="261"/>
      <c r="I6805" s="261"/>
      <c r="J6805" s="261"/>
      <c r="K6805" s="261"/>
      <c r="L6805" s="261"/>
      <c r="M6805" s="261"/>
    </row>
    <row r="6806" spans="5:13">
      <c r="E6806" s="261"/>
      <c r="F6806" s="261"/>
      <c r="G6806" s="261"/>
      <c r="H6806" s="261"/>
      <c r="I6806" s="261"/>
      <c r="J6806" s="261"/>
      <c r="K6806" s="261"/>
      <c r="L6806" s="261"/>
      <c r="M6806" s="261"/>
    </row>
    <row r="6807" spans="5:13">
      <c r="E6807" s="261"/>
      <c r="F6807" s="261"/>
      <c r="G6807" s="261"/>
      <c r="H6807" s="261"/>
      <c r="I6807" s="261"/>
      <c r="J6807" s="261"/>
      <c r="K6807" s="261"/>
      <c r="L6807" s="261"/>
      <c r="M6807" s="261"/>
    </row>
    <row r="6808" spans="5:13">
      <c r="E6808" s="261"/>
      <c r="F6808" s="261"/>
      <c r="G6808" s="261"/>
      <c r="H6808" s="261"/>
      <c r="I6808" s="261"/>
      <c r="J6808" s="261"/>
      <c r="K6808" s="261"/>
      <c r="L6808" s="261"/>
      <c r="M6808" s="261"/>
    </row>
    <row r="6809" spans="5:13">
      <c r="E6809" s="261"/>
      <c r="F6809" s="261"/>
      <c r="G6809" s="261"/>
      <c r="H6809" s="261"/>
      <c r="I6809" s="261"/>
      <c r="J6809" s="261"/>
      <c r="K6809" s="261"/>
      <c r="L6809" s="261"/>
      <c r="M6809" s="261"/>
    </row>
    <row r="6810" spans="5:13">
      <c r="E6810" s="261"/>
      <c r="F6810" s="261"/>
      <c r="G6810" s="261"/>
      <c r="H6810" s="261"/>
      <c r="I6810" s="261"/>
      <c r="J6810" s="261"/>
      <c r="K6810" s="261"/>
      <c r="L6810" s="261"/>
      <c r="M6810" s="261"/>
    </row>
    <row r="6811" spans="5:13">
      <c r="E6811" s="261"/>
      <c r="F6811" s="261"/>
      <c r="G6811" s="261"/>
      <c r="H6811" s="261"/>
      <c r="I6811" s="261"/>
      <c r="J6811" s="261"/>
      <c r="K6811" s="261"/>
      <c r="L6811" s="261"/>
      <c r="M6811" s="261"/>
    </row>
    <row r="6812" spans="5:13">
      <c r="E6812" s="261"/>
      <c r="F6812" s="261"/>
      <c r="G6812" s="261"/>
      <c r="H6812" s="261"/>
      <c r="I6812" s="261"/>
      <c r="J6812" s="261"/>
      <c r="K6812" s="261"/>
      <c r="L6812" s="261"/>
      <c r="M6812" s="261"/>
    </row>
    <row r="6813" spans="5:13">
      <c r="E6813" s="261"/>
      <c r="F6813" s="261"/>
      <c r="G6813" s="261"/>
      <c r="H6813" s="261"/>
      <c r="I6813" s="261"/>
      <c r="J6813" s="261"/>
      <c r="K6813" s="261"/>
      <c r="L6813" s="261"/>
      <c r="M6813" s="261"/>
    </row>
    <row r="6814" spans="5:13">
      <c r="E6814" s="261"/>
      <c r="F6814" s="261"/>
      <c r="G6814" s="261"/>
      <c r="H6814" s="261"/>
      <c r="I6814" s="261"/>
      <c r="J6814" s="261"/>
      <c r="K6814" s="261"/>
      <c r="L6814" s="261"/>
      <c r="M6814" s="261"/>
    </row>
    <row r="6815" spans="5:13">
      <c r="E6815" s="261"/>
      <c r="F6815" s="261"/>
      <c r="G6815" s="261"/>
      <c r="H6815" s="261"/>
      <c r="I6815" s="261"/>
      <c r="J6815" s="261"/>
      <c r="K6815" s="261"/>
      <c r="L6815" s="261"/>
      <c r="M6815" s="261"/>
    </row>
    <row r="6816" spans="5:13">
      <c r="E6816" s="261"/>
      <c r="F6816" s="261"/>
      <c r="G6816" s="261"/>
      <c r="H6816" s="261"/>
      <c r="I6816" s="261"/>
      <c r="J6816" s="261"/>
      <c r="K6816" s="261"/>
      <c r="L6816" s="261"/>
      <c r="M6816" s="261"/>
    </row>
    <row r="6817" spans="5:13">
      <c r="E6817" s="261"/>
      <c r="F6817" s="261"/>
      <c r="G6817" s="261"/>
      <c r="H6817" s="261"/>
      <c r="I6817" s="261"/>
      <c r="J6817" s="261"/>
      <c r="K6817" s="261"/>
      <c r="L6817" s="261"/>
      <c r="M6817" s="261"/>
    </row>
    <row r="6818" spans="5:13">
      <c r="E6818" s="261"/>
      <c r="F6818" s="261"/>
      <c r="G6818" s="261"/>
      <c r="H6818" s="261"/>
      <c r="I6818" s="261"/>
      <c r="J6818" s="261"/>
      <c r="K6818" s="261"/>
      <c r="L6818" s="261"/>
      <c r="M6818" s="261"/>
    </row>
    <row r="6819" spans="5:13">
      <c r="E6819" s="261"/>
      <c r="F6819" s="261"/>
      <c r="G6819" s="261"/>
      <c r="H6819" s="261"/>
      <c r="I6819" s="261"/>
      <c r="J6819" s="261"/>
      <c r="K6819" s="261"/>
      <c r="L6819" s="261"/>
      <c r="M6819" s="261"/>
    </row>
    <row r="6820" spans="5:13">
      <c r="E6820" s="261"/>
      <c r="F6820" s="261"/>
      <c r="G6820" s="261"/>
      <c r="H6820" s="261"/>
      <c r="I6820" s="261"/>
      <c r="J6820" s="261"/>
      <c r="K6820" s="261"/>
      <c r="L6820" s="261"/>
      <c r="M6820" s="261"/>
    </row>
    <row r="6821" spans="5:13">
      <c r="E6821" s="261"/>
      <c r="F6821" s="261"/>
      <c r="G6821" s="261"/>
      <c r="H6821" s="261"/>
      <c r="I6821" s="261"/>
      <c r="J6821" s="261"/>
      <c r="K6821" s="261"/>
      <c r="L6821" s="261"/>
      <c r="M6821" s="261"/>
    </row>
    <row r="6822" spans="5:13">
      <c r="E6822" s="261"/>
      <c r="F6822" s="261"/>
      <c r="G6822" s="261"/>
      <c r="H6822" s="261"/>
      <c r="I6822" s="261"/>
      <c r="J6822" s="261"/>
      <c r="K6822" s="261"/>
      <c r="L6822" s="261"/>
      <c r="M6822" s="261"/>
    </row>
    <row r="6823" spans="5:13">
      <c r="E6823" s="261"/>
      <c r="F6823" s="261"/>
      <c r="G6823" s="261"/>
      <c r="H6823" s="261"/>
      <c r="I6823" s="261"/>
      <c r="J6823" s="261"/>
      <c r="K6823" s="261"/>
      <c r="L6823" s="261"/>
      <c r="M6823" s="261"/>
    </row>
    <row r="6824" spans="5:13">
      <c r="E6824" s="261"/>
      <c r="F6824" s="261"/>
      <c r="G6824" s="261"/>
      <c r="H6824" s="261"/>
      <c r="I6824" s="261"/>
      <c r="J6824" s="261"/>
      <c r="K6824" s="261"/>
      <c r="L6824" s="261"/>
      <c r="M6824" s="261"/>
    </row>
    <row r="6825" spans="5:13">
      <c r="E6825" s="261"/>
      <c r="F6825" s="261"/>
      <c r="G6825" s="261"/>
      <c r="H6825" s="261"/>
      <c r="I6825" s="261"/>
      <c r="J6825" s="261"/>
      <c r="K6825" s="261"/>
      <c r="L6825" s="261"/>
      <c r="M6825" s="261"/>
    </row>
    <row r="6826" spans="5:13">
      <c r="E6826" s="261"/>
      <c r="F6826" s="261"/>
      <c r="G6826" s="261"/>
      <c r="H6826" s="261"/>
      <c r="I6826" s="261"/>
      <c r="J6826" s="261"/>
      <c r="K6826" s="261"/>
      <c r="L6826" s="261"/>
      <c r="M6826" s="261"/>
    </row>
    <row r="6827" spans="5:13">
      <c r="E6827" s="261"/>
      <c r="F6827" s="261"/>
      <c r="G6827" s="261"/>
      <c r="H6827" s="261"/>
      <c r="I6827" s="261"/>
      <c r="J6827" s="261"/>
      <c r="K6827" s="261"/>
      <c r="L6827" s="261"/>
      <c r="M6827" s="261"/>
    </row>
    <row r="6828" spans="5:13">
      <c r="E6828" s="261"/>
      <c r="F6828" s="261"/>
      <c r="G6828" s="261"/>
      <c r="H6828" s="261"/>
      <c r="I6828" s="261"/>
      <c r="J6828" s="261"/>
      <c r="K6828" s="261"/>
      <c r="L6828" s="261"/>
      <c r="M6828" s="261"/>
    </row>
    <row r="6829" spans="5:13">
      <c r="E6829" s="261"/>
      <c r="F6829" s="261"/>
      <c r="G6829" s="261"/>
      <c r="H6829" s="261"/>
      <c r="I6829" s="261"/>
      <c r="J6829" s="261"/>
      <c r="K6829" s="261"/>
      <c r="L6829" s="261"/>
      <c r="M6829" s="261"/>
    </row>
    <row r="6830" spans="5:13">
      <c r="E6830" s="261"/>
      <c r="F6830" s="261"/>
      <c r="G6830" s="261"/>
      <c r="H6830" s="261"/>
      <c r="I6830" s="261"/>
      <c r="J6830" s="261"/>
      <c r="K6830" s="261"/>
      <c r="L6830" s="261"/>
      <c r="M6830" s="261"/>
    </row>
    <row r="6831" spans="5:13">
      <c r="E6831" s="261"/>
      <c r="F6831" s="261"/>
      <c r="G6831" s="261"/>
      <c r="H6831" s="261"/>
      <c r="I6831" s="261"/>
      <c r="J6831" s="261"/>
      <c r="K6831" s="261"/>
      <c r="L6831" s="261"/>
      <c r="M6831" s="261"/>
    </row>
    <row r="6832" spans="5:13">
      <c r="E6832" s="261"/>
      <c r="F6832" s="261"/>
      <c r="G6832" s="261"/>
      <c r="H6832" s="261"/>
      <c r="I6832" s="261"/>
      <c r="J6832" s="261"/>
      <c r="K6832" s="261"/>
      <c r="L6832" s="261"/>
      <c r="M6832" s="261"/>
    </row>
    <row r="6833" spans="5:13">
      <c r="E6833" s="261"/>
      <c r="F6833" s="261"/>
      <c r="G6833" s="261"/>
      <c r="H6833" s="261"/>
      <c r="I6833" s="261"/>
      <c r="J6833" s="261"/>
      <c r="K6833" s="261"/>
      <c r="L6833" s="261"/>
      <c r="M6833" s="261"/>
    </row>
    <row r="6834" spans="5:13">
      <c r="E6834" s="261"/>
      <c r="F6834" s="261"/>
      <c r="G6834" s="261"/>
      <c r="H6834" s="261"/>
      <c r="I6834" s="261"/>
      <c r="J6834" s="261"/>
      <c r="K6834" s="261"/>
      <c r="L6834" s="261"/>
      <c r="M6834" s="261"/>
    </row>
    <row r="6835" spans="5:13">
      <c r="E6835" s="261"/>
      <c r="F6835" s="261"/>
      <c r="G6835" s="261"/>
      <c r="H6835" s="261"/>
      <c r="I6835" s="261"/>
      <c r="J6835" s="261"/>
      <c r="K6835" s="261"/>
      <c r="L6835" s="261"/>
      <c r="M6835" s="261"/>
    </row>
    <row r="6836" spans="5:13">
      <c r="E6836" s="261"/>
      <c r="F6836" s="261"/>
      <c r="G6836" s="261"/>
      <c r="H6836" s="261"/>
      <c r="I6836" s="261"/>
      <c r="J6836" s="261"/>
      <c r="K6836" s="261"/>
      <c r="L6836" s="261"/>
      <c r="M6836" s="261"/>
    </row>
    <row r="6837" spans="5:13">
      <c r="E6837" s="261"/>
      <c r="F6837" s="261"/>
      <c r="G6837" s="261"/>
      <c r="H6837" s="261"/>
      <c r="I6837" s="261"/>
      <c r="J6837" s="261"/>
      <c r="K6837" s="261"/>
      <c r="L6837" s="261"/>
      <c r="M6837" s="261"/>
    </row>
    <row r="6838" spans="5:13">
      <c r="E6838" s="261"/>
      <c r="F6838" s="261"/>
      <c r="G6838" s="261"/>
      <c r="H6838" s="261"/>
      <c r="I6838" s="261"/>
      <c r="J6838" s="261"/>
      <c r="K6838" s="261"/>
      <c r="L6838" s="261"/>
      <c r="M6838" s="261"/>
    </row>
    <row r="6839" spans="5:13">
      <c r="E6839" s="261"/>
      <c r="F6839" s="261"/>
      <c r="G6839" s="261"/>
      <c r="H6839" s="261"/>
      <c r="I6839" s="261"/>
      <c r="J6839" s="261"/>
      <c r="K6839" s="261"/>
      <c r="L6839" s="261"/>
      <c r="M6839" s="261"/>
    </row>
    <row r="6840" spans="5:13">
      <c r="E6840" s="261"/>
      <c r="F6840" s="261"/>
      <c r="G6840" s="261"/>
      <c r="H6840" s="261"/>
      <c r="I6840" s="261"/>
      <c r="J6840" s="261"/>
      <c r="K6840" s="261"/>
      <c r="L6840" s="261"/>
      <c r="M6840" s="261"/>
    </row>
    <row r="6841" spans="5:13">
      <c r="E6841" s="261"/>
      <c r="F6841" s="261"/>
      <c r="G6841" s="261"/>
      <c r="H6841" s="261"/>
      <c r="I6841" s="261"/>
      <c r="J6841" s="261"/>
      <c r="K6841" s="261"/>
      <c r="L6841" s="261"/>
      <c r="M6841" s="261"/>
    </row>
    <row r="6842" spans="5:13">
      <c r="E6842" s="261"/>
      <c r="F6842" s="261"/>
      <c r="G6842" s="261"/>
      <c r="H6842" s="261"/>
      <c r="I6842" s="261"/>
      <c r="J6842" s="261"/>
      <c r="K6842" s="261"/>
      <c r="L6842" s="261"/>
      <c r="M6842" s="261"/>
    </row>
    <row r="6843" spans="5:13">
      <c r="E6843" s="261"/>
      <c r="F6843" s="261"/>
      <c r="G6843" s="261"/>
      <c r="H6843" s="261"/>
      <c r="I6843" s="261"/>
      <c r="J6843" s="261"/>
      <c r="K6843" s="261"/>
      <c r="L6843" s="261"/>
      <c r="M6843" s="261"/>
    </row>
    <row r="6844" spans="5:13">
      <c r="E6844" s="261"/>
      <c r="F6844" s="261"/>
      <c r="G6844" s="261"/>
      <c r="H6844" s="261"/>
      <c r="I6844" s="261"/>
      <c r="J6844" s="261"/>
      <c r="K6844" s="261"/>
      <c r="L6844" s="261"/>
      <c r="M6844" s="261"/>
    </row>
    <row r="6845" spans="5:13">
      <c r="E6845" s="261"/>
      <c r="F6845" s="261"/>
      <c r="G6845" s="261"/>
      <c r="H6845" s="261"/>
      <c r="I6845" s="261"/>
      <c r="J6845" s="261"/>
      <c r="K6845" s="261"/>
      <c r="L6845" s="261"/>
      <c r="M6845" s="261"/>
    </row>
    <row r="6846" spans="5:13">
      <c r="E6846" s="261"/>
      <c r="F6846" s="261"/>
      <c r="G6846" s="261"/>
      <c r="H6846" s="261"/>
      <c r="I6846" s="261"/>
      <c r="J6846" s="261"/>
      <c r="K6846" s="261"/>
      <c r="L6846" s="261"/>
      <c r="M6846" s="261"/>
    </row>
    <row r="6847" spans="5:13">
      <c r="E6847" s="261"/>
      <c r="F6847" s="261"/>
      <c r="G6847" s="261"/>
      <c r="H6847" s="261"/>
      <c r="I6847" s="261"/>
      <c r="J6847" s="261"/>
      <c r="K6847" s="261"/>
      <c r="L6847" s="261"/>
      <c r="M6847" s="261"/>
    </row>
    <row r="6848" spans="5:13">
      <c r="E6848" s="261"/>
      <c r="F6848" s="261"/>
      <c r="G6848" s="261"/>
      <c r="H6848" s="261"/>
      <c r="I6848" s="261"/>
      <c r="J6848" s="261"/>
      <c r="K6848" s="261"/>
      <c r="L6848" s="261"/>
      <c r="M6848" s="261"/>
    </row>
    <row r="6849" spans="5:13">
      <c r="E6849" s="261"/>
      <c r="F6849" s="261"/>
      <c r="G6849" s="261"/>
      <c r="H6849" s="261"/>
      <c r="I6849" s="261"/>
      <c r="J6849" s="261"/>
      <c r="K6849" s="261"/>
      <c r="L6849" s="261"/>
      <c r="M6849" s="261"/>
    </row>
    <row r="6850" spans="5:13">
      <c r="E6850" s="261"/>
      <c r="F6850" s="261"/>
      <c r="G6850" s="261"/>
      <c r="H6850" s="261"/>
      <c r="I6850" s="261"/>
      <c r="J6850" s="261"/>
      <c r="K6850" s="261"/>
      <c r="L6850" s="261"/>
      <c r="M6850" s="261"/>
    </row>
    <row r="6851" spans="5:13">
      <c r="E6851" s="261"/>
      <c r="F6851" s="261"/>
      <c r="G6851" s="261"/>
      <c r="H6851" s="261"/>
      <c r="I6851" s="261"/>
      <c r="J6851" s="261"/>
      <c r="K6851" s="261"/>
      <c r="L6851" s="261"/>
      <c r="M6851" s="261"/>
    </row>
    <row r="6852" spans="5:13">
      <c r="E6852" s="261"/>
      <c r="F6852" s="261"/>
      <c r="G6852" s="261"/>
      <c r="H6852" s="261"/>
      <c r="I6852" s="261"/>
      <c r="J6852" s="261"/>
      <c r="K6852" s="261"/>
      <c r="L6852" s="261"/>
      <c r="M6852" s="261"/>
    </row>
    <row r="6853" spans="5:13">
      <c r="E6853" s="261"/>
      <c r="F6853" s="261"/>
      <c r="G6853" s="261"/>
      <c r="H6853" s="261"/>
      <c r="I6853" s="261"/>
      <c r="J6853" s="261"/>
      <c r="K6853" s="261"/>
      <c r="L6853" s="261"/>
      <c r="M6853" s="261"/>
    </row>
    <row r="6854" spans="5:13">
      <c r="E6854" s="261"/>
      <c r="F6854" s="261"/>
      <c r="G6854" s="261"/>
      <c r="H6854" s="261"/>
      <c r="I6854" s="261"/>
      <c r="J6854" s="261"/>
      <c r="K6854" s="261"/>
      <c r="L6854" s="261"/>
      <c r="M6854" s="261"/>
    </row>
    <row r="6855" spans="5:13">
      <c r="E6855" s="261"/>
      <c r="F6855" s="261"/>
      <c r="G6855" s="261"/>
      <c r="H6855" s="261"/>
      <c r="I6855" s="261"/>
      <c r="J6855" s="261"/>
      <c r="K6855" s="261"/>
      <c r="L6855" s="261"/>
      <c r="M6855" s="261"/>
    </row>
    <row r="6856" spans="5:13">
      <c r="E6856" s="261"/>
      <c r="F6856" s="261"/>
      <c r="G6856" s="261"/>
      <c r="H6856" s="261"/>
      <c r="I6856" s="261"/>
      <c r="J6856" s="261"/>
      <c r="K6856" s="261"/>
      <c r="L6856" s="261"/>
      <c r="M6856" s="261"/>
    </row>
    <row r="6857" spans="5:13">
      <c r="E6857" s="261"/>
      <c r="F6857" s="261"/>
      <c r="G6857" s="261"/>
      <c r="H6857" s="261"/>
      <c r="I6857" s="261"/>
      <c r="J6857" s="261"/>
      <c r="K6857" s="261"/>
      <c r="L6857" s="261"/>
      <c r="M6857" s="261"/>
    </row>
    <row r="6858" spans="5:13">
      <c r="E6858" s="261"/>
      <c r="F6858" s="261"/>
      <c r="G6858" s="261"/>
      <c r="H6858" s="261"/>
      <c r="I6858" s="261"/>
      <c r="J6858" s="261"/>
      <c r="K6858" s="261"/>
      <c r="L6858" s="261"/>
      <c r="M6858" s="261"/>
    </row>
    <row r="6859" spans="5:13">
      <c r="E6859" s="261"/>
      <c r="F6859" s="261"/>
      <c r="G6859" s="261"/>
      <c r="H6859" s="261"/>
      <c r="I6859" s="261"/>
      <c r="J6859" s="261"/>
      <c r="K6859" s="261"/>
      <c r="L6859" s="261"/>
      <c r="M6859" s="261"/>
    </row>
    <row r="6860" spans="5:13">
      <c r="E6860" s="261"/>
      <c r="F6860" s="261"/>
      <c r="G6860" s="261"/>
      <c r="H6860" s="261"/>
      <c r="I6860" s="261"/>
      <c r="J6860" s="261"/>
      <c r="K6860" s="261"/>
      <c r="L6860" s="261"/>
      <c r="M6860" s="261"/>
    </row>
    <row r="6861" spans="5:13">
      <c r="E6861" s="261"/>
      <c r="F6861" s="261"/>
      <c r="G6861" s="261"/>
      <c r="H6861" s="261"/>
      <c r="I6861" s="261"/>
      <c r="J6861" s="261"/>
      <c r="K6861" s="261"/>
      <c r="L6861" s="261"/>
      <c r="M6861" s="261"/>
    </row>
    <row r="6862" spans="5:13">
      <c r="E6862" s="261"/>
      <c r="F6862" s="261"/>
      <c r="G6862" s="261"/>
      <c r="H6862" s="261"/>
      <c r="I6862" s="261"/>
      <c r="J6862" s="261"/>
      <c r="K6862" s="261"/>
      <c r="L6862" s="261"/>
      <c r="M6862" s="261"/>
    </row>
    <row r="6863" spans="5:13">
      <c r="E6863" s="261"/>
      <c r="F6863" s="261"/>
      <c r="G6863" s="261"/>
      <c r="H6863" s="261"/>
      <c r="I6863" s="261"/>
      <c r="J6863" s="261"/>
      <c r="K6863" s="261"/>
      <c r="L6863" s="261"/>
      <c r="M6863" s="261"/>
    </row>
    <row r="6864" spans="5:13">
      <c r="E6864" s="261"/>
      <c r="F6864" s="261"/>
      <c r="G6864" s="261"/>
      <c r="H6864" s="261"/>
      <c r="I6864" s="261"/>
      <c r="J6864" s="261"/>
      <c r="K6864" s="261"/>
      <c r="L6864" s="261"/>
      <c r="M6864" s="261"/>
    </row>
    <row r="6865" spans="5:13">
      <c r="E6865" s="261"/>
      <c r="F6865" s="261"/>
      <c r="G6865" s="261"/>
      <c r="H6865" s="261"/>
      <c r="I6865" s="261"/>
      <c r="J6865" s="261"/>
      <c r="K6865" s="261"/>
      <c r="L6865" s="261"/>
      <c r="M6865" s="261"/>
    </row>
    <row r="6866" spans="5:13">
      <c r="E6866" s="261"/>
      <c r="F6866" s="261"/>
      <c r="G6866" s="261"/>
      <c r="H6866" s="261"/>
      <c r="I6866" s="261"/>
      <c r="J6866" s="261"/>
      <c r="K6866" s="261"/>
      <c r="L6866" s="261"/>
      <c r="M6866" s="261"/>
    </row>
    <row r="6867" spans="5:13">
      <c r="E6867" s="261"/>
      <c r="F6867" s="261"/>
      <c r="G6867" s="261"/>
      <c r="H6867" s="261"/>
      <c r="I6867" s="261"/>
      <c r="J6867" s="261"/>
      <c r="K6867" s="261"/>
      <c r="L6867" s="261"/>
      <c r="M6867" s="261"/>
    </row>
    <row r="6868" spans="5:13">
      <c r="E6868" s="261"/>
      <c r="F6868" s="261"/>
      <c r="G6868" s="261"/>
      <c r="H6868" s="261"/>
      <c r="I6868" s="261"/>
      <c r="J6868" s="261"/>
      <c r="K6868" s="261"/>
      <c r="L6868" s="261"/>
      <c r="M6868" s="261"/>
    </row>
    <row r="6869" spans="5:13">
      <c r="E6869" s="261"/>
      <c r="F6869" s="261"/>
      <c r="G6869" s="261"/>
      <c r="H6869" s="261"/>
      <c r="I6869" s="261"/>
      <c r="J6869" s="261"/>
      <c r="K6869" s="261"/>
      <c r="L6869" s="261"/>
      <c r="M6869" s="261"/>
    </row>
    <row r="6870" spans="5:13">
      <c r="E6870" s="261"/>
      <c r="F6870" s="261"/>
      <c r="G6870" s="261"/>
      <c r="H6870" s="261"/>
      <c r="I6870" s="261"/>
      <c r="J6870" s="261"/>
      <c r="K6870" s="261"/>
      <c r="L6870" s="261"/>
      <c r="M6870" s="261"/>
    </row>
    <row r="6871" spans="5:13">
      <c r="E6871" s="261"/>
      <c r="F6871" s="261"/>
      <c r="G6871" s="261"/>
      <c r="H6871" s="261"/>
      <c r="I6871" s="261"/>
      <c r="J6871" s="261"/>
      <c r="K6871" s="261"/>
      <c r="L6871" s="261"/>
      <c r="M6871" s="261"/>
    </row>
    <row r="6872" spans="5:13">
      <c r="E6872" s="261"/>
      <c r="F6872" s="261"/>
      <c r="G6872" s="261"/>
      <c r="H6872" s="261"/>
      <c r="I6872" s="261"/>
      <c r="J6872" s="261"/>
      <c r="K6872" s="261"/>
      <c r="L6872" s="261"/>
      <c r="M6872" s="261"/>
    </row>
    <row r="6873" spans="5:13">
      <c r="E6873" s="261"/>
      <c r="F6873" s="261"/>
      <c r="G6873" s="261"/>
      <c r="H6873" s="261"/>
      <c r="I6873" s="261"/>
      <c r="J6873" s="261"/>
      <c r="K6873" s="261"/>
      <c r="L6873" s="261"/>
      <c r="M6873" s="261"/>
    </row>
    <row r="6874" spans="5:13">
      <c r="E6874" s="261"/>
      <c r="F6874" s="261"/>
      <c r="G6874" s="261"/>
      <c r="H6874" s="261"/>
      <c r="I6874" s="261"/>
      <c r="J6874" s="261"/>
      <c r="K6874" s="261"/>
      <c r="L6874" s="261"/>
      <c r="M6874" s="261"/>
    </row>
    <row r="6875" spans="5:13">
      <c r="E6875" s="261"/>
      <c r="F6875" s="261"/>
      <c r="G6875" s="261"/>
      <c r="H6875" s="261"/>
      <c r="I6875" s="261"/>
      <c r="J6875" s="261"/>
      <c r="K6875" s="261"/>
      <c r="L6875" s="261"/>
      <c r="M6875" s="261"/>
    </row>
    <row r="6876" spans="5:13">
      <c r="E6876" s="261"/>
      <c r="F6876" s="261"/>
      <c r="G6876" s="261"/>
      <c r="H6876" s="261"/>
      <c r="I6876" s="261"/>
      <c r="J6876" s="261"/>
      <c r="K6876" s="261"/>
      <c r="L6876" s="261"/>
      <c r="M6876" s="261"/>
    </row>
    <row r="6877" spans="5:13">
      <c r="E6877" s="261"/>
      <c r="F6877" s="261"/>
      <c r="G6877" s="261"/>
      <c r="H6877" s="261"/>
      <c r="I6877" s="261"/>
      <c r="J6877" s="261"/>
      <c r="K6877" s="261"/>
      <c r="L6877" s="261"/>
      <c r="M6877" s="261"/>
    </row>
    <row r="6878" spans="5:13">
      <c r="E6878" s="261"/>
      <c r="F6878" s="261"/>
      <c r="G6878" s="261"/>
      <c r="H6878" s="261"/>
      <c r="I6878" s="261"/>
      <c r="J6878" s="261"/>
      <c r="K6878" s="261"/>
      <c r="L6878" s="261"/>
      <c r="M6878" s="261"/>
    </row>
    <row r="6879" spans="5:13">
      <c r="E6879" s="261"/>
      <c r="F6879" s="261"/>
      <c r="G6879" s="261"/>
      <c r="H6879" s="261"/>
      <c r="I6879" s="261"/>
      <c r="J6879" s="261"/>
      <c r="K6879" s="261"/>
      <c r="L6879" s="261"/>
      <c r="M6879" s="261"/>
    </row>
    <row r="6880" spans="5:13">
      <c r="E6880" s="261"/>
      <c r="F6880" s="261"/>
      <c r="G6880" s="261"/>
      <c r="H6880" s="261"/>
      <c r="I6880" s="261"/>
      <c r="J6880" s="261"/>
      <c r="K6880" s="261"/>
      <c r="L6880" s="261"/>
      <c r="M6880" s="261"/>
    </row>
    <row r="6881" spans="5:13">
      <c r="E6881" s="261"/>
      <c r="F6881" s="261"/>
      <c r="G6881" s="261"/>
      <c r="H6881" s="261"/>
      <c r="I6881" s="261"/>
      <c r="J6881" s="261"/>
      <c r="K6881" s="261"/>
      <c r="L6881" s="261"/>
      <c r="M6881" s="261"/>
    </row>
    <row r="6882" spans="5:13">
      <c r="E6882" s="261"/>
      <c r="F6882" s="261"/>
      <c r="G6882" s="261"/>
      <c r="H6882" s="261"/>
      <c r="I6882" s="261"/>
      <c r="J6882" s="261"/>
      <c r="K6882" s="261"/>
      <c r="L6882" s="261"/>
      <c r="M6882" s="261"/>
    </row>
    <row r="6883" spans="5:13">
      <c r="E6883" s="261"/>
      <c r="F6883" s="261"/>
      <c r="G6883" s="261"/>
      <c r="H6883" s="261"/>
      <c r="I6883" s="261"/>
      <c r="J6883" s="261"/>
      <c r="K6883" s="261"/>
      <c r="L6883" s="261"/>
      <c r="M6883" s="261"/>
    </row>
    <row r="6884" spans="5:13">
      <c r="E6884" s="261"/>
      <c r="F6884" s="261"/>
      <c r="G6884" s="261"/>
      <c r="H6884" s="261"/>
      <c r="I6884" s="261"/>
      <c r="J6884" s="261"/>
      <c r="K6884" s="261"/>
      <c r="L6884" s="261"/>
      <c r="M6884" s="261"/>
    </row>
    <row r="6885" spans="5:13">
      <c r="E6885" s="261"/>
      <c r="F6885" s="261"/>
      <c r="G6885" s="261"/>
      <c r="H6885" s="261"/>
      <c r="I6885" s="261"/>
      <c r="J6885" s="261"/>
      <c r="K6885" s="261"/>
      <c r="L6885" s="261"/>
      <c r="M6885" s="261"/>
    </row>
    <row r="6886" spans="5:13">
      <c r="E6886" s="261"/>
      <c r="F6886" s="261"/>
      <c r="G6886" s="261"/>
      <c r="H6886" s="261"/>
      <c r="I6886" s="261"/>
      <c r="J6886" s="261"/>
      <c r="K6886" s="261"/>
      <c r="L6886" s="261"/>
      <c r="M6886" s="261"/>
    </row>
    <row r="6887" spans="5:13">
      <c r="E6887" s="261"/>
      <c r="F6887" s="261"/>
      <c r="G6887" s="261"/>
      <c r="H6887" s="261"/>
      <c r="I6887" s="261"/>
      <c r="J6887" s="261"/>
      <c r="K6887" s="261"/>
      <c r="L6887" s="261"/>
      <c r="M6887" s="261"/>
    </row>
    <row r="6888" spans="5:13">
      <c r="E6888" s="261"/>
      <c r="F6888" s="261"/>
      <c r="G6888" s="261"/>
      <c r="H6888" s="261"/>
      <c r="I6888" s="261"/>
      <c r="J6888" s="261"/>
      <c r="K6888" s="261"/>
      <c r="L6888" s="261"/>
      <c r="M6888" s="261"/>
    </row>
    <row r="6889" spans="5:13">
      <c r="E6889" s="261"/>
      <c r="F6889" s="261"/>
      <c r="G6889" s="261"/>
      <c r="H6889" s="261"/>
      <c r="I6889" s="261"/>
      <c r="J6889" s="261"/>
      <c r="K6889" s="261"/>
      <c r="L6889" s="261"/>
      <c r="M6889" s="261"/>
    </row>
    <row r="6890" spans="5:13">
      <c r="E6890" s="261"/>
      <c r="F6890" s="261"/>
      <c r="G6890" s="261"/>
      <c r="H6890" s="261"/>
      <c r="I6890" s="261"/>
      <c r="J6890" s="261"/>
      <c r="K6890" s="261"/>
      <c r="L6890" s="261"/>
      <c r="M6890" s="261"/>
    </row>
    <row r="6891" spans="5:13">
      <c r="E6891" s="261"/>
      <c r="F6891" s="261"/>
      <c r="G6891" s="261"/>
      <c r="H6891" s="261"/>
      <c r="I6891" s="261"/>
      <c r="J6891" s="261"/>
      <c r="K6891" s="261"/>
      <c r="L6891" s="261"/>
      <c r="M6891" s="261"/>
    </row>
    <row r="6892" spans="5:13">
      <c r="E6892" s="261"/>
      <c r="F6892" s="261"/>
      <c r="G6892" s="261"/>
      <c r="H6892" s="261"/>
      <c r="I6892" s="261"/>
      <c r="J6892" s="261"/>
      <c r="K6892" s="261"/>
      <c r="L6892" s="261"/>
      <c r="M6892" s="261"/>
    </row>
    <row r="6893" spans="5:13">
      <c r="E6893" s="261"/>
      <c r="F6893" s="261"/>
      <c r="G6893" s="261"/>
      <c r="H6893" s="261"/>
      <c r="I6893" s="261"/>
      <c r="J6893" s="261"/>
      <c r="K6893" s="261"/>
      <c r="L6893" s="261"/>
      <c r="M6893" s="261"/>
    </row>
    <row r="6894" spans="5:13">
      <c r="E6894" s="261"/>
      <c r="F6894" s="261"/>
      <c r="G6894" s="261"/>
      <c r="H6894" s="261"/>
      <c r="I6894" s="261"/>
      <c r="J6894" s="261"/>
      <c r="K6894" s="261"/>
      <c r="L6894" s="261"/>
      <c r="M6894" s="261"/>
    </row>
    <row r="6895" spans="5:13">
      <c r="E6895" s="261"/>
      <c r="F6895" s="261"/>
      <c r="G6895" s="261"/>
      <c r="H6895" s="261"/>
      <c r="I6895" s="261"/>
      <c r="J6895" s="261"/>
      <c r="K6895" s="261"/>
      <c r="L6895" s="261"/>
      <c r="M6895" s="261"/>
    </row>
    <row r="6896" spans="5:13">
      <c r="E6896" s="261"/>
      <c r="F6896" s="261"/>
      <c r="G6896" s="261"/>
      <c r="H6896" s="261"/>
      <c r="I6896" s="261"/>
      <c r="J6896" s="261"/>
      <c r="K6896" s="261"/>
      <c r="L6896" s="261"/>
      <c r="M6896" s="261"/>
    </row>
    <row r="6897" spans="5:13">
      <c r="E6897" s="261"/>
      <c r="F6897" s="261"/>
      <c r="G6897" s="261"/>
      <c r="H6897" s="261"/>
      <c r="I6897" s="261"/>
      <c r="J6897" s="261"/>
      <c r="K6897" s="261"/>
      <c r="L6897" s="261"/>
      <c r="M6897" s="261"/>
    </row>
    <row r="6898" spans="5:13">
      <c r="E6898" s="261"/>
      <c r="F6898" s="261"/>
      <c r="G6898" s="261"/>
      <c r="H6898" s="261"/>
      <c r="I6898" s="261"/>
      <c r="J6898" s="261"/>
      <c r="K6898" s="261"/>
      <c r="L6898" s="261"/>
      <c r="M6898" s="261"/>
    </row>
    <row r="6899" spans="5:13">
      <c r="E6899" s="261"/>
      <c r="F6899" s="261"/>
      <c r="G6899" s="261"/>
      <c r="H6899" s="261"/>
      <c r="I6899" s="261"/>
      <c r="J6899" s="261"/>
      <c r="K6899" s="261"/>
      <c r="L6899" s="261"/>
      <c r="M6899" s="261"/>
    </row>
    <row r="6900" spans="5:13">
      <c r="E6900" s="261"/>
      <c r="F6900" s="261"/>
      <c r="G6900" s="261"/>
      <c r="H6900" s="261"/>
      <c r="I6900" s="261"/>
      <c r="J6900" s="261"/>
      <c r="K6900" s="261"/>
      <c r="L6900" s="261"/>
      <c r="M6900" s="261"/>
    </row>
    <row r="6901" spans="5:13">
      <c r="E6901" s="261"/>
      <c r="F6901" s="261"/>
      <c r="G6901" s="261"/>
      <c r="H6901" s="261"/>
      <c r="I6901" s="261"/>
      <c r="J6901" s="261"/>
      <c r="K6901" s="261"/>
      <c r="L6901" s="261"/>
      <c r="M6901" s="261"/>
    </row>
    <row r="6902" spans="5:13">
      <c r="E6902" s="261"/>
      <c r="F6902" s="261"/>
      <c r="G6902" s="261"/>
      <c r="H6902" s="261"/>
      <c r="I6902" s="261"/>
      <c r="J6902" s="261"/>
      <c r="K6902" s="261"/>
      <c r="L6902" s="261"/>
      <c r="M6902" s="261"/>
    </row>
    <row r="6903" spans="5:13">
      <c r="E6903" s="261"/>
      <c r="F6903" s="261"/>
      <c r="G6903" s="261"/>
      <c r="H6903" s="261"/>
      <c r="I6903" s="261"/>
      <c r="J6903" s="261"/>
      <c r="K6903" s="261"/>
      <c r="L6903" s="261"/>
      <c r="M6903" s="261"/>
    </row>
    <row r="6904" spans="5:13">
      <c r="E6904" s="261"/>
      <c r="F6904" s="261"/>
      <c r="G6904" s="261"/>
      <c r="H6904" s="261"/>
      <c r="I6904" s="261"/>
      <c r="J6904" s="261"/>
      <c r="K6904" s="261"/>
      <c r="L6904" s="261"/>
      <c r="M6904" s="261"/>
    </row>
    <row r="6905" spans="5:13">
      <c r="E6905" s="261"/>
      <c r="F6905" s="261"/>
      <c r="G6905" s="261"/>
      <c r="H6905" s="261"/>
      <c r="I6905" s="261"/>
      <c r="J6905" s="261"/>
      <c r="K6905" s="261"/>
      <c r="L6905" s="261"/>
      <c r="M6905" s="261"/>
    </row>
    <row r="6906" spans="5:13">
      <c r="E6906" s="261"/>
      <c r="F6906" s="261"/>
      <c r="G6906" s="261"/>
      <c r="H6906" s="261"/>
      <c r="I6906" s="261"/>
      <c r="J6906" s="261"/>
      <c r="K6906" s="261"/>
      <c r="L6906" s="261"/>
      <c r="M6906" s="261"/>
    </row>
    <row r="6907" spans="5:13">
      <c r="E6907" s="261"/>
      <c r="F6907" s="261"/>
      <c r="G6907" s="261"/>
      <c r="H6907" s="261"/>
      <c r="I6907" s="261"/>
      <c r="J6907" s="261"/>
      <c r="K6907" s="261"/>
      <c r="L6907" s="261"/>
      <c r="M6907" s="261"/>
    </row>
    <row r="6908" spans="5:13">
      <c r="E6908" s="261"/>
      <c r="F6908" s="261"/>
      <c r="G6908" s="261"/>
      <c r="H6908" s="261"/>
      <c r="I6908" s="261"/>
      <c r="J6908" s="261"/>
      <c r="K6908" s="261"/>
      <c r="L6908" s="261"/>
      <c r="M6908" s="261"/>
    </row>
    <row r="6909" spans="5:13">
      <c r="E6909" s="261"/>
      <c r="F6909" s="261"/>
      <c r="G6909" s="261"/>
      <c r="H6909" s="261"/>
      <c r="I6909" s="261"/>
      <c r="J6909" s="261"/>
      <c r="K6909" s="261"/>
      <c r="L6909" s="261"/>
      <c r="M6909" s="261"/>
    </row>
    <row r="6910" spans="5:13">
      <c r="E6910" s="261"/>
      <c r="F6910" s="261"/>
      <c r="G6910" s="261"/>
      <c r="H6910" s="261"/>
      <c r="I6910" s="261"/>
      <c r="J6910" s="261"/>
      <c r="K6910" s="261"/>
      <c r="L6910" s="261"/>
      <c r="M6910" s="261"/>
    </row>
    <row r="6911" spans="5:13">
      <c r="E6911" s="261"/>
      <c r="F6911" s="261"/>
      <c r="G6911" s="261"/>
      <c r="H6911" s="261"/>
      <c r="I6911" s="261"/>
      <c r="J6911" s="261"/>
      <c r="K6911" s="261"/>
      <c r="L6911" s="261"/>
      <c r="M6911" s="261"/>
    </row>
    <row r="6912" spans="5:13">
      <c r="E6912" s="261"/>
      <c r="F6912" s="261"/>
      <c r="G6912" s="261"/>
      <c r="H6912" s="261"/>
      <c r="I6912" s="261"/>
      <c r="J6912" s="261"/>
      <c r="K6912" s="261"/>
      <c r="L6912" s="261"/>
      <c r="M6912" s="261"/>
    </row>
    <row r="6913" spans="5:13">
      <c r="E6913" s="261"/>
      <c r="F6913" s="261"/>
      <c r="G6913" s="261"/>
      <c r="H6913" s="261"/>
      <c r="I6913" s="261"/>
      <c r="J6913" s="261"/>
      <c r="K6913" s="261"/>
      <c r="L6913" s="261"/>
      <c r="M6913" s="261"/>
    </row>
    <row r="6914" spans="5:13">
      <c r="E6914" s="261"/>
      <c r="F6914" s="261"/>
      <c r="G6914" s="261"/>
      <c r="H6914" s="261"/>
      <c r="I6914" s="261"/>
      <c r="J6914" s="261"/>
      <c r="K6914" s="261"/>
      <c r="L6914" s="261"/>
      <c r="M6914" s="261"/>
    </row>
    <row r="6915" spans="5:13">
      <c r="E6915" s="261"/>
      <c r="F6915" s="261"/>
      <c r="G6915" s="261"/>
      <c r="H6915" s="261"/>
      <c r="I6915" s="261"/>
      <c r="J6915" s="261"/>
      <c r="K6915" s="261"/>
      <c r="L6915" s="261"/>
      <c r="M6915" s="261"/>
    </row>
    <row r="6916" spans="5:13">
      <c r="E6916" s="261"/>
      <c r="F6916" s="261"/>
      <c r="G6916" s="261"/>
      <c r="H6916" s="261"/>
      <c r="I6916" s="261"/>
      <c r="J6916" s="261"/>
      <c r="K6916" s="261"/>
      <c r="L6916" s="261"/>
      <c r="M6916" s="261"/>
    </row>
    <row r="6917" spans="5:13">
      <c r="E6917" s="261"/>
      <c r="F6917" s="261"/>
      <c r="G6917" s="261"/>
      <c r="H6917" s="261"/>
      <c r="I6917" s="261"/>
      <c r="J6917" s="261"/>
      <c r="K6917" s="261"/>
      <c r="L6917" s="261"/>
      <c r="M6917" s="261"/>
    </row>
    <row r="6918" spans="5:13">
      <c r="E6918" s="261"/>
      <c r="F6918" s="261"/>
      <c r="G6918" s="261"/>
      <c r="H6918" s="261"/>
      <c r="I6918" s="261"/>
      <c r="J6918" s="261"/>
      <c r="K6918" s="261"/>
      <c r="L6918" s="261"/>
      <c r="M6918" s="261"/>
    </row>
    <row r="6919" spans="5:13">
      <c r="E6919" s="261"/>
      <c r="F6919" s="261"/>
      <c r="G6919" s="261"/>
      <c r="H6919" s="261"/>
      <c r="I6919" s="261"/>
      <c r="J6919" s="261"/>
      <c r="K6919" s="261"/>
      <c r="L6919" s="261"/>
      <c r="M6919" s="261"/>
    </row>
    <row r="6920" spans="5:13">
      <c r="E6920" s="261"/>
      <c r="F6920" s="261"/>
      <c r="G6920" s="261"/>
      <c r="H6920" s="261"/>
      <c r="I6920" s="261"/>
      <c r="J6920" s="261"/>
      <c r="K6920" s="261"/>
      <c r="L6920" s="261"/>
      <c r="M6920" s="261"/>
    </row>
    <row r="6921" spans="5:13">
      <c r="E6921" s="261"/>
      <c r="F6921" s="261"/>
      <c r="G6921" s="261"/>
      <c r="H6921" s="261"/>
      <c r="I6921" s="261"/>
      <c r="J6921" s="261"/>
      <c r="K6921" s="261"/>
      <c r="L6921" s="261"/>
      <c r="M6921" s="261"/>
    </row>
    <row r="6922" spans="5:13">
      <c r="E6922" s="261"/>
      <c r="F6922" s="261"/>
      <c r="G6922" s="261"/>
      <c r="H6922" s="261"/>
      <c r="I6922" s="261"/>
      <c r="J6922" s="261"/>
      <c r="K6922" s="261"/>
      <c r="L6922" s="261"/>
      <c r="M6922" s="261"/>
    </row>
    <row r="6923" spans="5:13">
      <c r="E6923" s="261"/>
      <c r="F6923" s="261"/>
      <c r="G6923" s="261"/>
      <c r="H6923" s="261"/>
      <c r="I6923" s="261"/>
      <c r="J6923" s="261"/>
      <c r="K6923" s="261"/>
      <c r="L6923" s="261"/>
      <c r="M6923" s="261"/>
    </row>
    <row r="6924" spans="5:13">
      <c r="E6924" s="261"/>
      <c r="F6924" s="261"/>
      <c r="G6924" s="261"/>
      <c r="H6924" s="261"/>
      <c r="I6924" s="261"/>
      <c r="J6924" s="261"/>
      <c r="K6924" s="261"/>
      <c r="L6924" s="261"/>
      <c r="M6924" s="261"/>
    </row>
    <row r="6925" spans="5:13">
      <c r="E6925" s="261"/>
      <c r="F6925" s="261"/>
      <c r="G6925" s="261"/>
      <c r="H6925" s="261"/>
      <c r="I6925" s="261"/>
      <c r="J6925" s="261"/>
      <c r="K6925" s="261"/>
      <c r="L6925" s="261"/>
      <c r="M6925" s="261"/>
    </row>
    <row r="6926" spans="5:13">
      <c r="E6926" s="261"/>
      <c r="F6926" s="261"/>
      <c r="G6926" s="261"/>
      <c r="H6926" s="261"/>
      <c r="I6926" s="261"/>
      <c r="J6926" s="261"/>
      <c r="K6926" s="261"/>
      <c r="L6926" s="261"/>
      <c r="M6926" s="261"/>
    </row>
    <row r="6927" spans="5:13">
      <c r="E6927" s="261"/>
      <c r="F6927" s="261"/>
      <c r="G6927" s="261"/>
      <c r="H6927" s="261"/>
      <c r="I6927" s="261"/>
      <c r="J6927" s="261"/>
      <c r="K6927" s="261"/>
      <c r="L6927" s="261"/>
      <c r="M6927" s="261"/>
    </row>
    <row r="6928" spans="5:13">
      <c r="E6928" s="261"/>
      <c r="F6928" s="261"/>
      <c r="G6928" s="261"/>
      <c r="H6928" s="261"/>
      <c r="I6928" s="261"/>
      <c r="J6928" s="261"/>
      <c r="K6928" s="261"/>
      <c r="L6928" s="261"/>
      <c r="M6928" s="261"/>
    </row>
    <row r="6929" spans="5:13">
      <c r="E6929" s="261"/>
      <c r="F6929" s="261"/>
      <c r="G6929" s="261"/>
      <c r="H6929" s="261"/>
      <c r="I6929" s="261"/>
      <c r="J6929" s="261"/>
      <c r="K6929" s="261"/>
      <c r="L6929" s="261"/>
      <c r="M6929" s="261"/>
    </row>
    <row r="6930" spans="5:13">
      <c r="E6930" s="261"/>
      <c r="F6930" s="261"/>
      <c r="G6930" s="261"/>
      <c r="H6930" s="261"/>
      <c r="I6930" s="261"/>
      <c r="J6930" s="261"/>
      <c r="K6930" s="261"/>
      <c r="L6930" s="261"/>
      <c r="M6930" s="261"/>
    </row>
    <row r="6931" spans="5:13">
      <c r="E6931" s="261"/>
      <c r="F6931" s="261"/>
      <c r="G6931" s="261"/>
      <c r="H6931" s="261"/>
      <c r="I6931" s="261"/>
      <c r="J6931" s="261"/>
      <c r="K6931" s="261"/>
      <c r="L6931" s="261"/>
      <c r="M6931" s="261"/>
    </row>
    <row r="6932" spans="5:13">
      <c r="E6932" s="261"/>
      <c r="F6932" s="261"/>
      <c r="G6932" s="261"/>
      <c r="H6932" s="261"/>
      <c r="I6932" s="261"/>
      <c r="J6932" s="261"/>
      <c r="K6932" s="261"/>
      <c r="L6932" s="261"/>
      <c r="M6932" s="261"/>
    </row>
    <row r="6933" spans="5:13">
      <c r="E6933" s="261"/>
      <c r="F6933" s="261"/>
      <c r="G6933" s="261"/>
      <c r="H6933" s="261"/>
      <c r="I6933" s="261"/>
      <c r="J6933" s="261"/>
      <c r="K6933" s="261"/>
      <c r="L6933" s="261"/>
      <c r="M6933" s="261"/>
    </row>
    <row r="6934" spans="5:13">
      <c r="E6934" s="261"/>
      <c r="F6934" s="261"/>
      <c r="G6934" s="261"/>
      <c r="H6934" s="261"/>
      <c r="I6934" s="261"/>
      <c r="J6934" s="261"/>
      <c r="K6934" s="261"/>
      <c r="L6934" s="261"/>
      <c r="M6934" s="261"/>
    </row>
    <row r="6935" spans="5:13">
      <c r="E6935" s="261"/>
      <c r="F6935" s="261"/>
      <c r="G6935" s="261"/>
      <c r="H6935" s="261"/>
      <c r="I6935" s="261"/>
      <c r="J6935" s="261"/>
      <c r="K6935" s="261"/>
      <c r="L6935" s="261"/>
      <c r="M6935" s="261"/>
    </row>
    <row r="6936" spans="5:13">
      <c r="E6936" s="261"/>
      <c r="F6936" s="261"/>
      <c r="G6936" s="261"/>
      <c r="H6936" s="261"/>
      <c r="I6936" s="261"/>
      <c r="J6936" s="261"/>
      <c r="K6936" s="261"/>
      <c r="L6936" s="261"/>
      <c r="M6936" s="261"/>
    </row>
    <row r="6937" spans="5:13">
      <c r="E6937" s="261"/>
      <c r="F6937" s="261"/>
      <c r="G6937" s="261"/>
      <c r="H6937" s="261"/>
      <c r="I6937" s="261"/>
      <c r="J6937" s="261"/>
      <c r="K6937" s="261"/>
      <c r="L6937" s="261"/>
      <c r="M6937" s="261"/>
    </row>
    <row r="6938" spans="5:13">
      <c r="E6938" s="261"/>
      <c r="F6938" s="261"/>
      <c r="G6938" s="261"/>
      <c r="H6938" s="261"/>
      <c r="I6938" s="261"/>
      <c r="J6938" s="261"/>
      <c r="K6938" s="261"/>
      <c r="L6938" s="261"/>
      <c r="M6938" s="261"/>
    </row>
    <row r="6939" spans="5:13">
      <c r="E6939" s="261"/>
      <c r="F6939" s="261"/>
      <c r="G6939" s="261"/>
      <c r="H6939" s="261"/>
      <c r="I6939" s="261"/>
      <c r="J6939" s="261"/>
      <c r="K6939" s="261"/>
      <c r="L6939" s="261"/>
      <c r="M6939" s="261"/>
    </row>
    <row r="6940" spans="5:13">
      <c r="E6940" s="261"/>
      <c r="F6940" s="261"/>
      <c r="G6940" s="261"/>
      <c r="H6940" s="261"/>
      <c r="I6940" s="261"/>
      <c r="J6940" s="261"/>
      <c r="K6940" s="261"/>
      <c r="L6940" s="261"/>
      <c r="M6940" s="261"/>
    </row>
    <row r="6941" spans="5:13">
      <c r="E6941" s="261"/>
      <c r="F6941" s="261"/>
      <c r="G6941" s="261"/>
      <c r="H6941" s="261"/>
      <c r="I6941" s="261"/>
      <c r="J6941" s="261"/>
      <c r="K6941" s="261"/>
      <c r="L6941" s="261"/>
      <c r="M6941" s="261"/>
    </row>
    <row r="6942" spans="5:13">
      <c r="E6942" s="261"/>
      <c r="F6942" s="261"/>
      <c r="G6942" s="261"/>
      <c r="H6942" s="261"/>
      <c r="I6942" s="261"/>
      <c r="J6942" s="261"/>
      <c r="K6942" s="261"/>
      <c r="L6942" s="261"/>
      <c r="M6942" s="261"/>
    </row>
    <row r="6943" spans="5:13">
      <c r="E6943" s="261"/>
      <c r="F6943" s="261"/>
      <c r="G6943" s="261"/>
      <c r="H6943" s="261"/>
      <c r="I6943" s="261"/>
      <c r="J6943" s="261"/>
      <c r="K6943" s="261"/>
      <c r="L6943" s="261"/>
      <c r="M6943" s="261"/>
    </row>
    <row r="6944" spans="5:13">
      <c r="E6944" s="261"/>
      <c r="F6944" s="261"/>
      <c r="G6944" s="261"/>
      <c r="H6944" s="261"/>
      <c r="I6944" s="261"/>
      <c r="J6944" s="261"/>
      <c r="K6944" s="261"/>
      <c r="L6944" s="261"/>
      <c r="M6944" s="261"/>
    </row>
    <row r="6945" spans="5:13">
      <c r="E6945" s="261"/>
      <c r="F6945" s="261"/>
      <c r="G6945" s="261"/>
      <c r="H6945" s="261"/>
      <c r="I6945" s="261"/>
      <c r="J6945" s="261"/>
      <c r="K6945" s="261"/>
      <c r="L6945" s="261"/>
      <c r="M6945" s="261"/>
    </row>
    <row r="6946" spans="5:13">
      <c r="E6946" s="261"/>
      <c r="F6946" s="261"/>
      <c r="G6946" s="261"/>
      <c r="H6946" s="261"/>
      <c r="I6946" s="261"/>
      <c r="J6946" s="261"/>
      <c r="K6946" s="261"/>
      <c r="L6946" s="261"/>
      <c r="M6946" s="261"/>
    </row>
    <row r="6947" spans="5:13">
      <c r="E6947" s="261"/>
      <c r="F6947" s="261"/>
      <c r="G6947" s="261"/>
      <c r="H6947" s="261"/>
      <c r="I6947" s="261"/>
      <c r="J6947" s="261"/>
      <c r="K6947" s="261"/>
      <c r="L6947" s="261"/>
      <c r="M6947" s="261"/>
    </row>
    <row r="6948" spans="5:13">
      <c r="E6948" s="261"/>
      <c r="F6948" s="261"/>
      <c r="G6948" s="261"/>
      <c r="H6948" s="261"/>
      <c r="I6948" s="261"/>
      <c r="J6948" s="261"/>
      <c r="K6948" s="261"/>
      <c r="L6948" s="261"/>
      <c r="M6948" s="261"/>
    </row>
    <row r="6949" spans="5:13">
      <c r="E6949" s="261"/>
      <c r="F6949" s="261"/>
      <c r="G6949" s="261"/>
      <c r="H6949" s="261"/>
      <c r="I6949" s="261"/>
      <c r="J6949" s="261"/>
      <c r="K6949" s="261"/>
      <c r="L6949" s="261"/>
      <c r="M6949" s="261"/>
    </row>
    <row r="6950" spans="5:13">
      <c r="E6950" s="261"/>
      <c r="F6950" s="261"/>
      <c r="G6950" s="261"/>
      <c r="H6950" s="261"/>
      <c r="I6950" s="261"/>
      <c r="J6950" s="261"/>
      <c r="K6950" s="261"/>
      <c r="L6950" s="261"/>
      <c r="M6950" s="261"/>
    </row>
    <row r="6951" spans="5:13">
      <c r="E6951" s="261"/>
      <c r="F6951" s="261"/>
      <c r="G6951" s="261"/>
      <c r="H6951" s="261"/>
      <c r="I6951" s="261"/>
      <c r="J6951" s="261"/>
      <c r="K6951" s="261"/>
      <c r="L6951" s="261"/>
      <c r="M6951" s="261"/>
    </row>
    <row r="6952" spans="5:13">
      <c r="E6952" s="261"/>
      <c r="F6952" s="261"/>
      <c r="G6952" s="261"/>
      <c r="H6952" s="261"/>
      <c r="I6952" s="261"/>
      <c r="J6952" s="261"/>
      <c r="K6952" s="261"/>
      <c r="L6952" s="261"/>
      <c r="M6952" s="261"/>
    </row>
    <row r="6953" spans="5:13">
      <c r="E6953" s="261"/>
      <c r="F6953" s="261"/>
      <c r="G6953" s="261"/>
      <c r="H6953" s="261"/>
      <c r="I6953" s="261"/>
      <c r="J6953" s="261"/>
      <c r="K6953" s="261"/>
      <c r="L6953" s="261"/>
      <c r="M6953" s="261"/>
    </row>
    <row r="6954" spans="5:13">
      <c r="E6954" s="261"/>
      <c r="F6954" s="261"/>
      <c r="G6954" s="261"/>
      <c r="H6954" s="261"/>
      <c r="I6954" s="261"/>
      <c r="J6954" s="261"/>
      <c r="K6954" s="261"/>
      <c r="L6954" s="261"/>
      <c r="M6954" s="261"/>
    </row>
    <row r="6955" spans="5:13">
      <c r="E6955" s="261"/>
      <c r="F6955" s="261"/>
      <c r="G6955" s="261"/>
      <c r="H6955" s="261"/>
      <c r="I6955" s="261"/>
      <c r="J6955" s="261"/>
      <c r="K6955" s="261"/>
      <c r="L6955" s="261"/>
      <c r="M6955" s="261"/>
    </row>
    <row r="6956" spans="5:13">
      <c r="E6956" s="261"/>
      <c r="F6956" s="261"/>
      <c r="G6956" s="261"/>
      <c r="H6956" s="261"/>
      <c r="I6956" s="261"/>
      <c r="J6956" s="261"/>
      <c r="K6956" s="261"/>
      <c r="L6956" s="261"/>
      <c r="M6956" s="261"/>
    </row>
    <row r="6957" spans="5:13">
      <c r="E6957" s="261"/>
      <c r="F6957" s="261"/>
      <c r="G6957" s="261"/>
      <c r="H6957" s="261"/>
      <c r="I6957" s="261"/>
      <c r="J6957" s="261"/>
      <c r="K6957" s="261"/>
      <c r="L6957" s="261"/>
      <c r="M6957" s="261"/>
    </row>
    <row r="6958" spans="5:13">
      <c r="E6958" s="261"/>
      <c r="F6958" s="261"/>
      <c r="G6958" s="261"/>
      <c r="H6958" s="261"/>
      <c r="I6958" s="261"/>
      <c r="J6958" s="261"/>
      <c r="K6958" s="261"/>
      <c r="L6958" s="261"/>
      <c r="M6958" s="261"/>
    </row>
    <row r="6959" spans="5:13">
      <c r="E6959" s="261"/>
      <c r="F6959" s="261"/>
      <c r="G6959" s="261"/>
      <c r="H6959" s="261"/>
      <c r="I6959" s="261"/>
      <c r="J6959" s="261"/>
      <c r="K6959" s="261"/>
      <c r="L6959" s="261"/>
      <c r="M6959" s="261"/>
    </row>
    <row r="6960" spans="5:13">
      <c r="E6960" s="261"/>
      <c r="F6960" s="261"/>
      <c r="G6960" s="261"/>
      <c r="H6960" s="261"/>
      <c r="I6960" s="261"/>
      <c r="J6960" s="261"/>
      <c r="K6960" s="261"/>
      <c r="L6960" s="261"/>
      <c r="M6960" s="261"/>
    </row>
    <row r="6961" spans="5:13">
      <c r="E6961" s="261"/>
      <c r="F6961" s="261"/>
      <c r="G6961" s="261"/>
      <c r="H6961" s="261"/>
      <c r="I6961" s="261"/>
      <c r="J6961" s="261"/>
      <c r="K6961" s="261"/>
      <c r="L6961" s="261"/>
      <c r="M6961" s="261"/>
    </row>
    <row r="6962" spans="5:13">
      <c r="E6962" s="261"/>
      <c r="F6962" s="261"/>
      <c r="G6962" s="261"/>
      <c r="H6962" s="261"/>
      <c r="I6962" s="261"/>
      <c r="J6962" s="261"/>
      <c r="K6962" s="261"/>
      <c r="L6962" s="261"/>
      <c r="M6962" s="261"/>
    </row>
    <row r="6963" spans="5:13">
      <c r="E6963" s="261"/>
      <c r="F6963" s="261"/>
      <c r="G6963" s="261"/>
      <c r="H6963" s="261"/>
      <c r="I6963" s="261"/>
      <c r="J6963" s="261"/>
      <c r="K6963" s="261"/>
      <c r="L6963" s="261"/>
      <c r="M6963" s="261"/>
    </row>
    <row r="6964" spans="5:13">
      <c r="E6964" s="261"/>
      <c r="F6964" s="261"/>
      <c r="G6964" s="261"/>
      <c r="H6964" s="261"/>
      <c r="I6964" s="261"/>
      <c r="J6964" s="261"/>
      <c r="K6964" s="261"/>
      <c r="L6964" s="261"/>
      <c r="M6964" s="261"/>
    </row>
    <row r="6965" spans="5:13">
      <c r="E6965" s="261"/>
      <c r="F6965" s="261"/>
      <c r="G6965" s="261"/>
      <c r="H6965" s="261"/>
      <c r="I6965" s="261"/>
      <c r="J6965" s="261"/>
      <c r="K6965" s="261"/>
      <c r="L6965" s="261"/>
      <c r="M6965" s="261"/>
    </row>
    <row r="6966" spans="5:13">
      <c r="E6966" s="261"/>
      <c r="F6966" s="261"/>
      <c r="G6966" s="261"/>
      <c r="H6966" s="261"/>
      <c r="I6966" s="261"/>
      <c r="J6966" s="261"/>
      <c r="K6966" s="261"/>
      <c r="L6966" s="261"/>
      <c r="M6966" s="261"/>
    </row>
    <row r="6967" spans="5:13">
      <c r="E6967" s="261"/>
      <c r="F6967" s="261"/>
      <c r="G6967" s="261"/>
      <c r="H6967" s="261"/>
      <c r="I6967" s="261"/>
      <c r="J6967" s="261"/>
      <c r="K6967" s="261"/>
      <c r="L6967" s="261"/>
      <c r="M6967" s="261"/>
    </row>
    <row r="6968" spans="5:13">
      <c r="E6968" s="261"/>
      <c r="F6968" s="261"/>
      <c r="G6968" s="261"/>
      <c r="H6968" s="261"/>
      <c r="I6968" s="261"/>
      <c r="J6968" s="261"/>
      <c r="K6968" s="261"/>
      <c r="L6968" s="261"/>
      <c r="M6968" s="261"/>
    </row>
    <row r="6969" spans="5:13">
      <c r="E6969" s="261"/>
      <c r="F6969" s="261"/>
      <c r="G6969" s="261"/>
      <c r="H6969" s="261"/>
      <c r="I6969" s="261"/>
      <c r="J6969" s="261"/>
      <c r="K6969" s="261"/>
      <c r="L6969" s="261"/>
      <c r="M6969" s="261"/>
    </row>
    <row r="6970" spans="5:13">
      <c r="E6970" s="261"/>
      <c r="F6970" s="261"/>
      <c r="G6970" s="261"/>
      <c r="H6970" s="261"/>
      <c r="I6970" s="261"/>
      <c r="J6970" s="261"/>
      <c r="K6970" s="261"/>
      <c r="L6970" s="261"/>
      <c r="M6970" s="261"/>
    </row>
    <row r="6971" spans="5:13">
      <c r="E6971" s="261"/>
      <c r="F6971" s="261"/>
      <c r="G6971" s="261"/>
      <c r="H6971" s="261"/>
      <c r="I6971" s="261"/>
      <c r="J6971" s="261"/>
      <c r="K6971" s="261"/>
      <c r="L6971" s="261"/>
      <c r="M6971" s="261"/>
    </row>
    <row r="6972" spans="5:13">
      <c r="E6972" s="261"/>
      <c r="F6972" s="261"/>
      <c r="G6972" s="261"/>
      <c r="H6972" s="261"/>
      <c r="I6972" s="261"/>
      <c r="J6972" s="261"/>
      <c r="K6972" s="261"/>
      <c r="L6972" s="261"/>
      <c r="M6972" s="261"/>
    </row>
    <row r="6973" spans="5:13">
      <c r="E6973" s="261"/>
      <c r="F6973" s="261"/>
      <c r="G6973" s="261"/>
      <c r="H6973" s="261"/>
      <c r="I6973" s="261"/>
      <c r="J6973" s="261"/>
      <c r="K6973" s="261"/>
      <c r="L6973" s="261"/>
      <c r="M6973" s="261"/>
    </row>
    <row r="6974" spans="5:13">
      <c r="E6974" s="261"/>
      <c r="F6974" s="261"/>
      <c r="G6974" s="261"/>
      <c r="H6974" s="261"/>
      <c r="I6974" s="261"/>
      <c r="J6974" s="261"/>
      <c r="K6974" s="261"/>
      <c r="L6974" s="261"/>
      <c r="M6974" s="261"/>
    </row>
    <row r="6975" spans="5:13">
      <c r="E6975" s="261"/>
      <c r="F6975" s="261"/>
      <c r="G6975" s="261"/>
      <c r="H6975" s="261"/>
      <c r="I6975" s="261"/>
      <c r="J6975" s="261"/>
      <c r="K6975" s="261"/>
      <c r="L6975" s="261"/>
      <c r="M6975" s="261"/>
    </row>
    <row r="6976" spans="5:13">
      <c r="E6976" s="261"/>
      <c r="F6976" s="261"/>
      <c r="G6976" s="261"/>
      <c r="H6976" s="261"/>
      <c r="I6976" s="261"/>
      <c r="J6976" s="261"/>
      <c r="K6976" s="261"/>
      <c r="L6976" s="261"/>
      <c r="M6976" s="261"/>
    </row>
    <row r="6977" spans="5:13">
      <c r="E6977" s="261"/>
      <c r="F6977" s="261"/>
      <c r="G6977" s="261"/>
      <c r="H6977" s="261"/>
      <c r="I6977" s="261"/>
      <c r="J6977" s="261"/>
      <c r="K6977" s="261"/>
      <c r="L6977" s="261"/>
      <c r="M6977" s="261"/>
    </row>
    <row r="6978" spans="5:13">
      <c r="E6978" s="261"/>
      <c r="F6978" s="261"/>
      <c r="G6978" s="261"/>
      <c r="H6978" s="261"/>
      <c r="I6978" s="261"/>
      <c r="J6978" s="261"/>
      <c r="K6978" s="261"/>
      <c r="L6978" s="261"/>
      <c r="M6978" s="261"/>
    </row>
    <row r="6979" spans="5:13">
      <c r="E6979" s="261"/>
      <c r="F6979" s="261"/>
      <c r="G6979" s="261"/>
      <c r="H6979" s="261"/>
      <c r="I6979" s="261"/>
      <c r="J6979" s="261"/>
      <c r="K6979" s="261"/>
      <c r="L6979" s="261"/>
      <c r="M6979" s="261"/>
    </row>
    <row r="6980" spans="5:13">
      <c r="E6980" s="261"/>
      <c r="F6980" s="261"/>
      <c r="G6980" s="261"/>
      <c r="H6980" s="261"/>
      <c r="I6980" s="261"/>
      <c r="J6980" s="261"/>
      <c r="K6980" s="261"/>
      <c r="L6980" s="261"/>
      <c r="M6980" s="261"/>
    </row>
    <row r="6981" spans="5:13">
      <c r="E6981" s="261"/>
      <c r="F6981" s="261"/>
      <c r="G6981" s="261"/>
      <c r="H6981" s="261"/>
      <c r="I6981" s="261"/>
      <c r="J6981" s="261"/>
      <c r="K6981" s="261"/>
      <c r="L6981" s="261"/>
      <c r="M6981" s="261"/>
    </row>
    <row r="6982" spans="5:13">
      <c r="E6982" s="261"/>
      <c r="F6982" s="261"/>
      <c r="G6982" s="261"/>
      <c r="H6982" s="261"/>
      <c r="I6982" s="261"/>
      <c r="J6982" s="261"/>
      <c r="K6982" s="261"/>
      <c r="L6982" s="261"/>
      <c r="M6982" s="261"/>
    </row>
    <row r="6983" spans="5:13">
      <c r="E6983" s="261"/>
      <c r="F6983" s="261"/>
      <c r="G6983" s="261"/>
      <c r="H6983" s="261"/>
      <c r="I6983" s="261"/>
      <c r="J6983" s="261"/>
      <c r="K6983" s="261"/>
      <c r="L6983" s="261"/>
      <c r="M6983" s="261"/>
    </row>
    <row r="6984" spans="5:13">
      <c r="E6984" s="261"/>
      <c r="F6984" s="261"/>
      <c r="G6984" s="261"/>
      <c r="H6984" s="261"/>
      <c r="I6984" s="261"/>
      <c r="J6984" s="261"/>
      <c r="K6984" s="261"/>
      <c r="L6984" s="261"/>
      <c r="M6984" s="261"/>
    </row>
    <row r="6985" spans="5:13">
      <c r="E6985" s="261"/>
      <c r="F6985" s="261"/>
      <c r="G6985" s="261"/>
      <c r="H6985" s="261"/>
      <c r="I6985" s="261"/>
      <c r="J6985" s="261"/>
      <c r="K6985" s="261"/>
      <c r="L6985" s="261"/>
      <c r="M6985" s="261"/>
    </row>
    <row r="6986" spans="5:13">
      <c r="E6986" s="261"/>
      <c r="F6986" s="261"/>
      <c r="G6986" s="261"/>
      <c r="H6986" s="261"/>
      <c r="I6986" s="261"/>
      <c r="J6986" s="261"/>
      <c r="K6986" s="261"/>
      <c r="L6986" s="261"/>
      <c r="M6986" s="261"/>
    </row>
    <row r="6987" spans="5:13">
      <c r="E6987" s="261"/>
      <c r="F6987" s="261"/>
      <c r="G6987" s="261"/>
      <c r="H6987" s="261"/>
      <c r="I6987" s="261"/>
      <c r="J6987" s="261"/>
      <c r="K6987" s="261"/>
      <c r="L6987" s="261"/>
      <c r="M6987" s="261"/>
    </row>
    <row r="6988" spans="5:13">
      <c r="E6988" s="261"/>
      <c r="F6988" s="261"/>
      <c r="G6988" s="261"/>
      <c r="H6988" s="261"/>
      <c r="I6988" s="261"/>
      <c r="J6988" s="261"/>
      <c r="K6988" s="261"/>
      <c r="L6988" s="261"/>
      <c r="M6988" s="261"/>
    </row>
    <row r="6989" spans="5:13">
      <c r="E6989" s="261"/>
      <c r="F6989" s="261"/>
      <c r="G6989" s="261"/>
      <c r="H6989" s="261"/>
      <c r="I6989" s="261"/>
      <c r="J6989" s="261"/>
      <c r="K6989" s="261"/>
      <c r="L6989" s="261"/>
      <c r="M6989" s="261"/>
    </row>
    <row r="6990" spans="5:13">
      <c r="E6990" s="261"/>
      <c r="F6990" s="261"/>
      <c r="G6990" s="261"/>
      <c r="H6990" s="261"/>
      <c r="I6990" s="261"/>
      <c r="J6990" s="261"/>
      <c r="K6990" s="261"/>
      <c r="L6990" s="261"/>
      <c r="M6990" s="261"/>
    </row>
    <row r="6991" spans="5:13">
      <c r="E6991" s="261"/>
      <c r="F6991" s="261"/>
      <c r="G6991" s="261"/>
      <c r="H6991" s="261"/>
      <c r="I6991" s="261"/>
      <c r="J6991" s="261"/>
      <c r="K6991" s="261"/>
      <c r="L6991" s="261"/>
      <c r="M6991" s="261"/>
    </row>
    <row r="6992" spans="5:13">
      <c r="E6992" s="261"/>
      <c r="F6992" s="261"/>
      <c r="G6992" s="261"/>
      <c r="H6992" s="261"/>
      <c r="I6992" s="261"/>
      <c r="J6992" s="261"/>
      <c r="K6992" s="261"/>
      <c r="L6992" s="261"/>
      <c r="M6992" s="261"/>
    </row>
    <row r="6993" spans="5:13">
      <c r="E6993" s="261"/>
      <c r="F6993" s="261"/>
      <c r="G6993" s="261"/>
      <c r="H6993" s="261"/>
      <c r="I6993" s="261"/>
      <c r="J6993" s="261"/>
      <c r="K6993" s="261"/>
      <c r="L6993" s="261"/>
      <c r="M6993" s="261"/>
    </row>
    <row r="6994" spans="5:13">
      <c r="E6994" s="261"/>
      <c r="F6994" s="261"/>
      <c r="G6994" s="261"/>
      <c r="H6994" s="261"/>
      <c r="I6994" s="261"/>
      <c r="J6994" s="261"/>
      <c r="K6994" s="261"/>
      <c r="L6994" s="261"/>
      <c r="M6994" s="261"/>
    </row>
    <row r="6995" spans="5:13">
      <c r="E6995" s="261"/>
      <c r="F6995" s="261"/>
      <c r="G6995" s="261"/>
      <c r="H6995" s="261"/>
      <c r="I6995" s="261"/>
      <c r="J6995" s="261"/>
      <c r="K6995" s="261"/>
      <c r="L6995" s="261"/>
      <c r="M6995" s="261"/>
    </row>
    <row r="6996" spans="5:13">
      <c r="E6996" s="261"/>
      <c r="F6996" s="261"/>
      <c r="G6996" s="261"/>
      <c r="H6996" s="261"/>
      <c r="I6996" s="261"/>
      <c r="J6996" s="261"/>
      <c r="K6996" s="261"/>
      <c r="L6996" s="261"/>
      <c r="M6996" s="261"/>
    </row>
    <row r="6997" spans="5:13">
      <c r="E6997" s="261"/>
      <c r="F6997" s="261"/>
      <c r="G6997" s="261"/>
      <c r="H6997" s="261"/>
      <c r="I6997" s="261"/>
      <c r="J6997" s="261"/>
      <c r="K6997" s="261"/>
      <c r="L6997" s="261"/>
      <c r="M6997" s="261"/>
    </row>
    <row r="6998" spans="5:13">
      <c r="E6998" s="261"/>
      <c r="F6998" s="261"/>
      <c r="G6998" s="261"/>
      <c r="H6998" s="261"/>
      <c r="I6998" s="261"/>
      <c r="J6998" s="261"/>
      <c r="K6998" s="261"/>
      <c r="L6998" s="261"/>
      <c r="M6998" s="261"/>
    </row>
    <row r="6999" spans="5:13">
      <c r="E6999" s="261"/>
      <c r="F6999" s="261"/>
      <c r="G6999" s="261"/>
      <c r="H6999" s="261"/>
      <c r="I6999" s="261"/>
      <c r="J6999" s="261"/>
      <c r="K6999" s="261"/>
      <c r="L6999" s="261"/>
      <c r="M6999" s="261"/>
    </row>
    <row r="7000" spans="5:13">
      <c r="E7000" s="261"/>
      <c r="F7000" s="261"/>
      <c r="G7000" s="261"/>
      <c r="H7000" s="261"/>
      <c r="I7000" s="261"/>
      <c r="J7000" s="261"/>
      <c r="K7000" s="261"/>
      <c r="L7000" s="261"/>
      <c r="M7000" s="261"/>
    </row>
    <row r="7001" spans="5:13">
      <c r="E7001" s="261"/>
      <c r="F7001" s="261"/>
      <c r="G7001" s="261"/>
      <c r="H7001" s="261"/>
      <c r="I7001" s="261"/>
      <c r="J7001" s="261"/>
      <c r="K7001" s="261"/>
      <c r="L7001" s="261"/>
      <c r="M7001" s="261"/>
    </row>
    <row r="7002" spans="5:13">
      <c r="E7002" s="261"/>
      <c r="F7002" s="261"/>
      <c r="G7002" s="261"/>
      <c r="H7002" s="261"/>
      <c r="I7002" s="261"/>
      <c r="J7002" s="261"/>
      <c r="K7002" s="261"/>
      <c r="L7002" s="261"/>
      <c r="M7002" s="261"/>
    </row>
    <row r="7003" spans="5:13">
      <c r="E7003" s="261"/>
      <c r="F7003" s="261"/>
      <c r="G7003" s="261"/>
      <c r="H7003" s="261"/>
      <c r="I7003" s="261"/>
      <c r="J7003" s="261"/>
      <c r="K7003" s="261"/>
      <c r="L7003" s="261"/>
      <c r="M7003" s="261"/>
    </row>
    <row r="7004" spans="5:13">
      <c r="E7004" s="261"/>
      <c r="F7004" s="261"/>
      <c r="G7004" s="261"/>
      <c r="H7004" s="261"/>
      <c r="I7004" s="261"/>
      <c r="J7004" s="261"/>
      <c r="K7004" s="261"/>
      <c r="L7004" s="261"/>
      <c r="M7004" s="261"/>
    </row>
    <row r="7005" spans="5:13">
      <c r="E7005" s="261"/>
      <c r="F7005" s="261"/>
      <c r="G7005" s="261"/>
      <c r="H7005" s="261"/>
      <c r="I7005" s="261"/>
      <c r="J7005" s="261"/>
      <c r="K7005" s="261"/>
      <c r="L7005" s="261"/>
      <c r="M7005" s="261"/>
    </row>
    <row r="7006" spans="5:13">
      <c r="E7006" s="261"/>
      <c r="F7006" s="261"/>
      <c r="G7006" s="261"/>
      <c r="H7006" s="261"/>
      <c r="I7006" s="261"/>
      <c r="J7006" s="261"/>
      <c r="K7006" s="261"/>
      <c r="L7006" s="261"/>
      <c r="M7006" s="261"/>
    </row>
    <row r="7007" spans="5:13">
      <c r="E7007" s="261"/>
      <c r="F7007" s="261"/>
      <c r="G7007" s="261"/>
      <c r="H7007" s="261"/>
      <c r="I7007" s="261"/>
      <c r="J7007" s="261"/>
      <c r="K7007" s="261"/>
      <c r="L7007" s="261"/>
      <c r="M7007" s="261"/>
    </row>
    <row r="7008" spans="5:13">
      <c r="E7008" s="261"/>
      <c r="F7008" s="261"/>
      <c r="G7008" s="261"/>
      <c r="H7008" s="261"/>
      <c r="I7008" s="261"/>
      <c r="J7008" s="261"/>
      <c r="K7008" s="261"/>
      <c r="L7008" s="261"/>
      <c r="M7008" s="261"/>
    </row>
    <row r="7009" spans="5:13">
      <c r="E7009" s="261"/>
      <c r="F7009" s="261"/>
      <c r="G7009" s="261"/>
      <c r="H7009" s="261"/>
      <c r="I7009" s="261"/>
      <c r="J7009" s="261"/>
      <c r="K7009" s="261"/>
      <c r="L7009" s="261"/>
      <c r="M7009" s="261"/>
    </row>
    <row r="7010" spans="5:13">
      <c r="E7010" s="261"/>
      <c r="F7010" s="261"/>
      <c r="G7010" s="261"/>
      <c r="H7010" s="261"/>
      <c r="I7010" s="261"/>
      <c r="J7010" s="261"/>
      <c r="K7010" s="261"/>
      <c r="L7010" s="261"/>
      <c r="M7010" s="261"/>
    </row>
    <row r="7011" spans="5:13">
      <c r="E7011" s="261"/>
      <c r="F7011" s="261"/>
      <c r="G7011" s="261"/>
      <c r="H7011" s="261"/>
      <c r="I7011" s="261"/>
      <c r="J7011" s="261"/>
      <c r="K7011" s="261"/>
      <c r="L7011" s="261"/>
      <c r="M7011" s="261"/>
    </row>
    <row r="7012" spans="5:13">
      <c r="E7012" s="261"/>
      <c r="F7012" s="261"/>
      <c r="G7012" s="261"/>
      <c r="H7012" s="261"/>
      <c r="I7012" s="261"/>
      <c r="J7012" s="261"/>
      <c r="K7012" s="261"/>
      <c r="L7012" s="261"/>
      <c r="M7012" s="261"/>
    </row>
    <row r="7013" spans="5:13">
      <c r="E7013" s="261"/>
      <c r="F7013" s="261"/>
      <c r="G7013" s="261"/>
      <c r="H7013" s="261"/>
      <c r="I7013" s="261"/>
      <c r="J7013" s="261"/>
      <c r="K7013" s="261"/>
      <c r="L7013" s="261"/>
      <c r="M7013" s="261"/>
    </row>
    <row r="7014" spans="5:13">
      <c r="E7014" s="261"/>
      <c r="F7014" s="261"/>
      <c r="G7014" s="261"/>
      <c r="H7014" s="261"/>
      <c r="I7014" s="261"/>
      <c r="J7014" s="261"/>
      <c r="K7014" s="261"/>
      <c r="L7014" s="261"/>
      <c r="M7014" s="261"/>
    </row>
    <row r="7015" spans="5:13">
      <c r="E7015" s="261"/>
      <c r="F7015" s="261"/>
      <c r="G7015" s="261"/>
      <c r="H7015" s="261"/>
      <c r="I7015" s="261"/>
      <c r="J7015" s="261"/>
      <c r="K7015" s="261"/>
      <c r="L7015" s="261"/>
      <c r="M7015" s="261"/>
    </row>
    <row r="7016" spans="5:13">
      <c r="E7016" s="261"/>
      <c r="F7016" s="261"/>
      <c r="G7016" s="261"/>
      <c r="H7016" s="261"/>
      <c r="I7016" s="261"/>
      <c r="J7016" s="261"/>
      <c r="K7016" s="261"/>
      <c r="L7016" s="261"/>
      <c r="M7016" s="261"/>
    </row>
    <row r="7017" spans="5:13">
      <c r="E7017" s="261"/>
      <c r="F7017" s="261"/>
      <c r="G7017" s="261"/>
      <c r="H7017" s="261"/>
      <c r="I7017" s="261"/>
      <c r="J7017" s="261"/>
      <c r="K7017" s="261"/>
      <c r="L7017" s="261"/>
      <c r="M7017" s="261"/>
    </row>
    <row r="7018" spans="5:13">
      <c r="E7018" s="261"/>
      <c r="F7018" s="261"/>
      <c r="G7018" s="261"/>
      <c r="H7018" s="261"/>
      <c r="I7018" s="261"/>
      <c r="J7018" s="261"/>
      <c r="K7018" s="261"/>
      <c r="L7018" s="261"/>
      <c r="M7018" s="261"/>
    </row>
    <row r="7019" spans="5:13">
      <c r="E7019" s="261"/>
      <c r="F7019" s="261"/>
      <c r="G7019" s="261"/>
      <c r="H7019" s="261"/>
      <c r="I7019" s="261"/>
      <c r="J7019" s="261"/>
      <c r="K7019" s="261"/>
      <c r="L7019" s="261"/>
      <c r="M7019" s="261"/>
    </row>
    <row r="7020" spans="5:13">
      <c r="E7020" s="261"/>
      <c r="F7020" s="261"/>
      <c r="G7020" s="261"/>
      <c r="H7020" s="261"/>
      <c r="I7020" s="261"/>
      <c r="J7020" s="261"/>
      <c r="K7020" s="261"/>
      <c r="L7020" s="261"/>
      <c r="M7020" s="261"/>
    </row>
    <row r="7021" spans="5:13">
      <c r="E7021" s="261"/>
      <c r="F7021" s="261"/>
      <c r="G7021" s="261"/>
      <c r="H7021" s="261"/>
      <c r="I7021" s="261"/>
      <c r="J7021" s="261"/>
      <c r="K7021" s="261"/>
      <c r="L7021" s="261"/>
      <c r="M7021" s="261"/>
    </row>
    <row r="7022" spans="5:13">
      <c r="E7022" s="261"/>
      <c r="F7022" s="261"/>
      <c r="G7022" s="261"/>
      <c r="H7022" s="261"/>
      <c r="I7022" s="261"/>
      <c r="J7022" s="261"/>
      <c r="K7022" s="261"/>
      <c r="L7022" s="261"/>
      <c r="M7022" s="261"/>
    </row>
    <row r="7023" spans="5:13">
      <c r="E7023" s="261"/>
      <c r="F7023" s="261"/>
      <c r="G7023" s="261"/>
      <c r="H7023" s="261"/>
      <c r="I7023" s="261"/>
      <c r="J7023" s="261"/>
      <c r="K7023" s="261"/>
      <c r="L7023" s="261"/>
      <c r="M7023" s="261"/>
    </row>
    <row r="7024" spans="5:13">
      <c r="E7024" s="261"/>
      <c r="F7024" s="261"/>
      <c r="G7024" s="261"/>
      <c r="H7024" s="261"/>
      <c r="I7024" s="261"/>
      <c r="J7024" s="261"/>
      <c r="K7024" s="261"/>
      <c r="L7024" s="261"/>
      <c r="M7024" s="261"/>
    </row>
    <row r="7025" spans="5:13">
      <c r="E7025" s="261"/>
      <c r="F7025" s="261"/>
      <c r="G7025" s="261"/>
      <c r="H7025" s="261"/>
      <c r="I7025" s="261"/>
      <c r="J7025" s="261"/>
      <c r="K7025" s="261"/>
      <c r="L7025" s="261"/>
      <c r="M7025" s="261"/>
    </row>
    <row r="7026" spans="5:13">
      <c r="E7026" s="261"/>
      <c r="F7026" s="261"/>
      <c r="G7026" s="261"/>
      <c r="H7026" s="261"/>
      <c r="I7026" s="261"/>
      <c r="J7026" s="261"/>
      <c r="K7026" s="261"/>
      <c r="L7026" s="261"/>
      <c r="M7026" s="261"/>
    </row>
    <row r="7027" spans="5:13">
      <c r="E7027" s="261"/>
      <c r="F7027" s="261"/>
      <c r="G7027" s="261"/>
      <c r="H7027" s="261"/>
      <c r="I7027" s="261"/>
      <c r="J7027" s="261"/>
      <c r="K7027" s="261"/>
      <c r="L7027" s="261"/>
      <c r="M7027" s="261"/>
    </row>
    <row r="7028" spans="5:13">
      <c r="E7028" s="261"/>
      <c r="F7028" s="261"/>
      <c r="G7028" s="261"/>
      <c r="H7028" s="261"/>
      <c r="I7028" s="261"/>
      <c r="J7028" s="261"/>
      <c r="K7028" s="261"/>
      <c r="L7028" s="261"/>
      <c r="M7028" s="261"/>
    </row>
    <row r="7029" spans="5:13">
      <c r="E7029" s="261"/>
      <c r="F7029" s="261"/>
      <c r="G7029" s="261"/>
      <c r="H7029" s="261"/>
      <c r="I7029" s="261"/>
      <c r="J7029" s="261"/>
      <c r="K7029" s="261"/>
      <c r="L7029" s="261"/>
      <c r="M7029" s="261"/>
    </row>
    <row r="7030" spans="5:13">
      <c r="E7030" s="261"/>
      <c r="F7030" s="261"/>
      <c r="G7030" s="261"/>
      <c r="H7030" s="261"/>
      <c r="I7030" s="261"/>
      <c r="J7030" s="261"/>
      <c r="K7030" s="261"/>
      <c r="L7030" s="261"/>
      <c r="M7030" s="261"/>
    </row>
    <row r="7031" spans="5:13">
      <c r="E7031" s="261"/>
      <c r="F7031" s="261"/>
      <c r="G7031" s="261"/>
      <c r="H7031" s="261"/>
      <c r="I7031" s="261"/>
      <c r="J7031" s="261"/>
      <c r="K7031" s="261"/>
      <c r="L7031" s="261"/>
      <c r="M7031" s="261"/>
    </row>
    <row r="7032" spans="5:13">
      <c r="E7032" s="261"/>
      <c r="F7032" s="261"/>
      <c r="G7032" s="261"/>
      <c r="H7032" s="261"/>
      <c r="I7032" s="261"/>
      <c r="J7032" s="261"/>
      <c r="K7032" s="261"/>
      <c r="L7032" s="261"/>
      <c r="M7032" s="261"/>
    </row>
    <row r="7033" spans="5:13">
      <c r="E7033" s="261"/>
      <c r="F7033" s="261"/>
      <c r="G7033" s="261"/>
      <c r="H7033" s="261"/>
      <c r="I7033" s="261"/>
      <c r="J7033" s="261"/>
      <c r="K7033" s="261"/>
      <c r="L7033" s="261"/>
      <c r="M7033" s="261"/>
    </row>
    <row r="7034" spans="5:13">
      <c r="E7034" s="261"/>
      <c r="F7034" s="261"/>
      <c r="G7034" s="261"/>
      <c r="H7034" s="261"/>
      <c r="I7034" s="261"/>
      <c r="J7034" s="261"/>
      <c r="K7034" s="261"/>
      <c r="L7034" s="261"/>
      <c r="M7034" s="261"/>
    </row>
    <row r="7035" spans="5:13">
      <c r="E7035" s="261"/>
      <c r="F7035" s="261"/>
      <c r="G7035" s="261"/>
      <c r="H7035" s="261"/>
      <c r="I7035" s="261"/>
      <c r="J7035" s="261"/>
      <c r="K7035" s="261"/>
      <c r="L7035" s="261"/>
      <c r="M7035" s="261"/>
    </row>
    <row r="7036" spans="5:13">
      <c r="E7036" s="261"/>
      <c r="F7036" s="261"/>
      <c r="G7036" s="261"/>
      <c r="H7036" s="261"/>
      <c r="I7036" s="261"/>
      <c r="J7036" s="261"/>
      <c r="K7036" s="261"/>
      <c r="L7036" s="261"/>
      <c r="M7036" s="261"/>
    </row>
    <row r="7037" spans="5:13">
      <c r="E7037" s="261"/>
      <c r="F7037" s="261"/>
      <c r="G7037" s="261"/>
      <c r="H7037" s="261"/>
      <c r="I7037" s="261"/>
      <c r="J7037" s="261"/>
      <c r="K7037" s="261"/>
      <c r="L7037" s="261"/>
      <c r="M7037" s="261"/>
    </row>
    <row r="7038" spans="5:13">
      <c r="E7038" s="261"/>
      <c r="F7038" s="261"/>
      <c r="G7038" s="261"/>
      <c r="H7038" s="261"/>
      <c r="I7038" s="261"/>
      <c r="J7038" s="261"/>
      <c r="K7038" s="261"/>
      <c r="L7038" s="261"/>
      <c r="M7038" s="261"/>
    </row>
    <row r="7039" spans="5:13">
      <c r="E7039" s="261"/>
      <c r="F7039" s="261"/>
      <c r="G7039" s="261"/>
      <c r="H7039" s="261"/>
      <c r="I7039" s="261"/>
      <c r="J7039" s="261"/>
      <c r="K7039" s="261"/>
      <c r="L7039" s="261"/>
      <c r="M7039" s="261"/>
    </row>
    <row r="7040" spans="5:13">
      <c r="E7040" s="261"/>
      <c r="F7040" s="261"/>
      <c r="G7040" s="261"/>
      <c r="H7040" s="261"/>
      <c r="I7040" s="261"/>
      <c r="J7040" s="261"/>
      <c r="K7040" s="261"/>
      <c r="L7040" s="261"/>
      <c r="M7040" s="261"/>
    </row>
    <row r="7041" spans="5:13">
      <c r="E7041" s="261"/>
      <c r="F7041" s="261"/>
      <c r="G7041" s="261"/>
      <c r="H7041" s="261"/>
      <c r="I7041" s="261"/>
      <c r="J7041" s="261"/>
      <c r="K7041" s="261"/>
      <c r="L7041" s="261"/>
      <c r="M7041" s="261"/>
    </row>
    <row r="7042" spans="5:13">
      <c r="E7042" s="261"/>
      <c r="F7042" s="261"/>
      <c r="G7042" s="261"/>
      <c r="H7042" s="261"/>
      <c r="I7042" s="261"/>
      <c r="J7042" s="261"/>
      <c r="K7042" s="261"/>
      <c r="L7042" s="261"/>
      <c r="M7042" s="261"/>
    </row>
    <row r="7043" spans="5:13">
      <c r="E7043" s="261"/>
      <c r="F7043" s="261"/>
      <c r="G7043" s="261"/>
      <c r="H7043" s="261"/>
      <c r="I7043" s="261"/>
      <c r="J7043" s="261"/>
      <c r="K7043" s="261"/>
      <c r="L7043" s="261"/>
      <c r="M7043" s="261"/>
    </row>
    <row r="7044" spans="5:13">
      <c r="E7044" s="261"/>
      <c r="F7044" s="261"/>
      <c r="G7044" s="261"/>
      <c r="H7044" s="261"/>
      <c r="I7044" s="261"/>
      <c r="J7044" s="261"/>
      <c r="K7044" s="261"/>
      <c r="L7044" s="261"/>
      <c r="M7044" s="261"/>
    </row>
    <row r="7045" spans="5:13">
      <c r="E7045" s="261"/>
      <c r="F7045" s="261"/>
      <c r="G7045" s="261"/>
      <c r="H7045" s="261"/>
      <c r="I7045" s="261"/>
      <c r="J7045" s="261"/>
      <c r="K7045" s="261"/>
      <c r="L7045" s="261"/>
      <c r="M7045" s="261"/>
    </row>
    <row r="7046" spans="5:13">
      <c r="E7046" s="261"/>
      <c r="F7046" s="261"/>
      <c r="G7046" s="261"/>
      <c r="H7046" s="261"/>
      <c r="I7046" s="261"/>
      <c r="J7046" s="261"/>
      <c r="K7046" s="261"/>
      <c r="L7046" s="261"/>
      <c r="M7046" s="261"/>
    </row>
    <row r="7047" spans="5:13">
      <c r="E7047" s="261"/>
      <c r="F7047" s="261"/>
      <c r="G7047" s="261"/>
      <c r="H7047" s="261"/>
      <c r="I7047" s="261"/>
      <c r="J7047" s="261"/>
      <c r="K7047" s="261"/>
      <c r="L7047" s="261"/>
      <c r="M7047" s="261"/>
    </row>
    <row r="7048" spans="5:13">
      <c r="E7048" s="261"/>
      <c r="F7048" s="261"/>
      <c r="G7048" s="261"/>
      <c r="H7048" s="261"/>
      <c r="I7048" s="261"/>
      <c r="J7048" s="261"/>
      <c r="K7048" s="261"/>
      <c r="L7048" s="261"/>
      <c r="M7048" s="261"/>
    </row>
    <row r="7049" spans="5:13">
      <c r="E7049" s="261"/>
      <c r="F7049" s="261"/>
      <c r="G7049" s="261"/>
      <c r="H7049" s="261"/>
      <c r="I7049" s="261"/>
      <c r="J7049" s="261"/>
      <c r="K7049" s="261"/>
      <c r="L7049" s="261"/>
      <c r="M7049" s="261"/>
    </row>
    <row r="7050" spans="5:13">
      <c r="E7050" s="261"/>
      <c r="F7050" s="261"/>
      <c r="G7050" s="261"/>
      <c r="H7050" s="261"/>
      <c r="I7050" s="261"/>
      <c r="J7050" s="261"/>
      <c r="K7050" s="261"/>
      <c r="L7050" s="261"/>
      <c r="M7050" s="261"/>
    </row>
    <row r="7051" spans="5:13">
      <c r="E7051" s="261"/>
      <c r="F7051" s="261"/>
      <c r="G7051" s="261"/>
      <c r="H7051" s="261"/>
      <c r="I7051" s="261"/>
      <c r="J7051" s="261"/>
      <c r="K7051" s="261"/>
      <c r="L7051" s="261"/>
      <c r="M7051" s="261"/>
    </row>
    <row r="7052" spans="5:13">
      <c r="E7052" s="261"/>
      <c r="F7052" s="261"/>
      <c r="G7052" s="261"/>
      <c r="H7052" s="261"/>
      <c r="I7052" s="261"/>
      <c r="J7052" s="261"/>
      <c r="K7052" s="261"/>
      <c r="L7052" s="261"/>
      <c r="M7052" s="261"/>
    </row>
    <row r="7053" spans="5:13">
      <c r="E7053" s="261"/>
      <c r="F7053" s="261"/>
      <c r="G7053" s="261"/>
      <c r="H7053" s="261"/>
      <c r="I7053" s="261"/>
      <c r="J7053" s="261"/>
      <c r="K7053" s="261"/>
      <c r="L7053" s="261"/>
      <c r="M7053" s="261"/>
    </row>
    <row r="7054" spans="5:13">
      <c r="E7054" s="261"/>
      <c r="F7054" s="261"/>
      <c r="G7054" s="261"/>
      <c r="H7054" s="261"/>
      <c r="I7054" s="261"/>
      <c r="J7054" s="261"/>
      <c r="K7054" s="261"/>
      <c r="L7054" s="261"/>
      <c r="M7054" s="261"/>
    </row>
    <row r="7055" spans="5:13">
      <c r="E7055" s="261"/>
      <c r="F7055" s="261"/>
      <c r="G7055" s="261"/>
      <c r="H7055" s="261"/>
      <c r="I7055" s="261"/>
      <c r="J7055" s="261"/>
      <c r="K7055" s="261"/>
      <c r="L7055" s="261"/>
      <c r="M7055" s="261"/>
    </row>
    <row r="7056" spans="5:13">
      <c r="E7056" s="261"/>
      <c r="F7056" s="261"/>
      <c r="G7056" s="261"/>
      <c r="H7056" s="261"/>
      <c r="I7056" s="261"/>
      <c r="J7056" s="261"/>
      <c r="K7056" s="261"/>
      <c r="L7056" s="261"/>
      <c r="M7056" s="261"/>
    </row>
    <row r="7057" spans="5:13">
      <c r="E7057" s="261"/>
      <c r="F7057" s="261"/>
      <c r="G7057" s="261"/>
      <c r="H7057" s="261"/>
      <c r="I7057" s="261"/>
      <c r="J7057" s="261"/>
      <c r="K7057" s="261"/>
      <c r="L7057" s="261"/>
      <c r="M7057" s="261"/>
    </row>
    <row r="7058" spans="5:13">
      <c r="E7058" s="261"/>
      <c r="F7058" s="261"/>
      <c r="G7058" s="261"/>
      <c r="H7058" s="261"/>
      <c r="I7058" s="261"/>
      <c r="J7058" s="261"/>
      <c r="K7058" s="261"/>
      <c r="L7058" s="261"/>
      <c r="M7058" s="261"/>
    </row>
    <row r="7059" spans="5:13">
      <c r="E7059" s="261"/>
      <c r="F7059" s="261"/>
      <c r="G7059" s="261"/>
      <c r="H7059" s="261"/>
      <c r="I7059" s="261"/>
      <c r="J7059" s="261"/>
      <c r="K7059" s="261"/>
      <c r="L7059" s="261"/>
      <c r="M7059" s="261"/>
    </row>
    <row r="7060" spans="5:13">
      <c r="E7060" s="261"/>
      <c r="F7060" s="261"/>
      <c r="G7060" s="261"/>
      <c r="H7060" s="261"/>
      <c r="I7060" s="261"/>
      <c r="J7060" s="261"/>
      <c r="K7060" s="261"/>
      <c r="L7060" s="261"/>
      <c r="M7060" s="261"/>
    </row>
    <row r="7061" spans="5:13">
      <c r="E7061" s="261"/>
      <c r="F7061" s="261"/>
      <c r="G7061" s="261"/>
      <c r="H7061" s="261"/>
      <c r="I7061" s="261"/>
      <c r="J7061" s="261"/>
      <c r="K7061" s="261"/>
      <c r="L7061" s="261"/>
      <c r="M7061" s="261"/>
    </row>
    <row r="7062" spans="5:13">
      <c r="E7062" s="261"/>
      <c r="F7062" s="261"/>
      <c r="G7062" s="261"/>
      <c r="H7062" s="261"/>
      <c r="I7062" s="261"/>
      <c r="J7062" s="261"/>
      <c r="K7062" s="261"/>
      <c r="L7062" s="261"/>
      <c r="M7062" s="261"/>
    </row>
    <row r="7063" spans="5:13">
      <c r="E7063" s="261"/>
      <c r="F7063" s="261"/>
      <c r="G7063" s="261"/>
      <c r="H7063" s="261"/>
      <c r="I7063" s="261"/>
      <c r="J7063" s="261"/>
      <c r="K7063" s="261"/>
      <c r="L7063" s="261"/>
      <c r="M7063" s="261"/>
    </row>
    <row r="7064" spans="5:13">
      <c r="E7064" s="261"/>
      <c r="F7064" s="261"/>
      <c r="G7064" s="261"/>
      <c r="H7064" s="261"/>
      <c r="I7064" s="261"/>
      <c r="J7064" s="261"/>
      <c r="K7064" s="261"/>
      <c r="L7064" s="261"/>
      <c r="M7064" s="261"/>
    </row>
    <row r="7065" spans="5:13">
      <c r="E7065" s="261"/>
      <c r="F7065" s="261"/>
      <c r="G7065" s="261"/>
      <c r="H7065" s="261"/>
      <c r="I7065" s="261"/>
      <c r="J7065" s="261"/>
      <c r="K7065" s="261"/>
      <c r="L7065" s="261"/>
      <c r="M7065" s="261"/>
    </row>
    <row r="7066" spans="5:13">
      <c r="E7066" s="261"/>
      <c r="F7066" s="261"/>
      <c r="G7066" s="261"/>
      <c r="H7066" s="261"/>
      <c r="I7066" s="261"/>
      <c r="J7066" s="261"/>
      <c r="K7066" s="261"/>
      <c r="L7066" s="261"/>
      <c r="M7066" s="261"/>
    </row>
    <row r="7067" spans="5:13">
      <c r="E7067" s="261"/>
      <c r="F7067" s="261"/>
      <c r="G7067" s="261"/>
      <c r="H7067" s="261"/>
      <c r="I7067" s="261"/>
      <c r="J7067" s="261"/>
      <c r="K7067" s="261"/>
      <c r="L7067" s="261"/>
      <c r="M7067" s="261"/>
    </row>
    <row r="7068" spans="5:13">
      <c r="E7068" s="261"/>
      <c r="F7068" s="261"/>
      <c r="G7068" s="261"/>
      <c r="H7068" s="261"/>
      <c r="I7068" s="261"/>
      <c r="J7068" s="261"/>
      <c r="K7068" s="261"/>
      <c r="L7068" s="261"/>
      <c r="M7068" s="261"/>
    </row>
    <row r="7069" spans="5:13">
      <c r="E7069" s="261"/>
      <c r="F7069" s="261"/>
      <c r="G7069" s="261"/>
      <c r="H7069" s="261"/>
      <c r="I7069" s="261"/>
      <c r="J7069" s="261"/>
      <c r="K7069" s="261"/>
      <c r="L7069" s="261"/>
      <c r="M7069" s="261"/>
    </row>
    <row r="7070" spans="5:13">
      <c r="E7070" s="261"/>
      <c r="F7070" s="261"/>
      <c r="G7070" s="261"/>
      <c r="H7070" s="261"/>
      <c r="I7070" s="261"/>
      <c r="J7070" s="261"/>
      <c r="K7070" s="261"/>
      <c r="L7070" s="261"/>
      <c r="M7070" s="261"/>
    </row>
    <row r="7071" spans="5:13">
      <c r="E7071" s="261"/>
      <c r="F7071" s="261"/>
      <c r="G7071" s="261"/>
      <c r="H7071" s="261"/>
      <c r="I7071" s="261"/>
      <c r="J7071" s="261"/>
      <c r="K7071" s="261"/>
      <c r="L7071" s="261"/>
      <c r="M7071" s="261"/>
    </row>
    <row r="7072" spans="5:13">
      <c r="E7072" s="261"/>
      <c r="F7072" s="261"/>
      <c r="G7072" s="261"/>
      <c r="H7072" s="261"/>
      <c r="I7072" s="261"/>
      <c r="J7072" s="261"/>
      <c r="K7072" s="261"/>
      <c r="L7072" s="261"/>
      <c r="M7072" s="261"/>
    </row>
    <row r="7073" spans="5:13">
      <c r="E7073" s="261"/>
      <c r="F7073" s="261"/>
      <c r="G7073" s="261"/>
      <c r="H7073" s="261"/>
      <c r="I7073" s="261"/>
      <c r="J7073" s="261"/>
      <c r="K7073" s="261"/>
      <c r="L7073" s="261"/>
      <c r="M7073" s="261"/>
    </row>
    <row r="7074" spans="5:13">
      <c r="E7074" s="261"/>
      <c r="F7074" s="261"/>
      <c r="G7074" s="261"/>
      <c r="H7074" s="261"/>
      <c r="I7074" s="261"/>
      <c r="J7074" s="261"/>
      <c r="K7074" s="261"/>
      <c r="L7074" s="261"/>
      <c r="M7074" s="261"/>
    </row>
    <row r="7075" spans="5:13">
      <c r="E7075" s="261"/>
      <c r="F7075" s="261"/>
      <c r="G7075" s="261"/>
      <c r="H7075" s="261"/>
      <c r="I7075" s="261"/>
      <c r="J7075" s="261"/>
      <c r="K7075" s="261"/>
      <c r="L7075" s="261"/>
      <c r="M7075" s="261"/>
    </row>
    <row r="7076" spans="5:13">
      <c r="E7076" s="261"/>
      <c r="F7076" s="261"/>
      <c r="G7076" s="261"/>
      <c r="H7076" s="261"/>
      <c r="I7076" s="261"/>
      <c r="J7076" s="261"/>
      <c r="K7076" s="261"/>
      <c r="L7076" s="261"/>
      <c r="M7076" s="261"/>
    </row>
    <row r="7077" spans="5:13">
      <c r="E7077" s="261"/>
      <c r="F7077" s="261"/>
      <c r="G7077" s="261"/>
      <c r="H7077" s="261"/>
      <c r="I7077" s="261"/>
      <c r="J7077" s="261"/>
      <c r="K7077" s="261"/>
      <c r="L7077" s="261"/>
      <c r="M7077" s="261"/>
    </row>
    <row r="7078" spans="5:13">
      <c r="E7078" s="261"/>
      <c r="F7078" s="261"/>
      <c r="G7078" s="261"/>
      <c r="H7078" s="261"/>
      <c r="I7078" s="261"/>
      <c r="J7078" s="261"/>
      <c r="K7078" s="261"/>
      <c r="L7078" s="261"/>
      <c r="M7078" s="261"/>
    </row>
    <row r="7079" spans="5:13">
      <c r="E7079" s="261"/>
      <c r="F7079" s="261"/>
      <c r="G7079" s="261"/>
      <c r="H7079" s="261"/>
      <c r="I7079" s="261"/>
      <c r="J7079" s="261"/>
      <c r="K7079" s="261"/>
      <c r="L7079" s="261"/>
      <c r="M7079" s="261"/>
    </row>
    <row r="7080" spans="5:13">
      <c r="E7080" s="261"/>
      <c r="F7080" s="261"/>
      <c r="G7080" s="261"/>
      <c r="H7080" s="261"/>
      <c r="I7080" s="261"/>
      <c r="J7080" s="261"/>
      <c r="K7080" s="261"/>
      <c r="L7080" s="261"/>
      <c r="M7080" s="261"/>
    </row>
    <row r="7081" spans="5:13">
      <c r="E7081" s="261"/>
      <c r="F7081" s="261"/>
      <c r="G7081" s="261"/>
      <c r="H7081" s="261"/>
      <c r="I7081" s="261"/>
      <c r="J7081" s="261"/>
      <c r="K7081" s="261"/>
      <c r="L7081" s="261"/>
      <c r="M7081" s="261"/>
    </row>
    <row r="7082" spans="5:13">
      <c r="E7082" s="261"/>
      <c r="F7082" s="261"/>
      <c r="G7082" s="261"/>
      <c r="H7082" s="261"/>
      <c r="I7082" s="261"/>
      <c r="J7082" s="261"/>
      <c r="K7082" s="261"/>
      <c r="L7082" s="261"/>
      <c r="M7082" s="261"/>
    </row>
    <row r="7083" spans="5:13">
      <c r="E7083" s="261"/>
      <c r="F7083" s="261"/>
      <c r="G7083" s="261"/>
      <c r="H7083" s="261"/>
      <c r="I7083" s="261"/>
      <c r="J7083" s="261"/>
      <c r="K7083" s="261"/>
      <c r="L7083" s="261"/>
      <c r="M7083" s="261"/>
    </row>
    <row r="7084" spans="5:13">
      <c r="E7084" s="261"/>
      <c r="F7084" s="261"/>
      <c r="G7084" s="261"/>
      <c r="H7084" s="261"/>
      <c r="I7084" s="261"/>
      <c r="J7084" s="261"/>
      <c r="K7084" s="261"/>
      <c r="L7084" s="261"/>
      <c r="M7084" s="261"/>
    </row>
    <row r="7085" spans="5:13">
      <c r="E7085" s="261"/>
      <c r="F7085" s="261"/>
      <c r="G7085" s="261"/>
      <c r="H7085" s="261"/>
      <c r="I7085" s="261"/>
      <c r="J7085" s="261"/>
      <c r="K7085" s="261"/>
      <c r="L7085" s="261"/>
      <c r="M7085" s="261"/>
    </row>
    <row r="7086" spans="5:13">
      <c r="E7086" s="261"/>
      <c r="F7086" s="261"/>
      <c r="G7086" s="261"/>
      <c r="H7086" s="261"/>
      <c r="I7086" s="261"/>
      <c r="J7086" s="261"/>
      <c r="K7086" s="261"/>
      <c r="L7086" s="261"/>
      <c r="M7086" s="261"/>
    </row>
    <row r="7087" spans="5:13">
      <c r="E7087" s="261"/>
      <c r="F7087" s="261"/>
      <c r="G7087" s="261"/>
      <c r="H7087" s="261"/>
      <c r="I7087" s="261"/>
      <c r="J7087" s="261"/>
      <c r="K7087" s="261"/>
      <c r="L7087" s="261"/>
      <c r="M7087" s="261"/>
    </row>
    <row r="7088" spans="5:13">
      <c r="E7088" s="261"/>
      <c r="F7088" s="261"/>
      <c r="G7088" s="261"/>
      <c r="H7088" s="261"/>
      <c r="I7088" s="261"/>
      <c r="J7088" s="261"/>
      <c r="K7088" s="261"/>
      <c r="L7088" s="261"/>
      <c r="M7088" s="261"/>
    </row>
    <row r="7089" spans="5:13">
      <c r="E7089" s="261"/>
      <c r="F7089" s="261"/>
      <c r="G7089" s="261"/>
      <c r="H7089" s="261"/>
      <c r="I7089" s="261"/>
      <c r="J7089" s="261"/>
      <c r="K7089" s="261"/>
      <c r="L7089" s="261"/>
      <c r="M7089" s="261"/>
    </row>
    <row r="7090" spans="5:13">
      <c r="E7090" s="261"/>
      <c r="F7090" s="261"/>
      <c r="G7090" s="261"/>
      <c r="H7090" s="261"/>
      <c r="I7090" s="261"/>
      <c r="J7090" s="261"/>
      <c r="K7090" s="261"/>
      <c r="L7090" s="261"/>
      <c r="M7090" s="261"/>
    </row>
    <row r="7091" spans="5:13">
      <c r="E7091" s="261"/>
      <c r="F7091" s="261"/>
      <c r="G7091" s="261"/>
      <c r="H7091" s="261"/>
      <c r="I7091" s="261"/>
      <c r="J7091" s="261"/>
      <c r="K7091" s="261"/>
      <c r="L7091" s="261"/>
      <c r="M7091" s="261"/>
    </row>
    <row r="7092" spans="5:13">
      <c r="E7092" s="261"/>
      <c r="F7092" s="261"/>
      <c r="G7092" s="261"/>
      <c r="H7092" s="261"/>
      <c r="I7092" s="261"/>
      <c r="J7092" s="261"/>
      <c r="K7092" s="261"/>
      <c r="L7092" s="261"/>
      <c r="M7092" s="261"/>
    </row>
    <row r="7093" spans="5:13">
      <c r="E7093" s="261"/>
      <c r="F7093" s="261"/>
      <c r="G7093" s="261"/>
      <c r="H7093" s="261"/>
      <c r="I7093" s="261"/>
      <c r="J7093" s="261"/>
      <c r="K7093" s="261"/>
      <c r="L7093" s="261"/>
      <c r="M7093" s="261"/>
    </row>
    <row r="7094" spans="5:13">
      <c r="E7094" s="261"/>
      <c r="F7094" s="261"/>
      <c r="G7094" s="261"/>
      <c r="H7094" s="261"/>
      <c r="I7094" s="261"/>
      <c r="J7094" s="261"/>
      <c r="K7094" s="261"/>
      <c r="L7094" s="261"/>
      <c r="M7094" s="261"/>
    </row>
    <row r="7095" spans="5:13">
      <c r="E7095" s="261"/>
      <c r="F7095" s="261"/>
      <c r="G7095" s="261"/>
      <c r="H7095" s="261"/>
      <c r="I7095" s="261"/>
      <c r="J7095" s="261"/>
      <c r="K7095" s="261"/>
      <c r="L7095" s="261"/>
      <c r="M7095" s="261"/>
    </row>
    <row r="7096" spans="5:13">
      <c r="E7096" s="261"/>
      <c r="F7096" s="261"/>
      <c r="G7096" s="261"/>
      <c r="H7096" s="261"/>
      <c r="I7096" s="261"/>
      <c r="J7096" s="261"/>
      <c r="K7096" s="261"/>
      <c r="L7096" s="261"/>
      <c r="M7096" s="261"/>
    </row>
    <row r="7097" spans="5:13">
      <c r="E7097" s="261"/>
      <c r="F7097" s="261"/>
      <c r="G7097" s="261"/>
      <c r="H7097" s="261"/>
      <c r="I7097" s="261"/>
      <c r="J7097" s="261"/>
      <c r="K7097" s="261"/>
      <c r="L7097" s="261"/>
      <c r="M7097" s="261"/>
    </row>
    <row r="7098" spans="5:13">
      <c r="E7098" s="261"/>
      <c r="F7098" s="261"/>
      <c r="G7098" s="261"/>
      <c r="H7098" s="261"/>
      <c r="I7098" s="261"/>
      <c r="J7098" s="261"/>
      <c r="K7098" s="261"/>
      <c r="L7098" s="261"/>
      <c r="M7098" s="261"/>
    </row>
    <row r="7099" spans="5:13">
      <c r="E7099" s="261"/>
      <c r="F7099" s="261"/>
      <c r="G7099" s="261"/>
      <c r="H7099" s="261"/>
      <c r="I7099" s="261"/>
      <c r="J7099" s="261"/>
      <c r="K7099" s="261"/>
      <c r="L7099" s="261"/>
      <c r="M7099" s="261"/>
    </row>
    <row r="7100" spans="5:13">
      <c r="E7100" s="261"/>
      <c r="F7100" s="261"/>
      <c r="G7100" s="261"/>
      <c r="H7100" s="261"/>
      <c r="I7100" s="261"/>
      <c r="J7100" s="261"/>
      <c r="K7100" s="261"/>
      <c r="L7100" s="261"/>
      <c r="M7100" s="261"/>
    </row>
    <row r="7101" spans="5:13">
      <c r="E7101" s="261"/>
      <c r="F7101" s="261"/>
      <c r="G7101" s="261"/>
      <c r="H7101" s="261"/>
      <c r="I7101" s="261"/>
      <c r="J7101" s="261"/>
      <c r="K7101" s="261"/>
      <c r="L7101" s="261"/>
      <c r="M7101" s="261"/>
    </row>
    <row r="7102" spans="5:13">
      <c r="E7102" s="261"/>
      <c r="F7102" s="261"/>
      <c r="G7102" s="261"/>
      <c r="H7102" s="261"/>
      <c r="I7102" s="261"/>
      <c r="J7102" s="261"/>
      <c r="K7102" s="261"/>
      <c r="L7102" s="261"/>
      <c r="M7102" s="261"/>
    </row>
    <row r="7103" spans="5:13">
      <c r="E7103" s="261"/>
      <c r="F7103" s="261"/>
      <c r="G7103" s="261"/>
      <c r="H7103" s="261"/>
      <c r="I7103" s="261"/>
      <c r="J7103" s="261"/>
      <c r="K7103" s="261"/>
      <c r="L7103" s="261"/>
      <c r="M7103" s="261"/>
    </row>
    <row r="7104" spans="5:13">
      <c r="E7104" s="261"/>
      <c r="F7104" s="261"/>
      <c r="G7104" s="261"/>
      <c r="H7104" s="261"/>
      <c r="I7104" s="261"/>
      <c r="J7104" s="261"/>
      <c r="K7104" s="261"/>
      <c r="L7104" s="261"/>
      <c r="M7104" s="261"/>
    </row>
    <row r="7105" spans="5:13">
      <c r="E7105" s="261"/>
      <c r="F7105" s="261"/>
      <c r="G7105" s="261"/>
      <c r="H7105" s="261"/>
      <c r="I7105" s="261"/>
      <c r="J7105" s="261"/>
      <c r="K7105" s="261"/>
      <c r="L7105" s="261"/>
      <c r="M7105" s="261"/>
    </row>
    <row r="7106" spans="5:13">
      <c r="E7106" s="261"/>
      <c r="F7106" s="261"/>
      <c r="G7106" s="261"/>
      <c r="H7106" s="261"/>
      <c r="I7106" s="261"/>
      <c r="J7106" s="261"/>
      <c r="K7106" s="261"/>
      <c r="L7106" s="261"/>
      <c r="M7106" s="261"/>
    </row>
    <row r="7107" spans="5:13">
      <c r="E7107" s="261"/>
      <c r="F7107" s="261"/>
      <c r="G7107" s="261"/>
      <c r="H7107" s="261"/>
      <c r="I7107" s="261"/>
      <c r="J7107" s="261"/>
      <c r="K7107" s="261"/>
      <c r="L7107" s="261"/>
      <c r="M7107" s="261"/>
    </row>
    <row r="7108" spans="5:13">
      <c r="E7108" s="261"/>
      <c r="F7108" s="261"/>
      <c r="G7108" s="261"/>
      <c r="H7108" s="261"/>
      <c r="I7108" s="261"/>
      <c r="J7108" s="261"/>
      <c r="K7108" s="261"/>
      <c r="L7108" s="261"/>
      <c r="M7108" s="261"/>
    </row>
    <row r="7109" spans="5:13">
      <c r="E7109" s="261"/>
      <c r="F7109" s="261"/>
      <c r="G7109" s="261"/>
      <c r="H7109" s="261"/>
      <c r="I7109" s="261"/>
      <c r="J7109" s="261"/>
      <c r="K7109" s="261"/>
      <c r="L7109" s="261"/>
      <c r="M7109" s="261"/>
    </row>
    <row r="7110" spans="5:13">
      <c r="E7110" s="261"/>
      <c r="F7110" s="261"/>
      <c r="G7110" s="261"/>
      <c r="H7110" s="261"/>
      <c r="I7110" s="261"/>
      <c r="J7110" s="261"/>
      <c r="K7110" s="261"/>
      <c r="L7110" s="261"/>
      <c r="M7110" s="261"/>
    </row>
    <row r="7111" spans="5:13">
      <c r="E7111" s="261"/>
      <c r="F7111" s="261"/>
      <c r="G7111" s="261"/>
      <c r="H7111" s="261"/>
      <c r="I7111" s="261"/>
      <c r="J7111" s="261"/>
      <c r="K7111" s="261"/>
      <c r="L7111" s="261"/>
      <c r="M7111" s="261"/>
    </row>
    <row r="7112" spans="5:13">
      <c r="E7112" s="261"/>
      <c r="F7112" s="261"/>
      <c r="G7112" s="261"/>
      <c r="H7112" s="261"/>
      <c r="I7112" s="261"/>
      <c r="J7112" s="261"/>
      <c r="K7112" s="261"/>
      <c r="L7112" s="261"/>
      <c r="M7112" s="261"/>
    </row>
    <row r="7113" spans="5:13">
      <c r="E7113" s="261"/>
      <c r="F7113" s="261"/>
      <c r="G7113" s="261"/>
      <c r="H7113" s="261"/>
      <c r="I7113" s="261"/>
      <c r="J7113" s="261"/>
      <c r="K7113" s="261"/>
      <c r="L7113" s="261"/>
      <c r="M7113" s="261"/>
    </row>
    <row r="7114" spans="5:13">
      <c r="E7114" s="261"/>
      <c r="F7114" s="261"/>
      <c r="G7114" s="261"/>
      <c r="H7114" s="261"/>
      <c r="I7114" s="261"/>
      <c r="J7114" s="261"/>
      <c r="K7114" s="261"/>
      <c r="L7114" s="261"/>
      <c r="M7114" s="261"/>
    </row>
    <row r="7115" spans="5:13">
      <c r="E7115" s="261"/>
      <c r="F7115" s="261"/>
      <c r="G7115" s="261"/>
      <c r="H7115" s="261"/>
      <c r="I7115" s="261"/>
      <c r="J7115" s="261"/>
      <c r="K7115" s="261"/>
      <c r="L7115" s="261"/>
      <c r="M7115" s="261"/>
    </row>
    <row r="7116" spans="5:13">
      <c r="E7116" s="261"/>
      <c r="F7116" s="261"/>
      <c r="G7116" s="261"/>
      <c r="H7116" s="261"/>
      <c r="I7116" s="261"/>
      <c r="J7116" s="261"/>
      <c r="K7116" s="261"/>
      <c r="L7116" s="261"/>
      <c r="M7116" s="261"/>
    </row>
    <row r="7117" spans="5:13">
      <c r="E7117" s="261"/>
      <c r="F7117" s="261"/>
      <c r="G7117" s="261"/>
      <c r="H7117" s="261"/>
      <c r="I7117" s="261"/>
      <c r="J7117" s="261"/>
      <c r="K7117" s="261"/>
      <c r="L7117" s="261"/>
      <c r="M7117" s="261"/>
    </row>
    <row r="7118" spans="5:13">
      <c r="E7118" s="261"/>
      <c r="F7118" s="261"/>
      <c r="G7118" s="261"/>
      <c r="H7118" s="261"/>
      <c r="I7118" s="261"/>
      <c r="J7118" s="261"/>
      <c r="K7118" s="261"/>
      <c r="L7118" s="261"/>
      <c r="M7118" s="261"/>
    </row>
    <row r="7119" spans="5:13">
      <c r="E7119" s="261"/>
      <c r="F7119" s="261"/>
      <c r="G7119" s="261"/>
      <c r="H7119" s="261"/>
      <c r="I7119" s="261"/>
      <c r="J7119" s="261"/>
      <c r="K7119" s="261"/>
      <c r="L7119" s="261"/>
      <c r="M7119" s="261"/>
    </row>
    <row r="7120" spans="5:13">
      <c r="E7120" s="261"/>
      <c r="F7120" s="261"/>
      <c r="G7120" s="261"/>
      <c r="H7120" s="261"/>
      <c r="I7120" s="261"/>
      <c r="J7120" s="261"/>
      <c r="K7120" s="261"/>
      <c r="L7120" s="261"/>
      <c r="M7120" s="261"/>
    </row>
    <row r="7121" spans="5:13">
      <c r="E7121" s="261"/>
      <c r="F7121" s="261"/>
      <c r="G7121" s="261"/>
      <c r="H7121" s="261"/>
      <c r="I7121" s="261"/>
      <c r="J7121" s="261"/>
      <c r="K7121" s="261"/>
      <c r="L7121" s="261"/>
      <c r="M7121" s="261"/>
    </row>
    <row r="7122" spans="5:13">
      <c r="E7122" s="261"/>
      <c r="F7122" s="261"/>
      <c r="G7122" s="261"/>
      <c r="H7122" s="261"/>
      <c r="I7122" s="261"/>
      <c r="J7122" s="261"/>
      <c r="K7122" s="261"/>
      <c r="L7122" s="261"/>
      <c r="M7122" s="261"/>
    </row>
    <row r="7123" spans="5:13">
      <c r="E7123" s="261"/>
      <c r="F7123" s="261"/>
      <c r="G7123" s="261"/>
      <c r="H7123" s="261"/>
      <c r="I7123" s="261"/>
      <c r="J7123" s="261"/>
      <c r="K7123" s="261"/>
      <c r="L7123" s="261"/>
      <c r="M7123" s="261"/>
    </row>
    <row r="7124" spans="5:13">
      <c r="E7124" s="261"/>
      <c r="F7124" s="261"/>
      <c r="G7124" s="261"/>
      <c r="H7124" s="261"/>
      <c r="I7124" s="261"/>
      <c r="J7124" s="261"/>
      <c r="K7124" s="261"/>
      <c r="L7124" s="261"/>
      <c r="M7124" s="261"/>
    </row>
    <row r="7125" spans="5:13">
      <c r="E7125" s="261"/>
      <c r="F7125" s="261"/>
      <c r="G7125" s="261"/>
      <c r="H7125" s="261"/>
      <c r="I7125" s="261"/>
      <c r="J7125" s="261"/>
      <c r="K7125" s="261"/>
      <c r="L7125" s="261"/>
      <c r="M7125" s="261"/>
    </row>
    <row r="7126" spans="5:13">
      <c r="E7126" s="261"/>
      <c r="F7126" s="261"/>
      <c r="G7126" s="261"/>
      <c r="H7126" s="261"/>
      <c r="I7126" s="261"/>
      <c r="J7126" s="261"/>
      <c r="K7126" s="261"/>
      <c r="L7126" s="261"/>
      <c r="M7126" s="261"/>
    </row>
    <row r="7127" spans="5:13">
      <c r="E7127" s="261"/>
      <c r="F7127" s="261"/>
      <c r="G7127" s="261"/>
      <c r="H7127" s="261"/>
      <c r="I7127" s="261"/>
      <c r="J7127" s="261"/>
      <c r="K7127" s="261"/>
      <c r="L7127" s="261"/>
      <c r="M7127" s="261"/>
    </row>
    <row r="7128" spans="5:13">
      <c r="E7128" s="261"/>
      <c r="F7128" s="261"/>
      <c r="G7128" s="261"/>
      <c r="H7128" s="261"/>
      <c r="I7128" s="261"/>
      <c r="J7128" s="261"/>
      <c r="K7128" s="261"/>
      <c r="L7128" s="261"/>
      <c r="M7128" s="261"/>
    </row>
    <row r="7129" spans="5:13">
      <c r="E7129" s="261"/>
      <c r="F7129" s="261"/>
      <c r="G7129" s="261"/>
      <c r="H7129" s="261"/>
      <c r="I7129" s="261"/>
      <c r="J7129" s="261"/>
      <c r="K7129" s="261"/>
      <c r="L7129" s="261"/>
      <c r="M7129" s="261"/>
    </row>
    <row r="7130" spans="5:13">
      <c r="E7130" s="261"/>
      <c r="F7130" s="261"/>
      <c r="G7130" s="261"/>
      <c r="H7130" s="261"/>
      <c r="I7130" s="261"/>
      <c r="J7130" s="261"/>
      <c r="K7130" s="261"/>
      <c r="L7130" s="261"/>
      <c r="M7130" s="261"/>
    </row>
    <row r="7131" spans="5:13">
      <c r="E7131" s="261"/>
      <c r="F7131" s="261"/>
      <c r="G7131" s="261"/>
      <c r="H7131" s="261"/>
      <c r="I7131" s="261"/>
      <c r="J7131" s="261"/>
      <c r="K7131" s="261"/>
      <c r="L7131" s="261"/>
      <c r="M7131" s="261"/>
    </row>
    <row r="7132" spans="5:13">
      <c r="E7132" s="261"/>
      <c r="F7132" s="261"/>
      <c r="G7132" s="261"/>
      <c r="H7132" s="261"/>
      <c r="I7132" s="261"/>
      <c r="J7132" s="261"/>
      <c r="K7132" s="261"/>
      <c r="L7132" s="261"/>
      <c r="M7132" s="261"/>
    </row>
    <row r="7133" spans="5:13">
      <c r="E7133" s="261"/>
      <c r="F7133" s="261"/>
      <c r="G7133" s="261"/>
      <c r="H7133" s="261"/>
      <c r="I7133" s="261"/>
      <c r="J7133" s="261"/>
      <c r="K7133" s="261"/>
      <c r="L7133" s="261"/>
      <c r="M7133" s="261"/>
    </row>
    <row r="7134" spans="5:13">
      <c r="E7134" s="261"/>
      <c r="F7134" s="261"/>
      <c r="G7134" s="261"/>
      <c r="H7134" s="261"/>
      <c r="I7134" s="261"/>
      <c r="J7134" s="261"/>
      <c r="K7134" s="261"/>
      <c r="L7134" s="261"/>
      <c r="M7134" s="261"/>
    </row>
    <row r="7135" spans="5:13">
      <c r="E7135" s="261"/>
      <c r="F7135" s="261"/>
      <c r="G7135" s="261"/>
      <c r="H7135" s="261"/>
      <c r="I7135" s="261"/>
      <c r="J7135" s="261"/>
      <c r="K7135" s="261"/>
      <c r="L7135" s="261"/>
      <c r="M7135" s="261"/>
    </row>
    <row r="7136" spans="5:13">
      <c r="E7136" s="261"/>
      <c r="F7136" s="261"/>
      <c r="G7136" s="261"/>
      <c r="H7136" s="261"/>
      <c r="I7136" s="261"/>
      <c r="J7136" s="261"/>
      <c r="K7136" s="261"/>
      <c r="L7136" s="261"/>
      <c r="M7136" s="261"/>
    </row>
    <row r="7137" spans="5:13">
      <c r="E7137" s="261"/>
      <c r="F7137" s="261"/>
      <c r="G7137" s="261"/>
      <c r="H7137" s="261"/>
      <c r="I7137" s="261"/>
      <c r="J7137" s="261"/>
      <c r="K7137" s="261"/>
      <c r="L7137" s="261"/>
      <c r="M7137" s="261"/>
    </row>
    <row r="7138" spans="5:13">
      <c r="E7138" s="261"/>
      <c r="F7138" s="261"/>
      <c r="G7138" s="261"/>
      <c r="H7138" s="261"/>
      <c r="I7138" s="261"/>
      <c r="J7138" s="261"/>
      <c r="K7138" s="261"/>
      <c r="L7138" s="261"/>
      <c r="M7138" s="261"/>
    </row>
    <row r="7139" spans="5:13">
      <c r="E7139" s="261"/>
      <c r="F7139" s="261"/>
      <c r="G7139" s="261"/>
      <c r="H7139" s="261"/>
      <c r="I7139" s="261"/>
      <c r="J7139" s="261"/>
      <c r="K7139" s="261"/>
      <c r="L7139" s="261"/>
      <c r="M7139" s="261"/>
    </row>
    <row r="7140" spans="5:13">
      <c r="E7140" s="261"/>
      <c r="F7140" s="261"/>
      <c r="G7140" s="261"/>
      <c r="H7140" s="261"/>
      <c r="I7140" s="261"/>
      <c r="J7140" s="261"/>
      <c r="K7140" s="261"/>
      <c r="L7140" s="261"/>
      <c r="M7140" s="261"/>
    </row>
    <row r="7141" spans="5:13">
      <c r="E7141" s="261"/>
      <c r="F7141" s="261"/>
      <c r="G7141" s="261"/>
      <c r="H7141" s="261"/>
      <c r="I7141" s="261"/>
      <c r="J7141" s="261"/>
      <c r="K7141" s="261"/>
      <c r="L7141" s="261"/>
      <c r="M7141" s="261"/>
    </row>
    <row r="7142" spans="5:13">
      <c r="E7142" s="261"/>
      <c r="F7142" s="261"/>
      <c r="G7142" s="261"/>
      <c r="H7142" s="261"/>
      <c r="I7142" s="261"/>
      <c r="J7142" s="261"/>
      <c r="K7142" s="261"/>
      <c r="L7142" s="261"/>
      <c r="M7142" s="261"/>
    </row>
    <row r="7143" spans="5:13">
      <c r="E7143" s="261"/>
      <c r="F7143" s="261"/>
      <c r="G7143" s="261"/>
      <c r="H7143" s="261"/>
      <c r="I7143" s="261"/>
      <c r="J7143" s="261"/>
      <c r="K7143" s="261"/>
      <c r="L7143" s="261"/>
      <c r="M7143" s="261"/>
    </row>
    <row r="7144" spans="5:13">
      <c r="E7144" s="261"/>
      <c r="F7144" s="261"/>
      <c r="G7144" s="261"/>
      <c r="H7144" s="261"/>
      <c r="I7144" s="261"/>
      <c r="J7144" s="261"/>
      <c r="K7144" s="261"/>
      <c r="L7144" s="261"/>
      <c r="M7144" s="261"/>
    </row>
    <row r="7145" spans="5:13">
      <c r="E7145" s="261"/>
      <c r="F7145" s="261"/>
      <c r="G7145" s="261"/>
      <c r="H7145" s="261"/>
      <c r="I7145" s="261"/>
      <c r="J7145" s="261"/>
      <c r="K7145" s="261"/>
      <c r="L7145" s="261"/>
      <c r="M7145" s="261"/>
    </row>
    <row r="7146" spans="5:13">
      <c r="E7146" s="261"/>
      <c r="F7146" s="261"/>
      <c r="G7146" s="261"/>
      <c r="H7146" s="261"/>
      <c r="I7146" s="261"/>
      <c r="J7146" s="261"/>
      <c r="K7146" s="261"/>
      <c r="L7146" s="261"/>
      <c r="M7146" s="261"/>
    </row>
    <row r="7147" spans="5:13">
      <c r="E7147" s="261"/>
      <c r="F7147" s="261"/>
      <c r="G7147" s="261"/>
      <c r="H7147" s="261"/>
      <c r="I7147" s="261"/>
      <c r="J7147" s="261"/>
      <c r="K7147" s="261"/>
      <c r="L7147" s="261"/>
      <c r="M7147" s="261"/>
    </row>
    <row r="7148" spans="5:13">
      <c r="E7148" s="261"/>
      <c r="F7148" s="261"/>
      <c r="G7148" s="261"/>
      <c r="H7148" s="261"/>
      <c r="I7148" s="261"/>
      <c r="J7148" s="261"/>
      <c r="K7148" s="261"/>
      <c r="L7148" s="261"/>
      <c r="M7148" s="261"/>
    </row>
    <row r="7149" spans="5:13">
      <c r="E7149" s="261"/>
      <c r="F7149" s="261"/>
      <c r="G7149" s="261"/>
      <c r="H7149" s="261"/>
      <c r="I7149" s="261"/>
      <c r="J7149" s="261"/>
      <c r="K7149" s="261"/>
      <c r="L7149" s="261"/>
      <c r="M7149" s="261"/>
    </row>
    <row r="7150" spans="5:13">
      <c r="E7150" s="261"/>
      <c r="F7150" s="261"/>
      <c r="G7150" s="261"/>
      <c r="H7150" s="261"/>
      <c r="I7150" s="261"/>
      <c r="J7150" s="261"/>
      <c r="K7150" s="261"/>
      <c r="L7150" s="261"/>
      <c r="M7150" s="261"/>
    </row>
    <row r="7151" spans="5:13">
      <c r="E7151" s="261"/>
      <c r="F7151" s="261"/>
      <c r="G7151" s="261"/>
      <c r="H7151" s="261"/>
      <c r="I7151" s="261"/>
      <c r="J7151" s="261"/>
      <c r="K7151" s="261"/>
      <c r="L7151" s="261"/>
      <c r="M7151" s="261"/>
    </row>
    <row r="7152" spans="5:13">
      <c r="E7152" s="261"/>
      <c r="F7152" s="261"/>
      <c r="G7152" s="261"/>
      <c r="H7152" s="261"/>
      <c r="I7152" s="261"/>
      <c r="J7152" s="261"/>
      <c r="K7152" s="261"/>
      <c r="L7152" s="261"/>
      <c r="M7152" s="261"/>
    </row>
    <row r="7153" spans="5:13">
      <c r="E7153" s="261"/>
      <c r="F7153" s="261"/>
      <c r="G7153" s="261"/>
      <c r="H7153" s="261"/>
      <c r="I7153" s="261"/>
      <c r="J7153" s="261"/>
      <c r="K7153" s="261"/>
      <c r="L7153" s="261"/>
      <c r="M7153" s="261"/>
    </row>
    <row r="7154" spans="5:13">
      <c r="E7154" s="261"/>
      <c r="F7154" s="261"/>
      <c r="G7154" s="261"/>
      <c r="H7154" s="261"/>
      <c r="I7154" s="261"/>
      <c r="J7154" s="261"/>
      <c r="K7154" s="261"/>
      <c r="L7154" s="261"/>
      <c r="M7154" s="261"/>
    </row>
    <row r="7155" spans="5:13">
      <c r="E7155" s="261"/>
      <c r="F7155" s="261"/>
      <c r="G7155" s="261"/>
      <c r="H7155" s="261"/>
      <c r="I7155" s="261"/>
      <c r="J7155" s="261"/>
      <c r="K7155" s="261"/>
      <c r="L7155" s="261"/>
      <c r="M7155" s="261"/>
    </row>
    <row r="7156" spans="5:13">
      <c r="E7156" s="261"/>
      <c r="F7156" s="261"/>
      <c r="G7156" s="261"/>
      <c r="H7156" s="261"/>
      <c r="I7156" s="261"/>
      <c r="J7156" s="261"/>
      <c r="K7156" s="261"/>
      <c r="L7156" s="261"/>
      <c r="M7156" s="261"/>
    </row>
    <row r="7157" spans="5:13">
      <c r="E7157" s="261"/>
      <c r="F7157" s="261"/>
      <c r="G7157" s="261"/>
      <c r="H7157" s="261"/>
      <c r="I7157" s="261"/>
      <c r="J7157" s="261"/>
      <c r="K7157" s="261"/>
      <c r="L7157" s="261"/>
      <c r="M7157" s="261"/>
    </row>
    <row r="7158" spans="5:13">
      <c r="E7158" s="261"/>
      <c r="F7158" s="261"/>
      <c r="G7158" s="261"/>
      <c r="H7158" s="261"/>
      <c r="I7158" s="261"/>
      <c r="J7158" s="261"/>
      <c r="K7158" s="261"/>
      <c r="L7158" s="261"/>
      <c r="M7158" s="261"/>
    </row>
    <row r="7159" spans="5:13">
      <c r="E7159" s="261"/>
      <c r="F7159" s="261"/>
      <c r="G7159" s="261"/>
      <c r="H7159" s="261"/>
      <c r="I7159" s="261"/>
      <c r="J7159" s="261"/>
      <c r="K7159" s="261"/>
      <c r="L7159" s="261"/>
      <c r="M7159" s="261"/>
    </row>
    <row r="7160" spans="5:13">
      <c r="E7160" s="261"/>
      <c r="F7160" s="261"/>
      <c r="G7160" s="261"/>
      <c r="H7160" s="261"/>
      <c r="I7160" s="261"/>
      <c r="J7160" s="261"/>
      <c r="K7160" s="261"/>
      <c r="L7160" s="261"/>
      <c r="M7160" s="261"/>
    </row>
    <row r="7161" spans="5:13">
      <c r="E7161" s="261"/>
      <c r="F7161" s="261"/>
      <c r="G7161" s="261"/>
      <c r="H7161" s="261"/>
      <c r="I7161" s="261"/>
      <c r="J7161" s="261"/>
      <c r="K7161" s="261"/>
      <c r="L7161" s="261"/>
      <c r="M7161" s="261"/>
    </row>
    <row r="7162" spans="5:13">
      <c r="E7162" s="261"/>
      <c r="F7162" s="261"/>
      <c r="G7162" s="261"/>
      <c r="H7162" s="261"/>
      <c r="I7162" s="261"/>
      <c r="J7162" s="261"/>
      <c r="K7162" s="261"/>
      <c r="L7162" s="261"/>
      <c r="M7162" s="261"/>
    </row>
    <row r="7163" spans="5:13">
      <c r="E7163" s="261"/>
      <c r="F7163" s="261"/>
      <c r="G7163" s="261"/>
      <c r="H7163" s="261"/>
      <c r="I7163" s="261"/>
      <c r="J7163" s="261"/>
      <c r="K7163" s="261"/>
      <c r="L7163" s="261"/>
      <c r="M7163" s="261"/>
    </row>
    <row r="7164" spans="5:13">
      <c r="E7164" s="261"/>
      <c r="F7164" s="261"/>
      <c r="G7164" s="261"/>
      <c r="H7164" s="261"/>
      <c r="I7164" s="261"/>
      <c r="J7164" s="261"/>
      <c r="K7164" s="261"/>
      <c r="L7164" s="261"/>
      <c r="M7164" s="261"/>
    </row>
    <row r="7165" spans="5:13">
      <c r="E7165" s="261"/>
      <c r="F7165" s="261"/>
      <c r="G7165" s="261"/>
      <c r="H7165" s="261"/>
      <c r="I7165" s="261"/>
      <c r="J7165" s="261"/>
      <c r="K7165" s="261"/>
      <c r="L7165" s="261"/>
      <c r="M7165" s="261"/>
    </row>
    <row r="7166" spans="5:13">
      <c r="E7166" s="261"/>
      <c r="F7166" s="261"/>
      <c r="G7166" s="261"/>
      <c r="H7166" s="261"/>
      <c r="I7166" s="261"/>
      <c r="J7166" s="261"/>
      <c r="K7166" s="261"/>
      <c r="L7166" s="261"/>
      <c r="M7166" s="261"/>
    </row>
    <row r="7167" spans="5:13">
      <c r="E7167" s="261"/>
      <c r="F7167" s="261"/>
      <c r="G7167" s="261"/>
      <c r="H7167" s="261"/>
      <c r="I7167" s="261"/>
      <c r="J7167" s="261"/>
      <c r="K7167" s="261"/>
      <c r="L7167" s="261"/>
      <c r="M7167" s="261"/>
    </row>
    <row r="7168" spans="5:13">
      <c r="E7168" s="261"/>
      <c r="F7168" s="261"/>
      <c r="G7168" s="261"/>
      <c r="H7168" s="261"/>
      <c r="I7168" s="261"/>
      <c r="J7168" s="261"/>
      <c r="K7168" s="261"/>
      <c r="L7168" s="261"/>
      <c r="M7168" s="261"/>
    </row>
    <row r="7169" spans="5:13">
      <c r="E7169" s="261"/>
      <c r="F7169" s="261"/>
      <c r="G7169" s="261"/>
      <c r="H7169" s="261"/>
      <c r="I7169" s="261"/>
      <c r="J7169" s="261"/>
      <c r="K7169" s="261"/>
      <c r="L7169" s="261"/>
      <c r="M7169" s="261"/>
    </row>
    <row r="7170" spans="5:13">
      <c r="E7170" s="261"/>
      <c r="F7170" s="261"/>
      <c r="G7170" s="261"/>
      <c r="H7170" s="261"/>
      <c r="I7170" s="261"/>
      <c r="J7170" s="261"/>
      <c r="K7170" s="261"/>
      <c r="L7170" s="261"/>
      <c r="M7170" s="261"/>
    </row>
    <row r="7171" spans="5:13">
      <c r="E7171" s="261"/>
      <c r="F7171" s="261"/>
      <c r="G7171" s="261"/>
      <c r="H7171" s="261"/>
      <c r="I7171" s="261"/>
      <c r="J7171" s="261"/>
      <c r="K7171" s="261"/>
      <c r="L7171" s="261"/>
      <c r="M7171" s="261"/>
    </row>
    <row r="7172" spans="5:13">
      <c r="E7172" s="261"/>
      <c r="F7172" s="261"/>
      <c r="G7172" s="261"/>
      <c r="H7172" s="261"/>
      <c r="I7172" s="261"/>
      <c r="J7172" s="261"/>
      <c r="K7172" s="261"/>
      <c r="L7172" s="261"/>
      <c r="M7172" s="261"/>
    </row>
    <row r="7173" spans="5:13">
      <c r="E7173" s="261"/>
      <c r="F7173" s="261"/>
      <c r="G7173" s="261"/>
      <c r="H7173" s="261"/>
      <c r="I7173" s="261"/>
      <c r="J7173" s="261"/>
      <c r="K7173" s="261"/>
      <c r="L7173" s="261"/>
      <c r="M7173" s="261"/>
    </row>
    <row r="7174" spans="5:13">
      <c r="E7174" s="261"/>
      <c r="F7174" s="261"/>
      <c r="G7174" s="261"/>
      <c r="H7174" s="261"/>
      <c r="I7174" s="261"/>
      <c r="J7174" s="261"/>
      <c r="K7174" s="261"/>
      <c r="L7174" s="261"/>
      <c r="M7174" s="261"/>
    </row>
    <row r="7175" spans="5:13">
      <c r="E7175" s="261"/>
      <c r="F7175" s="261"/>
      <c r="G7175" s="261"/>
      <c r="H7175" s="261"/>
      <c r="I7175" s="261"/>
      <c r="J7175" s="261"/>
      <c r="K7175" s="261"/>
      <c r="L7175" s="261"/>
      <c r="M7175" s="261"/>
    </row>
    <row r="7176" spans="5:13">
      <c r="E7176" s="261"/>
      <c r="F7176" s="261"/>
      <c r="G7176" s="261"/>
      <c r="H7176" s="261"/>
      <c r="I7176" s="261"/>
      <c r="J7176" s="261"/>
      <c r="K7176" s="261"/>
      <c r="L7176" s="261"/>
      <c r="M7176" s="261"/>
    </row>
    <row r="7177" spans="5:13">
      <c r="E7177" s="261"/>
      <c r="F7177" s="261"/>
      <c r="G7177" s="261"/>
      <c r="H7177" s="261"/>
      <c r="I7177" s="261"/>
      <c r="J7177" s="261"/>
      <c r="K7177" s="261"/>
      <c r="L7177" s="261"/>
      <c r="M7177" s="261"/>
    </row>
    <row r="7178" spans="5:13">
      <c r="E7178" s="261"/>
      <c r="F7178" s="261"/>
      <c r="G7178" s="261"/>
      <c r="H7178" s="261"/>
      <c r="I7178" s="261"/>
      <c r="J7178" s="261"/>
      <c r="K7178" s="261"/>
      <c r="L7178" s="261"/>
      <c r="M7178" s="261"/>
    </row>
    <row r="7179" spans="5:13">
      <c r="E7179" s="261"/>
      <c r="F7179" s="261"/>
      <c r="G7179" s="261"/>
      <c r="H7179" s="261"/>
      <c r="I7179" s="261"/>
      <c r="J7179" s="261"/>
      <c r="K7179" s="261"/>
      <c r="L7179" s="261"/>
      <c r="M7179" s="261"/>
    </row>
    <row r="7180" spans="5:13">
      <c r="E7180" s="261"/>
      <c r="F7180" s="261"/>
      <c r="G7180" s="261"/>
      <c r="H7180" s="261"/>
      <c r="I7180" s="261"/>
      <c r="J7180" s="261"/>
      <c r="K7180" s="261"/>
      <c r="L7180" s="261"/>
      <c r="M7180" s="261"/>
    </row>
    <row r="7181" spans="5:13">
      <c r="E7181" s="261"/>
      <c r="F7181" s="261"/>
      <c r="G7181" s="261"/>
      <c r="H7181" s="261"/>
      <c r="I7181" s="261"/>
      <c r="J7181" s="261"/>
      <c r="K7181" s="261"/>
      <c r="L7181" s="261"/>
      <c r="M7181" s="261"/>
    </row>
    <row r="7182" spans="5:13">
      <c r="E7182" s="261"/>
      <c r="F7182" s="261"/>
      <c r="G7182" s="261"/>
      <c r="H7182" s="261"/>
      <c r="I7182" s="261"/>
      <c r="J7182" s="261"/>
      <c r="K7182" s="261"/>
      <c r="L7182" s="261"/>
      <c r="M7182" s="261"/>
    </row>
    <row r="7183" spans="5:13">
      <c r="E7183" s="261"/>
      <c r="F7183" s="261"/>
      <c r="G7183" s="261"/>
      <c r="H7183" s="261"/>
      <c r="I7183" s="261"/>
      <c r="J7183" s="261"/>
      <c r="K7183" s="261"/>
      <c r="L7183" s="261"/>
      <c r="M7183" s="261"/>
    </row>
    <row r="7184" spans="5:13">
      <c r="E7184" s="261"/>
      <c r="F7184" s="261"/>
      <c r="G7184" s="261"/>
      <c r="H7184" s="261"/>
      <c r="I7184" s="261"/>
      <c r="J7184" s="261"/>
      <c r="K7184" s="261"/>
      <c r="L7184" s="261"/>
      <c r="M7184" s="261"/>
    </row>
    <row r="7185" spans="5:13">
      <c r="E7185" s="261"/>
      <c r="F7185" s="261"/>
      <c r="G7185" s="261"/>
      <c r="H7185" s="261"/>
      <c r="I7185" s="261"/>
      <c r="J7185" s="261"/>
      <c r="K7185" s="261"/>
      <c r="L7185" s="261"/>
      <c r="M7185" s="261"/>
    </row>
    <row r="7186" spans="5:13">
      <c r="E7186" s="261"/>
      <c r="F7186" s="261"/>
      <c r="G7186" s="261"/>
      <c r="H7186" s="261"/>
      <c r="I7186" s="261"/>
      <c r="J7186" s="261"/>
      <c r="K7186" s="261"/>
      <c r="L7186" s="261"/>
      <c r="M7186" s="261"/>
    </row>
    <row r="7187" spans="5:13">
      <c r="E7187" s="261"/>
      <c r="F7187" s="261"/>
      <c r="G7187" s="261"/>
      <c r="H7187" s="261"/>
      <c r="I7187" s="261"/>
      <c r="J7187" s="261"/>
      <c r="K7187" s="261"/>
      <c r="L7187" s="261"/>
      <c r="M7187" s="261"/>
    </row>
    <row r="7188" spans="5:13">
      <c r="E7188" s="261"/>
      <c r="F7188" s="261"/>
      <c r="G7188" s="261"/>
      <c r="H7188" s="261"/>
      <c r="I7188" s="261"/>
      <c r="J7188" s="261"/>
      <c r="K7188" s="261"/>
      <c r="L7188" s="261"/>
      <c r="M7188" s="261"/>
    </row>
    <row r="7189" spans="5:13">
      <c r="E7189" s="261"/>
      <c r="F7189" s="261"/>
      <c r="G7189" s="261"/>
      <c r="H7189" s="261"/>
      <c r="I7189" s="261"/>
      <c r="J7189" s="261"/>
      <c r="K7189" s="261"/>
      <c r="L7189" s="261"/>
      <c r="M7189" s="261"/>
    </row>
    <row r="7190" spans="5:13">
      <c r="E7190" s="261"/>
      <c r="F7190" s="261"/>
      <c r="G7190" s="261"/>
      <c r="H7190" s="261"/>
      <c r="I7190" s="261"/>
      <c r="J7190" s="261"/>
      <c r="K7190" s="261"/>
      <c r="L7190" s="261"/>
      <c r="M7190" s="261"/>
    </row>
    <row r="7191" spans="5:13">
      <c r="E7191" s="261"/>
      <c r="F7191" s="261"/>
      <c r="G7191" s="261"/>
      <c r="H7191" s="261"/>
      <c r="I7191" s="261"/>
      <c r="J7191" s="261"/>
      <c r="K7191" s="261"/>
      <c r="L7191" s="261"/>
      <c r="M7191" s="261"/>
    </row>
    <row r="7192" spans="5:13">
      <c r="E7192" s="261"/>
      <c r="F7192" s="261"/>
      <c r="G7192" s="261"/>
      <c r="H7192" s="261"/>
      <c r="I7192" s="261"/>
      <c r="J7192" s="261"/>
      <c r="K7192" s="261"/>
      <c r="L7192" s="261"/>
      <c r="M7192" s="261"/>
    </row>
    <row r="7193" spans="5:13">
      <c r="E7193" s="261"/>
      <c r="F7193" s="261"/>
      <c r="G7193" s="261"/>
      <c r="H7193" s="261"/>
      <c r="I7193" s="261"/>
      <c r="J7193" s="261"/>
      <c r="K7193" s="261"/>
      <c r="L7193" s="261"/>
      <c r="M7193" s="261"/>
    </row>
    <row r="7194" spans="5:13">
      <c r="E7194" s="261"/>
      <c r="F7194" s="261"/>
      <c r="G7194" s="261"/>
      <c r="H7194" s="261"/>
      <c r="I7194" s="261"/>
      <c r="J7194" s="261"/>
      <c r="K7194" s="261"/>
      <c r="L7194" s="261"/>
      <c r="M7194" s="261"/>
    </row>
    <row r="7195" spans="5:13">
      <c r="E7195" s="261"/>
      <c r="F7195" s="261"/>
      <c r="G7195" s="261"/>
      <c r="H7195" s="261"/>
      <c r="I7195" s="261"/>
      <c r="J7195" s="261"/>
      <c r="K7195" s="261"/>
      <c r="L7195" s="261"/>
      <c r="M7195" s="261"/>
    </row>
    <row r="7196" spans="5:13">
      <c r="E7196" s="261"/>
      <c r="F7196" s="261"/>
      <c r="G7196" s="261"/>
      <c r="H7196" s="261"/>
      <c r="I7196" s="261"/>
      <c r="J7196" s="261"/>
      <c r="K7196" s="261"/>
      <c r="L7196" s="261"/>
      <c r="M7196" s="261"/>
    </row>
    <row r="7197" spans="5:13">
      <c r="E7197" s="261"/>
      <c r="F7197" s="261"/>
      <c r="G7197" s="261"/>
      <c r="H7197" s="261"/>
      <c r="I7197" s="261"/>
      <c r="J7197" s="261"/>
      <c r="K7197" s="261"/>
      <c r="L7197" s="261"/>
      <c r="M7197" s="261"/>
    </row>
    <row r="7198" spans="5:13">
      <c r="E7198" s="261"/>
      <c r="F7198" s="261"/>
      <c r="G7198" s="261"/>
      <c r="H7198" s="261"/>
      <c r="I7198" s="261"/>
      <c r="J7198" s="261"/>
      <c r="K7198" s="261"/>
      <c r="L7198" s="261"/>
      <c r="M7198" s="261"/>
    </row>
    <row r="7199" spans="5:13">
      <c r="E7199" s="261"/>
      <c r="F7199" s="261"/>
      <c r="G7199" s="261"/>
      <c r="H7199" s="261"/>
      <c r="I7199" s="261"/>
      <c r="J7199" s="261"/>
      <c r="K7199" s="261"/>
      <c r="L7199" s="261"/>
      <c r="M7199" s="261"/>
    </row>
    <row r="7200" spans="5:13">
      <c r="E7200" s="261"/>
      <c r="F7200" s="261"/>
      <c r="G7200" s="261"/>
      <c r="H7200" s="261"/>
      <c r="I7200" s="261"/>
      <c r="J7200" s="261"/>
      <c r="K7200" s="261"/>
      <c r="L7200" s="261"/>
      <c r="M7200" s="261"/>
    </row>
    <row r="7201" spans="5:13">
      <c r="E7201" s="261"/>
      <c r="F7201" s="261"/>
      <c r="G7201" s="261"/>
      <c r="H7201" s="261"/>
      <c r="I7201" s="261"/>
      <c r="J7201" s="261"/>
      <c r="K7201" s="261"/>
      <c r="L7201" s="261"/>
      <c r="M7201" s="261"/>
    </row>
    <row r="7202" spans="5:13">
      <c r="E7202" s="261"/>
      <c r="F7202" s="261"/>
      <c r="G7202" s="261"/>
      <c r="H7202" s="261"/>
      <c r="I7202" s="261"/>
      <c r="J7202" s="261"/>
      <c r="K7202" s="261"/>
      <c r="L7202" s="261"/>
      <c r="M7202" s="261"/>
    </row>
    <row r="7203" spans="5:13">
      <c r="E7203" s="261"/>
      <c r="F7203" s="261"/>
      <c r="G7203" s="261"/>
      <c r="H7203" s="261"/>
      <c r="I7203" s="261"/>
      <c r="J7203" s="261"/>
      <c r="K7203" s="261"/>
      <c r="L7203" s="261"/>
      <c r="M7203" s="261"/>
    </row>
    <row r="7204" spans="5:13">
      <c r="E7204" s="261"/>
      <c r="F7204" s="261"/>
      <c r="G7204" s="261"/>
      <c r="H7204" s="261"/>
      <c r="I7204" s="261"/>
      <c r="J7204" s="261"/>
      <c r="K7204" s="261"/>
      <c r="L7204" s="261"/>
      <c r="M7204" s="261"/>
    </row>
    <row r="7205" spans="5:13">
      <c r="E7205" s="261"/>
      <c r="F7205" s="261"/>
      <c r="G7205" s="261"/>
      <c r="H7205" s="261"/>
      <c r="I7205" s="261"/>
      <c r="J7205" s="261"/>
      <c r="K7205" s="261"/>
      <c r="L7205" s="261"/>
      <c r="M7205" s="261"/>
    </row>
    <row r="7206" spans="5:13">
      <c r="E7206" s="261"/>
      <c r="F7206" s="261"/>
      <c r="G7206" s="261"/>
      <c r="H7206" s="261"/>
      <c r="I7206" s="261"/>
      <c r="J7206" s="261"/>
      <c r="K7206" s="261"/>
      <c r="L7206" s="261"/>
      <c r="M7206" s="261"/>
    </row>
    <row r="7207" spans="5:13">
      <c r="E7207" s="261"/>
      <c r="F7207" s="261"/>
      <c r="G7207" s="261"/>
      <c r="H7207" s="261"/>
      <c r="I7207" s="261"/>
      <c r="J7207" s="261"/>
      <c r="K7207" s="261"/>
      <c r="L7207" s="261"/>
      <c r="M7207" s="261"/>
    </row>
    <row r="7208" spans="5:13">
      <c r="E7208" s="261"/>
      <c r="F7208" s="261"/>
      <c r="G7208" s="261"/>
      <c r="H7208" s="261"/>
      <c r="I7208" s="261"/>
      <c r="J7208" s="261"/>
      <c r="K7208" s="261"/>
      <c r="L7208" s="261"/>
      <c r="M7208" s="261"/>
    </row>
    <row r="7209" spans="5:13">
      <c r="E7209" s="261"/>
      <c r="F7209" s="261"/>
      <c r="G7209" s="261"/>
      <c r="H7209" s="261"/>
      <c r="I7209" s="261"/>
      <c r="J7209" s="261"/>
      <c r="K7209" s="261"/>
      <c r="L7209" s="261"/>
      <c r="M7209" s="261"/>
    </row>
    <row r="7210" spans="5:13">
      <c r="E7210" s="261"/>
      <c r="F7210" s="261"/>
      <c r="G7210" s="261"/>
      <c r="H7210" s="261"/>
      <c r="I7210" s="261"/>
      <c r="J7210" s="261"/>
      <c r="K7210" s="261"/>
      <c r="L7210" s="261"/>
      <c r="M7210" s="261"/>
    </row>
    <row r="7211" spans="5:13">
      <c r="E7211" s="261"/>
      <c r="F7211" s="261"/>
      <c r="G7211" s="261"/>
      <c r="H7211" s="261"/>
      <c r="I7211" s="261"/>
      <c r="J7211" s="261"/>
      <c r="K7211" s="261"/>
      <c r="L7211" s="261"/>
      <c r="M7211" s="261"/>
    </row>
    <row r="7212" spans="5:13">
      <c r="E7212" s="261"/>
      <c r="F7212" s="261"/>
      <c r="G7212" s="261"/>
      <c r="H7212" s="261"/>
      <c r="I7212" s="261"/>
      <c r="J7212" s="261"/>
      <c r="K7212" s="261"/>
      <c r="L7212" s="261"/>
      <c r="M7212" s="261"/>
    </row>
    <row r="7213" spans="5:13">
      <c r="E7213" s="261"/>
      <c r="F7213" s="261"/>
      <c r="G7213" s="261"/>
      <c r="H7213" s="261"/>
      <c r="I7213" s="261"/>
      <c r="J7213" s="261"/>
      <c r="K7213" s="261"/>
      <c r="L7213" s="261"/>
      <c r="M7213" s="261"/>
    </row>
    <row r="7214" spans="5:13">
      <c r="E7214" s="261"/>
      <c r="F7214" s="261"/>
      <c r="G7214" s="261"/>
      <c r="H7214" s="261"/>
      <c r="I7214" s="261"/>
      <c r="J7214" s="261"/>
      <c r="K7214" s="261"/>
      <c r="L7214" s="261"/>
      <c r="M7214" s="261"/>
    </row>
    <row r="7215" spans="5:13">
      <c r="E7215" s="261"/>
      <c r="F7215" s="261"/>
      <c r="G7215" s="261"/>
      <c r="H7215" s="261"/>
      <c r="I7215" s="261"/>
      <c r="J7215" s="261"/>
      <c r="K7215" s="261"/>
      <c r="L7215" s="261"/>
      <c r="M7215" s="261"/>
    </row>
    <row r="7216" spans="5:13">
      <c r="E7216" s="261"/>
      <c r="F7216" s="261"/>
      <c r="G7216" s="261"/>
      <c r="H7216" s="261"/>
      <c r="I7216" s="261"/>
      <c r="J7216" s="261"/>
      <c r="K7216" s="261"/>
      <c r="L7216" s="261"/>
      <c r="M7216" s="261"/>
    </row>
    <row r="7217" spans="5:13">
      <c r="E7217" s="261"/>
      <c r="F7217" s="261"/>
      <c r="G7217" s="261"/>
      <c r="H7217" s="261"/>
      <c r="I7217" s="261"/>
      <c r="J7217" s="261"/>
      <c r="K7217" s="261"/>
      <c r="L7217" s="261"/>
      <c r="M7217" s="261"/>
    </row>
    <row r="7218" spans="5:13">
      <c r="E7218" s="261"/>
      <c r="F7218" s="261"/>
      <c r="G7218" s="261"/>
      <c r="H7218" s="261"/>
      <c r="I7218" s="261"/>
      <c r="J7218" s="261"/>
      <c r="K7218" s="261"/>
      <c r="L7218" s="261"/>
      <c r="M7218" s="261"/>
    </row>
    <row r="7219" spans="5:13">
      <c r="E7219" s="261"/>
      <c r="F7219" s="261"/>
      <c r="G7219" s="261"/>
      <c r="H7219" s="261"/>
      <c r="I7219" s="261"/>
      <c r="J7219" s="261"/>
      <c r="K7219" s="261"/>
      <c r="L7219" s="261"/>
      <c r="M7219" s="261"/>
    </row>
    <row r="7220" spans="5:13">
      <c r="E7220" s="261"/>
      <c r="F7220" s="261"/>
      <c r="G7220" s="261"/>
      <c r="H7220" s="261"/>
      <c r="I7220" s="261"/>
      <c r="J7220" s="261"/>
      <c r="K7220" s="261"/>
      <c r="L7220" s="261"/>
      <c r="M7220" s="261"/>
    </row>
    <row r="7221" spans="5:13">
      <c r="E7221" s="261"/>
      <c r="F7221" s="261"/>
      <c r="G7221" s="261"/>
      <c r="H7221" s="261"/>
      <c r="I7221" s="261"/>
      <c r="J7221" s="261"/>
      <c r="K7221" s="261"/>
      <c r="L7221" s="261"/>
      <c r="M7221" s="261"/>
    </row>
    <row r="7222" spans="5:13">
      <c r="E7222" s="261"/>
      <c r="F7222" s="261"/>
      <c r="G7222" s="261"/>
      <c r="H7222" s="261"/>
      <c r="I7222" s="261"/>
      <c r="J7222" s="261"/>
      <c r="K7222" s="261"/>
      <c r="L7222" s="261"/>
      <c r="M7222" s="261"/>
    </row>
    <row r="7223" spans="5:13">
      <c r="E7223" s="261"/>
      <c r="F7223" s="261"/>
      <c r="G7223" s="261"/>
      <c r="H7223" s="261"/>
      <c r="I7223" s="261"/>
      <c r="J7223" s="261"/>
      <c r="K7223" s="261"/>
      <c r="L7223" s="261"/>
      <c r="M7223" s="261"/>
    </row>
    <row r="7224" spans="5:13">
      <c r="E7224" s="261"/>
      <c r="F7224" s="261"/>
      <c r="G7224" s="261"/>
      <c r="H7224" s="261"/>
      <c r="I7224" s="261"/>
      <c r="J7224" s="261"/>
      <c r="K7224" s="261"/>
      <c r="L7224" s="261"/>
      <c r="M7224" s="261"/>
    </row>
    <row r="7225" spans="5:13">
      <c r="E7225" s="261"/>
      <c r="F7225" s="261"/>
      <c r="G7225" s="261"/>
      <c r="H7225" s="261"/>
      <c r="I7225" s="261"/>
      <c r="J7225" s="261"/>
      <c r="K7225" s="261"/>
      <c r="L7225" s="261"/>
      <c r="M7225" s="261"/>
    </row>
    <row r="7226" spans="5:13">
      <c r="E7226" s="261"/>
      <c r="F7226" s="261"/>
      <c r="G7226" s="261"/>
      <c r="H7226" s="261"/>
      <c r="I7226" s="261"/>
      <c r="J7226" s="261"/>
      <c r="K7226" s="261"/>
      <c r="L7226" s="261"/>
      <c r="M7226" s="261"/>
    </row>
    <row r="7227" spans="5:13">
      <c r="E7227" s="261"/>
      <c r="F7227" s="261"/>
      <c r="G7227" s="261"/>
      <c r="H7227" s="261"/>
      <c r="I7227" s="261"/>
      <c r="J7227" s="261"/>
      <c r="K7227" s="261"/>
      <c r="L7227" s="261"/>
      <c r="M7227" s="261"/>
    </row>
    <row r="7228" spans="5:13">
      <c r="E7228" s="261"/>
      <c r="F7228" s="261"/>
      <c r="G7228" s="261"/>
      <c r="H7228" s="261"/>
      <c r="I7228" s="261"/>
      <c r="J7228" s="261"/>
      <c r="K7228" s="261"/>
      <c r="L7228" s="261"/>
      <c r="M7228" s="261"/>
    </row>
    <row r="7229" spans="5:13">
      <c r="E7229" s="261"/>
      <c r="F7229" s="261"/>
      <c r="G7229" s="261"/>
      <c r="H7229" s="261"/>
      <c r="I7229" s="261"/>
      <c r="J7229" s="261"/>
      <c r="K7229" s="261"/>
      <c r="L7229" s="261"/>
      <c r="M7229" s="261"/>
    </row>
    <row r="7230" spans="5:13">
      <c r="E7230" s="261"/>
      <c r="F7230" s="261"/>
      <c r="G7230" s="261"/>
      <c r="H7230" s="261"/>
      <c r="I7230" s="261"/>
      <c r="J7230" s="261"/>
      <c r="K7230" s="261"/>
      <c r="L7230" s="261"/>
      <c r="M7230" s="261"/>
    </row>
    <row r="7231" spans="5:13">
      <c r="E7231" s="261"/>
      <c r="F7231" s="261"/>
      <c r="G7231" s="261"/>
      <c r="H7231" s="261"/>
      <c r="I7231" s="261"/>
      <c r="J7231" s="261"/>
      <c r="K7231" s="261"/>
      <c r="L7231" s="261"/>
      <c r="M7231" s="261"/>
    </row>
    <row r="7232" spans="5:13">
      <c r="E7232" s="261"/>
      <c r="F7232" s="261"/>
      <c r="G7232" s="261"/>
      <c r="H7232" s="261"/>
      <c r="I7232" s="261"/>
      <c r="J7232" s="261"/>
      <c r="K7232" s="261"/>
      <c r="L7232" s="261"/>
      <c r="M7232" s="261"/>
    </row>
    <row r="7233" spans="5:13">
      <c r="E7233" s="261"/>
      <c r="F7233" s="261"/>
      <c r="G7233" s="261"/>
      <c r="H7233" s="261"/>
      <c r="I7233" s="261"/>
      <c r="J7233" s="261"/>
      <c r="K7233" s="261"/>
      <c r="L7233" s="261"/>
      <c r="M7233" s="261"/>
    </row>
    <row r="7234" spans="5:13">
      <c r="E7234" s="261"/>
      <c r="F7234" s="261"/>
      <c r="G7234" s="261"/>
      <c r="H7234" s="261"/>
      <c r="I7234" s="261"/>
      <c r="J7234" s="261"/>
      <c r="K7234" s="261"/>
      <c r="L7234" s="261"/>
      <c r="M7234" s="261"/>
    </row>
    <row r="7235" spans="5:13">
      <c r="E7235" s="261"/>
      <c r="F7235" s="261"/>
      <c r="G7235" s="261"/>
      <c r="H7235" s="261"/>
      <c r="I7235" s="261"/>
      <c r="J7235" s="261"/>
      <c r="K7235" s="261"/>
      <c r="L7235" s="261"/>
      <c r="M7235" s="261"/>
    </row>
    <row r="7236" spans="5:13">
      <c r="E7236" s="261"/>
      <c r="F7236" s="261"/>
      <c r="G7236" s="261"/>
      <c r="H7236" s="261"/>
      <c r="I7236" s="261"/>
      <c r="J7236" s="261"/>
      <c r="K7236" s="261"/>
      <c r="L7236" s="261"/>
      <c r="M7236" s="261"/>
    </row>
    <row r="7237" spans="5:13">
      <c r="E7237" s="261"/>
      <c r="F7237" s="261"/>
      <c r="G7237" s="261"/>
      <c r="H7237" s="261"/>
      <c r="I7237" s="261"/>
      <c r="J7237" s="261"/>
      <c r="K7237" s="261"/>
      <c r="L7237" s="261"/>
      <c r="M7237" s="261"/>
    </row>
    <row r="7238" spans="5:13">
      <c r="E7238" s="261"/>
      <c r="F7238" s="261"/>
      <c r="G7238" s="261"/>
      <c r="H7238" s="261"/>
      <c r="I7238" s="261"/>
      <c r="J7238" s="261"/>
      <c r="K7238" s="261"/>
      <c r="L7238" s="261"/>
      <c r="M7238" s="261"/>
    </row>
    <row r="7239" spans="5:13">
      <c r="E7239" s="261"/>
      <c r="F7239" s="261"/>
      <c r="G7239" s="261"/>
      <c r="H7239" s="261"/>
      <c r="I7239" s="261"/>
      <c r="J7239" s="261"/>
      <c r="K7239" s="261"/>
      <c r="L7239" s="261"/>
      <c r="M7239" s="261"/>
    </row>
    <row r="7240" spans="5:13">
      <c r="E7240" s="261"/>
      <c r="F7240" s="261"/>
      <c r="G7240" s="261"/>
      <c r="H7240" s="261"/>
      <c r="I7240" s="261"/>
      <c r="J7240" s="261"/>
      <c r="K7240" s="261"/>
      <c r="L7240" s="261"/>
      <c r="M7240" s="261"/>
    </row>
    <row r="7241" spans="5:13">
      <c r="E7241" s="261"/>
      <c r="F7241" s="261"/>
      <c r="G7241" s="261"/>
      <c r="H7241" s="261"/>
      <c r="I7241" s="261"/>
      <c r="J7241" s="261"/>
      <c r="K7241" s="261"/>
      <c r="L7241" s="261"/>
      <c r="M7241" s="261"/>
    </row>
    <row r="7242" spans="5:13">
      <c r="E7242" s="261"/>
      <c r="F7242" s="261"/>
      <c r="G7242" s="261"/>
      <c r="H7242" s="261"/>
      <c r="I7242" s="261"/>
      <c r="J7242" s="261"/>
      <c r="K7242" s="261"/>
      <c r="L7242" s="261"/>
      <c r="M7242" s="261"/>
    </row>
    <row r="7243" spans="5:13">
      <c r="E7243" s="261"/>
      <c r="F7243" s="261"/>
      <c r="G7243" s="261"/>
      <c r="H7243" s="261"/>
      <c r="I7243" s="261"/>
      <c r="J7243" s="261"/>
      <c r="K7243" s="261"/>
      <c r="L7243" s="261"/>
      <c r="M7243" s="261"/>
    </row>
    <row r="7244" spans="5:13">
      <c r="E7244" s="261"/>
      <c r="F7244" s="261"/>
      <c r="G7244" s="261"/>
      <c r="H7244" s="261"/>
      <c r="I7244" s="261"/>
      <c r="J7244" s="261"/>
      <c r="K7244" s="261"/>
      <c r="L7244" s="261"/>
      <c r="M7244" s="261"/>
    </row>
    <row r="7245" spans="5:13">
      <c r="E7245" s="261"/>
      <c r="F7245" s="261"/>
      <c r="G7245" s="261"/>
      <c r="H7245" s="261"/>
      <c r="I7245" s="261"/>
      <c r="J7245" s="261"/>
      <c r="K7245" s="261"/>
      <c r="L7245" s="261"/>
      <c r="M7245" s="261"/>
    </row>
    <row r="7246" spans="5:13">
      <c r="E7246" s="261"/>
      <c r="F7246" s="261"/>
      <c r="G7246" s="261"/>
      <c r="H7246" s="261"/>
      <c r="I7246" s="261"/>
      <c r="J7246" s="261"/>
      <c r="K7246" s="261"/>
      <c r="L7246" s="261"/>
      <c r="M7246" s="261"/>
    </row>
    <row r="7247" spans="5:13">
      <c r="E7247" s="261"/>
      <c r="F7247" s="261"/>
      <c r="G7247" s="261"/>
      <c r="H7247" s="261"/>
      <c r="I7247" s="261"/>
      <c r="J7247" s="261"/>
      <c r="K7247" s="261"/>
      <c r="L7247" s="261"/>
      <c r="M7247" s="261"/>
    </row>
    <row r="7248" spans="5:13">
      <c r="E7248" s="261"/>
      <c r="F7248" s="261"/>
      <c r="G7248" s="261"/>
      <c r="H7248" s="261"/>
      <c r="I7248" s="261"/>
      <c r="J7248" s="261"/>
      <c r="K7248" s="261"/>
      <c r="L7248" s="261"/>
      <c r="M7248" s="261"/>
    </row>
    <row r="7249" spans="5:13">
      <c r="E7249" s="261"/>
      <c r="F7249" s="261"/>
      <c r="G7249" s="261"/>
      <c r="H7249" s="261"/>
      <c r="I7249" s="261"/>
      <c r="J7249" s="261"/>
      <c r="K7249" s="261"/>
      <c r="L7249" s="261"/>
      <c r="M7249" s="261"/>
    </row>
    <row r="7250" spans="5:13">
      <c r="E7250" s="261"/>
      <c r="F7250" s="261"/>
      <c r="G7250" s="261"/>
      <c r="H7250" s="261"/>
      <c r="I7250" s="261"/>
      <c r="J7250" s="261"/>
      <c r="K7250" s="261"/>
      <c r="L7250" s="261"/>
      <c r="M7250" s="261"/>
    </row>
    <row r="7251" spans="5:13">
      <c r="E7251" s="261"/>
      <c r="F7251" s="261"/>
      <c r="G7251" s="261"/>
      <c r="H7251" s="261"/>
      <c r="I7251" s="261"/>
      <c r="J7251" s="261"/>
      <c r="K7251" s="261"/>
      <c r="L7251" s="261"/>
      <c r="M7251" s="261"/>
    </row>
    <row r="7252" spans="5:13">
      <c r="E7252" s="261"/>
      <c r="F7252" s="261"/>
      <c r="G7252" s="261"/>
      <c r="H7252" s="261"/>
      <c r="I7252" s="261"/>
      <c r="J7252" s="261"/>
      <c r="K7252" s="261"/>
      <c r="L7252" s="261"/>
      <c r="M7252" s="261"/>
    </row>
    <row r="7253" spans="5:13">
      <c r="E7253" s="261"/>
      <c r="F7253" s="261"/>
      <c r="G7253" s="261"/>
      <c r="H7253" s="261"/>
      <c r="I7253" s="261"/>
      <c r="J7253" s="261"/>
      <c r="K7253" s="261"/>
      <c r="L7253" s="261"/>
      <c r="M7253" s="261"/>
    </row>
    <row r="7254" spans="5:13">
      <c r="E7254" s="261"/>
      <c r="F7254" s="261"/>
      <c r="G7254" s="261"/>
      <c r="H7254" s="261"/>
      <c r="I7254" s="261"/>
      <c r="J7254" s="261"/>
      <c r="K7254" s="261"/>
      <c r="L7254" s="261"/>
      <c r="M7254" s="261"/>
    </row>
    <row r="7255" spans="5:13">
      <c r="E7255" s="261"/>
      <c r="F7255" s="261"/>
      <c r="G7255" s="261"/>
      <c r="H7255" s="261"/>
      <c r="I7255" s="261"/>
      <c r="J7255" s="261"/>
      <c r="K7255" s="261"/>
      <c r="L7255" s="261"/>
      <c r="M7255" s="261"/>
    </row>
    <row r="7256" spans="5:13">
      <c r="E7256" s="261"/>
      <c r="F7256" s="261"/>
      <c r="G7256" s="261"/>
      <c r="H7256" s="261"/>
      <c r="I7256" s="261"/>
      <c r="J7256" s="261"/>
      <c r="K7256" s="261"/>
      <c r="L7256" s="261"/>
      <c r="M7256" s="261"/>
    </row>
    <row r="7257" spans="5:13">
      <c r="E7257" s="261"/>
      <c r="F7257" s="261"/>
      <c r="G7257" s="261"/>
      <c r="H7257" s="261"/>
      <c r="I7257" s="261"/>
      <c r="J7257" s="261"/>
      <c r="K7257" s="261"/>
      <c r="L7257" s="261"/>
      <c r="M7257" s="261"/>
    </row>
    <row r="7258" spans="5:13">
      <c r="E7258" s="261"/>
      <c r="F7258" s="261"/>
      <c r="G7258" s="261"/>
      <c r="H7258" s="261"/>
      <c r="I7258" s="261"/>
      <c r="J7258" s="261"/>
      <c r="K7258" s="261"/>
      <c r="L7258" s="261"/>
      <c r="M7258" s="261"/>
    </row>
    <row r="7259" spans="5:13">
      <c r="E7259" s="261"/>
      <c r="F7259" s="261"/>
      <c r="G7259" s="261"/>
      <c r="H7259" s="261"/>
      <c r="I7259" s="261"/>
      <c r="J7259" s="261"/>
      <c r="K7259" s="261"/>
      <c r="L7259" s="261"/>
      <c r="M7259" s="261"/>
    </row>
    <row r="7260" spans="5:13">
      <c r="E7260" s="261"/>
      <c r="F7260" s="261"/>
      <c r="G7260" s="261"/>
      <c r="H7260" s="261"/>
      <c r="I7260" s="261"/>
      <c r="J7260" s="261"/>
      <c r="K7260" s="261"/>
      <c r="L7260" s="261"/>
      <c r="M7260" s="261"/>
    </row>
    <row r="7261" spans="5:13">
      <c r="E7261" s="261"/>
      <c r="F7261" s="261"/>
      <c r="G7261" s="261"/>
      <c r="H7261" s="261"/>
      <c r="I7261" s="261"/>
      <c r="J7261" s="261"/>
      <c r="K7261" s="261"/>
      <c r="L7261" s="261"/>
      <c r="M7261" s="261"/>
    </row>
    <row r="7262" spans="5:13">
      <c r="E7262" s="261"/>
      <c r="F7262" s="261"/>
      <c r="G7262" s="261"/>
      <c r="H7262" s="261"/>
      <c r="I7262" s="261"/>
      <c r="J7262" s="261"/>
      <c r="K7262" s="261"/>
      <c r="L7262" s="261"/>
      <c r="M7262" s="261"/>
    </row>
    <row r="7263" spans="5:13">
      <c r="E7263" s="261"/>
      <c r="F7263" s="261"/>
      <c r="G7263" s="261"/>
      <c r="H7263" s="261"/>
      <c r="I7263" s="261"/>
      <c r="J7263" s="261"/>
      <c r="K7263" s="261"/>
      <c r="L7263" s="261"/>
      <c r="M7263" s="261"/>
    </row>
    <row r="7264" spans="5:13">
      <c r="E7264" s="261"/>
      <c r="F7264" s="261"/>
      <c r="G7264" s="261"/>
      <c r="H7264" s="261"/>
      <c r="I7264" s="261"/>
      <c r="J7264" s="261"/>
      <c r="K7264" s="261"/>
      <c r="L7264" s="261"/>
      <c r="M7264" s="261"/>
    </row>
    <row r="7265" spans="5:13">
      <c r="E7265" s="261"/>
      <c r="F7265" s="261"/>
      <c r="G7265" s="261"/>
      <c r="H7265" s="261"/>
      <c r="I7265" s="261"/>
      <c r="J7265" s="261"/>
      <c r="K7265" s="261"/>
      <c r="L7265" s="261"/>
      <c r="M7265" s="261"/>
    </row>
    <row r="7266" spans="5:13">
      <c r="E7266" s="261"/>
      <c r="F7266" s="261"/>
      <c r="G7266" s="261"/>
      <c r="H7266" s="261"/>
      <c r="I7266" s="261"/>
      <c r="J7266" s="261"/>
      <c r="K7266" s="261"/>
      <c r="L7266" s="261"/>
      <c r="M7266" s="261"/>
    </row>
    <row r="7267" spans="5:13">
      <c r="E7267" s="261"/>
      <c r="F7267" s="261"/>
      <c r="G7267" s="261"/>
      <c r="H7267" s="261"/>
      <c r="I7267" s="261"/>
      <c r="J7267" s="261"/>
      <c r="K7267" s="261"/>
      <c r="L7267" s="261"/>
      <c r="M7267" s="261"/>
    </row>
    <row r="7268" spans="5:13">
      <c r="E7268" s="261"/>
      <c r="F7268" s="261"/>
      <c r="G7268" s="261"/>
      <c r="H7268" s="261"/>
      <c r="I7268" s="261"/>
      <c r="J7268" s="261"/>
      <c r="K7268" s="261"/>
      <c r="L7268" s="261"/>
      <c r="M7268" s="261"/>
    </row>
    <row r="7269" spans="5:13">
      <c r="E7269" s="261"/>
      <c r="F7269" s="261"/>
      <c r="G7269" s="261"/>
      <c r="H7269" s="261"/>
      <c r="I7269" s="261"/>
      <c r="J7269" s="261"/>
      <c r="K7269" s="261"/>
      <c r="L7269" s="261"/>
      <c r="M7269" s="261"/>
    </row>
    <row r="7270" spans="5:13">
      <c r="E7270" s="261"/>
      <c r="F7270" s="261"/>
      <c r="G7270" s="261"/>
      <c r="H7270" s="261"/>
      <c r="I7270" s="261"/>
      <c r="J7270" s="261"/>
      <c r="K7270" s="261"/>
      <c r="L7270" s="261"/>
      <c r="M7270" s="261"/>
    </row>
    <row r="7271" spans="5:13">
      <c r="E7271" s="261"/>
      <c r="F7271" s="261"/>
      <c r="G7271" s="261"/>
      <c r="H7271" s="261"/>
      <c r="I7271" s="261"/>
      <c r="J7271" s="261"/>
      <c r="K7271" s="261"/>
      <c r="L7271" s="261"/>
      <c r="M7271" s="261"/>
    </row>
    <row r="7272" spans="5:13">
      <c r="E7272" s="261"/>
      <c r="F7272" s="261"/>
      <c r="G7272" s="261"/>
      <c r="H7272" s="261"/>
      <c r="I7272" s="261"/>
      <c r="J7272" s="261"/>
      <c r="K7272" s="261"/>
      <c r="L7272" s="261"/>
      <c r="M7272" s="261"/>
    </row>
    <row r="7273" spans="5:13">
      <c r="E7273" s="261"/>
      <c r="F7273" s="261"/>
      <c r="G7273" s="261"/>
      <c r="H7273" s="261"/>
      <c r="I7273" s="261"/>
      <c r="J7273" s="261"/>
      <c r="K7273" s="261"/>
      <c r="L7273" s="261"/>
      <c r="M7273" s="261"/>
    </row>
    <row r="7274" spans="5:13">
      <c r="E7274" s="261"/>
      <c r="F7274" s="261"/>
      <c r="G7274" s="261"/>
      <c r="H7274" s="261"/>
      <c r="I7274" s="261"/>
      <c r="J7274" s="261"/>
      <c r="K7274" s="261"/>
      <c r="L7274" s="261"/>
      <c r="M7274" s="261"/>
    </row>
    <row r="7275" spans="5:13">
      <c r="E7275" s="261"/>
      <c r="F7275" s="261"/>
      <c r="G7275" s="261"/>
      <c r="H7275" s="261"/>
      <c r="I7275" s="261"/>
      <c r="J7275" s="261"/>
      <c r="K7275" s="261"/>
      <c r="L7275" s="261"/>
      <c r="M7275" s="261"/>
    </row>
    <row r="7276" spans="5:13">
      <c r="E7276" s="261"/>
      <c r="F7276" s="261"/>
      <c r="G7276" s="261"/>
      <c r="H7276" s="261"/>
      <c r="I7276" s="261"/>
      <c r="J7276" s="261"/>
      <c r="K7276" s="261"/>
      <c r="L7276" s="261"/>
      <c r="M7276" s="261"/>
    </row>
    <row r="7277" spans="5:13">
      <c r="E7277" s="261"/>
      <c r="F7277" s="261"/>
      <c r="G7277" s="261"/>
      <c r="H7277" s="261"/>
      <c r="I7277" s="261"/>
      <c r="J7277" s="261"/>
      <c r="K7277" s="261"/>
      <c r="L7277" s="261"/>
      <c r="M7277" s="261"/>
    </row>
    <row r="7278" spans="5:13">
      <c r="E7278" s="261"/>
      <c r="F7278" s="261"/>
      <c r="G7278" s="261"/>
      <c r="H7278" s="261"/>
      <c r="I7278" s="261"/>
      <c r="J7278" s="261"/>
      <c r="K7278" s="261"/>
      <c r="L7278" s="261"/>
      <c r="M7278" s="261"/>
    </row>
    <row r="7279" spans="5:13">
      <c r="E7279" s="261"/>
      <c r="F7279" s="261"/>
      <c r="G7279" s="261"/>
      <c r="H7279" s="261"/>
      <c r="I7279" s="261"/>
      <c r="J7279" s="261"/>
      <c r="K7279" s="261"/>
      <c r="L7279" s="261"/>
      <c r="M7279" s="261"/>
    </row>
    <row r="7280" spans="5:13">
      <c r="E7280" s="261"/>
      <c r="F7280" s="261"/>
      <c r="G7280" s="261"/>
      <c r="H7280" s="261"/>
      <c r="I7280" s="261"/>
      <c r="J7280" s="261"/>
      <c r="K7280" s="261"/>
      <c r="L7280" s="261"/>
      <c r="M7280" s="261"/>
    </row>
    <row r="7281" spans="5:13">
      <c r="E7281" s="261"/>
      <c r="F7281" s="261"/>
      <c r="G7281" s="261"/>
      <c r="H7281" s="261"/>
      <c r="I7281" s="261"/>
      <c r="J7281" s="261"/>
      <c r="K7281" s="261"/>
      <c r="L7281" s="261"/>
      <c r="M7281" s="261"/>
    </row>
    <row r="7282" spans="5:13">
      <c r="E7282" s="261"/>
      <c r="F7282" s="261"/>
      <c r="G7282" s="261"/>
      <c r="H7282" s="261"/>
      <c r="I7282" s="261"/>
      <c r="J7282" s="261"/>
      <c r="K7282" s="261"/>
      <c r="L7282" s="261"/>
      <c r="M7282" s="261"/>
    </row>
    <row r="7283" spans="5:13">
      <c r="E7283" s="261"/>
      <c r="F7283" s="261"/>
      <c r="G7283" s="261"/>
      <c r="H7283" s="261"/>
      <c r="I7283" s="261"/>
      <c r="J7283" s="261"/>
      <c r="K7283" s="261"/>
      <c r="L7283" s="261"/>
      <c r="M7283" s="261"/>
    </row>
    <row r="7284" spans="5:13">
      <c r="E7284" s="261"/>
      <c r="F7284" s="261"/>
      <c r="G7284" s="261"/>
      <c r="H7284" s="261"/>
      <c r="I7284" s="261"/>
      <c r="J7284" s="261"/>
      <c r="K7284" s="261"/>
      <c r="L7284" s="261"/>
      <c r="M7284" s="261"/>
    </row>
    <row r="7285" spans="5:13">
      <c r="E7285" s="261"/>
      <c r="F7285" s="261"/>
      <c r="G7285" s="261"/>
      <c r="H7285" s="261"/>
      <c r="I7285" s="261"/>
      <c r="J7285" s="261"/>
      <c r="K7285" s="261"/>
      <c r="L7285" s="261"/>
      <c r="M7285" s="261"/>
    </row>
    <row r="7286" spans="5:13">
      <c r="E7286" s="261"/>
      <c r="F7286" s="261"/>
      <c r="G7286" s="261"/>
      <c r="H7286" s="261"/>
      <c r="I7286" s="261"/>
      <c r="J7286" s="261"/>
      <c r="K7286" s="261"/>
      <c r="L7286" s="261"/>
      <c r="M7286" s="261"/>
    </row>
    <row r="7287" spans="5:13">
      <c r="E7287" s="261"/>
      <c r="F7287" s="261"/>
      <c r="G7287" s="261"/>
      <c r="H7287" s="261"/>
      <c r="I7287" s="261"/>
      <c r="J7287" s="261"/>
      <c r="K7287" s="261"/>
      <c r="L7287" s="261"/>
      <c r="M7287" s="261"/>
    </row>
    <row r="7288" spans="5:13">
      <c r="E7288" s="261"/>
      <c r="F7288" s="261"/>
      <c r="G7288" s="261"/>
      <c r="H7288" s="261"/>
      <c r="I7288" s="261"/>
      <c r="J7288" s="261"/>
      <c r="K7288" s="261"/>
      <c r="L7288" s="261"/>
      <c r="M7288" s="261"/>
    </row>
    <row r="7289" spans="5:13">
      <c r="E7289" s="261"/>
      <c r="F7289" s="261"/>
      <c r="G7289" s="261"/>
      <c r="H7289" s="261"/>
      <c r="I7289" s="261"/>
      <c r="J7289" s="261"/>
      <c r="K7289" s="261"/>
      <c r="L7289" s="261"/>
      <c r="M7289" s="261"/>
    </row>
    <row r="7290" spans="5:13">
      <c r="E7290" s="261"/>
      <c r="F7290" s="261"/>
      <c r="G7290" s="261"/>
      <c r="H7290" s="261"/>
      <c r="I7290" s="261"/>
      <c r="J7290" s="261"/>
      <c r="K7290" s="261"/>
      <c r="L7290" s="261"/>
      <c r="M7290" s="261"/>
    </row>
    <row r="7291" spans="5:13">
      <c r="E7291" s="261"/>
      <c r="F7291" s="261"/>
      <c r="G7291" s="261"/>
      <c r="H7291" s="261"/>
      <c r="I7291" s="261"/>
      <c r="J7291" s="261"/>
      <c r="K7291" s="261"/>
      <c r="L7291" s="261"/>
      <c r="M7291" s="261"/>
    </row>
    <row r="7292" spans="5:13">
      <c r="E7292" s="261"/>
      <c r="F7292" s="261"/>
      <c r="G7292" s="261"/>
      <c r="H7292" s="261"/>
      <c r="I7292" s="261"/>
      <c r="J7292" s="261"/>
      <c r="K7292" s="261"/>
      <c r="L7292" s="261"/>
      <c r="M7292" s="261"/>
    </row>
    <row r="7293" spans="5:13">
      <c r="E7293" s="261"/>
      <c r="F7293" s="261"/>
      <c r="G7293" s="261"/>
      <c r="H7293" s="261"/>
      <c r="I7293" s="261"/>
      <c r="J7293" s="261"/>
      <c r="K7293" s="261"/>
      <c r="L7293" s="261"/>
      <c r="M7293" s="261"/>
    </row>
    <row r="7294" spans="5:13">
      <c r="E7294" s="261"/>
      <c r="F7294" s="261"/>
      <c r="G7294" s="261"/>
      <c r="H7294" s="261"/>
      <c r="I7294" s="261"/>
      <c r="J7294" s="261"/>
      <c r="K7294" s="261"/>
      <c r="L7294" s="261"/>
      <c r="M7294" s="261"/>
    </row>
    <row r="7295" spans="5:13">
      <c r="E7295" s="261"/>
      <c r="F7295" s="261"/>
      <c r="G7295" s="261"/>
      <c r="H7295" s="261"/>
      <c r="I7295" s="261"/>
      <c r="J7295" s="261"/>
      <c r="K7295" s="261"/>
      <c r="L7295" s="261"/>
      <c r="M7295" s="261"/>
    </row>
    <row r="7296" spans="5:13">
      <c r="E7296" s="261"/>
      <c r="F7296" s="261"/>
      <c r="G7296" s="261"/>
      <c r="H7296" s="261"/>
      <c r="I7296" s="261"/>
      <c r="J7296" s="261"/>
      <c r="K7296" s="261"/>
      <c r="L7296" s="261"/>
      <c r="M7296" s="261"/>
    </row>
    <row r="7297" spans="5:13">
      <c r="E7297" s="261"/>
      <c r="F7297" s="261"/>
      <c r="G7297" s="261"/>
      <c r="H7297" s="261"/>
      <c r="I7297" s="261"/>
      <c r="J7297" s="261"/>
      <c r="K7297" s="261"/>
      <c r="L7297" s="261"/>
      <c r="M7297" s="261"/>
    </row>
    <row r="7298" spans="5:13">
      <c r="E7298" s="261"/>
      <c r="F7298" s="261"/>
      <c r="G7298" s="261"/>
      <c r="H7298" s="261"/>
      <c r="I7298" s="261"/>
      <c r="J7298" s="261"/>
      <c r="K7298" s="261"/>
      <c r="L7298" s="261"/>
      <c r="M7298" s="261"/>
    </row>
    <row r="7299" spans="5:13">
      <c r="E7299" s="261"/>
      <c r="F7299" s="261"/>
      <c r="G7299" s="261"/>
      <c r="H7299" s="261"/>
      <c r="I7299" s="261"/>
      <c r="J7299" s="261"/>
      <c r="K7299" s="261"/>
      <c r="L7299" s="261"/>
      <c r="M7299" s="261"/>
    </row>
    <row r="7300" spans="5:13">
      <c r="E7300" s="261"/>
      <c r="F7300" s="261"/>
      <c r="G7300" s="261"/>
      <c r="H7300" s="261"/>
      <c r="I7300" s="261"/>
      <c r="J7300" s="261"/>
      <c r="K7300" s="261"/>
      <c r="L7300" s="261"/>
      <c r="M7300" s="261"/>
    </row>
    <row r="7301" spans="5:13">
      <c r="E7301" s="261"/>
      <c r="F7301" s="261"/>
      <c r="G7301" s="261"/>
      <c r="H7301" s="261"/>
      <c r="I7301" s="261"/>
      <c r="J7301" s="261"/>
      <c r="K7301" s="261"/>
      <c r="L7301" s="261"/>
      <c r="M7301" s="261"/>
    </row>
    <row r="7302" spans="5:13">
      <c r="E7302" s="261"/>
      <c r="F7302" s="261"/>
      <c r="G7302" s="261"/>
      <c r="H7302" s="261"/>
      <c r="I7302" s="261"/>
      <c r="J7302" s="261"/>
      <c r="K7302" s="261"/>
      <c r="L7302" s="261"/>
      <c r="M7302" s="261"/>
    </row>
    <row r="7303" spans="5:13">
      <c r="E7303" s="261"/>
      <c r="F7303" s="261"/>
      <c r="G7303" s="261"/>
      <c r="H7303" s="261"/>
      <c r="I7303" s="261"/>
      <c r="J7303" s="261"/>
      <c r="K7303" s="261"/>
      <c r="L7303" s="261"/>
      <c r="M7303" s="261"/>
    </row>
    <row r="7304" spans="5:13">
      <c r="E7304" s="261"/>
      <c r="F7304" s="261"/>
      <c r="G7304" s="261"/>
      <c r="H7304" s="261"/>
      <c r="I7304" s="261"/>
      <c r="J7304" s="261"/>
      <c r="K7304" s="261"/>
      <c r="L7304" s="261"/>
      <c r="M7304" s="261"/>
    </row>
    <row r="7305" spans="5:13">
      <c r="E7305" s="261"/>
      <c r="F7305" s="261"/>
      <c r="G7305" s="261"/>
      <c r="H7305" s="261"/>
      <c r="I7305" s="261"/>
      <c r="J7305" s="261"/>
      <c r="K7305" s="261"/>
      <c r="L7305" s="261"/>
      <c r="M7305" s="261"/>
    </row>
    <row r="7306" spans="5:13">
      <c r="E7306" s="261"/>
      <c r="F7306" s="261"/>
      <c r="G7306" s="261"/>
      <c r="H7306" s="261"/>
      <c r="I7306" s="261"/>
      <c r="J7306" s="261"/>
      <c r="K7306" s="261"/>
      <c r="L7306" s="261"/>
      <c r="M7306" s="261"/>
    </row>
    <row r="7307" spans="5:13">
      <c r="E7307" s="261"/>
      <c r="F7307" s="261"/>
      <c r="G7307" s="261"/>
      <c r="H7307" s="261"/>
      <c r="I7307" s="261"/>
      <c r="J7307" s="261"/>
      <c r="K7307" s="261"/>
      <c r="L7307" s="261"/>
      <c r="M7307" s="261"/>
    </row>
    <row r="7308" spans="5:13">
      <c r="E7308" s="261"/>
      <c r="F7308" s="261"/>
      <c r="G7308" s="261"/>
      <c r="H7308" s="261"/>
      <c r="I7308" s="261"/>
      <c r="J7308" s="261"/>
      <c r="K7308" s="261"/>
      <c r="L7308" s="261"/>
      <c r="M7308" s="261"/>
    </row>
    <row r="7309" spans="5:13">
      <c r="E7309" s="261"/>
      <c r="F7309" s="261"/>
      <c r="G7309" s="261"/>
      <c r="H7309" s="261"/>
      <c r="I7309" s="261"/>
      <c r="J7309" s="261"/>
      <c r="K7309" s="261"/>
      <c r="L7309" s="261"/>
      <c r="M7309" s="261"/>
    </row>
    <row r="7310" spans="5:13">
      <c r="E7310" s="261"/>
      <c r="F7310" s="261"/>
      <c r="G7310" s="261"/>
      <c r="H7310" s="261"/>
      <c r="I7310" s="261"/>
      <c r="J7310" s="261"/>
      <c r="K7310" s="261"/>
      <c r="L7310" s="261"/>
      <c r="M7310" s="261"/>
    </row>
    <row r="7311" spans="5:13">
      <c r="E7311" s="261"/>
      <c r="F7311" s="261"/>
      <c r="G7311" s="261"/>
      <c r="H7311" s="261"/>
      <c r="I7311" s="261"/>
      <c r="J7311" s="261"/>
      <c r="K7311" s="261"/>
      <c r="L7311" s="261"/>
      <c r="M7311" s="261"/>
    </row>
    <row r="7312" spans="5:13">
      <c r="E7312" s="261"/>
      <c r="F7312" s="261"/>
      <c r="G7312" s="261"/>
      <c r="H7312" s="261"/>
      <c r="I7312" s="261"/>
      <c r="J7312" s="261"/>
      <c r="K7312" s="261"/>
      <c r="L7312" s="261"/>
      <c r="M7312" s="261"/>
    </row>
    <row r="7313" spans="5:13">
      <c r="E7313" s="261"/>
      <c r="F7313" s="261"/>
      <c r="G7313" s="261"/>
      <c r="H7313" s="261"/>
      <c r="I7313" s="261"/>
      <c r="J7313" s="261"/>
      <c r="K7313" s="261"/>
      <c r="L7313" s="261"/>
      <c r="M7313" s="261"/>
    </row>
    <row r="7314" spans="5:13">
      <c r="E7314" s="261"/>
      <c r="F7314" s="261"/>
      <c r="G7314" s="261"/>
      <c r="H7314" s="261"/>
      <c r="I7314" s="261"/>
      <c r="J7314" s="261"/>
      <c r="K7314" s="261"/>
      <c r="L7314" s="261"/>
      <c r="M7314" s="261"/>
    </row>
    <row r="7315" spans="5:13">
      <c r="E7315" s="261"/>
      <c r="F7315" s="261"/>
      <c r="G7315" s="261"/>
      <c r="H7315" s="261"/>
      <c r="I7315" s="261"/>
      <c r="J7315" s="261"/>
      <c r="K7315" s="261"/>
      <c r="L7315" s="261"/>
      <c r="M7315" s="261"/>
    </row>
    <row r="7316" spans="5:13">
      <c r="E7316" s="261"/>
      <c r="F7316" s="261"/>
      <c r="G7316" s="261"/>
      <c r="H7316" s="261"/>
      <c r="I7316" s="261"/>
      <c r="J7316" s="261"/>
      <c r="K7316" s="261"/>
      <c r="L7316" s="261"/>
      <c r="M7316" s="261"/>
    </row>
    <row r="7317" spans="5:13">
      <c r="E7317" s="261"/>
      <c r="F7317" s="261"/>
      <c r="G7317" s="261"/>
      <c r="H7317" s="261"/>
      <c r="I7317" s="261"/>
      <c r="J7317" s="261"/>
      <c r="K7317" s="261"/>
      <c r="L7317" s="261"/>
      <c r="M7317" s="261"/>
    </row>
    <row r="7318" spans="5:13">
      <c r="E7318" s="261"/>
      <c r="F7318" s="261"/>
      <c r="G7318" s="261"/>
      <c r="H7318" s="261"/>
      <c r="I7318" s="261"/>
      <c r="J7318" s="261"/>
      <c r="K7318" s="261"/>
      <c r="L7318" s="261"/>
      <c r="M7318" s="261"/>
    </row>
    <row r="7319" spans="5:13">
      <c r="E7319" s="261"/>
      <c r="F7319" s="261"/>
      <c r="G7319" s="261"/>
      <c r="H7319" s="261"/>
      <c r="I7319" s="261"/>
      <c r="J7319" s="261"/>
      <c r="K7319" s="261"/>
      <c r="L7319" s="261"/>
      <c r="M7319" s="261"/>
    </row>
    <row r="7320" spans="5:13">
      <c r="E7320" s="261"/>
      <c r="F7320" s="261"/>
      <c r="G7320" s="261"/>
      <c r="H7320" s="261"/>
      <c r="I7320" s="261"/>
      <c r="J7320" s="261"/>
      <c r="K7320" s="261"/>
      <c r="L7320" s="261"/>
      <c r="M7320" s="261"/>
    </row>
    <row r="7321" spans="5:13">
      <c r="E7321" s="261"/>
      <c r="F7321" s="261"/>
      <c r="G7321" s="261"/>
      <c r="H7321" s="261"/>
      <c r="I7321" s="261"/>
      <c r="J7321" s="261"/>
      <c r="K7321" s="261"/>
      <c r="L7321" s="261"/>
      <c r="M7321" s="261"/>
    </row>
    <row r="7322" spans="5:13">
      <c r="E7322" s="261"/>
      <c r="F7322" s="261"/>
      <c r="G7322" s="261"/>
      <c r="H7322" s="261"/>
      <c r="I7322" s="261"/>
      <c r="J7322" s="261"/>
      <c r="K7322" s="261"/>
      <c r="L7322" s="261"/>
      <c r="M7322" s="261"/>
    </row>
    <row r="7323" spans="5:13">
      <c r="E7323" s="261"/>
      <c r="F7323" s="261"/>
      <c r="G7323" s="261"/>
      <c r="H7323" s="261"/>
      <c r="I7323" s="261"/>
      <c r="J7323" s="261"/>
      <c r="K7323" s="261"/>
      <c r="L7323" s="261"/>
      <c r="M7323" s="261"/>
    </row>
    <row r="7324" spans="5:13">
      <c r="E7324" s="261"/>
      <c r="F7324" s="261"/>
      <c r="G7324" s="261"/>
      <c r="H7324" s="261"/>
      <c r="I7324" s="261"/>
      <c r="J7324" s="261"/>
      <c r="K7324" s="261"/>
      <c r="L7324" s="261"/>
      <c r="M7324" s="261"/>
    </row>
    <row r="7325" spans="5:13">
      <c r="E7325" s="261"/>
      <c r="F7325" s="261"/>
      <c r="G7325" s="261"/>
      <c r="H7325" s="261"/>
      <c r="I7325" s="261"/>
      <c r="J7325" s="261"/>
      <c r="K7325" s="261"/>
      <c r="L7325" s="261"/>
      <c r="M7325" s="261"/>
    </row>
    <row r="7326" spans="5:13">
      <c r="E7326" s="261"/>
      <c r="F7326" s="261"/>
      <c r="G7326" s="261"/>
      <c r="H7326" s="261"/>
      <c r="I7326" s="261"/>
      <c r="J7326" s="261"/>
      <c r="K7326" s="261"/>
      <c r="L7326" s="261"/>
      <c r="M7326" s="261"/>
    </row>
    <row r="7327" spans="5:13">
      <c r="E7327" s="261"/>
      <c r="F7327" s="261"/>
      <c r="G7327" s="261"/>
      <c r="H7327" s="261"/>
      <c r="I7327" s="261"/>
      <c r="J7327" s="261"/>
      <c r="K7327" s="261"/>
      <c r="L7327" s="261"/>
      <c r="M7327" s="261"/>
    </row>
    <row r="7328" spans="5:13">
      <c r="E7328" s="261"/>
      <c r="F7328" s="261"/>
      <c r="G7328" s="261"/>
      <c r="H7328" s="261"/>
      <c r="I7328" s="261"/>
      <c r="J7328" s="261"/>
      <c r="K7328" s="261"/>
      <c r="L7328" s="261"/>
      <c r="M7328" s="261"/>
    </row>
    <row r="7329" spans="5:13">
      <c r="E7329" s="261"/>
      <c r="F7329" s="261"/>
      <c r="G7329" s="261"/>
      <c r="H7329" s="261"/>
      <c r="I7329" s="261"/>
      <c r="J7329" s="261"/>
      <c r="K7329" s="261"/>
      <c r="L7329" s="261"/>
      <c r="M7329" s="261"/>
    </row>
    <row r="7330" spans="5:13">
      <c r="E7330" s="261"/>
      <c r="F7330" s="261"/>
      <c r="G7330" s="261"/>
      <c r="H7330" s="261"/>
      <c r="I7330" s="261"/>
      <c r="J7330" s="261"/>
      <c r="K7330" s="261"/>
      <c r="L7330" s="261"/>
      <c r="M7330" s="261"/>
    </row>
    <row r="7331" spans="5:13">
      <c r="E7331" s="261"/>
      <c r="F7331" s="261"/>
      <c r="G7331" s="261"/>
      <c r="H7331" s="261"/>
      <c r="I7331" s="261"/>
      <c r="J7331" s="261"/>
      <c r="K7331" s="261"/>
      <c r="L7331" s="261"/>
      <c r="M7331" s="261"/>
    </row>
    <row r="7332" spans="5:13">
      <c r="E7332" s="261"/>
      <c r="F7332" s="261"/>
      <c r="G7332" s="261"/>
      <c r="H7332" s="261"/>
      <c r="I7332" s="261"/>
      <c r="J7332" s="261"/>
      <c r="K7332" s="261"/>
      <c r="L7332" s="261"/>
      <c r="M7332" s="261"/>
    </row>
    <row r="7333" spans="5:13">
      <c r="E7333" s="261"/>
      <c r="F7333" s="261"/>
      <c r="G7333" s="261"/>
      <c r="H7333" s="261"/>
      <c r="I7333" s="261"/>
      <c r="J7333" s="261"/>
      <c r="K7333" s="261"/>
      <c r="L7333" s="261"/>
      <c r="M7333" s="261"/>
    </row>
    <row r="7334" spans="5:13">
      <c r="E7334" s="261"/>
      <c r="F7334" s="261"/>
      <c r="G7334" s="261"/>
      <c r="H7334" s="261"/>
      <c r="I7334" s="261"/>
      <c r="J7334" s="261"/>
      <c r="K7334" s="261"/>
      <c r="L7334" s="261"/>
      <c r="M7334" s="261"/>
    </row>
    <row r="7335" spans="5:13">
      <c r="E7335" s="261"/>
      <c r="F7335" s="261"/>
      <c r="G7335" s="261"/>
      <c r="H7335" s="261"/>
      <c r="I7335" s="261"/>
      <c r="J7335" s="261"/>
      <c r="K7335" s="261"/>
      <c r="L7335" s="261"/>
      <c r="M7335" s="261"/>
    </row>
    <row r="7336" spans="5:13">
      <c r="E7336" s="261"/>
      <c r="F7336" s="261"/>
      <c r="G7336" s="261"/>
      <c r="H7336" s="261"/>
      <c r="I7336" s="261"/>
      <c r="J7336" s="261"/>
      <c r="K7336" s="261"/>
      <c r="L7336" s="261"/>
      <c r="M7336" s="261"/>
    </row>
    <row r="7337" spans="5:13">
      <c r="E7337" s="261"/>
      <c r="F7337" s="261"/>
      <c r="G7337" s="261"/>
      <c r="H7337" s="261"/>
      <c r="I7337" s="261"/>
      <c r="J7337" s="261"/>
      <c r="K7337" s="261"/>
      <c r="L7337" s="261"/>
      <c r="M7337" s="261"/>
    </row>
    <row r="7338" spans="5:13">
      <c r="E7338" s="261"/>
      <c r="F7338" s="261"/>
      <c r="G7338" s="261"/>
      <c r="H7338" s="261"/>
      <c r="I7338" s="261"/>
      <c r="J7338" s="261"/>
      <c r="K7338" s="261"/>
      <c r="L7338" s="261"/>
      <c r="M7338" s="261"/>
    </row>
    <row r="7339" spans="5:13">
      <c r="E7339" s="261"/>
      <c r="F7339" s="261"/>
      <c r="G7339" s="261"/>
      <c r="H7339" s="261"/>
      <c r="I7339" s="261"/>
      <c r="J7339" s="261"/>
      <c r="K7339" s="261"/>
      <c r="L7339" s="261"/>
      <c r="M7339" s="261"/>
    </row>
    <row r="7340" spans="5:13">
      <c r="E7340" s="261"/>
      <c r="F7340" s="261"/>
      <c r="G7340" s="261"/>
      <c r="H7340" s="261"/>
      <c r="I7340" s="261"/>
      <c r="J7340" s="261"/>
      <c r="K7340" s="261"/>
      <c r="L7340" s="261"/>
      <c r="M7340" s="261"/>
    </row>
    <row r="7341" spans="5:13">
      <c r="E7341" s="261"/>
      <c r="F7341" s="261"/>
      <c r="G7341" s="261"/>
      <c r="H7341" s="261"/>
      <c r="I7341" s="261"/>
      <c r="J7341" s="261"/>
      <c r="K7341" s="261"/>
      <c r="L7341" s="261"/>
      <c r="M7341" s="261"/>
    </row>
    <row r="7342" spans="5:13">
      <c r="E7342" s="261"/>
      <c r="F7342" s="261"/>
      <c r="G7342" s="261"/>
      <c r="H7342" s="261"/>
      <c r="I7342" s="261"/>
      <c r="J7342" s="261"/>
      <c r="K7342" s="261"/>
      <c r="L7342" s="261"/>
      <c r="M7342" s="261"/>
    </row>
    <row r="7343" spans="5:13">
      <c r="E7343" s="261"/>
      <c r="F7343" s="261"/>
      <c r="G7343" s="261"/>
      <c r="H7343" s="261"/>
      <c r="I7343" s="261"/>
      <c r="J7343" s="261"/>
      <c r="K7343" s="261"/>
      <c r="L7343" s="261"/>
      <c r="M7343" s="261"/>
    </row>
    <row r="7344" spans="5:13">
      <c r="E7344" s="261"/>
      <c r="F7344" s="261"/>
      <c r="G7344" s="261"/>
      <c r="H7344" s="261"/>
      <c r="I7344" s="261"/>
      <c r="J7344" s="261"/>
      <c r="K7344" s="261"/>
      <c r="L7344" s="261"/>
      <c r="M7344" s="261"/>
    </row>
    <row r="7345" spans="5:13">
      <c r="E7345" s="261"/>
      <c r="F7345" s="261"/>
      <c r="G7345" s="261"/>
      <c r="H7345" s="261"/>
      <c r="I7345" s="261"/>
      <c r="J7345" s="261"/>
      <c r="K7345" s="261"/>
      <c r="L7345" s="261"/>
      <c r="M7345" s="261"/>
    </row>
    <row r="7346" spans="5:13">
      <c r="E7346" s="261"/>
      <c r="F7346" s="261"/>
      <c r="G7346" s="261"/>
      <c r="H7346" s="261"/>
      <c r="I7346" s="261"/>
      <c r="J7346" s="261"/>
      <c r="K7346" s="261"/>
      <c r="L7346" s="261"/>
      <c r="M7346" s="261"/>
    </row>
    <row r="7347" spans="5:13">
      <c r="E7347" s="261"/>
      <c r="F7347" s="261"/>
      <c r="G7347" s="261"/>
      <c r="H7347" s="261"/>
      <c r="I7347" s="261"/>
      <c r="J7347" s="261"/>
      <c r="K7347" s="261"/>
      <c r="L7347" s="261"/>
      <c r="M7347" s="261"/>
    </row>
    <row r="7348" spans="5:13">
      <c r="E7348" s="261"/>
      <c r="F7348" s="261"/>
      <c r="G7348" s="261"/>
      <c r="H7348" s="261"/>
      <c r="I7348" s="261"/>
      <c r="J7348" s="261"/>
      <c r="K7348" s="261"/>
      <c r="L7348" s="261"/>
      <c r="M7348" s="261"/>
    </row>
    <row r="7349" spans="5:13">
      <c r="E7349" s="261"/>
      <c r="F7349" s="261"/>
      <c r="G7349" s="261"/>
      <c r="H7349" s="261"/>
      <c r="I7349" s="261"/>
      <c r="J7349" s="261"/>
      <c r="K7349" s="261"/>
      <c r="L7349" s="261"/>
      <c r="M7349" s="261"/>
    </row>
    <row r="7350" spans="5:13">
      <c r="E7350" s="261"/>
      <c r="F7350" s="261"/>
      <c r="G7350" s="261"/>
      <c r="H7350" s="261"/>
      <c r="I7350" s="261"/>
      <c r="J7350" s="261"/>
      <c r="K7350" s="261"/>
      <c r="L7350" s="261"/>
      <c r="M7350" s="261"/>
    </row>
    <row r="7351" spans="5:13">
      <c r="E7351" s="261"/>
      <c r="F7351" s="261"/>
      <c r="G7351" s="261"/>
      <c r="H7351" s="261"/>
      <c r="I7351" s="261"/>
      <c r="J7351" s="261"/>
      <c r="K7351" s="261"/>
      <c r="L7351" s="261"/>
      <c r="M7351" s="261"/>
    </row>
    <row r="7352" spans="5:13">
      <c r="E7352" s="261"/>
      <c r="F7352" s="261"/>
      <c r="G7352" s="261"/>
      <c r="H7352" s="261"/>
      <c r="I7352" s="261"/>
      <c r="J7352" s="261"/>
      <c r="K7352" s="261"/>
      <c r="L7352" s="261"/>
      <c r="M7352" s="261"/>
    </row>
    <row r="7353" spans="5:13">
      <c r="E7353" s="261"/>
      <c r="F7353" s="261"/>
      <c r="G7353" s="261"/>
      <c r="H7353" s="261"/>
      <c r="I7353" s="261"/>
      <c r="J7353" s="261"/>
      <c r="K7353" s="261"/>
      <c r="L7353" s="261"/>
      <c r="M7353" s="261"/>
    </row>
    <row r="7354" spans="5:13">
      <c r="E7354" s="261"/>
      <c r="F7354" s="261"/>
      <c r="G7354" s="261"/>
      <c r="H7354" s="261"/>
      <c r="I7354" s="261"/>
      <c r="J7354" s="261"/>
      <c r="K7354" s="261"/>
      <c r="L7354" s="261"/>
      <c r="M7354" s="261"/>
    </row>
    <row r="7355" spans="5:13">
      <c r="E7355" s="261"/>
      <c r="F7355" s="261"/>
      <c r="G7355" s="261"/>
      <c r="H7355" s="261"/>
      <c r="I7355" s="261"/>
      <c r="J7355" s="261"/>
      <c r="K7355" s="261"/>
      <c r="L7355" s="261"/>
      <c r="M7355" s="261"/>
    </row>
    <row r="7356" spans="5:13">
      <c r="E7356" s="261"/>
      <c r="F7356" s="261"/>
      <c r="G7356" s="261"/>
      <c r="H7356" s="261"/>
      <c r="I7356" s="261"/>
      <c r="J7356" s="261"/>
      <c r="K7356" s="261"/>
      <c r="L7356" s="261"/>
      <c r="M7356" s="261"/>
    </row>
    <row r="7357" spans="5:13">
      <c r="E7357" s="261"/>
      <c r="F7357" s="261"/>
      <c r="G7357" s="261"/>
      <c r="H7357" s="261"/>
      <c r="I7357" s="261"/>
      <c r="J7357" s="261"/>
      <c r="K7357" s="261"/>
      <c r="L7357" s="261"/>
      <c r="M7357" s="261"/>
    </row>
    <row r="7358" spans="5:13">
      <c r="E7358" s="261"/>
      <c r="F7358" s="261"/>
      <c r="G7358" s="261"/>
      <c r="H7358" s="261"/>
      <c r="I7358" s="261"/>
      <c r="J7358" s="261"/>
      <c r="K7358" s="261"/>
      <c r="L7358" s="261"/>
      <c r="M7358" s="261"/>
    </row>
    <row r="7359" spans="5:13">
      <c r="E7359" s="261"/>
      <c r="F7359" s="261"/>
      <c r="G7359" s="261"/>
      <c r="H7359" s="261"/>
      <c r="I7359" s="261"/>
      <c r="J7359" s="261"/>
      <c r="K7359" s="261"/>
      <c r="L7359" s="261"/>
      <c r="M7359" s="261"/>
    </row>
    <row r="7360" spans="5:13">
      <c r="E7360" s="261"/>
      <c r="F7360" s="261"/>
      <c r="G7360" s="261"/>
      <c r="H7360" s="261"/>
      <c r="I7360" s="261"/>
      <c r="J7360" s="261"/>
      <c r="K7360" s="261"/>
      <c r="L7360" s="261"/>
      <c r="M7360" s="261"/>
    </row>
    <row r="7361" spans="5:13">
      <c r="E7361" s="261"/>
      <c r="F7361" s="261"/>
      <c r="G7361" s="261"/>
      <c r="H7361" s="261"/>
      <c r="I7361" s="261"/>
      <c r="J7361" s="261"/>
      <c r="K7361" s="261"/>
      <c r="L7361" s="261"/>
      <c r="M7361" s="261"/>
    </row>
    <row r="7362" spans="5:13">
      <c r="E7362" s="261"/>
      <c r="F7362" s="261"/>
      <c r="G7362" s="261"/>
      <c r="H7362" s="261"/>
      <c r="I7362" s="261"/>
      <c r="J7362" s="261"/>
      <c r="K7362" s="261"/>
      <c r="L7362" s="261"/>
      <c r="M7362" s="261"/>
    </row>
    <row r="7363" spans="5:13">
      <c r="E7363" s="261"/>
      <c r="F7363" s="261"/>
      <c r="G7363" s="261"/>
      <c r="H7363" s="261"/>
      <c r="I7363" s="261"/>
      <c r="J7363" s="261"/>
      <c r="K7363" s="261"/>
      <c r="L7363" s="261"/>
      <c r="M7363" s="261"/>
    </row>
    <row r="7364" spans="5:13">
      <c r="E7364" s="261"/>
      <c r="F7364" s="261"/>
      <c r="G7364" s="261"/>
      <c r="H7364" s="261"/>
      <c r="I7364" s="261"/>
      <c r="J7364" s="261"/>
      <c r="K7364" s="261"/>
      <c r="L7364" s="261"/>
      <c r="M7364" s="261"/>
    </row>
    <row r="7365" spans="5:13">
      <c r="E7365" s="261"/>
      <c r="F7365" s="261"/>
      <c r="G7365" s="261"/>
      <c r="H7365" s="261"/>
      <c r="I7365" s="261"/>
      <c r="J7365" s="261"/>
      <c r="K7365" s="261"/>
      <c r="L7365" s="261"/>
      <c r="M7365" s="261"/>
    </row>
    <row r="7366" spans="5:13">
      <c r="E7366" s="261"/>
      <c r="F7366" s="261"/>
      <c r="G7366" s="261"/>
      <c r="H7366" s="261"/>
      <c r="I7366" s="261"/>
      <c r="J7366" s="261"/>
      <c r="K7366" s="261"/>
      <c r="L7366" s="261"/>
      <c r="M7366" s="261"/>
    </row>
    <row r="7367" spans="5:13">
      <c r="E7367" s="261"/>
      <c r="F7367" s="261"/>
      <c r="G7367" s="261"/>
      <c r="H7367" s="261"/>
      <c r="I7367" s="261"/>
      <c r="J7367" s="261"/>
      <c r="K7367" s="261"/>
      <c r="L7367" s="261"/>
      <c r="M7367" s="261"/>
    </row>
    <row r="7368" spans="5:13">
      <c r="E7368" s="261"/>
      <c r="F7368" s="261"/>
      <c r="G7368" s="261"/>
      <c r="H7368" s="261"/>
      <c r="I7368" s="261"/>
      <c r="J7368" s="261"/>
      <c r="K7368" s="261"/>
      <c r="L7368" s="261"/>
      <c r="M7368" s="261"/>
    </row>
    <row r="7369" spans="5:13">
      <c r="E7369" s="261"/>
      <c r="F7369" s="261"/>
      <c r="G7369" s="261"/>
      <c r="H7369" s="261"/>
      <c r="I7369" s="261"/>
      <c r="J7369" s="261"/>
      <c r="K7369" s="261"/>
      <c r="L7369" s="261"/>
      <c r="M7369" s="261"/>
    </row>
    <row r="7370" spans="5:13">
      <c r="E7370" s="261"/>
      <c r="F7370" s="261"/>
      <c r="G7370" s="261"/>
      <c r="H7370" s="261"/>
      <c r="I7370" s="261"/>
      <c r="J7370" s="261"/>
      <c r="K7370" s="261"/>
      <c r="L7370" s="261"/>
      <c r="M7370" s="261"/>
    </row>
    <row r="7371" spans="5:13">
      <c r="E7371" s="261"/>
      <c r="F7371" s="261"/>
      <c r="G7371" s="261"/>
      <c r="H7371" s="261"/>
      <c r="I7371" s="261"/>
      <c r="J7371" s="261"/>
      <c r="K7371" s="261"/>
      <c r="L7371" s="261"/>
      <c r="M7371" s="261"/>
    </row>
    <row r="7372" spans="5:13">
      <c r="E7372" s="261"/>
      <c r="F7372" s="261"/>
      <c r="G7372" s="261"/>
      <c r="H7372" s="261"/>
      <c r="I7372" s="261"/>
      <c r="J7372" s="261"/>
      <c r="K7372" s="261"/>
      <c r="L7372" s="261"/>
      <c r="M7372" s="261"/>
    </row>
    <row r="7373" spans="5:13">
      <c r="E7373" s="261"/>
      <c r="F7373" s="261"/>
      <c r="G7373" s="261"/>
      <c r="H7373" s="261"/>
      <c r="I7373" s="261"/>
      <c r="J7373" s="261"/>
      <c r="K7373" s="261"/>
      <c r="L7373" s="261"/>
      <c r="M7373" s="261"/>
    </row>
    <row r="7374" spans="5:13">
      <c r="E7374" s="261"/>
      <c r="F7374" s="261"/>
      <c r="G7374" s="261"/>
      <c r="H7374" s="261"/>
      <c r="I7374" s="261"/>
      <c r="J7374" s="261"/>
      <c r="K7374" s="261"/>
      <c r="L7374" s="261"/>
      <c r="M7374" s="261"/>
    </row>
    <row r="7375" spans="5:13">
      <c r="E7375" s="261"/>
      <c r="F7375" s="261"/>
      <c r="G7375" s="261"/>
      <c r="H7375" s="261"/>
      <c r="I7375" s="261"/>
      <c r="J7375" s="261"/>
      <c r="K7375" s="261"/>
      <c r="L7375" s="261"/>
      <c r="M7375" s="261"/>
    </row>
    <row r="7376" spans="5:13">
      <c r="E7376" s="261"/>
      <c r="F7376" s="261"/>
      <c r="G7376" s="261"/>
      <c r="H7376" s="261"/>
      <c r="I7376" s="261"/>
      <c r="J7376" s="261"/>
      <c r="K7376" s="261"/>
      <c r="L7376" s="261"/>
      <c r="M7376" s="261"/>
    </row>
    <row r="7377" spans="5:13">
      <c r="E7377" s="261"/>
      <c r="F7377" s="261"/>
      <c r="G7377" s="261"/>
      <c r="H7377" s="261"/>
      <c r="I7377" s="261"/>
      <c r="J7377" s="261"/>
      <c r="K7377" s="261"/>
      <c r="L7377" s="261"/>
      <c r="M7377" s="261"/>
    </row>
    <row r="7378" spans="5:13">
      <c r="E7378" s="261"/>
      <c r="F7378" s="261"/>
      <c r="G7378" s="261"/>
      <c r="H7378" s="261"/>
      <c r="I7378" s="261"/>
      <c r="J7378" s="261"/>
      <c r="K7378" s="261"/>
      <c r="L7378" s="261"/>
      <c r="M7378" s="261"/>
    </row>
    <row r="7379" spans="5:13">
      <c r="E7379" s="261"/>
      <c r="F7379" s="261"/>
      <c r="G7379" s="261"/>
      <c r="H7379" s="261"/>
      <c r="I7379" s="261"/>
      <c r="J7379" s="261"/>
      <c r="K7379" s="261"/>
      <c r="L7379" s="261"/>
      <c r="M7379" s="261"/>
    </row>
    <row r="7380" spans="5:13">
      <c r="E7380" s="261"/>
      <c r="F7380" s="261"/>
      <c r="G7380" s="261"/>
      <c r="H7380" s="261"/>
      <c r="I7380" s="261"/>
      <c r="J7380" s="261"/>
      <c r="K7380" s="261"/>
      <c r="L7380" s="261"/>
      <c r="M7380" s="261"/>
    </row>
    <row r="7381" spans="5:13">
      <c r="E7381" s="261"/>
      <c r="F7381" s="261"/>
      <c r="G7381" s="261"/>
      <c r="H7381" s="261"/>
      <c r="I7381" s="261"/>
      <c r="J7381" s="261"/>
      <c r="K7381" s="261"/>
      <c r="L7381" s="261"/>
      <c r="M7381" s="261"/>
    </row>
    <row r="7382" spans="5:13">
      <c r="E7382" s="261"/>
      <c r="F7382" s="261"/>
      <c r="G7382" s="261"/>
      <c r="H7382" s="261"/>
      <c r="I7382" s="261"/>
      <c r="J7382" s="261"/>
      <c r="K7382" s="261"/>
      <c r="L7382" s="261"/>
      <c r="M7382" s="261"/>
    </row>
    <row r="7383" spans="5:13">
      <c r="E7383" s="261"/>
      <c r="F7383" s="261"/>
      <c r="G7383" s="261"/>
      <c r="H7383" s="261"/>
      <c r="I7383" s="261"/>
      <c r="J7383" s="261"/>
      <c r="K7383" s="261"/>
      <c r="L7383" s="261"/>
      <c r="M7383" s="261"/>
    </row>
    <row r="7384" spans="5:13">
      <c r="E7384" s="261"/>
      <c r="F7384" s="261"/>
      <c r="G7384" s="261"/>
      <c r="H7384" s="261"/>
      <c r="I7384" s="261"/>
      <c r="J7384" s="261"/>
      <c r="K7384" s="261"/>
      <c r="L7384" s="261"/>
      <c r="M7384" s="261"/>
    </row>
    <row r="7385" spans="5:13">
      <c r="E7385" s="261"/>
      <c r="F7385" s="261"/>
      <c r="G7385" s="261"/>
      <c r="H7385" s="261"/>
      <c r="I7385" s="261"/>
      <c r="J7385" s="261"/>
      <c r="K7385" s="261"/>
      <c r="L7385" s="261"/>
      <c r="M7385" s="261"/>
    </row>
    <row r="7386" spans="5:13">
      <c r="E7386" s="261"/>
      <c r="F7386" s="261"/>
      <c r="G7386" s="261"/>
      <c r="H7386" s="261"/>
      <c r="I7386" s="261"/>
      <c r="J7386" s="261"/>
      <c r="K7386" s="261"/>
      <c r="L7386" s="261"/>
      <c r="M7386" s="261"/>
    </row>
    <row r="7387" spans="5:13">
      <c r="E7387" s="261"/>
      <c r="F7387" s="261"/>
      <c r="G7387" s="261"/>
      <c r="H7387" s="261"/>
      <c r="I7387" s="261"/>
      <c r="J7387" s="261"/>
      <c r="K7387" s="261"/>
      <c r="L7387" s="261"/>
      <c r="M7387" s="261"/>
    </row>
    <row r="7388" spans="5:13">
      <c r="E7388" s="261"/>
      <c r="F7388" s="261"/>
      <c r="G7388" s="261"/>
      <c r="H7388" s="261"/>
      <c r="I7388" s="261"/>
      <c r="J7388" s="261"/>
      <c r="K7388" s="261"/>
      <c r="L7388" s="261"/>
      <c r="M7388" s="261"/>
    </row>
    <row r="7389" spans="5:13">
      <c r="E7389" s="261"/>
      <c r="F7389" s="261"/>
      <c r="G7389" s="261"/>
      <c r="H7389" s="261"/>
      <c r="I7389" s="261"/>
      <c r="J7389" s="261"/>
      <c r="K7389" s="261"/>
      <c r="L7389" s="261"/>
      <c r="M7389" s="261"/>
    </row>
    <row r="7390" spans="5:13">
      <c r="E7390" s="261"/>
      <c r="F7390" s="261"/>
      <c r="G7390" s="261"/>
      <c r="H7390" s="261"/>
      <c r="I7390" s="261"/>
      <c r="J7390" s="261"/>
      <c r="K7390" s="261"/>
      <c r="L7390" s="261"/>
      <c r="M7390" s="261"/>
    </row>
    <row r="7391" spans="5:13">
      <c r="E7391" s="261"/>
      <c r="F7391" s="261"/>
      <c r="G7391" s="261"/>
      <c r="H7391" s="261"/>
      <c r="I7391" s="261"/>
      <c r="J7391" s="261"/>
      <c r="K7391" s="261"/>
      <c r="L7391" s="261"/>
      <c r="M7391" s="261"/>
    </row>
    <row r="7392" spans="5:13">
      <c r="E7392" s="261"/>
      <c r="F7392" s="261"/>
      <c r="G7392" s="261"/>
      <c r="H7392" s="261"/>
      <c r="I7392" s="261"/>
      <c r="J7392" s="261"/>
      <c r="K7392" s="261"/>
      <c r="L7392" s="261"/>
      <c r="M7392" s="261"/>
    </row>
    <row r="7393" spans="5:13">
      <c r="E7393" s="261"/>
      <c r="F7393" s="261"/>
      <c r="G7393" s="261"/>
      <c r="H7393" s="261"/>
      <c r="I7393" s="261"/>
      <c r="J7393" s="261"/>
      <c r="K7393" s="261"/>
      <c r="L7393" s="261"/>
      <c r="M7393" s="261"/>
    </row>
    <row r="7394" spans="5:13">
      <c r="E7394" s="261"/>
      <c r="F7394" s="261"/>
      <c r="G7394" s="261"/>
      <c r="H7394" s="261"/>
      <c r="I7394" s="261"/>
      <c r="J7394" s="261"/>
      <c r="K7394" s="261"/>
      <c r="L7394" s="261"/>
      <c r="M7394" s="261"/>
    </row>
    <row r="7395" spans="5:13">
      <c r="E7395" s="261"/>
      <c r="F7395" s="261"/>
      <c r="G7395" s="261"/>
      <c r="H7395" s="261"/>
      <c r="I7395" s="261"/>
      <c r="J7395" s="261"/>
      <c r="K7395" s="261"/>
      <c r="L7395" s="261"/>
      <c r="M7395" s="261"/>
    </row>
    <row r="7396" spans="5:13">
      <c r="E7396" s="261"/>
      <c r="F7396" s="261"/>
      <c r="G7396" s="261"/>
      <c r="H7396" s="261"/>
      <c r="I7396" s="261"/>
      <c r="J7396" s="261"/>
      <c r="K7396" s="261"/>
      <c r="L7396" s="261"/>
      <c r="M7396" s="261"/>
    </row>
    <row r="7397" spans="5:13">
      <c r="E7397" s="261"/>
      <c r="F7397" s="261"/>
      <c r="G7397" s="261"/>
      <c r="H7397" s="261"/>
      <c r="I7397" s="261"/>
      <c r="J7397" s="261"/>
      <c r="K7397" s="261"/>
      <c r="L7397" s="261"/>
      <c r="M7397" s="261"/>
    </row>
    <row r="7398" spans="5:13">
      <c r="E7398" s="261"/>
      <c r="F7398" s="261"/>
      <c r="G7398" s="261"/>
      <c r="H7398" s="261"/>
      <c r="I7398" s="261"/>
      <c r="J7398" s="261"/>
      <c r="K7398" s="261"/>
      <c r="L7398" s="261"/>
      <c r="M7398" s="261"/>
    </row>
    <row r="7399" spans="5:13">
      <c r="E7399" s="261"/>
      <c r="F7399" s="261"/>
      <c r="G7399" s="261"/>
      <c r="H7399" s="261"/>
      <c r="I7399" s="261"/>
      <c r="J7399" s="261"/>
      <c r="K7399" s="261"/>
      <c r="L7399" s="261"/>
      <c r="M7399" s="261"/>
    </row>
    <row r="7400" spans="5:13">
      <c r="E7400" s="261"/>
      <c r="F7400" s="261"/>
      <c r="G7400" s="261"/>
      <c r="H7400" s="261"/>
      <c r="I7400" s="261"/>
      <c r="J7400" s="261"/>
      <c r="K7400" s="261"/>
      <c r="L7400" s="261"/>
      <c r="M7400" s="261"/>
    </row>
    <row r="7401" spans="5:13">
      <c r="E7401" s="261"/>
      <c r="F7401" s="261"/>
      <c r="G7401" s="261"/>
      <c r="H7401" s="261"/>
      <c r="I7401" s="261"/>
      <c r="J7401" s="261"/>
      <c r="K7401" s="261"/>
      <c r="L7401" s="261"/>
      <c r="M7401" s="261"/>
    </row>
    <row r="7402" spans="5:13">
      <c r="E7402" s="261"/>
      <c r="F7402" s="261"/>
      <c r="G7402" s="261"/>
      <c r="H7402" s="261"/>
      <c r="I7402" s="261"/>
      <c r="J7402" s="261"/>
      <c r="K7402" s="261"/>
      <c r="L7402" s="261"/>
      <c r="M7402" s="261"/>
    </row>
    <row r="7403" spans="5:13">
      <c r="E7403" s="261"/>
      <c r="F7403" s="261"/>
      <c r="G7403" s="261"/>
      <c r="H7403" s="261"/>
      <c r="I7403" s="261"/>
      <c r="J7403" s="261"/>
      <c r="K7403" s="261"/>
      <c r="L7403" s="261"/>
      <c r="M7403" s="261"/>
    </row>
    <row r="7404" spans="5:13">
      <c r="E7404" s="261"/>
      <c r="F7404" s="261"/>
      <c r="G7404" s="261"/>
      <c r="H7404" s="261"/>
      <c r="I7404" s="261"/>
      <c r="J7404" s="261"/>
      <c r="K7404" s="261"/>
      <c r="L7404" s="261"/>
      <c r="M7404" s="261"/>
    </row>
    <row r="7405" spans="5:13">
      <c r="E7405" s="261"/>
      <c r="F7405" s="261"/>
      <c r="G7405" s="261"/>
      <c r="H7405" s="261"/>
      <c r="I7405" s="261"/>
      <c r="J7405" s="261"/>
      <c r="K7405" s="261"/>
      <c r="L7405" s="261"/>
      <c r="M7405" s="261"/>
    </row>
    <row r="7406" spans="5:13">
      <c r="E7406" s="261"/>
      <c r="F7406" s="261"/>
      <c r="G7406" s="261"/>
      <c r="H7406" s="261"/>
      <c r="I7406" s="261"/>
      <c r="J7406" s="261"/>
      <c r="K7406" s="261"/>
      <c r="L7406" s="261"/>
      <c r="M7406" s="261"/>
    </row>
    <row r="7407" spans="5:13">
      <c r="E7407" s="261"/>
      <c r="F7407" s="261"/>
      <c r="G7407" s="261"/>
      <c r="H7407" s="261"/>
      <c r="I7407" s="261"/>
      <c r="J7407" s="261"/>
      <c r="K7407" s="261"/>
      <c r="L7407" s="261"/>
      <c r="M7407" s="261"/>
    </row>
    <row r="7408" spans="5:13">
      <c r="E7408" s="261"/>
      <c r="F7408" s="261"/>
      <c r="G7408" s="261"/>
      <c r="H7408" s="261"/>
      <c r="I7408" s="261"/>
      <c r="J7408" s="261"/>
      <c r="K7408" s="261"/>
      <c r="L7408" s="261"/>
      <c r="M7408" s="261"/>
    </row>
    <row r="7409" spans="5:13">
      <c r="E7409" s="261"/>
      <c r="F7409" s="261"/>
      <c r="G7409" s="261"/>
      <c r="H7409" s="261"/>
      <c r="I7409" s="261"/>
      <c r="J7409" s="261"/>
      <c r="K7409" s="261"/>
      <c r="L7409" s="261"/>
      <c r="M7409" s="261"/>
    </row>
    <row r="7410" spans="5:13">
      <c r="E7410" s="261"/>
      <c r="F7410" s="261"/>
      <c r="G7410" s="261"/>
      <c r="H7410" s="261"/>
      <c r="I7410" s="261"/>
      <c r="J7410" s="261"/>
      <c r="K7410" s="261"/>
      <c r="L7410" s="261"/>
      <c r="M7410" s="261"/>
    </row>
    <row r="7411" spans="5:13">
      <c r="E7411" s="261"/>
      <c r="F7411" s="261"/>
      <c r="G7411" s="261"/>
      <c r="H7411" s="261"/>
      <c r="I7411" s="261"/>
      <c r="J7411" s="261"/>
      <c r="K7411" s="261"/>
      <c r="L7411" s="261"/>
      <c r="M7411" s="261"/>
    </row>
    <row r="7412" spans="5:13">
      <c r="E7412" s="261"/>
      <c r="F7412" s="261"/>
      <c r="G7412" s="261"/>
      <c r="H7412" s="261"/>
      <c r="I7412" s="261"/>
      <c r="J7412" s="261"/>
      <c r="K7412" s="261"/>
      <c r="L7412" s="261"/>
      <c r="M7412" s="261"/>
    </row>
    <row r="7413" spans="5:13">
      <c r="E7413" s="261"/>
      <c r="F7413" s="261"/>
      <c r="G7413" s="261"/>
      <c r="H7413" s="261"/>
      <c r="I7413" s="261"/>
      <c r="J7413" s="261"/>
      <c r="K7413" s="261"/>
      <c r="L7413" s="261"/>
      <c r="M7413" s="261"/>
    </row>
    <row r="7414" spans="5:13">
      <c r="E7414" s="261"/>
      <c r="F7414" s="261"/>
      <c r="G7414" s="261"/>
      <c r="H7414" s="261"/>
      <c r="I7414" s="261"/>
      <c r="J7414" s="261"/>
      <c r="K7414" s="261"/>
      <c r="L7414" s="261"/>
      <c r="M7414" s="261"/>
    </row>
    <row r="7415" spans="5:13">
      <c r="E7415" s="261"/>
      <c r="F7415" s="261"/>
      <c r="G7415" s="261"/>
      <c r="H7415" s="261"/>
      <c r="I7415" s="261"/>
      <c r="J7415" s="261"/>
      <c r="K7415" s="261"/>
      <c r="L7415" s="261"/>
      <c r="M7415" s="261"/>
    </row>
    <row r="7416" spans="5:13">
      <c r="E7416" s="261"/>
      <c r="F7416" s="261"/>
      <c r="G7416" s="261"/>
      <c r="H7416" s="261"/>
      <c r="I7416" s="261"/>
      <c r="J7416" s="261"/>
      <c r="K7416" s="261"/>
      <c r="L7416" s="261"/>
      <c r="M7416" s="261"/>
    </row>
    <row r="7417" spans="5:13">
      <c r="E7417" s="261"/>
      <c r="F7417" s="261"/>
      <c r="G7417" s="261"/>
      <c r="H7417" s="261"/>
      <c r="I7417" s="261"/>
      <c r="J7417" s="261"/>
      <c r="K7417" s="261"/>
      <c r="L7417" s="261"/>
      <c r="M7417" s="261"/>
    </row>
    <row r="7418" spans="5:13">
      <c r="E7418" s="261"/>
      <c r="F7418" s="261"/>
      <c r="G7418" s="261"/>
      <c r="H7418" s="261"/>
      <c r="I7418" s="261"/>
      <c r="J7418" s="261"/>
      <c r="K7418" s="261"/>
      <c r="L7418" s="261"/>
      <c r="M7418" s="261"/>
    </row>
    <row r="7419" spans="5:13">
      <c r="E7419" s="261"/>
      <c r="F7419" s="261"/>
      <c r="G7419" s="261"/>
      <c r="H7419" s="261"/>
      <c r="I7419" s="261"/>
      <c r="J7419" s="261"/>
      <c r="K7419" s="261"/>
      <c r="L7419" s="261"/>
      <c r="M7419" s="261"/>
    </row>
    <row r="7420" spans="5:13">
      <c r="E7420" s="261"/>
      <c r="F7420" s="261"/>
      <c r="G7420" s="261"/>
      <c r="H7420" s="261"/>
      <c r="I7420" s="261"/>
      <c r="J7420" s="261"/>
      <c r="K7420" s="261"/>
      <c r="L7420" s="261"/>
      <c r="M7420" s="261"/>
    </row>
    <row r="7421" spans="5:13">
      <c r="E7421" s="261"/>
      <c r="F7421" s="261"/>
      <c r="G7421" s="261"/>
      <c r="H7421" s="261"/>
      <c r="I7421" s="261"/>
      <c r="J7421" s="261"/>
      <c r="K7421" s="261"/>
      <c r="L7421" s="261"/>
      <c r="M7421" s="261"/>
    </row>
    <row r="7422" spans="5:13">
      <c r="E7422" s="261"/>
      <c r="F7422" s="261"/>
      <c r="G7422" s="261"/>
      <c r="H7422" s="261"/>
      <c r="I7422" s="261"/>
      <c r="J7422" s="261"/>
      <c r="K7422" s="261"/>
      <c r="L7422" s="261"/>
      <c r="M7422" s="261"/>
    </row>
    <row r="7423" spans="5:13">
      <c r="E7423" s="261"/>
      <c r="F7423" s="261"/>
      <c r="G7423" s="261"/>
      <c r="H7423" s="261"/>
      <c r="I7423" s="261"/>
      <c r="J7423" s="261"/>
      <c r="K7423" s="261"/>
      <c r="L7423" s="261"/>
      <c r="M7423" s="261"/>
    </row>
    <row r="7424" spans="5:13">
      <c r="E7424" s="261"/>
      <c r="F7424" s="261"/>
      <c r="G7424" s="261"/>
      <c r="H7424" s="261"/>
      <c r="I7424" s="261"/>
      <c r="J7424" s="261"/>
      <c r="K7424" s="261"/>
      <c r="L7424" s="261"/>
      <c r="M7424" s="261"/>
    </row>
    <row r="7425" spans="5:13">
      <c r="E7425" s="261"/>
      <c r="F7425" s="261"/>
      <c r="G7425" s="261"/>
      <c r="H7425" s="261"/>
      <c r="I7425" s="261"/>
      <c r="J7425" s="261"/>
      <c r="K7425" s="261"/>
      <c r="L7425" s="261"/>
      <c r="M7425" s="261"/>
    </row>
    <row r="7426" spans="5:13">
      <c r="E7426" s="261"/>
      <c r="F7426" s="261"/>
      <c r="G7426" s="261"/>
      <c r="H7426" s="261"/>
      <c r="I7426" s="261"/>
      <c r="J7426" s="261"/>
      <c r="K7426" s="261"/>
      <c r="L7426" s="261"/>
      <c r="M7426" s="261"/>
    </row>
    <row r="7427" spans="5:13">
      <c r="E7427" s="261"/>
      <c r="F7427" s="261"/>
      <c r="G7427" s="261"/>
      <c r="H7427" s="261"/>
      <c r="I7427" s="261"/>
      <c r="J7427" s="261"/>
      <c r="K7427" s="261"/>
      <c r="L7427" s="261"/>
      <c r="M7427" s="261"/>
    </row>
    <row r="7428" spans="5:13">
      <c r="E7428" s="261"/>
      <c r="F7428" s="261"/>
      <c r="G7428" s="261"/>
      <c r="H7428" s="261"/>
      <c r="I7428" s="261"/>
      <c r="J7428" s="261"/>
      <c r="K7428" s="261"/>
      <c r="L7428" s="261"/>
      <c r="M7428" s="261"/>
    </row>
    <row r="7429" spans="5:13">
      <c r="E7429" s="261"/>
      <c r="F7429" s="261"/>
      <c r="G7429" s="261"/>
      <c r="H7429" s="261"/>
      <c r="I7429" s="261"/>
      <c r="J7429" s="261"/>
      <c r="K7429" s="261"/>
      <c r="L7429" s="261"/>
      <c r="M7429" s="261"/>
    </row>
    <row r="7430" spans="5:13">
      <c r="E7430" s="261"/>
      <c r="F7430" s="261"/>
      <c r="G7430" s="261"/>
      <c r="H7430" s="261"/>
      <c r="I7430" s="261"/>
      <c r="J7430" s="261"/>
      <c r="K7430" s="261"/>
      <c r="L7430" s="261"/>
      <c r="M7430" s="261"/>
    </row>
    <row r="7431" spans="5:13">
      <c r="E7431" s="261"/>
      <c r="F7431" s="261"/>
      <c r="G7431" s="261"/>
      <c r="H7431" s="261"/>
      <c r="I7431" s="261"/>
      <c r="J7431" s="261"/>
      <c r="K7431" s="261"/>
      <c r="L7431" s="261"/>
      <c r="M7431" s="261"/>
    </row>
    <row r="7432" spans="5:13">
      <c r="E7432" s="261"/>
      <c r="F7432" s="261"/>
      <c r="G7432" s="261"/>
      <c r="H7432" s="261"/>
      <c r="I7432" s="261"/>
      <c r="J7432" s="261"/>
      <c r="K7432" s="261"/>
      <c r="L7432" s="261"/>
      <c r="M7432" s="261"/>
    </row>
    <row r="7433" spans="5:13">
      <c r="E7433" s="261"/>
      <c r="F7433" s="261"/>
      <c r="G7433" s="261"/>
      <c r="H7433" s="261"/>
      <c r="I7433" s="261"/>
      <c r="J7433" s="261"/>
      <c r="K7433" s="261"/>
      <c r="L7433" s="261"/>
      <c r="M7433" s="261"/>
    </row>
    <row r="7434" spans="5:13">
      <c r="E7434" s="261"/>
      <c r="F7434" s="261"/>
      <c r="G7434" s="261"/>
      <c r="H7434" s="261"/>
      <c r="I7434" s="261"/>
      <c r="J7434" s="261"/>
      <c r="K7434" s="261"/>
      <c r="L7434" s="261"/>
      <c r="M7434" s="261"/>
    </row>
    <row r="7435" spans="5:13">
      <c r="E7435" s="261"/>
      <c r="F7435" s="261"/>
      <c r="G7435" s="261"/>
      <c r="H7435" s="261"/>
      <c r="I7435" s="261"/>
      <c r="J7435" s="261"/>
      <c r="K7435" s="261"/>
      <c r="L7435" s="261"/>
      <c r="M7435" s="261"/>
    </row>
    <row r="7436" spans="5:13">
      <c r="E7436" s="261"/>
      <c r="F7436" s="261"/>
      <c r="G7436" s="261"/>
      <c r="H7436" s="261"/>
      <c r="I7436" s="261"/>
      <c r="J7436" s="261"/>
      <c r="K7436" s="261"/>
      <c r="L7436" s="261"/>
      <c r="M7436" s="261"/>
    </row>
    <row r="7437" spans="5:13">
      <c r="E7437" s="261"/>
      <c r="F7437" s="261"/>
      <c r="G7437" s="261"/>
      <c r="H7437" s="261"/>
      <c r="I7437" s="261"/>
      <c r="J7437" s="261"/>
      <c r="K7437" s="261"/>
      <c r="L7437" s="261"/>
      <c r="M7437" s="261"/>
    </row>
    <row r="7438" spans="5:13">
      <c r="E7438" s="261"/>
      <c r="F7438" s="261"/>
      <c r="G7438" s="261"/>
      <c r="H7438" s="261"/>
      <c r="I7438" s="261"/>
      <c r="J7438" s="261"/>
      <c r="K7438" s="261"/>
      <c r="L7438" s="261"/>
      <c r="M7438" s="261"/>
    </row>
    <row r="7439" spans="5:13">
      <c r="E7439" s="261"/>
      <c r="F7439" s="261"/>
      <c r="G7439" s="261"/>
      <c r="H7439" s="261"/>
      <c r="I7439" s="261"/>
      <c r="J7439" s="261"/>
      <c r="K7439" s="261"/>
      <c r="L7439" s="261"/>
      <c r="M7439" s="261"/>
    </row>
    <row r="7440" spans="5:13">
      <c r="E7440" s="261"/>
      <c r="F7440" s="261"/>
      <c r="G7440" s="261"/>
      <c r="H7440" s="261"/>
      <c r="I7440" s="261"/>
      <c r="J7440" s="261"/>
      <c r="K7440" s="261"/>
      <c r="L7440" s="261"/>
      <c r="M7440" s="261"/>
    </row>
    <row r="7441" spans="5:13">
      <c r="E7441" s="261"/>
      <c r="F7441" s="261"/>
      <c r="G7441" s="261"/>
      <c r="H7441" s="261"/>
      <c r="I7441" s="261"/>
      <c r="J7441" s="261"/>
      <c r="K7441" s="261"/>
      <c r="L7441" s="261"/>
      <c r="M7441" s="261"/>
    </row>
    <row r="7442" spans="5:13">
      <c r="E7442" s="261"/>
      <c r="F7442" s="261"/>
      <c r="G7442" s="261"/>
      <c r="H7442" s="261"/>
      <c r="I7442" s="261"/>
      <c r="J7442" s="261"/>
      <c r="K7442" s="261"/>
      <c r="L7442" s="261"/>
      <c r="M7442" s="261"/>
    </row>
    <row r="7443" spans="5:13">
      <c r="E7443" s="261"/>
      <c r="F7443" s="261"/>
      <c r="G7443" s="261"/>
      <c r="H7443" s="261"/>
      <c r="I7443" s="261"/>
      <c r="J7443" s="261"/>
      <c r="K7443" s="261"/>
      <c r="L7443" s="261"/>
      <c r="M7443" s="261"/>
    </row>
    <row r="7444" spans="5:13">
      <c r="E7444" s="261"/>
      <c r="F7444" s="261"/>
      <c r="G7444" s="261"/>
      <c r="H7444" s="261"/>
      <c r="I7444" s="261"/>
      <c r="J7444" s="261"/>
      <c r="K7444" s="261"/>
      <c r="L7444" s="261"/>
      <c r="M7444" s="261"/>
    </row>
    <row r="7445" spans="5:13">
      <c r="E7445" s="261"/>
      <c r="F7445" s="261"/>
      <c r="G7445" s="261"/>
      <c r="H7445" s="261"/>
      <c r="I7445" s="261"/>
      <c r="J7445" s="261"/>
      <c r="K7445" s="261"/>
      <c r="L7445" s="261"/>
      <c r="M7445" s="261"/>
    </row>
    <row r="7446" spans="5:13">
      <c r="E7446" s="261"/>
      <c r="F7446" s="261"/>
      <c r="G7446" s="261"/>
      <c r="H7446" s="261"/>
      <c r="I7446" s="261"/>
      <c r="J7446" s="261"/>
      <c r="K7446" s="261"/>
      <c r="L7446" s="261"/>
      <c r="M7446" s="261"/>
    </row>
    <row r="7447" spans="5:13">
      <c r="E7447" s="261"/>
      <c r="F7447" s="261"/>
      <c r="G7447" s="261"/>
      <c r="H7447" s="261"/>
      <c r="I7447" s="261"/>
      <c r="J7447" s="261"/>
      <c r="K7447" s="261"/>
      <c r="L7447" s="261"/>
      <c r="M7447" s="261"/>
    </row>
    <row r="7448" spans="5:13">
      <c r="E7448" s="261"/>
      <c r="F7448" s="261"/>
      <c r="G7448" s="261"/>
      <c r="H7448" s="261"/>
      <c r="I7448" s="261"/>
      <c r="J7448" s="261"/>
      <c r="K7448" s="261"/>
      <c r="L7448" s="261"/>
      <c r="M7448" s="261"/>
    </row>
    <row r="7449" spans="5:13">
      <c r="E7449" s="261"/>
      <c r="F7449" s="261"/>
      <c r="G7449" s="261"/>
      <c r="H7449" s="261"/>
      <c r="I7449" s="261"/>
      <c r="J7449" s="261"/>
      <c r="K7449" s="261"/>
      <c r="L7449" s="261"/>
      <c r="M7449" s="261"/>
    </row>
    <row r="7450" spans="5:13">
      <c r="E7450" s="261"/>
      <c r="F7450" s="261"/>
      <c r="G7450" s="261"/>
      <c r="H7450" s="261"/>
      <c r="I7450" s="261"/>
      <c r="J7450" s="261"/>
      <c r="K7450" s="261"/>
      <c r="L7450" s="261"/>
      <c r="M7450" s="261"/>
    </row>
    <row r="7451" spans="5:13">
      <c r="E7451" s="261"/>
      <c r="F7451" s="261"/>
      <c r="G7451" s="261"/>
      <c r="H7451" s="261"/>
      <c r="I7451" s="261"/>
      <c r="J7451" s="261"/>
      <c r="K7451" s="261"/>
      <c r="L7451" s="261"/>
      <c r="M7451" s="261"/>
    </row>
    <row r="7452" spans="5:13">
      <c r="E7452" s="261"/>
      <c r="F7452" s="261"/>
      <c r="G7452" s="261"/>
      <c r="H7452" s="261"/>
      <c r="I7452" s="261"/>
      <c r="J7452" s="261"/>
      <c r="K7452" s="261"/>
      <c r="L7452" s="261"/>
      <c r="M7452" s="261"/>
    </row>
    <row r="7453" spans="5:13">
      <c r="E7453" s="261"/>
      <c r="F7453" s="261"/>
      <c r="G7453" s="261"/>
      <c r="H7453" s="261"/>
      <c r="I7453" s="261"/>
      <c r="J7453" s="261"/>
      <c r="K7453" s="261"/>
      <c r="L7453" s="261"/>
      <c r="M7453" s="261"/>
    </row>
    <row r="7454" spans="5:13">
      <c r="E7454" s="261"/>
      <c r="F7454" s="261"/>
      <c r="G7454" s="261"/>
      <c r="H7454" s="261"/>
      <c r="I7454" s="261"/>
      <c r="J7454" s="261"/>
      <c r="K7454" s="261"/>
      <c r="L7454" s="261"/>
      <c r="M7454" s="261"/>
    </row>
    <row r="7455" spans="5:13">
      <c r="E7455" s="261"/>
      <c r="F7455" s="261"/>
      <c r="G7455" s="261"/>
      <c r="H7455" s="261"/>
      <c r="I7455" s="261"/>
      <c r="J7455" s="261"/>
      <c r="K7455" s="261"/>
      <c r="L7455" s="261"/>
      <c r="M7455" s="261"/>
    </row>
    <row r="7456" spans="5:13">
      <c r="E7456" s="261"/>
      <c r="F7456" s="261"/>
      <c r="G7456" s="261"/>
      <c r="H7456" s="261"/>
      <c r="I7456" s="261"/>
      <c r="J7456" s="261"/>
      <c r="K7456" s="261"/>
      <c r="L7456" s="261"/>
      <c r="M7456" s="261"/>
    </row>
    <row r="7457" spans="5:13">
      <c r="E7457" s="261"/>
      <c r="F7457" s="261"/>
      <c r="G7457" s="261"/>
      <c r="H7457" s="261"/>
      <c r="I7457" s="261"/>
      <c r="J7457" s="261"/>
      <c r="K7457" s="261"/>
      <c r="L7457" s="261"/>
      <c r="M7457" s="261"/>
    </row>
    <row r="7458" spans="5:13">
      <c r="E7458" s="261"/>
      <c r="F7458" s="261"/>
      <c r="G7458" s="261"/>
      <c r="H7458" s="261"/>
      <c r="I7458" s="261"/>
      <c r="J7458" s="261"/>
      <c r="K7458" s="261"/>
      <c r="L7458" s="261"/>
      <c r="M7458" s="261"/>
    </row>
    <row r="7459" spans="5:13">
      <c r="E7459" s="261"/>
      <c r="F7459" s="261"/>
      <c r="G7459" s="261"/>
      <c r="H7459" s="261"/>
      <c r="I7459" s="261"/>
      <c r="J7459" s="261"/>
      <c r="K7459" s="261"/>
      <c r="L7459" s="261"/>
      <c r="M7459" s="261"/>
    </row>
    <row r="7460" spans="5:13">
      <c r="E7460" s="261"/>
      <c r="F7460" s="261"/>
      <c r="G7460" s="261"/>
      <c r="H7460" s="261"/>
      <c r="I7460" s="261"/>
      <c r="J7460" s="261"/>
      <c r="K7460" s="261"/>
      <c r="L7460" s="261"/>
      <c r="M7460" s="261"/>
    </row>
    <row r="7461" spans="5:13">
      <c r="E7461" s="261"/>
      <c r="F7461" s="261"/>
      <c r="G7461" s="261"/>
      <c r="H7461" s="261"/>
      <c r="I7461" s="261"/>
      <c r="J7461" s="261"/>
      <c r="K7461" s="261"/>
      <c r="L7461" s="261"/>
      <c r="M7461" s="261"/>
    </row>
    <row r="7462" spans="5:13">
      <c r="E7462" s="261"/>
      <c r="F7462" s="261"/>
      <c r="G7462" s="261"/>
      <c r="H7462" s="261"/>
      <c r="I7462" s="261"/>
      <c r="J7462" s="261"/>
      <c r="K7462" s="261"/>
      <c r="L7462" s="261"/>
      <c r="M7462" s="261"/>
    </row>
    <row r="7463" spans="5:13">
      <c r="E7463" s="261"/>
      <c r="F7463" s="261"/>
      <c r="G7463" s="261"/>
      <c r="H7463" s="261"/>
      <c r="I7463" s="261"/>
      <c r="J7463" s="261"/>
      <c r="K7463" s="261"/>
      <c r="L7463" s="261"/>
      <c r="M7463" s="261"/>
    </row>
    <row r="7464" spans="5:13">
      <c r="E7464" s="261"/>
      <c r="F7464" s="261"/>
      <c r="G7464" s="261"/>
      <c r="H7464" s="261"/>
      <c r="I7464" s="261"/>
      <c r="J7464" s="261"/>
      <c r="K7464" s="261"/>
      <c r="L7464" s="261"/>
      <c r="M7464" s="261"/>
    </row>
    <row r="7465" spans="5:13">
      <c r="E7465" s="261"/>
      <c r="F7465" s="261"/>
      <c r="G7465" s="261"/>
      <c r="H7465" s="261"/>
      <c r="I7465" s="261"/>
      <c r="J7465" s="261"/>
      <c r="K7465" s="261"/>
      <c r="L7465" s="261"/>
      <c r="M7465" s="261"/>
    </row>
    <row r="7466" spans="5:13">
      <c r="E7466" s="261"/>
      <c r="F7466" s="261"/>
      <c r="G7466" s="261"/>
      <c r="H7466" s="261"/>
      <c r="I7466" s="261"/>
      <c r="J7466" s="261"/>
      <c r="K7466" s="261"/>
      <c r="L7466" s="261"/>
      <c r="M7466" s="261"/>
    </row>
    <row r="7467" spans="5:13">
      <c r="E7467" s="261"/>
      <c r="F7467" s="261"/>
      <c r="G7467" s="261"/>
      <c r="H7467" s="261"/>
      <c r="I7467" s="261"/>
      <c r="J7467" s="261"/>
      <c r="K7467" s="261"/>
      <c r="L7467" s="261"/>
      <c r="M7467" s="261"/>
    </row>
    <row r="7468" spans="5:13">
      <c r="E7468" s="261"/>
      <c r="F7468" s="261"/>
      <c r="G7468" s="261"/>
      <c r="H7468" s="261"/>
      <c r="I7468" s="261"/>
      <c r="J7468" s="261"/>
      <c r="K7468" s="261"/>
      <c r="L7468" s="261"/>
      <c r="M7468" s="261"/>
    </row>
    <row r="7469" spans="5:13">
      <c r="E7469" s="261"/>
      <c r="F7469" s="261"/>
      <c r="G7469" s="261"/>
      <c r="H7469" s="261"/>
      <c r="I7469" s="261"/>
      <c r="J7469" s="261"/>
      <c r="K7469" s="261"/>
      <c r="L7469" s="261"/>
      <c r="M7469" s="261"/>
    </row>
    <row r="7470" spans="5:13">
      <c r="E7470" s="261"/>
      <c r="F7470" s="261"/>
      <c r="G7470" s="261"/>
      <c r="H7470" s="261"/>
      <c r="I7470" s="261"/>
      <c r="J7470" s="261"/>
      <c r="K7470" s="261"/>
      <c r="L7470" s="261"/>
      <c r="M7470" s="261"/>
    </row>
    <row r="7471" spans="5:13">
      <c r="E7471" s="261"/>
      <c r="F7471" s="261"/>
      <c r="G7471" s="261"/>
      <c r="H7471" s="261"/>
      <c r="I7471" s="261"/>
      <c r="J7471" s="261"/>
      <c r="K7471" s="261"/>
      <c r="L7471" s="261"/>
      <c r="M7471" s="261"/>
    </row>
    <row r="7472" spans="5:13">
      <c r="E7472" s="261"/>
      <c r="F7472" s="261"/>
      <c r="G7472" s="261"/>
      <c r="H7472" s="261"/>
      <c r="I7472" s="261"/>
      <c r="J7472" s="261"/>
      <c r="K7472" s="261"/>
      <c r="L7472" s="261"/>
      <c r="M7472" s="261"/>
    </row>
    <row r="7473" spans="5:13">
      <c r="E7473" s="261"/>
      <c r="F7473" s="261"/>
      <c r="G7473" s="261"/>
      <c r="H7473" s="261"/>
      <c r="I7473" s="261"/>
      <c r="J7473" s="261"/>
      <c r="K7473" s="261"/>
      <c r="L7473" s="261"/>
      <c r="M7473" s="261"/>
    </row>
    <row r="7474" spans="5:13">
      <c r="E7474" s="261"/>
      <c r="F7474" s="261"/>
      <c r="G7474" s="261"/>
      <c r="H7474" s="261"/>
      <c r="I7474" s="261"/>
      <c r="J7474" s="261"/>
      <c r="K7474" s="261"/>
      <c r="L7474" s="261"/>
      <c r="M7474" s="261"/>
    </row>
    <row r="7475" spans="5:13">
      <c r="E7475" s="261"/>
      <c r="F7475" s="261"/>
      <c r="G7475" s="261"/>
      <c r="H7475" s="261"/>
      <c r="I7475" s="261"/>
      <c r="J7475" s="261"/>
      <c r="K7475" s="261"/>
      <c r="L7475" s="261"/>
      <c r="M7475" s="261"/>
    </row>
    <row r="7476" spans="5:13">
      <c r="E7476" s="261"/>
      <c r="F7476" s="261"/>
      <c r="G7476" s="261"/>
      <c r="H7476" s="261"/>
      <c r="I7476" s="261"/>
      <c r="J7476" s="261"/>
      <c r="K7476" s="261"/>
      <c r="L7476" s="261"/>
      <c r="M7476" s="261"/>
    </row>
    <row r="7477" spans="5:13">
      <c r="E7477" s="261"/>
      <c r="F7477" s="261"/>
      <c r="G7477" s="261"/>
      <c r="H7477" s="261"/>
      <c r="I7477" s="261"/>
      <c r="J7477" s="261"/>
      <c r="K7477" s="261"/>
      <c r="L7477" s="261"/>
      <c r="M7477" s="261"/>
    </row>
    <row r="7478" spans="5:13">
      <c r="E7478" s="261"/>
      <c r="F7478" s="261"/>
      <c r="G7478" s="261"/>
      <c r="H7478" s="261"/>
      <c r="I7478" s="261"/>
      <c r="J7478" s="261"/>
      <c r="K7478" s="261"/>
      <c r="L7478" s="261"/>
      <c r="M7478" s="261"/>
    </row>
    <row r="7479" spans="5:13">
      <c r="E7479" s="261"/>
      <c r="F7479" s="261"/>
      <c r="G7479" s="261"/>
      <c r="H7479" s="261"/>
      <c r="I7479" s="261"/>
      <c r="J7479" s="261"/>
      <c r="K7479" s="261"/>
      <c r="L7479" s="261"/>
      <c r="M7479" s="261"/>
    </row>
    <row r="7480" spans="5:13">
      <c r="E7480" s="261"/>
      <c r="F7480" s="261"/>
      <c r="G7480" s="261"/>
      <c r="H7480" s="261"/>
      <c r="I7480" s="261"/>
      <c r="J7480" s="261"/>
      <c r="K7480" s="261"/>
      <c r="L7480" s="261"/>
      <c r="M7480" s="261"/>
    </row>
    <row r="7481" spans="5:13">
      <c r="E7481" s="261"/>
      <c r="F7481" s="261"/>
      <c r="G7481" s="261"/>
      <c r="H7481" s="261"/>
      <c r="I7481" s="261"/>
      <c r="J7481" s="261"/>
      <c r="K7481" s="261"/>
      <c r="L7481" s="261"/>
      <c r="M7481" s="261"/>
    </row>
    <row r="7482" spans="5:13">
      <c r="E7482" s="261"/>
      <c r="F7482" s="261"/>
      <c r="G7482" s="261"/>
      <c r="H7482" s="261"/>
      <c r="I7482" s="261"/>
      <c r="J7482" s="261"/>
      <c r="K7482" s="261"/>
      <c r="L7482" s="261"/>
      <c r="M7482" s="261"/>
    </row>
    <row r="7483" spans="5:13">
      <c r="E7483" s="261"/>
      <c r="F7483" s="261"/>
      <c r="G7483" s="261"/>
      <c r="H7483" s="261"/>
      <c r="I7483" s="261"/>
      <c r="J7483" s="261"/>
      <c r="K7483" s="261"/>
      <c r="L7483" s="261"/>
      <c r="M7483" s="261"/>
    </row>
    <row r="7484" spans="5:13">
      <c r="E7484" s="261"/>
      <c r="F7484" s="261"/>
      <c r="G7484" s="261"/>
      <c r="H7484" s="261"/>
      <c r="I7484" s="261"/>
      <c r="J7484" s="261"/>
      <c r="K7484" s="261"/>
      <c r="L7484" s="261"/>
      <c r="M7484" s="261"/>
    </row>
    <row r="7485" spans="5:13">
      <c r="E7485" s="261"/>
      <c r="F7485" s="261"/>
      <c r="G7485" s="261"/>
      <c r="H7485" s="261"/>
      <c r="I7485" s="261"/>
      <c r="J7485" s="261"/>
      <c r="K7485" s="261"/>
      <c r="L7485" s="261"/>
      <c r="M7485" s="261"/>
    </row>
    <row r="7486" spans="5:13">
      <c r="E7486" s="261"/>
      <c r="F7486" s="261"/>
      <c r="G7486" s="261"/>
      <c r="H7486" s="261"/>
      <c r="I7486" s="261"/>
      <c r="J7486" s="261"/>
      <c r="K7486" s="261"/>
      <c r="L7486" s="261"/>
      <c r="M7486" s="261"/>
    </row>
    <row r="7487" spans="5:13">
      <c r="E7487" s="261"/>
      <c r="F7487" s="261"/>
      <c r="G7487" s="261"/>
      <c r="H7487" s="261"/>
      <c r="I7487" s="261"/>
      <c r="J7487" s="261"/>
      <c r="K7487" s="261"/>
      <c r="L7487" s="261"/>
      <c r="M7487" s="261"/>
    </row>
    <row r="7488" spans="5:13">
      <c r="E7488" s="261"/>
      <c r="F7488" s="261"/>
      <c r="G7488" s="261"/>
      <c r="H7488" s="261"/>
      <c r="I7488" s="261"/>
      <c r="J7488" s="261"/>
      <c r="K7488" s="261"/>
      <c r="L7488" s="261"/>
      <c r="M7488" s="261"/>
    </row>
    <row r="7489" spans="5:13">
      <c r="E7489" s="261"/>
      <c r="F7489" s="261"/>
      <c r="G7489" s="261"/>
      <c r="H7489" s="261"/>
      <c r="I7489" s="261"/>
      <c r="J7489" s="261"/>
      <c r="K7489" s="261"/>
      <c r="L7489" s="261"/>
      <c r="M7489" s="261"/>
    </row>
    <row r="7490" spans="5:13">
      <c r="E7490" s="261"/>
      <c r="F7490" s="261"/>
      <c r="G7490" s="261"/>
      <c r="H7490" s="261"/>
      <c r="I7490" s="261"/>
      <c r="J7490" s="261"/>
      <c r="K7490" s="261"/>
      <c r="L7490" s="261"/>
      <c r="M7490" s="261"/>
    </row>
    <row r="7491" spans="5:13">
      <c r="E7491" s="261"/>
      <c r="F7491" s="261"/>
      <c r="G7491" s="261"/>
      <c r="H7491" s="261"/>
      <c r="I7491" s="261"/>
      <c r="J7491" s="261"/>
      <c r="K7491" s="261"/>
      <c r="L7491" s="261"/>
      <c r="M7491" s="261"/>
    </row>
    <row r="7492" spans="5:13">
      <c r="E7492" s="261"/>
      <c r="F7492" s="261"/>
      <c r="G7492" s="261"/>
      <c r="H7492" s="261"/>
      <c r="I7492" s="261"/>
      <c r="J7492" s="261"/>
      <c r="K7492" s="261"/>
      <c r="L7492" s="261"/>
      <c r="M7492" s="261"/>
    </row>
    <row r="7493" spans="5:13">
      <c r="E7493" s="261"/>
      <c r="F7493" s="261"/>
      <c r="G7493" s="261"/>
      <c r="H7493" s="261"/>
      <c r="I7493" s="261"/>
      <c r="J7493" s="261"/>
      <c r="K7493" s="261"/>
      <c r="L7493" s="261"/>
      <c r="M7493" s="261"/>
    </row>
    <row r="7494" spans="5:13">
      <c r="E7494" s="261"/>
      <c r="F7494" s="261"/>
      <c r="G7494" s="261"/>
      <c r="H7494" s="261"/>
      <c r="I7494" s="261"/>
      <c r="J7494" s="261"/>
      <c r="K7494" s="261"/>
      <c r="L7494" s="261"/>
      <c r="M7494" s="261"/>
    </row>
    <row r="7495" spans="5:13">
      <c r="E7495" s="261"/>
      <c r="F7495" s="261"/>
      <c r="G7495" s="261"/>
      <c r="H7495" s="261"/>
      <c r="I7495" s="261"/>
      <c r="J7495" s="261"/>
      <c r="K7495" s="261"/>
      <c r="L7495" s="261"/>
      <c r="M7495" s="261"/>
    </row>
    <row r="7496" spans="5:13">
      <c r="E7496" s="261"/>
      <c r="F7496" s="261"/>
      <c r="G7496" s="261"/>
      <c r="H7496" s="261"/>
      <c r="I7496" s="261"/>
      <c r="J7496" s="261"/>
      <c r="K7496" s="261"/>
      <c r="L7496" s="261"/>
      <c r="M7496" s="261"/>
    </row>
    <row r="7497" spans="5:13">
      <c r="E7497" s="261"/>
      <c r="F7497" s="261"/>
      <c r="G7497" s="261"/>
      <c r="H7497" s="261"/>
      <c r="I7497" s="261"/>
      <c r="J7497" s="261"/>
      <c r="K7497" s="261"/>
      <c r="L7497" s="261"/>
      <c r="M7497" s="261"/>
    </row>
    <row r="7498" spans="5:13">
      <c r="E7498" s="261"/>
      <c r="F7498" s="261"/>
      <c r="G7498" s="261"/>
      <c r="H7498" s="261"/>
      <c r="I7498" s="261"/>
      <c r="J7498" s="261"/>
      <c r="K7498" s="261"/>
      <c r="L7498" s="261"/>
      <c r="M7498" s="261"/>
    </row>
    <row r="7499" spans="5:13">
      <c r="E7499" s="261"/>
      <c r="F7499" s="261"/>
      <c r="G7499" s="261"/>
      <c r="H7499" s="261"/>
      <c r="I7499" s="261"/>
      <c r="J7499" s="261"/>
      <c r="K7499" s="261"/>
      <c r="L7499" s="261"/>
      <c r="M7499" s="261"/>
    </row>
    <row r="7500" spans="5:13">
      <c r="E7500" s="261"/>
      <c r="F7500" s="261"/>
      <c r="G7500" s="261"/>
      <c r="H7500" s="261"/>
      <c r="I7500" s="261"/>
      <c r="J7500" s="261"/>
      <c r="K7500" s="261"/>
      <c r="L7500" s="261"/>
      <c r="M7500" s="261"/>
    </row>
    <row r="7501" spans="5:13">
      <c r="E7501" s="261"/>
      <c r="F7501" s="261"/>
      <c r="G7501" s="261"/>
      <c r="H7501" s="261"/>
      <c r="I7501" s="261"/>
      <c r="J7501" s="261"/>
      <c r="K7501" s="261"/>
      <c r="L7501" s="261"/>
      <c r="M7501" s="261"/>
    </row>
    <row r="7502" spans="5:13">
      <c r="E7502" s="261"/>
      <c r="F7502" s="261"/>
      <c r="G7502" s="261"/>
      <c r="H7502" s="261"/>
      <c r="I7502" s="261"/>
      <c r="J7502" s="261"/>
      <c r="K7502" s="261"/>
      <c r="L7502" s="261"/>
      <c r="M7502" s="261"/>
    </row>
    <row r="7503" spans="5:13">
      <c r="E7503" s="261"/>
      <c r="F7503" s="261"/>
      <c r="G7503" s="261"/>
      <c r="H7503" s="261"/>
      <c r="I7503" s="261"/>
      <c r="J7503" s="261"/>
      <c r="K7503" s="261"/>
      <c r="L7503" s="261"/>
      <c r="M7503" s="261"/>
    </row>
    <row r="7504" spans="5:13">
      <c r="E7504" s="261"/>
      <c r="F7504" s="261"/>
      <c r="G7504" s="261"/>
      <c r="H7504" s="261"/>
      <c r="I7504" s="261"/>
      <c r="J7504" s="261"/>
      <c r="K7504" s="261"/>
      <c r="L7504" s="261"/>
      <c r="M7504" s="261"/>
    </row>
    <row r="7505" spans="5:13">
      <c r="E7505" s="261"/>
      <c r="F7505" s="261"/>
      <c r="G7505" s="261"/>
      <c r="H7505" s="261"/>
      <c r="I7505" s="261"/>
      <c r="J7505" s="261"/>
      <c r="K7505" s="261"/>
      <c r="L7505" s="261"/>
      <c r="M7505" s="261"/>
    </row>
    <row r="7506" spans="5:13">
      <c r="E7506" s="261"/>
      <c r="F7506" s="261"/>
      <c r="G7506" s="261"/>
      <c r="H7506" s="261"/>
      <c r="I7506" s="261"/>
      <c r="J7506" s="261"/>
      <c r="K7506" s="261"/>
      <c r="L7506" s="261"/>
      <c r="M7506" s="261"/>
    </row>
    <row r="7507" spans="5:13">
      <c r="E7507" s="261"/>
      <c r="F7507" s="261"/>
      <c r="G7507" s="261"/>
      <c r="H7507" s="261"/>
      <c r="I7507" s="261"/>
      <c r="J7507" s="261"/>
      <c r="K7507" s="261"/>
      <c r="L7507" s="261"/>
      <c r="M7507" s="261"/>
    </row>
    <row r="7508" spans="5:13">
      <c r="E7508" s="261"/>
      <c r="F7508" s="261"/>
      <c r="G7508" s="261"/>
      <c r="H7508" s="261"/>
      <c r="I7508" s="261"/>
      <c r="J7508" s="261"/>
      <c r="K7508" s="261"/>
      <c r="L7508" s="261"/>
      <c r="M7508" s="261"/>
    </row>
    <row r="7509" spans="5:13">
      <c r="E7509" s="261"/>
      <c r="F7509" s="261"/>
      <c r="G7509" s="261"/>
      <c r="H7509" s="261"/>
      <c r="I7509" s="261"/>
      <c r="J7509" s="261"/>
      <c r="K7509" s="261"/>
      <c r="L7509" s="261"/>
      <c r="M7509" s="261"/>
    </row>
    <row r="7510" spans="5:13">
      <c r="E7510" s="261"/>
      <c r="F7510" s="261"/>
      <c r="G7510" s="261"/>
      <c r="H7510" s="261"/>
      <c r="I7510" s="261"/>
      <c r="J7510" s="261"/>
      <c r="K7510" s="261"/>
      <c r="L7510" s="261"/>
      <c r="M7510" s="261"/>
    </row>
    <row r="7511" spans="5:13">
      <c r="E7511" s="261"/>
      <c r="F7511" s="261"/>
      <c r="G7511" s="261"/>
      <c r="H7511" s="261"/>
      <c r="I7511" s="261"/>
      <c r="J7511" s="261"/>
      <c r="K7511" s="261"/>
      <c r="L7511" s="261"/>
      <c r="M7511" s="261"/>
    </row>
    <row r="7512" spans="5:13">
      <c r="E7512" s="261"/>
      <c r="F7512" s="261"/>
      <c r="G7512" s="261"/>
      <c r="H7512" s="261"/>
      <c r="I7512" s="261"/>
      <c r="J7512" s="261"/>
      <c r="K7512" s="261"/>
      <c r="L7512" s="261"/>
      <c r="M7512" s="261"/>
    </row>
    <row r="7513" spans="5:13">
      <c r="E7513" s="261"/>
      <c r="F7513" s="261"/>
      <c r="G7513" s="261"/>
      <c r="H7513" s="261"/>
      <c r="I7513" s="261"/>
      <c r="J7513" s="261"/>
      <c r="K7513" s="261"/>
      <c r="L7513" s="261"/>
      <c r="M7513" s="261"/>
    </row>
    <row r="7514" spans="5:13">
      <c r="E7514" s="261"/>
      <c r="F7514" s="261"/>
      <c r="G7514" s="261"/>
      <c r="H7514" s="261"/>
      <c r="I7514" s="261"/>
      <c r="J7514" s="261"/>
      <c r="K7514" s="261"/>
      <c r="L7514" s="261"/>
      <c r="M7514" s="261"/>
    </row>
    <row r="7515" spans="5:13">
      <c r="E7515" s="261"/>
      <c r="F7515" s="261"/>
      <c r="G7515" s="261"/>
      <c r="H7515" s="261"/>
      <c r="I7515" s="261"/>
      <c r="J7515" s="261"/>
      <c r="K7515" s="261"/>
      <c r="L7515" s="261"/>
      <c r="M7515" s="261"/>
    </row>
    <row r="7516" spans="5:13">
      <c r="E7516" s="261"/>
      <c r="F7516" s="261"/>
      <c r="G7516" s="261"/>
      <c r="H7516" s="261"/>
      <c r="I7516" s="261"/>
      <c r="J7516" s="261"/>
      <c r="K7516" s="261"/>
      <c r="L7516" s="261"/>
      <c r="M7516" s="261"/>
    </row>
    <row r="7517" spans="5:13">
      <c r="E7517" s="261"/>
      <c r="F7517" s="261"/>
      <c r="G7517" s="261"/>
      <c r="H7517" s="261"/>
      <c r="I7517" s="261"/>
      <c r="J7517" s="261"/>
      <c r="K7517" s="261"/>
      <c r="L7517" s="261"/>
      <c r="M7517" s="261"/>
    </row>
    <row r="7518" spans="5:13">
      <c r="E7518" s="261"/>
      <c r="F7518" s="261"/>
      <c r="G7518" s="261"/>
      <c r="H7518" s="261"/>
      <c r="I7518" s="261"/>
      <c r="J7518" s="261"/>
      <c r="K7518" s="261"/>
      <c r="L7518" s="261"/>
      <c r="M7518" s="261"/>
    </row>
    <row r="7519" spans="5:13">
      <c r="E7519" s="261"/>
      <c r="F7519" s="261"/>
      <c r="G7519" s="261"/>
      <c r="H7519" s="261"/>
      <c r="I7519" s="261"/>
      <c r="J7519" s="261"/>
      <c r="K7519" s="261"/>
      <c r="L7519" s="261"/>
      <c r="M7519" s="261"/>
    </row>
    <row r="7520" spans="5:13">
      <c r="E7520" s="261"/>
      <c r="F7520" s="261"/>
      <c r="G7520" s="261"/>
      <c r="H7520" s="261"/>
      <c r="I7520" s="261"/>
      <c r="J7520" s="261"/>
      <c r="K7520" s="261"/>
      <c r="L7520" s="261"/>
      <c r="M7520" s="261"/>
    </row>
    <row r="7521" spans="5:13">
      <c r="E7521" s="261"/>
      <c r="F7521" s="261"/>
      <c r="G7521" s="261"/>
      <c r="H7521" s="261"/>
      <c r="I7521" s="261"/>
      <c r="J7521" s="261"/>
      <c r="K7521" s="261"/>
      <c r="L7521" s="261"/>
      <c r="M7521" s="261"/>
    </row>
    <row r="7522" spans="5:13">
      <c r="E7522" s="261"/>
      <c r="F7522" s="261"/>
      <c r="G7522" s="261"/>
      <c r="H7522" s="261"/>
      <c r="I7522" s="261"/>
      <c r="J7522" s="261"/>
      <c r="K7522" s="261"/>
      <c r="L7522" s="261"/>
      <c r="M7522" s="261"/>
    </row>
    <row r="7523" spans="5:13">
      <c r="E7523" s="261"/>
      <c r="F7523" s="261"/>
      <c r="G7523" s="261"/>
      <c r="H7523" s="261"/>
      <c r="I7523" s="261"/>
      <c r="J7523" s="261"/>
      <c r="K7523" s="261"/>
      <c r="L7523" s="261"/>
      <c r="M7523" s="261"/>
    </row>
    <row r="7524" spans="5:13">
      <c r="E7524" s="261"/>
      <c r="F7524" s="261"/>
      <c r="G7524" s="261"/>
      <c r="H7524" s="261"/>
      <c r="I7524" s="261"/>
      <c r="J7524" s="261"/>
      <c r="K7524" s="261"/>
      <c r="L7524" s="261"/>
      <c r="M7524" s="261"/>
    </row>
    <row r="7525" spans="5:13">
      <c r="E7525" s="261"/>
      <c r="F7525" s="261"/>
      <c r="G7525" s="261"/>
      <c r="H7525" s="261"/>
      <c r="I7525" s="261"/>
      <c r="J7525" s="261"/>
      <c r="K7525" s="261"/>
      <c r="L7525" s="261"/>
      <c r="M7525" s="261"/>
    </row>
    <row r="7526" spans="5:13">
      <c r="E7526" s="261"/>
      <c r="F7526" s="261"/>
      <c r="G7526" s="261"/>
      <c r="H7526" s="261"/>
      <c r="I7526" s="261"/>
      <c r="J7526" s="261"/>
      <c r="K7526" s="261"/>
      <c r="L7526" s="261"/>
      <c r="M7526" s="261"/>
    </row>
    <row r="7527" spans="5:13">
      <c r="E7527" s="261"/>
      <c r="F7527" s="261"/>
      <c r="G7527" s="261"/>
      <c r="H7527" s="261"/>
      <c r="I7527" s="261"/>
      <c r="J7527" s="261"/>
      <c r="K7527" s="261"/>
      <c r="L7527" s="261"/>
      <c r="M7527" s="261"/>
    </row>
    <row r="7528" spans="5:13">
      <c r="E7528" s="261"/>
      <c r="F7528" s="261"/>
      <c r="G7528" s="261"/>
      <c r="H7528" s="261"/>
      <c r="I7528" s="261"/>
      <c r="J7528" s="261"/>
      <c r="K7528" s="261"/>
      <c r="L7528" s="261"/>
      <c r="M7528" s="261"/>
    </row>
    <row r="7529" spans="5:13">
      <c r="E7529" s="261"/>
      <c r="F7529" s="261"/>
      <c r="G7529" s="261"/>
      <c r="H7529" s="261"/>
      <c r="I7529" s="261"/>
      <c r="J7529" s="261"/>
      <c r="K7529" s="261"/>
      <c r="L7529" s="261"/>
      <c r="M7529" s="261"/>
    </row>
    <row r="7530" spans="5:13">
      <c r="E7530" s="261"/>
      <c r="F7530" s="261"/>
      <c r="G7530" s="261"/>
      <c r="H7530" s="261"/>
      <c r="I7530" s="261"/>
      <c r="J7530" s="261"/>
      <c r="K7530" s="261"/>
      <c r="L7530" s="261"/>
      <c r="M7530" s="261"/>
    </row>
    <row r="7531" spans="5:13">
      <c r="E7531" s="261"/>
      <c r="F7531" s="261"/>
      <c r="G7531" s="261"/>
      <c r="H7531" s="261"/>
      <c r="I7531" s="261"/>
      <c r="J7531" s="261"/>
      <c r="K7531" s="261"/>
      <c r="L7531" s="261"/>
      <c r="M7531" s="261"/>
    </row>
    <row r="7532" spans="5:13">
      <c r="E7532" s="261"/>
      <c r="F7532" s="261"/>
      <c r="G7532" s="261"/>
      <c r="H7532" s="261"/>
      <c r="I7532" s="261"/>
      <c r="J7532" s="261"/>
      <c r="K7532" s="261"/>
      <c r="L7532" s="261"/>
      <c r="M7532" s="261"/>
    </row>
    <row r="7533" spans="5:13">
      <c r="E7533" s="261"/>
      <c r="F7533" s="261"/>
      <c r="G7533" s="261"/>
      <c r="H7533" s="261"/>
      <c r="I7533" s="261"/>
      <c r="J7533" s="261"/>
      <c r="K7533" s="261"/>
      <c r="L7533" s="261"/>
      <c r="M7533" s="261"/>
    </row>
    <row r="7534" spans="5:13">
      <c r="E7534" s="261"/>
      <c r="F7534" s="261"/>
      <c r="G7534" s="261"/>
      <c r="H7534" s="261"/>
      <c r="I7534" s="261"/>
      <c r="J7534" s="261"/>
      <c r="K7534" s="261"/>
      <c r="L7534" s="261"/>
      <c r="M7534" s="261"/>
    </row>
    <row r="7535" spans="5:13">
      <c r="E7535" s="261"/>
      <c r="F7535" s="261"/>
      <c r="G7535" s="261"/>
      <c r="H7535" s="261"/>
      <c r="I7535" s="261"/>
      <c r="J7535" s="261"/>
      <c r="K7535" s="261"/>
      <c r="L7535" s="261"/>
      <c r="M7535" s="261"/>
    </row>
    <row r="7536" spans="5:13">
      <c r="E7536" s="261"/>
      <c r="F7536" s="261"/>
      <c r="G7536" s="261"/>
      <c r="H7536" s="261"/>
      <c r="I7536" s="261"/>
      <c r="J7536" s="261"/>
      <c r="K7536" s="261"/>
      <c r="L7536" s="261"/>
      <c r="M7536" s="261"/>
    </row>
    <row r="7537" spans="5:13">
      <c r="E7537" s="261"/>
      <c r="F7537" s="261"/>
      <c r="G7537" s="261"/>
      <c r="H7537" s="261"/>
      <c r="I7537" s="261"/>
      <c r="J7537" s="261"/>
      <c r="K7537" s="261"/>
      <c r="L7537" s="261"/>
      <c r="M7537" s="261"/>
    </row>
    <row r="7538" spans="5:13">
      <c r="E7538" s="261"/>
      <c r="F7538" s="261"/>
      <c r="G7538" s="261"/>
      <c r="H7538" s="261"/>
      <c r="I7538" s="261"/>
      <c r="J7538" s="261"/>
      <c r="K7538" s="261"/>
      <c r="L7538" s="261"/>
      <c r="M7538" s="261"/>
    </row>
    <row r="7539" spans="5:13">
      <c r="E7539" s="261"/>
      <c r="F7539" s="261"/>
      <c r="G7539" s="261"/>
      <c r="H7539" s="261"/>
      <c r="I7539" s="261"/>
      <c r="J7539" s="261"/>
      <c r="K7539" s="261"/>
      <c r="L7539" s="261"/>
      <c r="M7539" s="261"/>
    </row>
    <row r="7540" spans="5:13">
      <c r="E7540" s="261"/>
      <c r="F7540" s="261"/>
      <c r="G7540" s="261"/>
      <c r="H7540" s="261"/>
      <c r="I7540" s="261"/>
      <c r="J7540" s="261"/>
      <c r="K7540" s="261"/>
      <c r="L7540" s="261"/>
      <c r="M7540" s="261"/>
    </row>
    <row r="7541" spans="5:13">
      <c r="E7541" s="261"/>
      <c r="F7541" s="261"/>
      <c r="G7541" s="261"/>
      <c r="H7541" s="261"/>
      <c r="I7541" s="261"/>
      <c r="J7541" s="261"/>
      <c r="K7541" s="261"/>
      <c r="L7541" s="261"/>
      <c r="M7541" s="261"/>
    </row>
    <row r="7542" spans="5:13">
      <c r="E7542" s="261"/>
      <c r="F7542" s="261"/>
      <c r="G7542" s="261"/>
      <c r="H7542" s="261"/>
      <c r="I7542" s="261"/>
      <c r="J7542" s="261"/>
      <c r="K7542" s="261"/>
      <c r="L7542" s="261"/>
      <c r="M7542" s="261"/>
    </row>
    <row r="7543" spans="5:13">
      <c r="E7543" s="261"/>
      <c r="F7543" s="261"/>
      <c r="G7543" s="261"/>
      <c r="H7543" s="261"/>
      <c r="I7543" s="261"/>
      <c r="J7543" s="261"/>
      <c r="K7543" s="261"/>
      <c r="L7543" s="261"/>
      <c r="M7543" s="261"/>
    </row>
    <row r="7544" spans="5:13">
      <c r="E7544" s="261"/>
      <c r="F7544" s="261"/>
      <c r="G7544" s="261"/>
      <c r="H7544" s="261"/>
      <c r="I7544" s="261"/>
      <c r="J7544" s="261"/>
      <c r="K7544" s="261"/>
      <c r="L7544" s="261"/>
      <c r="M7544" s="261"/>
    </row>
    <row r="7545" spans="5:13">
      <c r="E7545" s="261"/>
      <c r="F7545" s="261"/>
      <c r="G7545" s="261"/>
      <c r="H7545" s="261"/>
      <c r="I7545" s="261"/>
      <c r="J7545" s="261"/>
      <c r="K7545" s="261"/>
      <c r="L7545" s="261"/>
      <c r="M7545" s="261"/>
    </row>
    <row r="7546" spans="5:13">
      <c r="E7546" s="261"/>
      <c r="F7546" s="261"/>
      <c r="G7546" s="261"/>
      <c r="H7546" s="261"/>
      <c r="I7546" s="261"/>
      <c r="J7546" s="261"/>
      <c r="K7546" s="261"/>
      <c r="L7546" s="261"/>
      <c r="M7546" s="261"/>
    </row>
    <row r="7547" spans="5:13">
      <c r="E7547" s="261"/>
      <c r="F7547" s="261"/>
      <c r="G7547" s="261"/>
      <c r="H7547" s="261"/>
      <c r="I7547" s="261"/>
      <c r="J7547" s="261"/>
      <c r="K7547" s="261"/>
      <c r="L7547" s="261"/>
      <c r="M7547" s="261"/>
    </row>
    <row r="7548" spans="5:13">
      <c r="E7548" s="261"/>
      <c r="F7548" s="261"/>
      <c r="G7548" s="261"/>
      <c r="H7548" s="261"/>
      <c r="I7548" s="261"/>
      <c r="J7548" s="261"/>
      <c r="K7548" s="261"/>
      <c r="L7548" s="261"/>
      <c r="M7548" s="261"/>
    </row>
    <row r="7549" spans="5:13">
      <c r="E7549" s="261"/>
      <c r="F7549" s="261"/>
      <c r="G7549" s="261"/>
      <c r="H7549" s="261"/>
      <c r="I7549" s="261"/>
      <c r="J7549" s="261"/>
      <c r="K7549" s="261"/>
      <c r="L7549" s="261"/>
      <c r="M7549" s="261"/>
    </row>
    <row r="7550" spans="5:13">
      <c r="E7550" s="261"/>
      <c r="F7550" s="261"/>
      <c r="G7550" s="261"/>
      <c r="H7550" s="261"/>
      <c r="I7550" s="261"/>
      <c r="J7550" s="261"/>
      <c r="K7550" s="261"/>
      <c r="L7550" s="261"/>
      <c r="M7550" s="261"/>
    </row>
    <row r="7551" spans="5:13">
      <c r="E7551" s="261"/>
      <c r="F7551" s="261"/>
      <c r="G7551" s="261"/>
      <c r="H7551" s="261"/>
      <c r="I7551" s="261"/>
      <c r="J7551" s="261"/>
      <c r="K7551" s="261"/>
      <c r="L7551" s="261"/>
      <c r="M7551" s="261"/>
    </row>
    <row r="7552" spans="5:13">
      <c r="E7552" s="261"/>
      <c r="F7552" s="261"/>
      <c r="G7552" s="261"/>
      <c r="H7552" s="261"/>
      <c r="I7552" s="261"/>
      <c r="J7552" s="261"/>
      <c r="K7552" s="261"/>
      <c r="L7552" s="261"/>
      <c r="M7552" s="261"/>
    </row>
    <row r="7553" spans="5:13">
      <c r="E7553" s="261"/>
      <c r="F7553" s="261"/>
      <c r="G7553" s="261"/>
      <c r="H7553" s="261"/>
      <c r="I7553" s="261"/>
      <c r="J7553" s="261"/>
      <c r="K7553" s="261"/>
      <c r="L7553" s="261"/>
      <c r="M7553" s="261"/>
    </row>
    <row r="7554" spans="5:13">
      <c r="E7554" s="261"/>
      <c r="F7554" s="261"/>
      <c r="G7554" s="261"/>
      <c r="H7554" s="261"/>
      <c r="I7554" s="261"/>
      <c r="J7554" s="261"/>
      <c r="K7554" s="261"/>
      <c r="L7554" s="261"/>
      <c r="M7554" s="261"/>
    </row>
    <row r="7555" spans="5:13">
      <c r="E7555" s="261"/>
      <c r="F7555" s="261"/>
      <c r="G7555" s="261"/>
      <c r="H7555" s="261"/>
      <c r="I7555" s="261"/>
      <c r="J7555" s="261"/>
      <c r="K7555" s="261"/>
      <c r="L7555" s="261"/>
      <c r="M7555" s="261"/>
    </row>
    <row r="7556" spans="5:13">
      <c r="E7556" s="261"/>
      <c r="F7556" s="261"/>
      <c r="G7556" s="261"/>
      <c r="H7556" s="261"/>
      <c r="I7556" s="261"/>
      <c r="J7556" s="261"/>
      <c r="K7556" s="261"/>
      <c r="L7556" s="261"/>
      <c r="M7556" s="261"/>
    </row>
    <row r="7557" spans="5:13">
      <c r="E7557" s="261"/>
      <c r="F7557" s="261"/>
      <c r="G7557" s="261"/>
      <c r="H7557" s="261"/>
      <c r="I7557" s="261"/>
      <c r="J7557" s="261"/>
      <c r="K7557" s="261"/>
      <c r="L7557" s="261"/>
      <c r="M7557" s="261"/>
    </row>
    <row r="7558" spans="5:13">
      <c r="E7558" s="261"/>
      <c r="F7558" s="261"/>
      <c r="G7558" s="261"/>
      <c r="H7558" s="261"/>
      <c r="I7558" s="261"/>
      <c r="J7558" s="261"/>
      <c r="K7558" s="261"/>
      <c r="L7558" s="261"/>
      <c r="M7558" s="261"/>
    </row>
    <row r="7559" spans="5:13">
      <c r="E7559" s="261"/>
      <c r="F7559" s="261"/>
      <c r="G7559" s="261"/>
      <c r="H7559" s="261"/>
      <c r="I7559" s="261"/>
      <c r="J7559" s="261"/>
      <c r="K7559" s="261"/>
      <c r="L7559" s="261"/>
      <c r="M7559" s="261"/>
    </row>
    <row r="7560" spans="5:13">
      <c r="E7560" s="261"/>
      <c r="F7560" s="261"/>
      <c r="G7560" s="261"/>
      <c r="H7560" s="261"/>
      <c r="I7560" s="261"/>
      <c r="J7560" s="261"/>
      <c r="K7560" s="261"/>
      <c r="L7560" s="261"/>
      <c r="M7560" s="261"/>
    </row>
    <row r="7561" spans="5:13">
      <c r="E7561" s="261"/>
      <c r="F7561" s="261"/>
      <c r="G7561" s="261"/>
      <c r="H7561" s="261"/>
      <c r="I7561" s="261"/>
      <c r="J7561" s="261"/>
      <c r="K7561" s="261"/>
      <c r="L7561" s="261"/>
      <c r="M7561" s="261"/>
    </row>
    <row r="7562" spans="5:13">
      <c r="E7562" s="261"/>
      <c r="F7562" s="261"/>
      <c r="G7562" s="261"/>
      <c r="H7562" s="261"/>
      <c r="I7562" s="261"/>
      <c r="J7562" s="261"/>
      <c r="K7562" s="261"/>
      <c r="L7562" s="261"/>
      <c r="M7562" s="261"/>
    </row>
    <row r="7563" spans="5:13">
      <c r="E7563" s="261"/>
      <c r="F7563" s="261"/>
      <c r="G7563" s="261"/>
      <c r="H7563" s="261"/>
      <c r="I7563" s="261"/>
      <c r="J7563" s="261"/>
      <c r="K7563" s="261"/>
      <c r="L7563" s="261"/>
      <c r="M7563" s="261"/>
    </row>
    <row r="7564" spans="5:13">
      <c r="E7564" s="261"/>
      <c r="F7564" s="261"/>
      <c r="G7564" s="261"/>
      <c r="H7564" s="261"/>
      <c r="I7564" s="261"/>
      <c r="J7564" s="261"/>
      <c r="K7564" s="261"/>
      <c r="L7564" s="261"/>
      <c r="M7564" s="261"/>
    </row>
    <row r="7565" spans="5:13">
      <c r="E7565" s="261"/>
      <c r="F7565" s="261"/>
      <c r="G7565" s="261"/>
      <c r="H7565" s="261"/>
      <c r="I7565" s="261"/>
      <c r="J7565" s="261"/>
      <c r="K7565" s="261"/>
      <c r="L7565" s="261"/>
      <c r="M7565" s="261"/>
    </row>
    <row r="7566" spans="5:13">
      <c r="E7566" s="261"/>
      <c r="F7566" s="261"/>
      <c r="G7566" s="261"/>
      <c r="H7566" s="261"/>
      <c r="I7566" s="261"/>
      <c r="J7566" s="261"/>
      <c r="K7566" s="261"/>
      <c r="L7566" s="261"/>
      <c r="M7566" s="261"/>
    </row>
    <row r="7567" spans="5:13">
      <c r="E7567" s="261"/>
      <c r="F7567" s="261"/>
      <c r="G7567" s="261"/>
      <c r="H7567" s="261"/>
      <c r="I7567" s="261"/>
      <c r="J7567" s="261"/>
      <c r="K7567" s="261"/>
      <c r="L7567" s="261"/>
      <c r="M7567" s="261"/>
    </row>
    <row r="7568" spans="5:13">
      <c r="E7568" s="261"/>
      <c r="F7568" s="261"/>
      <c r="G7568" s="261"/>
      <c r="H7568" s="261"/>
      <c r="I7568" s="261"/>
      <c r="J7568" s="261"/>
      <c r="K7568" s="261"/>
      <c r="L7568" s="261"/>
      <c r="M7568" s="261"/>
    </row>
    <row r="7569" spans="5:13">
      <c r="E7569" s="261"/>
      <c r="F7569" s="261"/>
      <c r="G7569" s="261"/>
      <c r="H7569" s="261"/>
      <c r="I7569" s="261"/>
      <c r="J7569" s="261"/>
      <c r="K7569" s="261"/>
      <c r="L7569" s="261"/>
      <c r="M7569" s="261"/>
    </row>
    <row r="7570" spans="5:13">
      <c r="E7570" s="261"/>
      <c r="F7570" s="261"/>
      <c r="G7570" s="261"/>
      <c r="H7570" s="261"/>
      <c r="I7570" s="261"/>
      <c r="J7570" s="261"/>
      <c r="K7570" s="261"/>
      <c r="L7570" s="261"/>
      <c r="M7570" s="261"/>
    </row>
    <row r="7571" spans="5:13">
      <c r="E7571" s="261"/>
      <c r="F7571" s="261"/>
      <c r="G7571" s="261"/>
      <c r="H7571" s="261"/>
      <c r="I7571" s="261"/>
      <c r="J7571" s="261"/>
      <c r="K7571" s="261"/>
      <c r="L7571" s="261"/>
      <c r="M7571" s="261"/>
    </row>
    <row r="7572" spans="5:13">
      <c r="E7572" s="261"/>
      <c r="F7572" s="261"/>
      <c r="G7572" s="261"/>
      <c r="H7572" s="261"/>
      <c r="I7572" s="261"/>
      <c r="J7572" s="261"/>
      <c r="K7572" s="261"/>
      <c r="L7572" s="261"/>
      <c r="M7572" s="261"/>
    </row>
    <row r="7573" spans="5:13">
      <c r="E7573" s="261"/>
      <c r="F7573" s="261"/>
      <c r="G7573" s="261"/>
      <c r="H7573" s="261"/>
      <c r="I7573" s="261"/>
      <c r="J7573" s="261"/>
      <c r="K7573" s="261"/>
      <c r="L7573" s="261"/>
      <c r="M7573" s="261"/>
    </row>
    <row r="7574" spans="5:13">
      <c r="E7574" s="261"/>
      <c r="F7574" s="261"/>
      <c r="G7574" s="261"/>
      <c r="H7574" s="261"/>
      <c r="I7574" s="261"/>
      <c r="J7574" s="261"/>
      <c r="K7574" s="261"/>
      <c r="L7574" s="261"/>
      <c r="M7574" s="261"/>
    </row>
    <row r="7575" spans="5:13">
      <c r="E7575" s="261"/>
      <c r="F7575" s="261"/>
      <c r="G7575" s="261"/>
      <c r="H7575" s="261"/>
      <c r="I7575" s="261"/>
      <c r="J7575" s="261"/>
      <c r="K7575" s="261"/>
      <c r="L7575" s="261"/>
      <c r="M7575" s="261"/>
    </row>
    <row r="7576" spans="5:13">
      <c r="E7576" s="261"/>
      <c r="F7576" s="261"/>
      <c r="G7576" s="261"/>
      <c r="H7576" s="261"/>
      <c r="I7576" s="261"/>
      <c r="J7576" s="261"/>
      <c r="K7576" s="261"/>
      <c r="L7576" s="261"/>
      <c r="M7576" s="261"/>
    </row>
    <row r="7577" spans="5:13">
      <c r="E7577" s="261"/>
      <c r="F7577" s="261"/>
      <c r="G7577" s="261"/>
      <c r="H7577" s="261"/>
      <c r="I7577" s="261"/>
      <c r="J7577" s="261"/>
      <c r="K7577" s="261"/>
      <c r="L7577" s="261"/>
      <c r="M7577" s="261"/>
    </row>
    <row r="7578" spans="5:13">
      <c r="E7578" s="261"/>
      <c r="F7578" s="261"/>
      <c r="G7578" s="261"/>
      <c r="H7578" s="261"/>
      <c r="I7578" s="261"/>
      <c r="J7578" s="261"/>
      <c r="K7578" s="261"/>
      <c r="L7578" s="261"/>
      <c r="M7578" s="261"/>
    </row>
    <row r="7579" spans="5:13">
      <c r="E7579" s="261"/>
      <c r="F7579" s="261"/>
      <c r="G7579" s="261"/>
      <c r="H7579" s="261"/>
      <c r="I7579" s="261"/>
      <c r="J7579" s="261"/>
      <c r="K7579" s="261"/>
      <c r="L7579" s="261"/>
      <c r="M7579" s="261"/>
    </row>
    <row r="7580" spans="5:13">
      <c r="E7580" s="261"/>
      <c r="F7580" s="261"/>
      <c r="G7580" s="261"/>
      <c r="H7580" s="261"/>
      <c r="I7580" s="261"/>
      <c r="J7580" s="261"/>
      <c r="K7580" s="261"/>
      <c r="L7580" s="261"/>
      <c r="M7580" s="261"/>
    </row>
    <row r="7581" spans="5:13">
      <c r="E7581" s="261"/>
      <c r="F7581" s="261"/>
      <c r="G7581" s="261"/>
      <c r="H7581" s="261"/>
      <c r="I7581" s="261"/>
      <c r="J7581" s="261"/>
      <c r="K7581" s="261"/>
      <c r="L7581" s="261"/>
      <c r="M7581" s="261"/>
    </row>
    <row r="7582" spans="5:13">
      <c r="E7582" s="261"/>
      <c r="F7582" s="261"/>
      <c r="G7582" s="261"/>
      <c r="H7582" s="261"/>
      <c r="I7582" s="261"/>
      <c r="J7582" s="261"/>
      <c r="K7582" s="261"/>
      <c r="L7582" s="261"/>
      <c r="M7582" s="261"/>
    </row>
    <row r="7583" spans="5:13">
      <c r="E7583" s="261"/>
      <c r="F7583" s="261"/>
      <c r="G7583" s="261"/>
      <c r="H7583" s="261"/>
      <c r="I7583" s="261"/>
      <c r="J7583" s="261"/>
      <c r="K7583" s="261"/>
      <c r="L7583" s="261"/>
      <c r="M7583" s="261"/>
    </row>
    <row r="7584" spans="5:13">
      <c r="E7584" s="261"/>
      <c r="F7584" s="261"/>
      <c r="G7584" s="261"/>
      <c r="H7584" s="261"/>
      <c r="I7584" s="261"/>
      <c r="J7584" s="261"/>
      <c r="K7584" s="261"/>
      <c r="L7584" s="261"/>
      <c r="M7584" s="261"/>
    </row>
    <row r="7585" spans="5:13">
      <c r="E7585" s="261"/>
      <c r="F7585" s="261"/>
      <c r="G7585" s="261"/>
      <c r="H7585" s="261"/>
      <c r="I7585" s="261"/>
      <c r="J7585" s="261"/>
      <c r="K7585" s="261"/>
      <c r="L7585" s="261"/>
      <c r="M7585" s="261"/>
    </row>
    <row r="7586" spans="5:13">
      <c r="E7586" s="261"/>
      <c r="F7586" s="261"/>
      <c r="G7586" s="261"/>
      <c r="H7586" s="261"/>
      <c r="I7586" s="261"/>
      <c r="J7586" s="261"/>
      <c r="K7586" s="261"/>
      <c r="L7586" s="261"/>
      <c r="M7586" s="261"/>
    </row>
    <row r="7587" spans="5:13">
      <c r="E7587" s="261"/>
      <c r="F7587" s="261"/>
      <c r="G7587" s="261"/>
      <c r="H7587" s="261"/>
      <c r="I7587" s="261"/>
      <c r="J7587" s="261"/>
      <c r="K7587" s="261"/>
      <c r="L7587" s="261"/>
      <c r="M7587" s="261"/>
    </row>
    <row r="7588" spans="5:13">
      <c r="E7588" s="261"/>
      <c r="F7588" s="261"/>
      <c r="G7588" s="261"/>
      <c r="H7588" s="261"/>
      <c r="I7588" s="261"/>
      <c r="J7588" s="261"/>
      <c r="K7588" s="261"/>
      <c r="L7588" s="261"/>
      <c r="M7588" s="261"/>
    </row>
    <row r="7589" spans="5:13">
      <c r="E7589" s="261"/>
      <c r="F7589" s="261"/>
      <c r="G7589" s="261"/>
      <c r="H7589" s="261"/>
      <c r="I7589" s="261"/>
      <c r="J7589" s="261"/>
      <c r="K7589" s="261"/>
      <c r="L7589" s="261"/>
      <c r="M7589" s="261"/>
    </row>
    <row r="7590" spans="5:13">
      <c r="E7590" s="261"/>
      <c r="F7590" s="261"/>
      <c r="G7590" s="261"/>
      <c r="H7590" s="261"/>
      <c r="I7590" s="261"/>
      <c r="J7590" s="261"/>
      <c r="K7590" s="261"/>
      <c r="L7590" s="261"/>
      <c r="M7590" s="261"/>
    </row>
    <row r="7591" spans="5:13">
      <c r="E7591" s="261"/>
      <c r="F7591" s="261"/>
      <c r="G7591" s="261"/>
      <c r="H7591" s="261"/>
      <c r="I7591" s="261"/>
      <c r="J7591" s="261"/>
      <c r="K7591" s="261"/>
      <c r="L7591" s="261"/>
      <c r="M7591" s="261"/>
    </row>
    <row r="7592" spans="5:13">
      <c r="E7592" s="261"/>
      <c r="F7592" s="261"/>
      <c r="G7592" s="261"/>
      <c r="H7592" s="261"/>
      <c r="I7592" s="261"/>
      <c r="J7592" s="261"/>
      <c r="K7592" s="261"/>
      <c r="L7592" s="261"/>
      <c r="M7592" s="261"/>
    </row>
    <row r="7593" spans="5:13">
      <c r="E7593" s="261"/>
      <c r="F7593" s="261"/>
      <c r="G7593" s="261"/>
      <c r="H7593" s="261"/>
      <c r="I7593" s="261"/>
      <c r="J7593" s="261"/>
      <c r="K7593" s="261"/>
      <c r="L7593" s="261"/>
      <c r="M7593" s="261"/>
    </row>
    <row r="7594" spans="5:13">
      <c r="E7594" s="261"/>
      <c r="F7594" s="261"/>
      <c r="G7594" s="261"/>
      <c r="H7594" s="261"/>
      <c r="I7594" s="261"/>
      <c r="J7594" s="261"/>
      <c r="K7594" s="261"/>
      <c r="L7594" s="261"/>
      <c r="M7594" s="261"/>
    </row>
    <row r="7595" spans="5:13">
      <c r="E7595" s="261"/>
      <c r="F7595" s="261"/>
      <c r="G7595" s="261"/>
      <c r="H7595" s="261"/>
      <c r="I7595" s="261"/>
      <c r="J7595" s="261"/>
      <c r="K7595" s="261"/>
      <c r="L7595" s="261"/>
      <c r="M7595" s="261"/>
    </row>
    <row r="7596" spans="5:13">
      <c r="E7596" s="261"/>
      <c r="F7596" s="261"/>
      <c r="G7596" s="261"/>
      <c r="H7596" s="261"/>
      <c r="I7596" s="261"/>
      <c r="J7596" s="261"/>
      <c r="K7596" s="261"/>
      <c r="L7596" s="261"/>
      <c r="M7596" s="261"/>
    </row>
    <row r="7597" spans="5:13">
      <c r="E7597" s="261"/>
      <c r="F7597" s="261"/>
      <c r="G7597" s="261"/>
      <c r="H7597" s="261"/>
      <c r="I7597" s="261"/>
      <c r="J7597" s="261"/>
      <c r="K7597" s="261"/>
      <c r="L7597" s="261"/>
      <c r="M7597" s="261"/>
    </row>
    <row r="7598" spans="5:13">
      <c r="E7598" s="261"/>
      <c r="F7598" s="261"/>
      <c r="G7598" s="261"/>
      <c r="H7598" s="261"/>
      <c r="I7598" s="261"/>
      <c r="J7598" s="261"/>
      <c r="K7598" s="261"/>
      <c r="L7598" s="261"/>
      <c r="M7598" s="261"/>
    </row>
    <row r="7599" spans="5:13">
      <c r="E7599" s="261"/>
      <c r="F7599" s="261"/>
      <c r="G7599" s="261"/>
      <c r="H7599" s="261"/>
      <c r="I7599" s="261"/>
      <c r="J7599" s="261"/>
      <c r="K7599" s="261"/>
      <c r="L7599" s="261"/>
      <c r="M7599" s="261"/>
    </row>
    <row r="7600" spans="5:13">
      <c r="E7600" s="261"/>
      <c r="F7600" s="261"/>
      <c r="G7600" s="261"/>
      <c r="H7600" s="261"/>
      <c r="I7600" s="261"/>
      <c r="J7600" s="261"/>
      <c r="K7600" s="261"/>
      <c r="L7600" s="261"/>
      <c r="M7600" s="261"/>
    </row>
    <row r="7601" spans="5:13">
      <c r="E7601" s="261"/>
      <c r="F7601" s="261"/>
      <c r="G7601" s="261"/>
      <c r="H7601" s="261"/>
      <c r="I7601" s="261"/>
      <c r="J7601" s="261"/>
      <c r="K7601" s="261"/>
      <c r="L7601" s="261"/>
      <c r="M7601" s="261"/>
    </row>
    <row r="7602" spans="5:13">
      <c r="E7602" s="261"/>
      <c r="F7602" s="261"/>
      <c r="G7602" s="261"/>
      <c r="H7602" s="261"/>
      <c r="I7602" s="261"/>
      <c r="J7602" s="261"/>
      <c r="K7602" s="261"/>
      <c r="L7602" s="261"/>
      <c r="M7602" s="261"/>
    </row>
    <row r="7603" spans="5:13">
      <c r="E7603" s="261"/>
      <c r="F7603" s="261"/>
      <c r="G7603" s="261"/>
      <c r="H7603" s="261"/>
      <c r="I7603" s="261"/>
      <c r="J7603" s="261"/>
      <c r="K7603" s="261"/>
      <c r="L7603" s="261"/>
      <c r="M7603" s="261"/>
    </row>
    <row r="7604" spans="5:13">
      <c r="E7604" s="261"/>
      <c r="F7604" s="261"/>
      <c r="G7604" s="261"/>
      <c r="H7604" s="261"/>
      <c r="I7604" s="261"/>
      <c r="J7604" s="261"/>
      <c r="K7604" s="261"/>
      <c r="L7604" s="261"/>
      <c r="M7604" s="261"/>
    </row>
    <row r="7605" spans="5:13">
      <c r="E7605" s="261"/>
      <c r="F7605" s="261"/>
      <c r="G7605" s="261"/>
      <c r="H7605" s="261"/>
      <c r="I7605" s="261"/>
      <c r="J7605" s="261"/>
      <c r="K7605" s="261"/>
      <c r="L7605" s="261"/>
      <c r="M7605" s="261"/>
    </row>
    <row r="7606" spans="5:13">
      <c r="E7606" s="261"/>
      <c r="F7606" s="261"/>
      <c r="G7606" s="261"/>
      <c r="H7606" s="261"/>
      <c r="I7606" s="261"/>
      <c r="J7606" s="261"/>
      <c r="K7606" s="261"/>
      <c r="L7606" s="261"/>
      <c r="M7606" s="261"/>
    </row>
    <row r="7607" spans="5:13">
      <c r="E7607" s="261"/>
      <c r="F7607" s="261"/>
      <c r="G7607" s="261"/>
      <c r="H7607" s="261"/>
      <c r="I7607" s="261"/>
      <c r="J7607" s="261"/>
      <c r="K7607" s="261"/>
      <c r="L7607" s="261"/>
      <c r="M7607" s="261"/>
    </row>
    <row r="7608" spans="5:13">
      <c r="E7608" s="261"/>
      <c r="F7608" s="261"/>
      <c r="G7608" s="261"/>
      <c r="H7608" s="261"/>
      <c r="I7608" s="261"/>
      <c r="J7608" s="261"/>
      <c r="K7608" s="261"/>
      <c r="L7608" s="261"/>
      <c r="M7608" s="261"/>
    </row>
    <row r="7609" spans="5:13">
      <c r="E7609" s="261"/>
      <c r="F7609" s="261"/>
      <c r="G7609" s="261"/>
      <c r="H7609" s="261"/>
      <c r="I7609" s="261"/>
      <c r="J7609" s="261"/>
      <c r="K7609" s="261"/>
      <c r="L7609" s="261"/>
      <c r="M7609" s="261"/>
    </row>
    <row r="7610" spans="5:13">
      <c r="E7610" s="261"/>
      <c r="F7610" s="261"/>
      <c r="G7610" s="261"/>
      <c r="H7610" s="261"/>
      <c r="I7610" s="261"/>
      <c r="J7610" s="261"/>
      <c r="K7610" s="261"/>
      <c r="L7610" s="261"/>
      <c r="M7610" s="261"/>
    </row>
    <row r="7611" spans="5:13">
      <c r="E7611" s="261"/>
      <c r="F7611" s="261"/>
      <c r="G7611" s="261"/>
      <c r="H7611" s="261"/>
      <c r="I7611" s="261"/>
      <c r="J7611" s="261"/>
      <c r="K7611" s="261"/>
      <c r="L7611" s="261"/>
      <c r="M7611" s="261"/>
    </row>
    <row r="7612" spans="5:13">
      <c r="E7612" s="261"/>
      <c r="F7612" s="261"/>
      <c r="G7612" s="261"/>
      <c r="H7612" s="261"/>
      <c r="I7612" s="261"/>
      <c r="J7612" s="261"/>
      <c r="K7612" s="261"/>
      <c r="L7612" s="261"/>
      <c r="M7612" s="261"/>
    </row>
    <row r="7613" spans="5:13">
      <c r="E7613" s="261"/>
      <c r="F7613" s="261"/>
      <c r="G7613" s="261"/>
      <c r="H7613" s="261"/>
      <c r="I7613" s="261"/>
      <c r="J7613" s="261"/>
      <c r="K7613" s="261"/>
      <c r="L7613" s="261"/>
      <c r="M7613" s="261"/>
    </row>
    <row r="7614" spans="5:13">
      <c r="E7614" s="261"/>
      <c r="F7614" s="261"/>
      <c r="G7614" s="261"/>
      <c r="H7614" s="261"/>
      <c r="I7614" s="261"/>
      <c r="J7614" s="261"/>
      <c r="K7614" s="261"/>
      <c r="L7614" s="261"/>
      <c r="M7614" s="261"/>
    </row>
    <row r="7615" spans="5:13">
      <c r="E7615" s="261"/>
      <c r="F7615" s="261"/>
      <c r="G7615" s="261"/>
      <c r="H7615" s="261"/>
      <c r="I7615" s="261"/>
      <c r="J7615" s="261"/>
      <c r="K7615" s="261"/>
      <c r="L7615" s="261"/>
      <c r="M7615" s="261"/>
    </row>
    <row r="7616" spans="5:13">
      <c r="E7616" s="261"/>
      <c r="F7616" s="261"/>
      <c r="G7616" s="261"/>
      <c r="H7616" s="261"/>
      <c r="I7616" s="261"/>
      <c r="J7616" s="261"/>
      <c r="K7616" s="261"/>
      <c r="L7616" s="261"/>
      <c r="M7616" s="261"/>
    </row>
    <row r="7617" spans="5:13">
      <c r="E7617" s="261"/>
      <c r="F7617" s="261"/>
      <c r="G7617" s="261"/>
      <c r="H7617" s="261"/>
      <c r="I7617" s="261"/>
      <c r="J7617" s="261"/>
      <c r="K7617" s="261"/>
      <c r="L7617" s="261"/>
      <c r="M7617" s="261"/>
    </row>
    <row r="7618" spans="5:13">
      <c r="E7618" s="261"/>
      <c r="F7618" s="261"/>
      <c r="G7618" s="261"/>
      <c r="H7618" s="261"/>
      <c r="I7618" s="261"/>
      <c r="J7618" s="261"/>
      <c r="K7618" s="261"/>
      <c r="L7618" s="261"/>
      <c r="M7618" s="261"/>
    </row>
    <row r="7619" spans="5:13">
      <c r="E7619" s="261"/>
      <c r="F7619" s="261"/>
      <c r="G7619" s="261"/>
      <c r="H7619" s="261"/>
      <c r="I7619" s="261"/>
      <c r="J7619" s="261"/>
      <c r="K7619" s="261"/>
      <c r="L7619" s="261"/>
      <c r="M7619" s="261"/>
    </row>
    <row r="7620" spans="5:13">
      <c r="E7620" s="261"/>
      <c r="F7620" s="261"/>
      <c r="G7620" s="261"/>
      <c r="H7620" s="261"/>
      <c r="I7620" s="261"/>
      <c r="J7620" s="261"/>
      <c r="K7620" s="261"/>
      <c r="L7620" s="261"/>
      <c r="M7620" s="261"/>
    </row>
    <row r="7621" spans="5:13">
      <c r="E7621" s="261"/>
      <c r="F7621" s="261"/>
      <c r="G7621" s="261"/>
      <c r="H7621" s="261"/>
      <c r="I7621" s="261"/>
      <c r="J7621" s="261"/>
      <c r="K7621" s="261"/>
      <c r="L7621" s="261"/>
      <c r="M7621" s="261"/>
    </row>
    <row r="7622" spans="5:13">
      <c r="E7622" s="261"/>
      <c r="F7622" s="261"/>
      <c r="G7622" s="261"/>
      <c r="H7622" s="261"/>
      <c r="I7622" s="261"/>
      <c r="J7622" s="261"/>
      <c r="K7622" s="261"/>
      <c r="L7622" s="261"/>
      <c r="M7622" s="261"/>
    </row>
    <row r="7623" spans="5:13">
      <c r="E7623" s="261"/>
      <c r="F7623" s="261"/>
      <c r="G7623" s="261"/>
      <c r="H7623" s="261"/>
      <c r="I7623" s="261"/>
      <c r="J7623" s="261"/>
      <c r="K7623" s="261"/>
      <c r="L7623" s="261"/>
      <c r="M7623" s="261"/>
    </row>
    <row r="7624" spans="5:13">
      <c r="E7624" s="261"/>
      <c r="F7624" s="261"/>
      <c r="G7624" s="261"/>
      <c r="H7624" s="261"/>
      <c r="I7624" s="261"/>
      <c r="J7624" s="261"/>
      <c r="K7624" s="261"/>
      <c r="L7624" s="261"/>
      <c r="M7624" s="261"/>
    </row>
    <row r="7625" spans="5:13">
      <c r="E7625" s="261"/>
      <c r="F7625" s="261"/>
      <c r="G7625" s="261"/>
      <c r="H7625" s="261"/>
      <c r="I7625" s="261"/>
      <c r="J7625" s="261"/>
      <c r="K7625" s="261"/>
      <c r="L7625" s="261"/>
      <c r="M7625" s="261"/>
    </row>
    <row r="7626" spans="5:13">
      <c r="E7626" s="261"/>
      <c r="F7626" s="261"/>
      <c r="G7626" s="261"/>
      <c r="H7626" s="261"/>
      <c r="I7626" s="261"/>
      <c r="J7626" s="261"/>
      <c r="K7626" s="261"/>
      <c r="L7626" s="261"/>
      <c r="M7626" s="261"/>
    </row>
    <row r="7627" spans="5:13">
      <c r="E7627" s="261"/>
      <c r="F7627" s="261"/>
      <c r="G7627" s="261"/>
      <c r="H7627" s="261"/>
      <c r="I7627" s="261"/>
      <c r="J7627" s="261"/>
      <c r="K7627" s="261"/>
      <c r="L7627" s="261"/>
      <c r="M7627" s="261"/>
    </row>
    <row r="7628" spans="5:13">
      <c r="E7628" s="261"/>
      <c r="F7628" s="261"/>
      <c r="G7628" s="261"/>
      <c r="H7628" s="261"/>
      <c r="I7628" s="261"/>
      <c r="J7628" s="261"/>
      <c r="K7628" s="261"/>
      <c r="L7628" s="261"/>
      <c r="M7628" s="261"/>
    </row>
    <row r="7629" spans="5:13">
      <c r="E7629" s="261"/>
      <c r="F7629" s="261"/>
      <c r="G7629" s="261"/>
      <c r="H7629" s="261"/>
      <c r="I7629" s="261"/>
      <c r="J7629" s="261"/>
      <c r="K7629" s="261"/>
      <c r="L7629" s="261"/>
      <c r="M7629" s="261"/>
    </row>
    <row r="7630" spans="5:13">
      <c r="E7630" s="261"/>
      <c r="F7630" s="261"/>
      <c r="G7630" s="261"/>
      <c r="H7630" s="261"/>
      <c r="I7630" s="261"/>
      <c r="J7630" s="261"/>
      <c r="K7630" s="261"/>
      <c r="L7630" s="261"/>
      <c r="M7630" s="261"/>
    </row>
    <row r="7631" spans="5:13">
      <c r="E7631" s="261"/>
      <c r="F7631" s="261"/>
      <c r="G7631" s="261"/>
      <c r="H7631" s="261"/>
      <c r="I7631" s="261"/>
      <c r="J7631" s="261"/>
      <c r="K7631" s="261"/>
      <c r="L7631" s="261"/>
      <c r="M7631" s="261"/>
    </row>
    <row r="7632" spans="5:13">
      <c r="E7632" s="261"/>
      <c r="F7632" s="261"/>
      <c r="G7632" s="261"/>
      <c r="H7632" s="261"/>
      <c r="I7632" s="261"/>
      <c r="J7632" s="261"/>
      <c r="K7632" s="261"/>
      <c r="L7632" s="261"/>
      <c r="M7632" s="261"/>
    </row>
    <row r="7633" spans="5:13">
      <c r="E7633" s="261"/>
      <c r="F7633" s="261"/>
      <c r="G7633" s="261"/>
      <c r="H7633" s="261"/>
      <c r="I7633" s="261"/>
      <c r="J7633" s="261"/>
      <c r="K7633" s="261"/>
      <c r="L7633" s="261"/>
      <c r="M7633" s="261"/>
    </row>
    <row r="7634" spans="5:13">
      <c r="E7634" s="261"/>
      <c r="F7634" s="261"/>
      <c r="G7634" s="261"/>
      <c r="H7634" s="261"/>
      <c r="I7634" s="261"/>
      <c r="J7634" s="261"/>
      <c r="K7634" s="261"/>
      <c r="L7634" s="261"/>
      <c r="M7634" s="261"/>
    </row>
    <row r="7635" spans="5:13">
      <c r="E7635" s="261"/>
      <c r="F7635" s="261"/>
      <c r="G7635" s="261"/>
      <c r="H7635" s="261"/>
      <c r="I7635" s="261"/>
      <c r="J7635" s="261"/>
      <c r="K7635" s="261"/>
      <c r="L7635" s="261"/>
      <c r="M7635" s="261"/>
    </row>
    <row r="7636" spans="5:13">
      <c r="E7636" s="261"/>
      <c r="F7636" s="261"/>
      <c r="G7636" s="261"/>
      <c r="H7636" s="261"/>
      <c r="I7636" s="261"/>
      <c r="J7636" s="261"/>
      <c r="K7636" s="261"/>
      <c r="L7636" s="261"/>
      <c r="M7636" s="261"/>
    </row>
    <row r="7637" spans="5:13">
      <c r="E7637" s="261"/>
      <c r="F7637" s="261"/>
      <c r="G7637" s="261"/>
      <c r="H7637" s="261"/>
      <c r="I7637" s="261"/>
      <c r="J7637" s="261"/>
      <c r="K7637" s="261"/>
      <c r="L7637" s="261"/>
      <c r="M7637" s="261"/>
    </row>
    <row r="7638" spans="5:13">
      <c r="E7638" s="261"/>
      <c r="F7638" s="261"/>
      <c r="G7638" s="261"/>
      <c r="H7638" s="261"/>
      <c r="I7638" s="261"/>
      <c r="J7638" s="261"/>
      <c r="K7638" s="261"/>
      <c r="L7638" s="261"/>
      <c r="M7638" s="261"/>
    </row>
    <row r="7639" spans="5:13">
      <c r="E7639" s="261"/>
      <c r="F7639" s="261"/>
      <c r="G7639" s="261"/>
      <c r="H7639" s="261"/>
      <c r="I7639" s="261"/>
      <c r="J7639" s="261"/>
      <c r="K7639" s="261"/>
      <c r="L7639" s="261"/>
      <c r="M7639" s="261"/>
    </row>
    <row r="7640" spans="5:13">
      <c r="E7640" s="261"/>
      <c r="F7640" s="261"/>
      <c r="G7640" s="261"/>
      <c r="H7640" s="261"/>
      <c r="I7640" s="261"/>
      <c r="J7640" s="261"/>
      <c r="K7640" s="261"/>
      <c r="L7640" s="261"/>
      <c r="M7640" s="261"/>
    </row>
    <row r="7641" spans="5:13">
      <c r="E7641" s="261"/>
      <c r="F7641" s="261"/>
      <c r="G7641" s="261"/>
      <c r="H7641" s="261"/>
      <c r="I7641" s="261"/>
      <c r="J7641" s="261"/>
      <c r="K7641" s="261"/>
      <c r="L7641" s="261"/>
      <c r="M7641" s="261"/>
    </row>
    <row r="7642" spans="5:13">
      <c r="E7642" s="261"/>
      <c r="F7642" s="261"/>
      <c r="G7642" s="261"/>
      <c r="H7642" s="261"/>
      <c r="I7642" s="261"/>
      <c r="J7642" s="261"/>
      <c r="K7642" s="261"/>
      <c r="L7642" s="261"/>
      <c r="M7642" s="261"/>
    </row>
    <row r="7643" spans="5:13">
      <c r="E7643" s="261"/>
      <c r="F7643" s="261"/>
      <c r="G7643" s="261"/>
      <c r="H7643" s="261"/>
      <c r="I7643" s="261"/>
      <c r="J7643" s="261"/>
      <c r="K7643" s="261"/>
      <c r="L7643" s="261"/>
      <c r="M7643" s="261"/>
    </row>
    <row r="7644" spans="5:13">
      <c r="E7644" s="261"/>
      <c r="F7644" s="261"/>
      <c r="G7644" s="261"/>
      <c r="H7644" s="261"/>
      <c r="I7644" s="261"/>
      <c r="J7644" s="261"/>
      <c r="K7644" s="261"/>
      <c r="L7644" s="261"/>
      <c r="M7644" s="261"/>
    </row>
    <row r="7645" spans="5:13">
      <c r="E7645" s="261"/>
      <c r="F7645" s="261"/>
      <c r="G7645" s="261"/>
      <c r="H7645" s="261"/>
      <c r="I7645" s="261"/>
      <c r="J7645" s="261"/>
      <c r="K7645" s="261"/>
      <c r="L7645" s="261"/>
      <c r="M7645" s="261"/>
    </row>
    <row r="7646" spans="5:13">
      <c r="E7646" s="261"/>
      <c r="F7646" s="261"/>
      <c r="G7646" s="261"/>
      <c r="H7646" s="261"/>
      <c r="I7646" s="261"/>
      <c r="J7646" s="261"/>
      <c r="K7646" s="261"/>
      <c r="L7646" s="261"/>
      <c r="M7646" s="261"/>
    </row>
    <row r="7647" spans="5:13">
      <c r="E7647" s="261"/>
      <c r="F7647" s="261"/>
      <c r="G7647" s="261"/>
      <c r="H7647" s="261"/>
      <c r="I7647" s="261"/>
      <c r="J7647" s="261"/>
      <c r="K7647" s="261"/>
      <c r="L7647" s="261"/>
      <c r="M7647" s="261"/>
    </row>
    <row r="7648" spans="5:13">
      <c r="E7648" s="261"/>
      <c r="F7648" s="261"/>
      <c r="G7648" s="261"/>
      <c r="H7648" s="261"/>
      <c r="I7648" s="261"/>
      <c r="J7648" s="261"/>
      <c r="K7648" s="261"/>
      <c r="L7648" s="261"/>
      <c r="M7648" s="261"/>
    </row>
    <row r="7649" spans="5:13">
      <c r="E7649" s="261"/>
      <c r="F7649" s="261"/>
      <c r="G7649" s="261"/>
      <c r="H7649" s="261"/>
      <c r="I7649" s="261"/>
      <c r="J7649" s="261"/>
      <c r="K7649" s="261"/>
      <c r="L7649" s="261"/>
      <c r="M7649" s="261"/>
    </row>
    <row r="7650" spans="5:13">
      <c r="E7650" s="261"/>
      <c r="F7650" s="261"/>
      <c r="G7650" s="261"/>
      <c r="H7650" s="261"/>
      <c r="I7650" s="261"/>
      <c r="J7650" s="261"/>
      <c r="K7650" s="261"/>
      <c r="L7650" s="261"/>
      <c r="M7650" s="261"/>
    </row>
    <row r="7651" spans="5:13">
      <c r="E7651" s="261"/>
      <c r="F7651" s="261"/>
      <c r="G7651" s="261"/>
      <c r="H7651" s="261"/>
      <c r="I7651" s="261"/>
      <c r="J7651" s="261"/>
      <c r="K7651" s="261"/>
      <c r="L7651" s="261"/>
      <c r="M7651" s="261"/>
    </row>
    <row r="7652" spans="5:13">
      <c r="E7652" s="261"/>
      <c r="F7652" s="261"/>
      <c r="G7652" s="261"/>
      <c r="H7652" s="261"/>
      <c r="I7652" s="261"/>
      <c r="J7652" s="261"/>
      <c r="K7652" s="261"/>
      <c r="L7652" s="261"/>
      <c r="M7652" s="261"/>
    </row>
    <row r="7653" spans="5:13">
      <c r="E7653" s="261"/>
      <c r="F7653" s="261"/>
      <c r="G7653" s="261"/>
      <c r="H7653" s="261"/>
      <c r="I7653" s="261"/>
      <c r="J7653" s="261"/>
      <c r="K7653" s="261"/>
      <c r="L7653" s="261"/>
      <c r="M7653" s="261"/>
    </row>
    <row r="7654" spans="5:13">
      <c r="E7654" s="261"/>
      <c r="F7654" s="261"/>
      <c r="G7654" s="261"/>
      <c r="H7654" s="261"/>
      <c r="I7654" s="261"/>
      <c r="J7654" s="261"/>
      <c r="K7654" s="261"/>
      <c r="L7654" s="261"/>
      <c r="M7654" s="261"/>
    </row>
    <row r="7655" spans="5:13">
      <c r="E7655" s="261"/>
      <c r="F7655" s="261"/>
      <c r="G7655" s="261"/>
      <c r="H7655" s="261"/>
      <c r="I7655" s="261"/>
      <c r="J7655" s="261"/>
      <c r="K7655" s="261"/>
      <c r="L7655" s="261"/>
      <c r="M7655" s="261"/>
    </row>
    <row r="7656" spans="5:13">
      <c r="E7656" s="261"/>
      <c r="F7656" s="261"/>
      <c r="G7656" s="261"/>
      <c r="H7656" s="261"/>
      <c r="I7656" s="261"/>
      <c r="J7656" s="261"/>
      <c r="K7656" s="261"/>
      <c r="L7656" s="261"/>
      <c r="M7656" s="261"/>
    </row>
    <row r="7657" spans="5:13">
      <c r="E7657" s="261"/>
      <c r="F7657" s="261"/>
      <c r="G7657" s="261"/>
      <c r="H7657" s="261"/>
      <c r="I7657" s="261"/>
      <c r="J7657" s="261"/>
      <c r="K7657" s="261"/>
      <c r="L7657" s="261"/>
      <c r="M7657" s="261"/>
    </row>
    <row r="7658" spans="5:13">
      <c r="E7658" s="261"/>
      <c r="F7658" s="261"/>
      <c r="G7658" s="261"/>
      <c r="H7658" s="261"/>
      <c r="I7658" s="261"/>
      <c r="J7658" s="261"/>
      <c r="K7658" s="261"/>
      <c r="L7658" s="261"/>
      <c r="M7658" s="261"/>
    </row>
    <row r="7659" spans="5:13">
      <c r="E7659" s="261"/>
      <c r="F7659" s="261"/>
      <c r="G7659" s="261"/>
      <c r="H7659" s="261"/>
      <c r="I7659" s="261"/>
      <c r="J7659" s="261"/>
      <c r="K7659" s="261"/>
      <c r="L7659" s="261"/>
      <c r="M7659" s="261"/>
    </row>
    <row r="7660" spans="5:13">
      <c r="E7660" s="261"/>
      <c r="F7660" s="261"/>
      <c r="G7660" s="261"/>
      <c r="H7660" s="261"/>
      <c r="I7660" s="261"/>
      <c r="J7660" s="261"/>
      <c r="K7660" s="261"/>
      <c r="L7660" s="261"/>
      <c r="M7660" s="261"/>
    </row>
    <row r="7661" spans="5:13">
      <c r="E7661" s="261"/>
      <c r="F7661" s="261"/>
      <c r="G7661" s="261"/>
      <c r="H7661" s="261"/>
      <c r="I7661" s="261"/>
      <c r="J7661" s="261"/>
      <c r="K7661" s="261"/>
      <c r="L7661" s="261"/>
      <c r="M7661" s="261"/>
    </row>
    <row r="7662" spans="5:13">
      <c r="E7662" s="261"/>
      <c r="F7662" s="261"/>
      <c r="G7662" s="261"/>
      <c r="H7662" s="261"/>
      <c r="I7662" s="261"/>
      <c r="J7662" s="261"/>
      <c r="K7662" s="261"/>
      <c r="L7662" s="261"/>
      <c r="M7662" s="261"/>
    </row>
    <row r="7663" spans="5:13">
      <c r="E7663" s="261"/>
      <c r="F7663" s="261"/>
      <c r="G7663" s="261"/>
      <c r="H7663" s="261"/>
      <c r="I7663" s="261"/>
      <c r="J7663" s="261"/>
      <c r="K7663" s="261"/>
      <c r="L7663" s="261"/>
      <c r="M7663" s="261"/>
    </row>
    <row r="7664" spans="5:13">
      <c r="E7664" s="261"/>
      <c r="F7664" s="261"/>
      <c r="G7664" s="261"/>
      <c r="H7664" s="261"/>
      <c r="I7664" s="261"/>
      <c r="J7664" s="261"/>
      <c r="K7664" s="261"/>
      <c r="L7664" s="261"/>
      <c r="M7664" s="261"/>
    </row>
    <row r="7665" spans="5:13">
      <c r="E7665" s="261"/>
      <c r="F7665" s="261"/>
      <c r="G7665" s="261"/>
      <c r="H7665" s="261"/>
      <c r="I7665" s="261"/>
      <c r="J7665" s="261"/>
      <c r="K7665" s="261"/>
      <c r="L7665" s="261"/>
      <c r="M7665" s="261"/>
    </row>
    <row r="7666" spans="5:13">
      <c r="E7666" s="261"/>
      <c r="F7666" s="261"/>
      <c r="G7666" s="261"/>
      <c r="H7666" s="261"/>
      <c r="I7666" s="261"/>
      <c r="J7666" s="261"/>
      <c r="K7666" s="261"/>
      <c r="L7666" s="261"/>
      <c r="M7666" s="261"/>
    </row>
    <row r="7667" spans="5:13">
      <c r="E7667" s="261"/>
      <c r="F7667" s="261"/>
      <c r="G7667" s="261"/>
      <c r="H7667" s="261"/>
      <c r="I7667" s="261"/>
      <c r="J7667" s="261"/>
      <c r="K7667" s="261"/>
      <c r="L7667" s="261"/>
      <c r="M7667" s="261"/>
    </row>
    <row r="7668" spans="5:13">
      <c r="E7668" s="261"/>
      <c r="F7668" s="261"/>
      <c r="G7668" s="261"/>
      <c r="H7668" s="261"/>
      <c r="I7668" s="261"/>
      <c r="J7668" s="261"/>
      <c r="K7668" s="261"/>
      <c r="L7668" s="261"/>
      <c r="M7668" s="261"/>
    </row>
    <row r="7669" spans="5:13">
      <c r="E7669" s="261"/>
      <c r="F7669" s="261"/>
      <c r="G7669" s="261"/>
      <c r="H7669" s="261"/>
      <c r="I7669" s="261"/>
      <c r="J7669" s="261"/>
      <c r="K7669" s="261"/>
      <c r="L7669" s="261"/>
      <c r="M7669" s="261"/>
    </row>
    <row r="7670" spans="5:13">
      <c r="E7670" s="261"/>
      <c r="F7670" s="261"/>
      <c r="G7670" s="261"/>
      <c r="H7670" s="261"/>
      <c r="I7670" s="261"/>
      <c r="J7670" s="261"/>
      <c r="K7670" s="261"/>
      <c r="L7670" s="261"/>
      <c r="M7670" s="261"/>
    </row>
    <row r="7671" spans="5:13">
      <c r="E7671" s="261"/>
      <c r="F7671" s="261"/>
      <c r="G7671" s="261"/>
      <c r="H7671" s="261"/>
      <c r="I7671" s="261"/>
      <c r="J7671" s="261"/>
      <c r="K7671" s="261"/>
      <c r="L7671" s="261"/>
      <c r="M7671" s="261"/>
    </row>
    <row r="7672" spans="5:13">
      <c r="E7672" s="261"/>
      <c r="F7672" s="261"/>
      <c r="G7672" s="261"/>
      <c r="H7672" s="261"/>
      <c r="I7672" s="261"/>
      <c r="J7672" s="261"/>
      <c r="K7672" s="261"/>
      <c r="L7672" s="261"/>
      <c r="M7672" s="261"/>
    </row>
    <row r="7673" spans="5:13">
      <c r="E7673" s="261"/>
      <c r="F7673" s="261"/>
      <c r="G7673" s="261"/>
      <c r="H7673" s="261"/>
      <c r="I7673" s="261"/>
      <c r="J7673" s="261"/>
      <c r="K7673" s="261"/>
      <c r="L7673" s="261"/>
      <c r="M7673" s="261"/>
    </row>
    <row r="7674" spans="5:13">
      <c r="E7674" s="261"/>
      <c r="F7674" s="261"/>
      <c r="G7674" s="261"/>
      <c r="H7674" s="261"/>
      <c r="I7674" s="261"/>
      <c r="J7674" s="261"/>
      <c r="K7674" s="261"/>
      <c r="L7674" s="261"/>
      <c r="M7674" s="261"/>
    </row>
    <row r="7675" spans="5:13">
      <c r="E7675" s="261"/>
      <c r="F7675" s="261"/>
      <c r="G7675" s="261"/>
      <c r="H7675" s="261"/>
      <c r="I7675" s="261"/>
      <c r="J7675" s="261"/>
      <c r="K7675" s="261"/>
      <c r="L7675" s="261"/>
      <c r="M7675" s="261"/>
    </row>
    <row r="7676" spans="5:13">
      <c r="E7676" s="261"/>
      <c r="F7676" s="261"/>
      <c r="G7676" s="261"/>
      <c r="H7676" s="261"/>
      <c r="I7676" s="261"/>
      <c r="J7676" s="261"/>
      <c r="K7676" s="261"/>
      <c r="L7676" s="261"/>
      <c r="M7676" s="261"/>
    </row>
    <row r="7677" spans="5:13">
      <c r="E7677" s="261"/>
      <c r="F7677" s="261"/>
      <c r="G7677" s="261"/>
      <c r="H7677" s="261"/>
      <c r="I7677" s="261"/>
      <c r="J7677" s="261"/>
      <c r="K7677" s="261"/>
      <c r="L7677" s="261"/>
      <c r="M7677" s="261"/>
    </row>
    <row r="7678" spans="5:13">
      <c r="E7678" s="261"/>
      <c r="F7678" s="261"/>
      <c r="G7678" s="261"/>
      <c r="H7678" s="261"/>
      <c r="I7678" s="261"/>
      <c r="J7678" s="261"/>
      <c r="K7678" s="261"/>
      <c r="L7678" s="261"/>
      <c r="M7678" s="261"/>
    </row>
    <row r="7679" spans="5:13">
      <c r="E7679" s="261"/>
      <c r="F7679" s="261"/>
      <c r="G7679" s="261"/>
      <c r="H7679" s="261"/>
      <c r="I7679" s="261"/>
      <c r="J7679" s="261"/>
      <c r="K7679" s="261"/>
      <c r="L7679" s="261"/>
      <c r="M7679" s="261"/>
    </row>
    <row r="7680" spans="5:13">
      <c r="E7680" s="261"/>
      <c r="F7680" s="261"/>
      <c r="G7680" s="261"/>
      <c r="H7680" s="261"/>
      <c r="I7680" s="261"/>
      <c r="J7680" s="261"/>
      <c r="K7680" s="261"/>
      <c r="L7680" s="261"/>
      <c r="M7680" s="261"/>
    </row>
    <row r="7681" spans="5:13">
      <c r="E7681" s="261"/>
      <c r="F7681" s="261"/>
      <c r="G7681" s="261"/>
      <c r="H7681" s="261"/>
      <c r="I7681" s="261"/>
      <c r="J7681" s="261"/>
      <c r="K7681" s="261"/>
      <c r="L7681" s="261"/>
      <c r="M7681" s="261"/>
    </row>
    <row r="7682" spans="5:13">
      <c r="E7682" s="261"/>
      <c r="F7682" s="261"/>
      <c r="G7682" s="261"/>
      <c r="H7682" s="261"/>
      <c r="I7682" s="261"/>
      <c r="J7682" s="261"/>
      <c r="K7682" s="261"/>
      <c r="L7682" s="261"/>
      <c r="M7682" s="261"/>
    </row>
    <row r="7683" spans="5:13">
      <c r="E7683" s="261"/>
      <c r="F7683" s="261"/>
      <c r="G7683" s="261"/>
      <c r="H7683" s="261"/>
      <c r="I7683" s="261"/>
      <c r="J7683" s="261"/>
      <c r="K7683" s="261"/>
      <c r="L7683" s="261"/>
      <c r="M7683" s="261"/>
    </row>
    <row r="7684" spans="5:13">
      <c r="E7684" s="261"/>
      <c r="F7684" s="261"/>
      <c r="G7684" s="261"/>
      <c r="H7684" s="261"/>
      <c r="I7684" s="261"/>
      <c r="J7684" s="261"/>
      <c r="K7684" s="261"/>
      <c r="L7684" s="261"/>
      <c r="M7684" s="261"/>
    </row>
    <row r="7685" spans="5:13">
      <c r="E7685" s="261"/>
      <c r="F7685" s="261"/>
      <c r="G7685" s="261"/>
      <c r="H7685" s="261"/>
      <c r="I7685" s="261"/>
      <c r="J7685" s="261"/>
      <c r="K7685" s="261"/>
      <c r="L7685" s="261"/>
      <c r="M7685" s="261"/>
    </row>
    <row r="7686" spans="5:13">
      <c r="E7686" s="261"/>
      <c r="F7686" s="261"/>
      <c r="G7686" s="261"/>
      <c r="H7686" s="261"/>
      <c r="I7686" s="261"/>
      <c r="J7686" s="261"/>
      <c r="K7686" s="261"/>
      <c r="L7686" s="261"/>
      <c r="M7686" s="261"/>
    </row>
    <row r="7687" spans="5:13">
      <c r="E7687" s="261"/>
      <c r="F7687" s="261"/>
      <c r="G7687" s="261"/>
      <c r="H7687" s="261"/>
      <c r="I7687" s="261"/>
      <c r="J7687" s="261"/>
      <c r="K7687" s="261"/>
      <c r="L7687" s="261"/>
      <c r="M7687" s="261"/>
    </row>
    <row r="7688" spans="5:13">
      <c r="E7688" s="261"/>
      <c r="F7688" s="261"/>
      <c r="G7688" s="261"/>
      <c r="H7688" s="261"/>
      <c r="I7688" s="261"/>
      <c r="J7688" s="261"/>
      <c r="K7688" s="261"/>
      <c r="L7688" s="261"/>
      <c r="M7688" s="261"/>
    </row>
    <row r="7689" spans="5:13">
      <c r="E7689" s="261"/>
      <c r="F7689" s="261"/>
      <c r="G7689" s="261"/>
      <c r="H7689" s="261"/>
      <c r="I7689" s="261"/>
      <c r="J7689" s="261"/>
      <c r="K7689" s="261"/>
      <c r="L7689" s="261"/>
      <c r="M7689" s="261"/>
    </row>
    <row r="7690" spans="5:13">
      <c r="E7690" s="261"/>
      <c r="F7690" s="261"/>
      <c r="G7690" s="261"/>
      <c r="H7690" s="261"/>
      <c r="I7690" s="261"/>
      <c r="J7690" s="261"/>
      <c r="K7690" s="261"/>
      <c r="L7690" s="261"/>
      <c r="M7690" s="261"/>
    </row>
    <row r="7691" spans="5:13">
      <c r="E7691" s="261"/>
      <c r="F7691" s="261"/>
      <c r="G7691" s="261"/>
      <c r="H7691" s="261"/>
      <c r="I7691" s="261"/>
      <c r="J7691" s="261"/>
      <c r="K7691" s="261"/>
      <c r="L7691" s="261"/>
      <c r="M7691" s="261"/>
    </row>
    <row r="7692" spans="5:13">
      <c r="E7692" s="261"/>
      <c r="F7692" s="261"/>
      <c r="G7692" s="261"/>
      <c r="H7692" s="261"/>
      <c r="I7692" s="261"/>
      <c r="J7692" s="261"/>
      <c r="K7692" s="261"/>
      <c r="L7692" s="261"/>
      <c r="M7692" s="261"/>
    </row>
    <row r="7693" spans="5:13">
      <c r="E7693" s="261"/>
      <c r="F7693" s="261"/>
      <c r="G7693" s="261"/>
      <c r="H7693" s="261"/>
      <c r="I7693" s="261"/>
      <c r="J7693" s="261"/>
      <c r="K7693" s="261"/>
      <c r="L7693" s="261"/>
      <c r="M7693" s="261"/>
    </row>
    <row r="7694" spans="5:13">
      <c r="E7694" s="261"/>
      <c r="F7694" s="261"/>
      <c r="G7694" s="261"/>
      <c r="H7694" s="261"/>
      <c r="I7694" s="261"/>
      <c r="J7694" s="261"/>
      <c r="K7694" s="261"/>
      <c r="L7694" s="261"/>
      <c r="M7694" s="261"/>
    </row>
    <row r="7695" spans="5:13">
      <c r="E7695" s="261"/>
      <c r="F7695" s="261"/>
      <c r="G7695" s="261"/>
      <c r="H7695" s="261"/>
      <c r="I7695" s="261"/>
      <c r="J7695" s="261"/>
      <c r="K7695" s="261"/>
      <c r="L7695" s="261"/>
      <c r="M7695" s="261"/>
    </row>
    <row r="7696" spans="5:13">
      <c r="E7696" s="261"/>
      <c r="F7696" s="261"/>
      <c r="G7696" s="261"/>
      <c r="H7696" s="261"/>
      <c r="I7696" s="261"/>
      <c r="J7696" s="261"/>
      <c r="K7696" s="261"/>
      <c r="L7696" s="261"/>
      <c r="M7696" s="261"/>
    </row>
    <row r="7697" spans="5:13">
      <c r="E7697" s="261"/>
      <c r="F7697" s="261"/>
      <c r="G7697" s="261"/>
      <c r="H7697" s="261"/>
      <c r="I7697" s="261"/>
      <c r="J7697" s="261"/>
      <c r="K7697" s="261"/>
      <c r="L7697" s="261"/>
      <c r="M7697" s="261"/>
    </row>
    <row r="7698" spans="5:13">
      <c r="E7698" s="261"/>
      <c r="F7698" s="261"/>
      <c r="G7698" s="261"/>
      <c r="H7698" s="261"/>
      <c r="I7698" s="261"/>
      <c r="J7698" s="261"/>
      <c r="K7698" s="261"/>
      <c r="L7698" s="261"/>
      <c r="M7698" s="261"/>
    </row>
    <row r="7699" spans="5:13">
      <c r="E7699" s="261"/>
      <c r="F7699" s="261"/>
      <c r="G7699" s="261"/>
      <c r="H7699" s="261"/>
      <c r="I7699" s="261"/>
      <c r="J7699" s="261"/>
      <c r="K7699" s="261"/>
      <c r="L7699" s="261"/>
      <c r="M7699" s="261"/>
    </row>
    <row r="7700" spans="5:13">
      <c r="E7700" s="261"/>
      <c r="F7700" s="261"/>
      <c r="G7700" s="261"/>
      <c r="H7700" s="261"/>
      <c r="I7700" s="261"/>
      <c r="J7700" s="261"/>
      <c r="K7700" s="261"/>
      <c r="L7700" s="261"/>
      <c r="M7700" s="261"/>
    </row>
    <row r="7701" spans="5:13">
      <c r="E7701" s="261"/>
      <c r="F7701" s="261"/>
      <c r="G7701" s="261"/>
      <c r="H7701" s="261"/>
      <c r="I7701" s="261"/>
      <c r="J7701" s="261"/>
      <c r="K7701" s="261"/>
      <c r="L7701" s="261"/>
      <c r="M7701" s="261"/>
    </row>
    <row r="7702" spans="5:13">
      <c r="E7702" s="261"/>
      <c r="F7702" s="261"/>
      <c r="G7702" s="261"/>
      <c r="H7702" s="261"/>
      <c r="I7702" s="261"/>
      <c r="J7702" s="261"/>
      <c r="K7702" s="261"/>
      <c r="L7702" s="261"/>
      <c r="M7702" s="261"/>
    </row>
    <row r="7703" spans="5:13">
      <c r="E7703" s="261"/>
      <c r="F7703" s="261"/>
      <c r="G7703" s="261"/>
      <c r="H7703" s="261"/>
      <c r="I7703" s="261"/>
      <c r="J7703" s="261"/>
      <c r="K7703" s="261"/>
      <c r="L7703" s="261"/>
      <c r="M7703" s="261"/>
    </row>
    <row r="7704" spans="5:13">
      <c r="E7704" s="261"/>
      <c r="F7704" s="261"/>
      <c r="G7704" s="261"/>
      <c r="H7704" s="261"/>
      <c r="I7704" s="261"/>
      <c r="J7704" s="261"/>
      <c r="K7704" s="261"/>
      <c r="L7704" s="261"/>
      <c r="M7704" s="261"/>
    </row>
    <row r="7705" spans="5:13">
      <c r="E7705" s="261"/>
      <c r="F7705" s="261"/>
      <c r="G7705" s="261"/>
      <c r="H7705" s="261"/>
      <c r="I7705" s="261"/>
      <c r="J7705" s="261"/>
      <c r="K7705" s="261"/>
      <c r="L7705" s="261"/>
      <c r="M7705" s="261"/>
    </row>
    <row r="7706" spans="5:13">
      <c r="E7706" s="261"/>
      <c r="F7706" s="261"/>
      <c r="G7706" s="261"/>
      <c r="H7706" s="261"/>
      <c r="I7706" s="261"/>
      <c r="J7706" s="261"/>
      <c r="K7706" s="261"/>
      <c r="L7706" s="261"/>
      <c r="M7706" s="261"/>
    </row>
    <row r="7707" spans="5:13">
      <c r="E7707" s="261"/>
      <c r="F7707" s="261"/>
      <c r="G7707" s="261"/>
      <c r="H7707" s="261"/>
      <c r="I7707" s="261"/>
      <c r="J7707" s="261"/>
      <c r="K7707" s="261"/>
      <c r="L7707" s="261"/>
      <c r="M7707" s="261"/>
    </row>
    <row r="7708" spans="5:13">
      <c r="E7708" s="261"/>
      <c r="F7708" s="261"/>
      <c r="G7708" s="261"/>
      <c r="H7708" s="261"/>
      <c r="I7708" s="261"/>
      <c r="J7708" s="261"/>
      <c r="K7708" s="261"/>
      <c r="L7708" s="261"/>
      <c r="M7708" s="261"/>
    </row>
    <row r="7709" spans="5:13">
      <c r="E7709" s="261"/>
      <c r="F7709" s="261"/>
      <c r="G7709" s="261"/>
      <c r="H7709" s="261"/>
      <c r="I7709" s="261"/>
      <c r="J7709" s="261"/>
      <c r="K7709" s="261"/>
      <c r="L7709" s="261"/>
      <c r="M7709" s="261"/>
    </row>
    <row r="7710" spans="5:13">
      <c r="E7710" s="261"/>
      <c r="F7710" s="261"/>
      <c r="G7710" s="261"/>
      <c r="H7710" s="261"/>
      <c r="I7710" s="261"/>
      <c r="J7710" s="261"/>
      <c r="K7710" s="261"/>
      <c r="L7710" s="261"/>
      <c r="M7710" s="261"/>
    </row>
    <row r="7711" spans="5:13">
      <c r="E7711" s="261"/>
      <c r="F7711" s="261"/>
      <c r="G7711" s="261"/>
      <c r="H7711" s="261"/>
      <c r="I7711" s="261"/>
      <c r="J7711" s="261"/>
      <c r="K7711" s="261"/>
      <c r="L7711" s="261"/>
      <c r="M7711" s="261"/>
    </row>
    <row r="7712" spans="5:13">
      <c r="E7712" s="261"/>
      <c r="F7712" s="261"/>
      <c r="G7712" s="261"/>
      <c r="H7712" s="261"/>
      <c r="I7712" s="261"/>
      <c r="J7712" s="261"/>
      <c r="K7712" s="261"/>
      <c r="L7712" s="261"/>
      <c r="M7712" s="261"/>
    </row>
    <row r="7713" spans="5:13">
      <c r="E7713" s="261"/>
      <c r="F7713" s="261"/>
      <c r="G7713" s="261"/>
      <c r="H7713" s="261"/>
      <c r="I7713" s="261"/>
      <c r="J7713" s="261"/>
      <c r="K7713" s="261"/>
      <c r="L7713" s="261"/>
      <c r="M7713" s="261"/>
    </row>
    <row r="7714" spans="5:13">
      <c r="E7714" s="261"/>
      <c r="F7714" s="261"/>
      <c r="G7714" s="261"/>
      <c r="H7714" s="261"/>
      <c r="I7714" s="261"/>
      <c r="J7714" s="261"/>
      <c r="K7714" s="261"/>
      <c r="L7714" s="261"/>
      <c r="M7714" s="261"/>
    </row>
    <row r="7715" spans="5:13">
      <c r="E7715" s="261"/>
      <c r="F7715" s="261"/>
      <c r="G7715" s="261"/>
      <c r="H7715" s="261"/>
      <c r="I7715" s="261"/>
      <c r="J7715" s="261"/>
      <c r="K7715" s="261"/>
      <c r="L7715" s="261"/>
      <c r="M7715" s="261"/>
    </row>
    <row r="7716" spans="5:13">
      <c r="E7716" s="261"/>
      <c r="F7716" s="261"/>
      <c r="G7716" s="261"/>
      <c r="H7716" s="261"/>
      <c r="I7716" s="261"/>
      <c r="J7716" s="261"/>
      <c r="K7716" s="261"/>
      <c r="L7716" s="261"/>
      <c r="M7716" s="261"/>
    </row>
    <row r="7717" spans="5:13">
      <c r="E7717" s="261"/>
      <c r="F7717" s="261"/>
      <c r="G7717" s="261"/>
      <c r="H7717" s="261"/>
      <c r="I7717" s="261"/>
      <c r="J7717" s="261"/>
      <c r="K7717" s="261"/>
      <c r="L7717" s="261"/>
      <c r="M7717" s="261"/>
    </row>
    <row r="7718" spans="5:13">
      <c r="E7718" s="261"/>
      <c r="F7718" s="261"/>
      <c r="G7718" s="261"/>
      <c r="H7718" s="261"/>
      <c r="I7718" s="261"/>
      <c r="J7718" s="261"/>
      <c r="K7718" s="261"/>
      <c r="L7718" s="261"/>
      <c r="M7718" s="261"/>
    </row>
    <row r="7719" spans="5:13">
      <c r="E7719" s="261"/>
      <c r="F7719" s="261"/>
      <c r="G7719" s="261"/>
      <c r="H7719" s="261"/>
      <c r="I7719" s="261"/>
      <c r="J7719" s="261"/>
      <c r="K7719" s="261"/>
      <c r="L7719" s="261"/>
      <c r="M7719" s="261"/>
    </row>
    <row r="7720" spans="5:13">
      <c r="E7720" s="261"/>
      <c r="F7720" s="261"/>
      <c r="G7720" s="261"/>
      <c r="H7720" s="261"/>
      <c r="I7720" s="261"/>
      <c r="J7720" s="261"/>
      <c r="K7720" s="261"/>
      <c r="L7720" s="261"/>
      <c r="M7720" s="261"/>
    </row>
    <row r="7721" spans="5:13">
      <c r="E7721" s="261"/>
      <c r="F7721" s="261"/>
      <c r="G7721" s="261"/>
      <c r="H7721" s="261"/>
      <c r="I7721" s="261"/>
      <c r="J7721" s="261"/>
      <c r="K7721" s="261"/>
      <c r="L7721" s="261"/>
      <c r="M7721" s="261"/>
    </row>
    <row r="7722" spans="5:13">
      <c r="E7722" s="261"/>
      <c r="F7722" s="261"/>
      <c r="G7722" s="261"/>
      <c r="H7722" s="261"/>
      <c r="I7722" s="261"/>
      <c r="J7722" s="261"/>
      <c r="K7722" s="261"/>
      <c r="L7722" s="261"/>
      <c r="M7722" s="261"/>
    </row>
    <row r="7723" spans="5:13">
      <c r="E7723" s="261"/>
      <c r="F7723" s="261"/>
      <c r="G7723" s="261"/>
      <c r="H7723" s="261"/>
      <c r="I7723" s="261"/>
      <c r="J7723" s="261"/>
      <c r="K7723" s="261"/>
      <c r="L7723" s="261"/>
      <c r="M7723" s="261"/>
    </row>
    <row r="7724" spans="5:13">
      <c r="E7724" s="261"/>
      <c r="F7724" s="261"/>
      <c r="G7724" s="261"/>
      <c r="H7724" s="261"/>
      <c r="I7724" s="261"/>
      <c r="J7724" s="261"/>
      <c r="K7724" s="261"/>
      <c r="L7724" s="261"/>
      <c r="M7724" s="261"/>
    </row>
    <row r="7725" spans="5:13">
      <c r="E7725" s="261"/>
      <c r="F7725" s="261"/>
      <c r="G7725" s="261"/>
      <c r="H7725" s="261"/>
      <c r="I7725" s="261"/>
      <c r="J7725" s="261"/>
      <c r="K7725" s="261"/>
      <c r="L7725" s="261"/>
      <c r="M7725" s="261"/>
    </row>
    <row r="7726" spans="5:13">
      <c r="E7726" s="261"/>
      <c r="F7726" s="261"/>
      <c r="G7726" s="261"/>
      <c r="H7726" s="261"/>
      <c r="I7726" s="261"/>
      <c r="J7726" s="261"/>
      <c r="K7726" s="261"/>
      <c r="L7726" s="261"/>
      <c r="M7726" s="261"/>
    </row>
    <row r="7727" spans="5:13">
      <c r="E7727" s="261"/>
      <c r="F7727" s="261"/>
      <c r="G7727" s="261"/>
      <c r="H7727" s="261"/>
      <c r="I7727" s="261"/>
      <c r="J7727" s="261"/>
      <c r="K7727" s="261"/>
      <c r="L7727" s="261"/>
      <c r="M7727" s="261"/>
    </row>
    <row r="7728" spans="5:13">
      <c r="E7728" s="261"/>
      <c r="F7728" s="261"/>
      <c r="G7728" s="261"/>
      <c r="H7728" s="261"/>
      <c r="I7728" s="261"/>
      <c r="J7728" s="261"/>
      <c r="K7728" s="261"/>
      <c r="L7728" s="261"/>
      <c r="M7728" s="261"/>
    </row>
    <row r="7729" spans="5:13">
      <c r="E7729" s="261"/>
      <c r="F7729" s="261"/>
      <c r="G7729" s="261"/>
      <c r="H7729" s="261"/>
      <c r="I7729" s="261"/>
      <c r="J7729" s="261"/>
      <c r="K7729" s="261"/>
      <c r="L7729" s="261"/>
      <c r="M7729" s="261"/>
    </row>
    <row r="7730" spans="5:13">
      <c r="E7730" s="261"/>
      <c r="F7730" s="261"/>
      <c r="G7730" s="261"/>
      <c r="H7730" s="261"/>
      <c r="I7730" s="261"/>
      <c r="J7730" s="261"/>
      <c r="K7730" s="261"/>
      <c r="L7730" s="261"/>
      <c r="M7730" s="261"/>
    </row>
    <row r="7731" spans="5:13">
      <c r="E7731" s="261"/>
      <c r="F7731" s="261"/>
      <c r="G7731" s="261"/>
      <c r="H7731" s="261"/>
      <c r="I7731" s="261"/>
      <c r="J7731" s="261"/>
      <c r="K7731" s="261"/>
      <c r="L7731" s="261"/>
      <c r="M7731" s="261"/>
    </row>
    <row r="7732" spans="5:13">
      <c r="E7732" s="261"/>
      <c r="F7732" s="261"/>
      <c r="G7732" s="261"/>
      <c r="H7732" s="261"/>
      <c r="I7732" s="261"/>
      <c r="J7732" s="261"/>
      <c r="K7732" s="261"/>
      <c r="L7732" s="261"/>
      <c r="M7732" s="261"/>
    </row>
    <row r="7733" spans="5:13">
      <c r="E7733" s="261"/>
      <c r="F7733" s="261"/>
      <c r="G7733" s="261"/>
      <c r="H7733" s="261"/>
      <c r="I7733" s="261"/>
      <c r="J7733" s="261"/>
      <c r="K7733" s="261"/>
      <c r="L7733" s="261"/>
      <c r="M7733" s="261"/>
    </row>
    <row r="7734" spans="5:13">
      <c r="E7734" s="261"/>
      <c r="F7734" s="261"/>
      <c r="G7734" s="261"/>
      <c r="H7734" s="261"/>
      <c r="I7734" s="261"/>
      <c r="J7734" s="261"/>
      <c r="K7734" s="261"/>
      <c r="L7734" s="261"/>
      <c r="M7734" s="261"/>
    </row>
    <row r="7735" spans="5:13">
      <c r="E7735" s="261"/>
      <c r="F7735" s="261"/>
      <c r="G7735" s="261"/>
      <c r="H7735" s="261"/>
      <c r="I7735" s="261"/>
      <c r="J7735" s="261"/>
      <c r="K7735" s="261"/>
      <c r="L7735" s="261"/>
      <c r="M7735" s="261"/>
    </row>
    <row r="7736" spans="5:13">
      <c r="E7736" s="261"/>
      <c r="F7736" s="261"/>
      <c r="G7736" s="261"/>
      <c r="H7736" s="261"/>
      <c r="I7736" s="261"/>
      <c r="J7736" s="261"/>
      <c r="K7736" s="261"/>
      <c r="L7736" s="261"/>
      <c r="M7736" s="261"/>
    </row>
    <row r="7737" spans="5:13">
      <c r="E7737" s="261"/>
      <c r="F7737" s="261"/>
      <c r="G7737" s="261"/>
      <c r="H7737" s="261"/>
      <c r="I7737" s="261"/>
      <c r="J7737" s="261"/>
      <c r="K7737" s="261"/>
      <c r="L7737" s="261"/>
      <c r="M7737" s="261"/>
    </row>
    <row r="7738" spans="5:13">
      <c r="E7738" s="261"/>
      <c r="F7738" s="261"/>
      <c r="G7738" s="261"/>
      <c r="H7738" s="261"/>
      <c r="I7738" s="261"/>
      <c r="J7738" s="261"/>
      <c r="K7738" s="261"/>
      <c r="L7738" s="261"/>
      <c r="M7738" s="261"/>
    </row>
    <row r="7739" spans="5:13">
      <c r="E7739" s="261"/>
      <c r="F7739" s="261"/>
      <c r="G7739" s="261"/>
      <c r="H7739" s="261"/>
      <c r="I7739" s="261"/>
      <c r="J7739" s="261"/>
      <c r="K7739" s="261"/>
      <c r="L7739" s="261"/>
      <c r="M7739" s="261"/>
    </row>
    <row r="7740" spans="5:13">
      <c r="E7740" s="261"/>
      <c r="F7740" s="261"/>
      <c r="G7740" s="261"/>
      <c r="H7740" s="261"/>
      <c r="I7740" s="261"/>
      <c r="J7740" s="261"/>
      <c r="K7740" s="261"/>
      <c r="L7740" s="261"/>
      <c r="M7740" s="261"/>
    </row>
    <row r="7741" spans="5:13">
      <c r="E7741" s="261"/>
      <c r="F7741" s="261"/>
      <c r="G7741" s="261"/>
      <c r="H7741" s="261"/>
      <c r="I7741" s="261"/>
      <c r="J7741" s="261"/>
      <c r="K7741" s="261"/>
      <c r="L7741" s="261"/>
      <c r="M7741" s="261"/>
    </row>
    <row r="7742" spans="5:13">
      <c r="E7742" s="261"/>
      <c r="F7742" s="261"/>
      <c r="G7742" s="261"/>
      <c r="H7742" s="261"/>
      <c r="I7742" s="261"/>
      <c r="J7742" s="261"/>
      <c r="K7742" s="261"/>
      <c r="L7742" s="261"/>
      <c r="M7742" s="261"/>
    </row>
    <row r="7743" spans="5:13">
      <c r="E7743" s="261"/>
      <c r="F7743" s="261"/>
      <c r="G7743" s="261"/>
      <c r="H7743" s="261"/>
      <c r="I7743" s="261"/>
      <c r="J7743" s="261"/>
      <c r="K7743" s="261"/>
      <c r="L7743" s="261"/>
      <c r="M7743" s="261"/>
    </row>
    <row r="7744" spans="5:13">
      <c r="E7744" s="261"/>
      <c r="F7744" s="261"/>
      <c r="G7744" s="261"/>
      <c r="H7744" s="261"/>
      <c r="I7744" s="261"/>
      <c r="J7744" s="261"/>
      <c r="K7744" s="261"/>
      <c r="L7744" s="261"/>
      <c r="M7744" s="261"/>
    </row>
    <row r="7745" spans="5:13">
      <c r="E7745" s="261"/>
      <c r="F7745" s="261"/>
      <c r="G7745" s="261"/>
      <c r="H7745" s="261"/>
      <c r="I7745" s="261"/>
      <c r="J7745" s="261"/>
      <c r="K7745" s="261"/>
      <c r="L7745" s="261"/>
      <c r="M7745" s="261"/>
    </row>
    <row r="7746" spans="5:13">
      <c r="E7746" s="261"/>
      <c r="F7746" s="261"/>
      <c r="G7746" s="261"/>
      <c r="H7746" s="261"/>
      <c r="I7746" s="261"/>
      <c r="J7746" s="261"/>
      <c r="K7746" s="261"/>
      <c r="L7746" s="261"/>
      <c r="M7746" s="261"/>
    </row>
    <row r="7747" spans="5:13">
      <c r="E7747" s="261"/>
      <c r="F7747" s="261"/>
      <c r="G7747" s="261"/>
      <c r="H7747" s="261"/>
      <c r="I7747" s="261"/>
      <c r="J7747" s="261"/>
      <c r="K7747" s="261"/>
      <c r="L7747" s="261"/>
      <c r="M7747" s="261"/>
    </row>
    <row r="7748" spans="5:13">
      <c r="E7748" s="261"/>
      <c r="F7748" s="261"/>
      <c r="G7748" s="261"/>
      <c r="H7748" s="261"/>
      <c r="I7748" s="261"/>
      <c r="J7748" s="261"/>
      <c r="K7748" s="261"/>
      <c r="L7748" s="261"/>
      <c r="M7748" s="261"/>
    </row>
    <row r="7749" spans="5:13">
      <c r="E7749" s="261"/>
      <c r="F7749" s="261"/>
      <c r="G7749" s="261"/>
      <c r="H7749" s="261"/>
      <c r="I7749" s="261"/>
      <c r="J7749" s="261"/>
      <c r="K7749" s="261"/>
      <c r="L7749" s="261"/>
      <c r="M7749" s="261"/>
    </row>
    <row r="7750" spans="5:13">
      <c r="E7750" s="261"/>
      <c r="F7750" s="261"/>
      <c r="G7750" s="261"/>
      <c r="H7750" s="261"/>
      <c r="I7750" s="261"/>
      <c r="J7750" s="261"/>
      <c r="K7750" s="261"/>
      <c r="L7750" s="261"/>
      <c r="M7750" s="261"/>
    </row>
    <row r="7751" spans="5:13">
      <c r="E7751" s="261"/>
      <c r="F7751" s="261"/>
      <c r="G7751" s="261"/>
      <c r="H7751" s="261"/>
      <c r="I7751" s="261"/>
      <c r="J7751" s="261"/>
      <c r="K7751" s="261"/>
      <c r="L7751" s="261"/>
      <c r="M7751" s="261"/>
    </row>
    <row r="7752" spans="5:13">
      <c r="E7752" s="261"/>
      <c r="F7752" s="261"/>
      <c r="G7752" s="261"/>
      <c r="H7752" s="261"/>
      <c r="I7752" s="261"/>
      <c r="J7752" s="261"/>
      <c r="K7752" s="261"/>
      <c r="L7752" s="261"/>
      <c r="M7752" s="261"/>
    </row>
    <row r="7753" spans="5:13">
      <c r="E7753" s="261"/>
      <c r="F7753" s="261"/>
      <c r="G7753" s="261"/>
      <c r="H7753" s="261"/>
      <c r="I7753" s="261"/>
      <c r="J7753" s="261"/>
      <c r="K7753" s="261"/>
      <c r="L7753" s="261"/>
      <c r="M7753" s="261"/>
    </row>
    <row r="7754" spans="5:13">
      <c r="E7754" s="261"/>
      <c r="F7754" s="261"/>
      <c r="G7754" s="261"/>
      <c r="H7754" s="261"/>
      <c r="I7754" s="261"/>
      <c r="J7754" s="261"/>
      <c r="K7754" s="261"/>
      <c r="L7754" s="261"/>
      <c r="M7754" s="261"/>
    </row>
    <row r="7755" spans="5:13">
      <c r="E7755" s="261"/>
      <c r="F7755" s="261"/>
      <c r="G7755" s="261"/>
      <c r="H7755" s="261"/>
      <c r="I7755" s="261"/>
      <c r="J7755" s="261"/>
      <c r="K7755" s="261"/>
      <c r="L7755" s="261"/>
      <c r="M7755" s="261"/>
    </row>
    <row r="7756" spans="5:13">
      <c r="E7756" s="261"/>
      <c r="F7756" s="261"/>
      <c r="G7756" s="261"/>
      <c r="H7756" s="261"/>
      <c r="I7756" s="261"/>
      <c r="J7756" s="261"/>
      <c r="K7756" s="261"/>
      <c r="L7756" s="261"/>
      <c r="M7756" s="261"/>
    </row>
    <row r="7757" spans="5:13">
      <c r="E7757" s="261"/>
      <c r="F7757" s="261"/>
      <c r="G7757" s="261"/>
      <c r="H7757" s="261"/>
      <c r="I7757" s="261"/>
      <c r="J7757" s="261"/>
      <c r="K7757" s="261"/>
      <c r="L7757" s="261"/>
      <c r="M7757" s="261"/>
    </row>
    <row r="7758" spans="5:13">
      <c r="E7758" s="261"/>
      <c r="F7758" s="261"/>
      <c r="G7758" s="261"/>
      <c r="H7758" s="261"/>
      <c r="I7758" s="261"/>
      <c r="J7758" s="261"/>
      <c r="K7758" s="261"/>
      <c r="L7758" s="261"/>
      <c r="M7758" s="261"/>
    </row>
    <row r="7759" spans="5:13">
      <c r="E7759" s="261"/>
      <c r="F7759" s="261"/>
      <c r="G7759" s="261"/>
      <c r="H7759" s="261"/>
      <c r="I7759" s="261"/>
      <c r="J7759" s="261"/>
      <c r="K7759" s="261"/>
      <c r="L7759" s="261"/>
      <c r="M7759" s="261"/>
    </row>
    <row r="7760" spans="5:13">
      <c r="E7760" s="261"/>
      <c r="F7760" s="261"/>
      <c r="G7760" s="261"/>
      <c r="H7760" s="261"/>
      <c r="I7760" s="261"/>
      <c r="J7760" s="261"/>
      <c r="K7760" s="261"/>
      <c r="L7760" s="261"/>
      <c r="M7760" s="261"/>
    </row>
    <row r="7761" spans="5:13">
      <c r="E7761" s="261"/>
      <c r="F7761" s="261"/>
      <c r="G7761" s="261"/>
      <c r="H7761" s="261"/>
      <c r="I7761" s="261"/>
      <c r="J7761" s="261"/>
      <c r="K7761" s="261"/>
      <c r="L7761" s="261"/>
      <c r="M7761" s="261"/>
    </row>
    <row r="7762" spans="5:13">
      <c r="E7762" s="261"/>
      <c r="F7762" s="261"/>
      <c r="G7762" s="261"/>
      <c r="H7762" s="261"/>
      <c r="I7762" s="261"/>
      <c r="J7762" s="261"/>
      <c r="K7762" s="261"/>
      <c r="L7762" s="261"/>
      <c r="M7762" s="261"/>
    </row>
    <row r="7763" spans="5:13">
      <c r="E7763" s="261"/>
      <c r="F7763" s="261"/>
      <c r="G7763" s="261"/>
      <c r="H7763" s="261"/>
      <c r="I7763" s="261"/>
      <c r="J7763" s="261"/>
      <c r="K7763" s="261"/>
      <c r="L7763" s="261"/>
      <c r="M7763" s="261"/>
    </row>
    <row r="7764" spans="5:13">
      <c r="E7764" s="261"/>
      <c r="F7764" s="261"/>
      <c r="G7764" s="261"/>
      <c r="H7764" s="261"/>
      <c r="I7764" s="261"/>
      <c r="J7764" s="261"/>
      <c r="K7764" s="261"/>
      <c r="L7764" s="261"/>
      <c r="M7764" s="261"/>
    </row>
    <row r="7765" spans="5:13">
      <c r="E7765" s="261"/>
      <c r="F7765" s="261"/>
      <c r="G7765" s="261"/>
      <c r="H7765" s="261"/>
      <c r="I7765" s="261"/>
      <c r="J7765" s="261"/>
      <c r="K7765" s="261"/>
      <c r="L7765" s="261"/>
      <c r="M7765" s="261"/>
    </row>
    <row r="7766" spans="5:13">
      <c r="E7766" s="261"/>
      <c r="F7766" s="261"/>
      <c r="G7766" s="261"/>
      <c r="H7766" s="261"/>
      <c r="I7766" s="261"/>
      <c r="J7766" s="261"/>
      <c r="K7766" s="261"/>
      <c r="L7766" s="261"/>
      <c r="M7766" s="261"/>
    </row>
    <row r="7767" spans="5:13">
      <c r="E7767" s="261"/>
      <c r="F7767" s="261"/>
      <c r="G7767" s="261"/>
      <c r="H7767" s="261"/>
      <c r="I7767" s="261"/>
      <c r="J7767" s="261"/>
      <c r="K7767" s="261"/>
      <c r="L7767" s="261"/>
      <c r="M7767" s="261"/>
    </row>
    <row r="7768" spans="5:13">
      <c r="E7768" s="261"/>
      <c r="F7768" s="261"/>
      <c r="G7768" s="261"/>
      <c r="H7768" s="261"/>
      <c r="I7768" s="261"/>
      <c r="J7768" s="261"/>
      <c r="K7768" s="261"/>
      <c r="L7768" s="261"/>
      <c r="M7768" s="261"/>
    </row>
    <row r="7769" spans="5:13">
      <c r="E7769" s="261"/>
      <c r="F7769" s="261"/>
      <c r="G7769" s="261"/>
      <c r="H7769" s="261"/>
      <c r="I7769" s="261"/>
      <c r="J7769" s="261"/>
      <c r="K7769" s="261"/>
      <c r="L7769" s="261"/>
      <c r="M7769" s="261"/>
    </row>
    <row r="7770" spans="5:13">
      <c r="E7770" s="261"/>
      <c r="F7770" s="261"/>
      <c r="G7770" s="261"/>
      <c r="H7770" s="261"/>
      <c r="I7770" s="261"/>
      <c r="J7770" s="261"/>
      <c r="K7770" s="261"/>
      <c r="L7770" s="261"/>
      <c r="M7770" s="261"/>
    </row>
    <row r="7771" spans="5:13">
      <c r="E7771" s="261"/>
      <c r="F7771" s="261"/>
      <c r="G7771" s="261"/>
      <c r="H7771" s="261"/>
      <c r="I7771" s="261"/>
      <c r="J7771" s="261"/>
      <c r="K7771" s="261"/>
      <c r="L7771" s="261"/>
      <c r="M7771" s="261"/>
    </row>
    <row r="7772" spans="5:13">
      <c r="E7772" s="261"/>
      <c r="F7772" s="261"/>
      <c r="G7772" s="261"/>
      <c r="H7772" s="261"/>
      <c r="I7772" s="261"/>
      <c r="J7772" s="261"/>
      <c r="K7772" s="261"/>
      <c r="L7772" s="261"/>
      <c r="M7772" s="261"/>
    </row>
    <row r="7773" spans="5:13">
      <c r="E7773" s="261"/>
      <c r="F7773" s="261"/>
      <c r="G7773" s="261"/>
      <c r="H7773" s="261"/>
      <c r="I7773" s="261"/>
      <c r="J7773" s="261"/>
      <c r="K7773" s="261"/>
      <c r="L7773" s="261"/>
      <c r="M7773" s="261"/>
    </row>
    <row r="7774" spans="5:13">
      <c r="E7774" s="261"/>
      <c r="F7774" s="261"/>
      <c r="G7774" s="261"/>
      <c r="H7774" s="261"/>
      <c r="I7774" s="261"/>
      <c r="J7774" s="261"/>
      <c r="K7774" s="261"/>
      <c r="L7774" s="261"/>
      <c r="M7774" s="261"/>
    </row>
    <row r="7775" spans="5:13">
      <c r="E7775" s="261"/>
      <c r="F7775" s="261"/>
      <c r="G7775" s="261"/>
      <c r="H7775" s="261"/>
      <c r="I7775" s="261"/>
      <c r="J7775" s="261"/>
      <c r="K7775" s="261"/>
      <c r="L7775" s="261"/>
      <c r="M7775" s="261"/>
    </row>
    <row r="7776" spans="5:13">
      <c r="E7776" s="261"/>
      <c r="F7776" s="261"/>
      <c r="G7776" s="261"/>
      <c r="H7776" s="261"/>
      <c r="I7776" s="261"/>
      <c r="J7776" s="261"/>
      <c r="K7776" s="261"/>
      <c r="L7776" s="261"/>
      <c r="M7776" s="261"/>
    </row>
    <row r="7777" spans="5:13">
      <c r="E7777" s="261"/>
      <c r="F7777" s="261"/>
      <c r="G7777" s="261"/>
      <c r="H7777" s="261"/>
      <c r="I7777" s="261"/>
      <c r="J7777" s="261"/>
      <c r="K7777" s="261"/>
      <c r="L7777" s="261"/>
      <c r="M7777" s="261"/>
    </row>
    <row r="7778" spans="5:13">
      <c r="E7778" s="261"/>
      <c r="F7778" s="261"/>
      <c r="G7778" s="261"/>
      <c r="H7778" s="261"/>
      <c r="I7778" s="261"/>
      <c r="J7778" s="261"/>
      <c r="K7778" s="261"/>
      <c r="L7778" s="261"/>
      <c r="M7778" s="261"/>
    </row>
    <row r="7779" spans="5:13">
      <c r="E7779" s="261"/>
      <c r="F7779" s="261"/>
      <c r="G7779" s="261"/>
      <c r="H7779" s="261"/>
      <c r="I7779" s="261"/>
      <c r="J7779" s="261"/>
      <c r="K7779" s="261"/>
      <c r="L7779" s="261"/>
      <c r="M7779" s="261"/>
    </row>
    <row r="7780" spans="5:13">
      <c r="E7780" s="261"/>
      <c r="F7780" s="261"/>
      <c r="G7780" s="261"/>
      <c r="H7780" s="261"/>
      <c r="I7780" s="261"/>
      <c r="J7780" s="261"/>
      <c r="K7780" s="261"/>
      <c r="L7780" s="261"/>
      <c r="M7780" s="261"/>
    </row>
    <row r="7781" spans="5:13">
      <c r="E7781" s="261"/>
      <c r="F7781" s="261"/>
      <c r="G7781" s="261"/>
      <c r="H7781" s="261"/>
      <c r="I7781" s="261"/>
      <c r="J7781" s="261"/>
      <c r="K7781" s="261"/>
      <c r="L7781" s="261"/>
      <c r="M7781" s="261"/>
    </row>
    <row r="7782" spans="5:13">
      <c r="E7782" s="261"/>
      <c r="F7782" s="261"/>
      <c r="G7782" s="261"/>
      <c r="H7782" s="261"/>
      <c r="I7782" s="261"/>
      <c r="J7782" s="261"/>
      <c r="K7782" s="261"/>
      <c r="L7782" s="261"/>
      <c r="M7782" s="261"/>
    </row>
    <row r="7783" spans="5:13">
      <c r="E7783" s="261"/>
      <c r="F7783" s="261"/>
      <c r="G7783" s="261"/>
      <c r="H7783" s="261"/>
      <c r="I7783" s="261"/>
      <c r="J7783" s="261"/>
      <c r="K7783" s="261"/>
      <c r="L7783" s="261"/>
      <c r="M7783" s="261"/>
    </row>
    <row r="7784" spans="5:13">
      <c r="E7784" s="261"/>
      <c r="F7784" s="261"/>
      <c r="G7784" s="261"/>
      <c r="H7784" s="261"/>
      <c r="I7784" s="261"/>
      <c r="J7784" s="261"/>
      <c r="K7784" s="261"/>
      <c r="L7784" s="261"/>
      <c r="M7784" s="261"/>
    </row>
    <row r="7785" spans="5:13">
      <c r="E7785" s="261"/>
      <c r="F7785" s="261"/>
      <c r="G7785" s="261"/>
      <c r="H7785" s="261"/>
      <c r="I7785" s="261"/>
      <c r="J7785" s="261"/>
      <c r="K7785" s="261"/>
      <c r="L7785" s="261"/>
      <c r="M7785" s="261"/>
    </row>
    <row r="7786" spans="5:13">
      <c r="E7786" s="261"/>
      <c r="F7786" s="261"/>
      <c r="G7786" s="261"/>
      <c r="H7786" s="261"/>
      <c r="I7786" s="261"/>
      <c r="J7786" s="261"/>
      <c r="K7786" s="261"/>
      <c r="L7786" s="261"/>
      <c r="M7786" s="261"/>
    </row>
    <row r="7787" spans="5:13">
      <c r="E7787" s="261"/>
      <c r="F7787" s="261"/>
      <c r="G7787" s="261"/>
      <c r="H7787" s="261"/>
      <c r="I7787" s="261"/>
      <c r="J7787" s="261"/>
      <c r="K7787" s="261"/>
      <c r="L7787" s="261"/>
      <c r="M7787" s="261"/>
    </row>
    <row r="7788" spans="5:13">
      <c r="E7788" s="261"/>
      <c r="F7788" s="261"/>
      <c r="G7788" s="261"/>
      <c r="H7788" s="261"/>
      <c r="I7788" s="261"/>
      <c r="J7788" s="261"/>
      <c r="K7788" s="261"/>
      <c r="L7788" s="261"/>
      <c r="M7788" s="261"/>
    </row>
    <row r="7789" spans="5:13">
      <c r="E7789" s="261"/>
      <c r="F7789" s="261"/>
      <c r="G7789" s="261"/>
      <c r="H7789" s="261"/>
      <c r="I7789" s="261"/>
      <c r="J7789" s="261"/>
      <c r="K7789" s="261"/>
      <c r="L7789" s="261"/>
      <c r="M7789" s="261"/>
    </row>
    <row r="7790" spans="5:13">
      <c r="E7790" s="261"/>
      <c r="F7790" s="261"/>
      <c r="G7790" s="261"/>
      <c r="H7790" s="261"/>
      <c r="I7790" s="261"/>
      <c r="J7790" s="261"/>
      <c r="K7790" s="261"/>
      <c r="L7790" s="261"/>
      <c r="M7790" s="261"/>
    </row>
    <row r="7791" spans="5:13">
      <c r="E7791" s="261"/>
      <c r="F7791" s="261"/>
      <c r="G7791" s="261"/>
      <c r="H7791" s="261"/>
      <c r="I7791" s="261"/>
      <c r="J7791" s="261"/>
      <c r="K7791" s="261"/>
      <c r="L7791" s="261"/>
      <c r="M7791" s="261"/>
    </row>
    <row r="7792" spans="5:13">
      <c r="E7792" s="261"/>
      <c r="F7792" s="261"/>
      <c r="G7792" s="261"/>
      <c r="H7792" s="261"/>
      <c r="I7792" s="261"/>
      <c r="J7792" s="261"/>
      <c r="K7792" s="261"/>
      <c r="L7792" s="261"/>
      <c r="M7792" s="261"/>
    </row>
    <row r="7793" spans="5:13">
      <c r="E7793" s="261"/>
      <c r="F7793" s="261"/>
      <c r="G7793" s="261"/>
      <c r="H7793" s="261"/>
      <c r="I7793" s="261"/>
      <c r="J7793" s="261"/>
      <c r="K7793" s="261"/>
      <c r="L7793" s="261"/>
      <c r="M7793" s="261"/>
    </row>
    <row r="7794" spans="5:13">
      <c r="E7794" s="261"/>
      <c r="F7794" s="261"/>
      <c r="G7794" s="261"/>
      <c r="H7794" s="261"/>
      <c r="I7794" s="261"/>
      <c r="J7794" s="261"/>
      <c r="K7794" s="261"/>
      <c r="L7794" s="261"/>
      <c r="M7794" s="261"/>
    </row>
    <row r="7795" spans="5:13">
      <c r="E7795" s="261"/>
      <c r="F7795" s="261"/>
      <c r="G7795" s="261"/>
      <c r="H7795" s="261"/>
      <c r="I7795" s="261"/>
      <c r="J7795" s="261"/>
      <c r="K7795" s="261"/>
      <c r="L7795" s="261"/>
      <c r="M7795" s="261"/>
    </row>
    <row r="7796" spans="5:13">
      <c r="E7796" s="261"/>
      <c r="F7796" s="261"/>
      <c r="G7796" s="261"/>
      <c r="H7796" s="261"/>
      <c r="I7796" s="261"/>
      <c r="J7796" s="261"/>
      <c r="K7796" s="261"/>
      <c r="L7796" s="261"/>
      <c r="M7796" s="261"/>
    </row>
    <row r="7797" spans="5:13">
      <c r="E7797" s="261"/>
      <c r="F7797" s="261"/>
      <c r="G7797" s="261"/>
      <c r="H7797" s="261"/>
      <c r="I7797" s="261"/>
      <c r="J7797" s="261"/>
      <c r="K7797" s="261"/>
      <c r="L7797" s="261"/>
      <c r="M7797" s="261"/>
    </row>
    <row r="7798" spans="5:13">
      <c r="E7798" s="261"/>
      <c r="F7798" s="261"/>
      <c r="G7798" s="261"/>
      <c r="H7798" s="261"/>
      <c r="I7798" s="261"/>
      <c r="J7798" s="261"/>
      <c r="K7798" s="261"/>
      <c r="L7798" s="261"/>
      <c r="M7798" s="261"/>
    </row>
    <row r="7799" spans="5:13">
      <c r="E7799" s="261"/>
      <c r="F7799" s="261"/>
      <c r="G7799" s="261"/>
      <c r="H7799" s="261"/>
      <c r="I7799" s="261"/>
      <c r="J7799" s="261"/>
      <c r="K7799" s="261"/>
      <c r="L7799" s="261"/>
      <c r="M7799" s="261"/>
    </row>
    <row r="7800" spans="5:13">
      <c r="E7800" s="261"/>
      <c r="F7800" s="261"/>
      <c r="G7800" s="261"/>
      <c r="H7800" s="261"/>
      <c r="I7800" s="261"/>
      <c r="J7800" s="261"/>
      <c r="K7800" s="261"/>
      <c r="L7800" s="261"/>
      <c r="M7800" s="261"/>
    </row>
    <row r="7801" spans="5:13">
      <c r="E7801" s="261"/>
      <c r="F7801" s="261"/>
      <c r="G7801" s="261"/>
      <c r="H7801" s="261"/>
      <c r="I7801" s="261"/>
      <c r="J7801" s="261"/>
      <c r="K7801" s="261"/>
      <c r="L7801" s="261"/>
      <c r="M7801" s="261"/>
    </row>
    <row r="7802" spans="5:13">
      <c r="E7802" s="261"/>
      <c r="F7802" s="261"/>
      <c r="G7802" s="261"/>
      <c r="H7802" s="261"/>
      <c r="I7802" s="261"/>
      <c r="J7802" s="261"/>
      <c r="K7802" s="261"/>
      <c r="L7802" s="261"/>
      <c r="M7802" s="261"/>
    </row>
    <row r="7803" spans="5:13">
      <c r="E7803" s="261"/>
      <c r="F7803" s="261"/>
      <c r="G7803" s="261"/>
      <c r="H7803" s="261"/>
      <c r="I7803" s="261"/>
      <c r="J7803" s="261"/>
      <c r="K7803" s="261"/>
      <c r="L7803" s="261"/>
      <c r="M7803" s="261"/>
    </row>
    <row r="7804" spans="5:13">
      <c r="E7804" s="261"/>
      <c r="F7804" s="261"/>
      <c r="G7804" s="261"/>
      <c r="H7804" s="261"/>
      <c r="I7804" s="261"/>
      <c r="J7804" s="261"/>
      <c r="K7804" s="261"/>
      <c r="L7804" s="261"/>
      <c r="M7804" s="261"/>
    </row>
    <row r="7805" spans="5:13">
      <c r="E7805" s="261"/>
      <c r="F7805" s="261"/>
      <c r="G7805" s="261"/>
      <c r="H7805" s="261"/>
      <c r="I7805" s="261"/>
      <c r="J7805" s="261"/>
      <c r="K7805" s="261"/>
      <c r="L7805" s="261"/>
      <c r="M7805" s="261"/>
    </row>
    <row r="7806" spans="5:13">
      <c r="E7806" s="261"/>
      <c r="F7806" s="261"/>
      <c r="G7806" s="261"/>
      <c r="H7806" s="261"/>
      <c r="I7806" s="261"/>
      <c r="J7806" s="261"/>
      <c r="K7806" s="261"/>
      <c r="L7806" s="261"/>
      <c r="M7806" s="261"/>
    </row>
    <row r="7807" spans="5:13">
      <c r="E7807" s="261"/>
      <c r="F7807" s="261"/>
      <c r="G7807" s="261"/>
      <c r="H7807" s="261"/>
      <c r="I7807" s="261"/>
      <c r="J7807" s="261"/>
      <c r="K7807" s="261"/>
      <c r="L7807" s="261"/>
      <c r="M7807" s="261"/>
    </row>
    <row r="7808" spans="5:13">
      <c r="E7808" s="261"/>
      <c r="F7808" s="261"/>
      <c r="G7808" s="261"/>
      <c r="H7808" s="261"/>
      <c r="I7808" s="261"/>
      <c r="J7808" s="261"/>
      <c r="K7808" s="261"/>
      <c r="L7808" s="261"/>
      <c r="M7808" s="261"/>
    </row>
    <row r="7809" spans="5:13">
      <c r="E7809" s="261"/>
      <c r="F7809" s="261"/>
      <c r="G7809" s="261"/>
      <c r="H7809" s="261"/>
      <c r="I7809" s="261"/>
      <c r="J7809" s="261"/>
      <c r="K7809" s="261"/>
      <c r="L7809" s="261"/>
      <c r="M7809" s="261"/>
    </row>
    <row r="7810" spans="5:13">
      <c r="E7810" s="261"/>
      <c r="F7810" s="261"/>
      <c r="G7810" s="261"/>
      <c r="H7810" s="261"/>
      <c r="I7810" s="261"/>
      <c r="J7810" s="261"/>
      <c r="K7810" s="261"/>
      <c r="L7810" s="261"/>
      <c r="M7810" s="261"/>
    </row>
    <row r="7811" spans="5:13">
      <c r="E7811" s="261"/>
      <c r="F7811" s="261"/>
      <c r="G7811" s="261"/>
      <c r="H7811" s="261"/>
      <c r="I7811" s="261"/>
      <c r="J7811" s="261"/>
      <c r="K7811" s="261"/>
      <c r="L7811" s="261"/>
      <c r="M7811" s="261"/>
    </row>
    <row r="7812" spans="5:13">
      <c r="E7812" s="261"/>
      <c r="F7812" s="261"/>
      <c r="G7812" s="261"/>
      <c r="H7812" s="261"/>
      <c r="I7812" s="261"/>
      <c r="J7812" s="261"/>
      <c r="K7812" s="261"/>
      <c r="L7812" s="261"/>
      <c r="M7812" s="261"/>
    </row>
    <row r="7813" spans="5:13">
      <c r="E7813" s="261"/>
      <c r="F7813" s="261"/>
      <c r="G7813" s="261"/>
      <c r="H7813" s="261"/>
      <c r="I7813" s="261"/>
      <c r="J7813" s="261"/>
      <c r="K7813" s="261"/>
      <c r="L7813" s="261"/>
      <c r="M7813" s="261"/>
    </row>
    <row r="7814" spans="5:13">
      <c r="E7814" s="261"/>
      <c r="F7814" s="261"/>
      <c r="G7814" s="261"/>
      <c r="H7814" s="261"/>
      <c r="I7814" s="261"/>
      <c r="J7814" s="261"/>
      <c r="K7814" s="261"/>
      <c r="L7814" s="261"/>
      <c r="M7814" s="261"/>
    </row>
    <row r="7815" spans="5:13">
      <c r="E7815" s="261"/>
      <c r="F7815" s="261"/>
      <c r="G7815" s="261"/>
      <c r="H7815" s="261"/>
      <c r="I7815" s="261"/>
      <c r="J7815" s="261"/>
      <c r="K7815" s="261"/>
      <c r="L7815" s="261"/>
      <c r="M7815" s="261"/>
    </row>
    <row r="7816" spans="5:13">
      <c r="E7816" s="261"/>
      <c r="F7816" s="261"/>
      <c r="G7816" s="261"/>
      <c r="H7816" s="261"/>
      <c r="I7816" s="261"/>
      <c r="J7816" s="261"/>
      <c r="K7816" s="261"/>
      <c r="L7816" s="261"/>
      <c r="M7816" s="261"/>
    </row>
    <row r="7817" spans="5:13">
      <c r="E7817" s="261"/>
      <c r="F7817" s="261"/>
      <c r="G7817" s="261"/>
      <c r="H7817" s="261"/>
      <c r="I7817" s="261"/>
      <c r="J7817" s="261"/>
      <c r="K7817" s="261"/>
      <c r="L7817" s="261"/>
      <c r="M7817" s="261"/>
    </row>
    <row r="7818" spans="5:13">
      <c r="E7818" s="261"/>
      <c r="F7818" s="261"/>
      <c r="G7818" s="261"/>
      <c r="H7818" s="261"/>
      <c r="I7818" s="261"/>
      <c r="J7818" s="261"/>
      <c r="K7818" s="261"/>
      <c r="L7818" s="261"/>
      <c r="M7818" s="261"/>
    </row>
    <row r="7819" spans="5:13">
      <c r="E7819" s="261"/>
      <c r="F7819" s="261"/>
      <c r="G7819" s="261"/>
      <c r="H7819" s="261"/>
      <c r="I7819" s="261"/>
      <c r="J7819" s="261"/>
      <c r="K7819" s="261"/>
      <c r="L7819" s="261"/>
      <c r="M7819" s="261"/>
    </row>
    <row r="7820" spans="5:13">
      <c r="E7820" s="261"/>
      <c r="F7820" s="261"/>
      <c r="G7820" s="261"/>
      <c r="H7820" s="261"/>
      <c r="I7820" s="261"/>
      <c r="J7820" s="261"/>
      <c r="K7820" s="261"/>
      <c r="L7820" s="261"/>
      <c r="M7820" s="261"/>
    </row>
    <row r="7821" spans="5:13">
      <c r="E7821" s="261"/>
      <c r="F7821" s="261"/>
      <c r="G7821" s="261"/>
      <c r="H7821" s="261"/>
      <c r="I7821" s="261"/>
      <c r="J7821" s="261"/>
      <c r="K7821" s="261"/>
      <c r="L7821" s="261"/>
      <c r="M7821" s="261"/>
    </row>
    <row r="7822" spans="5:13">
      <c r="E7822" s="261"/>
      <c r="F7822" s="261"/>
      <c r="G7822" s="261"/>
      <c r="H7822" s="261"/>
      <c r="I7822" s="261"/>
      <c r="J7822" s="261"/>
      <c r="K7822" s="261"/>
      <c r="L7822" s="261"/>
      <c r="M7822" s="261"/>
    </row>
    <row r="7823" spans="5:13">
      <c r="E7823" s="261"/>
      <c r="F7823" s="261"/>
      <c r="G7823" s="261"/>
      <c r="H7823" s="261"/>
      <c r="I7823" s="261"/>
      <c r="J7823" s="261"/>
      <c r="K7823" s="261"/>
      <c r="L7823" s="261"/>
      <c r="M7823" s="261"/>
    </row>
    <row r="7824" spans="5:13">
      <c r="E7824" s="261"/>
      <c r="F7824" s="261"/>
      <c r="G7824" s="261"/>
      <c r="H7824" s="261"/>
      <c r="I7824" s="261"/>
      <c r="J7824" s="261"/>
      <c r="K7824" s="261"/>
      <c r="L7824" s="261"/>
      <c r="M7824" s="261"/>
    </row>
    <row r="7825" spans="5:13">
      <c r="E7825" s="261"/>
      <c r="F7825" s="261"/>
      <c r="G7825" s="261"/>
      <c r="H7825" s="261"/>
      <c r="I7825" s="261"/>
      <c r="J7825" s="261"/>
      <c r="K7825" s="261"/>
      <c r="L7825" s="261"/>
      <c r="M7825" s="261"/>
    </row>
    <row r="7826" spans="5:13">
      <c r="E7826" s="261"/>
      <c r="F7826" s="261"/>
      <c r="G7826" s="261"/>
      <c r="H7826" s="261"/>
      <c r="I7826" s="261"/>
      <c r="J7826" s="261"/>
      <c r="K7826" s="261"/>
      <c r="L7826" s="261"/>
      <c r="M7826" s="261"/>
    </row>
    <row r="7827" spans="5:13">
      <c r="E7827" s="261"/>
      <c r="F7827" s="261"/>
      <c r="G7827" s="261"/>
      <c r="H7827" s="261"/>
      <c r="I7827" s="261"/>
      <c r="J7827" s="261"/>
      <c r="K7827" s="261"/>
      <c r="L7827" s="261"/>
      <c r="M7827" s="261"/>
    </row>
    <row r="7828" spans="5:13">
      <c r="E7828" s="261"/>
      <c r="F7828" s="261"/>
      <c r="G7828" s="261"/>
      <c r="H7828" s="261"/>
      <c r="I7828" s="261"/>
      <c r="J7828" s="261"/>
      <c r="K7828" s="261"/>
      <c r="L7828" s="261"/>
      <c r="M7828" s="261"/>
    </row>
    <row r="7829" spans="5:13">
      <c r="E7829" s="261"/>
      <c r="F7829" s="261"/>
      <c r="G7829" s="261"/>
      <c r="H7829" s="261"/>
      <c r="I7829" s="261"/>
      <c r="J7829" s="261"/>
      <c r="K7829" s="261"/>
      <c r="L7829" s="261"/>
      <c r="M7829" s="261"/>
    </row>
    <row r="7830" spans="5:13">
      <c r="E7830" s="261"/>
      <c r="F7830" s="261"/>
      <c r="G7830" s="261"/>
      <c r="H7830" s="261"/>
      <c r="I7830" s="261"/>
      <c r="J7830" s="261"/>
      <c r="K7830" s="261"/>
      <c r="L7830" s="261"/>
      <c r="M7830" s="261"/>
    </row>
    <row r="7831" spans="5:13">
      <c r="E7831" s="261"/>
      <c r="F7831" s="261"/>
      <c r="G7831" s="261"/>
      <c r="H7831" s="261"/>
      <c r="I7831" s="261"/>
      <c r="J7831" s="261"/>
      <c r="K7831" s="261"/>
      <c r="L7831" s="261"/>
      <c r="M7831" s="261"/>
    </row>
    <row r="7832" spans="5:13">
      <c r="E7832" s="261"/>
      <c r="F7832" s="261"/>
      <c r="G7832" s="261"/>
      <c r="H7832" s="261"/>
      <c r="I7832" s="261"/>
      <c r="J7832" s="261"/>
      <c r="K7832" s="261"/>
      <c r="L7832" s="261"/>
      <c r="M7832" s="261"/>
    </row>
    <row r="7833" spans="5:13">
      <c r="E7833" s="261"/>
      <c r="F7833" s="261"/>
      <c r="G7833" s="261"/>
      <c r="H7833" s="261"/>
      <c r="I7833" s="261"/>
      <c r="J7833" s="261"/>
      <c r="K7833" s="261"/>
      <c r="L7833" s="261"/>
      <c r="M7833" s="261"/>
    </row>
    <row r="7834" spans="5:13">
      <c r="E7834" s="261"/>
      <c r="F7834" s="261"/>
      <c r="G7834" s="261"/>
      <c r="H7834" s="261"/>
      <c r="I7834" s="261"/>
      <c r="J7834" s="261"/>
      <c r="K7834" s="261"/>
      <c r="L7834" s="261"/>
      <c r="M7834" s="261"/>
    </row>
    <row r="7835" spans="5:13">
      <c r="E7835" s="261"/>
      <c r="F7835" s="261"/>
      <c r="G7835" s="261"/>
      <c r="H7835" s="261"/>
      <c r="I7835" s="261"/>
      <c r="J7835" s="261"/>
      <c r="K7835" s="261"/>
      <c r="L7835" s="261"/>
      <c r="M7835" s="261"/>
    </row>
    <row r="7836" spans="5:13">
      <c r="E7836" s="261"/>
      <c r="F7836" s="261"/>
      <c r="G7836" s="261"/>
      <c r="H7836" s="261"/>
      <c r="I7836" s="261"/>
      <c r="J7836" s="261"/>
      <c r="K7836" s="261"/>
      <c r="L7836" s="261"/>
      <c r="M7836" s="261"/>
    </row>
    <row r="7837" spans="5:13">
      <c r="E7837" s="261"/>
      <c r="F7837" s="261"/>
      <c r="G7837" s="261"/>
      <c r="H7837" s="261"/>
      <c r="I7837" s="261"/>
      <c r="J7837" s="261"/>
      <c r="K7837" s="261"/>
      <c r="L7837" s="261"/>
      <c r="M7837" s="261"/>
    </row>
    <row r="7838" spans="5:13">
      <c r="E7838" s="261"/>
      <c r="F7838" s="261"/>
      <c r="G7838" s="261"/>
      <c r="H7838" s="261"/>
      <c r="I7838" s="261"/>
      <c r="J7838" s="261"/>
      <c r="K7838" s="261"/>
      <c r="L7838" s="261"/>
      <c r="M7838" s="261"/>
    </row>
    <row r="7839" spans="5:13">
      <c r="E7839" s="261"/>
      <c r="F7839" s="261"/>
      <c r="G7839" s="261"/>
      <c r="H7839" s="261"/>
      <c r="I7839" s="261"/>
      <c r="J7839" s="261"/>
      <c r="K7839" s="261"/>
      <c r="L7839" s="261"/>
      <c r="M7839" s="261"/>
    </row>
    <row r="7840" spans="5:13">
      <c r="E7840" s="261"/>
      <c r="F7840" s="261"/>
      <c r="G7840" s="261"/>
      <c r="H7840" s="261"/>
      <c r="I7840" s="261"/>
      <c r="J7840" s="261"/>
      <c r="K7840" s="261"/>
      <c r="L7840" s="261"/>
      <c r="M7840" s="261"/>
    </row>
    <row r="7841" spans="5:13">
      <c r="E7841" s="261"/>
      <c r="F7841" s="261"/>
      <c r="G7841" s="261"/>
      <c r="H7841" s="261"/>
      <c r="I7841" s="261"/>
      <c r="J7841" s="261"/>
      <c r="K7841" s="261"/>
      <c r="L7841" s="261"/>
      <c r="M7841" s="261"/>
    </row>
    <row r="7842" spans="5:13">
      <c r="E7842" s="261"/>
      <c r="F7842" s="261"/>
      <c r="G7842" s="261"/>
      <c r="H7842" s="261"/>
      <c r="I7842" s="261"/>
      <c r="J7842" s="261"/>
      <c r="K7842" s="261"/>
      <c r="L7842" s="261"/>
      <c r="M7842" s="261"/>
    </row>
    <row r="7843" spans="5:13">
      <c r="E7843" s="261"/>
      <c r="F7843" s="261"/>
      <c r="G7843" s="261"/>
      <c r="H7843" s="261"/>
      <c r="I7843" s="261"/>
      <c r="J7843" s="261"/>
      <c r="K7843" s="261"/>
      <c r="L7843" s="261"/>
      <c r="M7843" s="261"/>
    </row>
    <row r="7844" spans="5:13">
      <c r="E7844" s="261"/>
      <c r="F7844" s="261"/>
      <c r="G7844" s="261"/>
      <c r="H7844" s="261"/>
      <c r="I7844" s="261"/>
      <c r="J7844" s="261"/>
      <c r="K7844" s="261"/>
      <c r="L7844" s="261"/>
      <c r="M7844" s="261"/>
    </row>
    <row r="7845" spans="5:13">
      <c r="E7845" s="261"/>
      <c r="F7845" s="261"/>
      <c r="G7845" s="261"/>
      <c r="H7845" s="261"/>
      <c r="I7845" s="261"/>
      <c r="J7845" s="261"/>
      <c r="K7845" s="261"/>
      <c r="L7845" s="261"/>
      <c r="M7845" s="261"/>
    </row>
    <row r="7846" spans="5:13">
      <c r="E7846" s="261"/>
      <c r="F7846" s="261"/>
      <c r="G7846" s="261"/>
      <c r="H7846" s="261"/>
      <c r="I7846" s="261"/>
      <c r="J7846" s="261"/>
      <c r="K7846" s="261"/>
      <c r="L7846" s="261"/>
      <c r="M7846" s="261"/>
    </row>
    <row r="7847" spans="5:13">
      <c r="E7847" s="261"/>
      <c r="F7847" s="261"/>
      <c r="G7847" s="261"/>
      <c r="H7847" s="261"/>
      <c r="I7847" s="261"/>
      <c r="J7847" s="261"/>
      <c r="K7847" s="261"/>
      <c r="L7847" s="261"/>
      <c r="M7847" s="261"/>
    </row>
    <row r="7848" spans="5:13">
      <c r="E7848" s="261"/>
      <c r="F7848" s="261"/>
      <c r="G7848" s="261"/>
      <c r="H7848" s="261"/>
      <c r="I7848" s="261"/>
      <c r="J7848" s="261"/>
      <c r="K7848" s="261"/>
      <c r="L7848" s="261"/>
      <c r="M7848" s="261"/>
    </row>
    <row r="7849" spans="5:13">
      <c r="E7849" s="261"/>
      <c r="F7849" s="261"/>
      <c r="G7849" s="261"/>
      <c r="H7849" s="261"/>
      <c r="I7849" s="261"/>
      <c r="J7849" s="261"/>
      <c r="K7849" s="261"/>
      <c r="L7849" s="261"/>
      <c r="M7849" s="261"/>
    </row>
    <row r="7850" spans="5:13">
      <c r="E7850" s="261"/>
      <c r="F7850" s="261"/>
      <c r="G7850" s="261"/>
      <c r="H7850" s="261"/>
      <c r="I7850" s="261"/>
      <c r="J7850" s="261"/>
      <c r="K7850" s="261"/>
      <c r="L7850" s="261"/>
      <c r="M7850" s="261"/>
    </row>
    <row r="7851" spans="5:13">
      <c r="E7851" s="261"/>
      <c r="F7851" s="261"/>
      <c r="G7851" s="261"/>
      <c r="H7851" s="261"/>
      <c r="I7851" s="261"/>
      <c r="J7851" s="261"/>
      <c r="K7851" s="261"/>
      <c r="L7851" s="261"/>
      <c r="M7851" s="261"/>
    </row>
    <row r="7852" spans="5:13">
      <c r="E7852" s="261"/>
      <c r="F7852" s="261"/>
      <c r="G7852" s="261"/>
      <c r="H7852" s="261"/>
      <c r="I7852" s="261"/>
      <c r="J7852" s="261"/>
      <c r="K7852" s="261"/>
      <c r="L7852" s="261"/>
      <c r="M7852" s="261"/>
    </row>
    <row r="7853" spans="5:13">
      <c r="E7853" s="261"/>
      <c r="F7853" s="261"/>
      <c r="G7853" s="261"/>
      <c r="H7853" s="261"/>
      <c r="I7853" s="261"/>
      <c r="J7853" s="261"/>
      <c r="K7853" s="261"/>
      <c r="L7853" s="261"/>
      <c r="M7853" s="261"/>
    </row>
    <row r="7854" spans="5:13">
      <c r="E7854" s="261"/>
      <c r="F7854" s="261"/>
      <c r="G7854" s="261"/>
      <c r="H7854" s="261"/>
      <c r="I7854" s="261"/>
      <c r="J7854" s="261"/>
      <c r="K7854" s="261"/>
      <c r="L7854" s="261"/>
      <c r="M7854" s="261"/>
    </row>
    <row r="7855" spans="5:13">
      <c r="E7855" s="261"/>
      <c r="F7855" s="261"/>
      <c r="G7855" s="261"/>
      <c r="H7855" s="261"/>
      <c r="I7855" s="261"/>
      <c r="J7855" s="261"/>
      <c r="K7855" s="261"/>
      <c r="L7855" s="261"/>
      <c r="M7855" s="261"/>
    </row>
    <row r="7856" spans="5:13">
      <c r="E7856" s="261"/>
      <c r="F7856" s="261"/>
      <c r="G7856" s="261"/>
      <c r="H7856" s="261"/>
      <c r="I7856" s="261"/>
      <c r="J7856" s="261"/>
      <c r="K7856" s="261"/>
      <c r="L7856" s="261"/>
      <c r="M7856" s="261"/>
    </row>
    <row r="7857" spans="5:13">
      <c r="E7857" s="261"/>
      <c r="F7857" s="261"/>
      <c r="G7857" s="261"/>
      <c r="H7857" s="261"/>
      <c r="I7857" s="261"/>
      <c r="J7857" s="261"/>
      <c r="K7857" s="261"/>
      <c r="L7857" s="261"/>
      <c r="M7857" s="261"/>
    </row>
    <row r="7858" spans="5:13">
      <c r="E7858" s="261"/>
      <c r="F7858" s="261"/>
      <c r="G7858" s="261"/>
      <c r="H7858" s="261"/>
      <c r="I7858" s="261"/>
      <c r="J7858" s="261"/>
      <c r="K7858" s="261"/>
      <c r="L7858" s="261"/>
      <c r="M7858" s="261"/>
    </row>
    <row r="7859" spans="5:13">
      <c r="E7859" s="261"/>
      <c r="F7859" s="261"/>
      <c r="G7859" s="261"/>
      <c r="H7859" s="261"/>
      <c r="I7859" s="261"/>
      <c r="J7859" s="261"/>
      <c r="K7859" s="261"/>
      <c r="L7859" s="261"/>
      <c r="M7859" s="261"/>
    </row>
    <row r="7860" spans="5:13">
      <c r="E7860" s="261"/>
      <c r="F7860" s="261"/>
      <c r="G7860" s="261"/>
      <c r="H7860" s="261"/>
      <c r="I7860" s="261"/>
      <c r="J7860" s="261"/>
      <c r="K7860" s="261"/>
      <c r="L7860" s="261"/>
      <c r="M7860" s="261"/>
    </row>
    <row r="7861" spans="5:13">
      <c r="E7861" s="261"/>
      <c r="F7861" s="261"/>
      <c r="G7861" s="261"/>
      <c r="H7861" s="261"/>
      <c r="I7861" s="261"/>
      <c r="J7861" s="261"/>
      <c r="K7861" s="261"/>
      <c r="L7861" s="261"/>
      <c r="M7861" s="261"/>
    </row>
    <row r="7862" spans="5:13">
      <c r="E7862" s="261"/>
      <c r="F7862" s="261"/>
      <c r="G7862" s="261"/>
      <c r="H7862" s="261"/>
      <c r="I7862" s="261"/>
      <c r="J7862" s="261"/>
      <c r="K7862" s="261"/>
      <c r="L7862" s="261"/>
      <c r="M7862" s="261"/>
    </row>
    <row r="7863" spans="5:13">
      <c r="E7863" s="261"/>
      <c r="F7863" s="261"/>
      <c r="G7863" s="261"/>
      <c r="H7863" s="261"/>
      <c r="I7863" s="261"/>
      <c r="J7863" s="261"/>
      <c r="K7863" s="261"/>
      <c r="L7863" s="261"/>
      <c r="M7863" s="261"/>
    </row>
    <row r="7864" spans="5:13">
      <c r="E7864" s="261"/>
      <c r="F7864" s="261"/>
      <c r="G7864" s="261"/>
      <c r="H7864" s="261"/>
      <c r="I7864" s="261"/>
      <c r="J7864" s="261"/>
      <c r="K7864" s="261"/>
      <c r="L7864" s="261"/>
      <c r="M7864" s="261"/>
    </row>
    <row r="7865" spans="5:13">
      <c r="E7865" s="261"/>
      <c r="F7865" s="261"/>
      <c r="G7865" s="261"/>
      <c r="H7865" s="261"/>
      <c r="I7865" s="261"/>
      <c r="J7865" s="261"/>
      <c r="K7865" s="261"/>
      <c r="L7865" s="261"/>
      <c r="M7865" s="261"/>
    </row>
    <row r="7866" spans="5:13">
      <c r="E7866" s="261"/>
      <c r="F7866" s="261"/>
      <c r="G7866" s="261"/>
      <c r="H7866" s="261"/>
      <c r="I7866" s="261"/>
      <c r="J7866" s="261"/>
      <c r="K7866" s="261"/>
      <c r="L7866" s="261"/>
      <c r="M7866" s="261"/>
    </row>
    <row r="7867" spans="5:13">
      <c r="E7867" s="261"/>
      <c r="F7867" s="261"/>
      <c r="G7867" s="261"/>
      <c r="H7867" s="261"/>
      <c r="I7867" s="261"/>
      <c r="J7867" s="261"/>
      <c r="K7867" s="261"/>
      <c r="L7867" s="261"/>
      <c r="M7867" s="261"/>
    </row>
    <row r="7868" spans="5:13">
      <c r="E7868" s="261"/>
      <c r="F7868" s="261"/>
      <c r="G7868" s="261"/>
      <c r="H7868" s="261"/>
      <c r="I7868" s="261"/>
      <c r="J7868" s="261"/>
      <c r="K7868" s="261"/>
      <c r="L7868" s="261"/>
      <c r="M7868" s="261"/>
    </row>
    <row r="7869" spans="5:13">
      <c r="E7869" s="261"/>
      <c r="F7869" s="261"/>
      <c r="G7869" s="261"/>
      <c r="H7869" s="261"/>
      <c r="I7869" s="261"/>
      <c r="J7869" s="261"/>
      <c r="K7869" s="261"/>
      <c r="L7869" s="261"/>
      <c r="M7869" s="261"/>
    </row>
    <row r="7870" spans="5:13">
      <c r="E7870" s="261"/>
      <c r="F7870" s="261"/>
      <c r="G7870" s="261"/>
      <c r="H7870" s="261"/>
      <c r="I7870" s="261"/>
      <c r="J7870" s="261"/>
      <c r="K7870" s="261"/>
      <c r="L7870" s="261"/>
      <c r="M7870" s="261"/>
    </row>
    <row r="7871" spans="5:13">
      <c r="E7871" s="261"/>
      <c r="F7871" s="261"/>
      <c r="G7871" s="261"/>
      <c r="H7871" s="261"/>
      <c r="I7871" s="261"/>
      <c r="J7871" s="261"/>
      <c r="K7871" s="261"/>
      <c r="L7871" s="261"/>
      <c r="M7871" s="261"/>
    </row>
    <row r="7872" spans="5:13">
      <c r="E7872" s="261"/>
      <c r="F7872" s="261"/>
      <c r="G7872" s="261"/>
      <c r="H7872" s="261"/>
      <c r="I7872" s="261"/>
      <c r="J7872" s="261"/>
      <c r="K7872" s="261"/>
      <c r="L7872" s="261"/>
      <c r="M7872" s="261"/>
    </row>
    <row r="7873" spans="5:13">
      <c r="E7873" s="261"/>
      <c r="F7873" s="261"/>
      <c r="G7873" s="261"/>
      <c r="H7873" s="261"/>
      <c r="I7873" s="261"/>
      <c r="J7873" s="261"/>
      <c r="K7873" s="261"/>
      <c r="L7873" s="261"/>
      <c r="M7873" s="261"/>
    </row>
    <row r="7874" spans="5:13">
      <c r="E7874" s="261"/>
      <c r="F7874" s="261"/>
      <c r="G7874" s="261"/>
      <c r="H7874" s="261"/>
      <c r="I7874" s="261"/>
      <c r="J7874" s="261"/>
      <c r="K7874" s="261"/>
      <c r="L7874" s="261"/>
      <c r="M7874" s="261"/>
    </row>
    <row r="7875" spans="5:13">
      <c r="E7875" s="261"/>
      <c r="F7875" s="261"/>
      <c r="G7875" s="261"/>
      <c r="H7875" s="261"/>
      <c r="I7875" s="261"/>
      <c r="J7875" s="261"/>
      <c r="K7875" s="261"/>
      <c r="L7875" s="261"/>
      <c r="M7875" s="261"/>
    </row>
    <row r="7876" spans="5:13">
      <c r="E7876" s="261"/>
      <c r="F7876" s="261"/>
      <c r="G7876" s="261"/>
      <c r="H7876" s="261"/>
      <c r="I7876" s="261"/>
      <c r="J7876" s="261"/>
      <c r="K7876" s="261"/>
      <c r="L7876" s="261"/>
      <c r="M7876" s="261"/>
    </row>
    <row r="7877" spans="5:13">
      <c r="E7877" s="261"/>
      <c r="F7877" s="261"/>
      <c r="G7877" s="261"/>
      <c r="H7877" s="261"/>
      <c r="I7877" s="261"/>
      <c r="J7877" s="261"/>
      <c r="K7877" s="261"/>
      <c r="L7877" s="261"/>
      <c r="M7877" s="261"/>
    </row>
    <row r="7878" spans="5:13">
      <c r="E7878" s="261"/>
      <c r="F7878" s="261"/>
      <c r="G7878" s="261"/>
      <c r="H7878" s="261"/>
      <c r="I7878" s="261"/>
      <c r="J7878" s="261"/>
      <c r="K7878" s="261"/>
      <c r="L7878" s="261"/>
      <c r="M7878" s="261"/>
    </row>
    <row r="7879" spans="5:13">
      <c r="E7879" s="261"/>
      <c r="F7879" s="261"/>
      <c r="G7879" s="261"/>
      <c r="H7879" s="261"/>
      <c r="I7879" s="261"/>
      <c r="J7879" s="261"/>
      <c r="K7879" s="261"/>
      <c r="L7879" s="261"/>
      <c r="M7879" s="261"/>
    </row>
    <row r="7880" spans="5:13">
      <c r="E7880" s="261"/>
      <c r="F7880" s="261"/>
      <c r="G7880" s="261"/>
      <c r="H7880" s="261"/>
      <c r="I7880" s="261"/>
      <c r="J7880" s="261"/>
      <c r="K7880" s="261"/>
      <c r="L7880" s="261"/>
      <c r="M7880" s="261"/>
    </row>
    <row r="7881" spans="5:13">
      <c r="E7881" s="261"/>
      <c r="F7881" s="261"/>
      <c r="G7881" s="261"/>
      <c r="H7881" s="261"/>
      <c r="I7881" s="261"/>
      <c r="J7881" s="261"/>
      <c r="K7881" s="261"/>
      <c r="L7881" s="261"/>
      <c r="M7881" s="261"/>
    </row>
    <row r="7882" spans="5:13">
      <c r="E7882" s="261"/>
      <c r="F7882" s="261"/>
      <c r="G7882" s="261"/>
      <c r="H7882" s="261"/>
      <c r="I7882" s="261"/>
      <c r="J7882" s="261"/>
      <c r="K7882" s="261"/>
      <c r="L7882" s="261"/>
      <c r="M7882" s="261"/>
    </row>
    <row r="7883" spans="5:13">
      <c r="E7883" s="261"/>
      <c r="F7883" s="261"/>
      <c r="G7883" s="261"/>
      <c r="H7883" s="261"/>
      <c r="I7883" s="261"/>
      <c r="J7883" s="261"/>
      <c r="K7883" s="261"/>
      <c r="L7883" s="261"/>
      <c r="M7883" s="261"/>
    </row>
    <row r="7884" spans="5:13">
      <c r="E7884" s="261"/>
      <c r="F7884" s="261"/>
      <c r="G7884" s="261"/>
      <c r="H7884" s="261"/>
      <c r="I7884" s="261"/>
      <c r="J7884" s="261"/>
      <c r="K7884" s="261"/>
      <c r="L7884" s="261"/>
      <c r="M7884" s="261"/>
    </row>
    <row r="7885" spans="5:13">
      <c r="E7885" s="261"/>
      <c r="F7885" s="261"/>
      <c r="G7885" s="261"/>
      <c r="H7885" s="261"/>
      <c r="I7885" s="261"/>
      <c r="J7885" s="261"/>
      <c r="K7885" s="261"/>
      <c r="L7885" s="261"/>
      <c r="M7885" s="261"/>
    </row>
    <row r="7886" spans="5:13">
      <c r="E7886" s="261"/>
      <c r="F7886" s="261"/>
      <c r="G7886" s="261"/>
      <c r="H7886" s="261"/>
      <c r="I7886" s="261"/>
      <c r="J7886" s="261"/>
      <c r="K7886" s="261"/>
      <c r="L7886" s="261"/>
      <c r="M7886" s="261"/>
    </row>
    <row r="7887" spans="5:13">
      <c r="E7887" s="261"/>
      <c r="F7887" s="261"/>
      <c r="G7887" s="261"/>
      <c r="H7887" s="261"/>
      <c r="I7887" s="261"/>
      <c r="J7887" s="261"/>
      <c r="K7887" s="261"/>
      <c r="L7887" s="261"/>
      <c r="M7887" s="261"/>
    </row>
    <row r="7888" spans="5:13">
      <c r="E7888" s="261"/>
      <c r="F7888" s="261"/>
      <c r="G7888" s="261"/>
      <c r="H7888" s="261"/>
      <c r="I7888" s="261"/>
      <c r="J7888" s="261"/>
      <c r="K7888" s="261"/>
      <c r="L7888" s="261"/>
      <c r="M7888" s="261"/>
    </row>
    <row r="7889" spans="5:13">
      <c r="E7889" s="261"/>
      <c r="F7889" s="261"/>
      <c r="G7889" s="261"/>
      <c r="H7889" s="261"/>
      <c r="I7889" s="261"/>
      <c r="J7889" s="261"/>
      <c r="K7889" s="261"/>
      <c r="L7889" s="261"/>
      <c r="M7889" s="261"/>
    </row>
    <row r="7890" spans="5:13">
      <c r="E7890" s="261"/>
      <c r="F7890" s="261"/>
      <c r="G7890" s="261"/>
      <c r="H7890" s="261"/>
      <c r="I7890" s="261"/>
      <c r="J7890" s="261"/>
      <c r="K7890" s="261"/>
      <c r="L7890" s="261"/>
      <c r="M7890" s="261"/>
    </row>
    <row r="7891" spans="5:13">
      <c r="E7891" s="261"/>
      <c r="F7891" s="261"/>
      <c r="G7891" s="261"/>
      <c r="H7891" s="261"/>
      <c r="I7891" s="261"/>
      <c r="J7891" s="261"/>
      <c r="K7891" s="261"/>
      <c r="L7891" s="261"/>
      <c r="M7891" s="261"/>
    </row>
    <row r="7892" spans="5:13">
      <c r="E7892" s="261"/>
      <c r="F7892" s="261"/>
      <c r="G7892" s="261"/>
      <c r="H7892" s="261"/>
      <c r="I7892" s="261"/>
      <c r="J7892" s="261"/>
      <c r="K7892" s="261"/>
      <c r="L7892" s="261"/>
      <c r="M7892" s="261"/>
    </row>
    <row r="7893" spans="5:13">
      <c r="E7893" s="261"/>
      <c r="F7893" s="261"/>
      <c r="G7893" s="261"/>
      <c r="H7893" s="261"/>
      <c r="I7893" s="261"/>
      <c r="J7893" s="261"/>
      <c r="K7893" s="261"/>
      <c r="L7893" s="261"/>
      <c r="M7893" s="261"/>
    </row>
    <row r="7894" spans="5:13">
      <c r="E7894" s="261"/>
      <c r="F7894" s="261"/>
      <c r="G7894" s="261"/>
      <c r="H7894" s="261"/>
      <c r="I7894" s="261"/>
      <c r="J7894" s="261"/>
      <c r="K7894" s="261"/>
      <c r="L7894" s="261"/>
      <c r="M7894" s="261"/>
    </row>
    <row r="7895" spans="5:13">
      <c r="E7895" s="261"/>
      <c r="F7895" s="261"/>
      <c r="G7895" s="261"/>
      <c r="H7895" s="261"/>
      <c r="I7895" s="261"/>
      <c r="J7895" s="261"/>
      <c r="K7895" s="261"/>
      <c r="L7895" s="261"/>
      <c r="M7895" s="261"/>
    </row>
    <row r="7896" spans="5:13">
      <c r="E7896" s="261"/>
      <c r="F7896" s="261"/>
      <c r="G7896" s="261"/>
      <c r="H7896" s="261"/>
      <c r="I7896" s="261"/>
      <c r="J7896" s="261"/>
      <c r="K7896" s="261"/>
      <c r="L7896" s="261"/>
      <c r="M7896" s="261"/>
    </row>
    <row r="7897" spans="5:13">
      <c r="E7897" s="261"/>
      <c r="F7897" s="261"/>
      <c r="G7897" s="261"/>
      <c r="H7897" s="261"/>
      <c r="I7897" s="261"/>
      <c r="J7897" s="261"/>
      <c r="K7897" s="261"/>
      <c r="L7897" s="261"/>
      <c r="M7897" s="261"/>
    </row>
    <row r="7898" spans="5:13">
      <c r="E7898" s="261"/>
      <c r="F7898" s="261"/>
      <c r="G7898" s="261"/>
      <c r="H7898" s="261"/>
      <c r="I7898" s="261"/>
      <c r="J7898" s="261"/>
      <c r="K7898" s="261"/>
      <c r="L7898" s="261"/>
      <c r="M7898" s="261"/>
    </row>
    <row r="7899" spans="5:13">
      <c r="E7899" s="261"/>
      <c r="F7899" s="261"/>
      <c r="G7899" s="261"/>
      <c r="H7899" s="261"/>
      <c r="I7899" s="261"/>
      <c r="J7899" s="261"/>
      <c r="K7899" s="261"/>
      <c r="L7899" s="261"/>
      <c r="M7899" s="261"/>
    </row>
    <row r="7900" spans="5:13">
      <c r="E7900" s="261"/>
      <c r="F7900" s="261"/>
      <c r="G7900" s="261"/>
      <c r="H7900" s="261"/>
      <c r="I7900" s="261"/>
      <c r="J7900" s="261"/>
      <c r="K7900" s="261"/>
      <c r="L7900" s="261"/>
      <c r="M7900" s="261"/>
    </row>
    <row r="7901" spans="5:13">
      <c r="E7901" s="261"/>
      <c r="F7901" s="261"/>
      <c r="G7901" s="261"/>
      <c r="H7901" s="261"/>
      <c r="I7901" s="261"/>
      <c r="J7901" s="261"/>
      <c r="K7901" s="261"/>
      <c r="L7901" s="261"/>
      <c r="M7901" s="261"/>
    </row>
    <row r="7902" spans="5:13">
      <c r="E7902" s="261"/>
      <c r="F7902" s="261"/>
      <c r="G7902" s="261"/>
      <c r="H7902" s="261"/>
      <c r="I7902" s="261"/>
      <c r="J7902" s="261"/>
      <c r="K7902" s="261"/>
      <c r="L7902" s="261"/>
      <c r="M7902" s="261"/>
    </row>
    <row r="7903" spans="5:13">
      <c r="E7903" s="261"/>
      <c r="F7903" s="261"/>
      <c r="G7903" s="261"/>
      <c r="H7903" s="261"/>
      <c r="I7903" s="261"/>
      <c r="J7903" s="261"/>
      <c r="K7903" s="261"/>
      <c r="L7903" s="261"/>
      <c r="M7903" s="261"/>
    </row>
    <row r="7904" spans="5:13">
      <c r="E7904" s="261"/>
      <c r="F7904" s="261"/>
      <c r="G7904" s="261"/>
      <c r="H7904" s="261"/>
      <c r="I7904" s="261"/>
      <c r="J7904" s="261"/>
      <c r="K7904" s="261"/>
      <c r="L7904" s="261"/>
      <c r="M7904" s="261"/>
    </row>
    <row r="7905" spans="8:8" s="252" customFormat="1">
      <c r="H7905" s="268"/>
    </row>
    <row r="7906" spans="8:8" s="252" customFormat="1">
      <c r="H7906" s="268"/>
    </row>
    <row r="7907" spans="8:8" s="252" customFormat="1">
      <c r="H7907" s="268"/>
    </row>
    <row r="7908" spans="8:8" s="252" customFormat="1">
      <c r="H7908" s="268"/>
    </row>
    <row r="7909" spans="8:8" s="252" customFormat="1">
      <c r="H7909" s="268"/>
    </row>
    <row r="7910" spans="8:8" s="252" customFormat="1">
      <c r="H7910" s="268"/>
    </row>
    <row r="7911" spans="8:8" s="252" customFormat="1">
      <c r="H7911" s="268"/>
    </row>
    <row r="7912" spans="8:8" s="252" customFormat="1">
      <c r="H7912" s="268"/>
    </row>
    <row r="7913" spans="8:8" s="252" customFormat="1">
      <c r="H7913" s="268"/>
    </row>
    <row r="7914" spans="8:8" s="252" customFormat="1">
      <c r="H7914" s="268"/>
    </row>
    <row r="7915" spans="8:8" s="252" customFormat="1">
      <c r="H7915" s="268"/>
    </row>
    <row r="7916" spans="8:8" s="252" customFormat="1">
      <c r="H7916" s="268"/>
    </row>
    <row r="7917" spans="8:8" s="252" customFormat="1">
      <c r="H7917" s="268"/>
    </row>
    <row r="7918" spans="8:8" s="252" customFormat="1">
      <c r="H7918" s="268"/>
    </row>
    <row r="7919" spans="8:8" s="252" customFormat="1">
      <c r="H7919" s="268"/>
    </row>
    <row r="7920" spans="8:8" s="252" customFormat="1">
      <c r="H7920" s="268"/>
    </row>
    <row r="7921" spans="8:8" s="252" customFormat="1">
      <c r="H7921" s="268"/>
    </row>
    <row r="7922" spans="8:8" s="252" customFormat="1">
      <c r="H7922" s="268"/>
    </row>
    <row r="7923" spans="8:8" s="252" customFormat="1">
      <c r="H7923" s="268"/>
    </row>
    <row r="7924" spans="8:8" s="252" customFormat="1">
      <c r="H7924" s="268"/>
    </row>
    <row r="7925" spans="8:8" s="252" customFormat="1">
      <c r="H7925" s="268"/>
    </row>
    <row r="7926" spans="8:8" s="252" customFormat="1">
      <c r="H7926" s="268"/>
    </row>
    <row r="7927" spans="8:8" s="252" customFormat="1">
      <c r="H7927" s="268"/>
    </row>
    <row r="7928" spans="8:8" s="252" customFormat="1">
      <c r="H7928" s="268"/>
    </row>
    <row r="7929" spans="8:8" s="252" customFormat="1">
      <c r="H7929" s="268"/>
    </row>
    <row r="7930" spans="8:8" s="252" customFormat="1">
      <c r="H7930" s="268"/>
    </row>
    <row r="7931" spans="8:8" s="252" customFormat="1">
      <c r="H7931" s="268"/>
    </row>
    <row r="7932" spans="8:8" s="252" customFormat="1">
      <c r="H7932" s="268"/>
    </row>
    <row r="7933" spans="8:8" s="252" customFormat="1">
      <c r="H7933" s="268"/>
    </row>
    <row r="7934" spans="8:8" s="252" customFormat="1">
      <c r="H7934" s="268"/>
    </row>
    <row r="7935" spans="8:8" s="252" customFormat="1">
      <c r="H7935" s="268"/>
    </row>
    <row r="7936" spans="8:8" s="252" customFormat="1">
      <c r="H7936" s="268"/>
    </row>
    <row r="7937" spans="8:8" s="252" customFormat="1">
      <c r="H7937" s="268"/>
    </row>
    <row r="7938" spans="8:8" s="252" customFormat="1">
      <c r="H7938" s="268"/>
    </row>
    <row r="7939" spans="8:8" s="252" customFormat="1">
      <c r="H7939" s="268"/>
    </row>
    <row r="7940" spans="8:8" s="252" customFormat="1">
      <c r="H7940" s="268"/>
    </row>
    <row r="7941" spans="8:8" s="252" customFormat="1">
      <c r="H7941" s="268"/>
    </row>
    <row r="7942" spans="8:8" s="252" customFormat="1">
      <c r="H7942" s="268"/>
    </row>
    <row r="7943" spans="8:8" s="252" customFormat="1">
      <c r="H7943" s="268"/>
    </row>
    <row r="7944" spans="8:8" s="252" customFormat="1">
      <c r="H7944" s="268"/>
    </row>
    <row r="7945" spans="8:8" s="252" customFormat="1">
      <c r="H7945" s="268"/>
    </row>
    <row r="7946" spans="8:8" s="252" customFormat="1">
      <c r="H7946" s="268"/>
    </row>
    <row r="7947" spans="8:8" s="252" customFormat="1">
      <c r="H7947" s="268"/>
    </row>
    <row r="7948" spans="8:8" s="252" customFormat="1">
      <c r="H7948" s="268"/>
    </row>
    <row r="7949" spans="8:8" s="252" customFormat="1">
      <c r="H7949" s="268"/>
    </row>
    <row r="7950" spans="8:8" s="252" customFormat="1">
      <c r="H7950" s="268"/>
    </row>
    <row r="7951" spans="8:8" s="252" customFormat="1">
      <c r="H7951" s="268"/>
    </row>
    <row r="7952" spans="8:8" s="252" customFormat="1">
      <c r="H7952" s="268"/>
    </row>
    <row r="7953" spans="8:8" s="252" customFormat="1">
      <c r="H7953" s="268"/>
    </row>
    <row r="7954" spans="8:8" s="252" customFormat="1">
      <c r="H7954" s="268"/>
    </row>
    <row r="7955" spans="8:8" s="252" customFormat="1">
      <c r="H7955" s="268"/>
    </row>
    <row r="7956" spans="8:8" s="252" customFormat="1">
      <c r="H7956" s="268"/>
    </row>
    <row r="7957" spans="8:8" s="252" customFormat="1">
      <c r="H7957" s="268"/>
    </row>
    <row r="7958" spans="8:8" s="252" customFormat="1">
      <c r="H7958" s="268"/>
    </row>
    <row r="7959" spans="8:8" s="252" customFormat="1">
      <c r="H7959" s="268"/>
    </row>
    <row r="7960" spans="8:8" s="252" customFormat="1">
      <c r="H7960" s="268"/>
    </row>
    <row r="7961" spans="8:8" s="252" customFormat="1">
      <c r="H7961" s="268"/>
    </row>
    <row r="7962" spans="8:8" s="252" customFormat="1">
      <c r="H7962" s="268"/>
    </row>
    <row r="7963" spans="8:8" s="252" customFormat="1">
      <c r="H7963" s="268"/>
    </row>
    <row r="7964" spans="8:8" s="252" customFormat="1">
      <c r="H7964" s="268"/>
    </row>
    <row r="7965" spans="8:8" s="252" customFormat="1">
      <c r="H7965" s="268"/>
    </row>
    <row r="7966" spans="8:8" s="252" customFormat="1">
      <c r="H7966" s="268"/>
    </row>
    <row r="7967" spans="8:8" s="252" customFormat="1">
      <c r="H7967" s="268"/>
    </row>
    <row r="7968" spans="8:8" s="252" customFormat="1">
      <c r="H7968" s="268"/>
    </row>
    <row r="7969" spans="8:8" s="252" customFormat="1">
      <c r="H7969" s="268"/>
    </row>
    <row r="7970" spans="8:8" s="252" customFormat="1">
      <c r="H7970" s="268"/>
    </row>
    <row r="7971" spans="8:8" s="252" customFormat="1">
      <c r="H7971" s="268"/>
    </row>
    <row r="7972" spans="8:8" s="252" customFormat="1">
      <c r="H7972" s="268"/>
    </row>
    <row r="7973" spans="8:8" s="252" customFormat="1">
      <c r="H7973" s="268"/>
    </row>
    <row r="7974" spans="8:8" s="252" customFormat="1">
      <c r="H7974" s="268"/>
    </row>
    <row r="7975" spans="8:8" s="252" customFormat="1">
      <c r="H7975" s="268"/>
    </row>
    <row r="7976" spans="8:8" s="252" customFormat="1">
      <c r="H7976" s="268"/>
    </row>
    <row r="7977" spans="8:8" s="252" customFormat="1">
      <c r="H7977" s="268"/>
    </row>
    <row r="7978" spans="8:8" s="252" customFormat="1">
      <c r="H7978" s="268"/>
    </row>
    <row r="7979" spans="8:8" s="252" customFormat="1">
      <c r="H7979" s="268"/>
    </row>
    <row r="7980" spans="8:8" s="252" customFormat="1">
      <c r="H7980" s="268"/>
    </row>
    <row r="7981" spans="8:8" s="252" customFormat="1">
      <c r="H7981" s="268"/>
    </row>
    <row r="7982" spans="8:8" s="252" customFormat="1">
      <c r="H7982" s="268"/>
    </row>
    <row r="7983" spans="8:8" s="252" customFormat="1">
      <c r="H7983" s="268"/>
    </row>
    <row r="7984" spans="8:8" s="252" customFormat="1">
      <c r="H7984" s="268"/>
    </row>
    <row r="7985" spans="8:8" s="252" customFormat="1">
      <c r="H7985" s="268"/>
    </row>
    <row r="7986" spans="8:8" s="252" customFormat="1">
      <c r="H7986" s="268"/>
    </row>
    <row r="7987" spans="8:8" s="252" customFormat="1">
      <c r="H7987" s="268"/>
    </row>
    <row r="7988" spans="8:8" s="252" customFormat="1">
      <c r="H7988" s="268"/>
    </row>
    <row r="7989" spans="8:8" s="252" customFormat="1">
      <c r="H7989" s="268"/>
    </row>
    <row r="7990" spans="8:8" s="252" customFormat="1">
      <c r="H7990" s="268"/>
    </row>
    <row r="7991" spans="8:8" s="252" customFormat="1">
      <c r="H7991" s="268"/>
    </row>
    <row r="7992" spans="8:8" s="252" customFormat="1">
      <c r="H7992" s="268"/>
    </row>
    <row r="7993" spans="8:8" s="252" customFormat="1">
      <c r="H7993" s="268"/>
    </row>
    <row r="7994" spans="8:8" s="252" customFormat="1">
      <c r="H7994" s="268"/>
    </row>
    <row r="7995" spans="8:8" s="252" customFormat="1">
      <c r="H7995" s="268"/>
    </row>
    <row r="7996" spans="8:8" s="252" customFormat="1">
      <c r="H7996" s="268"/>
    </row>
    <row r="7997" spans="8:8" s="252" customFormat="1">
      <c r="H7997" s="268"/>
    </row>
    <row r="7998" spans="8:8" s="252" customFormat="1">
      <c r="H7998" s="268"/>
    </row>
    <row r="7999" spans="8:8" s="252" customFormat="1">
      <c r="H7999" s="268"/>
    </row>
    <row r="8000" spans="8:8" s="252" customFormat="1">
      <c r="H8000" s="268"/>
    </row>
    <row r="8001" spans="8:8" s="252" customFormat="1">
      <c r="H8001" s="268"/>
    </row>
    <row r="8002" spans="8:8" s="252" customFormat="1">
      <c r="H8002" s="268"/>
    </row>
    <row r="8003" spans="8:8" s="252" customFormat="1">
      <c r="H8003" s="268"/>
    </row>
    <row r="8004" spans="8:8" s="252" customFormat="1">
      <c r="H8004" s="268"/>
    </row>
    <row r="8005" spans="8:8" s="252" customFormat="1">
      <c r="H8005" s="268"/>
    </row>
    <row r="8006" spans="8:8" s="252" customFormat="1">
      <c r="H8006" s="268"/>
    </row>
    <row r="8007" spans="8:8" s="252" customFormat="1">
      <c r="H8007" s="268"/>
    </row>
    <row r="8008" spans="8:8" s="252" customFormat="1">
      <c r="H8008" s="268"/>
    </row>
    <row r="8009" spans="8:8" s="252" customFormat="1">
      <c r="H8009" s="268"/>
    </row>
    <row r="8010" spans="8:8" s="252" customFormat="1">
      <c r="H8010" s="268"/>
    </row>
    <row r="8011" spans="8:8" s="252" customFormat="1">
      <c r="H8011" s="268"/>
    </row>
    <row r="8012" spans="8:8" s="252" customFormat="1">
      <c r="H8012" s="268"/>
    </row>
    <row r="8013" spans="8:8" s="252" customFormat="1">
      <c r="H8013" s="268"/>
    </row>
    <row r="8014" spans="8:8" s="252" customFormat="1">
      <c r="H8014" s="268"/>
    </row>
    <row r="8015" spans="8:8" s="252" customFormat="1">
      <c r="H8015" s="268"/>
    </row>
    <row r="8016" spans="8:8" s="252" customFormat="1">
      <c r="H8016" s="268"/>
    </row>
    <row r="8017" spans="8:8" s="252" customFormat="1">
      <c r="H8017" s="268"/>
    </row>
    <row r="8018" spans="8:8" s="252" customFormat="1">
      <c r="H8018" s="268"/>
    </row>
    <row r="8019" spans="8:8" s="252" customFormat="1">
      <c r="H8019" s="268"/>
    </row>
    <row r="8020" spans="8:8" s="252" customFormat="1">
      <c r="H8020" s="268"/>
    </row>
    <row r="8021" spans="8:8" s="252" customFormat="1">
      <c r="H8021" s="268"/>
    </row>
    <row r="8022" spans="8:8" s="252" customFormat="1">
      <c r="H8022" s="268"/>
    </row>
    <row r="8023" spans="8:8" s="252" customFormat="1">
      <c r="H8023" s="268"/>
    </row>
    <row r="8024" spans="8:8" s="252" customFormat="1">
      <c r="H8024" s="268"/>
    </row>
    <row r="8025" spans="8:8" s="252" customFormat="1">
      <c r="H8025" s="268"/>
    </row>
    <row r="8026" spans="8:8" s="252" customFormat="1">
      <c r="H8026" s="268"/>
    </row>
    <row r="8027" spans="8:8" s="252" customFormat="1">
      <c r="H8027" s="268"/>
    </row>
    <row r="8028" spans="8:8" s="252" customFormat="1">
      <c r="H8028" s="268"/>
    </row>
    <row r="8029" spans="8:8" s="252" customFormat="1">
      <c r="H8029" s="268"/>
    </row>
    <row r="8030" spans="8:8" s="252" customFormat="1">
      <c r="H8030" s="268"/>
    </row>
    <row r="8031" spans="8:8" s="252" customFormat="1">
      <c r="H8031" s="268"/>
    </row>
    <row r="8032" spans="8:8" s="252" customFormat="1">
      <c r="H8032" s="268"/>
    </row>
    <row r="8033" spans="8:8" s="252" customFormat="1">
      <c r="H8033" s="268"/>
    </row>
    <row r="8034" spans="8:8" s="252" customFormat="1">
      <c r="H8034" s="268"/>
    </row>
    <row r="8035" spans="8:8" s="252" customFormat="1">
      <c r="H8035" s="268"/>
    </row>
    <row r="8036" spans="8:8" s="252" customFormat="1">
      <c r="H8036" s="268"/>
    </row>
    <row r="8037" spans="8:8" s="252" customFormat="1">
      <c r="H8037" s="268"/>
    </row>
    <row r="8038" spans="8:8" s="252" customFormat="1">
      <c r="H8038" s="268"/>
    </row>
    <row r="8039" spans="8:8" s="252" customFormat="1">
      <c r="H8039" s="268"/>
    </row>
    <row r="8040" spans="8:8" s="252" customFormat="1">
      <c r="H8040" s="268"/>
    </row>
    <row r="8041" spans="8:8" s="252" customFormat="1">
      <c r="H8041" s="268"/>
    </row>
    <row r="8042" spans="8:8" s="252" customFormat="1">
      <c r="H8042" s="268"/>
    </row>
    <row r="8043" spans="8:8" s="252" customFormat="1">
      <c r="H8043" s="268"/>
    </row>
    <row r="8044" spans="8:8" s="252" customFormat="1">
      <c r="H8044" s="268"/>
    </row>
    <row r="8045" spans="8:8" s="252" customFormat="1">
      <c r="H8045" s="268"/>
    </row>
    <row r="8046" spans="8:8" s="252" customFormat="1">
      <c r="H8046" s="268"/>
    </row>
    <row r="8047" spans="8:8" s="252" customFormat="1">
      <c r="H8047" s="268"/>
    </row>
    <row r="8048" spans="8:8" s="252" customFormat="1">
      <c r="H8048" s="268"/>
    </row>
    <row r="8049" spans="8:8" s="252" customFormat="1">
      <c r="H8049" s="268"/>
    </row>
    <row r="8050" spans="8:8" s="252" customFormat="1">
      <c r="H8050" s="268"/>
    </row>
    <row r="8051" spans="8:8" s="252" customFormat="1">
      <c r="H8051" s="268"/>
    </row>
    <row r="8052" spans="8:8" s="252" customFormat="1">
      <c r="H8052" s="268"/>
    </row>
    <row r="8053" spans="8:8" s="252" customFormat="1">
      <c r="H8053" s="268"/>
    </row>
    <row r="8054" spans="8:8" s="252" customFormat="1">
      <c r="H8054" s="268"/>
    </row>
    <row r="8055" spans="8:8" s="252" customFormat="1">
      <c r="H8055" s="268"/>
    </row>
    <row r="8056" spans="8:8" s="252" customFormat="1">
      <c r="H8056" s="268"/>
    </row>
    <row r="8057" spans="8:8" s="252" customFormat="1">
      <c r="H8057" s="268"/>
    </row>
    <row r="8058" spans="8:8" s="252" customFormat="1">
      <c r="H8058" s="268"/>
    </row>
    <row r="8059" spans="8:8" s="252" customFormat="1">
      <c r="H8059" s="268"/>
    </row>
    <row r="8060" spans="8:8" s="252" customFormat="1">
      <c r="H8060" s="268"/>
    </row>
    <row r="8061" spans="8:8" s="252" customFormat="1">
      <c r="H8061" s="268"/>
    </row>
    <row r="8062" spans="8:8" s="252" customFormat="1">
      <c r="H8062" s="268"/>
    </row>
    <row r="8063" spans="8:8" s="252" customFormat="1">
      <c r="H8063" s="268"/>
    </row>
    <row r="8064" spans="8:8" s="252" customFormat="1">
      <c r="H8064" s="268"/>
    </row>
    <row r="8065" spans="8:8" s="252" customFormat="1">
      <c r="H8065" s="268"/>
    </row>
    <row r="8066" spans="8:8" s="252" customFormat="1">
      <c r="H8066" s="268"/>
    </row>
    <row r="8067" spans="8:8" s="252" customFormat="1">
      <c r="H8067" s="268"/>
    </row>
    <row r="8068" spans="8:8" s="252" customFormat="1">
      <c r="H8068" s="268"/>
    </row>
    <row r="8069" spans="8:8" s="252" customFormat="1">
      <c r="H8069" s="268"/>
    </row>
    <row r="8070" spans="8:8" s="252" customFormat="1">
      <c r="H8070" s="268"/>
    </row>
    <row r="8071" spans="8:8" s="252" customFormat="1">
      <c r="H8071" s="268"/>
    </row>
    <row r="8072" spans="8:8" s="252" customFormat="1">
      <c r="H8072" s="268"/>
    </row>
    <row r="8073" spans="8:8" s="252" customFormat="1">
      <c r="H8073" s="268"/>
    </row>
    <row r="8074" spans="8:8" s="252" customFormat="1">
      <c r="H8074" s="268"/>
    </row>
    <row r="8075" spans="8:8" s="252" customFormat="1">
      <c r="H8075" s="268"/>
    </row>
    <row r="8076" spans="8:8" s="252" customFormat="1">
      <c r="H8076" s="268"/>
    </row>
    <row r="8077" spans="8:8" s="252" customFormat="1">
      <c r="H8077" s="268"/>
    </row>
    <row r="8078" spans="8:8" s="252" customFormat="1">
      <c r="H8078" s="268"/>
    </row>
    <row r="8079" spans="8:8" s="252" customFormat="1">
      <c r="H8079" s="268"/>
    </row>
    <row r="8080" spans="8:8" s="252" customFormat="1">
      <c r="H8080" s="268"/>
    </row>
    <row r="8081" spans="8:8" s="252" customFormat="1">
      <c r="H8081" s="268"/>
    </row>
    <row r="8082" spans="8:8" s="252" customFormat="1">
      <c r="H8082" s="268"/>
    </row>
    <row r="8083" spans="8:8" s="252" customFormat="1">
      <c r="H8083" s="268"/>
    </row>
    <row r="8084" spans="8:8" s="252" customFormat="1">
      <c r="H8084" s="268"/>
    </row>
    <row r="8085" spans="8:8" s="252" customFormat="1">
      <c r="H8085" s="268"/>
    </row>
    <row r="8086" spans="8:8" s="252" customFormat="1">
      <c r="H8086" s="268"/>
    </row>
    <row r="8087" spans="8:8" s="252" customFormat="1">
      <c r="H8087" s="268"/>
    </row>
    <row r="8088" spans="8:8" s="252" customFormat="1">
      <c r="H8088" s="268"/>
    </row>
    <row r="8089" spans="8:8" s="252" customFormat="1">
      <c r="H8089" s="268"/>
    </row>
    <row r="8090" spans="8:8" s="252" customFormat="1">
      <c r="H8090" s="268"/>
    </row>
    <row r="8091" spans="8:8" s="252" customFormat="1">
      <c r="H8091" s="268"/>
    </row>
    <row r="8092" spans="8:8" s="252" customFormat="1">
      <c r="H8092" s="268"/>
    </row>
    <row r="8093" spans="8:8" s="252" customFormat="1">
      <c r="H8093" s="268"/>
    </row>
    <row r="8094" spans="8:8" s="252" customFormat="1">
      <c r="H8094" s="268"/>
    </row>
    <row r="8095" spans="8:8" s="252" customFormat="1">
      <c r="H8095" s="268"/>
    </row>
    <row r="8096" spans="8:8" s="252" customFormat="1">
      <c r="H8096" s="268"/>
    </row>
    <row r="8097" spans="8:8" s="252" customFormat="1">
      <c r="H8097" s="268"/>
    </row>
    <row r="8098" spans="8:8" s="252" customFormat="1">
      <c r="H8098" s="268"/>
    </row>
    <row r="8099" spans="8:8" s="252" customFormat="1">
      <c r="H8099" s="268"/>
    </row>
    <row r="8100" spans="8:8" s="252" customFormat="1">
      <c r="H8100" s="268"/>
    </row>
    <row r="8101" spans="8:8" s="252" customFormat="1">
      <c r="H8101" s="268"/>
    </row>
    <row r="8102" spans="8:8" s="252" customFormat="1">
      <c r="H8102" s="268"/>
    </row>
    <row r="8103" spans="8:8" s="252" customFormat="1">
      <c r="H8103" s="268"/>
    </row>
    <row r="8104" spans="8:8" s="252" customFormat="1">
      <c r="H8104" s="268"/>
    </row>
    <row r="8105" spans="8:8" s="252" customFormat="1">
      <c r="H8105" s="268"/>
    </row>
    <row r="8106" spans="8:8" s="252" customFormat="1">
      <c r="H8106" s="268"/>
    </row>
    <row r="8107" spans="8:8" s="252" customFormat="1">
      <c r="H8107" s="268"/>
    </row>
    <row r="8108" spans="8:8" s="252" customFormat="1">
      <c r="H8108" s="268"/>
    </row>
    <row r="8109" spans="8:8" s="252" customFormat="1">
      <c r="H8109" s="268"/>
    </row>
    <row r="8110" spans="8:8" s="252" customFormat="1">
      <c r="H8110" s="268"/>
    </row>
    <row r="8111" spans="8:8" s="252" customFormat="1">
      <c r="H8111" s="268"/>
    </row>
    <row r="8112" spans="8:8" s="252" customFormat="1">
      <c r="H8112" s="268"/>
    </row>
    <row r="8113" spans="8:8" s="252" customFormat="1">
      <c r="H8113" s="268"/>
    </row>
    <row r="8114" spans="8:8" s="252" customFormat="1">
      <c r="H8114" s="268"/>
    </row>
    <row r="8115" spans="8:8" s="252" customFormat="1">
      <c r="H8115" s="268"/>
    </row>
    <row r="8116" spans="8:8" s="252" customFormat="1">
      <c r="H8116" s="268"/>
    </row>
    <row r="8117" spans="8:8" s="252" customFormat="1">
      <c r="H8117" s="268"/>
    </row>
    <row r="8118" spans="8:8" s="252" customFormat="1">
      <c r="H8118" s="268"/>
    </row>
    <row r="8119" spans="8:8" s="252" customFormat="1">
      <c r="H8119" s="268"/>
    </row>
    <row r="8120" spans="8:8" s="252" customFormat="1">
      <c r="H8120" s="268"/>
    </row>
    <row r="8121" spans="8:8" s="252" customFormat="1">
      <c r="H8121" s="268"/>
    </row>
    <row r="8122" spans="8:8" s="252" customFormat="1">
      <c r="H8122" s="268"/>
    </row>
    <row r="8123" spans="8:8" s="252" customFormat="1">
      <c r="H8123" s="268"/>
    </row>
    <row r="8124" spans="8:8" s="252" customFormat="1">
      <c r="H8124" s="268"/>
    </row>
    <row r="8125" spans="8:8" s="252" customFormat="1">
      <c r="H8125" s="268"/>
    </row>
    <row r="8126" spans="8:8" s="252" customFormat="1">
      <c r="H8126" s="268"/>
    </row>
    <row r="8127" spans="8:8" s="252" customFormat="1">
      <c r="H8127" s="268"/>
    </row>
    <row r="8128" spans="8:8" s="252" customFormat="1">
      <c r="H8128" s="268"/>
    </row>
    <row r="8129" spans="8:8" s="252" customFormat="1">
      <c r="H8129" s="268"/>
    </row>
    <row r="8130" spans="8:8" s="252" customFormat="1">
      <c r="H8130" s="268"/>
    </row>
    <row r="8131" spans="8:8" s="252" customFormat="1">
      <c r="H8131" s="268"/>
    </row>
    <row r="8132" spans="8:8" s="252" customFormat="1">
      <c r="H8132" s="268"/>
    </row>
    <row r="8133" spans="8:8" s="252" customFormat="1">
      <c r="H8133" s="268"/>
    </row>
    <row r="8134" spans="8:8" s="252" customFormat="1">
      <c r="H8134" s="268"/>
    </row>
    <row r="8135" spans="8:8" s="252" customFormat="1">
      <c r="H8135" s="268"/>
    </row>
    <row r="8136" spans="8:8" s="252" customFormat="1">
      <c r="H8136" s="268"/>
    </row>
    <row r="8137" spans="8:8" s="252" customFormat="1">
      <c r="H8137" s="268"/>
    </row>
    <row r="8138" spans="8:8" s="252" customFormat="1">
      <c r="H8138" s="268"/>
    </row>
    <row r="8139" spans="8:8" s="252" customFormat="1">
      <c r="H8139" s="268"/>
    </row>
    <row r="8140" spans="8:8" s="252" customFormat="1">
      <c r="H8140" s="268"/>
    </row>
    <row r="8141" spans="8:8" s="252" customFormat="1">
      <c r="H8141" s="268"/>
    </row>
    <row r="8142" spans="8:8" s="252" customFormat="1">
      <c r="H8142" s="268"/>
    </row>
    <row r="8143" spans="8:8" s="252" customFormat="1">
      <c r="H8143" s="268"/>
    </row>
    <row r="8144" spans="8:8" s="252" customFormat="1">
      <c r="H8144" s="268"/>
    </row>
    <row r="8145" spans="8:8" s="252" customFormat="1">
      <c r="H8145" s="268"/>
    </row>
    <row r="8146" spans="8:8" s="252" customFormat="1">
      <c r="H8146" s="268"/>
    </row>
    <row r="8147" spans="8:8" s="252" customFormat="1">
      <c r="H8147" s="268"/>
    </row>
    <row r="8148" spans="8:8" s="252" customFormat="1">
      <c r="H8148" s="268"/>
    </row>
    <row r="8149" spans="8:8" s="252" customFormat="1">
      <c r="H8149" s="268"/>
    </row>
    <row r="8150" spans="8:8" s="252" customFormat="1">
      <c r="H8150" s="268"/>
    </row>
    <row r="8151" spans="8:8" s="252" customFormat="1">
      <c r="H8151" s="268"/>
    </row>
    <row r="8152" spans="8:8" s="252" customFormat="1">
      <c r="H8152" s="268"/>
    </row>
    <row r="8153" spans="8:8" s="252" customFormat="1">
      <c r="H8153" s="268"/>
    </row>
    <row r="8154" spans="8:8" s="252" customFormat="1">
      <c r="H8154" s="268"/>
    </row>
    <row r="8155" spans="8:8" s="252" customFormat="1">
      <c r="H8155" s="268"/>
    </row>
    <row r="8156" spans="8:8" s="252" customFormat="1">
      <c r="H8156" s="268"/>
    </row>
    <row r="8157" spans="8:8" s="252" customFormat="1">
      <c r="H8157" s="268"/>
    </row>
    <row r="8158" spans="8:8" s="252" customFormat="1">
      <c r="H8158" s="268"/>
    </row>
    <row r="8159" spans="8:8" s="252" customFormat="1">
      <c r="H8159" s="268"/>
    </row>
    <row r="8160" spans="8:8" s="252" customFormat="1">
      <c r="H8160" s="268"/>
    </row>
    <row r="8161" spans="8:8" s="252" customFormat="1">
      <c r="H8161" s="268"/>
    </row>
    <row r="8162" spans="8:8" s="252" customFormat="1">
      <c r="H8162" s="268"/>
    </row>
    <row r="8163" spans="8:8" s="252" customFormat="1">
      <c r="H8163" s="268"/>
    </row>
    <row r="8164" spans="8:8" s="252" customFormat="1">
      <c r="H8164" s="268"/>
    </row>
    <row r="8165" spans="8:8" s="252" customFormat="1">
      <c r="H8165" s="268"/>
    </row>
    <row r="8166" spans="8:8" s="252" customFormat="1">
      <c r="H8166" s="268"/>
    </row>
    <row r="8167" spans="8:8" s="252" customFormat="1">
      <c r="H8167" s="268"/>
    </row>
    <row r="8168" spans="8:8" s="252" customFormat="1">
      <c r="H8168" s="268"/>
    </row>
    <row r="8169" spans="8:8" s="252" customFormat="1">
      <c r="H8169" s="268"/>
    </row>
    <row r="8170" spans="8:8" s="252" customFormat="1">
      <c r="H8170" s="268"/>
    </row>
    <row r="8171" spans="8:8" s="252" customFormat="1">
      <c r="H8171" s="268"/>
    </row>
    <row r="8172" spans="8:8" s="252" customFormat="1">
      <c r="H8172" s="268"/>
    </row>
    <row r="8173" spans="8:8" s="252" customFormat="1">
      <c r="H8173" s="268"/>
    </row>
    <row r="8174" spans="8:8" s="252" customFormat="1">
      <c r="H8174" s="268"/>
    </row>
    <row r="8175" spans="8:8" s="252" customFormat="1">
      <c r="H8175" s="268"/>
    </row>
    <row r="8176" spans="8:8" s="252" customFormat="1">
      <c r="H8176" s="268"/>
    </row>
    <row r="8177" spans="8:8" s="252" customFormat="1">
      <c r="H8177" s="268"/>
    </row>
    <row r="8178" spans="8:8" s="252" customFormat="1">
      <c r="H8178" s="268"/>
    </row>
    <row r="8179" spans="8:8" s="252" customFormat="1">
      <c r="H8179" s="268"/>
    </row>
    <row r="8180" spans="8:8" s="252" customFormat="1">
      <c r="H8180" s="268"/>
    </row>
    <row r="8181" spans="8:8" s="252" customFormat="1">
      <c r="H8181" s="268"/>
    </row>
    <row r="8182" spans="8:8" s="252" customFormat="1">
      <c r="H8182" s="268"/>
    </row>
    <row r="8183" spans="8:8" s="252" customFormat="1">
      <c r="H8183" s="268"/>
    </row>
    <row r="8184" spans="8:8" s="252" customFormat="1">
      <c r="H8184" s="268"/>
    </row>
    <row r="8185" spans="8:8" s="252" customFormat="1">
      <c r="H8185" s="268"/>
    </row>
    <row r="8186" spans="8:8" s="252" customFormat="1">
      <c r="H8186" s="268"/>
    </row>
    <row r="8187" spans="8:8" s="252" customFormat="1">
      <c r="H8187" s="268"/>
    </row>
    <row r="8188" spans="8:8" s="252" customFormat="1">
      <c r="H8188" s="268"/>
    </row>
    <row r="8189" spans="8:8" s="252" customFormat="1">
      <c r="H8189" s="268"/>
    </row>
    <row r="8190" spans="8:8" s="252" customFormat="1">
      <c r="H8190" s="268"/>
    </row>
    <row r="8191" spans="8:8" s="252" customFormat="1">
      <c r="H8191" s="268"/>
    </row>
    <row r="8192" spans="8:8" s="252" customFormat="1">
      <c r="H8192" s="268"/>
    </row>
    <row r="8193" spans="8:8" s="252" customFormat="1">
      <c r="H8193" s="268"/>
    </row>
    <row r="8194" spans="8:8" s="252" customFormat="1">
      <c r="H8194" s="268"/>
    </row>
    <row r="8195" spans="8:8" s="252" customFormat="1">
      <c r="H8195" s="268"/>
    </row>
    <row r="8196" spans="8:8" s="252" customFormat="1">
      <c r="H8196" s="268"/>
    </row>
    <row r="8197" spans="8:8" s="252" customFormat="1">
      <c r="H8197" s="268"/>
    </row>
    <row r="8198" spans="8:8" s="252" customFormat="1">
      <c r="H8198" s="268"/>
    </row>
    <row r="8199" spans="8:8" s="252" customFormat="1">
      <c r="H8199" s="268"/>
    </row>
    <row r="8200" spans="8:8" s="252" customFormat="1">
      <c r="H8200" s="268"/>
    </row>
    <row r="8201" spans="8:8" s="252" customFormat="1">
      <c r="H8201" s="268"/>
    </row>
    <row r="8202" spans="8:8" s="252" customFormat="1">
      <c r="H8202" s="268"/>
    </row>
    <row r="8203" spans="8:8" s="252" customFormat="1">
      <c r="H8203" s="268"/>
    </row>
    <row r="8204" spans="8:8" s="252" customFormat="1">
      <c r="H8204" s="268"/>
    </row>
    <row r="8205" spans="8:8" s="252" customFormat="1">
      <c r="H8205" s="268"/>
    </row>
    <row r="8206" spans="8:8" s="252" customFormat="1">
      <c r="H8206" s="268"/>
    </row>
    <row r="8207" spans="8:8" s="252" customFormat="1">
      <c r="H8207" s="268"/>
    </row>
    <row r="8208" spans="8:8" s="252" customFormat="1">
      <c r="H8208" s="268"/>
    </row>
    <row r="8209" spans="8:8" s="252" customFormat="1">
      <c r="H8209" s="268"/>
    </row>
    <row r="8210" spans="8:8" s="252" customFormat="1">
      <c r="H8210" s="268"/>
    </row>
    <row r="8211" spans="8:8" s="252" customFormat="1">
      <c r="H8211" s="268"/>
    </row>
    <row r="8212" spans="8:8" s="252" customFormat="1">
      <c r="H8212" s="268"/>
    </row>
    <row r="8213" spans="8:8" s="252" customFormat="1">
      <c r="H8213" s="268"/>
    </row>
    <row r="8214" spans="8:8" s="252" customFormat="1">
      <c r="H8214" s="268"/>
    </row>
    <row r="8215" spans="8:8" s="252" customFormat="1">
      <c r="H8215" s="268"/>
    </row>
    <row r="8216" spans="8:8" s="252" customFormat="1">
      <c r="H8216" s="268"/>
    </row>
    <row r="8217" spans="8:8" s="252" customFormat="1">
      <c r="H8217" s="268"/>
    </row>
    <row r="8218" spans="8:8" s="252" customFormat="1">
      <c r="H8218" s="268"/>
    </row>
    <row r="8219" spans="8:8" s="252" customFormat="1">
      <c r="H8219" s="268"/>
    </row>
    <row r="8220" spans="8:8" s="252" customFormat="1">
      <c r="H8220" s="268"/>
    </row>
    <row r="8221" spans="8:8" s="252" customFormat="1">
      <c r="H8221" s="268"/>
    </row>
    <row r="8222" spans="8:8" s="252" customFormat="1">
      <c r="H8222" s="268"/>
    </row>
    <row r="8223" spans="8:8" s="252" customFormat="1">
      <c r="H8223" s="268"/>
    </row>
    <row r="8224" spans="8:8" s="252" customFormat="1">
      <c r="H8224" s="268"/>
    </row>
    <row r="8225" spans="8:8" s="252" customFormat="1">
      <c r="H8225" s="268"/>
    </row>
    <row r="8226" spans="8:8" s="252" customFormat="1">
      <c r="H8226" s="268"/>
    </row>
    <row r="8227" spans="8:8" s="252" customFormat="1">
      <c r="H8227" s="268"/>
    </row>
    <row r="8228" spans="8:8" s="252" customFormat="1">
      <c r="H8228" s="268"/>
    </row>
    <row r="8229" spans="8:8" s="252" customFormat="1">
      <c r="H8229" s="268"/>
    </row>
    <row r="8230" spans="8:8" s="252" customFormat="1">
      <c r="H8230" s="268"/>
    </row>
    <row r="8231" spans="8:8" s="252" customFormat="1">
      <c r="H8231" s="268"/>
    </row>
    <row r="8232" spans="8:8" s="252" customFormat="1">
      <c r="H8232" s="268"/>
    </row>
    <row r="8233" spans="8:8" s="252" customFormat="1">
      <c r="H8233" s="268"/>
    </row>
    <row r="8234" spans="8:8" s="252" customFormat="1">
      <c r="H8234" s="268"/>
    </row>
    <row r="8235" spans="8:8" s="252" customFormat="1">
      <c r="H8235" s="268"/>
    </row>
    <row r="8236" spans="8:8" s="252" customFormat="1">
      <c r="H8236" s="268"/>
    </row>
    <row r="8237" spans="8:8" s="252" customFormat="1">
      <c r="H8237" s="268"/>
    </row>
    <row r="8238" spans="8:8" s="252" customFormat="1">
      <c r="H8238" s="268"/>
    </row>
    <row r="8239" spans="8:8" s="252" customFormat="1">
      <c r="H8239" s="268"/>
    </row>
    <row r="8240" spans="8:8" s="252" customFormat="1">
      <c r="H8240" s="268"/>
    </row>
    <row r="8241" spans="8:8" s="252" customFormat="1">
      <c r="H8241" s="268"/>
    </row>
    <row r="8242" spans="8:8" s="252" customFormat="1">
      <c r="H8242" s="268"/>
    </row>
    <row r="8243" spans="8:8" s="252" customFormat="1">
      <c r="H8243" s="268"/>
    </row>
    <row r="8244" spans="8:8" s="252" customFormat="1">
      <c r="H8244" s="268"/>
    </row>
    <row r="8245" spans="8:8" s="252" customFormat="1">
      <c r="H8245" s="268"/>
    </row>
    <row r="8246" spans="8:8" s="252" customFormat="1">
      <c r="H8246" s="268"/>
    </row>
    <row r="8247" spans="8:8" s="252" customFormat="1">
      <c r="H8247" s="268"/>
    </row>
    <row r="8248" spans="8:8" s="252" customFormat="1">
      <c r="H8248" s="268"/>
    </row>
    <row r="8249" spans="8:8" s="252" customFormat="1">
      <c r="H8249" s="268"/>
    </row>
    <row r="8250" spans="8:8" s="252" customFormat="1">
      <c r="H8250" s="268"/>
    </row>
    <row r="8251" spans="8:8" s="252" customFormat="1">
      <c r="H8251" s="268"/>
    </row>
    <row r="8252" spans="8:8" s="252" customFormat="1">
      <c r="H8252" s="268"/>
    </row>
    <row r="8253" spans="8:8" s="252" customFormat="1">
      <c r="H8253" s="268"/>
    </row>
    <row r="8254" spans="8:8" s="252" customFormat="1">
      <c r="H8254" s="268"/>
    </row>
    <row r="8255" spans="8:8" s="252" customFormat="1">
      <c r="H8255" s="268"/>
    </row>
    <row r="8256" spans="8:8" s="252" customFormat="1">
      <c r="H8256" s="268"/>
    </row>
    <row r="8257" spans="8:8" s="252" customFormat="1">
      <c r="H8257" s="268"/>
    </row>
    <row r="8258" spans="8:8" s="252" customFormat="1">
      <c r="H8258" s="268"/>
    </row>
    <row r="8259" spans="8:8" s="252" customFormat="1">
      <c r="H8259" s="268"/>
    </row>
    <row r="8260" spans="8:8" s="252" customFormat="1">
      <c r="H8260" s="268"/>
    </row>
    <row r="8261" spans="8:8" s="252" customFormat="1">
      <c r="H8261" s="268"/>
    </row>
    <row r="8262" spans="8:8" s="252" customFormat="1">
      <c r="H8262" s="268"/>
    </row>
    <row r="8263" spans="8:8" s="252" customFormat="1">
      <c r="H8263" s="268"/>
    </row>
    <row r="8264" spans="8:8" s="252" customFormat="1">
      <c r="H8264" s="268"/>
    </row>
    <row r="8265" spans="8:8" s="252" customFormat="1">
      <c r="H8265" s="268"/>
    </row>
    <row r="8266" spans="8:8" s="252" customFormat="1">
      <c r="H8266" s="268"/>
    </row>
    <row r="8267" spans="8:8" s="252" customFormat="1">
      <c r="H8267" s="268"/>
    </row>
    <row r="8268" spans="8:8" s="252" customFormat="1">
      <c r="H8268" s="268"/>
    </row>
    <row r="8269" spans="8:8" s="252" customFormat="1">
      <c r="H8269" s="268"/>
    </row>
    <row r="8270" spans="8:8" s="252" customFormat="1">
      <c r="H8270" s="268"/>
    </row>
    <row r="8271" spans="8:8" s="252" customFormat="1">
      <c r="H8271" s="268"/>
    </row>
    <row r="8272" spans="8:8" s="252" customFormat="1">
      <c r="H8272" s="268"/>
    </row>
    <row r="8273" spans="8:8" s="252" customFormat="1">
      <c r="H8273" s="268"/>
    </row>
    <row r="8274" spans="8:8" s="252" customFormat="1">
      <c r="H8274" s="268"/>
    </row>
    <row r="8275" spans="8:8" s="252" customFormat="1">
      <c r="H8275" s="268"/>
    </row>
    <row r="8276" spans="8:8" s="252" customFormat="1">
      <c r="H8276" s="268"/>
    </row>
    <row r="8277" spans="8:8" s="252" customFormat="1">
      <c r="H8277" s="268"/>
    </row>
    <row r="8278" spans="8:8" s="252" customFormat="1">
      <c r="H8278" s="268"/>
    </row>
    <row r="8279" spans="8:8" s="252" customFormat="1">
      <c r="H8279" s="268"/>
    </row>
    <row r="8280" spans="8:8" s="252" customFormat="1">
      <c r="H8280" s="268"/>
    </row>
    <row r="8281" spans="8:8" s="252" customFormat="1">
      <c r="H8281" s="268"/>
    </row>
    <row r="8282" spans="8:8" s="252" customFormat="1">
      <c r="H8282" s="268"/>
    </row>
    <row r="8283" spans="8:8" s="252" customFormat="1">
      <c r="H8283" s="268"/>
    </row>
    <row r="8284" spans="8:8" s="252" customFormat="1">
      <c r="H8284" s="268"/>
    </row>
    <row r="8285" spans="8:8" s="252" customFormat="1">
      <c r="H8285" s="268"/>
    </row>
    <row r="8286" spans="8:8" s="252" customFormat="1">
      <c r="H8286" s="268"/>
    </row>
    <row r="8287" spans="8:8" s="252" customFormat="1">
      <c r="H8287" s="268"/>
    </row>
    <row r="8288" spans="8:8" s="252" customFormat="1">
      <c r="H8288" s="268"/>
    </row>
    <row r="8289" spans="8:8" s="252" customFormat="1">
      <c r="H8289" s="268"/>
    </row>
    <row r="8290" spans="8:8" s="252" customFormat="1">
      <c r="H8290" s="268"/>
    </row>
    <row r="8291" spans="8:8" s="252" customFormat="1">
      <c r="H8291" s="268"/>
    </row>
    <row r="8292" spans="8:8" s="252" customFormat="1">
      <c r="H8292" s="268"/>
    </row>
    <row r="8293" spans="8:8" s="252" customFormat="1">
      <c r="H8293" s="268"/>
    </row>
    <row r="8294" spans="8:8" s="252" customFormat="1">
      <c r="H8294" s="268"/>
    </row>
    <row r="8295" spans="8:8" s="252" customFormat="1">
      <c r="H8295" s="268"/>
    </row>
    <row r="8296" spans="8:8" s="252" customFormat="1">
      <c r="H8296" s="268"/>
    </row>
  </sheetData>
  <mergeCells count="10">
    <mergeCell ref="O3111:P3111"/>
    <mergeCell ref="M3610:R3610"/>
    <mergeCell ref="M3611:R3611"/>
    <mergeCell ref="P3619:Q3619"/>
    <mergeCell ref="E2341:K2341"/>
    <mergeCell ref="F2370:G2370"/>
    <mergeCell ref="F2374:G2374"/>
    <mergeCell ref="I2374:J2374"/>
    <mergeCell ref="I2390:J2390"/>
    <mergeCell ref="H2713:I2713"/>
  </mergeCells>
  <printOptions horizontalCentered="1"/>
  <pageMargins left="0.77" right="0.19" top="0.67" bottom="0.59" header="0.3" footer="0.24"/>
  <pageSetup paperSize="9" scale="75" orientation="portrait" r:id="rId1"/>
  <headerFooter alignWithMargins="0">
    <oddHeader>&amp;CElectrical Data 2016-17&amp;R&amp;P</oddHead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3"/>
  <sheetViews>
    <sheetView view="pageBreakPreview" zoomScaleNormal="70" zoomScaleSheetLayoutView="100" workbookViewId="0">
      <pane ySplit="1" topLeftCell="A2" activePane="bottomLeft" state="frozen"/>
      <selection pane="bottomLeft" activeCell="N17" sqref="N17"/>
    </sheetView>
  </sheetViews>
  <sheetFormatPr defaultColWidth="7.109375" defaultRowHeight="12.75"/>
  <cols>
    <col min="1" max="3" width="7.109375" style="345"/>
    <col min="4" max="4" width="11.21875" style="345" customWidth="1"/>
    <col min="5" max="5" width="7.109375" style="345"/>
    <col min="6" max="6" width="4.88671875" style="345" customWidth="1"/>
    <col min="7" max="7" width="8" style="345" customWidth="1"/>
    <col min="8" max="8" width="6.44140625" style="345" customWidth="1"/>
    <col min="9" max="9" width="4.21875" style="345" customWidth="1"/>
    <col min="10" max="10" width="8.21875" style="345" customWidth="1"/>
    <col min="11" max="11" width="5.88671875" style="345" customWidth="1"/>
    <col min="12" max="12" width="6.109375" style="345" customWidth="1"/>
    <col min="13" max="16384" width="7.109375" style="345"/>
  </cols>
  <sheetData>
    <row r="1" spans="1:22" s="343" customFormat="1" ht="165.75">
      <c r="B1" s="344" t="s">
        <v>1535</v>
      </c>
      <c r="C1" s="344"/>
      <c r="D1" s="344" t="s">
        <v>2300</v>
      </c>
      <c r="E1" s="344"/>
      <c r="F1" s="344"/>
      <c r="G1" s="344" t="s">
        <v>1264</v>
      </c>
      <c r="H1" s="344"/>
      <c r="I1" s="344"/>
      <c r="J1" s="344" t="s">
        <v>294</v>
      </c>
      <c r="K1" s="344"/>
      <c r="L1" s="344"/>
      <c r="M1" s="344" t="s">
        <v>2301</v>
      </c>
      <c r="N1" s="344"/>
      <c r="O1" s="344"/>
      <c r="P1" s="344" t="s">
        <v>2493</v>
      </c>
      <c r="Q1" s="344"/>
    </row>
    <row r="2" spans="1:22">
      <c r="B2" s="346" t="s">
        <v>1536</v>
      </c>
      <c r="C2" s="346"/>
      <c r="D2" s="347" t="s">
        <v>0</v>
      </c>
      <c r="G2" s="348" t="s">
        <v>222</v>
      </c>
    </row>
    <row r="3" spans="1:22">
      <c r="A3" s="345" t="s">
        <v>881</v>
      </c>
      <c r="B3" s="349">
        <v>7.28</v>
      </c>
      <c r="C3" s="345">
        <f>10*B3</f>
        <v>72.8</v>
      </c>
      <c r="D3" s="349">
        <v>11.65</v>
      </c>
      <c r="E3" s="345">
        <f>10*D3</f>
        <v>116.5</v>
      </c>
      <c r="G3" s="349">
        <v>9.82</v>
      </c>
      <c r="H3" s="345">
        <f>10*G3</f>
        <v>98.2</v>
      </c>
      <c r="J3" s="349">
        <v>13.1</v>
      </c>
      <c r="K3" s="345">
        <f>10*J3</f>
        <v>131</v>
      </c>
      <c r="M3" s="349">
        <v>16.37</v>
      </c>
      <c r="N3" s="345">
        <f>10*M3</f>
        <v>163.69999999999999</v>
      </c>
      <c r="P3" s="349">
        <v>7.99</v>
      </c>
      <c r="Q3" s="350">
        <f>10*P3</f>
        <v>79.900000000000006</v>
      </c>
    </row>
    <row r="4" spans="1:22">
      <c r="A4" s="351" t="s">
        <v>419</v>
      </c>
      <c r="B4" s="349">
        <v>6.23</v>
      </c>
      <c r="C4" s="345">
        <f>+C3+10*B4</f>
        <v>135.1</v>
      </c>
      <c r="D4" s="349">
        <v>9.9600000000000009</v>
      </c>
      <c r="E4" s="345">
        <f>+E3+10*D4</f>
        <v>216.1</v>
      </c>
      <c r="G4" s="352">
        <v>8.41</v>
      </c>
      <c r="H4" s="345">
        <f>+H3+10*G4</f>
        <v>182.3</v>
      </c>
      <c r="J4" s="349">
        <v>11.22</v>
      </c>
      <c r="K4" s="345">
        <f>+K3+10*J4</f>
        <v>243.2</v>
      </c>
      <c r="M4" s="353">
        <v>14.02</v>
      </c>
      <c r="N4" s="345">
        <f>+N3+10*M4</f>
        <v>303.89999999999998</v>
      </c>
      <c r="P4" s="349">
        <v>6.84</v>
      </c>
      <c r="Q4" s="345">
        <f>+Q3+10*P4</f>
        <v>148.30000000000001</v>
      </c>
    </row>
    <row r="5" spans="1:22">
      <c r="A5" s="345" t="s">
        <v>954</v>
      </c>
      <c r="B5" s="349">
        <v>5.36</v>
      </c>
      <c r="C5" s="345">
        <f>+C4+20*B5</f>
        <v>242.3</v>
      </c>
      <c r="D5" s="349">
        <v>8.57</v>
      </c>
      <c r="E5" s="345">
        <f>+E4+20*D5</f>
        <v>387.5</v>
      </c>
      <c r="G5" s="349">
        <v>7.22</v>
      </c>
      <c r="H5" s="345">
        <f>+H4+20*G5</f>
        <v>326.7</v>
      </c>
      <c r="J5" s="349">
        <v>9.65</v>
      </c>
      <c r="K5" s="345">
        <f>+K4+20*J5</f>
        <v>436.2</v>
      </c>
      <c r="M5" s="349">
        <v>12.05</v>
      </c>
      <c r="N5" s="345">
        <f>+N4+20*M5</f>
        <v>544.9</v>
      </c>
      <c r="P5" s="349">
        <v>5.9</v>
      </c>
      <c r="Q5" s="345">
        <f>+Q4+20*P5</f>
        <v>266.3</v>
      </c>
    </row>
    <row r="6" spans="1:22">
      <c r="A6" s="345" t="s">
        <v>955</v>
      </c>
      <c r="B6" s="349">
        <v>4.6100000000000003</v>
      </c>
      <c r="C6" s="345">
        <f>+C5+40*B6</f>
        <v>426.7</v>
      </c>
      <c r="D6" s="349">
        <v>8.0399999999999991</v>
      </c>
      <c r="E6" s="345">
        <f>+E5+40*D6</f>
        <v>709.1</v>
      </c>
      <c r="G6" s="349">
        <v>6.23</v>
      </c>
      <c r="H6" s="345">
        <f>+H5+40*G6</f>
        <v>575.9</v>
      </c>
      <c r="J6" s="349">
        <v>8.31</v>
      </c>
      <c r="K6" s="345">
        <f>+K5+40*J6</f>
        <v>768.6</v>
      </c>
      <c r="M6" s="349">
        <v>10.4</v>
      </c>
      <c r="N6" s="345">
        <f>+N5+40*M6</f>
        <v>960.9</v>
      </c>
      <c r="P6" s="349">
        <v>5.09</v>
      </c>
      <c r="Q6" s="345">
        <f>+Q5+40*P6</f>
        <v>469.9</v>
      </c>
    </row>
    <row r="7" spans="1:22">
      <c r="A7" s="345" t="s">
        <v>956</v>
      </c>
      <c r="B7" s="349">
        <v>4.21</v>
      </c>
      <c r="D7" s="349">
        <v>6.74</v>
      </c>
      <c r="G7" s="349">
        <v>5.7</v>
      </c>
      <c r="J7" s="349">
        <v>7.59</v>
      </c>
      <c r="M7" s="349">
        <v>9.49</v>
      </c>
      <c r="P7" s="349">
        <v>4.6399999999999997</v>
      </c>
    </row>
    <row r="8" spans="1:22" ht="5.25" customHeight="1"/>
    <row r="9" spans="1:22" ht="6.75" customHeight="1">
      <c r="B9" s="343"/>
      <c r="C9" s="343"/>
    </row>
    <row r="10" spans="1:22" ht="28.5" customHeight="1">
      <c r="B10" s="345" t="s">
        <v>848</v>
      </c>
      <c r="D10" s="345">
        <v>55</v>
      </c>
      <c r="E10" s="350">
        <f>IF(D10&lt;11,D10*$D$3,IF(D10&lt;21,($E$3+(D10-10)*$D$4),IF(D10&lt;41,$E$4+(D10-20)*$D$5,IF(D10&lt;81,($E$5+(D10-40)*$D$6),$E$6+(D10-80)*$D$7))))</f>
        <v>508.1</v>
      </c>
      <c r="G10" s="345">
        <v>2</v>
      </c>
      <c r="H10" s="345">
        <f>IF(G10&lt;11,G10*$G$3,IF(G10&lt;21,($H$3+(G10-10)*$G$4),IF(G10&lt;41,$H$4+(G10-20)*$G$5,IF(G10&lt;81,($H$5+(G10-40)*$G$6),$H$6+(G10-80)*$G$7))))</f>
        <v>19.64</v>
      </c>
      <c r="L10" s="354" t="s">
        <v>1166</v>
      </c>
      <c r="M10" s="345">
        <v>25</v>
      </c>
      <c r="N10" s="345">
        <f>IF(M10&lt;11,M10*$M$3,IF(M10&lt;21,($N$3+(M10-10)*$M$4),IF(M10&lt;41,$N$4+(M10-20)*$M$5,IF(M10&lt;81,($N$5+(M10-40)*$M$6),$N$6+(M10-80)*$M$7))))</f>
        <v>364.15</v>
      </c>
      <c r="O10" s="345" t="s">
        <v>5786</v>
      </c>
      <c r="P10" s="345">
        <v>2</v>
      </c>
      <c r="Q10" s="345">
        <f>IF(P10&lt;11,P10*$P$3,IF(P10&lt;21,($Q$3+(P10-10)*$P$4),IF(P10&lt;41,$Q$4+(P10-20)*$P$5,IF(P10&lt;81,($Q$5+(P10-40)*$P$6),$Q$6+(P10-80)*$P$7))))</f>
        <v>15.98</v>
      </c>
      <c r="R10" s="345" t="s">
        <v>1155</v>
      </c>
    </row>
    <row r="11" spans="1:22">
      <c r="B11" s="345" t="s">
        <v>1061</v>
      </c>
      <c r="D11" s="345">
        <f>D10</f>
        <v>55</v>
      </c>
      <c r="E11" s="350">
        <f>IF(D11&lt;11,D11*$D$3,(IF(D11&lt;21,($E$3+(D11-10)*$D$4),(IF(D11&lt;41,$E$4+(D11-20)*$D$5,IF(D11&lt;81,($E$5+(D11-40)*$D$6),$E$6+(D11-80)*$D$7))))))</f>
        <v>508.1</v>
      </c>
      <c r="H11" s="345">
        <f>IF(G11&lt;11,G11*$G$3,IF(G11&lt;21,($H$3+(G11-10)*$G$4),IF(G11&lt;41,$H$4+(G11-20)*$G$5,IF(G11&lt;81,($H$5+(G11-40)*$G$6),$H$6+(G11-80)*$G$7))))</f>
        <v>0</v>
      </c>
      <c r="J11" s="345">
        <v>0</v>
      </c>
      <c r="K11" s="345">
        <f>IF(J11&lt;11,J11*$J$3,IF(J11&lt;21,($K$3+(J11-10)*$J$4),IF(J11&lt;41,$K$4+(J11-20)*$J$5,IF(J11&lt;81,($K$5+(J11-40)*$J$6),$K$6+(J11-80)*$J$7))))/2</f>
        <v>0</v>
      </c>
      <c r="L11" s="355" t="s">
        <v>295</v>
      </c>
      <c r="P11" s="345">
        <v>25</v>
      </c>
      <c r="Q11" s="345">
        <f>IF(P11&lt;11,P11*$P$3,IF(P11&lt;21,($Q$3+(P11-10)*$P$4),IF(P11&lt;41,$Q$4+(P11-20)*$P$5,IF(P11&lt;81,($Q$5+(P11-40)*$P$6),$Q$6+(P11-80)*$P$7))))</f>
        <v>177.8</v>
      </c>
      <c r="R11" s="345" t="s">
        <v>1156</v>
      </c>
      <c r="T11" s="345" t="s">
        <v>3522</v>
      </c>
    </row>
    <row r="12" spans="1:22" ht="21" customHeight="1">
      <c r="B12" s="354" t="s">
        <v>775</v>
      </c>
      <c r="C12" s="354"/>
      <c r="D12" s="345">
        <f>D11</f>
        <v>55</v>
      </c>
      <c r="E12" s="345">
        <f>IF(D12&lt;11,D12*$D$3,(IF(D12&lt;21,($E$3+(D12-10)*$D$4),(IF(D12&lt;41,$E$4+(D12-20)*$D$5,IF(D12&lt;81,($E$5+(D12-40)*$D$6),$E$6+(D12-80)*$D$7))))))</f>
        <v>508.1</v>
      </c>
      <c r="J12" s="345">
        <v>0</v>
      </c>
      <c r="K12" s="345">
        <f>IF(J12&lt;11,J12*$J$3,IF(J12&lt;21,($K$3+(J12-10)*$J$4),IF(J12&lt;41,$K$4+(J12-20)*$J$5,IF(J12&lt;81,($K$5+(J12-40)*$J$6),$K$6+(J12-80)*$J$7))))/2</f>
        <v>0</v>
      </c>
      <c r="L12" s="345" t="s">
        <v>5782</v>
      </c>
      <c r="N12" s="345">
        <f>90+77.5+6.85*20+5.7*23</f>
        <v>435.6</v>
      </c>
      <c r="P12" s="345">
        <v>0</v>
      </c>
      <c r="Q12" s="345">
        <f>IF(P12&lt;11,P12*$P$3,IF(P12&lt;21,($Q$3+(P12-10)*$P$4),IF(P12&lt;41,$Q$4+(P12-20)*$P$5,IF(P12&lt;81,($Q$5+(P12-40)*$P$6),$Q$6+(P12-80)*$P$7))))</f>
        <v>0</v>
      </c>
      <c r="R12" s="345" t="s">
        <v>3760</v>
      </c>
      <c r="T12" s="345">
        <f>8.69*6</f>
        <v>52.14</v>
      </c>
      <c r="U12" s="348" t="s">
        <v>3521</v>
      </c>
    </row>
    <row r="13" spans="1:22">
      <c r="B13" s="345" t="s">
        <v>207</v>
      </c>
      <c r="D13" s="345">
        <v>15</v>
      </c>
      <c r="E13" s="350">
        <f>IF(D13&lt;11,D13*$D$3,(IF(D13&lt;21,($E$3+(D13-10)*$D$4),(IF(D13&lt;41,$E$4+(D13-20)*$D$5,IF(D13&lt;81,($E$5+(D13-40)*$D$6),$E$6+(D13-80)*$D$7))))))</f>
        <v>166.3</v>
      </c>
      <c r="P13" s="345">
        <f>D10</f>
        <v>55</v>
      </c>
      <c r="Q13" s="345">
        <f>IF(P13&lt;11,P13*$P$3,IF(P13&lt;21,($Q$3+(P13-10)*$P$4),IF(P13&lt;41,$Q$4+(P13-20)*$P$5,IF(P13&lt;81,($Q$5+(P13-40)*$P$6),$Q$6+(P13-80)*$P$7))))</f>
        <v>342.65</v>
      </c>
      <c r="R13" s="345" t="s">
        <v>3523</v>
      </c>
    </row>
    <row r="14" spans="1:22">
      <c r="B14" s="345" t="s">
        <v>387</v>
      </c>
      <c r="D14" s="345">
        <v>0</v>
      </c>
      <c r="E14" s="345">
        <f>IF(D14&lt;11,D14*$B$3,(IF(D14&lt;21,($C$3+(D14-10)*$B$4),(IF(D14&lt;41,$C$4+(D14-20)*$B$5,IF(D14&lt;81,($C$5+(D14-40)*$B$6),$C$6+(D14-80)*$B$7))))))</f>
        <v>0</v>
      </c>
      <c r="S14" s="345" t="s">
        <v>971</v>
      </c>
      <c r="T14" s="345" t="s">
        <v>971</v>
      </c>
      <c r="U14" s="345">
        <f>8.69+7.44+6.4+6</f>
        <v>28.53</v>
      </c>
      <c r="V14" s="345">
        <f>U14*44</f>
        <v>1255.32</v>
      </c>
    </row>
    <row r="15" spans="1:22">
      <c r="B15" s="345" t="s">
        <v>510</v>
      </c>
      <c r="D15" s="345">
        <v>0</v>
      </c>
      <c r="E15" s="345">
        <f>IF(D15&lt;11,D15*$B$3,(IF(D15&lt;21,($C$3+(D15-10)*$B$4),(IF(D15&lt;41,$C$4+(D15-20)*$B$5,IF(D15&lt;81,($C$5+(D15-40)*$B$6),$C$6+(D15-80)*$B$7))))))</f>
        <v>0</v>
      </c>
    </row>
    <row r="16" spans="1:22">
      <c r="B16" s="345" t="s">
        <v>3195</v>
      </c>
      <c r="D16" s="345">
        <v>0</v>
      </c>
      <c r="E16" s="350">
        <f t="shared" ref="E16" si="0">IF(D16&lt;11,D16*$D$3,(IF(D16&lt;21,($E$3+(D16-10)*$D$4),(IF(D16&lt;41,$E$4+(D16-20)*$D$5,IF(D16&lt;81,($E$5+(D16-40)*$D$6),$E$6+(D16-80)*$D$7))))))</f>
        <v>0</v>
      </c>
      <c r="U16" s="345">
        <f>8.69*10</f>
        <v>86.9</v>
      </c>
    </row>
    <row r="17" spans="4:21">
      <c r="D17" s="345">
        <v>0</v>
      </c>
      <c r="E17" s="345">
        <f t="shared" ref="E17:E21" si="1">IF(D17&lt;11,D17*$D$3,(IF(D17&lt;21,($E$3+(D17-10)*$D$4),(IF(D17&lt;41,$E$4+(D17-20)*$D$5,IF(D17&lt;81,($E$5+(D17-40)*$D$6),$E$6+(D17-80)*$D$7))))))</f>
        <v>0</v>
      </c>
      <c r="U17" s="345">
        <f>7.44*10</f>
        <v>74.400000000000006</v>
      </c>
    </row>
    <row r="18" spans="4:21">
      <c r="D18" s="345">
        <v>0</v>
      </c>
      <c r="E18" s="345">
        <f t="shared" si="1"/>
        <v>0</v>
      </c>
      <c r="G18" s="350"/>
      <c r="H18" s="350">
        <f>(G18+G19)/2</f>
        <v>0</v>
      </c>
      <c r="U18" s="345">
        <f>6.4*20</f>
        <v>128</v>
      </c>
    </row>
    <row r="19" spans="4:21">
      <c r="D19" s="345">
        <v>0</v>
      </c>
      <c r="E19" s="345">
        <f t="shared" si="1"/>
        <v>0</v>
      </c>
      <c r="G19" s="350"/>
      <c r="H19" s="345">
        <f>15+20+25+0.2</f>
        <v>60.2</v>
      </c>
      <c r="U19" s="345">
        <f>6*4</f>
        <v>24</v>
      </c>
    </row>
    <row r="20" spans="4:21">
      <c r="D20" s="345">
        <v>0</v>
      </c>
      <c r="E20" s="345">
        <f t="shared" si="1"/>
        <v>0</v>
      </c>
      <c r="G20" s="350"/>
      <c r="U20" s="348">
        <f>SUM(U16:U19)</f>
        <v>313.3</v>
      </c>
    </row>
    <row r="21" spans="4:21">
      <c r="D21" s="345">
        <v>0</v>
      </c>
      <c r="E21" s="345">
        <f t="shared" si="1"/>
        <v>0</v>
      </c>
      <c r="G21" s="350"/>
    </row>
    <row r="22" spans="4:21">
      <c r="G22" s="350"/>
    </row>
    <row r="23" spans="4:21">
      <c r="G23" s="350"/>
    </row>
    <row r="24" spans="4:21">
      <c r="G24" s="350"/>
    </row>
    <row r="25" spans="4:21">
      <c r="G25" s="350"/>
      <c r="H25" s="345">
        <f>SUM(G20:G25)/6</f>
        <v>0</v>
      </c>
    </row>
    <row r="26" spans="4:21">
      <c r="G26" s="350"/>
    </row>
    <row r="27" spans="4:21">
      <c r="G27" s="350"/>
    </row>
    <row r="28" spans="4:21">
      <c r="G28" s="350"/>
    </row>
    <row r="29" spans="4:21">
      <c r="G29" s="350"/>
    </row>
    <row r="30" spans="4:21">
      <c r="G30" s="350"/>
    </row>
    <row r="31" spans="4:21">
      <c r="G31" s="350"/>
    </row>
    <row r="32" spans="4:21">
      <c r="G32" s="350"/>
    </row>
    <row r="33" spans="7:7">
      <c r="G33" s="350"/>
    </row>
  </sheetData>
  <phoneticPr fontId="3" type="noConversion"/>
  <pageMargins left="0.46" right="0.19" top="1" bottom="1" header="0.5" footer="0.5"/>
  <pageSetup paperSize="9" scale="88" orientation="landscape"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syncVertical="1" syncRef="F289" transitionEvaluation="1"/>
  <dimension ref="A1:DZ5474"/>
  <sheetViews>
    <sheetView view="pageBreakPreview" topLeftCell="F289" zoomScaleNormal="60" zoomScaleSheetLayoutView="100" workbookViewId="0">
      <selection activeCell="F304" sqref="F304"/>
    </sheetView>
  </sheetViews>
  <sheetFormatPr defaultColWidth="7.44140625" defaultRowHeight="15.75"/>
  <cols>
    <col min="1" max="1" width="7.77734375" style="252" hidden="1" customWidth="1"/>
    <col min="2" max="2" width="45.77734375" style="252" hidden="1" customWidth="1"/>
    <col min="3" max="3" width="11.77734375" style="252" hidden="1" customWidth="1"/>
    <col min="4" max="4" width="9.77734375" style="252" hidden="1" customWidth="1"/>
    <col min="5" max="5" width="9.21875" style="252" hidden="1" customWidth="1"/>
    <col min="6" max="6" width="7.77734375" style="252" customWidth="1"/>
    <col min="7" max="7" width="6.5546875" style="252" customWidth="1"/>
    <col min="8" max="8" width="46.88671875" style="252" customWidth="1"/>
    <col min="9" max="9" width="10" style="252" customWidth="1"/>
    <col min="10" max="10" width="9.21875" style="253" customWidth="1"/>
    <col min="11" max="11" width="11.44140625" style="252" customWidth="1"/>
    <col min="12" max="12" width="9.77734375" style="252" customWidth="1"/>
    <col min="13" max="13" width="9.5546875" style="252" customWidth="1"/>
    <col min="14" max="14" width="10.88671875" style="252" customWidth="1"/>
    <col min="15" max="15" width="48.109375" style="252" customWidth="1"/>
    <col min="16" max="16" width="9.77734375" style="252" customWidth="1"/>
    <col min="17" max="17" width="9.21875" style="252" customWidth="1"/>
    <col min="18" max="18" width="10.33203125" style="252" customWidth="1"/>
    <col min="19" max="19" width="9.5546875" style="252" customWidth="1"/>
    <col min="20" max="20" width="9" style="252" customWidth="1"/>
    <col min="21" max="21" width="9.21875" style="252" customWidth="1"/>
    <col min="22" max="22" width="52.5546875" style="252" customWidth="1"/>
    <col min="23" max="23" width="14.77734375" style="252" customWidth="1"/>
    <col min="24" max="24" width="10.6640625" style="252" customWidth="1"/>
    <col min="25" max="25" width="13.44140625" style="252" customWidth="1"/>
    <col min="26" max="26" width="9.6640625" style="252" customWidth="1"/>
    <col min="27" max="27" width="8.6640625" style="252" customWidth="1"/>
    <col min="28" max="28" width="9.6640625" style="252" customWidth="1"/>
    <col min="29" max="29" width="60.88671875" style="252" customWidth="1"/>
    <col min="30" max="30" width="10.44140625" style="252" customWidth="1"/>
    <col min="31" max="31" width="8.77734375" style="252" customWidth="1"/>
    <col min="32" max="32" width="17.33203125" style="252" customWidth="1"/>
    <col min="33" max="33" width="9" style="252" customWidth="1"/>
    <col min="34" max="34" width="8.77734375" style="252" customWidth="1"/>
    <col min="35" max="35" width="8.5546875" style="252" bestFit="1" customWidth="1"/>
    <col min="36" max="16384" width="7.44140625" style="252"/>
  </cols>
  <sheetData>
    <row r="1" spans="1:18">
      <c r="A1" s="251"/>
    </row>
    <row r="2" spans="1:18" ht="18">
      <c r="A2" s="251"/>
      <c r="H2" s="254" t="s">
        <v>3690</v>
      </c>
    </row>
    <row r="3" spans="1:18">
      <c r="A3" s="251"/>
      <c r="H3" s="255" t="s">
        <v>4590</v>
      </c>
    </row>
    <row r="4" spans="1:18">
      <c r="A4" s="251"/>
    </row>
    <row r="5" spans="1:18">
      <c r="A5" s="251"/>
      <c r="H5" s="256" t="s">
        <v>2865</v>
      </c>
    </row>
    <row r="6" spans="1:18" ht="31.5">
      <c r="A6" s="251"/>
      <c r="H6" s="257" t="s">
        <v>2866</v>
      </c>
      <c r="O6" s="258" t="s">
        <v>2867</v>
      </c>
    </row>
    <row r="7" spans="1:18">
      <c r="A7" s="251"/>
      <c r="H7" s="257" t="s">
        <v>2868</v>
      </c>
    </row>
    <row r="8" spans="1:18">
      <c r="A8" s="251"/>
      <c r="H8" s="259"/>
    </row>
    <row r="9" spans="1:18">
      <c r="A9" s="251"/>
      <c r="H9" s="257" t="s">
        <v>2869</v>
      </c>
    </row>
    <row r="10" spans="1:18">
      <c r="A10" s="251"/>
    </row>
    <row r="11" spans="1:18" ht="173.25">
      <c r="A11" s="251"/>
      <c r="H11" s="260" t="s">
        <v>2375</v>
      </c>
      <c r="M11" s="261"/>
      <c r="N11" s="261"/>
      <c r="O11" s="260" t="s">
        <v>5631</v>
      </c>
      <c r="P11" s="261"/>
      <c r="Q11" s="261"/>
      <c r="R11" s="261"/>
    </row>
    <row r="12" spans="1:18" ht="31.5">
      <c r="A12" s="251"/>
      <c r="F12" s="261">
        <v>90</v>
      </c>
      <c r="G12" s="261" t="s">
        <v>823</v>
      </c>
      <c r="H12" s="262" t="s">
        <v>4946</v>
      </c>
      <c r="I12" s="263">
        <v>16.55</v>
      </c>
      <c r="J12" s="261" t="s">
        <v>2529</v>
      </c>
      <c r="K12" s="261">
        <f>F12*I12</f>
        <v>1489.5</v>
      </c>
      <c r="M12" s="261"/>
      <c r="N12" s="261"/>
      <c r="O12" s="258"/>
      <c r="P12" s="261"/>
      <c r="Q12" s="261"/>
      <c r="R12" s="261"/>
    </row>
    <row r="13" spans="1:18" ht="31.5">
      <c r="A13" s="251"/>
      <c r="E13" s="261"/>
      <c r="F13" s="261">
        <v>45</v>
      </c>
      <c r="G13" s="261" t="s">
        <v>823</v>
      </c>
      <c r="H13" s="260" t="s">
        <v>4947</v>
      </c>
      <c r="I13" s="263">
        <v>20</v>
      </c>
      <c r="J13" s="261" t="s">
        <v>2355</v>
      </c>
      <c r="K13" s="261">
        <f t="shared" ref="K13:K25" si="0">F13*I13</f>
        <v>900</v>
      </c>
      <c r="L13" s="261"/>
      <c r="M13" s="261"/>
      <c r="N13" s="261"/>
      <c r="P13" s="261" t="s">
        <v>971</v>
      </c>
      <c r="Q13" s="261"/>
      <c r="R13" s="261"/>
    </row>
    <row r="14" spans="1:18">
      <c r="A14" s="251"/>
      <c r="E14" s="261"/>
      <c r="F14" s="261">
        <v>20</v>
      </c>
      <c r="G14" s="261" t="s">
        <v>1389</v>
      </c>
      <c r="H14" s="261" t="s">
        <v>4948</v>
      </c>
      <c r="I14" s="263">
        <v>3.15</v>
      </c>
      <c r="J14" s="261" t="s">
        <v>1389</v>
      </c>
      <c r="K14" s="261">
        <f t="shared" si="0"/>
        <v>63</v>
      </c>
      <c r="L14" s="261"/>
      <c r="M14" s="261"/>
      <c r="N14" s="261"/>
      <c r="O14" s="261"/>
      <c r="P14" s="261"/>
      <c r="Q14" s="261"/>
      <c r="R14" s="261"/>
    </row>
    <row r="15" spans="1:18" ht="31.5">
      <c r="A15" s="251"/>
      <c r="E15" s="261"/>
      <c r="F15" s="261">
        <v>10</v>
      </c>
      <c r="G15" s="261" t="s">
        <v>1389</v>
      </c>
      <c r="H15" s="261" t="s">
        <v>5488</v>
      </c>
      <c r="I15" s="264">
        <f>16.05/12</f>
        <v>1.34</v>
      </c>
      <c r="J15" s="261" t="s">
        <v>1389</v>
      </c>
      <c r="K15" s="261">
        <f t="shared" si="0"/>
        <v>13.4</v>
      </c>
      <c r="L15" s="261"/>
      <c r="M15" s="261">
        <v>90</v>
      </c>
      <c r="N15" s="261" t="s">
        <v>823</v>
      </c>
      <c r="O15" s="262" t="s">
        <v>2528</v>
      </c>
      <c r="P15" s="261">
        <f>I25</f>
        <v>16.55</v>
      </c>
      <c r="Q15" s="261" t="s">
        <v>823</v>
      </c>
      <c r="R15" s="261">
        <f>M15*P15</f>
        <v>1489.5</v>
      </c>
    </row>
    <row r="16" spans="1:18" ht="31.5">
      <c r="A16" s="251"/>
      <c r="E16" s="261"/>
      <c r="F16" s="261">
        <v>1</v>
      </c>
      <c r="G16" s="261" t="s">
        <v>1389</v>
      </c>
      <c r="H16" s="261" t="s">
        <v>4949</v>
      </c>
      <c r="I16" s="264">
        <v>70.7</v>
      </c>
      <c r="J16" s="261" t="s">
        <v>1389</v>
      </c>
      <c r="K16" s="261">
        <f t="shared" si="0"/>
        <v>70.7</v>
      </c>
      <c r="L16" s="261"/>
      <c r="M16" s="261">
        <v>45</v>
      </c>
      <c r="N16" s="261" t="s">
        <v>823</v>
      </c>
      <c r="O16" s="260" t="s">
        <v>2354</v>
      </c>
      <c r="P16" s="261">
        <f>I13</f>
        <v>20</v>
      </c>
      <c r="Q16" s="261" t="s">
        <v>2355</v>
      </c>
      <c r="R16" s="261">
        <f t="shared" ref="R16:R28" si="1">M16*P16</f>
        <v>900</v>
      </c>
    </row>
    <row r="17" spans="1:20">
      <c r="A17" s="251"/>
      <c r="E17" s="261"/>
      <c r="F17" s="261"/>
      <c r="G17" s="261"/>
      <c r="H17" s="261"/>
      <c r="I17" s="261"/>
      <c r="J17" s="261"/>
      <c r="K17" s="261"/>
      <c r="L17" s="261"/>
      <c r="M17" s="261">
        <v>75</v>
      </c>
      <c r="N17" s="261" t="s">
        <v>1389</v>
      </c>
      <c r="O17" s="261" t="s">
        <v>4950</v>
      </c>
      <c r="P17" s="264">
        <v>3.6</v>
      </c>
      <c r="Q17" s="261" t="s">
        <v>3368</v>
      </c>
      <c r="R17" s="261">
        <f>M17*P17/12</f>
        <v>22.5</v>
      </c>
    </row>
    <row r="18" spans="1:20">
      <c r="A18" s="251"/>
      <c r="E18" s="261"/>
      <c r="F18" s="265">
        <v>1.4999999999999999E-2</v>
      </c>
      <c r="G18" s="261" t="s">
        <v>2273</v>
      </c>
      <c r="H18" s="261" t="s">
        <v>5489</v>
      </c>
      <c r="I18" s="263">
        <v>661</v>
      </c>
      <c r="J18" s="261" t="s">
        <v>2273</v>
      </c>
      <c r="K18" s="261">
        <f t="shared" si="0"/>
        <v>9.92</v>
      </c>
      <c r="L18" s="261"/>
      <c r="M18" s="261">
        <v>12</v>
      </c>
      <c r="N18" s="261" t="s">
        <v>1389</v>
      </c>
      <c r="O18" s="261" t="s">
        <v>2356</v>
      </c>
      <c r="P18" s="261">
        <f>I14</f>
        <v>3.15</v>
      </c>
      <c r="Q18" s="261" t="s">
        <v>1389</v>
      </c>
      <c r="R18" s="261">
        <f t="shared" si="1"/>
        <v>37.799999999999997</v>
      </c>
    </row>
    <row r="19" spans="1:20">
      <c r="A19" s="251"/>
      <c r="E19" s="261"/>
      <c r="F19" s="261">
        <v>10</v>
      </c>
      <c r="G19" s="261" t="s">
        <v>1389</v>
      </c>
      <c r="H19" s="261" t="s">
        <v>5490</v>
      </c>
      <c r="I19" s="263">
        <f>194.5/12</f>
        <v>16.21</v>
      </c>
      <c r="J19" s="261" t="s">
        <v>1389</v>
      </c>
      <c r="K19" s="261">
        <f t="shared" si="0"/>
        <v>162.1</v>
      </c>
      <c r="L19" s="261"/>
      <c r="M19" s="261">
        <v>6</v>
      </c>
      <c r="N19" s="261" t="s">
        <v>1389</v>
      </c>
      <c r="O19" s="261" t="s">
        <v>3365</v>
      </c>
      <c r="P19" s="261">
        <f>I15</f>
        <v>1.34</v>
      </c>
      <c r="Q19" s="261" t="s">
        <v>1389</v>
      </c>
      <c r="R19" s="261">
        <f t="shared" si="1"/>
        <v>8.0399999999999991</v>
      </c>
    </row>
    <row r="20" spans="1:20">
      <c r="A20" s="251"/>
      <c r="E20" s="261"/>
      <c r="F20" s="261">
        <v>10</v>
      </c>
      <c r="G20" s="261" t="s">
        <v>1389</v>
      </c>
      <c r="H20" s="261" t="s">
        <v>4951</v>
      </c>
      <c r="I20" s="263">
        <v>13.8</v>
      </c>
      <c r="J20" s="261" t="s">
        <v>1389</v>
      </c>
      <c r="K20" s="261">
        <f t="shared" si="0"/>
        <v>138</v>
      </c>
      <c r="L20" s="261"/>
      <c r="M20" s="261">
        <v>150</v>
      </c>
      <c r="N20" s="261" t="s">
        <v>1427</v>
      </c>
      <c r="O20" s="261" t="s">
        <v>4647</v>
      </c>
      <c r="P20" s="261">
        <f>I748</f>
        <v>287</v>
      </c>
      <c r="Q20" s="261">
        <v>1000</v>
      </c>
      <c r="R20" s="261">
        <f>(M20*P20)/1000</f>
        <v>43.05</v>
      </c>
    </row>
    <row r="21" spans="1:20">
      <c r="A21" s="251"/>
      <c r="E21" s="261"/>
      <c r="F21" s="261">
        <v>10</v>
      </c>
      <c r="G21" s="261" t="s">
        <v>1389</v>
      </c>
      <c r="H21" s="261" t="s">
        <v>5491</v>
      </c>
      <c r="I21" s="263">
        <f>43.25/12</f>
        <v>3.6</v>
      </c>
      <c r="J21" s="261" t="s">
        <v>1389</v>
      </c>
      <c r="K21" s="261">
        <f t="shared" si="0"/>
        <v>36</v>
      </c>
      <c r="L21" s="261"/>
      <c r="M21" s="265">
        <v>7</v>
      </c>
      <c r="N21" s="261" t="s">
        <v>1427</v>
      </c>
      <c r="O21" s="261" t="s">
        <v>2621</v>
      </c>
      <c r="P21" s="261">
        <f>I21</f>
        <v>3.6</v>
      </c>
      <c r="Q21" s="261" t="s">
        <v>1389</v>
      </c>
      <c r="R21" s="261">
        <f t="shared" si="1"/>
        <v>25.2</v>
      </c>
    </row>
    <row r="22" spans="1:20">
      <c r="A22" s="251"/>
      <c r="E22" s="261"/>
      <c r="F22" s="261">
        <v>1.25</v>
      </c>
      <c r="G22" s="261" t="s">
        <v>2622</v>
      </c>
      <c r="H22" s="261" t="s">
        <v>387</v>
      </c>
      <c r="I22" s="263">
        <f>DATA!C67/20</f>
        <v>302</v>
      </c>
      <c r="J22" s="261" t="s">
        <v>2622</v>
      </c>
      <c r="K22" s="261">
        <f t="shared" si="0"/>
        <v>377.5</v>
      </c>
      <c r="L22" s="261"/>
      <c r="M22" s="261">
        <v>6</v>
      </c>
      <c r="N22" s="261" t="s">
        <v>1389</v>
      </c>
      <c r="O22" s="261" t="s">
        <v>2618</v>
      </c>
      <c r="P22" s="261">
        <f>I20</f>
        <v>13.8</v>
      </c>
      <c r="Q22" s="261" t="s">
        <v>1393</v>
      </c>
      <c r="R22" s="261">
        <f t="shared" si="1"/>
        <v>82.8</v>
      </c>
    </row>
    <row r="23" spans="1:20">
      <c r="A23" s="251"/>
      <c r="E23" s="261"/>
      <c r="F23" s="261">
        <v>10</v>
      </c>
      <c r="G23" s="261" t="s">
        <v>1389</v>
      </c>
      <c r="H23" s="261" t="s">
        <v>4592</v>
      </c>
      <c r="I23" s="261">
        <f>I16</f>
        <v>70.7</v>
      </c>
      <c r="J23" s="261" t="s">
        <v>1389</v>
      </c>
      <c r="K23" s="261">
        <f t="shared" si="0"/>
        <v>707</v>
      </c>
      <c r="L23" s="261"/>
      <c r="M23" s="261">
        <v>6</v>
      </c>
      <c r="N23" s="261" t="s">
        <v>1389</v>
      </c>
      <c r="O23" s="261" t="str">
        <f>H19</f>
        <v>5 amps flush type switch p-118, Part-C,1 a ( 194.5/12=16.21)</v>
      </c>
      <c r="P23" s="261">
        <f>I19</f>
        <v>16.21</v>
      </c>
      <c r="Q23" s="261" t="str">
        <f>J19</f>
        <v>No</v>
      </c>
      <c r="R23" s="261">
        <f>(M23*P23)</f>
        <v>97.26</v>
      </c>
    </row>
    <row r="24" spans="1:20">
      <c r="A24" s="251"/>
      <c r="E24" s="261"/>
      <c r="F24" s="261">
        <v>0.15</v>
      </c>
      <c r="G24" s="261" t="s">
        <v>2273</v>
      </c>
      <c r="H24" s="261" t="s">
        <v>4593</v>
      </c>
      <c r="I24" s="261">
        <f>I18</f>
        <v>661</v>
      </c>
      <c r="J24" s="261" t="s">
        <v>2273</v>
      </c>
      <c r="K24" s="261">
        <f t="shared" si="0"/>
        <v>99.15</v>
      </c>
      <c r="L24" s="261"/>
      <c r="M24" s="261">
        <v>1</v>
      </c>
      <c r="N24" s="261" t="s">
        <v>2626</v>
      </c>
      <c r="O24" s="261" t="s">
        <v>3888</v>
      </c>
      <c r="P24" s="261">
        <f>I747</f>
        <v>69.400000000000006</v>
      </c>
      <c r="Q24" s="261" t="s">
        <v>2626</v>
      </c>
      <c r="R24" s="261">
        <f>(M24*P24)</f>
        <v>69.400000000000006</v>
      </c>
    </row>
    <row r="25" spans="1:20" ht="31.5">
      <c r="A25" s="251"/>
      <c r="E25" s="261"/>
      <c r="F25" s="261">
        <v>45</v>
      </c>
      <c r="G25" s="261" t="s">
        <v>823</v>
      </c>
      <c r="H25" s="262" t="s">
        <v>4591</v>
      </c>
      <c r="I25" s="261">
        <f>I12</f>
        <v>16.55</v>
      </c>
      <c r="J25" s="261" t="s">
        <v>3280</v>
      </c>
      <c r="K25" s="261">
        <f t="shared" si="0"/>
        <v>744.75</v>
      </c>
      <c r="L25" s="261"/>
      <c r="M25" s="261">
        <v>6</v>
      </c>
      <c r="N25" s="261" t="s">
        <v>1427</v>
      </c>
      <c r="O25" s="260" t="s">
        <v>4649</v>
      </c>
      <c r="P25" s="266">
        <v>9.4499999999999993</v>
      </c>
      <c r="Q25" s="261" t="s">
        <v>1389</v>
      </c>
      <c r="R25" s="261">
        <f t="shared" si="1"/>
        <v>56.7</v>
      </c>
    </row>
    <row r="26" spans="1:20">
      <c r="A26" s="251"/>
      <c r="E26" s="261"/>
      <c r="F26" s="261" t="s">
        <v>654</v>
      </c>
      <c r="G26" s="261"/>
      <c r="H26" s="261" t="s">
        <v>911</v>
      </c>
      <c r="I26" s="261"/>
      <c r="J26" s="261" t="s">
        <v>654</v>
      </c>
      <c r="K26" s="261">
        <f>K42</f>
        <v>12075</v>
      </c>
      <c r="L26" s="261"/>
      <c r="M26" s="267">
        <v>0.16666666666666666</v>
      </c>
      <c r="N26" s="261" t="s">
        <v>3282</v>
      </c>
      <c r="O26" s="261" t="s">
        <v>387</v>
      </c>
      <c r="P26" s="261">
        <f>I22</f>
        <v>302</v>
      </c>
      <c r="Q26" s="261" t="s">
        <v>3282</v>
      </c>
      <c r="R26" s="261">
        <f t="shared" si="1"/>
        <v>50.33</v>
      </c>
    </row>
    <row r="27" spans="1:20" ht="31.5">
      <c r="A27" s="251"/>
      <c r="E27" s="261"/>
      <c r="F27" s="261" t="s">
        <v>654</v>
      </c>
      <c r="G27" s="261"/>
      <c r="H27" s="261" t="s">
        <v>2317</v>
      </c>
      <c r="I27" s="261"/>
      <c r="J27" s="261" t="s">
        <v>654</v>
      </c>
      <c r="K27" s="261">
        <v>34.979999999999997</v>
      </c>
      <c r="L27" s="261"/>
      <c r="M27" s="261">
        <v>45</v>
      </c>
      <c r="N27" s="261" t="s">
        <v>3430</v>
      </c>
      <c r="O27" s="268" t="s">
        <v>2628</v>
      </c>
      <c r="P27" s="261">
        <f>P15</f>
        <v>16.55</v>
      </c>
      <c r="Q27" s="261" t="s">
        <v>2273</v>
      </c>
      <c r="R27" s="261">
        <f t="shared" si="1"/>
        <v>744.75</v>
      </c>
    </row>
    <row r="28" spans="1:20">
      <c r="A28" s="251"/>
      <c r="E28" s="261"/>
      <c r="F28" s="261"/>
      <c r="G28" s="261"/>
      <c r="H28" s="269" t="s">
        <v>3283</v>
      </c>
      <c r="I28" s="261"/>
      <c r="J28" s="261"/>
      <c r="K28" s="270">
        <f>SUM(K12:K27)</f>
        <v>16921</v>
      </c>
      <c r="L28" s="261">
        <f>1630*10</f>
        <v>16300</v>
      </c>
      <c r="M28" s="261">
        <v>6</v>
      </c>
      <c r="N28" s="261" t="s">
        <v>3284</v>
      </c>
      <c r="O28" s="261" t="s">
        <v>911</v>
      </c>
      <c r="P28" s="261">
        <f>R46</f>
        <v>1272.5</v>
      </c>
      <c r="Q28" s="261" t="s">
        <v>3284</v>
      </c>
      <c r="R28" s="261">
        <f t="shared" si="1"/>
        <v>7635</v>
      </c>
    </row>
    <row r="29" spans="1:20">
      <c r="A29" s="251"/>
      <c r="E29" s="261"/>
      <c r="F29" s="261"/>
      <c r="G29" s="261"/>
      <c r="H29" s="271" t="s">
        <v>3285</v>
      </c>
      <c r="I29" s="261"/>
      <c r="J29" s="261"/>
      <c r="K29" s="272">
        <f>K28/10</f>
        <v>1692.1</v>
      </c>
      <c r="L29" s="261">
        <f>L28-K28</f>
        <v>-621</v>
      </c>
      <c r="M29" s="261"/>
      <c r="N29" s="261" t="s">
        <v>67</v>
      </c>
      <c r="O29" s="261" t="s">
        <v>3286</v>
      </c>
      <c r="P29" s="261"/>
      <c r="Q29" s="261"/>
      <c r="R29" s="261">
        <v>40.409999999999997</v>
      </c>
    </row>
    <row r="30" spans="1:20">
      <c r="A30" s="251"/>
      <c r="E30" s="261"/>
      <c r="F30" s="261"/>
      <c r="G30" s="261"/>
      <c r="H30" s="261"/>
      <c r="I30" s="261"/>
      <c r="J30" s="261"/>
      <c r="K30" s="261"/>
      <c r="L30" s="261"/>
      <c r="M30" s="261"/>
      <c r="N30" s="261"/>
      <c r="P30" s="261"/>
      <c r="Q30" s="261"/>
      <c r="R30" s="261">
        <f>SUM(R15:R29)</f>
        <v>11302.74</v>
      </c>
    </row>
    <row r="31" spans="1:20">
      <c r="A31" s="251"/>
      <c r="E31" s="261"/>
      <c r="F31" s="261"/>
      <c r="G31" s="261"/>
      <c r="H31" s="272" t="s">
        <v>3287</v>
      </c>
      <c r="I31" s="261"/>
      <c r="J31" s="261"/>
      <c r="K31" s="261"/>
      <c r="L31" s="261"/>
      <c r="M31" s="261"/>
      <c r="N31" s="261"/>
      <c r="O31" s="269" t="s">
        <v>3288</v>
      </c>
      <c r="P31" s="261"/>
      <c r="Q31" s="261"/>
      <c r="R31" s="270"/>
    </row>
    <row r="32" spans="1:20">
      <c r="A32" s="251"/>
      <c r="E32" s="261"/>
      <c r="F32" s="261"/>
      <c r="G32" s="261"/>
      <c r="H32" s="261"/>
      <c r="I32" s="261"/>
      <c r="J32" s="261"/>
      <c r="K32" s="261"/>
      <c r="L32" s="261"/>
      <c r="M32" s="261"/>
      <c r="N32" s="261"/>
      <c r="O32" s="271" t="s">
        <v>3285</v>
      </c>
      <c r="P32" s="261"/>
      <c r="Q32" s="261"/>
      <c r="R32" s="272">
        <f>R30/6</f>
        <v>1883.79</v>
      </c>
      <c r="S32" s="252">
        <f>1677.8*6</f>
        <v>10066.799999999999</v>
      </c>
      <c r="T32" s="252">
        <f>S32-R31</f>
        <v>10066.799999999999</v>
      </c>
    </row>
    <row r="33" spans="1:19">
      <c r="A33" s="251"/>
      <c r="E33" s="261"/>
      <c r="F33" s="261"/>
      <c r="G33" s="261"/>
      <c r="H33" s="272" t="s">
        <v>3363</v>
      </c>
      <c r="I33" s="261"/>
      <c r="J33" s="261"/>
      <c r="K33" s="261"/>
      <c r="L33" s="261"/>
      <c r="M33" s="261"/>
      <c r="N33" s="261"/>
      <c r="O33" s="261"/>
      <c r="P33" s="261"/>
      <c r="Q33" s="261"/>
      <c r="R33" s="261"/>
      <c r="S33" s="252">
        <f>S32-R30</f>
        <v>-1235.94</v>
      </c>
    </row>
    <row r="34" spans="1:19">
      <c r="A34" s="251"/>
      <c r="E34" s="261"/>
      <c r="F34" s="261"/>
      <c r="G34" s="261"/>
      <c r="H34" s="261"/>
      <c r="I34" s="261"/>
      <c r="J34" s="261"/>
      <c r="K34" s="261"/>
      <c r="L34" s="261"/>
      <c r="M34" s="261"/>
    </row>
    <row r="35" spans="1:19">
      <c r="A35" s="251"/>
      <c r="E35" s="261"/>
      <c r="F35" s="261">
        <v>1</v>
      </c>
      <c r="G35" s="261" t="s">
        <v>1389</v>
      </c>
      <c r="H35" s="261" t="s">
        <v>5492</v>
      </c>
      <c r="I35" s="264">
        <v>947</v>
      </c>
      <c r="J35" s="261" t="s">
        <v>1389</v>
      </c>
      <c r="K35" s="261">
        <f>F35*I35</f>
        <v>947</v>
      </c>
      <c r="L35" s="261"/>
      <c r="M35" s="261"/>
      <c r="N35" s="272" t="s">
        <v>3287</v>
      </c>
      <c r="O35" s="261"/>
      <c r="P35" s="261"/>
      <c r="Q35" s="261"/>
    </row>
    <row r="36" spans="1:19">
      <c r="A36" s="251"/>
      <c r="E36" s="261"/>
      <c r="F36" s="261">
        <v>2</v>
      </c>
      <c r="G36" s="261" t="s">
        <v>1389</v>
      </c>
      <c r="H36" s="261" t="s">
        <v>5493</v>
      </c>
      <c r="I36" s="264">
        <v>826</v>
      </c>
      <c r="J36" s="261" t="s">
        <v>1389</v>
      </c>
      <c r="K36" s="261">
        <f t="shared" ref="K36:K41" si="2">F36*I36</f>
        <v>1652</v>
      </c>
      <c r="L36" s="261"/>
      <c r="M36" s="261"/>
      <c r="N36" s="261"/>
      <c r="O36" s="261"/>
      <c r="P36" s="261"/>
      <c r="Q36" s="261"/>
    </row>
    <row r="37" spans="1:19">
      <c r="A37" s="251"/>
      <c r="E37" s="261"/>
      <c r="F37" s="261">
        <v>3</v>
      </c>
      <c r="G37" s="261" t="s">
        <v>1389</v>
      </c>
      <c r="H37" s="261" t="s">
        <v>5494</v>
      </c>
      <c r="I37" s="264">
        <v>820</v>
      </c>
      <c r="J37" s="261" t="s">
        <v>1389</v>
      </c>
      <c r="K37" s="261">
        <f t="shared" si="2"/>
        <v>2460</v>
      </c>
      <c r="L37" s="261"/>
      <c r="M37" s="261"/>
      <c r="N37" s="272" t="s">
        <v>3363</v>
      </c>
      <c r="O37" s="261"/>
      <c r="P37" s="261"/>
      <c r="Q37" s="261"/>
    </row>
    <row r="38" spans="1:19">
      <c r="A38" s="251"/>
      <c r="E38" s="261"/>
      <c r="F38" s="261">
        <v>4</v>
      </c>
      <c r="G38" s="261" t="s">
        <v>1389</v>
      </c>
      <c r="H38" s="261" t="s">
        <v>5495</v>
      </c>
      <c r="I38" s="264">
        <v>644</v>
      </c>
      <c r="J38" s="261" t="s">
        <v>1389</v>
      </c>
      <c r="K38" s="261">
        <f t="shared" si="2"/>
        <v>2576</v>
      </c>
      <c r="L38" s="261"/>
      <c r="M38" s="261"/>
      <c r="N38" s="261"/>
      <c r="O38" s="261"/>
      <c r="P38" s="261"/>
      <c r="Q38" s="261"/>
    </row>
    <row r="39" spans="1:19">
      <c r="A39" s="251"/>
      <c r="E39" s="261"/>
      <c r="F39" s="261"/>
      <c r="G39" s="261"/>
      <c r="H39" s="272" t="s">
        <v>3067</v>
      </c>
      <c r="I39" s="261"/>
      <c r="J39" s="261"/>
      <c r="K39" s="261"/>
      <c r="M39" s="261">
        <v>1</v>
      </c>
      <c r="N39" s="261" t="s">
        <v>1389</v>
      </c>
      <c r="O39" s="261" t="s">
        <v>3289</v>
      </c>
      <c r="P39" s="261">
        <f>I35</f>
        <v>947</v>
      </c>
      <c r="Q39" s="261" t="s">
        <v>1389</v>
      </c>
      <c r="R39" s="261">
        <f>M39*P39</f>
        <v>947</v>
      </c>
    </row>
    <row r="40" spans="1:19" ht="18">
      <c r="A40" s="251"/>
      <c r="E40" s="261"/>
      <c r="F40" s="261">
        <v>2</v>
      </c>
      <c r="G40" s="261" t="s">
        <v>1389</v>
      </c>
      <c r="H40" s="261" t="s">
        <v>5632</v>
      </c>
      <c r="I40" s="264">
        <v>932</v>
      </c>
      <c r="J40" s="261" t="s">
        <v>1389</v>
      </c>
      <c r="K40" s="261">
        <f t="shared" si="2"/>
        <v>1864</v>
      </c>
      <c r="M40" s="261">
        <v>2</v>
      </c>
      <c r="N40" s="261" t="s">
        <v>1389</v>
      </c>
      <c r="O40" s="261" t="s">
        <v>3290</v>
      </c>
      <c r="P40" s="261">
        <f>I36</f>
        <v>826</v>
      </c>
      <c r="Q40" s="261" t="s">
        <v>1389</v>
      </c>
      <c r="R40" s="261">
        <f>M40*P40</f>
        <v>1652</v>
      </c>
    </row>
    <row r="41" spans="1:19">
      <c r="A41" s="251"/>
      <c r="E41" s="261"/>
      <c r="F41" s="261">
        <v>4</v>
      </c>
      <c r="G41" s="261" t="s">
        <v>1389</v>
      </c>
      <c r="H41" s="261" t="str">
        <f>H38</f>
        <v>Electrical HELPERp-12 it-102</v>
      </c>
      <c r="I41" s="264">
        <f>I38</f>
        <v>644</v>
      </c>
      <c r="J41" s="261" t="s">
        <v>1389</v>
      </c>
      <c r="K41" s="261">
        <f t="shared" si="2"/>
        <v>2576</v>
      </c>
      <c r="M41" s="261">
        <v>3</v>
      </c>
      <c r="N41" s="261" t="s">
        <v>1389</v>
      </c>
      <c r="O41" s="261" t="s">
        <v>3291</v>
      </c>
      <c r="P41" s="261">
        <f>I37</f>
        <v>820</v>
      </c>
      <c r="Q41" s="261" t="s">
        <v>1389</v>
      </c>
      <c r="R41" s="261">
        <f>M41*P41</f>
        <v>2460</v>
      </c>
    </row>
    <row r="42" spans="1:19">
      <c r="A42" s="251"/>
      <c r="E42" s="261"/>
      <c r="F42" s="261"/>
      <c r="G42" s="261"/>
      <c r="H42" s="261"/>
      <c r="I42" s="261"/>
      <c r="J42" s="261"/>
      <c r="K42" s="273">
        <f>SUM(K35:K41)</f>
        <v>12075</v>
      </c>
      <c r="M42" s="261">
        <v>4</v>
      </c>
      <c r="N42" s="261" t="s">
        <v>1389</v>
      </c>
      <c r="O42" s="261" t="s">
        <v>2321</v>
      </c>
      <c r="P42" s="261">
        <f>I38</f>
        <v>644</v>
      </c>
      <c r="Q42" s="261" t="s">
        <v>1389</v>
      </c>
      <c r="R42" s="261">
        <f>M42*P42</f>
        <v>2576</v>
      </c>
    </row>
    <row r="43" spans="1:19">
      <c r="A43" s="251"/>
      <c r="E43" s="261"/>
      <c r="F43" s="261"/>
      <c r="G43" s="261"/>
      <c r="H43" s="261"/>
      <c r="I43" s="261"/>
      <c r="J43" s="261"/>
      <c r="K43" s="270"/>
      <c r="M43" s="261"/>
      <c r="N43" s="261"/>
      <c r="O43" s="261"/>
      <c r="P43" s="261"/>
      <c r="Q43" s="261"/>
      <c r="R43" s="261"/>
    </row>
    <row r="44" spans="1:19" ht="49.5">
      <c r="A44" s="251"/>
      <c r="E44" s="261"/>
      <c r="F44" s="261"/>
      <c r="G44" s="261"/>
      <c r="H44" s="274" t="s">
        <v>3068</v>
      </c>
      <c r="I44" s="261"/>
      <c r="J44" s="261"/>
      <c r="K44" s="261"/>
      <c r="L44" s="261"/>
      <c r="M44" s="261"/>
      <c r="O44" s="275" t="s">
        <v>5633</v>
      </c>
      <c r="R44" s="272">
        <f>SUM(R39:R42)</f>
        <v>7635</v>
      </c>
    </row>
    <row r="45" spans="1:19">
      <c r="A45" s="251"/>
      <c r="E45" s="261"/>
      <c r="F45" s="261"/>
      <c r="G45" s="261"/>
      <c r="H45" s="274" t="s">
        <v>3371</v>
      </c>
      <c r="I45" s="261"/>
      <c r="J45" s="261"/>
      <c r="K45" s="261"/>
      <c r="L45" s="261"/>
      <c r="M45" s="261"/>
    </row>
    <row r="46" spans="1:19">
      <c r="A46" s="251"/>
      <c r="E46" s="261"/>
      <c r="F46" s="261"/>
      <c r="G46" s="261"/>
      <c r="H46" s="261"/>
      <c r="I46" s="261"/>
      <c r="J46" s="261"/>
      <c r="K46" s="261"/>
      <c r="L46" s="261"/>
      <c r="M46" s="261"/>
      <c r="Q46" s="261" t="s">
        <v>3372</v>
      </c>
      <c r="R46" s="276">
        <f>R44/6</f>
        <v>1272.5</v>
      </c>
    </row>
    <row r="47" spans="1:19" ht="173.25">
      <c r="A47" s="251"/>
      <c r="E47" s="261"/>
      <c r="F47" s="261"/>
      <c r="G47" s="261"/>
      <c r="H47" s="260" t="s">
        <v>2471</v>
      </c>
      <c r="I47" s="261"/>
      <c r="J47" s="261"/>
      <c r="K47" s="261"/>
      <c r="L47" s="261"/>
      <c r="M47" s="261"/>
      <c r="O47" s="260" t="s">
        <v>2435</v>
      </c>
    </row>
    <row r="48" spans="1:19" ht="31.5">
      <c r="A48" s="251"/>
      <c r="E48" s="261"/>
      <c r="F48" s="261"/>
      <c r="G48" s="261"/>
      <c r="H48" s="261" t="s">
        <v>2436</v>
      </c>
      <c r="I48" s="261"/>
      <c r="J48" s="261"/>
      <c r="K48" s="261">
        <f>K28-K27</f>
        <v>16886.02</v>
      </c>
      <c r="L48" s="261"/>
      <c r="M48" s="261">
        <v>90</v>
      </c>
      <c r="N48" s="261" t="s">
        <v>823</v>
      </c>
      <c r="O48" s="262" t="s">
        <v>2528</v>
      </c>
      <c r="P48" s="261">
        <f>P15</f>
        <v>16.55</v>
      </c>
      <c r="Q48" s="261" t="s">
        <v>823</v>
      </c>
      <c r="R48" s="261">
        <f>M48*P48</f>
        <v>1489.5</v>
      </c>
    </row>
    <row r="49" spans="1:20" ht="31.5">
      <c r="A49" s="251"/>
      <c r="E49" s="261"/>
      <c r="F49" s="261"/>
      <c r="G49" s="261"/>
      <c r="H49" s="261" t="s">
        <v>2437</v>
      </c>
      <c r="I49" s="261"/>
      <c r="J49" s="261"/>
      <c r="K49" s="261">
        <f>K20</f>
        <v>138</v>
      </c>
      <c r="L49" s="261"/>
      <c r="M49" s="261">
        <v>45</v>
      </c>
      <c r="N49" s="261" t="s">
        <v>823</v>
      </c>
      <c r="O49" s="260" t="s">
        <v>2354</v>
      </c>
      <c r="P49" s="261">
        <f t="shared" ref="P49:P56" si="3">P16</f>
        <v>20</v>
      </c>
      <c r="Q49" s="261" t="s">
        <v>2355</v>
      </c>
      <c r="R49" s="261">
        <f>M49*P49</f>
        <v>900</v>
      </c>
    </row>
    <row r="50" spans="1:20" ht="31.5">
      <c r="A50" s="251"/>
      <c r="E50" s="261"/>
      <c r="F50" s="261"/>
      <c r="G50" s="261"/>
      <c r="H50" s="277" t="s">
        <v>5496</v>
      </c>
      <c r="I50" s="264"/>
      <c r="J50" s="264"/>
      <c r="K50" s="264">
        <f>16.65*10</f>
        <v>166.5</v>
      </c>
      <c r="L50" s="261"/>
      <c r="M50" s="261">
        <v>75</v>
      </c>
      <c r="N50" s="261" t="s">
        <v>1389</v>
      </c>
      <c r="O50" s="261" t="s">
        <v>3367</v>
      </c>
      <c r="P50" s="261">
        <f t="shared" si="3"/>
        <v>3.6</v>
      </c>
      <c r="Q50" s="261" t="s">
        <v>3368</v>
      </c>
      <c r="R50" s="261">
        <f>M50*P50/12</f>
        <v>22.5</v>
      </c>
    </row>
    <row r="51" spans="1:20">
      <c r="A51" s="251"/>
      <c r="E51" s="261"/>
      <c r="F51" s="261"/>
      <c r="G51" s="261"/>
      <c r="H51" s="261" t="s">
        <v>2261</v>
      </c>
      <c r="I51" s="261"/>
      <c r="J51" s="261"/>
      <c r="K51" s="261">
        <v>36.479999999999997</v>
      </c>
      <c r="L51" s="261"/>
      <c r="M51" s="261">
        <v>12</v>
      </c>
      <c r="N51" s="261" t="s">
        <v>1389</v>
      </c>
      <c r="O51" s="261" t="s">
        <v>2356</v>
      </c>
      <c r="P51" s="261">
        <f t="shared" si="3"/>
        <v>3.15</v>
      </c>
      <c r="Q51" s="261" t="s">
        <v>1389</v>
      </c>
      <c r="R51" s="261">
        <f>M51*P51</f>
        <v>37.799999999999997</v>
      </c>
    </row>
    <row r="52" spans="1:20">
      <c r="A52" s="251"/>
      <c r="E52" s="261"/>
      <c r="F52" s="261"/>
      <c r="G52" s="261"/>
      <c r="H52" s="269" t="s">
        <v>2415</v>
      </c>
      <c r="I52" s="261"/>
      <c r="J52" s="261"/>
      <c r="K52" s="270">
        <f>K48-K49+K50+K51</f>
        <v>16951</v>
      </c>
      <c r="L52" s="261">
        <f>1638*10</f>
        <v>16380</v>
      </c>
      <c r="M52" s="261">
        <v>6</v>
      </c>
      <c r="N52" s="261" t="s">
        <v>1389</v>
      </c>
      <c r="O52" s="261" t="s">
        <v>3365</v>
      </c>
      <c r="P52" s="261">
        <f t="shared" si="3"/>
        <v>1.34</v>
      </c>
      <c r="Q52" s="261" t="s">
        <v>1389</v>
      </c>
      <c r="R52" s="261">
        <f>M52*P52</f>
        <v>8.0399999999999991</v>
      </c>
    </row>
    <row r="53" spans="1:20">
      <c r="A53" s="251"/>
      <c r="E53" s="261"/>
      <c r="F53" s="261"/>
      <c r="G53" s="261"/>
      <c r="H53" s="271" t="s">
        <v>2416</v>
      </c>
      <c r="I53" s="261"/>
      <c r="J53" s="261"/>
      <c r="K53" s="272">
        <f>K52/10</f>
        <v>1695.1</v>
      </c>
      <c r="L53" s="261">
        <f>L52-K52</f>
        <v>-571</v>
      </c>
      <c r="M53" s="261">
        <v>150</v>
      </c>
      <c r="N53" s="261" t="s">
        <v>1427</v>
      </c>
      <c r="O53" s="261" t="str">
        <f>O20</f>
        <v>Teakwood plugs 1.5"x1"x2"</v>
      </c>
      <c r="P53" s="261">
        <f t="shared" si="3"/>
        <v>287</v>
      </c>
      <c r="Q53" s="261">
        <v>1000</v>
      </c>
      <c r="R53" s="261">
        <f>(M53*P53)/1000</f>
        <v>43.05</v>
      </c>
    </row>
    <row r="54" spans="1:20">
      <c r="A54" s="251"/>
      <c r="E54" s="261"/>
      <c r="F54" s="261"/>
      <c r="G54" s="261"/>
      <c r="H54" s="261"/>
      <c r="I54" s="261"/>
      <c r="J54" s="261"/>
      <c r="K54" s="261"/>
      <c r="L54" s="261"/>
      <c r="M54" s="265">
        <v>7</v>
      </c>
      <c r="N54" s="261" t="s">
        <v>1427</v>
      </c>
      <c r="O54" s="261" t="s">
        <v>2621</v>
      </c>
      <c r="P54" s="261">
        <f t="shared" si="3"/>
        <v>3.6</v>
      </c>
      <c r="Q54" s="261" t="s">
        <v>1389</v>
      </c>
      <c r="R54" s="261">
        <f>M54*P54</f>
        <v>25.2</v>
      </c>
    </row>
    <row r="55" spans="1:20">
      <c r="A55" s="251"/>
      <c r="E55" s="261"/>
      <c r="F55" s="261"/>
      <c r="G55" s="261"/>
      <c r="H55" s="272" t="s">
        <v>2986</v>
      </c>
      <c r="I55" s="261"/>
      <c r="J55" s="261"/>
      <c r="K55" s="261"/>
      <c r="L55" s="261"/>
      <c r="M55" s="261">
        <v>6</v>
      </c>
      <c r="N55" s="261" t="s">
        <v>1389</v>
      </c>
      <c r="O55" s="261" t="s">
        <v>2618</v>
      </c>
      <c r="P55" s="261">
        <f t="shared" si="3"/>
        <v>13.8</v>
      </c>
      <c r="Q55" s="261" t="s">
        <v>1393</v>
      </c>
      <c r="R55" s="261">
        <f>M55*P55</f>
        <v>82.8</v>
      </c>
    </row>
    <row r="56" spans="1:20" ht="31.5">
      <c r="A56" s="251"/>
      <c r="E56" s="261"/>
      <c r="F56" s="261"/>
      <c r="G56" s="261"/>
      <c r="H56" s="258" t="s">
        <v>2987</v>
      </c>
      <c r="I56" s="261"/>
      <c r="J56" s="261"/>
      <c r="K56" s="261"/>
      <c r="L56" s="261"/>
      <c r="M56" s="261">
        <v>6</v>
      </c>
      <c r="N56" s="261" t="s">
        <v>1389</v>
      </c>
      <c r="O56" s="261" t="str">
        <f>O23</f>
        <v>5 amps flush type switch p-118, Part-C,1 a ( 194.5/12=16.21)</v>
      </c>
      <c r="P56" s="261">
        <f t="shared" si="3"/>
        <v>16.21</v>
      </c>
      <c r="Q56" s="261" t="s">
        <v>3368</v>
      </c>
      <c r="R56" s="261">
        <f>(M56*P56)</f>
        <v>97.26</v>
      </c>
    </row>
    <row r="57" spans="1:20">
      <c r="A57" s="251"/>
      <c r="E57" s="261"/>
      <c r="F57" s="261"/>
      <c r="G57" s="261"/>
      <c r="H57" s="261"/>
      <c r="I57" s="261"/>
      <c r="J57" s="261"/>
      <c r="K57" s="261"/>
      <c r="L57" s="261"/>
      <c r="M57" s="261">
        <v>1</v>
      </c>
      <c r="N57" s="261" t="s">
        <v>2626</v>
      </c>
      <c r="O57" s="261" t="str">
        <f>O24</f>
        <v>Brass screws  ( 40 mm x 6 no) P-85 Part-L c</v>
      </c>
      <c r="P57" s="261">
        <f>P24</f>
        <v>69.400000000000006</v>
      </c>
      <c r="Q57" s="261" t="s">
        <v>2626</v>
      </c>
      <c r="R57" s="261">
        <f>(M57*P57)</f>
        <v>69.400000000000006</v>
      </c>
    </row>
    <row r="58" spans="1:20" ht="173.25">
      <c r="A58" s="251"/>
      <c r="E58" s="261"/>
      <c r="F58" s="261"/>
      <c r="G58" s="261"/>
      <c r="H58" s="260" t="s">
        <v>3446</v>
      </c>
      <c r="I58" s="261"/>
      <c r="J58" s="261"/>
      <c r="K58" s="261"/>
      <c r="L58" s="261"/>
      <c r="M58" s="261">
        <v>6</v>
      </c>
      <c r="N58" s="261" t="s">
        <v>1427</v>
      </c>
      <c r="O58" s="260" t="s">
        <v>4648</v>
      </c>
      <c r="P58" s="266">
        <v>67.5</v>
      </c>
      <c r="Q58" s="261" t="s">
        <v>1706</v>
      </c>
      <c r="R58" s="261">
        <f>M58*P58</f>
        <v>405</v>
      </c>
    </row>
    <row r="59" spans="1:20">
      <c r="A59" s="251"/>
      <c r="E59" s="261"/>
      <c r="F59" s="261"/>
      <c r="G59" s="261"/>
      <c r="H59" s="261" t="s">
        <v>3370</v>
      </c>
      <c r="I59" s="261"/>
      <c r="J59" s="261"/>
      <c r="K59" s="261">
        <f>K48</f>
        <v>16886.02</v>
      </c>
      <c r="L59" s="261"/>
      <c r="M59" s="267">
        <v>0.16666666666666666</v>
      </c>
      <c r="N59" s="261" t="s">
        <v>3282</v>
      </c>
      <c r="O59" s="261" t="s">
        <v>387</v>
      </c>
      <c r="P59" s="261">
        <f>P26</f>
        <v>302</v>
      </c>
      <c r="Q59" s="261" t="s">
        <v>3282</v>
      </c>
      <c r="R59" s="261">
        <f>M59*P59</f>
        <v>50.33</v>
      </c>
    </row>
    <row r="60" spans="1:20">
      <c r="A60" s="251"/>
      <c r="E60" s="261"/>
      <c r="F60" s="261"/>
      <c r="G60" s="261"/>
      <c r="H60" s="261" t="s">
        <v>2961</v>
      </c>
      <c r="I60" s="261"/>
      <c r="J60" s="261"/>
      <c r="K60" s="261">
        <f>K49</f>
        <v>138</v>
      </c>
      <c r="L60" s="261"/>
      <c r="M60" s="261"/>
      <c r="N60" s="261"/>
      <c r="O60" s="268"/>
      <c r="P60" s="261"/>
      <c r="Q60" s="261"/>
      <c r="R60" s="261"/>
    </row>
    <row r="61" spans="1:20">
      <c r="A61" s="251"/>
      <c r="E61" s="261"/>
      <c r="F61" s="261"/>
      <c r="G61" s="261"/>
      <c r="H61" s="261" t="s">
        <v>2962</v>
      </c>
      <c r="I61" s="261"/>
      <c r="J61" s="261"/>
      <c r="K61" s="261">
        <f>K21</f>
        <v>36</v>
      </c>
      <c r="L61" s="261"/>
      <c r="M61" s="261">
        <v>6</v>
      </c>
      <c r="N61" s="261" t="s">
        <v>3284</v>
      </c>
      <c r="O61" s="261" t="s">
        <v>911</v>
      </c>
      <c r="P61" s="261">
        <f>R46</f>
        <v>1272.5</v>
      </c>
      <c r="Q61" s="261" t="s">
        <v>3284</v>
      </c>
      <c r="R61" s="261">
        <f>M61*P61</f>
        <v>7635</v>
      </c>
    </row>
    <row r="62" spans="1:20">
      <c r="A62" s="251"/>
      <c r="E62" s="261"/>
      <c r="F62" s="261"/>
      <c r="G62" s="261"/>
      <c r="H62" s="261" t="s">
        <v>2963</v>
      </c>
      <c r="I62" s="261"/>
      <c r="J62" s="261"/>
      <c r="K62" s="261">
        <f>K19</f>
        <v>162.1</v>
      </c>
      <c r="L62" s="261"/>
      <c r="M62" s="261"/>
      <c r="N62" s="261" t="s">
        <v>67</v>
      </c>
      <c r="O62" s="261" t="s">
        <v>3286</v>
      </c>
      <c r="P62" s="261"/>
      <c r="Q62" s="261"/>
      <c r="R62" s="261">
        <v>21.12</v>
      </c>
    </row>
    <row r="63" spans="1:20">
      <c r="A63" s="251"/>
      <c r="E63" s="261"/>
      <c r="F63" s="261"/>
      <c r="G63" s="261"/>
      <c r="H63" s="261" t="s">
        <v>5497</v>
      </c>
      <c r="I63" s="261"/>
      <c r="J63" s="261"/>
      <c r="K63" s="263">
        <f>10*41.7</f>
        <v>417</v>
      </c>
      <c r="L63" s="261"/>
      <c r="M63" s="261"/>
      <c r="N63" s="261"/>
      <c r="P63" s="261"/>
      <c r="Q63" s="261"/>
      <c r="R63" s="261"/>
    </row>
    <row r="64" spans="1:20">
      <c r="A64" s="251"/>
      <c r="E64" s="261"/>
      <c r="F64" s="261"/>
      <c r="G64" s="261"/>
      <c r="H64" s="266" t="s">
        <v>5498</v>
      </c>
      <c r="I64" s="261"/>
      <c r="J64" s="261"/>
      <c r="K64" s="264">
        <f>10*16.65</f>
        <v>166.5</v>
      </c>
      <c r="L64" s="261"/>
      <c r="M64" s="261"/>
      <c r="N64" s="261"/>
      <c r="O64" s="269" t="s">
        <v>3288</v>
      </c>
      <c r="P64" s="261"/>
      <c r="Q64" s="261"/>
      <c r="R64" s="270">
        <f>SUM(R48:R63)</f>
        <v>10887</v>
      </c>
      <c r="T64" s="252">
        <f>T65-R64</f>
        <v>-10494</v>
      </c>
    </row>
    <row r="65" spans="1:20">
      <c r="A65" s="251"/>
      <c r="E65" s="261"/>
      <c r="F65" s="261"/>
      <c r="G65" s="261"/>
      <c r="H65" s="261" t="s">
        <v>4952</v>
      </c>
      <c r="I65" s="261"/>
      <c r="J65" s="261"/>
      <c r="K65" s="263">
        <f>16.5*10</f>
        <v>165</v>
      </c>
      <c r="L65" s="261"/>
      <c r="M65" s="261"/>
      <c r="N65" s="261"/>
      <c r="O65" s="271" t="s">
        <v>3285</v>
      </c>
      <c r="P65" s="261"/>
      <c r="Q65" s="261"/>
      <c r="R65" s="272">
        <f>R64/6</f>
        <v>1814.5</v>
      </c>
      <c r="S65" s="252">
        <f>1749*6</f>
        <v>10494</v>
      </c>
      <c r="T65" s="252">
        <f>R64-S65</f>
        <v>393</v>
      </c>
    </row>
    <row r="66" spans="1:20">
      <c r="A66" s="251"/>
      <c r="E66" s="261"/>
      <c r="F66" s="261"/>
      <c r="G66" s="261"/>
      <c r="H66" s="261" t="s">
        <v>2261</v>
      </c>
      <c r="I66" s="261"/>
      <c r="J66" s="261"/>
      <c r="K66" s="261">
        <v>22.58</v>
      </c>
      <c r="L66" s="261"/>
      <c r="M66" s="261"/>
      <c r="S66" s="252">
        <f>S65</f>
        <v>10494</v>
      </c>
    </row>
    <row r="67" spans="1:20">
      <c r="A67" s="251"/>
      <c r="E67" s="261"/>
      <c r="F67" s="261"/>
      <c r="G67" s="261"/>
      <c r="H67" s="269" t="s">
        <v>2415</v>
      </c>
      <c r="I67" s="261"/>
      <c r="J67" s="261"/>
      <c r="K67" s="270">
        <f>(K59-K60-K61-K62)+(K63+K64+K65+K66)</f>
        <v>17321</v>
      </c>
      <c r="L67" s="261">
        <f>1670*10</f>
        <v>16700</v>
      </c>
      <c r="M67" s="261"/>
      <c r="S67" s="252">
        <f>S66-R64</f>
        <v>-393</v>
      </c>
    </row>
    <row r="68" spans="1:20">
      <c r="A68" s="251"/>
      <c r="E68" s="261"/>
      <c r="F68" s="261"/>
      <c r="G68" s="261"/>
      <c r="H68" s="271" t="s">
        <v>3137</v>
      </c>
      <c r="I68" s="261"/>
      <c r="J68" s="261"/>
      <c r="K68" s="272">
        <f>K67/10</f>
        <v>1732.1</v>
      </c>
      <c r="L68" s="261">
        <f>L67-K67</f>
        <v>-621</v>
      </c>
      <c r="M68" s="261"/>
    </row>
    <row r="69" spans="1:20">
      <c r="A69" s="251"/>
      <c r="E69" s="261"/>
      <c r="F69" s="261"/>
      <c r="G69" s="261"/>
      <c r="H69" s="261"/>
      <c r="I69" s="261"/>
      <c r="J69" s="261"/>
      <c r="K69" s="261"/>
      <c r="L69" s="261"/>
      <c r="M69" s="261"/>
    </row>
    <row r="70" spans="1:20">
      <c r="A70" s="251"/>
      <c r="E70" s="261"/>
      <c r="F70" s="261"/>
      <c r="G70" s="261"/>
      <c r="H70" s="272" t="s">
        <v>3138</v>
      </c>
      <c r="I70" s="261"/>
      <c r="J70" s="261"/>
      <c r="K70" s="261"/>
      <c r="L70" s="261"/>
      <c r="M70" s="261"/>
    </row>
    <row r="71" spans="1:20">
      <c r="A71" s="251"/>
      <c r="E71" s="261"/>
      <c r="F71" s="261"/>
      <c r="G71" s="261"/>
      <c r="H71" s="272" t="s">
        <v>3139</v>
      </c>
      <c r="I71" s="261"/>
      <c r="J71" s="261"/>
      <c r="K71" s="261"/>
      <c r="L71" s="261"/>
      <c r="M71" s="261"/>
    </row>
    <row r="72" spans="1:20" ht="157.5">
      <c r="A72" s="251"/>
      <c r="E72" s="261"/>
      <c r="F72" s="261"/>
      <c r="G72" s="261"/>
      <c r="H72" s="260" t="s">
        <v>2759</v>
      </c>
      <c r="I72" s="261"/>
      <c r="J72" s="261"/>
      <c r="K72" s="261"/>
      <c r="L72" s="261"/>
      <c r="M72" s="261"/>
    </row>
    <row r="73" spans="1:20">
      <c r="A73" s="251"/>
      <c r="E73" s="261"/>
      <c r="F73" s="261"/>
      <c r="G73" s="261"/>
      <c r="H73" s="261"/>
      <c r="I73" s="261"/>
      <c r="J73" s="261"/>
      <c r="K73" s="261"/>
      <c r="L73" s="261"/>
      <c r="M73" s="261"/>
    </row>
    <row r="74" spans="1:20" ht="31.5">
      <c r="A74" s="251"/>
      <c r="E74" s="261"/>
      <c r="F74" s="261">
        <v>90</v>
      </c>
      <c r="G74" s="261" t="s">
        <v>823</v>
      </c>
      <c r="H74" s="268" t="str">
        <f t="shared" ref="H74:I77" si="4">H12</f>
        <v>1.5 sqmm copper PVC insulated unsheathed single core cable (P-125 it-2/b)</v>
      </c>
      <c r="I74" s="261">
        <f t="shared" si="4"/>
        <v>16.55</v>
      </c>
      <c r="J74" s="261" t="s">
        <v>3280</v>
      </c>
      <c r="K74" s="261">
        <f>F74*I74</f>
        <v>1489.5</v>
      </c>
      <c r="L74" s="261"/>
      <c r="M74" s="261"/>
    </row>
    <row r="75" spans="1:20" ht="31.5">
      <c r="A75" s="251"/>
      <c r="E75" s="261"/>
      <c r="F75" s="261">
        <v>45</v>
      </c>
      <c r="G75" s="261" t="s">
        <v>823</v>
      </c>
      <c r="H75" s="260" t="str">
        <f t="shared" si="4"/>
        <v>PVC rigid conduit pipe 19 mm / 20mm heavy duty with ISI mark p-128 part -I IX-1 b</v>
      </c>
      <c r="I75" s="261">
        <f t="shared" si="4"/>
        <v>20</v>
      </c>
      <c r="J75" s="261" t="s">
        <v>823</v>
      </c>
      <c r="K75" s="261">
        <f t="shared" ref="K75:K86" si="5">F75*I75</f>
        <v>900</v>
      </c>
      <c r="L75" s="261"/>
      <c r="M75" s="261"/>
    </row>
    <row r="76" spans="1:20">
      <c r="A76" s="251"/>
      <c r="E76" s="261"/>
      <c r="F76" s="261">
        <v>20</v>
      </c>
      <c r="G76" s="261" t="s">
        <v>1389</v>
      </c>
      <c r="H76" s="261" t="str">
        <f t="shared" si="4"/>
        <v>19 mm PVC rigid bends - p-128 part -I IX-2b</v>
      </c>
      <c r="I76" s="261">
        <f t="shared" si="4"/>
        <v>3.15</v>
      </c>
      <c r="J76" s="261" t="s">
        <v>1389</v>
      </c>
      <c r="K76" s="261">
        <f t="shared" si="5"/>
        <v>63</v>
      </c>
      <c r="L76" s="261"/>
      <c r="M76" s="261"/>
    </row>
    <row r="77" spans="1:20">
      <c r="A77" s="251"/>
      <c r="E77" s="261"/>
      <c r="F77" s="261">
        <v>10</v>
      </c>
      <c r="G77" s="261" t="s">
        <v>1389</v>
      </c>
      <c r="H77" s="261" t="str">
        <f t="shared" si="4"/>
        <v>19 mm PVC rigid tees (p-129 4b, 16.05/12=1.34)</v>
      </c>
      <c r="I77" s="261">
        <f t="shared" si="4"/>
        <v>1.34</v>
      </c>
      <c r="J77" s="261" t="s">
        <v>1389</v>
      </c>
      <c r="K77" s="261">
        <f t="shared" si="5"/>
        <v>13.4</v>
      </c>
      <c r="L77" s="261"/>
      <c r="M77" s="261"/>
    </row>
    <row r="78" spans="1:20">
      <c r="A78" s="251"/>
      <c r="E78" s="261"/>
      <c r="F78" s="261">
        <v>10</v>
      </c>
      <c r="G78" s="261" t="s">
        <v>1389</v>
      </c>
      <c r="H78" s="261" t="str">
        <f>H21</f>
        <v>19 mm PVC junction box  ( p-129,6-b( 43.25/12=3.6)</v>
      </c>
      <c r="I78" s="261">
        <f>I21</f>
        <v>3.6</v>
      </c>
      <c r="J78" s="261" t="s">
        <v>1389</v>
      </c>
      <c r="K78" s="261">
        <f t="shared" si="5"/>
        <v>36</v>
      </c>
      <c r="L78" s="261"/>
      <c r="M78" s="261"/>
    </row>
    <row r="79" spans="1:20">
      <c r="A79" s="251"/>
      <c r="E79" s="261"/>
      <c r="F79" s="261">
        <v>10</v>
      </c>
      <c r="G79" s="261" t="s">
        <v>1389</v>
      </c>
      <c r="H79" s="261" t="str">
        <f>H20</f>
        <v>Ceiling rose p-116 it-27</v>
      </c>
      <c r="I79" s="261">
        <f>I20</f>
        <v>13.8</v>
      </c>
      <c r="J79" s="261" t="s">
        <v>1389</v>
      </c>
      <c r="K79" s="261">
        <f t="shared" si="5"/>
        <v>138</v>
      </c>
      <c r="L79" s="261"/>
      <c r="M79" s="261"/>
    </row>
    <row r="80" spans="1:20">
      <c r="A80" s="251"/>
      <c r="E80" s="261"/>
      <c r="F80" s="261">
        <v>10</v>
      </c>
      <c r="G80" s="261" t="s">
        <v>1389</v>
      </c>
      <c r="H80" s="261" t="str">
        <f>H19</f>
        <v>5 amps flush type switch p-118, Part-C,1 a ( 194.5/12=16.21)</v>
      </c>
      <c r="I80" s="261">
        <f>I19</f>
        <v>16.21</v>
      </c>
      <c r="J80" s="261" t="s">
        <v>1389</v>
      </c>
      <c r="K80" s="261">
        <f t="shared" si="5"/>
        <v>162.1</v>
      </c>
      <c r="L80" s="261"/>
      <c r="M80" s="261"/>
    </row>
    <row r="81" spans="1:13">
      <c r="A81" s="251"/>
      <c r="E81" s="261"/>
      <c r="F81" s="261">
        <v>10</v>
      </c>
      <c r="G81" s="261" t="s">
        <v>1389</v>
      </c>
      <c r="H81" s="261" t="s">
        <v>4953</v>
      </c>
      <c r="I81" s="263">
        <v>115.1</v>
      </c>
      <c r="J81" s="261" t="s">
        <v>1389</v>
      </c>
      <c r="K81" s="261">
        <f t="shared" si="5"/>
        <v>1151</v>
      </c>
      <c r="L81" s="261"/>
      <c r="M81" s="261"/>
    </row>
    <row r="82" spans="1:13">
      <c r="A82" s="251"/>
      <c r="E82" s="261"/>
      <c r="F82" s="261">
        <v>0.6</v>
      </c>
      <c r="G82" s="261" t="s">
        <v>2273</v>
      </c>
      <c r="H82" s="261" t="str">
        <f>H24</f>
        <v>3 mm thick laminated Hylem sheet p-128 it-7a part-I</v>
      </c>
      <c r="I82" s="261">
        <f>I18</f>
        <v>661</v>
      </c>
      <c r="J82" s="261" t="s">
        <v>2273</v>
      </c>
      <c r="K82" s="261">
        <f t="shared" si="5"/>
        <v>396.6</v>
      </c>
      <c r="L82" s="261"/>
      <c r="M82" s="261"/>
    </row>
    <row r="83" spans="1:13">
      <c r="A83" s="251"/>
      <c r="E83" s="261"/>
      <c r="F83" s="261">
        <v>1</v>
      </c>
      <c r="G83" s="261" t="s">
        <v>1389</v>
      </c>
      <c r="H83" s="261" t="s">
        <v>2808</v>
      </c>
      <c r="I83" s="261">
        <f>I23</f>
        <v>70.7</v>
      </c>
      <c r="J83" s="261" t="s">
        <v>1389</v>
      </c>
      <c r="K83" s="261">
        <f t="shared" si="5"/>
        <v>70.7</v>
      </c>
      <c r="L83" s="261"/>
      <c r="M83" s="261"/>
    </row>
    <row r="84" spans="1:13">
      <c r="A84" s="251"/>
      <c r="E84" s="261"/>
      <c r="F84" s="265">
        <v>1.4999999999999999E-2</v>
      </c>
      <c r="G84" s="261" t="s">
        <v>2273</v>
      </c>
      <c r="H84" s="261" t="str">
        <f>H82</f>
        <v>3 mm thick laminated Hylem sheet p-128 it-7a part-I</v>
      </c>
      <c r="I84" s="261">
        <f>I82</f>
        <v>661</v>
      </c>
      <c r="J84" s="261" t="s">
        <v>2273</v>
      </c>
      <c r="K84" s="261">
        <f t="shared" si="5"/>
        <v>9.92</v>
      </c>
      <c r="L84" s="261"/>
      <c r="M84" s="261"/>
    </row>
    <row r="85" spans="1:13">
      <c r="A85" s="251"/>
      <c r="E85" s="261"/>
      <c r="F85" s="261">
        <v>1.25</v>
      </c>
      <c r="G85" s="261" t="s">
        <v>2622</v>
      </c>
      <c r="H85" s="261" t="s">
        <v>387</v>
      </c>
      <c r="I85" s="261">
        <f>I22</f>
        <v>302</v>
      </c>
      <c r="J85" s="261" t="s">
        <v>2622</v>
      </c>
      <c r="K85" s="261">
        <f t="shared" si="5"/>
        <v>377.5</v>
      </c>
      <c r="L85" s="261"/>
      <c r="M85" s="261"/>
    </row>
    <row r="86" spans="1:13" ht="31.5">
      <c r="A86" s="251"/>
      <c r="E86" s="261"/>
      <c r="F86" s="261">
        <v>45</v>
      </c>
      <c r="G86" s="261" t="s">
        <v>823</v>
      </c>
      <c r="H86" s="268" t="str">
        <f>H25</f>
        <v>1.5 sqmm copper PVC insulated unsheathed single core cable (P-123 it-2/b)</v>
      </c>
      <c r="I86" s="261">
        <f>I12</f>
        <v>16.55</v>
      </c>
      <c r="J86" s="261" t="s">
        <v>3280</v>
      </c>
      <c r="K86" s="261">
        <f t="shared" si="5"/>
        <v>744.75</v>
      </c>
      <c r="L86" s="261"/>
      <c r="M86" s="261"/>
    </row>
    <row r="87" spans="1:13">
      <c r="A87" s="251"/>
      <c r="E87" s="261"/>
      <c r="F87" s="261" t="s">
        <v>654</v>
      </c>
      <c r="G87" s="261"/>
      <c r="H87" s="261" t="s">
        <v>911</v>
      </c>
      <c r="I87" s="261"/>
      <c r="J87" s="261"/>
      <c r="K87" s="261">
        <f>K42</f>
        <v>12075</v>
      </c>
      <c r="L87" s="261"/>
      <c r="M87" s="261"/>
    </row>
    <row r="88" spans="1:13">
      <c r="A88" s="251"/>
      <c r="E88" s="261"/>
      <c r="F88" s="261" t="s">
        <v>654</v>
      </c>
      <c r="G88" s="261"/>
      <c r="H88" s="261" t="s">
        <v>2261</v>
      </c>
      <c r="I88" s="261"/>
      <c r="J88" s="261"/>
      <c r="K88" s="261">
        <v>43.53</v>
      </c>
      <c r="L88" s="261"/>
      <c r="M88" s="261"/>
    </row>
    <row r="89" spans="1:13">
      <c r="A89" s="251"/>
      <c r="E89" s="261"/>
      <c r="F89" s="261"/>
      <c r="G89" s="261"/>
      <c r="H89" s="269" t="s">
        <v>2415</v>
      </c>
      <c r="I89" s="261"/>
      <c r="J89" s="261"/>
      <c r="K89" s="270">
        <f>SUM(K74:K88)</f>
        <v>17671</v>
      </c>
      <c r="L89" s="261">
        <f>1705*10</f>
        <v>17050</v>
      </c>
      <c r="M89" s="261">
        <f>11920-K89</f>
        <v>-5751</v>
      </c>
    </row>
    <row r="90" spans="1:13">
      <c r="A90" s="251"/>
      <c r="E90" s="261"/>
      <c r="F90" s="261"/>
      <c r="G90" s="261"/>
      <c r="H90" s="271" t="s">
        <v>3137</v>
      </c>
      <c r="I90" s="261"/>
      <c r="J90" s="261"/>
      <c r="K90" s="272">
        <f>K89/10</f>
        <v>1767.1</v>
      </c>
      <c r="L90" s="261">
        <f>L89-K89</f>
        <v>-621</v>
      </c>
      <c r="M90" s="261"/>
    </row>
    <row r="91" spans="1:13">
      <c r="A91" s="251"/>
      <c r="E91" s="261"/>
      <c r="F91" s="261"/>
      <c r="G91" s="261"/>
      <c r="H91" s="272" t="s">
        <v>3445</v>
      </c>
      <c r="I91" s="261"/>
      <c r="J91" s="261"/>
      <c r="K91" s="272"/>
      <c r="L91" s="261">
        <f>L90*10</f>
        <v>-6210</v>
      </c>
      <c r="M91" s="261"/>
    </row>
    <row r="92" spans="1:13">
      <c r="A92" s="251"/>
      <c r="E92" s="261"/>
      <c r="F92" s="261"/>
      <c r="G92" s="261"/>
      <c r="H92" s="269" t="s">
        <v>2809</v>
      </c>
      <c r="I92" s="261">
        <f>90</f>
        <v>90</v>
      </c>
      <c r="J92" s="261"/>
      <c r="K92" s="272"/>
      <c r="L92" s="261"/>
      <c r="M92" s="261"/>
    </row>
    <row r="93" spans="1:13">
      <c r="A93" s="251"/>
      <c r="E93" s="261"/>
      <c r="F93" s="261"/>
      <c r="G93" s="261"/>
      <c r="H93" s="269" t="s">
        <v>2810</v>
      </c>
      <c r="I93" s="278">
        <v>8.2500000000000004E-2</v>
      </c>
      <c r="J93" s="261"/>
      <c r="K93" s="272"/>
      <c r="L93" s="261"/>
      <c r="M93" s="261"/>
    </row>
    <row r="94" spans="1:13" ht="18">
      <c r="A94" s="251"/>
      <c r="E94" s="261"/>
      <c r="F94" s="261"/>
      <c r="G94" s="261"/>
      <c r="H94" s="269" t="s">
        <v>5634</v>
      </c>
      <c r="I94" s="265">
        <v>0.13500000000000001</v>
      </c>
      <c r="J94" s="261"/>
      <c r="K94" s="272">
        <f>I92*I94/I93</f>
        <v>147.27000000000001</v>
      </c>
      <c r="L94" s="261"/>
      <c r="M94" s="261"/>
    </row>
    <row r="95" spans="1:13">
      <c r="A95" s="251"/>
      <c r="E95" s="261"/>
      <c r="F95" s="261"/>
      <c r="G95" s="261"/>
      <c r="H95" s="271"/>
      <c r="I95" s="261"/>
      <c r="J95" s="261"/>
      <c r="K95" s="272"/>
      <c r="L95" s="261"/>
      <c r="M95" s="261"/>
    </row>
    <row r="96" spans="1:13">
      <c r="A96" s="251"/>
      <c r="E96" s="261"/>
      <c r="F96" s="261"/>
      <c r="G96" s="261"/>
      <c r="H96" s="261"/>
      <c r="I96" s="261"/>
      <c r="J96" s="261"/>
      <c r="K96" s="261"/>
      <c r="L96" s="261"/>
      <c r="M96" s="261"/>
    </row>
    <row r="97" spans="1:13">
      <c r="A97" s="251"/>
      <c r="E97" s="261"/>
      <c r="F97" s="261"/>
      <c r="G97" s="261"/>
      <c r="H97" s="272" t="s">
        <v>2811</v>
      </c>
      <c r="I97" s="261"/>
      <c r="J97" s="261"/>
      <c r="K97" s="261"/>
      <c r="L97" s="261"/>
      <c r="M97" s="261"/>
    </row>
    <row r="98" spans="1:13">
      <c r="A98" s="251"/>
      <c r="E98" s="261"/>
      <c r="F98" s="261"/>
      <c r="G98" s="261"/>
      <c r="H98" s="272" t="s">
        <v>2812</v>
      </c>
      <c r="I98" s="261"/>
      <c r="J98" s="261"/>
      <c r="K98" s="261"/>
      <c r="L98" s="261"/>
      <c r="M98" s="261"/>
    </row>
    <row r="99" spans="1:13" ht="157.5">
      <c r="A99" s="251"/>
      <c r="E99" s="261"/>
      <c r="F99" s="261"/>
      <c r="G99" s="261"/>
      <c r="H99" s="260" t="s">
        <v>2432</v>
      </c>
      <c r="I99" s="261"/>
      <c r="J99" s="261"/>
      <c r="K99" s="261"/>
      <c r="L99" s="261"/>
      <c r="M99" s="261"/>
    </row>
    <row r="100" spans="1:13" ht="31.5">
      <c r="A100" s="251"/>
      <c r="E100" s="261"/>
      <c r="F100" s="261">
        <v>90</v>
      </c>
      <c r="G100" s="261" t="s">
        <v>823</v>
      </c>
      <c r="H100" s="268" t="s">
        <v>2528</v>
      </c>
      <c r="I100" s="261">
        <f>I12</f>
        <v>16.55</v>
      </c>
      <c r="J100" s="261" t="s">
        <v>2529</v>
      </c>
      <c r="K100" s="261">
        <f>F100*I100</f>
        <v>1489.5</v>
      </c>
      <c r="L100" s="261"/>
      <c r="M100" s="261"/>
    </row>
    <row r="101" spans="1:13" ht="31.5">
      <c r="A101" s="251"/>
      <c r="E101" s="261"/>
      <c r="F101" s="261">
        <v>30</v>
      </c>
      <c r="G101" s="261" t="s">
        <v>823</v>
      </c>
      <c r="H101" s="260" t="s">
        <v>2354</v>
      </c>
      <c r="I101" s="261">
        <f>I75</f>
        <v>20</v>
      </c>
      <c r="J101" s="261" t="s">
        <v>823</v>
      </c>
      <c r="K101" s="261">
        <f t="shared" ref="K101:K110" si="6">F101*I101</f>
        <v>600</v>
      </c>
      <c r="L101" s="261"/>
      <c r="M101" s="261"/>
    </row>
    <row r="102" spans="1:13">
      <c r="A102" s="251"/>
      <c r="E102" s="261"/>
      <c r="F102" s="261">
        <v>10</v>
      </c>
      <c r="G102" s="261" t="s">
        <v>1389</v>
      </c>
      <c r="H102" s="261" t="s">
        <v>2356</v>
      </c>
      <c r="I102" s="261">
        <f>I76</f>
        <v>3.15</v>
      </c>
      <c r="J102" s="261" t="s">
        <v>1389</v>
      </c>
      <c r="K102" s="261">
        <f t="shared" si="6"/>
        <v>31.5</v>
      </c>
      <c r="L102" s="261"/>
      <c r="M102" s="261"/>
    </row>
    <row r="103" spans="1:13">
      <c r="A103" s="251"/>
      <c r="E103" s="261"/>
      <c r="F103" s="261">
        <v>5</v>
      </c>
      <c r="G103" s="261" t="s">
        <v>1389</v>
      </c>
      <c r="H103" s="261" t="s">
        <v>3365</v>
      </c>
      <c r="I103" s="261">
        <f>I77</f>
        <v>1.34</v>
      </c>
      <c r="J103" s="261" t="s">
        <v>1389</v>
      </c>
      <c r="K103" s="261">
        <f t="shared" si="6"/>
        <v>6.7</v>
      </c>
      <c r="L103" s="261"/>
      <c r="M103" s="261"/>
    </row>
    <row r="104" spans="1:13" ht="31.5">
      <c r="A104" s="251"/>
      <c r="E104" s="261"/>
      <c r="F104" s="261">
        <v>10</v>
      </c>
      <c r="G104" s="261" t="s">
        <v>1389</v>
      </c>
      <c r="H104" s="260" t="s">
        <v>4954</v>
      </c>
      <c r="I104" s="264">
        <f>241.3/12</f>
        <v>20.11</v>
      </c>
      <c r="J104" s="261" t="s">
        <v>1389</v>
      </c>
      <c r="K104" s="261">
        <f t="shared" si="6"/>
        <v>201.1</v>
      </c>
      <c r="L104" s="261"/>
      <c r="M104" s="261">
        <f>253/12</f>
        <v>21.08</v>
      </c>
    </row>
    <row r="105" spans="1:13">
      <c r="A105" s="251"/>
      <c r="E105" s="261"/>
      <c r="F105" s="261">
        <v>5</v>
      </c>
      <c r="G105" s="261" t="s">
        <v>1389</v>
      </c>
      <c r="H105" s="261" t="s">
        <v>2618</v>
      </c>
      <c r="I105" s="261">
        <f>I79</f>
        <v>13.8</v>
      </c>
      <c r="J105" s="261" t="s">
        <v>1389</v>
      </c>
      <c r="K105" s="261">
        <f t="shared" si="6"/>
        <v>69</v>
      </c>
      <c r="L105" s="261"/>
      <c r="M105" s="261"/>
    </row>
    <row r="106" spans="1:13">
      <c r="A106" s="251"/>
      <c r="E106" s="261"/>
      <c r="F106" s="261">
        <v>5</v>
      </c>
      <c r="G106" s="261" t="s">
        <v>1389</v>
      </c>
      <c r="H106" s="261" t="s">
        <v>2620</v>
      </c>
      <c r="I106" s="261">
        <f>I78</f>
        <v>3.6</v>
      </c>
      <c r="J106" s="261" t="s">
        <v>1389</v>
      </c>
      <c r="K106" s="261">
        <f t="shared" si="6"/>
        <v>18</v>
      </c>
      <c r="L106" s="261"/>
      <c r="M106" s="261"/>
    </row>
    <row r="107" spans="1:13">
      <c r="A107" s="251"/>
      <c r="E107" s="261"/>
      <c r="F107" s="261">
        <v>6</v>
      </c>
      <c r="G107" s="261" t="s">
        <v>1389</v>
      </c>
      <c r="H107" s="261" t="s">
        <v>2434</v>
      </c>
      <c r="I107" s="261">
        <f>I83</f>
        <v>70.7</v>
      </c>
      <c r="J107" s="261" t="s">
        <v>1389</v>
      </c>
      <c r="K107" s="261">
        <f t="shared" si="6"/>
        <v>424.2</v>
      </c>
      <c r="L107" s="261"/>
      <c r="M107" s="261"/>
    </row>
    <row r="108" spans="1:13">
      <c r="A108" s="251"/>
      <c r="E108" s="261"/>
      <c r="F108" s="261">
        <v>0.09</v>
      </c>
      <c r="G108" s="261" t="s">
        <v>2273</v>
      </c>
      <c r="H108" s="261" t="s">
        <v>2541</v>
      </c>
      <c r="I108" s="261">
        <f>I82</f>
        <v>661</v>
      </c>
      <c r="J108" s="261" t="s">
        <v>2273</v>
      </c>
      <c r="K108" s="261">
        <f t="shared" si="6"/>
        <v>59.49</v>
      </c>
      <c r="L108" s="261"/>
      <c r="M108" s="261"/>
    </row>
    <row r="109" spans="1:13">
      <c r="A109" s="251"/>
      <c r="E109" s="261"/>
      <c r="F109" s="261">
        <v>1.25</v>
      </c>
      <c r="G109" s="261" t="s">
        <v>2622</v>
      </c>
      <c r="H109" s="261" t="s">
        <v>387</v>
      </c>
      <c r="I109" s="261">
        <f>I85</f>
        <v>302</v>
      </c>
      <c r="J109" s="261" t="s">
        <v>2622</v>
      </c>
      <c r="K109" s="261">
        <f t="shared" si="6"/>
        <v>377.5</v>
      </c>
      <c r="L109" s="261"/>
      <c r="M109" s="261"/>
    </row>
    <row r="110" spans="1:13" ht="31.5">
      <c r="A110" s="251"/>
      <c r="E110" s="261"/>
      <c r="F110" s="261">
        <v>30</v>
      </c>
      <c r="G110" s="261" t="s">
        <v>823</v>
      </c>
      <c r="H110" s="268" t="s">
        <v>2628</v>
      </c>
      <c r="I110" s="261">
        <f>I100</f>
        <v>16.55</v>
      </c>
      <c r="J110" s="261" t="s">
        <v>3280</v>
      </c>
      <c r="K110" s="261">
        <f t="shared" si="6"/>
        <v>496.5</v>
      </c>
      <c r="L110" s="261"/>
      <c r="M110" s="261"/>
    </row>
    <row r="111" spans="1:13">
      <c r="A111" s="251"/>
      <c r="E111" s="261"/>
      <c r="F111" s="261"/>
      <c r="G111" s="261"/>
      <c r="H111" s="261" t="s">
        <v>911</v>
      </c>
      <c r="I111" s="261"/>
      <c r="J111" s="261"/>
      <c r="K111" s="261">
        <f>K42</f>
        <v>12075</v>
      </c>
      <c r="L111" s="261"/>
      <c r="M111" s="261"/>
    </row>
    <row r="112" spans="1:13">
      <c r="A112" s="251"/>
      <c r="E112" s="261"/>
      <c r="F112" s="261"/>
      <c r="G112" s="261"/>
      <c r="H112" s="261" t="s">
        <v>2261</v>
      </c>
      <c r="I112" s="261"/>
      <c r="J112" s="261"/>
      <c r="K112" s="261">
        <v>32.51</v>
      </c>
      <c r="L112" s="261"/>
      <c r="M112" s="261"/>
    </row>
    <row r="113" spans="1:14">
      <c r="A113" s="251"/>
      <c r="E113" s="261"/>
      <c r="F113" s="261"/>
      <c r="G113" s="261"/>
      <c r="H113" s="269" t="s">
        <v>2542</v>
      </c>
      <c r="I113" s="261"/>
      <c r="J113" s="261"/>
      <c r="K113" s="270">
        <f>SUM(K100:K112)</f>
        <v>15881</v>
      </c>
      <c r="L113" s="261">
        <f>3052*5</f>
        <v>15260</v>
      </c>
      <c r="M113" s="261"/>
    </row>
    <row r="114" spans="1:14">
      <c r="A114" s="251"/>
      <c r="E114" s="261"/>
      <c r="F114" s="261"/>
      <c r="G114" s="261"/>
      <c r="H114" s="271" t="s">
        <v>3137</v>
      </c>
      <c r="I114" s="261"/>
      <c r="J114" s="261"/>
      <c r="K114" s="272">
        <f>K113/5</f>
        <v>3176.2</v>
      </c>
      <c r="L114" s="261">
        <f>L113-K113</f>
        <v>-621</v>
      </c>
      <c r="M114" s="261"/>
    </row>
    <row r="115" spans="1:14">
      <c r="A115" s="251"/>
      <c r="E115" s="261"/>
      <c r="F115" s="261"/>
      <c r="G115" s="261"/>
      <c r="H115" s="261"/>
      <c r="I115" s="261"/>
      <c r="J115" s="261"/>
      <c r="K115" s="261"/>
      <c r="L115" s="261"/>
      <c r="M115" s="261"/>
    </row>
    <row r="116" spans="1:14">
      <c r="A116" s="251"/>
      <c r="E116" s="261"/>
      <c r="F116" s="261"/>
      <c r="G116" s="261"/>
      <c r="H116" s="272" t="s">
        <v>2543</v>
      </c>
      <c r="I116" s="261"/>
      <c r="J116" s="261"/>
      <c r="K116" s="261"/>
      <c r="L116" s="261"/>
      <c r="M116" s="261"/>
    </row>
    <row r="117" spans="1:14">
      <c r="A117" s="251"/>
      <c r="E117" s="261"/>
      <c r="F117" s="261"/>
      <c r="G117" s="261"/>
      <c r="H117" s="272" t="s">
        <v>2544</v>
      </c>
      <c r="I117" s="261"/>
      <c r="J117" s="261"/>
      <c r="K117" s="261"/>
      <c r="L117" s="261"/>
      <c r="M117" s="261"/>
    </row>
    <row r="118" spans="1:14">
      <c r="A118" s="251"/>
      <c r="E118" s="261"/>
      <c r="F118" s="261"/>
      <c r="G118" s="261"/>
      <c r="H118" s="261"/>
      <c r="I118" s="261"/>
      <c r="J118" s="261"/>
      <c r="K118" s="261"/>
      <c r="L118" s="261"/>
      <c r="M118" s="261"/>
    </row>
    <row r="119" spans="1:14" ht="157.5">
      <c r="A119" s="251"/>
      <c r="E119" s="261"/>
      <c r="F119" s="261"/>
      <c r="G119" s="261"/>
      <c r="H119" s="260" t="s">
        <v>2712</v>
      </c>
      <c r="I119" s="261"/>
      <c r="J119" s="261"/>
      <c r="K119" s="261"/>
      <c r="L119" s="261"/>
      <c r="M119" s="261"/>
    </row>
    <row r="120" spans="1:14" ht="31.5">
      <c r="A120" s="251"/>
      <c r="E120" s="261"/>
      <c r="F120" s="261">
        <v>90</v>
      </c>
      <c r="G120" s="261" t="s">
        <v>823</v>
      </c>
      <c r="H120" s="268" t="s">
        <v>2528</v>
      </c>
      <c r="I120" s="261">
        <f>I100</f>
        <v>16.55</v>
      </c>
      <c r="J120" s="261" t="s">
        <v>3280</v>
      </c>
      <c r="K120" s="261">
        <f>F120*I120</f>
        <v>1489.5</v>
      </c>
      <c r="L120" s="261"/>
      <c r="M120" s="261"/>
    </row>
    <row r="121" spans="1:14" ht="31.5">
      <c r="E121" s="261"/>
      <c r="F121" s="261">
        <v>45</v>
      </c>
      <c r="G121" s="261" t="s">
        <v>823</v>
      </c>
      <c r="H121" s="260" t="s">
        <v>2354</v>
      </c>
      <c r="I121" s="261">
        <f>I101</f>
        <v>20</v>
      </c>
      <c r="J121" s="261" t="s">
        <v>823</v>
      </c>
      <c r="K121" s="261">
        <f t="shared" ref="K121:K130" si="7">F121*I121</f>
        <v>900</v>
      </c>
      <c r="L121" s="261"/>
      <c r="M121" s="261"/>
    </row>
    <row r="122" spans="1:14">
      <c r="E122" s="261"/>
      <c r="F122" s="261">
        <v>20</v>
      </c>
      <c r="G122" s="261" t="s">
        <v>1389</v>
      </c>
      <c r="H122" s="261" t="s">
        <v>2356</v>
      </c>
      <c r="I122" s="261">
        <f>I102</f>
        <v>3.15</v>
      </c>
      <c r="J122" s="261" t="s">
        <v>3368</v>
      </c>
      <c r="K122" s="261">
        <f t="shared" si="7"/>
        <v>63</v>
      </c>
      <c r="L122" s="261"/>
      <c r="M122" s="261"/>
    </row>
    <row r="123" spans="1:14">
      <c r="E123" s="261"/>
      <c r="F123" s="261">
        <v>10</v>
      </c>
      <c r="G123" s="261" t="s">
        <v>1389</v>
      </c>
      <c r="H123" s="261" t="s">
        <v>3365</v>
      </c>
      <c r="I123" s="261">
        <f>I103</f>
        <v>1.34</v>
      </c>
      <c r="J123" s="261" t="s">
        <v>3368</v>
      </c>
      <c r="K123" s="261">
        <f t="shared" si="7"/>
        <v>13.4</v>
      </c>
      <c r="L123" s="261"/>
      <c r="M123" s="261"/>
    </row>
    <row r="124" spans="1:14">
      <c r="E124" s="261"/>
      <c r="F124" s="261">
        <v>1</v>
      </c>
      <c r="G124" s="261" t="s">
        <v>1389</v>
      </c>
      <c r="H124" s="261" t="s">
        <v>2434</v>
      </c>
      <c r="I124" s="261">
        <f>I107</f>
        <v>70.7</v>
      </c>
      <c r="J124" s="261" t="s">
        <v>1389</v>
      </c>
      <c r="K124" s="261">
        <f t="shared" si="7"/>
        <v>70.7</v>
      </c>
      <c r="L124" s="261"/>
      <c r="M124" s="261"/>
    </row>
    <row r="125" spans="1:14">
      <c r="E125" s="261"/>
      <c r="F125" s="265">
        <v>1.4999999999999999E-2</v>
      </c>
      <c r="G125" s="261" t="s">
        <v>2273</v>
      </c>
      <c r="H125" s="261" t="s">
        <v>2541</v>
      </c>
      <c r="I125" s="261">
        <f>I18</f>
        <v>661</v>
      </c>
      <c r="J125" s="261" t="s">
        <v>2273</v>
      </c>
      <c r="K125" s="261">
        <f t="shared" si="7"/>
        <v>9.92</v>
      </c>
      <c r="L125" s="261"/>
      <c r="M125" s="261"/>
    </row>
    <row r="126" spans="1:14" ht="47.25">
      <c r="E126" s="261"/>
      <c r="F126" s="261">
        <v>15</v>
      </c>
      <c r="G126" s="261" t="s">
        <v>1389</v>
      </c>
      <c r="H126" s="260" t="s">
        <v>5499</v>
      </c>
      <c r="I126" s="264">
        <f>(194.5/12)+24.1</f>
        <v>40.31</v>
      </c>
      <c r="J126" s="261" t="s">
        <v>1389</v>
      </c>
      <c r="K126" s="261">
        <f t="shared" si="7"/>
        <v>604.65</v>
      </c>
      <c r="L126" s="279">
        <f>192.6+239</f>
        <v>431.6</v>
      </c>
      <c r="M126" s="261">
        <f>L126/12</f>
        <v>35.97</v>
      </c>
      <c r="N126" s="252">
        <f>M126/12</f>
        <v>3</v>
      </c>
    </row>
    <row r="127" spans="1:14">
      <c r="E127" s="261"/>
      <c r="F127" s="261">
        <v>15</v>
      </c>
      <c r="G127" s="261" t="s">
        <v>1389</v>
      </c>
      <c r="H127" s="261" t="s">
        <v>2434</v>
      </c>
      <c r="I127" s="261">
        <f>I124</f>
        <v>70.7</v>
      </c>
      <c r="J127" s="261" t="s">
        <v>1389</v>
      </c>
      <c r="K127" s="261">
        <f t="shared" si="7"/>
        <v>1060.5</v>
      </c>
      <c r="L127" s="261"/>
      <c r="M127" s="261"/>
    </row>
    <row r="128" spans="1:14">
      <c r="E128" s="261"/>
      <c r="F128" s="265">
        <v>0.22500000000000001</v>
      </c>
      <c r="G128" s="261" t="s">
        <v>2273</v>
      </c>
      <c r="H128" s="261" t="s">
        <v>2541</v>
      </c>
      <c r="I128" s="261">
        <f>I125</f>
        <v>661</v>
      </c>
      <c r="J128" s="261" t="s">
        <v>2714</v>
      </c>
      <c r="K128" s="261">
        <f t="shared" si="7"/>
        <v>148.72999999999999</v>
      </c>
      <c r="L128" s="261"/>
      <c r="M128" s="261"/>
    </row>
    <row r="129" spans="5:13">
      <c r="E129" s="261"/>
      <c r="F129" s="261">
        <v>1.25</v>
      </c>
      <c r="G129" s="261" t="s">
        <v>2622</v>
      </c>
      <c r="H129" s="261" t="s">
        <v>387</v>
      </c>
      <c r="I129" s="261">
        <f>I109</f>
        <v>302</v>
      </c>
      <c r="J129" s="261" t="s">
        <v>2622</v>
      </c>
      <c r="K129" s="261">
        <f t="shared" si="7"/>
        <v>377.5</v>
      </c>
      <c r="L129" s="261"/>
      <c r="M129" s="261"/>
    </row>
    <row r="130" spans="5:13" ht="31.5">
      <c r="E130" s="261"/>
      <c r="F130" s="261">
        <v>45</v>
      </c>
      <c r="G130" s="261" t="s">
        <v>2273</v>
      </c>
      <c r="H130" s="268" t="s">
        <v>2628</v>
      </c>
      <c r="I130" s="261">
        <f>I120</f>
        <v>16.55</v>
      </c>
      <c r="J130" s="261" t="s">
        <v>3280</v>
      </c>
      <c r="K130" s="261">
        <f t="shared" si="7"/>
        <v>744.75</v>
      </c>
      <c r="L130" s="261"/>
      <c r="M130" s="261"/>
    </row>
    <row r="131" spans="5:13">
      <c r="E131" s="261"/>
      <c r="F131" s="261"/>
      <c r="G131" s="261"/>
      <c r="H131" s="261" t="s">
        <v>911</v>
      </c>
      <c r="I131" s="261"/>
      <c r="J131" s="261"/>
      <c r="K131" s="261">
        <f>K87</f>
        <v>12075</v>
      </c>
      <c r="L131" s="261"/>
      <c r="M131" s="261"/>
    </row>
    <row r="132" spans="5:13">
      <c r="E132" s="261"/>
      <c r="F132" s="261"/>
      <c r="G132" s="261"/>
      <c r="H132" s="261" t="s">
        <v>2261</v>
      </c>
      <c r="I132" s="261"/>
      <c r="J132" s="261"/>
      <c r="K132" s="261">
        <v>58.35</v>
      </c>
      <c r="L132" s="261"/>
      <c r="M132" s="261"/>
    </row>
    <row r="133" spans="5:13">
      <c r="E133" s="261"/>
      <c r="F133" s="261"/>
      <c r="G133" s="261"/>
      <c r="H133" s="269" t="s">
        <v>2715</v>
      </c>
      <c r="I133" s="261"/>
      <c r="J133" s="261"/>
      <c r="K133" s="270">
        <f>SUM(K120:K132)</f>
        <v>17616</v>
      </c>
      <c r="L133" s="261">
        <f>1133*15</f>
        <v>16995</v>
      </c>
      <c r="M133" s="261"/>
    </row>
    <row r="134" spans="5:13">
      <c r="E134" s="261"/>
      <c r="F134" s="261"/>
      <c r="G134" s="261"/>
      <c r="H134" s="271" t="s">
        <v>3137</v>
      </c>
      <c r="I134" s="261"/>
      <c r="J134" s="261"/>
      <c r="K134" s="272">
        <f>K133/15</f>
        <v>1174.4000000000001</v>
      </c>
      <c r="L134" s="261">
        <f>L133-K133</f>
        <v>-621</v>
      </c>
      <c r="M134" s="261"/>
    </row>
    <row r="135" spans="5:13">
      <c r="E135" s="261"/>
      <c r="F135" s="261"/>
      <c r="G135" s="261"/>
      <c r="H135" s="261"/>
      <c r="I135" s="261"/>
      <c r="J135" s="261"/>
      <c r="K135" s="261"/>
      <c r="L135" s="261"/>
      <c r="M135" s="261"/>
    </row>
    <row r="136" spans="5:13">
      <c r="E136" s="261"/>
      <c r="F136" s="261"/>
      <c r="G136" s="261"/>
      <c r="H136" s="272" t="s">
        <v>2716</v>
      </c>
      <c r="I136" s="261"/>
      <c r="J136" s="261"/>
      <c r="K136" s="261"/>
      <c r="L136" s="261"/>
      <c r="M136" s="261"/>
    </row>
    <row r="137" spans="5:13">
      <c r="E137" s="261"/>
      <c r="F137" s="261"/>
      <c r="G137" s="261"/>
      <c r="H137" s="272" t="s">
        <v>2717</v>
      </c>
      <c r="I137" s="261"/>
      <c r="J137" s="261"/>
      <c r="K137" s="261"/>
      <c r="L137" s="261"/>
      <c r="M137" s="261"/>
    </row>
    <row r="138" spans="5:13">
      <c r="E138" s="261"/>
      <c r="F138" s="261"/>
      <c r="G138" s="261"/>
      <c r="H138" s="261"/>
      <c r="I138" s="261"/>
      <c r="J138" s="261"/>
      <c r="K138" s="261"/>
      <c r="L138" s="261"/>
      <c r="M138" s="261"/>
    </row>
    <row r="139" spans="5:13" ht="157.5">
      <c r="E139" s="261"/>
      <c r="F139" s="261"/>
      <c r="G139" s="261"/>
      <c r="H139" s="260" t="s">
        <v>2519</v>
      </c>
      <c r="I139" s="261"/>
      <c r="J139" s="261"/>
      <c r="K139" s="261"/>
      <c r="L139" s="261"/>
      <c r="M139" s="261"/>
    </row>
    <row r="140" spans="5:13">
      <c r="E140" s="261"/>
      <c r="F140" s="261"/>
      <c r="G140" s="261"/>
      <c r="H140" s="261"/>
      <c r="I140" s="261"/>
      <c r="J140" s="261"/>
      <c r="K140" s="261"/>
      <c r="L140" s="261"/>
      <c r="M140" s="261"/>
    </row>
    <row r="141" spans="5:13" ht="31.5">
      <c r="E141" s="261"/>
      <c r="F141" s="261">
        <v>5</v>
      </c>
      <c r="G141" s="261" t="s">
        <v>823</v>
      </c>
      <c r="H141" s="262" t="s">
        <v>2528</v>
      </c>
      <c r="I141" s="261">
        <f>I120</f>
        <v>16.55</v>
      </c>
      <c r="J141" s="261" t="s">
        <v>2355</v>
      </c>
      <c r="K141" s="261">
        <f>F141*I141</f>
        <v>82.75</v>
      </c>
      <c r="L141" s="261"/>
      <c r="M141" s="261"/>
    </row>
    <row r="142" spans="5:13" ht="31.5">
      <c r="E142" s="261"/>
      <c r="F142" s="261">
        <v>2.5</v>
      </c>
      <c r="G142" s="261" t="s">
        <v>823</v>
      </c>
      <c r="H142" s="260" t="s">
        <v>2354</v>
      </c>
      <c r="I142" s="261">
        <f>I121</f>
        <v>20</v>
      </c>
      <c r="J142" s="261" t="s">
        <v>823</v>
      </c>
      <c r="K142" s="261">
        <f>F142*I142</f>
        <v>50</v>
      </c>
      <c r="L142" s="261"/>
      <c r="M142" s="261"/>
    </row>
    <row r="143" spans="5:13" ht="47.25">
      <c r="E143" s="261"/>
      <c r="F143" s="261">
        <v>1</v>
      </c>
      <c r="G143" s="261" t="s">
        <v>1389</v>
      </c>
      <c r="H143" s="260" t="str">
        <f>H126</f>
        <v>5 A 5 pin non - inter locking switch and plug ( flush type ) part - c (I a) + part - d (I a)( Rs. 194.50/12 + 24.10) p-118 +123 part d a</v>
      </c>
      <c r="I143" s="261">
        <f>I126</f>
        <v>40.31</v>
      </c>
      <c r="J143" s="261" t="s">
        <v>1389</v>
      </c>
      <c r="K143" s="261">
        <f>F143*I143</f>
        <v>40.31</v>
      </c>
      <c r="L143" s="261"/>
      <c r="M143" s="261"/>
    </row>
    <row r="144" spans="5:13">
      <c r="E144" s="261"/>
      <c r="F144" s="261"/>
      <c r="G144" s="261"/>
      <c r="H144" s="261" t="s">
        <v>911</v>
      </c>
      <c r="I144" s="261"/>
      <c r="J144" s="261"/>
      <c r="K144" s="261">
        <f>ROUND(K42*5/90,2)</f>
        <v>670.83</v>
      </c>
      <c r="L144" s="261"/>
      <c r="M144" s="261"/>
    </row>
    <row r="145" spans="5:13">
      <c r="E145" s="261"/>
      <c r="F145" s="261"/>
      <c r="G145" s="261"/>
      <c r="H145" s="261" t="s">
        <v>2261</v>
      </c>
      <c r="I145" s="261"/>
      <c r="J145" s="261"/>
      <c r="K145" s="261">
        <v>25.61</v>
      </c>
      <c r="L145" s="261"/>
      <c r="M145" s="261"/>
    </row>
    <row r="146" spans="5:13">
      <c r="E146" s="261"/>
      <c r="F146" s="261"/>
      <c r="G146" s="261"/>
      <c r="H146" s="271" t="s">
        <v>3137</v>
      </c>
      <c r="I146" s="261"/>
      <c r="J146" s="261"/>
      <c r="K146" s="273">
        <f>SUM(K141:K145)</f>
        <v>869.5</v>
      </c>
      <c r="L146" s="261">
        <f>835-K146</f>
        <v>-34.5</v>
      </c>
      <c r="M146" s="261"/>
    </row>
    <row r="147" spans="5:13">
      <c r="E147" s="261"/>
      <c r="F147" s="261"/>
      <c r="G147" s="261"/>
      <c r="H147" s="261"/>
      <c r="I147" s="261"/>
      <c r="J147" s="261"/>
      <c r="K147" s="261"/>
      <c r="L147" s="261"/>
      <c r="M147" s="261"/>
    </row>
    <row r="148" spans="5:13">
      <c r="E148" s="261"/>
      <c r="F148" s="261"/>
      <c r="G148" s="261"/>
      <c r="H148" s="272" t="s">
        <v>2520</v>
      </c>
      <c r="I148" s="261"/>
      <c r="J148" s="261"/>
      <c r="K148" s="261"/>
      <c r="L148" s="261"/>
      <c r="M148" s="261"/>
    </row>
    <row r="149" spans="5:13">
      <c r="E149" s="261"/>
      <c r="F149" s="261"/>
      <c r="G149" s="261"/>
      <c r="H149" s="272" t="s">
        <v>2521</v>
      </c>
      <c r="I149" s="261"/>
      <c r="J149" s="261"/>
      <c r="K149" s="261"/>
      <c r="L149" s="261"/>
      <c r="M149" s="261"/>
    </row>
    <row r="150" spans="5:13">
      <c r="E150" s="261"/>
      <c r="F150" s="261"/>
      <c r="G150" s="261"/>
      <c r="H150" s="261"/>
      <c r="I150" s="261"/>
      <c r="J150" s="261"/>
      <c r="K150" s="261"/>
      <c r="L150" s="261"/>
      <c r="M150" s="261"/>
    </row>
    <row r="151" spans="5:13" ht="63">
      <c r="E151" s="261"/>
      <c r="F151" s="261"/>
      <c r="G151" s="261"/>
      <c r="H151" s="260" t="s">
        <v>5635</v>
      </c>
      <c r="I151" s="261"/>
      <c r="J151" s="261"/>
      <c r="K151" s="261"/>
      <c r="L151" s="261"/>
      <c r="M151" s="261"/>
    </row>
    <row r="152" spans="5:13">
      <c r="E152" s="261"/>
      <c r="F152" s="261"/>
      <c r="G152" s="261"/>
      <c r="H152" s="261"/>
      <c r="I152" s="261"/>
      <c r="J152" s="261"/>
      <c r="K152" s="261"/>
      <c r="L152" s="261"/>
      <c r="M152" s="261"/>
    </row>
    <row r="153" spans="5:13">
      <c r="E153" s="261"/>
      <c r="F153" s="261">
        <v>1</v>
      </c>
      <c r="G153" s="261" t="s">
        <v>1389</v>
      </c>
      <c r="H153" s="261" t="s">
        <v>4955</v>
      </c>
      <c r="I153" s="264">
        <v>54.5</v>
      </c>
      <c r="J153" s="261" t="s">
        <v>1389</v>
      </c>
      <c r="K153" s="261">
        <f>F153*I153</f>
        <v>54.5</v>
      </c>
      <c r="L153" s="261"/>
      <c r="M153" s="261"/>
    </row>
    <row r="154" spans="5:13">
      <c r="E154" s="261"/>
      <c r="F154" s="261">
        <v>1</v>
      </c>
      <c r="G154" s="261" t="s">
        <v>1389</v>
      </c>
      <c r="H154" s="261" t="s">
        <v>3119</v>
      </c>
      <c r="I154" s="261">
        <f>I124</f>
        <v>70.7</v>
      </c>
      <c r="J154" s="261" t="s">
        <v>1389</v>
      </c>
      <c r="K154" s="261">
        <f>F154*I154</f>
        <v>70.7</v>
      </c>
      <c r="L154" s="261"/>
      <c r="M154" s="261"/>
    </row>
    <row r="155" spans="5:13">
      <c r="E155" s="261"/>
      <c r="F155" s="265">
        <v>1.4999999999999999E-2</v>
      </c>
      <c r="G155" s="261" t="s">
        <v>2273</v>
      </c>
      <c r="H155" s="261" t="s">
        <v>3120</v>
      </c>
      <c r="I155" s="261">
        <f>I125</f>
        <v>661</v>
      </c>
      <c r="J155" s="261" t="s">
        <v>2273</v>
      </c>
      <c r="K155" s="261">
        <f>F155*I155</f>
        <v>9.92</v>
      </c>
      <c r="L155" s="261"/>
      <c r="M155" s="261"/>
    </row>
    <row r="156" spans="5:13">
      <c r="E156" s="261"/>
      <c r="F156" s="261" t="s">
        <v>654</v>
      </c>
      <c r="G156" s="261"/>
      <c r="H156" s="260" t="s">
        <v>3121</v>
      </c>
      <c r="I156" s="261"/>
      <c r="J156" s="261"/>
      <c r="K156" s="261">
        <v>14.88</v>
      </c>
      <c r="L156" s="261">
        <f>(K153+K154+K155)*2%</f>
        <v>2.7</v>
      </c>
      <c r="M156" s="261"/>
    </row>
    <row r="157" spans="5:13">
      <c r="E157" s="261"/>
      <c r="F157" s="261"/>
      <c r="G157" s="261"/>
      <c r="H157" s="271" t="s">
        <v>1058</v>
      </c>
      <c r="I157" s="261"/>
      <c r="J157" s="261"/>
      <c r="K157" s="273">
        <f>SUM(K153:K156)</f>
        <v>150</v>
      </c>
      <c r="L157" s="261">
        <f>150-K157</f>
        <v>0</v>
      </c>
      <c r="M157" s="261"/>
    </row>
    <row r="158" spans="5:13">
      <c r="E158" s="261"/>
      <c r="F158" s="261"/>
      <c r="G158" s="261"/>
      <c r="H158" s="261"/>
      <c r="I158" s="261"/>
      <c r="J158" s="261"/>
      <c r="K158" s="261">
        <f>K157*18</f>
        <v>2700</v>
      </c>
      <c r="L158" s="261"/>
      <c r="M158" s="261"/>
    </row>
    <row r="159" spans="5:13">
      <c r="E159" s="261"/>
      <c r="F159" s="261"/>
      <c r="G159" s="261"/>
      <c r="H159" s="272" t="s">
        <v>3122</v>
      </c>
      <c r="I159" s="261"/>
      <c r="J159" s="261"/>
      <c r="K159" s="261"/>
      <c r="L159" s="261"/>
      <c r="M159" s="261"/>
    </row>
    <row r="160" spans="5:13" ht="31.5">
      <c r="E160" s="261"/>
      <c r="F160" s="261"/>
      <c r="G160" s="261"/>
      <c r="H160" s="258" t="s">
        <v>3123</v>
      </c>
      <c r="I160" s="261"/>
      <c r="J160" s="261"/>
      <c r="K160" s="261"/>
      <c r="L160" s="261"/>
      <c r="M160" s="261"/>
    </row>
    <row r="161" spans="5:13">
      <c r="E161" s="261"/>
      <c r="F161" s="261"/>
      <c r="G161" s="261"/>
      <c r="H161" s="258"/>
      <c r="I161" s="261"/>
      <c r="J161" s="261"/>
      <c r="K161" s="261"/>
      <c r="L161" s="261"/>
      <c r="M161" s="261"/>
    </row>
    <row r="162" spans="5:13" ht="189">
      <c r="E162" s="261"/>
      <c r="F162" s="261"/>
      <c r="G162" s="261"/>
      <c r="H162" s="260" t="s">
        <v>2417</v>
      </c>
      <c r="I162" s="261"/>
      <c r="J162" s="261"/>
      <c r="K162" s="261"/>
      <c r="L162" s="261"/>
      <c r="M162" s="261"/>
    </row>
    <row r="163" spans="5:13">
      <c r="E163" s="261"/>
      <c r="F163" s="261"/>
      <c r="G163" s="261"/>
      <c r="H163" s="261"/>
      <c r="I163" s="261"/>
      <c r="J163" s="261"/>
      <c r="K163" s="261"/>
      <c r="L163" s="261"/>
      <c r="M163" s="261"/>
    </row>
    <row r="164" spans="5:13" ht="31.5">
      <c r="E164" s="261"/>
      <c r="F164" s="261">
        <v>90</v>
      </c>
      <c r="G164" s="261" t="s">
        <v>823</v>
      </c>
      <c r="H164" s="268" t="s">
        <v>2528</v>
      </c>
      <c r="I164" s="261">
        <f>I12</f>
        <v>16.55</v>
      </c>
      <c r="J164" s="261" t="s">
        <v>823</v>
      </c>
      <c r="K164" s="261">
        <f>F164*I164</f>
        <v>1489.5</v>
      </c>
      <c r="L164" s="261"/>
      <c r="M164" s="261"/>
    </row>
    <row r="165" spans="5:13" ht="31.5">
      <c r="E165" s="261"/>
      <c r="F165" s="261">
        <v>45</v>
      </c>
      <c r="G165" s="261" t="s">
        <v>823</v>
      </c>
      <c r="H165" s="260" t="s">
        <v>2354</v>
      </c>
      <c r="I165" s="261">
        <f>I13</f>
        <v>20</v>
      </c>
      <c r="J165" s="261" t="s">
        <v>2355</v>
      </c>
      <c r="K165" s="261">
        <f t="shared" ref="K165:K176" si="8">F165*I165</f>
        <v>900</v>
      </c>
      <c r="L165" s="261"/>
      <c r="M165" s="261"/>
    </row>
    <row r="166" spans="5:13">
      <c r="E166" s="261"/>
      <c r="F166" s="261">
        <v>12</v>
      </c>
      <c r="G166" s="261" t="s">
        <v>1389</v>
      </c>
      <c r="H166" s="261" t="s">
        <v>2356</v>
      </c>
      <c r="I166" s="261">
        <f>I14</f>
        <v>3.15</v>
      </c>
      <c r="J166" s="261" t="s">
        <v>1389</v>
      </c>
      <c r="K166" s="261">
        <f t="shared" si="8"/>
        <v>37.799999999999997</v>
      </c>
      <c r="L166" s="261"/>
      <c r="M166" s="261"/>
    </row>
    <row r="167" spans="5:13">
      <c r="E167" s="261"/>
      <c r="F167" s="261">
        <v>6</v>
      </c>
      <c r="G167" s="261" t="s">
        <v>1389</v>
      </c>
      <c r="H167" s="261" t="s">
        <v>3365</v>
      </c>
      <c r="I167" s="261">
        <f>I15</f>
        <v>1.34</v>
      </c>
      <c r="J167" s="261" t="s">
        <v>1389</v>
      </c>
      <c r="K167" s="261">
        <f t="shared" si="8"/>
        <v>8.0399999999999991</v>
      </c>
      <c r="L167" s="261"/>
      <c r="M167" s="261"/>
    </row>
    <row r="168" spans="5:13">
      <c r="E168" s="261"/>
      <c r="F168" s="261">
        <v>1</v>
      </c>
      <c r="G168" s="261" t="s">
        <v>1389</v>
      </c>
      <c r="H168" s="261" t="s">
        <v>3366</v>
      </c>
      <c r="I168" s="261">
        <f>I16</f>
        <v>70.7</v>
      </c>
      <c r="J168" s="261" t="s">
        <v>1389</v>
      </c>
      <c r="K168" s="261">
        <f t="shared" si="8"/>
        <v>70.7</v>
      </c>
      <c r="L168" s="261"/>
      <c r="M168" s="261"/>
    </row>
    <row r="169" spans="5:13">
      <c r="E169" s="261"/>
      <c r="F169" s="265">
        <v>1.4999999999999999E-2</v>
      </c>
      <c r="G169" s="261" t="s">
        <v>2273</v>
      </c>
      <c r="H169" s="261" t="s">
        <v>3236</v>
      </c>
      <c r="I169" s="261">
        <f t="shared" ref="I169:I176" si="9">I18</f>
        <v>661</v>
      </c>
      <c r="J169" s="261" t="s">
        <v>2273</v>
      </c>
      <c r="K169" s="261">
        <f t="shared" si="8"/>
        <v>9.92</v>
      </c>
      <c r="L169" s="261"/>
      <c r="M169" s="261"/>
    </row>
    <row r="170" spans="5:13">
      <c r="E170" s="261"/>
      <c r="F170" s="261">
        <v>6</v>
      </c>
      <c r="G170" s="261" t="s">
        <v>1389</v>
      </c>
      <c r="H170" s="261" t="s">
        <v>3237</v>
      </c>
      <c r="I170" s="261">
        <f t="shared" si="9"/>
        <v>16.21</v>
      </c>
      <c r="J170" s="261" t="s">
        <v>3368</v>
      </c>
      <c r="K170" s="261">
        <f t="shared" si="8"/>
        <v>97.26</v>
      </c>
      <c r="L170" s="261"/>
      <c r="M170" s="261"/>
    </row>
    <row r="171" spans="5:13">
      <c r="E171" s="261"/>
      <c r="F171" s="261">
        <v>6</v>
      </c>
      <c r="G171" s="261" t="s">
        <v>1389</v>
      </c>
      <c r="H171" s="261" t="s">
        <v>2618</v>
      </c>
      <c r="I171" s="261">
        <f t="shared" si="9"/>
        <v>13.8</v>
      </c>
      <c r="J171" s="261" t="s">
        <v>1389</v>
      </c>
      <c r="K171" s="261">
        <f t="shared" si="8"/>
        <v>82.8</v>
      </c>
      <c r="L171" s="261"/>
      <c r="M171" s="261"/>
    </row>
    <row r="172" spans="5:13">
      <c r="E172" s="261"/>
      <c r="F172" s="261">
        <v>6</v>
      </c>
      <c r="G172" s="261" t="s">
        <v>1389</v>
      </c>
      <c r="H172" s="261" t="s">
        <v>2620</v>
      </c>
      <c r="I172" s="261">
        <f t="shared" si="9"/>
        <v>3.6</v>
      </c>
      <c r="J172" s="261" t="s">
        <v>1389</v>
      </c>
      <c r="K172" s="261">
        <f t="shared" si="8"/>
        <v>21.6</v>
      </c>
      <c r="L172" s="261"/>
      <c r="M172" s="261"/>
    </row>
    <row r="173" spans="5:13">
      <c r="E173" s="261"/>
      <c r="F173" s="261">
        <v>1.25</v>
      </c>
      <c r="G173" s="261" t="s">
        <v>2622</v>
      </c>
      <c r="H173" s="261" t="s">
        <v>387</v>
      </c>
      <c r="I173" s="261">
        <f t="shared" si="9"/>
        <v>302</v>
      </c>
      <c r="J173" s="261" t="s">
        <v>2622</v>
      </c>
      <c r="K173" s="261">
        <f t="shared" si="8"/>
        <v>377.5</v>
      </c>
      <c r="L173" s="261"/>
      <c r="M173" s="261"/>
    </row>
    <row r="174" spans="5:13">
      <c r="E174" s="261"/>
      <c r="F174" s="261">
        <v>6</v>
      </c>
      <c r="G174" s="261" t="s">
        <v>1389</v>
      </c>
      <c r="H174" s="261" t="s">
        <v>2623</v>
      </c>
      <c r="I174" s="261">
        <f t="shared" si="9"/>
        <v>70.7</v>
      </c>
      <c r="J174" s="261" t="s">
        <v>1389</v>
      </c>
      <c r="K174" s="261">
        <f t="shared" si="8"/>
        <v>424.2</v>
      </c>
      <c r="L174" s="261"/>
      <c r="M174" s="261"/>
    </row>
    <row r="175" spans="5:13">
      <c r="E175" s="261"/>
      <c r="F175" s="261">
        <v>0.09</v>
      </c>
      <c r="G175" s="261" t="s">
        <v>2273</v>
      </c>
      <c r="H175" s="261" t="s">
        <v>2625</v>
      </c>
      <c r="I175" s="261">
        <f t="shared" si="9"/>
        <v>661</v>
      </c>
      <c r="J175" s="261" t="s">
        <v>2273</v>
      </c>
      <c r="K175" s="261">
        <f t="shared" si="8"/>
        <v>59.49</v>
      </c>
      <c r="L175" s="261"/>
      <c r="M175" s="261"/>
    </row>
    <row r="176" spans="5:13" ht="31.5">
      <c r="E176" s="261"/>
      <c r="F176" s="261">
        <v>45</v>
      </c>
      <c r="G176" s="261"/>
      <c r="H176" s="268" t="s">
        <v>2628</v>
      </c>
      <c r="I176" s="261">
        <f t="shared" si="9"/>
        <v>16.55</v>
      </c>
      <c r="J176" s="261" t="s">
        <v>3280</v>
      </c>
      <c r="K176" s="261">
        <f t="shared" si="8"/>
        <v>744.75</v>
      </c>
      <c r="L176" s="261"/>
      <c r="M176" s="261"/>
    </row>
    <row r="177" spans="5:13">
      <c r="E177" s="261"/>
      <c r="F177" s="261"/>
      <c r="G177" s="261"/>
      <c r="H177" s="261" t="s">
        <v>911</v>
      </c>
      <c r="I177" s="261"/>
      <c r="J177" s="261" t="s">
        <v>654</v>
      </c>
      <c r="K177" s="261">
        <f>K26</f>
        <v>12075</v>
      </c>
      <c r="L177" s="261"/>
      <c r="M177" s="261"/>
    </row>
    <row r="178" spans="5:13">
      <c r="E178" s="261"/>
      <c r="F178" s="261"/>
      <c r="G178" s="261"/>
      <c r="H178" s="261" t="s">
        <v>2261</v>
      </c>
      <c r="I178" s="261"/>
      <c r="J178" s="261" t="s">
        <v>654</v>
      </c>
      <c r="K178" s="261">
        <v>62.44</v>
      </c>
      <c r="L178" s="261"/>
      <c r="M178" s="261"/>
    </row>
    <row r="179" spans="5:13">
      <c r="E179" s="261"/>
      <c r="F179" s="261"/>
      <c r="G179" s="261"/>
      <c r="H179" s="269" t="s">
        <v>3288</v>
      </c>
      <c r="I179" s="261"/>
      <c r="J179" s="261"/>
      <c r="K179" s="270">
        <f>SUM(K164:K178)</f>
        <v>16461</v>
      </c>
      <c r="L179" s="261"/>
      <c r="M179" s="261"/>
    </row>
    <row r="180" spans="5:13">
      <c r="E180" s="261"/>
      <c r="F180" s="261"/>
      <c r="G180" s="261"/>
      <c r="H180" s="271" t="s">
        <v>3285</v>
      </c>
      <c r="I180" s="261"/>
      <c r="J180" s="261"/>
      <c r="K180" s="272">
        <f>K179/6</f>
        <v>2743.5</v>
      </c>
      <c r="L180" s="261">
        <f>2640*6</f>
        <v>15840</v>
      </c>
      <c r="M180" s="261">
        <f>L180-K179</f>
        <v>-621</v>
      </c>
    </row>
    <row r="181" spans="5:13">
      <c r="E181" s="261"/>
      <c r="F181" s="261"/>
      <c r="G181" s="261"/>
      <c r="H181" s="261"/>
      <c r="I181" s="261"/>
      <c r="J181" s="261"/>
      <c r="K181" s="261"/>
      <c r="L181" s="261">
        <f>L180-K179</f>
        <v>-621</v>
      </c>
      <c r="M181" s="261"/>
    </row>
    <row r="182" spans="5:13">
      <c r="E182" s="261"/>
      <c r="F182" s="261"/>
      <c r="G182" s="261"/>
      <c r="H182" s="272" t="s">
        <v>2418</v>
      </c>
      <c r="I182" s="261"/>
      <c r="J182" s="261"/>
      <c r="K182" s="261"/>
      <c r="L182" s="261">
        <f>L181*6</f>
        <v>-3726</v>
      </c>
      <c r="M182" s="261"/>
    </row>
    <row r="183" spans="5:13" ht="47.25">
      <c r="E183" s="261"/>
      <c r="F183" s="261"/>
      <c r="G183" s="261"/>
      <c r="H183" s="258" t="s">
        <v>2419</v>
      </c>
      <c r="I183" s="261"/>
      <c r="J183" s="261"/>
      <c r="K183" s="261"/>
      <c r="L183" s="261"/>
      <c r="M183" s="261"/>
    </row>
    <row r="184" spans="5:13">
      <c r="E184" s="261"/>
      <c r="F184" s="261"/>
      <c r="G184" s="261"/>
      <c r="H184" s="261"/>
      <c r="I184" s="261"/>
      <c r="J184" s="261"/>
      <c r="K184" s="261"/>
      <c r="L184" s="261"/>
      <c r="M184" s="261"/>
    </row>
    <row r="185" spans="5:13" ht="189">
      <c r="E185" s="261"/>
      <c r="F185" s="261"/>
      <c r="G185" s="261"/>
      <c r="H185" s="260" t="s">
        <v>2294</v>
      </c>
      <c r="I185" s="261"/>
      <c r="J185" s="261"/>
      <c r="K185" s="261"/>
      <c r="L185" s="261"/>
      <c r="M185" s="261"/>
    </row>
    <row r="186" spans="5:13">
      <c r="E186" s="261"/>
      <c r="F186" s="261"/>
      <c r="G186" s="261"/>
      <c r="H186" s="261"/>
      <c r="I186" s="261"/>
      <c r="J186" s="261"/>
      <c r="K186" s="261"/>
      <c r="L186" s="261"/>
      <c r="M186" s="261"/>
    </row>
    <row r="187" spans="5:13">
      <c r="E187" s="261"/>
      <c r="F187" s="261"/>
      <c r="G187" s="261"/>
      <c r="H187" s="261" t="s">
        <v>2295</v>
      </c>
      <c r="I187" s="261"/>
      <c r="J187" s="261"/>
      <c r="K187" s="261">
        <f>K179-K178</f>
        <v>16398.560000000001</v>
      </c>
      <c r="L187" s="261"/>
      <c r="M187" s="261"/>
    </row>
    <row r="188" spans="5:13">
      <c r="E188" s="261"/>
      <c r="F188" s="261"/>
      <c r="G188" s="261"/>
      <c r="H188" s="261" t="s">
        <v>2823</v>
      </c>
      <c r="I188" s="261"/>
      <c r="J188" s="261"/>
      <c r="K188" s="261">
        <f>K171</f>
        <v>82.8</v>
      </c>
      <c r="L188" s="261"/>
      <c r="M188" s="261"/>
    </row>
    <row r="189" spans="5:13" ht="31.5">
      <c r="E189" s="261"/>
      <c r="F189" s="261"/>
      <c r="G189" s="261"/>
      <c r="H189" s="260" t="s">
        <v>5636</v>
      </c>
      <c r="I189" s="261"/>
      <c r="J189" s="261"/>
      <c r="K189" s="264">
        <f>16.65*6</f>
        <v>99.9</v>
      </c>
      <c r="L189" s="261"/>
      <c r="M189" s="261"/>
    </row>
    <row r="190" spans="5:13">
      <c r="E190" s="261"/>
      <c r="F190" s="261"/>
      <c r="G190" s="261"/>
      <c r="H190" s="261" t="s">
        <v>2261</v>
      </c>
      <c r="I190" s="261"/>
      <c r="J190" s="261"/>
      <c r="K190" s="261">
        <v>45.34</v>
      </c>
      <c r="L190" s="261"/>
      <c r="M190" s="261"/>
    </row>
    <row r="191" spans="5:13">
      <c r="E191" s="261"/>
      <c r="F191" s="261"/>
      <c r="G191" s="261"/>
      <c r="H191" s="269" t="s">
        <v>2824</v>
      </c>
      <c r="I191" s="261"/>
      <c r="J191" s="261"/>
      <c r="K191" s="270">
        <f>(K187-K188)+K189+K190</f>
        <v>16461</v>
      </c>
      <c r="L191" s="261">
        <f>2640*6</f>
        <v>15840</v>
      </c>
      <c r="M191" s="261"/>
    </row>
    <row r="192" spans="5:13">
      <c r="E192" s="261"/>
      <c r="F192" s="261"/>
      <c r="G192" s="261"/>
      <c r="H192" s="271" t="s">
        <v>2825</v>
      </c>
      <c r="I192" s="261"/>
      <c r="J192" s="261"/>
      <c r="K192" s="272">
        <f>K191/6</f>
        <v>2743.5</v>
      </c>
      <c r="L192" s="261">
        <f>L191-K191</f>
        <v>-621</v>
      </c>
      <c r="M192" s="261"/>
    </row>
    <row r="193" spans="5:13">
      <c r="E193" s="261"/>
      <c r="F193" s="261"/>
      <c r="G193" s="261"/>
      <c r="H193" s="261"/>
      <c r="I193" s="261"/>
      <c r="J193" s="261"/>
      <c r="K193" s="261"/>
      <c r="L193" s="261"/>
      <c r="M193" s="261"/>
    </row>
    <row r="194" spans="5:13">
      <c r="E194" s="261"/>
      <c r="F194" s="261"/>
      <c r="G194" s="261"/>
      <c r="H194" s="272" t="s">
        <v>2826</v>
      </c>
      <c r="I194" s="261"/>
      <c r="J194" s="261"/>
      <c r="K194" s="261"/>
      <c r="L194" s="261"/>
      <c r="M194" s="261"/>
    </row>
    <row r="195" spans="5:13" ht="31.5">
      <c r="E195" s="261"/>
      <c r="F195" s="261"/>
      <c r="G195" s="261"/>
      <c r="H195" s="258" t="s">
        <v>2867</v>
      </c>
      <c r="I195" s="261"/>
      <c r="J195" s="261"/>
      <c r="K195" s="261"/>
      <c r="L195" s="261"/>
      <c r="M195" s="261"/>
    </row>
    <row r="196" spans="5:13" ht="173.25">
      <c r="E196" s="261"/>
      <c r="F196" s="261"/>
      <c r="G196" s="261"/>
      <c r="H196" s="260" t="s">
        <v>2893</v>
      </c>
      <c r="I196" s="261"/>
      <c r="J196" s="261"/>
      <c r="K196" s="261"/>
      <c r="L196" s="261"/>
      <c r="M196" s="261"/>
    </row>
    <row r="197" spans="5:13" ht="31.5">
      <c r="E197" s="261"/>
      <c r="F197" s="261">
        <v>90</v>
      </c>
      <c r="G197" s="261" t="s">
        <v>823</v>
      </c>
      <c r="H197" s="268" t="s">
        <v>2528</v>
      </c>
      <c r="I197" s="261">
        <f t="shared" ref="I197:I209" si="10">I74</f>
        <v>16.55</v>
      </c>
      <c r="J197" s="261" t="s">
        <v>2529</v>
      </c>
      <c r="K197" s="261">
        <f>F197*I197</f>
        <v>1489.5</v>
      </c>
      <c r="L197" s="261"/>
      <c r="M197" s="261"/>
    </row>
    <row r="198" spans="5:13" ht="31.5">
      <c r="E198" s="261"/>
      <c r="F198" s="261">
        <v>45</v>
      </c>
      <c r="G198" s="261" t="s">
        <v>823</v>
      </c>
      <c r="H198" s="260" t="s">
        <v>2354</v>
      </c>
      <c r="I198" s="261">
        <f t="shared" si="10"/>
        <v>20</v>
      </c>
      <c r="J198" s="261" t="s">
        <v>823</v>
      </c>
      <c r="K198" s="261">
        <f t="shared" ref="K198:K209" si="11">F198*I198</f>
        <v>900</v>
      </c>
      <c r="L198" s="261"/>
      <c r="M198" s="261"/>
    </row>
    <row r="199" spans="5:13">
      <c r="E199" s="261"/>
      <c r="F199" s="261">
        <v>12</v>
      </c>
      <c r="G199" s="261" t="s">
        <v>1389</v>
      </c>
      <c r="H199" s="261" t="s">
        <v>2356</v>
      </c>
      <c r="I199" s="261">
        <f t="shared" si="10"/>
        <v>3.15</v>
      </c>
      <c r="J199" s="261" t="s">
        <v>1389</v>
      </c>
      <c r="K199" s="261">
        <f t="shared" si="11"/>
        <v>37.799999999999997</v>
      </c>
      <c r="L199" s="261"/>
      <c r="M199" s="261"/>
    </row>
    <row r="200" spans="5:13">
      <c r="E200" s="261"/>
      <c r="F200" s="261">
        <v>6</v>
      </c>
      <c r="G200" s="261" t="s">
        <v>1389</v>
      </c>
      <c r="H200" s="261" t="s">
        <v>3365</v>
      </c>
      <c r="I200" s="261">
        <f t="shared" si="10"/>
        <v>1.34</v>
      </c>
      <c r="J200" s="261" t="s">
        <v>1389</v>
      </c>
      <c r="K200" s="261">
        <f t="shared" si="11"/>
        <v>8.0399999999999991</v>
      </c>
      <c r="L200" s="261"/>
      <c r="M200" s="261"/>
    </row>
    <row r="201" spans="5:13">
      <c r="E201" s="261"/>
      <c r="F201" s="261">
        <v>6</v>
      </c>
      <c r="G201" s="261" t="s">
        <v>1389</v>
      </c>
      <c r="H201" s="261" t="s">
        <v>3444</v>
      </c>
      <c r="I201" s="261">
        <f t="shared" si="10"/>
        <v>3.6</v>
      </c>
      <c r="J201" s="261" t="s">
        <v>1389</v>
      </c>
      <c r="K201" s="261">
        <f t="shared" si="11"/>
        <v>21.6</v>
      </c>
      <c r="L201" s="261"/>
      <c r="M201" s="261"/>
    </row>
    <row r="202" spans="5:13">
      <c r="E202" s="261"/>
      <c r="F202" s="261">
        <v>6</v>
      </c>
      <c r="G202" s="261" t="s">
        <v>1389</v>
      </c>
      <c r="H202" s="261" t="s">
        <v>2618</v>
      </c>
      <c r="I202" s="261">
        <f t="shared" si="10"/>
        <v>13.8</v>
      </c>
      <c r="J202" s="261" t="s">
        <v>1389</v>
      </c>
      <c r="K202" s="261">
        <f t="shared" si="11"/>
        <v>82.8</v>
      </c>
      <c r="L202" s="261"/>
      <c r="M202" s="261"/>
    </row>
    <row r="203" spans="5:13">
      <c r="E203" s="261"/>
      <c r="F203" s="261">
        <v>6</v>
      </c>
      <c r="G203" s="261" t="s">
        <v>1389</v>
      </c>
      <c r="H203" s="261" t="s">
        <v>3237</v>
      </c>
      <c r="I203" s="261">
        <f t="shared" si="10"/>
        <v>16.21</v>
      </c>
      <c r="J203" s="261" t="s">
        <v>3368</v>
      </c>
      <c r="K203" s="261">
        <f t="shared" si="11"/>
        <v>97.26</v>
      </c>
      <c r="L203" s="261"/>
      <c r="M203" s="261"/>
    </row>
    <row r="204" spans="5:13">
      <c r="E204" s="261"/>
      <c r="F204" s="261">
        <v>6</v>
      </c>
      <c r="G204" s="261" t="s">
        <v>1389</v>
      </c>
      <c r="H204" s="261" t="s">
        <v>3846</v>
      </c>
      <c r="I204" s="261">
        <f t="shared" si="10"/>
        <v>115.1</v>
      </c>
      <c r="J204" s="261" t="s">
        <v>1389</v>
      </c>
      <c r="K204" s="261">
        <f t="shared" si="11"/>
        <v>690.6</v>
      </c>
      <c r="L204" s="261"/>
      <c r="M204" s="261"/>
    </row>
    <row r="205" spans="5:13">
      <c r="E205" s="261"/>
      <c r="F205" s="261">
        <v>0.36</v>
      </c>
      <c r="G205" s="261" t="s">
        <v>2273</v>
      </c>
      <c r="H205" s="261" t="s">
        <v>2625</v>
      </c>
      <c r="I205" s="261">
        <f t="shared" si="10"/>
        <v>661</v>
      </c>
      <c r="J205" s="261" t="s">
        <v>2273</v>
      </c>
      <c r="K205" s="261">
        <f t="shared" si="11"/>
        <v>237.96</v>
      </c>
      <c r="L205" s="261"/>
      <c r="M205" s="261"/>
    </row>
    <row r="206" spans="5:13">
      <c r="E206" s="261"/>
      <c r="F206" s="261">
        <v>1</v>
      </c>
      <c r="G206" s="261" t="s">
        <v>1389</v>
      </c>
      <c r="H206" s="261" t="s">
        <v>2808</v>
      </c>
      <c r="I206" s="261">
        <f t="shared" si="10"/>
        <v>70.7</v>
      </c>
      <c r="J206" s="261" t="s">
        <v>1389</v>
      </c>
      <c r="K206" s="261">
        <f t="shared" si="11"/>
        <v>70.7</v>
      </c>
      <c r="L206" s="261"/>
      <c r="M206" s="261"/>
    </row>
    <row r="207" spans="5:13">
      <c r="E207" s="261"/>
      <c r="F207" s="265">
        <v>1.4999999999999999E-2</v>
      </c>
      <c r="G207" s="261" t="s">
        <v>2273</v>
      </c>
      <c r="H207" s="261" t="s">
        <v>2625</v>
      </c>
      <c r="I207" s="261">
        <f t="shared" si="10"/>
        <v>661</v>
      </c>
      <c r="J207" s="261" t="s">
        <v>2273</v>
      </c>
      <c r="K207" s="261">
        <f t="shared" si="11"/>
        <v>9.92</v>
      </c>
      <c r="L207" s="261"/>
      <c r="M207" s="261"/>
    </row>
    <row r="208" spans="5:13">
      <c r="E208" s="261"/>
      <c r="F208" s="261">
        <v>1.25</v>
      </c>
      <c r="G208" s="261" t="s">
        <v>2622</v>
      </c>
      <c r="H208" s="261" t="s">
        <v>387</v>
      </c>
      <c r="I208" s="261">
        <f t="shared" si="10"/>
        <v>302</v>
      </c>
      <c r="J208" s="261" t="s">
        <v>2622</v>
      </c>
      <c r="K208" s="261">
        <f t="shared" si="11"/>
        <v>377.5</v>
      </c>
      <c r="L208" s="261"/>
      <c r="M208" s="261"/>
    </row>
    <row r="209" spans="5:13" ht="31.5">
      <c r="E209" s="261"/>
      <c r="F209" s="261">
        <v>45</v>
      </c>
      <c r="G209" s="261" t="s">
        <v>823</v>
      </c>
      <c r="H209" s="268" t="s">
        <v>2628</v>
      </c>
      <c r="I209" s="261">
        <f t="shared" si="10"/>
        <v>16.55</v>
      </c>
      <c r="J209" s="261" t="s">
        <v>2529</v>
      </c>
      <c r="K209" s="261">
        <f t="shared" si="11"/>
        <v>744.75</v>
      </c>
      <c r="L209" s="261"/>
      <c r="M209" s="261"/>
    </row>
    <row r="210" spans="5:13">
      <c r="E210" s="261"/>
      <c r="F210" s="261"/>
      <c r="G210" s="261"/>
      <c r="H210" s="261" t="s">
        <v>911</v>
      </c>
      <c r="I210" s="261"/>
      <c r="J210" s="261"/>
      <c r="K210" s="261">
        <f>K87</f>
        <v>12075</v>
      </c>
      <c r="L210" s="261"/>
      <c r="M210" s="261"/>
    </row>
    <row r="211" spans="5:13">
      <c r="E211" s="261"/>
      <c r="F211" s="261"/>
      <c r="G211" s="261"/>
      <c r="H211" s="261" t="s">
        <v>2261</v>
      </c>
      <c r="I211" s="261"/>
      <c r="J211" s="261"/>
      <c r="K211" s="261">
        <v>49.57</v>
      </c>
      <c r="L211" s="261">
        <f>43.19-K211</f>
        <v>-6.38</v>
      </c>
      <c r="M211" s="261"/>
    </row>
    <row r="212" spans="5:13">
      <c r="E212" s="261"/>
      <c r="F212" s="261"/>
      <c r="G212" s="261"/>
      <c r="H212" s="269" t="s">
        <v>2824</v>
      </c>
      <c r="I212" s="261"/>
      <c r="J212" s="261"/>
      <c r="K212" s="270">
        <f>SUM(K197:K211)</f>
        <v>16893</v>
      </c>
      <c r="L212" s="261">
        <f>2712*6</f>
        <v>16272</v>
      </c>
      <c r="M212" s="261"/>
    </row>
    <row r="213" spans="5:13">
      <c r="E213" s="261"/>
      <c r="F213" s="261"/>
      <c r="G213" s="261"/>
      <c r="H213" s="271" t="s">
        <v>3137</v>
      </c>
      <c r="I213" s="261"/>
      <c r="J213" s="261"/>
      <c r="K213" s="272">
        <f>K212/6</f>
        <v>2815.5</v>
      </c>
      <c r="L213" s="261">
        <f>L212-K212</f>
        <v>-621</v>
      </c>
      <c r="M213" s="261"/>
    </row>
    <row r="214" spans="5:13">
      <c r="E214" s="261"/>
      <c r="F214" s="261"/>
      <c r="G214" s="261"/>
      <c r="H214" s="261"/>
      <c r="I214" s="261"/>
      <c r="J214" s="261"/>
      <c r="K214" s="261"/>
      <c r="L214" s="261"/>
      <c r="M214" s="261"/>
    </row>
    <row r="215" spans="5:13">
      <c r="E215" s="261"/>
      <c r="F215" s="261"/>
      <c r="G215" s="261"/>
      <c r="H215" s="272" t="s">
        <v>2894</v>
      </c>
      <c r="I215" s="261"/>
      <c r="J215" s="261"/>
      <c r="K215" s="261">
        <f>0.13*6</f>
        <v>0.78</v>
      </c>
      <c r="L215" s="261"/>
      <c r="M215" s="261"/>
    </row>
    <row r="216" spans="5:13" ht="31.5">
      <c r="E216" s="261"/>
      <c r="F216" s="261"/>
      <c r="G216" s="261"/>
      <c r="H216" s="258" t="s">
        <v>2380</v>
      </c>
      <c r="I216" s="261"/>
      <c r="J216" s="261"/>
      <c r="K216" s="261"/>
      <c r="L216" s="261"/>
      <c r="M216" s="261"/>
    </row>
    <row r="217" spans="5:13" ht="173.25">
      <c r="E217" s="261"/>
      <c r="F217" s="261"/>
      <c r="G217" s="261"/>
      <c r="H217" s="260" t="s">
        <v>2928</v>
      </c>
      <c r="I217" s="261"/>
      <c r="J217" s="261"/>
      <c r="K217" s="261"/>
      <c r="L217" s="261"/>
      <c r="M217" s="261"/>
    </row>
    <row r="218" spans="5:13" ht="31.5">
      <c r="E218" s="261"/>
      <c r="F218" s="261">
        <v>90</v>
      </c>
      <c r="G218" s="261" t="s">
        <v>823</v>
      </c>
      <c r="H218" s="262" t="s">
        <v>2528</v>
      </c>
      <c r="I218" s="261">
        <f t="shared" ref="I218:I228" si="12">I100</f>
        <v>16.55</v>
      </c>
      <c r="J218" s="261" t="s">
        <v>2529</v>
      </c>
      <c r="K218" s="261">
        <f>F218*I218</f>
        <v>1489.5</v>
      </c>
      <c r="L218" s="261"/>
      <c r="M218" s="261"/>
    </row>
    <row r="219" spans="5:13" ht="31.5">
      <c r="E219" s="261"/>
      <c r="F219" s="261">
        <v>30</v>
      </c>
      <c r="G219" s="261" t="s">
        <v>823</v>
      </c>
      <c r="H219" s="260" t="s">
        <v>2354</v>
      </c>
      <c r="I219" s="261">
        <f t="shared" si="12"/>
        <v>20</v>
      </c>
      <c r="J219" s="261" t="s">
        <v>823</v>
      </c>
      <c r="K219" s="261">
        <f t="shared" ref="K219:K228" si="13">F219*I219</f>
        <v>600</v>
      </c>
      <c r="L219" s="261"/>
      <c r="M219" s="261"/>
    </row>
    <row r="220" spans="5:13">
      <c r="E220" s="261"/>
      <c r="F220" s="261">
        <v>6</v>
      </c>
      <c r="G220" s="261" t="s">
        <v>1389</v>
      </c>
      <c r="H220" s="261" t="s">
        <v>2356</v>
      </c>
      <c r="I220" s="261">
        <f t="shared" si="12"/>
        <v>3.15</v>
      </c>
      <c r="J220" s="261" t="s">
        <v>1389</v>
      </c>
      <c r="K220" s="261">
        <f t="shared" si="13"/>
        <v>18.899999999999999</v>
      </c>
      <c r="L220" s="261"/>
      <c r="M220" s="261"/>
    </row>
    <row r="221" spans="5:13">
      <c r="E221" s="261"/>
      <c r="F221" s="261">
        <v>3</v>
      </c>
      <c r="G221" s="261" t="s">
        <v>1389</v>
      </c>
      <c r="H221" s="261" t="s">
        <v>3365</v>
      </c>
      <c r="I221" s="261">
        <f t="shared" si="12"/>
        <v>1.34</v>
      </c>
      <c r="J221" s="261" t="s">
        <v>1389</v>
      </c>
      <c r="K221" s="261">
        <f t="shared" si="13"/>
        <v>4.0199999999999996</v>
      </c>
      <c r="L221" s="261"/>
      <c r="M221" s="261"/>
    </row>
    <row r="222" spans="5:13">
      <c r="E222" s="261"/>
      <c r="F222" s="261">
        <v>6</v>
      </c>
      <c r="G222" s="261" t="s">
        <v>1389</v>
      </c>
      <c r="H222" s="261" t="s">
        <v>2433</v>
      </c>
      <c r="I222" s="261">
        <f t="shared" si="12"/>
        <v>20.11</v>
      </c>
      <c r="J222" s="261" t="s">
        <v>1389</v>
      </c>
      <c r="K222" s="261">
        <f t="shared" si="13"/>
        <v>120.66</v>
      </c>
      <c r="L222" s="261"/>
      <c r="M222" s="261"/>
    </row>
    <row r="223" spans="5:13">
      <c r="E223" s="261"/>
      <c r="F223" s="261">
        <v>3</v>
      </c>
      <c r="G223" s="261" t="s">
        <v>1389</v>
      </c>
      <c r="H223" s="261" t="s">
        <v>2618</v>
      </c>
      <c r="I223" s="261">
        <f t="shared" si="12"/>
        <v>13.8</v>
      </c>
      <c r="J223" s="261" t="s">
        <v>1389</v>
      </c>
      <c r="K223" s="261">
        <f t="shared" si="13"/>
        <v>41.4</v>
      </c>
      <c r="L223" s="261"/>
      <c r="M223" s="261"/>
    </row>
    <row r="224" spans="5:13">
      <c r="E224" s="261"/>
      <c r="F224" s="261">
        <v>3</v>
      </c>
      <c r="G224" s="261" t="s">
        <v>1389</v>
      </c>
      <c r="H224" s="261" t="s">
        <v>2620</v>
      </c>
      <c r="I224" s="261">
        <f t="shared" si="12"/>
        <v>3.6</v>
      </c>
      <c r="J224" s="261" t="s">
        <v>1389</v>
      </c>
      <c r="K224" s="261">
        <f t="shared" si="13"/>
        <v>10.8</v>
      </c>
      <c r="L224" s="261"/>
      <c r="M224" s="261"/>
    </row>
    <row r="225" spans="5:33">
      <c r="E225" s="261"/>
      <c r="F225" s="261">
        <v>3</v>
      </c>
      <c r="G225" s="261" t="s">
        <v>1389</v>
      </c>
      <c r="H225" s="261" t="s">
        <v>2434</v>
      </c>
      <c r="I225" s="261">
        <f t="shared" si="12"/>
        <v>70.7</v>
      </c>
      <c r="J225" s="261" t="s">
        <v>1389</v>
      </c>
      <c r="K225" s="261">
        <f t="shared" si="13"/>
        <v>212.1</v>
      </c>
      <c r="L225" s="261"/>
      <c r="M225" s="261"/>
    </row>
    <row r="226" spans="5:33">
      <c r="E226" s="261"/>
      <c r="F226" s="265">
        <v>5.3999999999999999E-2</v>
      </c>
      <c r="G226" s="261" t="s">
        <v>2273</v>
      </c>
      <c r="H226" s="261" t="s">
        <v>2541</v>
      </c>
      <c r="I226" s="261">
        <f t="shared" si="12"/>
        <v>661</v>
      </c>
      <c r="J226" s="261" t="s">
        <v>2273</v>
      </c>
      <c r="K226" s="261">
        <f t="shared" si="13"/>
        <v>35.69</v>
      </c>
      <c r="L226" s="261"/>
      <c r="M226" s="261"/>
    </row>
    <row r="227" spans="5:33">
      <c r="E227" s="261"/>
      <c r="F227" s="261">
        <v>1.25</v>
      </c>
      <c r="G227" s="261" t="s">
        <v>2622</v>
      </c>
      <c r="H227" s="261" t="s">
        <v>387</v>
      </c>
      <c r="I227" s="261">
        <f t="shared" si="12"/>
        <v>302</v>
      </c>
      <c r="J227" s="261" t="s">
        <v>2622</v>
      </c>
      <c r="K227" s="261">
        <f t="shared" si="13"/>
        <v>377.5</v>
      </c>
      <c r="L227" s="261"/>
      <c r="M227" s="261"/>
    </row>
    <row r="228" spans="5:33" ht="31.5">
      <c r="E228" s="261"/>
      <c r="F228" s="261">
        <v>30</v>
      </c>
      <c r="G228" s="261" t="s">
        <v>823</v>
      </c>
      <c r="H228" s="268" t="s">
        <v>2628</v>
      </c>
      <c r="I228" s="261">
        <f t="shared" si="12"/>
        <v>16.55</v>
      </c>
      <c r="J228" s="261" t="s">
        <v>2529</v>
      </c>
      <c r="K228" s="261">
        <f t="shared" si="13"/>
        <v>496.5</v>
      </c>
      <c r="L228" s="261"/>
      <c r="M228" s="261"/>
    </row>
    <row r="229" spans="5:33">
      <c r="E229" s="261"/>
      <c r="F229" s="261"/>
      <c r="G229" s="261"/>
      <c r="H229" s="261" t="s">
        <v>911</v>
      </c>
      <c r="I229" s="261"/>
      <c r="J229" s="261"/>
      <c r="K229" s="261">
        <f>K111</f>
        <v>12075</v>
      </c>
      <c r="L229" s="261"/>
      <c r="M229" s="261"/>
    </row>
    <row r="230" spans="5:33">
      <c r="E230" s="261"/>
      <c r="F230" s="261"/>
      <c r="G230" s="261"/>
      <c r="H230" s="261" t="s">
        <v>2261</v>
      </c>
      <c r="I230" s="261"/>
      <c r="J230" s="261"/>
      <c r="K230" s="261">
        <v>18.93</v>
      </c>
      <c r="L230" s="261"/>
      <c r="M230" s="261"/>
    </row>
    <row r="231" spans="5:33">
      <c r="E231" s="261"/>
      <c r="F231" s="261"/>
      <c r="G231" s="261"/>
      <c r="H231" s="269" t="s">
        <v>2929</v>
      </c>
      <c r="I231" s="261"/>
      <c r="J231" s="261"/>
      <c r="K231" s="270">
        <f>SUM(K218:K230)</f>
        <v>15501</v>
      </c>
      <c r="L231" s="261">
        <f>4960*3</f>
        <v>14880</v>
      </c>
      <c r="M231" s="261"/>
    </row>
    <row r="232" spans="5:33">
      <c r="E232" s="261"/>
      <c r="F232" s="261"/>
      <c r="G232" s="261"/>
      <c r="H232" s="271" t="s">
        <v>3137</v>
      </c>
      <c r="I232" s="261"/>
      <c r="J232" s="261"/>
      <c r="K232" s="272">
        <f>K231/3</f>
        <v>5167</v>
      </c>
      <c r="L232" s="261">
        <f>L231-K231</f>
        <v>-621</v>
      </c>
      <c r="M232" s="261"/>
    </row>
    <row r="233" spans="5:33">
      <c r="E233" s="261"/>
      <c r="F233" s="261"/>
      <c r="G233" s="261"/>
      <c r="H233" s="261"/>
      <c r="I233" s="261"/>
      <c r="J233" s="261"/>
      <c r="K233" s="261"/>
      <c r="L233" s="261"/>
      <c r="M233" s="261"/>
    </row>
    <row r="234" spans="5:33">
      <c r="E234" s="261"/>
      <c r="F234" s="261"/>
      <c r="G234" s="261"/>
      <c r="H234" s="280" t="s">
        <v>2930</v>
      </c>
      <c r="I234" s="261"/>
      <c r="J234" s="261"/>
      <c r="K234" s="261"/>
      <c r="L234" s="261"/>
      <c r="M234" s="261"/>
    </row>
    <row r="235" spans="5:33">
      <c r="E235" s="261"/>
      <c r="F235" s="261"/>
      <c r="G235" s="261"/>
      <c r="H235" s="261"/>
      <c r="I235" s="261"/>
      <c r="J235" s="261"/>
      <c r="K235" s="261"/>
      <c r="L235" s="261"/>
      <c r="M235" s="261"/>
    </row>
    <row r="236" spans="5:33">
      <c r="E236" s="261"/>
      <c r="F236" s="261"/>
      <c r="G236" s="261"/>
      <c r="H236" s="272" t="s">
        <v>2931</v>
      </c>
      <c r="I236" s="261"/>
      <c r="J236" s="261"/>
      <c r="K236" s="261"/>
      <c r="L236" s="261"/>
      <c r="M236" s="261"/>
      <c r="N236" s="261"/>
      <c r="O236" s="272" t="s">
        <v>2935</v>
      </c>
      <c r="P236" s="261"/>
      <c r="Q236" s="261"/>
      <c r="R236" s="261"/>
    </row>
    <row r="237" spans="5:33">
      <c r="E237" s="261"/>
      <c r="F237" s="261"/>
      <c r="G237" s="261"/>
      <c r="H237" s="272" t="s">
        <v>2381</v>
      </c>
      <c r="I237" s="261"/>
      <c r="J237" s="261"/>
      <c r="K237" s="261"/>
      <c r="L237" s="261"/>
      <c r="M237" s="261"/>
      <c r="N237" s="261"/>
      <c r="O237" s="272" t="s">
        <v>3616</v>
      </c>
      <c r="P237" s="261"/>
      <c r="Q237" s="261"/>
      <c r="R237" s="261"/>
      <c r="AA237" s="261"/>
      <c r="AB237" s="261"/>
      <c r="AC237" s="261"/>
      <c r="AD237" s="272" t="s">
        <v>5500</v>
      </c>
      <c r="AE237" s="261"/>
      <c r="AF237" s="261"/>
      <c r="AG237" s="261"/>
    </row>
    <row r="238" spans="5:33">
      <c r="E238" s="261"/>
      <c r="F238" s="261"/>
      <c r="G238" s="261"/>
      <c r="H238" s="261"/>
      <c r="I238" s="261"/>
      <c r="J238" s="261"/>
      <c r="K238" s="261"/>
      <c r="L238" s="261"/>
      <c r="M238" s="261"/>
      <c r="N238" s="261"/>
      <c r="O238" s="261"/>
      <c r="P238" s="261"/>
      <c r="Q238" s="261"/>
      <c r="R238" s="261"/>
      <c r="AA238" s="261"/>
      <c r="AB238" s="261"/>
      <c r="AC238" s="261"/>
      <c r="AD238" s="261"/>
      <c r="AE238" s="261"/>
      <c r="AF238" s="261"/>
      <c r="AG238" s="261"/>
    </row>
    <row r="239" spans="5:33" ht="123.75" customHeight="1">
      <c r="E239" s="261"/>
      <c r="F239" s="261"/>
      <c r="G239" s="261"/>
      <c r="H239" s="260" t="s">
        <v>2382</v>
      </c>
      <c r="I239" s="261"/>
      <c r="J239" s="261"/>
      <c r="K239" s="261"/>
      <c r="L239" s="261"/>
      <c r="M239" s="261"/>
      <c r="N239" s="261"/>
      <c r="O239" s="260" t="s">
        <v>4650</v>
      </c>
      <c r="P239" s="261"/>
      <c r="Q239" s="261"/>
      <c r="R239" s="261"/>
      <c r="AA239" s="261"/>
      <c r="AB239" s="261"/>
      <c r="AC239" s="261"/>
      <c r="AD239" s="260" t="s">
        <v>5501</v>
      </c>
      <c r="AE239" s="261"/>
      <c r="AF239" s="261"/>
      <c r="AG239" s="261"/>
    </row>
    <row r="240" spans="5:33" ht="16.5" customHeight="1">
      <c r="E240" s="261"/>
      <c r="F240" s="261"/>
      <c r="G240" s="261"/>
      <c r="H240" s="261"/>
      <c r="I240" s="261"/>
      <c r="J240" s="261"/>
      <c r="K240" s="261"/>
      <c r="L240" s="261"/>
      <c r="M240" s="261">
        <v>180</v>
      </c>
      <c r="N240" s="261" t="s">
        <v>823</v>
      </c>
      <c r="O240" s="268" t="s">
        <v>4956</v>
      </c>
      <c r="P240" s="264">
        <v>60.65</v>
      </c>
      <c r="Q240" s="261" t="s">
        <v>2529</v>
      </c>
      <c r="R240" s="261">
        <f>M240*P240</f>
        <v>10917</v>
      </c>
      <c r="AA240" s="261"/>
      <c r="AB240" s="261">
        <v>180</v>
      </c>
      <c r="AC240" s="261" t="s">
        <v>823</v>
      </c>
      <c r="AD240" s="268" t="s">
        <v>5502</v>
      </c>
      <c r="AE240" s="264">
        <v>85.3</v>
      </c>
      <c r="AF240" s="261" t="s">
        <v>2529</v>
      </c>
      <c r="AG240" s="261">
        <f>AB240*AE240</f>
        <v>15354</v>
      </c>
    </row>
    <row r="241" spans="5:35" ht="27" customHeight="1">
      <c r="E241" s="261"/>
      <c r="F241" s="261">
        <v>180</v>
      </c>
      <c r="G241" s="261" t="s">
        <v>823</v>
      </c>
      <c r="H241" s="262" t="s">
        <v>2528</v>
      </c>
      <c r="I241" s="261">
        <f>I218</f>
        <v>16.55</v>
      </c>
      <c r="J241" s="261" t="s">
        <v>823</v>
      </c>
      <c r="K241" s="261">
        <f>F241*I241</f>
        <v>2979</v>
      </c>
      <c r="L241" s="261"/>
      <c r="M241" s="261">
        <v>90</v>
      </c>
      <c r="N241" s="261" t="s">
        <v>823</v>
      </c>
      <c r="O241" s="260" t="s">
        <v>2354</v>
      </c>
      <c r="P241" s="261">
        <f>I268</f>
        <v>20</v>
      </c>
      <c r="Q241" s="261" t="s">
        <v>823</v>
      </c>
      <c r="R241" s="261">
        <f>M241*P241</f>
        <v>1800</v>
      </c>
      <c r="AA241" s="261"/>
      <c r="AB241" s="261">
        <v>90</v>
      </c>
      <c r="AC241" s="261" t="s">
        <v>823</v>
      </c>
      <c r="AD241" s="260" t="s">
        <v>2354</v>
      </c>
      <c r="AE241" s="261">
        <v>19.100000000000001</v>
      </c>
      <c r="AF241" s="261" t="s">
        <v>823</v>
      </c>
      <c r="AG241" s="261">
        <f>AB241*AE241</f>
        <v>1719</v>
      </c>
    </row>
    <row r="242" spans="5:35" ht="31.5">
      <c r="E242" s="261"/>
      <c r="F242" s="261">
        <v>90</v>
      </c>
      <c r="G242" s="261" t="s">
        <v>823</v>
      </c>
      <c r="H242" s="260" t="s">
        <v>2354</v>
      </c>
      <c r="I242" s="261">
        <f>I219</f>
        <v>20</v>
      </c>
      <c r="J242" s="261" t="s">
        <v>823</v>
      </c>
      <c r="K242" s="261">
        <f>F242*I242</f>
        <v>1800</v>
      </c>
      <c r="L242" s="261"/>
      <c r="M242" s="261">
        <v>3</v>
      </c>
      <c r="N242" s="261" t="s">
        <v>2622</v>
      </c>
      <c r="O242" s="261" t="s">
        <v>387</v>
      </c>
      <c r="P242" s="261">
        <f>I269</f>
        <v>302</v>
      </c>
      <c r="Q242" s="261" t="s">
        <v>2622</v>
      </c>
      <c r="R242" s="261">
        <f>M242*P242</f>
        <v>906</v>
      </c>
      <c r="AA242" s="261"/>
      <c r="AB242" s="261">
        <v>3</v>
      </c>
      <c r="AC242" s="261" t="s">
        <v>2622</v>
      </c>
      <c r="AD242" s="261" t="s">
        <v>387</v>
      </c>
      <c r="AE242" s="261">
        <f>P242</f>
        <v>302</v>
      </c>
      <c r="AF242" s="261" t="s">
        <v>2622</v>
      </c>
      <c r="AG242" s="261">
        <f>AB242*AE242</f>
        <v>906</v>
      </c>
    </row>
    <row r="243" spans="5:35" ht="25.5" customHeight="1">
      <c r="E243" s="261"/>
      <c r="F243" s="261">
        <v>3</v>
      </c>
      <c r="G243" s="261" t="s">
        <v>2622</v>
      </c>
      <c r="H243" s="261" t="s">
        <v>387</v>
      </c>
      <c r="I243" s="261">
        <f>I227</f>
        <v>302</v>
      </c>
      <c r="J243" s="261" t="s">
        <v>2622</v>
      </c>
      <c r="K243" s="261">
        <f>F243*I243</f>
        <v>906</v>
      </c>
      <c r="L243" s="261"/>
      <c r="M243" s="261">
        <v>90</v>
      </c>
      <c r="N243" s="261" t="s">
        <v>823</v>
      </c>
      <c r="O243" s="268" t="s">
        <v>4957</v>
      </c>
      <c r="P243" s="261">
        <v>40.950000000000003</v>
      </c>
      <c r="Q243" s="261" t="s">
        <v>2529</v>
      </c>
      <c r="R243" s="261">
        <f>M243*P243</f>
        <v>3685.5</v>
      </c>
      <c r="AA243" s="261"/>
      <c r="AB243" s="261">
        <v>90</v>
      </c>
      <c r="AC243" s="261" t="s">
        <v>823</v>
      </c>
      <c r="AD243" s="268" t="s">
        <v>5503</v>
      </c>
      <c r="AE243" s="261">
        <v>56.7</v>
      </c>
      <c r="AF243" s="261" t="s">
        <v>2529</v>
      </c>
      <c r="AG243" s="261">
        <f>AB243*AE243</f>
        <v>5103</v>
      </c>
    </row>
    <row r="244" spans="5:35" ht="31.5">
      <c r="E244" s="261"/>
      <c r="F244" s="261">
        <v>90</v>
      </c>
      <c r="G244" s="261" t="s">
        <v>823</v>
      </c>
      <c r="H244" s="262" t="s">
        <v>2628</v>
      </c>
      <c r="I244" s="261">
        <f>I241</f>
        <v>16.55</v>
      </c>
      <c r="J244" s="261" t="s">
        <v>2529</v>
      </c>
      <c r="K244" s="261">
        <f>F244*I244</f>
        <v>1489.5</v>
      </c>
      <c r="L244" s="261"/>
      <c r="M244" s="261"/>
      <c r="N244" s="261"/>
      <c r="O244" s="261" t="s">
        <v>911</v>
      </c>
      <c r="P244" s="261"/>
      <c r="Q244" s="261"/>
      <c r="R244" s="261">
        <f>K271</f>
        <v>12075</v>
      </c>
      <c r="AA244" s="261"/>
      <c r="AB244" s="261"/>
      <c r="AC244" s="261"/>
      <c r="AD244" s="261" t="s">
        <v>911</v>
      </c>
      <c r="AE244" s="261"/>
      <c r="AF244" s="261"/>
      <c r="AG244" s="261">
        <f>R244</f>
        <v>12075</v>
      </c>
    </row>
    <row r="245" spans="5:35">
      <c r="E245" s="261"/>
      <c r="F245" s="261"/>
      <c r="G245" s="261"/>
      <c r="H245" s="261" t="s">
        <v>911</v>
      </c>
      <c r="I245" s="261"/>
      <c r="J245" s="261"/>
      <c r="K245" s="261">
        <f>K229</f>
        <v>12075</v>
      </c>
      <c r="L245" s="261"/>
      <c r="M245" s="261"/>
      <c r="N245" s="261"/>
      <c r="O245" s="261" t="s">
        <v>2261</v>
      </c>
      <c r="P245" s="261"/>
      <c r="Q245" s="261"/>
      <c r="R245" s="261">
        <v>79</v>
      </c>
      <c r="AA245" s="261"/>
      <c r="AB245" s="261"/>
      <c r="AC245" s="261"/>
      <c r="AD245" s="261" t="s">
        <v>2261</v>
      </c>
      <c r="AE245" s="261"/>
      <c r="AF245" s="261"/>
      <c r="AG245" s="261">
        <v>79</v>
      </c>
    </row>
    <row r="246" spans="5:35">
      <c r="E246" s="261"/>
      <c r="F246" s="261"/>
      <c r="G246" s="261"/>
      <c r="H246" s="261"/>
      <c r="I246" s="261"/>
      <c r="J246" s="261"/>
      <c r="K246" s="261">
        <f>SUM(K241:K245)</f>
        <v>19249.5</v>
      </c>
      <c r="L246" s="261"/>
      <c r="M246" s="261"/>
      <c r="N246" s="261"/>
      <c r="O246" s="269" t="s">
        <v>2383</v>
      </c>
      <c r="P246" s="261"/>
      <c r="Q246" s="261"/>
      <c r="R246" s="270">
        <f>SUM(R240:R245)</f>
        <v>29462.5</v>
      </c>
      <c r="AA246" s="261"/>
      <c r="AB246" s="261"/>
      <c r="AC246" s="261"/>
      <c r="AD246" s="269" t="s">
        <v>2383</v>
      </c>
      <c r="AE246" s="261"/>
      <c r="AF246" s="261"/>
      <c r="AG246" s="270">
        <f>SUM(AG240:AG245)</f>
        <v>35236</v>
      </c>
      <c r="AH246" s="252">
        <f>345.6*90</f>
        <v>31104</v>
      </c>
      <c r="AI246" s="252">
        <f>AH246-AG246</f>
        <v>-4132</v>
      </c>
    </row>
    <row r="247" spans="5:35">
      <c r="E247" s="261"/>
      <c r="F247" s="261"/>
      <c r="G247" s="261"/>
      <c r="H247" s="261" t="s">
        <v>2261</v>
      </c>
      <c r="I247" s="261"/>
      <c r="J247" s="261"/>
      <c r="K247" s="261">
        <v>91.5</v>
      </c>
      <c r="L247" s="261"/>
      <c r="M247" s="261"/>
      <c r="N247" s="261"/>
      <c r="O247" s="271" t="s">
        <v>2384</v>
      </c>
      <c r="P247" s="261"/>
      <c r="Q247" s="261"/>
      <c r="R247" s="272">
        <f>R246/90</f>
        <v>327.36</v>
      </c>
      <c r="S247" s="252">
        <f>297.4*90</f>
        <v>26766</v>
      </c>
      <c r="T247" s="252">
        <f>S247-R246</f>
        <v>-2696.5</v>
      </c>
      <c r="V247" s="252">
        <f>R246-R240</f>
        <v>18545.5</v>
      </c>
      <c r="AA247" s="261"/>
      <c r="AB247" s="261"/>
      <c r="AC247" s="261"/>
      <c r="AD247" s="271" t="s">
        <v>2384</v>
      </c>
      <c r="AE247" s="261"/>
      <c r="AF247" s="261"/>
      <c r="AG247" s="272">
        <f>AG246/90</f>
        <v>391.51</v>
      </c>
      <c r="AH247" s="252">
        <f>AH246/90</f>
        <v>345.6</v>
      </c>
      <c r="AI247" s="252">
        <f>AG247-AH247</f>
        <v>45.91</v>
      </c>
    </row>
    <row r="248" spans="5:35">
      <c r="E248" s="261"/>
      <c r="F248" s="261"/>
      <c r="G248" s="261"/>
      <c r="H248" s="269" t="s">
        <v>2383</v>
      </c>
      <c r="I248" s="261"/>
      <c r="J248" s="261"/>
      <c r="K248" s="270">
        <f>SUM(K246:K247)</f>
        <v>19341</v>
      </c>
      <c r="L248" s="261"/>
      <c r="M248" s="261"/>
      <c r="N248" s="261"/>
      <c r="O248" s="261"/>
      <c r="P248" s="261"/>
      <c r="Q248" s="261"/>
      <c r="R248" s="261"/>
      <c r="S248" s="252">
        <f>S247-R246</f>
        <v>-2696.5</v>
      </c>
      <c r="V248" s="252">
        <f>V247+AG240</f>
        <v>33899.5</v>
      </c>
      <c r="AA248" s="261"/>
      <c r="AB248" s="261"/>
      <c r="AC248" s="261"/>
      <c r="AD248" s="261"/>
      <c r="AE248" s="261"/>
      <c r="AF248" s="261"/>
      <c r="AG248" s="261"/>
      <c r="AI248" s="252">
        <f>AI247*90</f>
        <v>4131.8999999999996</v>
      </c>
    </row>
    <row r="249" spans="5:35">
      <c r="E249" s="261"/>
      <c r="F249" s="261"/>
      <c r="G249" s="261"/>
      <c r="H249" s="271" t="s">
        <v>2384</v>
      </c>
      <c r="I249" s="261"/>
      <c r="J249" s="261"/>
      <c r="K249" s="272">
        <f>K248/90</f>
        <v>214.9</v>
      </c>
      <c r="L249" s="261">
        <f>208*90</f>
        <v>18720</v>
      </c>
      <c r="M249" s="261"/>
      <c r="S249" s="252">
        <f>212.5*90</f>
        <v>19125</v>
      </c>
      <c r="V249" s="252">
        <f>V248/90</f>
        <v>376.66</v>
      </c>
    </row>
    <row r="250" spans="5:35">
      <c r="E250" s="261"/>
      <c r="F250" s="261"/>
      <c r="G250" s="261"/>
      <c r="H250" s="261"/>
      <c r="I250" s="261"/>
      <c r="J250" s="261"/>
      <c r="K250" s="261"/>
      <c r="L250" s="261">
        <f>L249-K248</f>
        <v>-621</v>
      </c>
      <c r="M250" s="261"/>
      <c r="S250" s="252">
        <f>S249-R246</f>
        <v>-10337.5</v>
      </c>
    </row>
    <row r="251" spans="5:35">
      <c r="E251" s="261"/>
      <c r="F251" s="261"/>
      <c r="G251" s="261"/>
      <c r="H251" s="272" t="s">
        <v>2385</v>
      </c>
      <c r="I251" s="261"/>
      <c r="J251" s="261"/>
      <c r="K251" s="261"/>
      <c r="L251" s="261"/>
      <c r="M251" s="261"/>
    </row>
    <row r="252" spans="5:35">
      <c r="E252" s="261"/>
      <c r="F252" s="261"/>
      <c r="G252" s="261"/>
      <c r="H252" s="272" t="s">
        <v>2386</v>
      </c>
      <c r="I252" s="261"/>
      <c r="J252" s="261"/>
      <c r="K252" s="261"/>
      <c r="L252" s="261"/>
      <c r="M252" s="261"/>
    </row>
    <row r="253" spans="5:35">
      <c r="E253" s="261"/>
      <c r="F253" s="261"/>
      <c r="G253" s="261"/>
      <c r="H253" s="261"/>
      <c r="I253" s="261"/>
      <c r="J253" s="261"/>
      <c r="K253" s="261"/>
      <c r="L253" s="261"/>
      <c r="M253" s="261"/>
    </row>
    <row r="254" spans="5:35" ht="110.25">
      <c r="E254" s="261"/>
      <c r="F254" s="261"/>
      <c r="G254" s="261"/>
      <c r="H254" s="260" t="s">
        <v>2984</v>
      </c>
      <c r="I254" s="261"/>
      <c r="J254" s="261"/>
      <c r="K254" s="261"/>
      <c r="L254" s="261"/>
      <c r="M254" s="261"/>
    </row>
    <row r="255" spans="5:35">
      <c r="E255" s="261"/>
      <c r="F255" s="261"/>
      <c r="G255" s="261"/>
      <c r="H255" s="261"/>
      <c r="I255" s="261"/>
      <c r="J255" s="261"/>
      <c r="K255" s="261"/>
      <c r="L255" s="261"/>
      <c r="M255" s="261"/>
    </row>
    <row r="256" spans="5:35">
      <c r="E256" s="261"/>
      <c r="F256" s="261"/>
      <c r="G256" s="261"/>
      <c r="H256" s="261" t="s">
        <v>2985</v>
      </c>
      <c r="I256" s="261"/>
      <c r="J256" s="261"/>
      <c r="K256" s="261">
        <f>K246</f>
        <v>19249.5</v>
      </c>
      <c r="L256" s="261"/>
      <c r="M256" s="261"/>
    </row>
    <row r="257" spans="5:18" ht="31.5">
      <c r="E257" s="261"/>
      <c r="F257" s="261">
        <v>180</v>
      </c>
      <c r="G257" s="261" t="s">
        <v>823</v>
      </c>
      <c r="H257" s="260" t="s">
        <v>4958</v>
      </c>
      <c r="I257" s="264">
        <v>25.75</v>
      </c>
      <c r="J257" s="261" t="s">
        <v>823</v>
      </c>
      <c r="K257" s="261">
        <f>F257*I257</f>
        <v>4635</v>
      </c>
      <c r="L257" s="261"/>
      <c r="M257" s="261"/>
    </row>
    <row r="258" spans="5:18" ht="31.5">
      <c r="E258" s="261"/>
      <c r="F258" s="261">
        <v>180</v>
      </c>
      <c r="G258" s="261" t="s">
        <v>823</v>
      </c>
      <c r="H258" s="260" t="s">
        <v>2933</v>
      </c>
      <c r="I258" s="261">
        <f>I244</f>
        <v>16.55</v>
      </c>
      <c r="J258" s="261" t="s">
        <v>2529</v>
      </c>
      <c r="K258" s="261">
        <f>F258*I258</f>
        <v>2979</v>
      </c>
      <c r="L258" s="261"/>
      <c r="M258" s="261"/>
    </row>
    <row r="259" spans="5:18">
      <c r="E259" s="261"/>
      <c r="F259" s="261"/>
      <c r="G259" s="261"/>
      <c r="H259" s="261" t="s">
        <v>2261</v>
      </c>
      <c r="I259" s="261"/>
      <c r="J259" s="261"/>
      <c r="K259" s="261">
        <v>55.5</v>
      </c>
      <c r="L259" s="261"/>
      <c r="M259" s="261"/>
    </row>
    <row r="260" spans="5:18">
      <c r="E260" s="261"/>
      <c r="F260" s="261"/>
      <c r="G260" s="261"/>
      <c r="H260" s="269" t="s">
        <v>2934</v>
      </c>
      <c r="I260" s="261"/>
      <c r="J260" s="261"/>
      <c r="K260" s="270">
        <f>K256+K257-K258+K259</f>
        <v>20961</v>
      </c>
      <c r="L260" s="261">
        <f>L261-K260</f>
        <v>-621</v>
      </c>
      <c r="M260" s="261"/>
    </row>
    <row r="261" spans="5:18">
      <c r="E261" s="261"/>
      <c r="F261" s="261"/>
      <c r="G261" s="261"/>
      <c r="H261" s="271" t="s">
        <v>2384</v>
      </c>
      <c r="I261" s="261"/>
      <c r="J261" s="261"/>
      <c r="K261" s="272">
        <f>K260/90</f>
        <v>232.9</v>
      </c>
      <c r="L261" s="252">
        <f>226*90</f>
        <v>20340</v>
      </c>
      <c r="M261" s="261"/>
    </row>
    <row r="262" spans="5:18">
      <c r="E262" s="261"/>
      <c r="F262" s="261"/>
      <c r="G262" s="261"/>
      <c r="H262" s="261"/>
      <c r="I262" s="261"/>
      <c r="J262" s="261"/>
      <c r="K262" s="261"/>
      <c r="L262" s="261"/>
      <c r="M262" s="261"/>
    </row>
    <row r="263" spans="5:18">
      <c r="E263" s="261"/>
      <c r="F263" s="261"/>
      <c r="G263" s="261"/>
      <c r="H263" s="272" t="s">
        <v>2935</v>
      </c>
      <c r="I263" s="261"/>
      <c r="J263" s="261"/>
      <c r="K263" s="261"/>
      <c r="L263" s="261"/>
      <c r="M263" s="261"/>
    </row>
    <row r="264" spans="5:18">
      <c r="E264" s="261"/>
      <c r="F264" s="261"/>
      <c r="G264" s="261"/>
      <c r="H264" s="272" t="s">
        <v>2936</v>
      </c>
      <c r="I264" s="261"/>
      <c r="J264" s="261"/>
      <c r="K264" s="261"/>
      <c r="L264" s="261"/>
      <c r="M264" s="261"/>
    </row>
    <row r="265" spans="5:18">
      <c r="E265" s="261"/>
      <c r="F265" s="261"/>
      <c r="G265" s="261"/>
      <c r="H265" s="261"/>
      <c r="I265" s="261"/>
      <c r="J265" s="261"/>
      <c r="K265" s="261"/>
      <c r="L265" s="261"/>
      <c r="M265" s="261"/>
    </row>
    <row r="266" spans="5:18" ht="110.25">
      <c r="E266" s="261"/>
      <c r="F266" s="261"/>
      <c r="G266" s="261"/>
      <c r="H266" s="260" t="s">
        <v>3162</v>
      </c>
      <c r="I266" s="261"/>
      <c r="J266" s="261"/>
      <c r="K266" s="261"/>
      <c r="L266" s="261"/>
      <c r="M266" s="261"/>
      <c r="N266" s="261"/>
      <c r="O266" s="260"/>
      <c r="P266" s="261"/>
      <c r="Q266" s="261"/>
      <c r="R266" s="261"/>
    </row>
    <row r="267" spans="5:18" ht="31.5">
      <c r="E267" s="261"/>
      <c r="F267" s="261">
        <v>180</v>
      </c>
      <c r="G267" s="261" t="s">
        <v>823</v>
      </c>
      <c r="H267" s="262" t="s">
        <v>4959</v>
      </c>
      <c r="I267" s="264">
        <v>40.950000000000003</v>
      </c>
      <c r="J267" s="261" t="s">
        <v>2529</v>
      </c>
      <c r="K267" s="261">
        <f>F267*I267</f>
        <v>7371</v>
      </c>
      <c r="L267" s="261"/>
      <c r="M267" s="261"/>
      <c r="N267" s="261"/>
      <c r="O267" s="268"/>
      <c r="P267" s="261"/>
      <c r="Q267" s="261"/>
      <c r="R267" s="261"/>
    </row>
    <row r="268" spans="5:18" ht="31.5">
      <c r="E268" s="261"/>
      <c r="F268" s="261">
        <v>90</v>
      </c>
      <c r="G268" s="261" t="s">
        <v>823</v>
      </c>
      <c r="H268" s="260" t="s">
        <v>2354</v>
      </c>
      <c r="I268" s="261">
        <f>I242</f>
        <v>20</v>
      </c>
      <c r="J268" s="261" t="s">
        <v>823</v>
      </c>
      <c r="K268" s="261">
        <f>F268*I268</f>
        <v>1800</v>
      </c>
      <c r="L268" s="261"/>
      <c r="M268" s="261"/>
      <c r="N268" s="261"/>
      <c r="O268" s="260"/>
      <c r="P268" s="261"/>
      <c r="Q268" s="261"/>
      <c r="R268" s="261"/>
    </row>
    <row r="269" spans="5:18">
      <c r="E269" s="261"/>
      <c r="F269" s="261">
        <v>3</v>
      </c>
      <c r="G269" s="261" t="s">
        <v>2622</v>
      </c>
      <c r="H269" s="261" t="s">
        <v>387</v>
      </c>
      <c r="I269" s="261">
        <f>I243</f>
        <v>302</v>
      </c>
      <c r="J269" s="261" t="s">
        <v>2622</v>
      </c>
      <c r="K269" s="261">
        <f>F269*I269</f>
        <v>906</v>
      </c>
      <c r="L269" s="261"/>
      <c r="M269" s="261"/>
      <c r="N269" s="261"/>
      <c r="O269" s="261"/>
      <c r="P269" s="261"/>
      <c r="Q269" s="261"/>
      <c r="R269" s="261"/>
    </row>
    <row r="270" spans="5:18" ht="31.5">
      <c r="E270" s="261"/>
      <c r="F270" s="261">
        <v>90</v>
      </c>
      <c r="G270" s="261" t="s">
        <v>823</v>
      </c>
      <c r="H270" s="262" t="s">
        <v>3882</v>
      </c>
      <c r="I270" s="261">
        <f>I257</f>
        <v>25.75</v>
      </c>
      <c r="J270" s="261" t="s">
        <v>2529</v>
      </c>
      <c r="K270" s="261">
        <f>F270*I270</f>
        <v>2317.5</v>
      </c>
      <c r="L270" s="261"/>
      <c r="M270" s="261"/>
      <c r="N270" s="261"/>
      <c r="O270" s="268"/>
      <c r="P270" s="261"/>
      <c r="Q270" s="261"/>
      <c r="R270" s="261"/>
    </row>
    <row r="271" spans="5:18">
      <c r="E271" s="261"/>
      <c r="F271" s="261"/>
      <c r="G271" s="261"/>
      <c r="H271" s="261" t="s">
        <v>911</v>
      </c>
      <c r="I271" s="261"/>
      <c r="J271" s="261"/>
      <c r="K271" s="261">
        <f>K245</f>
        <v>12075</v>
      </c>
      <c r="L271" s="261"/>
      <c r="M271" s="261"/>
      <c r="N271" s="261"/>
      <c r="O271" s="261"/>
      <c r="P271" s="261"/>
      <c r="Q271" s="261"/>
      <c r="R271" s="261"/>
    </row>
    <row r="272" spans="5:18">
      <c r="E272" s="261"/>
      <c r="F272" s="261"/>
      <c r="G272" s="261"/>
      <c r="H272" s="261" t="s">
        <v>2261</v>
      </c>
      <c r="I272" s="261"/>
      <c r="J272" s="261"/>
      <c r="K272" s="261">
        <v>91.5</v>
      </c>
      <c r="L272" s="261"/>
      <c r="M272" s="261"/>
      <c r="N272" s="261"/>
      <c r="O272" s="261"/>
      <c r="P272" s="261"/>
      <c r="Q272" s="261"/>
      <c r="R272" s="261"/>
    </row>
    <row r="273" spans="5:19">
      <c r="E273" s="261"/>
      <c r="F273" s="261"/>
      <c r="G273" s="261"/>
      <c r="H273" s="269" t="s">
        <v>2383</v>
      </c>
      <c r="I273" s="261"/>
      <c r="J273" s="261"/>
      <c r="K273" s="270">
        <f>SUM(K267:K272)</f>
        <v>24561</v>
      </c>
      <c r="L273" s="261"/>
      <c r="M273" s="261"/>
      <c r="N273" s="261"/>
      <c r="O273" s="269"/>
      <c r="P273" s="261"/>
      <c r="Q273" s="261"/>
      <c r="R273" s="270"/>
    </row>
    <row r="274" spans="5:19">
      <c r="E274" s="261"/>
      <c r="F274" s="261"/>
      <c r="G274" s="261"/>
      <c r="H274" s="271" t="s">
        <v>2384</v>
      </c>
      <c r="I274" s="261"/>
      <c r="J274" s="261"/>
      <c r="K274" s="272">
        <f>K273/90</f>
        <v>272.89999999999998</v>
      </c>
      <c r="L274" s="261">
        <f>266*90</f>
        <v>23940</v>
      </c>
      <c r="M274" s="261"/>
      <c r="N274" s="261"/>
      <c r="O274" s="271"/>
      <c r="P274" s="261"/>
      <c r="Q274" s="261"/>
      <c r="R274" s="272"/>
    </row>
    <row r="275" spans="5:19">
      <c r="E275" s="261"/>
      <c r="F275" s="261"/>
      <c r="G275" s="261"/>
      <c r="H275" s="261"/>
      <c r="I275" s="261"/>
      <c r="J275" s="261"/>
      <c r="K275" s="261"/>
      <c r="L275" s="261">
        <f>L274-K273</f>
        <v>-621</v>
      </c>
      <c r="M275" s="261"/>
    </row>
    <row r="276" spans="5:19">
      <c r="E276" s="261"/>
      <c r="F276" s="261"/>
      <c r="G276" s="261"/>
      <c r="H276" s="261"/>
      <c r="I276" s="261"/>
      <c r="J276" s="261"/>
      <c r="K276" s="261"/>
      <c r="L276" s="261"/>
      <c r="M276" s="261"/>
    </row>
    <row r="277" spans="5:19" ht="15.75" customHeight="1">
      <c r="E277" s="261"/>
      <c r="F277" s="261"/>
      <c r="G277" s="261"/>
      <c r="H277" s="272" t="s">
        <v>3164</v>
      </c>
      <c r="I277" s="261"/>
      <c r="J277" s="261"/>
      <c r="K277" s="261"/>
      <c r="L277" s="261"/>
      <c r="M277" s="261"/>
      <c r="N277" s="261"/>
      <c r="O277" s="272" t="s">
        <v>3164</v>
      </c>
      <c r="P277" s="261"/>
      <c r="Q277" s="261"/>
      <c r="R277" s="261"/>
      <c r="S277" s="261"/>
    </row>
    <row r="278" spans="5:19">
      <c r="E278" s="261"/>
      <c r="F278" s="261"/>
      <c r="G278" s="261"/>
      <c r="H278" s="272" t="s">
        <v>2326</v>
      </c>
      <c r="I278" s="261"/>
      <c r="J278" s="261"/>
      <c r="K278" s="261"/>
      <c r="L278" s="261"/>
      <c r="M278" s="261"/>
      <c r="N278" s="261"/>
      <c r="O278" s="272" t="s">
        <v>3608</v>
      </c>
      <c r="P278" s="261"/>
      <c r="Q278" s="261"/>
      <c r="R278" s="261"/>
      <c r="S278" s="261"/>
    </row>
    <row r="279" spans="5:19">
      <c r="E279" s="261"/>
      <c r="F279" s="261"/>
      <c r="G279" s="261"/>
      <c r="H279" s="261"/>
      <c r="I279" s="261"/>
      <c r="J279" s="261"/>
      <c r="K279" s="261"/>
      <c r="L279" s="261"/>
      <c r="M279" s="261"/>
      <c r="N279" s="261"/>
      <c r="O279" s="261"/>
      <c r="P279" s="261"/>
      <c r="Q279" s="261"/>
      <c r="R279" s="261"/>
      <c r="S279" s="261"/>
    </row>
    <row r="280" spans="5:19" ht="110.25">
      <c r="E280" s="261"/>
      <c r="F280" s="261"/>
      <c r="G280" s="261"/>
      <c r="H280" s="260" t="s">
        <v>2335</v>
      </c>
      <c r="I280" s="261"/>
      <c r="J280" s="261"/>
      <c r="K280" s="261"/>
      <c r="L280" s="261"/>
      <c r="M280" s="261"/>
      <c r="N280" s="261"/>
      <c r="O280" s="1242" t="s">
        <v>3609</v>
      </c>
      <c r="P280" s="1242"/>
      <c r="Q280" s="261"/>
      <c r="R280" s="261"/>
      <c r="S280" s="261"/>
    </row>
    <row r="281" spans="5:19" ht="31.5">
      <c r="E281" s="261"/>
      <c r="F281" s="261">
        <v>360</v>
      </c>
      <c r="G281" s="261"/>
      <c r="H281" s="262" t="s">
        <v>4594</v>
      </c>
      <c r="I281" s="261">
        <f>I267</f>
        <v>40.950000000000003</v>
      </c>
      <c r="J281" s="261" t="s">
        <v>2529</v>
      </c>
      <c r="K281" s="261">
        <f>F281*I281</f>
        <v>14742</v>
      </c>
      <c r="L281" s="261"/>
      <c r="M281" s="261">
        <v>360</v>
      </c>
      <c r="N281" s="261"/>
      <c r="O281" s="268" t="s">
        <v>4603</v>
      </c>
      <c r="P281" s="261">
        <v>60.65</v>
      </c>
      <c r="Q281" s="261" t="s">
        <v>2529</v>
      </c>
      <c r="R281" s="261">
        <f>M281*P281</f>
        <v>21834</v>
      </c>
      <c r="S281" s="261"/>
    </row>
    <row r="282" spans="5:19" ht="31.5">
      <c r="E282" s="261"/>
      <c r="F282" s="261">
        <v>90</v>
      </c>
      <c r="G282" s="261"/>
      <c r="H282" s="260" t="s">
        <v>4960</v>
      </c>
      <c r="I282" s="264">
        <v>29.8</v>
      </c>
      <c r="J282" s="261" t="s">
        <v>823</v>
      </c>
      <c r="K282" s="261">
        <f>F282*I282</f>
        <v>2682</v>
      </c>
      <c r="L282" s="261"/>
      <c r="M282" s="261">
        <v>90</v>
      </c>
      <c r="N282" s="261"/>
      <c r="O282" s="260" t="s">
        <v>3881</v>
      </c>
      <c r="P282" s="261">
        <f>I282</f>
        <v>29.8</v>
      </c>
      <c r="Q282" s="261" t="s">
        <v>823</v>
      </c>
      <c r="R282" s="261">
        <f>M282*P282</f>
        <v>2682</v>
      </c>
      <c r="S282" s="261"/>
    </row>
    <row r="283" spans="5:19">
      <c r="E283" s="261"/>
      <c r="F283" s="261">
        <v>3</v>
      </c>
      <c r="G283" s="261"/>
      <c r="H283" s="261" t="s">
        <v>387</v>
      </c>
      <c r="I283" s="261">
        <f>I269</f>
        <v>302</v>
      </c>
      <c r="J283" s="261" t="s">
        <v>2622</v>
      </c>
      <c r="K283" s="261">
        <f>F283*I283</f>
        <v>906</v>
      </c>
      <c r="L283" s="261"/>
      <c r="M283" s="261">
        <v>3</v>
      </c>
      <c r="N283" s="261"/>
      <c r="O283" s="261" t="s">
        <v>387</v>
      </c>
      <c r="P283" s="261">
        <f>I283</f>
        <v>302</v>
      </c>
      <c r="Q283" s="261" t="s">
        <v>2622</v>
      </c>
      <c r="R283" s="261">
        <f>M283*P283</f>
        <v>906</v>
      </c>
      <c r="S283" s="261"/>
    </row>
    <row r="284" spans="5:19" ht="31.5">
      <c r="E284" s="261"/>
      <c r="F284" s="261">
        <v>90</v>
      </c>
      <c r="G284" s="261"/>
      <c r="H284" s="262" t="s">
        <v>4267</v>
      </c>
      <c r="I284" s="261">
        <f>I270</f>
        <v>25.75</v>
      </c>
      <c r="J284" s="261" t="s">
        <v>2529</v>
      </c>
      <c r="K284" s="261">
        <f>F284*I284</f>
        <v>2317.5</v>
      </c>
      <c r="L284" s="261"/>
      <c r="M284" s="261">
        <v>90</v>
      </c>
      <c r="N284" s="261"/>
      <c r="O284" s="268" t="s">
        <v>4961</v>
      </c>
      <c r="P284" s="261">
        <f>P243</f>
        <v>40.950000000000003</v>
      </c>
      <c r="Q284" s="261" t="s">
        <v>2529</v>
      </c>
      <c r="R284" s="261">
        <f>M284*P284</f>
        <v>3685.5</v>
      </c>
      <c r="S284" s="261"/>
    </row>
    <row r="285" spans="5:19">
      <c r="E285" s="261"/>
      <c r="F285" s="261"/>
      <c r="G285" s="261"/>
      <c r="H285" s="261" t="s">
        <v>911</v>
      </c>
      <c r="I285" s="261"/>
      <c r="J285" s="261"/>
      <c r="K285" s="261">
        <f>I291</f>
        <v>15892.5</v>
      </c>
      <c r="L285" s="261"/>
      <c r="M285" s="261"/>
      <c r="N285" s="261"/>
      <c r="O285" s="261" t="s">
        <v>911</v>
      </c>
      <c r="P285" s="261"/>
      <c r="Q285" s="261"/>
      <c r="R285" s="261">
        <f>K285</f>
        <v>15892.5</v>
      </c>
      <c r="S285" s="261"/>
    </row>
    <row r="286" spans="5:19">
      <c r="E286" s="261"/>
      <c r="F286" s="261"/>
      <c r="G286" s="261"/>
      <c r="H286" s="261" t="s">
        <v>2261</v>
      </c>
      <c r="I286" s="261"/>
      <c r="J286" s="261"/>
      <c r="K286" s="261">
        <v>97.5</v>
      </c>
      <c r="L286" s="261"/>
      <c r="M286" s="261"/>
      <c r="N286" s="261"/>
      <c r="O286" s="261" t="s">
        <v>2261</v>
      </c>
      <c r="P286" s="261"/>
      <c r="Q286" s="261"/>
      <c r="R286" s="261">
        <v>97.5</v>
      </c>
      <c r="S286" s="261"/>
    </row>
    <row r="287" spans="5:19">
      <c r="E287" s="261"/>
      <c r="F287" s="261"/>
      <c r="G287" s="261"/>
      <c r="H287" s="269" t="s">
        <v>2383</v>
      </c>
      <c r="I287" s="261"/>
      <c r="J287" s="261"/>
      <c r="K287" s="270">
        <f>SUM(K281:K286)</f>
        <v>36637.5</v>
      </c>
      <c r="L287" s="261"/>
      <c r="M287" s="261"/>
      <c r="N287" s="261"/>
      <c r="O287" s="269" t="s">
        <v>2383</v>
      </c>
      <c r="P287" s="261"/>
      <c r="Q287" s="261"/>
      <c r="R287" s="270">
        <f>SUM(R281:R286)</f>
        <v>45097.5</v>
      </c>
      <c r="S287" s="261"/>
    </row>
    <row r="288" spans="5:19">
      <c r="E288" s="261"/>
      <c r="F288" s="261"/>
      <c r="G288" s="261"/>
      <c r="H288" s="271" t="s">
        <v>2384</v>
      </c>
      <c r="I288" s="261"/>
      <c r="J288" s="261"/>
      <c r="K288" s="272">
        <f>K287/90</f>
        <v>407.08</v>
      </c>
      <c r="L288" s="261">
        <f>398*90</f>
        <v>35820</v>
      </c>
      <c r="M288" s="261"/>
      <c r="N288" s="261"/>
      <c r="O288" s="271" t="s">
        <v>2384</v>
      </c>
      <c r="P288" s="261"/>
      <c r="Q288" s="261"/>
      <c r="R288" s="272">
        <f>R287/90</f>
        <v>501.08</v>
      </c>
      <c r="S288" s="261">
        <f>492*90</f>
        <v>44280</v>
      </c>
    </row>
    <row r="289" spans="5:130">
      <c r="E289" s="261"/>
      <c r="F289" s="261"/>
      <c r="G289" s="261"/>
      <c r="H289" s="261"/>
      <c r="I289" s="261"/>
      <c r="J289" s="261"/>
      <c r="K289" s="261"/>
      <c r="L289" s="261">
        <f>L288-K287</f>
        <v>-817.5</v>
      </c>
      <c r="M289" s="261"/>
      <c r="S289" s="252">
        <f>S288-R287</f>
        <v>-817.5</v>
      </c>
    </row>
    <row r="290" spans="5:130">
      <c r="E290" s="261"/>
      <c r="F290" s="261"/>
      <c r="G290" s="261"/>
      <c r="H290" s="272" t="s">
        <v>2337</v>
      </c>
      <c r="I290" s="261"/>
      <c r="J290" s="261"/>
      <c r="K290" s="261"/>
      <c r="L290" s="261"/>
      <c r="M290" s="261"/>
    </row>
    <row r="291" spans="5:130">
      <c r="E291" s="261"/>
      <c r="F291" s="281"/>
      <c r="G291" s="281"/>
      <c r="H291" s="281" t="s">
        <v>4962</v>
      </c>
      <c r="I291" s="282">
        <f>(1.5*K42)-((K40+K41)/2)</f>
        <v>15892.5</v>
      </c>
      <c r="J291" s="281"/>
      <c r="K291" s="281"/>
      <c r="L291" s="281">
        <f>(1.5*5914)-((888+1232)/2)</f>
        <v>7811</v>
      </c>
      <c r="M291" s="261"/>
      <c r="N291" s="261"/>
      <c r="O291" s="272" t="s">
        <v>3164</v>
      </c>
      <c r="P291" s="261"/>
      <c r="Q291" s="261"/>
      <c r="R291" s="261"/>
      <c r="S291" s="283"/>
      <c r="T291" s="283"/>
      <c r="U291" s="283"/>
      <c r="V291" s="283"/>
      <c r="W291" s="283"/>
      <c r="X291" s="283"/>
      <c r="Y291" s="283"/>
      <c r="Z291" s="283"/>
      <c r="AA291" s="283"/>
      <c r="AB291" s="283"/>
      <c r="AC291" s="283"/>
      <c r="AD291" s="283"/>
      <c r="AE291" s="283"/>
      <c r="AF291" s="283"/>
      <c r="AG291" s="283"/>
      <c r="AH291" s="283"/>
      <c r="AI291" s="283"/>
      <c r="AJ291" s="283"/>
      <c r="AK291" s="283"/>
      <c r="AL291" s="283"/>
      <c r="AM291" s="283"/>
      <c r="AN291" s="283"/>
      <c r="AO291" s="283"/>
      <c r="AP291" s="283"/>
      <c r="AQ291" s="283"/>
      <c r="AR291" s="283"/>
      <c r="AS291" s="283"/>
      <c r="AT291" s="283"/>
      <c r="AU291" s="283"/>
      <c r="AV291" s="283"/>
      <c r="AW291" s="283"/>
      <c r="AX291" s="283"/>
      <c r="AY291" s="283"/>
      <c r="AZ291" s="283"/>
      <c r="BA291" s="283"/>
      <c r="BB291" s="283"/>
      <c r="BC291" s="283"/>
      <c r="BD291" s="283"/>
      <c r="BE291" s="283"/>
      <c r="BF291" s="283"/>
      <c r="BG291" s="283"/>
      <c r="BH291" s="283"/>
      <c r="BI291" s="283"/>
      <c r="BJ291" s="283"/>
      <c r="BK291" s="283"/>
      <c r="BL291" s="283"/>
      <c r="BM291" s="283"/>
      <c r="BN291" s="283"/>
      <c r="BO291" s="283"/>
      <c r="BP291" s="283"/>
      <c r="BQ291" s="283"/>
      <c r="BR291" s="283"/>
      <c r="BS291" s="283"/>
      <c r="BT291" s="283"/>
      <c r="BU291" s="283"/>
      <c r="BV291" s="283"/>
      <c r="BW291" s="283"/>
      <c r="BX291" s="283"/>
      <c r="BY291" s="283"/>
      <c r="BZ291" s="283"/>
      <c r="CA291" s="283"/>
      <c r="CB291" s="283"/>
      <c r="CC291" s="283"/>
      <c r="CD291" s="283"/>
      <c r="CE291" s="283"/>
      <c r="CF291" s="283"/>
      <c r="CG291" s="283"/>
      <c r="CH291" s="283"/>
      <c r="CI291" s="283"/>
      <c r="CJ291" s="283"/>
      <c r="CK291" s="283"/>
      <c r="CL291" s="283"/>
      <c r="CM291" s="283"/>
      <c r="CN291" s="283"/>
      <c r="CO291" s="283"/>
      <c r="CP291" s="283"/>
      <c r="CQ291" s="283"/>
      <c r="CR291" s="283"/>
      <c r="CS291" s="283"/>
      <c r="CT291" s="283"/>
      <c r="CU291" s="283"/>
      <c r="CV291" s="283"/>
      <c r="CW291" s="283"/>
      <c r="CX291" s="283"/>
      <c r="CY291" s="283"/>
      <c r="CZ291" s="283"/>
      <c r="DA291" s="283"/>
      <c r="DB291" s="283"/>
      <c r="DC291" s="283"/>
      <c r="DD291" s="283"/>
      <c r="DE291" s="283"/>
      <c r="DF291" s="283"/>
      <c r="DG291" s="283"/>
      <c r="DH291" s="283"/>
      <c r="DI291" s="283"/>
      <c r="DJ291" s="283"/>
      <c r="DK291" s="283"/>
      <c r="DL291" s="283"/>
      <c r="DM291" s="283"/>
      <c r="DN291" s="283"/>
      <c r="DO291" s="283"/>
      <c r="DP291" s="283"/>
      <c r="DQ291" s="283"/>
      <c r="DR291" s="283"/>
      <c r="DS291" s="283"/>
      <c r="DT291" s="283"/>
      <c r="DU291" s="283"/>
      <c r="DV291" s="283"/>
      <c r="DW291" s="283"/>
      <c r="DX291" s="283"/>
      <c r="DY291" s="283"/>
      <c r="DZ291" s="283"/>
    </row>
    <row r="292" spans="5:130" s="283" customFormat="1">
      <c r="E292" s="281"/>
      <c r="F292" s="261"/>
      <c r="G292" s="261"/>
      <c r="H292" s="261">
        <f>1.5*K42-(K40+K41)/2</f>
        <v>15892.5</v>
      </c>
      <c r="I292" s="261"/>
      <c r="J292" s="261"/>
      <c r="K292" s="261"/>
      <c r="L292" s="261"/>
      <c r="M292" s="261"/>
      <c r="N292" s="261"/>
      <c r="O292" s="272" t="s">
        <v>3610</v>
      </c>
      <c r="P292" s="261"/>
      <c r="Q292" s="261"/>
      <c r="R292" s="261"/>
      <c r="S292" s="252"/>
      <c r="T292" s="252"/>
      <c r="U292" s="252"/>
      <c r="V292" s="252"/>
      <c r="W292" s="252"/>
      <c r="X292" s="252"/>
      <c r="Y292" s="252"/>
      <c r="Z292" s="252"/>
      <c r="AA292" s="252"/>
      <c r="AB292" s="252"/>
      <c r="AC292" s="252"/>
      <c r="AD292" s="252"/>
      <c r="AE292" s="252"/>
      <c r="AF292" s="252"/>
      <c r="AG292" s="252"/>
      <c r="AH292" s="252"/>
      <c r="AI292" s="252"/>
      <c r="AJ292" s="252"/>
      <c r="AK292" s="252"/>
      <c r="AL292" s="252"/>
      <c r="AM292" s="252"/>
      <c r="AN292" s="252"/>
      <c r="AO292" s="252"/>
      <c r="AP292" s="252"/>
      <c r="AQ292" s="252"/>
      <c r="AR292" s="252"/>
      <c r="AS292" s="252"/>
      <c r="AT292" s="252"/>
      <c r="AU292" s="252"/>
      <c r="AV292" s="252"/>
      <c r="AW292" s="252"/>
      <c r="AX292" s="252"/>
      <c r="AY292" s="252"/>
      <c r="AZ292" s="252"/>
      <c r="BA292" s="252"/>
      <c r="BB292" s="252"/>
      <c r="BC292" s="252"/>
      <c r="BD292" s="252"/>
      <c r="BE292" s="252"/>
      <c r="BF292" s="252"/>
      <c r="BG292" s="252"/>
      <c r="BH292" s="252"/>
      <c r="BI292" s="252"/>
      <c r="BJ292" s="252"/>
      <c r="BK292" s="252"/>
      <c r="BL292" s="252"/>
      <c r="BM292" s="252"/>
      <c r="BN292" s="252"/>
      <c r="BO292" s="252"/>
      <c r="BP292" s="252"/>
      <c r="BQ292" s="252"/>
      <c r="BR292" s="252"/>
      <c r="BS292" s="252"/>
      <c r="BT292" s="252"/>
      <c r="BU292" s="252"/>
      <c r="BV292" s="252"/>
      <c r="BW292" s="252"/>
      <c r="BX292" s="252"/>
      <c r="BY292" s="252"/>
      <c r="BZ292" s="252"/>
      <c r="CA292" s="252"/>
      <c r="CB292" s="252"/>
      <c r="CC292" s="252"/>
      <c r="CD292" s="252"/>
      <c r="CE292" s="252"/>
      <c r="CF292" s="252"/>
      <c r="CG292" s="252"/>
      <c r="CH292" s="252"/>
      <c r="CI292" s="252"/>
      <c r="CJ292" s="252"/>
      <c r="CK292" s="252"/>
      <c r="CL292" s="252"/>
      <c r="CM292" s="252"/>
      <c r="CN292" s="252"/>
      <c r="CO292" s="252"/>
      <c r="CP292" s="252"/>
      <c r="CQ292" s="252"/>
      <c r="CR292" s="252"/>
      <c r="CS292" s="252"/>
      <c r="CT292" s="252"/>
      <c r="CU292" s="252"/>
      <c r="CV292" s="252"/>
      <c r="CW292" s="252"/>
      <c r="CX292" s="252"/>
      <c r="CY292" s="252"/>
      <c r="CZ292" s="252"/>
      <c r="DA292" s="252"/>
      <c r="DB292" s="252"/>
      <c r="DC292" s="252"/>
      <c r="DD292" s="252"/>
      <c r="DE292" s="252"/>
      <c r="DF292" s="252"/>
      <c r="DG292" s="252"/>
      <c r="DH292" s="252"/>
      <c r="DI292" s="252"/>
      <c r="DJ292" s="252"/>
      <c r="DK292" s="252"/>
      <c r="DL292" s="252"/>
      <c r="DM292" s="252"/>
      <c r="DN292" s="252"/>
      <c r="DO292" s="252"/>
      <c r="DP292" s="252"/>
      <c r="DQ292" s="252"/>
      <c r="DR292" s="252"/>
      <c r="DS292" s="252"/>
      <c r="DT292" s="252"/>
      <c r="DU292" s="252"/>
      <c r="DV292" s="252"/>
      <c r="DW292" s="252"/>
      <c r="DX292" s="252"/>
      <c r="DY292" s="252"/>
      <c r="DZ292" s="252"/>
    </row>
    <row r="293" spans="5:130">
      <c r="E293" s="261"/>
      <c r="F293" s="261"/>
      <c r="G293" s="261"/>
      <c r="H293" s="261"/>
      <c r="I293" s="261"/>
      <c r="J293" s="261"/>
      <c r="K293" s="261"/>
      <c r="L293" s="261"/>
      <c r="M293" s="261"/>
      <c r="N293" s="261"/>
      <c r="O293" s="261"/>
      <c r="P293" s="261"/>
      <c r="Q293" s="261"/>
      <c r="R293" s="261"/>
    </row>
    <row r="294" spans="5:130" ht="13.5" customHeight="1">
      <c r="E294" s="261"/>
      <c r="F294" s="261"/>
      <c r="G294" s="261"/>
      <c r="I294" s="261"/>
      <c r="J294" s="261"/>
      <c r="K294" s="261"/>
      <c r="L294" s="261"/>
      <c r="M294" s="261"/>
      <c r="N294" s="261"/>
      <c r="O294" s="260" t="s">
        <v>3611</v>
      </c>
      <c r="P294" s="261"/>
      <c r="Q294" s="261"/>
      <c r="R294" s="261"/>
    </row>
    <row r="295" spans="5:130" ht="31.5">
      <c r="E295" s="261"/>
      <c r="F295" s="261"/>
      <c r="G295" s="261"/>
      <c r="H295" s="280" t="s">
        <v>2338</v>
      </c>
      <c r="I295" s="261"/>
      <c r="J295" s="261"/>
      <c r="K295" s="261"/>
      <c r="L295" s="261"/>
      <c r="M295" s="261">
        <v>360</v>
      </c>
      <c r="N295" s="261"/>
      <c r="O295" s="284" t="s">
        <v>4963</v>
      </c>
      <c r="P295" s="264">
        <v>91.25</v>
      </c>
      <c r="Q295" s="261" t="s">
        <v>2529</v>
      </c>
      <c r="R295" s="261">
        <f>M295*P295</f>
        <v>32850</v>
      </c>
    </row>
    <row r="296" spans="5:130" ht="17.25" customHeight="1">
      <c r="E296" s="261"/>
      <c r="F296" s="261"/>
      <c r="G296" s="261"/>
      <c r="H296" s="272" t="s">
        <v>2339</v>
      </c>
      <c r="I296" s="261"/>
      <c r="J296" s="261"/>
      <c r="K296" s="261"/>
      <c r="L296" s="261"/>
      <c r="M296" s="261">
        <v>90</v>
      </c>
      <c r="N296" s="261"/>
      <c r="O296" s="260" t="s">
        <v>3883</v>
      </c>
      <c r="P296" s="261">
        <f>P282</f>
        <v>29.8</v>
      </c>
      <c r="Q296" s="261" t="s">
        <v>823</v>
      </c>
      <c r="R296" s="261">
        <f>M296*P296</f>
        <v>2682</v>
      </c>
    </row>
    <row r="297" spans="5:130">
      <c r="E297" s="261"/>
      <c r="F297" s="261"/>
      <c r="G297" s="261"/>
      <c r="H297" s="261"/>
      <c r="I297" s="261"/>
      <c r="J297" s="261"/>
      <c r="K297" s="261"/>
      <c r="L297" s="261"/>
      <c r="M297" s="261">
        <v>3</v>
      </c>
      <c r="N297" s="261"/>
      <c r="O297" s="261" t="s">
        <v>387</v>
      </c>
      <c r="P297" s="261">
        <f>P283</f>
        <v>302</v>
      </c>
      <c r="Q297" s="261" t="s">
        <v>2622</v>
      </c>
      <c r="R297" s="261">
        <f>M297*P297</f>
        <v>906</v>
      </c>
    </row>
    <row r="298" spans="5:130" ht="31.5">
      <c r="E298" s="261"/>
      <c r="F298" s="261"/>
      <c r="G298" s="261"/>
      <c r="H298" s="272" t="s">
        <v>4623</v>
      </c>
      <c r="I298" s="261"/>
      <c r="J298" s="261"/>
      <c r="K298" s="261"/>
      <c r="L298" s="261"/>
      <c r="M298" s="261">
        <v>90</v>
      </c>
      <c r="N298" s="261"/>
      <c r="O298" s="268" t="s">
        <v>4964</v>
      </c>
      <c r="P298" s="261">
        <f>P281</f>
        <v>60.65</v>
      </c>
      <c r="Q298" s="261" t="s">
        <v>2529</v>
      </c>
      <c r="R298" s="261">
        <f>M298*P298</f>
        <v>5458.5</v>
      </c>
    </row>
    <row r="299" spans="5:130">
      <c r="E299" s="261"/>
      <c r="F299" s="261"/>
      <c r="G299" s="261"/>
      <c r="H299" s="261"/>
      <c r="I299" s="261"/>
      <c r="J299" s="261"/>
      <c r="K299" s="261"/>
      <c r="L299" s="261"/>
      <c r="M299" s="261"/>
      <c r="N299" s="261"/>
      <c r="O299" s="261" t="s">
        <v>911</v>
      </c>
      <c r="P299" s="261"/>
      <c r="Q299" s="261"/>
      <c r="R299" s="261">
        <f>R285</f>
        <v>15892.5</v>
      </c>
    </row>
    <row r="300" spans="5:130" ht="47.25">
      <c r="E300" s="261"/>
      <c r="F300" s="261"/>
      <c r="G300" s="261"/>
      <c r="H300" s="260" t="s">
        <v>2341</v>
      </c>
      <c r="I300" s="261"/>
      <c r="J300" s="261"/>
      <c r="K300" s="261"/>
      <c r="L300" s="261"/>
      <c r="M300" s="261"/>
      <c r="N300" s="261"/>
      <c r="O300" s="261" t="s">
        <v>2261</v>
      </c>
      <c r="P300" s="261"/>
      <c r="Q300" s="261"/>
      <c r="R300" s="261">
        <v>60.5</v>
      </c>
    </row>
    <row r="301" spans="5:130">
      <c r="E301" s="261"/>
      <c r="F301" s="261">
        <v>1</v>
      </c>
      <c r="G301" s="261" t="s">
        <v>1389</v>
      </c>
      <c r="H301" s="261" t="s">
        <v>4965</v>
      </c>
      <c r="I301" s="264">
        <v>277.60000000000002</v>
      </c>
      <c r="J301" s="261" t="s">
        <v>1389</v>
      </c>
      <c r="K301" s="261">
        <f>F301*I301</f>
        <v>277.60000000000002</v>
      </c>
      <c r="L301" s="261"/>
      <c r="M301" s="261"/>
      <c r="N301" s="261"/>
      <c r="O301" s="269" t="s">
        <v>2383</v>
      </c>
      <c r="P301" s="261"/>
      <c r="Q301" s="261"/>
      <c r="R301" s="270">
        <f>SUM(R295:R300)</f>
        <v>57849.5</v>
      </c>
    </row>
    <row r="302" spans="5:130">
      <c r="E302" s="261"/>
      <c r="F302" s="261"/>
      <c r="G302" s="261"/>
      <c r="H302" s="261" t="s">
        <v>2261</v>
      </c>
      <c r="I302" s="261"/>
      <c r="J302" s="261"/>
      <c r="K302" s="261">
        <f>13.88-0.41</f>
        <v>13.47</v>
      </c>
      <c r="L302" s="261">
        <f>K301*5%</f>
        <v>13.88</v>
      </c>
      <c r="M302" s="261"/>
      <c r="N302" s="261"/>
      <c r="O302" s="271" t="s">
        <v>2384</v>
      </c>
      <c r="P302" s="261"/>
      <c r="Q302" s="261"/>
      <c r="R302" s="272">
        <f>R301/90</f>
        <v>642.77</v>
      </c>
      <c r="S302" s="252">
        <f>589.3*90</f>
        <v>53037</v>
      </c>
    </row>
    <row r="303" spans="5:130">
      <c r="E303" s="261"/>
      <c r="F303" s="261"/>
      <c r="G303" s="261"/>
      <c r="H303" s="261" t="s">
        <v>911</v>
      </c>
      <c r="I303" s="261"/>
      <c r="J303" s="261"/>
      <c r="K303" s="261">
        <f>K311</f>
        <v>238.13</v>
      </c>
      <c r="L303" s="261"/>
      <c r="M303" s="261"/>
      <c r="S303" s="252">
        <f>S302-R301</f>
        <v>-4812.5</v>
      </c>
    </row>
    <row r="304" spans="5:130">
      <c r="E304" s="261"/>
      <c r="F304" s="261"/>
      <c r="G304" s="261"/>
      <c r="H304" s="271" t="s">
        <v>2342</v>
      </c>
      <c r="I304" s="261"/>
      <c r="J304" s="261"/>
      <c r="K304" s="272">
        <f>SUM(K301:K303)</f>
        <v>529.20000000000005</v>
      </c>
      <c r="L304" s="261">
        <f>K304-517</f>
        <v>12.2</v>
      </c>
      <c r="M304" s="261"/>
    </row>
    <row r="305" spans="5:130">
      <c r="E305" s="261"/>
      <c r="F305" s="261"/>
      <c r="G305" s="261"/>
      <c r="H305" s="261"/>
      <c r="I305" s="261"/>
      <c r="J305" s="261"/>
      <c r="K305" s="261"/>
      <c r="L305" s="261"/>
      <c r="M305" s="261"/>
    </row>
    <row r="306" spans="5:130">
      <c r="E306" s="261"/>
      <c r="F306" s="261"/>
      <c r="G306" s="261"/>
      <c r="H306" s="261"/>
      <c r="I306" s="261"/>
      <c r="J306" s="261"/>
      <c r="K306" s="261"/>
      <c r="L306" s="261"/>
      <c r="M306" s="261"/>
    </row>
    <row r="307" spans="5:130">
      <c r="E307" s="261"/>
      <c r="F307" s="261"/>
      <c r="G307" s="261"/>
      <c r="H307" s="273" t="s">
        <v>2343</v>
      </c>
      <c r="I307" s="261"/>
      <c r="J307" s="261"/>
      <c r="K307" s="261"/>
      <c r="L307" s="261"/>
      <c r="M307" s="261"/>
    </row>
    <row r="308" spans="5:130">
      <c r="E308" s="261"/>
      <c r="F308" s="261">
        <v>2</v>
      </c>
      <c r="G308" s="261" t="s">
        <v>1389</v>
      </c>
      <c r="H308" s="261" t="s">
        <v>2575</v>
      </c>
      <c r="I308" s="261">
        <f>I37</f>
        <v>820</v>
      </c>
      <c r="J308" s="261" t="s">
        <v>1389</v>
      </c>
      <c r="K308" s="261">
        <f>F308*I308</f>
        <v>1640</v>
      </c>
      <c r="L308" s="261"/>
      <c r="M308" s="261"/>
    </row>
    <row r="309" spans="5:130">
      <c r="E309" s="261"/>
      <c r="F309" s="261">
        <v>3</v>
      </c>
      <c r="G309" s="261" t="s">
        <v>1389</v>
      </c>
      <c r="H309" s="261" t="s">
        <v>2576</v>
      </c>
      <c r="I309" s="261">
        <f>I38</f>
        <v>644</v>
      </c>
      <c r="J309" s="261" t="s">
        <v>1389</v>
      </c>
      <c r="K309" s="261">
        <f>F309*I309</f>
        <v>1932</v>
      </c>
      <c r="L309" s="261"/>
      <c r="M309" s="261"/>
    </row>
    <row r="310" spans="5:130">
      <c r="E310" s="261"/>
      <c r="F310" s="261"/>
      <c r="G310" s="261"/>
      <c r="H310" s="269" t="s">
        <v>3417</v>
      </c>
      <c r="I310" s="261"/>
      <c r="J310" s="261"/>
      <c r="K310" s="270">
        <f>SUM(K308:K309)</f>
        <v>3572</v>
      </c>
      <c r="L310" s="261"/>
      <c r="M310" s="261"/>
    </row>
    <row r="311" spans="5:130">
      <c r="E311" s="261"/>
      <c r="F311" s="261"/>
      <c r="G311" s="261"/>
      <c r="H311" s="271" t="s">
        <v>2770</v>
      </c>
      <c r="I311" s="261"/>
      <c r="J311" s="261"/>
      <c r="K311" s="272">
        <f>K310/15</f>
        <v>238.13</v>
      </c>
      <c r="L311" s="261"/>
      <c r="M311" s="261"/>
    </row>
    <row r="312" spans="5:130">
      <c r="E312" s="261"/>
      <c r="F312" s="261"/>
      <c r="G312" s="261"/>
      <c r="H312" s="261"/>
      <c r="I312" s="261"/>
      <c r="J312" s="261"/>
      <c r="K312" s="261"/>
      <c r="L312" s="261"/>
      <c r="M312" s="261"/>
    </row>
    <row r="313" spans="5:130">
      <c r="E313" s="261"/>
      <c r="F313" s="261"/>
      <c r="G313" s="261"/>
      <c r="H313" s="272" t="s">
        <v>3418</v>
      </c>
      <c r="I313" s="261"/>
      <c r="J313" s="261"/>
      <c r="K313" s="261"/>
      <c r="L313" s="261"/>
      <c r="M313" s="261"/>
    </row>
    <row r="314" spans="5:130">
      <c r="E314" s="261"/>
      <c r="F314" s="261"/>
      <c r="G314" s="261"/>
      <c r="H314" s="261"/>
      <c r="I314" s="261"/>
      <c r="J314" s="261"/>
      <c r="K314" s="261"/>
      <c r="L314" s="261"/>
      <c r="M314" s="261"/>
    </row>
    <row r="315" spans="5:130" ht="47.25">
      <c r="E315" s="261"/>
      <c r="F315" s="261"/>
      <c r="G315" s="261"/>
      <c r="H315" s="258" t="s">
        <v>3419</v>
      </c>
      <c r="I315" s="261"/>
      <c r="J315" s="261"/>
      <c r="K315" s="261"/>
      <c r="L315" s="261"/>
      <c r="M315" s="261"/>
    </row>
    <row r="316" spans="5:130">
      <c r="E316" s="261"/>
      <c r="F316" s="261"/>
      <c r="G316" s="261"/>
      <c r="H316" s="261"/>
      <c r="I316" s="261"/>
      <c r="J316" s="261"/>
      <c r="K316" s="261"/>
      <c r="L316" s="261"/>
      <c r="M316" s="261"/>
    </row>
    <row r="317" spans="5:130" ht="63">
      <c r="E317" s="261"/>
      <c r="F317" s="261"/>
      <c r="G317" s="261"/>
      <c r="H317" s="260" t="s">
        <v>2740</v>
      </c>
      <c r="I317" s="261"/>
      <c r="J317" s="261"/>
      <c r="K317" s="261"/>
      <c r="L317" s="261"/>
      <c r="M317" s="261"/>
    </row>
    <row r="318" spans="5:130">
      <c r="E318" s="261"/>
      <c r="F318" s="261"/>
      <c r="G318" s="261"/>
      <c r="H318" s="261"/>
      <c r="I318" s="261"/>
      <c r="J318" s="261"/>
      <c r="K318" s="261"/>
      <c r="L318" s="261"/>
      <c r="M318" s="261"/>
    </row>
    <row r="319" spans="5:130" ht="31.5">
      <c r="E319" s="261"/>
      <c r="F319" s="285">
        <v>1</v>
      </c>
      <c r="G319" s="285" t="s">
        <v>1389</v>
      </c>
      <c r="H319" s="286" t="s">
        <v>4624</v>
      </c>
      <c r="I319" s="287">
        <v>344</v>
      </c>
      <c r="J319" s="285" t="s">
        <v>1389</v>
      </c>
      <c r="K319" s="285">
        <f>F319*I319</f>
        <v>344</v>
      </c>
      <c r="L319" s="285"/>
      <c r="M319" s="285"/>
      <c r="N319" s="288"/>
      <c r="O319" s="288"/>
      <c r="P319" s="288"/>
      <c r="Q319" s="288"/>
      <c r="R319" s="288"/>
      <c r="S319" s="288"/>
      <c r="T319" s="288"/>
      <c r="U319" s="288"/>
      <c r="V319" s="288"/>
      <c r="W319" s="288"/>
      <c r="X319" s="288"/>
      <c r="Y319" s="288"/>
      <c r="Z319" s="288"/>
      <c r="AA319" s="288"/>
      <c r="AB319" s="288"/>
      <c r="AC319" s="288"/>
      <c r="AD319" s="288"/>
      <c r="AE319" s="288"/>
      <c r="AF319" s="288"/>
      <c r="AG319" s="288"/>
      <c r="AH319" s="288"/>
      <c r="AI319" s="288"/>
      <c r="AJ319" s="288"/>
      <c r="AK319" s="288"/>
      <c r="AL319" s="288"/>
      <c r="AM319" s="288"/>
      <c r="AN319" s="288"/>
      <c r="AO319" s="288"/>
      <c r="AP319" s="288"/>
      <c r="AQ319" s="288"/>
      <c r="AR319" s="288"/>
      <c r="AS319" s="288"/>
      <c r="AT319" s="288"/>
      <c r="AU319" s="288"/>
      <c r="AV319" s="288"/>
      <c r="AW319" s="288"/>
      <c r="AX319" s="288"/>
      <c r="AY319" s="288"/>
      <c r="AZ319" s="288"/>
      <c r="BA319" s="288"/>
      <c r="BB319" s="288"/>
      <c r="BC319" s="288"/>
      <c r="BD319" s="288"/>
      <c r="BE319" s="288"/>
      <c r="BF319" s="288"/>
      <c r="BG319" s="288"/>
      <c r="BH319" s="288"/>
      <c r="BI319" s="288"/>
      <c r="BJ319" s="288"/>
      <c r="BK319" s="288"/>
      <c r="BL319" s="288"/>
      <c r="BM319" s="288"/>
      <c r="BN319" s="288"/>
      <c r="BO319" s="288"/>
      <c r="BP319" s="288"/>
      <c r="BQ319" s="288"/>
      <c r="BR319" s="288"/>
      <c r="BS319" s="288"/>
      <c r="BT319" s="288"/>
      <c r="BU319" s="288"/>
      <c r="BV319" s="288"/>
      <c r="BW319" s="288"/>
      <c r="BX319" s="288"/>
      <c r="BY319" s="288"/>
      <c r="BZ319" s="288"/>
      <c r="CA319" s="288"/>
      <c r="CB319" s="288"/>
      <c r="CC319" s="288"/>
      <c r="CD319" s="288"/>
      <c r="CE319" s="288"/>
      <c r="CF319" s="288"/>
      <c r="CG319" s="288"/>
      <c r="CH319" s="288"/>
      <c r="CI319" s="288"/>
      <c r="CJ319" s="288"/>
      <c r="CK319" s="288"/>
      <c r="CL319" s="288"/>
      <c r="CM319" s="288"/>
      <c r="CN319" s="288"/>
      <c r="CO319" s="288"/>
      <c r="CP319" s="288"/>
      <c r="CQ319" s="288"/>
      <c r="CR319" s="288"/>
      <c r="CS319" s="288"/>
      <c r="CT319" s="288"/>
      <c r="CU319" s="288"/>
      <c r="CV319" s="288"/>
      <c r="CW319" s="288"/>
      <c r="CX319" s="288"/>
      <c r="CY319" s="288"/>
      <c r="CZ319" s="288"/>
      <c r="DA319" s="288"/>
      <c r="DB319" s="288"/>
      <c r="DC319" s="288"/>
      <c r="DD319" s="288"/>
      <c r="DE319" s="288"/>
      <c r="DF319" s="288"/>
      <c r="DG319" s="288"/>
      <c r="DH319" s="288"/>
      <c r="DI319" s="288"/>
      <c r="DJ319" s="288"/>
      <c r="DK319" s="288"/>
      <c r="DL319" s="288"/>
      <c r="DM319" s="288"/>
      <c r="DN319" s="288"/>
      <c r="DO319" s="288"/>
      <c r="DP319" s="288"/>
      <c r="DQ319" s="288"/>
      <c r="DR319" s="288"/>
      <c r="DS319" s="288"/>
      <c r="DT319" s="288"/>
      <c r="DU319" s="288"/>
      <c r="DV319" s="288"/>
      <c r="DW319" s="288"/>
      <c r="DX319" s="288"/>
      <c r="DY319" s="288"/>
      <c r="DZ319" s="288"/>
    </row>
    <row r="320" spans="5:130" s="288" customFormat="1" ht="31.5">
      <c r="E320" s="285"/>
      <c r="F320" s="285">
        <v>1</v>
      </c>
      <c r="G320" s="285" t="s">
        <v>1389</v>
      </c>
      <c r="H320" s="286" t="s">
        <v>4625</v>
      </c>
      <c r="I320" s="289">
        <v>60.5</v>
      </c>
      <c r="J320" s="285" t="s">
        <v>1389</v>
      </c>
      <c r="K320" s="285">
        <f>F320*I320</f>
        <v>60.5</v>
      </c>
      <c r="L320" s="285"/>
      <c r="M320" s="285"/>
    </row>
    <row r="321" spans="5:130" s="288" customFormat="1" ht="31.5">
      <c r="E321" s="285"/>
      <c r="F321" s="261"/>
      <c r="G321" s="261"/>
      <c r="H321" s="260" t="s">
        <v>2743</v>
      </c>
      <c r="I321" s="261"/>
      <c r="J321" s="261"/>
      <c r="K321" s="261">
        <v>10.25</v>
      </c>
      <c r="L321" s="261"/>
      <c r="M321" s="261"/>
      <c r="N321" s="252"/>
      <c r="O321" s="252"/>
      <c r="P321" s="252"/>
      <c r="Q321" s="252"/>
      <c r="R321" s="252"/>
      <c r="S321" s="252"/>
      <c r="T321" s="252"/>
      <c r="U321" s="252"/>
      <c r="V321" s="252"/>
      <c r="W321" s="252"/>
      <c r="X321" s="252"/>
      <c r="Y321" s="252"/>
      <c r="Z321" s="252"/>
      <c r="AA321" s="252"/>
      <c r="AB321" s="252"/>
      <c r="AC321" s="252"/>
      <c r="AD321" s="252"/>
      <c r="AE321" s="252"/>
      <c r="AF321" s="252"/>
      <c r="AG321" s="252"/>
      <c r="AH321" s="252"/>
      <c r="AI321" s="252"/>
      <c r="AJ321" s="252"/>
      <c r="AK321" s="252"/>
      <c r="AL321" s="252"/>
      <c r="AM321" s="252"/>
      <c r="AN321" s="252"/>
      <c r="AO321" s="252"/>
      <c r="AP321" s="252"/>
      <c r="AQ321" s="252"/>
      <c r="AR321" s="252"/>
      <c r="AS321" s="252"/>
      <c r="AT321" s="252"/>
      <c r="AU321" s="252"/>
      <c r="AV321" s="252"/>
      <c r="AW321" s="252"/>
      <c r="AX321" s="252"/>
      <c r="AY321" s="252"/>
      <c r="AZ321" s="252"/>
      <c r="BA321" s="252"/>
      <c r="BB321" s="252"/>
      <c r="BC321" s="252"/>
      <c r="BD321" s="252"/>
      <c r="BE321" s="252"/>
      <c r="BF321" s="252"/>
      <c r="BG321" s="252"/>
      <c r="BH321" s="252"/>
      <c r="BI321" s="252"/>
      <c r="BJ321" s="252"/>
      <c r="BK321" s="252"/>
      <c r="BL321" s="252"/>
      <c r="BM321" s="252"/>
      <c r="BN321" s="252"/>
      <c r="BO321" s="252"/>
      <c r="BP321" s="252"/>
      <c r="BQ321" s="252"/>
      <c r="BR321" s="252"/>
      <c r="BS321" s="252"/>
      <c r="BT321" s="252"/>
      <c r="BU321" s="252"/>
      <c r="BV321" s="252"/>
      <c r="BW321" s="252"/>
      <c r="BX321" s="252"/>
      <c r="BY321" s="252"/>
      <c r="BZ321" s="252"/>
      <c r="CA321" s="252"/>
      <c r="CB321" s="252"/>
      <c r="CC321" s="252"/>
      <c r="CD321" s="252"/>
      <c r="CE321" s="252"/>
      <c r="CF321" s="252"/>
      <c r="CG321" s="252"/>
      <c r="CH321" s="252"/>
      <c r="CI321" s="252"/>
      <c r="CJ321" s="252"/>
      <c r="CK321" s="252"/>
      <c r="CL321" s="252"/>
      <c r="CM321" s="252"/>
      <c r="CN321" s="252"/>
      <c r="CO321" s="252"/>
      <c r="CP321" s="252"/>
      <c r="CQ321" s="252"/>
      <c r="CR321" s="252"/>
      <c r="CS321" s="252"/>
      <c r="CT321" s="252"/>
      <c r="CU321" s="252"/>
      <c r="CV321" s="252"/>
      <c r="CW321" s="252"/>
      <c r="CX321" s="252"/>
      <c r="CY321" s="252"/>
      <c r="CZ321" s="252"/>
      <c r="DA321" s="252"/>
      <c r="DB321" s="252"/>
      <c r="DC321" s="252"/>
      <c r="DD321" s="252"/>
      <c r="DE321" s="252"/>
      <c r="DF321" s="252"/>
      <c r="DG321" s="252"/>
      <c r="DH321" s="252"/>
      <c r="DI321" s="252"/>
      <c r="DJ321" s="252"/>
      <c r="DK321" s="252"/>
      <c r="DL321" s="252"/>
      <c r="DM321" s="252"/>
      <c r="DN321" s="252"/>
      <c r="DO321" s="252"/>
      <c r="DP321" s="252"/>
      <c r="DQ321" s="252"/>
      <c r="DR321" s="252"/>
      <c r="DS321" s="252"/>
      <c r="DT321" s="252"/>
      <c r="DU321" s="252"/>
      <c r="DV321" s="252"/>
      <c r="DW321" s="252"/>
      <c r="DX321" s="252"/>
      <c r="DY321" s="252"/>
      <c r="DZ321" s="252"/>
    </row>
    <row r="322" spans="5:130">
      <c r="E322" s="261"/>
      <c r="F322" s="261"/>
      <c r="G322" s="261"/>
      <c r="H322" s="261" t="s">
        <v>911</v>
      </c>
      <c r="I322" s="261"/>
      <c r="J322" s="261"/>
      <c r="K322" s="261">
        <f>K330</f>
        <v>528.5</v>
      </c>
      <c r="L322" s="261"/>
      <c r="M322" s="261"/>
    </row>
    <row r="323" spans="5:130">
      <c r="E323" s="261"/>
      <c r="F323" s="261"/>
      <c r="G323" s="261"/>
      <c r="H323" s="271" t="s">
        <v>2770</v>
      </c>
      <c r="I323" s="261"/>
      <c r="J323" s="261"/>
      <c r="K323" s="272">
        <f>SUM(K319:K322)</f>
        <v>943.25</v>
      </c>
      <c r="L323" s="261">
        <f>K323-916</f>
        <v>27.25</v>
      </c>
      <c r="M323" s="261">
        <f>577-576.75</f>
        <v>0.25</v>
      </c>
    </row>
    <row r="324" spans="5:130">
      <c r="E324" s="261"/>
      <c r="F324" s="261"/>
      <c r="G324" s="261"/>
      <c r="H324" s="261"/>
      <c r="I324" s="261"/>
      <c r="J324" s="261"/>
      <c r="K324" s="261"/>
      <c r="L324" s="261"/>
      <c r="M324" s="261"/>
    </row>
    <row r="325" spans="5:130">
      <c r="E325" s="261"/>
      <c r="F325" s="261"/>
      <c r="G325" s="261"/>
      <c r="H325" s="261"/>
      <c r="I325" s="261"/>
      <c r="J325" s="261"/>
      <c r="K325" s="261"/>
      <c r="L325" s="261"/>
      <c r="M325" s="261"/>
    </row>
    <row r="326" spans="5:130">
      <c r="E326" s="261"/>
      <c r="F326" s="261"/>
      <c r="G326" s="261"/>
      <c r="H326" s="273" t="s">
        <v>911</v>
      </c>
      <c r="I326" s="261"/>
      <c r="J326" s="261"/>
      <c r="K326" s="261"/>
      <c r="L326" s="261"/>
      <c r="M326" s="261"/>
    </row>
    <row r="327" spans="5:130">
      <c r="E327" s="261"/>
      <c r="F327" s="261">
        <v>1</v>
      </c>
      <c r="G327" s="261" t="s">
        <v>1389</v>
      </c>
      <c r="H327" s="261" t="s">
        <v>2744</v>
      </c>
      <c r="I327" s="261">
        <f>I36</f>
        <v>826</v>
      </c>
      <c r="J327" s="261" t="s">
        <v>1389</v>
      </c>
      <c r="K327" s="261">
        <f>F327*I327</f>
        <v>826</v>
      </c>
      <c r="L327" s="261"/>
      <c r="M327" s="261"/>
    </row>
    <row r="328" spans="5:130">
      <c r="E328" s="261"/>
      <c r="F328" s="261">
        <v>2</v>
      </c>
      <c r="G328" s="261" t="s">
        <v>1389</v>
      </c>
      <c r="H328" s="261" t="s">
        <v>2576</v>
      </c>
      <c r="I328" s="261">
        <f>I309</f>
        <v>644</v>
      </c>
      <c r="J328" s="261" t="s">
        <v>1389</v>
      </c>
      <c r="K328" s="261">
        <f>F328*I328</f>
        <v>1288</v>
      </c>
      <c r="L328" s="261"/>
      <c r="M328" s="261"/>
    </row>
    <row r="329" spans="5:130">
      <c r="E329" s="261"/>
      <c r="F329" s="261"/>
      <c r="G329" s="261"/>
      <c r="H329" s="269" t="s">
        <v>2745</v>
      </c>
      <c r="I329" s="261"/>
      <c r="J329" s="261"/>
      <c r="K329" s="270">
        <f>SUM(K327:K328)</f>
        <v>2114</v>
      </c>
      <c r="L329" s="261"/>
      <c r="M329" s="261"/>
    </row>
    <row r="330" spans="5:130">
      <c r="E330" s="261"/>
      <c r="F330" s="261"/>
      <c r="G330" s="261"/>
      <c r="H330" s="271" t="s">
        <v>2864</v>
      </c>
      <c r="I330" s="261"/>
      <c r="J330" s="261"/>
      <c r="K330" s="272">
        <f>K329/4</f>
        <v>528.5</v>
      </c>
      <c r="L330" s="261"/>
      <c r="M330" s="261"/>
    </row>
    <row r="331" spans="5:130">
      <c r="E331" s="261"/>
      <c r="F331" s="261"/>
      <c r="G331" s="261"/>
      <c r="H331" s="261"/>
      <c r="I331" s="261"/>
      <c r="J331" s="261"/>
      <c r="K331" s="261"/>
      <c r="L331" s="261"/>
      <c r="M331" s="261"/>
    </row>
    <row r="332" spans="5:130">
      <c r="E332" s="261"/>
      <c r="F332" s="261"/>
      <c r="G332" s="261"/>
      <c r="H332" s="272" t="s">
        <v>2746</v>
      </c>
      <c r="I332" s="261"/>
      <c r="J332" s="261"/>
      <c r="K332" s="261"/>
      <c r="L332" s="261"/>
      <c r="M332" s="261"/>
    </row>
    <row r="333" spans="5:130">
      <c r="E333" s="261"/>
      <c r="F333" s="261"/>
      <c r="G333" s="261"/>
      <c r="H333" s="261"/>
      <c r="I333" s="261"/>
      <c r="J333" s="261"/>
      <c r="K333" s="261"/>
      <c r="L333" s="261"/>
      <c r="M333" s="261"/>
    </row>
    <row r="334" spans="5:130" ht="47.25">
      <c r="E334" s="261"/>
      <c r="F334" s="261"/>
      <c r="G334" s="261"/>
      <c r="H334" s="258" t="s">
        <v>2747</v>
      </c>
      <c r="I334" s="261"/>
      <c r="J334" s="261"/>
      <c r="K334" s="261"/>
      <c r="L334" s="261"/>
      <c r="M334" s="261"/>
    </row>
    <row r="335" spans="5:130">
      <c r="E335" s="261"/>
      <c r="F335" s="261"/>
      <c r="G335" s="261"/>
      <c r="H335" s="261"/>
      <c r="I335" s="261"/>
      <c r="J335" s="261"/>
      <c r="K335" s="261"/>
      <c r="L335" s="261"/>
      <c r="M335" s="261"/>
    </row>
    <row r="336" spans="5:130" ht="63">
      <c r="E336" s="261"/>
      <c r="F336" s="261"/>
      <c r="G336" s="261"/>
      <c r="H336" s="260" t="s">
        <v>3193</v>
      </c>
      <c r="I336" s="261"/>
      <c r="J336" s="261"/>
      <c r="K336" s="261"/>
      <c r="L336" s="261"/>
      <c r="M336" s="261"/>
    </row>
    <row r="337" spans="5:130">
      <c r="E337" s="261"/>
      <c r="F337" s="261"/>
      <c r="G337" s="261"/>
      <c r="H337" s="261"/>
      <c r="I337" s="261"/>
      <c r="J337" s="261"/>
      <c r="K337" s="261"/>
      <c r="L337" s="261"/>
      <c r="M337" s="261"/>
    </row>
    <row r="338" spans="5:130" ht="31.5">
      <c r="E338" s="261"/>
      <c r="F338" s="285">
        <v>1</v>
      </c>
      <c r="G338" s="285" t="s">
        <v>1389</v>
      </c>
      <c r="H338" s="286" t="s">
        <v>5504</v>
      </c>
      <c r="I338" s="287">
        <v>775</v>
      </c>
      <c r="J338" s="285" t="s">
        <v>1389</v>
      </c>
      <c r="K338" s="285">
        <f>F338*I338</f>
        <v>775</v>
      </c>
      <c r="L338" s="285"/>
      <c r="M338" s="285"/>
      <c r="N338" s="288"/>
      <c r="O338" s="288"/>
      <c r="P338" s="288"/>
      <c r="Q338" s="288"/>
      <c r="R338" s="288"/>
      <c r="S338" s="288"/>
      <c r="T338" s="288"/>
      <c r="U338" s="288"/>
      <c r="V338" s="288"/>
      <c r="W338" s="288"/>
      <c r="X338" s="288"/>
      <c r="Y338" s="288"/>
      <c r="Z338" s="288"/>
      <c r="AA338" s="288"/>
      <c r="AB338" s="288"/>
      <c r="AC338" s="288"/>
      <c r="AD338" s="288"/>
      <c r="AE338" s="288"/>
      <c r="AF338" s="288"/>
      <c r="AG338" s="288"/>
      <c r="AH338" s="288"/>
      <c r="AI338" s="288"/>
      <c r="AJ338" s="288"/>
      <c r="AK338" s="288"/>
      <c r="AL338" s="288"/>
      <c r="AM338" s="288"/>
      <c r="AN338" s="288"/>
      <c r="AO338" s="288"/>
      <c r="AP338" s="288"/>
      <c r="AQ338" s="288"/>
      <c r="AR338" s="288"/>
      <c r="AS338" s="288"/>
      <c r="AT338" s="288"/>
      <c r="AU338" s="288"/>
      <c r="AV338" s="288"/>
      <c r="AW338" s="288"/>
      <c r="AX338" s="288"/>
      <c r="AY338" s="288"/>
      <c r="AZ338" s="288"/>
      <c r="BA338" s="288"/>
      <c r="BB338" s="288"/>
      <c r="BC338" s="288"/>
      <c r="BD338" s="288"/>
      <c r="BE338" s="288"/>
      <c r="BF338" s="288"/>
      <c r="BG338" s="288"/>
      <c r="BH338" s="288"/>
      <c r="BI338" s="288"/>
      <c r="BJ338" s="288"/>
      <c r="BK338" s="288"/>
      <c r="BL338" s="288"/>
      <c r="BM338" s="288"/>
      <c r="BN338" s="288"/>
      <c r="BO338" s="288"/>
      <c r="BP338" s="288"/>
      <c r="BQ338" s="288"/>
      <c r="BR338" s="288"/>
      <c r="BS338" s="288"/>
      <c r="BT338" s="288"/>
      <c r="BU338" s="288"/>
      <c r="BV338" s="288"/>
      <c r="BW338" s="288"/>
      <c r="BX338" s="288"/>
      <c r="BY338" s="288"/>
      <c r="BZ338" s="288"/>
      <c r="CA338" s="288"/>
      <c r="CB338" s="288"/>
      <c r="CC338" s="288"/>
      <c r="CD338" s="288"/>
      <c r="CE338" s="288"/>
      <c r="CF338" s="288"/>
      <c r="CG338" s="288"/>
      <c r="CH338" s="288"/>
      <c r="CI338" s="288"/>
      <c r="CJ338" s="288"/>
      <c r="CK338" s="288"/>
      <c r="CL338" s="288"/>
      <c r="CM338" s="288"/>
      <c r="CN338" s="288"/>
      <c r="CO338" s="288"/>
      <c r="CP338" s="288"/>
      <c r="CQ338" s="288"/>
      <c r="CR338" s="288"/>
      <c r="CS338" s="288"/>
      <c r="CT338" s="288"/>
      <c r="CU338" s="288"/>
      <c r="CV338" s="288"/>
      <c r="CW338" s="288"/>
      <c r="CX338" s="288"/>
      <c r="CY338" s="288"/>
      <c r="CZ338" s="288"/>
      <c r="DA338" s="288"/>
      <c r="DB338" s="288"/>
      <c r="DC338" s="288"/>
      <c r="DD338" s="288"/>
      <c r="DE338" s="288"/>
      <c r="DF338" s="288"/>
      <c r="DG338" s="288"/>
      <c r="DH338" s="288"/>
      <c r="DI338" s="288"/>
      <c r="DJ338" s="288"/>
      <c r="DK338" s="288"/>
      <c r="DL338" s="288"/>
      <c r="DM338" s="288"/>
      <c r="DN338" s="288"/>
      <c r="DO338" s="288"/>
      <c r="DP338" s="288"/>
      <c r="DQ338" s="288"/>
      <c r="DR338" s="288"/>
      <c r="DS338" s="288"/>
      <c r="DT338" s="288"/>
      <c r="DU338" s="288"/>
      <c r="DV338" s="288"/>
      <c r="DW338" s="288"/>
      <c r="DX338" s="288"/>
      <c r="DY338" s="288"/>
      <c r="DZ338" s="288"/>
    </row>
    <row r="339" spans="5:130" s="288" customFormat="1" ht="31.5">
      <c r="E339" s="285"/>
      <c r="F339" s="285">
        <v>1</v>
      </c>
      <c r="G339" s="285" t="s">
        <v>1389</v>
      </c>
      <c r="H339" s="290" t="s">
        <v>2742</v>
      </c>
      <c r="I339" s="285">
        <f>I320</f>
        <v>60.5</v>
      </c>
      <c r="J339" s="285" t="s">
        <v>1389</v>
      </c>
      <c r="K339" s="285">
        <f>F339*I339</f>
        <v>60.5</v>
      </c>
      <c r="L339" s="285"/>
      <c r="M339" s="285"/>
    </row>
    <row r="340" spans="5:130" s="288" customFormat="1" ht="31.5">
      <c r="E340" s="285"/>
      <c r="F340" s="261"/>
      <c r="G340" s="261"/>
      <c r="H340" s="260" t="s">
        <v>2743</v>
      </c>
      <c r="I340" s="261"/>
      <c r="J340" s="261"/>
      <c r="K340" s="261">
        <v>8.85</v>
      </c>
      <c r="L340" s="261"/>
      <c r="M340" s="261"/>
      <c r="N340" s="252"/>
      <c r="O340" s="252"/>
      <c r="P340" s="252"/>
      <c r="Q340" s="252"/>
      <c r="R340" s="252"/>
      <c r="S340" s="252"/>
      <c r="T340" s="252"/>
      <c r="U340" s="252"/>
      <c r="V340" s="252"/>
      <c r="W340" s="252"/>
      <c r="X340" s="252"/>
      <c r="Y340" s="252"/>
      <c r="Z340" s="252"/>
      <c r="AA340" s="252"/>
      <c r="AB340" s="252"/>
      <c r="AC340" s="252"/>
      <c r="AD340" s="252"/>
      <c r="AE340" s="252"/>
      <c r="AF340" s="252"/>
      <c r="AG340" s="252"/>
      <c r="AH340" s="252"/>
      <c r="AI340" s="252"/>
      <c r="AJ340" s="252"/>
      <c r="AK340" s="252"/>
      <c r="AL340" s="252"/>
      <c r="AM340" s="252"/>
      <c r="AN340" s="252"/>
      <c r="AO340" s="252"/>
      <c r="AP340" s="252"/>
      <c r="AQ340" s="252"/>
      <c r="AR340" s="252"/>
      <c r="AS340" s="252"/>
      <c r="AT340" s="252"/>
      <c r="AU340" s="252"/>
      <c r="AV340" s="252"/>
      <c r="AW340" s="252"/>
      <c r="AX340" s="252"/>
      <c r="AY340" s="252"/>
      <c r="AZ340" s="252"/>
      <c r="BA340" s="252"/>
      <c r="BB340" s="252"/>
      <c r="BC340" s="252"/>
      <c r="BD340" s="252"/>
      <c r="BE340" s="252"/>
      <c r="BF340" s="252"/>
      <c r="BG340" s="252"/>
      <c r="BH340" s="252"/>
      <c r="BI340" s="252"/>
      <c r="BJ340" s="252"/>
      <c r="BK340" s="252"/>
      <c r="BL340" s="252"/>
      <c r="BM340" s="252"/>
      <c r="BN340" s="252"/>
      <c r="BO340" s="252"/>
      <c r="BP340" s="252"/>
      <c r="BQ340" s="252"/>
      <c r="BR340" s="252"/>
      <c r="BS340" s="252"/>
      <c r="BT340" s="252"/>
      <c r="BU340" s="252"/>
      <c r="BV340" s="252"/>
      <c r="BW340" s="252"/>
      <c r="BX340" s="252"/>
      <c r="BY340" s="252"/>
      <c r="BZ340" s="252"/>
      <c r="CA340" s="252"/>
      <c r="CB340" s="252"/>
      <c r="CC340" s="252"/>
      <c r="CD340" s="252"/>
      <c r="CE340" s="252"/>
      <c r="CF340" s="252"/>
      <c r="CG340" s="252"/>
      <c r="CH340" s="252"/>
      <c r="CI340" s="252"/>
      <c r="CJ340" s="252"/>
      <c r="CK340" s="252"/>
      <c r="CL340" s="252"/>
      <c r="CM340" s="252"/>
      <c r="CN340" s="252"/>
      <c r="CO340" s="252"/>
      <c r="CP340" s="252"/>
      <c r="CQ340" s="252"/>
      <c r="CR340" s="252"/>
      <c r="CS340" s="252"/>
      <c r="CT340" s="252"/>
      <c r="CU340" s="252"/>
      <c r="CV340" s="252"/>
      <c r="CW340" s="252"/>
      <c r="CX340" s="252"/>
      <c r="CY340" s="252"/>
      <c r="CZ340" s="252"/>
      <c r="DA340" s="252"/>
      <c r="DB340" s="252"/>
      <c r="DC340" s="252"/>
      <c r="DD340" s="252"/>
      <c r="DE340" s="252"/>
      <c r="DF340" s="252"/>
      <c r="DG340" s="252"/>
      <c r="DH340" s="252"/>
      <c r="DI340" s="252"/>
      <c r="DJ340" s="252"/>
      <c r="DK340" s="252"/>
      <c r="DL340" s="252"/>
      <c r="DM340" s="252"/>
      <c r="DN340" s="252"/>
      <c r="DO340" s="252"/>
      <c r="DP340" s="252"/>
      <c r="DQ340" s="252"/>
      <c r="DR340" s="252"/>
      <c r="DS340" s="252"/>
      <c r="DT340" s="252"/>
      <c r="DU340" s="252"/>
      <c r="DV340" s="252"/>
      <c r="DW340" s="252"/>
      <c r="DX340" s="252"/>
      <c r="DY340" s="252"/>
      <c r="DZ340" s="252"/>
    </row>
    <row r="341" spans="5:130">
      <c r="E341" s="261"/>
      <c r="F341" s="261"/>
      <c r="G341" s="261"/>
      <c r="H341" s="261" t="s">
        <v>911</v>
      </c>
      <c r="I341" s="261"/>
      <c r="J341" s="261"/>
      <c r="K341" s="261">
        <f>K330</f>
        <v>528.5</v>
      </c>
      <c r="L341" s="261"/>
      <c r="M341" s="261"/>
    </row>
    <row r="342" spans="5:130">
      <c r="E342" s="261"/>
      <c r="F342" s="261"/>
      <c r="G342" s="261"/>
      <c r="H342" s="271" t="s">
        <v>2770</v>
      </c>
      <c r="I342" s="261"/>
      <c r="J342" s="261"/>
      <c r="K342" s="272">
        <f>SUM(K338:K341)</f>
        <v>1372.85</v>
      </c>
      <c r="L342" s="261"/>
      <c r="M342" s="261">
        <f>K342-1345</f>
        <v>27.85</v>
      </c>
    </row>
    <row r="343" spans="5:130">
      <c r="E343" s="261"/>
      <c r="F343" s="261"/>
      <c r="G343" s="261"/>
      <c r="H343" s="261"/>
      <c r="I343" s="261"/>
      <c r="J343" s="261"/>
      <c r="K343" s="261"/>
      <c r="L343" s="261"/>
      <c r="M343" s="261"/>
    </row>
    <row r="344" spans="5:130">
      <c r="E344" s="261"/>
      <c r="F344" s="261"/>
      <c r="G344" s="261"/>
      <c r="H344" s="261"/>
      <c r="I344" s="261"/>
      <c r="J344" s="261"/>
      <c r="K344" s="261"/>
      <c r="L344" s="261"/>
      <c r="M344" s="261"/>
    </row>
    <row r="345" spans="5:130">
      <c r="E345" s="261"/>
      <c r="F345" s="261"/>
      <c r="G345" s="261"/>
      <c r="H345" s="272" t="s">
        <v>3200</v>
      </c>
      <c r="I345" s="261"/>
      <c r="J345" s="261"/>
      <c r="K345" s="261"/>
      <c r="L345" s="261"/>
      <c r="M345" s="261"/>
    </row>
    <row r="346" spans="5:130">
      <c r="E346" s="261"/>
      <c r="F346" s="261"/>
      <c r="G346" s="261"/>
      <c r="H346" s="261"/>
      <c r="I346" s="261"/>
      <c r="J346" s="261"/>
      <c r="K346" s="261"/>
      <c r="L346" s="261"/>
      <c r="M346" s="261"/>
    </row>
    <row r="347" spans="5:130" ht="47.25">
      <c r="E347" s="261"/>
      <c r="F347" s="261"/>
      <c r="G347" s="261"/>
      <c r="H347" s="260" t="s">
        <v>2396</v>
      </c>
      <c r="I347" s="261"/>
      <c r="J347" s="261"/>
      <c r="K347" s="261"/>
      <c r="L347" s="261"/>
      <c r="M347" s="261"/>
    </row>
    <row r="348" spans="5:130">
      <c r="E348" s="261"/>
      <c r="F348" s="261"/>
      <c r="G348" s="261"/>
      <c r="H348" s="261"/>
      <c r="I348" s="261"/>
      <c r="J348" s="261"/>
      <c r="K348" s="261"/>
      <c r="L348" s="261"/>
      <c r="M348" s="261"/>
    </row>
    <row r="349" spans="5:130" ht="31.5">
      <c r="E349" s="261"/>
      <c r="F349" s="261">
        <v>1</v>
      </c>
      <c r="G349" s="261" t="s">
        <v>1389</v>
      </c>
      <c r="H349" s="260" t="s">
        <v>4966</v>
      </c>
      <c r="I349" s="263">
        <v>462</v>
      </c>
      <c r="J349" s="261" t="s">
        <v>1389</v>
      </c>
      <c r="K349" s="261">
        <f>F349*I349</f>
        <v>462</v>
      </c>
      <c r="L349" s="261"/>
      <c r="M349" s="261"/>
    </row>
    <row r="350" spans="5:130">
      <c r="E350" s="261"/>
      <c r="F350" s="261">
        <v>1</v>
      </c>
      <c r="G350" s="261" t="s">
        <v>1389</v>
      </c>
      <c r="H350" s="261" t="s">
        <v>4626</v>
      </c>
      <c r="I350" s="261">
        <f>I339</f>
        <v>60.5</v>
      </c>
      <c r="J350" s="261" t="s">
        <v>1389</v>
      </c>
      <c r="K350" s="261">
        <f>F350*I350</f>
        <v>60.5</v>
      </c>
      <c r="L350" s="261"/>
      <c r="M350" s="261"/>
    </row>
    <row r="351" spans="5:130">
      <c r="E351" s="261"/>
      <c r="F351" s="261"/>
      <c r="G351" s="261"/>
      <c r="H351" s="261" t="s">
        <v>2261</v>
      </c>
      <c r="I351" s="261"/>
      <c r="J351" s="261"/>
      <c r="K351" s="261">
        <v>11.85</v>
      </c>
      <c r="L351" s="261"/>
      <c r="M351" s="261"/>
    </row>
    <row r="352" spans="5:130">
      <c r="E352" s="261"/>
      <c r="F352" s="261"/>
      <c r="G352" s="261"/>
      <c r="H352" s="261" t="s">
        <v>2398</v>
      </c>
      <c r="I352" s="261"/>
      <c r="J352" s="261"/>
      <c r="K352" s="261">
        <f>K330</f>
        <v>528.5</v>
      </c>
      <c r="L352" s="261"/>
      <c r="M352" s="261"/>
    </row>
    <row r="353" spans="5:13">
      <c r="E353" s="261"/>
      <c r="F353" s="261"/>
      <c r="G353" s="261"/>
      <c r="H353" s="271" t="s">
        <v>1058</v>
      </c>
      <c r="I353" s="261"/>
      <c r="J353" s="261"/>
      <c r="K353" s="272">
        <f>SUM(K349:K352)</f>
        <v>1062.8499999999999</v>
      </c>
      <c r="L353" s="261">
        <f>K353-1035</f>
        <v>27.85</v>
      </c>
      <c r="M353" s="261">
        <f>917-K353</f>
        <v>-145.85</v>
      </c>
    </row>
    <row r="354" spans="5:13">
      <c r="E354" s="261"/>
      <c r="F354" s="261"/>
      <c r="G354" s="261"/>
      <c r="H354" s="261"/>
      <c r="I354" s="261"/>
      <c r="J354" s="261"/>
      <c r="K354" s="261"/>
      <c r="L354" s="261"/>
      <c r="M354" s="261"/>
    </row>
    <row r="355" spans="5:13">
      <c r="E355" s="261"/>
      <c r="F355" s="261"/>
      <c r="G355" s="261"/>
      <c r="H355" s="272" t="s">
        <v>2746</v>
      </c>
      <c r="I355" s="261"/>
      <c r="J355" s="261"/>
      <c r="K355" s="261"/>
      <c r="L355" s="261"/>
      <c r="M355" s="261"/>
    </row>
    <row r="356" spans="5:13">
      <c r="E356" s="261"/>
      <c r="F356" s="261"/>
      <c r="G356" s="261"/>
      <c r="H356" s="261"/>
      <c r="I356" s="261"/>
      <c r="J356" s="261"/>
      <c r="K356" s="261"/>
      <c r="L356" s="261"/>
      <c r="M356" s="261"/>
    </row>
    <row r="357" spans="5:13" ht="47.25">
      <c r="E357" s="261"/>
      <c r="F357" s="261"/>
      <c r="G357" s="261"/>
      <c r="H357" s="258" t="s">
        <v>3405</v>
      </c>
      <c r="I357" s="261"/>
      <c r="J357" s="261"/>
      <c r="K357" s="261"/>
      <c r="L357" s="261"/>
      <c r="M357" s="261"/>
    </row>
    <row r="358" spans="5:13">
      <c r="E358" s="261"/>
      <c r="F358" s="261"/>
      <c r="G358" s="261"/>
      <c r="H358" s="261"/>
      <c r="I358" s="261"/>
      <c r="J358" s="261"/>
      <c r="K358" s="261"/>
      <c r="L358" s="261"/>
      <c r="M358" s="261"/>
    </row>
    <row r="359" spans="5:13" ht="63">
      <c r="E359" s="261"/>
      <c r="F359" s="261"/>
      <c r="G359" s="261"/>
      <c r="H359" s="260" t="s">
        <v>3406</v>
      </c>
      <c r="I359" s="261"/>
      <c r="J359" s="261"/>
      <c r="K359" s="261"/>
      <c r="L359" s="261"/>
      <c r="M359" s="261"/>
    </row>
    <row r="360" spans="5:13" ht="31.5">
      <c r="E360" s="261"/>
      <c r="F360" s="261">
        <v>1</v>
      </c>
      <c r="G360" s="261" t="s">
        <v>1389</v>
      </c>
      <c r="H360" s="291" t="s">
        <v>4627</v>
      </c>
      <c r="I360" s="266">
        <v>889</v>
      </c>
      <c r="J360" s="261" t="s">
        <v>1389</v>
      </c>
      <c r="K360" s="261">
        <f>F360*I360</f>
        <v>889</v>
      </c>
      <c r="L360" s="261"/>
      <c r="M360" s="261"/>
    </row>
    <row r="361" spans="5:13" ht="31.5">
      <c r="E361" s="261"/>
      <c r="F361" s="261">
        <v>1</v>
      </c>
      <c r="G361" s="261" t="s">
        <v>1389</v>
      </c>
      <c r="H361" s="260" t="s">
        <v>4628</v>
      </c>
      <c r="I361" s="266">
        <v>161.30000000000001</v>
      </c>
      <c r="J361" s="261" t="s">
        <v>1389</v>
      </c>
      <c r="K361" s="261">
        <f>F361*I361</f>
        <v>161.30000000000001</v>
      </c>
      <c r="L361" s="261"/>
      <c r="M361" s="261"/>
    </row>
    <row r="362" spans="5:13" ht="31.5">
      <c r="E362" s="261"/>
      <c r="F362" s="261"/>
      <c r="G362" s="261"/>
      <c r="H362" s="260" t="s">
        <v>2587</v>
      </c>
      <c r="I362" s="261"/>
      <c r="J362" s="261"/>
      <c r="K362" s="261">
        <v>13.97</v>
      </c>
      <c r="L362" s="261"/>
      <c r="M362" s="261"/>
    </row>
    <row r="363" spans="5:13">
      <c r="E363" s="261"/>
      <c r="F363" s="261"/>
      <c r="G363" s="261"/>
      <c r="H363" s="261" t="s">
        <v>911</v>
      </c>
      <c r="I363" s="261"/>
      <c r="J363" s="261"/>
      <c r="K363" s="261">
        <f>K370</f>
        <v>704.67</v>
      </c>
      <c r="L363" s="261"/>
      <c r="M363" s="261"/>
    </row>
    <row r="364" spans="5:13">
      <c r="E364" s="261"/>
      <c r="F364" s="261"/>
      <c r="G364" s="261"/>
      <c r="H364" s="271" t="s">
        <v>1058</v>
      </c>
      <c r="I364" s="261"/>
      <c r="J364" s="261"/>
      <c r="K364" s="272">
        <f>SUM(K360:K363)</f>
        <v>1768.94</v>
      </c>
      <c r="L364" s="261">
        <f>1723-K364</f>
        <v>-45.94</v>
      </c>
      <c r="M364" s="261">
        <f>K364-1003</f>
        <v>765.94</v>
      </c>
    </row>
    <row r="365" spans="5:13">
      <c r="E365" s="261"/>
      <c r="F365" s="261"/>
      <c r="G365" s="261"/>
      <c r="H365" s="261"/>
      <c r="I365" s="261"/>
      <c r="J365" s="261"/>
      <c r="K365" s="261"/>
      <c r="L365" s="261"/>
      <c r="M365" s="261"/>
    </row>
    <row r="366" spans="5:13">
      <c r="E366" s="261"/>
      <c r="F366" s="261"/>
      <c r="G366" s="261"/>
      <c r="H366" s="270" t="s">
        <v>911</v>
      </c>
      <c r="I366" s="261"/>
      <c r="J366" s="261"/>
      <c r="K366" s="261"/>
      <c r="L366" s="261"/>
      <c r="M366" s="261"/>
    </row>
    <row r="367" spans="5:13">
      <c r="E367" s="261"/>
      <c r="F367" s="261">
        <v>1</v>
      </c>
      <c r="G367" s="261" t="s">
        <v>1389</v>
      </c>
      <c r="H367" s="261" t="s">
        <v>2588</v>
      </c>
      <c r="I367" s="261">
        <f>I327</f>
        <v>826</v>
      </c>
      <c r="J367" s="261" t="s">
        <v>1389</v>
      </c>
      <c r="K367" s="261">
        <f>F367*I367</f>
        <v>826</v>
      </c>
      <c r="L367" s="261"/>
      <c r="M367" s="261"/>
    </row>
    <row r="368" spans="5:13">
      <c r="E368" s="261"/>
      <c r="F368" s="261">
        <v>2</v>
      </c>
      <c r="G368" s="261" t="s">
        <v>1389</v>
      </c>
      <c r="H368" s="261" t="s">
        <v>3054</v>
      </c>
      <c r="I368" s="261">
        <f>I328</f>
        <v>644</v>
      </c>
      <c r="J368" s="261" t="s">
        <v>1389</v>
      </c>
      <c r="K368" s="261">
        <f>F368*I368</f>
        <v>1288</v>
      </c>
      <c r="L368" s="261"/>
      <c r="M368" s="261"/>
    </row>
    <row r="369" spans="5:18">
      <c r="E369" s="261"/>
      <c r="F369" s="261"/>
      <c r="G369" s="261"/>
      <c r="H369" s="269" t="s">
        <v>3056</v>
      </c>
      <c r="I369" s="261"/>
      <c r="J369" s="261"/>
      <c r="K369" s="261">
        <f>SUM(K367:K368)</f>
        <v>2114</v>
      </c>
      <c r="L369" s="261"/>
      <c r="M369" s="261"/>
    </row>
    <row r="370" spans="5:18">
      <c r="E370" s="261"/>
      <c r="F370" s="261"/>
      <c r="G370" s="261"/>
      <c r="H370" s="271" t="s">
        <v>2770</v>
      </c>
      <c r="I370" s="261"/>
      <c r="J370" s="261"/>
      <c r="K370" s="272">
        <f>K369/3</f>
        <v>704.67</v>
      </c>
      <c r="L370" s="261"/>
      <c r="M370" s="261"/>
    </row>
    <row r="371" spans="5:18">
      <c r="E371" s="261"/>
      <c r="F371" s="261"/>
      <c r="G371" s="261"/>
      <c r="H371" s="261"/>
      <c r="I371" s="261"/>
      <c r="J371" s="261"/>
      <c r="K371" s="261"/>
      <c r="L371" s="261"/>
      <c r="M371" s="261"/>
    </row>
    <row r="372" spans="5:18">
      <c r="E372" s="261"/>
      <c r="F372" s="261"/>
      <c r="G372" s="261"/>
      <c r="H372" s="272" t="s">
        <v>2589</v>
      </c>
      <c r="I372" s="261"/>
      <c r="J372" s="261"/>
      <c r="K372" s="261"/>
      <c r="L372" s="261"/>
      <c r="M372" s="261"/>
    </row>
    <row r="373" spans="5:18">
      <c r="E373" s="261"/>
      <c r="F373" s="261"/>
      <c r="G373" s="261"/>
      <c r="H373" s="261"/>
      <c r="I373" s="261"/>
      <c r="J373" s="261"/>
      <c r="K373" s="261"/>
      <c r="L373" s="261"/>
      <c r="M373" s="261"/>
    </row>
    <row r="374" spans="5:18" ht="78.75">
      <c r="E374" s="261"/>
      <c r="F374" s="261"/>
      <c r="G374" s="261"/>
      <c r="H374" s="258" t="s">
        <v>5637</v>
      </c>
      <c r="I374" s="261"/>
      <c r="J374" s="261"/>
      <c r="K374" s="261"/>
      <c r="L374" s="261"/>
      <c r="M374" s="261"/>
      <c r="N374" s="261"/>
      <c r="O374" s="258" t="s">
        <v>5638</v>
      </c>
      <c r="P374" s="261"/>
      <c r="Q374" s="261"/>
      <c r="R374" s="261"/>
    </row>
    <row r="375" spans="5:18" ht="31.5">
      <c r="E375" s="261"/>
      <c r="F375" s="261">
        <v>1</v>
      </c>
      <c r="G375" s="261" t="s">
        <v>1389</v>
      </c>
      <c r="H375" s="260" t="s">
        <v>5505</v>
      </c>
      <c r="I375" s="264">
        <v>1315</v>
      </c>
      <c r="J375" s="261" t="s">
        <v>1389</v>
      </c>
      <c r="K375" s="261">
        <f>F375*I375</f>
        <v>1315</v>
      </c>
      <c r="L375" s="261"/>
      <c r="M375" s="261">
        <v>1</v>
      </c>
      <c r="N375" s="261" t="s">
        <v>1389</v>
      </c>
      <c r="O375" s="260" t="s">
        <v>5547</v>
      </c>
      <c r="P375" s="264">
        <v>2866</v>
      </c>
      <c r="Q375" s="261" t="s">
        <v>1389</v>
      </c>
      <c r="R375" s="261">
        <f>M375*P375</f>
        <v>2866</v>
      </c>
    </row>
    <row r="376" spans="5:18" ht="31.5">
      <c r="E376" s="261"/>
      <c r="F376" s="261">
        <v>1</v>
      </c>
      <c r="G376" s="261" t="s">
        <v>1389</v>
      </c>
      <c r="H376" s="260" t="s">
        <v>4628</v>
      </c>
      <c r="I376" s="261">
        <f>I361</f>
        <v>161.30000000000001</v>
      </c>
      <c r="J376" s="261" t="s">
        <v>1389</v>
      </c>
      <c r="K376" s="261">
        <f>F376*I376</f>
        <v>161.30000000000001</v>
      </c>
      <c r="L376" s="261"/>
      <c r="M376" s="261">
        <v>1</v>
      </c>
      <c r="N376" s="261" t="s">
        <v>1389</v>
      </c>
      <c r="O376" s="260" t="s">
        <v>4628</v>
      </c>
      <c r="P376" s="261">
        <f>I376</f>
        <v>161.30000000000001</v>
      </c>
      <c r="Q376" s="261" t="s">
        <v>1389</v>
      </c>
      <c r="R376" s="261">
        <f>M376*P376</f>
        <v>161.30000000000001</v>
      </c>
    </row>
    <row r="377" spans="5:18" ht="31.5">
      <c r="E377" s="261"/>
      <c r="F377" s="261"/>
      <c r="G377" s="261"/>
      <c r="H377" s="260" t="s">
        <v>2587</v>
      </c>
      <c r="I377" s="261"/>
      <c r="J377" s="261"/>
      <c r="K377" s="261">
        <v>14.37</v>
      </c>
      <c r="L377" s="261"/>
      <c r="M377" s="261"/>
      <c r="N377" s="261"/>
      <c r="O377" s="260" t="s">
        <v>2587</v>
      </c>
      <c r="P377" s="261"/>
      <c r="Q377" s="261"/>
      <c r="R377" s="261">
        <f>K377</f>
        <v>14.37</v>
      </c>
    </row>
    <row r="378" spans="5:18">
      <c r="E378" s="261"/>
      <c r="F378" s="261"/>
      <c r="G378" s="261"/>
      <c r="H378" s="261" t="s">
        <v>911</v>
      </c>
      <c r="I378" s="261"/>
      <c r="J378" s="261"/>
      <c r="K378" s="261">
        <f>K370</f>
        <v>704.67</v>
      </c>
      <c r="L378" s="261"/>
      <c r="M378" s="261"/>
      <c r="N378" s="261"/>
      <c r="O378" s="261" t="s">
        <v>911</v>
      </c>
      <c r="P378" s="261"/>
      <c r="Q378" s="261"/>
      <c r="R378" s="261">
        <f>K378</f>
        <v>704.67</v>
      </c>
    </row>
    <row r="379" spans="5:18">
      <c r="E379" s="261"/>
      <c r="F379" s="261"/>
      <c r="G379" s="261"/>
      <c r="H379" s="271" t="s">
        <v>1058</v>
      </c>
      <c r="I379" s="261"/>
      <c r="J379" s="261"/>
      <c r="K379" s="272">
        <f>SUM(K375:K378)</f>
        <v>2195.34</v>
      </c>
      <c r="L379" s="261">
        <f>2159-K379</f>
        <v>-36.340000000000003</v>
      </c>
      <c r="M379" s="261"/>
      <c r="N379" s="261"/>
      <c r="O379" s="271" t="s">
        <v>1058</v>
      </c>
      <c r="P379" s="261"/>
      <c r="Q379" s="261"/>
      <c r="R379" s="272">
        <f>SUM(R375:R378)</f>
        <v>3746.34</v>
      </c>
    </row>
    <row r="380" spans="5:18">
      <c r="E380" s="261"/>
      <c r="F380" s="261"/>
      <c r="G380" s="261"/>
      <c r="H380" s="261"/>
      <c r="I380" s="261"/>
      <c r="J380" s="261"/>
      <c r="K380" s="261"/>
      <c r="L380" s="261"/>
      <c r="M380" s="261"/>
      <c r="N380" s="261"/>
      <c r="O380" s="261"/>
      <c r="P380" s="261"/>
      <c r="Q380" s="261"/>
      <c r="R380" s="261"/>
    </row>
    <row r="381" spans="5:18">
      <c r="E381" s="261"/>
      <c r="F381" s="261"/>
      <c r="G381" s="261"/>
      <c r="H381" s="272" t="s">
        <v>2604</v>
      </c>
      <c r="I381" s="261"/>
      <c r="J381" s="261"/>
      <c r="K381" s="261"/>
      <c r="L381" s="261"/>
      <c r="M381" s="261"/>
    </row>
    <row r="382" spans="5:18">
      <c r="E382" s="261"/>
      <c r="F382" s="261"/>
      <c r="G382" s="261"/>
      <c r="H382" s="261"/>
      <c r="I382" s="261"/>
      <c r="J382" s="261"/>
      <c r="K382" s="261"/>
      <c r="L382" s="261"/>
      <c r="M382" s="261"/>
    </row>
    <row r="383" spans="5:18" ht="47.25">
      <c r="E383" s="261"/>
      <c r="F383" s="261"/>
      <c r="G383" s="261"/>
      <c r="H383" s="258" t="s">
        <v>3113</v>
      </c>
      <c r="I383" s="261"/>
      <c r="J383" s="261"/>
      <c r="K383" s="261"/>
      <c r="L383" s="261"/>
      <c r="M383" s="261"/>
    </row>
    <row r="384" spans="5:18" ht="78.75">
      <c r="E384" s="261"/>
      <c r="F384" s="261"/>
      <c r="G384" s="261"/>
      <c r="H384" s="260" t="s">
        <v>3376</v>
      </c>
      <c r="I384" s="261"/>
      <c r="J384" s="261"/>
      <c r="K384" s="261"/>
      <c r="L384" s="261"/>
      <c r="M384" s="261"/>
    </row>
    <row r="385" spans="5:14">
      <c r="E385" s="261"/>
      <c r="F385" s="261"/>
      <c r="G385" s="261"/>
      <c r="H385" s="261"/>
      <c r="I385" s="261"/>
      <c r="J385" s="261"/>
      <c r="K385" s="261"/>
      <c r="L385" s="261"/>
      <c r="M385" s="261"/>
    </row>
    <row r="386" spans="5:14" ht="31.5">
      <c r="E386" s="261"/>
      <c r="F386" s="261">
        <v>1</v>
      </c>
      <c r="G386" s="261" t="s">
        <v>1389</v>
      </c>
      <c r="H386" s="260" t="s">
        <v>4967</v>
      </c>
      <c r="I386" s="263">
        <v>2311</v>
      </c>
      <c r="J386" s="261" t="s">
        <v>1389</v>
      </c>
      <c r="K386" s="261">
        <f>F386*I386</f>
        <v>2311</v>
      </c>
      <c r="L386" s="261"/>
      <c r="M386" s="261"/>
    </row>
    <row r="387" spans="5:14">
      <c r="E387" s="261"/>
      <c r="F387" s="261">
        <v>1</v>
      </c>
      <c r="G387" s="261" t="s">
        <v>1389</v>
      </c>
      <c r="H387" s="261" t="s">
        <v>3377</v>
      </c>
      <c r="I387" s="261">
        <f>K391</f>
        <v>422.33</v>
      </c>
      <c r="J387" s="261" t="s">
        <v>1389</v>
      </c>
      <c r="K387" s="261">
        <f>F387*I387</f>
        <v>422.33</v>
      </c>
      <c r="L387" s="261"/>
      <c r="M387" s="261"/>
    </row>
    <row r="388" spans="5:14" ht="31.5">
      <c r="E388" s="261"/>
      <c r="F388" s="261"/>
      <c r="G388" s="261"/>
      <c r="H388" s="260" t="s">
        <v>3378</v>
      </c>
      <c r="I388" s="261"/>
      <c r="J388" s="261"/>
      <c r="K388" s="261">
        <v>28.34</v>
      </c>
      <c r="L388" s="261"/>
      <c r="M388" s="261"/>
    </row>
    <row r="389" spans="5:14">
      <c r="E389" s="261"/>
      <c r="F389" s="261"/>
      <c r="G389" s="261"/>
      <c r="H389" s="261" t="s">
        <v>911</v>
      </c>
      <c r="I389" s="261"/>
      <c r="J389" s="261"/>
      <c r="K389" s="261">
        <f>K370</f>
        <v>704.67</v>
      </c>
      <c r="L389" s="261"/>
      <c r="M389" s="261"/>
    </row>
    <row r="390" spans="5:14">
      <c r="E390" s="261"/>
      <c r="F390" s="261"/>
      <c r="G390" s="261"/>
      <c r="H390" s="271" t="s">
        <v>1058</v>
      </c>
      <c r="I390" s="261"/>
      <c r="J390" s="261"/>
      <c r="K390" s="272">
        <f>SUM(K386:K389)</f>
        <v>3466.34</v>
      </c>
      <c r="L390" s="261">
        <f>3343-K390</f>
        <v>-123.34</v>
      </c>
      <c r="M390" s="261">
        <f>3533-K390</f>
        <v>66.66</v>
      </c>
    </row>
    <row r="391" spans="5:14" ht="31.5">
      <c r="E391" s="261"/>
      <c r="F391" s="261"/>
      <c r="G391" s="261"/>
      <c r="H391" s="260" t="s">
        <v>5617</v>
      </c>
      <c r="I391" s="263">
        <f>N391</f>
        <v>104280</v>
      </c>
      <c r="J391" s="292">
        <f>0.75*0.45*0.012</f>
        <v>4.0499999999999998E-3</v>
      </c>
      <c r="K391" s="261">
        <f>J391*I391</f>
        <v>422.33</v>
      </c>
      <c r="L391" s="261"/>
      <c r="M391" s="261"/>
      <c r="N391" s="252">
        <f>12980 +91300</f>
        <v>104280</v>
      </c>
    </row>
    <row r="392" spans="5:14">
      <c r="E392" s="261"/>
      <c r="F392" s="261"/>
      <c r="G392" s="261"/>
      <c r="H392" s="272" t="s">
        <v>3379</v>
      </c>
      <c r="I392" s="261"/>
      <c r="J392" s="261"/>
      <c r="K392" s="261"/>
      <c r="L392" s="261"/>
      <c r="M392" s="261"/>
    </row>
    <row r="393" spans="5:14">
      <c r="E393" s="261"/>
      <c r="F393" s="261"/>
      <c r="G393" s="261"/>
      <c r="H393" s="261"/>
      <c r="I393" s="261"/>
      <c r="J393" s="261"/>
      <c r="K393" s="261"/>
      <c r="L393" s="261"/>
      <c r="M393" s="261"/>
    </row>
    <row r="394" spans="5:14" ht="63">
      <c r="E394" s="261"/>
      <c r="F394" s="261"/>
      <c r="G394" s="261"/>
      <c r="H394" s="258" t="s">
        <v>2572</v>
      </c>
      <c r="I394" s="261"/>
      <c r="J394" s="261"/>
      <c r="K394" s="261"/>
      <c r="L394" s="261"/>
      <c r="M394" s="261"/>
    </row>
    <row r="395" spans="5:14">
      <c r="E395" s="261"/>
      <c r="F395" s="261"/>
      <c r="G395" s="261"/>
      <c r="H395" s="261"/>
      <c r="I395" s="261"/>
      <c r="J395" s="261"/>
      <c r="K395" s="261"/>
      <c r="L395" s="261"/>
      <c r="M395" s="261"/>
    </row>
    <row r="396" spans="5:14">
      <c r="E396" s="261"/>
      <c r="F396" s="261"/>
      <c r="G396" s="261"/>
      <c r="H396" s="261" t="s">
        <v>2573</v>
      </c>
      <c r="I396" s="261"/>
      <c r="J396" s="261"/>
      <c r="K396" s="261"/>
      <c r="L396" s="261"/>
      <c r="M396" s="261"/>
    </row>
    <row r="397" spans="5:14">
      <c r="E397" s="261"/>
      <c r="F397" s="261"/>
      <c r="G397" s="261"/>
      <c r="H397" s="261"/>
      <c r="I397" s="261"/>
      <c r="J397" s="261"/>
      <c r="K397" s="261"/>
      <c r="L397" s="261"/>
      <c r="M397" s="261"/>
    </row>
    <row r="398" spans="5:14">
      <c r="E398" s="261"/>
      <c r="F398" s="261"/>
      <c r="G398" s="261"/>
      <c r="H398" s="261" t="s">
        <v>2938</v>
      </c>
      <c r="I398" s="261"/>
      <c r="J398" s="261"/>
      <c r="K398" s="261">
        <f>K390</f>
        <v>3466.34</v>
      </c>
      <c r="L398" s="261"/>
      <c r="M398" s="261"/>
    </row>
    <row r="399" spans="5:14">
      <c r="E399" s="261"/>
      <c r="F399" s="261">
        <v>1</v>
      </c>
      <c r="G399" s="261" t="s">
        <v>1389</v>
      </c>
      <c r="H399" s="261" t="s">
        <v>4968</v>
      </c>
      <c r="I399" s="263">
        <v>3093</v>
      </c>
      <c r="J399" s="261" t="s">
        <v>1389</v>
      </c>
      <c r="K399" s="261">
        <f>F399*I399</f>
        <v>3093</v>
      </c>
      <c r="L399" s="261"/>
      <c r="M399" s="261"/>
    </row>
    <row r="400" spans="5:14">
      <c r="E400" s="261"/>
      <c r="F400" s="261">
        <v>1</v>
      </c>
      <c r="G400" s="261" t="s">
        <v>1389</v>
      </c>
      <c r="H400" s="261" t="s">
        <v>5618</v>
      </c>
      <c r="I400" s="261">
        <f>I386</f>
        <v>2311</v>
      </c>
      <c r="J400" s="261" t="s">
        <v>1389</v>
      </c>
      <c r="K400" s="261">
        <f>F400*I400</f>
        <v>2311</v>
      </c>
      <c r="L400" s="261"/>
      <c r="M400" s="261"/>
    </row>
    <row r="401" spans="5:19">
      <c r="E401" s="261"/>
      <c r="F401" s="261"/>
      <c r="G401" s="261"/>
      <c r="H401" s="261" t="s">
        <v>2261</v>
      </c>
      <c r="I401" s="261"/>
      <c r="J401" s="261"/>
      <c r="K401" s="261"/>
      <c r="L401" s="261"/>
      <c r="M401" s="261"/>
    </row>
    <row r="402" spans="5:19">
      <c r="E402" s="261"/>
      <c r="F402" s="261"/>
      <c r="G402" s="261"/>
      <c r="H402" s="271" t="s">
        <v>1058</v>
      </c>
      <c r="I402" s="261"/>
      <c r="J402" s="261"/>
      <c r="K402" s="272">
        <f>K398+K399-K400+K401</f>
        <v>4248.34</v>
      </c>
      <c r="L402" s="261">
        <f>4017-K402</f>
        <v>-231.34</v>
      </c>
      <c r="M402" s="261"/>
    </row>
    <row r="403" spans="5:19">
      <c r="E403" s="261"/>
      <c r="F403" s="261"/>
      <c r="G403" s="261"/>
      <c r="H403" s="261"/>
      <c r="I403" s="261"/>
      <c r="J403" s="261"/>
      <c r="K403" s="261">
        <f>K402*2</f>
        <v>8496.68</v>
      </c>
      <c r="L403" s="261"/>
      <c r="M403" s="261"/>
    </row>
    <row r="404" spans="5:19">
      <c r="E404" s="261"/>
      <c r="F404" s="261"/>
      <c r="G404" s="261"/>
      <c r="H404" s="272" t="s">
        <v>2589</v>
      </c>
      <c r="I404" s="261"/>
      <c r="J404" s="261"/>
      <c r="K404" s="261"/>
      <c r="L404" s="261"/>
      <c r="M404" s="261"/>
    </row>
    <row r="405" spans="5:19">
      <c r="E405" s="261"/>
      <c r="F405" s="261"/>
      <c r="G405" s="261"/>
      <c r="H405" s="261"/>
      <c r="I405" s="261"/>
      <c r="J405" s="261"/>
      <c r="K405" s="261"/>
      <c r="L405" s="261"/>
      <c r="M405" s="261"/>
      <c r="P405" s="252" t="s">
        <v>4668</v>
      </c>
    </row>
    <row r="406" spans="5:19" ht="31.5">
      <c r="E406" s="261"/>
      <c r="F406" s="261"/>
      <c r="G406" s="261"/>
      <c r="H406" s="258" t="s">
        <v>3328</v>
      </c>
      <c r="I406" s="261"/>
      <c r="J406" s="261"/>
      <c r="K406" s="261"/>
      <c r="L406" s="261"/>
      <c r="M406" s="261"/>
      <c r="O406" s="258" t="s">
        <v>4663</v>
      </c>
    </row>
    <row r="407" spans="5:19">
      <c r="E407" s="261"/>
      <c r="F407" s="261"/>
      <c r="G407" s="261"/>
      <c r="H407" s="261"/>
      <c r="I407" s="261"/>
      <c r="J407" s="261"/>
      <c r="K407" s="261"/>
      <c r="L407" s="261"/>
      <c r="M407" s="261"/>
    </row>
    <row r="408" spans="5:19" ht="78.75">
      <c r="E408" s="261"/>
      <c r="F408" s="261"/>
      <c r="G408" s="261"/>
      <c r="H408" s="260" t="s">
        <v>2313</v>
      </c>
      <c r="I408" s="261"/>
      <c r="J408" s="261"/>
      <c r="K408" s="261"/>
      <c r="L408" s="261"/>
      <c r="M408" s="261">
        <v>1</v>
      </c>
      <c r="N408" s="261" t="s">
        <v>1389</v>
      </c>
      <c r="O408" s="259" t="s">
        <v>4664</v>
      </c>
      <c r="P408" s="261">
        <v>2487</v>
      </c>
      <c r="Q408" s="261" t="s">
        <v>1389</v>
      </c>
      <c r="R408" s="261">
        <f>P408*M408</f>
        <v>2487</v>
      </c>
    </row>
    <row r="409" spans="5:19">
      <c r="E409" s="261"/>
      <c r="F409" s="261">
        <v>2</v>
      </c>
      <c r="G409" s="261" t="s">
        <v>1389</v>
      </c>
      <c r="H409" s="261" t="s">
        <v>4969</v>
      </c>
      <c r="I409" s="263">
        <v>558</v>
      </c>
      <c r="J409" s="261" t="s">
        <v>2857</v>
      </c>
      <c r="K409" s="261">
        <f>F409*(I409/100)</f>
        <v>11.16</v>
      </c>
      <c r="L409" s="261"/>
      <c r="M409" s="261"/>
      <c r="N409" s="261"/>
      <c r="O409" s="261"/>
      <c r="P409" s="263"/>
      <c r="Q409" s="261"/>
      <c r="R409" s="261"/>
    </row>
    <row r="410" spans="5:19">
      <c r="E410" s="261"/>
      <c r="F410" s="261">
        <v>2</v>
      </c>
      <c r="G410" s="261" t="s">
        <v>823</v>
      </c>
      <c r="H410" s="261" t="s">
        <v>2314</v>
      </c>
      <c r="I410" s="293">
        <v>914.1</v>
      </c>
      <c r="J410" s="261" t="s">
        <v>2315</v>
      </c>
      <c r="K410" s="261">
        <f>F410*(I410/100)</f>
        <v>18.28</v>
      </c>
      <c r="L410" s="261"/>
      <c r="M410" s="261">
        <v>1</v>
      </c>
      <c r="N410" s="261" t="s">
        <v>823</v>
      </c>
      <c r="O410" s="261" t="s">
        <v>4665</v>
      </c>
      <c r="P410" s="293">
        <v>8.5500000000000007</v>
      </c>
      <c r="Q410" s="261" t="s">
        <v>4666</v>
      </c>
      <c r="R410" s="261">
        <f>P410*M410</f>
        <v>8.5500000000000007</v>
      </c>
      <c r="S410" s="252">
        <f>R408+R410</f>
        <v>2495.5500000000002</v>
      </c>
    </row>
    <row r="411" spans="5:19">
      <c r="E411" s="261"/>
      <c r="F411" s="261"/>
      <c r="G411" s="261"/>
      <c r="H411" s="261" t="s">
        <v>2316</v>
      </c>
      <c r="I411" s="261"/>
      <c r="J411" s="261"/>
      <c r="K411" s="261">
        <v>8.61</v>
      </c>
      <c r="L411" s="261"/>
      <c r="M411" s="261"/>
      <c r="N411" s="261"/>
      <c r="O411" s="261" t="s">
        <v>4667</v>
      </c>
      <c r="P411" s="261"/>
      <c r="Q411" s="261"/>
      <c r="R411" s="261">
        <v>25.2</v>
      </c>
    </row>
    <row r="412" spans="5:19">
      <c r="E412" s="261"/>
      <c r="F412" s="261"/>
      <c r="G412" s="261"/>
      <c r="H412" s="261" t="s">
        <v>3343</v>
      </c>
      <c r="I412" s="261"/>
      <c r="J412" s="261"/>
      <c r="K412" s="261">
        <f>K420</f>
        <v>274.88</v>
      </c>
      <c r="L412" s="261"/>
      <c r="M412" s="261"/>
      <c r="N412" s="261"/>
      <c r="O412" s="261" t="s">
        <v>3343</v>
      </c>
      <c r="P412" s="261"/>
      <c r="Q412" s="261"/>
      <c r="R412" s="261">
        <f>K412</f>
        <v>274.88</v>
      </c>
    </row>
    <row r="413" spans="5:19">
      <c r="E413" s="261"/>
      <c r="F413" s="261"/>
      <c r="G413" s="261"/>
      <c r="H413" s="271" t="s">
        <v>1058</v>
      </c>
      <c r="I413" s="261"/>
      <c r="J413" s="261"/>
      <c r="K413" s="272">
        <f>SUM(K409:K412)</f>
        <v>312.93</v>
      </c>
      <c r="L413" s="261">
        <f>384.3+249</f>
        <v>633.29999999999995</v>
      </c>
      <c r="M413" s="261"/>
      <c r="N413" s="261"/>
      <c r="O413" s="271" t="s">
        <v>1058</v>
      </c>
      <c r="P413" s="261"/>
      <c r="Q413" s="261"/>
      <c r="R413" s="272">
        <f>SUM(R408:R412)</f>
        <v>2795.63</v>
      </c>
    </row>
    <row r="414" spans="5:19">
      <c r="E414" s="261"/>
      <c r="F414" s="261"/>
      <c r="G414" s="261"/>
      <c r="H414" s="261"/>
      <c r="I414" s="261"/>
      <c r="J414" s="261"/>
      <c r="K414" s="261"/>
      <c r="L414" s="261"/>
      <c r="M414" s="261"/>
    </row>
    <row r="415" spans="5:19">
      <c r="E415" s="261"/>
      <c r="F415" s="261"/>
      <c r="H415" s="270" t="s">
        <v>3344</v>
      </c>
      <c r="I415" s="261"/>
      <c r="J415" s="261"/>
      <c r="K415" s="261"/>
      <c r="L415" s="261"/>
      <c r="M415" s="261"/>
    </row>
    <row r="416" spans="5:19">
      <c r="E416" s="261"/>
      <c r="F416" s="261">
        <v>1</v>
      </c>
      <c r="G416" s="261" t="s">
        <v>1389</v>
      </c>
      <c r="H416" s="261" t="s">
        <v>2744</v>
      </c>
      <c r="I416" s="261">
        <f>I36</f>
        <v>826</v>
      </c>
      <c r="J416" s="261" t="s">
        <v>1389</v>
      </c>
      <c r="K416" s="261">
        <f>F416*I416</f>
        <v>826</v>
      </c>
      <c r="L416" s="261"/>
      <c r="M416" s="261"/>
    </row>
    <row r="417" spans="5:13">
      <c r="E417" s="261"/>
      <c r="F417" s="261">
        <v>2</v>
      </c>
      <c r="G417" s="261" t="s">
        <v>1389</v>
      </c>
      <c r="H417" s="261" t="s">
        <v>2575</v>
      </c>
      <c r="I417" s="261">
        <f>I37</f>
        <v>820</v>
      </c>
      <c r="J417" s="261" t="s">
        <v>1389</v>
      </c>
      <c r="K417" s="261">
        <f>F417*I417</f>
        <v>1640</v>
      </c>
      <c r="L417" s="261"/>
      <c r="M417" s="261"/>
    </row>
    <row r="418" spans="5:13">
      <c r="E418" s="261"/>
      <c r="F418" s="261">
        <v>3</v>
      </c>
      <c r="G418" s="261" t="s">
        <v>1389</v>
      </c>
      <c r="H418" s="261" t="s">
        <v>3054</v>
      </c>
      <c r="I418" s="261">
        <f>I38</f>
        <v>644</v>
      </c>
      <c r="J418" s="261" t="s">
        <v>1389</v>
      </c>
      <c r="K418" s="261">
        <f>F418*I418</f>
        <v>1932</v>
      </c>
      <c r="L418" s="261"/>
      <c r="M418" s="261"/>
    </row>
    <row r="419" spans="5:13">
      <c r="E419" s="261"/>
      <c r="F419" s="261"/>
      <c r="G419" s="261"/>
      <c r="H419" s="269" t="s">
        <v>3345</v>
      </c>
      <c r="I419" s="261"/>
      <c r="J419" s="261"/>
      <c r="K419" s="270">
        <f>SUM(K416:K418)</f>
        <v>4398</v>
      </c>
      <c r="L419" s="261"/>
      <c r="M419" s="261"/>
    </row>
    <row r="420" spans="5:13">
      <c r="E420" s="261"/>
      <c r="F420" s="261"/>
      <c r="G420" s="261"/>
      <c r="H420" s="271" t="s">
        <v>2770</v>
      </c>
      <c r="I420" s="261"/>
      <c r="J420" s="261"/>
      <c r="K420" s="272">
        <f>K419/16</f>
        <v>274.88</v>
      </c>
      <c r="L420" s="261"/>
      <c r="M420" s="261"/>
    </row>
    <row r="421" spans="5:13">
      <c r="E421" s="261"/>
      <c r="F421" s="261"/>
      <c r="G421" s="261"/>
      <c r="H421" s="261"/>
      <c r="I421" s="261"/>
      <c r="J421" s="261"/>
      <c r="K421" s="261"/>
      <c r="L421" s="261"/>
      <c r="M421" s="261"/>
    </row>
    <row r="422" spans="5:13">
      <c r="E422" s="261"/>
      <c r="F422" s="261"/>
      <c r="G422" s="261"/>
      <c r="H422" s="272" t="s">
        <v>3346</v>
      </c>
      <c r="I422" s="261"/>
      <c r="J422" s="261"/>
      <c r="K422" s="261"/>
      <c r="L422" s="261"/>
      <c r="M422" s="261"/>
    </row>
    <row r="423" spans="5:13">
      <c r="E423" s="261"/>
      <c r="F423" s="261"/>
      <c r="G423" s="261"/>
      <c r="H423" s="258" t="s">
        <v>3347</v>
      </c>
      <c r="I423" s="261"/>
      <c r="J423" s="261"/>
      <c r="K423" s="261"/>
      <c r="L423" s="261"/>
      <c r="M423" s="261"/>
    </row>
    <row r="424" spans="5:13">
      <c r="E424" s="261"/>
      <c r="F424" s="261"/>
      <c r="G424" s="261"/>
      <c r="H424" s="261"/>
      <c r="I424" s="261"/>
      <c r="J424" s="261"/>
      <c r="K424" s="261"/>
      <c r="L424" s="261"/>
      <c r="M424" s="261"/>
    </row>
    <row r="425" spans="5:13" ht="94.5">
      <c r="E425" s="261"/>
      <c r="F425" s="261"/>
      <c r="G425" s="261"/>
      <c r="H425" s="260" t="s">
        <v>2719</v>
      </c>
      <c r="I425" s="261"/>
      <c r="J425" s="261"/>
      <c r="K425" s="261"/>
      <c r="L425" s="261"/>
      <c r="M425" s="261"/>
    </row>
    <row r="426" spans="5:13">
      <c r="E426" s="261"/>
      <c r="F426" s="261">
        <v>1.5</v>
      </c>
      <c r="G426" s="261" t="s">
        <v>823</v>
      </c>
      <c r="H426" s="261" t="s">
        <v>4970</v>
      </c>
      <c r="I426" s="263">
        <v>36.200000000000003</v>
      </c>
      <c r="J426" s="261" t="s">
        <v>823</v>
      </c>
      <c r="K426" s="261">
        <f>F426*I426</f>
        <v>54.3</v>
      </c>
      <c r="L426" s="261"/>
      <c r="M426" s="261"/>
    </row>
    <row r="427" spans="5:13">
      <c r="E427" s="261"/>
      <c r="F427" s="261">
        <v>2</v>
      </c>
      <c r="G427" s="261" t="s">
        <v>1389</v>
      </c>
      <c r="H427" s="261" t="s">
        <v>2720</v>
      </c>
      <c r="I427" s="261">
        <f>I409</f>
        <v>558</v>
      </c>
      <c r="J427" s="261" t="s">
        <v>2857</v>
      </c>
      <c r="K427" s="261">
        <f>F427*(I427/100)</f>
        <v>11.16</v>
      </c>
      <c r="L427" s="261"/>
      <c r="M427" s="261"/>
    </row>
    <row r="428" spans="5:13">
      <c r="E428" s="261"/>
      <c r="F428" s="261">
        <v>2</v>
      </c>
      <c r="G428" s="261" t="s">
        <v>823</v>
      </c>
      <c r="H428" s="261" t="s">
        <v>2314</v>
      </c>
      <c r="I428" s="261">
        <f>I410</f>
        <v>914.1</v>
      </c>
      <c r="J428" s="261" t="s">
        <v>823</v>
      </c>
      <c r="K428" s="261">
        <f>F428*(I428/100)</f>
        <v>18.28</v>
      </c>
      <c r="L428" s="261"/>
      <c r="M428" s="261"/>
    </row>
    <row r="429" spans="5:13" ht="31.5">
      <c r="E429" s="261"/>
      <c r="F429" s="261"/>
      <c r="G429" s="261"/>
      <c r="H429" s="260" t="s">
        <v>2721</v>
      </c>
      <c r="I429" s="261"/>
      <c r="J429" s="261"/>
      <c r="K429" s="261">
        <v>6.06</v>
      </c>
      <c r="L429" s="261"/>
      <c r="M429" s="261"/>
    </row>
    <row r="430" spans="5:13">
      <c r="E430" s="261"/>
      <c r="F430" s="261"/>
      <c r="G430" s="261"/>
      <c r="H430" s="261" t="s">
        <v>911</v>
      </c>
      <c r="I430" s="261"/>
      <c r="J430" s="261"/>
      <c r="K430" s="261">
        <f>K438</f>
        <v>439.8</v>
      </c>
      <c r="L430" s="261"/>
      <c r="M430" s="261"/>
    </row>
    <row r="431" spans="5:13">
      <c r="E431" s="261"/>
      <c r="F431" s="261"/>
      <c r="G431" s="261"/>
      <c r="H431" s="271" t="s">
        <v>1058</v>
      </c>
      <c r="I431" s="261"/>
      <c r="J431" s="261"/>
      <c r="K431" s="272">
        <f>SUM(K426:K430)</f>
        <v>529.6</v>
      </c>
      <c r="L431" s="261">
        <f>K431-320</f>
        <v>209.6</v>
      </c>
      <c r="M431" s="261"/>
    </row>
    <row r="432" spans="5:13">
      <c r="E432" s="261"/>
      <c r="F432" s="261"/>
      <c r="G432" s="261"/>
      <c r="H432" s="261"/>
      <c r="I432" s="261"/>
      <c r="J432" s="261"/>
      <c r="K432" s="261"/>
      <c r="L432" s="261"/>
      <c r="M432" s="261"/>
    </row>
    <row r="433" spans="5:13">
      <c r="E433" s="261"/>
      <c r="F433" s="261"/>
      <c r="G433" s="261"/>
      <c r="H433" s="272" t="s">
        <v>140</v>
      </c>
      <c r="I433" s="261"/>
      <c r="J433" s="261"/>
      <c r="K433" s="261"/>
      <c r="L433" s="261"/>
      <c r="M433" s="261"/>
    </row>
    <row r="434" spans="5:13">
      <c r="E434" s="261"/>
      <c r="F434" s="261">
        <v>1</v>
      </c>
      <c r="G434" s="261" t="s">
        <v>1389</v>
      </c>
      <c r="H434" s="261" t="s">
        <v>2744</v>
      </c>
      <c r="I434" s="261">
        <f>I416</f>
        <v>826</v>
      </c>
      <c r="J434" s="261" t="s">
        <v>1389</v>
      </c>
      <c r="K434" s="261">
        <f>F434*I434</f>
        <v>826</v>
      </c>
      <c r="L434" s="261"/>
      <c r="M434" s="261"/>
    </row>
    <row r="435" spans="5:13">
      <c r="E435" s="261"/>
      <c r="F435" s="261">
        <v>2</v>
      </c>
      <c r="G435" s="261" t="s">
        <v>1389</v>
      </c>
      <c r="H435" s="261" t="s">
        <v>2575</v>
      </c>
      <c r="I435" s="261">
        <f>I417</f>
        <v>820</v>
      </c>
      <c r="J435" s="261" t="s">
        <v>1389</v>
      </c>
      <c r="K435" s="261">
        <f>F435*I435</f>
        <v>1640</v>
      </c>
      <c r="L435" s="261"/>
      <c r="M435" s="261"/>
    </row>
    <row r="436" spans="5:13">
      <c r="E436" s="261"/>
      <c r="F436" s="261">
        <v>3</v>
      </c>
      <c r="G436" s="261" t="s">
        <v>1389</v>
      </c>
      <c r="H436" s="261" t="s">
        <v>3054</v>
      </c>
      <c r="I436" s="261">
        <f>I418</f>
        <v>644</v>
      </c>
      <c r="J436" s="261" t="s">
        <v>1389</v>
      </c>
      <c r="K436" s="261">
        <f>F436*I436</f>
        <v>1932</v>
      </c>
      <c r="L436" s="261"/>
      <c r="M436" s="261"/>
    </row>
    <row r="437" spans="5:13">
      <c r="E437" s="261"/>
      <c r="F437" s="261"/>
      <c r="G437" s="261"/>
      <c r="H437" s="269" t="s">
        <v>2722</v>
      </c>
      <c r="I437" s="261"/>
      <c r="J437" s="261"/>
      <c r="K437" s="270">
        <f>SUM(K434:K436)</f>
        <v>4398</v>
      </c>
      <c r="L437" s="261"/>
      <c r="M437" s="261"/>
    </row>
    <row r="438" spans="5:13">
      <c r="E438" s="261"/>
      <c r="F438" s="261"/>
      <c r="G438" s="261"/>
      <c r="H438" s="271" t="s">
        <v>2770</v>
      </c>
      <c r="I438" s="261"/>
      <c r="J438" s="261"/>
      <c r="K438" s="272">
        <f>K437/10</f>
        <v>439.8</v>
      </c>
      <c r="L438" s="261"/>
      <c r="M438" s="261"/>
    </row>
    <row r="439" spans="5:13">
      <c r="E439" s="261"/>
      <c r="F439" s="261"/>
      <c r="G439" s="261"/>
      <c r="H439" s="261"/>
      <c r="I439" s="261"/>
      <c r="J439" s="261"/>
      <c r="K439" s="261"/>
      <c r="L439" s="261"/>
      <c r="M439" s="261"/>
    </row>
    <row r="440" spans="5:13">
      <c r="E440" s="261"/>
      <c r="F440" s="261"/>
      <c r="G440" s="261"/>
      <c r="H440" s="272" t="s">
        <v>3379</v>
      </c>
      <c r="I440" s="261"/>
      <c r="J440" s="261"/>
      <c r="K440" s="261"/>
      <c r="L440" s="261"/>
      <c r="M440" s="261"/>
    </row>
    <row r="441" spans="5:13" ht="63">
      <c r="E441" s="261"/>
      <c r="F441" s="261"/>
      <c r="G441" s="261"/>
      <c r="H441" s="260" t="s">
        <v>3093</v>
      </c>
      <c r="I441" s="261"/>
      <c r="J441" s="261"/>
      <c r="K441" s="261"/>
      <c r="L441" s="261"/>
      <c r="M441" s="261"/>
    </row>
    <row r="442" spans="5:13">
      <c r="E442" s="261"/>
      <c r="F442" s="261"/>
      <c r="G442" s="261"/>
      <c r="H442" s="261"/>
      <c r="I442" s="261"/>
      <c r="J442" s="261"/>
      <c r="K442" s="261"/>
      <c r="L442" s="261"/>
      <c r="M442" s="261"/>
    </row>
    <row r="443" spans="5:13">
      <c r="E443" s="261"/>
      <c r="F443" s="261">
        <v>1</v>
      </c>
      <c r="G443" s="261" t="s">
        <v>823</v>
      </c>
      <c r="H443" s="261" t="s">
        <v>2314</v>
      </c>
      <c r="I443" s="261">
        <f>I428</f>
        <v>914.1</v>
      </c>
      <c r="J443" s="261" t="s">
        <v>3094</v>
      </c>
      <c r="K443" s="261">
        <f>F443*(I443/100)</f>
        <v>9.14</v>
      </c>
      <c r="L443" s="261"/>
      <c r="M443" s="261"/>
    </row>
    <row r="444" spans="5:13">
      <c r="E444" s="261"/>
      <c r="F444" s="261"/>
      <c r="G444" s="261"/>
      <c r="H444" s="261" t="s">
        <v>140</v>
      </c>
      <c r="I444" s="261"/>
      <c r="J444" s="261"/>
      <c r="K444" s="261">
        <f>K451</f>
        <v>586.79999999999995</v>
      </c>
      <c r="L444" s="261"/>
      <c r="M444" s="261"/>
    </row>
    <row r="445" spans="5:13">
      <c r="E445" s="261"/>
      <c r="F445" s="261"/>
      <c r="G445" s="261"/>
      <c r="H445" s="261" t="s">
        <v>2317</v>
      </c>
      <c r="J445" s="261"/>
      <c r="K445" s="261">
        <v>5.26</v>
      </c>
      <c r="L445" s="261"/>
      <c r="M445" s="261"/>
    </row>
    <row r="446" spans="5:13">
      <c r="E446" s="261"/>
      <c r="F446" s="261"/>
      <c r="G446" s="261"/>
      <c r="H446" s="270" t="s">
        <v>3095</v>
      </c>
      <c r="I446" s="272" t="s">
        <v>1058</v>
      </c>
      <c r="J446" s="261"/>
      <c r="K446" s="272">
        <f>SUM(K443:K445)</f>
        <v>601.20000000000005</v>
      </c>
      <c r="L446" s="261">
        <f>467-K446</f>
        <v>-134.19999999999999</v>
      </c>
      <c r="M446" s="261"/>
    </row>
    <row r="447" spans="5:13">
      <c r="E447" s="261"/>
      <c r="F447" s="261">
        <v>1</v>
      </c>
      <c r="G447" s="261" t="s">
        <v>1389</v>
      </c>
      <c r="H447" s="261" t="s">
        <v>2744</v>
      </c>
      <c r="I447" s="261">
        <f>I434</f>
        <v>826</v>
      </c>
      <c r="J447" s="261" t="s">
        <v>1389</v>
      </c>
      <c r="K447" s="261">
        <f>F447*I447</f>
        <v>826</v>
      </c>
      <c r="L447" s="261"/>
      <c r="M447" s="261"/>
    </row>
    <row r="448" spans="5:13">
      <c r="E448" s="261"/>
      <c r="F448" s="261">
        <v>1</v>
      </c>
      <c r="G448" s="261" t="s">
        <v>1389</v>
      </c>
      <c r="H448" s="261" t="s">
        <v>2575</v>
      </c>
      <c r="I448" s="261">
        <f>I435</f>
        <v>820</v>
      </c>
      <c r="J448" s="261" t="s">
        <v>1389</v>
      </c>
      <c r="K448" s="261">
        <f>F448*I448</f>
        <v>820</v>
      </c>
      <c r="L448" s="261"/>
      <c r="M448" s="261"/>
    </row>
    <row r="449" spans="5:13">
      <c r="E449" s="261"/>
      <c r="F449" s="261">
        <v>2</v>
      </c>
      <c r="G449" s="261" t="s">
        <v>1389</v>
      </c>
      <c r="H449" s="261" t="s">
        <v>3054</v>
      </c>
      <c r="I449" s="261">
        <f>I436</f>
        <v>644</v>
      </c>
      <c r="J449" s="261" t="s">
        <v>1389</v>
      </c>
      <c r="K449" s="261">
        <f>F449*I449</f>
        <v>1288</v>
      </c>
      <c r="L449" s="261"/>
      <c r="M449" s="261"/>
    </row>
    <row r="450" spans="5:13">
      <c r="E450" s="261"/>
      <c r="F450" s="261"/>
      <c r="G450" s="261"/>
      <c r="H450" s="269" t="s">
        <v>3096</v>
      </c>
      <c r="I450" s="261"/>
      <c r="J450" s="261"/>
      <c r="K450" s="270">
        <f>SUM(K447:K449)</f>
        <v>2934</v>
      </c>
      <c r="L450" s="261"/>
      <c r="M450" s="261"/>
    </row>
    <row r="451" spans="5:13">
      <c r="E451" s="261"/>
      <c r="F451" s="261"/>
      <c r="G451" s="261"/>
      <c r="H451" s="271" t="s">
        <v>1058</v>
      </c>
      <c r="I451" s="261"/>
      <c r="J451" s="261"/>
      <c r="K451" s="272">
        <f>K450/5</f>
        <v>586.79999999999995</v>
      </c>
      <c r="L451" s="261"/>
      <c r="M451" s="261"/>
    </row>
    <row r="452" spans="5:13">
      <c r="E452" s="261"/>
      <c r="F452" s="261"/>
      <c r="G452" s="261"/>
      <c r="H452" s="294" t="s">
        <v>3097</v>
      </c>
      <c r="I452" s="261"/>
      <c r="J452" s="261"/>
      <c r="K452" s="261"/>
      <c r="L452" s="261"/>
      <c r="M452" s="261"/>
    </row>
    <row r="453" spans="5:13">
      <c r="E453" s="261"/>
      <c r="F453" s="261"/>
      <c r="G453" s="261"/>
      <c r="H453" s="272" t="s">
        <v>3098</v>
      </c>
      <c r="I453" s="261"/>
      <c r="J453" s="261"/>
      <c r="K453" s="261"/>
      <c r="L453" s="261"/>
      <c r="M453" s="261"/>
    </row>
    <row r="454" spans="5:13">
      <c r="E454" s="261"/>
      <c r="F454" s="261"/>
      <c r="G454" s="261"/>
      <c r="H454" s="272" t="s">
        <v>3099</v>
      </c>
      <c r="I454" s="261"/>
      <c r="J454" s="261"/>
      <c r="K454" s="261"/>
      <c r="L454" s="261"/>
      <c r="M454" s="261"/>
    </row>
    <row r="455" spans="5:13" ht="63">
      <c r="E455" s="261"/>
      <c r="F455" s="261"/>
      <c r="G455" s="261"/>
      <c r="H455" s="1202" t="s">
        <v>6982</v>
      </c>
      <c r="I455" s="261"/>
      <c r="J455" s="261"/>
      <c r="K455" s="261"/>
      <c r="L455" s="261"/>
      <c r="M455" s="261"/>
    </row>
    <row r="456" spans="5:13">
      <c r="E456" s="261"/>
      <c r="F456" s="261"/>
      <c r="G456" s="261"/>
      <c r="H456" s="261"/>
      <c r="I456" s="261"/>
      <c r="J456" s="261"/>
      <c r="K456" s="261"/>
      <c r="L456" s="261"/>
      <c r="M456" s="261"/>
    </row>
    <row r="457" spans="5:13" ht="31.5">
      <c r="E457" s="261"/>
      <c r="F457" s="261">
        <v>9.5</v>
      </c>
      <c r="G457" s="261" t="s">
        <v>1637</v>
      </c>
      <c r="H457" s="1185" t="s">
        <v>6980</v>
      </c>
      <c r="I457" s="263">
        <v>615</v>
      </c>
      <c r="J457" s="261" t="s">
        <v>1637</v>
      </c>
      <c r="K457" s="261">
        <f>F457*I457</f>
        <v>5842.5</v>
      </c>
      <c r="L457" s="261"/>
      <c r="M457" s="261"/>
    </row>
    <row r="458" spans="5:13">
      <c r="E458" s="261"/>
      <c r="F458" s="261">
        <v>0.5</v>
      </c>
      <c r="G458" s="261" t="s">
        <v>1637</v>
      </c>
      <c r="H458" s="261" t="s">
        <v>5543</v>
      </c>
      <c r="I458" s="1190">
        <v>21.3</v>
      </c>
      <c r="J458" s="261"/>
      <c r="K458" s="261">
        <f>F458*I458</f>
        <v>10.65</v>
      </c>
      <c r="L458" s="261"/>
      <c r="M458" s="261"/>
    </row>
    <row r="459" spans="5:13">
      <c r="E459" s="261"/>
      <c r="F459" s="261"/>
      <c r="G459" s="261"/>
      <c r="H459" s="261" t="s">
        <v>1814</v>
      </c>
      <c r="I459" s="261"/>
      <c r="J459" s="261"/>
      <c r="K459" s="261">
        <f>K467</f>
        <v>1464</v>
      </c>
      <c r="L459" s="261"/>
      <c r="M459" s="261"/>
    </row>
    <row r="460" spans="5:13">
      <c r="E460" s="261"/>
      <c r="F460" s="261"/>
      <c r="G460" s="261"/>
      <c r="H460" s="261" t="s">
        <v>2261</v>
      </c>
      <c r="I460" s="261"/>
      <c r="J460" s="261"/>
      <c r="K460" s="261">
        <v>3.2</v>
      </c>
      <c r="L460" s="261">
        <f>24.2*90</f>
        <v>2178</v>
      </c>
      <c r="M460" s="261"/>
    </row>
    <row r="461" spans="5:13">
      <c r="E461" s="261"/>
      <c r="F461" s="261"/>
      <c r="G461" s="261"/>
      <c r="H461" s="269" t="s">
        <v>3350</v>
      </c>
      <c r="I461" s="261"/>
      <c r="J461" s="261"/>
      <c r="K461" s="270">
        <f>SUM(K457:K460)</f>
        <v>7320.35</v>
      </c>
      <c r="L461" s="261">
        <f>L460-K461</f>
        <v>-5142.3500000000004</v>
      </c>
      <c r="M461" s="261"/>
    </row>
    <row r="462" spans="5:13">
      <c r="E462" s="261"/>
      <c r="F462" s="261"/>
      <c r="G462" s="261"/>
      <c r="H462" s="271" t="s">
        <v>2739</v>
      </c>
      <c r="I462" s="261"/>
      <c r="J462" s="261"/>
      <c r="K462" s="272">
        <f>K461/90</f>
        <v>81.34</v>
      </c>
      <c r="L462" s="261">
        <f>26.3*90</f>
        <v>2367</v>
      </c>
      <c r="M462" s="261">
        <f>L462-K461</f>
        <v>-4953.3500000000004</v>
      </c>
    </row>
    <row r="463" spans="5:13">
      <c r="E463" s="261"/>
      <c r="F463" s="261"/>
      <c r="G463" s="261"/>
      <c r="H463" s="261"/>
      <c r="I463" s="261"/>
      <c r="J463" s="261"/>
      <c r="K463" s="272"/>
      <c r="L463" s="261">
        <f>L462-K461</f>
        <v>-4953.3500000000004</v>
      </c>
      <c r="M463" s="261"/>
    </row>
    <row r="464" spans="5:13">
      <c r="E464" s="261"/>
      <c r="F464" s="261"/>
      <c r="G464" s="261"/>
      <c r="H464" s="270" t="s">
        <v>2633</v>
      </c>
      <c r="I464" s="261"/>
      <c r="J464" s="261"/>
      <c r="K464" s="261"/>
      <c r="L464" s="261"/>
      <c r="M464" s="261"/>
    </row>
    <row r="465" spans="5:13">
      <c r="E465" s="261"/>
      <c r="F465" s="261">
        <v>1</v>
      </c>
      <c r="G465" s="261"/>
      <c r="H465" s="261" t="s">
        <v>2575</v>
      </c>
      <c r="I465" s="261">
        <f>I448</f>
        <v>820</v>
      </c>
      <c r="J465" s="261" t="s">
        <v>1389</v>
      </c>
      <c r="K465" s="261">
        <f>F465*I465</f>
        <v>820</v>
      </c>
      <c r="L465" s="261"/>
      <c r="M465" s="261"/>
    </row>
    <row r="466" spans="5:13">
      <c r="E466" s="261"/>
      <c r="F466" s="261">
        <v>1</v>
      </c>
      <c r="G466" s="261"/>
      <c r="H466" s="261" t="s">
        <v>3054</v>
      </c>
      <c r="I466" s="261">
        <f>I449</f>
        <v>644</v>
      </c>
      <c r="J466" s="261" t="s">
        <v>1389</v>
      </c>
      <c r="K466" s="261">
        <f>F466*I466</f>
        <v>644</v>
      </c>
      <c r="L466" s="261"/>
      <c r="M466" s="261"/>
    </row>
    <row r="467" spans="5:13" ht="25.5">
      <c r="E467" s="261"/>
      <c r="F467" s="261"/>
      <c r="G467" s="261"/>
      <c r="H467" s="261"/>
      <c r="I467" s="261"/>
      <c r="J467" s="261"/>
      <c r="K467" s="272">
        <f>SUM(K465:K466)</f>
        <v>1464</v>
      </c>
      <c r="L467" s="295" t="s">
        <v>5544</v>
      </c>
      <c r="M467" s="261"/>
    </row>
    <row r="468" spans="5:13">
      <c r="E468" s="261"/>
      <c r="F468" s="261" t="s">
        <v>2634</v>
      </c>
      <c r="G468" s="261"/>
      <c r="H468" s="261"/>
      <c r="I468" s="261"/>
      <c r="J468" s="261"/>
      <c r="K468" s="261"/>
      <c r="L468" s="261"/>
      <c r="M468" s="261"/>
    </row>
    <row r="469" spans="5:13">
      <c r="E469" s="261"/>
      <c r="F469" s="261"/>
      <c r="G469" s="261"/>
      <c r="H469" s="261"/>
      <c r="I469" s="261"/>
      <c r="J469" s="261"/>
      <c r="K469" s="261"/>
      <c r="L469" s="261"/>
      <c r="M469" s="261"/>
    </row>
    <row r="470" spans="5:13">
      <c r="E470" s="261"/>
      <c r="F470" s="261"/>
      <c r="G470" s="261"/>
      <c r="H470" s="272" t="s">
        <v>2635</v>
      </c>
      <c r="I470" s="261"/>
      <c r="J470" s="261"/>
      <c r="K470" s="261"/>
      <c r="L470" s="261"/>
      <c r="M470" s="261"/>
    </row>
    <row r="471" spans="5:13">
      <c r="E471" s="261"/>
      <c r="F471" s="261"/>
      <c r="G471" s="261"/>
      <c r="H471" s="272" t="s">
        <v>2636</v>
      </c>
      <c r="I471" s="261"/>
      <c r="J471" s="261"/>
      <c r="K471" s="261"/>
      <c r="L471" s="261"/>
      <c r="M471" s="261"/>
    </row>
    <row r="472" spans="5:13">
      <c r="E472" s="261"/>
      <c r="F472" s="261"/>
      <c r="G472" s="261"/>
      <c r="H472" s="261"/>
      <c r="I472" s="261"/>
      <c r="J472" s="261"/>
      <c r="K472" s="261"/>
      <c r="L472" s="261"/>
      <c r="M472" s="261"/>
    </row>
    <row r="473" spans="5:13" ht="47.25">
      <c r="E473" s="261"/>
      <c r="F473" s="261"/>
      <c r="G473" s="261"/>
      <c r="H473" s="260" t="s">
        <v>2637</v>
      </c>
      <c r="I473" s="261"/>
      <c r="J473" s="261"/>
      <c r="K473" s="261"/>
      <c r="L473" s="261"/>
      <c r="M473" s="261"/>
    </row>
    <row r="474" spans="5:13">
      <c r="E474" s="261"/>
      <c r="F474" s="261">
        <v>2.5</v>
      </c>
      <c r="G474" s="261" t="s">
        <v>823</v>
      </c>
      <c r="H474" s="261" t="s">
        <v>4971</v>
      </c>
      <c r="I474" s="263">
        <v>163</v>
      </c>
      <c r="J474" s="261" t="s">
        <v>823</v>
      </c>
      <c r="K474" s="261">
        <f>F474*I474</f>
        <v>407.5</v>
      </c>
      <c r="L474" s="261"/>
      <c r="M474" s="261"/>
    </row>
    <row r="475" spans="5:13">
      <c r="E475" s="261"/>
      <c r="F475" s="261">
        <v>1</v>
      </c>
      <c r="G475" s="261" t="s">
        <v>823</v>
      </c>
      <c r="H475" s="261" t="s">
        <v>4595</v>
      </c>
      <c r="I475" s="263">
        <v>98.6</v>
      </c>
      <c r="J475" s="261" t="s">
        <v>823</v>
      </c>
      <c r="K475" s="261">
        <f t="shared" ref="K475:K484" si="14">F475*I475</f>
        <v>98.6</v>
      </c>
      <c r="L475" s="261"/>
      <c r="M475" s="261"/>
    </row>
    <row r="476" spans="5:13">
      <c r="E476" s="261"/>
      <c r="F476" s="261">
        <v>1</v>
      </c>
      <c r="G476" s="261" t="s">
        <v>823</v>
      </c>
      <c r="H476" s="261" t="s">
        <v>4596</v>
      </c>
      <c r="I476" s="263">
        <v>69.8</v>
      </c>
      <c r="J476" s="261" t="s">
        <v>823</v>
      </c>
      <c r="K476" s="261">
        <f t="shared" si="14"/>
        <v>69.8</v>
      </c>
      <c r="L476" s="261"/>
      <c r="M476" s="261"/>
    </row>
    <row r="477" spans="5:13">
      <c r="E477" s="261"/>
      <c r="F477" s="261">
        <v>1</v>
      </c>
      <c r="G477" s="261" t="s">
        <v>1389</v>
      </c>
      <c r="H477" s="261" t="s">
        <v>4597</v>
      </c>
      <c r="I477" s="263">
        <v>52</v>
      </c>
      <c r="J477" s="261" t="s">
        <v>1389</v>
      </c>
      <c r="K477" s="261">
        <f t="shared" si="14"/>
        <v>52</v>
      </c>
      <c r="L477" s="261"/>
      <c r="M477" s="261"/>
    </row>
    <row r="478" spans="5:13">
      <c r="E478" s="261"/>
      <c r="F478" s="261">
        <v>1</v>
      </c>
      <c r="G478" s="261" t="s">
        <v>279</v>
      </c>
      <c r="H478" s="261" t="s">
        <v>2641</v>
      </c>
      <c r="I478" s="266">
        <v>24.1</v>
      </c>
      <c r="J478" s="261" t="s">
        <v>279</v>
      </c>
      <c r="K478" s="261">
        <f t="shared" si="14"/>
        <v>24.1</v>
      </c>
      <c r="L478" s="261"/>
      <c r="M478" s="261"/>
    </row>
    <row r="479" spans="5:13">
      <c r="E479" s="261"/>
      <c r="F479" s="261">
        <v>1</v>
      </c>
      <c r="G479" s="261" t="s">
        <v>654</v>
      </c>
      <c r="H479" s="261" t="s">
        <v>4651</v>
      </c>
      <c r="I479" s="266">
        <v>447</v>
      </c>
      <c r="J479" s="261" t="s">
        <v>654</v>
      </c>
      <c r="K479" s="261">
        <f t="shared" si="14"/>
        <v>447</v>
      </c>
      <c r="L479" s="261"/>
      <c r="M479" s="261"/>
    </row>
    <row r="480" spans="5:13">
      <c r="E480" s="261"/>
      <c r="F480" s="261">
        <v>1</v>
      </c>
      <c r="G480" s="261" t="s">
        <v>1389</v>
      </c>
      <c r="H480" s="261" t="s">
        <v>2643</v>
      </c>
      <c r="I480" s="266">
        <v>100</v>
      </c>
      <c r="J480" s="261" t="s">
        <v>1389</v>
      </c>
      <c r="K480" s="261">
        <f t="shared" si="14"/>
        <v>100</v>
      </c>
      <c r="L480" s="261"/>
      <c r="M480" s="261"/>
    </row>
    <row r="481" spans="5:14">
      <c r="E481" s="261"/>
      <c r="F481" s="261">
        <v>40</v>
      </c>
      <c r="G481" s="261" t="s">
        <v>1637</v>
      </c>
      <c r="H481" s="261" t="s">
        <v>5545</v>
      </c>
      <c r="I481" s="266">
        <f>101.7/20.32</f>
        <v>5</v>
      </c>
      <c r="J481" s="261" t="s">
        <v>1637</v>
      </c>
      <c r="K481" s="261">
        <f t="shared" si="14"/>
        <v>200</v>
      </c>
      <c r="L481" s="261">
        <f>101.7/20.32</f>
        <v>5</v>
      </c>
      <c r="M481" s="261"/>
    </row>
    <row r="482" spans="5:14">
      <c r="E482" s="261"/>
      <c r="F482" s="261">
        <v>2</v>
      </c>
      <c r="G482" s="261" t="s">
        <v>1389</v>
      </c>
      <c r="H482" s="261" t="s">
        <v>4598</v>
      </c>
      <c r="I482" s="263">
        <v>13.6</v>
      </c>
      <c r="J482" s="261" t="s">
        <v>1389</v>
      </c>
      <c r="K482" s="261">
        <f t="shared" si="14"/>
        <v>27.2</v>
      </c>
      <c r="L482" s="261"/>
      <c r="M482" s="261"/>
      <c r="N482" s="252">
        <f>97.15/20.32</f>
        <v>4.78</v>
      </c>
    </row>
    <row r="483" spans="5:14">
      <c r="E483" s="261"/>
      <c r="F483" s="261">
        <v>4</v>
      </c>
      <c r="G483" s="261" t="s">
        <v>1389</v>
      </c>
      <c r="H483" s="261" t="s">
        <v>4599</v>
      </c>
      <c r="I483" s="263">
        <v>13.6</v>
      </c>
      <c r="J483" s="261" t="s">
        <v>1389</v>
      </c>
      <c r="K483" s="261">
        <f t="shared" si="14"/>
        <v>54.4</v>
      </c>
      <c r="L483" s="261"/>
      <c r="M483" s="261"/>
    </row>
    <row r="484" spans="5:14">
      <c r="E484" s="261"/>
      <c r="F484" s="261">
        <v>10</v>
      </c>
      <c r="G484" s="261" t="s">
        <v>1637</v>
      </c>
      <c r="H484" s="261" t="s">
        <v>5546</v>
      </c>
      <c r="I484" s="263">
        <v>3.7</v>
      </c>
      <c r="J484" s="261" t="s">
        <v>1637</v>
      </c>
      <c r="K484" s="261">
        <f t="shared" si="14"/>
        <v>37</v>
      </c>
      <c r="L484" s="261"/>
      <c r="M484" s="261"/>
    </row>
    <row r="485" spans="5:14">
      <c r="E485" s="261"/>
      <c r="F485" s="261"/>
      <c r="G485" s="261"/>
      <c r="H485" s="261" t="s">
        <v>2261</v>
      </c>
      <c r="I485" s="261"/>
      <c r="J485" s="261"/>
      <c r="K485" s="261">
        <v>10</v>
      </c>
      <c r="L485" s="261"/>
      <c r="M485" s="261"/>
    </row>
    <row r="486" spans="5:14">
      <c r="E486" s="261"/>
      <c r="F486" s="261"/>
      <c r="G486" s="261"/>
      <c r="H486" s="261" t="s">
        <v>911</v>
      </c>
      <c r="I486" s="261"/>
      <c r="J486" s="261"/>
      <c r="K486" s="261">
        <f>K492</f>
        <v>1470</v>
      </c>
      <c r="L486" s="261"/>
      <c r="M486" s="261"/>
    </row>
    <row r="487" spans="5:14">
      <c r="E487" s="261"/>
      <c r="F487" s="261"/>
      <c r="G487" s="261"/>
      <c r="H487" s="271" t="s">
        <v>1058</v>
      </c>
      <c r="I487" s="261"/>
      <c r="J487" s="261"/>
      <c r="K487" s="272">
        <f>SUM(K474:K486)</f>
        <v>2997.6</v>
      </c>
      <c r="L487" s="261">
        <f>K487-2920</f>
        <v>77.599999999999994</v>
      </c>
      <c r="M487" s="261"/>
    </row>
    <row r="488" spans="5:14">
      <c r="E488" s="261"/>
      <c r="F488" s="261"/>
      <c r="G488" s="261"/>
      <c r="H488" s="261"/>
      <c r="I488" s="261"/>
      <c r="J488" s="261"/>
      <c r="K488" s="261"/>
      <c r="L488" s="261"/>
      <c r="M488" s="261"/>
    </row>
    <row r="489" spans="5:14">
      <c r="E489" s="261"/>
      <c r="F489" s="261"/>
      <c r="G489" s="261"/>
      <c r="H489" s="270" t="s">
        <v>911</v>
      </c>
      <c r="I489" s="261"/>
      <c r="J489" s="261"/>
      <c r="K489" s="261"/>
      <c r="L489" s="261"/>
      <c r="M489" s="261"/>
    </row>
    <row r="490" spans="5:14">
      <c r="E490" s="261"/>
      <c r="F490" s="261">
        <v>1</v>
      </c>
      <c r="G490" s="261" t="s">
        <v>1389</v>
      </c>
      <c r="H490" s="261" t="s">
        <v>2744</v>
      </c>
      <c r="I490" s="261">
        <f>I447</f>
        <v>826</v>
      </c>
      <c r="J490" s="261" t="s">
        <v>1389</v>
      </c>
      <c r="K490" s="261">
        <f>F490*I490</f>
        <v>826</v>
      </c>
      <c r="L490" s="261"/>
      <c r="M490" s="261"/>
    </row>
    <row r="491" spans="5:14">
      <c r="E491" s="261"/>
      <c r="F491" s="261">
        <v>1</v>
      </c>
      <c r="G491" s="261" t="s">
        <v>1389</v>
      </c>
      <c r="H491" s="261" t="s">
        <v>3054</v>
      </c>
      <c r="I491" s="261">
        <f>I466</f>
        <v>644</v>
      </c>
      <c r="J491" s="261" t="s">
        <v>1389</v>
      </c>
      <c r="K491" s="261">
        <f>F491*I491</f>
        <v>644</v>
      </c>
      <c r="L491" s="261"/>
      <c r="M491" s="261"/>
    </row>
    <row r="492" spans="5:14">
      <c r="E492" s="261"/>
      <c r="F492" s="261"/>
      <c r="G492" s="261"/>
      <c r="H492" s="261"/>
      <c r="I492" s="261"/>
      <c r="J492" s="261"/>
      <c r="K492" s="272">
        <f>SUM(K490:K491)</f>
        <v>1470</v>
      </c>
      <c r="L492" s="261"/>
      <c r="M492" s="261"/>
    </row>
    <row r="493" spans="5:14">
      <c r="E493" s="261"/>
      <c r="F493" s="261"/>
      <c r="G493" s="261"/>
      <c r="H493" s="272" t="s">
        <v>2648</v>
      </c>
      <c r="I493" s="261"/>
      <c r="J493" s="261"/>
      <c r="K493" s="261"/>
      <c r="L493" s="261"/>
      <c r="M493" s="261"/>
    </row>
    <row r="494" spans="5:14">
      <c r="E494" s="261"/>
      <c r="F494" s="261"/>
      <c r="G494" s="261"/>
      <c r="H494" s="272" t="s">
        <v>2649</v>
      </c>
      <c r="I494" s="261"/>
      <c r="J494" s="261"/>
      <c r="K494" s="261"/>
      <c r="L494" s="261"/>
      <c r="M494" s="261"/>
    </row>
    <row r="495" spans="5:14">
      <c r="E495" s="261"/>
      <c r="F495" s="261"/>
      <c r="G495" s="261"/>
      <c r="H495" s="261"/>
      <c r="I495" s="261"/>
      <c r="J495" s="261"/>
      <c r="K495" s="261"/>
      <c r="L495" s="261"/>
      <c r="M495" s="261"/>
    </row>
    <row r="496" spans="5:14" ht="78.75">
      <c r="E496" s="261"/>
      <c r="F496" s="261"/>
      <c r="G496" s="261"/>
      <c r="H496" s="260" t="s">
        <v>3292</v>
      </c>
      <c r="I496" s="261"/>
      <c r="J496" s="261"/>
      <c r="K496" s="261"/>
      <c r="L496" s="261"/>
      <c r="M496" s="261"/>
    </row>
    <row r="497" spans="5:13">
      <c r="E497" s="261"/>
      <c r="F497" s="261"/>
      <c r="G497" s="261"/>
      <c r="H497" s="261"/>
      <c r="I497" s="261"/>
      <c r="J497" s="261"/>
      <c r="K497" s="261"/>
      <c r="L497" s="261"/>
      <c r="M497" s="261"/>
    </row>
    <row r="498" spans="5:13">
      <c r="E498" s="261"/>
      <c r="F498" s="261">
        <v>1</v>
      </c>
      <c r="G498" s="261" t="s">
        <v>1389</v>
      </c>
      <c r="H498" s="261" t="s">
        <v>3165</v>
      </c>
      <c r="I498" s="261">
        <f>K503</f>
        <v>62.57</v>
      </c>
      <c r="J498" s="261" t="s">
        <v>1393</v>
      </c>
      <c r="K498" s="261">
        <f>F498*I498</f>
        <v>62.57</v>
      </c>
      <c r="L498" s="261"/>
      <c r="M498" s="261"/>
    </row>
    <row r="499" spans="5:13" ht="31.5">
      <c r="E499" s="261"/>
      <c r="F499" s="261"/>
      <c r="G499" s="261"/>
      <c r="H499" s="260" t="s">
        <v>3166</v>
      </c>
      <c r="I499" s="261"/>
      <c r="J499" s="261" t="s">
        <v>654</v>
      </c>
      <c r="K499" s="261">
        <v>15.64</v>
      </c>
      <c r="L499" s="261"/>
      <c r="M499" s="261"/>
    </row>
    <row r="500" spans="5:13">
      <c r="E500" s="261"/>
      <c r="F500" s="261"/>
      <c r="G500" s="261"/>
      <c r="H500" s="261" t="s">
        <v>140</v>
      </c>
      <c r="I500" s="261"/>
      <c r="J500" s="261"/>
      <c r="K500" s="261">
        <f>K508</f>
        <v>328.6</v>
      </c>
      <c r="L500" s="261"/>
      <c r="M500" s="261"/>
    </row>
    <row r="501" spans="5:13">
      <c r="E501" s="261"/>
      <c r="F501" s="261"/>
      <c r="G501" s="261"/>
      <c r="H501" s="271" t="s">
        <v>1058</v>
      </c>
      <c r="I501" s="261"/>
      <c r="J501" s="261"/>
      <c r="K501" s="272">
        <f>SUM(K498:K500)</f>
        <v>406.81</v>
      </c>
      <c r="L501" s="261">
        <f>K501-261</f>
        <v>145.81</v>
      </c>
      <c r="M501" s="261"/>
    </row>
    <row r="502" spans="5:13">
      <c r="E502" s="261"/>
      <c r="F502" s="261"/>
      <c r="G502" s="261"/>
      <c r="H502" s="261"/>
      <c r="I502" s="261"/>
      <c r="J502" s="261"/>
      <c r="K502" s="261"/>
      <c r="L502" s="261"/>
      <c r="M502" s="261"/>
    </row>
    <row r="503" spans="5:13">
      <c r="E503" s="261"/>
      <c r="F503" s="261"/>
      <c r="G503" s="261"/>
      <c r="H503" s="272" t="s">
        <v>3167</v>
      </c>
      <c r="I503" s="261">
        <f>I391</f>
        <v>104280</v>
      </c>
      <c r="J503" s="278">
        <v>5.9999999999999995E-4</v>
      </c>
      <c r="K503" s="261">
        <f>ROUND(I503*J503,2)</f>
        <v>62.57</v>
      </c>
      <c r="L503" s="261"/>
      <c r="M503" s="261"/>
    </row>
    <row r="504" spans="5:13">
      <c r="E504" s="261"/>
      <c r="F504" s="261"/>
      <c r="G504" s="261"/>
      <c r="H504" s="261" t="s">
        <v>140</v>
      </c>
      <c r="I504" s="261"/>
      <c r="J504" s="261"/>
      <c r="K504" s="261"/>
      <c r="L504" s="261"/>
      <c r="M504" s="261"/>
    </row>
    <row r="505" spans="5:13">
      <c r="E505" s="261"/>
      <c r="F505" s="261">
        <v>1</v>
      </c>
      <c r="G505" s="261" t="s">
        <v>1389</v>
      </c>
      <c r="H505" s="261" t="s">
        <v>3168</v>
      </c>
      <c r="I505" s="261">
        <f>I447</f>
        <v>826</v>
      </c>
      <c r="J505" s="261" t="s">
        <v>1393</v>
      </c>
      <c r="K505" s="261">
        <f>F505*I505</f>
        <v>826</v>
      </c>
      <c r="L505" s="261"/>
      <c r="M505" s="261"/>
    </row>
    <row r="506" spans="5:13">
      <c r="E506" s="261"/>
      <c r="F506" s="261">
        <v>3</v>
      </c>
      <c r="G506" s="261" t="s">
        <v>1389</v>
      </c>
      <c r="H506" s="261" t="s">
        <v>2575</v>
      </c>
      <c r="I506" s="261">
        <f>I448</f>
        <v>820</v>
      </c>
      <c r="J506" s="261" t="s">
        <v>1393</v>
      </c>
      <c r="K506" s="261">
        <f>F506*I506</f>
        <v>2460</v>
      </c>
      <c r="L506" s="261"/>
      <c r="M506" s="261"/>
    </row>
    <row r="507" spans="5:13">
      <c r="E507" s="261"/>
      <c r="F507" s="261"/>
      <c r="G507" s="261"/>
      <c r="H507" s="269" t="s">
        <v>3169</v>
      </c>
      <c r="I507" s="261"/>
      <c r="J507" s="261"/>
      <c r="K507" s="261">
        <f>SUM(K505:K506)</f>
        <v>3286</v>
      </c>
      <c r="L507" s="261"/>
      <c r="M507" s="261"/>
    </row>
    <row r="508" spans="5:13">
      <c r="E508" s="261"/>
      <c r="F508" s="261"/>
      <c r="G508" s="261"/>
      <c r="H508" s="269" t="s">
        <v>3170</v>
      </c>
      <c r="I508" s="261"/>
      <c r="J508" s="261"/>
      <c r="K508" s="272">
        <f>K507/10</f>
        <v>328.6</v>
      </c>
      <c r="L508" s="261"/>
      <c r="M508" s="261"/>
    </row>
    <row r="509" spans="5:13">
      <c r="E509" s="261"/>
      <c r="F509" s="261"/>
      <c r="G509" s="261"/>
      <c r="H509" s="261"/>
      <c r="I509" s="261"/>
      <c r="J509" s="261"/>
      <c r="K509" s="261"/>
      <c r="L509" s="261"/>
      <c r="M509" s="261"/>
    </row>
    <row r="510" spans="5:13">
      <c r="E510" s="261"/>
      <c r="F510" s="261"/>
      <c r="G510" s="261"/>
      <c r="H510" s="272" t="s">
        <v>3171</v>
      </c>
      <c r="I510" s="261"/>
      <c r="J510" s="261"/>
      <c r="K510" s="261"/>
      <c r="L510" s="261"/>
      <c r="M510" s="261"/>
    </row>
    <row r="511" spans="5:13" ht="94.5">
      <c r="E511" s="261"/>
      <c r="F511" s="261"/>
      <c r="G511" s="261"/>
      <c r="H511" s="260" t="s">
        <v>3172</v>
      </c>
      <c r="I511" s="261"/>
      <c r="J511" s="261"/>
      <c r="K511" s="261"/>
      <c r="L511" s="261"/>
      <c r="M511" s="261"/>
    </row>
    <row r="512" spans="5:13">
      <c r="E512" s="261"/>
      <c r="F512" s="261"/>
      <c r="G512" s="261"/>
      <c r="H512" s="261"/>
      <c r="I512" s="261"/>
      <c r="J512" s="261"/>
      <c r="K512" s="261"/>
      <c r="L512" s="261"/>
      <c r="M512" s="261"/>
    </row>
    <row r="513" spans="5:13">
      <c r="E513" s="261"/>
      <c r="F513" s="261">
        <v>1</v>
      </c>
      <c r="G513" s="261" t="s">
        <v>1389</v>
      </c>
      <c r="H513" s="261" t="s">
        <v>4972</v>
      </c>
      <c r="I513" s="263">
        <v>348</v>
      </c>
      <c r="J513" s="261" t="s">
        <v>1389</v>
      </c>
      <c r="K513" s="261">
        <f>F513*I513</f>
        <v>348</v>
      </c>
      <c r="L513" s="261"/>
      <c r="M513" s="261"/>
    </row>
    <row r="514" spans="5:13" ht="31.5">
      <c r="E514" s="261"/>
      <c r="F514" s="261"/>
      <c r="G514" s="261"/>
      <c r="H514" s="260" t="s">
        <v>3174</v>
      </c>
      <c r="I514" s="261"/>
      <c r="J514" s="261"/>
      <c r="K514" s="261">
        <v>20.85</v>
      </c>
      <c r="L514" s="261"/>
      <c r="M514" s="261"/>
    </row>
    <row r="515" spans="5:13">
      <c r="E515" s="261"/>
      <c r="F515" s="261"/>
      <c r="G515" s="261"/>
      <c r="H515" s="261" t="s">
        <v>911</v>
      </c>
      <c r="I515" s="261"/>
      <c r="J515" s="261"/>
      <c r="K515" s="261">
        <f>K524</f>
        <v>442.95</v>
      </c>
      <c r="L515" s="261"/>
      <c r="M515" s="261"/>
    </row>
    <row r="516" spans="5:13">
      <c r="E516" s="261"/>
      <c r="F516" s="261"/>
      <c r="G516" s="261"/>
      <c r="H516" s="271" t="s">
        <v>1058</v>
      </c>
      <c r="I516" s="261"/>
      <c r="J516" s="261"/>
      <c r="K516" s="272">
        <f>SUM(K513:K515)</f>
        <v>811.8</v>
      </c>
      <c r="L516" s="261">
        <f>789-K516</f>
        <v>-22.8</v>
      </c>
      <c r="M516" s="261"/>
    </row>
    <row r="517" spans="5:13">
      <c r="E517" s="261"/>
      <c r="F517" s="261"/>
      <c r="G517" s="261"/>
      <c r="H517" s="271"/>
      <c r="I517" s="261"/>
      <c r="J517" s="261"/>
      <c r="K517" s="272"/>
      <c r="L517" s="261"/>
      <c r="M517" s="261"/>
    </row>
    <row r="518" spans="5:13">
      <c r="E518" s="261"/>
      <c r="F518" s="261"/>
      <c r="G518" s="261"/>
      <c r="H518" s="261" t="s">
        <v>140</v>
      </c>
      <c r="I518" s="261"/>
      <c r="J518" s="261"/>
      <c r="K518" s="261"/>
      <c r="L518" s="261"/>
      <c r="M518" s="261"/>
    </row>
    <row r="519" spans="5:13">
      <c r="E519" s="261"/>
      <c r="F519" s="261">
        <v>1</v>
      </c>
      <c r="G519" s="261"/>
      <c r="H519" s="261" t="s">
        <v>2744</v>
      </c>
      <c r="I519" s="261">
        <f>I36</f>
        <v>826</v>
      </c>
      <c r="J519" s="261" t="s">
        <v>1389</v>
      </c>
      <c r="K519" s="261">
        <f>F519*I519</f>
        <v>826</v>
      </c>
      <c r="L519" s="261"/>
      <c r="M519" s="261"/>
    </row>
    <row r="520" spans="5:13">
      <c r="E520" s="261"/>
      <c r="F520" s="261">
        <v>3</v>
      </c>
      <c r="G520" s="261"/>
      <c r="H520" s="261" t="s">
        <v>2575</v>
      </c>
      <c r="I520" s="261">
        <f>I37</f>
        <v>820</v>
      </c>
      <c r="J520" s="261" t="s">
        <v>1389</v>
      </c>
      <c r="K520" s="261">
        <f>F520*I520</f>
        <v>2460</v>
      </c>
      <c r="L520" s="261"/>
      <c r="M520" s="261"/>
    </row>
    <row r="521" spans="5:13">
      <c r="E521" s="261"/>
      <c r="F521" s="261">
        <v>1</v>
      </c>
      <c r="G521" s="261"/>
      <c r="H521" s="261" t="s">
        <v>2321</v>
      </c>
      <c r="I521" s="261">
        <f>I38</f>
        <v>644</v>
      </c>
      <c r="J521" s="261" t="s">
        <v>1389</v>
      </c>
      <c r="K521" s="261">
        <f>F521*I521</f>
        <v>644</v>
      </c>
      <c r="L521" s="261"/>
      <c r="M521" s="261"/>
    </row>
    <row r="522" spans="5:13">
      <c r="E522" s="261"/>
      <c r="F522" s="261">
        <v>0.5</v>
      </c>
      <c r="G522" s="261"/>
      <c r="H522" s="261" t="s">
        <v>4973</v>
      </c>
      <c r="I522" s="263">
        <f>DATA!AF9</f>
        <v>999</v>
      </c>
      <c r="J522" s="261" t="s">
        <v>1389</v>
      </c>
      <c r="K522" s="261">
        <f>F522*I522</f>
        <v>499.5</v>
      </c>
      <c r="L522" s="261"/>
      <c r="M522" s="261"/>
    </row>
    <row r="523" spans="5:13">
      <c r="E523" s="261"/>
      <c r="F523" s="261"/>
      <c r="G523" s="261"/>
      <c r="H523" s="269" t="s">
        <v>3175</v>
      </c>
      <c r="I523" s="261"/>
      <c r="J523" s="261"/>
      <c r="K523" s="270">
        <f>SUM(K519:K522)</f>
        <v>4429.5</v>
      </c>
      <c r="L523" s="261"/>
      <c r="M523" s="261"/>
    </row>
    <row r="524" spans="5:13">
      <c r="E524" s="261"/>
      <c r="F524" s="261"/>
      <c r="G524" s="261"/>
      <c r="H524" s="271" t="s">
        <v>3176</v>
      </c>
      <c r="I524" s="272"/>
      <c r="J524" s="272"/>
      <c r="K524" s="272">
        <f>K523/10</f>
        <v>442.95</v>
      </c>
      <c r="L524" s="261"/>
      <c r="M524" s="261"/>
    </row>
    <row r="525" spans="5:13">
      <c r="E525" s="261"/>
      <c r="F525" s="261"/>
      <c r="G525" s="261"/>
      <c r="H525" s="261"/>
      <c r="I525" s="261"/>
      <c r="J525" s="261"/>
      <c r="K525" s="261"/>
      <c r="L525" s="261"/>
      <c r="M525" s="261"/>
    </row>
    <row r="526" spans="5:13">
      <c r="E526" s="261"/>
      <c r="F526" s="261"/>
      <c r="G526" s="261"/>
      <c r="H526" s="272" t="s">
        <v>3177</v>
      </c>
      <c r="I526" s="261"/>
      <c r="J526" s="261"/>
      <c r="K526" s="261"/>
      <c r="L526" s="261"/>
      <c r="M526" s="261"/>
    </row>
    <row r="527" spans="5:13">
      <c r="E527" s="261"/>
      <c r="F527" s="261"/>
      <c r="G527" s="261"/>
      <c r="H527" s="272" t="s">
        <v>3178</v>
      </c>
      <c r="I527" s="261"/>
      <c r="J527" s="261"/>
      <c r="K527" s="261"/>
      <c r="L527" s="261"/>
      <c r="M527" s="261"/>
    </row>
    <row r="528" spans="5:13">
      <c r="E528" s="261"/>
      <c r="F528" s="261"/>
      <c r="G528" s="261"/>
      <c r="H528" s="261"/>
      <c r="I528" s="261"/>
      <c r="J528" s="261"/>
      <c r="K528" s="261"/>
      <c r="L528" s="261"/>
      <c r="M528" s="261"/>
    </row>
    <row r="529" spans="5:13" ht="94.5">
      <c r="E529" s="261"/>
      <c r="F529" s="261"/>
      <c r="G529" s="261"/>
      <c r="H529" s="260" t="s">
        <v>3208</v>
      </c>
      <c r="I529" s="261"/>
      <c r="J529" s="261"/>
      <c r="K529" s="261"/>
      <c r="L529" s="261"/>
      <c r="M529" s="261"/>
    </row>
    <row r="530" spans="5:13">
      <c r="E530" s="261"/>
      <c r="F530" s="261"/>
      <c r="G530" s="261"/>
      <c r="H530" s="261"/>
      <c r="I530" s="261"/>
      <c r="J530" s="261"/>
      <c r="K530" s="261"/>
      <c r="L530" s="261"/>
      <c r="M530" s="261"/>
    </row>
    <row r="531" spans="5:13">
      <c r="E531" s="261"/>
      <c r="F531" s="261">
        <v>1</v>
      </c>
      <c r="G531" s="261" t="s">
        <v>1389</v>
      </c>
      <c r="H531" s="261" t="s">
        <v>3209</v>
      </c>
      <c r="I531" s="261">
        <f>K536</f>
        <v>125.14</v>
      </c>
      <c r="J531" s="261" t="s">
        <v>1393</v>
      </c>
      <c r="K531" s="261">
        <f>F531*I531</f>
        <v>125.14</v>
      </c>
      <c r="L531" s="261"/>
      <c r="M531" s="261"/>
    </row>
    <row r="532" spans="5:13" ht="31.5">
      <c r="E532" s="261"/>
      <c r="F532" s="261" t="s">
        <v>654</v>
      </c>
      <c r="G532" s="261" t="s">
        <v>654</v>
      </c>
      <c r="H532" s="260" t="s">
        <v>3210</v>
      </c>
      <c r="I532" s="261" t="s">
        <v>654</v>
      </c>
      <c r="J532" s="261" t="s">
        <v>654</v>
      </c>
      <c r="K532" s="261">
        <v>43.16</v>
      </c>
      <c r="L532" s="261"/>
      <c r="M532" s="261"/>
    </row>
    <row r="533" spans="5:13">
      <c r="E533" s="261"/>
      <c r="F533" s="261"/>
      <c r="G533" s="261"/>
      <c r="H533" s="261" t="s">
        <v>140</v>
      </c>
      <c r="I533" s="261"/>
      <c r="J533" s="261"/>
      <c r="K533" s="261">
        <f>K508</f>
        <v>328.6</v>
      </c>
      <c r="L533" s="261"/>
      <c r="M533" s="261"/>
    </row>
    <row r="534" spans="5:13">
      <c r="E534" s="261"/>
      <c r="F534" s="261"/>
      <c r="G534" s="261"/>
      <c r="H534" s="271" t="s">
        <v>1058</v>
      </c>
      <c r="I534" s="261"/>
      <c r="J534" s="261"/>
      <c r="K534" s="272">
        <f>SUM(K531:K533)</f>
        <v>496.9</v>
      </c>
      <c r="L534" s="261">
        <f>K534-480</f>
        <v>16.899999999999999</v>
      </c>
      <c r="M534" s="261"/>
    </row>
    <row r="535" spans="5:13">
      <c r="E535" s="261"/>
      <c r="F535" s="261"/>
      <c r="G535" s="261"/>
      <c r="H535" s="261"/>
      <c r="I535" s="261"/>
      <c r="J535" s="261"/>
      <c r="K535" s="272"/>
      <c r="L535" s="261"/>
      <c r="M535" s="261"/>
    </row>
    <row r="536" spans="5:13">
      <c r="E536" s="261"/>
      <c r="F536" s="261"/>
      <c r="G536" s="261"/>
      <c r="H536" s="272" t="s">
        <v>3209</v>
      </c>
      <c r="I536" s="261">
        <f>I503</f>
        <v>104280</v>
      </c>
      <c r="J536" s="278">
        <f>0.0012</f>
        <v>1.1999999999999999E-3</v>
      </c>
      <c r="K536" s="272">
        <f>I536*J536</f>
        <v>125.14</v>
      </c>
      <c r="L536" s="261"/>
      <c r="M536" s="261"/>
    </row>
    <row r="537" spans="5:13">
      <c r="E537" s="261"/>
      <c r="F537" s="261"/>
      <c r="G537" s="261"/>
      <c r="H537" s="261"/>
      <c r="I537" s="261"/>
      <c r="J537" s="261"/>
      <c r="K537" s="261"/>
      <c r="L537" s="261"/>
      <c r="M537" s="261"/>
    </row>
    <row r="538" spans="5:13">
      <c r="E538" s="261"/>
      <c r="F538" s="261"/>
      <c r="G538" s="261"/>
      <c r="H538" s="272" t="s">
        <v>2648</v>
      </c>
      <c r="I538" s="261"/>
      <c r="J538" s="261"/>
      <c r="K538" s="261"/>
      <c r="L538" s="261"/>
      <c r="M538" s="261"/>
    </row>
    <row r="539" spans="5:13">
      <c r="E539" s="261"/>
      <c r="F539" s="261"/>
      <c r="G539" s="261"/>
      <c r="H539" s="261"/>
      <c r="I539" s="261"/>
      <c r="J539" s="261"/>
      <c r="K539" s="261"/>
      <c r="L539" s="261"/>
      <c r="M539" s="261"/>
    </row>
    <row r="540" spans="5:13">
      <c r="E540" s="261"/>
      <c r="F540" s="261"/>
      <c r="G540" s="261"/>
      <c r="H540" s="272" t="s">
        <v>2522</v>
      </c>
      <c r="I540" s="261"/>
      <c r="J540" s="261"/>
      <c r="K540" s="261"/>
      <c r="L540" s="261"/>
      <c r="M540" s="261"/>
    </row>
    <row r="541" spans="5:13">
      <c r="E541" s="261"/>
      <c r="F541" s="261"/>
      <c r="G541" s="261"/>
      <c r="H541" s="261"/>
      <c r="I541" s="261"/>
      <c r="J541" s="261"/>
      <c r="K541" s="261"/>
      <c r="L541" s="261"/>
      <c r="M541" s="261"/>
    </row>
    <row r="542" spans="5:13" ht="94.5">
      <c r="E542" s="261"/>
      <c r="F542" s="261"/>
      <c r="G542" s="261"/>
      <c r="H542" s="260" t="s">
        <v>2402</v>
      </c>
      <c r="I542" s="261"/>
      <c r="J542" s="261"/>
      <c r="K542" s="261"/>
      <c r="L542" s="261"/>
      <c r="M542" s="261"/>
    </row>
    <row r="543" spans="5:13">
      <c r="E543" s="261"/>
      <c r="F543" s="261"/>
      <c r="G543" s="261"/>
      <c r="H543" s="261"/>
      <c r="I543" s="261"/>
      <c r="J543" s="261"/>
      <c r="K543" s="261"/>
      <c r="L543" s="261"/>
      <c r="M543" s="261"/>
    </row>
    <row r="544" spans="5:13">
      <c r="E544" s="261"/>
      <c r="F544" s="261">
        <v>1</v>
      </c>
      <c r="G544" s="261" t="s">
        <v>1389</v>
      </c>
      <c r="H544" s="261" t="s">
        <v>3173</v>
      </c>
      <c r="I544" s="261">
        <f>I513</f>
        <v>348</v>
      </c>
      <c r="J544" s="261" t="s">
        <v>1389</v>
      </c>
      <c r="K544" s="261">
        <f>F544*I544</f>
        <v>348</v>
      </c>
      <c r="L544" s="261"/>
      <c r="M544" s="261"/>
    </row>
    <row r="545" spans="5:13" ht="31.5">
      <c r="E545" s="261"/>
      <c r="F545" s="261"/>
      <c r="G545" s="261"/>
      <c r="H545" s="260" t="s">
        <v>3174</v>
      </c>
      <c r="I545" s="261"/>
      <c r="J545" s="261"/>
      <c r="K545" s="261">
        <v>35.35</v>
      </c>
      <c r="L545" s="261"/>
      <c r="M545" s="261"/>
    </row>
    <row r="546" spans="5:13">
      <c r="E546" s="261"/>
      <c r="F546" s="261"/>
      <c r="G546" s="261"/>
      <c r="H546" s="261" t="s">
        <v>911</v>
      </c>
      <c r="I546" s="261"/>
      <c r="J546" s="261"/>
      <c r="K546" s="261">
        <f>K524</f>
        <v>442.95</v>
      </c>
      <c r="L546" s="261"/>
      <c r="M546" s="261"/>
    </row>
    <row r="547" spans="5:13">
      <c r="E547" s="261"/>
      <c r="F547" s="261"/>
      <c r="G547" s="261"/>
      <c r="H547" s="271" t="s">
        <v>1058</v>
      </c>
      <c r="I547" s="261"/>
      <c r="J547" s="261"/>
      <c r="K547" s="272">
        <f>SUM(K544:K546)</f>
        <v>826.3</v>
      </c>
      <c r="L547" s="261">
        <f>K547-551</f>
        <v>275.3</v>
      </c>
      <c r="M547" s="261"/>
    </row>
    <row r="548" spans="5:13">
      <c r="E548" s="261"/>
      <c r="F548" s="261"/>
      <c r="G548" s="261"/>
      <c r="H548" s="261"/>
      <c r="I548" s="261"/>
      <c r="J548" s="261"/>
      <c r="K548" s="261"/>
      <c r="L548" s="261"/>
      <c r="M548" s="261"/>
    </row>
    <row r="549" spans="5:13">
      <c r="E549" s="261"/>
      <c r="F549" s="261"/>
      <c r="G549" s="261"/>
      <c r="H549" s="272" t="s">
        <v>2403</v>
      </c>
      <c r="I549" s="261"/>
      <c r="J549" s="261"/>
      <c r="K549" s="261"/>
      <c r="L549" s="261"/>
      <c r="M549" s="261"/>
    </row>
    <row r="550" spans="5:13">
      <c r="E550" s="261"/>
      <c r="F550" s="261"/>
      <c r="G550" s="261"/>
      <c r="H550" s="272" t="s">
        <v>2404</v>
      </c>
      <c r="I550" s="261"/>
      <c r="J550" s="261"/>
      <c r="K550" s="261"/>
      <c r="L550" s="261"/>
      <c r="M550" s="261"/>
    </row>
    <row r="551" spans="5:13">
      <c r="E551" s="261"/>
      <c r="F551" s="261"/>
      <c r="G551" s="261"/>
      <c r="H551" s="261"/>
      <c r="I551" s="261"/>
      <c r="J551" s="261"/>
      <c r="K551" s="261"/>
      <c r="L551" s="261"/>
      <c r="M551" s="261"/>
    </row>
    <row r="552" spans="5:13" ht="31.5">
      <c r="E552" s="261"/>
      <c r="F552" s="261">
        <v>1</v>
      </c>
      <c r="G552" s="261" t="s">
        <v>1389</v>
      </c>
      <c r="H552" s="260" t="s">
        <v>4974</v>
      </c>
      <c r="I552" s="263">
        <v>1520</v>
      </c>
      <c r="J552" s="261" t="s">
        <v>1389</v>
      </c>
      <c r="K552" s="272">
        <f>F552*I552</f>
        <v>1520</v>
      </c>
      <c r="L552" s="261"/>
      <c r="M552" s="261"/>
    </row>
    <row r="553" spans="5:13">
      <c r="E553" s="261"/>
      <c r="F553" s="261"/>
      <c r="G553" s="261"/>
      <c r="H553" s="261"/>
      <c r="I553" s="261"/>
      <c r="J553" s="261"/>
      <c r="K553" s="261"/>
      <c r="L553" s="261"/>
      <c r="M553" s="261"/>
    </row>
    <row r="554" spans="5:13">
      <c r="E554" s="261"/>
      <c r="F554" s="261"/>
      <c r="G554" s="261"/>
      <c r="H554" s="272" t="s">
        <v>2405</v>
      </c>
      <c r="I554" s="261"/>
      <c r="J554" s="261"/>
      <c r="K554" s="261"/>
      <c r="L554" s="261"/>
      <c r="M554" s="261"/>
    </row>
    <row r="555" spans="5:13">
      <c r="E555" s="261"/>
      <c r="F555" s="261"/>
      <c r="G555" s="261"/>
      <c r="H555" s="272" t="s">
        <v>2392</v>
      </c>
      <c r="I555" s="261"/>
      <c r="J555" s="261"/>
      <c r="K555" s="261"/>
      <c r="L555" s="261"/>
      <c r="M555" s="261"/>
    </row>
    <row r="556" spans="5:13">
      <c r="E556" s="261"/>
      <c r="F556" s="261"/>
      <c r="G556" s="261"/>
      <c r="H556" s="261"/>
      <c r="I556" s="261"/>
      <c r="J556" s="261"/>
      <c r="K556" s="261"/>
      <c r="L556" s="261"/>
      <c r="M556" s="261"/>
    </row>
    <row r="557" spans="5:13" ht="31.5">
      <c r="E557" s="261"/>
      <c r="F557" s="261">
        <v>1</v>
      </c>
      <c r="G557" s="261" t="s">
        <v>1389</v>
      </c>
      <c r="H557" s="260" t="s">
        <v>5639</v>
      </c>
      <c r="I557" s="263">
        <v>1876</v>
      </c>
      <c r="J557" s="261" t="s">
        <v>1389</v>
      </c>
      <c r="K557" s="272">
        <f>F557*I557</f>
        <v>1876</v>
      </c>
      <c r="L557" s="261"/>
      <c r="M557" s="261"/>
    </row>
    <row r="558" spans="5:13">
      <c r="E558" s="261"/>
      <c r="F558" s="261"/>
      <c r="G558" s="261"/>
      <c r="H558" s="261"/>
      <c r="I558" s="261"/>
      <c r="J558" s="261"/>
      <c r="K558" s="261"/>
      <c r="L558" s="261"/>
      <c r="M558" s="261"/>
    </row>
    <row r="559" spans="5:13">
      <c r="E559" s="261"/>
      <c r="F559" s="261"/>
      <c r="G559" s="261"/>
      <c r="H559" s="272" t="s">
        <v>2393</v>
      </c>
      <c r="I559" s="261"/>
      <c r="J559" s="261"/>
      <c r="K559" s="261"/>
      <c r="L559" s="261"/>
      <c r="M559" s="261"/>
    </row>
    <row r="560" spans="5:13">
      <c r="E560" s="261"/>
      <c r="F560" s="261"/>
      <c r="G560" s="261"/>
      <c r="H560" s="272" t="s">
        <v>2394</v>
      </c>
      <c r="I560" s="261"/>
      <c r="J560" s="261"/>
      <c r="K560" s="261"/>
      <c r="L560" s="261"/>
      <c r="M560" s="261"/>
    </row>
    <row r="561" spans="5:16">
      <c r="E561" s="261"/>
      <c r="F561" s="261"/>
      <c r="G561" s="261"/>
      <c r="H561" s="270" t="s">
        <v>2395</v>
      </c>
      <c r="I561" s="261"/>
      <c r="J561" s="261"/>
      <c r="K561" s="261"/>
      <c r="L561" s="261"/>
      <c r="M561" s="261"/>
    </row>
    <row r="562" spans="5:16">
      <c r="E562" s="261"/>
      <c r="F562" s="261"/>
      <c r="G562" s="261"/>
      <c r="H562" s="261"/>
      <c r="I562" s="261"/>
      <c r="J562" s="261"/>
      <c r="K562" s="261"/>
      <c r="L562" s="261"/>
      <c r="M562" s="261"/>
    </row>
    <row r="563" spans="5:16" ht="63">
      <c r="E563" s="261"/>
      <c r="F563" s="261"/>
      <c r="G563" s="261"/>
      <c r="H563" s="260" t="s">
        <v>2697</v>
      </c>
      <c r="I563" s="261"/>
      <c r="J563" s="261"/>
      <c r="K563" s="261"/>
      <c r="L563" s="260" t="s">
        <v>3449</v>
      </c>
      <c r="M563" s="260" t="s">
        <v>3450</v>
      </c>
      <c r="N563" s="260" t="s">
        <v>3688</v>
      </c>
      <c r="O563" s="260" t="s">
        <v>3848</v>
      </c>
    </row>
    <row r="564" spans="5:16">
      <c r="E564" s="261"/>
      <c r="F564" s="261">
        <v>1</v>
      </c>
      <c r="G564" s="261" t="s">
        <v>1389</v>
      </c>
      <c r="H564" s="261" t="s">
        <v>4975</v>
      </c>
      <c r="I564" s="263">
        <v>85.2</v>
      </c>
      <c r="J564" s="261" t="s">
        <v>1389</v>
      </c>
      <c r="K564" s="261">
        <f>F564*I564</f>
        <v>85.2</v>
      </c>
      <c r="L564" s="264">
        <v>190.2</v>
      </c>
      <c r="M564" s="264">
        <v>48.05</v>
      </c>
      <c r="N564" s="264">
        <v>343.7</v>
      </c>
      <c r="O564" s="264">
        <v>555</v>
      </c>
    </row>
    <row r="565" spans="5:16">
      <c r="E565" s="261"/>
      <c r="F565" s="261">
        <v>1</v>
      </c>
      <c r="G565" s="261" t="s">
        <v>1389</v>
      </c>
      <c r="H565" s="261" t="s">
        <v>2699</v>
      </c>
      <c r="I565" s="261">
        <f>K570</f>
        <v>31.28</v>
      </c>
      <c r="J565" s="261" t="s">
        <v>1389</v>
      </c>
      <c r="K565" s="261">
        <f>F565*I565</f>
        <v>31.28</v>
      </c>
      <c r="L565" s="261">
        <f t="shared" ref="L565:O567" si="15">K565</f>
        <v>31.28</v>
      </c>
      <c r="M565" s="261">
        <f t="shared" si="15"/>
        <v>31.28</v>
      </c>
      <c r="N565" s="261">
        <f t="shared" si="15"/>
        <v>31.28</v>
      </c>
      <c r="O565" s="296">
        <f t="shared" si="15"/>
        <v>31.28</v>
      </c>
    </row>
    <row r="566" spans="5:16">
      <c r="E566" s="261"/>
      <c r="F566" s="261"/>
      <c r="G566" s="261"/>
      <c r="H566" s="261" t="s">
        <v>911</v>
      </c>
      <c r="I566" s="261"/>
      <c r="J566" s="261"/>
      <c r="K566" s="261">
        <f>K577</f>
        <v>447.25</v>
      </c>
      <c r="L566" s="261">
        <f t="shared" si="15"/>
        <v>447.25</v>
      </c>
      <c r="M566" s="261">
        <f t="shared" si="15"/>
        <v>447.25</v>
      </c>
      <c r="N566" s="261">
        <f t="shared" si="15"/>
        <v>447.25</v>
      </c>
      <c r="O566" s="296">
        <f t="shared" si="15"/>
        <v>447.25</v>
      </c>
    </row>
    <row r="567" spans="5:16">
      <c r="E567" s="261"/>
      <c r="F567" s="261"/>
      <c r="G567" s="261"/>
      <c r="H567" s="261" t="s">
        <v>2700</v>
      </c>
      <c r="I567" s="261" t="s">
        <v>654</v>
      </c>
      <c r="J567" s="261"/>
      <c r="K567" s="261">
        <v>9.27</v>
      </c>
      <c r="L567" s="261">
        <f t="shared" si="15"/>
        <v>9.27</v>
      </c>
      <c r="M567" s="261">
        <f>L567+0.15</f>
        <v>9.42</v>
      </c>
      <c r="N567" s="261">
        <f>M567+0.05</f>
        <v>9.4700000000000006</v>
      </c>
      <c r="O567" s="296">
        <f>N567</f>
        <v>9.4700000000000006</v>
      </c>
      <c r="P567" s="261">
        <f>515-M568</f>
        <v>-21</v>
      </c>
    </row>
    <row r="568" spans="5:16">
      <c r="E568" s="261"/>
      <c r="F568" s="261"/>
      <c r="G568" s="261"/>
      <c r="H568" s="271" t="s">
        <v>1058</v>
      </c>
      <c r="I568" s="261"/>
      <c r="J568" s="261"/>
      <c r="K568" s="272">
        <f>SUM(K564:K567)</f>
        <v>573</v>
      </c>
      <c r="L568" s="272">
        <f>SUM(L564:L567)</f>
        <v>678</v>
      </c>
      <c r="M568" s="272">
        <f>SUM(M564:M567)</f>
        <v>536</v>
      </c>
      <c r="N568" s="272">
        <f>SUM(N564:N567)</f>
        <v>831.7</v>
      </c>
      <c r="O568" s="272">
        <f>SUM(O564:O567)</f>
        <v>1043</v>
      </c>
    </row>
    <row r="569" spans="5:16">
      <c r="E569" s="261"/>
      <c r="F569" s="261"/>
      <c r="G569" s="261"/>
      <c r="H569" s="261"/>
      <c r="I569" s="261"/>
      <c r="J569" s="261"/>
      <c r="K569" s="261"/>
      <c r="L569" s="261"/>
      <c r="M569" s="261"/>
    </row>
    <row r="570" spans="5:16">
      <c r="E570" s="261"/>
      <c r="F570" s="261"/>
      <c r="G570" s="261"/>
      <c r="H570" s="272" t="s">
        <v>2701</v>
      </c>
      <c r="I570" s="261">
        <f>I536</f>
        <v>104280</v>
      </c>
      <c r="J570" s="278">
        <v>2.9999999999999997E-4</v>
      </c>
      <c r="K570" s="272">
        <f>I570*J570</f>
        <v>31.28</v>
      </c>
      <c r="L570" s="261">
        <f>K568-368</f>
        <v>205</v>
      </c>
      <c r="M570" s="261"/>
    </row>
    <row r="571" spans="5:16">
      <c r="E571" s="261"/>
      <c r="F571" s="261"/>
      <c r="G571" s="261"/>
      <c r="H571" s="261"/>
      <c r="I571" s="261"/>
      <c r="J571" s="261"/>
      <c r="K571" s="261"/>
      <c r="L571" s="261"/>
      <c r="M571" s="261"/>
    </row>
    <row r="572" spans="5:16">
      <c r="E572" s="261"/>
      <c r="F572" s="261"/>
      <c r="G572" s="261"/>
      <c r="H572" s="270" t="s">
        <v>140</v>
      </c>
      <c r="I572" s="261"/>
      <c r="J572" s="261"/>
      <c r="K572" s="261"/>
      <c r="L572" s="261"/>
      <c r="M572" s="261"/>
    </row>
    <row r="573" spans="5:16">
      <c r="E573" s="261"/>
      <c r="F573" s="261">
        <v>1</v>
      </c>
      <c r="G573" s="261" t="s">
        <v>1389</v>
      </c>
      <c r="H573" s="261" t="s">
        <v>2744</v>
      </c>
      <c r="I573" s="261">
        <f>I519</f>
        <v>826</v>
      </c>
      <c r="J573" s="261" t="s">
        <v>1389</v>
      </c>
      <c r="K573" s="261">
        <f>F573*I573</f>
        <v>826</v>
      </c>
      <c r="L573" s="261"/>
      <c r="M573" s="261"/>
    </row>
    <row r="574" spans="5:16">
      <c r="E574" s="261"/>
      <c r="F574" s="261">
        <v>1</v>
      </c>
      <c r="G574" s="261" t="s">
        <v>1389</v>
      </c>
      <c r="H574" s="261" t="s">
        <v>2575</v>
      </c>
      <c r="I574" s="261">
        <f>I520</f>
        <v>820</v>
      </c>
      <c r="J574" s="261" t="s">
        <v>1389</v>
      </c>
      <c r="K574" s="261">
        <f>F574*I574</f>
        <v>820</v>
      </c>
      <c r="L574" s="261"/>
      <c r="M574" s="261"/>
    </row>
    <row r="575" spans="5:16">
      <c r="E575" s="261"/>
      <c r="F575" s="261">
        <v>3</v>
      </c>
      <c r="G575" s="261" t="s">
        <v>1389</v>
      </c>
      <c r="H575" s="261" t="s">
        <v>2321</v>
      </c>
      <c r="I575" s="261">
        <f>I521</f>
        <v>644</v>
      </c>
      <c r="J575" s="261" t="s">
        <v>1389</v>
      </c>
      <c r="K575" s="261">
        <f>F575*I575</f>
        <v>1932</v>
      </c>
      <c r="L575" s="261"/>
      <c r="M575" s="261"/>
    </row>
    <row r="576" spans="5:16">
      <c r="E576" s="261"/>
      <c r="F576" s="261"/>
      <c r="G576" s="261"/>
      <c r="H576" s="269" t="s">
        <v>2650</v>
      </c>
      <c r="I576" s="261"/>
      <c r="J576" s="261"/>
      <c r="K576" s="261">
        <f>SUM(K573:K575)</f>
        <v>3578</v>
      </c>
      <c r="L576" s="261"/>
      <c r="M576" s="261"/>
    </row>
    <row r="577" spans="5:15">
      <c r="E577" s="261"/>
      <c r="F577" s="261"/>
      <c r="G577" s="261"/>
      <c r="H577" s="271" t="s">
        <v>2770</v>
      </c>
      <c r="I577" s="261"/>
      <c r="J577" s="261"/>
      <c r="K577" s="272">
        <f>K576/8</f>
        <v>447.25</v>
      </c>
      <c r="L577" s="261"/>
      <c r="M577" s="261"/>
    </row>
    <row r="578" spans="5:15">
      <c r="E578" s="261"/>
      <c r="F578" s="261"/>
      <c r="G578" s="261"/>
      <c r="H578" s="261"/>
      <c r="I578" s="261"/>
      <c r="J578" s="261"/>
      <c r="K578" s="261"/>
      <c r="L578" s="261"/>
      <c r="M578" s="261"/>
    </row>
    <row r="579" spans="5:15">
      <c r="E579" s="261"/>
      <c r="F579" s="261"/>
      <c r="G579" s="261"/>
      <c r="H579" s="272" t="s">
        <v>2651</v>
      </c>
      <c r="I579" s="261"/>
      <c r="J579" s="261"/>
      <c r="K579" s="261"/>
      <c r="L579" s="261"/>
      <c r="M579" s="261"/>
    </row>
    <row r="580" spans="5:15">
      <c r="E580" s="261"/>
      <c r="F580" s="261"/>
      <c r="G580" s="261"/>
      <c r="H580" s="272" t="s">
        <v>2652</v>
      </c>
      <c r="I580" s="261"/>
      <c r="J580" s="261"/>
      <c r="K580" s="261"/>
      <c r="L580" s="261"/>
      <c r="M580" s="261"/>
    </row>
    <row r="581" spans="5:15">
      <c r="E581" s="261"/>
      <c r="F581" s="261"/>
      <c r="G581" s="261"/>
      <c r="H581" s="261"/>
      <c r="I581" s="261"/>
      <c r="J581" s="261"/>
      <c r="K581" s="261"/>
      <c r="L581" s="261"/>
      <c r="M581" s="261"/>
    </row>
    <row r="582" spans="5:15" ht="63">
      <c r="E582" s="261"/>
      <c r="F582" s="261"/>
      <c r="G582" s="261"/>
      <c r="H582" s="260" t="s">
        <v>2657</v>
      </c>
      <c r="I582" s="261"/>
      <c r="J582" s="261"/>
      <c r="K582" s="261"/>
      <c r="L582" s="261" t="s">
        <v>3504</v>
      </c>
      <c r="M582" s="260" t="s">
        <v>3450</v>
      </c>
      <c r="N582" s="260" t="s">
        <v>3688</v>
      </c>
      <c r="O582" s="260" t="s">
        <v>3848</v>
      </c>
    </row>
    <row r="583" spans="5:15">
      <c r="E583" s="261"/>
      <c r="F583" s="261">
        <v>3</v>
      </c>
      <c r="G583" s="261" t="s">
        <v>1389</v>
      </c>
      <c r="H583" s="261" t="str">
        <f>H564</f>
        <v>32 Amps 500 V fuse units P-120 6-b</v>
      </c>
      <c r="I583" s="261">
        <f>I564</f>
        <v>85.2</v>
      </c>
      <c r="J583" s="261" t="s">
        <v>1393</v>
      </c>
      <c r="K583" s="261">
        <f>F583*I583</f>
        <v>255.6</v>
      </c>
      <c r="L583" s="261">
        <f>L564*3</f>
        <v>570.6</v>
      </c>
      <c r="M583" s="261">
        <f>M564*3</f>
        <v>144.15</v>
      </c>
      <c r="N583" s="261">
        <f>N564*3</f>
        <v>1031.0999999999999</v>
      </c>
      <c r="O583" s="261">
        <f>O564*3</f>
        <v>1665</v>
      </c>
    </row>
    <row r="584" spans="5:15">
      <c r="E584" s="261"/>
      <c r="F584" s="261">
        <v>1</v>
      </c>
      <c r="G584" s="261" t="s">
        <v>1389</v>
      </c>
      <c r="H584" s="261" t="s">
        <v>3165</v>
      </c>
      <c r="I584" s="261">
        <f>K589</f>
        <v>62.57</v>
      </c>
      <c r="J584" s="261" t="s">
        <v>1389</v>
      </c>
      <c r="K584" s="261">
        <f>F584*I584</f>
        <v>62.57</v>
      </c>
      <c r="L584" s="261">
        <f t="shared" ref="L584:O586" si="16">K584</f>
        <v>62.57</v>
      </c>
      <c r="M584" s="261">
        <f t="shared" si="16"/>
        <v>62.57</v>
      </c>
      <c r="N584" s="261">
        <f t="shared" si="16"/>
        <v>62.57</v>
      </c>
      <c r="O584" s="261">
        <f t="shared" si="16"/>
        <v>62.57</v>
      </c>
    </row>
    <row r="585" spans="5:15">
      <c r="E585" s="261"/>
      <c r="F585" s="261"/>
      <c r="G585" s="261"/>
      <c r="H585" s="261" t="s">
        <v>911</v>
      </c>
      <c r="I585" s="261"/>
      <c r="J585" s="261"/>
      <c r="K585" s="261">
        <f>K596</f>
        <v>527.75</v>
      </c>
      <c r="L585" s="261">
        <f t="shared" si="16"/>
        <v>527.75</v>
      </c>
      <c r="M585" s="261">
        <f t="shared" si="16"/>
        <v>527.75</v>
      </c>
      <c r="N585" s="261">
        <f t="shared" si="16"/>
        <v>527.75</v>
      </c>
      <c r="O585" s="261">
        <f t="shared" si="16"/>
        <v>527.75</v>
      </c>
    </row>
    <row r="586" spans="5:15">
      <c r="E586" s="261"/>
      <c r="F586" s="261"/>
      <c r="G586" s="261"/>
      <c r="H586" s="261" t="s">
        <v>2700</v>
      </c>
      <c r="I586" s="261" t="s">
        <v>654</v>
      </c>
      <c r="J586" s="261"/>
      <c r="K586" s="261">
        <v>6.2</v>
      </c>
      <c r="L586" s="261">
        <f t="shared" si="16"/>
        <v>6.2</v>
      </c>
      <c r="M586" s="261">
        <f t="shared" si="16"/>
        <v>6.2</v>
      </c>
      <c r="N586" s="261">
        <f t="shared" si="16"/>
        <v>6.2</v>
      </c>
      <c r="O586" s="261">
        <f t="shared" si="16"/>
        <v>6.2</v>
      </c>
    </row>
    <row r="587" spans="5:15">
      <c r="E587" s="261"/>
      <c r="F587" s="261"/>
      <c r="G587" s="261"/>
      <c r="H587" s="271" t="s">
        <v>1058</v>
      </c>
      <c r="I587" s="261"/>
      <c r="J587" s="261"/>
      <c r="K587" s="272">
        <f>SUM(K583:K586)</f>
        <v>852.12</v>
      </c>
      <c r="L587" s="272">
        <f>SUM(L583:L586)</f>
        <v>1167.1199999999999</v>
      </c>
      <c r="M587" s="272">
        <f>SUM(M583:M586)</f>
        <v>740.67</v>
      </c>
      <c r="N587" s="272">
        <f>SUM(N583:N586)</f>
        <v>1627.62</v>
      </c>
      <c r="O587" s="272">
        <f>SUM(O583:O586)</f>
        <v>2261.52</v>
      </c>
    </row>
    <row r="588" spans="5:15">
      <c r="E588" s="261"/>
      <c r="F588" s="261"/>
      <c r="G588" s="261"/>
      <c r="H588" s="271"/>
      <c r="I588" s="261"/>
      <c r="J588" s="261"/>
      <c r="K588" s="272"/>
      <c r="L588" s="261">
        <f>825-K587</f>
        <v>-27.12</v>
      </c>
      <c r="M588" s="261"/>
    </row>
    <row r="589" spans="5:15">
      <c r="E589" s="261"/>
      <c r="F589" s="261"/>
      <c r="G589" s="261"/>
      <c r="H589" s="272" t="s">
        <v>3165</v>
      </c>
      <c r="I589" s="261">
        <f>I570</f>
        <v>104280</v>
      </c>
      <c r="J589" s="278">
        <v>5.9999999999999995E-4</v>
      </c>
      <c r="K589" s="272">
        <f>I589*J589</f>
        <v>62.57</v>
      </c>
      <c r="L589" s="261"/>
      <c r="M589" s="261"/>
    </row>
    <row r="590" spans="5:15">
      <c r="E590" s="261"/>
      <c r="F590" s="261"/>
      <c r="G590" s="261"/>
      <c r="H590" s="271"/>
      <c r="I590" s="261"/>
      <c r="J590" s="261"/>
      <c r="K590" s="261"/>
      <c r="L590" s="261"/>
      <c r="M590" s="261"/>
    </row>
    <row r="591" spans="5:15">
      <c r="E591" s="261"/>
      <c r="F591" s="261"/>
      <c r="G591" s="261"/>
      <c r="H591" s="270" t="s">
        <v>140</v>
      </c>
      <c r="I591" s="261"/>
      <c r="J591" s="261"/>
      <c r="K591" s="261"/>
      <c r="L591" s="261"/>
      <c r="M591" s="261"/>
    </row>
    <row r="592" spans="5:15">
      <c r="E592" s="261"/>
      <c r="F592" s="261">
        <v>1</v>
      </c>
      <c r="G592" s="261" t="s">
        <v>1389</v>
      </c>
      <c r="H592" s="261" t="s">
        <v>2744</v>
      </c>
      <c r="I592" s="261">
        <f>I573</f>
        <v>826</v>
      </c>
      <c r="J592" s="261" t="s">
        <v>1389</v>
      </c>
      <c r="K592" s="261">
        <f>F592*I592</f>
        <v>826</v>
      </c>
      <c r="L592" s="261"/>
      <c r="M592" s="261"/>
    </row>
    <row r="593" spans="5:13">
      <c r="E593" s="261"/>
      <c r="F593" s="261">
        <v>1</v>
      </c>
      <c r="G593" s="261" t="s">
        <v>1389</v>
      </c>
      <c r="H593" s="261" t="s">
        <v>2575</v>
      </c>
      <c r="I593" s="261">
        <f>I574</f>
        <v>820</v>
      </c>
      <c r="J593" s="261" t="s">
        <v>1389</v>
      </c>
      <c r="K593" s="261">
        <f>F593*I593</f>
        <v>820</v>
      </c>
      <c r="L593" s="261"/>
      <c r="M593" s="261"/>
    </row>
    <row r="594" spans="5:13">
      <c r="E594" s="261"/>
      <c r="F594" s="261">
        <v>4</v>
      </c>
      <c r="G594" s="261" t="s">
        <v>1389</v>
      </c>
      <c r="H594" s="261" t="s">
        <v>2321</v>
      </c>
      <c r="I594" s="261">
        <f>I575</f>
        <v>644</v>
      </c>
      <c r="J594" s="261" t="s">
        <v>1389</v>
      </c>
      <c r="K594" s="261">
        <f>F594*I594</f>
        <v>2576</v>
      </c>
      <c r="L594" s="261"/>
      <c r="M594" s="261"/>
    </row>
    <row r="595" spans="5:13">
      <c r="E595" s="261"/>
      <c r="F595" s="261"/>
      <c r="G595" s="261"/>
      <c r="H595" s="269" t="s">
        <v>2650</v>
      </c>
      <c r="I595" s="261"/>
      <c r="J595" s="261"/>
      <c r="K595" s="261">
        <f>SUM(K592:K594)</f>
        <v>4222</v>
      </c>
      <c r="L595" s="261"/>
      <c r="M595" s="261"/>
    </row>
    <row r="596" spans="5:13">
      <c r="E596" s="261"/>
      <c r="F596" s="261"/>
      <c r="G596" s="261"/>
      <c r="H596" s="271" t="s">
        <v>2864</v>
      </c>
      <c r="I596" s="261"/>
      <c r="J596" s="261"/>
      <c r="K596" s="272">
        <f>K595/8</f>
        <v>527.75</v>
      </c>
      <c r="L596" s="261"/>
      <c r="M596" s="261"/>
    </row>
    <row r="597" spans="5:13">
      <c r="E597" s="261"/>
      <c r="F597" s="261"/>
      <c r="G597" s="261"/>
      <c r="H597" s="261"/>
      <c r="I597" s="261"/>
      <c r="J597" s="261"/>
      <c r="K597" s="261"/>
      <c r="L597" s="261"/>
      <c r="M597" s="261"/>
    </row>
    <row r="598" spans="5:13">
      <c r="E598" s="261"/>
      <c r="F598" s="261"/>
      <c r="G598" s="261"/>
      <c r="H598" s="272" t="s">
        <v>2658</v>
      </c>
      <c r="I598" s="261"/>
      <c r="J598" s="261"/>
      <c r="K598" s="261"/>
      <c r="L598" s="261"/>
      <c r="M598" s="261"/>
    </row>
    <row r="599" spans="5:13">
      <c r="E599" s="261"/>
      <c r="F599" s="261"/>
      <c r="G599" s="261"/>
      <c r="H599" s="261"/>
      <c r="I599" s="261"/>
      <c r="J599" s="261"/>
      <c r="K599" s="261"/>
      <c r="L599" s="261"/>
      <c r="M599" s="261"/>
    </row>
    <row r="600" spans="5:13">
      <c r="E600" s="261"/>
      <c r="F600" s="261"/>
      <c r="G600" s="261"/>
      <c r="H600" s="272" t="s">
        <v>2659</v>
      </c>
      <c r="I600" s="261"/>
      <c r="J600" s="261"/>
      <c r="K600" s="261"/>
      <c r="L600" s="261"/>
      <c r="M600" s="261"/>
    </row>
    <row r="601" spans="5:13">
      <c r="E601" s="261"/>
      <c r="F601" s="261"/>
      <c r="G601" s="261"/>
      <c r="H601" s="261"/>
      <c r="I601" s="261"/>
      <c r="J601" s="261"/>
      <c r="K601" s="261"/>
      <c r="L601" s="261"/>
      <c r="M601" s="261"/>
    </row>
    <row r="602" spans="5:13" ht="78.75">
      <c r="E602" s="261"/>
      <c r="F602" s="261"/>
      <c r="G602" s="261"/>
      <c r="H602" s="260" t="s">
        <v>2357</v>
      </c>
      <c r="I602" s="261"/>
      <c r="J602" s="261"/>
      <c r="K602" s="261"/>
      <c r="L602" s="261"/>
      <c r="M602" s="261"/>
    </row>
    <row r="603" spans="5:13">
      <c r="E603" s="261"/>
      <c r="F603" s="261"/>
      <c r="G603" s="261"/>
      <c r="H603" s="261"/>
      <c r="I603" s="261"/>
      <c r="J603" s="261"/>
      <c r="K603" s="261"/>
      <c r="L603" s="261"/>
      <c r="M603" s="261"/>
    </row>
    <row r="604" spans="5:13">
      <c r="E604" s="261"/>
      <c r="F604" s="261">
        <v>1</v>
      </c>
      <c r="G604" s="261" t="s">
        <v>1389</v>
      </c>
      <c r="H604" s="261" t="s">
        <v>4976</v>
      </c>
      <c r="I604" s="264">
        <v>48.05</v>
      </c>
      <c r="J604" s="261" t="s">
        <v>1389</v>
      </c>
      <c r="K604" s="261">
        <f>F604*I604</f>
        <v>48.05</v>
      </c>
      <c r="L604" s="261"/>
      <c r="M604" s="261"/>
    </row>
    <row r="605" spans="5:13">
      <c r="E605" s="261"/>
      <c r="F605" s="261">
        <v>1</v>
      </c>
      <c r="G605" s="261" t="s">
        <v>1389</v>
      </c>
      <c r="H605" s="260" t="s">
        <v>2358</v>
      </c>
      <c r="I605" s="261">
        <f>K611</f>
        <v>234.63</v>
      </c>
      <c r="J605" s="261" t="s">
        <v>1389</v>
      </c>
      <c r="K605" s="261">
        <f>F605*I605</f>
        <v>234.63</v>
      </c>
      <c r="L605" s="261"/>
      <c r="M605" s="261"/>
    </row>
    <row r="606" spans="5:13">
      <c r="E606" s="261"/>
      <c r="F606" s="261">
        <v>1</v>
      </c>
      <c r="G606" s="261" t="s">
        <v>1389</v>
      </c>
      <c r="H606" s="261" t="s">
        <v>2359</v>
      </c>
      <c r="I606" s="293">
        <v>25</v>
      </c>
      <c r="J606" s="261" t="s">
        <v>2360</v>
      </c>
      <c r="K606" s="261">
        <f>F606*I606</f>
        <v>25</v>
      </c>
      <c r="L606" s="261"/>
      <c r="M606" s="261"/>
    </row>
    <row r="607" spans="5:13">
      <c r="E607" s="261"/>
      <c r="F607" s="261"/>
      <c r="G607" s="261"/>
      <c r="H607" s="261" t="s">
        <v>140</v>
      </c>
      <c r="I607" s="261"/>
      <c r="J607" s="261"/>
      <c r="K607" s="261">
        <f>K617</f>
        <v>528.5</v>
      </c>
      <c r="L607" s="261"/>
      <c r="M607" s="261"/>
    </row>
    <row r="608" spans="5:13">
      <c r="E608" s="261"/>
      <c r="F608" s="261"/>
      <c r="G608" s="261"/>
      <c r="H608" s="261" t="s">
        <v>2361</v>
      </c>
      <c r="I608" s="261"/>
      <c r="J608" s="261"/>
      <c r="K608" s="261">
        <v>9.82</v>
      </c>
      <c r="L608" s="261"/>
      <c r="M608" s="261"/>
    </row>
    <row r="609" spans="5:13">
      <c r="E609" s="261"/>
      <c r="F609" s="261"/>
      <c r="G609" s="261"/>
      <c r="H609" s="271" t="s">
        <v>2362</v>
      </c>
      <c r="I609" s="261"/>
      <c r="J609" s="261"/>
      <c r="K609" s="272">
        <f>SUM(K604:K608)</f>
        <v>846</v>
      </c>
      <c r="L609" s="261">
        <f>K609-592</f>
        <v>254</v>
      </c>
      <c r="M609" s="261"/>
    </row>
    <row r="610" spans="5:13">
      <c r="E610" s="261"/>
      <c r="F610" s="261"/>
      <c r="G610" s="261"/>
      <c r="H610" s="261"/>
      <c r="I610" s="261"/>
      <c r="J610" s="261"/>
      <c r="K610" s="261"/>
      <c r="L610" s="261"/>
      <c r="M610" s="261"/>
    </row>
    <row r="611" spans="5:13">
      <c r="E611" s="261"/>
      <c r="F611" s="261"/>
      <c r="G611" s="261"/>
      <c r="H611" s="272" t="s">
        <v>2363</v>
      </c>
      <c r="I611" s="261">
        <f>I589</f>
        <v>104280</v>
      </c>
      <c r="J611" s="297">
        <v>2.2499999999999998E-3</v>
      </c>
      <c r="K611" s="261">
        <f>I611*J611</f>
        <v>234.63</v>
      </c>
      <c r="L611" s="261"/>
      <c r="M611" s="261"/>
    </row>
    <row r="612" spans="5:13">
      <c r="E612" s="261"/>
      <c r="F612" s="261"/>
      <c r="G612" s="261"/>
      <c r="H612" s="261"/>
      <c r="I612" s="261"/>
      <c r="J612" s="261"/>
      <c r="K612" s="261"/>
      <c r="L612" s="261"/>
      <c r="M612" s="261"/>
    </row>
    <row r="613" spans="5:13">
      <c r="E613" s="261"/>
      <c r="F613" s="261"/>
      <c r="G613" s="261"/>
      <c r="H613" s="272" t="s">
        <v>911</v>
      </c>
      <c r="I613" s="261"/>
      <c r="J613" s="261"/>
      <c r="K613" s="261"/>
      <c r="L613" s="261"/>
      <c r="M613" s="261"/>
    </row>
    <row r="614" spans="5:13">
      <c r="E614" s="261"/>
      <c r="F614" s="261">
        <v>1</v>
      </c>
      <c r="G614" s="261" t="s">
        <v>1389</v>
      </c>
      <c r="H614" s="261" t="s">
        <v>2744</v>
      </c>
      <c r="I614" s="296">
        <f>I592</f>
        <v>826</v>
      </c>
      <c r="J614" s="261" t="s">
        <v>1389</v>
      </c>
      <c r="K614" s="261">
        <f>F614*I614</f>
        <v>826</v>
      </c>
      <c r="L614" s="261"/>
      <c r="M614" s="261"/>
    </row>
    <row r="615" spans="5:13">
      <c r="E615" s="261"/>
      <c r="F615" s="261">
        <v>2</v>
      </c>
      <c r="G615" s="261" t="s">
        <v>1389</v>
      </c>
      <c r="H615" s="261" t="s">
        <v>2576</v>
      </c>
      <c r="I615" s="296">
        <f>I594</f>
        <v>644</v>
      </c>
      <c r="J615" s="261" t="s">
        <v>1389</v>
      </c>
      <c r="K615" s="261">
        <f>F615*I615</f>
        <v>1288</v>
      </c>
      <c r="L615" s="261"/>
      <c r="M615" s="261"/>
    </row>
    <row r="616" spans="5:13">
      <c r="E616" s="261"/>
      <c r="F616" s="261"/>
      <c r="G616" s="261"/>
      <c r="H616" s="269" t="s">
        <v>2745</v>
      </c>
      <c r="I616" s="261"/>
      <c r="J616" s="261"/>
      <c r="K616" s="261">
        <f>SUM(K614:K615)</f>
        <v>2114</v>
      </c>
      <c r="L616" s="261"/>
      <c r="M616" s="261"/>
    </row>
    <row r="617" spans="5:13">
      <c r="E617" s="261"/>
      <c r="F617" s="261"/>
      <c r="G617" s="261"/>
      <c r="H617" s="271" t="s">
        <v>2770</v>
      </c>
      <c r="I617" s="261"/>
      <c r="J617" s="261"/>
      <c r="K617" s="272">
        <f>K616/4</f>
        <v>528.5</v>
      </c>
      <c r="L617" s="261"/>
      <c r="M617" s="261"/>
    </row>
    <row r="618" spans="5:13">
      <c r="E618" s="261"/>
      <c r="F618" s="261"/>
      <c r="G618" s="261"/>
      <c r="H618" s="261"/>
      <c r="I618" s="261"/>
      <c r="J618" s="261"/>
      <c r="K618" s="261"/>
      <c r="L618" s="261"/>
      <c r="M618" s="261"/>
    </row>
    <row r="619" spans="5:13">
      <c r="E619" s="261"/>
      <c r="F619" s="261"/>
      <c r="G619" s="261"/>
      <c r="H619" s="272" t="s">
        <v>2364</v>
      </c>
      <c r="I619" s="261"/>
      <c r="J619" s="261"/>
      <c r="K619" s="261"/>
      <c r="L619" s="261"/>
      <c r="M619" s="261"/>
    </row>
    <row r="620" spans="5:13">
      <c r="E620" s="261"/>
      <c r="F620" s="261"/>
      <c r="G620" s="261"/>
      <c r="H620" s="272" t="s">
        <v>2365</v>
      </c>
      <c r="I620" s="261"/>
      <c r="J620" s="261"/>
      <c r="K620" s="261"/>
      <c r="L620" s="261"/>
      <c r="M620" s="261"/>
    </row>
    <row r="621" spans="5:13">
      <c r="E621" s="261"/>
      <c r="F621" s="261"/>
      <c r="G621" s="261"/>
      <c r="H621" s="261" t="s">
        <v>971</v>
      </c>
      <c r="I621" s="261"/>
      <c r="J621" s="261"/>
      <c r="K621" s="261"/>
      <c r="L621" s="261"/>
      <c r="M621" s="261"/>
    </row>
    <row r="622" spans="5:13">
      <c r="E622" s="261"/>
      <c r="F622" s="261">
        <v>1</v>
      </c>
      <c r="G622" s="261" t="s">
        <v>1389</v>
      </c>
      <c r="H622" s="261" t="s">
        <v>4270</v>
      </c>
      <c r="I622" s="261">
        <f>I552</f>
        <v>1520</v>
      </c>
      <c r="J622" s="261" t="s">
        <v>1389</v>
      </c>
      <c r="K622" s="261">
        <f>F622*I622</f>
        <v>1520</v>
      </c>
      <c r="L622" s="261"/>
      <c r="M622" s="261"/>
    </row>
    <row r="623" spans="5:13">
      <c r="E623" s="261"/>
      <c r="F623" s="261">
        <v>3</v>
      </c>
      <c r="G623" s="261" t="s">
        <v>1389</v>
      </c>
      <c r="H623" s="261" t="s">
        <v>4977</v>
      </c>
      <c r="I623" s="264">
        <v>128</v>
      </c>
      <c r="J623" s="261" t="s">
        <v>1389</v>
      </c>
      <c r="K623" s="261">
        <f>F623*I623</f>
        <v>384</v>
      </c>
      <c r="L623" s="261"/>
      <c r="M623" s="261"/>
    </row>
    <row r="624" spans="5:13">
      <c r="E624" s="261"/>
      <c r="F624" s="261"/>
      <c r="G624" s="261"/>
      <c r="H624" s="261" t="s">
        <v>2484</v>
      </c>
      <c r="I624" s="261"/>
      <c r="J624" s="261"/>
      <c r="K624" s="261">
        <f>K516</f>
        <v>811.8</v>
      </c>
      <c r="L624" s="261"/>
      <c r="M624" s="261"/>
    </row>
    <row r="625" spans="5:13">
      <c r="E625" s="261"/>
      <c r="F625" s="261"/>
      <c r="G625" s="261"/>
      <c r="H625" s="261" t="s">
        <v>2261</v>
      </c>
      <c r="I625" s="261"/>
      <c r="J625" s="261"/>
      <c r="K625" s="261">
        <v>2</v>
      </c>
      <c r="L625" s="261"/>
      <c r="M625" s="261"/>
    </row>
    <row r="626" spans="5:13">
      <c r="E626" s="261"/>
      <c r="F626" s="261"/>
      <c r="G626" s="261"/>
      <c r="H626" s="271" t="s">
        <v>2485</v>
      </c>
      <c r="I626" s="261"/>
      <c r="J626" s="261"/>
      <c r="K626" s="272">
        <f>SUM(K622:K625)</f>
        <v>2717.8</v>
      </c>
      <c r="L626" s="261"/>
      <c r="M626" s="261"/>
    </row>
    <row r="627" spans="5:13">
      <c r="E627" s="261"/>
      <c r="F627" s="261"/>
      <c r="G627" s="261"/>
      <c r="H627" s="261"/>
      <c r="I627" s="261"/>
      <c r="J627" s="261"/>
      <c r="K627" s="261"/>
      <c r="L627" s="261"/>
      <c r="M627" s="261"/>
    </row>
    <row r="628" spans="5:13">
      <c r="E628" s="261"/>
      <c r="F628" s="261"/>
      <c r="G628" s="261"/>
      <c r="H628" s="272" t="s">
        <v>2364</v>
      </c>
      <c r="I628" s="261"/>
      <c r="J628" s="261"/>
      <c r="K628" s="261"/>
      <c r="L628" s="261"/>
      <c r="M628" s="261"/>
    </row>
    <row r="629" spans="5:13">
      <c r="E629" s="261"/>
      <c r="F629" s="261"/>
      <c r="G629" s="261"/>
      <c r="H629" s="261"/>
      <c r="I629" s="261"/>
      <c r="J629" s="261"/>
      <c r="K629" s="261"/>
      <c r="L629" s="261"/>
      <c r="M629" s="261"/>
    </row>
    <row r="630" spans="5:13">
      <c r="E630" s="261"/>
      <c r="F630" s="261"/>
      <c r="G630" s="261"/>
      <c r="H630" s="272" t="s">
        <v>2486</v>
      </c>
      <c r="I630" s="261"/>
      <c r="J630" s="261"/>
      <c r="K630" s="261"/>
      <c r="L630" s="261"/>
      <c r="M630" s="261"/>
    </row>
    <row r="631" spans="5:13">
      <c r="E631" s="261"/>
      <c r="F631" s="261"/>
      <c r="G631" s="261"/>
      <c r="H631" s="261"/>
      <c r="I631" s="261"/>
      <c r="J631" s="261"/>
      <c r="K631" s="261"/>
      <c r="L631" s="261"/>
      <c r="M631" s="261"/>
    </row>
    <row r="632" spans="5:13">
      <c r="E632" s="261"/>
      <c r="F632" s="261">
        <v>1</v>
      </c>
      <c r="G632" s="261" t="s">
        <v>1389</v>
      </c>
      <c r="H632" s="261" t="s">
        <v>4272</v>
      </c>
      <c r="I632" s="296">
        <f>I557</f>
        <v>1876</v>
      </c>
      <c r="J632" s="261" t="s">
        <v>1389</v>
      </c>
      <c r="K632" s="261">
        <f>F632*I632</f>
        <v>1876</v>
      </c>
      <c r="L632" s="261"/>
      <c r="M632" s="261"/>
    </row>
    <row r="633" spans="5:13">
      <c r="E633" s="261"/>
      <c r="F633" s="261">
        <v>3</v>
      </c>
      <c r="G633" s="261" t="s">
        <v>1389</v>
      </c>
      <c r="H633" s="261" t="s">
        <v>4271</v>
      </c>
      <c r="I633" s="261">
        <f>I623</f>
        <v>128</v>
      </c>
      <c r="J633" s="261" t="s">
        <v>1389</v>
      </c>
      <c r="K633" s="261">
        <f>F633*I633</f>
        <v>384</v>
      </c>
      <c r="L633" s="261"/>
      <c r="M633" s="261"/>
    </row>
    <row r="634" spans="5:13">
      <c r="E634" s="261"/>
      <c r="F634" s="261"/>
      <c r="G634" s="261"/>
      <c r="H634" s="261" t="s">
        <v>2832</v>
      </c>
      <c r="I634" s="261"/>
      <c r="J634" s="261"/>
      <c r="K634" s="261">
        <f>K547</f>
        <v>826.3</v>
      </c>
      <c r="L634" s="261"/>
      <c r="M634" s="261"/>
    </row>
    <row r="635" spans="5:13">
      <c r="E635" s="261"/>
      <c r="F635" s="261"/>
      <c r="G635" s="261"/>
      <c r="H635" s="261" t="s">
        <v>2261</v>
      </c>
      <c r="I635" s="261"/>
      <c r="J635" s="261"/>
      <c r="K635" s="261">
        <f>5</f>
        <v>5</v>
      </c>
      <c r="L635" s="261"/>
      <c r="M635" s="261"/>
    </row>
    <row r="636" spans="5:13">
      <c r="E636" s="261"/>
      <c r="F636" s="261"/>
      <c r="G636" s="261"/>
      <c r="H636" s="271" t="s">
        <v>2833</v>
      </c>
      <c r="I636" s="261"/>
      <c r="J636" s="261"/>
      <c r="K636" s="272">
        <f>SUM(K632:K635)</f>
        <v>3091.3</v>
      </c>
      <c r="L636" s="261">
        <f>K636-2695</f>
        <v>396.3</v>
      </c>
      <c r="M636" s="261"/>
    </row>
    <row r="637" spans="5:13">
      <c r="E637" s="261"/>
      <c r="F637" s="261"/>
      <c r="G637" s="261"/>
      <c r="H637" s="261"/>
      <c r="I637" s="261"/>
      <c r="J637" s="261"/>
      <c r="K637" s="261"/>
      <c r="L637" s="261"/>
      <c r="M637" s="261"/>
    </row>
    <row r="638" spans="5:13">
      <c r="E638" s="261"/>
      <c r="F638" s="261"/>
      <c r="G638" s="261"/>
      <c r="H638" s="272" t="s">
        <v>2834</v>
      </c>
      <c r="I638" s="261"/>
      <c r="J638" s="261"/>
      <c r="K638" s="261"/>
      <c r="L638" s="261"/>
      <c r="M638" s="261"/>
    </row>
    <row r="639" spans="5:13">
      <c r="E639" s="261"/>
      <c r="F639" s="261"/>
      <c r="G639" s="261"/>
      <c r="H639" s="261"/>
      <c r="I639" s="261"/>
      <c r="J639" s="261"/>
      <c r="K639" s="261"/>
      <c r="L639" s="261"/>
      <c r="M639" s="261"/>
    </row>
    <row r="640" spans="5:13">
      <c r="E640" s="261"/>
      <c r="F640" s="261"/>
      <c r="G640" s="261"/>
      <c r="H640" s="272" t="s">
        <v>2835</v>
      </c>
      <c r="I640" s="261"/>
      <c r="J640" s="261"/>
      <c r="K640" s="261"/>
      <c r="L640" s="261"/>
      <c r="M640" s="261"/>
    </row>
    <row r="641" spans="5:13">
      <c r="E641" s="261"/>
      <c r="F641" s="261"/>
      <c r="G641" s="261"/>
      <c r="H641" s="261"/>
      <c r="I641" s="261"/>
      <c r="J641" s="261"/>
      <c r="K641" s="261"/>
      <c r="L641" s="261"/>
      <c r="M641" s="261"/>
    </row>
    <row r="642" spans="5:13" ht="78.75">
      <c r="E642" s="261"/>
      <c r="F642" s="261"/>
      <c r="G642" s="261"/>
      <c r="H642" s="260" t="s">
        <v>5640</v>
      </c>
      <c r="I642" s="261"/>
      <c r="J642" s="261"/>
      <c r="K642" s="261"/>
      <c r="L642" s="261"/>
      <c r="M642" s="261"/>
    </row>
    <row r="643" spans="5:13">
      <c r="E643" s="261"/>
      <c r="F643" s="261"/>
      <c r="G643" s="261"/>
      <c r="H643" s="261"/>
      <c r="I643" s="261"/>
      <c r="J643" s="261"/>
      <c r="K643" s="261"/>
      <c r="L643" s="261"/>
      <c r="M643" s="261"/>
    </row>
    <row r="644" spans="5:13">
      <c r="E644" s="261"/>
      <c r="F644" s="261">
        <v>3</v>
      </c>
      <c r="G644" s="261" t="s">
        <v>1389</v>
      </c>
      <c r="H644" s="261" t="s">
        <v>2836</v>
      </c>
      <c r="I644" s="261">
        <f>I564</f>
        <v>85.2</v>
      </c>
      <c r="J644" s="261" t="s">
        <v>1389</v>
      </c>
      <c r="K644" s="261">
        <f>F644*I644</f>
        <v>255.6</v>
      </c>
      <c r="L644" s="261"/>
      <c r="M644" s="261"/>
    </row>
    <row r="645" spans="5:13">
      <c r="E645" s="261"/>
      <c r="F645" s="261">
        <v>1</v>
      </c>
      <c r="G645" s="261" t="s">
        <v>1389</v>
      </c>
      <c r="H645" s="260" t="s">
        <v>2837</v>
      </c>
      <c r="I645" s="261">
        <f>K651</f>
        <v>351.95</v>
      </c>
      <c r="J645" s="261" t="s">
        <v>1389</v>
      </c>
      <c r="K645" s="261">
        <f>F645*I645</f>
        <v>351.95</v>
      </c>
      <c r="L645" s="261"/>
      <c r="M645" s="261"/>
    </row>
    <row r="646" spans="5:13">
      <c r="E646" s="261"/>
      <c r="F646" s="261">
        <v>1</v>
      </c>
      <c r="G646" s="261" t="s">
        <v>1389</v>
      </c>
      <c r="H646" s="261" t="s">
        <v>2359</v>
      </c>
      <c r="I646" s="261">
        <f>I606</f>
        <v>25</v>
      </c>
      <c r="J646" s="261" t="s">
        <v>2360</v>
      </c>
      <c r="K646" s="261">
        <f>F646*I646</f>
        <v>25</v>
      </c>
      <c r="L646" s="261"/>
      <c r="M646" s="261"/>
    </row>
    <row r="647" spans="5:13">
      <c r="E647" s="261"/>
      <c r="F647" s="261"/>
      <c r="G647" s="261"/>
      <c r="H647" s="261" t="s">
        <v>140</v>
      </c>
      <c r="I647" s="261"/>
      <c r="J647" s="261"/>
      <c r="K647" s="261">
        <f>K657</f>
        <v>704.67</v>
      </c>
      <c r="L647" s="261"/>
      <c r="M647" s="261"/>
    </row>
    <row r="648" spans="5:13">
      <c r="E648" s="261"/>
      <c r="F648" s="261"/>
      <c r="G648" s="261"/>
      <c r="H648" s="261" t="s">
        <v>2361</v>
      </c>
      <c r="I648" s="261"/>
      <c r="J648" s="261"/>
      <c r="K648" s="261">
        <v>8.1199999999999992</v>
      </c>
      <c r="L648" s="261"/>
      <c r="M648" s="261"/>
    </row>
    <row r="649" spans="5:13">
      <c r="E649" s="261"/>
      <c r="F649" s="261"/>
      <c r="G649" s="261"/>
      <c r="H649" s="271" t="s">
        <v>2362</v>
      </c>
      <c r="I649" s="261"/>
      <c r="J649" s="261"/>
      <c r="K649" s="272">
        <f>SUM(K644:K648)</f>
        <v>1345.34</v>
      </c>
      <c r="L649" s="261">
        <f>1309-K649</f>
        <v>-36.340000000000003</v>
      </c>
      <c r="M649" s="261"/>
    </row>
    <row r="650" spans="5:13">
      <c r="E650" s="261"/>
      <c r="F650" s="261"/>
      <c r="G650" s="261"/>
      <c r="H650" s="261"/>
      <c r="I650" s="261"/>
      <c r="J650" s="261"/>
      <c r="K650" s="261"/>
      <c r="L650" s="261"/>
      <c r="M650" s="261"/>
    </row>
    <row r="651" spans="5:13">
      <c r="E651" s="261"/>
      <c r="F651" s="261"/>
      <c r="G651" s="261"/>
      <c r="H651" s="272" t="s">
        <v>2838</v>
      </c>
      <c r="I651" s="261">
        <f>I611</f>
        <v>104280</v>
      </c>
      <c r="J651" s="297">
        <v>3.375E-3</v>
      </c>
      <c r="K651" s="261">
        <f>I651*J651</f>
        <v>351.95</v>
      </c>
      <c r="L651" s="261"/>
      <c r="M651" s="261"/>
    </row>
    <row r="652" spans="5:13">
      <c r="E652" s="261"/>
      <c r="F652" s="261"/>
      <c r="G652" s="261"/>
      <c r="H652" s="261"/>
      <c r="I652" s="261"/>
      <c r="J652" s="261"/>
      <c r="K652" s="261"/>
      <c r="L652" s="261"/>
      <c r="M652" s="261"/>
    </row>
    <row r="653" spans="5:13">
      <c r="E653" s="261"/>
      <c r="F653" s="261"/>
      <c r="G653" s="261"/>
      <c r="H653" s="270" t="s">
        <v>911</v>
      </c>
      <c r="I653" s="261"/>
      <c r="J653" s="261"/>
      <c r="K653" s="261"/>
      <c r="L653" s="261"/>
      <c r="M653" s="261"/>
    </row>
    <row r="654" spans="5:13">
      <c r="E654" s="261"/>
      <c r="F654" s="261">
        <v>1</v>
      </c>
      <c r="G654" s="261" t="s">
        <v>1389</v>
      </c>
      <c r="H654" s="261" t="s">
        <v>2744</v>
      </c>
      <c r="I654" s="261">
        <f>I614</f>
        <v>826</v>
      </c>
      <c r="J654" s="261" t="s">
        <v>1389</v>
      </c>
      <c r="K654" s="261">
        <f>F654*I654</f>
        <v>826</v>
      </c>
      <c r="L654" s="261"/>
      <c r="M654" s="261"/>
    </row>
    <row r="655" spans="5:13">
      <c r="E655" s="261"/>
      <c r="F655" s="261">
        <v>2</v>
      </c>
      <c r="G655" s="261" t="s">
        <v>1389</v>
      </c>
      <c r="H655" s="261" t="s">
        <v>2576</v>
      </c>
      <c r="I655" s="261">
        <f>I615</f>
        <v>644</v>
      </c>
      <c r="J655" s="261" t="s">
        <v>1389</v>
      </c>
      <c r="K655" s="261">
        <f>F655*I655</f>
        <v>1288</v>
      </c>
      <c r="L655" s="261"/>
      <c r="M655" s="261"/>
    </row>
    <row r="656" spans="5:13">
      <c r="E656" s="261"/>
      <c r="F656" s="261"/>
      <c r="G656" s="261"/>
      <c r="H656" s="269" t="s">
        <v>2839</v>
      </c>
      <c r="I656" s="261"/>
      <c r="J656" s="272"/>
      <c r="K656" s="261">
        <f>SUM(K654:K655)</f>
        <v>2114</v>
      </c>
      <c r="L656" s="261"/>
      <c r="M656" s="261"/>
    </row>
    <row r="657" spans="5:20">
      <c r="E657" s="261"/>
      <c r="F657" s="261"/>
      <c r="G657" s="261"/>
      <c r="H657" s="271" t="s">
        <v>2770</v>
      </c>
      <c r="I657" s="261"/>
      <c r="J657" s="272"/>
      <c r="K657" s="272">
        <f>K656/3</f>
        <v>704.67</v>
      </c>
      <c r="L657" s="261"/>
      <c r="M657" s="261"/>
    </row>
    <row r="658" spans="5:20">
      <c r="E658" s="261"/>
      <c r="F658" s="261"/>
      <c r="G658" s="261"/>
      <c r="H658" s="261"/>
      <c r="I658" s="261"/>
      <c r="J658" s="261"/>
      <c r="K658" s="261"/>
      <c r="L658" s="261"/>
      <c r="M658" s="261"/>
    </row>
    <row r="659" spans="5:20">
      <c r="E659" s="261"/>
      <c r="F659" s="261"/>
      <c r="G659" s="261"/>
      <c r="H659" s="272" t="s">
        <v>2840</v>
      </c>
      <c r="I659" s="261"/>
      <c r="J659" s="261"/>
      <c r="K659" s="261"/>
      <c r="L659" s="261"/>
      <c r="M659" s="261"/>
    </row>
    <row r="660" spans="5:20">
      <c r="E660" s="261"/>
      <c r="F660" s="261"/>
      <c r="G660" s="261"/>
      <c r="H660" s="261"/>
      <c r="I660" s="261"/>
      <c r="J660" s="261"/>
      <c r="K660" s="261"/>
      <c r="L660" s="261"/>
      <c r="M660" s="261"/>
    </row>
    <row r="661" spans="5:20" ht="31.5">
      <c r="E661" s="261"/>
      <c r="F661" s="261"/>
      <c r="G661" s="261"/>
      <c r="H661" s="258" t="s">
        <v>2689</v>
      </c>
      <c r="I661" s="261"/>
      <c r="J661" s="261"/>
      <c r="K661" s="261"/>
      <c r="L661" s="261"/>
      <c r="M661" s="261"/>
      <c r="N661" s="261"/>
      <c r="O661" s="258" t="s">
        <v>300</v>
      </c>
      <c r="P661" s="261"/>
      <c r="Q661" s="261"/>
      <c r="R661" s="261"/>
    </row>
    <row r="662" spans="5:20" ht="31.5">
      <c r="E662" s="261"/>
      <c r="F662" s="261">
        <v>180</v>
      </c>
      <c r="G662" s="261" t="s">
        <v>823</v>
      </c>
      <c r="H662" s="260" t="s">
        <v>3886</v>
      </c>
      <c r="I662" s="261">
        <f>I281</f>
        <v>40.950000000000003</v>
      </c>
      <c r="J662" s="261" t="s">
        <v>823</v>
      </c>
      <c r="K662" s="261">
        <f>F662*I662</f>
        <v>7371</v>
      </c>
      <c r="L662" s="261"/>
      <c r="M662" s="261">
        <v>180</v>
      </c>
      <c r="N662" s="261" t="s">
        <v>823</v>
      </c>
      <c r="O662" s="260" t="s">
        <v>3885</v>
      </c>
      <c r="P662" s="263">
        <f>I270</f>
        <v>25.75</v>
      </c>
      <c r="Q662" s="261" t="s">
        <v>823</v>
      </c>
      <c r="R662" s="261">
        <f>M662*P662</f>
        <v>4635</v>
      </c>
    </row>
    <row r="663" spans="5:20">
      <c r="E663" s="261"/>
      <c r="F663" s="261">
        <v>4</v>
      </c>
      <c r="G663" s="261" t="s">
        <v>1637</v>
      </c>
      <c r="H663" s="261" t="s">
        <v>4629</v>
      </c>
      <c r="I663" s="263">
        <v>101.5</v>
      </c>
      <c r="J663" s="261" t="s">
        <v>1637</v>
      </c>
      <c r="K663" s="261">
        <f>F663*I663</f>
        <v>406</v>
      </c>
      <c r="L663" s="261"/>
      <c r="M663" s="261">
        <v>4</v>
      </c>
      <c r="N663" s="261" t="s">
        <v>1637</v>
      </c>
      <c r="O663" s="261" t="s">
        <v>3314</v>
      </c>
      <c r="P663" s="263">
        <f>I663</f>
        <v>101.5</v>
      </c>
      <c r="Q663" s="261" t="s">
        <v>1637</v>
      </c>
      <c r="R663" s="261">
        <f>M663*P663</f>
        <v>406</v>
      </c>
    </row>
    <row r="664" spans="5:20">
      <c r="E664" s="261"/>
      <c r="F664" s="261">
        <v>180</v>
      </c>
      <c r="G664" s="261" t="s">
        <v>1393</v>
      </c>
      <c r="H664" s="261" t="s">
        <v>5506</v>
      </c>
      <c r="I664" s="263">
        <f>ROUND(6.6/12,2)</f>
        <v>0.55000000000000004</v>
      </c>
      <c r="J664" s="261" t="s">
        <v>1393</v>
      </c>
      <c r="K664" s="261">
        <f>F664*I664</f>
        <v>99</v>
      </c>
      <c r="L664" s="261"/>
      <c r="M664" s="261">
        <v>180</v>
      </c>
      <c r="N664" s="261" t="s">
        <v>1393</v>
      </c>
      <c r="O664" s="261" t="s">
        <v>2691</v>
      </c>
      <c r="P664" s="263">
        <f>I664</f>
        <v>0.55000000000000004</v>
      </c>
      <c r="Q664" s="261" t="s">
        <v>1393</v>
      </c>
      <c r="R664" s="261">
        <f>M664*P664</f>
        <v>99</v>
      </c>
    </row>
    <row r="665" spans="5:20">
      <c r="E665" s="261"/>
      <c r="F665" s="261">
        <v>1</v>
      </c>
      <c r="G665" s="261" t="s">
        <v>1637</v>
      </c>
      <c r="H665" s="261" t="s">
        <v>2692</v>
      </c>
      <c r="I665" s="261">
        <f>I663</f>
        <v>101.5</v>
      </c>
      <c r="J665" s="261" t="s">
        <v>1637</v>
      </c>
      <c r="K665" s="261">
        <f>F665*I665</f>
        <v>101.5</v>
      </c>
      <c r="L665" s="261"/>
      <c r="M665" s="261">
        <v>1</v>
      </c>
      <c r="N665" s="261" t="s">
        <v>1637</v>
      </c>
      <c r="O665" s="261" t="s">
        <v>2692</v>
      </c>
      <c r="P665" s="263">
        <f>I665</f>
        <v>101.5</v>
      </c>
      <c r="Q665" s="261" t="s">
        <v>1637</v>
      </c>
      <c r="R665" s="261">
        <f>M665*P665</f>
        <v>101.5</v>
      </c>
    </row>
    <row r="666" spans="5:20">
      <c r="E666" s="261"/>
      <c r="F666" s="261"/>
      <c r="G666" s="261"/>
      <c r="H666" s="261" t="s">
        <v>911</v>
      </c>
      <c r="I666" s="261"/>
      <c r="J666" s="261"/>
      <c r="K666" s="261">
        <f>K675</f>
        <v>6171</v>
      </c>
      <c r="L666" s="261"/>
      <c r="M666" s="261"/>
      <c r="N666" s="261"/>
      <c r="O666" s="261" t="s">
        <v>911</v>
      </c>
      <c r="P666" s="261"/>
      <c r="Q666" s="261"/>
      <c r="R666" s="261">
        <f>R675</f>
        <v>6171</v>
      </c>
    </row>
    <row r="667" spans="5:20">
      <c r="E667" s="261"/>
      <c r="F667" s="261"/>
      <c r="G667" s="261"/>
      <c r="H667" s="261" t="s">
        <v>2693</v>
      </c>
      <c r="I667" s="261"/>
      <c r="J667" s="261"/>
      <c r="K667" s="261">
        <v>74.5</v>
      </c>
      <c r="L667" s="261"/>
      <c r="M667" s="261"/>
      <c r="N667" s="261"/>
      <c r="O667" s="261" t="s">
        <v>2693</v>
      </c>
      <c r="P667" s="261"/>
      <c r="Q667" s="261"/>
      <c r="R667" s="261">
        <v>45.1</v>
      </c>
    </row>
    <row r="668" spans="5:20">
      <c r="E668" s="261"/>
      <c r="F668" s="261"/>
      <c r="G668" s="261"/>
      <c r="H668" s="269" t="s">
        <v>2694</v>
      </c>
      <c r="I668" s="261"/>
      <c r="J668" s="261"/>
      <c r="K668" s="261">
        <f>SUM(K662:K667)</f>
        <v>14223</v>
      </c>
      <c r="L668" s="261">
        <f>154.5*90</f>
        <v>13905</v>
      </c>
      <c r="M668" s="261"/>
      <c r="N668" s="261"/>
      <c r="O668" s="269" t="s">
        <v>2694</v>
      </c>
      <c r="P668" s="261"/>
      <c r="Q668" s="261"/>
      <c r="R668" s="261">
        <f>SUM(R662:R667)</f>
        <v>11457.6</v>
      </c>
    </row>
    <row r="669" spans="5:20">
      <c r="E669" s="261"/>
      <c r="F669" s="261"/>
      <c r="G669" s="261"/>
      <c r="H669" s="271" t="s">
        <v>2384</v>
      </c>
      <c r="I669" s="261"/>
      <c r="J669" s="261"/>
      <c r="K669" s="272">
        <f>K668/90</f>
        <v>158.03</v>
      </c>
      <c r="L669" s="261">
        <f>L668-K668</f>
        <v>-318</v>
      </c>
      <c r="M669" s="261"/>
      <c r="N669" s="261"/>
      <c r="O669" s="271" t="s">
        <v>2384</v>
      </c>
      <c r="P669" s="261"/>
      <c r="Q669" s="261"/>
      <c r="R669" s="272">
        <f>R668/90</f>
        <v>127.31</v>
      </c>
      <c r="S669" s="252">
        <f>114.2*90</f>
        <v>10278</v>
      </c>
      <c r="T669" s="252">
        <f>S669-R668</f>
        <v>-1179.5999999999999</v>
      </c>
    </row>
    <row r="670" spans="5:20">
      <c r="E670" s="261"/>
      <c r="F670" s="261"/>
      <c r="G670" s="261"/>
      <c r="H670" s="270" t="s">
        <v>2633</v>
      </c>
      <c r="I670" s="261"/>
      <c r="J670" s="261"/>
      <c r="K670" s="261"/>
      <c r="L670" s="261"/>
      <c r="M670" s="261"/>
      <c r="N670" s="261"/>
      <c r="O670" s="270" t="s">
        <v>2633</v>
      </c>
      <c r="P670" s="261"/>
      <c r="Q670" s="261"/>
      <c r="R670" s="261"/>
    </row>
    <row r="671" spans="5:20">
      <c r="E671" s="261"/>
      <c r="F671" s="261">
        <v>1</v>
      </c>
      <c r="G671" s="261" t="s">
        <v>1389</v>
      </c>
      <c r="H671" s="261" t="s">
        <v>2695</v>
      </c>
      <c r="I671" s="261">
        <f>I35</f>
        <v>947</v>
      </c>
      <c r="J671" s="261" t="s">
        <v>1389</v>
      </c>
      <c r="K671" s="261">
        <f>F671*I671</f>
        <v>947</v>
      </c>
      <c r="L671" s="261"/>
      <c r="M671" s="261">
        <v>1</v>
      </c>
      <c r="N671" s="261" t="s">
        <v>1389</v>
      </c>
      <c r="O671" s="261" t="s">
        <v>2695</v>
      </c>
      <c r="P671" s="261">
        <f>I671</f>
        <v>947</v>
      </c>
      <c r="Q671" s="261" t="s">
        <v>1389</v>
      </c>
      <c r="R671" s="261">
        <f>M671*P671</f>
        <v>947</v>
      </c>
    </row>
    <row r="672" spans="5:20">
      <c r="E672" s="261"/>
      <c r="F672" s="261">
        <v>2</v>
      </c>
      <c r="G672" s="261" t="s">
        <v>1389</v>
      </c>
      <c r="H672" s="261" t="s">
        <v>2744</v>
      </c>
      <c r="I672" s="261">
        <f>I36</f>
        <v>826</v>
      </c>
      <c r="J672" s="261" t="s">
        <v>1389</v>
      </c>
      <c r="K672" s="261">
        <f>F672*I672</f>
        <v>1652</v>
      </c>
      <c r="L672" s="261"/>
      <c r="M672" s="261">
        <v>2</v>
      </c>
      <c r="N672" s="261" t="s">
        <v>1389</v>
      </c>
      <c r="O672" s="261" t="s">
        <v>2744</v>
      </c>
      <c r="P672" s="261">
        <f>I672</f>
        <v>826</v>
      </c>
      <c r="Q672" s="261" t="s">
        <v>1389</v>
      </c>
      <c r="R672" s="261">
        <f>M672*P672</f>
        <v>1652</v>
      </c>
    </row>
    <row r="673" spans="5:18">
      <c r="E673" s="261"/>
      <c r="F673" s="261">
        <v>2</v>
      </c>
      <c r="G673" s="261" t="s">
        <v>1389</v>
      </c>
      <c r="H673" s="261" t="s">
        <v>2575</v>
      </c>
      <c r="I673" s="261">
        <f>I37</f>
        <v>820</v>
      </c>
      <c r="J673" s="261" t="s">
        <v>1389</v>
      </c>
      <c r="K673" s="261">
        <f>F673*I673</f>
        <v>1640</v>
      </c>
      <c r="L673" s="261"/>
      <c r="M673" s="261">
        <v>2</v>
      </c>
      <c r="N673" s="261" t="s">
        <v>1389</v>
      </c>
      <c r="O673" s="261" t="s">
        <v>2575</v>
      </c>
      <c r="P673" s="261">
        <f>I673</f>
        <v>820</v>
      </c>
      <c r="Q673" s="261" t="s">
        <v>1389</v>
      </c>
      <c r="R673" s="261">
        <f>M673*P673</f>
        <v>1640</v>
      </c>
    </row>
    <row r="674" spans="5:18">
      <c r="E674" s="261"/>
      <c r="F674" s="261">
        <v>3</v>
      </c>
      <c r="G674" s="261" t="s">
        <v>1389</v>
      </c>
      <c r="H674" s="261" t="s">
        <v>2321</v>
      </c>
      <c r="I674" s="261">
        <f>I38</f>
        <v>644</v>
      </c>
      <c r="J674" s="261" t="s">
        <v>1389</v>
      </c>
      <c r="K674" s="261">
        <f>F674*I674</f>
        <v>1932</v>
      </c>
      <c r="L674" s="261"/>
      <c r="M674" s="261">
        <v>3</v>
      </c>
      <c r="N674" s="261" t="s">
        <v>1389</v>
      </c>
      <c r="O674" s="261" t="s">
        <v>2321</v>
      </c>
      <c r="P674" s="261">
        <f>I674</f>
        <v>644</v>
      </c>
      <c r="Q674" s="261" t="s">
        <v>1389</v>
      </c>
      <c r="R674" s="261">
        <f>M674*P674</f>
        <v>1932</v>
      </c>
    </row>
    <row r="675" spans="5:18">
      <c r="E675" s="261"/>
      <c r="F675" s="261"/>
      <c r="G675" s="261"/>
      <c r="H675" s="261"/>
      <c r="I675" s="261"/>
      <c r="J675" s="261"/>
      <c r="K675" s="272">
        <f>SUM(K671:K674)</f>
        <v>6171</v>
      </c>
      <c r="L675" s="261"/>
      <c r="M675" s="261"/>
      <c r="N675" s="261"/>
      <c r="O675" s="261"/>
      <c r="P675" s="261"/>
      <c r="Q675" s="261"/>
      <c r="R675" s="272">
        <f>SUM(R671:R674)</f>
        <v>6171</v>
      </c>
    </row>
    <row r="676" spans="5:18">
      <c r="E676" s="261"/>
      <c r="F676" s="261"/>
      <c r="G676" s="261"/>
      <c r="H676" s="261"/>
      <c r="I676" s="261"/>
      <c r="J676" s="261"/>
      <c r="K676" s="261"/>
      <c r="L676" s="261"/>
      <c r="M676" s="261"/>
    </row>
    <row r="677" spans="5:18">
      <c r="E677" s="261"/>
      <c r="F677" s="261"/>
      <c r="G677" s="261"/>
      <c r="H677" s="272" t="s">
        <v>2696</v>
      </c>
      <c r="I677" s="261"/>
      <c r="J677" s="261"/>
      <c r="K677" s="261"/>
      <c r="L677" s="261"/>
      <c r="M677" s="261"/>
    </row>
    <row r="678" spans="5:18" ht="31.5">
      <c r="E678" s="261"/>
      <c r="F678" s="261"/>
      <c r="G678" s="261"/>
      <c r="H678" s="258" t="s">
        <v>2296</v>
      </c>
      <c r="I678" s="261"/>
      <c r="J678" s="261"/>
      <c r="K678" s="261"/>
      <c r="L678" s="261"/>
      <c r="M678" s="261"/>
    </row>
    <row r="679" spans="5:18">
      <c r="E679" s="261"/>
      <c r="F679" s="261"/>
      <c r="G679" s="261"/>
      <c r="H679" s="261"/>
      <c r="I679" s="261"/>
      <c r="J679" s="261"/>
      <c r="K679" s="261"/>
      <c r="L679" s="261"/>
      <c r="M679" s="261"/>
    </row>
    <row r="680" spans="5:18" ht="47.25">
      <c r="E680" s="261"/>
      <c r="F680" s="261"/>
      <c r="G680" s="261"/>
      <c r="H680" s="260" t="s">
        <v>3887</v>
      </c>
      <c r="I680" s="261"/>
      <c r="J680" s="261"/>
      <c r="K680" s="261"/>
      <c r="L680" s="261"/>
      <c r="M680" s="261"/>
    </row>
    <row r="681" spans="5:18">
      <c r="E681" s="261"/>
      <c r="F681" s="261">
        <v>1</v>
      </c>
      <c r="G681" s="261" t="s">
        <v>823</v>
      </c>
      <c r="H681" s="261" t="s">
        <v>4978</v>
      </c>
      <c r="I681" s="263">
        <v>128</v>
      </c>
      <c r="J681" s="261" t="s">
        <v>823</v>
      </c>
      <c r="K681" s="269">
        <f>F681*I681</f>
        <v>128</v>
      </c>
      <c r="L681" s="261"/>
      <c r="M681" s="261"/>
    </row>
    <row r="682" spans="5:18">
      <c r="E682" s="261"/>
      <c r="F682" s="261"/>
      <c r="G682" s="261"/>
      <c r="H682" s="261" t="s">
        <v>2261</v>
      </c>
      <c r="I682" s="261"/>
      <c r="J682" s="261"/>
      <c r="K682" s="269">
        <v>2</v>
      </c>
      <c r="L682" s="261"/>
      <c r="M682" s="261"/>
    </row>
    <row r="683" spans="5:18">
      <c r="E683" s="261"/>
      <c r="F683" s="261"/>
      <c r="G683" s="261"/>
      <c r="H683" s="271" t="s">
        <v>3353</v>
      </c>
      <c r="I683" s="261"/>
      <c r="J683" s="261"/>
      <c r="K683" s="271">
        <f>SUM(K681:K682)</f>
        <v>130</v>
      </c>
      <c r="L683" s="261"/>
      <c r="M683" s="261">
        <f>K683-123</f>
        <v>7</v>
      </c>
    </row>
    <row r="684" spans="5:18">
      <c r="E684" s="261"/>
      <c r="F684" s="261"/>
      <c r="G684" s="261"/>
      <c r="H684" s="261"/>
      <c r="I684" s="261"/>
      <c r="J684" s="261"/>
      <c r="K684" s="261"/>
      <c r="L684" s="261"/>
      <c r="M684" s="261"/>
    </row>
    <row r="685" spans="5:18">
      <c r="E685" s="261"/>
      <c r="F685" s="261"/>
      <c r="G685" s="261"/>
      <c r="H685" s="272" t="s">
        <v>3354</v>
      </c>
      <c r="I685" s="261"/>
      <c r="J685" s="261"/>
      <c r="K685" s="261"/>
      <c r="L685" s="261"/>
      <c r="M685" s="261"/>
    </row>
    <row r="686" spans="5:18">
      <c r="E686" s="261"/>
      <c r="F686" s="261"/>
      <c r="G686" s="261"/>
      <c r="H686" s="272" t="s">
        <v>3355</v>
      </c>
      <c r="I686" s="261"/>
      <c r="J686" s="261"/>
      <c r="K686" s="261"/>
      <c r="L686" s="261"/>
      <c r="M686" s="261"/>
    </row>
    <row r="687" spans="5:18">
      <c r="E687" s="261"/>
      <c r="F687" s="261"/>
      <c r="G687" s="261"/>
      <c r="H687" s="261"/>
      <c r="I687" s="261"/>
      <c r="J687" s="261"/>
      <c r="K687" s="261"/>
      <c r="L687" s="261"/>
      <c r="M687" s="261"/>
    </row>
    <row r="688" spans="5:18" ht="47.25">
      <c r="E688" s="261"/>
      <c r="F688" s="261"/>
      <c r="G688" s="261"/>
      <c r="H688" s="260" t="s">
        <v>3356</v>
      </c>
      <c r="I688" s="261"/>
      <c r="J688" s="261"/>
      <c r="K688" s="261"/>
      <c r="L688" s="261"/>
      <c r="M688" s="261"/>
    </row>
    <row r="689" spans="5:13">
      <c r="E689" s="261"/>
      <c r="F689" s="261">
        <v>1</v>
      </c>
      <c r="G689" s="261" t="s">
        <v>823</v>
      </c>
      <c r="H689" s="261" t="s">
        <v>4979</v>
      </c>
      <c r="I689" s="263">
        <v>57.6</v>
      </c>
      <c r="J689" s="261" t="s">
        <v>356</v>
      </c>
      <c r="K689" s="261">
        <f>F690*I689</f>
        <v>187.2</v>
      </c>
      <c r="L689" s="261"/>
      <c r="M689" s="261"/>
    </row>
    <row r="690" spans="5:13">
      <c r="E690" s="261"/>
      <c r="F690" s="261">
        <v>3.25</v>
      </c>
      <c r="G690" s="261" t="s">
        <v>3357</v>
      </c>
      <c r="H690" s="261"/>
      <c r="I690" s="261"/>
      <c r="J690" s="261"/>
      <c r="K690" s="261"/>
      <c r="L690" s="261"/>
      <c r="M690" s="261"/>
    </row>
    <row r="691" spans="5:13">
      <c r="E691" s="261"/>
      <c r="F691" s="261"/>
      <c r="G691" s="261"/>
      <c r="H691" s="261" t="s">
        <v>2261</v>
      </c>
      <c r="I691" s="261"/>
      <c r="J691" s="261"/>
      <c r="K691" s="261">
        <v>2.7</v>
      </c>
      <c r="L691" s="261"/>
      <c r="M691" s="261"/>
    </row>
    <row r="692" spans="5:13">
      <c r="E692" s="261"/>
      <c r="F692" s="261"/>
      <c r="G692" s="261"/>
      <c r="H692" s="271" t="s">
        <v>2739</v>
      </c>
      <c r="I692" s="261"/>
      <c r="J692" s="261"/>
      <c r="K692" s="272">
        <f>SUM(K689:K691)</f>
        <v>189.9</v>
      </c>
      <c r="L692" s="261">
        <f>K692-145</f>
        <v>44.9</v>
      </c>
      <c r="M692" s="261"/>
    </row>
    <row r="693" spans="5:13">
      <c r="E693" s="261"/>
      <c r="F693" s="261"/>
      <c r="G693" s="261"/>
      <c r="H693" s="271"/>
      <c r="I693" s="261"/>
      <c r="J693" s="261"/>
      <c r="K693" s="272"/>
      <c r="L693" s="261"/>
      <c r="M693" s="261"/>
    </row>
    <row r="694" spans="5:13">
      <c r="E694" s="261"/>
      <c r="F694" s="261"/>
      <c r="G694" s="261"/>
      <c r="H694" s="272" t="s">
        <v>3358</v>
      </c>
      <c r="I694" s="261"/>
      <c r="J694" s="261"/>
      <c r="K694" s="261"/>
      <c r="L694" s="261"/>
      <c r="M694" s="261"/>
    </row>
    <row r="695" spans="5:13">
      <c r="E695" s="261"/>
      <c r="F695" s="261"/>
      <c r="G695" s="261"/>
      <c r="H695" s="261"/>
      <c r="I695" s="261"/>
      <c r="J695" s="261"/>
      <c r="K695" s="261"/>
      <c r="L695" s="261"/>
      <c r="M695" s="261"/>
    </row>
    <row r="696" spans="5:13" ht="31.5">
      <c r="E696" s="261"/>
      <c r="F696" s="261"/>
      <c r="G696" s="261"/>
      <c r="H696" s="258" t="s">
        <v>3359</v>
      </c>
      <c r="I696" s="261"/>
      <c r="J696" s="261"/>
      <c r="K696" s="261"/>
      <c r="L696" s="261"/>
      <c r="M696" s="261"/>
    </row>
    <row r="697" spans="5:13">
      <c r="E697" s="261"/>
      <c r="F697" s="261"/>
      <c r="G697" s="261"/>
      <c r="H697" s="261"/>
      <c r="I697" s="261"/>
      <c r="J697" s="261"/>
      <c r="K697" s="261"/>
      <c r="L697" s="261"/>
      <c r="M697" s="261"/>
    </row>
    <row r="698" spans="5:13" ht="126">
      <c r="E698" s="261"/>
      <c r="F698" s="261"/>
      <c r="G698" s="261"/>
      <c r="H698" s="260" t="s">
        <v>2890</v>
      </c>
      <c r="I698" s="261"/>
      <c r="J698" s="261"/>
      <c r="K698" s="261"/>
      <c r="L698" s="261"/>
      <c r="M698" s="261"/>
    </row>
    <row r="699" spans="5:13">
      <c r="E699" s="261"/>
      <c r="F699" s="261"/>
      <c r="G699" s="261"/>
      <c r="H699" s="261"/>
      <c r="I699" s="261"/>
      <c r="J699" s="261"/>
      <c r="K699" s="261"/>
      <c r="L699" s="261"/>
      <c r="M699" s="261"/>
    </row>
    <row r="700" spans="5:13" ht="31.5">
      <c r="E700" s="261"/>
      <c r="F700" s="261">
        <v>360</v>
      </c>
      <c r="G700" s="261" t="s">
        <v>823</v>
      </c>
      <c r="H700" s="260" t="s">
        <v>3886</v>
      </c>
      <c r="I700" s="261">
        <f>I662</f>
        <v>40.950000000000003</v>
      </c>
      <c r="J700" s="261" t="s">
        <v>823</v>
      </c>
      <c r="K700" s="261">
        <f>F700*I700</f>
        <v>14742</v>
      </c>
      <c r="L700" s="261"/>
      <c r="M700" s="261"/>
    </row>
    <row r="701" spans="5:13">
      <c r="E701" s="261"/>
      <c r="F701" s="261">
        <v>4</v>
      </c>
      <c r="G701" s="261" t="s">
        <v>1637</v>
      </c>
      <c r="H701" s="261" t="s">
        <v>3314</v>
      </c>
      <c r="I701" s="261">
        <f>I663</f>
        <v>101.5</v>
      </c>
      <c r="J701" s="261" t="s">
        <v>1637</v>
      </c>
      <c r="K701" s="261">
        <f>F701*I701</f>
        <v>406</v>
      </c>
      <c r="L701" s="261"/>
      <c r="M701" s="261"/>
    </row>
    <row r="702" spans="5:13">
      <c r="E702" s="261"/>
      <c r="F702" s="261">
        <v>360</v>
      </c>
      <c r="G702" s="261" t="s">
        <v>1393</v>
      </c>
      <c r="H702" s="261" t="s">
        <v>2691</v>
      </c>
      <c r="I702" s="261">
        <f>I664</f>
        <v>0.55000000000000004</v>
      </c>
      <c r="J702" s="261" t="s">
        <v>1393</v>
      </c>
      <c r="K702" s="261">
        <f>F702*I702</f>
        <v>198</v>
      </c>
      <c r="L702" s="261"/>
      <c r="M702" s="261"/>
    </row>
    <row r="703" spans="5:13">
      <c r="E703" s="261"/>
      <c r="F703" s="261">
        <v>1.5</v>
      </c>
      <c r="G703" s="261" t="s">
        <v>1637</v>
      </c>
      <c r="H703" s="261" t="s">
        <v>2692</v>
      </c>
      <c r="I703" s="261">
        <f>I665</f>
        <v>101.5</v>
      </c>
      <c r="J703" s="261" t="s">
        <v>1637</v>
      </c>
      <c r="K703" s="261">
        <f>F703*I703</f>
        <v>152.25</v>
      </c>
      <c r="L703" s="261"/>
      <c r="M703" s="261"/>
    </row>
    <row r="704" spans="5:13">
      <c r="E704" s="261"/>
      <c r="F704" s="261"/>
      <c r="G704" s="261"/>
      <c r="H704" s="261" t="s">
        <v>4630</v>
      </c>
      <c r="I704" s="261"/>
      <c r="J704" s="261"/>
      <c r="K704" s="261">
        <f>K675*1.5</f>
        <v>9256.5</v>
      </c>
      <c r="L704" s="261"/>
      <c r="M704" s="261"/>
    </row>
    <row r="705" spans="5:13">
      <c r="E705" s="261"/>
      <c r="F705" s="261"/>
      <c r="G705" s="261"/>
      <c r="H705" s="261" t="s">
        <v>2693</v>
      </c>
      <c r="I705" s="261"/>
      <c r="J705" s="261"/>
      <c r="K705" s="261">
        <v>22.25</v>
      </c>
      <c r="L705" s="261"/>
      <c r="M705" s="261"/>
    </row>
    <row r="706" spans="5:13">
      <c r="E706" s="261"/>
      <c r="F706" s="261"/>
      <c r="G706" s="261"/>
      <c r="H706" s="269" t="s">
        <v>2694</v>
      </c>
      <c r="I706" s="261"/>
      <c r="J706" s="261"/>
      <c r="K706" s="261">
        <f>SUM(K700:K705)</f>
        <v>24777</v>
      </c>
      <c r="L706" s="261"/>
      <c r="M706" s="261"/>
    </row>
    <row r="707" spans="5:13">
      <c r="E707" s="261"/>
      <c r="F707" s="261"/>
      <c r="G707" s="261"/>
      <c r="H707" s="271" t="s">
        <v>2384</v>
      </c>
      <c r="I707" s="261"/>
      <c r="J707" s="261"/>
      <c r="K707" s="272">
        <f>K706/90</f>
        <v>275.3</v>
      </c>
      <c r="L707" s="261">
        <f>270*90</f>
        <v>24300</v>
      </c>
      <c r="M707" s="261"/>
    </row>
    <row r="708" spans="5:13">
      <c r="E708" s="261"/>
      <c r="F708" s="261"/>
      <c r="G708" s="261"/>
      <c r="H708" s="261"/>
      <c r="I708" s="261"/>
      <c r="J708" s="261"/>
      <c r="K708" s="261"/>
      <c r="L708" s="261">
        <f>L707-K706</f>
        <v>-477</v>
      </c>
      <c r="M708" s="261"/>
    </row>
    <row r="709" spans="5:13">
      <c r="E709" s="261"/>
      <c r="F709" s="261"/>
      <c r="G709" s="261"/>
      <c r="H709" s="272" t="s">
        <v>2892</v>
      </c>
      <c r="I709" s="261"/>
      <c r="J709" s="261"/>
      <c r="K709" s="261"/>
      <c r="L709" s="261"/>
      <c r="M709" s="261"/>
    </row>
    <row r="710" spans="5:13" ht="31.5">
      <c r="E710" s="261"/>
      <c r="F710" s="261"/>
      <c r="G710" s="261"/>
      <c r="H710" s="258" t="s">
        <v>2366</v>
      </c>
      <c r="I710" s="261"/>
      <c r="J710" s="261"/>
      <c r="K710" s="261"/>
      <c r="L710" s="261"/>
      <c r="M710" s="261"/>
    </row>
    <row r="711" spans="5:13">
      <c r="E711" s="261"/>
      <c r="F711" s="261"/>
      <c r="G711" s="261"/>
      <c r="H711" s="261"/>
      <c r="I711" s="261"/>
      <c r="J711" s="261"/>
      <c r="K711" s="261"/>
      <c r="L711" s="261"/>
      <c r="M711" s="261"/>
    </row>
    <row r="712" spans="5:13" ht="47.25">
      <c r="E712" s="261"/>
      <c r="F712" s="261"/>
      <c r="G712" s="261"/>
      <c r="H712" s="260" t="s">
        <v>2297</v>
      </c>
      <c r="I712" s="261"/>
      <c r="J712" s="261"/>
      <c r="K712" s="261"/>
      <c r="L712" s="261"/>
      <c r="M712" s="261"/>
    </row>
    <row r="713" spans="5:13">
      <c r="E713" s="261"/>
      <c r="F713" s="261">
        <v>1</v>
      </c>
      <c r="G713" s="261" t="s">
        <v>823</v>
      </c>
      <c r="H713" s="261" t="s">
        <v>4980</v>
      </c>
      <c r="I713" s="264">
        <v>163</v>
      </c>
      <c r="J713" s="261" t="s">
        <v>823</v>
      </c>
      <c r="K713" s="269">
        <f>F713*I713</f>
        <v>163</v>
      </c>
      <c r="L713" s="261"/>
      <c r="M713" s="261"/>
    </row>
    <row r="714" spans="5:13">
      <c r="E714" s="261"/>
      <c r="F714" s="261"/>
      <c r="G714" s="261"/>
      <c r="H714" s="261" t="s">
        <v>2261</v>
      </c>
      <c r="I714" s="261"/>
      <c r="J714" s="261"/>
      <c r="K714" s="269">
        <v>2</v>
      </c>
      <c r="L714" s="261"/>
      <c r="M714" s="261"/>
    </row>
    <row r="715" spans="5:13">
      <c r="E715" s="261"/>
      <c r="F715" s="261"/>
      <c r="G715" s="261"/>
      <c r="H715" s="271" t="s">
        <v>3353</v>
      </c>
      <c r="I715" s="261"/>
      <c r="J715" s="261"/>
      <c r="K715" s="271">
        <f>SUM(K713:K714)</f>
        <v>165</v>
      </c>
      <c r="L715" s="261"/>
      <c r="M715" s="261">
        <f>K715-154</f>
        <v>11</v>
      </c>
    </row>
    <row r="716" spans="5:13">
      <c r="E716" s="261"/>
      <c r="F716" s="261"/>
      <c r="G716" s="261"/>
      <c r="H716" s="261"/>
      <c r="I716" s="261"/>
      <c r="J716" s="261"/>
      <c r="K716" s="261"/>
      <c r="L716" s="261"/>
      <c r="M716" s="261"/>
    </row>
    <row r="717" spans="5:13">
      <c r="E717" s="261"/>
      <c r="F717" s="261"/>
      <c r="G717" s="261"/>
      <c r="H717" s="272" t="s">
        <v>2298</v>
      </c>
      <c r="I717" s="261"/>
      <c r="J717" s="261"/>
      <c r="K717" s="261"/>
      <c r="L717" s="261"/>
      <c r="M717" s="261"/>
    </row>
    <row r="718" spans="5:13">
      <c r="E718" s="261"/>
      <c r="F718" s="261"/>
      <c r="G718" s="261"/>
      <c r="H718" s="272" t="s">
        <v>3355</v>
      </c>
      <c r="I718" s="261"/>
      <c r="J718" s="261"/>
      <c r="K718" s="261"/>
      <c r="L718" s="261"/>
      <c r="M718" s="261"/>
    </row>
    <row r="719" spans="5:13">
      <c r="E719" s="261"/>
      <c r="F719" s="261"/>
      <c r="G719" s="261"/>
      <c r="H719" s="261"/>
      <c r="I719" s="261"/>
      <c r="J719" s="261"/>
      <c r="K719" s="261"/>
      <c r="L719" s="261"/>
      <c r="M719" s="261"/>
    </row>
    <row r="720" spans="5:13" ht="47.25">
      <c r="E720" s="261"/>
      <c r="F720" s="261"/>
      <c r="G720" s="261"/>
      <c r="H720" s="260" t="s">
        <v>3356</v>
      </c>
      <c r="I720" s="261"/>
      <c r="J720" s="261"/>
      <c r="K720" s="261"/>
      <c r="L720" s="261"/>
      <c r="M720" s="261"/>
    </row>
    <row r="721" spans="5:15">
      <c r="E721" s="261"/>
      <c r="F721" s="261">
        <v>1</v>
      </c>
      <c r="G721" s="261" t="s">
        <v>823</v>
      </c>
      <c r="H721" s="261" t="str">
        <f>H689</f>
        <v>40 x 40 x 6 mm MS angle (P-126  part -G)</v>
      </c>
      <c r="I721" s="261">
        <f>I689</f>
        <v>57.6</v>
      </c>
      <c r="J721" s="261" t="s">
        <v>356</v>
      </c>
      <c r="K721" s="261">
        <f>F722*I721</f>
        <v>187.2</v>
      </c>
      <c r="L721" s="261"/>
      <c r="M721" s="261"/>
    </row>
    <row r="722" spans="5:15">
      <c r="E722" s="261"/>
      <c r="F722" s="261">
        <v>3.25</v>
      </c>
      <c r="G722" s="261" t="s">
        <v>3357</v>
      </c>
      <c r="H722" s="261"/>
      <c r="I722" s="261"/>
      <c r="J722" s="261"/>
      <c r="K722" s="261"/>
      <c r="L722" s="261"/>
      <c r="M722" s="261"/>
    </row>
    <row r="723" spans="5:15">
      <c r="E723" s="261"/>
      <c r="F723" s="261"/>
      <c r="G723" s="261"/>
      <c r="H723" s="261" t="s">
        <v>2261</v>
      </c>
      <c r="I723" s="261"/>
      <c r="J723" s="261"/>
      <c r="K723" s="261">
        <v>2.8</v>
      </c>
      <c r="L723" s="261"/>
      <c r="M723" s="261"/>
    </row>
    <row r="724" spans="5:15">
      <c r="E724" s="261"/>
      <c r="F724" s="261"/>
      <c r="G724" s="261"/>
      <c r="H724" s="271" t="s">
        <v>2739</v>
      </c>
      <c r="I724" s="261"/>
      <c r="J724" s="261"/>
      <c r="K724" s="272">
        <f>SUM(K721:K723)</f>
        <v>190</v>
      </c>
      <c r="L724" s="261">
        <f>K724-190</f>
        <v>0</v>
      </c>
      <c r="M724" s="261">
        <f>147.6-148.6</f>
        <v>-1</v>
      </c>
    </row>
    <row r="725" spans="5:15">
      <c r="E725" s="261"/>
      <c r="F725" s="261"/>
      <c r="G725" s="261"/>
      <c r="H725" s="261"/>
      <c r="I725" s="261"/>
      <c r="J725" s="261"/>
      <c r="K725" s="261"/>
      <c r="L725" s="261"/>
      <c r="M725" s="261"/>
    </row>
    <row r="726" spans="5:15">
      <c r="E726" s="261"/>
      <c r="F726" s="261"/>
      <c r="G726" s="261"/>
      <c r="H726" s="272" t="s">
        <v>2299</v>
      </c>
      <c r="I726" s="261"/>
      <c r="J726" s="261"/>
      <c r="K726" s="261"/>
      <c r="L726" s="261"/>
      <c r="M726" s="261"/>
    </row>
    <row r="727" spans="5:15">
      <c r="E727" s="261"/>
      <c r="F727" s="261"/>
      <c r="G727" s="261"/>
      <c r="H727" s="261"/>
      <c r="I727" s="261"/>
      <c r="J727" s="261"/>
      <c r="K727" s="261"/>
      <c r="L727" s="261"/>
      <c r="M727" s="261"/>
    </row>
    <row r="728" spans="5:15" ht="81">
      <c r="E728" s="261"/>
      <c r="F728" s="261"/>
      <c r="G728" s="261"/>
      <c r="H728" s="260" t="s">
        <v>5641</v>
      </c>
      <c r="I728" s="261"/>
      <c r="J728" s="261"/>
      <c r="K728" s="261"/>
      <c r="L728" s="261"/>
      <c r="M728" s="261"/>
    </row>
    <row r="729" spans="5:15">
      <c r="E729" s="261"/>
      <c r="F729" s="261">
        <v>30.42</v>
      </c>
      <c r="G729" s="261" t="s">
        <v>2142</v>
      </c>
      <c r="H729" s="261" t="s">
        <v>4981</v>
      </c>
      <c r="I729" s="298">
        <f>112.05+112.05+(38.95/3)</f>
        <v>237.08</v>
      </c>
      <c r="J729" s="261" t="s">
        <v>2142</v>
      </c>
      <c r="K729" s="261">
        <f>F729*I729</f>
        <v>7211.97</v>
      </c>
      <c r="L729" s="261">
        <f>61.1*2</f>
        <v>122.2</v>
      </c>
      <c r="M729" s="261">
        <f>21.4/3</f>
        <v>7.13</v>
      </c>
      <c r="N729" s="252">
        <f>73.1+73.1</f>
        <v>146.19999999999999</v>
      </c>
      <c r="O729" s="252">
        <f>M729+N729</f>
        <v>153.33000000000001</v>
      </c>
    </row>
    <row r="730" spans="5:15">
      <c r="E730" s="261"/>
      <c r="F730" s="261">
        <v>6.1</v>
      </c>
      <c r="G730" s="261" t="s">
        <v>2142</v>
      </c>
      <c r="H730" s="296" t="s">
        <v>4238</v>
      </c>
      <c r="I730" s="261">
        <f>DATA!Y16</f>
        <v>1338</v>
      </c>
      <c r="J730" s="261" t="s">
        <v>2142</v>
      </c>
      <c r="K730" s="261">
        <f>F730*I730</f>
        <v>8161.8</v>
      </c>
      <c r="L730" s="261">
        <f>L729+M729</f>
        <v>129.33000000000001</v>
      </c>
      <c r="M730" s="261"/>
      <c r="N730" s="252">
        <f>25.5/3</f>
        <v>8.5</v>
      </c>
    </row>
    <row r="731" spans="5:15">
      <c r="E731" s="261"/>
      <c r="F731" s="261">
        <v>750</v>
      </c>
      <c r="G731" s="261" t="s">
        <v>1389</v>
      </c>
      <c r="H731" s="261" t="s">
        <v>4600</v>
      </c>
      <c r="I731" s="261">
        <f>DATA!Y18</f>
        <v>5709</v>
      </c>
      <c r="J731" s="261" t="s">
        <v>1474</v>
      </c>
      <c r="K731" s="261">
        <f>F731*I731/1000</f>
        <v>4281.75</v>
      </c>
      <c r="L731" s="261"/>
      <c r="M731" s="261"/>
      <c r="N731" s="252">
        <f>SUM(N729:N730)</f>
        <v>154.69999999999999</v>
      </c>
    </row>
    <row r="732" spans="5:15">
      <c r="E732" s="261"/>
      <c r="F732" s="261"/>
      <c r="G732" s="261"/>
      <c r="H732" s="261" t="s">
        <v>911</v>
      </c>
      <c r="I732" s="261"/>
      <c r="J732" s="261"/>
      <c r="K732" s="261">
        <f>K741</f>
        <v>4349</v>
      </c>
      <c r="L732" s="261"/>
      <c r="M732" s="261"/>
    </row>
    <row r="733" spans="5:15">
      <c r="E733" s="261"/>
      <c r="F733" s="261"/>
      <c r="G733" s="261"/>
      <c r="H733" s="261" t="s">
        <v>2261</v>
      </c>
      <c r="I733" s="261"/>
      <c r="J733" s="261"/>
      <c r="K733" s="261">
        <v>61.03</v>
      </c>
      <c r="L733" s="261">
        <f>112.2-K733</f>
        <v>51.17</v>
      </c>
      <c r="M733" s="261"/>
    </row>
    <row r="734" spans="5:15">
      <c r="E734" s="261"/>
      <c r="F734" s="261"/>
      <c r="G734" s="261"/>
      <c r="H734" s="269" t="s">
        <v>2694</v>
      </c>
      <c r="I734" s="261"/>
      <c r="J734" s="261"/>
      <c r="K734" s="261">
        <f>SUM(K729:K733)</f>
        <v>24065.55</v>
      </c>
      <c r="L734" s="261">
        <f>K734-M735</f>
        <v>755.55</v>
      </c>
      <c r="M734" s="261"/>
    </row>
    <row r="735" spans="5:15">
      <c r="E735" s="261"/>
      <c r="F735" s="261"/>
      <c r="G735" s="261"/>
      <c r="H735" s="271" t="s">
        <v>2384</v>
      </c>
      <c r="I735" s="261"/>
      <c r="J735" s="261"/>
      <c r="K735" s="272">
        <f>K734/90</f>
        <v>267.39999999999998</v>
      </c>
      <c r="L735" s="261"/>
      <c r="M735" s="261">
        <f>259*90</f>
        <v>23310</v>
      </c>
    </row>
    <row r="736" spans="5:15">
      <c r="E736" s="261"/>
      <c r="F736" s="261"/>
      <c r="G736" s="261"/>
      <c r="H736" s="261"/>
      <c r="I736" s="261"/>
      <c r="J736" s="261"/>
      <c r="K736" s="261"/>
      <c r="L736" s="261"/>
      <c r="M736" s="261">
        <f>M735-K734</f>
        <v>-755.55</v>
      </c>
    </row>
    <row r="737" spans="5:13">
      <c r="E737" s="261"/>
      <c r="F737" s="261"/>
      <c r="G737" s="261"/>
      <c r="H737" s="270" t="s">
        <v>140</v>
      </c>
      <c r="K737" s="261"/>
      <c r="L737" s="261"/>
      <c r="M737" s="261"/>
    </row>
    <row r="738" spans="5:13">
      <c r="E738" s="261"/>
      <c r="F738" s="261">
        <v>1</v>
      </c>
      <c r="G738" s="261" t="s">
        <v>1389</v>
      </c>
      <c r="H738" s="261" t="s">
        <v>2695</v>
      </c>
      <c r="I738" s="296">
        <f>I671</f>
        <v>947</v>
      </c>
      <c r="J738" s="261" t="s">
        <v>1389</v>
      </c>
      <c r="K738" s="261">
        <f>F738*I738</f>
        <v>947</v>
      </c>
      <c r="L738" s="261"/>
      <c r="M738" s="261"/>
    </row>
    <row r="739" spans="5:13">
      <c r="E739" s="261"/>
      <c r="F739" s="261">
        <v>1</v>
      </c>
      <c r="G739" s="261" t="s">
        <v>1389</v>
      </c>
      <c r="H739" s="261" t="s">
        <v>2744</v>
      </c>
      <c r="I739" s="296">
        <f>I672</f>
        <v>826</v>
      </c>
      <c r="J739" s="261" t="s">
        <v>1389</v>
      </c>
      <c r="K739" s="261">
        <f>F739*I739</f>
        <v>826</v>
      </c>
      <c r="L739" s="261"/>
      <c r="M739" s="261"/>
    </row>
    <row r="740" spans="5:13">
      <c r="E740" s="261"/>
      <c r="F740" s="261">
        <v>4</v>
      </c>
      <c r="G740" s="261" t="s">
        <v>1389</v>
      </c>
      <c r="H740" s="261" t="s">
        <v>2321</v>
      </c>
      <c r="I740" s="261">
        <f>I674</f>
        <v>644</v>
      </c>
      <c r="J740" s="261" t="s">
        <v>1389</v>
      </c>
      <c r="K740" s="261">
        <f>F740*I740</f>
        <v>2576</v>
      </c>
      <c r="L740" s="261"/>
      <c r="M740" s="261"/>
    </row>
    <row r="741" spans="5:13">
      <c r="E741" s="261"/>
      <c r="F741" s="261"/>
      <c r="G741" s="261"/>
      <c r="H741" s="261"/>
      <c r="I741" s="261"/>
      <c r="J741" s="261"/>
      <c r="K741" s="272">
        <f>SUM(K738:K740)</f>
        <v>4349</v>
      </c>
      <c r="L741" s="261"/>
      <c r="M741" s="261"/>
    </row>
    <row r="742" spans="5:13" s="288" customFormat="1">
      <c r="E742" s="285"/>
      <c r="F742" s="285"/>
      <c r="G742" s="285"/>
      <c r="H742" s="299" t="s">
        <v>2367</v>
      </c>
      <c r="I742" s="285"/>
      <c r="J742" s="285"/>
      <c r="K742" s="285"/>
      <c r="L742" s="285"/>
      <c r="M742" s="285"/>
    </row>
    <row r="743" spans="5:13">
      <c r="E743" s="261"/>
      <c r="F743" s="261"/>
      <c r="G743" s="261"/>
      <c r="H743" s="261"/>
      <c r="I743" s="261"/>
      <c r="J743" s="261"/>
      <c r="K743" s="261"/>
      <c r="L743" s="261"/>
      <c r="M743" s="261"/>
    </row>
    <row r="744" spans="5:13">
      <c r="E744" s="261"/>
      <c r="F744" s="261"/>
      <c r="G744" s="261"/>
      <c r="H744" s="272" t="s">
        <v>3296</v>
      </c>
      <c r="I744" s="261"/>
      <c r="J744" s="261"/>
      <c r="K744" s="261"/>
      <c r="L744" s="261"/>
      <c r="M744" s="261"/>
    </row>
    <row r="745" spans="5:13" ht="63">
      <c r="E745" s="261"/>
      <c r="F745" s="261"/>
      <c r="G745" s="261"/>
      <c r="H745" s="260" t="s">
        <v>2727</v>
      </c>
      <c r="I745" s="261"/>
      <c r="J745" s="261"/>
      <c r="K745" s="261"/>
      <c r="L745" s="261"/>
      <c r="M745" s="261"/>
    </row>
    <row r="746" spans="5:13">
      <c r="E746" s="261"/>
      <c r="F746" s="261">
        <v>1</v>
      </c>
      <c r="G746" s="261" t="s">
        <v>2626</v>
      </c>
      <c r="H746" s="261" t="s">
        <v>4982</v>
      </c>
      <c r="I746" s="263">
        <v>66.8</v>
      </c>
      <c r="J746" s="261" t="s">
        <v>2626</v>
      </c>
      <c r="K746" s="261">
        <f>F746*I746</f>
        <v>66.8</v>
      </c>
      <c r="L746" s="261"/>
      <c r="M746" s="261"/>
    </row>
    <row r="747" spans="5:13">
      <c r="E747" s="261"/>
      <c r="F747" s="261">
        <v>300</v>
      </c>
      <c r="G747" s="261" t="s">
        <v>1389</v>
      </c>
      <c r="H747" s="261" t="s">
        <v>4983</v>
      </c>
      <c r="I747" s="263">
        <v>69.400000000000006</v>
      </c>
      <c r="J747" s="261" t="s">
        <v>2626</v>
      </c>
      <c r="K747" s="261">
        <f>F747*(I747/144)</f>
        <v>144.58000000000001</v>
      </c>
      <c r="L747" s="261"/>
      <c r="M747" s="261"/>
    </row>
    <row r="748" spans="5:13">
      <c r="E748" s="261"/>
      <c r="F748" s="261">
        <v>300</v>
      </c>
      <c r="G748" s="261" t="s">
        <v>1389</v>
      </c>
      <c r="H748" s="261" t="s">
        <v>4984</v>
      </c>
      <c r="I748" s="263">
        <v>287</v>
      </c>
      <c r="J748" s="261" t="s">
        <v>1474</v>
      </c>
      <c r="K748" s="261">
        <f>F748*(I748/1000)</f>
        <v>86.1</v>
      </c>
      <c r="L748" s="261"/>
      <c r="M748" s="261"/>
    </row>
    <row r="749" spans="5:13">
      <c r="E749" s="261"/>
      <c r="F749" s="261"/>
      <c r="G749" s="261"/>
      <c r="H749" s="261" t="s">
        <v>2728</v>
      </c>
      <c r="I749" s="261"/>
      <c r="J749" s="261"/>
      <c r="K749" s="261">
        <v>60.52</v>
      </c>
      <c r="L749" s="261"/>
      <c r="M749" s="261"/>
    </row>
    <row r="750" spans="5:13">
      <c r="E750" s="261"/>
      <c r="F750" s="261"/>
      <c r="G750" s="261"/>
      <c r="H750" s="261" t="s">
        <v>911</v>
      </c>
      <c r="I750" s="261"/>
      <c r="J750" s="261"/>
      <c r="K750" s="261">
        <f>K760</f>
        <v>15374</v>
      </c>
      <c r="L750" s="261"/>
      <c r="M750" s="261"/>
    </row>
    <row r="751" spans="5:13">
      <c r="E751" s="261"/>
      <c r="F751" s="261"/>
      <c r="G751" s="261"/>
      <c r="H751" s="269" t="s">
        <v>2729</v>
      </c>
      <c r="I751" s="261"/>
      <c r="J751" s="261"/>
      <c r="K751" s="270">
        <f>SUM(K746:K750)</f>
        <v>15732</v>
      </c>
      <c r="L751" s="261"/>
      <c r="M751" s="261"/>
    </row>
    <row r="752" spans="5:13">
      <c r="E752" s="261"/>
      <c r="F752" s="261"/>
      <c r="G752" s="261"/>
      <c r="H752" s="271" t="s">
        <v>2739</v>
      </c>
      <c r="I752" s="261"/>
      <c r="J752" s="261"/>
      <c r="K752" s="272">
        <f>K751/90</f>
        <v>174.8</v>
      </c>
      <c r="L752" s="261">
        <f>166*90</f>
        <v>14940</v>
      </c>
      <c r="M752" s="261">
        <f>L752-K751</f>
        <v>-792</v>
      </c>
    </row>
    <row r="753" spans="5:13">
      <c r="E753" s="261"/>
      <c r="F753" s="261"/>
      <c r="G753" s="261"/>
      <c r="H753" s="261"/>
      <c r="I753" s="261"/>
      <c r="J753" s="261"/>
      <c r="K753" s="261"/>
      <c r="L753" s="261"/>
      <c r="M753" s="261"/>
    </row>
    <row r="754" spans="5:13">
      <c r="E754" s="261"/>
      <c r="F754" s="261"/>
      <c r="G754" s="261"/>
      <c r="H754" s="270" t="s">
        <v>2633</v>
      </c>
      <c r="I754" s="261"/>
      <c r="J754" s="261"/>
      <c r="K754" s="261"/>
      <c r="L754" s="261"/>
      <c r="M754" s="261"/>
    </row>
    <row r="755" spans="5:13">
      <c r="E755" s="261"/>
      <c r="F755" s="261">
        <v>1</v>
      </c>
      <c r="G755" s="261" t="s">
        <v>1389</v>
      </c>
      <c r="H755" s="261" t="s">
        <v>2730</v>
      </c>
      <c r="I755" s="261">
        <f>I522</f>
        <v>999</v>
      </c>
      <c r="J755" s="261" t="s">
        <v>1389</v>
      </c>
      <c r="K755" s="261">
        <f>F755*I755</f>
        <v>999</v>
      </c>
      <c r="L755" s="261"/>
      <c r="M755" s="261"/>
    </row>
    <row r="756" spans="5:13">
      <c r="E756" s="261"/>
      <c r="F756" s="261">
        <v>2</v>
      </c>
      <c r="G756" s="261" t="s">
        <v>1389</v>
      </c>
      <c r="H756" s="261" t="s">
        <v>2744</v>
      </c>
      <c r="I756" s="261">
        <f>I672</f>
        <v>826</v>
      </c>
      <c r="J756" s="261" t="s">
        <v>1389</v>
      </c>
      <c r="K756" s="261">
        <f>F756*I756</f>
        <v>1652</v>
      </c>
      <c r="L756" s="261"/>
      <c r="M756" s="261"/>
    </row>
    <row r="757" spans="5:13">
      <c r="E757" s="261"/>
      <c r="F757" s="261">
        <v>3</v>
      </c>
      <c r="G757" s="261" t="s">
        <v>1389</v>
      </c>
      <c r="H757" s="261" t="s">
        <v>2575</v>
      </c>
      <c r="I757" s="261">
        <f>I673</f>
        <v>820</v>
      </c>
      <c r="J757" s="261" t="s">
        <v>1389</v>
      </c>
      <c r="K757" s="261">
        <f>F757*I757</f>
        <v>2460</v>
      </c>
      <c r="L757" s="261"/>
      <c r="M757" s="261"/>
    </row>
    <row r="758" spans="5:13">
      <c r="E758" s="261"/>
      <c r="F758" s="261">
        <v>4</v>
      </c>
      <c r="G758" s="261" t="s">
        <v>1389</v>
      </c>
      <c r="H758" s="261" t="s">
        <v>2321</v>
      </c>
      <c r="I758" s="261">
        <f>I674</f>
        <v>644</v>
      </c>
      <c r="J758" s="261" t="s">
        <v>1389</v>
      </c>
      <c r="K758" s="261">
        <f>F758*I758</f>
        <v>2576</v>
      </c>
      <c r="L758" s="261"/>
      <c r="M758" s="261"/>
    </row>
    <row r="759" spans="5:13">
      <c r="E759" s="261"/>
      <c r="F759" s="261"/>
      <c r="G759" s="261"/>
      <c r="H759" s="269" t="s">
        <v>2731</v>
      </c>
      <c r="I759" s="261"/>
      <c r="J759" s="261"/>
      <c r="K759" s="261">
        <f>SUM(K755:K758)</f>
        <v>7687</v>
      </c>
      <c r="L759" s="261"/>
      <c r="M759" s="261"/>
    </row>
    <row r="760" spans="5:13">
      <c r="E760" s="261"/>
      <c r="F760" s="261"/>
      <c r="G760" s="261"/>
      <c r="H760" s="271" t="s">
        <v>2732</v>
      </c>
      <c r="I760" s="261"/>
      <c r="J760" s="261"/>
      <c r="K760" s="272">
        <f>K759*2</f>
        <v>15374</v>
      </c>
      <c r="L760" s="261"/>
      <c r="M760" s="261"/>
    </row>
    <row r="761" spans="5:13">
      <c r="E761" s="261"/>
      <c r="F761" s="261"/>
      <c r="G761" s="261"/>
      <c r="H761" s="261"/>
      <c r="I761" s="261"/>
      <c r="J761" s="261"/>
      <c r="K761" s="261"/>
      <c r="L761" s="261"/>
      <c r="M761" s="261"/>
    </row>
    <row r="762" spans="5:13">
      <c r="E762" s="261"/>
      <c r="F762" s="261"/>
      <c r="G762" s="261"/>
      <c r="H762" s="272" t="s">
        <v>2733</v>
      </c>
      <c r="I762" s="261"/>
      <c r="J762" s="261"/>
      <c r="K762" s="261"/>
      <c r="L762" s="261"/>
      <c r="M762" s="261"/>
    </row>
    <row r="763" spans="5:13">
      <c r="E763" s="261"/>
      <c r="F763" s="261"/>
      <c r="G763" s="261"/>
      <c r="H763" s="261"/>
      <c r="I763" s="261"/>
      <c r="J763" s="261"/>
      <c r="K763" s="261"/>
      <c r="L763" s="261"/>
      <c r="M763" s="261"/>
    </row>
    <row r="764" spans="5:13">
      <c r="E764" s="261"/>
      <c r="F764" s="261"/>
      <c r="G764" s="261"/>
      <c r="H764" s="272" t="s">
        <v>2734</v>
      </c>
      <c r="I764" s="261"/>
      <c r="J764" s="261"/>
      <c r="K764" s="261"/>
      <c r="L764" s="261"/>
      <c r="M764" s="261"/>
    </row>
    <row r="765" spans="5:13">
      <c r="E765" s="261"/>
      <c r="F765" s="261"/>
      <c r="G765" s="261"/>
      <c r="H765" s="261"/>
      <c r="I765" s="261"/>
      <c r="J765" s="261"/>
      <c r="K765" s="261"/>
      <c r="L765" s="261"/>
      <c r="M765" s="261"/>
    </row>
    <row r="766" spans="5:13" ht="157.5">
      <c r="E766" s="261"/>
      <c r="F766" s="261"/>
      <c r="G766" s="261"/>
      <c r="H766" s="260" t="s">
        <v>3084</v>
      </c>
      <c r="I766" s="261"/>
      <c r="J766" s="261"/>
      <c r="K766" s="261"/>
      <c r="L766" s="261"/>
      <c r="M766" s="261"/>
    </row>
    <row r="767" spans="5:13">
      <c r="E767" s="261"/>
      <c r="F767" s="261"/>
      <c r="G767" s="261"/>
      <c r="H767" s="272" t="s">
        <v>3074</v>
      </c>
      <c r="I767" s="261"/>
      <c r="J767" s="261"/>
      <c r="K767" s="261"/>
      <c r="L767" s="261"/>
      <c r="M767" s="261"/>
    </row>
    <row r="768" spans="5:13">
      <c r="E768" s="261"/>
      <c r="F768" s="261"/>
      <c r="G768" s="261"/>
      <c r="H768" s="261"/>
      <c r="I768" s="261"/>
      <c r="J768" s="261"/>
      <c r="K768" s="261"/>
      <c r="L768" s="261"/>
      <c r="M768" s="261"/>
    </row>
    <row r="769" spans="5:20" ht="204.75">
      <c r="E769" s="261"/>
      <c r="F769" s="261"/>
      <c r="G769" s="261"/>
      <c r="H769" s="260" t="s">
        <v>2793</v>
      </c>
      <c r="I769" s="261"/>
      <c r="J769" s="261"/>
      <c r="K769" s="261"/>
      <c r="L769" s="261"/>
      <c r="M769" s="261"/>
    </row>
    <row r="770" spans="5:20">
      <c r="E770" s="261"/>
      <c r="F770" s="261"/>
      <c r="G770" s="261"/>
      <c r="H770" s="270" t="s">
        <v>2794</v>
      </c>
      <c r="I770" s="270" t="s">
        <v>2795</v>
      </c>
      <c r="J770" s="270" t="s">
        <v>2796</v>
      </c>
      <c r="K770" s="270" t="s">
        <v>2797</v>
      </c>
      <c r="L770" s="270" t="s">
        <v>2798</v>
      </c>
      <c r="M770" s="261"/>
    </row>
    <row r="771" spans="5:20">
      <c r="E771" s="261"/>
      <c r="F771" s="261"/>
      <c r="G771" s="261"/>
      <c r="H771" s="261" t="s">
        <v>4277</v>
      </c>
      <c r="I771" s="263">
        <v>3110</v>
      </c>
      <c r="J771" s="266">
        <v>2970</v>
      </c>
      <c r="K771" s="263">
        <v>3012</v>
      </c>
      <c r="L771" s="263">
        <v>3055</v>
      </c>
      <c r="M771" s="261"/>
    </row>
    <row r="772" spans="5:20">
      <c r="E772" s="261"/>
      <c r="F772" s="261"/>
      <c r="G772" s="261"/>
      <c r="H772" s="261" t="s">
        <v>4985</v>
      </c>
      <c r="I772" s="264">
        <v>175.4</v>
      </c>
      <c r="J772" s="264">
        <v>428</v>
      </c>
      <c r="K772" s="300">
        <v>577</v>
      </c>
      <c r="L772" s="300">
        <v>674</v>
      </c>
      <c r="M772" s="261"/>
    </row>
    <row r="773" spans="5:20">
      <c r="E773" s="261"/>
      <c r="F773" s="261"/>
      <c r="G773" s="261"/>
      <c r="H773" s="271" t="s">
        <v>2799</v>
      </c>
      <c r="I773" s="272">
        <f>SUM(I771:I772)</f>
        <v>3285.4</v>
      </c>
      <c r="J773" s="272">
        <f>SUM(J771:J772)</f>
        <v>3398</v>
      </c>
      <c r="K773" s="301">
        <f>SUM(K771:K772)</f>
        <v>3589</v>
      </c>
      <c r="L773" s="301">
        <f>SUM(L771:L772)</f>
        <v>3729</v>
      </c>
      <c r="M773" s="261"/>
    </row>
    <row r="774" spans="5:20">
      <c r="E774" s="261"/>
      <c r="F774" s="261"/>
      <c r="G774" s="261"/>
      <c r="H774" s="261"/>
      <c r="I774" s="261"/>
      <c r="J774" s="261"/>
      <c r="K774" s="261"/>
      <c r="L774" s="261"/>
      <c r="M774" s="261"/>
    </row>
    <row r="775" spans="5:20">
      <c r="E775" s="261"/>
      <c r="F775" s="261"/>
      <c r="G775" s="261"/>
      <c r="H775" s="272" t="s">
        <v>2800</v>
      </c>
      <c r="I775" s="261"/>
      <c r="J775" s="261"/>
      <c r="K775" s="261"/>
      <c r="L775" s="261"/>
      <c r="M775" s="261"/>
    </row>
    <row r="776" spans="5:20">
      <c r="E776" s="261"/>
      <c r="F776" s="261"/>
      <c r="G776" s="261"/>
      <c r="H776" s="261"/>
      <c r="I776" s="261"/>
      <c r="J776" s="261"/>
      <c r="K776" s="261"/>
      <c r="L776" s="261"/>
      <c r="M776" s="261"/>
    </row>
    <row r="777" spans="5:20">
      <c r="E777" s="261"/>
      <c r="F777" s="261"/>
      <c r="G777" s="261"/>
      <c r="H777" s="272" t="s">
        <v>2801</v>
      </c>
      <c r="I777" s="261"/>
      <c r="J777" s="261"/>
      <c r="K777" s="261"/>
      <c r="L777" s="261"/>
      <c r="M777" s="261"/>
    </row>
    <row r="778" spans="5:20" ht="78.75">
      <c r="E778" s="261"/>
      <c r="F778" s="261"/>
      <c r="G778" s="261"/>
      <c r="H778" s="260" t="s">
        <v>2849</v>
      </c>
      <c r="I778" s="261"/>
      <c r="J778" s="261"/>
      <c r="K778" s="261"/>
      <c r="L778" s="261"/>
      <c r="M778" s="1243" t="s">
        <v>4642</v>
      </c>
      <c r="N778" s="1243"/>
      <c r="O778" s="1243"/>
      <c r="P778" s="1243"/>
      <c r="Q778" s="1243"/>
      <c r="R778" s="1243"/>
    </row>
    <row r="779" spans="5:20" ht="15.75" customHeight="1">
      <c r="E779" s="261"/>
      <c r="F779" s="261"/>
      <c r="G779" s="261"/>
      <c r="H779" s="261"/>
      <c r="I779" s="261"/>
      <c r="J779" s="261"/>
      <c r="K779" s="261"/>
      <c r="L779" s="261"/>
      <c r="M779" s="1244" t="s">
        <v>4643</v>
      </c>
      <c r="N779" s="1244"/>
      <c r="O779" s="1244"/>
      <c r="P779" s="1244"/>
      <c r="Q779" s="1244"/>
      <c r="R779" s="1244"/>
    </row>
    <row r="780" spans="5:20">
      <c r="E780" s="261"/>
      <c r="F780" s="261">
        <v>2</v>
      </c>
      <c r="G780" s="261" t="s">
        <v>823</v>
      </c>
      <c r="H780" s="261" t="s">
        <v>4986</v>
      </c>
      <c r="I780" s="263">
        <v>98.6</v>
      </c>
      <c r="J780" s="261" t="s">
        <v>823</v>
      </c>
      <c r="K780" s="261">
        <f>F780*I780</f>
        <v>197.2</v>
      </c>
      <c r="L780" s="261"/>
      <c r="M780" s="261"/>
      <c r="N780" s="261"/>
      <c r="O780" s="261"/>
      <c r="P780" s="261"/>
      <c r="Q780" s="261"/>
      <c r="R780" s="261"/>
    </row>
    <row r="781" spans="5:20">
      <c r="E781" s="261"/>
      <c r="F781" s="261">
        <v>2</v>
      </c>
      <c r="G781" s="261" t="s">
        <v>1986</v>
      </c>
      <c r="H781" s="261" t="s">
        <v>2850</v>
      </c>
      <c r="I781" s="261">
        <v>35</v>
      </c>
      <c r="J781" s="261" t="s">
        <v>1986</v>
      </c>
      <c r="K781" s="261">
        <f>F781*I781</f>
        <v>70</v>
      </c>
      <c r="L781" s="261"/>
      <c r="M781" s="269">
        <v>1.5</v>
      </c>
      <c r="N781" s="261" t="s">
        <v>823</v>
      </c>
      <c r="O781" s="261" t="s">
        <v>4288</v>
      </c>
      <c r="P781" s="269">
        <f>I681</f>
        <v>128</v>
      </c>
      <c r="Q781" s="261" t="s">
        <v>823</v>
      </c>
      <c r="R781" s="269">
        <f>P781*M781</f>
        <v>192</v>
      </c>
    </row>
    <row r="782" spans="5:20">
      <c r="E782" s="261"/>
      <c r="F782" s="261">
        <v>1</v>
      </c>
      <c r="G782" s="261" t="s">
        <v>1389</v>
      </c>
      <c r="H782" s="261" t="s">
        <v>4278</v>
      </c>
      <c r="I782" s="261">
        <f>M564</f>
        <v>48.05</v>
      </c>
      <c r="J782" s="261" t="s">
        <v>1393</v>
      </c>
      <c r="K782" s="261">
        <f>F782*I782</f>
        <v>48.05</v>
      </c>
      <c r="L782" s="261"/>
      <c r="M782" s="269">
        <v>2</v>
      </c>
      <c r="N782" s="261" t="s">
        <v>1986</v>
      </c>
      <c r="O782" s="261" t="s">
        <v>2850</v>
      </c>
      <c r="P782" s="269">
        <f>I781</f>
        <v>35</v>
      </c>
      <c r="Q782" s="261" t="s">
        <v>1986</v>
      </c>
      <c r="R782" s="269">
        <f>M782*P782</f>
        <v>70</v>
      </c>
      <c r="T782" s="252" t="s">
        <v>5277</v>
      </c>
    </row>
    <row r="783" spans="5:20">
      <c r="E783" s="261"/>
      <c r="F783" s="261">
        <v>1</v>
      </c>
      <c r="G783" s="261" t="s">
        <v>1389</v>
      </c>
      <c r="H783" s="261" t="s">
        <v>2851</v>
      </c>
      <c r="I783" s="261">
        <f>K796</f>
        <v>31.28</v>
      </c>
      <c r="J783" s="261" t="s">
        <v>1393</v>
      </c>
      <c r="K783" s="261">
        <f>F783*I783</f>
        <v>31.28</v>
      </c>
      <c r="L783" s="261"/>
      <c r="M783" s="269"/>
      <c r="N783" s="261"/>
      <c r="O783" s="261"/>
      <c r="P783" s="302"/>
      <c r="Q783" s="261"/>
      <c r="R783" s="269"/>
    </row>
    <row r="784" spans="5:20">
      <c r="E784" s="261"/>
      <c r="F784" s="261">
        <v>8</v>
      </c>
      <c r="G784" s="261" t="s">
        <v>823</v>
      </c>
      <c r="H784" s="261" t="s">
        <v>2852</v>
      </c>
      <c r="I784" s="261">
        <f>I270</f>
        <v>25.75</v>
      </c>
      <c r="J784" s="261" t="s">
        <v>3280</v>
      </c>
      <c r="K784" s="261">
        <f>F784*I784</f>
        <v>206</v>
      </c>
      <c r="L784" s="261"/>
      <c r="M784" s="269"/>
      <c r="N784" s="261"/>
      <c r="O784" s="261"/>
      <c r="P784" s="269"/>
      <c r="Q784" s="261"/>
      <c r="R784" s="269"/>
    </row>
    <row r="785" spans="5:25" ht="47.25">
      <c r="E785" s="261"/>
      <c r="F785" s="261">
        <v>1</v>
      </c>
      <c r="G785" s="261" t="s">
        <v>1389</v>
      </c>
      <c r="H785" s="260" t="s">
        <v>2853</v>
      </c>
      <c r="I785" s="261"/>
      <c r="J785" s="261"/>
      <c r="K785" s="261">
        <f>K795</f>
        <v>1781.67</v>
      </c>
      <c r="L785" s="261"/>
      <c r="M785" s="269">
        <v>8</v>
      </c>
      <c r="N785" s="261" t="s">
        <v>823</v>
      </c>
      <c r="O785" s="260" t="s">
        <v>2852</v>
      </c>
      <c r="P785" s="269">
        <f>I784</f>
        <v>25.75</v>
      </c>
      <c r="Q785" s="261" t="s">
        <v>3280</v>
      </c>
      <c r="R785" s="269">
        <f>M785*P785</f>
        <v>206</v>
      </c>
    </row>
    <row r="786" spans="5:25" ht="47.25">
      <c r="E786" s="261"/>
      <c r="F786" s="261"/>
      <c r="G786" s="261"/>
      <c r="H786" s="260" t="s">
        <v>2480</v>
      </c>
      <c r="I786" s="261" t="s">
        <v>654</v>
      </c>
      <c r="J786" s="261"/>
      <c r="K786" s="261">
        <v>15.8</v>
      </c>
      <c r="L786" s="261"/>
      <c r="M786" s="269">
        <v>1</v>
      </c>
      <c r="N786" s="261" t="s">
        <v>1389</v>
      </c>
      <c r="O786" s="260" t="s">
        <v>2853</v>
      </c>
      <c r="P786" s="269">
        <f>R796</f>
        <v>1781.67</v>
      </c>
      <c r="Q786" s="261" t="s">
        <v>1393</v>
      </c>
      <c r="R786" s="269">
        <f>R796</f>
        <v>1781.67</v>
      </c>
    </row>
    <row r="787" spans="5:25" ht="31.5">
      <c r="E787" s="261"/>
      <c r="F787" s="261"/>
      <c r="G787" s="261"/>
      <c r="H787" s="271" t="s">
        <v>2362</v>
      </c>
      <c r="I787" s="261"/>
      <c r="J787" s="261"/>
      <c r="K787" s="272">
        <f>SUM(K780:K786)</f>
        <v>2350</v>
      </c>
      <c r="L787" s="261">
        <f>K787-1616</f>
        <v>734</v>
      </c>
      <c r="M787" s="269"/>
      <c r="N787" s="261"/>
      <c r="O787" s="260" t="s">
        <v>2480</v>
      </c>
      <c r="P787" s="1245" t="s">
        <v>654</v>
      </c>
      <c r="Q787" s="1245"/>
      <c r="R787" s="269">
        <v>16</v>
      </c>
    </row>
    <row r="788" spans="5:25">
      <c r="E788" s="261"/>
      <c r="F788" s="261"/>
      <c r="G788" s="261"/>
      <c r="H788" s="261"/>
      <c r="I788" s="261"/>
      <c r="J788" s="261"/>
      <c r="K788" s="261"/>
      <c r="L788" s="261"/>
      <c r="M788" s="269"/>
      <c r="N788" s="261"/>
      <c r="O788" s="271" t="s">
        <v>2362</v>
      </c>
      <c r="P788" s="261"/>
      <c r="Q788" s="261"/>
      <c r="R788" s="271">
        <f>SUM(R781:R787)</f>
        <v>2265.67</v>
      </c>
    </row>
    <row r="789" spans="5:25">
      <c r="E789" s="261"/>
      <c r="F789" s="261"/>
      <c r="G789" s="261"/>
      <c r="H789" s="270" t="s">
        <v>2481</v>
      </c>
      <c r="I789" s="261"/>
      <c r="J789" s="261"/>
      <c r="K789" s="261"/>
      <c r="L789" s="261"/>
      <c r="M789" s="269"/>
      <c r="N789" s="261"/>
      <c r="O789" s="261"/>
      <c r="P789" s="261"/>
      <c r="Q789" s="261"/>
      <c r="R789" s="261"/>
    </row>
    <row r="790" spans="5:25">
      <c r="E790" s="261"/>
      <c r="F790" s="261">
        <v>1</v>
      </c>
      <c r="G790" s="261" t="s">
        <v>1389</v>
      </c>
      <c r="H790" s="261" t="s">
        <v>2695</v>
      </c>
      <c r="I790" s="261">
        <f>I671</f>
        <v>947</v>
      </c>
      <c r="J790" s="261" t="s">
        <v>1389</v>
      </c>
      <c r="K790" s="261">
        <f>F790*I790</f>
        <v>947</v>
      </c>
      <c r="L790" s="261"/>
      <c r="M790" s="269"/>
      <c r="N790" s="261"/>
      <c r="O790" s="270" t="s">
        <v>2481</v>
      </c>
      <c r="P790" s="261"/>
      <c r="Q790" s="261"/>
      <c r="R790" s="261"/>
    </row>
    <row r="791" spans="5:25">
      <c r="E791" s="261"/>
      <c r="F791" s="261">
        <v>1</v>
      </c>
      <c r="G791" s="261" t="s">
        <v>1389</v>
      </c>
      <c r="H791" s="261" t="s">
        <v>2744</v>
      </c>
      <c r="I791" s="261">
        <f>I672</f>
        <v>826</v>
      </c>
      <c r="J791" s="261" t="s">
        <v>1389</v>
      </c>
      <c r="K791" s="261">
        <f>F791*I791</f>
        <v>826</v>
      </c>
      <c r="L791" s="261"/>
      <c r="M791" s="269">
        <v>1</v>
      </c>
      <c r="N791" s="261" t="s">
        <v>1389</v>
      </c>
      <c r="O791" s="261" t="s">
        <v>2695</v>
      </c>
      <c r="P791" s="269">
        <f>I790</f>
        <v>947</v>
      </c>
      <c r="Q791" s="261" t="s">
        <v>1389</v>
      </c>
      <c r="R791" s="261">
        <f>M791*P791</f>
        <v>947</v>
      </c>
    </row>
    <row r="792" spans="5:25">
      <c r="E792" s="261"/>
      <c r="F792" s="261">
        <v>2</v>
      </c>
      <c r="G792" s="261" t="s">
        <v>1389</v>
      </c>
      <c r="H792" s="261" t="s">
        <v>2575</v>
      </c>
      <c r="I792" s="261">
        <f>I673</f>
        <v>820</v>
      </c>
      <c r="J792" s="261" t="s">
        <v>1389</v>
      </c>
      <c r="K792" s="261">
        <f>F792*I792</f>
        <v>1640</v>
      </c>
      <c r="L792" s="261"/>
      <c r="M792" s="269">
        <v>1</v>
      </c>
      <c r="N792" s="261" t="s">
        <v>1389</v>
      </c>
      <c r="O792" s="261" t="s">
        <v>2744</v>
      </c>
      <c r="P792" s="269">
        <f>I791</f>
        <v>826</v>
      </c>
      <c r="Q792" s="261" t="s">
        <v>1389</v>
      </c>
      <c r="R792" s="261">
        <f>M792*P792</f>
        <v>826</v>
      </c>
    </row>
    <row r="793" spans="5:25">
      <c r="E793" s="261"/>
      <c r="F793" s="261">
        <v>3</v>
      </c>
      <c r="G793" s="261" t="s">
        <v>1389</v>
      </c>
      <c r="H793" s="261" t="s">
        <v>2321</v>
      </c>
      <c r="I793" s="261">
        <f>I674</f>
        <v>644</v>
      </c>
      <c r="J793" s="261" t="s">
        <v>1389</v>
      </c>
      <c r="K793" s="261">
        <f>F793*I793</f>
        <v>1932</v>
      </c>
      <c r="L793" s="261"/>
      <c r="M793" s="269">
        <v>2</v>
      </c>
      <c r="N793" s="261" t="s">
        <v>1389</v>
      </c>
      <c r="O793" s="261" t="s">
        <v>2575</v>
      </c>
      <c r="P793" s="269">
        <f>I792</f>
        <v>820</v>
      </c>
      <c r="Q793" s="261" t="s">
        <v>1389</v>
      </c>
      <c r="R793" s="261">
        <f>M793*P793</f>
        <v>1640</v>
      </c>
    </row>
    <row r="794" spans="5:25">
      <c r="E794" s="261"/>
      <c r="F794" s="261"/>
      <c r="G794" s="261"/>
      <c r="H794" s="269" t="s">
        <v>2839</v>
      </c>
      <c r="I794" s="261"/>
      <c r="J794" s="261"/>
      <c r="K794" s="270">
        <f>SUM(K790:K793)</f>
        <v>5345</v>
      </c>
      <c r="L794" s="261"/>
      <c r="M794" s="269">
        <v>3</v>
      </c>
      <c r="N794" s="261" t="s">
        <v>1389</v>
      </c>
      <c r="O794" s="261" t="s">
        <v>2321</v>
      </c>
      <c r="P794" s="269">
        <f>I793</f>
        <v>644</v>
      </c>
      <c r="Q794" s="261" t="s">
        <v>1389</v>
      </c>
      <c r="R794" s="261">
        <f>M794*P794</f>
        <v>1932</v>
      </c>
    </row>
    <row r="795" spans="5:25">
      <c r="E795" s="261"/>
      <c r="F795" s="261"/>
      <c r="G795" s="261"/>
      <c r="H795" s="271" t="s">
        <v>2770</v>
      </c>
      <c r="I795" s="261"/>
      <c r="J795" s="261"/>
      <c r="K795" s="272">
        <f>K794/3</f>
        <v>1781.67</v>
      </c>
      <c r="L795" s="261"/>
      <c r="M795" s="261"/>
      <c r="N795" s="261"/>
      <c r="O795" s="269" t="s">
        <v>2839</v>
      </c>
      <c r="P795" s="261"/>
      <c r="Q795" s="261"/>
      <c r="R795" s="270">
        <f>SUM(R791:R794)</f>
        <v>5345</v>
      </c>
    </row>
    <row r="796" spans="5:25">
      <c r="E796" s="261"/>
      <c r="F796" s="261"/>
      <c r="G796" s="261"/>
      <c r="H796" s="272" t="s">
        <v>2482</v>
      </c>
      <c r="I796" s="261">
        <f>I651</f>
        <v>104280</v>
      </c>
      <c r="J796" s="278">
        <v>2.9999999999999997E-4</v>
      </c>
      <c r="K796" s="272">
        <f>I796*J796</f>
        <v>31.28</v>
      </c>
      <c r="L796" s="261"/>
      <c r="M796" s="261"/>
      <c r="N796" s="261"/>
      <c r="O796" s="271" t="s">
        <v>2770</v>
      </c>
      <c r="P796" s="261"/>
      <c r="Q796" s="261"/>
      <c r="R796" s="272">
        <f>R795/3</f>
        <v>1781.67</v>
      </c>
    </row>
    <row r="797" spans="5:25">
      <c r="E797" s="261"/>
      <c r="F797" s="261"/>
      <c r="G797" s="261"/>
      <c r="H797" s="261"/>
      <c r="I797" s="261"/>
      <c r="J797" s="261"/>
      <c r="K797" s="261"/>
      <c r="L797" s="261"/>
      <c r="M797" s="261"/>
      <c r="N797" s="261"/>
      <c r="O797" s="303"/>
      <c r="P797" s="279"/>
      <c r="Q797" s="304"/>
      <c r="R797" s="303"/>
    </row>
    <row r="798" spans="5:25">
      <c r="E798" s="261"/>
      <c r="F798" s="261"/>
      <c r="G798" s="261"/>
      <c r="H798" s="272" t="s">
        <v>2364</v>
      </c>
      <c r="I798" s="261"/>
      <c r="J798" s="261"/>
      <c r="K798" s="261"/>
      <c r="L798" s="261"/>
      <c r="M798" s="261"/>
      <c r="N798" s="261"/>
      <c r="O798" s="261"/>
      <c r="P798" s="261"/>
      <c r="Q798" s="261"/>
      <c r="R798" s="261"/>
    </row>
    <row r="799" spans="5:25">
      <c r="E799" s="261"/>
      <c r="F799" s="261"/>
      <c r="G799" s="261"/>
      <c r="H799" s="261"/>
      <c r="I799" s="261"/>
      <c r="J799" s="261"/>
      <c r="K799" s="261"/>
      <c r="L799" s="261"/>
      <c r="M799" s="261"/>
      <c r="N799" s="261"/>
      <c r="O799" s="272" t="s">
        <v>2364</v>
      </c>
      <c r="P799" s="261"/>
      <c r="Q799" s="261"/>
      <c r="R799" s="261"/>
      <c r="T799" s="261"/>
      <c r="U799" s="261"/>
      <c r="V799" s="272" t="s">
        <v>2364</v>
      </c>
      <c r="W799" s="261"/>
      <c r="X799" s="261"/>
      <c r="Y799" s="261"/>
    </row>
    <row r="800" spans="5:25">
      <c r="E800" s="261"/>
      <c r="F800" s="261"/>
      <c r="G800" s="261"/>
      <c r="H800" s="272" t="s">
        <v>3082</v>
      </c>
      <c r="I800" s="261"/>
      <c r="J800" s="261"/>
      <c r="K800" s="261"/>
      <c r="L800" s="261"/>
      <c r="M800" s="261"/>
      <c r="N800" s="261"/>
      <c r="O800" s="272"/>
      <c r="P800" s="261"/>
      <c r="Q800" s="261"/>
      <c r="R800" s="261"/>
      <c r="T800" s="261"/>
      <c r="U800" s="261"/>
      <c r="V800" s="272"/>
      <c r="W800" s="261"/>
      <c r="X800" s="261"/>
      <c r="Y800" s="261"/>
    </row>
    <row r="801" spans="5:26">
      <c r="E801" s="261"/>
      <c r="F801" s="261"/>
      <c r="G801" s="261"/>
      <c r="H801" s="261"/>
      <c r="I801" s="261"/>
      <c r="J801" s="261"/>
      <c r="K801" s="261"/>
      <c r="L801" s="261"/>
      <c r="M801" s="261"/>
      <c r="N801" s="261"/>
      <c r="O801" s="272" t="s">
        <v>4644</v>
      </c>
      <c r="P801" s="261"/>
      <c r="Q801" s="261"/>
      <c r="R801" s="261"/>
      <c r="T801" s="261"/>
      <c r="U801" s="261"/>
      <c r="V801" s="272" t="s">
        <v>5254</v>
      </c>
      <c r="W801" s="261"/>
      <c r="X801" s="261"/>
      <c r="Y801" s="261"/>
    </row>
    <row r="802" spans="5:26">
      <c r="E802" s="261"/>
      <c r="F802" s="261">
        <v>1</v>
      </c>
      <c r="G802" s="261" t="s">
        <v>1389</v>
      </c>
      <c r="H802" s="260" t="s">
        <v>4987</v>
      </c>
      <c r="I802" s="264">
        <v>648</v>
      </c>
      <c r="J802" s="261" t="s">
        <v>1389</v>
      </c>
      <c r="K802" s="261">
        <f>F802*I802</f>
        <v>648</v>
      </c>
      <c r="L802" s="261"/>
      <c r="M802" s="261"/>
      <c r="N802" s="261"/>
      <c r="O802" s="272"/>
      <c r="P802" s="261"/>
      <c r="Q802" s="261"/>
      <c r="R802" s="261"/>
      <c r="T802" s="261"/>
      <c r="U802" s="261"/>
      <c r="V802" s="272"/>
      <c r="W802" s="261"/>
      <c r="X802" s="261"/>
      <c r="Y802" s="261"/>
    </row>
    <row r="803" spans="5:26">
      <c r="E803" s="261"/>
      <c r="F803" s="261">
        <v>1</v>
      </c>
      <c r="G803" s="261" t="s">
        <v>1389</v>
      </c>
      <c r="H803" s="260" t="s">
        <v>4988</v>
      </c>
      <c r="I803" s="264">
        <v>36.200000000000003</v>
      </c>
      <c r="J803" s="261" t="s">
        <v>1389</v>
      </c>
      <c r="K803" s="261">
        <f>F803*I803</f>
        <v>36.200000000000003</v>
      </c>
      <c r="L803" s="261"/>
      <c r="M803" s="261">
        <v>1</v>
      </c>
      <c r="N803" s="261" t="s">
        <v>1389</v>
      </c>
      <c r="O803" s="260" t="s">
        <v>5507</v>
      </c>
      <c r="P803" s="305">
        <v>1193</v>
      </c>
      <c r="Q803" s="261" t="s">
        <v>1389</v>
      </c>
      <c r="R803" s="261">
        <f>M803*P803</f>
        <v>1193</v>
      </c>
      <c r="T803" s="261">
        <v>1</v>
      </c>
      <c r="U803" s="261" t="s">
        <v>1389</v>
      </c>
      <c r="V803" s="260" t="s">
        <v>5508</v>
      </c>
      <c r="W803" s="305">
        <v>1856</v>
      </c>
      <c r="X803" s="261" t="s">
        <v>1389</v>
      </c>
      <c r="Y803" s="261">
        <f>T803*W803</f>
        <v>1856</v>
      </c>
    </row>
    <row r="804" spans="5:26">
      <c r="E804" s="261"/>
      <c r="F804" s="261">
        <v>1</v>
      </c>
      <c r="G804" s="261" t="s">
        <v>1389</v>
      </c>
      <c r="H804" s="260" t="s">
        <v>911</v>
      </c>
      <c r="I804" s="261">
        <f>K787</f>
        <v>2350</v>
      </c>
      <c r="J804" s="261" t="s">
        <v>1389</v>
      </c>
      <c r="K804" s="261">
        <f>F804*I804</f>
        <v>2350</v>
      </c>
      <c r="L804" s="261"/>
      <c r="M804" s="261">
        <v>1</v>
      </c>
      <c r="N804" s="261" t="s">
        <v>1389</v>
      </c>
      <c r="O804" s="260" t="s">
        <v>911</v>
      </c>
      <c r="P804" s="269">
        <f>R788</f>
        <v>2265.67</v>
      </c>
      <c r="Q804" s="261" t="s">
        <v>1389</v>
      </c>
      <c r="R804" s="261">
        <f>M804*P804</f>
        <v>2265.67</v>
      </c>
      <c r="T804" s="261">
        <v>1</v>
      </c>
      <c r="U804" s="261" t="s">
        <v>1389</v>
      </c>
      <c r="V804" s="260" t="s">
        <v>911</v>
      </c>
      <c r="W804" s="269">
        <f>P804</f>
        <v>2265.67</v>
      </c>
      <c r="X804" s="261" t="s">
        <v>1389</v>
      </c>
      <c r="Y804" s="261">
        <f>T804*W804</f>
        <v>2265.67</v>
      </c>
    </row>
    <row r="805" spans="5:26">
      <c r="E805" s="261"/>
      <c r="F805" s="261"/>
      <c r="G805" s="261"/>
      <c r="H805" s="260" t="s">
        <v>2261</v>
      </c>
      <c r="I805" s="261"/>
      <c r="J805" s="261"/>
      <c r="K805" s="261">
        <v>3.47</v>
      </c>
      <c r="L805" s="261"/>
      <c r="M805" s="261"/>
      <c r="N805" s="261"/>
      <c r="O805" s="260" t="s">
        <v>2261</v>
      </c>
      <c r="P805" s="261"/>
      <c r="Q805" s="261"/>
      <c r="R805" s="261"/>
      <c r="T805" s="261"/>
      <c r="U805" s="261"/>
      <c r="V805" s="260" t="s">
        <v>2261</v>
      </c>
      <c r="W805" s="261"/>
      <c r="X805" s="261"/>
      <c r="Y805" s="261"/>
    </row>
    <row r="806" spans="5:26">
      <c r="E806" s="261"/>
      <c r="F806" s="261"/>
      <c r="G806" s="261"/>
      <c r="H806" s="271" t="s">
        <v>1058</v>
      </c>
      <c r="I806" s="261"/>
      <c r="J806" s="261"/>
      <c r="K806" s="272">
        <f>SUM(K802:K805)</f>
        <v>3037.67</v>
      </c>
      <c r="L806" s="261">
        <f>K806-2946</f>
        <v>91.67</v>
      </c>
      <c r="M806" s="261"/>
      <c r="N806" s="261"/>
      <c r="O806" s="271" t="s">
        <v>1058</v>
      </c>
      <c r="P806" s="261"/>
      <c r="Q806" s="261"/>
      <c r="R806" s="272">
        <f>SUM(R803:R805)</f>
        <v>3458.67</v>
      </c>
      <c r="S806" s="252">
        <f>R806-2219</f>
        <v>1239.67</v>
      </c>
      <c r="T806" s="261"/>
      <c r="U806" s="261"/>
      <c r="V806" s="271" t="s">
        <v>1058</v>
      </c>
      <c r="W806" s="261"/>
      <c r="X806" s="261"/>
      <c r="Y806" s="272">
        <f>SUM(Y803:Y805)</f>
        <v>4121.67</v>
      </c>
      <c r="Z806" s="252">
        <f>Y806-2219</f>
        <v>1902.67</v>
      </c>
    </row>
    <row r="807" spans="5:26">
      <c r="E807" s="261"/>
      <c r="F807" s="261"/>
      <c r="G807" s="261"/>
      <c r="H807" s="261"/>
      <c r="I807" s="261"/>
      <c r="J807" s="261"/>
      <c r="K807" s="261"/>
      <c r="L807" s="261"/>
      <c r="M807" s="261"/>
      <c r="N807" s="261"/>
      <c r="P807" s="261"/>
      <c r="Q807" s="261"/>
      <c r="R807" s="272"/>
      <c r="T807" s="261"/>
      <c r="U807" s="261"/>
      <c r="W807" s="261"/>
      <c r="X807" s="261"/>
      <c r="Y807" s="272"/>
    </row>
    <row r="808" spans="5:26">
      <c r="E808" s="261"/>
      <c r="F808" s="261"/>
      <c r="G808" s="261"/>
      <c r="H808" s="272" t="s">
        <v>3069</v>
      </c>
      <c r="I808" s="261"/>
      <c r="J808" s="261"/>
      <c r="K808" s="261"/>
      <c r="L808" s="261"/>
      <c r="M808" s="261"/>
    </row>
    <row r="809" spans="5:26" ht="63">
      <c r="E809" s="261"/>
      <c r="F809" s="261"/>
      <c r="G809" s="261"/>
      <c r="H809" s="260" t="s">
        <v>3070</v>
      </c>
      <c r="I809" s="261"/>
      <c r="J809" s="261"/>
      <c r="K809" s="261"/>
      <c r="L809" s="261"/>
      <c r="M809" s="1243" t="s">
        <v>4136</v>
      </c>
      <c r="N809" s="1243"/>
      <c r="O809" s="1243"/>
      <c r="P809" s="1243"/>
      <c r="Q809" s="1243"/>
      <c r="R809" s="1243"/>
      <c r="T809" s="261"/>
      <c r="U809" s="261"/>
      <c r="V809" s="272" t="s">
        <v>2364</v>
      </c>
      <c r="W809" s="261"/>
      <c r="X809" s="261"/>
      <c r="Y809" s="261"/>
    </row>
    <row r="810" spans="5:26">
      <c r="E810" s="261"/>
      <c r="F810" s="261"/>
      <c r="G810" s="261"/>
      <c r="H810" s="261"/>
      <c r="I810" s="261"/>
      <c r="J810" s="261"/>
      <c r="K810" s="261"/>
      <c r="L810" s="261"/>
      <c r="M810" s="262">
        <v>1</v>
      </c>
      <c r="N810" s="262" t="s">
        <v>1389</v>
      </c>
      <c r="O810" s="262" t="s">
        <v>4137</v>
      </c>
      <c r="P810" s="306">
        <v>7000</v>
      </c>
      <c r="Q810" s="262" t="s">
        <v>4138</v>
      </c>
      <c r="R810" s="262">
        <f>P810*M810</f>
        <v>7000</v>
      </c>
      <c r="T810" s="261"/>
      <c r="U810" s="261"/>
      <c r="V810" s="272"/>
      <c r="W810" s="261"/>
      <c r="X810" s="261"/>
      <c r="Y810" s="261"/>
    </row>
    <row r="811" spans="5:26">
      <c r="E811" s="261"/>
      <c r="F811" s="261">
        <v>1.5</v>
      </c>
      <c r="G811" s="261" t="s">
        <v>823</v>
      </c>
      <c r="H811" s="261" t="s">
        <v>4989</v>
      </c>
      <c r="I811" s="263">
        <v>209</v>
      </c>
      <c r="J811" s="261" t="s">
        <v>823</v>
      </c>
      <c r="K811" s="261">
        <f>F811*I811</f>
        <v>313.5</v>
      </c>
      <c r="L811" s="261"/>
      <c r="M811" s="269">
        <v>2</v>
      </c>
      <c r="N811" s="261" t="s">
        <v>1986</v>
      </c>
      <c r="O811" s="261" t="s">
        <v>2850</v>
      </c>
      <c r="P811" s="307">
        <f>I781</f>
        <v>35</v>
      </c>
      <c r="Q811" s="261" t="s">
        <v>1986</v>
      </c>
      <c r="R811" s="262">
        <f>P811*M811</f>
        <v>70</v>
      </c>
      <c r="T811" s="261"/>
      <c r="U811" s="261"/>
      <c r="V811" s="272" t="s">
        <v>5509</v>
      </c>
      <c r="W811" s="261"/>
      <c r="X811" s="261"/>
      <c r="Y811" s="261"/>
    </row>
    <row r="812" spans="5:26" ht="47.25">
      <c r="E812" s="261"/>
      <c r="F812" s="261">
        <v>2</v>
      </c>
      <c r="G812" s="261" t="s">
        <v>3080</v>
      </c>
      <c r="H812" s="261" t="s">
        <v>3081</v>
      </c>
      <c r="I812" s="261">
        <f>I781</f>
        <v>35</v>
      </c>
      <c r="J812" s="261" t="s">
        <v>3080</v>
      </c>
      <c r="K812" s="261">
        <f>F812*I812</f>
        <v>70</v>
      </c>
      <c r="L812" s="261"/>
      <c r="M812" s="269">
        <v>1</v>
      </c>
      <c r="N812" s="261" t="s">
        <v>1389</v>
      </c>
      <c r="O812" s="260" t="s">
        <v>2853</v>
      </c>
      <c r="P812" s="269">
        <f>R821</f>
        <v>1781.67</v>
      </c>
      <c r="Q812" s="261" t="s">
        <v>1393</v>
      </c>
      <c r="R812" s="262">
        <f>P812*M812</f>
        <v>1781.67</v>
      </c>
      <c r="T812" s="261"/>
      <c r="U812" s="261"/>
      <c r="V812" s="272"/>
      <c r="W812" s="261"/>
      <c r="X812" s="261"/>
      <c r="Y812" s="261"/>
    </row>
    <row r="813" spans="5:26" ht="31.5">
      <c r="E813" s="261"/>
      <c r="F813" s="261">
        <v>1</v>
      </c>
      <c r="G813" s="261" t="s">
        <v>1389</v>
      </c>
      <c r="H813" s="261" t="s">
        <v>4018</v>
      </c>
      <c r="I813" s="261">
        <f>I782</f>
        <v>48.05</v>
      </c>
      <c r="J813" s="261" t="s">
        <v>1389</v>
      </c>
      <c r="K813" s="261">
        <f>F813*I813</f>
        <v>48.05</v>
      </c>
      <c r="L813" s="261"/>
      <c r="M813" s="259"/>
      <c r="N813" s="259"/>
      <c r="O813" s="260" t="s">
        <v>2480</v>
      </c>
      <c r="P813" s="1245" t="s">
        <v>654</v>
      </c>
      <c r="Q813" s="1245"/>
      <c r="R813" s="269">
        <v>17.329999999999998</v>
      </c>
      <c r="T813" s="261">
        <v>1</v>
      </c>
      <c r="U813" s="261" t="s">
        <v>1389</v>
      </c>
      <c r="V813" s="260" t="s">
        <v>5510</v>
      </c>
      <c r="W813" s="308">
        <v>11890</v>
      </c>
      <c r="X813" s="261" t="s">
        <v>1389</v>
      </c>
      <c r="Y813" s="261">
        <f>T813*W813</f>
        <v>11890</v>
      </c>
    </row>
    <row r="814" spans="5:26">
      <c r="E814" s="261"/>
      <c r="F814" s="261">
        <v>1</v>
      </c>
      <c r="G814" s="261" t="s">
        <v>1389</v>
      </c>
      <c r="H814" s="261" t="s">
        <v>3205</v>
      </c>
      <c r="I814" s="261">
        <f>I783</f>
        <v>31.28</v>
      </c>
      <c r="J814" s="261" t="s">
        <v>1389</v>
      </c>
      <c r="K814" s="261">
        <f>F814*I814</f>
        <v>31.28</v>
      </c>
      <c r="L814" s="261"/>
      <c r="M814" s="269"/>
      <c r="N814" s="261"/>
      <c r="O814" s="272" t="s">
        <v>2770</v>
      </c>
      <c r="P814" s="309"/>
      <c r="Q814" s="272"/>
      <c r="R814" s="271">
        <f>SUM(R810:R813)</f>
        <v>8869</v>
      </c>
      <c r="S814" s="252">
        <f>R814-8625</f>
        <v>244</v>
      </c>
      <c r="T814" s="261">
        <v>1</v>
      </c>
      <c r="U814" s="261" t="s">
        <v>1389</v>
      </c>
      <c r="V814" s="260" t="s">
        <v>911</v>
      </c>
      <c r="W814" s="308">
        <f>W804</f>
        <v>2265.67</v>
      </c>
      <c r="X814" s="261" t="s">
        <v>1389</v>
      </c>
      <c r="Y814" s="261">
        <f>T814*W814</f>
        <v>2265.67</v>
      </c>
    </row>
    <row r="815" spans="5:26">
      <c r="E815" s="261"/>
      <c r="F815" s="261">
        <v>8</v>
      </c>
      <c r="G815" s="261" t="s">
        <v>823</v>
      </c>
      <c r="H815" s="261" t="s">
        <v>2852</v>
      </c>
      <c r="I815" s="261">
        <f>I784</f>
        <v>25.75</v>
      </c>
      <c r="J815" s="261" t="s">
        <v>3280</v>
      </c>
      <c r="K815" s="261">
        <f>F815*I815</f>
        <v>206</v>
      </c>
      <c r="L815" s="261"/>
      <c r="M815" s="269"/>
      <c r="N815" s="261"/>
      <c r="O815" s="270" t="s">
        <v>2481</v>
      </c>
      <c r="P815" s="261"/>
      <c r="Q815" s="261"/>
      <c r="R815" s="261"/>
      <c r="T815" s="261"/>
      <c r="U815" s="261"/>
      <c r="V815" s="260" t="s">
        <v>2261</v>
      </c>
      <c r="W815" s="261"/>
      <c r="X815" s="261"/>
      <c r="Y815" s="261"/>
    </row>
    <row r="816" spans="5:26" ht="47.25">
      <c r="E816" s="261"/>
      <c r="F816" s="261"/>
      <c r="G816" s="261"/>
      <c r="H816" s="260" t="s">
        <v>2853</v>
      </c>
      <c r="I816" s="261"/>
      <c r="J816" s="261"/>
      <c r="K816" s="261">
        <f>K795</f>
        <v>1781.67</v>
      </c>
      <c r="L816" s="261"/>
      <c r="M816" s="269">
        <v>1</v>
      </c>
      <c r="N816" s="261" t="s">
        <v>1389</v>
      </c>
      <c r="O816" s="261" t="s">
        <v>2695</v>
      </c>
      <c r="P816" s="269">
        <f>P791</f>
        <v>947</v>
      </c>
      <c r="Q816" s="261" t="s">
        <v>1389</v>
      </c>
      <c r="R816" s="261">
        <f>M816*P816</f>
        <v>947</v>
      </c>
      <c r="T816" s="261"/>
      <c r="U816" s="261"/>
      <c r="V816" s="271" t="s">
        <v>1058</v>
      </c>
      <c r="W816" s="261"/>
      <c r="X816" s="261"/>
      <c r="Y816" s="272">
        <f>SUM(Y813:Y815)</f>
        <v>14155.67</v>
      </c>
    </row>
    <row r="817" spans="5:18" ht="31.5">
      <c r="E817" s="261"/>
      <c r="F817" s="261"/>
      <c r="G817" s="261"/>
      <c r="H817" s="260" t="s">
        <v>2480</v>
      </c>
      <c r="I817" s="261"/>
      <c r="J817" s="261" t="s">
        <v>654</v>
      </c>
      <c r="K817" s="261">
        <v>14.87</v>
      </c>
      <c r="L817" s="261"/>
      <c r="M817" s="269">
        <v>1</v>
      </c>
      <c r="N817" s="261" t="s">
        <v>1389</v>
      </c>
      <c r="O817" s="261" t="s">
        <v>2744</v>
      </c>
      <c r="P817" s="269">
        <f>P792</f>
        <v>826</v>
      </c>
      <c r="Q817" s="261" t="s">
        <v>1389</v>
      </c>
      <c r="R817" s="261">
        <f>M817*P817</f>
        <v>826</v>
      </c>
    </row>
    <row r="818" spans="5:18">
      <c r="E818" s="261"/>
      <c r="F818" s="261"/>
      <c r="G818" s="261"/>
      <c r="H818" s="271" t="s">
        <v>2362</v>
      </c>
      <c r="I818" s="261"/>
      <c r="J818" s="261"/>
      <c r="K818" s="272">
        <f>SUM(K811:K817)</f>
        <v>2465.37</v>
      </c>
      <c r="L818" s="261">
        <f>1625-K818</f>
        <v>-840.37</v>
      </c>
      <c r="M818" s="269">
        <v>2</v>
      </c>
      <c r="N818" s="261" t="s">
        <v>1389</v>
      </c>
      <c r="O818" s="261" t="s">
        <v>2575</v>
      </c>
      <c r="P818" s="269">
        <f>P793</f>
        <v>820</v>
      </c>
      <c r="Q818" s="261" t="s">
        <v>1389</v>
      </c>
      <c r="R818" s="261">
        <f>M818*P818</f>
        <v>1640</v>
      </c>
    </row>
    <row r="819" spans="5:18">
      <c r="E819" s="261"/>
      <c r="F819" s="261"/>
      <c r="G819" s="261"/>
      <c r="H819" s="261"/>
      <c r="I819" s="261"/>
      <c r="J819" s="261"/>
      <c r="K819" s="261"/>
      <c r="L819" s="261"/>
      <c r="M819" s="269">
        <v>3</v>
      </c>
      <c r="N819" s="261" t="s">
        <v>1389</v>
      </c>
      <c r="O819" s="261" t="s">
        <v>2321</v>
      </c>
      <c r="P819" s="269">
        <f>P794</f>
        <v>644</v>
      </c>
      <c r="Q819" s="261" t="s">
        <v>1389</v>
      </c>
      <c r="R819" s="261">
        <f>M819*P819</f>
        <v>1932</v>
      </c>
    </row>
    <row r="820" spans="5:18">
      <c r="E820" s="261"/>
      <c r="F820" s="261"/>
      <c r="G820" s="261"/>
      <c r="H820" s="261"/>
      <c r="I820" s="261"/>
      <c r="J820" s="261"/>
      <c r="K820" s="261"/>
      <c r="L820" s="261"/>
      <c r="M820" s="261"/>
      <c r="N820" s="261"/>
      <c r="O820" s="269" t="s">
        <v>2839</v>
      </c>
      <c r="P820" s="261"/>
      <c r="Q820" s="261"/>
      <c r="R820" s="270">
        <f>SUM(R816:R819)</f>
        <v>5345</v>
      </c>
    </row>
    <row r="821" spans="5:18">
      <c r="E821" s="261"/>
      <c r="F821" s="261"/>
      <c r="G821" s="261"/>
      <c r="H821" s="261"/>
      <c r="I821" s="261"/>
      <c r="J821" s="261"/>
      <c r="K821" s="261"/>
      <c r="L821" s="261"/>
      <c r="M821" s="261"/>
      <c r="N821" s="261"/>
      <c r="O821" s="271" t="s">
        <v>2770</v>
      </c>
      <c r="P821" s="261"/>
      <c r="Q821" s="261"/>
      <c r="R821" s="272">
        <f>R820/3</f>
        <v>1781.67</v>
      </c>
    </row>
    <row r="822" spans="5:18">
      <c r="E822" s="261"/>
      <c r="F822" s="261"/>
      <c r="G822" s="261"/>
      <c r="H822" s="261"/>
      <c r="I822" s="261"/>
      <c r="J822" s="261"/>
      <c r="K822" s="261"/>
      <c r="L822" s="261"/>
      <c r="M822" s="261"/>
    </row>
    <row r="823" spans="5:18">
      <c r="E823" s="261"/>
      <c r="F823" s="261"/>
      <c r="G823" s="261"/>
      <c r="H823" s="301" t="s">
        <v>2800</v>
      </c>
      <c r="I823" s="261"/>
      <c r="J823" s="261"/>
      <c r="K823" s="261"/>
      <c r="L823" s="261"/>
      <c r="M823" s="261"/>
    </row>
    <row r="824" spans="5:18">
      <c r="E824" s="261"/>
      <c r="F824" s="261"/>
      <c r="G824" s="261"/>
      <c r="H824" s="261"/>
      <c r="I824" s="261"/>
      <c r="J824" s="261"/>
      <c r="K824" s="261"/>
      <c r="L824" s="261"/>
      <c r="M824" s="261"/>
    </row>
    <row r="825" spans="5:18">
      <c r="E825" s="261"/>
      <c r="F825" s="261"/>
      <c r="G825" s="261"/>
      <c r="H825" s="301" t="s">
        <v>2988</v>
      </c>
      <c r="I825" s="261"/>
      <c r="J825" s="261"/>
      <c r="K825" s="261"/>
      <c r="L825" s="261"/>
      <c r="M825" s="261"/>
    </row>
    <row r="826" spans="5:18">
      <c r="E826" s="261"/>
      <c r="F826" s="261"/>
      <c r="G826" s="261"/>
      <c r="H826" s="261"/>
      <c r="I826" s="261"/>
      <c r="J826" s="261"/>
      <c r="K826" s="261"/>
      <c r="L826" s="261"/>
      <c r="M826" s="261"/>
    </row>
    <row r="827" spans="5:18" ht="315" customHeight="1">
      <c r="E827" s="261"/>
      <c r="F827" s="261"/>
      <c r="G827" s="261"/>
      <c r="H827" s="260" t="s">
        <v>2523</v>
      </c>
      <c r="I827" s="261"/>
      <c r="J827" s="261"/>
      <c r="K827" s="261"/>
      <c r="L827" s="261"/>
      <c r="M827" s="1250" t="s">
        <v>4675</v>
      </c>
      <c r="N827" s="1250"/>
      <c r="O827" s="1250"/>
      <c r="P827" s="1250"/>
      <c r="Q827" s="1250"/>
      <c r="R827" s="1250"/>
    </row>
    <row r="828" spans="5:18">
      <c r="E828" s="261"/>
      <c r="F828" s="261"/>
      <c r="G828" s="261"/>
      <c r="H828" s="261"/>
      <c r="I828" s="261"/>
      <c r="J828" s="261"/>
      <c r="K828" s="261"/>
      <c r="L828" s="261"/>
      <c r="M828" s="261"/>
      <c r="N828" s="261"/>
      <c r="O828" s="261"/>
      <c r="P828" s="261"/>
      <c r="Q828" s="261"/>
      <c r="R828" s="261"/>
    </row>
    <row r="829" spans="5:18">
      <c r="E829" s="261"/>
      <c r="F829" s="261"/>
      <c r="G829" s="261"/>
      <c r="H829" s="272" t="s">
        <v>2815</v>
      </c>
      <c r="I829" s="261"/>
      <c r="K829" s="261"/>
      <c r="L829" s="261"/>
      <c r="M829" s="269">
        <v>1</v>
      </c>
      <c r="N829" s="261" t="s">
        <v>557</v>
      </c>
      <c r="O829" s="261" t="s">
        <v>4990</v>
      </c>
      <c r="P829" s="305">
        <v>5363</v>
      </c>
      <c r="Q829" s="261" t="s">
        <v>557</v>
      </c>
      <c r="R829" s="269">
        <f>P829*M829</f>
        <v>5363</v>
      </c>
    </row>
    <row r="830" spans="5:18" ht="47.25">
      <c r="E830" s="261"/>
      <c r="F830" s="261">
        <v>1</v>
      </c>
      <c r="G830" s="261" t="s">
        <v>1389</v>
      </c>
      <c r="H830" s="260" t="s">
        <v>4279</v>
      </c>
      <c r="I830" s="261">
        <f>I544</f>
        <v>348</v>
      </c>
      <c r="J830" s="261" t="s">
        <v>1389</v>
      </c>
      <c r="K830" s="261">
        <f>F830*I830</f>
        <v>348</v>
      </c>
      <c r="L830" s="261"/>
      <c r="M830" s="311">
        <v>1</v>
      </c>
      <c r="N830" s="312" t="s">
        <v>557</v>
      </c>
      <c r="O830" s="312" t="s">
        <v>4991</v>
      </c>
      <c r="P830" s="313">
        <v>1633</v>
      </c>
      <c r="Q830" s="312" t="s">
        <v>557</v>
      </c>
      <c r="R830" s="311">
        <f>M830*P830</f>
        <v>1633</v>
      </c>
    </row>
    <row r="831" spans="5:18">
      <c r="E831" s="261"/>
      <c r="F831" s="261">
        <v>1</v>
      </c>
      <c r="G831" s="261" t="s">
        <v>1389</v>
      </c>
      <c r="H831" s="261" t="s">
        <v>2816</v>
      </c>
      <c r="I831" s="261">
        <f>K845</f>
        <v>281.56</v>
      </c>
      <c r="J831" s="261" t="s">
        <v>1389</v>
      </c>
      <c r="K831" s="261">
        <f t="shared" ref="K831:K841" si="17">F831*I831</f>
        <v>281.56</v>
      </c>
      <c r="L831" s="261"/>
      <c r="M831" s="311">
        <v>3</v>
      </c>
      <c r="N831" s="312" t="s">
        <v>557</v>
      </c>
      <c r="O831" s="312" t="s">
        <v>4992</v>
      </c>
      <c r="P831" s="313">
        <v>1606</v>
      </c>
      <c r="Q831" s="312" t="s">
        <v>557</v>
      </c>
      <c r="R831" s="311">
        <f>M831*P831</f>
        <v>4818</v>
      </c>
    </row>
    <row r="832" spans="5:18">
      <c r="E832" s="261"/>
      <c r="F832" s="261">
        <v>1</v>
      </c>
      <c r="G832" s="261" t="s">
        <v>1389</v>
      </c>
      <c r="H832" s="261" t="s">
        <v>3850</v>
      </c>
      <c r="I832" s="261">
        <f>I583</f>
        <v>85.2</v>
      </c>
      <c r="J832" s="261" t="s">
        <v>1389</v>
      </c>
      <c r="K832" s="261">
        <f t="shared" si="17"/>
        <v>85.2</v>
      </c>
      <c r="L832" s="261"/>
      <c r="M832" s="311">
        <v>3</v>
      </c>
      <c r="N832" s="312" t="s">
        <v>557</v>
      </c>
      <c r="O832" s="312" t="s">
        <v>4676</v>
      </c>
      <c r="P832" s="313">
        <v>586</v>
      </c>
      <c r="Q832" s="312" t="s">
        <v>557</v>
      </c>
      <c r="R832" s="311">
        <f>M832*P832</f>
        <v>1758</v>
      </c>
    </row>
    <row r="833" spans="4:18">
      <c r="E833" s="261"/>
      <c r="F833" s="261">
        <v>1</v>
      </c>
      <c r="G833" s="261" t="s">
        <v>1389</v>
      </c>
      <c r="H833" s="261" t="s">
        <v>2818</v>
      </c>
      <c r="I833" s="261">
        <f>I646</f>
        <v>25</v>
      </c>
      <c r="J833" s="261" t="s">
        <v>1389</v>
      </c>
      <c r="K833" s="261">
        <f t="shared" si="17"/>
        <v>25</v>
      </c>
      <c r="L833" s="261"/>
      <c r="M833" s="269">
        <v>12</v>
      </c>
      <c r="N833" s="312" t="s">
        <v>557</v>
      </c>
      <c r="O833" s="260" t="s">
        <v>4677</v>
      </c>
      <c r="P833" s="269">
        <v>127</v>
      </c>
      <c r="Q833" s="312" t="s">
        <v>557</v>
      </c>
      <c r="R833" s="269">
        <f>M833*P833</f>
        <v>1524</v>
      </c>
    </row>
    <row r="834" spans="4:18">
      <c r="E834" s="261"/>
      <c r="F834" s="261">
        <v>5</v>
      </c>
      <c r="G834" s="261" t="s">
        <v>823</v>
      </c>
      <c r="H834" s="261" t="s">
        <v>4601</v>
      </c>
      <c r="I834" s="263">
        <f>I780</f>
        <v>98.6</v>
      </c>
      <c r="J834" s="261" t="s">
        <v>823</v>
      </c>
      <c r="K834" s="261">
        <f t="shared" si="17"/>
        <v>493</v>
      </c>
      <c r="L834" s="261"/>
      <c r="M834" s="269"/>
      <c r="N834" s="261" t="s">
        <v>654</v>
      </c>
      <c r="O834" s="260" t="s">
        <v>4678</v>
      </c>
      <c r="P834" s="269"/>
      <c r="Q834" s="261" t="s">
        <v>654</v>
      </c>
      <c r="R834" s="305">
        <v>60.8</v>
      </c>
    </row>
    <row r="835" spans="4:18" ht="31.5">
      <c r="E835" s="261"/>
      <c r="F835" s="261">
        <v>20</v>
      </c>
      <c r="G835" s="261" t="s">
        <v>823</v>
      </c>
      <c r="H835" s="260" t="s">
        <v>2690</v>
      </c>
      <c r="I835" s="261">
        <f>I267</f>
        <v>40.950000000000003</v>
      </c>
      <c r="J835" s="261" t="s">
        <v>823</v>
      </c>
      <c r="K835" s="261">
        <f t="shared" si="17"/>
        <v>819</v>
      </c>
      <c r="L835" s="261"/>
      <c r="M835" s="269"/>
      <c r="N835" s="261" t="s">
        <v>654</v>
      </c>
      <c r="O835" s="260" t="s">
        <v>4679</v>
      </c>
      <c r="P835" s="1245" t="s">
        <v>654</v>
      </c>
      <c r="Q835" s="1245"/>
      <c r="R835" s="307"/>
    </row>
    <row r="836" spans="4:18">
      <c r="E836" s="261"/>
      <c r="F836" s="261"/>
      <c r="G836" s="261"/>
      <c r="H836" s="272" t="s">
        <v>3199</v>
      </c>
      <c r="I836" s="261"/>
      <c r="J836" s="261"/>
      <c r="K836" s="261"/>
      <c r="L836" s="261"/>
      <c r="M836" s="269"/>
      <c r="N836" s="261"/>
      <c r="P836" s="261"/>
      <c r="Q836" s="261"/>
      <c r="R836" s="271">
        <f>SUM(R829:R835)</f>
        <v>15156.8</v>
      </c>
    </row>
    <row r="837" spans="4:18" ht="47.25">
      <c r="E837" s="261"/>
      <c r="F837" s="261">
        <v>1</v>
      </c>
      <c r="G837" s="261" t="s">
        <v>1389</v>
      </c>
      <c r="H837" s="260" t="s">
        <v>3233</v>
      </c>
      <c r="I837" s="261">
        <f>I830</f>
        <v>348</v>
      </c>
      <c r="J837" s="261" t="s">
        <v>1389</v>
      </c>
      <c r="K837" s="261">
        <f t="shared" si="17"/>
        <v>348</v>
      </c>
      <c r="L837" s="261"/>
      <c r="M837" s="269"/>
      <c r="N837" s="261"/>
      <c r="O837" s="312" t="s">
        <v>2488</v>
      </c>
      <c r="P837" s="312"/>
      <c r="Q837" s="312"/>
      <c r="R837" s="311">
        <f>R836*1%</f>
        <v>151.57</v>
      </c>
    </row>
    <row r="838" spans="4:18">
      <c r="E838" s="261"/>
      <c r="F838" s="261">
        <v>1</v>
      </c>
      <c r="G838" s="261" t="s">
        <v>1389</v>
      </c>
      <c r="H838" s="261" t="s">
        <v>4993</v>
      </c>
      <c r="I838" s="264">
        <v>775</v>
      </c>
      <c r="J838" s="261" t="s">
        <v>1389</v>
      </c>
      <c r="K838" s="261">
        <f t="shared" si="17"/>
        <v>775</v>
      </c>
      <c r="L838" s="261"/>
      <c r="M838" s="261"/>
      <c r="O838" s="260" t="s">
        <v>4680</v>
      </c>
      <c r="R838" s="314">
        <v>1898</v>
      </c>
    </row>
    <row r="839" spans="4:18">
      <c r="E839" s="261"/>
      <c r="F839" s="261">
        <v>1</v>
      </c>
      <c r="G839" s="261" t="s">
        <v>1389</v>
      </c>
      <c r="H839" s="261" t="s">
        <v>3234</v>
      </c>
      <c r="I839" s="315">
        <v>93.5</v>
      </c>
      <c r="J839" s="261" t="s">
        <v>1389</v>
      </c>
      <c r="K839" s="261">
        <f t="shared" si="17"/>
        <v>93.5</v>
      </c>
      <c r="L839" s="261"/>
      <c r="M839" s="261"/>
      <c r="O839" s="271" t="s">
        <v>2362</v>
      </c>
      <c r="R839" s="252">
        <f>R838+R837+R836</f>
        <v>17206.37</v>
      </c>
    </row>
    <row r="840" spans="4:18">
      <c r="E840" s="261"/>
      <c r="F840" s="261">
        <v>1</v>
      </c>
      <c r="G840" s="261" t="s">
        <v>1389</v>
      </c>
      <c r="H840" s="261" t="s">
        <v>3235</v>
      </c>
      <c r="I840" s="315">
        <v>89.6</v>
      </c>
      <c r="J840" s="261" t="s">
        <v>1389</v>
      </c>
      <c r="K840" s="261">
        <f t="shared" si="17"/>
        <v>89.6</v>
      </c>
      <c r="L840" s="261"/>
      <c r="M840" s="261"/>
      <c r="O840" s="271" t="s">
        <v>4209</v>
      </c>
      <c r="R840" s="274">
        <v>16417</v>
      </c>
    </row>
    <row r="841" spans="4:18">
      <c r="E841" s="261"/>
      <c r="F841" s="261">
        <v>1</v>
      </c>
      <c r="G841" s="261" t="s">
        <v>1389</v>
      </c>
      <c r="H841" s="261" t="s">
        <v>2816</v>
      </c>
      <c r="I841" s="261">
        <f>K845</f>
        <v>281.56</v>
      </c>
      <c r="J841" s="261" t="s">
        <v>1389</v>
      </c>
      <c r="K841" s="261">
        <f t="shared" si="17"/>
        <v>281.56</v>
      </c>
      <c r="L841" s="261"/>
      <c r="M841" s="261"/>
    </row>
    <row r="842" spans="4:18">
      <c r="E842" s="261"/>
      <c r="F842" s="261"/>
      <c r="G842" s="261"/>
      <c r="H842" s="261" t="s">
        <v>2610</v>
      </c>
      <c r="I842" s="261"/>
      <c r="J842" s="261"/>
      <c r="K842" s="261">
        <f>K795</f>
        <v>1781.67</v>
      </c>
      <c r="L842" s="261"/>
      <c r="M842" s="261"/>
    </row>
    <row r="843" spans="4:18" ht="31.5">
      <c r="D843" s="316">
        <f>0.6*0.225*0.02</f>
        <v>2.7000000000000001E-3</v>
      </c>
      <c r="E843" s="261"/>
      <c r="F843" s="261"/>
      <c r="G843" s="261"/>
      <c r="H843" s="260" t="s">
        <v>2611</v>
      </c>
      <c r="I843" s="261"/>
      <c r="J843" s="261"/>
      <c r="K843" s="261">
        <v>10.49</v>
      </c>
      <c r="L843" s="261"/>
      <c r="M843" s="261"/>
    </row>
    <row r="844" spans="4:18">
      <c r="E844" s="261"/>
      <c r="F844" s="261"/>
      <c r="G844" s="261"/>
      <c r="H844" s="269" t="s">
        <v>1058</v>
      </c>
      <c r="I844" s="261"/>
      <c r="J844" s="261"/>
      <c r="K844" s="272">
        <f>SUM(K830:K843)</f>
        <v>5431.58</v>
      </c>
      <c r="L844" s="261"/>
      <c r="M844" s="269">
        <v>1</v>
      </c>
      <c r="N844" s="261" t="s">
        <v>557</v>
      </c>
      <c r="O844" s="261" t="s">
        <v>4990</v>
      </c>
      <c r="P844" s="305">
        <v>5363</v>
      </c>
      <c r="Q844" s="261" t="s">
        <v>557</v>
      </c>
      <c r="R844" s="269">
        <f>P844*M844</f>
        <v>5363</v>
      </c>
    </row>
    <row r="845" spans="4:18">
      <c r="E845" s="261"/>
      <c r="F845" s="261"/>
      <c r="G845" s="261"/>
      <c r="H845" s="272" t="s">
        <v>4631</v>
      </c>
      <c r="I845" s="261">
        <f>I796</f>
        <v>104280</v>
      </c>
      <c r="J845" s="278">
        <v>2.7000000000000001E-3</v>
      </c>
      <c r="K845" s="272">
        <f>I845*J845</f>
        <v>281.56</v>
      </c>
      <c r="L845" s="261"/>
      <c r="M845" s="311">
        <v>1</v>
      </c>
      <c r="N845" s="312" t="s">
        <v>557</v>
      </c>
      <c r="O845" s="312" t="s">
        <v>5090</v>
      </c>
      <c r="P845" s="313">
        <v>6985</v>
      </c>
      <c r="Q845" s="312" t="s">
        <v>557</v>
      </c>
      <c r="R845" s="269">
        <f>P845*M845</f>
        <v>6985</v>
      </c>
    </row>
    <row r="846" spans="4:18">
      <c r="E846" s="261"/>
      <c r="F846" s="261"/>
      <c r="G846" s="261"/>
      <c r="H846" s="272" t="s">
        <v>2612</v>
      </c>
      <c r="I846" s="261"/>
      <c r="J846" s="261"/>
      <c r="K846" s="261"/>
      <c r="L846" s="261"/>
      <c r="M846" s="311">
        <v>3</v>
      </c>
      <c r="N846" s="312" t="s">
        <v>557</v>
      </c>
      <c r="O846" s="312" t="s">
        <v>5089</v>
      </c>
      <c r="P846" s="313">
        <v>130</v>
      </c>
      <c r="Q846" s="312" t="s">
        <v>557</v>
      </c>
      <c r="R846" s="269">
        <f>P846*M846</f>
        <v>390</v>
      </c>
    </row>
    <row r="847" spans="4:18">
      <c r="E847" s="261"/>
      <c r="F847" s="261"/>
      <c r="G847" s="261"/>
      <c r="H847" s="272"/>
      <c r="I847" s="261"/>
      <c r="J847" s="261"/>
      <c r="K847" s="261"/>
      <c r="L847" s="261"/>
      <c r="M847" s="311">
        <v>3</v>
      </c>
      <c r="N847" s="312" t="s">
        <v>557</v>
      </c>
      <c r="O847" s="312" t="s">
        <v>4676</v>
      </c>
      <c r="P847" s="313">
        <v>1606</v>
      </c>
      <c r="Q847" s="312" t="s">
        <v>557</v>
      </c>
      <c r="R847" s="269">
        <f>P847*M847</f>
        <v>4818</v>
      </c>
    </row>
    <row r="848" spans="4:18" ht="31.5">
      <c r="E848" s="261"/>
      <c r="F848" s="261"/>
      <c r="G848" s="261"/>
      <c r="H848" s="258" t="s">
        <v>1714</v>
      </c>
      <c r="I848" s="261"/>
      <c r="J848" s="261"/>
      <c r="K848" s="261"/>
      <c r="L848" s="261"/>
      <c r="M848" s="269">
        <v>12</v>
      </c>
      <c r="N848" s="312" t="s">
        <v>557</v>
      </c>
      <c r="O848" s="260" t="s">
        <v>4677</v>
      </c>
      <c r="P848" s="269">
        <v>127</v>
      </c>
      <c r="Q848" s="312" t="s">
        <v>557</v>
      </c>
      <c r="R848" s="269">
        <f>P848*M848</f>
        <v>1524</v>
      </c>
    </row>
    <row r="849" spans="5:18">
      <c r="E849" s="261"/>
      <c r="F849" s="261"/>
      <c r="G849" s="261"/>
      <c r="H849" s="261" t="s">
        <v>794</v>
      </c>
      <c r="I849" s="261"/>
      <c r="J849" s="261"/>
      <c r="K849" s="261"/>
      <c r="L849" s="261"/>
      <c r="M849" s="269"/>
      <c r="N849" s="261" t="s">
        <v>654</v>
      </c>
      <c r="O849" s="260" t="s">
        <v>4678</v>
      </c>
      <c r="P849" s="269"/>
      <c r="Q849" s="261" t="s">
        <v>654</v>
      </c>
      <c r="R849" s="269">
        <f>R835</f>
        <v>0</v>
      </c>
    </row>
    <row r="850" spans="5:18" ht="31.5">
      <c r="E850" s="261"/>
      <c r="F850" s="261">
        <v>90</v>
      </c>
      <c r="G850" s="261" t="s">
        <v>369</v>
      </c>
      <c r="H850" s="260" t="s">
        <v>2204</v>
      </c>
      <c r="I850" s="261">
        <f>I165</f>
        <v>20</v>
      </c>
      <c r="J850" s="261" t="s">
        <v>369</v>
      </c>
      <c r="K850" s="261">
        <f>F850*I850</f>
        <v>1800</v>
      </c>
      <c r="L850" s="261"/>
      <c r="M850" s="269"/>
      <c r="N850" s="261" t="s">
        <v>654</v>
      </c>
      <c r="O850" s="260" t="s">
        <v>4679</v>
      </c>
      <c r="P850" s="1245" t="s">
        <v>654</v>
      </c>
      <c r="Q850" s="1245"/>
      <c r="R850" s="269">
        <f>R836</f>
        <v>15156.8</v>
      </c>
    </row>
    <row r="851" spans="5:18">
      <c r="E851" s="261"/>
      <c r="F851" s="261">
        <v>0.15</v>
      </c>
      <c r="G851" s="261" t="s">
        <v>525</v>
      </c>
      <c r="H851" s="261" t="s">
        <v>859</v>
      </c>
      <c r="I851" s="261">
        <f>DATA!Y31</f>
        <v>6040</v>
      </c>
      <c r="J851" s="261" t="s">
        <v>525</v>
      </c>
      <c r="K851" s="261">
        <f>F851*I851</f>
        <v>906</v>
      </c>
      <c r="L851" s="261"/>
      <c r="M851" s="269"/>
      <c r="N851" s="261"/>
      <c r="P851" s="261"/>
      <c r="Q851" s="261"/>
      <c r="R851" s="271">
        <f>SUM(R844:R850)</f>
        <v>34236.800000000003</v>
      </c>
    </row>
    <row r="852" spans="5:18">
      <c r="E852" s="261"/>
      <c r="F852" s="261">
        <v>1</v>
      </c>
      <c r="G852" s="261" t="s">
        <v>766</v>
      </c>
      <c r="H852" s="261" t="s">
        <v>368</v>
      </c>
      <c r="I852" s="261">
        <f>I791</f>
        <v>826</v>
      </c>
      <c r="J852" s="261" t="s">
        <v>766</v>
      </c>
      <c r="K852" s="261">
        <f>F852*I852</f>
        <v>826</v>
      </c>
      <c r="L852" s="261"/>
      <c r="M852" s="269"/>
      <c r="N852" s="261"/>
      <c r="O852" s="312" t="s">
        <v>2488</v>
      </c>
      <c r="P852" s="312"/>
      <c r="Q852" s="312"/>
      <c r="R852" s="311">
        <f>R851*1%</f>
        <v>342.37</v>
      </c>
    </row>
    <row r="853" spans="5:18">
      <c r="E853" s="261"/>
      <c r="F853" s="261">
        <v>2</v>
      </c>
      <c r="G853" s="261" t="s">
        <v>766</v>
      </c>
      <c r="H853" s="261" t="s">
        <v>1704</v>
      </c>
      <c r="I853" s="261">
        <f>I40</f>
        <v>932</v>
      </c>
      <c r="J853" s="261" t="s">
        <v>766</v>
      </c>
      <c r="K853" s="261">
        <f>F853*I853</f>
        <v>1864</v>
      </c>
      <c r="L853" s="261"/>
      <c r="M853" s="261"/>
      <c r="O853" s="260" t="s">
        <v>4680</v>
      </c>
      <c r="R853" s="314">
        <v>1898</v>
      </c>
    </row>
    <row r="854" spans="5:18">
      <c r="E854" s="261"/>
      <c r="F854" s="261">
        <v>4</v>
      </c>
      <c r="G854" s="261" t="s">
        <v>766</v>
      </c>
      <c r="H854" s="261" t="s">
        <v>1280</v>
      </c>
      <c r="I854" s="261">
        <f>I758</f>
        <v>644</v>
      </c>
      <c r="J854" s="261" t="s">
        <v>766</v>
      </c>
      <c r="K854" s="261">
        <f>F854*I854</f>
        <v>2576</v>
      </c>
      <c r="L854" s="261"/>
      <c r="M854" s="261"/>
      <c r="O854" s="271" t="s">
        <v>2362</v>
      </c>
      <c r="R854" s="252">
        <f>R853+R852+R851</f>
        <v>36477.17</v>
      </c>
    </row>
    <row r="855" spans="5:18">
      <c r="E855" s="261"/>
      <c r="F855" s="261"/>
      <c r="G855" s="261"/>
      <c r="H855" s="260" t="s">
        <v>370</v>
      </c>
      <c r="I855" s="261"/>
      <c r="J855" s="261"/>
      <c r="K855" s="261">
        <v>106</v>
      </c>
      <c r="L855" s="261"/>
      <c r="M855" s="261"/>
      <c r="O855" s="271" t="s">
        <v>4209</v>
      </c>
      <c r="R855" s="274">
        <v>37000</v>
      </c>
    </row>
    <row r="856" spans="5:18">
      <c r="E856" s="261"/>
      <c r="F856" s="261"/>
      <c r="G856" s="261"/>
      <c r="H856" s="269" t="s">
        <v>2257</v>
      </c>
      <c r="I856" s="261"/>
      <c r="J856" s="261"/>
      <c r="K856" s="261">
        <f>SUM(K850:K855)</f>
        <v>8078</v>
      </c>
      <c r="L856" s="261"/>
      <c r="M856" s="261">
        <f>K856-M857</f>
        <v>2354</v>
      </c>
    </row>
    <row r="857" spans="5:18">
      <c r="E857" s="261"/>
      <c r="F857" s="261"/>
      <c r="G857" s="261"/>
      <c r="H857" s="271" t="s">
        <v>1119</v>
      </c>
      <c r="I857" s="261"/>
      <c r="J857" s="261"/>
      <c r="K857" s="272">
        <f>K856/90</f>
        <v>89.76</v>
      </c>
      <c r="L857" s="261">
        <f>80.7*90</f>
        <v>7263</v>
      </c>
      <c r="M857" s="261">
        <f>63.6*90</f>
        <v>5724</v>
      </c>
    </row>
    <row r="858" spans="5:18">
      <c r="E858" s="261"/>
      <c r="F858" s="261"/>
      <c r="G858" s="261"/>
      <c r="H858" s="261"/>
      <c r="I858" s="261"/>
      <c r="J858" s="261"/>
      <c r="K858" s="261"/>
      <c r="L858" s="261">
        <f>L857-K856</f>
        <v>-815</v>
      </c>
      <c r="M858" s="261"/>
    </row>
    <row r="859" spans="5:18">
      <c r="E859" s="261"/>
      <c r="F859" s="261"/>
      <c r="G859" s="261"/>
      <c r="H859" s="272" t="s">
        <v>2613</v>
      </c>
      <c r="I859" s="261"/>
      <c r="J859" s="261"/>
      <c r="K859" s="261"/>
      <c r="L859" s="261"/>
      <c r="M859" s="261"/>
    </row>
    <row r="860" spans="5:18" ht="47.25">
      <c r="E860" s="261"/>
      <c r="F860" s="261"/>
      <c r="G860" s="261"/>
      <c r="H860" s="261" t="s">
        <v>2614</v>
      </c>
      <c r="I860" s="261"/>
      <c r="J860" s="261"/>
      <c r="K860" s="261">
        <f>K857</f>
        <v>89.76</v>
      </c>
      <c r="L860" s="261"/>
      <c r="M860" s="261"/>
      <c r="O860" s="260" t="s">
        <v>4675</v>
      </c>
    </row>
    <row r="861" spans="5:18" ht="31.5">
      <c r="E861" s="261"/>
      <c r="F861" s="261">
        <v>1</v>
      </c>
      <c r="G861" s="261" t="s">
        <v>823</v>
      </c>
      <c r="H861" s="261" t="s">
        <v>4019</v>
      </c>
      <c r="I861" s="261">
        <f>I850</f>
        <v>20</v>
      </c>
      <c r="J861" s="261" t="s">
        <v>823</v>
      </c>
      <c r="K861" s="261">
        <f>F861*I861</f>
        <v>20</v>
      </c>
      <c r="L861" s="261"/>
      <c r="M861" s="269">
        <v>1</v>
      </c>
      <c r="N861" s="261" t="s">
        <v>557</v>
      </c>
      <c r="O861" s="260" t="s">
        <v>4990</v>
      </c>
      <c r="P861" s="269">
        <v>5310</v>
      </c>
      <c r="Q861" s="261" t="s">
        <v>557</v>
      </c>
      <c r="R861" s="269">
        <f>P861*M861</f>
        <v>5310</v>
      </c>
    </row>
    <row r="862" spans="5:18">
      <c r="E862" s="261"/>
      <c r="F862" s="261">
        <v>1</v>
      </c>
      <c r="G862" s="261" t="s">
        <v>823</v>
      </c>
      <c r="H862" s="261" t="s">
        <v>4280</v>
      </c>
      <c r="I862" s="261">
        <f>I282</f>
        <v>29.8</v>
      </c>
      <c r="J862" s="261" t="s">
        <v>823</v>
      </c>
      <c r="K862" s="261">
        <f>F862*I862</f>
        <v>29.8</v>
      </c>
      <c r="L862" s="261"/>
      <c r="M862" s="311">
        <v>1</v>
      </c>
      <c r="N862" s="312" t="s">
        <v>557</v>
      </c>
      <c r="O862" s="312" t="s">
        <v>4991</v>
      </c>
      <c r="P862" s="311">
        <v>1617</v>
      </c>
      <c r="Q862" s="312" t="s">
        <v>557</v>
      </c>
      <c r="R862" s="269">
        <f>P862*M862</f>
        <v>1617</v>
      </c>
    </row>
    <row r="863" spans="5:18">
      <c r="E863" s="261"/>
      <c r="F863" s="261"/>
      <c r="G863" s="261"/>
      <c r="H863" s="261"/>
      <c r="I863" s="261"/>
      <c r="J863" s="261"/>
      <c r="K863" s="272">
        <f>(K860-K861)+K862</f>
        <v>99.56</v>
      </c>
      <c r="L863" s="261"/>
      <c r="M863" s="311">
        <v>3</v>
      </c>
      <c r="N863" s="312" t="s">
        <v>557</v>
      </c>
      <c r="O863" s="312" t="s">
        <v>5121</v>
      </c>
      <c r="P863" s="311">
        <v>2157</v>
      </c>
      <c r="Q863" s="312" t="s">
        <v>557</v>
      </c>
      <c r="R863" s="269">
        <f>P863*M863</f>
        <v>6471</v>
      </c>
    </row>
    <row r="864" spans="5:18">
      <c r="E864" s="261"/>
      <c r="F864" s="261"/>
      <c r="G864" s="261"/>
      <c r="H864" s="272" t="s">
        <v>2616</v>
      </c>
      <c r="I864" s="261"/>
      <c r="J864" s="261"/>
      <c r="K864" s="261"/>
      <c r="L864" s="261"/>
      <c r="M864" s="311">
        <v>3</v>
      </c>
      <c r="N864" s="312" t="s">
        <v>557</v>
      </c>
      <c r="O864" s="312" t="s">
        <v>5122</v>
      </c>
      <c r="P864" s="311">
        <v>829</v>
      </c>
      <c r="Q864" s="312" t="s">
        <v>557</v>
      </c>
      <c r="R864" s="269">
        <f>P864*M864</f>
        <v>2487</v>
      </c>
    </row>
    <row r="865" spans="5:18">
      <c r="E865" s="261"/>
      <c r="F865" s="261"/>
      <c r="G865" s="261"/>
      <c r="H865" s="272"/>
      <c r="I865" s="261"/>
      <c r="J865" s="261"/>
      <c r="K865" s="261"/>
      <c r="L865" s="261"/>
      <c r="M865" s="269">
        <v>12</v>
      </c>
      <c r="N865" s="312" t="s">
        <v>557</v>
      </c>
      <c r="O865" s="260" t="s">
        <v>4677</v>
      </c>
      <c r="P865" s="269">
        <v>173</v>
      </c>
      <c r="Q865" s="312" t="s">
        <v>557</v>
      </c>
      <c r="R865" s="269">
        <f>P865*M865</f>
        <v>2076</v>
      </c>
    </row>
    <row r="866" spans="5:18">
      <c r="E866" s="261"/>
      <c r="F866" s="261"/>
      <c r="G866" s="261"/>
      <c r="H866" s="272" t="s">
        <v>2617</v>
      </c>
      <c r="I866" s="261"/>
      <c r="J866" s="261"/>
      <c r="K866" s="261"/>
      <c r="L866" s="261"/>
      <c r="M866" s="269"/>
      <c r="N866" s="261" t="s">
        <v>654</v>
      </c>
      <c r="O866" s="260" t="s">
        <v>4678</v>
      </c>
      <c r="P866" s="269"/>
      <c r="Q866" s="261" t="s">
        <v>654</v>
      </c>
      <c r="R866" s="269">
        <v>55.3</v>
      </c>
    </row>
    <row r="867" spans="5:18">
      <c r="E867" s="261"/>
      <c r="F867" s="261">
        <v>1</v>
      </c>
      <c r="G867" s="261" t="s">
        <v>1389</v>
      </c>
      <c r="H867" s="261" t="s">
        <v>4994</v>
      </c>
      <c r="I867" s="263">
        <v>37.1</v>
      </c>
      <c r="J867" s="261" t="s">
        <v>1389</v>
      </c>
      <c r="K867" s="261">
        <f>F867*I867</f>
        <v>37.1</v>
      </c>
      <c r="L867" s="261"/>
      <c r="M867" s="269"/>
      <c r="N867" s="261" t="s">
        <v>654</v>
      </c>
      <c r="O867" s="260" t="s">
        <v>4679</v>
      </c>
      <c r="P867" s="1245" t="s">
        <v>654</v>
      </c>
      <c r="Q867" s="1245"/>
      <c r="R867" s="269">
        <v>24</v>
      </c>
    </row>
    <row r="868" spans="5:18">
      <c r="E868" s="261"/>
      <c r="F868" s="265">
        <v>1.4999999999999999E-2</v>
      </c>
      <c r="G868" s="261" t="s">
        <v>2273</v>
      </c>
      <c r="H868" s="260" t="s">
        <v>3447</v>
      </c>
      <c r="I868" s="261">
        <f>I169</f>
        <v>661</v>
      </c>
      <c r="J868" s="261" t="s">
        <v>2273</v>
      </c>
      <c r="K868" s="261">
        <f>F868*I868</f>
        <v>9.92</v>
      </c>
      <c r="L868" s="261"/>
      <c r="M868" s="269"/>
      <c r="N868" s="261"/>
      <c r="P868" s="261"/>
      <c r="Q868" s="261"/>
      <c r="R868" s="271">
        <f>SUM(R861:R867)</f>
        <v>18040.3</v>
      </c>
    </row>
    <row r="869" spans="5:18">
      <c r="E869" s="261"/>
      <c r="F869" s="261"/>
      <c r="G869" s="261"/>
      <c r="H869" s="261" t="s">
        <v>3437</v>
      </c>
      <c r="I869" s="261"/>
      <c r="J869" s="261" t="s">
        <v>654</v>
      </c>
      <c r="K869" s="261">
        <v>7.45</v>
      </c>
      <c r="L869" s="261"/>
      <c r="M869" s="269"/>
      <c r="N869" s="261"/>
      <c r="O869" s="312" t="s">
        <v>2488</v>
      </c>
      <c r="P869" s="312"/>
      <c r="Q869" s="312"/>
      <c r="R869" s="311">
        <f>R868*1%</f>
        <v>180.4</v>
      </c>
    </row>
    <row r="870" spans="5:18">
      <c r="E870" s="261"/>
      <c r="F870" s="261"/>
      <c r="G870" s="261"/>
      <c r="H870" s="271" t="s">
        <v>1058</v>
      </c>
      <c r="I870" s="261"/>
      <c r="J870" s="261"/>
      <c r="K870" s="272">
        <f>SUM(K867:K869)</f>
        <v>54.47</v>
      </c>
      <c r="L870" s="261">
        <f>K870-49</f>
        <v>5.47</v>
      </c>
      <c r="M870" s="261"/>
      <c r="O870" s="260" t="s">
        <v>5123</v>
      </c>
      <c r="R870" s="252">
        <v>2252</v>
      </c>
    </row>
    <row r="871" spans="5:18">
      <c r="E871" s="261"/>
      <c r="F871" s="261"/>
      <c r="G871" s="261"/>
      <c r="H871" s="261"/>
      <c r="I871" s="261"/>
      <c r="J871" s="261"/>
      <c r="K871" s="261"/>
      <c r="L871" s="261"/>
      <c r="M871" s="261"/>
      <c r="O871" s="271" t="s">
        <v>2362</v>
      </c>
      <c r="R871" s="252">
        <f>SUM(R868:R870)</f>
        <v>20472.7</v>
      </c>
    </row>
    <row r="872" spans="5:18">
      <c r="E872" s="261"/>
      <c r="F872" s="261"/>
      <c r="G872" s="261"/>
      <c r="H872" s="272" t="s">
        <v>3438</v>
      </c>
      <c r="I872" s="261"/>
      <c r="J872" s="261"/>
      <c r="K872" s="261"/>
      <c r="L872" s="261"/>
      <c r="M872" s="261"/>
      <c r="O872" s="271" t="s">
        <v>4209</v>
      </c>
      <c r="R872" s="274">
        <v>20473</v>
      </c>
    </row>
    <row r="873" spans="5:18">
      <c r="E873" s="261"/>
      <c r="F873" s="261"/>
      <c r="G873" s="261"/>
      <c r="H873" s="261"/>
      <c r="I873" s="261"/>
      <c r="J873" s="261"/>
      <c r="K873" s="261"/>
      <c r="L873" s="261"/>
      <c r="M873" s="261"/>
    </row>
    <row r="874" spans="5:18" ht="47.25">
      <c r="E874" s="261"/>
      <c r="F874" s="261"/>
      <c r="G874" s="261"/>
      <c r="H874" s="260" t="s">
        <v>5642</v>
      </c>
      <c r="I874" s="261"/>
      <c r="J874" s="261"/>
      <c r="K874" s="261"/>
      <c r="L874" s="261"/>
      <c r="M874" s="261"/>
    </row>
    <row r="875" spans="5:18">
      <c r="E875" s="261"/>
      <c r="F875" s="261"/>
      <c r="G875" s="261"/>
      <c r="H875" s="261"/>
      <c r="I875" s="261"/>
      <c r="J875" s="261"/>
      <c r="K875" s="261"/>
      <c r="L875" s="261"/>
      <c r="M875" s="261"/>
    </row>
    <row r="876" spans="5:18">
      <c r="E876" s="261"/>
      <c r="F876" s="261">
        <v>1</v>
      </c>
      <c r="G876" s="261" t="s">
        <v>1389</v>
      </c>
      <c r="H876" s="261" t="s">
        <v>4995</v>
      </c>
      <c r="I876" s="263">
        <v>13.8</v>
      </c>
      <c r="J876" s="261" t="s">
        <v>1389</v>
      </c>
      <c r="K876" s="261">
        <f>F876*I876</f>
        <v>13.8</v>
      </c>
      <c r="L876" s="261"/>
      <c r="M876" s="261"/>
    </row>
    <row r="877" spans="5:18">
      <c r="E877" s="261"/>
      <c r="F877" s="261">
        <v>0.01</v>
      </c>
      <c r="G877" s="261" t="s">
        <v>3439</v>
      </c>
      <c r="H877" s="261" t="s">
        <v>3447</v>
      </c>
      <c r="I877" s="261">
        <f>I868</f>
        <v>661</v>
      </c>
      <c r="J877" s="261" t="s">
        <v>2273</v>
      </c>
      <c r="K877" s="261">
        <f>F877*I877</f>
        <v>6.61</v>
      </c>
      <c r="L877" s="261"/>
      <c r="M877" s="261"/>
    </row>
    <row r="878" spans="5:18">
      <c r="E878" s="261"/>
      <c r="F878" s="261">
        <v>1</v>
      </c>
      <c r="G878" s="261" t="s">
        <v>1389</v>
      </c>
      <c r="H878" s="261" t="s">
        <v>3440</v>
      </c>
      <c r="I878" s="266">
        <v>49.5</v>
      </c>
      <c r="J878" s="261" t="s">
        <v>1389</v>
      </c>
      <c r="K878" s="261">
        <f>F878*I878</f>
        <v>49.5</v>
      </c>
      <c r="L878" s="261"/>
      <c r="M878" s="261"/>
    </row>
    <row r="879" spans="5:18">
      <c r="E879" s="261"/>
      <c r="F879" s="261"/>
      <c r="G879" s="261"/>
      <c r="H879" s="261" t="s">
        <v>3441</v>
      </c>
      <c r="I879" s="261" t="s">
        <v>654</v>
      </c>
      <c r="J879" s="261"/>
      <c r="K879" s="261">
        <v>7.1</v>
      </c>
      <c r="L879" s="261"/>
      <c r="M879" s="261"/>
    </row>
    <row r="880" spans="5:18">
      <c r="E880" s="261"/>
      <c r="F880" s="261"/>
      <c r="G880" s="261"/>
      <c r="H880" s="271" t="s">
        <v>3442</v>
      </c>
      <c r="I880" s="261"/>
      <c r="J880" s="261"/>
      <c r="K880" s="272">
        <f>SUM(K876:K879)</f>
        <v>77.010000000000005</v>
      </c>
      <c r="L880" s="261"/>
      <c r="M880" s="261">
        <f>K880-76.7</f>
        <v>0.31</v>
      </c>
    </row>
    <row r="881" spans="5:13">
      <c r="E881" s="261"/>
      <c r="F881" s="261"/>
      <c r="G881" s="261"/>
      <c r="H881" s="261"/>
      <c r="I881" s="261"/>
      <c r="J881" s="261"/>
      <c r="K881" s="261"/>
      <c r="L881" s="261"/>
      <c r="M881" s="261"/>
    </row>
    <row r="882" spans="5:13">
      <c r="E882" s="261"/>
      <c r="F882" s="261"/>
      <c r="G882" s="261"/>
      <c r="H882" s="272" t="s">
        <v>3443</v>
      </c>
      <c r="I882" s="261"/>
      <c r="J882" s="261"/>
      <c r="K882" s="261"/>
      <c r="L882" s="261"/>
      <c r="M882" s="261"/>
    </row>
    <row r="883" spans="5:13">
      <c r="E883" s="261"/>
      <c r="F883" s="261"/>
      <c r="G883" s="261"/>
      <c r="H883" s="261"/>
      <c r="I883" s="261"/>
      <c r="J883" s="261"/>
      <c r="K883" s="261"/>
      <c r="L883" s="261"/>
      <c r="M883" s="261"/>
    </row>
    <row r="884" spans="5:13" ht="267.75">
      <c r="E884" s="261"/>
      <c r="F884" s="261"/>
      <c r="G884" s="261"/>
      <c r="H884" s="317" t="s">
        <v>2954</v>
      </c>
      <c r="I884" s="261"/>
      <c r="J884" s="261"/>
      <c r="K884" s="261"/>
      <c r="L884" s="261"/>
      <c r="M884" s="261"/>
    </row>
    <row r="885" spans="5:13">
      <c r="E885" s="261"/>
      <c r="F885" s="261"/>
      <c r="G885" s="261"/>
      <c r="H885" s="261"/>
      <c r="I885" s="261"/>
      <c r="J885" s="261"/>
      <c r="K885" s="261"/>
      <c r="L885" s="261"/>
      <c r="M885" s="261"/>
    </row>
    <row r="886" spans="5:13">
      <c r="E886" s="261"/>
      <c r="F886" s="261">
        <v>6</v>
      </c>
      <c r="G886" s="261" t="s">
        <v>823</v>
      </c>
      <c r="H886" s="261" t="s">
        <v>4996</v>
      </c>
      <c r="I886" s="263">
        <v>244.4</v>
      </c>
      <c r="J886" s="261" t="s">
        <v>823</v>
      </c>
      <c r="K886" s="261">
        <f>F886*I886</f>
        <v>1466.4</v>
      </c>
      <c r="L886" s="261"/>
      <c r="M886" s="261"/>
    </row>
    <row r="887" spans="5:13">
      <c r="F887" s="261">
        <v>2</v>
      </c>
      <c r="G887" s="261" t="s">
        <v>823</v>
      </c>
      <c r="H887" s="261" t="str">
        <f>H834</f>
        <v>20 mm dia 'B' class GI pipe p- 50 it-142 iv</v>
      </c>
      <c r="I887" s="261">
        <f>I834</f>
        <v>98.6</v>
      </c>
      <c r="J887" s="261" t="s">
        <v>823</v>
      </c>
      <c r="K887" s="261">
        <f>F887*I887</f>
        <v>197.2</v>
      </c>
      <c r="L887" s="261"/>
      <c r="M887" s="261"/>
    </row>
    <row r="888" spans="5:13">
      <c r="F888" s="261">
        <v>1</v>
      </c>
      <c r="G888" s="261" t="s">
        <v>1389</v>
      </c>
      <c r="H888" s="261" t="s">
        <v>4632</v>
      </c>
      <c r="I888" s="264">
        <v>225.4</v>
      </c>
      <c r="J888" s="261" t="s">
        <v>1389</v>
      </c>
      <c r="K888" s="261">
        <f>F888*I888</f>
        <v>225.4</v>
      </c>
      <c r="L888" s="261"/>
      <c r="M888" s="261"/>
    </row>
    <row r="889" spans="5:13">
      <c r="F889" s="261">
        <v>1</v>
      </c>
      <c r="G889" s="261" t="s">
        <v>1389</v>
      </c>
      <c r="H889" s="261" t="s">
        <v>4997</v>
      </c>
      <c r="I889" s="264">
        <v>115.1</v>
      </c>
      <c r="J889" s="261" t="s">
        <v>1389</v>
      </c>
      <c r="K889" s="261">
        <f>F889*I889</f>
        <v>115.1</v>
      </c>
      <c r="L889" s="261"/>
      <c r="M889" s="261"/>
    </row>
    <row r="890" spans="5:13">
      <c r="F890" s="265">
        <v>0.23799999999999999</v>
      </c>
      <c r="G890" s="261" t="s">
        <v>2142</v>
      </c>
      <c r="H890" s="261" t="s">
        <v>4633</v>
      </c>
      <c r="I890" s="266">
        <v>6400</v>
      </c>
      <c r="J890" s="261" t="s">
        <v>2142</v>
      </c>
      <c r="K890" s="261">
        <f>F890*I890</f>
        <v>1523.2</v>
      </c>
      <c r="L890" s="261"/>
      <c r="M890" s="261"/>
    </row>
    <row r="891" spans="5:13" ht="31.5">
      <c r="F891" s="261"/>
      <c r="G891" s="261" t="s">
        <v>654</v>
      </c>
      <c r="H891" s="260" t="s">
        <v>3036</v>
      </c>
      <c r="I891" s="261" t="s">
        <v>654</v>
      </c>
      <c r="J891" s="261"/>
      <c r="K891" s="261">
        <v>250</v>
      </c>
      <c r="L891" s="261"/>
      <c r="M891" s="261"/>
    </row>
    <row r="892" spans="5:13" ht="47.25">
      <c r="F892" s="261">
        <v>1</v>
      </c>
      <c r="G892" s="261" t="s">
        <v>1389</v>
      </c>
      <c r="H892" s="260" t="s">
        <v>2702</v>
      </c>
      <c r="I892" s="261" t="s">
        <v>654</v>
      </c>
      <c r="J892" s="261"/>
      <c r="K892" s="261">
        <v>97.7</v>
      </c>
      <c r="L892" s="261"/>
      <c r="M892" s="261"/>
    </row>
    <row r="893" spans="5:13" ht="31.5">
      <c r="F893" s="261">
        <v>8</v>
      </c>
      <c r="G893" s="261" t="s">
        <v>823</v>
      </c>
      <c r="H893" s="260" t="s">
        <v>2703</v>
      </c>
      <c r="I893" s="261">
        <f>I12</f>
        <v>16.55</v>
      </c>
      <c r="J893" s="261"/>
      <c r="K893" s="261">
        <f>F893*I893</f>
        <v>132.4</v>
      </c>
      <c r="L893" s="261"/>
      <c r="M893" s="261"/>
    </row>
    <row r="894" spans="5:13">
      <c r="F894" s="261"/>
      <c r="G894" s="261"/>
      <c r="H894" s="261" t="s">
        <v>911</v>
      </c>
      <c r="I894" s="261"/>
      <c r="J894" s="261"/>
      <c r="K894" s="261">
        <f>K901</f>
        <v>3341</v>
      </c>
      <c r="L894" s="261"/>
      <c r="M894" s="261"/>
    </row>
    <row r="895" spans="5:13">
      <c r="E895" s="261"/>
      <c r="F895" s="261"/>
      <c r="G895" s="261"/>
      <c r="H895" s="271" t="s">
        <v>1058</v>
      </c>
      <c r="I895" s="261"/>
      <c r="J895" s="261"/>
      <c r="K895" s="272">
        <f>SUM(K886:K894)+1.1</f>
        <v>7349.5</v>
      </c>
      <c r="L895" s="261"/>
      <c r="M895" s="261">
        <f>K895-5160</f>
        <v>2189.5</v>
      </c>
    </row>
    <row r="896" spans="5:13">
      <c r="E896" s="261"/>
      <c r="F896" s="261"/>
      <c r="G896" s="261"/>
      <c r="H896" s="261"/>
      <c r="I896" s="261"/>
      <c r="J896" s="261"/>
      <c r="K896" s="261"/>
      <c r="L896" s="261"/>
      <c r="M896" s="261"/>
    </row>
    <row r="897" spans="5:13">
      <c r="E897" s="261"/>
      <c r="F897" s="261"/>
      <c r="G897" s="261"/>
      <c r="H897" s="270" t="s">
        <v>140</v>
      </c>
      <c r="I897" s="261"/>
      <c r="J897" s="261"/>
      <c r="K897" s="261"/>
      <c r="L897" s="261"/>
      <c r="M897" s="261"/>
    </row>
    <row r="898" spans="5:13">
      <c r="E898" s="261"/>
      <c r="F898" s="261">
        <v>0.5</v>
      </c>
      <c r="G898" s="261" t="s">
        <v>1389</v>
      </c>
      <c r="H898" s="261" t="s">
        <v>2744</v>
      </c>
      <c r="I898" s="261">
        <f>I791</f>
        <v>826</v>
      </c>
      <c r="J898" s="261" t="s">
        <v>1389</v>
      </c>
      <c r="K898" s="261">
        <f>F898*I898</f>
        <v>413</v>
      </c>
      <c r="L898" s="261"/>
      <c r="M898" s="261"/>
    </row>
    <row r="899" spans="5:13">
      <c r="E899" s="261"/>
      <c r="F899" s="261">
        <v>2</v>
      </c>
      <c r="G899" s="261" t="s">
        <v>1389</v>
      </c>
      <c r="H899" s="261" t="s">
        <v>2575</v>
      </c>
      <c r="I899" s="261">
        <f>I792</f>
        <v>820</v>
      </c>
      <c r="J899" s="261" t="s">
        <v>1389</v>
      </c>
      <c r="K899" s="261">
        <f>F899*I899</f>
        <v>1640</v>
      </c>
      <c r="L899" s="261"/>
      <c r="M899" s="261"/>
    </row>
    <row r="900" spans="5:13">
      <c r="E900" s="261"/>
      <c r="F900" s="261">
        <v>2</v>
      </c>
      <c r="G900" s="261" t="s">
        <v>1389</v>
      </c>
      <c r="H900" s="261" t="s">
        <v>2321</v>
      </c>
      <c r="I900" s="261">
        <f>I793</f>
        <v>644</v>
      </c>
      <c r="J900" s="261" t="s">
        <v>1389</v>
      </c>
      <c r="K900" s="261">
        <f>F900*I900</f>
        <v>1288</v>
      </c>
      <c r="L900" s="261"/>
      <c r="M900" s="261"/>
    </row>
    <row r="901" spans="5:13">
      <c r="E901" s="261"/>
      <c r="F901" s="261"/>
      <c r="G901" s="261"/>
      <c r="H901" s="261"/>
      <c r="I901" s="261"/>
      <c r="J901" s="261"/>
      <c r="K901" s="270">
        <f>SUM(K898:K900)</f>
        <v>3341</v>
      </c>
      <c r="L901" s="261"/>
      <c r="M901" s="261"/>
    </row>
    <row r="902" spans="5:13">
      <c r="E902" s="261"/>
      <c r="F902" s="261"/>
      <c r="G902" s="261"/>
      <c r="H902" s="261"/>
      <c r="I902" s="261"/>
      <c r="J902" s="261"/>
      <c r="K902" s="261"/>
      <c r="L902" s="261"/>
      <c r="M902" s="261"/>
    </row>
    <row r="903" spans="5:13">
      <c r="E903" s="261"/>
      <c r="F903" s="261"/>
      <c r="G903" s="261"/>
      <c r="H903" s="272" t="s">
        <v>2704</v>
      </c>
      <c r="I903" s="261"/>
      <c r="J903" s="261"/>
      <c r="K903" s="261"/>
      <c r="L903" s="261"/>
      <c r="M903" s="261"/>
    </row>
    <row r="904" spans="5:13">
      <c r="E904" s="261"/>
      <c r="F904" s="261"/>
      <c r="G904" s="261"/>
      <c r="H904" s="261"/>
      <c r="I904" s="261"/>
      <c r="J904" s="261"/>
      <c r="K904" s="261"/>
      <c r="L904" s="261"/>
      <c r="M904" s="261"/>
    </row>
    <row r="905" spans="5:13">
      <c r="E905" s="261"/>
      <c r="F905" s="261"/>
      <c r="G905" s="261"/>
      <c r="H905" s="272" t="s">
        <v>4634</v>
      </c>
      <c r="I905" s="261"/>
      <c r="J905" s="261"/>
      <c r="K905" s="261"/>
      <c r="L905" s="261"/>
      <c r="M905" s="261"/>
    </row>
    <row r="906" spans="5:13">
      <c r="E906" s="261"/>
      <c r="F906" s="261"/>
      <c r="G906" s="261"/>
      <c r="H906" s="261"/>
      <c r="I906" s="261"/>
      <c r="J906" s="261"/>
      <c r="K906" s="261"/>
      <c r="L906" s="261"/>
      <c r="M906" s="261"/>
    </row>
    <row r="907" spans="5:13">
      <c r="E907" s="261"/>
      <c r="F907" s="261">
        <v>1</v>
      </c>
      <c r="G907" s="261" t="s">
        <v>1389</v>
      </c>
      <c r="H907" s="261" t="s">
        <v>4998</v>
      </c>
      <c r="I907" s="300">
        <v>1447</v>
      </c>
      <c r="J907" s="261" t="s">
        <v>1389</v>
      </c>
      <c r="K907" s="261">
        <f>F907*I907</f>
        <v>1447</v>
      </c>
      <c r="L907" s="261"/>
      <c r="M907" s="261"/>
    </row>
    <row r="908" spans="5:13">
      <c r="E908" s="261"/>
      <c r="F908" s="261"/>
      <c r="G908" s="261"/>
      <c r="H908" s="261" t="s">
        <v>2452</v>
      </c>
      <c r="I908" s="263">
        <v>337.6</v>
      </c>
      <c r="J908" s="261" t="s">
        <v>1389</v>
      </c>
      <c r="K908" s="261">
        <f>I908</f>
        <v>337.6</v>
      </c>
      <c r="L908" s="261"/>
      <c r="M908" s="261"/>
    </row>
    <row r="909" spans="5:13" ht="31.5">
      <c r="E909" s="261"/>
      <c r="F909" s="261"/>
      <c r="G909" s="261"/>
      <c r="H909" s="260" t="s">
        <v>5643</v>
      </c>
      <c r="I909" s="261"/>
      <c r="J909" s="261"/>
      <c r="K909" s="266">
        <v>31.6</v>
      </c>
      <c r="L909" s="261"/>
      <c r="M909" s="261">
        <f>K907+K908+K909</f>
        <v>1816.2</v>
      </c>
    </row>
    <row r="910" spans="5:13">
      <c r="E910" s="261"/>
      <c r="F910" s="261"/>
      <c r="G910" s="261"/>
      <c r="H910" s="261" t="s">
        <v>2842</v>
      </c>
      <c r="I910" s="261"/>
      <c r="J910" s="261">
        <f>SUM(K907:K909)</f>
        <v>1816.2</v>
      </c>
      <c r="K910" s="261">
        <f>J910*1%+0.39</f>
        <v>18.55</v>
      </c>
      <c r="L910" s="261"/>
      <c r="M910" s="261"/>
    </row>
    <row r="911" spans="5:13">
      <c r="E911" s="261"/>
      <c r="F911" s="261"/>
      <c r="G911" s="261"/>
      <c r="H911" s="261" t="s">
        <v>2843</v>
      </c>
      <c r="I911" s="261"/>
      <c r="J911" s="261"/>
      <c r="K911" s="261">
        <f>K918</f>
        <v>528.5</v>
      </c>
      <c r="L911" s="261"/>
      <c r="M911" s="261"/>
    </row>
    <row r="912" spans="5:13">
      <c r="E912" s="261"/>
      <c r="F912" s="261"/>
      <c r="G912" s="261"/>
      <c r="H912" s="271" t="s">
        <v>2844</v>
      </c>
      <c r="I912" s="261"/>
      <c r="J912" s="261"/>
      <c r="K912" s="272">
        <f>SUM(K907:K911)</f>
        <v>2363.25</v>
      </c>
      <c r="L912" s="261">
        <f>K912-2336</f>
        <v>27.25</v>
      </c>
      <c r="M912" s="261">
        <f>1883-K912</f>
        <v>-480.25</v>
      </c>
    </row>
    <row r="913" spans="5:13">
      <c r="E913" s="261"/>
      <c r="F913" s="261"/>
      <c r="G913" s="261"/>
      <c r="H913" s="261"/>
      <c r="I913" s="261"/>
      <c r="J913" s="261"/>
      <c r="K913" s="261"/>
      <c r="L913" s="261"/>
      <c r="M913" s="261"/>
    </row>
    <row r="914" spans="5:13">
      <c r="E914" s="261"/>
      <c r="F914" s="261"/>
      <c r="G914" s="261"/>
      <c r="H914" s="270" t="s">
        <v>911</v>
      </c>
      <c r="I914" s="261"/>
      <c r="J914" s="261"/>
      <c r="K914" s="261"/>
      <c r="L914" s="261"/>
      <c r="M914" s="261"/>
    </row>
    <row r="915" spans="5:13">
      <c r="E915" s="261"/>
      <c r="F915" s="261">
        <v>1</v>
      </c>
      <c r="G915" s="261" t="s">
        <v>1389</v>
      </c>
      <c r="H915" s="261" t="s">
        <v>2744</v>
      </c>
      <c r="I915" s="261">
        <f>I898</f>
        <v>826</v>
      </c>
      <c r="J915" s="261" t="s">
        <v>1389</v>
      </c>
      <c r="K915" s="261">
        <f>F915*I915</f>
        <v>826</v>
      </c>
      <c r="L915" s="261"/>
      <c r="M915" s="261"/>
    </row>
    <row r="916" spans="5:13">
      <c r="E916" s="261"/>
      <c r="F916" s="261">
        <v>2</v>
      </c>
      <c r="G916" s="261" t="s">
        <v>1389</v>
      </c>
      <c r="H916" s="261" t="s">
        <v>2321</v>
      </c>
      <c r="I916" s="261">
        <f>I900</f>
        <v>644</v>
      </c>
      <c r="J916" s="261" t="s">
        <v>1389</v>
      </c>
      <c r="K916" s="261">
        <f>F916*I916</f>
        <v>1288</v>
      </c>
      <c r="L916" s="261"/>
      <c r="M916" s="261"/>
    </row>
    <row r="917" spans="5:13">
      <c r="E917" s="261"/>
      <c r="F917" s="261"/>
      <c r="G917" s="261"/>
      <c r="H917" s="269" t="s">
        <v>2845</v>
      </c>
      <c r="I917" s="261"/>
      <c r="J917" s="261"/>
      <c r="K917" s="270">
        <f>SUM(K915:K916)</f>
        <v>2114</v>
      </c>
      <c r="L917" s="261"/>
      <c r="M917" s="261"/>
    </row>
    <row r="918" spans="5:13">
      <c r="E918" s="261"/>
      <c r="F918" s="261"/>
      <c r="G918" s="261"/>
      <c r="H918" s="271" t="s">
        <v>2770</v>
      </c>
      <c r="I918" s="261"/>
      <c r="J918" s="261"/>
      <c r="K918" s="272">
        <f>K917/4</f>
        <v>528.5</v>
      </c>
      <c r="L918" s="261"/>
      <c r="M918" s="261"/>
    </row>
    <row r="919" spans="5:13">
      <c r="E919" s="261"/>
      <c r="F919" s="261"/>
      <c r="G919" s="261"/>
      <c r="H919" s="261"/>
      <c r="I919" s="261"/>
      <c r="J919" s="261"/>
      <c r="K919" s="261"/>
      <c r="L919" s="261"/>
      <c r="M919" s="261"/>
    </row>
    <row r="920" spans="5:13">
      <c r="E920" s="261"/>
      <c r="F920" s="261"/>
      <c r="G920" s="261"/>
      <c r="H920" s="261"/>
      <c r="I920" s="261"/>
      <c r="J920" s="261"/>
      <c r="K920" s="261"/>
      <c r="L920" s="261"/>
      <c r="M920" s="261"/>
    </row>
    <row r="921" spans="5:13">
      <c r="E921" s="261"/>
      <c r="F921" s="261"/>
      <c r="G921" s="261"/>
      <c r="H921" s="272" t="s">
        <v>2846</v>
      </c>
      <c r="I921" s="261"/>
      <c r="J921" s="261"/>
      <c r="K921" s="261"/>
      <c r="L921" s="261"/>
      <c r="M921" s="261"/>
    </row>
    <row r="922" spans="5:13">
      <c r="E922" s="261"/>
      <c r="F922" s="261"/>
      <c r="G922" s="261"/>
      <c r="H922" s="261"/>
      <c r="I922" s="261"/>
      <c r="J922" s="261"/>
      <c r="K922" s="261"/>
      <c r="L922" s="261"/>
      <c r="M922" s="261"/>
    </row>
    <row r="923" spans="5:13">
      <c r="E923" s="261"/>
      <c r="F923" s="261"/>
      <c r="G923" s="261"/>
      <c r="H923" s="272" t="s">
        <v>2847</v>
      </c>
      <c r="I923" s="261"/>
      <c r="J923" s="261"/>
      <c r="K923" s="261"/>
      <c r="L923" s="261"/>
      <c r="M923" s="261"/>
    </row>
    <row r="924" spans="5:13">
      <c r="E924" s="261"/>
      <c r="F924" s="261"/>
      <c r="G924" s="261"/>
      <c r="H924" s="261"/>
      <c r="I924" s="261"/>
      <c r="J924" s="261"/>
      <c r="K924" s="261"/>
      <c r="L924" s="261"/>
      <c r="M924" s="261"/>
    </row>
    <row r="925" spans="5:13">
      <c r="E925" s="261"/>
      <c r="F925" s="261"/>
      <c r="G925" s="261"/>
      <c r="H925" s="261" t="s">
        <v>4999</v>
      </c>
      <c r="I925" s="300">
        <v>1265</v>
      </c>
      <c r="J925" s="261" t="s">
        <v>1389</v>
      </c>
      <c r="K925" s="261">
        <f>I925</f>
        <v>1265</v>
      </c>
      <c r="L925" s="261"/>
      <c r="M925" s="261"/>
    </row>
    <row r="926" spans="5:13">
      <c r="E926" s="261"/>
      <c r="F926" s="261"/>
      <c r="G926" s="261"/>
      <c r="H926" s="261" t="s">
        <v>2452</v>
      </c>
      <c r="I926" s="261">
        <f>I908</f>
        <v>337.6</v>
      </c>
      <c r="J926" s="261" t="s">
        <v>1389</v>
      </c>
      <c r="K926" s="261">
        <f>I926</f>
        <v>337.6</v>
      </c>
      <c r="L926" s="261"/>
      <c r="M926" s="261"/>
    </row>
    <row r="927" spans="5:13" ht="31.5">
      <c r="E927" s="261"/>
      <c r="F927" s="261"/>
      <c r="G927" s="261"/>
      <c r="H927" s="260" t="str">
        <f>H909</f>
        <v>Clamp fixing by cheche screws bolts and nuts including connections ( as per SD-114, Elec Data 2022-23)</v>
      </c>
      <c r="I927" s="261"/>
      <c r="J927" s="261"/>
      <c r="K927" s="264">
        <f>K909</f>
        <v>31.6</v>
      </c>
      <c r="L927" s="261">
        <f>K925+K926+K927</f>
        <v>1634.2</v>
      </c>
      <c r="M927" s="261"/>
    </row>
    <row r="928" spans="5:13">
      <c r="E928" s="261"/>
      <c r="F928" s="261"/>
      <c r="G928" s="261"/>
      <c r="H928" s="261" t="s">
        <v>2842</v>
      </c>
      <c r="I928" s="261"/>
      <c r="J928" s="261"/>
      <c r="K928" s="261">
        <v>13.7</v>
      </c>
      <c r="L928" s="261"/>
      <c r="M928" s="261"/>
    </row>
    <row r="929" spans="5:13">
      <c r="E929" s="261"/>
      <c r="F929" s="261"/>
      <c r="G929" s="261"/>
      <c r="H929" s="261" t="s">
        <v>2843</v>
      </c>
      <c r="I929" s="261"/>
      <c r="J929" s="261"/>
      <c r="K929" s="261">
        <f>K911</f>
        <v>528.5</v>
      </c>
      <c r="L929" s="261"/>
      <c r="M929" s="261"/>
    </row>
    <row r="930" spans="5:13">
      <c r="E930" s="261"/>
      <c r="F930" s="261"/>
      <c r="G930" s="261"/>
      <c r="H930" s="271" t="s">
        <v>2844</v>
      </c>
      <c r="I930" s="261"/>
      <c r="J930" s="261"/>
      <c r="K930" s="272">
        <f>SUM(K925:K929)</f>
        <v>2176.4</v>
      </c>
      <c r="L930" s="261">
        <f>K930*2</f>
        <v>4352.8</v>
      </c>
      <c r="M930" s="261"/>
    </row>
    <row r="931" spans="5:13">
      <c r="E931" s="261"/>
      <c r="F931" s="261"/>
      <c r="G931" s="261"/>
      <c r="H931" s="261"/>
      <c r="I931" s="261"/>
      <c r="J931" s="261"/>
      <c r="K931" s="261"/>
      <c r="L931" s="261"/>
      <c r="M931" s="261"/>
    </row>
    <row r="932" spans="5:13">
      <c r="E932" s="261"/>
      <c r="F932" s="261"/>
      <c r="G932" s="261"/>
      <c r="H932" s="272" t="s">
        <v>2848</v>
      </c>
      <c r="I932" s="261"/>
      <c r="J932" s="261"/>
      <c r="K932" s="261"/>
      <c r="L932" s="261"/>
      <c r="M932" s="261"/>
    </row>
    <row r="933" spans="5:13">
      <c r="E933" s="261"/>
      <c r="F933" s="261">
        <v>1</v>
      </c>
      <c r="G933" s="261" t="s">
        <v>1389</v>
      </c>
      <c r="H933" s="261" t="s">
        <v>5000</v>
      </c>
      <c r="I933" s="263">
        <v>1553</v>
      </c>
      <c r="J933" s="261" t="s">
        <v>1389</v>
      </c>
      <c r="K933" s="261">
        <f>F933*I933</f>
        <v>1553</v>
      </c>
      <c r="L933" s="261"/>
      <c r="M933" s="261"/>
    </row>
    <row r="934" spans="5:13">
      <c r="E934" s="261"/>
      <c r="F934" s="261">
        <v>1</v>
      </c>
      <c r="G934" s="261" t="s">
        <v>1389</v>
      </c>
      <c r="H934" s="261" t="s">
        <v>5001</v>
      </c>
      <c r="I934" s="264">
        <v>185.9</v>
      </c>
      <c r="J934" s="261" t="s">
        <v>1389</v>
      </c>
      <c r="K934" s="261">
        <f>F934*I934</f>
        <v>185.9</v>
      </c>
      <c r="L934" s="261"/>
      <c r="M934" s="261"/>
    </row>
    <row r="935" spans="5:13">
      <c r="E935" s="261"/>
      <c r="F935" s="261"/>
      <c r="G935" s="261"/>
      <c r="H935" s="271" t="s">
        <v>2844</v>
      </c>
      <c r="I935" s="261"/>
      <c r="J935" s="261"/>
      <c r="K935" s="272">
        <f>SUM(K933:K934)+0.8</f>
        <v>1739.7</v>
      </c>
      <c r="L935" s="261"/>
      <c r="M935" s="261"/>
    </row>
    <row r="936" spans="5:13">
      <c r="E936" s="261"/>
      <c r="F936" s="261"/>
      <c r="G936" s="261"/>
      <c r="H936" s="271"/>
      <c r="I936" s="261"/>
      <c r="J936" s="261"/>
      <c r="K936" s="272"/>
      <c r="L936" s="261"/>
      <c r="M936" s="261"/>
    </row>
    <row r="937" spans="5:13">
      <c r="E937" s="261"/>
      <c r="F937" s="261"/>
      <c r="G937" s="261"/>
      <c r="H937" s="318" t="s">
        <v>2421</v>
      </c>
      <c r="I937" s="261"/>
      <c r="J937" s="261"/>
      <c r="K937" s="261"/>
      <c r="L937" s="261"/>
      <c r="M937" s="261"/>
    </row>
    <row r="938" spans="5:13">
      <c r="E938" s="261"/>
      <c r="F938" s="261">
        <v>1</v>
      </c>
      <c r="G938" s="261" t="s">
        <v>1389</v>
      </c>
      <c r="H938" s="261" t="s">
        <v>5002</v>
      </c>
      <c r="I938" s="264">
        <v>309</v>
      </c>
      <c r="J938" s="261" t="s">
        <v>1389</v>
      </c>
      <c r="K938" s="261">
        <f>F938*I938</f>
        <v>309</v>
      </c>
      <c r="L938" s="261"/>
      <c r="M938" s="261"/>
    </row>
    <row r="939" spans="5:13">
      <c r="E939" s="261"/>
      <c r="F939" s="261">
        <v>1</v>
      </c>
      <c r="G939" s="261" t="s">
        <v>1389</v>
      </c>
      <c r="H939" s="261" t="s">
        <v>5003</v>
      </c>
      <c r="I939" s="264">
        <v>36.200000000000003</v>
      </c>
      <c r="J939" s="261" t="s">
        <v>1389</v>
      </c>
      <c r="K939" s="261">
        <f>F939*I939</f>
        <v>36.200000000000003</v>
      </c>
      <c r="L939" s="261"/>
      <c r="M939" s="261"/>
    </row>
    <row r="940" spans="5:13">
      <c r="E940" s="261"/>
      <c r="F940" s="261"/>
      <c r="G940" s="261"/>
      <c r="H940" s="261" t="s">
        <v>2424</v>
      </c>
      <c r="I940" s="261"/>
      <c r="J940" s="261"/>
      <c r="K940" s="261">
        <f>K412</f>
        <v>274.88</v>
      </c>
      <c r="L940" s="261"/>
      <c r="M940" s="261"/>
    </row>
    <row r="941" spans="5:13">
      <c r="E941" s="261"/>
      <c r="F941" s="261"/>
      <c r="G941" s="261"/>
      <c r="H941" s="261" t="s">
        <v>2261</v>
      </c>
      <c r="I941" s="261"/>
      <c r="J941" s="261"/>
      <c r="K941" s="261">
        <v>3.35</v>
      </c>
      <c r="L941" s="261"/>
      <c r="M941" s="261"/>
    </row>
    <row r="942" spans="5:13">
      <c r="E942" s="261"/>
      <c r="F942" s="261"/>
      <c r="G942" s="261"/>
      <c r="H942" s="271" t="s">
        <v>2844</v>
      </c>
      <c r="I942" s="261"/>
      <c r="J942" s="261"/>
      <c r="K942" s="272">
        <f>SUM(K938:K941)</f>
        <v>623.42999999999995</v>
      </c>
      <c r="L942" s="261">
        <f>K942-697</f>
        <v>-73.569999999999993</v>
      </c>
      <c r="M942" s="261"/>
    </row>
    <row r="943" spans="5:13">
      <c r="E943" s="261"/>
      <c r="F943" s="261"/>
      <c r="G943" s="261"/>
      <c r="H943" s="261"/>
      <c r="I943" s="261"/>
      <c r="J943" s="261"/>
      <c r="K943" s="261"/>
      <c r="L943" s="261"/>
      <c r="M943" s="261"/>
    </row>
    <row r="944" spans="5:13">
      <c r="E944" s="261"/>
      <c r="F944" s="261"/>
      <c r="G944" s="261"/>
      <c r="H944" s="318" t="s">
        <v>2425</v>
      </c>
      <c r="I944" s="261"/>
      <c r="J944" s="261"/>
      <c r="K944" s="261"/>
      <c r="L944" s="261"/>
      <c r="M944" s="261"/>
    </row>
    <row r="945" spans="5:13">
      <c r="E945" s="261"/>
      <c r="F945" s="261">
        <v>1</v>
      </c>
      <c r="G945" s="261" t="s">
        <v>1389</v>
      </c>
      <c r="H945" s="261" t="s">
        <v>5004</v>
      </c>
      <c r="I945" s="264">
        <v>279.2</v>
      </c>
      <c r="J945" s="261" t="s">
        <v>1389</v>
      </c>
      <c r="K945" s="261">
        <f>F945*I945</f>
        <v>279.2</v>
      </c>
      <c r="L945" s="261"/>
      <c r="M945" s="261"/>
    </row>
    <row r="946" spans="5:13">
      <c r="E946" s="261"/>
      <c r="F946" s="261">
        <v>1</v>
      </c>
      <c r="G946" s="261" t="s">
        <v>1389</v>
      </c>
      <c r="H946" s="261" t="s">
        <v>5005</v>
      </c>
      <c r="I946" s="264">
        <v>35.4</v>
      </c>
      <c r="J946" s="261" t="s">
        <v>1389</v>
      </c>
      <c r="K946" s="261">
        <f>F946*I946</f>
        <v>35.4</v>
      </c>
      <c r="L946" s="261"/>
      <c r="M946" s="261"/>
    </row>
    <row r="947" spans="5:13">
      <c r="E947" s="261"/>
      <c r="F947" s="261"/>
      <c r="G947" s="261"/>
      <c r="H947" s="261" t="s">
        <v>2424</v>
      </c>
      <c r="I947" s="261"/>
      <c r="J947" s="261"/>
      <c r="K947" s="261">
        <f>K940</f>
        <v>274.88</v>
      </c>
      <c r="L947" s="261"/>
      <c r="M947" s="261"/>
    </row>
    <row r="948" spans="5:13">
      <c r="E948" s="261"/>
      <c r="F948" s="261"/>
      <c r="G948" s="261"/>
      <c r="H948" s="261" t="s">
        <v>2261</v>
      </c>
      <c r="I948" s="261"/>
      <c r="J948" s="261"/>
      <c r="K948" s="261">
        <v>2.15</v>
      </c>
      <c r="L948" s="261"/>
      <c r="M948" s="261"/>
    </row>
    <row r="949" spans="5:13">
      <c r="E949" s="261"/>
      <c r="F949" s="261"/>
      <c r="G949" s="261"/>
      <c r="H949" s="271" t="s">
        <v>2844</v>
      </c>
      <c r="I949" s="261"/>
      <c r="J949" s="261"/>
      <c r="K949" s="272">
        <f>SUM(K945:K948)</f>
        <v>591.63</v>
      </c>
      <c r="L949" s="261">
        <f>K949-496</f>
        <v>95.63</v>
      </c>
      <c r="M949" s="261"/>
    </row>
    <row r="950" spans="5:13">
      <c r="E950" s="261"/>
      <c r="F950" s="261"/>
      <c r="G950" s="261"/>
      <c r="H950" s="261"/>
      <c r="I950" s="261"/>
      <c r="J950" s="261"/>
      <c r="K950" s="261"/>
      <c r="L950" s="261"/>
      <c r="M950" s="261"/>
    </row>
    <row r="951" spans="5:13">
      <c r="E951" s="261"/>
      <c r="F951" s="261"/>
      <c r="G951" s="261"/>
      <c r="H951" s="261"/>
      <c r="I951" s="261"/>
      <c r="J951" s="261"/>
      <c r="K951" s="261"/>
      <c r="L951" s="261"/>
      <c r="M951" s="261"/>
    </row>
    <row r="952" spans="5:13">
      <c r="E952" s="261"/>
      <c r="F952" s="261"/>
      <c r="G952" s="261"/>
      <c r="H952" s="261"/>
      <c r="I952" s="261"/>
      <c r="J952" s="261"/>
      <c r="K952" s="261"/>
      <c r="L952" s="261"/>
      <c r="M952" s="261"/>
    </row>
    <row r="953" spans="5:13" ht="18">
      <c r="E953" s="261"/>
      <c r="F953" s="261"/>
      <c r="G953" s="261"/>
      <c r="H953" s="319" t="s">
        <v>4607</v>
      </c>
      <c r="I953" s="261"/>
      <c r="J953" s="261"/>
      <c r="K953" s="261"/>
      <c r="L953" s="261"/>
      <c r="M953" s="261"/>
    </row>
    <row r="954" spans="5:13">
      <c r="E954" s="261"/>
      <c r="F954" s="261">
        <v>1</v>
      </c>
      <c r="G954" s="261" t="s">
        <v>1389</v>
      </c>
      <c r="H954" s="261" t="s">
        <v>5511</v>
      </c>
      <c r="I954" s="264">
        <v>391</v>
      </c>
      <c r="J954" s="261" t="s">
        <v>1389</v>
      </c>
      <c r="K954" s="261">
        <f>F954*I954</f>
        <v>391</v>
      </c>
      <c r="L954" s="261"/>
      <c r="M954" s="261"/>
    </row>
    <row r="955" spans="5:13">
      <c r="E955" s="261"/>
      <c r="F955" s="261"/>
      <c r="G955" s="261"/>
      <c r="H955" s="261"/>
      <c r="I955" s="264"/>
      <c r="J955" s="261" t="s">
        <v>1389</v>
      </c>
      <c r="K955" s="261">
        <f>F955*I955</f>
        <v>0</v>
      </c>
      <c r="L955" s="261"/>
      <c r="M955" s="261"/>
    </row>
    <row r="956" spans="5:13">
      <c r="E956" s="261"/>
      <c r="F956" s="261"/>
      <c r="G956" s="261"/>
      <c r="H956" s="261" t="s">
        <v>4635</v>
      </c>
      <c r="I956" s="261"/>
      <c r="J956" s="261"/>
      <c r="K956" s="261">
        <f>K413</f>
        <v>312.93</v>
      </c>
      <c r="L956" s="261"/>
      <c r="M956" s="261"/>
    </row>
    <row r="957" spans="5:13">
      <c r="E957" s="261"/>
      <c r="F957" s="261"/>
      <c r="G957" s="261"/>
      <c r="H957" s="261" t="s">
        <v>2261</v>
      </c>
      <c r="I957" s="261"/>
      <c r="J957" s="261"/>
      <c r="K957" s="261">
        <v>0.2</v>
      </c>
      <c r="L957" s="261"/>
      <c r="M957" s="261"/>
    </row>
    <row r="958" spans="5:13">
      <c r="E958" s="261"/>
      <c r="F958" s="261"/>
      <c r="G958" s="261"/>
      <c r="H958" s="271" t="s">
        <v>2844</v>
      </c>
      <c r="I958" s="261"/>
      <c r="J958" s="261"/>
      <c r="K958" s="272">
        <f>SUM(K954:K957)</f>
        <v>704.13</v>
      </c>
      <c r="L958" s="261">
        <f>690-K958</f>
        <v>-14.13</v>
      </c>
      <c r="M958" s="261"/>
    </row>
    <row r="959" spans="5:13">
      <c r="E959" s="261"/>
      <c r="F959" s="261"/>
      <c r="G959" s="261"/>
      <c r="H959" s="261"/>
      <c r="I959" s="261"/>
      <c r="J959" s="261"/>
      <c r="K959" s="261"/>
      <c r="L959" s="261"/>
      <c r="M959" s="261"/>
    </row>
    <row r="960" spans="5:13">
      <c r="E960" s="261"/>
      <c r="F960" s="261"/>
      <c r="G960" s="261"/>
      <c r="H960" s="261"/>
      <c r="I960" s="261"/>
      <c r="J960" s="261"/>
      <c r="K960" s="261"/>
      <c r="L960" s="261"/>
      <c r="M960" s="261"/>
    </row>
    <row r="961" spans="5:13">
      <c r="E961" s="261"/>
      <c r="F961" s="261"/>
      <c r="G961" s="261"/>
      <c r="H961" s="261"/>
      <c r="I961" s="261"/>
      <c r="J961" s="261"/>
      <c r="K961" s="261"/>
      <c r="L961" s="261"/>
      <c r="M961" s="261"/>
    </row>
    <row r="962" spans="5:13">
      <c r="E962" s="261"/>
      <c r="F962" s="261"/>
      <c r="G962" s="261"/>
      <c r="H962" s="261"/>
      <c r="I962" s="261"/>
      <c r="J962" s="261"/>
      <c r="K962" s="261"/>
      <c r="L962" s="261"/>
      <c r="M962" s="261"/>
    </row>
    <row r="963" spans="5:13">
      <c r="E963" s="261"/>
      <c r="F963" s="261"/>
      <c r="G963" s="261"/>
      <c r="H963" s="261"/>
      <c r="I963" s="261"/>
      <c r="J963" s="261"/>
      <c r="K963" s="261"/>
      <c r="L963" s="261"/>
      <c r="M963" s="261"/>
    </row>
    <row r="964" spans="5:13">
      <c r="E964" s="261"/>
      <c r="F964" s="261"/>
      <c r="G964" s="261"/>
      <c r="J964" s="252"/>
      <c r="L964" s="261"/>
      <c r="M964" s="261"/>
    </row>
    <row r="965" spans="5:13">
      <c r="E965" s="261"/>
      <c r="F965" s="261"/>
      <c r="G965" s="261"/>
      <c r="H965" s="261"/>
      <c r="I965" s="261"/>
      <c r="J965" s="261"/>
      <c r="K965" s="272"/>
      <c r="L965" s="261"/>
      <c r="M965" s="261"/>
    </row>
    <row r="966" spans="5:13">
      <c r="E966" s="261"/>
      <c r="F966" s="261"/>
      <c r="G966" s="261"/>
      <c r="H966" s="261"/>
      <c r="I966" s="261"/>
      <c r="J966" s="261"/>
      <c r="K966" s="261"/>
      <c r="L966" s="261"/>
      <c r="M966" s="261"/>
    </row>
    <row r="967" spans="5:13">
      <c r="E967" s="261"/>
      <c r="H967" s="274" t="s">
        <v>2431</v>
      </c>
      <c r="L967" s="261"/>
      <c r="M967" s="261"/>
    </row>
    <row r="968" spans="5:13">
      <c r="E968" s="261"/>
      <c r="L968" s="261"/>
      <c r="M968" s="261"/>
    </row>
    <row r="969" spans="5:13">
      <c r="E969" s="261"/>
      <c r="H969" s="274" t="s">
        <v>2281</v>
      </c>
      <c r="L969" s="261"/>
      <c r="M969" s="261"/>
    </row>
    <row r="970" spans="5:13">
      <c r="E970" s="261"/>
      <c r="L970" s="261"/>
      <c r="M970" s="261"/>
    </row>
    <row r="971" spans="5:13" ht="157.5">
      <c r="E971" s="261"/>
      <c r="H971" s="260" t="s">
        <v>2663</v>
      </c>
      <c r="L971" s="261"/>
      <c r="M971" s="261"/>
    </row>
    <row r="972" spans="5:13" ht="31.5">
      <c r="E972" s="261"/>
      <c r="F972" s="261">
        <v>90</v>
      </c>
      <c r="G972" s="261" t="s">
        <v>823</v>
      </c>
      <c r="H972" s="268" t="s">
        <v>2528</v>
      </c>
      <c r="I972" s="261">
        <f>I12</f>
        <v>16.55</v>
      </c>
      <c r="J972" s="261" t="s">
        <v>2529</v>
      </c>
      <c r="K972" s="261">
        <f>F972*I972</f>
        <v>1489.5</v>
      </c>
      <c r="L972" s="261"/>
      <c r="M972" s="261"/>
    </row>
    <row r="973" spans="5:13" ht="31.5">
      <c r="E973" s="261"/>
      <c r="F973" s="261">
        <v>45</v>
      </c>
      <c r="G973" s="261" t="s">
        <v>823</v>
      </c>
      <c r="H973" s="260" t="s">
        <v>2354</v>
      </c>
      <c r="I973" s="261">
        <f>I13</f>
        <v>20</v>
      </c>
      <c r="J973" s="261" t="s">
        <v>2355</v>
      </c>
      <c r="K973" s="261">
        <f>F973*I973</f>
        <v>900</v>
      </c>
      <c r="L973" s="261"/>
      <c r="M973" s="261"/>
    </row>
    <row r="974" spans="5:13">
      <c r="E974" s="261"/>
      <c r="F974" s="261">
        <v>20</v>
      </c>
      <c r="G974" s="261" t="s">
        <v>1389</v>
      </c>
      <c r="H974" s="261" t="s">
        <v>2356</v>
      </c>
      <c r="I974" s="261">
        <f>I14</f>
        <v>3.15</v>
      </c>
      <c r="J974" s="261" t="s">
        <v>1389</v>
      </c>
      <c r="K974" s="261">
        <f>F974*I974</f>
        <v>63</v>
      </c>
      <c r="L974" s="261"/>
      <c r="M974" s="261"/>
    </row>
    <row r="975" spans="5:13">
      <c r="E975" s="261"/>
      <c r="F975" s="261">
        <v>150</v>
      </c>
      <c r="G975" s="261" t="s">
        <v>1389</v>
      </c>
      <c r="H975" s="261" t="s">
        <v>4284</v>
      </c>
      <c r="I975" s="263">
        <f>I1111</f>
        <v>287</v>
      </c>
      <c r="J975" s="261" t="s">
        <v>2665</v>
      </c>
      <c r="K975" s="261">
        <f>(F975*I975)/1000</f>
        <v>43.05</v>
      </c>
      <c r="L975" s="261"/>
      <c r="M975" s="261"/>
    </row>
    <row r="976" spans="5:13">
      <c r="E976" s="261"/>
      <c r="F976" s="261">
        <v>10</v>
      </c>
      <c r="G976" s="261" t="s">
        <v>1389</v>
      </c>
      <c r="H976" s="261" t="s">
        <v>3365</v>
      </c>
      <c r="I976" s="261">
        <f>I15</f>
        <v>1.34</v>
      </c>
      <c r="J976" s="261" t="s">
        <v>1389</v>
      </c>
      <c r="K976" s="261">
        <f>F976*I976</f>
        <v>13.4</v>
      </c>
      <c r="L976" s="261"/>
      <c r="M976" s="261"/>
    </row>
    <row r="977" spans="5:13">
      <c r="E977" s="261"/>
      <c r="F977" s="261">
        <v>10</v>
      </c>
      <c r="G977" s="261" t="s">
        <v>1389</v>
      </c>
      <c r="H977" s="261" t="s">
        <v>5006</v>
      </c>
      <c r="I977" s="264">
        <v>43.25</v>
      </c>
      <c r="J977" s="261" t="s">
        <v>3368</v>
      </c>
      <c r="K977" s="261">
        <f>(F977*I977)/12</f>
        <v>36.04</v>
      </c>
      <c r="L977" s="261"/>
      <c r="M977" s="261"/>
    </row>
    <row r="978" spans="5:13">
      <c r="E978" s="261"/>
      <c r="F978" s="265">
        <v>1.4999999999999999E-2</v>
      </c>
      <c r="G978" s="261" t="s">
        <v>2273</v>
      </c>
      <c r="H978" s="261" t="s">
        <v>3236</v>
      </c>
      <c r="I978" s="261">
        <f>I18</f>
        <v>661</v>
      </c>
      <c r="J978" s="261" t="s">
        <v>2273</v>
      </c>
      <c r="K978" s="261">
        <f t="shared" ref="K978:K988" si="18">F978*I978</f>
        <v>9.92</v>
      </c>
      <c r="L978" s="261"/>
      <c r="M978" s="261"/>
    </row>
    <row r="979" spans="5:13">
      <c r="E979" s="261"/>
      <c r="F979" s="261">
        <v>10</v>
      </c>
      <c r="G979" s="261" t="s">
        <v>1389</v>
      </c>
      <c r="H979" s="261" t="s">
        <v>3237</v>
      </c>
      <c r="I979" s="261">
        <f>I19</f>
        <v>16.21</v>
      </c>
      <c r="J979" s="261" t="s">
        <v>1389</v>
      </c>
      <c r="K979" s="261">
        <f>(F979*I979)</f>
        <v>162.1</v>
      </c>
      <c r="L979" s="261"/>
      <c r="M979" s="261"/>
    </row>
    <row r="980" spans="5:13">
      <c r="E980" s="261"/>
      <c r="F980" s="261">
        <v>10</v>
      </c>
      <c r="G980" s="261" t="s">
        <v>1389</v>
      </c>
      <c r="H980" s="261" t="s">
        <v>2618</v>
      </c>
      <c r="I980" s="261">
        <f>I20</f>
        <v>13.8</v>
      </c>
      <c r="J980" s="261" t="s">
        <v>1389</v>
      </c>
      <c r="K980" s="261">
        <f t="shared" si="18"/>
        <v>138</v>
      </c>
      <c r="L980" s="261"/>
      <c r="M980" s="261"/>
    </row>
    <row r="981" spans="5:13">
      <c r="E981" s="261"/>
      <c r="F981" s="261">
        <v>1</v>
      </c>
      <c r="G981" s="261" t="s">
        <v>2626</v>
      </c>
      <c r="H981" s="261" t="s">
        <v>4602</v>
      </c>
      <c r="I981" s="261">
        <f>I747</f>
        <v>69.400000000000006</v>
      </c>
      <c r="J981" s="261" t="s">
        <v>2626</v>
      </c>
      <c r="K981" s="261">
        <f>F981*I981</f>
        <v>69.400000000000006</v>
      </c>
      <c r="L981" s="261"/>
      <c r="M981" s="261"/>
    </row>
    <row r="982" spans="5:13">
      <c r="E982" s="261"/>
      <c r="F982" s="261">
        <v>72</v>
      </c>
      <c r="G982" s="261" t="s">
        <v>1389</v>
      </c>
      <c r="H982" s="261" t="s">
        <v>2667</v>
      </c>
      <c r="I982" s="289">
        <v>47.7</v>
      </c>
      <c r="J982" s="261" t="s">
        <v>2626</v>
      </c>
      <c r="K982" s="261">
        <f>(F982*I982)/144</f>
        <v>23.85</v>
      </c>
      <c r="L982" s="261"/>
      <c r="M982" s="261"/>
    </row>
    <row r="983" spans="5:13">
      <c r="E983" s="261"/>
      <c r="F983" s="267">
        <v>0.16666666666666666</v>
      </c>
      <c r="G983" s="261" t="s">
        <v>2622</v>
      </c>
      <c r="H983" s="261" t="s">
        <v>387</v>
      </c>
      <c r="I983" s="285">
        <f>I269</f>
        <v>302</v>
      </c>
      <c r="J983" s="261" t="s">
        <v>2622</v>
      </c>
      <c r="K983" s="261">
        <f t="shared" si="18"/>
        <v>50.33</v>
      </c>
      <c r="L983" s="261"/>
      <c r="M983" s="261"/>
    </row>
    <row r="984" spans="5:13">
      <c r="E984" s="261"/>
      <c r="F984" s="261">
        <v>10</v>
      </c>
      <c r="G984" s="261" t="s">
        <v>1389</v>
      </c>
      <c r="H984" s="261" t="s">
        <v>5007</v>
      </c>
      <c r="I984" s="264">
        <v>13.8</v>
      </c>
      <c r="J984" s="261" t="s">
        <v>1389</v>
      </c>
      <c r="K984" s="261">
        <f t="shared" si="18"/>
        <v>138</v>
      </c>
      <c r="L984" s="261"/>
      <c r="M984" s="261"/>
    </row>
    <row r="985" spans="5:13">
      <c r="E985" s="261"/>
      <c r="F985" s="261">
        <v>1</v>
      </c>
      <c r="G985" s="261" t="s">
        <v>1389</v>
      </c>
      <c r="H985" s="261" t="s">
        <v>5008</v>
      </c>
      <c r="I985" s="264">
        <v>16.5</v>
      </c>
      <c r="J985" s="261" t="s">
        <v>1389</v>
      </c>
      <c r="K985" s="261">
        <f t="shared" si="18"/>
        <v>16.5</v>
      </c>
      <c r="L985" s="261"/>
      <c r="M985" s="261"/>
    </row>
    <row r="986" spans="5:13">
      <c r="E986" s="261"/>
      <c r="F986" s="261">
        <v>0.1</v>
      </c>
      <c r="G986" s="261" t="s">
        <v>2273</v>
      </c>
      <c r="H986" s="261" t="s">
        <v>3003</v>
      </c>
      <c r="I986" s="261">
        <f>I24</f>
        <v>661</v>
      </c>
      <c r="J986" s="261" t="s">
        <v>2273</v>
      </c>
      <c r="K986" s="261">
        <f t="shared" si="18"/>
        <v>66.099999999999994</v>
      </c>
      <c r="L986" s="261"/>
      <c r="M986" s="261"/>
    </row>
    <row r="987" spans="5:13" ht="31.5">
      <c r="E987" s="261"/>
      <c r="F987" s="261">
        <v>45</v>
      </c>
      <c r="G987" s="261" t="s">
        <v>823</v>
      </c>
      <c r="H987" s="268" t="s">
        <v>2628</v>
      </c>
      <c r="I987" s="261">
        <f>I25</f>
        <v>16.55</v>
      </c>
      <c r="J987" s="261" t="s">
        <v>3280</v>
      </c>
      <c r="K987" s="261">
        <f t="shared" si="18"/>
        <v>744.75</v>
      </c>
      <c r="L987" s="261"/>
      <c r="M987" s="261"/>
    </row>
    <row r="988" spans="5:13">
      <c r="E988" s="261"/>
      <c r="F988" s="267">
        <v>0.5</v>
      </c>
      <c r="G988" s="261" t="s">
        <v>53</v>
      </c>
      <c r="H988" s="268" t="s">
        <v>3889</v>
      </c>
      <c r="I988" s="261">
        <f>DATA!I3241</f>
        <v>227.6</v>
      </c>
      <c r="J988" s="261" t="s">
        <v>53</v>
      </c>
      <c r="K988" s="261">
        <f t="shared" si="18"/>
        <v>113.8</v>
      </c>
      <c r="L988" s="261"/>
      <c r="M988" s="261"/>
    </row>
    <row r="989" spans="5:13">
      <c r="E989" s="261"/>
      <c r="F989" s="261">
        <v>10</v>
      </c>
      <c r="G989" s="261" t="s">
        <v>3284</v>
      </c>
      <c r="H989" s="261" t="s">
        <v>911</v>
      </c>
      <c r="I989" s="261"/>
      <c r="J989" s="261" t="s">
        <v>654</v>
      </c>
      <c r="K989" s="261">
        <f>K1008</f>
        <v>5090</v>
      </c>
      <c r="L989" s="261"/>
      <c r="M989" s="261"/>
    </row>
    <row r="990" spans="5:13">
      <c r="E990" s="261"/>
      <c r="F990" s="261" t="s">
        <v>654</v>
      </c>
      <c r="G990" s="261"/>
      <c r="H990" s="261" t="s">
        <v>3004</v>
      </c>
      <c r="I990" s="261"/>
      <c r="J990" s="261" t="s">
        <v>654</v>
      </c>
      <c r="K990" s="261">
        <v>44.26</v>
      </c>
      <c r="L990" s="261"/>
      <c r="M990" s="261"/>
    </row>
    <row r="991" spans="5:13">
      <c r="E991" s="261"/>
      <c r="F991" s="261"/>
      <c r="G991" s="261"/>
      <c r="H991" s="269" t="s">
        <v>3283</v>
      </c>
      <c r="I991" s="261"/>
      <c r="J991" s="261"/>
      <c r="K991" s="270">
        <f>SUM(K972:K990)</f>
        <v>9212</v>
      </c>
      <c r="L991" s="261"/>
      <c r="M991" s="261"/>
    </row>
    <row r="992" spans="5:13">
      <c r="E992" s="261"/>
      <c r="F992" s="261"/>
      <c r="G992" s="261"/>
      <c r="H992" s="271" t="s">
        <v>3285</v>
      </c>
      <c r="I992" s="261"/>
      <c r="J992" s="261"/>
      <c r="K992" s="272">
        <f>K991/10</f>
        <v>921.2</v>
      </c>
      <c r="L992" s="261">
        <f>895*10</f>
        <v>8950</v>
      </c>
      <c r="M992" s="261">
        <f>L992-K991</f>
        <v>-262</v>
      </c>
    </row>
    <row r="993" spans="5:13">
      <c r="E993" s="261"/>
      <c r="F993" s="261"/>
      <c r="G993" s="261"/>
      <c r="H993" s="261"/>
      <c r="I993" s="261"/>
      <c r="J993" s="261"/>
      <c r="K993" s="261"/>
      <c r="L993" s="261"/>
      <c r="M993" s="261"/>
    </row>
    <row r="994" spans="5:13">
      <c r="E994" s="261"/>
      <c r="F994" s="261"/>
      <c r="G994" s="261"/>
      <c r="H994" s="261"/>
      <c r="I994" s="261"/>
      <c r="J994" s="261"/>
      <c r="K994" s="261"/>
      <c r="L994" s="261"/>
      <c r="M994" s="261"/>
    </row>
    <row r="995" spans="5:13">
      <c r="E995" s="261"/>
      <c r="F995" s="261"/>
      <c r="G995" s="261"/>
      <c r="H995" s="261"/>
      <c r="I995" s="261"/>
      <c r="J995" s="261"/>
      <c r="K995" s="261"/>
      <c r="L995" s="261"/>
      <c r="M995" s="261"/>
    </row>
    <row r="996" spans="5:13">
      <c r="E996" s="261"/>
      <c r="F996" s="261"/>
      <c r="G996" s="261"/>
      <c r="H996" s="261"/>
      <c r="I996" s="261"/>
      <c r="J996" s="261"/>
      <c r="K996" s="261"/>
      <c r="L996" s="261"/>
      <c r="M996" s="261"/>
    </row>
    <row r="997" spans="5:13">
      <c r="E997" s="261"/>
      <c r="F997" s="261"/>
      <c r="G997" s="272" t="s">
        <v>3287</v>
      </c>
      <c r="H997" s="261"/>
      <c r="I997" s="261"/>
      <c r="J997" s="261"/>
      <c r="M997" s="261"/>
    </row>
    <row r="998" spans="5:13">
      <c r="E998" s="261"/>
      <c r="F998" s="261"/>
      <c r="G998" s="261"/>
      <c r="H998" s="261"/>
      <c r="I998" s="261"/>
      <c r="J998" s="261"/>
      <c r="M998" s="261"/>
    </row>
    <row r="999" spans="5:13">
      <c r="E999" s="261"/>
      <c r="F999" s="261"/>
      <c r="G999" s="272" t="s">
        <v>3363</v>
      </c>
      <c r="H999" s="261"/>
      <c r="I999" s="261"/>
      <c r="J999" s="261"/>
      <c r="M999" s="261"/>
    </row>
    <row r="1000" spans="5:13">
      <c r="E1000" s="261"/>
      <c r="F1000" s="261"/>
      <c r="G1000" s="261"/>
      <c r="H1000" s="261"/>
      <c r="I1000" s="261"/>
      <c r="J1000" s="261"/>
      <c r="M1000" s="261"/>
    </row>
    <row r="1001" spans="5:13">
      <c r="E1001" s="261"/>
      <c r="F1001" s="261">
        <v>1</v>
      </c>
      <c r="G1001" s="261" t="s">
        <v>1389</v>
      </c>
      <c r="H1001" s="261" t="s">
        <v>3289</v>
      </c>
      <c r="I1001" s="261">
        <f>I35</f>
        <v>947</v>
      </c>
      <c r="J1001" s="261" t="s">
        <v>1389</v>
      </c>
      <c r="K1001" s="261">
        <f>F1001*I1001</f>
        <v>947</v>
      </c>
      <c r="L1001" s="261"/>
      <c r="M1001" s="261"/>
    </row>
    <row r="1002" spans="5:13">
      <c r="F1002" s="261">
        <v>2</v>
      </c>
      <c r="G1002" s="261" t="s">
        <v>1389</v>
      </c>
      <c r="H1002" s="261" t="s">
        <v>3290</v>
      </c>
      <c r="I1002" s="261">
        <f>I36</f>
        <v>826</v>
      </c>
      <c r="J1002" s="261" t="s">
        <v>1389</v>
      </c>
      <c r="K1002" s="261">
        <f>F1002*I1002</f>
        <v>1652</v>
      </c>
      <c r="L1002" s="261"/>
      <c r="M1002" s="261"/>
    </row>
    <row r="1003" spans="5:13">
      <c r="F1003" s="261">
        <v>3</v>
      </c>
      <c r="G1003" s="261" t="s">
        <v>1389</v>
      </c>
      <c r="H1003" s="261" t="s">
        <v>3291</v>
      </c>
      <c r="I1003" s="261">
        <f>I37</f>
        <v>820</v>
      </c>
      <c r="J1003" s="261" t="s">
        <v>1389</v>
      </c>
      <c r="K1003" s="261">
        <f>F1003*I1003</f>
        <v>2460</v>
      </c>
      <c r="L1003" s="261"/>
      <c r="M1003" s="261"/>
    </row>
    <row r="1004" spans="5:13">
      <c r="F1004" s="261">
        <v>4</v>
      </c>
      <c r="G1004" s="261" t="s">
        <v>1389</v>
      </c>
      <c r="H1004" s="261" t="s">
        <v>2321</v>
      </c>
      <c r="I1004" s="261">
        <f>I38</f>
        <v>644</v>
      </c>
      <c r="J1004" s="261" t="s">
        <v>1389</v>
      </c>
      <c r="K1004" s="261">
        <f>F1004*I1004</f>
        <v>2576</v>
      </c>
      <c r="L1004" s="261"/>
      <c r="M1004" s="261"/>
    </row>
    <row r="1005" spans="5:13">
      <c r="F1005" s="261"/>
      <c r="G1005" s="261"/>
      <c r="H1005" s="261"/>
      <c r="I1005" s="261"/>
      <c r="J1005" s="261"/>
      <c r="K1005" s="261"/>
      <c r="L1005" s="261"/>
      <c r="M1005" s="261"/>
    </row>
    <row r="1006" spans="5:13">
      <c r="F1006" s="261"/>
      <c r="H1006" s="275"/>
      <c r="J1006" s="252"/>
      <c r="K1006" s="272">
        <f>SUM(K1001:K1004)</f>
        <v>7635</v>
      </c>
      <c r="L1006" s="272"/>
      <c r="M1006" s="261"/>
    </row>
    <row r="1007" spans="5:13">
      <c r="E1007" s="261"/>
      <c r="F1007" s="261"/>
      <c r="H1007" s="275"/>
      <c r="J1007" s="252"/>
      <c r="M1007" s="261"/>
    </row>
    <row r="1008" spans="5:13" ht="49.5">
      <c r="E1008" s="261"/>
      <c r="F1008" s="261"/>
      <c r="H1008" s="275" t="s">
        <v>5633</v>
      </c>
      <c r="J1008" s="261"/>
      <c r="K1008" s="276">
        <f>K1006*2/3</f>
        <v>5090</v>
      </c>
      <c r="L1008" s="276"/>
      <c r="M1008" s="261"/>
    </row>
    <row r="1009" spans="5:13">
      <c r="E1009" s="261"/>
      <c r="F1009" s="261"/>
      <c r="G1009" s="261"/>
      <c r="H1009" s="261"/>
      <c r="I1009" s="261"/>
      <c r="J1009" s="261"/>
      <c r="K1009" s="261"/>
      <c r="L1009" s="261"/>
      <c r="M1009" s="261"/>
    </row>
    <row r="1010" spans="5:13">
      <c r="E1010" s="261"/>
      <c r="F1010" s="261"/>
      <c r="G1010" s="261"/>
      <c r="H1010" s="274" t="s">
        <v>3005</v>
      </c>
      <c r="I1010" s="261"/>
      <c r="J1010" s="261"/>
      <c r="K1010" s="261"/>
      <c r="L1010" s="261"/>
      <c r="M1010" s="261"/>
    </row>
    <row r="1011" spans="5:13">
      <c r="E1011" s="261"/>
      <c r="F1011" s="261"/>
      <c r="G1011" s="261"/>
      <c r="H1011" s="261"/>
      <c r="I1011" s="261"/>
      <c r="J1011" s="261"/>
      <c r="K1011" s="261"/>
      <c r="L1011" s="261"/>
      <c r="M1011" s="261"/>
    </row>
    <row r="1012" spans="5:13" ht="173.25">
      <c r="E1012" s="261"/>
      <c r="F1012" s="261"/>
      <c r="G1012" s="261"/>
      <c r="H1012" s="260" t="s">
        <v>3023</v>
      </c>
      <c r="I1012" s="261"/>
      <c r="J1012" s="261"/>
      <c r="K1012" s="261"/>
      <c r="L1012" s="261"/>
      <c r="M1012" s="261"/>
    </row>
    <row r="1013" spans="5:13">
      <c r="E1013" s="261"/>
      <c r="F1013" s="261"/>
      <c r="G1013" s="261"/>
      <c r="H1013" s="261" t="s">
        <v>2436</v>
      </c>
      <c r="I1013" s="261"/>
      <c r="J1013" s="261"/>
      <c r="K1013" s="261">
        <f>K991-K990</f>
        <v>9167.74</v>
      </c>
      <c r="L1013" s="261"/>
      <c r="M1013" s="261"/>
    </row>
    <row r="1014" spans="5:13">
      <c r="E1014" s="261"/>
      <c r="F1014" s="261"/>
      <c r="G1014" s="261"/>
      <c r="H1014" s="261" t="s">
        <v>2437</v>
      </c>
      <c r="I1014" s="261"/>
      <c r="J1014" s="261"/>
      <c r="K1014" s="261">
        <f>K980</f>
        <v>138</v>
      </c>
      <c r="L1014" s="261"/>
      <c r="M1014" s="261"/>
    </row>
    <row r="1015" spans="5:13">
      <c r="E1015" s="261"/>
      <c r="F1015" s="261"/>
      <c r="G1015" s="261"/>
      <c r="H1015" s="261" t="str">
        <f>H50</f>
        <v>Add cost of Bakelite battern type holders 10 Nos @ Rs 16.65 / Each p-116,  it-25</v>
      </c>
      <c r="I1015" s="261"/>
      <c r="J1015" s="261"/>
      <c r="K1015" s="261">
        <f>K50</f>
        <v>166.5</v>
      </c>
      <c r="L1015" s="261"/>
      <c r="M1015" s="261"/>
    </row>
    <row r="1016" spans="5:13">
      <c r="E1016" s="261"/>
      <c r="F1016" s="261"/>
      <c r="G1016" s="261"/>
      <c r="H1016" s="261" t="s">
        <v>2261</v>
      </c>
      <c r="I1016" s="261"/>
      <c r="J1016" s="261"/>
      <c r="K1016" s="261">
        <v>35.76</v>
      </c>
      <c r="L1016" s="261"/>
      <c r="M1016" s="261"/>
    </row>
    <row r="1017" spans="5:13">
      <c r="E1017" s="261"/>
      <c r="F1017" s="261"/>
      <c r="G1017" s="261"/>
      <c r="H1017" s="269" t="s">
        <v>2415</v>
      </c>
      <c r="I1017" s="261"/>
      <c r="J1017" s="261"/>
      <c r="K1017" s="270">
        <f>K1013-K1014+K1015+K1016</f>
        <v>9232</v>
      </c>
      <c r="L1017" s="261">
        <f>L1018-K1017</f>
        <v>-262</v>
      </c>
      <c r="M1017" s="261"/>
    </row>
    <row r="1018" spans="5:13">
      <c r="E1018" s="261"/>
      <c r="F1018" s="261"/>
      <c r="G1018" s="261"/>
      <c r="H1018" s="271" t="s">
        <v>2416</v>
      </c>
      <c r="I1018" s="261"/>
      <c r="J1018" s="261"/>
      <c r="K1018" s="272">
        <f>K1017/10</f>
        <v>923.2</v>
      </c>
      <c r="L1018" s="261">
        <f>897*10</f>
        <v>8970</v>
      </c>
      <c r="M1018" s="261"/>
    </row>
    <row r="1019" spans="5:13">
      <c r="E1019" s="261"/>
      <c r="F1019" s="261"/>
      <c r="G1019" s="261"/>
      <c r="H1019" s="261"/>
      <c r="I1019" s="261"/>
      <c r="J1019" s="261"/>
      <c r="K1019" s="261"/>
      <c r="L1019" s="261">
        <f>L1018-K1017</f>
        <v>-262</v>
      </c>
      <c r="M1019" s="261"/>
    </row>
    <row r="1020" spans="5:13">
      <c r="E1020" s="261"/>
      <c r="F1020" s="261"/>
      <c r="G1020" s="261"/>
      <c r="H1020" s="261"/>
      <c r="I1020" s="261"/>
      <c r="J1020" s="261"/>
      <c r="K1020" s="261"/>
      <c r="L1020" s="261"/>
      <c r="M1020" s="261"/>
    </row>
    <row r="1021" spans="5:13">
      <c r="E1021" s="261"/>
      <c r="F1021" s="261"/>
      <c r="G1021" s="261"/>
      <c r="H1021" s="261"/>
      <c r="I1021" s="261"/>
      <c r="J1021" s="261"/>
      <c r="K1021" s="261"/>
      <c r="L1021" s="261"/>
      <c r="M1021" s="261"/>
    </row>
    <row r="1022" spans="5:13" ht="47.25">
      <c r="E1022" s="261"/>
      <c r="F1022" s="261"/>
      <c r="G1022" s="261"/>
      <c r="H1022" s="258" t="s">
        <v>3364</v>
      </c>
      <c r="I1022" s="261"/>
      <c r="J1022" s="261"/>
      <c r="K1022" s="261"/>
      <c r="L1022" s="261"/>
      <c r="M1022" s="261"/>
    </row>
    <row r="1023" spans="5:13">
      <c r="E1023" s="261"/>
      <c r="F1023" s="261"/>
      <c r="G1023" s="261"/>
      <c r="H1023" s="261"/>
      <c r="I1023" s="261"/>
      <c r="J1023" s="261"/>
      <c r="K1023" s="261"/>
      <c r="L1023" s="261"/>
      <c r="M1023" s="261"/>
    </row>
    <row r="1024" spans="5:13" ht="173.25">
      <c r="E1024" s="261"/>
      <c r="F1024" s="261"/>
      <c r="G1024" s="261"/>
      <c r="H1024" s="260" t="s">
        <v>3351</v>
      </c>
      <c r="I1024" s="261"/>
      <c r="J1024" s="261"/>
      <c r="K1024" s="261"/>
      <c r="L1024" s="261"/>
      <c r="M1024" s="261"/>
    </row>
    <row r="1025" spans="5:13">
      <c r="E1025" s="261"/>
      <c r="F1025" s="261"/>
      <c r="G1025" s="261"/>
      <c r="H1025" s="261" t="s">
        <v>3370</v>
      </c>
      <c r="I1025" s="261"/>
      <c r="J1025" s="261"/>
      <c r="K1025" s="261">
        <f>K1013</f>
        <v>9167.74</v>
      </c>
      <c r="L1025" s="261"/>
      <c r="M1025" s="261"/>
    </row>
    <row r="1026" spans="5:13">
      <c r="E1026" s="261"/>
      <c r="F1026" s="261"/>
      <c r="G1026" s="261"/>
      <c r="H1026" s="261" t="s">
        <v>2961</v>
      </c>
      <c r="I1026" s="261"/>
      <c r="J1026" s="261"/>
      <c r="K1026" s="261">
        <f>K1014</f>
        <v>138</v>
      </c>
      <c r="L1026" s="261"/>
      <c r="M1026" s="261"/>
    </row>
    <row r="1027" spans="5:13">
      <c r="E1027" s="261"/>
      <c r="F1027" s="261"/>
      <c r="G1027" s="261"/>
      <c r="H1027" s="261" t="s">
        <v>2962</v>
      </c>
      <c r="I1027" s="261"/>
      <c r="J1027" s="261"/>
      <c r="K1027" s="261">
        <f>K977</f>
        <v>36.04</v>
      </c>
      <c r="L1027" s="261"/>
      <c r="M1027" s="261"/>
    </row>
    <row r="1028" spans="5:13">
      <c r="E1028" s="261"/>
      <c r="F1028" s="261"/>
      <c r="G1028" s="261"/>
      <c r="H1028" s="261" t="s">
        <v>2963</v>
      </c>
      <c r="I1028" s="261"/>
      <c r="J1028" s="261"/>
      <c r="K1028" s="261">
        <f>K62</f>
        <v>162.1</v>
      </c>
      <c r="L1028" s="261"/>
      <c r="M1028" s="261"/>
    </row>
    <row r="1029" spans="5:13">
      <c r="E1029" s="261"/>
      <c r="F1029" s="261"/>
      <c r="G1029" s="261"/>
      <c r="H1029" s="261" t="s">
        <v>4285</v>
      </c>
      <c r="I1029" s="261"/>
      <c r="J1029" s="261"/>
      <c r="K1029" s="264">
        <f>K63</f>
        <v>417</v>
      </c>
      <c r="L1029" s="261"/>
      <c r="M1029" s="261"/>
    </row>
    <row r="1030" spans="5:13">
      <c r="E1030" s="261"/>
      <c r="F1030" s="261"/>
      <c r="H1030" s="261" t="s">
        <v>5009</v>
      </c>
      <c r="I1030" s="261"/>
      <c r="J1030" s="261"/>
      <c r="K1030" s="264">
        <f>10*16.65</f>
        <v>166.5</v>
      </c>
      <c r="L1030" s="261"/>
      <c r="M1030" s="261"/>
    </row>
    <row r="1031" spans="5:13">
      <c r="E1031" s="261"/>
      <c r="F1031" s="261"/>
      <c r="G1031" s="261"/>
      <c r="H1031" s="261" t="s">
        <v>5010</v>
      </c>
      <c r="I1031" s="261"/>
      <c r="J1031" s="261"/>
      <c r="K1031" s="264">
        <f>16.5*10</f>
        <v>165</v>
      </c>
      <c r="L1031" s="261"/>
      <c r="M1031" s="261"/>
    </row>
    <row r="1032" spans="5:13">
      <c r="E1032" s="261"/>
      <c r="F1032" s="261"/>
      <c r="G1032" s="261"/>
      <c r="H1032" s="261" t="s">
        <v>2261</v>
      </c>
      <c r="I1032" s="261"/>
      <c r="J1032" s="261"/>
      <c r="K1032" s="261">
        <v>31.9</v>
      </c>
      <c r="L1032" s="261"/>
      <c r="M1032" s="261"/>
    </row>
    <row r="1033" spans="5:13">
      <c r="E1033" s="261"/>
      <c r="F1033" s="261"/>
      <c r="G1033" s="261"/>
      <c r="H1033" s="269" t="s">
        <v>2415</v>
      </c>
      <c r="I1033" s="261"/>
      <c r="J1033" s="261"/>
      <c r="K1033" s="270">
        <f>(K1025-K1026-K1027-K1028)+(K1029+K1030+K1031+K1032)</f>
        <v>9612</v>
      </c>
      <c r="L1033" s="261"/>
      <c r="M1033" s="261"/>
    </row>
    <row r="1034" spans="5:13">
      <c r="E1034" s="261"/>
      <c r="F1034" s="261"/>
      <c r="G1034" s="261"/>
      <c r="H1034" s="271" t="s">
        <v>3137</v>
      </c>
      <c r="I1034" s="261"/>
      <c r="J1034" s="261"/>
      <c r="K1034" s="272">
        <f>K1033/10</f>
        <v>961.2</v>
      </c>
      <c r="L1034" s="261">
        <f>935*10</f>
        <v>9350</v>
      </c>
      <c r="M1034" s="261">
        <f>L1034-K1033</f>
        <v>-262</v>
      </c>
    </row>
    <row r="1035" spans="5:13">
      <c r="E1035" s="261"/>
      <c r="F1035" s="261"/>
      <c r="G1035" s="261"/>
      <c r="H1035" s="261"/>
      <c r="I1035" s="261"/>
      <c r="J1035" s="261"/>
      <c r="K1035" s="261"/>
      <c r="L1035" s="261"/>
      <c r="M1035" s="261"/>
    </row>
    <row r="1036" spans="5:13">
      <c r="E1036" s="261"/>
      <c r="F1036" s="261"/>
      <c r="G1036" s="261"/>
      <c r="H1036" s="261"/>
      <c r="I1036" s="261"/>
      <c r="J1036" s="261"/>
      <c r="K1036" s="261"/>
      <c r="L1036" s="261"/>
      <c r="M1036" s="261"/>
    </row>
    <row r="1037" spans="5:13">
      <c r="E1037" s="261"/>
      <c r="F1037" s="261"/>
      <c r="G1037" s="261"/>
      <c r="H1037" s="261"/>
      <c r="I1037" s="261"/>
      <c r="J1037" s="261"/>
      <c r="K1037" s="261"/>
      <c r="L1037" s="261"/>
      <c r="M1037" s="261"/>
    </row>
    <row r="1038" spans="5:13">
      <c r="E1038" s="261"/>
      <c r="F1038" s="261"/>
      <c r="G1038" s="261"/>
      <c r="H1038" s="261"/>
      <c r="I1038" s="261"/>
      <c r="J1038" s="261"/>
      <c r="K1038" s="261"/>
      <c r="L1038" s="261"/>
      <c r="M1038" s="261"/>
    </row>
    <row r="1039" spans="5:13">
      <c r="E1039" s="261"/>
      <c r="F1039" s="261"/>
      <c r="G1039" s="261"/>
      <c r="H1039" s="261"/>
      <c r="I1039" s="261"/>
      <c r="J1039" s="261"/>
      <c r="K1039" s="261"/>
      <c r="L1039" s="261"/>
      <c r="M1039" s="261"/>
    </row>
    <row r="1040" spans="5:13">
      <c r="E1040" s="261"/>
      <c r="F1040" s="261"/>
      <c r="G1040" s="261"/>
      <c r="H1040" s="258" t="s">
        <v>4639</v>
      </c>
      <c r="I1040" s="261"/>
      <c r="J1040" s="261"/>
      <c r="K1040" s="261"/>
      <c r="L1040" s="261"/>
      <c r="M1040" s="261"/>
    </row>
    <row r="1041" spans="5:13">
      <c r="E1041" s="261"/>
      <c r="F1041" s="261"/>
      <c r="G1041" s="261"/>
      <c r="I1041" s="261"/>
      <c r="J1041" s="261"/>
      <c r="K1041" s="261"/>
      <c r="L1041" s="261"/>
      <c r="M1041" s="261"/>
    </row>
    <row r="1042" spans="5:13">
      <c r="E1042" s="261"/>
      <c r="F1042" s="261"/>
      <c r="G1042" s="261"/>
      <c r="I1042" s="261"/>
      <c r="J1042" s="261"/>
      <c r="K1042" s="261"/>
      <c r="L1042" s="261"/>
      <c r="M1042" s="261"/>
    </row>
    <row r="1043" spans="5:13">
      <c r="E1043" s="261"/>
      <c r="F1043" s="261"/>
      <c r="G1043" s="261"/>
      <c r="I1043" s="261"/>
      <c r="J1043" s="261"/>
      <c r="K1043" s="261"/>
      <c r="L1043" s="261"/>
      <c r="M1043" s="261"/>
    </row>
    <row r="1044" spans="5:13">
      <c r="E1044" s="261"/>
      <c r="F1044" s="261"/>
      <c r="G1044" s="261"/>
      <c r="I1044" s="261"/>
      <c r="J1044" s="261"/>
      <c r="K1044" s="261"/>
      <c r="L1044" s="261"/>
      <c r="M1044" s="261"/>
    </row>
    <row r="1045" spans="5:13" ht="157.5">
      <c r="E1045" s="261"/>
      <c r="F1045" s="261"/>
      <c r="G1045" s="261"/>
      <c r="H1045" s="260" t="s">
        <v>5644</v>
      </c>
      <c r="I1045" s="261"/>
      <c r="J1045" s="261"/>
      <c r="K1045" s="261"/>
      <c r="L1045" s="261"/>
      <c r="M1045" s="261"/>
    </row>
    <row r="1046" spans="5:13">
      <c r="E1046" s="261"/>
      <c r="F1046" s="261"/>
      <c r="G1046" s="261"/>
      <c r="H1046" s="261"/>
      <c r="I1046" s="261"/>
      <c r="J1046" s="261"/>
      <c r="K1046" s="261"/>
      <c r="L1046" s="261"/>
      <c r="M1046" s="261"/>
    </row>
    <row r="1047" spans="5:13">
      <c r="E1047" s="261"/>
      <c r="F1047" s="261"/>
      <c r="G1047" s="261"/>
      <c r="H1047" s="261"/>
      <c r="I1047" s="261"/>
      <c r="J1047" s="261"/>
      <c r="K1047" s="261"/>
      <c r="L1047" s="261"/>
      <c r="M1047" s="261"/>
    </row>
    <row r="1048" spans="5:13">
      <c r="E1048" s="261"/>
      <c r="F1048" s="261"/>
      <c r="G1048" s="261"/>
      <c r="H1048" s="261"/>
      <c r="I1048" s="261"/>
      <c r="J1048" s="261"/>
      <c r="K1048" s="261"/>
      <c r="L1048" s="261"/>
      <c r="M1048" s="261"/>
    </row>
    <row r="1049" spans="5:13">
      <c r="E1049" s="261"/>
      <c r="F1049" s="261"/>
      <c r="G1049" s="261"/>
      <c r="H1049" s="261" t="s">
        <v>2436</v>
      </c>
      <c r="I1049" s="261"/>
      <c r="J1049" s="261"/>
      <c r="K1049" s="261">
        <f>K1025</f>
        <v>9167.74</v>
      </c>
      <c r="L1049" s="261"/>
      <c r="M1049" s="261"/>
    </row>
    <row r="1050" spans="5:13">
      <c r="E1050" s="261"/>
      <c r="F1050" s="261"/>
      <c r="G1050" s="261"/>
      <c r="H1050" s="261" t="s">
        <v>4636</v>
      </c>
      <c r="I1050" s="261"/>
      <c r="J1050" s="261"/>
      <c r="K1050" s="261">
        <f>K984</f>
        <v>138</v>
      </c>
      <c r="L1050" s="261"/>
      <c r="M1050" s="261"/>
    </row>
    <row r="1051" spans="5:13">
      <c r="E1051" s="261"/>
      <c r="F1051" s="261"/>
      <c r="G1051" s="261"/>
      <c r="H1051" s="261" t="s">
        <v>2792</v>
      </c>
      <c r="I1051" s="261"/>
      <c r="J1051" s="261"/>
      <c r="K1051" s="261">
        <f>K986</f>
        <v>66.099999999999994</v>
      </c>
      <c r="L1051" s="261"/>
      <c r="M1051" s="261"/>
    </row>
    <row r="1052" spans="5:13" ht="31.5">
      <c r="E1052" s="261"/>
      <c r="F1052" s="261"/>
      <c r="G1052" s="261"/>
      <c r="H1052" s="260" t="s">
        <v>5011</v>
      </c>
      <c r="I1052" s="261"/>
      <c r="J1052" s="261"/>
      <c r="K1052" s="264">
        <f>69.9*10</f>
        <v>699</v>
      </c>
      <c r="L1052" s="261"/>
      <c r="M1052" s="261"/>
    </row>
    <row r="1053" spans="5:13">
      <c r="E1053" s="261"/>
      <c r="F1053" s="261"/>
      <c r="G1053" s="261"/>
      <c r="H1053" s="261" t="s">
        <v>5619</v>
      </c>
      <c r="I1053" s="261"/>
      <c r="J1053" s="261"/>
      <c r="K1053" s="264">
        <f>0.6*661</f>
        <v>396.6</v>
      </c>
      <c r="L1053" s="261"/>
      <c r="M1053" s="261"/>
    </row>
    <row r="1054" spans="5:13">
      <c r="E1054" s="261"/>
      <c r="F1054" s="261"/>
      <c r="G1054" s="261"/>
      <c r="H1054" s="261" t="s">
        <v>3006</v>
      </c>
      <c r="I1054" s="261"/>
      <c r="J1054" s="261"/>
      <c r="K1054" s="261">
        <v>22.76</v>
      </c>
      <c r="L1054" s="261"/>
      <c r="M1054" s="261"/>
    </row>
    <row r="1055" spans="5:13">
      <c r="E1055" s="261"/>
      <c r="F1055" s="261"/>
      <c r="G1055" s="261"/>
      <c r="H1055" s="269" t="s">
        <v>2415</v>
      </c>
      <c r="I1055" s="261"/>
      <c r="J1055" s="261"/>
      <c r="K1055" s="270">
        <f>K1049-K1050-K1051+K1052+K1053+K1054</f>
        <v>10082</v>
      </c>
      <c r="L1055" s="261"/>
      <c r="M1055" s="261"/>
    </row>
    <row r="1056" spans="5:13">
      <c r="E1056" s="261"/>
      <c r="F1056" s="261"/>
      <c r="G1056" s="261"/>
      <c r="H1056" s="271" t="s">
        <v>2416</v>
      </c>
      <c r="I1056" s="261"/>
      <c r="J1056" s="261"/>
      <c r="K1056" s="272">
        <f>K1055/10</f>
        <v>1008.2</v>
      </c>
      <c r="L1056" s="261">
        <f>982*10</f>
        <v>9820</v>
      </c>
      <c r="M1056" s="261"/>
    </row>
    <row r="1057" spans="5:13">
      <c r="E1057" s="261"/>
      <c r="F1057" s="261"/>
      <c r="G1057" s="261"/>
      <c r="H1057" s="261"/>
      <c r="I1057" s="261"/>
      <c r="J1057" s="261"/>
      <c r="K1057" s="261"/>
      <c r="L1057" s="261">
        <f>L1056-K1055</f>
        <v>-262</v>
      </c>
      <c r="M1057" s="261"/>
    </row>
    <row r="1058" spans="5:13">
      <c r="E1058" s="261"/>
      <c r="F1058" s="261"/>
      <c r="G1058" s="261"/>
      <c r="H1058" s="261"/>
      <c r="I1058" s="261"/>
      <c r="J1058" s="261"/>
      <c r="K1058" s="261">
        <f>K1056*6</f>
        <v>6049.2</v>
      </c>
      <c r="L1058" s="261"/>
      <c r="M1058" s="261"/>
    </row>
    <row r="1059" spans="5:13">
      <c r="E1059" s="261"/>
      <c r="F1059" s="261"/>
      <c r="G1059" s="261"/>
      <c r="H1059" s="261"/>
      <c r="I1059" s="261"/>
      <c r="J1059" s="261"/>
      <c r="K1059" s="261"/>
      <c r="L1059" s="261"/>
      <c r="M1059" s="261"/>
    </row>
    <row r="1060" spans="5:13">
      <c r="E1060" s="261"/>
      <c r="F1060" s="261"/>
      <c r="G1060" s="261"/>
      <c r="H1060" s="258" t="s">
        <v>4638</v>
      </c>
      <c r="I1060" s="261"/>
      <c r="J1060" s="261"/>
      <c r="K1060" s="261"/>
      <c r="L1060" s="261"/>
      <c r="M1060" s="261"/>
    </row>
    <row r="1061" spans="5:13" ht="173.25">
      <c r="E1061" s="261"/>
      <c r="F1061" s="261"/>
      <c r="G1061" s="261"/>
      <c r="H1061" s="260" t="s">
        <v>4637</v>
      </c>
      <c r="I1061" s="261"/>
      <c r="J1061" s="261"/>
      <c r="K1061" s="261"/>
      <c r="L1061" s="261"/>
      <c r="M1061" s="261"/>
    </row>
    <row r="1062" spans="5:13" ht="31.5">
      <c r="E1062" s="261"/>
      <c r="F1062" s="261">
        <v>90</v>
      </c>
      <c r="G1062" s="261" t="s">
        <v>823</v>
      </c>
      <c r="H1062" s="268" t="s">
        <v>2528</v>
      </c>
      <c r="I1062" s="261">
        <f>I218</f>
        <v>16.55</v>
      </c>
      <c r="J1062" s="261" t="s">
        <v>2529</v>
      </c>
      <c r="K1062" s="261">
        <f>F1062*I1062</f>
        <v>1489.5</v>
      </c>
      <c r="L1062" s="261"/>
      <c r="M1062" s="261"/>
    </row>
    <row r="1063" spans="5:13" ht="31.5">
      <c r="E1063" s="261"/>
      <c r="F1063" s="261">
        <v>30</v>
      </c>
      <c r="G1063" s="261" t="s">
        <v>823</v>
      </c>
      <c r="H1063" s="260" t="s">
        <v>2354</v>
      </c>
      <c r="I1063" s="261">
        <f>I219</f>
        <v>20</v>
      </c>
      <c r="J1063" s="261" t="s">
        <v>823</v>
      </c>
      <c r="K1063" s="261">
        <f t="shared" ref="K1063:K1072" si="19">F1063*I1063</f>
        <v>600</v>
      </c>
      <c r="L1063" s="261"/>
      <c r="M1063" s="261"/>
    </row>
    <row r="1064" spans="5:13">
      <c r="E1064" s="261"/>
      <c r="F1064" s="261">
        <v>10</v>
      </c>
      <c r="G1064" s="261" t="s">
        <v>1389</v>
      </c>
      <c r="H1064" s="261" t="s">
        <v>2356</v>
      </c>
      <c r="I1064" s="261">
        <f>I220</f>
        <v>3.15</v>
      </c>
      <c r="J1064" s="261" t="s">
        <v>1389</v>
      </c>
      <c r="K1064" s="261">
        <f t="shared" si="19"/>
        <v>31.5</v>
      </c>
      <c r="L1064" s="261"/>
      <c r="M1064" s="261"/>
    </row>
    <row r="1065" spans="5:13">
      <c r="E1065" s="261"/>
      <c r="F1065" s="261">
        <v>5</v>
      </c>
      <c r="G1065" s="261" t="s">
        <v>1389</v>
      </c>
      <c r="H1065" s="261" t="s">
        <v>3365</v>
      </c>
      <c r="I1065" s="261">
        <f>I221</f>
        <v>1.34</v>
      </c>
      <c r="J1065" s="261" t="s">
        <v>1389</v>
      </c>
      <c r="K1065" s="261">
        <f t="shared" si="19"/>
        <v>6.7</v>
      </c>
      <c r="L1065" s="261"/>
      <c r="M1065" s="261"/>
    </row>
    <row r="1066" spans="5:13">
      <c r="E1066" s="261"/>
      <c r="F1066" s="261">
        <v>10</v>
      </c>
      <c r="G1066" s="261" t="s">
        <v>1389</v>
      </c>
      <c r="H1066" s="261" t="s">
        <v>2433</v>
      </c>
      <c r="I1066" s="261">
        <f>I222</f>
        <v>20.11</v>
      </c>
      <c r="J1066" s="261" t="s">
        <v>1389</v>
      </c>
      <c r="K1066" s="261">
        <f t="shared" si="19"/>
        <v>201.1</v>
      </c>
      <c r="L1066" s="261"/>
      <c r="M1066" s="261"/>
    </row>
    <row r="1067" spans="5:13">
      <c r="E1067" s="261"/>
      <c r="F1067" s="261">
        <v>5</v>
      </c>
      <c r="G1067" s="261" t="s">
        <v>1389</v>
      </c>
      <c r="H1067" s="261" t="s">
        <v>4641</v>
      </c>
      <c r="I1067" s="320">
        <v>5.58</v>
      </c>
      <c r="J1067" s="261" t="s">
        <v>1393</v>
      </c>
      <c r="K1067" s="261">
        <f t="shared" si="19"/>
        <v>27.9</v>
      </c>
      <c r="L1067" s="261"/>
      <c r="M1067" s="261"/>
    </row>
    <row r="1068" spans="5:13">
      <c r="E1068" s="261"/>
      <c r="F1068" s="261">
        <v>5</v>
      </c>
      <c r="G1068" s="261" t="s">
        <v>1389</v>
      </c>
      <c r="H1068" s="261" t="s">
        <v>2618</v>
      </c>
      <c r="I1068" s="261">
        <f>I223</f>
        <v>13.8</v>
      </c>
      <c r="J1068" s="261" t="s">
        <v>1389</v>
      </c>
      <c r="K1068" s="261">
        <f t="shared" si="19"/>
        <v>69</v>
      </c>
      <c r="L1068" s="261"/>
      <c r="M1068" s="261"/>
    </row>
    <row r="1069" spans="5:13">
      <c r="E1069" s="261"/>
      <c r="F1069" s="265">
        <v>0.09</v>
      </c>
      <c r="G1069" s="261" t="s">
        <v>2273</v>
      </c>
      <c r="H1069" s="261" t="s">
        <v>2541</v>
      </c>
      <c r="I1069" s="261">
        <f>I226</f>
        <v>661</v>
      </c>
      <c r="J1069" s="261" t="s">
        <v>2273</v>
      </c>
      <c r="K1069" s="261">
        <f t="shared" si="19"/>
        <v>59.49</v>
      </c>
      <c r="L1069" s="261"/>
      <c r="M1069" s="261"/>
    </row>
    <row r="1070" spans="5:13">
      <c r="E1070" s="261"/>
      <c r="F1070" s="261">
        <v>1</v>
      </c>
      <c r="G1070" s="261" t="s">
        <v>2622</v>
      </c>
      <c r="H1070" s="261" t="s">
        <v>387</v>
      </c>
      <c r="I1070" s="261">
        <f>DATA!Y31/20</f>
        <v>302</v>
      </c>
      <c r="J1070" s="261" t="s">
        <v>2622</v>
      </c>
      <c r="K1070" s="261">
        <f t="shared" si="19"/>
        <v>302</v>
      </c>
      <c r="L1070" s="261"/>
      <c r="M1070" s="261"/>
    </row>
    <row r="1071" spans="5:13">
      <c r="E1071" s="261"/>
      <c r="F1071" s="261">
        <v>6</v>
      </c>
      <c r="G1071" s="261" t="s">
        <v>1389</v>
      </c>
      <c r="H1071" s="261" t="s">
        <v>4640</v>
      </c>
      <c r="I1071" s="261">
        <f>I985</f>
        <v>16.5</v>
      </c>
      <c r="J1071" s="261" t="s">
        <v>1393</v>
      </c>
      <c r="K1071" s="261">
        <f t="shared" si="19"/>
        <v>99</v>
      </c>
      <c r="L1071" s="261"/>
      <c r="M1071" s="261"/>
    </row>
    <row r="1072" spans="5:13" ht="31.5">
      <c r="E1072" s="261"/>
      <c r="F1072" s="261">
        <v>30</v>
      </c>
      <c r="G1072" s="261" t="s">
        <v>823</v>
      </c>
      <c r="H1072" s="268" t="s">
        <v>2628</v>
      </c>
      <c r="I1072" s="261">
        <f>I1062</f>
        <v>16.55</v>
      </c>
      <c r="J1072" s="261" t="s">
        <v>2529</v>
      </c>
      <c r="K1072" s="261">
        <f t="shared" si="19"/>
        <v>496.5</v>
      </c>
      <c r="L1072" s="261"/>
      <c r="M1072" s="261"/>
    </row>
    <row r="1073" spans="5:13">
      <c r="E1073" s="261"/>
      <c r="F1073" s="261"/>
      <c r="G1073" s="261"/>
      <c r="H1073" s="261" t="s">
        <v>911</v>
      </c>
      <c r="I1073" s="261"/>
      <c r="J1073" s="261"/>
      <c r="K1073" s="261">
        <f>K1006</f>
        <v>7635</v>
      </c>
      <c r="L1073" s="261"/>
      <c r="M1073" s="261"/>
    </row>
    <row r="1074" spans="5:13">
      <c r="E1074" s="261"/>
      <c r="F1074" s="261"/>
      <c r="G1074" s="261"/>
      <c r="H1074" s="261" t="s">
        <v>2261</v>
      </c>
      <c r="I1074" s="261"/>
      <c r="J1074" s="261"/>
      <c r="K1074" s="261">
        <v>12.8</v>
      </c>
      <c r="L1074" s="261"/>
      <c r="M1074" s="261"/>
    </row>
    <row r="1075" spans="5:13">
      <c r="E1075" s="261"/>
      <c r="F1075" s="261"/>
      <c r="G1075" s="261"/>
      <c r="H1075" s="269" t="s">
        <v>2542</v>
      </c>
      <c r="I1075" s="261"/>
      <c r="J1075" s="261"/>
      <c r="K1075" s="270">
        <f>SUM(K1062:K1074)</f>
        <v>11030.49</v>
      </c>
      <c r="L1075" s="261"/>
      <c r="M1075" s="261"/>
    </row>
    <row r="1076" spans="5:13">
      <c r="E1076" s="261"/>
      <c r="F1076" s="261"/>
      <c r="G1076" s="261"/>
      <c r="H1076" s="271" t="s">
        <v>3137</v>
      </c>
      <c r="I1076" s="261"/>
      <c r="J1076" s="261"/>
      <c r="K1076" s="272">
        <f>K1075/5</f>
        <v>2206.1</v>
      </c>
      <c r="L1076" s="261">
        <f>1964*5</f>
        <v>9820</v>
      </c>
      <c r="M1076" s="261">
        <f>K1075/5</f>
        <v>2206.1</v>
      </c>
    </row>
    <row r="1077" spans="5:13">
      <c r="E1077" s="261"/>
      <c r="F1077" s="261"/>
      <c r="G1077" s="261"/>
      <c r="H1077" s="272"/>
      <c r="I1077" s="261"/>
      <c r="J1077" s="261"/>
      <c r="K1077" s="261"/>
      <c r="L1077" s="261">
        <f>L1076-K1075</f>
        <v>-1210.49</v>
      </c>
      <c r="M1077" s="261"/>
    </row>
    <row r="1078" spans="5:13">
      <c r="E1078" s="261"/>
      <c r="F1078" s="261"/>
      <c r="G1078" s="261"/>
      <c r="H1078" s="272" t="s">
        <v>1512</v>
      </c>
      <c r="I1078" s="261"/>
      <c r="J1078" s="261"/>
      <c r="K1078" s="261"/>
      <c r="L1078" s="261"/>
      <c r="M1078" s="261"/>
    </row>
    <row r="1079" spans="5:13">
      <c r="E1079" s="261"/>
      <c r="F1079" s="261"/>
      <c r="G1079" s="261"/>
      <c r="H1079" s="261"/>
      <c r="I1079" s="261"/>
      <c r="J1079" s="261"/>
      <c r="K1079" s="261"/>
      <c r="L1079" s="261"/>
      <c r="M1079" s="261"/>
    </row>
    <row r="1080" spans="5:13" ht="157.5">
      <c r="E1080" s="261"/>
      <c r="F1080" s="261"/>
      <c r="G1080" s="261"/>
      <c r="H1080" s="260" t="s">
        <v>2712</v>
      </c>
      <c r="I1080" s="261"/>
      <c r="J1080" s="261"/>
      <c r="K1080" s="261"/>
      <c r="L1080" s="261"/>
      <c r="M1080" s="261"/>
    </row>
    <row r="1081" spans="5:13" ht="31.5">
      <c r="E1081" s="261"/>
      <c r="F1081" s="261">
        <v>90</v>
      </c>
      <c r="G1081" s="261" t="s">
        <v>823</v>
      </c>
      <c r="H1081" s="268" t="s">
        <v>2528</v>
      </c>
      <c r="I1081" s="261">
        <f>I120</f>
        <v>16.55</v>
      </c>
      <c r="J1081" s="261" t="s">
        <v>823</v>
      </c>
      <c r="K1081" s="261">
        <f>F1081*I1081</f>
        <v>1489.5</v>
      </c>
      <c r="L1081" s="261"/>
      <c r="M1081" s="261"/>
    </row>
    <row r="1082" spans="5:13" ht="31.5">
      <c r="E1082" s="261"/>
      <c r="F1082" s="261">
        <v>45</v>
      </c>
      <c r="G1082" s="261" t="s">
        <v>823</v>
      </c>
      <c r="H1082" s="260" t="s">
        <v>2354</v>
      </c>
      <c r="I1082" s="261">
        <f t="shared" ref="I1082:I1091" si="20">I121</f>
        <v>20</v>
      </c>
      <c r="J1082" s="261" t="s">
        <v>823</v>
      </c>
      <c r="K1082" s="261">
        <f t="shared" ref="K1082:K1091" si="21">F1082*I1082</f>
        <v>900</v>
      </c>
      <c r="L1082" s="261"/>
      <c r="M1082" s="261"/>
    </row>
    <row r="1083" spans="5:13">
      <c r="E1083" s="261"/>
      <c r="F1083" s="261">
        <v>20</v>
      </c>
      <c r="G1083" s="261" t="s">
        <v>1389</v>
      </c>
      <c r="H1083" s="261" t="s">
        <v>2356</v>
      </c>
      <c r="I1083" s="261">
        <f t="shared" si="20"/>
        <v>3.15</v>
      </c>
      <c r="J1083" s="261" t="s">
        <v>3368</v>
      </c>
      <c r="K1083" s="261">
        <f t="shared" si="21"/>
        <v>63</v>
      </c>
      <c r="L1083" s="261"/>
      <c r="M1083" s="261"/>
    </row>
    <row r="1084" spans="5:13">
      <c r="E1084" s="261"/>
      <c r="F1084" s="261">
        <v>10</v>
      </c>
      <c r="G1084" s="261" t="s">
        <v>1389</v>
      </c>
      <c r="H1084" s="261" t="s">
        <v>3365</v>
      </c>
      <c r="I1084" s="261">
        <f t="shared" si="20"/>
        <v>1.34</v>
      </c>
      <c r="J1084" s="261" t="s">
        <v>3368</v>
      </c>
      <c r="K1084" s="261">
        <f t="shared" si="21"/>
        <v>13.4</v>
      </c>
      <c r="L1084" s="261"/>
      <c r="M1084" s="261"/>
    </row>
    <row r="1085" spans="5:13">
      <c r="E1085" s="261"/>
      <c r="F1085" s="261">
        <v>1</v>
      </c>
      <c r="G1085" s="261" t="s">
        <v>1389</v>
      </c>
      <c r="H1085" s="261" t="s">
        <v>2434</v>
      </c>
      <c r="I1085" s="261">
        <f t="shared" si="20"/>
        <v>70.7</v>
      </c>
      <c r="J1085" s="261" t="s">
        <v>1389</v>
      </c>
      <c r="K1085" s="261">
        <f t="shared" si="21"/>
        <v>70.7</v>
      </c>
      <c r="L1085" s="261"/>
      <c r="M1085" s="261"/>
    </row>
    <row r="1086" spans="5:13">
      <c r="E1086" s="261"/>
      <c r="F1086" s="265">
        <v>1.4999999999999999E-2</v>
      </c>
      <c r="G1086" s="261" t="s">
        <v>2273</v>
      </c>
      <c r="H1086" s="261" t="s">
        <v>2541</v>
      </c>
      <c r="I1086" s="261">
        <f t="shared" si="20"/>
        <v>661</v>
      </c>
      <c r="J1086" s="261" t="s">
        <v>2273</v>
      </c>
      <c r="K1086" s="261">
        <f t="shared" si="21"/>
        <v>9.92</v>
      </c>
      <c r="L1086" s="261"/>
      <c r="M1086" s="261"/>
    </row>
    <row r="1087" spans="5:13">
      <c r="E1087" s="261"/>
      <c r="F1087" s="261">
        <v>15</v>
      </c>
      <c r="G1087" s="261" t="s">
        <v>1389</v>
      </c>
      <c r="H1087" s="261" t="s">
        <v>2713</v>
      </c>
      <c r="I1087" s="261">
        <f t="shared" si="20"/>
        <v>40.31</v>
      </c>
      <c r="J1087" s="261" t="s">
        <v>1389</v>
      </c>
      <c r="K1087" s="261">
        <f t="shared" si="21"/>
        <v>604.65</v>
      </c>
      <c r="L1087" s="261"/>
      <c r="M1087" s="261"/>
    </row>
    <row r="1088" spans="5:13">
      <c r="E1088" s="261"/>
      <c r="F1088" s="261">
        <v>15</v>
      </c>
      <c r="G1088" s="261" t="s">
        <v>1389</v>
      </c>
      <c r="H1088" s="261" t="s">
        <v>2434</v>
      </c>
      <c r="I1088" s="261">
        <f t="shared" si="20"/>
        <v>70.7</v>
      </c>
      <c r="J1088" s="261" t="s">
        <v>1389</v>
      </c>
      <c r="K1088" s="261">
        <f t="shared" si="21"/>
        <v>1060.5</v>
      </c>
      <c r="L1088" s="261"/>
      <c r="M1088" s="261"/>
    </row>
    <row r="1089" spans="5:13">
      <c r="E1089" s="261"/>
      <c r="F1089" s="265">
        <v>0.22500000000000001</v>
      </c>
      <c r="G1089" s="261" t="s">
        <v>2273</v>
      </c>
      <c r="H1089" s="261" t="s">
        <v>2541</v>
      </c>
      <c r="I1089" s="261">
        <f t="shared" si="20"/>
        <v>661</v>
      </c>
      <c r="J1089" s="261" t="s">
        <v>2714</v>
      </c>
      <c r="K1089" s="261">
        <f t="shared" si="21"/>
        <v>148.72999999999999</v>
      </c>
      <c r="L1089" s="261"/>
      <c r="M1089" s="261"/>
    </row>
    <row r="1090" spans="5:13">
      <c r="E1090" s="261"/>
      <c r="F1090" s="261">
        <v>1.25</v>
      </c>
      <c r="G1090" s="261" t="s">
        <v>2622</v>
      </c>
      <c r="H1090" s="261" t="s">
        <v>387</v>
      </c>
      <c r="I1090" s="261">
        <f t="shared" si="20"/>
        <v>302</v>
      </c>
      <c r="J1090" s="261" t="s">
        <v>2622</v>
      </c>
      <c r="K1090" s="261">
        <f t="shared" si="21"/>
        <v>377.5</v>
      </c>
      <c r="L1090" s="261"/>
      <c r="M1090" s="261"/>
    </row>
    <row r="1091" spans="5:13" ht="31.5">
      <c r="E1091" s="261"/>
      <c r="F1091" s="261">
        <v>45</v>
      </c>
      <c r="G1091" s="261" t="s">
        <v>2273</v>
      </c>
      <c r="H1091" s="268" t="s">
        <v>2628</v>
      </c>
      <c r="I1091" s="261">
        <f t="shared" si="20"/>
        <v>16.55</v>
      </c>
      <c r="J1091" s="261" t="s">
        <v>823</v>
      </c>
      <c r="K1091" s="261">
        <f t="shared" si="21"/>
        <v>744.75</v>
      </c>
      <c r="L1091" s="261"/>
      <c r="M1091" s="261"/>
    </row>
    <row r="1092" spans="5:13">
      <c r="E1092" s="261"/>
      <c r="F1092" s="261"/>
      <c r="G1092" s="261"/>
      <c r="H1092" s="261" t="s">
        <v>911</v>
      </c>
      <c r="I1092" s="261"/>
      <c r="J1092" s="261"/>
      <c r="K1092" s="261">
        <f>K1008</f>
        <v>5090</v>
      </c>
      <c r="L1092" s="261"/>
      <c r="M1092" s="261"/>
    </row>
    <row r="1093" spans="5:13">
      <c r="E1093" s="261"/>
      <c r="F1093" s="261"/>
      <c r="G1093" s="261"/>
      <c r="H1093" s="261" t="s">
        <v>2261</v>
      </c>
      <c r="I1093" s="261"/>
      <c r="J1093" s="261"/>
      <c r="K1093" s="261">
        <v>39.35</v>
      </c>
      <c r="L1093" s="261"/>
      <c r="M1093" s="261"/>
    </row>
    <row r="1094" spans="5:13">
      <c r="E1094" s="261"/>
      <c r="F1094" s="261"/>
      <c r="G1094" s="261"/>
      <c r="H1094" s="269" t="s">
        <v>2715</v>
      </c>
      <c r="I1094" s="261"/>
      <c r="J1094" s="261"/>
      <c r="K1094" s="270">
        <f>SUM(K1081:K1093)</f>
        <v>10612</v>
      </c>
      <c r="L1094" s="261"/>
      <c r="M1094" s="261"/>
    </row>
    <row r="1095" spans="5:13">
      <c r="E1095" s="261"/>
      <c r="F1095" s="261"/>
      <c r="G1095" s="261"/>
      <c r="H1095" s="271" t="s">
        <v>3137</v>
      </c>
      <c r="I1095" s="261"/>
      <c r="J1095" s="261"/>
      <c r="K1095" s="272">
        <f>K1094/15</f>
        <v>707.47</v>
      </c>
      <c r="L1095" s="261">
        <f>690*15</f>
        <v>10350</v>
      </c>
      <c r="M1095" s="261">
        <f>L1095-K1094</f>
        <v>-262</v>
      </c>
    </row>
    <row r="1096" spans="5:13">
      <c r="E1096" s="261"/>
      <c r="F1096" s="261"/>
      <c r="G1096" s="261"/>
      <c r="H1096" s="272" t="s">
        <v>911</v>
      </c>
      <c r="I1096" s="261"/>
      <c r="J1096" s="261"/>
      <c r="K1096" s="272"/>
      <c r="L1096" s="261">
        <f>L1095-K1094</f>
        <v>-262</v>
      </c>
      <c r="M1096" s="261"/>
    </row>
    <row r="1097" spans="5:13">
      <c r="E1097" s="261"/>
      <c r="F1097" s="261">
        <v>1</v>
      </c>
      <c r="G1097" s="261" t="s">
        <v>1389</v>
      </c>
      <c r="H1097" s="261" t="s">
        <v>3289</v>
      </c>
      <c r="I1097" s="261">
        <f>I35</f>
        <v>947</v>
      </c>
      <c r="J1097" s="261" t="s">
        <v>1389</v>
      </c>
      <c r="K1097" s="261">
        <f>F1097*I1097</f>
        <v>947</v>
      </c>
      <c r="L1097" s="261"/>
      <c r="M1097" s="261"/>
    </row>
    <row r="1098" spans="5:13">
      <c r="E1098" s="261"/>
      <c r="F1098" s="261">
        <v>2</v>
      </c>
      <c r="G1098" s="261" t="s">
        <v>1389</v>
      </c>
      <c r="H1098" s="261" t="s">
        <v>3290</v>
      </c>
      <c r="I1098" s="261">
        <f>I36</f>
        <v>826</v>
      </c>
      <c r="J1098" s="261" t="s">
        <v>1389</v>
      </c>
      <c r="K1098" s="261">
        <f>F1098*I1098</f>
        <v>1652</v>
      </c>
      <c r="L1098" s="261"/>
      <c r="M1098" s="261"/>
    </row>
    <row r="1099" spans="5:13">
      <c r="E1099" s="261"/>
      <c r="F1099" s="261">
        <v>3</v>
      </c>
      <c r="G1099" s="261" t="s">
        <v>1389</v>
      </c>
      <c r="H1099" s="261" t="s">
        <v>3291</v>
      </c>
      <c r="I1099" s="261">
        <f>I37</f>
        <v>820</v>
      </c>
      <c r="J1099" s="261" t="s">
        <v>1389</v>
      </c>
      <c r="K1099" s="261">
        <f>F1099*I1099</f>
        <v>2460</v>
      </c>
      <c r="L1099" s="261"/>
      <c r="M1099" s="261"/>
    </row>
    <row r="1100" spans="5:13">
      <c r="E1100" s="261"/>
      <c r="F1100" s="261">
        <v>4</v>
      </c>
      <c r="G1100" s="261" t="s">
        <v>1389</v>
      </c>
      <c r="H1100" s="261" t="s">
        <v>2321</v>
      </c>
      <c r="I1100" s="261">
        <f>I38</f>
        <v>644</v>
      </c>
      <c r="J1100" s="261" t="s">
        <v>1389</v>
      </c>
      <c r="K1100" s="261">
        <f>F1100*I1100</f>
        <v>2576</v>
      </c>
      <c r="L1100" s="261"/>
      <c r="M1100" s="261"/>
    </row>
    <row r="1101" spans="5:13">
      <c r="E1101" s="261"/>
      <c r="F1101" s="261"/>
      <c r="G1101" s="261"/>
      <c r="H1101" s="271"/>
      <c r="I1101" s="261"/>
      <c r="J1101" s="261"/>
      <c r="K1101" s="272">
        <f>SUM(K1097:K1100)</f>
        <v>7635</v>
      </c>
      <c r="L1101" s="261"/>
      <c r="M1101" s="261"/>
    </row>
    <row r="1102" spans="5:13">
      <c r="E1102" s="261"/>
      <c r="F1102" s="261"/>
      <c r="G1102" s="261"/>
      <c r="H1102" s="271"/>
      <c r="I1102" s="261"/>
      <c r="J1102" s="261"/>
      <c r="K1102" s="272"/>
      <c r="L1102" s="261"/>
      <c r="M1102" s="261"/>
    </row>
    <row r="1103" spans="5:13">
      <c r="E1103" s="261"/>
      <c r="F1103" s="261"/>
      <c r="G1103" s="261"/>
      <c r="H1103" s="271"/>
      <c r="I1103" s="261"/>
      <c r="J1103" s="261"/>
      <c r="K1103" s="272"/>
      <c r="L1103" s="261"/>
      <c r="M1103" s="261"/>
    </row>
    <row r="1104" spans="5:13">
      <c r="E1104" s="261"/>
      <c r="F1104" s="261"/>
      <c r="G1104" s="261"/>
      <c r="H1104" s="272" t="s">
        <v>2381</v>
      </c>
      <c r="I1104" s="261"/>
      <c r="J1104" s="261"/>
      <c r="K1104" s="261"/>
      <c r="L1104" s="261"/>
      <c r="M1104" s="261"/>
    </row>
    <row r="1105" spans="5:13">
      <c r="E1105" s="261"/>
      <c r="F1105" s="261"/>
      <c r="G1105" s="261"/>
      <c r="H1105" s="261"/>
      <c r="I1105" s="261"/>
      <c r="J1105" s="261"/>
      <c r="K1105" s="261"/>
      <c r="L1105" s="261"/>
      <c r="M1105" s="261"/>
    </row>
    <row r="1106" spans="5:13" ht="110.25">
      <c r="E1106" s="261"/>
      <c r="F1106" s="261"/>
      <c r="G1106" s="261"/>
      <c r="H1106" s="260" t="s">
        <v>3503</v>
      </c>
      <c r="I1106" s="261"/>
      <c r="J1106" s="261"/>
      <c r="K1106" s="261"/>
      <c r="L1106" s="261"/>
      <c r="M1106" s="261"/>
    </row>
    <row r="1107" spans="5:13">
      <c r="E1107" s="261"/>
      <c r="F1107" s="261"/>
      <c r="G1107" s="261"/>
      <c r="H1107" s="261"/>
      <c r="I1107" s="261"/>
      <c r="J1107" s="261"/>
      <c r="K1107" s="261"/>
      <c r="L1107" s="261"/>
      <c r="M1107" s="261"/>
    </row>
    <row r="1108" spans="5:13" ht="31.5">
      <c r="E1108" s="261"/>
      <c r="F1108" s="261">
        <v>180</v>
      </c>
      <c r="G1108" s="261" t="s">
        <v>823</v>
      </c>
      <c r="H1108" s="268" t="s">
        <v>2528</v>
      </c>
      <c r="I1108" s="261">
        <f>I241</f>
        <v>16.55</v>
      </c>
      <c r="J1108" s="261" t="s">
        <v>823</v>
      </c>
      <c r="K1108" s="261">
        <f>I1108*F1108</f>
        <v>2979</v>
      </c>
      <c r="L1108" s="261"/>
      <c r="M1108" s="261"/>
    </row>
    <row r="1109" spans="5:13" ht="31.5">
      <c r="E1109" s="261"/>
      <c r="F1109" s="261">
        <v>90</v>
      </c>
      <c r="G1109" s="261" t="s">
        <v>823</v>
      </c>
      <c r="H1109" s="260" t="s">
        <v>2354</v>
      </c>
      <c r="I1109" s="261">
        <f>I242</f>
        <v>20</v>
      </c>
      <c r="J1109" s="261" t="s">
        <v>823</v>
      </c>
      <c r="K1109" s="261">
        <f t="shared" ref="K1109:K1114" si="22">I1109*F1109</f>
        <v>1800</v>
      </c>
      <c r="L1109" s="261"/>
      <c r="M1109" s="261"/>
    </row>
    <row r="1110" spans="5:13">
      <c r="E1110" s="261"/>
      <c r="F1110" s="261">
        <v>1</v>
      </c>
      <c r="G1110" s="261" t="s">
        <v>3105</v>
      </c>
      <c r="H1110" s="260" t="s">
        <v>4645</v>
      </c>
      <c r="I1110" s="264">
        <v>43.7</v>
      </c>
      <c r="J1110" s="261" t="s">
        <v>3105</v>
      </c>
      <c r="K1110" s="261">
        <f t="shared" si="22"/>
        <v>43.7</v>
      </c>
      <c r="L1110" s="261"/>
      <c r="M1110" s="261"/>
    </row>
    <row r="1111" spans="5:13">
      <c r="E1111" s="261"/>
      <c r="F1111" s="261">
        <v>300</v>
      </c>
      <c r="G1111" s="261" t="s">
        <v>1427</v>
      </c>
      <c r="H1111" s="260" t="s">
        <v>4646</v>
      </c>
      <c r="I1111" s="261">
        <f>I748</f>
        <v>287</v>
      </c>
      <c r="J1111" s="261" t="s">
        <v>3109</v>
      </c>
      <c r="K1111" s="261">
        <f>(I1111*F1111)/1000</f>
        <v>86.1</v>
      </c>
      <c r="L1111" s="261"/>
      <c r="M1111" s="261"/>
    </row>
    <row r="1112" spans="5:13">
      <c r="E1112" s="261"/>
      <c r="F1112" s="261">
        <v>2</v>
      </c>
      <c r="G1112" s="261" t="s">
        <v>2626</v>
      </c>
      <c r="H1112" s="260" t="s">
        <v>3108</v>
      </c>
      <c r="I1112" s="261">
        <f>I981</f>
        <v>69.400000000000006</v>
      </c>
      <c r="J1112" s="261" t="s">
        <v>3105</v>
      </c>
      <c r="K1112" s="261">
        <f t="shared" si="22"/>
        <v>138.80000000000001</v>
      </c>
      <c r="L1112" s="261"/>
      <c r="M1112" s="261"/>
    </row>
    <row r="1113" spans="5:13">
      <c r="E1113" s="261"/>
      <c r="F1113" s="261">
        <v>0.33</v>
      </c>
      <c r="G1113" s="261" t="s">
        <v>2622</v>
      </c>
      <c r="H1113" s="261" t="s">
        <v>387</v>
      </c>
      <c r="I1113" s="261">
        <f>I243</f>
        <v>302</v>
      </c>
      <c r="J1113" s="261" t="s">
        <v>2622</v>
      </c>
      <c r="K1113" s="261">
        <f t="shared" si="22"/>
        <v>99.66</v>
      </c>
      <c r="L1113" s="261"/>
      <c r="M1113" s="261"/>
    </row>
    <row r="1114" spans="5:13" ht="31.5">
      <c r="E1114" s="261"/>
      <c r="F1114" s="261">
        <v>90</v>
      </c>
      <c r="G1114" s="261" t="s">
        <v>823</v>
      </c>
      <c r="H1114" s="268" t="s">
        <v>2628</v>
      </c>
      <c r="I1114" s="261">
        <f>I244</f>
        <v>16.55</v>
      </c>
      <c r="J1114" s="261" t="s">
        <v>2529</v>
      </c>
      <c r="K1114" s="261">
        <f t="shared" si="22"/>
        <v>1489.5</v>
      </c>
      <c r="L1114" s="261"/>
      <c r="M1114" s="261"/>
    </row>
    <row r="1115" spans="5:13">
      <c r="E1115" s="261"/>
      <c r="F1115" s="321" t="s">
        <v>3112</v>
      </c>
      <c r="G1115" s="261"/>
      <c r="H1115" s="261" t="s">
        <v>911</v>
      </c>
      <c r="I1115" s="261">
        <f>K1101</f>
        <v>7635</v>
      </c>
      <c r="J1115" s="261"/>
      <c r="K1115" s="261">
        <f>2/3*I1115</f>
        <v>5090</v>
      </c>
      <c r="L1115" s="261"/>
      <c r="M1115" s="261"/>
    </row>
    <row r="1116" spans="5:13">
      <c r="E1116" s="261"/>
      <c r="F1116" s="261"/>
      <c r="G1116" s="261"/>
      <c r="H1116" s="261"/>
      <c r="I1116" s="261"/>
      <c r="J1116" s="261"/>
      <c r="K1116" s="261">
        <f>SUM(K1108:K1115)</f>
        <v>11726.76</v>
      </c>
      <c r="L1116" s="261"/>
      <c r="M1116" s="261"/>
    </row>
    <row r="1117" spans="5:13">
      <c r="E1117" s="261"/>
      <c r="F1117" s="261"/>
      <c r="G1117" s="261"/>
      <c r="H1117" s="261" t="s">
        <v>2261</v>
      </c>
      <c r="I1117" s="261"/>
      <c r="J1117" s="261"/>
      <c r="K1117" s="261">
        <v>77.94</v>
      </c>
      <c r="L1117" s="261"/>
      <c r="M1117" s="261"/>
    </row>
    <row r="1118" spans="5:13">
      <c r="E1118" s="261"/>
      <c r="F1118" s="261"/>
      <c r="G1118" s="261"/>
      <c r="H1118" s="269" t="s">
        <v>2383</v>
      </c>
      <c r="I1118" s="261"/>
      <c r="J1118" s="261"/>
      <c r="K1118" s="270">
        <f>SUM(K1116:K1117)</f>
        <v>11804.7</v>
      </c>
      <c r="L1118" s="261">
        <f>128.2*90</f>
        <v>11538</v>
      </c>
      <c r="M1118" s="261">
        <f>L1118-K1118</f>
        <v>-266.7</v>
      </c>
    </row>
    <row r="1119" spans="5:13">
      <c r="E1119" s="261"/>
      <c r="F1119" s="261"/>
      <c r="G1119" s="261"/>
      <c r="H1119" s="271" t="s">
        <v>2384</v>
      </c>
      <c r="I1119" s="261"/>
      <c r="J1119" s="261"/>
      <c r="K1119" s="272">
        <f>K1118/90</f>
        <v>131.16</v>
      </c>
      <c r="L1119" s="261">
        <f>119.3*90</f>
        <v>10737</v>
      </c>
      <c r="M1119" s="261"/>
    </row>
    <row r="1120" spans="5:13">
      <c r="E1120" s="261"/>
      <c r="F1120" s="261"/>
      <c r="G1120" s="261"/>
      <c r="H1120" s="261"/>
      <c r="I1120" s="261"/>
      <c r="J1120" s="261"/>
      <c r="K1120" s="261"/>
      <c r="L1120" s="261">
        <f>L1119-K1118</f>
        <v>-1067.7</v>
      </c>
      <c r="M1120" s="261"/>
    </row>
    <row r="1121" spans="5:13">
      <c r="E1121" s="261"/>
      <c r="F1121" s="261"/>
      <c r="G1121" s="261"/>
      <c r="H1121" s="272" t="s">
        <v>3110</v>
      </c>
      <c r="I1121" s="261"/>
      <c r="J1121" s="261"/>
      <c r="K1121" s="261"/>
      <c r="L1121" s="261"/>
      <c r="M1121" s="261"/>
    </row>
    <row r="1122" spans="5:13">
      <c r="E1122" s="261"/>
      <c r="F1122" s="261"/>
      <c r="G1122" s="261"/>
      <c r="H1122" s="261"/>
      <c r="I1122" s="261"/>
      <c r="J1122" s="261"/>
      <c r="K1122" s="261"/>
      <c r="L1122" s="261"/>
      <c r="M1122" s="261"/>
    </row>
    <row r="1123" spans="5:13" ht="110.25">
      <c r="E1123" s="261"/>
      <c r="F1123" s="261"/>
      <c r="G1123" s="261"/>
      <c r="H1123" s="260" t="s">
        <v>2984</v>
      </c>
      <c r="I1123" s="261"/>
      <c r="J1123" s="261"/>
      <c r="K1123" s="261"/>
      <c r="L1123" s="261"/>
      <c r="M1123" s="261"/>
    </row>
    <row r="1124" spans="5:13">
      <c r="E1124" s="261"/>
      <c r="F1124" s="261"/>
      <c r="G1124" s="261"/>
      <c r="H1124" s="261"/>
      <c r="I1124" s="261"/>
      <c r="J1124" s="261"/>
      <c r="K1124" s="261"/>
      <c r="L1124" s="261"/>
      <c r="M1124" s="261"/>
    </row>
    <row r="1125" spans="5:13">
      <c r="E1125" s="261"/>
      <c r="F1125" s="261"/>
      <c r="G1125" s="261"/>
      <c r="H1125" s="261" t="s">
        <v>3111</v>
      </c>
      <c r="I1125" s="261"/>
      <c r="J1125" s="261"/>
      <c r="K1125" s="261">
        <f>K1118</f>
        <v>11804.7</v>
      </c>
      <c r="L1125" s="261"/>
      <c r="M1125" s="261"/>
    </row>
    <row r="1126" spans="5:13" ht="31.5">
      <c r="E1126" s="261"/>
      <c r="F1126" s="261">
        <v>180</v>
      </c>
      <c r="G1126" s="261" t="s">
        <v>823</v>
      </c>
      <c r="H1126" s="260" t="s">
        <v>3216</v>
      </c>
      <c r="I1126" s="261">
        <f>I257</f>
        <v>25.75</v>
      </c>
      <c r="J1126" s="261" t="s">
        <v>823</v>
      </c>
      <c r="K1126" s="261">
        <f>F1126*I1126</f>
        <v>4635</v>
      </c>
      <c r="L1126" s="261"/>
      <c r="M1126" s="261"/>
    </row>
    <row r="1127" spans="5:13" ht="31.5">
      <c r="E1127" s="261"/>
      <c r="F1127" s="261">
        <v>180</v>
      </c>
      <c r="G1127" s="261" t="s">
        <v>823</v>
      </c>
      <c r="H1127" s="260" t="s">
        <v>2933</v>
      </c>
      <c r="I1127" s="261">
        <f>I1108</f>
        <v>16.55</v>
      </c>
      <c r="J1127" s="261" t="s">
        <v>2529</v>
      </c>
      <c r="K1127" s="261">
        <f>F1127*I1127</f>
        <v>2979</v>
      </c>
      <c r="L1127" s="261"/>
      <c r="M1127" s="261"/>
    </row>
    <row r="1128" spans="5:13">
      <c r="E1128" s="261"/>
      <c r="F1128" s="261"/>
      <c r="G1128" s="261"/>
      <c r="H1128" s="261" t="s">
        <v>2261</v>
      </c>
      <c r="I1128" s="261"/>
      <c r="J1128" s="261"/>
      <c r="K1128" s="261"/>
      <c r="L1128" s="261"/>
      <c r="M1128" s="261"/>
    </row>
    <row r="1129" spans="5:13">
      <c r="E1129" s="261"/>
      <c r="F1129" s="261"/>
      <c r="G1129" s="261"/>
      <c r="H1129" s="269" t="s">
        <v>2934</v>
      </c>
      <c r="I1129" s="261"/>
      <c r="J1129" s="261"/>
      <c r="K1129" s="270">
        <f>K1125+K1126-K1127+K1128</f>
        <v>13460.7</v>
      </c>
      <c r="L1129" s="261"/>
      <c r="M1129" s="261"/>
    </row>
    <row r="1130" spans="5:13">
      <c r="E1130" s="261"/>
      <c r="F1130" s="261"/>
      <c r="G1130" s="261"/>
      <c r="H1130" s="271" t="s">
        <v>2384</v>
      </c>
      <c r="I1130" s="261"/>
      <c r="J1130" s="261"/>
      <c r="K1130" s="272">
        <f>K1129/90</f>
        <v>149.56</v>
      </c>
      <c r="L1130" s="261">
        <f>K1130*30</f>
        <v>4486.8</v>
      </c>
      <c r="M1130" s="261"/>
    </row>
    <row r="1131" spans="5:13">
      <c r="E1131" s="261"/>
      <c r="F1131" s="261"/>
      <c r="G1131" s="261"/>
      <c r="H1131" s="261"/>
      <c r="I1131" s="261"/>
      <c r="J1131" s="261"/>
      <c r="K1131" s="261"/>
      <c r="L1131" s="261"/>
      <c r="M1131" s="261"/>
    </row>
    <row r="1132" spans="5:13">
      <c r="E1132" s="261"/>
      <c r="F1132" s="261"/>
      <c r="G1132" s="261"/>
      <c r="H1132" s="261"/>
      <c r="I1132" s="261"/>
      <c r="J1132" s="261"/>
      <c r="K1132" s="261"/>
      <c r="L1132" s="261"/>
      <c r="M1132" s="261"/>
    </row>
    <row r="1133" spans="5:13">
      <c r="E1133" s="261"/>
      <c r="F1133" s="261"/>
      <c r="G1133" s="261"/>
      <c r="H1133" s="272"/>
      <c r="I1133" s="261"/>
      <c r="J1133" s="261"/>
      <c r="K1133" s="261"/>
      <c r="L1133" s="261"/>
      <c r="M1133" s="261"/>
    </row>
    <row r="1134" spans="5:13">
      <c r="E1134" s="261"/>
      <c r="F1134" s="261"/>
      <c r="G1134" s="261"/>
      <c r="H1134" s="272" t="s">
        <v>4020</v>
      </c>
      <c r="I1134" s="261"/>
      <c r="J1134" s="261"/>
      <c r="K1134" s="261"/>
      <c r="L1134" s="261"/>
      <c r="M1134" s="261"/>
    </row>
    <row r="1135" spans="5:13">
      <c r="E1135" s="261"/>
      <c r="F1135" s="261"/>
      <c r="G1135" s="261"/>
      <c r="H1135" s="261"/>
      <c r="I1135" s="261"/>
      <c r="J1135" s="261"/>
      <c r="K1135" s="261"/>
      <c r="L1135" s="261"/>
      <c r="M1135" s="261"/>
    </row>
    <row r="1136" spans="5:13" ht="110.25">
      <c r="E1136" s="261"/>
      <c r="F1136" s="261"/>
      <c r="G1136" s="261"/>
      <c r="H1136" s="260" t="s">
        <v>2984</v>
      </c>
      <c r="I1136" s="261"/>
      <c r="J1136" s="261"/>
      <c r="K1136" s="261"/>
      <c r="L1136" s="261"/>
      <c r="M1136" s="261"/>
    </row>
    <row r="1137" spans="5:13">
      <c r="E1137" s="261"/>
      <c r="F1137" s="261"/>
      <c r="G1137" s="261"/>
      <c r="H1137" s="261"/>
      <c r="I1137" s="261"/>
      <c r="J1137" s="261"/>
      <c r="K1137" s="261"/>
      <c r="L1137" s="261"/>
      <c r="M1137" s="261"/>
    </row>
    <row r="1138" spans="5:13">
      <c r="E1138" s="261"/>
      <c r="F1138" s="261"/>
      <c r="G1138" s="261"/>
      <c r="H1138" s="261" t="s">
        <v>3111</v>
      </c>
      <c r="I1138" s="261"/>
      <c r="J1138" s="261"/>
      <c r="K1138" s="261">
        <f>K1125</f>
        <v>11804.7</v>
      </c>
      <c r="L1138" s="261"/>
      <c r="M1138" s="261"/>
    </row>
    <row r="1139" spans="5:13" ht="31.5">
      <c r="E1139" s="261"/>
      <c r="F1139" s="261">
        <v>180</v>
      </c>
      <c r="G1139" s="261" t="s">
        <v>823</v>
      </c>
      <c r="H1139" s="260" t="s">
        <v>4286</v>
      </c>
      <c r="I1139" s="261">
        <f>I700</f>
        <v>40.950000000000003</v>
      </c>
      <c r="J1139" s="261" t="s">
        <v>823</v>
      </c>
      <c r="K1139" s="261">
        <f>F1139*I1139</f>
        <v>7371</v>
      </c>
      <c r="L1139" s="261"/>
      <c r="M1139" s="261"/>
    </row>
    <row r="1140" spans="5:13" ht="31.5">
      <c r="E1140" s="261"/>
      <c r="F1140" s="261">
        <v>180</v>
      </c>
      <c r="G1140" s="261" t="s">
        <v>823</v>
      </c>
      <c r="H1140" s="260" t="s">
        <v>2933</v>
      </c>
      <c r="I1140" s="261">
        <f>I1127</f>
        <v>16.55</v>
      </c>
      <c r="J1140" s="261" t="s">
        <v>2529</v>
      </c>
      <c r="K1140" s="261">
        <f>F1140*I1140</f>
        <v>2979</v>
      </c>
      <c r="L1140" s="261"/>
      <c r="M1140" s="261"/>
    </row>
    <row r="1141" spans="5:13">
      <c r="E1141" s="261"/>
      <c r="F1141" s="261"/>
      <c r="G1141" s="261"/>
      <c r="H1141" s="261" t="s">
        <v>2261</v>
      </c>
      <c r="I1141" s="261"/>
      <c r="J1141" s="261"/>
      <c r="K1141" s="261"/>
      <c r="L1141" s="261"/>
      <c r="M1141" s="261"/>
    </row>
    <row r="1142" spans="5:13">
      <c r="E1142" s="261"/>
      <c r="F1142" s="261"/>
      <c r="G1142" s="261"/>
      <c r="H1142" s="269" t="s">
        <v>2934</v>
      </c>
      <c r="I1142" s="261"/>
      <c r="J1142" s="261"/>
      <c r="K1142" s="270">
        <f>K1138+K1139-K1140+K1141</f>
        <v>16196.7</v>
      </c>
      <c r="L1142" s="261"/>
      <c r="M1142" s="261"/>
    </row>
    <row r="1143" spans="5:13">
      <c r="E1143" s="261"/>
      <c r="F1143" s="261"/>
      <c r="G1143" s="261"/>
      <c r="H1143" s="271" t="s">
        <v>2384</v>
      </c>
      <c r="I1143" s="261"/>
      <c r="J1143" s="261"/>
      <c r="K1143" s="272">
        <f>K1142/90</f>
        <v>179.96</v>
      </c>
      <c r="L1143" s="261"/>
      <c r="M1143" s="261"/>
    </row>
    <row r="1144" spans="5:13">
      <c r="E1144" s="261"/>
      <c r="F1144" s="261"/>
      <c r="G1144" s="261"/>
      <c r="H1144" s="261"/>
      <c r="I1144" s="261"/>
      <c r="J1144" s="261"/>
      <c r="K1144" s="261"/>
      <c r="L1144" s="261"/>
      <c r="M1144" s="261"/>
    </row>
    <row r="1145" spans="5:13">
      <c r="E1145" s="261"/>
      <c r="F1145" s="261"/>
      <c r="G1145" s="261"/>
      <c r="H1145" s="268"/>
      <c r="I1145" s="261"/>
      <c r="J1145" s="261"/>
      <c r="K1145" s="261"/>
      <c r="L1145" s="261"/>
      <c r="M1145" s="261"/>
    </row>
    <row r="1146" spans="5:13">
      <c r="E1146" s="261"/>
      <c r="F1146" s="261"/>
      <c r="G1146" s="261"/>
      <c r="H1146" s="272" t="s">
        <v>4021</v>
      </c>
      <c r="I1146" s="261"/>
      <c r="J1146" s="261"/>
      <c r="K1146" s="261"/>
      <c r="L1146" s="261"/>
      <c r="M1146" s="261"/>
    </row>
    <row r="1147" spans="5:13">
      <c r="E1147" s="261"/>
      <c r="F1147" s="261"/>
      <c r="G1147" s="261"/>
      <c r="H1147" s="261"/>
      <c r="I1147" s="261"/>
      <c r="J1147" s="261"/>
      <c r="K1147" s="261"/>
      <c r="L1147" s="261"/>
      <c r="M1147" s="261"/>
    </row>
    <row r="1148" spans="5:13" ht="59.25" customHeight="1">
      <c r="E1148" s="261"/>
      <c r="F1148" s="261"/>
      <c r="G1148" s="261"/>
      <c r="H1148" s="260" t="s">
        <v>2984</v>
      </c>
      <c r="I1148" s="261"/>
      <c r="J1148" s="261"/>
      <c r="K1148" s="261"/>
      <c r="L1148" s="261"/>
      <c r="M1148" s="261"/>
    </row>
    <row r="1149" spans="5:13">
      <c r="E1149" s="261"/>
      <c r="F1149" s="261"/>
      <c r="G1149" s="261"/>
      <c r="H1149" s="261"/>
      <c r="I1149" s="261"/>
      <c r="J1149" s="261"/>
      <c r="K1149" s="261"/>
      <c r="L1149" s="261"/>
      <c r="M1149" s="261"/>
    </row>
    <row r="1150" spans="5:13">
      <c r="E1150" s="261"/>
      <c r="F1150" s="261"/>
      <c r="G1150" s="261"/>
      <c r="H1150" s="261" t="s">
        <v>3111</v>
      </c>
      <c r="I1150" s="261"/>
      <c r="J1150" s="261"/>
      <c r="K1150" s="261">
        <f>K1138</f>
        <v>11804.7</v>
      </c>
      <c r="L1150" s="261"/>
      <c r="M1150" s="261"/>
    </row>
    <row r="1151" spans="5:13" ht="31.5">
      <c r="E1151" s="261"/>
      <c r="F1151" s="261">
        <v>360</v>
      </c>
      <c r="G1151" s="261" t="s">
        <v>823</v>
      </c>
      <c r="H1151" s="260" t="s">
        <v>4287</v>
      </c>
      <c r="I1151" s="264">
        <v>91.25</v>
      </c>
      <c r="J1151" s="261" t="s">
        <v>823</v>
      </c>
      <c r="K1151" s="261">
        <f>F1151*I1151</f>
        <v>32850</v>
      </c>
      <c r="L1151" s="261"/>
      <c r="M1151" s="261"/>
    </row>
    <row r="1152" spans="5:13" ht="31.5">
      <c r="E1152" s="261"/>
      <c r="F1152" s="261">
        <v>180</v>
      </c>
      <c r="G1152" s="261" t="s">
        <v>823</v>
      </c>
      <c r="H1152" s="260" t="s">
        <v>2933</v>
      </c>
      <c r="I1152" s="261">
        <f>I1140</f>
        <v>16.55</v>
      </c>
      <c r="J1152" s="261" t="s">
        <v>2529</v>
      </c>
      <c r="K1152" s="261">
        <f>F1152*I1152</f>
        <v>2979</v>
      </c>
      <c r="L1152" s="261"/>
      <c r="M1152" s="261"/>
    </row>
    <row r="1153" spans="5:13">
      <c r="E1153" s="261"/>
      <c r="F1153" s="261"/>
      <c r="G1153" s="261"/>
      <c r="H1153" s="261" t="s">
        <v>2261</v>
      </c>
      <c r="I1153" s="261"/>
      <c r="J1153" s="261"/>
      <c r="K1153" s="261">
        <v>45</v>
      </c>
      <c r="L1153" s="261"/>
      <c r="M1153" s="261"/>
    </row>
    <row r="1154" spans="5:13">
      <c r="E1154" s="261"/>
      <c r="F1154" s="261"/>
      <c r="G1154" s="261"/>
      <c r="H1154" s="269" t="s">
        <v>2934</v>
      </c>
      <c r="I1154" s="261"/>
      <c r="J1154" s="261"/>
      <c r="K1154" s="270">
        <f>K1150+K1151-K1152+K1153</f>
        <v>41720.699999999997</v>
      </c>
      <c r="L1154" s="261"/>
      <c r="M1154" s="261"/>
    </row>
    <row r="1155" spans="5:13">
      <c r="E1155" s="261"/>
      <c r="F1155" s="261"/>
      <c r="G1155" s="261"/>
      <c r="H1155" s="271" t="s">
        <v>2384</v>
      </c>
      <c r="I1155" s="261"/>
      <c r="J1155" s="261"/>
      <c r="K1155" s="272">
        <f>K1154/90</f>
        <v>463.56</v>
      </c>
      <c r="L1155" s="261">
        <f>K1155-430</f>
        <v>33.56</v>
      </c>
      <c r="M1155" s="261"/>
    </row>
    <row r="1156" spans="5:13">
      <c r="E1156" s="261"/>
      <c r="F1156" s="261"/>
      <c r="G1156" s="261"/>
      <c r="H1156" s="261"/>
      <c r="I1156" s="261"/>
      <c r="J1156" s="261"/>
      <c r="K1156" s="261"/>
      <c r="L1156" s="261">
        <f>430*90</f>
        <v>38700</v>
      </c>
      <c r="M1156" s="261"/>
    </row>
    <row r="1157" spans="5:13">
      <c r="E1157" s="261"/>
      <c r="F1157" s="261"/>
      <c r="G1157" s="261"/>
      <c r="H1157" s="261"/>
      <c r="I1157" s="261"/>
      <c r="J1157" s="261"/>
      <c r="K1157" s="261"/>
      <c r="L1157" s="261">
        <f>K1154-L1156</f>
        <v>3020.7</v>
      </c>
      <c r="M1157" s="261"/>
    </row>
    <row r="1158" spans="5:13">
      <c r="E1158" s="261"/>
      <c r="F1158" s="261"/>
      <c r="G1158" s="261"/>
      <c r="H1158" s="261"/>
      <c r="I1158" s="261"/>
      <c r="J1158" s="261"/>
      <c r="K1158" s="261"/>
      <c r="L1158" s="261"/>
      <c r="M1158" s="261"/>
    </row>
    <row r="1159" spans="5:13">
      <c r="E1159" s="261"/>
      <c r="F1159" s="261"/>
      <c r="G1159" s="261"/>
      <c r="H1159" s="261"/>
      <c r="I1159" s="261"/>
      <c r="J1159" s="261"/>
      <c r="K1159" s="261"/>
      <c r="L1159" s="261"/>
      <c r="M1159" s="261"/>
    </row>
    <row r="1160" spans="5:13">
      <c r="E1160" s="261"/>
      <c r="F1160" s="261"/>
      <c r="G1160" s="261"/>
      <c r="H1160" s="261"/>
      <c r="I1160" s="261"/>
      <c r="J1160" s="261"/>
      <c r="K1160" s="261"/>
      <c r="L1160" s="261"/>
      <c r="M1160" s="261"/>
    </row>
    <row r="1161" spans="5:13">
      <c r="E1161" s="261"/>
      <c r="F1161" s="261"/>
      <c r="G1161" s="261"/>
      <c r="H1161" s="261"/>
      <c r="I1161" s="261"/>
      <c r="J1161" s="261"/>
      <c r="K1161" s="261"/>
      <c r="L1161" s="261"/>
      <c r="M1161" s="261"/>
    </row>
    <row r="1162" spans="5:13">
      <c r="E1162" s="261"/>
      <c r="F1162" s="261"/>
      <c r="G1162" s="261"/>
      <c r="H1162" s="261"/>
      <c r="I1162" s="261"/>
      <c r="J1162" s="261"/>
      <c r="K1162" s="261"/>
      <c r="L1162" s="261"/>
      <c r="M1162" s="261"/>
    </row>
    <row r="1163" spans="5:13">
      <c r="E1163" s="261"/>
      <c r="F1163" s="261"/>
      <c r="G1163" s="261"/>
      <c r="H1163" s="261"/>
      <c r="I1163" s="261"/>
      <c r="J1163" s="261"/>
      <c r="K1163" s="261"/>
      <c r="L1163" s="261"/>
      <c r="M1163" s="261"/>
    </row>
    <row r="1164" spans="5:13">
      <c r="E1164" s="261"/>
      <c r="F1164" s="261"/>
      <c r="G1164" s="261"/>
      <c r="H1164" s="261"/>
      <c r="I1164" s="261"/>
      <c r="J1164" s="261"/>
      <c r="K1164" s="261"/>
      <c r="L1164" s="261"/>
      <c r="M1164" s="261"/>
    </row>
    <row r="1165" spans="5:13">
      <c r="E1165" s="261"/>
      <c r="F1165" s="261"/>
      <c r="G1165" s="261"/>
      <c r="H1165" s="261"/>
      <c r="I1165" s="261"/>
      <c r="J1165" s="261"/>
      <c r="K1165" s="261"/>
      <c r="L1165" s="261"/>
      <c r="M1165" s="261"/>
    </row>
    <row r="1166" spans="5:13">
      <c r="E1166" s="261"/>
      <c r="F1166" s="261"/>
      <c r="G1166" s="261"/>
      <c r="H1166" s="261"/>
      <c r="I1166" s="261"/>
      <c r="J1166" s="261"/>
      <c r="K1166" s="261"/>
      <c r="L1166" s="261"/>
      <c r="M1166" s="261"/>
    </row>
    <row r="1167" spans="5:13">
      <c r="E1167" s="261"/>
      <c r="F1167" s="261"/>
      <c r="G1167" s="261"/>
      <c r="H1167" s="272" t="s">
        <v>4337</v>
      </c>
      <c r="I1167" s="261"/>
      <c r="J1167" s="261"/>
      <c r="K1167" s="261"/>
      <c r="L1167" s="261"/>
      <c r="M1167" s="261"/>
    </row>
    <row r="1168" spans="5:13">
      <c r="E1168" s="261"/>
      <c r="F1168" s="261"/>
      <c r="G1168" s="261"/>
      <c r="H1168" s="261"/>
      <c r="I1168" s="261"/>
      <c r="J1168" s="261"/>
      <c r="K1168" s="261"/>
      <c r="L1168" s="261"/>
      <c r="M1168" s="261"/>
    </row>
    <row r="1169" spans="5:13" ht="110.25">
      <c r="E1169" s="261"/>
      <c r="F1169" s="261"/>
      <c r="G1169" s="261"/>
      <c r="H1169" s="260" t="s">
        <v>2984</v>
      </c>
      <c r="I1169" s="261"/>
      <c r="J1169" s="261"/>
      <c r="K1169" s="261"/>
      <c r="L1169" s="261"/>
      <c r="M1169" s="261"/>
    </row>
    <row r="1170" spans="5:13">
      <c r="E1170" s="261"/>
      <c r="F1170" s="261"/>
      <c r="G1170" s="261"/>
      <c r="H1170" s="261"/>
      <c r="I1170" s="261"/>
      <c r="J1170" s="261"/>
      <c r="K1170" s="261"/>
      <c r="L1170" s="261"/>
      <c r="M1170" s="261"/>
    </row>
    <row r="1171" spans="5:13">
      <c r="E1171" s="261"/>
      <c r="F1171" s="261"/>
      <c r="G1171" s="261"/>
      <c r="H1171" s="261" t="s">
        <v>3111</v>
      </c>
      <c r="I1171" s="261"/>
      <c r="J1171" s="261"/>
      <c r="K1171" s="261">
        <f>K1150</f>
        <v>11804.7</v>
      </c>
      <c r="L1171" s="261"/>
      <c r="M1171" s="261"/>
    </row>
    <row r="1172" spans="5:13" ht="31.5">
      <c r="E1172" s="261"/>
      <c r="F1172" s="261">
        <v>360</v>
      </c>
      <c r="G1172" s="261" t="s">
        <v>823</v>
      </c>
      <c r="H1172" s="260" t="s">
        <v>4338</v>
      </c>
      <c r="I1172" s="264">
        <v>60.65</v>
      </c>
      <c r="J1172" s="261" t="s">
        <v>823</v>
      </c>
      <c r="K1172" s="261">
        <f>F1172*I1172</f>
        <v>21834</v>
      </c>
      <c r="L1172" s="261"/>
      <c r="M1172" s="261"/>
    </row>
    <row r="1173" spans="5:13" ht="31.5">
      <c r="E1173" s="261"/>
      <c r="F1173" s="261">
        <v>180</v>
      </c>
      <c r="G1173" s="261" t="s">
        <v>823</v>
      </c>
      <c r="H1173" s="260" t="s">
        <v>2933</v>
      </c>
      <c r="I1173" s="261">
        <f>I1140</f>
        <v>16.55</v>
      </c>
      <c r="J1173" s="261" t="s">
        <v>2529</v>
      </c>
      <c r="K1173" s="261">
        <f>F1173*I1173</f>
        <v>2979</v>
      </c>
      <c r="L1173" s="261"/>
      <c r="M1173" s="261"/>
    </row>
    <row r="1174" spans="5:13">
      <c r="E1174" s="261"/>
      <c r="F1174" s="261"/>
      <c r="G1174" s="261"/>
      <c r="H1174" s="261" t="s">
        <v>2261</v>
      </c>
      <c r="I1174" s="261"/>
      <c r="J1174" s="261"/>
      <c r="K1174" s="261"/>
      <c r="L1174" s="261"/>
      <c r="M1174" s="261"/>
    </row>
    <row r="1175" spans="5:13">
      <c r="E1175" s="261"/>
      <c r="F1175" s="261"/>
      <c r="G1175" s="261"/>
      <c r="H1175" s="269" t="s">
        <v>2934</v>
      </c>
      <c r="I1175" s="261"/>
      <c r="J1175" s="261"/>
      <c r="K1175" s="270">
        <f>K1171+K1172-K1173+K1174</f>
        <v>30659.7</v>
      </c>
      <c r="L1175" s="261"/>
      <c r="M1175" s="261"/>
    </row>
    <row r="1176" spans="5:13">
      <c r="E1176" s="261"/>
      <c r="F1176" s="261"/>
      <c r="G1176" s="261"/>
      <c r="H1176" s="271" t="s">
        <v>2384</v>
      </c>
      <c r="I1176" s="261"/>
      <c r="J1176" s="261"/>
      <c r="K1176" s="272">
        <f>K1175/90</f>
        <v>340.66</v>
      </c>
      <c r="L1176" s="261"/>
      <c r="M1176" s="261"/>
    </row>
    <row r="1177" spans="5:13">
      <c r="E1177" s="261"/>
      <c r="F1177" s="261"/>
      <c r="G1177" s="261"/>
      <c r="H1177" s="261"/>
      <c r="I1177" s="261"/>
      <c r="J1177" s="261"/>
      <c r="K1177" s="261"/>
      <c r="L1177" s="261"/>
      <c r="M1177" s="261"/>
    </row>
    <row r="1178" spans="5:13">
      <c r="E1178" s="261"/>
      <c r="F1178" s="261"/>
      <c r="G1178" s="261"/>
      <c r="H1178" s="261"/>
      <c r="I1178" s="261"/>
      <c r="J1178" s="261"/>
      <c r="K1178" s="261"/>
      <c r="L1178" s="261"/>
      <c r="M1178" s="261"/>
    </row>
    <row r="1179" spans="5:13">
      <c r="E1179" s="261"/>
      <c r="F1179" s="261"/>
      <c r="G1179" s="261"/>
      <c r="H1179" s="261"/>
      <c r="I1179" s="261"/>
      <c r="J1179" s="261"/>
      <c r="K1179" s="261"/>
      <c r="L1179" s="261"/>
      <c r="M1179" s="261"/>
    </row>
    <row r="1180" spans="5:13">
      <c r="E1180" s="261"/>
      <c r="F1180" s="261"/>
      <c r="G1180" s="261"/>
      <c r="H1180" s="261"/>
      <c r="I1180" s="261"/>
      <c r="J1180" s="261"/>
      <c r="K1180" s="261"/>
      <c r="L1180" s="261"/>
      <c r="M1180" s="261"/>
    </row>
    <row r="1181" spans="5:13">
      <c r="E1181" s="261"/>
      <c r="F1181" s="261"/>
      <c r="G1181" s="261"/>
      <c r="H1181" s="261"/>
      <c r="I1181" s="261"/>
      <c r="J1181" s="261"/>
      <c r="K1181" s="261"/>
      <c r="L1181" s="261"/>
      <c r="M1181" s="261"/>
    </row>
    <row r="1182" spans="5:13">
      <c r="E1182" s="261"/>
      <c r="F1182" s="261"/>
      <c r="G1182" s="261"/>
      <c r="H1182" s="272" t="s">
        <v>4339</v>
      </c>
      <c r="I1182" s="261"/>
      <c r="J1182" s="261"/>
      <c r="K1182" s="261"/>
      <c r="L1182" s="261"/>
      <c r="M1182" s="261"/>
    </row>
    <row r="1183" spans="5:13">
      <c r="E1183" s="261"/>
      <c r="F1183" s="261"/>
      <c r="G1183" s="261"/>
      <c r="H1183" s="261"/>
      <c r="I1183" s="261"/>
      <c r="J1183" s="261"/>
      <c r="K1183" s="261"/>
      <c r="L1183" s="261"/>
      <c r="M1183" s="261"/>
    </row>
    <row r="1184" spans="5:13" ht="110.25">
      <c r="E1184" s="261"/>
      <c r="F1184" s="261"/>
      <c r="G1184" s="261"/>
      <c r="H1184" s="260" t="s">
        <v>2984</v>
      </c>
      <c r="I1184" s="261"/>
      <c r="J1184" s="261"/>
      <c r="K1184" s="261"/>
      <c r="L1184" s="261"/>
      <c r="M1184" s="261"/>
    </row>
    <row r="1185" spans="5:13">
      <c r="E1185" s="261"/>
      <c r="F1185" s="261"/>
      <c r="G1185" s="261"/>
      <c r="H1185" s="261"/>
      <c r="I1185" s="261"/>
      <c r="J1185" s="261"/>
      <c r="K1185" s="261"/>
      <c r="L1185" s="261"/>
      <c r="M1185" s="261"/>
    </row>
    <row r="1186" spans="5:13">
      <c r="E1186" s="261"/>
      <c r="F1186" s="261"/>
      <c r="G1186" s="261"/>
      <c r="H1186" s="261" t="s">
        <v>3111</v>
      </c>
      <c r="I1186" s="261"/>
      <c r="J1186" s="261"/>
      <c r="K1186" s="261">
        <f>K1171</f>
        <v>11804.7</v>
      </c>
      <c r="L1186" s="261"/>
      <c r="M1186" s="261"/>
    </row>
    <row r="1187" spans="5:13" ht="31.5">
      <c r="E1187" s="261"/>
      <c r="F1187" s="261">
        <v>360</v>
      </c>
      <c r="G1187" s="261" t="s">
        <v>823</v>
      </c>
      <c r="H1187" s="260" t="s">
        <v>4340</v>
      </c>
      <c r="I1187" s="264">
        <v>40.950000000000003</v>
      </c>
      <c r="J1187" s="261" t="s">
        <v>823</v>
      </c>
      <c r="K1187" s="261">
        <f>F1187*I1187</f>
        <v>14742</v>
      </c>
      <c r="L1187" s="261"/>
      <c r="M1187" s="261"/>
    </row>
    <row r="1188" spans="5:13" ht="31.5">
      <c r="E1188" s="261"/>
      <c r="F1188" s="261">
        <v>180</v>
      </c>
      <c r="G1188" s="261" t="s">
        <v>823</v>
      </c>
      <c r="H1188" s="260" t="s">
        <v>2933</v>
      </c>
      <c r="I1188" s="261">
        <f>I1173</f>
        <v>16.55</v>
      </c>
      <c r="J1188" s="261" t="s">
        <v>2529</v>
      </c>
      <c r="K1188" s="261">
        <f>F1188*I1188</f>
        <v>2979</v>
      </c>
      <c r="L1188" s="261"/>
      <c r="M1188" s="261"/>
    </row>
    <row r="1189" spans="5:13">
      <c r="E1189" s="261"/>
      <c r="F1189" s="261"/>
      <c r="G1189" s="261"/>
      <c r="H1189" s="261" t="s">
        <v>2261</v>
      </c>
      <c r="I1189" s="261"/>
      <c r="J1189" s="261"/>
      <c r="K1189" s="261"/>
      <c r="L1189" s="261"/>
      <c r="M1189" s="261"/>
    </row>
    <row r="1190" spans="5:13">
      <c r="E1190" s="261"/>
      <c r="F1190" s="261"/>
      <c r="G1190" s="261"/>
      <c r="H1190" s="269" t="s">
        <v>2934</v>
      </c>
      <c r="I1190" s="261"/>
      <c r="J1190" s="261"/>
      <c r="K1190" s="270">
        <f>K1186+K1187-K1188+K1189</f>
        <v>23567.7</v>
      </c>
      <c r="L1190" s="261"/>
      <c r="M1190" s="261"/>
    </row>
    <row r="1191" spans="5:13">
      <c r="E1191" s="261"/>
      <c r="F1191" s="261"/>
      <c r="G1191" s="261"/>
      <c r="H1191" s="271" t="s">
        <v>2384</v>
      </c>
      <c r="I1191" s="261"/>
      <c r="J1191" s="261"/>
      <c r="K1191" s="272">
        <f>K1190/90</f>
        <v>261.86</v>
      </c>
      <c r="L1191" s="261"/>
      <c r="M1191" s="261"/>
    </row>
    <row r="1192" spans="5:13">
      <c r="E1192" s="261"/>
      <c r="F1192" s="261"/>
      <c r="G1192" s="261"/>
      <c r="H1192" s="261"/>
      <c r="I1192" s="261"/>
      <c r="J1192" s="261"/>
      <c r="K1192" s="261"/>
      <c r="L1192" s="261"/>
      <c r="M1192" s="261"/>
    </row>
    <row r="1193" spans="5:13">
      <c r="E1193" s="261"/>
      <c r="F1193" s="261"/>
      <c r="G1193" s="261"/>
      <c r="H1193" s="261"/>
      <c r="I1193" s="261"/>
      <c r="J1193" s="261"/>
      <c r="K1193" s="261"/>
      <c r="L1193" s="261"/>
      <c r="M1193" s="261"/>
    </row>
    <row r="1194" spans="5:13">
      <c r="E1194" s="261"/>
      <c r="F1194" s="261"/>
      <c r="G1194" s="261"/>
      <c r="H1194" s="261"/>
      <c r="I1194" s="261"/>
      <c r="J1194" s="261"/>
      <c r="K1194" s="261"/>
      <c r="L1194" s="261"/>
      <c r="M1194" s="261"/>
    </row>
    <row r="1195" spans="5:13">
      <c r="E1195" s="261"/>
      <c r="F1195" s="322"/>
      <c r="G1195" s="323"/>
      <c r="H1195" s="324" t="s">
        <v>4139</v>
      </c>
      <c r="I1195" s="322"/>
      <c r="J1195" s="325"/>
      <c r="K1195" s="326"/>
      <c r="L1195" s="261"/>
      <c r="M1195" s="261"/>
    </row>
    <row r="1196" spans="5:13">
      <c r="E1196" s="261"/>
      <c r="F1196" s="322"/>
      <c r="G1196" s="323"/>
      <c r="H1196" s="327" t="s">
        <v>4140</v>
      </c>
      <c r="I1196" s="322"/>
      <c r="J1196" s="325"/>
      <c r="K1196" s="322"/>
      <c r="L1196" s="261"/>
      <c r="M1196" s="261"/>
    </row>
    <row r="1197" spans="5:13">
      <c r="E1197" s="261"/>
      <c r="F1197" s="322"/>
      <c r="G1197" s="323"/>
      <c r="H1197" s="328" t="s">
        <v>4141</v>
      </c>
      <c r="I1197" s="322"/>
      <c r="J1197" s="325"/>
      <c r="K1197" s="322"/>
      <c r="L1197" s="261"/>
      <c r="M1197" s="261"/>
    </row>
    <row r="1198" spans="5:13">
      <c r="E1198" s="261"/>
      <c r="F1198" s="322"/>
      <c r="G1198" s="323"/>
      <c r="H1198" s="327" t="s">
        <v>4142</v>
      </c>
      <c r="I1198" s="322"/>
      <c r="J1198" s="325">
        <f>3.3*3.3*2+6.6+6.6+6.6</f>
        <v>41.58</v>
      </c>
      <c r="K1198" s="322"/>
      <c r="L1198" s="261"/>
      <c r="M1198" s="261"/>
    </row>
    <row r="1199" spans="5:13">
      <c r="E1199" s="261"/>
      <c r="F1199" s="322"/>
      <c r="G1199" s="323"/>
      <c r="H1199" s="327" t="s">
        <v>4143</v>
      </c>
      <c r="I1199" s="322"/>
      <c r="J1199" s="325"/>
      <c r="K1199" s="322"/>
      <c r="L1199" s="261"/>
      <c r="M1199" s="261"/>
    </row>
    <row r="1200" spans="5:13">
      <c r="E1200" s="261"/>
      <c r="F1200" s="322"/>
      <c r="G1200" s="323"/>
      <c r="H1200" s="327" t="s">
        <v>4144</v>
      </c>
      <c r="I1200" s="322"/>
      <c r="J1200" s="325"/>
      <c r="K1200" s="322"/>
      <c r="L1200" s="261"/>
      <c r="M1200" s="261"/>
    </row>
    <row r="1201" spans="5:13">
      <c r="E1201" s="261"/>
      <c r="F1201" s="322"/>
      <c r="G1201" s="323"/>
      <c r="H1201" s="327" t="s">
        <v>4145</v>
      </c>
      <c r="I1201" s="322"/>
      <c r="J1201" s="325"/>
      <c r="K1201" s="322"/>
      <c r="L1201" s="261"/>
      <c r="M1201" s="261"/>
    </row>
    <row r="1202" spans="5:13">
      <c r="E1202" s="261"/>
      <c r="F1202" s="322"/>
      <c r="G1202" s="323"/>
      <c r="H1202" s="327" t="s">
        <v>4146</v>
      </c>
      <c r="I1202" s="322"/>
      <c r="J1202" s="325"/>
      <c r="K1202" s="322"/>
      <c r="L1202" s="261"/>
      <c r="M1202" s="261"/>
    </row>
    <row r="1203" spans="5:13">
      <c r="E1203" s="261"/>
      <c r="F1203" s="322"/>
      <c r="G1203" s="323"/>
      <c r="H1203" s="328"/>
      <c r="I1203" s="322"/>
      <c r="J1203" s="325"/>
      <c r="K1203" s="322"/>
      <c r="L1203" s="261"/>
      <c r="M1203" s="261"/>
    </row>
    <row r="1204" spans="5:13">
      <c r="E1204" s="261"/>
      <c r="F1204" s="322"/>
      <c r="G1204" s="323"/>
      <c r="H1204" s="327" t="s">
        <v>4147</v>
      </c>
      <c r="I1204" s="322"/>
      <c r="J1204" s="325"/>
      <c r="K1204" s="322"/>
      <c r="L1204" s="261"/>
      <c r="M1204" s="261"/>
    </row>
    <row r="1205" spans="5:13">
      <c r="E1205" s="261"/>
      <c r="F1205" s="329"/>
      <c r="G1205" s="323"/>
      <c r="H1205" s="328" t="s">
        <v>4148</v>
      </c>
      <c r="I1205" s="322"/>
      <c r="J1205" s="325"/>
      <c r="K1205" s="322"/>
      <c r="L1205" s="261"/>
      <c r="M1205" s="261"/>
    </row>
    <row r="1206" spans="5:13">
      <c r="E1206" s="261"/>
      <c r="F1206" s="322"/>
      <c r="G1206" s="323"/>
      <c r="H1206" s="327" t="s">
        <v>5645</v>
      </c>
      <c r="I1206" s="322"/>
      <c r="J1206" s="325"/>
      <c r="K1206" s="322"/>
      <c r="L1206" s="261"/>
      <c r="M1206" s="261"/>
    </row>
    <row r="1207" spans="5:13">
      <c r="E1207" s="261"/>
      <c r="F1207" s="330">
        <v>53.512999999999998</v>
      </c>
      <c r="G1207" s="323" t="s">
        <v>909</v>
      </c>
      <c r="H1207" s="327" t="s">
        <v>5033</v>
      </c>
      <c r="I1207" s="331">
        <v>51.4</v>
      </c>
      <c r="J1207" s="325" t="s">
        <v>909</v>
      </c>
      <c r="K1207" s="322">
        <f>I1207*F1207</f>
        <v>2750.57</v>
      </c>
      <c r="L1207" s="261"/>
      <c r="M1207" s="261"/>
    </row>
    <row r="1208" spans="5:13">
      <c r="E1208" s="261"/>
      <c r="F1208" s="329"/>
      <c r="G1208" s="323"/>
      <c r="H1208" s="328" t="s">
        <v>4149</v>
      </c>
      <c r="I1208" s="322"/>
      <c r="J1208" s="325"/>
      <c r="K1208" s="322"/>
      <c r="L1208" s="261"/>
      <c r="M1208" s="261"/>
    </row>
    <row r="1209" spans="5:13">
      <c r="E1209" s="261"/>
      <c r="F1209" s="322"/>
      <c r="G1209" s="323"/>
      <c r="H1209" s="327" t="s">
        <v>4150</v>
      </c>
      <c r="I1209" s="322"/>
      <c r="J1209" s="325"/>
      <c r="K1209" s="322"/>
      <c r="L1209" s="261"/>
      <c r="M1209" s="261"/>
    </row>
    <row r="1210" spans="5:13">
      <c r="E1210" s="261"/>
      <c r="F1210" s="322"/>
      <c r="G1210" s="323"/>
      <c r="H1210" s="327" t="s">
        <v>4151</v>
      </c>
      <c r="I1210" s="322"/>
      <c r="J1210" s="325"/>
      <c r="K1210" s="322"/>
      <c r="L1210" s="261"/>
      <c r="M1210" s="261"/>
    </row>
    <row r="1211" spans="5:13">
      <c r="E1211" s="261"/>
      <c r="F1211" s="322"/>
      <c r="G1211" s="323"/>
      <c r="H1211" s="327" t="s">
        <v>4152</v>
      </c>
      <c r="I1211" s="322"/>
      <c r="J1211" s="325"/>
      <c r="K1211" s="322"/>
      <c r="L1211" s="261"/>
      <c r="M1211" s="261"/>
    </row>
    <row r="1212" spans="5:13">
      <c r="E1212" s="261"/>
      <c r="F1212" s="322"/>
      <c r="G1212" s="323"/>
      <c r="H1212" s="327" t="s">
        <v>4153</v>
      </c>
      <c r="I1212" s="322"/>
      <c r="J1212" s="325"/>
      <c r="K1212" s="322"/>
      <c r="L1212" s="261"/>
      <c r="M1212" s="261"/>
    </row>
    <row r="1213" spans="5:13" ht="25.5">
      <c r="E1213" s="261"/>
      <c r="F1213" s="322"/>
      <c r="G1213" s="323"/>
      <c r="H1213" s="327" t="s">
        <v>4154</v>
      </c>
      <c r="I1213" s="322"/>
      <c r="J1213" s="325"/>
      <c r="K1213" s="322"/>
      <c r="L1213" s="261"/>
      <c r="M1213" s="261"/>
    </row>
    <row r="1214" spans="5:13">
      <c r="E1214" s="261"/>
      <c r="F1214" s="322"/>
      <c r="G1214" s="323"/>
      <c r="H1214" s="327" t="s">
        <v>4155</v>
      </c>
      <c r="I1214" s="322"/>
      <c r="J1214" s="325"/>
      <c r="K1214" s="322"/>
      <c r="L1214" s="261"/>
      <c r="M1214" s="261"/>
    </row>
    <row r="1215" spans="5:13">
      <c r="E1215" s="261"/>
      <c r="F1215" s="322"/>
      <c r="G1215" s="323"/>
      <c r="H1215" s="327" t="s">
        <v>4156</v>
      </c>
      <c r="I1215" s="322"/>
      <c r="J1215" s="325"/>
      <c r="K1215" s="322"/>
      <c r="L1215" s="261"/>
      <c r="M1215" s="261"/>
    </row>
    <row r="1216" spans="5:13">
      <c r="E1216" s="261"/>
      <c r="F1216" s="322">
        <v>18.600000000000001</v>
      </c>
      <c r="G1216" s="323" t="s">
        <v>909</v>
      </c>
      <c r="H1216" s="327" t="s">
        <v>4157</v>
      </c>
      <c r="I1216" s="322">
        <f>I1207</f>
        <v>51.4</v>
      </c>
      <c r="J1216" s="325" t="s">
        <v>909</v>
      </c>
      <c r="K1216" s="322">
        <f>SUM(F1216*I1216)</f>
        <v>956.04</v>
      </c>
      <c r="L1216" s="261"/>
      <c r="M1216" s="261"/>
    </row>
    <row r="1217" spans="5:13">
      <c r="E1217" s="261"/>
      <c r="F1217" s="322"/>
      <c r="G1217" s="323"/>
      <c r="H1217" s="328" t="s">
        <v>4158</v>
      </c>
      <c r="I1217" s="322"/>
      <c r="J1217" s="325"/>
      <c r="K1217" s="322"/>
      <c r="L1217" s="261"/>
      <c r="M1217" s="261"/>
    </row>
    <row r="1218" spans="5:13">
      <c r="E1218" s="261"/>
      <c r="F1218" s="322"/>
      <c r="G1218" s="323"/>
      <c r="H1218" s="327" t="s">
        <v>4159</v>
      </c>
      <c r="I1218" s="322"/>
      <c r="J1218" s="325"/>
      <c r="K1218" s="322"/>
      <c r="L1218" s="261"/>
      <c r="M1218" s="261"/>
    </row>
    <row r="1219" spans="5:13">
      <c r="E1219" s="261"/>
      <c r="F1219" s="322"/>
      <c r="G1219" s="323"/>
      <c r="H1219" s="327" t="s">
        <v>4160</v>
      </c>
      <c r="I1219" s="322"/>
      <c r="J1219" s="325"/>
      <c r="K1219" s="322"/>
      <c r="L1219" s="261"/>
      <c r="M1219" s="261"/>
    </row>
    <row r="1220" spans="5:13">
      <c r="E1220" s="261"/>
      <c r="F1220" s="322"/>
      <c r="G1220" s="323"/>
      <c r="H1220" s="327" t="s">
        <v>4161</v>
      </c>
      <c r="I1220" s="322"/>
      <c r="J1220" s="325"/>
      <c r="K1220" s="322"/>
      <c r="L1220" s="261"/>
      <c r="M1220" s="261"/>
    </row>
    <row r="1221" spans="5:13">
      <c r="E1221" s="261"/>
      <c r="F1221" s="322"/>
      <c r="G1221" s="323"/>
      <c r="H1221" s="327" t="s">
        <v>4162</v>
      </c>
      <c r="I1221" s="322"/>
      <c r="J1221" s="325"/>
      <c r="K1221" s="322"/>
      <c r="L1221" s="261"/>
      <c r="M1221" s="261"/>
    </row>
    <row r="1222" spans="5:13">
      <c r="E1222" s="261"/>
      <c r="F1222" s="322"/>
      <c r="G1222" s="323"/>
      <c r="H1222" s="327" t="s">
        <v>4163</v>
      </c>
      <c r="I1222" s="322"/>
      <c r="J1222" s="325"/>
      <c r="K1222" s="322"/>
      <c r="L1222" s="261"/>
      <c r="M1222" s="261"/>
    </row>
    <row r="1223" spans="5:13" ht="25.5">
      <c r="E1223" s="261"/>
      <c r="F1223" s="322"/>
      <c r="G1223" s="323"/>
      <c r="H1223" s="327" t="s">
        <v>4164</v>
      </c>
      <c r="I1223" s="322"/>
      <c r="J1223" s="325"/>
      <c r="K1223" s="322"/>
      <c r="L1223" s="261"/>
      <c r="M1223" s="261"/>
    </row>
    <row r="1224" spans="5:13">
      <c r="E1224" s="261"/>
      <c r="F1224" s="322"/>
      <c r="G1224" s="323"/>
      <c r="H1224" s="327" t="s">
        <v>4165</v>
      </c>
      <c r="I1224" s="322"/>
      <c r="J1224" s="325"/>
      <c r="K1224" s="322"/>
      <c r="L1224" s="261"/>
      <c r="M1224" s="261"/>
    </row>
    <row r="1225" spans="5:13">
      <c r="E1225" s="261"/>
      <c r="F1225" s="322"/>
      <c r="G1225" s="323"/>
      <c r="H1225" s="327" t="s">
        <v>4166</v>
      </c>
      <c r="I1225" s="322"/>
      <c r="J1225" s="325"/>
      <c r="K1225" s="322"/>
      <c r="L1225" s="261"/>
      <c r="M1225" s="261"/>
    </row>
    <row r="1226" spans="5:13" ht="25.5">
      <c r="E1226" s="261"/>
      <c r="F1226" s="322"/>
      <c r="G1226" s="323"/>
      <c r="H1226" s="327" t="s">
        <v>4167</v>
      </c>
      <c r="I1226" s="322"/>
      <c r="J1226" s="325"/>
      <c r="K1226" s="322"/>
      <c r="L1226" s="261"/>
      <c r="M1226" s="261"/>
    </row>
    <row r="1227" spans="5:13">
      <c r="E1227" s="261"/>
      <c r="F1227" s="322"/>
      <c r="G1227" s="323"/>
      <c r="H1227" s="327" t="s">
        <v>4168</v>
      </c>
      <c r="I1227" s="322"/>
      <c r="J1227" s="325"/>
      <c r="K1227" s="322"/>
      <c r="L1227" s="261"/>
      <c r="M1227" s="261"/>
    </row>
    <row r="1228" spans="5:13">
      <c r="E1228" s="261"/>
      <c r="F1228" s="322"/>
      <c r="G1228" s="323"/>
      <c r="H1228" s="327"/>
      <c r="I1228" s="322"/>
      <c r="J1228" s="325"/>
      <c r="K1228" s="322"/>
      <c r="L1228" s="261"/>
      <c r="M1228" s="261"/>
    </row>
    <row r="1229" spans="5:13">
      <c r="E1229" s="261"/>
      <c r="F1229" s="322"/>
      <c r="G1229" s="323"/>
      <c r="H1229" s="327" t="s">
        <v>4169</v>
      </c>
      <c r="I1229" s="322"/>
      <c r="J1229" s="325"/>
      <c r="K1229" s="322"/>
      <c r="L1229" s="261"/>
      <c r="M1229" s="261"/>
    </row>
    <row r="1230" spans="5:13">
      <c r="E1230" s="261"/>
      <c r="F1230" s="322"/>
      <c r="G1230" s="323"/>
      <c r="H1230" s="327"/>
      <c r="I1230" s="322"/>
      <c r="J1230" s="325"/>
      <c r="K1230" s="322"/>
      <c r="L1230" s="261"/>
      <c r="M1230" s="261"/>
    </row>
    <row r="1231" spans="5:13">
      <c r="E1231" s="261"/>
      <c r="F1231" s="322">
        <v>5.92</v>
      </c>
      <c r="G1231" s="323" t="s">
        <v>909</v>
      </c>
      <c r="H1231" s="327" t="s">
        <v>5012</v>
      </c>
      <c r="I1231" s="331">
        <v>562</v>
      </c>
      <c r="J1231" s="325" t="s">
        <v>909</v>
      </c>
      <c r="K1231" s="322">
        <f>SUM(F1231*I1231)</f>
        <v>3327.04</v>
      </c>
      <c r="L1231" s="261"/>
      <c r="M1231" s="261"/>
    </row>
    <row r="1232" spans="5:13">
      <c r="E1232" s="261"/>
      <c r="F1232" s="322">
        <f>F1231</f>
        <v>5.92</v>
      </c>
      <c r="G1232" s="323" t="s">
        <v>909</v>
      </c>
      <c r="H1232" s="327" t="s">
        <v>4170</v>
      </c>
      <c r="I1232" s="332">
        <v>10</v>
      </c>
      <c r="J1232" s="325" t="s">
        <v>909</v>
      </c>
      <c r="K1232" s="322">
        <f>SUM(F1232*I1232)</f>
        <v>59.2</v>
      </c>
      <c r="L1232" s="261"/>
      <c r="M1232" s="261"/>
    </row>
    <row r="1233" spans="5:13">
      <c r="E1233" s="261"/>
      <c r="F1233" s="322"/>
      <c r="G1233" s="323"/>
      <c r="H1233" s="327"/>
      <c r="I1233" s="322"/>
      <c r="J1233" s="325"/>
      <c r="K1233" s="322"/>
      <c r="L1233" s="261"/>
      <c r="M1233" s="261"/>
    </row>
    <row r="1234" spans="5:13">
      <c r="E1234" s="261"/>
      <c r="F1234" s="322"/>
      <c r="G1234" s="323"/>
      <c r="H1234" s="328" t="s">
        <v>4171</v>
      </c>
      <c r="I1234" s="322"/>
      <c r="J1234" s="325"/>
      <c r="K1234" s="322"/>
      <c r="L1234" s="261"/>
      <c r="M1234" s="261"/>
    </row>
    <row r="1235" spans="5:13">
      <c r="E1235" s="261"/>
      <c r="F1235" s="322"/>
      <c r="G1235" s="323"/>
      <c r="H1235" s="327" t="s">
        <v>4172</v>
      </c>
      <c r="I1235" s="322"/>
      <c r="J1235" s="325"/>
      <c r="K1235" s="322"/>
      <c r="L1235" s="261"/>
      <c r="M1235" s="261"/>
    </row>
    <row r="1236" spans="5:13">
      <c r="E1236" s="261"/>
      <c r="F1236" s="322"/>
      <c r="G1236" s="323"/>
      <c r="H1236" s="327" t="s">
        <v>4173</v>
      </c>
      <c r="I1236" s="322"/>
      <c r="J1236" s="325"/>
      <c r="K1236" s="322"/>
      <c r="L1236" s="261"/>
      <c r="M1236" s="261"/>
    </row>
    <row r="1237" spans="5:13">
      <c r="E1237" s="261"/>
      <c r="F1237" s="322"/>
      <c r="G1237" s="323"/>
      <c r="H1237" s="327" t="s">
        <v>4174</v>
      </c>
      <c r="I1237" s="322"/>
      <c r="J1237" s="325"/>
      <c r="K1237" s="322"/>
      <c r="L1237" s="261"/>
      <c r="M1237" s="261"/>
    </row>
    <row r="1238" spans="5:13">
      <c r="E1238" s="261"/>
      <c r="F1238" s="322">
        <v>3.6</v>
      </c>
      <c r="G1238" s="323" t="s">
        <v>909</v>
      </c>
      <c r="H1238" s="327" t="s">
        <v>5013</v>
      </c>
      <c r="I1238" s="331">
        <v>94.9</v>
      </c>
      <c r="J1238" s="325" t="s">
        <v>909</v>
      </c>
      <c r="K1238" s="322">
        <f>I1238*F1238</f>
        <v>341.64</v>
      </c>
      <c r="L1238" s="261"/>
      <c r="M1238" s="261"/>
    </row>
    <row r="1239" spans="5:13">
      <c r="E1239" s="261"/>
      <c r="F1239" s="322"/>
      <c r="G1239" s="323"/>
      <c r="H1239" s="328" t="s">
        <v>4175</v>
      </c>
      <c r="I1239" s="322"/>
      <c r="J1239" s="325"/>
      <c r="K1239" s="322"/>
      <c r="L1239" s="261"/>
      <c r="M1239" s="261"/>
    </row>
    <row r="1240" spans="5:13">
      <c r="E1240" s="261"/>
      <c r="F1240" s="322">
        <v>3</v>
      </c>
      <c r="G1240" s="323" t="s">
        <v>1026</v>
      </c>
      <c r="H1240" s="327" t="s">
        <v>5014</v>
      </c>
      <c r="I1240" s="331">
        <v>555</v>
      </c>
      <c r="J1240" s="325" t="s">
        <v>1393</v>
      </c>
      <c r="K1240" s="322">
        <f>I1240*F1240</f>
        <v>1665</v>
      </c>
      <c r="L1240" s="261"/>
      <c r="M1240" s="261"/>
    </row>
    <row r="1241" spans="5:13">
      <c r="E1241" s="261"/>
      <c r="F1241" s="322">
        <v>1</v>
      </c>
      <c r="G1241" s="323" t="s">
        <v>1026</v>
      </c>
      <c r="H1241" s="327" t="s">
        <v>5015</v>
      </c>
      <c r="I1241" s="331">
        <v>343.7</v>
      </c>
      <c r="J1241" s="325" t="s">
        <v>1393</v>
      </c>
      <c r="K1241" s="322">
        <f>I1241*F1241</f>
        <v>343.7</v>
      </c>
      <c r="L1241" s="261"/>
      <c r="M1241" s="261"/>
    </row>
    <row r="1242" spans="5:13">
      <c r="E1242" s="261"/>
      <c r="F1242" s="322">
        <v>1</v>
      </c>
      <c r="G1242" s="323" t="s">
        <v>1026</v>
      </c>
      <c r="H1242" s="327" t="s">
        <v>4176</v>
      </c>
      <c r="I1242" s="332">
        <f>I1241</f>
        <v>343.7</v>
      </c>
      <c r="J1242" s="325" t="s">
        <v>1393</v>
      </c>
      <c r="K1242" s="322">
        <f>I1242*F1242</f>
        <v>343.7</v>
      </c>
      <c r="L1242" s="261"/>
      <c r="M1242" s="261"/>
    </row>
    <row r="1243" spans="5:13">
      <c r="E1243" s="261"/>
      <c r="F1243" s="333">
        <v>800</v>
      </c>
      <c r="G1243" s="325" t="s">
        <v>4177</v>
      </c>
      <c r="H1243" s="327" t="s">
        <v>4178</v>
      </c>
      <c r="I1243" s="322">
        <v>1</v>
      </c>
      <c r="J1243" s="325" t="s">
        <v>4177</v>
      </c>
      <c r="K1243" s="322">
        <f>SUM(F1243*I1243)</f>
        <v>800</v>
      </c>
      <c r="L1243" s="261"/>
      <c r="M1243" s="261"/>
    </row>
    <row r="1244" spans="5:13">
      <c r="E1244" s="261"/>
      <c r="F1244" s="322"/>
      <c r="G1244" s="323"/>
      <c r="H1244" s="327" t="s">
        <v>4179</v>
      </c>
      <c r="I1244" s="322"/>
      <c r="J1244" s="325"/>
      <c r="K1244" s="322"/>
      <c r="L1244" s="261"/>
      <c r="M1244" s="261"/>
    </row>
    <row r="1245" spans="5:13">
      <c r="E1245" s="261"/>
      <c r="F1245" s="322"/>
      <c r="G1245" s="323"/>
      <c r="H1245" s="327" t="s">
        <v>4180</v>
      </c>
      <c r="I1245" s="322"/>
      <c r="J1245" s="325"/>
      <c r="K1245" s="322"/>
      <c r="L1245" s="261"/>
      <c r="M1245" s="261"/>
    </row>
    <row r="1246" spans="5:13">
      <c r="E1246" s="261"/>
      <c r="F1246" s="334">
        <v>0.27</v>
      </c>
      <c r="G1246" s="323" t="s">
        <v>5646</v>
      </c>
      <c r="H1246" s="327" t="s">
        <v>5016</v>
      </c>
      <c r="I1246" s="322">
        <f>630*2</f>
        <v>1260</v>
      </c>
      <c r="J1246" s="335" t="s">
        <v>5646</v>
      </c>
      <c r="K1246" s="322">
        <f t="shared" ref="K1246:K1253" si="23">SUM(F1246*I1246)</f>
        <v>340.2</v>
      </c>
      <c r="L1246" s="261"/>
      <c r="M1246" s="261"/>
    </row>
    <row r="1247" spans="5:13">
      <c r="E1247" s="261"/>
      <c r="F1247" s="322">
        <v>9</v>
      </c>
      <c r="G1247" s="323" t="s">
        <v>1427</v>
      </c>
      <c r="H1247" s="327" t="s">
        <v>4181</v>
      </c>
      <c r="I1247" s="332">
        <v>20</v>
      </c>
      <c r="J1247" s="325" t="s">
        <v>1706</v>
      </c>
      <c r="K1247" s="322">
        <f t="shared" si="23"/>
        <v>180</v>
      </c>
      <c r="L1247" s="261"/>
      <c r="M1247" s="261"/>
    </row>
    <row r="1248" spans="5:13">
      <c r="E1248" s="261"/>
      <c r="F1248" s="322">
        <v>2</v>
      </c>
      <c r="G1248" s="323" t="s">
        <v>145</v>
      </c>
      <c r="H1248" s="327" t="s">
        <v>4182</v>
      </c>
      <c r="I1248" s="332">
        <v>280</v>
      </c>
      <c r="J1248" s="325" t="s">
        <v>145</v>
      </c>
      <c r="K1248" s="322">
        <f t="shared" si="23"/>
        <v>560</v>
      </c>
      <c r="L1248" s="261"/>
      <c r="M1248" s="261"/>
    </row>
    <row r="1249" spans="5:13">
      <c r="E1249" s="261"/>
      <c r="F1249" s="322">
        <v>5</v>
      </c>
      <c r="G1249" s="323" t="s">
        <v>3430</v>
      </c>
      <c r="H1249" s="327" t="s">
        <v>5017</v>
      </c>
      <c r="I1249" s="331">
        <v>10.45</v>
      </c>
      <c r="J1249" s="335" t="s">
        <v>3430</v>
      </c>
      <c r="K1249" s="322">
        <f t="shared" si="23"/>
        <v>52.25</v>
      </c>
      <c r="L1249" s="261"/>
      <c r="M1249" s="261"/>
    </row>
    <row r="1250" spans="5:13">
      <c r="E1250" s="261"/>
      <c r="F1250" s="336">
        <v>53.512999999999998</v>
      </c>
      <c r="G1250" s="337" t="s">
        <v>909</v>
      </c>
      <c r="H1250" s="327" t="s">
        <v>5018</v>
      </c>
      <c r="I1250" s="338">
        <v>47.8</v>
      </c>
      <c r="J1250" s="339" t="s">
        <v>909</v>
      </c>
      <c r="K1250" s="338">
        <f t="shared" si="23"/>
        <v>2557.92</v>
      </c>
      <c r="L1250" s="261"/>
      <c r="M1250" s="261"/>
    </row>
    <row r="1251" spans="5:13">
      <c r="E1251" s="261"/>
      <c r="F1251" s="336">
        <v>18.600000000000001</v>
      </c>
      <c r="G1251" s="337" t="s">
        <v>909</v>
      </c>
      <c r="H1251" s="327" t="s">
        <v>5019</v>
      </c>
      <c r="I1251" s="338">
        <v>47.8</v>
      </c>
      <c r="J1251" s="339" t="s">
        <v>909</v>
      </c>
      <c r="K1251" s="338">
        <f>SUM(F1251*I1251)</f>
        <v>889.08</v>
      </c>
      <c r="L1251" s="261"/>
      <c r="M1251" s="261"/>
    </row>
    <row r="1252" spans="5:13">
      <c r="E1252" s="261"/>
      <c r="F1252" s="322">
        <v>12</v>
      </c>
      <c r="G1252" s="323" t="s">
        <v>1427</v>
      </c>
      <c r="H1252" s="327" t="s">
        <v>4183</v>
      </c>
      <c r="I1252" s="332">
        <v>1898</v>
      </c>
      <c r="J1252" s="335" t="s">
        <v>1393</v>
      </c>
      <c r="K1252" s="322">
        <f t="shared" si="23"/>
        <v>22776</v>
      </c>
      <c r="L1252" s="261"/>
      <c r="M1252" s="261"/>
    </row>
    <row r="1253" spans="5:13">
      <c r="E1253" s="261"/>
      <c r="F1253" s="322">
        <v>83.16</v>
      </c>
      <c r="G1253" s="323" t="s">
        <v>4184</v>
      </c>
      <c r="H1253" s="327" t="s">
        <v>4185</v>
      </c>
      <c r="I1253" s="322">
        <v>10</v>
      </c>
      <c r="J1253" s="335" t="s">
        <v>4186</v>
      </c>
      <c r="K1253" s="322">
        <f t="shared" si="23"/>
        <v>831.6</v>
      </c>
      <c r="L1253" s="261"/>
      <c r="M1253" s="261"/>
    </row>
    <row r="1254" spans="5:13" ht="25.5">
      <c r="E1254" s="261"/>
      <c r="F1254" s="329">
        <v>24</v>
      </c>
      <c r="G1254" s="323" t="s">
        <v>4187</v>
      </c>
      <c r="H1254" s="340" t="s">
        <v>5647</v>
      </c>
      <c r="I1254" s="322">
        <v>56.7</v>
      </c>
      <c r="J1254" s="341" t="s">
        <v>4188</v>
      </c>
      <c r="K1254" s="322">
        <f>I1254*F1254</f>
        <v>1360.8</v>
      </c>
      <c r="L1254" s="261"/>
      <c r="M1254" s="261"/>
    </row>
    <row r="1255" spans="5:13">
      <c r="E1255" s="261"/>
      <c r="F1255" s="322"/>
      <c r="G1255" s="323"/>
      <c r="H1255" s="327" t="s">
        <v>4189</v>
      </c>
      <c r="I1255" s="322"/>
      <c r="J1255" s="325"/>
      <c r="K1255" s="322">
        <v>200</v>
      </c>
      <c r="L1255" s="261"/>
      <c r="M1255" s="261"/>
    </row>
    <row r="1256" spans="5:13">
      <c r="E1256" s="261"/>
      <c r="F1256" s="322"/>
      <c r="G1256" s="323"/>
      <c r="H1256" s="327"/>
      <c r="I1256" s="322" t="s">
        <v>2235</v>
      </c>
      <c r="J1256" s="325"/>
      <c r="K1256" s="326">
        <f>SUM(K1207:K1255)</f>
        <v>40334.74</v>
      </c>
      <c r="L1256" s="261"/>
      <c r="M1256" s="261"/>
    </row>
    <row r="1257" spans="5:13" ht="25.5">
      <c r="E1257" s="261"/>
      <c r="F1257" s="322"/>
      <c r="G1257" s="323"/>
      <c r="H1257" s="327" t="s">
        <v>4190</v>
      </c>
      <c r="I1257" s="322"/>
      <c r="J1257" s="325"/>
      <c r="K1257" s="322">
        <f>K1256*2/100</f>
        <v>806.69</v>
      </c>
      <c r="L1257" s="261"/>
      <c r="M1257" s="261"/>
    </row>
    <row r="1258" spans="5:13">
      <c r="E1258" s="261"/>
      <c r="F1258" s="322"/>
      <c r="G1258" s="323"/>
      <c r="H1258" s="327"/>
      <c r="I1258" s="322"/>
      <c r="J1258" s="325"/>
      <c r="K1258" s="326">
        <f>SUM(K1256:K1257)</f>
        <v>41141.43</v>
      </c>
      <c r="L1258" s="261"/>
      <c r="M1258" s="261"/>
    </row>
    <row r="1259" spans="5:13">
      <c r="E1259" s="261"/>
      <c r="F1259" s="322"/>
      <c r="G1259" s="323"/>
      <c r="H1259" s="328" t="s">
        <v>5648</v>
      </c>
      <c r="I1259" s="322"/>
      <c r="J1259" s="325"/>
      <c r="K1259" s="322"/>
      <c r="L1259" s="261"/>
      <c r="M1259" s="261"/>
    </row>
    <row r="1260" spans="5:13">
      <c r="E1260" s="261"/>
      <c r="F1260" s="322"/>
      <c r="G1260" s="323"/>
      <c r="H1260" s="327" t="s">
        <v>4191</v>
      </c>
      <c r="I1260" s="322"/>
      <c r="J1260" s="325"/>
      <c r="K1260" s="322">
        <v>1500</v>
      </c>
      <c r="L1260" s="261"/>
      <c r="M1260" s="261"/>
    </row>
    <row r="1261" spans="5:13">
      <c r="E1261" s="261"/>
      <c r="F1261" s="322"/>
      <c r="G1261" s="323"/>
      <c r="H1261" s="327" t="s">
        <v>4192</v>
      </c>
      <c r="I1261" s="322"/>
      <c r="J1261" s="325"/>
      <c r="K1261" s="322">
        <v>4000</v>
      </c>
      <c r="L1261" s="261"/>
      <c r="M1261" s="261"/>
    </row>
    <row r="1262" spans="5:13">
      <c r="E1262" s="261"/>
      <c r="F1262" s="322"/>
      <c r="G1262" s="323"/>
      <c r="H1262" s="327"/>
      <c r="I1262" s="322"/>
      <c r="J1262" s="325"/>
      <c r="K1262" s="326">
        <f>SUM(K1258:K1261)</f>
        <v>46641.43</v>
      </c>
      <c r="L1262" s="261"/>
      <c r="M1262" s="261"/>
    </row>
    <row r="1263" spans="5:13">
      <c r="E1263" s="261"/>
      <c r="F1263" s="322"/>
      <c r="G1263" s="323"/>
      <c r="H1263" s="327"/>
      <c r="I1263" s="322"/>
      <c r="J1263" s="325"/>
      <c r="K1263" s="322" t="s">
        <v>4193</v>
      </c>
      <c r="L1263" s="261"/>
      <c r="M1263" s="261"/>
    </row>
    <row r="1264" spans="5:13">
      <c r="E1264" s="261"/>
      <c r="F1264" s="322"/>
      <c r="G1264" s="323"/>
      <c r="H1264" s="327"/>
      <c r="I1264" s="322"/>
      <c r="J1264" s="325"/>
      <c r="K1264" s="342">
        <f>K1262</f>
        <v>46641.43</v>
      </c>
      <c r="L1264" s="261"/>
      <c r="M1264" s="261"/>
    </row>
    <row r="1265" spans="5:13">
      <c r="E1265" s="261"/>
      <c r="F1265" s="261"/>
      <c r="G1265" s="261"/>
      <c r="H1265" s="261"/>
      <c r="I1265" s="261"/>
      <c r="J1265" s="261"/>
      <c r="K1265" s="261"/>
      <c r="L1265" s="261"/>
      <c r="M1265" s="261"/>
    </row>
    <row r="1266" spans="5:13">
      <c r="E1266" s="261"/>
      <c r="F1266" s="261"/>
      <c r="G1266" s="261"/>
      <c r="H1266" s="261"/>
      <c r="I1266" s="261"/>
      <c r="J1266" s="261"/>
      <c r="K1266" s="261"/>
      <c r="L1266" s="261"/>
      <c r="M1266" s="261"/>
    </row>
    <row r="1267" spans="5:13">
      <c r="E1267" s="261"/>
      <c r="F1267" s="261"/>
      <c r="G1267" s="261"/>
      <c r="H1267" s="261"/>
      <c r="I1267" s="261"/>
      <c r="J1267" s="261"/>
      <c r="K1267" s="261"/>
      <c r="L1267" s="261"/>
      <c r="M1267" s="261"/>
    </row>
    <row r="1268" spans="5:13">
      <c r="E1268" s="261"/>
      <c r="F1268" s="261"/>
      <c r="G1268" s="261"/>
      <c r="H1268" s="261"/>
      <c r="I1268" s="261"/>
      <c r="J1268" s="261"/>
      <c r="K1268" s="261"/>
      <c r="L1268" s="261"/>
      <c r="M1268" s="261"/>
    </row>
    <row r="1269" spans="5:13">
      <c r="E1269" s="261"/>
      <c r="F1269" s="261"/>
      <c r="G1269" s="261"/>
      <c r="H1269" s="261"/>
      <c r="I1269" s="261"/>
      <c r="J1269" s="261"/>
      <c r="K1269" s="261"/>
      <c r="L1269" s="261"/>
      <c r="M1269" s="261"/>
    </row>
    <row r="1270" spans="5:13">
      <c r="E1270" s="261"/>
      <c r="F1270" s="261"/>
      <c r="G1270" s="261"/>
      <c r="H1270" s="261"/>
      <c r="I1270" s="261"/>
      <c r="J1270" s="261"/>
      <c r="K1270" s="261"/>
      <c r="L1270" s="261"/>
      <c r="M1270" s="261"/>
    </row>
    <row r="1271" spans="5:13">
      <c r="E1271" s="261"/>
      <c r="F1271" s="261"/>
      <c r="G1271" s="261"/>
      <c r="H1271" s="261"/>
      <c r="I1271" s="261"/>
      <c r="J1271" s="261"/>
      <c r="K1271" s="261"/>
      <c r="L1271" s="261"/>
      <c r="M1271" s="261"/>
    </row>
    <row r="1272" spans="5:13">
      <c r="E1272" s="261"/>
      <c r="F1272" s="261"/>
      <c r="G1272" s="261"/>
      <c r="H1272" s="261"/>
      <c r="I1272" s="261"/>
      <c r="J1272" s="261"/>
      <c r="K1272" s="261"/>
      <c r="L1272" s="261"/>
      <c r="M1272" s="261"/>
    </row>
    <row r="1273" spans="5:13">
      <c r="E1273" s="261"/>
      <c r="F1273" s="261"/>
      <c r="G1273" s="261"/>
      <c r="H1273" s="261"/>
      <c r="I1273" s="261"/>
      <c r="J1273" s="261"/>
      <c r="K1273" s="261"/>
      <c r="L1273" s="261"/>
      <c r="M1273" s="261"/>
    </row>
    <row r="1274" spans="5:13">
      <c r="E1274" s="261"/>
      <c r="F1274" s="261"/>
      <c r="G1274" s="261"/>
      <c r="H1274" s="261"/>
      <c r="I1274" s="261"/>
      <c r="J1274" s="261"/>
      <c r="K1274" s="261"/>
      <c r="L1274" s="261"/>
      <c r="M1274" s="261"/>
    </row>
    <row r="1275" spans="5:13">
      <c r="E1275" s="261"/>
      <c r="F1275" s="261"/>
      <c r="G1275" s="261"/>
      <c r="H1275" s="261"/>
      <c r="I1275" s="261"/>
      <c r="J1275" s="261"/>
      <c r="K1275" s="261"/>
      <c r="L1275" s="261"/>
      <c r="M1275" s="261"/>
    </row>
    <row r="1276" spans="5:13">
      <c r="E1276" s="261"/>
      <c r="F1276" s="261"/>
      <c r="G1276" s="261"/>
      <c r="H1276" s="261"/>
      <c r="I1276" s="261"/>
      <c r="J1276" s="261"/>
      <c r="K1276" s="261"/>
      <c r="L1276" s="261"/>
      <c r="M1276" s="261"/>
    </row>
    <row r="1277" spans="5:13">
      <c r="E1277" s="261"/>
      <c r="F1277" s="261"/>
      <c r="G1277" s="261"/>
      <c r="H1277" s="261"/>
      <c r="I1277" s="261"/>
      <c r="J1277" s="261"/>
      <c r="K1277" s="261"/>
      <c r="L1277" s="261"/>
      <c r="M1277" s="261"/>
    </row>
    <row r="1278" spans="5:13">
      <c r="E1278" s="261"/>
      <c r="F1278" s="261"/>
      <c r="G1278" s="261"/>
      <c r="H1278" s="261"/>
      <c r="I1278" s="261"/>
      <c r="J1278" s="261"/>
      <c r="K1278" s="261"/>
      <c r="L1278" s="261"/>
      <c r="M1278" s="261"/>
    </row>
    <row r="1279" spans="5:13">
      <c r="E1279" s="261"/>
      <c r="F1279" s="261"/>
      <c r="G1279" s="261"/>
      <c r="H1279" s="261"/>
      <c r="I1279" s="261"/>
      <c r="J1279" s="261"/>
      <c r="K1279" s="261"/>
      <c r="L1279" s="261"/>
      <c r="M1279" s="261"/>
    </row>
    <row r="1280" spans="5:13">
      <c r="E1280" s="261"/>
      <c r="F1280" s="261"/>
      <c r="G1280" s="261"/>
      <c r="H1280" s="261"/>
      <c r="I1280" s="261"/>
      <c r="J1280" s="261"/>
      <c r="K1280" s="261"/>
      <c r="L1280" s="261"/>
      <c r="M1280" s="261"/>
    </row>
    <row r="1281" spans="5:13">
      <c r="E1281" s="261"/>
      <c r="F1281" s="261"/>
      <c r="G1281" s="261"/>
      <c r="H1281" s="261"/>
      <c r="I1281" s="261"/>
      <c r="J1281" s="261"/>
      <c r="K1281" s="261"/>
      <c r="L1281" s="261"/>
      <c r="M1281" s="261"/>
    </row>
    <row r="1282" spans="5:13">
      <c r="E1282" s="261"/>
      <c r="F1282" s="261"/>
      <c r="G1282" s="261"/>
      <c r="H1282" s="261"/>
      <c r="I1282" s="261"/>
      <c r="J1282" s="261"/>
      <c r="K1282" s="261"/>
      <c r="L1282" s="261"/>
      <c r="M1282" s="261"/>
    </row>
    <row r="1283" spans="5:13">
      <c r="E1283" s="261"/>
      <c r="F1283" s="261"/>
      <c r="G1283" s="261"/>
      <c r="H1283" s="261"/>
      <c r="I1283" s="261"/>
      <c r="J1283" s="261"/>
      <c r="K1283" s="261"/>
      <c r="L1283" s="261"/>
      <c r="M1283" s="261"/>
    </row>
    <row r="1284" spans="5:13">
      <c r="E1284" s="261"/>
      <c r="F1284" s="261"/>
      <c r="G1284" s="261"/>
      <c r="H1284" s="261"/>
      <c r="I1284" s="261"/>
      <c r="J1284" s="261"/>
      <c r="K1284" s="261"/>
      <c r="L1284" s="261"/>
      <c r="M1284" s="261"/>
    </row>
    <row r="1285" spans="5:13">
      <c r="E1285" s="261"/>
      <c r="F1285" s="261"/>
      <c r="G1285" s="261"/>
      <c r="H1285" s="261"/>
      <c r="I1285" s="261"/>
      <c r="J1285" s="261"/>
      <c r="K1285" s="261"/>
      <c r="L1285" s="261"/>
      <c r="M1285" s="261"/>
    </row>
    <row r="1286" spans="5:13">
      <c r="E1286" s="261"/>
      <c r="F1286" s="261"/>
      <c r="G1286" s="261"/>
      <c r="H1286" s="261"/>
      <c r="I1286" s="261"/>
      <c r="J1286" s="261"/>
      <c r="K1286" s="261"/>
      <c r="L1286" s="261"/>
      <c r="M1286" s="261"/>
    </row>
    <row r="1287" spans="5:13">
      <c r="E1287" s="261"/>
      <c r="F1287" s="261"/>
      <c r="G1287" s="261"/>
      <c r="H1287" s="261"/>
      <c r="I1287" s="261"/>
      <c r="J1287" s="261"/>
      <c r="K1287" s="261"/>
      <c r="L1287" s="261"/>
      <c r="M1287" s="261"/>
    </row>
    <row r="1288" spans="5:13">
      <c r="E1288" s="261"/>
      <c r="F1288" s="261"/>
      <c r="G1288" s="261"/>
      <c r="H1288" s="261"/>
      <c r="I1288" s="261"/>
      <c r="J1288" s="261"/>
      <c r="K1288" s="261"/>
      <c r="L1288" s="261"/>
      <c r="M1288" s="261"/>
    </row>
    <row r="1289" spans="5:13">
      <c r="E1289" s="261"/>
      <c r="F1289" s="261"/>
      <c r="G1289" s="261"/>
      <c r="H1289" s="261"/>
      <c r="I1289" s="261"/>
      <c r="J1289" s="261"/>
      <c r="K1289" s="261"/>
      <c r="L1289" s="261"/>
      <c r="M1289" s="261"/>
    </row>
    <row r="1290" spans="5:13">
      <c r="E1290" s="261"/>
      <c r="F1290" s="261"/>
      <c r="G1290" s="261"/>
      <c r="H1290" s="261"/>
      <c r="I1290" s="261"/>
      <c r="J1290" s="261"/>
      <c r="K1290" s="261"/>
      <c r="L1290" s="261"/>
      <c r="M1290" s="261"/>
    </row>
    <row r="1291" spans="5:13">
      <c r="E1291" s="261"/>
      <c r="F1291" s="261"/>
      <c r="G1291" s="261"/>
      <c r="H1291" s="261"/>
      <c r="I1291" s="261"/>
      <c r="J1291" s="261"/>
      <c r="K1291" s="261"/>
      <c r="L1291" s="261"/>
      <c r="M1291" s="261"/>
    </row>
    <row r="1292" spans="5:13">
      <c r="E1292" s="261"/>
      <c r="F1292" s="261"/>
      <c r="G1292" s="261"/>
      <c r="H1292" s="261"/>
      <c r="I1292" s="261"/>
      <c r="J1292" s="261"/>
      <c r="K1292" s="261"/>
      <c r="L1292" s="261"/>
      <c r="M1292" s="261"/>
    </row>
    <row r="1293" spans="5:13">
      <c r="E1293" s="261"/>
      <c r="F1293" s="261"/>
      <c r="G1293" s="261"/>
      <c r="H1293" s="261"/>
      <c r="I1293" s="261"/>
      <c r="J1293" s="261"/>
      <c r="K1293" s="261"/>
      <c r="L1293" s="261"/>
      <c r="M1293" s="261"/>
    </row>
    <row r="1294" spans="5:13">
      <c r="E1294" s="261"/>
      <c r="F1294" s="261"/>
      <c r="G1294" s="261"/>
      <c r="H1294" s="261"/>
      <c r="I1294" s="261"/>
      <c r="J1294" s="261"/>
      <c r="K1294" s="261"/>
      <c r="L1294" s="261"/>
      <c r="M1294" s="261"/>
    </row>
    <row r="1295" spans="5:13">
      <c r="E1295" s="261"/>
      <c r="F1295" s="261"/>
      <c r="G1295" s="261"/>
      <c r="H1295" s="261"/>
      <c r="I1295" s="261"/>
      <c r="J1295" s="261"/>
      <c r="K1295" s="261"/>
      <c r="L1295" s="261"/>
      <c r="M1295" s="261"/>
    </row>
    <row r="1296" spans="5:13">
      <c r="E1296" s="261"/>
      <c r="F1296" s="261"/>
      <c r="G1296" s="261"/>
      <c r="H1296" s="261"/>
      <c r="I1296" s="261"/>
      <c r="J1296" s="261"/>
      <c r="K1296" s="261"/>
      <c r="L1296" s="261"/>
      <c r="M1296" s="261"/>
    </row>
    <row r="1297" spans="5:13">
      <c r="E1297" s="261"/>
      <c r="F1297" s="261"/>
      <c r="G1297" s="261"/>
      <c r="H1297" s="261"/>
      <c r="I1297" s="261"/>
      <c r="J1297" s="261"/>
      <c r="K1297" s="261"/>
      <c r="L1297" s="261"/>
      <c r="M1297" s="261"/>
    </row>
    <row r="1298" spans="5:13">
      <c r="E1298" s="261"/>
      <c r="F1298" s="261"/>
      <c r="G1298" s="261"/>
      <c r="H1298" s="261"/>
      <c r="I1298" s="261"/>
      <c r="J1298" s="261"/>
      <c r="K1298" s="261"/>
      <c r="L1298" s="261"/>
      <c r="M1298" s="261"/>
    </row>
    <row r="1299" spans="5:13">
      <c r="E1299" s="261"/>
      <c r="F1299" s="261"/>
      <c r="G1299" s="261"/>
      <c r="H1299" s="261"/>
      <c r="I1299" s="261"/>
      <c r="J1299" s="261"/>
      <c r="K1299" s="261"/>
      <c r="L1299" s="261"/>
      <c r="M1299" s="261"/>
    </row>
    <row r="1300" spans="5:13">
      <c r="E1300" s="261"/>
      <c r="F1300" s="261"/>
      <c r="G1300" s="261"/>
      <c r="H1300" s="261"/>
      <c r="I1300" s="261"/>
      <c r="J1300" s="261"/>
      <c r="K1300" s="261"/>
      <c r="L1300" s="261"/>
      <c r="M1300" s="261"/>
    </row>
    <row r="1301" spans="5:13">
      <c r="E1301" s="261"/>
      <c r="F1301" s="261"/>
      <c r="G1301" s="261"/>
      <c r="H1301" s="261"/>
      <c r="I1301" s="261"/>
      <c r="J1301" s="261"/>
      <c r="K1301" s="261"/>
      <c r="L1301" s="261"/>
      <c r="M1301" s="261"/>
    </row>
    <row r="1302" spans="5:13">
      <c r="E1302" s="261"/>
      <c r="F1302" s="261"/>
      <c r="G1302" s="261"/>
      <c r="H1302" s="261"/>
      <c r="I1302" s="261"/>
      <c r="J1302" s="261"/>
      <c r="K1302" s="261"/>
      <c r="L1302" s="261"/>
      <c r="M1302" s="261"/>
    </row>
    <row r="1303" spans="5:13">
      <c r="E1303" s="261"/>
      <c r="F1303" s="261"/>
      <c r="G1303" s="261"/>
      <c r="H1303" s="261"/>
      <c r="I1303" s="261"/>
      <c r="J1303" s="261"/>
      <c r="K1303" s="261"/>
      <c r="L1303" s="261"/>
      <c r="M1303" s="261"/>
    </row>
    <row r="1304" spans="5:13">
      <c r="E1304" s="261"/>
      <c r="F1304" s="261"/>
      <c r="G1304" s="261"/>
      <c r="H1304" s="261"/>
      <c r="I1304" s="261"/>
      <c r="J1304" s="261"/>
      <c r="K1304" s="261"/>
      <c r="L1304" s="261"/>
      <c r="M1304" s="261"/>
    </row>
    <row r="1305" spans="5:13">
      <c r="E1305" s="261"/>
      <c r="F1305" s="261"/>
      <c r="G1305" s="261"/>
      <c r="H1305" s="261"/>
      <c r="I1305" s="261"/>
      <c r="J1305" s="261"/>
      <c r="K1305" s="261"/>
      <c r="L1305" s="261"/>
      <c r="M1305" s="261"/>
    </row>
    <row r="1306" spans="5:13">
      <c r="E1306" s="261"/>
      <c r="F1306" s="261"/>
      <c r="G1306" s="261"/>
      <c r="H1306" s="261"/>
      <c r="I1306" s="261"/>
      <c r="J1306" s="261"/>
      <c r="K1306" s="261"/>
      <c r="L1306" s="261"/>
      <c r="M1306" s="261"/>
    </row>
    <row r="1307" spans="5:13">
      <c r="E1307" s="261"/>
      <c r="F1307" s="261"/>
      <c r="G1307" s="261"/>
      <c r="H1307" s="261"/>
      <c r="I1307" s="261"/>
      <c r="J1307" s="261"/>
      <c r="K1307" s="261"/>
      <c r="L1307" s="261"/>
      <c r="M1307" s="261"/>
    </row>
    <row r="1308" spans="5:13">
      <c r="E1308" s="261"/>
      <c r="F1308" s="261"/>
      <c r="G1308" s="261"/>
      <c r="H1308" s="261"/>
      <c r="I1308" s="261"/>
      <c r="J1308" s="261"/>
      <c r="K1308" s="261"/>
      <c r="L1308" s="261"/>
      <c r="M1308" s="261"/>
    </row>
    <row r="1309" spans="5:13">
      <c r="E1309" s="261"/>
      <c r="F1309" s="261"/>
      <c r="G1309" s="261"/>
      <c r="H1309" s="261"/>
      <c r="I1309" s="261"/>
      <c r="J1309" s="261"/>
      <c r="K1309" s="261"/>
      <c r="L1309" s="261"/>
      <c r="M1309" s="261"/>
    </row>
    <row r="1310" spans="5:13">
      <c r="E1310" s="261"/>
      <c r="F1310" s="261"/>
      <c r="G1310" s="261"/>
      <c r="H1310" s="261"/>
      <c r="I1310" s="261"/>
      <c r="J1310" s="261"/>
      <c r="K1310" s="261"/>
      <c r="L1310" s="261"/>
      <c r="M1310" s="261"/>
    </row>
    <row r="1311" spans="5:13">
      <c r="E1311" s="261"/>
      <c r="F1311" s="261"/>
      <c r="G1311" s="261"/>
      <c r="H1311" s="261"/>
      <c r="I1311" s="261"/>
      <c r="J1311" s="261"/>
      <c r="K1311" s="261"/>
      <c r="L1311" s="261"/>
      <c r="M1311" s="261"/>
    </row>
    <row r="1312" spans="5:13">
      <c r="E1312" s="261"/>
      <c r="F1312" s="261"/>
      <c r="G1312" s="261"/>
      <c r="H1312" s="261"/>
      <c r="I1312" s="261"/>
      <c r="J1312" s="261"/>
      <c r="K1312" s="261"/>
      <c r="L1312" s="261"/>
      <c r="M1312" s="261"/>
    </row>
    <row r="1313" spans="5:13">
      <c r="E1313" s="261"/>
      <c r="F1313" s="261"/>
      <c r="G1313" s="261"/>
      <c r="H1313" s="261"/>
      <c r="I1313" s="261"/>
      <c r="J1313" s="261"/>
      <c r="K1313" s="261"/>
      <c r="L1313" s="261"/>
      <c r="M1313" s="261"/>
    </row>
    <row r="1314" spans="5:13">
      <c r="E1314" s="261"/>
      <c r="F1314" s="261"/>
      <c r="G1314" s="261"/>
      <c r="H1314" s="261"/>
      <c r="I1314" s="261"/>
      <c r="J1314" s="261"/>
      <c r="K1314" s="261"/>
      <c r="L1314" s="261"/>
      <c r="M1314" s="261"/>
    </row>
    <row r="1315" spans="5:13">
      <c r="E1315" s="261"/>
      <c r="F1315" s="261"/>
      <c r="G1315" s="261"/>
      <c r="H1315" s="261"/>
      <c r="I1315" s="261"/>
      <c r="J1315" s="261"/>
      <c r="K1315" s="261"/>
      <c r="L1315" s="261"/>
      <c r="M1315" s="261"/>
    </row>
    <row r="1316" spans="5:13">
      <c r="E1316" s="261"/>
      <c r="F1316" s="261"/>
      <c r="G1316" s="261"/>
      <c r="H1316" s="261"/>
      <c r="I1316" s="261"/>
      <c r="J1316" s="261"/>
      <c r="K1316" s="261"/>
      <c r="L1316" s="261"/>
      <c r="M1316" s="261"/>
    </row>
    <row r="1317" spans="5:13">
      <c r="E1317" s="261"/>
      <c r="F1317" s="261"/>
      <c r="G1317" s="261"/>
      <c r="H1317" s="261"/>
      <c r="I1317" s="261"/>
      <c r="J1317" s="261"/>
      <c r="K1317" s="261"/>
      <c r="L1317" s="261"/>
      <c r="M1317" s="261"/>
    </row>
    <row r="1318" spans="5:13">
      <c r="E1318" s="261"/>
      <c r="F1318" s="261"/>
      <c r="G1318" s="261"/>
      <c r="H1318" s="261"/>
      <c r="I1318" s="261"/>
      <c r="J1318" s="261"/>
      <c r="K1318" s="261"/>
      <c r="L1318" s="261"/>
      <c r="M1318" s="261"/>
    </row>
    <row r="1319" spans="5:13">
      <c r="E1319" s="261"/>
      <c r="F1319" s="261"/>
      <c r="G1319" s="261"/>
      <c r="H1319" s="261"/>
      <c r="I1319" s="261"/>
      <c r="J1319" s="261"/>
      <c r="K1319" s="261"/>
      <c r="L1319" s="261"/>
      <c r="M1319" s="261"/>
    </row>
    <row r="1320" spans="5:13">
      <c r="E1320" s="261"/>
      <c r="F1320" s="261"/>
      <c r="G1320" s="261"/>
      <c r="H1320" s="261"/>
      <c r="I1320" s="261"/>
      <c r="J1320" s="261"/>
      <c r="K1320" s="261"/>
      <c r="L1320" s="261"/>
      <c r="M1320" s="261"/>
    </row>
    <row r="1321" spans="5:13">
      <c r="E1321" s="261"/>
      <c r="F1321" s="261"/>
      <c r="G1321" s="261"/>
      <c r="H1321" s="261"/>
      <c r="I1321" s="261"/>
      <c r="J1321" s="261"/>
      <c r="K1321" s="261"/>
      <c r="L1321" s="261"/>
      <c r="M1321" s="261"/>
    </row>
    <row r="1322" spans="5:13">
      <c r="E1322" s="261"/>
      <c r="F1322" s="261"/>
      <c r="G1322" s="261"/>
      <c r="H1322" s="261"/>
      <c r="I1322" s="261"/>
      <c r="J1322" s="261"/>
      <c r="K1322" s="261"/>
      <c r="L1322" s="261"/>
      <c r="M1322" s="261"/>
    </row>
    <row r="1323" spans="5:13">
      <c r="E1323" s="261"/>
      <c r="F1323" s="261"/>
      <c r="G1323" s="261"/>
      <c r="H1323" s="261"/>
      <c r="I1323" s="261"/>
      <c r="J1323" s="261"/>
      <c r="K1323" s="261"/>
      <c r="L1323" s="261"/>
      <c r="M1323" s="261"/>
    </row>
    <row r="1324" spans="5:13">
      <c r="E1324" s="261"/>
      <c r="F1324" s="261"/>
      <c r="G1324" s="261"/>
      <c r="H1324" s="261"/>
      <c r="I1324" s="261"/>
      <c r="J1324" s="261"/>
      <c r="K1324" s="261"/>
      <c r="L1324" s="261"/>
      <c r="M1324" s="261"/>
    </row>
    <row r="1325" spans="5:13">
      <c r="E1325" s="261"/>
      <c r="F1325" s="261"/>
      <c r="G1325" s="261"/>
      <c r="H1325" s="261"/>
      <c r="I1325" s="261"/>
      <c r="J1325" s="261"/>
      <c r="K1325" s="261"/>
      <c r="L1325" s="261"/>
      <c r="M1325" s="261"/>
    </row>
    <row r="1326" spans="5:13">
      <c r="E1326" s="261"/>
      <c r="F1326" s="261"/>
      <c r="G1326" s="261"/>
      <c r="H1326" s="261"/>
      <c r="I1326" s="261"/>
      <c r="J1326" s="261"/>
      <c r="K1326" s="261"/>
      <c r="L1326" s="261"/>
      <c r="M1326" s="261"/>
    </row>
    <row r="1327" spans="5:13">
      <c r="E1327" s="261"/>
      <c r="F1327" s="261"/>
      <c r="G1327" s="261"/>
      <c r="H1327" s="261"/>
      <c r="I1327" s="261"/>
      <c r="J1327" s="261"/>
      <c r="K1327" s="261"/>
      <c r="L1327" s="261"/>
      <c r="M1327" s="261"/>
    </row>
    <row r="1328" spans="5:13">
      <c r="E1328" s="261"/>
      <c r="F1328" s="261"/>
      <c r="G1328" s="261"/>
      <c r="H1328" s="261"/>
      <c r="I1328" s="261"/>
      <c r="J1328" s="261"/>
      <c r="K1328" s="261"/>
      <c r="L1328" s="261"/>
      <c r="M1328" s="261"/>
    </row>
    <row r="1329" spans="5:13">
      <c r="E1329" s="261"/>
      <c r="F1329" s="261"/>
      <c r="G1329" s="261"/>
      <c r="H1329" s="261"/>
      <c r="I1329" s="261"/>
      <c r="J1329" s="261"/>
      <c r="K1329" s="261"/>
      <c r="L1329" s="261"/>
      <c r="M1329" s="261"/>
    </row>
    <row r="1330" spans="5:13">
      <c r="E1330" s="261"/>
      <c r="F1330" s="261"/>
      <c r="G1330" s="261"/>
      <c r="H1330" s="261"/>
      <c r="I1330" s="261"/>
      <c r="J1330" s="261"/>
      <c r="K1330" s="261"/>
      <c r="L1330" s="261"/>
      <c r="M1330" s="261"/>
    </row>
    <row r="1331" spans="5:13">
      <c r="E1331" s="261"/>
      <c r="F1331" s="261"/>
      <c r="G1331" s="261"/>
      <c r="H1331" s="261"/>
      <c r="I1331" s="261"/>
      <c r="J1331" s="261"/>
      <c r="K1331" s="261"/>
      <c r="L1331" s="261"/>
      <c r="M1331" s="261"/>
    </row>
    <row r="1332" spans="5:13">
      <c r="E1332" s="261"/>
      <c r="F1332" s="261"/>
      <c r="G1332" s="261"/>
      <c r="H1332" s="261"/>
      <c r="I1332" s="261"/>
      <c r="J1332" s="261"/>
      <c r="K1332" s="261"/>
      <c r="L1332" s="261"/>
      <c r="M1332" s="261"/>
    </row>
    <row r="1333" spans="5:13">
      <c r="E1333" s="261"/>
      <c r="F1333" s="261"/>
      <c r="G1333" s="261"/>
      <c r="H1333" s="261"/>
      <c r="I1333" s="261"/>
      <c r="J1333" s="261"/>
      <c r="K1333" s="261"/>
      <c r="L1333" s="261"/>
      <c r="M1333" s="261"/>
    </row>
    <row r="1334" spans="5:13">
      <c r="E1334" s="261"/>
      <c r="F1334" s="261"/>
      <c r="G1334" s="261"/>
      <c r="H1334" s="261"/>
      <c r="I1334" s="261"/>
      <c r="J1334" s="261"/>
      <c r="K1334" s="261"/>
      <c r="L1334" s="261"/>
      <c r="M1334" s="261"/>
    </row>
    <row r="1335" spans="5:13">
      <c r="E1335" s="261"/>
      <c r="F1335" s="261"/>
      <c r="G1335" s="261"/>
      <c r="H1335" s="261"/>
      <c r="I1335" s="261"/>
      <c r="J1335" s="261"/>
      <c r="K1335" s="261"/>
      <c r="L1335" s="261"/>
      <c r="M1335" s="261"/>
    </row>
    <row r="1336" spans="5:13">
      <c r="E1336" s="261"/>
      <c r="F1336" s="261"/>
      <c r="G1336" s="261"/>
      <c r="H1336" s="261"/>
      <c r="I1336" s="261"/>
      <c r="J1336" s="261"/>
      <c r="K1336" s="261"/>
      <c r="L1336" s="261"/>
      <c r="M1336" s="261"/>
    </row>
    <row r="1337" spans="5:13">
      <c r="E1337" s="261"/>
      <c r="F1337" s="261"/>
      <c r="G1337" s="261"/>
      <c r="H1337" s="261"/>
      <c r="I1337" s="261"/>
      <c r="J1337" s="261"/>
      <c r="K1337" s="261"/>
      <c r="L1337" s="261"/>
      <c r="M1337" s="261"/>
    </row>
    <row r="1338" spans="5:13">
      <c r="E1338" s="261"/>
      <c r="F1338" s="261"/>
      <c r="G1338" s="261"/>
      <c r="H1338" s="261"/>
      <c r="I1338" s="261"/>
      <c r="J1338" s="261"/>
      <c r="K1338" s="261"/>
      <c r="L1338" s="261"/>
      <c r="M1338" s="261"/>
    </row>
    <row r="1339" spans="5:13">
      <c r="E1339" s="261"/>
      <c r="F1339" s="261"/>
      <c r="G1339" s="261"/>
      <c r="H1339" s="261"/>
      <c r="I1339" s="261"/>
      <c r="J1339" s="261"/>
      <c r="K1339" s="261"/>
      <c r="L1339" s="261"/>
      <c r="M1339" s="261"/>
    </row>
    <row r="1340" spans="5:13">
      <c r="E1340" s="261"/>
      <c r="F1340" s="261"/>
      <c r="G1340" s="261"/>
      <c r="H1340" s="261"/>
      <c r="I1340" s="261"/>
      <c r="J1340" s="261"/>
      <c r="K1340" s="261"/>
      <c r="L1340" s="261"/>
      <c r="M1340" s="261"/>
    </row>
    <row r="1341" spans="5:13">
      <c r="E1341" s="261"/>
      <c r="F1341" s="261"/>
      <c r="G1341" s="261"/>
      <c r="H1341" s="261"/>
      <c r="I1341" s="261"/>
      <c r="J1341" s="261"/>
      <c r="K1341" s="261"/>
      <c r="L1341" s="261"/>
      <c r="M1341" s="261"/>
    </row>
    <row r="1342" spans="5:13">
      <c r="E1342" s="261"/>
      <c r="F1342" s="261"/>
      <c r="G1342" s="261"/>
      <c r="H1342" s="261"/>
      <c r="I1342" s="261"/>
      <c r="J1342" s="261"/>
      <c r="K1342" s="261"/>
      <c r="L1342" s="261"/>
      <c r="M1342" s="261"/>
    </row>
    <row r="1343" spans="5:13">
      <c r="E1343" s="261"/>
      <c r="F1343" s="261"/>
      <c r="G1343" s="261"/>
      <c r="H1343" s="261"/>
      <c r="I1343" s="261"/>
      <c r="J1343" s="261"/>
      <c r="K1343" s="261"/>
      <c r="L1343" s="261"/>
      <c r="M1343" s="261"/>
    </row>
    <row r="1344" spans="5:13">
      <c r="E1344" s="261"/>
      <c r="F1344" s="261"/>
      <c r="G1344" s="261"/>
      <c r="H1344" s="261"/>
      <c r="I1344" s="261"/>
      <c r="J1344" s="261"/>
      <c r="K1344" s="261"/>
      <c r="L1344" s="261"/>
      <c r="M1344" s="261"/>
    </row>
    <row r="1345" spans="5:13">
      <c r="E1345" s="261"/>
      <c r="F1345" s="261"/>
      <c r="G1345" s="261"/>
      <c r="H1345" s="261"/>
      <c r="I1345" s="261"/>
      <c r="J1345" s="261"/>
      <c r="K1345" s="261"/>
      <c r="L1345" s="261"/>
      <c r="M1345" s="261"/>
    </row>
    <row r="1346" spans="5:13">
      <c r="E1346" s="261"/>
      <c r="F1346" s="261"/>
      <c r="G1346" s="261"/>
      <c r="H1346" s="261"/>
      <c r="I1346" s="261"/>
      <c r="J1346" s="261"/>
      <c r="K1346" s="261"/>
      <c r="L1346" s="261"/>
      <c r="M1346" s="261"/>
    </row>
    <row r="1347" spans="5:13">
      <c r="E1347" s="261"/>
      <c r="F1347" s="261"/>
      <c r="G1347" s="261"/>
      <c r="H1347" s="261"/>
      <c r="I1347" s="261"/>
      <c r="J1347" s="261"/>
      <c r="K1347" s="261"/>
      <c r="L1347" s="261"/>
      <c r="M1347" s="261"/>
    </row>
    <row r="1348" spans="5:13">
      <c r="E1348" s="261"/>
      <c r="F1348" s="261"/>
      <c r="G1348" s="261"/>
      <c r="H1348" s="261"/>
      <c r="I1348" s="261"/>
      <c r="J1348" s="261"/>
      <c r="K1348" s="261"/>
      <c r="L1348" s="261"/>
      <c r="M1348" s="261"/>
    </row>
    <row r="1349" spans="5:13">
      <c r="E1349" s="261"/>
      <c r="F1349" s="261"/>
      <c r="G1349" s="261"/>
      <c r="H1349" s="261"/>
      <c r="I1349" s="261"/>
      <c r="J1349" s="261"/>
      <c r="K1349" s="261"/>
      <c r="L1349" s="261"/>
      <c r="M1349" s="261"/>
    </row>
    <row r="1350" spans="5:13">
      <c r="E1350" s="261"/>
      <c r="F1350" s="261"/>
      <c r="G1350" s="261"/>
      <c r="H1350" s="261"/>
      <c r="I1350" s="261"/>
      <c r="J1350" s="261"/>
      <c r="K1350" s="261"/>
      <c r="L1350" s="261"/>
      <c r="M1350" s="261"/>
    </row>
    <row r="1351" spans="5:13">
      <c r="E1351" s="261"/>
      <c r="F1351" s="261"/>
      <c r="G1351" s="261"/>
      <c r="H1351" s="261"/>
      <c r="I1351" s="261"/>
      <c r="J1351" s="261"/>
      <c r="K1351" s="261"/>
      <c r="L1351" s="261"/>
      <c r="M1351" s="261"/>
    </row>
    <row r="1352" spans="5:13">
      <c r="E1352" s="261"/>
      <c r="F1352" s="261"/>
      <c r="G1352" s="261"/>
      <c r="H1352" s="261"/>
      <c r="I1352" s="261"/>
      <c r="J1352" s="261"/>
      <c r="K1352" s="261"/>
      <c r="L1352" s="261"/>
      <c r="M1352" s="261"/>
    </row>
    <row r="1353" spans="5:13">
      <c r="E1353" s="261"/>
      <c r="F1353" s="261"/>
      <c r="G1353" s="261"/>
      <c r="H1353" s="261"/>
      <c r="I1353" s="261"/>
      <c r="J1353" s="261"/>
      <c r="K1353" s="261"/>
      <c r="L1353" s="261"/>
      <c r="M1353" s="261"/>
    </row>
    <row r="1354" spans="5:13">
      <c r="E1354" s="261"/>
      <c r="F1354" s="261"/>
      <c r="G1354" s="261"/>
      <c r="H1354" s="261"/>
      <c r="I1354" s="261"/>
      <c r="J1354" s="261"/>
      <c r="K1354" s="261"/>
      <c r="L1354" s="261"/>
      <c r="M1354" s="261"/>
    </row>
    <row r="1355" spans="5:13">
      <c r="E1355" s="261"/>
      <c r="F1355" s="261"/>
      <c r="G1355" s="261"/>
      <c r="H1355" s="261"/>
      <c r="I1355" s="261"/>
      <c r="J1355" s="261"/>
      <c r="K1355" s="261"/>
      <c r="L1355" s="261"/>
      <c r="M1355" s="261"/>
    </row>
    <row r="1356" spans="5:13">
      <c r="E1356" s="261"/>
      <c r="F1356" s="261"/>
      <c r="G1356" s="261"/>
      <c r="H1356" s="261"/>
      <c r="I1356" s="261"/>
      <c r="J1356" s="261"/>
      <c r="K1356" s="261"/>
      <c r="L1356" s="261"/>
      <c r="M1356" s="261"/>
    </row>
    <row r="1357" spans="5:13">
      <c r="E1357" s="261"/>
      <c r="F1357" s="261"/>
      <c r="G1357" s="261"/>
      <c r="H1357" s="261"/>
      <c r="I1357" s="261"/>
      <c r="J1357" s="261"/>
      <c r="K1357" s="261"/>
      <c r="L1357" s="261"/>
      <c r="M1357" s="261"/>
    </row>
    <row r="1358" spans="5:13">
      <c r="E1358" s="261"/>
      <c r="F1358" s="261"/>
      <c r="G1358" s="261"/>
      <c r="H1358" s="261"/>
      <c r="I1358" s="261"/>
      <c r="J1358" s="261"/>
      <c r="K1358" s="261"/>
      <c r="L1358" s="261"/>
      <c r="M1358" s="261"/>
    </row>
    <row r="1359" spans="5:13">
      <c r="E1359" s="261"/>
      <c r="F1359" s="261"/>
      <c r="G1359" s="261"/>
      <c r="H1359" s="261"/>
      <c r="I1359" s="261"/>
      <c r="J1359" s="261"/>
      <c r="K1359" s="261"/>
      <c r="L1359" s="261"/>
      <c r="M1359" s="261"/>
    </row>
    <row r="1360" spans="5:13">
      <c r="E1360" s="261"/>
      <c r="F1360" s="261"/>
      <c r="G1360" s="261"/>
      <c r="H1360" s="261"/>
      <c r="I1360" s="261"/>
      <c r="J1360" s="261"/>
      <c r="K1360" s="261"/>
      <c r="L1360" s="261"/>
      <c r="M1360" s="261"/>
    </row>
    <row r="1361" spans="5:13">
      <c r="E1361" s="261"/>
      <c r="F1361" s="261"/>
      <c r="G1361" s="261"/>
      <c r="H1361" s="261"/>
      <c r="I1361" s="261"/>
      <c r="J1361" s="261"/>
      <c r="K1361" s="261"/>
      <c r="L1361" s="261"/>
      <c r="M1361" s="261"/>
    </row>
    <row r="1362" spans="5:13">
      <c r="E1362" s="261"/>
      <c r="F1362" s="261"/>
      <c r="G1362" s="261"/>
      <c r="H1362" s="261"/>
      <c r="I1362" s="261"/>
      <c r="J1362" s="261"/>
      <c r="K1362" s="261"/>
      <c r="L1362" s="261"/>
      <c r="M1362" s="261"/>
    </row>
    <row r="1363" spans="5:13">
      <c r="E1363" s="261"/>
      <c r="F1363" s="261"/>
      <c r="G1363" s="261"/>
      <c r="H1363" s="261"/>
      <c r="I1363" s="261"/>
      <c r="J1363" s="261"/>
      <c r="K1363" s="261"/>
      <c r="L1363" s="261"/>
      <c r="M1363" s="261"/>
    </row>
    <row r="1364" spans="5:13">
      <c r="E1364" s="261"/>
      <c r="F1364" s="261"/>
      <c r="G1364" s="261"/>
      <c r="H1364" s="261"/>
      <c r="I1364" s="261"/>
      <c r="J1364" s="261"/>
      <c r="K1364" s="261"/>
      <c r="L1364" s="261"/>
      <c r="M1364" s="261"/>
    </row>
    <row r="1365" spans="5:13">
      <c r="E1365" s="261"/>
      <c r="F1365" s="261"/>
      <c r="G1365" s="261"/>
      <c r="H1365" s="261"/>
      <c r="I1365" s="261"/>
      <c r="J1365" s="261"/>
      <c r="K1365" s="261"/>
      <c r="L1365" s="261"/>
      <c r="M1365" s="261"/>
    </row>
    <row r="1366" spans="5:13">
      <c r="E1366" s="261"/>
      <c r="F1366" s="261"/>
      <c r="G1366" s="261"/>
      <c r="H1366" s="261"/>
      <c r="I1366" s="261"/>
      <c r="J1366" s="261"/>
      <c r="K1366" s="261"/>
      <c r="L1366" s="261"/>
      <c r="M1366" s="261"/>
    </row>
    <row r="1367" spans="5:13">
      <c r="E1367" s="261"/>
      <c r="F1367" s="261"/>
      <c r="G1367" s="261"/>
      <c r="H1367" s="261"/>
      <c r="I1367" s="261"/>
      <c r="J1367" s="261"/>
      <c r="K1367" s="261"/>
      <c r="L1367" s="261"/>
      <c r="M1367" s="261"/>
    </row>
    <row r="1368" spans="5:13">
      <c r="E1368" s="261"/>
      <c r="F1368" s="261"/>
      <c r="G1368" s="261"/>
      <c r="H1368" s="261"/>
      <c r="I1368" s="261"/>
      <c r="J1368" s="261"/>
      <c r="K1368" s="261"/>
      <c r="L1368" s="261"/>
      <c r="M1368" s="261"/>
    </row>
    <row r="1369" spans="5:13">
      <c r="E1369" s="261"/>
      <c r="F1369" s="261"/>
      <c r="G1369" s="261"/>
      <c r="H1369" s="261"/>
      <c r="I1369" s="261"/>
      <c r="J1369" s="261"/>
      <c r="K1369" s="261"/>
      <c r="L1369" s="261"/>
      <c r="M1369" s="261"/>
    </row>
    <row r="1370" spans="5:13">
      <c r="E1370" s="261"/>
      <c r="F1370" s="261"/>
      <c r="G1370" s="261"/>
      <c r="H1370" s="261"/>
      <c r="I1370" s="261"/>
      <c r="J1370" s="261"/>
      <c r="K1370" s="261"/>
      <c r="L1370" s="261"/>
      <c r="M1370" s="261"/>
    </row>
    <row r="1371" spans="5:13">
      <c r="E1371" s="261"/>
      <c r="F1371" s="261"/>
      <c r="G1371" s="261"/>
      <c r="H1371" s="261"/>
      <c r="I1371" s="261"/>
      <c r="J1371" s="261"/>
      <c r="K1371" s="261"/>
      <c r="L1371" s="261"/>
      <c r="M1371" s="261"/>
    </row>
    <row r="1372" spans="5:13">
      <c r="E1372" s="261"/>
      <c r="F1372" s="261"/>
      <c r="G1372" s="261"/>
      <c r="H1372" s="261"/>
      <c r="I1372" s="261"/>
      <c r="J1372" s="261"/>
      <c r="K1372" s="261"/>
      <c r="L1372" s="261"/>
      <c r="M1372" s="261"/>
    </row>
    <row r="1373" spans="5:13">
      <c r="E1373" s="261"/>
      <c r="F1373" s="261"/>
      <c r="G1373" s="261"/>
      <c r="H1373" s="261"/>
      <c r="I1373" s="261"/>
      <c r="J1373" s="261"/>
      <c r="K1373" s="261"/>
      <c r="L1373" s="261"/>
      <c r="M1373" s="261"/>
    </row>
    <row r="1374" spans="5:13">
      <c r="E1374" s="261"/>
      <c r="F1374" s="261"/>
      <c r="G1374" s="261"/>
      <c r="H1374" s="261"/>
      <c r="I1374" s="261"/>
      <c r="J1374" s="261"/>
      <c r="K1374" s="261"/>
      <c r="L1374" s="261"/>
      <c r="M1374" s="261"/>
    </row>
    <row r="1375" spans="5:13">
      <c r="E1375" s="261"/>
      <c r="F1375" s="261"/>
      <c r="G1375" s="261"/>
      <c r="H1375" s="261"/>
      <c r="I1375" s="261"/>
      <c r="J1375" s="261"/>
      <c r="K1375" s="261"/>
      <c r="L1375" s="261"/>
      <c r="M1375" s="261"/>
    </row>
    <row r="1376" spans="5:13">
      <c r="E1376" s="261"/>
      <c r="F1376" s="261"/>
      <c r="G1376" s="261"/>
      <c r="H1376" s="261"/>
      <c r="I1376" s="261"/>
      <c r="J1376" s="261"/>
      <c r="K1376" s="261"/>
      <c r="L1376" s="261"/>
      <c r="M1376" s="261"/>
    </row>
    <row r="1377" spans="5:13">
      <c r="E1377" s="261"/>
      <c r="F1377" s="261"/>
      <c r="G1377" s="261"/>
      <c r="H1377" s="261"/>
      <c r="I1377" s="261"/>
      <c r="J1377" s="261"/>
      <c r="K1377" s="261"/>
      <c r="L1377" s="261"/>
      <c r="M1377" s="261"/>
    </row>
    <row r="1378" spans="5:13">
      <c r="E1378" s="261"/>
      <c r="F1378" s="261"/>
      <c r="G1378" s="261"/>
      <c r="H1378" s="261"/>
      <c r="I1378" s="261"/>
      <c r="J1378" s="261"/>
      <c r="K1378" s="261"/>
      <c r="L1378" s="261"/>
      <c r="M1378" s="261"/>
    </row>
    <row r="1379" spans="5:13">
      <c r="E1379" s="261"/>
      <c r="F1379" s="261"/>
      <c r="G1379" s="261"/>
      <c r="H1379" s="261"/>
      <c r="I1379" s="261"/>
      <c r="J1379" s="261"/>
      <c r="K1379" s="261"/>
      <c r="L1379" s="261"/>
      <c r="M1379" s="261"/>
    </row>
    <row r="1380" spans="5:13">
      <c r="E1380" s="261"/>
      <c r="F1380" s="261"/>
      <c r="G1380" s="261"/>
      <c r="H1380" s="261"/>
      <c r="I1380" s="261"/>
      <c r="J1380" s="261"/>
      <c r="K1380" s="261"/>
      <c r="L1380" s="261"/>
      <c r="M1380" s="261"/>
    </row>
    <row r="1381" spans="5:13">
      <c r="E1381" s="261"/>
      <c r="F1381" s="261"/>
      <c r="G1381" s="261"/>
      <c r="H1381" s="261"/>
      <c r="I1381" s="261"/>
      <c r="J1381" s="261"/>
      <c r="K1381" s="261"/>
      <c r="L1381" s="261"/>
      <c r="M1381" s="261"/>
    </row>
    <row r="1382" spans="5:13">
      <c r="E1382" s="261"/>
      <c r="F1382" s="261"/>
      <c r="G1382" s="261"/>
      <c r="H1382" s="261"/>
      <c r="I1382" s="261"/>
      <c r="J1382" s="261"/>
      <c r="K1382" s="261"/>
      <c r="L1382" s="261"/>
      <c r="M1382" s="261"/>
    </row>
    <row r="1383" spans="5:13">
      <c r="E1383" s="261"/>
      <c r="F1383" s="261"/>
      <c r="G1383" s="261"/>
      <c r="H1383" s="261"/>
      <c r="I1383" s="261"/>
      <c r="J1383" s="261"/>
      <c r="K1383" s="261"/>
      <c r="L1383" s="261"/>
      <c r="M1383" s="261"/>
    </row>
    <row r="1384" spans="5:13">
      <c r="E1384" s="261"/>
      <c r="F1384" s="261"/>
      <c r="G1384" s="261"/>
      <c r="H1384" s="261"/>
      <c r="I1384" s="261"/>
      <c r="J1384" s="261"/>
      <c r="K1384" s="261"/>
      <c r="L1384" s="261"/>
      <c r="M1384" s="261"/>
    </row>
    <row r="1385" spans="5:13">
      <c r="E1385" s="261"/>
      <c r="F1385" s="261"/>
      <c r="G1385" s="261"/>
      <c r="H1385" s="261"/>
      <c r="I1385" s="261"/>
      <c r="J1385" s="261"/>
      <c r="K1385" s="261"/>
      <c r="L1385" s="261"/>
      <c r="M1385" s="261"/>
    </row>
    <row r="1386" spans="5:13">
      <c r="E1386" s="261"/>
      <c r="F1386" s="261"/>
      <c r="G1386" s="261"/>
      <c r="H1386" s="261"/>
      <c r="I1386" s="261"/>
      <c r="J1386" s="261"/>
      <c r="K1386" s="261"/>
      <c r="L1386" s="261"/>
      <c r="M1386" s="261"/>
    </row>
    <row r="1387" spans="5:13">
      <c r="E1387" s="261"/>
      <c r="F1387" s="261"/>
      <c r="G1387" s="261"/>
      <c r="H1387" s="261"/>
      <c r="I1387" s="261"/>
      <c r="J1387" s="261"/>
      <c r="K1387" s="261"/>
      <c r="L1387" s="261"/>
      <c r="M1387" s="261"/>
    </row>
    <row r="1388" spans="5:13">
      <c r="E1388" s="261"/>
      <c r="F1388" s="261"/>
      <c r="G1388" s="261"/>
      <c r="H1388" s="261"/>
      <c r="I1388" s="261"/>
      <c r="J1388" s="261"/>
      <c r="K1388" s="261"/>
      <c r="L1388" s="261"/>
      <c r="M1388" s="261"/>
    </row>
    <row r="1389" spans="5:13">
      <c r="E1389" s="261"/>
      <c r="F1389" s="261"/>
      <c r="G1389" s="261"/>
      <c r="H1389" s="261"/>
      <c r="I1389" s="261"/>
      <c r="J1389" s="261"/>
      <c r="K1389" s="261"/>
      <c r="L1389" s="261"/>
      <c r="M1389" s="261"/>
    </row>
    <row r="1390" spans="5:13">
      <c r="E1390" s="261"/>
      <c r="F1390" s="261"/>
      <c r="G1390" s="261"/>
      <c r="H1390" s="261"/>
      <c r="I1390" s="261"/>
      <c r="J1390" s="261"/>
      <c r="K1390" s="261"/>
      <c r="L1390" s="261"/>
      <c r="M1390" s="261"/>
    </row>
    <row r="1391" spans="5:13">
      <c r="E1391" s="261"/>
      <c r="F1391" s="261"/>
      <c r="G1391" s="261"/>
      <c r="H1391" s="261"/>
      <c r="I1391" s="261"/>
      <c r="J1391" s="261"/>
      <c r="K1391" s="261"/>
      <c r="L1391" s="261"/>
      <c r="M1391" s="261"/>
    </row>
    <row r="1392" spans="5:13">
      <c r="E1392" s="261"/>
      <c r="F1392" s="261"/>
      <c r="G1392" s="261"/>
      <c r="H1392" s="261"/>
      <c r="I1392" s="261"/>
      <c r="J1392" s="261"/>
      <c r="K1392" s="261"/>
      <c r="L1392" s="261"/>
      <c r="M1392" s="261"/>
    </row>
    <row r="1393" spans="5:13">
      <c r="E1393" s="261"/>
      <c r="F1393" s="261"/>
      <c r="G1393" s="261"/>
      <c r="H1393" s="261"/>
      <c r="I1393" s="261"/>
      <c r="J1393" s="261"/>
      <c r="K1393" s="261"/>
      <c r="L1393" s="261"/>
      <c r="M1393" s="261"/>
    </row>
    <row r="1394" spans="5:13">
      <c r="E1394" s="261"/>
      <c r="F1394" s="261"/>
      <c r="G1394" s="261"/>
      <c r="H1394" s="261"/>
      <c r="I1394" s="261"/>
      <c r="J1394" s="261"/>
      <c r="K1394" s="261"/>
      <c r="L1394" s="261"/>
      <c r="M1394" s="261"/>
    </row>
    <row r="1395" spans="5:13">
      <c r="E1395" s="261"/>
      <c r="F1395" s="261"/>
      <c r="G1395" s="261"/>
      <c r="H1395" s="261"/>
      <c r="I1395" s="261"/>
      <c r="J1395" s="261"/>
      <c r="K1395" s="261"/>
      <c r="L1395" s="261"/>
      <c r="M1395" s="261"/>
    </row>
    <row r="1396" spans="5:13">
      <c r="E1396" s="261"/>
      <c r="F1396" s="261"/>
      <c r="G1396" s="261"/>
      <c r="H1396" s="261"/>
      <c r="I1396" s="261"/>
      <c r="J1396" s="261"/>
      <c r="K1396" s="261"/>
      <c r="L1396" s="261"/>
      <c r="M1396" s="261"/>
    </row>
    <row r="1397" spans="5:13">
      <c r="E1397" s="261"/>
      <c r="F1397" s="261"/>
      <c r="G1397" s="261"/>
      <c r="H1397" s="261"/>
      <c r="I1397" s="261"/>
      <c r="J1397" s="261"/>
      <c r="K1397" s="261"/>
      <c r="L1397" s="261"/>
      <c r="M1397" s="261"/>
    </row>
    <row r="1398" spans="5:13">
      <c r="E1398" s="261"/>
      <c r="F1398" s="261"/>
      <c r="G1398" s="261"/>
      <c r="H1398" s="261"/>
      <c r="I1398" s="261"/>
      <c r="J1398" s="261"/>
      <c r="K1398" s="261"/>
      <c r="L1398" s="261"/>
      <c r="M1398" s="261"/>
    </row>
    <row r="1399" spans="5:13">
      <c r="E1399" s="261"/>
      <c r="F1399" s="261"/>
      <c r="G1399" s="261"/>
      <c r="H1399" s="261"/>
      <c r="I1399" s="261"/>
      <c r="J1399" s="261"/>
      <c r="K1399" s="261"/>
      <c r="L1399" s="261"/>
      <c r="M1399" s="261"/>
    </row>
    <row r="1400" spans="5:13">
      <c r="E1400" s="261"/>
      <c r="F1400" s="261"/>
      <c r="G1400" s="261"/>
      <c r="H1400" s="261"/>
      <c r="I1400" s="261"/>
      <c r="J1400" s="261"/>
      <c r="K1400" s="261"/>
      <c r="L1400" s="261"/>
      <c r="M1400" s="261"/>
    </row>
    <row r="1401" spans="5:13">
      <c r="E1401" s="261"/>
      <c r="F1401" s="261"/>
      <c r="G1401" s="261"/>
      <c r="H1401" s="261"/>
      <c r="I1401" s="261"/>
      <c r="J1401" s="261"/>
      <c r="K1401" s="261"/>
      <c r="L1401" s="261"/>
      <c r="M1401" s="261"/>
    </row>
    <row r="1402" spans="5:13">
      <c r="E1402" s="261"/>
      <c r="F1402" s="261"/>
      <c r="G1402" s="261"/>
      <c r="H1402" s="261"/>
      <c r="I1402" s="261"/>
      <c r="J1402" s="261"/>
      <c r="K1402" s="261"/>
      <c r="L1402" s="261"/>
      <c r="M1402" s="261"/>
    </row>
    <row r="1403" spans="5:13">
      <c r="E1403" s="261"/>
      <c r="F1403" s="261"/>
      <c r="G1403" s="261"/>
      <c r="H1403" s="261"/>
      <c r="I1403" s="261"/>
      <c r="J1403" s="261"/>
      <c r="K1403" s="261"/>
      <c r="L1403" s="261"/>
      <c r="M1403" s="261"/>
    </row>
    <row r="1404" spans="5:13">
      <c r="E1404" s="261"/>
      <c r="F1404" s="261"/>
      <c r="G1404" s="261"/>
      <c r="H1404" s="261"/>
      <c r="I1404" s="261"/>
      <c r="J1404" s="261"/>
      <c r="K1404" s="261"/>
      <c r="L1404" s="261"/>
      <c r="M1404" s="261"/>
    </row>
    <row r="1405" spans="5:13">
      <c r="E1405" s="261"/>
      <c r="F1405" s="261"/>
      <c r="G1405" s="261"/>
      <c r="H1405" s="261"/>
      <c r="I1405" s="261"/>
      <c r="J1405" s="261"/>
      <c r="K1405" s="261"/>
      <c r="L1405" s="261"/>
      <c r="M1405" s="261"/>
    </row>
    <row r="1406" spans="5:13">
      <c r="E1406" s="261"/>
      <c r="F1406" s="261"/>
      <c r="G1406" s="261"/>
      <c r="H1406" s="261"/>
      <c r="I1406" s="261"/>
      <c r="J1406" s="261"/>
      <c r="K1406" s="261"/>
      <c r="L1406" s="261"/>
      <c r="M1406" s="261"/>
    </row>
    <row r="1407" spans="5:13">
      <c r="E1407" s="261"/>
      <c r="F1407" s="261"/>
      <c r="G1407" s="261"/>
      <c r="H1407" s="261"/>
      <c r="I1407" s="261"/>
      <c r="J1407" s="261"/>
      <c r="K1407" s="261"/>
      <c r="L1407" s="261"/>
      <c r="M1407" s="261"/>
    </row>
    <row r="1408" spans="5:13">
      <c r="E1408" s="261"/>
      <c r="F1408" s="261"/>
      <c r="G1408" s="261"/>
      <c r="H1408" s="261"/>
      <c r="I1408" s="261"/>
      <c r="J1408" s="261"/>
      <c r="K1408" s="261"/>
      <c r="L1408" s="261"/>
      <c r="M1408" s="261"/>
    </row>
    <row r="1409" spans="5:13">
      <c r="E1409" s="261"/>
      <c r="F1409" s="261"/>
      <c r="G1409" s="261"/>
      <c r="H1409" s="261"/>
      <c r="I1409" s="261"/>
      <c r="J1409" s="261"/>
      <c r="K1409" s="261"/>
      <c r="L1409" s="261"/>
      <c r="M1409" s="261"/>
    </row>
    <row r="1410" spans="5:13">
      <c r="E1410" s="261"/>
      <c r="F1410" s="261"/>
      <c r="G1410" s="261"/>
      <c r="H1410" s="261"/>
      <c r="I1410" s="261"/>
      <c r="J1410" s="261"/>
      <c r="K1410" s="261"/>
      <c r="L1410" s="261"/>
      <c r="M1410" s="261"/>
    </row>
    <row r="1411" spans="5:13">
      <c r="E1411" s="261"/>
      <c r="F1411" s="261"/>
      <c r="G1411" s="261"/>
      <c r="H1411" s="261"/>
      <c r="I1411" s="261"/>
      <c r="J1411" s="261"/>
      <c r="K1411" s="261"/>
      <c r="L1411" s="261"/>
      <c r="M1411" s="261"/>
    </row>
    <row r="1412" spans="5:13">
      <c r="E1412" s="261"/>
      <c r="F1412" s="261"/>
      <c r="G1412" s="261"/>
      <c r="H1412" s="261"/>
      <c r="I1412" s="261"/>
      <c r="J1412" s="261"/>
      <c r="K1412" s="261"/>
      <c r="L1412" s="261"/>
      <c r="M1412" s="261"/>
    </row>
    <row r="1413" spans="5:13">
      <c r="E1413" s="261"/>
      <c r="F1413" s="261"/>
      <c r="G1413" s="261"/>
      <c r="H1413" s="261"/>
      <c r="I1413" s="261"/>
      <c r="J1413" s="261"/>
      <c r="K1413" s="261"/>
      <c r="L1413" s="261"/>
      <c r="M1413" s="261"/>
    </row>
    <row r="1414" spans="5:13">
      <c r="E1414" s="261"/>
      <c r="F1414" s="261"/>
      <c r="G1414" s="261"/>
      <c r="H1414" s="261"/>
      <c r="I1414" s="261"/>
      <c r="J1414" s="261"/>
      <c r="K1414" s="261"/>
      <c r="L1414" s="261"/>
      <c r="M1414" s="261"/>
    </row>
    <row r="1415" spans="5:13">
      <c r="E1415" s="261"/>
      <c r="F1415" s="261"/>
      <c r="G1415" s="261"/>
      <c r="H1415" s="261"/>
      <c r="I1415" s="261"/>
      <c r="J1415" s="261"/>
      <c r="K1415" s="261"/>
      <c r="L1415" s="261"/>
      <c r="M1415" s="261"/>
    </row>
    <row r="1416" spans="5:13">
      <c r="E1416" s="261"/>
      <c r="F1416" s="261"/>
      <c r="G1416" s="261"/>
      <c r="H1416" s="261"/>
      <c r="I1416" s="261"/>
      <c r="J1416" s="261"/>
      <c r="K1416" s="261"/>
      <c r="L1416" s="261"/>
      <c r="M1416" s="261"/>
    </row>
    <row r="1417" spans="5:13">
      <c r="E1417" s="261"/>
      <c r="F1417" s="261"/>
      <c r="G1417" s="261"/>
      <c r="H1417" s="261"/>
      <c r="I1417" s="261"/>
      <c r="J1417" s="261"/>
      <c r="K1417" s="261"/>
      <c r="L1417" s="261"/>
      <c r="M1417" s="261"/>
    </row>
    <row r="1418" spans="5:13">
      <c r="E1418" s="261"/>
      <c r="F1418" s="261"/>
      <c r="G1418" s="261"/>
      <c r="H1418" s="261"/>
      <c r="I1418" s="261"/>
      <c r="J1418" s="261"/>
      <c r="K1418" s="261"/>
      <c r="L1418" s="261"/>
      <c r="M1418" s="261"/>
    </row>
    <row r="1419" spans="5:13">
      <c r="E1419" s="261"/>
      <c r="F1419" s="261"/>
      <c r="G1419" s="261"/>
      <c r="H1419" s="261"/>
      <c r="I1419" s="261"/>
      <c r="J1419" s="261"/>
      <c r="K1419" s="261"/>
      <c r="L1419" s="261"/>
      <c r="M1419" s="261"/>
    </row>
    <row r="1420" spans="5:13">
      <c r="E1420" s="261"/>
      <c r="F1420" s="261"/>
      <c r="G1420" s="261"/>
      <c r="H1420" s="261"/>
      <c r="I1420" s="261"/>
      <c r="J1420" s="261"/>
      <c r="K1420" s="261"/>
      <c r="L1420" s="261"/>
      <c r="M1420" s="261"/>
    </row>
    <row r="1421" spans="5:13">
      <c r="E1421" s="261"/>
      <c r="F1421" s="261"/>
      <c r="G1421" s="261"/>
      <c r="H1421" s="261"/>
      <c r="I1421" s="261"/>
      <c r="J1421" s="261"/>
      <c r="K1421" s="261"/>
      <c r="L1421" s="261"/>
      <c r="M1421" s="261"/>
    </row>
    <row r="1422" spans="5:13">
      <c r="E1422" s="261"/>
      <c r="F1422" s="261"/>
      <c r="G1422" s="261"/>
      <c r="H1422" s="261"/>
      <c r="I1422" s="261"/>
      <c r="J1422" s="261"/>
      <c r="K1422" s="261"/>
      <c r="L1422" s="261"/>
      <c r="M1422" s="261"/>
    </row>
    <row r="1423" spans="5:13">
      <c r="E1423" s="261"/>
      <c r="F1423" s="261"/>
      <c r="G1423" s="261"/>
      <c r="H1423" s="261"/>
      <c r="I1423" s="261"/>
      <c r="J1423" s="261"/>
      <c r="K1423" s="261"/>
      <c r="L1423" s="261"/>
      <c r="M1423" s="261"/>
    </row>
    <row r="1424" spans="5:13">
      <c r="E1424" s="261"/>
      <c r="F1424" s="261"/>
      <c r="G1424" s="261"/>
      <c r="H1424" s="261"/>
      <c r="I1424" s="261"/>
      <c r="J1424" s="261"/>
      <c r="K1424" s="261"/>
      <c r="L1424" s="261"/>
      <c r="M1424" s="261"/>
    </row>
    <row r="1425" spans="5:13">
      <c r="E1425" s="261"/>
      <c r="F1425" s="261"/>
      <c r="G1425" s="261"/>
      <c r="H1425" s="261"/>
      <c r="I1425" s="261"/>
      <c r="J1425" s="261"/>
      <c r="K1425" s="261"/>
      <c r="L1425" s="261"/>
      <c r="M1425" s="261"/>
    </row>
    <row r="1426" spans="5:13">
      <c r="E1426" s="261"/>
      <c r="F1426" s="261"/>
      <c r="G1426" s="261"/>
      <c r="H1426" s="261"/>
      <c r="I1426" s="261"/>
      <c r="J1426" s="261"/>
      <c r="K1426" s="261"/>
      <c r="L1426" s="261"/>
      <c r="M1426" s="261"/>
    </row>
    <row r="1427" spans="5:13">
      <c r="E1427" s="261"/>
      <c r="F1427" s="261"/>
      <c r="G1427" s="261"/>
      <c r="H1427" s="261"/>
      <c r="I1427" s="261"/>
      <c r="J1427" s="261"/>
      <c r="K1427" s="261"/>
      <c r="L1427" s="261"/>
      <c r="M1427" s="261"/>
    </row>
    <row r="1428" spans="5:13">
      <c r="E1428" s="261"/>
      <c r="F1428" s="261"/>
      <c r="G1428" s="261"/>
      <c r="H1428" s="261"/>
      <c r="I1428" s="261"/>
      <c r="J1428" s="261"/>
      <c r="K1428" s="261"/>
      <c r="L1428" s="261"/>
      <c r="M1428" s="261"/>
    </row>
    <row r="1429" spans="5:13">
      <c r="E1429" s="261"/>
      <c r="F1429" s="261"/>
      <c r="G1429" s="261"/>
      <c r="H1429" s="261"/>
      <c r="I1429" s="261"/>
      <c r="J1429" s="261"/>
      <c r="K1429" s="261"/>
      <c r="L1429" s="261"/>
      <c r="M1429" s="261"/>
    </row>
    <row r="1430" spans="5:13">
      <c r="E1430" s="261"/>
      <c r="F1430" s="261"/>
      <c r="G1430" s="261"/>
      <c r="H1430" s="261"/>
      <c r="I1430" s="261"/>
      <c r="J1430" s="261"/>
      <c r="K1430" s="261"/>
      <c r="L1430" s="261"/>
      <c r="M1430" s="261"/>
    </row>
    <row r="1431" spans="5:13">
      <c r="E1431" s="261"/>
      <c r="F1431" s="261"/>
      <c r="G1431" s="261"/>
      <c r="H1431" s="261"/>
      <c r="I1431" s="261"/>
      <c r="J1431" s="261"/>
      <c r="K1431" s="261"/>
      <c r="L1431" s="261"/>
      <c r="M1431" s="261"/>
    </row>
    <row r="1432" spans="5:13">
      <c r="E1432" s="261"/>
      <c r="F1432" s="261"/>
      <c r="G1432" s="261"/>
      <c r="H1432" s="261"/>
      <c r="I1432" s="261"/>
      <c r="J1432" s="261"/>
      <c r="K1432" s="261"/>
      <c r="L1432" s="261"/>
      <c r="M1432" s="261"/>
    </row>
    <row r="1433" spans="5:13">
      <c r="E1433" s="261"/>
      <c r="F1433" s="261"/>
      <c r="G1433" s="261"/>
      <c r="H1433" s="261"/>
      <c r="I1433" s="261"/>
      <c r="J1433" s="261"/>
      <c r="K1433" s="261"/>
      <c r="L1433" s="261"/>
      <c r="M1433" s="261"/>
    </row>
    <row r="1434" spans="5:13">
      <c r="E1434" s="261"/>
      <c r="F1434" s="261"/>
      <c r="G1434" s="261"/>
      <c r="H1434" s="261"/>
      <c r="I1434" s="261"/>
      <c r="J1434" s="261"/>
      <c r="K1434" s="261"/>
      <c r="L1434" s="261"/>
      <c r="M1434" s="261"/>
    </row>
    <row r="1435" spans="5:13">
      <c r="E1435" s="261"/>
      <c r="F1435" s="261"/>
      <c r="G1435" s="261"/>
      <c r="H1435" s="261"/>
      <c r="I1435" s="261"/>
      <c r="J1435" s="261"/>
      <c r="K1435" s="261"/>
      <c r="L1435" s="261"/>
      <c r="M1435" s="261"/>
    </row>
    <row r="1436" spans="5:13">
      <c r="E1436" s="261"/>
      <c r="F1436" s="261"/>
      <c r="G1436" s="261"/>
      <c r="H1436" s="261"/>
      <c r="I1436" s="261"/>
      <c r="J1436" s="261"/>
      <c r="K1436" s="261"/>
      <c r="L1436" s="261"/>
      <c r="M1436" s="261"/>
    </row>
    <row r="1437" spans="5:13">
      <c r="E1437" s="261"/>
      <c r="F1437" s="261"/>
      <c r="G1437" s="261"/>
      <c r="H1437" s="261"/>
      <c r="I1437" s="261"/>
      <c r="J1437" s="261"/>
      <c r="K1437" s="261"/>
      <c r="L1437" s="261"/>
      <c r="M1437" s="261"/>
    </row>
    <row r="1438" spans="5:13">
      <c r="E1438" s="261"/>
      <c r="F1438" s="261"/>
      <c r="G1438" s="261"/>
      <c r="H1438" s="261"/>
      <c r="I1438" s="261"/>
      <c r="J1438" s="261"/>
      <c r="K1438" s="261"/>
      <c r="L1438" s="261"/>
      <c r="M1438" s="261"/>
    </row>
    <row r="1439" spans="5:13">
      <c r="E1439" s="261"/>
      <c r="F1439" s="261"/>
      <c r="G1439" s="261"/>
      <c r="H1439" s="261"/>
      <c r="I1439" s="261"/>
      <c r="J1439" s="261"/>
      <c r="K1439" s="261"/>
      <c r="L1439" s="261"/>
      <c r="M1439" s="261"/>
    </row>
    <row r="1440" spans="5:13">
      <c r="E1440" s="261"/>
      <c r="F1440" s="261"/>
      <c r="G1440" s="261"/>
      <c r="H1440" s="261"/>
      <c r="I1440" s="261"/>
      <c r="J1440" s="261"/>
      <c r="K1440" s="261"/>
      <c r="L1440" s="261"/>
      <c r="M1440" s="261"/>
    </row>
    <row r="1441" spans="5:13">
      <c r="E1441" s="261"/>
      <c r="F1441" s="261"/>
      <c r="G1441" s="261"/>
      <c r="H1441" s="261"/>
      <c r="I1441" s="261"/>
      <c r="J1441" s="261"/>
      <c r="K1441" s="261"/>
      <c r="L1441" s="261"/>
      <c r="M1441" s="261"/>
    </row>
    <row r="1442" spans="5:13">
      <c r="E1442" s="261"/>
      <c r="F1442" s="261"/>
      <c r="G1442" s="261"/>
      <c r="H1442" s="261"/>
      <c r="I1442" s="261"/>
      <c r="J1442" s="261"/>
      <c r="K1442" s="261"/>
      <c r="L1442" s="261"/>
      <c r="M1442" s="261"/>
    </row>
    <row r="1443" spans="5:13">
      <c r="E1443" s="261"/>
      <c r="F1443" s="261"/>
      <c r="G1443" s="261"/>
      <c r="H1443" s="261"/>
      <c r="I1443" s="261"/>
      <c r="J1443" s="261"/>
      <c r="K1443" s="261"/>
      <c r="L1443" s="261"/>
      <c r="M1443" s="261"/>
    </row>
    <row r="1444" spans="5:13">
      <c r="E1444" s="261"/>
      <c r="F1444" s="261"/>
      <c r="G1444" s="261"/>
      <c r="H1444" s="261"/>
      <c r="I1444" s="261"/>
      <c r="J1444" s="261"/>
      <c r="K1444" s="261"/>
      <c r="L1444" s="261"/>
      <c r="M1444" s="261"/>
    </row>
    <row r="1445" spans="5:13">
      <c r="E1445" s="261"/>
      <c r="F1445" s="261"/>
      <c r="G1445" s="261"/>
      <c r="H1445" s="261"/>
      <c r="I1445" s="261"/>
      <c r="J1445" s="261"/>
      <c r="K1445" s="261"/>
      <c r="L1445" s="261"/>
      <c r="M1445" s="261"/>
    </row>
    <row r="1446" spans="5:13">
      <c r="E1446" s="261"/>
      <c r="F1446" s="261"/>
      <c r="G1446" s="261"/>
      <c r="H1446" s="261"/>
      <c r="I1446" s="261"/>
      <c r="J1446" s="261"/>
      <c r="K1446" s="261"/>
      <c r="L1446" s="261"/>
      <c r="M1446" s="261"/>
    </row>
    <row r="1447" spans="5:13">
      <c r="E1447" s="261"/>
      <c r="F1447" s="261"/>
      <c r="G1447" s="261"/>
      <c r="H1447" s="261"/>
      <c r="I1447" s="261"/>
      <c r="J1447" s="261"/>
      <c r="K1447" s="261"/>
      <c r="L1447" s="261"/>
      <c r="M1447" s="261"/>
    </row>
    <row r="1448" spans="5:13">
      <c r="E1448" s="261"/>
      <c r="F1448" s="261"/>
      <c r="G1448" s="261"/>
      <c r="H1448" s="261"/>
      <c r="I1448" s="261"/>
      <c r="J1448" s="261"/>
      <c r="K1448" s="261"/>
      <c r="L1448" s="261"/>
      <c r="M1448" s="261"/>
    </row>
    <row r="1449" spans="5:13">
      <c r="E1449" s="261"/>
      <c r="F1449" s="261"/>
      <c r="G1449" s="261"/>
      <c r="H1449" s="261"/>
      <c r="I1449" s="261"/>
      <c r="J1449" s="261"/>
      <c r="K1449" s="261"/>
      <c r="L1449" s="261"/>
      <c r="M1449" s="261"/>
    </row>
    <row r="1450" spans="5:13">
      <c r="E1450" s="261"/>
      <c r="F1450" s="261"/>
      <c r="G1450" s="261"/>
      <c r="H1450" s="261"/>
      <c r="I1450" s="261"/>
      <c r="J1450" s="261"/>
      <c r="K1450" s="261"/>
      <c r="L1450" s="261"/>
      <c r="M1450" s="261"/>
    </row>
    <row r="1451" spans="5:13">
      <c r="E1451" s="261"/>
      <c r="F1451" s="261"/>
      <c r="G1451" s="261"/>
      <c r="H1451" s="261"/>
      <c r="I1451" s="261"/>
      <c r="J1451" s="261"/>
      <c r="K1451" s="261"/>
      <c r="L1451" s="261"/>
      <c r="M1451" s="261"/>
    </row>
    <row r="1452" spans="5:13">
      <c r="E1452" s="261"/>
      <c r="F1452" s="261"/>
      <c r="G1452" s="261"/>
      <c r="H1452" s="261"/>
      <c r="I1452" s="261"/>
      <c r="J1452" s="261"/>
      <c r="K1452" s="261"/>
      <c r="L1452" s="261"/>
      <c r="M1452" s="261"/>
    </row>
    <row r="1453" spans="5:13">
      <c r="E1453" s="261"/>
      <c r="F1453" s="261"/>
      <c r="G1453" s="261"/>
      <c r="H1453" s="261"/>
      <c r="I1453" s="261"/>
      <c r="J1453" s="261"/>
      <c r="K1453" s="261"/>
      <c r="L1453" s="261"/>
      <c r="M1453" s="261"/>
    </row>
    <row r="1454" spans="5:13">
      <c r="E1454" s="261"/>
      <c r="F1454" s="261"/>
      <c r="G1454" s="261"/>
      <c r="H1454" s="261"/>
      <c r="I1454" s="261"/>
      <c r="J1454" s="261"/>
      <c r="K1454" s="261"/>
      <c r="L1454" s="261"/>
      <c r="M1454" s="261"/>
    </row>
    <row r="1455" spans="5:13">
      <c r="E1455" s="261"/>
      <c r="F1455" s="261"/>
      <c r="G1455" s="261"/>
      <c r="H1455" s="261"/>
      <c r="I1455" s="261"/>
      <c r="J1455" s="261"/>
      <c r="K1455" s="261"/>
      <c r="L1455" s="261"/>
      <c r="M1455" s="261"/>
    </row>
    <row r="1456" spans="5:13">
      <c r="E1456" s="261"/>
      <c r="F1456" s="261"/>
      <c r="G1456" s="261"/>
      <c r="H1456" s="261"/>
      <c r="I1456" s="261"/>
      <c r="J1456" s="261"/>
      <c r="K1456" s="261"/>
      <c r="L1456" s="261"/>
      <c r="M1456" s="261"/>
    </row>
    <row r="1457" spans="5:13">
      <c r="E1457" s="261"/>
      <c r="F1457" s="261"/>
      <c r="G1457" s="261"/>
      <c r="H1457" s="261"/>
      <c r="I1457" s="261"/>
      <c r="J1457" s="261"/>
      <c r="K1457" s="261"/>
      <c r="L1457" s="261"/>
      <c r="M1457" s="261"/>
    </row>
    <row r="1458" spans="5:13">
      <c r="E1458" s="261"/>
      <c r="F1458" s="261"/>
      <c r="G1458" s="261"/>
      <c r="H1458" s="261"/>
      <c r="I1458" s="261"/>
      <c r="J1458" s="261"/>
      <c r="K1458" s="261"/>
      <c r="L1458" s="261"/>
      <c r="M1458" s="261"/>
    </row>
    <row r="1459" spans="5:13">
      <c r="E1459" s="261"/>
      <c r="F1459" s="261"/>
      <c r="G1459" s="261"/>
      <c r="H1459" s="261"/>
      <c r="I1459" s="261"/>
      <c r="J1459" s="261"/>
      <c r="K1459" s="261"/>
      <c r="L1459" s="261"/>
      <c r="M1459" s="261"/>
    </row>
    <row r="1460" spans="5:13">
      <c r="E1460" s="261"/>
      <c r="F1460" s="261"/>
      <c r="G1460" s="261"/>
      <c r="H1460" s="261"/>
      <c r="I1460" s="261"/>
      <c r="J1460" s="261"/>
      <c r="K1460" s="261"/>
      <c r="L1460" s="261"/>
      <c r="M1460" s="261"/>
    </row>
    <row r="1461" spans="5:13">
      <c r="E1461" s="261"/>
      <c r="F1461" s="261"/>
      <c r="G1461" s="261"/>
      <c r="H1461" s="261"/>
      <c r="I1461" s="261"/>
      <c r="J1461" s="261"/>
      <c r="K1461" s="261"/>
      <c r="L1461" s="261"/>
      <c r="M1461" s="261"/>
    </row>
    <row r="1462" spans="5:13">
      <c r="E1462" s="261"/>
      <c r="F1462" s="261"/>
      <c r="G1462" s="261"/>
      <c r="H1462" s="261"/>
      <c r="I1462" s="261"/>
      <c r="J1462" s="261"/>
      <c r="K1462" s="261"/>
      <c r="L1462" s="261"/>
      <c r="M1462" s="261"/>
    </row>
    <row r="1463" spans="5:13">
      <c r="E1463" s="261"/>
      <c r="F1463" s="261"/>
      <c r="G1463" s="261"/>
      <c r="H1463" s="261"/>
      <c r="I1463" s="261"/>
      <c r="J1463" s="261"/>
      <c r="K1463" s="261"/>
      <c r="L1463" s="261"/>
      <c r="M1463" s="261"/>
    </row>
    <row r="1464" spans="5:13">
      <c r="E1464" s="261"/>
      <c r="F1464" s="261"/>
      <c r="G1464" s="261"/>
      <c r="H1464" s="261"/>
      <c r="I1464" s="261"/>
      <c r="J1464" s="261"/>
      <c r="K1464" s="261"/>
      <c r="L1464" s="261"/>
      <c r="M1464" s="261"/>
    </row>
    <row r="1465" spans="5:13">
      <c r="E1465" s="261"/>
      <c r="F1465" s="261"/>
      <c r="G1465" s="261"/>
      <c r="H1465" s="261"/>
      <c r="I1465" s="261"/>
      <c r="J1465" s="261"/>
      <c r="K1465" s="261"/>
      <c r="L1465" s="261"/>
      <c r="M1465" s="261"/>
    </row>
    <row r="1466" spans="5:13">
      <c r="E1466" s="261"/>
      <c r="F1466" s="261"/>
      <c r="G1466" s="261"/>
      <c r="H1466" s="261"/>
      <c r="I1466" s="261"/>
      <c r="J1466" s="261"/>
      <c r="K1466" s="261"/>
      <c r="L1466" s="261"/>
      <c r="M1466" s="261"/>
    </row>
    <row r="1467" spans="5:13">
      <c r="E1467" s="261"/>
      <c r="F1467" s="261"/>
      <c r="G1467" s="261"/>
      <c r="H1467" s="261"/>
      <c r="I1467" s="261"/>
      <c r="J1467" s="261"/>
      <c r="K1467" s="261"/>
      <c r="L1467" s="261"/>
      <c r="M1467" s="261"/>
    </row>
    <row r="1468" spans="5:13">
      <c r="E1468" s="261"/>
      <c r="F1468" s="261"/>
      <c r="G1468" s="261"/>
      <c r="H1468" s="261"/>
      <c r="I1468" s="261"/>
      <c r="J1468" s="261"/>
      <c r="K1468" s="261"/>
      <c r="L1468" s="261"/>
      <c r="M1468" s="261"/>
    </row>
    <row r="1469" spans="5:13">
      <c r="E1469" s="261"/>
      <c r="F1469" s="261"/>
      <c r="G1469" s="261"/>
      <c r="H1469" s="261"/>
      <c r="I1469" s="261"/>
      <c r="J1469" s="261"/>
      <c r="K1469" s="261"/>
      <c r="L1469" s="261"/>
      <c r="M1469" s="261"/>
    </row>
    <row r="1470" spans="5:13">
      <c r="E1470" s="261"/>
      <c r="F1470" s="261"/>
      <c r="G1470" s="261"/>
      <c r="H1470" s="261"/>
      <c r="I1470" s="261"/>
      <c r="J1470" s="261"/>
      <c r="K1470" s="261"/>
      <c r="L1470" s="261"/>
      <c r="M1470" s="261"/>
    </row>
    <row r="1471" spans="5:13">
      <c r="E1471" s="261"/>
      <c r="F1471" s="261"/>
      <c r="G1471" s="261"/>
      <c r="H1471" s="261"/>
      <c r="I1471" s="261"/>
      <c r="J1471" s="261"/>
      <c r="K1471" s="261"/>
      <c r="L1471" s="261"/>
      <c r="M1471" s="261"/>
    </row>
    <row r="1472" spans="5:13">
      <c r="E1472" s="261"/>
      <c r="F1472" s="261"/>
      <c r="G1472" s="261"/>
      <c r="H1472" s="261"/>
      <c r="I1472" s="261"/>
      <c r="J1472" s="261"/>
      <c r="K1472" s="261"/>
      <c r="L1472" s="261"/>
      <c r="M1472" s="261"/>
    </row>
    <row r="1473" spans="5:13">
      <c r="E1473" s="261"/>
      <c r="F1473" s="261"/>
      <c r="G1473" s="261"/>
      <c r="H1473" s="261"/>
      <c r="I1473" s="261"/>
      <c r="J1473" s="261"/>
      <c r="K1473" s="261"/>
      <c r="L1473" s="261"/>
      <c r="M1473" s="261"/>
    </row>
    <row r="1474" spans="5:13">
      <c r="E1474" s="261"/>
      <c r="F1474" s="261"/>
      <c r="G1474" s="261"/>
      <c r="H1474" s="261"/>
      <c r="I1474" s="261"/>
      <c r="J1474" s="261"/>
      <c r="K1474" s="261"/>
      <c r="L1474" s="261"/>
      <c r="M1474" s="261"/>
    </row>
    <row r="1475" spans="5:13">
      <c r="E1475" s="261"/>
      <c r="F1475" s="261"/>
      <c r="G1475" s="261"/>
      <c r="H1475" s="261"/>
      <c r="I1475" s="261"/>
      <c r="J1475" s="261"/>
      <c r="K1475" s="261"/>
      <c r="L1475" s="261"/>
      <c r="M1475" s="261"/>
    </row>
    <row r="1476" spans="5:13">
      <c r="E1476" s="261"/>
      <c r="F1476" s="261"/>
      <c r="G1476" s="261"/>
      <c r="H1476" s="261"/>
      <c r="I1476" s="261"/>
      <c r="J1476" s="261"/>
      <c r="K1476" s="261"/>
      <c r="L1476" s="261"/>
      <c r="M1476" s="261"/>
    </row>
    <row r="1477" spans="5:13">
      <c r="E1477" s="261"/>
      <c r="F1477" s="261"/>
      <c r="G1477" s="261"/>
      <c r="H1477" s="261"/>
      <c r="I1477" s="261"/>
      <c r="J1477" s="261"/>
      <c r="K1477" s="261"/>
      <c r="L1477" s="261"/>
      <c r="M1477" s="261"/>
    </row>
    <row r="1478" spans="5:13">
      <c r="E1478" s="261"/>
      <c r="F1478" s="261"/>
      <c r="G1478" s="261"/>
      <c r="H1478" s="261"/>
      <c r="I1478" s="261"/>
      <c r="J1478" s="261"/>
      <c r="K1478" s="261"/>
      <c r="L1478" s="261"/>
      <c r="M1478" s="261"/>
    </row>
    <row r="1479" spans="5:13">
      <c r="E1479" s="261"/>
      <c r="F1479" s="261"/>
      <c r="G1479" s="261"/>
      <c r="H1479" s="261"/>
      <c r="I1479" s="261"/>
      <c r="J1479" s="261"/>
      <c r="K1479" s="261"/>
      <c r="L1479" s="261"/>
      <c r="M1479" s="261"/>
    </row>
    <row r="1480" spans="5:13">
      <c r="E1480" s="261"/>
      <c r="F1480" s="261"/>
      <c r="G1480" s="261"/>
      <c r="H1480" s="261"/>
      <c r="I1480" s="261"/>
      <c r="J1480" s="261"/>
      <c r="K1480" s="261"/>
      <c r="L1480" s="261"/>
      <c r="M1480" s="261"/>
    </row>
    <row r="1481" spans="5:13">
      <c r="E1481" s="261"/>
      <c r="F1481" s="261"/>
      <c r="G1481" s="261"/>
      <c r="H1481" s="261"/>
      <c r="I1481" s="261"/>
      <c r="J1481" s="261"/>
      <c r="K1481" s="261"/>
      <c r="L1481" s="261"/>
      <c r="M1481" s="261"/>
    </row>
    <row r="1482" spans="5:13">
      <c r="E1482" s="261"/>
      <c r="F1482" s="261"/>
      <c r="G1482" s="261"/>
      <c r="H1482" s="261"/>
      <c r="I1482" s="261"/>
      <c r="J1482" s="261"/>
      <c r="K1482" s="261"/>
      <c r="L1482" s="261"/>
      <c r="M1482" s="261"/>
    </row>
    <row r="1483" spans="5:13">
      <c r="E1483" s="261"/>
      <c r="F1483" s="261"/>
      <c r="G1483" s="261"/>
      <c r="H1483" s="261"/>
      <c r="I1483" s="261"/>
      <c r="J1483" s="261"/>
      <c r="K1483" s="261"/>
      <c r="L1483" s="261"/>
      <c r="M1483" s="261"/>
    </row>
    <row r="1484" spans="5:13">
      <c r="E1484" s="261"/>
      <c r="F1484" s="261"/>
      <c r="G1484" s="261"/>
      <c r="H1484" s="261"/>
      <c r="I1484" s="261"/>
      <c r="J1484" s="261"/>
      <c r="K1484" s="261"/>
      <c r="L1484" s="261"/>
      <c r="M1484" s="261"/>
    </row>
    <row r="1485" spans="5:13">
      <c r="E1485" s="261"/>
      <c r="F1485" s="261"/>
      <c r="G1485" s="261"/>
      <c r="H1485" s="261"/>
      <c r="I1485" s="261"/>
      <c r="J1485" s="261"/>
      <c r="K1485" s="261"/>
      <c r="L1485" s="261"/>
      <c r="M1485" s="261"/>
    </row>
    <row r="1486" spans="5:13">
      <c r="E1486" s="261"/>
      <c r="F1486" s="261"/>
      <c r="G1486" s="261"/>
      <c r="H1486" s="261"/>
      <c r="I1486" s="261"/>
      <c r="J1486" s="261"/>
      <c r="K1486" s="261"/>
      <c r="L1486" s="261"/>
      <c r="M1486" s="261"/>
    </row>
    <row r="1487" spans="5:13">
      <c r="E1487" s="261"/>
      <c r="F1487" s="261"/>
      <c r="G1487" s="261"/>
      <c r="H1487" s="261"/>
      <c r="I1487" s="261"/>
      <c r="J1487" s="261"/>
      <c r="K1487" s="261"/>
      <c r="L1487" s="261"/>
      <c r="M1487" s="261"/>
    </row>
    <row r="1488" spans="5:13">
      <c r="E1488" s="261"/>
      <c r="F1488" s="261"/>
      <c r="G1488" s="261"/>
      <c r="H1488" s="261"/>
      <c r="I1488" s="261"/>
      <c r="J1488" s="261"/>
      <c r="K1488" s="261"/>
      <c r="L1488" s="261"/>
      <c r="M1488" s="261"/>
    </row>
    <row r="1489" spans="5:13">
      <c r="E1489" s="261"/>
      <c r="F1489" s="261"/>
      <c r="G1489" s="261"/>
      <c r="H1489" s="261"/>
      <c r="I1489" s="261"/>
      <c r="J1489" s="261"/>
      <c r="K1489" s="261"/>
      <c r="L1489" s="261"/>
      <c r="M1489" s="261"/>
    </row>
    <row r="1490" spans="5:13">
      <c r="E1490" s="261"/>
      <c r="F1490" s="261"/>
      <c r="G1490" s="261"/>
      <c r="H1490" s="261"/>
      <c r="I1490" s="261"/>
      <c r="J1490" s="261"/>
      <c r="K1490" s="261"/>
      <c r="L1490" s="261"/>
      <c r="M1490" s="261"/>
    </row>
    <row r="1491" spans="5:13">
      <c r="E1491" s="261"/>
      <c r="F1491" s="261"/>
      <c r="G1491" s="261"/>
      <c r="H1491" s="261"/>
      <c r="I1491" s="261"/>
      <c r="J1491" s="261"/>
      <c r="K1491" s="261"/>
      <c r="L1491" s="261"/>
      <c r="M1491" s="261"/>
    </row>
    <row r="1492" spans="5:13">
      <c r="E1492" s="261"/>
      <c r="F1492" s="261"/>
      <c r="G1492" s="261"/>
      <c r="H1492" s="261"/>
      <c r="I1492" s="261"/>
      <c r="J1492" s="261"/>
      <c r="K1492" s="261"/>
      <c r="L1492" s="261"/>
      <c r="M1492" s="261"/>
    </row>
    <row r="1493" spans="5:13">
      <c r="E1493" s="261"/>
      <c r="F1493" s="261"/>
      <c r="G1493" s="261"/>
      <c r="H1493" s="261"/>
      <c r="I1493" s="261"/>
      <c r="J1493" s="261"/>
      <c r="K1493" s="261"/>
      <c r="L1493" s="261"/>
      <c r="M1493" s="261"/>
    </row>
    <row r="1494" spans="5:13">
      <c r="E1494" s="261"/>
      <c r="F1494" s="261"/>
      <c r="G1494" s="261"/>
      <c r="H1494" s="261"/>
      <c r="I1494" s="261"/>
      <c r="J1494" s="261"/>
      <c r="K1494" s="261"/>
      <c r="L1494" s="261"/>
      <c r="M1494" s="261"/>
    </row>
    <row r="1495" spans="5:13">
      <c r="E1495" s="261"/>
      <c r="F1495" s="261"/>
      <c r="G1495" s="261"/>
      <c r="H1495" s="261"/>
      <c r="I1495" s="261"/>
      <c r="J1495" s="261"/>
      <c r="K1495" s="261"/>
      <c r="L1495" s="261"/>
      <c r="M1495" s="261"/>
    </row>
    <row r="1496" spans="5:13">
      <c r="E1496" s="261"/>
      <c r="F1496" s="261"/>
      <c r="G1496" s="261"/>
      <c r="H1496" s="261"/>
      <c r="I1496" s="261"/>
      <c r="J1496" s="261"/>
      <c r="K1496" s="261"/>
      <c r="L1496" s="261"/>
      <c r="M1496" s="261"/>
    </row>
    <row r="1497" spans="5:13">
      <c r="E1497" s="261"/>
      <c r="F1497" s="261"/>
      <c r="G1497" s="261"/>
      <c r="H1497" s="261"/>
      <c r="I1497" s="261"/>
      <c r="J1497" s="261"/>
      <c r="K1497" s="261"/>
      <c r="L1497" s="261"/>
      <c r="M1497" s="261"/>
    </row>
    <row r="1498" spans="5:13">
      <c r="E1498" s="261"/>
      <c r="F1498" s="261"/>
      <c r="G1498" s="261"/>
      <c r="H1498" s="261"/>
      <c r="I1498" s="261"/>
      <c r="J1498" s="261"/>
      <c r="K1498" s="261"/>
      <c r="L1498" s="261"/>
      <c r="M1498" s="261"/>
    </row>
    <row r="1499" spans="5:13">
      <c r="E1499" s="261"/>
      <c r="F1499" s="261"/>
      <c r="G1499" s="261"/>
      <c r="H1499" s="261"/>
      <c r="I1499" s="261"/>
      <c r="J1499" s="261"/>
      <c r="K1499" s="261"/>
      <c r="L1499" s="261"/>
      <c r="M1499" s="261"/>
    </row>
    <row r="1500" spans="5:13">
      <c r="E1500" s="261"/>
      <c r="F1500" s="261"/>
      <c r="G1500" s="261"/>
      <c r="H1500" s="261"/>
      <c r="I1500" s="261"/>
      <c r="J1500" s="261"/>
      <c r="K1500" s="261"/>
      <c r="L1500" s="261"/>
      <c r="M1500" s="261"/>
    </row>
    <row r="1501" spans="5:13">
      <c r="E1501" s="261"/>
      <c r="F1501" s="261"/>
      <c r="G1501" s="261"/>
      <c r="H1501" s="261"/>
      <c r="I1501" s="261"/>
      <c r="J1501" s="261"/>
      <c r="K1501" s="261"/>
      <c r="L1501" s="261"/>
      <c r="M1501" s="261"/>
    </row>
    <row r="1502" spans="5:13">
      <c r="E1502" s="261"/>
      <c r="F1502" s="261"/>
      <c r="G1502" s="261"/>
      <c r="H1502" s="261"/>
      <c r="I1502" s="261"/>
      <c r="J1502" s="261"/>
      <c r="K1502" s="261"/>
      <c r="L1502" s="261"/>
      <c r="M1502" s="261"/>
    </row>
    <row r="1503" spans="5:13">
      <c r="E1503" s="261"/>
      <c r="F1503" s="261"/>
      <c r="G1503" s="261"/>
      <c r="H1503" s="261"/>
      <c r="I1503" s="261"/>
      <c r="J1503" s="261"/>
      <c r="K1503" s="261"/>
      <c r="L1503" s="261"/>
      <c r="M1503" s="261"/>
    </row>
    <row r="1504" spans="5:13">
      <c r="E1504" s="261"/>
      <c r="F1504" s="261"/>
      <c r="G1504" s="261"/>
      <c r="H1504" s="261"/>
      <c r="I1504" s="261"/>
      <c r="J1504" s="261"/>
      <c r="K1504" s="261"/>
      <c r="L1504" s="261"/>
      <c r="M1504" s="261"/>
    </row>
    <row r="1505" spans="5:13">
      <c r="E1505" s="261"/>
      <c r="F1505" s="261"/>
      <c r="G1505" s="261"/>
      <c r="H1505" s="261"/>
      <c r="I1505" s="261"/>
      <c r="J1505" s="261"/>
      <c r="K1505" s="261"/>
      <c r="L1505" s="261"/>
      <c r="M1505" s="261"/>
    </row>
    <row r="1506" spans="5:13">
      <c r="E1506" s="261"/>
      <c r="F1506" s="261"/>
      <c r="G1506" s="261"/>
      <c r="H1506" s="261"/>
      <c r="I1506" s="261"/>
      <c r="J1506" s="261"/>
      <c r="K1506" s="261"/>
      <c r="L1506" s="261"/>
      <c r="M1506" s="261"/>
    </row>
    <row r="1507" spans="5:13">
      <c r="E1507" s="261"/>
      <c r="F1507" s="261"/>
      <c r="G1507" s="261"/>
      <c r="H1507" s="261"/>
      <c r="I1507" s="261"/>
      <c r="J1507" s="261"/>
      <c r="K1507" s="261"/>
      <c r="L1507" s="261"/>
      <c r="M1507" s="261"/>
    </row>
    <row r="1508" spans="5:13">
      <c r="E1508" s="261"/>
      <c r="F1508" s="261"/>
      <c r="G1508" s="261"/>
      <c r="H1508" s="261"/>
      <c r="I1508" s="261"/>
      <c r="J1508" s="261"/>
      <c r="K1508" s="261"/>
      <c r="L1508" s="261"/>
      <c r="M1508" s="261"/>
    </row>
    <row r="1509" spans="5:13">
      <c r="E1509" s="261"/>
      <c r="F1509" s="261"/>
      <c r="G1509" s="261"/>
      <c r="H1509" s="261"/>
      <c r="I1509" s="261"/>
      <c r="J1509" s="261"/>
      <c r="K1509" s="261"/>
      <c r="L1509" s="261"/>
      <c r="M1509" s="261"/>
    </row>
    <row r="1510" spans="5:13">
      <c r="E1510" s="261"/>
      <c r="F1510" s="261"/>
      <c r="G1510" s="261"/>
      <c r="H1510" s="261"/>
      <c r="I1510" s="261"/>
      <c r="J1510" s="261"/>
      <c r="K1510" s="261"/>
      <c r="L1510" s="261"/>
      <c r="M1510" s="261"/>
    </row>
    <row r="1511" spans="5:13">
      <c r="E1511" s="261"/>
      <c r="F1511" s="261"/>
      <c r="G1511" s="261"/>
      <c r="H1511" s="261"/>
      <c r="I1511" s="261"/>
      <c r="J1511" s="261"/>
      <c r="K1511" s="261"/>
      <c r="L1511" s="261"/>
      <c r="M1511" s="261"/>
    </row>
    <row r="1512" spans="5:13">
      <c r="E1512" s="261"/>
      <c r="F1512" s="261"/>
      <c r="G1512" s="261"/>
      <c r="H1512" s="261"/>
      <c r="I1512" s="261"/>
      <c r="J1512" s="261"/>
      <c r="K1512" s="261"/>
      <c r="L1512" s="261"/>
      <c r="M1512" s="261"/>
    </row>
    <row r="1513" spans="5:13">
      <c r="E1513" s="261"/>
      <c r="F1513" s="261"/>
      <c r="G1513" s="261"/>
      <c r="H1513" s="261"/>
      <c r="I1513" s="261"/>
      <c r="J1513" s="261"/>
      <c r="K1513" s="261"/>
      <c r="L1513" s="261"/>
      <c r="M1513" s="261"/>
    </row>
    <row r="1514" spans="5:13">
      <c r="E1514" s="261"/>
      <c r="F1514" s="261"/>
      <c r="G1514" s="261"/>
      <c r="H1514" s="261"/>
      <c r="I1514" s="261"/>
      <c r="J1514" s="261"/>
      <c r="K1514" s="261"/>
      <c r="L1514" s="261"/>
      <c r="M1514" s="261"/>
    </row>
    <row r="1515" spans="5:13">
      <c r="E1515" s="261"/>
      <c r="F1515" s="261"/>
      <c r="G1515" s="261"/>
      <c r="H1515" s="261"/>
      <c r="I1515" s="261"/>
      <c r="J1515" s="261"/>
      <c r="K1515" s="261"/>
      <c r="L1515" s="261"/>
      <c r="M1515" s="261"/>
    </row>
    <row r="1516" spans="5:13">
      <c r="E1516" s="261"/>
      <c r="F1516" s="261"/>
      <c r="G1516" s="261"/>
      <c r="H1516" s="261"/>
      <c r="I1516" s="261"/>
      <c r="J1516" s="261"/>
      <c r="K1516" s="261"/>
      <c r="L1516" s="261"/>
      <c r="M1516" s="261"/>
    </row>
    <row r="1517" spans="5:13">
      <c r="E1517" s="261"/>
      <c r="F1517" s="261"/>
      <c r="G1517" s="261"/>
      <c r="H1517" s="261"/>
      <c r="I1517" s="261"/>
      <c r="J1517" s="261"/>
      <c r="K1517" s="261"/>
      <c r="L1517" s="261"/>
      <c r="M1517" s="261"/>
    </row>
    <row r="1518" spans="5:13">
      <c r="E1518" s="261"/>
      <c r="F1518" s="261"/>
      <c r="G1518" s="261"/>
      <c r="H1518" s="261"/>
      <c r="I1518" s="261"/>
      <c r="J1518" s="261"/>
      <c r="K1518" s="261"/>
      <c r="L1518" s="261"/>
      <c r="M1518" s="261"/>
    </row>
    <row r="1519" spans="5:13">
      <c r="E1519" s="261"/>
      <c r="F1519" s="261"/>
      <c r="G1519" s="261"/>
      <c r="H1519" s="261"/>
      <c r="I1519" s="261"/>
      <c r="J1519" s="261"/>
      <c r="K1519" s="261"/>
      <c r="L1519" s="261"/>
      <c r="M1519" s="261"/>
    </row>
    <row r="1520" spans="5:13">
      <c r="E1520" s="261"/>
      <c r="F1520" s="261"/>
      <c r="G1520" s="261"/>
      <c r="H1520" s="261"/>
      <c r="I1520" s="261"/>
      <c r="J1520" s="261"/>
      <c r="K1520" s="261"/>
      <c r="L1520" s="261"/>
      <c r="M1520" s="261"/>
    </row>
    <row r="1521" spans="5:13">
      <c r="E1521" s="261"/>
      <c r="F1521" s="261"/>
      <c r="G1521" s="261"/>
      <c r="H1521" s="261"/>
      <c r="I1521" s="261"/>
      <c r="J1521" s="261"/>
      <c r="K1521" s="261"/>
      <c r="L1521" s="261"/>
      <c r="M1521" s="261"/>
    </row>
    <row r="1522" spans="5:13">
      <c r="E1522" s="261"/>
      <c r="F1522" s="261"/>
      <c r="G1522" s="261"/>
      <c r="H1522" s="261"/>
      <c r="I1522" s="261"/>
      <c r="J1522" s="261"/>
      <c r="K1522" s="261"/>
      <c r="L1522" s="261"/>
      <c r="M1522" s="261"/>
    </row>
    <row r="1523" spans="5:13">
      <c r="E1523" s="261"/>
      <c r="F1523" s="261"/>
      <c r="G1523" s="261"/>
      <c r="H1523" s="261"/>
      <c r="I1523" s="261"/>
      <c r="J1523" s="261"/>
      <c r="K1523" s="261"/>
      <c r="L1523" s="261"/>
      <c r="M1523" s="261"/>
    </row>
    <row r="1524" spans="5:13">
      <c r="E1524" s="261"/>
      <c r="F1524" s="261"/>
      <c r="G1524" s="261"/>
      <c r="H1524" s="261"/>
      <c r="I1524" s="261"/>
      <c r="J1524" s="261"/>
      <c r="K1524" s="261"/>
      <c r="L1524" s="261"/>
      <c r="M1524" s="261"/>
    </row>
    <row r="1525" spans="5:13">
      <c r="E1525" s="261"/>
      <c r="F1525" s="261"/>
      <c r="G1525" s="261"/>
      <c r="H1525" s="261"/>
      <c r="I1525" s="261"/>
      <c r="J1525" s="261"/>
      <c r="K1525" s="261"/>
      <c r="L1525" s="261"/>
      <c r="M1525" s="261"/>
    </row>
    <row r="1526" spans="5:13">
      <c r="E1526" s="261"/>
      <c r="F1526" s="261"/>
      <c r="G1526" s="261"/>
      <c r="H1526" s="261"/>
      <c r="I1526" s="261"/>
      <c r="J1526" s="261"/>
      <c r="K1526" s="261"/>
      <c r="L1526" s="261"/>
      <c r="M1526" s="261"/>
    </row>
    <row r="1527" spans="5:13">
      <c r="E1527" s="261"/>
      <c r="F1527" s="261"/>
      <c r="G1527" s="261"/>
      <c r="H1527" s="261"/>
      <c r="I1527" s="261"/>
      <c r="J1527" s="261"/>
      <c r="K1527" s="261"/>
      <c r="L1527" s="261"/>
      <c r="M1527" s="261"/>
    </row>
    <row r="1528" spans="5:13">
      <c r="E1528" s="261"/>
      <c r="F1528" s="261"/>
      <c r="G1528" s="261"/>
      <c r="H1528" s="261"/>
      <c r="I1528" s="261"/>
      <c r="J1528" s="261"/>
      <c r="K1528" s="261"/>
      <c r="L1528" s="261"/>
      <c r="M1528" s="261"/>
    </row>
    <row r="1529" spans="5:13">
      <c r="E1529" s="261"/>
      <c r="F1529" s="261"/>
      <c r="G1529" s="261"/>
      <c r="H1529" s="261"/>
      <c r="I1529" s="261"/>
      <c r="J1529" s="261"/>
      <c r="K1529" s="261"/>
      <c r="L1529" s="261"/>
      <c r="M1529" s="261"/>
    </row>
    <row r="1530" spans="5:13">
      <c r="E1530" s="261"/>
      <c r="F1530" s="261"/>
      <c r="G1530" s="261"/>
      <c r="H1530" s="261"/>
      <c r="I1530" s="261"/>
      <c r="J1530" s="261"/>
      <c r="K1530" s="261"/>
      <c r="L1530" s="261"/>
      <c r="M1530" s="261"/>
    </row>
    <row r="1531" spans="5:13">
      <c r="E1531" s="261"/>
      <c r="F1531" s="261"/>
      <c r="G1531" s="261"/>
      <c r="H1531" s="261"/>
      <c r="I1531" s="261"/>
      <c r="J1531" s="261"/>
      <c r="K1531" s="261"/>
      <c r="L1531" s="261"/>
      <c r="M1531" s="261"/>
    </row>
    <row r="1532" spans="5:13">
      <c r="E1532" s="261"/>
      <c r="F1532" s="261"/>
      <c r="G1532" s="261"/>
      <c r="H1532" s="261"/>
      <c r="I1532" s="261"/>
      <c r="J1532" s="261"/>
      <c r="K1532" s="261"/>
      <c r="L1532" s="261"/>
      <c r="M1532" s="261"/>
    </row>
    <row r="1533" spans="5:13">
      <c r="E1533" s="261"/>
      <c r="F1533" s="261"/>
      <c r="G1533" s="261"/>
      <c r="H1533" s="261"/>
      <c r="I1533" s="261"/>
      <c r="J1533" s="261"/>
      <c r="K1533" s="261"/>
      <c r="L1533" s="261"/>
      <c r="M1533" s="261"/>
    </row>
    <row r="1534" spans="5:13">
      <c r="E1534" s="261"/>
      <c r="F1534" s="261"/>
      <c r="G1534" s="261"/>
      <c r="H1534" s="261"/>
      <c r="I1534" s="261"/>
      <c r="J1534" s="261"/>
      <c r="K1534" s="261"/>
      <c r="L1534" s="261"/>
      <c r="M1534" s="261"/>
    </row>
    <row r="1535" spans="5:13">
      <c r="E1535" s="261"/>
      <c r="F1535" s="261"/>
      <c r="G1535" s="261"/>
      <c r="H1535" s="261"/>
      <c r="I1535" s="261"/>
      <c r="J1535" s="261"/>
      <c r="K1535" s="261"/>
      <c r="L1535" s="261"/>
      <c r="M1535" s="261"/>
    </row>
    <row r="1536" spans="5:13">
      <c r="E1536" s="261"/>
      <c r="F1536" s="261"/>
      <c r="G1536" s="261"/>
      <c r="H1536" s="261"/>
      <c r="I1536" s="261"/>
      <c r="J1536" s="261"/>
      <c r="K1536" s="261"/>
      <c r="L1536" s="261"/>
      <c r="M1536" s="261"/>
    </row>
    <row r="1537" spans="5:13">
      <c r="E1537" s="261"/>
      <c r="F1537" s="261"/>
      <c r="G1537" s="261"/>
      <c r="H1537" s="261"/>
      <c r="I1537" s="261"/>
      <c r="J1537" s="261"/>
      <c r="K1537" s="261"/>
      <c r="L1537" s="261"/>
      <c r="M1537" s="261"/>
    </row>
    <row r="1538" spans="5:13">
      <c r="E1538" s="261"/>
      <c r="F1538" s="261"/>
      <c r="G1538" s="261"/>
      <c r="H1538" s="261"/>
      <c r="I1538" s="261"/>
      <c r="J1538" s="261"/>
      <c r="K1538" s="261"/>
      <c r="L1538" s="261"/>
      <c r="M1538" s="261"/>
    </row>
    <row r="1539" spans="5:13">
      <c r="E1539" s="261"/>
      <c r="F1539" s="261"/>
      <c r="G1539" s="261"/>
      <c r="H1539" s="261"/>
      <c r="I1539" s="261"/>
      <c r="J1539" s="261"/>
      <c r="K1539" s="261"/>
      <c r="L1539" s="261"/>
      <c r="M1539" s="261"/>
    </row>
    <row r="1540" spans="5:13">
      <c r="E1540" s="261"/>
      <c r="F1540" s="261"/>
      <c r="G1540" s="261"/>
      <c r="H1540" s="261"/>
      <c r="I1540" s="261"/>
      <c r="J1540" s="261"/>
      <c r="K1540" s="261"/>
      <c r="L1540" s="261"/>
      <c r="M1540" s="261"/>
    </row>
    <row r="1541" spans="5:13">
      <c r="E1541" s="261"/>
      <c r="F1541" s="261"/>
      <c r="G1541" s="261"/>
      <c r="H1541" s="261"/>
      <c r="I1541" s="261"/>
      <c r="J1541" s="261"/>
      <c r="K1541" s="261"/>
      <c r="L1541" s="261"/>
      <c r="M1541" s="261"/>
    </row>
    <row r="1542" spans="5:13">
      <c r="E1542" s="261"/>
      <c r="F1542" s="261"/>
      <c r="G1542" s="261"/>
      <c r="H1542" s="261"/>
      <c r="I1542" s="261"/>
      <c r="J1542" s="261"/>
      <c r="K1542" s="261"/>
      <c r="L1542" s="261"/>
      <c r="M1542" s="261"/>
    </row>
    <row r="1543" spans="5:13">
      <c r="E1543" s="261"/>
      <c r="F1543" s="261"/>
      <c r="G1543" s="261"/>
      <c r="H1543" s="261"/>
      <c r="I1543" s="261"/>
      <c r="J1543" s="261"/>
      <c r="K1543" s="261"/>
      <c r="L1543" s="261"/>
      <c r="M1543" s="261"/>
    </row>
    <row r="1544" spans="5:13">
      <c r="E1544" s="261"/>
      <c r="F1544" s="261"/>
      <c r="G1544" s="261"/>
      <c r="H1544" s="261"/>
      <c r="I1544" s="261"/>
      <c r="J1544" s="261"/>
      <c r="K1544" s="261"/>
      <c r="L1544" s="261"/>
      <c r="M1544" s="261"/>
    </row>
    <row r="1545" spans="5:13">
      <c r="E1545" s="261"/>
      <c r="F1545" s="261"/>
      <c r="G1545" s="261"/>
      <c r="H1545" s="261"/>
      <c r="I1545" s="261"/>
      <c r="J1545" s="261"/>
      <c r="K1545" s="261"/>
      <c r="L1545" s="261"/>
      <c r="M1545" s="261"/>
    </row>
    <row r="1546" spans="5:13">
      <c r="E1546" s="261"/>
      <c r="F1546" s="261"/>
      <c r="G1546" s="261"/>
      <c r="H1546" s="261"/>
      <c r="I1546" s="261"/>
      <c r="J1546" s="261"/>
      <c r="K1546" s="261"/>
      <c r="L1546" s="261"/>
      <c r="M1546" s="261"/>
    </row>
    <row r="1547" spans="5:13">
      <c r="E1547" s="261"/>
      <c r="F1547" s="261"/>
      <c r="G1547" s="261"/>
      <c r="H1547" s="261"/>
      <c r="I1547" s="261"/>
      <c r="J1547" s="261"/>
      <c r="K1547" s="261"/>
      <c r="L1547" s="261"/>
      <c r="M1547" s="261"/>
    </row>
    <row r="1548" spans="5:13">
      <c r="E1548" s="261"/>
      <c r="F1548" s="261"/>
      <c r="G1548" s="261"/>
      <c r="H1548" s="261"/>
      <c r="I1548" s="261"/>
      <c r="J1548" s="261"/>
      <c r="K1548" s="261"/>
      <c r="L1548" s="261"/>
      <c r="M1548" s="261"/>
    </row>
    <row r="1549" spans="5:13">
      <c r="E1549" s="261"/>
      <c r="F1549" s="261"/>
      <c r="G1549" s="261"/>
      <c r="H1549" s="261"/>
      <c r="I1549" s="261"/>
      <c r="J1549" s="261"/>
      <c r="K1549" s="261"/>
      <c r="L1549" s="261"/>
      <c r="M1549" s="261"/>
    </row>
    <row r="1550" spans="5:13">
      <c r="E1550" s="261"/>
      <c r="F1550" s="261"/>
      <c r="G1550" s="261"/>
      <c r="H1550" s="261"/>
      <c r="I1550" s="261"/>
      <c r="J1550" s="261"/>
      <c r="K1550" s="261"/>
      <c r="L1550" s="261"/>
      <c r="M1550" s="261"/>
    </row>
    <row r="1551" spans="5:13">
      <c r="E1551" s="261"/>
      <c r="F1551" s="261"/>
      <c r="G1551" s="261"/>
      <c r="H1551" s="261"/>
      <c r="I1551" s="261"/>
      <c r="J1551" s="261"/>
      <c r="K1551" s="261"/>
      <c r="L1551" s="261"/>
      <c r="M1551" s="261"/>
    </row>
    <row r="1552" spans="5:13">
      <c r="E1552" s="261"/>
      <c r="F1552" s="261"/>
      <c r="G1552" s="261"/>
      <c r="H1552" s="261"/>
      <c r="I1552" s="261"/>
      <c r="J1552" s="261"/>
      <c r="K1552" s="261"/>
      <c r="L1552" s="261"/>
      <c r="M1552" s="261"/>
    </row>
    <row r="1553" spans="5:13">
      <c r="E1553" s="261"/>
      <c r="F1553" s="261"/>
      <c r="G1553" s="261"/>
      <c r="H1553" s="261"/>
      <c r="I1553" s="261"/>
      <c r="J1553" s="261"/>
      <c r="K1553" s="261"/>
      <c r="L1553" s="261"/>
      <c r="M1553" s="261"/>
    </row>
    <row r="1554" spans="5:13">
      <c r="E1554" s="261"/>
      <c r="F1554" s="261"/>
      <c r="G1554" s="261"/>
      <c r="H1554" s="261"/>
      <c r="I1554" s="261"/>
      <c r="J1554" s="261"/>
      <c r="K1554" s="261"/>
      <c r="L1554" s="261"/>
      <c r="M1554" s="261"/>
    </row>
    <row r="1555" spans="5:13">
      <c r="E1555" s="261"/>
      <c r="F1555" s="261"/>
      <c r="G1555" s="261"/>
      <c r="H1555" s="261"/>
      <c r="I1555" s="261"/>
      <c r="J1555" s="261"/>
      <c r="K1555" s="261"/>
      <c r="L1555" s="261"/>
      <c r="M1555" s="261"/>
    </row>
    <row r="1556" spans="5:13">
      <c r="E1556" s="261"/>
      <c r="F1556" s="261"/>
      <c r="G1556" s="261"/>
      <c r="H1556" s="261"/>
      <c r="I1556" s="261"/>
      <c r="J1556" s="261"/>
      <c r="K1556" s="261"/>
      <c r="L1556" s="261"/>
      <c r="M1556" s="261"/>
    </row>
    <row r="1557" spans="5:13">
      <c r="E1557" s="261"/>
      <c r="F1557" s="261"/>
      <c r="G1557" s="261"/>
      <c r="H1557" s="261"/>
      <c r="I1557" s="261"/>
      <c r="J1557" s="261"/>
      <c r="K1557" s="261"/>
      <c r="L1557" s="261"/>
      <c r="M1557" s="261"/>
    </row>
    <row r="1558" spans="5:13">
      <c r="E1558" s="261"/>
      <c r="F1558" s="261"/>
      <c r="G1558" s="261"/>
      <c r="H1558" s="261"/>
      <c r="I1558" s="261"/>
      <c r="J1558" s="261"/>
      <c r="K1558" s="261"/>
      <c r="L1558" s="261"/>
      <c r="M1558" s="261"/>
    </row>
    <row r="1559" spans="5:13">
      <c r="E1559" s="261"/>
      <c r="F1559" s="261"/>
      <c r="G1559" s="261"/>
      <c r="H1559" s="261"/>
      <c r="I1559" s="261"/>
      <c r="J1559" s="261"/>
      <c r="K1559" s="261"/>
      <c r="L1559" s="261"/>
      <c r="M1559" s="261"/>
    </row>
    <row r="1560" spans="5:13">
      <c r="E1560" s="261"/>
      <c r="F1560" s="261"/>
      <c r="G1560" s="261"/>
      <c r="H1560" s="261"/>
      <c r="I1560" s="261"/>
      <c r="J1560" s="261"/>
      <c r="K1560" s="261"/>
      <c r="L1560" s="261"/>
      <c r="M1560" s="261"/>
    </row>
    <row r="1561" spans="5:13">
      <c r="E1561" s="261"/>
      <c r="F1561" s="261"/>
      <c r="G1561" s="261"/>
      <c r="H1561" s="261"/>
      <c r="I1561" s="261"/>
      <c r="J1561" s="261"/>
      <c r="K1561" s="261"/>
      <c r="L1561" s="261"/>
      <c r="M1561" s="261"/>
    </row>
    <row r="1562" spans="5:13">
      <c r="E1562" s="261"/>
      <c r="F1562" s="261"/>
      <c r="G1562" s="261"/>
      <c r="H1562" s="261"/>
      <c r="I1562" s="261"/>
      <c r="J1562" s="261"/>
      <c r="K1562" s="261"/>
      <c r="L1562" s="261"/>
      <c r="M1562" s="261"/>
    </row>
    <row r="1563" spans="5:13">
      <c r="E1563" s="261"/>
      <c r="F1563" s="261"/>
      <c r="G1563" s="261"/>
      <c r="H1563" s="261"/>
      <c r="I1563" s="261"/>
      <c r="J1563" s="261"/>
      <c r="K1563" s="261"/>
      <c r="L1563" s="261"/>
      <c r="M1563" s="261"/>
    </row>
    <row r="1564" spans="5:13">
      <c r="E1564" s="261"/>
      <c r="F1564" s="261"/>
      <c r="G1564" s="261"/>
      <c r="H1564" s="261"/>
      <c r="I1564" s="261"/>
      <c r="J1564" s="261"/>
      <c r="K1564" s="261"/>
      <c r="L1564" s="261"/>
      <c r="M1564" s="261"/>
    </row>
    <row r="1565" spans="5:13">
      <c r="E1565" s="261"/>
      <c r="F1565" s="261"/>
      <c r="G1565" s="261"/>
      <c r="H1565" s="261"/>
      <c r="I1565" s="261"/>
      <c r="J1565" s="261"/>
      <c r="K1565" s="261"/>
      <c r="L1565" s="261"/>
      <c r="M1565" s="261"/>
    </row>
    <row r="1566" spans="5:13">
      <c r="E1566" s="261"/>
      <c r="F1566" s="261"/>
      <c r="G1566" s="261"/>
      <c r="H1566" s="261"/>
      <c r="I1566" s="261"/>
      <c r="J1566" s="261"/>
      <c r="K1566" s="261"/>
      <c r="L1566" s="261"/>
      <c r="M1566" s="261"/>
    </row>
    <row r="1567" spans="5:13">
      <c r="E1567" s="261"/>
      <c r="F1567" s="261"/>
      <c r="G1567" s="261"/>
      <c r="H1567" s="261"/>
      <c r="I1567" s="261"/>
      <c r="J1567" s="261"/>
      <c r="K1567" s="261"/>
      <c r="L1567" s="261"/>
      <c r="M1567" s="261"/>
    </row>
    <row r="1568" spans="5:13">
      <c r="E1568" s="261"/>
      <c r="F1568" s="261"/>
      <c r="G1568" s="261"/>
      <c r="H1568" s="261"/>
      <c r="I1568" s="261"/>
      <c r="J1568" s="261"/>
      <c r="K1568" s="261"/>
      <c r="L1568" s="261"/>
      <c r="M1568" s="261"/>
    </row>
    <row r="1569" spans="5:13">
      <c r="E1569" s="261"/>
      <c r="F1569" s="261"/>
      <c r="G1569" s="261"/>
      <c r="H1569" s="261"/>
      <c r="I1569" s="261"/>
      <c r="J1569" s="261"/>
      <c r="K1569" s="261"/>
      <c r="L1569" s="261"/>
      <c r="M1569" s="261"/>
    </row>
    <row r="1570" spans="5:13">
      <c r="E1570" s="261"/>
      <c r="F1570" s="261"/>
      <c r="G1570" s="261"/>
      <c r="H1570" s="261"/>
      <c r="I1570" s="261"/>
      <c r="J1570" s="261"/>
      <c r="K1570" s="261"/>
      <c r="L1570" s="261"/>
      <c r="M1570" s="261"/>
    </row>
    <row r="1571" spans="5:13">
      <c r="E1571" s="261"/>
      <c r="F1571" s="261"/>
      <c r="G1571" s="261"/>
      <c r="H1571" s="261"/>
      <c r="I1571" s="261"/>
      <c r="J1571" s="261"/>
      <c r="K1571" s="261"/>
      <c r="L1571" s="261"/>
      <c r="M1571" s="261"/>
    </row>
    <row r="1572" spans="5:13">
      <c r="E1572" s="261"/>
      <c r="F1572" s="261"/>
      <c r="G1572" s="261"/>
      <c r="H1572" s="261"/>
      <c r="I1572" s="261"/>
      <c r="J1572" s="261"/>
      <c r="K1572" s="261"/>
      <c r="L1572" s="261"/>
      <c r="M1572" s="261"/>
    </row>
    <row r="1573" spans="5:13">
      <c r="E1573" s="261"/>
      <c r="F1573" s="261"/>
      <c r="G1573" s="261"/>
      <c r="H1573" s="261"/>
      <c r="I1573" s="261"/>
      <c r="J1573" s="261"/>
      <c r="K1573" s="261"/>
      <c r="L1573" s="261"/>
      <c r="M1573" s="261"/>
    </row>
    <row r="1574" spans="5:13">
      <c r="E1574" s="261"/>
      <c r="F1574" s="261"/>
      <c r="G1574" s="261"/>
      <c r="H1574" s="261"/>
      <c r="I1574" s="261"/>
      <c r="J1574" s="261"/>
      <c r="K1574" s="261"/>
      <c r="L1574" s="261"/>
      <c r="M1574" s="261"/>
    </row>
    <row r="1575" spans="5:13">
      <c r="E1575" s="261"/>
      <c r="F1575" s="261"/>
      <c r="G1575" s="261"/>
      <c r="H1575" s="261"/>
      <c r="I1575" s="261"/>
      <c r="J1575" s="261"/>
      <c r="K1575" s="261"/>
      <c r="L1575" s="261"/>
      <c r="M1575" s="261"/>
    </row>
    <row r="1576" spans="5:13">
      <c r="E1576" s="261"/>
      <c r="F1576" s="261"/>
      <c r="G1576" s="261"/>
      <c r="H1576" s="261"/>
      <c r="I1576" s="261"/>
      <c r="J1576" s="261"/>
      <c r="K1576" s="261"/>
      <c r="L1576" s="261"/>
      <c r="M1576" s="261"/>
    </row>
    <row r="1577" spans="5:13">
      <c r="E1577" s="261"/>
      <c r="F1577" s="261"/>
      <c r="G1577" s="261"/>
      <c r="H1577" s="261"/>
      <c r="I1577" s="261"/>
      <c r="J1577" s="261"/>
      <c r="K1577" s="261"/>
      <c r="L1577" s="261"/>
      <c r="M1577" s="261"/>
    </row>
    <row r="1578" spans="5:13">
      <c r="E1578" s="261"/>
      <c r="F1578" s="261"/>
      <c r="G1578" s="261"/>
      <c r="H1578" s="261"/>
      <c r="I1578" s="261"/>
      <c r="J1578" s="261"/>
      <c r="K1578" s="261"/>
      <c r="L1578" s="261"/>
      <c r="M1578" s="261"/>
    </row>
    <row r="1579" spans="5:13">
      <c r="E1579" s="261"/>
      <c r="F1579" s="261"/>
      <c r="G1579" s="261"/>
      <c r="H1579" s="261"/>
      <c r="I1579" s="261"/>
      <c r="J1579" s="261"/>
      <c r="K1579" s="261"/>
      <c r="L1579" s="261"/>
      <c r="M1579" s="261"/>
    </row>
    <row r="1580" spans="5:13">
      <c r="E1580" s="261"/>
      <c r="F1580" s="261"/>
      <c r="G1580" s="261"/>
      <c r="H1580" s="261"/>
      <c r="I1580" s="261"/>
      <c r="J1580" s="261"/>
      <c r="K1580" s="261"/>
      <c r="L1580" s="261"/>
      <c r="M1580" s="261"/>
    </row>
    <row r="1581" spans="5:13">
      <c r="E1581" s="261"/>
      <c r="F1581" s="261"/>
      <c r="G1581" s="261"/>
      <c r="H1581" s="261"/>
      <c r="I1581" s="261"/>
      <c r="J1581" s="261"/>
      <c r="K1581" s="261"/>
      <c r="L1581" s="261"/>
      <c r="M1581" s="261"/>
    </row>
    <row r="1582" spans="5:13">
      <c r="E1582" s="261"/>
      <c r="F1582" s="261"/>
      <c r="G1582" s="261"/>
      <c r="H1582" s="261"/>
      <c r="I1582" s="261"/>
      <c r="J1582" s="261"/>
      <c r="K1582" s="261"/>
      <c r="L1582" s="261"/>
      <c r="M1582" s="261"/>
    </row>
    <row r="1583" spans="5:13">
      <c r="E1583" s="261"/>
      <c r="F1583" s="261"/>
      <c r="G1583" s="261"/>
      <c r="H1583" s="261"/>
      <c r="I1583" s="261"/>
      <c r="J1583" s="261"/>
      <c r="K1583" s="261"/>
      <c r="L1583" s="261"/>
      <c r="M1583" s="261"/>
    </row>
    <row r="1584" spans="5:13">
      <c r="E1584" s="261"/>
      <c r="F1584" s="261"/>
      <c r="G1584" s="261"/>
      <c r="H1584" s="261"/>
      <c r="I1584" s="261"/>
      <c r="J1584" s="261"/>
      <c r="K1584" s="261"/>
      <c r="L1584" s="261"/>
      <c r="M1584" s="261"/>
    </row>
    <row r="1585" spans="5:13">
      <c r="E1585" s="261"/>
      <c r="F1585" s="261"/>
      <c r="G1585" s="261"/>
      <c r="H1585" s="261"/>
      <c r="I1585" s="261"/>
      <c r="J1585" s="261"/>
      <c r="K1585" s="261"/>
      <c r="L1585" s="261"/>
      <c r="M1585" s="261"/>
    </row>
    <row r="1586" spans="5:13">
      <c r="E1586" s="261"/>
      <c r="F1586" s="261"/>
      <c r="G1586" s="261"/>
      <c r="H1586" s="261"/>
      <c r="I1586" s="261"/>
      <c r="J1586" s="261"/>
      <c r="K1586" s="261"/>
      <c r="L1586" s="261"/>
      <c r="M1586" s="261"/>
    </row>
    <row r="1587" spans="5:13">
      <c r="E1587" s="261"/>
      <c r="F1587" s="261"/>
      <c r="G1587" s="261"/>
      <c r="H1587" s="261"/>
      <c r="I1587" s="261"/>
      <c r="J1587" s="261"/>
      <c r="K1587" s="261"/>
      <c r="L1587" s="261"/>
      <c r="M1587" s="261"/>
    </row>
    <row r="1588" spans="5:13">
      <c r="E1588" s="261"/>
      <c r="F1588" s="261"/>
      <c r="G1588" s="261"/>
      <c r="H1588" s="261"/>
      <c r="I1588" s="261"/>
      <c r="J1588" s="261"/>
      <c r="K1588" s="261"/>
      <c r="L1588" s="261"/>
      <c r="M1588" s="261"/>
    </row>
    <row r="1589" spans="5:13">
      <c r="E1589" s="261"/>
      <c r="F1589" s="261"/>
      <c r="G1589" s="261"/>
      <c r="H1589" s="261"/>
      <c r="I1589" s="261"/>
      <c r="J1589" s="261"/>
      <c r="K1589" s="261"/>
      <c r="L1589" s="261"/>
      <c r="M1589" s="261"/>
    </row>
    <row r="1590" spans="5:13">
      <c r="E1590" s="261"/>
      <c r="F1590" s="261"/>
      <c r="G1590" s="261"/>
      <c r="H1590" s="261"/>
      <c r="I1590" s="261"/>
      <c r="J1590" s="261"/>
      <c r="K1590" s="261"/>
      <c r="L1590" s="261"/>
      <c r="M1590" s="261"/>
    </row>
    <row r="1591" spans="5:13">
      <c r="E1591" s="261"/>
      <c r="F1591" s="261"/>
      <c r="G1591" s="261"/>
      <c r="H1591" s="261"/>
      <c r="I1591" s="261"/>
      <c r="J1591" s="261"/>
      <c r="K1591" s="261"/>
      <c r="L1591" s="261"/>
      <c r="M1591" s="261"/>
    </row>
    <row r="1592" spans="5:13">
      <c r="E1592" s="261"/>
      <c r="F1592" s="261"/>
      <c r="G1592" s="261"/>
      <c r="H1592" s="261"/>
      <c r="I1592" s="261"/>
      <c r="J1592" s="261"/>
      <c r="K1592" s="261"/>
      <c r="L1592" s="261"/>
      <c r="M1592" s="261"/>
    </row>
    <row r="1593" spans="5:13">
      <c r="E1593" s="261"/>
      <c r="F1593" s="261"/>
      <c r="G1593" s="261"/>
      <c r="H1593" s="261"/>
      <c r="I1593" s="261"/>
      <c r="J1593" s="261"/>
      <c r="K1593" s="261"/>
      <c r="L1593" s="261"/>
      <c r="M1593" s="261"/>
    </row>
    <row r="1594" spans="5:13">
      <c r="E1594" s="261"/>
      <c r="F1594" s="261"/>
      <c r="G1594" s="261"/>
      <c r="H1594" s="261"/>
      <c r="I1594" s="261"/>
      <c r="J1594" s="261"/>
      <c r="K1594" s="261"/>
      <c r="L1594" s="261"/>
      <c r="M1594" s="261"/>
    </row>
    <row r="1595" spans="5:13">
      <c r="E1595" s="261"/>
      <c r="F1595" s="261"/>
      <c r="G1595" s="261"/>
      <c r="H1595" s="261"/>
      <c r="I1595" s="261"/>
      <c r="J1595" s="261"/>
      <c r="K1595" s="261"/>
      <c r="L1595" s="261"/>
      <c r="M1595" s="261"/>
    </row>
    <row r="1596" spans="5:13">
      <c r="E1596" s="261"/>
      <c r="F1596" s="261"/>
      <c r="G1596" s="261"/>
      <c r="H1596" s="261"/>
      <c r="I1596" s="261"/>
      <c r="J1596" s="261"/>
      <c r="K1596" s="261"/>
      <c r="L1596" s="261"/>
      <c r="M1596" s="261"/>
    </row>
    <row r="1597" spans="5:13">
      <c r="E1597" s="261"/>
      <c r="F1597" s="261"/>
      <c r="G1597" s="261"/>
      <c r="H1597" s="261"/>
      <c r="I1597" s="261"/>
      <c r="J1597" s="261"/>
      <c r="K1597" s="261"/>
      <c r="L1597" s="261"/>
      <c r="M1597" s="261"/>
    </row>
    <row r="1598" spans="5:13">
      <c r="E1598" s="261"/>
      <c r="F1598" s="261"/>
      <c r="G1598" s="261"/>
      <c r="H1598" s="261"/>
      <c r="I1598" s="261"/>
      <c r="J1598" s="261"/>
      <c r="K1598" s="261"/>
      <c r="L1598" s="261"/>
      <c r="M1598" s="261"/>
    </row>
    <row r="1599" spans="5:13">
      <c r="E1599" s="261"/>
      <c r="F1599" s="261"/>
      <c r="G1599" s="261"/>
      <c r="H1599" s="261"/>
      <c r="I1599" s="261"/>
      <c r="J1599" s="261"/>
      <c r="K1599" s="261"/>
      <c r="L1599" s="261"/>
      <c r="M1599" s="261"/>
    </row>
    <row r="1600" spans="5:13">
      <c r="E1600" s="261"/>
      <c r="F1600" s="261"/>
      <c r="G1600" s="261"/>
      <c r="H1600" s="261"/>
      <c r="I1600" s="261"/>
      <c r="J1600" s="261"/>
      <c r="K1600" s="261"/>
      <c r="L1600" s="261"/>
      <c r="M1600" s="261"/>
    </row>
    <row r="1601" spans="5:13">
      <c r="E1601" s="261"/>
      <c r="F1601" s="261"/>
      <c r="G1601" s="261"/>
      <c r="H1601" s="261"/>
      <c r="I1601" s="261"/>
      <c r="J1601" s="261"/>
      <c r="K1601" s="261"/>
      <c r="L1601" s="261"/>
      <c r="M1601" s="261"/>
    </row>
    <row r="1602" spans="5:13">
      <c r="E1602" s="261"/>
      <c r="F1602" s="261"/>
      <c r="G1602" s="261"/>
      <c r="H1602" s="261"/>
      <c r="I1602" s="261"/>
      <c r="J1602" s="261"/>
      <c r="K1602" s="261"/>
      <c r="L1602" s="261"/>
      <c r="M1602" s="261"/>
    </row>
    <row r="1603" spans="5:13">
      <c r="E1603" s="261"/>
      <c r="F1603" s="261"/>
      <c r="G1603" s="261"/>
      <c r="H1603" s="261"/>
      <c r="I1603" s="261"/>
      <c r="J1603" s="261"/>
      <c r="K1603" s="261"/>
      <c r="L1603" s="261"/>
      <c r="M1603" s="261"/>
    </row>
    <row r="1604" spans="5:13">
      <c r="E1604" s="261"/>
      <c r="F1604" s="261"/>
      <c r="G1604" s="261"/>
      <c r="H1604" s="261"/>
      <c r="I1604" s="261"/>
      <c r="J1604" s="261"/>
      <c r="K1604" s="261"/>
      <c r="L1604" s="261"/>
      <c r="M1604" s="261"/>
    </row>
    <row r="1605" spans="5:13">
      <c r="E1605" s="261"/>
      <c r="F1605" s="261"/>
      <c r="G1605" s="261"/>
      <c r="H1605" s="261"/>
      <c r="I1605" s="261"/>
      <c r="J1605" s="261"/>
      <c r="K1605" s="261"/>
      <c r="L1605" s="261"/>
      <c r="M1605" s="261"/>
    </row>
    <row r="1606" spans="5:13">
      <c r="E1606" s="261"/>
      <c r="F1606" s="261"/>
      <c r="G1606" s="261"/>
      <c r="H1606" s="261"/>
      <c r="I1606" s="261"/>
      <c r="J1606" s="261"/>
      <c r="K1606" s="261"/>
      <c r="L1606" s="261"/>
      <c r="M1606" s="261"/>
    </row>
    <row r="1607" spans="5:13">
      <c r="E1607" s="261"/>
      <c r="F1607" s="261"/>
      <c r="G1607" s="261"/>
      <c r="H1607" s="261"/>
      <c r="I1607" s="261"/>
      <c r="J1607" s="261"/>
      <c r="K1607" s="261"/>
      <c r="L1607" s="261"/>
      <c r="M1607" s="261"/>
    </row>
    <row r="1608" spans="5:13">
      <c r="E1608" s="261"/>
      <c r="F1608" s="261"/>
      <c r="G1608" s="261"/>
      <c r="H1608" s="261"/>
      <c r="I1608" s="261"/>
      <c r="J1608" s="261"/>
      <c r="K1608" s="261"/>
      <c r="L1608" s="261"/>
      <c r="M1608" s="261"/>
    </row>
    <row r="1609" spans="5:13">
      <c r="E1609" s="261"/>
      <c r="F1609" s="261"/>
      <c r="G1609" s="261"/>
      <c r="H1609" s="261"/>
      <c r="I1609" s="261"/>
      <c r="J1609" s="261"/>
      <c r="K1609" s="261"/>
      <c r="L1609" s="261"/>
      <c r="M1609" s="261"/>
    </row>
    <row r="1610" spans="5:13">
      <c r="E1610" s="261"/>
      <c r="F1610" s="261"/>
      <c r="G1610" s="261"/>
      <c r="H1610" s="261"/>
      <c r="I1610" s="261"/>
      <c r="J1610" s="261"/>
      <c r="K1610" s="261"/>
      <c r="L1610" s="261"/>
      <c r="M1610" s="261"/>
    </row>
    <row r="1611" spans="5:13">
      <c r="E1611" s="261"/>
      <c r="F1611" s="261"/>
      <c r="G1611" s="261"/>
      <c r="H1611" s="261"/>
      <c r="I1611" s="261"/>
      <c r="J1611" s="261"/>
      <c r="K1611" s="261"/>
      <c r="L1611" s="261"/>
      <c r="M1611" s="261"/>
    </row>
    <row r="1612" spans="5:13">
      <c r="E1612" s="261"/>
      <c r="F1612" s="261"/>
      <c r="G1612" s="261"/>
      <c r="H1612" s="261"/>
      <c r="I1612" s="261"/>
      <c r="J1612" s="261"/>
      <c r="K1612" s="261"/>
      <c r="L1612" s="261"/>
      <c r="M1612" s="261"/>
    </row>
    <row r="1613" spans="5:13">
      <c r="E1613" s="261"/>
      <c r="F1613" s="261"/>
      <c r="G1613" s="261"/>
      <c r="H1613" s="261"/>
      <c r="I1613" s="261"/>
      <c r="J1613" s="261"/>
      <c r="K1613" s="261"/>
      <c r="L1613" s="261"/>
      <c r="M1613" s="261"/>
    </row>
    <row r="1614" spans="5:13">
      <c r="E1614" s="261"/>
      <c r="F1614" s="261"/>
      <c r="G1614" s="261"/>
      <c r="H1614" s="261"/>
      <c r="I1614" s="261"/>
      <c r="J1614" s="261"/>
      <c r="K1614" s="261"/>
      <c r="L1614" s="261"/>
      <c r="M1614" s="261"/>
    </row>
    <row r="1615" spans="5:13">
      <c r="E1615" s="261"/>
      <c r="F1615" s="261"/>
      <c r="G1615" s="261"/>
      <c r="H1615" s="261"/>
      <c r="I1615" s="261"/>
      <c r="J1615" s="261"/>
      <c r="K1615" s="261"/>
      <c r="L1615" s="261"/>
      <c r="M1615" s="261"/>
    </row>
    <row r="1616" spans="5:13">
      <c r="E1616" s="261"/>
      <c r="F1616" s="261"/>
      <c r="G1616" s="261"/>
      <c r="H1616" s="261"/>
      <c r="I1616" s="261"/>
      <c r="J1616" s="261"/>
      <c r="K1616" s="261"/>
      <c r="L1616" s="261"/>
      <c r="M1616" s="261"/>
    </row>
    <row r="1617" spans="5:13">
      <c r="E1617" s="261"/>
      <c r="F1617" s="261"/>
      <c r="G1617" s="261"/>
      <c r="H1617" s="261"/>
      <c r="I1617" s="261"/>
      <c r="J1617" s="261"/>
      <c r="K1617" s="261"/>
      <c r="L1617" s="261"/>
      <c r="M1617" s="261"/>
    </row>
    <row r="1618" spans="5:13">
      <c r="E1618" s="261"/>
      <c r="F1618" s="261"/>
      <c r="G1618" s="261"/>
      <c r="H1618" s="261"/>
      <c r="I1618" s="261"/>
      <c r="J1618" s="261"/>
      <c r="K1618" s="261"/>
      <c r="L1618" s="261"/>
      <c r="M1618" s="261"/>
    </row>
    <row r="1619" spans="5:13">
      <c r="E1619" s="261"/>
      <c r="F1619" s="261"/>
      <c r="G1619" s="261"/>
      <c r="H1619" s="261"/>
      <c r="I1619" s="261"/>
      <c r="J1619" s="261"/>
      <c r="K1619" s="261"/>
      <c r="L1619" s="261"/>
      <c r="M1619" s="261"/>
    </row>
    <row r="1620" spans="5:13">
      <c r="E1620" s="261"/>
      <c r="F1620" s="261"/>
      <c r="G1620" s="261"/>
      <c r="H1620" s="261"/>
      <c r="I1620" s="261"/>
      <c r="J1620" s="261"/>
      <c r="K1620" s="261"/>
      <c r="L1620" s="261"/>
      <c r="M1620" s="261"/>
    </row>
    <row r="1621" spans="5:13">
      <c r="E1621" s="261"/>
      <c r="F1621" s="261"/>
      <c r="G1621" s="261"/>
      <c r="H1621" s="261"/>
      <c r="I1621" s="261"/>
      <c r="J1621" s="261"/>
      <c r="K1621" s="261"/>
      <c r="L1621" s="261"/>
      <c r="M1621" s="261"/>
    </row>
    <row r="1622" spans="5:13">
      <c r="E1622" s="261"/>
      <c r="F1622" s="261"/>
      <c r="G1622" s="261"/>
      <c r="H1622" s="261"/>
      <c r="I1622" s="261"/>
      <c r="J1622" s="261"/>
      <c r="K1622" s="261"/>
      <c r="L1622" s="261"/>
      <c r="M1622" s="261"/>
    </row>
    <row r="1623" spans="5:13">
      <c r="E1623" s="261"/>
      <c r="F1623" s="261"/>
      <c r="G1623" s="261"/>
      <c r="H1623" s="261"/>
      <c r="I1623" s="261"/>
      <c r="J1623" s="261"/>
      <c r="K1623" s="261"/>
      <c r="L1623" s="261"/>
      <c r="M1623" s="261"/>
    </row>
    <row r="1624" spans="5:13">
      <c r="E1624" s="261"/>
      <c r="F1624" s="261"/>
      <c r="G1624" s="261"/>
      <c r="H1624" s="261"/>
      <c r="I1624" s="261"/>
      <c r="J1624" s="261"/>
      <c r="K1624" s="261"/>
      <c r="L1624" s="261"/>
      <c r="M1624" s="261"/>
    </row>
    <row r="1625" spans="5:13">
      <c r="E1625" s="261"/>
      <c r="F1625" s="261"/>
      <c r="G1625" s="261"/>
      <c r="H1625" s="261"/>
      <c r="I1625" s="261"/>
      <c r="J1625" s="261"/>
      <c r="K1625" s="261"/>
      <c r="L1625" s="261"/>
      <c r="M1625" s="261"/>
    </row>
    <row r="1626" spans="5:13">
      <c r="E1626" s="261"/>
      <c r="F1626" s="261"/>
      <c r="G1626" s="261"/>
      <c r="H1626" s="261"/>
      <c r="I1626" s="261"/>
      <c r="J1626" s="261"/>
      <c r="K1626" s="261"/>
      <c r="L1626" s="261"/>
      <c r="M1626" s="261"/>
    </row>
    <row r="1627" spans="5:13">
      <c r="E1627" s="261"/>
      <c r="F1627" s="261"/>
      <c r="G1627" s="261"/>
      <c r="H1627" s="261"/>
      <c r="I1627" s="261"/>
      <c r="J1627" s="261"/>
      <c r="K1627" s="261"/>
      <c r="L1627" s="261"/>
      <c r="M1627" s="261"/>
    </row>
    <row r="1628" spans="5:13">
      <c r="E1628" s="261"/>
      <c r="F1628" s="261"/>
      <c r="G1628" s="261"/>
      <c r="H1628" s="261"/>
      <c r="I1628" s="261"/>
      <c r="J1628" s="261"/>
      <c r="K1628" s="261"/>
      <c r="L1628" s="261"/>
      <c r="M1628" s="261"/>
    </row>
    <row r="1629" spans="5:13">
      <c r="E1629" s="261"/>
      <c r="F1629" s="261"/>
      <c r="G1629" s="261"/>
      <c r="H1629" s="261"/>
      <c r="I1629" s="261"/>
      <c r="J1629" s="261"/>
      <c r="K1629" s="261"/>
      <c r="L1629" s="261"/>
      <c r="M1629" s="261"/>
    </row>
    <row r="1630" spans="5:13">
      <c r="E1630" s="261"/>
      <c r="F1630" s="261"/>
      <c r="G1630" s="261"/>
      <c r="H1630" s="261"/>
      <c r="I1630" s="261"/>
      <c r="J1630" s="261"/>
      <c r="K1630" s="261"/>
      <c r="L1630" s="261"/>
      <c r="M1630" s="261"/>
    </row>
    <row r="1631" spans="5:13">
      <c r="E1631" s="261"/>
      <c r="F1631" s="261"/>
      <c r="G1631" s="261"/>
      <c r="H1631" s="261"/>
      <c r="I1631" s="261"/>
      <c r="J1631" s="261"/>
      <c r="K1631" s="261"/>
      <c r="L1631" s="261"/>
      <c r="M1631" s="261"/>
    </row>
    <row r="1632" spans="5:13">
      <c r="E1632" s="261"/>
      <c r="F1632" s="261"/>
      <c r="G1632" s="261"/>
      <c r="H1632" s="261"/>
      <c r="I1632" s="261"/>
      <c r="J1632" s="261"/>
      <c r="K1632" s="261"/>
      <c r="L1632" s="261"/>
      <c r="M1632" s="261"/>
    </row>
    <row r="1633" spans="5:13">
      <c r="E1633" s="261"/>
      <c r="F1633" s="261"/>
      <c r="G1633" s="261"/>
      <c r="H1633" s="261"/>
      <c r="I1633" s="261"/>
      <c r="J1633" s="261"/>
      <c r="K1633" s="261"/>
      <c r="L1633" s="261"/>
      <c r="M1633" s="261"/>
    </row>
    <row r="1634" spans="5:13">
      <c r="E1634" s="261"/>
      <c r="F1634" s="261"/>
      <c r="G1634" s="261"/>
      <c r="H1634" s="261"/>
      <c r="I1634" s="261"/>
      <c r="J1634" s="261"/>
      <c r="K1634" s="261"/>
      <c r="L1634" s="261"/>
      <c r="M1634" s="261"/>
    </row>
    <row r="1635" spans="5:13">
      <c r="E1635" s="261"/>
      <c r="F1635" s="261"/>
      <c r="G1635" s="261"/>
      <c r="H1635" s="261"/>
      <c r="I1635" s="261"/>
      <c r="J1635" s="261"/>
      <c r="K1635" s="261"/>
      <c r="L1635" s="261"/>
      <c r="M1635" s="261"/>
    </row>
    <row r="1636" spans="5:13">
      <c r="E1636" s="261"/>
      <c r="F1636" s="261"/>
      <c r="G1636" s="261"/>
      <c r="H1636" s="261"/>
      <c r="I1636" s="261"/>
      <c r="J1636" s="261"/>
      <c r="K1636" s="261"/>
      <c r="L1636" s="261"/>
      <c r="M1636" s="261"/>
    </row>
    <row r="1637" spans="5:13">
      <c r="E1637" s="261"/>
      <c r="F1637" s="261"/>
      <c r="G1637" s="261"/>
      <c r="H1637" s="261"/>
      <c r="I1637" s="261"/>
      <c r="J1637" s="261"/>
      <c r="K1637" s="261"/>
      <c r="L1637" s="261"/>
      <c r="M1637" s="261"/>
    </row>
    <row r="1638" spans="5:13">
      <c r="E1638" s="261"/>
      <c r="F1638" s="261"/>
      <c r="G1638" s="261"/>
      <c r="H1638" s="261"/>
      <c r="I1638" s="261"/>
      <c r="J1638" s="261"/>
      <c r="K1638" s="261"/>
      <c r="L1638" s="261"/>
      <c r="M1638" s="261"/>
    </row>
    <row r="1639" spans="5:13">
      <c r="E1639" s="261"/>
      <c r="F1639" s="261"/>
      <c r="G1639" s="261"/>
      <c r="H1639" s="261"/>
      <c r="I1639" s="261"/>
      <c r="J1639" s="261"/>
      <c r="K1639" s="261"/>
      <c r="L1639" s="261"/>
      <c r="M1639" s="261"/>
    </row>
    <row r="1640" spans="5:13">
      <c r="E1640" s="261"/>
      <c r="F1640" s="261"/>
      <c r="G1640" s="261"/>
      <c r="H1640" s="261"/>
      <c r="I1640" s="261"/>
      <c r="J1640" s="261"/>
      <c r="K1640" s="261"/>
      <c r="L1640" s="261"/>
      <c r="M1640" s="261"/>
    </row>
    <row r="1641" spans="5:13">
      <c r="E1641" s="261"/>
      <c r="F1641" s="261"/>
      <c r="G1641" s="261"/>
      <c r="H1641" s="261"/>
      <c r="I1641" s="261"/>
      <c r="J1641" s="261"/>
      <c r="K1641" s="261"/>
      <c r="L1641" s="261"/>
      <c r="M1641" s="261"/>
    </row>
    <row r="1642" spans="5:13">
      <c r="E1642" s="261"/>
      <c r="F1642" s="261"/>
      <c r="G1642" s="261"/>
      <c r="H1642" s="261"/>
      <c r="I1642" s="261"/>
      <c r="J1642" s="261"/>
      <c r="K1642" s="261"/>
      <c r="L1642" s="261"/>
      <c r="M1642" s="261"/>
    </row>
    <row r="1643" spans="5:13">
      <c r="E1643" s="261"/>
      <c r="F1643" s="261"/>
      <c r="G1643" s="261"/>
      <c r="H1643" s="261"/>
      <c r="I1643" s="261"/>
      <c r="J1643" s="261"/>
      <c r="K1643" s="261"/>
      <c r="L1643" s="261"/>
      <c r="M1643" s="261"/>
    </row>
    <row r="1644" spans="5:13">
      <c r="E1644" s="261"/>
      <c r="F1644" s="261"/>
      <c r="G1644" s="261"/>
      <c r="H1644" s="261"/>
      <c r="I1644" s="261"/>
      <c r="J1644" s="261"/>
      <c r="K1644" s="261"/>
      <c r="L1644" s="261"/>
      <c r="M1644" s="261"/>
    </row>
    <row r="1645" spans="5:13">
      <c r="E1645" s="261"/>
      <c r="F1645" s="261"/>
      <c r="G1645" s="261"/>
      <c r="H1645" s="261"/>
      <c r="I1645" s="261"/>
      <c r="J1645" s="261"/>
      <c r="K1645" s="261"/>
      <c r="L1645" s="261"/>
      <c r="M1645" s="261"/>
    </row>
    <row r="1646" spans="5:13">
      <c r="E1646" s="261"/>
      <c r="F1646" s="261"/>
      <c r="G1646" s="261"/>
      <c r="H1646" s="261"/>
      <c r="I1646" s="261"/>
      <c r="J1646" s="261"/>
      <c r="K1646" s="261"/>
      <c r="L1646" s="261"/>
      <c r="M1646" s="261"/>
    </row>
    <row r="1647" spans="5:13">
      <c r="E1647" s="261"/>
      <c r="F1647" s="261"/>
      <c r="G1647" s="261"/>
      <c r="H1647" s="261"/>
      <c r="I1647" s="261"/>
      <c r="J1647" s="261"/>
      <c r="K1647" s="261"/>
      <c r="L1647" s="261"/>
      <c r="M1647" s="261"/>
    </row>
    <row r="1648" spans="5:13">
      <c r="E1648" s="261"/>
      <c r="F1648" s="261"/>
      <c r="G1648" s="261"/>
      <c r="H1648" s="261"/>
      <c r="I1648" s="261"/>
      <c r="J1648" s="261"/>
      <c r="K1648" s="261"/>
      <c r="L1648" s="261"/>
      <c r="M1648" s="261"/>
    </row>
    <row r="1649" spans="5:13">
      <c r="E1649" s="261"/>
      <c r="F1649" s="261"/>
      <c r="G1649" s="261"/>
      <c r="H1649" s="261"/>
      <c r="I1649" s="261"/>
      <c r="J1649" s="261"/>
      <c r="K1649" s="261"/>
      <c r="L1649" s="261"/>
      <c r="M1649" s="261"/>
    </row>
    <row r="1650" spans="5:13">
      <c r="E1650" s="261"/>
      <c r="F1650" s="261"/>
      <c r="G1650" s="261"/>
      <c r="H1650" s="261"/>
      <c r="I1650" s="261"/>
      <c r="J1650" s="261"/>
      <c r="K1650" s="261"/>
      <c r="L1650" s="261"/>
      <c r="M1650" s="261"/>
    </row>
    <row r="1651" spans="5:13">
      <c r="E1651" s="261"/>
      <c r="F1651" s="261"/>
      <c r="G1651" s="261"/>
      <c r="H1651" s="261"/>
      <c r="I1651" s="261"/>
      <c r="J1651" s="261"/>
      <c r="K1651" s="261"/>
      <c r="L1651" s="261"/>
      <c r="M1651" s="261"/>
    </row>
    <row r="1652" spans="5:13">
      <c r="E1652" s="261"/>
      <c r="F1652" s="261"/>
      <c r="G1652" s="261"/>
      <c r="H1652" s="261"/>
      <c r="I1652" s="261"/>
      <c r="J1652" s="261"/>
      <c r="K1652" s="261"/>
      <c r="L1652" s="261"/>
      <c r="M1652" s="261"/>
    </row>
    <row r="1653" spans="5:13">
      <c r="E1653" s="261"/>
      <c r="F1653" s="261"/>
      <c r="G1653" s="261"/>
      <c r="H1653" s="261"/>
      <c r="I1653" s="261"/>
      <c r="J1653" s="261"/>
      <c r="K1653" s="261"/>
      <c r="L1653" s="261"/>
      <c r="M1653" s="261"/>
    </row>
    <row r="1654" spans="5:13">
      <c r="E1654" s="261"/>
      <c r="F1654" s="261"/>
      <c r="G1654" s="261"/>
      <c r="H1654" s="261"/>
      <c r="I1654" s="261"/>
      <c r="J1654" s="261"/>
      <c r="K1654" s="261"/>
      <c r="L1654" s="261"/>
      <c r="M1654" s="261"/>
    </row>
    <row r="1655" spans="5:13">
      <c r="E1655" s="261"/>
      <c r="F1655" s="261"/>
      <c r="G1655" s="261"/>
      <c r="H1655" s="261"/>
      <c r="I1655" s="261"/>
      <c r="J1655" s="261"/>
      <c r="K1655" s="261"/>
      <c r="L1655" s="261"/>
      <c r="M1655" s="261"/>
    </row>
    <row r="1656" spans="5:13">
      <c r="E1656" s="261"/>
      <c r="F1656" s="261"/>
      <c r="G1656" s="261"/>
      <c r="H1656" s="261"/>
      <c r="I1656" s="261"/>
      <c r="J1656" s="261"/>
      <c r="K1656" s="261"/>
      <c r="L1656" s="261"/>
      <c r="M1656" s="261"/>
    </row>
    <row r="1657" spans="5:13">
      <c r="E1657" s="261"/>
      <c r="F1657" s="261"/>
      <c r="G1657" s="261"/>
      <c r="H1657" s="261"/>
      <c r="I1657" s="261"/>
      <c r="J1657" s="261"/>
      <c r="K1657" s="261"/>
      <c r="L1657" s="261"/>
      <c r="M1657" s="261"/>
    </row>
    <row r="1658" spans="5:13">
      <c r="E1658" s="261"/>
      <c r="F1658" s="261"/>
      <c r="G1658" s="261"/>
      <c r="H1658" s="261"/>
      <c r="I1658" s="261"/>
      <c r="J1658" s="261"/>
      <c r="K1658" s="261"/>
      <c r="L1658" s="261"/>
      <c r="M1658" s="261"/>
    </row>
    <row r="1659" spans="5:13">
      <c r="E1659" s="261"/>
      <c r="F1659" s="261"/>
      <c r="G1659" s="261"/>
      <c r="H1659" s="261"/>
      <c r="I1659" s="261"/>
      <c r="J1659" s="261"/>
      <c r="K1659" s="261"/>
      <c r="L1659" s="261"/>
      <c r="M1659" s="261"/>
    </row>
    <row r="1660" spans="5:13">
      <c r="E1660" s="261"/>
      <c r="F1660" s="261"/>
      <c r="G1660" s="261"/>
      <c r="H1660" s="261"/>
      <c r="I1660" s="261"/>
      <c r="J1660" s="261"/>
      <c r="K1660" s="261"/>
      <c r="L1660" s="261"/>
      <c r="M1660" s="261"/>
    </row>
    <row r="1661" spans="5:13">
      <c r="E1661" s="261"/>
      <c r="F1661" s="261"/>
      <c r="G1661" s="261"/>
      <c r="H1661" s="261"/>
      <c r="I1661" s="261"/>
      <c r="J1661" s="261"/>
      <c r="K1661" s="261"/>
      <c r="L1661" s="261"/>
      <c r="M1661" s="261"/>
    </row>
    <row r="1662" spans="5:13">
      <c r="E1662" s="261"/>
      <c r="F1662" s="261"/>
      <c r="G1662" s="261"/>
      <c r="H1662" s="261"/>
      <c r="I1662" s="261"/>
      <c r="J1662" s="261"/>
      <c r="K1662" s="261"/>
      <c r="L1662" s="261"/>
      <c r="M1662" s="261"/>
    </row>
    <row r="1663" spans="5:13">
      <c r="E1663" s="261"/>
      <c r="F1663" s="261"/>
      <c r="G1663" s="261"/>
      <c r="H1663" s="261"/>
      <c r="I1663" s="261"/>
      <c r="J1663" s="261"/>
      <c r="K1663" s="261"/>
      <c r="L1663" s="261"/>
      <c r="M1663" s="261"/>
    </row>
    <row r="1664" spans="5:13">
      <c r="E1664" s="261"/>
      <c r="F1664" s="261"/>
      <c r="G1664" s="261"/>
      <c r="H1664" s="261"/>
      <c r="I1664" s="261"/>
      <c r="J1664" s="261"/>
      <c r="K1664" s="261"/>
      <c r="L1664" s="261"/>
      <c r="M1664" s="261"/>
    </row>
    <row r="1665" spans="5:13">
      <c r="E1665" s="261"/>
      <c r="F1665" s="261"/>
      <c r="G1665" s="261"/>
      <c r="H1665" s="261"/>
      <c r="I1665" s="261"/>
      <c r="J1665" s="261"/>
      <c r="K1665" s="261"/>
      <c r="L1665" s="261"/>
      <c r="M1665" s="261"/>
    </row>
    <row r="1666" spans="5:13">
      <c r="E1666" s="261"/>
      <c r="F1666" s="261"/>
      <c r="G1666" s="261"/>
      <c r="H1666" s="261"/>
      <c r="I1666" s="261"/>
      <c r="J1666" s="261"/>
      <c r="K1666" s="261"/>
      <c r="L1666" s="261"/>
      <c r="M1666" s="261"/>
    </row>
    <row r="1667" spans="5:13">
      <c r="E1667" s="261"/>
      <c r="F1667" s="261"/>
      <c r="G1667" s="261"/>
      <c r="H1667" s="261"/>
      <c r="I1667" s="261"/>
      <c r="J1667" s="261"/>
      <c r="K1667" s="261"/>
      <c r="L1667" s="261"/>
      <c r="M1667" s="261"/>
    </row>
    <row r="1668" spans="5:13">
      <c r="E1668" s="261"/>
      <c r="F1668" s="261"/>
      <c r="G1668" s="261"/>
      <c r="H1668" s="261"/>
      <c r="I1668" s="261"/>
      <c r="J1668" s="261"/>
      <c r="K1668" s="261"/>
      <c r="L1668" s="261"/>
      <c r="M1668" s="261"/>
    </row>
    <row r="1669" spans="5:13">
      <c r="E1669" s="261"/>
      <c r="F1669" s="261"/>
      <c r="G1669" s="261"/>
      <c r="H1669" s="261"/>
      <c r="I1669" s="261"/>
      <c r="J1669" s="261"/>
      <c r="K1669" s="261"/>
      <c r="L1669" s="261"/>
      <c r="M1669" s="261"/>
    </row>
    <row r="1670" spans="5:13">
      <c r="E1670" s="261"/>
      <c r="F1670" s="261"/>
      <c r="G1670" s="261"/>
      <c r="H1670" s="261"/>
      <c r="I1670" s="261"/>
      <c r="J1670" s="261"/>
      <c r="K1670" s="261"/>
      <c r="L1670" s="261"/>
      <c r="M1670" s="261"/>
    </row>
    <row r="1671" spans="5:13">
      <c r="E1671" s="261"/>
      <c r="F1671" s="261"/>
      <c r="G1671" s="261"/>
      <c r="H1671" s="261"/>
      <c r="I1671" s="261"/>
      <c r="J1671" s="261"/>
      <c r="K1671" s="261"/>
      <c r="L1671" s="261"/>
      <c r="M1671" s="261"/>
    </row>
    <row r="1672" spans="5:13">
      <c r="E1672" s="261"/>
      <c r="F1672" s="261"/>
      <c r="G1672" s="261"/>
      <c r="H1672" s="261"/>
      <c r="I1672" s="261"/>
      <c r="J1672" s="261"/>
      <c r="K1672" s="261"/>
      <c r="L1672" s="261"/>
      <c r="M1672" s="261"/>
    </row>
    <row r="1673" spans="5:13">
      <c r="E1673" s="261"/>
      <c r="F1673" s="261"/>
      <c r="G1673" s="261"/>
      <c r="H1673" s="261"/>
      <c r="I1673" s="261"/>
      <c r="J1673" s="261"/>
      <c r="K1673" s="261"/>
      <c r="L1673" s="261"/>
      <c r="M1673" s="261"/>
    </row>
    <row r="1674" spans="5:13">
      <c r="E1674" s="261"/>
      <c r="F1674" s="261"/>
      <c r="G1674" s="261"/>
      <c r="H1674" s="261"/>
      <c r="I1674" s="261"/>
      <c r="J1674" s="261"/>
      <c r="K1674" s="261"/>
      <c r="L1674" s="261"/>
      <c r="M1674" s="261"/>
    </row>
    <row r="1675" spans="5:13">
      <c r="E1675" s="261"/>
      <c r="F1675" s="261"/>
      <c r="G1675" s="261"/>
      <c r="H1675" s="261"/>
      <c r="I1675" s="261"/>
      <c r="J1675" s="261"/>
      <c r="K1675" s="261"/>
      <c r="L1675" s="261"/>
      <c r="M1675" s="261"/>
    </row>
    <row r="1676" spans="5:13">
      <c r="E1676" s="261"/>
      <c r="F1676" s="261"/>
      <c r="G1676" s="261"/>
      <c r="H1676" s="261"/>
      <c r="I1676" s="261"/>
      <c r="J1676" s="261"/>
      <c r="K1676" s="261"/>
      <c r="L1676" s="261"/>
      <c r="M1676" s="261"/>
    </row>
    <row r="1677" spans="5:13">
      <c r="E1677" s="261"/>
      <c r="F1677" s="261"/>
      <c r="G1677" s="261"/>
      <c r="H1677" s="261"/>
      <c r="I1677" s="261"/>
      <c r="J1677" s="261"/>
      <c r="K1677" s="261"/>
      <c r="L1677" s="261"/>
      <c r="M1677" s="261"/>
    </row>
    <row r="1678" spans="5:13">
      <c r="E1678" s="261"/>
      <c r="F1678" s="261"/>
      <c r="G1678" s="261"/>
      <c r="H1678" s="261"/>
      <c r="I1678" s="261"/>
      <c r="J1678" s="261"/>
      <c r="K1678" s="261"/>
      <c r="L1678" s="261"/>
      <c r="M1678" s="261"/>
    </row>
    <row r="1679" spans="5:13">
      <c r="E1679" s="261"/>
      <c r="F1679" s="261"/>
      <c r="G1679" s="261"/>
      <c r="H1679" s="261"/>
      <c r="I1679" s="261"/>
      <c r="J1679" s="261"/>
      <c r="K1679" s="261"/>
      <c r="L1679" s="261"/>
      <c r="M1679" s="261"/>
    </row>
    <row r="1680" spans="5:13">
      <c r="E1680" s="261"/>
      <c r="F1680" s="261"/>
      <c r="G1680" s="261"/>
      <c r="H1680" s="261"/>
      <c r="I1680" s="261"/>
      <c r="J1680" s="261"/>
      <c r="K1680" s="261"/>
      <c r="L1680" s="261"/>
      <c r="M1680" s="261"/>
    </row>
    <row r="1681" spans="5:13">
      <c r="E1681" s="261"/>
      <c r="F1681" s="261"/>
      <c r="G1681" s="261"/>
      <c r="H1681" s="261"/>
      <c r="I1681" s="261"/>
      <c r="J1681" s="261"/>
      <c r="K1681" s="261"/>
      <c r="L1681" s="261"/>
      <c r="M1681" s="261"/>
    </row>
    <row r="1682" spans="5:13">
      <c r="E1682" s="261"/>
      <c r="F1682" s="261"/>
      <c r="G1682" s="261"/>
      <c r="H1682" s="261"/>
      <c r="I1682" s="261"/>
      <c r="J1682" s="261"/>
      <c r="K1682" s="261"/>
      <c r="L1682" s="261"/>
      <c r="M1682" s="261"/>
    </row>
    <row r="1683" spans="5:13">
      <c r="E1683" s="261"/>
      <c r="F1683" s="261"/>
      <c r="G1683" s="261"/>
      <c r="H1683" s="261"/>
      <c r="I1683" s="261"/>
      <c r="J1683" s="261"/>
      <c r="K1683" s="261"/>
      <c r="L1683" s="261"/>
      <c r="M1683" s="261"/>
    </row>
    <row r="1684" spans="5:13">
      <c r="E1684" s="261"/>
      <c r="F1684" s="261"/>
      <c r="G1684" s="261"/>
      <c r="H1684" s="261"/>
      <c r="I1684" s="261"/>
      <c r="J1684" s="261"/>
      <c r="K1684" s="261"/>
      <c r="L1684" s="261"/>
      <c r="M1684" s="261"/>
    </row>
    <row r="1685" spans="5:13">
      <c r="E1685" s="261"/>
      <c r="F1685" s="261"/>
      <c r="G1685" s="261"/>
      <c r="H1685" s="261"/>
      <c r="I1685" s="261"/>
      <c r="J1685" s="261"/>
      <c r="K1685" s="261"/>
      <c r="L1685" s="261"/>
      <c r="M1685" s="261"/>
    </row>
    <row r="1686" spans="5:13">
      <c r="E1686" s="261"/>
      <c r="F1686" s="261"/>
      <c r="G1686" s="261"/>
      <c r="H1686" s="261"/>
      <c r="I1686" s="261"/>
      <c r="J1686" s="261"/>
      <c r="K1686" s="261"/>
      <c r="L1686" s="261"/>
      <c r="M1686" s="261"/>
    </row>
    <row r="1687" spans="5:13">
      <c r="E1687" s="261"/>
      <c r="F1687" s="261"/>
      <c r="G1687" s="261"/>
      <c r="H1687" s="261"/>
      <c r="I1687" s="261"/>
      <c r="J1687" s="261"/>
      <c r="K1687" s="261"/>
      <c r="L1687" s="261"/>
      <c r="M1687" s="261"/>
    </row>
    <row r="1688" spans="5:13">
      <c r="E1688" s="261"/>
      <c r="F1688" s="261"/>
      <c r="G1688" s="261"/>
      <c r="H1688" s="261"/>
      <c r="I1688" s="261"/>
      <c r="J1688" s="261"/>
      <c r="K1688" s="261"/>
      <c r="L1688" s="261"/>
      <c r="M1688" s="261"/>
    </row>
    <row r="1689" spans="5:13">
      <c r="E1689" s="261"/>
      <c r="F1689" s="261"/>
      <c r="G1689" s="261"/>
      <c r="H1689" s="261"/>
      <c r="I1689" s="261"/>
      <c r="J1689" s="261"/>
      <c r="K1689" s="261"/>
      <c r="L1689" s="261"/>
      <c r="M1689" s="261"/>
    </row>
    <row r="1690" spans="5:13">
      <c r="E1690" s="261"/>
      <c r="F1690" s="261"/>
      <c r="G1690" s="261"/>
      <c r="H1690" s="261"/>
      <c r="I1690" s="261"/>
      <c r="J1690" s="261"/>
      <c r="K1690" s="261"/>
      <c r="L1690" s="261"/>
      <c r="M1690" s="261"/>
    </row>
    <row r="1691" spans="5:13">
      <c r="E1691" s="261"/>
      <c r="F1691" s="261"/>
      <c r="G1691" s="261"/>
      <c r="H1691" s="261"/>
      <c r="I1691" s="261"/>
      <c r="J1691" s="261"/>
      <c r="K1691" s="261"/>
      <c r="L1691" s="261"/>
      <c r="M1691" s="261"/>
    </row>
    <row r="1692" spans="5:13">
      <c r="E1692" s="261"/>
      <c r="F1692" s="261"/>
      <c r="G1692" s="261"/>
      <c r="H1692" s="261"/>
      <c r="I1692" s="261"/>
      <c r="J1692" s="261"/>
      <c r="K1692" s="261"/>
      <c r="L1692" s="261"/>
      <c r="M1692" s="261"/>
    </row>
    <row r="1693" spans="5:13">
      <c r="E1693" s="261"/>
      <c r="F1693" s="261"/>
      <c r="G1693" s="261"/>
      <c r="H1693" s="261"/>
      <c r="I1693" s="261"/>
      <c r="J1693" s="261"/>
      <c r="K1693" s="261"/>
      <c r="L1693" s="261"/>
      <c r="M1693" s="261"/>
    </row>
    <row r="1694" spans="5:13">
      <c r="E1694" s="261"/>
      <c r="F1694" s="261"/>
      <c r="G1694" s="261"/>
      <c r="H1694" s="261"/>
      <c r="I1694" s="261"/>
      <c r="J1694" s="261"/>
      <c r="K1694" s="261"/>
      <c r="L1694" s="261"/>
      <c r="M1694" s="261"/>
    </row>
    <row r="1695" spans="5:13">
      <c r="E1695" s="261"/>
      <c r="F1695" s="261"/>
      <c r="G1695" s="261"/>
      <c r="H1695" s="261"/>
      <c r="I1695" s="261"/>
      <c r="J1695" s="261"/>
      <c r="K1695" s="261"/>
      <c r="L1695" s="261"/>
      <c r="M1695" s="261"/>
    </row>
    <row r="1696" spans="5:13">
      <c r="E1696" s="261"/>
      <c r="F1696" s="261"/>
      <c r="G1696" s="261"/>
      <c r="H1696" s="261"/>
      <c r="I1696" s="261"/>
      <c r="J1696" s="261"/>
      <c r="K1696" s="261"/>
      <c r="L1696" s="261"/>
      <c r="M1696" s="261"/>
    </row>
    <row r="1697" spans="5:13">
      <c r="E1697" s="261"/>
      <c r="F1697" s="261"/>
      <c r="G1697" s="261"/>
      <c r="H1697" s="261"/>
      <c r="I1697" s="261"/>
      <c r="J1697" s="261"/>
      <c r="K1697" s="261"/>
      <c r="L1697" s="261"/>
      <c r="M1697" s="261"/>
    </row>
    <row r="1698" spans="5:13">
      <c r="E1698" s="261"/>
      <c r="F1698" s="261"/>
      <c r="G1698" s="261"/>
      <c r="H1698" s="261"/>
      <c r="I1698" s="261"/>
      <c r="J1698" s="261"/>
      <c r="K1698" s="261"/>
      <c r="L1698" s="261"/>
      <c r="M1698" s="261"/>
    </row>
    <row r="1699" spans="5:13">
      <c r="E1699" s="261"/>
      <c r="F1699" s="261"/>
      <c r="G1699" s="261"/>
      <c r="H1699" s="261"/>
      <c r="I1699" s="261"/>
      <c r="J1699" s="261"/>
      <c r="K1699" s="261"/>
      <c r="L1699" s="261"/>
      <c r="M1699" s="261"/>
    </row>
    <row r="1700" spans="5:13">
      <c r="E1700" s="261"/>
      <c r="F1700" s="261"/>
      <c r="G1700" s="261"/>
      <c r="H1700" s="261"/>
      <c r="I1700" s="261"/>
      <c r="J1700" s="261"/>
      <c r="K1700" s="261"/>
      <c r="L1700" s="261"/>
      <c r="M1700" s="261"/>
    </row>
    <row r="1701" spans="5:13">
      <c r="E1701" s="261"/>
      <c r="F1701" s="261"/>
      <c r="G1701" s="261"/>
      <c r="H1701" s="261"/>
      <c r="I1701" s="261"/>
      <c r="J1701" s="261"/>
      <c r="K1701" s="261"/>
      <c r="L1701" s="261"/>
      <c r="M1701" s="261"/>
    </row>
    <row r="1702" spans="5:13">
      <c r="E1702" s="261"/>
      <c r="F1702" s="261"/>
      <c r="G1702" s="261"/>
      <c r="H1702" s="261"/>
      <c r="I1702" s="261"/>
      <c r="J1702" s="261"/>
      <c r="K1702" s="261"/>
      <c r="L1702" s="261"/>
      <c r="M1702" s="261"/>
    </row>
    <row r="1703" spans="5:13">
      <c r="E1703" s="261"/>
      <c r="F1703" s="261"/>
      <c r="G1703" s="261"/>
      <c r="H1703" s="261"/>
      <c r="I1703" s="261"/>
      <c r="J1703" s="261"/>
      <c r="K1703" s="261"/>
      <c r="L1703" s="261"/>
      <c r="M1703" s="261"/>
    </row>
    <row r="1704" spans="5:13">
      <c r="E1704" s="261"/>
      <c r="F1704" s="261"/>
      <c r="G1704" s="261"/>
      <c r="H1704" s="261"/>
      <c r="I1704" s="261"/>
      <c r="J1704" s="261"/>
      <c r="K1704" s="261"/>
      <c r="L1704" s="261"/>
      <c r="M1704" s="261"/>
    </row>
    <row r="1705" spans="5:13">
      <c r="E1705" s="261"/>
      <c r="F1705" s="261"/>
      <c r="G1705" s="261"/>
      <c r="H1705" s="261"/>
      <c r="I1705" s="261"/>
      <c r="J1705" s="261"/>
      <c r="K1705" s="261"/>
      <c r="L1705" s="261"/>
      <c r="M1705" s="261"/>
    </row>
    <row r="1706" spans="5:13">
      <c r="E1706" s="261"/>
      <c r="F1706" s="261"/>
      <c r="G1706" s="261"/>
      <c r="H1706" s="261"/>
      <c r="I1706" s="261"/>
      <c r="J1706" s="261"/>
      <c r="K1706" s="261"/>
      <c r="L1706" s="261"/>
      <c r="M1706" s="261"/>
    </row>
    <row r="1707" spans="5:13">
      <c r="E1707" s="261"/>
      <c r="F1707" s="261"/>
      <c r="G1707" s="261"/>
      <c r="H1707" s="261"/>
      <c r="I1707" s="261"/>
      <c r="J1707" s="261"/>
      <c r="K1707" s="261"/>
      <c r="L1707" s="261"/>
      <c r="M1707" s="261"/>
    </row>
    <row r="1708" spans="5:13">
      <c r="E1708" s="261"/>
      <c r="F1708" s="261"/>
      <c r="G1708" s="261"/>
      <c r="H1708" s="261"/>
      <c r="I1708" s="261"/>
      <c r="J1708" s="261"/>
      <c r="K1708" s="261"/>
      <c r="L1708" s="261"/>
      <c r="M1708" s="261"/>
    </row>
    <row r="1709" spans="5:13">
      <c r="E1709" s="261"/>
      <c r="F1709" s="261"/>
      <c r="G1709" s="261"/>
      <c r="H1709" s="261"/>
      <c r="I1709" s="261"/>
      <c r="J1709" s="261"/>
      <c r="K1709" s="261"/>
      <c r="L1709" s="261"/>
      <c r="M1709" s="261"/>
    </row>
    <row r="1710" spans="5:13">
      <c r="E1710" s="261"/>
      <c r="F1710" s="261"/>
      <c r="G1710" s="261"/>
      <c r="H1710" s="261"/>
      <c r="I1710" s="261"/>
      <c r="J1710" s="261"/>
      <c r="K1710" s="261"/>
      <c r="L1710" s="261"/>
      <c r="M1710" s="261"/>
    </row>
    <row r="1711" spans="5:13">
      <c r="E1711" s="261"/>
      <c r="F1711" s="261"/>
      <c r="G1711" s="261"/>
      <c r="H1711" s="261"/>
      <c r="I1711" s="261"/>
      <c r="J1711" s="261"/>
      <c r="K1711" s="261"/>
      <c r="L1711" s="261"/>
      <c r="M1711" s="261"/>
    </row>
    <row r="1712" spans="5:13">
      <c r="E1712" s="261"/>
      <c r="F1712" s="261"/>
      <c r="G1712" s="261"/>
      <c r="H1712" s="261"/>
      <c r="I1712" s="261"/>
      <c r="J1712" s="261"/>
      <c r="K1712" s="261"/>
      <c r="L1712" s="261"/>
      <c r="M1712" s="261"/>
    </row>
    <row r="1713" spans="5:13">
      <c r="E1713" s="261"/>
      <c r="F1713" s="261"/>
      <c r="G1713" s="261"/>
      <c r="H1713" s="261"/>
      <c r="I1713" s="261"/>
      <c r="J1713" s="261"/>
      <c r="K1713" s="261"/>
      <c r="L1713" s="261"/>
      <c r="M1713" s="261"/>
    </row>
    <row r="1714" spans="5:13">
      <c r="E1714" s="261"/>
      <c r="F1714" s="261"/>
      <c r="G1714" s="261"/>
      <c r="H1714" s="261"/>
      <c r="I1714" s="261"/>
      <c r="J1714" s="261"/>
      <c r="K1714" s="261"/>
      <c r="L1714" s="261"/>
      <c r="M1714" s="261"/>
    </row>
    <row r="1715" spans="5:13">
      <c r="E1715" s="261"/>
      <c r="F1715" s="261"/>
      <c r="G1715" s="261"/>
      <c r="H1715" s="261"/>
      <c r="I1715" s="261"/>
      <c r="J1715" s="261"/>
      <c r="K1715" s="261"/>
      <c r="L1715" s="261"/>
      <c r="M1715" s="261"/>
    </row>
    <row r="1716" spans="5:13">
      <c r="E1716" s="261"/>
      <c r="F1716" s="261"/>
      <c r="G1716" s="261"/>
      <c r="H1716" s="261"/>
      <c r="I1716" s="261"/>
      <c r="J1716" s="261"/>
      <c r="K1716" s="261"/>
      <c r="L1716" s="261"/>
      <c r="M1716" s="261"/>
    </row>
    <row r="1717" spans="5:13">
      <c r="E1717" s="261"/>
      <c r="F1717" s="261"/>
      <c r="G1717" s="261"/>
      <c r="H1717" s="261"/>
      <c r="I1717" s="261"/>
      <c r="J1717" s="261"/>
      <c r="K1717" s="261"/>
      <c r="L1717" s="261"/>
      <c r="M1717" s="261"/>
    </row>
    <row r="1718" spans="5:13">
      <c r="E1718" s="261"/>
      <c r="F1718" s="261"/>
      <c r="G1718" s="261"/>
      <c r="H1718" s="261"/>
      <c r="I1718" s="261"/>
      <c r="J1718" s="261"/>
      <c r="K1718" s="261"/>
      <c r="L1718" s="261"/>
      <c r="M1718" s="261"/>
    </row>
    <row r="1719" spans="5:13">
      <c r="E1719" s="261"/>
      <c r="F1719" s="261"/>
      <c r="G1719" s="261"/>
      <c r="H1719" s="261"/>
      <c r="I1719" s="261"/>
      <c r="J1719" s="261"/>
      <c r="K1719" s="261"/>
      <c r="L1719" s="261"/>
      <c r="M1719" s="261"/>
    </row>
    <row r="1720" spans="5:13">
      <c r="E1720" s="261"/>
      <c r="F1720" s="261"/>
      <c r="G1720" s="261"/>
      <c r="H1720" s="261"/>
      <c r="I1720" s="261"/>
      <c r="J1720" s="261"/>
      <c r="K1720" s="261"/>
      <c r="L1720" s="261"/>
      <c r="M1720" s="261"/>
    </row>
    <row r="1721" spans="5:13">
      <c r="E1721" s="261"/>
      <c r="F1721" s="261"/>
      <c r="G1721" s="261"/>
      <c r="H1721" s="261"/>
      <c r="I1721" s="261"/>
      <c r="J1721" s="261"/>
      <c r="K1721" s="261"/>
      <c r="L1721" s="261"/>
      <c r="M1721" s="261"/>
    </row>
    <row r="1722" spans="5:13">
      <c r="E1722" s="261"/>
      <c r="F1722" s="261"/>
      <c r="G1722" s="261"/>
      <c r="H1722" s="261"/>
      <c r="I1722" s="261"/>
      <c r="J1722" s="261"/>
      <c r="K1722" s="261"/>
      <c r="L1722" s="261"/>
      <c r="M1722" s="261"/>
    </row>
    <row r="1723" spans="5:13">
      <c r="E1723" s="261"/>
      <c r="F1723" s="261"/>
      <c r="G1723" s="261"/>
      <c r="H1723" s="261"/>
      <c r="I1723" s="261"/>
      <c r="J1723" s="261"/>
      <c r="K1723" s="261"/>
      <c r="L1723" s="261"/>
      <c r="M1723" s="261"/>
    </row>
    <row r="1724" spans="5:13">
      <c r="E1724" s="261"/>
      <c r="F1724" s="261"/>
      <c r="G1724" s="261"/>
      <c r="H1724" s="261"/>
      <c r="I1724" s="261"/>
      <c r="J1724" s="261"/>
      <c r="K1724" s="261"/>
      <c r="L1724" s="261"/>
      <c r="M1724" s="261"/>
    </row>
    <row r="1725" spans="5:13">
      <c r="E1725" s="261"/>
      <c r="F1725" s="261"/>
      <c r="G1725" s="261"/>
      <c r="H1725" s="261"/>
      <c r="I1725" s="261"/>
      <c r="J1725" s="261"/>
      <c r="K1725" s="261"/>
      <c r="L1725" s="261"/>
      <c r="M1725" s="261"/>
    </row>
    <row r="1726" spans="5:13">
      <c r="E1726" s="261"/>
      <c r="F1726" s="261"/>
      <c r="G1726" s="261"/>
      <c r="H1726" s="261"/>
      <c r="I1726" s="261"/>
      <c r="J1726" s="261"/>
      <c r="K1726" s="261"/>
      <c r="L1726" s="261"/>
      <c r="M1726" s="261"/>
    </row>
    <row r="1727" spans="5:13">
      <c r="E1727" s="261"/>
      <c r="F1727" s="261"/>
      <c r="G1727" s="261"/>
      <c r="H1727" s="261"/>
      <c r="I1727" s="261"/>
      <c r="J1727" s="261"/>
      <c r="K1727" s="261"/>
      <c r="L1727" s="261"/>
      <c r="M1727" s="261"/>
    </row>
    <row r="1728" spans="5:13">
      <c r="E1728" s="261"/>
      <c r="F1728" s="261"/>
      <c r="G1728" s="261"/>
      <c r="H1728" s="261"/>
      <c r="I1728" s="261"/>
      <c r="J1728" s="261"/>
      <c r="K1728" s="261"/>
      <c r="L1728" s="261"/>
      <c r="M1728" s="261"/>
    </row>
    <row r="1729" spans="5:13">
      <c r="E1729" s="261"/>
      <c r="F1729" s="261"/>
      <c r="G1729" s="261"/>
      <c r="H1729" s="261"/>
      <c r="I1729" s="261"/>
      <c r="J1729" s="261"/>
      <c r="K1729" s="261"/>
      <c r="L1729" s="261"/>
      <c r="M1729" s="261"/>
    </row>
    <row r="1730" spans="5:13">
      <c r="E1730" s="261"/>
      <c r="F1730" s="261"/>
      <c r="G1730" s="261"/>
      <c r="H1730" s="261"/>
      <c r="I1730" s="261"/>
      <c r="J1730" s="261"/>
      <c r="K1730" s="261"/>
      <c r="L1730" s="261"/>
      <c r="M1730" s="261"/>
    </row>
    <row r="1731" spans="5:13">
      <c r="E1731" s="261"/>
      <c r="F1731" s="261"/>
      <c r="G1731" s="261"/>
      <c r="H1731" s="261"/>
      <c r="I1731" s="261"/>
      <c r="J1731" s="261"/>
      <c r="K1731" s="261"/>
      <c r="L1731" s="261"/>
      <c r="M1731" s="261"/>
    </row>
    <row r="1732" spans="5:13">
      <c r="E1732" s="261"/>
      <c r="F1732" s="261"/>
      <c r="G1732" s="261"/>
      <c r="H1732" s="261"/>
      <c r="I1732" s="261"/>
      <c r="J1732" s="261"/>
      <c r="K1732" s="261"/>
      <c r="L1732" s="261"/>
      <c r="M1732" s="261"/>
    </row>
    <row r="1733" spans="5:13">
      <c r="E1733" s="261"/>
      <c r="F1733" s="261"/>
      <c r="G1733" s="261"/>
      <c r="H1733" s="261"/>
      <c r="I1733" s="261"/>
      <c r="J1733" s="261"/>
      <c r="K1733" s="261"/>
      <c r="L1733" s="261"/>
      <c r="M1733" s="261"/>
    </row>
    <row r="1734" spans="5:13">
      <c r="E1734" s="261"/>
      <c r="F1734" s="261"/>
      <c r="G1734" s="261"/>
      <c r="H1734" s="261"/>
      <c r="I1734" s="261"/>
      <c r="J1734" s="261"/>
      <c r="K1734" s="261"/>
      <c r="L1734" s="261"/>
      <c r="M1734" s="261"/>
    </row>
    <row r="1735" spans="5:13">
      <c r="E1735" s="261"/>
      <c r="F1735" s="261"/>
      <c r="G1735" s="261"/>
      <c r="H1735" s="261"/>
      <c r="I1735" s="261"/>
      <c r="J1735" s="261"/>
      <c r="K1735" s="261"/>
      <c r="L1735" s="261"/>
      <c r="M1735" s="261"/>
    </row>
    <row r="1736" spans="5:13">
      <c r="E1736" s="261"/>
      <c r="F1736" s="261"/>
      <c r="G1736" s="261"/>
      <c r="H1736" s="261"/>
      <c r="I1736" s="261"/>
      <c r="J1736" s="261"/>
      <c r="K1736" s="261"/>
      <c r="L1736" s="261"/>
      <c r="M1736" s="261"/>
    </row>
    <row r="1737" spans="5:13">
      <c r="E1737" s="261"/>
      <c r="F1737" s="261"/>
      <c r="G1737" s="261"/>
      <c r="H1737" s="261"/>
      <c r="I1737" s="261"/>
      <c r="J1737" s="261"/>
      <c r="K1737" s="261"/>
      <c r="L1737" s="261"/>
      <c r="M1737" s="261"/>
    </row>
    <row r="1738" spans="5:13">
      <c r="E1738" s="261"/>
      <c r="F1738" s="261"/>
      <c r="G1738" s="261"/>
      <c r="H1738" s="261"/>
      <c r="I1738" s="261"/>
      <c r="J1738" s="261"/>
      <c r="K1738" s="261"/>
      <c r="L1738" s="261"/>
      <c r="M1738" s="261"/>
    </row>
    <row r="1739" spans="5:13">
      <c r="E1739" s="261"/>
      <c r="F1739" s="261"/>
      <c r="G1739" s="261"/>
      <c r="H1739" s="261"/>
      <c r="I1739" s="261"/>
      <c r="J1739" s="261"/>
      <c r="K1739" s="261"/>
      <c r="L1739" s="261"/>
      <c r="M1739" s="261"/>
    </row>
    <row r="1740" spans="5:13">
      <c r="E1740" s="261"/>
      <c r="F1740" s="261"/>
      <c r="G1740" s="261"/>
      <c r="H1740" s="261"/>
      <c r="I1740" s="261"/>
      <c r="J1740" s="261"/>
      <c r="K1740" s="261"/>
      <c r="L1740" s="261"/>
      <c r="M1740" s="261"/>
    </row>
    <row r="1741" spans="5:13">
      <c r="E1741" s="261"/>
      <c r="F1741" s="261"/>
      <c r="G1741" s="261"/>
      <c r="H1741" s="261"/>
      <c r="I1741" s="261"/>
      <c r="J1741" s="261"/>
      <c r="K1741" s="261"/>
      <c r="L1741" s="261"/>
      <c r="M1741" s="261"/>
    </row>
    <row r="1742" spans="5:13">
      <c r="E1742" s="261"/>
      <c r="F1742" s="261"/>
      <c r="G1742" s="261"/>
      <c r="H1742" s="261"/>
      <c r="I1742" s="261"/>
      <c r="J1742" s="261"/>
      <c r="K1742" s="261"/>
      <c r="L1742" s="261"/>
      <c r="M1742" s="261"/>
    </row>
    <row r="1743" spans="5:13">
      <c r="E1743" s="261"/>
      <c r="F1743" s="261"/>
      <c r="G1743" s="261"/>
      <c r="H1743" s="261"/>
      <c r="I1743" s="261"/>
      <c r="J1743" s="261"/>
      <c r="K1743" s="261"/>
      <c r="L1743" s="261"/>
      <c r="M1743" s="261"/>
    </row>
    <row r="1744" spans="5:13">
      <c r="E1744" s="261"/>
      <c r="F1744" s="261"/>
      <c r="G1744" s="261"/>
      <c r="H1744" s="261"/>
      <c r="I1744" s="261"/>
      <c r="J1744" s="261"/>
      <c r="K1744" s="261"/>
      <c r="L1744" s="261"/>
      <c r="M1744" s="261"/>
    </row>
    <row r="1745" spans="5:13">
      <c r="E1745" s="261"/>
      <c r="F1745" s="261"/>
      <c r="G1745" s="261"/>
      <c r="H1745" s="261"/>
      <c r="I1745" s="261"/>
      <c r="J1745" s="261"/>
      <c r="K1745" s="261"/>
      <c r="L1745" s="261"/>
      <c r="M1745" s="261"/>
    </row>
    <row r="1746" spans="5:13">
      <c r="E1746" s="261"/>
      <c r="F1746" s="261"/>
      <c r="G1746" s="261"/>
      <c r="H1746" s="261"/>
      <c r="I1746" s="261"/>
      <c r="J1746" s="261"/>
      <c r="K1746" s="261"/>
      <c r="L1746" s="261"/>
      <c r="M1746" s="261"/>
    </row>
    <row r="1747" spans="5:13">
      <c r="E1747" s="261"/>
      <c r="F1747" s="261"/>
      <c r="G1747" s="261"/>
      <c r="H1747" s="261"/>
      <c r="I1747" s="261"/>
      <c r="J1747" s="261"/>
      <c r="K1747" s="261"/>
      <c r="L1747" s="261"/>
      <c r="M1747" s="261"/>
    </row>
    <row r="1748" spans="5:13">
      <c r="E1748" s="261"/>
      <c r="F1748" s="261"/>
      <c r="G1748" s="261"/>
      <c r="H1748" s="261"/>
      <c r="I1748" s="261"/>
      <c r="J1748" s="261"/>
      <c r="K1748" s="261"/>
      <c r="L1748" s="261"/>
      <c r="M1748" s="261"/>
    </row>
    <row r="1749" spans="5:13">
      <c r="E1749" s="261"/>
      <c r="F1749" s="261"/>
      <c r="G1749" s="261"/>
      <c r="H1749" s="261"/>
      <c r="I1749" s="261"/>
      <c r="J1749" s="261"/>
      <c r="K1749" s="261"/>
      <c r="L1749" s="261"/>
      <c r="M1749" s="261"/>
    </row>
    <row r="1750" spans="5:13">
      <c r="E1750" s="261"/>
      <c r="F1750" s="261"/>
      <c r="G1750" s="261"/>
      <c r="H1750" s="261"/>
      <c r="I1750" s="261"/>
      <c r="J1750" s="261"/>
      <c r="K1750" s="261"/>
      <c r="L1750" s="261"/>
      <c r="M1750" s="261"/>
    </row>
    <row r="1751" spans="5:13">
      <c r="E1751" s="261"/>
      <c r="F1751" s="261"/>
      <c r="G1751" s="261"/>
      <c r="H1751" s="261"/>
      <c r="I1751" s="261"/>
      <c r="J1751" s="261"/>
      <c r="K1751" s="261"/>
      <c r="L1751" s="261"/>
      <c r="M1751" s="261"/>
    </row>
    <row r="1752" spans="5:13">
      <c r="E1752" s="261"/>
      <c r="F1752" s="261"/>
      <c r="G1752" s="261"/>
      <c r="H1752" s="261"/>
      <c r="I1752" s="261"/>
      <c r="J1752" s="261"/>
      <c r="K1752" s="261"/>
      <c r="L1752" s="261"/>
      <c r="M1752" s="261"/>
    </row>
    <row r="1753" spans="5:13">
      <c r="E1753" s="261"/>
      <c r="F1753" s="261"/>
      <c r="G1753" s="261"/>
      <c r="H1753" s="261"/>
      <c r="I1753" s="261"/>
      <c r="J1753" s="261"/>
      <c r="K1753" s="261"/>
      <c r="L1753" s="261"/>
      <c r="M1753" s="261"/>
    </row>
    <row r="1754" spans="5:13">
      <c r="E1754" s="261"/>
      <c r="F1754" s="261"/>
      <c r="G1754" s="261"/>
      <c r="H1754" s="261"/>
      <c r="I1754" s="261"/>
      <c r="J1754" s="261"/>
      <c r="K1754" s="261"/>
      <c r="L1754" s="261"/>
      <c r="M1754" s="261"/>
    </row>
    <row r="1755" spans="5:13">
      <c r="E1755" s="261"/>
      <c r="F1755" s="261"/>
      <c r="G1755" s="261"/>
      <c r="H1755" s="261"/>
      <c r="I1755" s="261"/>
      <c r="J1755" s="261"/>
      <c r="K1755" s="261"/>
      <c r="L1755" s="261"/>
      <c r="M1755" s="261"/>
    </row>
    <row r="1756" spans="5:13">
      <c r="E1756" s="261"/>
      <c r="F1756" s="261"/>
      <c r="G1756" s="261"/>
      <c r="H1756" s="261"/>
      <c r="I1756" s="261"/>
      <c r="J1756" s="261"/>
      <c r="K1756" s="261"/>
      <c r="L1756" s="261"/>
      <c r="M1756" s="261"/>
    </row>
    <row r="1757" spans="5:13">
      <c r="E1757" s="261"/>
      <c r="F1757" s="261"/>
      <c r="G1757" s="261"/>
      <c r="H1757" s="261"/>
      <c r="I1757" s="261"/>
      <c r="J1757" s="261"/>
      <c r="K1757" s="261"/>
      <c r="L1757" s="261"/>
      <c r="M1757" s="261"/>
    </row>
    <row r="1758" spans="5:13">
      <c r="E1758" s="261"/>
      <c r="F1758" s="261"/>
      <c r="G1758" s="261"/>
      <c r="H1758" s="261"/>
      <c r="I1758" s="261"/>
      <c r="J1758" s="261"/>
      <c r="K1758" s="261"/>
      <c r="L1758" s="261"/>
      <c r="M1758" s="261"/>
    </row>
    <row r="1759" spans="5:13">
      <c r="E1759" s="261"/>
      <c r="F1759" s="261"/>
      <c r="G1759" s="261"/>
      <c r="H1759" s="261"/>
      <c r="I1759" s="261"/>
      <c r="J1759" s="261"/>
      <c r="K1759" s="261"/>
      <c r="L1759" s="261"/>
      <c r="M1759" s="261"/>
    </row>
    <row r="1760" spans="5:13">
      <c r="E1760" s="261"/>
      <c r="F1760" s="261"/>
      <c r="G1760" s="261"/>
      <c r="H1760" s="261"/>
      <c r="I1760" s="261"/>
      <c r="J1760" s="261"/>
      <c r="K1760" s="261"/>
      <c r="L1760" s="261"/>
      <c r="M1760" s="261"/>
    </row>
    <row r="1761" spans="5:13">
      <c r="E1761" s="261"/>
      <c r="F1761" s="261"/>
      <c r="G1761" s="261"/>
      <c r="H1761" s="261"/>
      <c r="I1761" s="261"/>
      <c r="J1761" s="261"/>
      <c r="K1761" s="261"/>
      <c r="L1761" s="261"/>
      <c r="M1761" s="261"/>
    </row>
    <row r="1762" spans="5:13">
      <c r="E1762" s="261"/>
      <c r="F1762" s="261"/>
      <c r="G1762" s="261"/>
      <c r="H1762" s="261"/>
      <c r="I1762" s="261"/>
      <c r="J1762" s="261"/>
      <c r="K1762" s="261"/>
      <c r="L1762" s="261"/>
      <c r="M1762" s="261"/>
    </row>
    <row r="1763" spans="5:13">
      <c r="E1763" s="261"/>
      <c r="F1763" s="261"/>
      <c r="G1763" s="261"/>
      <c r="H1763" s="261"/>
      <c r="I1763" s="261"/>
      <c r="J1763" s="261"/>
      <c r="K1763" s="261"/>
      <c r="L1763" s="261"/>
      <c r="M1763" s="261"/>
    </row>
    <row r="1764" spans="5:13">
      <c r="E1764" s="261"/>
      <c r="F1764" s="261"/>
      <c r="G1764" s="261"/>
      <c r="H1764" s="261"/>
      <c r="I1764" s="261"/>
      <c r="J1764" s="261"/>
      <c r="K1764" s="261"/>
      <c r="L1764" s="261"/>
      <c r="M1764" s="261"/>
    </row>
    <row r="1765" spans="5:13">
      <c r="E1765" s="261"/>
      <c r="F1765" s="261"/>
      <c r="G1765" s="261"/>
      <c r="H1765" s="261"/>
      <c r="I1765" s="261"/>
      <c r="J1765" s="261"/>
      <c r="K1765" s="261"/>
      <c r="L1765" s="261"/>
      <c r="M1765" s="261"/>
    </row>
    <row r="1766" spans="5:13">
      <c r="E1766" s="261"/>
      <c r="F1766" s="261"/>
      <c r="G1766" s="261"/>
      <c r="H1766" s="261"/>
      <c r="I1766" s="261"/>
      <c r="J1766" s="261"/>
      <c r="K1766" s="261"/>
      <c r="L1766" s="261"/>
      <c r="M1766" s="261"/>
    </row>
    <row r="1767" spans="5:13">
      <c r="E1767" s="261"/>
      <c r="F1767" s="261"/>
      <c r="G1767" s="261"/>
      <c r="H1767" s="261"/>
      <c r="I1767" s="261"/>
      <c r="J1767" s="261"/>
      <c r="K1767" s="261"/>
      <c r="L1767" s="261"/>
      <c r="M1767" s="261"/>
    </row>
    <row r="1768" spans="5:13">
      <c r="E1768" s="261"/>
      <c r="F1768" s="261"/>
      <c r="G1768" s="261"/>
      <c r="H1768" s="261"/>
      <c r="I1768" s="261"/>
      <c r="J1768" s="261"/>
      <c r="K1768" s="261"/>
      <c r="L1768" s="261"/>
      <c r="M1768" s="261"/>
    </row>
    <row r="1769" spans="5:13">
      <c r="E1769" s="261"/>
      <c r="F1769" s="261"/>
      <c r="G1769" s="261"/>
      <c r="H1769" s="261"/>
      <c r="I1769" s="261"/>
      <c r="J1769" s="261"/>
      <c r="K1769" s="261"/>
      <c r="L1769" s="261"/>
      <c r="M1769" s="261"/>
    </row>
    <row r="1770" spans="5:13">
      <c r="E1770" s="261"/>
      <c r="F1770" s="261"/>
      <c r="G1770" s="261"/>
      <c r="H1770" s="261"/>
      <c r="I1770" s="261"/>
      <c r="J1770" s="261"/>
      <c r="K1770" s="261"/>
      <c r="L1770" s="261"/>
      <c r="M1770" s="261"/>
    </row>
    <row r="1771" spans="5:13">
      <c r="E1771" s="261"/>
      <c r="F1771" s="261"/>
      <c r="G1771" s="261"/>
      <c r="H1771" s="261"/>
      <c r="I1771" s="261"/>
      <c r="J1771" s="261"/>
      <c r="K1771" s="261"/>
      <c r="L1771" s="261"/>
      <c r="M1771" s="261"/>
    </row>
    <row r="1772" spans="5:13">
      <c r="E1772" s="261"/>
      <c r="F1772" s="261"/>
      <c r="G1772" s="261"/>
      <c r="H1772" s="261"/>
      <c r="I1772" s="261"/>
      <c r="J1772" s="261"/>
      <c r="K1772" s="261"/>
      <c r="L1772" s="261"/>
      <c r="M1772" s="261"/>
    </row>
    <row r="1773" spans="5:13">
      <c r="E1773" s="261"/>
      <c r="F1773" s="261"/>
      <c r="G1773" s="261"/>
      <c r="H1773" s="261"/>
      <c r="I1773" s="261"/>
      <c r="J1773" s="261"/>
      <c r="K1773" s="261"/>
      <c r="L1773" s="261"/>
      <c r="M1773" s="261"/>
    </row>
    <row r="1774" spans="5:13">
      <c r="E1774" s="261"/>
      <c r="F1774" s="261"/>
      <c r="G1774" s="261"/>
      <c r="H1774" s="261"/>
      <c r="I1774" s="261"/>
      <c r="J1774" s="261"/>
      <c r="K1774" s="261"/>
      <c r="L1774" s="261"/>
      <c r="M1774" s="261"/>
    </row>
    <row r="1775" spans="5:13">
      <c r="E1775" s="261"/>
      <c r="F1775" s="261"/>
      <c r="G1775" s="261"/>
      <c r="H1775" s="261"/>
      <c r="I1775" s="261"/>
      <c r="J1775" s="261"/>
      <c r="K1775" s="261"/>
      <c r="L1775" s="261"/>
      <c r="M1775" s="261"/>
    </row>
    <row r="1776" spans="5:13">
      <c r="E1776" s="261"/>
      <c r="F1776" s="261"/>
      <c r="G1776" s="261"/>
      <c r="H1776" s="261"/>
      <c r="I1776" s="261"/>
      <c r="J1776" s="261"/>
      <c r="K1776" s="261"/>
      <c r="L1776" s="261"/>
      <c r="M1776" s="261"/>
    </row>
    <row r="1777" spans="5:13">
      <c r="E1777" s="261"/>
      <c r="F1777" s="261"/>
      <c r="G1777" s="261"/>
      <c r="H1777" s="261"/>
      <c r="I1777" s="261"/>
      <c r="J1777" s="261"/>
      <c r="K1777" s="261"/>
      <c r="L1777" s="261"/>
      <c r="M1777" s="261"/>
    </row>
    <row r="1778" spans="5:13">
      <c r="E1778" s="261"/>
      <c r="F1778" s="261"/>
      <c r="G1778" s="261"/>
      <c r="H1778" s="261"/>
      <c r="I1778" s="261"/>
      <c r="J1778" s="261"/>
      <c r="K1778" s="261"/>
      <c r="L1778" s="261"/>
      <c r="M1778" s="261"/>
    </row>
    <row r="1779" spans="5:13">
      <c r="E1779" s="261"/>
      <c r="F1779" s="261"/>
      <c r="G1779" s="261"/>
      <c r="H1779" s="261"/>
      <c r="I1779" s="261"/>
      <c r="J1779" s="261"/>
      <c r="K1779" s="261"/>
      <c r="L1779" s="261"/>
      <c r="M1779" s="261"/>
    </row>
    <row r="1780" spans="5:13">
      <c r="E1780" s="261"/>
      <c r="F1780" s="261"/>
      <c r="G1780" s="261"/>
      <c r="H1780" s="261"/>
      <c r="I1780" s="261"/>
      <c r="J1780" s="261"/>
      <c r="K1780" s="261"/>
      <c r="L1780" s="261"/>
      <c r="M1780" s="261"/>
    </row>
    <row r="1781" spans="5:13">
      <c r="E1781" s="261"/>
      <c r="F1781" s="261"/>
      <c r="G1781" s="261"/>
      <c r="H1781" s="261"/>
      <c r="I1781" s="261"/>
      <c r="J1781" s="261"/>
      <c r="K1781" s="261"/>
      <c r="L1781" s="261"/>
      <c r="M1781" s="261"/>
    </row>
    <row r="1782" spans="5:13">
      <c r="E1782" s="261"/>
      <c r="F1782" s="261"/>
      <c r="G1782" s="261"/>
      <c r="H1782" s="261"/>
      <c r="I1782" s="261"/>
      <c r="J1782" s="261"/>
      <c r="K1782" s="261"/>
      <c r="L1782" s="261"/>
      <c r="M1782" s="261"/>
    </row>
    <row r="1783" spans="5:13">
      <c r="E1783" s="261"/>
      <c r="F1783" s="261"/>
      <c r="G1783" s="261"/>
      <c r="H1783" s="261"/>
      <c r="I1783" s="261"/>
      <c r="J1783" s="261"/>
      <c r="K1783" s="261"/>
      <c r="L1783" s="261"/>
      <c r="M1783" s="261"/>
    </row>
    <row r="1784" spans="5:13">
      <c r="E1784" s="261"/>
      <c r="F1784" s="261"/>
      <c r="G1784" s="261"/>
      <c r="H1784" s="261"/>
      <c r="I1784" s="261"/>
      <c r="J1784" s="261"/>
      <c r="K1784" s="261"/>
      <c r="L1784" s="261"/>
      <c r="M1784" s="261"/>
    </row>
    <row r="1785" spans="5:13">
      <c r="E1785" s="261"/>
      <c r="F1785" s="261"/>
      <c r="G1785" s="261"/>
      <c r="H1785" s="261"/>
      <c r="I1785" s="261"/>
      <c r="J1785" s="261"/>
      <c r="K1785" s="261"/>
      <c r="L1785" s="261"/>
      <c r="M1785" s="261"/>
    </row>
    <row r="1786" spans="5:13">
      <c r="E1786" s="261"/>
      <c r="F1786" s="261"/>
      <c r="G1786" s="261"/>
      <c r="H1786" s="261"/>
      <c r="I1786" s="261"/>
      <c r="J1786" s="261"/>
      <c r="K1786" s="261"/>
      <c r="L1786" s="261"/>
      <c r="M1786" s="261"/>
    </row>
    <row r="1787" spans="5:13">
      <c r="E1787" s="261"/>
      <c r="F1787" s="261"/>
      <c r="G1787" s="261"/>
      <c r="H1787" s="261"/>
      <c r="I1787" s="261"/>
      <c r="J1787" s="261"/>
      <c r="K1787" s="261"/>
      <c r="L1787" s="261"/>
      <c r="M1787" s="261"/>
    </row>
    <row r="1788" spans="5:13">
      <c r="E1788" s="261"/>
      <c r="F1788" s="261"/>
      <c r="G1788" s="261"/>
      <c r="H1788" s="261"/>
      <c r="I1788" s="261"/>
      <c r="J1788" s="261"/>
      <c r="K1788" s="261"/>
      <c r="L1788" s="261"/>
      <c r="M1788" s="261"/>
    </row>
    <row r="1789" spans="5:13">
      <c r="E1789" s="261"/>
      <c r="F1789" s="261"/>
      <c r="G1789" s="261"/>
      <c r="H1789" s="261"/>
      <c r="I1789" s="261"/>
      <c r="J1789" s="261"/>
      <c r="K1789" s="261"/>
      <c r="L1789" s="261"/>
      <c r="M1789" s="261"/>
    </row>
    <row r="1790" spans="5:13">
      <c r="E1790" s="261"/>
      <c r="F1790" s="261"/>
      <c r="G1790" s="261"/>
      <c r="H1790" s="261"/>
      <c r="I1790" s="261"/>
      <c r="J1790" s="261"/>
      <c r="K1790" s="261"/>
      <c r="L1790" s="261"/>
      <c r="M1790" s="261"/>
    </row>
    <row r="1791" spans="5:13">
      <c r="E1791" s="261"/>
      <c r="F1791" s="261"/>
      <c r="G1791" s="261"/>
      <c r="H1791" s="261"/>
      <c r="I1791" s="261"/>
      <c r="J1791" s="261"/>
      <c r="K1791" s="261"/>
      <c r="L1791" s="261"/>
      <c r="M1791" s="261"/>
    </row>
    <row r="1792" spans="5:13">
      <c r="E1792" s="261"/>
      <c r="F1792" s="261"/>
      <c r="G1792" s="261"/>
      <c r="H1792" s="261"/>
      <c r="I1792" s="261"/>
      <c r="J1792" s="261"/>
      <c r="K1792" s="261"/>
      <c r="L1792" s="261"/>
      <c r="M1792" s="261"/>
    </row>
    <row r="1793" spans="5:13">
      <c r="E1793" s="261"/>
      <c r="F1793" s="261"/>
      <c r="G1793" s="261"/>
      <c r="H1793" s="261"/>
      <c r="I1793" s="261"/>
      <c r="J1793" s="261"/>
      <c r="K1793" s="261"/>
      <c r="L1793" s="261"/>
      <c r="M1793" s="261"/>
    </row>
    <row r="1794" spans="5:13">
      <c r="E1794" s="261"/>
      <c r="F1794" s="261"/>
      <c r="G1794" s="261"/>
      <c r="H1794" s="261"/>
      <c r="I1794" s="261"/>
      <c r="J1794" s="261"/>
      <c r="K1794" s="261"/>
      <c r="L1794" s="261"/>
      <c r="M1794" s="261"/>
    </row>
    <row r="1795" spans="5:13">
      <c r="E1795" s="261"/>
      <c r="F1795" s="261"/>
      <c r="G1795" s="261"/>
      <c r="H1795" s="261"/>
      <c r="I1795" s="261"/>
      <c r="J1795" s="261"/>
      <c r="K1795" s="261"/>
      <c r="L1795" s="261"/>
      <c r="M1795" s="261"/>
    </row>
    <row r="1796" spans="5:13">
      <c r="E1796" s="261"/>
      <c r="F1796" s="261"/>
      <c r="G1796" s="261"/>
      <c r="H1796" s="261"/>
      <c r="I1796" s="261"/>
      <c r="J1796" s="261"/>
      <c r="K1796" s="261"/>
      <c r="L1796" s="261"/>
      <c r="M1796" s="261"/>
    </row>
    <row r="1797" spans="5:13">
      <c r="E1797" s="261"/>
      <c r="F1797" s="261"/>
      <c r="G1797" s="261"/>
      <c r="H1797" s="261"/>
      <c r="I1797" s="261"/>
      <c r="J1797" s="261"/>
      <c r="K1797" s="261"/>
      <c r="L1797" s="261"/>
      <c r="M1797" s="261"/>
    </row>
    <row r="1798" spans="5:13">
      <c r="E1798" s="261"/>
      <c r="F1798" s="261"/>
      <c r="G1798" s="261"/>
      <c r="H1798" s="261"/>
      <c r="I1798" s="261"/>
      <c r="J1798" s="261"/>
      <c r="K1798" s="261"/>
      <c r="L1798" s="261"/>
      <c r="M1798" s="261"/>
    </row>
    <row r="1799" spans="5:13">
      <c r="E1799" s="261"/>
      <c r="F1799" s="261"/>
      <c r="G1799" s="261"/>
      <c r="H1799" s="261"/>
      <c r="I1799" s="261"/>
      <c r="J1799" s="261"/>
      <c r="K1799" s="261"/>
      <c r="L1799" s="261"/>
      <c r="M1799" s="261"/>
    </row>
    <row r="1800" spans="5:13">
      <c r="E1800" s="261"/>
      <c r="F1800" s="261"/>
      <c r="G1800" s="261"/>
      <c r="H1800" s="261"/>
      <c r="I1800" s="261"/>
      <c r="J1800" s="261"/>
      <c r="K1800" s="261"/>
      <c r="L1800" s="261"/>
      <c r="M1800" s="261"/>
    </row>
    <row r="1801" spans="5:13">
      <c r="E1801" s="261"/>
      <c r="F1801" s="261"/>
      <c r="G1801" s="261"/>
      <c r="H1801" s="261"/>
      <c r="I1801" s="261"/>
      <c r="J1801" s="261"/>
      <c r="K1801" s="261"/>
      <c r="L1801" s="261"/>
      <c r="M1801" s="261"/>
    </row>
    <row r="1802" spans="5:13">
      <c r="E1802" s="261"/>
      <c r="F1802" s="261"/>
      <c r="G1802" s="261"/>
      <c r="H1802" s="261"/>
      <c r="I1802" s="261"/>
      <c r="J1802" s="261"/>
      <c r="K1802" s="261"/>
      <c r="L1802" s="261"/>
      <c r="M1802" s="261"/>
    </row>
    <row r="1803" spans="5:13">
      <c r="E1803" s="261"/>
      <c r="F1803" s="261"/>
      <c r="G1803" s="261"/>
      <c r="H1803" s="261"/>
      <c r="I1803" s="261"/>
      <c r="J1803" s="261"/>
      <c r="K1803" s="261"/>
      <c r="L1803" s="261"/>
      <c r="M1803" s="261"/>
    </row>
    <row r="1804" spans="5:13">
      <c r="E1804" s="261"/>
      <c r="F1804" s="261"/>
      <c r="G1804" s="261"/>
      <c r="H1804" s="261"/>
      <c r="I1804" s="261"/>
      <c r="J1804" s="261"/>
      <c r="K1804" s="261"/>
      <c r="L1804" s="261"/>
      <c r="M1804" s="261"/>
    </row>
    <row r="1805" spans="5:13">
      <c r="E1805" s="261"/>
      <c r="F1805" s="261"/>
      <c r="G1805" s="261"/>
      <c r="H1805" s="261"/>
      <c r="I1805" s="261"/>
      <c r="J1805" s="261"/>
      <c r="K1805" s="261"/>
      <c r="L1805" s="261"/>
      <c r="M1805" s="261"/>
    </row>
    <row r="1806" spans="5:13">
      <c r="E1806" s="261"/>
      <c r="F1806" s="261"/>
      <c r="G1806" s="261"/>
      <c r="H1806" s="261"/>
      <c r="I1806" s="261"/>
      <c r="J1806" s="261"/>
      <c r="K1806" s="261"/>
      <c r="L1806" s="261"/>
      <c r="M1806" s="261"/>
    </row>
    <row r="1807" spans="5:13">
      <c r="E1807" s="261"/>
      <c r="F1807" s="261"/>
      <c r="G1807" s="261"/>
      <c r="H1807" s="261"/>
      <c r="I1807" s="261"/>
      <c r="J1807" s="261"/>
      <c r="K1807" s="261"/>
      <c r="L1807" s="261"/>
      <c r="M1807" s="261"/>
    </row>
    <row r="1808" spans="5:13">
      <c r="E1808" s="261"/>
      <c r="F1808" s="261"/>
      <c r="G1808" s="261"/>
      <c r="H1808" s="261"/>
      <c r="I1808" s="261"/>
      <c r="J1808" s="261"/>
      <c r="K1808" s="261"/>
      <c r="L1808" s="261"/>
      <c r="M1808" s="261"/>
    </row>
    <row r="1809" spans="5:13">
      <c r="E1809" s="261"/>
      <c r="F1809" s="261"/>
      <c r="G1809" s="261"/>
      <c r="H1809" s="261"/>
      <c r="I1809" s="261"/>
      <c r="J1809" s="261"/>
      <c r="K1809" s="261"/>
      <c r="L1809" s="261"/>
      <c r="M1809" s="261"/>
    </row>
    <row r="1810" spans="5:13">
      <c r="E1810" s="261"/>
      <c r="F1810" s="261"/>
      <c r="G1810" s="261"/>
      <c r="H1810" s="261"/>
      <c r="I1810" s="261"/>
      <c r="J1810" s="261"/>
      <c r="K1810" s="261"/>
      <c r="L1810" s="261"/>
      <c r="M1810" s="261"/>
    </row>
    <row r="1811" spans="5:13">
      <c r="E1811" s="261"/>
      <c r="F1811" s="261"/>
      <c r="G1811" s="261"/>
      <c r="H1811" s="261"/>
      <c r="I1811" s="261"/>
      <c r="J1811" s="261"/>
      <c r="K1811" s="261"/>
      <c r="L1811" s="261"/>
      <c r="M1811" s="261"/>
    </row>
    <row r="1812" spans="5:13">
      <c r="E1812" s="261"/>
      <c r="F1812" s="261"/>
      <c r="G1812" s="261"/>
      <c r="H1812" s="261"/>
      <c r="I1812" s="261"/>
      <c r="J1812" s="261"/>
      <c r="K1812" s="261"/>
      <c r="L1812" s="261"/>
      <c r="M1812" s="261"/>
    </row>
    <row r="1813" spans="5:13">
      <c r="E1813" s="261"/>
      <c r="F1813" s="261"/>
      <c r="G1813" s="261"/>
      <c r="H1813" s="261"/>
      <c r="I1813" s="261"/>
      <c r="J1813" s="261"/>
      <c r="K1813" s="261"/>
      <c r="L1813" s="261"/>
      <c r="M1813" s="261"/>
    </row>
    <row r="1814" spans="5:13">
      <c r="E1814" s="261"/>
      <c r="F1814" s="261"/>
      <c r="G1814" s="261"/>
      <c r="H1814" s="261"/>
      <c r="I1814" s="261"/>
      <c r="J1814" s="261"/>
      <c r="K1814" s="261"/>
      <c r="L1814" s="261"/>
      <c r="M1814" s="261"/>
    </row>
    <row r="1815" spans="5:13">
      <c r="E1815" s="261"/>
      <c r="F1815" s="261"/>
      <c r="G1815" s="261"/>
      <c r="H1815" s="261"/>
      <c r="I1815" s="261"/>
      <c r="J1815" s="261"/>
      <c r="K1815" s="261"/>
      <c r="L1815" s="261"/>
      <c r="M1815" s="261"/>
    </row>
    <row r="1816" spans="5:13">
      <c r="E1816" s="261"/>
      <c r="F1816" s="261"/>
      <c r="G1816" s="261"/>
      <c r="H1816" s="261"/>
      <c r="I1816" s="261"/>
      <c r="J1816" s="261"/>
      <c r="K1816" s="261"/>
      <c r="L1816" s="261"/>
      <c r="M1816" s="261"/>
    </row>
    <row r="1817" spans="5:13">
      <c r="E1817" s="261"/>
      <c r="F1817" s="261"/>
      <c r="G1817" s="261"/>
      <c r="H1817" s="261"/>
      <c r="I1817" s="261"/>
      <c r="J1817" s="261"/>
      <c r="K1817" s="261"/>
      <c r="L1817" s="261"/>
      <c r="M1817" s="261"/>
    </row>
    <row r="1818" spans="5:13">
      <c r="E1818" s="261"/>
      <c r="F1818" s="261"/>
      <c r="G1818" s="261"/>
      <c r="H1818" s="261"/>
      <c r="I1818" s="261"/>
      <c r="J1818" s="261"/>
      <c r="K1818" s="261"/>
      <c r="L1818" s="261"/>
      <c r="M1818" s="261"/>
    </row>
    <row r="1819" spans="5:13">
      <c r="E1819" s="261"/>
      <c r="F1819" s="261"/>
      <c r="G1819" s="261"/>
      <c r="H1819" s="261"/>
      <c r="I1819" s="261"/>
      <c r="J1819" s="261"/>
      <c r="K1819" s="261"/>
      <c r="L1819" s="261"/>
      <c r="M1819" s="261"/>
    </row>
    <row r="1820" spans="5:13">
      <c r="E1820" s="261"/>
      <c r="F1820" s="261"/>
      <c r="G1820" s="261"/>
      <c r="H1820" s="261"/>
      <c r="I1820" s="261"/>
      <c r="J1820" s="261"/>
      <c r="K1820" s="261"/>
      <c r="L1820" s="261"/>
      <c r="M1820" s="261"/>
    </row>
    <row r="1821" spans="5:13">
      <c r="E1821" s="261"/>
      <c r="F1821" s="261"/>
      <c r="G1821" s="261"/>
      <c r="H1821" s="261"/>
      <c r="I1821" s="261"/>
      <c r="J1821" s="261"/>
      <c r="K1821" s="261"/>
      <c r="L1821" s="261"/>
      <c r="M1821" s="261"/>
    </row>
    <row r="1822" spans="5:13">
      <c r="E1822" s="261"/>
      <c r="F1822" s="261"/>
      <c r="G1822" s="261"/>
      <c r="H1822" s="261"/>
      <c r="I1822" s="261"/>
      <c r="J1822" s="261"/>
      <c r="K1822" s="261"/>
      <c r="L1822" s="261"/>
      <c r="M1822" s="261"/>
    </row>
    <row r="1823" spans="5:13">
      <c r="E1823" s="261"/>
      <c r="F1823" s="261"/>
      <c r="G1823" s="261"/>
      <c r="H1823" s="261"/>
      <c r="I1823" s="261"/>
      <c r="J1823" s="261"/>
      <c r="K1823" s="261"/>
      <c r="L1823" s="261"/>
      <c r="M1823" s="261"/>
    </row>
    <row r="1824" spans="5:13">
      <c r="E1824" s="261"/>
      <c r="F1824" s="261"/>
      <c r="G1824" s="261"/>
      <c r="H1824" s="261"/>
      <c r="I1824" s="261"/>
      <c r="J1824" s="261"/>
      <c r="K1824" s="261"/>
      <c r="L1824" s="261"/>
      <c r="M1824" s="261"/>
    </row>
    <row r="1825" spans="5:13">
      <c r="E1825" s="261"/>
      <c r="F1825" s="261"/>
      <c r="G1825" s="261"/>
      <c r="H1825" s="261"/>
      <c r="I1825" s="261"/>
      <c r="J1825" s="261"/>
      <c r="K1825" s="261"/>
      <c r="L1825" s="261"/>
      <c r="M1825" s="261"/>
    </row>
    <row r="1826" spans="5:13">
      <c r="E1826" s="261"/>
      <c r="F1826" s="261"/>
      <c r="G1826" s="261"/>
      <c r="H1826" s="261"/>
      <c r="I1826" s="261"/>
      <c r="J1826" s="261"/>
      <c r="K1826" s="261"/>
      <c r="L1826" s="261"/>
      <c r="M1826" s="261"/>
    </row>
    <row r="1827" spans="5:13">
      <c r="E1827" s="261"/>
      <c r="F1827" s="261"/>
      <c r="G1827" s="261"/>
      <c r="H1827" s="261"/>
      <c r="I1827" s="261"/>
      <c r="J1827" s="261"/>
      <c r="K1827" s="261"/>
      <c r="L1827" s="261"/>
      <c r="M1827" s="261"/>
    </row>
    <row r="1828" spans="5:13">
      <c r="E1828" s="261"/>
      <c r="F1828" s="261"/>
      <c r="G1828" s="261"/>
      <c r="H1828" s="261"/>
      <c r="I1828" s="261"/>
      <c r="J1828" s="261"/>
      <c r="K1828" s="261"/>
      <c r="L1828" s="261"/>
      <c r="M1828" s="261"/>
    </row>
    <row r="1829" spans="5:13">
      <c r="E1829" s="261"/>
      <c r="F1829" s="261"/>
      <c r="G1829" s="261"/>
      <c r="H1829" s="261"/>
      <c r="I1829" s="261"/>
      <c r="J1829" s="261"/>
      <c r="K1829" s="261"/>
      <c r="L1829" s="261"/>
      <c r="M1829" s="261"/>
    </row>
    <row r="1830" spans="5:13">
      <c r="E1830" s="261"/>
      <c r="F1830" s="261"/>
      <c r="G1830" s="261"/>
      <c r="H1830" s="261"/>
      <c r="I1830" s="261"/>
      <c r="J1830" s="261"/>
      <c r="K1830" s="261"/>
      <c r="L1830" s="261"/>
      <c r="M1830" s="261"/>
    </row>
    <row r="1831" spans="5:13">
      <c r="E1831" s="261"/>
      <c r="F1831" s="261"/>
      <c r="G1831" s="261"/>
      <c r="H1831" s="261"/>
      <c r="I1831" s="261"/>
      <c r="J1831" s="261"/>
      <c r="K1831" s="261"/>
      <c r="L1831" s="261"/>
      <c r="M1831" s="261"/>
    </row>
    <row r="1832" spans="5:13">
      <c r="E1832" s="261"/>
      <c r="F1832" s="261"/>
      <c r="G1832" s="261"/>
      <c r="H1832" s="261"/>
      <c r="I1832" s="261"/>
      <c r="J1832" s="261"/>
      <c r="K1832" s="261"/>
      <c r="L1832" s="261"/>
      <c r="M1832" s="261"/>
    </row>
    <row r="1833" spans="5:13">
      <c r="E1833" s="261"/>
      <c r="F1833" s="261"/>
      <c r="G1833" s="261"/>
      <c r="H1833" s="261"/>
      <c r="I1833" s="261"/>
      <c r="J1833" s="261"/>
      <c r="K1833" s="261"/>
      <c r="L1833" s="261"/>
      <c r="M1833" s="261"/>
    </row>
    <row r="1834" spans="5:13">
      <c r="E1834" s="261"/>
      <c r="F1834" s="261"/>
      <c r="G1834" s="261"/>
      <c r="H1834" s="261"/>
      <c r="I1834" s="261"/>
      <c r="J1834" s="261"/>
      <c r="K1834" s="261"/>
      <c r="L1834" s="261"/>
      <c r="M1834" s="261"/>
    </row>
    <row r="1835" spans="5:13">
      <c r="E1835" s="261"/>
      <c r="F1835" s="261"/>
      <c r="G1835" s="261"/>
      <c r="H1835" s="261"/>
      <c r="I1835" s="261"/>
      <c r="J1835" s="261"/>
      <c r="K1835" s="261"/>
      <c r="L1835" s="261"/>
      <c r="M1835" s="261"/>
    </row>
    <row r="1836" spans="5:13">
      <c r="E1836" s="261"/>
      <c r="F1836" s="261"/>
      <c r="G1836" s="261"/>
      <c r="H1836" s="261"/>
      <c r="I1836" s="261"/>
      <c r="J1836" s="261"/>
      <c r="K1836" s="261"/>
      <c r="L1836" s="261"/>
      <c r="M1836" s="261"/>
    </row>
    <row r="1837" spans="5:13">
      <c r="E1837" s="261"/>
      <c r="F1837" s="261"/>
      <c r="G1837" s="261"/>
      <c r="H1837" s="261"/>
      <c r="I1837" s="261"/>
      <c r="J1837" s="261"/>
      <c r="K1837" s="261"/>
      <c r="L1837" s="261"/>
      <c r="M1837" s="261"/>
    </row>
    <row r="1838" spans="5:13">
      <c r="E1838" s="261"/>
      <c r="F1838" s="261"/>
      <c r="G1838" s="261"/>
      <c r="H1838" s="261"/>
      <c r="I1838" s="261"/>
      <c r="J1838" s="261"/>
      <c r="K1838" s="261"/>
      <c r="L1838" s="261"/>
      <c r="M1838" s="261"/>
    </row>
    <row r="1839" spans="5:13">
      <c r="E1839" s="261"/>
      <c r="F1839" s="261"/>
      <c r="G1839" s="261"/>
      <c r="H1839" s="261"/>
      <c r="I1839" s="261"/>
      <c r="J1839" s="261"/>
      <c r="K1839" s="261"/>
      <c r="L1839" s="261"/>
      <c r="M1839" s="261"/>
    </row>
    <row r="1840" spans="5:13">
      <c r="E1840" s="261"/>
      <c r="F1840" s="261"/>
      <c r="G1840" s="261"/>
      <c r="H1840" s="261"/>
      <c r="I1840" s="261"/>
      <c r="J1840" s="261"/>
      <c r="K1840" s="261"/>
      <c r="L1840" s="261"/>
      <c r="M1840" s="261"/>
    </row>
    <row r="1841" spans="5:13">
      <c r="E1841" s="261"/>
      <c r="F1841" s="261"/>
      <c r="G1841" s="261"/>
      <c r="H1841" s="261"/>
      <c r="I1841" s="261"/>
      <c r="J1841" s="261"/>
      <c r="K1841" s="261"/>
      <c r="L1841" s="261"/>
      <c r="M1841" s="261"/>
    </row>
    <row r="1842" spans="5:13">
      <c r="E1842" s="261"/>
      <c r="F1842" s="261"/>
      <c r="G1842" s="261"/>
      <c r="H1842" s="261"/>
      <c r="I1842" s="261"/>
      <c r="J1842" s="261"/>
      <c r="K1842" s="261"/>
      <c r="L1842" s="261"/>
      <c r="M1842" s="261"/>
    </row>
    <row r="1843" spans="5:13">
      <c r="E1843" s="261"/>
      <c r="F1843" s="261"/>
      <c r="G1843" s="261"/>
      <c r="H1843" s="261"/>
      <c r="I1843" s="261"/>
      <c r="J1843" s="261"/>
      <c r="K1843" s="261"/>
      <c r="L1843" s="261"/>
      <c r="M1843" s="261"/>
    </row>
    <row r="1844" spans="5:13">
      <c r="E1844" s="261"/>
      <c r="F1844" s="261"/>
      <c r="G1844" s="261"/>
      <c r="H1844" s="261"/>
      <c r="I1844" s="261"/>
      <c r="J1844" s="261"/>
      <c r="K1844" s="261"/>
      <c r="L1844" s="261"/>
      <c r="M1844" s="261"/>
    </row>
    <row r="1845" spans="5:13">
      <c r="E1845" s="261"/>
      <c r="F1845" s="261"/>
      <c r="G1845" s="261"/>
      <c r="H1845" s="261"/>
      <c r="I1845" s="261"/>
      <c r="J1845" s="261"/>
      <c r="K1845" s="261"/>
      <c r="L1845" s="261"/>
      <c r="M1845" s="261"/>
    </row>
    <row r="1846" spans="5:13">
      <c r="E1846" s="261"/>
      <c r="F1846" s="261"/>
      <c r="G1846" s="261"/>
      <c r="H1846" s="261"/>
      <c r="I1846" s="261"/>
      <c r="J1846" s="261"/>
      <c r="K1846" s="261"/>
      <c r="L1846" s="261"/>
      <c r="M1846" s="261"/>
    </row>
    <row r="1847" spans="5:13">
      <c r="E1847" s="261"/>
      <c r="F1847" s="261"/>
      <c r="G1847" s="261"/>
      <c r="H1847" s="261"/>
      <c r="I1847" s="261"/>
      <c r="J1847" s="261"/>
      <c r="K1847" s="261"/>
      <c r="L1847" s="261"/>
      <c r="M1847" s="261"/>
    </row>
    <row r="1848" spans="5:13">
      <c r="E1848" s="261"/>
      <c r="F1848" s="261"/>
      <c r="G1848" s="261"/>
      <c r="H1848" s="261"/>
      <c r="I1848" s="261"/>
      <c r="J1848" s="261"/>
      <c r="K1848" s="261"/>
      <c r="L1848" s="261"/>
      <c r="M1848" s="261"/>
    </row>
    <row r="1849" spans="5:13">
      <c r="E1849" s="261"/>
      <c r="F1849" s="261"/>
      <c r="G1849" s="261"/>
      <c r="H1849" s="261"/>
      <c r="I1849" s="261"/>
      <c r="J1849" s="261"/>
      <c r="K1849" s="261"/>
      <c r="L1849" s="261"/>
      <c r="M1849" s="261"/>
    </row>
    <row r="1850" spans="5:13">
      <c r="E1850" s="261"/>
      <c r="F1850" s="261"/>
      <c r="G1850" s="261"/>
      <c r="H1850" s="261"/>
      <c r="I1850" s="261"/>
      <c r="J1850" s="261"/>
      <c r="K1850" s="261"/>
      <c r="L1850" s="261"/>
      <c r="M1850" s="261"/>
    </row>
    <row r="1851" spans="5:13">
      <c r="E1851" s="261"/>
      <c r="F1851" s="261"/>
      <c r="G1851" s="261"/>
      <c r="H1851" s="261"/>
      <c r="I1851" s="261"/>
      <c r="J1851" s="261"/>
      <c r="K1851" s="261"/>
      <c r="L1851" s="261"/>
      <c r="M1851" s="261"/>
    </row>
    <row r="1852" spans="5:13">
      <c r="E1852" s="261"/>
      <c r="F1852" s="261"/>
      <c r="G1852" s="261"/>
      <c r="H1852" s="261"/>
      <c r="I1852" s="261"/>
      <c r="J1852" s="261"/>
      <c r="K1852" s="261"/>
      <c r="L1852" s="261"/>
      <c r="M1852" s="261"/>
    </row>
    <row r="1853" spans="5:13">
      <c r="E1853" s="261"/>
      <c r="F1853" s="261"/>
      <c r="G1853" s="261"/>
      <c r="H1853" s="261"/>
      <c r="I1853" s="261"/>
      <c r="J1853" s="261"/>
      <c r="K1853" s="261"/>
      <c r="L1853" s="261"/>
      <c r="M1853" s="261"/>
    </row>
    <row r="1854" spans="5:13">
      <c r="E1854" s="261"/>
      <c r="F1854" s="261"/>
      <c r="G1854" s="261"/>
      <c r="H1854" s="261"/>
      <c r="I1854" s="261"/>
      <c r="J1854" s="261"/>
      <c r="K1854" s="261"/>
      <c r="L1854" s="261"/>
      <c r="M1854" s="261"/>
    </row>
    <row r="1855" spans="5:13">
      <c r="E1855" s="261"/>
      <c r="F1855" s="261"/>
      <c r="G1855" s="261"/>
      <c r="H1855" s="261"/>
      <c r="I1855" s="261"/>
      <c r="J1855" s="261"/>
      <c r="K1855" s="261"/>
      <c r="L1855" s="261"/>
      <c r="M1855" s="261"/>
    </row>
    <row r="1856" spans="5:13">
      <c r="E1856" s="261"/>
      <c r="F1856" s="261"/>
      <c r="G1856" s="261"/>
      <c r="H1856" s="261"/>
      <c r="I1856" s="261"/>
      <c r="J1856" s="261"/>
      <c r="K1856" s="261"/>
      <c r="L1856" s="261"/>
      <c r="M1856" s="261"/>
    </row>
    <row r="1857" spans="5:13">
      <c r="E1857" s="261"/>
      <c r="F1857" s="261"/>
      <c r="G1857" s="261"/>
      <c r="H1857" s="261"/>
      <c r="I1857" s="261"/>
      <c r="J1857" s="261"/>
      <c r="K1857" s="261"/>
      <c r="L1857" s="261"/>
      <c r="M1857" s="261"/>
    </row>
    <row r="1858" spans="5:13">
      <c r="E1858" s="261"/>
      <c r="F1858" s="261"/>
      <c r="G1858" s="261"/>
      <c r="H1858" s="261"/>
      <c r="I1858" s="261"/>
      <c r="J1858" s="261"/>
      <c r="K1858" s="261"/>
      <c r="L1858" s="261"/>
      <c r="M1858" s="261"/>
    </row>
    <row r="1859" spans="5:13">
      <c r="E1859" s="261"/>
      <c r="F1859" s="261"/>
      <c r="G1859" s="261"/>
      <c r="H1859" s="261"/>
      <c r="I1859" s="261"/>
      <c r="J1859" s="261"/>
      <c r="K1859" s="261"/>
      <c r="L1859" s="261"/>
      <c r="M1859" s="261"/>
    </row>
    <row r="1860" spans="5:13">
      <c r="E1860" s="261"/>
      <c r="F1860" s="261"/>
      <c r="G1860" s="261"/>
      <c r="H1860" s="261"/>
      <c r="I1860" s="261"/>
      <c r="J1860" s="261"/>
      <c r="K1860" s="261"/>
      <c r="L1860" s="261"/>
      <c r="M1860" s="261"/>
    </row>
    <row r="1861" spans="5:13">
      <c r="E1861" s="261"/>
      <c r="F1861" s="261"/>
      <c r="G1861" s="261"/>
      <c r="H1861" s="261"/>
      <c r="I1861" s="261"/>
      <c r="J1861" s="261"/>
      <c r="K1861" s="261"/>
      <c r="L1861" s="261"/>
      <c r="M1861" s="261"/>
    </row>
    <row r="1862" spans="5:13">
      <c r="E1862" s="261"/>
      <c r="F1862" s="261"/>
      <c r="G1862" s="261"/>
      <c r="H1862" s="261"/>
      <c r="I1862" s="261"/>
      <c r="J1862" s="261"/>
      <c r="K1862" s="261"/>
      <c r="L1862" s="261"/>
      <c r="M1862" s="261"/>
    </row>
    <row r="1863" spans="5:13">
      <c r="E1863" s="261"/>
      <c r="F1863" s="261"/>
      <c r="G1863" s="261"/>
      <c r="H1863" s="261"/>
      <c r="I1863" s="261"/>
      <c r="J1863" s="261"/>
      <c r="K1863" s="261"/>
      <c r="L1863" s="261"/>
      <c r="M1863" s="261"/>
    </row>
    <row r="1864" spans="5:13">
      <c r="E1864" s="261"/>
      <c r="F1864" s="261"/>
      <c r="G1864" s="261"/>
      <c r="H1864" s="261"/>
      <c r="I1864" s="261"/>
      <c r="J1864" s="261"/>
      <c r="K1864" s="261"/>
      <c r="L1864" s="261"/>
      <c r="M1864" s="261"/>
    </row>
    <row r="1865" spans="5:13">
      <c r="E1865" s="261"/>
      <c r="F1865" s="261"/>
      <c r="G1865" s="261"/>
      <c r="H1865" s="261"/>
      <c r="I1865" s="261"/>
      <c r="J1865" s="261"/>
      <c r="K1865" s="261"/>
      <c r="L1865" s="261"/>
      <c r="M1865" s="261"/>
    </row>
    <row r="1866" spans="5:13">
      <c r="E1866" s="261"/>
      <c r="F1866" s="261"/>
      <c r="G1866" s="261"/>
      <c r="H1866" s="261"/>
      <c r="I1866" s="261"/>
      <c r="J1866" s="261"/>
      <c r="K1866" s="261"/>
      <c r="L1866" s="261"/>
      <c r="M1866" s="261"/>
    </row>
    <row r="1867" spans="5:13">
      <c r="E1867" s="261"/>
      <c r="F1867" s="261"/>
      <c r="G1867" s="261"/>
      <c r="H1867" s="261"/>
      <c r="I1867" s="261"/>
      <c r="J1867" s="261"/>
      <c r="K1867" s="261"/>
      <c r="L1867" s="261"/>
      <c r="M1867" s="261"/>
    </row>
    <row r="1868" spans="5:13">
      <c r="E1868" s="261"/>
      <c r="F1868" s="261"/>
      <c r="G1868" s="261"/>
      <c r="H1868" s="261"/>
      <c r="I1868" s="261"/>
      <c r="J1868" s="261"/>
      <c r="K1868" s="261"/>
      <c r="L1868" s="261"/>
      <c r="M1868" s="261"/>
    </row>
    <row r="1869" spans="5:13">
      <c r="E1869" s="261"/>
      <c r="F1869" s="261"/>
      <c r="G1869" s="261"/>
      <c r="H1869" s="261"/>
      <c r="I1869" s="261"/>
      <c r="J1869" s="261"/>
      <c r="K1869" s="261"/>
      <c r="L1869" s="261"/>
      <c r="M1869" s="261"/>
    </row>
    <row r="1870" spans="5:13">
      <c r="E1870" s="261"/>
      <c r="F1870" s="261"/>
      <c r="G1870" s="261"/>
      <c r="H1870" s="261"/>
      <c r="I1870" s="261"/>
      <c r="J1870" s="261"/>
      <c r="K1870" s="261"/>
      <c r="L1870" s="261"/>
      <c r="M1870" s="261"/>
    </row>
    <row r="1871" spans="5:13">
      <c r="E1871" s="261"/>
      <c r="F1871" s="261"/>
      <c r="G1871" s="261"/>
      <c r="H1871" s="261"/>
      <c r="I1871" s="261"/>
      <c r="J1871" s="261"/>
      <c r="K1871" s="261"/>
      <c r="L1871" s="261"/>
      <c r="M1871" s="261"/>
    </row>
    <row r="1872" spans="5:13">
      <c r="E1872" s="261"/>
      <c r="F1872" s="261"/>
      <c r="G1872" s="261"/>
      <c r="H1872" s="261"/>
      <c r="I1872" s="261"/>
      <c r="J1872" s="261"/>
      <c r="K1872" s="261"/>
      <c r="L1872" s="261"/>
      <c r="M1872" s="261"/>
    </row>
    <row r="1873" spans="5:13">
      <c r="E1873" s="261"/>
      <c r="F1873" s="261"/>
      <c r="G1873" s="261"/>
      <c r="H1873" s="261"/>
      <c r="I1873" s="261"/>
      <c r="J1873" s="261"/>
      <c r="K1873" s="261"/>
      <c r="L1873" s="261"/>
      <c r="M1873" s="261"/>
    </row>
    <row r="1874" spans="5:13">
      <c r="E1874" s="261"/>
      <c r="F1874" s="261"/>
      <c r="G1874" s="261"/>
      <c r="H1874" s="261"/>
      <c r="I1874" s="261"/>
      <c r="J1874" s="261"/>
      <c r="K1874" s="261"/>
      <c r="L1874" s="261"/>
      <c r="M1874" s="261"/>
    </row>
    <row r="1875" spans="5:13">
      <c r="E1875" s="261"/>
      <c r="F1875" s="261"/>
      <c r="G1875" s="261"/>
      <c r="H1875" s="261"/>
      <c r="I1875" s="261"/>
      <c r="J1875" s="261"/>
      <c r="K1875" s="261"/>
      <c r="L1875" s="261"/>
      <c r="M1875" s="261"/>
    </row>
    <row r="1876" spans="5:13">
      <c r="E1876" s="261"/>
      <c r="F1876" s="261"/>
      <c r="G1876" s="261"/>
      <c r="H1876" s="261"/>
      <c r="I1876" s="261"/>
      <c r="J1876" s="261"/>
      <c r="K1876" s="261"/>
      <c r="L1876" s="261"/>
      <c r="M1876" s="261"/>
    </row>
    <row r="1877" spans="5:13">
      <c r="E1877" s="261"/>
      <c r="F1877" s="261"/>
      <c r="G1877" s="261"/>
      <c r="H1877" s="261"/>
      <c r="I1877" s="261"/>
      <c r="J1877" s="261"/>
      <c r="K1877" s="261"/>
      <c r="L1877" s="261"/>
      <c r="M1877" s="261"/>
    </row>
    <row r="1878" spans="5:13">
      <c r="E1878" s="261"/>
      <c r="F1878" s="261"/>
      <c r="G1878" s="261"/>
      <c r="H1878" s="261"/>
      <c r="I1878" s="261"/>
      <c r="J1878" s="261"/>
      <c r="K1878" s="261"/>
      <c r="L1878" s="261"/>
      <c r="M1878" s="261"/>
    </row>
    <row r="1879" spans="5:13">
      <c r="E1879" s="261"/>
      <c r="F1879" s="261"/>
      <c r="G1879" s="261"/>
      <c r="H1879" s="261"/>
      <c r="I1879" s="261"/>
      <c r="J1879" s="261"/>
      <c r="K1879" s="261"/>
      <c r="L1879" s="261"/>
      <c r="M1879" s="261"/>
    </row>
    <row r="1880" spans="5:13">
      <c r="E1880" s="261"/>
      <c r="F1880" s="261"/>
      <c r="G1880" s="261"/>
      <c r="H1880" s="261"/>
      <c r="I1880" s="261"/>
      <c r="J1880" s="261"/>
      <c r="K1880" s="261"/>
      <c r="L1880" s="261"/>
      <c r="M1880" s="261"/>
    </row>
    <row r="1881" spans="5:13">
      <c r="E1881" s="261"/>
      <c r="F1881" s="261"/>
      <c r="G1881" s="261"/>
      <c r="H1881" s="261"/>
      <c r="I1881" s="261"/>
      <c r="J1881" s="261"/>
      <c r="K1881" s="261"/>
      <c r="L1881" s="261"/>
      <c r="M1881" s="261"/>
    </row>
    <row r="1882" spans="5:13">
      <c r="E1882" s="261"/>
      <c r="F1882" s="261"/>
      <c r="G1882" s="261"/>
      <c r="H1882" s="261"/>
      <c r="I1882" s="261"/>
      <c r="J1882" s="261"/>
      <c r="K1882" s="261"/>
      <c r="L1882" s="261"/>
      <c r="M1882" s="261"/>
    </row>
    <row r="1883" spans="5:13">
      <c r="E1883" s="261"/>
      <c r="F1883" s="261"/>
      <c r="G1883" s="261"/>
      <c r="H1883" s="261"/>
      <c r="I1883" s="261"/>
      <c r="J1883" s="261"/>
      <c r="K1883" s="261"/>
      <c r="L1883" s="261"/>
      <c r="M1883" s="261"/>
    </row>
    <row r="1884" spans="5:13">
      <c r="E1884" s="261"/>
      <c r="F1884" s="261"/>
      <c r="G1884" s="261"/>
      <c r="H1884" s="261"/>
      <c r="I1884" s="261"/>
      <c r="J1884" s="261"/>
      <c r="K1884" s="261"/>
      <c r="L1884" s="261"/>
      <c r="M1884" s="261"/>
    </row>
    <row r="1885" spans="5:13">
      <c r="E1885" s="261"/>
      <c r="F1885" s="261"/>
      <c r="G1885" s="261"/>
      <c r="H1885" s="261"/>
      <c r="I1885" s="261"/>
      <c r="J1885" s="261"/>
      <c r="K1885" s="261"/>
      <c r="L1885" s="261"/>
      <c r="M1885" s="261"/>
    </row>
    <row r="1886" spans="5:13">
      <c r="E1886" s="261"/>
      <c r="F1886" s="261"/>
      <c r="G1886" s="261"/>
      <c r="H1886" s="261"/>
      <c r="I1886" s="261"/>
      <c r="J1886" s="261"/>
      <c r="K1886" s="261"/>
      <c r="L1886" s="261"/>
      <c r="M1886" s="261"/>
    </row>
    <row r="1887" spans="5:13">
      <c r="E1887" s="261"/>
      <c r="F1887" s="261"/>
      <c r="G1887" s="261"/>
      <c r="H1887" s="261"/>
      <c r="I1887" s="261"/>
      <c r="J1887" s="261"/>
      <c r="K1887" s="261"/>
      <c r="L1887" s="261"/>
      <c r="M1887" s="261"/>
    </row>
    <row r="1888" spans="5:13">
      <c r="E1888" s="261"/>
      <c r="F1888" s="261"/>
      <c r="G1888" s="261"/>
      <c r="H1888" s="261"/>
      <c r="I1888" s="261"/>
      <c r="J1888" s="261"/>
      <c r="K1888" s="261"/>
      <c r="L1888" s="261"/>
      <c r="M1888" s="261"/>
    </row>
    <row r="1889" spans="5:13">
      <c r="E1889" s="261"/>
      <c r="F1889" s="261"/>
      <c r="G1889" s="261"/>
      <c r="H1889" s="261"/>
      <c r="I1889" s="261"/>
      <c r="J1889" s="261"/>
      <c r="K1889" s="261"/>
      <c r="L1889" s="261"/>
      <c r="M1889" s="261"/>
    </row>
    <row r="1890" spans="5:13">
      <c r="E1890" s="261"/>
      <c r="F1890" s="261"/>
      <c r="G1890" s="261"/>
      <c r="H1890" s="261"/>
      <c r="I1890" s="261"/>
      <c r="J1890" s="261"/>
      <c r="K1890" s="261"/>
      <c r="L1890" s="261"/>
      <c r="M1890" s="261"/>
    </row>
    <row r="1891" spans="5:13">
      <c r="E1891" s="261"/>
      <c r="F1891" s="261"/>
      <c r="G1891" s="261"/>
      <c r="H1891" s="261"/>
      <c r="I1891" s="261"/>
      <c r="J1891" s="261"/>
      <c r="K1891" s="261"/>
      <c r="L1891" s="261"/>
      <c r="M1891" s="261"/>
    </row>
    <row r="1892" spans="5:13">
      <c r="E1892" s="261"/>
      <c r="F1892" s="261"/>
      <c r="G1892" s="261"/>
      <c r="H1892" s="261"/>
      <c r="I1892" s="261"/>
      <c r="J1892" s="261"/>
      <c r="K1892" s="261"/>
      <c r="L1892" s="261"/>
      <c r="M1892" s="261"/>
    </row>
    <row r="1893" spans="5:13">
      <c r="E1893" s="261"/>
      <c r="F1893" s="261"/>
      <c r="G1893" s="261"/>
      <c r="H1893" s="261"/>
      <c r="I1893" s="261"/>
      <c r="J1893" s="261"/>
      <c r="K1893" s="261"/>
      <c r="L1893" s="261"/>
      <c r="M1893" s="261"/>
    </row>
    <row r="1894" spans="5:13">
      <c r="E1894" s="261"/>
      <c r="F1894" s="261"/>
      <c r="G1894" s="261"/>
      <c r="H1894" s="261"/>
      <c r="I1894" s="261"/>
      <c r="J1894" s="261"/>
      <c r="K1894" s="261"/>
      <c r="L1894" s="261"/>
      <c r="M1894" s="261"/>
    </row>
    <row r="1895" spans="5:13">
      <c r="E1895" s="261"/>
      <c r="F1895" s="261"/>
      <c r="G1895" s="261"/>
      <c r="H1895" s="261"/>
      <c r="I1895" s="261"/>
      <c r="J1895" s="261"/>
      <c r="K1895" s="261"/>
      <c r="L1895" s="261"/>
      <c r="M1895" s="261"/>
    </row>
    <row r="1896" spans="5:13">
      <c r="E1896" s="261"/>
      <c r="F1896" s="261"/>
      <c r="G1896" s="261"/>
      <c r="H1896" s="261"/>
      <c r="I1896" s="261"/>
      <c r="J1896" s="261"/>
      <c r="K1896" s="261"/>
      <c r="L1896" s="261"/>
      <c r="M1896" s="261"/>
    </row>
    <row r="1897" spans="5:13">
      <c r="E1897" s="261"/>
      <c r="F1897" s="261"/>
      <c r="G1897" s="261"/>
      <c r="H1897" s="261"/>
      <c r="I1897" s="261"/>
      <c r="J1897" s="261"/>
      <c r="K1897" s="261"/>
      <c r="L1897" s="261"/>
      <c r="M1897" s="261"/>
    </row>
    <row r="1898" spans="5:13">
      <c r="E1898" s="261"/>
      <c r="F1898" s="261"/>
      <c r="G1898" s="261"/>
      <c r="H1898" s="261"/>
      <c r="I1898" s="261"/>
      <c r="J1898" s="261"/>
      <c r="K1898" s="261"/>
      <c r="L1898" s="261"/>
      <c r="M1898" s="261"/>
    </row>
    <row r="1899" spans="5:13">
      <c r="E1899" s="261"/>
      <c r="F1899" s="261"/>
      <c r="G1899" s="261"/>
      <c r="H1899" s="261"/>
      <c r="I1899" s="261"/>
      <c r="J1899" s="261"/>
      <c r="K1899" s="261"/>
      <c r="L1899" s="261"/>
      <c r="M1899" s="261"/>
    </row>
    <row r="1900" spans="5:13">
      <c r="E1900" s="261"/>
      <c r="F1900" s="261"/>
      <c r="G1900" s="261"/>
      <c r="H1900" s="261"/>
      <c r="I1900" s="261"/>
      <c r="J1900" s="261"/>
      <c r="K1900" s="261"/>
      <c r="L1900" s="261"/>
      <c r="M1900" s="261"/>
    </row>
    <row r="1901" spans="5:13">
      <c r="E1901" s="261"/>
      <c r="F1901" s="261"/>
      <c r="G1901" s="261"/>
      <c r="H1901" s="261"/>
      <c r="I1901" s="261"/>
      <c r="J1901" s="261"/>
      <c r="K1901" s="261"/>
      <c r="L1901" s="261"/>
      <c r="M1901" s="261"/>
    </row>
    <row r="1902" spans="5:13">
      <c r="E1902" s="261"/>
      <c r="F1902" s="261"/>
      <c r="G1902" s="261"/>
      <c r="H1902" s="261"/>
      <c r="I1902" s="261"/>
      <c r="J1902" s="261"/>
      <c r="K1902" s="261"/>
      <c r="L1902" s="261"/>
      <c r="M1902" s="261"/>
    </row>
    <row r="1903" spans="5:13">
      <c r="E1903" s="261"/>
      <c r="F1903" s="261"/>
      <c r="G1903" s="261"/>
      <c r="H1903" s="261"/>
      <c r="I1903" s="261"/>
      <c r="J1903" s="261"/>
      <c r="K1903" s="261"/>
      <c r="L1903" s="261"/>
      <c r="M1903" s="261"/>
    </row>
    <row r="1904" spans="5:13">
      <c r="E1904" s="261"/>
      <c r="F1904" s="261"/>
      <c r="G1904" s="261"/>
      <c r="H1904" s="261"/>
      <c r="I1904" s="261"/>
      <c r="J1904" s="261"/>
      <c r="K1904" s="261"/>
      <c r="L1904" s="261"/>
      <c r="M1904" s="261"/>
    </row>
    <row r="1905" spans="5:13">
      <c r="E1905" s="261"/>
      <c r="F1905" s="261"/>
      <c r="G1905" s="261"/>
      <c r="H1905" s="261"/>
      <c r="I1905" s="261"/>
      <c r="J1905" s="261"/>
      <c r="K1905" s="261"/>
      <c r="L1905" s="261"/>
      <c r="M1905" s="261"/>
    </row>
    <row r="1906" spans="5:13">
      <c r="E1906" s="261"/>
      <c r="F1906" s="261"/>
      <c r="G1906" s="261"/>
      <c r="H1906" s="261"/>
      <c r="I1906" s="261"/>
      <c r="J1906" s="261"/>
      <c r="K1906" s="261"/>
      <c r="L1906" s="261"/>
      <c r="M1906" s="261"/>
    </row>
    <row r="1907" spans="5:13">
      <c r="E1907" s="261"/>
      <c r="F1907" s="261"/>
      <c r="G1907" s="261"/>
      <c r="H1907" s="261"/>
      <c r="I1907" s="261"/>
      <c r="J1907" s="261"/>
      <c r="K1907" s="261"/>
      <c r="L1907" s="261"/>
      <c r="M1907" s="261"/>
    </row>
    <row r="1908" spans="5:13">
      <c r="E1908" s="261"/>
      <c r="F1908" s="261"/>
      <c r="G1908" s="261"/>
      <c r="H1908" s="261"/>
      <c r="I1908" s="261"/>
      <c r="J1908" s="261"/>
      <c r="K1908" s="261"/>
      <c r="L1908" s="261"/>
      <c r="M1908" s="261"/>
    </row>
    <row r="1909" spans="5:13">
      <c r="E1909" s="261"/>
      <c r="F1909" s="261"/>
      <c r="G1909" s="261"/>
      <c r="H1909" s="261"/>
      <c r="I1909" s="261"/>
      <c r="J1909" s="261"/>
      <c r="K1909" s="261"/>
      <c r="L1909" s="261"/>
      <c r="M1909" s="261"/>
    </row>
    <row r="1910" spans="5:13">
      <c r="E1910" s="261"/>
      <c r="F1910" s="261"/>
      <c r="G1910" s="261"/>
      <c r="H1910" s="261"/>
      <c r="I1910" s="261"/>
      <c r="J1910" s="261"/>
      <c r="K1910" s="261"/>
      <c r="L1910" s="261"/>
      <c r="M1910" s="261"/>
    </row>
    <row r="1911" spans="5:13">
      <c r="E1911" s="261"/>
      <c r="F1911" s="261"/>
      <c r="G1911" s="261"/>
      <c r="H1911" s="261"/>
      <c r="I1911" s="261"/>
      <c r="J1911" s="261"/>
      <c r="K1911" s="261"/>
      <c r="L1911" s="261"/>
      <c r="M1911" s="261"/>
    </row>
    <row r="1912" spans="5:13">
      <c r="E1912" s="261"/>
      <c r="F1912" s="261"/>
      <c r="G1912" s="261"/>
      <c r="H1912" s="261"/>
      <c r="I1912" s="261"/>
      <c r="J1912" s="261"/>
      <c r="K1912" s="261"/>
      <c r="L1912" s="261"/>
      <c r="M1912" s="261"/>
    </row>
    <row r="1913" spans="5:13">
      <c r="E1913" s="261"/>
      <c r="F1913" s="261"/>
      <c r="G1913" s="261"/>
      <c r="H1913" s="261"/>
      <c r="I1913" s="261"/>
      <c r="J1913" s="261"/>
      <c r="K1913" s="261"/>
      <c r="L1913" s="261"/>
      <c r="M1913" s="261"/>
    </row>
    <row r="1914" spans="5:13">
      <c r="E1914" s="261"/>
      <c r="F1914" s="261"/>
      <c r="G1914" s="261"/>
      <c r="H1914" s="261"/>
      <c r="I1914" s="261"/>
      <c r="J1914" s="261"/>
      <c r="K1914" s="261"/>
      <c r="L1914" s="261"/>
      <c r="M1914" s="261"/>
    </row>
    <row r="1915" spans="5:13">
      <c r="E1915" s="261"/>
      <c r="F1915" s="261"/>
      <c r="G1915" s="261"/>
      <c r="H1915" s="261"/>
      <c r="I1915" s="261"/>
      <c r="J1915" s="261"/>
      <c r="K1915" s="261"/>
      <c r="L1915" s="261"/>
      <c r="M1915" s="261"/>
    </row>
    <row r="1916" spans="5:13">
      <c r="E1916" s="261"/>
      <c r="F1916" s="261"/>
      <c r="G1916" s="261"/>
      <c r="H1916" s="261"/>
      <c r="I1916" s="261"/>
      <c r="J1916" s="261"/>
      <c r="K1916" s="261"/>
      <c r="L1916" s="261"/>
      <c r="M1916" s="261"/>
    </row>
    <row r="1917" spans="5:13">
      <c r="E1917" s="261"/>
      <c r="F1917" s="261"/>
      <c r="G1917" s="261"/>
      <c r="H1917" s="261"/>
      <c r="I1917" s="261"/>
      <c r="J1917" s="261"/>
      <c r="K1917" s="261"/>
      <c r="L1917" s="261"/>
      <c r="M1917" s="261"/>
    </row>
    <row r="1918" spans="5:13">
      <c r="E1918" s="261"/>
      <c r="F1918" s="261"/>
      <c r="G1918" s="261"/>
      <c r="H1918" s="261"/>
      <c r="I1918" s="261"/>
      <c r="J1918" s="261"/>
      <c r="K1918" s="261"/>
      <c r="L1918" s="261"/>
      <c r="M1918" s="261"/>
    </row>
    <row r="1919" spans="5:13">
      <c r="E1919" s="261"/>
      <c r="F1919" s="261"/>
      <c r="G1919" s="261"/>
      <c r="H1919" s="261"/>
      <c r="I1919" s="261"/>
      <c r="J1919" s="261"/>
      <c r="K1919" s="261"/>
      <c r="L1919" s="261"/>
      <c r="M1919" s="261"/>
    </row>
    <row r="1920" spans="5:13">
      <c r="E1920" s="261"/>
      <c r="F1920" s="261"/>
      <c r="G1920" s="261"/>
      <c r="H1920" s="261"/>
      <c r="I1920" s="261"/>
      <c r="J1920" s="261"/>
      <c r="K1920" s="261"/>
      <c r="L1920" s="261"/>
      <c r="M1920" s="261"/>
    </row>
    <row r="1921" spans="5:13">
      <c r="E1921" s="261"/>
      <c r="F1921" s="261"/>
      <c r="G1921" s="261"/>
      <c r="H1921" s="261"/>
      <c r="I1921" s="261"/>
      <c r="J1921" s="261"/>
      <c r="K1921" s="261"/>
      <c r="L1921" s="261"/>
      <c r="M1921" s="261"/>
    </row>
    <row r="1922" spans="5:13">
      <c r="E1922" s="261"/>
      <c r="F1922" s="261"/>
      <c r="G1922" s="261"/>
      <c r="H1922" s="261"/>
      <c r="I1922" s="261"/>
      <c r="J1922" s="261"/>
      <c r="K1922" s="261"/>
      <c r="L1922" s="261"/>
      <c r="M1922" s="261"/>
    </row>
    <row r="1923" spans="5:13">
      <c r="E1923" s="261"/>
      <c r="F1923" s="261"/>
      <c r="G1923" s="261"/>
      <c r="H1923" s="261"/>
      <c r="I1923" s="261"/>
      <c r="J1923" s="261"/>
      <c r="K1923" s="261"/>
      <c r="L1923" s="261"/>
      <c r="M1923" s="261"/>
    </row>
    <row r="1924" spans="5:13">
      <c r="E1924" s="261"/>
      <c r="F1924" s="261"/>
      <c r="G1924" s="261"/>
      <c r="H1924" s="261"/>
      <c r="I1924" s="261"/>
      <c r="J1924" s="261"/>
      <c r="K1924" s="261"/>
      <c r="L1924" s="261"/>
      <c r="M1924" s="261"/>
    </row>
    <row r="1925" spans="5:13">
      <c r="E1925" s="261"/>
      <c r="F1925" s="261"/>
      <c r="G1925" s="261"/>
      <c r="H1925" s="261"/>
      <c r="I1925" s="261"/>
      <c r="J1925" s="261"/>
      <c r="K1925" s="261"/>
      <c r="L1925" s="261"/>
      <c r="M1925" s="261"/>
    </row>
    <row r="1926" spans="5:13">
      <c r="E1926" s="261"/>
      <c r="F1926" s="261"/>
      <c r="G1926" s="261"/>
      <c r="H1926" s="261"/>
      <c r="I1926" s="261"/>
      <c r="J1926" s="261"/>
      <c r="K1926" s="261"/>
      <c r="L1926" s="261"/>
      <c r="M1926" s="261"/>
    </row>
    <row r="1927" spans="5:13">
      <c r="E1927" s="261"/>
      <c r="F1927" s="261"/>
      <c r="G1927" s="261"/>
      <c r="H1927" s="261"/>
      <c r="I1927" s="261"/>
      <c r="J1927" s="261"/>
      <c r="K1927" s="261"/>
      <c r="L1927" s="261"/>
      <c r="M1927" s="261"/>
    </row>
    <row r="1928" spans="5:13">
      <c r="E1928" s="261"/>
      <c r="F1928" s="261"/>
      <c r="G1928" s="261"/>
      <c r="H1928" s="261"/>
      <c r="I1928" s="261"/>
      <c r="J1928" s="261"/>
      <c r="K1928" s="261"/>
      <c r="L1928" s="261"/>
      <c r="M1928" s="261"/>
    </row>
    <row r="1929" spans="5:13">
      <c r="E1929" s="261"/>
      <c r="F1929" s="261"/>
      <c r="G1929" s="261"/>
      <c r="H1929" s="261"/>
      <c r="I1929" s="261"/>
      <c r="J1929" s="261"/>
      <c r="K1929" s="261"/>
      <c r="L1929" s="261"/>
      <c r="M1929" s="261"/>
    </row>
    <row r="1930" spans="5:13">
      <c r="E1930" s="261"/>
      <c r="F1930" s="261"/>
      <c r="G1930" s="261"/>
      <c r="H1930" s="261"/>
      <c r="I1930" s="261"/>
      <c r="J1930" s="261"/>
      <c r="K1930" s="261"/>
      <c r="L1930" s="261"/>
      <c r="M1930" s="261"/>
    </row>
    <row r="1931" spans="5:13">
      <c r="E1931" s="261"/>
      <c r="F1931" s="261"/>
      <c r="G1931" s="261"/>
      <c r="H1931" s="261"/>
      <c r="I1931" s="261"/>
      <c r="J1931" s="261"/>
      <c r="K1931" s="261"/>
      <c r="L1931" s="261"/>
      <c r="M1931" s="261"/>
    </row>
    <row r="1932" spans="5:13">
      <c r="E1932" s="261"/>
      <c r="F1932" s="261"/>
      <c r="G1932" s="261"/>
      <c r="H1932" s="261"/>
      <c r="I1932" s="261"/>
      <c r="J1932" s="261"/>
      <c r="K1932" s="261"/>
      <c r="L1932" s="261"/>
      <c r="M1932" s="261"/>
    </row>
    <row r="1933" spans="5:13">
      <c r="E1933" s="261"/>
      <c r="F1933" s="261"/>
      <c r="G1933" s="261"/>
      <c r="H1933" s="261"/>
      <c r="I1933" s="261"/>
      <c r="J1933" s="261"/>
      <c r="K1933" s="261"/>
      <c r="L1933" s="261"/>
      <c r="M1933" s="261"/>
    </row>
    <row r="1934" spans="5:13">
      <c r="E1934" s="261"/>
      <c r="F1934" s="261"/>
      <c r="G1934" s="261"/>
      <c r="H1934" s="261"/>
      <c r="I1934" s="261"/>
      <c r="J1934" s="261"/>
      <c r="K1934" s="261"/>
      <c r="L1934" s="261"/>
      <c r="M1934" s="261"/>
    </row>
    <row r="1935" spans="5:13">
      <c r="E1935" s="261"/>
      <c r="F1935" s="261"/>
      <c r="G1935" s="261"/>
      <c r="H1935" s="261"/>
      <c r="I1935" s="261"/>
      <c r="J1935" s="261"/>
      <c r="K1935" s="261"/>
      <c r="L1935" s="261"/>
      <c r="M1935" s="261"/>
    </row>
    <row r="1936" spans="5:13">
      <c r="E1936" s="261"/>
      <c r="F1936" s="261"/>
      <c r="G1936" s="261"/>
      <c r="H1936" s="261"/>
      <c r="I1936" s="261"/>
      <c r="J1936" s="261"/>
      <c r="K1936" s="261"/>
      <c r="L1936" s="261"/>
      <c r="M1936" s="261"/>
    </row>
    <row r="1937" spans="5:13">
      <c r="E1937" s="261"/>
      <c r="F1937" s="261"/>
      <c r="G1937" s="261"/>
      <c r="H1937" s="261"/>
      <c r="I1937" s="261"/>
      <c r="J1937" s="261"/>
      <c r="K1937" s="261"/>
      <c r="L1937" s="261"/>
      <c r="M1937" s="261"/>
    </row>
    <row r="1938" spans="5:13">
      <c r="E1938" s="261"/>
      <c r="F1938" s="261"/>
      <c r="G1938" s="261"/>
      <c r="H1938" s="261"/>
      <c r="I1938" s="261"/>
      <c r="J1938" s="261"/>
      <c r="K1938" s="261"/>
      <c r="L1938" s="261"/>
      <c r="M1938" s="261"/>
    </row>
    <row r="1939" spans="5:13">
      <c r="E1939" s="261"/>
      <c r="F1939" s="261"/>
      <c r="G1939" s="261"/>
      <c r="H1939" s="261"/>
      <c r="I1939" s="261"/>
      <c r="J1939" s="261"/>
      <c r="K1939" s="261"/>
      <c r="L1939" s="261"/>
      <c r="M1939" s="261"/>
    </row>
    <row r="1940" spans="5:13">
      <c r="E1940" s="261"/>
      <c r="F1940" s="261"/>
      <c r="G1940" s="261"/>
      <c r="H1940" s="261"/>
      <c r="I1940" s="261"/>
      <c r="J1940" s="261"/>
      <c r="K1940" s="261"/>
      <c r="L1940" s="261"/>
      <c r="M1940" s="261"/>
    </row>
    <row r="1941" spans="5:13">
      <c r="E1941" s="261"/>
      <c r="F1941" s="261"/>
      <c r="G1941" s="261"/>
      <c r="H1941" s="261"/>
      <c r="I1941" s="261"/>
      <c r="J1941" s="261"/>
      <c r="K1941" s="261"/>
      <c r="L1941" s="261"/>
      <c r="M1941" s="261"/>
    </row>
    <row r="1942" spans="5:13">
      <c r="E1942" s="261"/>
      <c r="F1942" s="261"/>
      <c r="G1942" s="261"/>
      <c r="H1942" s="261"/>
      <c r="I1942" s="261"/>
      <c r="J1942" s="261"/>
      <c r="K1942" s="261"/>
      <c r="L1942" s="261"/>
      <c r="M1942" s="261"/>
    </row>
    <row r="1943" spans="5:13">
      <c r="E1943" s="261"/>
      <c r="F1943" s="261"/>
      <c r="G1943" s="261"/>
      <c r="H1943" s="261"/>
      <c r="I1943" s="261"/>
      <c r="J1943" s="261"/>
      <c r="K1943" s="261"/>
      <c r="L1943" s="261"/>
      <c r="M1943" s="261"/>
    </row>
    <row r="1944" spans="5:13">
      <c r="E1944" s="261"/>
      <c r="F1944" s="261"/>
      <c r="G1944" s="261"/>
      <c r="H1944" s="261"/>
      <c r="I1944" s="261"/>
      <c r="J1944" s="261"/>
      <c r="K1944" s="261"/>
      <c r="L1944" s="261"/>
      <c r="M1944" s="261"/>
    </row>
    <row r="1945" spans="5:13">
      <c r="E1945" s="261"/>
      <c r="F1945" s="261"/>
      <c r="G1945" s="261"/>
      <c r="H1945" s="261"/>
      <c r="I1945" s="261"/>
      <c r="J1945" s="261"/>
      <c r="K1945" s="261"/>
      <c r="L1945" s="261"/>
      <c r="M1945" s="261"/>
    </row>
    <row r="1946" spans="5:13">
      <c r="E1946" s="261"/>
      <c r="F1946" s="261"/>
      <c r="G1946" s="261"/>
      <c r="H1946" s="261"/>
      <c r="I1946" s="261"/>
      <c r="J1946" s="261"/>
      <c r="K1946" s="261"/>
      <c r="L1946" s="261"/>
      <c r="M1946" s="261"/>
    </row>
    <row r="1947" spans="5:13">
      <c r="E1947" s="261"/>
      <c r="F1947" s="261"/>
      <c r="G1947" s="261"/>
      <c r="H1947" s="261"/>
      <c r="I1947" s="261"/>
      <c r="J1947" s="261"/>
      <c r="K1947" s="261"/>
      <c r="L1947" s="261"/>
      <c r="M1947" s="261"/>
    </row>
    <row r="1948" spans="5:13">
      <c r="E1948" s="261"/>
      <c r="F1948" s="261"/>
      <c r="G1948" s="261"/>
      <c r="H1948" s="261"/>
      <c r="I1948" s="261"/>
      <c r="J1948" s="261"/>
      <c r="K1948" s="261"/>
      <c r="L1948" s="261"/>
      <c r="M1948" s="261"/>
    </row>
    <row r="1949" spans="5:13">
      <c r="E1949" s="261"/>
      <c r="F1949" s="261"/>
      <c r="G1949" s="261"/>
      <c r="H1949" s="261"/>
      <c r="I1949" s="261"/>
      <c r="J1949" s="261"/>
      <c r="K1949" s="261"/>
      <c r="L1949" s="261"/>
      <c r="M1949" s="261"/>
    </row>
    <row r="1950" spans="5:13">
      <c r="E1950" s="261"/>
      <c r="F1950" s="261"/>
      <c r="G1950" s="261"/>
      <c r="H1950" s="261"/>
      <c r="I1950" s="261"/>
      <c r="J1950" s="261"/>
      <c r="K1950" s="261"/>
      <c r="L1950" s="261"/>
      <c r="M1950" s="261"/>
    </row>
    <row r="1951" spans="5:13">
      <c r="E1951" s="261"/>
      <c r="F1951" s="261"/>
      <c r="G1951" s="261"/>
      <c r="H1951" s="261"/>
      <c r="I1951" s="261"/>
      <c r="J1951" s="261"/>
      <c r="K1951" s="261"/>
      <c r="L1951" s="261"/>
      <c r="M1951" s="261"/>
    </row>
    <row r="1952" spans="5:13">
      <c r="E1952" s="261"/>
      <c r="F1952" s="261"/>
      <c r="G1952" s="261"/>
      <c r="H1952" s="261"/>
      <c r="I1952" s="261"/>
      <c r="J1952" s="261"/>
      <c r="K1952" s="261"/>
      <c r="L1952" s="261"/>
      <c r="M1952" s="261"/>
    </row>
    <row r="1953" spans="5:13">
      <c r="E1953" s="261"/>
      <c r="F1953" s="261"/>
      <c r="G1953" s="261"/>
      <c r="H1953" s="261"/>
      <c r="I1953" s="261"/>
      <c r="J1953" s="261"/>
      <c r="K1953" s="261"/>
      <c r="L1953" s="261"/>
      <c r="M1953" s="261"/>
    </row>
    <row r="1954" spans="5:13">
      <c r="E1954" s="261"/>
      <c r="F1954" s="261"/>
      <c r="G1954" s="261"/>
      <c r="H1954" s="261"/>
      <c r="I1954" s="261"/>
      <c r="J1954" s="261"/>
      <c r="K1954" s="261"/>
      <c r="L1954" s="261"/>
      <c r="M1954" s="261"/>
    </row>
    <row r="1955" spans="5:13">
      <c r="E1955" s="261"/>
      <c r="F1955" s="261"/>
      <c r="G1955" s="261"/>
      <c r="H1955" s="261"/>
      <c r="I1955" s="261"/>
      <c r="J1955" s="261"/>
      <c r="K1955" s="261"/>
      <c r="L1955" s="261"/>
      <c r="M1955" s="261"/>
    </row>
    <row r="1956" spans="5:13">
      <c r="E1956" s="261"/>
      <c r="F1956" s="261"/>
      <c r="G1956" s="261"/>
      <c r="H1956" s="261"/>
      <c r="I1956" s="261"/>
      <c r="J1956" s="261"/>
      <c r="K1956" s="261"/>
      <c r="L1956" s="261"/>
      <c r="M1956" s="261"/>
    </row>
    <row r="1957" spans="5:13">
      <c r="E1957" s="261"/>
      <c r="F1957" s="261"/>
      <c r="G1957" s="261"/>
      <c r="H1957" s="261"/>
      <c r="I1957" s="261"/>
      <c r="J1957" s="261"/>
      <c r="K1957" s="261"/>
      <c r="L1957" s="261"/>
      <c r="M1957" s="261"/>
    </row>
    <row r="1958" spans="5:13">
      <c r="E1958" s="261"/>
      <c r="F1958" s="261"/>
      <c r="G1958" s="261"/>
      <c r="H1958" s="261"/>
      <c r="I1958" s="261"/>
      <c r="J1958" s="261"/>
      <c r="K1958" s="261"/>
      <c r="L1958" s="261"/>
      <c r="M1958" s="261"/>
    </row>
    <row r="1959" spans="5:13">
      <c r="E1959" s="261"/>
      <c r="F1959" s="261"/>
      <c r="G1959" s="261"/>
      <c r="H1959" s="261"/>
      <c r="I1959" s="261"/>
      <c r="J1959" s="261"/>
      <c r="K1959" s="261"/>
      <c r="L1959" s="261"/>
      <c r="M1959" s="261"/>
    </row>
    <row r="1960" spans="5:13">
      <c r="E1960" s="261"/>
      <c r="F1960" s="261"/>
      <c r="G1960" s="261"/>
      <c r="H1960" s="261"/>
      <c r="I1960" s="261"/>
      <c r="J1960" s="261"/>
      <c r="K1960" s="261"/>
      <c r="L1960" s="261"/>
      <c r="M1960" s="261"/>
    </row>
    <row r="1961" spans="5:13">
      <c r="E1961" s="261"/>
      <c r="F1961" s="261"/>
      <c r="G1961" s="261"/>
      <c r="H1961" s="261"/>
      <c r="I1961" s="261"/>
      <c r="J1961" s="261"/>
      <c r="K1961" s="261"/>
      <c r="L1961" s="261"/>
      <c r="M1961" s="261"/>
    </row>
    <row r="1962" spans="5:13">
      <c r="E1962" s="261"/>
      <c r="F1962" s="261"/>
      <c r="G1962" s="261"/>
      <c r="H1962" s="261"/>
      <c r="I1962" s="261"/>
      <c r="J1962" s="261"/>
      <c r="K1962" s="261"/>
      <c r="L1962" s="261"/>
      <c r="M1962" s="261"/>
    </row>
    <row r="1963" spans="5:13">
      <c r="E1963" s="261"/>
      <c r="F1963" s="261"/>
      <c r="G1963" s="261"/>
      <c r="H1963" s="261"/>
      <c r="I1963" s="261"/>
      <c r="J1963" s="261"/>
      <c r="K1963" s="261"/>
      <c r="L1963" s="261"/>
      <c r="M1963" s="261"/>
    </row>
    <row r="1964" spans="5:13">
      <c r="E1964" s="261"/>
      <c r="F1964" s="261"/>
      <c r="G1964" s="261"/>
      <c r="H1964" s="261"/>
      <c r="I1964" s="261"/>
      <c r="J1964" s="261"/>
      <c r="K1964" s="261"/>
      <c r="L1964" s="261"/>
      <c r="M1964" s="261"/>
    </row>
    <row r="1965" spans="5:13">
      <c r="E1965" s="261"/>
      <c r="F1965" s="261"/>
      <c r="G1965" s="261"/>
      <c r="H1965" s="261"/>
      <c r="I1965" s="261"/>
      <c r="J1965" s="261"/>
      <c r="K1965" s="261"/>
      <c r="L1965" s="261"/>
      <c r="M1965" s="261"/>
    </row>
    <row r="1966" spans="5:13">
      <c r="E1966" s="261"/>
      <c r="F1966" s="261"/>
      <c r="G1966" s="261"/>
      <c r="H1966" s="261"/>
      <c r="I1966" s="261"/>
      <c r="J1966" s="261"/>
      <c r="K1966" s="261"/>
      <c r="L1966" s="261"/>
      <c r="M1966" s="261"/>
    </row>
    <row r="1967" spans="5:13">
      <c r="E1967" s="261"/>
      <c r="F1967" s="261"/>
      <c r="G1967" s="261"/>
      <c r="H1967" s="261"/>
      <c r="I1967" s="261"/>
      <c r="J1967" s="261"/>
      <c r="K1967" s="261"/>
      <c r="L1967" s="261"/>
      <c r="M1967" s="261"/>
    </row>
    <row r="1968" spans="5:13">
      <c r="E1968" s="261"/>
      <c r="F1968" s="261"/>
      <c r="G1968" s="261"/>
      <c r="H1968" s="261"/>
      <c r="I1968" s="261"/>
      <c r="J1968" s="261"/>
      <c r="K1968" s="261"/>
      <c r="L1968" s="261"/>
      <c r="M1968" s="261"/>
    </row>
    <row r="1969" spans="5:13">
      <c r="E1969" s="261"/>
      <c r="F1969" s="261"/>
      <c r="G1969" s="261"/>
      <c r="H1969" s="261"/>
      <c r="I1969" s="261"/>
      <c r="J1969" s="261"/>
      <c r="K1969" s="261"/>
      <c r="L1969" s="261"/>
      <c r="M1969" s="261"/>
    </row>
    <row r="1970" spans="5:13">
      <c r="E1970" s="261"/>
      <c r="F1970" s="261"/>
      <c r="G1970" s="261"/>
      <c r="H1970" s="261"/>
      <c r="I1970" s="261"/>
      <c r="J1970" s="261"/>
      <c r="K1970" s="261"/>
      <c r="L1970" s="261"/>
      <c r="M1970" s="261"/>
    </row>
    <row r="1971" spans="5:13">
      <c r="E1971" s="261"/>
      <c r="F1971" s="261"/>
      <c r="G1971" s="261"/>
      <c r="H1971" s="261"/>
      <c r="I1971" s="261"/>
      <c r="J1971" s="261"/>
      <c r="K1971" s="261"/>
      <c r="L1971" s="261"/>
      <c r="M1971" s="261"/>
    </row>
    <row r="1972" spans="5:13">
      <c r="E1972" s="261"/>
      <c r="F1972" s="261"/>
      <c r="G1972" s="261"/>
      <c r="H1972" s="261"/>
      <c r="I1972" s="261"/>
      <c r="J1972" s="261"/>
      <c r="K1972" s="261"/>
      <c r="L1972" s="261"/>
      <c r="M1972" s="261"/>
    </row>
    <row r="1973" spans="5:13">
      <c r="E1973" s="261"/>
      <c r="F1973" s="261"/>
      <c r="G1973" s="261"/>
      <c r="H1973" s="261"/>
      <c r="I1973" s="261"/>
      <c r="J1973" s="261"/>
      <c r="K1973" s="261"/>
      <c r="L1973" s="261"/>
      <c r="M1973" s="261"/>
    </row>
    <row r="1974" spans="5:13">
      <c r="E1974" s="261"/>
      <c r="F1974" s="261"/>
      <c r="G1974" s="261"/>
      <c r="H1974" s="261"/>
      <c r="I1974" s="261"/>
      <c r="J1974" s="261"/>
      <c r="K1974" s="261"/>
      <c r="L1974" s="261"/>
      <c r="M1974" s="261"/>
    </row>
    <row r="1975" spans="5:13">
      <c r="E1975" s="261"/>
      <c r="F1975" s="261"/>
      <c r="G1975" s="261"/>
      <c r="H1975" s="261"/>
      <c r="I1975" s="261"/>
      <c r="J1975" s="261"/>
      <c r="K1975" s="261"/>
      <c r="L1975" s="261"/>
      <c r="M1975" s="261"/>
    </row>
    <row r="1976" spans="5:13">
      <c r="E1976" s="261"/>
      <c r="F1976" s="261"/>
      <c r="G1976" s="261"/>
      <c r="H1976" s="261"/>
      <c r="I1976" s="261"/>
      <c r="J1976" s="261"/>
      <c r="K1976" s="261"/>
      <c r="L1976" s="261"/>
      <c r="M1976" s="261"/>
    </row>
    <row r="1977" spans="5:13">
      <c r="E1977" s="261"/>
      <c r="F1977" s="261"/>
      <c r="G1977" s="261"/>
      <c r="H1977" s="261"/>
      <c r="I1977" s="261"/>
      <c r="J1977" s="261"/>
      <c r="K1977" s="261"/>
      <c r="L1977" s="261"/>
      <c r="M1977" s="261"/>
    </row>
    <row r="1978" spans="5:13">
      <c r="E1978" s="261"/>
      <c r="F1978" s="261"/>
      <c r="G1978" s="261"/>
      <c r="H1978" s="261"/>
      <c r="I1978" s="261"/>
      <c r="J1978" s="261"/>
      <c r="K1978" s="261"/>
      <c r="L1978" s="261"/>
      <c r="M1978" s="261"/>
    </row>
    <row r="1979" spans="5:13">
      <c r="E1979" s="261"/>
      <c r="F1979" s="261"/>
      <c r="G1979" s="261"/>
      <c r="H1979" s="261"/>
      <c r="I1979" s="261"/>
      <c r="J1979" s="261"/>
      <c r="K1979" s="261"/>
      <c r="L1979" s="261"/>
      <c r="M1979" s="261"/>
    </row>
    <row r="1980" spans="5:13">
      <c r="E1980" s="261"/>
      <c r="F1980" s="261"/>
      <c r="G1980" s="261"/>
      <c r="H1980" s="261"/>
      <c r="I1980" s="261"/>
      <c r="J1980" s="261"/>
      <c r="K1980" s="261"/>
      <c r="L1980" s="261"/>
      <c r="M1980" s="261"/>
    </row>
    <row r="1981" spans="5:13">
      <c r="E1981" s="261"/>
      <c r="F1981" s="261"/>
      <c r="G1981" s="261"/>
      <c r="H1981" s="261"/>
      <c r="I1981" s="261"/>
      <c r="J1981" s="261"/>
      <c r="K1981" s="261"/>
      <c r="L1981" s="261"/>
      <c r="M1981" s="261"/>
    </row>
    <row r="1982" spans="5:13">
      <c r="E1982" s="261"/>
      <c r="F1982" s="261"/>
      <c r="G1982" s="261"/>
      <c r="H1982" s="261"/>
      <c r="I1982" s="261"/>
      <c r="J1982" s="261"/>
      <c r="K1982" s="261"/>
      <c r="L1982" s="261"/>
      <c r="M1982" s="261"/>
    </row>
    <row r="1983" spans="5:13">
      <c r="E1983" s="261"/>
      <c r="F1983" s="261"/>
      <c r="G1983" s="261"/>
      <c r="H1983" s="261"/>
      <c r="I1983" s="261"/>
      <c r="J1983" s="261"/>
      <c r="K1983" s="261"/>
      <c r="L1983" s="261"/>
      <c r="M1983" s="261"/>
    </row>
    <row r="1984" spans="5:13">
      <c r="E1984" s="261"/>
      <c r="F1984" s="261"/>
      <c r="G1984" s="261"/>
      <c r="H1984" s="261"/>
      <c r="I1984" s="261"/>
      <c r="J1984" s="261"/>
      <c r="K1984" s="261"/>
      <c r="L1984" s="261"/>
      <c r="M1984" s="261"/>
    </row>
    <row r="1985" spans="5:13">
      <c r="E1985" s="261"/>
      <c r="F1985" s="261"/>
      <c r="G1985" s="261"/>
      <c r="H1985" s="261"/>
      <c r="I1985" s="261"/>
      <c r="J1985" s="261"/>
      <c r="K1985" s="261"/>
      <c r="L1985" s="261"/>
      <c r="M1985" s="261"/>
    </row>
    <row r="1986" spans="5:13">
      <c r="E1986" s="261"/>
      <c r="F1986" s="261"/>
      <c r="G1986" s="261"/>
      <c r="H1986" s="261"/>
      <c r="I1986" s="261"/>
      <c r="J1986" s="261"/>
      <c r="K1986" s="261"/>
      <c r="L1986" s="261"/>
      <c r="M1986" s="261"/>
    </row>
    <row r="1987" spans="5:13">
      <c r="E1987" s="261"/>
      <c r="F1987" s="261"/>
      <c r="G1987" s="261"/>
      <c r="H1987" s="261"/>
      <c r="I1987" s="261"/>
      <c r="J1987" s="261"/>
      <c r="K1987" s="261"/>
      <c r="L1987" s="261"/>
      <c r="M1987" s="261"/>
    </row>
    <row r="1988" spans="5:13">
      <c r="E1988" s="261"/>
      <c r="F1988" s="261"/>
      <c r="G1988" s="261"/>
      <c r="H1988" s="261"/>
      <c r="I1988" s="261"/>
      <c r="J1988" s="261"/>
      <c r="K1988" s="261"/>
      <c r="L1988" s="261"/>
      <c r="M1988" s="261"/>
    </row>
    <row r="1989" spans="5:13">
      <c r="E1989" s="261"/>
      <c r="F1989" s="261"/>
      <c r="G1989" s="261"/>
      <c r="H1989" s="261"/>
      <c r="I1989" s="261"/>
      <c r="J1989" s="261"/>
      <c r="K1989" s="261"/>
      <c r="L1989" s="261"/>
      <c r="M1989" s="261"/>
    </row>
    <row r="1990" spans="5:13">
      <c r="E1990" s="261"/>
      <c r="F1990" s="261"/>
      <c r="G1990" s="261"/>
      <c r="H1990" s="261"/>
      <c r="I1990" s="261"/>
      <c r="J1990" s="261"/>
      <c r="K1990" s="261"/>
      <c r="L1990" s="261"/>
      <c r="M1990" s="261"/>
    </row>
    <row r="1991" spans="5:13">
      <c r="E1991" s="261"/>
      <c r="F1991" s="261"/>
      <c r="G1991" s="261"/>
      <c r="H1991" s="261"/>
      <c r="I1991" s="261"/>
      <c r="J1991" s="261"/>
      <c r="K1991" s="261"/>
      <c r="L1991" s="261"/>
      <c r="M1991" s="261"/>
    </row>
    <row r="1992" spans="5:13">
      <c r="E1992" s="261"/>
      <c r="F1992" s="261"/>
      <c r="G1992" s="261"/>
      <c r="H1992" s="261"/>
      <c r="I1992" s="261"/>
      <c r="J1992" s="261"/>
      <c r="K1992" s="261"/>
      <c r="L1992" s="261"/>
      <c r="M1992" s="261"/>
    </row>
    <row r="1993" spans="5:13">
      <c r="E1993" s="261"/>
      <c r="F1993" s="261"/>
      <c r="G1993" s="261"/>
      <c r="H1993" s="261"/>
      <c r="I1993" s="261"/>
      <c r="J1993" s="261"/>
      <c r="K1993" s="261"/>
      <c r="L1993" s="261"/>
      <c r="M1993" s="261"/>
    </row>
    <row r="1994" spans="5:13">
      <c r="E1994" s="261"/>
      <c r="F1994" s="261"/>
      <c r="G1994" s="261"/>
      <c r="H1994" s="261"/>
      <c r="I1994" s="261"/>
      <c r="J1994" s="261"/>
      <c r="K1994" s="261"/>
      <c r="L1994" s="261"/>
      <c r="M1994" s="261"/>
    </row>
    <row r="1995" spans="5:13">
      <c r="E1995" s="261"/>
      <c r="F1995" s="261"/>
      <c r="G1995" s="261"/>
      <c r="H1995" s="261"/>
      <c r="I1995" s="261"/>
      <c r="J1995" s="261"/>
      <c r="K1995" s="261"/>
      <c r="L1995" s="261"/>
      <c r="M1995" s="261"/>
    </row>
    <row r="1996" spans="5:13">
      <c r="E1996" s="261"/>
      <c r="F1996" s="261"/>
      <c r="G1996" s="261"/>
      <c r="H1996" s="261"/>
      <c r="I1996" s="261"/>
      <c r="J1996" s="261"/>
      <c r="K1996" s="261"/>
      <c r="L1996" s="261"/>
      <c r="M1996" s="261"/>
    </row>
    <row r="1997" spans="5:13">
      <c r="E1997" s="261"/>
      <c r="F1997" s="261"/>
      <c r="G1997" s="261"/>
      <c r="H1997" s="261"/>
      <c r="I1997" s="261"/>
      <c r="J1997" s="261"/>
      <c r="K1997" s="261"/>
      <c r="L1997" s="261"/>
      <c r="M1997" s="261"/>
    </row>
    <row r="1998" spans="5:13">
      <c r="E1998" s="261"/>
      <c r="F1998" s="261"/>
      <c r="G1998" s="261"/>
      <c r="H1998" s="261"/>
      <c r="I1998" s="261"/>
      <c r="J1998" s="261"/>
      <c r="K1998" s="261"/>
      <c r="L1998" s="261"/>
      <c r="M1998" s="261"/>
    </row>
    <row r="1999" spans="5:13">
      <c r="E1999" s="261"/>
      <c r="F1999" s="261"/>
      <c r="G1999" s="261"/>
      <c r="H1999" s="261"/>
      <c r="I1999" s="261"/>
      <c r="J1999" s="261"/>
      <c r="K1999" s="261"/>
      <c r="L1999" s="261"/>
      <c r="M1999" s="261"/>
    </row>
    <row r="2000" spans="5:13">
      <c r="E2000" s="261"/>
      <c r="F2000" s="261"/>
      <c r="G2000" s="261"/>
      <c r="H2000" s="261"/>
      <c r="I2000" s="261"/>
      <c r="J2000" s="261"/>
      <c r="K2000" s="261"/>
      <c r="L2000" s="261"/>
      <c r="M2000" s="261"/>
    </row>
    <row r="2001" spans="5:13">
      <c r="E2001" s="261"/>
      <c r="F2001" s="261"/>
      <c r="G2001" s="261"/>
      <c r="H2001" s="261"/>
      <c r="I2001" s="261"/>
      <c r="J2001" s="261"/>
      <c r="K2001" s="261"/>
      <c r="L2001" s="261"/>
      <c r="M2001" s="261"/>
    </row>
    <row r="2002" spans="5:13">
      <c r="E2002" s="261"/>
      <c r="F2002" s="261"/>
      <c r="G2002" s="261"/>
      <c r="H2002" s="261"/>
      <c r="I2002" s="261"/>
      <c r="J2002" s="261"/>
      <c r="K2002" s="261"/>
      <c r="L2002" s="261"/>
      <c r="M2002" s="261"/>
    </row>
    <row r="2003" spans="5:13">
      <c r="E2003" s="261"/>
      <c r="F2003" s="261"/>
      <c r="G2003" s="261"/>
      <c r="H2003" s="261"/>
      <c r="I2003" s="261"/>
      <c r="J2003" s="261"/>
      <c r="K2003" s="261"/>
      <c r="L2003" s="261"/>
      <c r="M2003" s="261"/>
    </row>
    <row r="2004" spans="5:13">
      <c r="E2004" s="261"/>
      <c r="F2004" s="261"/>
      <c r="G2004" s="261"/>
      <c r="H2004" s="261"/>
      <c r="I2004" s="261"/>
      <c r="J2004" s="261"/>
      <c r="K2004" s="261"/>
      <c r="L2004" s="261"/>
      <c r="M2004" s="261"/>
    </row>
    <row r="2005" spans="5:13">
      <c r="E2005" s="261"/>
      <c r="F2005" s="261"/>
      <c r="G2005" s="261"/>
      <c r="H2005" s="261"/>
      <c r="I2005" s="261"/>
      <c r="J2005" s="261"/>
      <c r="K2005" s="261"/>
      <c r="L2005" s="261"/>
      <c r="M2005" s="261"/>
    </row>
    <row r="2006" spans="5:13">
      <c r="E2006" s="261"/>
      <c r="F2006" s="261"/>
      <c r="G2006" s="261"/>
      <c r="H2006" s="261"/>
      <c r="I2006" s="261"/>
      <c r="J2006" s="261"/>
      <c r="K2006" s="261"/>
      <c r="L2006" s="261"/>
      <c r="M2006" s="261"/>
    </row>
    <row r="2007" spans="5:13">
      <c r="E2007" s="261"/>
      <c r="F2007" s="261"/>
      <c r="G2007" s="261"/>
      <c r="H2007" s="261"/>
      <c r="I2007" s="261"/>
      <c r="J2007" s="261"/>
      <c r="K2007" s="261"/>
      <c r="L2007" s="261"/>
      <c r="M2007" s="261"/>
    </row>
    <row r="2008" spans="5:13">
      <c r="E2008" s="261"/>
      <c r="F2008" s="261"/>
      <c r="G2008" s="261"/>
      <c r="H2008" s="261"/>
      <c r="I2008" s="261"/>
      <c r="J2008" s="261"/>
      <c r="K2008" s="261"/>
      <c r="L2008" s="261"/>
      <c r="M2008" s="261"/>
    </row>
    <row r="2009" spans="5:13">
      <c r="E2009" s="261"/>
      <c r="F2009" s="261"/>
      <c r="G2009" s="261"/>
      <c r="H2009" s="261"/>
      <c r="I2009" s="261"/>
      <c r="J2009" s="261"/>
      <c r="K2009" s="261"/>
      <c r="L2009" s="261"/>
      <c r="M2009" s="261"/>
    </row>
    <row r="2010" spans="5:13">
      <c r="E2010" s="261"/>
      <c r="F2010" s="261"/>
      <c r="G2010" s="261"/>
      <c r="H2010" s="261"/>
      <c r="I2010" s="261"/>
      <c r="J2010" s="261"/>
      <c r="K2010" s="261"/>
      <c r="L2010" s="261"/>
      <c r="M2010" s="261"/>
    </row>
    <row r="2011" spans="5:13">
      <c r="E2011" s="261"/>
      <c r="F2011" s="261"/>
      <c r="G2011" s="261"/>
      <c r="H2011" s="261"/>
      <c r="I2011" s="261"/>
      <c r="J2011" s="261"/>
      <c r="K2011" s="261"/>
      <c r="L2011" s="261"/>
      <c r="M2011" s="261"/>
    </row>
    <row r="2012" spans="5:13">
      <c r="E2012" s="261"/>
      <c r="F2012" s="261"/>
      <c r="G2012" s="261"/>
      <c r="H2012" s="261"/>
      <c r="I2012" s="261"/>
      <c r="J2012" s="261"/>
      <c r="K2012" s="261"/>
      <c r="L2012" s="261"/>
      <c r="M2012" s="261"/>
    </row>
    <row r="2013" spans="5:13">
      <c r="E2013" s="261"/>
      <c r="F2013" s="261"/>
      <c r="G2013" s="261"/>
      <c r="H2013" s="261"/>
      <c r="I2013" s="261"/>
      <c r="J2013" s="261"/>
      <c r="K2013" s="261"/>
      <c r="L2013" s="261"/>
      <c r="M2013" s="261"/>
    </row>
    <row r="2014" spans="5:13">
      <c r="E2014" s="261"/>
      <c r="F2014" s="261"/>
      <c r="G2014" s="261"/>
      <c r="H2014" s="261"/>
      <c r="I2014" s="261"/>
      <c r="J2014" s="261"/>
      <c r="K2014" s="261"/>
      <c r="L2014" s="261"/>
      <c r="M2014" s="261"/>
    </row>
    <row r="2015" spans="5:13">
      <c r="E2015" s="261"/>
      <c r="F2015" s="261"/>
      <c r="G2015" s="261"/>
      <c r="H2015" s="261"/>
      <c r="I2015" s="261"/>
      <c r="J2015" s="261"/>
      <c r="K2015" s="261"/>
      <c r="L2015" s="261"/>
      <c r="M2015" s="261"/>
    </row>
    <row r="2016" spans="5:13">
      <c r="E2016" s="261"/>
      <c r="F2016" s="261"/>
      <c r="G2016" s="261"/>
      <c r="H2016" s="261"/>
      <c r="I2016" s="261"/>
      <c r="J2016" s="261"/>
      <c r="K2016" s="261"/>
      <c r="L2016" s="261"/>
      <c r="M2016" s="261"/>
    </row>
    <row r="2017" spans="5:13">
      <c r="E2017" s="261"/>
      <c r="F2017" s="261"/>
      <c r="G2017" s="261"/>
      <c r="H2017" s="261"/>
      <c r="I2017" s="261"/>
      <c r="J2017" s="261"/>
      <c r="K2017" s="261"/>
      <c r="L2017" s="261"/>
      <c r="M2017" s="261"/>
    </row>
    <row r="2018" spans="5:13">
      <c r="E2018" s="261"/>
      <c r="F2018" s="261"/>
      <c r="G2018" s="261"/>
      <c r="H2018" s="261"/>
      <c r="I2018" s="261"/>
      <c r="J2018" s="261"/>
      <c r="K2018" s="261"/>
      <c r="L2018" s="261"/>
      <c r="M2018" s="261"/>
    </row>
    <row r="2019" spans="5:13">
      <c r="E2019" s="261"/>
      <c r="F2019" s="261"/>
      <c r="G2019" s="261"/>
      <c r="H2019" s="261"/>
      <c r="I2019" s="261"/>
      <c r="J2019" s="261"/>
      <c r="K2019" s="261"/>
      <c r="L2019" s="261"/>
      <c r="M2019" s="261"/>
    </row>
    <row r="2020" spans="5:13">
      <c r="E2020" s="261"/>
      <c r="F2020" s="261"/>
      <c r="G2020" s="261"/>
      <c r="H2020" s="261"/>
      <c r="I2020" s="261"/>
      <c r="J2020" s="261"/>
      <c r="K2020" s="261"/>
      <c r="L2020" s="261"/>
      <c r="M2020" s="261"/>
    </row>
    <row r="2021" spans="5:13">
      <c r="E2021" s="261"/>
      <c r="F2021" s="261"/>
      <c r="G2021" s="261"/>
      <c r="H2021" s="261"/>
      <c r="I2021" s="261"/>
      <c r="J2021" s="261"/>
      <c r="K2021" s="261"/>
      <c r="L2021" s="261"/>
      <c r="M2021" s="261"/>
    </row>
    <row r="2022" spans="5:13">
      <c r="E2022" s="261"/>
      <c r="F2022" s="261"/>
      <c r="G2022" s="261"/>
      <c r="H2022" s="261"/>
      <c r="I2022" s="261"/>
      <c r="J2022" s="261"/>
      <c r="K2022" s="261"/>
      <c r="L2022" s="261"/>
      <c r="M2022" s="261"/>
    </row>
    <row r="2023" spans="5:13">
      <c r="E2023" s="261"/>
      <c r="F2023" s="261"/>
      <c r="G2023" s="261"/>
      <c r="H2023" s="261"/>
      <c r="I2023" s="261"/>
      <c r="J2023" s="261"/>
      <c r="K2023" s="261"/>
      <c r="L2023" s="261"/>
      <c r="M2023" s="261"/>
    </row>
    <row r="2024" spans="5:13">
      <c r="E2024" s="261"/>
      <c r="F2024" s="261"/>
      <c r="G2024" s="261"/>
      <c r="H2024" s="261"/>
      <c r="I2024" s="261"/>
      <c r="J2024" s="261"/>
      <c r="K2024" s="261"/>
      <c r="L2024" s="261"/>
      <c r="M2024" s="261"/>
    </row>
    <row r="2025" spans="5:13">
      <c r="E2025" s="261"/>
      <c r="F2025" s="261"/>
      <c r="G2025" s="261"/>
      <c r="H2025" s="261"/>
      <c r="I2025" s="261"/>
      <c r="J2025" s="261"/>
      <c r="K2025" s="261"/>
      <c r="L2025" s="261"/>
      <c r="M2025" s="261"/>
    </row>
    <row r="2026" spans="5:13">
      <c r="E2026" s="261"/>
      <c r="F2026" s="261"/>
      <c r="G2026" s="261"/>
      <c r="H2026" s="261"/>
      <c r="I2026" s="261"/>
      <c r="J2026" s="261"/>
      <c r="K2026" s="261"/>
      <c r="L2026" s="261"/>
      <c r="M2026" s="261"/>
    </row>
    <row r="2027" spans="5:13">
      <c r="E2027" s="261"/>
      <c r="F2027" s="261"/>
      <c r="G2027" s="261"/>
      <c r="H2027" s="261"/>
      <c r="I2027" s="261"/>
      <c r="J2027" s="261"/>
      <c r="K2027" s="261"/>
      <c r="L2027" s="261"/>
      <c r="M2027" s="261"/>
    </row>
    <row r="2028" spans="5:13">
      <c r="E2028" s="261"/>
      <c r="F2028" s="261"/>
      <c r="G2028" s="261"/>
      <c r="H2028" s="261"/>
      <c r="I2028" s="261"/>
      <c r="J2028" s="261"/>
      <c r="K2028" s="261"/>
      <c r="L2028" s="261"/>
      <c r="M2028" s="261"/>
    </row>
    <row r="2029" spans="5:13">
      <c r="E2029" s="261"/>
      <c r="F2029" s="261"/>
      <c r="G2029" s="261"/>
      <c r="H2029" s="261"/>
      <c r="I2029" s="261"/>
      <c r="J2029" s="261"/>
      <c r="K2029" s="261"/>
      <c r="L2029" s="261"/>
      <c r="M2029" s="261"/>
    </row>
    <row r="2030" spans="5:13">
      <c r="E2030" s="261"/>
      <c r="F2030" s="261"/>
      <c r="G2030" s="261"/>
      <c r="H2030" s="261"/>
      <c r="I2030" s="261"/>
      <c r="J2030" s="261"/>
      <c r="K2030" s="261"/>
      <c r="L2030" s="261"/>
      <c r="M2030" s="261"/>
    </row>
    <row r="2031" spans="5:13">
      <c r="E2031" s="261"/>
      <c r="F2031" s="261"/>
      <c r="G2031" s="261"/>
      <c r="H2031" s="261"/>
      <c r="I2031" s="261"/>
      <c r="J2031" s="261"/>
      <c r="K2031" s="261"/>
      <c r="L2031" s="261"/>
      <c r="M2031" s="261"/>
    </row>
    <row r="2032" spans="5:13">
      <c r="E2032" s="261"/>
      <c r="F2032" s="261"/>
      <c r="G2032" s="261"/>
      <c r="H2032" s="261"/>
      <c r="I2032" s="261"/>
      <c r="J2032" s="261"/>
      <c r="K2032" s="261"/>
      <c r="L2032" s="261"/>
      <c r="M2032" s="261"/>
    </row>
    <row r="2033" spans="5:13">
      <c r="E2033" s="261"/>
      <c r="F2033" s="261"/>
      <c r="G2033" s="261"/>
      <c r="H2033" s="261"/>
      <c r="I2033" s="261"/>
      <c r="J2033" s="261"/>
      <c r="K2033" s="261"/>
      <c r="L2033" s="261"/>
      <c r="M2033" s="261"/>
    </row>
    <row r="2034" spans="5:13">
      <c r="E2034" s="261"/>
      <c r="F2034" s="261"/>
      <c r="G2034" s="261"/>
      <c r="H2034" s="261"/>
      <c r="I2034" s="261"/>
      <c r="J2034" s="261"/>
      <c r="K2034" s="261"/>
      <c r="L2034" s="261"/>
      <c r="M2034" s="261"/>
    </row>
    <row r="2035" spans="5:13">
      <c r="E2035" s="261"/>
      <c r="F2035" s="261"/>
      <c r="G2035" s="261"/>
      <c r="H2035" s="261"/>
      <c r="I2035" s="261"/>
      <c r="J2035" s="261"/>
      <c r="K2035" s="261"/>
      <c r="L2035" s="261"/>
      <c r="M2035" s="261"/>
    </row>
    <row r="2036" spans="5:13">
      <c r="E2036" s="261"/>
      <c r="F2036" s="261"/>
      <c r="G2036" s="261"/>
      <c r="H2036" s="261"/>
      <c r="I2036" s="261"/>
      <c r="J2036" s="261"/>
      <c r="K2036" s="261"/>
      <c r="L2036" s="261"/>
      <c r="M2036" s="261"/>
    </row>
    <row r="2037" spans="5:13">
      <c r="E2037" s="261"/>
      <c r="F2037" s="261"/>
      <c r="G2037" s="261"/>
      <c r="H2037" s="261"/>
      <c r="I2037" s="261"/>
      <c r="J2037" s="261"/>
      <c r="K2037" s="261"/>
      <c r="L2037" s="261"/>
      <c r="M2037" s="261"/>
    </row>
    <row r="2038" spans="5:13">
      <c r="E2038" s="261"/>
      <c r="F2038" s="261"/>
      <c r="G2038" s="261"/>
      <c r="H2038" s="261"/>
      <c r="I2038" s="261"/>
      <c r="J2038" s="261"/>
      <c r="K2038" s="261"/>
      <c r="L2038" s="261"/>
      <c r="M2038" s="261"/>
    </row>
    <row r="2039" spans="5:13">
      <c r="E2039" s="261"/>
      <c r="F2039" s="261"/>
      <c r="G2039" s="261"/>
      <c r="H2039" s="261"/>
      <c r="I2039" s="261"/>
      <c r="J2039" s="261"/>
      <c r="K2039" s="261"/>
      <c r="L2039" s="261"/>
      <c r="M2039" s="261"/>
    </row>
    <row r="2040" spans="5:13">
      <c r="E2040" s="261"/>
      <c r="F2040" s="261"/>
      <c r="G2040" s="261"/>
      <c r="H2040" s="261"/>
      <c r="I2040" s="261"/>
      <c r="J2040" s="261"/>
      <c r="K2040" s="261"/>
      <c r="L2040" s="261"/>
      <c r="M2040" s="261"/>
    </row>
    <row r="2041" spans="5:13">
      <c r="E2041" s="261"/>
      <c r="F2041" s="261"/>
      <c r="G2041" s="261"/>
      <c r="H2041" s="261"/>
      <c r="I2041" s="261"/>
      <c r="J2041" s="261"/>
      <c r="K2041" s="261"/>
      <c r="L2041" s="261"/>
      <c r="M2041" s="261"/>
    </row>
    <row r="2042" spans="5:13">
      <c r="E2042" s="261"/>
      <c r="F2042" s="261"/>
      <c r="G2042" s="261"/>
      <c r="H2042" s="261"/>
      <c r="I2042" s="261"/>
      <c r="J2042" s="261"/>
      <c r="K2042" s="261"/>
      <c r="L2042" s="261"/>
      <c r="M2042" s="261"/>
    </row>
    <row r="2043" spans="5:13">
      <c r="E2043" s="261"/>
      <c r="F2043" s="261"/>
      <c r="G2043" s="261"/>
      <c r="H2043" s="261"/>
      <c r="I2043" s="261"/>
      <c r="J2043" s="261"/>
      <c r="K2043" s="261"/>
      <c r="L2043" s="261"/>
      <c r="M2043" s="261"/>
    </row>
    <row r="2044" spans="5:13">
      <c r="E2044" s="261"/>
      <c r="F2044" s="261"/>
      <c r="G2044" s="261"/>
      <c r="H2044" s="261"/>
      <c r="I2044" s="261"/>
      <c r="J2044" s="261"/>
      <c r="K2044" s="261"/>
      <c r="L2044" s="261"/>
      <c r="M2044" s="261"/>
    </row>
    <row r="2045" spans="5:13">
      <c r="E2045" s="261"/>
      <c r="F2045" s="261"/>
      <c r="G2045" s="261"/>
      <c r="H2045" s="261"/>
      <c r="I2045" s="261"/>
      <c r="J2045" s="261"/>
      <c r="K2045" s="261"/>
      <c r="L2045" s="261"/>
      <c r="M2045" s="261"/>
    </row>
    <row r="2046" spans="5:13">
      <c r="E2046" s="261"/>
      <c r="F2046" s="261"/>
      <c r="G2046" s="261"/>
      <c r="H2046" s="261"/>
      <c r="I2046" s="261"/>
      <c r="J2046" s="261"/>
      <c r="K2046" s="261"/>
      <c r="L2046" s="261"/>
      <c r="M2046" s="261"/>
    </row>
    <row r="2047" spans="5:13">
      <c r="E2047" s="261"/>
      <c r="F2047" s="261"/>
      <c r="G2047" s="261"/>
      <c r="H2047" s="261"/>
      <c r="I2047" s="261"/>
      <c r="J2047" s="261"/>
      <c r="K2047" s="261"/>
      <c r="L2047" s="261"/>
      <c r="M2047" s="261"/>
    </row>
    <row r="2048" spans="5:13">
      <c r="E2048" s="261"/>
      <c r="F2048" s="261"/>
      <c r="G2048" s="261"/>
      <c r="H2048" s="261"/>
      <c r="I2048" s="261"/>
      <c r="J2048" s="261"/>
      <c r="K2048" s="261"/>
      <c r="L2048" s="261"/>
      <c r="M2048" s="261"/>
    </row>
    <row r="2049" spans="5:13">
      <c r="E2049" s="261"/>
      <c r="F2049" s="261"/>
      <c r="G2049" s="261"/>
      <c r="H2049" s="261"/>
      <c r="I2049" s="261"/>
      <c r="J2049" s="261"/>
      <c r="K2049" s="261"/>
      <c r="L2049" s="261"/>
      <c r="M2049" s="261"/>
    </row>
    <row r="2050" spans="5:13">
      <c r="E2050" s="261"/>
      <c r="F2050" s="261"/>
      <c r="G2050" s="261"/>
      <c r="H2050" s="261"/>
      <c r="I2050" s="261"/>
      <c r="J2050" s="261"/>
      <c r="K2050" s="261"/>
      <c r="L2050" s="261"/>
      <c r="M2050" s="261"/>
    </row>
    <row r="2051" spans="5:13">
      <c r="E2051" s="261"/>
      <c r="F2051" s="261"/>
      <c r="G2051" s="261"/>
      <c r="H2051" s="261"/>
      <c r="I2051" s="261"/>
      <c r="J2051" s="261"/>
      <c r="K2051" s="261"/>
      <c r="L2051" s="261"/>
      <c r="M2051" s="261"/>
    </row>
    <row r="2052" spans="5:13">
      <c r="E2052" s="261"/>
      <c r="F2052" s="261"/>
      <c r="G2052" s="261"/>
      <c r="H2052" s="261"/>
      <c r="I2052" s="261"/>
      <c r="J2052" s="261"/>
      <c r="K2052" s="261"/>
      <c r="L2052" s="261"/>
      <c r="M2052" s="261"/>
    </row>
    <row r="2053" spans="5:13">
      <c r="E2053" s="261"/>
      <c r="F2053" s="261"/>
      <c r="G2053" s="261"/>
      <c r="H2053" s="261"/>
      <c r="I2053" s="261"/>
      <c r="J2053" s="261"/>
      <c r="K2053" s="261"/>
      <c r="L2053" s="261"/>
      <c r="M2053" s="261"/>
    </row>
    <row r="2054" spans="5:13">
      <c r="E2054" s="261"/>
      <c r="F2054" s="261"/>
      <c r="G2054" s="261"/>
      <c r="H2054" s="261"/>
      <c r="I2054" s="261"/>
      <c r="J2054" s="261"/>
      <c r="K2054" s="261"/>
      <c r="L2054" s="261"/>
      <c r="M2054" s="261"/>
    </row>
    <row r="2055" spans="5:13">
      <c r="E2055" s="261"/>
      <c r="F2055" s="261"/>
      <c r="G2055" s="261"/>
      <c r="H2055" s="261"/>
      <c r="I2055" s="261"/>
      <c r="J2055" s="261"/>
      <c r="K2055" s="261"/>
      <c r="L2055" s="261"/>
      <c r="M2055" s="261"/>
    </row>
    <row r="2056" spans="5:13">
      <c r="E2056" s="261"/>
      <c r="F2056" s="261"/>
      <c r="G2056" s="261"/>
      <c r="H2056" s="261"/>
      <c r="I2056" s="261"/>
      <c r="J2056" s="261"/>
      <c r="K2056" s="261"/>
      <c r="L2056" s="261"/>
      <c r="M2056" s="261"/>
    </row>
    <row r="2057" spans="5:13">
      <c r="E2057" s="261"/>
      <c r="F2057" s="261"/>
      <c r="G2057" s="261"/>
      <c r="H2057" s="261"/>
      <c r="I2057" s="261"/>
      <c r="J2057" s="261"/>
      <c r="K2057" s="261"/>
      <c r="L2057" s="261"/>
      <c r="M2057" s="261"/>
    </row>
    <row r="2058" spans="5:13">
      <c r="E2058" s="261"/>
      <c r="F2058" s="261"/>
      <c r="G2058" s="261"/>
      <c r="H2058" s="261"/>
      <c r="I2058" s="261"/>
      <c r="J2058" s="261"/>
      <c r="K2058" s="261"/>
      <c r="L2058" s="261"/>
      <c r="M2058" s="261"/>
    </row>
    <row r="2059" spans="5:13">
      <c r="E2059" s="261"/>
      <c r="F2059" s="261"/>
      <c r="G2059" s="261"/>
      <c r="H2059" s="261"/>
      <c r="I2059" s="261"/>
      <c r="J2059" s="261"/>
      <c r="K2059" s="261"/>
      <c r="L2059" s="261"/>
      <c r="M2059" s="261"/>
    </row>
    <row r="2060" spans="5:13">
      <c r="E2060" s="261"/>
      <c r="F2060" s="261"/>
      <c r="G2060" s="261"/>
      <c r="H2060" s="261"/>
      <c r="I2060" s="261"/>
      <c r="J2060" s="261"/>
      <c r="K2060" s="261"/>
      <c r="L2060" s="261"/>
      <c r="M2060" s="261"/>
    </row>
    <row r="2061" spans="5:13">
      <c r="E2061" s="261"/>
      <c r="F2061" s="261"/>
      <c r="G2061" s="261"/>
      <c r="H2061" s="261"/>
      <c r="I2061" s="261"/>
      <c r="J2061" s="261"/>
      <c r="K2061" s="261"/>
      <c r="L2061" s="261"/>
      <c r="M2061" s="261"/>
    </row>
    <row r="2062" spans="5:13">
      <c r="E2062" s="261"/>
      <c r="F2062" s="261"/>
      <c r="G2062" s="261"/>
      <c r="H2062" s="261"/>
      <c r="I2062" s="261"/>
      <c r="J2062" s="261"/>
      <c r="K2062" s="261"/>
      <c r="L2062" s="261"/>
      <c r="M2062" s="261"/>
    </row>
    <row r="2063" spans="5:13">
      <c r="E2063" s="261"/>
      <c r="F2063" s="261"/>
      <c r="G2063" s="261"/>
      <c r="H2063" s="261"/>
      <c r="I2063" s="261"/>
      <c r="J2063" s="261"/>
      <c r="K2063" s="261"/>
      <c r="L2063" s="261"/>
      <c r="M2063" s="261"/>
    </row>
    <row r="2064" spans="5:13">
      <c r="E2064" s="261"/>
      <c r="F2064" s="261"/>
      <c r="G2064" s="261"/>
      <c r="H2064" s="261"/>
      <c r="I2064" s="261"/>
      <c r="J2064" s="261"/>
      <c r="K2064" s="261"/>
      <c r="L2064" s="261"/>
      <c r="M2064" s="261"/>
    </row>
    <row r="2065" spans="5:13">
      <c r="E2065" s="261"/>
      <c r="F2065" s="261"/>
      <c r="G2065" s="261"/>
      <c r="H2065" s="261"/>
      <c r="I2065" s="261"/>
      <c r="J2065" s="261"/>
      <c r="K2065" s="261"/>
      <c r="L2065" s="261"/>
      <c r="M2065" s="261"/>
    </row>
    <row r="2066" spans="5:13">
      <c r="E2066" s="261"/>
      <c r="F2066" s="261"/>
      <c r="G2066" s="261"/>
      <c r="H2066" s="261"/>
      <c r="I2066" s="261"/>
      <c r="J2066" s="261"/>
      <c r="K2066" s="261"/>
      <c r="L2066" s="261"/>
      <c r="M2066" s="261"/>
    </row>
    <row r="2067" spans="5:13">
      <c r="E2067" s="261"/>
      <c r="F2067" s="261"/>
      <c r="G2067" s="261"/>
      <c r="H2067" s="261"/>
      <c r="I2067" s="261"/>
      <c r="J2067" s="261"/>
      <c r="K2067" s="261"/>
      <c r="L2067" s="261"/>
      <c r="M2067" s="261"/>
    </row>
    <row r="2068" spans="5:13">
      <c r="E2068" s="261"/>
      <c r="F2068" s="261"/>
      <c r="G2068" s="261"/>
      <c r="H2068" s="261"/>
      <c r="I2068" s="261"/>
      <c r="J2068" s="261"/>
      <c r="K2068" s="261"/>
      <c r="L2068" s="261"/>
      <c r="M2068" s="261"/>
    </row>
    <row r="2069" spans="5:13">
      <c r="E2069" s="261"/>
      <c r="F2069" s="261"/>
      <c r="G2069" s="261"/>
      <c r="H2069" s="261"/>
      <c r="I2069" s="261"/>
      <c r="J2069" s="261"/>
      <c r="K2069" s="261"/>
      <c r="L2069" s="261"/>
      <c r="M2069" s="261"/>
    </row>
    <row r="2070" spans="5:13">
      <c r="E2070" s="261"/>
      <c r="F2070" s="261"/>
      <c r="G2070" s="261"/>
      <c r="H2070" s="261"/>
      <c r="I2070" s="261"/>
      <c r="J2070" s="261"/>
      <c r="K2070" s="261"/>
      <c r="L2070" s="261"/>
      <c r="M2070" s="261"/>
    </row>
    <row r="2071" spans="5:13">
      <c r="E2071" s="261"/>
      <c r="F2071" s="261"/>
      <c r="G2071" s="261"/>
      <c r="H2071" s="261"/>
      <c r="I2071" s="261"/>
      <c r="J2071" s="261"/>
      <c r="K2071" s="261"/>
      <c r="L2071" s="261"/>
      <c r="M2071" s="261"/>
    </row>
    <row r="2072" spans="5:13">
      <c r="E2072" s="261"/>
      <c r="F2072" s="261"/>
      <c r="G2072" s="261"/>
      <c r="H2072" s="261"/>
      <c r="I2072" s="261"/>
      <c r="J2072" s="261"/>
      <c r="K2072" s="261"/>
      <c r="L2072" s="261"/>
      <c r="M2072" s="261"/>
    </row>
    <row r="2073" spans="5:13">
      <c r="E2073" s="261"/>
      <c r="F2073" s="261"/>
      <c r="G2073" s="261"/>
      <c r="H2073" s="261"/>
      <c r="I2073" s="261"/>
      <c r="J2073" s="261"/>
      <c r="K2073" s="261"/>
      <c r="L2073" s="261"/>
      <c r="M2073" s="261"/>
    </row>
    <row r="2074" spans="5:13">
      <c r="E2074" s="261"/>
      <c r="F2074" s="261"/>
      <c r="G2074" s="261"/>
      <c r="H2074" s="261"/>
      <c r="I2074" s="261"/>
      <c r="J2074" s="261"/>
      <c r="K2074" s="261"/>
      <c r="L2074" s="261"/>
      <c r="M2074" s="261"/>
    </row>
    <row r="2075" spans="5:13">
      <c r="E2075" s="261"/>
      <c r="F2075" s="261"/>
      <c r="G2075" s="261"/>
      <c r="H2075" s="261"/>
      <c r="I2075" s="261"/>
      <c r="J2075" s="261"/>
      <c r="K2075" s="261"/>
      <c r="L2075" s="261"/>
      <c r="M2075" s="261"/>
    </row>
    <row r="2076" spans="5:13">
      <c r="E2076" s="261"/>
      <c r="F2076" s="261"/>
      <c r="G2076" s="261"/>
      <c r="H2076" s="261"/>
      <c r="I2076" s="261"/>
      <c r="J2076" s="261"/>
      <c r="K2076" s="261"/>
      <c r="L2076" s="261"/>
      <c r="M2076" s="261"/>
    </row>
    <row r="2077" spans="5:13">
      <c r="E2077" s="261"/>
      <c r="F2077" s="261"/>
      <c r="G2077" s="261"/>
      <c r="H2077" s="261"/>
      <c r="I2077" s="261"/>
      <c r="J2077" s="261"/>
      <c r="K2077" s="261"/>
      <c r="L2077" s="261"/>
      <c r="M2077" s="261"/>
    </row>
    <row r="2078" spans="5:13">
      <c r="E2078" s="261"/>
      <c r="F2078" s="261"/>
      <c r="G2078" s="261"/>
      <c r="H2078" s="261"/>
      <c r="I2078" s="261"/>
      <c r="J2078" s="261"/>
      <c r="K2078" s="261"/>
      <c r="L2078" s="261"/>
      <c r="M2078" s="261"/>
    </row>
    <row r="2079" spans="5:13">
      <c r="E2079" s="261"/>
      <c r="F2079" s="261"/>
      <c r="G2079" s="261"/>
      <c r="H2079" s="261"/>
      <c r="I2079" s="261"/>
      <c r="J2079" s="261"/>
      <c r="K2079" s="261"/>
      <c r="L2079" s="261"/>
      <c r="M2079" s="261"/>
    </row>
    <row r="2080" spans="5:13">
      <c r="E2080" s="261"/>
      <c r="F2080" s="261"/>
      <c r="G2080" s="261"/>
      <c r="H2080" s="261"/>
      <c r="I2080" s="261"/>
      <c r="J2080" s="261"/>
      <c r="K2080" s="261"/>
      <c r="L2080" s="261"/>
      <c r="M2080" s="261"/>
    </row>
    <row r="2081" spans="5:13">
      <c r="E2081" s="261"/>
      <c r="F2081" s="261"/>
      <c r="G2081" s="261"/>
      <c r="H2081" s="261"/>
      <c r="I2081" s="261"/>
      <c r="J2081" s="261"/>
      <c r="K2081" s="261"/>
      <c r="L2081" s="261"/>
      <c r="M2081" s="261"/>
    </row>
    <row r="2082" spans="5:13">
      <c r="E2082" s="261"/>
      <c r="F2082" s="261"/>
      <c r="G2082" s="261"/>
      <c r="H2082" s="261"/>
      <c r="I2082" s="261"/>
      <c r="J2082" s="261"/>
      <c r="K2082" s="261"/>
      <c r="L2082" s="261"/>
      <c r="M2082" s="261"/>
    </row>
    <row r="2083" spans="5:13">
      <c r="E2083" s="261"/>
      <c r="F2083" s="261"/>
      <c r="G2083" s="261"/>
      <c r="H2083" s="261"/>
      <c r="I2083" s="261"/>
      <c r="J2083" s="261"/>
      <c r="K2083" s="261"/>
      <c r="L2083" s="261"/>
      <c r="M2083" s="261"/>
    </row>
    <row r="2084" spans="5:13">
      <c r="E2084" s="261"/>
      <c r="F2084" s="261"/>
      <c r="G2084" s="261"/>
      <c r="H2084" s="261"/>
      <c r="I2084" s="261"/>
      <c r="J2084" s="261"/>
      <c r="K2084" s="261"/>
      <c r="L2084" s="261"/>
      <c r="M2084" s="261"/>
    </row>
    <row r="2085" spans="5:13">
      <c r="E2085" s="261"/>
      <c r="F2085" s="261"/>
      <c r="G2085" s="261"/>
      <c r="H2085" s="261"/>
      <c r="I2085" s="261"/>
      <c r="J2085" s="261"/>
      <c r="K2085" s="261"/>
      <c r="L2085" s="261"/>
      <c r="M2085" s="261"/>
    </row>
    <row r="2086" spans="5:13">
      <c r="E2086" s="261"/>
      <c r="F2086" s="261"/>
      <c r="G2086" s="261"/>
      <c r="H2086" s="261"/>
      <c r="I2086" s="261"/>
      <c r="J2086" s="261"/>
      <c r="K2086" s="261"/>
      <c r="L2086" s="261"/>
      <c r="M2086" s="261"/>
    </row>
    <row r="2087" spans="5:13">
      <c r="E2087" s="261"/>
      <c r="F2087" s="261"/>
      <c r="G2087" s="261"/>
      <c r="H2087" s="261"/>
      <c r="I2087" s="261"/>
      <c r="J2087" s="261"/>
      <c r="K2087" s="261"/>
      <c r="L2087" s="261"/>
      <c r="M2087" s="261"/>
    </row>
    <row r="2088" spans="5:13">
      <c r="E2088" s="261"/>
      <c r="F2088" s="261"/>
      <c r="G2088" s="261"/>
      <c r="H2088" s="261"/>
      <c r="I2088" s="261"/>
      <c r="J2088" s="261"/>
      <c r="K2088" s="261"/>
      <c r="L2088" s="261"/>
      <c r="M2088" s="261"/>
    </row>
    <row r="2089" spans="5:13">
      <c r="E2089" s="261"/>
      <c r="F2089" s="261"/>
      <c r="G2089" s="261"/>
      <c r="H2089" s="261"/>
      <c r="I2089" s="261"/>
      <c r="J2089" s="261"/>
      <c r="K2089" s="261"/>
      <c r="L2089" s="261"/>
      <c r="M2089" s="261"/>
    </row>
    <row r="2090" spans="5:13">
      <c r="E2090" s="261"/>
      <c r="F2090" s="261"/>
      <c r="G2090" s="261"/>
      <c r="H2090" s="261"/>
      <c r="I2090" s="261"/>
      <c r="J2090" s="261"/>
      <c r="K2090" s="261"/>
      <c r="L2090" s="261"/>
      <c r="M2090" s="261"/>
    </row>
    <row r="2091" spans="5:13">
      <c r="E2091" s="261"/>
      <c r="F2091" s="261"/>
      <c r="G2091" s="261"/>
      <c r="H2091" s="261"/>
      <c r="I2091" s="261"/>
      <c r="J2091" s="261"/>
      <c r="K2091" s="261"/>
      <c r="L2091" s="261"/>
      <c r="M2091" s="261"/>
    </row>
    <row r="2092" spans="5:13">
      <c r="E2092" s="261"/>
      <c r="F2092" s="261"/>
      <c r="G2092" s="261"/>
      <c r="H2092" s="261"/>
      <c r="I2092" s="261"/>
      <c r="J2092" s="261"/>
      <c r="K2092" s="261"/>
      <c r="L2092" s="261"/>
      <c r="M2092" s="261"/>
    </row>
    <row r="2093" spans="5:13">
      <c r="E2093" s="261"/>
      <c r="F2093" s="261"/>
      <c r="G2093" s="261"/>
      <c r="H2093" s="261"/>
      <c r="I2093" s="261"/>
      <c r="J2093" s="261"/>
      <c r="K2093" s="261"/>
      <c r="L2093" s="261"/>
      <c r="M2093" s="261"/>
    </row>
    <row r="2094" spans="5:13">
      <c r="E2094" s="261"/>
      <c r="F2094" s="261"/>
      <c r="G2094" s="261"/>
      <c r="H2094" s="261"/>
      <c r="I2094" s="261"/>
      <c r="J2094" s="261"/>
      <c r="K2094" s="261"/>
      <c r="L2094" s="261"/>
      <c r="M2094" s="261"/>
    </row>
    <row r="2095" spans="5:13">
      <c r="E2095" s="261"/>
      <c r="F2095" s="261"/>
      <c r="G2095" s="261"/>
      <c r="H2095" s="261"/>
      <c r="I2095" s="261"/>
      <c r="J2095" s="261"/>
      <c r="K2095" s="261"/>
      <c r="L2095" s="261"/>
      <c r="M2095" s="261"/>
    </row>
    <row r="2096" spans="5:13">
      <c r="E2096" s="261"/>
      <c r="F2096" s="261"/>
      <c r="G2096" s="261"/>
      <c r="H2096" s="261"/>
      <c r="I2096" s="261"/>
      <c r="J2096" s="261"/>
      <c r="K2096" s="261"/>
      <c r="L2096" s="261"/>
      <c r="M2096" s="261"/>
    </row>
    <row r="2097" spans="5:13">
      <c r="E2097" s="261"/>
      <c r="F2097" s="261"/>
      <c r="G2097" s="261"/>
      <c r="H2097" s="261"/>
      <c r="I2097" s="261"/>
      <c r="J2097" s="261"/>
      <c r="K2097" s="261"/>
      <c r="L2097" s="261"/>
      <c r="M2097" s="261"/>
    </row>
    <row r="2098" spans="5:13">
      <c r="E2098" s="261"/>
      <c r="F2098" s="261"/>
      <c r="G2098" s="261"/>
      <c r="H2098" s="261"/>
      <c r="I2098" s="261"/>
      <c r="J2098" s="261"/>
      <c r="K2098" s="261"/>
      <c r="L2098" s="261"/>
      <c r="M2098" s="261"/>
    </row>
    <row r="2099" spans="5:13">
      <c r="E2099" s="261"/>
      <c r="F2099" s="261"/>
      <c r="G2099" s="261"/>
      <c r="H2099" s="261"/>
      <c r="I2099" s="261"/>
      <c r="J2099" s="261"/>
      <c r="K2099" s="261"/>
      <c r="L2099" s="261"/>
      <c r="M2099" s="261"/>
    </row>
    <row r="2100" spans="5:13">
      <c r="E2100" s="261"/>
      <c r="F2100" s="261"/>
      <c r="G2100" s="261"/>
      <c r="H2100" s="261"/>
      <c r="I2100" s="261"/>
      <c r="J2100" s="261"/>
      <c r="K2100" s="261"/>
      <c r="L2100" s="261"/>
      <c r="M2100" s="261"/>
    </row>
    <row r="2101" spans="5:13">
      <c r="E2101" s="261"/>
      <c r="F2101" s="261"/>
      <c r="G2101" s="261"/>
      <c r="H2101" s="261"/>
      <c r="I2101" s="261"/>
      <c r="J2101" s="261"/>
      <c r="K2101" s="261"/>
      <c r="L2101" s="261"/>
      <c r="M2101" s="261"/>
    </row>
    <row r="2102" spans="5:13">
      <c r="E2102" s="261"/>
      <c r="F2102" s="261"/>
      <c r="G2102" s="261"/>
      <c r="H2102" s="261"/>
      <c r="I2102" s="261"/>
      <c r="J2102" s="261"/>
      <c r="K2102" s="261"/>
      <c r="L2102" s="261"/>
      <c r="M2102" s="261"/>
    </row>
    <row r="2103" spans="5:13">
      <c r="E2103" s="261"/>
      <c r="F2103" s="261"/>
      <c r="G2103" s="261"/>
      <c r="H2103" s="261"/>
      <c r="I2103" s="261"/>
      <c r="J2103" s="261"/>
      <c r="K2103" s="261"/>
      <c r="L2103" s="261"/>
      <c r="M2103" s="261"/>
    </row>
    <row r="2104" spans="5:13">
      <c r="E2104" s="261"/>
      <c r="F2104" s="261"/>
      <c r="G2104" s="261"/>
      <c r="H2104" s="261"/>
      <c r="I2104" s="261"/>
      <c r="J2104" s="261"/>
      <c r="K2104" s="261"/>
      <c r="L2104" s="261"/>
      <c r="M2104" s="261"/>
    </row>
    <row r="2105" spans="5:13">
      <c r="E2105" s="261"/>
      <c r="F2105" s="261"/>
      <c r="G2105" s="261"/>
      <c r="H2105" s="261"/>
      <c r="I2105" s="261"/>
      <c r="J2105" s="261"/>
      <c r="K2105" s="261"/>
      <c r="L2105" s="261"/>
      <c r="M2105" s="261"/>
    </row>
    <row r="2106" spans="5:13">
      <c r="E2106" s="261"/>
      <c r="F2106" s="261"/>
      <c r="G2106" s="261"/>
      <c r="H2106" s="261"/>
      <c r="I2106" s="261"/>
      <c r="J2106" s="261"/>
      <c r="K2106" s="261"/>
      <c r="L2106" s="261"/>
      <c r="M2106" s="261"/>
    </row>
    <row r="2107" spans="5:13">
      <c r="E2107" s="261"/>
      <c r="F2107" s="261"/>
      <c r="G2107" s="261"/>
      <c r="H2107" s="261"/>
      <c r="I2107" s="261"/>
      <c r="J2107" s="261"/>
      <c r="K2107" s="261"/>
      <c r="L2107" s="261"/>
      <c r="M2107" s="261"/>
    </row>
    <row r="2108" spans="5:13">
      <c r="E2108" s="261"/>
      <c r="F2108" s="261"/>
      <c r="G2108" s="261"/>
      <c r="H2108" s="261"/>
      <c r="I2108" s="261"/>
      <c r="J2108" s="261"/>
      <c r="K2108" s="261"/>
      <c r="L2108" s="261"/>
      <c r="M2108" s="261"/>
    </row>
    <row r="2109" spans="5:13">
      <c r="E2109" s="261"/>
      <c r="F2109" s="261"/>
      <c r="G2109" s="261"/>
      <c r="H2109" s="261"/>
      <c r="I2109" s="261"/>
      <c r="J2109" s="261"/>
      <c r="K2109" s="261"/>
      <c r="L2109" s="261"/>
      <c r="M2109" s="261"/>
    </row>
    <row r="2110" spans="5:13">
      <c r="E2110" s="261"/>
      <c r="F2110" s="261"/>
      <c r="G2110" s="261"/>
      <c r="H2110" s="261"/>
      <c r="I2110" s="261"/>
      <c r="J2110" s="261"/>
      <c r="K2110" s="261"/>
      <c r="L2110" s="261"/>
      <c r="M2110" s="261"/>
    </row>
    <row r="2111" spans="5:13">
      <c r="E2111" s="261"/>
      <c r="F2111" s="261"/>
      <c r="G2111" s="261"/>
      <c r="H2111" s="261"/>
      <c r="I2111" s="261"/>
      <c r="J2111" s="261"/>
      <c r="K2111" s="261"/>
      <c r="L2111" s="261"/>
      <c r="M2111" s="261"/>
    </row>
    <row r="2112" spans="5:13">
      <c r="E2112" s="261"/>
      <c r="F2112" s="261"/>
      <c r="G2112" s="261"/>
      <c r="H2112" s="261"/>
      <c r="I2112" s="261"/>
      <c r="J2112" s="261"/>
      <c r="K2112" s="261"/>
      <c r="L2112" s="261"/>
      <c r="M2112" s="261"/>
    </row>
    <row r="2113" spans="5:13">
      <c r="E2113" s="261"/>
      <c r="F2113" s="261"/>
      <c r="G2113" s="261"/>
      <c r="H2113" s="261"/>
      <c r="I2113" s="261"/>
      <c r="J2113" s="261"/>
      <c r="K2113" s="261"/>
      <c r="L2113" s="261"/>
      <c r="M2113" s="261"/>
    </row>
    <row r="2114" spans="5:13">
      <c r="E2114" s="261"/>
      <c r="F2114" s="261"/>
      <c r="G2114" s="261"/>
      <c r="H2114" s="261"/>
      <c r="I2114" s="261"/>
      <c r="J2114" s="261"/>
      <c r="K2114" s="261"/>
      <c r="L2114" s="261"/>
      <c r="M2114" s="261"/>
    </row>
    <row r="2115" spans="5:13">
      <c r="E2115" s="261"/>
      <c r="F2115" s="261"/>
      <c r="G2115" s="261"/>
      <c r="H2115" s="261"/>
      <c r="I2115" s="261"/>
      <c r="J2115" s="261"/>
      <c r="K2115" s="261"/>
      <c r="L2115" s="261"/>
      <c r="M2115" s="261"/>
    </row>
    <row r="2116" spans="5:13">
      <c r="E2116" s="261"/>
      <c r="F2116" s="261"/>
      <c r="G2116" s="261"/>
      <c r="H2116" s="261"/>
      <c r="I2116" s="261"/>
      <c r="J2116" s="261"/>
      <c r="K2116" s="261"/>
      <c r="L2116" s="261"/>
      <c r="M2116" s="261"/>
    </row>
    <row r="2117" spans="5:13">
      <c r="E2117" s="261"/>
      <c r="F2117" s="261"/>
      <c r="G2117" s="261"/>
      <c r="H2117" s="261"/>
      <c r="I2117" s="261"/>
      <c r="J2117" s="261"/>
      <c r="K2117" s="261"/>
      <c r="L2117" s="261"/>
      <c r="M2117" s="261"/>
    </row>
    <row r="2118" spans="5:13">
      <c r="E2118" s="261"/>
      <c r="F2118" s="261"/>
      <c r="G2118" s="261"/>
      <c r="H2118" s="261"/>
      <c r="I2118" s="261"/>
      <c r="J2118" s="261"/>
      <c r="K2118" s="261"/>
      <c r="L2118" s="261"/>
      <c r="M2118" s="261"/>
    </row>
    <row r="2119" spans="5:13">
      <c r="E2119" s="261"/>
      <c r="F2119" s="261"/>
      <c r="G2119" s="261"/>
      <c r="H2119" s="261"/>
      <c r="I2119" s="261"/>
      <c r="J2119" s="261"/>
      <c r="K2119" s="261"/>
      <c r="L2119" s="261"/>
      <c r="M2119" s="261"/>
    </row>
    <row r="2120" spans="5:13">
      <c r="E2120" s="261"/>
      <c r="F2120" s="261"/>
      <c r="G2120" s="261"/>
      <c r="H2120" s="261"/>
      <c r="I2120" s="261"/>
      <c r="J2120" s="261"/>
      <c r="K2120" s="261"/>
      <c r="L2120" s="261"/>
      <c r="M2120" s="261"/>
    </row>
    <row r="2121" spans="5:13">
      <c r="E2121" s="261"/>
      <c r="F2121" s="261"/>
      <c r="G2121" s="261"/>
      <c r="H2121" s="261"/>
      <c r="I2121" s="261"/>
      <c r="J2121" s="261"/>
      <c r="K2121" s="261"/>
      <c r="L2121" s="261"/>
      <c r="M2121" s="261"/>
    </row>
    <row r="2122" spans="5:13">
      <c r="E2122" s="261"/>
      <c r="F2122" s="261"/>
      <c r="G2122" s="261"/>
      <c r="H2122" s="261"/>
      <c r="I2122" s="261"/>
      <c r="J2122" s="261"/>
      <c r="K2122" s="261"/>
      <c r="L2122" s="261"/>
      <c r="M2122" s="261"/>
    </row>
    <row r="2123" spans="5:13">
      <c r="E2123" s="261"/>
      <c r="F2123" s="261"/>
      <c r="G2123" s="261"/>
      <c r="H2123" s="261"/>
      <c r="I2123" s="261"/>
      <c r="J2123" s="261"/>
      <c r="K2123" s="261"/>
      <c r="L2123" s="261"/>
      <c r="M2123" s="261"/>
    </row>
    <row r="2124" spans="5:13">
      <c r="E2124" s="261"/>
      <c r="F2124" s="261"/>
      <c r="G2124" s="261"/>
      <c r="H2124" s="261"/>
      <c r="I2124" s="261"/>
      <c r="J2124" s="261"/>
      <c r="K2124" s="261"/>
      <c r="L2124" s="261"/>
      <c r="M2124" s="261"/>
    </row>
    <row r="2125" spans="5:13">
      <c r="E2125" s="261"/>
      <c r="F2125" s="261"/>
      <c r="G2125" s="261"/>
      <c r="H2125" s="261"/>
      <c r="I2125" s="261"/>
      <c r="J2125" s="261"/>
      <c r="K2125" s="261"/>
      <c r="L2125" s="261"/>
      <c r="M2125" s="261"/>
    </row>
    <row r="2126" spans="5:13">
      <c r="E2126" s="261"/>
      <c r="F2126" s="261"/>
      <c r="G2126" s="261"/>
      <c r="H2126" s="261"/>
      <c r="I2126" s="261"/>
      <c r="J2126" s="261"/>
      <c r="K2126" s="261"/>
      <c r="L2126" s="261"/>
      <c r="M2126" s="261"/>
    </row>
    <row r="2127" spans="5:13">
      <c r="E2127" s="261"/>
      <c r="F2127" s="261"/>
      <c r="G2127" s="261"/>
      <c r="H2127" s="261"/>
      <c r="I2127" s="261"/>
      <c r="J2127" s="261"/>
      <c r="K2127" s="261"/>
      <c r="L2127" s="261"/>
      <c r="M2127" s="261"/>
    </row>
    <row r="2128" spans="5:13">
      <c r="E2128" s="261"/>
      <c r="F2128" s="261"/>
      <c r="G2128" s="261"/>
      <c r="H2128" s="261"/>
      <c r="I2128" s="261"/>
      <c r="J2128" s="261"/>
      <c r="K2128" s="261"/>
      <c r="L2128" s="261"/>
      <c r="M2128" s="261"/>
    </row>
    <row r="2129" spans="5:13">
      <c r="E2129" s="261"/>
      <c r="F2129" s="261"/>
      <c r="G2129" s="261"/>
      <c r="H2129" s="261"/>
      <c r="I2129" s="261"/>
      <c r="J2129" s="261"/>
      <c r="K2129" s="261"/>
      <c r="L2129" s="261"/>
      <c r="M2129" s="261"/>
    </row>
    <row r="2130" spans="5:13">
      <c r="E2130" s="261"/>
      <c r="F2130" s="261"/>
      <c r="G2130" s="261"/>
      <c r="H2130" s="261"/>
      <c r="I2130" s="261"/>
      <c r="J2130" s="261"/>
      <c r="K2130" s="261"/>
      <c r="L2130" s="261"/>
      <c r="M2130" s="261"/>
    </row>
    <row r="2131" spans="5:13">
      <c r="E2131" s="261"/>
      <c r="F2131" s="261"/>
      <c r="G2131" s="261"/>
      <c r="H2131" s="261"/>
      <c r="I2131" s="261"/>
      <c r="J2131" s="261"/>
      <c r="K2131" s="261"/>
      <c r="L2131" s="261"/>
      <c r="M2131" s="261"/>
    </row>
    <row r="2132" spans="5:13">
      <c r="E2132" s="261"/>
      <c r="F2132" s="261"/>
      <c r="G2132" s="261"/>
      <c r="H2132" s="261"/>
      <c r="I2132" s="261"/>
      <c r="J2132" s="261"/>
      <c r="K2132" s="261"/>
      <c r="L2132" s="261"/>
      <c r="M2132" s="261"/>
    </row>
    <row r="2133" spans="5:13">
      <c r="E2133" s="261"/>
      <c r="F2133" s="261"/>
      <c r="G2133" s="261"/>
      <c r="H2133" s="261"/>
      <c r="I2133" s="261"/>
      <c r="J2133" s="261"/>
      <c r="K2133" s="261"/>
      <c r="L2133" s="261"/>
      <c r="M2133" s="261"/>
    </row>
    <row r="2134" spans="5:13">
      <c r="E2134" s="261"/>
      <c r="F2134" s="261"/>
      <c r="G2134" s="261"/>
      <c r="H2134" s="261"/>
      <c r="I2134" s="261"/>
      <c r="J2134" s="261"/>
      <c r="K2134" s="261"/>
      <c r="L2134" s="261"/>
      <c r="M2134" s="261"/>
    </row>
    <row r="2135" spans="5:13">
      <c r="E2135" s="261"/>
      <c r="F2135" s="261"/>
      <c r="G2135" s="261"/>
      <c r="H2135" s="261"/>
      <c r="I2135" s="261"/>
      <c r="J2135" s="261"/>
      <c r="K2135" s="261"/>
      <c r="L2135" s="261"/>
      <c r="M2135" s="261"/>
    </row>
    <row r="2136" spans="5:13">
      <c r="E2136" s="261"/>
      <c r="F2136" s="261"/>
      <c r="G2136" s="261"/>
      <c r="H2136" s="261"/>
      <c r="I2136" s="261"/>
      <c r="J2136" s="261"/>
      <c r="K2136" s="261"/>
      <c r="L2136" s="261"/>
      <c r="M2136" s="261"/>
    </row>
    <row r="2137" spans="5:13">
      <c r="E2137" s="261"/>
      <c r="F2137" s="261"/>
      <c r="G2137" s="261"/>
      <c r="H2137" s="261"/>
      <c r="I2137" s="261"/>
      <c r="J2137" s="261"/>
      <c r="K2137" s="261"/>
      <c r="L2137" s="261"/>
      <c r="M2137" s="261"/>
    </row>
    <row r="2138" spans="5:13">
      <c r="E2138" s="261"/>
      <c r="F2138" s="261"/>
      <c r="G2138" s="261"/>
      <c r="H2138" s="261"/>
      <c r="I2138" s="261"/>
      <c r="J2138" s="261"/>
      <c r="K2138" s="261"/>
      <c r="L2138" s="261"/>
      <c r="M2138" s="261"/>
    </row>
    <row r="2139" spans="5:13">
      <c r="E2139" s="261"/>
      <c r="F2139" s="261"/>
      <c r="G2139" s="261"/>
      <c r="H2139" s="261"/>
      <c r="I2139" s="261"/>
      <c r="J2139" s="261"/>
      <c r="K2139" s="261"/>
      <c r="L2139" s="261"/>
      <c r="M2139" s="261"/>
    </row>
    <row r="2140" spans="5:13">
      <c r="E2140" s="261"/>
      <c r="F2140" s="261"/>
      <c r="G2140" s="261"/>
      <c r="H2140" s="261"/>
      <c r="I2140" s="261"/>
      <c r="J2140" s="261"/>
      <c r="K2140" s="261"/>
      <c r="L2140" s="261"/>
      <c r="M2140" s="261"/>
    </row>
    <row r="2141" spans="5:13">
      <c r="E2141" s="261"/>
      <c r="F2141" s="261"/>
      <c r="G2141" s="261"/>
      <c r="H2141" s="261"/>
      <c r="I2141" s="261"/>
      <c r="J2141" s="261"/>
      <c r="K2141" s="261"/>
      <c r="L2141" s="261"/>
      <c r="M2141" s="261"/>
    </row>
    <row r="2142" spans="5:13">
      <c r="E2142" s="261"/>
      <c r="F2142" s="261"/>
      <c r="G2142" s="261"/>
      <c r="H2142" s="261"/>
      <c r="I2142" s="261"/>
      <c r="J2142" s="261"/>
      <c r="K2142" s="261"/>
      <c r="L2142" s="261"/>
      <c r="M2142" s="261"/>
    </row>
    <row r="2143" spans="5:13">
      <c r="E2143" s="261"/>
      <c r="F2143" s="261"/>
      <c r="G2143" s="261"/>
      <c r="H2143" s="261"/>
      <c r="I2143" s="261"/>
      <c r="J2143" s="261"/>
      <c r="K2143" s="261"/>
      <c r="L2143" s="261"/>
      <c r="M2143" s="261"/>
    </row>
    <row r="2144" spans="5:13">
      <c r="E2144" s="261"/>
      <c r="F2144" s="261"/>
      <c r="G2144" s="261"/>
      <c r="H2144" s="261"/>
      <c r="I2144" s="261"/>
      <c r="J2144" s="261"/>
      <c r="K2144" s="261"/>
      <c r="L2144" s="261"/>
      <c r="M2144" s="261"/>
    </row>
    <row r="2145" spans="5:13">
      <c r="E2145" s="261"/>
      <c r="F2145" s="261"/>
      <c r="G2145" s="261"/>
      <c r="H2145" s="261"/>
      <c r="I2145" s="261"/>
      <c r="J2145" s="261"/>
      <c r="K2145" s="261"/>
      <c r="L2145" s="261"/>
      <c r="M2145" s="261"/>
    </row>
    <row r="2146" spans="5:13">
      <c r="E2146" s="261"/>
      <c r="F2146" s="261"/>
      <c r="G2146" s="261"/>
      <c r="H2146" s="261"/>
      <c r="I2146" s="261"/>
      <c r="J2146" s="261"/>
      <c r="K2146" s="261"/>
      <c r="L2146" s="261"/>
      <c r="M2146" s="261"/>
    </row>
    <row r="2147" spans="5:13">
      <c r="E2147" s="261"/>
      <c r="F2147" s="261"/>
      <c r="G2147" s="261"/>
      <c r="H2147" s="261"/>
      <c r="I2147" s="261"/>
      <c r="J2147" s="261"/>
      <c r="K2147" s="261"/>
      <c r="L2147" s="261"/>
      <c r="M2147" s="261"/>
    </row>
    <row r="2148" spans="5:13">
      <c r="E2148" s="261"/>
      <c r="F2148" s="261"/>
      <c r="G2148" s="261"/>
      <c r="H2148" s="261"/>
      <c r="I2148" s="261"/>
      <c r="J2148" s="261"/>
      <c r="K2148" s="261"/>
      <c r="L2148" s="261"/>
      <c r="M2148" s="261"/>
    </row>
    <row r="2149" spans="5:13">
      <c r="E2149" s="261"/>
      <c r="F2149" s="261"/>
      <c r="G2149" s="261"/>
      <c r="H2149" s="261"/>
      <c r="I2149" s="261"/>
      <c r="J2149" s="261"/>
      <c r="K2149" s="261"/>
      <c r="L2149" s="261"/>
      <c r="M2149" s="261"/>
    </row>
    <row r="2150" spans="5:13">
      <c r="E2150" s="261"/>
      <c r="F2150" s="261"/>
      <c r="G2150" s="261"/>
      <c r="H2150" s="261"/>
      <c r="I2150" s="261"/>
      <c r="J2150" s="261"/>
      <c r="K2150" s="261"/>
      <c r="L2150" s="261"/>
      <c r="M2150" s="261"/>
    </row>
    <row r="2151" spans="5:13">
      <c r="E2151" s="261"/>
      <c r="F2151" s="261"/>
      <c r="G2151" s="261"/>
      <c r="H2151" s="261"/>
      <c r="I2151" s="261"/>
      <c r="J2151" s="261"/>
      <c r="K2151" s="261"/>
      <c r="L2151" s="261"/>
      <c r="M2151" s="261"/>
    </row>
    <row r="2152" spans="5:13">
      <c r="E2152" s="261"/>
      <c r="F2152" s="261"/>
      <c r="G2152" s="261"/>
      <c r="H2152" s="261"/>
      <c r="I2152" s="261"/>
      <c r="J2152" s="261"/>
      <c r="K2152" s="261"/>
      <c r="L2152" s="261"/>
      <c r="M2152" s="261"/>
    </row>
    <row r="2153" spans="5:13">
      <c r="E2153" s="261"/>
      <c r="F2153" s="261"/>
      <c r="G2153" s="261"/>
      <c r="H2153" s="261"/>
      <c r="I2153" s="261"/>
      <c r="J2153" s="261"/>
      <c r="K2153" s="261"/>
      <c r="L2153" s="261"/>
      <c r="M2153" s="261"/>
    </row>
    <row r="2154" spans="5:13">
      <c r="E2154" s="261"/>
      <c r="F2154" s="261"/>
      <c r="G2154" s="261"/>
      <c r="H2154" s="261"/>
      <c r="I2154" s="261"/>
      <c r="J2154" s="261"/>
      <c r="K2154" s="261"/>
      <c r="L2154" s="261"/>
      <c r="M2154" s="261"/>
    </row>
    <row r="2155" spans="5:13">
      <c r="E2155" s="261"/>
      <c r="F2155" s="261"/>
      <c r="G2155" s="261"/>
      <c r="H2155" s="261"/>
      <c r="I2155" s="261"/>
      <c r="J2155" s="261"/>
      <c r="K2155" s="261"/>
      <c r="L2155" s="261"/>
      <c r="M2155" s="261"/>
    </row>
    <row r="2156" spans="5:13">
      <c r="E2156" s="261"/>
      <c r="F2156" s="261"/>
      <c r="G2156" s="261"/>
      <c r="H2156" s="261"/>
      <c r="I2156" s="261"/>
      <c r="J2156" s="261"/>
      <c r="K2156" s="261"/>
      <c r="L2156" s="261"/>
      <c r="M2156" s="261"/>
    </row>
    <row r="2157" spans="5:13">
      <c r="E2157" s="261"/>
      <c r="F2157" s="261"/>
      <c r="G2157" s="261"/>
      <c r="H2157" s="261"/>
      <c r="I2157" s="261"/>
      <c r="J2157" s="261"/>
      <c r="K2157" s="261"/>
      <c r="L2157" s="261"/>
      <c r="M2157" s="261"/>
    </row>
    <row r="2158" spans="5:13">
      <c r="E2158" s="261"/>
      <c r="F2158" s="261"/>
      <c r="G2158" s="261"/>
      <c r="H2158" s="261"/>
      <c r="I2158" s="261"/>
      <c r="J2158" s="261"/>
      <c r="K2158" s="261"/>
      <c r="L2158" s="261"/>
      <c r="M2158" s="261"/>
    </row>
    <row r="2159" spans="5:13">
      <c r="E2159" s="261"/>
      <c r="F2159" s="261"/>
      <c r="G2159" s="261"/>
      <c r="H2159" s="261"/>
      <c r="I2159" s="261"/>
      <c r="J2159" s="261"/>
      <c r="K2159" s="261"/>
      <c r="L2159" s="261"/>
      <c r="M2159" s="261"/>
    </row>
    <row r="2160" spans="5:13">
      <c r="E2160" s="261"/>
      <c r="F2160" s="261"/>
      <c r="G2160" s="261"/>
      <c r="H2160" s="261"/>
      <c r="I2160" s="261"/>
      <c r="J2160" s="261"/>
      <c r="K2160" s="261"/>
      <c r="L2160" s="261"/>
      <c r="M2160" s="261"/>
    </row>
    <row r="2161" spans="5:13">
      <c r="E2161" s="261"/>
      <c r="F2161" s="261"/>
      <c r="G2161" s="261"/>
      <c r="H2161" s="261"/>
      <c r="I2161" s="261"/>
      <c r="J2161" s="261"/>
      <c r="K2161" s="261"/>
      <c r="L2161" s="261"/>
      <c r="M2161" s="261"/>
    </row>
    <row r="2162" spans="5:13">
      <c r="E2162" s="261"/>
      <c r="F2162" s="261"/>
      <c r="G2162" s="261"/>
      <c r="H2162" s="261"/>
      <c r="I2162" s="261"/>
      <c r="J2162" s="261"/>
      <c r="K2162" s="261"/>
      <c r="L2162" s="261"/>
      <c r="M2162" s="261"/>
    </row>
    <row r="2163" spans="5:13">
      <c r="E2163" s="261"/>
      <c r="F2163" s="261"/>
      <c r="G2163" s="261"/>
      <c r="H2163" s="261"/>
      <c r="I2163" s="261"/>
      <c r="J2163" s="261"/>
      <c r="K2163" s="261"/>
      <c r="L2163" s="261"/>
      <c r="M2163" s="261"/>
    </row>
    <row r="2164" spans="5:13">
      <c r="E2164" s="261"/>
      <c r="F2164" s="261"/>
      <c r="G2164" s="261"/>
      <c r="H2164" s="261"/>
      <c r="I2164" s="261"/>
      <c r="J2164" s="261"/>
      <c r="K2164" s="261"/>
      <c r="L2164" s="261"/>
      <c r="M2164" s="261"/>
    </row>
    <row r="2165" spans="5:13">
      <c r="E2165" s="261"/>
      <c r="F2165" s="261"/>
      <c r="G2165" s="261"/>
      <c r="H2165" s="261"/>
      <c r="I2165" s="261"/>
      <c r="J2165" s="261"/>
      <c r="K2165" s="261"/>
      <c r="L2165" s="261"/>
      <c r="M2165" s="261"/>
    </row>
    <row r="2166" spans="5:13">
      <c r="E2166" s="261"/>
      <c r="F2166" s="261"/>
      <c r="G2166" s="261"/>
      <c r="H2166" s="261"/>
      <c r="I2166" s="261"/>
      <c r="J2166" s="261"/>
      <c r="K2166" s="261"/>
      <c r="L2166" s="261"/>
      <c r="M2166" s="261"/>
    </row>
    <row r="2167" spans="5:13">
      <c r="E2167" s="261"/>
      <c r="F2167" s="261"/>
      <c r="G2167" s="261"/>
      <c r="H2167" s="261"/>
      <c r="I2167" s="261"/>
      <c r="J2167" s="261"/>
      <c r="K2167" s="261"/>
      <c r="L2167" s="261"/>
      <c r="M2167" s="261"/>
    </row>
    <row r="2168" spans="5:13">
      <c r="E2168" s="261"/>
      <c r="F2168" s="261"/>
      <c r="G2168" s="261"/>
      <c r="H2168" s="261"/>
      <c r="I2168" s="261"/>
      <c r="J2168" s="261"/>
      <c r="K2168" s="261"/>
      <c r="L2168" s="261"/>
      <c r="M2168" s="261"/>
    </row>
    <row r="2169" spans="5:13">
      <c r="E2169" s="261"/>
      <c r="F2169" s="261"/>
      <c r="G2169" s="261"/>
      <c r="H2169" s="261"/>
      <c r="I2169" s="261"/>
      <c r="J2169" s="261"/>
      <c r="K2169" s="261"/>
      <c r="L2169" s="261"/>
      <c r="M2169" s="261"/>
    </row>
    <row r="2170" spans="5:13">
      <c r="E2170" s="261"/>
      <c r="F2170" s="261"/>
      <c r="G2170" s="261"/>
      <c r="H2170" s="261"/>
      <c r="I2170" s="261"/>
      <c r="J2170" s="261"/>
      <c r="K2170" s="261"/>
      <c r="L2170" s="261"/>
      <c r="M2170" s="261"/>
    </row>
    <row r="2171" spans="5:13">
      <c r="E2171" s="261"/>
      <c r="F2171" s="261"/>
      <c r="G2171" s="261"/>
      <c r="H2171" s="261"/>
      <c r="I2171" s="261"/>
      <c r="J2171" s="261"/>
      <c r="K2171" s="261"/>
      <c r="L2171" s="261"/>
      <c r="M2171" s="261"/>
    </row>
    <row r="2172" spans="5:13">
      <c r="E2172" s="261"/>
      <c r="F2172" s="261"/>
      <c r="G2172" s="261"/>
      <c r="H2172" s="261"/>
      <c r="I2172" s="261"/>
      <c r="J2172" s="261"/>
      <c r="K2172" s="261"/>
      <c r="L2172" s="261"/>
      <c r="M2172" s="261"/>
    </row>
    <row r="2173" spans="5:13">
      <c r="E2173" s="261"/>
      <c r="F2173" s="261"/>
      <c r="G2173" s="261"/>
      <c r="H2173" s="261"/>
      <c r="I2173" s="261"/>
      <c r="J2173" s="261"/>
      <c r="K2173" s="261"/>
      <c r="L2173" s="261"/>
      <c r="M2173" s="261"/>
    </row>
    <row r="2174" spans="5:13">
      <c r="E2174" s="261"/>
      <c r="F2174" s="261"/>
      <c r="G2174" s="261"/>
      <c r="H2174" s="261"/>
      <c r="I2174" s="261"/>
      <c r="J2174" s="261"/>
      <c r="K2174" s="261"/>
      <c r="L2174" s="261"/>
      <c r="M2174" s="261"/>
    </row>
    <row r="2175" spans="5:13">
      <c r="E2175" s="261"/>
      <c r="F2175" s="261"/>
      <c r="G2175" s="261"/>
      <c r="H2175" s="261"/>
      <c r="I2175" s="261"/>
      <c r="J2175" s="261"/>
      <c r="K2175" s="261"/>
      <c r="L2175" s="261"/>
      <c r="M2175" s="261"/>
    </row>
    <row r="2176" spans="5:13">
      <c r="E2176" s="261"/>
      <c r="F2176" s="261"/>
      <c r="G2176" s="261"/>
      <c r="H2176" s="261"/>
      <c r="I2176" s="261"/>
      <c r="J2176" s="261"/>
      <c r="K2176" s="261"/>
      <c r="L2176" s="261"/>
      <c r="M2176" s="261"/>
    </row>
    <row r="2177" spans="5:13">
      <c r="E2177" s="261"/>
      <c r="F2177" s="261"/>
      <c r="G2177" s="261"/>
      <c r="H2177" s="261"/>
      <c r="I2177" s="261"/>
      <c r="J2177" s="261"/>
      <c r="K2177" s="261"/>
      <c r="L2177" s="261"/>
      <c r="M2177" s="261"/>
    </row>
    <row r="2178" spans="5:13">
      <c r="E2178" s="261"/>
      <c r="F2178" s="261"/>
      <c r="G2178" s="261"/>
      <c r="H2178" s="261"/>
      <c r="I2178" s="261"/>
      <c r="J2178" s="261"/>
      <c r="K2178" s="261"/>
      <c r="L2178" s="261"/>
      <c r="M2178" s="261"/>
    </row>
    <row r="2179" spans="5:13">
      <c r="E2179" s="261"/>
      <c r="F2179" s="261"/>
      <c r="G2179" s="261"/>
      <c r="H2179" s="261"/>
      <c r="I2179" s="261"/>
      <c r="J2179" s="261"/>
      <c r="K2179" s="261"/>
      <c r="L2179" s="261"/>
      <c r="M2179" s="261"/>
    </row>
    <row r="2180" spans="5:13">
      <c r="E2180" s="261"/>
      <c r="F2180" s="261"/>
      <c r="G2180" s="261"/>
      <c r="H2180" s="261"/>
      <c r="I2180" s="261"/>
      <c r="J2180" s="261"/>
      <c r="K2180" s="261"/>
      <c r="L2180" s="261"/>
      <c r="M2180" s="261"/>
    </row>
    <row r="2181" spans="5:13">
      <c r="E2181" s="261"/>
      <c r="F2181" s="261"/>
      <c r="G2181" s="261"/>
      <c r="H2181" s="261"/>
      <c r="I2181" s="261"/>
      <c r="J2181" s="261"/>
      <c r="K2181" s="261"/>
      <c r="L2181" s="261"/>
      <c r="M2181" s="261"/>
    </row>
    <row r="2182" spans="5:13">
      <c r="E2182" s="261"/>
      <c r="F2182" s="261"/>
      <c r="G2182" s="261"/>
      <c r="H2182" s="261"/>
      <c r="I2182" s="261"/>
      <c r="J2182" s="261"/>
      <c r="K2182" s="261"/>
      <c r="L2182" s="261"/>
      <c r="M2182" s="261"/>
    </row>
    <row r="2183" spans="5:13">
      <c r="E2183" s="261"/>
      <c r="F2183" s="261"/>
      <c r="G2183" s="261"/>
      <c r="H2183" s="261"/>
      <c r="I2183" s="261"/>
      <c r="J2183" s="261"/>
      <c r="K2183" s="261"/>
      <c r="L2183" s="261"/>
      <c r="M2183" s="261"/>
    </row>
    <row r="2184" spans="5:13">
      <c r="E2184" s="261"/>
      <c r="F2184" s="261"/>
      <c r="G2184" s="261"/>
      <c r="H2184" s="261"/>
      <c r="I2184" s="261"/>
      <c r="J2184" s="261"/>
      <c r="K2184" s="261"/>
      <c r="L2184" s="261"/>
      <c r="M2184" s="261"/>
    </row>
    <row r="2185" spans="5:13">
      <c r="E2185" s="261"/>
      <c r="F2185" s="261"/>
      <c r="G2185" s="261"/>
      <c r="H2185" s="261"/>
      <c r="I2185" s="261"/>
      <c r="J2185" s="261"/>
      <c r="K2185" s="261"/>
      <c r="L2185" s="261"/>
      <c r="M2185" s="261"/>
    </row>
    <row r="2186" spans="5:13">
      <c r="E2186" s="261"/>
      <c r="F2186" s="261"/>
      <c r="G2186" s="261"/>
      <c r="H2186" s="261"/>
      <c r="I2186" s="261"/>
      <c r="J2186" s="261"/>
      <c r="K2186" s="261"/>
      <c r="L2186" s="261"/>
      <c r="M2186" s="261"/>
    </row>
    <row r="2187" spans="5:13">
      <c r="E2187" s="261"/>
      <c r="F2187" s="261"/>
      <c r="G2187" s="261"/>
      <c r="H2187" s="261"/>
      <c r="I2187" s="261"/>
      <c r="J2187" s="261"/>
      <c r="K2187" s="261"/>
      <c r="L2187" s="261"/>
      <c r="M2187" s="261"/>
    </row>
    <row r="2188" spans="5:13">
      <c r="E2188" s="261"/>
      <c r="F2188" s="261"/>
      <c r="G2188" s="261"/>
      <c r="H2188" s="261"/>
      <c r="I2188" s="261"/>
      <c r="J2188" s="261"/>
      <c r="K2188" s="261"/>
      <c r="L2188" s="261"/>
      <c r="M2188" s="261"/>
    </row>
    <row r="2189" spans="5:13">
      <c r="E2189" s="261"/>
      <c r="F2189" s="261"/>
      <c r="G2189" s="261"/>
      <c r="H2189" s="261"/>
      <c r="I2189" s="261"/>
      <c r="J2189" s="261"/>
      <c r="K2189" s="261"/>
      <c r="L2189" s="261"/>
      <c r="M2189" s="261"/>
    </row>
    <row r="2190" spans="5:13">
      <c r="E2190" s="261"/>
      <c r="F2190" s="261"/>
      <c r="G2190" s="261"/>
      <c r="H2190" s="261"/>
      <c r="I2190" s="261"/>
      <c r="J2190" s="261"/>
      <c r="K2190" s="261"/>
      <c r="L2190" s="261"/>
      <c r="M2190" s="261"/>
    </row>
    <row r="2191" spans="5:13">
      <c r="E2191" s="261"/>
      <c r="F2191" s="261"/>
      <c r="G2191" s="261"/>
      <c r="H2191" s="261"/>
      <c r="I2191" s="261"/>
      <c r="J2191" s="261"/>
      <c r="K2191" s="261"/>
      <c r="L2191" s="261"/>
      <c r="M2191" s="261"/>
    </row>
    <row r="2192" spans="5:13">
      <c r="E2192" s="261"/>
      <c r="F2192" s="261"/>
      <c r="G2192" s="261"/>
      <c r="H2192" s="261"/>
      <c r="I2192" s="261"/>
      <c r="J2192" s="261"/>
      <c r="K2192" s="261"/>
      <c r="L2192" s="261"/>
      <c r="M2192" s="261"/>
    </row>
    <row r="2193" spans="5:13">
      <c r="E2193" s="261"/>
      <c r="F2193" s="261"/>
      <c r="G2193" s="261"/>
      <c r="H2193" s="261"/>
      <c r="I2193" s="261"/>
      <c r="J2193" s="261"/>
      <c r="K2193" s="261"/>
      <c r="L2193" s="261"/>
      <c r="M2193" s="261"/>
    </row>
    <row r="2194" spans="5:13">
      <c r="E2194" s="261"/>
      <c r="F2194" s="261"/>
      <c r="G2194" s="261"/>
      <c r="H2194" s="261"/>
      <c r="I2194" s="261"/>
      <c r="J2194" s="261"/>
      <c r="K2194" s="261"/>
      <c r="L2194" s="261"/>
      <c r="M2194" s="261"/>
    </row>
    <row r="2195" spans="5:13">
      <c r="E2195" s="261"/>
      <c r="F2195" s="261"/>
      <c r="G2195" s="261"/>
      <c r="H2195" s="261"/>
      <c r="I2195" s="261"/>
      <c r="J2195" s="261"/>
      <c r="K2195" s="261"/>
      <c r="L2195" s="261"/>
      <c r="M2195" s="261"/>
    </row>
    <row r="2196" spans="5:13">
      <c r="E2196" s="261"/>
      <c r="F2196" s="261"/>
      <c r="G2196" s="261"/>
      <c r="H2196" s="261"/>
      <c r="I2196" s="261"/>
      <c r="J2196" s="261"/>
      <c r="K2196" s="261"/>
      <c r="L2196" s="261"/>
      <c r="M2196" s="261"/>
    </row>
    <row r="2197" spans="5:13">
      <c r="E2197" s="261"/>
      <c r="F2197" s="261"/>
      <c r="G2197" s="261"/>
      <c r="H2197" s="261"/>
      <c r="I2197" s="261"/>
      <c r="J2197" s="261"/>
      <c r="K2197" s="261"/>
      <c r="L2197" s="261"/>
      <c r="M2197" s="261"/>
    </row>
    <row r="2198" spans="5:13">
      <c r="E2198" s="261"/>
      <c r="F2198" s="261"/>
      <c r="G2198" s="261"/>
      <c r="H2198" s="261"/>
      <c r="I2198" s="261"/>
      <c r="J2198" s="261"/>
      <c r="K2198" s="261"/>
      <c r="L2198" s="261"/>
      <c r="M2198" s="261"/>
    </row>
    <row r="2199" spans="5:13">
      <c r="E2199" s="261"/>
      <c r="F2199" s="261"/>
      <c r="G2199" s="261"/>
      <c r="H2199" s="261"/>
      <c r="I2199" s="261"/>
      <c r="J2199" s="261"/>
      <c r="K2199" s="261"/>
      <c r="L2199" s="261"/>
      <c r="M2199" s="261"/>
    </row>
    <row r="2200" spans="5:13">
      <c r="E2200" s="261"/>
      <c r="F2200" s="261"/>
      <c r="G2200" s="261"/>
      <c r="H2200" s="261"/>
      <c r="I2200" s="261"/>
      <c r="J2200" s="261"/>
      <c r="K2200" s="261"/>
      <c r="L2200" s="261"/>
      <c r="M2200" s="261"/>
    </row>
    <row r="2201" spans="5:13">
      <c r="E2201" s="261"/>
      <c r="F2201" s="261"/>
      <c r="G2201" s="261"/>
      <c r="H2201" s="261"/>
      <c r="I2201" s="261"/>
      <c r="J2201" s="261"/>
      <c r="K2201" s="261"/>
      <c r="L2201" s="261"/>
      <c r="M2201" s="261"/>
    </row>
    <row r="2202" spans="5:13">
      <c r="E2202" s="261"/>
      <c r="F2202" s="261"/>
      <c r="G2202" s="261"/>
      <c r="H2202" s="261"/>
      <c r="I2202" s="261"/>
      <c r="J2202" s="261"/>
      <c r="K2202" s="261"/>
      <c r="L2202" s="261"/>
      <c r="M2202" s="261"/>
    </row>
    <row r="2203" spans="5:13">
      <c r="E2203" s="261"/>
      <c r="F2203" s="261"/>
      <c r="G2203" s="261"/>
      <c r="H2203" s="261"/>
      <c r="I2203" s="261"/>
      <c r="J2203" s="261"/>
      <c r="K2203" s="261"/>
      <c r="L2203" s="261"/>
      <c r="M2203" s="261"/>
    </row>
    <row r="2204" spans="5:13">
      <c r="E2204" s="261"/>
      <c r="F2204" s="261"/>
      <c r="G2204" s="261"/>
      <c r="H2204" s="261"/>
      <c r="I2204" s="261"/>
      <c r="J2204" s="261"/>
      <c r="K2204" s="261"/>
      <c r="L2204" s="261"/>
      <c r="M2204" s="261"/>
    </row>
    <row r="2205" spans="5:13">
      <c r="E2205" s="261"/>
      <c r="F2205" s="261"/>
      <c r="G2205" s="261"/>
      <c r="H2205" s="261"/>
      <c r="I2205" s="261"/>
      <c r="J2205" s="261"/>
      <c r="K2205" s="261"/>
      <c r="L2205" s="261"/>
      <c r="M2205" s="261"/>
    </row>
    <row r="2206" spans="5:13">
      <c r="E2206" s="261"/>
      <c r="F2206" s="261"/>
      <c r="G2206" s="261"/>
      <c r="H2206" s="261"/>
      <c r="I2206" s="261"/>
      <c r="J2206" s="261"/>
      <c r="K2206" s="261"/>
      <c r="L2206" s="261"/>
      <c r="M2206" s="261"/>
    </row>
    <row r="2207" spans="5:13">
      <c r="E2207" s="261"/>
      <c r="F2207" s="261"/>
      <c r="G2207" s="261"/>
      <c r="H2207" s="261"/>
      <c r="I2207" s="261"/>
      <c r="J2207" s="261"/>
      <c r="K2207" s="261"/>
      <c r="L2207" s="261"/>
      <c r="M2207" s="261"/>
    </row>
    <row r="2208" spans="5:13">
      <c r="E2208" s="261"/>
      <c r="F2208" s="261"/>
      <c r="G2208" s="261"/>
      <c r="H2208" s="261"/>
      <c r="I2208" s="261"/>
      <c r="J2208" s="261"/>
      <c r="K2208" s="261"/>
      <c r="L2208" s="261"/>
      <c r="M2208" s="261"/>
    </row>
    <row r="2209" spans="5:13">
      <c r="E2209" s="261"/>
      <c r="F2209" s="261"/>
      <c r="G2209" s="261"/>
      <c r="H2209" s="261"/>
      <c r="I2209" s="261"/>
      <c r="J2209" s="261"/>
      <c r="K2209" s="261"/>
      <c r="L2209" s="261"/>
      <c r="M2209" s="261"/>
    </row>
    <row r="2210" spans="5:13">
      <c r="E2210" s="261"/>
      <c r="F2210" s="261"/>
      <c r="G2210" s="261"/>
      <c r="H2210" s="261"/>
      <c r="I2210" s="261"/>
      <c r="J2210" s="261"/>
      <c r="K2210" s="261"/>
      <c r="L2210" s="261"/>
      <c r="M2210" s="261"/>
    </row>
    <row r="2211" spans="5:13">
      <c r="E2211" s="261"/>
      <c r="F2211" s="261"/>
      <c r="G2211" s="261"/>
      <c r="H2211" s="261"/>
      <c r="I2211" s="261"/>
      <c r="J2211" s="261"/>
      <c r="K2211" s="261"/>
      <c r="L2211" s="261"/>
      <c r="M2211" s="261"/>
    </row>
    <row r="2212" spans="5:13">
      <c r="E2212" s="261"/>
      <c r="F2212" s="261"/>
      <c r="G2212" s="261"/>
      <c r="H2212" s="261"/>
      <c r="I2212" s="261"/>
      <c r="J2212" s="261"/>
      <c r="K2212" s="261"/>
      <c r="L2212" s="261"/>
      <c r="M2212" s="261"/>
    </row>
    <row r="2213" spans="5:13">
      <c r="E2213" s="261"/>
      <c r="F2213" s="261"/>
      <c r="G2213" s="261"/>
      <c r="H2213" s="261"/>
      <c r="I2213" s="261"/>
      <c r="J2213" s="261"/>
      <c r="K2213" s="261"/>
      <c r="L2213" s="261"/>
      <c r="M2213" s="261"/>
    </row>
    <row r="2214" spans="5:13">
      <c r="E2214" s="261"/>
      <c r="F2214" s="261"/>
      <c r="G2214" s="261"/>
      <c r="H2214" s="261"/>
      <c r="I2214" s="261"/>
      <c r="J2214" s="261"/>
      <c r="K2214" s="261"/>
      <c r="L2214" s="261"/>
      <c r="M2214" s="261"/>
    </row>
    <row r="2215" spans="5:13">
      <c r="E2215" s="261"/>
      <c r="F2215" s="261"/>
      <c r="G2215" s="261"/>
      <c r="H2215" s="261"/>
      <c r="I2215" s="261"/>
      <c r="J2215" s="261"/>
      <c r="K2215" s="261"/>
      <c r="L2215" s="261"/>
      <c r="M2215" s="261"/>
    </row>
    <row r="2216" spans="5:13">
      <c r="E2216" s="261"/>
      <c r="F2216" s="261"/>
      <c r="G2216" s="261"/>
      <c r="H2216" s="261"/>
      <c r="I2216" s="261"/>
      <c r="J2216" s="261"/>
      <c r="K2216" s="261"/>
      <c r="L2216" s="261"/>
      <c r="M2216" s="261"/>
    </row>
    <row r="2217" spans="5:13">
      <c r="E2217" s="261"/>
      <c r="F2217" s="261"/>
      <c r="G2217" s="261"/>
      <c r="H2217" s="261"/>
      <c r="I2217" s="261"/>
      <c r="J2217" s="261"/>
      <c r="K2217" s="261"/>
      <c r="L2217" s="261"/>
      <c r="M2217" s="261"/>
    </row>
    <row r="2218" spans="5:13">
      <c r="E2218" s="261"/>
      <c r="F2218" s="261"/>
      <c r="G2218" s="261"/>
      <c r="H2218" s="261"/>
      <c r="I2218" s="261"/>
      <c r="J2218" s="261"/>
      <c r="K2218" s="261"/>
      <c r="L2218" s="261"/>
      <c r="M2218" s="261"/>
    </row>
    <row r="2219" spans="5:13">
      <c r="E2219" s="261"/>
      <c r="F2219" s="261"/>
      <c r="G2219" s="261"/>
      <c r="H2219" s="261"/>
      <c r="I2219" s="261"/>
      <c r="J2219" s="261"/>
      <c r="K2219" s="261"/>
      <c r="L2219" s="261"/>
      <c r="M2219" s="261"/>
    </row>
    <row r="2220" spans="5:13">
      <c r="E2220" s="261"/>
      <c r="F2220" s="261"/>
      <c r="G2220" s="261"/>
      <c r="H2220" s="261"/>
      <c r="I2220" s="261"/>
      <c r="J2220" s="261"/>
      <c r="K2220" s="261"/>
      <c r="L2220" s="261"/>
      <c r="M2220" s="261"/>
    </row>
    <row r="2221" spans="5:13">
      <c r="E2221" s="261"/>
      <c r="F2221" s="261"/>
      <c r="G2221" s="261"/>
      <c r="H2221" s="261"/>
      <c r="I2221" s="261"/>
      <c r="J2221" s="261"/>
      <c r="K2221" s="261"/>
      <c r="L2221" s="261"/>
      <c r="M2221" s="261"/>
    </row>
    <row r="2222" spans="5:13">
      <c r="E2222" s="261"/>
      <c r="F2222" s="261"/>
      <c r="G2222" s="261"/>
      <c r="H2222" s="261"/>
      <c r="I2222" s="261"/>
      <c r="J2222" s="261"/>
      <c r="K2222" s="261"/>
      <c r="L2222" s="261"/>
      <c r="M2222" s="261"/>
    </row>
    <row r="2223" spans="5:13">
      <c r="E2223" s="261"/>
      <c r="F2223" s="261"/>
      <c r="G2223" s="261"/>
      <c r="H2223" s="261"/>
      <c r="I2223" s="261"/>
      <c r="J2223" s="261"/>
      <c r="K2223" s="261"/>
      <c r="L2223" s="261"/>
      <c r="M2223" s="261"/>
    </row>
    <row r="2224" spans="5:13">
      <c r="E2224" s="261"/>
      <c r="F2224" s="261"/>
      <c r="G2224" s="261"/>
      <c r="H2224" s="261"/>
      <c r="I2224" s="261"/>
      <c r="J2224" s="261"/>
      <c r="K2224" s="261"/>
      <c r="L2224" s="261"/>
      <c r="M2224" s="261"/>
    </row>
    <row r="2225" spans="5:13">
      <c r="E2225" s="261"/>
      <c r="F2225" s="261"/>
      <c r="G2225" s="261"/>
      <c r="H2225" s="261"/>
      <c r="I2225" s="261"/>
      <c r="J2225" s="261"/>
      <c r="K2225" s="261"/>
      <c r="L2225" s="261"/>
      <c r="M2225" s="261"/>
    </row>
    <row r="2226" spans="5:13">
      <c r="E2226" s="261"/>
      <c r="F2226" s="261"/>
      <c r="G2226" s="261"/>
      <c r="H2226" s="261"/>
      <c r="I2226" s="261"/>
      <c r="J2226" s="261"/>
      <c r="K2226" s="261"/>
      <c r="L2226" s="261"/>
      <c r="M2226" s="261"/>
    </row>
    <row r="2227" spans="5:13">
      <c r="E2227" s="261"/>
      <c r="F2227" s="261"/>
      <c r="G2227" s="261"/>
      <c r="H2227" s="261"/>
      <c r="I2227" s="261"/>
      <c r="J2227" s="261"/>
      <c r="K2227" s="261"/>
      <c r="L2227" s="261"/>
      <c r="M2227" s="261"/>
    </row>
    <row r="2228" spans="5:13">
      <c r="E2228" s="261"/>
      <c r="F2228" s="261"/>
      <c r="G2228" s="261"/>
      <c r="H2228" s="261"/>
      <c r="I2228" s="261"/>
      <c r="J2228" s="261"/>
      <c r="K2228" s="261"/>
      <c r="L2228" s="261"/>
      <c r="M2228" s="261"/>
    </row>
    <row r="2229" spans="5:13">
      <c r="E2229" s="261"/>
      <c r="F2229" s="261"/>
      <c r="G2229" s="261"/>
      <c r="H2229" s="261"/>
      <c r="I2229" s="261"/>
      <c r="J2229" s="261"/>
      <c r="K2229" s="261"/>
      <c r="L2229" s="261"/>
      <c r="M2229" s="261"/>
    </row>
    <row r="2230" spans="5:13">
      <c r="E2230" s="261"/>
      <c r="F2230" s="261"/>
      <c r="G2230" s="261"/>
      <c r="H2230" s="261"/>
      <c r="I2230" s="261"/>
      <c r="J2230" s="261"/>
      <c r="K2230" s="261"/>
      <c r="L2230" s="261"/>
      <c r="M2230" s="261"/>
    </row>
    <row r="2231" spans="5:13">
      <c r="E2231" s="261"/>
      <c r="F2231" s="261"/>
      <c r="G2231" s="261"/>
      <c r="H2231" s="261"/>
      <c r="I2231" s="261"/>
      <c r="J2231" s="261"/>
      <c r="K2231" s="261"/>
      <c r="L2231" s="261"/>
      <c r="M2231" s="261"/>
    </row>
    <row r="2232" spans="5:13">
      <c r="E2232" s="261"/>
      <c r="F2232" s="261"/>
      <c r="G2232" s="261"/>
      <c r="H2232" s="261"/>
      <c r="I2232" s="261"/>
      <c r="J2232" s="261"/>
      <c r="K2232" s="261"/>
      <c r="L2232" s="261"/>
      <c r="M2232" s="261"/>
    </row>
    <row r="2233" spans="5:13">
      <c r="E2233" s="261"/>
      <c r="F2233" s="261"/>
      <c r="G2233" s="261"/>
      <c r="H2233" s="261"/>
      <c r="I2233" s="261"/>
      <c r="J2233" s="261"/>
      <c r="K2233" s="261"/>
      <c r="L2233" s="261"/>
      <c r="M2233" s="261"/>
    </row>
    <row r="2234" spans="5:13">
      <c r="E2234" s="261"/>
      <c r="F2234" s="261"/>
      <c r="G2234" s="261"/>
      <c r="H2234" s="261"/>
      <c r="I2234" s="261"/>
      <c r="J2234" s="261"/>
      <c r="K2234" s="261"/>
      <c r="L2234" s="261"/>
      <c r="M2234" s="261"/>
    </row>
    <row r="2235" spans="5:13">
      <c r="E2235" s="261"/>
      <c r="F2235" s="261"/>
      <c r="G2235" s="261"/>
      <c r="H2235" s="261"/>
      <c r="I2235" s="261"/>
      <c r="J2235" s="261"/>
      <c r="K2235" s="261"/>
      <c r="L2235" s="261"/>
      <c r="M2235" s="261"/>
    </row>
    <row r="2236" spans="5:13">
      <c r="E2236" s="261"/>
      <c r="F2236" s="261"/>
      <c r="G2236" s="261"/>
      <c r="H2236" s="261"/>
      <c r="I2236" s="261"/>
      <c r="J2236" s="261"/>
      <c r="K2236" s="261"/>
      <c r="L2236" s="261"/>
      <c r="M2236" s="261"/>
    </row>
    <row r="2237" spans="5:13">
      <c r="E2237" s="261"/>
      <c r="F2237" s="261"/>
      <c r="G2237" s="261"/>
      <c r="H2237" s="261"/>
      <c r="I2237" s="261"/>
      <c r="J2237" s="261"/>
      <c r="K2237" s="261"/>
      <c r="L2237" s="261"/>
      <c r="M2237" s="261"/>
    </row>
    <row r="2238" spans="5:13">
      <c r="E2238" s="261"/>
      <c r="F2238" s="261"/>
      <c r="G2238" s="261"/>
      <c r="H2238" s="261"/>
      <c r="I2238" s="261"/>
      <c r="J2238" s="261"/>
      <c r="K2238" s="261"/>
      <c r="L2238" s="261"/>
      <c r="M2238" s="261"/>
    </row>
    <row r="2239" spans="5:13">
      <c r="E2239" s="261"/>
      <c r="F2239" s="261"/>
      <c r="G2239" s="261"/>
      <c r="H2239" s="261"/>
      <c r="I2239" s="261"/>
      <c r="J2239" s="261"/>
      <c r="K2239" s="261"/>
      <c r="L2239" s="261"/>
      <c r="M2239" s="261"/>
    </row>
    <row r="2240" spans="5:13">
      <c r="E2240" s="261"/>
      <c r="F2240" s="261"/>
      <c r="G2240" s="261"/>
      <c r="H2240" s="261"/>
      <c r="I2240" s="261"/>
      <c r="J2240" s="261"/>
      <c r="K2240" s="261"/>
      <c r="L2240" s="261"/>
      <c r="M2240" s="261"/>
    </row>
    <row r="2241" spans="5:13">
      <c r="E2241" s="261"/>
      <c r="F2241" s="261"/>
      <c r="G2241" s="261"/>
      <c r="H2241" s="261"/>
      <c r="I2241" s="261"/>
      <c r="J2241" s="261"/>
      <c r="K2241" s="261"/>
      <c r="L2241" s="261"/>
      <c r="M2241" s="261"/>
    </row>
    <row r="2242" spans="5:13">
      <c r="E2242" s="261"/>
      <c r="F2242" s="261"/>
      <c r="G2242" s="261"/>
      <c r="H2242" s="261"/>
      <c r="I2242" s="261"/>
      <c r="J2242" s="261"/>
      <c r="K2242" s="261"/>
      <c r="L2242" s="261"/>
      <c r="M2242" s="261"/>
    </row>
    <row r="2243" spans="5:13">
      <c r="E2243" s="261"/>
      <c r="F2243" s="261"/>
      <c r="G2243" s="261"/>
      <c r="H2243" s="261"/>
      <c r="I2243" s="261"/>
      <c r="J2243" s="261"/>
      <c r="K2243" s="261"/>
      <c r="L2243" s="261"/>
      <c r="M2243" s="261"/>
    </row>
    <row r="2244" spans="5:13">
      <c r="E2244" s="261"/>
      <c r="F2244" s="261"/>
      <c r="G2244" s="261"/>
      <c r="H2244" s="261"/>
      <c r="I2244" s="261"/>
      <c r="J2244" s="261"/>
      <c r="K2244" s="261"/>
      <c r="L2244" s="261"/>
      <c r="M2244" s="261"/>
    </row>
    <row r="2245" spans="5:13">
      <c r="E2245" s="261"/>
      <c r="F2245" s="261"/>
      <c r="G2245" s="261"/>
      <c r="H2245" s="261"/>
      <c r="I2245" s="261"/>
      <c r="J2245" s="261"/>
      <c r="K2245" s="261"/>
      <c r="L2245" s="261"/>
      <c r="M2245" s="261"/>
    </row>
    <row r="2246" spans="5:13">
      <c r="E2246" s="261"/>
      <c r="F2246" s="261"/>
      <c r="G2246" s="261"/>
      <c r="H2246" s="261"/>
      <c r="I2246" s="261"/>
      <c r="J2246" s="261"/>
      <c r="K2246" s="261"/>
      <c r="L2246" s="261"/>
      <c r="M2246" s="261"/>
    </row>
    <row r="2247" spans="5:13">
      <c r="E2247" s="261"/>
      <c r="F2247" s="261"/>
      <c r="G2247" s="261"/>
      <c r="H2247" s="261"/>
      <c r="I2247" s="261"/>
      <c r="J2247" s="261"/>
      <c r="K2247" s="261"/>
      <c r="L2247" s="261"/>
      <c r="M2247" s="261"/>
    </row>
    <row r="2248" spans="5:13">
      <c r="E2248" s="261"/>
      <c r="F2248" s="261"/>
      <c r="G2248" s="261"/>
      <c r="H2248" s="261"/>
      <c r="I2248" s="261"/>
      <c r="J2248" s="261"/>
      <c r="K2248" s="261"/>
      <c r="L2248" s="261"/>
      <c r="M2248" s="261"/>
    </row>
    <row r="2249" spans="5:13">
      <c r="E2249" s="261"/>
      <c r="F2249" s="261"/>
      <c r="G2249" s="261"/>
      <c r="H2249" s="261"/>
      <c r="I2249" s="261"/>
      <c r="J2249" s="261"/>
      <c r="K2249" s="261"/>
      <c r="L2249" s="261"/>
      <c r="M2249" s="261"/>
    </row>
    <row r="2250" spans="5:13">
      <c r="E2250" s="261"/>
      <c r="F2250" s="261"/>
      <c r="G2250" s="261"/>
      <c r="H2250" s="261"/>
      <c r="I2250" s="261"/>
      <c r="J2250" s="261"/>
      <c r="K2250" s="261"/>
      <c r="L2250" s="261"/>
      <c r="M2250" s="261"/>
    </row>
    <row r="2251" spans="5:13">
      <c r="E2251" s="261"/>
      <c r="F2251" s="261"/>
      <c r="G2251" s="261"/>
      <c r="H2251" s="261"/>
      <c r="I2251" s="261"/>
      <c r="J2251" s="261"/>
      <c r="K2251" s="261"/>
      <c r="L2251" s="261"/>
      <c r="M2251" s="261"/>
    </row>
    <row r="2252" spans="5:13">
      <c r="E2252" s="261"/>
      <c r="F2252" s="261"/>
      <c r="G2252" s="261"/>
      <c r="H2252" s="261"/>
      <c r="I2252" s="261"/>
      <c r="J2252" s="261"/>
      <c r="K2252" s="261"/>
      <c r="L2252" s="261"/>
      <c r="M2252" s="261"/>
    </row>
    <row r="2253" spans="5:13">
      <c r="E2253" s="261"/>
      <c r="F2253" s="261"/>
      <c r="G2253" s="261"/>
      <c r="H2253" s="261"/>
      <c r="I2253" s="261"/>
      <c r="J2253" s="261"/>
      <c r="K2253" s="261"/>
      <c r="L2253" s="261"/>
      <c r="M2253" s="261"/>
    </row>
    <row r="2254" spans="5:13">
      <c r="E2254" s="261"/>
      <c r="F2254" s="261"/>
      <c r="G2254" s="261"/>
      <c r="H2254" s="261"/>
      <c r="I2254" s="261"/>
      <c r="J2254" s="261"/>
      <c r="K2254" s="261"/>
      <c r="L2254" s="261"/>
      <c r="M2254" s="261"/>
    </row>
    <row r="2255" spans="5:13">
      <c r="E2255" s="261"/>
      <c r="F2255" s="261"/>
      <c r="G2255" s="261"/>
      <c r="H2255" s="261"/>
      <c r="I2255" s="261"/>
      <c r="J2255" s="261"/>
      <c r="K2255" s="261"/>
      <c r="L2255" s="261"/>
      <c r="M2255" s="261"/>
    </row>
    <row r="2256" spans="5:13">
      <c r="E2256" s="261"/>
      <c r="F2256" s="261"/>
      <c r="G2256" s="261"/>
      <c r="H2256" s="261"/>
      <c r="I2256" s="261"/>
      <c r="J2256" s="261"/>
      <c r="K2256" s="261"/>
      <c r="L2256" s="261"/>
      <c r="M2256" s="261"/>
    </row>
    <row r="2257" spans="5:13">
      <c r="E2257" s="261"/>
      <c r="F2257" s="261"/>
      <c r="G2257" s="261"/>
      <c r="H2257" s="261"/>
      <c r="I2257" s="261"/>
      <c r="J2257" s="261"/>
      <c r="K2257" s="261"/>
      <c r="L2257" s="261"/>
      <c r="M2257" s="261"/>
    </row>
    <row r="2258" spans="5:13">
      <c r="E2258" s="261"/>
      <c r="F2258" s="261"/>
      <c r="G2258" s="261"/>
      <c r="H2258" s="261"/>
      <c r="I2258" s="261"/>
      <c r="J2258" s="261"/>
      <c r="K2258" s="261"/>
      <c r="L2258" s="261"/>
      <c r="M2258" s="261"/>
    </row>
    <row r="2259" spans="5:13">
      <c r="E2259" s="261"/>
      <c r="F2259" s="261"/>
      <c r="G2259" s="261"/>
      <c r="H2259" s="261"/>
      <c r="I2259" s="261"/>
      <c r="J2259" s="261"/>
      <c r="K2259" s="261"/>
      <c r="L2259" s="261"/>
      <c r="M2259" s="261"/>
    </row>
    <row r="2260" spans="5:13">
      <c r="E2260" s="261"/>
      <c r="F2260" s="261"/>
      <c r="G2260" s="261"/>
      <c r="H2260" s="261"/>
      <c r="I2260" s="261"/>
      <c r="J2260" s="261"/>
      <c r="K2260" s="261"/>
      <c r="L2260" s="261"/>
      <c r="M2260" s="261"/>
    </row>
    <row r="2261" spans="5:13">
      <c r="E2261" s="261"/>
      <c r="F2261" s="261"/>
      <c r="G2261" s="261"/>
      <c r="H2261" s="261"/>
      <c r="I2261" s="261"/>
      <c r="J2261" s="261"/>
      <c r="K2261" s="261"/>
      <c r="L2261" s="261"/>
      <c r="M2261" s="261"/>
    </row>
    <row r="2262" spans="5:13">
      <c r="E2262" s="261"/>
      <c r="F2262" s="261"/>
      <c r="G2262" s="261"/>
      <c r="H2262" s="261"/>
      <c r="I2262" s="261"/>
      <c r="J2262" s="261"/>
      <c r="K2262" s="261"/>
      <c r="L2262" s="261"/>
      <c r="M2262" s="261"/>
    </row>
    <row r="2263" spans="5:13">
      <c r="E2263" s="261"/>
      <c r="F2263" s="261"/>
      <c r="G2263" s="261"/>
      <c r="H2263" s="261"/>
      <c r="I2263" s="261"/>
      <c r="J2263" s="261"/>
      <c r="K2263" s="261"/>
      <c r="L2263" s="261"/>
      <c r="M2263" s="261"/>
    </row>
    <row r="2264" spans="5:13">
      <c r="E2264" s="261"/>
      <c r="F2264" s="261"/>
      <c r="G2264" s="261"/>
      <c r="H2264" s="261"/>
      <c r="I2264" s="261"/>
      <c r="J2264" s="261"/>
      <c r="K2264" s="261"/>
      <c r="L2264" s="261"/>
      <c r="M2264" s="261"/>
    </row>
    <row r="2265" spans="5:13">
      <c r="E2265" s="261"/>
      <c r="F2265" s="261"/>
      <c r="G2265" s="261"/>
      <c r="H2265" s="261"/>
      <c r="I2265" s="261"/>
      <c r="J2265" s="261"/>
      <c r="K2265" s="261"/>
      <c r="L2265" s="261"/>
      <c r="M2265" s="261"/>
    </row>
    <row r="2266" spans="5:13">
      <c r="E2266" s="261"/>
      <c r="F2266" s="261"/>
      <c r="G2266" s="261"/>
      <c r="H2266" s="261"/>
      <c r="I2266" s="261"/>
      <c r="J2266" s="261"/>
      <c r="K2266" s="261"/>
      <c r="L2266" s="261"/>
      <c r="M2266" s="261"/>
    </row>
    <row r="2267" spans="5:13">
      <c r="E2267" s="261"/>
      <c r="F2267" s="261"/>
      <c r="G2267" s="261"/>
      <c r="H2267" s="261"/>
      <c r="I2267" s="261"/>
      <c r="J2267" s="261"/>
      <c r="K2267" s="261"/>
      <c r="L2267" s="261"/>
      <c r="M2267" s="261"/>
    </row>
    <row r="2268" spans="5:13">
      <c r="E2268" s="261"/>
      <c r="F2268" s="261"/>
      <c r="G2268" s="261"/>
      <c r="H2268" s="261"/>
      <c r="I2268" s="261"/>
      <c r="J2268" s="261"/>
      <c r="K2268" s="261"/>
      <c r="L2268" s="261"/>
      <c r="M2268" s="261"/>
    </row>
    <row r="2269" spans="5:13">
      <c r="E2269" s="261"/>
      <c r="F2269" s="261"/>
      <c r="G2269" s="261"/>
      <c r="H2269" s="261"/>
      <c r="I2269" s="261"/>
      <c r="J2269" s="261"/>
      <c r="K2269" s="261"/>
      <c r="L2269" s="261"/>
      <c r="M2269" s="261"/>
    </row>
    <row r="2270" spans="5:13">
      <c r="E2270" s="261"/>
      <c r="F2270" s="261"/>
      <c r="G2270" s="261"/>
      <c r="H2270" s="261"/>
      <c r="I2270" s="261"/>
      <c r="J2270" s="261"/>
      <c r="K2270" s="261"/>
      <c r="L2270" s="261"/>
      <c r="M2270" s="261"/>
    </row>
    <row r="2271" spans="5:13">
      <c r="E2271" s="261"/>
      <c r="F2271" s="261"/>
      <c r="G2271" s="261"/>
      <c r="H2271" s="261"/>
      <c r="I2271" s="261"/>
      <c r="J2271" s="261"/>
      <c r="K2271" s="261"/>
      <c r="L2271" s="261"/>
      <c r="M2271" s="261"/>
    </row>
    <row r="2272" spans="5:13">
      <c r="E2272" s="261"/>
      <c r="F2272" s="261"/>
      <c r="G2272" s="261"/>
      <c r="H2272" s="261"/>
      <c r="I2272" s="261"/>
      <c r="J2272" s="261"/>
      <c r="K2272" s="261"/>
      <c r="L2272" s="261"/>
      <c r="M2272" s="261"/>
    </row>
    <row r="2273" spans="5:13">
      <c r="E2273" s="261"/>
      <c r="F2273" s="261"/>
      <c r="G2273" s="261"/>
      <c r="H2273" s="261"/>
      <c r="I2273" s="261"/>
      <c r="J2273" s="261"/>
      <c r="K2273" s="261"/>
      <c r="L2273" s="261"/>
      <c r="M2273" s="261"/>
    </row>
    <row r="2274" spans="5:13">
      <c r="E2274" s="261"/>
      <c r="F2274" s="261"/>
      <c r="G2274" s="261"/>
      <c r="H2274" s="261"/>
      <c r="I2274" s="261"/>
      <c r="J2274" s="261"/>
      <c r="K2274" s="261"/>
      <c r="L2274" s="261"/>
      <c r="M2274" s="261"/>
    </row>
    <row r="2275" spans="5:13">
      <c r="E2275" s="261"/>
      <c r="F2275" s="261"/>
      <c r="G2275" s="261"/>
      <c r="H2275" s="261"/>
      <c r="I2275" s="261"/>
      <c r="J2275" s="261"/>
      <c r="K2275" s="261"/>
      <c r="L2275" s="261"/>
      <c r="M2275" s="261"/>
    </row>
    <row r="2276" spans="5:13">
      <c r="E2276" s="261"/>
      <c r="F2276" s="261"/>
      <c r="G2276" s="261"/>
      <c r="H2276" s="261"/>
      <c r="I2276" s="261"/>
      <c r="J2276" s="261"/>
      <c r="K2276" s="261"/>
      <c r="L2276" s="261"/>
      <c r="M2276" s="261"/>
    </row>
    <row r="2277" spans="5:13">
      <c r="E2277" s="261"/>
      <c r="F2277" s="261"/>
      <c r="G2277" s="261"/>
      <c r="H2277" s="261"/>
      <c r="I2277" s="261"/>
      <c r="J2277" s="261"/>
      <c r="K2277" s="261"/>
      <c r="L2277" s="261"/>
      <c r="M2277" s="261"/>
    </row>
    <row r="2278" spans="5:13">
      <c r="E2278" s="261"/>
      <c r="F2278" s="261"/>
      <c r="G2278" s="261"/>
      <c r="H2278" s="261"/>
      <c r="I2278" s="261"/>
      <c r="J2278" s="261"/>
      <c r="K2278" s="261"/>
      <c r="L2278" s="261"/>
      <c r="M2278" s="261"/>
    </row>
    <row r="2279" spans="5:13">
      <c r="E2279" s="261"/>
      <c r="F2279" s="261"/>
      <c r="G2279" s="261"/>
      <c r="H2279" s="261"/>
      <c r="I2279" s="261"/>
      <c r="J2279" s="261"/>
      <c r="K2279" s="261"/>
      <c r="L2279" s="261"/>
      <c r="M2279" s="261"/>
    </row>
    <row r="2280" spans="5:13">
      <c r="E2280" s="261"/>
      <c r="F2280" s="261"/>
      <c r="G2280" s="261"/>
      <c r="H2280" s="261"/>
      <c r="I2280" s="261"/>
      <c r="J2280" s="261"/>
      <c r="K2280" s="261"/>
      <c r="L2280" s="261"/>
      <c r="M2280" s="261"/>
    </row>
    <row r="2281" spans="5:13">
      <c r="E2281" s="261"/>
      <c r="F2281" s="261"/>
      <c r="G2281" s="261"/>
      <c r="H2281" s="261"/>
      <c r="I2281" s="261"/>
      <c r="J2281" s="261"/>
      <c r="K2281" s="261"/>
      <c r="L2281" s="261"/>
      <c r="M2281" s="261"/>
    </row>
    <row r="2282" spans="5:13">
      <c r="E2282" s="261"/>
      <c r="F2282" s="261"/>
      <c r="G2282" s="261"/>
      <c r="H2282" s="261"/>
      <c r="I2282" s="261"/>
      <c r="J2282" s="261"/>
      <c r="K2282" s="261"/>
      <c r="L2282" s="261"/>
      <c r="M2282" s="261"/>
    </row>
    <row r="2283" spans="5:13">
      <c r="E2283" s="261"/>
      <c r="F2283" s="261"/>
      <c r="G2283" s="261"/>
      <c r="H2283" s="261"/>
      <c r="I2283" s="261"/>
      <c r="J2283" s="261"/>
      <c r="K2283" s="261"/>
      <c r="L2283" s="261"/>
      <c r="M2283" s="261"/>
    </row>
    <row r="2284" spans="5:13">
      <c r="E2284" s="261"/>
      <c r="F2284" s="261"/>
      <c r="G2284" s="261"/>
      <c r="H2284" s="261"/>
      <c r="I2284" s="261"/>
      <c r="J2284" s="261"/>
      <c r="K2284" s="261"/>
      <c r="L2284" s="261"/>
      <c r="M2284" s="261"/>
    </row>
    <row r="2285" spans="5:13">
      <c r="E2285" s="261"/>
      <c r="F2285" s="261"/>
      <c r="G2285" s="261"/>
      <c r="H2285" s="261"/>
      <c r="I2285" s="261"/>
      <c r="J2285" s="261"/>
      <c r="K2285" s="261"/>
      <c r="L2285" s="261"/>
      <c r="M2285" s="261"/>
    </row>
    <row r="2286" spans="5:13">
      <c r="E2286" s="261"/>
      <c r="F2286" s="261"/>
      <c r="G2286" s="261"/>
      <c r="H2286" s="261"/>
      <c r="I2286" s="261"/>
      <c r="J2286" s="261"/>
      <c r="K2286" s="261"/>
      <c r="L2286" s="261"/>
      <c r="M2286" s="261"/>
    </row>
    <row r="2287" spans="5:13">
      <c r="E2287" s="261"/>
      <c r="F2287" s="261"/>
      <c r="G2287" s="261"/>
      <c r="H2287" s="261"/>
      <c r="I2287" s="261"/>
      <c r="J2287" s="261"/>
      <c r="K2287" s="261"/>
      <c r="L2287" s="261"/>
      <c r="M2287" s="261"/>
    </row>
    <row r="2288" spans="5:13">
      <c r="E2288" s="261"/>
      <c r="F2288" s="261"/>
      <c r="G2288" s="261"/>
      <c r="H2288" s="261"/>
      <c r="I2288" s="261"/>
      <c r="J2288" s="261"/>
      <c r="K2288" s="261"/>
      <c r="L2288" s="261"/>
      <c r="M2288" s="261"/>
    </row>
    <row r="2289" spans="5:13">
      <c r="E2289" s="261"/>
      <c r="F2289" s="261"/>
      <c r="G2289" s="261"/>
      <c r="H2289" s="261"/>
      <c r="I2289" s="261"/>
      <c r="J2289" s="261"/>
      <c r="K2289" s="261"/>
      <c r="L2289" s="261"/>
      <c r="M2289" s="261"/>
    </row>
    <row r="2290" spans="5:13">
      <c r="E2290" s="261"/>
      <c r="F2290" s="261"/>
      <c r="G2290" s="261"/>
      <c r="H2290" s="261"/>
      <c r="I2290" s="261"/>
      <c r="J2290" s="261"/>
      <c r="K2290" s="261"/>
      <c r="L2290" s="261"/>
      <c r="M2290" s="261"/>
    </row>
    <row r="2291" spans="5:13">
      <c r="E2291" s="261"/>
      <c r="F2291" s="261"/>
      <c r="G2291" s="261"/>
      <c r="H2291" s="261"/>
      <c r="I2291" s="261"/>
      <c r="J2291" s="261"/>
      <c r="K2291" s="261"/>
      <c r="L2291" s="261"/>
      <c r="M2291" s="261"/>
    </row>
    <row r="2292" spans="5:13">
      <c r="E2292" s="261"/>
      <c r="F2292" s="261"/>
      <c r="G2292" s="261"/>
      <c r="H2292" s="261"/>
      <c r="I2292" s="261"/>
      <c r="J2292" s="261"/>
      <c r="K2292" s="261"/>
      <c r="L2292" s="261"/>
      <c r="M2292" s="261"/>
    </row>
    <row r="2293" spans="5:13">
      <c r="E2293" s="261"/>
      <c r="F2293" s="261"/>
      <c r="G2293" s="261"/>
      <c r="H2293" s="261"/>
      <c r="I2293" s="261"/>
      <c r="J2293" s="261"/>
      <c r="K2293" s="261"/>
      <c r="L2293" s="261"/>
      <c r="M2293" s="261"/>
    </row>
    <row r="2294" spans="5:13">
      <c r="E2294" s="261"/>
      <c r="F2294" s="261"/>
      <c r="G2294" s="261"/>
      <c r="H2294" s="261"/>
      <c r="I2294" s="261"/>
      <c r="J2294" s="261"/>
      <c r="K2294" s="261"/>
      <c r="L2294" s="261"/>
      <c r="M2294" s="261"/>
    </row>
    <row r="2295" spans="5:13">
      <c r="E2295" s="261"/>
      <c r="F2295" s="261"/>
      <c r="G2295" s="261"/>
      <c r="H2295" s="261"/>
      <c r="I2295" s="261"/>
      <c r="J2295" s="261"/>
      <c r="K2295" s="261"/>
      <c r="L2295" s="261"/>
      <c r="M2295" s="261"/>
    </row>
    <row r="2296" spans="5:13">
      <c r="E2296" s="261"/>
      <c r="F2296" s="261"/>
      <c r="G2296" s="261"/>
      <c r="H2296" s="261"/>
      <c r="I2296" s="261"/>
      <c r="J2296" s="261"/>
      <c r="K2296" s="261"/>
      <c r="L2296" s="261"/>
      <c r="M2296" s="261"/>
    </row>
    <row r="2297" spans="5:13">
      <c r="E2297" s="261"/>
      <c r="F2297" s="261"/>
      <c r="G2297" s="261"/>
      <c r="H2297" s="261"/>
      <c r="I2297" s="261"/>
      <c r="J2297" s="261"/>
      <c r="K2297" s="261"/>
      <c r="L2297" s="261"/>
      <c r="M2297" s="261"/>
    </row>
    <row r="2298" spans="5:13">
      <c r="E2298" s="261"/>
      <c r="F2298" s="261"/>
      <c r="G2298" s="261"/>
      <c r="H2298" s="261"/>
      <c r="I2298" s="261"/>
      <c r="J2298" s="261"/>
      <c r="K2298" s="261"/>
      <c r="L2298" s="261"/>
      <c r="M2298" s="261"/>
    </row>
    <row r="2299" spans="5:13">
      <c r="E2299" s="261"/>
      <c r="F2299" s="261"/>
      <c r="G2299" s="261"/>
      <c r="H2299" s="261"/>
      <c r="I2299" s="261"/>
      <c r="J2299" s="261"/>
      <c r="K2299" s="261"/>
      <c r="L2299" s="261"/>
      <c r="M2299" s="261"/>
    </row>
    <row r="2300" spans="5:13">
      <c r="E2300" s="261"/>
      <c r="F2300" s="261"/>
      <c r="G2300" s="261"/>
      <c r="H2300" s="261"/>
      <c r="I2300" s="261"/>
      <c r="J2300" s="261"/>
      <c r="K2300" s="261"/>
      <c r="L2300" s="261"/>
      <c r="M2300" s="261"/>
    </row>
    <row r="2301" spans="5:13">
      <c r="E2301" s="261"/>
      <c r="F2301" s="261"/>
      <c r="G2301" s="261"/>
      <c r="H2301" s="261"/>
      <c r="I2301" s="261"/>
      <c r="J2301" s="261"/>
      <c r="K2301" s="261"/>
      <c r="L2301" s="261"/>
      <c r="M2301" s="261"/>
    </row>
    <row r="2302" spans="5:13">
      <c r="E2302" s="261"/>
      <c r="F2302" s="261"/>
      <c r="G2302" s="261"/>
      <c r="H2302" s="261"/>
      <c r="I2302" s="261"/>
      <c r="J2302" s="261"/>
      <c r="K2302" s="261"/>
      <c r="L2302" s="261"/>
      <c r="M2302" s="261"/>
    </row>
    <row r="2303" spans="5:13">
      <c r="E2303" s="261"/>
      <c r="F2303" s="261"/>
      <c r="G2303" s="261"/>
      <c r="H2303" s="261"/>
      <c r="I2303" s="261"/>
      <c r="J2303" s="261"/>
      <c r="K2303" s="261"/>
      <c r="L2303" s="261"/>
      <c r="M2303" s="261"/>
    </row>
    <row r="2304" spans="5:13">
      <c r="E2304" s="261"/>
      <c r="F2304" s="261"/>
      <c r="G2304" s="261"/>
      <c r="H2304" s="261"/>
      <c r="I2304" s="261"/>
      <c r="J2304" s="261"/>
      <c r="K2304" s="261"/>
      <c r="L2304" s="261"/>
      <c r="M2304" s="261"/>
    </row>
    <row r="2305" spans="5:13">
      <c r="E2305" s="261"/>
      <c r="F2305" s="261"/>
      <c r="G2305" s="261"/>
      <c r="H2305" s="261"/>
      <c r="I2305" s="261"/>
      <c r="J2305" s="261"/>
      <c r="K2305" s="261"/>
      <c r="L2305" s="261"/>
      <c r="M2305" s="261"/>
    </row>
    <row r="2306" spans="5:13">
      <c r="E2306" s="261"/>
      <c r="F2306" s="261"/>
      <c r="G2306" s="261"/>
      <c r="H2306" s="261"/>
      <c r="I2306" s="261"/>
      <c r="J2306" s="261"/>
      <c r="K2306" s="261"/>
      <c r="L2306" s="261"/>
      <c r="M2306" s="261"/>
    </row>
    <row r="2307" spans="5:13">
      <c r="E2307" s="261"/>
      <c r="F2307" s="261"/>
      <c r="G2307" s="261"/>
      <c r="H2307" s="261"/>
      <c r="I2307" s="261"/>
      <c r="J2307" s="261"/>
      <c r="K2307" s="261"/>
      <c r="L2307" s="261"/>
      <c r="M2307" s="261"/>
    </row>
    <row r="2308" spans="5:13">
      <c r="E2308" s="261"/>
      <c r="F2308" s="261"/>
      <c r="G2308" s="261"/>
      <c r="H2308" s="261"/>
      <c r="I2308" s="261"/>
      <c r="J2308" s="261"/>
      <c r="K2308" s="261"/>
      <c r="L2308" s="261"/>
      <c r="M2308" s="261"/>
    </row>
    <row r="2309" spans="5:13">
      <c r="E2309" s="261"/>
      <c r="F2309" s="261"/>
      <c r="G2309" s="261"/>
      <c r="H2309" s="261"/>
      <c r="I2309" s="261"/>
      <c r="J2309" s="261"/>
      <c r="K2309" s="261"/>
      <c r="L2309" s="261"/>
      <c r="M2309" s="261"/>
    </row>
    <row r="2310" spans="5:13">
      <c r="E2310" s="261"/>
      <c r="F2310" s="261"/>
      <c r="G2310" s="261"/>
      <c r="H2310" s="261"/>
      <c r="I2310" s="261"/>
      <c r="J2310" s="261"/>
      <c r="K2310" s="261"/>
      <c r="L2310" s="261"/>
      <c r="M2310" s="261"/>
    </row>
    <row r="2311" spans="5:13">
      <c r="E2311" s="261"/>
      <c r="F2311" s="261"/>
      <c r="G2311" s="261"/>
      <c r="H2311" s="261"/>
      <c r="I2311" s="261"/>
      <c r="J2311" s="261"/>
      <c r="K2311" s="261"/>
      <c r="L2311" s="261"/>
      <c r="M2311" s="261"/>
    </row>
    <row r="2312" spans="5:13">
      <c r="E2312" s="261"/>
      <c r="F2312" s="261"/>
      <c r="G2312" s="261"/>
      <c r="H2312" s="261"/>
      <c r="I2312" s="261"/>
      <c r="J2312" s="261"/>
      <c r="K2312" s="261"/>
      <c r="L2312" s="261"/>
      <c r="M2312" s="261"/>
    </row>
    <row r="2313" spans="5:13">
      <c r="E2313" s="261"/>
      <c r="F2313" s="261"/>
      <c r="G2313" s="261"/>
      <c r="H2313" s="261"/>
      <c r="I2313" s="261"/>
      <c r="J2313" s="261"/>
      <c r="K2313" s="261"/>
      <c r="L2313" s="261"/>
      <c r="M2313" s="261"/>
    </row>
    <row r="2314" spans="5:13">
      <c r="E2314" s="261"/>
      <c r="F2314" s="261"/>
      <c r="G2314" s="261"/>
      <c r="H2314" s="261"/>
      <c r="I2314" s="261"/>
      <c r="J2314" s="261"/>
      <c r="K2314" s="261"/>
      <c r="L2314" s="261"/>
      <c r="M2314" s="261"/>
    </row>
    <row r="2315" spans="5:13">
      <c r="E2315" s="261"/>
      <c r="F2315" s="261"/>
      <c r="G2315" s="261"/>
      <c r="H2315" s="261"/>
      <c r="I2315" s="261"/>
      <c r="J2315" s="261"/>
      <c r="K2315" s="261"/>
      <c r="L2315" s="261"/>
      <c r="M2315" s="261"/>
    </row>
    <row r="2316" spans="5:13">
      <c r="E2316" s="261"/>
      <c r="F2316" s="261"/>
      <c r="G2316" s="261"/>
      <c r="H2316" s="261"/>
      <c r="I2316" s="261"/>
      <c r="J2316" s="261"/>
      <c r="K2316" s="261"/>
      <c r="L2316" s="261"/>
      <c r="M2316" s="261"/>
    </row>
    <row r="2317" spans="5:13">
      <c r="E2317" s="261"/>
      <c r="F2317" s="261"/>
      <c r="G2317" s="261"/>
      <c r="H2317" s="261"/>
      <c r="I2317" s="261"/>
      <c r="J2317" s="261"/>
      <c r="K2317" s="261"/>
      <c r="L2317" s="261"/>
      <c r="M2317" s="261"/>
    </row>
    <row r="2318" spans="5:13">
      <c r="E2318" s="261"/>
      <c r="F2318" s="261"/>
      <c r="G2318" s="261"/>
      <c r="H2318" s="261"/>
      <c r="I2318" s="261"/>
      <c r="J2318" s="261"/>
      <c r="K2318" s="261"/>
      <c r="L2318" s="261"/>
      <c r="M2318" s="261"/>
    </row>
    <row r="2319" spans="5:13">
      <c r="E2319" s="261"/>
      <c r="F2319" s="261"/>
      <c r="G2319" s="261"/>
      <c r="H2319" s="261"/>
      <c r="I2319" s="261"/>
      <c r="J2319" s="261"/>
      <c r="K2319" s="261"/>
      <c r="L2319" s="261"/>
      <c r="M2319" s="261"/>
    </row>
    <row r="2320" spans="5:13">
      <c r="E2320" s="261"/>
      <c r="F2320" s="261"/>
      <c r="G2320" s="261"/>
      <c r="H2320" s="261"/>
      <c r="I2320" s="261"/>
      <c r="J2320" s="261"/>
      <c r="K2320" s="261"/>
      <c r="L2320" s="261"/>
      <c r="M2320" s="261"/>
    </row>
    <row r="2321" spans="5:13">
      <c r="E2321" s="261"/>
      <c r="F2321" s="261"/>
      <c r="G2321" s="261"/>
      <c r="H2321" s="261"/>
      <c r="I2321" s="261"/>
      <c r="J2321" s="261"/>
      <c r="K2321" s="261"/>
      <c r="L2321" s="261"/>
      <c r="M2321" s="261"/>
    </row>
    <row r="2322" spans="5:13">
      <c r="E2322" s="261"/>
      <c r="F2322" s="261"/>
      <c r="G2322" s="261"/>
      <c r="H2322" s="261"/>
      <c r="I2322" s="261"/>
      <c r="J2322" s="261"/>
      <c r="K2322" s="261"/>
      <c r="L2322" s="261"/>
      <c r="M2322" s="261"/>
    </row>
    <row r="2323" spans="5:13">
      <c r="E2323" s="261"/>
      <c r="F2323" s="261"/>
      <c r="G2323" s="261"/>
      <c r="H2323" s="261"/>
      <c r="I2323" s="261"/>
      <c r="J2323" s="261"/>
      <c r="K2323" s="261"/>
      <c r="L2323" s="261"/>
      <c r="M2323" s="261"/>
    </row>
    <row r="2324" spans="5:13">
      <c r="E2324" s="261"/>
      <c r="F2324" s="261"/>
      <c r="G2324" s="261"/>
      <c r="H2324" s="261"/>
      <c r="I2324" s="261"/>
      <c r="J2324" s="261"/>
      <c r="K2324" s="261"/>
      <c r="L2324" s="261"/>
      <c r="M2324" s="261"/>
    </row>
    <row r="2325" spans="5:13">
      <c r="E2325" s="261"/>
      <c r="F2325" s="261"/>
      <c r="G2325" s="261"/>
      <c r="H2325" s="261"/>
      <c r="I2325" s="261"/>
      <c r="J2325" s="261"/>
      <c r="K2325" s="261"/>
      <c r="L2325" s="261"/>
      <c r="M2325" s="261"/>
    </row>
    <row r="2326" spans="5:13">
      <c r="E2326" s="261"/>
      <c r="F2326" s="261"/>
      <c r="G2326" s="261"/>
      <c r="H2326" s="261"/>
      <c r="I2326" s="261"/>
      <c r="J2326" s="261"/>
      <c r="K2326" s="261"/>
      <c r="L2326" s="261"/>
      <c r="M2326" s="261"/>
    </row>
    <row r="2327" spans="5:13">
      <c r="E2327" s="261"/>
      <c r="F2327" s="261"/>
      <c r="G2327" s="261"/>
      <c r="H2327" s="261"/>
      <c r="I2327" s="261"/>
      <c r="J2327" s="261"/>
      <c r="K2327" s="261"/>
      <c r="L2327" s="261"/>
      <c r="M2327" s="261"/>
    </row>
    <row r="2328" spans="5:13">
      <c r="E2328" s="261"/>
      <c r="F2328" s="261"/>
      <c r="G2328" s="261"/>
      <c r="H2328" s="261"/>
      <c r="I2328" s="261"/>
      <c r="J2328" s="261"/>
      <c r="K2328" s="261"/>
      <c r="L2328" s="261"/>
      <c r="M2328" s="261"/>
    </row>
    <row r="2329" spans="5:13">
      <c r="E2329" s="261"/>
      <c r="F2329" s="261"/>
      <c r="G2329" s="261"/>
      <c r="H2329" s="261"/>
      <c r="I2329" s="261"/>
      <c r="J2329" s="261"/>
      <c r="K2329" s="261"/>
      <c r="L2329" s="261"/>
      <c r="M2329" s="261"/>
    </row>
    <row r="2330" spans="5:13">
      <c r="E2330" s="261"/>
      <c r="F2330" s="261"/>
      <c r="G2330" s="261"/>
      <c r="H2330" s="261"/>
      <c r="I2330" s="261"/>
      <c r="J2330" s="261"/>
      <c r="K2330" s="261"/>
      <c r="L2330" s="261"/>
      <c r="M2330" s="261"/>
    </row>
    <row r="2331" spans="5:13">
      <c r="E2331" s="261"/>
      <c r="F2331" s="261"/>
      <c r="G2331" s="261"/>
      <c r="H2331" s="261"/>
      <c r="I2331" s="261"/>
      <c r="J2331" s="261"/>
      <c r="K2331" s="261"/>
      <c r="L2331" s="261"/>
      <c r="M2331" s="261"/>
    </row>
    <row r="2332" spans="5:13">
      <c r="E2332" s="261"/>
      <c r="F2332" s="261"/>
      <c r="G2332" s="261"/>
      <c r="H2332" s="261"/>
      <c r="I2332" s="261"/>
      <c r="J2332" s="261"/>
      <c r="K2332" s="261"/>
      <c r="L2332" s="261"/>
      <c r="M2332" s="261"/>
    </row>
    <row r="2333" spans="5:13">
      <c r="E2333" s="261"/>
      <c r="F2333" s="261"/>
      <c r="G2333" s="261"/>
      <c r="H2333" s="261"/>
      <c r="I2333" s="261"/>
      <c r="J2333" s="261"/>
      <c r="K2333" s="261"/>
      <c r="L2333" s="261"/>
      <c r="M2333" s="261"/>
    </row>
    <row r="2334" spans="5:13">
      <c r="E2334" s="261"/>
      <c r="F2334" s="261"/>
      <c r="G2334" s="261"/>
      <c r="H2334" s="261"/>
      <c r="I2334" s="261"/>
      <c r="J2334" s="261"/>
      <c r="K2334" s="261"/>
      <c r="L2334" s="261"/>
      <c r="M2334" s="261"/>
    </row>
    <row r="2335" spans="5:13">
      <c r="E2335" s="261"/>
      <c r="F2335" s="261"/>
      <c r="G2335" s="261"/>
      <c r="H2335" s="261"/>
      <c r="I2335" s="261"/>
      <c r="J2335" s="261"/>
      <c r="K2335" s="261"/>
      <c r="L2335" s="261"/>
      <c r="M2335" s="261"/>
    </row>
    <row r="2336" spans="5:13">
      <c r="E2336" s="261"/>
      <c r="F2336" s="261"/>
      <c r="G2336" s="261"/>
      <c r="H2336" s="261"/>
      <c r="I2336" s="261"/>
      <c r="J2336" s="261"/>
      <c r="K2336" s="261"/>
      <c r="L2336" s="261"/>
      <c r="M2336" s="261"/>
    </row>
    <row r="2337" spans="5:13">
      <c r="E2337" s="261"/>
      <c r="F2337" s="261"/>
      <c r="G2337" s="261"/>
      <c r="H2337" s="261"/>
      <c r="I2337" s="261"/>
      <c r="J2337" s="261"/>
      <c r="K2337" s="261"/>
      <c r="L2337" s="261"/>
      <c r="M2337" s="261"/>
    </row>
    <row r="2338" spans="5:13">
      <c r="E2338" s="261"/>
      <c r="F2338" s="261"/>
      <c r="G2338" s="261"/>
      <c r="H2338" s="261"/>
      <c r="I2338" s="261"/>
      <c r="J2338" s="261"/>
      <c r="K2338" s="261"/>
      <c r="L2338" s="261"/>
      <c r="M2338" s="261"/>
    </row>
    <row r="2339" spans="5:13">
      <c r="E2339" s="261"/>
      <c r="F2339" s="261"/>
      <c r="G2339" s="261"/>
      <c r="H2339" s="261"/>
      <c r="I2339" s="261"/>
      <c r="J2339" s="261"/>
      <c r="K2339" s="261"/>
      <c r="L2339" s="261"/>
      <c r="M2339" s="261"/>
    </row>
    <row r="2340" spans="5:13">
      <c r="E2340" s="261"/>
      <c r="F2340" s="261"/>
      <c r="G2340" s="261"/>
      <c r="H2340" s="261"/>
      <c r="I2340" s="261"/>
      <c r="J2340" s="261"/>
      <c r="K2340" s="261"/>
      <c r="L2340" s="261"/>
      <c r="M2340" s="261"/>
    </row>
    <row r="2341" spans="5:13">
      <c r="E2341" s="261"/>
      <c r="F2341" s="261"/>
      <c r="G2341" s="261"/>
      <c r="H2341" s="261"/>
      <c r="I2341" s="261"/>
      <c r="J2341" s="261"/>
      <c r="K2341" s="261"/>
      <c r="L2341" s="261"/>
      <c r="M2341" s="261"/>
    </row>
    <row r="2342" spans="5:13">
      <c r="E2342" s="261"/>
      <c r="F2342" s="261"/>
      <c r="G2342" s="261"/>
      <c r="H2342" s="261"/>
      <c r="I2342" s="261"/>
      <c r="J2342" s="261"/>
      <c r="K2342" s="261"/>
      <c r="L2342" s="261"/>
      <c r="M2342" s="261"/>
    </row>
    <row r="2343" spans="5:13">
      <c r="E2343" s="261"/>
      <c r="F2343" s="261"/>
      <c r="G2343" s="261"/>
      <c r="H2343" s="261"/>
      <c r="I2343" s="261"/>
      <c r="J2343" s="261"/>
      <c r="K2343" s="261"/>
      <c r="L2343" s="261"/>
      <c r="M2343" s="261"/>
    </row>
    <row r="2344" spans="5:13">
      <c r="E2344" s="261"/>
      <c r="F2344" s="261"/>
      <c r="G2344" s="261"/>
      <c r="H2344" s="261"/>
      <c r="I2344" s="261"/>
      <c r="J2344" s="261"/>
      <c r="K2344" s="261"/>
      <c r="L2344" s="261"/>
      <c r="M2344" s="261"/>
    </row>
    <row r="2345" spans="5:13">
      <c r="E2345" s="261"/>
      <c r="F2345" s="261"/>
      <c r="G2345" s="261"/>
      <c r="H2345" s="261"/>
      <c r="I2345" s="261"/>
      <c r="J2345" s="261"/>
      <c r="K2345" s="261"/>
      <c r="L2345" s="261"/>
      <c r="M2345" s="261"/>
    </row>
    <row r="2346" spans="5:13">
      <c r="E2346" s="261"/>
      <c r="F2346" s="261"/>
      <c r="G2346" s="261"/>
      <c r="H2346" s="261"/>
      <c r="I2346" s="261"/>
      <c r="J2346" s="261"/>
      <c r="K2346" s="261"/>
      <c r="L2346" s="261"/>
      <c r="M2346" s="261"/>
    </row>
    <row r="2347" spans="5:13">
      <c r="E2347" s="261"/>
      <c r="F2347" s="261"/>
      <c r="G2347" s="261"/>
      <c r="H2347" s="261"/>
      <c r="I2347" s="261"/>
      <c r="J2347" s="261"/>
      <c r="K2347" s="261"/>
      <c r="L2347" s="261"/>
      <c r="M2347" s="261"/>
    </row>
    <row r="2348" spans="5:13">
      <c r="E2348" s="261"/>
      <c r="F2348" s="261"/>
      <c r="G2348" s="261"/>
      <c r="H2348" s="261"/>
      <c r="I2348" s="261"/>
      <c r="J2348" s="261"/>
      <c r="K2348" s="261"/>
      <c r="L2348" s="261"/>
      <c r="M2348" s="261"/>
    </row>
    <row r="2349" spans="5:13">
      <c r="E2349" s="261"/>
      <c r="F2349" s="261"/>
      <c r="G2349" s="261"/>
      <c r="H2349" s="261"/>
      <c r="I2349" s="261"/>
      <c r="J2349" s="261"/>
      <c r="K2349" s="261"/>
      <c r="L2349" s="261"/>
      <c r="M2349" s="261"/>
    </row>
    <row r="2350" spans="5:13">
      <c r="E2350" s="261"/>
      <c r="F2350" s="261"/>
      <c r="G2350" s="261"/>
      <c r="H2350" s="261"/>
      <c r="I2350" s="261"/>
      <c r="J2350" s="261"/>
      <c r="K2350" s="261"/>
      <c r="L2350" s="261"/>
      <c r="M2350" s="261"/>
    </row>
    <row r="2351" spans="5:13">
      <c r="E2351" s="261"/>
      <c r="F2351" s="261"/>
      <c r="G2351" s="261"/>
      <c r="H2351" s="261"/>
      <c r="I2351" s="261"/>
      <c r="J2351" s="261"/>
      <c r="K2351" s="261"/>
      <c r="L2351" s="261"/>
      <c r="M2351" s="261"/>
    </row>
    <row r="2352" spans="5:13">
      <c r="E2352" s="261"/>
      <c r="F2352" s="261"/>
      <c r="G2352" s="261"/>
      <c r="H2352" s="261"/>
      <c r="I2352" s="261"/>
      <c r="J2352" s="261"/>
      <c r="K2352" s="261"/>
      <c r="L2352" s="261"/>
      <c r="M2352" s="261"/>
    </row>
    <row r="2353" spans="5:13">
      <c r="E2353" s="261"/>
      <c r="F2353" s="261"/>
      <c r="G2353" s="261"/>
      <c r="H2353" s="261"/>
      <c r="I2353" s="261"/>
      <c r="J2353" s="261"/>
      <c r="K2353" s="261"/>
      <c r="L2353" s="261"/>
      <c r="M2353" s="261"/>
    </row>
    <row r="2354" spans="5:13">
      <c r="E2354" s="261"/>
      <c r="F2354" s="261"/>
      <c r="G2354" s="261"/>
      <c r="H2354" s="261"/>
      <c r="I2354" s="261"/>
      <c r="J2354" s="261"/>
      <c r="K2354" s="261"/>
      <c r="L2354" s="261"/>
      <c r="M2354" s="261"/>
    </row>
    <row r="2355" spans="5:13">
      <c r="E2355" s="261"/>
      <c r="F2355" s="261"/>
      <c r="G2355" s="261"/>
      <c r="H2355" s="261"/>
      <c r="I2355" s="261"/>
      <c r="J2355" s="261"/>
      <c r="K2355" s="261"/>
      <c r="L2355" s="261"/>
      <c r="M2355" s="261"/>
    </row>
    <row r="2356" spans="5:13">
      <c r="E2356" s="261"/>
      <c r="F2356" s="261"/>
      <c r="G2356" s="261"/>
      <c r="H2356" s="261"/>
      <c r="I2356" s="261"/>
      <c r="J2356" s="261"/>
      <c r="K2356" s="261"/>
      <c r="L2356" s="261"/>
      <c r="M2356" s="261"/>
    </row>
    <row r="2357" spans="5:13">
      <c r="E2357" s="261"/>
      <c r="F2357" s="261"/>
      <c r="G2357" s="261"/>
      <c r="H2357" s="261"/>
      <c r="I2357" s="261"/>
      <c r="J2357" s="261"/>
      <c r="K2357" s="261"/>
      <c r="L2357" s="261"/>
      <c r="M2357" s="261"/>
    </row>
    <row r="2358" spans="5:13">
      <c r="E2358" s="261"/>
      <c r="F2358" s="261"/>
      <c r="G2358" s="261"/>
      <c r="H2358" s="261"/>
      <c r="I2358" s="261"/>
      <c r="J2358" s="261"/>
      <c r="K2358" s="261"/>
      <c r="L2358" s="261"/>
      <c r="M2358" s="261"/>
    </row>
    <row r="2359" spans="5:13">
      <c r="E2359" s="261"/>
      <c r="F2359" s="261"/>
      <c r="G2359" s="261"/>
      <c r="H2359" s="261"/>
      <c r="I2359" s="261"/>
      <c r="J2359" s="261"/>
      <c r="K2359" s="261"/>
      <c r="L2359" s="261"/>
      <c r="M2359" s="261"/>
    </row>
    <row r="2360" spans="5:13">
      <c r="E2360" s="261"/>
      <c r="F2360" s="261"/>
      <c r="G2360" s="261"/>
      <c r="H2360" s="261"/>
      <c r="I2360" s="261"/>
      <c r="J2360" s="261"/>
      <c r="K2360" s="261"/>
      <c r="L2360" s="261"/>
      <c r="M2360" s="261"/>
    </row>
    <row r="2361" spans="5:13">
      <c r="E2361" s="261"/>
      <c r="F2361" s="261"/>
      <c r="G2361" s="261"/>
      <c r="H2361" s="261"/>
      <c r="I2361" s="261"/>
      <c r="J2361" s="261"/>
      <c r="K2361" s="261"/>
      <c r="L2361" s="261"/>
      <c r="M2361" s="261"/>
    </row>
    <row r="2362" spans="5:13">
      <c r="E2362" s="261"/>
      <c r="F2362" s="261"/>
      <c r="G2362" s="261"/>
      <c r="H2362" s="261"/>
      <c r="I2362" s="261"/>
      <c r="J2362" s="261"/>
      <c r="K2362" s="261"/>
      <c r="L2362" s="261"/>
      <c r="M2362" s="261"/>
    </row>
    <row r="2363" spans="5:13">
      <c r="E2363" s="261"/>
      <c r="F2363" s="261"/>
      <c r="G2363" s="261"/>
      <c r="H2363" s="261"/>
      <c r="I2363" s="261"/>
      <c r="J2363" s="261"/>
      <c r="K2363" s="261"/>
      <c r="L2363" s="261"/>
      <c r="M2363" s="261"/>
    </row>
    <row r="2364" spans="5:13">
      <c r="E2364" s="261"/>
      <c r="F2364" s="261"/>
      <c r="G2364" s="261"/>
      <c r="H2364" s="261"/>
      <c r="I2364" s="261"/>
      <c r="J2364" s="261"/>
      <c r="K2364" s="261"/>
      <c r="L2364" s="261"/>
      <c r="M2364" s="261"/>
    </row>
    <row r="2365" spans="5:13">
      <c r="E2365" s="261"/>
      <c r="F2365" s="261"/>
      <c r="G2365" s="261"/>
      <c r="H2365" s="261"/>
      <c r="I2365" s="261"/>
      <c r="J2365" s="261"/>
      <c r="K2365" s="261"/>
      <c r="L2365" s="261"/>
      <c r="M2365" s="261"/>
    </row>
    <row r="2366" spans="5:13">
      <c r="E2366" s="261"/>
      <c r="F2366" s="261"/>
      <c r="G2366" s="261"/>
      <c r="H2366" s="261"/>
      <c r="I2366" s="261"/>
      <c r="J2366" s="261"/>
      <c r="K2366" s="261"/>
      <c r="L2366" s="261"/>
      <c r="M2366" s="261"/>
    </row>
    <row r="2367" spans="5:13">
      <c r="E2367" s="261"/>
      <c r="F2367" s="261"/>
      <c r="G2367" s="261"/>
      <c r="H2367" s="261"/>
      <c r="I2367" s="261"/>
      <c r="J2367" s="261"/>
      <c r="K2367" s="261"/>
      <c r="L2367" s="261"/>
      <c r="M2367" s="261"/>
    </row>
    <row r="2368" spans="5:13">
      <c r="E2368" s="261"/>
      <c r="F2368" s="261"/>
      <c r="G2368" s="261"/>
      <c r="H2368" s="261"/>
      <c r="I2368" s="261"/>
      <c r="J2368" s="261"/>
      <c r="K2368" s="261"/>
      <c r="L2368" s="261"/>
      <c r="M2368" s="261"/>
    </row>
    <row r="2369" spans="5:13">
      <c r="E2369" s="261"/>
      <c r="F2369" s="261"/>
      <c r="G2369" s="261"/>
      <c r="H2369" s="261"/>
      <c r="I2369" s="261"/>
      <c r="J2369" s="261"/>
      <c r="K2369" s="261"/>
      <c r="L2369" s="261"/>
      <c r="M2369" s="261"/>
    </row>
    <row r="2370" spans="5:13">
      <c r="E2370" s="261"/>
      <c r="F2370" s="261"/>
      <c r="G2370" s="261"/>
      <c r="H2370" s="261"/>
      <c r="I2370" s="261"/>
      <c r="J2370" s="261"/>
      <c r="K2370" s="261"/>
      <c r="L2370" s="261"/>
      <c r="M2370" s="261"/>
    </row>
    <row r="2371" spans="5:13">
      <c r="E2371" s="261"/>
      <c r="F2371" s="261"/>
      <c r="G2371" s="261"/>
      <c r="H2371" s="261"/>
      <c r="I2371" s="261"/>
      <c r="J2371" s="261"/>
      <c r="K2371" s="261"/>
      <c r="L2371" s="261"/>
      <c r="M2371" s="261"/>
    </row>
    <row r="2372" spans="5:13">
      <c r="E2372" s="261"/>
      <c r="F2372" s="261"/>
      <c r="G2372" s="261"/>
      <c r="H2372" s="261"/>
      <c r="I2372" s="261"/>
      <c r="J2372" s="261"/>
      <c r="K2372" s="261"/>
      <c r="L2372" s="261"/>
      <c r="M2372" s="261"/>
    </row>
    <row r="2373" spans="5:13">
      <c r="E2373" s="261"/>
      <c r="F2373" s="261"/>
      <c r="G2373" s="261"/>
      <c r="H2373" s="261"/>
      <c r="I2373" s="261"/>
      <c r="J2373" s="261"/>
      <c r="K2373" s="261"/>
      <c r="L2373" s="261"/>
      <c r="M2373" s="261"/>
    </row>
    <row r="2374" spans="5:13">
      <c r="E2374" s="261"/>
      <c r="F2374" s="261"/>
      <c r="G2374" s="261"/>
      <c r="H2374" s="261"/>
      <c r="I2374" s="261"/>
      <c r="J2374" s="261"/>
      <c r="K2374" s="261"/>
      <c r="L2374" s="261"/>
      <c r="M2374" s="261"/>
    </row>
    <row r="2375" spans="5:13">
      <c r="E2375" s="261"/>
      <c r="F2375" s="261"/>
      <c r="G2375" s="261"/>
      <c r="H2375" s="261"/>
      <c r="I2375" s="261"/>
      <c r="J2375" s="261"/>
      <c r="K2375" s="261"/>
      <c r="L2375" s="261"/>
      <c r="M2375" s="261"/>
    </row>
    <row r="2376" spans="5:13">
      <c r="E2376" s="261"/>
      <c r="F2376" s="261"/>
      <c r="G2376" s="261"/>
      <c r="H2376" s="261"/>
      <c r="I2376" s="261"/>
      <c r="J2376" s="261"/>
      <c r="K2376" s="261"/>
      <c r="L2376" s="261"/>
      <c r="M2376" s="261"/>
    </row>
    <row r="2377" spans="5:13">
      <c r="E2377" s="261"/>
      <c r="F2377" s="261"/>
      <c r="G2377" s="261"/>
      <c r="H2377" s="261"/>
      <c r="I2377" s="261"/>
      <c r="J2377" s="261"/>
      <c r="K2377" s="261"/>
      <c r="L2377" s="261"/>
      <c r="M2377" s="261"/>
    </row>
    <row r="2378" spans="5:13">
      <c r="E2378" s="261"/>
      <c r="F2378" s="261"/>
      <c r="G2378" s="261"/>
      <c r="H2378" s="261"/>
      <c r="I2378" s="261"/>
      <c r="J2378" s="261"/>
      <c r="K2378" s="261"/>
      <c r="L2378" s="261"/>
      <c r="M2378" s="261"/>
    </row>
    <row r="2379" spans="5:13">
      <c r="E2379" s="261"/>
      <c r="F2379" s="261"/>
      <c r="G2379" s="261"/>
      <c r="H2379" s="261"/>
      <c r="I2379" s="261"/>
      <c r="J2379" s="261"/>
      <c r="K2379" s="261"/>
      <c r="L2379" s="261"/>
      <c r="M2379" s="261"/>
    </row>
    <row r="2380" spans="5:13">
      <c r="E2380" s="261"/>
      <c r="F2380" s="261"/>
      <c r="G2380" s="261"/>
      <c r="H2380" s="261"/>
      <c r="I2380" s="261"/>
      <c r="J2380" s="261"/>
      <c r="K2380" s="261"/>
      <c r="L2380" s="261"/>
      <c r="M2380" s="261"/>
    </row>
    <row r="2381" spans="5:13">
      <c r="E2381" s="261"/>
      <c r="F2381" s="261"/>
      <c r="G2381" s="261"/>
      <c r="H2381" s="261"/>
      <c r="I2381" s="261"/>
      <c r="J2381" s="261"/>
      <c r="K2381" s="261"/>
      <c r="L2381" s="261"/>
      <c r="M2381" s="261"/>
    </row>
    <row r="2382" spans="5:13">
      <c r="E2382" s="261"/>
      <c r="F2382" s="261"/>
      <c r="G2382" s="261"/>
      <c r="H2382" s="261"/>
      <c r="I2382" s="261"/>
      <c r="J2382" s="261"/>
      <c r="K2382" s="261"/>
      <c r="L2382" s="261"/>
      <c r="M2382" s="261"/>
    </row>
    <row r="2383" spans="5:13">
      <c r="E2383" s="261"/>
      <c r="F2383" s="261"/>
      <c r="G2383" s="261"/>
      <c r="H2383" s="261"/>
      <c r="I2383" s="261"/>
      <c r="J2383" s="261"/>
      <c r="K2383" s="261"/>
      <c r="L2383" s="261"/>
      <c r="M2383" s="261"/>
    </row>
    <row r="2384" spans="5:13">
      <c r="E2384" s="261"/>
      <c r="F2384" s="261"/>
      <c r="G2384" s="261"/>
      <c r="H2384" s="261"/>
      <c r="I2384" s="261"/>
      <c r="J2384" s="261"/>
      <c r="K2384" s="261"/>
      <c r="L2384" s="261"/>
      <c r="M2384" s="261"/>
    </row>
    <row r="2385" spans="5:13">
      <c r="E2385" s="261"/>
      <c r="F2385" s="261"/>
      <c r="G2385" s="261"/>
      <c r="H2385" s="261"/>
      <c r="I2385" s="261"/>
      <c r="J2385" s="261"/>
      <c r="K2385" s="261"/>
      <c r="L2385" s="261"/>
      <c r="M2385" s="261"/>
    </row>
    <row r="2386" spans="5:13">
      <c r="E2386" s="261"/>
      <c r="F2386" s="261"/>
      <c r="G2386" s="261"/>
      <c r="H2386" s="261"/>
      <c r="I2386" s="261"/>
      <c r="J2386" s="261"/>
      <c r="K2386" s="261"/>
      <c r="L2386" s="261"/>
      <c r="M2386" s="261"/>
    </row>
    <row r="2387" spans="5:13">
      <c r="E2387" s="261"/>
      <c r="F2387" s="261"/>
      <c r="G2387" s="261"/>
      <c r="H2387" s="261"/>
      <c r="I2387" s="261"/>
      <c r="J2387" s="261"/>
      <c r="K2387" s="261"/>
      <c r="L2387" s="261"/>
      <c r="M2387" s="261"/>
    </row>
    <row r="2388" spans="5:13">
      <c r="E2388" s="261"/>
      <c r="F2388" s="261"/>
      <c r="G2388" s="261"/>
      <c r="H2388" s="261"/>
      <c r="I2388" s="261"/>
      <c r="J2388" s="261"/>
      <c r="K2388" s="261"/>
      <c r="L2388" s="261"/>
      <c r="M2388" s="261"/>
    </row>
    <row r="2389" spans="5:13">
      <c r="E2389" s="261"/>
      <c r="F2389" s="261"/>
      <c r="G2389" s="261"/>
      <c r="H2389" s="261"/>
      <c r="I2389" s="261"/>
      <c r="J2389" s="261"/>
      <c r="K2389" s="261"/>
      <c r="L2389" s="261"/>
      <c r="M2389" s="261"/>
    </row>
    <row r="2390" spans="5:13">
      <c r="E2390" s="261"/>
      <c r="F2390" s="261"/>
      <c r="G2390" s="261"/>
      <c r="H2390" s="261"/>
      <c r="I2390" s="261"/>
      <c r="J2390" s="261"/>
      <c r="K2390" s="261"/>
      <c r="L2390" s="261"/>
      <c r="M2390" s="261"/>
    </row>
    <row r="2391" spans="5:13">
      <c r="E2391" s="261"/>
      <c r="F2391" s="261"/>
      <c r="G2391" s="261"/>
      <c r="H2391" s="261"/>
      <c r="I2391" s="261"/>
      <c r="J2391" s="261"/>
      <c r="K2391" s="261"/>
      <c r="L2391" s="261"/>
      <c r="M2391" s="261"/>
    </row>
    <row r="2392" spans="5:13">
      <c r="E2392" s="261"/>
      <c r="F2392" s="261"/>
      <c r="G2392" s="261"/>
      <c r="H2392" s="261"/>
      <c r="I2392" s="261"/>
      <c r="J2392" s="261"/>
      <c r="K2392" s="261"/>
      <c r="L2392" s="261"/>
      <c r="M2392" s="261"/>
    </row>
    <row r="2393" spans="5:13">
      <c r="E2393" s="261"/>
      <c r="F2393" s="261"/>
      <c r="G2393" s="261"/>
      <c r="H2393" s="261"/>
      <c r="I2393" s="261"/>
      <c r="J2393" s="261"/>
      <c r="K2393" s="261"/>
      <c r="L2393" s="261"/>
      <c r="M2393" s="261"/>
    </row>
    <row r="2394" spans="5:13">
      <c r="E2394" s="261"/>
      <c r="F2394" s="261"/>
      <c r="G2394" s="261"/>
      <c r="H2394" s="261"/>
      <c r="I2394" s="261"/>
      <c r="J2394" s="261"/>
      <c r="K2394" s="261"/>
      <c r="L2394" s="261"/>
      <c r="M2394" s="261"/>
    </row>
    <row r="2395" spans="5:13">
      <c r="E2395" s="261"/>
      <c r="F2395" s="261"/>
      <c r="G2395" s="261"/>
      <c r="H2395" s="261"/>
      <c r="I2395" s="261"/>
      <c r="J2395" s="261"/>
      <c r="K2395" s="261"/>
      <c r="L2395" s="261"/>
      <c r="M2395" s="261"/>
    </row>
    <row r="2396" spans="5:13">
      <c r="E2396" s="261"/>
      <c r="F2396" s="261"/>
      <c r="G2396" s="261"/>
      <c r="H2396" s="261"/>
      <c r="I2396" s="261"/>
      <c r="J2396" s="261"/>
      <c r="K2396" s="261"/>
      <c r="L2396" s="261"/>
      <c r="M2396" s="261"/>
    </row>
    <row r="2397" spans="5:13">
      <c r="E2397" s="261"/>
      <c r="F2397" s="261"/>
      <c r="G2397" s="261"/>
      <c r="H2397" s="261"/>
      <c r="I2397" s="261"/>
      <c r="J2397" s="261"/>
      <c r="K2397" s="261"/>
      <c r="L2397" s="261"/>
      <c r="M2397" s="261"/>
    </row>
    <row r="2398" spans="5:13">
      <c r="E2398" s="261"/>
      <c r="F2398" s="261"/>
      <c r="G2398" s="261"/>
      <c r="H2398" s="261"/>
      <c r="I2398" s="261"/>
      <c r="J2398" s="261"/>
      <c r="K2398" s="261"/>
      <c r="L2398" s="261"/>
      <c r="M2398" s="261"/>
    </row>
    <row r="2399" spans="5:13">
      <c r="E2399" s="261"/>
      <c r="F2399" s="261"/>
      <c r="G2399" s="261"/>
      <c r="H2399" s="261"/>
      <c r="I2399" s="261"/>
      <c r="J2399" s="261"/>
      <c r="K2399" s="261"/>
      <c r="L2399" s="261"/>
      <c r="M2399" s="261"/>
    </row>
    <row r="2400" spans="5:13">
      <c r="E2400" s="261"/>
      <c r="F2400" s="261"/>
      <c r="G2400" s="261"/>
      <c r="H2400" s="261"/>
      <c r="I2400" s="261"/>
      <c r="J2400" s="261"/>
      <c r="K2400" s="261"/>
      <c r="L2400" s="261"/>
      <c r="M2400" s="261"/>
    </row>
    <row r="2401" spans="5:13">
      <c r="E2401" s="261"/>
      <c r="F2401" s="261"/>
      <c r="G2401" s="261"/>
      <c r="H2401" s="261"/>
      <c r="I2401" s="261"/>
      <c r="J2401" s="261"/>
      <c r="K2401" s="261"/>
      <c r="L2401" s="261"/>
      <c r="M2401" s="261"/>
    </row>
    <row r="2402" spans="5:13">
      <c r="E2402" s="261"/>
      <c r="F2402" s="261"/>
      <c r="G2402" s="261"/>
      <c r="H2402" s="261"/>
      <c r="I2402" s="261"/>
      <c r="J2402" s="261"/>
      <c r="K2402" s="261"/>
      <c r="L2402" s="261"/>
      <c r="M2402" s="261"/>
    </row>
    <row r="2403" spans="5:13">
      <c r="E2403" s="261"/>
      <c r="F2403" s="261"/>
      <c r="G2403" s="261"/>
      <c r="H2403" s="261"/>
      <c r="I2403" s="261"/>
      <c r="J2403" s="261"/>
      <c r="K2403" s="261"/>
      <c r="L2403" s="261"/>
      <c r="M2403" s="261"/>
    </row>
    <row r="2404" spans="5:13">
      <c r="E2404" s="261"/>
      <c r="F2404" s="261"/>
      <c r="G2404" s="261"/>
      <c r="H2404" s="261"/>
      <c r="I2404" s="261"/>
      <c r="J2404" s="261"/>
      <c r="K2404" s="261"/>
      <c r="L2404" s="261"/>
      <c r="M2404" s="261"/>
    </row>
    <row r="2405" spans="5:13">
      <c r="E2405" s="261"/>
      <c r="F2405" s="261"/>
      <c r="G2405" s="261"/>
      <c r="H2405" s="261"/>
      <c r="I2405" s="261"/>
      <c r="J2405" s="261"/>
      <c r="K2405" s="261"/>
      <c r="L2405" s="261"/>
      <c r="M2405" s="261"/>
    </row>
    <row r="2406" spans="5:13">
      <c r="E2406" s="261"/>
      <c r="F2406" s="261"/>
      <c r="G2406" s="261"/>
      <c r="H2406" s="261"/>
      <c r="I2406" s="261"/>
      <c r="J2406" s="261"/>
      <c r="K2406" s="261"/>
      <c r="L2406" s="261"/>
      <c r="M2406" s="261"/>
    </row>
    <row r="2407" spans="5:13">
      <c r="E2407" s="261"/>
      <c r="F2407" s="261"/>
      <c r="G2407" s="261"/>
      <c r="H2407" s="261"/>
      <c r="I2407" s="261"/>
      <c r="J2407" s="261"/>
      <c r="K2407" s="261"/>
      <c r="L2407" s="261"/>
      <c r="M2407" s="261"/>
    </row>
    <row r="2408" spans="5:13">
      <c r="E2408" s="261"/>
      <c r="F2408" s="261"/>
      <c r="G2408" s="261"/>
      <c r="H2408" s="261"/>
      <c r="I2408" s="261"/>
      <c r="J2408" s="261"/>
      <c r="K2408" s="261"/>
      <c r="L2408" s="261"/>
      <c r="M2408" s="261"/>
    </row>
    <row r="2409" spans="5:13">
      <c r="E2409" s="261"/>
      <c r="F2409" s="261"/>
      <c r="G2409" s="261"/>
      <c r="H2409" s="261"/>
      <c r="I2409" s="261"/>
      <c r="J2409" s="261"/>
      <c r="K2409" s="261"/>
      <c r="L2409" s="261"/>
      <c r="M2409" s="261"/>
    </row>
    <row r="2410" spans="5:13">
      <c r="E2410" s="261"/>
      <c r="F2410" s="261"/>
      <c r="G2410" s="261"/>
      <c r="H2410" s="261"/>
      <c r="I2410" s="261"/>
      <c r="J2410" s="261"/>
      <c r="K2410" s="261"/>
      <c r="L2410" s="261"/>
      <c r="M2410" s="261"/>
    </row>
    <row r="2411" spans="5:13">
      <c r="E2411" s="261"/>
      <c r="F2411" s="261"/>
      <c r="G2411" s="261"/>
      <c r="H2411" s="261"/>
      <c r="I2411" s="261"/>
      <c r="J2411" s="261"/>
      <c r="K2411" s="261"/>
      <c r="L2411" s="261"/>
      <c r="M2411" s="261"/>
    </row>
    <row r="2412" spans="5:13">
      <c r="E2412" s="261"/>
      <c r="F2412" s="261"/>
      <c r="G2412" s="261"/>
      <c r="H2412" s="261"/>
      <c r="I2412" s="261"/>
      <c r="J2412" s="261"/>
      <c r="K2412" s="261"/>
      <c r="L2412" s="261"/>
      <c r="M2412" s="261"/>
    </row>
    <row r="2413" spans="5:13">
      <c r="E2413" s="261"/>
      <c r="F2413" s="261"/>
      <c r="G2413" s="261"/>
      <c r="H2413" s="261"/>
      <c r="I2413" s="261"/>
      <c r="J2413" s="261"/>
      <c r="K2413" s="261"/>
      <c r="L2413" s="261"/>
      <c r="M2413" s="261"/>
    </row>
    <row r="2414" spans="5:13">
      <c r="E2414" s="261"/>
      <c r="F2414" s="261"/>
      <c r="G2414" s="261"/>
      <c r="H2414" s="261"/>
      <c r="I2414" s="261"/>
      <c r="J2414" s="261"/>
      <c r="K2414" s="261"/>
      <c r="L2414" s="261"/>
      <c r="M2414" s="261"/>
    </row>
    <row r="2415" spans="5:13">
      <c r="E2415" s="261"/>
      <c r="F2415" s="261"/>
      <c r="G2415" s="261"/>
      <c r="H2415" s="261"/>
      <c r="I2415" s="261"/>
      <c r="J2415" s="261"/>
      <c r="K2415" s="261"/>
      <c r="L2415" s="261"/>
      <c r="M2415" s="261"/>
    </row>
    <row r="2416" spans="5:13">
      <c r="E2416" s="261"/>
      <c r="F2416" s="261"/>
      <c r="G2416" s="261"/>
      <c r="H2416" s="261"/>
      <c r="I2416" s="261"/>
      <c r="J2416" s="261"/>
      <c r="K2416" s="261"/>
      <c r="L2416" s="261"/>
      <c r="M2416" s="261"/>
    </row>
    <row r="2417" spans="5:13">
      <c r="E2417" s="261"/>
      <c r="F2417" s="261"/>
      <c r="G2417" s="261"/>
      <c r="H2417" s="261"/>
      <c r="I2417" s="261"/>
      <c r="J2417" s="261"/>
      <c r="K2417" s="261"/>
      <c r="L2417" s="261"/>
      <c r="M2417" s="261"/>
    </row>
    <row r="2418" spans="5:13">
      <c r="E2418" s="261"/>
      <c r="F2418" s="261"/>
      <c r="G2418" s="261"/>
      <c r="H2418" s="261"/>
      <c r="I2418" s="261"/>
      <c r="J2418" s="261"/>
      <c r="K2418" s="261"/>
      <c r="L2418" s="261"/>
      <c r="M2418" s="261"/>
    </row>
    <row r="2419" spans="5:13">
      <c r="E2419" s="261"/>
      <c r="F2419" s="261"/>
      <c r="G2419" s="261"/>
      <c r="H2419" s="261"/>
      <c r="I2419" s="261"/>
      <c r="J2419" s="261"/>
      <c r="K2419" s="261"/>
      <c r="L2419" s="261"/>
      <c r="M2419" s="261"/>
    </row>
    <row r="2420" spans="5:13">
      <c r="E2420" s="261"/>
      <c r="F2420" s="261"/>
      <c r="G2420" s="261"/>
      <c r="H2420" s="261"/>
      <c r="I2420" s="261"/>
      <c r="J2420" s="261"/>
      <c r="K2420" s="261"/>
      <c r="L2420" s="261"/>
      <c r="M2420" s="261"/>
    </row>
    <row r="2421" spans="5:13">
      <c r="E2421" s="261"/>
      <c r="F2421" s="261"/>
      <c r="G2421" s="261"/>
      <c r="H2421" s="261"/>
      <c r="I2421" s="261"/>
      <c r="J2421" s="261"/>
      <c r="K2421" s="261"/>
      <c r="L2421" s="261"/>
      <c r="M2421" s="261"/>
    </row>
    <row r="2422" spans="5:13">
      <c r="E2422" s="261"/>
      <c r="F2422" s="261"/>
      <c r="G2422" s="261"/>
      <c r="H2422" s="261"/>
      <c r="I2422" s="261"/>
      <c r="J2422" s="261"/>
      <c r="K2422" s="261"/>
      <c r="L2422" s="261"/>
      <c r="M2422" s="261"/>
    </row>
    <row r="2423" spans="5:13">
      <c r="E2423" s="261"/>
      <c r="F2423" s="261"/>
      <c r="G2423" s="261"/>
      <c r="H2423" s="261"/>
      <c r="I2423" s="261"/>
      <c r="J2423" s="261"/>
      <c r="K2423" s="261"/>
      <c r="L2423" s="261"/>
      <c r="M2423" s="261"/>
    </row>
    <row r="2424" spans="5:13">
      <c r="E2424" s="261"/>
      <c r="F2424" s="261"/>
      <c r="G2424" s="261"/>
      <c r="H2424" s="261"/>
      <c r="I2424" s="261"/>
      <c r="J2424" s="261"/>
      <c r="K2424" s="261"/>
      <c r="L2424" s="261"/>
      <c r="M2424" s="261"/>
    </row>
    <row r="2425" spans="5:13">
      <c r="E2425" s="261"/>
      <c r="F2425" s="261"/>
      <c r="G2425" s="261"/>
      <c r="H2425" s="261"/>
      <c r="I2425" s="261"/>
      <c r="J2425" s="261"/>
      <c r="K2425" s="261"/>
      <c r="L2425" s="261"/>
      <c r="M2425" s="261"/>
    </row>
    <row r="2426" spans="5:13">
      <c r="E2426" s="261"/>
      <c r="F2426" s="261"/>
      <c r="G2426" s="261"/>
      <c r="H2426" s="261"/>
      <c r="I2426" s="261"/>
      <c r="J2426" s="261"/>
      <c r="K2426" s="261"/>
      <c r="L2426" s="261"/>
      <c r="M2426" s="261"/>
    </row>
    <row r="2427" spans="5:13">
      <c r="E2427" s="261"/>
      <c r="F2427" s="261"/>
      <c r="G2427" s="261"/>
      <c r="H2427" s="261"/>
      <c r="I2427" s="261"/>
      <c r="J2427" s="261"/>
      <c r="K2427" s="261"/>
      <c r="L2427" s="261"/>
      <c r="M2427" s="261"/>
    </row>
    <row r="2428" spans="5:13">
      <c r="E2428" s="261"/>
      <c r="F2428" s="261"/>
      <c r="G2428" s="261"/>
      <c r="H2428" s="261"/>
      <c r="I2428" s="261"/>
      <c r="J2428" s="261"/>
      <c r="K2428" s="261"/>
      <c r="L2428" s="261"/>
      <c r="M2428" s="261"/>
    </row>
    <row r="2429" spans="5:13">
      <c r="E2429" s="261"/>
      <c r="F2429" s="261"/>
      <c r="G2429" s="261"/>
      <c r="H2429" s="261"/>
      <c r="I2429" s="261"/>
      <c r="J2429" s="261"/>
      <c r="K2429" s="261"/>
      <c r="L2429" s="261"/>
      <c r="M2429" s="261"/>
    </row>
    <row r="2430" spans="5:13">
      <c r="E2430" s="261"/>
      <c r="F2430" s="261"/>
      <c r="G2430" s="261"/>
      <c r="H2430" s="261"/>
      <c r="I2430" s="261"/>
      <c r="J2430" s="261"/>
      <c r="K2430" s="261"/>
      <c r="L2430" s="261"/>
      <c r="M2430" s="261"/>
    </row>
    <row r="2431" spans="5:13">
      <c r="E2431" s="261"/>
      <c r="F2431" s="261"/>
      <c r="G2431" s="261"/>
      <c r="H2431" s="261"/>
      <c r="I2431" s="261"/>
      <c r="J2431" s="261"/>
      <c r="K2431" s="261"/>
      <c r="L2431" s="261"/>
      <c r="M2431" s="261"/>
    </row>
    <row r="2432" spans="5:13">
      <c r="E2432" s="261"/>
      <c r="F2432" s="261"/>
      <c r="G2432" s="261"/>
      <c r="H2432" s="261"/>
      <c r="I2432" s="261"/>
      <c r="J2432" s="261"/>
      <c r="K2432" s="261"/>
      <c r="L2432" s="261"/>
      <c r="M2432" s="261"/>
    </row>
    <row r="2433" spans="5:13">
      <c r="E2433" s="261"/>
      <c r="F2433" s="261"/>
      <c r="G2433" s="261"/>
      <c r="H2433" s="261"/>
      <c r="I2433" s="261"/>
      <c r="J2433" s="261"/>
      <c r="K2433" s="261"/>
      <c r="L2433" s="261"/>
      <c r="M2433" s="261"/>
    </row>
    <row r="2434" spans="5:13">
      <c r="E2434" s="261"/>
      <c r="F2434" s="261"/>
      <c r="G2434" s="261"/>
      <c r="H2434" s="261"/>
      <c r="I2434" s="261"/>
      <c r="J2434" s="261"/>
      <c r="K2434" s="261"/>
      <c r="L2434" s="261"/>
      <c r="M2434" s="261"/>
    </row>
    <row r="2435" spans="5:13">
      <c r="E2435" s="261"/>
      <c r="F2435" s="261"/>
      <c r="G2435" s="261"/>
      <c r="H2435" s="261"/>
      <c r="I2435" s="261"/>
      <c r="J2435" s="261"/>
      <c r="K2435" s="261"/>
      <c r="L2435" s="261"/>
      <c r="M2435" s="261"/>
    </row>
    <row r="2436" spans="5:13">
      <c r="E2436" s="261"/>
      <c r="F2436" s="261"/>
      <c r="G2436" s="261"/>
      <c r="H2436" s="261"/>
      <c r="I2436" s="261"/>
      <c r="J2436" s="261"/>
      <c r="K2436" s="261"/>
      <c r="L2436" s="261"/>
      <c r="M2436" s="261"/>
    </row>
    <row r="2437" spans="5:13">
      <c r="E2437" s="261"/>
      <c r="F2437" s="261"/>
      <c r="G2437" s="261"/>
      <c r="H2437" s="261"/>
      <c r="I2437" s="261"/>
      <c r="J2437" s="261"/>
      <c r="K2437" s="261"/>
      <c r="L2437" s="261"/>
      <c r="M2437" s="261"/>
    </row>
    <row r="2438" spans="5:13">
      <c r="E2438" s="261"/>
      <c r="F2438" s="261"/>
      <c r="G2438" s="261"/>
      <c r="H2438" s="261"/>
      <c r="I2438" s="261"/>
      <c r="J2438" s="261"/>
      <c r="K2438" s="261"/>
      <c r="L2438" s="261"/>
      <c r="M2438" s="261"/>
    </row>
    <row r="2439" spans="5:13">
      <c r="E2439" s="261"/>
      <c r="F2439" s="261"/>
      <c r="G2439" s="261"/>
      <c r="H2439" s="261"/>
      <c r="I2439" s="261"/>
      <c r="J2439" s="261"/>
      <c r="K2439" s="261"/>
      <c r="L2439" s="261"/>
      <c r="M2439" s="261"/>
    </row>
    <row r="2440" spans="5:13">
      <c r="E2440" s="261"/>
      <c r="F2440" s="261"/>
      <c r="G2440" s="261"/>
      <c r="H2440" s="261"/>
      <c r="I2440" s="261"/>
      <c r="J2440" s="261"/>
      <c r="K2440" s="261"/>
      <c r="L2440" s="261"/>
      <c r="M2440" s="261"/>
    </row>
    <row r="2441" spans="5:13">
      <c r="E2441" s="261"/>
      <c r="F2441" s="261"/>
      <c r="G2441" s="261"/>
      <c r="H2441" s="261"/>
      <c r="I2441" s="261"/>
      <c r="J2441" s="261"/>
      <c r="K2441" s="261"/>
      <c r="L2441" s="261"/>
      <c r="M2441" s="261"/>
    </row>
    <row r="2442" spans="5:13">
      <c r="E2442" s="261"/>
      <c r="F2442" s="261"/>
      <c r="G2442" s="261"/>
      <c r="H2442" s="261"/>
      <c r="I2442" s="261"/>
      <c r="J2442" s="261"/>
      <c r="K2442" s="261"/>
      <c r="L2442" s="261"/>
      <c r="M2442" s="261"/>
    </row>
    <row r="2443" spans="5:13">
      <c r="E2443" s="261"/>
      <c r="F2443" s="261"/>
      <c r="G2443" s="261"/>
      <c r="H2443" s="261"/>
      <c r="I2443" s="261"/>
      <c r="J2443" s="261"/>
      <c r="K2443" s="261"/>
      <c r="L2443" s="261"/>
      <c r="M2443" s="261"/>
    </row>
    <row r="2444" spans="5:13">
      <c r="E2444" s="261"/>
      <c r="F2444" s="261"/>
      <c r="G2444" s="261"/>
      <c r="H2444" s="261"/>
      <c r="I2444" s="261"/>
      <c r="J2444" s="261"/>
      <c r="K2444" s="261"/>
      <c r="L2444" s="261"/>
      <c r="M2444" s="261"/>
    </row>
    <row r="2445" spans="5:13">
      <c r="E2445" s="261"/>
      <c r="F2445" s="261"/>
      <c r="G2445" s="261"/>
      <c r="H2445" s="261"/>
      <c r="I2445" s="261"/>
      <c r="J2445" s="261"/>
      <c r="K2445" s="261"/>
      <c r="L2445" s="261"/>
      <c r="M2445" s="261"/>
    </row>
    <row r="2446" spans="5:13">
      <c r="E2446" s="261"/>
      <c r="F2446" s="261"/>
      <c r="G2446" s="261"/>
      <c r="H2446" s="261"/>
      <c r="I2446" s="261"/>
      <c r="J2446" s="261"/>
      <c r="K2446" s="261"/>
      <c r="L2446" s="261"/>
      <c r="M2446" s="261"/>
    </row>
    <row r="2447" spans="5:13">
      <c r="E2447" s="261"/>
      <c r="F2447" s="261"/>
      <c r="G2447" s="261"/>
      <c r="H2447" s="261"/>
      <c r="I2447" s="261"/>
      <c r="J2447" s="261"/>
      <c r="K2447" s="261"/>
      <c r="L2447" s="261"/>
      <c r="M2447" s="261"/>
    </row>
    <row r="2448" spans="5:13">
      <c r="E2448" s="261"/>
      <c r="F2448" s="261"/>
      <c r="G2448" s="261"/>
      <c r="H2448" s="261"/>
      <c r="I2448" s="261"/>
      <c r="J2448" s="261"/>
      <c r="K2448" s="261"/>
      <c r="L2448" s="261"/>
      <c r="M2448" s="261"/>
    </row>
    <row r="2449" spans="5:13">
      <c r="E2449" s="261"/>
      <c r="F2449" s="261"/>
      <c r="G2449" s="261"/>
      <c r="H2449" s="261"/>
      <c r="I2449" s="261"/>
      <c r="J2449" s="261"/>
      <c r="K2449" s="261"/>
      <c r="L2449" s="261"/>
      <c r="M2449" s="261"/>
    </row>
    <row r="2450" spans="5:13">
      <c r="E2450" s="261"/>
      <c r="F2450" s="261"/>
      <c r="G2450" s="261"/>
      <c r="H2450" s="261"/>
      <c r="I2450" s="261"/>
      <c r="J2450" s="261"/>
      <c r="K2450" s="261"/>
      <c r="L2450" s="261"/>
      <c r="M2450" s="261"/>
    </row>
    <row r="2451" spans="5:13">
      <c r="E2451" s="261"/>
      <c r="F2451" s="261"/>
      <c r="G2451" s="261"/>
      <c r="H2451" s="261"/>
      <c r="I2451" s="261"/>
      <c r="J2451" s="261"/>
      <c r="K2451" s="261"/>
      <c r="L2451" s="261"/>
      <c r="M2451" s="261"/>
    </row>
    <row r="2452" spans="5:13">
      <c r="E2452" s="261"/>
      <c r="F2452" s="261"/>
      <c r="G2452" s="261"/>
      <c r="H2452" s="261"/>
      <c r="I2452" s="261"/>
      <c r="J2452" s="261"/>
      <c r="K2452" s="261"/>
      <c r="L2452" s="261"/>
      <c r="M2452" s="261"/>
    </row>
    <row r="2453" spans="5:13">
      <c r="E2453" s="261"/>
      <c r="F2453" s="261"/>
      <c r="G2453" s="261"/>
      <c r="H2453" s="261"/>
      <c r="I2453" s="261"/>
      <c r="J2453" s="261"/>
      <c r="K2453" s="261"/>
      <c r="L2453" s="261"/>
      <c r="M2453" s="261"/>
    </row>
    <row r="2454" spans="5:13">
      <c r="E2454" s="261"/>
      <c r="F2454" s="261"/>
      <c r="G2454" s="261"/>
      <c r="H2454" s="261"/>
      <c r="I2454" s="261"/>
      <c r="J2454" s="261"/>
      <c r="K2454" s="261"/>
      <c r="L2454" s="261"/>
      <c r="M2454" s="261"/>
    </row>
    <row r="2455" spans="5:13">
      <c r="E2455" s="261"/>
      <c r="F2455" s="261"/>
      <c r="G2455" s="261"/>
      <c r="H2455" s="261"/>
      <c r="I2455" s="261"/>
      <c r="J2455" s="261"/>
      <c r="K2455" s="261"/>
      <c r="L2455" s="261"/>
      <c r="M2455" s="261"/>
    </row>
    <row r="2456" spans="5:13">
      <c r="E2456" s="261"/>
      <c r="F2456" s="261"/>
      <c r="G2456" s="261"/>
      <c r="H2456" s="261"/>
      <c r="I2456" s="261"/>
      <c r="J2456" s="261"/>
      <c r="K2456" s="261"/>
      <c r="L2456" s="261"/>
      <c r="M2456" s="261"/>
    </row>
    <row r="2457" spans="5:13">
      <c r="E2457" s="261"/>
      <c r="F2457" s="261"/>
      <c r="G2457" s="261"/>
      <c r="H2457" s="261"/>
      <c r="I2457" s="261"/>
      <c r="J2457" s="261"/>
      <c r="K2457" s="261"/>
      <c r="L2457" s="261"/>
      <c r="M2457" s="261"/>
    </row>
    <row r="2458" spans="5:13">
      <c r="E2458" s="261"/>
      <c r="F2458" s="261"/>
      <c r="G2458" s="261"/>
      <c r="H2458" s="261"/>
      <c r="I2458" s="261"/>
      <c r="J2458" s="261"/>
      <c r="K2458" s="261"/>
      <c r="L2458" s="261"/>
      <c r="M2458" s="261"/>
    </row>
    <row r="2459" spans="5:13">
      <c r="E2459" s="261"/>
      <c r="F2459" s="261"/>
      <c r="G2459" s="261"/>
      <c r="H2459" s="261"/>
      <c r="I2459" s="261"/>
      <c r="J2459" s="261"/>
      <c r="K2459" s="261"/>
      <c r="L2459" s="261"/>
      <c r="M2459" s="261"/>
    </row>
    <row r="2460" spans="5:13">
      <c r="E2460" s="261"/>
      <c r="F2460" s="261"/>
      <c r="G2460" s="261"/>
      <c r="H2460" s="261"/>
      <c r="I2460" s="261"/>
      <c r="J2460" s="261"/>
      <c r="K2460" s="261"/>
      <c r="L2460" s="261"/>
      <c r="M2460" s="261"/>
    </row>
    <row r="2461" spans="5:13">
      <c r="E2461" s="261"/>
      <c r="F2461" s="261"/>
      <c r="G2461" s="261"/>
      <c r="H2461" s="261"/>
      <c r="I2461" s="261"/>
      <c r="J2461" s="261"/>
      <c r="K2461" s="261"/>
      <c r="L2461" s="261"/>
      <c r="M2461" s="261"/>
    </row>
    <row r="2462" spans="5:13">
      <c r="E2462" s="261"/>
      <c r="F2462" s="261"/>
      <c r="G2462" s="261"/>
      <c r="H2462" s="261"/>
      <c r="I2462" s="261"/>
      <c r="J2462" s="261"/>
      <c r="K2462" s="261"/>
      <c r="L2462" s="261"/>
      <c r="M2462" s="261"/>
    </row>
    <row r="2463" spans="5:13">
      <c r="E2463" s="261"/>
      <c r="F2463" s="261"/>
      <c r="G2463" s="261"/>
      <c r="H2463" s="261"/>
      <c r="I2463" s="261"/>
      <c r="J2463" s="261"/>
      <c r="K2463" s="261"/>
      <c r="L2463" s="261"/>
      <c r="M2463" s="261"/>
    </row>
    <row r="2464" spans="5:13">
      <c r="E2464" s="261"/>
      <c r="F2464" s="261"/>
      <c r="G2464" s="261"/>
      <c r="H2464" s="261"/>
      <c r="I2464" s="261"/>
      <c r="J2464" s="261"/>
      <c r="K2464" s="261"/>
      <c r="L2464" s="261"/>
      <c r="M2464" s="261"/>
    </row>
    <row r="2465" spans="5:13">
      <c r="E2465" s="261"/>
      <c r="F2465" s="261"/>
      <c r="G2465" s="261"/>
      <c r="H2465" s="261"/>
      <c r="I2465" s="261"/>
      <c r="J2465" s="261"/>
      <c r="K2465" s="261"/>
      <c r="L2465" s="261"/>
      <c r="M2465" s="261"/>
    </row>
    <row r="2466" spans="5:13">
      <c r="E2466" s="261"/>
      <c r="F2466" s="261"/>
      <c r="G2466" s="261"/>
      <c r="H2466" s="261"/>
      <c r="I2466" s="261"/>
      <c r="J2466" s="261"/>
      <c r="K2466" s="261"/>
      <c r="L2466" s="261"/>
      <c r="M2466" s="261"/>
    </row>
    <row r="2467" spans="5:13">
      <c r="E2467" s="261"/>
      <c r="F2467" s="261"/>
      <c r="G2467" s="261"/>
      <c r="H2467" s="261"/>
      <c r="I2467" s="261"/>
      <c r="J2467" s="261"/>
      <c r="K2467" s="261"/>
      <c r="L2467" s="261"/>
      <c r="M2467" s="261"/>
    </row>
    <row r="2468" spans="5:13">
      <c r="E2468" s="261"/>
      <c r="F2468" s="261"/>
      <c r="G2468" s="261"/>
      <c r="H2468" s="261"/>
      <c r="I2468" s="261"/>
      <c r="J2468" s="261"/>
      <c r="K2468" s="261"/>
      <c r="L2468" s="261"/>
      <c r="M2468" s="261"/>
    </row>
    <row r="2469" spans="5:13">
      <c r="E2469" s="261"/>
      <c r="F2469" s="261"/>
      <c r="G2469" s="261"/>
      <c r="H2469" s="261"/>
      <c r="I2469" s="261"/>
      <c r="J2469" s="261"/>
      <c r="K2469" s="261"/>
      <c r="L2469" s="261"/>
      <c r="M2469" s="261"/>
    </row>
    <row r="2470" spans="5:13">
      <c r="E2470" s="261"/>
      <c r="F2470" s="261"/>
      <c r="G2470" s="261"/>
      <c r="H2470" s="261"/>
      <c r="I2470" s="261"/>
      <c r="J2470" s="261"/>
      <c r="K2470" s="261"/>
      <c r="L2470" s="261"/>
      <c r="M2470" s="261"/>
    </row>
    <row r="2471" spans="5:13">
      <c r="E2471" s="261"/>
      <c r="F2471" s="261"/>
      <c r="G2471" s="261"/>
      <c r="H2471" s="261"/>
      <c r="I2471" s="261"/>
      <c r="J2471" s="261"/>
      <c r="K2471" s="261"/>
      <c r="L2471" s="261"/>
      <c r="M2471" s="261"/>
    </row>
    <row r="2472" spans="5:13">
      <c r="E2472" s="261"/>
      <c r="F2472" s="261"/>
      <c r="G2472" s="261"/>
      <c r="H2472" s="261"/>
      <c r="I2472" s="261"/>
      <c r="J2472" s="261"/>
      <c r="K2472" s="261"/>
      <c r="L2472" s="261"/>
      <c r="M2472" s="261"/>
    </row>
    <row r="2473" spans="5:13">
      <c r="E2473" s="261"/>
      <c r="F2473" s="261"/>
      <c r="G2473" s="261"/>
      <c r="H2473" s="261"/>
      <c r="I2473" s="261"/>
      <c r="J2473" s="261"/>
      <c r="K2473" s="261"/>
      <c r="L2473" s="261"/>
      <c r="M2473" s="261"/>
    </row>
    <row r="2474" spans="5:13">
      <c r="E2474" s="261"/>
      <c r="F2474" s="261"/>
      <c r="G2474" s="261"/>
      <c r="H2474" s="261"/>
      <c r="I2474" s="261"/>
      <c r="J2474" s="261"/>
      <c r="K2474" s="261"/>
      <c r="L2474" s="261"/>
      <c r="M2474" s="261"/>
    </row>
    <row r="2475" spans="5:13">
      <c r="E2475" s="261"/>
      <c r="F2475" s="261"/>
      <c r="G2475" s="261"/>
      <c r="H2475" s="261"/>
      <c r="I2475" s="261"/>
      <c r="J2475" s="261"/>
      <c r="K2475" s="261"/>
      <c r="L2475" s="261"/>
      <c r="M2475" s="261"/>
    </row>
    <row r="2476" spans="5:13">
      <c r="E2476" s="261"/>
      <c r="F2476" s="261"/>
      <c r="G2476" s="261"/>
      <c r="H2476" s="261"/>
      <c r="I2476" s="261"/>
      <c r="J2476" s="261"/>
      <c r="K2476" s="261"/>
      <c r="L2476" s="261"/>
      <c r="M2476" s="261"/>
    </row>
    <row r="2477" spans="5:13">
      <c r="E2477" s="261"/>
      <c r="F2477" s="261"/>
      <c r="G2477" s="261"/>
      <c r="H2477" s="261"/>
      <c r="I2477" s="261"/>
      <c r="J2477" s="261"/>
      <c r="K2477" s="261"/>
      <c r="L2477" s="261"/>
      <c r="M2477" s="261"/>
    </row>
    <row r="2478" spans="5:13">
      <c r="E2478" s="261"/>
      <c r="F2478" s="261"/>
      <c r="G2478" s="261"/>
      <c r="H2478" s="261"/>
      <c r="I2478" s="261"/>
      <c r="J2478" s="261"/>
      <c r="K2478" s="261"/>
      <c r="L2478" s="261"/>
      <c r="M2478" s="261"/>
    </row>
    <row r="2479" spans="5:13">
      <c r="E2479" s="261"/>
      <c r="F2479" s="261"/>
      <c r="G2479" s="261"/>
      <c r="H2479" s="261"/>
      <c r="I2479" s="261"/>
      <c r="J2479" s="261"/>
      <c r="K2479" s="261"/>
      <c r="L2479" s="261"/>
      <c r="M2479" s="261"/>
    </row>
    <row r="2480" spans="5:13">
      <c r="E2480" s="261"/>
      <c r="F2480" s="261"/>
      <c r="G2480" s="261"/>
      <c r="H2480" s="261"/>
      <c r="I2480" s="261"/>
      <c r="J2480" s="261"/>
      <c r="K2480" s="261"/>
      <c r="L2480" s="261"/>
      <c r="M2480" s="261"/>
    </row>
    <row r="2481" spans="5:13">
      <c r="E2481" s="261"/>
      <c r="F2481" s="261"/>
      <c r="G2481" s="261"/>
      <c r="H2481" s="261"/>
      <c r="I2481" s="261"/>
      <c r="J2481" s="261"/>
      <c r="K2481" s="261"/>
      <c r="L2481" s="261"/>
      <c r="M2481" s="261"/>
    </row>
    <row r="2482" spans="5:13">
      <c r="E2482" s="261"/>
      <c r="F2482" s="261"/>
      <c r="G2482" s="261"/>
      <c r="H2482" s="261"/>
      <c r="I2482" s="261"/>
      <c r="J2482" s="261"/>
      <c r="K2482" s="261"/>
      <c r="L2482" s="261"/>
      <c r="M2482" s="261"/>
    </row>
    <row r="2483" spans="5:13">
      <c r="E2483" s="261"/>
      <c r="F2483" s="261"/>
      <c r="G2483" s="261"/>
      <c r="H2483" s="261"/>
      <c r="I2483" s="261"/>
      <c r="J2483" s="261"/>
      <c r="K2483" s="261"/>
      <c r="L2483" s="261"/>
      <c r="M2483" s="261"/>
    </row>
    <row r="2484" spans="5:13">
      <c r="E2484" s="261"/>
      <c r="F2484" s="261"/>
      <c r="G2484" s="261"/>
      <c r="H2484" s="261"/>
      <c r="I2484" s="261"/>
      <c r="J2484" s="261"/>
      <c r="K2484" s="261"/>
      <c r="L2484" s="261"/>
      <c r="M2484" s="261"/>
    </row>
    <row r="2485" spans="5:13">
      <c r="E2485" s="261"/>
      <c r="F2485" s="261"/>
      <c r="G2485" s="261"/>
      <c r="H2485" s="261"/>
      <c r="I2485" s="261"/>
      <c r="J2485" s="261"/>
      <c r="K2485" s="261"/>
      <c r="L2485" s="261"/>
      <c r="M2485" s="261"/>
    </row>
    <row r="2486" spans="5:13">
      <c r="E2486" s="261"/>
      <c r="F2486" s="261"/>
      <c r="G2486" s="261"/>
      <c r="H2486" s="261"/>
      <c r="I2486" s="261"/>
      <c r="J2486" s="261"/>
      <c r="K2486" s="261"/>
      <c r="L2486" s="261"/>
      <c r="M2486" s="261"/>
    </row>
    <row r="2487" spans="5:13">
      <c r="E2487" s="261"/>
      <c r="F2487" s="261"/>
      <c r="G2487" s="261"/>
      <c r="H2487" s="261"/>
      <c r="I2487" s="261"/>
      <c r="J2487" s="261"/>
      <c r="K2487" s="261"/>
      <c r="L2487" s="261"/>
      <c r="M2487" s="261"/>
    </row>
    <row r="2488" spans="5:13">
      <c r="E2488" s="261"/>
      <c r="F2488" s="261"/>
      <c r="G2488" s="261"/>
      <c r="H2488" s="261"/>
      <c r="I2488" s="261"/>
      <c r="J2488" s="261"/>
      <c r="K2488" s="261"/>
      <c r="L2488" s="261"/>
      <c r="M2488" s="261"/>
    </row>
    <row r="2489" spans="5:13">
      <c r="E2489" s="261"/>
      <c r="F2489" s="261"/>
      <c r="G2489" s="261"/>
      <c r="H2489" s="261"/>
      <c r="I2489" s="261"/>
      <c r="J2489" s="261"/>
      <c r="K2489" s="261"/>
      <c r="L2489" s="261"/>
      <c r="M2489" s="261"/>
    </row>
    <row r="2490" spans="5:13">
      <c r="E2490" s="261"/>
      <c r="F2490" s="261"/>
      <c r="G2490" s="261"/>
      <c r="H2490" s="261"/>
      <c r="I2490" s="261"/>
      <c r="J2490" s="261"/>
      <c r="K2490" s="261"/>
      <c r="L2490" s="261"/>
      <c r="M2490" s="261"/>
    </row>
    <row r="2491" spans="5:13">
      <c r="E2491" s="261"/>
      <c r="F2491" s="261"/>
      <c r="G2491" s="261"/>
      <c r="H2491" s="261"/>
      <c r="I2491" s="261"/>
      <c r="J2491" s="261"/>
      <c r="K2491" s="261"/>
      <c r="L2491" s="261"/>
      <c r="M2491" s="261"/>
    </row>
    <row r="2492" spans="5:13">
      <c r="E2492" s="261"/>
      <c r="F2492" s="261"/>
      <c r="G2492" s="261"/>
      <c r="H2492" s="261"/>
      <c r="I2492" s="261"/>
      <c r="J2492" s="261"/>
      <c r="K2492" s="261"/>
      <c r="L2492" s="261"/>
      <c r="M2492" s="261"/>
    </row>
    <row r="2493" spans="5:13">
      <c r="E2493" s="261"/>
      <c r="F2493" s="261"/>
      <c r="G2493" s="261"/>
      <c r="H2493" s="261"/>
      <c r="I2493" s="261"/>
      <c r="J2493" s="261"/>
      <c r="K2493" s="261"/>
      <c r="L2493" s="261"/>
      <c r="M2493" s="261"/>
    </row>
    <row r="2494" spans="5:13">
      <c r="E2494" s="261"/>
      <c r="F2494" s="261"/>
      <c r="G2494" s="261"/>
      <c r="H2494" s="261"/>
      <c r="I2494" s="261"/>
      <c r="J2494" s="261"/>
      <c r="K2494" s="261"/>
      <c r="L2494" s="261"/>
      <c r="M2494" s="261"/>
    </row>
    <row r="2495" spans="5:13">
      <c r="E2495" s="261"/>
      <c r="F2495" s="261"/>
      <c r="G2495" s="261"/>
      <c r="H2495" s="261"/>
      <c r="I2495" s="261"/>
      <c r="J2495" s="261"/>
      <c r="K2495" s="261"/>
      <c r="L2495" s="261"/>
      <c r="M2495" s="261"/>
    </row>
    <row r="2496" spans="5:13">
      <c r="E2496" s="261"/>
      <c r="F2496" s="261"/>
      <c r="G2496" s="261"/>
      <c r="H2496" s="261"/>
      <c r="I2496" s="261"/>
      <c r="J2496" s="261"/>
      <c r="K2496" s="261"/>
      <c r="L2496" s="261"/>
      <c r="M2496" s="261"/>
    </row>
    <row r="2497" spans="5:13">
      <c r="E2497" s="261"/>
      <c r="F2497" s="261"/>
      <c r="G2497" s="261"/>
      <c r="H2497" s="261"/>
      <c r="I2497" s="261"/>
      <c r="J2497" s="261"/>
      <c r="K2497" s="261"/>
      <c r="L2497" s="261"/>
      <c r="M2497" s="261"/>
    </row>
    <row r="2498" spans="5:13">
      <c r="E2498" s="261"/>
      <c r="F2498" s="261"/>
      <c r="G2498" s="261"/>
      <c r="H2498" s="261"/>
      <c r="I2498" s="261"/>
      <c r="J2498" s="261"/>
      <c r="K2498" s="261"/>
      <c r="L2498" s="261"/>
      <c r="M2498" s="261"/>
    </row>
    <row r="2499" spans="5:13">
      <c r="E2499" s="261"/>
      <c r="F2499" s="261"/>
      <c r="G2499" s="261"/>
      <c r="H2499" s="261"/>
      <c r="I2499" s="261"/>
      <c r="J2499" s="261"/>
      <c r="K2499" s="261"/>
      <c r="L2499" s="261"/>
      <c r="M2499" s="261"/>
    </row>
    <row r="2500" spans="5:13">
      <c r="E2500" s="261"/>
      <c r="F2500" s="261"/>
      <c r="G2500" s="261"/>
      <c r="H2500" s="261"/>
      <c r="I2500" s="261"/>
      <c r="J2500" s="261"/>
      <c r="K2500" s="261"/>
      <c r="L2500" s="261"/>
      <c r="M2500" s="261"/>
    </row>
    <row r="2501" spans="5:13">
      <c r="E2501" s="261"/>
      <c r="F2501" s="261"/>
      <c r="G2501" s="261"/>
      <c r="H2501" s="261"/>
      <c r="I2501" s="261"/>
      <c r="J2501" s="261"/>
      <c r="K2501" s="261"/>
      <c r="L2501" s="261"/>
      <c r="M2501" s="261"/>
    </row>
    <row r="2502" spans="5:13">
      <c r="E2502" s="261"/>
      <c r="F2502" s="261"/>
      <c r="G2502" s="261"/>
      <c r="H2502" s="261"/>
      <c r="I2502" s="261"/>
      <c r="J2502" s="261"/>
      <c r="K2502" s="261"/>
      <c r="L2502" s="261"/>
      <c r="M2502" s="261"/>
    </row>
    <row r="2503" spans="5:13">
      <c r="E2503" s="261"/>
      <c r="F2503" s="261"/>
      <c r="G2503" s="261"/>
      <c r="H2503" s="261"/>
      <c r="I2503" s="261"/>
      <c r="J2503" s="261"/>
      <c r="K2503" s="261"/>
      <c r="L2503" s="261"/>
      <c r="M2503" s="261"/>
    </row>
    <row r="2504" spans="5:13">
      <c r="E2504" s="261"/>
      <c r="F2504" s="261"/>
      <c r="G2504" s="261"/>
      <c r="H2504" s="261"/>
      <c r="I2504" s="261"/>
      <c r="J2504" s="261"/>
      <c r="K2504" s="261"/>
      <c r="L2504" s="261"/>
      <c r="M2504" s="261"/>
    </row>
    <row r="2505" spans="5:13">
      <c r="E2505" s="261"/>
      <c r="F2505" s="261"/>
      <c r="G2505" s="261"/>
      <c r="H2505" s="261"/>
      <c r="I2505" s="261"/>
      <c r="J2505" s="261"/>
      <c r="K2505" s="261"/>
      <c r="L2505" s="261"/>
      <c r="M2505" s="261"/>
    </row>
    <row r="2506" spans="5:13">
      <c r="E2506" s="261"/>
      <c r="F2506" s="261"/>
      <c r="G2506" s="261"/>
      <c r="H2506" s="261"/>
      <c r="I2506" s="261"/>
      <c r="J2506" s="261"/>
      <c r="K2506" s="261"/>
      <c r="L2506" s="261"/>
      <c r="M2506" s="261"/>
    </row>
    <row r="2507" spans="5:13">
      <c r="E2507" s="261"/>
      <c r="F2507" s="261"/>
      <c r="G2507" s="261"/>
      <c r="H2507" s="261"/>
      <c r="I2507" s="261"/>
      <c r="J2507" s="261"/>
      <c r="K2507" s="261"/>
      <c r="L2507" s="261"/>
      <c r="M2507" s="261"/>
    </row>
    <row r="2508" spans="5:13">
      <c r="E2508" s="261"/>
      <c r="F2508" s="261"/>
      <c r="G2508" s="261"/>
      <c r="H2508" s="261"/>
      <c r="I2508" s="261"/>
      <c r="J2508" s="261"/>
      <c r="K2508" s="261"/>
      <c r="L2508" s="261"/>
      <c r="M2508" s="261"/>
    </row>
    <row r="2509" spans="5:13">
      <c r="E2509" s="261"/>
      <c r="F2509" s="261"/>
      <c r="G2509" s="261"/>
      <c r="H2509" s="261"/>
      <c r="I2509" s="261"/>
      <c r="J2509" s="261"/>
      <c r="K2509" s="261"/>
      <c r="L2509" s="261"/>
      <c r="M2509" s="261"/>
    </row>
    <row r="2510" spans="5:13">
      <c r="E2510" s="261"/>
      <c r="F2510" s="261"/>
      <c r="G2510" s="261"/>
      <c r="H2510" s="261"/>
      <c r="I2510" s="261"/>
      <c r="J2510" s="261"/>
      <c r="K2510" s="261"/>
      <c r="L2510" s="261"/>
      <c r="M2510" s="261"/>
    </row>
    <row r="2511" spans="5:13">
      <c r="E2511" s="261"/>
      <c r="F2511" s="261"/>
      <c r="G2511" s="261"/>
      <c r="H2511" s="261"/>
      <c r="I2511" s="261"/>
      <c r="J2511" s="261"/>
      <c r="K2511" s="261"/>
      <c r="L2511" s="261"/>
      <c r="M2511" s="261"/>
    </row>
    <row r="2512" spans="5:13">
      <c r="E2512" s="261"/>
      <c r="F2512" s="261"/>
      <c r="G2512" s="261"/>
      <c r="H2512" s="261"/>
      <c r="I2512" s="261"/>
      <c r="J2512" s="261"/>
      <c r="K2512" s="261"/>
      <c r="L2512" s="261"/>
      <c r="M2512" s="261"/>
    </row>
    <row r="2513" spans="5:13">
      <c r="E2513" s="261"/>
      <c r="F2513" s="261"/>
      <c r="G2513" s="261"/>
      <c r="H2513" s="261"/>
      <c r="I2513" s="261"/>
      <c r="J2513" s="261"/>
      <c r="K2513" s="261"/>
      <c r="L2513" s="261"/>
      <c r="M2513" s="261"/>
    </row>
    <row r="2514" spans="5:13">
      <c r="E2514" s="261"/>
      <c r="F2514" s="261"/>
      <c r="G2514" s="261"/>
      <c r="H2514" s="261"/>
      <c r="I2514" s="261"/>
      <c r="J2514" s="261"/>
      <c r="K2514" s="261"/>
      <c r="L2514" s="261"/>
      <c r="M2514" s="261"/>
    </row>
    <row r="2515" spans="5:13">
      <c r="E2515" s="261"/>
      <c r="F2515" s="261"/>
      <c r="G2515" s="261"/>
      <c r="H2515" s="261"/>
      <c r="I2515" s="261"/>
      <c r="J2515" s="261"/>
      <c r="K2515" s="261"/>
      <c r="L2515" s="261"/>
      <c r="M2515" s="261"/>
    </row>
    <row r="2516" spans="5:13">
      <c r="E2516" s="261"/>
      <c r="F2516" s="261"/>
      <c r="G2516" s="261"/>
      <c r="H2516" s="261"/>
      <c r="I2516" s="261"/>
      <c r="J2516" s="261"/>
      <c r="K2516" s="261"/>
      <c r="L2516" s="261"/>
      <c r="M2516" s="261"/>
    </row>
    <row r="2517" spans="5:13">
      <c r="E2517" s="261"/>
      <c r="F2517" s="261"/>
      <c r="G2517" s="261"/>
      <c r="H2517" s="261"/>
      <c r="I2517" s="261"/>
      <c r="J2517" s="261"/>
      <c r="K2517" s="261"/>
      <c r="L2517" s="261"/>
      <c r="M2517" s="261"/>
    </row>
    <row r="2518" spans="5:13">
      <c r="E2518" s="261"/>
      <c r="F2518" s="261"/>
      <c r="G2518" s="261"/>
      <c r="H2518" s="261"/>
      <c r="I2518" s="261"/>
      <c r="J2518" s="261"/>
      <c r="K2518" s="261"/>
      <c r="L2518" s="261"/>
      <c r="M2518" s="261"/>
    </row>
    <row r="2519" spans="5:13">
      <c r="E2519" s="261"/>
      <c r="F2519" s="261"/>
      <c r="G2519" s="261"/>
      <c r="H2519" s="261"/>
      <c r="I2519" s="261"/>
      <c r="J2519" s="261"/>
      <c r="K2519" s="261"/>
      <c r="L2519" s="261"/>
      <c r="M2519" s="261"/>
    </row>
    <row r="2520" spans="5:13">
      <c r="E2520" s="261"/>
      <c r="F2520" s="261"/>
      <c r="G2520" s="261"/>
      <c r="H2520" s="261"/>
      <c r="I2520" s="261"/>
      <c r="J2520" s="261"/>
      <c r="K2520" s="261"/>
      <c r="L2520" s="261"/>
      <c r="M2520" s="261"/>
    </row>
    <row r="2521" spans="5:13">
      <c r="E2521" s="261"/>
      <c r="F2521" s="261"/>
      <c r="G2521" s="261"/>
      <c r="H2521" s="261"/>
      <c r="I2521" s="261"/>
      <c r="J2521" s="261"/>
      <c r="K2521" s="261"/>
      <c r="L2521" s="261"/>
      <c r="M2521" s="261"/>
    </row>
    <row r="2522" spans="5:13">
      <c r="E2522" s="261"/>
      <c r="F2522" s="261"/>
      <c r="G2522" s="261"/>
      <c r="H2522" s="261"/>
      <c r="I2522" s="261"/>
      <c r="J2522" s="261"/>
      <c r="K2522" s="261"/>
      <c r="L2522" s="261"/>
      <c r="M2522" s="261"/>
    </row>
    <row r="2523" spans="5:13">
      <c r="E2523" s="261"/>
      <c r="F2523" s="261"/>
      <c r="G2523" s="261"/>
      <c r="H2523" s="261"/>
      <c r="I2523" s="261"/>
      <c r="J2523" s="261"/>
      <c r="K2523" s="261"/>
      <c r="L2523" s="261"/>
      <c r="M2523" s="261"/>
    </row>
    <row r="2524" spans="5:13">
      <c r="E2524" s="261"/>
      <c r="F2524" s="261"/>
      <c r="G2524" s="261"/>
      <c r="H2524" s="261"/>
      <c r="I2524" s="261"/>
      <c r="J2524" s="261"/>
      <c r="K2524" s="261"/>
      <c r="L2524" s="261"/>
      <c r="M2524" s="261"/>
    </row>
    <row r="2525" spans="5:13">
      <c r="E2525" s="261"/>
      <c r="F2525" s="261"/>
      <c r="G2525" s="261"/>
      <c r="H2525" s="261"/>
      <c r="I2525" s="261"/>
      <c r="J2525" s="261"/>
      <c r="K2525" s="261"/>
      <c r="L2525" s="261"/>
      <c r="M2525" s="261"/>
    </row>
    <row r="2526" spans="5:13">
      <c r="E2526" s="261"/>
      <c r="F2526" s="261"/>
      <c r="G2526" s="261"/>
      <c r="H2526" s="261"/>
      <c r="I2526" s="261"/>
      <c r="J2526" s="261"/>
      <c r="K2526" s="261"/>
      <c r="L2526" s="261"/>
      <c r="M2526" s="261"/>
    </row>
    <row r="2527" spans="5:13">
      <c r="E2527" s="261"/>
      <c r="F2527" s="261"/>
      <c r="G2527" s="261"/>
      <c r="H2527" s="261"/>
      <c r="I2527" s="261"/>
      <c r="J2527" s="261"/>
      <c r="K2527" s="261"/>
      <c r="L2527" s="261"/>
      <c r="M2527" s="261"/>
    </row>
    <row r="2528" spans="5:13">
      <c r="E2528" s="261"/>
      <c r="F2528" s="261"/>
      <c r="G2528" s="261"/>
      <c r="H2528" s="261"/>
      <c r="I2528" s="261"/>
      <c r="J2528" s="261"/>
      <c r="K2528" s="261"/>
      <c r="L2528" s="261"/>
      <c r="M2528" s="261"/>
    </row>
    <row r="2529" spans="5:13">
      <c r="E2529" s="261"/>
      <c r="F2529" s="261"/>
      <c r="G2529" s="261"/>
      <c r="H2529" s="261"/>
      <c r="I2529" s="261"/>
      <c r="J2529" s="261"/>
      <c r="K2529" s="261"/>
      <c r="L2529" s="261"/>
      <c r="M2529" s="261"/>
    </row>
    <row r="2530" spans="5:13">
      <c r="E2530" s="261"/>
      <c r="F2530" s="261"/>
      <c r="G2530" s="261"/>
      <c r="H2530" s="261"/>
      <c r="I2530" s="261"/>
      <c r="J2530" s="261"/>
      <c r="K2530" s="261"/>
      <c r="L2530" s="261"/>
      <c r="M2530" s="261"/>
    </row>
    <row r="2531" spans="5:13">
      <c r="E2531" s="261"/>
      <c r="F2531" s="261"/>
      <c r="G2531" s="261"/>
      <c r="H2531" s="261"/>
      <c r="I2531" s="261"/>
      <c r="J2531" s="261"/>
      <c r="K2531" s="261"/>
      <c r="L2531" s="261"/>
      <c r="M2531" s="261"/>
    </row>
    <row r="2532" spans="5:13">
      <c r="E2532" s="261"/>
      <c r="F2532" s="261"/>
      <c r="G2532" s="261"/>
      <c r="H2532" s="261"/>
      <c r="I2532" s="261"/>
      <c r="J2532" s="261"/>
      <c r="K2532" s="261"/>
      <c r="L2532" s="261"/>
      <c r="M2532" s="261"/>
    </row>
    <row r="2533" spans="5:13">
      <c r="E2533" s="261"/>
      <c r="F2533" s="261"/>
      <c r="G2533" s="261"/>
      <c r="H2533" s="261"/>
      <c r="I2533" s="261"/>
      <c r="J2533" s="261"/>
      <c r="K2533" s="261"/>
      <c r="L2533" s="261"/>
      <c r="M2533" s="261"/>
    </row>
    <row r="2534" spans="5:13">
      <c r="E2534" s="261"/>
      <c r="F2534" s="261"/>
      <c r="G2534" s="261"/>
      <c r="H2534" s="261"/>
      <c r="I2534" s="261"/>
      <c r="J2534" s="261"/>
      <c r="K2534" s="261"/>
      <c r="L2534" s="261"/>
      <c r="M2534" s="261"/>
    </row>
    <row r="2535" spans="5:13">
      <c r="E2535" s="261"/>
      <c r="F2535" s="261"/>
      <c r="G2535" s="261"/>
      <c r="H2535" s="261"/>
      <c r="I2535" s="261"/>
      <c r="J2535" s="261"/>
      <c r="K2535" s="261"/>
      <c r="L2535" s="261"/>
      <c r="M2535" s="261"/>
    </row>
    <row r="2536" spans="5:13">
      <c r="E2536" s="261"/>
      <c r="F2536" s="261"/>
      <c r="G2536" s="261"/>
      <c r="H2536" s="261"/>
      <c r="I2536" s="261"/>
      <c r="J2536" s="261"/>
      <c r="K2536" s="261"/>
      <c r="L2536" s="261"/>
      <c r="M2536" s="261"/>
    </row>
    <row r="2537" spans="5:13">
      <c r="E2537" s="261"/>
      <c r="F2537" s="261"/>
      <c r="G2537" s="261"/>
      <c r="H2537" s="261"/>
      <c r="I2537" s="261"/>
      <c r="J2537" s="261"/>
      <c r="K2537" s="261"/>
      <c r="L2537" s="261"/>
      <c r="M2537" s="261"/>
    </row>
    <row r="2538" spans="5:13">
      <c r="E2538" s="261"/>
      <c r="F2538" s="261"/>
      <c r="G2538" s="261"/>
      <c r="H2538" s="261"/>
      <c r="I2538" s="261"/>
      <c r="J2538" s="261"/>
      <c r="K2538" s="261"/>
      <c r="L2538" s="261"/>
      <c r="M2538" s="261"/>
    </row>
    <row r="2539" spans="5:13">
      <c r="E2539" s="261"/>
      <c r="F2539" s="261"/>
      <c r="G2539" s="261"/>
      <c r="H2539" s="261"/>
      <c r="I2539" s="261"/>
      <c r="J2539" s="261"/>
      <c r="K2539" s="261"/>
      <c r="L2539" s="261"/>
      <c r="M2539" s="261"/>
    </row>
    <row r="2540" spans="5:13">
      <c r="E2540" s="261"/>
      <c r="F2540" s="261"/>
      <c r="G2540" s="261"/>
      <c r="H2540" s="261"/>
      <c r="I2540" s="261"/>
      <c r="J2540" s="261"/>
      <c r="K2540" s="261"/>
      <c r="L2540" s="261"/>
      <c r="M2540" s="261"/>
    </row>
    <row r="2541" spans="5:13">
      <c r="E2541" s="261"/>
      <c r="F2541" s="261"/>
      <c r="G2541" s="261"/>
      <c r="H2541" s="261"/>
      <c r="I2541" s="261"/>
      <c r="J2541" s="261"/>
      <c r="K2541" s="261"/>
      <c r="L2541" s="261"/>
      <c r="M2541" s="261"/>
    </row>
    <row r="2542" spans="5:13">
      <c r="E2542" s="261"/>
      <c r="F2542" s="261"/>
      <c r="G2542" s="261"/>
      <c r="H2542" s="261"/>
      <c r="I2542" s="261"/>
      <c r="J2542" s="261"/>
      <c r="K2542" s="261"/>
      <c r="L2542" s="261"/>
      <c r="M2542" s="261"/>
    </row>
    <row r="2543" spans="5:13">
      <c r="E2543" s="261"/>
      <c r="F2543" s="261"/>
      <c r="G2543" s="261"/>
      <c r="H2543" s="261"/>
      <c r="I2543" s="261"/>
      <c r="J2543" s="261"/>
      <c r="K2543" s="261"/>
      <c r="L2543" s="261"/>
      <c r="M2543" s="261"/>
    </row>
    <row r="2544" spans="5:13">
      <c r="E2544" s="261"/>
      <c r="F2544" s="261"/>
      <c r="G2544" s="261"/>
      <c r="H2544" s="261"/>
      <c r="I2544" s="261"/>
      <c r="J2544" s="261"/>
      <c r="K2544" s="261"/>
      <c r="L2544" s="261"/>
      <c r="M2544" s="261"/>
    </row>
    <row r="2545" spans="5:13">
      <c r="E2545" s="261"/>
      <c r="F2545" s="261"/>
      <c r="G2545" s="261"/>
      <c r="H2545" s="261"/>
      <c r="I2545" s="261"/>
      <c r="J2545" s="261"/>
      <c r="K2545" s="261"/>
      <c r="L2545" s="261"/>
      <c r="M2545" s="261"/>
    </row>
    <row r="2546" spans="5:13">
      <c r="E2546" s="261"/>
      <c r="F2546" s="261"/>
      <c r="G2546" s="261"/>
      <c r="H2546" s="261"/>
      <c r="I2546" s="261"/>
      <c r="J2546" s="261"/>
      <c r="K2546" s="261"/>
      <c r="L2546" s="261"/>
      <c r="M2546" s="261"/>
    </row>
    <row r="2547" spans="5:13">
      <c r="E2547" s="261"/>
      <c r="F2547" s="261"/>
      <c r="G2547" s="261"/>
      <c r="H2547" s="261"/>
      <c r="I2547" s="261"/>
      <c r="J2547" s="261"/>
      <c r="K2547" s="261"/>
      <c r="L2547" s="261"/>
      <c r="M2547" s="261"/>
    </row>
    <row r="2548" spans="5:13">
      <c r="E2548" s="261"/>
      <c r="F2548" s="261"/>
      <c r="G2548" s="261"/>
      <c r="H2548" s="261"/>
      <c r="I2548" s="261"/>
      <c r="J2548" s="261"/>
      <c r="K2548" s="261"/>
      <c r="L2548" s="261"/>
      <c r="M2548" s="261"/>
    </row>
    <row r="2549" spans="5:13">
      <c r="E2549" s="261"/>
      <c r="F2549" s="261"/>
      <c r="G2549" s="261"/>
      <c r="H2549" s="261"/>
      <c r="I2549" s="261"/>
      <c r="J2549" s="261"/>
      <c r="K2549" s="261"/>
      <c r="L2549" s="261"/>
      <c r="M2549" s="261"/>
    </row>
    <row r="2550" spans="5:13">
      <c r="E2550" s="261"/>
      <c r="F2550" s="261"/>
      <c r="G2550" s="261"/>
      <c r="H2550" s="261"/>
      <c r="I2550" s="261"/>
      <c r="J2550" s="261"/>
      <c r="K2550" s="261"/>
      <c r="L2550" s="261"/>
      <c r="M2550" s="261"/>
    </row>
    <row r="2551" spans="5:13">
      <c r="E2551" s="261"/>
      <c r="F2551" s="261"/>
      <c r="G2551" s="261"/>
      <c r="H2551" s="261"/>
      <c r="I2551" s="261"/>
      <c r="J2551" s="261"/>
      <c r="K2551" s="261"/>
      <c r="L2551" s="261"/>
      <c r="M2551" s="261"/>
    </row>
    <row r="2552" spans="5:13">
      <c r="E2552" s="261"/>
      <c r="F2552" s="261"/>
      <c r="G2552" s="261"/>
      <c r="H2552" s="261"/>
      <c r="I2552" s="261"/>
      <c r="J2552" s="261"/>
      <c r="K2552" s="261"/>
      <c r="L2552" s="261"/>
      <c r="M2552" s="261"/>
    </row>
    <row r="2553" spans="5:13">
      <c r="E2553" s="261"/>
      <c r="F2553" s="261"/>
      <c r="G2553" s="261"/>
      <c r="H2553" s="261"/>
      <c r="I2553" s="261"/>
      <c r="J2553" s="261"/>
      <c r="K2553" s="261"/>
      <c r="L2553" s="261"/>
      <c r="M2553" s="261"/>
    </row>
    <row r="2554" spans="5:13">
      <c r="E2554" s="261"/>
      <c r="F2554" s="261"/>
      <c r="G2554" s="261"/>
      <c r="H2554" s="261"/>
      <c r="I2554" s="261"/>
      <c r="J2554" s="261"/>
      <c r="K2554" s="261"/>
      <c r="L2554" s="261"/>
      <c r="M2554" s="261"/>
    </row>
    <row r="2555" spans="5:13">
      <c r="E2555" s="261"/>
      <c r="F2555" s="261"/>
      <c r="G2555" s="261"/>
      <c r="H2555" s="261"/>
      <c r="I2555" s="261"/>
      <c r="J2555" s="261"/>
      <c r="K2555" s="261"/>
      <c r="L2555" s="261"/>
      <c r="M2555" s="261"/>
    </row>
    <row r="2556" spans="5:13">
      <c r="E2556" s="261"/>
      <c r="F2556" s="261"/>
      <c r="G2556" s="261"/>
      <c r="H2556" s="261"/>
      <c r="I2556" s="261"/>
      <c r="J2556" s="261"/>
      <c r="K2556" s="261"/>
      <c r="L2556" s="261"/>
      <c r="M2556" s="261"/>
    </row>
    <row r="2557" spans="5:13">
      <c r="E2557" s="261"/>
      <c r="F2557" s="261"/>
      <c r="G2557" s="261"/>
      <c r="H2557" s="261"/>
      <c r="I2557" s="261"/>
      <c r="J2557" s="261"/>
      <c r="K2557" s="261"/>
      <c r="L2557" s="261"/>
      <c r="M2557" s="261"/>
    </row>
    <row r="2558" spans="5:13">
      <c r="E2558" s="261"/>
      <c r="F2558" s="261"/>
      <c r="G2558" s="261"/>
      <c r="H2558" s="261"/>
      <c r="I2558" s="261"/>
      <c r="J2558" s="261"/>
      <c r="K2558" s="261"/>
      <c r="L2558" s="261"/>
      <c r="M2558" s="261"/>
    </row>
    <row r="2559" spans="5:13">
      <c r="E2559" s="261"/>
      <c r="F2559" s="261"/>
      <c r="G2559" s="261"/>
      <c r="H2559" s="261"/>
      <c r="I2559" s="261"/>
      <c r="J2559" s="261"/>
      <c r="K2559" s="261"/>
      <c r="L2559" s="261"/>
      <c r="M2559" s="261"/>
    </row>
    <row r="2560" spans="5:13">
      <c r="E2560" s="261"/>
      <c r="F2560" s="261"/>
      <c r="G2560" s="261"/>
      <c r="H2560" s="261"/>
      <c r="I2560" s="261"/>
      <c r="J2560" s="261"/>
      <c r="K2560" s="261"/>
      <c r="L2560" s="261"/>
      <c r="M2560" s="261"/>
    </row>
    <row r="2561" spans="5:13">
      <c r="E2561" s="261"/>
      <c r="F2561" s="261"/>
      <c r="G2561" s="261"/>
      <c r="H2561" s="261"/>
      <c r="I2561" s="261"/>
      <c r="J2561" s="261"/>
      <c r="K2561" s="261"/>
      <c r="L2561" s="261"/>
      <c r="M2561" s="261"/>
    </row>
    <row r="2562" spans="5:13">
      <c r="E2562" s="261"/>
      <c r="F2562" s="261"/>
      <c r="G2562" s="261"/>
      <c r="H2562" s="261"/>
      <c r="I2562" s="261"/>
      <c r="J2562" s="261"/>
      <c r="K2562" s="261"/>
      <c r="L2562" s="261"/>
      <c r="M2562" s="261"/>
    </row>
    <row r="2563" spans="5:13">
      <c r="E2563" s="261"/>
      <c r="F2563" s="261"/>
      <c r="G2563" s="261"/>
      <c r="H2563" s="261"/>
      <c r="I2563" s="261"/>
      <c r="J2563" s="261"/>
      <c r="K2563" s="261"/>
      <c r="L2563" s="261"/>
      <c r="M2563" s="261"/>
    </row>
    <row r="2564" spans="5:13">
      <c r="E2564" s="261"/>
      <c r="F2564" s="261"/>
      <c r="G2564" s="261"/>
      <c r="H2564" s="261"/>
      <c r="I2564" s="261"/>
      <c r="J2564" s="261"/>
      <c r="K2564" s="261"/>
      <c r="L2564" s="261"/>
      <c r="M2564" s="261"/>
    </row>
    <row r="2565" spans="5:13">
      <c r="E2565" s="261"/>
      <c r="F2565" s="261"/>
      <c r="G2565" s="261"/>
      <c r="H2565" s="261"/>
      <c r="I2565" s="261"/>
      <c r="J2565" s="261"/>
      <c r="K2565" s="261"/>
      <c r="L2565" s="261"/>
      <c r="M2565" s="261"/>
    </row>
    <row r="2566" spans="5:13">
      <c r="E2566" s="261"/>
      <c r="F2566" s="261"/>
      <c r="G2566" s="261"/>
      <c r="H2566" s="261"/>
      <c r="I2566" s="261"/>
      <c r="J2566" s="261"/>
      <c r="K2566" s="261"/>
      <c r="L2566" s="261"/>
      <c r="M2566" s="261"/>
    </row>
    <row r="2567" spans="5:13">
      <c r="E2567" s="261"/>
      <c r="F2567" s="261"/>
      <c r="G2567" s="261"/>
      <c r="H2567" s="261"/>
      <c r="I2567" s="261"/>
      <c r="J2567" s="261"/>
      <c r="K2567" s="261"/>
      <c r="L2567" s="261"/>
      <c r="M2567" s="261"/>
    </row>
    <row r="2568" spans="5:13">
      <c r="E2568" s="261"/>
      <c r="F2568" s="261"/>
      <c r="G2568" s="261"/>
      <c r="H2568" s="261"/>
      <c r="I2568" s="261"/>
      <c r="J2568" s="261"/>
      <c r="K2568" s="261"/>
      <c r="L2568" s="261"/>
      <c r="M2568" s="261"/>
    </row>
    <row r="2569" spans="5:13">
      <c r="E2569" s="261"/>
      <c r="F2569" s="261"/>
      <c r="G2569" s="261"/>
      <c r="H2569" s="261"/>
      <c r="I2569" s="261"/>
      <c r="J2569" s="261"/>
      <c r="K2569" s="261"/>
      <c r="L2569" s="261"/>
      <c r="M2569" s="261"/>
    </row>
    <row r="2570" spans="5:13">
      <c r="E2570" s="261"/>
      <c r="F2570" s="261"/>
      <c r="G2570" s="261"/>
      <c r="H2570" s="261"/>
      <c r="I2570" s="261"/>
      <c r="J2570" s="261"/>
      <c r="K2570" s="261"/>
      <c r="L2570" s="261"/>
      <c r="M2570" s="261"/>
    </row>
    <row r="2571" spans="5:13">
      <c r="E2571" s="261"/>
      <c r="F2571" s="261"/>
      <c r="G2571" s="261"/>
      <c r="H2571" s="261"/>
      <c r="I2571" s="261"/>
      <c r="J2571" s="261"/>
      <c r="K2571" s="261"/>
      <c r="L2571" s="261"/>
      <c r="M2571" s="261"/>
    </row>
    <row r="2572" spans="5:13">
      <c r="E2572" s="261"/>
      <c r="F2572" s="261"/>
      <c r="G2572" s="261"/>
      <c r="H2572" s="261"/>
      <c r="I2572" s="261"/>
      <c r="J2572" s="261"/>
      <c r="K2572" s="261"/>
      <c r="L2572" s="261"/>
      <c r="M2572" s="261"/>
    </row>
    <row r="2573" spans="5:13">
      <c r="E2573" s="261"/>
      <c r="F2573" s="261"/>
      <c r="G2573" s="261"/>
      <c r="H2573" s="261"/>
      <c r="I2573" s="261"/>
      <c r="J2573" s="261"/>
      <c r="K2573" s="261"/>
      <c r="L2573" s="261"/>
      <c r="M2573" s="261"/>
    </row>
    <row r="2574" spans="5:13">
      <c r="E2574" s="261"/>
      <c r="F2574" s="261"/>
      <c r="G2574" s="261"/>
      <c r="H2574" s="261"/>
      <c r="I2574" s="261"/>
      <c r="J2574" s="261"/>
      <c r="K2574" s="261"/>
      <c r="L2574" s="261"/>
      <c r="M2574" s="261"/>
    </row>
    <row r="2575" spans="5:13">
      <c r="E2575" s="261"/>
      <c r="F2575" s="261"/>
      <c r="G2575" s="261"/>
      <c r="H2575" s="261"/>
      <c r="I2575" s="261"/>
      <c r="J2575" s="261"/>
      <c r="K2575" s="261"/>
      <c r="L2575" s="261"/>
      <c r="M2575" s="261"/>
    </row>
    <row r="2576" spans="5:13">
      <c r="E2576" s="261"/>
      <c r="F2576" s="261"/>
      <c r="G2576" s="261"/>
      <c r="H2576" s="261"/>
      <c r="I2576" s="261"/>
      <c r="J2576" s="261"/>
      <c r="K2576" s="261"/>
      <c r="L2576" s="261"/>
      <c r="M2576" s="261"/>
    </row>
    <row r="2577" spans="5:13">
      <c r="E2577" s="261"/>
      <c r="F2577" s="261"/>
      <c r="G2577" s="261"/>
      <c r="H2577" s="261"/>
      <c r="I2577" s="261"/>
      <c r="J2577" s="261"/>
      <c r="K2577" s="261"/>
      <c r="L2577" s="261"/>
      <c r="M2577" s="261"/>
    </row>
    <row r="2578" spans="5:13">
      <c r="E2578" s="261"/>
      <c r="F2578" s="261"/>
      <c r="G2578" s="261"/>
      <c r="H2578" s="261"/>
      <c r="I2578" s="261"/>
      <c r="J2578" s="261"/>
      <c r="K2578" s="261"/>
      <c r="L2578" s="261"/>
      <c r="M2578" s="261"/>
    </row>
    <row r="2579" spans="5:13">
      <c r="E2579" s="261"/>
      <c r="F2579" s="261"/>
      <c r="G2579" s="261"/>
      <c r="H2579" s="261"/>
      <c r="I2579" s="261"/>
      <c r="J2579" s="261"/>
      <c r="K2579" s="261"/>
      <c r="L2579" s="261"/>
      <c r="M2579" s="261"/>
    </row>
    <row r="2580" spans="5:13">
      <c r="E2580" s="261"/>
      <c r="F2580" s="261"/>
      <c r="G2580" s="261"/>
      <c r="H2580" s="261"/>
      <c r="I2580" s="261"/>
      <c r="J2580" s="261"/>
      <c r="K2580" s="261"/>
      <c r="L2580" s="261"/>
      <c r="M2580" s="261"/>
    </row>
    <row r="2581" spans="5:13">
      <c r="E2581" s="261"/>
      <c r="F2581" s="261"/>
      <c r="G2581" s="261"/>
      <c r="H2581" s="261"/>
      <c r="I2581" s="261"/>
      <c r="J2581" s="261"/>
      <c r="K2581" s="261"/>
      <c r="L2581" s="261"/>
      <c r="M2581" s="261"/>
    </row>
    <row r="2582" spans="5:13">
      <c r="E2582" s="261"/>
      <c r="F2582" s="261"/>
      <c r="G2582" s="261"/>
      <c r="H2582" s="261"/>
      <c r="I2582" s="261"/>
      <c r="J2582" s="261"/>
      <c r="K2582" s="261"/>
      <c r="L2582" s="261"/>
      <c r="M2582" s="261"/>
    </row>
    <row r="2583" spans="5:13">
      <c r="E2583" s="261"/>
      <c r="F2583" s="261"/>
      <c r="G2583" s="261"/>
      <c r="H2583" s="261"/>
      <c r="I2583" s="261"/>
      <c r="J2583" s="261"/>
      <c r="K2583" s="261"/>
      <c r="L2583" s="261"/>
      <c r="M2583" s="261"/>
    </row>
    <row r="2584" spans="5:13">
      <c r="E2584" s="261"/>
      <c r="F2584" s="261"/>
      <c r="G2584" s="261"/>
      <c r="H2584" s="261"/>
      <c r="I2584" s="261"/>
      <c r="J2584" s="261"/>
      <c r="K2584" s="261"/>
      <c r="L2584" s="261"/>
      <c r="M2584" s="261"/>
    </row>
    <row r="2585" spans="5:13">
      <c r="E2585" s="261"/>
      <c r="F2585" s="261"/>
      <c r="G2585" s="261"/>
      <c r="H2585" s="261"/>
      <c r="I2585" s="261"/>
      <c r="J2585" s="261"/>
      <c r="K2585" s="261"/>
      <c r="L2585" s="261"/>
      <c r="M2585" s="261"/>
    </row>
    <row r="2586" spans="5:13">
      <c r="E2586" s="261"/>
      <c r="F2586" s="261"/>
      <c r="G2586" s="261"/>
      <c r="H2586" s="261"/>
      <c r="I2586" s="261"/>
      <c r="J2586" s="261"/>
      <c r="K2586" s="261"/>
      <c r="L2586" s="261"/>
      <c r="M2586" s="261"/>
    </row>
    <row r="2587" spans="5:13">
      <c r="E2587" s="261"/>
      <c r="F2587" s="261"/>
      <c r="G2587" s="261"/>
      <c r="H2587" s="261"/>
      <c r="I2587" s="261"/>
      <c r="J2587" s="261"/>
      <c r="K2587" s="261"/>
      <c r="L2587" s="261"/>
      <c r="M2587" s="261"/>
    </row>
    <row r="2588" spans="5:13">
      <c r="E2588" s="261"/>
      <c r="F2588" s="261"/>
      <c r="G2588" s="261"/>
      <c r="H2588" s="261"/>
      <c r="I2588" s="261"/>
      <c r="J2588" s="261"/>
      <c r="K2588" s="261"/>
      <c r="L2588" s="261"/>
      <c r="M2588" s="261"/>
    </row>
    <row r="2589" spans="5:13">
      <c r="E2589" s="261"/>
      <c r="F2589" s="261"/>
      <c r="G2589" s="261"/>
      <c r="H2589" s="261"/>
      <c r="I2589" s="261"/>
      <c r="J2589" s="261"/>
      <c r="K2589" s="261"/>
      <c r="L2589" s="261"/>
      <c r="M2589" s="261"/>
    </row>
    <row r="2590" spans="5:13">
      <c r="E2590" s="261"/>
      <c r="F2590" s="261"/>
      <c r="G2590" s="261"/>
      <c r="H2590" s="261"/>
      <c r="I2590" s="261"/>
      <c r="J2590" s="261"/>
      <c r="K2590" s="261"/>
      <c r="L2590" s="261"/>
      <c r="M2590" s="261"/>
    </row>
    <row r="2591" spans="5:13">
      <c r="E2591" s="261"/>
      <c r="F2591" s="261"/>
      <c r="G2591" s="261"/>
      <c r="H2591" s="261"/>
      <c r="I2591" s="261"/>
      <c r="J2591" s="261"/>
      <c r="K2591" s="261"/>
      <c r="L2591" s="261"/>
      <c r="M2591" s="261"/>
    </row>
    <row r="2592" spans="5:13">
      <c r="E2592" s="261"/>
      <c r="F2592" s="261"/>
      <c r="G2592" s="261"/>
      <c r="H2592" s="261"/>
      <c r="I2592" s="261"/>
      <c r="J2592" s="261"/>
      <c r="K2592" s="261"/>
      <c r="L2592" s="261"/>
      <c r="M2592" s="261"/>
    </row>
    <row r="2593" spans="5:13">
      <c r="E2593" s="261"/>
      <c r="F2593" s="261"/>
      <c r="G2593" s="261"/>
      <c r="H2593" s="261"/>
      <c r="I2593" s="261"/>
      <c r="J2593" s="261"/>
      <c r="K2593" s="261"/>
      <c r="L2593" s="261"/>
      <c r="M2593" s="261"/>
    </row>
    <row r="2594" spans="5:13">
      <c r="E2594" s="261"/>
      <c r="F2594" s="261"/>
      <c r="G2594" s="261"/>
      <c r="H2594" s="261"/>
      <c r="I2594" s="261"/>
      <c r="J2594" s="261"/>
      <c r="K2594" s="261"/>
      <c r="L2594" s="261"/>
      <c r="M2594" s="261"/>
    </row>
    <row r="2595" spans="5:13">
      <c r="E2595" s="261"/>
      <c r="F2595" s="261"/>
      <c r="G2595" s="261"/>
      <c r="H2595" s="261"/>
      <c r="I2595" s="261"/>
      <c r="J2595" s="261"/>
      <c r="K2595" s="261"/>
      <c r="L2595" s="261"/>
      <c r="M2595" s="261"/>
    </row>
    <row r="2596" spans="5:13">
      <c r="E2596" s="261"/>
      <c r="F2596" s="261"/>
      <c r="G2596" s="261"/>
      <c r="H2596" s="261"/>
      <c r="I2596" s="261"/>
      <c r="J2596" s="261"/>
      <c r="K2596" s="261"/>
      <c r="L2596" s="261"/>
      <c r="M2596" s="261"/>
    </row>
    <row r="2597" spans="5:13">
      <c r="E2597" s="261"/>
      <c r="F2597" s="261"/>
      <c r="G2597" s="261"/>
      <c r="H2597" s="261"/>
      <c r="I2597" s="261"/>
      <c r="J2597" s="261"/>
      <c r="K2597" s="261"/>
      <c r="L2597" s="261"/>
      <c r="M2597" s="261"/>
    </row>
    <row r="2598" spans="5:13">
      <c r="E2598" s="261"/>
      <c r="F2598" s="261"/>
      <c r="G2598" s="261"/>
      <c r="H2598" s="261"/>
      <c r="I2598" s="261"/>
      <c r="J2598" s="261"/>
      <c r="K2598" s="261"/>
      <c r="L2598" s="261"/>
      <c r="M2598" s="261"/>
    </row>
    <row r="2599" spans="5:13">
      <c r="E2599" s="261"/>
      <c r="F2599" s="261"/>
      <c r="G2599" s="261"/>
      <c r="H2599" s="261"/>
      <c r="I2599" s="261"/>
      <c r="J2599" s="261"/>
      <c r="K2599" s="261"/>
      <c r="L2599" s="261"/>
      <c r="M2599" s="261"/>
    </row>
    <row r="2600" spans="5:13">
      <c r="E2600" s="261"/>
      <c r="F2600" s="261"/>
      <c r="G2600" s="261"/>
      <c r="H2600" s="261"/>
      <c r="I2600" s="261"/>
      <c r="J2600" s="261"/>
      <c r="K2600" s="261"/>
      <c r="L2600" s="261"/>
      <c r="M2600" s="261"/>
    </row>
    <row r="2601" spans="5:13">
      <c r="E2601" s="261"/>
      <c r="F2601" s="261"/>
      <c r="G2601" s="261"/>
      <c r="H2601" s="261"/>
      <c r="I2601" s="261"/>
      <c r="J2601" s="261"/>
      <c r="K2601" s="261"/>
      <c r="L2601" s="261"/>
      <c r="M2601" s="261"/>
    </row>
    <row r="2602" spans="5:13">
      <c r="E2602" s="261"/>
      <c r="F2602" s="261"/>
      <c r="G2602" s="261"/>
      <c r="H2602" s="261"/>
      <c r="I2602" s="261"/>
      <c r="J2602" s="261"/>
      <c r="K2602" s="261"/>
      <c r="L2602" s="261"/>
      <c r="M2602" s="261"/>
    </row>
    <row r="2603" spans="5:13">
      <c r="E2603" s="261"/>
      <c r="F2603" s="261"/>
      <c r="G2603" s="261"/>
      <c r="H2603" s="261"/>
      <c r="I2603" s="261"/>
      <c r="J2603" s="261"/>
      <c r="K2603" s="261"/>
      <c r="L2603" s="261"/>
      <c r="M2603" s="261"/>
    </row>
    <row r="2604" spans="5:13">
      <c r="E2604" s="261"/>
      <c r="F2604" s="261"/>
      <c r="G2604" s="261"/>
      <c r="H2604" s="261"/>
      <c r="I2604" s="261"/>
      <c r="J2604" s="261"/>
      <c r="K2604" s="261"/>
      <c r="L2604" s="261"/>
      <c r="M2604" s="261"/>
    </row>
    <row r="2605" spans="5:13">
      <c r="E2605" s="261"/>
      <c r="F2605" s="261"/>
      <c r="G2605" s="261"/>
      <c r="H2605" s="261"/>
      <c r="I2605" s="261"/>
      <c r="J2605" s="261"/>
      <c r="K2605" s="261"/>
      <c r="L2605" s="261"/>
      <c r="M2605" s="261"/>
    </row>
    <row r="2606" spans="5:13">
      <c r="E2606" s="261"/>
      <c r="F2606" s="261"/>
      <c r="G2606" s="261"/>
      <c r="H2606" s="261"/>
      <c r="I2606" s="261"/>
      <c r="J2606" s="261"/>
      <c r="K2606" s="261"/>
      <c r="L2606" s="261"/>
      <c r="M2606" s="261"/>
    </row>
    <row r="2607" spans="5:13">
      <c r="E2607" s="261"/>
      <c r="F2607" s="261"/>
      <c r="G2607" s="261"/>
      <c r="H2607" s="261"/>
      <c r="I2607" s="261"/>
      <c r="J2607" s="261"/>
      <c r="K2607" s="261"/>
      <c r="L2607" s="261"/>
      <c r="M2607" s="261"/>
    </row>
    <row r="2608" spans="5:13">
      <c r="E2608" s="261"/>
      <c r="F2608" s="261"/>
      <c r="G2608" s="261"/>
      <c r="H2608" s="261"/>
      <c r="I2608" s="261"/>
      <c r="J2608" s="261"/>
      <c r="K2608" s="261"/>
      <c r="L2608" s="261"/>
      <c r="M2608" s="261"/>
    </row>
    <row r="2609" spans="5:13">
      <c r="E2609" s="261"/>
      <c r="F2609" s="261"/>
      <c r="G2609" s="261"/>
      <c r="H2609" s="261"/>
      <c r="I2609" s="261"/>
      <c r="J2609" s="261"/>
      <c r="K2609" s="261"/>
      <c r="L2609" s="261"/>
      <c r="M2609" s="261"/>
    </row>
    <row r="2610" spans="5:13">
      <c r="E2610" s="261"/>
      <c r="F2610" s="261"/>
      <c r="G2610" s="261"/>
      <c r="H2610" s="261"/>
      <c r="I2610" s="261"/>
      <c r="J2610" s="261"/>
      <c r="K2610" s="261"/>
      <c r="L2610" s="261"/>
      <c r="M2610" s="261"/>
    </row>
    <row r="2611" spans="5:13">
      <c r="E2611" s="261"/>
      <c r="F2611" s="261"/>
      <c r="G2611" s="261"/>
      <c r="H2611" s="261"/>
      <c r="I2611" s="261"/>
      <c r="J2611" s="261"/>
      <c r="K2611" s="261"/>
      <c r="L2611" s="261"/>
      <c r="M2611" s="261"/>
    </row>
    <row r="2612" spans="5:13">
      <c r="E2612" s="261"/>
      <c r="F2612" s="261"/>
      <c r="G2612" s="261"/>
      <c r="H2612" s="261"/>
      <c r="I2612" s="261"/>
      <c r="J2612" s="261"/>
      <c r="K2612" s="261"/>
      <c r="L2612" s="261"/>
      <c r="M2612" s="261"/>
    </row>
    <row r="2613" spans="5:13">
      <c r="E2613" s="261"/>
      <c r="F2613" s="261"/>
      <c r="G2613" s="261"/>
      <c r="H2613" s="261"/>
      <c r="I2613" s="261"/>
      <c r="J2613" s="261"/>
      <c r="K2613" s="261"/>
      <c r="L2613" s="261"/>
      <c r="M2613" s="261"/>
    </row>
    <row r="2614" spans="5:13">
      <c r="E2614" s="261"/>
      <c r="F2614" s="261"/>
      <c r="G2614" s="261"/>
      <c r="H2614" s="261"/>
      <c r="I2614" s="261"/>
      <c r="J2614" s="261"/>
      <c r="K2614" s="261"/>
      <c r="L2614" s="261"/>
      <c r="M2614" s="261"/>
    </row>
    <row r="2615" spans="5:13">
      <c r="E2615" s="261"/>
      <c r="F2615" s="261"/>
      <c r="G2615" s="261"/>
      <c r="H2615" s="261"/>
      <c r="I2615" s="261"/>
      <c r="J2615" s="261"/>
      <c r="K2615" s="261"/>
      <c r="L2615" s="261"/>
      <c r="M2615" s="261"/>
    </row>
    <row r="2616" spans="5:13">
      <c r="E2616" s="261"/>
      <c r="F2616" s="261"/>
      <c r="G2616" s="261"/>
      <c r="H2616" s="261"/>
      <c r="I2616" s="261"/>
      <c r="J2616" s="261"/>
      <c r="K2616" s="261"/>
      <c r="L2616" s="261"/>
      <c r="M2616" s="261"/>
    </row>
    <row r="2617" spans="5:13">
      <c r="E2617" s="261"/>
      <c r="F2617" s="261"/>
      <c r="G2617" s="261"/>
      <c r="H2617" s="261"/>
      <c r="I2617" s="261"/>
      <c r="J2617" s="261"/>
      <c r="K2617" s="261"/>
      <c r="L2617" s="261"/>
      <c r="M2617" s="261"/>
    </row>
    <row r="2618" spans="5:13">
      <c r="E2618" s="261"/>
      <c r="F2618" s="261"/>
      <c r="G2618" s="261"/>
      <c r="H2618" s="261"/>
      <c r="I2618" s="261"/>
      <c r="J2618" s="261"/>
      <c r="K2618" s="261"/>
      <c r="L2618" s="261"/>
      <c r="M2618" s="261"/>
    </row>
    <row r="2619" spans="5:13">
      <c r="E2619" s="261"/>
      <c r="F2619" s="261"/>
      <c r="G2619" s="261"/>
      <c r="H2619" s="261"/>
      <c r="I2619" s="261"/>
      <c r="J2619" s="261"/>
      <c r="K2619" s="261"/>
      <c r="L2619" s="261"/>
      <c r="M2619" s="261"/>
    </row>
    <row r="2620" spans="5:13">
      <c r="E2620" s="261"/>
      <c r="F2620" s="261"/>
      <c r="G2620" s="261"/>
      <c r="H2620" s="261"/>
      <c r="I2620" s="261"/>
      <c r="J2620" s="261"/>
      <c r="K2620" s="261"/>
      <c r="L2620" s="261"/>
      <c r="M2620" s="261"/>
    </row>
    <row r="2621" spans="5:13">
      <c r="E2621" s="261"/>
      <c r="F2621" s="261"/>
      <c r="G2621" s="261"/>
      <c r="H2621" s="261"/>
      <c r="I2621" s="261"/>
      <c r="J2621" s="261"/>
      <c r="K2621" s="261"/>
      <c r="L2621" s="261"/>
      <c r="M2621" s="261"/>
    </row>
    <row r="2622" spans="5:13">
      <c r="E2622" s="261"/>
      <c r="F2622" s="261"/>
      <c r="G2622" s="261"/>
      <c r="H2622" s="261"/>
      <c r="I2622" s="261"/>
      <c r="J2622" s="261"/>
      <c r="K2622" s="261"/>
      <c r="L2622" s="261"/>
      <c r="M2622" s="261"/>
    </row>
    <row r="2623" spans="5:13">
      <c r="E2623" s="261"/>
      <c r="F2623" s="261"/>
      <c r="G2623" s="261"/>
      <c r="H2623" s="261"/>
      <c r="I2623" s="261"/>
      <c r="J2623" s="261"/>
      <c r="K2623" s="261"/>
      <c r="L2623" s="261"/>
      <c r="M2623" s="261"/>
    </row>
    <row r="2624" spans="5:13">
      <c r="E2624" s="261"/>
      <c r="F2624" s="261"/>
      <c r="G2624" s="261"/>
      <c r="H2624" s="261"/>
      <c r="I2624" s="261"/>
      <c r="J2624" s="261"/>
      <c r="K2624" s="261"/>
      <c r="L2624" s="261"/>
      <c r="M2624" s="261"/>
    </row>
    <row r="2625" spans="5:13">
      <c r="E2625" s="261"/>
      <c r="F2625" s="261"/>
      <c r="G2625" s="261"/>
      <c r="H2625" s="261"/>
      <c r="I2625" s="261"/>
      <c r="J2625" s="261"/>
      <c r="K2625" s="261"/>
      <c r="L2625" s="261"/>
      <c r="M2625" s="261"/>
    </row>
    <row r="2626" spans="5:13">
      <c r="E2626" s="261"/>
      <c r="F2626" s="261"/>
      <c r="G2626" s="261"/>
      <c r="H2626" s="261"/>
      <c r="I2626" s="261"/>
      <c r="J2626" s="261"/>
      <c r="K2626" s="261"/>
      <c r="L2626" s="261"/>
      <c r="M2626" s="261"/>
    </row>
    <row r="2627" spans="5:13">
      <c r="E2627" s="261"/>
      <c r="F2627" s="261"/>
      <c r="G2627" s="261"/>
      <c r="H2627" s="261"/>
      <c r="I2627" s="261"/>
      <c r="J2627" s="261"/>
      <c r="K2627" s="261"/>
      <c r="L2627" s="261"/>
      <c r="M2627" s="261"/>
    </row>
    <row r="2628" spans="5:13">
      <c r="E2628" s="261"/>
      <c r="F2628" s="261"/>
      <c r="G2628" s="261"/>
      <c r="H2628" s="261"/>
      <c r="I2628" s="261"/>
      <c r="J2628" s="261"/>
      <c r="K2628" s="261"/>
      <c r="L2628" s="261"/>
      <c r="M2628" s="261"/>
    </row>
    <row r="2629" spans="5:13">
      <c r="E2629" s="261"/>
      <c r="F2629" s="261"/>
      <c r="G2629" s="261"/>
      <c r="H2629" s="261"/>
      <c r="I2629" s="261"/>
      <c r="J2629" s="261"/>
      <c r="K2629" s="261"/>
      <c r="L2629" s="261"/>
      <c r="M2629" s="261"/>
    </row>
    <row r="2630" spans="5:13">
      <c r="E2630" s="261"/>
      <c r="F2630" s="261"/>
      <c r="G2630" s="261"/>
      <c r="H2630" s="261"/>
      <c r="I2630" s="261"/>
      <c r="J2630" s="261"/>
      <c r="K2630" s="261"/>
      <c r="L2630" s="261"/>
      <c r="M2630" s="261"/>
    </row>
    <row r="2631" spans="5:13">
      <c r="E2631" s="261"/>
      <c r="F2631" s="261"/>
      <c r="G2631" s="261"/>
      <c r="H2631" s="261"/>
      <c r="I2631" s="261"/>
      <c r="J2631" s="261"/>
      <c r="K2631" s="261"/>
      <c r="L2631" s="261"/>
      <c r="M2631" s="261"/>
    </row>
    <row r="2632" spans="5:13">
      <c r="E2632" s="261"/>
      <c r="F2632" s="261"/>
      <c r="G2632" s="261"/>
      <c r="H2632" s="261"/>
      <c r="I2632" s="261"/>
      <c r="J2632" s="261"/>
      <c r="K2632" s="261"/>
      <c r="L2632" s="261"/>
      <c r="M2632" s="261"/>
    </row>
    <row r="2633" spans="5:13">
      <c r="E2633" s="261"/>
      <c r="F2633" s="261"/>
      <c r="G2633" s="261"/>
      <c r="H2633" s="261"/>
      <c r="I2633" s="261"/>
      <c r="J2633" s="261"/>
      <c r="K2633" s="261"/>
      <c r="L2633" s="261"/>
      <c r="M2633" s="261"/>
    </row>
    <row r="2634" spans="5:13">
      <c r="E2634" s="261"/>
      <c r="F2634" s="261"/>
      <c r="G2634" s="261"/>
      <c r="H2634" s="261"/>
      <c r="I2634" s="261"/>
      <c r="J2634" s="261"/>
      <c r="K2634" s="261"/>
      <c r="L2634" s="261"/>
      <c r="M2634" s="261"/>
    </row>
    <row r="2635" spans="5:13">
      <c r="E2635" s="261"/>
      <c r="F2635" s="261"/>
      <c r="G2635" s="261"/>
      <c r="H2635" s="261"/>
      <c r="I2635" s="261"/>
      <c r="J2635" s="261"/>
      <c r="K2635" s="261"/>
      <c r="L2635" s="261"/>
      <c r="M2635" s="261"/>
    </row>
    <row r="2636" spans="5:13">
      <c r="E2636" s="261"/>
      <c r="F2636" s="261"/>
      <c r="G2636" s="261"/>
      <c r="H2636" s="261"/>
      <c r="I2636" s="261"/>
      <c r="J2636" s="261"/>
      <c r="K2636" s="261"/>
      <c r="L2636" s="261"/>
      <c r="M2636" s="261"/>
    </row>
    <row r="2637" spans="5:13">
      <c r="E2637" s="261"/>
      <c r="F2637" s="261"/>
      <c r="G2637" s="261"/>
      <c r="H2637" s="261"/>
      <c r="I2637" s="261"/>
      <c r="J2637" s="261"/>
      <c r="K2637" s="261"/>
      <c r="L2637" s="261"/>
      <c r="M2637" s="261"/>
    </row>
    <row r="2638" spans="5:13">
      <c r="E2638" s="261"/>
      <c r="F2638" s="261"/>
      <c r="G2638" s="261"/>
      <c r="H2638" s="261"/>
      <c r="I2638" s="261"/>
      <c r="J2638" s="261"/>
      <c r="K2638" s="261"/>
      <c r="L2638" s="261"/>
      <c r="M2638" s="261"/>
    </row>
    <row r="2639" spans="5:13">
      <c r="E2639" s="261"/>
      <c r="F2639" s="261"/>
      <c r="G2639" s="261"/>
      <c r="H2639" s="261"/>
      <c r="I2639" s="261"/>
      <c r="J2639" s="261"/>
      <c r="K2639" s="261"/>
      <c r="L2639" s="261"/>
      <c r="M2639" s="261"/>
    </row>
    <row r="2640" spans="5:13">
      <c r="E2640" s="261"/>
      <c r="F2640" s="261"/>
      <c r="G2640" s="261"/>
      <c r="H2640" s="261"/>
      <c r="I2640" s="261"/>
      <c r="J2640" s="261"/>
      <c r="K2640" s="261"/>
      <c r="L2640" s="261"/>
      <c r="M2640" s="261"/>
    </row>
    <row r="2641" spans="5:13">
      <c r="E2641" s="261"/>
      <c r="F2641" s="261"/>
      <c r="G2641" s="261"/>
      <c r="H2641" s="261"/>
      <c r="I2641" s="261"/>
      <c r="J2641" s="261"/>
      <c r="K2641" s="261"/>
      <c r="L2641" s="261"/>
      <c r="M2641" s="261"/>
    </row>
    <row r="2642" spans="5:13">
      <c r="E2642" s="261"/>
      <c r="F2642" s="261"/>
      <c r="G2642" s="261"/>
      <c r="H2642" s="261"/>
      <c r="I2642" s="261"/>
      <c r="J2642" s="261"/>
      <c r="K2642" s="261"/>
      <c r="L2642" s="261"/>
      <c r="M2642" s="261"/>
    </row>
    <row r="2643" spans="5:13">
      <c r="E2643" s="261"/>
      <c r="F2643" s="261"/>
      <c r="G2643" s="261"/>
      <c r="H2643" s="261"/>
      <c r="I2643" s="261"/>
      <c r="J2643" s="261"/>
      <c r="K2643" s="261"/>
      <c r="L2643" s="261"/>
      <c r="M2643" s="261"/>
    </row>
    <row r="2644" spans="5:13">
      <c r="E2644" s="261"/>
      <c r="F2644" s="261"/>
      <c r="G2644" s="261"/>
      <c r="H2644" s="261"/>
      <c r="I2644" s="261"/>
      <c r="J2644" s="261"/>
      <c r="K2644" s="261"/>
      <c r="L2644" s="261"/>
      <c r="M2644" s="261"/>
    </row>
    <row r="2645" spans="5:13">
      <c r="E2645" s="261"/>
      <c r="F2645" s="261"/>
      <c r="G2645" s="261"/>
      <c r="H2645" s="261"/>
      <c r="I2645" s="261"/>
      <c r="J2645" s="261"/>
      <c r="K2645" s="261"/>
      <c r="L2645" s="261"/>
      <c r="M2645" s="261"/>
    </row>
    <row r="2646" spans="5:13">
      <c r="E2646" s="261"/>
      <c r="F2646" s="261"/>
      <c r="G2646" s="261"/>
      <c r="H2646" s="261"/>
      <c r="I2646" s="261"/>
      <c r="J2646" s="261"/>
      <c r="K2646" s="261"/>
      <c r="L2646" s="261"/>
      <c r="M2646" s="261"/>
    </row>
    <row r="2647" spans="5:13">
      <c r="E2647" s="261"/>
      <c r="F2647" s="261"/>
      <c r="G2647" s="261"/>
      <c r="H2647" s="261"/>
      <c r="I2647" s="261"/>
      <c r="J2647" s="261"/>
      <c r="K2647" s="261"/>
      <c r="L2647" s="261"/>
      <c r="M2647" s="261"/>
    </row>
    <row r="2648" spans="5:13">
      <c r="E2648" s="261"/>
      <c r="F2648" s="261"/>
      <c r="G2648" s="261"/>
      <c r="H2648" s="261"/>
      <c r="I2648" s="261"/>
      <c r="J2648" s="261"/>
      <c r="K2648" s="261"/>
      <c r="L2648" s="261"/>
      <c r="M2648" s="261"/>
    </row>
    <row r="2649" spans="5:13">
      <c r="E2649" s="261"/>
      <c r="F2649" s="261"/>
      <c r="G2649" s="261"/>
      <c r="H2649" s="261"/>
      <c r="I2649" s="261"/>
      <c r="J2649" s="261"/>
      <c r="K2649" s="261"/>
      <c r="L2649" s="261"/>
      <c r="M2649" s="261"/>
    </row>
    <row r="2650" spans="5:13">
      <c r="E2650" s="261"/>
      <c r="F2650" s="261"/>
      <c r="G2650" s="261"/>
      <c r="H2650" s="261"/>
      <c r="I2650" s="261"/>
      <c r="J2650" s="261"/>
      <c r="K2650" s="261"/>
      <c r="L2650" s="261"/>
      <c r="M2650" s="261"/>
    </row>
    <row r="2651" spans="5:13">
      <c r="E2651" s="261"/>
      <c r="F2651" s="261"/>
      <c r="G2651" s="261"/>
      <c r="H2651" s="261"/>
      <c r="I2651" s="261"/>
      <c r="J2651" s="261"/>
      <c r="K2651" s="261"/>
      <c r="L2651" s="261"/>
      <c r="M2651" s="261"/>
    </row>
    <row r="2652" spans="5:13">
      <c r="E2652" s="261"/>
      <c r="F2652" s="261"/>
      <c r="G2652" s="261"/>
      <c r="H2652" s="261"/>
      <c r="I2652" s="261"/>
      <c r="J2652" s="261"/>
      <c r="K2652" s="261"/>
      <c r="L2652" s="261"/>
      <c r="M2652" s="261"/>
    </row>
    <row r="2653" spans="5:13">
      <c r="E2653" s="261"/>
      <c r="F2653" s="261"/>
      <c r="G2653" s="261"/>
      <c r="H2653" s="261"/>
      <c r="I2653" s="261"/>
      <c r="J2653" s="261"/>
      <c r="K2653" s="261"/>
      <c r="L2653" s="261"/>
      <c r="M2653" s="261"/>
    </row>
    <row r="2654" spans="5:13">
      <c r="E2654" s="261"/>
      <c r="F2654" s="261"/>
      <c r="G2654" s="261"/>
      <c r="H2654" s="261"/>
      <c r="I2654" s="261"/>
      <c r="J2654" s="261"/>
      <c r="K2654" s="261"/>
      <c r="L2654" s="261"/>
      <c r="M2654" s="261"/>
    </row>
    <row r="2655" spans="5:13">
      <c r="E2655" s="261"/>
      <c r="F2655" s="261"/>
      <c r="G2655" s="261"/>
      <c r="H2655" s="261"/>
      <c r="I2655" s="261"/>
      <c r="J2655" s="261"/>
      <c r="K2655" s="261"/>
      <c r="L2655" s="261"/>
      <c r="M2655" s="261"/>
    </row>
    <row r="2656" spans="5:13">
      <c r="E2656" s="261"/>
      <c r="F2656" s="261"/>
      <c r="G2656" s="261"/>
      <c r="H2656" s="261"/>
      <c r="I2656" s="261"/>
      <c r="J2656" s="261"/>
      <c r="K2656" s="261"/>
      <c r="L2656" s="261"/>
      <c r="M2656" s="261"/>
    </row>
    <row r="2657" spans="5:13">
      <c r="E2657" s="261"/>
      <c r="F2657" s="261"/>
      <c r="G2657" s="261"/>
      <c r="H2657" s="261"/>
      <c r="I2657" s="261"/>
      <c r="J2657" s="261"/>
      <c r="K2657" s="261"/>
      <c r="L2657" s="261"/>
      <c r="M2657" s="261"/>
    </row>
    <row r="2658" spans="5:13">
      <c r="E2658" s="261"/>
      <c r="F2658" s="261"/>
      <c r="G2658" s="261"/>
      <c r="H2658" s="261"/>
      <c r="I2658" s="261"/>
      <c r="J2658" s="261"/>
      <c r="K2658" s="261"/>
      <c r="L2658" s="261"/>
      <c r="M2658" s="261"/>
    </row>
    <row r="2659" spans="5:13">
      <c r="E2659" s="261"/>
      <c r="F2659" s="261"/>
      <c r="G2659" s="261"/>
      <c r="H2659" s="261"/>
      <c r="I2659" s="261"/>
      <c r="J2659" s="261"/>
      <c r="K2659" s="261"/>
      <c r="L2659" s="261"/>
      <c r="M2659" s="261"/>
    </row>
    <row r="2660" spans="5:13">
      <c r="E2660" s="261"/>
      <c r="F2660" s="261"/>
      <c r="G2660" s="261"/>
      <c r="H2660" s="261"/>
      <c r="I2660" s="261"/>
      <c r="J2660" s="261"/>
      <c r="K2660" s="261"/>
      <c r="L2660" s="261"/>
      <c r="M2660" s="261"/>
    </row>
    <row r="2661" spans="5:13">
      <c r="E2661" s="261"/>
      <c r="F2661" s="261"/>
      <c r="G2661" s="261"/>
      <c r="H2661" s="261"/>
      <c r="I2661" s="261"/>
      <c r="J2661" s="261"/>
      <c r="K2661" s="261"/>
      <c r="L2661" s="261"/>
      <c r="M2661" s="261"/>
    </row>
    <row r="2662" spans="5:13">
      <c r="E2662" s="261"/>
      <c r="F2662" s="261"/>
      <c r="G2662" s="261"/>
      <c r="H2662" s="261"/>
      <c r="I2662" s="261"/>
      <c r="J2662" s="261"/>
      <c r="K2662" s="261"/>
      <c r="L2662" s="261"/>
      <c r="M2662" s="261"/>
    </row>
    <row r="2663" spans="5:13">
      <c r="E2663" s="261"/>
      <c r="F2663" s="261"/>
      <c r="G2663" s="261"/>
      <c r="H2663" s="261"/>
      <c r="I2663" s="261"/>
      <c r="J2663" s="261"/>
      <c r="K2663" s="261"/>
      <c r="L2663" s="261"/>
      <c r="M2663" s="261"/>
    </row>
    <row r="2664" spans="5:13">
      <c r="E2664" s="261"/>
      <c r="F2664" s="261"/>
      <c r="G2664" s="261"/>
      <c r="H2664" s="261"/>
      <c r="I2664" s="261"/>
      <c r="J2664" s="261"/>
      <c r="K2664" s="261"/>
      <c r="L2664" s="261"/>
      <c r="M2664" s="261"/>
    </row>
    <row r="2665" spans="5:13">
      <c r="E2665" s="261"/>
      <c r="F2665" s="261"/>
      <c r="G2665" s="261"/>
      <c r="H2665" s="261"/>
      <c r="I2665" s="261"/>
      <c r="J2665" s="261"/>
      <c r="K2665" s="261"/>
      <c r="L2665" s="261"/>
      <c r="M2665" s="261"/>
    </row>
    <row r="2666" spans="5:13">
      <c r="E2666" s="261"/>
      <c r="F2666" s="261"/>
      <c r="G2666" s="261"/>
      <c r="H2666" s="261"/>
      <c r="I2666" s="261"/>
      <c r="J2666" s="261"/>
      <c r="K2666" s="261"/>
      <c r="L2666" s="261"/>
      <c r="M2666" s="261"/>
    </row>
    <row r="2667" spans="5:13">
      <c r="E2667" s="261"/>
      <c r="F2667" s="261"/>
      <c r="G2667" s="261"/>
      <c r="H2667" s="261"/>
      <c r="I2667" s="261"/>
      <c r="J2667" s="261"/>
      <c r="K2667" s="261"/>
      <c r="L2667" s="261"/>
      <c r="M2667" s="261"/>
    </row>
    <row r="2668" spans="5:13">
      <c r="E2668" s="261"/>
      <c r="F2668" s="261"/>
      <c r="G2668" s="261"/>
      <c r="H2668" s="261"/>
      <c r="I2668" s="261"/>
      <c r="J2668" s="261"/>
      <c r="K2668" s="261"/>
      <c r="L2668" s="261"/>
      <c r="M2668" s="261"/>
    </row>
    <row r="2669" spans="5:13">
      <c r="E2669" s="261"/>
      <c r="F2669" s="261"/>
      <c r="G2669" s="261"/>
      <c r="H2669" s="261"/>
      <c r="I2669" s="261"/>
      <c r="J2669" s="261"/>
      <c r="K2669" s="261"/>
      <c r="L2669" s="261"/>
      <c r="M2669" s="261"/>
    </row>
    <row r="2670" spans="5:13">
      <c r="E2670" s="261"/>
      <c r="F2670" s="261"/>
      <c r="G2670" s="261"/>
      <c r="H2670" s="261"/>
      <c r="I2670" s="261"/>
      <c r="J2670" s="261"/>
      <c r="K2670" s="261"/>
      <c r="L2670" s="261"/>
      <c r="M2670" s="261"/>
    </row>
    <row r="2671" spans="5:13">
      <c r="E2671" s="261"/>
      <c r="F2671" s="261"/>
      <c r="G2671" s="261"/>
      <c r="H2671" s="261"/>
      <c r="I2671" s="261"/>
      <c r="J2671" s="261"/>
      <c r="K2671" s="261"/>
      <c r="L2671" s="261"/>
      <c r="M2671" s="261"/>
    </row>
    <row r="2672" spans="5:13">
      <c r="E2672" s="261"/>
      <c r="F2672" s="261"/>
      <c r="G2672" s="261"/>
      <c r="H2672" s="261"/>
      <c r="I2672" s="261"/>
      <c r="J2672" s="261"/>
      <c r="K2672" s="261"/>
      <c r="L2672" s="261"/>
      <c r="M2672" s="261"/>
    </row>
    <row r="2673" spans="5:13">
      <c r="E2673" s="261"/>
      <c r="F2673" s="261"/>
      <c r="G2673" s="261"/>
      <c r="H2673" s="261"/>
      <c r="I2673" s="261"/>
      <c r="J2673" s="261"/>
      <c r="K2673" s="261"/>
      <c r="L2673" s="261"/>
      <c r="M2673" s="261"/>
    </row>
    <row r="2674" spans="5:13">
      <c r="E2674" s="261"/>
      <c r="F2674" s="261"/>
      <c r="G2674" s="261"/>
      <c r="H2674" s="261"/>
      <c r="I2674" s="261"/>
      <c r="J2674" s="261"/>
      <c r="K2674" s="261"/>
      <c r="L2674" s="261"/>
      <c r="M2674" s="261"/>
    </row>
    <row r="2675" spans="5:13">
      <c r="E2675" s="261"/>
      <c r="F2675" s="261"/>
      <c r="G2675" s="261"/>
      <c r="H2675" s="261"/>
      <c r="I2675" s="261"/>
      <c r="J2675" s="261"/>
      <c r="K2675" s="261"/>
      <c r="L2675" s="261"/>
      <c r="M2675" s="261"/>
    </row>
    <row r="2676" spans="5:13">
      <c r="E2676" s="261"/>
      <c r="F2676" s="261"/>
      <c r="G2676" s="261"/>
      <c r="H2676" s="261"/>
      <c r="I2676" s="261"/>
      <c r="J2676" s="261"/>
      <c r="K2676" s="261"/>
      <c r="L2676" s="261"/>
      <c r="M2676" s="261"/>
    </row>
    <row r="2677" spans="5:13">
      <c r="E2677" s="261"/>
      <c r="F2677" s="261"/>
      <c r="G2677" s="261"/>
      <c r="H2677" s="261"/>
      <c r="I2677" s="261"/>
      <c r="J2677" s="261"/>
      <c r="K2677" s="261"/>
      <c r="L2677" s="261"/>
      <c r="M2677" s="261"/>
    </row>
    <row r="2678" spans="5:13">
      <c r="E2678" s="261"/>
      <c r="F2678" s="261"/>
      <c r="G2678" s="261"/>
      <c r="H2678" s="261"/>
      <c r="I2678" s="261"/>
      <c r="J2678" s="261"/>
      <c r="K2678" s="261"/>
      <c r="L2678" s="261"/>
      <c r="M2678" s="261"/>
    </row>
    <row r="2679" spans="5:13">
      <c r="E2679" s="261"/>
      <c r="F2679" s="261"/>
      <c r="G2679" s="261"/>
      <c r="H2679" s="261"/>
      <c r="I2679" s="261"/>
      <c r="J2679" s="261"/>
      <c r="K2679" s="261"/>
      <c r="L2679" s="261"/>
      <c r="M2679" s="261"/>
    </row>
    <row r="2680" spans="5:13">
      <c r="E2680" s="261"/>
      <c r="F2680" s="261"/>
      <c r="G2680" s="261"/>
      <c r="H2680" s="261"/>
      <c r="I2680" s="261"/>
      <c r="J2680" s="261"/>
      <c r="K2680" s="261"/>
      <c r="L2680" s="261"/>
      <c r="M2680" s="261"/>
    </row>
    <row r="2681" spans="5:13">
      <c r="E2681" s="261"/>
      <c r="F2681" s="261"/>
      <c r="G2681" s="261"/>
      <c r="H2681" s="261"/>
      <c r="I2681" s="261"/>
      <c r="J2681" s="261"/>
      <c r="K2681" s="261"/>
      <c r="L2681" s="261"/>
      <c r="M2681" s="261"/>
    </row>
    <row r="2682" spans="5:13">
      <c r="E2682" s="261"/>
      <c r="F2682" s="261"/>
      <c r="G2682" s="261"/>
      <c r="H2682" s="261"/>
      <c r="I2682" s="261"/>
      <c r="J2682" s="261"/>
      <c r="K2682" s="261"/>
      <c r="L2682" s="261"/>
      <c r="M2682" s="261"/>
    </row>
    <row r="2683" spans="5:13">
      <c r="E2683" s="261"/>
      <c r="F2683" s="261"/>
      <c r="G2683" s="261"/>
      <c r="H2683" s="261"/>
      <c r="I2683" s="261"/>
      <c r="J2683" s="261"/>
      <c r="K2683" s="261"/>
      <c r="L2683" s="261"/>
      <c r="M2683" s="261"/>
    </row>
    <row r="2684" spans="5:13">
      <c r="E2684" s="261"/>
      <c r="F2684" s="261"/>
      <c r="G2684" s="261"/>
      <c r="H2684" s="261"/>
      <c r="I2684" s="261"/>
      <c r="J2684" s="261"/>
      <c r="K2684" s="261"/>
      <c r="L2684" s="261"/>
      <c r="M2684" s="261"/>
    </row>
    <row r="2685" spans="5:13">
      <c r="E2685" s="261"/>
      <c r="F2685" s="261"/>
      <c r="G2685" s="261"/>
      <c r="H2685" s="261"/>
      <c r="I2685" s="261"/>
      <c r="J2685" s="261"/>
      <c r="K2685" s="261"/>
      <c r="L2685" s="261"/>
      <c r="M2685" s="261"/>
    </row>
    <row r="2686" spans="5:13">
      <c r="E2686" s="261"/>
      <c r="F2686" s="261"/>
      <c r="G2686" s="261"/>
      <c r="H2686" s="261"/>
      <c r="I2686" s="261"/>
      <c r="J2686" s="261"/>
      <c r="K2686" s="261"/>
      <c r="L2686" s="261"/>
      <c r="M2686" s="261"/>
    </row>
    <row r="2687" spans="5:13">
      <c r="E2687" s="261"/>
      <c r="F2687" s="261"/>
      <c r="G2687" s="261"/>
      <c r="H2687" s="261"/>
      <c r="I2687" s="261"/>
      <c r="J2687" s="261"/>
      <c r="K2687" s="261"/>
      <c r="L2687" s="261"/>
      <c r="M2687" s="261"/>
    </row>
    <row r="2688" spans="5:13">
      <c r="E2688" s="261"/>
      <c r="F2688" s="261"/>
      <c r="G2688" s="261"/>
      <c r="H2688" s="261"/>
      <c r="I2688" s="261"/>
      <c r="J2688" s="261"/>
      <c r="K2688" s="261"/>
      <c r="L2688" s="261"/>
      <c r="M2688" s="261"/>
    </row>
    <row r="2689" spans="5:13">
      <c r="E2689" s="261"/>
      <c r="F2689" s="261"/>
      <c r="G2689" s="261"/>
      <c r="H2689" s="261"/>
      <c r="I2689" s="261"/>
      <c r="J2689" s="261"/>
      <c r="K2689" s="261"/>
      <c r="L2689" s="261"/>
      <c r="M2689" s="261"/>
    </row>
    <row r="2690" spans="5:13">
      <c r="E2690" s="261"/>
      <c r="F2690" s="261"/>
      <c r="G2690" s="261"/>
      <c r="H2690" s="261"/>
      <c r="I2690" s="261"/>
      <c r="J2690" s="261"/>
      <c r="K2690" s="261"/>
      <c r="L2690" s="261"/>
      <c r="M2690" s="261"/>
    </row>
    <row r="2691" spans="5:13">
      <c r="E2691" s="261"/>
      <c r="F2691" s="261"/>
      <c r="G2691" s="261"/>
      <c r="H2691" s="261"/>
      <c r="I2691" s="261"/>
      <c r="J2691" s="261"/>
      <c r="K2691" s="261"/>
      <c r="L2691" s="261"/>
      <c r="M2691" s="261"/>
    </row>
    <row r="2692" spans="5:13">
      <c r="E2692" s="261"/>
      <c r="F2692" s="261"/>
      <c r="G2692" s="261"/>
      <c r="H2692" s="261"/>
      <c r="I2692" s="261"/>
      <c r="J2692" s="261"/>
      <c r="K2692" s="261"/>
      <c r="L2692" s="261"/>
      <c r="M2692" s="261"/>
    </row>
    <row r="2693" spans="5:13">
      <c r="E2693" s="261"/>
      <c r="F2693" s="261"/>
      <c r="G2693" s="261"/>
      <c r="H2693" s="261"/>
      <c r="I2693" s="261"/>
      <c r="J2693" s="261"/>
      <c r="K2693" s="261"/>
      <c r="L2693" s="261"/>
      <c r="M2693" s="261"/>
    </row>
    <row r="2694" spans="5:13">
      <c r="E2694" s="261"/>
      <c r="F2694" s="261"/>
      <c r="G2694" s="261"/>
      <c r="H2694" s="261"/>
      <c r="I2694" s="261"/>
      <c r="J2694" s="261"/>
      <c r="K2694" s="261"/>
      <c r="L2694" s="261"/>
      <c r="M2694" s="261"/>
    </row>
    <row r="2695" spans="5:13">
      <c r="E2695" s="261"/>
      <c r="F2695" s="261"/>
      <c r="G2695" s="261"/>
      <c r="H2695" s="261"/>
      <c r="I2695" s="261"/>
      <c r="J2695" s="261"/>
      <c r="K2695" s="261"/>
      <c r="L2695" s="261"/>
      <c r="M2695" s="261"/>
    </row>
    <row r="2696" spans="5:13">
      <c r="E2696" s="261"/>
      <c r="F2696" s="261"/>
      <c r="G2696" s="261"/>
      <c r="H2696" s="261"/>
      <c r="I2696" s="261"/>
      <c r="J2696" s="261"/>
      <c r="K2696" s="261"/>
      <c r="L2696" s="261"/>
      <c r="M2696" s="261"/>
    </row>
    <row r="2697" spans="5:13">
      <c r="E2697" s="261"/>
      <c r="F2697" s="261"/>
      <c r="G2697" s="261"/>
      <c r="H2697" s="261"/>
      <c r="I2697" s="261"/>
      <c r="J2697" s="261"/>
      <c r="K2697" s="261"/>
      <c r="L2697" s="261"/>
      <c r="M2697" s="261"/>
    </row>
    <row r="2698" spans="5:13">
      <c r="E2698" s="261"/>
      <c r="F2698" s="261"/>
      <c r="G2698" s="261"/>
      <c r="H2698" s="261"/>
      <c r="I2698" s="261"/>
      <c r="J2698" s="261"/>
      <c r="K2698" s="261"/>
      <c r="L2698" s="261"/>
      <c r="M2698" s="261"/>
    </row>
    <row r="2699" spans="5:13">
      <c r="E2699" s="261"/>
      <c r="F2699" s="261"/>
      <c r="G2699" s="261"/>
      <c r="H2699" s="261"/>
      <c r="I2699" s="261"/>
      <c r="J2699" s="261"/>
      <c r="K2699" s="261"/>
      <c r="L2699" s="261"/>
      <c r="M2699" s="261"/>
    </row>
    <row r="2700" spans="5:13">
      <c r="E2700" s="261"/>
      <c r="F2700" s="261"/>
      <c r="G2700" s="261"/>
      <c r="H2700" s="261"/>
      <c r="I2700" s="261"/>
      <c r="J2700" s="261"/>
      <c r="K2700" s="261"/>
      <c r="L2700" s="261"/>
      <c r="M2700" s="261"/>
    </row>
    <row r="2701" spans="5:13">
      <c r="E2701" s="261"/>
      <c r="F2701" s="261"/>
      <c r="G2701" s="261"/>
      <c r="H2701" s="261"/>
      <c r="I2701" s="261"/>
      <c r="J2701" s="261"/>
      <c r="K2701" s="261"/>
      <c r="L2701" s="261"/>
      <c r="M2701" s="261"/>
    </row>
    <row r="2702" spans="5:13">
      <c r="E2702" s="261"/>
      <c r="F2702" s="261"/>
      <c r="G2702" s="261"/>
      <c r="H2702" s="261"/>
      <c r="I2702" s="261"/>
      <c r="J2702" s="261"/>
      <c r="K2702" s="261"/>
      <c r="L2702" s="261"/>
      <c r="M2702" s="261"/>
    </row>
    <row r="2703" spans="5:13">
      <c r="E2703" s="261"/>
      <c r="F2703" s="261"/>
      <c r="G2703" s="261"/>
      <c r="H2703" s="261"/>
      <c r="I2703" s="261"/>
      <c r="J2703" s="261"/>
      <c r="K2703" s="261"/>
      <c r="L2703" s="261"/>
      <c r="M2703" s="261"/>
    </row>
    <row r="2704" spans="5:13">
      <c r="E2704" s="261"/>
      <c r="F2704" s="261"/>
      <c r="G2704" s="261"/>
      <c r="H2704" s="261"/>
      <c r="I2704" s="261"/>
      <c r="J2704" s="261"/>
      <c r="K2704" s="261"/>
      <c r="L2704" s="261"/>
      <c r="M2704" s="261"/>
    </row>
    <row r="2705" spans="5:13">
      <c r="E2705" s="261"/>
      <c r="F2705" s="261"/>
      <c r="G2705" s="261"/>
      <c r="H2705" s="261"/>
      <c r="I2705" s="261"/>
      <c r="J2705" s="261"/>
      <c r="K2705" s="261"/>
      <c r="L2705" s="261"/>
      <c r="M2705" s="261"/>
    </row>
    <row r="2706" spans="5:13">
      <c r="E2706" s="261"/>
      <c r="F2706" s="261"/>
      <c r="G2706" s="261"/>
      <c r="H2706" s="261"/>
      <c r="I2706" s="261"/>
      <c r="J2706" s="261"/>
      <c r="K2706" s="261"/>
      <c r="L2706" s="261"/>
      <c r="M2706" s="261"/>
    </row>
    <row r="2707" spans="5:13">
      <c r="E2707" s="261"/>
      <c r="F2707" s="261"/>
      <c r="G2707" s="261"/>
      <c r="H2707" s="261"/>
      <c r="I2707" s="261"/>
      <c r="J2707" s="261"/>
      <c r="K2707" s="261"/>
      <c r="L2707" s="261"/>
      <c r="M2707" s="261"/>
    </row>
    <row r="2708" spans="5:13">
      <c r="E2708" s="261"/>
      <c r="F2708" s="261"/>
      <c r="G2708" s="261"/>
      <c r="H2708" s="261"/>
      <c r="I2708" s="261"/>
      <c r="J2708" s="261"/>
      <c r="K2708" s="261"/>
      <c r="L2708" s="261"/>
      <c r="M2708" s="261"/>
    </row>
    <row r="2709" spans="5:13">
      <c r="E2709" s="261"/>
      <c r="F2709" s="261"/>
      <c r="G2709" s="261"/>
      <c r="H2709" s="261"/>
      <c r="I2709" s="261"/>
      <c r="J2709" s="261"/>
      <c r="K2709" s="261"/>
      <c r="L2709" s="261"/>
      <c r="M2709" s="261"/>
    </row>
    <row r="2710" spans="5:13">
      <c r="E2710" s="261"/>
      <c r="F2710" s="261"/>
      <c r="G2710" s="261"/>
      <c r="H2710" s="261"/>
      <c r="I2710" s="261"/>
      <c r="J2710" s="261"/>
      <c r="K2710" s="261"/>
      <c r="L2710" s="261"/>
      <c r="M2710" s="261"/>
    </row>
    <row r="2711" spans="5:13">
      <c r="E2711" s="261"/>
      <c r="F2711" s="261"/>
      <c r="G2711" s="261"/>
      <c r="H2711" s="261"/>
      <c r="I2711" s="261"/>
      <c r="J2711" s="261"/>
      <c r="K2711" s="261"/>
      <c r="L2711" s="261"/>
      <c r="M2711" s="261"/>
    </row>
    <row r="2712" spans="5:13">
      <c r="E2712" s="261"/>
      <c r="F2712" s="261"/>
      <c r="G2712" s="261"/>
      <c r="H2712" s="261"/>
      <c r="I2712" s="261"/>
      <c r="J2712" s="261"/>
      <c r="K2712" s="261"/>
      <c r="L2712" s="261"/>
      <c r="M2712" s="261"/>
    </row>
    <row r="2713" spans="5:13">
      <c r="E2713" s="261"/>
      <c r="F2713" s="261"/>
      <c r="G2713" s="261"/>
      <c r="H2713" s="261"/>
      <c r="I2713" s="261"/>
      <c r="J2713" s="261"/>
      <c r="K2713" s="261"/>
      <c r="L2713" s="261"/>
      <c r="M2713" s="261"/>
    </row>
    <row r="2714" spans="5:13">
      <c r="E2714" s="261"/>
      <c r="F2714" s="261"/>
      <c r="G2714" s="261"/>
      <c r="H2714" s="261"/>
      <c r="I2714" s="261"/>
      <c r="J2714" s="261"/>
      <c r="K2714" s="261"/>
      <c r="L2714" s="261"/>
      <c r="M2714" s="261"/>
    </row>
    <row r="2715" spans="5:13">
      <c r="E2715" s="261"/>
      <c r="F2715" s="261"/>
      <c r="G2715" s="261"/>
      <c r="H2715" s="261"/>
      <c r="I2715" s="261"/>
      <c r="J2715" s="261"/>
      <c r="K2715" s="261"/>
      <c r="L2715" s="261"/>
      <c r="M2715" s="261"/>
    </row>
    <row r="2716" spans="5:13">
      <c r="E2716" s="261"/>
      <c r="F2716" s="261"/>
      <c r="G2716" s="261"/>
      <c r="H2716" s="261"/>
      <c r="I2716" s="261"/>
      <c r="J2716" s="261"/>
      <c r="K2716" s="261"/>
      <c r="L2716" s="261"/>
      <c r="M2716" s="261"/>
    </row>
    <row r="2717" spans="5:13">
      <c r="E2717" s="261"/>
      <c r="F2717" s="261"/>
      <c r="G2717" s="261"/>
      <c r="H2717" s="261"/>
      <c r="I2717" s="261"/>
      <c r="J2717" s="261"/>
      <c r="K2717" s="261"/>
      <c r="L2717" s="261"/>
      <c r="M2717" s="261"/>
    </row>
    <row r="2718" spans="5:13">
      <c r="E2718" s="261"/>
      <c r="F2718" s="261"/>
      <c r="G2718" s="261"/>
      <c r="H2718" s="261"/>
      <c r="I2718" s="261"/>
      <c r="J2718" s="261"/>
      <c r="K2718" s="261"/>
      <c r="L2718" s="261"/>
      <c r="M2718" s="261"/>
    </row>
    <row r="2719" spans="5:13">
      <c r="E2719" s="261"/>
      <c r="F2719" s="261"/>
      <c r="G2719" s="261"/>
      <c r="H2719" s="261"/>
      <c r="I2719" s="261"/>
      <c r="J2719" s="261"/>
      <c r="K2719" s="261"/>
      <c r="L2719" s="261"/>
      <c r="M2719" s="261"/>
    </row>
    <row r="2720" spans="5:13">
      <c r="E2720" s="261"/>
      <c r="F2720" s="261"/>
      <c r="G2720" s="261"/>
      <c r="H2720" s="261"/>
      <c r="I2720" s="261"/>
      <c r="J2720" s="261"/>
      <c r="K2720" s="261"/>
      <c r="L2720" s="261"/>
      <c r="M2720" s="261"/>
    </row>
    <row r="2721" spans="5:13">
      <c r="E2721" s="261"/>
      <c r="F2721" s="261"/>
      <c r="G2721" s="261"/>
      <c r="H2721" s="261"/>
      <c r="I2721" s="261"/>
      <c r="J2721" s="261"/>
      <c r="K2721" s="261"/>
      <c r="L2721" s="261"/>
      <c r="M2721" s="261"/>
    </row>
    <row r="2722" spans="5:13">
      <c r="E2722" s="261"/>
      <c r="F2722" s="261"/>
      <c r="G2722" s="261"/>
      <c r="H2722" s="261"/>
      <c r="I2722" s="261"/>
      <c r="J2722" s="261"/>
      <c r="K2722" s="261"/>
      <c r="L2722" s="261"/>
      <c r="M2722" s="261"/>
    </row>
    <row r="2723" spans="5:13">
      <c r="E2723" s="261"/>
      <c r="F2723" s="261"/>
      <c r="G2723" s="261"/>
      <c r="H2723" s="261"/>
      <c r="I2723" s="261"/>
      <c r="J2723" s="261"/>
      <c r="K2723" s="261"/>
      <c r="L2723" s="261"/>
      <c r="M2723" s="261"/>
    </row>
    <row r="2724" spans="5:13">
      <c r="E2724" s="261"/>
      <c r="F2724" s="261"/>
      <c r="G2724" s="261"/>
      <c r="H2724" s="261"/>
      <c r="I2724" s="261"/>
      <c r="J2724" s="261"/>
      <c r="K2724" s="261"/>
      <c r="L2724" s="261"/>
      <c r="M2724" s="261"/>
    </row>
    <row r="2725" spans="5:13">
      <c r="E2725" s="261"/>
      <c r="F2725" s="261"/>
      <c r="G2725" s="261"/>
      <c r="H2725" s="261"/>
      <c r="I2725" s="261"/>
      <c r="J2725" s="261"/>
      <c r="K2725" s="261"/>
      <c r="L2725" s="261"/>
      <c r="M2725" s="261"/>
    </row>
    <row r="2726" spans="5:13">
      <c r="E2726" s="261"/>
      <c r="F2726" s="261"/>
      <c r="G2726" s="261"/>
      <c r="H2726" s="261"/>
      <c r="I2726" s="261"/>
      <c r="J2726" s="261"/>
      <c r="K2726" s="261"/>
      <c r="L2726" s="261"/>
      <c r="M2726" s="261"/>
    </row>
    <row r="2727" spans="5:13">
      <c r="E2727" s="261"/>
      <c r="F2727" s="261"/>
      <c r="G2727" s="261"/>
      <c r="H2727" s="261"/>
      <c r="I2727" s="261"/>
      <c r="J2727" s="261"/>
      <c r="K2727" s="261"/>
      <c r="L2727" s="261"/>
      <c r="M2727" s="261"/>
    </row>
    <row r="2728" spans="5:13">
      <c r="E2728" s="261"/>
      <c r="F2728" s="261"/>
      <c r="G2728" s="261"/>
      <c r="H2728" s="261"/>
      <c r="I2728" s="261"/>
      <c r="J2728" s="261"/>
      <c r="K2728" s="261"/>
      <c r="L2728" s="261"/>
      <c r="M2728" s="261"/>
    </row>
    <row r="2729" spans="5:13">
      <c r="E2729" s="261"/>
      <c r="F2729" s="261"/>
      <c r="G2729" s="261"/>
      <c r="H2729" s="261"/>
      <c r="I2729" s="261"/>
      <c r="J2729" s="261"/>
      <c r="K2729" s="261"/>
      <c r="L2729" s="261"/>
      <c r="M2729" s="261"/>
    </row>
    <row r="2730" spans="5:13">
      <c r="E2730" s="261"/>
      <c r="F2730" s="261"/>
      <c r="G2730" s="261"/>
      <c r="H2730" s="261"/>
      <c r="I2730" s="261"/>
      <c r="J2730" s="261"/>
      <c r="K2730" s="261"/>
      <c r="L2730" s="261"/>
      <c r="M2730" s="261"/>
    </row>
    <row r="2731" spans="5:13">
      <c r="E2731" s="261"/>
      <c r="F2731" s="261"/>
      <c r="G2731" s="261"/>
      <c r="H2731" s="261"/>
      <c r="I2731" s="261"/>
      <c r="J2731" s="261"/>
      <c r="K2731" s="261"/>
      <c r="L2731" s="261"/>
      <c r="M2731" s="261"/>
    </row>
    <row r="2732" spans="5:13">
      <c r="E2732" s="261"/>
      <c r="F2732" s="261"/>
      <c r="G2732" s="261"/>
      <c r="H2732" s="261"/>
      <c r="I2732" s="261"/>
      <c r="J2732" s="261"/>
      <c r="K2732" s="261"/>
      <c r="L2732" s="261"/>
      <c r="M2732" s="261"/>
    </row>
    <row r="2733" spans="5:13">
      <c r="E2733" s="261"/>
      <c r="F2733" s="261"/>
      <c r="G2733" s="261"/>
      <c r="H2733" s="261"/>
      <c r="I2733" s="261"/>
      <c r="J2733" s="261"/>
      <c r="K2733" s="261"/>
      <c r="L2733" s="261"/>
      <c r="M2733" s="261"/>
    </row>
    <row r="2734" spans="5:13">
      <c r="E2734" s="261"/>
      <c r="F2734" s="261"/>
      <c r="G2734" s="261"/>
      <c r="H2734" s="261"/>
      <c r="I2734" s="261"/>
      <c r="J2734" s="261"/>
      <c r="K2734" s="261"/>
      <c r="L2734" s="261"/>
      <c r="M2734" s="261"/>
    </row>
    <row r="2735" spans="5:13">
      <c r="E2735" s="261"/>
      <c r="F2735" s="261"/>
      <c r="G2735" s="261"/>
      <c r="H2735" s="261"/>
      <c r="I2735" s="261"/>
      <c r="J2735" s="261"/>
      <c r="K2735" s="261"/>
      <c r="L2735" s="261"/>
      <c r="M2735" s="261"/>
    </row>
    <row r="2736" spans="5:13">
      <c r="E2736" s="261"/>
      <c r="F2736" s="261"/>
      <c r="G2736" s="261"/>
      <c r="H2736" s="261"/>
      <c r="I2736" s="261"/>
      <c r="J2736" s="261"/>
      <c r="K2736" s="261"/>
      <c r="L2736" s="261"/>
      <c r="M2736" s="261"/>
    </row>
    <row r="2737" spans="5:13">
      <c r="E2737" s="261"/>
      <c r="F2737" s="261"/>
      <c r="G2737" s="261"/>
      <c r="H2737" s="261"/>
      <c r="I2737" s="261"/>
      <c r="J2737" s="261"/>
      <c r="K2737" s="261"/>
      <c r="L2737" s="261"/>
      <c r="M2737" s="261"/>
    </row>
    <row r="2738" spans="5:13">
      <c r="E2738" s="261"/>
      <c r="F2738" s="261"/>
      <c r="G2738" s="261"/>
      <c r="H2738" s="261"/>
      <c r="I2738" s="261"/>
      <c r="J2738" s="261"/>
      <c r="K2738" s="261"/>
      <c r="L2738" s="261"/>
      <c r="M2738" s="261"/>
    </row>
    <row r="2739" spans="5:13">
      <c r="E2739" s="261"/>
      <c r="F2739" s="261"/>
      <c r="G2739" s="261"/>
      <c r="H2739" s="261"/>
      <c r="I2739" s="261"/>
      <c r="J2739" s="261"/>
      <c r="K2739" s="261"/>
      <c r="L2739" s="261"/>
      <c r="M2739" s="261"/>
    </row>
    <row r="2740" spans="5:13">
      <c r="E2740" s="261"/>
      <c r="F2740" s="261"/>
      <c r="G2740" s="261"/>
      <c r="H2740" s="261"/>
      <c r="I2740" s="261"/>
      <c r="J2740" s="261"/>
      <c r="K2740" s="261"/>
      <c r="L2740" s="261"/>
      <c r="M2740" s="261"/>
    </row>
    <row r="2741" spans="5:13">
      <c r="E2741" s="261"/>
      <c r="F2741" s="261"/>
      <c r="G2741" s="261"/>
      <c r="H2741" s="261"/>
      <c r="I2741" s="261"/>
      <c r="J2741" s="261"/>
      <c r="K2741" s="261"/>
      <c r="L2741" s="261"/>
      <c r="M2741" s="261"/>
    </row>
    <row r="2742" spans="5:13">
      <c r="E2742" s="261"/>
      <c r="F2742" s="261"/>
      <c r="G2742" s="261"/>
      <c r="H2742" s="261"/>
      <c r="I2742" s="261"/>
      <c r="J2742" s="261"/>
      <c r="K2742" s="261"/>
      <c r="L2742" s="261"/>
      <c r="M2742" s="261"/>
    </row>
    <row r="2743" spans="5:13">
      <c r="E2743" s="261"/>
      <c r="F2743" s="261"/>
      <c r="G2743" s="261"/>
      <c r="H2743" s="261"/>
      <c r="I2743" s="261"/>
      <c r="J2743" s="261"/>
      <c r="K2743" s="261"/>
      <c r="L2743" s="261"/>
      <c r="M2743" s="261"/>
    </row>
    <row r="2744" spans="5:13">
      <c r="E2744" s="261"/>
      <c r="F2744" s="261"/>
      <c r="G2744" s="261"/>
      <c r="H2744" s="261"/>
      <c r="I2744" s="261"/>
      <c r="J2744" s="261"/>
      <c r="K2744" s="261"/>
      <c r="L2744" s="261"/>
      <c r="M2744" s="261"/>
    </row>
    <row r="2745" spans="5:13">
      <c r="E2745" s="261"/>
      <c r="F2745" s="261"/>
      <c r="G2745" s="261"/>
      <c r="H2745" s="261"/>
      <c r="I2745" s="261"/>
      <c r="J2745" s="261"/>
      <c r="K2745" s="261"/>
      <c r="L2745" s="261"/>
      <c r="M2745" s="261"/>
    </row>
    <row r="2746" spans="5:13">
      <c r="E2746" s="261"/>
      <c r="F2746" s="261"/>
      <c r="G2746" s="261"/>
      <c r="H2746" s="261"/>
      <c r="I2746" s="261"/>
      <c r="J2746" s="261"/>
      <c r="K2746" s="261"/>
      <c r="L2746" s="261"/>
      <c r="M2746" s="261"/>
    </row>
    <row r="2747" spans="5:13">
      <c r="E2747" s="261"/>
      <c r="F2747" s="261"/>
      <c r="G2747" s="261"/>
      <c r="H2747" s="261"/>
      <c r="I2747" s="261"/>
      <c r="J2747" s="261"/>
      <c r="K2747" s="261"/>
      <c r="L2747" s="261"/>
      <c r="M2747" s="261"/>
    </row>
    <row r="2748" spans="5:13">
      <c r="E2748" s="261"/>
      <c r="F2748" s="261"/>
      <c r="G2748" s="261"/>
      <c r="H2748" s="261"/>
      <c r="I2748" s="261"/>
      <c r="J2748" s="261"/>
      <c r="K2748" s="261"/>
      <c r="L2748" s="261"/>
      <c r="M2748" s="261"/>
    </row>
    <row r="2749" spans="5:13">
      <c r="E2749" s="261"/>
      <c r="F2749" s="261"/>
      <c r="G2749" s="261"/>
      <c r="H2749" s="261"/>
      <c r="I2749" s="261"/>
      <c r="J2749" s="261"/>
      <c r="K2749" s="261"/>
      <c r="L2749" s="261"/>
      <c r="M2749" s="261"/>
    </row>
    <row r="2750" spans="5:13">
      <c r="E2750" s="261"/>
      <c r="F2750" s="261"/>
      <c r="G2750" s="261"/>
      <c r="H2750" s="261"/>
      <c r="I2750" s="261"/>
      <c r="J2750" s="261"/>
      <c r="K2750" s="261"/>
      <c r="L2750" s="261"/>
      <c r="M2750" s="261"/>
    </row>
    <row r="2751" spans="5:13">
      <c r="E2751" s="261"/>
      <c r="F2751" s="261"/>
      <c r="G2751" s="261"/>
      <c r="H2751" s="261"/>
      <c r="I2751" s="261"/>
      <c r="J2751" s="261"/>
      <c r="K2751" s="261"/>
      <c r="L2751" s="261"/>
      <c r="M2751" s="261"/>
    </row>
    <row r="2752" spans="5:13">
      <c r="E2752" s="261"/>
      <c r="F2752" s="261"/>
      <c r="G2752" s="261"/>
      <c r="H2752" s="261"/>
      <c r="I2752" s="261"/>
      <c r="J2752" s="261"/>
      <c r="K2752" s="261"/>
      <c r="L2752" s="261"/>
      <c r="M2752" s="261"/>
    </row>
    <row r="2753" spans="5:13">
      <c r="E2753" s="261"/>
      <c r="F2753" s="261"/>
      <c r="G2753" s="261"/>
      <c r="H2753" s="261"/>
      <c r="I2753" s="261"/>
      <c r="J2753" s="261"/>
      <c r="K2753" s="261"/>
      <c r="L2753" s="261"/>
      <c r="M2753" s="261"/>
    </row>
    <row r="2754" spans="5:13">
      <c r="E2754" s="261"/>
      <c r="F2754" s="261"/>
      <c r="G2754" s="261"/>
      <c r="H2754" s="261"/>
      <c r="I2754" s="261"/>
      <c r="J2754" s="261"/>
      <c r="K2754" s="261"/>
      <c r="L2754" s="261"/>
      <c r="M2754" s="261"/>
    </row>
    <row r="2755" spans="5:13">
      <c r="E2755" s="261"/>
      <c r="F2755" s="261"/>
      <c r="G2755" s="261"/>
      <c r="H2755" s="261"/>
      <c r="I2755" s="261"/>
      <c r="J2755" s="261"/>
      <c r="K2755" s="261"/>
      <c r="L2755" s="261"/>
      <c r="M2755" s="261"/>
    </row>
    <row r="2756" spans="5:13">
      <c r="E2756" s="261"/>
      <c r="F2756" s="261"/>
      <c r="G2756" s="261"/>
      <c r="H2756" s="261"/>
      <c r="I2756" s="261"/>
      <c r="J2756" s="261"/>
      <c r="K2756" s="261"/>
      <c r="L2756" s="261"/>
      <c r="M2756" s="261"/>
    </row>
    <row r="2757" spans="5:13">
      <c r="E2757" s="261"/>
      <c r="F2757" s="261"/>
      <c r="G2757" s="261"/>
      <c r="H2757" s="261"/>
      <c r="I2757" s="261"/>
      <c r="J2757" s="261"/>
      <c r="K2757" s="261"/>
      <c r="L2757" s="261"/>
      <c r="M2757" s="261"/>
    </row>
    <row r="2758" spans="5:13">
      <c r="E2758" s="261"/>
      <c r="F2758" s="261"/>
      <c r="G2758" s="261"/>
      <c r="H2758" s="261"/>
      <c r="I2758" s="261"/>
      <c r="J2758" s="261"/>
      <c r="K2758" s="261"/>
      <c r="L2758" s="261"/>
      <c r="M2758" s="261"/>
    </row>
    <row r="2759" spans="5:13">
      <c r="E2759" s="261"/>
      <c r="F2759" s="261"/>
      <c r="G2759" s="261"/>
      <c r="H2759" s="261"/>
      <c r="I2759" s="261"/>
      <c r="J2759" s="261"/>
      <c r="K2759" s="261"/>
      <c r="L2759" s="261"/>
      <c r="M2759" s="261"/>
    </row>
    <row r="2760" spans="5:13">
      <c r="E2760" s="261"/>
      <c r="F2760" s="261"/>
      <c r="G2760" s="261"/>
      <c r="H2760" s="261"/>
      <c r="I2760" s="261"/>
      <c r="J2760" s="261"/>
      <c r="K2760" s="261"/>
      <c r="L2760" s="261"/>
      <c r="M2760" s="261"/>
    </row>
    <row r="2761" spans="5:13">
      <c r="E2761" s="261"/>
      <c r="F2761" s="261"/>
      <c r="G2761" s="261"/>
      <c r="H2761" s="261"/>
      <c r="I2761" s="261"/>
      <c r="J2761" s="261"/>
      <c r="K2761" s="261"/>
      <c r="L2761" s="261"/>
      <c r="M2761" s="261"/>
    </row>
    <row r="2762" spans="5:13">
      <c r="E2762" s="261"/>
      <c r="F2762" s="261"/>
      <c r="G2762" s="261"/>
      <c r="H2762" s="261"/>
      <c r="I2762" s="261"/>
      <c r="J2762" s="261"/>
      <c r="K2762" s="261"/>
      <c r="L2762" s="261"/>
      <c r="M2762" s="261"/>
    </row>
    <row r="2763" spans="5:13">
      <c r="E2763" s="261"/>
      <c r="F2763" s="261"/>
      <c r="G2763" s="261"/>
      <c r="H2763" s="261"/>
      <c r="I2763" s="261"/>
      <c r="J2763" s="261"/>
      <c r="K2763" s="261"/>
      <c r="L2763" s="261"/>
      <c r="M2763" s="261"/>
    </row>
    <row r="2764" spans="5:13">
      <c r="E2764" s="261"/>
      <c r="F2764" s="261"/>
      <c r="G2764" s="261"/>
      <c r="H2764" s="261"/>
      <c r="I2764" s="261"/>
      <c r="J2764" s="261"/>
      <c r="K2764" s="261"/>
      <c r="L2764" s="261"/>
      <c r="M2764" s="261"/>
    </row>
    <row r="2765" spans="5:13">
      <c r="E2765" s="261"/>
      <c r="F2765" s="261"/>
      <c r="G2765" s="261"/>
      <c r="H2765" s="261"/>
      <c r="I2765" s="261"/>
      <c r="J2765" s="261"/>
      <c r="K2765" s="261"/>
      <c r="L2765" s="261"/>
      <c r="M2765" s="261"/>
    </row>
    <row r="2766" spans="5:13">
      <c r="E2766" s="261"/>
      <c r="F2766" s="261"/>
      <c r="G2766" s="261"/>
      <c r="H2766" s="261"/>
      <c r="I2766" s="261"/>
      <c r="J2766" s="261"/>
      <c r="K2766" s="261"/>
      <c r="L2766" s="261"/>
      <c r="M2766" s="261"/>
    </row>
    <row r="2767" spans="5:13">
      <c r="E2767" s="261"/>
      <c r="F2767" s="261"/>
      <c r="G2767" s="261"/>
      <c r="H2767" s="261"/>
      <c r="I2767" s="261"/>
      <c r="J2767" s="261"/>
      <c r="K2767" s="261"/>
      <c r="L2767" s="261"/>
      <c r="M2767" s="261"/>
    </row>
    <row r="2768" spans="5:13">
      <c r="E2768" s="261"/>
      <c r="F2768" s="261"/>
      <c r="G2768" s="261"/>
      <c r="H2768" s="261"/>
      <c r="I2768" s="261"/>
      <c r="J2768" s="261"/>
      <c r="K2768" s="261"/>
      <c r="L2768" s="261"/>
      <c r="M2768" s="261"/>
    </row>
    <row r="2769" spans="5:13">
      <c r="E2769" s="261"/>
      <c r="F2769" s="261"/>
      <c r="G2769" s="261"/>
      <c r="H2769" s="261"/>
      <c r="I2769" s="261"/>
      <c r="J2769" s="261"/>
      <c r="K2769" s="261"/>
      <c r="L2769" s="261"/>
      <c r="M2769" s="261"/>
    </row>
    <row r="2770" spans="5:13">
      <c r="E2770" s="261"/>
      <c r="F2770" s="261"/>
      <c r="G2770" s="261"/>
      <c r="H2770" s="261"/>
      <c r="I2770" s="261"/>
      <c r="J2770" s="261"/>
      <c r="K2770" s="261"/>
      <c r="L2770" s="261"/>
      <c r="M2770" s="261"/>
    </row>
    <row r="2771" spans="5:13">
      <c r="E2771" s="261"/>
      <c r="F2771" s="261"/>
      <c r="G2771" s="261"/>
      <c r="H2771" s="261"/>
      <c r="I2771" s="261"/>
      <c r="J2771" s="261"/>
      <c r="K2771" s="261"/>
      <c r="L2771" s="261"/>
      <c r="M2771" s="261"/>
    </row>
    <row r="2772" spans="5:13">
      <c r="E2772" s="261"/>
      <c r="F2772" s="261"/>
      <c r="G2772" s="261"/>
      <c r="H2772" s="261"/>
      <c r="I2772" s="261"/>
      <c r="J2772" s="261"/>
      <c r="K2772" s="261"/>
      <c r="L2772" s="261"/>
      <c r="M2772" s="261"/>
    </row>
    <row r="2773" spans="5:13">
      <c r="E2773" s="261"/>
      <c r="F2773" s="261"/>
      <c r="G2773" s="261"/>
      <c r="H2773" s="261"/>
      <c r="I2773" s="261"/>
      <c r="J2773" s="261"/>
      <c r="K2773" s="261"/>
      <c r="L2773" s="261"/>
      <c r="M2773" s="261"/>
    </row>
    <row r="2774" spans="5:13">
      <c r="E2774" s="261"/>
      <c r="F2774" s="261"/>
      <c r="G2774" s="261"/>
      <c r="H2774" s="261"/>
      <c r="I2774" s="261"/>
      <c r="J2774" s="261"/>
      <c r="K2774" s="261"/>
      <c r="L2774" s="261"/>
      <c r="M2774" s="261"/>
    </row>
    <row r="2775" spans="5:13">
      <c r="E2775" s="261"/>
      <c r="F2775" s="261"/>
      <c r="G2775" s="261"/>
      <c r="H2775" s="261"/>
      <c r="I2775" s="261"/>
      <c r="J2775" s="261"/>
      <c r="K2775" s="261"/>
      <c r="L2775" s="261"/>
      <c r="M2775" s="261"/>
    </row>
    <row r="2776" spans="5:13">
      <c r="E2776" s="261"/>
      <c r="F2776" s="261"/>
      <c r="G2776" s="261"/>
      <c r="H2776" s="261"/>
      <c r="I2776" s="261"/>
      <c r="J2776" s="261"/>
      <c r="K2776" s="261"/>
      <c r="L2776" s="261"/>
      <c r="M2776" s="261"/>
    </row>
    <row r="2777" spans="5:13">
      <c r="E2777" s="261"/>
      <c r="F2777" s="261"/>
      <c r="G2777" s="261"/>
      <c r="H2777" s="261"/>
      <c r="I2777" s="261"/>
      <c r="J2777" s="261"/>
      <c r="K2777" s="261"/>
      <c r="L2777" s="261"/>
      <c r="M2777" s="261"/>
    </row>
    <row r="2778" spans="5:13">
      <c r="E2778" s="261"/>
      <c r="F2778" s="261"/>
      <c r="G2778" s="261"/>
      <c r="H2778" s="261"/>
      <c r="I2778" s="261"/>
      <c r="J2778" s="261"/>
      <c r="K2778" s="261"/>
      <c r="L2778" s="261"/>
      <c r="M2778" s="261"/>
    </row>
    <row r="2779" spans="5:13">
      <c r="E2779" s="261"/>
      <c r="F2779" s="261"/>
      <c r="G2779" s="261"/>
      <c r="H2779" s="261"/>
      <c r="I2779" s="261"/>
      <c r="J2779" s="261"/>
      <c r="K2779" s="261"/>
      <c r="L2779" s="261"/>
      <c r="M2779" s="261"/>
    </row>
    <row r="2780" spans="5:13">
      <c r="E2780" s="261"/>
      <c r="F2780" s="261"/>
      <c r="G2780" s="261"/>
      <c r="H2780" s="261"/>
      <c r="I2780" s="261"/>
      <c r="J2780" s="261"/>
      <c r="K2780" s="261"/>
      <c r="L2780" s="261"/>
      <c r="M2780" s="261"/>
    </row>
    <row r="2781" spans="5:13">
      <c r="E2781" s="261"/>
      <c r="F2781" s="261"/>
      <c r="G2781" s="261"/>
      <c r="H2781" s="261"/>
      <c r="I2781" s="261"/>
      <c r="J2781" s="261"/>
      <c r="K2781" s="261"/>
      <c r="L2781" s="261"/>
      <c r="M2781" s="261"/>
    </row>
    <row r="2782" spans="5:13">
      <c r="E2782" s="261"/>
      <c r="F2782" s="261"/>
      <c r="G2782" s="261"/>
      <c r="H2782" s="261"/>
      <c r="I2782" s="261"/>
      <c r="J2782" s="261"/>
      <c r="K2782" s="261"/>
      <c r="L2782" s="261"/>
      <c r="M2782" s="261"/>
    </row>
    <row r="2783" spans="5:13">
      <c r="E2783" s="261"/>
      <c r="F2783" s="261"/>
      <c r="G2783" s="261"/>
      <c r="H2783" s="261"/>
      <c r="I2783" s="261"/>
      <c r="J2783" s="261"/>
      <c r="K2783" s="261"/>
      <c r="L2783" s="261"/>
      <c r="M2783" s="261"/>
    </row>
    <row r="2784" spans="5:13">
      <c r="E2784" s="261"/>
      <c r="F2784" s="261"/>
      <c r="G2784" s="261"/>
      <c r="H2784" s="261"/>
      <c r="I2784" s="261"/>
      <c r="J2784" s="261"/>
      <c r="K2784" s="261"/>
      <c r="L2784" s="261"/>
      <c r="M2784" s="261"/>
    </row>
    <row r="2785" spans="5:13">
      <c r="E2785" s="261"/>
      <c r="F2785" s="261"/>
      <c r="G2785" s="261"/>
      <c r="H2785" s="261"/>
      <c r="I2785" s="261"/>
      <c r="J2785" s="261"/>
      <c r="K2785" s="261"/>
      <c r="L2785" s="261"/>
      <c r="M2785" s="261"/>
    </row>
    <row r="2786" spans="5:13">
      <c r="E2786" s="261"/>
      <c r="F2786" s="261"/>
      <c r="G2786" s="261"/>
      <c r="H2786" s="261"/>
      <c r="I2786" s="261"/>
      <c r="J2786" s="261"/>
      <c r="K2786" s="261"/>
      <c r="L2786" s="261"/>
      <c r="M2786" s="261"/>
    </row>
    <row r="2787" spans="5:13">
      <c r="E2787" s="261"/>
      <c r="F2787" s="261"/>
      <c r="G2787" s="261"/>
      <c r="H2787" s="261"/>
      <c r="I2787" s="261"/>
      <c r="J2787" s="261"/>
      <c r="K2787" s="261"/>
      <c r="L2787" s="261"/>
      <c r="M2787" s="261"/>
    </row>
    <row r="2788" spans="5:13">
      <c r="E2788" s="261"/>
      <c r="F2788" s="261"/>
      <c r="G2788" s="261"/>
      <c r="H2788" s="261"/>
      <c r="I2788" s="261"/>
      <c r="J2788" s="261"/>
      <c r="K2788" s="261"/>
      <c r="L2788" s="261"/>
      <c r="M2788" s="261"/>
    </row>
    <row r="2789" spans="5:13">
      <c r="E2789" s="261"/>
      <c r="F2789" s="261"/>
      <c r="G2789" s="261"/>
      <c r="H2789" s="261"/>
      <c r="I2789" s="261"/>
      <c r="J2789" s="261"/>
      <c r="K2789" s="261"/>
      <c r="L2789" s="261"/>
      <c r="M2789" s="261"/>
    </row>
    <row r="2790" spans="5:13">
      <c r="E2790" s="261"/>
      <c r="F2790" s="261"/>
      <c r="G2790" s="261"/>
      <c r="H2790" s="261"/>
      <c r="I2790" s="261"/>
      <c r="J2790" s="261"/>
      <c r="K2790" s="261"/>
      <c r="L2790" s="261"/>
      <c r="M2790" s="261"/>
    </row>
    <row r="2791" spans="5:13">
      <c r="E2791" s="261"/>
      <c r="F2791" s="261"/>
      <c r="G2791" s="261"/>
      <c r="H2791" s="261"/>
      <c r="I2791" s="261"/>
      <c r="J2791" s="261"/>
      <c r="K2791" s="261"/>
      <c r="L2791" s="261"/>
      <c r="M2791" s="261"/>
    </row>
    <row r="2792" spans="5:13">
      <c r="E2792" s="261"/>
      <c r="F2792" s="261"/>
      <c r="G2792" s="261"/>
      <c r="H2792" s="261"/>
      <c r="I2792" s="261"/>
      <c r="J2792" s="261"/>
      <c r="K2792" s="261"/>
      <c r="L2792" s="261"/>
      <c r="M2792" s="261"/>
    </row>
    <row r="2793" spans="5:13">
      <c r="E2793" s="261"/>
      <c r="F2793" s="261"/>
      <c r="G2793" s="261"/>
      <c r="H2793" s="261"/>
      <c r="I2793" s="261"/>
      <c r="J2793" s="261"/>
      <c r="K2793" s="261"/>
      <c r="L2793" s="261"/>
      <c r="M2793" s="261"/>
    </row>
    <row r="2794" spans="5:13">
      <c r="E2794" s="261"/>
      <c r="F2794" s="261"/>
      <c r="G2794" s="261"/>
      <c r="H2794" s="261"/>
      <c r="I2794" s="261"/>
      <c r="J2794" s="261"/>
      <c r="K2794" s="261"/>
      <c r="L2794" s="261"/>
      <c r="M2794" s="261"/>
    </row>
    <row r="2795" spans="5:13">
      <c r="E2795" s="261"/>
      <c r="F2795" s="261"/>
      <c r="G2795" s="261"/>
      <c r="H2795" s="261"/>
      <c r="I2795" s="261"/>
      <c r="J2795" s="261"/>
      <c r="K2795" s="261"/>
      <c r="L2795" s="261"/>
      <c r="M2795" s="261"/>
    </row>
    <row r="2796" spans="5:13">
      <c r="E2796" s="261"/>
      <c r="F2796" s="261"/>
      <c r="G2796" s="261"/>
      <c r="H2796" s="261"/>
      <c r="I2796" s="261"/>
      <c r="J2796" s="261"/>
      <c r="K2796" s="261"/>
      <c r="L2796" s="261"/>
      <c r="M2796" s="261"/>
    </row>
    <row r="2797" spans="5:13">
      <c r="E2797" s="261"/>
      <c r="F2797" s="261"/>
      <c r="G2797" s="261"/>
      <c r="H2797" s="261"/>
      <c r="I2797" s="261"/>
      <c r="J2797" s="261"/>
      <c r="K2797" s="261"/>
      <c r="L2797" s="261"/>
      <c r="M2797" s="261"/>
    </row>
    <row r="2798" spans="5:13">
      <c r="E2798" s="261"/>
      <c r="F2798" s="261"/>
      <c r="G2798" s="261"/>
      <c r="H2798" s="261"/>
      <c r="I2798" s="261"/>
      <c r="J2798" s="261"/>
      <c r="K2798" s="261"/>
      <c r="L2798" s="261"/>
      <c r="M2798" s="261"/>
    </row>
    <row r="2799" spans="5:13">
      <c r="E2799" s="261"/>
      <c r="F2799" s="261"/>
      <c r="G2799" s="261"/>
      <c r="H2799" s="261"/>
      <c r="I2799" s="261"/>
      <c r="J2799" s="261"/>
      <c r="K2799" s="261"/>
      <c r="L2799" s="261"/>
      <c r="M2799" s="261"/>
    </row>
    <row r="2800" spans="5:13">
      <c r="E2800" s="261"/>
      <c r="F2800" s="261"/>
      <c r="G2800" s="261"/>
      <c r="H2800" s="261"/>
      <c r="I2800" s="261"/>
      <c r="J2800" s="261"/>
      <c r="K2800" s="261"/>
      <c r="L2800" s="261"/>
      <c r="M2800" s="261"/>
    </row>
    <row r="2801" spans="5:13">
      <c r="E2801" s="261"/>
      <c r="F2801" s="261"/>
      <c r="G2801" s="261"/>
      <c r="H2801" s="261"/>
      <c r="I2801" s="261"/>
      <c r="J2801" s="261"/>
      <c r="K2801" s="261"/>
      <c r="L2801" s="261"/>
      <c r="M2801" s="261"/>
    </row>
    <row r="2802" spans="5:13">
      <c r="E2802" s="261"/>
      <c r="F2802" s="261"/>
      <c r="G2802" s="261"/>
      <c r="H2802" s="261"/>
      <c r="I2802" s="261"/>
      <c r="J2802" s="261"/>
      <c r="K2802" s="261"/>
      <c r="L2802" s="261"/>
      <c r="M2802" s="261"/>
    </row>
    <row r="2803" spans="5:13">
      <c r="E2803" s="261"/>
      <c r="F2803" s="261"/>
      <c r="G2803" s="261"/>
      <c r="H2803" s="261"/>
      <c r="I2803" s="261"/>
      <c r="J2803" s="261"/>
      <c r="K2803" s="261"/>
      <c r="L2803" s="261"/>
      <c r="M2803" s="261"/>
    </row>
    <row r="2804" spans="5:13">
      <c r="E2804" s="261"/>
      <c r="F2804" s="261"/>
      <c r="G2804" s="261"/>
      <c r="H2804" s="261"/>
      <c r="I2804" s="261"/>
      <c r="J2804" s="261"/>
      <c r="K2804" s="261"/>
      <c r="L2804" s="261"/>
      <c r="M2804" s="261"/>
    </row>
    <row r="2805" spans="5:13">
      <c r="E2805" s="261"/>
      <c r="F2805" s="261"/>
      <c r="G2805" s="261"/>
      <c r="H2805" s="261"/>
      <c r="I2805" s="261"/>
      <c r="J2805" s="261"/>
      <c r="K2805" s="261"/>
      <c r="L2805" s="261"/>
      <c r="M2805" s="261"/>
    </row>
    <row r="2806" spans="5:13">
      <c r="E2806" s="261"/>
      <c r="F2806" s="261"/>
      <c r="G2806" s="261"/>
      <c r="H2806" s="261"/>
      <c r="I2806" s="261"/>
      <c r="J2806" s="261"/>
      <c r="K2806" s="261"/>
      <c r="L2806" s="261"/>
      <c r="M2806" s="261"/>
    </row>
    <row r="2807" spans="5:13">
      <c r="E2807" s="261"/>
      <c r="F2807" s="261"/>
      <c r="G2807" s="261"/>
      <c r="H2807" s="261"/>
      <c r="I2807" s="261"/>
      <c r="J2807" s="261"/>
      <c r="K2807" s="261"/>
      <c r="L2807" s="261"/>
      <c r="M2807" s="261"/>
    </row>
    <row r="2808" spans="5:13">
      <c r="E2808" s="261"/>
      <c r="F2808" s="261"/>
      <c r="G2808" s="261"/>
      <c r="H2808" s="261"/>
      <c r="I2808" s="261"/>
      <c r="J2808" s="261"/>
      <c r="K2808" s="261"/>
      <c r="L2808" s="261"/>
      <c r="M2808" s="261"/>
    </row>
    <row r="2809" spans="5:13">
      <c r="E2809" s="261"/>
      <c r="F2809" s="261"/>
      <c r="G2809" s="261"/>
      <c r="H2809" s="261"/>
      <c r="I2809" s="261"/>
      <c r="J2809" s="261"/>
      <c r="K2809" s="261"/>
      <c r="L2809" s="261"/>
      <c r="M2809" s="261"/>
    </row>
    <row r="2810" spans="5:13">
      <c r="E2810" s="261"/>
      <c r="F2810" s="261"/>
      <c r="G2810" s="261"/>
      <c r="H2810" s="261"/>
      <c r="I2810" s="261"/>
      <c r="J2810" s="261"/>
      <c r="K2810" s="261"/>
      <c r="L2810" s="261"/>
      <c r="M2810" s="261"/>
    </row>
    <row r="2811" spans="5:13">
      <c r="E2811" s="261"/>
      <c r="F2811" s="261"/>
      <c r="G2811" s="261"/>
      <c r="H2811" s="261"/>
      <c r="I2811" s="261"/>
      <c r="J2811" s="261"/>
      <c r="K2811" s="261"/>
      <c r="L2811" s="261"/>
      <c r="M2811" s="261"/>
    </row>
    <row r="2812" spans="5:13">
      <c r="E2812" s="261"/>
      <c r="F2812" s="261"/>
      <c r="G2812" s="261"/>
      <c r="H2812" s="261"/>
      <c r="I2812" s="261"/>
      <c r="J2812" s="261"/>
      <c r="K2812" s="261"/>
      <c r="L2812" s="261"/>
      <c r="M2812" s="261"/>
    </row>
    <row r="2813" spans="5:13">
      <c r="E2813" s="261"/>
      <c r="F2813" s="261"/>
      <c r="G2813" s="261"/>
      <c r="H2813" s="261"/>
      <c r="I2813" s="261"/>
      <c r="J2813" s="261"/>
      <c r="K2813" s="261"/>
      <c r="L2813" s="261"/>
      <c r="M2813" s="261"/>
    </row>
    <row r="2814" spans="5:13">
      <c r="E2814" s="261"/>
      <c r="F2814" s="261"/>
      <c r="G2814" s="261"/>
      <c r="H2814" s="261"/>
      <c r="I2814" s="261"/>
      <c r="J2814" s="261"/>
      <c r="K2814" s="261"/>
      <c r="L2814" s="261"/>
      <c r="M2814" s="261"/>
    </row>
    <row r="2815" spans="5:13">
      <c r="E2815" s="261"/>
      <c r="F2815" s="261"/>
      <c r="G2815" s="261"/>
      <c r="H2815" s="261"/>
      <c r="I2815" s="261"/>
      <c r="J2815" s="261"/>
      <c r="K2815" s="261"/>
      <c r="L2815" s="261"/>
      <c r="M2815" s="261"/>
    </row>
    <row r="2816" spans="5:13">
      <c r="E2816" s="261"/>
      <c r="F2816" s="261"/>
      <c r="G2816" s="261"/>
      <c r="H2816" s="261"/>
      <c r="I2816" s="261"/>
      <c r="J2816" s="261"/>
      <c r="K2816" s="261"/>
      <c r="L2816" s="261"/>
      <c r="M2816" s="261"/>
    </row>
    <row r="2817" spans="5:13">
      <c r="E2817" s="261"/>
      <c r="F2817" s="261"/>
      <c r="G2817" s="261"/>
      <c r="H2817" s="261"/>
      <c r="I2817" s="261"/>
      <c r="J2817" s="261"/>
      <c r="K2817" s="261"/>
      <c r="L2817" s="261"/>
      <c r="M2817" s="261"/>
    </row>
    <row r="2818" spans="5:13">
      <c r="E2818" s="261"/>
      <c r="F2818" s="261"/>
      <c r="G2818" s="261"/>
      <c r="H2818" s="261"/>
      <c r="I2818" s="261"/>
      <c r="J2818" s="261"/>
      <c r="K2818" s="261"/>
      <c r="L2818" s="261"/>
      <c r="M2818" s="261"/>
    </row>
    <row r="2819" spans="5:13">
      <c r="E2819" s="261"/>
      <c r="F2819" s="261"/>
      <c r="G2819" s="261"/>
      <c r="H2819" s="261"/>
      <c r="I2819" s="261"/>
      <c r="J2819" s="261"/>
      <c r="K2819" s="261"/>
      <c r="L2819" s="261"/>
      <c r="M2819" s="261"/>
    </row>
    <row r="2820" spans="5:13">
      <c r="E2820" s="261"/>
      <c r="F2820" s="261"/>
      <c r="G2820" s="261"/>
      <c r="H2820" s="261"/>
      <c r="I2820" s="261"/>
      <c r="J2820" s="261"/>
      <c r="K2820" s="261"/>
      <c r="L2820" s="261"/>
      <c r="M2820" s="261"/>
    </row>
    <row r="2821" spans="5:13">
      <c r="E2821" s="261"/>
      <c r="F2821" s="261"/>
      <c r="G2821" s="261"/>
      <c r="H2821" s="261"/>
      <c r="I2821" s="261"/>
      <c r="J2821" s="261"/>
      <c r="K2821" s="261"/>
      <c r="L2821" s="261"/>
      <c r="M2821" s="261"/>
    </row>
    <row r="2822" spans="5:13">
      <c r="E2822" s="261"/>
      <c r="F2822" s="261"/>
      <c r="G2822" s="261"/>
      <c r="H2822" s="261"/>
      <c r="I2822" s="261"/>
      <c r="J2822" s="261"/>
      <c r="K2822" s="261"/>
      <c r="L2822" s="261"/>
      <c r="M2822" s="261"/>
    </row>
    <row r="2823" spans="5:13">
      <c r="E2823" s="261"/>
      <c r="F2823" s="261"/>
      <c r="G2823" s="261"/>
      <c r="H2823" s="261"/>
      <c r="I2823" s="261"/>
      <c r="J2823" s="261"/>
      <c r="K2823" s="261"/>
      <c r="L2823" s="261"/>
      <c r="M2823" s="261"/>
    </row>
    <row r="2824" spans="5:13">
      <c r="E2824" s="261"/>
      <c r="F2824" s="261"/>
      <c r="G2824" s="261"/>
      <c r="H2824" s="261"/>
      <c r="I2824" s="261"/>
      <c r="J2824" s="261"/>
      <c r="K2824" s="261"/>
      <c r="L2824" s="261"/>
      <c r="M2824" s="261"/>
    </row>
    <row r="2825" spans="5:13">
      <c r="E2825" s="261"/>
      <c r="F2825" s="261"/>
      <c r="G2825" s="261"/>
      <c r="H2825" s="261"/>
      <c r="I2825" s="261"/>
      <c r="J2825" s="261"/>
      <c r="K2825" s="261"/>
      <c r="L2825" s="261"/>
      <c r="M2825" s="261"/>
    </row>
    <row r="2826" spans="5:13">
      <c r="E2826" s="261"/>
      <c r="F2826" s="261"/>
      <c r="G2826" s="261"/>
      <c r="H2826" s="261"/>
      <c r="I2826" s="261"/>
      <c r="J2826" s="261"/>
      <c r="K2826" s="261"/>
      <c r="L2826" s="261"/>
      <c r="M2826" s="261"/>
    </row>
    <row r="2827" spans="5:13">
      <c r="E2827" s="261"/>
      <c r="F2827" s="261"/>
      <c r="G2827" s="261"/>
      <c r="H2827" s="261"/>
      <c r="I2827" s="261"/>
      <c r="J2827" s="261"/>
      <c r="K2827" s="261"/>
      <c r="L2827" s="261"/>
      <c r="M2827" s="261"/>
    </row>
    <row r="2828" spans="5:13">
      <c r="E2828" s="261"/>
      <c r="F2828" s="261"/>
      <c r="G2828" s="261"/>
      <c r="H2828" s="261"/>
      <c r="I2828" s="261"/>
      <c r="J2828" s="261"/>
      <c r="K2828" s="261"/>
      <c r="L2828" s="261"/>
      <c r="M2828" s="261"/>
    </row>
    <row r="2829" spans="5:13">
      <c r="E2829" s="261"/>
      <c r="F2829" s="261"/>
      <c r="G2829" s="261"/>
      <c r="H2829" s="261"/>
      <c r="I2829" s="261"/>
      <c r="J2829" s="261"/>
      <c r="K2829" s="261"/>
      <c r="L2829" s="261"/>
      <c r="M2829" s="261"/>
    </row>
    <row r="2830" spans="5:13">
      <c r="E2830" s="261"/>
      <c r="F2830" s="261"/>
      <c r="G2830" s="261"/>
      <c r="H2830" s="261"/>
      <c r="I2830" s="261"/>
      <c r="J2830" s="261"/>
      <c r="K2830" s="261"/>
      <c r="L2830" s="261"/>
      <c r="M2830" s="261"/>
    </row>
    <row r="2831" spans="5:13">
      <c r="E2831" s="261"/>
      <c r="F2831" s="261"/>
      <c r="G2831" s="261"/>
      <c r="H2831" s="261"/>
      <c r="I2831" s="261"/>
      <c r="J2831" s="261"/>
      <c r="K2831" s="261"/>
      <c r="L2831" s="261"/>
      <c r="M2831" s="261"/>
    </row>
    <row r="2832" spans="5:13">
      <c r="E2832" s="261"/>
      <c r="F2832" s="261"/>
      <c r="G2832" s="261"/>
      <c r="H2832" s="261"/>
      <c r="I2832" s="261"/>
      <c r="J2832" s="261"/>
      <c r="K2832" s="261"/>
      <c r="L2832" s="261"/>
      <c r="M2832" s="261"/>
    </row>
    <row r="2833" spans="5:13">
      <c r="E2833" s="261"/>
      <c r="F2833" s="261"/>
      <c r="G2833" s="261"/>
      <c r="H2833" s="261"/>
      <c r="I2833" s="261"/>
      <c r="J2833" s="261"/>
      <c r="K2833" s="261"/>
      <c r="L2833" s="261"/>
      <c r="M2833" s="261"/>
    </row>
    <row r="2834" spans="5:13">
      <c r="E2834" s="261"/>
      <c r="F2834" s="261"/>
      <c r="G2834" s="261"/>
      <c r="H2834" s="261"/>
      <c r="I2834" s="261"/>
      <c r="J2834" s="261"/>
      <c r="K2834" s="261"/>
      <c r="L2834" s="261"/>
      <c r="M2834" s="261"/>
    </row>
    <row r="2835" spans="5:13">
      <c r="E2835" s="261"/>
      <c r="F2835" s="261"/>
      <c r="G2835" s="261"/>
      <c r="H2835" s="261"/>
      <c r="I2835" s="261"/>
      <c r="J2835" s="261"/>
      <c r="K2835" s="261"/>
      <c r="L2835" s="261"/>
      <c r="M2835" s="261"/>
    </row>
    <row r="2836" spans="5:13">
      <c r="E2836" s="261"/>
      <c r="F2836" s="261"/>
      <c r="G2836" s="261"/>
      <c r="H2836" s="261"/>
      <c r="I2836" s="261"/>
      <c r="J2836" s="261"/>
      <c r="K2836" s="261"/>
      <c r="L2836" s="261"/>
      <c r="M2836" s="261"/>
    </row>
    <row r="2837" spans="5:13">
      <c r="E2837" s="261"/>
      <c r="F2837" s="261"/>
      <c r="G2837" s="261"/>
      <c r="H2837" s="261"/>
      <c r="I2837" s="261"/>
      <c r="J2837" s="261"/>
      <c r="K2837" s="261"/>
      <c r="L2837" s="261"/>
      <c r="M2837" s="261"/>
    </row>
    <row r="2838" spans="5:13">
      <c r="E2838" s="261"/>
      <c r="F2838" s="261"/>
      <c r="G2838" s="261"/>
      <c r="H2838" s="261"/>
      <c r="I2838" s="261"/>
      <c r="J2838" s="261"/>
      <c r="K2838" s="261"/>
      <c r="L2838" s="261"/>
      <c r="M2838" s="261"/>
    </row>
    <row r="2839" spans="5:13">
      <c r="E2839" s="261"/>
      <c r="F2839" s="261"/>
      <c r="G2839" s="261"/>
      <c r="H2839" s="261"/>
      <c r="I2839" s="261"/>
      <c r="J2839" s="261"/>
      <c r="K2839" s="261"/>
      <c r="L2839" s="261"/>
      <c r="M2839" s="261"/>
    </row>
    <row r="2840" spans="5:13">
      <c r="E2840" s="261"/>
      <c r="F2840" s="261"/>
      <c r="G2840" s="261"/>
      <c r="H2840" s="261"/>
      <c r="I2840" s="261"/>
      <c r="J2840" s="261"/>
      <c r="K2840" s="261"/>
      <c r="L2840" s="261"/>
      <c r="M2840" s="261"/>
    </row>
    <row r="2841" spans="5:13">
      <c r="E2841" s="261"/>
      <c r="F2841" s="261"/>
      <c r="G2841" s="261"/>
      <c r="H2841" s="261"/>
      <c r="I2841" s="261"/>
      <c r="J2841" s="261"/>
      <c r="K2841" s="261"/>
      <c r="L2841" s="261"/>
      <c r="M2841" s="261"/>
    </row>
    <row r="2842" spans="5:13">
      <c r="E2842" s="261"/>
      <c r="F2842" s="261"/>
      <c r="G2842" s="261"/>
      <c r="H2842" s="261"/>
      <c r="I2842" s="261"/>
      <c r="J2842" s="261"/>
      <c r="K2842" s="261"/>
      <c r="L2842" s="261"/>
      <c r="M2842" s="261"/>
    </row>
    <row r="2843" spans="5:13">
      <c r="E2843" s="261"/>
      <c r="F2843" s="261"/>
      <c r="G2843" s="261"/>
      <c r="H2843" s="261"/>
      <c r="I2843" s="261"/>
      <c r="J2843" s="261"/>
      <c r="K2843" s="261"/>
      <c r="L2843" s="261"/>
      <c r="M2843" s="261"/>
    </row>
    <row r="2844" spans="5:13">
      <c r="E2844" s="261"/>
      <c r="F2844" s="261"/>
      <c r="G2844" s="261"/>
      <c r="H2844" s="261"/>
      <c r="I2844" s="261"/>
      <c r="J2844" s="261"/>
      <c r="K2844" s="261"/>
      <c r="L2844" s="261"/>
      <c r="M2844" s="261"/>
    </row>
    <row r="2845" spans="5:13">
      <c r="E2845" s="261"/>
      <c r="F2845" s="261"/>
      <c r="G2845" s="261"/>
      <c r="H2845" s="261"/>
      <c r="I2845" s="261"/>
      <c r="J2845" s="261"/>
      <c r="K2845" s="261"/>
      <c r="L2845" s="261"/>
      <c r="M2845" s="261"/>
    </row>
    <row r="2846" spans="5:13">
      <c r="E2846" s="261"/>
      <c r="F2846" s="261"/>
      <c r="G2846" s="261"/>
      <c r="H2846" s="261"/>
      <c r="I2846" s="261"/>
      <c r="J2846" s="261"/>
      <c r="K2846" s="261"/>
      <c r="L2846" s="261"/>
      <c r="M2846" s="261"/>
    </row>
    <row r="2847" spans="5:13">
      <c r="E2847" s="261"/>
      <c r="F2847" s="261"/>
      <c r="G2847" s="261"/>
      <c r="H2847" s="261"/>
      <c r="I2847" s="261"/>
      <c r="J2847" s="261"/>
      <c r="K2847" s="261"/>
      <c r="L2847" s="261"/>
      <c r="M2847" s="261"/>
    </row>
    <row r="2848" spans="5:13">
      <c r="E2848" s="261"/>
      <c r="F2848" s="261"/>
      <c r="G2848" s="261"/>
      <c r="H2848" s="261"/>
      <c r="I2848" s="261"/>
      <c r="J2848" s="261"/>
      <c r="K2848" s="261"/>
      <c r="L2848" s="261"/>
      <c r="M2848" s="261"/>
    </row>
    <row r="2849" spans="5:13">
      <c r="E2849" s="261"/>
      <c r="F2849" s="261"/>
      <c r="G2849" s="261"/>
      <c r="H2849" s="261"/>
      <c r="I2849" s="261"/>
      <c r="J2849" s="261"/>
      <c r="K2849" s="261"/>
      <c r="L2849" s="261"/>
      <c r="M2849" s="261"/>
    </row>
    <row r="2850" spans="5:13">
      <c r="E2850" s="261"/>
      <c r="F2850" s="261"/>
      <c r="G2850" s="261"/>
      <c r="H2850" s="261"/>
      <c r="I2850" s="261"/>
      <c r="J2850" s="261"/>
      <c r="K2850" s="261"/>
      <c r="L2850" s="261"/>
      <c r="M2850" s="261"/>
    </row>
    <row r="2851" spans="5:13">
      <c r="E2851" s="261"/>
      <c r="F2851" s="261"/>
      <c r="G2851" s="261"/>
      <c r="H2851" s="261"/>
      <c r="I2851" s="261"/>
      <c r="J2851" s="261"/>
      <c r="K2851" s="261"/>
      <c r="L2851" s="261"/>
      <c r="M2851" s="261"/>
    </row>
    <row r="2852" spans="5:13">
      <c r="E2852" s="261"/>
      <c r="F2852" s="261"/>
      <c r="G2852" s="261"/>
      <c r="H2852" s="261"/>
      <c r="I2852" s="261"/>
      <c r="J2852" s="261"/>
      <c r="K2852" s="261"/>
      <c r="L2852" s="261"/>
      <c r="M2852" s="261"/>
    </row>
    <row r="2853" spans="5:13">
      <c r="E2853" s="261"/>
      <c r="F2853" s="261"/>
      <c r="G2853" s="261"/>
      <c r="H2853" s="261"/>
      <c r="I2853" s="261"/>
      <c r="J2853" s="261"/>
      <c r="K2853" s="261"/>
      <c r="L2853" s="261"/>
      <c r="M2853" s="261"/>
    </row>
    <row r="2854" spans="5:13">
      <c r="E2854" s="261"/>
      <c r="F2854" s="261"/>
      <c r="G2854" s="261"/>
      <c r="H2854" s="261"/>
      <c r="I2854" s="261"/>
      <c r="J2854" s="261"/>
      <c r="K2854" s="261"/>
      <c r="L2854" s="261"/>
      <c r="M2854" s="261"/>
    </row>
    <row r="2855" spans="5:13">
      <c r="E2855" s="261"/>
      <c r="F2855" s="261"/>
      <c r="G2855" s="261"/>
      <c r="H2855" s="261"/>
      <c r="I2855" s="261"/>
      <c r="J2855" s="261"/>
      <c r="K2855" s="261"/>
      <c r="L2855" s="261"/>
      <c r="M2855" s="261"/>
    </row>
    <row r="2856" spans="5:13">
      <c r="E2856" s="261"/>
      <c r="F2856" s="261"/>
      <c r="G2856" s="261"/>
      <c r="H2856" s="261"/>
      <c r="I2856" s="261"/>
      <c r="J2856" s="261"/>
      <c r="K2856" s="261"/>
      <c r="L2856" s="261"/>
      <c r="M2856" s="261"/>
    </row>
    <row r="2857" spans="5:13">
      <c r="E2857" s="261"/>
      <c r="F2857" s="261"/>
      <c r="G2857" s="261"/>
      <c r="H2857" s="261"/>
      <c r="I2857" s="261"/>
      <c r="J2857" s="261"/>
      <c r="K2857" s="261"/>
      <c r="L2857" s="261"/>
      <c r="M2857" s="261"/>
    </row>
    <row r="2858" spans="5:13">
      <c r="E2858" s="261"/>
      <c r="F2858" s="261"/>
      <c r="G2858" s="261"/>
      <c r="H2858" s="261"/>
      <c r="I2858" s="261"/>
      <c r="J2858" s="261"/>
      <c r="K2858" s="261"/>
      <c r="L2858" s="261"/>
      <c r="M2858" s="261"/>
    </row>
    <row r="2859" spans="5:13">
      <c r="E2859" s="261"/>
      <c r="F2859" s="261"/>
      <c r="G2859" s="261"/>
      <c r="H2859" s="261"/>
      <c r="I2859" s="261"/>
      <c r="J2859" s="261"/>
      <c r="K2859" s="261"/>
      <c r="L2859" s="261"/>
      <c r="M2859" s="261"/>
    </row>
    <row r="2860" spans="5:13">
      <c r="E2860" s="261"/>
      <c r="F2860" s="261"/>
      <c r="G2860" s="261"/>
      <c r="H2860" s="261"/>
      <c r="I2860" s="261"/>
      <c r="J2860" s="261"/>
      <c r="K2860" s="261"/>
      <c r="L2860" s="261"/>
      <c r="M2860" s="261"/>
    </row>
    <row r="2861" spans="5:13">
      <c r="E2861" s="261"/>
      <c r="F2861" s="261"/>
      <c r="G2861" s="261"/>
      <c r="H2861" s="261"/>
      <c r="I2861" s="261"/>
      <c r="J2861" s="261"/>
      <c r="K2861" s="261"/>
      <c r="L2861" s="261"/>
      <c r="M2861" s="261"/>
    </row>
    <row r="2862" spans="5:13">
      <c r="E2862" s="261"/>
      <c r="F2862" s="261"/>
      <c r="G2862" s="261"/>
      <c r="H2862" s="261"/>
      <c r="I2862" s="261"/>
      <c r="J2862" s="261"/>
      <c r="K2862" s="261"/>
      <c r="L2862" s="261"/>
      <c r="M2862" s="261"/>
    </row>
    <row r="2863" spans="5:13">
      <c r="E2863" s="261"/>
      <c r="F2863" s="261"/>
      <c r="G2863" s="261"/>
      <c r="H2863" s="261"/>
      <c r="I2863" s="261"/>
      <c r="J2863" s="261"/>
      <c r="K2863" s="261"/>
      <c r="L2863" s="261"/>
      <c r="M2863" s="261"/>
    </row>
    <row r="2864" spans="5:13">
      <c r="E2864" s="261"/>
      <c r="F2864" s="261"/>
      <c r="G2864" s="261"/>
      <c r="H2864" s="261"/>
      <c r="I2864" s="261"/>
      <c r="J2864" s="261"/>
      <c r="K2864" s="261"/>
      <c r="L2864" s="261"/>
      <c r="M2864" s="261"/>
    </row>
    <row r="2865" spans="5:13">
      <c r="E2865" s="261"/>
      <c r="F2865" s="261"/>
      <c r="G2865" s="261"/>
      <c r="H2865" s="261"/>
      <c r="I2865" s="261"/>
      <c r="J2865" s="261"/>
      <c r="K2865" s="261"/>
      <c r="L2865" s="261"/>
      <c r="M2865" s="261"/>
    </row>
    <row r="2866" spans="5:13">
      <c r="E2866" s="261"/>
      <c r="F2866" s="261"/>
      <c r="G2866" s="261"/>
      <c r="H2866" s="261"/>
      <c r="I2866" s="261"/>
      <c r="J2866" s="261"/>
      <c r="K2866" s="261"/>
      <c r="L2866" s="261"/>
      <c r="M2866" s="261"/>
    </row>
    <row r="2867" spans="5:13">
      <c r="E2867" s="261"/>
      <c r="F2867" s="261"/>
      <c r="G2867" s="261"/>
      <c r="H2867" s="261"/>
      <c r="I2867" s="261"/>
      <c r="J2867" s="261"/>
      <c r="K2867" s="261"/>
      <c r="L2867" s="261"/>
      <c r="M2867" s="261"/>
    </row>
    <row r="2868" spans="5:13">
      <c r="E2868" s="261"/>
      <c r="F2868" s="261"/>
      <c r="G2868" s="261"/>
      <c r="H2868" s="261"/>
      <c r="I2868" s="261"/>
      <c r="J2868" s="261"/>
      <c r="K2868" s="261"/>
      <c r="L2868" s="261"/>
      <c r="M2868" s="261"/>
    </row>
    <row r="2869" spans="5:13">
      <c r="E2869" s="261"/>
      <c r="F2869" s="261"/>
      <c r="G2869" s="261"/>
      <c r="H2869" s="261"/>
      <c r="I2869" s="261"/>
      <c r="J2869" s="261"/>
      <c r="K2869" s="261"/>
      <c r="L2869" s="261"/>
      <c r="M2869" s="261"/>
    </row>
    <row r="2870" spans="5:13">
      <c r="E2870" s="261"/>
      <c r="F2870" s="261"/>
      <c r="G2870" s="261"/>
      <c r="H2870" s="261"/>
      <c r="I2870" s="261"/>
      <c r="J2870" s="261"/>
      <c r="K2870" s="261"/>
      <c r="L2870" s="261"/>
      <c r="M2870" s="261"/>
    </row>
    <row r="2871" spans="5:13">
      <c r="E2871" s="261"/>
      <c r="F2871" s="261"/>
      <c r="G2871" s="261"/>
      <c r="H2871" s="261"/>
      <c r="I2871" s="261"/>
      <c r="J2871" s="261"/>
      <c r="K2871" s="261"/>
      <c r="L2871" s="261"/>
      <c r="M2871" s="261"/>
    </row>
    <row r="2872" spans="5:13">
      <c r="E2872" s="261"/>
      <c r="F2872" s="261"/>
      <c r="G2872" s="261"/>
      <c r="H2872" s="261"/>
      <c r="I2872" s="261"/>
      <c r="J2872" s="261"/>
      <c r="K2872" s="261"/>
      <c r="L2872" s="261"/>
      <c r="M2872" s="261"/>
    </row>
    <row r="2873" spans="5:13">
      <c r="E2873" s="261"/>
      <c r="F2873" s="261"/>
      <c r="G2873" s="261"/>
      <c r="H2873" s="261"/>
      <c r="I2873" s="261"/>
      <c r="J2873" s="261"/>
      <c r="K2873" s="261"/>
      <c r="L2873" s="261"/>
      <c r="M2873" s="261"/>
    </row>
    <row r="2874" spans="5:13">
      <c r="E2874" s="261"/>
      <c r="F2874" s="261"/>
      <c r="G2874" s="261"/>
      <c r="H2874" s="261"/>
      <c r="I2874" s="261"/>
      <c r="J2874" s="261"/>
      <c r="K2874" s="261"/>
      <c r="L2874" s="261"/>
      <c r="M2874" s="261"/>
    </row>
    <row r="2875" spans="5:13">
      <c r="E2875" s="261"/>
      <c r="F2875" s="261"/>
      <c r="G2875" s="261"/>
      <c r="H2875" s="261"/>
      <c r="I2875" s="261"/>
      <c r="J2875" s="261"/>
      <c r="K2875" s="261"/>
      <c r="L2875" s="261"/>
      <c r="M2875" s="261"/>
    </row>
    <row r="2876" spans="5:13">
      <c r="E2876" s="261"/>
      <c r="F2876" s="261"/>
      <c r="G2876" s="261"/>
      <c r="H2876" s="261"/>
      <c r="I2876" s="261"/>
      <c r="J2876" s="261"/>
      <c r="K2876" s="261"/>
      <c r="L2876" s="261"/>
      <c r="M2876" s="261"/>
    </row>
    <row r="2877" spans="5:13">
      <c r="E2877" s="261"/>
      <c r="F2877" s="261"/>
      <c r="G2877" s="261"/>
      <c r="H2877" s="261"/>
      <c r="I2877" s="261"/>
      <c r="J2877" s="261"/>
      <c r="K2877" s="261"/>
      <c r="L2877" s="261"/>
      <c r="M2877" s="261"/>
    </row>
    <row r="2878" spans="5:13">
      <c r="E2878" s="261"/>
      <c r="F2878" s="261"/>
      <c r="G2878" s="261"/>
      <c r="H2878" s="261"/>
      <c r="I2878" s="261"/>
      <c r="J2878" s="261"/>
      <c r="K2878" s="261"/>
      <c r="L2878" s="261"/>
      <c r="M2878" s="261"/>
    </row>
    <row r="2879" spans="5:13">
      <c r="E2879" s="261"/>
      <c r="F2879" s="261"/>
      <c r="G2879" s="261"/>
      <c r="H2879" s="261"/>
      <c r="I2879" s="261"/>
      <c r="J2879" s="261"/>
      <c r="K2879" s="261"/>
      <c r="L2879" s="261"/>
      <c r="M2879" s="261"/>
    </row>
    <row r="2880" spans="5:13">
      <c r="E2880" s="261"/>
      <c r="F2880" s="261"/>
      <c r="G2880" s="261"/>
      <c r="H2880" s="261"/>
      <c r="I2880" s="261"/>
      <c r="J2880" s="261"/>
      <c r="K2880" s="261"/>
      <c r="L2880" s="261"/>
      <c r="M2880" s="261"/>
    </row>
    <row r="2881" spans="5:13">
      <c r="E2881" s="261"/>
      <c r="F2881" s="261"/>
      <c r="G2881" s="261"/>
      <c r="H2881" s="261"/>
      <c r="I2881" s="261"/>
      <c r="J2881" s="261"/>
      <c r="K2881" s="261"/>
      <c r="L2881" s="261"/>
      <c r="M2881" s="261"/>
    </row>
    <row r="2882" spans="5:13">
      <c r="E2882" s="261"/>
      <c r="F2882" s="261"/>
      <c r="G2882" s="261"/>
      <c r="H2882" s="261"/>
      <c r="I2882" s="261"/>
      <c r="J2882" s="261"/>
      <c r="K2882" s="261"/>
      <c r="L2882" s="261"/>
      <c r="M2882" s="261"/>
    </row>
    <row r="2883" spans="5:13">
      <c r="E2883" s="261"/>
      <c r="F2883" s="261"/>
      <c r="G2883" s="261"/>
      <c r="H2883" s="261"/>
      <c r="I2883" s="261"/>
      <c r="J2883" s="261"/>
      <c r="K2883" s="261"/>
      <c r="L2883" s="261"/>
      <c r="M2883" s="261"/>
    </row>
    <row r="2884" spans="5:13">
      <c r="E2884" s="261"/>
      <c r="F2884" s="261"/>
      <c r="G2884" s="261"/>
      <c r="H2884" s="261"/>
      <c r="I2884" s="261"/>
      <c r="J2884" s="261"/>
      <c r="K2884" s="261"/>
      <c r="L2884" s="261"/>
      <c r="M2884" s="261"/>
    </row>
    <row r="2885" spans="5:13">
      <c r="E2885" s="261"/>
      <c r="F2885" s="261"/>
      <c r="G2885" s="261"/>
      <c r="H2885" s="261"/>
      <c r="I2885" s="261"/>
      <c r="J2885" s="261"/>
      <c r="K2885" s="261"/>
      <c r="L2885" s="261"/>
      <c r="M2885" s="261"/>
    </row>
    <row r="2886" spans="5:13">
      <c r="E2886" s="261"/>
      <c r="F2886" s="261"/>
      <c r="G2886" s="261"/>
      <c r="H2886" s="261"/>
      <c r="I2886" s="261"/>
      <c r="J2886" s="261"/>
      <c r="K2886" s="261"/>
      <c r="L2886" s="261"/>
      <c r="M2886" s="261"/>
    </row>
    <row r="2887" spans="5:13">
      <c r="E2887" s="261"/>
      <c r="F2887" s="261"/>
      <c r="G2887" s="261"/>
      <c r="H2887" s="261"/>
      <c r="I2887" s="261"/>
      <c r="J2887" s="261"/>
      <c r="K2887" s="261"/>
      <c r="L2887" s="261"/>
      <c r="M2887" s="261"/>
    </row>
    <row r="2888" spans="5:13">
      <c r="E2888" s="261"/>
      <c r="F2888" s="261"/>
      <c r="G2888" s="261"/>
      <c r="H2888" s="261"/>
      <c r="I2888" s="261"/>
      <c r="J2888" s="261"/>
      <c r="K2888" s="261"/>
      <c r="L2888" s="261"/>
      <c r="M2888" s="261"/>
    </row>
    <row r="2889" spans="5:13">
      <c r="E2889" s="261"/>
      <c r="F2889" s="261"/>
      <c r="G2889" s="261"/>
      <c r="H2889" s="261"/>
      <c r="I2889" s="261"/>
      <c r="J2889" s="261"/>
      <c r="K2889" s="261"/>
      <c r="L2889" s="261"/>
      <c r="M2889" s="261"/>
    </row>
    <row r="2890" spans="5:13">
      <c r="E2890" s="261"/>
      <c r="F2890" s="261"/>
      <c r="G2890" s="261"/>
      <c r="H2890" s="261"/>
      <c r="I2890" s="261"/>
      <c r="J2890" s="261"/>
      <c r="K2890" s="261"/>
      <c r="L2890" s="261"/>
      <c r="M2890" s="261"/>
    </row>
    <row r="2891" spans="5:13">
      <c r="E2891" s="261"/>
      <c r="F2891" s="261"/>
      <c r="G2891" s="261"/>
      <c r="H2891" s="261"/>
      <c r="I2891" s="261"/>
      <c r="J2891" s="261"/>
      <c r="K2891" s="261"/>
      <c r="L2891" s="261"/>
      <c r="M2891" s="261"/>
    </row>
    <row r="2892" spans="5:13">
      <c r="E2892" s="261"/>
      <c r="F2892" s="261"/>
      <c r="G2892" s="261"/>
      <c r="H2892" s="261"/>
      <c r="I2892" s="261"/>
      <c r="J2892" s="261"/>
      <c r="K2892" s="261"/>
      <c r="L2892" s="261"/>
      <c r="M2892" s="261"/>
    </row>
    <row r="2893" spans="5:13">
      <c r="E2893" s="261"/>
      <c r="F2893" s="261"/>
      <c r="G2893" s="261"/>
      <c r="H2893" s="261"/>
      <c r="I2893" s="261"/>
      <c r="J2893" s="261"/>
      <c r="K2893" s="261"/>
      <c r="L2893" s="261"/>
      <c r="M2893" s="261"/>
    </row>
    <row r="2894" spans="5:13">
      <c r="E2894" s="261"/>
      <c r="F2894" s="261"/>
      <c r="G2894" s="261"/>
      <c r="H2894" s="261"/>
      <c r="I2894" s="261"/>
      <c r="J2894" s="261"/>
      <c r="K2894" s="261"/>
      <c r="L2894" s="261"/>
      <c r="M2894" s="261"/>
    </row>
    <row r="2895" spans="5:13">
      <c r="E2895" s="261"/>
      <c r="F2895" s="261"/>
      <c r="G2895" s="261"/>
      <c r="H2895" s="261"/>
      <c r="I2895" s="261"/>
      <c r="J2895" s="261"/>
      <c r="K2895" s="261"/>
      <c r="L2895" s="261"/>
      <c r="M2895" s="261"/>
    </row>
    <row r="2896" spans="5:13">
      <c r="E2896" s="261"/>
      <c r="F2896" s="261"/>
      <c r="G2896" s="261"/>
      <c r="H2896" s="261"/>
      <c r="I2896" s="261"/>
      <c r="J2896" s="261"/>
      <c r="K2896" s="261"/>
      <c r="L2896" s="261"/>
      <c r="M2896" s="261"/>
    </row>
    <row r="2897" spans="5:13">
      <c r="E2897" s="261"/>
      <c r="F2897" s="261"/>
      <c r="G2897" s="261"/>
      <c r="H2897" s="261"/>
      <c r="I2897" s="261"/>
      <c r="J2897" s="261"/>
      <c r="K2897" s="261"/>
      <c r="L2897" s="261"/>
      <c r="M2897" s="261"/>
    </row>
    <row r="2898" spans="5:13">
      <c r="E2898" s="261"/>
      <c r="F2898" s="261"/>
      <c r="G2898" s="261"/>
      <c r="H2898" s="261"/>
      <c r="I2898" s="261"/>
      <c r="J2898" s="261"/>
      <c r="K2898" s="261"/>
      <c r="L2898" s="261"/>
      <c r="M2898" s="261"/>
    </row>
    <row r="2899" spans="5:13">
      <c r="E2899" s="261"/>
      <c r="F2899" s="261"/>
      <c r="G2899" s="261"/>
      <c r="H2899" s="261"/>
      <c r="I2899" s="261"/>
      <c r="J2899" s="261"/>
      <c r="K2899" s="261"/>
      <c r="L2899" s="261"/>
      <c r="M2899" s="261"/>
    </row>
    <row r="2900" spans="5:13">
      <c r="E2900" s="261"/>
      <c r="F2900" s="261"/>
      <c r="G2900" s="261"/>
      <c r="H2900" s="261"/>
      <c r="I2900" s="261"/>
      <c r="J2900" s="261"/>
      <c r="K2900" s="261"/>
      <c r="L2900" s="261"/>
      <c r="M2900" s="261"/>
    </row>
    <row r="2901" spans="5:13">
      <c r="E2901" s="261"/>
      <c r="F2901" s="261"/>
      <c r="G2901" s="261"/>
      <c r="H2901" s="261"/>
      <c r="I2901" s="261"/>
      <c r="J2901" s="261"/>
      <c r="K2901" s="261"/>
      <c r="L2901" s="261"/>
      <c r="M2901" s="261"/>
    </row>
    <row r="2902" spans="5:13">
      <c r="E2902" s="261"/>
      <c r="F2902" s="261"/>
      <c r="G2902" s="261"/>
      <c r="H2902" s="261"/>
      <c r="I2902" s="261"/>
      <c r="J2902" s="261"/>
      <c r="K2902" s="261"/>
      <c r="L2902" s="261"/>
      <c r="M2902" s="261"/>
    </row>
    <row r="2903" spans="5:13">
      <c r="E2903" s="261"/>
      <c r="F2903" s="261"/>
      <c r="G2903" s="261"/>
      <c r="H2903" s="261"/>
      <c r="I2903" s="261"/>
      <c r="J2903" s="261"/>
      <c r="K2903" s="261"/>
      <c r="L2903" s="261"/>
      <c r="M2903" s="261"/>
    </row>
    <row r="2904" spans="5:13">
      <c r="E2904" s="261"/>
      <c r="F2904" s="261"/>
      <c r="G2904" s="261"/>
      <c r="H2904" s="261"/>
      <c r="I2904" s="261"/>
      <c r="J2904" s="261"/>
      <c r="K2904" s="261"/>
      <c r="L2904" s="261"/>
      <c r="M2904" s="261"/>
    </row>
    <row r="2905" spans="5:13">
      <c r="E2905" s="261"/>
      <c r="F2905" s="261"/>
      <c r="G2905" s="261"/>
      <c r="H2905" s="261"/>
      <c r="I2905" s="261"/>
      <c r="J2905" s="261"/>
      <c r="K2905" s="261"/>
      <c r="L2905" s="261"/>
      <c r="M2905" s="261"/>
    </row>
    <row r="2906" spans="5:13">
      <c r="E2906" s="261"/>
      <c r="F2906" s="261"/>
      <c r="G2906" s="261"/>
      <c r="H2906" s="261"/>
      <c r="I2906" s="261"/>
      <c r="J2906" s="261"/>
      <c r="K2906" s="261"/>
      <c r="L2906" s="261"/>
      <c r="M2906" s="261"/>
    </row>
    <row r="2907" spans="5:13">
      <c r="E2907" s="261"/>
      <c r="F2907" s="261"/>
      <c r="G2907" s="261"/>
      <c r="H2907" s="261"/>
      <c r="I2907" s="261"/>
      <c r="J2907" s="261"/>
      <c r="K2907" s="261"/>
      <c r="L2907" s="261"/>
      <c r="M2907" s="261"/>
    </row>
    <row r="2908" spans="5:13">
      <c r="E2908" s="261"/>
      <c r="F2908" s="261"/>
      <c r="G2908" s="261"/>
      <c r="H2908" s="261"/>
      <c r="I2908" s="261"/>
      <c r="J2908" s="261"/>
      <c r="K2908" s="261"/>
      <c r="L2908" s="261"/>
      <c r="M2908" s="261"/>
    </row>
    <row r="2909" spans="5:13">
      <c r="E2909" s="261"/>
      <c r="F2909" s="261"/>
      <c r="G2909" s="261"/>
      <c r="H2909" s="261"/>
      <c r="I2909" s="261"/>
      <c r="J2909" s="261"/>
      <c r="K2909" s="261"/>
      <c r="L2909" s="261"/>
      <c r="M2909" s="261"/>
    </row>
    <row r="2910" spans="5:13">
      <c r="E2910" s="261"/>
      <c r="F2910" s="261"/>
      <c r="G2910" s="261"/>
      <c r="H2910" s="261"/>
      <c r="I2910" s="261"/>
      <c r="J2910" s="261"/>
      <c r="K2910" s="261"/>
      <c r="L2910" s="261"/>
      <c r="M2910" s="261"/>
    </row>
    <row r="2911" spans="5:13">
      <c r="E2911" s="261"/>
      <c r="F2911" s="261"/>
      <c r="G2911" s="261"/>
      <c r="H2911" s="261"/>
      <c r="I2911" s="261"/>
      <c r="J2911" s="261"/>
      <c r="K2911" s="261"/>
      <c r="L2911" s="261"/>
      <c r="M2911" s="261"/>
    </row>
    <row r="2912" spans="5:13">
      <c r="E2912" s="261"/>
      <c r="F2912" s="261"/>
      <c r="G2912" s="261"/>
      <c r="H2912" s="261"/>
      <c r="I2912" s="261"/>
      <c r="J2912" s="261"/>
      <c r="K2912" s="261"/>
      <c r="L2912" s="261"/>
      <c r="M2912" s="261"/>
    </row>
    <row r="2913" spans="5:13">
      <c r="E2913" s="261"/>
      <c r="F2913" s="261"/>
      <c r="G2913" s="261"/>
      <c r="H2913" s="261"/>
      <c r="I2913" s="261"/>
      <c r="J2913" s="261"/>
      <c r="K2913" s="261"/>
      <c r="L2913" s="261"/>
      <c r="M2913" s="261"/>
    </row>
    <row r="2914" spans="5:13">
      <c r="E2914" s="261"/>
      <c r="F2914" s="261"/>
      <c r="G2914" s="261"/>
      <c r="H2914" s="261"/>
      <c r="I2914" s="261"/>
      <c r="J2914" s="261"/>
      <c r="K2914" s="261"/>
      <c r="L2914" s="261"/>
      <c r="M2914" s="261"/>
    </row>
    <row r="2915" spans="5:13">
      <c r="E2915" s="261"/>
      <c r="F2915" s="261"/>
      <c r="G2915" s="261"/>
      <c r="H2915" s="261"/>
      <c r="I2915" s="261"/>
      <c r="J2915" s="261"/>
      <c r="K2915" s="261"/>
      <c r="L2915" s="261"/>
      <c r="M2915" s="261"/>
    </row>
    <row r="2916" spans="5:13">
      <c r="E2916" s="261"/>
      <c r="F2916" s="261"/>
      <c r="G2916" s="261"/>
      <c r="H2916" s="261"/>
      <c r="I2916" s="261"/>
      <c r="J2916" s="261"/>
      <c r="K2916" s="261"/>
      <c r="L2916" s="261"/>
      <c r="M2916" s="261"/>
    </row>
    <row r="2917" spans="5:13">
      <c r="E2917" s="261"/>
      <c r="F2917" s="261"/>
      <c r="G2917" s="261"/>
      <c r="H2917" s="261"/>
      <c r="I2917" s="261"/>
      <c r="J2917" s="261"/>
      <c r="K2917" s="261"/>
      <c r="L2917" s="261"/>
      <c r="M2917" s="261"/>
    </row>
    <row r="2918" spans="5:13">
      <c r="E2918" s="261"/>
      <c r="F2918" s="261"/>
      <c r="G2918" s="261"/>
      <c r="H2918" s="261"/>
      <c r="I2918" s="261"/>
      <c r="J2918" s="261"/>
      <c r="K2918" s="261"/>
      <c r="L2918" s="261"/>
      <c r="M2918" s="261"/>
    </row>
    <row r="2919" spans="5:13">
      <c r="E2919" s="261"/>
      <c r="F2919" s="261"/>
      <c r="G2919" s="261"/>
      <c r="H2919" s="261"/>
      <c r="I2919" s="261"/>
      <c r="J2919" s="261"/>
      <c r="K2919" s="261"/>
      <c r="L2919" s="261"/>
      <c r="M2919" s="261"/>
    </row>
    <row r="2920" spans="5:13">
      <c r="E2920" s="261"/>
      <c r="F2920" s="261"/>
      <c r="G2920" s="261"/>
      <c r="H2920" s="261"/>
      <c r="I2920" s="261"/>
      <c r="J2920" s="261"/>
      <c r="K2920" s="261"/>
      <c r="L2920" s="261"/>
      <c r="M2920" s="261"/>
    </row>
    <row r="2921" spans="5:13">
      <c r="E2921" s="261"/>
      <c r="F2921" s="261"/>
      <c r="G2921" s="261"/>
      <c r="H2921" s="261"/>
      <c r="I2921" s="261"/>
      <c r="J2921" s="261"/>
      <c r="K2921" s="261"/>
      <c r="L2921" s="261"/>
      <c r="M2921" s="261"/>
    </row>
    <row r="2922" spans="5:13">
      <c r="E2922" s="261"/>
      <c r="F2922" s="261"/>
      <c r="G2922" s="261"/>
      <c r="H2922" s="261"/>
      <c r="I2922" s="261"/>
      <c r="J2922" s="261"/>
      <c r="K2922" s="261"/>
      <c r="L2922" s="261"/>
      <c r="M2922" s="261"/>
    </row>
    <row r="2923" spans="5:13">
      <c r="E2923" s="261"/>
      <c r="F2923" s="261"/>
      <c r="G2923" s="261"/>
      <c r="H2923" s="261"/>
      <c r="I2923" s="261"/>
      <c r="J2923" s="261"/>
      <c r="K2923" s="261"/>
      <c r="L2923" s="261"/>
      <c r="M2923" s="261"/>
    </row>
    <row r="2924" spans="5:13">
      <c r="E2924" s="261"/>
      <c r="F2924" s="261"/>
      <c r="G2924" s="261"/>
      <c r="H2924" s="261"/>
      <c r="I2924" s="261"/>
      <c r="J2924" s="261"/>
      <c r="K2924" s="261"/>
      <c r="L2924" s="261"/>
      <c r="M2924" s="261"/>
    </row>
    <row r="2925" spans="5:13">
      <c r="E2925" s="261"/>
      <c r="F2925" s="261"/>
      <c r="G2925" s="261"/>
      <c r="H2925" s="261"/>
      <c r="I2925" s="261"/>
      <c r="J2925" s="261"/>
      <c r="K2925" s="261"/>
      <c r="L2925" s="261"/>
      <c r="M2925" s="261"/>
    </row>
    <row r="2926" spans="5:13">
      <c r="E2926" s="261"/>
      <c r="F2926" s="261"/>
      <c r="G2926" s="261"/>
      <c r="H2926" s="261"/>
      <c r="I2926" s="261"/>
      <c r="J2926" s="261"/>
      <c r="K2926" s="261"/>
      <c r="L2926" s="261"/>
      <c r="M2926" s="261"/>
    </row>
    <row r="2927" spans="5:13">
      <c r="E2927" s="261"/>
      <c r="F2927" s="261"/>
      <c r="G2927" s="261"/>
      <c r="H2927" s="261"/>
      <c r="I2927" s="261"/>
      <c r="J2927" s="261"/>
      <c r="K2927" s="261"/>
      <c r="L2927" s="261"/>
      <c r="M2927" s="261"/>
    </row>
    <row r="2928" spans="5:13">
      <c r="E2928" s="261"/>
      <c r="F2928" s="261"/>
      <c r="G2928" s="261"/>
      <c r="H2928" s="261"/>
      <c r="I2928" s="261"/>
      <c r="J2928" s="261"/>
      <c r="K2928" s="261"/>
      <c r="L2928" s="261"/>
      <c r="M2928" s="261"/>
    </row>
    <row r="2929" spans="5:13">
      <c r="E2929" s="261"/>
      <c r="F2929" s="261"/>
      <c r="G2929" s="261"/>
      <c r="H2929" s="261"/>
      <c r="I2929" s="261"/>
      <c r="J2929" s="261"/>
      <c r="K2929" s="261"/>
      <c r="L2929" s="261"/>
      <c r="M2929" s="261"/>
    </row>
    <row r="2930" spans="5:13">
      <c r="E2930" s="261"/>
      <c r="F2930" s="261"/>
      <c r="G2930" s="261"/>
      <c r="H2930" s="261"/>
      <c r="I2930" s="261"/>
      <c r="J2930" s="261"/>
      <c r="K2930" s="261"/>
      <c r="L2930" s="261"/>
      <c r="M2930" s="261"/>
    </row>
    <row r="2931" spans="5:13">
      <c r="E2931" s="261"/>
      <c r="F2931" s="261"/>
      <c r="G2931" s="261"/>
      <c r="H2931" s="261"/>
      <c r="I2931" s="261"/>
      <c r="J2931" s="261"/>
      <c r="K2931" s="261"/>
      <c r="L2931" s="261"/>
      <c r="M2931" s="261"/>
    </row>
    <row r="2932" spans="5:13">
      <c r="E2932" s="261"/>
      <c r="F2932" s="261"/>
      <c r="G2932" s="261"/>
      <c r="H2932" s="261"/>
      <c r="I2932" s="261"/>
      <c r="J2932" s="261"/>
      <c r="K2932" s="261"/>
      <c r="L2932" s="261"/>
      <c r="M2932" s="261"/>
    </row>
    <row r="2933" spans="5:13">
      <c r="E2933" s="261"/>
      <c r="F2933" s="261"/>
      <c r="G2933" s="261"/>
      <c r="H2933" s="261"/>
      <c r="I2933" s="261"/>
      <c r="J2933" s="261"/>
      <c r="K2933" s="261"/>
      <c r="L2933" s="261"/>
      <c r="M2933" s="261"/>
    </row>
    <row r="2934" spans="5:13">
      <c r="E2934" s="261"/>
      <c r="F2934" s="261"/>
      <c r="G2934" s="261"/>
      <c r="H2934" s="261"/>
      <c r="I2934" s="261"/>
      <c r="J2934" s="261"/>
      <c r="K2934" s="261"/>
      <c r="L2934" s="261"/>
      <c r="M2934" s="261"/>
    </row>
    <row r="2935" spans="5:13">
      <c r="E2935" s="261"/>
      <c r="F2935" s="261"/>
      <c r="G2935" s="261"/>
      <c r="H2935" s="261"/>
      <c r="I2935" s="261"/>
      <c r="J2935" s="261"/>
      <c r="K2935" s="261"/>
      <c r="L2935" s="261"/>
      <c r="M2935" s="261"/>
    </row>
    <row r="2936" spans="5:13">
      <c r="E2936" s="261"/>
      <c r="F2936" s="261"/>
      <c r="G2936" s="261"/>
      <c r="H2936" s="261"/>
      <c r="I2936" s="261"/>
      <c r="J2936" s="261"/>
      <c r="K2936" s="261"/>
      <c r="L2936" s="261"/>
      <c r="M2936" s="261"/>
    </row>
    <row r="2937" spans="5:13">
      <c r="E2937" s="261"/>
      <c r="F2937" s="261"/>
      <c r="G2937" s="261"/>
      <c r="H2937" s="261"/>
      <c r="I2937" s="261"/>
      <c r="J2937" s="261"/>
      <c r="K2937" s="261"/>
      <c r="L2937" s="261"/>
      <c r="M2937" s="261"/>
    </row>
    <row r="2938" spans="5:13">
      <c r="E2938" s="261"/>
      <c r="F2938" s="261"/>
      <c r="G2938" s="261"/>
      <c r="H2938" s="261"/>
      <c r="I2938" s="261"/>
      <c r="J2938" s="261"/>
      <c r="K2938" s="261"/>
      <c r="L2938" s="261"/>
      <c r="M2938" s="261"/>
    </row>
    <row r="2939" spans="5:13">
      <c r="E2939" s="261"/>
      <c r="F2939" s="261"/>
      <c r="G2939" s="261"/>
      <c r="H2939" s="261"/>
      <c r="I2939" s="261"/>
      <c r="J2939" s="261"/>
      <c r="K2939" s="261"/>
      <c r="L2939" s="261"/>
      <c r="M2939" s="261"/>
    </row>
    <row r="2940" spans="5:13">
      <c r="E2940" s="261"/>
      <c r="F2940" s="261"/>
      <c r="G2940" s="261"/>
      <c r="H2940" s="261"/>
      <c r="I2940" s="261"/>
      <c r="J2940" s="261"/>
      <c r="K2940" s="261"/>
      <c r="L2940" s="261"/>
      <c r="M2940" s="261"/>
    </row>
    <row r="2941" spans="5:13">
      <c r="E2941" s="261"/>
      <c r="F2941" s="261"/>
      <c r="G2941" s="261"/>
      <c r="H2941" s="261"/>
      <c r="I2941" s="261"/>
      <c r="J2941" s="261"/>
      <c r="K2941" s="261"/>
      <c r="L2941" s="261"/>
      <c r="M2941" s="261"/>
    </row>
    <row r="2942" spans="5:13">
      <c r="E2942" s="261"/>
      <c r="F2942" s="261"/>
      <c r="G2942" s="261"/>
      <c r="H2942" s="261"/>
      <c r="I2942" s="261"/>
      <c r="J2942" s="261"/>
      <c r="K2942" s="261"/>
      <c r="L2942" s="261"/>
      <c r="M2942" s="261"/>
    </row>
    <row r="2943" spans="5:13">
      <c r="E2943" s="261"/>
      <c r="F2943" s="261"/>
      <c r="G2943" s="261"/>
      <c r="H2943" s="261"/>
      <c r="I2943" s="261"/>
      <c r="J2943" s="261"/>
      <c r="K2943" s="261"/>
      <c r="L2943" s="261"/>
      <c r="M2943" s="261"/>
    </row>
    <row r="2944" spans="5:13">
      <c r="E2944" s="261"/>
      <c r="F2944" s="261"/>
      <c r="G2944" s="261"/>
      <c r="H2944" s="261"/>
      <c r="I2944" s="261"/>
      <c r="J2944" s="261"/>
      <c r="K2944" s="261"/>
      <c r="L2944" s="261"/>
      <c r="M2944" s="261"/>
    </row>
    <row r="2945" spans="5:13">
      <c r="E2945" s="261"/>
      <c r="F2945" s="261"/>
      <c r="G2945" s="261"/>
      <c r="H2945" s="261"/>
      <c r="I2945" s="261"/>
      <c r="J2945" s="261"/>
      <c r="K2945" s="261"/>
      <c r="L2945" s="261"/>
      <c r="M2945" s="261"/>
    </row>
    <row r="2946" spans="5:13">
      <c r="E2946" s="261"/>
      <c r="F2946" s="261"/>
      <c r="G2946" s="261"/>
      <c r="H2946" s="261"/>
      <c r="I2946" s="261"/>
      <c r="J2946" s="261"/>
      <c r="K2946" s="261"/>
      <c r="L2946" s="261"/>
      <c r="M2946" s="261"/>
    </row>
    <row r="2947" spans="5:13">
      <c r="E2947" s="261"/>
      <c r="F2947" s="261"/>
      <c r="G2947" s="261"/>
      <c r="H2947" s="261"/>
      <c r="I2947" s="261"/>
      <c r="J2947" s="261"/>
      <c r="K2947" s="261"/>
      <c r="L2947" s="261"/>
      <c r="M2947" s="261"/>
    </row>
    <row r="2948" spans="5:13">
      <c r="E2948" s="261"/>
      <c r="F2948" s="261"/>
      <c r="G2948" s="261"/>
      <c r="H2948" s="261"/>
      <c r="I2948" s="261"/>
      <c r="J2948" s="261"/>
      <c r="K2948" s="261"/>
      <c r="L2948" s="261"/>
      <c r="M2948" s="261"/>
    </row>
    <row r="2949" spans="5:13">
      <c r="E2949" s="261"/>
      <c r="F2949" s="261"/>
      <c r="G2949" s="261"/>
      <c r="H2949" s="261"/>
      <c r="I2949" s="261"/>
      <c r="J2949" s="261"/>
      <c r="K2949" s="261"/>
      <c r="L2949" s="261"/>
      <c r="M2949" s="261"/>
    </row>
    <row r="2950" spans="5:13">
      <c r="E2950" s="261"/>
      <c r="F2950" s="261"/>
      <c r="G2950" s="261"/>
      <c r="H2950" s="261"/>
      <c r="I2950" s="261"/>
      <c r="J2950" s="261"/>
      <c r="K2950" s="261"/>
      <c r="L2950" s="261"/>
      <c r="M2950" s="261"/>
    </row>
    <row r="2951" spans="5:13">
      <c r="E2951" s="261"/>
      <c r="F2951" s="261"/>
      <c r="G2951" s="261"/>
      <c r="H2951" s="261"/>
      <c r="I2951" s="261"/>
      <c r="J2951" s="261"/>
      <c r="K2951" s="261"/>
      <c r="L2951" s="261"/>
      <c r="M2951" s="261"/>
    </row>
    <row r="2952" spans="5:13">
      <c r="E2952" s="261"/>
      <c r="F2952" s="261"/>
      <c r="G2952" s="261"/>
      <c r="H2952" s="261"/>
      <c r="I2952" s="261"/>
      <c r="J2952" s="261"/>
      <c r="K2952" s="261"/>
      <c r="L2952" s="261"/>
      <c r="M2952" s="261"/>
    </row>
    <row r="2953" spans="5:13">
      <c r="E2953" s="261"/>
      <c r="F2953" s="261"/>
      <c r="G2953" s="261"/>
      <c r="H2953" s="261"/>
      <c r="I2953" s="261"/>
      <c r="J2953" s="261"/>
      <c r="K2953" s="261"/>
      <c r="L2953" s="261"/>
      <c r="M2953" s="261"/>
    </row>
    <row r="2954" spans="5:13">
      <c r="E2954" s="261"/>
      <c r="F2954" s="261"/>
      <c r="G2954" s="261"/>
      <c r="H2954" s="261"/>
      <c r="I2954" s="261"/>
      <c r="J2954" s="261"/>
      <c r="K2954" s="261"/>
      <c r="L2954" s="261"/>
      <c r="M2954" s="261"/>
    </row>
    <row r="2955" spans="5:13">
      <c r="E2955" s="261"/>
      <c r="F2955" s="261"/>
      <c r="G2955" s="261"/>
      <c r="H2955" s="261"/>
      <c r="I2955" s="261"/>
      <c r="J2955" s="261"/>
      <c r="K2955" s="261"/>
      <c r="L2955" s="261"/>
      <c r="M2955" s="261"/>
    </row>
    <row r="2956" spans="5:13">
      <c r="E2956" s="261"/>
      <c r="F2956" s="261"/>
      <c r="G2956" s="261"/>
      <c r="H2956" s="261"/>
      <c r="I2956" s="261"/>
      <c r="J2956" s="261"/>
      <c r="K2956" s="261"/>
      <c r="L2956" s="261"/>
      <c r="M2956" s="261"/>
    </row>
    <row r="2957" spans="5:13">
      <c r="E2957" s="261"/>
      <c r="F2957" s="261"/>
      <c r="G2957" s="261"/>
      <c r="H2957" s="261"/>
      <c r="I2957" s="261"/>
      <c r="J2957" s="261"/>
      <c r="K2957" s="261"/>
      <c r="L2957" s="261"/>
      <c r="M2957" s="261"/>
    </row>
    <row r="2958" spans="5:13">
      <c r="E2958" s="261"/>
      <c r="F2958" s="261"/>
      <c r="G2958" s="261"/>
      <c r="H2958" s="261"/>
      <c r="I2958" s="261"/>
      <c r="J2958" s="261"/>
      <c r="K2958" s="261"/>
      <c r="L2958" s="261"/>
      <c r="M2958" s="261"/>
    </row>
    <row r="2959" spans="5:13">
      <c r="E2959" s="261"/>
      <c r="F2959" s="261"/>
      <c r="G2959" s="261"/>
      <c r="H2959" s="261"/>
      <c r="I2959" s="261"/>
      <c r="J2959" s="261"/>
      <c r="K2959" s="261"/>
      <c r="L2959" s="261"/>
      <c r="M2959" s="261"/>
    </row>
    <row r="2960" spans="5:13">
      <c r="E2960" s="261"/>
      <c r="F2960" s="261"/>
      <c r="G2960" s="261"/>
      <c r="H2960" s="261"/>
      <c r="I2960" s="261"/>
      <c r="J2960" s="261"/>
      <c r="K2960" s="261"/>
      <c r="L2960" s="261"/>
      <c r="M2960" s="261"/>
    </row>
    <row r="2961" spans="5:13">
      <c r="E2961" s="261"/>
      <c r="F2961" s="261"/>
      <c r="G2961" s="261"/>
      <c r="H2961" s="261"/>
      <c r="I2961" s="261"/>
      <c r="J2961" s="261"/>
      <c r="K2961" s="261"/>
      <c r="L2961" s="261"/>
      <c r="M2961" s="261"/>
    </row>
    <row r="2962" spans="5:13">
      <c r="E2962" s="261"/>
      <c r="F2962" s="261"/>
      <c r="G2962" s="261"/>
      <c r="H2962" s="261"/>
      <c r="I2962" s="261"/>
      <c r="J2962" s="261"/>
      <c r="K2962" s="261"/>
      <c r="L2962" s="261"/>
      <c r="M2962" s="261"/>
    </row>
    <row r="2963" spans="5:13">
      <c r="E2963" s="261"/>
      <c r="F2963" s="261"/>
      <c r="G2963" s="261"/>
      <c r="H2963" s="261"/>
      <c r="I2963" s="261"/>
      <c r="J2963" s="261"/>
      <c r="K2963" s="261"/>
      <c r="L2963" s="261"/>
      <c r="M2963" s="261"/>
    </row>
    <row r="2964" spans="5:13">
      <c r="E2964" s="261"/>
      <c r="F2964" s="261"/>
      <c r="G2964" s="261"/>
      <c r="H2964" s="261"/>
      <c r="I2964" s="261"/>
      <c r="J2964" s="261"/>
      <c r="K2964" s="261"/>
      <c r="L2964" s="261"/>
      <c r="M2964" s="261"/>
    </row>
    <row r="2965" spans="5:13">
      <c r="E2965" s="261"/>
      <c r="F2965" s="261"/>
      <c r="G2965" s="261"/>
      <c r="H2965" s="261"/>
      <c r="I2965" s="261"/>
      <c r="J2965" s="261"/>
      <c r="K2965" s="261"/>
      <c r="L2965" s="261"/>
      <c r="M2965" s="261"/>
    </row>
    <row r="2966" spans="5:13">
      <c r="E2966" s="261"/>
      <c r="F2966" s="261"/>
      <c r="G2966" s="261"/>
      <c r="H2966" s="261"/>
      <c r="I2966" s="261"/>
      <c r="J2966" s="261"/>
      <c r="K2966" s="261"/>
      <c r="L2966" s="261"/>
      <c r="M2966" s="261"/>
    </row>
    <row r="2967" spans="5:13">
      <c r="E2967" s="261"/>
      <c r="F2967" s="261"/>
      <c r="G2967" s="261"/>
      <c r="H2967" s="261"/>
      <c r="I2967" s="261"/>
      <c r="J2967" s="261"/>
      <c r="K2967" s="261"/>
      <c r="L2967" s="261"/>
      <c r="M2967" s="261"/>
    </row>
    <row r="2968" spans="5:13">
      <c r="E2968" s="261"/>
      <c r="F2968" s="261"/>
      <c r="G2968" s="261"/>
      <c r="H2968" s="261"/>
      <c r="I2968" s="261"/>
      <c r="J2968" s="261"/>
      <c r="K2968" s="261"/>
      <c r="L2968" s="261"/>
      <c r="M2968" s="261"/>
    </row>
    <row r="2969" spans="5:13">
      <c r="E2969" s="261"/>
      <c r="F2969" s="261"/>
      <c r="G2969" s="261"/>
      <c r="H2969" s="261"/>
      <c r="I2969" s="261"/>
      <c r="J2969" s="261"/>
      <c r="K2969" s="261"/>
      <c r="L2969" s="261"/>
      <c r="M2969" s="261"/>
    </row>
    <row r="2970" spans="5:13">
      <c r="E2970" s="261"/>
      <c r="F2970" s="261"/>
      <c r="G2970" s="261"/>
      <c r="H2970" s="261"/>
      <c r="I2970" s="261"/>
      <c r="J2970" s="261"/>
      <c r="K2970" s="261"/>
      <c r="L2970" s="261"/>
      <c r="M2970" s="261"/>
    </row>
    <row r="2971" spans="5:13">
      <c r="E2971" s="261"/>
      <c r="F2971" s="261"/>
      <c r="G2971" s="261"/>
      <c r="H2971" s="261"/>
      <c r="I2971" s="261"/>
      <c r="J2971" s="261"/>
      <c r="K2971" s="261"/>
      <c r="L2971" s="261"/>
      <c r="M2971" s="261"/>
    </row>
    <row r="2972" spans="5:13">
      <c r="E2972" s="261"/>
      <c r="F2972" s="261"/>
      <c r="G2972" s="261"/>
      <c r="H2972" s="261"/>
      <c r="I2972" s="261"/>
      <c r="J2972" s="261"/>
      <c r="K2972" s="261"/>
      <c r="L2972" s="261"/>
      <c r="M2972" s="261"/>
    </row>
    <row r="2973" spans="5:13">
      <c r="E2973" s="261"/>
      <c r="F2973" s="261"/>
      <c r="G2973" s="261"/>
      <c r="H2973" s="261"/>
      <c r="I2973" s="261"/>
      <c r="J2973" s="261"/>
      <c r="K2973" s="261"/>
      <c r="L2973" s="261"/>
      <c r="M2973" s="261"/>
    </row>
    <row r="2974" spans="5:13">
      <c r="E2974" s="261"/>
      <c r="F2974" s="261"/>
      <c r="G2974" s="261"/>
      <c r="H2974" s="261"/>
      <c r="I2974" s="261"/>
      <c r="J2974" s="261"/>
      <c r="K2974" s="261"/>
      <c r="L2974" s="261"/>
      <c r="M2974" s="261"/>
    </row>
    <row r="2975" spans="5:13">
      <c r="E2975" s="261"/>
      <c r="F2975" s="261"/>
      <c r="G2975" s="261"/>
      <c r="H2975" s="261"/>
      <c r="I2975" s="261"/>
      <c r="J2975" s="261"/>
      <c r="K2975" s="261"/>
      <c r="L2975" s="261"/>
      <c r="M2975" s="261"/>
    </row>
    <row r="2976" spans="5:13">
      <c r="E2976" s="261"/>
      <c r="F2976" s="261"/>
      <c r="G2976" s="261"/>
      <c r="H2976" s="261"/>
      <c r="I2976" s="261"/>
      <c r="J2976" s="261"/>
      <c r="K2976" s="261"/>
      <c r="L2976" s="261"/>
      <c r="M2976" s="261"/>
    </row>
    <row r="2977" spans="5:13">
      <c r="E2977" s="261"/>
      <c r="F2977" s="261"/>
      <c r="G2977" s="261"/>
      <c r="H2977" s="261"/>
      <c r="I2977" s="261"/>
      <c r="J2977" s="261"/>
      <c r="K2977" s="261"/>
      <c r="L2977" s="261"/>
      <c r="M2977" s="261"/>
    </row>
    <row r="2978" spans="5:13">
      <c r="E2978" s="261"/>
      <c r="F2978" s="261"/>
      <c r="G2978" s="261"/>
      <c r="H2978" s="261"/>
      <c r="I2978" s="261"/>
      <c r="J2978" s="261"/>
      <c r="K2978" s="261"/>
      <c r="L2978" s="261"/>
      <c r="M2978" s="261"/>
    </row>
    <row r="2979" spans="5:13">
      <c r="E2979" s="261"/>
      <c r="F2979" s="261"/>
      <c r="G2979" s="261"/>
      <c r="H2979" s="261"/>
      <c r="I2979" s="261"/>
      <c r="J2979" s="261"/>
      <c r="K2979" s="261"/>
      <c r="L2979" s="261"/>
      <c r="M2979" s="261"/>
    </row>
    <row r="2980" spans="5:13">
      <c r="E2980" s="261"/>
      <c r="F2980" s="261"/>
      <c r="G2980" s="261"/>
      <c r="H2980" s="261"/>
      <c r="I2980" s="261"/>
      <c r="J2980" s="261"/>
      <c r="K2980" s="261"/>
      <c r="L2980" s="261"/>
      <c r="M2980" s="261"/>
    </row>
    <row r="2981" spans="5:13">
      <c r="E2981" s="261"/>
      <c r="F2981" s="261"/>
      <c r="G2981" s="261"/>
      <c r="H2981" s="261"/>
      <c r="I2981" s="261"/>
      <c r="J2981" s="261"/>
      <c r="K2981" s="261"/>
      <c r="L2981" s="261"/>
      <c r="M2981" s="261"/>
    </row>
    <row r="2982" spans="5:13">
      <c r="E2982" s="261"/>
      <c r="F2982" s="261"/>
      <c r="G2982" s="261"/>
      <c r="H2982" s="261"/>
      <c r="I2982" s="261"/>
      <c r="J2982" s="261"/>
      <c r="K2982" s="261"/>
      <c r="L2982" s="261"/>
      <c r="M2982" s="261"/>
    </row>
    <row r="2983" spans="5:13">
      <c r="E2983" s="261"/>
      <c r="F2983" s="261"/>
      <c r="G2983" s="261"/>
      <c r="H2983" s="261"/>
      <c r="I2983" s="261"/>
      <c r="J2983" s="261"/>
      <c r="K2983" s="261"/>
      <c r="L2983" s="261"/>
      <c r="M2983" s="261"/>
    </row>
    <row r="2984" spans="5:13">
      <c r="E2984" s="261"/>
      <c r="F2984" s="261"/>
      <c r="G2984" s="261"/>
      <c r="H2984" s="261"/>
      <c r="I2984" s="261"/>
      <c r="J2984" s="261"/>
      <c r="K2984" s="261"/>
      <c r="L2984" s="261"/>
      <c r="M2984" s="261"/>
    </row>
    <row r="2985" spans="5:13">
      <c r="E2985" s="261"/>
      <c r="F2985" s="261"/>
      <c r="G2985" s="261"/>
      <c r="H2985" s="261"/>
      <c r="I2985" s="261"/>
      <c r="J2985" s="261"/>
      <c r="K2985" s="261"/>
      <c r="L2985" s="261"/>
      <c r="M2985" s="261"/>
    </row>
    <row r="2986" spans="5:13">
      <c r="E2986" s="261"/>
      <c r="F2986" s="261"/>
      <c r="G2986" s="261"/>
      <c r="H2986" s="261"/>
      <c r="I2986" s="261"/>
      <c r="J2986" s="261"/>
      <c r="K2986" s="261"/>
      <c r="L2986" s="261"/>
      <c r="M2986" s="261"/>
    </row>
    <row r="2987" spans="5:13">
      <c r="E2987" s="261"/>
      <c r="F2987" s="261"/>
      <c r="G2987" s="261"/>
      <c r="H2987" s="261"/>
      <c r="I2987" s="261"/>
      <c r="J2987" s="261"/>
      <c r="K2987" s="261"/>
      <c r="L2987" s="261"/>
      <c r="M2987" s="261"/>
    </row>
    <row r="2988" spans="5:13">
      <c r="E2988" s="261"/>
      <c r="F2988" s="261"/>
      <c r="G2988" s="261"/>
      <c r="H2988" s="261"/>
      <c r="I2988" s="261"/>
      <c r="J2988" s="261"/>
      <c r="K2988" s="261"/>
      <c r="L2988" s="261"/>
      <c r="M2988" s="261"/>
    </row>
    <row r="2989" spans="5:13">
      <c r="E2989" s="261"/>
      <c r="F2989" s="261"/>
      <c r="G2989" s="261"/>
      <c r="H2989" s="261"/>
      <c r="I2989" s="261"/>
      <c r="J2989" s="261"/>
      <c r="K2989" s="261"/>
      <c r="L2989" s="261"/>
      <c r="M2989" s="261"/>
    </row>
    <row r="2990" spans="5:13">
      <c r="E2990" s="261"/>
      <c r="F2990" s="261"/>
      <c r="G2990" s="261"/>
      <c r="H2990" s="261"/>
      <c r="I2990" s="261"/>
      <c r="J2990" s="261"/>
      <c r="K2990" s="261"/>
      <c r="L2990" s="261"/>
      <c r="M2990" s="261"/>
    </row>
    <row r="2991" spans="5:13">
      <c r="E2991" s="261"/>
      <c r="F2991" s="261"/>
      <c r="G2991" s="261"/>
      <c r="H2991" s="261"/>
      <c r="I2991" s="261"/>
      <c r="J2991" s="261"/>
      <c r="K2991" s="261"/>
      <c r="L2991" s="261"/>
      <c r="M2991" s="261"/>
    </row>
    <row r="2992" spans="5:13">
      <c r="E2992" s="261"/>
      <c r="F2992" s="261"/>
      <c r="G2992" s="261"/>
      <c r="H2992" s="261"/>
      <c r="I2992" s="261"/>
      <c r="J2992" s="261"/>
      <c r="K2992" s="261"/>
      <c r="L2992" s="261"/>
      <c r="M2992" s="261"/>
    </row>
    <row r="2993" spans="5:13">
      <c r="E2993" s="261"/>
      <c r="F2993" s="261"/>
      <c r="G2993" s="261"/>
      <c r="H2993" s="261"/>
      <c r="I2993" s="261"/>
      <c r="J2993" s="261"/>
      <c r="K2993" s="261"/>
      <c r="L2993" s="261"/>
      <c r="M2993" s="261"/>
    </row>
    <row r="2994" spans="5:13">
      <c r="E2994" s="261"/>
      <c r="F2994" s="261"/>
      <c r="G2994" s="261"/>
      <c r="H2994" s="261"/>
      <c r="I2994" s="261"/>
      <c r="J2994" s="261"/>
      <c r="K2994" s="261"/>
      <c r="L2994" s="261"/>
      <c r="M2994" s="261"/>
    </row>
    <row r="2995" spans="5:13">
      <c r="E2995" s="261"/>
      <c r="F2995" s="261"/>
      <c r="G2995" s="261"/>
      <c r="H2995" s="261"/>
      <c r="I2995" s="261"/>
      <c r="J2995" s="261"/>
      <c r="K2995" s="261"/>
      <c r="L2995" s="261"/>
      <c r="M2995" s="261"/>
    </row>
    <row r="2996" spans="5:13">
      <c r="E2996" s="261"/>
      <c r="F2996" s="261"/>
      <c r="G2996" s="261"/>
      <c r="H2996" s="261"/>
      <c r="I2996" s="261"/>
      <c r="J2996" s="261"/>
      <c r="K2996" s="261"/>
      <c r="L2996" s="261"/>
      <c r="M2996" s="261"/>
    </row>
    <row r="2997" spans="5:13">
      <c r="E2997" s="261"/>
      <c r="F2997" s="261"/>
      <c r="G2997" s="261"/>
      <c r="H2997" s="261"/>
      <c r="I2997" s="261"/>
      <c r="J2997" s="261"/>
      <c r="K2997" s="261"/>
      <c r="L2997" s="261"/>
      <c r="M2997" s="261"/>
    </row>
    <row r="2998" spans="5:13">
      <c r="E2998" s="261"/>
      <c r="F2998" s="261"/>
      <c r="G2998" s="261"/>
      <c r="H2998" s="261"/>
      <c r="I2998" s="261"/>
      <c r="J2998" s="261"/>
      <c r="K2998" s="261"/>
      <c r="L2998" s="261"/>
      <c r="M2998" s="261"/>
    </row>
    <row r="2999" spans="5:13">
      <c r="E2999" s="261"/>
      <c r="F2999" s="261"/>
      <c r="G2999" s="261"/>
      <c r="H2999" s="261"/>
      <c r="I2999" s="261"/>
      <c r="J2999" s="261"/>
      <c r="K2999" s="261"/>
      <c r="L2999" s="261"/>
      <c r="M2999" s="261"/>
    </row>
    <row r="3000" spans="5:13">
      <c r="E3000" s="261"/>
      <c r="F3000" s="261"/>
      <c r="G3000" s="261"/>
      <c r="H3000" s="261"/>
      <c r="I3000" s="261"/>
      <c r="J3000" s="261"/>
      <c r="K3000" s="261"/>
      <c r="L3000" s="261"/>
      <c r="M3000" s="261"/>
    </row>
    <row r="3001" spans="5:13">
      <c r="E3001" s="261"/>
      <c r="F3001" s="261"/>
      <c r="G3001" s="261"/>
      <c r="H3001" s="261"/>
      <c r="I3001" s="261"/>
      <c r="J3001" s="261"/>
      <c r="K3001" s="261"/>
      <c r="L3001" s="261"/>
      <c r="M3001" s="261"/>
    </row>
    <row r="3002" spans="5:13">
      <c r="E3002" s="261"/>
      <c r="F3002" s="261"/>
      <c r="G3002" s="261"/>
      <c r="H3002" s="261"/>
      <c r="I3002" s="261"/>
      <c r="J3002" s="261"/>
      <c r="K3002" s="261"/>
      <c r="L3002" s="261"/>
      <c r="M3002" s="261"/>
    </row>
    <row r="3003" spans="5:13">
      <c r="E3003" s="261"/>
      <c r="F3003" s="261"/>
      <c r="G3003" s="261"/>
      <c r="H3003" s="261"/>
      <c r="I3003" s="261"/>
      <c r="J3003" s="261"/>
      <c r="K3003" s="261"/>
      <c r="L3003" s="261"/>
      <c r="M3003" s="261"/>
    </row>
    <row r="3004" spans="5:13">
      <c r="E3004" s="261"/>
      <c r="F3004" s="261"/>
      <c r="G3004" s="261"/>
      <c r="H3004" s="261"/>
      <c r="I3004" s="261"/>
      <c r="J3004" s="261"/>
      <c r="K3004" s="261"/>
      <c r="L3004" s="261"/>
      <c r="M3004" s="261"/>
    </row>
    <row r="3005" spans="5:13">
      <c r="E3005" s="261"/>
      <c r="F3005" s="261"/>
      <c r="G3005" s="261"/>
      <c r="H3005" s="261"/>
      <c r="I3005" s="261"/>
      <c r="J3005" s="261"/>
      <c r="K3005" s="261"/>
      <c r="L3005" s="261"/>
      <c r="M3005" s="261"/>
    </row>
    <row r="3006" spans="5:13">
      <c r="E3006" s="261"/>
      <c r="F3006" s="261"/>
      <c r="G3006" s="261"/>
      <c r="H3006" s="261"/>
      <c r="I3006" s="261"/>
      <c r="J3006" s="261"/>
      <c r="K3006" s="261"/>
      <c r="L3006" s="261"/>
      <c r="M3006" s="261"/>
    </row>
    <row r="3007" spans="5:13">
      <c r="E3007" s="261"/>
      <c r="F3007" s="261"/>
      <c r="G3007" s="261"/>
      <c r="H3007" s="261"/>
      <c r="I3007" s="261"/>
      <c r="J3007" s="261"/>
      <c r="K3007" s="261"/>
      <c r="L3007" s="261"/>
      <c r="M3007" s="261"/>
    </row>
    <row r="3008" spans="5:13">
      <c r="E3008" s="261"/>
      <c r="F3008" s="261"/>
      <c r="G3008" s="261"/>
      <c r="H3008" s="261"/>
      <c r="I3008" s="261"/>
      <c r="J3008" s="261"/>
      <c r="K3008" s="261"/>
      <c r="L3008" s="261"/>
      <c r="M3008" s="261"/>
    </row>
    <row r="3009" spans="5:13">
      <c r="E3009" s="261"/>
      <c r="F3009" s="261"/>
      <c r="G3009" s="261"/>
      <c r="H3009" s="261"/>
      <c r="I3009" s="261"/>
      <c r="J3009" s="261"/>
      <c r="K3009" s="261"/>
      <c r="L3009" s="261"/>
      <c r="M3009" s="261"/>
    </row>
    <row r="3010" spans="5:13">
      <c r="E3010" s="261"/>
      <c r="F3010" s="261"/>
      <c r="G3010" s="261"/>
      <c r="H3010" s="261"/>
      <c r="I3010" s="261"/>
      <c r="J3010" s="261"/>
      <c r="K3010" s="261"/>
      <c r="L3010" s="261"/>
      <c r="M3010" s="261"/>
    </row>
    <row r="3011" spans="5:13">
      <c r="E3011" s="261"/>
      <c r="F3011" s="261"/>
      <c r="G3011" s="261"/>
      <c r="H3011" s="261"/>
      <c r="I3011" s="261"/>
      <c r="J3011" s="261"/>
      <c r="K3011" s="261"/>
      <c r="L3011" s="261"/>
      <c r="M3011" s="261"/>
    </row>
    <row r="3012" spans="5:13">
      <c r="E3012" s="261"/>
      <c r="F3012" s="261"/>
      <c r="G3012" s="261"/>
      <c r="H3012" s="261"/>
      <c r="I3012" s="261"/>
      <c r="J3012" s="261"/>
      <c r="K3012" s="261"/>
      <c r="L3012" s="261"/>
      <c r="M3012" s="261"/>
    </row>
    <row r="3013" spans="5:13">
      <c r="E3013" s="261"/>
      <c r="F3013" s="261"/>
      <c r="G3013" s="261"/>
      <c r="H3013" s="261"/>
      <c r="I3013" s="261"/>
      <c r="J3013" s="261"/>
      <c r="K3013" s="261"/>
      <c r="L3013" s="261"/>
      <c r="M3013" s="261"/>
    </row>
    <row r="3014" spans="5:13">
      <c r="E3014" s="261"/>
      <c r="F3014" s="261"/>
      <c r="G3014" s="261"/>
      <c r="H3014" s="261"/>
      <c r="I3014" s="261"/>
      <c r="J3014" s="261"/>
      <c r="K3014" s="261"/>
      <c r="L3014" s="261"/>
      <c r="M3014" s="261"/>
    </row>
    <row r="3015" spans="5:13">
      <c r="E3015" s="261"/>
      <c r="F3015" s="261"/>
      <c r="G3015" s="261"/>
      <c r="H3015" s="261"/>
      <c r="I3015" s="261"/>
      <c r="J3015" s="261"/>
      <c r="K3015" s="261"/>
      <c r="L3015" s="261"/>
      <c r="M3015" s="261"/>
    </row>
    <row r="3016" spans="5:13">
      <c r="E3016" s="261"/>
      <c r="F3016" s="261"/>
      <c r="G3016" s="261"/>
      <c r="H3016" s="261"/>
      <c r="I3016" s="261"/>
      <c r="J3016" s="261"/>
      <c r="K3016" s="261"/>
      <c r="L3016" s="261"/>
      <c r="M3016" s="261"/>
    </row>
    <row r="3017" spans="5:13">
      <c r="E3017" s="261"/>
      <c r="F3017" s="261"/>
      <c r="G3017" s="261"/>
      <c r="H3017" s="261"/>
      <c r="I3017" s="261"/>
      <c r="J3017" s="261"/>
      <c r="K3017" s="261"/>
      <c r="L3017" s="261"/>
      <c r="M3017" s="261"/>
    </row>
    <row r="3018" spans="5:13">
      <c r="E3018" s="261"/>
      <c r="F3018" s="261"/>
      <c r="G3018" s="261"/>
      <c r="H3018" s="261"/>
      <c r="I3018" s="261"/>
      <c r="J3018" s="261"/>
      <c r="K3018" s="261"/>
      <c r="L3018" s="261"/>
      <c r="M3018" s="261"/>
    </row>
    <row r="3019" spans="5:13">
      <c r="E3019" s="261"/>
      <c r="F3019" s="261"/>
      <c r="G3019" s="261"/>
      <c r="H3019" s="261"/>
      <c r="I3019" s="261"/>
      <c r="J3019" s="261"/>
      <c r="K3019" s="261"/>
      <c r="L3019" s="261"/>
      <c r="M3019" s="261"/>
    </row>
    <row r="3020" spans="5:13">
      <c r="E3020" s="261"/>
      <c r="F3020" s="261"/>
      <c r="G3020" s="261"/>
      <c r="H3020" s="261"/>
      <c r="I3020" s="261"/>
      <c r="J3020" s="261"/>
      <c r="K3020" s="261"/>
      <c r="L3020" s="261"/>
      <c r="M3020" s="261"/>
    </row>
    <row r="3021" spans="5:13">
      <c r="E3021" s="261"/>
      <c r="F3021" s="261"/>
      <c r="G3021" s="261"/>
      <c r="H3021" s="261"/>
      <c r="I3021" s="261"/>
      <c r="J3021" s="261"/>
      <c r="K3021" s="261"/>
      <c r="L3021" s="261"/>
      <c r="M3021" s="261"/>
    </row>
    <row r="3022" spans="5:13">
      <c r="E3022" s="261"/>
      <c r="F3022" s="261"/>
      <c r="G3022" s="261"/>
      <c r="H3022" s="261"/>
      <c r="I3022" s="261"/>
      <c r="J3022" s="261"/>
      <c r="K3022" s="261"/>
      <c r="L3022" s="261"/>
      <c r="M3022" s="261"/>
    </row>
    <row r="3023" spans="5:13">
      <c r="E3023" s="261"/>
      <c r="F3023" s="261"/>
      <c r="G3023" s="261"/>
      <c r="H3023" s="261"/>
      <c r="I3023" s="261"/>
      <c r="J3023" s="261"/>
      <c r="K3023" s="261"/>
      <c r="L3023" s="261"/>
      <c r="M3023" s="261"/>
    </row>
    <row r="3024" spans="5:13">
      <c r="E3024" s="261"/>
      <c r="F3024" s="261"/>
      <c r="G3024" s="261"/>
      <c r="H3024" s="261"/>
      <c r="I3024" s="261"/>
      <c r="J3024" s="261"/>
      <c r="K3024" s="261"/>
      <c r="L3024" s="261"/>
      <c r="M3024" s="261"/>
    </row>
    <row r="3025" spans="5:13">
      <c r="E3025" s="261"/>
      <c r="F3025" s="261"/>
      <c r="G3025" s="261"/>
      <c r="H3025" s="261"/>
      <c r="I3025" s="261"/>
      <c r="J3025" s="261"/>
      <c r="K3025" s="261"/>
      <c r="L3025" s="261"/>
      <c r="M3025" s="261"/>
    </row>
    <row r="3026" spans="5:13">
      <c r="E3026" s="261"/>
      <c r="F3026" s="261"/>
      <c r="G3026" s="261"/>
      <c r="H3026" s="261"/>
      <c r="I3026" s="261"/>
      <c r="J3026" s="261"/>
      <c r="K3026" s="261"/>
      <c r="L3026" s="261"/>
      <c r="M3026" s="261"/>
    </row>
    <row r="3027" spans="5:13">
      <c r="E3027" s="261"/>
      <c r="F3027" s="261"/>
      <c r="G3027" s="261"/>
      <c r="H3027" s="261"/>
      <c r="I3027" s="261"/>
      <c r="J3027" s="261"/>
      <c r="K3027" s="261"/>
      <c r="L3027" s="261"/>
      <c r="M3027" s="261"/>
    </row>
    <row r="3028" spans="5:13">
      <c r="E3028" s="261"/>
      <c r="F3028" s="261"/>
      <c r="G3028" s="261"/>
      <c r="H3028" s="261"/>
      <c r="I3028" s="261"/>
      <c r="J3028" s="261"/>
      <c r="K3028" s="261"/>
      <c r="L3028" s="261"/>
      <c r="M3028" s="261"/>
    </row>
    <row r="3029" spans="5:13">
      <c r="E3029" s="261"/>
      <c r="F3029" s="261"/>
      <c r="G3029" s="261"/>
      <c r="H3029" s="261"/>
      <c r="I3029" s="261"/>
      <c r="J3029" s="261"/>
      <c r="K3029" s="261"/>
      <c r="L3029" s="261"/>
      <c r="M3029" s="261"/>
    </row>
    <row r="3030" spans="5:13">
      <c r="E3030" s="261"/>
      <c r="F3030" s="261"/>
      <c r="G3030" s="261"/>
      <c r="H3030" s="261"/>
      <c r="I3030" s="261"/>
      <c r="J3030" s="261"/>
      <c r="K3030" s="261"/>
      <c r="L3030" s="261"/>
      <c r="M3030" s="261"/>
    </row>
    <row r="3031" spans="5:13">
      <c r="E3031" s="261"/>
      <c r="F3031" s="261"/>
      <c r="G3031" s="261"/>
      <c r="H3031" s="261"/>
      <c r="I3031" s="261"/>
      <c r="J3031" s="261"/>
      <c r="K3031" s="261"/>
      <c r="L3031" s="261"/>
      <c r="M3031" s="261"/>
    </row>
    <row r="3032" spans="5:13">
      <c r="E3032" s="261"/>
      <c r="F3032" s="261"/>
      <c r="G3032" s="261"/>
      <c r="H3032" s="261"/>
      <c r="I3032" s="261"/>
      <c r="J3032" s="261"/>
      <c r="K3032" s="261"/>
      <c r="L3032" s="261"/>
      <c r="M3032" s="261"/>
    </row>
    <row r="3033" spans="5:13">
      <c r="E3033" s="261"/>
      <c r="F3033" s="261"/>
      <c r="G3033" s="261"/>
      <c r="H3033" s="261"/>
      <c r="I3033" s="261"/>
      <c r="J3033" s="261"/>
      <c r="K3033" s="261"/>
      <c r="L3033" s="261"/>
      <c r="M3033" s="261"/>
    </row>
    <row r="3034" spans="5:13">
      <c r="E3034" s="261"/>
      <c r="F3034" s="261"/>
      <c r="G3034" s="261"/>
      <c r="H3034" s="261"/>
      <c r="I3034" s="261"/>
      <c r="J3034" s="261"/>
      <c r="K3034" s="261"/>
      <c r="L3034" s="261"/>
      <c r="M3034" s="261"/>
    </row>
    <row r="3035" spans="5:13">
      <c r="E3035" s="261"/>
      <c r="F3035" s="261"/>
      <c r="G3035" s="261"/>
      <c r="H3035" s="261"/>
      <c r="I3035" s="261"/>
      <c r="J3035" s="261"/>
      <c r="K3035" s="261"/>
      <c r="L3035" s="261"/>
      <c r="M3035" s="261"/>
    </row>
    <row r="3036" spans="5:13">
      <c r="E3036" s="261"/>
      <c r="F3036" s="261"/>
      <c r="G3036" s="261"/>
      <c r="H3036" s="261"/>
      <c r="I3036" s="261"/>
      <c r="J3036" s="261"/>
      <c r="K3036" s="261"/>
      <c r="L3036" s="261"/>
      <c r="M3036" s="261"/>
    </row>
    <row r="3037" spans="5:13">
      <c r="E3037" s="261"/>
      <c r="F3037" s="261"/>
      <c r="G3037" s="261"/>
      <c r="H3037" s="261"/>
      <c r="I3037" s="261"/>
      <c r="J3037" s="261"/>
      <c r="K3037" s="261"/>
      <c r="L3037" s="261"/>
      <c r="M3037" s="261"/>
    </row>
    <row r="3038" spans="5:13">
      <c r="E3038" s="261"/>
      <c r="F3038" s="261"/>
      <c r="G3038" s="261"/>
      <c r="H3038" s="261"/>
      <c r="I3038" s="261"/>
      <c r="J3038" s="261"/>
      <c r="K3038" s="261"/>
      <c r="L3038" s="261"/>
      <c r="M3038" s="261"/>
    </row>
    <row r="3039" spans="5:13">
      <c r="E3039" s="261"/>
      <c r="F3039" s="261"/>
      <c r="G3039" s="261"/>
      <c r="H3039" s="261"/>
      <c r="I3039" s="261"/>
      <c r="J3039" s="261"/>
      <c r="K3039" s="261"/>
      <c r="L3039" s="261"/>
      <c r="M3039" s="261"/>
    </row>
    <row r="3040" spans="5:13">
      <c r="E3040" s="261"/>
      <c r="F3040" s="261"/>
      <c r="G3040" s="261"/>
      <c r="H3040" s="261"/>
      <c r="I3040" s="261"/>
      <c r="J3040" s="261"/>
      <c r="K3040" s="261"/>
      <c r="L3040" s="261"/>
      <c r="M3040" s="261"/>
    </row>
    <row r="3041" spans="5:13">
      <c r="E3041" s="261"/>
      <c r="F3041" s="261"/>
      <c r="G3041" s="261"/>
      <c r="H3041" s="261"/>
      <c r="I3041" s="261"/>
      <c r="J3041" s="261"/>
      <c r="K3041" s="261"/>
      <c r="L3041" s="261"/>
      <c r="M3041" s="261"/>
    </row>
    <row r="3042" spans="5:13">
      <c r="E3042" s="261"/>
      <c r="F3042" s="261"/>
      <c r="G3042" s="261"/>
      <c r="H3042" s="261"/>
      <c r="I3042" s="261"/>
      <c r="J3042" s="261"/>
      <c r="K3042" s="261"/>
      <c r="L3042" s="261"/>
      <c r="M3042" s="261"/>
    </row>
    <row r="3043" spans="5:13">
      <c r="E3043" s="261"/>
      <c r="F3043" s="261"/>
      <c r="G3043" s="261"/>
      <c r="H3043" s="261"/>
      <c r="I3043" s="261"/>
      <c r="J3043" s="261"/>
      <c r="K3043" s="261"/>
      <c r="L3043" s="261"/>
      <c r="M3043" s="261"/>
    </row>
    <row r="3044" spans="5:13">
      <c r="E3044" s="261"/>
      <c r="F3044" s="261"/>
      <c r="G3044" s="261"/>
      <c r="H3044" s="261"/>
      <c r="I3044" s="261"/>
      <c r="J3044" s="261"/>
      <c r="K3044" s="261"/>
      <c r="L3044" s="261"/>
      <c r="M3044" s="261"/>
    </row>
    <row r="3045" spans="5:13">
      <c r="E3045" s="261"/>
      <c r="F3045" s="261"/>
      <c r="G3045" s="261"/>
      <c r="H3045" s="261"/>
      <c r="I3045" s="261"/>
      <c r="J3045" s="261"/>
      <c r="K3045" s="261"/>
      <c r="L3045" s="261"/>
      <c r="M3045" s="261"/>
    </row>
    <row r="3046" spans="5:13">
      <c r="E3046" s="261"/>
      <c r="F3046" s="261"/>
      <c r="G3046" s="261"/>
      <c r="H3046" s="261"/>
      <c r="I3046" s="261"/>
      <c r="J3046" s="261"/>
      <c r="K3046" s="261"/>
      <c r="L3046" s="261"/>
      <c r="M3046" s="261"/>
    </row>
    <row r="3047" spans="5:13">
      <c r="E3047" s="261"/>
      <c r="F3047" s="261"/>
      <c r="G3047" s="261"/>
      <c r="H3047" s="261"/>
      <c r="I3047" s="261"/>
      <c r="J3047" s="261"/>
      <c r="K3047" s="261"/>
      <c r="L3047" s="261"/>
      <c r="M3047" s="261"/>
    </row>
    <row r="3048" spans="5:13">
      <c r="E3048" s="261"/>
      <c r="F3048" s="261"/>
      <c r="G3048" s="261"/>
      <c r="H3048" s="261"/>
      <c r="I3048" s="261"/>
      <c r="J3048" s="261"/>
      <c r="K3048" s="261"/>
      <c r="L3048" s="261"/>
      <c r="M3048" s="261"/>
    </row>
    <row r="3049" spans="5:13">
      <c r="E3049" s="261"/>
      <c r="F3049" s="261"/>
      <c r="G3049" s="261"/>
      <c r="H3049" s="261"/>
      <c r="I3049" s="261"/>
      <c r="J3049" s="261"/>
      <c r="K3049" s="261"/>
      <c r="L3049" s="261"/>
      <c r="M3049" s="261"/>
    </row>
    <row r="3050" spans="5:13">
      <c r="E3050" s="261"/>
      <c r="F3050" s="261"/>
      <c r="G3050" s="261"/>
      <c r="H3050" s="261"/>
      <c r="I3050" s="261"/>
      <c r="J3050" s="261"/>
      <c r="K3050" s="261"/>
      <c r="L3050" s="261"/>
      <c r="M3050" s="261"/>
    </row>
    <row r="3051" spans="5:13">
      <c r="E3051" s="261"/>
      <c r="F3051" s="261"/>
      <c r="G3051" s="261"/>
      <c r="H3051" s="261"/>
      <c r="I3051" s="261"/>
      <c r="J3051" s="261"/>
      <c r="K3051" s="261"/>
      <c r="L3051" s="261"/>
      <c r="M3051" s="261"/>
    </row>
    <row r="3052" spans="5:13">
      <c r="E3052" s="261"/>
      <c r="F3052" s="261"/>
      <c r="G3052" s="261"/>
      <c r="H3052" s="261"/>
      <c r="I3052" s="261"/>
      <c r="J3052" s="261"/>
      <c r="K3052" s="261"/>
      <c r="L3052" s="261"/>
      <c r="M3052" s="261"/>
    </row>
    <row r="3053" spans="5:13">
      <c r="E3053" s="261"/>
      <c r="F3053" s="261"/>
      <c r="G3053" s="261"/>
      <c r="H3053" s="261"/>
      <c r="I3053" s="261"/>
      <c r="J3053" s="261"/>
      <c r="K3053" s="261"/>
      <c r="L3053" s="261"/>
      <c r="M3053" s="261"/>
    </row>
    <row r="3054" spans="5:13">
      <c r="E3054" s="261"/>
      <c r="F3054" s="261"/>
      <c r="G3054" s="261"/>
      <c r="H3054" s="261"/>
      <c r="I3054" s="261"/>
      <c r="J3054" s="261"/>
      <c r="K3054" s="261"/>
      <c r="L3054" s="261"/>
      <c r="M3054" s="261"/>
    </row>
    <row r="3055" spans="5:13">
      <c r="E3055" s="261"/>
      <c r="F3055" s="261"/>
      <c r="G3055" s="261"/>
      <c r="H3055" s="261"/>
      <c r="I3055" s="261"/>
      <c r="J3055" s="261"/>
      <c r="K3055" s="261"/>
      <c r="L3055" s="261"/>
      <c r="M3055" s="261"/>
    </row>
    <row r="3056" spans="5:13">
      <c r="E3056" s="261"/>
      <c r="F3056" s="261"/>
      <c r="G3056" s="261"/>
      <c r="H3056" s="261"/>
      <c r="I3056" s="261"/>
      <c r="J3056" s="261"/>
      <c r="K3056" s="261"/>
      <c r="L3056" s="261"/>
      <c r="M3056" s="261"/>
    </row>
    <row r="3057" spans="5:13">
      <c r="E3057" s="261"/>
      <c r="F3057" s="261"/>
      <c r="G3057" s="261"/>
      <c r="H3057" s="261"/>
      <c r="I3057" s="261"/>
      <c r="J3057" s="261"/>
      <c r="K3057" s="261"/>
      <c r="L3057" s="261"/>
      <c r="M3057" s="261"/>
    </row>
    <row r="3058" spans="5:13">
      <c r="E3058" s="261"/>
      <c r="F3058" s="261"/>
      <c r="G3058" s="261"/>
      <c r="H3058" s="261"/>
      <c r="I3058" s="261"/>
      <c r="J3058" s="261"/>
      <c r="K3058" s="261"/>
      <c r="L3058" s="261"/>
      <c r="M3058" s="261"/>
    </row>
    <row r="3059" spans="5:13">
      <c r="E3059" s="261"/>
      <c r="F3059" s="261"/>
      <c r="G3059" s="261"/>
      <c r="H3059" s="261"/>
      <c r="I3059" s="261"/>
      <c r="J3059" s="261"/>
      <c r="K3059" s="261"/>
      <c r="L3059" s="261"/>
      <c r="M3059" s="261"/>
    </row>
    <row r="3060" spans="5:13">
      <c r="E3060" s="261"/>
      <c r="F3060" s="261"/>
      <c r="G3060" s="261"/>
      <c r="H3060" s="261"/>
      <c r="I3060" s="261"/>
      <c r="J3060" s="261"/>
      <c r="K3060" s="261"/>
      <c r="L3060" s="261"/>
      <c r="M3060" s="261"/>
    </row>
    <row r="3061" spans="5:13">
      <c r="E3061" s="261"/>
      <c r="F3061" s="261"/>
      <c r="G3061" s="261"/>
      <c r="H3061" s="261"/>
      <c r="I3061" s="261"/>
      <c r="J3061" s="261"/>
      <c r="K3061" s="261"/>
      <c r="L3061" s="261"/>
      <c r="M3061" s="261"/>
    </row>
    <row r="3062" spans="5:13">
      <c r="E3062" s="261"/>
      <c r="F3062" s="261"/>
      <c r="G3062" s="261"/>
      <c r="H3062" s="261"/>
      <c r="I3062" s="261"/>
      <c r="J3062" s="261"/>
      <c r="K3062" s="261"/>
      <c r="L3062" s="261"/>
      <c r="M3062" s="261"/>
    </row>
    <row r="3063" spans="5:13">
      <c r="E3063" s="261"/>
      <c r="F3063" s="261"/>
      <c r="G3063" s="261"/>
      <c r="H3063" s="261"/>
      <c r="I3063" s="261"/>
      <c r="J3063" s="261"/>
      <c r="K3063" s="261"/>
      <c r="L3063" s="261"/>
      <c r="M3063" s="261"/>
    </row>
    <row r="3064" spans="5:13">
      <c r="E3064" s="261"/>
      <c r="F3064" s="261"/>
      <c r="G3064" s="261"/>
      <c r="H3064" s="261"/>
      <c r="I3064" s="261"/>
      <c r="J3064" s="261"/>
      <c r="K3064" s="261"/>
      <c r="L3064" s="261"/>
      <c r="M3064" s="261"/>
    </row>
    <row r="3065" spans="5:13">
      <c r="E3065" s="261"/>
      <c r="F3065" s="261"/>
      <c r="G3065" s="261"/>
      <c r="H3065" s="261"/>
      <c r="I3065" s="261"/>
      <c r="J3065" s="261"/>
      <c r="K3065" s="261"/>
      <c r="L3065" s="261"/>
      <c r="M3065" s="261"/>
    </row>
    <row r="3066" spans="5:13">
      <c r="E3066" s="261"/>
      <c r="F3066" s="261"/>
      <c r="G3066" s="261"/>
      <c r="H3066" s="261"/>
      <c r="I3066" s="261"/>
      <c r="J3066" s="261"/>
      <c r="K3066" s="261"/>
      <c r="L3066" s="261"/>
      <c r="M3066" s="261"/>
    </row>
    <row r="3067" spans="5:13">
      <c r="E3067" s="261"/>
      <c r="F3067" s="261"/>
      <c r="G3067" s="261"/>
      <c r="H3067" s="261"/>
      <c r="I3067" s="261"/>
      <c r="J3067" s="261"/>
      <c r="K3067" s="261"/>
      <c r="L3067" s="261"/>
      <c r="M3067" s="261"/>
    </row>
    <row r="3068" spans="5:13">
      <c r="E3068" s="261"/>
      <c r="F3068" s="261"/>
      <c r="G3068" s="261"/>
      <c r="H3068" s="261"/>
      <c r="I3068" s="261"/>
      <c r="J3068" s="261"/>
      <c r="K3068" s="261"/>
      <c r="L3068" s="261"/>
      <c r="M3068" s="261"/>
    </row>
    <row r="3069" spans="5:13">
      <c r="E3069" s="261"/>
      <c r="F3069" s="261"/>
      <c r="G3069" s="261"/>
      <c r="H3069" s="261"/>
      <c r="I3069" s="261"/>
      <c r="J3069" s="261"/>
      <c r="K3069" s="261"/>
      <c r="L3069" s="261"/>
      <c r="M3069" s="261"/>
    </row>
    <row r="3070" spans="5:13">
      <c r="E3070" s="261"/>
      <c r="F3070" s="261"/>
      <c r="G3070" s="261"/>
      <c r="H3070" s="261"/>
      <c r="I3070" s="261"/>
      <c r="J3070" s="261"/>
      <c r="K3070" s="261"/>
      <c r="L3070" s="261"/>
      <c r="M3070" s="261"/>
    </row>
    <row r="3071" spans="5:13">
      <c r="E3071" s="261"/>
      <c r="F3071" s="261"/>
      <c r="G3071" s="261"/>
      <c r="H3071" s="261"/>
      <c r="I3071" s="261"/>
      <c r="J3071" s="261"/>
      <c r="K3071" s="261"/>
      <c r="L3071" s="261"/>
      <c r="M3071" s="261"/>
    </row>
    <row r="3072" spans="5:13">
      <c r="E3072" s="261"/>
      <c r="F3072" s="261"/>
      <c r="G3072" s="261"/>
      <c r="H3072" s="261"/>
      <c r="I3072" s="261"/>
      <c r="J3072" s="261"/>
      <c r="K3072" s="261"/>
      <c r="L3072" s="261"/>
      <c r="M3072" s="261"/>
    </row>
    <row r="3073" spans="5:13">
      <c r="E3073" s="261"/>
      <c r="F3073" s="261"/>
      <c r="G3073" s="261"/>
      <c r="H3073" s="261"/>
      <c r="I3073" s="261"/>
      <c r="J3073" s="261"/>
      <c r="K3073" s="261"/>
      <c r="L3073" s="261"/>
      <c r="M3073" s="261"/>
    </row>
    <row r="3074" spans="5:13">
      <c r="E3074" s="261"/>
      <c r="F3074" s="261"/>
      <c r="G3074" s="261"/>
      <c r="H3074" s="261"/>
      <c r="I3074" s="261"/>
      <c r="J3074" s="261"/>
      <c r="K3074" s="261"/>
      <c r="L3074" s="261"/>
      <c r="M3074" s="261"/>
    </row>
    <row r="3075" spans="5:13">
      <c r="E3075" s="261"/>
      <c r="F3075" s="261"/>
      <c r="G3075" s="261"/>
      <c r="H3075" s="261"/>
      <c r="I3075" s="261"/>
      <c r="J3075" s="261"/>
      <c r="K3075" s="261"/>
      <c r="L3075" s="261"/>
      <c r="M3075" s="261"/>
    </row>
    <row r="3076" spans="5:13">
      <c r="E3076" s="261"/>
      <c r="F3076" s="261"/>
      <c r="G3076" s="261"/>
      <c r="H3076" s="261"/>
      <c r="I3076" s="261"/>
      <c r="J3076" s="261"/>
      <c r="K3076" s="261"/>
      <c r="L3076" s="261"/>
      <c r="M3076" s="261"/>
    </row>
    <row r="3077" spans="5:13">
      <c r="E3077" s="261"/>
      <c r="F3077" s="261"/>
      <c r="G3077" s="261"/>
      <c r="H3077" s="261"/>
      <c r="I3077" s="261"/>
      <c r="J3077" s="261"/>
      <c r="K3077" s="261"/>
      <c r="L3077" s="261"/>
      <c r="M3077" s="261"/>
    </row>
    <row r="3078" spans="5:13">
      <c r="E3078" s="261"/>
      <c r="F3078" s="261"/>
      <c r="G3078" s="261"/>
      <c r="H3078" s="261"/>
      <c r="I3078" s="261"/>
      <c r="J3078" s="261"/>
      <c r="K3078" s="261"/>
      <c r="L3078" s="261"/>
      <c r="M3078" s="261"/>
    </row>
    <row r="3079" spans="5:13">
      <c r="E3079" s="261"/>
      <c r="F3079" s="261"/>
      <c r="G3079" s="261"/>
      <c r="H3079" s="261"/>
      <c r="I3079" s="261"/>
      <c r="J3079" s="261"/>
      <c r="K3079" s="261"/>
      <c r="L3079" s="261"/>
      <c r="M3079" s="261"/>
    </row>
    <row r="3080" spans="5:13">
      <c r="E3080" s="261"/>
      <c r="F3080" s="261"/>
      <c r="G3080" s="261"/>
      <c r="H3080" s="261"/>
      <c r="I3080" s="261"/>
      <c r="J3080" s="261"/>
      <c r="K3080" s="261"/>
      <c r="L3080" s="261"/>
      <c r="M3080" s="261"/>
    </row>
    <row r="3081" spans="5:13">
      <c r="E3081" s="261"/>
      <c r="F3081" s="261"/>
      <c r="G3081" s="261"/>
      <c r="H3081" s="261"/>
      <c r="I3081" s="261"/>
      <c r="J3081" s="261"/>
      <c r="K3081" s="261"/>
      <c r="L3081" s="261"/>
      <c r="M3081" s="261"/>
    </row>
    <row r="3082" spans="5:13">
      <c r="E3082" s="261"/>
      <c r="F3082" s="261"/>
      <c r="G3082" s="261"/>
      <c r="H3082" s="261"/>
      <c r="I3082" s="261"/>
      <c r="J3082" s="261"/>
      <c r="K3082" s="261"/>
      <c r="L3082" s="261"/>
      <c r="M3082" s="261"/>
    </row>
    <row r="3083" spans="5:13">
      <c r="E3083" s="261"/>
      <c r="F3083" s="261"/>
      <c r="G3083" s="261"/>
      <c r="H3083" s="261"/>
      <c r="I3083" s="261"/>
      <c r="J3083" s="261"/>
      <c r="K3083" s="261"/>
      <c r="L3083" s="261"/>
      <c r="M3083" s="261"/>
    </row>
    <row r="3084" spans="5:13">
      <c r="E3084" s="261"/>
      <c r="F3084" s="261"/>
      <c r="G3084" s="261"/>
      <c r="H3084" s="261"/>
      <c r="I3084" s="261"/>
      <c r="J3084" s="261"/>
      <c r="K3084" s="261"/>
      <c r="L3084" s="261"/>
      <c r="M3084" s="261"/>
    </row>
    <row r="3085" spans="5:13">
      <c r="E3085" s="261"/>
      <c r="F3085" s="261"/>
      <c r="G3085" s="261"/>
      <c r="H3085" s="261"/>
      <c r="I3085" s="261"/>
      <c r="J3085" s="261"/>
      <c r="K3085" s="261"/>
      <c r="L3085" s="261"/>
      <c r="M3085" s="261"/>
    </row>
    <row r="3086" spans="5:13">
      <c r="E3086" s="261"/>
      <c r="F3086" s="261"/>
      <c r="G3086" s="261"/>
      <c r="H3086" s="261"/>
      <c r="I3086" s="261"/>
      <c r="J3086" s="261"/>
      <c r="K3086" s="261"/>
      <c r="L3086" s="261"/>
      <c r="M3086" s="261"/>
    </row>
    <row r="3087" spans="5:13">
      <c r="E3087" s="261"/>
      <c r="F3087" s="261"/>
      <c r="G3087" s="261"/>
      <c r="H3087" s="261"/>
      <c r="I3087" s="261"/>
      <c r="J3087" s="261"/>
      <c r="K3087" s="261"/>
      <c r="L3087" s="261"/>
      <c r="M3087" s="261"/>
    </row>
    <row r="3088" spans="5:13">
      <c r="E3088" s="261"/>
      <c r="F3088" s="261"/>
      <c r="G3088" s="261"/>
      <c r="H3088" s="261"/>
      <c r="I3088" s="261"/>
      <c r="J3088" s="261"/>
      <c r="K3088" s="261"/>
      <c r="L3088" s="261"/>
      <c r="M3088" s="261"/>
    </row>
    <row r="3089" spans="5:13">
      <c r="E3089" s="261"/>
      <c r="F3089" s="261"/>
      <c r="G3089" s="261"/>
      <c r="H3089" s="261"/>
      <c r="I3089" s="261"/>
      <c r="J3089" s="261"/>
      <c r="K3089" s="261"/>
      <c r="L3089" s="261"/>
      <c r="M3089" s="261"/>
    </row>
    <row r="3090" spans="5:13">
      <c r="E3090" s="261"/>
      <c r="F3090" s="261"/>
      <c r="G3090" s="261"/>
      <c r="H3090" s="261"/>
      <c r="I3090" s="261"/>
      <c r="J3090" s="261"/>
      <c r="K3090" s="261"/>
      <c r="L3090" s="261"/>
      <c r="M3090" s="261"/>
    </row>
    <row r="3091" spans="5:13">
      <c r="E3091" s="261"/>
      <c r="F3091" s="261"/>
      <c r="G3091" s="261"/>
      <c r="H3091" s="261"/>
      <c r="I3091" s="261"/>
      <c r="J3091" s="261"/>
      <c r="K3091" s="261"/>
      <c r="L3091" s="261"/>
      <c r="M3091" s="261"/>
    </row>
    <row r="3092" spans="5:13">
      <c r="E3092" s="261"/>
      <c r="F3092" s="261"/>
      <c r="G3092" s="261"/>
      <c r="H3092" s="261"/>
      <c r="I3092" s="261"/>
      <c r="J3092" s="261"/>
      <c r="K3092" s="261"/>
      <c r="L3092" s="261"/>
      <c r="M3092" s="261"/>
    </row>
    <row r="3093" spans="5:13">
      <c r="E3093" s="261"/>
      <c r="F3093" s="261"/>
      <c r="G3093" s="261"/>
      <c r="H3093" s="261"/>
      <c r="I3093" s="261"/>
      <c r="J3093" s="261"/>
      <c r="K3093" s="261"/>
      <c r="L3093" s="261"/>
      <c r="M3093" s="261"/>
    </row>
    <row r="3094" spans="5:13">
      <c r="E3094" s="261"/>
      <c r="F3094" s="261"/>
      <c r="G3094" s="261"/>
      <c r="H3094" s="261"/>
      <c r="I3094" s="261"/>
      <c r="J3094" s="261"/>
      <c r="K3094" s="261"/>
      <c r="L3094" s="261"/>
      <c r="M3094" s="261"/>
    </row>
    <row r="3095" spans="5:13">
      <c r="E3095" s="261"/>
      <c r="F3095" s="261"/>
      <c r="G3095" s="261"/>
      <c r="H3095" s="261"/>
      <c r="I3095" s="261"/>
      <c r="J3095" s="261"/>
      <c r="K3095" s="261"/>
      <c r="L3095" s="261"/>
      <c r="M3095" s="261"/>
    </row>
    <row r="3096" spans="5:13">
      <c r="E3096" s="261"/>
      <c r="F3096" s="261"/>
      <c r="G3096" s="261"/>
      <c r="H3096" s="261"/>
      <c r="I3096" s="261"/>
      <c r="J3096" s="261"/>
      <c r="K3096" s="261"/>
      <c r="L3096" s="261"/>
      <c r="M3096" s="261"/>
    </row>
    <row r="3097" spans="5:13">
      <c r="E3097" s="261"/>
      <c r="F3097" s="261"/>
      <c r="G3097" s="261"/>
      <c r="H3097" s="261"/>
      <c r="I3097" s="261"/>
      <c r="J3097" s="261"/>
      <c r="K3097" s="261"/>
      <c r="L3097" s="261"/>
      <c r="M3097" s="261"/>
    </row>
    <row r="3098" spans="5:13">
      <c r="E3098" s="261"/>
      <c r="F3098" s="261"/>
      <c r="G3098" s="261"/>
      <c r="H3098" s="261"/>
      <c r="I3098" s="261"/>
      <c r="J3098" s="261"/>
      <c r="K3098" s="261"/>
      <c r="L3098" s="261"/>
      <c r="M3098" s="261"/>
    </row>
    <row r="3099" spans="5:13">
      <c r="E3099" s="261"/>
      <c r="F3099" s="261"/>
      <c r="G3099" s="261"/>
      <c r="H3099" s="261"/>
      <c r="I3099" s="261"/>
      <c r="J3099" s="261"/>
      <c r="K3099" s="261"/>
      <c r="L3099" s="261"/>
      <c r="M3099" s="261"/>
    </row>
    <row r="3100" spans="5:13">
      <c r="E3100" s="261"/>
      <c r="F3100" s="261"/>
      <c r="G3100" s="261"/>
      <c r="H3100" s="261"/>
      <c r="I3100" s="261"/>
      <c r="J3100" s="261"/>
      <c r="K3100" s="261"/>
      <c r="L3100" s="261"/>
      <c r="M3100" s="261"/>
    </row>
    <row r="3101" spans="5:13">
      <c r="E3101" s="261"/>
      <c r="F3101" s="261"/>
      <c r="G3101" s="261"/>
      <c r="H3101" s="261"/>
      <c r="I3101" s="261"/>
      <c r="J3101" s="261"/>
      <c r="K3101" s="261"/>
      <c r="L3101" s="261"/>
      <c r="M3101" s="261"/>
    </row>
    <row r="3102" spans="5:13">
      <c r="E3102" s="261"/>
      <c r="F3102" s="261"/>
      <c r="G3102" s="261"/>
      <c r="H3102" s="261"/>
      <c r="I3102" s="261"/>
      <c r="J3102" s="261"/>
      <c r="K3102" s="261"/>
      <c r="L3102" s="261"/>
      <c r="M3102" s="261"/>
    </row>
    <row r="3103" spans="5:13">
      <c r="E3103" s="261"/>
      <c r="F3103" s="261"/>
      <c r="G3103" s="261"/>
      <c r="H3103" s="261"/>
      <c r="I3103" s="261"/>
      <c r="J3103" s="261"/>
      <c r="K3103" s="261"/>
      <c r="L3103" s="261"/>
      <c r="M3103" s="261"/>
    </row>
    <row r="3104" spans="5:13">
      <c r="E3104" s="261"/>
      <c r="F3104" s="261"/>
      <c r="G3104" s="261"/>
      <c r="H3104" s="261"/>
      <c r="I3104" s="261"/>
      <c r="J3104" s="261"/>
      <c r="K3104" s="261"/>
      <c r="L3104" s="261"/>
      <c r="M3104" s="261"/>
    </row>
    <row r="3105" spans="5:13">
      <c r="E3105" s="261"/>
      <c r="F3105" s="261"/>
      <c r="G3105" s="261"/>
      <c r="H3105" s="261"/>
      <c r="I3105" s="261"/>
      <c r="J3105" s="261"/>
      <c r="K3105" s="261"/>
      <c r="L3105" s="261"/>
      <c r="M3105" s="261"/>
    </row>
    <row r="3106" spans="5:13">
      <c r="E3106" s="261"/>
      <c r="F3106" s="261"/>
      <c r="G3106" s="261"/>
      <c r="H3106" s="261"/>
      <c r="I3106" s="261"/>
      <c r="J3106" s="261"/>
      <c r="K3106" s="261"/>
      <c r="L3106" s="261"/>
      <c r="M3106" s="261"/>
    </row>
    <row r="3107" spans="5:13">
      <c r="E3107" s="261"/>
      <c r="F3107" s="261"/>
      <c r="G3107" s="261"/>
      <c r="H3107" s="261"/>
      <c r="I3107" s="261"/>
      <c r="J3107" s="261"/>
      <c r="K3107" s="261"/>
      <c r="L3107" s="261"/>
      <c r="M3107" s="261"/>
    </row>
    <row r="3108" spans="5:13">
      <c r="E3108" s="261"/>
      <c r="F3108" s="261"/>
      <c r="G3108" s="261"/>
      <c r="H3108" s="261"/>
      <c r="I3108" s="261"/>
      <c r="J3108" s="261"/>
      <c r="K3108" s="261"/>
      <c r="L3108" s="261"/>
      <c r="M3108" s="261"/>
    </row>
    <row r="3109" spans="5:13">
      <c r="E3109" s="261"/>
      <c r="F3109" s="261"/>
      <c r="G3109" s="261"/>
      <c r="H3109" s="261"/>
      <c r="I3109" s="261"/>
      <c r="J3109" s="261"/>
      <c r="K3109" s="261"/>
      <c r="L3109" s="261"/>
      <c r="M3109" s="261"/>
    </row>
    <row r="3110" spans="5:13">
      <c r="E3110" s="261"/>
      <c r="F3110" s="261"/>
      <c r="G3110" s="261"/>
      <c r="H3110" s="261"/>
      <c r="I3110" s="261"/>
      <c r="J3110" s="261"/>
      <c r="K3110" s="261"/>
      <c r="L3110" s="261"/>
      <c r="M3110" s="261"/>
    </row>
    <row r="3111" spans="5:13">
      <c r="E3111" s="261"/>
      <c r="F3111" s="261"/>
      <c r="G3111" s="261"/>
      <c r="H3111" s="261"/>
      <c r="I3111" s="261"/>
      <c r="J3111" s="261"/>
      <c r="K3111" s="261"/>
      <c r="L3111" s="261"/>
      <c r="M3111" s="261"/>
    </row>
    <row r="3112" spans="5:13">
      <c r="E3112" s="261"/>
      <c r="F3112" s="261"/>
      <c r="G3112" s="261"/>
      <c r="H3112" s="261"/>
      <c r="I3112" s="261"/>
      <c r="J3112" s="261"/>
      <c r="K3112" s="261"/>
      <c r="L3112" s="261"/>
      <c r="M3112" s="261"/>
    </row>
    <row r="3113" spans="5:13">
      <c r="E3113" s="261"/>
      <c r="F3113" s="261"/>
      <c r="G3113" s="261"/>
      <c r="H3113" s="261"/>
      <c r="I3113" s="261"/>
      <c r="J3113" s="261"/>
      <c r="K3113" s="261"/>
      <c r="L3113" s="261"/>
      <c r="M3113" s="261"/>
    </row>
    <row r="3114" spans="5:13">
      <c r="E3114" s="261"/>
      <c r="F3114" s="261"/>
      <c r="G3114" s="261"/>
      <c r="H3114" s="261"/>
      <c r="I3114" s="261"/>
      <c r="J3114" s="261"/>
      <c r="K3114" s="261"/>
      <c r="L3114" s="261"/>
      <c r="M3114" s="261"/>
    </row>
    <row r="3115" spans="5:13">
      <c r="E3115" s="261"/>
      <c r="F3115" s="261"/>
      <c r="G3115" s="261"/>
      <c r="H3115" s="261"/>
      <c r="I3115" s="261"/>
      <c r="J3115" s="261"/>
      <c r="K3115" s="261"/>
      <c r="L3115" s="261"/>
      <c r="M3115" s="261"/>
    </row>
    <row r="3116" spans="5:13">
      <c r="E3116" s="261"/>
      <c r="F3116" s="261"/>
      <c r="G3116" s="261"/>
      <c r="H3116" s="261"/>
      <c r="I3116" s="261"/>
      <c r="J3116" s="261"/>
      <c r="K3116" s="261"/>
      <c r="L3116" s="261"/>
      <c r="M3116" s="261"/>
    </row>
    <row r="3117" spans="5:13">
      <c r="E3117" s="261"/>
      <c r="F3117" s="261"/>
      <c r="G3117" s="261"/>
      <c r="H3117" s="261"/>
      <c r="I3117" s="261"/>
      <c r="J3117" s="261"/>
      <c r="K3117" s="261"/>
      <c r="L3117" s="261"/>
      <c r="M3117" s="261"/>
    </row>
    <row r="3118" spans="5:13">
      <c r="E3118" s="261"/>
      <c r="F3118" s="261"/>
      <c r="G3118" s="261"/>
      <c r="H3118" s="261"/>
      <c r="I3118" s="261"/>
      <c r="J3118" s="261"/>
      <c r="K3118" s="261"/>
      <c r="L3118" s="261"/>
      <c r="M3118" s="261"/>
    </row>
    <row r="3119" spans="5:13">
      <c r="E3119" s="261"/>
      <c r="F3119" s="261"/>
      <c r="G3119" s="261"/>
      <c r="H3119" s="261"/>
      <c r="I3119" s="261"/>
      <c r="J3119" s="261"/>
      <c r="K3119" s="261"/>
      <c r="L3119" s="261"/>
      <c r="M3119" s="261"/>
    </row>
    <row r="3120" spans="5:13">
      <c r="E3120" s="261"/>
      <c r="F3120" s="261"/>
      <c r="G3120" s="261"/>
      <c r="H3120" s="261"/>
      <c r="I3120" s="261"/>
      <c r="J3120" s="261"/>
      <c r="K3120" s="261"/>
      <c r="L3120" s="261"/>
      <c r="M3120" s="261"/>
    </row>
    <row r="3121" spans="5:13">
      <c r="E3121" s="261"/>
      <c r="F3121" s="261"/>
      <c r="G3121" s="261"/>
      <c r="H3121" s="261"/>
      <c r="I3121" s="261"/>
      <c r="J3121" s="261"/>
      <c r="K3121" s="261"/>
      <c r="L3121" s="261"/>
      <c r="M3121" s="261"/>
    </row>
    <row r="3122" spans="5:13">
      <c r="E3122" s="261"/>
      <c r="F3122" s="261"/>
      <c r="G3122" s="261"/>
      <c r="H3122" s="261"/>
      <c r="I3122" s="261"/>
      <c r="J3122" s="261"/>
      <c r="K3122" s="261"/>
      <c r="L3122" s="261"/>
      <c r="M3122" s="261"/>
    </row>
    <row r="3123" spans="5:13">
      <c r="E3123" s="261"/>
      <c r="F3123" s="261"/>
      <c r="G3123" s="261"/>
      <c r="H3123" s="261"/>
      <c r="I3123" s="261"/>
      <c r="J3123" s="261"/>
      <c r="K3123" s="261"/>
      <c r="L3123" s="261"/>
      <c r="M3123" s="261"/>
    </row>
    <row r="3124" spans="5:13">
      <c r="E3124" s="261"/>
      <c r="F3124" s="261"/>
      <c r="G3124" s="261"/>
      <c r="H3124" s="261"/>
      <c r="I3124" s="261"/>
      <c r="J3124" s="261"/>
      <c r="K3124" s="261"/>
      <c r="L3124" s="261"/>
      <c r="M3124" s="261"/>
    </row>
    <row r="3125" spans="5:13">
      <c r="E3125" s="261"/>
      <c r="F3125" s="261"/>
      <c r="G3125" s="261"/>
      <c r="H3125" s="261"/>
      <c r="I3125" s="261"/>
      <c r="J3125" s="261"/>
      <c r="K3125" s="261"/>
      <c r="L3125" s="261"/>
      <c r="M3125" s="261"/>
    </row>
    <row r="3126" spans="5:13">
      <c r="E3126" s="261"/>
      <c r="F3126" s="261"/>
      <c r="G3126" s="261"/>
      <c r="H3126" s="261"/>
      <c r="I3126" s="261"/>
      <c r="J3126" s="261"/>
      <c r="K3126" s="261"/>
      <c r="L3126" s="261"/>
      <c r="M3126" s="261"/>
    </row>
    <row r="3127" spans="5:13">
      <c r="E3127" s="261"/>
      <c r="F3127" s="261"/>
      <c r="G3127" s="261"/>
      <c r="H3127" s="261"/>
      <c r="I3127" s="261"/>
      <c r="J3127" s="261"/>
      <c r="K3127" s="261"/>
      <c r="L3127" s="261"/>
      <c r="M3127" s="261"/>
    </row>
    <row r="3128" spans="5:13">
      <c r="E3128" s="261"/>
      <c r="F3128" s="261"/>
      <c r="G3128" s="261"/>
      <c r="H3128" s="261"/>
      <c r="I3128" s="261"/>
      <c r="J3128" s="261"/>
      <c r="K3128" s="261"/>
      <c r="L3128" s="261"/>
      <c r="M3128" s="261"/>
    </row>
    <row r="3129" spans="5:13">
      <c r="E3129" s="261"/>
      <c r="F3129" s="261"/>
      <c r="G3129" s="261"/>
      <c r="H3129" s="261"/>
      <c r="I3129" s="261"/>
      <c r="J3129" s="261"/>
      <c r="K3129" s="261"/>
      <c r="L3129" s="261"/>
      <c r="M3129" s="261"/>
    </row>
    <row r="3130" spans="5:13">
      <c r="E3130" s="261"/>
      <c r="F3130" s="261"/>
      <c r="G3130" s="261"/>
      <c r="H3130" s="261"/>
      <c r="I3130" s="261"/>
      <c r="J3130" s="261"/>
      <c r="K3130" s="261"/>
      <c r="L3130" s="261"/>
      <c r="M3130" s="261"/>
    </row>
    <row r="3131" spans="5:13">
      <c r="E3131" s="261"/>
      <c r="F3131" s="261"/>
      <c r="G3131" s="261"/>
      <c r="H3131" s="261"/>
      <c r="I3131" s="261"/>
      <c r="J3131" s="261"/>
      <c r="K3131" s="261"/>
      <c r="L3131" s="261"/>
      <c r="M3131" s="261"/>
    </row>
    <row r="3132" spans="5:13">
      <c r="E3132" s="261"/>
      <c r="F3132" s="261"/>
      <c r="G3132" s="261"/>
      <c r="H3132" s="261"/>
      <c r="I3132" s="261"/>
      <c r="J3132" s="261"/>
      <c r="K3132" s="261"/>
      <c r="L3132" s="261"/>
      <c r="M3132" s="261"/>
    </row>
    <row r="3133" spans="5:13">
      <c r="E3133" s="261"/>
      <c r="F3133" s="261"/>
      <c r="G3133" s="261"/>
      <c r="H3133" s="261"/>
      <c r="I3133" s="261"/>
      <c r="J3133" s="261"/>
      <c r="K3133" s="261"/>
      <c r="L3133" s="261"/>
      <c r="M3133" s="261"/>
    </row>
    <row r="3134" spans="5:13">
      <c r="E3134" s="261"/>
      <c r="F3134" s="261"/>
      <c r="G3134" s="261"/>
      <c r="H3134" s="261"/>
      <c r="I3134" s="261"/>
      <c r="J3134" s="261"/>
      <c r="K3134" s="261"/>
      <c r="L3134" s="261"/>
      <c r="M3134" s="261"/>
    </row>
    <row r="3135" spans="5:13">
      <c r="E3135" s="261"/>
      <c r="F3135" s="261"/>
      <c r="G3135" s="261"/>
      <c r="H3135" s="261"/>
      <c r="I3135" s="261"/>
      <c r="J3135" s="261"/>
      <c r="K3135" s="261"/>
      <c r="L3135" s="261"/>
      <c r="M3135" s="261"/>
    </row>
    <row r="3136" spans="5:13">
      <c r="E3136" s="261"/>
      <c r="F3136" s="261"/>
      <c r="G3136" s="261"/>
      <c r="H3136" s="261"/>
      <c r="I3136" s="261"/>
      <c r="J3136" s="261"/>
      <c r="K3136" s="261"/>
      <c r="L3136" s="261"/>
      <c r="M3136" s="261"/>
    </row>
    <row r="3137" spans="5:13">
      <c r="E3137" s="261"/>
      <c r="F3137" s="261"/>
      <c r="G3137" s="261"/>
      <c r="H3137" s="261"/>
      <c r="I3137" s="261"/>
      <c r="J3137" s="261"/>
      <c r="K3137" s="261"/>
      <c r="L3137" s="261"/>
      <c r="M3137" s="261"/>
    </row>
    <row r="3138" spans="5:13">
      <c r="E3138" s="261"/>
      <c r="F3138" s="261"/>
      <c r="G3138" s="261"/>
      <c r="H3138" s="261"/>
      <c r="I3138" s="261"/>
      <c r="J3138" s="261"/>
      <c r="K3138" s="261"/>
      <c r="L3138" s="261"/>
      <c r="M3138" s="261"/>
    </row>
    <row r="3139" spans="5:13">
      <c r="E3139" s="261"/>
      <c r="F3139" s="261"/>
      <c r="G3139" s="261"/>
      <c r="H3139" s="261"/>
      <c r="I3139" s="261"/>
      <c r="J3139" s="261"/>
      <c r="K3139" s="261"/>
      <c r="L3139" s="261"/>
      <c r="M3139" s="261"/>
    </row>
    <row r="3140" spans="5:13">
      <c r="E3140" s="261"/>
      <c r="F3140" s="261"/>
      <c r="G3140" s="261"/>
      <c r="H3140" s="261"/>
      <c r="I3140" s="261"/>
      <c r="J3140" s="261"/>
      <c r="K3140" s="261"/>
      <c r="L3140" s="261"/>
      <c r="M3140" s="261"/>
    </row>
    <row r="3141" spans="5:13">
      <c r="E3141" s="261"/>
      <c r="F3141" s="261"/>
      <c r="G3141" s="261"/>
      <c r="H3141" s="261"/>
      <c r="I3141" s="261"/>
      <c r="J3141" s="261"/>
      <c r="K3141" s="261"/>
      <c r="L3141" s="261"/>
      <c r="M3141" s="261"/>
    </row>
    <row r="3142" spans="5:13">
      <c r="E3142" s="261"/>
      <c r="F3142" s="261"/>
      <c r="G3142" s="261"/>
      <c r="H3142" s="261"/>
      <c r="I3142" s="261"/>
      <c r="J3142" s="261"/>
      <c r="K3142" s="261"/>
      <c r="L3142" s="261"/>
      <c r="M3142" s="261"/>
    </row>
    <row r="3143" spans="5:13">
      <c r="E3143" s="261"/>
      <c r="F3143" s="261"/>
      <c r="G3143" s="261"/>
      <c r="H3143" s="261"/>
      <c r="I3143" s="261"/>
      <c r="J3143" s="261"/>
      <c r="K3143" s="261"/>
      <c r="L3143" s="261"/>
      <c r="M3143" s="261"/>
    </row>
    <row r="3144" spans="5:13">
      <c r="E3144" s="261"/>
      <c r="F3144" s="261"/>
      <c r="G3144" s="261"/>
      <c r="H3144" s="261"/>
      <c r="I3144" s="261"/>
      <c r="J3144" s="261"/>
      <c r="K3144" s="261"/>
      <c r="L3144" s="261"/>
      <c r="M3144" s="261"/>
    </row>
    <row r="3145" spans="5:13">
      <c r="E3145" s="261"/>
      <c r="F3145" s="261"/>
      <c r="G3145" s="261"/>
      <c r="H3145" s="261"/>
      <c r="I3145" s="261"/>
      <c r="J3145" s="261"/>
      <c r="K3145" s="261"/>
      <c r="L3145" s="261"/>
      <c r="M3145" s="261"/>
    </row>
    <row r="3146" spans="5:13">
      <c r="E3146" s="261"/>
      <c r="F3146" s="261"/>
      <c r="G3146" s="261"/>
      <c r="H3146" s="261"/>
      <c r="I3146" s="261"/>
      <c r="J3146" s="261"/>
      <c r="K3146" s="261"/>
      <c r="L3146" s="261"/>
      <c r="M3146" s="261"/>
    </row>
    <row r="3147" spans="5:13">
      <c r="E3147" s="261"/>
      <c r="F3147" s="261"/>
      <c r="G3147" s="261"/>
      <c r="H3147" s="261"/>
      <c r="I3147" s="261"/>
      <c r="J3147" s="261"/>
      <c r="K3147" s="261"/>
      <c r="L3147" s="261"/>
      <c r="M3147" s="261"/>
    </row>
    <row r="3148" spans="5:13">
      <c r="E3148" s="261"/>
      <c r="F3148" s="261"/>
      <c r="G3148" s="261"/>
      <c r="H3148" s="261"/>
      <c r="I3148" s="261"/>
      <c r="J3148" s="261"/>
      <c r="K3148" s="261"/>
      <c r="L3148" s="261"/>
      <c r="M3148" s="261"/>
    </row>
    <row r="3149" spans="5:13">
      <c r="E3149" s="261"/>
      <c r="F3149" s="261"/>
      <c r="G3149" s="261"/>
      <c r="H3149" s="261"/>
      <c r="I3149" s="261"/>
      <c r="J3149" s="261"/>
      <c r="K3149" s="261"/>
      <c r="L3149" s="261"/>
      <c r="M3149" s="261"/>
    </row>
    <row r="3150" spans="5:13">
      <c r="E3150" s="261"/>
      <c r="F3150" s="261"/>
      <c r="G3150" s="261"/>
      <c r="H3150" s="261"/>
      <c r="I3150" s="261"/>
      <c r="J3150" s="261"/>
      <c r="K3150" s="261"/>
      <c r="L3150" s="261"/>
      <c r="M3150" s="261"/>
    </row>
    <row r="3151" spans="5:13">
      <c r="E3151" s="261"/>
      <c r="F3151" s="261"/>
      <c r="G3151" s="261"/>
      <c r="H3151" s="261"/>
      <c r="I3151" s="261"/>
      <c r="J3151" s="261"/>
      <c r="K3151" s="261"/>
      <c r="L3151" s="261"/>
      <c r="M3151" s="261"/>
    </row>
    <row r="3152" spans="5:13">
      <c r="E3152" s="261"/>
      <c r="F3152" s="261"/>
      <c r="G3152" s="261"/>
      <c r="H3152" s="261"/>
      <c r="I3152" s="261"/>
      <c r="J3152" s="261"/>
      <c r="K3152" s="261"/>
      <c r="L3152" s="261"/>
      <c r="M3152" s="261"/>
    </row>
    <row r="3153" spans="5:13">
      <c r="E3153" s="261"/>
      <c r="F3153" s="261"/>
      <c r="G3153" s="261"/>
      <c r="H3153" s="261"/>
      <c r="I3153" s="261"/>
      <c r="J3153" s="261"/>
      <c r="K3153" s="261"/>
      <c r="L3153" s="261"/>
      <c r="M3153" s="261"/>
    </row>
    <row r="3154" spans="5:13">
      <c r="E3154" s="261"/>
      <c r="F3154" s="261"/>
      <c r="G3154" s="261"/>
      <c r="H3154" s="261"/>
      <c r="I3154" s="261"/>
      <c r="J3154" s="261"/>
      <c r="K3154" s="261"/>
      <c r="L3154" s="261"/>
      <c r="M3154" s="261"/>
    </row>
    <row r="3155" spans="5:13">
      <c r="E3155" s="261"/>
      <c r="F3155" s="261"/>
      <c r="G3155" s="261"/>
      <c r="H3155" s="261"/>
      <c r="I3155" s="261"/>
      <c r="J3155" s="261"/>
      <c r="K3155" s="261"/>
      <c r="L3155" s="261"/>
      <c r="M3155" s="261"/>
    </row>
    <row r="3156" spans="5:13">
      <c r="E3156" s="261"/>
      <c r="F3156" s="261"/>
      <c r="G3156" s="261"/>
      <c r="H3156" s="261"/>
      <c r="I3156" s="261"/>
      <c r="J3156" s="261"/>
      <c r="K3156" s="261"/>
      <c r="L3156" s="261"/>
      <c r="M3156" s="261"/>
    </row>
    <row r="3157" spans="5:13">
      <c r="E3157" s="261"/>
      <c r="F3157" s="261"/>
      <c r="G3157" s="261"/>
      <c r="H3157" s="261"/>
      <c r="I3157" s="261"/>
      <c r="J3157" s="261"/>
      <c r="K3157" s="261"/>
      <c r="L3157" s="261"/>
      <c r="M3157" s="261"/>
    </row>
    <row r="3158" spans="5:13">
      <c r="E3158" s="261"/>
      <c r="F3158" s="261"/>
      <c r="G3158" s="261"/>
      <c r="H3158" s="261"/>
      <c r="I3158" s="261"/>
      <c r="J3158" s="261"/>
      <c r="K3158" s="261"/>
      <c r="L3158" s="261"/>
      <c r="M3158" s="261"/>
    </row>
    <row r="3159" spans="5:13">
      <c r="E3159" s="261"/>
      <c r="F3159" s="261"/>
      <c r="G3159" s="261"/>
      <c r="H3159" s="261"/>
      <c r="I3159" s="261"/>
      <c r="J3159" s="261"/>
      <c r="K3159" s="261"/>
      <c r="L3159" s="261"/>
      <c r="M3159" s="261"/>
    </row>
    <row r="3160" spans="5:13">
      <c r="E3160" s="261"/>
      <c r="F3160" s="261"/>
      <c r="G3160" s="261"/>
      <c r="H3160" s="261"/>
      <c r="I3160" s="261"/>
      <c r="J3160" s="261"/>
      <c r="K3160" s="261"/>
      <c r="L3160" s="261"/>
      <c r="M3160" s="261"/>
    </row>
    <row r="3161" spans="5:13">
      <c r="E3161" s="261"/>
      <c r="F3161" s="261"/>
      <c r="G3161" s="261"/>
      <c r="H3161" s="261"/>
      <c r="I3161" s="261"/>
      <c r="J3161" s="261"/>
      <c r="K3161" s="261"/>
      <c r="L3161" s="261"/>
      <c r="M3161" s="261"/>
    </row>
    <row r="3162" spans="5:13">
      <c r="E3162" s="261"/>
      <c r="F3162" s="261"/>
      <c r="G3162" s="261"/>
      <c r="H3162" s="261"/>
      <c r="I3162" s="261"/>
      <c r="J3162" s="261"/>
      <c r="K3162" s="261"/>
      <c r="L3162" s="261"/>
      <c r="M3162" s="261"/>
    </row>
    <row r="3163" spans="5:13">
      <c r="E3163" s="261"/>
      <c r="F3163" s="261"/>
      <c r="G3163" s="261"/>
      <c r="H3163" s="261"/>
      <c r="I3163" s="261"/>
      <c r="J3163" s="261"/>
      <c r="K3163" s="261"/>
      <c r="L3163" s="261"/>
      <c r="M3163" s="261"/>
    </row>
    <row r="3164" spans="5:13">
      <c r="E3164" s="261"/>
      <c r="F3164" s="261"/>
      <c r="G3164" s="261"/>
      <c r="H3164" s="261"/>
      <c r="I3164" s="261"/>
      <c r="J3164" s="261"/>
      <c r="K3164" s="261"/>
      <c r="L3164" s="261"/>
      <c r="M3164" s="261"/>
    </row>
    <row r="3165" spans="5:13">
      <c r="E3165" s="261"/>
      <c r="F3165" s="261"/>
      <c r="G3165" s="261"/>
      <c r="H3165" s="261"/>
      <c r="I3165" s="261"/>
      <c r="J3165" s="261"/>
      <c r="K3165" s="261"/>
      <c r="L3165" s="261"/>
      <c r="M3165" s="261"/>
    </row>
    <row r="3166" spans="5:13">
      <c r="E3166" s="261"/>
      <c r="F3166" s="261"/>
      <c r="G3166" s="261"/>
      <c r="H3166" s="261"/>
      <c r="I3166" s="261"/>
      <c r="J3166" s="261"/>
      <c r="K3166" s="261"/>
      <c r="L3166" s="261"/>
      <c r="M3166" s="261"/>
    </row>
    <row r="3167" spans="5:13">
      <c r="E3167" s="261"/>
      <c r="F3167" s="261"/>
      <c r="G3167" s="261"/>
      <c r="H3167" s="261"/>
      <c r="I3167" s="261"/>
      <c r="J3167" s="261"/>
      <c r="K3167" s="261"/>
      <c r="L3167" s="261"/>
      <c r="M3167" s="261"/>
    </row>
    <row r="3168" spans="5:13">
      <c r="E3168" s="261"/>
      <c r="F3168" s="261"/>
      <c r="G3168" s="261"/>
      <c r="H3168" s="261"/>
      <c r="I3168" s="261"/>
      <c r="J3168" s="261"/>
      <c r="K3168" s="261"/>
      <c r="L3168" s="261"/>
      <c r="M3168" s="261"/>
    </row>
    <row r="3169" spans="5:13">
      <c r="E3169" s="261"/>
      <c r="F3169" s="261"/>
      <c r="G3169" s="261"/>
      <c r="H3169" s="261"/>
      <c r="I3169" s="261"/>
      <c r="J3169" s="261"/>
      <c r="K3169" s="261"/>
      <c r="L3169" s="261"/>
      <c r="M3169" s="261"/>
    </row>
    <row r="3170" spans="5:13">
      <c r="E3170" s="261"/>
      <c r="F3170" s="261"/>
      <c r="G3170" s="261"/>
      <c r="H3170" s="261"/>
      <c r="I3170" s="261"/>
      <c r="J3170" s="261"/>
      <c r="K3170" s="261"/>
      <c r="L3170" s="261"/>
      <c r="M3170" s="261"/>
    </row>
    <row r="3171" spans="5:13">
      <c r="E3171" s="261"/>
      <c r="F3171" s="261"/>
      <c r="G3171" s="261"/>
      <c r="H3171" s="261"/>
      <c r="I3171" s="261"/>
      <c r="J3171" s="261"/>
      <c r="K3171" s="261"/>
      <c r="L3171" s="261"/>
      <c r="M3171" s="261"/>
    </row>
    <row r="3172" spans="5:13">
      <c r="E3172" s="261"/>
      <c r="F3172" s="261"/>
      <c r="G3172" s="261"/>
      <c r="H3172" s="261"/>
      <c r="I3172" s="261"/>
      <c r="J3172" s="261"/>
      <c r="K3172" s="261"/>
      <c r="L3172" s="261"/>
      <c r="M3172" s="261"/>
    </row>
    <row r="3173" spans="5:13">
      <c r="E3173" s="261"/>
      <c r="F3173" s="261"/>
      <c r="G3173" s="261"/>
      <c r="H3173" s="261"/>
      <c r="I3173" s="261"/>
      <c r="J3173" s="261"/>
      <c r="K3173" s="261"/>
      <c r="L3173" s="261"/>
      <c r="M3173" s="261"/>
    </row>
    <row r="3174" spans="5:13">
      <c r="E3174" s="261"/>
      <c r="F3174" s="261"/>
      <c r="G3174" s="261"/>
      <c r="H3174" s="261"/>
      <c r="I3174" s="261"/>
      <c r="J3174" s="261"/>
      <c r="K3174" s="261"/>
      <c r="L3174" s="261"/>
      <c r="M3174" s="261"/>
    </row>
    <row r="3175" spans="5:13">
      <c r="E3175" s="261"/>
      <c r="F3175" s="261"/>
      <c r="G3175" s="261"/>
      <c r="H3175" s="261"/>
      <c r="I3175" s="261"/>
      <c r="J3175" s="261"/>
      <c r="K3175" s="261"/>
      <c r="L3175" s="261"/>
      <c r="M3175" s="261"/>
    </row>
    <row r="3176" spans="5:13">
      <c r="E3176" s="261"/>
      <c r="F3176" s="261"/>
      <c r="G3176" s="261"/>
      <c r="H3176" s="261"/>
      <c r="I3176" s="261"/>
      <c r="J3176" s="261"/>
      <c r="K3176" s="261"/>
      <c r="L3176" s="261"/>
      <c r="M3176" s="261"/>
    </row>
    <row r="3177" spans="5:13">
      <c r="E3177" s="261"/>
      <c r="F3177" s="261"/>
      <c r="G3177" s="261"/>
      <c r="H3177" s="261"/>
      <c r="I3177" s="261"/>
      <c r="J3177" s="261"/>
      <c r="K3177" s="261"/>
      <c r="L3177" s="261"/>
      <c r="M3177" s="261"/>
    </row>
    <row r="3178" spans="5:13">
      <c r="E3178" s="261"/>
      <c r="F3178" s="261"/>
      <c r="G3178" s="261"/>
      <c r="H3178" s="261"/>
      <c r="I3178" s="261"/>
      <c r="J3178" s="261"/>
      <c r="K3178" s="261"/>
      <c r="L3178" s="261"/>
      <c r="M3178" s="261"/>
    </row>
    <row r="3179" spans="5:13">
      <c r="E3179" s="261"/>
      <c r="F3179" s="261"/>
      <c r="G3179" s="261"/>
      <c r="H3179" s="261"/>
      <c r="I3179" s="261"/>
      <c r="J3179" s="261"/>
      <c r="K3179" s="261"/>
      <c r="L3179" s="261"/>
      <c r="M3179" s="261"/>
    </row>
    <row r="3180" spans="5:13">
      <c r="E3180" s="261"/>
      <c r="F3180" s="261"/>
      <c r="G3180" s="261"/>
      <c r="H3180" s="261"/>
      <c r="I3180" s="261"/>
      <c r="J3180" s="261"/>
      <c r="K3180" s="261"/>
      <c r="L3180" s="261"/>
      <c r="M3180" s="261"/>
    </row>
    <row r="3181" spans="5:13">
      <c r="E3181" s="261"/>
      <c r="F3181" s="261"/>
      <c r="G3181" s="261"/>
      <c r="H3181" s="261"/>
      <c r="I3181" s="261"/>
      <c r="J3181" s="261"/>
      <c r="K3181" s="261"/>
      <c r="L3181" s="261"/>
      <c r="M3181" s="261"/>
    </row>
    <row r="3182" spans="5:13">
      <c r="E3182" s="261"/>
      <c r="F3182" s="261"/>
      <c r="G3182" s="261"/>
      <c r="H3182" s="261"/>
      <c r="I3182" s="261"/>
      <c r="J3182" s="261"/>
      <c r="K3182" s="261"/>
      <c r="L3182" s="261"/>
      <c r="M3182" s="261"/>
    </row>
    <row r="3183" spans="5:13">
      <c r="E3183" s="261"/>
      <c r="F3183" s="261"/>
      <c r="G3183" s="261"/>
      <c r="H3183" s="261"/>
      <c r="I3183" s="261"/>
      <c r="J3183" s="261"/>
      <c r="K3183" s="261"/>
      <c r="L3183" s="261"/>
      <c r="M3183" s="261"/>
    </row>
    <row r="3184" spans="5:13">
      <c r="E3184" s="261"/>
      <c r="F3184" s="261"/>
      <c r="G3184" s="261"/>
      <c r="H3184" s="261"/>
      <c r="I3184" s="261"/>
      <c r="J3184" s="261"/>
      <c r="K3184" s="261"/>
      <c r="L3184" s="261"/>
      <c r="M3184" s="261"/>
    </row>
    <row r="3185" spans="5:13">
      <c r="E3185" s="261"/>
      <c r="F3185" s="261"/>
      <c r="G3185" s="261"/>
      <c r="H3185" s="261"/>
      <c r="I3185" s="261"/>
      <c r="J3185" s="261"/>
      <c r="K3185" s="261"/>
      <c r="L3185" s="261"/>
      <c r="M3185" s="261"/>
    </row>
    <row r="3186" spans="5:13">
      <c r="E3186" s="261"/>
      <c r="F3186" s="261"/>
      <c r="G3186" s="261"/>
      <c r="H3186" s="261"/>
      <c r="I3186" s="261"/>
      <c r="J3186" s="261"/>
      <c r="K3186" s="261"/>
      <c r="L3186" s="261"/>
      <c r="M3186" s="261"/>
    </row>
    <row r="3187" spans="5:13">
      <c r="E3187" s="261"/>
      <c r="F3187" s="261"/>
      <c r="G3187" s="261"/>
      <c r="H3187" s="261"/>
      <c r="I3187" s="261"/>
      <c r="J3187" s="261"/>
      <c r="K3187" s="261"/>
      <c r="L3187" s="261"/>
      <c r="M3187" s="261"/>
    </row>
    <row r="3188" spans="5:13">
      <c r="E3188" s="261"/>
      <c r="F3188" s="261"/>
      <c r="G3188" s="261"/>
      <c r="H3188" s="261"/>
      <c r="I3188" s="261"/>
      <c r="J3188" s="261"/>
      <c r="K3188" s="261"/>
      <c r="L3188" s="261"/>
      <c r="M3188" s="261"/>
    </row>
    <row r="3189" spans="5:13">
      <c r="E3189" s="261"/>
      <c r="F3189" s="261"/>
      <c r="G3189" s="261"/>
      <c r="H3189" s="261"/>
      <c r="I3189" s="261"/>
      <c r="J3189" s="261"/>
      <c r="K3189" s="261"/>
      <c r="L3189" s="261"/>
      <c r="M3189" s="261"/>
    </row>
    <row r="3190" spans="5:13">
      <c r="E3190" s="261"/>
      <c r="F3190" s="261"/>
      <c r="G3190" s="261"/>
      <c r="H3190" s="261"/>
      <c r="I3190" s="261"/>
      <c r="J3190" s="261"/>
      <c r="K3190" s="261"/>
      <c r="L3190" s="261"/>
      <c r="M3190" s="261"/>
    </row>
    <row r="3191" spans="5:13">
      <c r="E3191" s="261"/>
      <c r="F3191" s="261"/>
      <c r="G3191" s="261"/>
      <c r="H3191" s="261"/>
      <c r="I3191" s="261"/>
      <c r="J3191" s="261"/>
      <c r="K3191" s="261"/>
      <c r="L3191" s="261"/>
      <c r="M3191" s="261"/>
    </row>
    <row r="3192" spans="5:13">
      <c r="E3192" s="261"/>
      <c r="F3192" s="261"/>
      <c r="G3192" s="261"/>
      <c r="H3192" s="261"/>
      <c r="I3192" s="261"/>
      <c r="J3192" s="261"/>
      <c r="K3192" s="261"/>
      <c r="L3192" s="261"/>
      <c r="M3192" s="261"/>
    </row>
    <row r="3193" spans="5:13">
      <c r="E3193" s="261"/>
      <c r="F3193" s="261"/>
      <c r="G3193" s="261"/>
      <c r="H3193" s="261"/>
      <c r="I3193" s="261"/>
      <c r="J3193" s="261"/>
      <c r="K3193" s="261"/>
      <c r="L3193" s="261"/>
      <c r="M3193" s="261"/>
    </row>
    <row r="3194" spans="5:13">
      <c r="E3194" s="261"/>
      <c r="F3194" s="261"/>
      <c r="G3194" s="261"/>
      <c r="H3194" s="261"/>
      <c r="I3194" s="261"/>
      <c r="J3194" s="261"/>
      <c r="K3194" s="261"/>
      <c r="L3194" s="261"/>
      <c r="M3194" s="261"/>
    </row>
    <row r="3195" spans="5:13">
      <c r="E3195" s="261"/>
      <c r="F3195" s="261"/>
      <c r="G3195" s="261"/>
      <c r="H3195" s="261"/>
      <c r="I3195" s="261"/>
      <c r="J3195" s="261"/>
      <c r="K3195" s="261"/>
      <c r="L3195" s="261"/>
      <c r="M3195" s="261"/>
    </row>
    <row r="3196" spans="5:13">
      <c r="E3196" s="261"/>
      <c r="F3196" s="261"/>
      <c r="G3196" s="261"/>
      <c r="H3196" s="261"/>
      <c r="I3196" s="261"/>
      <c r="J3196" s="261"/>
      <c r="K3196" s="261"/>
      <c r="L3196" s="261"/>
      <c r="M3196" s="261"/>
    </row>
    <row r="3197" spans="5:13">
      <c r="E3197" s="261"/>
      <c r="F3197" s="261"/>
      <c r="G3197" s="261"/>
      <c r="H3197" s="261"/>
      <c r="I3197" s="261"/>
      <c r="J3197" s="261"/>
      <c r="K3197" s="261"/>
      <c r="L3197" s="261"/>
      <c r="M3197" s="261"/>
    </row>
    <row r="3198" spans="5:13">
      <c r="E3198" s="261"/>
      <c r="F3198" s="261"/>
      <c r="G3198" s="261"/>
      <c r="H3198" s="261"/>
      <c r="I3198" s="261"/>
      <c r="J3198" s="261"/>
      <c r="K3198" s="261"/>
      <c r="L3198" s="261"/>
      <c r="M3198" s="261"/>
    </row>
    <row r="3199" spans="5:13">
      <c r="E3199" s="261"/>
      <c r="F3199" s="261"/>
      <c r="G3199" s="261"/>
      <c r="H3199" s="261"/>
      <c r="I3199" s="261"/>
      <c r="J3199" s="261"/>
      <c r="K3199" s="261"/>
      <c r="L3199" s="261"/>
      <c r="M3199" s="261"/>
    </row>
    <row r="3200" spans="5:13">
      <c r="E3200" s="261"/>
      <c r="F3200" s="261"/>
      <c r="G3200" s="261"/>
      <c r="H3200" s="261"/>
      <c r="I3200" s="261"/>
      <c r="J3200" s="261"/>
      <c r="K3200" s="261"/>
      <c r="L3200" s="261"/>
      <c r="M3200" s="261"/>
    </row>
    <row r="3201" spans="5:13">
      <c r="E3201" s="261"/>
      <c r="F3201" s="261"/>
      <c r="G3201" s="261"/>
      <c r="H3201" s="261"/>
      <c r="I3201" s="261"/>
      <c r="J3201" s="261"/>
      <c r="K3201" s="261"/>
      <c r="L3201" s="261"/>
      <c r="M3201" s="261"/>
    </row>
    <row r="3202" spans="5:13">
      <c r="E3202" s="261"/>
      <c r="F3202" s="261"/>
      <c r="G3202" s="261"/>
      <c r="H3202" s="261"/>
      <c r="I3202" s="261"/>
      <c r="J3202" s="261"/>
      <c r="K3202" s="261"/>
      <c r="L3202" s="261"/>
      <c r="M3202" s="261"/>
    </row>
    <row r="3203" spans="5:13">
      <c r="E3203" s="261"/>
      <c r="F3203" s="261"/>
      <c r="G3203" s="261"/>
      <c r="H3203" s="261"/>
      <c r="I3203" s="261"/>
      <c r="J3203" s="261"/>
      <c r="K3203" s="261"/>
      <c r="L3203" s="261"/>
      <c r="M3203" s="261"/>
    </row>
    <row r="3204" spans="5:13">
      <c r="E3204" s="261"/>
      <c r="F3204" s="261"/>
      <c r="G3204" s="261"/>
      <c r="H3204" s="261"/>
      <c r="I3204" s="261"/>
      <c r="J3204" s="261"/>
      <c r="K3204" s="261"/>
      <c r="L3204" s="261"/>
      <c r="M3204" s="261"/>
    </row>
    <row r="3205" spans="5:13">
      <c r="E3205" s="261"/>
      <c r="F3205" s="261"/>
      <c r="G3205" s="261"/>
      <c r="H3205" s="261"/>
      <c r="I3205" s="261"/>
      <c r="J3205" s="261"/>
      <c r="K3205" s="261"/>
      <c r="L3205" s="261"/>
      <c r="M3205" s="261"/>
    </row>
    <row r="3206" spans="5:13">
      <c r="E3206" s="261"/>
      <c r="F3206" s="261"/>
      <c r="G3206" s="261"/>
      <c r="H3206" s="261"/>
      <c r="I3206" s="261"/>
      <c r="J3206" s="261"/>
      <c r="K3206" s="261"/>
      <c r="L3206" s="261"/>
      <c r="M3206" s="261"/>
    </row>
    <row r="3207" spans="5:13">
      <c r="E3207" s="261"/>
      <c r="F3207" s="261"/>
      <c r="G3207" s="261"/>
      <c r="H3207" s="261"/>
      <c r="I3207" s="261"/>
      <c r="J3207" s="261"/>
      <c r="K3207" s="261"/>
      <c r="L3207" s="261"/>
      <c r="M3207" s="261"/>
    </row>
    <row r="3208" spans="5:13">
      <c r="E3208" s="261"/>
      <c r="F3208" s="261"/>
      <c r="G3208" s="261"/>
      <c r="H3208" s="261"/>
      <c r="I3208" s="261"/>
      <c r="J3208" s="261"/>
      <c r="K3208" s="261"/>
      <c r="L3208" s="261"/>
      <c r="M3208" s="261"/>
    </row>
    <row r="3209" spans="5:13">
      <c r="E3209" s="261"/>
      <c r="F3209" s="261"/>
      <c r="G3209" s="261"/>
      <c r="H3209" s="261"/>
      <c r="I3209" s="261"/>
      <c r="J3209" s="261"/>
      <c r="K3209" s="261"/>
      <c r="L3209" s="261"/>
      <c r="M3209" s="261"/>
    </row>
    <row r="3210" spans="5:13">
      <c r="E3210" s="261"/>
      <c r="F3210" s="261"/>
      <c r="G3210" s="261"/>
      <c r="H3210" s="261"/>
      <c r="I3210" s="261"/>
      <c r="J3210" s="261"/>
      <c r="K3210" s="261"/>
      <c r="L3210" s="261"/>
      <c r="M3210" s="261"/>
    </row>
    <row r="3211" spans="5:13">
      <c r="E3211" s="261"/>
      <c r="F3211" s="261"/>
      <c r="G3211" s="261"/>
      <c r="H3211" s="261"/>
      <c r="I3211" s="261"/>
      <c r="J3211" s="261"/>
      <c r="K3211" s="261"/>
      <c r="L3211" s="261"/>
      <c r="M3211" s="261"/>
    </row>
    <row r="3212" spans="5:13">
      <c r="E3212" s="261"/>
      <c r="F3212" s="261"/>
      <c r="G3212" s="261"/>
      <c r="H3212" s="261"/>
      <c r="I3212" s="261"/>
      <c r="J3212" s="261"/>
      <c r="K3212" s="261"/>
      <c r="L3212" s="261"/>
      <c r="M3212" s="261"/>
    </row>
    <row r="3213" spans="5:13">
      <c r="E3213" s="261"/>
      <c r="F3213" s="261"/>
      <c r="G3213" s="261"/>
      <c r="H3213" s="261"/>
      <c r="I3213" s="261"/>
      <c r="J3213" s="261"/>
      <c r="K3213" s="261"/>
      <c r="L3213" s="261"/>
      <c r="M3213" s="261"/>
    </row>
    <row r="3214" spans="5:13">
      <c r="E3214" s="261"/>
      <c r="F3214" s="261"/>
      <c r="G3214" s="261"/>
      <c r="H3214" s="261"/>
      <c r="I3214" s="261"/>
      <c r="J3214" s="261"/>
      <c r="K3214" s="261"/>
      <c r="L3214" s="261"/>
      <c r="M3214" s="261"/>
    </row>
    <row r="3215" spans="5:13">
      <c r="E3215" s="261"/>
      <c r="F3215" s="261"/>
      <c r="G3215" s="261"/>
      <c r="H3215" s="261"/>
      <c r="I3215" s="261"/>
      <c r="J3215" s="261"/>
      <c r="K3215" s="261"/>
      <c r="L3215" s="261"/>
      <c r="M3215" s="261"/>
    </row>
    <row r="3216" spans="5:13">
      <c r="E3216" s="261"/>
      <c r="F3216" s="261"/>
      <c r="G3216" s="261"/>
      <c r="H3216" s="261"/>
      <c r="I3216" s="261"/>
      <c r="J3216" s="261"/>
      <c r="K3216" s="261"/>
      <c r="L3216" s="261"/>
      <c r="M3216" s="261"/>
    </row>
    <row r="3217" spans="5:13">
      <c r="E3217" s="261"/>
      <c r="F3217" s="261"/>
      <c r="G3217" s="261"/>
      <c r="H3217" s="261"/>
      <c r="I3217" s="261"/>
      <c r="J3217" s="261"/>
      <c r="K3217" s="261"/>
      <c r="L3217" s="261"/>
      <c r="M3217" s="261"/>
    </row>
    <row r="3218" spans="5:13">
      <c r="E3218" s="261"/>
      <c r="F3218" s="261"/>
      <c r="G3218" s="261"/>
      <c r="H3218" s="261"/>
      <c r="I3218" s="261"/>
      <c r="J3218" s="261"/>
      <c r="K3218" s="261"/>
      <c r="L3218" s="261"/>
      <c r="M3218" s="261"/>
    </row>
    <row r="3219" spans="5:13">
      <c r="E3219" s="261"/>
      <c r="F3219" s="261"/>
      <c r="G3219" s="261"/>
      <c r="H3219" s="261"/>
      <c r="I3219" s="261"/>
      <c r="J3219" s="261"/>
      <c r="K3219" s="261"/>
      <c r="L3219" s="261"/>
      <c r="M3219" s="261"/>
    </row>
    <row r="3220" spans="5:13">
      <c r="E3220" s="261"/>
      <c r="F3220" s="261"/>
      <c r="G3220" s="261"/>
      <c r="H3220" s="261"/>
      <c r="I3220" s="261"/>
      <c r="J3220" s="261"/>
      <c r="K3220" s="261"/>
      <c r="L3220" s="261"/>
      <c r="M3220" s="261"/>
    </row>
    <row r="3221" spans="5:13">
      <c r="E3221" s="261"/>
      <c r="F3221" s="261"/>
      <c r="G3221" s="261"/>
      <c r="H3221" s="261"/>
      <c r="I3221" s="261"/>
      <c r="J3221" s="261"/>
      <c r="K3221" s="261"/>
      <c r="L3221" s="261"/>
      <c r="M3221" s="261"/>
    </row>
    <row r="3222" spans="5:13">
      <c r="E3222" s="261"/>
      <c r="F3222" s="261"/>
      <c r="G3222" s="261"/>
      <c r="H3222" s="261"/>
      <c r="I3222" s="261"/>
      <c r="J3222" s="261"/>
      <c r="K3222" s="261"/>
      <c r="L3222" s="261"/>
      <c r="M3222" s="261"/>
    </row>
    <row r="3223" spans="5:13">
      <c r="E3223" s="261"/>
      <c r="F3223" s="261"/>
      <c r="G3223" s="261"/>
      <c r="H3223" s="261"/>
      <c r="I3223" s="261"/>
      <c r="J3223" s="261"/>
      <c r="K3223" s="261"/>
      <c r="L3223" s="261"/>
      <c r="M3223" s="261"/>
    </row>
    <row r="3224" spans="5:13">
      <c r="E3224" s="261"/>
      <c r="F3224" s="261"/>
      <c r="G3224" s="261"/>
      <c r="H3224" s="261"/>
      <c r="I3224" s="261"/>
      <c r="J3224" s="261"/>
      <c r="K3224" s="261"/>
      <c r="L3224" s="261"/>
      <c r="M3224" s="261"/>
    </row>
    <row r="3225" spans="5:13">
      <c r="E3225" s="261"/>
      <c r="F3225" s="261"/>
      <c r="G3225" s="261"/>
      <c r="H3225" s="261"/>
      <c r="I3225" s="261"/>
      <c r="J3225" s="261"/>
      <c r="K3225" s="261"/>
      <c r="L3225" s="261"/>
      <c r="M3225" s="261"/>
    </row>
    <row r="3226" spans="5:13">
      <c r="E3226" s="261"/>
      <c r="F3226" s="261"/>
      <c r="G3226" s="261"/>
      <c r="H3226" s="261"/>
      <c r="I3226" s="261"/>
      <c r="J3226" s="261"/>
      <c r="K3226" s="261"/>
      <c r="L3226" s="261"/>
      <c r="M3226" s="261"/>
    </row>
    <row r="3227" spans="5:13">
      <c r="E3227" s="261"/>
      <c r="F3227" s="261"/>
      <c r="G3227" s="261"/>
      <c r="H3227" s="261"/>
      <c r="I3227" s="261"/>
      <c r="J3227" s="261"/>
      <c r="K3227" s="261"/>
      <c r="L3227" s="261"/>
      <c r="M3227" s="261"/>
    </row>
    <row r="3228" spans="5:13">
      <c r="E3228" s="261"/>
      <c r="F3228" s="261"/>
      <c r="G3228" s="261"/>
      <c r="H3228" s="261"/>
      <c r="I3228" s="261"/>
      <c r="J3228" s="261"/>
      <c r="K3228" s="261"/>
      <c r="L3228" s="261"/>
      <c r="M3228" s="261"/>
    </row>
    <row r="3229" spans="5:13">
      <c r="E3229" s="261"/>
      <c r="F3229" s="261"/>
      <c r="G3229" s="261"/>
      <c r="H3229" s="261"/>
      <c r="I3229" s="261"/>
      <c r="J3229" s="261"/>
      <c r="K3229" s="261"/>
      <c r="L3229" s="261"/>
      <c r="M3229" s="261"/>
    </row>
    <row r="3230" spans="5:13">
      <c r="E3230" s="261"/>
      <c r="F3230" s="261"/>
      <c r="G3230" s="261"/>
      <c r="H3230" s="261"/>
      <c r="I3230" s="261"/>
      <c r="J3230" s="261"/>
      <c r="K3230" s="261"/>
      <c r="L3230" s="261"/>
      <c r="M3230" s="261"/>
    </row>
    <row r="3231" spans="5:13">
      <c r="E3231" s="261"/>
      <c r="F3231" s="261"/>
      <c r="G3231" s="261"/>
      <c r="H3231" s="261"/>
      <c r="I3231" s="261"/>
      <c r="J3231" s="261"/>
      <c r="K3231" s="261"/>
      <c r="L3231" s="261"/>
      <c r="M3231" s="261"/>
    </row>
    <row r="3232" spans="5:13">
      <c r="E3232" s="261"/>
      <c r="F3232" s="261"/>
      <c r="G3232" s="261"/>
      <c r="H3232" s="261"/>
      <c r="I3232" s="261"/>
      <c r="J3232" s="261"/>
      <c r="K3232" s="261"/>
      <c r="L3232" s="261"/>
      <c r="M3232" s="261"/>
    </row>
    <row r="3233" spans="5:13">
      <c r="E3233" s="261"/>
      <c r="F3233" s="261"/>
      <c r="G3233" s="261"/>
      <c r="H3233" s="261"/>
      <c r="I3233" s="261"/>
      <c r="J3233" s="261"/>
      <c r="K3233" s="261"/>
      <c r="L3233" s="261"/>
      <c r="M3233" s="261"/>
    </row>
    <row r="3234" spans="5:13">
      <c r="E3234" s="261"/>
      <c r="F3234" s="261"/>
      <c r="G3234" s="261"/>
      <c r="H3234" s="261"/>
      <c r="I3234" s="261"/>
      <c r="J3234" s="261"/>
      <c r="K3234" s="261"/>
      <c r="L3234" s="261"/>
      <c r="M3234" s="261"/>
    </row>
    <row r="3235" spans="5:13">
      <c r="E3235" s="261"/>
      <c r="F3235" s="261"/>
      <c r="G3235" s="261"/>
      <c r="H3235" s="261"/>
      <c r="I3235" s="261"/>
      <c r="J3235" s="261"/>
      <c r="K3235" s="261"/>
      <c r="L3235" s="261"/>
      <c r="M3235" s="261"/>
    </row>
    <row r="3236" spans="5:13">
      <c r="E3236" s="261"/>
      <c r="F3236" s="261"/>
      <c r="G3236" s="261"/>
      <c r="H3236" s="261"/>
      <c r="I3236" s="261"/>
      <c r="J3236" s="261"/>
      <c r="K3236" s="261"/>
      <c r="L3236" s="261"/>
      <c r="M3236" s="261"/>
    </row>
    <row r="3237" spans="5:13">
      <c r="E3237" s="261"/>
      <c r="F3237" s="261"/>
      <c r="G3237" s="261"/>
      <c r="H3237" s="261"/>
      <c r="I3237" s="261"/>
      <c r="J3237" s="261"/>
      <c r="K3237" s="261"/>
      <c r="L3237" s="261"/>
      <c r="M3237" s="261"/>
    </row>
    <row r="3238" spans="5:13">
      <c r="E3238" s="261"/>
      <c r="F3238" s="261"/>
      <c r="G3238" s="261"/>
      <c r="H3238" s="261"/>
      <c r="I3238" s="261"/>
      <c r="J3238" s="261"/>
      <c r="K3238" s="261"/>
      <c r="L3238" s="261"/>
      <c r="M3238" s="261"/>
    </row>
    <row r="3239" spans="5:13">
      <c r="E3239" s="261"/>
      <c r="F3239" s="261"/>
      <c r="G3239" s="261"/>
      <c r="H3239" s="261"/>
      <c r="I3239" s="261"/>
      <c r="J3239" s="261"/>
      <c r="K3239" s="261"/>
      <c r="L3239" s="261"/>
      <c r="M3239" s="261"/>
    </row>
    <row r="3240" spans="5:13">
      <c r="E3240" s="261"/>
      <c r="F3240" s="261"/>
      <c r="G3240" s="261"/>
      <c r="H3240" s="261"/>
      <c r="I3240" s="261"/>
      <c r="J3240" s="261"/>
      <c r="K3240" s="261"/>
      <c r="L3240" s="261"/>
      <c r="M3240" s="261"/>
    </row>
    <row r="3241" spans="5:13">
      <c r="E3241" s="261"/>
      <c r="F3241" s="261"/>
      <c r="G3241" s="261"/>
      <c r="H3241" s="261"/>
      <c r="I3241" s="261"/>
      <c r="J3241" s="261"/>
      <c r="K3241" s="261"/>
      <c r="L3241" s="261"/>
      <c r="M3241" s="261"/>
    </row>
    <row r="3242" spans="5:13">
      <c r="E3242" s="261"/>
      <c r="F3242" s="261"/>
      <c r="G3242" s="261"/>
      <c r="H3242" s="261"/>
      <c r="I3242" s="261"/>
      <c r="J3242" s="261"/>
      <c r="K3242" s="261"/>
      <c r="L3242" s="261"/>
      <c r="M3242" s="261"/>
    </row>
    <row r="3243" spans="5:13">
      <c r="E3243" s="261"/>
      <c r="F3243" s="261"/>
      <c r="G3243" s="261"/>
      <c r="H3243" s="261"/>
      <c r="I3243" s="261"/>
      <c r="J3243" s="261"/>
      <c r="K3243" s="261"/>
      <c r="L3243" s="261"/>
      <c r="M3243" s="261"/>
    </row>
    <row r="3244" spans="5:13">
      <c r="E3244" s="261"/>
      <c r="F3244" s="261"/>
      <c r="G3244" s="261"/>
      <c r="H3244" s="261"/>
      <c r="I3244" s="261"/>
      <c r="J3244" s="261"/>
      <c r="K3244" s="261"/>
      <c r="L3244" s="261"/>
      <c r="M3244" s="261"/>
    </row>
    <row r="3245" spans="5:13">
      <c r="E3245" s="261"/>
      <c r="F3245" s="261"/>
      <c r="G3245" s="261"/>
      <c r="H3245" s="261"/>
      <c r="I3245" s="261"/>
      <c r="J3245" s="261"/>
      <c r="K3245" s="261"/>
      <c r="L3245" s="261"/>
      <c r="M3245" s="261"/>
    </row>
    <row r="3246" spans="5:13">
      <c r="E3246" s="261"/>
      <c r="F3246" s="261"/>
      <c r="G3246" s="261"/>
      <c r="H3246" s="261"/>
      <c r="I3246" s="261"/>
      <c r="J3246" s="261"/>
      <c r="K3246" s="261"/>
      <c r="L3246" s="261"/>
      <c r="M3246" s="261"/>
    </row>
    <row r="3247" spans="5:13">
      <c r="E3247" s="261"/>
      <c r="F3247" s="261"/>
      <c r="G3247" s="261"/>
      <c r="H3247" s="261"/>
      <c r="I3247" s="261"/>
      <c r="J3247" s="261"/>
      <c r="K3247" s="261"/>
      <c r="L3247" s="261"/>
      <c r="M3247" s="261"/>
    </row>
    <row r="3248" spans="5:13">
      <c r="E3248" s="261"/>
      <c r="F3248" s="261"/>
      <c r="G3248" s="261"/>
      <c r="H3248" s="261"/>
      <c r="I3248" s="261"/>
      <c r="J3248" s="261"/>
      <c r="K3248" s="261"/>
      <c r="L3248" s="261"/>
      <c r="M3248" s="261"/>
    </row>
    <row r="3249" spans="5:13">
      <c r="E3249" s="261"/>
      <c r="F3249" s="261"/>
      <c r="G3249" s="261"/>
      <c r="H3249" s="261"/>
      <c r="I3249" s="261"/>
      <c r="J3249" s="261"/>
      <c r="K3249" s="261"/>
      <c r="L3249" s="261"/>
      <c r="M3249" s="261"/>
    </row>
    <row r="3250" spans="5:13">
      <c r="E3250" s="261"/>
      <c r="F3250" s="261"/>
      <c r="G3250" s="261"/>
      <c r="H3250" s="261"/>
      <c r="I3250" s="261"/>
      <c r="J3250" s="261"/>
      <c r="K3250" s="261"/>
      <c r="L3250" s="261"/>
      <c r="M3250" s="261"/>
    </row>
    <row r="3251" spans="5:13">
      <c r="E3251" s="261"/>
      <c r="F3251" s="261"/>
      <c r="G3251" s="261"/>
      <c r="H3251" s="261"/>
      <c r="I3251" s="261"/>
      <c r="J3251" s="261"/>
      <c r="K3251" s="261"/>
      <c r="L3251" s="261"/>
      <c r="M3251" s="261"/>
    </row>
    <row r="3252" spans="5:13">
      <c r="E3252" s="261"/>
      <c r="F3252" s="261"/>
      <c r="G3252" s="261"/>
      <c r="H3252" s="261"/>
      <c r="I3252" s="261"/>
      <c r="J3252" s="261"/>
      <c r="K3252" s="261"/>
      <c r="L3252" s="261"/>
      <c r="M3252" s="261"/>
    </row>
    <row r="3253" spans="5:13">
      <c r="E3253" s="261"/>
      <c r="F3253" s="261"/>
      <c r="G3253" s="261"/>
      <c r="H3253" s="261"/>
      <c r="I3253" s="261"/>
      <c r="J3253" s="261"/>
      <c r="K3253" s="261"/>
      <c r="L3253" s="261"/>
      <c r="M3253" s="261"/>
    </row>
    <row r="3254" spans="5:13">
      <c r="E3254" s="261"/>
      <c r="F3254" s="261"/>
      <c r="G3254" s="261"/>
      <c r="H3254" s="261"/>
      <c r="I3254" s="261"/>
      <c r="J3254" s="261"/>
      <c r="K3254" s="261"/>
      <c r="L3254" s="261"/>
      <c r="M3254" s="261"/>
    </row>
    <row r="3255" spans="5:13">
      <c r="E3255" s="261"/>
      <c r="F3255" s="261"/>
      <c r="G3255" s="261"/>
      <c r="H3255" s="261"/>
      <c r="I3255" s="261"/>
      <c r="J3255" s="261"/>
      <c r="K3255" s="261"/>
      <c r="L3255" s="261"/>
      <c r="M3255" s="261"/>
    </row>
    <row r="3256" spans="5:13">
      <c r="E3256" s="261"/>
      <c r="F3256" s="261"/>
      <c r="G3256" s="261"/>
      <c r="H3256" s="261"/>
      <c r="I3256" s="261"/>
      <c r="J3256" s="261"/>
      <c r="K3256" s="261"/>
      <c r="L3256" s="261"/>
      <c r="M3256" s="261"/>
    </row>
    <row r="3257" spans="5:13">
      <c r="E3257" s="261"/>
      <c r="F3257" s="261"/>
      <c r="G3257" s="261"/>
      <c r="H3257" s="261"/>
      <c r="I3257" s="261"/>
      <c r="J3257" s="261"/>
      <c r="K3257" s="261"/>
      <c r="L3257" s="261"/>
      <c r="M3257" s="261"/>
    </row>
    <row r="3258" spans="5:13">
      <c r="E3258" s="261"/>
      <c r="F3258" s="261"/>
      <c r="G3258" s="261"/>
      <c r="H3258" s="261"/>
      <c r="I3258" s="261"/>
      <c r="J3258" s="261"/>
      <c r="K3258" s="261"/>
      <c r="L3258" s="261"/>
      <c r="M3258" s="261"/>
    </row>
    <row r="3259" spans="5:13">
      <c r="E3259" s="261"/>
      <c r="F3259" s="261"/>
      <c r="G3259" s="261"/>
      <c r="H3259" s="261"/>
      <c r="I3259" s="261"/>
      <c r="J3259" s="261"/>
      <c r="K3259" s="261"/>
      <c r="L3259" s="261"/>
      <c r="M3259" s="261"/>
    </row>
    <row r="3260" spans="5:13">
      <c r="E3260" s="261"/>
      <c r="F3260" s="261"/>
      <c r="G3260" s="261"/>
      <c r="H3260" s="261"/>
      <c r="I3260" s="261"/>
      <c r="J3260" s="261"/>
      <c r="K3260" s="261"/>
      <c r="L3260" s="261"/>
      <c r="M3260" s="261"/>
    </row>
    <row r="3261" spans="5:13">
      <c r="E3261" s="261"/>
      <c r="F3261" s="261"/>
      <c r="G3261" s="261"/>
      <c r="H3261" s="261"/>
      <c r="I3261" s="261"/>
      <c r="J3261" s="261"/>
      <c r="K3261" s="261"/>
      <c r="L3261" s="261"/>
      <c r="M3261" s="261"/>
    </row>
    <row r="3262" spans="5:13">
      <c r="E3262" s="261"/>
      <c r="F3262" s="261"/>
      <c r="G3262" s="261"/>
      <c r="H3262" s="261"/>
      <c r="I3262" s="261"/>
      <c r="J3262" s="261"/>
      <c r="K3262" s="261"/>
      <c r="L3262" s="261"/>
      <c r="M3262" s="261"/>
    </row>
    <row r="3263" spans="5:13">
      <c r="E3263" s="261"/>
      <c r="F3263" s="261"/>
      <c r="G3263" s="261"/>
      <c r="H3263" s="261"/>
      <c r="I3263" s="261"/>
      <c r="J3263" s="261"/>
      <c r="K3263" s="261"/>
      <c r="L3263" s="261"/>
      <c r="M3263" s="261"/>
    </row>
    <row r="3264" spans="5:13">
      <c r="E3264" s="261"/>
      <c r="F3264" s="261"/>
      <c r="G3264" s="261"/>
      <c r="H3264" s="261"/>
      <c r="I3264" s="261"/>
      <c r="J3264" s="261"/>
      <c r="K3264" s="261"/>
      <c r="L3264" s="261"/>
      <c r="M3264" s="261"/>
    </row>
    <row r="3265" spans="5:13">
      <c r="E3265" s="261"/>
      <c r="F3265" s="261"/>
      <c r="G3265" s="261"/>
      <c r="H3265" s="261"/>
      <c r="I3265" s="261"/>
      <c r="J3265" s="261"/>
      <c r="K3265" s="261"/>
      <c r="L3265" s="261"/>
      <c r="M3265" s="261"/>
    </row>
    <row r="3266" spans="5:13">
      <c r="E3266" s="261"/>
      <c r="F3266" s="261"/>
      <c r="G3266" s="261"/>
      <c r="H3266" s="261"/>
      <c r="I3266" s="261"/>
      <c r="J3266" s="261"/>
      <c r="K3266" s="261"/>
      <c r="L3266" s="261"/>
      <c r="M3266" s="261"/>
    </row>
    <row r="3267" spans="5:13">
      <c r="E3267" s="261"/>
      <c r="F3267" s="261"/>
      <c r="G3267" s="261"/>
      <c r="H3267" s="261"/>
      <c r="I3267" s="261"/>
      <c r="J3267" s="261"/>
      <c r="K3267" s="261"/>
      <c r="L3267" s="261"/>
      <c r="M3267" s="261"/>
    </row>
    <row r="3268" spans="5:13">
      <c r="E3268" s="261"/>
      <c r="F3268" s="261"/>
      <c r="G3268" s="261"/>
      <c r="H3268" s="261"/>
      <c r="I3268" s="261"/>
      <c r="J3268" s="261"/>
      <c r="K3268" s="261"/>
      <c r="L3268" s="261"/>
      <c r="M3268" s="261"/>
    </row>
    <row r="3269" spans="5:13">
      <c r="E3269" s="261"/>
      <c r="F3269" s="261"/>
      <c r="G3269" s="261"/>
      <c r="H3269" s="261"/>
      <c r="I3269" s="261"/>
      <c r="J3269" s="261"/>
      <c r="K3269" s="261"/>
      <c r="L3269" s="261"/>
      <c r="M3269" s="261"/>
    </row>
    <row r="3270" spans="5:13">
      <c r="E3270" s="261"/>
      <c r="F3270" s="261"/>
      <c r="G3270" s="261"/>
      <c r="H3270" s="261"/>
      <c r="I3270" s="261"/>
      <c r="J3270" s="261"/>
      <c r="K3270" s="261"/>
      <c r="L3270" s="261"/>
      <c r="M3270" s="261"/>
    </row>
    <row r="3271" spans="5:13">
      <c r="E3271" s="261"/>
      <c r="F3271" s="261"/>
      <c r="G3271" s="261"/>
      <c r="H3271" s="261"/>
      <c r="I3271" s="261"/>
      <c r="J3271" s="261"/>
      <c r="K3271" s="261"/>
      <c r="L3271" s="261"/>
      <c r="M3271" s="261"/>
    </row>
    <row r="3272" spans="5:13">
      <c r="E3272" s="261"/>
      <c r="F3272" s="261"/>
      <c r="G3272" s="261"/>
      <c r="H3272" s="261"/>
      <c r="I3272" s="261"/>
      <c r="J3272" s="261"/>
      <c r="K3272" s="261"/>
      <c r="L3272" s="261"/>
      <c r="M3272" s="261"/>
    </row>
    <row r="3273" spans="5:13">
      <c r="E3273" s="261"/>
      <c r="F3273" s="261"/>
      <c r="G3273" s="261"/>
      <c r="H3273" s="261"/>
      <c r="I3273" s="261"/>
      <c r="J3273" s="261"/>
      <c r="K3273" s="261"/>
      <c r="L3273" s="261"/>
      <c r="M3273" s="261"/>
    </row>
    <row r="3274" spans="5:13">
      <c r="E3274" s="261"/>
      <c r="F3274" s="261"/>
      <c r="G3274" s="261"/>
      <c r="H3274" s="261"/>
      <c r="I3274" s="261"/>
      <c r="J3274" s="261"/>
      <c r="K3274" s="261"/>
      <c r="L3274" s="261"/>
      <c r="M3274" s="261"/>
    </row>
    <row r="3275" spans="5:13">
      <c r="E3275" s="261"/>
      <c r="F3275" s="261"/>
      <c r="G3275" s="261"/>
      <c r="H3275" s="261"/>
      <c r="I3275" s="261"/>
      <c r="J3275" s="261"/>
      <c r="K3275" s="261"/>
      <c r="L3275" s="261"/>
      <c r="M3275" s="261"/>
    </row>
    <row r="3276" spans="5:13">
      <c r="E3276" s="261"/>
      <c r="F3276" s="261"/>
      <c r="G3276" s="261"/>
      <c r="H3276" s="261"/>
      <c r="I3276" s="261"/>
      <c r="J3276" s="261"/>
      <c r="K3276" s="261"/>
      <c r="L3276" s="261"/>
      <c r="M3276" s="261"/>
    </row>
    <row r="3277" spans="5:13">
      <c r="E3277" s="261"/>
      <c r="F3277" s="261"/>
      <c r="G3277" s="261"/>
      <c r="H3277" s="261"/>
      <c r="I3277" s="261"/>
      <c r="J3277" s="261"/>
      <c r="K3277" s="261"/>
      <c r="L3277" s="261"/>
      <c r="M3277" s="261"/>
    </row>
    <row r="3278" spans="5:13">
      <c r="E3278" s="261"/>
      <c r="F3278" s="261"/>
      <c r="G3278" s="261"/>
      <c r="H3278" s="261"/>
      <c r="I3278" s="261"/>
      <c r="J3278" s="261"/>
      <c r="K3278" s="261"/>
      <c r="L3278" s="261"/>
      <c r="M3278" s="261"/>
    </row>
    <row r="3279" spans="5:13">
      <c r="E3279" s="261"/>
      <c r="F3279" s="261"/>
      <c r="G3279" s="261"/>
      <c r="H3279" s="261"/>
      <c r="I3279" s="261"/>
      <c r="J3279" s="261"/>
      <c r="K3279" s="261"/>
      <c r="L3279" s="261"/>
      <c r="M3279" s="261"/>
    </row>
    <row r="3280" spans="5:13">
      <c r="E3280" s="261"/>
      <c r="F3280" s="261"/>
      <c r="G3280" s="261"/>
      <c r="H3280" s="261"/>
      <c r="I3280" s="261"/>
      <c r="J3280" s="261"/>
      <c r="K3280" s="261"/>
      <c r="L3280" s="261"/>
      <c r="M3280" s="261"/>
    </row>
    <row r="3281" spans="5:13">
      <c r="E3281" s="261"/>
      <c r="F3281" s="261"/>
      <c r="G3281" s="261"/>
      <c r="H3281" s="261"/>
      <c r="I3281" s="261"/>
      <c r="J3281" s="261"/>
      <c r="K3281" s="261"/>
      <c r="L3281" s="261"/>
      <c r="M3281" s="261"/>
    </row>
    <row r="3282" spans="5:13">
      <c r="E3282" s="261"/>
      <c r="F3282" s="261"/>
      <c r="G3282" s="261"/>
      <c r="H3282" s="261"/>
      <c r="I3282" s="261"/>
      <c r="J3282" s="261"/>
      <c r="K3282" s="261"/>
      <c r="L3282" s="261"/>
      <c r="M3282" s="261"/>
    </row>
    <row r="3283" spans="5:13">
      <c r="E3283" s="261"/>
      <c r="F3283" s="261"/>
      <c r="G3283" s="261"/>
      <c r="H3283" s="261"/>
      <c r="I3283" s="261"/>
      <c r="J3283" s="261"/>
      <c r="K3283" s="261"/>
      <c r="L3283" s="261"/>
      <c r="M3283" s="261"/>
    </row>
    <row r="3284" spans="5:13">
      <c r="E3284" s="261"/>
      <c r="F3284" s="261"/>
      <c r="G3284" s="261"/>
      <c r="H3284" s="261"/>
      <c r="I3284" s="261"/>
      <c r="J3284" s="261"/>
      <c r="K3284" s="261"/>
      <c r="L3284" s="261"/>
      <c r="M3284" s="261"/>
    </row>
    <row r="3285" spans="5:13">
      <c r="E3285" s="261"/>
      <c r="F3285" s="261"/>
      <c r="G3285" s="261"/>
      <c r="H3285" s="261"/>
      <c r="I3285" s="261"/>
      <c r="J3285" s="261"/>
      <c r="K3285" s="261"/>
      <c r="L3285" s="261"/>
      <c r="M3285" s="261"/>
    </row>
    <row r="3286" spans="5:13">
      <c r="E3286" s="261"/>
      <c r="F3286" s="261"/>
      <c r="G3286" s="261"/>
      <c r="H3286" s="261"/>
      <c r="I3286" s="261"/>
      <c r="J3286" s="261"/>
      <c r="K3286" s="261"/>
      <c r="L3286" s="261"/>
      <c r="M3286" s="261"/>
    </row>
    <row r="3287" spans="5:13">
      <c r="E3287" s="261"/>
      <c r="F3287" s="261"/>
      <c r="G3287" s="261"/>
      <c r="H3287" s="261"/>
      <c r="I3287" s="261"/>
      <c r="J3287" s="261"/>
      <c r="K3287" s="261"/>
      <c r="L3287" s="261"/>
      <c r="M3287" s="261"/>
    </row>
    <row r="3288" spans="5:13">
      <c r="E3288" s="261"/>
      <c r="F3288" s="261"/>
      <c r="G3288" s="261"/>
      <c r="H3288" s="261"/>
      <c r="I3288" s="261"/>
      <c r="J3288" s="261"/>
      <c r="K3288" s="261"/>
      <c r="L3288" s="261"/>
      <c r="M3288" s="261"/>
    </row>
    <row r="3289" spans="5:13">
      <c r="E3289" s="261"/>
      <c r="F3289" s="261"/>
      <c r="G3289" s="261"/>
      <c r="H3289" s="261"/>
      <c r="I3289" s="261"/>
      <c r="J3289" s="261"/>
      <c r="K3289" s="261"/>
      <c r="L3289" s="261"/>
      <c r="M3289" s="261"/>
    </row>
    <row r="3290" spans="5:13">
      <c r="E3290" s="261"/>
      <c r="F3290" s="261"/>
      <c r="G3290" s="261"/>
      <c r="H3290" s="261"/>
      <c r="I3290" s="261"/>
      <c r="J3290" s="261"/>
      <c r="K3290" s="261"/>
      <c r="L3290" s="261"/>
      <c r="M3290" s="261"/>
    </row>
    <row r="3291" spans="5:13">
      <c r="E3291" s="261"/>
      <c r="F3291" s="261"/>
      <c r="G3291" s="261"/>
      <c r="H3291" s="261"/>
      <c r="I3291" s="261"/>
      <c r="J3291" s="261"/>
      <c r="K3291" s="261"/>
      <c r="L3291" s="261"/>
      <c r="M3291" s="261"/>
    </row>
    <row r="3292" spans="5:13">
      <c r="E3292" s="261"/>
      <c r="F3292" s="261"/>
      <c r="G3292" s="261"/>
      <c r="H3292" s="261"/>
      <c r="I3292" s="261"/>
      <c r="J3292" s="261"/>
      <c r="K3292" s="261"/>
      <c r="L3292" s="261"/>
      <c r="M3292" s="261"/>
    </row>
    <row r="3293" spans="5:13">
      <c r="E3293" s="261"/>
      <c r="F3293" s="261"/>
      <c r="G3293" s="261"/>
      <c r="H3293" s="261"/>
      <c r="I3293" s="261"/>
      <c r="J3293" s="261"/>
      <c r="K3293" s="261"/>
      <c r="L3293" s="261"/>
      <c r="M3293" s="261"/>
    </row>
    <row r="3294" spans="5:13">
      <c r="E3294" s="261"/>
      <c r="F3294" s="261"/>
      <c r="G3294" s="261"/>
      <c r="H3294" s="261"/>
      <c r="I3294" s="261"/>
      <c r="J3294" s="261"/>
      <c r="K3294" s="261"/>
      <c r="L3294" s="261"/>
      <c r="M3294" s="261"/>
    </row>
    <row r="3295" spans="5:13">
      <c r="E3295" s="261"/>
      <c r="F3295" s="261"/>
      <c r="G3295" s="261"/>
      <c r="H3295" s="261"/>
      <c r="I3295" s="261"/>
      <c r="J3295" s="261"/>
      <c r="K3295" s="261"/>
      <c r="L3295" s="261"/>
      <c r="M3295" s="261"/>
    </row>
    <row r="3296" spans="5:13">
      <c r="E3296" s="261"/>
      <c r="F3296" s="261"/>
      <c r="G3296" s="261"/>
      <c r="H3296" s="261"/>
      <c r="I3296" s="261"/>
      <c r="J3296" s="261"/>
      <c r="K3296" s="261"/>
      <c r="L3296" s="261"/>
      <c r="M3296" s="261"/>
    </row>
    <row r="3297" spans="5:13">
      <c r="E3297" s="261"/>
      <c r="F3297" s="261"/>
      <c r="G3297" s="261"/>
      <c r="H3297" s="261"/>
      <c r="I3297" s="261"/>
      <c r="J3297" s="261"/>
      <c r="K3297" s="261"/>
      <c r="L3297" s="261"/>
      <c r="M3297" s="261"/>
    </row>
    <row r="3298" spans="5:13">
      <c r="E3298" s="261"/>
      <c r="F3298" s="261"/>
      <c r="G3298" s="261"/>
      <c r="H3298" s="261"/>
      <c r="I3298" s="261"/>
      <c r="J3298" s="261"/>
      <c r="K3298" s="261"/>
      <c r="L3298" s="261"/>
      <c r="M3298" s="261"/>
    </row>
    <row r="3299" spans="5:13">
      <c r="E3299" s="261"/>
      <c r="F3299" s="261"/>
      <c r="G3299" s="261"/>
      <c r="H3299" s="261"/>
      <c r="I3299" s="261"/>
      <c r="J3299" s="261"/>
      <c r="K3299" s="261"/>
      <c r="L3299" s="261"/>
      <c r="M3299" s="261"/>
    </row>
    <row r="3300" spans="5:13">
      <c r="E3300" s="261"/>
      <c r="F3300" s="261"/>
      <c r="G3300" s="261"/>
      <c r="H3300" s="261"/>
      <c r="I3300" s="261"/>
      <c r="J3300" s="261"/>
      <c r="K3300" s="261"/>
      <c r="L3300" s="261"/>
      <c r="M3300" s="261"/>
    </row>
    <row r="3301" spans="5:13">
      <c r="E3301" s="261"/>
      <c r="F3301" s="261"/>
      <c r="G3301" s="261"/>
      <c r="H3301" s="261"/>
      <c r="I3301" s="261"/>
      <c r="J3301" s="261"/>
      <c r="K3301" s="261"/>
      <c r="L3301" s="261"/>
      <c r="M3301" s="261"/>
    </row>
    <row r="3302" spans="5:13">
      <c r="E3302" s="261"/>
      <c r="F3302" s="261"/>
      <c r="G3302" s="261"/>
      <c r="H3302" s="261"/>
      <c r="I3302" s="261"/>
      <c r="J3302" s="261"/>
      <c r="K3302" s="261"/>
      <c r="L3302" s="261"/>
      <c r="M3302" s="261"/>
    </row>
    <row r="3303" spans="5:13">
      <c r="E3303" s="261"/>
      <c r="F3303" s="261"/>
      <c r="G3303" s="261"/>
      <c r="H3303" s="261"/>
      <c r="I3303" s="261"/>
      <c r="J3303" s="261"/>
      <c r="K3303" s="261"/>
      <c r="L3303" s="261"/>
      <c r="M3303" s="261"/>
    </row>
    <row r="3304" spans="5:13">
      <c r="E3304" s="261"/>
      <c r="F3304" s="261"/>
      <c r="G3304" s="261"/>
      <c r="H3304" s="261"/>
      <c r="I3304" s="261"/>
      <c r="J3304" s="261"/>
      <c r="K3304" s="261"/>
      <c r="L3304" s="261"/>
      <c r="M3304" s="261"/>
    </row>
    <row r="3305" spans="5:13">
      <c r="E3305" s="261"/>
      <c r="F3305" s="261"/>
      <c r="G3305" s="261"/>
      <c r="H3305" s="261"/>
      <c r="I3305" s="261"/>
      <c r="J3305" s="261"/>
      <c r="K3305" s="261"/>
      <c r="L3305" s="261"/>
      <c r="M3305" s="261"/>
    </row>
    <row r="3306" spans="5:13">
      <c r="E3306" s="261"/>
      <c r="F3306" s="261"/>
      <c r="G3306" s="261"/>
      <c r="H3306" s="261"/>
      <c r="I3306" s="261"/>
      <c r="J3306" s="261"/>
      <c r="K3306" s="261"/>
      <c r="L3306" s="261"/>
      <c r="M3306" s="261"/>
    </row>
    <row r="3307" spans="5:13">
      <c r="E3307" s="261"/>
      <c r="F3307" s="261"/>
      <c r="G3307" s="261"/>
      <c r="H3307" s="261"/>
      <c r="I3307" s="261"/>
      <c r="J3307" s="261"/>
      <c r="K3307" s="261"/>
      <c r="L3307" s="261"/>
      <c r="M3307" s="261"/>
    </row>
    <row r="3308" spans="5:13">
      <c r="E3308" s="261"/>
      <c r="F3308" s="261"/>
      <c r="G3308" s="261"/>
      <c r="H3308" s="261"/>
      <c r="I3308" s="261"/>
      <c r="J3308" s="261"/>
      <c r="K3308" s="261"/>
      <c r="L3308" s="261"/>
      <c r="M3308" s="261"/>
    </row>
    <row r="3309" spans="5:13">
      <c r="E3309" s="261"/>
      <c r="F3309" s="261"/>
      <c r="G3309" s="261"/>
      <c r="H3309" s="261"/>
      <c r="I3309" s="261"/>
      <c r="J3309" s="261"/>
      <c r="K3309" s="261"/>
      <c r="L3309" s="261"/>
      <c r="M3309" s="261"/>
    </row>
    <row r="3310" spans="5:13">
      <c r="E3310" s="261"/>
      <c r="F3310" s="261"/>
      <c r="G3310" s="261"/>
      <c r="H3310" s="261"/>
      <c r="I3310" s="261"/>
      <c r="J3310" s="261"/>
      <c r="K3310" s="261"/>
      <c r="L3310" s="261"/>
      <c r="M3310" s="261"/>
    </row>
    <row r="3311" spans="5:13">
      <c r="E3311" s="261"/>
      <c r="F3311" s="261"/>
      <c r="G3311" s="261"/>
      <c r="H3311" s="261"/>
      <c r="I3311" s="261"/>
      <c r="J3311" s="261"/>
      <c r="K3311" s="261"/>
      <c r="L3311" s="261"/>
      <c r="M3311" s="261"/>
    </row>
    <row r="3312" spans="5:13">
      <c r="E3312" s="261"/>
      <c r="F3312" s="261"/>
      <c r="G3312" s="261"/>
      <c r="H3312" s="261"/>
      <c r="I3312" s="261"/>
      <c r="J3312" s="261"/>
      <c r="K3312" s="261"/>
      <c r="L3312" s="261"/>
      <c r="M3312" s="261"/>
    </row>
    <row r="3313" spans="5:13">
      <c r="E3313" s="261"/>
      <c r="F3313" s="261"/>
      <c r="G3313" s="261"/>
      <c r="H3313" s="261"/>
      <c r="I3313" s="261"/>
      <c r="J3313" s="261"/>
      <c r="K3313" s="261"/>
      <c r="L3313" s="261"/>
      <c r="M3313" s="261"/>
    </row>
    <row r="3314" spans="5:13">
      <c r="E3314" s="261"/>
      <c r="F3314" s="261"/>
      <c r="G3314" s="261"/>
      <c r="H3314" s="261"/>
      <c r="I3314" s="261"/>
      <c r="J3314" s="261"/>
      <c r="K3314" s="261"/>
      <c r="L3314" s="261"/>
      <c r="M3314" s="261"/>
    </row>
    <row r="3315" spans="5:13">
      <c r="E3315" s="261"/>
      <c r="F3315" s="261"/>
      <c r="G3315" s="261"/>
      <c r="H3315" s="261"/>
      <c r="I3315" s="261"/>
      <c r="J3315" s="261"/>
      <c r="K3315" s="261"/>
      <c r="L3315" s="261"/>
      <c r="M3315" s="261"/>
    </row>
    <row r="3316" spans="5:13">
      <c r="E3316" s="261"/>
      <c r="F3316" s="261"/>
      <c r="G3316" s="261"/>
      <c r="H3316" s="261"/>
      <c r="I3316" s="261"/>
      <c r="J3316" s="261"/>
      <c r="K3316" s="261"/>
      <c r="L3316" s="261"/>
      <c r="M3316" s="261"/>
    </row>
    <row r="3317" spans="5:13">
      <c r="E3317" s="261"/>
      <c r="F3317" s="261"/>
      <c r="G3317" s="261"/>
      <c r="H3317" s="261"/>
      <c r="I3317" s="261"/>
      <c r="J3317" s="261"/>
      <c r="K3317" s="261"/>
      <c r="L3317" s="261"/>
      <c r="M3317" s="261"/>
    </row>
    <row r="3318" spans="5:13">
      <c r="E3318" s="261"/>
      <c r="F3318" s="261"/>
      <c r="G3318" s="261"/>
      <c r="H3318" s="261"/>
      <c r="I3318" s="261"/>
      <c r="J3318" s="261"/>
      <c r="K3318" s="261"/>
      <c r="L3318" s="261"/>
      <c r="M3318" s="261"/>
    </row>
    <row r="3319" spans="5:13">
      <c r="E3319" s="261"/>
      <c r="F3319" s="261"/>
      <c r="G3319" s="261"/>
      <c r="H3319" s="261"/>
      <c r="I3319" s="261"/>
      <c r="J3319" s="261"/>
      <c r="K3319" s="261"/>
      <c r="L3319" s="261"/>
      <c r="M3319" s="261"/>
    </row>
    <row r="3320" spans="5:13">
      <c r="E3320" s="261"/>
      <c r="F3320" s="261"/>
      <c r="G3320" s="261"/>
      <c r="H3320" s="261"/>
      <c r="I3320" s="261"/>
      <c r="J3320" s="261"/>
      <c r="K3320" s="261"/>
      <c r="L3320" s="261"/>
      <c r="M3320" s="261"/>
    </row>
    <row r="3321" spans="5:13">
      <c r="E3321" s="261"/>
      <c r="F3321" s="261"/>
      <c r="G3321" s="261"/>
      <c r="H3321" s="261"/>
      <c r="I3321" s="261"/>
      <c r="J3321" s="261"/>
      <c r="K3321" s="261"/>
      <c r="L3321" s="261"/>
      <c r="M3321" s="261"/>
    </row>
    <row r="3322" spans="5:13">
      <c r="E3322" s="261"/>
      <c r="F3322" s="261"/>
      <c r="G3322" s="261"/>
      <c r="H3322" s="261"/>
      <c r="I3322" s="261"/>
      <c r="J3322" s="261"/>
      <c r="K3322" s="261"/>
      <c r="L3322" s="261"/>
      <c r="M3322" s="261"/>
    </row>
    <row r="3323" spans="5:13">
      <c r="E3323" s="261"/>
      <c r="F3323" s="261"/>
      <c r="G3323" s="261"/>
      <c r="H3323" s="261"/>
      <c r="I3323" s="261"/>
      <c r="J3323" s="261"/>
      <c r="K3323" s="261"/>
      <c r="L3323" s="261"/>
      <c r="M3323" s="261"/>
    </row>
    <row r="3324" spans="5:13">
      <c r="E3324" s="261"/>
      <c r="F3324" s="261"/>
      <c r="G3324" s="261"/>
      <c r="H3324" s="261"/>
      <c r="I3324" s="261"/>
      <c r="J3324" s="261"/>
      <c r="K3324" s="261"/>
      <c r="L3324" s="261"/>
      <c r="M3324" s="261"/>
    </row>
    <row r="3325" spans="5:13">
      <c r="E3325" s="261"/>
      <c r="F3325" s="261"/>
      <c r="G3325" s="261"/>
      <c r="H3325" s="261"/>
      <c r="I3325" s="261"/>
      <c r="J3325" s="261"/>
      <c r="K3325" s="261"/>
      <c r="L3325" s="261"/>
      <c r="M3325" s="261"/>
    </row>
    <row r="3326" spans="5:13">
      <c r="E3326" s="261"/>
      <c r="F3326" s="261"/>
      <c r="G3326" s="261"/>
      <c r="H3326" s="261"/>
      <c r="I3326" s="261"/>
      <c r="J3326" s="261"/>
      <c r="K3326" s="261"/>
      <c r="L3326" s="261"/>
      <c r="M3326" s="261"/>
    </row>
    <row r="3327" spans="5:13">
      <c r="E3327" s="261"/>
      <c r="F3327" s="261"/>
      <c r="G3327" s="261"/>
      <c r="H3327" s="261"/>
      <c r="I3327" s="261"/>
      <c r="J3327" s="261"/>
      <c r="K3327" s="261"/>
      <c r="L3327" s="261"/>
      <c r="M3327" s="261"/>
    </row>
    <row r="3328" spans="5:13">
      <c r="E3328" s="261"/>
      <c r="F3328" s="261"/>
      <c r="G3328" s="261"/>
      <c r="H3328" s="261"/>
      <c r="I3328" s="261"/>
      <c r="J3328" s="261"/>
      <c r="K3328" s="261"/>
      <c r="L3328" s="261"/>
      <c r="M3328" s="261"/>
    </row>
    <row r="3329" spans="5:13">
      <c r="E3329" s="261"/>
      <c r="F3329" s="261"/>
      <c r="G3329" s="261"/>
      <c r="H3329" s="261"/>
      <c r="I3329" s="261"/>
      <c r="J3329" s="261"/>
      <c r="K3329" s="261"/>
      <c r="L3329" s="261"/>
      <c r="M3329" s="261"/>
    </row>
    <row r="3330" spans="5:13">
      <c r="E3330" s="261"/>
      <c r="F3330" s="261"/>
      <c r="G3330" s="261"/>
      <c r="H3330" s="261"/>
      <c r="I3330" s="261"/>
      <c r="J3330" s="261"/>
      <c r="K3330" s="261"/>
      <c r="L3330" s="261"/>
      <c r="M3330" s="261"/>
    </row>
    <row r="3331" spans="5:13">
      <c r="E3331" s="261"/>
      <c r="F3331" s="261"/>
      <c r="G3331" s="261"/>
      <c r="H3331" s="261"/>
      <c r="I3331" s="261"/>
      <c r="J3331" s="261"/>
      <c r="K3331" s="261"/>
      <c r="L3331" s="261"/>
      <c r="M3331" s="261"/>
    </row>
    <row r="3332" spans="5:13">
      <c r="E3332" s="261"/>
      <c r="F3332" s="261"/>
      <c r="G3332" s="261"/>
      <c r="H3332" s="261"/>
      <c r="I3332" s="261"/>
      <c r="J3332" s="261"/>
      <c r="K3332" s="261"/>
      <c r="L3332" s="261"/>
      <c r="M3332" s="261"/>
    </row>
    <row r="3333" spans="5:13">
      <c r="E3333" s="261"/>
      <c r="F3333" s="261"/>
      <c r="G3333" s="261"/>
      <c r="H3333" s="261"/>
      <c r="I3333" s="261"/>
      <c r="J3333" s="261"/>
      <c r="K3333" s="261"/>
      <c r="L3333" s="261"/>
      <c r="M3333" s="261"/>
    </row>
    <row r="3334" spans="5:13">
      <c r="E3334" s="261"/>
      <c r="F3334" s="261"/>
      <c r="G3334" s="261"/>
      <c r="H3334" s="261"/>
      <c r="I3334" s="261"/>
      <c r="J3334" s="261"/>
      <c r="K3334" s="261"/>
      <c r="L3334" s="261"/>
      <c r="M3334" s="261"/>
    </row>
    <row r="3335" spans="5:13">
      <c r="E3335" s="261"/>
      <c r="F3335" s="261"/>
      <c r="G3335" s="261"/>
      <c r="H3335" s="261"/>
      <c r="I3335" s="261"/>
      <c r="J3335" s="261"/>
      <c r="K3335" s="261"/>
      <c r="L3335" s="261"/>
      <c r="M3335" s="261"/>
    </row>
    <row r="3336" spans="5:13">
      <c r="E3336" s="261"/>
      <c r="F3336" s="261"/>
      <c r="G3336" s="261"/>
      <c r="H3336" s="261"/>
      <c r="I3336" s="261"/>
      <c r="J3336" s="261"/>
      <c r="K3336" s="261"/>
      <c r="L3336" s="261"/>
      <c r="M3336" s="261"/>
    </row>
    <row r="3337" spans="5:13">
      <c r="E3337" s="261"/>
      <c r="F3337" s="261"/>
      <c r="G3337" s="261"/>
      <c r="H3337" s="261"/>
      <c r="I3337" s="261"/>
      <c r="J3337" s="261"/>
      <c r="K3337" s="261"/>
      <c r="L3337" s="261"/>
      <c r="M3337" s="261"/>
    </row>
    <row r="3338" spans="5:13">
      <c r="E3338" s="261"/>
      <c r="F3338" s="261"/>
      <c r="G3338" s="261"/>
      <c r="H3338" s="261"/>
      <c r="I3338" s="261"/>
      <c r="J3338" s="261"/>
      <c r="K3338" s="261"/>
      <c r="L3338" s="261"/>
      <c r="M3338" s="261"/>
    </row>
    <row r="3339" spans="5:13">
      <c r="E3339" s="261"/>
      <c r="F3339" s="261"/>
      <c r="G3339" s="261"/>
      <c r="H3339" s="261"/>
      <c r="I3339" s="261"/>
      <c r="J3339" s="261"/>
      <c r="K3339" s="261"/>
      <c r="L3339" s="261"/>
      <c r="M3339" s="261"/>
    </row>
    <row r="3340" spans="5:13">
      <c r="E3340" s="261"/>
      <c r="F3340" s="261"/>
      <c r="G3340" s="261"/>
      <c r="H3340" s="261"/>
      <c r="I3340" s="261"/>
      <c r="J3340" s="261"/>
      <c r="K3340" s="261"/>
      <c r="L3340" s="261"/>
      <c r="M3340" s="261"/>
    </row>
    <row r="3341" spans="5:13">
      <c r="E3341" s="261"/>
      <c r="F3341" s="261"/>
      <c r="G3341" s="261"/>
      <c r="H3341" s="261"/>
      <c r="I3341" s="261"/>
      <c r="J3341" s="261"/>
      <c r="K3341" s="261"/>
      <c r="L3341" s="261"/>
      <c r="M3341" s="261"/>
    </row>
    <row r="3342" spans="5:13">
      <c r="E3342" s="261"/>
      <c r="F3342" s="261"/>
      <c r="G3342" s="261"/>
      <c r="H3342" s="261"/>
      <c r="I3342" s="261"/>
      <c r="J3342" s="261"/>
      <c r="K3342" s="261"/>
      <c r="L3342" s="261"/>
      <c r="M3342" s="261"/>
    </row>
    <row r="3343" spans="5:13">
      <c r="E3343" s="261"/>
      <c r="F3343" s="261"/>
      <c r="G3343" s="261"/>
      <c r="H3343" s="261"/>
      <c r="I3343" s="261"/>
      <c r="J3343" s="261"/>
      <c r="K3343" s="261"/>
      <c r="L3343" s="261"/>
      <c r="M3343" s="261"/>
    </row>
    <row r="3344" spans="5:13">
      <c r="E3344" s="261"/>
      <c r="F3344" s="261"/>
      <c r="G3344" s="261"/>
      <c r="H3344" s="261"/>
      <c r="I3344" s="261"/>
      <c r="J3344" s="261"/>
      <c r="K3344" s="261"/>
      <c r="L3344" s="261"/>
      <c r="M3344" s="261"/>
    </row>
    <row r="3345" spans="5:13">
      <c r="E3345" s="261"/>
      <c r="F3345" s="261"/>
      <c r="G3345" s="261"/>
      <c r="H3345" s="261"/>
      <c r="I3345" s="261"/>
      <c r="J3345" s="261"/>
      <c r="K3345" s="261"/>
      <c r="L3345" s="261"/>
      <c r="M3345" s="261"/>
    </row>
    <row r="3346" spans="5:13">
      <c r="E3346" s="261"/>
      <c r="F3346" s="261"/>
      <c r="G3346" s="261"/>
      <c r="H3346" s="261"/>
      <c r="I3346" s="261"/>
      <c r="J3346" s="261"/>
      <c r="K3346" s="261"/>
      <c r="L3346" s="261"/>
      <c r="M3346" s="261"/>
    </row>
    <row r="3347" spans="5:13">
      <c r="E3347" s="261"/>
      <c r="F3347" s="261"/>
      <c r="G3347" s="261"/>
      <c r="H3347" s="261"/>
      <c r="I3347" s="261"/>
      <c r="J3347" s="261"/>
      <c r="K3347" s="261"/>
      <c r="L3347" s="261"/>
      <c r="M3347" s="261"/>
    </row>
    <row r="3348" spans="5:13">
      <c r="E3348" s="261"/>
      <c r="F3348" s="261"/>
      <c r="G3348" s="261"/>
      <c r="H3348" s="261"/>
      <c r="I3348" s="261"/>
      <c r="J3348" s="261"/>
      <c r="K3348" s="261"/>
      <c r="L3348" s="261"/>
      <c r="M3348" s="261"/>
    </row>
    <row r="3349" spans="5:13">
      <c r="E3349" s="261"/>
      <c r="F3349" s="261"/>
      <c r="G3349" s="261"/>
      <c r="H3349" s="261"/>
      <c r="I3349" s="261"/>
      <c r="J3349" s="261"/>
      <c r="K3349" s="261"/>
      <c r="L3349" s="261"/>
      <c r="M3349" s="261"/>
    </row>
    <row r="3350" spans="5:13">
      <c r="E3350" s="261"/>
      <c r="F3350" s="261"/>
      <c r="G3350" s="261"/>
      <c r="H3350" s="261"/>
      <c r="I3350" s="261"/>
      <c r="J3350" s="261"/>
      <c r="K3350" s="261"/>
      <c r="L3350" s="261"/>
      <c r="M3350" s="261"/>
    </row>
    <row r="3351" spans="5:13">
      <c r="E3351" s="261"/>
      <c r="F3351" s="261"/>
      <c r="G3351" s="261"/>
      <c r="H3351" s="261"/>
      <c r="I3351" s="261"/>
      <c r="J3351" s="261"/>
      <c r="K3351" s="261"/>
      <c r="L3351" s="261"/>
      <c r="M3351" s="261"/>
    </row>
    <row r="3352" spans="5:13">
      <c r="E3352" s="261"/>
      <c r="F3352" s="261"/>
      <c r="G3352" s="261"/>
      <c r="H3352" s="261"/>
      <c r="I3352" s="261"/>
      <c r="J3352" s="261"/>
      <c r="K3352" s="261"/>
      <c r="L3352" s="261"/>
      <c r="M3352" s="261"/>
    </row>
    <row r="3353" spans="5:13">
      <c r="E3353" s="261"/>
      <c r="F3353" s="261"/>
      <c r="G3353" s="261"/>
      <c r="H3353" s="261"/>
      <c r="I3353" s="261"/>
      <c r="J3353" s="261"/>
      <c r="K3353" s="261"/>
      <c r="L3353" s="261"/>
      <c r="M3353" s="261"/>
    </row>
    <row r="3354" spans="5:13">
      <c r="E3354" s="261"/>
      <c r="F3354" s="261"/>
      <c r="G3354" s="261"/>
      <c r="H3354" s="261"/>
      <c r="I3354" s="261"/>
      <c r="J3354" s="261"/>
      <c r="K3354" s="261"/>
      <c r="L3354" s="261"/>
      <c r="M3354" s="261"/>
    </row>
    <row r="3355" spans="5:13">
      <c r="E3355" s="261"/>
      <c r="F3355" s="261"/>
      <c r="G3355" s="261"/>
      <c r="H3355" s="261"/>
      <c r="I3355" s="261"/>
      <c r="J3355" s="261"/>
      <c r="K3355" s="261"/>
      <c r="L3355" s="261"/>
      <c r="M3355" s="261"/>
    </row>
    <row r="3356" spans="5:13">
      <c r="E3356" s="261"/>
      <c r="F3356" s="261"/>
      <c r="G3356" s="261"/>
      <c r="H3356" s="261"/>
      <c r="I3356" s="261"/>
      <c r="J3356" s="261"/>
      <c r="K3356" s="261"/>
      <c r="L3356" s="261"/>
      <c r="M3356" s="261"/>
    </row>
    <row r="3357" spans="5:13">
      <c r="E3357" s="261"/>
      <c r="F3357" s="261"/>
      <c r="G3357" s="261"/>
      <c r="H3357" s="261"/>
      <c r="I3357" s="261"/>
      <c r="J3357" s="261"/>
      <c r="K3357" s="261"/>
      <c r="L3357" s="261"/>
      <c r="M3357" s="261"/>
    </row>
    <row r="3358" spans="5:13">
      <c r="E3358" s="261"/>
      <c r="F3358" s="261"/>
      <c r="G3358" s="261"/>
      <c r="H3358" s="261"/>
      <c r="I3358" s="261"/>
      <c r="J3358" s="261"/>
      <c r="K3358" s="261"/>
      <c r="L3358" s="261"/>
      <c r="M3358" s="261"/>
    </row>
    <row r="3359" spans="5:13">
      <c r="E3359" s="261"/>
      <c r="F3359" s="261"/>
      <c r="G3359" s="261"/>
      <c r="H3359" s="261"/>
      <c r="I3359" s="261"/>
      <c r="J3359" s="261"/>
      <c r="K3359" s="261"/>
      <c r="L3359" s="261"/>
      <c r="M3359" s="261"/>
    </row>
    <row r="3360" spans="5:13">
      <c r="E3360" s="261"/>
      <c r="F3360" s="261"/>
      <c r="G3360" s="261"/>
      <c r="H3360" s="261"/>
      <c r="I3360" s="261"/>
      <c r="J3360" s="261"/>
      <c r="K3360" s="261"/>
      <c r="L3360" s="261"/>
      <c r="M3360" s="261"/>
    </row>
    <row r="3361" spans="5:13">
      <c r="E3361" s="261"/>
      <c r="F3361" s="261"/>
      <c r="G3361" s="261"/>
      <c r="H3361" s="261"/>
      <c r="I3361" s="261"/>
      <c r="J3361" s="261"/>
      <c r="K3361" s="261"/>
      <c r="L3361" s="261"/>
      <c r="M3361" s="261"/>
    </row>
    <row r="3362" spans="5:13">
      <c r="E3362" s="261"/>
      <c r="F3362" s="261"/>
      <c r="G3362" s="261"/>
      <c r="H3362" s="261"/>
      <c r="I3362" s="261"/>
      <c r="J3362" s="261"/>
      <c r="K3362" s="261"/>
      <c r="L3362" s="261"/>
      <c r="M3362" s="261"/>
    </row>
    <row r="3363" spans="5:13">
      <c r="E3363" s="261"/>
      <c r="F3363" s="261"/>
      <c r="G3363" s="261"/>
      <c r="H3363" s="261"/>
      <c r="I3363" s="261"/>
      <c r="J3363" s="261"/>
      <c r="K3363" s="261"/>
      <c r="L3363" s="261"/>
      <c r="M3363" s="261"/>
    </row>
    <row r="3364" spans="5:13">
      <c r="E3364" s="261"/>
      <c r="F3364" s="261"/>
      <c r="G3364" s="261"/>
      <c r="H3364" s="261"/>
      <c r="I3364" s="261"/>
      <c r="J3364" s="261"/>
      <c r="K3364" s="261"/>
      <c r="L3364" s="261"/>
      <c r="M3364" s="261"/>
    </row>
    <row r="3365" spans="5:13">
      <c r="E3365" s="261"/>
      <c r="F3365" s="261"/>
      <c r="G3365" s="261"/>
      <c r="H3365" s="261"/>
      <c r="I3365" s="261"/>
      <c r="J3365" s="261"/>
      <c r="K3365" s="261"/>
      <c r="L3365" s="261"/>
      <c r="M3365" s="261"/>
    </row>
    <row r="3366" spans="5:13">
      <c r="E3366" s="261"/>
      <c r="F3366" s="261"/>
      <c r="G3366" s="261"/>
      <c r="H3366" s="261"/>
      <c r="I3366" s="261"/>
      <c r="J3366" s="261"/>
      <c r="K3366" s="261"/>
      <c r="L3366" s="261"/>
      <c r="M3366" s="261"/>
    </row>
    <row r="3367" spans="5:13">
      <c r="E3367" s="261"/>
      <c r="F3367" s="261"/>
      <c r="G3367" s="261"/>
      <c r="H3367" s="261"/>
      <c r="I3367" s="261"/>
      <c r="J3367" s="261"/>
      <c r="K3367" s="261"/>
      <c r="L3367" s="261"/>
      <c r="M3367" s="261"/>
    </row>
    <row r="3368" spans="5:13">
      <c r="E3368" s="261"/>
      <c r="F3368" s="261"/>
      <c r="G3368" s="261"/>
      <c r="H3368" s="261"/>
      <c r="I3368" s="261"/>
      <c r="J3368" s="261"/>
      <c r="K3368" s="261"/>
      <c r="L3368" s="261"/>
      <c r="M3368" s="261"/>
    </row>
    <row r="3369" spans="5:13">
      <c r="E3369" s="261"/>
      <c r="F3369" s="261"/>
      <c r="G3369" s="261"/>
      <c r="H3369" s="261"/>
      <c r="I3369" s="261"/>
      <c r="J3369" s="261"/>
      <c r="K3369" s="261"/>
      <c r="L3369" s="261"/>
      <c r="M3369" s="261"/>
    </row>
    <row r="3370" spans="5:13">
      <c r="E3370" s="261"/>
      <c r="F3370" s="261"/>
      <c r="G3370" s="261"/>
      <c r="H3370" s="261"/>
      <c r="I3370" s="261"/>
      <c r="J3370" s="261"/>
      <c r="K3370" s="261"/>
      <c r="L3370" s="261"/>
      <c r="M3370" s="261"/>
    </row>
    <row r="3371" spans="5:13">
      <c r="E3371" s="261"/>
      <c r="F3371" s="261"/>
      <c r="G3371" s="261"/>
      <c r="H3371" s="261"/>
      <c r="I3371" s="261"/>
      <c r="J3371" s="261"/>
      <c r="K3371" s="261"/>
      <c r="L3371" s="261"/>
      <c r="M3371" s="261"/>
    </row>
    <row r="3372" spans="5:13">
      <c r="E3372" s="261"/>
      <c r="F3372" s="261"/>
      <c r="G3372" s="261"/>
      <c r="H3372" s="261"/>
      <c r="I3372" s="261"/>
      <c r="J3372" s="261"/>
      <c r="K3372" s="261"/>
      <c r="L3372" s="261"/>
      <c r="M3372" s="261"/>
    </row>
    <row r="3373" spans="5:13">
      <c r="E3373" s="261"/>
      <c r="F3373" s="261"/>
      <c r="G3373" s="261"/>
      <c r="H3373" s="261"/>
      <c r="I3373" s="261"/>
      <c r="J3373" s="261"/>
      <c r="K3373" s="261"/>
      <c r="L3373" s="261"/>
      <c r="M3373" s="261"/>
    </row>
    <row r="3374" spans="5:13">
      <c r="E3374" s="261"/>
      <c r="F3374" s="261"/>
      <c r="G3374" s="261"/>
      <c r="H3374" s="261"/>
      <c r="I3374" s="261"/>
      <c r="J3374" s="261"/>
      <c r="K3374" s="261"/>
      <c r="L3374" s="261"/>
      <c r="M3374" s="261"/>
    </row>
    <row r="3375" spans="5:13">
      <c r="E3375" s="261"/>
      <c r="F3375" s="261"/>
      <c r="G3375" s="261"/>
      <c r="H3375" s="261"/>
      <c r="I3375" s="261"/>
      <c r="J3375" s="261"/>
      <c r="K3375" s="261"/>
      <c r="L3375" s="261"/>
      <c r="M3375" s="261"/>
    </row>
    <row r="3376" spans="5:13">
      <c r="E3376" s="261"/>
      <c r="F3376" s="261"/>
      <c r="G3376" s="261"/>
      <c r="H3376" s="261"/>
      <c r="I3376" s="261"/>
      <c r="J3376" s="261"/>
      <c r="K3376" s="261"/>
      <c r="L3376" s="261"/>
      <c r="M3376" s="261"/>
    </row>
    <row r="3377" spans="5:13">
      <c r="E3377" s="261"/>
      <c r="F3377" s="261"/>
      <c r="G3377" s="261"/>
      <c r="H3377" s="261"/>
      <c r="I3377" s="261"/>
      <c r="J3377" s="261"/>
      <c r="K3377" s="261"/>
      <c r="L3377" s="261"/>
      <c r="M3377" s="261"/>
    </row>
    <row r="3378" spans="5:13">
      <c r="E3378" s="261"/>
      <c r="F3378" s="261"/>
      <c r="G3378" s="261"/>
      <c r="H3378" s="261"/>
      <c r="I3378" s="261"/>
      <c r="J3378" s="261"/>
      <c r="K3378" s="261"/>
      <c r="L3378" s="261"/>
      <c r="M3378" s="261"/>
    </row>
    <row r="3379" spans="5:13">
      <c r="E3379" s="261"/>
      <c r="F3379" s="261"/>
      <c r="G3379" s="261"/>
      <c r="H3379" s="261"/>
      <c r="I3379" s="261"/>
      <c r="J3379" s="261"/>
      <c r="K3379" s="261"/>
      <c r="L3379" s="261"/>
      <c r="M3379" s="261"/>
    </row>
    <row r="3380" spans="5:13">
      <c r="E3380" s="261"/>
      <c r="F3380" s="261"/>
      <c r="G3380" s="261"/>
      <c r="H3380" s="261"/>
      <c r="I3380" s="261"/>
      <c r="J3380" s="261"/>
      <c r="K3380" s="261"/>
      <c r="L3380" s="261"/>
      <c r="M3380" s="261"/>
    </row>
    <row r="3381" spans="5:13">
      <c r="E3381" s="261"/>
      <c r="F3381" s="261"/>
      <c r="G3381" s="261"/>
      <c r="H3381" s="261"/>
      <c r="I3381" s="261"/>
      <c r="J3381" s="261"/>
      <c r="K3381" s="261"/>
      <c r="L3381" s="261"/>
      <c r="M3381" s="261"/>
    </row>
    <row r="3382" spans="5:13">
      <c r="E3382" s="261"/>
      <c r="F3382" s="261"/>
      <c r="G3382" s="261"/>
      <c r="H3382" s="261"/>
      <c r="I3382" s="261"/>
      <c r="J3382" s="261"/>
      <c r="K3382" s="261"/>
      <c r="L3382" s="261"/>
      <c r="M3382" s="261"/>
    </row>
    <row r="3383" spans="5:13">
      <c r="E3383" s="261"/>
      <c r="F3383" s="261"/>
      <c r="G3383" s="261"/>
      <c r="H3383" s="261"/>
      <c r="I3383" s="261"/>
      <c r="J3383" s="261"/>
      <c r="K3383" s="261"/>
      <c r="L3383" s="261"/>
      <c r="M3383" s="261"/>
    </row>
    <row r="3384" spans="5:13">
      <c r="E3384" s="261"/>
      <c r="F3384" s="261"/>
      <c r="G3384" s="261"/>
      <c r="H3384" s="261"/>
      <c r="I3384" s="261"/>
      <c r="J3384" s="261"/>
      <c r="K3384" s="261"/>
      <c r="L3384" s="261"/>
      <c r="M3384" s="261"/>
    </row>
    <row r="3385" spans="5:13">
      <c r="E3385" s="261"/>
      <c r="F3385" s="261"/>
      <c r="G3385" s="261"/>
      <c r="H3385" s="261"/>
      <c r="I3385" s="261"/>
      <c r="J3385" s="261"/>
      <c r="K3385" s="261"/>
      <c r="L3385" s="261"/>
      <c r="M3385" s="261"/>
    </row>
    <row r="3386" spans="5:13">
      <c r="E3386" s="261"/>
      <c r="F3386" s="261"/>
      <c r="G3386" s="261"/>
      <c r="H3386" s="261"/>
      <c r="I3386" s="261"/>
      <c r="J3386" s="261"/>
      <c r="K3386" s="261"/>
      <c r="L3386" s="261"/>
      <c r="M3386" s="261"/>
    </row>
    <row r="3387" spans="5:13">
      <c r="E3387" s="261"/>
      <c r="F3387" s="261"/>
      <c r="G3387" s="261"/>
      <c r="H3387" s="261"/>
      <c r="I3387" s="261"/>
      <c r="J3387" s="261"/>
      <c r="K3387" s="261"/>
      <c r="L3387" s="261"/>
      <c r="M3387" s="261"/>
    </row>
    <row r="3388" spans="5:13">
      <c r="E3388" s="261"/>
      <c r="F3388" s="261"/>
      <c r="G3388" s="261"/>
      <c r="H3388" s="261"/>
      <c r="I3388" s="261"/>
      <c r="J3388" s="261"/>
      <c r="K3388" s="261"/>
      <c r="L3388" s="261"/>
      <c r="M3388" s="261"/>
    </row>
    <row r="3389" spans="5:13">
      <c r="E3389" s="261"/>
      <c r="F3389" s="261"/>
      <c r="G3389" s="261"/>
      <c r="H3389" s="261"/>
      <c r="I3389" s="261"/>
      <c r="J3389" s="261"/>
      <c r="K3389" s="261"/>
      <c r="L3389" s="261"/>
      <c r="M3389" s="261"/>
    </row>
    <row r="3390" spans="5:13">
      <c r="E3390" s="261"/>
      <c r="F3390" s="261"/>
      <c r="G3390" s="261"/>
      <c r="H3390" s="261"/>
      <c r="I3390" s="261"/>
      <c r="J3390" s="261"/>
      <c r="K3390" s="261"/>
      <c r="L3390" s="261"/>
      <c r="M3390" s="261"/>
    </row>
    <row r="3391" spans="5:13">
      <c r="E3391" s="261"/>
      <c r="F3391" s="261"/>
      <c r="G3391" s="261"/>
      <c r="H3391" s="261"/>
      <c r="I3391" s="261"/>
      <c r="J3391" s="261"/>
      <c r="K3391" s="261"/>
      <c r="L3391" s="261"/>
      <c r="M3391" s="261"/>
    </row>
    <row r="3392" spans="5:13">
      <c r="E3392" s="261"/>
      <c r="F3392" s="261"/>
      <c r="G3392" s="261"/>
      <c r="H3392" s="261"/>
      <c r="I3392" s="261"/>
      <c r="J3392" s="261"/>
      <c r="K3392" s="261"/>
      <c r="L3392" s="261"/>
      <c r="M3392" s="261"/>
    </row>
    <row r="3393" spans="5:13">
      <c r="E3393" s="261"/>
      <c r="F3393" s="261"/>
      <c r="G3393" s="261"/>
      <c r="H3393" s="261"/>
      <c r="I3393" s="261"/>
      <c r="J3393" s="261"/>
      <c r="K3393" s="261"/>
      <c r="L3393" s="261"/>
      <c r="M3393" s="261"/>
    </row>
    <row r="3394" spans="5:13">
      <c r="E3394" s="261"/>
      <c r="F3394" s="261"/>
      <c r="G3394" s="261"/>
      <c r="H3394" s="261"/>
      <c r="I3394" s="261"/>
      <c r="J3394" s="261"/>
      <c r="K3394" s="261"/>
      <c r="L3394" s="261"/>
      <c r="M3394" s="261"/>
    </row>
    <row r="3395" spans="5:13">
      <c r="E3395" s="261"/>
      <c r="F3395" s="261"/>
      <c r="G3395" s="261"/>
      <c r="H3395" s="261"/>
      <c r="I3395" s="261"/>
      <c r="J3395" s="261"/>
      <c r="K3395" s="261"/>
      <c r="L3395" s="261"/>
      <c r="M3395" s="261"/>
    </row>
    <row r="3396" spans="5:13">
      <c r="E3396" s="261"/>
      <c r="F3396" s="261"/>
      <c r="G3396" s="261"/>
      <c r="H3396" s="261"/>
      <c r="I3396" s="261"/>
      <c r="J3396" s="261"/>
      <c r="K3396" s="261"/>
      <c r="L3396" s="261"/>
      <c r="M3396" s="261"/>
    </row>
    <row r="3397" spans="5:13">
      <c r="E3397" s="261"/>
      <c r="F3397" s="261"/>
      <c r="G3397" s="261"/>
      <c r="H3397" s="261"/>
      <c r="I3397" s="261"/>
      <c r="J3397" s="261"/>
      <c r="K3397" s="261"/>
      <c r="L3397" s="261"/>
      <c r="M3397" s="261"/>
    </row>
    <row r="3398" spans="5:13">
      <c r="E3398" s="261"/>
      <c r="F3398" s="261"/>
      <c r="G3398" s="261"/>
      <c r="H3398" s="261"/>
      <c r="I3398" s="261"/>
      <c r="J3398" s="261"/>
      <c r="K3398" s="261"/>
      <c r="L3398" s="261"/>
      <c r="M3398" s="261"/>
    </row>
    <row r="3399" spans="5:13">
      <c r="E3399" s="261"/>
      <c r="F3399" s="261"/>
      <c r="G3399" s="261"/>
      <c r="H3399" s="261"/>
      <c r="I3399" s="261"/>
      <c r="J3399" s="261"/>
      <c r="K3399" s="261"/>
      <c r="L3399" s="261"/>
      <c r="M3399" s="261"/>
    </row>
    <row r="3400" spans="5:13">
      <c r="E3400" s="261"/>
      <c r="F3400" s="261"/>
      <c r="G3400" s="261"/>
      <c r="H3400" s="261"/>
      <c r="I3400" s="261"/>
      <c r="J3400" s="261"/>
      <c r="K3400" s="261"/>
      <c r="L3400" s="261"/>
      <c r="M3400" s="261"/>
    </row>
    <row r="3401" spans="5:13">
      <c r="E3401" s="261"/>
      <c r="F3401" s="261"/>
      <c r="G3401" s="261"/>
      <c r="H3401" s="261"/>
      <c r="I3401" s="261"/>
      <c r="J3401" s="261"/>
      <c r="K3401" s="261"/>
      <c r="L3401" s="261"/>
      <c r="M3401" s="261"/>
    </row>
    <row r="3402" spans="5:13">
      <c r="E3402" s="261"/>
      <c r="F3402" s="261"/>
      <c r="G3402" s="261"/>
      <c r="H3402" s="261"/>
      <c r="I3402" s="261"/>
      <c r="J3402" s="261"/>
      <c r="K3402" s="261"/>
      <c r="L3402" s="261"/>
      <c r="M3402" s="261"/>
    </row>
    <row r="3403" spans="5:13">
      <c r="E3403" s="261"/>
      <c r="F3403" s="261"/>
      <c r="G3403" s="261"/>
      <c r="H3403" s="261"/>
      <c r="I3403" s="261"/>
      <c r="J3403" s="261"/>
      <c r="K3403" s="261"/>
      <c r="L3403" s="261"/>
      <c r="M3403" s="261"/>
    </row>
    <row r="3404" spans="5:13">
      <c r="E3404" s="261"/>
      <c r="F3404" s="261"/>
      <c r="G3404" s="261"/>
      <c r="H3404" s="261"/>
      <c r="I3404" s="261"/>
      <c r="J3404" s="261"/>
      <c r="K3404" s="261"/>
      <c r="L3404" s="261"/>
      <c r="M3404" s="261"/>
    </row>
    <row r="3405" spans="5:13">
      <c r="E3405" s="261"/>
      <c r="F3405" s="261"/>
      <c r="G3405" s="261"/>
      <c r="H3405" s="261"/>
      <c r="I3405" s="261"/>
      <c r="J3405" s="261"/>
      <c r="K3405" s="261"/>
      <c r="L3405" s="261"/>
      <c r="M3405" s="261"/>
    </row>
    <row r="3406" spans="5:13">
      <c r="E3406" s="261"/>
      <c r="F3406" s="261"/>
      <c r="G3406" s="261"/>
      <c r="H3406" s="261"/>
      <c r="I3406" s="261"/>
      <c r="J3406" s="261"/>
      <c r="K3406" s="261"/>
      <c r="L3406" s="261"/>
      <c r="M3406" s="261"/>
    </row>
    <row r="3407" spans="5:13">
      <c r="E3407" s="261"/>
      <c r="F3407" s="261"/>
      <c r="G3407" s="261"/>
      <c r="H3407" s="261"/>
      <c r="I3407" s="261"/>
      <c r="J3407" s="261"/>
      <c r="K3407" s="261"/>
      <c r="L3407" s="261"/>
      <c r="M3407" s="261"/>
    </row>
    <row r="3408" spans="5:13">
      <c r="E3408" s="261"/>
      <c r="F3408" s="261"/>
      <c r="G3408" s="261"/>
      <c r="H3408" s="261"/>
      <c r="I3408" s="261"/>
      <c r="J3408" s="261"/>
      <c r="K3408" s="261"/>
      <c r="L3408" s="261"/>
      <c r="M3408" s="261"/>
    </row>
    <row r="3409" spans="5:13">
      <c r="E3409" s="261"/>
      <c r="F3409" s="261"/>
      <c r="G3409" s="261"/>
      <c r="H3409" s="261"/>
      <c r="I3409" s="261"/>
      <c r="J3409" s="261"/>
      <c r="K3409" s="261"/>
      <c r="L3409" s="261"/>
      <c r="M3409" s="261"/>
    </row>
    <row r="3410" spans="5:13">
      <c r="E3410" s="261"/>
      <c r="F3410" s="261"/>
      <c r="G3410" s="261"/>
      <c r="H3410" s="261"/>
      <c r="I3410" s="261"/>
      <c r="J3410" s="261"/>
      <c r="K3410" s="261"/>
      <c r="L3410" s="261"/>
      <c r="M3410" s="261"/>
    </row>
    <row r="3411" spans="5:13">
      <c r="E3411" s="261"/>
      <c r="F3411" s="261"/>
      <c r="G3411" s="261"/>
      <c r="H3411" s="261"/>
      <c r="I3411" s="261"/>
      <c r="J3411" s="261"/>
      <c r="K3411" s="261"/>
      <c r="L3411" s="261"/>
      <c r="M3411" s="261"/>
    </row>
    <row r="3412" spans="5:13">
      <c r="E3412" s="261"/>
      <c r="F3412" s="261"/>
      <c r="G3412" s="261"/>
      <c r="H3412" s="261"/>
      <c r="I3412" s="261"/>
      <c r="J3412" s="261"/>
      <c r="K3412" s="261"/>
      <c r="L3412" s="261"/>
      <c r="M3412" s="261"/>
    </row>
    <row r="3413" spans="5:13">
      <c r="E3413" s="261"/>
      <c r="F3413" s="261"/>
      <c r="G3413" s="261"/>
      <c r="H3413" s="261"/>
      <c r="I3413" s="261"/>
      <c r="J3413" s="261"/>
      <c r="K3413" s="261"/>
      <c r="L3413" s="261"/>
      <c r="M3413" s="261"/>
    </row>
    <row r="3414" spans="5:13">
      <c r="E3414" s="261"/>
      <c r="F3414" s="261"/>
      <c r="G3414" s="261"/>
      <c r="H3414" s="261"/>
      <c r="I3414" s="261"/>
      <c r="J3414" s="261"/>
      <c r="K3414" s="261"/>
      <c r="L3414" s="261"/>
      <c r="M3414" s="261"/>
    </row>
    <row r="3415" spans="5:13">
      <c r="E3415" s="261"/>
      <c r="F3415" s="261"/>
      <c r="G3415" s="261"/>
      <c r="H3415" s="261"/>
      <c r="I3415" s="261"/>
      <c r="J3415" s="261"/>
      <c r="K3415" s="261"/>
      <c r="L3415" s="261"/>
      <c r="M3415" s="261"/>
    </row>
    <row r="3416" spans="5:13">
      <c r="E3416" s="261"/>
      <c r="F3416" s="261"/>
      <c r="G3416" s="261"/>
      <c r="H3416" s="261"/>
      <c r="I3416" s="261"/>
      <c r="J3416" s="261"/>
      <c r="K3416" s="261"/>
      <c r="L3416" s="261"/>
      <c r="M3416" s="261"/>
    </row>
    <row r="3417" spans="5:13">
      <c r="E3417" s="261"/>
      <c r="F3417" s="261"/>
      <c r="G3417" s="261"/>
      <c r="H3417" s="261"/>
      <c r="I3417" s="261"/>
      <c r="J3417" s="261"/>
      <c r="K3417" s="261"/>
      <c r="L3417" s="261"/>
      <c r="M3417" s="261"/>
    </row>
    <row r="3418" spans="5:13">
      <c r="E3418" s="261"/>
      <c r="F3418" s="261"/>
      <c r="G3418" s="261"/>
      <c r="H3418" s="261"/>
      <c r="I3418" s="261"/>
      <c r="J3418" s="261"/>
      <c r="K3418" s="261"/>
      <c r="L3418" s="261"/>
      <c r="M3418" s="261"/>
    </row>
    <row r="3419" spans="5:13">
      <c r="E3419" s="261"/>
      <c r="F3419" s="261"/>
      <c r="G3419" s="261"/>
      <c r="H3419" s="261"/>
      <c r="I3419" s="261"/>
      <c r="J3419" s="261"/>
      <c r="K3419" s="261"/>
      <c r="L3419" s="261"/>
      <c r="M3419" s="261"/>
    </row>
    <row r="3420" spans="5:13">
      <c r="E3420" s="261"/>
      <c r="F3420" s="261"/>
      <c r="G3420" s="261"/>
      <c r="H3420" s="261"/>
      <c r="I3420" s="261"/>
      <c r="J3420" s="261"/>
      <c r="K3420" s="261"/>
      <c r="L3420" s="261"/>
      <c r="M3420" s="261"/>
    </row>
    <row r="3421" spans="5:13">
      <c r="E3421" s="261"/>
      <c r="F3421" s="261"/>
      <c r="G3421" s="261"/>
      <c r="H3421" s="261"/>
      <c r="I3421" s="261"/>
      <c r="J3421" s="261"/>
      <c r="K3421" s="261"/>
      <c r="L3421" s="261"/>
      <c r="M3421" s="261"/>
    </row>
    <row r="3422" spans="5:13">
      <c r="E3422" s="261"/>
      <c r="F3422" s="261"/>
      <c r="G3422" s="261"/>
      <c r="H3422" s="261"/>
      <c r="I3422" s="261"/>
      <c r="J3422" s="261"/>
      <c r="K3422" s="261"/>
      <c r="L3422" s="261"/>
      <c r="M3422" s="261"/>
    </row>
    <row r="3423" spans="5:13">
      <c r="E3423" s="261"/>
      <c r="F3423" s="261"/>
      <c r="G3423" s="261"/>
      <c r="H3423" s="261"/>
      <c r="I3423" s="261"/>
      <c r="J3423" s="261"/>
      <c r="K3423" s="261"/>
      <c r="L3423" s="261"/>
      <c r="M3423" s="261"/>
    </row>
    <row r="3424" spans="5:13">
      <c r="E3424" s="261"/>
      <c r="F3424" s="261"/>
      <c r="G3424" s="261"/>
      <c r="H3424" s="261"/>
      <c r="I3424" s="261"/>
      <c r="J3424" s="261"/>
      <c r="K3424" s="261"/>
      <c r="L3424" s="261"/>
      <c r="M3424" s="261"/>
    </row>
    <row r="3425" spans="5:13">
      <c r="E3425" s="261"/>
      <c r="F3425" s="261"/>
      <c r="G3425" s="261"/>
      <c r="H3425" s="261"/>
      <c r="I3425" s="261"/>
      <c r="J3425" s="261"/>
      <c r="K3425" s="261"/>
      <c r="L3425" s="261"/>
      <c r="M3425" s="261"/>
    </row>
    <row r="3426" spans="5:13">
      <c r="E3426" s="261"/>
      <c r="F3426" s="261"/>
      <c r="G3426" s="261"/>
      <c r="H3426" s="261"/>
      <c r="I3426" s="261"/>
      <c r="J3426" s="261"/>
      <c r="K3426" s="261"/>
      <c r="L3426" s="261"/>
      <c r="M3426" s="261"/>
    </row>
    <row r="3427" spans="5:13">
      <c r="E3427" s="261"/>
      <c r="F3427" s="261"/>
      <c r="G3427" s="261"/>
      <c r="H3427" s="261"/>
      <c r="I3427" s="261"/>
      <c r="J3427" s="261"/>
      <c r="K3427" s="261"/>
      <c r="L3427" s="261"/>
      <c r="M3427" s="261"/>
    </row>
    <row r="3428" spans="5:13">
      <c r="E3428" s="261"/>
      <c r="F3428" s="261"/>
      <c r="G3428" s="261"/>
      <c r="H3428" s="261"/>
      <c r="I3428" s="261"/>
      <c r="J3428" s="261"/>
      <c r="K3428" s="261"/>
      <c r="L3428" s="261"/>
      <c r="M3428" s="261"/>
    </row>
    <row r="3429" spans="5:13">
      <c r="E3429" s="261"/>
      <c r="F3429" s="261"/>
      <c r="G3429" s="261"/>
      <c r="H3429" s="261"/>
      <c r="I3429" s="261"/>
      <c r="J3429" s="261"/>
      <c r="K3429" s="261"/>
      <c r="L3429" s="261"/>
      <c r="M3429" s="261"/>
    </row>
    <row r="3430" spans="5:13">
      <c r="E3430" s="261"/>
      <c r="F3430" s="261"/>
      <c r="G3430" s="261"/>
      <c r="H3430" s="261"/>
      <c r="I3430" s="261"/>
      <c r="J3430" s="261"/>
      <c r="K3430" s="261"/>
      <c r="L3430" s="261"/>
      <c r="M3430" s="261"/>
    </row>
    <row r="3431" spans="5:13">
      <c r="E3431" s="261"/>
      <c r="F3431" s="261"/>
      <c r="G3431" s="261"/>
      <c r="H3431" s="261"/>
      <c r="I3431" s="261"/>
      <c r="J3431" s="261"/>
      <c r="K3431" s="261"/>
      <c r="L3431" s="261"/>
      <c r="M3431" s="261"/>
    </row>
    <row r="3432" spans="5:13">
      <c r="E3432" s="261"/>
      <c r="F3432" s="261"/>
      <c r="G3432" s="261"/>
      <c r="H3432" s="261"/>
      <c r="I3432" s="261"/>
      <c r="J3432" s="261"/>
      <c r="K3432" s="261"/>
      <c r="L3432" s="261"/>
      <c r="M3432" s="261"/>
    </row>
    <row r="3433" spans="5:13">
      <c r="E3433" s="261"/>
      <c r="F3433" s="261"/>
      <c r="G3433" s="261"/>
      <c r="H3433" s="261"/>
      <c r="I3433" s="261"/>
      <c r="J3433" s="261"/>
      <c r="K3433" s="261"/>
      <c r="L3433" s="261"/>
      <c r="M3433" s="261"/>
    </row>
    <row r="3434" spans="5:13">
      <c r="E3434" s="261"/>
      <c r="F3434" s="261"/>
      <c r="G3434" s="261"/>
      <c r="H3434" s="261"/>
      <c r="I3434" s="261"/>
      <c r="J3434" s="261"/>
      <c r="K3434" s="261"/>
      <c r="L3434" s="261"/>
      <c r="M3434" s="261"/>
    </row>
    <row r="3435" spans="5:13">
      <c r="E3435" s="261"/>
      <c r="F3435" s="261"/>
      <c r="G3435" s="261"/>
      <c r="H3435" s="261"/>
      <c r="I3435" s="261"/>
      <c r="J3435" s="261"/>
      <c r="K3435" s="261"/>
      <c r="L3435" s="261"/>
      <c r="M3435" s="261"/>
    </row>
    <row r="3436" spans="5:13">
      <c r="E3436" s="261"/>
      <c r="F3436" s="261"/>
      <c r="G3436" s="261"/>
      <c r="H3436" s="261"/>
      <c r="I3436" s="261"/>
      <c r="J3436" s="261"/>
      <c r="K3436" s="261"/>
      <c r="L3436" s="261"/>
      <c r="M3436" s="261"/>
    </row>
    <row r="3437" spans="5:13">
      <c r="E3437" s="261"/>
      <c r="F3437" s="261"/>
      <c r="G3437" s="261"/>
      <c r="H3437" s="261"/>
      <c r="I3437" s="261"/>
      <c r="J3437" s="261"/>
      <c r="K3437" s="261"/>
      <c r="L3437" s="261"/>
      <c r="M3437" s="261"/>
    </row>
    <row r="3438" spans="5:13">
      <c r="E3438" s="261"/>
      <c r="F3438" s="261"/>
      <c r="G3438" s="261"/>
      <c r="H3438" s="261"/>
      <c r="I3438" s="261"/>
      <c r="J3438" s="261"/>
      <c r="K3438" s="261"/>
      <c r="L3438" s="261"/>
      <c r="M3438" s="261"/>
    </row>
    <row r="3439" spans="5:13">
      <c r="E3439" s="261"/>
      <c r="F3439" s="261"/>
      <c r="G3439" s="261"/>
      <c r="H3439" s="261"/>
      <c r="I3439" s="261"/>
      <c r="J3439" s="261"/>
      <c r="K3439" s="261"/>
      <c r="L3439" s="261"/>
      <c r="M3439" s="261"/>
    </row>
    <row r="3440" spans="5:13">
      <c r="E3440" s="261"/>
      <c r="F3440" s="261"/>
      <c r="G3440" s="261"/>
      <c r="H3440" s="261"/>
      <c r="I3440" s="261"/>
      <c r="J3440" s="261"/>
      <c r="K3440" s="261"/>
      <c r="L3440" s="261"/>
      <c r="M3440" s="261"/>
    </row>
    <row r="3441" spans="5:13">
      <c r="E3441" s="261"/>
      <c r="F3441" s="261"/>
      <c r="G3441" s="261"/>
      <c r="H3441" s="261"/>
      <c r="I3441" s="261"/>
      <c r="J3441" s="261"/>
      <c r="K3441" s="261"/>
      <c r="L3441" s="261"/>
      <c r="M3441" s="261"/>
    </row>
    <row r="3442" spans="5:13">
      <c r="E3442" s="261"/>
      <c r="F3442" s="261"/>
      <c r="G3442" s="261"/>
      <c r="H3442" s="261"/>
      <c r="I3442" s="261"/>
      <c r="J3442" s="261"/>
      <c r="K3442" s="261"/>
      <c r="L3442" s="261"/>
      <c r="M3442" s="261"/>
    </row>
    <row r="3443" spans="5:13">
      <c r="E3443" s="261"/>
      <c r="F3443" s="261"/>
      <c r="G3443" s="261"/>
      <c r="H3443" s="261"/>
      <c r="I3443" s="261"/>
      <c r="J3443" s="261"/>
      <c r="K3443" s="261"/>
      <c r="L3443" s="261"/>
      <c r="M3443" s="261"/>
    </row>
    <row r="3444" spans="5:13">
      <c r="E3444" s="261"/>
      <c r="F3444" s="261"/>
      <c r="G3444" s="261"/>
      <c r="H3444" s="261"/>
      <c r="I3444" s="261"/>
      <c r="J3444" s="261"/>
      <c r="K3444" s="261"/>
      <c r="L3444" s="261"/>
      <c r="M3444" s="261"/>
    </row>
    <row r="3445" spans="5:13">
      <c r="E3445" s="261"/>
      <c r="F3445" s="261"/>
      <c r="G3445" s="261"/>
      <c r="H3445" s="261"/>
      <c r="I3445" s="261"/>
      <c r="J3445" s="261"/>
      <c r="K3445" s="261"/>
      <c r="L3445" s="261"/>
      <c r="M3445" s="261"/>
    </row>
    <row r="3446" spans="5:13">
      <c r="E3446" s="261"/>
      <c r="F3446" s="261"/>
      <c r="G3446" s="261"/>
      <c r="H3446" s="261"/>
      <c r="I3446" s="261"/>
      <c r="J3446" s="261"/>
      <c r="K3446" s="261"/>
      <c r="L3446" s="261"/>
      <c r="M3446" s="261"/>
    </row>
    <row r="3447" spans="5:13">
      <c r="E3447" s="261"/>
      <c r="F3447" s="261"/>
      <c r="G3447" s="261"/>
      <c r="H3447" s="261"/>
      <c r="I3447" s="261"/>
      <c r="J3447" s="261"/>
      <c r="K3447" s="261"/>
      <c r="L3447" s="261"/>
      <c r="M3447" s="261"/>
    </row>
    <row r="3448" spans="5:13">
      <c r="E3448" s="261"/>
      <c r="F3448" s="261"/>
      <c r="G3448" s="261"/>
      <c r="H3448" s="261"/>
      <c r="I3448" s="261"/>
      <c r="J3448" s="261"/>
      <c r="K3448" s="261"/>
      <c r="L3448" s="261"/>
      <c r="M3448" s="261"/>
    </row>
    <row r="3449" spans="5:13">
      <c r="E3449" s="261"/>
      <c r="F3449" s="261"/>
      <c r="G3449" s="261"/>
      <c r="H3449" s="261"/>
      <c r="I3449" s="261"/>
      <c r="J3449" s="261"/>
      <c r="K3449" s="261"/>
      <c r="L3449" s="261"/>
      <c r="M3449" s="261"/>
    </row>
    <row r="3450" spans="5:13">
      <c r="E3450" s="261"/>
      <c r="F3450" s="261"/>
      <c r="G3450" s="261"/>
      <c r="H3450" s="261"/>
      <c r="I3450" s="261"/>
      <c r="J3450" s="261"/>
      <c r="K3450" s="261"/>
      <c r="L3450" s="261"/>
      <c r="M3450" s="261"/>
    </row>
    <row r="3451" spans="5:13">
      <c r="E3451" s="261"/>
      <c r="F3451" s="261"/>
      <c r="G3451" s="261"/>
      <c r="H3451" s="261"/>
      <c r="I3451" s="261"/>
      <c r="J3451" s="261"/>
      <c r="K3451" s="261"/>
      <c r="L3451" s="261"/>
      <c r="M3451" s="261"/>
    </row>
    <row r="3452" spans="5:13">
      <c r="E3452" s="261"/>
      <c r="F3452" s="261"/>
      <c r="G3452" s="261"/>
      <c r="H3452" s="261"/>
      <c r="I3452" s="261"/>
      <c r="J3452" s="261"/>
      <c r="K3452" s="261"/>
      <c r="L3452" s="261"/>
      <c r="M3452" s="261"/>
    </row>
    <row r="3453" spans="5:13">
      <c r="E3453" s="261"/>
      <c r="F3453" s="261"/>
      <c r="G3453" s="261"/>
      <c r="H3453" s="261"/>
      <c r="I3453" s="261"/>
      <c r="J3453" s="261"/>
      <c r="K3453" s="261"/>
      <c r="L3453" s="261"/>
      <c r="M3453" s="261"/>
    </row>
    <row r="3454" spans="5:13">
      <c r="E3454" s="261"/>
      <c r="F3454" s="261"/>
      <c r="G3454" s="261"/>
      <c r="H3454" s="261"/>
      <c r="I3454" s="261"/>
      <c r="J3454" s="261"/>
      <c r="K3454" s="261"/>
      <c r="L3454" s="261"/>
      <c r="M3454" s="261"/>
    </row>
    <row r="3455" spans="5:13">
      <c r="E3455" s="261"/>
      <c r="F3455" s="261"/>
      <c r="G3455" s="261"/>
      <c r="H3455" s="261"/>
      <c r="I3455" s="261"/>
      <c r="J3455" s="261"/>
      <c r="K3455" s="261"/>
      <c r="L3455" s="261"/>
      <c r="M3455" s="261"/>
    </row>
    <row r="3456" spans="5:13">
      <c r="E3456" s="261"/>
      <c r="F3456" s="261"/>
      <c r="G3456" s="261"/>
      <c r="H3456" s="261"/>
      <c r="I3456" s="261"/>
      <c r="J3456" s="261"/>
      <c r="K3456" s="261"/>
      <c r="L3456" s="261"/>
      <c r="M3456" s="261"/>
    </row>
    <row r="3457" spans="5:13">
      <c r="E3457" s="261"/>
      <c r="F3457" s="261"/>
      <c r="G3457" s="261"/>
      <c r="H3457" s="261"/>
      <c r="I3457" s="261"/>
      <c r="J3457" s="261"/>
      <c r="K3457" s="261"/>
      <c r="L3457" s="261"/>
      <c r="M3457" s="261"/>
    </row>
    <row r="3458" spans="5:13">
      <c r="E3458" s="261"/>
      <c r="F3458" s="261"/>
      <c r="G3458" s="261"/>
      <c r="H3458" s="261"/>
      <c r="I3458" s="261"/>
      <c r="J3458" s="261"/>
      <c r="K3458" s="261"/>
      <c r="L3458" s="261"/>
      <c r="M3458" s="261"/>
    </row>
    <row r="3459" spans="5:13">
      <c r="E3459" s="261"/>
      <c r="F3459" s="261"/>
      <c r="G3459" s="261"/>
      <c r="H3459" s="261"/>
      <c r="I3459" s="261"/>
      <c r="J3459" s="261"/>
      <c r="K3459" s="261"/>
      <c r="L3459" s="261"/>
      <c r="M3459" s="261"/>
    </row>
    <row r="3460" spans="5:13">
      <c r="E3460" s="261"/>
      <c r="F3460" s="261"/>
      <c r="G3460" s="261"/>
      <c r="H3460" s="261"/>
      <c r="I3460" s="261"/>
      <c r="J3460" s="261"/>
      <c r="K3460" s="261"/>
      <c r="L3460" s="261"/>
      <c r="M3460" s="261"/>
    </row>
    <row r="3461" spans="5:13">
      <c r="E3461" s="261"/>
      <c r="F3461" s="261"/>
      <c r="G3461" s="261"/>
      <c r="H3461" s="261"/>
      <c r="I3461" s="261"/>
      <c r="J3461" s="261"/>
      <c r="K3461" s="261"/>
      <c r="L3461" s="261"/>
      <c r="M3461" s="261"/>
    </row>
    <row r="3462" spans="5:13">
      <c r="E3462" s="261"/>
      <c r="F3462" s="261"/>
      <c r="G3462" s="261"/>
      <c r="H3462" s="261"/>
      <c r="I3462" s="261"/>
      <c r="J3462" s="261"/>
      <c r="K3462" s="261"/>
      <c r="L3462" s="261"/>
      <c r="M3462" s="261"/>
    </row>
    <row r="3463" spans="5:13">
      <c r="E3463" s="261"/>
      <c r="F3463" s="261"/>
      <c r="G3463" s="261"/>
      <c r="H3463" s="261"/>
      <c r="I3463" s="261"/>
      <c r="J3463" s="261"/>
      <c r="K3463" s="261"/>
      <c r="L3463" s="261"/>
      <c r="M3463" s="261"/>
    </row>
    <row r="3464" spans="5:13">
      <c r="E3464" s="261"/>
      <c r="F3464" s="261"/>
      <c r="G3464" s="261"/>
      <c r="H3464" s="261"/>
      <c r="I3464" s="261"/>
      <c r="J3464" s="261"/>
      <c r="K3464" s="261"/>
      <c r="L3464" s="261"/>
      <c r="M3464" s="261"/>
    </row>
    <row r="3465" spans="5:13">
      <c r="E3465" s="261"/>
      <c r="F3465" s="261"/>
      <c r="G3465" s="261"/>
      <c r="H3465" s="261"/>
      <c r="I3465" s="261"/>
      <c r="J3465" s="261"/>
      <c r="K3465" s="261"/>
      <c r="L3465" s="261"/>
      <c r="M3465" s="261"/>
    </row>
    <row r="3466" spans="5:13">
      <c r="E3466" s="261"/>
      <c r="F3466" s="261"/>
      <c r="G3466" s="261"/>
      <c r="H3466" s="261"/>
      <c r="I3466" s="261"/>
      <c r="J3466" s="261"/>
      <c r="K3466" s="261"/>
      <c r="L3466" s="261"/>
      <c r="M3466" s="261"/>
    </row>
    <row r="3467" spans="5:13">
      <c r="E3467" s="261"/>
      <c r="F3467" s="261"/>
      <c r="G3467" s="261"/>
      <c r="H3467" s="261"/>
      <c r="I3467" s="261"/>
      <c r="J3467" s="261"/>
      <c r="K3467" s="261"/>
      <c r="L3467" s="261"/>
      <c r="M3467" s="261"/>
    </row>
    <row r="3468" spans="5:13">
      <c r="E3468" s="261"/>
      <c r="F3468" s="261"/>
      <c r="G3468" s="261"/>
      <c r="H3468" s="261"/>
      <c r="I3468" s="261"/>
      <c r="J3468" s="261"/>
      <c r="K3468" s="261"/>
      <c r="L3468" s="261"/>
      <c r="M3468" s="261"/>
    </row>
    <row r="3469" spans="5:13">
      <c r="E3469" s="261"/>
      <c r="F3469" s="261"/>
      <c r="G3469" s="261"/>
      <c r="H3469" s="261"/>
      <c r="I3469" s="261"/>
      <c r="J3469" s="261"/>
      <c r="K3469" s="261"/>
      <c r="L3469" s="261"/>
      <c r="M3469" s="261"/>
    </row>
    <row r="3470" spans="5:13">
      <c r="E3470" s="261"/>
      <c r="F3470" s="261"/>
      <c r="G3470" s="261"/>
      <c r="H3470" s="261"/>
      <c r="I3470" s="261"/>
      <c r="J3470" s="261"/>
      <c r="K3470" s="261"/>
      <c r="L3470" s="261"/>
      <c r="M3470" s="261"/>
    </row>
    <row r="3471" spans="5:13">
      <c r="E3471" s="261"/>
      <c r="F3471" s="261"/>
      <c r="G3471" s="261"/>
      <c r="H3471" s="261"/>
      <c r="I3471" s="261"/>
      <c r="J3471" s="261"/>
      <c r="K3471" s="261"/>
      <c r="L3471" s="261"/>
      <c r="M3471" s="261"/>
    </row>
    <row r="3472" spans="5:13">
      <c r="E3472" s="261"/>
      <c r="F3472" s="261"/>
      <c r="G3472" s="261"/>
      <c r="H3472" s="261"/>
      <c r="I3472" s="261"/>
      <c r="J3472" s="261"/>
      <c r="K3472" s="261"/>
      <c r="L3472" s="261"/>
      <c r="M3472" s="261"/>
    </row>
    <row r="3473" spans="5:13">
      <c r="E3473" s="261"/>
      <c r="F3473" s="261"/>
      <c r="G3473" s="261"/>
      <c r="H3473" s="261"/>
      <c r="I3473" s="261"/>
      <c r="J3473" s="261"/>
      <c r="K3473" s="261"/>
      <c r="L3473" s="261"/>
      <c r="M3473" s="261"/>
    </row>
    <row r="3474" spans="5:13">
      <c r="E3474" s="261"/>
      <c r="F3474" s="261"/>
      <c r="G3474" s="261"/>
      <c r="H3474" s="261"/>
      <c r="I3474" s="261"/>
      <c r="J3474" s="261"/>
      <c r="K3474" s="261"/>
      <c r="L3474" s="261"/>
      <c r="M3474" s="261"/>
    </row>
    <row r="3475" spans="5:13">
      <c r="E3475" s="261"/>
      <c r="F3475" s="261"/>
      <c r="G3475" s="261"/>
      <c r="H3475" s="261"/>
      <c r="I3475" s="261"/>
      <c r="J3475" s="261"/>
      <c r="K3475" s="261"/>
      <c r="L3475" s="261"/>
      <c r="M3475" s="261"/>
    </row>
    <row r="3476" spans="5:13">
      <c r="E3476" s="261"/>
      <c r="F3476" s="261"/>
      <c r="G3476" s="261"/>
      <c r="H3476" s="261"/>
      <c r="I3476" s="261"/>
      <c r="J3476" s="261"/>
      <c r="K3476" s="261"/>
      <c r="L3476" s="261"/>
      <c r="M3476" s="261"/>
    </row>
    <row r="3477" spans="5:13">
      <c r="E3477" s="261"/>
      <c r="F3477" s="261"/>
      <c r="G3477" s="261"/>
      <c r="H3477" s="261"/>
      <c r="I3477" s="261"/>
      <c r="J3477" s="261"/>
      <c r="K3477" s="261"/>
      <c r="L3477" s="261"/>
      <c r="M3477" s="261"/>
    </row>
    <row r="3478" spans="5:13">
      <c r="E3478" s="261"/>
      <c r="F3478" s="261"/>
      <c r="G3478" s="261"/>
      <c r="H3478" s="261"/>
      <c r="I3478" s="261"/>
      <c r="J3478" s="261"/>
      <c r="K3478" s="261"/>
      <c r="L3478" s="261"/>
      <c r="M3478" s="261"/>
    </row>
    <row r="3479" spans="5:13">
      <c r="E3479" s="261"/>
      <c r="F3479" s="261"/>
      <c r="G3479" s="261"/>
      <c r="H3479" s="261"/>
      <c r="I3479" s="261"/>
      <c r="J3479" s="261"/>
      <c r="K3479" s="261"/>
      <c r="L3479" s="261"/>
      <c r="M3479" s="261"/>
    </row>
    <row r="3480" spans="5:13">
      <c r="E3480" s="261"/>
      <c r="F3480" s="261"/>
      <c r="G3480" s="261"/>
      <c r="H3480" s="261"/>
      <c r="I3480" s="261"/>
      <c r="J3480" s="261"/>
      <c r="K3480" s="261"/>
      <c r="L3480" s="261"/>
      <c r="M3480" s="261"/>
    </row>
    <row r="3481" spans="5:13">
      <c r="E3481" s="261"/>
      <c r="F3481" s="261"/>
      <c r="G3481" s="261"/>
      <c r="H3481" s="261"/>
      <c r="I3481" s="261"/>
      <c r="J3481" s="261"/>
      <c r="K3481" s="261"/>
      <c r="L3481" s="261"/>
      <c r="M3481" s="261"/>
    </row>
    <row r="3482" spans="5:13">
      <c r="E3482" s="261"/>
      <c r="F3482" s="261"/>
      <c r="G3482" s="261"/>
      <c r="H3482" s="261"/>
      <c r="I3482" s="261"/>
      <c r="J3482" s="261"/>
      <c r="K3482" s="261"/>
      <c r="L3482" s="261"/>
      <c r="M3482" s="261"/>
    </row>
    <row r="3483" spans="5:13">
      <c r="E3483" s="261"/>
      <c r="F3483" s="261"/>
      <c r="G3483" s="261"/>
      <c r="H3483" s="261"/>
      <c r="I3483" s="261"/>
      <c r="J3483" s="261"/>
      <c r="K3483" s="261"/>
      <c r="L3483" s="261"/>
      <c r="M3483" s="261"/>
    </row>
    <row r="3484" spans="5:13">
      <c r="E3484" s="261"/>
      <c r="F3484" s="261"/>
      <c r="G3484" s="261"/>
      <c r="H3484" s="261"/>
      <c r="I3484" s="261"/>
      <c r="J3484" s="261"/>
      <c r="K3484" s="261"/>
      <c r="L3484" s="261"/>
      <c r="M3484" s="261"/>
    </row>
    <row r="3485" spans="5:13">
      <c r="E3485" s="261"/>
      <c r="F3485" s="261"/>
      <c r="G3485" s="261"/>
      <c r="H3485" s="261"/>
      <c r="I3485" s="261"/>
      <c r="J3485" s="261"/>
      <c r="K3485" s="261"/>
      <c r="L3485" s="261"/>
      <c r="M3485" s="261"/>
    </row>
    <row r="3486" spans="5:13">
      <c r="E3486" s="261"/>
      <c r="F3486" s="261"/>
      <c r="G3486" s="261"/>
      <c r="H3486" s="261"/>
      <c r="I3486" s="261"/>
      <c r="J3486" s="261"/>
      <c r="K3486" s="261"/>
      <c r="L3486" s="261"/>
      <c r="M3486" s="261"/>
    </row>
    <row r="3487" spans="5:13">
      <c r="E3487" s="261"/>
      <c r="F3487" s="261"/>
      <c r="G3487" s="261"/>
      <c r="H3487" s="261"/>
      <c r="I3487" s="261"/>
      <c r="J3487" s="261"/>
      <c r="K3487" s="261"/>
      <c r="L3487" s="261"/>
      <c r="M3487" s="261"/>
    </row>
    <row r="3488" spans="5:13">
      <c r="E3488" s="261"/>
      <c r="F3488" s="261"/>
      <c r="G3488" s="261"/>
      <c r="H3488" s="261"/>
      <c r="I3488" s="261"/>
      <c r="J3488" s="261"/>
      <c r="K3488" s="261"/>
      <c r="L3488" s="261"/>
      <c r="M3488" s="261"/>
    </row>
    <row r="3489" spans="5:13">
      <c r="E3489" s="261"/>
      <c r="F3489" s="261"/>
      <c r="G3489" s="261"/>
      <c r="H3489" s="261"/>
      <c r="I3489" s="261"/>
      <c r="J3489" s="261"/>
      <c r="K3489" s="261"/>
      <c r="L3489" s="261"/>
      <c r="M3489" s="261"/>
    </row>
    <row r="3490" spans="5:13">
      <c r="E3490" s="261"/>
      <c r="F3490" s="261"/>
      <c r="G3490" s="261"/>
      <c r="H3490" s="261"/>
      <c r="I3490" s="261"/>
      <c r="J3490" s="261"/>
      <c r="K3490" s="261"/>
      <c r="L3490" s="261"/>
      <c r="M3490" s="261"/>
    </row>
    <row r="3491" spans="5:13">
      <c r="E3491" s="261"/>
      <c r="F3491" s="261"/>
      <c r="G3491" s="261"/>
      <c r="H3491" s="261"/>
      <c r="I3491" s="261"/>
      <c r="J3491" s="261"/>
      <c r="K3491" s="261"/>
      <c r="L3491" s="261"/>
      <c r="M3491" s="261"/>
    </row>
    <row r="3492" spans="5:13">
      <c r="E3492" s="261"/>
      <c r="F3492" s="261"/>
      <c r="G3492" s="261"/>
      <c r="H3492" s="261"/>
      <c r="I3492" s="261"/>
      <c r="J3492" s="261"/>
      <c r="K3492" s="261"/>
      <c r="L3492" s="261"/>
      <c r="M3492" s="261"/>
    </row>
    <row r="3493" spans="5:13">
      <c r="E3493" s="261"/>
      <c r="F3493" s="261"/>
      <c r="G3493" s="261"/>
      <c r="H3493" s="261"/>
      <c r="I3493" s="261"/>
      <c r="J3493" s="261"/>
      <c r="K3493" s="261"/>
      <c r="L3493" s="261"/>
      <c r="M3493" s="261"/>
    </row>
    <row r="3494" spans="5:13">
      <c r="E3494" s="261"/>
      <c r="F3494" s="261"/>
      <c r="G3494" s="261"/>
      <c r="H3494" s="261"/>
      <c r="I3494" s="261"/>
      <c r="J3494" s="261"/>
      <c r="K3494" s="261"/>
      <c r="L3494" s="261"/>
      <c r="M3494" s="261"/>
    </row>
    <row r="3495" spans="5:13">
      <c r="E3495" s="261"/>
      <c r="F3495" s="261"/>
      <c r="G3495" s="261"/>
      <c r="H3495" s="261"/>
      <c r="I3495" s="261"/>
      <c r="J3495" s="261"/>
      <c r="K3495" s="261"/>
      <c r="L3495" s="261"/>
      <c r="M3495" s="261"/>
    </row>
    <row r="3496" spans="5:13">
      <c r="E3496" s="261"/>
      <c r="F3496" s="261"/>
      <c r="G3496" s="261"/>
      <c r="H3496" s="261"/>
      <c r="I3496" s="261"/>
      <c r="J3496" s="261"/>
      <c r="K3496" s="261"/>
      <c r="L3496" s="261"/>
      <c r="M3496" s="261"/>
    </row>
    <row r="3497" spans="5:13">
      <c r="E3497" s="261"/>
      <c r="F3497" s="261"/>
      <c r="G3497" s="261"/>
      <c r="H3497" s="261"/>
      <c r="I3497" s="261"/>
      <c r="J3497" s="261"/>
      <c r="K3497" s="261"/>
      <c r="L3497" s="261"/>
      <c r="M3497" s="261"/>
    </row>
    <row r="3498" spans="5:13">
      <c r="E3498" s="261"/>
      <c r="F3498" s="261"/>
      <c r="G3498" s="261"/>
      <c r="H3498" s="261"/>
      <c r="I3498" s="261"/>
      <c r="J3498" s="261"/>
      <c r="K3498" s="261"/>
      <c r="L3498" s="261"/>
      <c r="M3498" s="261"/>
    </row>
    <row r="3499" spans="5:13">
      <c r="E3499" s="261"/>
      <c r="F3499" s="261"/>
      <c r="G3499" s="261"/>
      <c r="H3499" s="261"/>
      <c r="I3499" s="261"/>
      <c r="J3499" s="261"/>
      <c r="K3499" s="261"/>
      <c r="L3499" s="261"/>
      <c r="M3499" s="261"/>
    </row>
    <row r="3500" spans="5:13">
      <c r="E3500" s="261"/>
      <c r="F3500" s="261"/>
      <c r="G3500" s="261"/>
      <c r="H3500" s="261"/>
      <c r="I3500" s="261"/>
      <c r="J3500" s="261"/>
      <c r="K3500" s="261"/>
      <c r="L3500" s="261"/>
      <c r="M3500" s="261"/>
    </row>
    <row r="3501" spans="5:13">
      <c r="E3501" s="261"/>
      <c r="F3501" s="261"/>
      <c r="G3501" s="261"/>
      <c r="H3501" s="261"/>
      <c r="I3501" s="261"/>
      <c r="J3501" s="261"/>
      <c r="K3501" s="261"/>
      <c r="L3501" s="261"/>
      <c r="M3501" s="261"/>
    </row>
    <row r="3502" spans="5:13">
      <c r="E3502" s="261"/>
      <c r="F3502" s="261"/>
      <c r="G3502" s="261"/>
      <c r="H3502" s="261"/>
      <c r="I3502" s="261"/>
      <c r="J3502" s="261"/>
      <c r="K3502" s="261"/>
      <c r="L3502" s="261"/>
      <c r="M3502" s="261"/>
    </row>
    <row r="3503" spans="5:13">
      <c r="E3503" s="261"/>
      <c r="F3503" s="261"/>
      <c r="G3503" s="261"/>
      <c r="H3503" s="261"/>
      <c r="I3503" s="261"/>
      <c r="J3503" s="261"/>
      <c r="K3503" s="261"/>
      <c r="L3503" s="261"/>
      <c r="M3503" s="261"/>
    </row>
    <row r="3504" spans="5:13">
      <c r="E3504" s="261"/>
      <c r="F3504" s="261"/>
      <c r="G3504" s="261"/>
      <c r="H3504" s="261"/>
      <c r="I3504" s="261"/>
      <c r="J3504" s="261"/>
      <c r="K3504" s="261"/>
      <c r="L3504" s="261"/>
      <c r="M3504" s="261"/>
    </row>
    <row r="3505" spans="5:13">
      <c r="E3505" s="261"/>
      <c r="F3505" s="261"/>
      <c r="G3505" s="261"/>
      <c r="H3505" s="261"/>
      <c r="I3505" s="261"/>
      <c r="J3505" s="261"/>
      <c r="K3505" s="261"/>
      <c r="L3505" s="261"/>
      <c r="M3505" s="261"/>
    </row>
    <row r="3506" spans="5:13">
      <c r="E3506" s="261"/>
      <c r="F3506" s="261"/>
      <c r="G3506" s="261"/>
      <c r="H3506" s="261"/>
      <c r="I3506" s="261"/>
      <c r="J3506" s="261"/>
      <c r="K3506" s="261"/>
      <c r="L3506" s="261"/>
      <c r="M3506" s="261"/>
    </row>
    <row r="3507" spans="5:13">
      <c r="E3507" s="261"/>
      <c r="F3507" s="261"/>
      <c r="G3507" s="261"/>
      <c r="H3507" s="261"/>
      <c r="I3507" s="261"/>
      <c r="J3507" s="261"/>
      <c r="K3507" s="261"/>
      <c r="L3507" s="261"/>
      <c r="M3507" s="261"/>
    </row>
    <row r="3508" spans="5:13">
      <c r="E3508" s="261"/>
      <c r="F3508" s="261"/>
      <c r="G3508" s="261"/>
      <c r="H3508" s="261"/>
      <c r="I3508" s="261"/>
      <c r="J3508" s="261"/>
      <c r="K3508" s="261"/>
      <c r="L3508" s="261"/>
      <c r="M3508" s="261"/>
    </row>
    <row r="3509" spans="5:13">
      <c r="E3509" s="261"/>
      <c r="F3509" s="261"/>
      <c r="G3509" s="261"/>
      <c r="H3509" s="261"/>
      <c r="I3509" s="261"/>
      <c r="J3509" s="261"/>
      <c r="K3509" s="261"/>
      <c r="L3509" s="261"/>
      <c r="M3509" s="261"/>
    </row>
    <row r="3510" spans="5:13">
      <c r="E3510" s="261"/>
      <c r="F3510" s="261"/>
      <c r="G3510" s="261"/>
      <c r="H3510" s="261"/>
      <c r="I3510" s="261"/>
      <c r="J3510" s="261"/>
      <c r="K3510" s="261"/>
      <c r="L3510" s="261"/>
      <c r="M3510" s="261"/>
    </row>
    <row r="3511" spans="5:13">
      <c r="E3511" s="261"/>
      <c r="F3511" s="261"/>
      <c r="G3511" s="261"/>
      <c r="H3511" s="261"/>
      <c r="I3511" s="261"/>
      <c r="J3511" s="261"/>
      <c r="K3511" s="261"/>
      <c r="L3511" s="261"/>
      <c r="M3511" s="261"/>
    </row>
    <row r="3512" spans="5:13">
      <c r="E3512" s="261"/>
      <c r="F3512" s="261"/>
      <c r="G3512" s="261"/>
      <c r="H3512" s="261"/>
      <c r="I3512" s="261"/>
      <c r="J3512" s="261"/>
      <c r="K3512" s="261"/>
      <c r="L3512" s="261"/>
      <c r="M3512" s="261"/>
    </row>
    <row r="3513" spans="5:13">
      <c r="E3513" s="261"/>
      <c r="F3513" s="261"/>
      <c r="G3513" s="261"/>
      <c r="H3513" s="261"/>
      <c r="I3513" s="261"/>
      <c r="J3513" s="261"/>
      <c r="K3513" s="261"/>
      <c r="L3513" s="261"/>
      <c r="M3513" s="261"/>
    </row>
    <row r="3514" spans="5:13">
      <c r="E3514" s="261"/>
      <c r="F3514" s="261"/>
      <c r="G3514" s="261"/>
      <c r="H3514" s="261"/>
      <c r="I3514" s="261"/>
      <c r="J3514" s="261"/>
      <c r="K3514" s="261"/>
      <c r="L3514" s="261"/>
      <c r="M3514" s="261"/>
    </row>
    <row r="3515" spans="5:13">
      <c r="E3515" s="261"/>
      <c r="F3515" s="261"/>
      <c r="G3515" s="261"/>
      <c r="H3515" s="261"/>
      <c r="I3515" s="261"/>
      <c r="J3515" s="261"/>
      <c r="K3515" s="261"/>
      <c r="L3515" s="261"/>
      <c r="M3515" s="261"/>
    </row>
    <row r="3516" spans="5:13">
      <c r="E3516" s="261"/>
      <c r="F3516" s="261"/>
      <c r="G3516" s="261"/>
      <c r="H3516" s="261"/>
      <c r="I3516" s="261"/>
      <c r="J3516" s="261"/>
      <c r="K3516" s="261"/>
      <c r="L3516" s="261"/>
      <c r="M3516" s="261"/>
    </row>
    <row r="3517" spans="5:13">
      <c r="E3517" s="261"/>
      <c r="F3517" s="261"/>
      <c r="G3517" s="261"/>
      <c r="H3517" s="261"/>
      <c r="I3517" s="261"/>
      <c r="J3517" s="261"/>
      <c r="K3517" s="261"/>
      <c r="L3517" s="261"/>
      <c r="M3517" s="261"/>
    </row>
    <row r="3518" spans="5:13">
      <c r="E3518" s="261"/>
      <c r="F3518" s="261"/>
      <c r="G3518" s="261"/>
      <c r="H3518" s="261"/>
      <c r="I3518" s="261"/>
      <c r="J3518" s="261"/>
      <c r="K3518" s="261"/>
      <c r="L3518" s="261"/>
      <c r="M3518" s="261"/>
    </row>
    <row r="3519" spans="5:13">
      <c r="E3519" s="261"/>
      <c r="F3519" s="261"/>
      <c r="G3519" s="261"/>
      <c r="H3519" s="261"/>
      <c r="I3519" s="261"/>
      <c r="J3519" s="261"/>
      <c r="K3519" s="261"/>
      <c r="L3519" s="261"/>
      <c r="M3519" s="261"/>
    </row>
    <row r="3520" spans="5:13">
      <c r="E3520" s="261"/>
      <c r="F3520" s="261"/>
      <c r="G3520" s="261"/>
      <c r="H3520" s="261"/>
      <c r="I3520" s="261"/>
      <c r="J3520" s="261"/>
      <c r="K3520" s="261"/>
      <c r="L3520" s="261"/>
      <c r="M3520" s="261"/>
    </row>
    <row r="3521" spans="5:13">
      <c r="E3521" s="261"/>
      <c r="F3521" s="261"/>
      <c r="G3521" s="261"/>
      <c r="H3521" s="261"/>
      <c r="I3521" s="261"/>
      <c r="J3521" s="261"/>
      <c r="K3521" s="261"/>
      <c r="L3521" s="261"/>
      <c r="M3521" s="261"/>
    </row>
    <row r="3522" spans="5:13">
      <c r="E3522" s="261"/>
      <c r="F3522" s="261"/>
      <c r="G3522" s="261"/>
      <c r="H3522" s="261"/>
      <c r="I3522" s="261"/>
      <c r="J3522" s="261"/>
      <c r="K3522" s="261"/>
      <c r="L3522" s="261"/>
      <c r="M3522" s="261"/>
    </row>
    <row r="3523" spans="5:13">
      <c r="E3523" s="261"/>
      <c r="F3523" s="261"/>
      <c r="G3523" s="261"/>
      <c r="H3523" s="261"/>
      <c r="I3523" s="261"/>
      <c r="J3523" s="261"/>
      <c r="K3523" s="261"/>
      <c r="L3523" s="261"/>
      <c r="M3523" s="261"/>
    </row>
    <row r="3524" spans="5:13">
      <c r="E3524" s="261"/>
      <c r="F3524" s="261"/>
      <c r="G3524" s="261"/>
      <c r="H3524" s="261"/>
      <c r="I3524" s="261"/>
      <c r="J3524" s="261"/>
      <c r="K3524" s="261"/>
      <c r="L3524" s="261"/>
      <c r="M3524" s="261"/>
    </row>
    <row r="3525" spans="5:13">
      <c r="E3525" s="261"/>
      <c r="F3525" s="261"/>
      <c r="G3525" s="261"/>
      <c r="H3525" s="261"/>
      <c r="I3525" s="261"/>
      <c r="J3525" s="261"/>
      <c r="K3525" s="261"/>
      <c r="L3525" s="261"/>
      <c r="M3525" s="261"/>
    </row>
    <row r="3526" spans="5:13">
      <c r="E3526" s="261"/>
      <c r="F3526" s="261"/>
      <c r="G3526" s="261"/>
      <c r="H3526" s="261"/>
      <c r="I3526" s="261"/>
      <c r="J3526" s="261"/>
      <c r="K3526" s="261"/>
      <c r="L3526" s="261"/>
      <c r="M3526" s="261"/>
    </row>
    <row r="3527" spans="5:13">
      <c r="E3527" s="261"/>
      <c r="F3527" s="261"/>
      <c r="G3527" s="261"/>
      <c r="H3527" s="261"/>
      <c r="I3527" s="261"/>
      <c r="J3527" s="261"/>
      <c r="K3527" s="261"/>
      <c r="L3527" s="261"/>
      <c r="M3527" s="261"/>
    </row>
    <row r="3528" spans="5:13">
      <c r="E3528" s="261"/>
      <c r="F3528" s="261"/>
      <c r="G3528" s="261"/>
      <c r="H3528" s="261"/>
      <c r="I3528" s="261"/>
      <c r="J3528" s="261"/>
      <c r="K3528" s="261"/>
      <c r="L3528" s="261"/>
      <c r="M3528" s="261"/>
    </row>
    <row r="3529" spans="5:13">
      <c r="E3529" s="261"/>
      <c r="F3529" s="261"/>
      <c r="G3529" s="261"/>
      <c r="H3529" s="261"/>
      <c r="I3529" s="261"/>
      <c r="J3529" s="261"/>
      <c r="K3529" s="261"/>
      <c r="L3529" s="261"/>
      <c r="M3529" s="261"/>
    </row>
    <row r="3530" spans="5:13">
      <c r="E3530" s="261"/>
      <c r="F3530" s="261"/>
      <c r="G3530" s="261"/>
      <c r="H3530" s="261"/>
      <c r="I3530" s="261"/>
      <c r="J3530" s="261"/>
      <c r="K3530" s="261"/>
      <c r="L3530" s="261"/>
      <c r="M3530" s="261"/>
    </row>
    <row r="3531" spans="5:13">
      <c r="E3531" s="261"/>
      <c r="F3531" s="261"/>
      <c r="G3531" s="261"/>
      <c r="H3531" s="261"/>
      <c r="I3531" s="261"/>
      <c r="J3531" s="261"/>
      <c r="K3531" s="261"/>
      <c r="L3531" s="261"/>
      <c r="M3531" s="261"/>
    </row>
    <row r="3532" spans="5:13">
      <c r="E3532" s="261"/>
      <c r="F3532" s="261"/>
      <c r="G3532" s="261"/>
      <c r="H3532" s="261"/>
      <c r="I3532" s="261"/>
      <c r="J3532" s="261"/>
      <c r="K3532" s="261"/>
      <c r="L3532" s="261"/>
      <c r="M3532" s="261"/>
    </row>
    <row r="3533" spans="5:13">
      <c r="E3533" s="261"/>
      <c r="F3533" s="261"/>
      <c r="G3533" s="261"/>
      <c r="H3533" s="261"/>
      <c r="I3533" s="261"/>
      <c r="J3533" s="261"/>
      <c r="K3533" s="261"/>
      <c r="L3533" s="261"/>
      <c r="M3533" s="261"/>
    </row>
    <row r="3534" spans="5:13">
      <c r="E3534" s="261"/>
      <c r="F3534" s="261"/>
      <c r="G3534" s="261"/>
      <c r="H3534" s="261"/>
      <c r="I3534" s="261"/>
      <c r="J3534" s="261"/>
      <c r="K3534" s="261"/>
      <c r="L3534" s="261"/>
      <c r="M3534" s="261"/>
    </row>
    <row r="3535" spans="5:13">
      <c r="E3535" s="261"/>
      <c r="F3535" s="261"/>
      <c r="G3535" s="261"/>
      <c r="H3535" s="261"/>
      <c r="I3535" s="261"/>
      <c r="J3535" s="261"/>
      <c r="K3535" s="261"/>
      <c r="L3535" s="261"/>
      <c r="M3535" s="261"/>
    </row>
    <row r="3536" spans="5:13">
      <c r="E3536" s="261"/>
      <c r="F3536" s="261"/>
      <c r="G3536" s="261"/>
      <c r="H3536" s="261"/>
      <c r="I3536" s="261"/>
      <c r="J3536" s="261"/>
      <c r="K3536" s="261"/>
      <c r="L3536" s="261"/>
      <c r="M3536" s="261"/>
    </row>
    <row r="3537" spans="5:13">
      <c r="E3537" s="261"/>
      <c r="F3537" s="261"/>
      <c r="G3537" s="261"/>
      <c r="H3537" s="261"/>
      <c r="I3537" s="261"/>
      <c r="J3537" s="261"/>
      <c r="K3537" s="261"/>
      <c r="L3537" s="261"/>
      <c r="M3537" s="261"/>
    </row>
    <row r="3538" spans="5:13">
      <c r="E3538" s="261"/>
      <c r="F3538" s="261"/>
      <c r="G3538" s="261"/>
      <c r="H3538" s="261"/>
      <c r="I3538" s="261"/>
      <c r="J3538" s="261"/>
      <c r="K3538" s="261"/>
      <c r="L3538" s="261"/>
      <c r="M3538" s="261"/>
    </row>
    <row r="3539" spans="5:13">
      <c r="E3539" s="261"/>
      <c r="F3539" s="261"/>
      <c r="G3539" s="261"/>
      <c r="H3539" s="261"/>
      <c r="I3539" s="261"/>
      <c r="J3539" s="261"/>
      <c r="K3539" s="261"/>
      <c r="L3539" s="261"/>
      <c r="M3539" s="261"/>
    </row>
    <row r="3540" spans="5:13">
      <c r="E3540" s="261"/>
      <c r="F3540" s="261"/>
      <c r="G3540" s="261"/>
      <c r="H3540" s="261"/>
      <c r="I3540" s="261"/>
      <c r="J3540" s="261"/>
      <c r="K3540" s="261"/>
      <c r="L3540" s="261"/>
      <c r="M3540" s="261"/>
    </row>
    <row r="3541" spans="5:13">
      <c r="E3541" s="261"/>
      <c r="F3541" s="261"/>
      <c r="G3541" s="261"/>
      <c r="H3541" s="261"/>
      <c r="I3541" s="261"/>
      <c r="J3541" s="261"/>
      <c r="K3541" s="261"/>
      <c r="L3541" s="261"/>
      <c r="M3541" s="261"/>
    </row>
    <row r="3542" spans="5:13">
      <c r="E3542" s="261"/>
      <c r="F3542" s="261"/>
      <c r="G3542" s="261"/>
      <c r="H3542" s="261"/>
      <c r="I3542" s="261"/>
      <c r="J3542" s="261"/>
      <c r="K3542" s="261"/>
      <c r="L3542" s="261"/>
      <c r="M3542" s="261"/>
    </row>
    <row r="3543" spans="5:13">
      <c r="E3543" s="261"/>
      <c r="F3543" s="261"/>
      <c r="G3543" s="261"/>
      <c r="H3543" s="261"/>
      <c r="I3543" s="261"/>
      <c r="J3543" s="261"/>
      <c r="K3543" s="261"/>
      <c r="L3543" s="261"/>
      <c r="M3543" s="261"/>
    </row>
    <row r="3544" spans="5:13">
      <c r="E3544" s="261"/>
      <c r="F3544" s="261"/>
      <c r="G3544" s="261"/>
      <c r="H3544" s="261"/>
      <c r="I3544" s="261"/>
      <c r="J3544" s="261"/>
      <c r="K3544" s="261"/>
      <c r="L3544" s="261"/>
      <c r="M3544" s="261"/>
    </row>
    <row r="3545" spans="5:13">
      <c r="E3545" s="261"/>
      <c r="F3545" s="261"/>
      <c r="G3545" s="261"/>
      <c r="H3545" s="261"/>
      <c r="I3545" s="261"/>
      <c r="J3545" s="261"/>
      <c r="K3545" s="261"/>
      <c r="L3545" s="261"/>
      <c r="M3545" s="261"/>
    </row>
    <row r="3546" spans="5:13">
      <c r="E3546" s="261"/>
      <c r="F3546" s="261"/>
      <c r="G3546" s="261"/>
      <c r="H3546" s="261"/>
      <c r="I3546" s="261"/>
      <c r="J3546" s="261"/>
      <c r="K3546" s="261"/>
      <c r="L3546" s="261"/>
      <c r="M3546" s="261"/>
    </row>
    <row r="3547" spans="5:13">
      <c r="E3547" s="261"/>
      <c r="F3547" s="261"/>
      <c r="G3547" s="261"/>
      <c r="H3547" s="261"/>
      <c r="I3547" s="261"/>
      <c r="J3547" s="261"/>
      <c r="K3547" s="261"/>
      <c r="L3547" s="261"/>
      <c r="M3547" s="261"/>
    </row>
    <row r="3548" spans="5:13">
      <c r="E3548" s="261"/>
      <c r="F3548" s="261"/>
      <c r="G3548" s="261"/>
      <c r="H3548" s="261"/>
      <c r="I3548" s="261"/>
      <c r="J3548" s="261"/>
      <c r="K3548" s="261"/>
      <c r="L3548" s="261"/>
      <c r="M3548" s="261"/>
    </row>
    <row r="3549" spans="5:13">
      <c r="E3549" s="261"/>
      <c r="F3549" s="261"/>
      <c r="G3549" s="261"/>
      <c r="H3549" s="261"/>
      <c r="I3549" s="261"/>
      <c r="J3549" s="261"/>
      <c r="K3549" s="261"/>
      <c r="L3549" s="261"/>
      <c r="M3549" s="261"/>
    </row>
    <row r="3550" spans="5:13">
      <c r="E3550" s="261"/>
      <c r="F3550" s="261"/>
      <c r="G3550" s="261"/>
      <c r="H3550" s="261"/>
      <c r="I3550" s="261"/>
      <c r="J3550" s="261"/>
      <c r="K3550" s="261"/>
      <c r="L3550" s="261"/>
      <c r="M3550" s="261"/>
    </row>
    <row r="3551" spans="5:13">
      <c r="E3551" s="261"/>
      <c r="F3551" s="261"/>
      <c r="G3551" s="261"/>
      <c r="H3551" s="261"/>
      <c r="I3551" s="261"/>
      <c r="J3551" s="261"/>
      <c r="K3551" s="261"/>
      <c r="L3551" s="261"/>
      <c r="M3551" s="261"/>
    </row>
    <row r="3552" spans="5:13">
      <c r="E3552" s="261"/>
      <c r="F3552" s="261"/>
      <c r="G3552" s="261"/>
      <c r="H3552" s="261"/>
      <c r="I3552" s="261"/>
      <c r="J3552" s="261"/>
      <c r="K3552" s="261"/>
      <c r="L3552" s="261"/>
      <c r="M3552" s="261"/>
    </row>
    <row r="3553" spans="5:13">
      <c r="E3553" s="261"/>
      <c r="F3553" s="261"/>
      <c r="G3553" s="261"/>
      <c r="H3553" s="261"/>
      <c r="I3553" s="261"/>
      <c r="J3553" s="261"/>
      <c r="K3553" s="261"/>
      <c r="L3553" s="261"/>
      <c r="M3553" s="261"/>
    </row>
    <row r="3554" spans="5:13">
      <c r="E3554" s="261"/>
      <c r="F3554" s="261"/>
      <c r="G3554" s="261"/>
      <c r="H3554" s="261"/>
      <c r="I3554" s="261"/>
      <c r="J3554" s="261"/>
      <c r="K3554" s="261"/>
      <c r="L3554" s="261"/>
      <c r="M3554" s="261"/>
    </row>
    <row r="3555" spans="5:13">
      <c r="E3555" s="261"/>
      <c r="F3555" s="261"/>
      <c r="G3555" s="261"/>
      <c r="H3555" s="261"/>
      <c r="I3555" s="261"/>
      <c r="J3555" s="261"/>
      <c r="K3555" s="261"/>
      <c r="L3555" s="261"/>
      <c r="M3555" s="261"/>
    </row>
    <row r="3556" spans="5:13">
      <c r="E3556" s="261"/>
      <c r="F3556" s="261"/>
      <c r="G3556" s="261"/>
      <c r="H3556" s="261"/>
      <c r="I3556" s="261"/>
      <c r="J3556" s="261"/>
      <c r="K3556" s="261"/>
      <c r="L3556" s="261"/>
      <c r="M3556" s="261"/>
    </row>
    <row r="3557" spans="5:13">
      <c r="E3557" s="261"/>
      <c r="F3557" s="261"/>
      <c r="G3557" s="261"/>
      <c r="H3557" s="261"/>
      <c r="I3557" s="261"/>
      <c r="J3557" s="261"/>
      <c r="K3557" s="261"/>
      <c r="L3557" s="261"/>
      <c r="M3557" s="261"/>
    </row>
    <row r="3558" spans="5:13">
      <c r="E3558" s="261"/>
      <c r="F3558" s="261"/>
      <c r="G3558" s="261"/>
      <c r="H3558" s="261"/>
      <c r="I3558" s="261"/>
      <c r="J3558" s="261"/>
      <c r="K3558" s="261"/>
      <c r="L3558" s="261"/>
      <c r="M3558" s="261"/>
    </row>
    <row r="3559" spans="5:13">
      <c r="E3559" s="261"/>
      <c r="F3559" s="261"/>
      <c r="G3559" s="261"/>
      <c r="H3559" s="261"/>
      <c r="I3559" s="261"/>
      <c r="J3559" s="261"/>
      <c r="K3559" s="261"/>
      <c r="L3559" s="261"/>
      <c r="M3559" s="261"/>
    </row>
    <row r="3560" spans="5:13">
      <c r="E3560" s="261"/>
      <c r="F3560" s="261"/>
      <c r="G3560" s="261"/>
      <c r="H3560" s="261"/>
      <c r="I3560" s="261"/>
      <c r="J3560" s="261"/>
      <c r="K3560" s="261"/>
      <c r="L3560" s="261"/>
      <c r="M3560" s="261"/>
    </row>
    <row r="3561" spans="5:13">
      <c r="E3561" s="261"/>
      <c r="F3561" s="261"/>
      <c r="G3561" s="261"/>
      <c r="H3561" s="261"/>
      <c r="I3561" s="261"/>
      <c r="J3561" s="261"/>
      <c r="K3561" s="261"/>
      <c r="L3561" s="261"/>
      <c r="M3561" s="261"/>
    </row>
    <row r="3562" spans="5:13">
      <c r="E3562" s="261"/>
      <c r="F3562" s="261"/>
      <c r="G3562" s="261"/>
      <c r="H3562" s="261"/>
      <c r="I3562" s="261"/>
      <c r="J3562" s="261"/>
      <c r="K3562" s="261"/>
      <c r="L3562" s="261"/>
      <c r="M3562" s="261"/>
    </row>
    <row r="3563" spans="5:13">
      <c r="E3563" s="261"/>
      <c r="F3563" s="261"/>
      <c r="G3563" s="261"/>
      <c r="H3563" s="261"/>
      <c r="I3563" s="261"/>
      <c r="J3563" s="261"/>
      <c r="K3563" s="261"/>
      <c r="L3563" s="261"/>
      <c r="M3563" s="261"/>
    </row>
    <row r="3564" spans="5:13">
      <c r="E3564" s="261"/>
      <c r="F3564" s="261"/>
      <c r="G3564" s="261"/>
      <c r="H3564" s="261"/>
      <c r="I3564" s="261"/>
      <c r="J3564" s="261"/>
      <c r="K3564" s="261"/>
      <c r="L3564" s="261"/>
      <c r="M3564" s="261"/>
    </row>
    <row r="3565" spans="5:13">
      <c r="E3565" s="261"/>
      <c r="F3565" s="261"/>
      <c r="G3565" s="261"/>
      <c r="H3565" s="261"/>
      <c r="I3565" s="261"/>
      <c r="J3565" s="261"/>
      <c r="K3565" s="261"/>
      <c r="L3565" s="261"/>
      <c r="M3565" s="261"/>
    </row>
    <row r="3566" spans="5:13">
      <c r="E3566" s="261"/>
      <c r="F3566" s="261"/>
      <c r="G3566" s="261"/>
      <c r="H3566" s="261"/>
      <c r="I3566" s="261"/>
      <c r="J3566" s="261"/>
      <c r="K3566" s="261"/>
      <c r="L3566" s="261"/>
      <c r="M3566" s="261"/>
    </row>
    <row r="3567" spans="5:13">
      <c r="E3567" s="261"/>
      <c r="F3567" s="261"/>
      <c r="G3567" s="261"/>
      <c r="H3567" s="261"/>
      <c r="I3567" s="261"/>
      <c r="J3567" s="261"/>
      <c r="K3567" s="261"/>
      <c r="L3567" s="261"/>
      <c r="M3567" s="261"/>
    </row>
    <row r="3568" spans="5:13">
      <c r="E3568" s="261"/>
      <c r="F3568" s="261"/>
      <c r="G3568" s="261"/>
      <c r="H3568" s="261"/>
      <c r="I3568" s="261"/>
      <c r="J3568" s="261"/>
      <c r="K3568" s="261"/>
      <c r="L3568" s="261"/>
      <c r="M3568" s="261"/>
    </row>
    <row r="3569" spans="5:13">
      <c r="E3569" s="261"/>
      <c r="F3569" s="261"/>
      <c r="G3569" s="261"/>
      <c r="H3569" s="261"/>
      <c r="I3569" s="261"/>
      <c r="J3569" s="261"/>
      <c r="K3569" s="261"/>
      <c r="L3569" s="261"/>
      <c r="M3569" s="261"/>
    </row>
    <row r="3570" spans="5:13">
      <c r="E3570" s="261"/>
      <c r="F3570" s="261"/>
      <c r="G3570" s="261"/>
      <c r="H3570" s="261"/>
      <c r="I3570" s="261"/>
      <c r="J3570" s="261"/>
      <c r="K3570" s="261"/>
      <c r="L3570" s="261"/>
      <c r="M3570" s="261"/>
    </row>
    <row r="3571" spans="5:13">
      <c r="E3571" s="261"/>
      <c r="F3571" s="261"/>
      <c r="G3571" s="261"/>
      <c r="H3571" s="261"/>
      <c r="I3571" s="261"/>
      <c r="J3571" s="261"/>
      <c r="K3571" s="261"/>
      <c r="L3571" s="261"/>
      <c r="M3571" s="261"/>
    </row>
    <row r="3572" spans="5:13">
      <c r="E3572" s="261"/>
      <c r="F3572" s="261"/>
      <c r="G3572" s="261"/>
      <c r="H3572" s="261"/>
      <c r="I3572" s="261"/>
      <c r="J3572" s="261"/>
      <c r="K3572" s="261"/>
      <c r="L3572" s="261"/>
      <c r="M3572" s="261"/>
    </row>
    <row r="3573" spans="5:13">
      <c r="E3573" s="261"/>
      <c r="F3573" s="261"/>
      <c r="G3573" s="261"/>
      <c r="H3573" s="261"/>
      <c r="I3573" s="261"/>
      <c r="J3573" s="261"/>
      <c r="K3573" s="261"/>
      <c r="L3573" s="261"/>
      <c r="M3573" s="261"/>
    </row>
    <row r="3574" spans="5:13">
      <c r="E3574" s="261"/>
      <c r="F3574" s="261"/>
      <c r="G3574" s="261"/>
      <c r="H3574" s="261"/>
      <c r="I3574" s="261"/>
      <c r="J3574" s="261"/>
      <c r="K3574" s="261"/>
      <c r="L3574" s="261"/>
      <c r="M3574" s="261"/>
    </row>
    <row r="3575" spans="5:13">
      <c r="E3575" s="261"/>
      <c r="F3575" s="261"/>
      <c r="G3575" s="261"/>
      <c r="H3575" s="261"/>
      <c r="I3575" s="261"/>
      <c r="J3575" s="261"/>
      <c r="K3575" s="261"/>
      <c r="L3575" s="261"/>
      <c r="M3575" s="261"/>
    </row>
    <row r="3576" spans="5:13">
      <c r="E3576" s="261"/>
      <c r="F3576" s="261"/>
      <c r="G3576" s="261"/>
      <c r="H3576" s="261"/>
      <c r="I3576" s="261"/>
      <c r="J3576" s="261"/>
      <c r="K3576" s="261"/>
      <c r="L3576" s="261"/>
      <c r="M3576" s="261"/>
    </row>
    <row r="3577" spans="5:13">
      <c r="E3577" s="261"/>
      <c r="F3577" s="261"/>
      <c r="G3577" s="261"/>
      <c r="H3577" s="261"/>
      <c r="I3577" s="261"/>
      <c r="J3577" s="261"/>
      <c r="K3577" s="261"/>
      <c r="L3577" s="261"/>
      <c r="M3577" s="261"/>
    </row>
    <row r="3578" spans="5:13">
      <c r="E3578" s="261"/>
      <c r="F3578" s="261"/>
      <c r="G3578" s="261"/>
      <c r="H3578" s="261"/>
      <c r="I3578" s="261"/>
      <c r="J3578" s="261"/>
      <c r="K3578" s="261"/>
      <c r="L3578" s="261"/>
      <c r="M3578" s="261"/>
    </row>
    <row r="3579" spans="5:13">
      <c r="E3579" s="261"/>
      <c r="F3579" s="261"/>
      <c r="G3579" s="261"/>
      <c r="H3579" s="261"/>
      <c r="I3579" s="261"/>
      <c r="J3579" s="261"/>
      <c r="K3579" s="261"/>
      <c r="L3579" s="261"/>
      <c r="M3579" s="261"/>
    </row>
    <row r="3580" spans="5:13">
      <c r="E3580" s="261"/>
      <c r="F3580" s="261"/>
      <c r="G3580" s="261"/>
      <c r="H3580" s="261"/>
      <c r="I3580" s="261"/>
      <c r="J3580" s="261"/>
      <c r="K3580" s="261"/>
      <c r="L3580" s="261"/>
      <c r="M3580" s="261"/>
    </row>
    <row r="3581" spans="5:13">
      <c r="E3581" s="261"/>
      <c r="F3581" s="261"/>
      <c r="G3581" s="261"/>
      <c r="H3581" s="261"/>
      <c r="I3581" s="261"/>
      <c r="J3581" s="261"/>
      <c r="K3581" s="261"/>
      <c r="L3581" s="261"/>
      <c r="M3581" s="261"/>
    </row>
    <row r="3582" spans="5:13">
      <c r="E3582" s="261"/>
      <c r="F3582" s="261"/>
      <c r="G3582" s="261"/>
      <c r="H3582" s="261"/>
      <c r="I3582" s="261"/>
      <c r="J3582" s="261"/>
      <c r="K3582" s="261"/>
      <c r="L3582" s="261"/>
      <c r="M3582" s="261"/>
    </row>
    <row r="3583" spans="5:13">
      <c r="E3583" s="261"/>
      <c r="F3583" s="261"/>
      <c r="G3583" s="261"/>
      <c r="H3583" s="261"/>
      <c r="I3583" s="261"/>
      <c r="J3583" s="261"/>
      <c r="K3583" s="261"/>
      <c r="L3583" s="261"/>
      <c r="M3583" s="261"/>
    </row>
    <row r="3584" spans="5:13">
      <c r="E3584" s="261"/>
      <c r="F3584" s="261"/>
      <c r="G3584" s="261"/>
      <c r="H3584" s="261"/>
      <c r="I3584" s="261"/>
      <c r="J3584" s="261"/>
      <c r="K3584" s="261"/>
      <c r="L3584" s="261"/>
      <c r="M3584" s="261"/>
    </row>
    <row r="3585" spans="5:13">
      <c r="E3585" s="261"/>
      <c r="F3585" s="261"/>
      <c r="G3585" s="261"/>
      <c r="H3585" s="261"/>
      <c r="I3585" s="261"/>
      <c r="J3585" s="261"/>
      <c r="K3585" s="261"/>
      <c r="L3585" s="261"/>
      <c r="M3585" s="261"/>
    </row>
    <row r="3586" spans="5:13">
      <c r="E3586" s="261"/>
      <c r="F3586" s="261"/>
      <c r="G3586" s="261"/>
      <c r="H3586" s="261"/>
      <c r="I3586" s="261"/>
      <c r="J3586" s="261"/>
      <c r="K3586" s="261"/>
      <c r="L3586" s="261"/>
      <c r="M3586" s="261"/>
    </row>
    <row r="3587" spans="5:13">
      <c r="E3587" s="261"/>
      <c r="F3587" s="261"/>
      <c r="G3587" s="261"/>
      <c r="H3587" s="261"/>
      <c r="I3587" s="261"/>
      <c r="J3587" s="261"/>
      <c r="K3587" s="261"/>
      <c r="L3587" s="261"/>
      <c r="M3587" s="261"/>
    </row>
    <row r="3588" spans="5:13">
      <c r="E3588" s="261"/>
      <c r="F3588" s="261"/>
      <c r="G3588" s="261"/>
      <c r="H3588" s="261"/>
      <c r="I3588" s="261"/>
      <c r="J3588" s="261"/>
      <c r="K3588" s="261"/>
      <c r="L3588" s="261"/>
      <c r="M3588" s="261"/>
    </row>
    <row r="3589" spans="5:13">
      <c r="E3589" s="261"/>
      <c r="F3589" s="261"/>
      <c r="G3589" s="261"/>
      <c r="H3589" s="261"/>
      <c r="I3589" s="261"/>
      <c r="J3589" s="261"/>
      <c r="K3589" s="261"/>
      <c r="L3589" s="261"/>
      <c r="M3589" s="261"/>
    </row>
    <row r="3590" spans="5:13">
      <c r="E3590" s="261"/>
      <c r="F3590" s="261"/>
      <c r="G3590" s="261"/>
      <c r="H3590" s="261"/>
      <c r="I3590" s="261"/>
      <c r="J3590" s="261"/>
      <c r="K3590" s="261"/>
      <c r="L3590" s="261"/>
      <c r="M3590" s="261"/>
    </row>
    <row r="3591" spans="5:13">
      <c r="E3591" s="261"/>
      <c r="F3591" s="261"/>
      <c r="G3591" s="261"/>
      <c r="H3591" s="261"/>
      <c r="I3591" s="261"/>
      <c r="J3591" s="261"/>
      <c r="K3591" s="261"/>
      <c r="L3591" s="261"/>
      <c r="M3591" s="261"/>
    </row>
    <row r="3592" spans="5:13">
      <c r="E3592" s="261"/>
      <c r="F3592" s="261"/>
      <c r="G3592" s="261"/>
      <c r="H3592" s="261"/>
      <c r="I3592" s="261"/>
      <c r="J3592" s="261"/>
      <c r="K3592" s="261"/>
      <c r="L3592" s="261"/>
      <c r="M3592" s="261"/>
    </row>
    <row r="3593" spans="5:13">
      <c r="E3593" s="261"/>
      <c r="F3593" s="261"/>
      <c r="G3593" s="261"/>
      <c r="H3593" s="261"/>
      <c r="I3593" s="261"/>
      <c r="J3593" s="261"/>
      <c r="K3593" s="261"/>
      <c r="L3593" s="261"/>
      <c r="M3593" s="261"/>
    </row>
    <row r="3594" spans="5:13">
      <c r="E3594" s="261"/>
      <c r="F3594" s="261"/>
      <c r="G3594" s="261"/>
      <c r="H3594" s="261"/>
      <c r="I3594" s="261"/>
      <c r="J3594" s="261"/>
      <c r="K3594" s="261"/>
      <c r="L3594" s="261"/>
      <c r="M3594" s="261"/>
    </row>
    <row r="3595" spans="5:13">
      <c r="E3595" s="261"/>
      <c r="F3595" s="261"/>
      <c r="G3595" s="261"/>
      <c r="H3595" s="261"/>
      <c r="I3595" s="261"/>
      <c r="J3595" s="261"/>
      <c r="K3595" s="261"/>
      <c r="L3595" s="261"/>
      <c r="M3595" s="261"/>
    </row>
    <row r="3596" spans="5:13">
      <c r="E3596" s="261"/>
      <c r="F3596" s="261"/>
      <c r="G3596" s="261"/>
      <c r="H3596" s="261"/>
      <c r="I3596" s="261"/>
      <c r="J3596" s="261"/>
      <c r="K3596" s="261"/>
      <c r="L3596" s="261"/>
      <c r="M3596" s="261"/>
    </row>
    <row r="3597" spans="5:13">
      <c r="E3597" s="261"/>
      <c r="F3597" s="261"/>
      <c r="G3597" s="261"/>
      <c r="H3597" s="261"/>
      <c r="I3597" s="261"/>
      <c r="J3597" s="261"/>
      <c r="K3597" s="261"/>
      <c r="L3597" s="261"/>
      <c r="M3597" s="261"/>
    </row>
    <row r="3598" spans="5:13">
      <c r="E3598" s="261"/>
      <c r="F3598" s="261"/>
      <c r="G3598" s="261"/>
      <c r="H3598" s="261"/>
      <c r="I3598" s="261"/>
      <c r="J3598" s="261"/>
      <c r="K3598" s="261"/>
      <c r="L3598" s="261"/>
      <c r="M3598" s="261"/>
    </row>
    <row r="3599" spans="5:13">
      <c r="E3599" s="261"/>
      <c r="F3599" s="261"/>
      <c r="G3599" s="261"/>
      <c r="H3599" s="261"/>
      <c r="I3599" s="261"/>
      <c r="J3599" s="261"/>
      <c r="K3599" s="261"/>
      <c r="L3599" s="261"/>
      <c r="M3599" s="261"/>
    </row>
    <row r="3600" spans="5:13">
      <c r="E3600" s="261"/>
      <c r="F3600" s="261"/>
      <c r="G3600" s="261"/>
      <c r="H3600" s="261"/>
      <c r="I3600" s="261"/>
      <c r="J3600" s="261"/>
      <c r="K3600" s="261"/>
      <c r="L3600" s="261"/>
      <c r="M3600" s="261"/>
    </row>
    <row r="3601" spans="5:13">
      <c r="E3601" s="261"/>
      <c r="F3601" s="261"/>
      <c r="G3601" s="261"/>
      <c r="H3601" s="261"/>
      <c r="I3601" s="261"/>
      <c r="J3601" s="261"/>
      <c r="K3601" s="261"/>
      <c r="L3601" s="261"/>
      <c r="M3601" s="261"/>
    </row>
    <row r="3602" spans="5:13">
      <c r="E3602" s="261"/>
      <c r="F3602" s="261"/>
      <c r="G3602" s="261"/>
      <c r="H3602" s="261"/>
      <c r="I3602" s="261"/>
      <c r="J3602" s="261"/>
      <c r="K3602" s="261"/>
      <c r="L3602" s="261"/>
      <c r="M3602" s="261"/>
    </row>
    <row r="3603" spans="5:13">
      <c r="E3603" s="261"/>
      <c r="F3603" s="261"/>
      <c r="G3603" s="261"/>
      <c r="H3603" s="261"/>
      <c r="I3603" s="261"/>
      <c r="J3603" s="261"/>
      <c r="K3603" s="261"/>
      <c r="L3603" s="261"/>
      <c r="M3603" s="261"/>
    </row>
    <row r="3604" spans="5:13">
      <c r="E3604" s="261"/>
      <c r="F3604" s="261"/>
      <c r="G3604" s="261"/>
      <c r="H3604" s="261"/>
      <c r="I3604" s="261"/>
      <c r="J3604" s="261"/>
      <c r="K3604" s="261"/>
      <c r="L3604" s="261"/>
      <c r="M3604" s="261"/>
    </row>
    <row r="3605" spans="5:13">
      <c r="E3605" s="261"/>
      <c r="F3605" s="261"/>
      <c r="G3605" s="261"/>
      <c r="H3605" s="261"/>
      <c r="I3605" s="261"/>
      <c r="J3605" s="261"/>
      <c r="K3605" s="261"/>
      <c r="L3605" s="261"/>
      <c r="M3605" s="261"/>
    </row>
    <row r="3606" spans="5:13">
      <c r="E3606" s="261"/>
      <c r="F3606" s="261"/>
      <c r="G3606" s="261"/>
      <c r="H3606" s="261"/>
      <c r="I3606" s="261"/>
      <c r="J3606" s="261"/>
      <c r="K3606" s="261"/>
      <c r="L3606" s="261"/>
      <c r="M3606" s="261"/>
    </row>
    <row r="3607" spans="5:13">
      <c r="E3607" s="261"/>
      <c r="F3607" s="261"/>
      <c r="G3607" s="261"/>
      <c r="H3607" s="261"/>
      <c r="I3607" s="261"/>
      <c r="J3607" s="261"/>
      <c r="K3607" s="261"/>
      <c r="L3607" s="261"/>
      <c r="M3607" s="261"/>
    </row>
    <row r="3608" spans="5:13">
      <c r="E3608" s="261"/>
      <c r="F3608" s="261"/>
      <c r="G3608" s="261"/>
      <c r="H3608" s="261"/>
      <c r="I3608" s="261"/>
      <c r="J3608" s="261"/>
      <c r="K3608" s="261"/>
      <c r="L3608" s="261"/>
      <c r="M3608" s="261"/>
    </row>
    <row r="3609" spans="5:13">
      <c r="E3609" s="261"/>
      <c r="F3609" s="261"/>
      <c r="G3609" s="261"/>
      <c r="H3609" s="261"/>
      <c r="I3609" s="261"/>
      <c r="J3609" s="261"/>
      <c r="K3609" s="261"/>
      <c r="L3609" s="261"/>
      <c r="M3609" s="261"/>
    </row>
    <row r="3610" spans="5:13">
      <c r="E3610" s="261"/>
      <c r="F3610" s="261"/>
      <c r="G3610" s="261"/>
      <c r="H3610" s="261"/>
      <c r="I3610" s="261"/>
      <c r="J3610" s="261"/>
      <c r="K3610" s="261"/>
      <c r="L3610" s="261"/>
      <c r="M3610" s="261"/>
    </row>
    <row r="3611" spans="5:13">
      <c r="E3611" s="261"/>
      <c r="F3611" s="261"/>
      <c r="G3611" s="261"/>
      <c r="H3611" s="261"/>
      <c r="I3611" s="261"/>
      <c r="J3611" s="261"/>
      <c r="K3611" s="261"/>
      <c r="L3611" s="261"/>
      <c r="M3611" s="261"/>
    </row>
    <row r="3612" spans="5:13">
      <c r="E3612" s="261"/>
      <c r="F3612" s="261"/>
      <c r="G3612" s="261"/>
      <c r="H3612" s="261"/>
      <c r="I3612" s="261"/>
      <c r="J3612" s="261"/>
      <c r="K3612" s="261"/>
      <c r="L3612" s="261"/>
      <c r="M3612" s="261"/>
    </row>
    <row r="3613" spans="5:13">
      <c r="E3613" s="261"/>
      <c r="F3613" s="261"/>
      <c r="G3613" s="261"/>
      <c r="H3613" s="261"/>
      <c r="I3613" s="261"/>
      <c r="J3613" s="261"/>
      <c r="K3613" s="261"/>
      <c r="L3613" s="261"/>
      <c r="M3613" s="261"/>
    </row>
    <row r="3614" spans="5:13">
      <c r="E3614" s="261"/>
      <c r="F3614" s="261"/>
      <c r="G3614" s="261"/>
      <c r="H3614" s="261"/>
      <c r="I3614" s="261"/>
      <c r="J3614" s="261"/>
      <c r="K3614" s="261"/>
      <c r="L3614" s="261"/>
      <c r="M3614" s="261"/>
    </row>
    <row r="3615" spans="5:13">
      <c r="E3615" s="261"/>
      <c r="F3615" s="261"/>
      <c r="G3615" s="261"/>
      <c r="H3615" s="261"/>
      <c r="I3615" s="261"/>
      <c r="J3615" s="261"/>
      <c r="K3615" s="261"/>
      <c r="L3615" s="261"/>
      <c r="M3615" s="261"/>
    </row>
    <row r="3616" spans="5:13">
      <c r="E3616" s="261"/>
      <c r="F3616" s="261"/>
      <c r="G3616" s="261"/>
      <c r="H3616" s="261"/>
      <c r="I3616" s="261"/>
      <c r="J3616" s="261"/>
      <c r="K3616" s="261"/>
      <c r="L3616" s="261"/>
      <c r="M3616" s="261"/>
    </row>
    <row r="3617" spans="5:13">
      <c r="E3617" s="261"/>
      <c r="F3617" s="261"/>
      <c r="G3617" s="261"/>
      <c r="H3617" s="261"/>
      <c r="I3617" s="261"/>
      <c r="J3617" s="261"/>
      <c r="K3617" s="261"/>
      <c r="L3617" s="261"/>
      <c r="M3617" s="261"/>
    </row>
    <row r="3618" spans="5:13">
      <c r="E3618" s="261"/>
      <c r="F3618" s="261"/>
      <c r="G3618" s="261"/>
      <c r="H3618" s="261"/>
      <c r="I3618" s="261"/>
      <c r="J3618" s="261"/>
      <c r="K3618" s="261"/>
      <c r="L3618" s="261"/>
      <c r="M3618" s="261"/>
    </row>
    <row r="3619" spans="5:13">
      <c r="E3619" s="261"/>
      <c r="F3619" s="261"/>
      <c r="G3619" s="261"/>
      <c r="H3619" s="261"/>
      <c r="I3619" s="261"/>
      <c r="J3619" s="261"/>
      <c r="K3619" s="261"/>
      <c r="L3619" s="261"/>
      <c r="M3619" s="261"/>
    </row>
    <row r="3620" spans="5:13">
      <c r="E3620" s="261"/>
      <c r="F3620" s="261"/>
      <c r="G3620" s="261"/>
      <c r="H3620" s="261"/>
      <c r="I3620" s="261"/>
      <c r="J3620" s="261"/>
      <c r="K3620" s="261"/>
      <c r="L3620" s="261"/>
      <c r="M3620" s="261"/>
    </row>
    <row r="3621" spans="5:13">
      <c r="E3621" s="261"/>
      <c r="F3621" s="261"/>
      <c r="G3621" s="261"/>
      <c r="H3621" s="261"/>
      <c r="I3621" s="261"/>
      <c r="J3621" s="261"/>
      <c r="K3621" s="261"/>
      <c r="L3621" s="261"/>
      <c r="M3621" s="261"/>
    </row>
    <row r="3622" spans="5:13">
      <c r="E3622" s="261"/>
      <c r="F3622" s="261"/>
      <c r="G3622" s="261"/>
      <c r="H3622" s="261"/>
      <c r="I3622" s="261"/>
      <c r="J3622" s="261"/>
      <c r="K3622" s="261"/>
      <c r="L3622" s="261"/>
      <c r="M3622" s="261"/>
    </row>
    <row r="3623" spans="5:13">
      <c r="E3623" s="261"/>
      <c r="F3623" s="261"/>
      <c r="G3623" s="261"/>
      <c r="H3623" s="261"/>
      <c r="I3623" s="261"/>
      <c r="J3623" s="261"/>
      <c r="K3623" s="261"/>
      <c r="L3623" s="261"/>
      <c r="M3623" s="261"/>
    </row>
    <row r="3624" spans="5:13">
      <c r="E3624" s="261"/>
      <c r="F3624" s="261"/>
      <c r="G3624" s="261"/>
      <c r="H3624" s="261"/>
      <c r="I3624" s="261"/>
      <c r="J3624" s="261"/>
      <c r="K3624" s="261"/>
      <c r="L3624" s="261"/>
      <c r="M3624" s="261"/>
    </row>
    <row r="3625" spans="5:13">
      <c r="E3625" s="261"/>
      <c r="F3625" s="261"/>
      <c r="G3625" s="261"/>
      <c r="H3625" s="261"/>
      <c r="I3625" s="261"/>
      <c r="J3625" s="261"/>
      <c r="K3625" s="261"/>
      <c r="L3625" s="261"/>
      <c r="M3625" s="261"/>
    </row>
    <row r="3626" spans="5:13">
      <c r="E3626" s="261"/>
      <c r="F3626" s="261"/>
      <c r="G3626" s="261"/>
      <c r="H3626" s="261"/>
      <c r="I3626" s="261"/>
      <c r="J3626" s="261"/>
      <c r="K3626" s="261"/>
      <c r="L3626" s="261"/>
      <c r="M3626" s="261"/>
    </row>
    <row r="3627" spans="5:13">
      <c r="E3627" s="261"/>
      <c r="F3627" s="261"/>
      <c r="G3627" s="261"/>
      <c r="H3627" s="261"/>
      <c r="I3627" s="261"/>
      <c r="J3627" s="261"/>
      <c r="K3627" s="261"/>
      <c r="L3627" s="261"/>
      <c r="M3627" s="261"/>
    </row>
    <row r="3628" spans="5:13">
      <c r="E3628" s="261"/>
      <c r="F3628" s="261"/>
      <c r="G3628" s="261"/>
      <c r="H3628" s="261"/>
      <c r="I3628" s="261"/>
      <c r="J3628" s="261"/>
      <c r="K3628" s="261"/>
      <c r="L3628" s="261"/>
      <c r="M3628" s="261"/>
    </row>
    <row r="3629" spans="5:13">
      <c r="E3629" s="261"/>
      <c r="F3629" s="261"/>
      <c r="G3629" s="261"/>
      <c r="H3629" s="261"/>
      <c r="I3629" s="261"/>
      <c r="J3629" s="261"/>
      <c r="K3629" s="261"/>
      <c r="L3629" s="261"/>
      <c r="M3629" s="261"/>
    </row>
    <row r="3630" spans="5:13">
      <c r="E3630" s="261"/>
      <c r="F3630" s="261"/>
      <c r="G3630" s="261"/>
      <c r="H3630" s="261"/>
      <c r="I3630" s="261"/>
      <c r="J3630" s="261"/>
      <c r="K3630" s="261"/>
      <c r="L3630" s="261"/>
      <c r="M3630" s="261"/>
    </row>
    <row r="3631" spans="5:13">
      <c r="E3631" s="261"/>
      <c r="F3631" s="261"/>
      <c r="G3631" s="261"/>
      <c r="H3631" s="261"/>
      <c r="I3631" s="261"/>
      <c r="J3631" s="261"/>
      <c r="K3631" s="261"/>
      <c r="L3631" s="261"/>
      <c r="M3631" s="261"/>
    </row>
    <row r="3632" spans="5:13">
      <c r="E3632" s="261"/>
      <c r="F3632" s="261"/>
      <c r="G3632" s="261"/>
      <c r="H3632" s="261"/>
      <c r="I3632" s="261"/>
      <c r="J3632" s="261"/>
      <c r="K3632" s="261"/>
      <c r="L3632" s="261"/>
      <c r="M3632" s="261"/>
    </row>
    <row r="3633" spans="5:13">
      <c r="E3633" s="261"/>
      <c r="F3633" s="261"/>
      <c r="G3633" s="261"/>
      <c r="H3633" s="261"/>
      <c r="I3633" s="261"/>
      <c r="J3633" s="261"/>
      <c r="K3633" s="261"/>
      <c r="L3633" s="261"/>
      <c r="M3633" s="261"/>
    </row>
    <row r="3634" spans="5:13">
      <c r="E3634" s="261"/>
      <c r="F3634" s="261"/>
      <c r="G3634" s="261"/>
      <c r="H3634" s="261"/>
      <c r="I3634" s="261"/>
      <c r="J3634" s="261"/>
      <c r="K3634" s="261"/>
      <c r="L3634" s="261"/>
      <c r="M3634" s="261"/>
    </row>
    <row r="3635" spans="5:13">
      <c r="E3635" s="261"/>
      <c r="F3635" s="261"/>
      <c r="G3635" s="261"/>
      <c r="H3635" s="261"/>
      <c r="I3635" s="261"/>
      <c r="J3635" s="261"/>
      <c r="K3635" s="261"/>
      <c r="L3635" s="261"/>
      <c r="M3635" s="261"/>
    </row>
    <row r="3636" spans="5:13">
      <c r="E3636" s="261"/>
      <c r="F3636" s="261"/>
      <c r="G3636" s="261"/>
      <c r="H3636" s="261"/>
      <c r="I3636" s="261"/>
      <c r="J3636" s="261"/>
      <c r="K3636" s="261"/>
      <c r="L3636" s="261"/>
      <c r="M3636" s="261"/>
    </row>
    <row r="3637" spans="5:13">
      <c r="E3637" s="261"/>
      <c r="F3637" s="261"/>
      <c r="G3637" s="261"/>
      <c r="H3637" s="261"/>
      <c r="I3637" s="261"/>
      <c r="J3637" s="261"/>
      <c r="K3637" s="261"/>
      <c r="L3637" s="261"/>
      <c r="M3637" s="261"/>
    </row>
    <row r="3638" spans="5:13">
      <c r="E3638" s="261"/>
      <c r="F3638" s="261"/>
      <c r="G3638" s="261"/>
      <c r="H3638" s="261"/>
      <c r="I3638" s="261"/>
      <c r="J3638" s="261"/>
      <c r="K3638" s="261"/>
      <c r="L3638" s="261"/>
      <c r="M3638" s="261"/>
    </row>
    <row r="3639" spans="5:13">
      <c r="E3639" s="261"/>
      <c r="F3639" s="261"/>
      <c r="G3639" s="261"/>
      <c r="H3639" s="261"/>
      <c r="I3639" s="261"/>
      <c r="J3639" s="261"/>
      <c r="K3639" s="261"/>
      <c r="L3639" s="261"/>
      <c r="M3639" s="261"/>
    </row>
    <row r="3640" spans="5:13">
      <c r="E3640" s="261"/>
      <c r="F3640" s="261"/>
      <c r="G3640" s="261"/>
      <c r="H3640" s="261"/>
      <c r="I3640" s="261"/>
      <c r="J3640" s="261"/>
      <c r="K3640" s="261"/>
      <c r="L3640" s="261"/>
      <c r="M3640" s="261"/>
    </row>
    <row r="3641" spans="5:13">
      <c r="E3641" s="261"/>
      <c r="F3641" s="261"/>
      <c r="G3641" s="261"/>
      <c r="H3641" s="261"/>
      <c r="I3641" s="261"/>
      <c r="J3641" s="261"/>
      <c r="K3641" s="261"/>
      <c r="L3641" s="261"/>
      <c r="M3641" s="261"/>
    </row>
    <row r="3642" spans="5:13">
      <c r="E3642" s="261"/>
      <c r="F3642" s="261"/>
      <c r="G3642" s="261"/>
      <c r="H3642" s="261"/>
      <c r="I3642" s="261"/>
      <c r="J3642" s="261"/>
      <c r="K3642" s="261"/>
      <c r="L3642" s="261"/>
      <c r="M3642" s="261"/>
    </row>
    <row r="3643" spans="5:13">
      <c r="E3643" s="261"/>
      <c r="F3643" s="261"/>
      <c r="G3643" s="261"/>
      <c r="H3643" s="261"/>
      <c r="I3643" s="261"/>
      <c r="J3643" s="261"/>
      <c r="K3643" s="261"/>
      <c r="L3643" s="261"/>
      <c r="M3643" s="261"/>
    </row>
    <row r="3644" spans="5:13">
      <c r="E3644" s="261"/>
      <c r="F3644" s="261"/>
      <c r="G3644" s="261"/>
      <c r="H3644" s="261"/>
      <c r="I3644" s="261"/>
      <c r="J3644" s="261"/>
      <c r="K3644" s="261"/>
      <c r="L3644" s="261"/>
      <c r="M3644" s="261"/>
    </row>
    <row r="3645" spans="5:13">
      <c r="E3645" s="261"/>
      <c r="F3645" s="261"/>
      <c r="G3645" s="261"/>
      <c r="H3645" s="261"/>
      <c r="I3645" s="261"/>
      <c r="J3645" s="261"/>
      <c r="K3645" s="261"/>
      <c r="L3645" s="261"/>
      <c r="M3645" s="261"/>
    </row>
    <row r="3646" spans="5:13">
      <c r="E3646" s="261"/>
      <c r="F3646" s="261"/>
      <c r="G3646" s="261"/>
      <c r="H3646" s="261"/>
      <c r="I3646" s="261"/>
      <c r="J3646" s="261"/>
      <c r="K3646" s="261"/>
      <c r="L3646" s="261"/>
      <c r="M3646" s="261"/>
    </row>
    <row r="3647" spans="5:13">
      <c r="E3647" s="261"/>
      <c r="F3647" s="261"/>
      <c r="G3647" s="261"/>
      <c r="H3647" s="261"/>
      <c r="I3647" s="261"/>
      <c r="J3647" s="261"/>
      <c r="K3647" s="261"/>
      <c r="L3647" s="261"/>
      <c r="M3647" s="261"/>
    </row>
    <row r="3648" spans="5:13">
      <c r="E3648" s="261"/>
      <c r="F3648" s="261"/>
      <c r="G3648" s="261"/>
      <c r="H3648" s="261"/>
      <c r="I3648" s="261"/>
      <c r="J3648" s="261"/>
      <c r="K3648" s="261"/>
      <c r="L3648" s="261"/>
      <c r="M3648" s="261"/>
    </row>
    <row r="3649" spans="5:13">
      <c r="E3649" s="261"/>
      <c r="F3649" s="261"/>
      <c r="G3649" s="261"/>
      <c r="H3649" s="261"/>
      <c r="I3649" s="261"/>
      <c r="J3649" s="261"/>
      <c r="K3649" s="261"/>
      <c r="L3649" s="261"/>
      <c r="M3649" s="261"/>
    </row>
    <row r="3650" spans="5:13">
      <c r="E3650" s="261"/>
      <c r="F3650" s="261"/>
      <c r="G3650" s="261"/>
      <c r="H3650" s="261"/>
      <c r="I3650" s="261"/>
      <c r="J3650" s="261"/>
      <c r="K3650" s="261"/>
      <c r="L3650" s="261"/>
      <c r="M3650" s="261"/>
    </row>
    <row r="3651" spans="5:13">
      <c r="E3651" s="261"/>
      <c r="F3651" s="261"/>
      <c r="G3651" s="261"/>
      <c r="H3651" s="261"/>
      <c r="I3651" s="261"/>
      <c r="J3651" s="261"/>
      <c r="K3651" s="261"/>
      <c r="L3651" s="261"/>
      <c r="M3651" s="261"/>
    </row>
    <row r="3652" spans="5:13">
      <c r="E3652" s="261"/>
      <c r="F3652" s="261"/>
      <c r="G3652" s="261"/>
      <c r="H3652" s="261"/>
      <c r="I3652" s="261"/>
      <c r="J3652" s="261"/>
      <c r="K3652" s="261"/>
      <c r="L3652" s="261"/>
      <c r="M3652" s="261"/>
    </row>
    <row r="3653" spans="5:13">
      <c r="E3653" s="261"/>
      <c r="F3653" s="261"/>
      <c r="G3653" s="261"/>
      <c r="H3653" s="261"/>
      <c r="I3653" s="261"/>
      <c r="J3653" s="261"/>
      <c r="K3653" s="261"/>
      <c r="L3653" s="261"/>
      <c r="M3653" s="261"/>
    </row>
    <row r="3654" spans="5:13">
      <c r="E3654" s="261"/>
      <c r="F3654" s="261"/>
      <c r="G3654" s="261"/>
      <c r="H3654" s="261"/>
      <c r="I3654" s="261"/>
      <c r="J3654" s="261"/>
      <c r="K3654" s="261"/>
      <c r="L3654" s="261"/>
      <c r="M3654" s="261"/>
    </row>
    <row r="3655" spans="5:13">
      <c r="E3655" s="261"/>
      <c r="F3655" s="261"/>
      <c r="G3655" s="261"/>
      <c r="H3655" s="261"/>
      <c r="I3655" s="261"/>
      <c r="J3655" s="261"/>
      <c r="K3655" s="261"/>
      <c r="L3655" s="261"/>
      <c r="M3655" s="261"/>
    </row>
    <row r="3656" spans="5:13">
      <c r="E3656" s="261"/>
      <c r="F3656" s="261"/>
      <c r="G3656" s="261"/>
      <c r="H3656" s="261"/>
      <c r="I3656" s="261"/>
      <c r="J3656" s="261"/>
      <c r="K3656" s="261"/>
      <c r="L3656" s="261"/>
      <c r="M3656" s="261"/>
    </row>
    <row r="3657" spans="5:13">
      <c r="E3657" s="261"/>
      <c r="F3657" s="261"/>
      <c r="G3657" s="261"/>
      <c r="H3657" s="261"/>
      <c r="I3657" s="261"/>
      <c r="J3657" s="261"/>
      <c r="K3657" s="261"/>
      <c r="L3657" s="261"/>
      <c r="M3657" s="261"/>
    </row>
    <row r="3658" spans="5:13">
      <c r="E3658" s="261"/>
      <c r="F3658" s="261"/>
      <c r="G3658" s="261"/>
      <c r="H3658" s="261"/>
      <c r="I3658" s="261"/>
      <c r="J3658" s="261"/>
      <c r="K3658" s="261"/>
      <c r="L3658" s="261"/>
      <c r="M3658" s="261"/>
    </row>
    <row r="3659" spans="5:13">
      <c r="E3659" s="261"/>
      <c r="F3659" s="261"/>
      <c r="G3659" s="261"/>
      <c r="H3659" s="261"/>
      <c r="I3659" s="261"/>
      <c r="J3659" s="261"/>
      <c r="K3659" s="261"/>
      <c r="L3659" s="261"/>
      <c r="M3659" s="261"/>
    </row>
    <row r="3660" spans="5:13">
      <c r="E3660" s="261"/>
      <c r="F3660" s="261"/>
      <c r="G3660" s="261"/>
      <c r="H3660" s="261"/>
      <c r="I3660" s="261"/>
      <c r="J3660" s="261"/>
      <c r="K3660" s="261"/>
      <c r="L3660" s="261"/>
      <c r="M3660" s="261"/>
    </row>
    <row r="3661" spans="5:13">
      <c r="E3661" s="261"/>
      <c r="F3661" s="261"/>
      <c r="G3661" s="261"/>
      <c r="H3661" s="261"/>
      <c r="I3661" s="261"/>
      <c r="J3661" s="261"/>
      <c r="K3661" s="261"/>
      <c r="L3661" s="261"/>
      <c r="M3661" s="261"/>
    </row>
    <row r="3662" spans="5:13">
      <c r="E3662" s="261"/>
      <c r="F3662" s="261"/>
      <c r="G3662" s="261"/>
      <c r="H3662" s="261"/>
      <c r="I3662" s="261"/>
      <c r="J3662" s="261"/>
      <c r="K3662" s="261"/>
      <c r="L3662" s="261"/>
      <c r="M3662" s="261"/>
    </row>
    <row r="3663" spans="5:13">
      <c r="E3663" s="261"/>
      <c r="F3663" s="261"/>
      <c r="G3663" s="261"/>
      <c r="H3663" s="261"/>
      <c r="I3663" s="261"/>
      <c r="J3663" s="261"/>
      <c r="K3663" s="261"/>
      <c r="L3663" s="261"/>
      <c r="M3663" s="261"/>
    </row>
    <row r="3664" spans="5:13">
      <c r="E3664" s="261"/>
      <c r="F3664" s="261"/>
      <c r="G3664" s="261"/>
      <c r="H3664" s="261"/>
      <c r="I3664" s="261"/>
      <c r="J3664" s="261"/>
      <c r="K3664" s="261"/>
      <c r="L3664" s="261"/>
      <c r="M3664" s="261"/>
    </row>
    <row r="3665" spans="5:13">
      <c r="E3665" s="261"/>
      <c r="F3665" s="261"/>
      <c r="G3665" s="261"/>
      <c r="H3665" s="261"/>
      <c r="I3665" s="261"/>
      <c r="J3665" s="261"/>
      <c r="K3665" s="261"/>
      <c r="L3665" s="261"/>
      <c r="M3665" s="261"/>
    </row>
    <row r="3666" spans="5:13">
      <c r="E3666" s="261"/>
      <c r="F3666" s="261"/>
      <c r="G3666" s="261"/>
      <c r="H3666" s="261"/>
      <c r="I3666" s="261"/>
      <c r="J3666" s="261"/>
      <c r="K3666" s="261"/>
      <c r="L3666" s="261"/>
      <c r="M3666" s="261"/>
    </row>
    <row r="3667" spans="5:13">
      <c r="E3667" s="261"/>
      <c r="F3667" s="261"/>
      <c r="G3667" s="261"/>
      <c r="H3667" s="261"/>
      <c r="I3667" s="261"/>
      <c r="J3667" s="261"/>
      <c r="K3667" s="261"/>
      <c r="L3667" s="261"/>
      <c r="M3667" s="261"/>
    </row>
    <row r="3668" spans="5:13">
      <c r="E3668" s="261"/>
      <c r="F3668" s="261"/>
      <c r="G3668" s="261"/>
      <c r="H3668" s="261"/>
      <c r="I3668" s="261"/>
      <c r="J3668" s="261"/>
      <c r="K3668" s="261"/>
      <c r="L3668" s="261"/>
      <c r="M3668" s="261"/>
    </row>
    <row r="3669" spans="5:13">
      <c r="E3669" s="261"/>
      <c r="F3669" s="261"/>
      <c r="G3669" s="261"/>
      <c r="H3669" s="261"/>
      <c r="I3669" s="261"/>
      <c r="J3669" s="261"/>
      <c r="K3669" s="261"/>
      <c r="L3669" s="261"/>
      <c r="M3669" s="261"/>
    </row>
    <row r="3670" spans="5:13">
      <c r="E3670" s="261"/>
      <c r="F3670" s="261"/>
      <c r="G3670" s="261"/>
      <c r="H3670" s="261"/>
      <c r="I3670" s="261"/>
      <c r="J3670" s="261"/>
      <c r="K3670" s="261"/>
      <c r="L3670" s="261"/>
      <c r="M3670" s="261"/>
    </row>
    <row r="3671" spans="5:13">
      <c r="E3671" s="261"/>
      <c r="F3671" s="261"/>
      <c r="G3671" s="261"/>
      <c r="H3671" s="261"/>
      <c r="I3671" s="261"/>
      <c r="J3671" s="261"/>
      <c r="K3671" s="261"/>
      <c r="L3671" s="261"/>
      <c r="M3671" s="261"/>
    </row>
    <row r="3672" spans="5:13">
      <c r="E3672" s="261"/>
      <c r="F3672" s="261"/>
      <c r="G3672" s="261"/>
      <c r="H3672" s="261"/>
      <c r="I3672" s="261"/>
      <c r="J3672" s="261"/>
      <c r="K3672" s="261"/>
      <c r="L3672" s="261"/>
      <c r="M3672" s="261"/>
    </row>
    <row r="3673" spans="5:13">
      <c r="E3673" s="261"/>
      <c r="F3673" s="261"/>
      <c r="G3673" s="261"/>
      <c r="H3673" s="261"/>
      <c r="I3673" s="261"/>
      <c r="J3673" s="261"/>
      <c r="K3673" s="261"/>
      <c r="L3673" s="261"/>
      <c r="M3673" s="261"/>
    </row>
    <row r="3674" spans="5:13">
      <c r="E3674" s="261"/>
      <c r="F3674" s="261"/>
      <c r="G3674" s="261"/>
      <c r="H3674" s="261"/>
      <c r="I3674" s="261"/>
      <c r="J3674" s="261"/>
      <c r="K3674" s="261"/>
      <c r="L3674" s="261"/>
      <c r="M3674" s="261"/>
    </row>
    <row r="3675" spans="5:13">
      <c r="E3675" s="261"/>
      <c r="F3675" s="261"/>
      <c r="G3675" s="261"/>
      <c r="H3675" s="261"/>
      <c r="I3675" s="261"/>
      <c r="J3675" s="261"/>
      <c r="K3675" s="261"/>
      <c r="L3675" s="261"/>
      <c r="M3675" s="261"/>
    </row>
    <row r="3676" spans="5:13">
      <c r="E3676" s="261"/>
      <c r="F3676" s="261"/>
      <c r="G3676" s="261"/>
      <c r="H3676" s="261"/>
      <c r="I3676" s="261"/>
      <c r="J3676" s="261"/>
      <c r="K3676" s="261"/>
      <c r="L3676" s="261"/>
      <c r="M3676" s="261"/>
    </row>
    <row r="3677" spans="5:13">
      <c r="E3677" s="261"/>
      <c r="F3677" s="261"/>
      <c r="G3677" s="261"/>
      <c r="H3677" s="261"/>
      <c r="I3677" s="261"/>
      <c r="J3677" s="261"/>
      <c r="K3677" s="261"/>
      <c r="L3677" s="261"/>
      <c r="M3677" s="261"/>
    </row>
    <row r="3678" spans="5:13">
      <c r="E3678" s="261"/>
      <c r="F3678" s="261"/>
      <c r="G3678" s="261"/>
      <c r="H3678" s="261"/>
      <c r="I3678" s="261"/>
      <c r="J3678" s="261"/>
      <c r="K3678" s="261"/>
      <c r="L3678" s="261"/>
      <c r="M3678" s="261"/>
    </row>
    <row r="3679" spans="5:13">
      <c r="E3679" s="261"/>
      <c r="F3679" s="261"/>
      <c r="G3679" s="261"/>
      <c r="H3679" s="261"/>
      <c r="I3679" s="261"/>
      <c r="J3679" s="261"/>
      <c r="K3679" s="261"/>
      <c r="L3679" s="261"/>
      <c r="M3679" s="261"/>
    </row>
    <row r="3680" spans="5:13">
      <c r="E3680" s="261"/>
      <c r="F3680" s="261"/>
      <c r="G3680" s="261"/>
      <c r="H3680" s="261"/>
      <c r="I3680" s="261"/>
      <c r="J3680" s="261"/>
      <c r="K3680" s="261"/>
      <c r="L3680" s="261"/>
      <c r="M3680" s="261"/>
    </row>
    <row r="3681" spans="5:13">
      <c r="E3681" s="261"/>
      <c r="F3681" s="261"/>
      <c r="G3681" s="261"/>
      <c r="H3681" s="261"/>
      <c r="I3681" s="261"/>
      <c r="J3681" s="261"/>
      <c r="K3681" s="261"/>
      <c r="L3681" s="261"/>
      <c r="M3681" s="261"/>
    </row>
    <row r="3682" spans="5:13">
      <c r="E3682" s="261"/>
      <c r="F3682" s="261"/>
      <c r="G3682" s="261"/>
      <c r="H3682" s="261"/>
      <c r="I3682" s="261"/>
      <c r="J3682" s="261"/>
      <c r="K3682" s="261"/>
      <c r="L3682" s="261"/>
      <c r="M3682" s="261"/>
    </row>
    <row r="3683" spans="5:13">
      <c r="E3683" s="261"/>
      <c r="F3683" s="261"/>
      <c r="G3683" s="261"/>
      <c r="H3683" s="261"/>
      <c r="I3683" s="261"/>
      <c r="J3683" s="261"/>
      <c r="K3683" s="261"/>
      <c r="L3683" s="261"/>
      <c r="M3683" s="261"/>
    </row>
    <row r="3684" spans="5:13">
      <c r="E3684" s="261"/>
      <c r="F3684" s="261"/>
      <c r="G3684" s="261"/>
      <c r="H3684" s="261"/>
      <c r="I3684" s="261"/>
      <c r="J3684" s="261"/>
      <c r="K3684" s="261"/>
      <c r="L3684" s="261"/>
      <c r="M3684" s="261"/>
    </row>
    <row r="3685" spans="5:13">
      <c r="E3685" s="261"/>
      <c r="F3685" s="261"/>
      <c r="G3685" s="261"/>
      <c r="H3685" s="261"/>
      <c r="I3685" s="261"/>
      <c r="J3685" s="261"/>
      <c r="K3685" s="261"/>
      <c r="L3685" s="261"/>
      <c r="M3685" s="261"/>
    </row>
    <row r="3686" spans="5:13">
      <c r="E3686" s="261"/>
      <c r="F3686" s="261"/>
      <c r="G3686" s="261"/>
      <c r="H3686" s="261"/>
      <c r="I3686" s="261"/>
      <c r="J3686" s="261"/>
      <c r="K3686" s="261"/>
      <c r="L3686" s="261"/>
      <c r="M3686" s="261"/>
    </row>
    <row r="3687" spans="5:13">
      <c r="E3687" s="261"/>
      <c r="F3687" s="261"/>
      <c r="G3687" s="261"/>
      <c r="H3687" s="261"/>
      <c r="I3687" s="261"/>
      <c r="J3687" s="261"/>
      <c r="K3687" s="261"/>
      <c r="L3687" s="261"/>
      <c r="M3687" s="261"/>
    </row>
    <row r="3688" spans="5:13">
      <c r="E3688" s="261"/>
      <c r="F3688" s="261"/>
      <c r="G3688" s="261"/>
      <c r="H3688" s="261"/>
      <c r="I3688" s="261"/>
      <c r="J3688" s="261"/>
      <c r="K3688" s="261"/>
      <c r="L3688" s="261"/>
      <c r="M3688" s="261"/>
    </row>
    <row r="3689" spans="5:13">
      <c r="E3689" s="261"/>
      <c r="F3689" s="261"/>
      <c r="G3689" s="261"/>
      <c r="H3689" s="261"/>
      <c r="I3689" s="261"/>
      <c r="J3689" s="261"/>
      <c r="K3689" s="261"/>
      <c r="L3689" s="261"/>
      <c r="M3689" s="261"/>
    </row>
    <row r="3690" spans="5:13">
      <c r="E3690" s="261"/>
      <c r="F3690" s="261"/>
      <c r="G3690" s="261"/>
      <c r="H3690" s="261"/>
      <c r="I3690" s="261"/>
      <c r="J3690" s="261"/>
      <c r="K3690" s="261"/>
      <c r="L3690" s="261"/>
      <c r="M3690" s="261"/>
    </row>
    <row r="3691" spans="5:13">
      <c r="E3691" s="261"/>
      <c r="F3691" s="261"/>
      <c r="G3691" s="261"/>
      <c r="H3691" s="261"/>
      <c r="I3691" s="261"/>
      <c r="J3691" s="261"/>
      <c r="K3691" s="261"/>
      <c r="L3691" s="261"/>
      <c r="M3691" s="261"/>
    </row>
    <row r="3692" spans="5:13">
      <c r="E3692" s="261"/>
      <c r="F3692" s="261"/>
      <c r="G3692" s="261"/>
      <c r="H3692" s="261"/>
      <c r="I3692" s="261"/>
      <c r="J3692" s="261"/>
      <c r="K3692" s="261"/>
      <c r="L3692" s="261"/>
      <c r="M3692" s="261"/>
    </row>
    <row r="3693" spans="5:13">
      <c r="E3693" s="261"/>
      <c r="F3693" s="261"/>
      <c r="G3693" s="261"/>
      <c r="H3693" s="261"/>
      <c r="I3693" s="261"/>
      <c r="J3693" s="261"/>
      <c r="K3693" s="261"/>
      <c r="L3693" s="261"/>
      <c r="M3693" s="261"/>
    </row>
    <row r="3694" spans="5:13">
      <c r="E3694" s="261"/>
      <c r="F3694" s="261"/>
      <c r="G3694" s="261"/>
      <c r="H3694" s="261"/>
      <c r="I3694" s="261"/>
      <c r="J3694" s="261"/>
      <c r="K3694" s="261"/>
      <c r="L3694" s="261"/>
      <c r="M3694" s="261"/>
    </row>
    <row r="3695" spans="5:13">
      <c r="E3695" s="261"/>
      <c r="F3695" s="261"/>
      <c r="G3695" s="261"/>
      <c r="H3695" s="261"/>
      <c r="I3695" s="261"/>
      <c r="J3695" s="261"/>
      <c r="K3695" s="261"/>
      <c r="L3695" s="261"/>
      <c r="M3695" s="261"/>
    </row>
    <row r="3696" spans="5:13">
      <c r="E3696" s="261"/>
      <c r="F3696" s="261"/>
      <c r="G3696" s="261"/>
      <c r="H3696" s="261"/>
      <c r="I3696" s="261"/>
      <c r="J3696" s="261"/>
      <c r="K3696" s="261"/>
      <c r="L3696" s="261"/>
      <c r="M3696" s="261"/>
    </row>
    <row r="3697" spans="5:13">
      <c r="E3697" s="261"/>
      <c r="F3697" s="261"/>
      <c r="G3697" s="261"/>
      <c r="H3697" s="261"/>
      <c r="I3697" s="261"/>
      <c r="J3697" s="261"/>
      <c r="K3697" s="261"/>
      <c r="L3697" s="261"/>
      <c r="M3697" s="261"/>
    </row>
    <row r="3698" spans="5:13">
      <c r="E3698" s="261"/>
      <c r="F3698" s="261"/>
      <c r="G3698" s="261"/>
      <c r="H3698" s="261"/>
      <c r="I3698" s="261"/>
      <c r="J3698" s="261"/>
      <c r="K3698" s="261"/>
      <c r="L3698" s="261"/>
      <c r="M3698" s="261"/>
    </row>
    <row r="3699" spans="5:13">
      <c r="E3699" s="261"/>
      <c r="F3699" s="261"/>
      <c r="G3699" s="261"/>
      <c r="H3699" s="261"/>
      <c r="I3699" s="261"/>
      <c r="J3699" s="261"/>
      <c r="K3699" s="261"/>
      <c r="L3699" s="261"/>
      <c r="M3699" s="261"/>
    </row>
    <row r="3700" spans="5:13">
      <c r="E3700" s="261"/>
      <c r="F3700" s="261"/>
      <c r="G3700" s="261"/>
      <c r="H3700" s="261"/>
      <c r="I3700" s="261"/>
      <c r="J3700" s="261"/>
      <c r="K3700" s="261"/>
      <c r="L3700" s="261"/>
      <c r="M3700" s="261"/>
    </row>
    <row r="3701" spans="5:13">
      <c r="E3701" s="261"/>
      <c r="F3701" s="261"/>
      <c r="G3701" s="261"/>
      <c r="H3701" s="261"/>
      <c r="I3701" s="261"/>
      <c r="J3701" s="261"/>
      <c r="K3701" s="261"/>
      <c r="L3701" s="261"/>
      <c r="M3701" s="261"/>
    </row>
    <row r="3702" spans="5:13">
      <c r="E3702" s="261"/>
      <c r="F3702" s="261"/>
      <c r="G3702" s="261"/>
      <c r="H3702" s="261"/>
      <c r="I3702" s="261"/>
      <c r="J3702" s="261"/>
      <c r="K3702" s="261"/>
      <c r="L3702" s="261"/>
      <c r="M3702" s="261"/>
    </row>
    <row r="3703" spans="5:13">
      <c r="E3703" s="261"/>
      <c r="F3703" s="261"/>
      <c r="G3703" s="261"/>
      <c r="H3703" s="261"/>
      <c r="I3703" s="261"/>
      <c r="J3703" s="261"/>
      <c r="K3703" s="261"/>
      <c r="L3703" s="261"/>
      <c r="M3703" s="261"/>
    </row>
    <row r="3704" spans="5:13">
      <c r="E3704" s="261"/>
      <c r="F3704" s="261"/>
      <c r="G3704" s="261"/>
      <c r="H3704" s="261"/>
      <c r="I3704" s="261"/>
      <c r="J3704" s="261"/>
      <c r="K3704" s="261"/>
      <c r="L3704" s="261"/>
      <c r="M3704" s="261"/>
    </row>
    <row r="3705" spans="5:13">
      <c r="E3705" s="261"/>
      <c r="F3705" s="261"/>
      <c r="G3705" s="261"/>
      <c r="H3705" s="261"/>
      <c r="I3705" s="261"/>
      <c r="J3705" s="261"/>
      <c r="K3705" s="261"/>
      <c r="L3705" s="261"/>
      <c r="M3705" s="261"/>
    </row>
    <row r="3706" spans="5:13">
      <c r="E3706" s="261"/>
      <c r="F3706" s="261"/>
      <c r="G3706" s="261"/>
      <c r="H3706" s="261"/>
      <c r="I3706" s="261"/>
      <c r="J3706" s="261"/>
      <c r="K3706" s="261"/>
      <c r="L3706" s="261"/>
      <c r="M3706" s="261"/>
    </row>
    <row r="3707" spans="5:13">
      <c r="E3707" s="261"/>
      <c r="F3707" s="261"/>
      <c r="G3707" s="261"/>
      <c r="H3707" s="261"/>
      <c r="I3707" s="261"/>
      <c r="J3707" s="261"/>
      <c r="K3707" s="261"/>
      <c r="L3707" s="261"/>
      <c r="M3707" s="261"/>
    </row>
    <row r="3708" spans="5:13">
      <c r="E3708" s="261"/>
      <c r="F3708" s="261"/>
      <c r="G3708" s="261"/>
      <c r="H3708" s="261"/>
      <c r="I3708" s="261"/>
      <c r="J3708" s="261"/>
      <c r="K3708" s="261"/>
      <c r="L3708" s="261"/>
      <c r="M3708" s="261"/>
    </row>
    <row r="3709" spans="5:13">
      <c r="E3709" s="261"/>
      <c r="F3709" s="261"/>
      <c r="G3709" s="261"/>
      <c r="H3709" s="261"/>
      <c r="I3709" s="261"/>
      <c r="J3709" s="261"/>
      <c r="K3709" s="261"/>
      <c r="L3709" s="261"/>
      <c r="M3709" s="261"/>
    </row>
    <row r="3710" spans="5:13">
      <c r="E3710" s="261"/>
      <c r="F3710" s="261"/>
      <c r="G3710" s="261"/>
      <c r="H3710" s="261"/>
      <c r="I3710" s="261"/>
      <c r="J3710" s="261"/>
      <c r="K3710" s="261"/>
      <c r="L3710" s="261"/>
      <c r="M3710" s="261"/>
    </row>
    <row r="3711" spans="5:13">
      <c r="E3711" s="261"/>
      <c r="F3711" s="261"/>
      <c r="G3711" s="261"/>
      <c r="H3711" s="261"/>
      <c r="I3711" s="261"/>
      <c r="J3711" s="261"/>
      <c r="K3711" s="261"/>
      <c r="L3711" s="261"/>
      <c r="M3711" s="261"/>
    </row>
    <row r="3712" spans="5:13">
      <c r="E3712" s="261"/>
      <c r="F3712" s="261"/>
      <c r="G3712" s="261"/>
      <c r="H3712" s="261"/>
      <c r="I3712" s="261"/>
      <c r="J3712" s="261"/>
      <c r="K3712" s="261"/>
      <c r="L3712" s="261"/>
      <c r="M3712" s="261"/>
    </row>
    <row r="3713" spans="5:13">
      <c r="E3713" s="261"/>
      <c r="F3713" s="261"/>
      <c r="G3713" s="261"/>
      <c r="H3713" s="261"/>
      <c r="I3713" s="261"/>
      <c r="J3713" s="261"/>
      <c r="K3713" s="261"/>
      <c r="L3713" s="261"/>
      <c r="M3713" s="261"/>
    </row>
    <row r="3714" spans="5:13">
      <c r="E3714" s="261"/>
      <c r="F3714" s="261"/>
      <c r="G3714" s="261"/>
      <c r="H3714" s="261"/>
      <c r="I3714" s="261"/>
      <c r="J3714" s="261"/>
      <c r="K3714" s="261"/>
      <c r="L3714" s="261"/>
      <c r="M3714" s="261"/>
    </row>
    <row r="3715" spans="5:13">
      <c r="E3715" s="261"/>
      <c r="F3715" s="261"/>
      <c r="G3715" s="261"/>
      <c r="H3715" s="261"/>
      <c r="I3715" s="261"/>
      <c r="J3715" s="261"/>
      <c r="K3715" s="261"/>
      <c r="L3715" s="261"/>
      <c r="M3715" s="261"/>
    </row>
    <row r="3716" spans="5:13">
      <c r="E3716" s="261"/>
      <c r="F3716" s="261"/>
      <c r="G3716" s="261"/>
      <c r="H3716" s="261"/>
      <c r="I3716" s="261"/>
      <c r="J3716" s="261"/>
      <c r="K3716" s="261"/>
      <c r="L3716" s="261"/>
      <c r="M3716" s="261"/>
    </row>
    <row r="3717" spans="5:13">
      <c r="E3717" s="261"/>
      <c r="F3717" s="261"/>
      <c r="G3717" s="261"/>
      <c r="H3717" s="261"/>
      <c r="I3717" s="261"/>
      <c r="J3717" s="261"/>
      <c r="K3717" s="261"/>
      <c r="L3717" s="261"/>
      <c r="M3717" s="261"/>
    </row>
    <row r="3718" spans="5:13">
      <c r="E3718" s="261"/>
      <c r="F3718" s="261"/>
      <c r="G3718" s="261"/>
      <c r="H3718" s="261"/>
      <c r="I3718" s="261"/>
      <c r="J3718" s="261"/>
      <c r="K3718" s="261"/>
      <c r="L3718" s="261"/>
      <c r="M3718" s="261"/>
    </row>
    <row r="3719" spans="5:13">
      <c r="E3719" s="261"/>
      <c r="F3719" s="261"/>
      <c r="G3719" s="261"/>
      <c r="H3719" s="261"/>
      <c r="I3719" s="261"/>
      <c r="J3719" s="261"/>
      <c r="K3719" s="261"/>
      <c r="L3719" s="261"/>
      <c r="M3719" s="261"/>
    </row>
    <row r="3720" spans="5:13">
      <c r="E3720" s="261"/>
      <c r="F3720" s="261"/>
      <c r="G3720" s="261"/>
      <c r="H3720" s="261"/>
      <c r="I3720" s="261"/>
      <c r="J3720" s="261"/>
      <c r="K3720" s="261"/>
      <c r="L3720" s="261"/>
      <c r="M3720" s="261"/>
    </row>
    <row r="3721" spans="5:13">
      <c r="E3721" s="261"/>
      <c r="F3721" s="261"/>
      <c r="G3721" s="261"/>
      <c r="H3721" s="261"/>
      <c r="I3721" s="261"/>
      <c r="J3721" s="261"/>
      <c r="K3721" s="261"/>
      <c r="L3721" s="261"/>
      <c r="M3721" s="261"/>
    </row>
    <row r="3722" spans="5:13">
      <c r="E3722" s="261"/>
      <c r="F3722" s="261"/>
      <c r="G3722" s="261"/>
      <c r="H3722" s="261"/>
      <c r="I3722" s="261"/>
      <c r="J3722" s="261"/>
      <c r="K3722" s="261"/>
      <c r="L3722" s="261"/>
      <c r="M3722" s="261"/>
    </row>
    <row r="3723" spans="5:13">
      <c r="E3723" s="261"/>
      <c r="F3723" s="261"/>
      <c r="G3723" s="261"/>
      <c r="H3723" s="261"/>
      <c r="I3723" s="261"/>
      <c r="J3723" s="261"/>
      <c r="K3723" s="261"/>
      <c r="L3723" s="261"/>
      <c r="M3723" s="261"/>
    </row>
    <row r="3724" spans="5:13">
      <c r="E3724" s="261"/>
      <c r="F3724" s="261"/>
      <c r="G3724" s="261"/>
      <c r="H3724" s="261"/>
      <c r="I3724" s="261"/>
      <c r="J3724" s="261"/>
      <c r="K3724" s="261"/>
      <c r="L3724" s="261"/>
      <c r="M3724" s="261"/>
    </row>
    <row r="3725" spans="5:13">
      <c r="E3725" s="261"/>
      <c r="F3725" s="261"/>
      <c r="G3725" s="261"/>
      <c r="H3725" s="261"/>
      <c r="I3725" s="261"/>
      <c r="J3725" s="261"/>
      <c r="K3725" s="261"/>
      <c r="L3725" s="261"/>
      <c r="M3725" s="261"/>
    </row>
    <row r="3726" spans="5:13">
      <c r="E3726" s="261"/>
      <c r="F3726" s="261"/>
      <c r="G3726" s="261"/>
      <c r="H3726" s="261"/>
      <c r="I3726" s="261"/>
      <c r="J3726" s="261"/>
      <c r="K3726" s="261"/>
      <c r="L3726" s="261"/>
      <c r="M3726" s="261"/>
    </row>
    <row r="3727" spans="5:13">
      <c r="E3727" s="261"/>
      <c r="F3727" s="261"/>
      <c r="G3727" s="261"/>
      <c r="H3727" s="261"/>
      <c r="I3727" s="261"/>
      <c r="J3727" s="261"/>
      <c r="K3727" s="261"/>
      <c r="L3727" s="261"/>
      <c r="M3727" s="261"/>
    </row>
    <row r="3728" spans="5:13">
      <c r="E3728" s="261"/>
      <c r="F3728" s="261"/>
      <c r="G3728" s="261"/>
      <c r="H3728" s="261"/>
      <c r="I3728" s="261"/>
      <c r="J3728" s="261"/>
      <c r="K3728" s="261"/>
      <c r="L3728" s="261"/>
      <c r="M3728" s="261"/>
    </row>
    <row r="3729" spans="5:13">
      <c r="E3729" s="261"/>
      <c r="F3729" s="261"/>
      <c r="G3729" s="261"/>
      <c r="H3729" s="261"/>
      <c r="I3729" s="261"/>
      <c r="J3729" s="261"/>
      <c r="K3729" s="261"/>
      <c r="L3729" s="261"/>
      <c r="M3729" s="261"/>
    </row>
    <row r="3730" spans="5:13">
      <c r="E3730" s="261"/>
      <c r="F3730" s="261"/>
      <c r="G3730" s="261"/>
      <c r="H3730" s="261"/>
      <c r="I3730" s="261"/>
      <c r="J3730" s="261"/>
      <c r="K3730" s="261"/>
      <c r="L3730" s="261"/>
      <c r="M3730" s="261"/>
    </row>
    <row r="3731" spans="5:13">
      <c r="E3731" s="261"/>
      <c r="F3731" s="261"/>
      <c r="G3731" s="261"/>
      <c r="H3731" s="261"/>
      <c r="I3731" s="261"/>
      <c r="J3731" s="261"/>
      <c r="K3731" s="261"/>
      <c r="L3731" s="261"/>
      <c r="M3731" s="261"/>
    </row>
    <row r="3732" spans="5:13">
      <c r="E3732" s="261"/>
      <c r="F3732" s="261"/>
      <c r="G3732" s="261"/>
      <c r="H3732" s="261"/>
      <c r="I3732" s="261"/>
      <c r="J3732" s="261"/>
      <c r="K3732" s="261"/>
      <c r="L3732" s="261"/>
      <c r="M3732" s="261"/>
    </row>
    <row r="3733" spans="5:13">
      <c r="E3733" s="261"/>
      <c r="F3733" s="261"/>
      <c r="G3733" s="261"/>
      <c r="H3733" s="261"/>
      <c r="I3733" s="261"/>
      <c r="J3733" s="261"/>
      <c r="K3733" s="261"/>
      <c r="L3733" s="261"/>
      <c r="M3733" s="261"/>
    </row>
    <row r="3734" spans="5:13">
      <c r="E3734" s="261"/>
      <c r="F3734" s="261"/>
      <c r="G3734" s="261"/>
      <c r="H3734" s="261"/>
      <c r="I3734" s="261"/>
      <c r="J3734" s="261"/>
      <c r="K3734" s="261"/>
      <c r="L3734" s="261"/>
      <c r="M3734" s="261"/>
    </row>
    <row r="3735" spans="5:13">
      <c r="E3735" s="261"/>
      <c r="F3735" s="261"/>
      <c r="G3735" s="261"/>
      <c r="H3735" s="261"/>
      <c r="I3735" s="261"/>
      <c r="J3735" s="261"/>
      <c r="K3735" s="261"/>
      <c r="L3735" s="261"/>
      <c r="M3735" s="261"/>
    </row>
    <row r="3736" spans="5:13">
      <c r="E3736" s="261"/>
      <c r="F3736" s="261"/>
      <c r="G3736" s="261"/>
      <c r="H3736" s="261"/>
      <c r="I3736" s="261"/>
      <c r="J3736" s="261"/>
      <c r="K3736" s="261"/>
      <c r="L3736" s="261"/>
      <c r="M3736" s="261"/>
    </row>
    <row r="3737" spans="5:13">
      <c r="E3737" s="261"/>
      <c r="F3737" s="261"/>
      <c r="G3737" s="261"/>
      <c r="H3737" s="261"/>
      <c r="I3737" s="261"/>
      <c r="J3737" s="261"/>
      <c r="K3737" s="261"/>
      <c r="L3737" s="261"/>
      <c r="M3737" s="261"/>
    </row>
    <row r="3738" spans="5:13">
      <c r="E3738" s="261"/>
      <c r="F3738" s="261"/>
      <c r="G3738" s="261"/>
      <c r="H3738" s="261"/>
      <c r="I3738" s="261"/>
      <c r="J3738" s="261"/>
      <c r="K3738" s="261"/>
      <c r="L3738" s="261"/>
      <c r="M3738" s="261"/>
    </row>
    <row r="3739" spans="5:13">
      <c r="E3739" s="261"/>
      <c r="F3739" s="261"/>
      <c r="G3739" s="261"/>
      <c r="H3739" s="261"/>
      <c r="I3739" s="261"/>
      <c r="J3739" s="261"/>
      <c r="K3739" s="261"/>
      <c r="L3739" s="261"/>
      <c r="M3739" s="261"/>
    </row>
    <row r="3740" spans="5:13">
      <c r="E3740" s="261"/>
      <c r="F3740" s="261"/>
      <c r="G3740" s="261"/>
      <c r="H3740" s="261"/>
      <c r="I3740" s="261"/>
      <c r="J3740" s="261"/>
      <c r="K3740" s="261"/>
      <c r="L3740" s="261"/>
      <c r="M3740" s="261"/>
    </row>
    <row r="3741" spans="5:13">
      <c r="E3741" s="261"/>
      <c r="F3741" s="261"/>
      <c r="G3741" s="261"/>
      <c r="H3741" s="261"/>
      <c r="I3741" s="261"/>
      <c r="J3741" s="261"/>
      <c r="K3741" s="261"/>
      <c r="L3741" s="261"/>
      <c r="M3741" s="261"/>
    </row>
    <row r="3742" spans="5:13">
      <c r="E3742" s="261"/>
      <c r="F3742" s="261"/>
      <c r="G3742" s="261"/>
      <c r="H3742" s="261"/>
      <c r="I3742" s="261"/>
      <c r="J3742" s="261"/>
      <c r="K3742" s="261"/>
      <c r="L3742" s="261"/>
      <c r="M3742" s="261"/>
    </row>
    <row r="3743" spans="5:13">
      <c r="E3743" s="261"/>
      <c r="F3743" s="261"/>
      <c r="G3743" s="261"/>
      <c r="H3743" s="261"/>
      <c r="I3743" s="261"/>
      <c r="J3743" s="261"/>
      <c r="K3743" s="261"/>
      <c r="L3743" s="261"/>
      <c r="M3743" s="261"/>
    </row>
    <row r="3744" spans="5:13">
      <c r="E3744" s="261"/>
      <c r="F3744" s="261"/>
      <c r="G3744" s="261"/>
      <c r="H3744" s="261"/>
      <c r="I3744" s="261"/>
      <c r="J3744" s="261"/>
      <c r="K3744" s="261"/>
      <c r="L3744" s="261"/>
      <c r="M3744" s="261"/>
    </row>
    <row r="3745" spans="5:13">
      <c r="E3745" s="261"/>
      <c r="F3745" s="261"/>
      <c r="G3745" s="261"/>
      <c r="H3745" s="261"/>
      <c r="I3745" s="261"/>
      <c r="J3745" s="261"/>
      <c r="K3745" s="261"/>
      <c r="L3745" s="261"/>
      <c r="M3745" s="261"/>
    </row>
    <row r="3746" spans="5:13">
      <c r="E3746" s="261"/>
      <c r="F3746" s="261"/>
      <c r="G3746" s="261"/>
      <c r="H3746" s="261"/>
      <c r="I3746" s="261"/>
      <c r="J3746" s="261"/>
      <c r="K3746" s="261"/>
      <c r="L3746" s="261"/>
      <c r="M3746" s="261"/>
    </row>
    <row r="3747" spans="5:13">
      <c r="E3747" s="261"/>
      <c r="F3747" s="261"/>
      <c r="G3747" s="261"/>
      <c r="H3747" s="261"/>
      <c r="I3747" s="261"/>
      <c r="J3747" s="261"/>
      <c r="K3747" s="261"/>
      <c r="L3747" s="261"/>
      <c r="M3747" s="261"/>
    </row>
    <row r="3748" spans="5:13">
      <c r="E3748" s="261"/>
      <c r="F3748" s="261"/>
      <c r="G3748" s="261"/>
      <c r="H3748" s="261"/>
      <c r="I3748" s="261"/>
      <c r="J3748" s="261"/>
      <c r="K3748" s="261"/>
      <c r="L3748" s="261"/>
      <c r="M3748" s="261"/>
    </row>
    <row r="3749" spans="5:13">
      <c r="E3749" s="261"/>
      <c r="F3749" s="261"/>
      <c r="G3749" s="261"/>
      <c r="H3749" s="261"/>
      <c r="I3749" s="261"/>
      <c r="J3749" s="261"/>
      <c r="K3749" s="261"/>
      <c r="L3749" s="261"/>
      <c r="M3749" s="261"/>
    </row>
    <row r="3750" spans="5:13">
      <c r="E3750" s="261"/>
      <c r="F3750" s="261"/>
      <c r="G3750" s="261"/>
      <c r="H3750" s="261"/>
      <c r="I3750" s="261"/>
      <c r="J3750" s="261"/>
      <c r="K3750" s="261"/>
      <c r="L3750" s="261"/>
      <c r="M3750" s="261"/>
    </row>
    <row r="3751" spans="5:13">
      <c r="E3751" s="261"/>
      <c r="F3751" s="261"/>
      <c r="G3751" s="261"/>
      <c r="H3751" s="261"/>
      <c r="I3751" s="261"/>
      <c r="J3751" s="261"/>
      <c r="K3751" s="261"/>
      <c r="L3751" s="261"/>
      <c r="M3751" s="261"/>
    </row>
    <row r="3752" spans="5:13">
      <c r="E3752" s="261"/>
      <c r="F3752" s="261"/>
      <c r="G3752" s="261"/>
      <c r="H3752" s="261"/>
      <c r="I3752" s="261"/>
      <c r="J3752" s="261"/>
      <c r="K3752" s="261"/>
      <c r="L3752" s="261"/>
      <c r="M3752" s="261"/>
    </row>
    <row r="3753" spans="5:13">
      <c r="E3753" s="261"/>
      <c r="F3753" s="261"/>
      <c r="G3753" s="261"/>
      <c r="H3753" s="261"/>
      <c r="I3753" s="261"/>
      <c r="J3753" s="261"/>
      <c r="K3753" s="261"/>
      <c r="L3753" s="261"/>
      <c r="M3753" s="261"/>
    </row>
    <row r="3754" spans="5:13">
      <c r="E3754" s="261"/>
      <c r="F3754" s="261"/>
      <c r="G3754" s="261"/>
      <c r="H3754" s="261"/>
      <c r="I3754" s="261"/>
      <c r="J3754" s="261"/>
      <c r="K3754" s="261"/>
      <c r="L3754" s="261"/>
      <c r="M3754" s="261"/>
    </row>
    <row r="3755" spans="5:13">
      <c r="E3755" s="261"/>
      <c r="F3755" s="261"/>
      <c r="G3755" s="261"/>
      <c r="H3755" s="261"/>
      <c r="I3755" s="261"/>
      <c r="J3755" s="261"/>
      <c r="K3755" s="261"/>
      <c r="L3755" s="261"/>
      <c r="M3755" s="261"/>
    </row>
    <row r="3756" spans="5:13">
      <c r="E3756" s="261"/>
      <c r="F3756" s="261"/>
      <c r="G3756" s="261"/>
      <c r="H3756" s="261"/>
      <c r="I3756" s="261"/>
      <c r="J3756" s="261"/>
      <c r="K3756" s="261"/>
      <c r="L3756" s="261"/>
      <c r="M3756" s="261"/>
    </row>
    <row r="3757" spans="5:13">
      <c r="E3757" s="261"/>
      <c r="F3757" s="261"/>
      <c r="G3757" s="261"/>
      <c r="H3757" s="261"/>
      <c r="I3757" s="261"/>
      <c r="J3757" s="261"/>
      <c r="K3757" s="261"/>
      <c r="L3757" s="261"/>
      <c r="M3757" s="261"/>
    </row>
    <row r="3758" spans="5:13">
      <c r="E3758" s="261"/>
      <c r="F3758" s="261"/>
      <c r="G3758" s="261"/>
      <c r="H3758" s="261"/>
      <c r="I3758" s="261"/>
      <c r="J3758" s="261"/>
      <c r="K3758" s="261"/>
      <c r="L3758" s="261"/>
      <c r="M3758" s="261"/>
    </row>
    <row r="3759" spans="5:13">
      <c r="E3759" s="261"/>
      <c r="F3759" s="261"/>
      <c r="G3759" s="261"/>
      <c r="H3759" s="261"/>
      <c r="I3759" s="261"/>
      <c r="J3759" s="261"/>
      <c r="K3759" s="261"/>
      <c r="L3759" s="261"/>
      <c r="M3759" s="261"/>
    </row>
    <row r="3760" spans="5:13">
      <c r="E3760" s="261"/>
      <c r="F3760" s="261"/>
      <c r="G3760" s="261"/>
      <c r="H3760" s="261"/>
      <c r="I3760" s="261"/>
      <c r="J3760" s="261"/>
      <c r="K3760" s="261"/>
      <c r="L3760" s="261"/>
      <c r="M3760" s="261"/>
    </row>
    <row r="3761" spans="5:13">
      <c r="E3761" s="261"/>
      <c r="F3761" s="261"/>
      <c r="G3761" s="261"/>
      <c r="H3761" s="261"/>
      <c r="I3761" s="261"/>
      <c r="J3761" s="261"/>
      <c r="K3761" s="261"/>
      <c r="L3761" s="261"/>
      <c r="M3761" s="261"/>
    </row>
    <row r="3762" spans="5:13">
      <c r="E3762" s="261"/>
      <c r="F3762" s="261"/>
      <c r="G3762" s="261"/>
      <c r="H3762" s="261"/>
      <c r="I3762" s="261"/>
      <c r="J3762" s="261"/>
      <c r="K3762" s="261"/>
      <c r="L3762" s="261"/>
      <c r="M3762" s="261"/>
    </row>
    <row r="3763" spans="5:13">
      <c r="E3763" s="261"/>
      <c r="F3763" s="261"/>
      <c r="G3763" s="261"/>
      <c r="H3763" s="261"/>
      <c r="I3763" s="261"/>
      <c r="J3763" s="261"/>
      <c r="K3763" s="261"/>
      <c r="L3763" s="261"/>
      <c r="M3763" s="261"/>
    </row>
    <row r="3764" spans="5:13">
      <c r="E3764" s="261"/>
      <c r="F3764" s="261"/>
      <c r="G3764" s="261"/>
      <c r="H3764" s="261"/>
      <c r="I3764" s="261"/>
      <c r="J3764" s="261"/>
      <c r="K3764" s="261"/>
      <c r="L3764" s="261"/>
      <c r="M3764" s="261"/>
    </row>
    <row r="3765" spans="5:13">
      <c r="E3765" s="261"/>
      <c r="F3765" s="261"/>
      <c r="G3765" s="261"/>
      <c r="H3765" s="261"/>
      <c r="I3765" s="261"/>
      <c r="J3765" s="261"/>
      <c r="K3765" s="261"/>
      <c r="L3765" s="261"/>
      <c r="M3765" s="261"/>
    </row>
    <row r="3766" spans="5:13">
      <c r="E3766" s="261"/>
      <c r="F3766" s="261"/>
      <c r="G3766" s="261"/>
      <c r="H3766" s="261"/>
      <c r="I3766" s="261"/>
      <c r="J3766" s="261"/>
      <c r="K3766" s="261"/>
      <c r="L3766" s="261"/>
      <c r="M3766" s="261"/>
    </row>
    <row r="3767" spans="5:13">
      <c r="E3767" s="261"/>
      <c r="F3767" s="261"/>
      <c r="G3767" s="261"/>
      <c r="H3767" s="261"/>
      <c r="I3767" s="261"/>
      <c r="J3767" s="261"/>
      <c r="K3767" s="261"/>
      <c r="L3767" s="261"/>
      <c r="M3767" s="261"/>
    </row>
    <row r="3768" spans="5:13">
      <c r="E3768" s="261"/>
      <c r="F3768" s="261"/>
      <c r="G3768" s="261"/>
      <c r="H3768" s="261"/>
      <c r="I3768" s="261"/>
      <c r="J3768" s="261"/>
      <c r="K3768" s="261"/>
      <c r="L3768" s="261"/>
      <c r="M3768" s="261"/>
    </row>
    <row r="3769" spans="5:13">
      <c r="E3769" s="261"/>
      <c r="F3769" s="261"/>
      <c r="G3769" s="261"/>
      <c r="H3769" s="261"/>
      <c r="I3769" s="261"/>
      <c r="J3769" s="261"/>
      <c r="K3769" s="261"/>
      <c r="L3769" s="261"/>
      <c r="M3769" s="261"/>
    </row>
    <row r="3770" spans="5:13">
      <c r="E3770" s="261"/>
      <c r="F3770" s="261"/>
      <c r="G3770" s="261"/>
      <c r="H3770" s="261"/>
      <c r="I3770" s="261"/>
      <c r="J3770" s="261"/>
      <c r="K3770" s="261"/>
      <c r="L3770" s="261"/>
      <c r="M3770" s="261"/>
    </row>
    <row r="3771" spans="5:13">
      <c r="E3771" s="261"/>
      <c r="F3771" s="261"/>
      <c r="G3771" s="261"/>
      <c r="H3771" s="261"/>
      <c r="I3771" s="261"/>
      <c r="J3771" s="261"/>
      <c r="K3771" s="261"/>
      <c r="L3771" s="261"/>
      <c r="M3771" s="261"/>
    </row>
    <row r="3772" spans="5:13">
      <c r="E3772" s="261"/>
      <c r="F3772" s="261"/>
      <c r="G3772" s="261"/>
      <c r="H3772" s="261"/>
      <c r="I3772" s="261"/>
      <c r="J3772" s="261"/>
      <c r="K3772" s="261"/>
      <c r="L3772" s="261"/>
      <c r="M3772" s="261"/>
    </row>
    <row r="3773" spans="5:13">
      <c r="E3773" s="261"/>
      <c r="F3773" s="261"/>
      <c r="G3773" s="261"/>
      <c r="H3773" s="261"/>
      <c r="I3773" s="261"/>
      <c r="J3773" s="261"/>
      <c r="K3773" s="261"/>
      <c r="L3773" s="261"/>
      <c r="M3773" s="261"/>
    </row>
    <row r="3774" spans="5:13">
      <c r="E3774" s="261"/>
      <c r="F3774" s="261"/>
      <c r="G3774" s="261"/>
      <c r="H3774" s="261"/>
      <c r="I3774" s="261"/>
      <c r="J3774" s="261"/>
      <c r="K3774" s="261"/>
      <c r="L3774" s="261"/>
      <c r="M3774" s="261"/>
    </row>
    <row r="3775" spans="5:13">
      <c r="E3775" s="261"/>
      <c r="F3775" s="261"/>
      <c r="G3775" s="261"/>
      <c r="H3775" s="261"/>
      <c r="I3775" s="261"/>
      <c r="J3775" s="261"/>
      <c r="K3775" s="261"/>
      <c r="L3775" s="261"/>
      <c r="M3775" s="261"/>
    </row>
    <row r="3776" spans="5:13">
      <c r="E3776" s="261"/>
      <c r="F3776" s="261"/>
      <c r="G3776" s="261"/>
      <c r="H3776" s="261"/>
      <c r="I3776" s="261"/>
      <c r="J3776" s="261"/>
      <c r="K3776" s="261"/>
      <c r="L3776" s="261"/>
      <c r="M3776" s="261"/>
    </row>
    <row r="3777" spans="5:13">
      <c r="E3777" s="261"/>
      <c r="F3777" s="261"/>
      <c r="G3777" s="261"/>
      <c r="H3777" s="261"/>
      <c r="I3777" s="261"/>
      <c r="J3777" s="261"/>
      <c r="K3777" s="261"/>
      <c r="L3777" s="261"/>
      <c r="M3777" s="261"/>
    </row>
    <row r="3778" spans="5:13">
      <c r="E3778" s="261"/>
      <c r="F3778" s="261"/>
      <c r="G3778" s="261"/>
      <c r="H3778" s="261"/>
      <c r="I3778" s="261"/>
      <c r="J3778" s="261"/>
      <c r="K3778" s="261"/>
      <c r="L3778" s="261"/>
      <c r="M3778" s="261"/>
    </row>
    <row r="3779" spans="5:13">
      <c r="E3779" s="261"/>
      <c r="F3779" s="261"/>
      <c r="G3779" s="261"/>
      <c r="H3779" s="261"/>
      <c r="I3779" s="261"/>
      <c r="J3779" s="261"/>
      <c r="K3779" s="261"/>
      <c r="L3779" s="261"/>
      <c r="M3779" s="261"/>
    </row>
    <row r="3780" spans="5:13">
      <c r="E3780" s="261"/>
      <c r="F3780" s="261"/>
      <c r="G3780" s="261"/>
      <c r="H3780" s="261"/>
      <c r="I3780" s="261"/>
      <c r="J3780" s="261"/>
      <c r="K3780" s="261"/>
      <c r="L3780" s="261"/>
      <c r="M3780" s="261"/>
    </row>
    <row r="3781" spans="5:13">
      <c r="E3781" s="261"/>
      <c r="F3781" s="261"/>
      <c r="G3781" s="261"/>
      <c r="H3781" s="261"/>
      <c r="I3781" s="261"/>
      <c r="J3781" s="261"/>
      <c r="K3781" s="261"/>
      <c r="L3781" s="261"/>
      <c r="M3781" s="261"/>
    </row>
    <row r="3782" spans="5:13">
      <c r="E3782" s="261"/>
      <c r="F3782" s="261"/>
      <c r="G3782" s="261"/>
      <c r="H3782" s="261"/>
      <c r="I3782" s="261"/>
      <c r="J3782" s="261"/>
      <c r="K3782" s="261"/>
      <c r="L3782" s="261"/>
      <c r="M3782" s="261"/>
    </row>
    <row r="3783" spans="5:13">
      <c r="E3783" s="261"/>
      <c r="F3783" s="261"/>
      <c r="G3783" s="261"/>
      <c r="H3783" s="261"/>
      <c r="I3783" s="261"/>
      <c r="J3783" s="261"/>
      <c r="K3783" s="261"/>
      <c r="L3783" s="261"/>
      <c r="M3783" s="261"/>
    </row>
    <row r="3784" spans="5:13">
      <c r="E3784" s="261"/>
      <c r="F3784" s="261"/>
      <c r="G3784" s="261"/>
      <c r="H3784" s="261"/>
      <c r="I3784" s="261"/>
      <c r="J3784" s="261"/>
      <c r="K3784" s="261"/>
      <c r="L3784" s="261"/>
      <c r="M3784" s="261"/>
    </row>
    <row r="3785" spans="5:13">
      <c r="E3785" s="261"/>
      <c r="F3785" s="261"/>
      <c r="G3785" s="261"/>
      <c r="H3785" s="261"/>
      <c r="I3785" s="261"/>
      <c r="J3785" s="261"/>
      <c r="K3785" s="261"/>
      <c r="L3785" s="261"/>
      <c r="M3785" s="261"/>
    </row>
    <row r="3786" spans="5:13">
      <c r="E3786" s="261"/>
      <c r="F3786" s="261"/>
      <c r="G3786" s="261"/>
      <c r="H3786" s="261"/>
      <c r="I3786" s="261"/>
      <c r="J3786" s="261"/>
      <c r="K3786" s="261"/>
      <c r="L3786" s="261"/>
      <c r="M3786" s="261"/>
    </row>
    <row r="3787" spans="5:13">
      <c r="E3787" s="261"/>
      <c r="F3787" s="261"/>
      <c r="G3787" s="261"/>
      <c r="H3787" s="261"/>
      <c r="I3787" s="261"/>
      <c r="J3787" s="261"/>
      <c r="K3787" s="261"/>
      <c r="L3787" s="261"/>
      <c r="M3787" s="261"/>
    </row>
    <row r="3788" spans="5:13">
      <c r="E3788" s="261"/>
      <c r="F3788" s="261"/>
      <c r="G3788" s="261"/>
      <c r="H3788" s="261"/>
      <c r="I3788" s="261"/>
      <c r="J3788" s="261"/>
      <c r="K3788" s="261"/>
      <c r="L3788" s="261"/>
      <c r="M3788" s="261"/>
    </row>
    <row r="3789" spans="5:13">
      <c r="E3789" s="261"/>
      <c r="F3789" s="261"/>
      <c r="G3789" s="261"/>
      <c r="H3789" s="261"/>
      <c r="I3789" s="261"/>
      <c r="J3789" s="261"/>
      <c r="K3789" s="261"/>
      <c r="L3789" s="261"/>
      <c r="M3789" s="261"/>
    </row>
    <row r="3790" spans="5:13">
      <c r="E3790" s="261"/>
      <c r="F3790" s="261"/>
      <c r="G3790" s="261"/>
      <c r="H3790" s="261"/>
      <c r="I3790" s="261"/>
      <c r="J3790" s="261"/>
      <c r="K3790" s="261"/>
      <c r="L3790" s="261"/>
      <c r="M3790" s="261"/>
    </row>
    <row r="3791" spans="5:13">
      <c r="E3791" s="261"/>
      <c r="F3791" s="261"/>
      <c r="G3791" s="261"/>
      <c r="H3791" s="261"/>
      <c r="I3791" s="261"/>
      <c r="J3791" s="261"/>
      <c r="K3791" s="261"/>
      <c r="L3791" s="261"/>
      <c r="M3791" s="261"/>
    </row>
    <row r="3792" spans="5:13">
      <c r="E3792" s="261"/>
      <c r="F3792" s="261"/>
      <c r="G3792" s="261"/>
      <c r="H3792" s="261"/>
      <c r="I3792" s="261"/>
      <c r="J3792" s="261"/>
      <c r="K3792" s="261"/>
      <c r="L3792" s="261"/>
      <c r="M3792" s="261"/>
    </row>
    <row r="3793" spans="5:13">
      <c r="E3793" s="261"/>
      <c r="F3793" s="261"/>
      <c r="G3793" s="261"/>
      <c r="H3793" s="261"/>
      <c r="I3793" s="261"/>
      <c r="J3793" s="261"/>
      <c r="K3793" s="261"/>
      <c r="L3793" s="261"/>
      <c r="M3793" s="261"/>
    </row>
    <row r="3794" spans="5:13">
      <c r="E3794" s="261"/>
      <c r="F3794" s="261"/>
      <c r="G3794" s="261"/>
      <c r="H3794" s="261"/>
      <c r="I3794" s="261"/>
      <c r="J3794" s="261"/>
      <c r="K3794" s="261"/>
      <c r="L3794" s="261"/>
      <c r="M3794" s="261"/>
    </row>
    <row r="3795" spans="5:13">
      <c r="E3795" s="261"/>
      <c r="F3795" s="261"/>
      <c r="G3795" s="261"/>
      <c r="H3795" s="261"/>
      <c r="I3795" s="261"/>
      <c r="J3795" s="261"/>
      <c r="K3795" s="261"/>
      <c r="L3795" s="261"/>
      <c r="M3795" s="261"/>
    </row>
    <row r="3796" spans="5:13">
      <c r="E3796" s="261"/>
      <c r="F3796" s="261"/>
      <c r="G3796" s="261"/>
      <c r="H3796" s="261"/>
      <c r="I3796" s="261"/>
      <c r="J3796" s="261"/>
      <c r="K3796" s="261"/>
      <c r="L3796" s="261"/>
      <c r="M3796" s="261"/>
    </row>
    <row r="3797" spans="5:13">
      <c r="E3797" s="261"/>
      <c r="F3797" s="261"/>
      <c r="G3797" s="261"/>
      <c r="H3797" s="261"/>
      <c r="I3797" s="261"/>
      <c r="J3797" s="261"/>
      <c r="K3797" s="261"/>
      <c r="L3797" s="261"/>
      <c r="M3797" s="261"/>
    </row>
    <row r="3798" spans="5:13">
      <c r="E3798" s="261"/>
      <c r="F3798" s="261"/>
      <c r="G3798" s="261"/>
      <c r="H3798" s="261"/>
      <c r="I3798" s="261"/>
      <c r="J3798" s="261"/>
      <c r="K3798" s="261"/>
      <c r="L3798" s="261"/>
      <c r="M3798" s="261"/>
    </row>
    <row r="3799" spans="5:13">
      <c r="E3799" s="261"/>
      <c r="F3799" s="261"/>
      <c r="G3799" s="261"/>
      <c r="H3799" s="261"/>
      <c r="I3799" s="261"/>
      <c r="J3799" s="261"/>
      <c r="K3799" s="261"/>
      <c r="L3799" s="261"/>
      <c r="M3799" s="261"/>
    </row>
    <row r="3800" spans="5:13">
      <c r="E3800" s="261"/>
      <c r="F3800" s="261"/>
      <c r="G3800" s="261"/>
      <c r="H3800" s="261"/>
      <c r="I3800" s="261"/>
      <c r="J3800" s="261"/>
      <c r="K3800" s="261"/>
      <c r="L3800" s="261"/>
      <c r="M3800" s="261"/>
    </row>
    <row r="3801" spans="5:13">
      <c r="E3801" s="261"/>
      <c r="F3801" s="261"/>
      <c r="G3801" s="261"/>
      <c r="H3801" s="261"/>
      <c r="I3801" s="261"/>
      <c r="J3801" s="261"/>
      <c r="K3801" s="261"/>
      <c r="L3801" s="261"/>
      <c r="M3801" s="261"/>
    </row>
    <row r="3802" spans="5:13">
      <c r="E3802" s="261"/>
      <c r="F3802" s="261"/>
      <c r="G3802" s="261"/>
      <c r="H3802" s="261"/>
      <c r="I3802" s="261"/>
      <c r="J3802" s="261"/>
      <c r="K3802" s="261"/>
      <c r="L3802" s="261"/>
      <c r="M3802" s="261"/>
    </row>
    <row r="3803" spans="5:13">
      <c r="E3803" s="261"/>
      <c r="F3803" s="261"/>
      <c r="G3803" s="261"/>
      <c r="H3803" s="261"/>
      <c r="I3803" s="261"/>
      <c r="J3803" s="261"/>
      <c r="K3803" s="261"/>
      <c r="L3803" s="261"/>
      <c r="M3803" s="261"/>
    </row>
    <row r="3804" spans="5:13">
      <c r="E3804" s="261"/>
      <c r="F3804" s="261"/>
      <c r="G3804" s="261"/>
      <c r="H3804" s="261"/>
      <c r="I3804" s="261"/>
      <c r="J3804" s="261"/>
      <c r="K3804" s="261"/>
      <c r="L3804" s="261"/>
      <c r="M3804" s="261"/>
    </row>
    <row r="3805" spans="5:13">
      <c r="E3805" s="261"/>
      <c r="F3805" s="261"/>
      <c r="G3805" s="261"/>
      <c r="H3805" s="261"/>
      <c r="I3805" s="261"/>
      <c r="J3805" s="261"/>
      <c r="K3805" s="261"/>
      <c r="L3805" s="261"/>
      <c r="M3805" s="261"/>
    </row>
    <row r="3806" spans="5:13">
      <c r="E3806" s="261"/>
      <c r="F3806" s="261"/>
      <c r="G3806" s="261"/>
      <c r="H3806" s="261"/>
      <c r="I3806" s="261"/>
      <c r="J3806" s="261"/>
      <c r="K3806" s="261"/>
      <c r="L3806" s="261"/>
      <c r="M3806" s="261"/>
    </row>
    <row r="3807" spans="5:13">
      <c r="E3807" s="261"/>
      <c r="F3807" s="261"/>
      <c r="G3807" s="261"/>
      <c r="H3807" s="261"/>
      <c r="I3807" s="261"/>
      <c r="J3807" s="261"/>
      <c r="K3807" s="261"/>
      <c r="L3807" s="261"/>
      <c r="M3807" s="261"/>
    </row>
    <row r="3808" spans="5:13">
      <c r="E3808" s="261"/>
      <c r="F3808" s="261"/>
      <c r="G3808" s="261"/>
      <c r="H3808" s="261"/>
      <c r="I3808" s="261"/>
      <c r="J3808" s="261"/>
      <c r="K3808" s="261"/>
      <c r="L3808" s="261"/>
      <c r="M3808" s="261"/>
    </row>
    <row r="3809" spans="5:13">
      <c r="E3809" s="261"/>
      <c r="F3809" s="261"/>
      <c r="G3809" s="261"/>
      <c r="H3809" s="261"/>
      <c r="I3809" s="261"/>
      <c r="J3809" s="261"/>
      <c r="K3809" s="261"/>
      <c r="L3809" s="261"/>
      <c r="M3809" s="261"/>
    </row>
    <row r="3810" spans="5:13">
      <c r="E3810" s="261"/>
      <c r="F3810" s="261"/>
      <c r="G3810" s="261"/>
      <c r="H3810" s="261"/>
      <c r="I3810" s="261"/>
      <c r="J3810" s="261"/>
      <c r="K3810" s="261"/>
      <c r="L3810" s="261"/>
      <c r="M3810" s="261"/>
    </row>
    <row r="3811" spans="5:13">
      <c r="E3811" s="261"/>
      <c r="F3811" s="261"/>
      <c r="G3811" s="261"/>
      <c r="H3811" s="261"/>
      <c r="I3811" s="261"/>
      <c r="J3811" s="261"/>
      <c r="K3811" s="261"/>
      <c r="L3811" s="261"/>
      <c r="M3811" s="261"/>
    </row>
    <row r="3812" spans="5:13">
      <c r="E3812" s="261"/>
      <c r="F3812" s="261"/>
      <c r="G3812" s="261"/>
      <c r="H3812" s="261"/>
      <c r="I3812" s="261"/>
      <c r="J3812" s="261"/>
      <c r="K3812" s="261"/>
      <c r="L3812" s="261"/>
      <c r="M3812" s="261"/>
    </row>
    <row r="3813" spans="5:13">
      <c r="E3813" s="261"/>
      <c r="F3813" s="261"/>
      <c r="G3813" s="261"/>
      <c r="H3813" s="261"/>
      <c r="I3813" s="261"/>
      <c r="J3813" s="261"/>
      <c r="K3813" s="261"/>
      <c r="L3813" s="261"/>
      <c r="M3813" s="261"/>
    </row>
    <row r="3814" spans="5:13">
      <c r="E3814" s="261"/>
      <c r="F3814" s="261"/>
      <c r="G3814" s="261"/>
      <c r="H3814" s="261"/>
      <c r="I3814" s="261"/>
      <c r="J3814" s="261"/>
      <c r="K3814" s="261"/>
      <c r="L3814" s="261"/>
      <c r="M3814" s="261"/>
    </row>
    <row r="3815" spans="5:13">
      <c r="E3815" s="261"/>
      <c r="F3815" s="261"/>
      <c r="G3815" s="261"/>
      <c r="H3815" s="261"/>
      <c r="I3815" s="261"/>
      <c r="J3815" s="261"/>
      <c r="K3815" s="261"/>
      <c r="L3815" s="261"/>
      <c r="M3815" s="261"/>
    </row>
    <row r="3816" spans="5:13">
      <c r="E3816" s="261"/>
      <c r="F3816" s="261"/>
      <c r="G3816" s="261"/>
      <c r="H3816" s="261"/>
      <c r="I3816" s="261"/>
      <c r="J3816" s="261"/>
      <c r="K3816" s="261"/>
      <c r="L3816" s="261"/>
      <c r="M3816" s="261"/>
    </row>
    <row r="3817" spans="5:13">
      <c r="E3817" s="261"/>
      <c r="F3817" s="261"/>
      <c r="G3817" s="261"/>
      <c r="H3817" s="261"/>
      <c r="I3817" s="261"/>
      <c r="J3817" s="261"/>
      <c r="K3817" s="261"/>
      <c r="L3817" s="261"/>
      <c r="M3817" s="261"/>
    </row>
    <row r="3818" spans="5:13">
      <c r="E3818" s="261"/>
      <c r="F3818" s="261"/>
      <c r="G3818" s="261"/>
      <c r="H3818" s="261"/>
      <c r="I3818" s="261"/>
      <c r="J3818" s="261"/>
      <c r="K3818" s="261"/>
      <c r="L3818" s="261"/>
      <c r="M3818" s="261"/>
    </row>
    <row r="3819" spans="5:13">
      <c r="E3819" s="261"/>
      <c r="F3819" s="261"/>
      <c r="G3819" s="261"/>
      <c r="H3819" s="261"/>
      <c r="I3819" s="261"/>
      <c r="J3819" s="261"/>
      <c r="K3819" s="261"/>
      <c r="L3819" s="261"/>
      <c r="M3819" s="261"/>
    </row>
    <row r="3820" spans="5:13">
      <c r="E3820" s="261"/>
      <c r="F3820" s="261"/>
      <c r="G3820" s="261"/>
      <c r="H3820" s="261"/>
      <c r="I3820" s="261"/>
      <c r="J3820" s="261"/>
      <c r="K3820" s="261"/>
      <c r="L3820" s="261"/>
      <c r="M3820" s="261"/>
    </row>
    <row r="3821" spans="5:13">
      <c r="E3821" s="261"/>
      <c r="F3821" s="261"/>
      <c r="G3821" s="261"/>
      <c r="H3821" s="261"/>
      <c r="I3821" s="261"/>
      <c r="J3821" s="261"/>
      <c r="K3821" s="261"/>
      <c r="L3821" s="261"/>
      <c r="M3821" s="261"/>
    </row>
    <row r="3822" spans="5:13">
      <c r="E3822" s="261"/>
      <c r="F3822" s="261"/>
      <c r="G3822" s="261"/>
      <c r="H3822" s="261"/>
      <c r="I3822" s="261"/>
      <c r="J3822" s="261"/>
      <c r="K3822" s="261"/>
      <c r="L3822" s="261"/>
      <c r="M3822" s="261"/>
    </row>
    <row r="3823" spans="5:13">
      <c r="E3823" s="261"/>
      <c r="F3823" s="261"/>
      <c r="G3823" s="261"/>
      <c r="H3823" s="261"/>
      <c r="I3823" s="261"/>
      <c r="J3823" s="261"/>
      <c r="K3823" s="261"/>
      <c r="L3823" s="261"/>
      <c r="M3823" s="261"/>
    </row>
    <row r="3824" spans="5:13">
      <c r="E3824" s="261"/>
      <c r="F3824" s="261"/>
      <c r="G3824" s="261"/>
      <c r="H3824" s="261"/>
      <c r="I3824" s="261"/>
      <c r="J3824" s="261"/>
      <c r="K3824" s="261"/>
      <c r="L3824" s="261"/>
      <c r="M3824" s="261"/>
    </row>
    <row r="3825" spans="5:13">
      <c r="E3825" s="261"/>
      <c r="F3825" s="261"/>
      <c r="G3825" s="261"/>
      <c r="H3825" s="261"/>
      <c r="I3825" s="261"/>
      <c r="J3825" s="261"/>
      <c r="K3825" s="261"/>
      <c r="L3825" s="261"/>
      <c r="M3825" s="261"/>
    </row>
    <row r="3826" spans="5:13">
      <c r="E3826" s="261"/>
      <c r="F3826" s="261"/>
      <c r="G3826" s="261"/>
      <c r="H3826" s="261"/>
      <c r="I3826" s="261"/>
      <c r="J3826" s="261"/>
      <c r="K3826" s="261"/>
      <c r="L3826" s="261"/>
      <c r="M3826" s="261"/>
    </row>
    <row r="3827" spans="5:13">
      <c r="E3827" s="261"/>
      <c r="F3827" s="261"/>
      <c r="G3827" s="261"/>
      <c r="H3827" s="261"/>
      <c r="I3827" s="261"/>
      <c r="J3827" s="261"/>
      <c r="K3827" s="261"/>
      <c r="L3827" s="261"/>
      <c r="M3827" s="261"/>
    </row>
    <row r="3828" spans="5:13">
      <c r="E3828" s="261"/>
      <c r="F3828" s="261"/>
      <c r="G3828" s="261"/>
      <c r="H3828" s="261"/>
      <c r="I3828" s="261"/>
      <c r="J3828" s="261"/>
      <c r="K3828" s="261"/>
      <c r="L3828" s="261"/>
      <c r="M3828" s="261"/>
    </row>
    <row r="3829" spans="5:13">
      <c r="E3829" s="261"/>
      <c r="F3829" s="261"/>
      <c r="G3829" s="261"/>
      <c r="H3829" s="261"/>
      <c r="I3829" s="261"/>
      <c r="J3829" s="261"/>
      <c r="K3829" s="261"/>
      <c r="L3829" s="261"/>
      <c r="M3829" s="261"/>
    </row>
    <row r="3830" spans="5:13">
      <c r="E3830" s="261"/>
      <c r="F3830" s="261"/>
      <c r="G3830" s="261"/>
      <c r="H3830" s="261"/>
      <c r="I3830" s="261"/>
      <c r="J3830" s="261"/>
      <c r="K3830" s="261"/>
      <c r="L3830" s="261"/>
      <c r="M3830" s="261"/>
    </row>
    <row r="3831" spans="5:13">
      <c r="E3831" s="261"/>
      <c r="F3831" s="261"/>
      <c r="G3831" s="261"/>
      <c r="H3831" s="261"/>
      <c r="I3831" s="261"/>
      <c r="J3831" s="261"/>
      <c r="K3831" s="261"/>
      <c r="L3831" s="261"/>
      <c r="M3831" s="261"/>
    </row>
    <row r="3832" spans="5:13">
      <c r="E3832" s="261"/>
      <c r="F3832" s="261"/>
      <c r="G3832" s="261"/>
      <c r="H3832" s="261"/>
      <c r="I3832" s="261"/>
      <c r="J3832" s="261"/>
      <c r="K3832" s="261"/>
      <c r="L3832" s="261"/>
      <c r="M3832" s="261"/>
    </row>
    <row r="3833" spans="5:13">
      <c r="E3833" s="261"/>
      <c r="F3833" s="261"/>
      <c r="G3833" s="261"/>
      <c r="H3833" s="261"/>
      <c r="I3833" s="261"/>
      <c r="J3833" s="261"/>
      <c r="K3833" s="261"/>
      <c r="L3833" s="261"/>
      <c r="M3833" s="261"/>
    </row>
    <row r="3834" spans="5:13">
      <c r="E3834" s="261"/>
      <c r="F3834" s="261"/>
      <c r="G3834" s="261"/>
      <c r="H3834" s="261"/>
      <c r="I3834" s="261"/>
      <c r="J3834" s="261"/>
      <c r="K3834" s="261"/>
      <c r="L3834" s="261"/>
      <c r="M3834" s="261"/>
    </row>
    <row r="3835" spans="5:13">
      <c r="E3835" s="261"/>
      <c r="F3835" s="261"/>
      <c r="G3835" s="261"/>
      <c r="H3835" s="261"/>
      <c r="I3835" s="261"/>
      <c r="J3835" s="261"/>
      <c r="K3835" s="261"/>
      <c r="L3835" s="261"/>
      <c r="M3835" s="261"/>
    </row>
    <row r="3836" spans="5:13">
      <c r="E3836" s="261"/>
      <c r="F3836" s="261"/>
      <c r="G3836" s="261"/>
      <c r="H3836" s="261"/>
      <c r="I3836" s="261"/>
      <c r="J3836" s="261"/>
      <c r="K3836" s="261"/>
      <c r="L3836" s="261"/>
      <c r="M3836" s="261"/>
    </row>
    <row r="3837" spans="5:13">
      <c r="E3837" s="261"/>
      <c r="F3837" s="261"/>
      <c r="G3837" s="261"/>
      <c r="H3837" s="261"/>
      <c r="I3837" s="261"/>
      <c r="J3837" s="261"/>
      <c r="K3837" s="261"/>
      <c r="L3837" s="261"/>
      <c r="M3837" s="261"/>
    </row>
    <row r="3838" spans="5:13">
      <c r="E3838" s="261"/>
      <c r="F3838" s="261"/>
      <c r="G3838" s="261"/>
      <c r="H3838" s="261"/>
      <c r="I3838" s="261"/>
      <c r="J3838" s="261"/>
      <c r="K3838" s="261"/>
      <c r="L3838" s="261"/>
      <c r="M3838" s="261"/>
    </row>
    <row r="3839" spans="5:13">
      <c r="E3839" s="261"/>
      <c r="F3839" s="261"/>
      <c r="G3839" s="261"/>
      <c r="H3839" s="261"/>
      <c r="I3839" s="261"/>
      <c r="J3839" s="261"/>
      <c r="K3839" s="261"/>
      <c r="L3839" s="261"/>
      <c r="M3839" s="261"/>
    </row>
    <row r="3840" spans="5:13">
      <c r="E3840" s="261"/>
      <c r="F3840" s="261"/>
      <c r="G3840" s="261"/>
      <c r="H3840" s="261"/>
      <c r="I3840" s="261"/>
      <c r="J3840" s="261"/>
      <c r="K3840" s="261"/>
      <c r="L3840" s="261"/>
      <c r="M3840" s="261"/>
    </row>
    <row r="3841" spans="5:13">
      <c r="E3841" s="261"/>
      <c r="F3841" s="261"/>
      <c r="G3841" s="261"/>
      <c r="H3841" s="261"/>
      <c r="I3841" s="261"/>
      <c r="J3841" s="261"/>
      <c r="K3841" s="261"/>
      <c r="L3841" s="261"/>
      <c r="M3841" s="261"/>
    </row>
    <row r="3842" spans="5:13">
      <c r="E3842" s="261"/>
      <c r="F3842" s="261"/>
      <c r="G3842" s="261"/>
      <c r="H3842" s="261"/>
      <c r="I3842" s="261"/>
      <c r="J3842" s="261"/>
      <c r="K3842" s="261"/>
      <c r="L3842" s="261"/>
      <c r="M3842" s="261"/>
    </row>
    <row r="3843" spans="5:13">
      <c r="E3843" s="261"/>
      <c r="F3843" s="261"/>
      <c r="G3843" s="261"/>
      <c r="H3843" s="261"/>
      <c r="I3843" s="261"/>
      <c r="J3843" s="261"/>
      <c r="K3843" s="261"/>
      <c r="L3843" s="261"/>
      <c r="M3843" s="261"/>
    </row>
    <row r="3844" spans="5:13">
      <c r="E3844" s="261"/>
      <c r="F3844" s="261"/>
      <c r="G3844" s="261"/>
      <c r="H3844" s="261"/>
      <c r="I3844" s="261"/>
      <c r="J3844" s="261"/>
      <c r="K3844" s="261"/>
      <c r="L3844" s="261"/>
      <c r="M3844" s="261"/>
    </row>
    <row r="3845" spans="5:13">
      <c r="E3845" s="261"/>
      <c r="F3845" s="261"/>
      <c r="G3845" s="261"/>
      <c r="H3845" s="261"/>
      <c r="I3845" s="261"/>
      <c r="J3845" s="261"/>
      <c r="K3845" s="261"/>
      <c r="L3845" s="261"/>
      <c r="M3845" s="261"/>
    </row>
    <row r="3846" spans="5:13">
      <c r="E3846" s="261"/>
      <c r="F3846" s="261"/>
      <c r="G3846" s="261"/>
      <c r="H3846" s="261"/>
      <c r="I3846" s="261"/>
      <c r="J3846" s="261"/>
      <c r="K3846" s="261"/>
      <c r="L3846" s="261"/>
      <c r="M3846" s="261"/>
    </row>
    <row r="3847" spans="5:13">
      <c r="E3847" s="261"/>
      <c r="F3847" s="261"/>
      <c r="G3847" s="261"/>
      <c r="H3847" s="261"/>
      <c r="I3847" s="261"/>
      <c r="J3847" s="261"/>
      <c r="K3847" s="261"/>
      <c r="L3847" s="261"/>
      <c r="M3847" s="261"/>
    </row>
    <row r="3848" spans="5:13">
      <c r="E3848" s="261"/>
      <c r="F3848" s="261"/>
      <c r="G3848" s="261"/>
      <c r="H3848" s="261"/>
      <c r="I3848" s="261"/>
      <c r="J3848" s="261"/>
      <c r="K3848" s="261"/>
      <c r="L3848" s="261"/>
      <c r="M3848" s="261"/>
    </row>
    <row r="3849" spans="5:13">
      <c r="E3849" s="261"/>
      <c r="F3849" s="261"/>
      <c r="G3849" s="261"/>
      <c r="H3849" s="261"/>
      <c r="I3849" s="261"/>
      <c r="J3849" s="261"/>
      <c r="K3849" s="261"/>
      <c r="L3849" s="261"/>
      <c r="M3849" s="261"/>
    </row>
    <row r="3850" spans="5:13">
      <c r="E3850" s="261"/>
      <c r="F3850" s="261"/>
      <c r="G3850" s="261"/>
      <c r="H3850" s="261"/>
      <c r="I3850" s="261"/>
      <c r="J3850" s="261"/>
      <c r="K3850" s="261"/>
      <c r="L3850" s="261"/>
      <c r="M3850" s="261"/>
    </row>
    <row r="3851" spans="5:13">
      <c r="E3851" s="261"/>
      <c r="F3851" s="261"/>
      <c r="G3851" s="261"/>
      <c r="H3851" s="261"/>
      <c r="I3851" s="261"/>
      <c r="J3851" s="261"/>
      <c r="K3851" s="261"/>
      <c r="L3851" s="261"/>
      <c r="M3851" s="261"/>
    </row>
    <row r="3852" spans="5:13">
      <c r="E3852" s="261"/>
      <c r="F3852" s="261"/>
      <c r="G3852" s="261"/>
      <c r="H3852" s="261"/>
      <c r="I3852" s="261"/>
      <c r="J3852" s="261"/>
      <c r="K3852" s="261"/>
      <c r="L3852" s="261"/>
      <c r="M3852" s="261"/>
    </row>
    <row r="3853" spans="5:13">
      <c r="E3853" s="261"/>
      <c r="F3853" s="261"/>
      <c r="G3853" s="261"/>
      <c r="H3853" s="261"/>
      <c r="I3853" s="261"/>
      <c r="J3853" s="261"/>
      <c r="K3853" s="261"/>
      <c r="L3853" s="261"/>
      <c r="M3853" s="261"/>
    </row>
    <row r="3854" spans="5:13">
      <c r="E3854" s="261"/>
      <c r="F3854" s="261"/>
      <c r="G3854" s="261"/>
      <c r="H3854" s="261"/>
      <c r="I3854" s="261"/>
      <c r="J3854" s="261"/>
      <c r="K3854" s="261"/>
      <c r="L3854" s="261"/>
      <c r="M3854" s="261"/>
    </row>
    <row r="3855" spans="5:13">
      <c r="E3855" s="261"/>
      <c r="F3855" s="261"/>
      <c r="G3855" s="261"/>
      <c r="H3855" s="261"/>
      <c r="I3855" s="261"/>
      <c r="J3855" s="261"/>
      <c r="K3855" s="261"/>
      <c r="L3855" s="261"/>
      <c r="M3855" s="261"/>
    </row>
    <row r="3856" spans="5:13">
      <c r="E3856" s="261"/>
      <c r="F3856" s="261"/>
      <c r="G3856" s="261"/>
      <c r="H3856" s="261"/>
      <c r="I3856" s="261"/>
      <c r="J3856" s="261"/>
      <c r="K3856" s="261"/>
      <c r="L3856" s="261"/>
      <c r="M3856" s="261"/>
    </row>
    <row r="3857" spans="5:13">
      <c r="E3857" s="261"/>
      <c r="F3857" s="261"/>
      <c r="G3857" s="261"/>
      <c r="H3857" s="261"/>
      <c r="I3857" s="261"/>
      <c r="J3857" s="261"/>
      <c r="K3857" s="261"/>
      <c r="L3857" s="261"/>
      <c r="M3857" s="261"/>
    </row>
    <row r="3858" spans="5:13">
      <c r="E3858" s="261"/>
      <c r="F3858" s="261"/>
      <c r="G3858" s="261"/>
      <c r="H3858" s="261"/>
      <c r="I3858" s="261"/>
      <c r="J3858" s="261"/>
      <c r="K3858" s="261"/>
      <c r="L3858" s="261"/>
      <c r="M3858" s="261"/>
    </row>
    <row r="3859" spans="5:13">
      <c r="E3859" s="261"/>
      <c r="F3859" s="261"/>
      <c r="G3859" s="261"/>
      <c r="H3859" s="261"/>
      <c r="I3859" s="261"/>
      <c r="J3859" s="261"/>
      <c r="K3859" s="261"/>
      <c r="L3859" s="261"/>
      <c r="M3859" s="261"/>
    </row>
    <row r="3860" spans="5:13">
      <c r="E3860" s="261"/>
      <c r="F3860" s="261"/>
      <c r="G3860" s="261"/>
      <c r="H3860" s="261"/>
      <c r="I3860" s="261"/>
      <c r="J3860" s="261"/>
      <c r="K3860" s="261"/>
      <c r="L3860" s="261"/>
      <c r="M3860" s="261"/>
    </row>
    <row r="3861" spans="5:13">
      <c r="E3861" s="261"/>
      <c r="F3861" s="261"/>
      <c r="G3861" s="261"/>
      <c r="H3861" s="261"/>
      <c r="I3861" s="261"/>
      <c r="J3861" s="261"/>
      <c r="K3861" s="261"/>
      <c r="L3861" s="261"/>
      <c r="M3861" s="261"/>
    </row>
    <row r="3862" spans="5:13">
      <c r="E3862" s="261"/>
      <c r="F3862" s="261"/>
      <c r="G3862" s="261"/>
      <c r="H3862" s="261"/>
      <c r="I3862" s="261"/>
      <c r="J3862" s="261"/>
      <c r="K3862" s="261"/>
      <c r="L3862" s="261"/>
      <c r="M3862" s="261"/>
    </row>
    <row r="3863" spans="5:13">
      <c r="E3863" s="261"/>
      <c r="F3863" s="261"/>
      <c r="G3863" s="261"/>
      <c r="H3863" s="261"/>
      <c r="I3863" s="261"/>
      <c r="J3863" s="261"/>
      <c r="K3863" s="261"/>
      <c r="L3863" s="261"/>
      <c r="M3863" s="261"/>
    </row>
    <row r="3864" spans="5:13">
      <c r="E3864" s="261"/>
      <c r="F3864" s="261"/>
      <c r="G3864" s="261"/>
      <c r="H3864" s="261"/>
      <c r="I3864" s="261"/>
      <c r="J3864" s="261"/>
      <c r="K3864" s="261"/>
      <c r="L3864" s="261"/>
      <c r="M3864" s="261"/>
    </row>
    <row r="3865" spans="5:13">
      <c r="E3865" s="261"/>
      <c r="F3865" s="261"/>
      <c r="G3865" s="261"/>
      <c r="H3865" s="261"/>
      <c r="I3865" s="261"/>
      <c r="J3865" s="261"/>
      <c r="K3865" s="261"/>
      <c r="L3865" s="261"/>
      <c r="M3865" s="261"/>
    </row>
    <row r="3866" spans="5:13">
      <c r="E3866" s="261"/>
      <c r="F3866" s="261"/>
      <c r="G3866" s="261"/>
      <c r="H3866" s="261"/>
      <c r="I3866" s="261"/>
      <c r="J3866" s="261"/>
      <c r="K3866" s="261"/>
      <c r="L3866" s="261"/>
      <c r="M3866" s="261"/>
    </row>
    <row r="3867" spans="5:13">
      <c r="E3867" s="261"/>
      <c r="F3867" s="261"/>
      <c r="G3867" s="261"/>
      <c r="H3867" s="261"/>
      <c r="I3867" s="261"/>
      <c r="J3867" s="261"/>
      <c r="K3867" s="261"/>
      <c r="L3867" s="261"/>
      <c r="M3867" s="261"/>
    </row>
    <row r="3868" spans="5:13">
      <c r="E3868" s="261"/>
      <c r="F3868" s="261"/>
      <c r="G3868" s="261"/>
      <c r="H3868" s="261"/>
      <c r="I3868" s="261"/>
      <c r="J3868" s="261"/>
      <c r="K3868" s="261"/>
      <c r="L3868" s="261"/>
      <c r="M3868" s="261"/>
    </row>
    <row r="3869" spans="5:13">
      <c r="E3869" s="261"/>
      <c r="F3869" s="261"/>
      <c r="G3869" s="261"/>
      <c r="H3869" s="261"/>
      <c r="I3869" s="261"/>
      <c r="J3869" s="261"/>
      <c r="K3869" s="261"/>
      <c r="L3869" s="261"/>
      <c r="M3869" s="261"/>
    </row>
    <row r="3870" spans="5:13">
      <c r="E3870" s="261"/>
      <c r="F3870" s="261"/>
      <c r="G3870" s="261"/>
      <c r="H3870" s="261"/>
      <c r="I3870" s="261"/>
      <c r="J3870" s="261"/>
      <c r="K3870" s="261"/>
      <c r="L3870" s="261"/>
      <c r="M3870" s="261"/>
    </row>
    <row r="3871" spans="5:13">
      <c r="E3871" s="261"/>
      <c r="F3871" s="261"/>
      <c r="G3871" s="261"/>
      <c r="H3871" s="261"/>
      <c r="I3871" s="261"/>
      <c r="J3871" s="261"/>
      <c r="K3871" s="261"/>
      <c r="L3871" s="261"/>
      <c r="M3871" s="261"/>
    </row>
    <row r="3872" spans="5:13">
      <c r="E3872" s="261"/>
      <c r="F3872" s="261"/>
      <c r="G3872" s="261"/>
      <c r="H3872" s="261"/>
      <c r="I3872" s="261"/>
      <c r="J3872" s="261"/>
      <c r="K3872" s="261"/>
      <c r="L3872" s="261"/>
      <c r="M3872" s="261"/>
    </row>
    <row r="3873" spans="5:13">
      <c r="E3873" s="261"/>
      <c r="F3873" s="261"/>
      <c r="G3873" s="261"/>
      <c r="H3873" s="261"/>
      <c r="I3873" s="261"/>
      <c r="J3873" s="261"/>
      <c r="K3873" s="261"/>
      <c r="L3873" s="261"/>
      <c r="M3873" s="261"/>
    </row>
    <row r="3874" spans="5:13">
      <c r="E3874" s="261"/>
      <c r="F3874" s="261"/>
      <c r="G3874" s="261"/>
      <c r="H3874" s="261"/>
      <c r="I3874" s="261"/>
      <c r="J3874" s="261"/>
      <c r="K3874" s="261"/>
      <c r="L3874" s="261"/>
      <c r="M3874" s="261"/>
    </row>
    <row r="3875" spans="5:13">
      <c r="E3875" s="261"/>
      <c r="F3875" s="261"/>
      <c r="G3875" s="261"/>
      <c r="H3875" s="261"/>
      <c r="I3875" s="261"/>
      <c r="J3875" s="261"/>
      <c r="K3875" s="261"/>
      <c r="L3875" s="261"/>
      <c r="M3875" s="261"/>
    </row>
    <row r="3876" spans="5:13">
      <c r="E3876" s="261"/>
      <c r="F3876" s="261"/>
      <c r="G3876" s="261"/>
      <c r="H3876" s="261"/>
      <c r="I3876" s="261"/>
      <c r="J3876" s="261"/>
      <c r="K3876" s="261"/>
      <c r="L3876" s="261"/>
      <c r="M3876" s="261"/>
    </row>
    <row r="3877" spans="5:13">
      <c r="E3877" s="261"/>
      <c r="F3877" s="261"/>
      <c r="G3877" s="261"/>
      <c r="H3877" s="261"/>
      <c r="I3877" s="261"/>
      <c r="J3877" s="261"/>
      <c r="K3877" s="261"/>
      <c r="L3877" s="261"/>
      <c r="M3877" s="261"/>
    </row>
    <row r="3878" spans="5:13">
      <c r="E3878" s="261"/>
      <c r="F3878" s="261"/>
      <c r="G3878" s="261"/>
      <c r="H3878" s="261"/>
      <c r="I3878" s="261"/>
      <c r="J3878" s="261"/>
      <c r="K3878" s="261"/>
      <c r="L3878" s="261"/>
      <c r="M3878" s="261"/>
    </row>
    <row r="3879" spans="5:13">
      <c r="E3879" s="261"/>
      <c r="F3879" s="261"/>
      <c r="G3879" s="261"/>
      <c r="H3879" s="261"/>
      <c r="I3879" s="261"/>
      <c r="J3879" s="261"/>
      <c r="K3879" s="261"/>
      <c r="L3879" s="261"/>
      <c r="M3879" s="261"/>
    </row>
    <row r="3880" spans="5:13">
      <c r="E3880" s="261"/>
      <c r="F3880" s="261"/>
      <c r="G3880" s="261"/>
      <c r="H3880" s="261"/>
      <c r="I3880" s="261"/>
      <c r="J3880" s="261"/>
      <c r="K3880" s="261"/>
      <c r="L3880" s="261"/>
      <c r="M3880" s="261"/>
    </row>
    <row r="3881" spans="5:13">
      <c r="E3881" s="261"/>
      <c r="F3881" s="261"/>
      <c r="G3881" s="261"/>
      <c r="H3881" s="261"/>
      <c r="I3881" s="261"/>
      <c r="J3881" s="261"/>
      <c r="K3881" s="261"/>
      <c r="L3881" s="261"/>
      <c r="M3881" s="261"/>
    </row>
    <row r="3882" spans="5:13">
      <c r="E3882" s="261"/>
      <c r="F3882" s="261"/>
      <c r="G3882" s="261"/>
      <c r="H3882" s="261"/>
      <c r="I3882" s="261"/>
      <c r="J3882" s="261"/>
      <c r="K3882" s="261"/>
      <c r="L3882" s="261"/>
      <c r="M3882" s="261"/>
    </row>
    <row r="3883" spans="5:13">
      <c r="E3883" s="261"/>
      <c r="F3883" s="261"/>
      <c r="G3883" s="261"/>
      <c r="H3883" s="261"/>
      <c r="I3883" s="261"/>
      <c r="J3883" s="261"/>
      <c r="K3883" s="261"/>
      <c r="L3883" s="261"/>
      <c r="M3883" s="261"/>
    </row>
    <row r="3884" spans="5:13">
      <c r="E3884" s="261"/>
      <c r="F3884" s="261"/>
      <c r="G3884" s="261"/>
      <c r="H3884" s="261"/>
      <c r="I3884" s="261"/>
      <c r="J3884" s="261"/>
      <c r="K3884" s="261"/>
      <c r="L3884" s="261"/>
      <c r="M3884" s="261"/>
    </row>
    <row r="3885" spans="5:13">
      <c r="E3885" s="261"/>
      <c r="F3885" s="261"/>
      <c r="G3885" s="261"/>
      <c r="H3885" s="261"/>
      <c r="I3885" s="261"/>
      <c r="J3885" s="261"/>
      <c r="K3885" s="261"/>
      <c r="L3885" s="261"/>
      <c r="M3885" s="261"/>
    </row>
    <row r="3886" spans="5:13">
      <c r="E3886" s="261"/>
      <c r="F3886" s="261"/>
      <c r="G3886" s="261"/>
      <c r="H3886" s="261"/>
      <c r="I3886" s="261"/>
      <c r="J3886" s="261"/>
      <c r="K3886" s="261"/>
      <c r="L3886" s="261"/>
      <c r="M3886" s="261"/>
    </row>
    <row r="3887" spans="5:13">
      <c r="E3887" s="261"/>
      <c r="F3887" s="261"/>
      <c r="G3887" s="261"/>
      <c r="H3887" s="261"/>
      <c r="I3887" s="261"/>
      <c r="J3887" s="261"/>
      <c r="K3887" s="261"/>
      <c r="L3887" s="261"/>
      <c r="M3887" s="261"/>
    </row>
    <row r="3888" spans="5:13">
      <c r="E3888" s="261"/>
      <c r="F3888" s="261"/>
      <c r="G3888" s="261"/>
      <c r="H3888" s="261"/>
      <c r="I3888" s="261"/>
      <c r="J3888" s="261"/>
      <c r="K3888" s="261"/>
      <c r="L3888" s="261"/>
      <c r="M3888" s="261"/>
    </row>
    <row r="3889" spans="5:13">
      <c r="E3889" s="261"/>
      <c r="F3889" s="261"/>
      <c r="G3889" s="261"/>
      <c r="H3889" s="261"/>
      <c r="I3889" s="261"/>
      <c r="J3889" s="261"/>
      <c r="K3889" s="261"/>
      <c r="L3889" s="261"/>
      <c r="M3889" s="261"/>
    </row>
    <row r="3890" spans="5:13">
      <c r="E3890" s="261"/>
      <c r="F3890" s="261"/>
      <c r="G3890" s="261"/>
      <c r="H3890" s="261"/>
      <c r="I3890" s="261"/>
      <c r="J3890" s="261"/>
      <c r="K3890" s="261"/>
      <c r="L3890" s="261"/>
      <c r="M3890" s="261"/>
    </row>
    <row r="3891" spans="5:13">
      <c r="E3891" s="261"/>
      <c r="F3891" s="261"/>
      <c r="G3891" s="261"/>
      <c r="H3891" s="261"/>
      <c r="I3891" s="261"/>
      <c r="J3891" s="261"/>
      <c r="K3891" s="261"/>
      <c r="L3891" s="261"/>
      <c r="M3891" s="261"/>
    </row>
    <row r="3892" spans="5:13">
      <c r="E3892" s="261"/>
      <c r="F3892" s="261"/>
      <c r="G3892" s="261"/>
      <c r="H3892" s="261"/>
      <c r="I3892" s="261"/>
      <c r="J3892" s="261"/>
      <c r="K3892" s="261"/>
      <c r="L3892" s="261"/>
      <c r="M3892" s="261"/>
    </row>
    <row r="3893" spans="5:13">
      <c r="E3893" s="261"/>
      <c r="F3893" s="261"/>
      <c r="G3893" s="261"/>
      <c r="H3893" s="261"/>
      <c r="I3893" s="261"/>
      <c r="J3893" s="261"/>
      <c r="K3893" s="261"/>
      <c r="L3893" s="261"/>
      <c r="M3893" s="261"/>
    </row>
    <row r="3894" spans="5:13">
      <c r="E3894" s="261"/>
      <c r="F3894" s="261"/>
      <c r="G3894" s="261"/>
      <c r="H3894" s="261"/>
      <c r="I3894" s="261"/>
      <c r="J3894" s="261"/>
      <c r="K3894" s="261"/>
      <c r="L3894" s="261"/>
      <c r="M3894" s="261"/>
    </row>
    <row r="3895" spans="5:13">
      <c r="E3895" s="261"/>
      <c r="F3895" s="261"/>
      <c r="G3895" s="261"/>
      <c r="H3895" s="261"/>
      <c r="I3895" s="261"/>
      <c r="J3895" s="261"/>
      <c r="K3895" s="261"/>
      <c r="L3895" s="261"/>
      <c r="M3895" s="261"/>
    </row>
    <row r="3896" spans="5:13">
      <c r="E3896" s="261"/>
      <c r="F3896" s="261"/>
      <c r="G3896" s="261"/>
      <c r="H3896" s="261"/>
      <c r="I3896" s="261"/>
      <c r="J3896" s="261"/>
      <c r="K3896" s="261"/>
      <c r="L3896" s="261"/>
      <c r="M3896" s="261"/>
    </row>
    <row r="3897" spans="5:13">
      <c r="E3897" s="261"/>
      <c r="F3897" s="261"/>
      <c r="G3897" s="261"/>
      <c r="H3897" s="261"/>
      <c r="I3897" s="261"/>
      <c r="J3897" s="261"/>
      <c r="K3897" s="261"/>
      <c r="L3897" s="261"/>
      <c r="M3897" s="261"/>
    </row>
    <row r="3898" spans="5:13">
      <c r="E3898" s="261"/>
      <c r="F3898" s="261"/>
      <c r="G3898" s="261"/>
      <c r="H3898" s="261"/>
      <c r="I3898" s="261"/>
      <c r="J3898" s="261"/>
      <c r="K3898" s="261"/>
      <c r="L3898" s="261"/>
      <c r="M3898" s="261"/>
    </row>
    <row r="3899" spans="5:13">
      <c r="E3899" s="261"/>
      <c r="F3899" s="261"/>
      <c r="G3899" s="261"/>
      <c r="H3899" s="261"/>
      <c r="I3899" s="261"/>
      <c r="J3899" s="261"/>
      <c r="K3899" s="261"/>
      <c r="L3899" s="261"/>
      <c r="M3899" s="261"/>
    </row>
    <row r="3900" spans="5:13">
      <c r="E3900" s="261"/>
      <c r="F3900" s="261"/>
      <c r="G3900" s="261"/>
      <c r="H3900" s="261"/>
      <c r="I3900" s="261"/>
      <c r="J3900" s="261"/>
      <c r="K3900" s="261"/>
      <c r="L3900" s="261"/>
      <c r="M3900" s="261"/>
    </row>
    <row r="3901" spans="5:13">
      <c r="E3901" s="261"/>
      <c r="F3901" s="261"/>
      <c r="G3901" s="261"/>
      <c r="H3901" s="261"/>
      <c r="I3901" s="261"/>
      <c r="J3901" s="261"/>
      <c r="K3901" s="261"/>
      <c r="L3901" s="261"/>
      <c r="M3901" s="261"/>
    </row>
    <row r="3902" spans="5:13">
      <c r="E3902" s="261"/>
      <c r="F3902" s="261"/>
      <c r="G3902" s="261"/>
      <c r="H3902" s="261"/>
      <c r="I3902" s="261"/>
      <c r="J3902" s="261"/>
      <c r="K3902" s="261"/>
      <c r="L3902" s="261"/>
      <c r="M3902" s="261"/>
    </row>
    <row r="3903" spans="5:13">
      <c r="E3903" s="261"/>
      <c r="F3903" s="261"/>
      <c r="G3903" s="261"/>
      <c r="H3903" s="261"/>
      <c r="I3903" s="261"/>
      <c r="J3903" s="261"/>
      <c r="K3903" s="261"/>
      <c r="L3903" s="261"/>
      <c r="M3903" s="261"/>
    </row>
    <row r="3904" spans="5:13">
      <c r="E3904" s="261"/>
      <c r="F3904" s="261"/>
      <c r="G3904" s="261"/>
      <c r="H3904" s="261"/>
      <c r="I3904" s="261"/>
      <c r="J3904" s="261"/>
      <c r="K3904" s="261"/>
      <c r="L3904" s="261"/>
      <c r="M3904" s="261"/>
    </row>
    <row r="3905" spans="5:13">
      <c r="E3905" s="261"/>
      <c r="F3905" s="261"/>
      <c r="G3905" s="261"/>
      <c r="H3905" s="261"/>
      <c r="I3905" s="261"/>
      <c r="J3905" s="261"/>
      <c r="K3905" s="261"/>
      <c r="L3905" s="261"/>
      <c r="M3905" s="261"/>
    </row>
    <row r="3906" spans="5:13">
      <c r="E3906" s="261"/>
      <c r="F3906" s="261"/>
      <c r="G3906" s="261"/>
      <c r="H3906" s="261"/>
      <c r="I3906" s="261"/>
      <c r="J3906" s="261"/>
      <c r="K3906" s="261"/>
      <c r="L3906" s="261"/>
      <c r="M3906" s="261"/>
    </row>
    <row r="3907" spans="5:13">
      <c r="E3907" s="261"/>
      <c r="F3907" s="261"/>
      <c r="G3907" s="261"/>
      <c r="H3907" s="261"/>
      <c r="I3907" s="261"/>
      <c r="J3907" s="261"/>
      <c r="K3907" s="261"/>
      <c r="L3907" s="261"/>
      <c r="M3907" s="261"/>
    </row>
    <row r="3908" spans="5:13">
      <c r="E3908" s="261"/>
      <c r="F3908" s="261"/>
      <c r="G3908" s="261"/>
      <c r="H3908" s="261"/>
      <c r="I3908" s="261"/>
      <c r="J3908" s="261"/>
      <c r="K3908" s="261"/>
      <c r="L3908" s="261"/>
      <c r="M3908" s="261"/>
    </row>
    <row r="3909" spans="5:13">
      <c r="E3909" s="261"/>
      <c r="F3909" s="261"/>
      <c r="G3909" s="261"/>
      <c r="H3909" s="261"/>
      <c r="I3909" s="261"/>
      <c r="J3909" s="261"/>
      <c r="K3909" s="261"/>
      <c r="L3909" s="261"/>
      <c r="M3909" s="261"/>
    </row>
    <row r="3910" spans="5:13">
      <c r="E3910" s="261"/>
      <c r="F3910" s="261"/>
      <c r="G3910" s="261"/>
      <c r="H3910" s="261"/>
      <c r="I3910" s="261"/>
      <c r="J3910" s="261"/>
      <c r="K3910" s="261"/>
      <c r="L3910" s="261"/>
      <c r="M3910" s="261"/>
    </row>
    <row r="3911" spans="5:13">
      <c r="E3911" s="261"/>
      <c r="F3911" s="261"/>
      <c r="G3911" s="261"/>
      <c r="H3911" s="261"/>
      <c r="I3911" s="261"/>
      <c r="J3911" s="261"/>
      <c r="K3911" s="261"/>
      <c r="L3911" s="261"/>
      <c r="M3911" s="261"/>
    </row>
    <row r="3912" spans="5:13">
      <c r="E3912" s="261"/>
      <c r="F3912" s="261"/>
      <c r="G3912" s="261"/>
      <c r="H3912" s="261"/>
      <c r="I3912" s="261"/>
      <c r="J3912" s="261"/>
      <c r="K3912" s="261"/>
      <c r="L3912" s="261"/>
      <c r="M3912" s="261"/>
    </row>
    <row r="3913" spans="5:13">
      <c r="E3913" s="261"/>
      <c r="F3913" s="261"/>
      <c r="G3913" s="261"/>
      <c r="H3913" s="261"/>
      <c r="I3913" s="261"/>
      <c r="J3913" s="261"/>
      <c r="K3913" s="261"/>
      <c r="L3913" s="261"/>
      <c r="M3913" s="261"/>
    </row>
    <row r="3914" spans="5:13">
      <c r="E3914" s="261"/>
      <c r="F3914" s="261"/>
      <c r="G3914" s="261"/>
      <c r="H3914" s="261"/>
      <c r="I3914" s="261"/>
      <c r="J3914" s="261"/>
      <c r="K3914" s="261"/>
      <c r="L3914" s="261"/>
      <c r="M3914" s="261"/>
    </row>
    <row r="3915" spans="5:13">
      <c r="E3915" s="261"/>
      <c r="F3915" s="261"/>
      <c r="G3915" s="261"/>
      <c r="H3915" s="261"/>
      <c r="I3915" s="261"/>
      <c r="J3915" s="261"/>
      <c r="K3915" s="261"/>
      <c r="L3915" s="261"/>
      <c r="M3915" s="261"/>
    </row>
    <row r="3916" spans="5:13">
      <c r="E3916" s="261"/>
      <c r="F3916" s="261"/>
      <c r="G3916" s="261"/>
      <c r="H3916" s="261"/>
      <c r="I3916" s="261"/>
      <c r="J3916" s="261"/>
      <c r="K3916" s="261"/>
      <c r="L3916" s="261"/>
      <c r="M3916" s="261"/>
    </row>
    <row r="3917" spans="5:13">
      <c r="E3917" s="261"/>
      <c r="F3917" s="261"/>
      <c r="G3917" s="261"/>
      <c r="H3917" s="261"/>
      <c r="I3917" s="261"/>
      <c r="J3917" s="261"/>
      <c r="K3917" s="261"/>
      <c r="L3917" s="261"/>
      <c r="M3917" s="261"/>
    </row>
    <row r="3918" spans="5:13">
      <c r="E3918" s="261"/>
      <c r="F3918" s="261"/>
      <c r="G3918" s="261"/>
      <c r="H3918" s="261"/>
      <c r="I3918" s="261"/>
      <c r="J3918" s="261"/>
      <c r="K3918" s="261"/>
      <c r="L3918" s="261"/>
      <c r="M3918" s="261"/>
    </row>
    <row r="3919" spans="5:13">
      <c r="E3919" s="261"/>
      <c r="F3919" s="261"/>
      <c r="G3919" s="261"/>
      <c r="H3919" s="261"/>
      <c r="I3919" s="261"/>
      <c r="J3919" s="261"/>
      <c r="K3919" s="261"/>
      <c r="L3919" s="261"/>
      <c r="M3919" s="261"/>
    </row>
    <row r="3920" spans="5:13">
      <c r="E3920" s="261"/>
      <c r="F3920" s="261"/>
      <c r="G3920" s="261"/>
      <c r="H3920" s="261"/>
      <c r="I3920" s="261"/>
      <c r="J3920" s="261"/>
      <c r="K3920" s="261"/>
      <c r="L3920" s="261"/>
      <c r="M3920" s="261"/>
    </row>
    <row r="3921" spans="5:13">
      <c r="E3921" s="261"/>
      <c r="F3921" s="261"/>
      <c r="G3921" s="261"/>
      <c r="H3921" s="261"/>
      <c r="I3921" s="261"/>
      <c r="J3921" s="261"/>
      <c r="K3921" s="261"/>
      <c r="L3921" s="261"/>
      <c r="M3921" s="261"/>
    </row>
    <row r="3922" spans="5:13">
      <c r="E3922" s="261"/>
      <c r="F3922" s="261"/>
      <c r="G3922" s="261"/>
      <c r="H3922" s="261"/>
      <c r="I3922" s="261"/>
      <c r="J3922" s="261"/>
      <c r="K3922" s="261"/>
      <c r="L3922" s="261"/>
      <c r="M3922" s="261"/>
    </row>
    <row r="3923" spans="5:13">
      <c r="E3923" s="261"/>
      <c r="F3923" s="261"/>
      <c r="G3923" s="261"/>
      <c r="H3923" s="261"/>
      <c r="I3923" s="261"/>
      <c r="J3923" s="261"/>
      <c r="K3923" s="261"/>
      <c r="L3923" s="261"/>
      <c r="M3923" s="261"/>
    </row>
    <row r="3924" spans="5:13">
      <c r="E3924" s="261"/>
      <c r="F3924" s="261"/>
      <c r="G3924" s="261"/>
      <c r="H3924" s="261"/>
      <c r="I3924" s="261"/>
      <c r="J3924" s="261"/>
      <c r="K3924" s="261"/>
      <c r="L3924" s="261"/>
      <c r="M3924" s="261"/>
    </row>
    <row r="3925" spans="5:13">
      <c r="E3925" s="261"/>
      <c r="F3925" s="261"/>
      <c r="G3925" s="261"/>
      <c r="H3925" s="261"/>
      <c r="I3925" s="261"/>
      <c r="J3925" s="261"/>
      <c r="K3925" s="261"/>
      <c r="L3925" s="261"/>
      <c r="M3925" s="261"/>
    </row>
    <row r="3926" spans="5:13">
      <c r="E3926" s="261"/>
      <c r="F3926" s="261"/>
      <c r="G3926" s="261"/>
      <c r="H3926" s="261"/>
      <c r="I3926" s="261"/>
      <c r="J3926" s="261"/>
      <c r="K3926" s="261"/>
      <c r="L3926" s="261"/>
      <c r="M3926" s="261"/>
    </row>
    <row r="3927" spans="5:13">
      <c r="E3927" s="261"/>
      <c r="F3927" s="261"/>
      <c r="G3927" s="261"/>
      <c r="H3927" s="261"/>
      <c r="I3927" s="261"/>
      <c r="J3927" s="261"/>
      <c r="K3927" s="261"/>
      <c r="L3927" s="261"/>
      <c r="M3927" s="261"/>
    </row>
    <row r="3928" spans="5:13">
      <c r="E3928" s="261"/>
      <c r="F3928" s="261"/>
      <c r="G3928" s="261"/>
      <c r="H3928" s="261"/>
      <c r="I3928" s="261"/>
      <c r="J3928" s="261"/>
      <c r="K3928" s="261"/>
      <c r="L3928" s="261"/>
      <c r="M3928" s="261"/>
    </row>
    <row r="3929" spans="5:13">
      <c r="E3929" s="261"/>
      <c r="F3929" s="261"/>
      <c r="G3929" s="261"/>
      <c r="H3929" s="261"/>
      <c r="I3929" s="261"/>
      <c r="J3929" s="261"/>
      <c r="K3929" s="261"/>
      <c r="L3929" s="261"/>
      <c r="M3929" s="261"/>
    </row>
    <row r="3930" spans="5:13">
      <c r="E3930" s="261"/>
      <c r="F3930" s="261"/>
      <c r="G3930" s="261"/>
      <c r="H3930" s="261"/>
      <c r="I3930" s="261"/>
      <c r="J3930" s="261"/>
      <c r="K3930" s="261"/>
      <c r="L3930" s="261"/>
      <c r="M3930" s="261"/>
    </row>
    <row r="3931" spans="5:13">
      <c r="E3931" s="261"/>
      <c r="F3931" s="261"/>
      <c r="G3931" s="261"/>
      <c r="H3931" s="261"/>
      <c r="I3931" s="261"/>
      <c r="J3931" s="261"/>
      <c r="K3931" s="261"/>
      <c r="L3931" s="261"/>
      <c r="M3931" s="261"/>
    </row>
    <row r="3932" spans="5:13">
      <c r="E3932" s="261"/>
      <c r="F3932" s="261"/>
      <c r="G3932" s="261"/>
      <c r="H3932" s="261"/>
      <c r="I3932" s="261"/>
      <c r="J3932" s="261"/>
      <c r="K3932" s="261"/>
      <c r="L3932" s="261"/>
      <c r="M3932" s="261"/>
    </row>
    <row r="3933" spans="5:13">
      <c r="E3933" s="261"/>
      <c r="F3933" s="261"/>
      <c r="G3933" s="261"/>
      <c r="H3933" s="261"/>
      <c r="I3933" s="261"/>
      <c r="J3933" s="261"/>
      <c r="K3933" s="261"/>
      <c r="L3933" s="261"/>
      <c r="M3933" s="261"/>
    </row>
    <row r="3934" spans="5:13">
      <c r="E3934" s="261"/>
      <c r="F3934" s="261"/>
      <c r="G3934" s="261"/>
      <c r="H3934" s="261"/>
      <c r="I3934" s="261"/>
      <c r="J3934" s="261"/>
      <c r="K3934" s="261"/>
      <c r="L3934" s="261"/>
      <c r="M3934" s="261"/>
    </row>
    <row r="3935" spans="5:13">
      <c r="E3935" s="261"/>
      <c r="F3935" s="261"/>
      <c r="G3935" s="261"/>
      <c r="H3935" s="261"/>
      <c r="I3935" s="261"/>
      <c r="J3935" s="261"/>
      <c r="K3935" s="261"/>
      <c r="L3935" s="261"/>
      <c r="M3935" s="261"/>
    </row>
    <row r="3936" spans="5:13">
      <c r="E3936" s="261"/>
      <c r="F3936" s="261"/>
      <c r="G3936" s="261"/>
      <c r="H3936" s="261"/>
      <c r="I3936" s="261"/>
      <c r="J3936" s="261"/>
      <c r="K3936" s="261"/>
      <c r="L3936" s="261"/>
      <c r="M3936" s="261"/>
    </row>
    <row r="3937" spans="5:13">
      <c r="E3937" s="261"/>
      <c r="F3937" s="261"/>
      <c r="G3937" s="261"/>
      <c r="H3937" s="261"/>
      <c r="I3937" s="261"/>
      <c r="J3937" s="261"/>
      <c r="K3937" s="261"/>
      <c r="L3937" s="261"/>
      <c r="M3937" s="261"/>
    </row>
    <row r="3938" spans="5:13">
      <c r="E3938" s="261"/>
      <c r="F3938" s="261"/>
      <c r="G3938" s="261"/>
      <c r="H3938" s="261"/>
      <c r="I3938" s="261"/>
      <c r="J3938" s="261"/>
      <c r="K3938" s="261"/>
      <c r="L3938" s="261"/>
      <c r="M3938" s="261"/>
    </row>
    <row r="3939" spans="5:13">
      <c r="E3939" s="261"/>
      <c r="F3939" s="261"/>
      <c r="G3939" s="261"/>
      <c r="H3939" s="261"/>
      <c r="I3939" s="261"/>
      <c r="J3939" s="261"/>
      <c r="K3939" s="261"/>
      <c r="L3939" s="261"/>
      <c r="M3939" s="261"/>
    </row>
    <row r="3940" spans="5:13">
      <c r="E3940" s="261"/>
      <c r="F3940" s="261"/>
      <c r="G3940" s="261"/>
      <c r="H3940" s="261"/>
      <c r="I3940" s="261"/>
      <c r="J3940" s="261"/>
      <c r="K3940" s="261"/>
      <c r="L3940" s="261"/>
      <c r="M3940" s="261"/>
    </row>
    <row r="3941" spans="5:13">
      <c r="E3941" s="261"/>
      <c r="F3941" s="261"/>
      <c r="G3941" s="261"/>
      <c r="H3941" s="261"/>
      <c r="I3941" s="261"/>
      <c r="J3941" s="261"/>
      <c r="K3941" s="261"/>
      <c r="L3941" s="261"/>
      <c r="M3941" s="261"/>
    </row>
    <row r="3942" spans="5:13">
      <c r="E3942" s="261"/>
      <c r="F3942" s="261"/>
      <c r="G3942" s="261"/>
      <c r="H3942" s="261"/>
      <c r="I3942" s="261"/>
      <c r="J3942" s="261"/>
      <c r="K3942" s="261"/>
      <c r="L3942" s="261"/>
      <c r="M3942" s="261"/>
    </row>
    <row r="3943" spans="5:13">
      <c r="E3943" s="261"/>
      <c r="F3943" s="261"/>
      <c r="G3943" s="261"/>
      <c r="H3943" s="261"/>
      <c r="I3943" s="261"/>
      <c r="J3943" s="261"/>
      <c r="K3943" s="261"/>
      <c r="L3943" s="261"/>
      <c r="M3943" s="261"/>
    </row>
    <row r="3944" spans="5:13">
      <c r="E3944" s="261"/>
      <c r="F3944" s="261"/>
      <c r="G3944" s="261"/>
      <c r="H3944" s="261"/>
      <c r="I3944" s="261"/>
      <c r="J3944" s="261"/>
      <c r="K3944" s="261"/>
      <c r="L3944" s="261"/>
      <c r="M3944" s="261"/>
    </row>
    <row r="3945" spans="5:13">
      <c r="E3945" s="261"/>
      <c r="F3945" s="261"/>
      <c r="G3945" s="261"/>
      <c r="H3945" s="261"/>
      <c r="I3945" s="261"/>
      <c r="J3945" s="261"/>
      <c r="K3945" s="261"/>
      <c r="L3945" s="261"/>
      <c r="M3945" s="261"/>
    </row>
    <row r="3946" spans="5:13">
      <c r="E3946" s="261"/>
      <c r="F3946" s="261"/>
      <c r="G3946" s="261"/>
      <c r="H3946" s="261"/>
      <c r="I3946" s="261"/>
      <c r="J3946" s="261"/>
      <c r="K3946" s="261"/>
      <c r="L3946" s="261"/>
      <c r="M3946" s="261"/>
    </row>
    <row r="3947" spans="5:13">
      <c r="E3947" s="261"/>
      <c r="F3947" s="261"/>
      <c r="G3947" s="261"/>
      <c r="H3947" s="261"/>
      <c r="I3947" s="261"/>
      <c r="J3947" s="261"/>
      <c r="K3947" s="261"/>
      <c r="L3947" s="261"/>
      <c r="M3947" s="261"/>
    </row>
    <row r="3948" spans="5:13">
      <c r="E3948" s="261"/>
      <c r="F3948" s="261"/>
      <c r="G3948" s="261"/>
      <c r="H3948" s="261"/>
      <c r="I3948" s="261"/>
      <c r="J3948" s="261"/>
      <c r="K3948" s="261"/>
      <c r="L3948" s="261"/>
      <c r="M3948" s="261"/>
    </row>
    <row r="3949" spans="5:13">
      <c r="E3949" s="261"/>
      <c r="F3949" s="261"/>
      <c r="G3949" s="261"/>
      <c r="H3949" s="261"/>
      <c r="I3949" s="261"/>
      <c r="J3949" s="261"/>
      <c r="K3949" s="261"/>
      <c r="L3949" s="261"/>
      <c r="M3949" s="261"/>
    </row>
    <row r="3950" spans="5:13">
      <c r="E3950" s="261"/>
      <c r="F3950" s="261"/>
      <c r="G3950" s="261"/>
      <c r="H3950" s="261"/>
      <c r="I3950" s="261"/>
      <c r="J3950" s="261"/>
      <c r="K3950" s="261"/>
      <c r="L3950" s="261"/>
      <c r="M3950" s="261"/>
    </row>
    <row r="3951" spans="5:13">
      <c r="E3951" s="261"/>
      <c r="F3951" s="261"/>
      <c r="G3951" s="261"/>
      <c r="H3951" s="261"/>
      <c r="I3951" s="261"/>
      <c r="J3951" s="261"/>
      <c r="K3951" s="261"/>
      <c r="L3951" s="261"/>
      <c r="M3951" s="261"/>
    </row>
    <row r="3952" spans="5:13">
      <c r="E3952" s="261"/>
      <c r="F3952" s="261"/>
      <c r="G3952" s="261"/>
      <c r="H3952" s="261"/>
      <c r="I3952" s="261"/>
      <c r="J3952" s="261"/>
      <c r="K3952" s="261"/>
      <c r="L3952" s="261"/>
      <c r="M3952" s="261"/>
    </row>
    <row r="3953" spans="5:13">
      <c r="E3953" s="261"/>
      <c r="F3953" s="261"/>
      <c r="G3953" s="261"/>
      <c r="H3953" s="261"/>
      <c r="I3953" s="261"/>
      <c r="J3953" s="261"/>
      <c r="K3953" s="261"/>
      <c r="L3953" s="261"/>
      <c r="M3953" s="261"/>
    </row>
    <row r="3954" spans="5:13">
      <c r="E3954" s="261"/>
      <c r="F3954" s="261"/>
      <c r="G3954" s="261"/>
      <c r="H3954" s="261"/>
      <c r="I3954" s="261"/>
      <c r="J3954" s="261"/>
      <c r="K3954" s="261"/>
      <c r="L3954" s="261"/>
      <c r="M3954" s="261"/>
    </row>
    <row r="3955" spans="5:13">
      <c r="E3955" s="261"/>
      <c r="F3955" s="261"/>
      <c r="G3955" s="261"/>
      <c r="H3955" s="261"/>
      <c r="I3955" s="261"/>
      <c r="J3955" s="261"/>
      <c r="K3955" s="261"/>
      <c r="L3955" s="261"/>
      <c r="M3955" s="261"/>
    </row>
    <row r="3956" spans="5:13">
      <c r="E3956" s="261"/>
      <c r="F3956" s="261"/>
      <c r="G3956" s="261"/>
      <c r="H3956" s="261"/>
      <c r="I3956" s="261"/>
      <c r="J3956" s="261"/>
      <c r="K3956" s="261"/>
      <c r="L3956" s="261"/>
      <c r="M3956" s="261"/>
    </row>
    <row r="3957" spans="5:13">
      <c r="E3957" s="261"/>
      <c r="F3957" s="261"/>
      <c r="G3957" s="261"/>
      <c r="H3957" s="261"/>
      <c r="I3957" s="261"/>
      <c r="J3957" s="261"/>
      <c r="K3957" s="261"/>
      <c r="L3957" s="261"/>
      <c r="M3957" s="261"/>
    </row>
    <row r="3958" spans="5:13">
      <c r="E3958" s="261"/>
      <c r="F3958" s="261"/>
      <c r="G3958" s="261"/>
      <c r="H3958" s="261"/>
      <c r="I3958" s="261"/>
      <c r="J3958" s="261"/>
      <c r="K3958" s="261"/>
      <c r="L3958" s="261"/>
      <c r="M3958" s="261"/>
    </row>
    <row r="3959" spans="5:13">
      <c r="E3959" s="261"/>
      <c r="F3959" s="261"/>
      <c r="G3959" s="261"/>
      <c r="H3959" s="261"/>
      <c r="I3959" s="261"/>
      <c r="J3959" s="261"/>
      <c r="K3959" s="261"/>
      <c r="L3959" s="261"/>
      <c r="M3959" s="261"/>
    </row>
    <row r="3960" spans="5:13">
      <c r="E3960" s="261"/>
      <c r="F3960" s="261"/>
      <c r="G3960" s="261"/>
      <c r="H3960" s="261"/>
      <c r="I3960" s="261"/>
      <c r="J3960" s="261"/>
      <c r="K3960" s="261"/>
      <c r="L3960" s="261"/>
      <c r="M3960" s="261"/>
    </row>
    <row r="3961" spans="5:13">
      <c r="E3961" s="261"/>
      <c r="F3961" s="261"/>
      <c r="G3961" s="261"/>
      <c r="H3961" s="261"/>
      <c r="I3961" s="261"/>
      <c r="J3961" s="261"/>
      <c r="K3961" s="261"/>
      <c r="L3961" s="261"/>
      <c r="M3961" s="261"/>
    </row>
    <row r="3962" spans="5:13">
      <c r="E3962" s="261"/>
      <c r="F3962" s="261"/>
      <c r="G3962" s="261"/>
      <c r="H3962" s="261"/>
      <c r="I3962" s="261"/>
      <c r="J3962" s="261"/>
      <c r="K3962" s="261"/>
      <c r="L3962" s="261"/>
      <c r="M3962" s="261"/>
    </row>
    <row r="3963" spans="5:13">
      <c r="E3963" s="261"/>
      <c r="F3963" s="261"/>
      <c r="G3963" s="261"/>
      <c r="H3963" s="261"/>
      <c r="I3963" s="261"/>
      <c r="J3963" s="261"/>
      <c r="K3963" s="261"/>
      <c r="L3963" s="261"/>
      <c r="M3963" s="261"/>
    </row>
    <row r="3964" spans="5:13">
      <c r="E3964" s="261"/>
      <c r="F3964" s="261"/>
      <c r="G3964" s="261"/>
      <c r="H3964" s="261"/>
      <c r="I3964" s="261"/>
      <c r="J3964" s="261"/>
      <c r="K3964" s="261"/>
      <c r="L3964" s="261"/>
      <c r="M3964" s="261"/>
    </row>
    <row r="3965" spans="5:13">
      <c r="E3965" s="261"/>
      <c r="F3965" s="261"/>
      <c r="G3965" s="261"/>
      <c r="H3965" s="261"/>
      <c r="I3965" s="261"/>
      <c r="J3965" s="261"/>
      <c r="K3965" s="261"/>
      <c r="L3965" s="261"/>
      <c r="M3965" s="261"/>
    </row>
    <row r="3966" spans="5:13">
      <c r="E3966" s="261"/>
      <c r="F3966" s="261"/>
      <c r="G3966" s="261"/>
      <c r="H3966" s="261"/>
      <c r="I3966" s="261"/>
      <c r="J3966" s="261"/>
      <c r="K3966" s="261"/>
      <c r="L3966" s="261"/>
      <c r="M3966" s="261"/>
    </row>
    <row r="3967" spans="5:13">
      <c r="E3967" s="261"/>
      <c r="F3967" s="261"/>
      <c r="G3967" s="261"/>
      <c r="H3967" s="261"/>
      <c r="I3967" s="261"/>
      <c r="J3967" s="261"/>
      <c r="K3967" s="261"/>
      <c r="L3967" s="261"/>
      <c r="M3967" s="261"/>
    </row>
    <row r="3968" spans="5:13">
      <c r="E3968" s="261"/>
      <c r="F3968" s="261"/>
      <c r="G3968" s="261"/>
      <c r="H3968" s="261"/>
      <c r="I3968" s="261"/>
      <c r="J3968" s="261"/>
      <c r="K3968" s="261"/>
      <c r="L3968" s="261"/>
      <c r="M3968" s="261"/>
    </row>
    <row r="3969" spans="5:13">
      <c r="E3969" s="261"/>
      <c r="F3969" s="261"/>
      <c r="G3969" s="261"/>
      <c r="H3969" s="261"/>
      <c r="I3969" s="261"/>
      <c r="J3969" s="261"/>
      <c r="K3969" s="261"/>
      <c r="L3969" s="261"/>
      <c r="M3969" s="261"/>
    </row>
    <row r="3970" spans="5:13">
      <c r="E3970" s="261"/>
      <c r="F3970" s="261"/>
      <c r="G3970" s="261"/>
      <c r="H3970" s="261"/>
      <c r="I3970" s="261"/>
      <c r="J3970" s="261"/>
      <c r="K3970" s="261"/>
      <c r="L3970" s="261"/>
      <c r="M3970" s="261"/>
    </row>
    <row r="3971" spans="5:13">
      <c r="E3971" s="261"/>
      <c r="F3971" s="261"/>
      <c r="G3971" s="261"/>
      <c r="H3971" s="261"/>
      <c r="I3971" s="261"/>
      <c r="J3971" s="261"/>
      <c r="K3971" s="261"/>
      <c r="L3971" s="261"/>
      <c r="M3971" s="261"/>
    </row>
    <row r="3972" spans="5:13">
      <c r="E3972" s="261"/>
      <c r="F3972" s="261"/>
      <c r="G3972" s="261"/>
      <c r="H3972" s="261"/>
      <c r="I3972" s="261"/>
      <c r="J3972" s="261"/>
      <c r="K3972" s="261"/>
      <c r="L3972" s="261"/>
      <c r="M3972" s="261"/>
    </row>
    <row r="3973" spans="5:13">
      <c r="E3973" s="261"/>
      <c r="F3973" s="261"/>
      <c r="G3973" s="261"/>
      <c r="H3973" s="261"/>
      <c r="I3973" s="261"/>
      <c r="J3973" s="261"/>
      <c r="K3973" s="261"/>
      <c r="L3973" s="261"/>
      <c r="M3973" s="261"/>
    </row>
    <row r="3974" spans="5:13">
      <c r="E3974" s="261"/>
      <c r="F3974" s="261"/>
      <c r="G3974" s="261"/>
      <c r="H3974" s="261"/>
      <c r="I3974" s="261"/>
      <c r="J3974" s="261"/>
      <c r="K3974" s="261"/>
      <c r="L3974" s="261"/>
      <c r="M3974" s="261"/>
    </row>
    <row r="3975" spans="5:13">
      <c r="E3975" s="261"/>
      <c r="F3975" s="261"/>
      <c r="G3975" s="261"/>
      <c r="H3975" s="261"/>
      <c r="I3975" s="261"/>
      <c r="J3975" s="261"/>
      <c r="K3975" s="261"/>
      <c r="L3975" s="261"/>
      <c r="M3975" s="261"/>
    </row>
    <row r="3976" spans="5:13">
      <c r="E3976" s="261"/>
      <c r="F3976" s="261"/>
      <c r="G3976" s="261"/>
      <c r="H3976" s="261"/>
      <c r="I3976" s="261"/>
      <c r="J3976" s="261"/>
      <c r="K3976" s="261"/>
      <c r="L3976" s="261"/>
      <c r="M3976" s="261"/>
    </row>
    <row r="3977" spans="5:13">
      <c r="E3977" s="261"/>
      <c r="F3977" s="261"/>
      <c r="G3977" s="261"/>
      <c r="H3977" s="261"/>
      <c r="I3977" s="261"/>
      <c r="J3977" s="261"/>
      <c r="K3977" s="261"/>
      <c r="L3977" s="261"/>
      <c r="M3977" s="261"/>
    </row>
    <row r="3978" spans="5:13">
      <c r="E3978" s="261"/>
      <c r="F3978" s="261"/>
      <c r="G3978" s="261"/>
      <c r="H3978" s="261"/>
      <c r="I3978" s="261"/>
      <c r="J3978" s="261"/>
      <c r="K3978" s="261"/>
      <c r="L3978" s="261"/>
      <c r="M3978" s="261"/>
    </row>
    <row r="3979" spans="5:13">
      <c r="E3979" s="261"/>
      <c r="F3979" s="261"/>
      <c r="G3979" s="261"/>
      <c r="H3979" s="261"/>
      <c r="I3979" s="261"/>
      <c r="J3979" s="261"/>
      <c r="K3979" s="261"/>
      <c r="L3979" s="261"/>
      <c r="M3979" s="261"/>
    </row>
    <row r="3980" spans="5:13">
      <c r="E3980" s="261"/>
      <c r="F3980" s="261"/>
      <c r="G3980" s="261"/>
      <c r="H3980" s="261"/>
      <c r="I3980" s="261"/>
      <c r="J3980" s="261"/>
      <c r="K3980" s="261"/>
      <c r="L3980" s="261"/>
      <c r="M3980" s="261"/>
    </row>
    <row r="3981" spans="5:13">
      <c r="E3981" s="261"/>
      <c r="F3981" s="261"/>
      <c r="G3981" s="261"/>
      <c r="H3981" s="261"/>
      <c r="I3981" s="261"/>
      <c r="J3981" s="261"/>
      <c r="K3981" s="261"/>
      <c r="L3981" s="261"/>
      <c r="M3981" s="261"/>
    </row>
    <row r="3982" spans="5:13">
      <c r="E3982" s="261"/>
      <c r="F3982" s="261"/>
      <c r="G3982" s="261"/>
      <c r="H3982" s="261"/>
      <c r="I3982" s="261"/>
      <c r="J3982" s="261"/>
      <c r="K3982" s="261"/>
      <c r="L3982" s="261"/>
      <c r="M3982" s="261"/>
    </row>
    <row r="3983" spans="5:13">
      <c r="E3983" s="261"/>
      <c r="F3983" s="261"/>
      <c r="G3983" s="261"/>
      <c r="H3983" s="261"/>
      <c r="I3983" s="261"/>
      <c r="J3983" s="261"/>
      <c r="K3983" s="261"/>
      <c r="L3983" s="261"/>
      <c r="M3983" s="261"/>
    </row>
    <row r="3984" spans="5:13">
      <c r="E3984" s="261"/>
      <c r="F3984" s="261"/>
      <c r="G3984" s="261"/>
      <c r="H3984" s="261"/>
      <c r="I3984" s="261"/>
      <c r="J3984" s="261"/>
      <c r="K3984" s="261"/>
      <c r="L3984" s="261"/>
      <c r="M3984" s="261"/>
    </row>
    <row r="3985" spans="5:13">
      <c r="E3985" s="261"/>
      <c r="F3985" s="261"/>
      <c r="G3985" s="261"/>
      <c r="H3985" s="261"/>
      <c r="I3985" s="261"/>
      <c r="J3985" s="261"/>
      <c r="K3985" s="261"/>
      <c r="L3985" s="261"/>
      <c r="M3985" s="261"/>
    </row>
    <row r="3986" spans="5:13">
      <c r="E3986" s="261"/>
      <c r="F3986" s="261"/>
      <c r="G3986" s="261"/>
      <c r="H3986" s="261"/>
      <c r="I3986" s="261"/>
      <c r="J3986" s="261"/>
      <c r="K3986" s="261"/>
      <c r="L3986" s="261"/>
      <c r="M3986" s="261"/>
    </row>
    <row r="3987" spans="5:13">
      <c r="E3987" s="261"/>
      <c r="F3987" s="261"/>
      <c r="G3987" s="261"/>
      <c r="H3987" s="261"/>
      <c r="I3987" s="261"/>
      <c r="J3987" s="261"/>
      <c r="K3987" s="261"/>
      <c r="L3987" s="261"/>
      <c r="M3987" s="261"/>
    </row>
    <row r="3988" spans="5:13">
      <c r="E3988" s="261"/>
      <c r="F3988" s="261"/>
      <c r="G3988" s="261"/>
      <c r="H3988" s="261"/>
      <c r="I3988" s="261"/>
      <c r="J3988" s="261"/>
      <c r="K3988" s="261"/>
      <c r="L3988" s="261"/>
      <c r="M3988" s="261"/>
    </row>
    <row r="3989" spans="5:13">
      <c r="E3989" s="261"/>
      <c r="F3989" s="261"/>
      <c r="G3989" s="261"/>
      <c r="H3989" s="261"/>
      <c r="I3989" s="261"/>
      <c r="J3989" s="261"/>
      <c r="K3989" s="261"/>
      <c r="L3989" s="261"/>
      <c r="M3989" s="261"/>
    </row>
    <row r="3990" spans="5:13">
      <c r="E3990" s="261"/>
      <c r="F3990" s="261"/>
      <c r="G3990" s="261"/>
      <c r="H3990" s="261"/>
      <c r="I3990" s="261"/>
      <c r="J3990" s="261"/>
      <c r="K3990" s="261"/>
      <c r="L3990" s="261"/>
      <c r="M3990" s="261"/>
    </row>
    <row r="3991" spans="5:13">
      <c r="E3991" s="261"/>
      <c r="F3991" s="261"/>
      <c r="G3991" s="261"/>
      <c r="H3991" s="261"/>
      <c r="I3991" s="261"/>
      <c r="J3991" s="261"/>
      <c r="K3991" s="261"/>
      <c r="L3991" s="261"/>
      <c r="M3991" s="261"/>
    </row>
    <row r="3992" spans="5:13">
      <c r="E3992" s="261"/>
      <c r="F3992" s="261"/>
      <c r="G3992" s="261"/>
      <c r="H3992" s="261"/>
      <c r="I3992" s="261"/>
      <c r="J3992" s="261"/>
      <c r="K3992" s="261"/>
      <c r="L3992" s="261"/>
      <c r="M3992" s="261"/>
    </row>
    <row r="3993" spans="5:13">
      <c r="E3993" s="261"/>
      <c r="F3993" s="261"/>
      <c r="G3993" s="261"/>
      <c r="H3993" s="261"/>
      <c r="I3993" s="261"/>
      <c r="J3993" s="261"/>
      <c r="K3993" s="261"/>
      <c r="L3993" s="261"/>
      <c r="M3993" s="261"/>
    </row>
    <row r="3994" spans="5:13">
      <c r="E3994" s="261"/>
      <c r="F3994" s="261"/>
      <c r="G3994" s="261"/>
      <c r="H3994" s="261"/>
      <c r="I3994" s="261"/>
      <c r="J3994" s="261"/>
      <c r="K3994" s="261"/>
      <c r="L3994" s="261"/>
      <c r="M3994" s="261"/>
    </row>
    <row r="3995" spans="5:13">
      <c r="E3995" s="261"/>
      <c r="F3995" s="261"/>
      <c r="G3995" s="261"/>
      <c r="H3995" s="261"/>
      <c r="I3995" s="261"/>
      <c r="J3995" s="261"/>
      <c r="K3995" s="261"/>
      <c r="L3995" s="261"/>
      <c r="M3995" s="261"/>
    </row>
    <row r="3996" spans="5:13">
      <c r="E3996" s="261"/>
      <c r="F3996" s="261"/>
      <c r="G3996" s="261"/>
      <c r="H3996" s="261"/>
      <c r="I3996" s="261"/>
      <c r="J3996" s="261"/>
      <c r="K3996" s="261"/>
      <c r="L3996" s="261"/>
      <c r="M3996" s="261"/>
    </row>
    <row r="3997" spans="5:13">
      <c r="E3997" s="261"/>
      <c r="F3997" s="261"/>
      <c r="G3997" s="261"/>
      <c r="H3997" s="261"/>
      <c r="I3997" s="261"/>
      <c r="J3997" s="261"/>
      <c r="K3997" s="261"/>
      <c r="L3997" s="261"/>
      <c r="M3997" s="261"/>
    </row>
    <row r="3998" spans="5:13">
      <c r="E3998" s="261"/>
      <c r="F3998" s="261"/>
      <c r="G3998" s="261"/>
      <c r="H3998" s="261"/>
      <c r="I3998" s="261"/>
      <c r="J3998" s="261"/>
      <c r="K3998" s="261"/>
      <c r="L3998" s="261"/>
      <c r="M3998" s="261"/>
    </row>
    <row r="3999" spans="5:13">
      <c r="E3999" s="261"/>
      <c r="F3999" s="261"/>
      <c r="G3999" s="261"/>
      <c r="H3999" s="261"/>
      <c r="I3999" s="261"/>
      <c r="J3999" s="261"/>
      <c r="K3999" s="261"/>
      <c r="L3999" s="261"/>
      <c r="M3999" s="261"/>
    </row>
    <row r="4000" spans="5:13">
      <c r="E4000" s="261"/>
      <c r="F4000" s="261"/>
      <c r="G4000" s="261"/>
      <c r="H4000" s="261"/>
      <c r="I4000" s="261"/>
      <c r="J4000" s="261"/>
      <c r="K4000" s="261"/>
      <c r="L4000" s="261"/>
      <c r="M4000" s="261"/>
    </row>
    <row r="4001" spans="5:13">
      <c r="E4001" s="261"/>
      <c r="F4001" s="261"/>
      <c r="G4001" s="261"/>
      <c r="H4001" s="261"/>
      <c r="I4001" s="261"/>
      <c r="J4001" s="261"/>
      <c r="K4001" s="261"/>
      <c r="L4001" s="261"/>
      <c r="M4001" s="261"/>
    </row>
    <row r="4002" spans="5:13">
      <c r="E4002" s="261"/>
      <c r="F4002" s="261"/>
      <c r="G4002" s="261"/>
      <c r="H4002" s="261"/>
      <c r="I4002" s="261"/>
      <c r="J4002" s="261"/>
      <c r="K4002" s="261"/>
      <c r="L4002" s="261"/>
      <c r="M4002" s="261"/>
    </row>
    <row r="4003" spans="5:13">
      <c r="E4003" s="261"/>
      <c r="F4003" s="261"/>
      <c r="G4003" s="261"/>
      <c r="H4003" s="261"/>
      <c r="I4003" s="261"/>
      <c r="J4003" s="261"/>
      <c r="K4003" s="261"/>
      <c r="L4003" s="261"/>
      <c r="M4003" s="261"/>
    </row>
    <row r="4004" spans="5:13">
      <c r="E4004" s="261"/>
      <c r="F4004" s="261"/>
      <c r="G4004" s="261"/>
      <c r="H4004" s="261"/>
      <c r="I4004" s="261"/>
      <c r="J4004" s="261"/>
      <c r="K4004" s="261"/>
      <c r="L4004" s="261"/>
      <c r="M4004" s="261"/>
    </row>
    <row r="4005" spans="5:13">
      <c r="E4005" s="261"/>
      <c r="F4005" s="261"/>
      <c r="G4005" s="261"/>
      <c r="H4005" s="261"/>
      <c r="I4005" s="261"/>
      <c r="J4005" s="261"/>
      <c r="K4005" s="261"/>
      <c r="L4005" s="261"/>
      <c r="M4005" s="261"/>
    </row>
    <row r="4006" spans="5:13">
      <c r="E4006" s="261"/>
      <c r="F4006" s="261"/>
      <c r="G4006" s="261"/>
      <c r="H4006" s="261"/>
      <c r="I4006" s="261"/>
      <c r="J4006" s="261"/>
      <c r="K4006" s="261"/>
      <c r="L4006" s="261"/>
      <c r="M4006" s="261"/>
    </row>
    <row r="4007" spans="5:13">
      <c r="E4007" s="261"/>
      <c r="F4007" s="261"/>
      <c r="G4007" s="261"/>
      <c r="H4007" s="261"/>
      <c r="I4007" s="261"/>
      <c r="J4007" s="261"/>
      <c r="K4007" s="261"/>
      <c r="L4007" s="261"/>
      <c r="M4007" s="261"/>
    </row>
    <row r="4008" spans="5:13">
      <c r="E4008" s="261"/>
      <c r="F4008" s="261"/>
      <c r="G4008" s="261"/>
      <c r="H4008" s="261"/>
      <c r="I4008" s="261"/>
      <c r="J4008" s="261"/>
      <c r="K4008" s="261"/>
      <c r="L4008" s="261"/>
      <c r="M4008" s="261"/>
    </row>
    <row r="4009" spans="5:13">
      <c r="E4009" s="261"/>
      <c r="F4009" s="261"/>
      <c r="G4009" s="261"/>
      <c r="H4009" s="261"/>
      <c r="I4009" s="261"/>
      <c r="J4009" s="261"/>
      <c r="K4009" s="261"/>
      <c r="L4009" s="261"/>
      <c r="M4009" s="261"/>
    </row>
    <row r="4010" spans="5:13">
      <c r="E4010" s="261"/>
      <c r="F4010" s="261"/>
      <c r="G4010" s="261"/>
      <c r="H4010" s="261"/>
      <c r="I4010" s="261"/>
      <c r="J4010" s="261"/>
      <c r="K4010" s="261"/>
      <c r="L4010" s="261"/>
      <c r="M4010" s="261"/>
    </row>
    <row r="4011" spans="5:13">
      <c r="E4011" s="261"/>
      <c r="F4011" s="261"/>
      <c r="G4011" s="261"/>
      <c r="H4011" s="261"/>
      <c r="I4011" s="261"/>
      <c r="J4011" s="261"/>
      <c r="K4011" s="261"/>
      <c r="L4011" s="261"/>
      <c r="M4011" s="261"/>
    </row>
    <row r="4012" spans="5:13">
      <c r="E4012" s="261"/>
      <c r="F4012" s="261"/>
      <c r="G4012" s="261"/>
      <c r="H4012" s="261"/>
      <c r="I4012" s="261"/>
      <c r="J4012" s="261"/>
      <c r="K4012" s="261"/>
      <c r="L4012" s="261"/>
      <c r="M4012" s="261"/>
    </row>
    <row r="4013" spans="5:13">
      <c r="E4013" s="261"/>
      <c r="F4013" s="261"/>
      <c r="G4013" s="261"/>
      <c r="H4013" s="261"/>
      <c r="I4013" s="261"/>
      <c r="J4013" s="261"/>
      <c r="K4013" s="261"/>
      <c r="L4013" s="261"/>
      <c r="M4013" s="261"/>
    </row>
    <row r="4014" spans="5:13">
      <c r="E4014" s="261"/>
      <c r="F4014" s="261"/>
      <c r="G4014" s="261"/>
      <c r="H4014" s="261"/>
      <c r="I4014" s="261"/>
      <c r="J4014" s="261"/>
      <c r="K4014" s="261"/>
      <c r="L4014" s="261"/>
      <c r="M4014" s="261"/>
    </row>
    <row r="4015" spans="5:13">
      <c r="E4015" s="261"/>
      <c r="F4015" s="261"/>
      <c r="G4015" s="261"/>
      <c r="H4015" s="261"/>
      <c r="I4015" s="261"/>
      <c r="J4015" s="261"/>
      <c r="K4015" s="261"/>
      <c r="L4015" s="261"/>
      <c r="M4015" s="261"/>
    </row>
    <row r="4016" spans="5:13">
      <c r="E4016" s="261"/>
      <c r="F4016" s="261"/>
      <c r="G4016" s="261"/>
      <c r="H4016" s="261"/>
      <c r="I4016" s="261"/>
      <c r="J4016" s="261"/>
      <c r="K4016" s="261"/>
      <c r="L4016" s="261"/>
      <c r="M4016" s="261"/>
    </row>
    <row r="4017" spans="5:13">
      <c r="E4017" s="261"/>
      <c r="F4017" s="261"/>
      <c r="G4017" s="261"/>
      <c r="H4017" s="261"/>
      <c r="I4017" s="261"/>
      <c r="J4017" s="261"/>
      <c r="K4017" s="261"/>
      <c r="L4017" s="261"/>
      <c r="M4017" s="261"/>
    </row>
    <row r="4018" spans="5:13">
      <c r="E4018" s="261"/>
      <c r="F4018" s="261"/>
      <c r="G4018" s="261"/>
      <c r="H4018" s="261"/>
      <c r="I4018" s="261"/>
      <c r="J4018" s="261"/>
      <c r="K4018" s="261"/>
      <c r="L4018" s="261"/>
      <c r="M4018" s="261"/>
    </row>
    <row r="4019" spans="5:13">
      <c r="E4019" s="261"/>
      <c r="F4019" s="261"/>
      <c r="G4019" s="261"/>
      <c r="H4019" s="261"/>
      <c r="I4019" s="261"/>
      <c r="J4019" s="261"/>
      <c r="K4019" s="261"/>
      <c r="L4019" s="261"/>
      <c r="M4019" s="261"/>
    </row>
    <row r="4020" spans="5:13">
      <c r="E4020" s="261"/>
      <c r="F4020" s="261"/>
      <c r="G4020" s="261"/>
      <c r="H4020" s="261"/>
      <c r="I4020" s="261"/>
      <c r="J4020" s="261"/>
      <c r="K4020" s="261"/>
      <c r="L4020" s="261"/>
      <c r="M4020" s="261"/>
    </row>
    <row r="4021" spans="5:13">
      <c r="E4021" s="261"/>
      <c r="F4021" s="261"/>
      <c r="G4021" s="261"/>
      <c r="H4021" s="261"/>
      <c r="I4021" s="261"/>
      <c r="J4021" s="261"/>
      <c r="K4021" s="261"/>
      <c r="L4021" s="261"/>
      <c r="M4021" s="261"/>
    </row>
    <row r="4022" spans="5:13">
      <c r="E4022" s="261"/>
      <c r="F4022" s="261"/>
      <c r="G4022" s="261"/>
      <c r="H4022" s="261"/>
      <c r="I4022" s="261"/>
      <c r="J4022" s="261"/>
      <c r="K4022" s="261"/>
      <c r="L4022" s="261"/>
      <c r="M4022" s="261"/>
    </row>
    <row r="4023" spans="5:13">
      <c r="E4023" s="261"/>
      <c r="F4023" s="261"/>
      <c r="G4023" s="261"/>
      <c r="H4023" s="261"/>
      <c r="I4023" s="261"/>
      <c r="J4023" s="261"/>
      <c r="K4023" s="261"/>
      <c r="L4023" s="261"/>
      <c r="M4023" s="261"/>
    </row>
    <row r="4024" spans="5:13">
      <c r="E4024" s="261"/>
      <c r="F4024" s="261"/>
      <c r="G4024" s="261"/>
      <c r="H4024" s="261"/>
      <c r="I4024" s="261"/>
      <c r="J4024" s="261"/>
      <c r="K4024" s="261"/>
      <c r="L4024" s="261"/>
      <c r="M4024" s="261"/>
    </row>
    <row r="4025" spans="5:13">
      <c r="E4025" s="261"/>
      <c r="F4025" s="261"/>
      <c r="G4025" s="261"/>
      <c r="H4025" s="261"/>
      <c r="I4025" s="261"/>
      <c r="J4025" s="261"/>
      <c r="K4025" s="261"/>
      <c r="L4025" s="261"/>
      <c r="M4025" s="261"/>
    </row>
    <row r="4026" spans="5:13">
      <c r="E4026" s="261"/>
      <c r="F4026" s="261"/>
      <c r="G4026" s="261"/>
      <c r="H4026" s="261"/>
      <c r="I4026" s="261"/>
      <c r="J4026" s="261"/>
      <c r="K4026" s="261"/>
      <c r="L4026" s="261"/>
      <c r="M4026" s="261"/>
    </row>
    <row r="4027" spans="5:13">
      <c r="E4027" s="261"/>
      <c r="F4027" s="261"/>
      <c r="G4027" s="261"/>
      <c r="H4027" s="261"/>
      <c r="I4027" s="261"/>
      <c r="J4027" s="261"/>
      <c r="K4027" s="261"/>
      <c r="L4027" s="261"/>
      <c r="M4027" s="261"/>
    </row>
    <row r="4028" spans="5:13">
      <c r="E4028" s="261"/>
      <c r="F4028" s="261"/>
      <c r="G4028" s="261"/>
      <c r="H4028" s="261"/>
      <c r="I4028" s="261"/>
      <c r="J4028" s="261"/>
      <c r="K4028" s="261"/>
      <c r="L4028" s="261"/>
      <c r="M4028" s="261"/>
    </row>
    <row r="4029" spans="5:13">
      <c r="E4029" s="261"/>
      <c r="F4029" s="261"/>
      <c r="G4029" s="261"/>
      <c r="H4029" s="261"/>
      <c r="I4029" s="261"/>
      <c r="J4029" s="261"/>
      <c r="K4029" s="261"/>
      <c r="L4029" s="261"/>
      <c r="M4029" s="261"/>
    </row>
    <row r="4030" spans="5:13">
      <c r="E4030" s="261"/>
      <c r="F4030" s="261"/>
      <c r="G4030" s="261"/>
      <c r="H4030" s="261"/>
      <c r="I4030" s="261"/>
      <c r="J4030" s="261"/>
      <c r="K4030" s="261"/>
      <c r="L4030" s="261"/>
      <c r="M4030" s="261"/>
    </row>
    <row r="4031" spans="5:13">
      <c r="E4031" s="261"/>
      <c r="F4031" s="261"/>
      <c r="G4031" s="261"/>
      <c r="H4031" s="261"/>
      <c r="I4031" s="261"/>
      <c r="J4031" s="261"/>
      <c r="K4031" s="261"/>
      <c r="L4031" s="261"/>
      <c r="M4031" s="261"/>
    </row>
    <row r="4032" spans="5:13">
      <c r="E4032" s="261"/>
      <c r="F4032" s="261"/>
      <c r="G4032" s="261"/>
      <c r="H4032" s="261"/>
      <c r="I4032" s="261"/>
      <c r="J4032" s="261"/>
      <c r="K4032" s="261"/>
      <c r="L4032" s="261"/>
      <c r="M4032" s="261"/>
    </row>
    <row r="4033" spans="5:13">
      <c r="E4033" s="261"/>
      <c r="F4033" s="261"/>
      <c r="G4033" s="261"/>
      <c r="H4033" s="261"/>
      <c r="I4033" s="261"/>
      <c r="J4033" s="261"/>
      <c r="K4033" s="261"/>
      <c r="L4033" s="261"/>
      <c r="M4033" s="261"/>
    </row>
    <row r="4034" spans="5:13">
      <c r="E4034" s="261"/>
      <c r="F4034" s="261"/>
      <c r="G4034" s="261"/>
      <c r="H4034" s="261"/>
      <c r="I4034" s="261"/>
      <c r="J4034" s="261"/>
      <c r="K4034" s="261"/>
      <c r="L4034" s="261"/>
      <c r="M4034" s="261"/>
    </row>
    <row r="4035" spans="5:13">
      <c r="E4035" s="261"/>
      <c r="F4035" s="261"/>
      <c r="G4035" s="261"/>
      <c r="H4035" s="261"/>
      <c r="I4035" s="261"/>
      <c r="J4035" s="261"/>
      <c r="K4035" s="261"/>
      <c r="L4035" s="261"/>
      <c r="M4035" s="261"/>
    </row>
    <row r="4036" spans="5:13">
      <c r="E4036" s="261"/>
      <c r="F4036" s="261"/>
      <c r="G4036" s="261"/>
      <c r="H4036" s="261"/>
      <c r="I4036" s="261"/>
      <c r="J4036" s="261"/>
      <c r="K4036" s="261"/>
      <c r="L4036" s="261"/>
      <c r="M4036" s="261"/>
    </row>
    <row r="4037" spans="5:13">
      <c r="E4037" s="261"/>
      <c r="F4037" s="261"/>
      <c r="G4037" s="261"/>
      <c r="H4037" s="261"/>
      <c r="I4037" s="261"/>
      <c r="J4037" s="261"/>
      <c r="K4037" s="261"/>
      <c r="L4037" s="261"/>
      <c r="M4037" s="261"/>
    </row>
    <row r="4038" spans="5:13">
      <c r="E4038" s="261"/>
      <c r="F4038" s="261"/>
      <c r="G4038" s="261"/>
      <c r="H4038" s="261"/>
      <c r="I4038" s="261"/>
      <c r="J4038" s="261"/>
      <c r="K4038" s="261"/>
      <c r="L4038" s="261"/>
      <c r="M4038" s="261"/>
    </row>
    <row r="4039" spans="5:13">
      <c r="E4039" s="261"/>
      <c r="F4039" s="261"/>
      <c r="G4039" s="261"/>
      <c r="H4039" s="261"/>
      <c r="I4039" s="261"/>
      <c r="J4039" s="261"/>
      <c r="K4039" s="261"/>
      <c r="L4039" s="261"/>
      <c r="M4039" s="261"/>
    </row>
    <row r="4040" spans="5:13">
      <c r="E4040" s="261"/>
      <c r="F4040" s="261"/>
      <c r="G4040" s="261"/>
      <c r="H4040" s="261"/>
      <c r="I4040" s="261"/>
      <c r="J4040" s="261"/>
      <c r="K4040" s="261"/>
      <c r="L4040" s="261"/>
      <c r="M4040" s="261"/>
    </row>
    <row r="4041" spans="5:13">
      <c r="E4041" s="261"/>
      <c r="F4041" s="261"/>
      <c r="G4041" s="261"/>
      <c r="H4041" s="261"/>
      <c r="I4041" s="261"/>
      <c r="J4041" s="261"/>
      <c r="K4041" s="261"/>
      <c r="L4041" s="261"/>
      <c r="M4041" s="261"/>
    </row>
    <row r="4042" spans="5:13">
      <c r="E4042" s="261"/>
      <c r="F4042" s="261"/>
      <c r="G4042" s="261"/>
      <c r="H4042" s="261"/>
      <c r="I4042" s="261"/>
      <c r="J4042" s="261"/>
      <c r="K4042" s="261"/>
      <c r="L4042" s="261"/>
      <c r="M4042" s="261"/>
    </row>
    <row r="4043" spans="5:13">
      <c r="E4043" s="261"/>
      <c r="F4043" s="261"/>
      <c r="G4043" s="261"/>
      <c r="H4043" s="261"/>
      <c r="I4043" s="261"/>
      <c r="J4043" s="261"/>
      <c r="K4043" s="261"/>
      <c r="L4043" s="261"/>
      <c r="M4043" s="261"/>
    </row>
    <row r="4044" spans="5:13">
      <c r="E4044" s="261"/>
      <c r="F4044" s="261"/>
      <c r="G4044" s="261"/>
      <c r="H4044" s="261"/>
      <c r="I4044" s="261"/>
      <c r="J4044" s="261"/>
      <c r="K4044" s="261"/>
      <c r="L4044" s="261"/>
      <c r="M4044" s="261"/>
    </row>
    <row r="4045" spans="5:13">
      <c r="E4045" s="261"/>
      <c r="F4045" s="261"/>
      <c r="G4045" s="261"/>
      <c r="H4045" s="261"/>
      <c r="I4045" s="261"/>
      <c r="J4045" s="261"/>
      <c r="K4045" s="261"/>
      <c r="L4045" s="261"/>
      <c r="M4045" s="261"/>
    </row>
    <row r="4046" spans="5:13">
      <c r="E4046" s="261"/>
      <c r="F4046" s="261"/>
      <c r="G4046" s="261"/>
      <c r="H4046" s="261"/>
      <c r="I4046" s="261"/>
      <c r="J4046" s="261"/>
      <c r="K4046" s="261"/>
      <c r="L4046" s="261"/>
      <c r="M4046" s="261"/>
    </row>
    <row r="4047" spans="5:13">
      <c r="E4047" s="261"/>
      <c r="F4047" s="261"/>
      <c r="G4047" s="261"/>
      <c r="H4047" s="261"/>
      <c r="I4047" s="261"/>
      <c r="J4047" s="261"/>
      <c r="K4047" s="261"/>
      <c r="L4047" s="261"/>
      <c r="M4047" s="261"/>
    </row>
    <row r="4048" spans="5:13">
      <c r="E4048" s="261"/>
      <c r="F4048" s="261"/>
      <c r="G4048" s="261"/>
      <c r="H4048" s="261"/>
      <c r="I4048" s="261"/>
      <c r="J4048" s="261"/>
      <c r="K4048" s="261"/>
      <c r="L4048" s="261"/>
      <c r="M4048" s="261"/>
    </row>
    <row r="4049" spans="5:13">
      <c r="E4049" s="261"/>
      <c r="F4049" s="261"/>
      <c r="G4049" s="261"/>
      <c r="H4049" s="261"/>
      <c r="I4049" s="261"/>
      <c r="J4049" s="261"/>
      <c r="K4049" s="261"/>
      <c r="L4049" s="261"/>
      <c r="M4049" s="261"/>
    </row>
    <row r="4050" spans="5:13">
      <c r="E4050" s="261"/>
      <c r="F4050" s="261"/>
      <c r="G4050" s="261"/>
      <c r="H4050" s="261"/>
      <c r="I4050" s="261"/>
      <c r="J4050" s="261"/>
      <c r="K4050" s="261"/>
      <c r="L4050" s="261"/>
      <c r="M4050" s="261"/>
    </row>
    <row r="4051" spans="5:13">
      <c r="E4051" s="261"/>
      <c r="F4051" s="261"/>
      <c r="G4051" s="261"/>
      <c r="H4051" s="261"/>
      <c r="I4051" s="261"/>
      <c r="J4051" s="261"/>
      <c r="K4051" s="261"/>
      <c r="L4051" s="261"/>
      <c r="M4051" s="261"/>
    </row>
    <row r="4052" spans="5:13">
      <c r="E4052" s="261"/>
      <c r="F4052" s="261"/>
      <c r="G4052" s="261"/>
      <c r="H4052" s="261"/>
      <c r="I4052" s="261"/>
      <c r="J4052" s="261"/>
      <c r="K4052" s="261"/>
      <c r="L4052" s="261"/>
      <c r="M4052" s="261"/>
    </row>
    <row r="4053" spans="5:13">
      <c r="E4053" s="261"/>
      <c r="F4053" s="261"/>
      <c r="G4053" s="261"/>
      <c r="H4053" s="261"/>
      <c r="I4053" s="261"/>
      <c r="J4053" s="261"/>
      <c r="K4053" s="261"/>
      <c r="L4053" s="261"/>
      <c r="M4053" s="261"/>
    </row>
    <row r="4054" spans="5:13">
      <c r="E4054" s="261"/>
      <c r="F4054" s="261"/>
      <c r="G4054" s="261"/>
      <c r="H4054" s="261"/>
      <c r="I4054" s="261"/>
      <c r="J4054" s="261"/>
      <c r="K4054" s="261"/>
      <c r="L4054" s="261"/>
      <c r="M4054" s="261"/>
    </row>
    <row r="4055" spans="5:13">
      <c r="E4055" s="261"/>
      <c r="F4055" s="261"/>
      <c r="G4055" s="261"/>
      <c r="H4055" s="261"/>
      <c r="I4055" s="261"/>
      <c r="J4055" s="261"/>
      <c r="K4055" s="261"/>
      <c r="L4055" s="261"/>
      <c r="M4055" s="261"/>
    </row>
    <row r="4056" spans="5:13">
      <c r="E4056" s="261"/>
      <c r="F4056" s="261"/>
      <c r="G4056" s="261"/>
      <c r="H4056" s="261"/>
      <c r="I4056" s="261"/>
      <c r="J4056" s="261"/>
      <c r="K4056" s="261"/>
      <c r="L4056" s="261"/>
      <c r="M4056" s="261"/>
    </row>
    <row r="4057" spans="5:13">
      <c r="E4057" s="261"/>
      <c r="F4057" s="261"/>
      <c r="G4057" s="261"/>
      <c r="H4057" s="261"/>
      <c r="I4057" s="261"/>
      <c r="J4057" s="261"/>
      <c r="K4057" s="261"/>
      <c r="L4057" s="261"/>
      <c r="M4057" s="261"/>
    </row>
    <row r="4058" spans="5:13">
      <c r="E4058" s="261"/>
      <c r="F4058" s="261"/>
      <c r="G4058" s="261"/>
      <c r="H4058" s="261"/>
      <c r="I4058" s="261"/>
      <c r="J4058" s="261"/>
      <c r="K4058" s="261"/>
      <c r="L4058" s="261"/>
      <c r="M4058" s="261"/>
    </row>
    <row r="4059" spans="5:13">
      <c r="E4059" s="261"/>
      <c r="F4059" s="261"/>
      <c r="G4059" s="261"/>
      <c r="H4059" s="261"/>
      <c r="I4059" s="261"/>
      <c r="J4059" s="261"/>
      <c r="K4059" s="261"/>
      <c r="L4059" s="261"/>
      <c r="M4059" s="261"/>
    </row>
    <row r="4060" spans="5:13">
      <c r="E4060" s="261"/>
      <c r="F4060" s="261"/>
      <c r="G4060" s="261"/>
      <c r="H4060" s="261"/>
      <c r="I4060" s="261"/>
      <c r="J4060" s="261"/>
      <c r="K4060" s="261"/>
      <c r="L4060" s="261"/>
      <c r="M4060" s="261"/>
    </row>
    <row r="4061" spans="5:13">
      <c r="E4061" s="261"/>
      <c r="F4061" s="261"/>
      <c r="G4061" s="261"/>
      <c r="H4061" s="261"/>
      <c r="I4061" s="261"/>
      <c r="J4061" s="261"/>
      <c r="K4061" s="261"/>
      <c r="L4061" s="261"/>
      <c r="M4061" s="261"/>
    </row>
    <row r="4062" spans="5:13">
      <c r="E4062" s="261"/>
      <c r="F4062" s="261"/>
      <c r="G4062" s="261"/>
      <c r="H4062" s="261"/>
      <c r="I4062" s="261"/>
      <c r="J4062" s="261"/>
      <c r="K4062" s="261"/>
      <c r="L4062" s="261"/>
      <c r="M4062" s="261"/>
    </row>
    <row r="4063" spans="5:13">
      <c r="E4063" s="261"/>
      <c r="F4063" s="261"/>
      <c r="G4063" s="261"/>
      <c r="H4063" s="261"/>
      <c r="I4063" s="261"/>
      <c r="J4063" s="261"/>
      <c r="K4063" s="261"/>
      <c r="L4063" s="261"/>
      <c r="M4063" s="261"/>
    </row>
    <row r="4064" spans="5:13">
      <c r="E4064" s="261"/>
      <c r="F4064" s="261"/>
      <c r="G4064" s="261"/>
      <c r="H4064" s="261"/>
      <c r="I4064" s="261"/>
      <c r="J4064" s="261"/>
      <c r="K4064" s="261"/>
      <c r="L4064" s="261"/>
      <c r="M4064" s="261"/>
    </row>
    <row r="4065" spans="5:13">
      <c r="E4065" s="261"/>
      <c r="F4065" s="261"/>
      <c r="G4065" s="261"/>
      <c r="H4065" s="261"/>
      <c r="I4065" s="261"/>
      <c r="J4065" s="261"/>
      <c r="K4065" s="261"/>
      <c r="L4065" s="261"/>
      <c r="M4065" s="261"/>
    </row>
    <row r="4066" spans="5:13">
      <c r="E4066" s="261"/>
      <c r="F4066" s="261"/>
      <c r="G4066" s="261"/>
      <c r="H4066" s="261"/>
      <c r="I4066" s="261"/>
      <c r="J4066" s="261"/>
      <c r="K4066" s="261"/>
      <c r="L4066" s="261"/>
      <c r="M4066" s="261"/>
    </row>
    <row r="4067" spans="5:13">
      <c r="E4067" s="261"/>
      <c r="F4067" s="261"/>
      <c r="G4067" s="261"/>
      <c r="H4067" s="261"/>
      <c r="I4067" s="261"/>
      <c r="J4067" s="261"/>
      <c r="K4067" s="261"/>
      <c r="L4067" s="261"/>
      <c r="M4067" s="261"/>
    </row>
    <row r="4068" spans="5:13">
      <c r="E4068" s="261"/>
      <c r="F4068" s="261"/>
      <c r="G4068" s="261"/>
      <c r="H4068" s="261"/>
      <c r="I4068" s="261"/>
      <c r="J4068" s="261"/>
      <c r="K4068" s="261"/>
      <c r="L4068" s="261"/>
      <c r="M4068" s="261"/>
    </row>
    <row r="4069" spans="5:13">
      <c r="E4069" s="261"/>
      <c r="F4069" s="261"/>
      <c r="G4069" s="261"/>
      <c r="H4069" s="261"/>
      <c r="I4069" s="261"/>
      <c r="J4069" s="261"/>
      <c r="K4069" s="261"/>
      <c r="L4069" s="261"/>
      <c r="M4069" s="261"/>
    </row>
    <row r="4070" spans="5:13">
      <c r="E4070" s="261"/>
      <c r="F4070" s="261"/>
      <c r="G4070" s="261"/>
      <c r="H4070" s="261"/>
      <c r="I4070" s="261"/>
      <c r="J4070" s="261"/>
      <c r="K4070" s="261"/>
      <c r="L4070" s="261"/>
      <c r="M4070" s="261"/>
    </row>
    <row r="4071" spans="5:13">
      <c r="E4071" s="261"/>
      <c r="F4071" s="261"/>
      <c r="G4071" s="261"/>
      <c r="H4071" s="261"/>
      <c r="I4071" s="261"/>
      <c r="J4071" s="261"/>
      <c r="K4071" s="261"/>
      <c r="L4071" s="261"/>
      <c r="M4071" s="261"/>
    </row>
    <row r="4072" spans="5:13">
      <c r="E4072" s="261"/>
      <c r="F4072" s="261"/>
      <c r="G4072" s="261"/>
      <c r="H4072" s="261"/>
      <c r="I4072" s="261"/>
      <c r="J4072" s="261"/>
      <c r="K4072" s="261"/>
      <c r="L4072" s="261"/>
      <c r="M4072" s="261"/>
    </row>
    <row r="4073" spans="5:13">
      <c r="E4073" s="261"/>
      <c r="F4073" s="261"/>
      <c r="G4073" s="261"/>
      <c r="H4073" s="261"/>
      <c r="I4073" s="261"/>
      <c r="J4073" s="261"/>
      <c r="K4073" s="261"/>
      <c r="L4073" s="261"/>
      <c r="M4073" s="261"/>
    </row>
    <row r="4074" spans="5:13">
      <c r="E4074" s="261"/>
      <c r="F4074" s="261"/>
      <c r="G4074" s="261"/>
      <c r="H4074" s="261"/>
      <c r="I4074" s="261"/>
      <c r="J4074" s="261"/>
      <c r="K4074" s="261"/>
      <c r="L4074" s="261"/>
      <c r="M4074" s="261"/>
    </row>
    <row r="4075" spans="5:13">
      <c r="E4075" s="261"/>
      <c r="F4075" s="261"/>
      <c r="G4075" s="261"/>
      <c r="H4075" s="261"/>
      <c r="I4075" s="261"/>
      <c r="J4075" s="261"/>
      <c r="K4075" s="261"/>
      <c r="L4075" s="261"/>
      <c r="M4075" s="261"/>
    </row>
    <row r="4076" spans="5:13">
      <c r="E4076" s="261"/>
      <c r="F4076" s="261"/>
      <c r="G4076" s="261"/>
      <c r="H4076" s="261"/>
      <c r="I4076" s="261"/>
      <c r="J4076" s="261"/>
      <c r="K4076" s="261"/>
      <c r="L4076" s="261"/>
      <c r="M4076" s="261"/>
    </row>
    <row r="4077" spans="5:13">
      <c r="E4077" s="261"/>
      <c r="F4077" s="261"/>
      <c r="G4077" s="261"/>
      <c r="H4077" s="261"/>
      <c r="I4077" s="261"/>
      <c r="J4077" s="261"/>
      <c r="K4077" s="261"/>
      <c r="L4077" s="261"/>
      <c r="M4077" s="261"/>
    </row>
    <row r="4078" spans="5:13">
      <c r="E4078" s="261"/>
      <c r="F4078" s="261"/>
      <c r="G4078" s="261"/>
      <c r="H4078" s="261"/>
      <c r="I4078" s="261"/>
      <c r="J4078" s="261"/>
      <c r="K4078" s="261"/>
      <c r="L4078" s="261"/>
      <c r="M4078" s="261"/>
    </row>
    <row r="4079" spans="5:13">
      <c r="E4079" s="261"/>
      <c r="F4079" s="261"/>
      <c r="G4079" s="261"/>
      <c r="H4079" s="261"/>
      <c r="I4079" s="261"/>
      <c r="J4079" s="261"/>
      <c r="K4079" s="261"/>
      <c r="L4079" s="261"/>
      <c r="M4079" s="261"/>
    </row>
    <row r="4080" spans="5:13">
      <c r="E4080" s="261"/>
      <c r="F4080" s="261"/>
      <c r="G4080" s="261"/>
      <c r="H4080" s="261"/>
      <c r="I4080" s="261"/>
      <c r="J4080" s="261"/>
      <c r="K4080" s="261"/>
      <c r="L4080" s="261"/>
      <c r="M4080" s="261"/>
    </row>
    <row r="4081" spans="5:13">
      <c r="E4081" s="261"/>
      <c r="F4081" s="261"/>
      <c r="G4081" s="261"/>
      <c r="H4081" s="261"/>
      <c r="I4081" s="261"/>
      <c r="J4081" s="261"/>
      <c r="K4081" s="261"/>
      <c r="L4081" s="261"/>
      <c r="M4081" s="261"/>
    </row>
    <row r="4082" spans="5:13">
      <c r="E4082" s="261"/>
      <c r="F4082" s="261"/>
      <c r="G4082" s="261"/>
      <c r="H4082" s="261"/>
      <c r="I4082" s="261"/>
      <c r="J4082" s="261"/>
      <c r="K4082" s="261"/>
      <c r="L4082" s="261"/>
      <c r="M4082" s="261"/>
    </row>
    <row r="4083" spans="5:13">
      <c r="E4083" s="261"/>
      <c r="F4083" s="261"/>
      <c r="G4083" s="261"/>
      <c r="H4083" s="261"/>
      <c r="I4083" s="261"/>
      <c r="J4083" s="261"/>
      <c r="K4083" s="261"/>
      <c r="L4083" s="261"/>
      <c r="M4083" s="261"/>
    </row>
    <row r="4084" spans="5:13">
      <c r="E4084" s="261"/>
      <c r="F4084" s="261"/>
      <c r="G4084" s="261"/>
      <c r="H4084" s="261"/>
      <c r="I4084" s="261"/>
      <c r="J4084" s="261"/>
      <c r="K4084" s="261"/>
      <c r="L4084" s="261"/>
      <c r="M4084" s="261"/>
    </row>
    <row r="4085" spans="5:13">
      <c r="E4085" s="261"/>
      <c r="F4085" s="261"/>
      <c r="G4085" s="261"/>
      <c r="H4085" s="261"/>
      <c r="I4085" s="261"/>
      <c r="J4085" s="261"/>
      <c r="K4085" s="261"/>
      <c r="L4085" s="261"/>
      <c r="M4085" s="261"/>
    </row>
    <row r="4086" spans="5:13">
      <c r="E4086" s="261"/>
      <c r="F4086" s="261"/>
      <c r="G4086" s="261"/>
      <c r="H4086" s="261"/>
      <c r="I4086" s="261"/>
      <c r="J4086" s="261"/>
      <c r="K4086" s="261"/>
      <c r="L4086" s="261"/>
      <c r="M4086" s="261"/>
    </row>
    <row r="4087" spans="5:13">
      <c r="E4087" s="261"/>
      <c r="F4087" s="261"/>
      <c r="G4087" s="261"/>
      <c r="H4087" s="261"/>
      <c r="I4087" s="261"/>
      <c r="J4087" s="261"/>
      <c r="K4087" s="261"/>
      <c r="L4087" s="261"/>
      <c r="M4087" s="261"/>
    </row>
    <row r="4088" spans="5:13">
      <c r="E4088" s="261"/>
      <c r="F4088" s="261"/>
      <c r="G4088" s="261"/>
      <c r="H4088" s="261"/>
      <c r="I4088" s="261"/>
      <c r="J4088" s="261"/>
      <c r="K4088" s="261"/>
      <c r="L4088" s="261"/>
      <c r="M4088" s="261"/>
    </row>
    <row r="4089" spans="5:13">
      <c r="E4089" s="261"/>
      <c r="F4089" s="261"/>
      <c r="G4089" s="261"/>
      <c r="H4089" s="261"/>
      <c r="I4089" s="261"/>
      <c r="J4089" s="261"/>
      <c r="K4089" s="261"/>
      <c r="L4089" s="261"/>
      <c r="M4089" s="261"/>
    </row>
    <row r="4090" spans="5:13">
      <c r="E4090" s="261"/>
      <c r="F4090" s="261"/>
      <c r="G4090" s="261"/>
      <c r="H4090" s="261"/>
      <c r="I4090" s="261"/>
      <c r="J4090" s="261"/>
      <c r="K4090" s="261"/>
      <c r="L4090" s="261"/>
      <c r="M4090" s="261"/>
    </row>
    <row r="4091" spans="5:13">
      <c r="E4091" s="261"/>
      <c r="F4091" s="261"/>
      <c r="G4091" s="261"/>
      <c r="H4091" s="261"/>
      <c r="I4091" s="261"/>
      <c r="J4091" s="261"/>
      <c r="K4091" s="261"/>
      <c r="L4091" s="261"/>
      <c r="M4091" s="261"/>
    </row>
    <row r="4092" spans="5:13">
      <c r="E4092" s="261"/>
      <c r="F4092" s="261"/>
      <c r="G4092" s="261"/>
      <c r="H4092" s="261"/>
      <c r="I4092" s="261"/>
      <c r="J4092" s="261"/>
      <c r="K4092" s="261"/>
      <c r="L4092" s="261"/>
      <c r="M4092" s="261"/>
    </row>
    <row r="4093" spans="5:13">
      <c r="E4093" s="261"/>
      <c r="F4093" s="261"/>
      <c r="G4093" s="261"/>
      <c r="H4093" s="261"/>
      <c r="I4093" s="261"/>
      <c r="J4093" s="261"/>
      <c r="K4093" s="261"/>
      <c r="L4093" s="261"/>
      <c r="M4093" s="261"/>
    </row>
    <row r="4094" spans="5:13">
      <c r="E4094" s="261"/>
      <c r="F4094" s="261"/>
      <c r="G4094" s="261"/>
      <c r="H4094" s="261"/>
      <c r="I4094" s="261"/>
      <c r="J4094" s="261"/>
      <c r="K4094" s="261"/>
      <c r="L4094" s="261"/>
      <c r="M4094" s="261"/>
    </row>
    <row r="4095" spans="5:13">
      <c r="E4095" s="261"/>
      <c r="F4095" s="261"/>
      <c r="G4095" s="261"/>
      <c r="H4095" s="261"/>
      <c r="I4095" s="261"/>
      <c r="J4095" s="261"/>
      <c r="K4095" s="261"/>
      <c r="L4095" s="261"/>
      <c r="M4095" s="261"/>
    </row>
    <row r="4096" spans="5:13">
      <c r="E4096" s="261"/>
      <c r="F4096" s="261"/>
      <c r="G4096" s="261"/>
      <c r="H4096" s="261"/>
      <c r="I4096" s="261"/>
      <c r="J4096" s="261"/>
      <c r="K4096" s="261"/>
      <c r="L4096" s="261"/>
      <c r="M4096" s="261"/>
    </row>
    <row r="4097" spans="5:13">
      <c r="E4097" s="261"/>
      <c r="F4097" s="261"/>
      <c r="G4097" s="261"/>
      <c r="H4097" s="261"/>
      <c r="I4097" s="261"/>
      <c r="J4097" s="261"/>
      <c r="K4097" s="261"/>
      <c r="L4097" s="261"/>
      <c r="M4097" s="261"/>
    </row>
    <row r="4098" spans="5:13">
      <c r="E4098" s="261"/>
      <c r="F4098" s="261"/>
      <c r="G4098" s="261"/>
      <c r="H4098" s="261"/>
      <c r="I4098" s="261"/>
      <c r="J4098" s="261"/>
      <c r="K4098" s="261"/>
      <c r="L4098" s="261"/>
      <c r="M4098" s="261"/>
    </row>
    <row r="4099" spans="5:13">
      <c r="E4099" s="261"/>
      <c r="F4099" s="261"/>
      <c r="G4099" s="261"/>
      <c r="H4099" s="261"/>
      <c r="I4099" s="261"/>
      <c r="J4099" s="261"/>
      <c r="K4099" s="261"/>
      <c r="L4099" s="261"/>
      <c r="M4099" s="261"/>
    </row>
    <row r="4100" spans="5:13">
      <c r="E4100" s="261"/>
      <c r="F4100" s="261"/>
      <c r="G4100" s="261"/>
      <c r="H4100" s="261"/>
      <c r="I4100" s="261"/>
      <c r="J4100" s="261"/>
      <c r="K4100" s="261"/>
      <c r="L4100" s="261"/>
      <c r="M4100" s="261"/>
    </row>
    <row r="4101" spans="5:13">
      <c r="E4101" s="261"/>
      <c r="F4101" s="261"/>
      <c r="G4101" s="261"/>
      <c r="H4101" s="261"/>
      <c r="I4101" s="261"/>
      <c r="J4101" s="261"/>
      <c r="K4101" s="261"/>
      <c r="L4101" s="261"/>
      <c r="M4101" s="261"/>
    </row>
    <row r="4102" spans="5:13">
      <c r="E4102" s="261"/>
      <c r="F4102" s="261"/>
      <c r="G4102" s="261"/>
      <c r="H4102" s="261"/>
      <c r="I4102" s="261"/>
      <c r="J4102" s="261"/>
      <c r="K4102" s="261"/>
      <c r="L4102" s="261"/>
      <c r="M4102" s="261"/>
    </row>
    <row r="4103" spans="5:13">
      <c r="E4103" s="261"/>
      <c r="F4103" s="261"/>
      <c r="G4103" s="261"/>
      <c r="H4103" s="261"/>
      <c r="I4103" s="261"/>
      <c r="J4103" s="261"/>
      <c r="K4103" s="261"/>
      <c r="L4103" s="261"/>
      <c r="M4103" s="261"/>
    </row>
    <row r="4104" spans="5:13">
      <c r="E4104" s="261"/>
      <c r="F4104" s="261"/>
      <c r="G4104" s="261"/>
      <c r="H4104" s="261"/>
      <c r="I4104" s="261"/>
      <c r="J4104" s="261"/>
      <c r="K4104" s="261"/>
      <c r="L4104" s="261"/>
      <c r="M4104" s="261"/>
    </row>
    <row r="4105" spans="5:13">
      <c r="E4105" s="261"/>
      <c r="F4105" s="261"/>
      <c r="G4105" s="261"/>
      <c r="H4105" s="261"/>
      <c r="I4105" s="261"/>
      <c r="J4105" s="261"/>
      <c r="K4105" s="261"/>
      <c r="L4105" s="261"/>
      <c r="M4105" s="261"/>
    </row>
    <row r="4106" spans="5:13">
      <c r="E4106" s="261"/>
      <c r="F4106" s="261"/>
      <c r="G4106" s="261"/>
      <c r="H4106" s="261"/>
      <c r="I4106" s="261"/>
      <c r="J4106" s="261"/>
      <c r="K4106" s="261"/>
      <c r="L4106" s="261"/>
      <c r="M4106" s="261"/>
    </row>
    <row r="4107" spans="5:13">
      <c r="E4107" s="261"/>
      <c r="F4107" s="261"/>
      <c r="G4107" s="261"/>
      <c r="H4107" s="261"/>
      <c r="I4107" s="261"/>
      <c r="J4107" s="261"/>
      <c r="K4107" s="261"/>
      <c r="L4107" s="261"/>
      <c r="M4107" s="261"/>
    </row>
    <row r="4108" spans="5:13">
      <c r="E4108" s="261"/>
      <c r="F4108" s="261"/>
      <c r="G4108" s="261"/>
      <c r="H4108" s="261"/>
      <c r="I4108" s="261"/>
      <c r="J4108" s="261"/>
      <c r="K4108" s="261"/>
      <c r="L4108" s="261"/>
      <c r="M4108" s="261"/>
    </row>
    <row r="4109" spans="5:13">
      <c r="E4109" s="261"/>
      <c r="F4109" s="261"/>
      <c r="G4109" s="261"/>
      <c r="H4109" s="261"/>
      <c r="I4109" s="261"/>
      <c r="J4109" s="261"/>
      <c r="K4109" s="261"/>
      <c r="L4109" s="261"/>
      <c r="M4109" s="261"/>
    </row>
    <row r="4110" spans="5:13">
      <c r="E4110" s="261"/>
      <c r="F4110" s="261"/>
      <c r="G4110" s="261"/>
      <c r="H4110" s="261"/>
      <c r="I4110" s="261"/>
      <c r="J4110" s="261"/>
      <c r="K4110" s="261"/>
      <c r="L4110" s="261"/>
      <c r="M4110" s="261"/>
    </row>
    <row r="4111" spans="5:13">
      <c r="E4111" s="261"/>
      <c r="F4111" s="261"/>
      <c r="G4111" s="261"/>
      <c r="H4111" s="261"/>
      <c r="I4111" s="261"/>
      <c r="J4111" s="261"/>
      <c r="K4111" s="261"/>
      <c r="L4111" s="261"/>
      <c r="M4111" s="261"/>
    </row>
    <row r="4112" spans="5:13">
      <c r="E4112" s="261"/>
      <c r="F4112" s="261"/>
      <c r="G4112" s="261"/>
      <c r="H4112" s="261"/>
      <c r="I4112" s="261"/>
      <c r="J4112" s="261"/>
      <c r="K4112" s="261"/>
      <c r="L4112" s="261"/>
      <c r="M4112" s="261"/>
    </row>
    <row r="4113" spans="5:13">
      <c r="E4113" s="261"/>
      <c r="F4113" s="261"/>
      <c r="G4113" s="261"/>
      <c r="H4113" s="261"/>
      <c r="I4113" s="261"/>
      <c r="J4113" s="261"/>
      <c r="K4113" s="261"/>
      <c r="L4113" s="261"/>
      <c r="M4113" s="261"/>
    </row>
    <row r="4114" spans="5:13">
      <c r="E4114" s="261"/>
      <c r="F4114" s="261"/>
      <c r="G4114" s="261"/>
      <c r="H4114" s="261"/>
      <c r="I4114" s="261"/>
      <c r="J4114" s="261"/>
      <c r="K4114" s="261"/>
      <c r="L4114" s="261"/>
      <c r="M4114" s="261"/>
    </row>
    <row r="4115" spans="5:13">
      <c r="E4115" s="261"/>
      <c r="F4115" s="261"/>
      <c r="G4115" s="261"/>
      <c r="H4115" s="261"/>
      <c r="I4115" s="261"/>
      <c r="J4115" s="261"/>
      <c r="K4115" s="261"/>
      <c r="L4115" s="261"/>
      <c r="M4115" s="261"/>
    </row>
    <row r="4116" spans="5:13">
      <c r="E4116" s="261"/>
      <c r="F4116" s="261"/>
      <c r="G4116" s="261"/>
      <c r="H4116" s="261"/>
      <c r="I4116" s="261"/>
      <c r="J4116" s="261"/>
      <c r="K4116" s="261"/>
      <c r="L4116" s="261"/>
      <c r="M4116" s="261"/>
    </row>
    <row r="4117" spans="5:13">
      <c r="E4117" s="261"/>
      <c r="F4117" s="261"/>
      <c r="G4117" s="261"/>
      <c r="H4117" s="261"/>
      <c r="I4117" s="261"/>
      <c r="J4117" s="261"/>
      <c r="K4117" s="261"/>
      <c r="L4117" s="261"/>
      <c r="M4117" s="261"/>
    </row>
    <row r="4118" spans="5:13">
      <c r="E4118" s="261"/>
      <c r="F4118" s="261"/>
      <c r="G4118" s="261"/>
      <c r="H4118" s="261"/>
      <c r="I4118" s="261"/>
      <c r="J4118" s="261"/>
      <c r="K4118" s="261"/>
      <c r="L4118" s="261"/>
      <c r="M4118" s="261"/>
    </row>
    <row r="4119" spans="5:13">
      <c r="E4119" s="261"/>
      <c r="F4119" s="261"/>
      <c r="G4119" s="261"/>
      <c r="H4119" s="261"/>
      <c r="I4119" s="261"/>
      <c r="J4119" s="261"/>
      <c r="K4119" s="261"/>
      <c r="L4119" s="261"/>
      <c r="M4119" s="261"/>
    </row>
    <row r="4120" spans="5:13">
      <c r="E4120" s="261"/>
      <c r="F4120" s="261"/>
      <c r="G4120" s="261"/>
      <c r="H4120" s="261"/>
      <c r="I4120" s="261"/>
      <c r="J4120" s="261"/>
      <c r="K4120" s="261"/>
      <c r="L4120" s="261"/>
      <c r="M4120" s="261"/>
    </row>
    <row r="4121" spans="5:13">
      <c r="E4121" s="261"/>
      <c r="F4121" s="261"/>
      <c r="G4121" s="261"/>
      <c r="H4121" s="261"/>
      <c r="I4121" s="261"/>
      <c r="J4121" s="261"/>
      <c r="K4121" s="261"/>
      <c r="L4121" s="261"/>
      <c r="M4121" s="261"/>
    </row>
    <row r="4122" spans="5:13">
      <c r="E4122" s="261"/>
      <c r="F4122" s="261"/>
      <c r="G4122" s="261"/>
      <c r="H4122" s="261"/>
      <c r="I4122" s="261"/>
      <c r="J4122" s="261"/>
      <c r="K4122" s="261"/>
      <c r="L4122" s="261"/>
      <c r="M4122" s="261"/>
    </row>
    <row r="4123" spans="5:13">
      <c r="E4123" s="261"/>
      <c r="F4123" s="261"/>
      <c r="G4123" s="261"/>
      <c r="H4123" s="261"/>
      <c r="I4123" s="261"/>
      <c r="J4123" s="261"/>
      <c r="K4123" s="261"/>
      <c r="L4123" s="261"/>
      <c r="M4123" s="261"/>
    </row>
    <row r="4124" spans="5:13">
      <c r="E4124" s="261"/>
      <c r="F4124" s="261"/>
      <c r="G4124" s="261"/>
      <c r="H4124" s="261"/>
      <c r="I4124" s="261"/>
      <c r="J4124" s="261"/>
      <c r="K4124" s="261"/>
      <c r="L4124" s="261"/>
      <c r="M4124" s="261"/>
    </row>
    <row r="4125" spans="5:13">
      <c r="E4125" s="261"/>
      <c r="F4125" s="261"/>
      <c r="G4125" s="261"/>
      <c r="H4125" s="261"/>
      <c r="I4125" s="261"/>
      <c r="J4125" s="261"/>
      <c r="K4125" s="261"/>
      <c r="L4125" s="261"/>
      <c r="M4125" s="261"/>
    </row>
    <row r="4126" spans="5:13">
      <c r="E4126" s="261"/>
      <c r="F4126" s="261"/>
      <c r="G4126" s="261"/>
      <c r="H4126" s="261"/>
      <c r="I4126" s="261"/>
      <c r="J4126" s="261"/>
      <c r="K4126" s="261"/>
      <c r="L4126" s="261"/>
      <c r="M4126" s="261"/>
    </row>
    <row r="4127" spans="5:13">
      <c r="E4127" s="261"/>
      <c r="F4127" s="261"/>
      <c r="G4127" s="261"/>
      <c r="H4127" s="261"/>
      <c r="I4127" s="261"/>
      <c r="J4127" s="261"/>
      <c r="K4127" s="261"/>
      <c r="L4127" s="261"/>
      <c r="M4127" s="261"/>
    </row>
    <row r="4128" spans="5:13">
      <c r="E4128" s="261"/>
      <c r="F4128" s="261"/>
      <c r="G4128" s="261"/>
      <c r="H4128" s="261"/>
      <c r="I4128" s="261"/>
      <c r="J4128" s="261"/>
      <c r="K4128" s="261"/>
      <c r="L4128" s="261"/>
      <c r="M4128" s="261"/>
    </row>
    <row r="4129" spans="5:13">
      <c r="E4129" s="261"/>
      <c r="F4129" s="261"/>
      <c r="G4129" s="261"/>
      <c r="H4129" s="261"/>
      <c r="I4129" s="261"/>
      <c r="J4129" s="261"/>
      <c r="K4129" s="261"/>
      <c r="L4129" s="261"/>
      <c r="M4129" s="261"/>
    </row>
    <row r="4130" spans="5:13">
      <c r="E4130" s="261"/>
      <c r="F4130" s="261"/>
      <c r="G4130" s="261"/>
      <c r="H4130" s="261"/>
      <c r="I4130" s="261"/>
      <c r="J4130" s="261"/>
      <c r="K4130" s="261"/>
      <c r="L4130" s="261"/>
      <c r="M4130" s="261"/>
    </row>
    <row r="4131" spans="5:13">
      <c r="E4131" s="261"/>
      <c r="F4131" s="261"/>
      <c r="G4131" s="261"/>
      <c r="H4131" s="261"/>
      <c r="I4131" s="261"/>
      <c r="J4131" s="261"/>
      <c r="K4131" s="261"/>
      <c r="L4131" s="261"/>
      <c r="M4131" s="261"/>
    </row>
    <row r="4132" spans="5:13">
      <c r="E4132" s="261"/>
      <c r="F4132" s="261"/>
      <c r="G4132" s="261"/>
      <c r="H4132" s="261"/>
      <c r="I4132" s="261"/>
      <c r="J4132" s="261"/>
      <c r="K4132" s="261"/>
      <c r="L4132" s="261"/>
      <c r="M4132" s="261"/>
    </row>
    <row r="4133" spans="5:13">
      <c r="E4133" s="261"/>
      <c r="F4133" s="261"/>
      <c r="G4133" s="261"/>
      <c r="H4133" s="261"/>
      <c r="I4133" s="261"/>
      <c r="J4133" s="261"/>
      <c r="K4133" s="261"/>
      <c r="L4133" s="261"/>
      <c r="M4133" s="261"/>
    </row>
    <row r="4134" spans="5:13">
      <c r="E4134" s="261"/>
      <c r="F4134" s="261"/>
      <c r="G4134" s="261"/>
      <c r="H4134" s="261"/>
      <c r="I4134" s="261"/>
      <c r="J4134" s="261"/>
      <c r="K4134" s="261"/>
      <c r="L4134" s="261"/>
      <c r="M4134" s="261"/>
    </row>
    <row r="4135" spans="5:13">
      <c r="E4135" s="261"/>
      <c r="F4135" s="261"/>
      <c r="G4135" s="261"/>
      <c r="H4135" s="261"/>
      <c r="I4135" s="261"/>
      <c r="J4135" s="261"/>
      <c r="K4135" s="261"/>
      <c r="L4135" s="261"/>
      <c r="M4135" s="261"/>
    </row>
    <row r="4136" spans="5:13">
      <c r="E4136" s="261"/>
      <c r="F4136" s="261"/>
      <c r="G4136" s="261"/>
      <c r="H4136" s="261"/>
      <c r="I4136" s="261"/>
      <c r="J4136" s="261"/>
      <c r="K4136" s="261"/>
      <c r="L4136" s="261"/>
      <c r="M4136" s="261"/>
    </row>
    <row r="4137" spans="5:13">
      <c r="E4137" s="261"/>
      <c r="F4137" s="261"/>
      <c r="G4137" s="261"/>
      <c r="H4137" s="261"/>
      <c r="I4137" s="261"/>
      <c r="J4137" s="261"/>
      <c r="K4137" s="261"/>
      <c r="L4137" s="261"/>
      <c r="M4137" s="261"/>
    </row>
    <row r="4138" spans="5:13">
      <c r="E4138" s="261"/>
      <c r="F4138" s="261"/>
      <c r="G4138" s="261"/>
      <c r="H4138" s="261"/>
      <c r="I4138" s="261"/>
      <c r="J4138" s="261"/>
      <c r="K4138" s="261"/>
      <c r="L4138" s="261"/>
      <c r="M4138" s="261"/>
    </row>
    <row r="4139" spans="5:13">
      <c r="E4139" s="261"/>
      <c r="F4139" s="261"/>
      <c r="G4139" s="261"/>
      <c r="H4139" s="261"/>
      <c r="I4139" s="261"/>
      <c r="J4139" s="261"/>
      <c r="K4139" s="261"/>
      <c r="L4139" s="261"/>
      <c r="M4139" s="261"/>
    </row>
    <row r="4140" spans="5:13">
      <c r="E4140" s="261"/>
      <c r="F4140" s="261"/>
      <c r="G4140" s="261"/>
      <c r="H4140" s="261"/>
      <c r="I4140" s="261"/>
      <c r="J4140" s="261"/>
      <c r="K4140" s="261"/>
      <c r="L4140" s="261"/>
      <c r="M4140" s="261"/>
    </row>
    <row r="4141" spans="5:13">
      <c r="E4141" s="261"/>
      <c r="F4141" s="261"/>
      <c r="G4141" s="261"/>
      <c r="H4141" s="261"/>
      <c r="I4141" s="261"/>
      <c r="J4141" s="261"/>
      <c r="K4141" s="261"/>
      <c r="L4141" s="261"/>
      <c r="M4141" s="261"/>
    </row>
    <row r="4142" spans="5:13">
      <c r="E4142" s="261"/>
      <c r="F4142" s="261"/>
      <c r="G4142" s="261"/>
      <c r="H4142" s="261"/>
      <c r="I4142" s="261"/>
      <c r="J4142" s="261"/>
      <c r="K4142" s="261"/>
      <c r="L4142" s="261"/>
      <c r="M4142" s="261"/>
    </row>
    <row r="4143" spans="5:13">
      <c r="E4143" s="261"/>
      <c r="F4143" s="261"/>
      <c r="G4143" s="261"/>
      <c r="H4143" s="261"/>
      <c r="I4143" s="261"/>
      <c r="J4143" s="261"/>
      <c r="K4143" s="261"/>
      <c r="L4143" s="261"/>
      <c r="M4143" s="261"/>
    </row>
    <row r="4144" spans="5:13">
      <c r="E4144" s="261"/>
      <c r="F4144" s="261"/>
      <c r="G4144" s="261"/>
      <c r="H4144" s="261"/>
      <c r="I4144" s="261"/>
      <c r="J4144" s="261"/>
      <c r="K4144" s="261"/>
      <c r="L4144" s="261"/>
      <c r="M4144" s="261"/>
    </row>
    <row r="4145" spans="5:13">
      <c r="E4145" s="261"/>
      <c r="F4145" s="261"/>
      <c r="G4145" s="261"/>
      <c r="H4145" s="261"/>
      <c r="I4145" s="261"/>
      <c r="J4145" s="261"/>
      <c r="K4145" s="261"/>
      <c r="L4145" s="261"/>
      <c r="M4145" s="261"/>
    </row>
    <row r="4146" spans="5:13">
      <c r="E4146" s="261"/>
      <c r="F4146" s="261"/>
      <c r="G4146" s="261"/>
      <c r="H4146" s="261"/>
      <c r="I4146" s="261"/>
      <c r="J4146" s="261"/>
      <c r="K4146" s="261"/>
      <c r="L4146" s="261"/>
      <c r="M4146" s="261"/>
    </row>
    <row r="4147" spans="5:13">
      <c r="E4147" s="261"/>
      <c r="F4147" s="261"/>
      <c r="G4147" s="261"/>
      <c r="H4147" s="261"/>
      <c r="I4147" s="261"/>
      <c r="J4147" s="261"/>
      <c r="K4147" s="261"/>
      <c r="L4147" s="261"/>
      <c r="M4147" s="261"/>
    </row>
    <row r="4148" spans="5:13">
      <c r="E4148" s="261"/>
      <c r="F4148" s="261"/>
      <c r="G4148" s="261"/>
      <c r="H4148" s="261"/>
      <c r="I4148" s="261"/>
      <c r="J4148" s="261"/>
      <c r="K4148" s="261"/>
      <c r="L4148" s="261"/>
      <c r="M4148" s="261"/>
    </row>
    <row r="4149" spans="5:13">
      <c r="E4149" s="261"/>
      <c r="F4149" s="261"/>
      <c r="G4149" s="261"/>
      <c r="H4149" s="261"/>
      <c r="I4149" s="261"/>
      <c r="J4149" s="261"/>
      <c r="K4149" s="261"/>
      <c r="L4149" s="261"/>
      <c r="M4149" s="261"/>
    </row>
    <row r="4150" spans="5:13">
      <c r="E4150" s="261"/>
      <c r="F4150" s="261"/>
      <c r="G4150" s="261"/>
      <c r="H4150" s="261"/>
      <c r="I4150" s="261"/>
      <c r="J4150" s="261"/>
      <c r="K4150" s="261"/>
      <c r="L4150" s="261"/>
      <c r="M4150" s="261"/>
    </row>
    <row r="4151" spans="5:13">
      <c r="E4151" s="261"/>
      <c r="F4151" s="261"/>
      <c r="G4151" s="261"/>
      <c r="H4151" s="261"/>
      <c r="I4151" s="261"/>
      <c r="J4151" s="261"/>
      <c r="K4151" s="261"/>
      <c r="L4151" s="261"/>
      <c r="M4151" s="261"/>
    </row>
    <row r="4152" spans="5:13">
      <c r="E4152" s="261"/>
      <c r="F4152" s="261"/>
      <c r="G4152" s="261"/>
      <c r="H4152" s="261"/>
      <c r="I4152" s="261"/>
      <c r="J4152" s="261"/>
      <c r="K4152" s="261"/>
      <c r="L4152" s="261"/>
      <c r="M4152" s="261"/>
    </row>
    <row r="4153" spans="5:13">
      <c r="E4153" s="261"/>
      <c r="F4153" s="261"/>
      <c r="G4153" s="261"/>
      <c r="H4153" s="261"/>
      <c r="I4153" s="261"/>
      <c r="J4153" s="261"/>
      <c r="K4153" s="261"/>
      <c r="L4153" s="261"/>
      <c r="M4153" s="261"/>
    </row>
    <row r="4154" spans="5:13">
      <c r="E4154" s="261"/>
      <c r="F4154" s="261"/>
      <c r="G4154" s="261"/>
      <c r="H4154" s="261"/>
      <c r="I4154" s="261"/>
      <c r="J4154" s="261"/>
      <c r="K4154" s="261"/>
      <c r="L4154" s="261"/>
      <c r="M4154" s="261"/>
    </row>
    <row r="4155" spans="5:13">
      <c r="E4155" s="261"/>
      <c r="F4155" s="261"/>
      <c r="G4155" s="261"/>
      <c r="H4155" s="261"/>
      <c r="I4155" s="261"/>
      <c r="J4155" s="261"/>
      <c r="K4155" s="261"/>
      <c r="L4155" s="261"/>
      <c r="M4155" s="261"/>
    </row>
    <row r="4156" spans="5:13">
      <c r="E4156" s="261"/>
      <c r="F4156" s="261"/>
      <c r="G4156" s="261"/>
      <c r="H4156" s="261"/>
      <c r="I4156" s="261"/>
      <c r="J4156" s="261"/>
      <c r="K4156" s="261"/>
      <c r="L4156" s="261"/>
      <c r="M4156" s="261"/>
    </row>
    <row r="4157" spans="5:13">
      <c r="E4157" s="261"/>
      <c r="F4157" s="261"/>
      <c r="G4157" s="261"/>
      <c r="H4157" s="261"/>
      <c r="I4157" s="261"/>
      <c r="J4157" s="261"/>
      <c r="K4157" s="261"/>
      <c r="L4157" s="261"/>
      <c r="M4157" s="261"/>
    </row>
    <row r="4158" spans="5:13">
      <c r="E4158" s="261"/>
      <c r="F4158" s="261"/>
      <c r="G4158" s="261"/>
      <c r="H4158" s="261"/>
      <c r="I4158" s="261"/>
      <c r="J4158" s="261"/>
      <c r="K4158" s="261"/>
      <c r="L4158" s="261"/>
      <c r="M4158" s="261"/>
    </row>
    <row r="4159" spans="5:13">
      <c r="E4159" s="261"/>
      <c r="F4159" s="261"/>
      <c r="G4159" s="261"/>
      <c r="H4159" s="261"/>
      <c r="I4159" s="261"/>
      <c r="J4159" s="261"/>
      <c r="K4159" s="261"/>
      <c r="L4159" s="261"/>
      <c r="M4159" s="261"/>
    </row>
    <row r="4160" spans="5:13">
      <c r="E4160" s="261"/>
      <c r="F4160" s="261"/>
      <c r="G4160" s="261"/>
      <c r="H4160" s="261"/>
      <c r="I4160" s="261"/>
      <c r="J4160" s="261"/>
      <c r="K4160" s="261"/>
      <c r="L4160" s="261"/>
      <c r="M4160" s="261"/>
    </row>
    <row r="4161" spans="5:13">
      <c r="E4161" s="261"/>
      <c r="F4161" s="261"/>
      <c r="G4161" s="261"/>
      <c r="H4161" s="261"/>
      <c r="I4161" s="261"/>
      <c r="J4161" s="261"/>
      <c r="K4161" s="261"/>
      <c r="L4161" s="261"/>
      <c r="M4161" s="261"/>
    </row>
    <row r="4162" spans="5:13">
      <c r="E4162" s="261"/>
      <c r="F4162" s="261"/>
      <c r="G4162" s="261"/>
      <c r="H4162" s="261"/>
      <c r="I4162" s="261"/>
      <c r="J4162" s="261"/>
      <c r="K4162" s="261"/>
      <c r="L4162" s="261"/>
      <c r="M4162" s="261"/>
    </row>
    <row r="4163" spans="5:13">
      <c r="E4163" s="261"/>
      <c r="F4163" s="261"/>
      <c r="G4163" s="261"/>
      <c r="H4163" s="261"/>
      <c r="I4163" s="261"/>
      <c r="J4163" s="261"/>
      <c r="K4163" s="261"/>
      <c r="L4163" s="261"/>
      <c r="M4163" s="261"/>
    </row>
    <row r="4164" spans="5:13">
      <c r="E4164" s="261"/>
      <c r="F4164" s="261"/>
      <c r="G4164" s="261"/>
      <c r="H4164" s="261"/>
      <c r="I4164" s="261"/>
      <c r="J4164" s="261"/>
      <c r="K4164" s="261"/>
      <c r="L4164" s="261"/>
      <c r="M4164" s="261"/>
    </row>
    <row r="4165" spans="5:13">
      <c r="E4165" s="261"/>
      <c r="F4165" s="261"/>
      <c r="G4165" s="261"/>
      <c r="H4165" s="261"/>
      <c r="I4165" s="261"/>
      <c r="J4165" s="261"/>
      <c r="K4165" s="261"/>
      <c r="L4165" s="261"/>
      <c r="M4165" s="261"/>
    </row>
    <row r="4166" spans="5:13">
      <c r="E4166" s="261"/>
      <c r="F4166" s="261"/>
      <c r="G4166" s="261"/>
      <c r="H4166" s="261"/>
      <c r="I4166" s="261"/>
      <c r="J4166" s="261"/>
      <c r="K4166" s="261"/>
      <c r="L4166" s="261"/>
      <c r="M4166" s="261"/>
    </row>
    <row r="4167" spans="5:13">
      <c r="E4167" s="261"/>
      <c r="F4167" s="261"/>
      <c r="G4167" s="261"/>
      <c r="H4167" s="261"/>
      <c r="I4167" s="261"/>
      <c r="J4167" s="261"/>
      <c r="K4167" s="261"/>
      <c r="L4167" s="261"/>
      <c r="M4167" s="261"/>
    </row>
    <row r="4168" spans="5:13">
      <c r="E4168" s="261"/>
      <c r="F4168" s="261"/>
      <c r="G4168" s="261"/>
      <c r="H4168" s="261"/>
      <c r="I4168" s="261"/>
      <c r="J4168" s="261"/>
      <c r="K4168" s="261"/>
      <c r="L4168" s="261"/>
      <c r="M4168" s="261"/>
    </row>
    <row r="4169" spans="5:13">
      <c r="E4169" s="261"/>
      <c r="F4169" s="261"/>
      <c r="G4169" s="261"/>
      <c r="H4169" s="261"/>
      <c r="I4169" s="261"/>
      <c r="J4169" s="261"/>
      <c r="K4169" s="261"/>
      <c r="L4169" s="261"/>
      <c r="M4169" s="261"/>
    </row>
    <row r="4170" spans="5:13">
      <c r="E4170" s="261"/>
      <c r="F4170" s="261"/>
      <c r="G4170" s="261"/>
      <c r="H4170" s="261"/>
      <c r="I4170" s="261"/>
      <c r="J4170" s="261"/>
      <c r="K4170" s="261"/>
      <c r="L4170" s="261"/>
      <c r="M4170" s="261"/>
    </row>
    <row r="4171" spans="5:13">
      <c r="E4171" s="261"/>
      <c r="F4171" s="261"/>
      <c r="G4171" s="261"/>
      <c r="H4171" s="261"/>
      <c r="I4171" s="261"/>
      <c r="J4171" s="261"/>
      <c r="K4171" s="261"/>
      <c r="L4171" s="261"/>
      <c r="M4171" s="261"/>
    </row>
    <row r="4172" spans="5:13">
      <c r="E4172" s="261"/>
      <c r="F4172" s="261"/>
      <c r="G4172" s="261"/>
      <c r="H4172" s="261"/>
      <c r="I4172" s="261"/>
      <c r="J4172" s="261"/>
      <c r="K4172" s="261"/>
      <c r="L4172" s="261"/>
      <c r="M4172" s="261"/>
    </row>
    <row r="4173" spans="5:13">
      <c r="E4173" s="261"/>
      <c r="F4173" s="261"/>
      <c r="G4173" s="261"/>
      <c r="H4173" s="261"/>
      <c r="I4173" s="261"/>
      <c r="J4173" s="261"/>
      <c r="K4173" s="261"/>
      <c r="L4173" s="261"/>
      <c r="M4173" s="261"/>
    </row>
    <row r="4174" spans="5:13">
      <c r="E4174" s="261"/>
      <c r="F4174" s="261"/>
      <c r="G4174" s="261"/>
      <c r="H4174" s="261"/>
      <c r="I4174" s="261"/>
      <c r="J4174" s="261"/>
      <c r="K4174" s="261"/>
      <c r="L4174" s="261"/>
      <c r="M4174" s="261"/>
    </row>
    <row r="4175" spans="5:13">
      <c r="E4175" s="261"/>
      <c r="F4175" s="261"/>
      <c r="G4175" s="261"/>
      <c r="H4175" s="261"/>
      <c r="I4175" s="261"/>
      <c r="J4175" s="261"/>
      <c r="K4175" s="261"/>
      <c r="L4175" s="261"/>
      <c r="M4175" s="261"/>
    </row>
    <row r="4176" spans="5:13">
      <c r="E4176" s="261"/>
      <c r="F4176" s="261"/>
      <c r="G4176" s="261"/>
      <c r="H4176" s="261"/>
      <c r="I4176" s="261"/>
      <c r="J4176" s="261"/>
      <c r="K4176" s="261"/>
      <c r="L4176" s="261"/>
      <c r="M4176" s="261"/>
    </row>
    <row r="4177" spans="5:13">
      <c r="E4177" s="261"/>
      <c r="F4177" s="261"/>
      <c r="G4177" s="261"/>
      <c r="H4177" s="261"/>
      <c r="I4177" s="261"/>
      <c r="J4177" s="261"/>
      <c r="K4177" s="261"/>
      <c r="L4177" s="261"/>
      <c r="M4177" s="261"/>
    </row>
    <row r="4178" spans="5:13">
      <c r="E4178" s="261"/>
      <c r="F4178" s="261"/>
      <c r="G4178" s="261"/>
      <c r="H4178" s="261"/>
      <c r="I4178" s="261"/>
      <c r="J4178" s="261"/>
      <c r="K4178" s="261"/>
      <c r="L4178" s="261"/>
      <c r="M4178" s="261"/>
    </row>
    <row r="4179" spans="5:13">
      <c r="E4179" s="261"/>
      <c r="F4179" s="261"/>
      <c r="G4179" s="261"/>
      <c r="H4179" s="261"/>
      <c r="I4179" s="261"/>
      <c r="J4179" s="261"/>
      <c r="K4179" s="261"/>
      <c r="L4179" s="261"/>
      <c r="M4179" s="261"/>
    </row>
    <row r="4180" spans="5:13">
      <c r="E4180" s="261"/>
      <c r="F4180" s="261"/>
      <c r="G4180" s="261"/>
      <c r="H4180" s="261"/>
      <c r="I4180" s="261"/>
      <c r="J4180" s="261"/>
      <c r="K4180" s="261"/>
      <c r="L4180" s="261"/>
      <c r="M4180" s="261"/>
    </row>
    <row r="4181" spans="5:13">
      <c r="E4181" s="261"/>
      <c r="F4181" s="261"/>
      <c r="G4181" s="261"/>
      <c r="H4181" s="261"/>
      <c r="I4181" s="261"/>
      <c r="J4181" s="261"/>
      <c r="K4181" s="261"/>
      <c r="L4181" s="261"/>
      <c r="M4181" s="261"/>
    </row>
    <row r="4182" spans="5:13">
      <c r="E4182" s="261"/>
      <c r="F4182" s="261"/>
      <c r="G4182" s="261"/>
      <c r="H4182" s="261"/>
      <c r="I4182" s="261"/>
      <c r="J4182" s="261"/>
      <c r="K4182" s="261"/>
      <c r="L4182" s="261"/>
      <c r="M4182" s="261"/>
    </row>
    <row r="4183" spans="5:13">
      <c r="E4183" s="261"/>
      <c r="F4183" s="261"/>
      <c r="G4183" s="261"/>
      <c r="H4183" s="261"/>
      <c r="I4183" s="261"/>
      <c r="J4183" s="261"/>
      <c r="K4183" s="261"/>
      <c r="L4183" s="261"/>
      <c r="M4183" s="261"/>
    </row>
    <row r="4184" spans="5:13">
      <c r="E4184" s="261"/>
      <c r="F4184" s="261"/>
      <c r="G4184" s="261"/>
      <c r="H4184" s="261"/>
      <c r="I4184" s="261"/>
      <c r="J4184" s="261"/>
      <c r="K4184" s="261"/>
      <c r="L4184" s="261"/>
      <c r="M4184" s="261"/>
    </row>
    <row r="4185" spans="5:13">
      <c r="E4185" s="261"/>
      <c r="F4185" s="261"/>
      <c r="G4185" s="261"/>
      <c r="H4185" s="261"/>
      <c r="I4185" s="261"/>
      <c r="J4185" s="261"/>
      <c r="K4185" s="261"/>
      <c r="L4185" s="261"/>
      <c r="M4185" s="261"/>
    </row>
    <row r="4186" spans="5:13">
      <c r="E4186" s="261"/>
      <c r="F4186" s="261"/>
      <c r="G4186" s="261"/>
      <c r="H4186" s="261"/>
      <c r="I4186" s="261"/>
      <c r="J4186" s="261"/>
      <c r="K4186" s="261"/>
      <c r="L4186" s="261"/>
      <c r="M4186" s="261"/>
    </row>
    <row r="4187" spans="5:13">
      <c r="E4187" s="261"/>
      <c r="F4187" s="261"/>
      <c r="G4187" s="261"/>
      <c r="H4187" s="261"/>
      <c r="I4187" s="261"/>
      <c r="J4187" s="261"/>
      <c r="K4187" s="261"/>
      <c r="L4187" s="261"/>
      <c r="M4187" s="261"/>
    </row>
    <row r="4188" spans="5:13">
      <c r="E4188" s="261"/>
      <c r="F4188" s="261"/>
      <c r="G4188" s="261"/>
      <c r="H4188" s="261"/>
      <c r="I4188" s="261"/>
      <c r="J4188" s="261"/>
      <c r="K4188" s="261"/>
      <c r="L4188" s="261"/>
      <c r="M4188" s="261"/>
    </row>
    <row r="4189" spans="5:13">
      <c r="E4189" s="261"/>
      <c r="F4189" s="261"/>
      <c r="G4189" s="261"/>
      <c r="H4189" s="261"/>
      <c r="I4189" s="261"/>
      <c r="J4189" s="261"/>
      <c r="K4189" s="261"/>
      <c r="L4189" s="261"/>
      <c r="M4189" s="261"/>
    </row>
    <row r="4190" spans="5:13">
      <c r="E4190" s="261"/>
      <c r="F4190" s="261"/>
      <c r="G4190" s="261"/>
      <c r="H4190" s="261"/>
      <c r="I4190" s="261"/>
      <c r="J4190" s="261"/>
      <c r="K4190" s="261"/>
      <c r="L4190" s="261"/>
      <c r="M4190" s="261"/>
    </row>
    <row r="4191" spans="5:13">
      <c r="E4191" s="261"/>
      <c r="F4191" s="261"/>
      <c r="G4191" s="261"/>
      <c r="H4191" s="261"/>
      <c r="I4191" s="261"/>
      <c r="J4191" s="261"/>
      <c r="K4191" s="261"/>
      <c r="L4191" s="261"/>
      <c r="M4191" s="261"/>
    </row>
    <row r="4192" spans="5:13">
      <c r="E4192" s="261"/>
      <c r="F4192" s="261"/>
      <c r="G4192" s="261"/>
      <c r="H4192" s="261"/>
      <c r="I4192" s="261"/>
      <c r="J4192" s="261"/>
      <c r="K4192" s="261"/>
      <c r="L4192" s="261"/>
      <c r="M4192" s="261"/>
    </row>
    <row r="4193" spans="5:13">
      <c r="E4193" s="261"/>
      <c r="F4193" s="261"/>
      <c r="G4193" s="261"/>
      <c r="H4193" s="261"/>
      <c r="I4193" s="261"/>
      <c r="J4193" s="261"/>
      <c r="K4193" s="261"/>
      <c r="L4193" s="261"/>
      <c r="M4193" s="261"/>
    </row>
    <row r="4194" spans="5:13">
      <c r="E4194" s="261"/>
      <c r="F4194" s="261"/>
      <c r="G4194" s="261"/>
      <c r="H4194" s="261"/>
      <c r="I4194" s="261"/>
      <c r="J4194" s="261"/>
      <c r="K4194" s="261"/>
      <c r="L4194" s="261"/>
      <c r="M4194" s="261"/>
    </row>
    <row r="4195" spans="5:13">
      <c r="E4195" s="261"/>
      <c r="F4195" s="261"/>
      <c r="G4195" s="261"/>
      <c r="H4195" s="261"/>
      <c r="I4195" s="261"/>
      <c r="J4195" s="261"/>
      <c r="K4195" s="261"/>
      <c r="L4195" s="261"/>
      <c r="M4195" s="261"/>
    </row>
    <row r="4196" spans="5:13">
      <c r="E4196" s="261"/>
      <c r="F4196" s="261"/>
      <c r="G4196" s="261"/>
      <c r="H4196" s="261"/>
      <c r="I4196" s="261"/>
      <c r="J4196" s="261"/>
      <c r="K4196" s="261"/>
      <c r="L4196" s="261"/>
      <c r="M4196" s="261"/>
    </row>
    <row r="4197" spans="5:13">
      <c r="E4197" s="261"/>
      <c r="F4197" s="261"/>
      <c r="G4197" s="261"/>
      <c r="H4197" s="261"/>
      <c r="I4197" s="261"/>
      <c r="J4197" s="261"/>
      <c r="K4197" s="261"/>
      <c r="L4197" s="261"/>
      <c r="M4197" s="261"/>
    </row>
    <row r="4198" spans="5:13">
      <c r="E4198" s="261"/>
      <c r="F4198" s="261"/>
      <c r="G4198" s="261"/>
      <c r="H4198" s="261"/>
      <c r="I4198" s="261"/>
      <c r="J4198" s="261"/>
      <c r="K4198" s="261"/>
      <c r="L4198" s="261"/>
      <c r="M4198" s="261"/>
    </row>
    <row r="4199" spans="5:13">
      <c r="E4199" s="261"/>
      <c r="F4199" s="261"/>
      <c r="G4199" s="261"/>
      <c r="H4199" s="261"/>
      <c r="I4199" s="261"/>
      <c r="J4199" s="261"/>
      <c r="K4199" s="261"/>
      <c r="L4199" s="261"/>
      <c r="M4199" s="261"/>
    </row>
    <row r="4200" spans="5:13">
      <c r="E4200" s="261"/>
      <c r="F4200" s="261"/>
      <c r="G4200" s="261"/>
      <c r="H4200" s="261"/>
      <c r="I4200" s="261"/>
      <c r="J4200" s="261"/>
      <c r="K4200" s="261"/>
      <c r="L4200" s="261"/>
      <c r="M4200" s="261"/>
    </row>
    <row r="4201" spans="5:13">
      <c r="E4201" s="261"/>
      <c r="F4201" s="261"/>
      <c r="G4201" s="261"/>
      <c r="H4201" s="261"/>
      <c r="I4201" s="261"/>
      <c r="J4201" s="261"/>
      <c r="K4201" s="261"/>
      <c r="L4201" s="261"/>
      <c r="M4201" s="261"/>
    </row>
    <row r="4202" spans="5:13">
      <c r="E4202" s="261"/>
      <c r="F4202" s="261"/>
      <c r="G4202" s="261"/>
      <c r="H4202" s="261"/>
      <c r="I4202" s="261"/>
      <c r="J4202" s="261"/>
      <c r="K4202" s="261"/>
      <c r="L4202" s="261"/>
      <c r="M4202" s="261"/>
    </row>
    <row r="4203" spans="5:13">
      <c r="E4203" s="261"/>
      <c r="F4203" s="261"/>
      <c r="G4203" s="261"/>
      <c r="H4203" s="261"/>
      <c r="I4203" s="261"/>
      <c r="J4203" s="261"/>
      <c r="K4203" s="261"/>
      <c r="L4203" s="261"/>
      <c r="M4203" s="261"/>
    </row>
    <row r="4204" spans="5:13">
      <c r="E4204" s="261"/>
      <c r="F4204" s="261"/>
      <c r="G4204" s="261"/>
      <c r="H4204" s="261"/>
      <c r="I4204" s="261"/>
      <c r="J4204" s="261"/>
      <c r="K4204" s="261"/>
      <c r="L4204" s="261"/>
      <c r="M4204" s="261"/>
    </row>
    <row r="4205" spans="5:13">
      <c r="E4205" s="261"/>
      <c r="F4205" s="261"/>
      <c r="G4205" s="261"/>
      <c r="H4205" s="261"/>
      <c r="I4205" s="261"/>
      <c r="J4205" s="261"/>
      <c r="K4205" s="261"/>
      <c r="L4205" s="261"/>
      <c r="M4205" s="261"/>
    </row>
    <row r="4206" spans="5:13">
      <c r="E4206" s="261"/>
      <c r="F4206" s="261"/>
      <c r="G4206" s="261"/>
      <c r="H4206" s="261"/>
      <c r="I4206" s="261"/>
      <c r="J4206" s="261"/>
      <c r="K4206" s="261"/>
      <c r="L4206" s="261"/>
      <c r="M4206" s="261"/>
    </row>
    <row r="4207" spans="5:13">
      <c r="E4207" s="261"/>
      <c r="F4207" s="261"/>
      <c r="G4207" s="261"/>
      <c r="H4207" s="261"/>
      <c r="I4207" s="261"/>
      <c r="J4207" s="261"/>
      <c r="K4207" s="261"/>
      <c r="L4207" s="261"/>
      <c r="M4207" s="261"/>
    </row>
    <row r="4208" spans="5:13">
      <c r="E4208" s="261"/>
      <c r="F4208" s="261"/>
      <c r="G4208" s="261"/>
      <c r="H4208" s="261"/>
      <c r="I4208" s="261"/>
      <c r="J4208" s="261"/>
      <c r="K4208" s="261"/>
      <c r="L4208" s="261"/>
      <c r="M4208" s="261"/>
    </row>
    <row r="4209" spans="5:13">
      <c r="E4209" s="261"/>
      <c r="F4209" s="261"/>
      <c r="G4209" s="261"/>
      <c r="H4209" s="261"/>
      <c r="I4209" s="261"/>
      <c r="J4209" s="261"/>
      <c r="K4209" s="261"/>
      <c r="L4209" s="261"/>
      <c r="M4209" s="261"/>
    </row>
    <row r="4210" spans="5:13">
      <c r="E4210" s="261"/>
      <c r="F4210" s="261"/>
      <c r="G4210" s="261"/>
      <c r="H4210" s="261"/>
      <c r="I4210" s="261"/>
      <c r="J4210" s="261"/>
      <c r="K4210" s="261"/>
      <c r="L4210" s="261"/>
      <c r="M4210" s="261"/>
    </row>
    <row r="4211" spans="5:13">
      <c r="E4211" s="261"/>
      <c r="F4211" s="261"/>
      <c r="G4211" s="261"/>
      <c r="H4211" s="261"/>
      <c r="I4211" s="261"/>
      <c r="J4211" s="261"/>
      <c r="K4211" s="261"/>
      <c r="L4211" s="261"/>
      <c r="M4211" s="261"/>
    </row>
    <row r="4212" spans="5:13">
      <c r="E4212" s="261"/>
      <c r="F4212" s="261"/>
      <c r="G4212" s="261"/>
      <c r="H4212" s="261"/>
      <c r="I4212" s="261"/>
      <c r="J4212" s="261"/>
      <c r="K4212" s="261"/>
      <c r="L4212" s="261"/>
      <c r="M4212" s="261"/>
    </row>
    <row r="4213" spans="5:13">
      <c r="E4213" s="261"/>
      <c r="F4213" s="261"/>
      <c r="G4213" s="261"/>
      <c r="H4213" s="261"/>
      <c r="I4213" s="261"/>
      <c r="J4213" s="261"/>
      <c r="K4213" s="261"/>
      <c r="L4213" s="261"/>
      <c r="M4213" s="261"/>
    </row>
    <row r="4214" spans="5:13">
      <c r="E4214" s="261"/>
      <c r="F4214" s="261"/>
      <c r="G4214" s="261"/>
      <c r="H4214" s="261"/>
      <c r="I4214" s="261"/>
      <c r="J4214" s="261"/>
      <c r="K4214" s="261"/>
      <c r="L4214" s="261"/>
      <c r="M4214" s="261"/>
    </row>
    <row r="4215" spans="5:13">
      <c r="E4215" s="261"/>
      <c r="F4215" s="261"/>
      <c r="G4215" s="261"/>
      <c r="H4215" s="261"/>
      <c r="I4215" s="261"/>
      <c r="J4215" s="261"/>
      <c r="K4215" s="261"/>
      <c r="L4215" s="261"/>
      <c r="M4215" s="261"/>
    </row>
    <row r="4216" spans="5:13">
      <c r="E4216" s="261"/>
      <c r="F4216" s="261"/>
      <c r="G4216" s="261"/>
      <c r="H4216" s="261"/>
      <c r="I4216" s="261"/>
      <c r="J4216" s="261"/>
      <c r="K4216" s="261"/>
      <c r="L4216" s="261"/>
      <c r="M4216" s="261"/>
    </row>
    <row r="4217" spans="5:13">
      <c r="E4217" s="261"/>
      <c r="F4217" s="261"/>
      <c r="G4217" s="261"/>
      <c r="H4217" s="261"/>
      <c r="I4217" s="261"/>
      <c r="J4217" s="261"/>
      <c r="K4217" s="261"/>
      <c r="L4217" s="261"/>
      <c r="M4217" s="261"/>
    </row>
    <row r="4218" spans="5:13">
      <c r="E4218" s="261"/>
      <c r="F4218" s="261"/>
      <c r="G4218" s="261"/>
      <c r="H4218" s="261"/>
      <c r="I4218" s="261"/>
      <c r="J4218" s="261"/>
      <c r="K4218" s="261"/>
      <c r="L4218" s="261"/>
      <c r="M4218" s="261"/>
    </row>
    <row r="4219" spans="5:13">
      <c r="E4219" s="261"/>
      <c r="F4219" s="261"/>
      <c r="G4219" s="261"/>
      <c r="H4219" s="261"/>
      <c r="I4219" s="261"/>
      <c r="J4219" s="261"/>
      <c r="K4219" s="261"/>
      <c r="L4219" s="261"/>
      <c r="M4219" s="261"/>
    </row>
    <row r="4220" spans="5:13">
      <c r="E4220" s="261"/>
      <c r="F4220" s="261"/>
      <c r="G4220" s="261"/>
      <c r="H4220" s="261"/>
      <c r="I4220" s="261"/>
      <c r="J4220" s="261"/>
      <c r="K4220" s="261"/>
      <c r="L4220" s="261"/>
      <c r="M4220" s="261"/>
    </row>
    <row r="4221" spans="5:13">
      <c r="E4221" s="261"/>
      <c r="F4221" s="261"/>
      <c r="G4221" s="261"/>
      <c r="H4221" s="261"/>
      <c r="I4221" s="261"/>
      <c r="J4221" s="261"/>
      <c r="K4221" s="261"/>
      <c r="L4221" s="261"/>
      <c r="M4221" s="261"/>
    </row>
    <row r="4222" spans="5:13">
      <c r="E4222" s="261"/>
      <c r="F4222" s="261"/>
      <c r="G4222" s="261"/>
      <c r="H4222" s="261"/>
      <c r="I4222" s="261"/>
      <c r="J4222" s="261"/>
      <c r="K4222" s="261"/>
      <c r="L4222" s="261"/>
      <c r="M4222" s="261"/>
    </row>
    <row r="4223" spans="5:13">
      <c r="E4223" s="261"/>
      <c r="F4223" s="261"/>
      <c r="G4223" s="261"/>
      <c r="H4223" s="261"/>
      <c r="I4223" s="261"/>
      <c r="J4223" s="261"/>
      <c r="K4223" s="261"/>
      <c r="L4223" s="261"/>
      <c r="M4223" s="261"/>
    </row>
    <row r="4224" spans="5:13">
      <c r="E4224" s="261"/>
      <c r="F4224" s="261"/>
      <c r="G4224" s="261"/>
      <c r="H4224" s="261"/>
      <c r="I4224" s="261"/>
      <c r="J4224" s="261"/>
      <c r="K4224" s="261"/>
      <c r="L4224" s="261"/>
      <c r="M4224" s="261"/>
    </row>
    <row r="4225" spans="5:13">
      <c r="E4225" s="261"/>
      <c r="F4225" s="261"/>
      <c r="G4225" s="261"/>
      <c r="H4225" s="261"/>
      <c r="I4225" s="261"/>
      <c r="J4225" s="261"/>
      <c r="K4225" s="261"/>
      <c r="L4225" s="261"/>
      <c r="M4225" s="261"/>
    </row>
    <row r="4226" spans="5:13">
      <c r="E4226" s="261"/>
      <c r="F4226" s="261"/>
      <c r="G4226" s="261"/>
      <c r="H4226" s="261"/>
      <c r="I4226" s="261"/>
      <c r="J4226" s="261"/>
      <c r="K4226" s="261"/>
      <c r="L4226" s="261"/>
      <c r="M4226" s="261"/>
    </row>
    <row r="4227" spans="5:13">
      <c r="E4227" s="261"/>
      <c r="F4227" s="261"/>
      <c r="G4227" s="261"/>
      <c r="H4227" s="261"/>
      <c r="I4227" s="261"/>
      <c r="J4227" s="261"/>
      <c r="K4227" s="261"/>
      <c r="L4227" s="261"/>
      <c r="M4227" s="261"/>
    </row>
    <row r="4228" spans="5:13">
      <c r="E4228" s="261"/>
      <c r="F4228" s="261"/>
      <c r="G4228" s="261"/>
      <c r="H4228" s="261"/>
      <c r="I4228" s="261"/>
      <c r="J4228" s="261"/>
      <c r="K4228" s="261"/>
      <c r="L4228" s="261"/>
      <c r="M4228" s="261"/>
    </row>
    <row r="4229" spans="5:13">
      <c r="E4229" s="261"/>
      <c r="F4229" s="261"/>
      <c r="G4229" s="261"/>
      <c r="H4229" s="261"/>
      <c r="I4229" s="261"/>
      <c r="J4229" s="261"/>
      <c r="K4229" s="261"/>
      <c r="L4229" s="261"/>
      <c r="M4229" s="261"/>
    </row>
    <row r="4230" spans="5:13">
      <c r="E4230" s="261"/>
      <c r="F4230" s="261"/>
      <c r="G4230" s="261"/>
      <c r="H4230" s="261"/>
      <c r="I4230" s="261"/>
      <c r="J4230" s="261"/>
      <c r="K4230" s="261"/>
      <c r="L4230" s="261"/>
      <c r="M4230" s="261"/>
    </row>
    <row r="4231" spans="5:13">
      <c r="E4231" s="261"/>
      <c r="F4231" s="261"/>
      <c r="G4231" s="261"/>
      <c r="H4231" s="261"/>
      <c r="I4231" s="261"/>
      <c r="J4231" s="261"/>
      <c r="K4231" s="261"/>
      <c r="L4231" s="261"/>
      <c r="M4231" s="261"/>
    </row>
    <row r="4232" spans="5:13">
      <c r="E4232" s="261"/>
      <c r="F4232" s="261"/>
      <c r="G4232" s="261"/>
      <c r="H4232" s="261"/>
      <c r="I4232" s="261"/>
      <c r="J4232" s="261"/>
      <c r="K4232" s="261"/>
      <c r="L4232" s="261"/>
      <c r="M4232" s="261"/>
    </row>
    <row r="4233" spans="5:13">
      <c r="E4233" s="261"/>
      <c r="F4233" s="261"/>
      <c r="G4233" s="261"/>
      <c r="H4233" s="261"/>
      <c r="I4233" s="261"/>
      <c r="J4233" s="261"/>
      <c r="K4233" s="261"/>
      <c r="L4233" s="261"/>
      <c r="M4233" s="261"/>
    </row>
    <row r="4234" spans="5:13">
      <c r="E4234" s="261"/>
      <c r="F4234" s="261"/>
      <c r="G4234" s="261"/>
      <c r="H4234" s="261"/>
      <c r="I4234" s="261"/>
      <c r="J4234" s="261"/>
      <c r="K4234" s="261"/>
      <c r="L4234" s="261"/>
      <c r="M4234" s="261"/>
    </row>
    <row r="4235" spans="5:13">
      <c r="E4235" s="261"/>
      <c r="F4235" s="261"/>
      <c r="G4235" s="261"/>
      <c r="H4235" s="261"/>
      <c r="I4235" s="261"/>
      <c r="J4235" s="261"/>
      <c r="K4235" s="261"/>
      <c r="L4235" s="261"/>
      <c r="M4235" s="261"/>
    </row>
    <row r="4236" spans="5:13">
      <c r="E4236" s="261"/>
      <c r="F4236" s="261"/>
      <c r="G4236" s="261"/>
      <c r="H4236" s="261"/>
      <c r="I4236" s="261"/>
      <c r="J4236" s="261"/>
      <c r="K4236" s="261"/>
      <c r="L4236" s="261"/>
      <c r="M4236" s="261"/>
    </row>
    <row r="4237" spans="5:13">
      <c r="E4237" s="261"/>
      <c r="F4237" s="261"/>
      <c r="G4237" s="261"/>
      <c r="H4237" s="261"/>
      <c r="I4237" s="261"/>
      <c r="J4237" s="261"/>
      <c r="K4237" s="261"/>
      <c r="L4237" s="261"/>
      <c r="M4237" s="261"/>
    </row>
    <row r="4238" spans="5:13">
      <c r="E4238" s="261"/>
      <c r="F4238" s="261"/>
      <c r="G4238" s="261"/>
      <c r="H4238" s="261"/>
      <c r="I4238" s="261"/>
      <c r="J4238" s="261"/>
      <c r="K4238" s="261"/>
      <c r="L4238" s="261"/>
      <c r="M4238" s="261"/>
    </row>
    <row r="4239" spans="5:13">
      <c r="E4239" s="261"/>
      <c r="F4239" s="261"/>
      <c r="G4239" s="261"/>
      <c r="H4239" s="261"/>
      <c r="I4239" s="261"/>
      <c r="J4239" s="261"/>
      <c r="K4239" s="261"/>
      <c r="L4239" s="261"/>
      <c r="M4239" s="261"/>
    </row>
    <row r="4240" spans="5:13">
      <c r="E4240" s="261"/>
      <c r="F4240" s="261"/>
      <c r="G4240" s="261"/>
      <c r="H4240" s="261"/>
      <c r="I4240" s="261"/>
      <c r="J4240" s="261"/>
      <c r="K4240" s="261"/>
      <c r="L4240" s="261"/>
      <c r="M4240" s="261"/>
    </row>
    <row r="4241" spans="5:13">
      <c r="E4241" s="261"/>
      <c r="F4241" s="261"/>
      <c r="G4241" s="261"/>
      <c r="H4241" s="261"/>
      <c r="I4241" s="261"/>
      <c r="J4241" s="261"/>
      <c r="K4241" s="261"/>
      <c r="L4241" s="261"/>
      <c r="M4241" s="261"/>
    </row>
    <row r="4242" spans="5:13">
      <c r="E4242" s="261"/>
      <c r="F4242" s="261"/>
      <c r="G4242" s="261"/>
      <c r="H4242" s="261"/>
      <c r="I4242" s="261"/>
      <c r="J4242" s="261"/>
      <c r="K4242" s="261"/>
      <c r="L4242" s="261"/>
      <c r="M4242" s="261"/>
    </row>
    <row r="4243" spans="5:13">
      <c r="E4243" s="261"/>
      <c r="F4243" s="261"/>
      <c r="G4243" s="261"/>
      <c r="H4243" s="261"/>
      <c r="I4243" s="261"/>
      <c r="J4243" s="261"/>
      <c r="K4243" s="261"/>
      <c r="L4243" s="261"/>
      <c r="M4243" s="261"/>
    </row>
    <row r="4244" spans="5:13">
      <c r="E4244" s="261"/>
      <c r="F4244" s="261"/>
      <c r="G4244" s="261"/>
      <c r="H4244" s="261"/>
      <c r="I4244" s="261"/>
      <c r="J4244" s="261"/>
      <c r="K4244" s="261"/>
      <c r="L4244" s="261"/>
      <c r="M4244" s="261"/>
    </row>
    <row r="4245" spans="5:13">
      <c r="E4245" s="261"/>
      <c r="F4245" s="261"/>
      <c r="G4245" s="261"/>
      <c r="H4245" s="261"/>
      <c r="I4245" s="261"/>
      <c r="J4245" s="261"/>
      <c r="K4245" s="261"/>
      <c r="L4245" s="261"/>
      <c r="M4245" s="261"/>
    </row>
    <row r="4246" spans="5:13">
      <c r="E4246" s="261"/>
      <c r="F4246" s="261"/>
      <c r="G4246" s="261"/>
      <c r="H4246" s="261"/>
      <c r="I4246" s="261"/>
      <c r="J4246" s="261"/>
      <c r="K4246" s="261"/>
      <c r="L4246" s="261"/>
      <c r="M4246" s="261"/>
    </row>
    <row r="4247" spans="5:13">
      <c r="E4247" s="261"/>
      <c r="F4247" s="261"/>
      <c r="G4247" s="261"/>
      <c r="H4247" s="261"/>
      <c r="I4247" s="261"/>
      <c r="J4247" s="261"/>
      <c r="K4247" s="261"/>
      <c r="L4247" s="261"/>
      <c r="M4247" s="261"/>
    </row>
    <row r="4248" spans="5:13">
      <c r="E4248" s="261"/>
      <c r="F4248" s="261"/>
      <c r="G4248" s="261"/>
      <c r="H4248" s="261"/>
      <c r="I4248" s="261"/>
      <c r="J4248" s="261"/>
      <c r="K4248" s="261"/>
      <c r="L4248" s="261"/>
      <c r="M4248" s="261"/>
    </row>
    <row r="4249" spans="5:13">
      <c r="E4249" s="261"/>
      <c r="F4249" s="261"/>
      <c r="G4249" s="261"/>
      <c r="H4249" s="261"/>
      <c r="I4249" s="261"/>
      <c r="J4249" s="261"/>
      <c r="K4249" s="261"/>
      <c r="L4249" s="261"/>
      <c r="M4249" s="261"/>
    </row>
    <row r="4250" spans="5:13">
      <c r="E4250" s="261"/>
      <c r="F4250" s="261"/>
      <c r="G4250" s="261"/>
      <c r="H4250" s="261"/>
      <c r="I4250" s="261"/>
      <c r="J4250" s="261"/>
      <c r="K4250" s="261"/>
      <c r="L4250" s="261"/>
      <c r="M4250" s="261"/>
    </row>
    <row r="4251" spans="5:13">
      <c r="E4251" s="261"/>
      <c r="F4251" s="261"/>
      <c r="G4251" s="261"/>
      <c r="H4251" s="261"/>
      <c r="I4251" s="261"/>
      <c r="J4251" s="261"/>
      <c r="K4251" s="261"/>
      <c r="L4251" s="261"/>
      <c r="M4251" s="261"/>
    </row>
    <row r="4252" spans="5:13">
      <c r="E4252" s="261"/>
      <c r="F4252" s="261"/>
      <c r="G4252" s="261"/>
      <c r="H4252" s="261"/>
      <c r="I4252" s="261"/>
      <c r="J4252" s="261"/>
      <c r="K4252" s="261"/>
      <c r="L4252" s="261"/>
      <c r="M4252" s="261"/>
    </row>
    <row r="4253" spans="5:13">
      <c r="E4253" s="261"/>
      <c r="F4253" s="261"/>
      <c r="G4253" s="261"/>
      <c r="H4253" s="261"/>
      <c r="I4253" s="261"/>
      <c r="J4253" s="261"/>
      <c r="K4253" s="261"/>
      <c r="L4253" s="261"/>
      <c r="M4253" s="261"/>
    </row>
    <row r="4254" spans="5:13">
      <c r="E4254" s="261"/>
      <c r="F4254" s="261"/>
      <c r="G4254" s="261"/>
      <c r="H4254" s="261"/>
      <c r="I4254" s="261"/>
      <c r="J4254" s="261"/>
      <c r="K4254" s="261"/>
      <c r="L4254" s="261"/>
      <c r="M4254" s="261"/>
    </row>
    <row r="4255" spans="5:13">
      <c r="E4255" s="261"/>
      <c r="F4255" s="261"/>
      <c r="G4255" s="261"/>
      <c r="H4255" s="261"/>
      <c r="I4255" s="261"/>
      <c r="J4255" s="261"/>
      <c r="K4255" s="261"/>
      <c r="L4255" s="261"/>
      <c r="M4255" s="261"/>
    </row>
    <row r="4256" spans="5:13">
      <c r="E4256" s="261"/>
      <c r="F4256" s="261"/>
      <c r="G4256" s="261"/>
      <c r="H4256" s="261"/>
      <c r="I4256" s="261"/>
      <c r="J4256" s="261"/>
      <c r="K4256" s="261"/>
      <c r="L4256" s="261"/>
      <c r="M4256" s="261"/>
    </row>
    <row r="4257" spans="5:13">
      <c r="E4257" s="261"/>
      <c r="F4257" s="261"/>
      <c r="G4257" s="261"/>
      <c r="H4257" s="261"/>
      <c r="I4257" s="261"/>
      <c r="J4257" s="261"/>
      <c r="K4257" s="261"/>
      <c r="L4257" s="261"/>
      <c r="M4257" s="261"/>
    </row>
    <row r="4258" spans="5:13">
      <c r="E4258" s="261"/>
      <c r="F4258" s="261"/>
      <c r="G4258" s="261"/>
      <c r="H4258" s="261"/>
      <c r="I4258" s="261"/>
      <c r="J4258" s="261"/>
      <c r="K4258" s="261"/>
      <c r="L4258" s="261"/>
      <c r="M4258" s="261"/>
    </row>
    <row r="4259" spans="5:13">
      <c r="E4259" s="261"/>
      <c r="F4259" s="261"/>
      <c r="G4259" s="261"/>
      <c r="H4259" s="261"/>
      <c r="I4259" s="261"/>
      <c r="J4259" s="261"/>
      <c r="K4259" s="261"/>
      <c r="L4259" s="261"/>
      <c r="M4259" s="261"/>
    </row>
    <row r="4260" spans="5:13">
      <c r="E4260" s="261"/>
      <c r="F4260" s="261"/>
      <c r="G4260" s="261"/>
      <c r="H4260" s="261"/>
      <c r="I4260" s="261"/>
      <c r="J4260" s="261"/>
      <c r="K4260" s="261"/>
      <c r="L4260" s="261"/>
      <c r="M4260" s="261"/>
    </row>
    <row r="4261" spans="5:13">
      <c r="E4261" s="261"/>
      <c r="F4261" s="261"/>
      <c r="G4261" s="261"/>
      <c r="H4261" s="261"/>
      <c r="I4261" s="261"/>
      <c r="J4261" s="261"/>
      <c r="K4261" s="261"/>
      <c r="L4261" s="261"/>
      <c r="M4261" s="261"/>
    </row>
    <row r="4262" spans="5:13">
      <c r="E4262" s="261"/>
      <c r="F4262" s="261"/>
      <c r="G4262" s="261"/>
      <c r="H4262" s="261"/>
      <c r="I4262" s="261"/>
      <c r="J4262" s="261"/>
      <c r="K4262" s="261"/>
      <c r="L4262" s="261"/>
      <c r="M4262" s="261"/>
    </row>
    <row r="4263" spans="5:13">
      <c r="E4263" s="261"/>
      <c r="F4263" s="261"/>
      <c r="G4263" s="261"/>
      <c r="H4263" s="261"/>
      <c r="I4263" s="261"/>
      <c r="J4263" s="261"/>
      <c r="K4263" s="261"/>
      <c r="L4263" s="261"/>
      <c r="M4263" s="261"/>
    </row>
    <row r="4264" spans="5:13">
      <c r="E4264" s="261"/>
      <c r="F4264" s="261"/>
      <c r="G4264" s="261"/>
      <c r="H4264" s="261"/>
      <c r="I4264" s="261"/>
      <c r="J4264" s="261"/>
      <c r="K4264" s="261"/>
      <c r="L4264" s="261"/>
      <c r="M4264" s="261"/>
    </row>
    <row r="4265" spans="5:13">
      <c r="E4265" s="261"/>
      <c r="F4265" s="261"/>
      <c r="G4265" s="261"/>
      <c r="H4265" s="261"/>
      <c r="I4265" s="261"/>
      <c r="J4265" s="261"/>
      <c r="K4265" s="261"/>
      <c r="L4265" s="261"/>
      <c r="M4265" s="261"/>
    </row>
    <row r="4266" spans="5:13">
      <c r="E4266" s="261"/>
      <c r="F4266" s="261"/>
      <c r="G4266" s="261"/>
      <c r="H4266" s="261"/>
      <c r="I4266" s="261"/>
      <c r="J4266" s="261"/>
      <c r="K4266" s="261"/>
      <c r="L4266" s="261"/>
      <c r="M4266" s="261"/>
    </row>
    <row r="4267" spans="5:13">
      <c r="E4267" s="261"/>
      <c r="F4267" s="261"/>
      <c r="G4267" s="261"/>
      <c r="H4267" s="261"/>
      <c r="I4267" s="261"/>
      <c r="J4267" s="261"/>
      <c r="K4267" s="261"/>
      <c r="L4267" s="261"/>
      <c r="M4267" s="261"/>
    </row>
    <row r="4268" spans="5:13">
      <c r="E4268" s="261"/>
      <c r="F4268" s="261"/>
      <c r="G4268" s="261"/>
      <c r="H4268" s="261"/>
      <c r="I4268" s="261"/>
      <c r="J4268" s="261"/>
      <c r="K4268" s="261"/>
      <c r="L4268" s="261"/>
      <c r="M4268" s="261"/>
    </row>
    <row r="4269" spans="5:13">
      <c r="E4269" s="261"/>
      <c r="F4269" s="261"/>
      <c r="G4269" s="261"/>
      <c r="H4269" s="261"/>
      <c r="I4269" s="261"/>
      <c r="J4269" s="261"/>
      <c r="K4269" s="261"/>
      <c r="L4269" s="261"/>
      <c r="M4269" s="261"/>
    </row>
    <row r="4270" spans="5:13">
      <c r="E4270" s="261"/>
      <c r="F4270" s="261"/>
      <c r="G4270" s="261"/>
      <c r="H4270" s="261"/>
      <c r="I4270" s="261"/>
      <c r="J4270" s="261"/>
      <c r="K4270" s="261"/>
      <c r="L4270" s="261"/>
      <c r="M4270" s="261"/>
    </row>
    <row r="4271" spans="5:13">
      <c r="E4271" s="261"/>
      <c r="F4271" s="261"/>
      <c r="G4271" s="261"/>
      <c r="H4271" s="261"/>
      <c r="I4271" s="261"/>
      <c r="J4271" s="261"/>
      <c r="K4271" s="261"/>
      <c r="L4271" s="261"/>
      <c r="M4271" s="261"/>
    </row>
    <row r="4272" spans="5:13">
      <c r="E4272" s="261"/>
      <c r="F4272" s="261"/>
      <c r="G4272" s="261"/>
      <c r="H4272" s="261"/>
      <c r="I4272" s="261"/>
      <c r="J4272" s="261"/>
      <c r="K4272" s="261"/>
      <c r="L4272" s="261"/>
      <c r="M4272" s="261"/>
    </row>
    <row r="4273" spans="5:13">
      <c r="E4273" s="261"/>
      <c r="F4273" s="261"/>
      <c r="G4273" s="261"/>
      <c r="H4273" s="261"/>
      <c r="I4273" s="261"/>
      <c r="J4273" s="261"/>
      <c r="K4273" s="261"/>
      <c r="L4273" s="261"/>
      <c r="M4273" s="261"/>
    </row>
    <row r="4274" spans="5:13">
      <c r="E4274" s="261"/>
      <c r="F4274" s="261"/>
      <c r="G4274" s="261"/>
      <c r="H4274" s="261"/>
      <c r="I4274" s="261"/>
      <c r="J4274" s="261"/>
      <c r="K4274" s="261"/>
      <c r="L4274" s="261"/>
      <c r="M4274" s="261"/>
    </row>
    <row r="4275" spans="5:13">
      <c r="E4275" s="261"/>
      <c r="F4275" s="261"/>
      <c r="G4275" s="261"/>
      <c r="H4275" s="261"/>
      <c r="I4275" s="261"/>
      <c r="J4275" s="261"/>
      <c r="K4275" s="261"/>
      <c r="L4275" s="261"/>
      <c r="M4275" s="261"/>
    </row>
    <row r="4276" spans="5:13">
      <c r="E4276" s="261"/>
      <c r="F4276" s="261"/>
      <c r="G4276" s="261"/>
      <c r="H4276" s="261"/>
      <c r="I4276" s="261"/>
      <c r="J4276" s="261"/>
      <c r="K4276" s="261"/>
      <c r="L4276" s="261"/>
      <c r="M4276" s="261"/>
    </row>
    <row r="4277" spans="5:13">
      <c r="E4277" s="261"/>
      <c r="F4277" s="261"/>
      <c r="G4277" s="261"/>
      <c r="H4277" s="261"/>
      <c r="I4277" s="261"/>
      <c r="J4277" s="261"/>
      <c r="K4277" s="261"/>
      <c r="L4277" s="261"/>
      <c r="M4277" s="261"/>
    </row>
    <row r="4278" spans="5:13">
      <c r="E4278" s="261"/>
      <c r="F4278" s="261"/>
      <c r="G4278" s="261"/>
      <c r="H4278" s="261"/>
      <c r="I4278" s="261"/>
      <c r="J4278" s="261"/>
      <c r="K4278" s="261"/>
      <c r="L4278" s="261"/>
      <c r="M4278" s="261"/>
    </row>
    <row r="4279" spans="5:13">
      <c r="E4279" s="261"/>
      <c r="F4279" s="261"/>
      <c r="G4279" s="261"/>
      <c r="H4279" s="261"/>
      <c r="I4279" s="261"/>
      <c r="J4279" s="261"/>
      <c r="K4279" s="261"/>
      <c r="L4279" s="261"/>
      <c r="M4279" s="261"/>
    </row>
    <row r="4280" spans="5:13">
      <c r="E4280" s="261"/>
      <c r="F4280" s="261"/>
      <c r="G4280" s="261"/>
      <c r="H4280" s="261"/>
      <c r="I4280" s="261"/>
      <c r="J4280" s="261"/>
      <c r="K4280" s="261"/>
      <c r="L4280" s="261"/>
      <c r="M4280" s="261"/>
    </row>
    <row r="4281" spans="5:13">
      <c r="E4281" s="261"/>
      <c r="F4281" s="261"/>
      <c r="G4281" s="261"/>
      <c r="H4281" s="261"/>
      <c r="I4281" s="261"/>
      <c r="J4281" s="261"/>
      <c r="K4281" s="261"/>
      <c r="L4281" s="261"/>
      <c r="M4281" s="261"/>
    </row>
    <row r="4282" spans="5:13">
      <c r="E4282" s="261"/>
      <c r="F4282" s="261"/>
      <c r="G4282" s="261"/>
      <c r="H4282" s="261"/>
      <c r="I4282" s="261"/>
      <c r="J4282" s="261"/>
      <c r="K4282" s="261"/>
      <c r="L4282" s="261"/>
      <c r="M4282" s="261"/>
    </row>
    <row r="4283" spans="5:13">
      <c r="E4283" s="261"/>
      <c r="F4283" s="261"/>
      <c r="G4283" s="261"/>
      <c r="H4283" s="261"/>
      <c r="I4283" s="261"/>
      <c r="J4283" s="261"/>
      <c r="K4283" s="261"/>
      <c r="L4283" s="261"/>
      <c r="M4283" s="261"/>
    </row>
    <row r="4284" spans="5:13">
      <c r="E4284" s="261"/>
      <c r="F4284" s="261"/>
      <c r="G4284" s="261"/>
      <c r="H4284" s="261"/>
      <c r="I4284" s="261"/>
      <c r="J4284" s="261"/>
      <c r="K4284" s="261"/>
      <c r="L4284" s="261"/>
      <c r="M4284" s="261"/>
    </row>
    <row r="4285" spans="5:13">
      <c r="E4285" s="261"/>
      <c r="F4285" s="261"/>
      <c r="G4285" s="261"/>
      <c r="H4285" s="261"/>
      <c r="I4285" s="261"/>
      <c r="J4285" s="261"/>
      <c r="K4285" s="261"/>
      <c r="L4285" s="261"/>
      <c r="M4285" s="261"/>
    </row>
    <row r="4286" spans="5:13">
      <c r="E4286" s="261"/>
      <c r="F4286" s="261"/>
      <c r="G4286" s="261"/>
      <c r="H4286" s="261"/>
      <c r="I4286" s="261"/>
      <c r="J4286" s="261"/>
      <c r="K4286" s="261"/>
      <c r="L4286" s="261"/>
      <c r="M4286" s="261"/>
    </row>
    <row r="4287" spans="5:13">
      <c r="E4287" s="261"/>
      <c r="F4287" s="261"/>
      <c r="G4287" s="261"/>
      <c r="H4287" s="261"/>
      <c r="I4287" s="261"/>
      <c r="J4287" s="261"/>
      <c r="K4287" s="261"/>
      <c r="L4287" s="261"/>
      <c r="M4287" s="261"/>
    </row>
    <row r="4288" spans="5:13">
      <c r="E4288" s="261"/>
      <c r="F4288" s="261"/>
      <c r="G4288" s="261"/>
      <c r="H4288" s="261"/>
      <c r="I4288" s="261"/>
      <c r="J4288" s="261"/>
      <c r="K4288" s="261"/>
      <c r="L4288" s="261"/>
      <c r="M4288" s="261"/>
    </row>
    <row r="4289" spans="5:13">
      <c r="E4289" s="261"/>
      <c r="F4289" s="261"/>
      <c r="G4289" s="261"/>
      <c r="H4289" s="261"/>
      <c r="I4289" s="261"/>
      <c r="J4289" s="261"/>
      <c r="K4289" s="261"/>
      <c r="L4289" s="261"/>
      <c r="M4289" s="261"/>
    </row>
    <row r="4290" spans="5:13">
      <c r="E4290" s="261"/>
      <c r="F4290" s="261"/>
      <c r="G4290" s="261"/>
      <c r="H4290" s="261"/>
      <c r="I4290" s="261"/>
      <c r="J4290" s="261"/>
      <c r="K4290" s="261"/>
      <c r="L4290" s="261"/>
      <c r="M4290" s="261"/>
    </row>
    <row r="4291" spans="5:13">
      <c r="E4291" s="261"/>
      <c r="F4291" s="261"/>
      <c r="G4291" s="261"/>
      <c r="H4291" s="261"/>
      <c r="I4291" s="261"/>
      <c r="J4291" s="261"/>
      <c r="K4291" s="261"/>
      <c r="L4291" s="261"/>
      <c r="M4291" s="261"/>
    </row>
    <row r="4292" spans="5:13">
      <c r="E4292" s="261"/>
      <c r="F4292" s="261"/>
      <c r="G4292" s="261"/>
      <c r="H4292" s="261"/>
      <c r="I4292" s="261"/>
      <c r="J4292" s="261"/>
      <c r="K4292" s="261"/>
      <c r="L4292" s="261"/>
      <c r="M4292" s="261"/>
    </row>
    <row r="4293" spans="5:13">
      <c r="E4293" s="261"/>
      <c r="F4293" s="261"/>
      <c r="G4293" s="261"/>
      <c r="H4293" s="261"/>
      <c r="I4293" s="261"/>
      <c r="J4293" s="261"/>
      <c r="K4293" s="261"/>
      <c r="L4293" s="261"/>
      <c r="M4293" s="261"/>
    </row>
    <row r="4294" spans="5:13">
      <c r="E4294" s="261"/>
      <c r="F4294" s="261"/>
      <c r="G4294" s="261"/>
      <c r="H4294" s="261"/>
      <c r="I4294" s="261"/>
      <c r="J4294" s="261"/>
      <c r="K4294" s="261"/>
      <c r="L4294" s="261"/>
      <c r="M4294" s="261"/>
    </row>
    <row r="4295" spans="5:13">
      <c r="E4295" s="261"/>
      <c r="F4295" s="261"/>
      <c r="G4295" s="261"/>
      <c r="H4295" s="261"/>
      <c r="I4295" s="261"/>
      <c r="J4295" s="261"/>
      <c r="K4295" s="261"/>
      <c r="L4295" s="261"/>
      <c r="M4295" s="261"/>
    </row>
    <row r="4296" spans="5:13">
      <c r="E4296" s="261"/>
      <c r="F4296" s="261"/>
      <c r="G4296" s="261"/>
      <c r="H4296" s="261"/>
      <c r="I4296" s="261"/>
      <c r="J4296" s="261"/>
      <c r="K4296" s="261"/>
      <c r="L4296" s="261"/>
      <c r="M4296" s="261"/>
    </row>
    <row r="4297" spans="5:13">
      <c r="E4297" s="261"/>
      <c r="F4297" s="261"/>
      <c r="G4297" s="261"/>
      <c r="H4297" s="261"/>
      <c r="I4297" s="261"/>
      <c r="J4297" s="261"/>
      <c r="K4297" s="261"/>
      <c r="L4297" s="261"/>
      <c r="M4297" s="261"/>
    </row>
    <row r="4298" spans="5:13">
      <c r="E4298" s="261"/>
      <c r="F4298" s="261"/>
      <c r="G4298" s="261"/>
      <c r="H4298" s="261"/>
      <c r="I4298" s="261"/>
      <c r="J4298" s="261"/>
      <c r="K4298" s="261"/>
      <c r="L4298" s="261"/>
      <c r="M4298" s="261"/>
    </row>
    <row r="4299" spans="5:13">
      <c r="E4299" s="261"/>
      <c r="F4299" s="261"/>
      <c r="G4299" s="261"/>
      <c r="H4299" s="261"/>
      <c r="I4299" s="261"/>
      <c r="J4299" s="261"/>
      <c r="K4299" s="261"/>
      <c r="L4299" s="261"/>
      <c r="M4299" s="261"/>
    </row>
    <row r="4300" spans="5:13">
      <c r="E4300" s="261"/>
      <c r="F4300" s="261"/>
      <c r="G4300" s="261"/>
      <c r="H4300" s="261"/>
      <c r="I4300" s="261"/>
      <c r="J4300" s="261"/>
      <c r="K4300" s="261"/>
      <c r="L4300" s="261"/>
      <c r="M4300" s="261"/>
    </row>
    <row r="4301" spans="5:13">
      <c r="E4301" s="261"/>
      <c r="F4301" s="261"/>
      <c r="G4301" s="261"/>
      <c r="H4301" s="261"/>
      <c r="I4301" s="261"/>
      <c r="J4301" s="261"/>
      <c r="K4301" s="261"/>
      <c r="L4301" s="261"/>
      <c r="M4301" s="261"/>
    </row>
    <row r="4302" spans="5:13">
      <c r="E4302" s="261"/>
      <c r="F4302" s="261"/>
      <c r="G4302" s="261"/>
      <c r="H4302" s="261"/>
      <c r="I4302" s="261"/>
      <c r="J4302" s="261"/>
      <c r="K4302" s="261"/>
      <c r="L4302" s="261"/>
      <c r="M4302" s="261"/>
    </row>
    <row r="4303" spans="5:13">
      <c r="E4303" s="261"/>
      <c r="F4303" s="261"/>
      <c r="G4303" s="261"/>
      <c r="H4303" s="261"/>
      <c r="I4303" s="261"/>
      <c r="J4303" s="261"/>
      <c r="K4303" s="261"/>
      <c r="L4303" s="261"/>
      <c r="M4303" s="261"/>
    </row>
    <row r="4304" spans="5:13">
      <c r="E4304" s="261"/>
      <c r="F4304" s="261"/>
      <c r="G4304" s="261"/>
      <c r="H4304" s="261"/>
      <c r="I4304" s="261"/>
      <c r="J4304" s="261"/>
      <c r="K4304" s="261"/>
      <c r="L4304" s="261"/>
      <c r="M4304" s="261"/>
    </row>
    <row r="4305" spans="5:13">
      <c r="E4305" s="261"/>
      <c r="F4305" s="261"/>
      <c r="G4305" s="261"/>
      <c r="H4305" s="261"/>
      <c r="I4305" s="261"/>
      <c r="J4305" s="261"/>
      <c r="K4305" s="261"/>
      <c r="L4305" s="261"/>
      <c r="M4305" s="261"/>
    </row>
    <row r="4306" spans="5:13">
      <c r="E4306" s="261"/>
      <c r="F4306" s="261"/>
      <c r="G4306" s="261"/>
      <c r="H4306" s="261"/>
      <c r="I4306" s="261"/>
      <c r="J4306" s="261"/>
      <c r="K4306" s="261"/>
      <c r="L4306" s="261"/>
      <c r="M4306" s="261"/>
    </row>
    <row r="4307" spans="5:13">
      <c r="E4307" s="261"/>
      <c r="F4307" s="261"/>
      <c r="G4307" s="261"/>
      <c r="H4307" s="261"/>
      <c r="I4307" s="261"/>
      <c r="J4307" s="261"/>
      <c r="K4307" s="261"/>
      <c r="L4307" s="261"/>
      <c r="M4307" s="261"/>
    </row>
    <row r="4308" spans="5:13">
      <c r="E4308" s="261"/>
      <c r="F4308" s="261"/>
      <c r="G4308" s="261"/>
      <c r="H4308" s="261"/>
      <c r="I4308" s="261"/>
      <c r="J4308" s="261"/>
      <c r="K4308" s="261"/>
      <c r="L4308" s="261"/>
      <c r="M4308" s="261"/>
    </row>
    <row r="4309" spans="5:13">
      <c r="E4309" s="261"/>
      <c r="F4309" s="261"/>
      <c r="G4309" s="261"/>
      <c r="H4309" s="261"/>
      <c r="I4309" s="261"/>
      <c r="J4309" s="261"/>
      <c r="K4309" s="261"/>
      <c r="L4309" s="261"/>
      <c r="M4309" s="261"/>
    </row>
    <row r="4310" spans="5:13">
      <c r="E4310" s="261"/>
      <c r="F4310" s="261"/>
      <c r="G4310" s="261"/>
      <c r="H4310" s="261"/>
      <c r="I4310" s="261"/>
      <c r="J4310" s="261"/>
      <c r="K4310" s="261"/>
      <c r="L4310" s="261"/>
      <c r="M4310" s="261"/>
    </row>
    <row r="4311" spans="5:13">
      <c r="E4311" s="261"/>
      <c r="F4311" s="261"/>
      <c r="G4311" s="261"/>
      <c r="H4311" s="261"/>
      <c r="I4311" s="261"/>
      <c r="J4311" s="261"/>
      <c r="K4311" s="261"/>
      <c r="L4311" s="261"/>
      <c r="M4311" s="261"/>
    </row>
    <row r="4312" spans="5:13">
      <c r="E4312" s="261"/>
      <c r="F4312" s="261"/>
      <c r="G4312" s="261"/>
      <c r="H4312" s="261"/>
      <c r="I4312" s="261"/>
      <c r="J4312" s="261"/>
      <c r="K4312" s="261"/>
      <c r="L4312" s="261"/>
      <c r="M4312" s="261"/>
    </row>
    <row r="4313" spans="5:13">
      <c r="E4313" s="261"/>
      <c r="F4313" s="261"/>
      <c r="G4313" s="261"/>
      <c r="H4313" s="261"/>
      <c r="I4313" s="261"/>
      <c r="J4313" s="261"/>
      <c r="K4313" s="261"/>
      <c r="L4313" s="261"/>
      <c r="M4313" s="261"/>
    </row>
    <row r="4314" spans="5:13">
      <c r="E4314" s="261"/>
      <c r="F4314" s="261"/>
      <c r="G4314" s="261"/>
      <c r="H4314" s="261"/>
      <c r="I4314" s="261"/>
      <c r="J4314" s="261"/>
      <c r="K4314" s="261"/>
      <c r="L4314" s="261"/>
      <c r="M4314" s="261"/>
    </row>
    <row r="4315" spans="5:13">
      <c r="E4315" s="261"/>
      <c r="F4315" s="261"/>
      <c r="G4315" s="261"/>
      <c r="H4315" s="261"/>
      <c r="I4315" s="261"/>
      <c r="J4315" s="261"/>
      <c r="K4315" s="261"/>
      <c r="L4315" s="261"/>
      <c r="M4315" s="261"/>
    </row>
    <row r="4316" spans="5:13">
      <c r="E4316" s="261"/>
      <c r="F4316" s="261"/>
      <c r="G4316" s="261"/>
      <c r="H4316" s="261"/>
      <c r="I4316" s="261"/>
      <c r="J4316" s="261"/>
      <c r="K4316" s="261"/>
      <c r="L4316" s="261"/>
      <c r="M4316" s="261"/>
    </row>
    <row r="4317" spans="5:13">
      <c r="E4317" s="261"/>
      <c r="F4317" s="261"/>
      <c r="G4317" s="261"/>
      <c r="H4317" s="261"/>
      <c r="I4317" s="261"/>
      <c r="J4317" s="261"/>
      <c r="K4317" s="261"/>
      <c r="L4317" s="261"/>
      <c r="M4317" s="261"/>
    </row>
    <row r="4318" spans="5:13">
      <c r="E4318" s="261"/>
      <c r="F4318" s="261"/>
      <c r="G4318" s="261"/>
      <c r="H4318" s="261"/>
      <c r="I4318" s="261"/>
      <c r="J4318" s="261"/>
      <c r="K4318" s="261"/>
      <c r="L4318" s="261"/>
      <c r="M4318" s="261"/>
    </row>
    <row r="4319" spans="5:13">
      <c r="E4319" s="261"/>
      <c r="F4319" s="261"/>
      <c r="G4319" s="261"/>
      <c r="H4319" s="261"/>
      <c r="I4319" s="261"/>
      <c r="J4319" s="261"/>
      <c r="K4319" s="261"/>
      <c r="L4319" s="261"/>
      <c r="M4319" s="261"/>
    </row>
    <row r="4320" spans="5:13">
      <c r="E4320" s="261"/>
      <c r="F4320" s="261"/>
      <c r="G4320" s="261"/>
      <c r="H4320" s="261"/>
      <c r="I4320" s="261"/>
      <c r="J4320" s="261"/>
      <c r="K4320" s="261"/>
      <c r="L4320" s="261"/>
      <c r="M4320" s="261"/>
    </row>
    <row r="4321" spans="5:13">
      <c r="E4321" s="261"/>
      <c r="F4321" s="261"/>
      <c r="G4321" s="261"/>
      <c r="H4321" s="261"/>
      <c r="I4321" s="261"/>
      <c r="J4321" s="261"/>
      <c r="K4321" s="261"/>
      <c r="L4321" s="261"/>
      <c r="M4321" s="261"/>
    </row>
    <row r="4322" spans="5:13">
      <c r="E4322" s="261"/>
      <c r="F4322" s="261"/>
      <c r="G4322" s="261"/>
      <c r="H4322" s="261"/>
      <c r="I4322" s="261"/>
      <c r="J4322" s="261"/>
      <c r="K4322" s="261"/>
      <c r="L4322" s="261"/>
      <c r="M4322" s="261"/>
    </row>
    <row r="4323" spans="5:13">
      <c r="E4323" s="261"/>
      <c r="F4323" s="261"/>
      <c r="G4323" s="261"/>
      <c r="H4323" s="261"/>
      <c r="I4323" s="261"/>
      <c r="J4323" s="261"/>
      <c r="K4323" s="261"/>
      <c r="L4323" s="261"/>
      <c r="M4323" s="261"/>
    </row>
    <row r="4324" spans="5:13">
      <c r="E4324" s="261"/>
      <c r="F4324" s="261"/>
      <c r="G4324" s="261"/>
      <c r="H4324" s="261"/>
      <c r="I4324" s="261"/>
      <c r="J4324" s="261"/>
      <c r="K4324" s="261"/>
      <c r="L4324" s="261"/>
      <c r="M4324" s="261"/>
    </row>
    <row r="4325" spans="5:13">
      <c r="E4325" s="261"/>
      <c r="F4325" s="261"/>
      <c r="G4325" s="261"/>
      <c r="H4325" s="261"/>
      <c r="I4325" s="261"/>
      <c r="J4325" s="261"/>
      <c r="K4325" s="261"/>
      <c r="L4325" s="261"/>
      <c r="M4325" s="261"/>
    </row>
    <row r="4326" spans="5:13">
      <c r="E4326" s="261"/>
      <c r="F4326" s="261"/>
      <c r="G4326" s="261"/>
      <c r="H4326" s="261"/>
      <c r="I4326" s="261"/>
      <c r="J4326" s="261"/>
      <c r="K4326" s="261"/>
      <c r="L4326" s="261"/>
      <c r="M4326" s="261"/>
    </row>
    <row r="4327" spans="5:13">
      <c r="E4327" s="261"/>
      <c r="F4327" s="261"/>
      <c r="G4327" s="261"/>
      <c r="H4327" s="261"/>
      <c r="I4327" s="261"/>
      <c r="J4327" s="261"/>
      <c r="K4327" s="261"/>
      <c r="L4327" s="261"/>
      <c r="M4327" s="261"/>
    </row>
    <row r="4328" spans="5:13">
      <c r="E4328" s="261"/>
      <c r="F4328" s="261"/>
      <c r="G4328" s="261"/>
      <c r="H4328" s="261"/>
      <c r="I4328" s="261"/>
      <c r="J4328" s="261"/>
      <c r="K4328" s="261"/>
      <c r="L4328" s="261"/>
      <c r="M4328" s="261"/>
    </row>
    <row r="4329" spans="5:13">
      <c r="E4329" s="261"/>
      <c r="F4329" s="261"/>
      <c r="G4329" s="261"/>
      <c r="H4329" s="261"/>
      <c r="I4329" s="261"/>
      <c r="J4329" s="261"/>
      <c r="K4329" s="261"/>
      <c r="L4329" s="261"/>
      <c r="M4329" s="261"/>
    </row>
    <row r="4330" spans="5:13">
      <c r="E4330" s="261"/>
      <c r="F4330" s="261"/>
      <c r="G4330" s="261"/>
      <c r="H4330" s="261"/>
      <c r="I4330" s="261"/>
      <c r="J4330" s="261"/>
      <c r="K4330" s="261"/>
      <c r="L4330" s="261"/>
      <c r="M4330" s="261"/>
    </row>
    <row r="4331" spans="5:13">
      <c r="E4331" s="261"/>
      <c r="F4331" s="261"/>
      <c r="G4331" s="261"/>
      <c r="H4331" s="261"/>
      <c r="I4331" s="261"/>
      <c r="J4331" s="261"/>
      <c r="K4331" s="261"/>
      <c r="L4331" s="261"/>
      <c r="M4331" s="261"/>
    </row>
    <row r="4332" spans="5:13">
      <c r="E4332" s="261"/>
      <c r="F4332" s="261"/>
      <c r="G4332" s="261"/>
      <c r="H4332" s="261"/>
      <c r="I4332" s="261"/>
      <c r="J4332" s="261"/>
      <c r="K4332" s="261"/>
      <c r="L4332" s="261"/>
      <c r="M4332" s="261"/>
    </row>
    <row r="4333" spans="5:13">
      <c r="E4333" s="261"/>
      <c r="F4333" s="261"/>
      <c r="G4333" s="261"/>
      <c r="H4333" s="261"/>
      <c r="I4333" s="261"/>
      <c r="J4333" s="261"/>
      <c r="K4333" s="261"/>
      <c r="L4333" s="261"/>
      <c r="M4333" s="261"/>
    </row>
    <row r="4334" spans="5:13">
      <c r="E4334" s="261"/>
      <c r="F4334" s="261"/>
      <c r="G4334" s="261"/>
      <c r="H4334" s="261"/>
      <c r="I4334" s="261"/>
      <c r="J4334" s="261"/>
      <c r="K4334" s="261"/>
      <c r="L4334" s="261"/>
      <c r="M4334" s="261"/>
    </row>
    <row r="4335" spans="5:13">
      <c r="E4335" s="261"/>
      <c r="F4335" s="261"/>
      <c r="G4335" s="261"/>
      <c r="H4335" s="261"/>
      <c r="I4335" s="261"/>
      <c r="J4335" s="261"/>
      <c r="K4335" s="261"/>
      <c r="L4335" s="261"/>
      <c r="M4335" s="261"/>
    </row>
    <row r="4336" spans="5:13">
      <c r="E4336" s="261"/>
      <c r="F4336" s="261"/>
      <c r="G4336" s="261"/>
      <c r="H4336" s="261"/>
      <c r="I4336" s="261"/>
      <c r="J4336" s="261"/>
      <c r="K4336" s="261"/>
      <c r="L4336" s="261"/>
      <c r="M4336" s="261"/>
    </row>
    <row r="4337" spans="5:13">
      <c r="E4337" s="261"/>
      <c r="F4337" s="261"/>
      <c r="G4337" s="261"/>
      <c r="H4337" s="261"/>
      <c r="I4337" s="261"/>
      <c r="J4337" s="261"/>
      <c r="K4337" s="261"/>
      <c r="L4337" s="261"/>
      <c r="M4337" s="261"/>
    </row>
    <row r="4338" spans="5:13">
      <c r="E4338" s="261"/>
      <c r="F4338" s="261"/>
      <c r="G4338" s="261"/>
      <c r="H4338" s="261"/>
      <c r="I4338" s="261"/>
      <c r="J4338" s="261"/>
      <c r="K4338" s="261"/>
      <c r="L4338" s="261"/>
      <c r="M4338" s="261"/>
    </row>
    <row r="4339" spans="5:13">
      <c r="E4339" s="261"/>
      <c r="F4339" s="261"/>
      <c r="G4339" s="261"/>
      <c r="H4339" s="261"/>
      <c r="I4339" s="261"/>
      <c r="J4339" s="261"/>
      <c r="K4339" s="261"/>
      <c r="L4339" s="261"/>
      <c r="M4339" s="261"/>
    </row>
    <row r="4340" spans="5:13">
      <c r="E4340" s="261"/>
      <c r="F4340" s="261"/>
      <c r="G4340" s="261"/>
      <c r="H4340" s="261"/>
      <c r="I4340" s="261"/>
      <c r="J4340" s="261"/>
      <c r="K4340" s="261"/>
      <c r="L4340" s="261"/>
      <c r="M4340" s="261"/>
    </row>
    <row r="4341" spans="5:13">
      <c r="E4341" s="261"/>
      <c r="F4341" s="261"/>
      <c r="G4341" s="261"/>
      <c r="H4341" s="261"/>
      <c r="I4341" s="261"/>
      <c r="J4341" s="261"/>
      <c r="K4341" s="261"/>
      <c r="L4341" s="261"/>
      <c r="M4341" s="261"/>
    </row>
    <row r="4342" spans="5:13">
      <c r="E4342" s="261"/>
      <c r="F4342" s="261"/>
      <c r="G4342" s="261"/>
      <c r="H4342" s="261"/>
      <c r="I4342" s="261"/>
      <c r="J4342" s="261"/>
      <c r="K4342" s="261"/>
      <c r="L4342" s="261"/>
      <c r="M4342" s="261"/>
    </row>
    <row r="4343" spans="5:13">
      <c r="E4343" s="261"/>
      <c r="F4343" s="261"/>
      <c r="G4343" s="261"/>
      <c r="H4343" s="261"/>
      <c r="I4343" s="261"/>
      <c r="J4343" s="261"/>
      <c r="K4343" s="261"/>
      <c r="L4343" s="261"/>
      <c r="M4343" s="261"/>
    </row>
    <row r="4344" spans="5:13">
      <c r="E4344" s="261"/>
      <c r="F4344" s="261"/>
      <c r="G4344" s="261"/>
      <c r="H4344" s="261"/>
      <c r="I4344" s="261"/>
      <c r="J4344" s="261"/>
      <c r="K4344" s="261"/>
      <c r="L4344" s="261"/>
      <c r="M4344" s="261"/>
    </row>
    <row r="4345" spans="5:13">
      <c r="E4345" s="261"/>
      <c r="F4345" s="261"/>
      <c r="G4345" s="261"/>
      <c r="H4345" s="261"/>
      <c r="I4345" s="261"/>
      <c r="J4345" s="261"/>
      <c r="K4345" s="261"/>
      <c r="L4345" s="261"/>
      <c r="M4345" s="261"/>
    </row>
    <row r="4346" spans="5:13">
      <c r="E4346" s="261"/>
      <c r="F4346" s="261"/>
      <c r="G4346" s="261"/>
      <c r="H4346" s="261"/>
      <c r="I4346" s="261"/>
      <c r="J4346" s="261"/>
      <c r="K4346" s="261"/>
      <c r="L4346" s="261"/>
      <c r="M4346" s="261"/>
    </row>
    <row r="4347" spans="5:13">
      <c r="E4347" s="261"/>
      <c r="F4347" s="261"/>
      <c r="G4347" s="261"/>
      <c r="H4347" s="261"/>
      <c r="I4347" s="261"/>
      <c r="J4347" s="261"/>
      <c r="K4347" s="261"/>
      <c r="L4347" s="261"/>
      <c r="M4347" s="261"/>
    </row>
    <row r="4348" spans="5:13">
      <c r="E4348" s="261"/>
      <c r="F4348" s="261"/>
      <c r="G4348" s="261"/>
      <c r="H4348" s="261"/>
      <c r="I4348" s="261"/>
      <c r="J4348" s="261"/>
      <c r="K4348" s="261"/>
      <c r="L4348" s="261"/>
      <c r="M4348" s="261"/>
    </row>
    <row r="4349" spans="5:13">
      <c r="E4349" s="261"/>
      <c r="F4349" s="261"/>
      <c r="G4349" s="261"/>
      <c r="H4349" s="261"/>
      <c r="I4349" s="261"/>
      <c r="J4349" s="261"/>
      <c r="K4349" s="261"/>
      <c r="L4349" s="261"/>
      <c r="M4349" s="261"/>
    </row>
    <row r="4350" spans="5:13">
      <c r="E4350" s="261"/>
      <c r="F4350" s="261"/>
      <c r="G4350" s="261"/>
      <c r="H4350" s="261"/>
      <c r="I4350" s="261"/>
      <c r="J4350" s="261"/>
      <c r="K4350" s="261"/>
      <c r="L4350" s="261"/>
      <c r="M4350" s="261"/>
    </row>
    <row r="4351" spans="5:13">
      <c r="E4351" s="261"/>
      <c r="F4351" s="261"/>
      <c r="G4351" s="261"/>
      <c r="H4351" s="261"/>
      <c r="I4351" s="261"/>
      <c r="J4351" s="261"/>
      <c r="K4351" s="261"/>
      <c r="L4351" s="261"/>
      <c r="M4351" s="261"/>
    </row>
    <row r="4352" spans="5:13">
      <c r="E4352" s="261"/>
      <c r="F4352" s="261"/>
      <c r="G4352" s="261"/>
      <c r="H4352" s="261"/>
      <c r="I4352" s="261"/>
      <c r="J4352" s="261"/>
      <c r="K4352" s="261"/>
      <c r="L4352" s="261"/>
      <c r="M4352" s="261"/>
    </row>
    <row r="4353" spans="5:13">
      <c r="E4353" s="261"/>
      <c r="F4353" s="261"/>
      <c r="G4353" s="261"/>
      <c r="H4353" s="261"/>
      <c r="I4353" s="261"/>
      <c r="J4353" s="261"/>
      <c r="K4353" s="261"/>
      <c r="L4353" s="261"/>
      <c r="M4353" s="261"/>
    </row>
    <row r="4354" spans="5:13">
      <c r="E4354" s="261"/>
      <c r="F4354" s="261"/>
      <c r="G4354" s="261"/>
      <c r="H4354" s="261"/>
      <c r="I4354" s="261"/>
      <c r="J4354" s="261"/>
      <c r="K4354" s="261"/>
      <c r="L4354" s="261"/>
      <c r="M4354" s="261"/>
    </row>
    <row r="4355" spans="5:13">
      <c r="E4355" s="261"/>
      <c r="F4355" s="261"/>
      <c r="G4355" s="261"/>
      <c r="H4355" s="261"/>
      <c r="I4355" s="261"/>
      <c r="J4355" s="261"/>
      <c r="K4355" s="261"/>
      <c r="L4355" s="261"/>
      <c r="M4355" s="261"/>
    </row>
    <row r="4356" spans="5:13">
      <c r="E4356" s="261"/>
      <c r="F4356" s="261"/>
      <c r="G4356" s="261"/>
      <c r="H4356" s="261"/>
      <c r="I4356" s="261"/>
      <c r="J4356" s="261"/>
      <c r="K4356" s="261"/>
      <c r="L4356" s="261"/>
      <c r="M4356" s="261"/>
    </row>
    <row r="4357" spans="5:13">
      <c r="E4357" s="261"/>
      <c r="F4357" s="261"/>
      <c r="G4357" s="261"/>
      <c r="H4357" s="261"/>
      <c r="I4357" s="261"/>
      <c r="J4357" s="261"/>
      <c r="K4357" s="261"/>
      <c r="L4357" s="261"/>
      <c r="M4357" s="261"/>
    </row>
    <row r="4358" spans="5:13">
      <c r="E4358" s="261"/>
      <c r="F4358" s="261"/>
      <c r="G4358" s="261"/>
      <c r="H4358" s="261"/>
      <c r="I4358" s="261"/>
      <c r="J4358" s="261"/>
      <c r="K4358" s="261"/>
      <c r="L4358" s="261"/>
      <c r="M4358" s="261"/>
    </row>
    <row r="4359" spans="5:13">
      <c r="E4359" s="261"/>
      <c r="F4359" s="261"/>
      <c r="G4359" s="261"/>
      <c r="H4359" s="261"/>
      <c r="I4359" s="261"/>
      <c r="J4359" s="261"/>
      <c r="K4359" s="261"/>
      <c r="L4359" s="261"/>
      <c r="M4359" s="261"/>
    </row>
    <row r="4360" spans="5:13">
      <c r="E4360" s="261"/>
      <c r="F4360" s="261"/>
      <c r="G4360" s="261"/>
      <c r="H4360" s="261"/>
      <c r="I4360" s="261"/>
      <c r="J4360" s="261"/>
      <c r="K4360" s="261"/>
      <c r="L4360" s="261"/>
      <c r="M4360" s="261"/>
    </row>
    <row r="4361" spans="5:13">
      <c r="E4361" s="261"/>
      <c r="F4361" s="261"/>
      <c r="G4361" s="261"/>
      <c r="H4361" s="261"/>
      <c r="I4361" s="261"/>
      <c r="J4361" s="261"/>
      <c r="K4361" s="261"/>
      <c r="L4361" s="261"/>
      <c r="M4361" s="261"/>
    </row>
    <row r="4362" spans="5:13">
      <c r="E4362" s="261"/>
      <c r="F4362" s="261"/>
      <c r="G4362" s="261"/>
      <c r="H4362" s="261"/>
      <c r="I4362" s="261"/>
      <c r="J4362" s="261"/>
      <c r="K4362" s="261"/>
      <c r="L4362" s="261"/>
      <c r="M4362" s="261"/>
    </row>
    <row r="4363" spans="5:13">
      <c r="E4363" s="261"/>
      <c r="F4363" s="261"/>
      <c r="G4363" s="261"/>
      <c r="H4363" s="261"/>
      <c r="I4363" s="261"/>
      <c r="J4363" s="261"/>
      <c r="K4363" s="261"/>
      <c r="L4363" s="261"/>
      <c r="M4363" s="261"/>
    </row>
    <row r="4364" spans="5:13">
      <c r="E4364" s="261"/>
      <c r="F4364" s="261"/>
      <c r="G4364" s="261"/>
      <c r="H4364" s="261"/>
      <c r="I4364" s="261"/>
      <c r="J4364" s="261"/>
      <c r="K4364" s="261"/>
      <c r="L4364" s="261"/>
      <c r="M4364" s="261"/>
    </row>
    <row r="4365" spans="5:13">
      <c r="E4365" s="261"/>
      <c r="F4365" s="261"/>
      <c r="G4365" s="261"/>
      <c r="H4365" s="261"/>
      <c r="I4365" s="261"/>
      <c r="J4365" s="261"/>
      <c r="K4365" s="261"/>
      <c r="L4365" s="261"/>
      <c r="M4365" s="261"/>
    </row>
    <row r="4366" spans="5:13">
      <c r="E4366" s="261"/>
      <c r="F4366" s="261"/>
      <c r="G4366" s="261"/>
      <c r="H4366" s="261"/>
      <c r="I4366" s="261"/>
      <c r="J4366" s="261"/>
      <c r="K4366" s="261"/>
      <c r="L4366" s="261"/>
      <c r="M4366" s="261"/>
    </row>
    <row r="4367" spans="5:13">
      <c r="E4367" s="261"/>
      <c r="F4367" s="261"/>
      <c r="G4367" s="261"/>
      <c r="H4367" s="261"/>
      <c r="I4367" s="261"/>
      <c r="J4367" s="261"/>
      <c r="K4367" s="261"/>
      <c r="L4367" s="261"/>
      <c r="M4367" s="261"/>
    </row>
    <row r="4368" spans="5:13">
      <c r="E4368" s="261"/>
      <c r="F4368" s="261"/>
      <c r="G4368" s="261"/>
      <c r="H4368" s="261"/>
      <c r="I4368" s="261"/>
      <c r="J4368" s="261"/>
      <c r="K4368" s="261"/>
      <c r="L4368" s="261"/>
      <c r="M4368" s="261"/>
    </row>
    <row r="4369" spans="5:13">
      <c r="E4369" s="261"/>
      <c r="F4369" s="261"/>
      <c r="G4369" s="261"/>
      <c r="H4369" s="261"/>
      <c r="I4369" s="261"/>
      <c r="J4369" s="261"/>
      <c r="K4369" s="261"/>
      <c r="L4369" s="261"/>
      <c r="M4369" s="261"/>
    </row>
    <row r="4370" spans="5:13">
      <c r="E4370" s="261"/>
      <c r="F4370" s="261"/>
      <c r="G4370" s="261"/>
      <c r="H4370" s="261"/>
      <c r="I4370" s="261"/>
      <c r="J4370" s="261"/>
      <c r="K4370" s="261"/>
      <c r="L4370" s="261"/>
      <c r="M4370" s="261"/>
    </row>
    <row r="4371" spans="5:13">
      <c r="E4371" s="261"/>
      <c r="F4371" s="261"/>
      <c r="G4371" s="261"/>
      <c r="H4371" s="261"/>
      <c r="I4371" s="261"/>
      <c r="J4371" s="261"/>
      <c r="K4371" s="261"/>
      <c r="L4371" s="261"/>
      <c r="M4371" s="261"/>
    </row>
    <row r="4372" spans="5:13">
      <c r="E4372" s="261"/>
      <c r="F4372" s="261"/>
      <c r="G4372" s="261"/>
      <c r="H4372" s="261"/>
      <c r="I4372" s="261"/>
      <c r="J4372" s="261"/>
      <c r="K4372" s="261"/>
      <c r="L4372" s="261"/>
      <c r="M4372" s="261"/>
    </row>
    <row r="4373" spans="5:13">
      <c r="E4373" s="261"/>
      <c r="F4373" s="261"/>
      <c r="G4373" s="261"/>
      <c r="H4373" s="261"/>
      <c r="I4373" s="261"/>
      <c r="J4373" s="261"/>
      <c r="K4373" s="261"/>
      <c r="L4373" s="261"/>
      <c r="M4373" s="261"/>
    </row>
    <row r="4374" spans="5:13">
      <c r="E4374" s="261"/>
      <c r="F4374" s="261"/>
      <c r="G4374" s="261"/>
      <c r="H4374" s="261"/>
      <c r="I4374" s="261"/>
      <c r="J4374" s="261"/>
      <c r="K4374" s="261"/>
      <c r="L4374" s="261"/>
      <c r="M4374" s="261"/>
    </row>
    <row r="4375" spans="5:13">
      <c r="E4375" s="261"/>
      <c r="F4375" s="261"/>
      <c r="G4375" s="261"/>
      <c r="H4375" s="261"/>
      <c r="I4375" s="261"/>
      <c r="J4375" s="261"/>
      <c r="K4375" s="261"/>
      <c r="L4375" s="261"/>
      <c r="M4375" s="261"/>
    </row>
    <row r="4376" spans="5:13">
      <c r="E4376" s="261"/>
      <c r="F4376" s="261"/>
      <c r="G4376" s="261"/>
      <c r="H4376" s="261"/>
      <c r="I4376" s="261"/>
      <c r="J4376" s="261"/>
      <c r="K4376" s="261"/>
      <c r="L4376" s="261"/>
      <c r="M4376" s="261"/>
    </row>
    <row r="4377" spans="5:13">
      <c r="E4377" s="261"/>
      <c r="F4377" s="261"/>
      <c r="G4377" s="261"/>
      <c r="H4377" s="261"/>
      <c r="I4377" s="261"/>
      <c r="J4377" s="261"/>
      <c r="K4377" s="261"/>
      <c r="L4377" s="261"/>
      <c r="M4377" s="261"/>
    </row>
    <row r="4378" spans="5:13">
      <c r="E4378" s="261"/>
      <c r="F4378" s="261"/>
      <c r="G4378" s="261"/>
      <c r="H4378" s="261"/>
      <c r="I4378" s="261"/>
      <c r="J4378" s="261"/>
      <c r="K4378" s="261"/>
      <c r="L4378" s="261"/>
      <c r="M4378" s="261"/>
    </row>
    <row r="4379" spans="5:13">
      <c r="E4379" s="261"/>
      <c r="F4379" s="261"/>
      <c r="G4379" s="261"/>
      <c r="H4379" s="261"/>
      <c r="I4379" s="261"/>
      <c r="J4379" s="261"/>
      <c r="K4379" s="261"/>
      <c r="L4379" s="261"/>
      <c r="M4379" s="261"/>
    </row>
    <row r="4380" spans="5:13">
      <c r="E4380" s="261"/>
      <c r="F4380" s="261"/>
      <c r="G4380" s="261"/>
      <c r="H4380" s="261"/>
      <c r="I4380" s="261"/>
      <c r="J4380" s="261"/>
      <c r="K4380" s="261"/>
      <c r="L4380" s="261"/>
      <c r="M4380" s="261"/>
    </row>
    <row r="4381" spans="5:13">
      <c r="E4381" s="261"/>
      <c r="F4381" s="261"/>
      <c r="G4381" s="261"/>
      <c r="H4381" s="261"/>
      <c r="I4381" s="261"/>
      <c r="J4381" s="261"/>
      <c r="K4381" s="261"/>
      <c r="L4381" s="261"/>
      <c r="M4381" s="261"/>
    </row>
    <row r="4382" spans="5:13">
      <c r="E4382" s="261"/>
      <c r="F4382" s="261"/>
      <c r="G4382" s="261"/>
      <c r="H4382" s="261"/>
      <c r="I4382" s="261"/>
      <c r="J4382" s="261"/>
      <c r="K4382" s="261"/>
      <c r="L4382" s="261"/>
      <c r="M4382" s="261"/>
    </row>
    <row r="4383" spans="5:13">
      <c r="E4383" s="261"/>
      <c r="F4383" s="261"/>
      <c r="G4383" s="261"/>
      <c r="H4383" s="261"/>
      <c r="I4383" s="261"/>
      <c r="J4383" s="261"/>
      <c r="K4383" s="261"/>
      <c r="L4383" s="261"/>
      <c r="M4383" s="261"/>
    </row>
    <row r="4384" spans="5:13">
      <c r="E4384" s="261"/>
      <c r="F4384" s="261"/>
      <c r="G4384" s="261"/>
      <c r="H4384" s="261"/>
      <c r="I4384" s="261"/>
      <c r="J4384" s="261"/>
      <c r="K4384" s="261"/>
      <c r="L4384" s="261"/>
      <c r="M4384" s="261"/>
    </row>
    <row r="4385" spans="5:13">
      <c r="E4385" s="261"/>
      <c r="F4385" s="261"/>
      <c r="G4385" s="261"/>
      <c r="H4385" s="261"/>
      <c r="I4385" s="261"/>
      <c r="J4385" s="261"/>
      <c r="K4385" s="261"/>
      <c r="L4385" s="261"/>
      <c r="M4385" s="261"/>
    </row>
    <row r="4386" spans="5:13">
      <c r="E4386" s="261"/>
      <c r="F4386" s="261"/>
      <c r="G4386" s="261"/>
      <c r="H4386" s="261"/>
      <c r="I4386" s="261"/>
      <c r="J4386" s="261"/>
      <c r="K4386" s="261"/>
      <c r="L4386" s="261"/>
      <c r="M4386" s="261"/>
    </row>
    <row r="4387" spans="5:13">
      <c r="E4387" s="261"/>
      <c r="F4387" s="261"/>
      <c r="G4387" s="261"/>
      <c r="H4387" s="261"/>
      <c r="I4387" s="261"/>
      <c r="J4387" s="261"/>
      <c r="K4387" s="261"/>
      <c r="L4387" s="261"/>
      <c r="M4387" s="261"/>
    </row>
    <row r="4388" spans="5:13">
      <c r="E4388" s="261"/>
      <c r="F4388" s="261"/>
      <c r="G4388" s="261"/>
      <c r="H4388" s="261"/>
      <c r="I4388" s="261"/>
      <c r="J4388" s="261"/>
      <c r="K4388" s="261"/>
      <c r="L4388" s="261"/>
      <c r="M4388" s="261"/>
    </row>
    <row r="4389" spans="5:13">
      <c r="E4389" s="261"/>
      <c r="F4389" s="261"/>
      <c r="G4389" s="261"/>
      <c r="H4389" s="261"/>
      <c r="I4389" s="261"/>
      <c r="J4389" s="261"/>
      <c r="K4389" s="261"/>
      <c r="L4389" s="261"/>
      <c r="M4389" s="261"/>
    </row>
    <row r="4390" spans="5:13">
      <c r="E4390" s="261"/>
      <c r="F4390" s="261"/>
      <c r="G4390" s="261"/>
      <c r="H4390" s="261"/>
      <c r="I4390" s="261"/>
      <c r="J4390" s="261"/>
      <c r="K4390" s="261"/>
      <c r="L4390" s="261"/>
      <c r="M4390" s="261"/>
    </row>
    <row r="4391" spans="5:13">
      <c r="E4391" s="261"/>
      <c r="F4391" s="261"/>
      <c r="G4391" s="261"/>
      <c r="H4391" s="261"/>
      <c r="I4391" s="261"/>
      <c r="J4391" s="261"/>
      <c r="K4391" s="261"/>
      <c r="L4391" s="261"/>
      <c r="M4391" s="261"/>
    </row>
    <row r="4392" spans="5:13">
      <c r="E4392" s="261"/>
      <c r="F4392" s="261"/>
      <c r="G4392" s="261"/>
      <c r="H4392" s="261"/>
      <c r="I4392" s="261"/>
      <c r="J4392" s="261"/>
      <c r="K4392" s="261"/>
      <c r="L4392" s="261"/>
      <c r="M4392" s="261"/>
    </row>
    <row r="4393" spans="5:13">
      <c r="E4393" s="261"/>
      <c r="F4393" s="261"/>
      <c r="G4393" s="261"/>
      <c r="H4393" s="261"/>
      <c r="I4393" s="261"/>
      <c r="J4393" s="261"/>
      <c r="K4393" s="261"/>
      <c r="L4393" s="261"/>
      <c r="M4393" s="261"/>
    </row>
    <row r="4394" spans="5:13">
      <c r="E4394" s="261"/>
      <c r="F4394" s="261"/>
      <c r="G4394" s="261"/>
      <c r="H4394" s="261"/>
      <c r="I4394" s="261"/>
      <c r="J4394" s="261"/>
      <c r="K4394" s="261"/>
      <c r="L4394" s="261"/>
      <c r="M4394" s="261"/>
    </row>
    <row r="4395" spans="5:13">
      <c r="E4395" s="261"/>
      <c r="F4395" s="261"/>
      <c r="G4395" s="261"/>
      <c r="H4395" s="261"/>
      <c r="I4395" s="261"/>
      <c r="J4395" s="261"/>
      <c r="K4395" s="261"/>
      <c r="L4395" s="261"/>
      <c r="M4395" s="261"/>
    </row>
    <row r="4396" spans="5:13">
      <c r="E4396" s="261"/>
      <c r="F4396" s="261"/>
      <c r="G4396" s="261"/>
      <c r="H4396" s="261"/>
      <c r="I4396" s="261"/>
      <c r="J4396" s="261"/>
      <c r="K4396" s="261"/>
      <c r="L4396" s="261"/>
      <c r="M4396" s="261"/>
    </row>
    <row r="4397" spans="5:13">
      <c r="E4397" s="261"/>
      <c r="F4397" s="261"/>
      <c r="G4397" s="261"/>
      <c r="H4397" s="261"/>
      <c r="I4397" s="261"/>
      <c r="J4397" s="261"/>
      <c r="K4397" s="261"/>
      <c r="L4397" s="261"/>
      <c r="M4397" s="261"/>
    </row>
    <row r="4398" spans="5:13">
      <c r="E4398" s="261"/>
      <c r="F4398" s="261"/>
      <c r="G4398" s="261"/>
      <c r="H4398" s="261"/>
      <c r="I4398" s="261"/>
      <c r="J4398" s="261"/>
      <c r="K4398" s="261"/>
      <c r="L4398" s="261"/>
      <c r="M4398" s="261"/>
    </row>
    <row r="4399" spans="5:13">
      <c r="E4399" s="261"/>
      <c r="F4399" s="261"/>
      <c r="G4399" s="261"/>
      <c r="H4399" s="261"/>
      <c r="I4399" s="261"/>
      <c r="J4399" s="261"/>
      <c r="K4399" s="261"/>
      <c r="L4399" s="261"/>
      <c r="M4399" s="261"/>
    </row>
    <row r="4400" spans="5:13">
      <c r="E4400" s="261"/>
      <c r="F4400" s="261"/>
      <c r="G4400" s="261"/>
      <c r="H4400" s="261"/>
      <c r="I4400" s="261"/>
      <c r="J4400" s="261"/>
      <c r="K4400" s="261"/>
      <c r="L4400" s="261"/>
      <c r="M4400" s="261"/>
    </row>
    <row r="4401" spans="5:13">
      <c r="E4401" s="261"/>
      <c r="F4401" s="261"/>
      <c r="G4401" s="261"/>
      <c r="H4401" s="261"/>
      <c r="I4401" s="261"/>
      <c r="J4401" s="261"/>
      <c r="K4401" s="261"/>
      <c r="L4401" s="261"/>
      <c r="M4401" s="261"/>
    </row>
    <row r="4402" spans="5:13">
      <c r="E4402" s="261"/>
      <c r="F4402" s="261"/>
      <c r="G4402" s="261"/>
      <c r="H4402" s="261"/>
      <c r="I4402" s="261"/>
      <c r="J4402" s="261"/>
      <c r="K4402" s="261"/>
      <c r="L4402" s="261"/>
      <c r="M4402" s="261"/>
    </row>
    <row r="4403" spans="5:13">
      <c r="E4403" s="261"/>
      <c r="F4403" s="261"/>
      <c r="G4403" s="261"/>
      <c r="H4403" s="261"/>
      <c r="I4403" s="261"/>
      <c r="J4403" s="261"/>
      <c r="K4403" s="261"/>
      <c r="L4403" s="261"/>
      <c r="M4403" s="261"/>
    </row>
    <row r="4404" spans="5:13">
      <c r="E4404" s="261"/>
      <c r="F4404" s="261"/>
      <c r="G4404" s="261"/>
      <c r="H4404" s="261"/>
      <c r="I4404" s="261"/>
      <c r="J4404" s="261"/>
      <c r="K4404" s="261"/>
      <c r="L4404" s="261"/>
      <c r="M4404" s="261"/>
    </row>
    <row r="4405" spans="5:13">
      <c r="E4405" s="261"/>
      <c r="F4405" s="261"/>
      <c r="G4405" s="261"/>
      <c r="H4405" s="261"/>
      <c r="I4405" s="261"/>
      <c r="J4405" s="261"/>
      <c r="K4405" s="261"/>
      <c r="L4405" s="261"/>
      <c r="M4405" s="261"/>
    </row>
    <row r="4406" spans="5:13">
      <c r="E4406" s="261"/>
      <c r="F4406" s="261"/>
      <c r="G4406" s="261"/>
      <c r="H4406" s="261"/>
      <c r="I4406" s="261"/>
      <c r="J4406" s="261"/>
      <c r="K4406" s="261"/>
      <c r="L4406" s="261"/>
      <c r="M4406" s="261"/>
    </row>
    <row r="4407" spans="5:13">
      <c r="E4407" s="261"/>
      <c r="F4407" s="261"/>
      <c r="G4407" s="261"/>
      <c r="H4407" s="261"/>
      <c r="I4407" s="261"/>
      <c r="J4407" s="261"/>
      <c r="K4407" s="261"/>
      <c r="L4407" s="261"/>
      <c r="M4407" s="261"/>
    </row>
    <row r="4408" spans="5:13">
      <c r="E4408" s="261"/>
      <c r="F4408" s="261"/>
      <c r="G4408" s="261"/>
      <c r="H4408" s="261"/>
      <c r="I4408" s="261"/>
      <c r="J4408" s="261"/>
      <c r="K4408" s="261"/>
      <c r="L4408" s="261"/>
      <c r="M4408" s="261"/>
    </row>
    <row r="4409" spans="5:13">
      <c r="E4409" s="261"/>
      <c r="F4409" s="261"/>
      <c r="G4409" s="261"/>
      <c r="H4409" s="261"/>
      <c r="I4409" s="261"/>
      <c r="J4409" s="261"/>
      <c r="K4409" s="261"/>
      <c r="L4409" s="261"/>
      <c r="M4409" s="261"/>
    </row>
    <row r="4410" spans="5:13">
      <c r="E4410" s="261"/>
      <c r="F4410" s="261"/>
      <c r="G4410" s="261"/>
      <c r="H4410" s="261"/>
      <c r="I4410" s="261"/>
      <c r="J4410" s="261"/>
      <c r="K4410" s="261"/>
      <c r="L4410" s="261"/>
      <c r="M4410" s="261"/>
    </row>
    <row r="4411" spans="5:13">
      <c r="E4411" s="261"/>
      <c r="F4411" s="261"/>
      <c r="G4411" s="261"/>
      <c r="H4411" s="261"/>
      <c r="I4411" s="261"/>
      <c r="J4411" s="261"/>
      <c r="K4411" s="261"/>
      <c r="L4411" s="261"/>
      <c r="M4411" s="261"/>
    </row>
    <row r="4412" spans="5:13">
      <c r="E4412" s="261"/>
      <c r="F4412" s="261"/>
      <c r="G4412" s="261"/>
      <c r="H4412" s="261"/>
      <c r="I4412" s="261"/>
      <c r="J4412" s="261"/>
      <c r="K4412" s="261"/>
      <c r="L4412" s="261"/>
      <c r="M4412" s="261"/>
    </row>
    <row r="4413" spans="5:13">
      <c r="E4413" s="261"/>
      <c r="F4413" s="261"/>
      <c r="G4413" s="261"/>
      <c r="H4413" s="261"/>
      <c r="I4413" s="261"/>
      <c r="J4413" s="261"/>
      <c r="K4413" s="261"/>
      <c r="L4413" s="261"/>
      <c r="M4413" s="261"/>
    </row>
    <row r="4414" spans="5:13">
      <c r="E4414" s="261"/>
      <c r="F4414" s="261"/>
      <c r="G4414" s="261"/>
      <c r="H4414" s="261"/>
      <c r="I4414" s="261"/>
      <c r="J4414" s="261"/>
      <c r="K4414" s="261"/>
      <c r="L4414" s="261"/>
      <c r="M4414" s="261"/>
    </row>
    <row r="4415" spans="5:13">
      <c r="E4415" s="261"/>
      <c r="F4415" s="261"/>
      <c r="G4415" s="261"/>
      <c r="H4415" s="261"/>
      <c r="I4415" s="261"/>
      <c r="J4415" s="261"/>
      <c r="K4415" s="261"/>
      <c r="L4415" s="261"/>
      <c r="M4415" s="261"/>
    </row>
    <row r="4416" spans="5:13">
      <c r="E4416" s="261"/>
      <c r="F4416" s="261"/>
      <c r="G4416" s="261"/>
      <c r="H4416" s="261"/>
      <c r="I4416" s="261"/>
      <c r="J4416" s="261"/>
      <c r="K4416" s="261"/>
      <c r="L4416" s="261"/>
      <c r="M4416" s="261"/>
    </row>
    <row r="4417" spans="5:13">
      <c r="E4417" s="261"/>
      <c r="F4417" s="261"/>
      <c r="G4417" s="261"/>
      <c r="H4417" s="261"/>
      <c r="I4417" s="261"/>
      <c r="J4417" s="261"/>
      <c r="K4417" s="261"/>
      <c r="L4417" s="261"/>
      <c r="M4417" s="261"/>
    </row>
    <row r="4418" spans="5:13">
      <c r="E4418" s="261"/>
      <c r="F4418" s="261"/>
      <c r="G4418" s="261"/>
      <c r="H4418" s="261"/>
      <c r="I4418" s="261"/>
      <c r="J4418" s="261"/>
      <c r="K4418" s="261"/>
      <c r="L4418" s="261"/>
      <c r="M4418" s="261"/>
    </row>
    <row r="4419" spans="5:13">
      <c r="E4419" s="261"/>
      <c r="F4419" s="261"/>
      <c r="G4419" s="261"/>
      <c r="H4419" s="261"/>
      <c r="I4419" s="261"/>
      <c r="J4419" s="261"/>
      <c r="K4419" s="261"/>
      <c r="L4419" s="261"/>
      <c r="M4419" s="261"/>
    </row>
    <row r="4420" spans="5:13">
      <c r="E4420" s="261"/>
      <c r="F4420" s="261"/>
      <c r="G4420" s="261"/>
      <c r="H4420" s="261"/>
      <c r="I4420" s="261"/>
      <c r="J4420" s="261"/>
      <c r="K4420" s="261"/>
      <c r="L4420" s="261"/>
      <c r="M4420" s="261"/>
    </row>
    <row r="4421" spans="5:13">
      <c r="E4421" s="261"/>
      <c r="F4421" s="261"/>
      <c r="G4421" s="261"/>
      <c r="H4421" s="261"/>
      <c r="I4421" s="261"/>
      <c r="J4421" s="261"/>
      <c r="K4421" s="261"/>
      <c r="L4421" s="261"/>
      <c r="M4421" s="261"/>
    </row>
    <row r="4422" spans="5:13">
      <c r="E4422" s="261"/>
      <c r="F4422" s="261"/>
      <c r="G4422" s="261"/>
      <c r="H4422" s="261"/>
      <c r="I4422" s="261"/>
      <c r="J4422" s="261"/>
      <c r="K4422" s="261"/>
      <c r="L4422" s="261"/>
      <c r="M4422" s="261"/>
    </row>
    <row r="4423" spans="5:13">
      <c r="E4423" s="261"/>
      <c r="F4423" s="261"/>
      <c r="G4423" s="261"/>
      <c r="H4423" s="261"/>
      <c r="I4423" s="261"/>
      <c r="J4423" s="261"/>
      <c r="K4423" s="261"/>
      <c r="L4423" s="261"/>
      <c r="M4423" s="261"/>
    </row>
    <row r="4424" spans="5:13">
      <c r="E4424" s="261"/>
      <c r="F4424" s="261"/>
      <c r="G4424" s="261"/>
      <c r="H4424" s="261"/>
      <c r="I4424" s="261"/>
      <c r="J4424" s="261"/>
      <c r="K4424" s="261"/>
      <c r="L4424" s="261"/>
      <c r="M4424" s="261"/>
    </row>
    <row r="4425" spans="5:13">
      <c r="E4425" s="261"/>
      <c r="F4425" s="261"/>
      <c r="G4425" s="261"/>
      <c r="H4425" s="261"/>
      <c r="I4425" s="261"/>
      <c r="J4425" s="261"/>
      <c r="K4425" s="261"/>
      <c r="L4425" s="261"/>
      <c r="M4425" s="261"/>
    </row>
    <row r="4426" spans="5:13">
      <c r="E4426" s="261"/>
      <c r="F4426" s="261"/>
      <c r="G4426" s="261"/>
      <c r="H4426" s="261"/>
      <c r="I4426" s="261"/>
      <c r="J4426" s="261"/>
      <c r="K4426" s="261"/>
      <c r="L4426" s="261"/>
      <c r="M4426" s="261"/>
    </row>
    <row r="4427" spans="5:13">
      <c r="E4427" s="261"/>
      <c r="F4427" s="261"/>
      <c r="G4427" s="261"/>
      <c r="H4427" s="261"/>
      <c r="I4427" s="261"/>
      <c r="J4427" s="261"/>
      <c r="K4427" s="261"/>
      <c r="L4427" s="261"/>
      <c r="M4427" s="261"/>
    </row>
    <row r="4428" spans="5:13">
      <c r="E4428" s="261"/>
      <c r="F4428" s="261"/>
      <c r="G4428" s="261"/>
      <c r="H4428" s="261"/>
      <c r="I4428" s="261"/>
      <c r="J4428" s="261"/>
      <c r="K4428" s="261"/>
      <c r="L4428" s="261"/>
      <c r="M4428" s="261"/>
    </row>
    <row r="4429" spans="5:13">
      <c r="E4429" s="261"/>
      <c r="F4429" s="261"/>
      <c r="G4429" s="261"/>
      <c r="H4429" s="261"/>
      <c r="I4429" s="261"/>
      <c r="J4429" s="261"/>
      <c r="K4429" s="261"/>
      <c r="L4429" s="261"/>
      <c r="M4429" s="261"/>
    </row>
    <row r="4430" spans="5:13">
      <c r="E4430" s="261"/>
      <c r="F4430" s="261"/>
      <c r="G4430" s="261"/>
      <c r="H4430" s="261"/>
      <c r="I4430" s="261"/>
      <c r="J4430" s="261"/>
      <c r="K4430" s="261"/>
      <c r="L4430" s="261"/>
      <c r="M4430" s="261"/>
    </row>
    <row r="4431" spans="5:13">
      <c r="E4431" s="261"/>
      <c r="F4431" s="261"/>
      <c r="G4431" s="261"/>
      <c r="H4431" s="261"/>
      <c r="I4431" s="261"/>
      <c r="J4431" s="261"/>
      <c r="K4431" s="261"/>
      <c r="L4431" s="261"/>
      <c r="M4431" s="261"/>
    </row>
    <row r="4432" spans="5:13">
      <c r="E4432" s="261"/>
      <c r="F4432" s="261"/>
      <c r="G4432" s="261"/>
      <c r="H4432" s="261"/>
      <c r="I4432" s="261"/>
      <c r="J4432" s="261"/>
      <c r="K4432" s="261"/>
      <c r="L4432" s="261"/>
      <c r="M4432" s="261"/>
    </row>
    <row r="4433" spans="5:13">
      <c r="E4433" s="261"/>
      <c r="F4433" s="261"/>
      <c r="G4433" s="261"/>
      <c r="H4433" s="261"/>
      <c r="I4433" s="261"/>
      <c r="J4433" s="261"/>
      <c r="K4433" s="261"/>
      <c r="L4433" s="261"/>
      <c r="M4433" s="261"/>
    </row>
    <row r="4434" spans="5:13">
      <c r="E4434" s="261"/>
      <c r="F4434" s="261"/>
      <c r="G4434" s="261"/>
      <c r="H4434" s="261"/>
      <c r="I4434" s="261"/>
      <c r="J4434" s="261"/>
      <c r="K4434" s="261"/>
      <c r="L4434" s="261"/>
      <c r="M4434" s="261"/>
    </row>
    <row r="4435" spans="5:13">
      <c r="E4435" s="261"/>
      <c r="F4435" s="261"/>
      <c r="G4435" s="261"/>
      <c r="H4435" s="261"/>
      <c r="I4435" s="261"/>
      <c r="J4435" s="261"/>
      <c r="K4435" s="261"/>
      <c r="L4435" s="261"/>
      <c r="M4435" s="261"/>
    </row>
    <row r="4436" spans="5:13">
      <c r="E4436" s="261"/>
      <c r="F4436" s="261"/>
      <c r="G4436" s="261"/>
      <c r="H4436" s="261"/>
      <c r="I4436" s="261"/>
      <c r="J4436" s="261"/>
      <c r="K4436" s="261"/>
      <c r="L4436" s="261"/>
      <c r="M4436" s="261"/>
    </row>
    <row r="4437" spans="5:13">
      <c r="E4437" s="261"/>
      <c r="F4437" s="261"/>
      <c r="G4437" s="261"/>
      <c r="H4437" s="261"/>
      <c r="I4437" s="261"/>
      <c r="J4437" s="261"/>
      <c r="K4437" s="261"/>
      <c r="L4437" s="261"/>
      <c r="M4437" s="261"/>
    </row>
    <row r="4438" spans="5:13">
      <c r="E4438" s="261"/>
      <c r="F4438" s="261"/>
      <c r="G4438" s="261"/>
      <c r="H4438" s="261"/>
      <c r="I4438" s="261"/>
      <c r="J4438" s="261"/>
      <c r="K4438" s="261"/>
      <c r="L4438" s="261"/>
      <c r="M4438" s="261"/>
    </row>
    <row r="4439" spans="5:13">
      <c r="E4439" s="261"/>
      <c r="F4439" s="261"/>
      <c r="G4439" s="261"/>
      <c r="H4439" s="261"/>
      <c r="I4439" s="261"/>
      <c r="J4439" s="261"/>
      <c r="K4439" s="261"/>
      <c r="L4439" s="261"/>
      <c r="M4439" s="261"/>
    </row>
    <row r="4440" spans="5:13">
      <c r="E4440" s="261"/>
      <c r="F4440" s="261"/>
      <c r="G4440" s="261"/>
      <c r="H4440" s="261"/>
      <c r="I4440" s="261"/>
      <c r="J4440" s="261"/>
      <c r="K4440" s="261"/>
      <c r="L4440" s="261"/>
      <c r="M4440" s="261"/>
    </row>
    <row r="4441" spans="5:13">
      <c r="E4441" s="261"/>
      <c r="F4441" s="261"/>
      <c r="G4441" s="261"/>
      <c r="H4441" s="261"/>
      <c r="I4441" s="261"/>
      <c r="J4441" s="261"/>
      <c r="K4441" s="261"/>
      <c r="L4441" s="261"/>
      <c r="M4441" s="261"/>
    </row>
    <row r="4442" spans="5:13">
      <c r="E4442" s="261"/>
      <c r="F4442" s="261"/>
      <c r="G4442" s="261"/>
      <c r="H4442" s="261"/>
      <c r="I4442" s="261"/>
      <c r="J4442" s="261"/>
      <c r="K4442" s="261"/>
      <c r="L4442" s="261"/>
      <c r="M4442" s="261"/>
    </row>
    <row r="4443" spans="5:13">
      <c r="E4443" s="261"/>
      <c r="F4443" s="261"/>
      <c r="G4443" s="261"/>
      <c r="H4443" s="261"/>
      <c r="I4443" s="261"/>
      <c r="J4443" s="261"/>
      <c r="K4443" s="261"/>
      <c r="L4443" s="261"/>
      <c r="M4443" s="261"/>
    </row>
    <row r="4444" spans="5:13">
      <c r="E4444" s="261"/>
      <c r="F4444" s="261"/>
      <c r="G4444" s="261"/>
      <c r="H4444" s="261"/>
      <c r="I4444" s="261"/>
      <c r="J4444" s="261"/>
      <c r="K4444" s="261"/>
      <c r="L4444" s="261"/>
      <c r="M4444" s="261"/>
    </row>
    <row r="4445" spans="5:13">
      <c r="E4445" s="261"/>
      <c r="F4445" s="261"/>
      <c r="G4445" s="261"/>
      <c r="H4445" s="261"/>
      <c r="I4445" s="261"/>
      <c r="J4445" s="261"/>
      <c r="K4445" s="261"/>
      <c r="L4445" s="261"/>
      <c r="M4445" s="261"/>
    </row>
    <row r="4446" spans="5:13">
      <c r="E4446" s="261"/>
      <c r="F4446" s="261"/>
      <c r="G4446" s="261"/>
      <c r="H4446" s="261"/>
      <c r="I4446" s="261"/>
      <c r="J4446" s="261"/>
      <c r="K4446" s="261"/>
      <c r="L4446" s="261"/>
      <c r="M4446" s="261"/>
    </row>
    <row r="4447" spans="5:13">
      <c r="E4447" s="261"/>
      <c r="F4447" s="261"/>
      <c r="G4447" s="261"/>
      <c r="H4447" s="261"/>
      <c r="I4447" s="261"/>
      <c r="J4447" s="261"/>
      <c r="K4447" s="261"/>
      <c r="L4447" s="261"/>
      <c r="M4447" s="261"/>
    </row>
    <row r="4448" spans="5:13">
      <c r="E4448" s="261"/>
      <c r="F4448" s="261"/>
      <c r="G4448" s="261"/>
      <c r="H4448" s="261"/>
      <c r="I4448" s="261"/>
      <c r="J4448" s="261"/>
      <c r="K4448" s="261"/>
      <c r="L4448" s="261"/>
      <c r="M4448" s="261"/>
    </row>
    <row r="4449" spans="5:13">
      <c r="E4449" s="261"/>
      <c r="F4449" s="261"/>
      <c r="G4449" s="261"/>
      <c r="H4449" s="261"/>
      <c r="I4449" s="261"/>
      <c r="J4449" s="261"/>
      <c r="K4449" s="261"/>
      <c r="L4449" s="261"/>
      <c r="M4449" s="261"/>
    </row>
    <row r="4450" spans="5:13">
      <c r="E4450" s="261"/>
      <c r="F4450" s="261"/>
      <c r="G4450" s="261"/>
      <c r="H4450" s="261"/>
      <c r="I4450" s="261"/>
      <c r="J4450" s="261"/>
      <c r="K4450" s="261"/>
      <c r="L4450" s="261"/>
      <c r="M4450" s="261"/>
    </row>
    <row r="4451" spans="5:13">
      <c r="E4451" s="261"/>
      <c r="F4451" s="261"/>
      <c r="G4451" s="261"/>
      <c r="H4451" s="261"/>
      <c r="I4451" s="261"/>
      <c r="J4451" s="261"/>
      <c r="K4451" s="261"/>
      <c r="L4451" s="261"/>
      <c r="M4451" s="261"/>
    </row>
    <row r="4452" spans="5:13">
      <c r="E4452" s="261"/>
      <c r="F4452" s="261"/>
      <c r="G4452" s="261"/>
      <c r="H4452" s="261"/>
      <c r="I4452" s="261"/>
      <c r="J4452" s="261"/>
      <c r="K4452" s="261"/>
      <c r="L4452" s="261"/>
      <c r="M4452" s="261"/>
    </row>
    <row r="4453" spans="5:13">
      <c r="E4453" s="261"/>
      <c r="F4453" s="261"/>
      <c r="G4453" s="261"/>
      <c r="H4453" s="261"/>
      <c r="I4453" s="261"/>
      <c r="J4453" s="261"/>
      <c r="K4453" s="261"/>
      <c r="L4453" s="261"/>
      <c r="M4453" s="261"/>
    </row>
    <row r="4454" spans="5:13">
      <c r="E4454" s="261"/>
      <c r="F4454" s="261"/>
      <c r="G4454" s="261"/>
      <c r="H4454" s="261"/>
      <c r="I4454" s="261"/>
      <c r="J4454" s="261"/>
      <c r="K4454" s="261"/>
      <c r="L4454" s="261"/>
      <c r="M4454" s="261"/>
    </row>
    <row r="4455" spans="5:13">
      <c r="E4455" s="261"/>
      <c r="F4455" s="261"/>
      <c r="G4455" s="261"/>
      <c r="H4455" s="261"/>
      <c r="I4455" s="261"/>
      <c r="J4455" s="261"/>
      <c r="K4455" s="261"/>
      <c r="L4455" s="261"/>
      <c r="M4455" s="261"/>
    </row>
    <row r="4456" spans="5:13">
      <c r="E4456" s="261"/>
      <c r="F4456" s="261"/>
      <c r="G4456" s="261"/>
      <c r="H4456" s="261"/>
      <c r="I4456" s="261"/>
      <c r="J4456" s="261"/>
      <c r="K4456" s="261"/>
      <c r="L4456" s="261"/>
      <c r="M4456" s="261"/>
    </row>
    <row r="4457" spans="5:13">
      <c r="E4457" s="261"/>
      <c r="F4457" s="261"/>
      <c r="G4457" s="261"/>
      <c r="H4457" s="261"/>
      <c r="I4457" s="261"/>
      <c r="J4457" s="261"/>
      <c r="K4457" s="261"/>
      <c r="L4457" s="261"/>
      <c r="M4457" s="261"/>
    </row>
    <row r="4458" spans="5:13">
      <c r="E4458" s="261"/>
      <c r="F4458" s="261"/>
      <c r="G4458" s="261"/>
      <c r="H4458" s="261"/>
      <c r="I4458" s="261"/>
      <c r="J4458" s="261"/>
      <c r="K4458" s="261"/>
      <c r="L4458" s="261"/>
      <c r="M4458" s="261"/>
    </row>
    <row r="4459" spans="5:13">
      <c r="E4459" s="261"/>
      <c r="F4459" s="261"/>
      <c r="G4459" s="261"/>
      <c r="H4459" s="261"/>
      <c r="I4459" s="261"/>
      <c r="J4459" s="261"/>
      <c r="K4459" s="261"/>
      <c r="L4459" s="261"/>
      <c r="M4459" s="261"/>
    </row>
    <row r="4460" spans="5:13">
      <c r="E4460" s="261"/>
      <c r="F4460" s="261"/>
      <c r="G4460" s="261"/>
      <c r="H4460" s="261"/>
      <c r="I4460" s="261"/>
      <c r="J4460" s="261"/>
      <c r="K4460" s="261"/>
      <c r="L4460" s="261"/>
      <c r="M4460" s="261"/>
    </row>
    <row r="4461" spans="5:13">
      <c r="E4461" s="261"/>
      <c r="F4461" s="261"/>
      <c r="G4461" s="261"/>
      <c r="H4461" s="261"/>
      <c r="I4461" s="261"/>
      <c r="J4461" s="261"/>
      <c r="K4461" s="261"/>
      <c r="L4461" s="261"/>
      <c r="M4461" s="261"/>
    </row>
    <row r="4462" spans="5:13">
      <c r="E4462" s="261"/>
      <c r="F4462" s="261"/>
      <c r="G4462" s="261"/>
      <c r="H4462" s="261"/>
      <c r="I4462" s="261"/>
      <c r="J4462" s="261"/>
      <c r="K4462" s="261"/>
      <c r="L4462" s="261"/>
      <c r="M4462" s="261"/>
    </row>
    <row r="4463" spans="5:13">
      <c r="E4463" s="261"/>
      <c r="F4463" s="261"/>
      <c r="G4463" s="261"/>
      <c r="H4463" s="261"/>
      <c r="I4463" s="261"/>
      <c r="J4463" s="261"/>
      <c r="K4463" s="261"/>
      <c r="L4463" s="261"/>
      <c r="M4463" s="261"/>
    </row>
    <row r="4464" spans="5:13">
      <c r="E4464" s="261"/>
      <c r="F4464" s="261"/>
      <c r="G4464" s="261"/>
      <c r="H4464" s="261"/>
      <c r="I4464" s="261"/>
      <c r="J4464" s="261"/>
      <c r="K4464" s="261"/>
      <c r="L4464" s="261"/>
      <c r="M4464" s="261"/>
    </row>
    <row r="4465" spans="5:13">
      <c r="E4465" s="261"/>
      <c r="F4465" s="261"/>
      <c r="G4465" s="261"/>
      <c r="H4465" s="261"/>
      <c r="I4465" s="261"/>
      <c r="J4465" s="261"/>
      <c r="K4465" s="261"/>
      <c r="L4465" s="261"/>
      <c r="M4465" s="261"/>
    </row>
    <row r="4466" spans="5:13">
      <c r="E4466" s="261"/>
      <c r="F4466" s="261"/>
      <c r="G4466" s="261"/>
      <c r="H4466" s="261"/>
      <c r="I4466" s="261"/>
      <c r="J4466" s="261"/>
      <c r="K4466" s="261"/>
      <c r="L4466" s="261"/>
      <c r="M4466" s="261"/>
    </row>
    <row r="4467" spans="5:13">
      <c r="E4467" s="261"/>
      <c r="F4467" s="261"/>
      <c r="G4467" s="261"/>
      <c r="H4467" s="261"/>
      <c r="I4467" s="261"/>
      <c r="J4467" s="261"/>
      <c r="K4467" s="261"/>
      <c r="L4467" s="261"/>
      <c r="M4467" s="261"/>
    </row>
    <row r="4468" spans="5:13">
      <c r="E4468" s="261"/>
      <c r="F4468" s="261"/>
      <c r="G4468" s="261"/>
      <c r="H4468" s="261"/>
      <c r="I4468" s="261"/>
      <c r="J4468" s="261"/>
      <c r="K4468" s="261"/>
      <c r="L4468" s="261"/>
      <c r="M4468" s="261"/>
    </row>
    <row r="4469" spans="5:13">
      <c r="E4469" s="261"/>
      <c r="F4469" s="261"/>
      <c r="G4469" s="261"/>
      <c r="H4469" s="261"/>
      <c r="I4469" s="261"/>
      <c r="J4469" s="261"/>
      <c r="K4469" s="261"/>
      <c r="L4469" s="261"/>
      <c r="M4469" s="261"/>
    </row>
    <row r="4470" spans="5:13">
      <c r="E4470" s="261"/>
      <c r="F4470" s="261"/>
      <c r="G4470" s="261"/>
      <c r="H4470" s="261"/>
      <c r="I4470" s="261"/>
      <c r="J4470" s="261"/>
      <c r="K4470" s="261"/>
      <c r="L4470" s="261"/>
      <c r="M4470" s="261"/>
    </row>
    <row r="4471" spans="5:13">
      <c r="E4471" s="261"/>
      <c r="F4471" s="261"/>
      <c r="G4471" s="261"/>
      <c r="H4471" s="261"/>
      <c r="I4471" s="261"/>
      <c r="J4471" s="261"/>
      <c r="K4471" s="261"/>
      <c r="L4471" s="261"/>
      <c r="M4471" s="261"/>
    </row>
    <row r="4472" spans="5:13">
      <c r="E4472" s="261"/>
      <c r="F4472" s="261"/>
      <c r="G4472" s="261"/>
      <c r="H4472" s="261"/>
      <c r="I4472" s="261"/>
      <c r="J4472" s="261"/>
      <c r="K4472" s="261"/>
      <c r="L4472" s="261"/>
      <c r="M4472" s="261"/>
    </row>
    <row r="4473" spans="5:13">
      <c r="E4473" s="261"/>
      <c r="F4473" s="261"/>
      <c r="G4473" s="261"/>
      <c r="H4473" s="261"/>
      <c r="I4473" s="261"/>
      <c r="J4473" s="261"/>
      <c r="K4473" s="261"/>
      <c r="L4473" s="261"/>
      <c r="M4473" s="261"/>
    </row>
    <row r="4474" spans="5:13">
      <c r="E4474" s="261"/>
      <c r="F4474" s="261"/>
      <c r="G4474" s="261"/>
      <c r="H4474" s="261"/>
      <c r="I4474" s="261"/>
      <c r="J4474" s="261"/>
      <c r="K4474" s="261"/>
      <c r="L4474" s="261"/>
      <c r="M4474" s="261"/>
    </row>
    <row r="4475" spans="5:13">
      <c r="E4475" s="261"/>
      <c r="F4475" s="261"/>
      <c r="G4475" s="261"/>
      <c r="H4475" s="261"/>
      <c r="I4475" s="261"/>
      <c r="J4475" s="261"/>
      <c r="K4475" s="261"/>
      <c r="L4475" s="261"/>
      <c r="M4475" s="261"/>
    </row>
    <row r="4476" spans="5:13">
      <c r="E4476" s="261"/>
      <c r="F4476" s="261"/>
      <c r="G4476" s="261"/>
      <c r="H4476" s="261"/>
      <c r="I4476" s="261"/>
      <c r="J4476" s="261"/>
      <c r="K4476" s="261"/>
      <c r="L4476" s="261"/>
      <c r="M4476" s="261"/>
    </row>
    <row r="4477" spans="5:13">
      <c r="E4477" s="261"/>
      <c r="F4477" s="261"/>
      <c r="G4477" s="261"/>
      <c r="H4477" s="261"/>
      <c r="I4477" s="261"/>
      <c r="J4477" s="261"/>
      <c r="K4477" s="261"/>
      <c r="L4477" s="261"/>
      <c r="M4477" s="261"/>
    </row>
    <row r="4478" spans="5:13">
      <c r="E4478" s="261"/>
      <c r="F4478" s="261"/>
      <c r="G4478" s="261"/>
      <c r="H4478" s="261"/>
      <c r="I4478" s="261"/>
      <c r="J4478" s="261"/>
      <c r="K4478" s="261"/>
      <c r="L4478" s="261"/>
      <c r="M4478" s="261"/>
    </row>
    <row r="4479" spans="5:13">
      <c r="E4479" s="261"/>
      <c r="F4479" s="261"/>
      <c r="G4479" s="261"/>
      <c r="H4479" s="261"/>
      <c r="I4479" s="261"/>
      <c r="J4479" s="261"/>
      <c r="K4479" s="261"/>
      <c r="L4479" s="261"/>
      <c r="M4479" s="261"/>
    </row>
    <row r="4480" spans="5:13">
      <c r="E4480" s="261"/>
      <c r="F4480" s="261"/>
      <c r="G4480" s="261"/>
      <c r="H4480" s="261"/>
      <c r="I4480" s="261"/>
      <c r="J4480" s="261"/>
      <c r="K4480" s="261"/>
      <c r="L4480" s="261"/>
      <c r="M4480" s="261"/>
    </row>
    <row r="4481" spans="5:13">
      <c r="E4481" s="261"/>
      <c r="F4481" s="261"/>
      <c r="G4481" s="261"/>
      <c r="H4481" s="261"/>
      <c r="I4481" s="261"/>
      <c r="J4481" s="261"/>
      <c r="K4481" s="261"/>
      <c r="L4481" s="261"/>
      <c r="M4481" s="261"/>
    </row>
    <row r="4482" spans="5:13">
      <c r="E4482" s="261"/>
      <c r="F4482" s="261"/>
      <c r="G4482" s="261"/>
      <c r="H4482" s="261"/>
      <c r="I4482" s="261"/>
      <c r="J4482" s="261"/>
      <c r="K4482" s="261"/>
      <c r="L4482" s="261"/>
      <c r="M4482" s="261"/>
    </row>
    <row r="4483" spans="5:13">
      <c r="E4483" s="261"/>
      <c r="F4483" s="261"/>
      <c r="G4483" s="261"/>
      <c r="H4483" s="261"/>
      <c r="I4483" s="261"/>
      <c r="J4483" s="261"/>
      <c r="K4483" s="261"/>
      <c r="L4483" s="261"/>
      <c r="M4483" s="261"/>
    </row>
    <row r="4484" spans="5:13">
      <c r="E4484" s="261"/>
      <c r="F4484" s="261"/>
      <c r="G4484" s="261"/>
      <c r="H4484" s="261"/>
      <c r="I4484" s="261"/>
      <c r="J4484" s="261"/>
      <c r="K4484" s="261"/>
      <c r="L4484" s="261"/>
      <c r="M4484" s="261"/>
    </row>
    <row r="4485" spans="5:13">
      <c r="E4485" s="261"/>
      <c r="F4485" s="261"/>
      <c r="G4485" s="261"/>
      <c r="H4485" s="261"/>
      <c r="I4485" s="261"/>
      <c r="J4485" s="261"/>
      <c r="K4485" s="261"/>
      <c r="L4485" s="261"/>
      <c r="M4485" s="261"/>
    </row>
    <row r="4486" spans="5:13">
      <c r="E4486" s="261"/>
      <c r="F4486" s="261"/>
      <c r="G4486" s="261"/>
      <c r="H4486" s="261"/>
      <c r="I4486" s="261"/>
      <c r="J4486" s="261"/>
      <c r="K4486" s="261"/>
      <c r="L4486" s="261"/>
      <c r="M4486" s="261"/>
    </row>
    <row r="4487" spans="5:13">
      <c r="E4487" s="261"/>
      <c r="F4487" s="261"/>
      <c r="G4487" s="261"/>
      <c r="H4487" s="261"/>
      <c r="I4487" s="261"/>
      <c r="J4487" s="261"/>
      <c r="K4487" s="261"/>
      <c r="L4487" s="261"/>
      <c r="M4487" s="261"/>
    </row>
    <row r="4488" spans="5:13">
      <c r="E4488" s="261"/>
      <c r="F4488" s="261"/>
      <c r="G4488" s="261"/>
      <c r="H4488" s="261"/>
      <c r="I4488" s="261"/>
      <c r="J4488" s="261"/>
      <c r="K4488" s="261"/>
      <c r="L4488" s="261"/>
      <c r="M4488" s="261"/>
    </row>
    <row r="4489" spans="5:13">
      <c r="E4489" s="261"/>
      <c r="F4489" s="261"/>
      <c r="G4489" s="261"/>
      <c r="H4489" s="261"/>
      <c r="I4489" s="261"/>
      <c r="J4489" s="261"/>
      <c r="K4489" s="261"/>
      <c r="L4489" s="261"/>
      <c r="M4489" s="261"/>
    </row>
    <row r="4490" spans="5:13">
      <c r="E4490" s="261"/>
      <c r="F4490" s="261"/>
      <c r="G4490" s="261"/>
      <c r="H4490" s="261"/>
      <c r="I4490" s="261"/>
      <c r="J4490" s="261"/>
      <c r="K4490" s="261"/>
      <c r="L4490" s="261"/>
      <c r="M4490" s="261"/>
    </row>
    <row r="4491" spans="5:13">
      <c r="E4491" s="261"/>
      <c r="F4491" s="261"/>
      <c r="G4491" s="261"/>
      <c r="H4491" s="261"/>
      <c r="I4491" s="261"/>
      <c r="J4491" s="261"/>
      <c r="K4491" s="261"/>
      <c r="L4491" s="261"/>
      <c r="M4491" s="261"/>
    </row>
    <row r="4492" spans="5:13">
      <c r="E4492" s="261"/>
      <c r="F4492" s="261"/>
      <c r="G4492" s="261"/>
      <c r="H4492" s="261"/>
      <c r="I4492" s="261"/>
      <c r="J4492" s="261"/>
      <c r="K4492" s="261"/>
      <c r="L4492" s="261"/>
      <c r="M4492" s="261"/>
    </row>
    <row r="4493" spans="5:13">
      <c r="E4493" s="261"/>
      <c r="F4493" s="261"/>
      <c r="G4493" s="261"/>
      <c r="H4493" s="261"/>
      <c r="I4493" s="261"/>
      <c r="J4493" s="261"/>
      <c r="K4493" s="261"/>
      <c r="L4493" s="261"/>
      <c r="M4493" s="261"/>
    </row>
    <row r="4494" spans="5:13">
      <c r="E4494" s="261"/>
      <c r="F4494" s="261"/>
      <c r="G4494" s="261"/>
      <c r="H4494" s="261"/>
      <c r="I4494" s="261"/>
      <c r="J4494" s="261"/>
      <c r="K4494" s="261"/>
      <c r="L4494" s="261"/>
      <c r="M4494" s="261"/>
    </row>
    <row r="4495" spans="5:13">
      <c r="E4495" s="261"/>
      <c r="F4495" s="261"/>
      <c r="G4495" s="261"/>
      <c r="H4495" s="261"/>
      <c r="I4495" s="261"/>
      <c r="J4495" s="261"/>
      <c r="K4495" s="261"/>
      <c r="L4495" s="261"/>
      <c r="M4495" s="261"/>
    </row>
    <row r="4496" spans="5:13">
      <c r="E4496" s="261"/>
      <c r="F4496" s="261"/>
      <c r="G4496" s="261"/>
      <c r="H4496" s="261"/>
      <c r="I4496" s="261"/>
      <c r="J4496" s="261"/>
      <c r="K4496" s="261"/>
      <c r="L4496" s="261"/>
      <c r="M4496" s="261"/>
    </row>
    <row r="4497" spans="5:13">
      <c r="E4497" s="261"/>
      <c r="F4497" s="261"/>
      <c r="G4497" s="261"/>
      <c r="H4497" s="261"/>
      <c r="I4497" s="261"/>
      <c r="J4497" s="261"/>
      <c r="K4497" s="261"/>
      <c r="L4497" s="261"/>
      <c r="M4497" s="261"/>
    </row>
    <row r="4498" spans="5:13">
      <c r="E4498" s="261"/>
      <c r="F4498" s="261"/>
      <c r="G4498" s="261"/>
      <c r="H4498" s="261"/>
      <c r="I4498" s="261"/>
      <c r="J4498" s="261"/>
      <c r="K4498" s="261"/>
      <c r="L4498" s="261"/>
      <c r="M4498" s="261"/>
    </row>
    <row r="4499" spans="5:13">
      <c r="E4499" s="261"/>
      <c r="F4499" s="261"/>
      <c r="G4499" s="261"/>
      <c r="H4499" s="261"/>
      <c r="I4499" s="261"/>
      <c r="J4499" s="261"/>
      <c r="K4499" s="261"/>
      <c r="L4499" s="261"/>
      <c r="M4499" s="261"/>
    </row>
    <row r="4500" spans="5:13">
      <c r="E4500" s="261"/>
      <c r="F4500" s="261"/>
      <c r="G4500" s="261"/>
      <c r="H4500" s="261"/>
      <c r="I4500" s="261"/>
      <c r="J4500" s="261"/>
      <c r="K4500" s="261"/>
      <c r="L4500" s="261"/>
      <c r="M4500" s="261"/>
    </row>
    <row r="4501" spans="5:13">
      <c r="E4501" s="261"/>
      <c r="F4501" s="261"/>
      <c r="G4501" s="261"/>
      <c r="H4501" s="261"/>
      <c r="I4501" s="261"/>
      <c r="J4501" s="261"/>
      <c r="K4501" s="261"/>
      <c r="L4501" s="261"/>
      <c r="M4501" s="261"/>
    </row>
    <row r="4502" spans="5:13">
      <c r="E4502" s="261"/>
      <c r="F4502" s="261"/>
      <c r="G4502" s="261"/>
      <c r="H4502" s="261"/>
      <c r="I4502" s="261"/>
      <c r="J4502" s="261"/>
      <c r="K4502" s="261"/>
      <c r="L4502" s="261"/>
      <c r="M4502" s="261"/>
    </row>
    <row r="4503" spans="5:13">
      <c r="E4503" s="261"/>
      <c r="F4503" s="261"/>
      <c r="G4503" s="261"/>
      <c r="H4503" s="261"/>
      <c r="I4503" s="261"/>
      <c r="J4503" s="261"/>
      <c r="K4503" s="261"/>
      <c r="L4503" s="261"/>
      <c r="M4503" s="261"/>
    </row>
    <row r="4504" spans="5:13">
      <c r="E4504" s="261"/>
      <c r="F4504" s="261"/>
      <c r="G4504" s="261"/>
      <c r="H4504" s="261"/>
      <c r="I4504" s="261"/>
      <c r="J4504" s="261"/>
      <c r="K4504" s="261"/>
      <c r="L4504" s="261"/>
      <c r="M4504" s="261"/>
    </row>
    <row r="4505" spans="5:13">
      <c r="E4505" s="261"/>
      <c r="F4505" s="261"/>
      <c r="G4505" s="261"/>
      <c r="H4505" s="261"/>
      <c r="I4505" s="261"/>
      <c r="J4505" s="261"/>
      <c r="K4505" s="261"/>
      <c r="L4505" s="261"/>
      <c r="M4505" s="261"/>
    </row>
    <row r="4506" spans="5:13">
      <c r="E4506" s="261"/>
      <c r="F4506" s="261"/>
      <c r="G4506" s="261"/>
      <c r="H4506" s="261"/>
      <c r="I4506" s="261"/>
      <c r="J4506" s="261"/>
      <c r="K4506" s="261"/>
      <c r="L4506" s="261"/>
      <c r="M4506" s="261"/>
    </row>
    <row r="4507" spans="5:13">
      <c r="E4507" s="261"/>
      <c r="F4507" s="261"/>
      <c r="G4507" s="261"/>
      <c r="H4507" s="261"/>
      <c r="I4507" s="261"/>
      <c r="J4507" s="261"/>
      <c r="K4507" s="261"/>
      <c r="L4507" s="261"/>
      <c r="M4507" s="261"/>
    </row>
    <row r="4508" spans="5:13">
      <c r="E4508" s="261"/>
      <c r="F4508" s="261"/>
      <c r="G4508" s="261"/>
      <c r="H4508" s="261"/>
      <c r="I4508" s="261"/>
      <c r="J4508" s="261"/>
      <c r="K4508" s="261"/>
      <c r="L4508" s="261"/>
      <c r="M4508" s="261"/>
    </row>
    <row r="4509" spans="5:13">
      <c r="E4509" s="261"/>
      <c r="F4509" s="261"/>
      <c r="G4509" s="261"/>
      <c r="H4509" s="261"/>
      <c r="I4509" s="261"/>
      <c r="J4509" s="261"/>
      <c r="K4509" s="261"/>
      <c r="L4509" s="261"/>
      <c r="M4509" s="261"/>
    </row>
    <row r="4510" spans="5:13">
      <c r="E4510" s="261"/>
      <c r="F4510" s="261"/>
      <c r="G4510" s="261"/>
      <c r="H4510" s="261"/>
      <c r="I4510" s="261"/>
      <c r="J4510" s="261"/>
      <c r="K4510" s="261"/>
      <c r="L4510" s="261"/>
      <c r="M4510" s="261"/>
    </row>
    <row r="4511" spans="5:13">
      <c r="E4511" s="261"/>
      <c r="F4511" s="261"/>
      <c r="G4511" s="261"/>
      <c r="H4511" s="261"/>
      <c r="I4511" s="261"/>
      <c r="J4511" s="261"/>
      <c r="K4511" s="261"/>
      <c r="L4511" s="261"/>
      <c r="M4511" s="261"/>
    </row>
    <row r="4512" spans="5:13">
      <c r="E4512" s="261"/>
      <c r="F4512" s="261"/>
      <c r="G4512" s="261"/>
      <c r="H4512" s="261"/>
      <c r="I4512" s="261"/>
      <c r="J4512" s="261"/>
      <c r="K4512" s="261"/>
      <c r="L4512" s="261"/>
      <c r="M4512" s="261"/>
    </row>
    <row r="4513" spans="5:13">
      <c r="E4513" s="261"/>
      <c r="F4513" s="261"/>
      <c r="G4513" s="261"/>
      <c r="H4513" s="261"/>
      <c r="I4513" s="261"/>
      <c r="J4513" s="261"/>
      <c r="K4513" s="261"/>
      <c r="L4513" s="261"/>
      <c r="M4513" s="261"/>
    </row>
    <row r="4514" spans="5:13">
      <c r="E4514" s="261"/>
      <c r="F4514" s="261"/>
      <c r="G4514" s="261"/>
      <c r="H4514" s="261"/>
      <c r="I4514" s="261"/>
      <c r="J4514" s="261"/>
      <c r="K4514" s="261"/>
      <c r="L4514" s="261"/>
      <c r="M4514" s="261"/>
    </row>
    <row r="4515" spans="5:13">
      <c r="E4515" s="261"/>
      <c r="F4515" s="261"/>
      <c r="G4515" s="261"/>
      <c r="H4515" s="261"/>
      <c r="I4515" s="261"/>
      <c r="J4515" s="261"/>
      <c r="K4515" s="261"/>
      <c r="L4515" s="261"/>
      <c r="M4515" s="261"/>
    </row>
    <row r="4516" spans="5:13">
      <c r="E4516" s="261"/>
      <c r="F4516" s="261"/>
      <c r="G4516" s="261"/>
      <c r="H4516" s="261"/>
      <c r="I4516" s="261"/>
      <c r="J4516" s="261"/>
      <c r="K4516" s="261"/>
      <c r="L4516" s="261"/>
      <c r="M4516" s="261"/>
    </row>
    <row r="4517" spans="5:13">
      <c r="E4517" s="261"/>
      <c r="F4517" s="261"/>
      <c r="G4517" s="261"/>
      <c r="H4517" s="261"/>
      <c r="I4517" s="261"/>
      <c r="J4517" s="261"/>
      <c r="K4517" s="261"/>
      <c r="L4517" s="261"/>
      <c r="M4517" s="261"/>
    </row>
    <row r="4518" spans="5:13">
      <c r="E4518" s="261"/>
      <c r="F4518" s="261"/>
      <c r="G4518" s="261"/>
      <c r="H4518" s="261"/>
      <c r="I4518" s="261"/>
      <c r="J4518" s="261"/>
      <c r="K4518" s="261"/>
      <c r="L4518" s="261"/>
      <c r="M4518" s="261"/>
    </row>
    <row r="4519" spans="5:13">
      <c r="E4519" s="261"/>
      <c r="F4519" s="261"/>
      <c r="G4519" s="261"/>
      <c r="H4519" s="261"/>
      <c r="I4519" s="261"/>
      <c r="J4519" s="261"/>
      <c r="K4519" s="261"/>
      <c r="L4519" s="261"/>
      <c r="M4519" s="261"/>
    </row>
    <row r="4520" spans="5:13">
      <c r="E4520" s="261"/>
      <c r="F4520" s="261"/>
      <c r="G4520" s="261"/>
      <c r="H4520" s="261"/>
      <c r="I4520" s="261"/>
      <c r="J4520" s="261"/>
      <c r="K4520" s="261"/>
      <c r="L4520" s="261"/>
      <c r="M4520" s="261"/>
    </row>
    <row r="4521" spans="5:13">
      <c r="E4521" s="261"/>
      <c r="F4521" s="261"/>
      <c r="G4521" s="261"/>
      <c r="H4521" s="261"/>
      <c r="I4521" s="261"/>
      <c r="J4521" s="261"/>
      <c r="K4521" s="261"/>
      <c r="L4521" s="261"/>
      <c r="M4521" s="261"/>
    </row>
    <row r="4522" spans="5:13">
      <c r="E4522" s="261"/>
      <c r="F4522" s="261"/>
      <c r="G4522" s="261"/>
      <c r="H4522" s="261"/>
      <c r="I4522" s="261"/>
      <c r="J4522" s="261"/>
      <c r="K4522" s="261"/>
      <c r="L4522" s="261"/>
      <c r="M4522" s="261"/>
    </row>
    <row r="4523" spans="5:13">
      <c r="E4523" s="261"/>
      <c r="F4523" s="261"/>
      <c r="G4523" s="261"/>
      <c r="H4523" s="261"/>
      <c r="I4523" s="261"/>
      <c r="J4523" s="261"/>
      <c r="K4523" s="261"/>
      <c r="L4523" s="261"/>
      <c r="M4523" s="261"/>
    </row>
    <row r="4524" spans="5:13">
      <c r="E4524" s="261"/>
      <c r="F4524" s="261"/>
      <c r="G4524" s="261"/>
      <c r="H4524" s="261"/>
      <c r="I4524" s="261"/>
      <c r="J4524" s="261"/>
      <c r="K4524" s="261"/>
      <c r="L4524" s="261"/>
      <c r="M4524" s="261"/>
    </row>
    <row r="4525" spans="5:13">
      <c r="E4525" s="261"/>
      <c r="F4525" s="261"/>
      <c r="G4525" s="261"/>
      <c r="H4525" s="261"/>
      <c r="I4525" s="261"/>
      <c r="J4525" s="261"/>
      <c r="K4525" s="261"/>
      <c r="L4525" s="261"/>
      <c r="M4525" s="261"/>
    </row>
    <row r="4526" spans="5:13">
      <c r="E4526" s="261"/>
      <c r="F4526" s="261"/>
      <c r="G4526" s="261"/>
      <c r="H4526" s="261"/>
      <c r="I4526" s="261"/>
      <c r="J4526" s="261"/>
      <c r="K4526" s="261"/>
      <c r="L4526" s="261"/>
      <c r="M4526" s="261"/>
    </row>
    <row r="4527" spans="5:13">
      <c r="E4527" s="261"/>
      <c r="F4527" s="261"/>
      <c r="G4527" s="261"/>
      <c r="H4527" s="261"/>
      <c r="I4527" s="261"/>
      <c r="J4527" s="261"/>
      <c r="K4527" s="261"/>
      <c r="L4527" s="261"/>
      <c r="M4527" s="261"/>
    </row>
    <row r="4528" spans="5:13">
      <c r="E4528" s="261"/>
      <c r="F4528" s="261"/>
      <c r="G4528" s="261"/>
      <c r="H4528" s="261"/>
      <c r="I4528" s="261"/>
      <c r="J4528" s="261"/>
      <c r="K4528" s="261"/>
      <c r="L4528" s="261"/>
      <c r="M4528" s="261"/>
    </row>
    <row r="4529" spans="5:13">
      <c r="E4529" s="261"/>
      <c r="F4529" s="261"/>
      <c r="G4529" s="261"/>
      <c r="H4529" s="261"/>
      <c r="I4529" s="261"/>
      <c r="J4529" s="261"/>
      <c r="K4529" s="261"/>
      <c r="L4529" s="261"/>
      <c r="M4529" s="261"/>
    </row>
    <row r="4530" spans="5:13">
      <c r="E4530" s="261"/>
      <c r="F4530" s="261"/>
      <c r="G4530" s="261"/>
      <c r="H4530" s="261"/>
      <c r="I4530" s="261"/>
      <c r="J4530" s="261"/>
      <c r="K4530" s="261"/>
      <c r="L4530" s="261"/>
      <c r="M4530" s="261"/>
    </row>
    <row r="4531" spans="5:13">
      <c r="E4531" s="261"/>
      <c r="F4531" s="261"/>
      <c r="G4531" s="261"/>
      <c r="H4531" s="261"/>
      <c r="I4531" s="261"/>
      <c r="J4531" s="261"/>
      <c r="K4531" s="261"/>
      <c r="L4531" s="261"/>
      <c r="M4531" s="261"/>
    </row>
    <row r="4532" spans="5:13">
      <c r="E4532" s="261"/>
      <c r="F4532" s="261"/>
      <c r="G4532" s="261"/>
      <c r="H4532" s="261"/>
      <c r="I4532" s="261"/>
      <c r="J4532" s="261"/>
      <c r="K4532" s="261"/>
      <c r="L4532" s="261"/>
      <c r="M4532" s="261"/>
    </row>
    <row r="4533" spans="5:13">
      <c r="E4533" s="261"/>
      <c r="F4533" s="261"/>
      <c r="G4533" s="261"/>
      <c r="H4533" s="261"/>
      <c r="I4533" s="261"/>
      <c r="J4533" s="261"/>
      <c r="K4533" s="261"/>
      <c r="L4533" s="261"/>
      <c r="M4533" s="261"/>
    </row>
    <row r="4534" spans="5:13">
      <c r="E4534" s="261"/>
      <c r="F4534" s="261"/>
      <c r="G4534" s="261"/>
      <c r="H4534" s="261"/>
      <c r="I4534" s="261"/>
      <c r="J4534" s="261"/>
      <c r="K4534" s="261"/>
      <c r="L4534" s="261"/>
      <c r="M4534" s="261"/>
    </row>
    <row r="4535" spans="5:13">
      <c r="E4535" s="261"/>
      <c r="F4535" s="261"/>
      <c r="G4535" s="261"/>
      <c r="H4535" s="261"/>
      <c r="I4535" s="261"/>
      <c r="J4535" s="261"/>
      <c r="K4535" s="261"/>
      <c r="L4535" s="261"/>
      <c r="M4535" s="261"/>
    </row>
    <row r="4536" spans="5:13">
      <c r="E4536" s="261"/>
      <c r="F4536" s="261"/>
      <c r="G4536" s="261"/>
      <c r="H4536" s="261"/>
      <c r="I4536" s="261"/>
      <c r="J4536" s="261"/>
      <c r="K4536" s="261"/>
      <c r="L4536" s="261"/>
      <c r="M4536" s="261"/>
    </row>
    <row r="4537" spans="5:13">
      <c r="E4537" s="261"/>
      <c r="F4537" s="261"/>
      <c r="G4537" s="261"/>
      <c r="H4537" s="261"/>
      <c r="I4537" s="261"/>
      <c r="J4537" s="261"/>
      <c r="K4537" s="261"/>
      <c r="L4537" s="261"/>
      <c r="M4537" s="261"/>
    </row>
    <row r="4538" spans="5:13">
      <c r="E4538" s="261"/>
      <c r="F4538" s="261"/>
      <c r="G4538" s="261"/>
      <c r="H4538" s="261"/>
      <c r="I4538" s="261"/>
      <c r="J4538" s="261"/>
      <c r="K4538" s="261"/>
      <c r="L4538" s="261"/>
      <c r="M4538" s="261"/>
    </row>
    <row r="4539" spans="5:13">
      <c r="E4539" s="261"/>
      <c r="F4539" s="261"/>
      <c r="G4539" s="261"/>
      <c r="H4539" s="261"/>
      <c r="I4539" s="261"/>
      <c r="J4539" s="261"/>
      <c r="K4539" s="261"/>
      <c r="L4539" s="261"/>
      <c r="M4539" s="261"/>
    </row>
    <row r="4540" spans="5:13">
      <c r="E4540" s="261"/>
      <c r="F4540" s="261"/>
      <c r="G4540" s="261"/>
      <c r="H4540" s="261"/>
      <c r="I4540" s="261"/>
      <c r="J4540" s="261"/>
      <c r="K4540" s="261"/>
      <c r="L4540" s="261"/>
      <c r="M4540" s="261"/>
    </row>
    <row r="4541" spans="5:13">
      <c r="E4541" s="261"/>
      <c r="F4541" s="261"/>
      <c r="G4541" s="261"/>
      <c r="H4541" s="261"/>
      <c r="I4541" s="261"/>
      <c r="J4541" s="261"/>
      <c r="K4541" s="261"/>
      <c r="L4541" s="261"/>
      <c r="M4541" s="261"/>
    </row>
    <row r="4542" spans="5:13">
      <c r="E4542" s="261"/>
      <c r="F4542" s="261"/>
      <c r="G4542" s="261"/>
      <c r="H4542" s="261"/>
      <c r="I4542" s="261"/>
      <c r="J4542" s="261"/>
      <c r="K4542" s="261"/>
      <c r="L4542" s="261"/>
      <c r="M4542" s="261"/>
    </row>
    <row r="4543" spans="5:13">
      <c r="E4543" s="261"/>
      <c r="F4543" s="261"/>
      <c r="G4543" s="261"/>
      <c r="H4543" s="261"/>
      <c r="I4543" s="261"/>
      <c r="J4543" s="261"/>
      <c r="K4543" s="261"/>
      <c r="L4543" s="261"/>
      <c r="M4543" s="261"/>
    </row>
    <row r="4544" spans="5:13">
      <c r="E4544" s="261"/>
      <c r="F4544" s="261"/>
      <c r="G4544" s="261"/>
      <c r="H4544" s="261"/>
      <c r="I4544" s="261"/>
      <c r="J4544" s="261"/>
      <c r="K4544" s="261"/>
      <c r="L4544" s="261"/>
      <c r="M4544" s="261"/>
    </row>
    <row r="4545" spans="5:13">
      <c r="E4545" s="261"/>
      <c r="F4545" s="261"/>
      <c r="G4545" s="261"/>
      <c r="H4545" s="261"/>
      <c r="I4545" s="261"/>
      <c r="J4545" s="261"/>
      <c r="K4545" s="261"/>
      <c r="L4545" s="261"/>
      <c r="M4545" s="261"/>
    </row>
    <row r="4546" spans="5:13">
      <c r="E4546" s="261"/>
      <c r="F4546" s="261"/>
      <c r="G4546" s="261"/>
      <c r="H4546" s="261"/>
      <c r="I4546" s="261"/>
      <c r="J4546" s="261"/>
      <c r="K4546" s="261"/>
      <c r="L4546" s="261"/>
      <c r="M4546" s="261"/>
    </row>
    <row r="4547" spans="5:13">
      <c r="E4547" s="261"/>
      <c r="F4547" s="261"/>
      <c r="G4547" s="261"/>
      <c r="H4547" s="261"/>
      <c r="I4547" s="261"/>
      <c r="J4547" s="261"/>
      <c r="K4547" s="261"/>
      <c r="L4547" s="261"/>
      <c r="M4547" s="261"/>
    </row>
    <row r="4548" spans="5:13">
      <c r="E4548" s="261"/>
      <c r="F4548" s="261"/>
      <c r="G4548" s="261"/>
      <c r="H4548" s="261"/>
      <c r="I4548" s="261"/>
      <c r="J4548" s="261"/>
      <c r="K4548" s="261"/>
      <c r="L4548" s="261"/>
      <c r="M4548" s="261"/>
    </row>
    <row r="4549" spans="5:13">
      <c r="E4549" s="261"/>
      <c r="F4549" s="261"/>
      <c r="G4549" s="261"/>
      <c r="H4549" s="261"/>
      <c r="I4549" s="261"/>
      <c r="J4549" s="261"/>
      <c r="K4549" s="261"/>
      <c r="L4549" s="261"/>
      <c r="M4549" s="261"/>
    </row>
    <row r="4550" spans="5:13">
      <c r="E4550" s="261"/>
      <c r="F4550" s="261"/>
      <c r="G4550" s="261"/>
      <c r="H4550" s="261"/>
      <c r="I4550" s="261"/>
      <c r="J4550" s="261"/>
      <c r="K4550" s="261"/>
      <c r="L4550" s="261"/>
      <c r="M4550" s="261"/>
    </row>
    <row r="4551" spans="5:13">
      <c r="E4551" s="261"/>
      <c r="F4551" s="261"/>
      <c r="G4551" s="261"/>
      <c r="H4551" s="261"/>
      <c r="I4551" s="261"/>
      <c r="J4551" s="261"/>
      <c r="K4551" s="261"/>
      <c r="L4551" s="261"/>
      <c r="M4551" s="261"/>
    </row>
    <row r="4552" spans="5:13">
      <c r="E4552" s="261"/>
      <c r="F4552" s="261"/>
      <c r="G4552" s="261"/>
      <c r="H4552" s="261"/>
      <c r="I4552" s="261"/>
      <c r="J4552" s="261"/>
      <c r="K4552" s="261"/>
      <c r="L4552" s="261"/>
      <c r="M4552" s="261"/>
    </row>
    <row r="4553" spans="5:13">
      <c r="E4553" s="261"/>
      <c r="F4553" s="261"/>
      <c r="G4553" s="261"/>
      <c r="H4553" s="261"/>
      <c r="I4553" s="261"/>
      <c r="J4553" s="261"/>
      <c r="K4553" s="261"/>
      <c r="L4553" s="261"/>
      <c r="M4553" s="261"/>
    </row>
    <row r="4554" spans="5:13">
      <c r="E4554" s="261"/>
      <c r="F4554" s="261"/>
      <c r="G4554" s="261"/>
      <c r="H4554" s="261"/>
      <c r="I4554" s="261"/>
      <c r="J4554" s="261"/>
      <c r="K4554" s="261"/>
      <c r="L4554" s="261"/>
      <c r="M4554" s="261"/>
    </row>
    <row r="4555" spans="5:13">
      <c r="E4555" s="261"/>
      <c r="F4555" s="261"/>
      <c r="G4555" s="261"/>
      <c r="H4555" s="261"/>
      <c r="I4555" s="261"/>
      <c r="J4555" s="261"/>
      <c r="K4555" s="261"/>
      <c r="L4555" s="261"/>
      <c r="M4555" s="261"/>
    </row>
    <row r="4556" spans="5:13">
      <c r="E4556" s="261"/>
      <c r="F4556" s="261"/>
      <c r="G4556" s="261"/>
      <c r="H4556" s="261"/>
      <c r="I4556" s="261"/>
      <c r="J4556" s="261"/>
      <c r="K4556" s="261"/>
      <c r="L4556" s="261"/>
      <c r="M4556" s="261"/>
    </row>
    <row r="4557" spans="5:13">
      <c r="E4557" s="261"/>
      <c r="F4557" s="261"/>
      <c r="G4557" s="261"/>
      <c r="H4557" s="261"/>
      <c r="I4557" s="261"/>
      <c r="J4557" s="261"/>
      <c r="K4557" s="261"/>
      <c r="L4557" s="261"/>
      <c r="M4557" s="261"/>
    </row>
    <row r="4558" spans="5:13">
      <c r="E4558" s="261"/>
      <c r="F4558" s="261"/>
      <c r="G4558" s="261"/>
      <c r="H4558" s="261"/>
      <c r="I4558" s="261"/>
      <c r="J4558" s="261"/>
      <c r="K4558" s="261"/>
      <c r="L4558" s="261"/>
      <c r="M4558" s="261"/>
    </row>
    <row r="4559" spans="5:13">
      <c r="E4559" s="261"/>
      <c r="F4559" s="261"/>
      <c r="G4559" s="261"/>
      <c r="H4559" s="261"/>
      <c r="I4559" s="261"/>
      <c r="J4559" s="261"/>
      <c r="K4559" s="261"/>
      <c r="L4559" s="261"/>
      <c r="M4559" s="261"/>
    </row>
    <row r="4560" spans="5:13">
      <c r="E4560" s="261"/>
      <c r="F4560" s="261"/>
      <c r="G4560" s="261"/>
      <c r="H4560" s="261"/>
      <c r="I4560" s="261"/>
      <c r="J4560" s="261"/>
      <c r="K4560" s="261"/>
      <c r="L4560" s="261"/>
      <c r="M4560" s="261"/>
    </row>
    <row r="4561" spans="5:13">
      <c r="E4561" s="261"/>
      <c r="F4561" s="261"/>
      <c r="G4561" s="261"/>
      <c r="H4561" s="261"/>
      <c r="I4561" s="261"/>
      <c r="J4561" s="261"/>
      <c r="K4561" s="261"/>
      <c r="L4561" s="261"/>
      <c r="M4561" s="261"/>
    </row>
    <row r="4562" spans="5:13">
      <c r="E4562" s="261"/>
      <c r="F4562" s="261"/>
      <c r="G4562" s="261"/>
      <c r="H4562" s="261"/>
      <c r="I4562" s="261"/>
      <c r="J4562" s="261"/>
      <c r="K4562" s="261"/>
      <c r="L4562" s="261"/>
      <c r="M4562" s="261"/>
    </row>
    <row r="4563" spans="5:13">
      <c r="E4563" s="261"/>
      <c r="F4563" s="261"/>
      <c r="G4563" s="261"/>
      <c r="H4563" s="261"/>
      <c r="I4563" s="261"/>
      <c r="J4563" s="261"/>
      <c r="K4563" s="261"/>
      <c r="L4563" s="261"/>
      <c r="M4563" s="261"/>
    </row>
    <row r="4564" spans="5:13">
      <c r="E4564" s="261"/>
      <c r="F4564" s="261"/>
      <c r="G4564" s="261"/>
      <c r="H4564" s="261"/>
      <c r="I4564" s="261"/>
      <c r="J4564" s="261"/>
      <c r="K4564" s="261"/>
      <c r="L4564" s="261"/>
      <c r="M4564" s="261"/>
    </row>
    <row r="4565" spans="5:13">
      <c r="E4565" s="261"/>
      <c r="F4565" s="261"/>
      <c r="G4565" s="261"/>
      <c r="H4565" s="261"/>
      <c r="I4565" s="261"/>
      <c r="J4565" s="261"/>
      <c r="K4565" s="261"/>
      <c r="L4565" s="261"/>
      <c r="M4565" s="261"/>
    </row>
    <row r="4566" spans="5:13">
      <c r="E4566" s="261"/>
      <c r="F4566" s="261"/>
      <c r="G4566" s="261"/>
      <c r="H4566" s="261"/>
      <c r="I4566" s="261"/>
      <c r="J4566" s="261"/>
      <c r="K4566" s="261"/>
      <c r="L4566" s="261"/>
      <c r="M4566" s="261"/>
    </row>
    <row r="4567" spans="5:13">
      <c r="E4567" s="261"/>
      <c r="F4567" s="261"/>
      <c r="G4567" s="261"/>
      <c r="H4567" s="261"/>
      <c r="I4567" s="261"/>
      <c r="J4567" s="261"/>
      <c r="K4567" s="261"/>
      <c r="L4567" s="261"/>
      <c r="M4567" s="261"/>
    </row>
    <row r="4568" spans="5:13">
      <c r="E4568" s="261"/>
      <c r="F4568" s="261"/>
      <c r="G4568" s="261"/>
      <c r="H4568" s="261"/>
      <c r="I4568" s="261"/>
      <c r="J4568" s="261"/>
      <c r="K4568" s="261"/>
      <c r="L4568" s="261"/>
      <c r="M4568" s="261"/>
    </row>
    <row r="4569" spans="5:13">
      <c r="E4569" s="261"/>
      <c r="F4569" s="261"/>
      <c r="G4569" s="261"/>
      <c r="H4569" s="261"/>
      <c r="I4569" s="261"/>
      <c r="J4569" s="261"/>
      <c r="K4569" s="261"/>
      <c r="L4569" s="261"/>
      <c r="M4569" s="261"/>
    </row>
    <row r="4570" spans="5:13">
      <c r="E4570" s="261"/>
      <c r="F4570" s="261"/>
      <c r="G4570" s="261"/>
      <c r="H4570" s="261"/>
      <c r="I4570" s="261"/>
      <c r="J4570" s="261"/>
      <c r="K4570" s="261"/>
      <c r="L4570" s="261"/>
      <c r="M4570" s="261"/>
    </row>
    <row r="4571" spans="5:13">
      <c r="E4571" s="261"/>
      <c r="F4571" s="261"/>
      <c r="G4571" s="261"/>
      <c r="H4571" s="261"/>
      <c r="I4571" s="261"/>
      <c r="J4571" s="261"/>
      <c r="K4571" s="261"/>
      <c r="L4571" s="261"/>
      <c r="M4571" s="261"/>
    </row>
    <row r="4572" spans="5:13">
      <c r="E4572" s="261"/>
      <c r="F4572" s="261"/>
      <c r="G4572" s="261"/>
      <c r="H4572" s="261"/>
      <c r="I4572" s="261"/>
      <c r="J4572" s="261"/>
      <c r="K4572" s="261"/>
      <c r="L4572" s="261"/>
      <c r="M4572" s="261"/>
    </row>
    <row r="4573" spans="5:13">
      <c r="E4573" s="261"/>
      <c r="F4573" s="261"/>
      <c r="G4573" s="261"/>
      <c r="H4573" s="261"/>
      <c r="I4573" s="261"/>
      <c r="J4573" s="261"/>
      <c r="K4573" s="261"/>
      <c r="L4573" s="261"/>
      <c r="M4573" s="261"/>
    </row>
    <row r="4574" spans="5:13">
      <c r="E4574" s="261"/>
      <c r="F4574" s="261"/>
      <c r="G4574" s="261"/>
      <c r="H4574" s="261"/>
      <c r="I4574" s="261"/>
      <c r="J4574" s="261"/>
      <c r="K4574" s="261"/>
      <c r="L4574" s="261"/>
      <c r="M4574" s="261"/>
    </row>
    <row r="4575" spans="5:13">
      <c r="E4575" s="261"/>
      <c r="F4575" s="261"/>
      <c r="G4575" s="261"/>
      <c r="H4575" s="261"/>
      <c r="I4575" s="261"/>
      <c r="J4575" s="261"/>
      <c r="K4575" s="261"/>
      <c r="L4575" s="261"/>
      <c r="M4575" s="261"/>
    </row>
    <row r="4576" spans="5:13">
      <c r="E4576" s="261"/>
      <c r="F4576" s="261"/>
      <c r="G4576" s="261"/>
      <c r="H4576" s="261"/>
      <c r="I4576" s="261"/>
      <c r="J4576" s="261"/>
      <c r="K4576" s="261"/>
      <c r="L4576" s="261"/>
      <c r="M4576" s="261"/>
    </row>
    <row r="4577" spans="5:13">
      <c r="E4577" s="261"/>
      <c r="F4577" s="261"/>
      <c r="G4577" s="261"/>
      <c r="H4577" s="261"/>
      <c r="I4577" s="261"/>
      <c r="J4577" s="261"/>
      <c r="K4577" s="261"/>
      <c r="L4577" s="261"/>
      <c r="M4577" s="261"/>
    </row>
    <row r="4578" spans="5:13">
      <c r="E4578" s="261"/>
      <c r="F4578" s="261"/>
      <c r="G4578" s="261"/>
      <c r="H4578" s="261"/>
      <c r="I4578" s="261"/>
      <c r="J4578" s="261"/>
      <c r="K4578" s="261"/>
      <c r="L4578" s="261"/>
      <c r="M4578" s="261"/>
    </row>
    <row r="4579" spans="5:13">
      <c r="E4579" s="261"/>
      <c r="F4579" s="261"/>
      <c r="G4579" s="261"/>
      <c r="H4579" s="261"/>
      <c r="I4579" s="261"/>
      <c r="J4579" s="261"/>
      <c r="K4579" s="261"/>
      <c r="L4579" s="261"/>
      <c r="M4579" s="261"/>
    </row>
    <row r="4580" spans="5:13">
      <c r="E4580" s="261"/>
      <c r="F4580" s="261"/>
      <c r="G4580" s="261"/>
      <c r="H4580" s="261"/>
      <c r="I4580" s="261"/>
      <c r="J4580" s="261"/>
      <c r="K4580" s="261"/>
      <c r="L4580" s="261"/>
      <c r="M4580" s="261"/>
    </row>
    <row r="4581" spans="5:13">
      <c r="E4581" s="261"/>
      <c r="F4581" s="261"/>
      <c r="G4581" s="261"/>
      <c r="H4581" s="261"/>
      <c r="I4581" s="261"/>
      <c r="J4581" s="261"/>
      <c r="K4581" s="261"/>
      <c r="L4581" s="261"/>
      <c r="M4581" s="261"/>
    </row>
    <row r="4582" spans="5:13">
      <c r="E4582" s="261"/>
      <c r="F4582" s="261"/>
      <c r="G4582" s="261"/>
      <c r="H4582" s="261"/>
      <c r="I4582" s="261"/>
      <c r="J4582" s="261"/>
      <c r="K4582" s="261"/>
      <c r="L4582" s="261"/>
      <c r="M4582" s="261"/>
    </row>
    <row r="4583" spans="5:13">
      <c r="E4583" s="261"/>
      <c r="F4583" s="261"/>
      <c r="G4583" s="261"/>
      <c r="H4583" s="261"/>
      <c r="I4583" s="261"/>
      <c r="J4583" s="261"/>
      <c r="K4583" s="261"/>
      <c r="L4583" s="261"/>
      <c r="M4583" s="261"/>
    </row>
    <row r="4584" spans="5:13">
      <c r="E4584" s="261"/>
      <c r="F4584" s="261"/>
      <c r="G4584" s="261"/>
      <c r="H4584" s="261"/>
      <c r="I4584" s="261"/>
      <c r="J4584" s="261"/>
      <c r="K4584" s="261"/>
      <c r="L4584" s="261"/>
      <c r="M4584" s="261"/>
    </row>
    <row r="4585" spans="5:13">
      <c r="E4585" s="261"/>
      <c r="F4585" s="261"/>
      <c r="G4585" s="261"/>
      <c r="H4585" s="261"/>
      <c r="I4585" s="261"/>
      <c r="J4585" s="261"/>
      <c r="K4585" s="261"/>
      <c r="L4585" s="261"/>
      <c r="M4585" s="261"/>
    </row>
    <row r="4586" spans="5:13">
      <c r="E4586" s="261"/>
      <c r="F4586" s="261"/>
      <c r="G4586" s="261"/>
      <c r="H4586" s="261"/>
      <c r="I4586" s="261"/>
      <c r="J4586" s="261"/>
      <c r="K4586" s="261"/>
      <c r="L4586" s="261"/>
      <c r="M4586" s="261"/>
    </row>
    <row r="4587" spans="5:13">
      <c r="E4587" s="261"/>
      <c r="F4587" s="261"/>
      <c r="G4587" s="261"/>
      <c r="H4587" s="261"/>
      <c r="I4587" s="261"/>
      <c r="J4587" s="261"/>
      <c r="K4587" s="261"/>
      <c r="L4587" s="261"/>
      <c r="M4587" s="261"/>
    </row>
    <row r="4588" spans="5:13">
      <c r="E4588" s="261"/>
      <c r="F4588" s="261"/>
      <c r="G4588" s="261"/>
      <c r="H4588" s="261"/>
      <c r="I4588" s="261"/>
      <c r="J4588" s="261"/>
      <c r="K4588" s="261"/>
      <c r="L4588" s="261"/>
      <c r="M4588" s="261"/>
    </row>
    <row r="4589" spans="5:13">
      <c r="E4589" s="261"/>
      <c r="F4589" s="261"/>
      <c r="G4589" s="261"/>
      <c r="H4589" s="261"/>
      <c r="I4589" s="261"/>
      <c r="J4589" s="261"/>
      <c r="K4589" s="261"/>
      <c r="L4589" s="261"/>
      <c r="M4589" s="261"/>
    </row>
    <row r="4590" spans="5:13">
      <c r="E4590" s="261"/>
      <c r="F4590" s="261"/>
      <c r="G4590" s="261"/>
      <c r="H4590" s="261"/>
      <c r="I4590" s="261"/>
      <c r="J4590" s="261"/>
      <c r="K4590" s="261"/>
      <c r="L4590" s="261"/>
      <c r="M4590" s="261"/>
    </row>
    <row r="4591" spans="5:13">
      <c r="E4591" s="261"/>
      <c r="F4591" s="261"/>
      <c r="G4591" s="261"/>
      <c r="H4591" s="261"/>
      <c r="I4591" s="261"/>
      <c r="J4591" s="261"/>
      <c r="K4591" s="261"/>
      <c r="L4591" s="261"/>
      <c r="M4591" s="261"/>
    </row>
    <row r="4592" spans="5:13">
      <c r="E4592" s="261"/>
      <c r="F4592" s="261"/>
      <c r="G4592" s="261"/>
      <c r="H4592" s="261"/>
      <c r="I4592" s="261"/>
      <c r="J4592" s="261"/>
      <c r="K4592" s="261"/>
      <c r="L4592" s="261"/>
      <c r="M4592" s="261"/>
    </row>
    <row r="4593" spans="5:13">
      <c r="E4593" s="261"/>
      <c r="F4593" s="261"/>
      <c r="G4593" s="261"/>
      <c r="H4593" s="261"/>
      <c r="I4593" s="261"/>
      <c r="J4593" s="261"/>
      <c r="K4593" s="261"/>
      <c r="L4593" s="261"/>
      <c r="M4593" s="261"/>
    </row>
    <row r="4594" spans="5:13">
      <c r="E4594" s="261"/>
      <c r="F4594" s="261"/>
      <c r="G4594" s="261"/>
      <c r="H4594" s="261"/>
      <c r="I4594" s="261"/>
      <c r="J4594" s="261"/>
      <c r="K4594" s="261"/>
      <c r="L4594" s="261"/>
      <c r="M4594" s="261"/>
    </row>
    <row r="4595" spans="5:13">
      <c r="E4595" s="261"/>
      <c r="F4595" s="261"/>
      <c r="G4595" s="261"/>
      <c r="H4595" s="261"/>
      <c r="I4595" s="261"/>
      <c r="J4595" s="261"/>
      <c r="K4595" s="261"/>
      <c r="L4595" s="261"/>
      <c r="M4595" s="261"/>
    </row>
    <row r="4596" spans="5:13">
      <c r="E4596" s="261"/>
      <c r="F4596" s="261"/>
      <c r="G4596" s="261"/>
      <c r="H4596" s="261"/>
      <c r="I4596" s="261"/>
      <c r="J4596" s="261"/>
      <c r="K4596" s="261"/>
      <c r="L4596" s="261"/>
      <c r="M4596" s="261"/>
    </row>
    <row r="4597" spans="5:13">
      <c r="E4597" s="261"/>
      <c r="F4597" s="261"/>
      <c r="G4597" s="261"/>
      <c r="H4597" s="261"/>
      <c r="I4597" s="261"/>
      <c r="J4597" s="261"/>
      <c r="K4597" s="261"/>
      <c r="L4597" s="261"/>
      <c r="M4597" s="261"/>
    </row>
    <row r="4598" spans="5:13">
      <c r="E4598" s="261"/>
      <c r="F4598" s="261"/>
      <c r="G4598" s="261"/>
      <c r="H4598" s="261"/>
      <c r="I4598" s="261"/>
      <c r="J4598" s="261"/>
      <c r="K4598" s="261"/>
      <c r="L4598" s="261"/>
      <c r="M4598" s="261"/>
    </row>
    <row r="4599" spans="5:13">
      <c r="E4599" s="261"/>
      <c r="F4599" s="261"/>
      <c r="G4599" s="261"/>
      <c r="H4599" s="261"/>
      <c r="I4599" s="261"/>
      <c r="J4599" s="261"/>
      <c r="K4599" s="261"/>
      <c r="L4599" s="261"/>
      <c r="M4599" s="261"/>
    </row>
    <row r="4600" spans="5:13">
      <c r="E4600" s="261"/>
      <c r="F4600" s="261"/>
      <c r="G4600" s="261"/>
      <c r="H4600" s="261"/>
      <c r="I4600" s="261"/>
      <c r="J4600" s="261"/>
      <c r="K4600" s="261"/>
      <c r="L4600" s="261"/>
      <c r="M4600" s="261"/>
    </row>
    <row r="4601" spans="5:13">
      <c r="E4601" s="261"/>
      <c r="F4601" s="261"/>
      <c r="G4601" s="261"/>
      <c r="H4601" s="261"/>
      <c r="I4601" s="261"/>
      <c r="J4601" s="261"/>
      <c r="K4601" s="261"/>
      <c r="L4601" s="261"/>
      <c r="M4601" s="261"/>
    </row>
    <row r="4602" spans="5:13">
      <c r="E4602" s="261"/>
      <c r="F4602" s="261"/>
      <c r="G4602" s="261"/>
      <c r="H4602" s="261"/>
      <c r="I4602" s="261"/>
      <c r="J4602" s="261"/>
      <c r="K4602" s="261"/>
      <c r="L4602" s="261"/>
      <c r="M4602" s="261"/>
    </row>
    <row r="4603" spans="5:13">
      <c r="E4603" s="261"/>
      <c r="F4603" s="261"/>
      <c r="G4603" s="261"/>
      <c r="H4603" s="261"/>
      <c r="I4603" s="261"/>
      <c r="J4603" s="261"/>
      <c r="K4603" s="261"/>
      <c r="L4603" s="261"/>
      <c r="M4603" s="261"/>
    </row>
    <row r="4604" spans="5:13">
      <c r="E4604" s="261"/>
      <c r="F4604" s="261"/>
      <c r="G4604" s="261"/>
      <c r="H4604" s="261"/>
      <c r="I4604" s="261"/>
      <c r="J4604" s="261"/>
      <c r="K4604" s="261"/>
      <c r="L4604" s="261"/>
      <c r="M4604" s="261"/>
    </row>
    <row r="4605" spans="5:13">
      <c r="E4605" s="261"/>
      <c r="F4605" s="261"/>
      <c r="G4605" s="261"/>
      <c r="H4605" s="261"/>
      <c r="I4605" s="261"/>
      <c r="J4605" s="261"/>
      <c r="K4605" s="261"/>
      <c r="L4605" s="261"/>
      <c r="M4605" s="261"/>
    </row>
    <row r="4606" spans="5:13">
      <c r="E4606" s="261"/>
      <c r="F4606" s="261"/>
      <c r="G4606" s="261"/>
      <c r="H4606" s="261"/>
      <c r="I4606" s="261"/>
      <c r="J4606" s="261"/>
      <c r="K4606" s="261"/>
      <c r="L4606" s="261"/>
      <c r="M4606" s="261"/>
    </row>
    <row r="4607" spans="5:13">
      <c r="E4607" s="261"/>
      <c r="F4607" s="261"/>
      <c r="G4607" s="261"/>
      <c r="H4607" s="261"/>
      <c r="I4607" s="261"/>
      <c r="J4607" s="261"/>
      <c r="K4607" s="261"/>
      <c r="L4607" s="261"/>
      <c r="M4607" s="261"/>
    </row>
    <row r="4608" spans="5:13">
      <c r="E4608" s="261"/>
      <c r="F4608" s="261"/>
      <c r="G4608" s="261"/>
      <c r="H4608" s="261"/>
      <c r="I4608" s="261"/>
      <c r="J4608" s="261"/>
      <c r="K4608" s="261"/>
      <c r="L4608" s="261"/>
      <c r="M4608" s="261"/>
    </row>
    <row r="4609" spans="5:13">
      <c r="E4609" s="261"/>
      <c r="F4609" s="261"/>
      <c r="G4609" s="261"/>
      <c r="H4609" s="261"/>
      <c r="I4609" s="261"/>
      <c r="J4609" s="261"/>
      <c r="K4609" s="261"/>
      <c r="L4609" s="261"/>
      <c r="M4609" s="261"/>
    </row>
    <row r="4610" spans="5:13">
      <c r="E4610" s="261"/>
      <c r="F4610" s="261"/>
      <c r="G4610" s="261"/>
      <c r="H4610" s="261"/>
      <c r="I4610" s="261"/>
      <c r="J4610" s="261"/>
      <c r="K4610" s="261"/>
      <c r="L4610" s="261"/>
      <c r="M4610" s="261"/>
    </row>
    <row r="4611" spans="5:13">
      <c r="E4611" s="261"/>
      <c r="F4611" s="261"/>
      <c r="G4611" s="261"/>
      <c r="H4611" s="261"/>
      <c r="I4611" s="261"/>
      <c r="J4611" s="261"/>
      <c r="K4611" s="261"/>
      <c r="L4611" s="261"/>
      <c r="M4611" s="261"/>
    </row>
    <row r="4612" spans="5:13">
      <c r="E4612" s="261"/>
      <c r="F4612" s="261"/>
      <c r="G4612" s="261"/>
      <c r="H4612" s="261"/>
      <c r="I4612" s="261"/>
      <c r="J4612" s="261"/>
      <c r="K4612" s="261"/>
      <c r="L4612" s="261"/>
      <c r="M4612" s="261"/>
    </row>
    <row r="4613" spans="5:13">
      <c r="E4613" s="261"/>
      <c r="F4613" s="261"/>
      <c r="G4613" s="261"/>
      <c r="H4613" s="261"/>
      <c r="I4613" s="261"/>
      <c r="J4613" s="261"/>
      <c r="K4613" s="261"/>
      <c r="L4613" s="261"/>
      <c r="M4613" s="261"/>
    </row>
    <row r="4614" spans="5:13">
      <c r="E4614" s="261"/>
      <c r="F4614" s="261"/>
      <c r="G4614" s="261"/>
      <c r="H4614" s="261"/>
      <c r="I4614" s="261"/>
      <c r="J4614" s="261"/>
      <c r="K4614" s="261"/>
      <c r="L4614" s="261"/>
      <c r="M4614" s="261"/>
    </row>
    <row r="4615" spans="5:13">
      <c r="E4615" s="261"/>
      <c r="F4615" s="261"/>
      <c r="G4615" s="261"/>
      <c r="H4615" s="261"/>
      <c r="I4615" s="261"/>
      <c r="J4615" s="261"/>
      <c r="K4615" s="261"/>
      <c r="L4615" s="261"/>
      <c r="M4615" s="261"/>
    </row>
    <row r="4616" spans="5:13">
      <c r="E4616" s="261"/>
      <c r="F4616" s="261"/>
      <c r="G4616" s="261"/>
      <c r="H4616" s="261"/>
      <c r="I4616" s="261"/>
      <c r="J4616" s="261"/>
      <c r="K4616" s="261"/>
      <c r="L4616" s="261"/>
      <c r="M4616" s="261"/>
    </row>
    <row r="4617" spans="5:13">
      <c r="E4617" s="261"/>
      <c r="F4617" s="261"/>
      <c r="G4617" s="261"/>
      <c r="H4617" s="261"/>
      <c r="I4617" s="261"/>
      <c r="J4617" s="261"/>
      <c r="K4617" s="261"/>
      <c r="L4617" s="261"/>
      <c r="M4617" s="261"/>
    </row>
    <row r="4618" spans="5:13">
      <c r="E4618" s="261"/>
      <c r="F4618" s="261"/>
      <c r="G4618" s="261"/>
      <c r="H4618" s="261"/>
      <c r="I4618" s="261"/>
      <c r="J4618" s="261"/>
      <c r="K4618" s="261"/>
      <c r="L4618" s="261"/>
      <c r="M4618" s="261"/>
    </row>
    <row r="4619" spans="5:13">
      <c r="E4619" s="261"/>
      <c r="F4619" s="261"/>
      <c r="G4619" s="261"/>
      <c r="H4619" s="261"/>
      <c r="I4619" s="261"/>
      <c r="J4619" s="261"/>
      <c r="K4619" s="261"/>
      <c r="L4619" s="261"/>
      <c r="M4619" s="261"/>
    </row>
    <row r="4620" spans="5:13">
      <c r="E4620" s="261"/>
      <c r="F4620" s="261"/>
      <c r="G4620" s="261"/>
      <c r="H4620" s="261"/>
      <c r="I4620" s="261"/>
      <c r="J4620" s="261"/>
      <c r="K4620" s="261"/>
      <c r="L4620" s="261"/>
      <c r="M4620" s="261"/>
    </row>
    <row r="4621" spans="5:13">
      <c r="E4621" s="261"/>
      <c r="F4621" s="261"/>
      <c r="G4621" s="261"/>
      <c r="H4621" s="261"/>
      <c r="I4621" s="261"/>
      <c r="J4621" s="261"/>
      <c r="K4621" s="261"/>
      <c r="L4621" s="261"/>
      <c r="M4621" s="261"/>
    </row>
    <row r="4622" spans="5:13">
      <c r="E4622" s="261"/>
      <c r="F4622" s="261"/>
      <c r="G4622" s="261"/>
      <c r="H4622" s="261"/>
      <c r="I4622" s="261"/>
      <c r="J4622" s="261"/>
      <c r="K4622" s="261"/>
      <c r="L4622" s="261"/>
      <c r="M4622" s="261"/>
    </row>
    <row r="4623" spans="5:13">
      <c r="E4623" s="261"/>
      <c r="F4623" s="261"/>
      <c r="G4623" s="261"/>
      <c r="H4623" s="261"/>
      <c r="I4623" s="261"/>
      <c r="J4623" s="261"/>
      <c r="K4623" s="261"/>
      <c r="L4623" s="261"/>
      <c r="M4623" s="261"/>
    </row>
    <row r="4624" spans="5:13">
      <c r="E4624" s="261"/>
      <c r="F4624" s="261"/>
      <c r="G4624" s="261"/>
      <c r="H4624" s="261"/>
      <c r="I4624" s="261"/>
      <c r="J4624" s="261"/>
      <c r="K4624" s="261"/>
      <c r="L4624" s="261"/>
      <c r="M4624" s="261"/>
    </row>
    <row r="4625" spans="5:13">
      <c r="E4625" s="261"/>
      <c r="F4625" s="261"/>
      <c r="G4625" s="261"/>
      <c r="H4625" s="261"/>
      <c r="I4625" s="261"/>
      <c r="J4625" s="261"/>
      <c r="K4625" s="261"/>
      <c r="L4625" s="261"/>
      <c r="M4625" s="261"/>
    </row>
    <row r="4626" spans="5:13">
      <c r="E4626" s="261"/>
      <c r="F4626" s="261"/>
      <c r="G4626" s="261"/>
      <c r="H4626" s="261"/>
      <c r="I4626" s="261"/>
      <c r="J4626" s="261"/>
      <c r="K4626" s="261"/>
      <c r="L4626" s="261"/>
      <c r="M4626" s="261"/>
    </row>
    <row r="4627" spans="5:13">
      <c r="E4627" s="261"/>
      <c r="F4627" s="261"/>
      <c r="G4627" s="261"/>
      <c r="H4627" s="261"/>
      <c r="I4627" s="261"/>
      <c r="J4627" s="261"/>
      <c r="K4627" s="261"/>
      <c r="L4627" s="261"/>
      <c r="M4627" s="261"/>
    </row>
    <row r="4628" spans="5:13">
      <c r="E4628" s="261"/>
      <c r="F4628" s="261"/>
      <c r="G4628" s="261"/>
      <c r="H4628" s="261"/>
      <c r="I4628" s="261"/>
      <c r="J4628" s="261"/>
      <c r="K4628" s="261"/>
      <c r="L4628" s="261"/>
      <c r="M4628" s="261"/>
    </row>
    <row r="4629" spans="5:13">
      <c r="E4629" s="261"/>
      <c r="F4629" s="261"/>
      <c r="G4629" s="261"/>
      <c r="H4629" s="261"/>
      <c r="I4629" s="261"/>
      <c r="J4629" s="261"/>
      <c r="K4629" s="261"/>
      <c r="L4629" s="261"/>
      <c r="M4629" s="261"/>
    </row>
    <row r="4630" spans="5:13">
      <c r="E4630" s="261"/>
      <c r="F4630" s="261"/>
      <c r="G4630" s="261"/>
      <c r="H4630" s="261"/>
      <c r="I4630" s="261"/>
      <c r="J4630" s="261"/>
      <c r="K4630" s="261"/>
      <c r="L4630" s="261"/>
      <c r="M4630" s="261"/>
    </row>
    <row r="4631" spans="5:13">
      <c r="E4631" s="261"/>
      <c r="F4631" s="261"/>
      <c r="G4631" s="261"/>
      <c r="H4631" s="261"/>
      <c r="I4631" s="261"/>
      <c r="J4631" s="261"/>
      <c r="K4631" s="261"/>
      <c r="L4631" s="261"/>
      <c r="M4631" s="261"/>
    </row>
    <row r="4632" spans="5:13">
      <c r="E4632" s="261"/>
      <c r="F4632" s="261"/>
      <c r="G4632" s="261"/>
      <c r="H4632" s="261"/>
      <c r="I4632" s="261"/>
      <c r="J4632" s="261"/>
      <c r="K4632" s="261"/>
      <c r="L4632" s="261"/>
      <c r="M4632" s="261"/>
    </row>
    <row r="4633" spans="5:13">
      <c r="E4633" s="261"/>
      <c r="F4633" s="261"/>
      <c r="G4633" s="261"/>
      <c r="H4633" s="261"/>
      <c r="I4633" s="261"/>
      <c r="J4633" s="261"/>
      <c r="K4633" s="261"/>
      <c r="L4633" s="261"/>
      <c r="M4633" s="261"/>
    </row>
    <row r="4634" spans="5:13">
      <c r="E4634" s="261"/>
      <c r="F4634" s="261"/>
      <c r="G4634" s="261"/>
      <c r="H4634" s="261"/>
      <c r="I4634" s="261"/>
      <c r="J4634" s="261"/>
      <c r="K4634" s="261"/>
      <c r="L4634" s="261"/>
      <c r="M4634" s="261"/>
    </row>
    <row r="4635" spans="5:13">
      <c r="E4635" s="261"/>
      <c r="F4635" s="261"/>
      <c r="G4635" s="261"/>
      <c r="H4635" s="261"/>
      <c r="I4635" s="261"/>
      <c r="J4635" s="261"/>
      <c r="K4635" s="261"/>
      <c r="L4635" s="261"/>
      <c r="M4635" s="261"/>
    </row>
    <row r="4636" spans="5:13">
      <c r="E4636" s="261"/>
      <c r="F4636" s="261"/>
      <c r="G4636" s="261"/>
      <c r="H4636" s="261"/>
      <c r="I4636" s="261"/>
      <c r="J4636" s="261"/>
      <c r="K4636" s="261"/>
      <c r="L4636" s="261"/>
      <c r="M4636" s="261"/>
    </row>
    <row r="4637" spans="5:13">
      <c r="E4637" s="261"/>
      <c r="F4637" s="261"/>
      <c r="G4637" s="261"/>
      <c r="H4637" s="261"/>
      <c r="I4637" s="261"/>
      <c r="J4637" s="261"/>
      <c r="K4637" s="261"/>
      <c r="L4637" s="261"/>
      <c r="M4637" s="261"/>
    </row>
    <row r="4638" spans="5:13">
      <c r="E4638" s="261"/>
      <c r="F4638" s="261"/>
      <c r="G4638" s="261"/>
      <c r="H4638" s="261"/>
      <c r="I4638" s="261"/>
      <c r="J4638" s="261"/>
      <c r="K4638" s="261"/>
      <c r="L4638" s="261"/>
      <c r="M4638" s="261"/>
    </row>
    <row r="4639" spans="5:13">
      <c r="E4639" s="261"/>
      <c r="F4639" s="261"/>
      <c r="G4639" s="261"/>
      <c r="H4639" s="261"/>
      <c r="I4639" s="261"/>
      <c r="J4639" s="261"/>
      <c r="K4639" s="261"/>
      <c r="L4639" s="261"/>
      <c r="M4639" s="261"/>
    </row>
    <row r="4640" spans="5:13">
      <c r="E4640" s="261"/>
      <c r="F4640" s="261"/>
      <c r="G4640" s="261"/>
      <c r="H4640" s="261"/>
      <c r="I4640" s="261"/>
      <c r="J4640" s="261"/>
      <c r="K4640" s="261"/>
      <c r="L4640" s="261"/>
      <c r="M4640" s="261"/>
    </row>
    <row r="4641" spans="5:13">
      <c r="E4641" s="261"/>
      <c r="F4641" s="261"/>
      <c r="G4641" s="261"/>
      <c r="H4641" s="261"/>
      <c r="I4641" s="261"/>
      <c r="J4641" s="261"/>
      <c r="K4641" s="261"/>
      <c r="L4641" s="261"/>
      <c r="M4641" s="261"/>
    </row>
    <row r="4642" spans="5:13">
      <c r="E4642" s="261"/>
      <c r="F4642" s="261"/>
      <c r="G4642" s="261"/>
      <c r="H4642" s="261"/>
      <c r="I4642" s="261"/>
      <c r="J4642" s="261"/>
      <c r="K4642" s="261"/>
      <c r="L4642" s="261"/>
      <c r="M4642" s="261"/>
    </row>
    <row r="4643" spans="5:13">
      <c r="E4643" s="261"/>
      <c r="F4643" s="261"/>
      <c r="G4643" s="261"/>
      <c r="H4643" s="261"/>
      <c r="I4643" s="261"/>
      <c r="J4643" s="261"/>
      <c r="K4643" s="261"/>
      <c r="L4643" s="261"/>
      <c r="M4643" s="261"/>
    </row>
    <row r="4644" spans="5:13">
      <c r="E4644" s="261"/>
      <c r="F4644" s="261"/>
      <c r="G4644" s="261"/>
      <c r="H4644" s="261"/>
      <c r="I4644" s="261"/>
      <c r="J4644" s="261"/>
      <c r="K4644" s="261"/>
      <c r="L4644" s="261"/>
      <c r="M4644" s="261"/>
    </row>
    <row r="4645" spans="5:13">
      <c r="E4645" s="261"/>
      <c r="F4645" s="261"/>
      <c r="G4645" s="261"/>
      <c r="H4645" s="261"/>
      <c r="I4645" s="261"/>
      <c r="J4645" s="261"/>
      <c r="K4645" s="261"/>
      <c r="L4645" s="261"/>
      <c r="M4645" s="261"/>
    </row>
    <row r="4646" spans="5:13">
      <c r="E4646" s="261"/>
      <c r="F4646" s="261"/>
      <c r="G4646" s="261"/>
      <c r="H4646" s="261"/>
      <c r="I4646" s="261"/>
      <c r="J4646" s="261"/>
      <c r="K4646" s="261"/>
      <c r="L4646" s="261"/>
      <c r="M4646" s="261"/>
    </row>
    <row r="4647" spans="5:13">
      <c r="E4647" s="261"/>
      <c r="F4647" s="261"/>
      <c r="G4647" s="261"/>
      <c r="H4647" s="261"/>
      <c r="I4647" s="261"/>
      <c r="J4647" s="261"/>
      <c r="K4647" s="261"/>
      <c r="L4647" s="261"/>
      <c r="M4647" s="261"/>
    </row>
    <row r="4648" spans="5:13">
      <c r="E4648" s="261"/>
      <c r="F4648" s="261"/>
      <c r="G4648" s="261"/>
      <c r="H4648" s="261"/>
      <c r="I4648" s="261"/>
      <c r="J4648" s="261"/>
      <c r="K4648" s="261"/>
      <c r="L4648" s="261"/>
      <c r="M4648" s="261"/>
    </row>
    <row r="4649" spans="5:13">
      <c r="E4649" s="261"/>
      <c r="F4649" s="261"/>
      <c r="G4649" s="261"/>
      <c r="H4649" s="261"/>
      <c r="I4649" s="261"/>
      <c r="J4649" s="261"/>
      <c r="K4649" s="261"/>
      <c r="L4649" s="261"/>
      <c r="M4649" s="261"/>
    </row>
    <row r="4650" spans="5:13">
      <c r="E4650" s="261"/>
      <c r="F4650" s="261"/>
      <c r="G4650" s="261"/>
      <c r="H4650" s="261"/>
      <c r="I4650" s="261"/>
      <c r="J4650" s="261"/>
      <c r="K4650" s="261"/>
      <c r="L4650" s="261"/>
      <c r="M4650" s="261"/>
    </row>
    <row r="4651" spans="5:13">
      <c r="E4651" s="261"/>
      <c r="F4651" s="261"/>
      <c r="G4651" s="261"/>
      <c r="H4651" s="261"/>
      <c r="I4651" s="261"/>
      <c r="J4651" s="261"/>
      <c r="K4651" s="261"/>
      <c r="L4651" s="261"/>
      <c r="M4651" s="261"/>
    </row>
    <row r="4652" spans="5:13">
      <c r="E4652" s="261"/>
      <c r="F4652" s="261"/>
      <c r="G4652" s="261"/>
      <c r="H4652" s="261"/>
      <c r="I4652" s="261"/>
      <c r="J4652" s="261"/>
      <c r="K4652" s="261"/>
      <c r="L4652" s="261"/>
      <c r="M4652" s="261"/>
    </row>
    <row r="4653" spans="5:13">
      <c r="E4653" s="261"/>
      <c r="F4653" s="261"/>
      <c r="G4653" s="261"/>
      <c r="H4653" s="261"/>
      <c r="I4653" s="261"/>
      <c r="J4653" s="261"/>
      <c r="K4653" s="261"/>
      <c r="L4653" s="261"/>
      <c r="M4653" s="261"/>
    </row>
    <row r="4654" spans="5:13">
      <c r="E4654" s="261"/>
      <c r="F4654" s="261"/>
      <c r="G4654" s="261"/>
      <c r="H4654" s="261"/>
      <c r="I4654" s="261"/>
      <c r="J4654" s="261"/>
      <c r="K4654" s="261"/>
      <c r="L4654" s="261"/>
      <c r="M4654" s="261"/>
    </row>
    <row r="4655" spans="5:13">
      <c r="E4655" s="261"/>
      <c r="F4655" s="261"/>
      <c r="G4655" s="261"/>
      <c r="H4655" s="261"/>
      <c r="I4655" s="261"/>
      <c r="J4655" s="261"/>
      <c r="K4655" s="261"/>
      <c r="L4655" s="261"/>
      <c r="M4655" s="261"/>
    </row>
    <row r="4656" spans="5:13">
      <c r="E4656" s="261"/>
      <c r="F4656" s="261"/>
      <c r="G4656" s="261"/>
      <c r="H4656" s="261"/>
      <c r="I4656" s="261"/>
      <c r="J4656" s="261"/>
      <c r="K4656" s="261"/>
      <c r="L4656" s="261"/>
      <c r="M4656" s="261"/>
    </row>
    <row r="4657" spans="5:13">
      <c r="E4657" s="261"/>
      <c r="F4657" s="261"/>
      <c r="G4657" s="261"/>
      <c r="H4657" s="261"/>
      <c r="I4657" s="261"/>
      <c r="J4657" s="261"/>
      <c r="K4657" s="261"/>
      <c r="L4657" s="261"/>
      <c r="M4657" s="261"/>
    </row>
    <row r="4658" spans="5:13">
      <c r="E4658" s="261"/>
      <c r="F4658" s="261"/>
      <c r="G4658" s="261"/>
      <c r="H4658" s="261"/>
      <c r="I4658" s="261"/>
      <c r="J4658" s="261"/>
      <c r="K4658" s="261"/>
      <c r="L4658" s="261"/>
      <c r="M4658" s="261"/>
    </row>
    <row r="4659" spans="5:13">
      <c r="E4659" s="261"/>
      <c r="F4659" s="261"/>
      <c r="G4659" s="261"/>
      <c r="H4659" s="261"/>
      <c r="I4659" s="261"/>
      <c r="J4659" s="261"/>
      <c r="K4659" s="261"/>
      <c r="L4659" s="261"/>
      <c r="M4659" s="261"/>
    </row>
    <row r="4660" spans="5:13">
      <c r="E4660" s="261"/>
      <c r="F4660" s="261"/>
      <c r="G4660" s="261"/>
      <c r="H4660" s="261"/>
      <c r="I4660" s="261"/>
      <c r="J4660" s="261"/>
      <c r="K4660" s="261"/>
      <c r="L4660" s="261"/>
      <c r="M4660" s="261"/>
    </row>
    <row r="4661" spans="5:13">
      <c r="E4661" s="261"/>
      <c r="F4661" s="261"/>
      <c r="G4661" s="261"/>
      <c r="H4661" s="261"/>
      <c r="I4661" s="261"/>
      <c r="J4661" s="261"/>
      <c r="K4661" s="261"/>
      <c r="L4661" s="261"/>
      <c r="M4661" s="261"/>
    </row>
    <row r="4662" spans="5:13">
      <c r="E4662" s="261"/>
      <c r="F4662" s="261"/>
      <c r="G4662" s="261"/>
      <c r="H4662" s="261"/>
      <c r="I4662" s="261"/>
      <c r="J4662" s="261"/>
      <c r="K4662" s="261"/>
      <c r="L4662" s="261"/>
      <c r="M4662" s="261"/>
    </row>
    <row r="4663" spans="5:13">
      <c r="E4663" s="261"/>
      <c r="F4663" s="261"/>
      <c r="G4663" s="261"/>
      <c r="H4663" s="261"/>
      <c r="I4663" s="261"/>
      <c r="J4663" s="261"/>
      <c r="K4663" s="261"/>
      <c r="L4663" s="261"/>
      <c r="M4663" s="261"/>
    </row>
    <row r="4664" spans="5:13">
      <c r="E4664" s="261"/>
      <c r="F4664" s="261"/>
      <c r="G4664" s="261"/>
      <c r="H4664" s="261"/>
      <c r="I4664" s="261"/>
      <c r="J4664" s="261"/>
      <c r="K4664" s="261"/>
      <c r="L4664" s="261"/>
      <c r="M4664" s="261"/>
    </row>
    <row r="4665" spans="5:13">
      <c r="E4665" s="261"/>
      <c r="F4665" s="261"/>
      <c r="G4665" s="261"/>
      <c r="H4665" s="261"/>
      <c r="I4665" s="261"/>
      <c r="J4665" s="261"/>
      <c r="K4665" s="261"/>
      <c r="L4665" s="261"/>
      <c r="M4665" s="261"/>
    </row>
    <row r="4666" spans="5:13">
      <c r="E4666" s="261"/>
      <c r="F4666" s="261"/>
      <c r="G4666" s="261"/>
      <c r="H4666" s="261"/>
      <c r="I4666" s="261"/>
      <c r="J4666" s="261"/>
      <c r="K4666" s="261"/>
      <c r="L4666" s="261"/>
      <c r="M4666" s="261"/>
    </row>
    <row r="4667" spans="5:13">
      <c r="E4667" s="261"/>
      <c r="F4667" s="261"/>
      <c r="G4667" s="261"/>
      <c r="H4667" s="261"/>
      <c r="I4667" s="261"/>
      <c r="J4667" s="261"/>
      <c r="K4667" s="261"/>
      <c r="L4667" s="261"/>
      <c r="M4667" s="261"/>
    </row>
    <row r="4668" spans="5:13">
      <c r="E4668" s="261"/>
      <c r="F4668" s="261"/>
      <c r="G4668" s="261"/>
      <c r="H4668" s="261"/>
      <c r="I4668" s="261"/>
      <c r="J4668" s="261"/>
      <c r="K4668" s="261"/>
      <c r="L4668" s="261"/>
      <c r="M4668" s="261"/>
    </row>
    <row r="4669" spans="5:13">
      <c r="E4669" s="261"/>
      <c r="F4669" s="261"/>
      <c r="G4669" s="261"/>
      <c r="H4669" s="261"/>
      <c r="I4669" s="261"/>
      <c r="J4669" s="261"/>
      <c r="K4669" s="261"/>
      <c r="L4669" s="261"/>
      <c r="M4669" s="261"/>
    </row>
    <row r="4670" spans="5:13">
      <c r="E4670" s="261"/>
      <c r="F4670" s="261"/>
      <c r="G4670" s="261"/>
      <c r="H4670" s="261"/>
      <c r="I4670" s="261"/>
      <c r="J4670" s="261"/>
      <c r="K4670" s="261"/>
      <c r="L4670" s="261"/>
      <c r="M4670" s="261"/>
    </row>
    <row r="4671" spans="5:13">
      <c r="E4671" s="261"/>
      <c r="F4671" s="261"/>
      <c r="G4671" s="261"/>
      <c r="H4671" s="261"/>
      <c r="I4671" s="261"/>
      <c r="J4671" s="261"/>
      <c r="K4671" s="261"/>
      <c r="L4671" s="261"/>
      <c r="M4671" s="261"/>
    </row>
    <row r="4672" spans="5:13">
      <c r="E4672" s="261"/>
      <c r="F4672" s="261"/>
      <c r="G4672" s="261"/>
      <c r="H4672" s="261"/>
      <c r="I4672" s="261"/>
      <c r="J4672" s="261"/>
      <c r="K4672" s="261"/>
      <c r="L4672" s="261"/>
      <c r="M4672" s="261"/>
    </row>
    <row r="4673" spans="5:13">
      <c r="E4673" s="261"/>
      <c r="F4673" s="261"/>
      <c r="G4673" s="261"/>
      <c r="H4673" s="261"/>
      <c r="I4673" s="261"/>
      <c r="J4673" s="261"/>
      <c r="K4673" s="261"/>
      <c r="L4673" s="261"/>
      <c r="M4673" s="261"/>
    </row>
    <row r="4674" spans="5:13">
      <c r="E4674" s="261"/>
      <c r="F4674" s="261"/>
      <c r="G4674" s="261"/>
      <c r="H4674" s="261"/>
      <c r="I4674" s="261"/>
      <c r="J4674" s="261"/>
      <c r="K4674" s="261"/>
      <c r="L4674" s="261"/>
      <c r="M4674" s="261"/>
    </row>
    <row r="4675" spans="5:13">
      <c r="E4675" s="261"/>
      <c r="F4675" s="261"/>
      <c r="G4675" s="261"/>
      <c r="H4675" s="261"/>
      <c r="I4675" s="261"/>
      <c r="J4675" s="261"/>
      <c r="K4675" s="261"/>
      <c r="L4675" s="261"/>
      <c r="M4675" s="261"/>
    </row>
    <row r="4676" spans="5:13">
      <c r="E4676" s="261"/>
      <c r="F4676" s="261"/>
      <c r="G4676" s="261"/>
      <c r="H4676" s="261"/>
      <c r="I4676" s="261"/>
      <c r="J4676" s="261"/>
      <c r="K4676" s="261"/>
      <c r="L4676" s="261"/>
      <c r="M4676" s="261"/>
    </row>
    <row r="4677" spans="5:13">
      <c r="E4677" s="261"/>
      <c r="F4677" s="261"/>
      <c r="G4677" s="261"/>
      <c r="H4677" s="261"/>
      <c r="I4677" s="261"/>
      <c r="J4677" s="261"/>
      <c r="K4677" s="261"/>
      <c r="L4677" s="261"/>
      <c r="M4677" s="261"/>
    </row>
    <row r="4678" spans="5:13">
      <c r="E4678" s="261"/>
      <c r="F4678" s="261"/>
      <c r="G4678" s="261"/>
      <c r="H4678" s="261"/>
      <c r="I4678" s="261"/>
      <c r="J4678" s="261"/>
      <c r="K4678" s="261"/>
      <c r="L4678" s="261"/>
      <c r="M4678" s="261"/>
    </row>
    <row r="4679" spans="5:13">
      <c r="E4679" s="261"/>
      <c r="F4679" s="261"/>
      <c r="G4679" s="261"/>
      <c r="H4679" s="261"/>
      <c r="I4679" s="261"/>
      <c r="J4679" s="261"/>
      <c r="K4679" s="261"/>
      <c r="L4679" s="261"/>
      <c r="M4679" s="261"/>
    </row>
    <row r="4680" spans="5:13">
      <c r="E4680" s="261"/>
      <c r="F4680" s="261"/>
      <c r="G4680" s="261"/>
      <c r="H4680" s="261"/>
      <c r="I4680" s="261"/>
      <c r="J4680" s="261"/>
      <c r="K4680" s="261"/>
      <c r="L4680" s="261"/>
      <c r="M4680" s="261"/>
    </row>
    <row r="4681" spans="5:13">
      <c r="E4681" s="261"/>
      <c r="F4681" s="261"/>
      <c r="G4681" s="261"/>
      <c r="H4681" s="261"/>
      <c r="I4681" s="261"/>
      <c r="J4681" s="261"/>
      <c r="K4681" s="261"/>
      <c r="L4681" s="261"/>
      <c r="M4681" s="261"/>
    </row>
    <row r="4682" spans="5:13">
      <c r="E4682" s="261"/>
      <c r="F4682" s="261"/>
      <c r="G4682" s="261"/>
      <c r="H4682" s="261"/>
      <c r="I4682" s="261"/>
      <c r="J4682" s="261"/>
      <c r="K4682" s="261"/>
      <c r="L4682" s="261"/>
      <c r="M4682" s="261"/>
    </row>
    <row r="4683" spans="5:13">
      <c r="E4683" s="261"/>
      <c r="F4683" s="261"/>
      <c r="G4683" s="261"/>
      <c r="H4683" s="261"/>
      <c r="I4683" s="261"/>
      <c r="J4683" s="261"/>
      <c r="K4683" s="261"/>
      <c r="L4683" s="261"/>
      <c r="M4683" s="261"/>
    </row>
    <row r="4684" spans="5:13">
      <c r="E4684" s="261"/>
      <c r="F4684" s="261"/>
      <c r="G4684" s="261"/>
      <c r="H4684" s="261"/>
      <c r="I4684" s="261"/>
      <c r="J4684" s="261"/>
      <c r="K4684" s="261"/>
      <c r="L4684" s="261"/>
      <c r="M4684" s="261"/>
    </row>
    <row r="4685" spans="5:13">
      <c r="E4685" s="261"/>
      <c r="F4685" s="261"/>
      <c r="G4685" s="261"/>
      <c r="H4685" s="261"/>
      <c r="I4685" s="261"/>
      <c r="J4685" s="261"/>
      <c r="K4685" s="261"/>
      <c r="L4685" s="261"/>
      <c r="M4685" s="261"/>
    </row>
    <row r="4686" spans="5:13">
      <c r="E4686" s="261"/>
      <c r="F4686" s="261"/>
      <c r="G4686" s="261"/>
      <c r="H4686" s="261"/>
      <c r="I4686" s="261"/>
      <c r="J4686" s="261"/>
      <c r="K4686" s="261"/>
      <c r="L4686" s="261"/>
      <c r="M4686" s="261"/>
    </row>
    <row r="4687" spans="5:13">
      <c r="E4687" s="261"/>
      <c r="F4687" s="261"/>
      <c r="G4687" s="261"/>
      <c r="H4687" s="261"/>
      <c r="I4687" s="261"/>
      <c r="J4687" s="261"/>
      <c r="K4687" s="261"/>
      <c r="L4687" s="261"/>
      <c r="M4687" s="261"/>
    </row>
    <row r="4688" spans="5:13">
      <c r="E4688" s="261"/>
      <c r="F4688" s="261"/>
      <c r="G4688" s="261"/>
      <c r="H4688" s="261"/>
      <c r="I4688" s="261"/>
      <c r="J4688" s="261"/>
      <c r="K4688" s="261"/>
      <c r="L4688" s="261"/>
      <c r="M4688" s="261"/>
    </row>
    <row r="4689" spans="5:13">
      <c r="E4689" s="261"/>
      <c r="F4689" s="261"/>
      <c r="G4689" s="261"/>
      <c r="H4689" s="261"/>
      <c r="I4689" s="261"/>
      <c r="J4689" s="261"/>
      <c r="K4689" s="261"/>
      <c r="L4689" s="261"/>
      <c r="M4689" s="261"/>
    </row>
    <row r="4690" spans="5:13">
      <c r="E4690" s="261"/>
      <c r="F4690" s="261"/>
      <c r="G4690" s="261"/>
      <c r="H4690" s="261"/>
      <c r="I4690" s="261"/>
      <c r="J4690" s="261"/>
      <c r="K4690" s="261"/>
      <c r="L4690" s="261"/>
      <c r="M4690" s="261"/>
    </row>
    <row r="4691" spans="5:13">
      <c r="E4691" s="261"/>
      <c r="F4691" s="261"/>
      <c r="G4691" s="261"/>
      <c r="H4691" s="261"/>
      <c r="I4691" s="261"/>
      <c r="J4691" s="261"/>
      <c r="K4691" s="261"/>
      <c r="L4691" s="261"/>
      <c r="M4691" s="261"/>
    </row>
    <row r="4692" spans="5:13">
      <c r="E4692" s="261"/>
      <c r="F4692" s="261"/>
      <c r="G4692" s="261"/>
      <c r="H4692" s="261"/>
      <c r="I4692" s="261"/>
      <c r="J4692" s="261"/>
      <c r="K4692" s="261"/>
      <c r="L4692" s="261"/>
      <c r="M4692" s="261"/>
    </row>
    <row r="4693" spans="5:13">
      <c r="E4693" s="261"/>
      <c r="F4693" s="261"/>
      <c r="G4693" s="261"/>
      <c r="H4693" s="261"/>
      <c r="I4693" s="261"/>
      <c r="J4693" s="261"/>
      <c r="K4693" s="261"/>
      <c r="L4693" s="261"/>
      <c r="M4693" s="261"/>
    </row>
    <row r="4694" spans="5:13">
      <c r="E4694" s="261"/>
      <c r="F4694" s="261"/>
      <c r="G4694" s="261"/>
      <c r="H4694" s="261"/>
      <c r="I4694" s="261"/>
      <c r="J4694" s="261"/>
      <c r="K4694" s="261"/>
      <c r="L4694" s="261"/>
      <c r="M4694" s="261"/>
    </row>
    <row r="4695" spans="5:13">
      <c r="E4695" s="261"/>
      <c r="F4695" s="261"/>
      <c r="G4695" s="261"/>
      <c r="H4695" s="261"/>
      <c r="I4695" s="261"/>
      <c r="J4695" s="261"/>
      <c r="K4695" s="261"/>
      <c r="L4695" s="261"/>
      <c r="M4695" s="261"/>
    </row>
    <row r="4696" spans="5:13">
      <c r="E4696" s="261"/>
      <c r="F4696" s="261"/>
      <c r="G4696" s="261"/>
      <c r="H4696" s="261"/>
      <c r="I4696" s="261"/>
      <c r="J4696" s="261"/>
      <c r="K4696" s="261"/>
      <c r="L4696" s="261"/>
      <c r="M4696" s="261"/>
    </row>
    <row r="4697" spans="5:13">
      <c r="E4697" s="261"/>
      <c r="F4697" s="261"/>
      <c r="G4697" s="261"/>
      <c r="H4697" s="261"/>
      <c r="I4697" s="261"/>
      <c r="J4697" s="261"/>
      <c r="K4697" s="261"/>
      <c r="L4697" s="261"/>
      <c r="M4697" s="261"/>
    </row>
    <row r="4698" spans="5:13">
      <c r="E4698" s="261"/>
      <c r="F4698" s="261"/>
      <c r="G4698" s="261"/>
      <c r="H4698" s="261"/>
      <c r="I4698" s="261"/>
      <c r="J4698" s="261"/>
      <c r="K4698" s="261"/>
      <c r="L4698" s="261"/>
      <c r="M4698" s="261"/>
    </row>
    <row r="4699" spans="5:13">
      <c r="E4699" s="261"/>
      <c r="F4699" s="261"/>
      <c r="G4699" s="261"/>
      <c r="H4699" s="261"/>
      <c r="I4699" s="261"/>
      <c r="J4699" s="261"/>
      <c r="K4699" s="261"/>
      <c r="L4699" s="261"/>
      <c r="M4699" s="261"/>
    </row>
    <row r="4700" spans="5:13">
      <c r="E4700" s="261"/>
      <c r="F4700" s="261"/>
      <c r="G4700" s="261"/>
      <c r="H4700" s="261"/>
      <c r="I4700" s="261"/>
      <c r="J4700" s="261"/>
      <c r="K4700" s="261"/>
      <c r="L4700" s="261"/>
      <c r="M4700" s="261"/>
    </row>
    <row r="4701" spans="5:13">
      <c r="E4701" s="261"/>
      <c r="F4701" s="261"/>
      <c r="G4701" s="261"/>
      <c r="H4701" s="261"/>
      <c r="I4701" s="261"/>
      <c r="J4701" s="261"/>
      <c r="K4701" s="261"/>
      <c r="L4701" s="261"/>
      <c r="M4701" s="261"/>
    </row>
    <row r="4702" spans="5:13">
      <c r="E4702" s="261"/>
      <c r="F4702" s="261"/>
      <c r="G4702" s="261"/>
      <c r="H4702" s="261"/>
      <c r="I4702" s="261"/>
      <c r="J4702" s="261"/>
      <c r="K4702" s="261"/>
      <c r="L4702" s="261"/>
      <c r="M4702" s="261"/>
    </row>
    <row r="4703" spans="5:13">
      <c r="E4703" s="261"/>
      <c r="F4703" s="261"/>
      <c r="G4703" s="261"/>
      <c r="H4703" s="261"/>
      <c r="I4703" s="261"/>
      <c r="J4703" s="261"/>
      <c r="K4703" s="261"/>
      <c r="L4703" s="261"/>
      <c r="M4703" s="261"/>
    </row>
    <row r="4704" spans="5:13">
      <c r="E4704" s="261"/>
      <c r="F4704" s="261"/>
      <c r="G4704" s="261"/>
      <c r="H4704" s="261"/>
      <c r="I4704" s="261"/>
      <c r="J4704" s="261"/>
      <c r="K4704" s="261"/>
      <c r="L4704" s="261"/>
      <c r="M4704" s="261"/>
    </row>
    <row r="4705" spans="5:13">
      <c r="E4705" s="261"/>
      <c r="F4705" s="261"/>
      <c r="G4705" s="261"/>
      <c r="H4705" s="261"/>
      <c r="I4705" s="261"/>
      <c r="J4705" s="261"/>
      <c r="K4705" s="261"/>
      <c r="L4705" s="261"/>
      <c r="M4705" s="261"/>
    </row>
    <row r="4706" spans="5:13">
      <c r="E4706" s="261"/>
      <c r="F4706" s="261"/>
      <c r="G4706" s="261"/>
      <c r="H4706" s="261"/>
      <c r="I4706" s="261"/>
      <c r="J4706" s="261"/>
      <c r="K4706" s="261"/>
      <c r="L4706" s="261"/>
      <c r="M4706" s="261"/>
    </row>
    <row r="4707" spans="5:13">
      <c r="E4707" s="261"/>
      <c r="F4707" s="261"/>
      <c r="G4707" s="261"/>
      <c r="H4707" s="261"/>
      <c r="I4707" s="261"/>
      <c r="J4707" s="261"/>
      <c r="K4707" s="261"/>
      <c r="L4707" s="261"/>
      <c r="M4707" s="261"/>
    </row>
    <row r="4708" spans="5:13">
      <c r="E4708" s="261"/>
      <c r="F4708" s="261"/>
      <c r="G4708" s="261"/>
      <c r="H4708" s="261"/>
      <c r="I4708" s="261"/>
      <c r="J4708" s="261"/>
      <c r="K4708" s="261"/>
      <c r="L4708" s="261"/>
      <c r="M4708" s="261"/>
    </row>
    <row r="4709" spans="5:13">
      <c r="E4709" s="261"/>
      <c r="F4709" s="261"/>
      <c r="G4709" s="261"/>
      <c r="H4709" s="261"/>
      <c r="I4709" s="261"/>
      <c r="J4709" s="261"/>
      <c r="K4709" s="261"/>
      <c r="L4709" s="261"/>
      <c r="M4709" s="261"/>
    </row>
    <row r="4710" spans="5:13">
      <c r="E4710" s="261"/>
      <c r="F4710" s="261"/>
      <c r="G4710" s="261"/>
      <c r="H4710" s="261"/>
      <c r="I4710" s="261"/>
      <c r="J4710" s="261"/>
      <c r="K4710" s="261"/>
      <c r="L4710" s="261"/>
      <c r="M4710" s="261"/>
    </row>
    <row r="4711" spans="5:13">
      <c r="E4711" s="261"/>
      <c r="F4711" s="261"/>
      <c r="G4711" s="261"/>
      <c r="H4711" s="261"/>
      <c r="I4711" s="261"/>
      <c r="J4711" s="261"/>
      <c r="K4711" s="261"/>
      <c r="L4711" s="261"/>
      <c r="M4711" s="261"/>
    </row>
    <row r="4712" spans="5:13">
      <c r="E4712" s="261"/>
      <c r="F4712" s="261"/>
      <c r="G4712" s="261"/>
      <c r="H4712" s="261"/>
      <c r="I4712" s="261"/>
      <c r="J4712" s="261"/>
      <c r="K4712" s="261"/>
      <c r="L4712" s="261"/>
      <c r="M4712" s="261"/>
    </row>
    <row r="4713" spans="5:13">
      <c r="E4713" s="261"/>
      <c r="F4713" s="261"/>
      <c r="G4713" s="261"/>
      <c r="H4713" s="261"/>
      <c r="I4713" s="261"/>
      <c r="J4713" s="261"/>
      <c r="K4713" s="261"/>
      <c r="L4713" s="261"/>
      <c r="M4713" s="261"/>
    </row>
    <row r="4714" spans="5:13">
      <c r="E4714" s="261"/>
      <c r="F4714" s="261"/>
      <c r="G4714" s="261"/>
      <c r="H4714" s="261"/>
      <c r="I4714" s="261"/>
      <c r="J4714" s="261"/>
      <c r="K4714" s="261"/>
      <c r="L4714" s="261"/>
      <c r="M4714" s="261"/>
    </row>
    <row r="4715" spans="5:13">
      <c r="E4715" s="261"/>
      <c r="F4715" s="261"/>
      <c r="G4715" s="261"/>
      <c r="H4715" s="261"/>
      <c r="I4715" s="261"/>
      <c r="J4715" s="261"/>
      <c r="K4715" s="261"/>
      <c r="L4715" s="261"/>
      <c r="M4715" s="261"/>
    </row>
    <row r="4716" spans="5:13">
      <c r="E4716" s="261"/>
      <c r="F4716" s="261"/>
      <c r="G4716" s="261"/>
      <c r="H4716" s="261"/>
      <c r="I4716" s="261"/>
      <c r="J4716" s="261"/>
      <c r="K4716" s="261"/>
      <c r="L4716" s="261"/>
      <c r="M4716" s="261"/>
    </row>
    <row r="4717" spans="5:13">
      <c r="E4717" s="261"/>
      <c r="F4717" s="261"/>
      <c r="G4717" s="261"/>
      <c r="H4717" s="261"/>
      <c r="I4717" s="261"/>
      <c r="J4717" s="261"/>
      <c r="K4717" s="261"/>
      <c r="L4717" s="261"/>
      <c r="M4717" s="261"/>
    </row>
    <row r="4718" spans="5:13">
      <c r="E4718" s="261"/>
      <c r="F4718" s="261"/>
      <c r="G4718" s="261"/>
      <c r="H4718" s="261"/>
      <c r="I4718" s="261"/>
      <c r="J4718" s="261"/>
      <c r="K4718" s="261"/>
      <c r="L4718" s="261"/>
      <c r="M4718" s="261"/>
    </row>
    <row r="4719" spans="5:13">
      <c r="E4719" s="261"/>
      <c r="F4719" s="261"/>
      <c r="G4719" s="261"/>
      <c r="H4719" s="261"/>
      <c r="I4719" s="261"/>
      <c r="J4719" s="261"/>
      <c r="K4719" s="261"/>
      <c r="L4719" s="261"/>
      <c r="M4719" s="261"/>
    </row>
    <row r="4720" spans="5:13">
      <c r="E4720" s="261"/>
      <c r="F4720" s="261"/>
      <c r="G4720" s="261"/>
      <c r="H4720" s="261"/>
      <c r="I4720" s="261"/>
      <c r="J4720" s="261"/>
      <c r="K4720" s="261"/>
      <c r="L4720" s="261"/>
      <c r="M4720" s="261"/>
    </row>
    <row r="4721" spans="5:13">
      <c r="E4721" s="261"/>
      <c r="F4721" s="261"/>
      <c r="G4721" s="261"/>
      <c r="H4721" s="261"/>
      <c r="I4721" s="261"/>
      <c r="J4721" s="261"/>
      <c r="K4721" s="261"/>
      <c r="L4721" s="261"/>
      <c r="M4721" s="261"/>
    </row>
    <row r="4722" spans="5:13">
      <c r="E4722" s="261"/>
      <c r="F4722" s="261"/>
      <c r="G4722" s="261"/>
      <c r="H4722" s="261"/>
      <c r="I4722" s="261"/>
      <c r="J4722" s="261"/>
      <c r="K4722" s="261"/>
      <c r="L4722" s="261"/>
      <c r="M4722" s="261"/>
    </row>
    <row r="4723" spans="5:13">
      <c r="E4723" s="261"/>
      <c r="F4723" s="261"/>
      <c r="G4723" s="261"/>
      <c r="H4723" s="261"/>
      <c r="I4723" s="261"/>
      <c r="J4723" s="261"/>
      <c r="K4723" s="261"/>
      <c r="L4723" s="261"/>
      <c r="M4723" s="261"/>
    </row>
    <row r="4724" spans="5:13">
      <c r="E4724" s="261"/>
      <c r="F4724" s="261"/>
      <c r="G4724" s="261"/>
      <c r="H4724" s="261"/>
      <c r="I4724" s="261"/>
      <c r="J4724" s="261"/>
      <c r="K4724" s="261"/>
      <c r="L4724" s="261"/>
      <c r="M4724" s="261"/>
    </row>
    <row r="4725" spans="5:13">
      <c r="E4725" s="261"/>
      <c r="F4725" s="261"/>
      <c r="G4725" s="261"/>
      <c r="H4725" s="261"/>
      <c r="I4725" s="261"/>
      <c r="J4725" s="261"/>
      <c r="K4725" s="261"/>
      <c r="L4725" s="261"/>
      <c r="M4725" s="261"/>
    </row>
    <row r="4726" spans="5:13">
      <c r="E4726" s="261"/>
      <c r="F4726" s="261"/>
      <c r="G4726" s="261"/>
      <c r="H4726" s="261"/>
      <c r="I4726" s="261"/>
      <c r="J4726" s="261"/>
      <c r="K4726" s="261"/>
      <c r="L4726" s="261"/>
      <c r="M4726" s="261"/>
    </row>
    <row r="4727" spans="5:13">
      <c r="E4727" s="261"/>
      <c r="F4727" s="261"/>
      <c r="G4727" s="261"/>
      <c r="H4727" s="261"/>
      <c r="I4727" s="261"/>
      <c r="J4727" s="261"/>
      <c r="K4727" s="261"/>
      <c r="L4727" s="261"/>
      <c r="M4727" s="261"/>
    </row>
    <row r="4728" spans="5:13">
      <c r="E4728" s="261"/>
      <c r="F4728" s="261"/>
      <c r="G4728" s="261"/>
      <c r="H4728" s="261"/>
      <c r="I4728" s="261"/>
      <c r="J4728" s="261"/>
      <c r="K4728" s="261"/>
      <c r="L4728" s="261"/>
      <c r="M4728" s="261"/>
    </row>
    <row r="4729" spans="5:13">
      <c r="E4729" s="261"/>
      <c r="F4729" s="261"/>
      <c r="G4729" s="261"/>
      <c r="H4729" s="261"/>
      <c r="I4729" s="261"/>
      <c r="J4729" s="261"/>
      <c r="K4729" s="261"/>
      <c r="L4729" s="261"/>
      <c r="M4729" s="261"/>
    </row>
    <row r="4730" spans="5:13">
      <c r="E4730" s="261"/>
      <c r="F4730" s="261"/>
      <c r="G4730" s="261"/>
      <c r="H4730" s="261"/>
      <c r="I4730" s="261"/>
      <c r="J4730" s="261"/>
      <c r="K4730" s="261"/>
      <c r="L4730" s="261"/>
      <c r="M4730" s="261"/>
    </row>
    <row r="4731" spans="5:13">
      <c r="E4731" s="261"/>
      <c r="F4731" s="261"/>
      <c r="G4731" s="261"/>
      <c r="H4731" s="261"/>
      <c r="I4731" s="261"/>
      <c r="J4731" s="261"/>
      <c r="K4731" s="261"/>
      <c r="L4731" s="261"/>
      <c r="M4731" s="261"/>
    </row>
    <row r="4732" spans="5:13">
      <c r="E4732" s="261"/>
      <c r="F4732" s="261"/>
      <c r="G4732" s="261"/>
      <c r="H4732" s="261"/>
      <c r="I4732" s="261"/>
      <c r="J4732" s="261"/>
      <c r="K4732" s="261"/>
      <c r="L4732" s="261"/>
      <c r="M4732" s="261"/>
    </row>
    <row r="4733" spans="5:13">
      <c r="E4733" s="261"/>
      <c r="F4733" s="261"/>
      <c r="G4733" s="261"/>
      <c r="H4733" s="261"/>
      <c r="I4733" s="261"/>
      <c r="J4733" s="261"/>
      <c r="K4733" s="261"/>
      <c r="L4733" s="261"/>
      <c r="M4733" s="261"/>
    </row>
    <row r="4734" spans="5:13">
      <c r="E4734" s="261"/>
      <c r="F4734" s="261"/>
      <c r="G4734" s="261"/>
      <c r="H4734" s="261"/>
      <c r="I4734" s="261"/>
      <c r="J4734" s="261"/>
      <c r="K4734" s="261"/>
      <c r="L4734" s="261"/>
      <c r="M4734" s="261"/>
    </row>
    <row r="4735" spans="5:13">
      <c r="E4735" s="261"/>
      <c r="F4735" s="261"/>
      <c r="G4735" s="261"/>
      <c r="H4735" s="261"/>
      <c r="I4735" s="261"/>
      <c r="J4735" s="261"/>
      <c r="K4735" s="261"/>
      <c r="L4735" s="261"/>
      <c r="M4735" s="261"/>
    </row>
    <row r="4736" spans="5:13">
      <c r="E4736" s="261"/>
      <c r="F4736" s="261"/>
      <c r="G4736" s="261"/>
      <c r="H4736" s="261"/>
      <c r="I4736" s="261"/>
      <c r="J4736" s="261"/>
      <c r="K4736" s="261"/>
      <c r="L4736" s="261"/>
      <c r="M4736" s="261"/>
    </row>
    <row r="4737" spans="5:13">
      <c r="E4737" s="261"/>
      <c r="F4737" s="261"/>
      <c r="G4737" s="261"/>
      <c r="H4737" s="261"/>
      <c r="I4737" s="261"/>
      <c r="J4737" s="261"/>
      <c r="K4737" s="261"/>
      <c r="L4737" s="261"/>
      <c r="M4737" s="261"/>
    </row>
    <row r="4738" spans="5:13">
      <c r="E4738" s="261"/>
      <c r="F4738" s="261"/>
      <c r="G4738" s="261"/>
      <c r="H4738" s="261"/>
      <c r="I4738" s="261"/>
      <c r="J4738" s="261"/>
      <c r="K4738" s="261"/>
      <c r="L4738" s="261"/>
      <c r="M4738" s="261"/>
    </row>
    <row r="4739" spans="5:13">
      <c r="E4739" s="261"/>
      <c r="F4739" s="261"/>
      <c r="G4739" s="261"/>
      <c r="H4739" s="261"/>
      <c r="I4739" s="261"/>
      <c r="J4739" s="261"/>
      <c r="K4739" s="261"/>
      <c r="L4739" s="261"/>
      <c r="M4739" s="261"/>
    </row>
    <row r="4740" spans="5:13">
      <c r="E4740" s="261"/>
      <c r="F4740" s="261"/>
      <c r="G4740" s="261"/>
      <c r="H4740" s="261"/>
      <c r="I4740" s="261"/>
      <c r="J4740" s="261"/>
      <c r="K4740" s="261"/>
      <c r="L4740" s="261"/>
      <c r="M4740" s="261"/>
    </row>
    <row r="4741" spans="5:13">
      <c r="E4741" s="261"/>
      <c r="F4741" s="261"/>
      <c r="G4741" s="261"/>
      <c r="H4741" s="261"/>
      <c r="I4741" s="261"/>
      <c r="J4741" s="261"/>
      <c r="K4741" s="261"/>
      <c r="L4741" s="261"/>
      <c r="M4741" s="261"/>
    </row>
    <row r="4742" spans="5:13">
      <c r="E4742" s="261"/>
      <c r="F4742" s="261"/>
      <c r="G4742" s="261"/>
      <c r="H4742" s="261"/>
      <c r="I4742" s="261"/>
      <c r="J4742" s="261"/>
      <c r="K4742" s="261"/>
      <c r="L4742" s="261"/>
      <c r="M4742" s="261"/>
    </row>
    <row r="4743" spans="5:13">
      <c r="E4743" s="261"/>
      <c r="F4743" s="261"/>
      <c r="G4743" s="261"/>
      <c r="H4743" s="261"/>
      <c r="I4743" s="261"/>
      <c r="J4743" s="261"/>
      <c r="K4743" s="261"/>
      <c r="L4743" s="261"/>
      <c r="M4743" s="261"/>
    </row>
    <row r="4744" spans="5:13">
      <c r="E4744" s="261"/>
      <c r="F4744" s="261"/>
      <c r="G4744" s="261"/>
      <c r="H4744" s="261"/>
      <c r="I4744" s="261"/>
      <c r="J4744" s="261"/>
      <c r="K4744" s="261"/>
      <c r="L4744" s="261"/>
      <c r="M4744" s="261"/>
    </row>
    <row r="4745" spans="5:13">
      <c r="E4745" s="261"/>
      <c r="F4745" s="261"/>
      <c r="G4745" s="261"/>
      <c r="H4745" s="261"/>
      <c r="I4745" s="261"/>
      <c r="J4745" s="261"/>
      <c r="K4745" s="261"/>
      <c r="L4745" s="261"/>
      <c r="M4745" s="261"/>
    </row>
    <row r="4746" spans="5:13">
      <c r="E4746" s="261"/>
      <c r="F4746" s="261"/>
      <c r="G4746" s="261"/>
      <c r="H4746" s="261"/>
      <c r="I4746" s="261"/>
      <c r="J4746" s="261"/>
      <c r="K4746" s="261"/>
      <c r="L4746" s="261"/>
      <c r="M4746" s="261"/>
    </row>
    <row r="4747" spans="5:13">
      <c r="E4747" s="261"/>
      <c r="F4747" s="261"/>
      <c r="G4747" s="261"/>
      <c r="H4747" s="261"/>
      <c r="I4747" s="261"/>
      <c r="J4747" s="261"/>
      <c r="K4747" s="261"/>
      <c r="L4747" s="261"/>
      <c r="M4747" s="261"/>
    </row>
    <row r="4748" spans="5:13">
      <c r="E4748" s="261"/>
      <c r="F4748" s="261"/>
      <c r="G4748" s="261"/>
      <c r="H4748" s="261"/>
      <c r="I4748" s="261"/>
      <c r="J4748" s="261"/>
      <c r="K4748" s="261"/>
      <c r="L4748" s="261"/>
      <c r="M4748" s="261"/>
    </row>
    <row r="4749" spans="5:13">
      <c r="E4749" s="261"/>
      <c r="F4749" s="261"/>
      <c r="G4749" s="261"/>
      <c r="H4749" s="261"/>
      <c r="I4749" s="261"/>
      <c r="J4749" s="261"/>
      <c r="K4749" s="261"/>
      <c r="L4749" s="261"/>
      <c r="M4749" s="261"/>
    </row>
    <row r="4750" spans="5:13">
      <c r="E4750" s="261"/>
      <c r="F4750" s="261"/>
      <c r="G4750" s="261"/>
      <c r="H4750" s="261"/>
      <c r="I4750" s="261"/>
      <c r="J4750" s="261"/>
      <c r="K4750" s="261"/>
      <c r="L4750" s="261"/>
      <c r="M4750" s="261"/>
    </row>
    <row r="4751" spans="5:13">
      <c r="E4751" s="261"/>
      <c r="F4751" s="261"/>
      <c r="G4751" s="261"/>
      <c r="H4751" s="261"/>
      <c r="I4751" s="261"/>
      <c r="J4751" s="261"/>
      <c r="K4751" s="261"/>
      <c r="L4751" s="261"/>
      <c r="M4751" s="261"/>
    </row>
    <row r="4752" spans="5:13">
      <c r="E4752" s="261"/>
      <c r="F4752" s="261"/>
      <c r="G4752" s="261"/>
      <c r="H4752" s="261"/>
      <c r="I4752" s="261"/>
      <c r="J4752" s="261"/>
      <c r="K4752" s="261"/>
      <c r="L4752" s="261"/>
      <c r="M4752" s="261"/>
    </row>
    <row r="4753" spans="5:13">
      <c r="E4753" s="261"/>
      <c r="F4753" s="261"/>
      <c r="G4753" s="261"/>
      <c r="H4753" s="261"/>
      <c r="I4753" s="261"/>
      <c r="J4753" s="261"/>
      <c r="K4753" s="261"/>
      <c r="L4753" s="261"/>
      <c r="M4753" s="261"/>
    </row>
    <row r="4754" spans="5:13">
      <c r="E4754" s="261"/>
      <c r="F4754" s="261"/>
      <c r="G4754" s="261"/>
      <c r="H4754" s="261"/>
      <c r="I4754" s="261"/>
      <c r="J4754" s="261"/>
      <c r="K4754" s="261"/>
      <c r="L4754" s="261"/>
      <c r="M4754" s="261"/>
    </row>
    <row r="4755" spans="5:13">
      <c r="E4755" s="261"/>
      <c r="F4755" s="261"/>
      <c r="G4755" s="261"/>
      <c r="H4755" s="261"/>
      <c r="I4755" s="261"/>
      <c r="J4755" s="261"/>
      <c r="K4755" s="261"/>
      <c r="L4755" s="261"/>
      <c r="M4755" s="261"/>
    </row>
    <row r="4756" spans="5:13">
      <c r="E4756" s="261"/>
      <c r="F4756" s="261"/>
      <c r="G4756" s="261"/>
      <c r="H4756" s="261"/>
      <c r="I4756" s="261"/>
      <c r="J4756" s="261"/>
      <c r="K4756" s="261"/>
      <c r="L4756" s="261"/>
      <c r="M4756" s="261"/>
    </row>
    <row r="4757" spans="5:13">
      <c r="E4757" s="261"/>
      <c r="F4757" s="261"/>
      <c r="G4757" s="261"/>
      <c r="H4757" s="261"/>
      <c r="I4757" s="261"/>
      <c r="J4757" s="261"/>
      <c r="K4757" s="261"/>
      <c r="L4757" s="261"/>
      <c r="M4757" s="261"/>
    </row>
    <row r="4758" spans="5:13">
      <c r="E4758" s="261"/>
      <c r="F4758" s="261"/>
      <c r="G4758" s="261"/>
      <c r="H4758" s="261"/>
      <c r="I4758" s="261"/>
      <c r="J4758" s="261"/>
      <c r="K4758" s="261"/>
      <c r="L4758" s="261"/>
      <c r="M4758" s="261"/>
    </row>
    <row r="4759" spans="5:13">
      <c r="E4759" s="261"/>
      <c r="F4759" s="261"/>
      <c r="G4759" s="261"/>
      <c r="H4759" s="261"/>
      <c r="I4759" s="261"/>
      <c r="J4759" s="261"/>
      <c r="K4759" s="261"/>
      <c r="L4759" s="261"/>
      <c r="M4759" s="261"/>
    </row>
    <row r="4760" spans="5:13">
      <c r="E4760" s="261"/>
      <c r="F4760" s="261"/>
      <c r="G4760" s="261"/>
      <c r="H4760" s="261"/>
      <c r="I4760" s="261"/>
      <c r="J4760" s="261"/>
      <c r="K4760" s="261"/>
      <c r="L4760" s="261"/>
      <c r="M4760" s="261"/>
    </row>
    <row r="4761" spans="5:13">
      <c r="E4761" s="261"/>
      <c r="F4761" s="261"/>
      <c r="G4761" s="261"/>
      <c r="H4761" s="261"/>
      <c r="I4761" s="261"/>
      <c r="J4761" s="261"/>
      <c r="K4761" s="261"/>
      <c r="L4761" s="261"/>
      <c r="M4761" s="261"/>
    </row>
    <row r="4762" spans="5:13">
      <c r="E4762" s="261"/>
      <c r="F4762" s="261"/>
      <c r="G4762" s="261"/>
      <c r="H4762" s="261"/>
      <c r="I4762" s="261"/>
      <c r="J4762" s="261"/>
      <c r="K4762" s="261"/>
      <c r="L4762" s="261"/>
      <c r="M4762" s="261"/>
    </row>
    <row r="4763" spans="5:13">
      <c r="E4763" s="261"/>
      <c r="F4763" s="261"/>
      <c r="G4763" s="261"/>
      <c r="H4763" s="261"/>
      <c r="I4763" s="261"/>
      <c r="J4763" s="261"/>
      <c r="K4763" s="261"/>
      <c r="L4763" s="261"/>
      <c r="M4763" s="261"/>
    </row>
    <row r="4764" spans="5:13">
      <c r="E4764" s="261"/>
      <c r="F4764" s="261"/>
      <c r="G4764" s="261"/>
      <c r="H4764" s="261"/>
      <c r="I4764" s="261"/>
      <c r="J4764" s="261"/>
      <c r="K4764" s="261"/>
      <c r="L4764" s="261"/>
      <c r="M4764" s="261"/>
    </row>
    <row r="4765" spans="5:13">
      <c r="E4765" s="261"/>
      <c r="F4765" s="261"/>
      <c r="G4765" s="261"/>
      <c r="H4765" s="261"/>
      <c r="I4765" s="261"/>
      <c r="J4765" s="261"/>
      <c r="K4765" s="261"/>
      <c r="L4765" s="261"/>
      <c r="M4765" s="261"/>
    </row>
    <row r="4766" spans="5:13">
      <c r="E4766" s="261"/>
      <c r="F4766" s="261"/>
      <c r="G4766" s="261"/>
      <c r="H4766" s="261"/>
      <c r="I4766" s="261"/>
      <c r="J4766" s="261"/>
      <c r="K4766" s="261"/>
      <c r="L4766" s="261"/>
      <c r="M4766" s="261"/>
    </row>
    <row r="4767" spans="5:13">
      <c r="E4767" s="261"/>
      <c r="F4767" s="261"/>
      <c r="G4767" s="261"/>
      <c r="H4767" s="261"/>
      <c r="I4767" s="261"/>
      <c r="J4767" s="261"/>
      <c r="K4767" s="261"/>
      <c r="L4767" s="261"/>
      <c r="M4767" s="261"/>
    </row>
    <row r="4768" spans="5:13">
      <c r="E4768" s="261"/>
      <c r="F4768" s="261"/>
      <c r="G4768" s="261"/>
      <c r="H4768" s="261"/>
      <c r="I4768" s="261"/>
      <c r="J4768" s="261"/>
      <c r="K4768" s="261"/>
      <c r="L4768" s="261"/>
      <c r="M4768" s="261"/>
    </row>
    <row r="4769" spans="5:13">
      <c r="E4769" s="261"/>
      <c r="F4769" s="261"/>
      <c r="G4769" s="261"/>
      <c r="H4769" s="261"/>
      <c r="I4769" s="261"/>
      <c r="J4769" s="261"/>
      <c r="K4769" s="261"/>
      <c r="L4769" s="261"/>
      <c r="M4769" s="261"/>
    </row>
    <row r="4770" spans="5:13">
      <c r="E4770" s="261"/>
      <c r="F4770" s="261"/>
      <c r="G4770" s="261"/>
      <c r="H4770" s="261"/>
      <c r="I4770" s="261"/>
      <c r="J4770" s="261"/>
      <c r="K4770" s="261"/>
      <c r="L4770" s="261"/>
      <c r="M4770" s="261"/>
    </row>
    <row r="4771" spans="5:13">
      <c r="E4771" s="261"/>
      <c r="F4771" s="261"/>
      <c r="G4771" s="261"/>
      <c r="H4771" s="261"/>
      <c r="I4771" s="261"/>
      <c r="J4771" s="261"/>
      <c r="K4771" s="261"/>
      <c r="L4771" s="261"/>
      <c r="M4771" s="261"/>
    </row>
    <row r="4772" spans="5:13">
      <c r="E4772" s="261"/>
      <c r="F4772" s="261"/>
      <c r="G4772" s="261"/>
      <c r="H4772" s="261"/>
      <c r="I4772" s="261"/>
      <c r="J4772" s="261"/>
      <c r="K4772" s="261"/>
      <c r="L4772" s="261"/>
      <c r="M4772" s="261"/>
    </row>
    <row r="4773" spans="5:13">
      <c r="E4773" s="261"/>
      <c r="F4773" s="261"/>
      <c r="G4773" s="261"/>
      <c r="H4773" s="261"/>
      <c r="I4773" s="261"/>
      <c r="J4773" s="261"/>
      <c r="K4773" s="261"/>
      <c r="L4773" s="261"/>
      <c r="M4773" s="261"/>
    </row>
    <row r="4774" spans="5:13">
      <c r="E4774" s="261"/>
      <c r="F4774" s="261"/>
      <c r="G4774" s="261"/>
      <c r="H4774" s="261"/>
      <c r="I4774" s="261"/>
      <c r="J4774" s="261"/>
      <c r="K4774" s="261"/>
      <c r="L4774" s="261"/>
      <c r="M4774" s="261"/>
    </row>
    <row r="4775" spans="5:13">
      <c r="E4775" s="261"/>
      <c r="F4775" s="261"/>
      <c r="G4775" s="261"/>
      <c r="H4775" s="261"/>
      <c r="I4775" s="261"/>
      <c r="J4775" s="261"/>
      <c r="K4775" s="261"/>
      <c r="L4775" s="261"/>
      <c r="M4775" s="261"/>
    </row>
    <row r="4776" spans="5:13">
      <c r="E4776" s="261"/>
      <c r="F4776" s="261"/>
      <c r="G4776" s="261"/>
      <c r="H4776" s="261"/>
      <c r="I4776" s="261"/>
      <c r="J4776" s="261"/>
      <c r="K4776" s="261"/>
      <c r="L4776" s="261"/>
      <c r="M4776" s="261"/>
    </row>
    <row r="4777" spans="5:13">
      <c r="E4777" s="261"/>
      <c r="F4777" s="261"/>
      <c r="G4777" s="261"/>
      <c r="H4777" s="261"/>
      <c r="I4777" s="261"/>
      <c r="J4777" s="261"/>
      <c r="K4777" s="261"/>
      <c r="L4777" s="261"/>
      <c r="M4777" s="261"/>
    </row>
    <row r="4778" spans="5:13">
      <c r="E4778" s="261"/>
      <c r="F4778" s="261"/>
      <c r="G4778" s="261"/>
      <c r="H4778" s="261"/>
      <c r="I4778" s="261"/>
      <c r="J4778" s="261"/>
      <c r="K4778" s="261"/>
      <c r="L4778" s="261"/>
      <c r="M4778" s="261"/>
    </row>
    <row r="4779" spans="5:13">
      <c r="E4779" s="261"/>
      <c r="F4779" s="261"/>
      <c r="G4779" s="261"/>
      <c r="H4779" s="261"/>
      <c r="I4779" s="261"/>
      <c r="J4779" s="261"/>
      <c r="K4779" s="261"/>
      <c r="L4779" s="261"/>
      <c r="M4779" s="261"/>
    </row>
    <row r="4780" spans="5:13">
      <c r="E4780" s="261"/>
      <c r="F4780" s="261"/>
      <c r="G4780" s="261"/>
      <c r="H4780" s="261"/>
      <c r="I4780" s="261"/>
      <c r="J4780" s="261"/>
      <c r="K4780" s="261"/>
      <c r="L4780" s="261"/>
      <c r="M4780" s="261"/>
    </row>
    <row r="4781" spans="5:13">
      <c r="E4781" s="261"/>
      <c r="F4781" s="261"/>
      <c r="G4781" s="261"/>
      <c r="H4781" s="261"/>
      <c r="I4781" s="261"/>
      <c r="J4781" s="261"/>
      <c r="K4781" s="261"/>
      <c r="L4781" s="261"/>
      <c r="M4781" s="261"/>
    </row>
    <row r="4782" spans="5:13">
      <c r="E4782" s="261"/>
      <c r="F4782" s="261"/>
      <c r="G4782" s="261"/>
      <c r="H4782" s="261"/>
      <c r="I4782" s="261"/>
      <c r="J4782" s="261"/>
      <c r="K4782" s="261"/>
      <c r="L4782" s="261"/>
      <c r="M4782" s="261"/>
    </row>
    <row r="4783" spans="5:13">
      <c r="E4783" s="261"/>
      <c r="F4783" s="261"/>
      <c r="G4783" s="261"/>
      <c r="H4783" s="261"/>
      <c r="I4783" s="261"/>
      <c r="J4783" s="261"/>
      <c r="K4783" s="261"/>
      <c r="L4783" s="261"/>
      <c r="M4783" s="261"/>
    </row>
    <row r="4784" spans="5:13">
      <c r="E4784" s="261"/>
      <c r="F4784" s="261"/>
      <c r="G4784" s="261"/>
      <c r="H4784" s="261"/>
      <c r="I4784" s="261"/>
      <c r="J4784" s="261"/>
      <c r="K4784" s="261"/>
      <c r="L4784" s="261"/>
      <c r="M4784" s="261"/>
    </row>
    <row r="4785" spans="5:13">
      <c r="E4785" s="261"/>
      <c r="F4785" s="261"/>
      <c r="G4785" s="261"/>
      <c r="H4785" s="261"/>
      <c r="I4785" s="261"/>
      <c r="J4785" s="261"/>
      <c r="K4785" s="261"/>
      <c r="L4785" s="261"/>
      <c r="M4785" s="261"/>
    </row>
    <row r="4786" spans="5:13">
      <c r="E4786" s="261"/>
      <c r="F4786" s="261"/>
      <c r="G4786" s="261"/>
      <c r="H4786" s="261"/>
      <c r="I4786" s="261"/>
      <c r="J4786" s="261"/>
      <c r="K4786" s="261"/>
      <c r="L4786" s="261"/>
      <c r="M4786" s="261"/>
    </row>
    <row r="4787" spans="5:13">
      <c r="E4787" s="261"/>
      <c r="F4787" s="261"/>
      <c r="G4787" s="261"/>
      <c r="H4787" s="261"/>
      <c r="I4787" s="261"/>
      <c r="J4787" s="261"/>
      <c r="K4787" s="261"/>
      <c r="L4787" s="261"/>
      <c r="M4787" s="261"/>
    </row>
    <row r="4788" spans="5:13">
      <c r="E4788" s="261"/>
      <c r="F4788" s="261"/>
      <c r="G4788" s="261"/>
      <c r="H4788" s="261"/>
      <c r="I4788" s="261"/>
      <c r="J4788" s="261"/>
      <c r="K4788" s="261"/>
      <c r="L4788" s="261"/>
      <c r="M4788" s="261"/>
    </row>
    <row r="4789" spans="5:13">
      <c r="E4789" s="261"/>
      <c r="F4789" s="261"/>
      <c r="G4789" s="261"/>
      <c r="H4789" s="261"/>
      <c r="I4789" s="261"/>
      <c r="J4789" s="261"/>
      <c r="K4789" s="261"/>
      <c r="L4789" s="261"/>
      <c r="M4789" s="261"/>
    </row>
    <row r="4790" spans="5:13">
      <c r="E4790" s="261"/>
      <c r="F4790" s="261"/>
      <c r="G4790" s="261"/>
      <c r="H4790" s="261"/>
      <c r="I4790" s="261"/>
      <c r="J4790" s="261"/>
      <c r="K4790" s="261"/>
      <c r="L4790" s="261"/>
      <c r="M4790" s="261"/>
    </row>
    <row r="4791" spans="5:13">
      <c r="E4791" s="261"/>
      <c r="F4791" s="261"/>
      <c r="G4791" s="261"/>
      <c r="H4791" s="261"/>
      <c r="I4791" s="261"/>
      <c r="J4791" s="261"/>
      <c r="K4791" s="261"/>
      <c r="L4791" s="261"/>
      <c r="M4791" s="261"/>
    </row>
    <row r="4792" spans="5:13">
      <c r="E4792" s="261"/>
      <c r="F4792" s="261"/>
      <c r="G4792" s="261"/>
      <c r="H4792" s="261"/>
      <c r="I4792" s="261"/>
      <c r="J4792" s="261"/>
      <c r="K4792" s="261"/>
      <c r="L4792" s="261"/>
      <c r="M4792" s="261"/>
    </row>
    <row r="4793" spans="5:13">
      <c r="E4793" s="261"/>
      <c r="F4793" s="261"/>
      <c r="G4793" s="261"/>
      <c r="H4793" s="261"/>
      <c r="I4793" s="261"/>
      <c r="J4793" s="261"/>
      <c r="K4793" s="261"/>
      <c r="L4793" s="261"/>
      <c r="M4793" s="261"/>
    </row>
    <row r="4794" spans="5:13">
      <c r="E4794" s="261"/>
      <c r="F4794" s="261"/>
      <c r="G4794" s="261"/>
      <c r="H4794" s="261"/>
      <c r="I4794" s="261"/>
      <c r="J4794" s="261"/>
      <c r="K4794" s="261"/>
      <c r="L4794" s="261"/>
      <c r="M4794" s="261"/>
    </row>
    <row r="4795" spans="5:13">
      <c r="E4795" s="261"/>
      <c r="F4795" s="261"/>
      <c r="G4795" s="261"/>
      <c r="H4795" s="261"/>
      <c r="I4795" s="261"/>
      <c r="J4795" s="261"/>
      <c r="K4795" s="261"/>
      <c r="L4795" s="261"/>
      <c r="M4795" s="261"/>
    </row>
    <row r="4796" spans="5:13">
      <c r="E4796" s="261"/>
      <c r="F4796" s="261"/>
      <c r="G4796" s="261"/>
      <c r="H4796" s="261"/>
      <c r="I4796" s="261"/>
      <c r="J4796" s="261"/>
      <c r="K4796" s="261"/>
      <c r="L4796" s="261"/>
      <c r="M4796" s="261"/>
    </row>
    <row r="4797" spans="5:13">
      <c r="E4797" s="261"/>
      <c r="F4797" s="261"/>
      <c r="G4797" s="261"/>
      <c r="H4797" s="261"/>
      <c r="I4797" s="261"/>
      <c r="J4797" s="261"/>
      <c r="K4797" s="261"/>
      <c r="L4797" s="261"/>
      <c r="M4797" s="261"/>
    </row>
    <row r="4798" spans="5:13">
      <c r="E4798" s="261"/>
      <c r="F4798" s="261"/>
      <c r="G4798" s="261"/>
      <c r="H4798" s="261"/>
      <c r="I4798" s="261"/>
      <c r="J4798" s="261"/>
      <c r="K4798" s="261"/>
      <c r="L4798" s="261"/>
      <c r="M4798" s="261"/>
    </row>
    <row r="4799" spans="5:13">
      <c r="E4799" s="261"/>
      <c r="F4799" s="261"/>
      <c r="G4799" s="261"/>
      <c r="H4799" s="261"/>
      <c r="I4799" s="261"/>
      <c r="J4799" s="261"/>
      <c r="K4799" s="261"/>
      <c r="L4799" s="261"/>
      <c r="M4799" s="261"/>
    </row>
    <row r="4800" spans="5:13">
      <c r="E4800" s="261"/>
      <c r="F4800" s="261"/>
      <c r="G4800" s="261"/>
      <c r="H4800" s="261"/>
      <c r="I4800" s="261"/>
      <c r="J4800" s="261"/>
      <c r="K4800" s="261"/>
      <c r="L4800" s="261"/>
      <c r="M4800" s="261"/>
    </row>
    <row r="4801" spans="5:13">
      <c r="E4801" s="261"/>
      <c r="F4801" s="261"/>
      <c r="G4801" s="261"/>
      <c r="H4801" s="261"/>
      <c r="I4801" s="261"/>
      <c r="J4801" s="261"/>
      <c r="K4801" s="261"/>
      <c r="L4801" s="261"/>
      <c r="M4801" s="261"/>
    </row>
    <row r="4802" spans="5:13">
      <c r="E4802" s="261"/>
      <c r="F4802" s="261"/>
      <c r="G4802" s="261"/>
      <c r="H4802" s="261"/>
      <c r="I4802" s="261"/>
      <c r="J4802" s="261"/>
      <c r="K4802" s="261"/>
      <c r="L4802" s="261"/>
      <c r="M4802" s="261"/>
    </row>
    <row r="4803" spans="5:13">
      <c r="E4803" s="261"/>
      <c r="F4803" s="261"/>
      <c r="G4803" s="261"/>
      <c r="H4803" s="261"/>
      <c r="I4803" s="261"/>
      <c r="J4803" s="261"/>
      <c r="K4803" s="261"/>
      <c r="L4803" s="261"/>
      <c r="M4803" s="261"/>
    </row>
    <row r="4804" spans="5:13">
      <c r="E4804" s="261"/>
      <c r="F4804" s="261"/>
      <c r="G4804" s="261"/>
      <c r="H4804" s="261"/>
      <c r="I4804" s="261"/>
      <c r="J4804" s="261"/>
      <c r="K4804" s="261"/>
      <c r="L4804" s="261"/>
      <c r="M4804" s="261"/>
    </row>
    <row r="4805" spans="5:13">
      <c r="E4805" s="261"/>
      <c r="F4805" s="261"/>
      <c r="G4805" s="261"/>
      <c r="H4805" s="261"/>
      <c r="I4805" s="261"/>
      <c r="J4805" s="261"/>
      <c r="K4805" s="261"/>
      <c r="L4805" s="261"/>
      <c r="M4805" s="261"/>
    </row>
    <row r="4806" spans="5:13">
      <c r="E4806" s="261"/>
      <c r="F4806" s="261"/>
      <c r="G4806" s="261"/>
      <c r="H4806" s="261"/>
      <c r="I4806" s="261"/>
      <c r="J4806" s="261"/>
      <c r="K4806" s="261"/>
      <c r="L4806" s="261"/>
      <c r="M4806" s="261"/>
    </row>
    <row r="4807" spans="5:13">
      <c r="E4807" s="261"/>
      <c r="F4807" s="261"/>
      <c r="G4807" s="261"/>
      <c r="H4807" s="261"/>
      <c r="I4807" s="261"/>
      <c r="J4807" s="261"/>
      <c r="K4807" s="261"/>
      <c r="L4807" s="261"/>
      <c r="M4807" s="261"/>
    </row>
    <row r="4808" spans="5:13">
      <c r="E4808" s="261"/>
      <c r="F4808" s="261"/>
      <c r="G4808" s="261"/>
      <c r="H4808" s="261"/>
      <c r="I4808" s="261"/>
      <c r="J4808" s="261"/>
      <c r="K4808" s="261"/>
      <c r="L4808" s="261"/>
      <c r="M4808" s="261"/>
    </row>
    <row r="4809" spans="5:13">
      <c r="E4809" s="261"/>
      <c r="F4809" s="261"/>
      <c r="G4809" s="261"/>
      <c r="H4809" s="261"/>
      <c r="I4809" s="261"/>
      <c r="J4809" s="261"/>
      <c r="K4809" s="261"/>
      <c r="L4809" s="261"/>
      <c r="M4809" s="261"/>
    </row>
    <row r="4810" spans="5:13">
      <c r="E4810" s="261"/>
      <c r="F4810" s="261"/>
      <c r="G4810" s="261"/>
      <c r="H4810" s="261"/>
      <c r="I4810" s="261"/>
      <c r="J4810" s="261"/>
      <c r="K4810" s="261"/>
      <c r="L4810" s="261"/>
      <c r="M4810" s="261"/>
    </row>
    <row r="4811" spans="5:13">
      <c r="E4811" s="261"/>
      <c r="F4811" s="261"/>
      <c r="G4811" s="261"/>
      <c r="H4811" s="261"/>
      <c r="I4811" s="261"/>
      <c r="J4811" s="261"/>
      <c r="K4811" s="261"/>
      <c r="L4811" s="261"/>
      <c r="M4811" s="261"/>
    </row>
    <row r="4812" spans="5:13">
      <c r="E4812" s="261"/>
      <c r="F4812" s="261"/>
      <c r="G4812" s="261"/>
      <c r="H4812" s="261"/>
      <c r="I4812" s="261"/>
      <c r="J4812" s="261"/>
      <c r="K4812" s="261"/>
      <c r="L4812" s="261"/>
      <c r="M4812" s="261"/>
    </row>
    <row r="4813" spans="5:13">
      <c r="E4813" s="261"/>
      <c r="F4813" s="261"/>
      <c r="G4813" s="261"/>
      <c r="H4813" s="261"/>
      <c r="I4813" s="261"/>
      <c r="J4813" s="261"/>
      <c r="K4813" s="261"/>
      <c r="L4813" s="261"/>
      <c r="M4813" s="261"/>
    </row>
    <row r="4814" spans="5:13">
      <c r="E4814" s="261"/>
      <c r="F4814" s="261"/>
      <c r="G4814" s="261"/>
      <c r="H4814" s="261"/>
      <c r="I4814" s="261"/>
      <c r="J4814" s="261"/>
      <c r="K4814" s="261"/>
      <c r="L4814" s="261"/>
      <c r="M4814" s="261"/>
    </row>
    <row r="4815" spans="5:13">
      <c r="E4815" s="261"/>
      <c r="F4815" s="261"/>
      <c r="G4815" s="261"/>
      <c r="H4815" s="261"/>
      <c r="I4815" s="261"/>
      <c r="J4815" s="261"/>
      <c r="K4815" s="261"/>
      <c r="L4815" s="261"/>
      <c r="M4815" s="261"/>
    </row>
    <row r="4816" spans="5:13">
      <c r="E4816" s="261"/>
      <c r="F4816" s="261"/>
      <c r="G4816" s="261"/>
      <c r="H4816" s="261"/>
      <c r="I4816" s="261"/>
      <c r="J4816" s="261"/>
      <c r="K4816" s="261"/>
      <c r="L4816" s="261"/>
      <c r="M4816" s="261"/>
    </row>
    <row r="4817" spans="5:13">
      <c r="E4817" s="261"/>
      <c r="F4817" s="261"/>
      <c r="G4817" s="261"/>
      <c r="H4817" s="261"/>
      <c r="I4817" s="261"/>
      <c r="J4817" s="261"/>
      <c r="K4817" s="261"/>
      <c r="L4817" s="261"/>
      <c r="M4817" s="261"/>
    </row>
    <row r="4818" spans="5:13">
      <c r="E4818" s="261"/>
      <c r="F4818" s="261"/>
      <c r="G4818" s="261"/>
      <c r="H4818" s="261"/>
      <c r="I4818" s="261"/>
      <c r="J4818" s="261"/>
      <c r="K4818" s="261"/>
      <c r="L4818" s="261"/>
      <c r="M4818" s="261"/>
    </row>
    <row r="4819" spans="5:13">
      <c r="E4819" s="261"/>
      <c r="F4819" s="261"/>
      <c r="G4819" s="261"/>
      <c r="H4819" s="261"/>
      <c r="I4819" s="261"/>
      <c r="J4819" s="261"/>
      <c r="K4819" s="261"/>
      <c r="L4819" s="261"/>
      <c r="M4819" s="261"/>
    </row>
    <row r="4820" spans="5:13">
      <c r="E4820" s="261"/>
      <c r="F4820" s="261"/>
      <c r="G4820" s="261"/>
      <c r="H4820" s="261"/>
      <c r="I4820" s="261"/>
      <c r="J4820" s="261"/>
      <c r="K4820" s="261"/>
      <c r="L4820" s="261"/>
      <c r="M4820" s="261"/>
    </row>
    <row r="4821" spans="5:13">
      <c r="E4821" s="261"/>
      <c r="F4821" s="261"/>
      <c r="G4821" s="261"/>
      <c r="H4821" s="261"/>
      <c r="I4821" s="261"/>
      <c r="J4821" s="261"/>
      <c r="K4821" s="261"/>
      <c r="L4821" s="261"/>
      <c r="M4821" s="261"/>
    </row>
    <row r="4822" spans="5:13">
      <c r="E4822" s="261"/>
      <c r="F4822" s="261"/>
      <c r="G4822" s="261"/>
      <c r="H4822" s="261"/>
      <c r="I4822" s="261"/>
      <c r="J4822" s="261"/>
      <c r="K4822" s="261"/>
      <c r="L4822" s="261"/>
      <c r="M4822" s="261"/>
    </row>
    <row r="4823" spans="5:13">
      <c r="E4823" s="261"/>
      <c r="F4823" s="261"/>
      <c r="G4823" s="261"/>
      <c r="H4823" s="261"/>
      <c r="I4823" s="261"/>
      <c r="J4823" s="261"/>
      <c r="K4823" s="261"/>
      <c r="L4823" s="261"/>
      <c r="M4823" s="261"/>
    </row>
    <row r="4824" spans="5:13">
      <c r="E4824" s="261"/>
      <c r="F4824" s="261"/>
      <c r="G4824" s="261"/>
      <c r="H4824" s="261"/>
      <c r="I4824" s="261"/>
      <c r="J4824" s="261"/>
      <c r="K4824" s="261"/>
      <c r="L4824" s="261"/>
      <c r="M4824" s="261"/>
    </row>
    <row r="4825" spans="5:13">
      <c r="E4825" s="261"/>
      <c r="F4825" s="261"/>
      <c r="G4825" s="261"/>
      <c r="H4825" s="261"/>
      <c r="I4825" s="261"/>
      <c r="J4825" s="261"/>
      <c r="K4825" s="261"/>
      <c r="L4825" s="261"/>
      <c r="M4825" s="261"/>
    </row>
    <row r="4826" spans="5:13">
      <c r="E4826" s="261"/>
      <c r="F4826" s="261"/>
      <c r="G4826" s="261"/>
      <c r="H4826" s="261"/>
      <c r="I4826" s="261"/>
      <c r="J4826" s="261"/>
      <c r="K4826" s="261"/>
      <c r="L4826" s="261"/>
      <c r="M4826" s="261"/>
    </row>
    <row r="4827" spans="5:13">
      <c r="E4827" s="261"/>
      <c r="F4827" s="261"/>
      <c r="G4827" s="261"/>
      <c r="H4827" s="261"/>
      <c r="I4827" s="261"/>
      <c r="J4827" s="261"/>
      <c r="K4827" s="261"/>
      <c r="L4827" s="261"/>
      <c r="M4827" s="261"/>
    </row>
    <row r="4828" spans="5:13">
      <c r="E4828" s="261"/>
      <c r="F4828" s="261"/>
      <c r="G4828" s="261"/>
      <c r="H4828" s="261"/>
      <c r="I4828" s="261"/>
      <c r="J4828" s="261"/>
      <c r="K4828" s="261"/>
      <c r="L4828" s="261"/>
      <c r="M4828" s="261"/>
    </row>
    <row r="4829" spans="5:13">
      <c r="E4829" s="261"/>
      <c r="F4829" s="261"/>
      <c r="G4829" s="261"/>
      <c r="H4829" s="261"/>
      <c r="I4829" s="261"/>
      <c r="J4829" s="261"/>
      <c r="K4829" s="261"/>
      <c r="L4829" s="261"/>
      <c r="M4829" s="261"/>
    </row>
    <row r="4830" spans="5:13">
      <c r="E4830" s="261"/>
      <c r="F4830" s="261"/>
      <c r="G4830" s="261"/>
      <c r="H4830" s="261"/>
      <c r="I4830" s="261"/>
      <c r="J4830" s="261"/>
      <c r="K4830" s="261"/>
      <c r="L4830" s="261"/>
      <c r="M4830" s="261"/>
    </row>
    <row r="4831" spans="5:13">
      <c r="E4831" s="261"/>
      <c r="F4831" s="261"/>
      <c r="G4831" s="261"/>
      <c r="H4831" s="261"/>
      <c r="I4831" s="261"/>
      <c r="J4831" s="261"/>
      <c r="K4831" s="261"/>
      <c r="L4831" s="261"/>
      <c r="M4831" s="261"/>
    </row>
    <row r="4832" spans="5:13">
      <c r="E4832" s="261"/>
      <c r="F4832" s="261"/>
      <c r="G4832" s="261"/>
      <c r="H4832" s="261"/>
      <c r="I4832" s="261"/>
      <c r="J4832" s="261"/>
      <c r="K4832" s="261"/>
      <c r="L4832" s="261"/>
      <c r="M4832" s="261"/>
    </row>
    <row r="4833" spans="5:13">
      <c r="E4833" s="261"/>
      <c r="F4833" s="261"/>
      <c r="G4833" s="261"/>
      <c r="H4833" s="261"/>
      <c r="I4833" s="261"/>
      <c r="J4833" s="261"/>
      <c r="K4833" s="261"/>
      <c r="L4833" s="261"/>
      <c r="M4833" s="261"/>
    </row>
    <row r="4834" spans="5:13">
      <c r="E4834" s="261"/>
      <c r="F4834" s="261"/>
      <c r="G4834" s="261"/>
      <c r="H4834" s="261"/>
      <c r="I4834" s="261"/>
      <c r="J4834" s="261"/>
      <c r="K4834" s="261"/>
      <c r="L4834" s="261"/>
      <c r="M4834" s="261"/>
    </row>
    <row r="4835" spans="5:13">
      <c r="E4835" s="261"/>
      <c r="F4835" s="261"/>
      <c r="G4835" s="261"/>
      <c r="H4835" s="261"/>
      <c r="I4835" s="261"/>
      <c r="J4835" s="261"/>
      <c r="K4835" s="261"/>
      <c r="L4835" s="261"/>
      <c r="M4835" s="261"/>
    </row>
    <row r="4836" spans="5:13">
      <c r="E4836" s="261"/>
      <c r="F4836" s="261"/>
      <c r="G4836" s="261"/>
      <c r="H4836" s="261"/>
      <c r="I4836" s="261"/>
      <c r="J4836" s="261"/>
      <c r="K4836" s="261"/>
      <c r="L4836" s="261"/>
      <c r="M4836" s="261"/>
    </row>
    <row r="4837" spans="5:13">
      <c r="E4837" s="261"/>
      <c r="F4837" s="261"/>
      <c r="G4837" s="261"/>
      <c r="H4837" s="261"/>
      <c r="I4837" s="261"/>
      <c r="J4837" s="261"/>
      <c r="K4837" s="261"/>
      <c r="L4837" s="261"/>
      <c r="M4837" s="261"/>
    </row>
    <row r="4838" spans="5:13">
      <c r="E4838" s="261"/>
      <c r="F4838" s="261"/>
      <c r="G4838" s="261"/>
      <c r="H4838" s="261"/>
      <c r="I4838" s="261"/>
      <c r="J4838" s="261"/>
      <c r="K4838" s="261"/>
      <c r="L4838" s="261"/>
      <c r="M4838" s="261"/>
    </row>
    <row r="4839" spans="5:13">
      <c r="E4839" s="261"/>
      <c r="F4839" s="261"/>
      <c r="G4839" s="261"/>
      <c r="H4839" s="261"/>
      <c r="I4839" s="261"/>
      <c r="J4839" s="261"/>
      <c r="K4839" s="261"/>
      <c r="L4839" s="261"/>
      <c r="M4839" s="261"/>
    </row>
    <row r="4840" spans="5:13">
      <c r="E4840" s="261"/>
      <c r="F4840" s="261"/>
      <c r="G4840" s="261"/>
      <c r="H4840" s="261"/>
      <c r="I4840" s="261"/>
      <c r="J4840" s="261"/>
      <c r="K4840" s="261"/>
      <c r="L4840" s="261"/>
      <c r="M4840" s="261"/>
    </row>
    <row r="4841" spans="5:13">
      <c r="E4841" s="261"/>
      <c r="F4841" s="261"/>
      <c r="G4841" s="261"/>
      <c r="H4841" s="261"/>
      <c r="I4841" s="261"/>
      <c r="J4841" s="261"/>
      <c r="K4841" s="261"/>
      <c r="L4841" s="261"/>
      <c r="M4841" s="261"/>
    </row>
    <row r="4842" spans="5:13">
      <c r="E4842" s="261"/>
      <c r="F4842" s="261"/>
      <c r="G4842" s="261"/>
      <c r="H4842" s="261"/>
      <c r="I4842" s="261"/>
      <c r="J4842" s="261"/>
      <c r="K4842" s="261"/>
      <c r="L4842" s="261"/>
      <c r="M4842" s="261"/>
    </row>
    <row r="4843" spans="5:13">
      <c r="E4843" s="261"/>
      <c r="F4843" s="261"/>
      <c r="G4843" s="261"/>
      <c r="H4843" s="261"/>
      <c r="I4843" s="261"/>
      <c r="J4843" s="261"/>
      <c r="K4843" s="261"/>
      <c r="L4843" s="261"/>
      <c r="M4843" s="261"/>
    </row>
    <row r="4844" spans="5:13">
      <c r="E4844" s="261"/>
      <c r="F4844" s="261"/>
      <c r="G4844" s="261"/>
      <c r="H4844" s="261"/>
      <c r="I4844" s="261"/>
      <c r="J4844" s="261"/>
      <c r="K4844" s="261"/>
      <c r="L4844" s="261"/>
      <c r="M4844" s="261"/>
    </row>
    <row r="4845" spans="5:13">
      <c r="E4845" s="261"/>
      <c r="F4845" s="261"/>
      <c r="G4845" s="261"/>
      <c r="H4845" s="261"/>
      <c r="I4845" s="261"/>
      <c r="J4845" s="261"/>
      <c r="K4845" s="261"/>
      <c r="L4845" s="261"/>
      <c r="M4845" s="261"/>
    </row>
    <row r="4846" spans="5:13">
      <c r="E4846" s="261"/>
      <c r="F4846" s="261"/>
      <c r="G4846" s="261"/>
      <c r="H4846" s="261"/>
      <c r="I4846" s="261"/>
      <c r="J4846" s="261"/>
      <c r="K4846" s="261"/>
      <c r="L4846" s="261"/>
      <c r="M4846" s="261"/>
    </row>
    <row r="4847" spans="5:13">
      <c r="E4847" s="261"/>
      <c r="F4847" s="261"/>
      <c r="G4847" s="261"/>
      <c r="H4847" s="261"/>
      <c r="I4847" s="261"/>
      <c r="J4847" s="261"/>
      <c r="K4847" s="261"/>
      <c r="L4847" s="261"/>
      <c r="M4847" s="261"/>
    </row>
    <row r="4848" spans="5:13">
      <c r="E4848" s="261"/>
      <c r="F4848" s="261"/>
      <c r="G4848" s="261"/>
      <c r="H4848" s="261"/>
      <c r="I4848" s="261"/>
      <c r="J4848" s="261"/>
      <c r="K4848" s="261"/>
      <c r="L4848" s="261"/>
      <c r="M4848" s="261"/>
    </row>
    <row r="4849" spans="5:13">
      <c r="E4849" s="261"/>
      <c r="F4849" s="261"/>
      <c r="G4849" s="261"/>
      <c r="H4849" s="261"/>
      <c r="I4849" s="261"/>
      <c r="J4849" s="261"/>
      <c r="K4849" s="261"/>
      <c r="L4849" s="261"/>
      <c r="M4849" s="261"/>
    </row>
    <row r="4850" spans="5:13">
      <c r="E4850" s="261"/>
      <c r="F4850" s="261"/>
      <c r="G4850" s="261"/>
      <c r="H4850" s="261"/>
      <c r="I4850" s="261"/>
      <c r="J4850" s="261"/>
      <c r="K4850" s="261"/>
      <c r="L4850" s="261"/>
      <c r="M4850" s="261"/>
    </row>
    <row r="4851" spans="5:13">
      <c r="E4851" s="261"/>
      <c r="F4851" s="261"/>
      <c r="G4851" s="261"/>
      <c r="H4851" s="261"/>
      <c r="I4851" s="261"/>
      <c r="J4851" s="261"/>
      <c r="K4851" s="261"/>
      <c r="L4851" s="261"/>
      <c r="M4851" s="261"/>
    </row>
    <row r="4852" spans="5:13">
      <c r="E4852" s="261"/>
      <c r="F4852" s="261"/>
      <c r="G4852" s="261"/>
      <c r="H4852" s="261"/>
      <c r="I4852" s="261"/>
      <c r="J4852" s="261"/>
      <c r="K4852" s="261"/>
      <c r="L4852" s="261"/>
      <c r="M4852" s="261"/>
    </row>
    <row r="4853" spans="5:13">
      <c r="E4853" s="261"/>
      <c r="F4853" s="261"/>
      <c r="G4853" s="261"/>
      <c r="H4853" s="261"/>
      <c r="I4853" s="261"/>
      <c r="J4853" s="261"/>
      <c r="K4853" s="261"/>
      <c r="L4853" s="261"/>
      <c r="M4853" s="261"/>
    </row>
    <row r="4854" spans="5:13">
      <c r="E4854" s="261"/>
      <c r="F4854" s="261"/>
      <c r="G4854" s="261"/>
      <c r="H4854" s="261"/>
      <c r="I4854" s="261"/>
      <c r="J4854" s="261"/>
      <c r="K4854" s="261"/>
      <c r="L4854" s="261"/>
      <c r="M4854" s="261"/>
    </row>
    <row r="4855" spans="5:13">
      <c r="E4855" s="261"/>
      <c r="F4855" s="261"/>
      <c r="G4855" s="261"/>
      <c r="H4855" s="261"/>
      <c r="I4855" s="261"/>
      <c r="J4855" s="261"/>
      <c r="K4855" s="261"/>
      <c r="L4855" s="261"/>
      <c r="M4855" s="261"/>
    </row>
    <row r="4856" spans="5:13">
      <c r="E4856" s="261"/>
      <c r="F4856" s="261"/>
      <c r="G4856" s="261"/>
      <c r="H4856" s="261"/>
      <c r="I4856" s="261"/>
      <c r="J4856" s="261"/>
      <c r="K4856" s="261"/>
      <c r="L4856" s="261"/>
      <c r="M4856" s="261"/>
    </row>
    <row r="4857" spans="5:13">
      <c r="E4857" s="261"/>
      <c r="F4857" s="261"/>
      <c r="G4857" s="261"/>
      <c r="H4857" s="261"/>
      <c r="I4857" s="261"/>
      <c r="J4857" s="261"/>
      <c r="K4857" s="261"/>
      <c r="L4857" s="261"/>
      <c r="M4857" s="261"/>
    </row>
    <row r="4858" spans="5:13">
      <c r="E4858" s="261"/>
      <c r="F4858" s="261"/>
      <c r="G4858" s="261"/>
      <c r="H4858" s="261"/>
      <c r="I4858" s="261"/>
      <c r="J4858" s="261"/>
      <c r="K4858" s="261"/>
      <c r="L4858" s="261"/>
      <c r="M4858" s="261"/>
    </row>
    <row r="4859" spans="5:13">
      <c r="E4859" s="261"/>
      <c r="F4859" s="261"/>
      <c r="G4859" s="261"/>
      <c r="H4859" s="261"/>
      <c r="I4859" s="261"/>
      <c r="J4859" s="261"/>
      <c r="K4859" s="261"/>
      <c r="L4859" s="261"/>
      <c r="M4859" s="261"/>
    </row>
    <row r="4860" spans="5:13">
      <c r="E4860" s="261"/>
      <c r="F4860" s="261"/>
      <c r="G4860" s="261"/>
      <c r="H4860" s="261"/>
      <c r="I4860" s="261"/>
      <c r="J4860" s="261"/>
      <c r="K4860" s="261"/>
      <c r="L4860" s="261"/>
      <c r="M4860" s="261"/>
    </row>
    <row r="4861" spans="5:13">
      <c r="E4861" s="261"/>
      <c r="F4861" s="261"/>
      <c r="G4861" s="261"/>
      <c r="H4861" s="261"/>
      <c r="I4861" s="261"/>
      <c r="J4861" s="261"/>
      <c r="K4861" s="261"/>
      <c r="L4861" s="261"/>
      <c r="M4861" s="261"/>
    </row>
    <row r="4862" spans="5:13">
      <c r="E4862" s="261"/>
      <c r="F4862" s="261"/>
      <c r="G4862" s="261"/>
      <c r="H4862" s="261"/>
      <c r="I4862" s="261"/>
      <c r="J4862" s="261"/>
      <c r="K4862" s="261"/>
      <c r="L4862" s="261"/>
      <c r="M4862" s="261"/>
    </row>
    <row r="4863" spans="5:13">
      <c r="E4863" s="261"/>
      <c r="F4863" s="261"/>
      <c r="G4863" s="261"/>
      <c r="H4863" s="261"/>
      <c r="I4863" s="261"/>
      <c r="J4863" s="261"/>
      <c r="K4863" s="261"/>
      <c r="L4863" s="261"/>
      <c r="M4863" s="261"/>
    </row>
    <row r="4864" spans="5:13">
      <c r="E4864" s="261"/>
      <c r="F4864" s="261"/>
      <c r="G4864" s="261"/>
      <c r="H4864" s="261"/>
      <c r="I4864" s="261"/>
      <c r="J4864" s="261"/>
      <c r="K4864" s="261"/>
      <c r="L4864" s="261"/>
      <c r="M4864" s="261"/>
    </row>
    <row r="4865" spans="5:13">
      <c r="E4865" s="261"/>
      <c r="F4865" s="261"/>
      <c r="G4865" s="261"/>
      <c r="H4865" s="261"/>
      <c r="I4865" s="261"/>
      <c r="J4865" s="261"/>
      <c r="K4865" s="261"/>
      <c r="L4865" s="261"/>
      <c r="M4865" s="261"/>
    </row>
    <row r="4866" spans="5:13">
      <c r="E4866" s="261"/>
      <c r="F4866" s="261"/>
      <c r="G4866" s="261"/>
      <c r="H4866" s="261"/>
      <c r="I4866" s="261"/>
      <c r="J4866" s="261"/>
      <c r="K4866" s="261"/>
      <c r="L4866" s="261"/>
      <c r="M4866" s="261"/>
    </row>
    <row r="4867" spans="5:13">
      <c r="E4867" s="261"/>
      <c r="F4867" s="261"/>
      <c r="G4867" s="261"/>
      <c r="H4867" s="261"/>
      <c r="I4867" s="261"/>
      <c r="J4867" s="261"/>
      <c r="K4867" s="261"/>
      <c r="L4867" s="261"/>
      <c r="M4867" s="261"/>
    </row>
    <row r="4868" spans="5:13">
      <c r="E4868" s="261"/>
      <c r="F4868" s="261"/>
      <c r="G4868" s="261"/>
      <c r="H4868" s="261"/>
      <c r="I4868" s="261"/>
      <c r="J4868" s="261"/>
      <c r="K4868" s="261"/>
      <c r="L4868" s="261"/>
      <c r="M4868" s="261"/>
    </row>
    <row r="4869" spans="5:13">
      <c r="E4869" s="261"/>
      <c r="F4869" s="261"/>
      <c r="G4869" s="261"/>
      <c r="H4869" s="261"/>
      <c r="I4869" s="261"/>
      <c r="J4869" s="261"/>
      <c r="K4869" s="261"/>
      <c r="L4869" s="261"/>
      <c r="M4869" s="261"/>
    </row>
    <row r="4870" spans="5:13">
      <c r="E4870" s="261"/>
      <c r="F4870" s="261"/>
      <c r="G4870" s="261"/>
      <c r="H4870" s="261"/>
      <c r="I4870" s="261"/>
      <c r="J4870" s="261"/>
      <c r="K4870" s="261"/>
      <c r="L4870" s="261"/>
      <c r="M4870" s="261"/>
    </row>
    <row r="4871" spans="5:13">
      <c r="E4871" s="261"/>
      <c r="F4871" s="261"/>
      <c r="G4871" s="261"/>
      <c r="H4871" s="261"/>
      <c r="I4871" s="261"/>
      <c r="J4871" s="261"/>
      <c r="K4871" s="261"/>
      <c r="L4871" s="261"/>
      <c r="M4871" s="261"/>
    </row>
    <row r="4872" spans="5:13">
      <c r="E4872" s="261"/>
      <c r="F4872" s="261"/>
      <c r="G4872" s="261"/>
      <c r="H4872" s="261"/>
      <c r="I4872" s="261"/>
      <c r="J4872" s="261"/>
      <c r="K4872" s="261"/>
      <c r="L4872" s="261"/>
      <c r="M4872" s="261"/>
    </row>
    <row r="4873" spans="5:13">
      <c r="E4873" s="261"/>
      <c r="F4873" s="261"/>
      <c r="G4873" s="261"/>
      <c r="H4873" s="261"/>
      <c r="I4873" s="261"/>
      <c r="J4873" s="261"/>
      <c r="K4873" s="261"/>
      <c r="L4873" s="261"/>
      <c r="M4873" s="261"/>
    </row>
    <row r="4874" spans="5:13">
      <c r="E4874" s="261"/>
      <c r="F4874" s="261"/>
      <c r="G4874" s="261"/>
      <c r="H4874" s="261"/>
      <c r="I4874" s="261"/>
      <c r="J4874" s="261"/>
      <c r="K4874" s="261"/>
      <c r="L4874" s="261"/>
      <c r="M4874" s="261"/>
    </row>
    <row r="4875" spans="5:13">
      <c r="E4875" s="261"/>
      <c r="F4875" s="261"/>
      <c r="G4875" s="261"/>
      <c r="H4875" s="261"/>
      <c r="I4875" s="261"/>
      <c r="J4875" s="261"/>
      <c r="K4875" s="261"/>
      <c r="L4875" s="261"/>
      <c r="M4875" s="261"/>
    </row>
    <row r="4876" spans="5:13">
      <c r="E4876" s="261"/>
      <c r="F4876" s="261"/>
      <c r="G4876" s="261"/>
      <c r="H4876" s="261"/>
      <c r="I4876" s="261"/>
      <c r="J4876" s="261"/>
      <c r="K4876" s="261"/>
      <c r="L4876" s="261"/>
      <c r="M4876" s="261"/>
    </row>
    <row r="4877" spans="5:13">
      <c r="E4877" s="261"/>
      <c r="F4877" s="261"/>
      <c r="G4877" s="261"/>
      <c r="H4877" s="261"/>
      <c r="I4877" s="261"/>
      <c r="J4877" s="261"/>
      <c r="K4877" s="261"/>
      <c r="L4877" s="261"/>
      <c r="M4877" s="261"/>
    </row>
    <row r="4878" spans="5:13">
      <c r="E4878" s="261"/>
      <c r="F4878" s="261"/>
      <c r="G4878" s="261"/>
      <c r="H4878" s="261"/>
      <c r="I4878" s="261"/>
      <c r="J4878" s="261"/>
      <c r="K4878" s="261"/>
      <c r="L4878" s="261"/>
      <c r="M4878" s="261"/>
    </row>
    <row r="4879" spans="5:13">
      <c r="E4879" s="261"/>
      <c r="F4879" s="261"/>
      <c r="G4879" s="261"/>
      <c r="H4879" s="261"/>
      <c r="I4879" s="261"/>
      <c r="J4879" s="261"/>
      <c r="K4879" s="261"/>
      <c r="L4879" s="261"/>
      <c r="M4879" s="261"/>
    </row>
    <row r="4880" spans="5:13">
      <c r="E4880" s="261"/>
      <c r="F4880" s="261"/>
      <c r="G4880" s="261"/>
      <c r="H4880" s="261"/>
      <c r="I4880" s="261"/>
      <c r="J4880" s="261"/>
      <c r="K4880" s="261"/>
      <c r="L4880" s="261"/>
      <c r="M4880" s="261"/>
    </row>
    <row r="4881" spans="5:13">
      <c r="E4881" s="261"/>
      <c r="F4881" s="261"/>
      <c r="G4881" s="261"/>
      <c r="H4881" s="261"/>
      <c r="I4881" s="261"/>
      <c r="J4881" s="261"/>
      <c r="K4881" s="261"/>
      <c r="L4881" s="261"/>
      <c r="M4881" s="261"/>
    </row>
    <row r="4882" spans="5:13">
      <c r="E4882" s="261"/>
      <c r="F4882" s="261"/>
      <c r="G4882" s="261"/>
      <c r="H4882" s="261"/>
      <c r="I4882" s="261"/>
      <c r="J4882" s="261"/>
      <c r="K4882" s="261"/>
      <c r="L4882" s="261"/>
      <c r="M4882" s="261"/>
    </row>
    <row r="4883" spans="5:13">
      <c r="E4883" s="261"/>
      <c r="F4883" s="261"/>
      <c r="G4883" s="261"/>
      <c r="H4883" s="261"/>
      <c r="I4883" s="261"/>
      <c r="J4883" s="261"/>
      <c r="K4883" s="261"/>
      <c r="L4883" s="261"/>
      <c r="M4883" s="261"/>
    </row>
    <row r="4884" spans="5:13">
      <c r="E4884" s="261"/>
      <c r="F4884" s="261"/>
      <c r="G4884" s="261"/>
      <c r="H4884" s="261"/>
      <c r="I4884" s="261"/>
      <c r="J4884" s="261"/>
      <c r="K4884" s="261"/>
      <c r="L4884" s="261"/>
      <c r="M4884" s="261"/>
    </row>
    <row r="4885" spans="5:13">
      <c r="E4885" s="261"/>
      <c r="F4885" s="261"/>
      <c r="G4885" s="261"/>
      <c r="H4885" s="261"/>
      <c r="I4885" s="261"/>
      <c r="J4885" s="261"/>
      <c r="K4885" s="261"/>
      <c r="L4885" s="261"/>
      <c r="M4885" s="261"/>
    </row>
    <row r="4886" spans="5:13">
      <c r="E4886" s="261"/>
      <c r="F4886" s="261"/>
      <c r="G4886" s="261"/>
      <c r="H4886" s="261"/>
      <c r="I4886" s="261"/>
      <c r="J4886" s="261"/>
      <c r="K4886" s="261"/>
      <c r="L4886" s="261"/>
      <c r="M4886" s="261"/>
    </row>
    <row r="4887" spans="5:13">
      <c r="E4887" s="261"/>
      <c r="F4887" s="261"/>
      <c r="G4887" s="261"/>
      <c r="H4887" s="261"/>
      <c r="I4887" s="261"/>
      <c r="J4887" s="261"/>
      <c r="K4887" s="261"/>
      <c r="L4887" s="261"/>
      <c r="M4887" s="261"/>
    </row>
    <row r="4888" spans="5:13">
      <c r="E4888" s="261"/>
      <c r="F4888" s="261"/>
      <c r="G4888" s="261"/>
      <c r="H4888" s="261"/>
      <c r="I4888" s="261"/>
      <c r="J4888" s="261"/>
      <c r="K4888" s="261"/>
      <c r="L4888" s="261"/>
      <c r="M4888" s="261"/>
    </row>
    <row r="4889" spans="5:13">
      <c r="E4889" s="261"/>
      <c r="F4889" s="261"/>
      <c r="G4889" s="261"/>
      <c r="H4889" s="261"/>
      <c r="I4889" s="261"/>
      <c r="J4889" s="261"/>
      <c r="K4889" s="261"/>
      <c r="L4889" s="261"/>
      <c r="M4889" s="261"/>
    </row>
    <row r="4890" spans="5:13">
      <c r="E4890" s="261"/>
      <c r="F4890" s="261"/>
      <c r="G4890" s="261"/>
      <c r="H4890" s="261"/>
      <c r="I4890" s="261"/>
      <c r="J4890" s="261"/>
      <c r="K4890" s="261"/>
      <c r="L4890" s="261"/>
      <c r="M4890" s="261"/>
    </row>
    <row r="4891" spans="5:13">
      <c r="E4891" s="261"/>
      <c r="F4891" s="261"/>
      <c r="G4891" s="261"/>
      <c r="H4891" s="261"/>
      <c r="I4891" s="261"/>
      <c r="J4891" s="261"/>
      <c r="K4891" s="261"/>
      <c r="L4891" s="261"/>
      <c r="M4891" s="261"/>
    </row>
    <row r="4892" spans="5:13">
      <c r="E4892" s="261"/>
      <c r="F4892" s="261"/>
      <c r="G4892" s="261"/>
      <c r="H4892" s="261"/>
      <c r="I4892" s="261"/>
      <c r="J4892" s="261"/>
      <c r="K4892" s="261"/>
      <c r="L4892" s="261"/>
      <c r="M4892" s="261"/>
    </row>
    <row r="4893" spans="5:13">
      <c r="E4893" s="261"/>
      <c r="F4893" s="261"/>
      <c r="G4893" s="261"/>
      <c r="H4893" s="261"/>
      <c r="I4893" s="261"/>
      <c r="J4893" s="261"/>
      <c r="K4893" s="261"/>
      <c r="L4893" s="261"/>
      <c r="M4893" s="261"/>
    </row>
    <row r="4894" spans="5:13">
      <c r="E4894" s="261"/>
      <c r="F4894" s="261"/>
      <c r="G4894" s="261"/>
      <c r="H4894" s="261"/>
      <c r="I4894" s="261"/>
      <c r="J4894" s="261"/>
      <c r="K4894" s="261"/>
      <c r="L4894" s="261"/>
      <c r="M4894" s="261"/>
    </row>
    <row r="4895" spans="5:13">
      <c r="E4895" s="261"/>
      <c r="F4895" s="261"/>
      <c r="G4895" s="261"/>
      <c r="H4895" s="261"/>
      <c r="I4895" s="261"/>
      <c r="J4895" s="261"/>
      <c r="K4895" s="261"/>
      <c r="L4895" s="261"/>
      <c r="M4895" s="261"/>
    </row>
    <row r="4896" spans="5:13">
      <c r="E4896" s="261"/>
      <c r="F4896" s="261"/>
      <c r="G4896" s="261"/>
      <c r="H4896" s="261"/>
      <c r="I4896" s="261"/>
      <c r="J4896" s="261"/>
      <c r="K4896" s="261"/>
      <c r="L4896" s="261"/>
      <c r="M4896" s="261"/>
    </row>
    <row r="4897" spans="5:13">
      <c r="E4897" s="261"/>
      <c r="F4897" s="261"/>
      <c r="G4897" s="261"/>
      <c r="H4897" s="261"/>
      <c r="I4897" s="261"/>
      <c r="J4897" s="261"/>
      <c r="K4897" s="261"/>
      <c r="L4897" s="261"/>
      <c r="M4897" s="261"/>
    </row>
    <row r="4898" spans="5:13">
      <c r="E4898" s="261"/>
      <c r="F4898" s="261"/>
      <c r="G4898" s="261"/>
      <c r="H4898" s="261"/>
      <c r="I4898" s="261"/>
      <c r="J4898" s="261"/>
      <c r="K4898" s="261"/>
      <c r="L4898" s="261"/>
      <c r="M4898" s="261"/>
    </row>
    <row r="4899" spans="5:13">
      <c r="E4899" s="261"/>
      <c r="F4899" s="261"/>
      <c r="G4899" s="261"/>
      <c r="H4899" s="261"/>
      <c r="I4899" s="261"/>
      <c r="J4899" s="261"/>
      <c r="K4899" s="261"/>
      <c r="L4899" s="261"/>
      <c r="M4899" s="261"/>
    </row>
    <row r="4900" spans="5:13">
      <c r="E4900" s="261"/>
      <c r="F4900" s="261"/>
      <c r="G4900" s="261"/>
      <c r="H4900" s="261"/>
      <c r="I4900" s="261"/>
      <c r="J4900" s="261"/>
      <c r="K4900" s="261"/>
      <c r="L4900" s="261"/>
      <c r="M4900" s="261"/>
    </row>
    <row r="4901" spans="5:13">
      <c r="E4901" s="261"/>
      <c r="F4901" s="261"/>
      <c r="G4901" s="261"/>
      <c r="H4901" s="261"/>
      <c r="I4901" s="261"/>
      <c r="J4901" s="261"/>
      <c r="K4901" s="261"/>
      <c r="L4901" s="261"/>
      <c r="M4901" s="261"/>
    </row>
    <row r="4902" spans="5:13">
      <c r="E4902" s="261"/>
      <c r="F4902" s="261"/>
      <c r="G4902" s="261"/>
      <c r="H4902" s="261"/>
      <c r="I4902" s="261"/>
      <c r="J4902" s="261"/>
      <c r="K4902" s="261"/>
      <c r="L4902" s="261"/>
      <c r="M4902" s="261"/>
    </row>
    <row r="4903" spans="5:13">
      <c r="E4903" s="261"/>
      <c r="F4903" s="261"/>
      <c r="G4903" s="261"/>
      <c r="H4903" s="261"/>
      <c r="I4903" s="261"/>
      <c r="J4903" s="261"/>
      <c r="K4903" s="261"/>
      <c r="L4903" s="261"/>
      <c r="M4903" s="261"/>
    </row>
    <row r="4904" spans="5:13">
      <c r="E4904" s="261"/>
      <c r="F4904" s="261"/>
      <c r="G4904" s="261"/>
      <c r="H4904" s="261"/>
      <c r="I4904" s="261"/>
      <c r="J4904" s="261"/>
      <c r="K4904" s="261"/>
      <c r="L4904" s="261"/>
      <c r="M4904" s="261"/>
    </row>
    <row r="4905" spans="5:13">
      <c r="E4905" s="261"/>
      <c r="F4905" s="261"/>
      <c r="G4905" s="261"/>
      <c r="H4905" s="261"/>
      <c r="I4905" s="261"/>
      <c r="J4905" s="261"/>
      <c r="K4905" s="261"/>
      <c r="L4905" s="261"/>
      <c r="M4905" s="261"/>
    </row>
    <row r="4906" spans="5:13">
      <c r="E4906" s="261"/>
      <c r="F4906" s="261"/>
      <c r="G4906" s="261"/>
      <c r="H4906" s="261"/>
      <c r="I4906" s="261"/>
      <c r="J4906" s="261"/>
      <c r="K4906" s="261"/>
      <c r="L4906" s="261"/>
      <c r="M4906" s="261"/>
    </row>
    <row r="4907" spans="5:13">
      <c r="E4907" s="261"/>
      <c r="F4907" s="261"/>
      <c r="G4907" s="261"/>
      <c r="H4907" s="261"/>
      <c r="I4907" s="261"/>
      <c r="J4907" s="261"/>
      <c r="K4907" s="261"/>
      <c r="L4907" s="261"/>
      <c r="M4907" s="261"/>
    </row>
    <row r="4908" spans="5:13">
      <c r="E4908" s="261"/>
      <c r="F4908" s="261"/>
      <c r="G4908" s="261"/>
      <c r="H4908" s="261"/>
      <c r="I4908" s="261"/>
      <c r="J4908" s="261"/>
      <c r="K4908" s="261"/>
      <c r="L4908" s="261"/>
      <c r="M4908" s="261"/>
    </row>
    <row r="4909" spans="5:13">
      <c r="E4909" s="261"/>
      <c r="F4909" s="261"/>
      <c r="G4909" s="261"/>
      <c r="H4909" s="261"/>
      <c r="I4909" s="261"/>
      <c r="J4909" s="261"/>
      <c r="K4909" s="261"/>
      <c r="L4909" s="261"/>
      <c r="M4909" s="261"/>
    </row>
    <row r="4910" spans="5:13">
      <c r="E4910" s="261"/>
      <c r="F4910" s="261"/>
      <c r="G4910" s="261"/>
      <c r="H4910" s="261"/>
      <c r="I4910" s="261"/>
      <c r="J4910" s="261"/>
      <c r="K4910" s="261"/>
      <c r="L4910" s="261"/>
      <c r="M4910" s="261"/>
    </row>
    <row r="4911" spans="5:13">
      <c r="E4911" s="261"/>
      <c r="F4911" s="261"/>
      <c r="G4911" s="261"/>
      <c r="H4911" s="261"/>
      <c r="I4911" s="261"/>
      <c r="J4911" s="261"/>
      <c r="K4911" s="261"/>
      <c r="L4911" s="261"/>
      <c r="M4911" s="261"/>
    </row>
    <row r="4912" spans="5:13">
      <c r="E4912" s="261"/>
      <c r="F4912" s="261"/>
      <c r="G4912" s="261"/>
      <c r="H4912" s="261"/>
      <c r="I4912" s="261"/>
      <c r="J4912" s="261"/>
      <c r="K4912" s="261"/>
      <c r="L4912" s="261"/>
      <c r="M4912" s="261"/>
    </row>
    <row r="4913" spans="5:13">
      <c r="E4913" s="261"/>
      <c r="F4913" s="261"/>
      <c r="G4913" s="261"/>
      <c r="H4913" s="261"/>
      <c r="I4913" s="261"/>
      <c r="J4913" s="261"/>
      <c r="K4913" s="261"/>
      <c r="L4913" s="261"/>
      <c r="M4913" s="261"/>
    </row>
    <row r="4914" spans="5:13">
      <c r="E4914" s="261"/>
      <c r="F4914" s="261"/>
      <c r="G4914" s="261"/>
      <c r="H4914" s="261"/>
      <c r="I4914" s="261"/>
      <c r="J4914" s="261"/>
      <c r="K4914" s="261"/>
      <c r="L4914" s="261"/>
      <c r="M4914" s="261"/>
    </row>
    <row r="4915" spans="5:13">
      <c r="E4915" s="261"/>
      <c r="F4915" s="261"/>
      <c r="G4915" s="261"/>
      <c r="H4915" s="261"/>
      <c r="I4915" s="261"/>
      <c r="J4915" s="261"/>
      <c r="K4915" s="261"/>
      <c r="L4915" s="261"/>
      <c r="M4915" s="261"/>
    </row>
    <row r="4916" spans="5:13">
      <c r="E4916" s="261"/>
      <c r="F4916" s="261"/>
      <c r="G4916" s="261"/>
      <c r="H4916" s="261"/>
      <c r="I4916" s="261"/>
      <c r="J4916" s="261"/>
      <c r="K4916" s="261"/>
      <c r="L4916" s="261"/>
      <c r="M4916" s="261"/>
    </row>
    <row r="4917" spans="5:13">
      <c r="E4917" s="261"/>
      <c r="F4917" s="261"/>
      <c r="G4917" s="261"/>
      <c r="H4917" s="261"/>
      <c r="I4917" s="261"/>
      <c r="J4917" s="261"/>
      <c r="K4917" s="261"/>
      <c r="L4917" s="261"/>
      <c r="M4917" s="261"/>
    </row>
    <row r="4918" spans="5:13">
      <c r="E4918" s="261"/>
      <c r="F4918" s="261"/>
      <c r="G4918" s="261"/>
      <c r="H4918" s="261"/>
      <c r="I4918" s="261"/>
      <c r="J4918" s="261"/>
      <c r="K4918" s="261"/>
      <c r="L4918" s="261"/>
      <c r="M4918" s="261"/>
    </row>
    <row r="4919" spans="5:13">
      <c r="E4919" s="261"/>
      <c r="F4919" s="261"/>
      <c r="G4919" s="261"/>
      <c r="H4919" s="261"/>
      <c r="I4919" s="261"/>
      <c r="J4919" s="261"/>
      <c r="K4919" s="261"/>
      <c r="L4919" s="261"/>
      <c r="M4919" s="261"/>
    </row>
    <row r="4920" spans="5:13">
      <c r="E4920" s="261"/>
      <c r="F4920" s="261"/>
      <c r="G4920" s="261"/>
      <c r="H4920" s="261"/>
      <c r="I4920" s="261"/>
      <c r="J4920" s="261"/>
      <c r="K4920" s="261"/>
      <c r="L4920" s="261"/>
      <c r="M4920" s="261"/>
    </row>
    <row r="4921" spans="5:13">
      <c r="E4921" s="261"/>
      <c r="F4921" s="261"/>
      <c r="G4921" s="261"/>
      <c r="H4921" s="261"/>
      <c r="I4921" s="261"/>
      <c r="J4921" s="261"/>
      <c r="K4921" s="261"/>
      <c r="L4921" s="261"/>
      <c r="M4921" s="261"/>
    </row>
    <row r="4922" spans="5:13">
      <c r="E4922" s="261"/>
      <c r="F4922" s="261"/>
      <c r="G4922" s="261"/>
      <c r="H4922" s="261"/>
      <c r="I4922" s="261"/>
      <c r="J4922" s="261"/>
      <c r="K4922" s="261"/>
      <c r="L4922" s="261"/>
      <c r="M4922" s="261"/>
    </row>
    <row r="4923" spans="5:13">
      <c r="E4923" s="261"/>
      <c r="F4923" s="261"/>
      <c r="G4923" s="261"/>
      <c r="H4923" s="261"/>
      <c r="I4923" s="261"/>
      <c r="J4923" s="261"/>
      <c r="K4923" s="261"/>
      <c r="L4923" s="261"/>
      <c r="M4923" s="261"/>
    </row>
    <row r="4924" spans="5:13">
      <c r="E4924" s="261"/>
      <c r="F4924" s="261"/>
      <c r="G4924" s="261"/>
      <c r="H4924" s="261"/>
      <c r="I4924" s="261"/>
      <c r="J4924" s="261"/>
      <c r="K4924" s="261"/>
      <c r="L4924" s="261"/>
      <c r="M4924" s="261"/>
    </row>
    <row r="4925" spans="5:13">
      <c r="E4925" s="261"/>
      <c r="F4925" s="261"/>
      <c r="G4925" s="261"/>
      <c r="H4925" s="261"/>
      <c r="I4925" s="261"/>
      <c r="J4925" s="261"/>
      <c r="K4925" s="261"/>
      <c r="L4925" s="261"/>
      <c r="M4925" s="261"/>
    </row>
    <row r="4926" spans="5:13">
      <c r="E4926" s="261"/>
      <c r="F4926" s="261"/>
      <c r="G4926" s="261"/>
      <c r="H4926" s="261"/>
      <c r="I4926" s="261"/>
      <c r="J4926" s="261"/>
      <c r="K4926" s="261"/>
      <c r="L4926" s="261"/>
      <c r="M4926" s="261"/>
    </row>
    <row r="4927" spans="5:13">
      <c r="E4927" s="261"/>
      <c r="F4927" s="261"/>
      <c r="G4927" s="261"/>
      <c r="H4927" s="261"/>
      <c r="I4927" s="261"/>
      <c r="J4927" s="261"/>
      <c r="K4927" s="261"/>
      <c r="L4927" s="261"/>
      <c r="M4927" s="261"/>
    </row>
    <row r="4928" spans="5:13">
      <c r="E4928" s="261"/>
      <c r="F4928" s="261"/>
      <c r="G4928" s="261"/>
      <c r="H4928" s="261"/>
      <c r="I4928" s="261"/>
      <c r="J4928" s="261"/>
      <c r="K4928" s="261"/>
      <c r="L4928" s="261"/>
      <c r="M4928" s="261"/>
    </row>
    <row r="4929" spans="5:13">
      <c r="E4929" s="261"/>
      <c r="F4929" s="261"/>
      <c r="G4929" s="261"/>
      <c r="H4929" s="261"/>
      <c r="I4929" s="261"/>
      <c r="J4929" s="261"/>
      <c r="K4929" s="261"/>
      <c r="L4929" s="261"/>
      <c r="M4929" s="261"/>
    </row>
    <row r="4930" spans="5:13">
      <c r="E4930" s="261"/>
      <c r="F4930" s="261"/>
      <c r="G4930" s="261"/>
      <c r="H4930" s="261"/>
      <c r="I4930" s="261"/>
      <c r="J4930" s="261"/>
      <c r="K4930" s="261"/>
      <c r="L4930" s="261"/>
      <c r="M4930" s="261"/>
    </row>
    <row r="4931" spans="5:13">
      <c r="E4931" s="261"/>
      <c r="F4931" s="261"/>
      <c r="G4931" s="261"/>
      <c r="H4931" s="261"/>
      <c r="I4931" s="261"/>
      <c r="J4931" s="261"/>
      <c r="K4931" s="261"/>
      <c r="L4931" s="261"/>
      <c r="M4931" s="261"/>
    </row>
    <row r="4932" spans="5:13">
      <c r="E4932" s="261"/>
      <c r="F4932" s="261"/>
      <c r="G4932" s="261"/>
      <c r="H4932" s="261"/>
      <c r="I4932" s="261"/>
      <c r="J4932" s="261"/>
      <c r="K4932" s="261"/>
      <c r="L4932" s="261"/>
      <c r="M4932" s="261"/>
    </row>
    <row r="4933" spans="5:13">
      <c r="E4933" s="261"/>
      <c r="F4933" s="261"/>
      <c r="G4933" s="261"/>
      <c r="H4933" s="261"/>
      <c r="I4933" s="261"/>
      <c r="J4933" s="261"/>
      <c r="K4933" s="261"/>
      <c r="L4933" s="261"/>
      <c r="M4933" s="261"/>
    </row>
    <row r="4934" spans="5:13">
      <c r="E4934" s="261"/>
      <c r="F4934" s="261"/>
      <c r="G4934" s="261"/>
      <c r="H4934" s="261"/>
      <c r="I4934" s="261"/>
      <c r="J4934" s="261"/>
      <c r="K4934" s="261"/>
      <c r="L4934" s="261"/>
      <c r="M4934" s="261"/>
    </row>
    <row r="4935" spans="5:13">
      <c r="E4935" s="261"/>
      <c r="F4935" s="261"/>
      <c r="G4935" s="261"/>
      <c r="H4935" s="261"/>
      <c r="I4935" s="261"/>
      <c r="J4935" s="261"/>
      <c r="K4935" s="261"/>
      <c r="L4935" s="261"/>
      <c r="M4935" s="261"/>
    </row>
    <row r="4936" spans="5:13">
      <c r="E4936" s="261"/>
      <c r="F4936" s="261"/>
      <c r="G4936" s="261"/>
      <c r="H4936" s="261"/>
      <c r="I4936" s="261"/>
      <c r="J4936" s="261"/>
      <c r="K4936" s="261"/>
      <c r="L4936" s="261"/>
      <c r="M4936" s="261"/>
    </row>
    <row r="4937" spans="5:13">
      <c r="E4937" s="261"/>
      <c r="F4937" s="261"/>
      <c r="G4937" s="261"/>
      <c r="H4937" s="261"/>
      <c r="I4937" s="261"/>
      <c r="J4937" s="261"/>
      <c r="K4937" s="261"/>
      <c r="L4937" s="261"/>
      <c r="M4937" s="261"/>
    </row>
    <row r="4938" spans="5:13">
      <c r="E4938" s="261"/>
      <c r="F4938" s="261"/>
      <c r="G4938" s="261"/>
      <c r="H4938" s="261"/>
      <c r="I4938" s="261"/>
      <c r="J4938" s="261"/>
      <c r="K4938" s="261"/>
      <c r="L4938" s="261"/>
      <c r="M4938" s="261"/>
    </row>
    <row r="4939" spans="5:13">
      <c r="E4939" s="261"/>
      <c r="F4939" s="261"/>
      <c r="G4939" s="261"/>
      <c r="H4939" s="261"/>
      <c r="I4939" s="261"/>
      <c r="J4939" s="261"/>
      <c r="K4939" s="261"/>
      <c r="L4939" s="261"/>
      <c r="M4939" s="261"/>
    </row>
    <row r="4940" spans="5:13">
      <c r="E4940" s="261"/>
      <c r="F4940" s="261"/>
      <c r="G4940" s="261"/>
      <c r="H4940" s="261"/>
      <c r="I4940" s="261"/>
      <c r="J4940" s="261"/>
      <c r="K4940" s="261"/>
      <c r="L4940" s="261"/>
      <c r="M4940" s="261"/>
    </row>
    <row r="4941" spans="5:13">
      <c r="E4941" s="261"/>
      <c r="F4941" s="261"/>
      <c r="G4941" s="261"/>
      <c r="H4941" s="261"/>
      <c r="I4941" s="261"/>
      <c r="J4941" s="261"/>
      <c r="K4941" s="261"/>
      <c r="L4941" s="261"/>
      <c r="M4941" s="261"/>
    </row>
    <row r="4942" spans="5:13">
      <c r="E4942" s="261"/>
      <c r="F4942" s="261"/>
      <c r="G4942" s="261"/>
      <c r="H4942" s="261"/>
      <c r="I4942" s="261"/>
      <c r="J4942" s="261"/>
      <c r="K4942" s="261"/>
      <c r="L4942" s="261"/>
      <c r="M4942" s="261"/>
    </row>
    <row r="4943" spans="5:13">
      <c r="E4943" s="261"/>
      <c r="F4943" s="261"/>
      <c r="G4943" s="261"/>
      <c r="H4943" s="261"/>
      <c r="I4943" s="261"/>
      <c r="J4943" s="261"/>
      <c r="K4943" s="261"/>
      <c r="L4943" s="261"/>
      <c r="M4943" s="261"/>
    </row>
    <row r="4944" spans="5:13">
      <c r="E4944" s="261"/>
      <c r="F4944" s="261"/>
      <c r="G4944" s="261"/>
      <c r="H4944" s="261"/>
      <c r="I4944" s="261"/>
      <c r="J4944" s="261"/>
      <c r="K4944" s="261"/>
      <c r="L4944" s="261"/>
      <c r="M4944" s="261"/>
    </row>
    <row r="4945" spans="5:13">
      <c r="E4945" s="261"/>
      <c r="F4945" s="261"/>
      <c r="G4945" s="261"/>
      <c r="H4945" s="261"/>
      <c r="I4945" s="261"/>
      <c r="J4945" s="261"/>
      <c r="K4945" s="261"/>
      <c r="L4945" s="261"/>
      <c r="M4945" s="261"/>
    </row>
    <row r="4946" spans="5:13">
      <c r="E4946" s="261"/>
      <c r="F4946" s="261"/>
      <c r="G4946" s="261"/>
      <c r="H4946" s="261"/>
      <c r="I4946" s="261"/>
      <c r="J4946" s="261"/>
      <c r="K4946" s="261"/>
      <c r="L4946" s="261"/>
      <c r="M4946" s="261"/>
    </row>
    <row r="4947" spans="5:13">
      <c r="E4947" s="261"/>
      <c r="F4947" s="261"/>
      <c r="G4947" s="261"/>
      <c r="H4947" s="261"/>
      <c r="I4947" s="261"/>
      <c r="J4947" s="261"/>
      <c r="K4947" s="261"/>
      <c r="L4947" s="261"/>
      <c r="M4947" s="261"/>
    </row>
    <row r="4948" spans="5:13">
      <c r="E4948" s="261"/>
      <c r="F4948" s="261"/>
      <c r="G4948" s="261"/>
      <c r="H4948" s="261"/>
      <c r="I4948" s="261"/>
      <c r="J4948" s="261"/>
      <c r="K4948" s="261"/>
      <c r="L4948" s="261"/>
      <c r="M4948" s="261"/>
    </row>
    <row r="4949" spans="5:13">
      <c r="E4949" s="261"/>
      <c r="F4949" s="261"/>
      <c r="G4949" s="261"/>
      <c r="H4949" s="261"/>
      <c r="I4949" s="261"/>
      <c r="J4949" s="261"/>
      <c r="K4949" s="261"/>
      <c r="L4949" s="261"/>
      <c r="M4949" s="261"/>
    </row>
    <row r="4950" spans="5:13">
      <c r="E4950" s="261"/>
      <c r="F4950" s="261"/>
      <c r="G4950" s="261"/>
      <c r="H4950" s="261"/>
      <c r="I4950" s="261"/>
      <c r="J4950" s="261"/>
      <c r="K4950" s="261"/>
      <c r="L4950" s="261"/>
      <c r="M4950" s="261"/>
    </row>
    <row r="4951" spans="5:13">
      <c r="E4951" s="261"/>
      <c r="F4951" s="261"/>
      <c r="G4951" s="261"/>
      <c r="H4951" s="261"/>
      <c r="I4951" s="261"/>
      <c r="J4951" s="261"/>
      <c r="K4951" s="261"/>
      <c r="L4951" s="261"/>
      <c r="M4951" s="261"/>
    </row>
    <row r="4952" spans="5:13">
      <c r="E4952" s="261"/>
      <c r="F4952" s="261"/>
      <c r="G4952" s="261"/>
      <c r="H4952" s="261"/>
      <c r="I4952" s="261"/>
      <c r="J4952" s="261"/>
      <c r="K4952" s="261"/>
      <c r="L4952" s="261"/>
      <c r="M4952" s="261"/>
    </row>
    <row r="4953" spans="5:13">
      <c r="E4953" s="261"/>
      <c r="F4953" s="261"/>
      <c r="G4953" s="261"/>
      <c r="H4953" s="261"/>
      <c r="I4953" s="261"/>
      <c r="J4953" s="261"/>
      <c r="K4953" s="261"/>
      <c r="L4953" s="261"/>
      <c r="M4953" s="261"/>
    </row>
    <row r="4954" spans="5:13">
      <c r="E4954" s="261"/>
      <c r="F4954" s="261"/>
      <c r="G4954" s="261"/>
      <c r="H4954" s="261"/>
      <c r="I4954" s="261"/>
      <c r="J4954" s="261"/>
      <c r="K4954" s="261"/>
      <c r="L4954" s="261"/>
      <c r="M4954" s="261"/>
    </row>
    <row r="4955" spans="5:13">
      <c r="E4955" s="261"/>
      <c r="F4955" s="261"/>
      <c r="G4955" s="261"/>
      <c r="H4955" s="261"/>
      <c r="I4955" s="261"/>
      <c r="J4955" s="261"/>
      <c r="K4955" s="261"/>
      <c r="L4955" s="261"/>
      <c r="M4955" s="261"/>
    </row>
    <row r="4956" spans="5:13">
      <c r="E4956" s="261"/>
      <c r="F4956" s="261"/>
      <c r="G4956" s="261"/>
      <c r="H4956" s="261"/>
      <c r="I4956" s="261"/>
      <c r="J4956" s="261"/>
      <c r="K4956" s="261"/>
      <c r="L4956" s="261"/>
      <c r="M4956" s="261"/>
    </row>
    <row r="4957" spans="5:13">
      <c r="E4957" s="261"/>
      <c r="F4957" s="261"/>
      <c r="G4957" s="261"/>
      <c r="H4957" s="261"/>
      <c r="I4957" s="261"/>
      <c r="J4957" s="261"/>
      <c r="K4957" s="261"/>
      <c r="L4957" s="261"/>
      <c r="M4957" s="261"/>
    </row>
    <row r="4958" spans="5:13">
      <c r="E4958" s="261"/>
      <c r="F4958" s="261"/>
      <c r="G4958" s="261"/>
      <c r="H4958" s="261"/>
      <c r="I4958" s="261"/>
      <c r="J4958" s="261"/>
      <c r="K4958" s="261"/>
      <c r="L4958" s="261"/>
      <c r="M4958" s="261"/>
    </row>
    <row r="4959" spans="5:13">
      <c r="E4959" s="261"/>
      <c r="F4959" s="261"/>
      <c r="G4959" s="261"/>
      <c r="H4959" s="261"/>
      <c r="I4959" s="261"/>
      <c r="J4959" s="261"/>
      <c r="K4959" s="261"/>
      <c r="L4959" s="261"/>
      <c r="M4959" s="261"/>
    </row>
    <row r="4960" spans="5:13">
      <c r="E4960" s="261"/>
      <c r="F4960" s="261"/>
      <c r="G4960" s="261"/>
      <c r="H4960" s="261"/>
      <c r="I4960" s="261"/>
      <c r="J4960" s="261"/>
      <c r="K4960" s="261"/>
      <c r="L4960" s="261"/>
      <c r="M4960" s="261"/>
    </row>
    <row r="4961" spans="5:13">
      <c r="E4961" s="261"/>
      <c r="F4961" s="261"/>
      <c r="G4961" s="261"/>
      <c r="H4961" s="261"/>
      <c r="I4961" s="261"/>
      <c r="J4961" s="261"/>
      <c r="K4961" s="261"/>
      <c r="L4961" s="261"/>
      <c r="M4961" s="261"/>
    </row>
    <row r="4962" spans="5:13">
      <c r="E4962" s="261"/>
      <c r="F4962" s="261"/>
      <c r="G4962" s="261"/>
      <c r="H4962" s="261"/>
      <c r="I4962" s="261"/>
      <c r="J4962" s="261"/>
      <c r="K4962" s="261"/>
      <c r="L4962" s="261"/>
      <c r="M4962" s="261"/>
    </row>
    <row r="4963" spans="5:13">
      <c r="E4963" s="261"/>
      <c r="F4963" s="261"/>
      <c r="G4963" s="261"/>
      <c r="H4963" s="261"/>
      <c r="I4963" s="261"/>
      <c r="J4963" s="261"/>
      <c r="K4963" s="261"/>
      <c r="L4963" s="261"/>
      <c r="M4963" s="261"/>
    </row>
    <row r="4964" spans="5:13">
      <c r="E4964" s="261"/>
      <c r="F4964" s="261"/>
      <c r="G4964" s="261"/>
      <c r="H4964" s="261"/>
      <c r="I4964" s="261"/>
      <c r="J4964" s="261"/>
      <c r="K4964" s="261"/>
      <c r="L4964" s="261"/>
      <c r="M4964" s="261"/>
    </row>
    <row r="4965" spans="5:13">
      <c r="E4965" s="261"/>
      <c r="F4965" s="261"/>
      <c r="G4965" s="261"/>
      <c r="H4965" s="261"/>
      <c r="I4965" s="261"/>
      <c r="J4965" s="261"/>
      <c r="K4965" s="261"/>
      <c r="L4965" s="261"/>
      <c r="M4965" s="261"/>
    </row>
    <row r="4966" spans="5:13">
      <c r="E4966" s="261"/>
      <c r="F4966" s="261"/>
      <c r="G4966" s="261"/>
      <c r="H4966" s="261"/>
      <c r="I4966" s="261"/>
      <c r="J4966" s="261"/>
      <c r="K4966" s="261"/>
      <c r="L4966" s="261"/>
      <c r="M4966" s="261"/>
    </row>
    <row r="4967" spans="5:13">
      <c r="E4967" s="261"/>
      <c r="F4967" s="261"/>
      <c r="G4967" s="261"/>
      <c r="H4967" s="261"/>
      <c r="I4967" s="261"/>
      <c r="J4967" s="261"/>
      <c r="K4967" s="261"/>
      <c r="L4967" s="261"/>
      <c r="M4967" s="261"/>
    </row>
    <row r="4968" spans="5:13">
      <c r="E4968" s="261"/>
      <c r="F4968" s="261"/>
      <c r="G4968" s="261"/>
      <c r="H4968" s="261"/>
      <c r="I4968" s="261"/>
      <c r="J4968" s="261"/>
      <c r="K4968" s="261"/>
      <c r="L4968" s="261"/>
      <c r="M4968" s="261"/>
    </row>
    <row r="4969" spans="5:13">
      <c r="E4969" s="261"/>
      <c r="F4969" s="261"/>
      <c r="G4969" s="261"/>
      <c r="H4969" s="261"/>
      <c r="I4969" s="261"/>
      <c r="J4969" s="261"/>
      <c r="K4969" s="261"/>
      <c r="L4969" s="261"/>
      <c r="M4969" s="261"/>
    </row>
    <row r="4970" spans="5:13">
      <c r="E4970" s="261"/>
      <c r="F4970" s="261"/>
      <c r="G4970" s="261"/>
      <c r="H4970" s="261"/>
      <c r="I4970" s="261"/>
      <c r="J4970" s="261"/>
      <c r="K4970" s="261"/>
      <c r="L4970" s="261"/>
      <c r="M4970" s="261"/>
    </row>
    <row r="4971" spans="5:13">
      <c r="E4971" s="261"/>
      <c r="F4971" s="261"/>
      <c r="G4971" s="261"/>
      <c r="H4971" s="261"/>
      <c r="I4971" s="261"/>
      <c r="J4971" s="261"/>
      <c r="K4971" s="261"/>
      <c r="L4971" s="261"/>
      <c r="M4971" s="261"/>
    </row>
    <row r="4972" spans="5:13">
      <c r="E4972" s="261"/>
      <c r="F4972" s="261"/>
      <c r="G4972" s="261"/>
      <c r="H4972" s="261"/>
      <c r="I4972" s="261"/>
      <c r="J4972" s="261"/>
      <c r="K4972" s="261"/>
      <c r="L4972" s="261"/>
      <c r="M4972" s="261"/>
    </row>
    <row r="4973" spans="5:13">
      <c r="E4973" s="261"/>
      <c r="F4973" s="261"/>
      <c r="G4973" s="261"/>
      <c r="H4973" s="261"/>
      <c r="I4973" s="261"/>
      <c r="J4973" s="261"/>
      <c r="K4973" s="261"/>
      <c r="L4973" s="261"/>
      <c r="M4973" s="261"/>
    </row>
    <row r="4974" spans="5:13">
      <c r="E4974" s="261"/>
      <c r="F4974" s="261"/>
      <c r="G4974" s="261"/>
      <c r="H4974" s="261"/>
      <c r="I4974" s="261"/>
      <c r="J4974" s="261"/>
      <c r="K4974" s="261"/>
      <c r="L4974" s="261"/>
      <c r="M4974" s="261"/>
    </row>
    <row r="4975" spans="5:13">
      <c r="E4975" s="261"/>
      <c r="F4975" s="261"/>
      <c r="G4975" s="261"/>
      <c r="H4975" s="261"/>
      <c r="I4975" s="261"/>
      <c r="J4975" s="261"/>
      <c r="K4975" s="261"/>
      <c r="L4975" s="261"/>
      <c r="M4975" s="261"/>
    </row>
    <row r="4976" spans="5:13">
      <c r="E4976" s="261"/>
      <c r="F4976" s="261"/>
      <c r="G4976" s="261"/>
      <c r="H4976" s="261"/>
      <c r="I4976" s="261"/>
      <c r="J4976" s="261"/>
      <c r="K4976" s="261"/>
      <c r="L4976" s="261"/>
      <c r="M4976" s="261"/>
    </row>
    <row r="4977" spans="5:13">
      <c r="E4977" s="261"/>
      <c r="F4977" s="261"/>
      <c r="G4977" s="261"/>
      <c r="H4977" s="261"/>
      <c r="I4977" s="261"/>
      <c r="J4977" s="261"/>
      <c r="K4977" s="261"/>
      <c r="L4977" s="261"/>
      <c r="M4977" s="261"/>
    </row>
    <row r="4978" spans="5:13">
      <c r="E4978" s="261"/>
      <c r="F4978" s="261"/>
      <c r="G4978" s="261"/>
      <c r="H4978" s="261"/>
      <c r="I4978" s="261"/>
      <c r="J4978" s="261"/>
      <c r="K4978" s="261"/>
      <c r="L4978" s="261"/>
      <c r="M4978" s="261"/>
    </row>
    <row r="4979" spans="5:13">
      <c r="E4979" s="261"/>
      <c r="F4979" s="261"/>
      <c r="G4979" s="261"/>
      <c r="H4979" s="261"/>
      <c r="I4979" s="261"/>
      <c r="J4979" s="261"/>
      <c r="K4979" s="261"/>
      <c r="L4979" s="261"/>
      <c r="M4979" s="261"/>
    </row>
    <row r="4980" spans="5:13">
      <c r="E4980" s="261"/>
      <c r="F4980" s="261"/>
      <c r="G4980" s="261"/>
      <c r="H4980" s="261"/>
      <c r="I4980" s="261"/>
      <c r="J4980" s="261"/>
      <c r="K4980" s="261"/>
      <c r="L4980" s="261"/>
      <c r="M4980" s="261"/>
    </row>
    <row r="4981" spans="5:13">
      <c r="E4981" s="261"/>
      <c r="F4981" s="261"/>
      <c r="G4981" s="261"/>
      <c r="H4981" s="261"/>
      <c r="I4981" s="261"/>
      <c r="J4981" s="261"/>
      <c r="K4981" s="261"/>
      <c r="L4981" s="261"/>
      <c r="M4981" s="261"/>
    </row>
    <row r="4982" spans="5:13">
      <c r="E4982" s="261"/>
      <c r="F4982" s="261"/>
      <c r="G4982" s="261"/>
      <c r="H4982" s="261"/>
      <c r="I4982" s="261"/>
      <c r="J4982" s="261"/>
      <c r="K4982" s="261"/>
      <c r="L4982" s="261"/>
      <c r="M4982" s="261"/>
    </row>
    <row r="4983" spans="5:13">
      <c r="E4983" s="261"/>
      <c r="F4983" s="261"/>
      <c r="G4983" s="261"/>
      <c r="H4983" s="261"/>
      <c r="I4983" s="261"/>
      <c r="J4983" s="261"/>
      <c r="K4983" s="261"/>
      <c r="L4983" s="261"/>
      <c r="M4983" s="261"/>
    </row>
    <row r="4984" spans="5:13">
      <c r="E4984" s="261"/>
      <c r="F4984" s="261"/>
      <c r="G4984" s="261"/>
      <c r="H4984" s="261"/>
      <c r="I4984" s="261"/>
      <c r="J4984" s="261"/>
      <c r="K4984" s="261"/>
      <c r="L4984" s="261"/>
      <c r="M4984" s="261"/>
    </row>
    <row r="4985" spans="5:13">
      <c r="E4985" s="261"/>
      <c r="F4985" s="261"/>
      <c r="G4985" s="261"/>
      <c r="H4985" s="261"/>
      <c r="I4985" s="261"/>
      <c r="J4985" s="261"/>
      <c r="K4985" s="261"/>
      <c r="L4985" s="261"/>
      <c r="M4985" s="261"/>
    </row>
    <row r="4986" spans="5:13">
      <c r="E4986" s="261"/>
      <c r="F4986" s="261"/>
      <c r="G4986" s="261"/>
      <c r="H4986" s="261"/>
      <c r="I4986" s="261"/>
      <c r="J4986" s="261"/>
      <c r="K4986" s="261"/>
      <c r="L4986" s="261"/>
      <c r="M4986" s="261"/>
    </row>
    <row r="4987" spans="5:13">
      <c r="E4987" s="261"/>
      <c r="F4987" s="261"/>
      <c r="G4987" s="261"/>
      <c r="H4987" s="261"/>
      <c r="I4987" s="261"/>
      <c r="J4987" s="261"/>
      <c r="K4987" s="261"/>
      <c r="L4987" s="261"/>
      <c r="M4987" s="261"/>
    </row>
    <row r="4988" spans="5:13">
      <c r="E4988" s="261"/>
      <c r="F4988" s="261"/>
      <c r="G4988" s="261"/>
      <c r="H4988" s="261"/>
      <c r="I4988" s="261"/>
      <c r="J4988" s="261"/>
      <c r="K4988" s="261"/>
      <c r="L4988" s="261"/>
      <c r="M4988" s="261"/>
    </row>
    <row r="4989" spans="5:13">
      <c r="E4989" s="261"/>
      <c r="F4989" s="261"/>
      <c r="G4989" s="261"/>
      <c r="H4989" s="261"/>
      <c r="I4989" s="261"/>
      <c r="J4989" s="261"/>
      <c r="K4989" s="261"/>
      <c r="L4989" s="261"/>
      <c r="M4989" s="261"/>
    </row>
    <row r="4990" spans="5:13">
      <c r="E4990" s="261"/>
      <c r="F4990" s="261"/>
      <c r="G4990" s="261"/>
      <c r="H4990" s="261"/>
      <c r="I4990" s="261"/>
      <c r="J4990" s="261"/>
      <c r="K4990" s="261"/>
      <c r="L4990" s="261"/>
      <c r="M4990" s="261"/>
    </row>
    <row r="4991" spans="5:13">
      <c r="E4991" s="261"/>
      <c r="F4991" s="261"/>
      <c r="G4991" s="261"/>
      <c r="H4991" s="261"/>
      <c r="I4991" s="261"/>
      <c r="J4991" s="261"/>
      <c r="K4991" s="261"/>
      <c r="L4991" s="261"/>
      <c r="M4991" s="261"/>
    </row>
    <row r="4992" spans="5:13">
      <c r="E4992" s="261"/>
      <c r="F4992" s="261"/>
      <c r="G4992" s="261"/>
      <c r="H4992" s="261"/>
      <c r="I4992" s="261"/>
      <c r="J4992" s="261"/>
      <c r="K4992" s="261"/>
      <c r="L4992" s="261"/>
      <c r="M4992" s="261"/>
    </row>
    <row r="4993" spans="5:13">
      <c r="E4993" s="261"/>
      <c r="F4993" s="261"/>
      <c r="G4993" s="261"/>
      <c r="H4993" s="261"/>
      <c r="I4993" s="261"/>
      <c r="J4993" s="261"/>
      <c r="K4993" s="261"/>
      <c r="L4993" s="261"/>
      <c r="M4993" s="261"/>
    </row>
    <row r="4994" spans="5:13">
      <c r="E4994" s="261"/>
      <c r="F4994" s="261"/>
      <c r="G4994" s="261"/>
      <c r="H4994" s="261"/>
      <c r="I4994" s="261"/>
      <c r="J4994" s="261"/>
      <c r="K4994" s="261"/>
      <c r="L4994" s="261"/>
      <c r="M4994" s="261"/>
    </row>
    <row r="4995" spans="5:13">
      <c r="E4995" s="261"/>
      <c r="F4995" s="261"/>
      <c r="G4995" s="261"/>
      <c r="H4995" s="261"/>
      <c r="I4995" s="261"/>
      <c r="J4995" s="261"/>
      <c r="K4995" s="261"/>
      <c r="L4995" s="261"/>
      <c r="M4995" s="261"/>
    </row>
    <row r="4996" spans="5:13">
      <c r="E4996" s="261"/>
      <c r="F4996" s="261"/>
      <c r="G4996" s="261"/>
      <c r="H4996" s="261"/>
      <c r="I4996" s="261"/>
      <c r="J4996" s="261"/>
      <c r="K4996" s="261"/>
      <c r="L4996" s="261"/>
      <c r="M4996" s="261"/>
    </row>
    <row r="4997" spans="5:13">
      <c r="E4997" s="261"/>
      <c r="F4997" s="261"/>
      <c r="G4997" s="261"/>
      <c r="H4997" s="261"/>
      <c r="I4997" s="261"/>
      <c r="J4997" s="261"/>
      <c r="K4997" s="261"/>
      <c r="L4997" s="261"/>
      <c r="M4997" s="261"/>
    </row>
    <row r="4998" spans="5:13">
      <c r="E4998" s="261"/>
      <c r="F4998" s="261"/>
      <c r="G4998" s="261"/>
      <c r="H4998" s="261"/>
      <c r="I4998" s="261"/>
      <c r="J4998" s="261"/>
      <c r="K4998" s="261"/>
      <c r="L4998" s="261"/>
      <c r="M4998" s="261"/>
    </row>
    <row r="4999" spans="5:13">
      <c r="E4999" s="261"/>
      <c r="F4999" s="261"/>
      <c r="G4999" s="261"/>
      <c r="H4999" s="261"/>
      <c r="I4999" s="261"/>
      <c r="J4999" s="261"/>
      <c r="K4999" s="261"/>
      <c r="L4999" s="261"/>
      <c r="M4999" s="261"/>
    </row>
    <row r="5000" spans="5:13">
      <c r="E5000" s="261"/>
      <c r="F5000" s="261"/>
      <c r="G5000" s="261"/>
      <c r="H5000" s="261"/>
      <c r="I5000" s="261"/>
      <c r="J5000" s="261"/>
      <c r="K5000" s="261"/>
      <c r="L5000" s="261"/>
      <c r="M5000" s="261"/>
    </row>
    <row r="5001" spans="5:13">
      <c r="E5001" s="261"/>
      <c r="F5001" s="261"/>
      <c r="G5001" s="261"/>
      <c r="H5001" s="261"/>
      <c r="I5001" s="261"/>
      <c r="J5001" s="261"/>
      <c r="K5001" s="261"/>
      <c r="L5001" s="261"/>
      <c r="M5001" s="261"/>
    </row>
    <row r="5002" spans="5:13">
      <c r="E5002" s="261"/>
      <c r="F5002" s="261"/>
      <c r="G5002" s="261"/>
      <c r="H5002" s="261"/>
      <c r="I5002" s="261"/>
      <c r="J5002" s="261"/>
      <c r="K5002" s="261"/>
      <c r="L5002" s="261"/>
      <c r="M5002" s="261"/>
    </row>
    <row r="5003" spans="5:13">
      <c r="E5003" s="261"/>
      <c r="F5003" s="261"/>
      <c r="G5003" s="261"/>
      <c r="H5003" s="261"/>
      <c r="I5003" s="261"/>
      <c r="J5003" s="261"/>
      <c r="K5003" s="261"/>
      <c r="L5003" s="261"/>
      <c r="M5003" s="261"/>
    </row>
    <row r="5004" spans="5:13">
      <c r="E5004" s="261"/>
      <c r="F5004" s="261"/>
      <c r="G5004" s="261"/>
      <c r="H5004" s="261"/>
      <c r="I5004" s="261"/>
      <c r="J5004" s="261"/>
      <c r="K5004" s="261"/>
      <c r="L5004" s="261"/>
      <c r="M5004" s="261"/>
    </row>
    <row r="5005" spans="5:13">
      <c r="E5005" s="261"/>
      <c r="F5005" s="261"/>
      <c r="G5005" s="261"/>
      <c r="H5005" s="261"/>
      <c r="I5005" s="261"/>
      <c r="J5005" s="261"/>
      <c r="K5005" s="261"/>
      <c r="L5005" s="261"/>
      <c r="M5005" s="261"/>
    </row>
    <row r="5006" spans="5:13">
      <c r="E5006" s="261"/>
      <c r="F5006" s="261"/>
      <c r="G5006" s="261"/>
      <c r="H5006" s="261"/>
      <c r="I5006" s="261"/>
      <c r="J5006" s="261"/>
      <c r="K5006" s="261"/>
      <c r="L5006" s="261"/>
      <c r="M5006" s="261"/>
    </row>
    <row r="5007" spans="5:13">
      <c r="E5007" s="261"/>
      <c r="F5007" s="261"/>
      <c r="G5007" s="261"/>
      <c r="H5007" s="261"/>
      <c r="I5007" s="261"/>
      <c r="J5007" s="261"/>
      <c r="K5007" s="261"/>
      <c r="L5007" s="261"/>
      <c r="M5007" s="261"/>
    </row>
    <row r="5008" spans="5:13">
      <c r="E5008" s="261"/>
      <c r="F5008" s="261"/>
      <c r="G5008" s="261"/>
      <c r="H5008" s="261"/>
      <c r="I5008" s="261"/>
      <c r="J5008" s="261"/>
      <c r="K5008" s="261"/>
      <c r="L5008" s="261"/>
      <c r="M5008" s="261"/>
    </row>
    <row r="5009" spans="5:13">
      <c r="E5009" s="261"/>
      <c r="F5009" s="261"/>
      <c r="G5009" s="261"/>
      <c r="H5009" s="261"/>
      <c r="I5009" s="261"/>
      <c r="J5009" s="261"/>
      <c r="K5009" s="261"/>
      <c r="L5009" s="261"/>
      <c r="M5009" s="261"/>
    </row>
    <row r="5010" spans="5:13">
      <c r="E5010" s="261"/>
      <c r="F5010" s="261"/>
      <c r="G5010" s="261"/>
      <c r="H5010" s="261"/>
      <c r="I5010" s="261"/>
      <c r="J5010" s="261"/>
      <c r="K5010" s="261"/>
      <c r="L5010" s="261"/>
      <c r="M5010" s="261"/>
    </row>
    <row r="5011" spans="5:13">
      <c r="E5011" s="261"/>
      <c r="F5011" s="261"/>
      <c r="G5011" s="261"/>
      <c r="H5011" s="261"/>
      <c r="I5011" s="261"/>
      <c r="J5011" s="261"/>
      <c r="K5011" s="261"/>
      <c r="L5011" s="261"/>
      <c r="M5011" s="261"/>
    </row>
    <row r="5012" spans="5:13">
      <c r="E5012" s="261"/>
      <c r="F5012" s="261"/>
      <c r="G5012" s="261"/>
      <c r="H5012" s="261"/>
      <c r="I5012" s="261"/>
      <c r="J5012" s="261"/>
      <c r="K5012" s="261"/>
      <c r="L5012" s="261"/>
      <c r="M5012" s="261"/>
    </row>
    <row r="5013" spans="5:13">
      <c r="E5013" s="261"/>
      <c r="F5013" s="261"/>
      <c r="G5013" s="261"/>
      <c r="H5013" s="261"/>
      <c r="I5013" s="261"/>
      <c r="J5013" s="261"/>
      <c r="K5013" s="261"/>
      <c r="L5013" s="261"/>
      <c r="M5013" s="261"/>
    </row>
    <row r="5014" spans="5:13">
      <c r="E5014" s="261"/>
      <c r="F5014" s="261"/>
      <c r="G5014" s="261"/>
      <c r="H5014" s="261"/>
      <c r="I5014" s="261"/>
      <c r="J5014" s="261"/>
      <c r="K5014" s="261"/>
      <c r="L5014" s="261"/>
      <c r="M5014" s="261"/>
    </row>
    <row r="5015" spans="5:13">
      <c r="E5015" s="261"/>
      <c r="F5015" s="261"/>
      <c r="G5015" s="261"/>
      <c r="H5015" s="261"/>
      <c r="I5015" s="261"/>
      <c r="J5015" s="261"/>
      <c r="K5015" s="261"/>
      <c r="L5015" s="261"/>
      <c r="M5015" s="261"/>
    </row>
    <row r="5016" spans="5:13">
      <c r="E5016" s="261"/>
      <c r="F5016" s="261"/>
      <c r="G5016" s="261"/>
      <c r="H5016" s="261"/>
      <c r="I5016" s="261"/>
      <c r="J5016" s="261"/>
      <c r="K5016" s="261"/>
      <c r="L5016" s="261"/>
      <c r="M5016" s="261"/>
    </row>
    <row r="5017" spans="5:13">
      <c r="E5017" s="261"/>
      <c r="F5017" s="261"/>
      <c r="G5017" s="261"/>
      <c r="H5017" s="261"/>
      <c r="I5017" s="261"/>
      <c r="J5017" s="261"/>
      <c r="K5017" s="261"/>
      <c r="L5017" s="261"/>
      <c r="M5017" s="261"/>
    </row>
    <row r="5018" spans="5:13">
      <c r="E5018" s="261"/>
      <c r="F5018" s="261"/>
      <c r="G5018" s="261"/>
      <c r="H5018" s="261"/>
      <c r="I5018" s="261"/>
      <c r="J5018" s="261"/>
      <c r="K5018" s="261"/>
      <c r="L5018" s="261"/>
      <c r="M5018" s="261"/>
    </row>
    <row r="5019" spans="5:13">
      <c r="E5019" s="261"/>
      <c r="F5019" s="261"/>
      <c r="G5019" s="261"/>
      <c r="H5019" s="261"/>
      <c r="I5019" s="261"/>
      <c r="J5019" s="261"/>
      <c r="K5019" s="261"/>
      <c r="L5019" s="261"/>
      <c r="M5019" s="261"/>
    </row>
    <row r="5020" spans="5:13">
      <c r="E5020" s="261"/>
      <c r="F5020" s="261"/>
      <c r="G5020" s="261"/>
      <c r="H5020" s="261"/>
      <c r="I5020" s="261"/>
      <c r="J5020" s="261"/>
      <c r="K5020" s="261"/>
      <c r="L5020" s="261"/>
      <c r="M5020" s="261"/>
    </row>
    <row r="5021" spans="5:13">
      <c r="E5021" s="261"/>
      <c r="F5021" s="261"/>
      <c r="G5021" s="261"/>
      <c r="H5021" s="261"/>
      <c r="I5021" s="261"/>
      <c r="J5021" s="261"/>
      <c r="K5021" s="261"/>
      <c r="L5021" s="261"/>
      <c r="M5021" s="261"/>
    </row>
    <row r="5022" spans="5:13">
      <c r="E5022" s="261"/>
      <c r="F5022" s="261"/>
      <c r="G5022" s="261"/>
      <c r="H5022" s="261"/>
      <c r="I5022" s="261"/>
      <c r="J5022" s="261"/>
      <c r="K5022" s="261"/>
      <c r="L5022" s="261"/>
      <c r="M5022" s="261"/>
    </row>
    <row r="5023" spans="5:13">
      <c r="E5023" s="261"/>
      <c r="F5023" s="261"/>
      <c r="G5023" s="261"/>
      <c r="H5023" s="261"/>
      <c r="I5023" s="261"/>
      <c r="J5023" s="261"/>
      <c r="K5023" s="261"/>
      <c r="L5023" s="261"/>
      <c r="M5023" s="261"/>
    </row>
    <row r="5024" spans="5:13">
      <c r="E5024" s="261"/>
      <c r="F5024" s="261"/>
      <c r="G5024" s="261"/>
      <c r="H5024" s="261"/>
      <c r="I5024" s="261"/>
      <c r="J5024" s="261"/>
      <c r="K5024" s="261"/>
      <c r="L5024" s="261"/>
      <c r="M5024" s="261"/>
    </row>
    <row r="5025" spans="5:13">
      <c r="E5025" s="261"/>
      <c r="F5025" s="261"/>
      <c r="G5025" s="261"/>
      <c r="H5025" s="261"/>
      <c r="I5025" s="261"/>
      <c r="J5025" s="261"/>
      <c r="K5025" s="261"/>
      <c r="L5025" s="261"/>
      <c r="M5025" s="261"/>
    </row>
    <row r="5026" spans="5:13">
      <c r="E5026" s="261"/>
      <c r="F5026" s="261"/>
      <c r="G5026" s="261"/>
      <c r="H5026" s="261"/>
      <c r="I5026" s="261"/>
      <c r="J5026" s="261"/>
      <c r="K5026" s="261"/>
      <c r="L5026" s="261"/>
      <c r="M5026" s="261"/>
    </row>
    <row r="5027" spans="5:13">
      <c r="E5027" s="261"/>
      <c r="F5027" s="261"/>
      <c r="G5027" s="261"/>
      <c r="H5027" s="261"/>
      <c r="I5027" s="261"/>
      <c r="J5027" s="261"/>
      <c r="K5027" s="261"/>
      <c r="L5027" s="261"/>
      <c r="M5027" s="261"/>
    </row>
    <row r="5028" spans="5:13">
      <c r="E5028" s="261"/>
      <c r="F5028" s="261"/>
      <c r="G5028" s="261"/>
      <c r="H5028" s="261"/>
      <c r="I5028" s="261"/>
      <c r="J5028" s="261"/>
      <c r="K5028" s="261"/>
      <c r="L5028" s="261"/>
      <c r="M5028" s="261"/>
    </row>
    <row r="5029" spans="5:13">
      <c r="E5029" s="261"/>
      <c r="F5029" s="261"/>
      <c r="G5029" s="261"/>
      <c r="H5029" s="261"/>
      <c r="I5029" s="261"/>
      <c r="J5029" s="261"/>
      <c r="K5029" s="261"/>
      <c r="L5029" s="261"/>
      <c r="M5029" s="261"/>
    </row>
    <row r="5030" spans="5:13">
      <c r="E5030" s="261"/>
      <c r="F5030" s="261"/>
      <c r="G5030" s="261"/>
      <c r="H5030" s="261"/>
      <c r="I5030" s="261"/>
      <c r="J5030" s="261"/>
      <c r="K5030" s="261"/>
      <c r="L5030" s="261"/>
      <c r="M5030" s="261"/>
    </row>
    <row r="5031" spans="5:13">
      <c r="E5031" s="261"/>
      <c r="F5031" s="261"/>
      <c r="G5031" s="261"/>
      <c r="H5031" s="261"/>
      <c r="I5031" s="261"/>
      <c r="J5031" s="261"/>
      <c r="K5031" s="261"/>
      <c r="L5031" s="261"/>
      <c r="M5031" s="261"/>
    </row>
    <row r="5032" spans="5:13">
      <c r="E5032" s="261"/>
      <c r="F5032" s="261"/>
      <c r="G5032" s="261"/>
      <c r="H5032" s="261"/>
      <c r="I5032" s="261"/>
      <c r="J5032" s="261"/>
      <c r="K5032" s="261"/>
      <c r="L5032" s="261"/>
      <c r="M5032" s="261"/>
    </row>
    <row r="5033" spans="5:13">
      <c r="E5033" s="261"/>
      <c r="F5033" s="261"/>
      <c r="G5033" s="261"/>
      <c r="H5033" s="261"/>
      <c r="I5033" s="261"/>
      <c r="J5033" s="261"/>
      <c r="K5033" s="261"/>
      <c r="L5033" s="261"/>
      <c r="M5033" s="261"/>
    </row>
    <row r="5034" spans="5:13">
      <c r="E5034" s="261"/>
      <c r="F5034" s="261"/>
      <c r="G5034" s="261"/>
      <c r="H5034" s="261"/>
      <c r="I5034" s="261"/>
      <c r="J5034" s="261"/>
      <c r="K5034" s="261"/>
      <c r="L5034" s="261"/>
      <c r="M5034" s="261"/>
    </row>
    <row r="5035" spans="5:13">
      <c r="E5035" s="261"/>
      <c r="F5035" s="261"/>
      <c r="G5035" s="261"/>
      <c r="H5035" s="261"/>
      <c r="I5035" s="261"/>
      <c r="J5035" s="261"/>
      <c r="K5035" s="261"/>
      <c r="L5035" s="261"/>
      <c r="M5035" s="261"/>
    </row>
    <row r="5036" spans="5:13">
      <c r="E5036" s="261"/>
      <c r="F5036" s="261"/>
      <c r="G5036" s="261"/>
      <c r="H5036" s="261"/>
      <c r="I5036" s="261"/>
      <c r="J5036" s="261"/>
      <c r="K5036" s="261"/>
      <c r="L5036" s="261"/>
      <c r="M5036" s="261"/>
    </row>
    <row r="5037" spans="5:13">
      <c r="E5037" s="261"/>
      <c r="F5037" s="261"/>
      <c r="G5037" s="261"/>
      <c r="H5037" s="261"/>
      <c r="I5037" s="261"/>
      <c r="J5037" s="261"/>
      <c r="K5037" s="261"/>
      <c r="L5037" s="261"/>
      <c r="M5037" s="261"/>
    </row>
    <row r="5038" spans="5:13">
      <c r="E5038" s="261"/>
      <c r="F5038" s="261"/>
      <c r="G5038" s="261"/>
      <c r="H5038" s="261"/>
      <c r="I5038" s="261"/>
      <c r="J5038" s="261"/>
      <c r="K5038" s="261"/>
      <c r="L5038" s="261"/>
      <c r="M5038" s="261"/>
    </row>
    <row r="5039" spans="5:13">
      <c r="E5039" s="261"/>
      <c r="F5039" s="261"/>
      <c r="G5039" s="261"/>
      <c r="H5039" s="261"/>
      <c r="I5039" s="261"/>
      <c r="J5039" s="261"/>
      <c r="K5039" s="261"/>
      <c r="L5039" s="261"/>
      <c r="M5039" s="261"/>
    </row>
    <row r="5040" spans="5:13">
      <c r="E5040" s="261"/>
      <c r="F5040" s="261"/>
      <c r="G5040" s="261"/>
      <c r="H5040" s="261"/>
      <c r="I5040" s="261"/>
      <c r="J5040" s="261"/>
      <c r="K5040" s="261"/>
      <c r="L5040" s="261"/>
      <c r="M5040" s="261"/>
    </row>
    <row r="5041" spans="5:13">
      <c r="E5041" s="261"/>
      <c r="F5041" s="261"/>
      <c r="G5041" s="261"/>
      <c r="H5041" s="261"/>
      <c r="I5041" s="261"/>
      <c r="J5041" s="261"/>
      <c r="K5041" s="261"/>
      <c r="L5041" s="261"/>
      <c r="M5041" s="261"/>
    </row>
    <row r="5042" spans="5:13">
      <c r="E5042" s="261"/>
      <c r="F5042" s="261"/>
      <c r="G5042" s="261"/>
      <c r="H5042" s="261"/>
      <c r="I5042" s="261"/>
      <c r="J5042" s="261"/>
      <c r="K5042" s="261"/>
      <c r="L5042" s="261"/>
      <c r="M5042" s="261"/>
    </row>
    <row r="5043" spans="5:13">
      <c r="E5043" s="261"/>
      <c r="F5043" s="261"/>
      <c r="G5043" s="261"/>
      <c r="H5043" s="261"/>
      <c r="I5043" s="261"/>
      <c r="J5043" s="261"/>
      <c r="K5043" s="261"/>
      <c r="L5043" s="261"/>
      <c r="M5043" s="261"/>
    </row>
    <row r="5044" spans="5:13">
      <c r="E5044" s="261"/>
      <c r="F5044" s="261"/>
      <c r="G5044" s="261"/>
      <c r="H5044" s="261"/>
      <c r="I5044" s="261"/>
      <c r="J5044" s="261"/>
      <c r="K5044" s="261"/>
      <c r="L5044" s="261"/>
      <c r="M5044" s="261"/>
    </row>
    <row r="5045" spans="5:13">
      <c r="E5045" s="261"/>
      <c r="F5045" s="261"/>
      <c r="G5045" s="261"/>
      <c r="H5045" s="261"/>
      <c r="I5045" s="261"/>
      <c r="J5045" s="261"/>
      <c r="K5045" s="261"/>
      <c r="L5045" s="261"/>
      <c r="M5045" s="261"/>
    </row>
    <row r="5046" spans="5:13">
      <c r="E5046" s="261"/>
      <c r="F5046" s="261"/>
      <c r="G5046" s="261"/>
      <c r="H5046" s="261"/>
      <c r="I5046" s="261"/>
      <c r="J5046" s="261"/>
      <c r="K5046" s="261"/>
      <c r="L5046" s="261"/>
      <c r="M5046" s="261"/>
    </row>
    <row r="5047" spans="5:13">
      <c r="E5047" s="261"/>
      <c r="F5047" s="261"/>
      <c r="G5047" s="261"/>
      <c r="H5047" s="261"/>
      <c r="I5047" s="261"/>
      <c r="J5047" s="261"/>
      <c r="K5047" s="261"/>
      <c r="L5047" s="261"/>
      <c r="M5047" s="261"/>
    </row>
    <row r="5048" spans="5:13">
      <c r="E5048" s="261"/>
      <c r="F5048" s="261"/>
      <c r="G5048" s="261"/>
      <c r="H5048" s="261"/>
      <c r="I5048" s="261"/>
      <c r="J5048" s="261"/>
      <c r="K5048" s="261"/>
      <c r="L5048" s="261"/>
      <c r="M5048" s="261"/>
    </row>
    <row r="5049" spans="5:13">
      <c r="E5049" s="261"/>
      <c r="F5049" s="261"/>
      <c r="G5049" s="261"/>
      <c r="H5049" s="261"/>
      <c r="I5049" s="261"/>
      <c r="J5049" s="261"/>
      <c r="K5049" s="261"/>
      <c r="L5049" s="261"/>
      <c r="M5049" s="261"/>
    </row>
    <row r="5050" spans="5:13">
      <c r="E5050" s="261"/>
      <c r="F5050" s="261"/>
      <c r="G5050" s="261"/>
      <c r="H5050" s="261"/>
      <c r="I5050" s="261"/>
      <c r="J5050" s="261"/>
      <c r="K5050" s="261"/>
      <c r="L5050" s="261"/>
      <c r="M5050" s="261"/>
    </row>
    <row r="5051" spans="5:13">
      <c r="E5051" s="261"/>
      <c r="F5051" s="261"/>
      <c r="G5051" s="261"/>
      <c r="H5051" s="261"/>
      <c r="I5051" s="261"/>
      <c r="J5051" s="261"/>
      <c r="K5051" s="261"/>
      <c r="L5051" s="261"/>
      <c r="M5051" s="261"/>
    </row>
    <row r="5052" spans="5:13">
      <c r="E5052" s="261"/>
      <c r="F5052" s="261"/>
      <c r="G5052" s="261"/>
      <c r="H5052" s="261"/>
      <c r="I5052" s="261"/>
      <c r="J5052" s="261"/>
      <c r="K5052" s="261"/>
      <c r="L5052" s="261"/>
      <c r="M5052" s="261"/>
    </row>
    <row r="5053" spans="5:13">
      <c r="E5053" s="261"/>
      <c r="F5053" s="261"/>
      <c r="G5053" s="261"/>
      <c r="H5053" s="261"/>
      <c r="I5053" s="261"/>
      <c r="J5053" s="261"/>
      <c r="K5053" s="261"/>
      <c r="L5053" s="261"/>
      <c r="M5053" s="261"/>
    </row>
    <row r="5054" spans="5:13">
      <c r="E5054" s="261"/>
      <c r="F5054" s="261"/>
      <c r="G5054" s="261"/>
      <c r="H5054" s="261"/>
      <c r="I5054" s="261"/>
      <c r="J5054" s="261"/>
      <c r="K5054" s="261"/>
      <c r="L5054" s="261"/>
      <c r="M5054" s="261"/>
    </row>
    <row r="5055" spans="5:13">
      <c r="E5055" s="261"/>
      <c r="F5055" s="261"/>
      <c r="G5055" s="261"/>
      <c r="H5055" s="261"/>
      <c r="I5055" s="261"/>
      <c r="J5055" s="261"/>
      <c r="K5055" s="261"/>
      <c r="L5055" s="261"/>
      <c r="M5055" s="261"/>
    </row>
    <row r="5056" spans="5:13">
      <c r="E5056" s="261"/>
      <c r="F5056" s="261"/>
      <c r="G5056" s="261"/>
      <c r="H5056" s="261"/>
      <c r="I5056" s="261"/>
      <c r="J5056" s="261"/>
      <c r="K5056" s="261"/>
      <c r="L5056" s="261"/>
      <c r="M5056" s="261"/>
    </row>
    <row r="5057" spans="5:13">
      <c r="E5057" s="261"/>
      <c r="F5057" s="261"/>
      <c r="G5057" s="261"/>
      <c r="H5057" s="261"/>
      <c r="I5057" s="261"/>
      <c r="J5057" s="261"/>
      <c r="K5057" s="261"/>
      <c r="L5057" s="261"/>
      <c r="M5057" s="261"/>
    </row>
    <row r="5058" spans="5:13">
      <c r="E5058" s="261"/>
      <c r="F5058" s="261"/>
      <c r="G5058" s="261"/>
      <c r="H5058" s="261"/>
      <c r="I5058" s="261"/>
      <c r="J5058" s="261"/>
      <c r="K5058" s="261"/>
      <c r="L5058" s="261"/>
      <c r="M5058" s="261"/>
    </row>
    <row r="5059" spans="5:13">
      <c r="E5059" s="261"/>
      <c r="F5059" s="261"/>
      <c r="G5059" s="261"/>
      <c r="H5059" s="261"/>
      <c r="I5059" s="261"/>
      <c r="J5059" s="261"/>
      <c r="K5059" s="261"/>
      <c r="L5059" s="261"/>
      <c r="M5059" s="261"/>
    </row>
    <row r="5060" spans="5:13">
      <c r="E5060" s="261"/>
      <c r="F5060" s="261"/>
      <c r="G5060" s="261"/>
      <c r="H5060" s="261"/>
      <c r="I5060" s="261"/>
      <c r="J5060" s="261"/>
      <c r="K5060" s="261"/>
      <c r="L5060" s="261"/>
      <c r="M5060" s="261"/>
    </row>
    <row r="5061" spans="5:13">
      <c r="E5061" s="261"/>
      <c r="F5061" s="261"/>
      <c r="G5061" s="261"/>
      <c r="H5061" s="261"/>
      <c r="I5061" s="261"/>
      <c r="J5061" s="261"/>
      <c r="K5061" s="261"/>
      <c r="L5061" s="261"/>
      <c r="M5061" s="261"/>
    </row>
    <row r="5062" spans="5:13">
      <c r="E5062" s="261"/>
      <c r="F5062" s="261"/>
      <c r="G5062" s="261"/>
      <c r="H5062" s="261"/>
      <c r="I5062" s="261"/>
      <c r="J5062" s="261"/>
      <c r="K5062" s="261"/>
      <c r="L5062" s="261"/>
      <c r="M5062" s="261"/>
    </row>
    <row r="5063" spans="5:13">
      <c r="E5063" s="261"/>
      <c r="F5063" s="261"/>
      <c r="G5063" s="261"/>
      <c r="H5063" s="261"/>
      <c r="I5063" s="261"/>
      <c r="J5063" s="261"/>
      <c r="K5063" s="261"/>
      <c r="L5063" s="261"/>
      <c r="M5063" s="261"/>
    </row>
    <row r="5064" spans="5:13">
      <c r="E5064" s="261"/>
      <c r="F5064" s="261"/>
      <c r="G5064" s="261"/>
      <c r="H5064" s="261"/>
      <c r="I5064" s="261"/>
      <c r="J5064" s="261"/>
      <c r="K5064" s="261"/>
      <c r="L5064" s="261"/>
      <c r="M5064" s="261"/>
    </row>
    <row r="5065" spans="5:13">
      <c r="E5065" s="261"/>
      <c r="F5065" s="261"/>
      <c r="G5065" s="261"/>
      <c r="H5065" s="261"/>
      <c r="I5065" s="261"/>
      <c r="J5065" s="261"/>
      <c r="K5065" s="261"/>
      <c r="L5065" s="261"/>
      <c r="M5065" s="261"/>
    </row>
    <row r="5066" spans="5:13">
      <c r="E5066" s="261"/>
      <c r="F5066" s="261"/>
      <c r="G5066" s="261"/>
      <c r="H5066" s="261"/>
      <c r="I5066" s="261"/>
      <c r="J5066" s="261"/>
      <c r="K5066" s="261"/>
      <c r="L5066" s="261"/>
      <c r="M5066" s="261"/>
    </row>
    <row r="5067" spans="5:13">
      <c r="E5067" s="261"/>
      <c r="F5067" s="261"/>
      <c r="G5067" s="261"/>
      <c r="H5067" s="261"/>
      <c r="I5067" s="261"/>
      <c r="J5067" s="261"/>
      <c r="K5067" s="261"/>
      <c r="L5067" s="261"/>
      <c r="M5067" s="261"/>
    </row>
    <row r="5068" spans="5:13">
      <c r="E5068" s="261"/>
      <c r="F5068" s="261"/>
      <c r="G5068" s="261"/>
      <c r="H5068" s="261"/>
      <c r="I5068" s="261"/>
      <c r="J5068" s="261"/>
      <c r="K5068" s="261"/>
      <c r="L5068" s="261"/>
      <c r="M5068" s="261"/>
    </row>
    <row r="5069" spans="5:13">
      <c r="E5069" s="261"/>
      <c r="F5069" s="261"/>
      <c r="G5069" s="261"/>
      <c r="H5069" s="261"/>
      <c r="I5069" s="261"/>
      <c r="J5069" s="261"/>
      <c r="K5069" s="261"/>
      <c r="L5069" s="261"/>
      <c r="M5069" s="261"/>
    </row>
    <row r="5070" spans="5:13">
      <c r="E5070" s="261"/>
      <c r="F5070" s="261"/>
      <c r="G5070" s="261"/>
      <c r="H5070" s="261"/>
      <c r="I5070" s="261"/>
      <c r="J5070" s="261"/>
      <c r="K5070" s="261"/>
      <c r="L5070" s="261"/>
      <c r="M5070" s="261"/>
    </row>
    <row r="5071" spans="5:13">
      <c r="E5071" s="261"/>
      <c r="F5071" s="261"/>
      <c r="G5071" s="261"/>
      <c r="H5071" s="261"/>
      <c r="I5071" s="261"/>
      <c r="J5071" s="261"/>
      <c r="K5071" s="261"/>
      <c r="L5071" s="261"/>
      <c r="M5071" s="261"/>
    </row>
    <row r="5072" spans="5:13">
      <c r="E5072" s="261"/>
      <c r="F5072" s="261"/>
      <c r="G5072" s="261"/>
      <c r="H5072" s="261"/>
      <c r="I5072" s="261"/>
      <c r="J5072" s="261"/>
      <c r="K5072" s="261"/>
      <c r="L5072" s="261"/>
      <c r="M5072" s="261"/>
    </row>
    <row r="5073" spans="5:13">
      <c r="E5073" s="261"/>
      <c r="F5073" s="261"/>
      <c r="G5073" s="261"/>
      <c r="H5073" s="261"/>
      <c r="I5073" s="261"/>
      <c r="J5073" s="261"/>
      <c r="K5073" s="261"/>
      <c r="L5073" s="261"/>
      <c r="M5073" s="261"/>
    </row>
    <row r="5074" spans="5:13">
      <c r="E5074" s="261"/>
      <c r="F5074" s="261"/>
      <c r="G5074" s="261"/>
      <c r="H5074" s="261"/>
      <c r="I5074" s="261"/>
      <c r="J5074" s="261"/>
      <c r="K5074" s="261"/>
      <c r="L5074" s="261"/>
      <c r="M5074" s="261"/>
    </row>
    <row r="5075" spans="5:13">
      <c r="E5075" s="261"/>
      <c r="F5075" s="261"/>
      <c r="G5075" s="261"/>
      <c r="H5075" s="261"/>
      <c r="I5075" s="261"/>
      <c r="J5075" s="261"/>
      <c r="K5075" s="261"/>
      <c r="L5075" s="261"/>
      <c r="M5075" s="261"/>
    </row>
    <row r="5076" spans="5:13">
      <c r="E5076" s="261"/>
      <c r="F5076" s="261"/>
      <c r="G5076" s="261"/>
      <c r="H5076" s="261"/>
      <c r="I5076" s="261"/>
      <c r="J5076" s="261"/>
      <c r="K5076" s="261"/>
      <c r="L5076" s="261"/>
      <c r="M5076" s="261"/>
    </row>
    <row r="5077" spans="5:13">
      <c r="E5077" s="261"/>
      <c r="F5077" s="261"/>
      <c r="G5077" s="261"/>
      <c r="H5077" s="261"/>
      <c r="I5077" s="261"/>
      <c r="J5077" s="261"/>
      <c r="K5077" s="261"/>
      <c r="L5077" s="261"/>
      <c r="M5077" s="261"/>
    </row>
    <row r="5078" spans="5:13">
      <c r="E5078" s="261"/>
      <c r="F5078" s="261"/>
      <c r="G5078" s="261"/>
      <c r="H5078" s="261"/>
      <c r="I5078" s="261"/>
      <c r="J5078" s="261"/>
      <c r="K5078" s="261"/>
      <c r="L5078" s="261"/>
      <c r="M5078" s="261"/>
    </row>
    <row r="5079" spans="5:13">
      <c r="E5079" s="261"/>
      <c r="F5079" s="261"/>
      <c r="G5079" s="261"/>
      <c r="H5079" s="261"/>
      <c r="I5079" s="261"/>
      <c r="J5079" s="261"/>
      <c r="K5079" s="261"/>
      <c r="L5079" s="261"/>
      <c r="M5079" s="261"/>
    </row>
    <row r="5080" spans="5:13">
      <c r="E5080" s="261"/>
      <c r="F5080" s="261"/>
      <c r="G5080" s="261"/>
      <c r="H5080" s="261"/>
      <c r="I5080" s="261"/>
      <c r="J5080" s="261"/>
      <c r="K5080" s="261"/>
      <c r="L5080" s="261"/>
      <c r="M5080" s="261"/>
    </row>
    <row r="5081" spans="5:13">
      <c r="E5081" s="261"/>
      <c r="F5081" s="261"/>
      <c r="G5081" s="261"/>
      <c r="H5081" s="261"/>
      <c r="I5081" s="261"/>
      <c r="J5081" s="261"/>
      <c r="K5081" s="261"/>
      <c r="L5081" s="261"/>
      <c r="M5081" s="261"/>
    </row>
    <row r="5082" spans="5:13">
      <c r="E5082" s="261"/>
      <c r="F5082" s="261"/>
      <c r="G5082" s="261"/>
      <c r="H5082" s="261"/>
      <c r="I5082" s="261"/>
      <c r="J5082" s="261"/>
      <c r="K5082" s="261"/>
      <c r="L5082" s="261"/>
      <c r="M5082" s="261"/>
    </row>
    <row r="5083" spans="5:13">
      <c r="H5083" s="268"/>
      <c r="M5083" s="261"/>
    </row>
    <row r="5084" spans="5:13">
      <c r="H5084" s="268"/>
      <c r="M5084" s="261"/>
    </row>
    <row r="5085" spans="5:13">
      <c r="H5085" s="268"/>
    </row>
    <row r="5086" spans="5:13">
      <c r="H5086" s="268"/>
    </row>
    <row r="5087" spans="5:13">
      <c r="H5087" s="268"/>
    </row>
    <row r="5088" spans="5:13">
      <c r="H5088" s="268"/>
    </row>
    <row r="5089" spans="8:8">
      <c r="H5089" s="268"/>
    </row>
    <row r="5090" spans="8:8">
      <c r="H5090" s="268"/>
    </row>
    <row r="5091" spans="8:8">
      <c r="H5091" s="268"/>
    </row>
    <row r="5092" spans="8:8">
      <c r="H5092" s="268"/>
    </row>
    <row r="5093" spans="8:8">
      <c r="H5093" s="268"/>
    </row>
    <row r="5094" spans="8:8">
      <c r="H5094" s="268"/>
    </row>
    <row r="5095" spans="8:8">
      <c r="H5095" s="268"/>
    </row>
    <row r="5096" spans="8:8">
      <c r="H5096" s="268"/>
    </row>
    <row r="5097" spans="8:8">
      <c r="H5097" s="268"/>
    </row>
    <row r="5098" spans="8:8">
      <c r="H5098" s="268"/>
    </row>
    <row r="5099" spans="8:8">
      <c r="H5099" s="268"/>
    </row>
    <row r="5100" spans="8:8">
      <c r="H5100" s="268"/>
    </row>
    <row r="5101" spans="8:8">
      <c r="H5101" s="268"/>
    </row>
    <row r="5102" spans="8:8">
      <c r="H5102" s="268"/>
    </row>
    <row r="5103" spans="8:8">
      <c r="H5103" s="268"/>
    </row>
    <row r="5104" spans="8:8">
      <c r="H5104" s="268"/>
    </row>
    <row r="5105" spans="8:8">
      <c r="H5105" s="268"/>
    </row>
    <row r="5106" spans="8:8">
      <c r="H5106" s="268"/>
    </row>
    <row r="5107" spans="8:8">
      <c r="H5107" s="268"/>
    </row>
    <row r="5108" spans="8:8">
      <c r="H5108" s="268"/>
    </row>
    <row r="5109" spans="8:8">
      <c r="H5109" s="268"/>
    </row>
    <row r="5110" spans="8:8">
      <c r="H5110" s="268"/>
    </row>
    <row r="5111" spans="8:8">
      <c r="H5111" s="268"/>
    </row>
    <row r="5112" spans="8:8">
      <c r="H5112" s="268"/>
    </row>
    <row r="5113" spans="8:8">
      <c r="H5113" s="268"/>
    </row>
    <row r="5114" spans="8:8">
      <c r="H5114" s="268"/>
    </row>
    <row r="5115" spans="8:8">
      <c r="H5115" s="268"/>
    </row>
    <row r="5116" spans="8:8">
      <c r="H5116" s="268"/>
    </row>
    <row r="5117" spans="8:8">
      <c r="H5117" s="268"/>
    </row>
    <row r="5118" spans="8:8">
      <c r="H5118" s="268"/>
    </row>
    <row r="5119" spans="8:8">
      <c r="H5119" s="268"/>
    </row>
    <row r="5120" spans="8:8">
      <c r="H5120" s="268"/>
    </row>
    <row r="5121" spans="8:8">
      <c r="H5121" s="268"/>
    </row>
    <row r="5122" spans="8:8">
      <c r="H5122" s="268"/>
    </row>
    <row r="5123" spans="8:8">
      <c r="H5123" s="268"/>
    </row>
    <row r="5124" spans="8:8">
      <c r="H5124" s="268"/>
    </row>
    <row r="5125" spans="8:8">
      <c r="H5125" s="268"/>
    </row>
    <row r="5126" spans="8:8">
      <c r="H5126" s="268"/>
    </row>
    <row r="5127" spans="8:8">
      <c r="H5127" s="268"/>
    </row>
    <row r="5128" spans="8:8">
      <c r="H5128" s="268"/>
    </row>
    <row r="5129" spans="8:8">
      <c r="H5129" s="268"/>
    </row>
    <row r="5130" spans="8:8">
      <c r="H5130" s="268"/>
    </row>
    <row r="5131" spans="8:8">
      <c r="H5131" s="268"/>
    </row>
    <row r="5132" spans="8:8">
      <c r="H5132" s="268"/>
    </row>
    <row r="5133" spans="8:8">
      <c r="H5133" s="268"/>
    </row>
    <row r="5134" spans="8:8">
      <c r="H5134" s="268"/>
    </row>
    <row r="5135" spans="8:8">
      <c r="H5135" s="268"/>
    </row>
    <row r="5136" spans="8:8">
      <c r="H5136" s="268"/>
    </row>
    <row r="5137" spans="8:8">
      <c r="H5137" s="268"/>
    </row>
    <row r="5138" spans="8:8">
      <c r="H5138" s="268"/>
    </row>
    <row r="5139" spans="8:8">
      <c r="H5139" s="268"/>
    </row>
    <row r="5140" spans="8:8">
      <c r="H5140" s="268"/>
    </row>
    <row r="5141" spans="8:8">
      <c r="H5141" s="268"/>
    </row>
    <row r="5142" spans="8:8">
      <c r="H5142" s="268"/>
    </row>
    <row r="5143" spans="8:8">
      <c r="H5143" s="268"/>
    </row>
    <row r="5144" spans="8:8">
      <c r="H5144" s="268"/>
    </row>
    <row r="5145" spans="8:8">
      <c r="H5145" s="268"/>
    </row>
    <row r="5146" spans="8:8">
      <c r="H5146" s="268"/>
    </row>
    <row r="5147" spans="8:8">
      <c r="H5147" s="268"/>
    </row>
    <row r="5148" spans="8:8">
      <c r="H5148" s="268"/>
    </row>
    <row r="5149" spans="8:8">
      <c r="H5149" s="268"/>
    </row>
    <row r="5150" spans="8:8">
      <c r="H5150" s="268"/>
    </row>
    <row r="5151" spans="8:8">
      <c r="H5151" s="268"/>
    </row>
    <row r="5152" spans="8:8">
      <c r="H5152" s="268"/>
    </row>
    <row r="5153" spans="8:8">
      <c r="H5153" s="268"/>
    </row>
    <row r="5154" spans="8:8">
      <c r="H5154" s="268"/>
    </row>
    <row r="5155" spans="8:8">
      <c r="H5155" s="268"/>
    </row>
    <row r="5156" spans="8:8">
      <c r="H5156" s="268"/>
    </row>
    <row r="5157" spans="8:8">
      <c r="H5157" s="268"/>
    </row>
    <row r="5158" spans="8:8">
      <c r="H5158" s="268"/>
    </row>
    <row r="5159" spans="8:8">
      <c r="H5159" s="268"/>
    </row>
    <row r="5160" spans="8:8">
      <c r="H5160" s="268"/>
    </row>
    <row r="5161" spans="8:8">
      <c r="H5161" s="268"/>
    </row>
    <row r="5162" spans="8:8">
      <c r="H5162" s="268"/>
    </row>
    <row r="5163" spans="8:8">
      <c r="H5163" s="268"/>
    </row>
    <row r="5164" spans="8:8">
      <c r="H5164" s="268"/>
    </row>
    <row r="5165" spans="8:8">
      <c r="H5165" s="268"/>
    </row>
    <row r="5166" spans="8:8">
      <c r="H5166" s="268"/>
    </row>
    <row r="5167" spans="8:8">
      <c r="H5167" s="268"/>
    </row>
    <row r="5168" spans="8:8">
      <c r="H5168" s="268"/>
    </row>
    <row r="5169" spans="8:8">
      <c r="H5169" s="268"/>
    </row>
    <row r="5170" spans="8:8">
      <c r="H5170" s="268"/>
    </row>
    <row r="5171" spans="8:8">
      <c r="H5171" s="268"/>
    </row>
    <row r="5172" spans="8:8">
      <c r="H5172" s="268"/>
    </row>
    <row r="5173" spans="8:8">
      <c r="H5173" s="268"/>
    </row>
    <row r="5174" spans="8:8">
      <c r="H5174" s="268"/>
    </row>
    <row r="5175" spans="8:8">
      <c r="H5175" s="268"/>
    </row>
    <row r="5176" spans="8:8">
      <c r="H5176" s="268"/>
    </row>
    <row r="5177" spans="8:8">
      <c r="H5177" s="268"/>
    </row>
    <row r="5178" spans="8:8">
      <c r="H5178" s="268"/>
    </row>
    <row r="5179" spans="8:8">
      <c r="H5179" s="268"/>
    </row>
    <row r="5180" spans="8:8">
      <c r="H5180" s="268"/>
    </row>
    <row r="5181" spans="8:8">
      <c r="H5181" s="268"/>
    </row>
    <row r="5182" spans="8:8">
      <c r="H5182" s="268"/>
    </row>
    <row r="5183" spans="8:8">
      <c r="H5183" s="268"/>
    </row>
    <row r="5184" spans="8:8">
      <c r="H5184" s="268"/>
    </row>
    <row r="5185" spans="8:8">
      <c r="H5185" s="268"/>
    </row>
    <row r="5186" spans="8:8">
      <c r="H5186" s="268"/>
    </row>
    <row r="5187" spans="8:8">
      <c r="H5187" s="268"/>
    </row>
    <row r="5188" spans="8:8">
      <c r="H5188" s="268"/>
    </row>
    <row r="5189" spans="8:8">
      <c r="H5189" s="268"/>
    </row>
    <row r="5190" spans="8:8">
      <c r="H5190" s="268"/>
    </row>
    <row r="5191" spans="8:8">
      <c r="H5191" s="268"/>
    </row>
    <row r="5192" spans="8:8">
      <c r="H5192" s="268"/>
    </row>
    <row r="5193" spans="8:8">
      <c r="H5193" s="268"/>
    </row>
    <row r="5194" spans="8:8">
      <c r="H5194" s="268"/>
    </row>
    <row r="5195" spans="8:8">
      <c r="H5195" s="268"/>
    </row>
    <row r="5196" spans="8:8">
      <c r="H5196" s="268"/>
    </row>
    <row r="5197" spans="8:8">
      <c r="H5197" s="268"/>
    </row>
    <row r="5198" spans="8:8">
      <c r="H5198" s="268"/>
    </row>
    <row r="5199" spans="8:8">
      <c r="H5199" s="268"/>
    </row>
    <row r="5200" spans="8:8">
      <c r="H5200" s="268"/>
    </row>
    <row r="5201" spans="8:8">
      <c r="H5201" s="268"/>
    </row>
    <row r="5202" spans="8:8">
      <c r="H5202" s="268"/>
    </row>
    <row r="5203" spans="8:8">
      <c r="H5203" s="268"/>
    </row>
    <row r="5204" spans="8:8">
      <c r="H5204" s="268"/>
    </row>
    <row r="5205" spans="8:8">
      <c r="H5205" s="268"/>
    </row>
    <row r="5206" spans="8:8">
      <c r="H5206" s="268"/>
    </row>
    <row r="5207" spans="8:8">
      <c r="H5207" s="268"/>
    </row>
    <row r="5208" spans="8:8">
      <c r="H5208" s="268"/>
    </row>
    <row r="5209" spans="8:8">
      <c r="H5209" s="268"/>
    </row>
    <row r="5210" spans="8:8">
      <c r="H5210" s="268"/>
    </row>
    <row r="5211" spans="8:8">
      <c r="H5211" s="268"/>
    </row>
    <row r="5212" spans="8:8">
      <c r="H5212" s="268"/>
    </row>
    <row r="5213" spans="8:8">
      <c r="H5213" s="268"/>
    </row>
    <row r="5214" spans="8:8">
      <c r="H5214" s="268"/>
    </row>
    <row r="5215" spans="8:8">
      <c r="H5215" s="268"/>
    </row>
    <row r="5216" spans="8:8">
      <c r="H5216" s="268"/>
    </row>
    <row r="5217" spans="8:8">
      <c r="H5217" s="268"/>
    </row>
    <row r="5218" spans="8:8">
      <c r="H5218" s="268"/>
    </row>
    <row r="5219" spans="8:8">
      <c r="H5219" s="268"/>
    </row>
    <row r="5220" spans="8:8">
      <c r="H5220" s="268"/>
    </row>
    <row r="5221" spans="8:8">
      <c r="H5221" s="268"/>
    </row>
    <row r="5222" spans="8:8">
      <c r="H5222" s="268"/>
    </row>
    <row r="5223" spans="8:8">
      <c r="H5223" s="268"/>
    </row>
    <row r="5224" spans="8:8">
      <c r="H5224" s="268"/>
    </row>
    <row r="5225" spans="8:8">
      <c r="H5225" s="268"/>
    </row>
    <row r="5226" spans="8:8">
      <c r="H5226" s="268"/>
    </row>
    <row r="5227" spans="8:8">
      <c r="H5227" s="268"/>
    </row>
    <row r="5228" spans="8:8">
      <c r="H5228" s="268"/>
    </row>
    <row r="5229" spans="8:8">
      <c r="H5229" s="268"/>
    </row>
    <row r="5230" spans="8:8">
      <c r="H5230" s="268"/>
    </row>
    <row r="5231" spans="8:8">
      <c r="H5231" s="268"/>
    </row>
    <row r="5232" spans="8:8">
      <c r="H5232" s="268"/>
    </row>
    <row r="5233" spans="8:8">
      <c r="H5233" s="268"/>
    </row>
    <row r="5234" spans="8:8">
      <c r="H5234" s="268"/>
    </row>
    <row r="5235" spans="8:8">
      <c r="H5235" s="268"/>
    </row>
    <row r="5236" spans="8:8">
      <c r="H5236" s="268"/>
    </row>
    <row r="5237" spans="8:8">
      <c r="H5237" s="268"/>
    </row>
    <row r="5238" spans="8:8">
      <c r="H5238" s="268"/>
    </row>
    <row r="5239" spans="8:8">
      <c r="H5239" s="268"/>
    </row>
    <row r="5240" spans="8:8">
      <c r="H5240" s="268"/>
    </row>
    <row r="5241" spans="8:8">
      <c r="H5241" s="268"/>
    </row>
    <row r="5242" spans="8:8">
      <c r="H5242" s="268"/>
    </row>
    <row r="5243" spans="8:8">
      <c r="H5243" s="268"/>
    </row>
    <row r="5244" spans="8:8">
      <c r="H5244" s="268"/>
    </row>
    <row r="5245" spans="8:8">
      <c r="H5245" s="268"/>
    </row>
    <row r="5246" spans="8:8">
      <c r="H5246" s="268"/>
    </row>
    <row r="5247" spans="8:8">
      <c r="H5247" s="268"/>
    </row>
    <row r="5248" spans="8:8">
      <c r="H5248" s="268"/>
    </row>
    <row r="5249" spans="8:8">
      <c r="H5249" s="268"/>
    </row>
    <row r="5250" spans="8:8">
      <c r="H5250" s="268"/>
    </row>
    <row r="5251" spans="8:8">
      <c r="H5251" s="268"/>
    </row>
    <row r="5252" spans="8:8">
      <c r="H5252" s="268"/>
    </row>
    <row r="5253" spans="8:8">
      <c r="H5253" s="268"/>
    </row>
    <row r="5254" spans="8:8">
      <c r="H5254" s="268"/>
    </row>
    <row r="5255" spans="8:8">
      <c r="H5255" s="268"/>
    </row>
    <row r="5256" spans="8:8">
      <c r="H5256" s="268"/>
    </row>
    <row r="5257" spans="8:8">
      <c r="H5257" s="268"/>
    </row>
    <row r="5258" spans="8:8">
      <c r="H5258" s="268"/>
    </row>
    <row r="5259" spans="8:8">
      <c r="H5259" s="268"/>
    </row>
    <row r="5260" spans="8:8">
      <c r="H5260" s="268"/>
    </row>
    <row r="5261" spans="8:8">
      <c r="H5261" s="268"/>
    </row>
    <row r="5262" spans="8:8">
      <c r="H5262" s="268"/>
    </row>
    <row r="5263" spans="8:8">
      <c r="H5263" s="268"/>
    </row>
    <row r="5264" spans="8:8">
      <c r="H5264" s="268"/>
    </row>
    <row r="5265" spans="8:8">
      <c r="H5265" s="268"/>
    </row>
    <row r="5266" spans="8:8">
      <c r="H5266" s="268"/>
    </row>
    <row r="5267" spans="8:8">
      <c r="H5267" s="268"/>
    </row>
    <row r="5268" spans="8:8">
      <c r="H5268" s="268"/>
    </row>
    <row r="5269" spans="8:8">
      <c r="H5269" s="268"/>
    </row>
    <row r="5270" spans="8:8">
      <c r="H5270" s="268"/>
    </row>
    <row r="5271" spans="8:8">
      <c r="H5271" s="268"/>
    </row>
    <row r="5272" spans="8:8">
      <c r="H5272" s="268"/>
    </row>
    <row r="5273" spans="8:8">
      <c r="H5273" s="268"/>
    </row>
    <row r="5274" spans="8:8">
      <c r="H5274" s="268"/>
    </row>
    <row r="5275" spans="8:8">
      <c r="H5275" s="268"/>
    </row>
    <row r="5276" spans="8:8">
      <c r="H5276" s="268"/>
    </row>
    <row r="5277" spans="8:8">
      <c r="H5277" s="268"/>
    </row>
    <row r="5278" spans="8:8">
      <c r="H5278" s="268"/>
    </row>
    <row r="5279" spans="8:8">
      <c r="H5279" s="268"/>
    </row>
    <row r="5280" spans="8:8">
      <c r="H5280" s="268"/>
    </row>
    <row r="5281" spans="8:8">
      <c r="H5281" s="268"/>
    </row>
    <row r="5282" spans="8:8">
      <c r="H5282" s="268"/>
    </row>
    <row r="5283" spans="8:8">
      <c r="H5283" s="268"/>
    </row>
    <row r="5284" spans="8:8">
      <c r="H5284" s="268"/>
    </row>
    <row r="5285" spans="8:8">
      <c r="H5285" s="268"/>
    </row>
    <row r="5286" spans="8:8">
      <c r="H5286" s="268"/>
    </row>
    <row r="5287" spans="8:8">
      <c r="H5287" s="268"/>
    </row>
    <row r="5288" spans="8:8">
      <c r="H5288" s="268"/>
    </row>
    <row r="5289" spans="8:8">
      <c r="H5289" s="268"/>
    </row>
    <row r="5290" spans="8:8">
      <c r="H5290" s="268"/>
    </row>
    <row r="5291" spans="8:8">
      <c r="H5291" s="268"/>
    </row>
    <row r="5292" spans="8:8">
      <c r="H5292" s="268"/>
    </row>
    <row r="5293" spans="8:8">
      <c r="H5293" s="268"/>
    </row>
    <row r="5294" spans="8:8">
      <c r="H5294" s="268"/>
    </row>
    <row r="5295" spans="8:8">
      <c r="H5295" s="268"/>
    </row>
    <row r="5296" spans="8:8">
      <c r="H5296" s="268"/>
    </row>
    <row r="5297" spans="8:8">
      <c r="H5297" s="268"/>
    </row>
    <row r="5298" spans="8:8">
      <c r="H5298" s="268"/>
    </row>
    <row r="5299" spans="8:8">
      <c r="H5299" s="268"/>
    </row>
    <row r="5300" spans="8:8">
      <c r="H5300" s="268"/>
    </row>
    <row r="5301" spans="8:8">
      <c r="H5301" s="268"/>
    </row>
    <row r="5302" spans="8:8">
      <c r="H5302" s="268"/>
    </row>
    <row r="5303" spans="8:8">
      <c r="H5303" s="268"/>
    </row>
    <row r="5304" spans="8:8">
      <c r="H5304" s="268"/>
    </row>
    <row r="5305" spans="8:8">
      <c r="H5305" s="268"/>
    </row>
    <row r="5306" spans="8:8">
      <c r="H5306" s="268"/>
    </row>
    <row r="5307" spans="8:8">
      <c r="H5307" s="268"/>
    </row>
    <row r="5308" spans="8:8">
      <c r="H5308" s="268"/>
    </row>
    <row r="5309" spans="8:8">
      <c r="H5309" s="268"/>
    </row>
    <row r="5310" spans="8:8">
      <c r="H5310" s="268"/>
    </row>
    <row r="5311" spans="8:8">
      <c r="H5311" s="268"/>
    </row>
    <row r="5312" spans="8:8">
      <c r="H5312" s="268"/>
    </row>
    <row r="5313" spans="8:8">
      <c r="H5313" s="268"/>
    </row>
    <row r="5314" spans="8:8">
      <c r="H5314" s="268"/>
    </row>
    <row r="5315" spans="8:8">
      <c r="H5315" s="268"/>
    </row>
    <row r="5316" spans="8:8">
      <c r="H5316" s="268"/>
    </row>
    <row r="5317" spans="8:8">
      <c r="H5317" s="268"/>
    </row>
    <row r="5318" spans="8:8">
      <c r="H5318" s="268"/>
    </row>
    <row r="5319" spans="8:8">
      <c r="H5319" s="268"/>
    </row>
    <row r="5320" spans="8:8">
      <c r="H5320" s="268"/>
    </row>
    <row r="5321" spans="8:8">
      <c r="H5321" s="268"/>
    </row>
    <row r="5322" spans="8:8">
      <c r="H5322" s="268"/>
    </row>
    <row r="5323" spans="8:8">
      <c r="H5323" s="268"/>
    </row>
    <row r="5324" spans="8:8">
      <c r="H5324" s="268"/>
    </row>
    <row r="5325" spans="8:8">
      <c r="H5325" s="268"/>
    </row>
    <row r="5326" spans="8:8">
      <c r="H5326" s="268"/>
    </row>
    <row r="5327" spans="8:8">
      <c r="H5327" s="268"/>
    </row>
    <row r="5328" spans="8:8">
      <c r="H5328" s="268"/>
    </row>
    <row r="5329" spans="8:8">
      <c r="H5329" s="268"/>
    </row>
    <row r="5330" spans="8:8">
      <c r="H5330" s="268"/>
    </row>
    <row r="5331" spans="8:8">
      <c r="H5331" s="268"/>
    </row>
    <row r="5332" spans="8:8">
      <c r="H5332" s="268"/>
    </row>
    <row r="5333" spans="8:8">
      <c r="H5333" s="268"/>
    </row>
    <row r="5334" spans="8:8">
      <c r="H5334" s="268"/>
    </row>
    <row r="5335" spans="8:8">
      <c r="H5335" s="268"/>
    </row>
    <row r="5336" spans="8:8">
      <c r="H5336" s="268"/>
    </row>
    <row r="5337" spans="8:8">
      <c r="H5337" s="268"/>
    </row>
    <row r="5338" spans="8:8">
      <c r="H5338" s="268"/>
    </row>
    <row r="5339" spans="8:8">
      <c r="H5339" s="268"/>
    </row>
    <row r="5340" spans="8:8">
      <c r="H5340" s="268"/>
    </row>
    <row r="5341" spans="8:8">
      <c r="H5341" s="268"/>
    </row>
    <row r="5342" spans="8:8">
      <c r="H5342" s="268"/>
    </row>
    <row r="5343" spans="8:8">
      <c r="H5343" s="268"/>
    </row>
    <row r="5344" spans="8:8">
      <c r="H5344" s="268"/>
    </row>
    <row r="5345" spans="8:8">
      <c r="H5345" s="268"/>
    </row>
    <row r="5346" spans="8:8">
      <c r="H5346" s="268"/>
    </row>
    <row r="5347" spans="8:8">
      <c r="H5347" s="268"/>
    </row>
    <row r="5348" spans="8:8">
      <c r="H5348" s="268"/>
    </row>
    <row r="5349" spans="8:8">
      <c r="H5349" s="268"/>
    </row>
    <row r="5350" spans="8:8">
      <c r="H5350" s="268"/>
    </row>
    <row r="5351" spans="8:8">
      <c r="H5351" s="268"/>
    </row>
    <row r="5352" spans="8:8">
      <c r="H5352" s="268"/>
    </row>
    <row r="5353" spans="8:8">
      <c r="H5353" s="268"/>
    </row>
    <row r="5354" spans="8:8">
      <c r="H5354" s="268"/>
    </row>
    <row r="5355" spans="8:8">
      <c r="H5355" s="268"/>
    </row>
    <row r="5356" spans="8:8">
      <c r="H5356" s="268"/>
    </row>
    <row r="5357" spans="8:8">
      <c r="H5357" s="268"/>
    </row>
    <row r="5358" spans="8:8">
      <c r="H5358" s="268"/>
    </row>
    <row r="5359" spans="8:8">
      <c r="H5359" s="268"/>
    </row>
    <row r="5360" spans="8:8">
      <c r="H5360" s="268"/>
    </row>
    <row r="5361" spans="8:8">
      <c r="H5361" s="268"/>
    </row>
    <row r="5362" spans="8:8">
      <c r="H5362" s="268"/>
    </row>
    <row r="5363" spans="8:8">
      <c r="H5363" s="268"/>
    </row>
    <row r="5364" spans="8:8">
      <c r="H5364" s="268"/>
    </row>
    <row r="5365" spans="8:8">
      <c r="H5365" s="268"/>
    </row>
    <row r="5366" spans="8:8">
      <c r="H5366" s="268"/>
    </row>
    <row r="5367" spans="8:8">
      <c r="H5367" s="268"/>
    </row>
    <row r="5368" spans="8:8">
      <c r="H5368" s="268"/>
    </row>
    <row r="5369" spans="8:8">
      <c r="H5369" s="268"/>
    </row>
    <row r="5370" spans="8:8">
      <c r="H5370" s="268"/>
    </row>
    <row r="5371" spans="8:8">
      <c r="H5371" s="268"/>
    </row>
    <row r="5372" spans="8:8">
      <c r="H5372" s="268"/>
    </row>
    <row r="5373" spans="8:8">
      <c r="H5373" s="268"/>
    </row>
    <row r="5374" spans="8:8">
      <c r="H5374" s="268"/>
    </row>
    <row r="5375" spans="8:8">
      <c r="H5375" s="268"/>
    </row>
    <row r="5376" spans="8:8">
      <c r="H5376" s="268"/>
    </row>
    <row r="5377" spans="8:8">
      <c r="H5377" s="268"/>
    </row>
    <row r="5378" spans="8:8">
      <c r="H5378" s="268"/>
    </row>
    <row r="5379" spans="8:8">
      <c r="H5379" s="268"/>
    </row>
    <row r="5380" spans="8:8">
      <c r="H5380" s="268"/>
    </row>
    <row r="5381" spans="8:8">
      <c r="H5381" s="268"/>
    </row>
    <row r="5382" spans="8:8">
      <c r="H5382" s="268"/>
    </row>
    <row r="5383" spans="8:8">
      <c r="H5383" s="268"/>
    </row>
    <row r="5384" spans="8:8">
      <c r="H5384" s="268"/>
    </row>
    <row r="5385" spans="8:8">
      <c r="H5385" s="268"/>
    </row>
    <row r="5386" spans="8:8">
      <c r="H5386" s="268"/>
    </row>
    <row r="5387" spans="8:8">
      <c r="H5387" s="268"/>
    </row>
    <row r="5388" spans="8:8">
      <c r="H5388" s="268"/>
    </row>
    <row r="5389" spans="8:8">
      <c r="H5389" s="268"/>
    </row>
    <row r="5390" spans="8:8">
      <c r="H5390" s="268"/>
    </row>
    <row r="5391" spans="8:8">
      <c r="H5391" s="268"/>
    </row>
    <row r="5392" spans="8:8">
      <c r="H5392" s="268"/>
    </row>
    <row r="5393" spans="8:8">
      <c r="H5393" s="268"/>
    </row>
    <row r="5394" spans="8:8">
      <c r="H5394" s="268"/>
    </row>
    <row r="5395" spans="8:8">
      <c r="H5395" s="268"/>
    </row>
    <row r="5396" spans="8:8">
      <c r="H5396" s="268"/>
    </row>
    <row r="5397" spans="8:8">
      <c r="H5397" s="268"/>
    </row>
    <row r="5398" spans="8:8">
      <c r="H5398" s="268"/>
    </row>
    <row r="5399" spans="8:8">
      <c r="H5399" s="268"/>
    </row>
    <row r="5400" spans="8:8">
      <c r="H5400" s="268"/>
    </row>
    <row r="5401" spans="8:8">
      <c r="H5401" s="268"/>
    </row>
    <row r="5402" spans="8:8">
      <c r="H5402" s="268"/>
    </row>
    <row r="5403" spans="8:8">
      <c r="H5403" s="268"/>
    </row>
    <row r="5404" spans="8:8">
      <c r="H5404" s="268"/>
    </row>
    <row r="5405" spans="8:8">
      <c r="H5405" s="268"/>
    </row>
    <row r="5406" spans="8:8">
      <c r="H5406" s="268"/>
    </row>
    <row r="5407" spans="8:8">
      <c r="H5407" s="268"/>
    </row>
    <row r="5408" spans="8:8">
      <c r="H5408" s="268"/>
    </row>
    <row r="5409" spans="8:8">
      <c r="H5409" s="268"/>
    </row>
    <row r="5410" spans="8:8">
      <c r="H5410" s="268"/>
    </row>
    <row r="5411" spans="8:8">
      <c r="H5411" s="268"/>
    </row>
    <row r="5412" spans="8:8">
      <c r="H5412" s="268"/>
    </row>
    <row r="5413" spans="8:8">
      <c r="H5413" s="268"/>
    </row>
    <row r="5414" spans="8:8">
      <c r="H5414" s="268"/>
    </row>
    <row r="5415" spans="8:8">
      <c r="H5415" s="268"/>
    </row>
    <row r="5416" spans="8:8">
      <c r="H5416" s="268"/>
    </row>
    <row r="5417" spans="8:8">
      <c r="H5417" s="268"/>
    </row>
    <row r="5418" spans="8:8">
      <c r="H5418" s="268"/>
    </row>
    <row r="5419" spans="8:8">
      <c r="H5419" s="268"/>
    </row>
    <row r="5420" spans="8:8">
      <c r="H5420" s="268"/>
    </row>
    <row r="5421" spans="8:8">
      <c r="H5421" s="268"/>
    </row>
    <row r="5422" spans="8:8">
      <c r="H5422" s="268"/>
    </row>
    <row r="5423" spans="8:8">
      <c r="H5423" s="268"/>
    </row>
    <row r="5424" spans="8:8">
      <c r="H5424" s="268"/>
    </row>
    <row r="5425" spans="8:8">
      <c r="H5425" s="268"/>
    </row>
    <row r="5426" spans="8:8">
      <c r="H5426" s="268"/>
    </row>
    <row r="5427" spans="8:8">
      <c r="H5427" s="268"/>
    </row>
    <row r="5428" spans="8:8">
      <c r="H5428" s="268"/>
    </row>
    <row r="5429" spans="8:8">
      <c r="H5429" s="268"/>
    </row>
    <row r="5430" spans="8:8">
      <c r="H5430" s="268"/>
    </row>
    <row r="5431" spans="8:8">
      <c r="H5431" s="268"/>
    </row>
    <row r="5432" spans="8:8">
      <c r="H5432" s="268"/>
    </row>
    <row r="5433" spans="8:8">
      <c r="H5433" s="268"/>
    </row>
    <row r="5434" spans="8:8">
      <c r="H5434" s="268"/>
    </row>
    <row r="5435" spans="8:8">
      <c r="H5435" s="268"/>
    </row>
    <row r="5436" spans="8:8">
      <c r="H5436" s="268"/>
    </row>
    <row r="5437" spans="8:8">
      <c r="H5437" s="268"/>
    </row>
    <row r="5438" spans="8:8">
      <c r="H5438" s="268"/>
    </row>
    <row r="5439" spans="8:8">
      <c r="H5439" s="268"/>
    </row>
    <row r="5440" spans="8:8">
      <c r="H5440" s="268"/>
    </row>
    <row r="5441" spans="8:8">
      <c r="H5441" s="268"/>
    </row>
    <row r="5442" spans="8:8">
      <c r="H5442" s="268"/>
    </row>
    <row r="5443" spans="8:8">
      <c r="H5443" s="268"/>
    </row>
    <row r="5444" spans="8:8">
      <c r="H5444" s="268"/>
    </row>
    <row r="5445" spans="8:8">
      <c r="H5445" s="268"/>
    </row>
    <row r="5446" spans="8:8">
      <c r="H5446" s="268"/>
    </row>
    <row r="5447" spans="8:8">
      <c r="H5447" s="268"/>
    </row>
    <row r="5448" spans="8:8">
      <c r="H5448" s="268"/>
    </row>
    <row r="5449" spans="8:8">
      <c r="H5449" s="268"/>
    </row>
    <row r="5450" spans="8:8">
      <c r="H5450" s="268"/>
    </row>
    <row r="5451" spans="8:8">
      <c r="H5451" s="268"/>
    </row>
    <row r="5452" spans="8:8">
      <c r="H5452" s="268"/>
    </row>
    <row r="5453" spans="8:8">
      <c r="H5453" s="268"/>
    </row>
    <row r="5454" spans="8:8">
      <c r="H5454" s="268"/>
    </row>
    <row r="5455" spans="8:8">
      <c r="H5455" s="268"/>
    </row>
    <row r="5456" spans="8:8">
      <c r="H5456" s="268"/>
    </row>
    <row r="5457" spans="8:8">
      <c r="H5457" s="268"/>
    </row>
    <row r="5458" spans="8:8">
      <c r="H5458" s="268"/>
    </row>
    <row r="5459" spans="8:8">
      <c r="H5459" s="268"/>
    </row>
    <row r="5460" spans="8:8">
      <c r="H5460" s="268"/>
    </row>
    <row r="5461" spans="8:8">
      <c r="H5461" s="268"/>
    </row>
    <row r="5462" spans="8:8">
      <c r="H5462" s="268"/>
    </row>
    <row r="5463" spans="8:8">
      <c r="H5463" s="268"/>
    </row>
    <row r="5464" spans="8:8">
      <c r="H5464" s="268"/>
    </row>
    <row r="5465" spans="8:8">
      <c r="H5465" s="268"/>
    </row>
    <row r="5466" spans="8:8">
      <c r="H5466" s="268"/>
    </row>
    <row r="5467" spans="8:8">
      <c r="H5467" s="268"/>
    </row>
    <row r="5468" spans="8:8">
      <c r="H5468" s="268"/>
    </row>
    <row r="5469" spans="8:8">
      <c r="H5469" s="268"/>
    </row>
    <row r="5470" spans="8:8">
      <c r="H5470" s="268"/>
    </row>
    <row r="5471" spans="8:8">
      <c r="H5471" s="268"/>
    </row>
    <row r="5472" spans="8:8">
      <c r="H5472" s="268"/>
    </row>
    <row r="5473" spans="8:8">
      <c r="H5473" s="268"/>
    </row>
    <row r="5474" spans="8:8">
      <c r="H5474" s="268"/>
    </row>
  </sheetData>
  <mergeCells count="10">
    <mergeCell ref="P850:Q850"/>
    <mergeCell ref="P835:Q835"/>
    <mergeCell ref="O280:P280"/>
    <mergeCell ref="P867:Q867"/>
    <mergeCell ref="M778:R778"/>
    <mergeCell ref="P787:Q787"/>
    <mergeCell ref="M809:R809"/>
    <mergeCell ref="P813:Q813"/>
    <mergeCell ref="M827:R827"/>
    <mergeCell ref="M779:R779"/>
  </mergeCells>
  <phoneticPr fontId="0" type="noConversion"/>
  <printOptions horizontalCentered="1"/>
  <pageMargins left="0.55118110236220497" right="0.511811023622047" top="0.63" bottom="0.59055118110236204" header="0.31496062992126" footer="0.23622047244094499"/>
  <pageSetup paperSize="9" scale="85" orientation="portrait" r:id="rId1"/>
  <headerFooter alignWithMargins="0">
    <oddHeader>Page &amp;P</oddHead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04"/>
  <sheetViews>
    <sheetView topLeftCell="A522" zoomScaleSheetLayoutView="90" workbookViewId="0">
      <selection activeCell="F595" sqref="F595"/>
    </sheetView>
  </sheetViews>
  <sheetFormatPr defaultRowHeight="15.75"/>
  <cols>
    <col min="1" max="1" width="9" bestFit="1" customWidth="1"/>
    <col min="2" max="2" width="7.5546875" customWidth="1"/>
    <col min="3" max="3" width="44.5546875" customWidth="1"/>
    <col min="4" max="4" width="10.6640625" customWidth="1"/>
    <col min="5" max="5" width="14.109375" customWidth="1"/>
    <col min="6" max="6" width="12.33203125" customWidth="1"/>
    <col min="7" max="7" width="6.5546875" customWidth="1"/>
    <col min="10" max="10" width="8.88671875" customWidth="1"/>
  </cols>
  <sheetData>
    <row r="1" spans="1:6">
      <c r="C1" s="10" t="s">
        <v>1733</v>
      </c>
    </row>
    <row r="2" spans="1:6">
      <c r="C2" s="12" t="s">
        <v>3901</v>
      </c>
    </row>
    <row r="5" spans="1:6">
      <c r="A5" s="18">
        <v>2.2800000000000001E-2</v>
      </c>
      <c r="B5" s="13" t="s">
        <v>866</v>
      </c>
      <c r="C5" s="13" t="s">
        <v>3114</v>
      </c>
      <c r="D5" s="13">
        <f>[11]Data!I2634</f>
        <v>121800</v>
      </c>
      <c r="E5" s="16" t="s">
        <v>866</v>
      </c>
      <c r="F5" s="13">
        <f>D5*A5</f>
        <v>2777.04</v>
      </c>
    </row>
    <row r="6" spans="1:6">
      <c r="A6" s="18">
        <v>3.5400000000000001E-2</v>
      </c>
      <c r="B6" s="13" t="s">
        <v>866</v>
      </c>
      <c r="C6" s="13" t="s">
        <v>2478</v>
      </c>
      <c r="D6" s="13">
        <f>[11]Data!I2635</f>
        <v>108400</v>
      </c>
      <c r="E6" s="16" t="s">
        <v>866</v>
      </c>
      <c r="F6" s="13">
        <f t="shared" ref="F6:F15" si="0">D6*A6</f>
        <v>3837.36</v>
      </c>
    </row>
    <row r="7" spans="1:6">
      <c r="A7" s="19">
        <v>3.2300000000000002E-2</v>
      </c>
      <c r="B7" s="13" t="s">
        <v>866</v>
      </c>
      <c r="C7" t="s">
        <v>3936</v>
      </c>
      <c r="D7" s="13">
        <f>[11]Data!I2636</f>
        <v>116700</v>
      </c>
      <c r="E7" s="16" t="s">
        <v>866</v>
      </c>
      <c r="F7" s="13">
        <f t="shared" si="0"/>
        <v>3769.41</v>
      </c>
    </row>
    <row r="8" spans="1:6">
      <c r="A8" s="17">
        <v>2.835</v>
      </c>
      <c r="B8" s="13" t="s">
        <v>606</v>
      </c>
      <c r="C8" s="13" t="s">
        <v>880</v>
      </c>
      <c r="D8" s="13">
        <v>843</v>
      </c>
      <c r="E8" s="16" t="s">
        <v>606</v>
      </c>
      <c r="F8" s="13">
        <f t="shared" si="0"/>
        <v>2389.91</v>
      </c>
    </row>
    <row r="9" spans="1:6">
      <c r="A9" s="13">
        <v>2</v>
      </c>
      <c r="B9" s="13" t="s">
        <v>1865</v>
      </c>
      <c r="C9" t="s">
        <v>3726</v>
      </c>
      <c r="D9" s="52">
        <v>450</v>
      </c>
      <c r="E9" s="16" t="s">
        <v>1393</v>
      </c>
      <c r="F9" s="13">
        <f t="shared" si="0"/>
        <v>900</v>
      </c>
    </row>
    <row r="10" spans="1:6">
      <c r="A10" s="13">
        <v>6</v>
      </c>
      <c r="B10" s="13" t="s">
        <v>1865</v>
      </c>
      <c r="C10" t="s">
        <v>3727</v>
      </c>
      <c r="D10" s="52">
        <v>79</v>
      </c>
      <c r="E10" s="16" t="s">
        <v>1393</v>
      </c>
      <c r="F10" s="13">
        <f t="shared" si="0"/>
        <v>474</v>
      </c>
    </row>
    <row r="11" spans="1:6">
      <c r="A11" s="13">
        <v>4</v>
      </c>
      <c r="B11" s="13" t="s">
        <v>1865</v>
      </c>
      <c r="C11" t="s">
        <v>3728</v>
      </c>
      <c r="D11" s="52">
        <v>130</v>
      </c>
      <c r="E11" s="16" t="s">
        <v>1393</v>
      </c>
      <c r="F11" s="13">
        <f t="shared" si="0"/>
        <v>520</v>
      </c>
    </row>
    <row r="12" spans="1:6">
      <c r="A12" s="13">
        <v>1</v>
      </c>
      <c r="B12" s="13" t="s">
        <v>1865</v>
      </c>
      <c r="C12" t="s">
        <v>3729</v>
      </c>
      <c r="D12" s="52">
        <v>985</v>
      </c>
      <c r="E12" s="16" t="s">
        <v>1393</v>
      </c>
      <c r="F12" s="13">
        <f t="shared" si="0"/>
        <v>985</v>
      </c>
    </row>
    <row r="13" spans="1:6">
      <c r="A13" s="13">
        <v>2</v>
      </c>
      <c r="B13" s="13" t="s">
        <v>1865</v>
      </c>
      <c r="C13" t="s">
        <v>3721</v>
      </c>
      <c r="D13" s="52">
        <v>24.6</v>
      </c>
      <c r="E13" s="16" t="s">
        <v>1393</v>
      </c>
      <c r="F13" s="13">
        <f t="shared" si="0"/>
        <v>49.2</v>
      </c>
    </row>
    <row r="14" spans="1:6">
      <c r="A14" s="13">
        <v>2</v>
      </c>
      <c r="B14" s="13" t="s">
        <v>1865</v>
      </c>
      <c r="C14" s="13" t="s">
        <v>1973</v>
      </c>
      <c r="D14" s="13">
        <v>51.3</v>
      </c>
      <c r="E14" s="16" t="s">
        <v>1393</v>
      </c>
      <c r="F14" s="13">
        <f t="shared" si="0"/>
        <v>102.6</v>
      </c>
    </row>
    <row r="15" spans="1:6">
      <c r="A15">
        <v>118</v>
      </c>
      <c r="B15" s="11"/>
      <c r="C15" t="s">
        <v>1137</v>
      </c>
      <c r="D15" s="13">
        <v>2.4500000000000002</v>
      </c>
      <c r="E15" s="16"/>
      <c r="F15" s="13">
        <f t="shared" si="0"/>
        <v>289.10000000000002</v>
      </c>
    </row>
    <row r="16" spans="1:6">
      <c r="E16" s="16"/>
      <c r="F16" s="11">
        <f>SUM(F5:F15)</f>
        <v>16093.62</v>
      </c>
    </row>
    <row r="17" spans="1:7">
      <c r="A17" s="13"/>
      <c r="B17" s="11"/>
      <c r="C17" s="11"/>
      <c r="D17" s="13"/>
      <c r="E17" s="16"/>
      <c r="F17" s="15" t="s">
        <v>146</v>
      </c>
    </row>
    <row r="18" spans="1:7">
      <c r="A18" s="13"/>
      <c r="B18" s="11"/>
      <c r="C18" s="11" t="s">
        <v>2073</v>
      </c>
      <c r="D18" s="13"/>
      <c r="E18" s="16"/>
      <c r="F18" s="11">
        <f>F16/2.835</f>
        <v>5676.76</v>
      </c>
    </row>
    <row r="19" spans="1:7">
      <c r="A19" s="13"/>
      <c r="B19" s="11"/>
      <c r="E19" s="1"/>
      <c r="F19" s="14" t="s">
        <v>146</v>
      </c>
    </row>
    <row r="20" spans="1:7">
      <c r="E20" s="1"/>
    </row>
    <row r="21" spans="1:7" ht="16.5">
      <c r="A21" s="1252" t="s">
        <v>3902</v>
      </c>
      <c r="B21" s="1252"/>
      <c r="C21" s="1252"/>
      <c r="D21" s="50"/>
      <c r="E21" s="56"/>
      <c r="F21" s="50"/>
      <c r="G21" s="57"/>
    </row>
    <row r="22" spans="1:7" ht="16.5">
      <c r="A22" s="1252"/>
      <c r="B22" s="1252"/>
      <c r="C22" s="1252"/>
      <c r="D22" s="1254"/>
      <c r="E22" s="1254"/>
      <c r="F22" s="1254"/>
      <c r="G22" s="1254"/>
    </row>
    <row r="23" spans="1:7" ht="16.5">
      <c r="A23" s="58">
        <v>11.61</v>
      </c>
      <c r="B23" s="50" t="s">
        <v>909</v>
      </c>
      <c r="C23" s="59" t="s">
        <v>1846</v>
      </c>
      <c r="D23" s="50">
        <f>DATA!V1352</f>
        <v>325</v>
      </c>
      <c r="E23" s="50" t="s">
        <v>909</v>
      </c>
      <c r="F23" s="50">
        <f>D23*A23</f>
        <v>3773.25</v>
      </c>
      <c r="G23" s="57"/>
    </row>
    <row r="24" spans="1:7" ht="16.5">
      <c r="A24" s="58">
        <v>7.8</v>
      </c>
      <c r="B24" s="50" t="s">
        <v>823</v>
      </c>
      <c r="C24" s="59" t="s">
        <v>3903</v>
      </c>
      <c r="D24" s="50">
        <f>DATA!V1357</f>
        <v>29.05</v>
      </c>
      <c r="E24" s="50" t="s">
        <v>823</v>
      </c>
      <c r="F24" s="50">
        <f t="shared" ref="F24:F29" si="1">D24*A24</f>
        <v>226.59</v>
      </c>
      <c r="G24" s="57"/>
    </row>
    <row r="25" spans="1:7" ht="16.5">
      <c r="A25" s="58">
        <v>1.62</v>
      </c>
      <c r="B25" s="50" t="s">
        <v>230</v>
      </c>
      <c r="C25" s="59" t="s">
        <v>3904</v>
      </c>
      <c r="D25" s="50">
        <f>DATA!P1395</f>
        <v>306.89999999999998</v>
      </c>
      <c r="E25" s="50" t="s">
        <v>230</v>
      </c>
      <c r="F25" s="50">
        <f t="shared" si="1"/>
        <v>497.18</v>
      </c>
      <c r="G25" s="57"/>
    </row>
    <row r="26" spans="1:7" ht="16.5">
      <c r="A26" s="58">
        <v>2</v>
      </c>
      <c r="B26" s="50" t="s">
        <v>766</v>
      </c>
      <c r="C26" s="59" t="s">
        <v>3905</v>
      </c>
      <c r="D26" s="50">
        <f>DATA!P1398</f>
        <v>57.65</v>
      </c>
      <c r="E26" s="50" t="s">
        <v>766</v>
      </c>
      <c r="F26" s="50">
        <f t="shared" si="1"/>
        <v>115.3</v>
      </c>
      <c r="G26" s="57"/>
    </row>
    <row r="27" spans="1:7" ht="16.5">
      <c r="A27" s="58">
        <v>2</v>
      </c>
      <c r="B27" s="50" t="s">
        <v>766</v>
      </c>
      <c r="C27" s="59" t="s">
        <v>3906</v>
      </c>
      <c r="D27" s="50">
        <v>350</v>
      </c>
      <c r="E27" s="50" t="s">
        <v>766</v>
      </c>
      <c r="F27" s="50">
        <f t="shared" si="1"/>
        <v>700</v>
      </c>
      <c r="G27" s="57"/>
    </row>
    <row r="28" spans="1:7" ht="16.5">
      <c r="A28" s="58">
        <v>4</v>
      </c>
      <c r="B28" s="50" t="s">
        <v>766</v>
      </c>
      <c r="C28" s="59" t="s">
        <v>3907</v>
      </c>
      <c r="D28" s="50">
        <f>DATA!P1401</f>
        <v>15</v>
      </c>
      <c r="E28" s="50" t="s">
        <v>766</v>
      </c>
      <c r="F28" s="50">
        <f t="shared" si="1"/>
        <v>60</v>
      </c>
      <c r="G28" s="57"/>
    </row>
    <row r="29" spans="1:7" ht="16.5">
      <c r="A29" s="58">
        <v>1.62</v>
      </c>
      <c r="B29" s="50" t="s">
        <v>2273</v>
      </c>
      <c r="C29" s="59" t="s">
        <v>3908</v>
      </c>
      <c r="D29" s="50">
        <f>D42</f>
        <v>1998</v>
      </c>
      <c r="E29" s="50" t="s">
        <v>2273</v>
      </c>
      <c r="F29" s="50">
        <f t="shared" si="1"/>
        <v>3236.76</v>
      </c>
      <c r="G29" s="57"/>
    </row>
    <row r="30" spans="1:7" ht="16.5">
      <c r="A30" s="50"/>
      <c r="B30" s="50"/>
      <c r="C30" s="59" t="s">
        <v>2261</v>
      </c>
      <c r="D30" s="50"/>
      <c r="E30" s="56"/>
      <c r="F30" s="50"/>
      <c r="G30" s="57"/>
    </row>
    <row r="31" spans="1:7" ht="16.5">
      <c r="A31" s="50"/>
      <c r="B31" s="50"/>
      <c r="C31" s="60" t="s">
        <v>3827</v>
      </c>
      <c r="D31" s="50"/>
      <c r="E31" s="50"/>
      <c r="F31" s="61">
        <f>SUM(F23:F30)</f>
        <v>8609.08</v>
      </c>
      <c r="G31" s="61" t="s">
        <v>1393</v>
      </c>
    </row>
    <row r="32" spans="1:7" ht="16.5">
      <c r="A32" s="50"/>
      <c r="B32" s="50"/>
      <c r="C32" s="11" t="s">
        <v>3909</v>
      </c>
      <c r="D32" s="50"/>
      <c r="E32" s="50"/>
      <c r="F32" s="11">
        <f>F31/A29</f>
        <v>5314.25</v>
      </c>
      <c r="G32" s="50" t="s">
        <v>2273</v>
      </c>
    </row>
    <row r="33" spans="1:11" ht="16.5">
      <c r="A33" s="61"/>
      <c r="B33" s="61"/>
      <c r="C33" s="62"/>
      <c r="D33" s="61"/>
      <c r="E33" s="61"/>
      <c r="F33" s="61"/>
      <c r="G33" s="50"/>
    </row>
    <row r="34" spans="1:11" ht="16.5">
      <c r="A34" s="50"/>
      <c r="B34" s="50"/>
      <c r="C34" s="55" t="s">
        <v>3910</v>
      </c>
      <c r="D34" s="55"/>
      <c r="E34" s="55"/>
      <c r="F34" s="55"/>
      <c r="G34" s="50"/>
    </row>
    <row r="35" spans="1:11" ht="16.5">
      <c r="A35" s="58"/>
      <c r="B35" s="50"/>
      <c r="C35" s="55" t="s">
        <v>3911</v>
      </c>
      <c r="D35" s="50"/>
      <c r="E35" s="50"/>
      <c r="F35" s="50"/>
      <c r="G35" s="50"/>
    </row>
    <row r="36" spans="1:11" ht="16.5">
      <c r="A36" s="58">
        <v>12.08</v>
      </c>
      <c r="B36" s="50" t="s">
        <v>909</v>
      </c>
      <c r="C36" s="59" t="s">
        <v>1846</v>
      </c>
      <c r="D36" s="50">
        <f t="shared" ref="D36:D41" si="2">D23</f>
        <v>325</v>
      </c>
      <c r="E36" s="50" t="s">
        <v>909</v>
      </c>
      <c r="F36" s="50">
        <f>D36*A36</f>
        <v>3926</v>
      </c>
      <c r="G36" s="50"/>
      <c r="I36">
        <f>DATA!I4007</f>
        <v>306.89999999999998</v>
      </c>
      <c r="J36" s="5">
        <f>DATA!F4007</f>
        <v>1.823</v>
      </c>
      <c r="K36">
        <f>DATA!K4007</f>
        <v>559.48</v>
      </c>
    </row>
    <row r="37" spans="1:11" ht="16.5">
      <c r="A37" s="58">
        <v>8.1</v>
      </c>
      <c r="B37" s="50" t="s">
        <v>230</v>
      </c>
      <c r="C37" s="59" t="s">
        <v>3903</v>
      </c>
      <c r="D37" s="50">
        <f t="shared" si="2"/>
        <v>29.05</v>
      </c>
      <c r="E37" s="50" t="s">
        <v>230</v>
      </c>
      <c r="F37" s="50">
        <f t="shared" ref="F37:F42" si="3">D37*A37</f>
        <v>235.31</v>
      </c>
      <c r="G37" s="50"/>
      <c r="I37">
        <f>DATA!I4008</f>
        <v>29.05</v>
      </c>
      <c r="J37" s="5">
        <f>DATA!F4008</f>
        <v>8.1</v>
      </c>
    </row>
    <row r="38" spans="1:11" ht="16.5">
      <c r="A38" s="58">
        <v>1.823</v>
      </c>
      <c r="B38" s="50" t="s">
        <v>823</v>
      </c>
      <c r="C38" s="59" t="s">
        <v>3904</v>
      </c>
      <c r="D38" s="50">
        <f t="shared" si="2"/>
        <v>306.89999999999998</v>
      </c>
      <c r="E38" s="50" t="s">
        <v>823</v>
      </c>
      <c r="F38" s="50">
        <f t="shared" si="3"/>
        <v>559.48</v>
      </c>
      <c r="G38" s="50"/>
      <c r="I38">
        <f>DATA!I4009</f>
        <v>350</v>
      </c>
      <c r="J38" s="5">
        <f>DATA!F4009</f>
        <v>2</v>
      </c>
    </row>
    <row r="39" spans="1:11" ht="16.5">
      <c r="A39" s="58">
        <v>2</v>
      </c>
      <c r="B39" s="50" t="s">
        <v>3912</v>
      </c>
      <c r="C39" s="59" t="s">
        <v>3905</v>
      </c>
      <c r="D39" s="50">
        <f t="shared" si="2"/>
        <v>57.65</v>
      </c>
      <c r="E39" s="50" t="s">
        <v>766</v>
      </c>
      <c r="F39" s="50">
        <f t="shared" si="3"/>
        <v>115.3</v>
      </c>
      <c r="G39" s="50"/>
      <c r="I39">
        <f>DATA!I4010</f>
        <v>57.65</v>
      </c>
      <c r="J39" s="5">
        <f>DATA!F4010</f>
        <v>2</v>
      </c>
    </row>
    <row r="40" spans="1:11" ht="16.5">
      <c r="A40" s="58">
        <v>2</v>
      </c>
      <c r="B40" s="50" t="s">
        <v>766</v>
      </c>
      <c r="C40" s="59" t="s">
        <v>3906</v>
      </c>
      <c r="D40" s="50">
        <f t="shared" si="2"/>
        <v>350</v>
      </c>
      <c r="E40" s="50" t="s">
        <v>766</v>
      </c>
      <c r="F40" s="50">
        <f t="shared" si="3"/>
        <v>700</v>
      </c>
      <c r="G40" s="50"/>
      <c r="I40">
        <f>DATA!I4011</f>
        <v>15</v>
      </c>
      <c r="J40" s="5">
        <f>DATA!F4011</f>
        <v>4</v>
      </c>
    </row>
    <row r="41" spans="1:11" ht="16.5">
      <c r="A41" s="58">
        <v>4</v>
      </c>
      <c r="B41" s="50" t="s">
        <v>766</v>
      </c>
      <c r="C41" s="59" t="s">
        <v>3907</v>
      </c>
      <c r="D41" s="50">
        <f t="shared" si="2"/>
        <v>15</v>
      </c>
      <c r="E41" s="50" t="s">
        <v>766</v>
      </c>
      <c r="F41" s="50">
        <f t="shared" si="3"/>
        <v>60</v>
      </c>
      <c r="G41" s="50"/>
      <c r="I41">
        <f>DATA!I4012</f>
        <v>1998</v>
      </c>
      <c r="J41" s="5">
        <f>DATA!F4012</f>
        <v>1.823</v>
      </c>
    </row>
    <row r="42" spans="1:11" ht="16.5">
      <c r="A42" s="58">
        <v>1.823</v>
      </c>
      <c r="B42" s="50" t="s">
        <v>2273</v>
      </c>
      <c r="C42" s="59" t="s">
        <v>3908</v>
      </c>
      <c r="D42" s="50">
        <f>F52</f>
        <v>1998</v>
      </c>
      <c r="E42" s="50" t="s">
        <v>2273</v>
      </c>
      <c r="F42" s="50">
        <f t="shared" si="3"/>
        <v>3642.35</v>
      </c>
      <c r="G42" s="50"/>
      <c r="I42">
        <f>DATA!I4013</f>
        <v>0</v>
      </c>
      <c r="J42" s="5">
        <f>DATA!F4013</f>
        <v>0</v>
      </c>
    </row>
    <row r="43" spans="1:11" ht="16.5">
      <c r="A43" s="58"/>
      <c r="B43" s="50"/>
      <c r="C43" s="59" t="s">
        <v>2261</v>
      </c>
      <c r="D43" s="50"/>
      <c r="E43" s="56"/>
      <c r="F43" s="50"/>
      <c r="G43" s="50"/>
    </row>
    <row r="44" spans="1:11" ht="16.5">
      <c r="A44" s="50"/>
      <c r="B44" s="50"/>
      <c r="C44" s="59"/>
      <c r="D44" s="50"/>
      <c r="E44" s="56"/>
      <c r="F44" s="50"/>
      <c r="G44" s="50"/>
    </row>
    <row r="45" spans="1:11" ht="16.5">
      <c r="A45" s="50"/>
      <c r="B45" s="50"/>
      <c r="C45" s="63" t="s">
        <v>3827</v>
      </c>
      <c r="D45" s="50"/>
      <c r="E45" s="50"/>
      <c r="F45" s="50">
        <f>SUM(F36:F44)</f>
        <v>9238.44</v>
      </c>
      <c r="G45" s="50" t="s">
        <v>1393</v>
      </c>
    </row>
    <row r="46" spans="1:11" ht="19.5">
      <c r="A46" s="50"/>
      <c r="B46" s="50"/>
      <c r="C46" s="11" t="s">
        <v>3913</v>
      </c>
      <c r="D46" s="61"/>
      <c r="E46" s="61"/>
      <c r="F46" s="36">
        <f>F45/A42</f>
        <v>5067.71</v>
      </c>
      <c r="G46" s="61" t="s">
        <v>2273</v>
      </c>
    </row>
    <row r="47" spans="1:11" ht="16.5">
      <c r="A47" s="50"/>
      <c r="B47" s="50"/>
      <c r="C47" s="63"/>
      <c r="D47" s="50"/>
      <c r="E47" s="50"/>
      <c r="F47" s="50"/>
      <c r="G47" s="50"/>
    </row>
    <row r="48" spans="1:11" ht="16.5">
      <c r="A48" s="50">
        <v>1</v>
      </c>
      <c r="B48" s="50" t="s">
        <v>865</v>
      </c>
      <c r="C48" s="59" t="s">
        <v>3914</v>
      </c>
      <c r="D48" s="50">
        <f>DATA!AE17</f>
        <v>881</v>
      </c>
      <c r="E48" s="59" t="s">
        <v>865</v>
      </c>
      <c r="F48" s="50">
        <f>D48*A48</f>
        <v>881</v>
      </c>
      <c r="G48" s="50"/>
    </row>
    <row r="49" spans="1:7" ht="16.5">
      <c r="A49" s="50">
        <v>1</v>
      </c>
      <c r="B49" s="50" t="s">
        <v>865</v>
      </c>
      <c r="C49" s="59" t="s">
        <v>3915</v>
      </c>
      <c r="D49" s="50">
        <f>DATA!AE11</f>
        <v>651</v>
      </c>
      <c r="E49" s="59" t="s">
        <v>865</v>
      </c>
      <c r="F49" s="50">
        <f>D49*A49</f>
        <v>651</v>
      </c>
      <c r="G49" s="50"/>
    </row>
    <row r="50" spans="1:7" ht="16.5">
      <c r="A50" s="50">
        <v>0.5</v>
      </c>
      <c r="B50" s="50" t="s">
        <v>865</v>
      </c>
      <c r="C50" s="59" t="s">
        <v>3916</v>
      </c>
      <c r="D50" s="50">
        <f>DATA!AE20</f>
        <v>932</v>
      </c>
      <c r="E50" s="59" t="s">
        <v>865</v>
      </c>
      <c r="F50" s="50">
        <f>D50*A50</f>
        <v>466</v>
      </c>
      <c r="G50" s="50"/>
    </row>
    <row r="51" spans="1:7" ht="16.5">
      <c r="A51" s="50"/>
      <c r="B51" s="50"/>
      <c r="C51" s="50"/>
      <c r="D51" s="50"/>
      <c r="E51" s="59"/>
      <c r="F51" s="64" t="s">
        <v>1579</v>
      </c>
      <c r="G51" s="50"/>
    </row>
    <row r="52" spans="1:7" ht="16.5">
      <c r="A52" s="50"/>
      <c r="B52" s="50"/>
      <c r="C52" s="59" t="s">
        <v>3917</v>
      </c>
      <c r="D52" s="50"/>
      <c r="E52" s="59"/>
      <c r="F52" s="61">
        <f>SUM(F48:F51)</f>
        <v>1998</v>
      </c>
      <c r="G52" s="50"/>
    </row>
    <row r="53" spans="1:7" ht="16.5">
      <c r="A53" s="50"/>
      <c r="B53" s="50"/>
      <c r="C53" s="50"/>
      <c r="D53" s="50"/>
      <c r="E53" s="59"/>
      <c r="F53" s="64" t="s">
        <v>1579</v>
      </c>
      <c r="G53" s="50"/>
    </row>
    <row r="54" spans="1:7" ht="16.5">
      <c r="A54" s="61"/>
      <c r="B54" s="61"/>
      <c r="C54" s="62"/>
      <c r="D54" s="61"/>
      <c r="E54" s="61"/>
      <c r="F54" s="61"/>
      <c r="G54" s="50"/>
    </row>
    <row r="55" spans="1:7" ht="16.5">
      <c r="A55" s="50"/>
      <c r="B55" s="1252" t="s">
        <v>3918</v>
      </c>
      <c r="C55" s="1252"/>
      <c r="D55" s="1252"/>
      <c r="E55" s="1252"/>
      <c r="F55" s="1252"/>
      <c r="G55" s="50"/>
    </row>
    <row r="56" spans="1:7" ht="16.5">
      <c r="A56" s="58"/>
      <c r="B56" s="50"/>
      <c r="C56" s="55" t="s">
        <v>3919</v>
      </c>
      <c r="D56" s="50"/>
      <c r="E56" s="50"/>
      <c r="F56" s="50"/>
      <c r="G56" s="50"/>
    </row>
    <row r="57" spans="1:7" ht="16.5">
      <c r="A57" s="58"/>
      <c r="B57" s="50"/>
      <c r="C57" s="59"/>
      <c r="D57" s="50"/>
      <c r="E57" s="50"/>
      <c r="F57" s="50"/>
      <c r="G57" s="50"/>
    </row>
    <row r="58" spans="1:7" ht="16.5">
      <c r="A58" s="58"/>
      <c r="B58" s="50"/>
      <c r="C58" s="59"/>
      <c r="D58" s="50"/>
      <c r="E58" s="50"/>
      <c r="F58" s="50"/>
      <c r="G58" s="50"/>
    </row>
    <row r="59" spans="1:7" ht="16.5">
      <c r="A59" s="58">
        <v>17.510000000000002</v>
      </c>
      <c r="B59" s="50" t="s">
        <v>909</v>
      </c>
      <c r="C59" s="59" t="s">
        <v>3920</v>
      </c>
      <c r="D59" s="50">
        <f>D36</f>
        <v>325</v>
      </c>
      <c r="E59" s="50" t="s">
        <v>909</v>
      </c>
      <c r="F59" s="50">
        <f>D59*A59</f>
        <v>5690.75</v>
      </c>
      <c r="G59" s="50"/>
    </row>
    <row r="60" spans="1:7" ht="16.5">
      <c r="A60" s="58">
        <v>2.48</v>
      </c>
      <c r="B60" s="50" t="s">
        <v>230</v>
      </c>
      <c r="C60" s="59" t="s">
        <v>3904</v>
      </c>
      <c r="D60" s="50">
        <f>D38</f>
        <v>306.89999999999998</v>
      </c>
      <c r="E60" s="50" t="s">
        <v>230</v>
      </c>
      <c r="F60" s="50">
        <f t="shared" ref="F60:F65" si="4">D60*A60</f>
        <v>761.11</v>
      </c>
      <c r="G60" s="50"/>
    </row>
    <row r="61" spans="1:7" ht="16.5">
      <c r="A61" s="58">
        <v>14.7</v>
      </c>
      <c r="B61" s="50" t="s">
        <v>823</v>
      </c>
      <c r="C61" s="59" t="s">
        <v>4076</v>
      </c>
      <c r="D61" s="50">
        <v>27.1</v>
      </c>
      <c r="E61" s="50" t="s">
        <v>823</v>
      </c>
      <c r="F61" s="50">
        <f t="shared" si="4"/>
        <v>398.37</v>
      </c>
      <c r="G61" s="50"/>
    </row>
    <row r="62" spans="1:7" ht="16.5">
      <c r="A62" s="58">
        <v>3</v>
      </c>
      <c r="B62" s="50" t="s">
        <v>3912</v>
      </c>
      <c r="C62" s="59" t="s">
        <v>3906</v>
      </c>
      <c r="D62" s="50">
        <v>175</v>
      </c>
      <c r="E62" s="50" t="s">
        <v>766</v>
      </c>
      <c r="F62" s="50">
        <f t="shared" si="4"/>
        <v>525</v>
      </c>
      <c r="G62" s="50"/>
    </row>
    <row r="63" spans="1:7" ht="16.5">
      <c r="A63" s="58">
        <v>3</v>
      </c>
      <c r="B63" s="50" t="s">
        <v>766</v>
      </c>
      <c r="C63" s="59" t="s">
        <v>3905</v>
      </c>
      <c r="D63" s="50">
        <v>60</v>
      </c>
      <c r="E63" s="50" t="s">
        <v>766</v>
      </c>
      <c r="F63" s="50">
        <f t="shared" si="4"/>
        <v>180</v>
      </c>
      <c r="G63" s="50"/>
    </row>
    <row r="64" spans="1:7" ht="16.5">
      <c r="A64" s="58">
        <v>6</v>
      </c>
      <c r="B64" s="50" t="s">
        <v>766</v>
      </c>
      <c r="C64" s="59" t="s">
        <v>3907</v>
      </c>
      <c r="D64" s="50">
        <v>15</v>
      </c>
      <c r="E64" s="50" t="s">
        <v>766</v>
      </c>
      <c r="F64" s="50">
        <f t="shared" si="4"/>
        <v>90</v>
      </c>
      <c r="G64" s="50"/>
    </row>
    <row r="65" spans="1:7" ht="16.5">
      <c r="A65" s="58">
        <v>2.48</v>
      </c>
      <c r="B65" s="50" t="s">
        <v>2273</v>
      </c>
      <c r="C65" s="59" t="s">
        <v>3908</v>
      </c>
      <c r="D65" s="50">
        <f>F76</f>
        <v>1998</v>
      </c>
      <c r="E65" s="50" t="s">
        <v>2273</v>
      </c>
      <c r="F65" s="50">
        <f t="shared" si="4"/>
        <v>4955.04</v>
      </c>
      <c r="G65" s="50"/>
    </row>
    <row r="66" spans="1:7" ht="16.5">
      <c r="A66" s="58"/>
      <c r="B66" s="50"/>
      <c r="C66" s="59" t="s">
        <v>2261</v>
      </c>
      <c r="D66" s="50"/>
      <c r="E66" s="56"/>
      <c r="F66" s="50"/>
      <c r="G66" s="50"/>
    </row>
    <row r="67" spans="1:7" ht="16.5">
      <c r="A67" s="50"/>
      <c r="B67" s="50"/>
      <c r="C67" s="59"/>
      <c r="D67" s="50"/>
      <c r="E67" s="56"/>
      <c r="F67" s="50"/>
      <c r="G67" s="50"/>
    </row>
    <row r="68" spans="1:7" ht="16.5">
      <c r="A68" s="50"/>
      <c r="B68" s="50"/>
      <c r="C68" s="63" t="s">
        <v>3827</v>
      </c>
      <c r="D68" s="50"/>
      <c r="E68" s="50"/>
      <c r="F68" s="61">
        <f>SUM(F59:F67)</f>
        <v>12600.27</v>
      </c>
      <c r="G68" s="61" t="s">
        <v>1393</v>
      </c>
    </row>
    <row r="69" spans="1:7" ht="16.5">
      <c r="A69" s="50"/>
      <c r="B69" s="50"/>
      <c r="C69" s="63"/>
      <c r="D69" s="50"/>
      <c r="E69" s="50"/>
      <c r="F69" s="11">
        <f>F68/A65</f>
        <v>5080.75</v>
      </c>
      <c r="G69" s="50" t="s">
        <v>2273</v>
      </c>
    </row>
    <row r="70" spans="1:7" ht="16.5">
      <c r="A70" s="50"/>
      <c r="B70" s="50"/>
      <c r="C70" s="63"/>
      <c r="D70" s="50"/>
      <c r="E70" s="50"/>
      <c r="F70" s="50"/>
      <c r="G70" s="50"/>
    </row>
    <row r="71" spans="1:7" ht="16.5">
      <c r="A71" s="50">
        <v>1</v>
      </c>
      <c r="B71" s="50" t="s">
        <v>865</v>
      </c>
      <c r="C71" s="59" t="s">
        <v>3914</v>
      </c>
      <c r="D71" s="50">
        <f>D48</f>
        <v>881</v>
      </c>
      <c r="E71" s="59" t="s">
        <v>865</v>
      </c>
      <c r="F71" s="50">
        <f>D71*A71</f>
        <v>881</v>
      </c>
      <c r="G71" s="50"/>
    </row>
    <row r="72" spans="1:7" ht="16.5">
      <c r="A72" s="50">
        <v>1</v>
      </c>
      <c r="B72" s="50" t="s">
        <v>865</v>
      </c>
      <c r="C72" s="59" t="s">
        <v>3915</v>
      </c>
      <c r="D72" s="50">
        <f>D49</f>
        <v>651</v>
      </c>
      <c r="E72" s="59" t="s">
        <v>865</v>
      </c>
      <c r="F72" s="50">
        <f>D72*A72</f>
        <v>651</v>
      </c>
      <c r="G72" s="50"/>
    </row>
    <row r="73" spans="1:7" ht="16.5">
      <c r="A73" s="50">
        <v>0.5</v>
      </c>
      <c r="B73" s="50" t="s">
        <v>865</v>
      </c>
      <c r="C73" s="59" t="s">
        <v>3916</v>
      </c>
      <c r="D73" s="50">
        <f>D50</f>
        <v>932</v>
      </c>
      <c r="E73" s="59" t="s">
        <v>865</v>
      </c>
      <c r="F73" s="50">
        <f>D73*A73</f>
        <v>466</v>
      </c>
      <c r="G73" s="50"/>
    </row>
    <row r="74" spans="1:7" ht="16.5">
      <c r="A74" s="50"/>
      <c r="B74" s="50" t="s">
        <v>446</v>
      </c>
      <c r="C74" s="59" t="s">
        <v>1828</v>
      </c>
      <c r="D74" s="59" t="s">
        <v>971</v>
      </c>
      <c r="E74" s="59" t="s">
        <v>446</v>
      </c>
      <c r="F74" s="50"/>
      <c r="G74" s="50"/>
    </row>
    <row r="75" spans="1:7" ht="16.5">
      <c r="A75" s="50"/>
      <c r="B75" s="50"/>
      <c r="C75" s="50"/>
      <c r="D75" s="50"/>
      <c r="E75" s="59"/>
      <c r="F75" s="64" t="s">
        <v>1579</v>
      </c>
      <c r="G75" s="50"/>
    </row>
    <row r="76" spans="1:7" ht="16.5">
      <c r="A76" s="50"/>
      <c r="B76" s="50"/>
      <c r="C76" s="59" t="s">
        <v>3917</v>
      </c>
      <c r="D76" s="50"/>
      <c r="E76" s="59"/>
      <c r="F76" s="61">
        <f>SUM(F71:F75)</f>
        <v>1998</v>
      </c>
      <c r="G76" s="50"/>
    </row>
    <row r="77" spans="1:7" ht="16.5">
      <c r="A77" s="50"/>
      <c r="B77" s="50"/>
      <c r="C77" s="50"/>
      <c r="D77" s="50"/>
      <c r="E77" s="59"/>
      <c r="F77" s="64" t="s">
        <v>1579</v>
      </c>
      <c r="G77" s="50"/>
    </row>
    <row r="78" spans="1:7" ht="16.5">
      <c r="A78" s="50"/>
      <c r="B78" s="50"/>
      <c r="C78" s="59"/>
      <c r="D78" s="50"/>
      <c r="E78" s="59"/>
      <c r="F78" s="50"/>
      <c r="G78" s="50"/>
    </row>
    <row r="79" spans="1:7" ht="16.5">
      <c r="A79" s="50"/>
      <c r="B79" s="50"/>
      <c r="C79" s="50"/>
      <c r="D79" s="50"/>
      <c r="E79" s="50"/>
      <c r="F79" s="50"/>
      <c r="G79" s="50"/>
    </row>
    <row r="80" spans="1:7" ht="16.5">
      <c r="A80" s="50"/>
      <c r="B80" s="1252" t="s">
        <v>3921</v>
      </c>
      <c r="C80" s="1252"/>
      <c r="D80" s="1252"/>
      <c r="E80" s="55"/>
      <c r="F80" s="55"/>
      <c r="G80" s="50"/>
    </row>
    <row r="81" spans="1:7" ht="16.5">
      <c r="A81" s="58"/>
      <c r="B81" s="50"/>
      <c r="C81" s="55" t="s">
        <v>3922</v>
      </c>
      <c r="D81" s="50"/>
      <c r="E81" s="50"/>
      <c r="F81" s="50"/>
      <c r="G81" s="50"/>
    </row>
    <row r="82" spans="1:7" ht="16.5">
      <c r="A82" s="58"/>
      <c r="B82" s="50"/>
      <c r="C82" s="59"/>
      <c r="D82" s="50"/>
      <c r="E82" s="50"/>
      <c r="F82" s="50"/>
      <c r="G82" s="50"/>
    </row>
    <row r="83" spans="1:7" ht="16.5">
      <c r="A83" s="58"/>
      <c r="B83" s="50"/>
      <c r="C83" s="59"/>
      <c r="D83" s="50"/>
      <c r="E83" s="50"/>
      <c r="F83" s="50"/>
      <c r="G83" s="50"/>
    </row>
    <row r="84" spans="1:7" ht="16.5">
      <c r="A84" s="58">
        <v>4.88</v>
      </c>
      <c r="B84" s="50" t="s">
        <v>909</v>
      </c>
      <c r="C84" s="59" t="s">
        <v>3923</v>
      </c>
      <c r="D84" s="50">
        <f>D59</f>
        <v>325</v>
      </c>
      <c r="E84" s="50" t="s">
        <v>909</v>
      </c>
      <c r="F84" s="50">
        <f>D84*A84</f>
        <v>1586</v>
      </c>
      <c r="G84" s="50"/>
    </row>
    <row r="85" spans="1:7" ht="16.5">
      <c r="A85" s="58">
        <v>7.76</v>
      </c>
      <c r="B85" s="50" t="s">
        <v>909</v>
      </c>
      <c r="C85" s="59" t="s">
        <v>3924</v>
      </c>
      <c r="D85" s="50">
        <f>D84</f>
        <v>325</v>
      </c>
      <c r="E85" s="50" t="s">
        <v>909</v>
      </c>
      <c r="F85" s="50">
        <f t="shared" ref="F85:F93" si="5">D85*A85</f>
        <v>2522</v>
      </c>
      <c r="G85" s="50"/>
    </row>
    <row r="86" spans="1:7" ht="16.5">
      <c r="A86" s="58">
        <v>3.03</v>
      </c>
      <c r="B86" s="50" t="s">
        <v>909</v>
      </c>
      <c r="C86" s="59" t="s">
        <v>3925</v>
      </c>
      <c r="D86" s="50">
        <f>D85</f>
        <v>325</v>
      </c>
      <c r="E86" s="50" t="s">
        <v>909</v>
      </c>
      <c r="F86" s="50">
        <f t="shared" si="5"/>
        <v>984.75</v>
      </c>
      <c r="G86" s="50"/>
    </row>
    <row r="87" spans="1:7" ht="16.5">
      <c r="A87" s="58">
        <v>1.45</v>
      </c>
      <c r="B87" s="50" t="s">
        <v>909</v>
      </c>
      <c r="C87" s="59" t="s">
        <v>3920</v>
      </c>
      <c r="D87" s="50">
        <f>D86</f>
        <v>325</v>
      </c>
      <c r="E87" s="50" t="s">
        <v>909</v>
      </c>
      <c r="F87" s="50">
        <f t="shared" si="5"/>
        <v>471.25</v>
      </c>
      <c r="G87" s="50"/>
    </row>
    <row r="88" spans="1:7" ht="16.5">
      <c r="A88" s="58">
        <v>2.4300000000000002</v>
      </c>
      <c r="B88" s="50" t="s">
        <v>230</v>
      </c>
      <c r="C88" s="59" t="s">
        <v>3904</v>
      </c>
      <c r="D88" s="50">
        <v>209.9</v>
      </c>
      <c r="E88" s="50" t="s">
        <v>230</v>
      </c>
      <c r="F88" s="50">
        <f t="shared" si="5"/>
        <v>510.06</v>
      </c>
      <c r="G88" s="50"/>
    </row>
    <row r="89" spans="1:7" ht="16.5">
      <c r="A89" s="58">
        <v>11.7</v>
      </c>
      <c r="B89" s="50" t="s">
        <v>823</v>
      </c>
      <c r="C89" s="59" t="s">
        <v>3903</v>
      </c>
      <c r="D89" s="50">
        <f>D61</f>
        <v>27.1</v>
      </c>
      <c r="E89" s="50" t="s">
        <v>823</v>
      </c>
      <c r="F89" s="50">
        <f t="shared" si="5"/>
        <v>317.07</v>
      </c>
      <c r="G89" s="50"/>
    </row>
    <row r="90" spans="1:7" ht="16.5">
      <c r="A90" s="58">
        <v>3</v>
      </c>
      <c r="B90" s="50" t="s">
        <v>3912</v>
      </c>
      <c r="C90" s="59" t="s">
        <v>3926</v>
      </c>
      <c r="D90" s="50">
        <v>175</v>
      </c>
      <c r="E90" s="50" t="s">
        <v>766</v>
      </c>
      <c r="F90" s="50">
        <f t="shared" si="5"/>
        <v>525</v>
      </c>
      <c r="G90" s="50"/>
    </row>
    <row r="91" spans="1:7" ht="16.5">
      <c r="A91" s="58">
        <v>3</v>
      </c>
      <c r="B91" s="50" t="s">
        <v>766</v>
      </c>
      <c r="C91" s="59" t="s">
        <v>3905</v>
      </c>
      <c r="D91" s="50">
        <v>60</v>
      </c>
      <c r="E91" s="50" t="s">
        <v>766</v>
      </c>
      <c r="F91" s="50">
        <f t="shared" si="5"/>
        <v>180</v>
      </c>
      <c r="G91" s="50"/>
    </row>
    <row r="92" spans="1:7" ht="16.5">
      <c r="A92" s="58">
        <v>4</v>
      </c>
      <c r="B92" s="50" t="s">
        <v>766</v>
      </c>
      <c r="C92" s="59" t="s">
        <v>3907</v>
      </c>
      <c r="D92" s="50">
        <v>15</v>
      </c>
      <c r="E92" s="50" t="s">
        <v>766</v>
      </c>
      <c r="F92" s="50">
        <f t="shared" si="5"/>
        <v>60</v>
      </c>
      <c r="G92" s="50"/>
    </row>
    <row r="93" spans="1:7" ht="16.5">
      <c r="A93" s="58">
        <v>2.4300000000000002</v>
      </c>
      <c r="B93" s="50" t="s">
        <v>2273</v>
      </c>
      <c r="C93" s="59" t="s">
        <v>3908</v>
      </c>
      <c r="D93" s="50">
        <f>D65</f>
        <v>1998</v>
      </c>
      <c r="E93" s="50" t="s">
        <v>2273</v>
      </c>
      <c r="F93" s="50">
        <f t="shared" si="5"/>
        <v>4855.1400000000003</v>
      </c>
      <c r="G93" s="50"/>
    </row>
    <row r="94" spans="1:7" ht="16.5">
      <c r="A94" s="58"/>
      <c r="B94" s="50"/>
      <c r="C94" s="59" t="s">
        <v>2261</v>
      </c>
      <c r="D94" s="50"/>
      <c r="E94" s="56"/>
      <c r="F94" s="50">
        <v>11.26</v>
      </c>
      <c r="G94" s="50">
        <v>0</v>
      </c>
    </row>
    <row r="95" spans="1:7" ht="16.5">
      <c r="A95" s="50"/>
      <c r="B95" s="50"/>
      <c r="C95" s="59"/>
      <c r="D95" s="50"/>
      <c r="E95" s="56"/>
      <c r="F95" s="50"/>
      <c r="G95" s="50"/>
    </row>
    <row r="96" spans="1:7" ht="16.5">
      <c r="A96" s="50"/>
      <c r="B96" s="50"/>
      <c r="C96" s="63" t="s">
        <v>3827</v>
      </c>
      <c r="D96" s="50"/>
      <c r="E96" s="50"/>
      <c r="F96" s="61">
        <f>SUM(F84:F95)</f>
        <v>12022.53</v>
      </c>
      <c r="G96" s="61" t="s">
        <v>1393</v>
      </c>
    </row>
    <row r="97" spans="1:7" ht="16.5">
      <c r="A97" s="50"/>
      <c r="B97" s="50"/>
      <c r="C97" s="63"/>
      <c r="D97" s="50"/>
      <c r="E97" s="50"/>
      <c r="F97" s="11">
        <f>F96/A93</f>
        <v>4947.54</v>
      </c>
      <c r="G97" s="50" t="s">
        <v>2273</v>
      </c>
    </row>
    <row r="98" spans="1:7" ht="16.5">
      <c r="A98" s="50"/>
      <c r="B98" s="50"/>
      <c r="C98" s="63"/>
      <c r="D98" s="50"/>
      <c r="E98" s="50"/>
      <c r="F98" s="50"/>
      <c r="G98" s="50"/>
    </row>
    <row r="99" spans="1:7" ht="16.5">
      <c r="A99" s="50">
        <v>1</v>
      </c>
      <c r="B99" s="50" t="s">
        <v>865</v>
      </c>
      <c r="C99" s="59" t="s">
        <v>3914</v>
      </c>
      <c r="D99" s="50">
        <f>D71</f>
        <v>881</v>
      </c>
      <c r="E99" s="59" t="s">
        <v>865</v>
      </c>
      <c r="F99" s="50">
        <f>D99*A99</f>
        <v>881</v>
      </c>
      <c r="G99" s="50"/>
    </row>
    <row r="100" spans="1:7" ht="16.5">
      <c r="A100" s="50">
        <v>1</v>
      </c>
      <c r="B100" s="50" t="s">
        <v>865</v>
      </c>
      <c r="C100" s="59" t="s">
        <v>3915</v>
      </c>
      <c r="D100" s="50">
        <f>D72</f>
        <v>651</v>
      </c>
      <c r="E100" s="59" t="s">
        <v>865</v>
      </c>
      <c r="F100" s="50">
        <f>D100*A100</f>
        <v>651</v>
      </c>
      <c r="G100" s="50"/>
    </row>
    <row r="101" spans="1:7" ht="16.5">
      <c r="A101" s="50">
        <v>0.5</v>
      </c>
      <c r="B101" s="50" t="s">
        <v>865</v>
      </c>
      <c r="C101" s="59" t="s">
        <v>3916</v>
      </c>
      <c r="D101" s="50">
        <f>D73</f>
        <v>932</v>
      </c>
      <c r="E101" s="59" t="s">
        <v>865</v>
      </c>
      <c r="F101" s="50">
        <f>D101*A101</f>
        <v>466</v>
      </c>
      <c r="G101" s="50"/>
    </row>
    <row r="102" spans="1:7" ht="16.5">
      <c r="A102" s="50"/>
      <c r="B102" s="50"/>
      <c r="C102" s="59"/>
      <c r="D102" s="50"/>
      <c r="E102" s="59"/>
      <c r="F102" s="50"/>
      <c r="G102" s="50"/>
    </row>
    <row r="103" spans="1:7" ht="16.5">
      <c r="A103" s="50"/>
      <c r="B103" s="50"/>
      <c r="C103" s="59" t="s">
        <v>3917</v>
      </c>
      <c r="D103" s="50"/>
      <c r="E103" s="59"/>
      <c r="F103" s="61">
        <f>SUM(F99:F102)</f>
        <v>1998</v>
      </c>
      <c r="G103" s="50"/>
    </row>
    <row r="104" spans="1:7" ht="16.5">
      <c r="A104" s="50"/>
      <c r="B104" s="50"/>
      <c r="C104" s="50"/>
      <c r="D104" s="50"/>
      <c r="E104" s="59"/>
      <c r="F104" s="64" t="s">
        <v>1579</v>
      </c>
      <c r="G104" s="50"/>
    </row>
    <row r="105" spans="1:7" ht="16.5">
      <c r="A105" s="50"/>
      <c r="B105" s="50"/>
      <c r="C105" s="50"/>
      <c r="D105" s="50"/>
      <c r="E105" s="50"/>
      <c r="F105" s="50"/>
      <c r="G105" s="50"/>
    </row>
    <row r="106" spans="1:7" ht="16.5">
      <c r="A106" s="1252" t="s">
        <v>3927</v>
      </c>
      <c r="B106" s="1252"/>
      <c r="C106" s="1252"/>
      <c r="D106" s="1252"/>
      <c r="E106" s="1252"/>
      <c r="F106" s="1252"/>
      <c r="G106" s="50"/>
    </row>
    <row r="107" spans="1:7" ht="16.5">
      <c r="A107" s="1252"/>
      <c r="B107" s="1252"/>
      <c r="C107" s="1252"/>
      <c r="D107" s="1252"/>
      <c r="E107" s="1252"/>
      <c r="F107" s="1252"/>
      <c r="G107" s="50"/>
    </row>
    <row r="108" spans="1:7" ht="16.5">
      <c r="A108" s="58"/>
      <c r="B108" s="50"/>
      <c r="C108" s="59"/>
      <c r="D108" s="50"/>
      <c r="E108" s="50"/>
      <c r="F108" s="50"/>
      <c r="G108" s="50"/>
    </row>
    <row r="109" spans="1:7" ht="16.5">
      <c r="A109" s="58">
        <v>10.33</v>
      </c>
      <c r="B109" s="50" t="s">
        <v>909</v>
      </c>
      <c r="C109" s="59" t="s">
        <v>3920</v>
      </c>
      <c r="D109" s="50">
        <f>D87</f>
        <v>325</v>
      </c>
      <c r="E109" s="50" t="s">
        <v>909</v>
      </c>
      <c r="F109" s="50">
        <f>D109*A109</f>
        <v>3357.25</v>
      </c>
      <c r="G109" s="50"/>
    </row>
    <row r="110" spans="1:7" ht="16.5">
      <c r="A110" s="58">
        <v>1.42</v>
      </c>
      <c r="B110" s="50" t="s">
        <v>230</v>
      </c>
      <c r="C110" s="59" t="s">
        <v>3904</v>
      </c>
      <c r="D110" s="50">
        <v>208.8</v>
      </c>
      <c r="E110" s="50" t="s">
        <v>230</v>
      </c>
      <c r="F110" s="50">
        <f t="shared" ref="F110:F115" si="6">D110*A110</f>
        <v>296.5</v>
      </c>
      <c r="G110" s="50"/>
    </row>
    <row r="111" spans="1:7" ht="16.5">
      <c r="A111" s="58">
        <v>6.9</v>
      </c>
      <c r="B111" s="50" t="s">
        <v>823</v>
      </c>
      <c r="C111" s="59" t="s">
        <v>3903</v>
      </c>
      <c r="D111" s="50">
        <f>D89</f>
        <v>27.1</v>
      </c>
      <c r="E111" s="50" t="s">
        <v>823</v>
      </c>
      <c r="F111" s="50">
        <f t="shared" si="6"/>
        <v>186.99</v>
      </c>
      <c r="G111" s="50"/>
    </row>
    <row r="112" spans="1:7" ht="16.5">
      <c r="A112" s="58">
        <v>2</v>
      </c>
      <c r="B112" s="50" t="s">
        <v>3912</v>
      </c>
      <c r="C112" s="59" t="str">
        <f>C36</f>
        <v>Aluminium section</v>
      </c>
      <c r="D112" s="50">
        <v>350</v>
      </c>
      <c r="E112" s="50" t="s">
        <v>766</v>
      </c>
      <c r="F112" s="50">
        <f t="shared" si="6"/>
        <v>700</v>
      </c>
      <c r="G112" s="50"/>
    </row>
    <row r="113" spans="1:8" ht="16.5">
      <c r="A113" s="58">
        <v>2</v>
      </c>
      <c r="B113" s="50" t="s">
        <v>766</v>
      </c>
      <c r="C113" s="59" t="s">
        <v>3905</v>
      </c>
      <c r="D113" s="50">
        <v>48</v>
      </c>
      <c r="E113" s="50" t="s">
        <v>766</v>
      </c>
      <c r="F113" s="50">
        <f t="shared" si="6"/>
        <v>96</v>
      </c>
      <c r="G113" s="50"/>
    </row>
    <row r="114" spans="1:8" ht="16.5">
      <c r="A114" s="58">
        <v>4</v>
      </c>
      <c r="B114" s="50" t="s">
        <v>766</v>
      </c>
      <c r="C114" s="59" t="s">
        <v>3907</v>
      </c>
      <c r="D114" s="50">
        <v>15</v>
      </c>
      <c r="E114" s="50" t="s">
        <v>766</v>
      </c>
      <c r="F114" s="50">
        <f t="shared" si="6"/>
        <v>60</v>
      </c>
      <c r="G114" s="50"/>
    </row>
    <row r="115" spans="1:8" ht="16.5">
      <c r="A115" s="58">
        <v>1.42</v>
      </c>
      <c r="B115" s="50" t="s">
        <v>2273</v>
      </c>
      <c r="C115" s="59" t="s">
        <v>3908</v>
      </c>
      <c r="D115" s="50">
        <f>F125</f>
        <v>1998</v>
      </c>
      <c r="E115" s="50" t="s">
        <v>2273</v>
      </c>
      <c r="F115" s="50">
        <f t="shared" si="6"/>
        <v>2837.16</v>
      </c>
      <c r="G115" s="50"/>
    </row>
    <row r="116" spans="1:8" ht="16.5">
      <c r="A116" s="58"/>
      <c r="B116" s="50"/>
      <c r="C116" s="59" t="s">
        <v>2261</v>
      </c>
      <c r="D116" s="50"/>
      <c r="E116" s="56"/>
      <c r="F116" s="50">
        <v>3.06</v>
      </c>
      <c r="G116" s="50"/>
    </row>
    <row r="117" spans="1:8" ht="16.5">
      <c r="A117" s="58"/>
      <c r="B117" s="50"/>
      <c r="C117" s="59"/>
      <c r="D117" s="50"/>
      <c r="E117" s="50"/>
      <c r="F117" s="50"/>
      <c r="G117" s="50"/>
    </row>
    <row r="118" spans="1:8" ht="16.5">
      <c r="A118" s="58"/>
      <c r="B118" s="50"/>
      <c r="C118" s="60" t="s">
        <v>3507</v>
      </c>
      <c r="D118" s="61"/>
      <c r="E118" s="55"/>
      <c r="F118" s="61">
        <f>SUM(F109:F117)</f>
        <v>7536.96</v>
      </c>
      <c r="G118" s="61" t="s">
        <v>1393</v>
      </c>
      <c r="H118">
        <f>F118/A115</f>
        <v>5307.72</v>
      </c>
    </row>
    <row r="119" spans="1:8" ht="16.5">
      <c r="A119" s="50"/>
      <c r="B119" s="50"/>
      <c r="C119" s="63"/>
      <c r="D119" s="50"/>
      <c r="E119" s="50"/>
      <c r="F119" s="50"/>
      <c r="G119" s="50"/>
    </row>
    <row r="120" spans="1:8" ht="16.5">
      <c r="A120" s="50">
        <v>1</v>
      </c>
      <c r="B120" s="50" t="s">
        <v>865</v>
      </c>
      <c r="C120" s="59" t="s">
        <v>3914</v>
      </c>
      <c r="D120" s="50">
        <f>D99</f>
        <v>881</v>
      </c>
      <c r="E120" s="59" t="s">
        <v>865</v>
      </c>
      <c r="F120" s="50">
        <f>D120*A120</f>
        <v>881</v>
      </c>
      <c r="G120" s="50"/>
    </row>
    <row r="121" spans="1:8" ht="16.5">
      <c r="A121" s="50">
        <v>1</v>
      </c>
      <c r="B121" s="50" t="s">
        <v>865</v>
      </c>
      <c r="C121" s="59" t="s">
        <v>3915</v>
      </c>
      <c r="D121" s="50">
        <f>D100</f>
        <v>651</v>
      </c>
      <c r="E121" s="59" t="s">
        <v>865</v>
      </c>
      <c r="F121" s="50">
        <f>D121*A121</f>
        <v>651</v>
      </c>
      <c r="G121" s="50"/>
    </row>
    <row r="122" spans="1:8" ht="16.5">
      <c r="A122" s="50">
        <v>0.5</v>
      </c>
      <c r="B122" s="50" t="s">
        <v>865</v>
      </c>
      <c r="C122" s="59" t="s">
        <v>3916</v>
      </c>
      <c r="D122" s="50">
        <f>D101</f>
        <v>932</v>
      </c>
      <c r="E122" s="59" t="s">
        <v>865</v>
      </c>
      <c r="F122" s="50">
        <f>D122*A122</f>
        <v>466</v>
      </c>
      <c r="G122" s="50"/>
    </row>
    <row r="123" spans="1:8" ht="16.5">
      <c r="A123" s="50"/>
      <c r="B123" s="50"/>
      <c r="C123" s="59"/>
      <c r="D123" s="50"/>
      <c r="E123" s="59"/>
      <c r="F123" s="50"/>
      <c r="G123" s="50"/>
    </row>
    <row r="124" spans="1:8" ht="16.5">
      <c r="A124" s="50"/>
      <c r="B124" s="50"/>
      <c r="C124" s="50"/>
      <c r="D124" s="50"/>
      <c r="E124" s="59"/>
      <c r="F124" s="64" t="s">
        <v>1579</v>
      </c>
      <c r="G124" s="50"/>
    </row>
    <row r="125" spans="1:8" ht="16.5">
      <c r="A125" s="50"/>
      <c r="B125" s="50"/>
      <c r="C125" s="59" t="s">
        <v>3917</v>
      </c>
      <c r="D125" s="50"/>
      <c r="E125" s="59"/>
      <c r="F125" s="61">
        <f>SUM(F120:F124)</f>
        <v>1998</v>
      </c>
      <c r="G125" s="50"/>
    </row>
    <row r="126" spans="1:8" ht="16.5">
      <c r="A126" s="50"/>
      <c r="B126" s="50"/>
      <c r="C126" s="59"/>
      <c r="D126" s="50"/>
      <c r="E126" s="59"/>
      <c r="F126" s="61"/>
      <c r="G126" s="50"/>
    </row>
    <row r="127" spans="1:8" ht="16.5">
      <c r="A127" s="50"/>
      <c r="B127" s="50"/>
      <c r="C127" s="50"/>
      <c r="D127" s="50"/>
      <c r="E127" s="59"/>
      <c r="F127" s="64" t="s">
        <v>1579</v>
      </c>
      <c r="G127" s="50"/>
    </row>
    <row r="128" spans="1:8" ht="16.5">
      <c r="A128" s="50"/>
      <c r="B128" s="1252" t="s">
        <v>3928</v>
      </c>
      <c r="C128" s="1252"/>
      <c r="D128" s="1252"/>
      <c r="E128" s="55"/>
      <c r="F128" s="55"/>
      <c r="G128" s="50"/>
    </row>
    <row r="129" spans="1:7" ht="16.5">
      <c r="A129" s="58"/>
      <c r="B129" s="50"/>
      <c r="C129" s="55" t="s">
        <v>3922</v>
      </c>
      <c r="D129" s="50"/>
      <c r="E129" s="50"/>
      <c r="F129" s="50"/>
      <c r="G129" s="50"/>
    </row>
    <row r="130" spans="1:7" ht="16.5">
      <c r="A130" s="58"/>
      <c r="B130" s="50"/>
      <c r="C130" s="59"/>
      <c r="D130" s="50"/>
      <c r="E130" s="50"/>
      <c r="F130" s="50"/>
      <c r="G130" s="50"/>
    </row>
    <row r="131" spans="1:7" ht="16.5">
      <c r="A131" s="58"/>
      <c r="B131" s="50"/>
      <c r="C131" s="59"/>
      <c r="D131" s="50"/>
      <c r="E131" s="50"/>
      <c r="F131" s="50"/>
      <c r="G131" s="50"/>
    </row>
    <row r="132" spans="1:7" ht="16.5">
      <c r="A132" s="58">
        <v>4.42</v>
      </c>
      <c r="B132" s="50" t="s">
        <v>909</v>
      </c>
      <c r="C132" s="59" t="s">
        <v>3923</v>
      </c>
      <c r="D132" s="50">
        <f>D109</f>
        <v>325</v>
      </c>
      <c r="E132" s="50" t="s">
        <v>909</v>
      </c>
      <c r="F132" s="50">
        <f>D132*A132</f>
        <v>1436.5</v>
      </c>
      <c r="G132" s="50"/>
    </row>
    <row r="133" spans="1:7" ht="16.5">
      <c r="A133" s="58">
        <v>7.36</v>
      </c>
      <c r="B133" s="50" t="s">
        <v>909</v>
      </c>
      <c r="C133" s="59" t="s">
        <v>3924</v>
      </c>
      <c r="D133" s="50">
        <f>D132</f>
        <v>325</v>
      </c>
      <c r="E133" s="50" t="s">
        <v>909</v>
      </c>
      <c r="F133" s="50">
        <f t="shared" ref="F133:F141" si="7">D133*A133</f>
        <v>2392</v>
      </c>
      <c r="G133" s="50"/>
    </row>
    <row r="134" spans="1:7" ht="16.5">
      <c r="A134" s="58">
        <v>3.03</v>
      </c>
      <c r="B134" s="50" t="s">
        <v>909</v>
      </c>
      <c r="C134" s="59" t="s">
        <v>3925</v>
      </c>
      <c r="D134" s="50">
        <f>D133</f>
        <v>325</v>
      </c>
      <c r="E134" s="50" t="s">
        <v>909</v>
      </c>
      <c r="F134" s="50">
        <f t="shared" si="7"/>
        <v>984.75</v>
      </c>
      <c r="G134" s="50"/>
    </row>
    <row r="135" spans="1:7" ht="16.5">
      <c r="A135" s="58">
        <v>1.38</v>
      </c>
      <c r="B135" s="50" t="s">
        <v>909</v>
      </c>
      <c r="C135" s="59" t="s">
        <v>3920</v>
      </c>
      <c r="D135" s="50">
        <f>D134</f>
        <v>325</v>
      </c>
      <c r="E135" s="50" t="s">
        <v>909</v>
      </c>
      <c r="F135" s="50">
        <f t="shared" si="7"/>
        <v>448.5</v>
      </c>
      <c r="G135" s="50"/>
    </row>
    <row r="136" spans="1:7" ht="16.5">
      <c r="A136" s="58">
        <v>2.0249999999999999</v>
      </c>
      <c r="B136" s="50" t="s">
        <v>230</v>
      </c>
      <c r="C136" s="59" t="s">
        <v>1847</v>
      </c>
      <c r="D136" s="50">
        <f>D110</f>
        <v>208.8</v>
      </c>
      <c r="E136" s="50" t="s">
        <v>230</v>
      </c>
      <c r="F136" s="50">
        <f t="shared" si="7"/>
        <v>422.82</v>
      </c>
      <c r="G136" s="50"/>
    </row>
    <row r="137" spans="1:7" ht="16.5">
      <c r="A137" s="58">
        <v>11.1</v>
      </c>
      <c r="B137" s="50" t="s">
        <v>823</v>
      </c>
      <c r="C137" s="59" t="s">
        <v>1848</v>
      </c>
      <c r="D137" s="50">
        <f>D111</f>
        <v>27.1</v>
      </c>
      <c r="E137" s="50" t="s">
        <v>823</v>
      </c>
      <c r="F137" s="50">
        <f t="shared" si="7"/>
        <v>300.81</v>
      </c>
      <c r="G137" s="50"/>
    </row>
    <row r="138" spans="1:7" ht="16.5">
      <c r="A138" s="58">
        <v>3</v>
      </c>
      <c r="B138" s="50" t="s">
        <v>3912</v>
      </c>
      <c r="C138" s="59" t="str">
        <f>C62</f>
        <v>10" I Max hinges (304 grade) qtn</v>
      </c>
      <c r="D138" s="50">
        <f>D112</f>
        <v>350</v>
      </c>
      <c r="E138" s="50" t="s">
        <v>766</v>
      </c>
      <c r="F138" s="50">
        <f t="shared" si="7"/>
        <v>1050</v>
      </c>
      <c r="G138" s="50"/>
    </row>
    <row r="139" spans="1:7" ht="16.5">
      <c r="A139" s="58">
        <v>3</v>
      </c>
      <c r="B139" s="50" t="s">
        <v>766</v>
      </c>
      <c r="C139" s="59" t="s">
        <v>3929</v>
      </c>
      <c r="D139" s="50">
        <f>D113</f>
        <v>48</v>
      </c>
      <c r="E139" s="50" t="s">
        <v>766</v>
      </c>
      <c r="F139" s="50">
        <f t="shared" si="7"/>
        <v>144</v>
      </c>
      <c r="G139" s="50"/>
    </row>
    <row r="140" spans="1:7" ht="16.5">
      <c r="A140" s="58">
        <v>4</v>
      </c>
      <c r="B140" s="50" t="s">
        <v>766</v>
      </c>
      <c r="C140" s="59" t="s">
        <v>3930</v>
      </c>
      <c r="D140" s="50">
        <v>15</v>
      </c>
      <c r="E140" s="50" t="s">
        <v>766</v>
      </c>
      <c r="F140" s="50">
        <f t="shared" si="7"/>
        <v>60</v>
      </c>
      <c r="G140" s="50"/>
    </row>
    <row r="141" spans="1:7" ht="16.5">
      <c r="A141" s="58">
        <v>2.0249999999999999</v>
      </c>
      <c r="B141" s="50" t="s">
        <v>2273</v>
      </c>
      <c r="C141" s="59" t="s">
        <v>1854</v>
      </c>
      <c r="D141" s="50">
        <f>F152</f>
        <v>1998</v>
      </c>
      <c r="E141" s="50" t="s">
        <v>2273</v>
      </c>
      <c r="F141" s="50">
        <f t="shared" si="7"/>
        <v>4045.95</v>
      </c>
      <c r="G141" s="50"/>
    </row>
    <row r="142" spans="1:7" ht="16.5">
      <c r="A142" s="58"/>
      <c r="B142" s="50"/>
      <c r="C142" s="59" t="s">
        <v>1855</v>
      </c>
      <c r="D142" s="50"/>
      <c r="E142" s="56"/>
      <c r="F142" s="50"/>
      <c r="G142" s="50"/>
    </row>
    <row r="143" spans="1:7" ht="16.5">
      <c r="A143" s="50"/>
      <c r="B143" s="50"/>
      <c r="C143" s="59"/>
      <c r="D143" s="50"/>
      <c r="E143" s="56"/>
      <c r="F143" s="50"/>
      <c r="G143" s="50"/>
    </row>
    <row r="144" spans="1:7" ht="16.5">
      <c r="A144" s="50"/>
      <c r="B144" s="50"/>
      <c r="C144" s="63" t="s">
        <v>3827</v>
      </c>
      <c r="D144" s="50"/>
      <c r="E144" s="50"/>
      <c r="F144" s="61">
        <f>SUM(F132:F143)</f>
        <v>11285.33</v>
      </c>
      <c r="G144" s="61" t="s">
        <v>1393</v>
      </c>
    </row>
    <row r="145" spans="1:7" ht="16.5">
      <c r="A145" s="50"/>
      <c r="B145" s="50"/>
      <c r="C145" s="11" t="s">
        <v>3931</v>
      </c>
      <c r="D145" s="50"/>
      <c r="E145" s="50"/>
      <c r="F145" s="11">
        <f>F144/A136</f>
        <v>5573</v>
      </c>
      <c r="G145" s="50" t="s">
        <v>2273</v>
      </c>
    </row>
    <row r="146" spans="1:7" ht="16.5">
      <c r="A146" s="50"/>
      <c r="B146" s="50"/>
      <c r="C146" s="63"/>
      <c r="D146" s="50"/>
      <c r="E146" s="50"/>
      <c r="F146" s="50"/>
      <c r="G146" s="50"/>
    </row>
    <row r="147" spans="1:7" ht="16.5">
      <c r="A147" s="50">
        <v>1</v>
      </c>
      <c r="B147" s="50" t="s">
        <v>865</v>
      </c>
      <c r="C147" s="59" t="s">
        <v>3914</v>
      </c>
      <c r="D147" s="50">
        <f>D120</f>
        <v>881</v>
      </c>
      <c r="E147" s="59" t="s">
        <v>865</v>
      </c>
      <c r="F147" s="50">
        <f>D147*A147</f>
        <v>881</v>
      </c>
      <c r="G147" s="50"/>
    </row>
    <row r="148" spans="1:7" ht="16.5">
      <c r="A148" s="50">
        <v>1</v>
      </c>
      <c r="B148" s="50" t="s">
        <v>865</v>
      </c>
      <c r="C148" s="59" t="s">
        <v>3915</v>
      </c>
      <c r="D148" s="50">
        <f>D121</f>
        <v>651</v>
      </c>
      <c r="E148" s="59" t="s">
        <v>865</v>
      </c>
      <c r="F148" s="50">
        <f>D148*A148</f>
        <v>651</v>
      </c>
      <c r="G148" s="50"/>
    </row>
    <row r="149" spans="1:7" ht="16.5">
      <c r="A149" s="50">
        <v>0.5</v>
      </c>
      <c r="B149" s="50" t="s">
        <v>865</v>
      </c>
      <c r="C149" s="59" t="s">
        <v>3916</v>
      </c>
      <c r="D149" s="50">
        <f>D122</f>
        <v>932</v>
      </c>
      <c r="E149" s="59" t="s">
        <v>865</v>
      </c>
      <c r="F149" s="50">
        <f>D149*A149</f>
        <v>466</v>
      </c>
      <c r="G149" s="50"/>
    </row>
    <row r="150" spans="1:7" ht="16.5">
      <c r="A150" s="50"/>
      <c r="B150" s="50"/>
      <c r="C150" s="59"/>
      <c r="D150" s="50"/>
      <c r="E150" s="59"/>
      <c r="F150" s="50"/>
      <c r="G150" s="50"/>
    </row>
    <row r="151" spans="1:7" ht="16.5">
      <c r="A151" s="50"/>
      <c r="B151" s="50"/>
      <c r="C151" s="50"/>
      <c r="D151" s="50"/>
      <c r="E151" s="59"/>
      <c r="F151" s="64" t="s">
        <v>1579</v>
      </c>
      <c r="G151" s="50"/>
    </row>
    <row r="152" spans="1:7" ht="16.5">
      <c r="A152" s="50"/>
      <c r="B152" s="50"/>
      <c r="C152" s="59" t="s">
        <v>3917</v>
      </c>
      <c r="D152" s="50"/>
      <c r="E152" s="59"/>
      <c r="F152" s="61">
        <f>SUM(F147:F151)</f>
        <v>1998</v>
      </c>
      <c r="G152" s="50"/>
    </row>
    <row r="153" spans="1:7" ht="16.5">
      <c r="A153" s="50"/>
      <c r="B153" s="50"/>
      <c r="C153" s="50"/>
      <c r="D153" s="50"/>
      <c r="E153" s="59"/>
      <c r="F153" s="64" t="s">
        <v>1579</v>
      </c>
      <c r="G153" s="50"/>
    </row>
    <row r="155" spans="1:7">
      <c r="A155" s="1252" t="s">
        <v>3932</v>
      </c>
      <c r="B155" s="1252"/>
      <c r="C155" s="1252"/>
      <c r="D155" s="1252"/>
      <c r="E155" s="1252"/>
      <c r="F155" s="1252"/>
    </row>
    <row r="156" spans="1:7">
      <c r="A156" s="1252"/>
      <c r="B156" s="1252"/>
      <c r="C156" s="1252"/>
      <c r="D156" s="1252"/>
      <c r="E156" s="1252"/>
      <c r="F156" s="1252"/>
    </row>
    <row r="157" spans="1:7" ht="16.5">
      <c r="A157" s="58"/>
      <c r="B157" s="50"/>
      <c r="C157" s="59"/>
      <c r="D157" s="50"/>
      <c r="E157" s="50"/>
      <c r="F157" s="50"/>
    </row>
    <row r="158" spans="1:7" ht="16.5">
      <c r="A158" s="58">
        <v>6.56</v>
      </c>
      <c r="B158" s="50" t="s">
        <v>909</v>
      </c>
      <c r="C158" s="59" t="s">
        <v>3920</v>
      </c>
      <c r="D158" s="50">
        <f>D135</f>
        <v>325</v>
      </c>
      <c r="E158" s="50" t="s">
        <v>909</v>
      </c>
      <c r="F158" s="50">
        <f>D158*A158</f>
        <v>2132</v>
      </c>
    </row>
    <row r="159" spans="1:7" ht="16.5">
      <c r="A159" s="58">
        <v>1.0129999999999999</v>
      </c>
      <c r="B159" s="50" t="s">
        <v>230</v>
      </c>
      <c r="C159" s="59" t="s">
        <v>3904</v>
      </c>
      <c r="D159" s="50">
        <f>D136</f>
        <v>208.8</v>
      </c>
      <c r="E159" s="50" t="s">
        <v>230</v>
      </c>
      <c r="F159" s="50">
        <f t="shared" ref="F159:F164" si="8">D159*A159</f>
        <v>211.51</v>
      </c>
    </row>
    <row r="160" spans="1:7" ht="16.5">
      <c r="A160" s="58">
        <v>4.2</v>
      </c>
      <c r="B160" s="50" t="s">
        <v>823</v>
      </c>
      <c r="C160" s="59" t="s">
        <v>3903</v>
      </c>
      <c r="D160" s="50">
        <f>D137</f>
        <v>27.1</v>
      </c>
      <c r="E160" s="50" t="s">
        <v>823</v>
      </c>
      <c r="F160" s="50">
        <f t="shared" si="8"/>
        <v>113.82</v>
      </c>
    </row>
    <row r="161" spans="1:7" ht="16.5">
      <c r="A161" s="58">
        <v>1</v>
      </c>
      <c r="B161" s="50" t="s">
        <v>3912</v>
      </c>
      <c r="C161" s="59" t="str">
        <f>C138</f>
        <v>10" I Max hinges (304 grade) qtn</v>
      </c>
      <c r="D161" s="50">
        <f>D138</f>
        <v>350</v>
      </c>
      <c r="E161" s="50" t="s">
        <v>766</v>
      </c>
      <c r="F161" s="50">
        <f t="shared" si="8"/>
        <v>350</v>
      </c>
    </row>
    <row r="162" spans="1:7" ht="16.5">
      <c r="A162" s="58">
        <v>1</v>
      </c>
      <c r="B162" s="50" t="s">
        <v>766</v>
      </c>
      <c r="C162" s="59" t="s">
        <v>3905</v>
      </c>
      <c r="D162" s="50">
        <f>D139</f>
        <v>48</v>
      </c>
      <c r="E162" s="50" t="s">
        <v>766</v>
      </c>
      <c r="F162" s="50">
        <f t="shared" si="8"/>
        <v>48</v>
      </c>
    </row>
    <row r="163" spans="1:7" ht="16.5">
      <c r="A163" s="58">
        <v>4</v>
      </c>
      <c r="B163" s="50" t="s">
        <v>766</v>
      </c>
      <c r="C163" s="59" t="s">
        <v>3907</v>
      </c>
      <c r="D163" s="50">
        <v>15</v>
      </c>
      <c r="E163" s="50" t="s">
        <v>766</v>
      </c>
      <c r="F163" s="50">
        <f>D163*A163</f>
        <v>60</v>
      </c>
    </row>
    <row r="164" spans="1:7" ht="16.5">
      <c r="A164" s="58">
        <v>1.0129999999999999</v>
      </c>
      <c r="B164" s="50" t="s">
        <v>2273</v>
      </c>
      <c r="C164" s="59" t="s">
        <v>3908</v>
      </c>
      <c r="D164" s="50">
        <f>D141</f>
        <v>1998</v>
      </c>
      <c r="E164" s="50" t="s">
        <v>2273</v>
      </c>
      <c r="F164" s="50">
        <f t="shared" si="8"/>
        <v>2023.97</v>
      </c>
    </row>
    <row r="165" spans="1:7" ht="16.5">
      <c r="A165" s="58"/>
      <c r="B165" s="50"/>
      <c r="C165" s="59" t="s">
        <v>2261</v>
      </c>
      <c r="D165" s="50"/>
      <c r="E165" s="56"/>
      <c r="F165" s="50"/>
    </row>
    <row r="166" spans="1:7" ht="23.25" customHeight="1">
      <c r="A166" s="58"/>
      <c r="B166" s="50"/>
      <c r="C166" s="60" t="s">
        <v>3507</v>
      </c>
      <c r="D166" s="61"/>
      <c r="E166" s="55"/>
      <c r="F166" s="61">
        <f>SUM(F158:F165)</f>
        <v>4939.3</v>
      </c>
    </row>
    <row r="167" spans="1:7" ht="13.5" customHeight="1">
      <c r="A167" s="58"/>
      <c r="B167" s="50"/>
      <c r="C167" s="11" t="s">
        <v>3933</v>
      </c>
      <c r="D167" s="50"/>
      <c r="E167" s="50"/>
      <c r="F167" s="11">
        <f>F166/A164</f>
        <v>4875.91</v>
      </c>
      <c r="G167" s="50" t="s">
        <v>2273</v>
      </c>
    </row>
    <row r="168" spans="1:7" ht="16.5">
      <c r="A168" s="50"/>
      <c r="B168" s="50"/>
      <c r="C168" s="63"/>
      <c r="D168" s="50"/>
      <c r="E168" s="50"/>
      <c r="F168" s="50"/>
    </row>
    <row r="169" spans="1:7" ht="16.5">
      <c r="A169" s="50">
        <v>1</v>
      </c>
      <c r="B169" s="50" t="s">
        <v>865</v>
      </c>
      <c r="C169" s="59" t="s">
        <v>3914</v>
      </c>
      <c r="D169" s="50">
        <f>D147</f>
        <v>881</v>
      </c>
      <c r="E169" s="59" t="s">
        <v>865</v>
      </c>
      <c r="F169" s="50">
        <f>D169*A169</f>
        <v>881</v>
      </c>
    </row>
    <row r="170" spans="1:7" ht="16.5">
      <c r="A170" s="50">
        <v>1</v>
      </c>
      <c r="B170" s="50" t="s">
        <v>865</v>
      </c>
      <c r="C170" s="59" t="s">
        <v>3915</v>
      </c>
      <c r="D170" s="50">
        <f>D148</f>
        <v>651</v>
      </c>
      <c r="E170" s="59" t="s">
        <v>865</v>
      </c>
      <c r="F170" s="50">
        <f>D170*A170</f>
        <v>651</v>
      </c>
    </row>
    <row r="171" spans="1:7" ht="16.5">
      <c r="A171" s="50">
        <v>0.5</v>
      </c>
      <c r="B171" s="50" t="s">
        <v>865</v>
      </c>
      <c r="C171" s="59" t="s">
        <v>3916</v>
      </c>
      <c r="D171" s="50">
        <f>D149</f>
        <v>932</v>
      </c>
      <c r="E171" s="59" t="s">
        <v>865</v>
      </c>
      <c r="F171" s="50">
        <f>D171*A171</f>
        <v>466</v>
      </c>
    </row>
    <row r="172" spans="1:7" ht="35.25" hidden="1" customHeight="1">
      <c r="A172" s="50"/>
      <c r="B172" s="50"/>
      <c r="C172" s="59"/>
      <c r="D172" s="50"/>
      <c r="E172" s="59"/>
      <c r="F172" s="50"/>
    </row>
    <row r="173" spans="1:7" ht="15.75" hidden="1" customHeight="1">
      <c r="A173" s="50"/>
      <c r="B173" s="50"/>
      <c r="C173" s="50"/>
      <c r="D173" s="50"/>
      <c r="E173" s="59"/>
      <c r="F173" s="64" t="s">
        <v>1579</v>
      </c>
    </row>
    <row r="174" spans="1:7" ht="15.75" hidden="1" customHeight="1">
      <c r="A174" s="50"/>
      <c r="B174" s="50"/>
      <c r="C174" s="59" t="s">
        <v>3917</v>
      </c>
      <c r="D174" s="50"/>
      <c r="E174" s="59"/>
      <c r="F174" s="61">
        <f>SUM(F169:F173)</f>
        <v>1998</v>
      </c>
    </row>
    <row r="175" spans="1:7" ht="15.75" hidden="1" customHeight="1">
      <c r="A175" s="50"/>
      <c r="B175" s="50"/>
      <c r="C175" s="50"/>
      <c r="D175" s="50"/>
      <c r="E175" s="59"/>
      <c r="F175" s="64" t="s">
        <v>1579</v>
      </c>
    </row>
    <row r="176" spans="1:7">
      <c r="F176" s="11">
        <f>SUM(F174)</f>
        <v>1998</v>
      </c>
    </row>
    <row r="178" spans="1:7" ht="19.5">
      <c r="C178" s="36"/>
      <c r="D178" s="1253"/>
      <c r="E178" s="1253"/>
      <c r="F178" s="1253"/>
    </row>
    <row r="179" spans="1:7">
      <c r="A179" s="7"/>
      <c r="C179" s="1"/>
    </row>
    <row r="180" spans="1:7">
      <c r="A180" s="25"/>
      <c r="B180" s="24" t="s">
        <v>2241</v>
      </c>
      <c r="C180" s="28" t="s">
        <v>4516</v>
      </c>
      <c r="D180" s="24"/>
      <c r="E180" s="25"/>
      <c r="F180" s="24"/>
      <c r="G180" s="5"/>
    </row>
    <row r="181" spans="1:7">
      <c r="A181" s="24"/>
      <c r="B181" s="24"/>
      <c r="C181" s="28" t="s">
        <v>4517</v>
      </c>
      <c r="D181" s="24"/>
      <c r="E181" s="25"/>
      <c r="F181" s="24"/>
      <c r="G181" s="5"/>
    </row>
    <row r="182" spans="1:7" ht="18">
      <c r="A182" s="24"/>
      <c r="B182" s="24"/>
      <c r="C182" s="40" t="s">
        <v>4518</v>
      </c>
      <c r="D182" s="24"/>
      <c r="E182" s="25"/>
      <c r="F182" s="24"/>
      <c r="G182" s="5"/>
    </row>
    <row r="183" spans="1:7">
      <c r="A183" s="24"/>
      <c r="B183" s="24"/>
      <c r="C183" s="29" t="s">
        <v>1579</v>
      </c>
      <c r="D183" s="24"/>
      <c r="E183" s="25"/>
      <c r="F183" s="24"/>
      <c r="G183" s="5"/>
    </row>
    <row r="184" spans="1:7">
      <c r="A184" s="24"/>
      <c r="B184" s="24"/>
      <c r="C184" s="116" t="s">
        <v>4519</v>
      </c>
      <c r="D184" s="26"/>
      <c r="E184" s="41"/>
      <c r="F184" s="24"/>
      <c r="G184" s="5"/>
    </row>
    <row r="185" spans="1:7">
      <c r="A185" s="24"/>
      <c r="B185" s="24"/>
      <c r="C185" s="28" t="s">
        <v>4520</v>
      </c>
      <c r="D185" s="26"/>
      <c r="E185" s="41"/>
      <c r="F185" s="24"/>
      <c r="G185" s="5"/>
    </row>
    <row r="186" spans="1:7">
      <c r="A186" s="24"/>
      <c r="B186" s="24"/>
      <c r="C186" s="28" t="s">
        <v>4521</v>
      </c>
      <c r="G186" s="5"/>
    </row>
    <row r="187" spans="1:7">
      <c r="A187" s="24"/>
      <c r="B187" s="24"/>
      <c r="C187" s="28" t="s">
        <v>4535</v>
      </c>
      <c r="D187" s="26" t="s">
        <v>2046</v>
      </c>
      <c r="E187" s="42">
        <f>2*2*3*0.15*0.15</f>
        <v>0.27</v>
      </c>
      <c r="F187" s="24" t="s">
        <v>2142</v>
      </c>
      <c r="G187" s="5"/>
    </row>
    <row r="188" spans="1:7" ht="39" customHeight="1">
      <c r="A188" s="24"/>
      <c r="B188" s="24"/>
      <c r="C188" s="28" t="s">
        <v>4522</v>
      </c>
      <c r="D188" s="26" t="s">
        <v>2046</v>
      </c>
      <c r="E188" s="42">
        <f>4*2*0.15*0.15*2.4</f>
        <v>0.432</v>
      </c>
      <c r="F188" s="24" t="s">
        <v>2142</v>
      </c>
      <c r="G188" s="5"/>
    </row>
    <row r="189" spans="1:7" ht="22.5" customHeight="1">
      <c r="A189" s="24"/>
      <c r="B189" s="24"/>
      <c r="C189" s="28"/>
      <c r="D189" s="26"/>
      <c r="E189" s="29" t="s">
        <v>1579</v>
      </c>
      <c r="F189" s="32"/>
      <c r="G189" s="5"/>
    </row>
    <row r="190" spans="1:7" ht="16.5" customHeight="1">
      <c r="A190" s="24"/>
      <c r="B190" s="24"/>
      <c r="C190" s="24"/>
      <c r="D190" s="24"/>
      <c r="E190" s="45">
        <f>SUM(E187:E189)</f>
        <v>0.70199999999999996</v>
      </c>
      <c r="F190" s="11" t="s">
        <v>2142</v>
      </c>
      <c r="G190" s="5"/>
    </row>
    <row r="191" spans="1:7" ht="16.5" customHeight="1">
      <c r="A191" s="24"/>
      <c r="B191" s="24"/>
      <c r="C191" s="28" t="s">
        <v>4536</v>
      </c>
      <c r="D191" s="24"/>
      <c r="E191" s="35"/>
      <c r="F191" s="34"/>
      <c r="G191" s="5"/>
    </row>
    <row r="192" spans="1:7" ht="27.75" customHeight="1">
      <c r="A192" s="24"/>
      <c r="B192" s="24"/>
      <c r="C192" s="28" t="s">
        <v>4523</v>
      </c>
      <c r="D192" s="24"/>
      <c r="E192" s="42"/>
      <c r="F192" s="34"/>
      <c r="G192" s="5"/>
    </row>
    <row r="193" spans="1:8" ht="14.25" customHeight="1">
      <c r="A193" s="24"/>
      <c r="B193" s="24"/>
      <c r="C193" s="28"/>
      <c r="D193" s="24"/>
      <c r="E193" s="42"/>
      <c r="F193" s="34"/>
      <c r="G193" s="5"/>
    </row>
    <row r="194" spans="1:8" ht="39" customHeight="1">
      <c r="A194" s="33">
        <f>D197</f>
        <v>0.1208</v>
      </c>
      <c r="B194" s="24" t="s">
        <v>866</v>
      </c>
      <c r="C194" s="117" t="s">
        <v>4524</v>
      </c>
      <c r="D194" s="7">
        <f>3*1*1.8*0.15*0.05</f>
        <v>4.0500000000000001E-2</v>
      </c>
      <c r="E194" s="24">
        <v>106376</v>
      </c>
      <c r="F194" s="25" t="s">
        <v>866</v>
      </c>
      <c r="G194" s="24">
        <f>E194*A194</f>
        <v>12850.22</v>
      </c>
    </row>
    <row r="195" spans="1:8" ht="39" customHeight="1">
      <c r="A195" s="33"/>
      <c r="B195" s="24"/>
      <c r="C195" s="24" t="s">
        <v>4525</v>
      </c>
      <c r="D195" s="33">
        <f>6*1*0.1*0.05*2.15</f>
        <v>6.4500000000000002E-2</v>
      </c>
      <c r="E195" s="25"/>
      <c r="F195" s="24"/>
      <c r="G195" s="5"/>
    </row>
    <row r="196" spans="1:8" ht="39" customHeight="1">
      <c r="A196" s="33"/>
      <c r="B196" s="24"/>
      <c r="C196" s="24" t="s">
        <v>4526</v>
      </c>
      <c r="D196" s="33">
        <f>2*3*0.35*0.15*0.05</f>
        <v>1.5800000000000002E-2</v>
      </c>
      <c r="E196" s="25"/>
      <c r="F196" s="24"/>
      <c r="G196" s="5"/>
    </row>
    <row r="197" spans="1:8" ht="39" customHeight="1">
      <c r="A197" s="33"/>
      <c r="B197" s="24"/>
      <c r="C197" s="24"/>
      <c r="D197" s="119">
        <f>SUM(D194:D196)</f>
        <v>0.1208</v>
      </c>
      <c r="E197" s="25"/>
      <c r="F197" s="24"/>
      <c r="G197" s="5"/>
    </row>
    <row r="198" spans="1:8" ht="54.75" customHeight="1">
      <c r="A198" s="32">
        <v>4.5969999999999997E-2</v>
      </c>
      <c r="B198" s="24" t="s">
        <v>866</v>
      </c>
      <c r="C198" s="31" t="s">
        <v>4538</v>
      </c>
      <c r="D198" s="6">
        <f>8*1*0.815*0.35*0.01875</f>
        <v>4.2790000000000002E-2</v>
      </c>
      <c r="E198" s="24">
        <v>101921</v>
      </c>
      <c r="F198" s="25" t="s">
        <v>866</v>
      </c>
      <c r="G198" s="24">
        <f>E198*A198</f>
        <v>4685.3100000000004</v>
      </c>
      <c r="H198" s="5"/>
    </row>
    <row r="199" spans="1:8" ht="30.75">
      <c r="A199" s="32">
        <f>D199</f>
        <v>3.98</v>
      </c>
      <c r="B199" s="24" t="s">
        <v>866</v>
      </c>
      <c r="C199" s="31" t="s">
        <v>4537</v>
      </c>
      <c r="D199">
        <f>1.85*2.15</f>
        <v>3.98</v>
      </c>
      <c r="E199" s="24">
        <f>DATA!AE30</f>
        <v>1537</v>
      </c>
      <c r="F199" s="25" t="s">
        <v>2273</v>
      </c>
      <c r="G199" s="24">
        <f>E199*A199</f>
        <v>6117.26</v>
      </c>
      <c r="H199" s="5"/>
    </row>
    <row r="200" spans="1:8">
      <c r="A200" s="32">
        <f>D200</f>
        <v>17.399999999999999</v>
      </c>
      <c r="B200" s="24" t="s">
        <v>1763</v>
      </c>
      <c r="C200" s="31" t="s">
        <v>4539</v>
      </c>
      <c r="D200">
        <f>6*2+3*1.8</f>
        <v>17.399999999999999</v>
      </c>
      <c r="E200" s="24">
        <v>30</v>
      </c>
      <c r="F200" s="25" t="s">
        <v>1763</v>
      </c>
      <c r="G200" s="24">
        <f>E200*A200</f>
        <v>522</v>
      </c>
      <c r="H200" s="5"/>
    </row>
    <row r="201" spans="1:8">
      <c r="A201" s="33"/>
      <c r="B201" s="24"/>
      <c r="C201" s="28"/>
      <c r="E201" s="24"/>
      <c r="F201" s="25"/>
      <c r="G201" s="24">
        <f>E201*A201</f>
        <v>0</v>
      </c>
      <c r="H201" s="5"/>
    </row>
    <row r="202" spans="1:8">
      <c r="A202" s="33"/>
      <c r="B202" s="24"/>
      <c r="C202" s="28" t="s">
        <v>4540</v>
      </c>
      <c r="E202" s="24"/>
      <c r="F202" s="25"/>
      <c r="G202" s="24"/>
      <c r="H202" s="5"/>
    </row>
    <row r="203" spans="1:8" ht="37.5" customHeight="1">
      <c r="A203" s="33">
        <f>D205</f>
        <v>1.26</v>
      </c>
      <c r="B203" s="24" t="s">
        <v>606</v>
      </c>
      <c r="C203" s="31" t="s">
        <v>4543</v>
      </c>
      <c r="D203">
        <f>2*1*0.35*1.4</f>
        <v>0.98</v>
      </c>
      <c r="E203" s="24">
        <v>336</v>
      </c>
      <c r="F203" s="25" t="s">
        <v>606</v>
      </c>
      <c r="G203" s="24">
        <f>E203*A203</f>
        <v>423.36</v>
      </c>
      <c r="H203" s="5"/>
    </row>
    <row r="204" spans="1:8" ht="37.5" customHeight="1">
      <c r="A204" s="33"/>
      <c r="B204" s="24"/>
      <c r="C204" s="31" t="s">
        <v>4541</v>
      </c>
      <c r="D204">
        <f>2*1*0.35*0.4</f>
        <v>0.28000000000000003</v>
      </c>
      <c r="E204" s="24"/>
      <c r="F204" s="25"/>
      <c r="G204" s="24"/>
      <c r="H204" s="5"/>
    </row>
    <row r="205" spans="1:8" ht="37.5" customHeight="1">
      <c r="A205" s="33"/>
      <c r="B205" s="24"/>
      <c r="C205" s="31"/>
      <c r="D205" s="11">
        <f>SUM(D203:D204)</f>
        <v>1.26</v>
      </c>
      <c r="E205" s="24"/>
      <c r="F205" s="25"/>
      <c r="G205" s="24"/>
      <c r="H205" s="5"/>
    </row>
    <row r="206" spans="1:8" ht="42.75" customHeight="1">
      <c r="A206" s="33">
        <v>9.8000000000000007</v>
      </c>
      <c r="B206" s="24" t="s">
        <v>1763</v>
      </c>
      <c r="C206" s="31" t="s">
        <v>4544</v>
      </c>
      <c r="D206">
        <v>9.8000000000000007</v>
      </c>
      <c r="E206" s="24">
        <v>59</v>
      </c>
      <c r="F206" s="25" t="s">
        <v>823</v>
      </c>
      <c r="G206" s="24">
        <f t="shared" ref="G206:G214" si="9">E206*A206</f>
        <v>578.20000000000005</v>
      </c>
      <c r="H206" s="5"/>
    </row>
    <row r="207" spans="1:8" ht="47.25">
      <c r="A207" s="33">
        <f>D207</f>
        <v>1.51</v>
      </c>
      <c r="B207" s="24" t="s">
        <v>606</v>
      </c>
      <c r="C207" s="118" t="s">
        <v>4527</v>
      </c>
      <c r="D207">
        <f>2*1*0.35*2.15</f>
        <v>1.51</v>
      </c>
      <c r="E207" s="24">
        <f>DATA!AE32</f>
        <v>1436</v>
      </c>
      <c r="F207" s="25" t="s">
        <v>606</v>
      </c>
      <c r="G207" s="24">
        <f t="shared" si="9"/>
        <v>2168.36</v>
      </c>
      <c r="H207" s="5"/>
    </row>
    <row r="208" spans="1:8">
      <c r="A208" s="24"/>
      <c r="B208" s="24"/>
      <c r="C208" s="22" t="s">
        <v>2794</v>
      </c>
      <c r="E208" s="24"/>
      <c r="F208" s="25"/>
      <c r="G208" s="24">
        <f t="shared" si="9"/>
        <v>0</v>
      </c>
      <c r="H208" s="5"/>
    </row>
    <row r="209" spans="1:8">
      <c r="A209" s="24">
        <v>8</v>
      </c>
      <c r="B209" s="24" t="s">
        <v>865</v>
      </c>
      <c r="C209" s="28" t="s">
        <v>4528</v>
      </c>
      <c r="E209" s="24">
        <f>DATA!P2645</f>
        <v>214.1</v>
      </c>
      <c r="F209" s="25" t="s">
        <v>865</v>
      </c>
      <c r="G209" s="24">
        <f t="shared" si="9"/>
        <v>1712.8</v>
      </c>
      <c r="H209" s="5"/>
    </row>
    <row r="210" spans="1:8">
      <c r="A210" s="24">
        <v>3</v>
      </c>
      <c r="B210" s="24" t="s">
        <v>865</v>
      </c>
      <c r="C210" s="28" t="s">
        <v>4529</v>
      </c>
      <c r="E210" s="24">
        <f>DATA!P2646</f>
        <v>408</v>
      </c>
      <c r="F210" s="25" t="s">
        <v>865</v>
      </c>
      <c r="G210" s="24">
        <f t="shared" si="9"/>
        <v>1224</v>
      </c>
      <c r="H210" s="5"/>
    </row>
    <row r="211" spans="1:8">
      <c r="A211" s="24">
        <v>1</v>
      </c>
      <c r="B211" s="24" t="s">
        <v>865</v>
      </c>
      <c r="C211" s="28" t="s">
        <v>4530</v>
      </c>
      <c r="E211" s="114">
        <v>320</v>
      </c>
      <c r="F211" s="25" t="s">
        <v>865</v>
      </c>
      <c r="G211" s="24">
        <f t="shared" si="9"/>
        <v>320</v>
      </c>
      <c r="H211" s="5"/>
    </row>
    <row r="212" spans="1:8">
      <c r="A212" s="24">
        <v>2</v>
      </c>
      <c r="B212" s="24" t="s">
        <v>865</v>
      </c>
      <c r="C212" s="28" t="s">
        <v>4531</v>
      </c>
      <c r="E212" s="24">
        <v>650</v>
      </c>
      <c r="F212" s="25" t="s">
        <v>865</v>
      </c>
      <c r="G212" s="24">
        <f t="shared" si="9"/>
        <v>1300</v>
      </c>
      <c r="H212" s="5"/>
    </row>
    <row r="213" spans="1:8">
      <c r="A213" s="24">
        <v>2</v>
      </c>
      <c r="B213" s="24" t="s">
        <v>865</v>
      </c>
      <c r="C213" s="28" t="s">
        <v>4532</v>
      </c>
      <c r="E213" s="24">
        <v>200</v>
      </c>
      <c r="F213" s="25" t="s">
        <v>865</v>
      </c>
      <c r="G213" s="24">
        <f t="shared" si="9"/>
        <v>400</v>
      </c>
      <c r="H213" s="5"/>
    </row>
    <row r="214" spans="1:8">
      <c r="A214" s="24">
        <v>2</v>
      </c>
      <c r="B214" s="24" t="s">
        <v>865</v>
      </c>
      <c r="C214" s="28" t="s">
        <v>4533</v>
      </c>
      <c r="E214" s="24">
        <v>60</v>
      </c>
      <c r="F214" s="25" t="s">
        <v>865</v>
      </c>
      <c r="G214" s="24">
        <f t="shared" si="9"/>
        <v>120</v>
      </c>
      <c r="H214" s="5"/>
    </row>
    <row r="215" spans="1:8" hidden="1">
      <c r="A215" s="24"/>
      <c r="B215" s="24"/>
      <c r="C215" s="24" t="s">
        <v>4534</v>
      </c>
      <c r="E215" s="25" t="s">
        <v>654</v>
      </c>
      <c r="F215" s="25"/>
      <c r="G215" s="44">
        <v>400</v>
      </c>
      <c r="H215" s="5"/>
    </row>
    <row r="216" spans="1:8">
      <c r="A216" s="24"/>
      <c r="B216" s="24"/>
      <c r="C216" s="24" t="s">
        <v>4542</v>
      </c>
      <c r="E216" s="24"/>
      <c r="F216" s="25" t="s">
        <v>654</v>
      </c>
      <c r="G216" s="26">
        <v>400</v>
      </c>
      <c r="H216" s="5"/>
    </row>
    <row r="217" spans="1:8">
      <c r="A217" s="24"/>
      <c r="B217" s="24"/>
      <c r="E217" s="24"/>
      <c r="F217" s="25"/>
      <c r="G217" s="24"/>
      <c r="H217" s="5"/>
    </row>
    <row r="218" spans="1:8">
      <c r="A218" s="24"/>
      <c r="B218" s="24"/>
      <c r="C218" s="28" t="s">
        <v>3827</v>
      </c>
      <c r="E218" s="24"/>
      <c r="F218" s="25"/>
      <c r="G218" s="29">
        <f>SUM(G194:G217)</f>
        <v>33221.51</v>
      </c>
      <c r="H218" s="5"/>
    </row>
    <row r="219" spans="1:8">
      <c r="A219" s="24"/>
      <c r="B219" s="24"/>
      <c r="C219" s="22" t="s">
        <v>549</v>
      </c>
      <c r="E219" s="24"/>
      <c r="F219" s="27" t="s">
        <v>718</v>
      </c>
      <c r="G219" s="23">
        <v>27750</v>
      </c>
      <c r="H219" s="45" t="s">
        <v>3607</v>
      </c>
    </row>
    <row r="220" spans="1:8">
      <c r="G220" s="5"/>
    </row>
    <row r="221" spans="1:8">
      <c r="A221" s="5"/>
      <c r="C221" s="1"/>
      <c r="E221" s="1"/>
    </row>
    <row r="222" spans="1:8">
      <c r="A222" s="5"/>
      <c r="C222" s="1"/>
      <c r="E222" s="1"/>
    </row>
    <row r="223" spans="1:8">
      <c r="A223" s="5"/>
      <c r="C223" s="1"/>
      <c r="E223" s="1"/>
    </row>
    <row r="224" spans="1:8">
      <c r="A224" s="5"/>
      <c r="C224" s="3"/>
      <c r="D224" s="3"/>
      <c r="E224" s="1"/>
    </row>
    <row r="225" spans="1:6" ht="18" customHeight="1">
      <c r="A225" s="5"/>
      <c r="C225" s="1"/>
      <c r="E225" s="1"/>
    </row>
    <row r="226" spans="1:6">
      <c r="A226" s="5"/>
      <c r="C226" s="1"/>
      <c r="E226" s="1"/>
    </row>
    <row r="227" spans="1:6">
      <c r="A227" s="5"/>
      <c r="C227" s="1"/>
      <c r="D227" s="13"/>
      <c r="E227" s="1"/>
    </row>
    <row r="228" spans="1:6">
      <c r="A228" s="5"/>
      <c r="C228" s="1"/>
      <c r="D228" s="13"/>
      <c r="E228" s="1"/>
    </row>
    <row r="229" spans="1:6">
      <c r="A229" s="5"/>
      <c r="C229" s="1"/>
      <c r="D229" s="13"/>
      <c r="E229" s="1"/>
    </row>
    <row r="230" spans="1:6" ht="18" customHeight="1">
      <c r="A230" s="5"/>
      <c r="C230" s="1"/>
      <c r="D230" s="13"/>
      <c r="E230" s="1"/>
    </row>
    <row r="231" spans="1:6">
      <c r="A231" s="5"/>
      <c r="C231" s="1"/>
      <c r="E231" s="1"/>
      <c r="F231" s="3"/>
    </row>
    <row r="232" spans="1:6">
      <c r="A232" s="5"/>
      <c r="C232" s="2"/>
      <c r="E232" s="1"/>
    </row>
    <row r="233" spans="1:6">
      <c r="A233" s="5"/>
      <c r="E233" s="1"/>
      <c r="F233" s="3"/>
    </row>
    <row r="234" spans="1:6">
      <c r="A234" s="5"/>
      <c r="C234" s="2"/>
      <c r="E234" s="1"/>
    </row>
    <row r="235" spans="1:6">
      <c r="A235" s="5"/>
      <c r="C235" s="1"/>
      <c r="E235" s="1"/>
      <c r="F235" s="11"/>
    </row>
    <row r="236" spans="1:6">
      <c r="A236" s="5"/>
      <c r="C236" s="1"/>
      <c r="E236" s="1"/>
      <c r="F236" s="11"/>
    </row>
    <row r="237" spans="1:6">
      <c r="A237" s="5"/>
      <c r="C237" s="1"/>
      <c r="E237" s="1"/>
      <c r="F237" s="11"/>
    </row>
    <row r="238" spans="1:6">
      <c r="A238" s="5"/>
      <c r="C238" s="1"/>
      <c r="E238" s="1"/>
      <c r="F238" s="11"/>
    </row>
    <row r="239" spans="1:6">
      <c r="A239" s="5"/>
      <c r="C239" s="1"/>
      <c r="E239" s="1"/>
      <c r="F239" s="11"/>
    </row>
    <row r="247" spans="1:8" ht="16.5">
      <c r="A247" s="1252" t="s">
        <v>4092</v>
      </c>
      <c r="B247" s="1252"/>
      <c r="C247" s="1252"/>
      <c r="D247" s="1252"/>
      <c r="E247" s="55"/>
      <c r="F247" s="55"/>
      <c r="G247" s="50"/>
    </row>
    <row r="248" spans="1:8" ht="16.5">
      <c r="A248" s="58"/>
      <c r="B248" s="50"/>
      <c r="C248" s="55"/>
      <c r="D248" s="50"/>
      <c r="E248" s="50"/>
      <c r="F248" s="50"/>
      <c r="G248" s="50"/>
    </row>
    <row r="249" spans="1:8" ht="16.5">
      <c r="A249" s="58"/>
      <c r="B249" s="50"/>
      <c r="C249" s="59"/>
      <c r="D249" s="50"/>
      <c r="E249" s="50"/>
      <c r="F249" s="50"/>
      <c r="G249" s="50"/>
    </row>
    <row r="250" spans="1:8" ht="16.5">
      <c r="A250" s="58">
        <v>28.49</v>
      </c>
      <c r="B250" s="50" t="s">
        <v>909</v>
      </c>
      <c r="C250" s="92" t="s">
        <v>4093</v>
      </c>
      <c r="D250" s="50">
        <v>292</v>
      </c>
      <c r="E250" s="50" t="s">
        <v>909</v>
      </c>
      <c r="F250" s="50">
        <f>D250*A250</f>
        <v>8319.08</v>
      </c>
      <c r="G250" s="50"/>
    </row>
    <row r="251" spans="1:8" ht="16.5">
      <c r="A251" s="87">
        <v>3.82</v>
      </c>
      <c r="B251" s="50" t="s">
        <v>823</v>
      </c>
      <c r="C251" s="59" t="s">
        <v>4026</v>
      </c>
      <c r="D251" s="50">
        <v>36.299999999999997</v>
      </c>
      <c r="E251" s="50" t="s">
        <v>823</v>
      </c>
      <c r="F251" s="50">
        <v>501.66</v>
      </c>
      <c r="G251" s="50"/>
    </row>
    <row r="252" spans="1:8" ht="16.5">
      <c r="A252" s="58">
        <v>1.52</v>
      </c>
      <c r="B252" s="50" t="s">
        <v>230</v>
      </c>
      <c r="C252" s="59" t="s">
        <v>4024</v>
      </c>
      <c r="D252" s="50">
        <v>387.2</v>
      </c>
      <c r="E252" s="50" t="s">
        <v>230</v>
      </c>
      <c r="F252" s="50">
        <f t="shared" ref="F252:F261" si="10">D252*A252</f>
        <v>588.54</v>
      </c>
      <c r="G252" s="50"/>
    </row>
    <row r="253" spans="1:8" ht="16.5">
      <c r="A253" s="58">
        <v>1.52</v>
      </c>
      <c r="B253" s="50" t="s">
        <v>230</v>
      </c>
      <c r="C253" s="59" t="s">
        <v>4025</v>
      </c>
      <c r="D253" s="50">
        <v>695</v>
      </c>
      <c r="E253" s="50" t="s">
        <v>766</v>
      </c>
      <c r="F253" s="50">
        <f t="shared" si="10"/>
        <v>1056.4000000000001</v>
      </c>
      <c r="G253" s="50"/>
    </row>
    <row r="254" spans="1:8" ht="16.5">
      <c r="A254" s="58">
        <v>3</v>
      </c>
      <c r="B254" s="50" t="s">
        <v>221</v>
      </c>
      <c r="C254" s="59" t="s">
        <v>4027</v>
      </c>
      <c r="D254" s="50">
        <v>9</v>
      </c>
      <c r="E254" s="50" t="s">
        <v>221</v>
      </c>
      <c r="F254" s="50">
        <f t="shared" si="10"/>
        <v>27</v>
      </c>
      <c r="G254" s="50"/>
      <c r="H254" s="85"/>
    </row>
    <row r="255" spans="1:8" ht="16.5">
      <c r="A255" s="58">
        <v>4.2</v>
      </c>
      <c r="B255" s="50" t="s">
        <v>1393</v>
      </c>
      <c r="C255" s="59" t="s">
        <v>4094</v>
      </c>
      <c r="D255" s="50">
        <v>8.4499999999999993</v>
      </c>
      <c r="E255" s="50" t="s">
        <v>766</v>
      </c>
      <c r="F255" s="50">
        <f t="shared" si="10"/>
        <v>35.49</v>
      </c>
      <c r="G255" s="50"/>
      <c r="H255" s="85"/>
    </row>
    <row r="256" spans="1:8" ht="16.5">
      <c r="A256" s="58">
        <v>3.15</v>
      </c>
      <c r="B256" s="50" t="s">
        <v>2273</v>
      </c>
      <c r="C256" s="59" t="s">
        <v>3908</v>
      </c>
      <c r="D256" s="50">
        <f>F272</f>
        <v>0</v>
      </c>
      <c r="E256" s="50" t="s">
        <v>2273</v>
      </c>
      <c r="F256" s="50">
        <f t="shared" si="10"/>
        <v>0</v>
      </c>
      <c r="G256" s="50"/>
      <c r="H256" s="85"/>
    </row>
    <row r="257" spans="1:8" ht="16.5">
      <c r="A257" s="11">
        <v>1</v>
      </c>
      <c r="B257" s="11" t="s">
        <v>1865</v>
      </c>
      <c r="C257" s="11" t="s">
        <v>4095</v>
      </c>
      <c r="D257" s="11">
        <v>44.4</v>
      </c>
      <c r="E257" s="10" t="s">
        <v>1393</v>
      </c>
      <c r="F257" s="11">
        <f t="shared" si="10"/>
        <v>44.4</v>
      </c>
      <c r="G257" s="50"/>
      <c r="H257" s="85"/>
    </row>
    <row r="258" spans="1:8" ht="16.5">
      <c r="A258" s="11">
        <v>1</v>
      </c>
      <c r="B258" s="11" t="s">
        <v>1865</v>
      </c>
      <c r="C258" s="11" t="s">
        <v>4096</v>
      </c>
      <c r="D258" s="11">
        <v>867.3</v>
      </c>
      <c r="E258" s="10" t="s">
        <v>1393</v>
      </c>
      <c r="F258" s="11">
        <f t="shared" si="10"/>
        <v>867.3</v>
      </c>
      <c r="G258" s="50"/>
      <c r="H258" s="85"/>
    </row>
    <row r="259" spans="1:8" ht="18">
      <c r="A259" s="38">
        <v>45</v>
      </c>
      <c r="B259" s="38" t="s">
        <v>1865</v>
      </c>
      <c r="C259" s="38" t="s">
        <v>4097</v>
      </c>
      <c r="D259" s="38">
        <v>1.65</v>
      </c>
      <c r="E259" s="49" t="s">
        <v>1389</v>
      </c>
      <c r="F259" s="50">
        <f t="shared" si="10"/>
        <v>74.25</v>
      </c>
      <c r="G259" s="50"/>
      <c r="H259" s="85"/>
    </row>
    <row r="260" spans="1:8" ht="18">
      <c r="A260" s="38">
        <v>2</v>
      </c>
      <c r="B260" s="38" t="s">
        <v>1865</v>
      </c>
      <c r="C260" s="38" t="s">
        <v>4098</v>
      </c>
      <c r="D260" s="38">
        <v>76.2</v>
      </c>
      <c r="E260" s="10" t="s">
        <v>1393</v>
      </c>
      <c r="F260" s="50">
        <f t="shared" si="10"/>
        <v>152.4</v>
      </c>
      <c r="G260" s="50"/>
      <c r="H260" s="85"/>
    </row>
    <row r="261" spans="1:8" ht="18">
      <c r="A261" s="38">
        <v>2</v>
      </c>
      <c r="B261" s="38" t="s">
        <v>1865</v>
      </c>
      <c r="C261" s="38" t="s">
        <v>4099</v>
      </c>
      <c r="D261" s="38">
        <v>50.6</v>
      </c>
      <c r="E261" s="10" t="s">
        <v>1393</v>
      </c>
      <c r="F261" s="50">
        <f t="shared" si="10"/>
        <v>101.2</v>
      </c>
      <c r="G261" s="50"/>
      <c r="H261" s="85"/>
    </row>
    <row r="262" spans="1:8" ht="16.5">
      <c r="F262" s="5"/>
      <c r="G262" s="50"/>
      <c r="H262" s="85"/>
    </row>
    <row r="263" spans="1:8" ht="16.5">
      <c r="A263" s="58"/>
      <c r="B263" s="50"/>
      <c r="C263" s="59"/>
      <c r="D263" s="50"/>
      <c r="E263" s="56"/>
      <c r="F263" s="50"/>
      <c r="G263" s="50"/>
      <c r="H263" s="85"/>
    </row>
    <row r="264" spans="1:8" ht="16.5">
      <c r="A264" s="58"/>
      <c r="B264" s="50"/>
      <c r="C264" s="1" t="s">
        <v>4100</v>
      </c>
      <c r="E264" s="50"/>
      <c r="F264" s="50">
        <f>SUM(F250:F263)</f>
        <v>11767.72</v>
      </c>
      <c r="G264" s="50"/>
      <c r="H264" s="85"/>
    </row>
    <row r="265" spans="1:8" ht="16.5">
      <c r="A265" s="58"/>
      <c r="B265" s="50"/>
      <c r="C265" s="1" t="s">
        <v>549</v>
      </c>
      <c r="E265" s="55"/>
      <c r="F265" s="61">
        <f>F264/3.15</f>
        <v>3735.78</v>
      </c>
      <c r="G265" s="61" t="s">
        <v>1393</v>
      </c>
      <c r="H265" s="85"/>
    </row>
    <row r="266" spans="1:8" ht="16.5">
      <c r="A266" s="50"/>
      <c r="B266" s="50"/>
      <c r="C266" s="63"/>
      <c r="D266" s="50"/>
      <c r="E266" s="50"/>
      <c r="F266" s="50"/>
      <c r="G266" s="50"/>
      <c r="H266" s="85"/>
    </row>
    <row r="267" spans="1:8" ht="16.5">
      <c r="A267" s="50">
        <v>1</v>
      </c>
      <c r="B267" s="50" t="s">
        <v>865</v>
      </c>
      <c r="C267" s="59" t="s">
        <v>3914</v>
      </c>
      <c r="D267" s="50">
        <f>E218</f>
        <v>0</v>
      </c>
      <c r="E267" s="59" t="s">
        <v>865</v>
      </c>
      <c r="F267" s="50">
        <f>D267*A267</f>
        <v>0</v>
      </c>
      <c r="G267" s="50"/>
      <c r="H267" s="85"/>
    </row>
    <row r="268" spans="1:8" ht="16.5">
      <c r="A268" s="50">
        <v>1</v>
      </c>
      <c r="B268" s="50" t="s">
        <v>865</v>
      </c>
      <c r="C268" s="59" t="s">
        <v>3915</v>
      </c>
      <c r="D268" s="50">
        <f>E219</f>
        <v>0</v>
      </c>
      <c r="E268" s="59" t="s">
        <v>865</v>
      </c>
      <c r="F268" s="50">
        <f>D268*A268</f>
        <v>0</v>
      </c>
      <c r="G268" s="50"/>
      <c r="H268" s="85"/>
    </row>
    <row r="269" spans="1:8" ht="16.5">
      <c r="A269" s="50">
        <v>0.5</v>
      </c>
      <c r="B269" s="50" t="s">
        <v>865</v>
      </c>
      <c r="C269" s="59" t="s">
        <v>3916</v>
      </c>
      <c r="D269" s="50">
        <f>D220</f>
        <v>0</v>
      </c>
      <c r="E269" s="59" t="s">
        <v>865</v>
      </c>
      <c r="F269" s="50">
        <f>D269*A269</f>
        <v>0</v>
      </c>
      <c r="G269" s="50"/>
      <c r="H269" s="85"/>
    </row>
    <row r="270" spans="1:8" ht="16.5">
      <c r="A270" s="50"/>
      <c r="B270" s="50" t="s">
        <v>446</v>
      </c>
      <c r="C270" s="59"/>
      <c r="D270" s="50"/>
      <c r="E270" s="59" t="s">
        <v>446</v>
      </c>
      <c r="F270" s="50"/>
      <c r="G270" s="50"/>
      <c r="H270" s="85"/>
    </row>
    <row r="271" spans="1:8" ht="16.5">
      <c r="A271" s="50"/>
      <c r="B271" s="50"/>
      <c r="C271" s="50"/>
      <c r="D271" s="50"/>
      <c r="E271" s="59"/>
      <c r="F271" s="64" t="s">
        <v>1579</v>
      </c>
      <c r="G271" s="50"/>
      <c r="H271" s="85"/>
    </row>
    <row r="272" spans="1:8" ht="16.5">
      <c r="A272" s="50"/>
      <c r="B272" s="50"/>
      <c r="C272" s="59" t="s">
        <v>3917</v>
      </c>
      <c r="D272" s="50"/>
      <c r="E272" s="59"/>
      <c r="F272" s="61">
        <f>SUM(F267:F271)</f>
        <v>0</v>
      </c>
      <c r="G272" s="50"/>
      <c r="H272" s="85"/>
    </row>
    <row r="273" spans="1:8" ht="16.5">
      <c r="A273" s="50"/>
      <c r="B273" s="50"/>
      <c r="C273" s="50"/>
      <c r="D273" s="50"/>
      <c r="E273" s="59"/>
      <c r="F273" s="64" t="s">
        <v>1579</v>
      </c>
      <c r="G273" s="50"/>
      <c r="H273" s="85"/>
    </row>
    <row r="274" spans="1:8">
      <c r="H274" s="85"/>
    </row>
    <row r="275" spans="1:8">
      <c r="H275" s="85"/>
    </row>
    <row r="276" spans="1:8">
      <c r="A276" s="85"/>
      <c r="B276" s="85"/>
      <c r="C276" s="85" t="s">
        <v>4101</v>
      </c>
      <c r="D276" s="85"/>
      <c r="E276" s="85"/>
      <c r="F276" s="85"/>
      <c r="H276" s="85"/>
    </row>
    <row r="277" spans="1:8" ht="16.5">
      <c r="A277" s="1252" t="s">
        <v>4104</v>
      </c>
      <c r="B277" s="1252"/>
      <c r="C277" s="1252"/>
      <c r="D277" s="1252"/>
      <c r="E277" s="55"/>
      <c r="F277" s="55"/>
      <c r="H277" s="85"/>
    </row>
    <row r="278" spans="1:8" ht="16.5">
      <c r="A278" s="58"/>
      <c r="B278" s="50"/>
      <c r="C278" s="55"/>
      <c r="D278" s="50"/>
      <c r="E278" s="50"/>
      <c r="F278" s="50"/>
      <c r="H278" s="85"/>
    </row>
    <row r="279" spans="1:8" ht="16.5">
      <c r="A279" s="58"/>
      <c r="B279" s="50"/>
      <c r="C279" s="59"/>
      <c r="D279" s="50"/>
      <c r="E279" s="50"/>
      <c r="F279" s="50"/>
    </row>
    <row r="280" spans="1:8" ht="16.5">
      <c r="A280" s="58">
        <v>29.06</v>
      </c>
      <c r="B280" s="50" t="s">
        <v>909</v>
      </c>
      <c r="C280" s="92" t="s">
        <v>4102</v>
      </c>
      <c r="D280" s="50">
        <v>321</v>
      </c>
      <c r="E280" s="50" t="s">
        <v>909</v>
      </c>
      <c r="F280" s="50">
        <f>D280*A280</f>
        <v>9328.26</v>
      </c>
    </row>
    <row r="281" spans="1:8" ht="16.5">
      <c r="A281" s="87">
        <v>9.24</v>
      </c>
      <c r="B281" s="50" t="s">
        <v>823</v>
      </c>
      <c r="C281" s="59" t="s">
        <v>4026</v>
      </c>
      <c r="D281" s="50">
        <v>38.799999999999997</v>
      </c>
      <c r="E281" s="50" t="s">
        <v>823</v>
      </c>
      <c r="F281" s="50">
        <f t="shared" ref="F281:F291" si="11">D281*A281</f>
        <v>358.51</v>
      </c>
    </row>
    <row r="282" spans="1:8" ht="16.5">
      <c r="A282" s="58">
        <v>1.49</v>
      </c>
      <c r="B282" s="50" t="s">
        <v>230</v>
      </c>
      <c r="C282" s="59" t="s">
        <v>4024</v>
      </c>
      <c r="D282" s="50">
        <v>394</v>
      </c>
      <c r="E282" s="50" t="s">
        <v>230</v>
      </c>
      <c r="F282" s="50">
        <f t="shared" si="11"/>
        <v>587.05999999999995</v>
      </c>
    </row>
    <row r="283" spans="1:8" ht="16.5">
      <c r="A283" s="58">
        <v>0.75</v>
      </c>
      <c r="B283" s="50" t="s">
        <v>230</v>
      </c>
      <c r="C283" s="59" t="s">
        <v>4025</v>
      </c>
      <c r="D283" s="50">
        <v>695</v>
      </c>
      <c r="E283" s="50" t="s">
        <v>766</v>
      </c>
      <c r="F283" s="50">
        <f t="shared" si="11"/>
        <v>521.25</v>
      </c>
    </row>
    <row r="284" spans="1:8" ht="16.5">
      <c r="A284" s="58">
        <v>2</v>
      </c>
      <c r="B284" s="50" t="s">
        <v>221</v>
      </c>
      <c r="C284" s="59" t="s">
        <v>4027</v>
      </c>
      <c r="D284" s="50">
        <v>9</v>
      </c>
      <c r="E284" s="50" t="s">
        <v>221</v>
      </c>
      <c r="F284" s="50">
        <f t="shared" si="11"/>
        <v>18</v>
      </c>
    </row>
    <row r="285" spans="1:8" ht="16.5">
      <c r="A285" s="58">
        <v>7.08</v>
      </c>
      <c r="B285" s="50" t="s">
        <v>1393</v>
      </c>
      <c r="C285" s="59" t="s">
        <v>4094</v>
      </c>
      <c r="D285" s="50">
        <v>8.6</v>
      </c>
      <c r="E285" s="50" t="s">
        <v>766</v>
      </c>
      <c r="F285" s="50">
        <f t="shared" si="11"/>
        <v>60.89</v>
      </c>
    </row>
    <row r="286" spans="1:8" ht="16.5">
      <c r="A286" s="58">
        <v>2.1</v>
      </c>
      <c r="B286" s="50" t="s">
        <v>2273</v>
      </c>
      <c r="C286" s="59" t="s">
        <v>3908</v>
      </c>
      <c r="D286" s="50">
        <f>D263</f>
        <v>0</v>
      </c>
      <c r="E286" s="50" t="s">
        <v>2273</v>
      </c>
      <c r="F286" s="50">
        <f t="shared" si="11"/>
        <v>0</v>
      </c>
    </row>
    <row r="287" spans="1:8" ht="16.5">
      <c r="A287" s="11">
        <v>1</v>
      </c>
      <c r="B287" s="11" t="s">
        <v>1865</v>
      </c>
      <c r="C287" s="11" t="s">
        <v>4095</v>
      </c>
      <c r="D287" s="11">
        <v>48.9</v>
      </c>
      <c r="E287" s="10" t="s">
        <v>1393</v>
      </c>
      <c r="F287" s="50">
        <f t="shared" si="11"/>
        <v>48.9</v>
      </c>
    </row>
    <row r="288" spans="1:8" ht="16.5">
      <c r="A288" s="11">
        <v>1</v>
      </c>
      <c r="B288" s="11" t="s">
        <v>1865</v>
      </c>
      <c r="C288" s="11" t="s">
        <v>4096</v>
      </c>
      <c r="D288" s="11">
        <v>884</v>
      </c>
      <c r="E288" s="10" t="s">
        <v>1393</v>
      </c>
      <c r="F288" s="50">
        <f t="shared" si="11"/>
        <v>884</v>
      </c>
    </row>
    <row r="289" spans="1:7" ht="18">
      <c r="A289" s="38">
        <v>6</v>
      </c>
      <c r="B289" s="38" t="s">
        <v>1865</v>
      </c>
      <c r="C289" s="38" t="s">
        <v>4103</v>
      </c>
      <c r="D289" s="38">
        <f>D260</f>
        <v>76.2</v>
      </c>
      <c r="E289" s="49" t="s">
        <v>1389</v>
      </c>
      <c r="F289" s="50">
        <f t="shared" si="11"/>
        <v>457.2</v>
      </c>
    </row>
    <row r="290" spans="1:7" ht="18">
      <c r="A290" s="38">
        <v>2</v>
      </c>
      <c r="B290" s="38" t="s">
        <v>1865</v>
      </c>
      <c r="C290" s="38" t="s">
        <v>4098</v>
      </c>
      <c r="D290" s="38">
        <v>108.7</v>
      </c>
      <c r="E290" s="10" t="s">
        <v>1393</v>
      </c>
      <c r="F290" s="50">
        <f t="shared" si="11"/>
        <v>217.4</v>
      </c>
    </row>
    <row r="291" spans="1:7" ht="18">
      <c r="A291" s="38">
        <v>2</v>
      </c>
      <c r="B291" s="38" t="s">
        <v>1865</v>
      </c>
      <c r="C291" s="38" t="s">
        <v>4099</v>
      </c>
      <c r="D291" s="38">
        <v>54.1</v>
      </c>
      <c r="E291" s="10" t="s">
        <v>1393</v>
      </c>
      <c r="F291" s="50">
        <f t="shared" si="11"/>
        <v>108.2</v>
      </c>
    </row>
    <row r="292" spans="1:7">
      <c r="F292" s="5">
        <f>SUM(F280:F291)</f>
        <v>12589.67</v>
      </c>
    </row>
    <row r="293" spans="1:7" ht="16.5">
      <c r="A293" s="85"/>
      <c r="B293" s="85"/>
      <c r="C293" s="85"/>
      <c r="D293" s="85"/>
      <c r="E293" s="85"/>
      <c r="F293" s="50">
        <f>F292/A286</f>
        <v>5995.08</v>
      </c>
    </row>
    <row r="294" spans="1:7">
      <c r="A294" s="85"/>
      <c r="B294" s="85"/>
      <c r="C294" s="85"/>
      <c r="D294" s="85"/>
      <c r="E294" s="85"/>
      <c r="F294" s="85"/>
    </row>
    <row r="297" spans="1:7" ht="19.5">
      <c r="A297" s="94"/>
      <c r="B297" s="95"/>
      <c r="C297" s="96" t="s">
        <v>4194</v>
      </c>
      <c r="D297" s="95"/>
      <c r="E297" s="97"/>
      <c r="F297" s="95"/>
      <c r="G297" s="98"/>
    </row>
    <row r="298" spans="1:7" ht="18.75">
      <c r="A298" s="94">
        <v>3.488</v>
      </c>
      <c r="B298" s="95" t="s">
        <v>909</v>
      </c>
      <c r="C298" s="97" t="s">
        <v>4195</v>
      </c>
      <c r="D298" s="95">
        <f>D132</f>
        <v>325</v>
      </c>
      <c r="E298" s="95" t="s">
        <v>909</v>
      </c>
      <c r="F298" s="95">
        <f t="shared" ref="F298:F307" si="12">D298*A298</f>
        <v>1133.5999999999999</v>
      </c>
      <c r="G298" s="98"/>
    </row>
    <row r="299" spans="1:7" ht="18.75">
      <c r="A299" s="94">
        <v>4.38</v>
      </c>
      <c r="B299" s="95" t="s">
        <v>909</v>
      </c>
      <c r="C299" s="97" t="s">
        <v>4196</v>
      </c>
      <c r="D299" s="95">
        <f>D133</f>
        <v>325</v>
      </c>
      <c r="E299" s="95" t="s">
        <v>909</v>
      </c>
      <c r="F299" s="95">
        <f t="shared" si="12"/>
        <v>1423.5</v>
      </c>
      <c r="G299" s="98"/>
    </row>
    <row r="300" spans="1:7" ht="18.75">
      <c r="A300" s="94">
        <v>1.18</v>
      </c>
      <c r="B300" s="95" t="s">
        <v>909</v>
      </c>
      <c r="C300" s="97" t="s">
        <v>4197</v>
      </c>
      <c r="D300" s="95">
        <f>D134</f>
        <v>325</v>
      </c>
      <c r="E300" s="95" t="s">
        <v>909</v>
      </c>
      <c r="F300" s="95">
        <f t="shared" si="12"/>
        <v>383.5</v>
      </c>
      <c r="G300" s="98"/>
    </row>
    <row r="301" spans="1:7" ht="18.75">
      <c r="A301" s="94">
        <v>0.82</v>
      </c>
      <c r="B301" s="95" t="s">
        <v>909</v>
      </c>
      <c r="C301" s="97" t="s">
        <v>4198</v>
      </c>
      <c r="D301" s="95">
        <f>D135</f>
        <v>325</v>
      </c>
      <c r="E301" s="95" t="s">
        <v>909</v>
      </c>
      <c r="F301" s="95">
        <f t="shared" si="12"/>
        <v>266.5</v>
      </c>
      <c r="G301" s="98"/>
    </row>
    <row r="302" spans="1:7" ht="18.75">
      <c r="A302" s="94">
        <v>1.26</v>
      </c>
      <c r="B302" s="95" t="s">
        <v>230</v>
      </c>
      <c r="C302" s="97" t="s">
        <v>1847</v>
      </c>
      <c r="D302" s="95">
        <f t="shared" ref="D302:D307" si="13">D136</f>
        <v>208.8</v>
      </c>
      <c r="E302" s="95" t="s">
        <v>230</v>
      </c>
      <c r="F302" s="95">
        <f t="shared" si="12"/>
        <v>263.08999999999997</v>
      </c>
      <c r="G302" s="98"/>
    </row>
    <row r="303" spans="1:7" ht="18.75">
      <c r="A303" s="94">
        <v>6.6</v>
      </c>
      <c r="B303" s="95" t="s">
        <v>823</v>
      </c>
      <c r="C303" s="97" t="s">
        <v>3903</v>
      </c>
      <c r="D303" s="95">
        <f t="shared" si="13"/>
        <v>27.1</v>
      </c>
      <c r="E303" s="95" t="s">
        <v>823</v>
      </c>
      <c r="F303" s="95">
        <f t="shared" si="12"/>
        <v>178.86</v>
      </c>
      <c r="G303" s="98"/>
    </row>
    <row r="304" spans="1:7" ht="18.75">
      <c r="A304" s="94">
        <v>2</v>
      </c>
      <c r="B304" s="95" t="s">
        <v>766</v>
      </c>
      <c r="C304" s="97" t="s">
        <v>4199</v>
      </c>
      <c r="D304" s="95">
        <f t="shared" si="13"/>
        <v>350</v>
      </c>
      <c r="E304" s="95" t="s">
        <v>4200</v>
      </c>
      <c r="F304" s="95">
        <f t="shared" si="12"/>
        <v>700</v>
      </c>
      <c r="G304" s="98"/>
    </row>
    <row r="305" spans="1:8" ht="18.75">
      <c r="A305" s="94">
        <v>2</v>
      </c>
      <c r="B305" s="95" t="s">
        <v>766</v>
      </c>
      <c r="C305" s="97" t="s">
        <v>3929</v>
      </c>
      <c r="D305" s="95">
        <f t="shared" si="13"/>
        <v>48</v>
      </c>
      <c r="E305" s="95" t="s">
        <v>766</v>
      </c>
      <c r="F305" s="95">
        <f t="shared" si="12"/>
        <v>96</v>
      </c>
      <c r="G305" s="98"/>
    </row>
    <row r="306" spans="1:8" ht="18.75">
      <c r="A306" s="94">
        <v>4</v>
      </c>
      <c r="B306" s="95" t="s">
        <v>766</v>
      </c>
      <c r="C306" s="97" t="s">
        <v>1853</v>
      </c>
      <c r="D306" s="95">
        <f t="shared" si="13"/>
        <v>15</v>
      </c>
      <c r="E306" s="95" t="s">
        <v>766</v>
      </c>
      <c r="F306" s="95">
        <f t="shared" si="12"/>
        <v>60</v>
      </c>
      <c r="G306" s="98"/>
    </row>
    <row r="307" spans="1:8" ht="18.75">
      <c r="A307" s="94">
        <v>1.26</v>
      </c>
      <c r="B307" s="95" t="s">
        <v>2273</v>
      </c>
      <c r="C307" s="97" t="s">
        <v>1854</v>
      </c>
      <c r="D307" s="95">
        <f t="shared" si="13"/>
        <v>1998</v>
      </c>
      <c r="E307" s="95" t="s">
        <v>2273</v>
      </c>
      <c r="F307" s="95">
        <f t="shared" si="12"/>
        <v>2517.48</v>
      </c>
      <c r="G307" s="98"/>
    </row>
    <row r="308" spans="1:8" ht="18.75">
      <c r="A308" s="94"/>
      <c r="B308" s="95"/>
      <c r="C308" s="97" t="s">
        <v>1855</v>
      </c>
      <c r="D308" s="95"/>
      <c r="E308" s="99"/>
      <c r="F308" s="95">
        <v>9.4</v>
      </c>
      <c r="G308" s="98"/>
    </row>
    <row r="309" spans="1:8" ht="19.5">
      <c r="A309" s="94"/>
      <c r="B309" s="95"/>
      <c r="C309" s="100" t="s">
        <v>3526</v>
      </c>
      <c r="D309" s="95"/>
      <c r="E309" s="95"/>
      <c r="F309" s="96">
        <f>SUM(F298:F308)</f>
        <v>7031.93</v>
      </c>
      <c r="G309" s="98" t="s">
        <v>1393</v>
      </c>
    </row>
    <row r="310" spans="1:8">
      <c r="F310" s="11">
        <f>F309/1.26</f>
        <v>5580.9</v>
      </c>
      <c r="G310" t="s">
        <v>2273</v>
      </c>
    </row>
    <row r="315" spans="1:8">
      <c r="A315" s="1255" t="s">
        <v>4381</v>
      </c>
      <c r="B315" s="1255"/>
      <c r="C315" s="1255"/>
      <c r="D315" s="1255"/>
      <c r="E315" s="1255"/>
      <c r="F315" s="1255"/>
      <c r="G315" s="1255"/>
      <c r="H315" s="1255"/>
    </row>
    <row r="316" spans="1:8">
      <c r="A316" s="1255" t="s">
        <v>4382</v>
      </c>
      <c r="B316" s="1255"/>
      <c r="C316" s="1255"/>
      <c r="D316" s="1255"/>
      <c r="E316" s="1255"/>
      <c r="F316" s="1255"/>
      <c r="G316" s="1255"/>
      <c r="H316" s="1255"/>
    </row>
    <row r="317" spans="1:8">
      <c r="A317" s="85"/>
      <c r="B317" s="85" t="s">
        <v>4383</v>
      </c>
      <c r="C317" s="85" t="s">
        <v>4384</v>
      </c>
      <c r="D317" s="85"/>
      <c r="E317" s="85"/>
      <c r="F317" s="85"/>
      <c r="G317" s="85"/>
      <c r="H317" s="85"/>
    </row>
    <row r="318" spans="1:8">
      <c r="A318" s="85"/>
      <c r="B318" s="85"/>
      <c r="C318" s="85" t="s">
        <v>4385</v>
      </c>
      <c r="D318" s="85" t="s">
        <v>2046</v>
      </c>
      <c r="E318" s="85" t="s">
        <v>4386</v>
      </c>
      <c r="F318" s="85" t="s">
        <v>2046</v>
      </c>
      <c r="G318" s="20">
        <f>1*1.2*1.558</f>
        <v>1.87</v>
      </c>
      <c r="H318" s="85" t="s">
        <v>1637</v>
      </c>
    </row>
    <row r="319" spans="1:8">
      <c r="A319" s="85"/>
      <c r="B319" s="85" t="s">
        <v>4387</v>
      </c>
      <c r="C319" s="85" t="s">
        <v>4388</v>
      </c>
      <c r="D319" s="85"/>
      <c r="E319" s="85"/>
      <c r="F319" s="85"/>
      <c r="G319" s="85"/>
      <c r="H319" s="85"/>
    </row>
    <row r="320" spans="1:8">
      <c r="A320" s="85"/>
      <c r="B320" s="85"/>
      <c r="C320" s="85" t="s">
        <v>4389</v>
      </c>
      <c r="D320" s="85" t="s">
        <v>2046</v>
      </c>
      <c r="E320" s="85" t="s">
        <v>4390</v>
      </c>
      <c r="F320" s="85" t="s">
        <v>2046</v>
      </c>
      <c r="G320" s="20">
        <f>1*2*1.35*0.695</f>
        <v>1.88</v>
      </c>
      <c r="H320" s="85" t="s">
        <v>1637</v>
      </c>
    </row>
    <row r="321" spans="1:8">
      <c r="A321" s="85"/>
      <c r="B321" s="85" t="s">
        <v>4391</v>
      </c>
      <c r="C321" s="85" t="s">
        <v>4392</v>
      </c>
      <c r="D321" s="85"/>
      <c r="E321" s="85"/>
      <c r="F321" s="85"/>
      <c r="G321" s="20"/>
      <c r="H321" s="85"/>
    </row>
    <row r="322" spans="1:8">
      <c r="A322" s="85"/>
      <c r="B322" s="85"/>
      <c r="C322" s="85" t="s">
        <v>4393</v>
      </c>
      <c r="D322" s="85" t="s">
        <v>2046</v>
      </c>
      <c r="E322" s="85" t="s">
        <v>4394</v>
      </c>
      <c r="F322" s="85" t="s">
        <v>2046</v>
      </c>
      <c r="G322" s="20">
        <f>1*1*1.2*1.088</f>
        <v>1.31</v>
      </c>
      <c r="H322" s="85" t="s">
        <v>1637</v>
      </c>
    </row>
    <row r="323" spans="1:8">
      <c r="A323" s="85"/>
      <c r="B323" s="85" t="s">
        <v>4395</v>
      </c>
      <c r="C323" s="85" t="s">
        <v>4396</v>
      </c>
      <c r="D323" s="85"/>
      <c r="E323" s="85"/>
      <c r="F323" s="85"/>
      <c r="G323" s="20"/>
      <c r="H323" s="85"/>
    </row>
    <row r="324" spans="1:8">
      <c r="A324" s="85"/>
      <c r="B324" s="85"/>
      <c r="C324" s="85" t="s">
        <v>4397</v>
      </c>
      <c r="D324" s="85" t="s">
        <v>2046</v>
      </c>
      <c r="E324" s="85" t="s">
        <v>4398</v>
      </c>
      <c r="F324" s="85" t="s">
        <v>2046</v>
      </c>
      <c r="G324" s="20">
        <f>1*2*1.25*0.605</f>
        <v>1.51</v>
      </c>
      <c r="H324" s="85" t="s">
        <v>1637</v>
      </c>
    </row>
    <row r="325" spans="1:8">
      <c r="A325" s="85"/>
      <c r="B325" s="85" t="s">
        <v>4399</v>
      </c>
      <c r="C325" s="85" t="s">
        <v>4400</v>
      </c>
      <c r="D325" s="85"/>
      <c r="E325" s="85"/>
      <c r="F325" s="85"/>
      <c r="G325" s="20"/>
      <c r="H325" s="85"/>
    </row>
    <row r="326" spans="1:8">
      <c r="A326" s="85"/>
      <c r="B326" s="85"/>
      <c r="C326" s="85" t="s">
        <v>4401</v>
      </c>
      <c r="D326" s="85" t="s">
        <v>2046</v>
      </c>
      <c r="E326" s="85" t="s">
        <v>4402</v>
      </c>
      <c r="F326" s="85" t="s">
        <v>2046</v>
      </c>
      <c r="G326" s="20">
        <f>1*2*1.25*0.488</f>
        <v>1.22</v>
      </c>
      <c r="H326" s="85" t="s">
        <v>1637</v>
      </c>
    </row>
    <row r="327" spans="1:8">
      <c r="A327" s="85"/>
      <c r="B327" s="85" t="s">
        <v>4399</v>
      </c>
      <c r="C327" s="85" t="s">
        <v>4403</v>
      </c>
      <c r="D327" s="85"/>
      <c r="E327" s="85"/>
      <c r="F327" s="85"/>
      <c r="G327" s="20"/>
      <c r="H327" s="85"/>
    </row>
    <row r="328" spans="1:8">
      <c r="A328" s="85"/>
      <c r="B328" s="85"/>
      <c r="C328" s="85" t="s">
        <v>4404</v>
      </c>
      <c r="D328" s="85" t="s">
        <v>2046</v>
      </c>
      <c r="E328" s="85" t="s">
        <v>4405</v>
      </c>
      <c r="F328" s="85" t="s">
        <v>2046</v>
      </c>
      <c r="G328" s="20">
        <f>2*2*0.55*0.355</f>
        <v>0.78</v>
      </c>
      <c r="H328" s="85" t="s">
        <v>1637</v>
      </c>
    </row>
    <row r="329" spans="1:8">
      <c r="A329" s="85"/>
      <c r="B329" s="85"/>
      <c r="C329" s="85"/>
      <c r="D329" s="85"/>
      <c r="E329" s="85"/>
      <c r="F329" s="85"/>
      <c r="G329" s="20">
        <f>SUM(G318:G328)</f>
        <v>8.57</v>
      </c>
      <c r="H329" s="85" t="s">
        <v>1637</v>
      </c>
    </row>
    <row r="330" spans="1:8">
      <c r="A330" s="85"/>
      <c r="B330" s="85"/>
      <c r="C330" s="85"/>
      <c r="D330" s="85"/>
      <c r="E330" s="85" t="s">
        <v>4406</v>
      </c>
      <c r="F330" s="85" t="s">
        <v>2046</v>
      </c>
      <c r="G330" s="20">
        <f>G329*10%</f>
        <v>0.86</v>
      </c>
      <c r="H330" s="85" t="s">
        <v>1637</v>
      </c>
    </row>
    <row r="331" spans="1:8">
      <c r="A331" s="85"/>
      <c r="B331" s="85"/>
      <c r="C331" s="85"/>
      <c r="D331" s="85"/>
      <c r="E331" s="85"/>
      <c r="F331" s="85"/>
      <c r="G331" s="89">
        <f>SUM(G329:G330)</f>
        <v>9.43</v>
      </c>
      <c r="H331" s="85" t="s">
        <v>1637</v>
      </c>
    </row>
    <row r="332" spans="1:8">
      <c r="A332" s="85"/>
      <c r="B332" s="85"/>
      <c r="C332" s="85"/>
      <c r="D332" s="85"/>
      <c r="E332" s="85"/>
      <c r="F332" s="85"/>
      <c r="G332" s="85"/>
      <c r="H332" s="85"/>
    </row>
    <row r="333" spans="1:8">
      <c r="A333" s="85"/>
      <c r="B333" s="106" t="s">
        <v>4407</v>
      </c>
      <c r="C333" s="85" t="s">
        <v>4408</v>
      </c>
      <c r="D333" s="85"/>
      <c r="E333" s="85"/>
      <c r="F333" s="85"/>
      <c r="G333" s="85"/>
      <c r="H333" s="85"/>
    </row>
    <row r="334" spans="1:8" ht="17.25">
      <c r="A334" s="85"/>
      <c r="B334" s="85"/>
      <c r="C334" s="85" t="s">
        <v>4409</v>
      </c>
      <c r="D334" s="85" t="s">
        <v>2046</v>
      </c>
      <c r="E334" s="85" t="s">
        <v>4410</v>
      </c>
      <c r="F334" s="85" t="s">
        <v>2046</v>
      </c>
      <c r="G334" s="85">
        <f>1*2*0.55*1.25</f>
        <v>1.375</v>
      </c>
      <c r="H334" s="85" t="s">
        <v>4411</v>
      </c>
    </row>
    <row r="335" spans="1:8">
      <c r="A335" s="85"/>
      <c r="B335" s="85"/>
      <c r="C335" s="85"/>
      <c r="D335" s="85"/>
      <c r="E335" s="85"/>
      <c r="F335" s="85"/>
      <c r="G335" s="85"/>
      <c r="H335" s="85"/>
    </row>
    <row r="336" spans="1:8">
      <c r="A336" s="85"/>
      <c r="B336" s="106" t="s">
        <v>4412</v>
      </c>
      <c r="C336" s="85" t="s">
        <v>3903</v>
      </c>
      <c r="D336" s="85" t="s">
        <v>2046</v>
      </c>
      <c r="E336" s="85" t="s">
        <v>4413</v>
      </c>
      <c r="F336" s="85" t="s">
        <v>2046</v>
      </c>
      <c r="G336" s="85">
        <f>1*2*2*3.6</f>
        <v>14.4</v>
      </c>
      <c r="H336" s="85" t="s">
        <v>823</v>
      </c>
    </row>
    <row r="337" spans="1:8">
      <c r="A337" s="85"/>
      <c r="B337" s="85"/>
      <c r="C337" s="85"/>
      <c r="D337" s="85"/>
      <c r="E337" s="85"/>
      <c r="F337" s="85"/>
      <c r="G337" s="85"/>
      <c r="H337" s="85"/>
    </row>
    <row r="338" spans="1:8" ht="17.25">
      <c r="A338" s="85"/>
      <c r="B338" s="106" t="s">
        <v>4414</v>
      </c>
      <c r="C338" s="85" t="s">
        <v>4415</v>
      </c>
      <c r="D338" s="85" t="s">
        <v>2046</v>
      </c>
      <c r="E338" s="85" t="s">
        <v>4416</v>
      </c>
      <c r="F338" s="85" t="s">
        <v>2046</v>
      </c>
      <c r="G338" s="85">
        <f>1.2*1.35</f>
        <v>1.62</v>
      </c>
      <c r="H338" s="85" t="s">
        <v>4411</v>
      </c>
    </row>
    <row r="339" spans="1:8">
      <c r="A339" s="85"/>
      <c r="B339" s="85"/>
      <c r="C339" s="85"/>
      <c r="D339" s="85"/>
      <c r="E339" s="85"/>
      <c r="F339" s="85"/>
      <c r="G339" s="85"/>
      <c r="H339" s="85"/>
    </row>
    <row r="340" spans="1:8">
      <c r="A340" s="85"/>
      <c r="B340" s="85"/>
      <c r="C340" s="85"/>
      <c r="D340" s="85"/>
      <c r="E340" s="85"/>
      <c r="F340" s="85"/>
      <c r="G340" s="85"/>
      <c r="H340" s="85"/>
    </row>
    <row r="341" spans="1:8">
      <c r="A341" s="85"/>
      <c r="B341" s="85"/>
      <c r="C341" s="85"/>
      <c r="D341" s="85"/>
      <c r="E341" s="85"/>
      <c r="F341" s="85"/>
      <c r="G341" s="85"/>
      <c r="H341" s="85"/>
    </row>
    <row r="342" spans="1:8">
      <c r="A342" s="7">
        <v>9.43</v>
      </c>
      <c r="B342" t="s">
        <v>909</v>
      </c>
      <c r="C342" s="1" t="s">
        <v>4417</v>
      </c>
      <c r="E342">
        <v>287</v>
      </c>
      <c r="F342" t="s">
        <v>909</v>
      </c>
      <c r="G342">
        <f t="shared" ref="G342:G347" si="14">E342*A342</f>
        <v>2706.41</v>
      </c>
      <c r="H342" s="85"/>
    </row>
    <row r="343" spans="1:8">
      <c r="A343" s="7">
        <f>G334</f>
        <v>1.375</v>
      </c>
      <c r="B343" t="s">
        <v>230</v>
      </c>
      <c r="C343" s="1" t="s">
        <v>4418</v>
      </c>
      <c r="E343">
        <v>336</v>
      </c>
      <c r="F343" t="s">
        <v>230</v>
      </c>
      <c r="G343">
        <f t="shared" si="14"/>
        <v>462</v>
      </c>
      <c r="H343" s="85"/>
    </row>
    <row r="344" spans="1:8">
      <c r="A344" s="7">
        <v>14.4</v>
      </c>
      <c r="B344" t="s">
        <v>823</v>
      </c>
      <c r="C344" s="1" t="s">
        <v>1848</v>
      </c>
      <c r="E344">
        <v>27.1</v>
      </c>
      <c r="F344" t="s">
        <v>823</v>
      </c>
      <c r="G344">
        <f t="shared" si="14"/>
        <v>390.24</v>
      </c>
      <c r="H344" s="85"/>
    </row>
    <row r="345" spans="1:8">
      <c r="A345" s="7">
        <v>1</v>
      </c>
      <c r="B345" t="s">
        <v>766</v>
      </c>
      <c r="C345" s="1" t="s">
        <v>4419</v>
      </c>
      <c r="E345">
        <v>59.4</v>
      </c>
      <c r="F345" t="s">
        <v>766</v>
      </c>
      <c r="G345">
        <f t="shared" si="14"/>
        <v>59.4</v>
      </c>
      <c r="H345" s="85"/>
    </row>
    <row r="346" spans="1:8">
      <c r="A346" s="7">
        <v>1</v>
      </c>
      <c r="B346" t="s">
        <v>766</v>
      </c>
      <c r="C346" s="1" t="s">
        <v>4420</v>
      </c>
      <c r="E346">
        <v>13.1</v>
      </c>
      <c r="F346" t="s">
        <v>766</v>
      </c>
      <c r="G346">
        <f t="shared" si="14"/>
        <v>13.1</v>
      </c>
      <c r="H346" s="85"/>
    </row>
    <row r="347" spans="1:8">
      <c r="A347" s="7">
        <v>1.62</v>
      </c>
      <c r="B347" t="s">
        <v>2273</v>
      </c>
      <c r="C347" s="1" t="s">
        <v>1854</v>
      </c>
      <c r="E347">
        <f>G357</f>
        <v>1110</v>
      </c>
      <c r="F347" t="s">
        <v>2273</v>
      </c>
      <c r="G347">
        <f t="shared" si="14"/>
        <v>1798.2</v>
      </c>
      <c r="H347" s="85"/>
    </row>
    <row r="348" spans="1:8">
      <c r="C348" s="1" t="s">
        <v>2261</v>
      </c>
      <c r="E348" s="2"/>
      <c r="F348" t="s">
        <v>654</v>
      </c>
      <c r="G348" s="85">
        <v>2.56</v>
      </c>
      <c r="H348" s="85"/>
    </row>
    <row r="349" spans="1:8">
      <c r="C349" s="4" t="s">
        <v>4421</v>
      </c>
      <c r="G349">
        <f>SUM(G342:G348)</f>
        <v>5431.91</v>
      </c>
      <c r="H349" s="85"/>
    </row>
    <row r="350" spans="1:8">
      <c r="C350" s="107" t="s">
        <v>4422</v>
      </c>
      <c r="D350" s="91" t="s">
        <v>2046</v>
      </c>
      <c r="E350" s="91"/>
      <c r="F350" s="11"/>
      <c r="G350" s="89">
        <f>G349/A347</f>
        <v>3353.03</v>
      </c>
      <c r="H350" s="85"/>
    </row>
    <row r="351" spans="1:8">
      <c r="A351" s="85"/>
      <c r="B351" s="85"/>
      <c r="C351" s="85"/>
      <c r="D351" s="85"/>
      <c r="E351" s="85"/>
      <c r="F351" s="85"/>
      <c r="G351" s="85"/>
      <c r="H351" s="85"/>
    </row>
    <row r="352" spans="1:8">
      <c r="A352" s="85"/>
      <c r="B352" s="85"/>
      <c r="C352" s="88" t="s">
        <v>4423</v>
      </c>
      <c r="D352" s="85"/>
      <c r="E352" s="85"/>
      <c r="F352" s="85"/>
      <c r="G352" s="85"/>
      <c r="H352" s="85"/>
    </row>
    <row r="353" spans="1:8">
      <c r="A353">
        <v>1</v>
      </c>
      <c r="B353" t="s">
        <v>865</v>
      </c>
      <c r="C353" s="1" t="s">
        <v>4424</v>
      </c>
      <c r="E353">
        <v>501</v>
      </c>
      <c r="F353" s="1" t="s">
        <v>865</v>
      </c>
      <c r="G353" s="85">
        <f>E353*A353</f>
        <v>501</v>
      </c>
      <c r="H353" s="85"/>
    </row>
    <row r="354" spans="1:8">
      <c r="A354">
        <v>1</v>
      </c>
      <c r="B354" t="s">
        <v>865</v>
      </c>
      <c r="C354" s="1" t="s">
        <v>4425</v>
      </c>
      <c r="E354">
        <v>355</v>
      </c>
      <c r="F354" s="1" t="s">
        <v>865</v>
      </c>
      <c r="G354" s="85">
        <f>E354*A354</f>
        <v>355</v>
      </c>
      <c r="H354" s="85"/>
    </row>
    <row r="355" spans="1:8">
      <c r="A355">
        <v>0.5</v>
      </c>
      <c r="B355" t="s">
        <v>865</v>
      </c>
      <c r="C355" s="1" t="s">
        <v>4426</v>
      </c>
      <c r="E355">
        <v>508</v>
      </c>
      <c r="F355" s="1" t="s">
        <v>865</v>
      </c>
      <c r="G355" s="85">
        <f>E355*A355</f>
        <v>254</v>
      </c>
      <c r="H355" s="85"/>
    </row>
    <row r="356" spans="1:8">
      <c r="C356" s="1"/>
      <c r="E356" s="1"/>
      <c r="F356" s="3"/>
      <c r="G356" s="85"/>
      <c r="H356" s="85"/>
    </row>
    <row r="357" spans="1:8">
      <c r="C357" s="1" t="s">
        <v>3917</v>
      </c>
      <c r="E357" s="1"/>
      <c r="F357" s="11"/>
      <c r="G357" s="91">
        <f>SUM(G353:G356)</f>
        <v>1110</v>
      </c>
      <c r="H357" s="85"/>
    </row>
    <row r="358" spans="1:8">
      <c r="E358" s="1"/>
      <c r="F358" s="3"/>
      <c r="G358" s="85"/>
      <c r="H358" s="85"/>
    </row>
    <row r="359" spans="1:8">
      <c r="A359" s="48"/>
      <c r="B359" s="48"/>
      <c r="C359" s="101"/>
      <c r="D359" s="48"/>
      <c r="E359" s="101"/>
      <c r="F359" s="48"/>
      <c r="G359" s="108"/>
      <c r="H359" s="108"/>
    </row>
    <row r="360" spans="1:8">
      <c r="A360" s="85"/>
      <c r="B360" s="85"/>
      <c r="C360" s="85"/>
      <c r="D360" s="85"/>
      <c r="E360" s="85"/>
      <c r="F360" s="85"/>
      <c r="G360" s="85"/>
      <c r="H360" s="85"/>
    </row>
    <row r="361" spans="1:8">
      <c r="A361" s="1255" t="s">
        <v>4427</v>
      </c>
      <c r="B361" s="1255"/>
      <c r="C361" s="1255"/>
      <c r="D361" s="1255"/>
      <c r="E361" s="1255"/>
      <c r="F361" s="1255"/>
      <c r="G361" s="1255"/>
      <c r="H361" s="1255"/>
    </row>
    <row r="362" spans="1:8">
      <c r="A362" s="85"/>
      <c r="B362" s="85" t="s">
        <v>4383</v>
      </c>
      <c r="C362" s="85" t="s">
        <v>4384</v>
      </c>
      <c r="D362" s="85"/>
      <c r="E362" s="85"/>
      <c r="F362" s="85"/>
      <c r="G362" s="85"/>
      <c r="H362" s="85"/>
    </row>
    <row r="363" spans="1:8">
      <c r="A363" s="85"/>
      <c r="B363" s="85"/>
      <c r="C363" s="85" t="s">
        <v>4385</v>
      </c>
      <c r="D363" s="85" t="s">
        <v>2046</v>
      </c>
      <c r="E363" s="85" t="s">
        <v>4428</v>
      </c>
      <c r="F363" s="85" t="s">
        <v>2046</v>
      </c>
      <c r="G363" s="20">
        <f>1*2*2.4*1.558</f>
        <v>7.48</v>
      </c>
      <c r="H363" s="85" t="s">
        <v>1637</v>
      </c>
    </row>
    <row r="364" spans="1:8">
      <c r="A364" s="85"/>
      <c r="B364" s="85" t="s">
        <v>4387</v>
      </c>
      <c r="C364" s="85" t="s">
        <v>4388</v>
      </c>
      <c r="D364" s="85"/>
      <c r="E364" s="85"/>
      <c r="F364" s="85"/>
      <c r="G364" s="20"/>
      <c r="H364" s="85"/>
    </row>
    <row r="365" spans="1:8">
      <c r="A365" s="85"/>
      <c r="B365" s="85"/>
      <c r="C365" s="85" t="s">
        <v>4389</v>
      </c>
      <c r="D365" s="85" t="s">
        <v>2046</v>
      </c>
      <c r="E365" s="85" t="s">
        <v>4429</v>
      </c>
      <c r="F365" s="85" t="s">
        <v>2046</v>
      </c>
      <c r="G365" s="20">
        <f>1*4*1.05*0.695</f>
        <v>2.92</v>
      </c>
      <c r="H365" s="85" t="s">
        <v>1637</v>
      </c>
    </row>
    <row r="366" spans="1:8">
      <c r="A366" s="85"/>
      <c r="B366" s="85" t="s">
        <v>4391</v>
      </c>
      <c r="C366" s="85" t="s">
        <v>4392</v>
      </c>
      <c r="D366" s="85"/>
      <c r="E366" s="85"/>
      <c r="F366" s="85"/>
      <c r="G366" s="20"/>
      <c r="H366" s="85"/>
    </row>
    <row r="367" spans="1:8">
      <c r="A367" s="85"/>
      <c r="B367" s="85"/>
      <c r="C367" s="85" t="s">
        <v>4393</v>
      </c>
      <c r="D367" s="85" t="s">
        <v>2046</v>
      </c>
      <c r="E367" s="85" t="s">
        <v>4430</v>
      </c>
      <c r="F367" s="85" t="s">
        <v>2046</v>
      </c>
      <c r="G367" s="20">
        <f>1*1*2.4*1.088</f>
        <v>2.61</v>
      </c>
      <c r="H367" s="85" t="s">
        <v>1637</v>
      </c>
    </row>
    <row r="368" spans="1:8">
      <c r="A368" s="85"/>
      <c r="B368" s="85" t="s">
        <v>4395</v>
      </c>
      <c r="C368" s="85" t="s">
        <v>4396</v>
      </c>
      <c r="D368" s="85"/>
      <c r="E368" s="85"/>
      <c r="F368" s="85"/>
      <c r="G368" s="20"/>
      <c r="H368" s="85"/>
    </row>
    <row r="369" spans="1:8">
      <c r="A369" s="85"/>
      <c r="B369" s="85"/>
      <c r="C369" s="85" t="s">
        <v>4397</v>
      </c>
      <c r="D369" s="85" t="s">
        <v>2046</v>
      </c>
      <c r="E369" s="85" t="s">
        <v>4431</v>
      </c>
      <c r="F369" s="85" t="s">
        <v>2046</v>
      </c>
      <c r="G369" s="20">
        <f>1*4*0.95*0.605</f>
        <v>2.2999999999999998</v>
      </c>
      <c r="H369" s="85" t="s">
        <v>1637</v>
      </c>
    </row>
    <row r="370" spans="1:8">
      <c r="A370" s="85"/>
      <c r="B370" s="85" t="s">
        <v>4399</v>
      </c>
      <c r="C370" s="85" t="s">
        <v>4400</v>
      </c>
      <c r="D370" s="85"/>
      <c r="E370" s="85"/>
      <c r="F370" s="85"/>
      <c r="G370" s="20"/>
      <c r="H370" s="85"/>
    </row>
    <row r="371" spans="1:8">
      <c r="A371" s="85"/>
      <c r="B371" s="85"/>
      <c r="C371" s="85" t="s">
        <v>4401</v>
      </c>
      <c r="D371" s="85" t="s">
        <v>2046</v>
      </c>
      <c r="E371" s="85" t="s">
        <v>4432</v>
      </c>
      <c r="F371" s="85" t="s">
        <v>2046</v>
      </c>
      <c r="G371" s="20">
        <f>1*4*0.95*0.488</f>
        <v>1.85</v>
      </c>
      <c r="H371" s="85" t="s">
        <v>1637</v>
      </c>
    </row>
    <row r="372" spans="1:8">
      <c r="A372" s="85"/>
      <c r="B372" s="85" t="s">
        <v>4399</v>
      </c>
      <c r="C372" s="85" t="s">
        <v>4403</v>
      </c>
      <c r="D372" s="85"/>
      <c r="E372" s="85"/>
      <c r="F372" s="85"/>
      <c r="G372" s="20"/>
      <c r="H372" s="85"/>
    </row>
    <row r="373" spans="1:8">
      <c r="A373" s="85"/>
      <c r="B373" s="85"/>
      <c r="C373" s="85" t="s">
        <v>4404</v>
      </c>
      <c r="D373" s="85" t="s">
        <v>2046</v>
      </c>
      <c r="E373" s="85" t="s">
        <v>4433</v>
      </c>
      <c r="F373" s="85" t="s">
        <v>2046</v>
      </c>
      <c r="G373" s="20">
        <f>2*4*0.55*0.355</f>
        <v>1.56</v>
      </c>
      <c r="H373" s="85" t="s">
        <v>1637</v>
      </c>
    </row>
    <row r="374" spans="1:8">
      <c r="A374" s="85"/>
      <c r="B374" s="85"/>
      <c r="C374" s="85"/>
      <c r="D374" s="85"/>
      <c r="E374" s="85"/>
      <c r="F374" s="85"/>
      <c r="G374" s="20">
        <f>SUM(G363:G373)</f>
        <v>18.72</v>
      </c>
      <c r="H374" s="85" t="s">
        <v>1637</v>
      </c>
    </row>
    <row r="375" spans="1:8">
      <c r="A375" s="85"/>
      <c r="B375" s="85"/>
      <c r="C375" s="85"/>
      <c r="D375" s="85"/>
      <c r="E375" s="85" t="s">
        <v>4406</v>
      </c>
      <c r="F375" s="85" t="s">
        <v>2046</v>
      </c>
      <c r="G375" s="20">
        <f>G374*10%</f>
        <v>1.87</v>
      </c>
      <c r="H375" s="85" t="s">
        <v>1637</v>
      </c>
    </row>
    <row r="376" spans="1:8">
      <c r="A376" s="85"/>
      <c r="B376" s="85"/>
      <c r="C376" s="85"/>
      <c r="D376" s="85"/>
      <c r="E376" s="85"/>
      <c r="F376" s="85"/>
      <c r="G376" s="89">
        <f>SUM(G374:G375)</f>
        <v>20.59</v>
      </c>
      <c r="H376" s="85" t="s">
        <v>1637</v>
      </c>
    </row>
    <row r="377" spans="1:8">
      <c r="A377" s="85"/>
      <c r="B377" s="85"/>
      <c r="C377" s="85"/>
      <c r="D377" s="85"/>
      <c r="E377" s="85"/>
      <c r="F377" s="85"/>
      <c r="G377" s="85"/>
      <c r="H377" s="85"/>
    </row>
    <row r="378" spans="1:8">
      <c r="A378" s="85"/>
      <c r="B378" s="106" t="s">
        <v>4407</v>
      </c>
      <c r="C378" s="85" t="s">
        <v>4408</v>
      </c>
      <c r="D378" s="85"/>
      <c r="E378" s="85"/>
      <c r="F378" s="85"/>
      <c r="G378" s="20"/>
      <c r="H378" s="85"/>
    </row>
    <row r="379" spans="1:8" ht="17.25">
      <c r="A379" s="85"/>
      <c r="B379" s="85"/>
      <c r="C379" s="85" t="s">
        <v>4409</v>
      </c>
      <c r="D379" s="85" t="s">
        <v>2046</v>
      </c>
      <c r="E379" s="85" t="s">
        <v>4434</v>
      </c>
      <c r="F379" s="85" t="s">
        <v>2046</v>
      </c>
      <c r="G379" s="109">
        <f>1*4*0.55*0.95</f>
        <v>2.09</v>
      </c>
      <c r="H379" s="85" t="s">
        <v>4411</v>
      </c>
    </row>
    <row r="380" spans="1:8">
      <c r="A380" s="85"/>
      <c r="B380" s="85"/>
      <c r="C380" s="85"/>
      <c r="D380" s="85"/>
      <c r="E380" s="85"/>
      <c r="F380" s="85"/>
      <c r="G380" s="20"/>
      <c r="H380" s="85"/>
    </row>
    <row r="381" spans="1:8">
      <c r="A381" s="85"/>
      <c r="B381" s="106" t="s">
        <v>4412</v>
      </c>
      <c r="C381" s="85" t="s">
        <v>3903</v>
      </c>
      <c r="D381" s="85" t="s">
        <v>2046</v>
      </c>
      <c r="E381" s="85" t="s">
        <v>4435</v>
      </c>
      <c r="F381" s="85" t="s">
        <v>2046</v>
      </c>
      <c r="G381" s="20">
        <f>1*2*4*3.3</f>
        <v>26.4</v>
      </c>
      <c r="H381" s="85" t="s">
        <v>823</v>
      </c>
    </row>
    <row r="382" spans="1:8">
      <c r="A382" s="85"/>
      <c r="B382" s="85"/>
      <c r="C382" s="85"/>
      <c r="D382" s="85"/>
      <c r="E382" s="85"/>
      <c r="F382" s="85"/>
      <c r="G382" s="20"/>
      <c r="H382" s="85"/>
    </row>
    <row r="383" spans="1:8" ht="17.25">
      <c r="A383" s="85"/>
      <c r="B383" s="106" t="s">
        <v>4414</v>
      </c>
      <c r="C383" s="85" t="s">
        <v>4415</v>
      </c>
      <c r="D383" s="85" t="s">
        <v>2046</v>
      </c>
      <c r="E383" s="85" t="s">
        <v>4436</v>
      </c>
      <c r="F383" s="85" t="s">
        <v>2046</v>
      </c>
      <c r="G383" s="20">
        <f>2.4*1.05</f>
        <v>2.52</v>
      </c>
      <c r="H383" s="85" t="s">
        <v>4411</v>
      </c>
    </row>
    <row r="384" spans="1:8">
      <c r="A384" s="85"/>
      <c r="B384" s="85"/>
      <c r="C384" s="85"/>
      <c r="D384" s="85"/>
      <c r="E384" s="85"/>
      <c r="F384" s="85"/>
      <c r="G384" s="85"/>
      <c r="H384" s="85"/>
    </row>
    <row r="385" spans="1:8">
      <c r="A385" s="85"/>
      <c r="B385" s="85"/>
      <c r="C385" s="85"/>
      <c r="D385" s="85"/>
      <c r="E385" s="85"/>
      <c r="F385" s="85"/>
      <c r="G385" s="85"/>
      <c r="H385" s="85"/>
    </row>
    <row r="386" spans="1:8">
      <c r="A386" s="85"/>
      <c r="B386" s="85"/>
      <c r="C386" s="85"/>
      <c r="D386" s="85"/>
      <c r="E386" s="85"/>
      <c r="F386" s="85"/>
      <c r="G386" s="85"/>
      <c r="H386" s="85"/>
    </row>
    <row r="387" spans="1:8">
      <c r="A387" s="7">
        <v>20.59</v>
      </c>
      <c r="B387" t="s">
        <v>909</v>
      </c>
      <c r="C387" s="1" t="s">
        <v>4417</v>
      </c>
      <c r="E387">
        <v>287</v>
      </c>
      <c r="F387" t="s">
        <v>909</v>
      </c>
      <c r="G387">
        <f t="shared" ref="G387:G392" si="15">E387*A387</f>
        <v>5909.33</v>
      </c>
      <c r="H387" s="85"/>
    </row>
    <row r="388" spans="1:8">
      <c r="A388" s="7">
        <v>2.09</v>
      </c>
      <c r="B388" t="s">
        <v>230</v>
      </c>
      <c r="C388" s="1" t="s">
        <v>4418</v>
      </c>
      <c r="E388">
        <v>336</v>
      </c>
      <c r="F388" t="s">
        <v>230</v>
      </c>
      <c r="G388">
        <f t="shared" si="15"/>
        <v>702.24</v>
      </c>
      <c r="H388" s="85"/>
    </row>
    <row r="389" spans="1:8">
      <c r="A389" s="7">
        <v>26.4</v>
      </c>
      <c r="B389" t="s">
        <v>823</v>
      </c>
      <c r="C389" s="1" t="s">
        <v>1848</v>
      </c>
      <c r="E389">
        <v>27.1</v>
      </c>
      <c r="F389" t="s">
        <v>823</v>
      </c>
      <c r="G389">
        <f t="shared" si="15"/>
        <v>715.44</v>
      </c>
      <c r="H389" s="85"/>
    </row>
    <row r="390" spans="1:8">
      <c r="A390" s="7">
        <v>1</v>
      </c>
      <c r="B390" t="s">
        <v>766</v>
      </c>
      <c r="C390" s="1" t="s">
        <v>4419</v>
      </c>
      <c r="E390">
        <v>59.4</v>
      </c>
      <c r="F390" t="s">
        <v>766</v>
      </c>
      <c r="G390">
        <f t="shared" si="15"/>
        <v>59.4</v>
      </c>
      <c r="H390" s="85"/>
    </row>
    <row r="391" spans="1:8">
      <c r="A391" s="7">
        <v>1</v>
      </c>
      <c r="B391" t="s">
        <v>766</v>
      </c>
      <c r="C391" s="1" t="s">
        <v>4420</v>
      </c>
      <c r="E391">
        <v>13.1</v>
      </c>
      <c r="F391" t="s">
        <v>766</v>
      </c>
      <c r="G391">
        <f t="shared" si="15"/>
        <v>13.1</v>
      </c>
      <c r="H391" s="85"/>
    </row>
    <row r="392" spans="1:8">
      <c r="A392" s="7">
        <v>2.52</v>
      </c>
      <c r="B392" t="s">
        <v>2273</v>
      </c>
      <c r="C392" s="1" t="s">
        <v>1854</v>
      </c>
      <c r="E392">
        <f>G402</f>
        <v>1110</v>
      </c>
      <c r="F392" t="s">
        <v>2273</v>
      </c>
      <c r="G392">
        <f t="shared" si="15"/>
        <v>2797.2</v>
      </c>
      <c r="H392" s="85"/>
    </row>
    <row r="393" spans="1:8">
      <c r="C393" s="1" t="s">
        <v>2261</v>
      </c>
      <c r="E393" s="2"/>
      <c r="F393" t="s">
        <v>654</v>
      </c>
      <c r="G393">
        <v>4.26</v>
      </c>
      <c r="H393" s="85"/>
    </row>
    <row r="394" spans="1:8">
      <c r="C394" s="4" t="s">
        <v>1410</v>
      </c>
      <c r="G394">
        <f>SUM(G387:G393)</f>
        <v>10200.969999999999</v>
      </c>
      <c r="H394" s="85"/>
    </row>
    <row r="395" spans="1:8">
      <c r="C395" s="107" t="s">
        <v>4422</v>
      </c>
      <c r="D395" s="91" t="s">
        <v>2046</v>
      </c>
      <c r="E395" s="91"/>
      <c r="F395" s="11"/>
      <c r="G395" s="89">
        <f>G394/A392</f>
        <v>4048</v>
      </c>
      <c r="H395" s="85"/>
    </row>
    <row r="396" spans="1:8">
      <c r="A396" s="85"/>
      <c r="B396" s="85"/>
      <c r="C396" s="85"/>
      <c r="D396" s="85"/>
      <c r="E396" s="85"/>
      <c r="F396" s="85"/>
      <c r="G396" s="85"/>
      <c r="H396" s="85"/>
    </row>
    <row r="397" spans="1:8">
      <c r="A397" s="85"/>
      <c r="B397" s="85"/>
      <c r="C397" s="88" t="s">
        <v>4423</v>
      </c>
      <c r="D397" s="85"/>
      <c r="E397" s="85"/>
      <c r="F397" s="85"/>
      <c r="G397" s="85"/>
      <c r="H397" s="85"/>
    </row>
    <row r="398" spans="1:8">
      <c r="A398">
        <v>1</v>
      </c>
      <c r="B398" t="s">
        <v>865</v>
      </c>
      <c r="C398" s="1" t="s">
        <v>4424</v>
      </c>
      <c r="E398">
        <v>501</v>
      </c>
      <c r="F398" s="1" t="s">
        <v>865</v>
      </c>
      <c r="G398" s="20">
        <f>E398*A398</f>
        <v>501</v>
      </c>
      <c r="H398" s="85"/>
    </row>
    <row r="399" spans="1:8">
      <c r="A399">
        <v>1</v>
      </c>
      <c r="B399" t="s">
        <v>865</v>
      </c>
      <c r="C399" s="1" t="s">
        <v>4425</v>
      </c>
      <c r="E399">
        <v>355</v>
      </c>
      <c r="F399" s="1" t="s">
        <v>865</v>
      </c>
      <c r="G399" s="20">
        <f>E399*A399</f>
        <v>355</v>
      </c>
      <c r="H399" s="85"/>
    </row>
    <row r="400" spans="1:8">
      <c r="A400">
        <v>0.5</v>
      </c>
      <c r="B400" t="s">
        <v>865</v>
      </c>
      <c r="C400" s="1" t="s">
        <v>4426</v>
      </c>
      <c r="E400">
        <v>508</v>
      </c>
      <c r="F400" s="1" t="s">
        <v>865</v>
      </c>
      <c r="G400" s="20">
        <f>E400*A400</f>
        <v>254</v>
      </c>
      <c r="H400" s="85"/>
    </row>
    <row r="401" spans="1:8">
      <c r="C401" s="1"/>
      <c r="E401" s="1"/>
      <c r="F401" s="3"/>
      <c r="G401" s="85"/>
      <c r="H401" s="85"/>
    </row>
    <row r="402" spans="1:8">
      <c r="C402" s="1" t="s">
        <v>3917</v>
      </c>
      <c r="E402" s="1"/>
      <c r="F402" s="11"/>
      <c r="G402" s="91">
        <f>SUM(G398:G401)</f>
        <v>1110</v>
      </c>
      <c r="H402" s="85"/>
    </row>
    <row r="403" spans="1:8">
      <c r="E403" s="1"/>
      <c r="F403" s="3"/>
      <c r="G403" s="85"/>
      <c r="H403" s="85"/>
    </row>
    <row r="404" spans="1:8">
      <c r="A404" s="108"/>
      <c r="B404" s="108"/>
      <c r="C404" s="108"/>
      <c r="D404" s="108"/>
      <c r="E404" s="108"/>
      <c r="F404" s="108"/>
      <c r="G404" s="108"/>
      <c r="H404" s="108"/>
    </row>
    <row r="405" spans="1:8">
      <c r="A405" s="85"/>
      <c r="B405" s="85"/>
      <c r="C405" s="85"/>
      <c r="D405" s="85"/>
      <c r="E405" s="85"/>
      <c r="F405" s="85"/>
      <c r="G405" s="85"/>
      <c r="H405" s="85"/>
    </row>
    <row r="406" spans="1:8">
      <c r="A406" s="1255" t="s">
        <v>4437</v>
      </c>
      <c r="B406" s="1255"/>
      <c r="C406" s="1255"/>
      <c r="D406" s="1255"/>
      <c r="E406" s="1255"/>
      <c r="F406" s="1255"/>
      <c r="G406" s="1255"/>
      <c r="H406" s="1255"/>
    </row>
    <row r="407" spans="1:8">
      <c r="A407" s="85"/>
      <c r="B407" s="85" t="s">
        <v>4383</v>
      </c>
      <c r="C407" s="85" t="s">
        <v>4384</v>
      </c>
      <c r="D407" s="85"/>
      <c r="E407" s="85"/>
      <c r="F407" s="85"/>
      <c r="G407" s="85"/>
      <c r="H407" s="85"/>
    </row>
    <row r="408" spans="1:8">
      <c r="A408" s="85"/>
      <c r="B408" s="85"/>
      <c r="C408" s="85" t="s">
        <v>4385</v>
      </c>
      <c r="D408" s="85" t="s">
        <v>2046</v>
      </c>
      <c r="E408" s="85" t="s">
        <v>4438</v>
      </c>
      <c r="F408" s="85" t="s">
        <v>2046</v>
      </c>
      <c r="G408" s="20">
        <f>1*1*0.9*1.558</f>
        <v>1.4</v>
      </c>
      <c r="H408" s="85" t="s">
        <v>1637</v>
      </c>
    </row>
    <row r="409" spans="1:8">
      <c r="A409" s="85"/>
      <c r="B409" s="85" t="s">
        <v>4387</v>
      </c>
      <c r="C409" s="85" t="s">
        <v>4388</v>
      </c>
      <c r="D409" s="85"/>
      <c r="E409" s="85"/>
      <c r="F409" s="85"/>
      <c r="G409" s="85"/>
      <c r="H409" s="85"/>
    </row>
    <row r="410" spans="1:8">
      <c r="A410" s="85"/>
      <c r="B410" s="85"/>
      <c r="C410" s="85" t="s">
        <v>4389</v>
      </c>
      <c r="D410" s="85" t="s">
        <v>2046</v>
      </c>
      <c r="E410" s="85" t="s">
        <v>4390</v>
      </c>
      <c r="F410" s="85" t="s">
        <v>2046</v>
      </c>
      <c r="G410" s="20">
        <f>1*2*1.35*0.695</f>
        <v>1.88</v>
      </c>
      <c r="H410" s="85" t="s">
        <v>1637</v>
      </c>
    </row>
    <row r="411" spans="1:8">
      <c r="A411" s="85"/>
      <c r="B411" s="85" t="s">
        <v>4391</v>
      </c>
      <c r="C411" s="85" t="s">
        <v>4392</v>
      </c>
      <c r="D411" s="85"/>
      <c r="E411" s="85"/>
      <c r="F411" s="85"/>
      <c r="G411" s="20"/>
      <c r="H411" s="85"/>
    </row>
    <row r="412" spans="1:8">
      <c r="A412" s="85"/>
      <c r="B412" s="85"/>
      <c r="C412" s="85" t="s">
        <v>4393</v>
      </c>
      <c r="D412" s="85" t="s">
        <v>2046</v>
      </c>
      <c r="E412" s="85" t="s">
        <v>4439</v>
      </c>
      <c r="F412" s="85" t="s">
        <v>2046</v>
      </c>
      <c r="G412" s="20">
        <f>1*1*0.9*1.088</f>
        <v>0.98</v>
      </c>
      <c r="H412" s="85" t="s">
        <v>1637</v>
      </c>
    </row>
    <row r="413" spans="1:8">
      <c r="A413" s="85"/>
      <c r="B413" s="85" t="s">
        <v>4395</v>
      </c>
      <c r="C413" s="85" t="s">
        <v>4396</v>
      </c>
      <c r="D413" s="85"/>
      <c r="E413" s="85"/>
      <c r="F413" s="85"/>
      <c r="G413" s="20"/>
      <c r="H413" s="85"/>
    </row>
    <row r="414" spans="1:8">
      <c r="A414" s="85"/>
      <c r="B414" s="85"/>
      <c r="C414" s="85" t="s">
        <v>4397</v>
      </c>
      <c r="D414" s="85" t="s">
        <v>2046</v>
      </c>
      <c r="E414" s="85" t="s">
        <v>4398</v>
      </c>
      <c r="F414" s="85" t="s">
        <v>2046</v>
      </c>
      <c r="G414" s="20">
        <f>1*2*1.25*0.605</f>
        <v>1.51</v>
      </c>
      <c r="H414" s="85" t="s">
        <v>1637</v>
      </c>
    </row>
    <row r="415" spans="1:8">
      <c r="A415" s="85"/>
      <c r="B415" s="85" t="s">
        <v>4399</v>
      </c>
      <c r="C415" s="85" t="s">
        <v>4400</v>
      </c>
      <c r="D415" s="85"/>
      <c r="E415" s="85"/>
      <c r="F415" s="85"/>
      <c r="G415" s="20"/>
      <c r="H415" s="85"/>
    </row>
    <row r="416" spans="1:8">
      <c r="A416" s="85"/>
      <c r="B416" s="85"/>
      <c r="C416" s="85" t="s">
        <v>4401</v>
      </c>
      <c r="D416" s="85" t="s">
        <v>2046</v>
      </c>
      <c r="E416" s="85" t="s">
        <v>4402</v>
      </c>
      <c r="F416" s="85" t="s">
        <v>2046</v>
      </c>
      <c r="G416" s="20">
        <f>1*2*1.25*0.488</f>
        <v>1.22</v>
      </c>
      <c r="H416" s="85" t="s">
        <v>1637</v>
      </c>
    </row>
    <row r="417" spans="1:8">
      <c r="A417" s="85"/>
      <c r="B417" s="85" t="s">
        <v>4399</v>
      </c>
      <c r="C417" s="85" t="s">
        <v>4403</v>
      </c>
      <c r="D417" s="85"/>
      <c r="E417" s="85"/>
      <c r="F417" s="85"/>
      <c r="G417" s="20"/>
      <c r="H417" s="85"/>
    </row>
    <row r="418" spans="1:8">
      <c r="A418" s="85"/>
      <c r="B418" s="85"/>
      <c r="C418" s="85" t="s">
        <v>4404</v>
      </c>
      <c r="D418" s="85" t="s">
        <v>2046</v>
      </c>
      <c r="E418" s="85" t="s">
        <v>4440</v>
      </c>
      <c r="F418" s="85" t="s">
        <v>2046</v>
      </c>
      <c r="G418" s="20">
        <f>2*2*0.45*0.355</f>
        <v>0.64</v>
      </c>
      <c r="H418" s="85" t="s">
        <v>1637</v>
      </c>
    </row>
    <row r="419" spans="1:8">
      <c r="A419" s="85"/>
      <c r="B419" s="85"/>
      <c r="C419" s="85"/>
      <c r="D419" s="85"/>
      <c r="E419" s="85"/>
      <c r="F419" s="85"/>
      <c r="G419" s="20">
        <f>SUM(G408:G418)</f>
        <v>7.63</v>
      </c>
      <c r="H419" s="85" t="s">
        <v>1637</v>
      </c>
    </row>
    <row r="420" spans="1:8">
      <c r="A420" s="85"/>
      <c r="B420" s="85"/>
      <c r="C420" s="85"/>
      <c r="D420" s="85"/>
      <c r="E420" s="85" t="s">
        <v>4406</v>
      </c>
      <c r="F420" s="85" t="s">
        <v>2046</v>
      </c>
      <c r="G420" s="20">
        <f>G419*10%</f>
        <v>0.76</v>
      </c>
      <c r="H420" s="85" t="s">
        <v>1637</v>
      </c>
    </row>
    <row r="421" spans="1:8">
      <c r="A421" s="85"/>
      <c r="B421" s="85"/>
      <c r="C421" s="85"/>
      <c r="D421" s="85"/>
      <c r="E421" s="85"/>
      <c r="F421" s="85"/>
      <c r="G421" s="110">
        <f>SUM(G419:G420)</f>
        <v>8.39</v>
      </c>
      <c r="H421" s="85" t="s">
        <v>1637</v>
      </c>
    </row>
    <row r="422" spans="1:8">
      <c r="A422" s="85"/>
      <c r="B422" s="85"/>
      <c r="C422" s="85"/>
      <c r="D422" s="85"/>
      <c r="E422" s="85"/>
      <c r="F422" s="85"/>
      <c r="G422" s="85"/>
      <c r="H422" s="85"/>
    </row>
    <row r="423" spans="1:8">
      <c r="A423" s="85"/>
      <c r="B423" s="106" t="s">
        <v>4407</v>
      </c>
      <c r="C423" s="85" t="s">
        <v>4408</v>
      </c>
      <c r="D423" s="85"/>
      <c r="E423" s="85"/>
      <c r="F423" s="85"/>
      <c r="G423" s="85"/>
      <c r="H423" s="85"/>
    </row>
    <row r="424" spans="1:8" ht="17.25">
      <c r="A424" s="85"/>
      <c r="B424" s="85"/>
      <c r="C424" s="85" t="s">
        <v>4409</v>
      </c>
      <c r="D424" s="85" t="s">
        <v>2046</v>
      </c>
      <c r="E424" s="85" t="s">
        <v>4441</v>
      </c>
      <c r="F424" s="85" t="s">
        <v>2046</v>
      </c>
      <c r="G424" s="109">
        <f>1*2*0.45*1.25</f>
        <v>1.125</v>
      </c>
      <c r="H424" s="85" t="s">
        <v>4411</v>
      </c>
    </row>
    <row r="425" spans="1:8">
      <c r="A425" s="85"/>
      <c r="B425" s="85"/>
      <c r="C425" s="85"/>
      <c r="D425" s="85"/>
      <c r="E425" s="85"/>
      <c r="F425" s="85"/>
      <c r="G425" s="20"/>
      <c r="H425" s="85"/>
    </row>
    <row r="426" spans="1:8">
      <c r="A426" s="85"/>
      <c r="B426" s="106" t="s">
        <v>4412</v>
      </c>
      <c r="C426" s="85" t="s">
        <v>3903</v>
      </c>
      <c r="D426" s="85" t="s">
        <v>2046</v>
      </c>
      <c r="E426" s="85" t="s">
        <v>4442</v>
      </c>
      <c r="F426" s="85" t="s">
        <v>2046</v>
      </c>
      <c r="G426" s="20">
        <f>1*2*2*3.4</f>
        <v>13.6</v>
      </c>
      <c r="H426" s="85" t="s">
        <v>823</v>
      </c>
    </row>
    <row r="427" spans="1:8">
      <c r="A427" s="85"/>
      <c r="B427" s="85"/>
      <c r="C427" s="85"/>
      <c r="D427" s="85"/>
      <c r="E427" s="85"/>
      <c r="F427" s="85"/>
      <c r="G427" s="20"/>
      <c r="H427" s="85"/>
    </row>
    <row r="428" spans="1:8" ht="17.25">
      <c r="A428" s="85"/>
      <c r="B428" s="106" t="s">
        <v>4414</v>
      </c>
      <c r="C428" s="85" t="s">
        <v>4415</v>
      </c>
      <c r="D428" s="85" t="s">
        <v>2046</v>
      </c>
      <c r="E428" s="85" t="s">
        <v>4443</v>
      </c>
      <c r="F428" s="85" t="s">
        <v>2046</v>
      </c>
      <c r="G428" s="20">
        <f>0.9*1.35</f>
        <v>1.22</v>
      </c>
      <c r="H428" s="85" t="s">
        <v>4411</v>
      </c>
    </row>
    <row r="429" spans="1:8">
      <c r="A429" s="85"/>
      <c r="B429" s="85"/>
      <c r="C429" s="85"/>
      <c r="D429" s="85"/>
      <c r="E429" s="85"/>
      <c r="F429" s="85"/>
      <c r="G429" s="85"/>
      <c r="H429" s="85"/>
    </row>
    <row r="430" spans="1:8">
      <c r="A430" s="85"/>
      <c r="B430" s="85"/>
      <c r="C430" s="85"/>
      <c r="D430" s="85"/>
      <c r="E430" s="85"/>
      <c r="F430" s="85"/>
      <c r="G430" s="85"/>
      <c r="H430" s="85"/>
    </row>
    <row r="431" spans="1:8">
      <c r="A431" s="85"/>
      <c r="B431" s="85"/>
      <c r="C431" s="85"/>
      <c r="D431" s="85"/>
      <c r="E431" s="85"/>
      <c r="F431" s="85"/>
      <c r="G431" s="85"/>
      <c r="H431" s="85"/>
    </row>
    <row r="432" spans="1:8">
      <c r="A432" s="7">
        <f>G421</f>
        <v>8.39</v>
      </c>
      <c r="B432" t="s">
        <v>909</v>
      </c>
      <c r="C432" s="1" t="s">
        <v>4417</v>
      </c>
      <c r="E432">
        <v>287</v>
      </c>
      <c r="F432" t="s">
        <v>909</v>
      </c>
      <c r="G432">
        <f t="shared" ref="G432:G437" si="16">E432*A432</f>
        <v>2407.9299999999998</v>
      </c>
      <c r="H432" s="85"/>
    </row>
    <row r="433" spans="1:8">
      <c r="A433" s="7">
        <f>G424</f>
        <v>1.125</v>
      </c>
      <c r="B433" t="s">
        <v>230</v>
      </c>
      <c r="C433" s="1" t="s">
        <v>4418</v>
      </c>
      <c r="E433">
        <v>336</v>
      </c>
      <c r="F433" t="s">
        <v>230</v>
      </c>
      <c r="G433">
        <f t="shared" si="16"/>
        <v>378</v>
      </c>
      <c r="H433" s="85"/>
    </row>
    <row r="434" spans="1:8">
      <c r="A434" s="7">
        <v>13.6</v>
      </c>
      <c r="B434" t="s">
        <v>823</v>
      </c>
      <c r="C434" s="1" t="s">
        <v>1848</v>
      </c>
      <c r="E434">
        <v>27.1</v>
      </c>
      <c r="F434" t="s">
        <v>823</v>
      </c>
      <c r="G434">
        <f t="shared" si="16"/>
        <v>368.56</v>
      </c>
      <c r="H434" s="85"/>
    </row>
    <row r="435" spans="1:8">
      <c r="A435" s="7">
        <v>1</v>
      </c>
      <c r="B435" t="s">
        <v>766</v>
      </c>
      <c r="C435" s="1" t="s">
        <v>4419</v>
      </c>
      <c r="E435">
        <v>59.4</v>
      </c>
      <c r="F435" t="s">
        <v>766</v>
      </c>
      <c r="G435">
        <f t="shared" si="16"/>
        <v>59.4</v>
      </c>
      <c r="H435" s="85"/>
    </row>
    <row r="436" spans="1:8">
      <c r="A436" s="7">
        <v>1</v>
      </c>
      <c r="B436" t="s">
        <v>766</v>
      </c>
      <c r="C436" s="1" t="s">
        <v>4420</v>
      </c>
      <c r="E436">
        <v>13.1</v>
      </c>
      <c r="F436" t="s">
        <v>766</v>
      </c>
      <c r="G436">
        <f t="shared" si="16"/>
        <v>13.1</v>
      </c>
      <c r="H436" s="85"/>
    </row>
    <row r="437" spans="1:8">
      <c r="A437" s="7">
        <v>1.22</v>
      </c>
      <c r="B437" t="s">
        <v>2273</v>
      </c>
      <c r="C437" s="1" t="s">
        <v>1854</v>
      </c>
      <c r="E437">
        <f>G447</f>
        <v>1110</v>
      </c>
      <c r="F437" t="s">
        <v>2273</v>
      </c>
      <c r="G437">
        <f t="shared" si="16"/>
        <v>1354.2</v>
      </c>
      <c r="H437" s="85"/>
    </row>
    <row r="438" spans="1:8">
      <c r="C438" s="1" t="s">
        <v>2261</v>
      </c>
      <c r="E438" s="2"/>
      <c r="F438" t="s">
        <v>654</v>
      </c>
      <c r="G438" s="85">
        <v>4.7</v>
      </c>
      <c r="H438" s="85"/>
    </row>
    <row r="439" spans="1:8">
      <c r="C439" s="4" t="s">
        <v>4444</v>
      </c>
      <c r="G439">
        <f>SUM(G432:G438)</f>
        <v>4585.8900000000003</v>
      </c>
      <c r="H439" s="85"/>
    </row>
    <row r="440" spans="1:8">
      <c r="C440" s="107" t="s">
        <v>4422</v>
      </c>
      <c r="D440" s="91" t="s">
        <v>2046</v>
      </c>
      <c r="E440" s="91"/>
      <c r="F440" s="11"/>
      <c r="G440" s="89">
        <f>G439/A437</f>
        <v>3758.93</v>
      </c>
      <c r="H440" s="85"/>
    </row>
    <row r="441" spans="1:8">
      <c r="A441" s="85"/>
      <c r="B441" s="85"/>
      <c r="C441" s="85"/>
      <c r="D441" s="85"/>
      <c r="E441" s="85"/>
      <c r="F441" s="85"/>
      <c r="G441" s="85"/>
      <c r="H441" s="85"/>
    </row>
    <row r="442" spans="1:8">
      <c r="A442" s="85"/>
      <c r="B442" s="85"/>
      <c r="C442" s="88" t="s">
        <v>4423</v>
      </c>
      <c r="D442" s="85"/>
      <c r="E442" s="85"/>
      <c r="F442" s="85"/>
      <c r="G442" s="85"/>
      <c r="H442" s="85"/>
    </row>
    <row r="443" spans="1:8">
      <c r="A443">
        <v>1</v>
      </c>
      <c r="B443" t="s">
        <v>865</v>
      </c>
      <c r="C443" s="1" t="s">
        <v>4424</v>
      </c>
      <c r="E443">
        <v>501</v>
      </c>
      <c r="F443" s="1" t="s">
        <v>865</v>
      </c>
      <c r="G443" s="85">
        <f>E443*A443</f>
        <v>501</v>
      </c>
      <c r="H443" s="85"/>
    </row>
    <row r="444" spans="1:8">
      <c r="A444">
        <v>1</v>
      </c>
      <c r="B444" t="s">
        <v>865</v>
      </c>
      <c r="C444" s="1" t="s">
        <v>4425</v>
      </c>
      <c r="E444">
        <v>355</v>
      </c>
      <c r="F444" s="1" t="s">
        <v>865</v>
      </c>
      <c r="G444" s="85">
        <f>E444*A444</f>
        <v>355</v>
      </c>
      <c r="H444" s="85"/>
    </row>
    <row r="445" spans="1:8">
      <c r="A445">
        <v>0.5</v>
      </c>
      <c r="B445" t="s">
        <v>865</v>
      </c>
      <c r="C445" s="1" t="s">
        <v>4426</v>
      </c>
      <c r="E445">
        <v>508</v>
      </c>
      <c r="F445" s="1" t="s">
        <v>865</v>
      </c>
      <c r="G445" s="85">
        <f>E445*A445</f>
        <v>254</v>
      </c>
      <c r="H445" s="85"/>
    </row>
    <row r="446" spans="1:8">
      <c r="C446" s="1"/>
      <c r="E446" s="1"/>
      <c r="F446" s="3"/>
      <c r="G446" s="85"/>
      <c r="H446" s="85"/>
    </row>
    <row r="447" spans="1:8">
      <c r="C447" s="1" t="s">
        <v>3917</v>
      </c>
      <c r="E447" s="1"/>
      <c r="F447" s="11"/>
      <c r="G447" s="91">
        <f>SUM(G443:G446)</f>
        <v>1110</v>
      </c>
      <c r="H447" s="85"/>
    </row>
    <row r="448" spans="1:8">
      <c r="E448" s="1"/>
      <c r="F448" s="3"/>
      <c r="G448" s="85"/>
      <c r="H448" s="85"/>
    </row>
    <row r="449" spans="1:8">
      <c r="A449" s="108"/>
      <c r="B449" s="108"/>
      <c r="C449" s="108"/>
      <c r="D449" s="108"/>
      <c r="E449" s="108"/>
      <c r="F449" s="108"/>
      <c r="G449" s="108"/>
      <c r="H449" s="108"/>
    </row>
    <row r="450" spans="1:8">
      <c r="A450" s="85"/>
      <c r="B450" s="85"/>
      <c r="C450" s="85"/>
      <c r="D450" s="85"/>
      <c r="E450" s="85"/>
      <c r="F450" s="85"/>
      <c r="G450" s="85"/>
      <c r="H450" s="85"/>
    </row>
    <row r="451" spans="1:8">
      <c r="A451" s="1255" t="s">
        <v>4445</v>
      </c>
      <c r="B451" s="1255"/>
      <c r="C451" s="1255"/>
      <c r="D451" s="1255"/>
      <c r="E451" s="1255"/>
      <c r="F451" s="1255"/>
      <c r="G451" s="1255"/>
      <c r="H451" s="1255"/>
    </row>
    <row r="452" spans="1:8">
      <c r="A452" s="85"/>
      <c r="B452" s="85" t="s">
        <v>4383</v>
      </c>
      <c r="C452" s="85" t="s">
        <v>4384</v>
      </c>
      <c r="D452" s="85"/>
      <c r="E452" s="85"/>
      <c r="F452" s="85"/>
      <c r="G452" s="85"/>
      <c r="H452" s="85"/>
    </row>
    <row r="453" spans="1:8">
      <c r="A453" s="85"/>
      <c r="B453" s="85"/>
      <c r="C453" s="85" t="s">
        <v>4385</v>
      </c>
      <c r="D453" s="85" t="s">
        <v>2046</v>
      </c>
      <c r="E453" s="85" t="s">
        <v>4428</v>
      </c>
      <c r="F453" s="85" t="s">
        <v>2046</v>
      </c>
      <c r="G453" s="20">
        <f>1*2*2.4*1.558</f>
        <v>7.48</v>
      </c>
      <c r="H453" s="85" t="s">
        <v>1637</v>
      </c>
    </row>
    <row r="454" spans="1:8">
      <c r="A454" s="85"/>
      <c r="B454" s="85" t="s">
        <v>4387</v>
      </c>
      <c r="C454" s="85" t="s">
        <v>4388</v>
      </c>
      <c r="D454" s="85"/>
      <c r="E454" s="85"/>
      <c r="F454" s="85"/>
      <c r="G454" s="85"/>
      <c r="H454" s="85"/>
    </row>
    <row r="455" spans="1:8">
      <c r="A455" s="85"/>
      <c r="B455" s="85"/>
      <c r="C455" s="85" t="s">
        <v>4389</v>
      </c>
      <c r="D455" s="85" t="s">
        <v>2046</v>
      </c>
      <c r="E455" s="85" t="s">
        <v>4446</v>
      </c>
      <c r="F455" s="85" t="s">
        <v>2046</v>
      </c>
      <c r="G455" s="20">
        <f>1*2*1.8*0.695</f>
        <v>2.5</v>
      </c>
      <c r="H455" s="85" t="s">
        <v>1637</v>
      </c>
    </row>
    <row r="456" spans="1:8">
      <c r="A456" s="85"/>
      <c r="B456" s="85" t="s">
        <v>4391</v>
      </c>
      <c r="C456" s="85" t="s">
        <v>4392</v>
      </c>
      <c r="D456" s="85"/>
      <c r="E456" s="85"/>
      <c r="F456" s="85"/>
      <c r="G456" s="20"/>
      <c r="H456" s="85"/>
    </row>
    <row r="457" spans="1:8">
      <c r="A457" s="85"/>
      <c r="B457" s="85"/>
      <c r="C457" s="85" t="s">
        <v>4393</v>
      </c>
      <c r="D457" s="85" t="s">
        <v>2046</v>
      </c>
      <c r="E457" s="85" t="s">
        <v>4430</v>
      </c>
      <c r="F457" s="85" t="s">
        <v>2046</v>
      </c>
      <c r="G457" s="20">
        <f>1*1*2.4*1.088</f>
        <v>2.61</v>
      </c>
      <c r="H457" s="85" t="s">
        <v>1637</v>
      </c>
    </row>
    <row r="458" spans="1:8">
      <c r="A458" s="85"/>
      <c r="B458" s="85" t="s">
        <v>4387</v>
      </c>
      <c r="C458" s="85" t="s">
        <v>4388</v>
      </c>
      <c r="D458" s="85"/>
      <c r="E458" s="85"/>
      <c r="F458" s="85"/>
      <c r="G458" s="85"/>
      <c r="H458" s="85"/>
    </row>
    <row r="459" spans="1:8">
      <c r="A459" s="85"/>
      <c r="B459" s="85"/>
      <c r="C459" s="85" t="s">
        <v>4447</v>
      </c>
      <c r="D459" s="85" t="s">
        <v>2046</v>
      </c>
      <c r="E459" s="85" t="s">
        <v>4448</v>
      </c>
      <c r="F459" s="85" t="s">
        <v>2046</v>
      </c>
      <c r="G459" s="20">
        <f>1*2*1.2*0.695</f>
        <v>1.67</v>
      </c>
      <c r="H459" s="85" t="s">
        <v>1637</v>
      </c>
    </row>
    <row r="460" spans="1:8">
      <c r="A460" s="85"/>
      <c r="B460" s="85" t="s">
        <v>4395</v>
      </c>
      <c r="C460" s="85" t="s">
        <v>4396</v>
      </c>
      <c r="D460" s="85"/>
      <c r="E460" s="85"/>
      <c r="F460" s="85"/>
      <c r="G460" s="20"/>
      <c r="H460" s="85"/>
    </row>
    <row r="461" spans="1:8">
      <c r="A461" s="85"/>
      <c r="B461" s="85"/>
      <c r="C461" s="85" t="s">
        <v>4397</v>
      </c>
      <c r="D461" s="85" t="s">
        <v>2046</v>
      </c>
      <c r="E461" s="85" t="s">
        <v>4449</v>
      </c>
      <c r="F461" s="85" t="s">
        <v>2046</v>
      </c>
      <c r="G461" s="20">
        <f>1*4*1.1*0.605</f>
        <v>2.66</v>
      </c>
      <c r="H461" s="85" t="s">
        <v>1637</v>
      </c>
    </row>
    <row r="462" spans="1:8">
      <c r="A462" s="85"/>
      <c r="B462" s="85" t="s">
        <v>4399</v>
      </c>
      <c r="C462" s="85" t="s">
        <v>4400</v>
      </c>
      <c r="D462" s="85"/>
      <c r="E462" s="85"/>
      <c r="F462" s="85"/>
      <c r="G462" s="20"/>
      <c r="H462" s="85"/>
    </row>
    <row r="463" spans="1:8">
      <c r="A463" s="85"/>
      <c r="B463" s="85"/>
      <c r="C463" s="85" t="s">
        <v>4401</v>
      </c>
      <c r="D463" s="85" t="s">
        <v>2046</v>
      </c>
      <c r="E463" s="85" t="s">
        <v>4450</v>
      </c>
      <c r="F463" s="85" t="s">
        <v>2046</v>
      </c>
      <c r="G463" s="20">
        <f>1*4*1.1*0.488</f>
        <v>2.15</v>
      </c>
      <c r="H463" s="85" t="s">
        <v>1637</v>
      </c>
    </row>
    <row r="464" spans="1:8">
      <c r="A464" s="85"/>
      <c r="B464" s="85" t="s">
        <v>4451</v>
      </c>
      <c r="C464" s="85" t="s">
        <v>4403</v>
      </c>
      <c r="D464" s="85"/>
      <c r="E464" s="85"/>
      <c r="F464" s="85"/>
      <c r="G464" s="20"/>
      <c r="H464" s="85"/>
    </row>
    <row r="465" spans="1:8">
      <c r="A465" s="85"/>
      <c r="B465" s="85"/>
      <c r="C465" s="85" t="s">
        <v>4404</v>
      </c>
      <c r="D465" s="85" t="s">
        <v>2046</v>
      </c>
      <c r="E465" s="85" t="s">
        <v>4433</v>
      </c>
      <c r="F465" s="85" t="s">
        <v>2046</v>
      </c>
      <c r="G465" s="20">
        <f>2*4*0.55*0.355</f>
        <v>1.56</v>
      </c>
      <c r="H465" s="85" t="s">
        <v>1637</v>
      </c>
    </row>
    <row r="466" spans="1:8">
      <c r="A466" s="85"/>
      <c r="B466" s="85"/>
      <c r="C466" s="85"/>
      <c r="D466" s="85"/>
      <c r="E466" s="85"/>
      <c r="F466" s="85"/>
      <c r="G466" s="20">
        <f>SUM(G453:G465)</f>
        <v>20.63</v>
      </c>
      <c r="H466" s="85" t="s">
        <v>1637</v>
      </c>
    </row>
    <row r="467" spans="1:8">
      <c r="A467" s="85"/>
      <c r="B467" s="85"/>
      <c r="C467" s="85"/>
      <c r="D467" s="85"/>
      <c r="E467" s="85" t="s">
        <v>4406</v>
      </c>
      <c r="F467" s="85" t="s">
        <v>2046</v>
      </c>
      <c r="G467" s="20">
        <f>G466*10%</f>
        <v>2.06</v>
      </c>
      <c r="H467" s="85" t="s">
        <v>1637</v>
      </c>
    </row>
    <row r="468" spans="1:8">
      <c r="A468" s="85"/>
      <c r="B468" s="85"/>
      <c r="C468" s="85"/>
      <c r="D468" s="85"/>
      <c r="E468" s="85"/>
      <c r="F468" s="85"/>
      <c r="G468" s="89">
        <f>SUM(G466:G467)</f>
        <v>22.69</v>
      </c>
      <c r="H468" s="85" t="s">
        <v>1637</v>
      </c>
    </row>
    <row r="469" spans="1:8">
      <c r="A469" s="85"/>
      <c r="B469" s="85"/>
      <c r="C469" s="85"/>
      <c r="D469" s="85"/>
      <c r="E469" s="85"/>
      <c r="F469" s="85"/>
      <c r="G469" s="85"/>
      <c r="H469" s="85"/>
    </row>
    <row r="470" spans="1:8">
      <c r="A470" s="85"/>
      <c r="B470" s="106" t="s">
        <v>4407</v>
      </c>
      <c r="C470" s="85" t="s">
        <v>4408</v>
      </c>
      <c r="D470" s="85"/>
      <c r="E470" s="85"/>
      <c r="F470" s="85"/>
      <c r="G470" s="85"/>
      <c r="H470" s="85"/>
    </row>
    <row r="471" spans="1:8" ht="17.25">
      <c r="A471" s="85"/>
      <c r="B471" s="85"/>
      <c r="C471" s="85" t="s">
        <v>4409</v>
      </c>
      <c r="D471" s="85" t="s">
        <v>2046</v>
      </c>
      <c r="E471" s="85" t="s">
        <v>4452</v>
      </c>
      <c r="F471" s="85" t="s">
        <v>2046</v>
      </c>
      <c r="G471" s="20">
        <f>1*4*0.55*1.1</f>
        <v>2.42</v>
      </c>
      <c r="H471" s="85" t="s">
        <v>4411</v>
      </c>
    </row>
    <row r="472" spans="1:8" ht="17.25">
      <c r="A472" s="85"/>
      <c r="B472" s="85"/>
      <c r="C472" s="85" t="s">
        <v>4453</v>
      </c>
      <c r="D472" s="85" t="s">
        <v>2046</v>
      </c>
      <c r="E472" s="85" t="s">
        <v>4454</v>
      </c>
      <c r="F472" s="85" t="s">
        <v>2046</v>
      </c>
      <c r="G472" s="20">
        <f>1*1*2.3*0.6</f>
        <v>1.38</v>
      </c>
      <c r="H472" s="85" t="s">
        <v>4411</v>
      </c>
    </row>
    <row r="473" spans="1:8" ht="17.25">
      <c r="A473" s="85"/>
      <c r="B473" s="85"/>
      <c r="C473" s="85"/>
      <c r="D473" s="85"/>
      <c r="E473" s="85"/>
      <c r="F473" s="85"/>
      <c r="G473" s="89">
        <f>SUM(G471:G472)</f>
        <v>3.8</v>
      </c>
      <c r="H473" s="88" t="s">
        <v>4455</v>
      </c>
    </row>
    <row r="474" spans="1:8">
      <c r="A474" s="85"/>
      <c r="B474" s="85"/>
      <c r="C474" s="85"/>
      <c r="D474" s="85"/>
      <c r="E474" s="85"/>
      <c r="F474" s="85"/>
      <c r="G474" s="89"/>
      <c r="H474" s="88"/>
    </row>
    <row r="475" spans="1:8">
      <c r="A475" s="85"/>
      <c r="B475" s="106" t="s">
        <v>4412</v>
      </c>
      <c r="C475" s="85" t="s">
        <v>3903</v>
      </c>
      <c r="D475" s="85" t="s">
        <v>2046</v>
      </c>
      <c r="E475" s="85" t="s">
        <v>4456</v>
      </c>
      <c r="F475" s="85" t="s">
        <v>2046</v>
      </c>
      <c r="G475" s="20">
        <f>1*2*4*3.3</f>
        <v>26.4</v>
      </c>
      <c r="H475" s="85" t="s">
        <v>823</v>
      </c>
    </row>
    <row r="476" spans="1:8">
      <c r="A476" s="85"/>
      <c r="B476" s="106"/>
      <c r="C476" s="85"/>
      <c r="D476" s="85" t="s">
        <v>2046</v>
      </c>
      <c r="E476" s="85" t="s">
        <v>4457</v>
      </c>
      <c r="F476" s="85" t="s">
        <v>2046</v>
      </c>
      <c r="G476" s="20">
        <f>1*2*1*5.8</f>
        <v>11.6</v>
      </c>
      <c r="H476" s="85" t="s">
        <v>823</v>
      </c>
    </row>
    <row r="477" spans="1:8">
      <c r="A477" s="85"/>
      <c r="B477" s="106"/>
      <c r="C477" s="85"/>
      <c r="D477" s="85"/>
      <c r="E477" s="85"/>
      <c r="F477" s="85"/>
      <c r="G477" s="89">
        <f>SUM(G475:G476)</f>
        <v>38</v>
      </c>
      <c r="H477" s="88" t="s">
        <v>823</v>
      </c>
    </row>
    <row r="478" spans="1:8">
      <c r="A478" s="85"/>
      <c r="B478" s="85"/>
      <c r="C478" s="85"/>
      <c r="D478" s="85"/>
      <c r="E478" s="85"/>
      <c r="F478" s="85"/>
      <c r="G478" s="20"/>
      <c r="H478" s="85"/>
    </row>
    <row r="479" spans="1:8" ht="17.25">
      <c r="A479" s="85"/>
      <c r="B479" s="106" t="s">
        <v>4414</v>
      </c>
      <c r="C479" s="85" t="s">
        <v>4415</v>
      </c>
      <c r="D479" s="85" t="s">
        <v>2046</v>
      </c>
      <c r="E479" s="85" t="s">
        <v>4458</v>
      </c>
      <c r="F479" s="85" t="s">
        <v>2046</v>
      </c>
      <c r="G479" s="20">
        <f>2.4*1.8</f>
        <v>4.32</v>
      </c>
      <c r="H479" s="85" t="s">
        <v>4411</v>
      </c>
    </row>
    <row r="480" spans="1:8">
      <c r="A480" s="85"/>
      <c r="B480" s="85"/>
      <c r="C480" s="85"/>
      <c r="D480" s="85"/>
      <c r="E480" s="85"/>
      <c r="F480" s="85"/>
      <c r="G480" s="85"/>
      <c r="H480" s="85"/>
    </row>
    <row r="481" spans="1:8">
      <c r="A481" s="85"/>
      <c r="B481" s="85"/>
      <c r="C481" s="85"/>
      <c r="D481" s="85"/>
      <c r="E481" s="85"/>
      <c r="F481" s="85"/>
      <c r="G481" s="85"/>
      <c r="H481" s="85"/>
    </row>
    <row r="482" spans="1:8">
      <c r="A482" s="85"/>
      <c r="B482" s="85"/>
      <c r="C482" s="85"/>
      <c r="D482" s="85"/>
      <c r="E482" s="85"/>
      <c r="F482" s="85"/>
      <c r="G482" s="85"/>
      <c r="H482" s="85"/>
    </row>
    <row r="483" spans="1:8">
      <c r="A483" s="7">
        <f>G468</f>
        <v>22.69</v>
      </c>
      <c r="B483" t="s">
        <v>909</v>
      </c>
      <c r="C483" s="1" t="s">
        <v>4417</v>
      </c>
      <c r="E483">
        <v>287</v>
      </c>
      <c r="F483" t="s">
        <v>909</v>
      </c>
      <c r="G483">
        <f t="shared" ref="G483:G488" si="17">E483*A483</f>
        <v>6512.03</v>
      </c>
      <c r="H483" s="85"/>
    </row>
    <row r="484" spans="1:8">
      <c r="A484" s="7">
        <f>G473</f>
        <v>3.8</v>
      </c>
      <c r="B484" t="s">
        <v>230</v>
      </c>
      <c r="C484" s="1" t="s">
        <v>4418</v>
      </c>
      <c r="E484">
        <v>336</v>
      </c>
      <c r="F484" t="s">
        <v>230</v>
      </c>
      <c r="G484">
        <f t="shared" si="17"/>
        <v>1276.8</v>
      </c>
      <c r="H484" s="85"/>
    </row>
    <row r="485" spans="1:8">
      <c r="A485" s="7">
        <v>38</v>
      </c>
      <c r="B485" t="s">
        <v>823</v>
      </c>
      <c r="C485" s="1" t="s">
        <v>1848</v>
      </c>
      <c r="E485">
        <v>27.1</v>
      </c>
      <c r="F485" t="s">
        <v>823</v>
      </c>
      <c r="G485">
        <f t="shared" si="17"/>
        <v>1029.8</v>
      </c>
      <c r="H485" s="85"/>
    </row>
    <row r="486" spans="1:8">
      <c r="A486" s="7">
        <v>1</v>
      </c>
      <c r="B486" t="s">
        <v>766</v>
      </c>
      <c r="C486" s="1" t="s">
        <v>4419</v>
      </c>
      <c r="E486">
        <v>59.4</v>
      </c>
      <c r="F486" t="s">
        <v>766</v>
      </c>
      <c r="G486">
        <f t="shared" si="17"/>
        <v>59.4</v>
      </c>
      <c r="H486" s="85"/>
    </row>
    <row r="487" spans="1:8">
      <c r="A487" s="7">
        <v>1</v>
      </c>
      <c r="B487" t="s">
        <v>766</v>
      </c>
      <c r="C487" s="1" t="s">
        <v>4420</v>
      </c>
      <c r="E487">
        <v>13.1</v>
      </c>
      <c r="F487" t="s">
        <v>766</v>
      </c>
      <c r="G487">
        <f t="shared" si="17"/>
        <v>13.1</v>
      </c>
      <c r="H487" s="85"/>
    </row>
    <row r="488" spans="1:8">
      <c r="A488" s="7">
        <v>4.32</v>
      </c>
      <c r="B488" t="s">
        <v>2273</v>
      </c>
      <c r="C488" s="1" t="s">
        <v>1854</v>
      </c>
      <c r="E488">
        <f>G498</f>
        <v>1110</v>
      </c>
      <c r="F488" t="s">
        <v>2273</v>
      </c>
      <c r="G488">
        <f t="shared" si="17"/>
        <v>4795.2</v>
      </c>
      <c r="H488" s="85"/>
    </row>
    <row r="489" spans="1:8">
      <c r="C489" s="1" t="s">
        <v>2261</v>
      </c>
      <c r="E489" s="2"/>
      <c r="F489" t="s">
        <v>654</v>
      </c>
      <c r="G489" s="85">
        <v>4.7</v>
      </c>
      <c r="H489" s="85"/>
    </row>
    <row r="490" spans="1:8">
      <c r="C490" s="4" t="s">
        <v>4459</v>
      </c>
      <c r="G490">
        <f>SUM(G483:G489)</f>
        <v>13691.03</v>
      </c>
      <c r="H490" s="85"/>
    </row>
    <row r="491" spans="1:8">
      <c r="C491" s="107" t="s">
        <v>4422</v>
      </c>
      <c r="D491" s="91" t="s">
        <v>2046</v>
      </c>
      <c r="E491" s="91"/>
      <c r="F491" s="11"/>
      <c r="G491" s="89">
        <f>G490/A488</f>
        <v>3169.22</v>
      </c>
      <c r="H491" s="85"/>
    </row>
    <row r="492" spans="1:8">
      <c r="A492" s="85"/>
      <c r="B492" s="85"/>
      <c r="C492" s="85"/>
      <c r="D492" s="85"/>
      <c r="E492" s="85"/>
      <c r="F492" s="85"/>
      <c r="G492" s="85"/>
      <c r="H492" s="85"/>
    </row>
    <row r="493" spans="1:8">
      <c r="A493" s="85"/>
      <c r="B493" s="85"/>
      <c r="C493" s="88" t="s">
        <v>4423</v>
      </c>
      <c r="D493" s="85"/>
      <c r="E493" s="85"/>
      <c r="F493" s="85"/>
      <c r="G493" s="85"/>
      <c r="H493" s="85"/>
    </row>
    <row r="494" spans="1:8">
      <c r="A494">
        <v>1</v>
      </c>
      <c r="B494" t="s">
        <v>865</v>
      </c>
      <c r="C494" s="1" t="s">
        <v>4424</v>
      </c>
      <c r="E494">
        <v>501</v>
      </c>
      <c r="F494" s="1" t="s">
        <v>865</v>
      </c>
      <c r="G494" s="85">
        <f>E494*A494</f>
        <v>501</v>
      </c>
      <c r="H494" s="85"/>
    </row>
    <row r="495" spans="1:8">
      <c r="A495">
        <v>1</v>
      </c>
      <c r="B495" t="s">
        <v>865</v>
      </c>
      <c r="C495" s="1" t="s">
        <v>4425</v>
      </c>
      <c r="E495">
        <v>355</v>
      </c>
      <c r="F495" s="1" t="s">
        <v>865</v>
      </c>
      <c r="G495" s="85">
        <f>E495*A495</f>
        <v>355</v>
      </c>
      <c r="H495" s="85"/>
    </row>
    <row r="496" spans="1:8">
      <c r="A496">
        <v>0.5</v>
      </c>
      <c r="B496" t="s">
        <v>865</v>
      </c>
      <c r="C496" s="1" t="s">
        <v>4426</v>
      </c>
      <c r="E496">
        <v>508</v>
      </c>
      <c r="F496" s="1" t="s">
        <v>865</v>
      </c>
      <c r="G496" s="85">
        <f>E496*A496</f>
        <v>254</v>
      </c>
      <c r="H496" s="85"/>
    </row>
    <row r="497" spans="1:8">
      <c r="C497" s="1"/>
      <c r="E497" s="1"/>
      <c r="F497" s="3"/>
      <c r="G497" s="85"/>
      <c r="H497" s="85"/>
    </row>
    <row r="498" spans="1:8">
      <c r="C498" s="1" t="s">
        <v>3917</v>
      </c>
      <c r="E498" s="1"/>
      <c r="F498" s="11"/>
      <c r="G498" s="91">
        <f>SUM(G494:G497)</f>
        <v>1110</v>
      </c>
      <c r="H498" s="85"/>
    </row>
    <row r="499" spans="1:8">
      <c r="E499" s="1"/>
      <c r="F499" s="3"/>
      <c r="G499" s="85"/>
      <c r="H499" s="85"/>
    </row>
    <row r="500" spans="1:8">
      <c r="A500" s="108"/>
      <c r="B500" s="108"/>
      <c r="C500" s="108"/>
      <c r="D500" s="108"/>
      <c r="E500" s="108"/>
      <c r="F500" s="108"/>
      <c r="G500" s="108"/>
      <c r="H500" s="108"/>
    </row>
    <row r="501" spans="1:8" ht="30" customHeight="1">
      <c r="A501" s="85"/>
      <c r="B501" s="85"/>
      <c r="C501" s="65" t="s">
        <v>4469</v>
      </c>
      <c r="D501" s="85"/>
      <c r="E501" s="85"/>
      <c r="F501" s="85"/>
      <c r="G501" s="85"/>
      <c r="H501" s="85"/>
    </row>
    <row r="502" spans="1:8">
      <c r="A502" s="85"/>
      <c r="B502" s="85" t="s">
        <v>4383</v>
      </c>
      <c r="C502" s="85" t="s">
        <v>4384</v>
      </c>
      <c r="D502" s="85"/>
      <c r="E502" s="85"/>
      <c r="F502" s="85"/>
      <c r="G502" s="85"/>
      <c r="H502" s="85"/>
    </row>
    <row r="503" spans="1:8">
      <c r="A503" s="85"/>
      <c r="B503" s="85"/>
      <c r="C503" s="85" t="s">
        <v>4460</v>
      </c>
      <c r="D503" s="85" t="s">
        <v>2046</v>
      </c>
      <c r="E503" s="85" t="s">
        <v>4461</v>
      </c>
      <c r="F503" s="85" t="s">
        <v>2046</v>
      </c>
      <c r="G503" s="20">
        <f>1*2*0.6</f>
        <v>1.2</v>
      </c>
      <c r="H503" s="85" t="s">
        <v>1637</v>
      </c>
    </row>
    <row r="504" spans="1:8">
      <c r="A504" s="85"/>
      <c r="B504" s="85"/>
      <c r="C504" s="85" t="s">
        <v>4462</v>
      </c>
      <c r="D504" s="85" t="s">
        <v>2046</v>
      </c>
      <c r="E504" s="85" t="s">
        <v>4463</v>
      </c>
      <c r="F504" s="85" t="s">
        <v>2046</v>
      </c>
      <c r="G504" s="20">
        <f>1*2*0.9</f>
        <v>1.8</v>
      </c>
      <c r="H504" s="85" t="s">
        <v>1637</v>
      </c>
    </row>
    <row r="505" spans="1:8">
      <c r="A505" s="85"/>
      <c r="B505" s="85"/>
      <c r="C505" s="85"/>
      <c r="D505" s="85"/>
      <c r="E505" s="85"/>
      <c r="F505" s="85"/>
      <c r="G505" s="20">
        <f>SUM(G503:G504)</f>
        <v>3</v>
      </c>
      <c r="H505" s="85" t="s">
        <v>1637</v>
      </c>
    </row>
    <row r="506" spans="1:8">
      <c r="A506" s="85"/>
      <c r="B506" s="85"/>
      <c r="C506" s="85"/>
      <c r="D506" s="85" t="s">
        <v>2046</v>
      </c>
      <c r="E506" s="85" t="s">
        <v>4464</v>
      </c>
      <c r="F506" s="85" t="s">
        <v>2046</v>
      </c>
      <c r="G506" s="21">
        <f>3*1.558</f>
        <v>4.67</v>
      </c>
      <c r="H506" s="85" t="s">
        <v>1637</v>
      </c>
    </row>
    <row r="507" spans="1:8">
      <c r="A507" s="85"/>
      <c r="B507" s="85"/>
      <c r="C507" s="85"/>
      <c r="D507" s="85"/>
      <c r="E507" s="85"/>
      <c r="F507" s="85"/>
      <c r="G507" s="20"/>
      <c r="H507" s="85"/>
    </row>
    <row r="508" spans="1:8">
      <c r="A508" s="85"/>
      <c r="B508" s="85"/>
      <c r="C508" s="85" t="s">
        <v>4465</v>
      </c>
      <c r="D508" s="85" t="s">
        <v>2046</v>
      </c>
      <c r="E508" s="85" t="s">
        <v>4466</v>
      </c>
      <c r="F508" s="85" t="s">
        <v>2046</v>
      </c>
      <c r="G508" s="21">
        <f>0.9*0.6</f>
        <v>0.54</v>
      </c>
      <c r="H508" s="85" t="s">
        <v>4467</v>
      </c>
    </row>
    <row r="509" spans="1:8">
      <c r="A509" s="85"/>
      <c r="B509" s="85"/>
      <c r="C509" s="85"/>
      <c r="D509" s="85"/>
      <c r="E509" s="85"/>
      <c r="F509" s="85"/>
      <c r="G509" s="21"/>
      <c r="H509" s="85"/>
    </row>
    <row r="510" spans="1:8">
      <c r="A510" s="85"/>
      <c r="B510" s="85"/>
      <c r="C510" s="85" t="s">
        <v>911</v>
      </c>
      <c r="D510" s="85" t="s">
        <v>2046</v>
      </c>
      <c r="E510" s="85" t="s">
        <v>4468</v>
      </c>
      <c r="F510" s="85" t="s">
        <v>2046</v>
      </c>
      <c r="G510" s="21">
        <f>0.9*0.6</f>
        <v>0.54</v>
      </c>
      <c r="H510" s="85" t="s">
        <v>4467</v>
      </c>
    </row>
    <row r="511" spans="1:8">
      <c r="A511" s="85"/>
      <c r="B511" s="85"/>
      <c r="C511" s="85"/>
      <c r="D511" s="85"/>
      <c r="E511" s="85"/>
      <c r="F511" s="85"/>
      <c r="G511" s="85"/>
      <c r="H511" s="85"/>
    </row>
    <row r="512" spans="1:8">
      <c r="A512" s="85"/>
      <c r="B512" s="85"/>
      <c r="C512" s="85"/>
      <c r="D512" s="85"/>
      <c r="E512" s="85"/>
      <c r="F512" s="85"/>
      <c r="G512" s="85"/>
      <c r="H512" s="85"/>
    </row>
    <row r="513" spans="1:8">
      <c r="A513" s="85"/>
      <c r="B513" s="85"/>
      <c r="C513" s="85"/>
      <c r="D513" s="85"/>
      <c r="E513" s="85"/>
      <c r="F513" s="85"/>
      <c r="G513" s="85"/>
      <c r="H513" s="85"/>
    </row>
    <row r="514" spans="1:8" ht="19.5">
      <c r="D514" s="65"/>
      <c r="E514" s="65"/>
      <c r="F514" s="65"/>
      <c r="G514" s="85"/>
      <c r="H514" s="85"/>
    </row>
    <row r="515" spans="1:8">
      <c r="A515" s="7">
        <f>G506</f>
        <v>4.67</v>
      </c>
      <c r="B515" t="s">
        <v>909</v>
      </c>
      <c r="C515" s="1" t="s">
        <v>1846</v>
      </c>
      <c r="E515">
        <v>287</v>
      </c>
      <c r="F515" t="s">
        <v>909</v>
      </c>
      <c r="G515">
        <f>E515*A515</f>
        <v>1340.29</v>
      </c>
      <c r="H515" s="85"/>
    </row>
    <row r="516" spans="1:8">
      <c r="A516" s="7">
        <f>G508</f>
        <v>0.54</v>
      </c>
      <c r="B516" t="s">
        <v>230</v>
      </c>
      <c r="C516" s="1" t="s">
        <v>1847</v>
      </c>
      <c r="E516">
        <v>208.8</v>
      </c>
      <c r="F516" t="s">
        <v>230</v>
      </c>
      <c r="G516">
        <f>E516*A516</f>
        <v>112.75</v>
      </c>
      <c r="H516" s="85"/>
    </row>
    <row r="517" spans="1:8">
      <c r="A517" s="7">
        <f>G510</f>
        <v>0.54</v>
      </c>
      <c r="B517" t="s">
        <v>230</v>
      </c>
      <c r="C517" s="1" t="s">
        <v>1854</v>
      </c>
      <c r="E517">
        <f>E488</f>
        <v>1110</v>
      </c>
      <c r="F517" t="s">
        <v>909</v>
      </c>
      <c r="G517">
        <f>E517*A517</f>
        <v>599.4</v>
      </c>
      <c r="H517" s="85"/>
    </row>
    <row r="518" spans="1:8">
      <c r="A518" s="7"/>
      <c r="C518" s="1" t="s">
        <v>1855</v>
      </c>
      <c r="E518" s="2"/>
      <c r="G518" s="85"/>
      <c r="H518" s="85"/>
    </row>
    <row r="519" spans="1:8">
      <c r="A519" s="7"/>
      <c r="C519" s="4" t="s">
        <v>4470</v>
      </c>
      <c r="G519" s="91">
        <f>SUM(G515:G518)</f>
        <v>2052.44</v>
      </c>
      <c r="H519" s="85"/>
    </row>
    <row r="520" spans="1:8">
      <c r="A520" s="7"/>
      <c r="C520" s="107" t="s">
        <v>4422</v>
      </c>
      <c r="F520" s="11"/>
      <c r="G520" s="89">
        <f>G519/A517</f>
        <v>3800.81</v>
      </c>
      <c r="H520" s="85"/>
    </row>
    <row r="521" spans="1:8">
      <c r="A521" s="85"/>
      <c r="B521" s="85"/>
      <c r="C521" s="85"/>
      <c r="D521" s="85"/>
      <c r="E521" s="85"/>
      <c r="F521" s="85"/>
      <c r="G521" s="85"/>
      <c r="H521" s="85"/>
    </row>
    <row r="522" spans="1:8">
      <c r="A522" s="85"/>
      <c r="B522" s="85"/>
      <c r="C522" s="85"/>
      <c r="D522" s="85"/>
      <c r="E522" s="85"/>
      <c r="F522" s="85"/>
      <c r="G522" s="85"/>
      <c r="H522" s="85"/>
    </row>
    <row r="523" spans="1:8">
      <c r="A523" s="85"/>
      <c r="B523" s="85"/>
      <c r="C523" s="85"/>
      <c r="D523" s="85"/>
      <c r="E523" s="85"/>
      <c r="F523" s="85"/>
      <c r="G523" s="85"/>
      <c r="H523" s="85"/>
    </row>
    <row r="524" spans="1:8">
      <c r="A524" s="85"/>
      <c r="B524" s="85"/>
      <c r="C524" s="85"/>
      <c r="D524" s="85"/>
      <c r="E524" s="85"/>
      <c r="F524" s="85"/>
      <c r="G524" s="85"/>
      <c r="H524" s="85"/>
    </row>
    <row r="525" spans="1:8">
      <c r="A525" s="85"/>
      <c r="B525" s="85"/>
      <c r="C525" s="85"/>
      <c r="D525" s="85"/>
      <c r="E525" s="85"/>
      <c r="F525" s="85"/>
      <c r="G525" s="85"/>
      <c r="H525" s="85"/>
    </row>
    <row r="526" spans="1:8">
      <c r="A526" s="115">
        <v>2</v>
      </c>
      <c r="B526" s="24" t="s">
        <v>2241</v>
      </c>
      <c r="C526" s="22" t="s">
        <v>4478</v>
      </c>
      <c r="D526" s="24"/>
      <c r="E526" s="25"/>
      <c r="F526" s="24"/>
      <c r="G526" s="5"/>
      <c r="H526" s="5"/>
    </row>
    <row r="527" spans="1:8">
      <c r="A527" s="24"/>
      <c r="B527" s="24"/>
      <c r="C527" s="28" t="s">
        <v>4341</v>
      </c>
      <c r="D527" s="24"/>
      <c r="E527" s="25"/>
      <c r="F527" s="24"/>
      <c r="G527" s="5"/>
      <c r="H527" s="5"/>
    </row>
    <row r="528" spans="1:8" ht="18">
      <c r="A528" s="24"/>
      <c r="B528" s="24"/>
      <c r="C528" s="40" t="s">
        <v>4342</v>
      </c>
      <c r="D528" s="24"/>
      <c r="E528" s="25"/>
      <c r="F528" s="24"/>
      <c r="G528" s="5"/>
      <c r="H528" s="5"/>
    </row>
    <row r="529" spans="1:8">
      <c r="A529" s="24"/>
      <c r="B529" s="24"/>
      <c r="C529" s="29" t="s">
        <v>1579</v>
      </c>
      <c r="D529" s="24"/>
      <c r="E529" s="25"/>
      <c r="F529" s="24"/>
      <c r="G529" s="5"/>
      <c r="H529" s="5"/>
    </row>
    <row r="530" spans="1:8">
      <c r="A530" s="24"/>
      <c r="B530" s="24"/>
      <c r="C530" s="22" t="s">
        <v>4343</v>
      </c>
      <c r="G530" s="5"/>
      <c r="H530" s="5"/>
    </row>
    <row r="531" spans="1:8">
      <c r="A531" s="24"/>
      <c r="B531" s="24"/>
      <c r="C531" s="34" t="s">
        <v>4344</v>
      </c>
      <c r="D531" s="85"/>
      <c r="E531" s="42">
        <f>3*2*1.9*0.075*0.0375</f>
        <v>3.2099999999999997E-2</v>
      </c>
      <c r="F531" s="24" t="s">
        <v>2142</v>
      </c>
      <c r="G531" s="5"/>
      <c r="H531" s="5"/>
    </row>
    <row r="532" spans="1:8">
      <c r="A532" s="24"/>
      <c r="B532" s="24"/>
      <c r="C532" s="28" t="s">
        <v>4345</v>
      </c>
      <c r="D532" s="85"/>
      <c r="E532" s="42">
        <f>3*2*0.5*0.075*0.0375</f>
        <v>8.3999999999999995E-3</v>
      </c>
      <c r="F532" s="24" t="s">
        <v>2142</v>
      </c>
      <c r="G532" s="5"/>
      <c r="H532" s="5"/>
    </row>
    <row r="533" spans="1:8">
      <c r="A533" s="24"/>
      <c r="B533" s="24"/>
      <c r="C533" s="28"/>
      <c r="D533" s="26"/>
      <c r="E533" s="29" t="s">
        <v>1579</v>
      </c>
      <c r="F533" s="32"/>
      <c r="G533" s="5"/>
      <c r="H533" s="5"/>
    </row>
    <row r="534" spans="1:8">
      <c r="A534" s="24"/>
      <c r="B534" s="24"/>
      <c r="C534" s="24"/>
      <c r="D534" s="24"/>
      <c r="E534" s="102">
        <f>SUM(E531:E533)</f>
        <v>4.0500000000000001E-2</v>
      </c>
      <c r="F534" t="s">
        <v>2142</v>
      </c>
      <c r="G534" s="5"/>
      <c r="H534" s="5"/>
    </row>
    <row r="535" spans="1:8">
      <c r="A535" s="24"/>
      <c r="B535" s="24"/>
      <c r="C535" s="24"/>
      <c r="D535" s="24"/>
      <c r="E535" s="29" t="s">
        <v>1579</v>
      </c>
      <c r="G535" s="5"/>
      <c r="H535" s="5"/>
    </row>
    <row r="536" spans="1:8">
      <c r="A536" s="24"/>
      <c r="B536" s="24"/>
      <c r="C536" s="28" t="s">
        <v>444</v>
      </c>
      <c r="D536" s="85"/>
      <c r="E536" s="85"/>
      <c r="F536" s="85"/>
      <c r="G536" s="5"/>
      <c r="H536" s="5"/>
    </row>
    <row r="537" spans="1:8">
      <c r="A537" s="24"/>
      <c r="B537" s="24"/>
      <c r="C537" s="28" t="s">
        <v>4346</v>
      </c>
      <c r="D537" s="43"/>
      <c r="E537" s="41">
        <f>3*1.9*0.5</f>
        <v>2.85</v>
      </c>
      <c r="F537" t="s">
        <v>606</v>
      </c>
      <c r="G537" s="5"/>
      <c r="H537" s="5"/>
    </row>
    <row r="538" spans="1:8">
      <c r="A538" s="24"/>
      <c r="B538" s="24"/>
      <c r="C538" s="28"/>
      <c r="D538" s="43"/>
      <c r="E538" s="41"/>
      <c r="F538" s="32"/>
      <c r="G538" s="5"/>
      <c r="H538" s="5"/>
    </row>
    <row r="539" spans="1:8">
      <c r="A539" s="24"/>
      <c r="B539" s="24"/>
      <c r="C539" s="28" t="s">
        <v>4347</v>
      </c>
      <c r="D539" s="43"/>
      <c r="E539" s="41"/>
      <c r="F539" s="32"/>
      <c r="G539" s="5"/>
      <c r="H539" s="5"/>
    </row>
    <row r="540" spans="1:8">
      <c r="A540" s="24"/>
      <c r="B540" s="24"/>
      <c r="C540" s="28" t="s">
        <v>4348</v>
      </c>
      <c r="D540" s="43"/>
      <c r="E540" s="42">
        <f>3*1.775*0.375</f>
        <v>1.9968999999999999</v>
      </c>
      <c r="F540" s="32" t="str">
        <f>F537</f>
        <v>SQM</v>
      </c>
      <c r="G540" s="5"/>
      <c r="H540" s="5"/>
    </row>
    <row r="541" spans="1:8">
      <c r="A541" s="24"/>
      <c r="B541" s="24"/>
      <c r="C541" s="28" t="s">
        <v>4349</v>
      </c>
      <c r="D541" s="24"/>
      <c r="E541" s="42"/>
      <c r="F541" s="34"/>
      <c r="G541" s="5"/>
      <c r="H541" s="5"/>
    </row>
    <row r="542" spans="1:8">
      <c r="A542" s="33"/>
      <c r="B542" s="24"/>
      <c r="C542" s="28" t="s">
        <v>4350</v>
      </c>
      <c r="D542" s="43"/>
      <c r="E542" s="103">
        <f>1.775+0.375</f>
        <v>2.15</v>
      </c>
      <c r="F542" s="32"/>
      <c r="G542" s="24"/>
      <c r="H542" s="5"/>
    </row>
    <row r="543" spans="1:8">
      <c r="A543" s="33"/>
      <c r="B543" s="24"/>
      <c r="C543" s="24"/>
      <c r="D543" s="104"/>
      <c r="E543" s="30">
        <f>E542*6</f>
        <v>12.9</v>
      </c>
      <c r="F543" s="24" t="s">
        <v>823</v>
      </c>
      <c r="G543" s="24"/>
      <c r="H543" s="5"/>
    </row>
    <row r="544" spans="1:8">
      <c r="A544" s="33"/>
      <c r="B544" s="24"/>
      <c r="C544" s="105" t="s">
        <v>4351</v>
      </c>
      <c r="D544" s="104"/>
      <c r="E544" s="25"/>
      <c r="F544" s="24"/>
      <c r="G544" s="24"/>
      <c r="H544" s="5"/>
    </row>
    <row r="545" spans="1:8">
      <c r="A545" s="33"/>
      <c r="B545" s="24"/>
      <c r="C545" s="22" t="s">
        <v>4352</v>
      </c>
      <c r="D545" s="85"/>
      <c r="E545" s="24"/>
      <c r="F545" s="25"/>
      <c r="G545" s="24"/>
      <c r="H545" s="5"/>
    </row>
    <row r="546" spans="1:8">
      <c r="A546" s="32">
        <f>E534</f>
        <v>4.0500000000000001E-2</v>
      </c>
      <c r="B546" s="25" t="s">
        <v>866</v>
      </c>
      <c r="C546" s="28" t="s">
        <v>4507</v>
      </c>
      <c r="D546" s="24">
        <f>DATA!I951</f>
        <v>99400</v>
      </c>
      <c r="E546" s="28" t="s">
        <v>866</v>
      </c>
      <c r="F546" s="24">
        <f>(A546*D546)</f>
        <v>4025.7</v>
      </c>
      <c r="G546" s="24"/>
      <c r="H546" s="5"/>
    </row>
    <row r="547" spans="1:8">
      <c r="A547" s="32">
        <f>E537</f>
        <v>2.85</v>
      </c>
      <c r="B547" t="s">
        <v>606</v>
      </c>
      <c r="C547" s="28" t="s">
        <v>4508</v>
      </c>
      <c r="D547" s="24">
        <f>DATA!P3228</f>
        <v>57.65</v>
      </c>
      <c r="E547" t="s">
        <v>606</v>
      </c>
      <c r="F547" s="24">
        <f>(A547*D547)</f>
        <v>164.3</v>
      </c>
      <c r="G547" s="24"/>
      <c r="H547" s="5"/>
    </row>
    <row r="548" spans="1:8">
      <c r="A548" s="32">
        <f>E540</f>
        <v>1.9968999999999999</v>
      </c>
      <c r="B548" t="s">
        <v>606</v>
      </c>
      <c r="C548" s="28" t="s">
        <v>4347</v>
      </c>
      <c r="D548" s="24">
        <f>DATA!I1072</f>
        <v>208.8</v>
      </c>
      <c r="E548" t="s">
        <v>606</v>
      </c>
      <c r="F548" s="24">
        <f t="shared" ref="F548:F554" si="18">(A548*D548)</f>
        <v>416.95</v>
      </c>
      <c r="G548" s="24"/>
      <c r="H548" s="5"/>
    </row>
    <row r="549" spans="1:8">
      <c r="A549" s="24">
        <f>E543</f>
        <v>12.9</v>
      </c>
      <c r="B549" s="24" t="s">
        <v>823</v>
      </c>
      <c r="C549" s="22" t="s">
        <v>4354</v>
      </c>
      <c r="D549" s="24">
        <f>DATA!V3160</f>
        <v>89.6</v>
      </c>
      <c r="E549" s="24" t="s">
        <v>823</v>
      </c>
      <c r="F549" s="24">
        <f t="shared" si="18"/>
        <v>1155.8399999999999</v>
      </c>
      <c r="G549" s="24"/>
      <c r="H549" s="5"/>
    </row>
    <row r="550" spans="1:8">
      <c r="A550" s="24">
        <v>9</v>
      </c>
      <c r="B550" t="s">
        <v>865</v>
      </c>
      <c r="C550" s="1" t="s">
        <v>1510</v>
      </c>
      <c r="D550" s="24">
        <f>DATA!V3161</f>
        <v>82.25</v>
      </c>
      <c r="E550" s="1" t="s">
        <v>865</v>
      </c>
      <c r="F550" s="24">
        <f t="shared" si="18"/>
        <v>740.25</v>
      </c>
      <c r="G550" s="24"/>
      <c r="H550" s="5"/>
    </row>
    <row r="551" spans="1:8">
      <c r="A551" s="24">
        <v>6</v>
      </c>
      <c r="B551" t="s">
        <v>865</v>
      </c>
      <c r="C551" s="1" t="s">
        <v>3537</v>
      </c>
      <c r="D551" s="24">
        <f>DATA!V3162</f>
        <v>57.65</v>
      </c>
      <c r="E551" s="1" t="s">
        <v>865</v>
      </c>
      <c r="F551" s="24">
        <f t="shared" si="18"/>
        <v>345.9</v>
      </c>
      <c r="G551" s="24"/>
      <c r="H551" s="5"/>
    </row>
    <row r="552" spans="1:8">
      <c r="A552" s="24">
        <v>3</v>
      </c>
      <c r="B552" t="s">
        <v>865</v>
      </c>
      <c r="C552" s="1" t="s">
        <v>3538</v>
      </c>
      <c r="D552" s="24">
        <f>DATA!V3163</f>
        <v>7.3</v>
      </c>
      <c r="E552" s="1" t="s">
        <v>865</v>
      </c>
      <c r="F552" s="24">
        <f t="shared" si="18"/>
        <v>21.9</v>
      </c>
      <c r="G552" s="24"/>
      <c r="H552" s="5"/>
    </row>
    <row r="553" spans="1:8">
      <c r="A553" s="24">
        <v>3</v>
      </c>
      <c r="B553" t="s">
        <v>865</v>
      </c>
      <c r="C553" s="1" t="s">
        <v>1971</v>
      </c>
      <c r="D553" s="24">
        <f>DATA!V3164</f>
        <v>2.41</v>
      </c>
      <c r="E553" s="1" t="s">
        <v>865</v>
      </c>
      <c r="F553" s="24">
        <f t="shared" si="18"/>
        <v>7.23</v>
      </c>
      <c r="G553" s="24"/>
      <c r="H553" s="5"/>
    </row>
    <row r="554" spans="1:8">
      <c r="A554" s="24">
        <v>120</v>
      </c>
      <c r="B554" t="s">
        <v>865</v>
      </c>
      <c r="C554" s="1" t="s">
        <v>4355</v>
      </c>
      <c r="D554" s="24">
        <f>DATA!V3165</f>
        <v>0</v>
      </c>
      <c r="E554" s="1" t="s">
        <v>865</v>
      </c>
      <c r="F554" s="24">
        <f t="shared" si="18"/>
        <v>0</v>
      </c>
      <c r="G554" s="24"/>
      <c r="H554" s="5"/>
    </row>
    <row r="555" spans="1:8">
      <c r="A555" s="24"/>
      <c r="B555" s="24"/>
      <c r="C555" s="28"/>
      <c r="D555" s="85"/>
      <c r="E555" s="24"/>
      <c r="F555" s="29" t="s">
        <v>1579</v>
      </c>
      <c r="G555" s="24"/>
      <c r="H555" s="5"/>
    </row>
    <row r="556" spans="1:8">
      <c r="A556" s="24"/>
      <c r="B556" s="24"/>
      <c r="C556" s="28" t="s">
        <v>4356</v>
      </c>
      <c r="D556" s="85"/>
      <c r="E556" s="25"/>
      <c r="F556" s="26">
        <f>SUM(F546:F555)</f>
        <v>6878.07</v>
      </c>
      <c r="G556" s="44"/>
      <c r="H556" s="5"/>
    </row>
    <row r="557" spans="1:8">
      <c r="A557" s="24"/>
      <c r="B557" s="24"/>
      <c r="C557" s="85"/>
      <c r="D557" s="24"/>
      <c r="E557" s="25"/>
      <c r="F557" s="29" t="s">
        <v>1579</v>
      </c>
      <c r="G557" s="85"/>
      <c r="H557" s="5"/>
    </row>
    <row r="558" spans="1:8">
      <c r="A558" s="24"/>
      <c r="B558" s="24"/>
      <c r="C558" s="26" t="s">
        <v>4035</v>
      </c>
      <c r="D558" s="24"/>
      <c r="E558" s="25"/>
      <c r="F558" s="89">
        <f>F556/A547</f>
        <v>2413.36</v>
      </c>
      <c r="G558" s="24">
        <f>SUM(G542:G557)</f>
        <v>0</v>
      </c>
      <c r="H558" s="5"/>
    </row>
    <row r="559" spans="1:8">
      <c r="A559" s="24"/>
      <c r="B559" s="24"/>
      <c r="C559" s="24"/>
      <c r="D559" s="24"/>
      <c r="E559" s="25"/>
      <c r="F559" s="85"/>
      <c r="G559" s="85"/>
      <c r="H559" s="5"/>
    </row>
    <row r="560" spans="1:8">
      <c r="A560" s="24"/>
      <c r="B560" s="24"/>
      <c r="C560" s="22"/>
      <c r="D560" s="24"/>
      <c r="E560" s="1251"/>
      <c r="F560" s="1251"/>
      <c r="G560" s="1251"/>
      <c r="H560" s="1251"/>
    </row>
    <row r="561" spans="1:8">
      <c r="G561" s="5"/>
      <c r="H561" s="5"/>
    </row>
    <row r="562" spans="1:8">
      <c r="A562" s="85"/>
      <c r="B562" s="85"/>
      <c r="C562" s="85"/>
      <c r="D562" s="85"/>
      <c r="E562" s="85"/>
      <c r="F562" s="85"/>
      <c r="G562" s="85"/>
      <c r="H562" s="85"/>
    </row>
    <row r="563" spans="1:8">
      <c r="A563" s="114">
        <v>1</v>
      </c>
      <c r="B563" s="24"/>
      <c r="C563" s="28" t="s">
        <v>4341</v>
      </c>
      <c r="D563" s="24"/>
      <c r="E563" s="25"/>
      <c r="F563" s="24"/>
      <c r="G563" s="85"/>
      <c r="H563" s="85"/>
    </row>
    <row r="564" spans="1:8" ht="18">
      <c r="A564" s="24"/>
      <c r="B564" s="24"/>
      <c r="C564" s="40" t="s">
        <v>4479</v>
      </c>
      <c r="D564" s="24"/>
      <c r="E564" s="25"/>
      <c r="F564" s="24"/>
      <c r="G564" s="85"/>
      <c r="H564" s="85"/>
    </row>
    <row r="565" spans="1:8">
      <c r="A565" s="24"/>
      <c r="B565" s="24"/>
      <c r="C565" s="29" t="s">
        <v>1579</v>
      </c>
      <c r="D565" s="24"/>
      <c r="E565" s="25"/>
      <c r="F565" s="24"/>
      <c r="G565" s="85"/>
      <c r="H565" s="85"/>
    </row>
    <row r="566" spans="1:8">
      <c r="A566" s="24"/>
      <c r="B566" s="24"/>
      <c r="C566" s="22" t="s">
        <v>4343</v>
      </c>
      <c r="F566" t="s">
        <v>2142</v>
      </c>
      <c r="G566" s="85"/>
      <c r="H566" s="85"/>
    </row>
    <row r="567" spans="1:8">
      <c r="A567" s="24"/>
      <c r="B567" s="24"/>
      <c r="C567" s="34" t="s">
        <v>4480</v>
      </c>
      <c r="D567" s="85"/>
      <c r="E567" s="42">
        <f>3*2*1.9*0.075*0.0375</f>
        <v>3.2099999999999997E-2</v>
      </c>
      <c r="F567" s="24" t="s">
        <v>2142</v>
      </c>
      <c r="G567" s="85"/>
      <c r="H567" s="85"/>
    </row>
    <row r="568" spans="1:8">
      <c r="A568" s="24"/>
      <c r="B568" s="24"/>
      <c r="C568" s="28" t="s">
        <v>4481</v>
      </c>
      <c r="D568" s="85"/>
      <c r="E568" s="42">
        <f>3*2*0.6*0.075*0.0375</f>
        <v>1.01E-2</v>
      </c>
      <c r="F568" s="24" t="s">
        <v>2142</v>
      </c>
      <c r="G568" s="85"/>
      <c r="H568" s="85"/>
    </row>
    <row r="569" spans="1:8">
      <c r="A569" s="24"/>
      <c r="B569" s="24"/>
      <c r="C569" s="28"/>
      <c r="D569" s="26"/>
      <c r="E569" s="29" t="s">
        <v>1579</v>
      </c>
      <c r="F569" s="32"/>
      <c r="G569" s="85"/>
      <c r="H569" s="85"/>
    </row>
    <row r="570" spans="1:8">
      <c r="A570" s="24"/>
      <c r="B570" s="24"/>
      <c r="C570" s="24"/>
      <c r="D570" s="24"/>
      <c r="E570" s="102">
        <f>SUM(E567:E569)</f>
        <v>4.2200000000000001E-2</v>
      </c>
      <c r="F570" t="s">
        <v>2142</v>
      </c>
      <c r="G570" s="85"/>
      <c r="H570" s="85"/>
    </row>
    <row r="571" spans="1:8">
      <c r="A571" s="24"/>
      <c r="B571" s="24"/>
      <c r="C571" s="24"/>
      <c r="D571" s="24"/>
      <c r="E571" s="29" t="s">
        <v>1579</v>
      </c>
      <c r="G571" s="85"/>
      <c r="H571" s="85"/>
    </row>
    <row r="572" spans="1:8">
      <c r="A572" s="24"/>
      <c r="B572" s="24"/>
      <c r="C572" s="28" t="s">
        <v>444</v>
      </c>
      <c r="D572" s="85"/>
      <c r="E572" s="85"/>
      <c r="F572" s="85"/>
      <c r="G572" s="85"/>
      <c r="H572" s="85"/>
    </row>
    <row r="573" spans="1:8">
      <c r="A573" s="24"/>
      <c r="B573" s="24"/>
      <c r="C573" s="28" t="s">
        <v>4482</v>
      </c>
      <c r="D573" s="43"/>
      <c r="E573" s="41">
        <f>3*1.9*0.6</f>
        <v>3.42</v>
      </c>
      <c r="F573" t="s">
        <v>606</v>
      </c>
      <c r="G573" s="85"/>
      <c r="H573" s="85"/>
    </row>
    <row r="574" spans="1:8">
      <c r="A574" s="24"/>
      <c r="B574" s="24"/>
      <c r="C574" s="28"/>
      <c r="D574" s="43"/>
      <c r="E574" s="41"/>
      <c r="F574" s="32"/>
      <c r="G574" s="85"/>
      <c r="H574" s="85"/>
    </row>
    <row r="575" spans="1:8">
      <c r="A575" s="24"/>
      <c r="B575" s="24"/>
      <c r="C575" s="28" t="s">
        <v>4347</v>
      </c>
      <c r="D575" s="43"/>
      <c r="E575" s="41"/>
      <c r="F575" s="32"/>
      <c r="G575" s="85"/>
      <c r="H575" s="85"/>
    </row>
    <row r="576" spans="1:8">
      <c r="A576" s="24"/>
      <c r="B576" s="24"/>
      <c r="C576" s="28" t="s">
        <v>4483</v>
      </c>
      <c r="D576" s="43"/>
      <c r="E576" s="42">
        <f>3*1.775*0.475</f>
        <v>2.5293999999999999</v>
      </c>
      <c r="F576" s="32" t="str">
        <f>F573</f>
        <v>SQM</v>
      </c>
      <c r="G576" s="85"/>
      <c r="H576" s="85"/>
    </row>
    <row r="577" spans="1:8">
      <c r="A577" s="24"/>
      <c r="B577" s="24"/>
      <c r="C577" s="28" t="s">
        <v>4349</v>
      </c>
      <c r="D577" s="24"/>
      <c r="E577" s="42"/>
      <c r="F577" s="34"/>
      <c r="G577" s="85"/>
      <c r="H577" s="85"/>
    </row>
    <row r="578" spans="1:8">
      <c r="A578" s="33"/>
      <c r="B578" s="24"/>
      <c r="C578" s="28" t="s">
        <v>4484</v>
      </c>
      <c r="D578" s="43"/>
      <c r="E578" s="103">
        <f>1.775+0.475</f>
        <v>2.25</v>
      </c>
      <c r="F578" s="32"/>
      <c r="G578" s="85"/>
      <c r="H578" s="85"/>
    </row>
    <row r="579" spans="1:8">
      <c r="A579" s="33"/>
      <c r="B579" s="24"/>
      <c r="C579" s="24"/>
      <c r="D579" s="104"/>
      <c r="E579" s="30">
        <f>E578*6</f>
        <v>13.5</v>
      </c>
      <c r="F579" s="24" t="s">
        <v>823</v>
      </c>
      <c r="G579" s="85"/>
      <c r="H579" s="85"/>
    </row>
    <row r="580" spans="1:8">
      <c r="A580" s="33"/>
      <c r="B580" s="24"/>
      <c r="C580" s="113" t="s">
        <v>4351</v>
      </c>
      <c r="D580" s="104"/>
      <c r="E580" s="25"/>
      <c r="F580" s="24"/>
      <c r="G580" s="85"/>
      <c r="H580" s="85"/>
    </row>
    <row r="581" spans="1:8">
      <c r="A581" s="32"/>
      <c r="B581" s="24"/>
      <c r="C581" s="31"/>
      <c r="D581" s="85"/>
      <c r="E581" s="24"/>
      <c r="F581" s="25"/>
      <c r="G581" s="85"/>
      <c r="H581" s="85"/>
    </row>
    <row r="582" spans="1:8">
      <c r="A582" s="33"/>
      <c r="B582" s="24"/>
      <c r="C582" s="22" t="s">
        <v>4352</v>
      </c>
      <c r="D582" s="85"/>
      <c r="E582" s="24"/>
      <c r="F582" s="25"/>
      <c r="G582" s="85"/>
      <c r="H582" s="85"/>
    </row>
    <row r="583" spans="1:8">
      <c r="A583" s="32">
        <f>E570</f>
        <v>4.2200000000000001E-2</v>
      </c>
      <c r="B583" s="25" t="s">
        <v>866</v>
      </c>
      <c r="C583" s="28" t="s">
        <v>4353</v>
      </c>
      <c r="D583" s="24">
        <f>D546</f>
        <v>99400</v>
      </c>
      <c r="E583" s="25" t="s">
        <v>866</v>
      </c>
      <c r="F583" s="24">
        <f>(A583*D583)</f>
        <v>4194.68</v>
      </c>
      <c r="G583" s="85"/>
      <c r="H583" s="85"/>
    </row>
    <row r="584" spans="1:8">
      <c r="A584" s="32">
        <f>E573</f>
        <v>3.42</v>
      </c>
      <c r="B584" t="s">
        <v>606</v>
      </c>
      <c r="C584" s="28" t="s">
        <v>444</v>
      </c>
      <c r="D584" s="24">
        <f t="shared" ref="D584:D591" si="19">D547</f>
        <v>57.65</v>
      </c>
      <c r="E584" t="s">
        <v>606</v>
      </c>
      <c r="F584" s="24">
        <f t="shared" ref="F584:F591" si="20">(A584*D584)</f>
        <v>197.16</v>
      </c>
      <c r="G584" s="85"/>
      <c r="H584" s="85"/>
    </row>
    <row r="585" spans="1:8">
      <c r="A585" s="33">
        <f>E576</f>
        <v>2.5293999999999999</v>
      </c>
      <c r="B585" t="s">
        <v>606</v>
      </c>
      <c r="C585" s="28" t="s">
        <v>4347</v>
      </c>
      <c r="D585" s="24">
        <f t="shared" si="19"/>
        <v>208.8</v>
      </c>
      <c r="E585" t="s">
        <v>606</v>
      </c>
      <c r="F585" s="24">
        <f t="shared" si="20"/>
        <v>528.14</v>
      </c>
      <c r="G585" s="85"/>
      <c r="H585" s="85"/>
    </row>
    <row r="586" spans="1:8">
      <c r="A586" s="24">
        <f>E579</f>
        <v>13.5</v>
      </c>
      <c r="B586" s="24" t="s">
        <v>823</v>
      </c>
      <c r="C586" s="22" t="s">
        <v>4354</v>
      </c>
      <c r="D586" s="24">
        <f t="shared" si="19"/>
        <v>89.6</v>
      </c>
      <c r="E586" s="24" t="s">
        <v>823</v>
      </c>
      <c r="F586" s="24">
        <f t="shared" si="20"/>
        <v>1209.5999999999999</v>
      </c>
      <c r="G586" s="85"/>
      <c r="H586" s="85"/>
    </row>
    <row r="587" spans="1:8">
      <c r="A587" s="24">
        <v>9</v>
      </c>
      <c r="B587" t="s">
        <v>865</v>
      </c>
      <c r="C587" s="1" t="s">
        <v>1510</v>
      </c>
      <c r="D587" s="24">
        <f t="shared" si="19"/>
        <v>82.25</v>
      </c>
      <c r="E587" s="1" t="s">
        <v>865</v>
      </c>
      <c r="F587" s="24">
        <f t="shared" si="20"/>
        <v>740.25</v>
      </c>
      <c r="G587" s="85"/>
      <c r="H587" s="85"/>
    </row>
    <row r="588" spans="1:8">
      <c r="A588" s="24">
        <v>6</v>
      </c>
      <c r="B588" t="s">
        <v>865</v>
      </c>
      <c r="C588" s="1" t="s">
        <v>3537</v>
      </c>
      <c r="D588" s="24">
        <f t="shared" si="19"/>
        <v>57.65</v>
      </c>
      <c r="E588" s="1" t="s">
        <v>865</v>
      </c>
      <c r="F588" s="24">
        <f t="shared" si="20"/>
        <v>345.9</v>
      </c>
      <c r="G588" s="85"/>
      <c r="H588" s="85"/>
    </row>
    <row r="589" spans="1:8">
      <c r="A589" s="24">
        <v>3</v>
      </c>
      <c r="B589" t="s">
        <v>865</v>
      </c>
      <c r="C589" s="1" t="s">
        <v>3538</v>
      </c>
      <c r="D589" s="24">
        <f t="shared" si="19"/>
        <v>7.3</v>
      </c>
      <c r="E589" s="1" t="s">
        <v>865</v>
      </c>
      <c r="F589" s="24">
        <f t="shared" si="20"/>
        <v>21.9</v>
      </c>
      <c r="G589" s="85"/>
      <c r="H589" s="85"/>
    </row>
    <row r="590" spans="1:8">
      <c r="A590" s="24">
        <v>3</v>
      </c>
      <c r="B590" t="s">
        <v>865</v>
      </c>
      <c r="C590" s="1" t="s">
        <v>1971</v>
      </c>
      <c r="D590" s="24">
        <f t="shared" si="19"/>
        <v>2.41</v>
      </c>
      <c r="E590" s="1" t="s">
        <v>865</v>
      </c>
      <c r="F590" s="24">
        <f t="shared" si="20"/>
        <v>7.23</v>
      </c>
      <c r="G590" s="85"/>
      <c r="H590" s="85"/>
    </row>
    <row r="591" spans="1:8">
      <c r="A591" s="24">
        <v>120</v>
      </c>
      <c r="B591" t="s">
        <v>865</v>
      </c>
      <c r="C591" s="1" t="s">
        <v>4355</v>
      </c>
      <c r="D591" s="24">
        <f t="shared" si="19"/>
        <v>0</v>
      </c>
      <c r="E591" s="1" t="s">
        <v>865</v>
      </c>
      <c r="F591" s="24">
        <f t="shared" si="20"/>
        <v>0</v>
      </c>
      <c r="G591" s="85"/>
      <c r="H591" s="85"/>
    </row>
    <row r="592" spans="1:8">
      <c r="A592" s="24"/>
      <c r="B592" s="24"/>
      <c r="C592" s="28"/>
      <c r="D592" s="85"/>
      <c r="E592" s="24"/>
      <c r="F592" s="29" t="s">
        <v>1579</v>
      </c>
      <c r="G592" s="85"/>
      <c r="H592" s="85"/>
    </row>
    <row r="593" spans="1:8">
      <c r="A593" s="24"/>
      <c r="B593" s="24"/>
      <c r="C593" s="28" t="s">
        <v>4485</v>
      </c>
      <c r="D593" s="85"/>
      <c r="E593" s="25"/>
      <c r="F593" s="26">
        <f>SUM(F583:F592)</f>
        <v>7244.86</v>
      </c>
      <c r="G593" s="85"/>
      <c r="H593" s="85"/>
    </row>
    <row r="594" spans="1:8">
      <c r="A594" s="24"/>
      <c r="B594" s="24"/>
      <c r="C594" s="85"/>
      <c r="D594" s="24"/>
      <c r="E594" s="25"/>
      <c r="F594" s="29" t="s">
        <v>1579</v>
      </c>
      <c r="G594" s="85"/>
      <c r="H594" s="85"/>
    </row>
    <row r="595" spans="1:8">
      <c r="A595" s="24"/>
      <c r="B595" s="24"/>
      <c r="C595" s="26" t="s">
        <v>4035</v>
      </c>
      <c r="D595" s="24"/>
      <c r="E595" s="25"/>
      <c r="F595" s="89">
        <f>F593/A584</f>
        <v>2118.38</v>
      </c>
      <c r="G595" s="85"/>
      <c r="H595" s="85"/>
    </row>
    <row r="596" spans="1:8">
      <c r="A596" s="24"/>
      <c r="B596" s="24"/>
      <c r="C596" s="24"/>
      <c r="D596" s="24"/>
      <c r="E596" s="25"/>
      <c r="F596" s="85"/>
      <c r="G596" s="85"/>
      <c r="H596" s="85"/>
    </row>
    <row r="597" spans="1:8">
      <c r="A597" s="85"/>
      <c r="B597" s="85"/>
      <c r="C597" s="85"/>
      <c r="D597" s="85"/>
      <c r="E597" s="85"/>
      <c r="F597" s="85"/>
      <c r="G597" s="85"/>
      <c r="H597" s="85"/>
    </row>
    <row r="598" spans="1:8">
      <c r="A598" s="24">
        <v>3</v>
      </c>
      <c r="B598" s="24"/>
      <c r="C598" s="28" t="s">
        <v>4341</v>
      </c>
      <c r="D598" s="24"/>
      <c r="E598" s="25"/>
      <c r="F598" s="24"/>
      <c r="G598" s="85"/>
      <c r="H598" s="85"/>
    </row>
    <row r="599" spans="1:8" ht="18">
      <c r="A599" s="24"/>
      <c r="B599" s="24"/>
      <c r="C599" s="40" t="s">
        <v>4486</v>
      </c>
      <c r="D599" s="24"/>
      <c r="E599" s="25"/>
      <c r="F599" s="24"/>
      <c r="G599" s="85"/>
      <c r="H599" s="85"/>
    </row>
    <row r="600" spans="1:8">
      <c r="A600" s="24"/>
      <c r="B600" s="24"/>
      <c r="C600" s="29" t="s">
        <v>1579</v>
      </c>
      <c r="D600" s="24"/>
      <c r="E600" s="25"/>
      <c r="F600" s="24"/>
      <c r="G600" s="85"/>
      <c r="H600" s="85"/>
    </row>
    <row r="601" spans="1:8">
      <c r="A601" s="24"/>
      <c r="B601" s="24"/>
      <c r="C601" s="22" t="s">
        <v>4343</v>
      </c>
      <c r="F601" t="s">
        <v>2142</v>
      </c>
      <c r="G601" s="85"/>
      <c r="H601" s="85"/>
    </row>
    <row r="602" spans="1:8">
      <c r="A602" s="24"/>
      <c r="B602" s="24"/>
      <c r="C602" s="34" t="s">
        <v>4487</v>
      </c>
      <c r="D602" s="85"/>
      <c r="E602" s="42">
        <f>2*2*1.9*0.075*0.0375</f>
        <v>2.1399999999999999E-2</v>
      </c>
      <c r="F602" s="24" t="s">
        <v>2142</v>
      </c>
      <c r="G602" s="85"/>
      <c r="H602" s="85"/>
    </row>
    <row r="603" spans="1:8">
      <c r="A603" s="24"/>
      <c r="B603" s="24"/>
      <c r="C603" s="28" t="s">
        <v>4488</v>
      </c>
      <c r="D603" s="85"/>
      <c r="E603" s="42">
        <f>2*2*0.5*0.075*0.0375</f>
        <v>5.5999999999999999E-3</v>
      </c>
      <c r="F603" s="24" t="s">
        <v>2142</v>
      </c>
      <c r="G603" s="85"/>
      <c r="H603" s="85"/>
    </row>
    <row r="604" spans="1:8">
      <c r="A604" s="24"/>
      <c r="B604" s="24"/>
      <c r="C604" s="28"/>
      <c r="D604" s="26"/>
      <c r="E604" s="29" t="s">
        <v>1579</v>
      </c>
      <c r="F604" s="32"/>
      <c r="G604" s="85"/>
      <c r="H604" s="85"/>
    </row>
    <row r="605" spans="1:8">
      <c r="A605" s="24"/>
      <c r="B605" s="24"/>
      <c r="C605" s="24"/>
      <c r="D605" s="24"/>
      <c r="E605" s="102">
        <f>SUM(E602:E604)</f>
        <v>2.7E-2</v>
      </c>
      <c r="F605" t="s">
        <v>2142</v>
      </c>
      <c r="G605" s="85"/>
      <c r="H605" s="85"/>
    </row>
    <row r="606" spans="1:8">
      <c r="A606" s="24"/>
      <c r="B606" s="24"/>
      <c r="C606" s="24"/>
      <c r="D606" s="24"/>
      <c r="E606" s="29" t="s">
        <v>1579</v>
      </c>
      <c r="G606" s="85"/>
      <c r="H606" s="85"/>
    </row>
    <row r="607" spans="1:8">
      <c r="A607" s="24"/>
      <c r="B607" s="24"/>
      <c r="C607" s="28" t="s">
        <v>444</v>
      </c>
      <c r="D607" s="85"/>
      <c r="E607" s="85"/>
      <c r="F607" s="85"/>
      <c r="G607" s="85"/>
      <c r="H607" s="85"/>
    </row>
    <row r="608" spans="1:8">
      <c r="A608" s="24"/>
      <c r="B608" s="24"/>
      <c r="C608" s="28" t="s">
        <v>4489</v>
      </c>
      <c r="D608" s="43"/>
      <c r="E608" s="41">
        <f>2*1.9*0.5</f>
        <v>1.9</v>
      </c>
      <c r="F608" t="s">
        <v>606</v>
      </c>
      <c r="G608" s="85"/>
      <c r="H608" s="85"/>
    </row>
    <row r="609" spans="1:8">
      <c r="A609" s="24"/>
      <c r="B609" s="24"/>
      <c r="C609" s="28"/>
      <c r="D609" s="43"/>
      <c r="E609" s="41"/>
      <c r="F609" s="32"/>
      <c r="G609" s="85"/>
      <c r="H609" s="85"/>
    </row>
    <row r="610" spans="1:8">
      <c r="A610" s="24"/>
      <c r="B610" s="24"/>
      <c r="C610" s="28" t="s">
        <v>4347</v>
      </c>
      <c r="D610" s="43"/>
      <c r="E610" s="41"/>
      <c r="F610" s="32"/>
      <c r="G610" s="85"/>
      <c r="H610" s="85"/>
    </row>
    <row r="611" spans="1:8">
      <c r="A611" s="24"/>
      <c r="B611" s="24"/>
      <c r="C611" s="28" t="s">
        <v>4490</v>
      </c>
      <c r="D611" s="43"/>
      <c r="E611" s="42">
        <f>2*1.775*0.375</f>
        <v>1.3312999999999999</v>
      </c>
      <c r="F611" s="32" t="str">
        <f>F608</f>
        <v>SQM</v>
      </c>
      <c r="G611" s="85"/>
      <c r="H611" s="85"/>
    </row>
    <row r="612" spans="1:8">
      <c r="A612" s="24"/>
      <c r="B612" s="24"/>
      <c r="C612" s="28" t="s">
        <v>4491</v>
      </c>
      <c r="D612" s="24"/>
      <c r="E612" s="42"/>
      <c r="F612" s="34"/>
      <c r="G612" s="85"/>
      <c r="H612" s="85"/>
    </row>
    <row r="613" spans="1:8">
      <c r="A613" s="33"/>
      <c r="B613" s="24"/>
      <c r="C613" s="28" t="s">
        <v>4492</v>
      </c>
      <c r="D613" s="43"/>
      <c r="E613" s="103">
        <f>1.775+0.375</f>
        <v>2.15</v>
      </c>
      <c r="F613" s="32"/>
      <c r="G613" s="85"/>
      <c r="H613" s="85"/>
    </row>
    <row r="614" spans="1:8">
      <c r="A614" s="33"/>
      <c r="B614" s="24"/>
      <c r="C614" s="24"/>
      <c r="D614" s="104"/>
      <c r="E614" s="30">
        <f>E613*4</f>
        <v>8.6</v>
      </c>
      <c r="F614" s="24" t="s">
        <v>823</v>
      </c>
      <c r="G614" s="85"/>
      <c r="H614" s="85"/>
    </row>
    <row r="615" spans="1:8">
      <c r="A615" s="33"/>
      <c r="B615" s="24"/>
      <c r="C615" s="113" t="s">
        <v>4351</v>
      </c>
      <c r="D615" s="104"/>
      <c r="E615" s="25"/>
      <c r="F615" s="24"/>
      <c r="G615" s="85"/>
      <c r="H615" s="85"/>
    </row>
    <row r="616" spans="1:8">
      <c r="A616" s="32"/>
      <c r="B616" s="24"/>
      <c r="C616" s="31"/>
      <c r="D616" s="85"/>
      <c r="E616" s="24"/>
      <c r="F616" s="25"/>
      <c r="G616" s="85"/>
      <c r="H616" s="85"/>
    </row>
    <row r="617" spans="1:8">
      <c r="A617" s="33"/>
      <c r="B617" s="24"/>
      <c r="C617" s="22" t="s">
        <v>4352</v>
      </c>
      <c r="D617" s="85"/>
      <c r="E617" s="24"/>
      <c r="F617" s="25"/>
      <c r="G617" s="85"/>
      <c r="H617" s="85"/>
    </row>
    <row r="618" spans="1:8">
      <c r="A618" s="32">
        <f>E605</f>
        <v>2.7E-2</v>
      </c>
      <c r="B618" s="25" t="s">
        <v>866</v>
      </c>
      <c r="C618" s="28" t="s">
        <v>4353</v>
      </c>
      <c r="D618" s="24">
        <f>D583</f>
        <v>99400</v>
      </c>
      <c r="E618" s="25" t="s">
        <v>866</v>
      </c>
      <c r="F618" s="24">
        <f>(A618*D618)</f>
        <v>2683.8</v>
      </c>
      <c r="G618" s="85"/>
      <c r="H618" s="85"/>
    </row>
    <row r="619" spans="1:8">
      <c r="A619" s="32">
        <f>E608</f>
        <v>1.9</v>
      </c>
      <c r="B619" t="s">
        <v>606</v>
      </c>
      <c r="C619" s="28" t="s">
        <v>444</v>
      </c>
      <c r="D619" s="24">
        <f t="shared" ref="D619:D626" si="21">D584</f>
        <v>57.65</v>
      </c>
      <c r="E619" t="s">
        <v>606</v>
      </c>
      <c r="F619" s="24">
        <f t="shared" ref="F619:F626" si="22">(A619*D619)</f>
        <v>109.54</v>
      </c>
      <c r="G619" s="85"/>
      <c r="H619" s="85"/>
    </row>
    <row r="620" spans="1:8">
      <c r="A620" s="33">
        <f>E611</f>
        <v>1.3312999999999999</v>
      </c>
      <c r="B620" t="s">
        <v>606</v>
      </c>
      <c r="C620" s="28" t="s">
        <v>4347</v>
      </c>
      <c r="D620" s="24">
        <f t="shared" si="21"/>
        <v>208.8</v>
      </c>
      <c r="E620" t="s">
        <v>606</v>
      </c>
      <c r="F620" s="24">
        <f t="shared" si="22"/>
        <v>277.98</v>
      </c>
      <c r="G620" s="85"/>
      <c r="H620" s="85"/>
    </row>
    <row r="621" spans="1:8">
      <c r="A621" s="24">
        <f>E614</f>
        <v>8.6</v>
      </c>
      <c r="B621" s="24" t="s">
        <v>823</v>
      </c>
      <c r="C621" s="22" t="s">
        <v>4354</v>
      </c>
      <c r="D621" s="24">
        <f t="shared" si="21"/>
        <v>89.6</v>
      </c>
      <c r="E621" s="24" t="s">
        <v>823</v>
      </c>
      <c r="F621" s="24">
        <f t="shared" si="22"/>
        <v>770.56</v>
      </c>
      <c r="G621" s="85"/>
      <c r="H621" s="85"/>
    </row>
    <row r="622" spans="1:8">
      <c r="A622" s="24">
        <v>6</v>
      </c>
      <c r="B622" t="s">
        <v>865</v>
      </c>
      <c r="C622" s="1" t="s">
        <v>1510</v>
      </c>
      <c r="D622" s="24">
        <f t="shared" si="21"/>
        <v>82.25</v>
      </c>
      <c r="E622" s="1" t="s">
        <v>865</v>
      </c>
      <c r="F622" s="24">
        <f t="shared" si="22"/>
        <v>493.5</v>
      </c>
      <c r="G622" s="85"/>
      <c r="H622" s="85"/>
    </row>
    <row r="623" spans="1:8">
      <c r="A623" s="24">
        <v>4</v>
      </c>
      <c r="B623" t="s">
        <v>865</v>
      </c>
      <c r="C623" s="1" t="s">
        <v>3537</v>
      </c>
      <c r="D623" s="24">
        <f t="shared" si="21"/>
        <v>57.65</v>
      </c>
      <c r="E623" s="1" t="s">
        <v>865</v>
      </c>
      <c r="F623" s="24">
        <f t="shared" si="22"/>
        <v>230.6</v>
      </c>
      <c r="G623" s="85"/>
      <c r="H623" s="85"/>
    </row>
    <row r="624" spans="1:8">
      <c r="A624" s="24">
        <v>2</v>
      </c>
      <c r="B624" t="s">
        <v>865</v>
      </c>
      <c r="C624" s="1" t="s">
        <v>3538</v>
      </c>
      <c r="D624" s="24">
        <f t="shared" si="21"/>
        <v>7.3</v>
      </c>
      <c r="E624" s="1" t="s">
        <v>865</v>
      </c>
      <c r="F624" s="24">
        <f t="shared" si="22"/>
        <v>14.6</v>
      </c>
      <c r="G624" s="85"/>
      <c r="H624" s="85"/>
    </row>
    <row r="625" spans="1:8">
      <c r="A625" s="24">
        <v>2</v>
      </c>
      <c r="B625" t="s">
        <v>865</v>
      </c>
      <c r="C625" s="1" t="s">
        <v>1971</v>
      </c>
      <c r="D625" s="24">
        <f t="shared" si="21"/>
        <v>2.41</v>
      </c>
      <c r="E625" s="1" t="s">
        <v>865</v>
      </c>
      <c r="F625" s="24">
        <f t="shared" si="22"/>
        <v>4.82</v>
      </c>
      <c r="G625" s="85"/>
      <c r="H625" s="85"/>
    </row>
    <row r="626" spans="1:8">
      <c r="A626" s="24">
        <v>80</v>
      </c>
      <c r="B626" t="s">
        <v>865</v>
      </c>
      <c r="C626" s="1" t="s">
        <v>4355</v>
      </c>
      <c r="D626" s="24">
        <f t="shared" si="21"/>
        <v>0</v>
      </c>
      <c r="E626" s="1" t="s">
        <v>865</v>
      </c>
      <c r="F626" s="24">
        <f t="shared" si="22"/>
        <v>0</v>
      </c>
      <c r="G626" s="85"/>
      <c r="H626" s="85"/>
    </row>
    <row r="627" spans="1:8">
      <c r="A627" s="24"/>
      <c r="B627" s="24"/>
      <c r="C627" s="28"/>
      <c r="D627" s="85"/>
      <c r="E627" s="24"/>
      <c r="F627" s="29" t="s">
        <v>1579</v>
      </c>
      <c r="G627" s="85"/>
      <c r="H627" s="85"/>
    </row>
    <row r="628" spans="1:8">
      <c r="A628" s="24"/>
      <c r="B628" s="24"/>
      <c r="C628" s="28" t="s">
        <v>4493</v>
      </c>
      <c r="D628" s="85"/>
      <c r="E628" s="25"/>
      <c r="F628" s="26">
        <f>SUM(F618:F627)</f>
        <v>4585.3999999999996</v>
      </c>
      <c r="G628" s="85"/>
      <c r="H628" s="85"/>
    </row>
    <row r="629" spans="1:8">
      <c r="A629" s="24"/>
      <c r="B629" s="24"/>
      <c r="C629" s="85"/>
      <c r="D629" s="24"/>
      <c r="E629" s="25"/>
      <c r="F629" s="29" t="s">
        <v>1579</v>
      </c>
      <c r="G629" s="85"/>
      <c r="H629" s="85"/>
    </row>
    <row r="630" spans="1:8">
      <c r="A630" s="24"/>
      <c r="B630" s="24"/>
      <c r="C630" s="26" t="s">
        <v>4035</v>
      </c>
      <c r="D630" s="24"/>
      <c r="E630" s="25"/>
      <c r="F630" s="89">
        <f>F628/A619</f>
        <v>2413.37</v>
      </c>
      <c r="G630" s="85"/>
      <c r="H630" s="85"/>
    </row>
    <row r="631" spans="1:8">
      <c r="A631" s="24"/>
      <c r="B631" s="24"/>
      <c r="C631" s="24"/>
      <c r="D631" s="24"/>
      <c r="E631" s="25"/>
      <c r="F631" s="85"/>
      <c r="G631" s="85"/>
      <c r="H631" s="85"/>
    </row>
    <row r="632" spans="1:8">
      <c r="A632" s="85"/>
      <c r="B632" s="85"/>
      <c r="C632" s="85"/>
      <c r="D632" s="85"/>
      <c r="E632" s="85"/>
      <c r="F632" s="85"/>
      <c r="G632" s="85"/>
      <c r="H632" s="85"/>
    </row>
    <row r="633" spans="1:8">
      <c r="A633" s="85"/>
      <c r="B633" s="85"/>
      <c r="C633" s="85"/>
      <c r="D633" s="85"/>
      <c r="E633" s="85"/>
      <c r="F633" s="85"/>
      <c r="G633" s="85"/>
      <c r="H633" s="85"/>
    </row>
    <row r="634" spans="1:8">
      <c r="A634" s="114">
        <v>4</v>
      </c>
      <c r="B634" s="24"/>
      <c r="C634" s="28" t="s">
        <v>4341</v>
      </c>
      <c r="D634" s="24"/>
      <c r="E634" s="25"/>
      <c r="F634" s="24"/>
      <c r="G634" s="85"/>
      <c r="H634" s="85"/>
    </row>
    <row r="635" spans="1:8" ht="18">
      <c r="A635" s="24"/>
      <c r="B635" s="24"/>
      <c r="C635" s="40" t="s">
        <v>4494</v>
      </c>
      <c r="D635" s="24"/>
      <c r="E635" s="25"/>
      <c r="F635" s="24"/>
      <c r="G635" s="85"/>
      <c r="H635" s="85"/>
    </row>
    <row r="636" spans="1:8">
      <c r="A636" s="24"/>
      <c r="B636" s="24"/>
      <c r="C636" s="29" t="s">
        <v>1579</v>
      </c>
      <c r="D636" s="24"/>
      <c r="E636" s="25"/>
      <c r="F636" s="24"/>
      <c r="G636" s="85"/>
      <c r="H636" s="85"/>
    </row>
    <row r="637" spans="1:8">
      <c r="A637" s="24"/>
      <c r="B637" s="24"/>
      <c r="C637" s="22" t="s">
        <v>4343</v>
      </c>
      <c r="F637" t="s">
        <v>2142</v>
      </c>
      <c r="G637" s="85"/>
      <c r="H637" s="85"/>
    </row>
    <row r="638" spans="1:8">
      <c r="A638" s="24"/>
      <c r="B638" s="24"/>
      <c r="C638" s="34" t="s">
        <v>4495</v>
      </c>
      <c r="D638" s="85"/>
      <c r="E638" s="42">
        <f>2*2*1.9*0.075*0.0375</f>
        <v>2.1399999999999999E-2</v>
      </c>
      <c r="F638" s="24" t="s">
        <v>2142</v>
      </c>
      <c r="G638" s="85"/>
      <c r="H638" s="85"/>
    </row>
    <row r="639" spans="1:8">
      <c r="A639" s="24"/>
      <c r="B639" s="24"/>
      <c r="C639" s="28" t="s">
        <v>4496</v>
      </c>
      <c r="D639" s="85"/>
      <c r="E639" s="42">
        <f>2*0.65*0.075*0.0375</f>
        <v>3.7000000000000002E-3</v>
      </c>
      <c r="F639" s="24" t="s">
        <v>2142</v>
      </c>
      <c r="G639" s="85"/>
      <c r="H639" s="85"/>
    </row>
    <row r="640" spans="1:8">
      <c r="A640" s="24"/>
      <c r="B640" s="24"/>
      <c r="C640" s="28"/>
      <c r="D640" s="26"/>
      <c r="E640" s="29" t="s">
        <v>1579</v>
      </c>
      <c r="F640" s="32"/>
      <c r="G640" s="85"/>
      <c r="H640" s="85"/>
    </row>
    <row r="641" spans="1:8">
      <c r="A641" s="24"/>
      <c r="B641" s="24"/>
      <c r="C641" s="24"/>
      <c r="D641" s="24"/>
      <c r="E641" s="102">
        <f>SUM(E638:E640)</f>
        <v>2.5100000000000001E-2</v>
      </c>
      <c r="F641" t="s">
        <v>2142</v>
      </c>
      <c r="G641" s="85"/>
      <c r="H641" s="85"/>
    </row>
    <row r="642" spans="1:8">
      <c r="A642" s="24"/>
      <c r="B642" s="24"/>
      <c r="C642" s="24"/>
      <c r="D642" s="24"/>
      <c r="E642" s="29" t="s">
        <v>1579</v>
      </c>
      <c r="G642" s="85"/>
      <c r="H642" s="85"/>
    </row>
    <row r="643" spans="1:8">
      <c r="A643" s="24"/>
      <c r="B643" s="24"/>
      <c r="C643" s="28" t="s">
        <v>444</v>
      </c>
      <c r="D643" s="85"/>
      <c r="E643" s="85"/>
      <c r="F643" s="85"/>
      <c r="G643" s="85"/>
      <c r="H643" s="85"/>
    </row>
    <row r="644" spans="1:8">
      <c r="A644" s="24"/>
      <c r="B644" s="24"/>
      <c r="C644" s="28" t="s">
        <v>4497</v>
      </c>
      <c r="D644" s="43"/>
      <c r="E644" s="41">
        <f>1*1.9*0.65</f>
        <v>1.2350000000000001</v>
      </c>
      <c r="F644" t="s">
        <v>606</v>
      </c>
      <c r="G644" s="85"/>
      <c r="H644" s="85"/>
    </row>
    <row r="645" spans="1:8">
      <c r="A645" s="24"/>
      <c r="B645" s="24"/>
      <c r="C645" s="28"/>
      <c r="D645" s="43"/>
      <c r="E645" s="41"/>
      <c r="F645" s="32"/>
      <c r="G645" s="85"/>
      <c r="H645" s="85"/>
    </row>
    <row r="646" spans="1:8">
      <c r="A646" s="24"/>
      <c r="B646" s="24"/>
      <c r="C646" s="28" t="s">
        <v>4347</v>
      </c>
      <c r="D646" s="43"/>
      <c r="E646" s="41"/>
      <c r="F646" s="32"/>
      <c r="G646" s="85"/>
      <c r="H646" s="85"/>
    </row>
    <row r="647" spans="1:8">
      <c r="A647" s="24"/>
      <c r="B647" s="24"/>
      <c r="C647" s="28" t="s">
        <v>4498</v>
      </c>
      <c r="D647" s="43"/>
      <c r="E647" s="42">
        <f>1*1.775*0.525</f>
        <v>0.93189999999999995</v>
      </c>
      <c r="F647" s="32" t="str">
        <f>F644</f>
        <v>SQM</v>
      </c>
      <c r="G647" s="85"/>
      <c r="H647" s="85"/>
    </row>
    <row r="648" spans="1:8">
      <c r="A648" s="24"/>
      <c r="B648" s="24"/>
      <c r="C648" s="28" t="s">
        <v>4349</v>
      </c>
      <c r="D648" s="24"/>
      <c r="E648" s="42"/>
      <c r="F648" s="34"/>
      <c r="G648" s="85"/>
      <c r="H648" s="85"/>
    </row>
    <row r="649" spans="1:8">
      <c r="A649" s="33"/>
      <c r="B649" s="24"/>
      <c r="C649" s="28" t="s">
        <v>4499</v>
      </c>
      <c r="D649" s="43"/>
      <c r="E649" s="103">
        <f>1.775+0.525</f>
        <v>2.2999999999999998</v>
      </c>
      <c r="F649" s="32"/>
      <c r="G649" s="85"/>
      <c r="H649" s="85"/>
    </row>
    <row r="650" spans="1:8">
      <c r="A650" s="33"/>
      <c r="B650" s="24"/>
      <c r="C650" s="24"/>
      <c r="D650" s="104"/>
      <c r="E650" s="30">
        <f>E649*2</f>
        <v>4.5999999999999996</v>
      </c>
      <c r="F650" s="24" t="s">
        <v>823</v>
      </c>
      <c r="G650" s="85"/>
      <c r="H650" s="85"/>
    </row>
    <row r="651" spans="1:8">
      <c r="A651" s="33"/>
      <c r="B651" s="24"/>
      <c r="C651" s="113" t="s">
        <v>4351</v>
      </c>
      <c r="D651" s="104"/>
      <c r="E651" s="25"/>
      <c r="F651" s="24"/>
      <c r="G651" s="85"/>
      <c r="H651" s="85"/>
    </row>
    <row r="652" spans="1:8">
      <c r="A652" s="32"/>
      <c r="B652" s="24"/>
      <c r="C652" s="31"/>
      <c r="D652" s="85"/>
      <c r="E652" s="24"/>
      <c r="F652" s="25"/>
      <c r="G652" s="85"/>
      <c r="H652" s="85"/>
    </row>
    <row r="653" spans="1:8">
      <c r="A653" s="33"/>
      <c r="B653" s="24"/>
      <c r="C653" s="22" t="s">
        <v>4352</v>
      </c>
      <c r="D653" s="85"/>
      <c r="E653" s="24"/>
      <c r="F653" s="25"/>
      <c r="G653" s="85"/>
      <c r="H653" s="85"/>
    </row>
    <row r="654" spans="1:8">
      <c r="A654" s="32">
        <f>E641</f>
        <v>2.5100000000000001E-2</v>
      </c>
      <c r="B654" s="25" t="s">
        <v>866</v>
      </c>
      <c r="C654" s="28" t="s">
        <v>4353</v>
      </c>
      <c r="D654" s="24">
        <f>D618</f>
        <v>99400</v>
      </c>
      <c r="E654" s="25" t="s">
        <v>866</v>
      </c>
      <c r="F654" s="24">
        <f>(A654*D654)</f>
        <v>2494.94</v>
      </c>
      <c r="G654" s="85"/>
      <c r="H654" s="85"/>
    </row>
    <row r="655" spans="1:8">
      <c r="A655" s="32">
        <f>E644</f>
        <v>1.2350000000000001</v>
      </c>
      <c r="B655" t="s">
        <v>606</v>
      </c>
      <c r="C655" s="28" t="s">
        <v>444</v>
      </c>
      <c r="D655" s="24">
        <f t="shared" ref="D655:D662" si="23">D619</f>
        <v>57.65</v>
      </c>
      <c r="E655" t="s">
        <v>606</v>
      </c>
      <c r="F655" s="24">
        <f t="shared" ref="F655:F662" si="24">(A655*D655)</f>
        <v>71.2</v>
      </c>
      <c r="G655" s="85"/>
      <c r="H655" s="85"/>
    </row>
    <row r="656" spans="1:8">
      <c r="A656" s="33">
        <f>E647</f>
        <v>0.93189999999999995</v>
      </c>
      <c r="B656" t="s">
        <v>606</v>
      </c>
      <c r="C656" s="28" t="s">
        <v>4347</v>
      </c>
      <c r="D656" s="24">
        <f t="shared" si="23"/>
        <v>208.8</v>
      </c>
      <c r="E656" t="s">
        <v>606</v>
      </c>
      <c r="F656" s="24">
        <f t="shared" si="24"/>
        <v>194.58</v>
      </c>
      <c r="G656" s="85"/>
      <c r="H656" s="85"/>
    </row>
    <row r="657" spans="1:8">
      <c r="A657" s="24">
        <f>E650</f>
        <v>4.5999999999999996</v>
      </c>
      <c r="B657" s="24" t="s">
        <v>823</v>
      </c>
      <c r="C657" s="22" t="s">
        <v>4354</v>
      </c>
      <c r="D657" s="24">
        <f t="shared" si="23"/>
        <v>89.6</v>
      </c>
      <c r="E657" s="24" t="s">
        <v>823</v>
      </c>
      <c r="F657" s="24">
        <f t="shared" si="24"/>
        <v>412.16</v>
      </c>
      <c r="G657" s="85"/>
      <c r="H657" s="85"/>
    </row>
    <row r="658" spans="1:8">
      <c r="A658" s="24">
        <v>3</v>
      </c>
      <c r="B658" t="s">
        <v>865</v>
      </c>
      <c r="C658" s="1" t="s">
        <v>1510</v>
      </c>
      <c r="D658" s="24">
        <f t="shared" si="23"/>
        <v>82.25</v>
      </c>
      <c r="E658" s="1" t="s">
        <v>865</v>
      </c>
      <c r="F658" s="24">
        <f t="shared" si="24"/>
        <v>246.75</v>
      </c>
      <c r="G658" s="85"/>
      <c r="H658" s="85"/>
    </row>
    <row r="659" spans="1:8">
      <c r="A659" s="24">
        <v>2</v>
      </c>
      <c r="B659" t="s">
        <v>865</v>
      </c>
      <c r="C659" s="1" t="s">
        <v>3537</v>
      </c>
      <c r="D659" s="24">
        <f t="shared" si="23"/>
        <v>57.65</v>
      </c>
      <c r="E659" s="1" t="s">
        <v>865</v>
      </c>
      <c r="F659" s="24">
        <f t="shared" si="24"/>
        <v>115.3</v>
      </c>
      <c r="G659" s="85"/>
      <c r="H659" s="85"/>
    </row>
    <row r="660" spans="1:8">
      <c r="A660" s="24">
        <v>1</v>
      </c>
      <c r="B660" t="s">
        <v>865</v>
      </c>
      <c r="C660" s="1" t="s">
        <v>3538</v>
      </c>
      <c r="D660" s="24">
        <f t="shared" si="23"/>
        <v>7.3</v>
      </c>
      <c r="E660" s="1" t="s">
        <v>865</v>
      </c>
      <c r="F660" s="24">
        <f t="shared" si="24"/>
        <v>7.3</v>
      </c>
      <c r="G660" s="85"/>
      <c r="H660" s="85"/>
    </row>
    <row r="661" spans="1:8">
      <c r="A661" s="24">
        <v>1</v>
      </c>
      <c r="B661" t="s">
        <v>865</v>
      </c>
      <c r="C661" s="1" t="s">
        <v>1971</v>
      </c>
      <c r="D661" s="24">
        <f t="shared" si="23"/>
        <v>2.41</v>
      </c>
      <c r="E661" s="1" t="s">
        <v>865</v>
      </c>
      <c r="F661" s="24">
        <f t="shared" si="24"/>
        <v>2.41</v>
      </c>
      <c r="G661" s="85"/>
      <c r="H661" s="85"/>
    </row>
    <row r="662" spans="1:8">
      <c r="A662" s="24">
        <v>40</v>
      </c>
      <c r="B662" t="s">
        <v>865</v>
      </c>
      <c r="C662" s="1" t="s">
        <v>4355</v>
      </c>
      <c r="D662" s="24">
        <f t="shared" si="23"/>
        <v>0</v>
      </c>
      <c r="E662" s="1" t="s">
        <v>865</v>
      </c>
      <c r="F662" s="24">
        <f t="shared" si="24"/>
        <v>0</v>
      </c>
      <c r="G662" s="85"/>
      <c r="H662" s="85"/>
    </row>
    <row r="663" spans="1:8">
      <c r="A663" s="24"/>
      <c r="B663" s="24"/>
      <c r="C663" s="28"/>
      <c r="D663" s="85"/>
      <c r="E663" s="24"/>
      <c r="F663" s="29" t="s">
        <v>1579</v>
      </c>
      <c r="G663" s="85"/>
      <c r="H663" s="85"/>
    </row>
    <row r="664" spans="1:8">
      <c r="A664" s="24"/>
      <c r="B664" s="24"/>
      <c r="C664" s="28" t="s">
        <v>4500</v>
      </c>
      <c r="D664" s="85"/>
      <c r="E664" s="25"/>
      <c r="F664" s="26">
        <f>SUM(F654:F663)</f>
        <v>3544.64</v>
      </c>
      <c r="G664" s="85"/>
      <c r="H664" s="85"/>
    </row>
    <row r="665" spans="1:8">
      <c r="A665" s="24"/>
      <c r="B665" s="24"/>
      <c r="C665" s="85"/>
      <c r="D665" s="24"/>
      <c r="E665" s="25"/>
      <c r="F665" s="29" t="s">
        <v>1579</v>
      </c>
      <c r="G665" s="85"/>
      <c r="H665" s="85"/>
    </row>
    <row r="666" spans="1:8">
      <c r="A666" s="24"/>
      <c r="B666" s="24"/>
      <c r="C666" s="26" t="s">
        <v>4035</v>
      </c>
      <c r="D666" s="24"/>
      <c r="E666" s="25"/>
      <c r="F666" s="89">
        <f>F664/A655</f>
        <v>2870.15</v>
      </c>
      <c r="G666" s="85"/>
      <c r="H666" s="85"/>
    </row>
    <row r="667" spans="1:8">
      <c r="A667" s="24"/>
      <c r="B667" s="24"/>
      <c r="C667" s="24"/>
      <c r="D667" s="24"/>
      <c r="E667" s="25"/>
      <c r="F667" s="85"/>
      <c r="G667" s="85"/>
      <c r="H667" s="85"/>
    </row>
    <row r="668" spans="1:8">
      <c r="A668" s="85"/>
      <c r="B668" s="85"/>
      <c r="C668" s="85"/>
      <c r="D668" s="85"/>
      <c r="E668" s="85"/>
      <c r="F668" s="85"/>
      <c r="G668" s="85"/>
      <c r="H668" s="85"/>
    </row>
    <row r="669" spans="1:8">
      <c r="A669" s="85"/>
      <c r="B669" s="85"/>
      <c r="C669" s="85"/>
      <c r="D669" s="85"/>
      <c r="E669" s="85"/>
      <c r="F669" s="85"/>
      <c r="G669" s="85"/>
      <c r="H669" s="85"/>
    </row>
    <row r="670" spans="1:8">
      <c r="A670" s="24"/>
      <c r="B670" s="24"/>
      <c r="C670" s="28" t="s">
        <v>4341</v>
      </c>
      <c r="D670" s="24"/>
      <c r="E670" s="25"/>
      <c r="F670" s="24"/>
      <c r="G670" s="85"/>
      <c r="H670" s="85"/>
    </row>
    <row r="671" spans="1:8" ht="18">
      <c r="A671" s="24"/>
      <c r="B671" s="24"/>
      <c r="C671" s="40" t="s">
        <v>4501</v>
      </c>
      <c r="D671" s="24"/>
      <c r="E671" s="25"/>
      <c r="F671" s="24"/>
      <c r="G671" s="85"/>
      <c r="H671" s="85"/>
    </row>
    <row r="672" spans="1:8">
      <c r="A672" s="24"/>
      <c r="B672" s="24"/>
      <c r="C672" s="29" t="s">
        <v>1579</v>
      </c>
      <c r="D672" s="24"/>
      <c r="E672" s="25"/>
      <c r="F672" s="24"/>
      <c r="G672" s="85"/>
      <c r="H672" s="85"/>
    </row>
    <row r="673" spans="1:8">
      <c r="A673" s="24"/>
      <c r="B673" s="24"/>
      <c r="C673" s="22" t="s">
        <v>4343</v>
      </c>
      <c r="F673" t="s">
        <v>2142</v>
      </c>
      <c r="G673" s="85"/>
      <c r="H673" s="85"/>
    </row>
    <row r="674" spans="1:8">
      <c r="A674" s="24"/>
      <c r="B674" s="24"/>
      <c r="C674" s="34" t="s">
        <v>4495</v>
      </c>
      <c r="D674" s="85"/>
      <c r="E674" s="42">
        <f>2*2*1.9*0.075*0.0375</f>
        <v>2.1399999999999999E-2</v>
      </c>
      <c r="F674" s="24" t="s">
        <v>2142</v>
      </c>
      <c r="G674" s="85"/>
      <c r="H674" s="85"/>
    </row>
    <row r="675" spans="1:8">
      <c r="A675" s="24"/>
      <c r="B675" s="24"/>
      <c r="C675" s="28" t="s">
        <v>4502</v>
      </c>
      <c r="D675" s="85"/>
      <c r="E675" s="42">
        <f>1*2*0.47*0.075*0.0375</f>
        <v>2.5999999999999999E-3</v>
      </c>
      <c r="F675" s="24" t="s">
        <v>2142</v>
      </c>
      <c r="G675" s="85"/>
      <c r="H675" s="85"/>
    </row>
    <row r="676" spans="1:8">
      <c r="A676" s="24"/>
      <c r="B676" s="24"/>
      <c r="C676" s="28"/>
      <c r="D676" s="26"/>
      <c r="E676" s="29" t="s">
        <v>1579</v>
      </c>
      <c r="F676" s="32"/>
      <c r="G676" s="85"/>
      <c r="H676" s="85"/>
    </row>
    <row r="677" spans="1:8">
      <c r="A677" s="24"/>
      <c r="B677" s="24"/>
      <c r="C677" s="24"/>
      <c r="D677" s="24"/>
      <c r="E677" s="102">
        <f>SUM(E674:E676)</f>
        <v>2.4E-2</v>
      </c>
      <c r="F677" t="s">
        <v>2142</v>
      </c>
      <c r="G677" s="85"/>
      <c r="H677" s="85"/>
    </row>
    <row r="678" spans="1:8">
      <c r="A678" s="24"/>
      <c r="B678" s="24"/>
      <c r="C678" s="24"/>
      <c r="D678" s="24"/>
      <c r="E678" s="29" t="s">
        <v>1579</v>
      </c>
      <c r="G678" s="85"/>
      <c r="H678" s="85"/>
    </row>
    <row r="679" spans="1:8">
      <c r="A679" s="24"/>
      <c r="B679" s="24"/>
      <c r="C679" s="28" t="s">
        <v>444</v>
      </c>
      <c r="D679" s="85"/>
      <c r="E679" s="85"/>
      <c r="F679" s="85"/>
      <c r="G679" s="85"/>
      <c r="H679" s="85"/>
    </row>
    <row r="680" spans="1:8">
      <c r="A680" s="24"/>
      <c r="B680" s="24"/>
      <c r="C680" s="28" t="s">
        <v>4503</v>
      </c>
      <c r="D680" s="43"/>
      <c r="E680" s="41">
        <f>1*1.9*0.47</f>
        <v>0.89300000000000002</v>
      </c>
      <c r="F680" t="s">
        <v>606</v>
      </c>
      <c r="G680" s="85"/>
      <c r="H680" s="85"/>
    </row>
    <row r="681" spans="1:8">
      <c r="A681" s="24"/>
      <c r="B681" s="24"/>
      <c r="C681" s="28"/>
      <c r="D681" s="43"/>
      <c r="E681" s="41"/>
      <c r="F681" s="32"/>
      <c r="G681" s="85"/>
      <c r="H681" s="85"/>
    </row>
    <row r="682" spans="1:8">
      <c r="A682" s="24"/>
      <c r="B682" s="24"/>
      <c r="C682" s="28" t="s">
        <v>4347</v>
      </c>
      <c r="D682" s="43"/>
      <c r="E682" s="41"/>
      <c r="F682" s="32"/>
      <c r="G682" s="85"/>
      <c r="H682" s="85"/>
    </row>
    <row r="683" spans="1:8">
      <c r="A683" s="24"/>
      <c r="B683" s="24"/>
      <c r="C683" s="28" t="s">
        <v>4504</v>
      </c>
      <c r="D683" s="43"/>
      <c r="E683" s="42">
        <f>1*1.775*0.345</f>
        <v>0.61240000000000006</v>
      </c>
      <c r="F683" s="32" t="str">
        <f>F680</f>
        <v>SQM</v>
      </c>
      <c r="H683" s="85"/>
    </row>
    <row r="684" spans="1:8">
      <c r="A684" s="24"/>
      <c r="B684" s="24"/>
      <c r="C684" s="28" t="s">
        <v>4349</v>
      </c>
      <c r="D684" s="24"/>
      <c r="E684" s="42"/>
      <c r="F684" s="34"/>
      <c r="H684" s="85"/>
    </row>
    <row r="685" spans="1:8">
      <c r="A685" s="33"/>
      <c r="B685" s="24"/>
      <c r="C685" s="28" t="s">
        <v>4505</v>
      </c>
      <c r="D685" s="43"/>
      <c r="E685" s="103">
        <f>1.775+0.345</f>
        <v>2.12</v>
      </c>
      <c r="F685" s="32"/>
      <c r="H685" s="85"/>
    </row>
    <row r="686" spans="1:8">
      <c r="A686" s="33"/>
      <c r="B686" s="24"/>
      <c r="C686" s="24"/>
      <c r="D686" s="104"/>
      <c r="E686" s="30">
        <f>E685*2</f>
        <v>4.24</v>
      </c>
      <c r="F686" s="24" t="s">
        <v>823</v>
      </c>
      <c r="H686" s="85"/>
    </row>
    <row r="687" spans="1:8">
      <c r="A687" s="33"/>
      <c r="B687" s="24"/>
      <c r="C687" s="113" t="s">
        <v>4351</v>
      </c>
      <c r="D687" s="104"/>
      <c r="E687" s="25"/>
      <c r="F687" s="24"/>
      <c r="H687" s="85"/>
    </row>
    <row r="688" spans="1:8">
      <c r="A688" s="32"/>
      <c r="B688" s="24"/>
      <c r="C688" s="31"/>
      <c r="D688" s="85"/>
      <c r="E688" s="24"/>
      <c r="F688" s="25"/>
      <c r="H688" s="85"/>
    </row>
    <row r="689" spans="1:8">
      <c r="A689" s="33"/>
      <c r="B689" s="24"/>
      <c r="C689" s="22" t="s">
        <v>4352</v>
      </c>
      <c r="D689" s="85"/>
      <c r="E689" s="24"/>
      <c r="F689" s="25"/>
      <c r="H689" s="85"/>
    </row>
    <row r="690" spans="1:8">
      <c r="A690" s="32">
        <f>E677</f>
        <v>2.4E-2</v>
      </c>
      <c r="B690" s="25" t="s">
        <v>866</v>
      </c>
      <c r="C690" s="28" t="s">
        <v>4353</v>
      </c>
      <c r="D690" s="24">
        <f>D654</f>
        <v>99400</v>
      </c>
      <c r="E690" s="25" t="s">
        <v>866</v>
      </c>
      <c r="F690" s="24">
        <f>(A690*D690)</f>
        <v>2385.6</v>
      </c>
      <c r="H690" s="85"/>
    </row>
    <row r="691" spans="1:8">
      <c r="A691" s="32">
        <f>E680</f>
        <v>0.89300000000000002</v>
      </c>
      <c r="B691" t="s">
        <v>606</v>
      </c>
      <c r="C691" s="28" t="s">
        <v>444</v>
      </c>
      <c r="D691" s="24">
        <f t="shared" ref="D691:D698" si="25">D655</f>
        <v>57.65</v>
      </c>
      <c r="E691" t="s">
        <v>606</v>
      </c>
      <c r="F691" s="24">
        <f t="shared" ref="F691:F698" si="26">(A691*D691)</f>
        <v>51.48</v>
      </c>
      <c r="H691" s="85"/>
    </row>
    <row r="692" spans="1:8">
      <c r="A692" s="33">
        <f>E683</f>
        <v>0.61240000000000006</v>
      </c>
      <c r="B692" t="s">
        <v>606</v>
      </c>
      <c r="C692" s="28" t="s">
        <v>4347</v>
      </c>
      <c r="D692" s="24">
        <f t="shared" si="25"/>
        <v>208.8</v>
      </c>
      <c r="E692" t="s">
        <v>606</v>
      </c>
      <c r="F692" s="24">
        <f t="shared" si="26"/>
        <v>127.87</v>
      </c>
      <c r="H692" s="85"/>
    </row>
    <row r="693" spans="1:8">
      <c r="A693" s="24">
        <f>E686</f>
        <v>4.24</v>
      </c>
      <c r="B693" s="24" t="s">
        <v>823</v>
      </c>
      <c r="C693" s="22" t="s">
        <v>4354</v>
      </c>
      <c r="D693" s="24">
        <f t="shared" si="25"/>
        <v>89.6</v>
      </c>
      <c r="E693" s="24" t="s">
        <v>823</v>
      </c>
      <c r="F693" s="24">
        <f t="shared" si="26"/>
        <v>379.9</v>
      </c>
      <c r="H693" s="85"/>
    </row>
    <row r="694" spans="1:8">
      <c r="A694" s="24">
        <v>3</v>
      </c>
      <c r="B694" t="s">
        <v>865</v>
      </c>
      <c r="C694" s="1" t="s">
        <v>1510</v>
      </c>
      <c r="D694" s="24">
        <f t="shared" si="25"/>
        <v>82.25</v>
      </c>
      <c r="E694" s="1" t="s">
        <v>865</v>
      </c>
      <c r="F694" s="24">
        <f t="shared" si="26"/>
        <v>246.75</v>
      </c>
      <c r="H694" s="85"/>
    </row>
    <row r="695" spans="1:8">
      <c r="A695" s="24">
        <v>2</v>
      </c>
      <c r="B695" t="s">
        <v>865</v>
      </c>
      <c r="C695" s="1" t="s">
        <v>3537</v>
      </c>
      <c r="D695" s="24">
        <f t="shared" si="25"/>
        <v>57.65</v>
      </c>
      <c r="E695" s="1" t="s">
        <v>865</v>
      </c>
      <c r="F695" s="24">
        <f t="shared" si="26"/>
        <v>115.3</v>
      </c>
      <c r="H695" s="85"/>
    </row>
    <row r="696" spans="1:8">
      <c r="A696" s="24">
        <v>1</v>
      </c>
      <c r="B696" t="s">
        <v>865</v>
      </c>
      <c r="C696" s="1" t="s">
        <v>3538</v>
      </c>
      <c r="D696" s="24">
        <f t="shared" si="25"/>
        <v>7.3</v>
      </c>
      <c r="E696" s="1" t="s">
        <v>865</v>
      </c>
      <c r="F696" s="24">
        <f t="shared" si="26"/>
        <v>7.3</v>
      </c>
      <c r="H696" s="85"/>
    </row>
    <row r="697" spans="1:8">
      <c r="A697" s="24">
        <v>1</v>
      </c>
      <c r="B697" t="s">
        <v>865</v>
      </c>
      <c r="C697" s="1" t="s">
        <v>1971</v>
      </c>
      <c r="D697" s="24">
        <f t="shared" si="25"/>
        <v>2.41</v>
      </c>
      <c r="E697" s="1" t="s">
        <v>865</v>
      </c>
      <c r="F697" s="24">
        <f t="shared" si="26"/>
        <v>2.41</v>
      </c>
      <c r="H697" s="85"/>
    </row>
    <row r="698" spans="1:8">
      <c r="A698" s="24">
        <v>40</v>
      </c>
      <c r="B698" t="s">
        <v>865</v>
      </c>
      <c r="C698" s="1" t="s">
        <v>4355</v>
      </c>
      <c r="D698" s="24">
        <f t="shared" si="25"/>
        <v>0</v>
      </c>
      <c r="E698" s="1" t="s">
        <v>865</v>
      </c>
      <c r="F698" s="24">
        <f t="shared" si="26"/>
        <v>0</v>
      </c>
      <c r="H698" s="85"/>
    </row>
    <row r="699" spans="1:8">
      <c r="A699" s="24"/>
      <c r="B699" s="24"/>
      <c r="C699" s="28"/>
      <c r="D699" s="85"/>
      <c r="E699" s="24"/>
      <c r="F699" s="29" t="s">
        <v>1579</v>
      </c>
      <c r="H699" s="85"/>
    </row>
    <row r="700" spans="1:8">
      <c r="A700" s="24"/>
      <c r="B700" s="24"/>
      <c r="C700" s="28" t="s">
        <v>4506</v>
      </c>
      <c r="D700" s="85"/>
      <c r="E700" s="25"/>
      <c r="F700" s="26">
        <f>SUM(F690:F699)</f>
        <v>3316.61</v>
      </c>
      <c r="H700" s="85"/>
    </row>
    <row r="701" spans="1:8">
      <c r="A701" s="24"/>
      <c r="B701" s="24"/>
      <c r="C701" s="85"/>
      <c r="D701" s="24"/>
      <c r="E701" s="25"/>
      <c r="F701" s="29" t="s">
        <v>1579</v>
      </c>
      <c r="H701" s="85"/>
    </row>
    <row r="702" spans="1:8">
      <c r="A702" s="24"/>
      <c r="B702" s="24"/>
      <c r="C702" s="26" t="s">
        <v>4035</v>
      </c>
      <c r="D702" s="24"/>
      <c r="E702" s="25"/>
      <c r="F702" s="89">
        <f>F700/A691</f>
        <v>3714.01</v>
      </c>
      <c r="H702" s="85"/>
    </row>
    <row r="703" spans="1:8">
      <c r="A703" s="24"/>
      <c r="B703" s="24"/>
      <c r="C703" s="24"/>
      <c r="D703" s="24"/>
      <c r="E703" s="25"/>
      <c r="F703" s="85"/>
      <c r="H703" s="85"/>
    </row>
    <row r="704" spans="1:8">
      <c r="A704" s="85"/>
      <c r="B704" s="85"/>
      <c r="C704" s="85"/>
      <c r="D704" s="85"/>
      <c r="E704" s="85"/>
      <c r="F704" s="85"/>
      <c r="H704" s="85"/>
    </row>
  </sheetData>
  <mergeCells count="16">
    <mergeCell ref="E560:H560"/>
    <mergeCell ref="A155:F156"/>
    <mergeCell ref="D178:F178"/>
    <mergeCell ref="A21:C22"/>
    <mergeCell ref="D22:G22"/>
    <mergeCell ref="B55:F55"/>
    <mergeCell ref="B80:D80"/>
    <mergeCell ref="A106:F107"/>
    <mergeCell ref="B128:D128"/>
    <mergeCell ref="A315:H315"/>
    <mergeCell ref="A316:H316"/>
    <mergeCell ref="A361:H361"/>
    <mergeCell ref="A406:H406"/>
    <mergeCell ref="A451:H451"/>
    <mergeCell ref="A247:D247"/>
    <mergeCell ref="A277:D277"/>
  </mergeCells>
  <printOptions horizontalCentered="1"/>
  <pageMargins left="0.5" right="0.5" top="0.5" bottom="0.5" header="0.3" footer="0.3"/>
  <pageSetup paperSize="9" scale="72" orientation="portrait" r:id="rId1"/>
  <headerFooter>
    <oddHeader>&amp;C&amp;P</oddHead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syncVertical="1" syncRef="T1" transitionEvaluation="1">
    <tabColor rgb="FF00B050"/>
  </sheetPr>
  <dimension ref="A1:IS8558"/>
  <sheetViews>
    <sheetView view="pageBreakPreview" topLeftCell="T1" zoomScale="98" zoomScaleNormal="75" zoomScaleSheetLayoutView="98" workbookViewId="0">
      <selection activeCell="T10" sqref="T10"/>
    </sheetView>
  </sheetViews>
  <sheetFormatPr defaultColWidth="7.44140625" defaultRowHeight="18.75" customHeight="1"/>
  <cols>
    <col min="1" max="1" width="7.77734375" style="252" customWidth="1"/>
    <col min="2" max="2" width="64" style="252" customWidth="1"/>
    <col min="3" max="3" width="16.21875" style="252" customWidth="1"/>
    <col min="4" max="4" width="13.77734375" style="252" customWidth="1"/>
    <col min="5" max="5" width="8.5546875" style="252" customWidth="1"/>
    <col min="6" max="6" width="11.44140625" style="252" customWidth="1"/>
    <col min="7" max="7" width="9" style="252" customWidth="1"/>
    <col min="8" max="8" width="39.44140625" style="252" customWidth="1"/>
    <col min="9" max="9" width="14.33203125" style="252" customWidth="1"/>
    <col min="10" max="10" width="9.21875" style="296" customWidth="1"/>
    <col min="11" max="11" width="11.21875" style="252" customWidth="1"/>
    <col min="12" max="12" width="9.77734375" style="252" customWidth="1"/>
    <col min="13" max="13" width="10.77734375" style="252" customWidth="1"/>
    <col min="14" max="14" width="6.88671875" style="252" customWidth="1"/>
    <col min="15" max="15" width="48" style="252" customWidth="1"/>
    <col min="16" max="16" width="13.33203125" style="252" customWidth="1"/>
    <col min="17" max="17" width="8.5546875" style="252" customWidth="1"/>
    <col min="18" max="18" width="11.77734375" style="252" customWidth="1"/>
    <col min="19" max="19" width="10.88671875" style="356" customWidth="1"/>
    <col min="20" max="20" width="9.21875" style="252" customWidth="1"/>
    <col min="21" max="21" width="46.6640625" style="252" customWidth="1"/>
    <col min="22" max="22" width="10" style="252" customWidth="1"/>
    <col min="23" max="23" width="19.21875" style="252" customWidth="1"/>
    <col min="24" max="24" width="12.6640625" style="252" customWidth="1"/>
    <col min="25" max="25" width="12" style="252" bestFit="1" customWidth="1"/>
    <col min="26" max="26" width="15.21875" style="252" customWidth="1"/>
    <col min="27" max="27" width="21.6640625" style="252" hidden="1" customWidth="1"/>
    <col min="28" max="28" width="15.5546875" style="252" hidden="1" customWidth="1"/>
    <col min="29" max="29" width="13.33203125" style="252" customWidth="1"/>
    <col min="30" max="30" width="39.5546875" style="252" customWidth="1"/>
    <col min="31" max="31" width="14.44140625" style="252" customWidth="1"/>
    <col min="32" max="32" width="11.77734375" style="252" customWidth="1"/>
    <col min="33" max="33" width="11.5546875" style="252" customWidth="1"/>
    <col min="34" max="34" width="15.77734375" style="252" customWidth="1"/>
    <col min="35" max="35" width="21.5546875" style="252" customWidth="1"/>
    <col min="36" max="36" width="12.77734375" style="252" customWidth="1"/>
    <col min="37" max="37" width="8.88671875" style="252" customWidth="1"/>
    <col min="38" max="38" width="10.21875" style="252" customWidth="1"/>
    <col min="39" max="39" width="7.44140625" style="252" customWidth="1"/>
    <col min="40" max="40" width="10.88671875" style="252" customWidth="1"/>
    <col min="41" max="41" width="7.44140625" style="252"/>
    <col min="42" max="42" width="22" style="252" customWidth="1"/>
    <col min="43" max="43" width="11.33203125" style="252" customWidth="1"/>
    <col min="44" max="44" width="8.6640625" style="252" customWidth="1"/>
    <col min="45" max="45" width="11" style="252" customWidth="1"/>
    <col min="46" max="46" width="7.5546875" style="252" bestFit="1" customWidth="1"/>
    <col min="47" max="47" width="8" style="252" bestFit="1" customWidth="1"/>
    <col min="48" max="48" width="9.33203125" style="252" customWidth="1"/>
    <col min="49" max="252" width="7.44140625" style="252"/>
    <col min="253" max="253" width="7.5546875" style="252" bestFit="1" customWidth="1"/>
    <col min="254" max="16384" width="7.44140625" style="252"/>
  </cols>
  <sheetData>
    <row r="1" spans="1:37" ht="18.75" customHeight="1">
      <c r="A1" s="296"/>
      <c r="B1" s="253" t="s">
        <v>5649</v>
      </c>
      <c r="E1" s="296" t="s">
        <v>971</v>
      </c>
      <c r="H1" s="276" t="s">
        <v>245</v>
      </c>
      <c r="O1" s="296" t="s">
        <v>245</v>
      </c>
      <c r="T1" s="253"/>
      <c r="U1" s="357" t="s">
        <v>2045</v>
      </c>
      <c r="V1" s="357"/>
      <c r="W1" s="253" t="s">
        <v>971</v>
      </c>
      <c r="X1" s="253"/>
      <c r="Y1" s="253"/>
      <c r="Z1" s="253"/>
      <c r="AA1" s="253"/>
      <c r="AB1" s="253"/>
      <c r="AC1" s="253"/>
      <c r="AD1" s="253"/>
      <c r="AE1" s="253"/>
    </row>
    <row r="2" spans="1:37" ht="18.75" customHeight="1">
      <c r="B2" s="358" t="s">
        <v>2046</v>
      </c>
      <c r="E2" s="296" t="s">
        <v>971</v>
      </c>
      <c r="H2" s="253" t="s">
        <v>649</v>
      </c>
      <c r="O2" s="253" t="s">
        <v>649</v>
      </c>
      <c r="U2" s="1261" t="s">
        <v>324</v>
      </c>
      <c r="V2" s="1260"/>
      <c r="W2" s="1260"/>
      <c r="X2" s="1260"/>
    </row>
    <row r="3" spans="1:37" ht="18.75" customHeight="1">
      <c r="A3" s="296" t="s">
        <v>1578</v>
      </c>
      <c r="B3" s="359" t="s">
        <v>5790</v>
      </c>
      <c r="C3" s="296" t="s">
        <v>5789</v>
      </c>
      <c r="E3" s="296" t="s">
        <v>971</v>
      </c>
      <c r="F3" s="360" t="s">
        <v>1578</v>
      </c>
      <c r="G3" s="252" t="s">
        <v>971</v>
      </c>
      <c r="H3" s="274" t="str">
        <f>B3</f>
        <v>CUDDALORE</v>
      </c>
      <c r="J3" s="276" t="str">
        <f>C3</f>
        <v>2023-2024</v>
      </c>
      <c r="M3" s="296" t="s">
        <v>1578</v>
      </c>
      <c r="N3" s="296" t="s">
        <v>971</v>
      </c>
      <c r="O3" s="252" t="str">
        <f>B3</f>
        <v>CUDDALORE</v>
      </c>
      <c r="Q3" s="252" t="str">
        <f>C3</f>
        <v>2023-2024</v>
      </c>
      <c r="T3" s="523" t="s">
        <v>1578</v>
      </c>
      <c r="U3" s="461" t="str">
        <f>O3</f>
        <v>CUDDALORE</v>
      </c>
      <c r="V3" s="522"/>
      <c r="W3" s="479" t="str">
        <f>C3</f>
        <v>2023-2024</v>
      </c>
      <c r="X3" s="522"/>
      <c r="Y3" s="522"/>
      <c r="Z3" s="522"/>
      <c r="AA3" s="523"/>
      <c r="AB3" s="522"/>
      <c r="AC3" s="522"/>
      <c r="AD3" s="522"/>
      <c r="AE3" s="522"/>
    </row>
    <row r="4" spans="1:37" ht="18.75" customHeight="1">
      <c r="F4" s="358" t="s">
        <v>1579</v>
      </c>
      <c r="G4" s="358" t="s">
        <v>1579</v>
      </c>
      <c r="H4" s="358" t="s">
        <v>1579</v>
      </c>
      <c r="I4" s="358" t="s">
        <v>1579</v>
      </c>
      <c r="J4" s="358" t="s">
        <v>1579</v>
      </c>
      <c r="K4" s="358" t="s">
        <v>1579</v>
      </c>
      <c r="M4" s="358" t="s">
        <v>1579</v>
      </c>
      <c r="N4" s="358" t="s">
        <v>1579</v>
      </c>
      <c r="O4" s="358" t="s">
        <v>1579</v>
      </c>
      <c r="P4" s="358" t="s">
        <v>1579</v>
      </c>
      <c r="Q4" s="358" t="s">
        <v>1579</v>
      </c>
      <c r="R4" s="358" t="s">
        <v>1579</v>
      </c>
      <c r="T4" s="522"/>
      <c r="U4" s="523" t="s">
        <v>971</v>
      </c>
      <c r="V4" s="522"/>
      <c r="W4" s="530" t="s">
        <v>971</v>
      </c>
      <c r="X4" s="523" t="s">
        <v>246</v>
      </c>
      <c r="Y4" s="523"/>
      <c r="Z4" s="522"/>
      <c r="AA4" s="522"/>
      <c r="AB4" s="522"/>
      <c r="AC4" s="523" t="s">
        <v>971</v>
      </c>
      <c r="AD4" s="522"/>
      <c r="AE4" s="522"/>
      <c r="AG4" s="296" t="s">
        <v>1580</v>
      </c>
    </row>
    <row r="5" spans="1:37" ht="18.75" customHeight="1">
      <c r="A5" s="358" t="s">
        <v>1579</v>
      </c>
      <c r="B5" s="358" t="s">
        <v>1579</v>
      </c>
      <c r="C5" s="358" t="s">
        <v>1579</v>
      </c>
      <c r="D5" s="358" t="s">
        <v>1579</v>
      </c>
      <c r="E5" s="296" t="s">
        <v>971</v>
      </c>
      <c r="F5" s="360" t="s">
        <v>1581</v>
      </c>
      <c r="G5" s="252" t="s">
        <v>971</v>
      </c>
      <c r="H5" s="255" t="s">
        <v>1582</v>
      </c>
      <c r="I5" s="255" t="s">
        <v>1583</v>
      </c>
      <c r="J5" s="255" t="s">
        <v>1584</v>
      </c>
      <c r="K5" s="255" t="s">
        <v>1585</v>
      </c>
      <c r="M5" s="253" t="s">
        <v>1581</v>
      </c>
      <c r="N5" s="296" t="s">
        <v>971</v>
      </c>
      <c r="O5" s="253" t="s">
        <v>1582</v>
      </c>
      <c r="P5" s="253" t="s">
        <v>1583</v>
      </c>
      <c r="Q5" s="253" t="s">
        <v>1584</v>
      </c>
      <c r="R5" s="253" t="s">
        <v>1585</v>
      </c>
      <c r="T5" s="524" t="s">
        <v>1579</v>
      </c>
      <c r="U5" s="524" t="s">
        <v>1579</v>
      </c>
      <c r="V5" s="524" t="s">
        <v>1579</v>
      </c>
      <c r="W5" s="524" t="s">
        <v>1579</v>
      </c>
      <c r="X5" s="524" t="s">
        <v>1579</v>
      </c>
      <c r="Y5" s="524" t="s">
        <v>1579</v>
      </c>
      <c r="Z5" s="524" t="s">
        <v>1579</v>
      </c>
      <c r="AA5" s="524" t="s">
        <v>1579</v>
      </c>
      <c r="AB5" s="524" t="s">
        <v>1579</v>
      </c>
      <c r="AC5" s="524" t="s">
        <v>1579</v>
      </c>
      <c r="AD5" s="524" t="s">
        <v>1579</v>
      </c>
      <c r="AE5" s="524" t="s">
        <v>1579</v>
      </c>
    </row>
    <row r="6" spans="1:37" ht="18.75" customHeight="1">
      <c r="A6" s="296" t="s">
        <v>691</v>
      </c>
      <c r="B6" s="296" t="s">
        <v>1582</v>
      </c>
      <c r="C6" s="296" t="s">
        <v>1583</v>
      </c>
      <c r="D6" s="296" t="s">
        <v>1584</v>
      </c>
      <c r="F6" s="358" t="s">
        <v>1579</v>
      </c>
      <c r="G6" s="358" t="s">
        <v>1579</v>
      </c>
      <c r="H6" s="358" t="s">
        <v>1579</v>
      </c>
      <c r="I6" s="358" t="s">
        <v>1579</v>
      </c>
      <c r="J6" s="358" t="s">
        <v>1579</v>
      </c>
      <c r="K6" s="358" t="s">
        <v>1579</v>
      </c>
      <c r="M6" s="358" t="s">
        <v>1579</v>
      </c>
      <c r="N6" s="358" t="s">
        <v>1579</v>
      </c>
      <c r="O6" s="358" t="s">
        <v>1579</v>
      </c>
      <c r="P6" s="358" t="s">
        <v>1579</v>
      </c>
      <c r="Q6" s="358" t="s">
        <v>1579</v>
      </c>
      <c r="R6" s="358" t="s">
        <v>1579</v>
      </c>
      <c r="T6" s="530" t="s">
        <v>691</v>
      </c>
      <c r="U6" s="530" t="s">
        <v>55</v>
      </c>
      <c r="V6" s="530" t="s">
        <v>2233</v>
      </c>
      <c r="W6" s="530" t="s">
        <v>2234</v>
      </c>
      <c r="X6" s="530" t="s">
        <v>2235</v>
      </c>
      <c r="Y6" s="530" t="s">
        <v>2236</v>
      </c>
      <c r="Z6" s="530" t="s">
        <v>2237</v>
      </c>
      <c r="AA6" s="1216" t="s">
        <v>1078</v>
      </c>
      <c r="AB6" s="523" t="s">
        <v>2238</v>
      </c>
      <c r="AC6" s="523" t="s">
        <v>2239</v>
      </c>
      <c r="AD6" s="530" t="s">
        <v>2240</v>
      </c>
      <c r="AE6" s="522"/>
    </row>
    <row r="7" spans="1:37" ht="18.75" customHeight="1">
      <c r="A7" s="358" t="s">
        <v>1579</v>
      </c>
      <c r="B7" s="358" t="s">
        <v>1579</v>
      </c>
      <c r="C7" s="358" t="s">
        <v>1579</v>
      </c>
      <c r="D7" s="358" t="s">
        <v>1579</v>
      </c>
      <c r="G7" s="252" t="s">
        <v>2241</v>
      </c>
      <c r="H7" s="296" t="s">
        <v>2242</v>
      </c>
      <c r="O7" s="296" t="s">
        <v>2243</v>
      </c>
      <c r="T7" s="522"/>
      <c r="U7" s="522"/>
      <c r="V7" s="522"/>
      <c r="W7" s="530"/>
      <c r="X7" s="530" t="s">
        <v>2244</v>
      </c>
      <c r="Y7" s="530" t="s">
        <v>2239</v>
      </c>
      <c r="Z7" s="530" t="s">
        <v>2245</v>
      </c>
      <c r="AA7" s="1216" t="s">
        <v>972</v>
      </c>
      <c r="AB7" s="523" t="s">
        <v>2246</v>
      </c>
      <c r="AC7" s="523" t="s">
        <v>2247</v>
      </c>
      <c r="AD7" s="522"/>
      <c r="AE7" s="709"/>
    </row>
    <row r="8" spans="1:37" ht="18.75" customHeight="1">
      <c r="B8" s="296" t="s">
        <v>2248</v>
      </c>
      <c r="H8" s="358" t="s">
        <v>1579</v>
      </c>
      <c r="O8" s="358" t="s">
        <v>1579</v>
      </c>
      <c r="T8" s="524" t="s">
        <v>1579</v>
      </c>
      <c r="U8" s="524" t="s">
        <v>1579</v>
      </c>
      <c r="V8" s="524" t="s">
        <v>1579</v>
      </c>
      <c r="W8" s="524" t="s">
        <v>1579</v>
      </c>
      <c r="X8" s="524" t="s">
        <v>1579</v>
      </c>
      <c r="Y8" s="524" t="s">
        <v>1579</v>
      </c>
      <c r="Z8" s="524" t="s">
        <v>1579</v>
      </c>
      <c r="AA8" s="1217" t="s">
        <v>1079</v>
      </c>
      <c r="AB8" s="524" t="s">
        <v>1579</v>
      </c>
      <c r="AC8" s="524" t="s">
        <v>1579</v>
      </c>
      <c r="AD8" s="524" t="s">
        <v>1579</v>
      </c>
      <c r="AE8" s="524" t="s">
        <v>1579</v>
      </c>
      <c r="AG8" s="361" t="s">
        <v>5542</v>
      </c>
      <c r="AH8" s="361" t="s">
        <v>918</v>
      </c>
      <c r="AI8" s="361" t="s">
        <v>919</v>
      </c>
      <c r="AJ8" s="361" t="s">
        <v>920</v>
      </c>
      <c r="AK8" s="361" t="s">
        <v>1845</v>
      </c>
    </row>
    <row r="9" spans="1:37" ht="18.75" customHeight="1">
      <c r="B9" s="296" t="s">
        <v>857</v>
      </c>
      <c r="F9" s="252">
        <v>0.96</v>
      </c>
      <c r="G9" s="252" t="s">
        <v>858</v>
      </c>
      <c r="H9" s="296" t="s">
        <v>859</v>
      </c>
      <c r="I9" s="252">
        <f>(C67)</f>
        <v>6040</v>
      </c>
      <c r="J9" s="296" t="s">
        <v>858</v>
      </c>
      <c r="K9" s="252">
        <f>(F9*I9)</f>
        <v>5798.4</v>
      </c>
      <c r="M9" s="252">
        <v>0.5</v>
      </c>
      <c r="N9" s="296" t="s">
        <v>858</v>
      </c>
      <c r="O9" s="296" t="s">
        <v>860</v>
      </c>
      <c r="P9" s="252">
        <f>(C85)</f>
        <v>1170.8</v>
      </c>
      <c r="Q9" s="296" t="s">
        <v>858</v>
      </c>
      <c r="R9" s="252">
        <f>(M9*P9)</f>
        <v>585.4</v>
      </c>
      <c r="T9" s="530" t="s">
        <v>861</v>
      </c>
      <c r="U9" s="523" t="s">
        <v>5378</v>
      </c>
      <c r="V9" s="523" t="s">
        <v>863</v>
      </c>
      <c r="W9" s="530" t="s">
        <v>5783</v>
      </c>
      <c r="X9" s="522">
        <f>'lead  charge'!D12</f>
        <v>55</v>
      </c>
      <c r="Y9" s="608">
        <v>449.4</v>
      </c>
      <c r="Z9" s="710">
        <f>'lead  charge'!E12</f>
        <v>508.1</v>
      </c>
      <c r="AA9" s="1218"/>
      <c r="AB9" s="523">
        <v>0</v>
      </c>
      <c r="AC9" s="523">
        <f>SUM(Y9+Z9+AA9+AB9)</f>
        <v>957.5</v>
      </c>
      <c r="AD9" s="673" t="s">
        <v>5587</v>
      </c>
      <c r="AE9" s="522">
        <f>AF9</f>
        <v>999</v>
      </c>
      <c r="AF9" s="362">
        <v>999</v>
      </c>
      <c r="AG9" s="252">
        <f>AF9*1.1</f>
        <v>1098.9000000000001</v>
      </c>
      <c r="AH9" s="252">
        <f>AF9*1.2</f>
        <v>1198.8</v>
      </c>
      <c r="AI9" s="252">
        <f>AF9*1.5</f>
        <v>1498.5</v>
      </c>
      <c r="AJ9" s="252">
        <f>AF9*1.05</f>
        <v>1048.95</v>
      </c>
      <c r="AK9" s="252">
        <f>AF9*1.25</f>
        <v>1248.75</v>
      </c>
    </row>
    <row r="10" spans="1:37" ht="18.75" customHeight="1">
      <c r="A10" s="363">
        <v>1</v>
      </c>
      <c r="B10" s="296" t="s">
        <v>864</v>
      </c>
      <c r="C10" s="364">
        <f>AE9</f>
        <v>999</v>
      </c>
      <c r="D10" s="365" t="s">
        <v>865</v>
      </c>
      <c r="F10" s="252">
        <v>1</v>
      </c>
      <c r="G10" s="252" t="s">
        <v>866</v>
      </c>
      <c r="H10" s="296" t="s">
        <v>867</v>
      </c>
      <c r="I10" s="252">
        <f>(C78)</f>
        <v>1846.1</v>
      </c>
      <c r="J10" s="296" t="s">
        <v>866</v>
      </c>
      <c r="K10" s="252">
        <f>(F10*I10)</f>
        <v>1846.1</v>
      </c>
      <c r="M10" s="252">
        <v>1</v>
      </c>
      <c r="N10" s="296" t="s">
        <v>866</v>
      </c>
      <c r="O10" s="296" t="s">
        <v>867</v>
      </c>
      <c r="P10" s="252">
        <f>(C78)</f>
        <v>1846.1</v>
      </c>
      <c r="Q10" s="296" t="s">
        <v>866</v>
      </c>
      <c r="R10" s="252">
        <f>(M10*P10)</f>
        <v>1846.1</v>
      </c>
      <c r="T10" s="530" t="s">
        <v>868</v>
      </c>
      <c r="U10" s="523" t="s">
        <v>5379</v>
      </c>
      <c r="V10" s="523" t="s">
        <v>863</v>
      </c>
      <c r="W10" s="530" t="str">
        <f t="shared" ref="W10:W15" si="0">W9</f>
        <v>Thiruvakkarai</v>
      </c>
      <c r="X10" s="522">
        <f>'lead  charge'!D12</f>
        <v>55</v>
      </c>
      <c r="Y10" s="608">
        <v>648.4</v>
      </c>
      <c r="Z10" s="710">
        <f>Z9</f>
        <v>508.1</v>
      </c>
      <c r="AA10" s="530"/>
      <c r="AB10" s="523">
        <v>0</v>
      </c>
      <c r="AC10" s="523">
        <f t="shared" ref="AC10:AC36" si="1">SUM(Y10+Z10+AA10+AB10)</f>
        <v>1156.5</v>
      </c>
      <c r="AD10" s="673" t="s">
        <v>5588</v>
      </c>
      <c r="AE10" s="522">
        <f t="shared" ref="AE10:AE73" si="2">AF10</f>
        <v>932</v>
      </c>
      <c r="AF10" s="362">
        <v>932</v>
      </c>
      <c r="AG10" s="252">
        <f t="shared" ref="AG10:AG73" si="3">AF10*1.1</f>
        <v>1025.2</v>
      </c>
      <c r="AH10" s="252">
        <f t="shared" ref="AH10:AH73" si="4">AF10*1.2</f>
        <v>1118.4000000000001</v>
      </c>
      <c r="AI10" s="252">
        <f t="shared" ref="AI10:AI73" si="5">AF10*1.5</f>
        <v>1398</v>
      </c>
      <c r="AJ10" s="252">
        <f t="shared" ref="AJ10:AJ73" si="6">AF10*1.05</f>
        <v>978.6</v>
      </c>
      <c r="AK10" s="252">
        <f t="shared" ref="AK10:AK73" si="7">AF10*1.25</f>
        <v>1165</v>
      </c>
    </row>
    <row r="11" spans="1:37" ht="18.75" customHeight="1">
      <c r="A11" s="363">
        <f t="shared" ref="A11:A35" si="8">(A10+1)</f>
        <v>2</v>
      </c>
      <c r="B11" s="296" t="s">
        <v>870</v>
      </c>
      <c r="C11" s="364">
        <f>AE10</f>
        <v>932</v>
      </c>
      <c r="D11" s="365">
        <f>AE9</f>
        <v>999</v>
      </c>
      <c r="F11" s="252">
        <v>1</v>
      </c>
      <c r="G11" s="252" t="s">
        <v>866</v>
      </c>
      <c r="H11" s="296" t="s">
        <v>871</v>
      </c>
      <c r="I11" s="252">
        <f>(C18)</f>
        <v>116</v>
      </c>
      <c r="J11" s="296" t="s">
        <v>866</v>
      </c>
      <c r="K11" s="252">
        <f>(F11*I11)</f>
        <v>116</v>
      </c>
      <c r="M11" s="252">
        <v>1</v>
      </c>
      <c r="N11" s="296" t="s">
        <v>866</v>
      </c>
      <c r="O11" s="296" t="s">
        <v>872</v>
      </c>
      <c r="P11" s="252">
        <f>(C64)</f>
        <v>280.60000000000002</v>
      </c>
      <c r="Q11" s="296" t="s">
        <v>866</v>
      </c>
      <c r="R11" s="252">
        <f>(M11*P11)</f>
        <v>280.60000000000002</v>
      </c>
      <c r="T11" s="530" t="s">
        <v>873</v>
      </c>
      <c r="U11" s="523" t="s">
        <v>5380</v>
      </c>
      <c r="V11" s="523" t="s">
        <v>863</v>
      </c>
      <c r="W11" s="530" t="str">
        <f t="shared" si="0"/>
        <v>Thiruvakkarai</v>
      </c>
      <c r="X11" s="522">
        <f>'lead  charge'!D10:D10</f>
        <v>55</v>
      </c>
      <c r="Y11" s="608">
        <v>773.67</v>
      </c>
      <c r="Z11" s="710">
        <f>'lead  charge'!E10</f>
        <v>508.1</v>
      </c>
      <c r="AA11" s="530"/>
      <c r="AB11" s="523">
        <v>0</v>
      </c>
      <c r="AC11" s="523">
        <f t="shared" si="1"/>
        <v>1281.77</v>
      </c>
      <c r="AD11" s="673" t="s">
        <v>5591</v>
      </c>
      <c r="AE11" s="522">
        <f t="shared" si="2"/>
        <v>651</v>
      </c>
      <c r="AF11" s="362">
        <v>651</v>
      </c>
      <c r="AG11" s="252">
        <f t="shared" si="3"/>
        <v>716.1</v>
      </c>
      <c r="AH11" s="252">
        <f t="shared" si="4"/>
        <v>781.2</v>
      </c>
      <c r="AI11" s="252">
        <f t="shared" si="5"/>
        <v>976.5</v>
      </c>
      <c r="AJ11" s="252">
        <f t="shared" si="6"/>
        <v>683.55</v>
      </c>
      <c r="AK11" s="252">
        <f t="shared" si="7"/>
        <v>813.75</v>
      </c>
    </row>
    <row r="12" spans="1:37" ht="18.75" customHeight="1">
      <c r="A12" s="363">
        <f t="shared" si="8"/>
        <v>3</v>
      </c>
      <c r="B12" s="296" t="s">
        <v>445</v>
      </c>
      <c r="C12" s="364">
        <f>AE11</f>
        <v>651</v>
      </c>
      <c r="D12" s="365" t="s">
        <v>865</v>
      </c>
      <c r="G12" s="252" t="s">
        <v>446</v>
      </c>
      <c r="H12" s="296" t="s">
        <v>447</v>
      </c>
      <c r="I12" s="296" t="s">
        <v>971</v>
      </c>
      <c r="J12" s="296" t="s">
        <v>446</v>
      </c>
      <c r="K12" s="252">
        <v>0</v>
      </c>
      <c r="N12" s="296" t="s">
        <v>446</v>
      </c>
      <c r="O12" s="296" t="s">
        <v>447</v>
      </c>
      <c r="P12" s="296" t="s">
        <v>971</v>
      </c>
      <c r="Q12" s="296" t="s">
        <v>446</v>
      </c>
      <c r="R12" s="252">
        <v>0</v>
      </c>
      <c r="T12" s="530" t="s">
        <v>448</v>
      </c>
      <c r="U12" s="523" t="s">
        <v>1502</v>
      </c>
      <c r="V12" s="523" t="s">
        <v>863</v>
      </c>
      <c r="W12" s="530" t="str">
        <f t="shared" si="0"/>
        <v>Thiruvakkarai</v>
      </c>
      <c r="X12" s="522">
        <f>X11</f>
        <v>55</v>
      </c>
      <c r="Y12" s="608">
        <v>1016</v>
      </c>
      <c r="Z12" s="710">
        <f>Z11</f>
        <v>508.1</v>
      </c>
      <c r="AA12" s="530"/>
      <c r="AB12" s="523">
        <v>0</v>
      </c>
      <c r="AC12" s="523">
        <f t="shared" si="1"/>
        <v>1524.1</v>
      </c>
      <c r="AD12" s="673" t="s">
        <v>5592</v>
      </c>
      <c r="AE12" s="522">
        <f t="shared" si="2"/>
        <v>534</v>
      </c>
      <c r="AF12" s="362">
        <v>534</v>
      </c>
      <c r="AG12" s="252">
        <f t="shared" si="3"/>
        <v>587.4</v>
      </c>
      <c r="AH12" s="252">
        <f t="shared" si="4"/>
        <v>640.79999999999995</v>
      </c>
      <c r="AI12" s="252">
        <f t="shared" si="5"/>
        <v>801</v>
      </c>
      <c r="AJ12" s="252">
        <f t="shared" si="6"/>
        <v>560.70000000000005</v>
      </c>
      <c r="AK12" s="252">
        <f t="shared" si="7"/>
        <v>667.5</v>
      </c>
    </row>
    <row r="13" spans="1:37" ht="18.75" customHeight="1">
      <c r="A13" s="363">
        <f t="shared" si="8"/>
        <v>4</v>
      </c>
      <c r="B13" s="296" t="s">
        <v>1504</v>
      </c>
      <c r="C13" s="364">
        <f>AE12</f>
        <v>534</v>
      </c>
      <c r="D13" s="365" t="s">
        <v>865</v>
      </c>
      <c r="K13" s="358" t="s">
        <v>1579</v>
      </c>
      <c r="R13" s="358" t="s">
        <v>1579</v>
      </c>
      <c r="T13" s="530" t="s">
        <v>1505</v>
      </c>
      <c r="U13" s="523" t="s">
        <v>1506</v>
      </c>
      <c r="V13" s="523" t="s">
        <v>863</v>
      </c>
      <c r="W13" s="530" t="str">
        <f t="shared" si="0"/>
        <v>Thiruvakkarai</v>
      </c>
      <c r="X13" s="522">
        <f>X11</f>
        <v>55</v>
      </c>
      <c r="Y13" s="608">
        <v>1382</v>
      </c>
      <c r="Z13" s="710">
        <f>Z12</f>
        <v>508.1</v>
      </c>
      <c r="AA13" s="530"/>
      <c r="AB13" s="523">
        <v>0</v>
      </c>
      <c r="AC13" s="523">
        <f t="shared" si="1"/>
        <v>1890.1</v>
      </c>
      <c r="AD13" s="673" t="s">
        <v>5589</v>
      </c>
      <c r="AE13" s="522">
        <f t="shared" si="2"/>
        <v>797</v>
      </c>
      <c r="AF13" s="362">
        <v>797</v>
      </c>
      <c r="AG13" s="252">
        <f t="shared" si="3"/>
        <v>876.7</v>
      </c>
      <c r="AH13" s="252">
        <f t="shared" si="4"/>
        <v>956.4</v>
      </c>
      <c r="AI13" s="252">
        <f t="shared" si="5"/>
        <v>1195.5</v>
      </c>
      <c r="AJ13" s="252">
        <f t="shared" si="6"/>
        <v>836.85</v>
      </c>
      <c r="AK13" s="252">
        <f t="shared" si="7"/>
        <v>996.25</v>
      </c>
    </row>
    <row r="14" spans="1:37" ht="18.75" customHeight="1">
      <c r="A14" s="363">
        <f t="shared" si="8"/>
        <v>5</v>
      </c>
      <c r="B14" s="296" t="s">
        <v>1508</v>
      </c>
      <c r="C14" s="364">
        <f>AE13</f>
        <v>797</v>
      </c>
      <c r="D14" s="364">
        <f>AE14</f>
        <v>772</v>
      </c>
      <c r="H14" s="296" t="s">
        <v>1509</v>
      </c>
      <c r="K14" s="274">
        <f>SUM(K9:K12)</f>
        <v>7760.5</v>
      </c>
      <c r="N14" s="252">
        <f>SUM(K9:K12)</f>
        <v>7760.5</v>
      </c>
      <c r="O14" s="296" t="s">
        <v>1509</v>
      </c>
      <c r="R14" s="252">
        <f>SUM(R9:R12)</f>
        <v>2712.1</v>
      </c>
      <c r="T14" s="530" t="s">
        <v>1999</v>
      </c>
      <c r="U14" s="523" t="s">
        <v>112</v>
      </c>
      <c r="V14" s="523" t="s">
        <v>863</v>
      </c>
      <c r="W14" s="530" t="str">
        <f t="shared" si="0"/>
        <v>Thiruvakkarai</v>
      </c>
      <c r="X14" s="522">
        <f>X11</f>
        <v>55</v>
      </c>
      <c r="Y14" s="608">
        <v>1489</v>
      </c>
      <c r="Z14" s="710">
        <f>Z13</f>
        <v>508.1</v>
      </c>
      <c r="AA14" s="530"/>
      <c r="AB14" s="523">
        <v>0</v>
      </c>
      <c r="AC14" s="523">
        <f t="shared" si="1"/>
        <v>1997.1</v>
      </c>
      <c r="AD14" s="673" t="s">
        <v>5593</v>
      </c>
      <c r="AE14" s="522">
        <f t="shared" si="2"/>
        <v>772</v>
      </c>
      <c r="AF14" s="362">
        <v>772</v>
      </c>
      <c r="AG14" s="252">
        <f t="shared" si="3"/>
        <v>849.2</v>
      </c>
      <c r="AH14" s="252">
        <f t="shared" si="4"/>
        <v>926.4</v>
      </c>
      <c r="AI14" s="252">
        <f t="shared" si="5"/>
        <v>1158</v>
      </c>
      <c r="AJ14" s="252">
        <f t="shared" si="6"/>
        <v>810.6</v>
      </c>
      <c r="AK14" s="252">
        <f t="shared" si="7"/>
        <v>965</v>
      </c>
    </row>
    <row r="15" spans="1:37" ht="18.75" customHeight="1">
      <c r="A15" s="363">
        <f t="shared" si="8"/>
        <v>6</v>
      </c>
      <c r="B15" s="296" t="s">
        <v>114</v>
      </c>
      <c r="C15" s="364">
        <f>AE15</f>
        <v>866</v>
      </c>
      <c r="D15" s="365" t="s">
        <v>865</v>
      </c>
      <c r="K15" s="358" t="s">
        <v>1579</v>
      </c>
      <c r="R15" s="358" t="s">
        <v>1579</v>
      </c>
      <c r="T15" s="530" t="s">
        <v>115</v>
      </c>
      <c r="U15" s="523" t="s">
        <v>116</v>
      </c>
      <c r="V15" s="523" t="s">
        <v>863</v>
      </c>
      <c r="W15" s="530" t="str">
        <f t="shared" si="0"/>
        <v>Thiruvakkarai</v>
      </c>
      <c r="X15" s="522">
        <f>X11</f>
        <v>55</v>
      </c>
      <c r="Y15" s="608">
        <v>1069.8</v>
      </c>
      <c r="Z15" s="710">
        <f>Z14</f>
        <v>508.1</v>
      </c>
      <c r="AA15" s="530"/>
      <c r="AB15" s="523">
        <v>0</v>
      </c>
      <c r="AC15" s="523">
        <f t="shared" si="1"/>
        <v>1577.9</v>
      </c>
      <c r="AD15" s="673" t="s">
        <v>5590</v>
      </c>
      <c r="AE15" s="522">
        <f t="shared" si="2"/>
        <v>866</v>
      </c>
      <c r="AF15" s="362">
        <v>866</v>
      </c>
      <c r="AG15" s="252">
        <f t="shared" si="3"/>
        <v>952.6</v>
      </c>
      <c r="AH15" s="252">
        <f t="shared" si="4"/>
        <v>1039.2</v>
      </c>
      <c r="AI15" s="252">
        <f t="shared" si="5"/>
        <v>1299</v>
      </c>
      <c r="AJ15" s="252">
        <f t="shared" si="6"/>
        <v>909.3</v>
      </c>
      <c r="AK15" s="252">
        <f t="shared" si="7"/>
        <v>1082.5</v>
      </c>
    </row>
    <row r="16" spans="1:37" ht="18.75" customHeight="1">
      <c r="A16" s="363">
        <f t="shared" si="8"/>
        <v>7</v>
      </c>
      <c r="B16" s="296" t="s">
        <v>118</v>
      </c>
      <c r="C16" s="364">
        <f>AE19</f>
        <v>976</v>
      </c>
      <c r="D16" s="364">
        <f>AE20</f>
        <v>932</v>
      </c>
      <c r="G16" s="252" t="s">
        <v>2241</v>
      </c>
      <c r="H16" s="296" t="s">
        <v>119</v>
      </c>
      <c r="N16" s="296" t="s">
        <v>2241</v>
      </c>
      <c r="O16" s="296" t="s">
        <v>120</v>
      </c>
      <c r="T16" s="530" t="s">
        <v>121</v>
      </c>
      <c r="U16" s="523" t="s">
        <v>4546</v>
      </c>
      <c r="V16" s="523" t="s">
        <v>863</v>
      </c>
      <c r="W16" s="530" t="str">
        <f>W15</f>
        <v>Thiruvakkarai</v>
      </c>
      <c r="X16" s="522">
        <f>'lead  charge'!D11</f>
        <v>55</v>
      </c>
      <c r="Y16" s="711">
        <v>1338</v>
      </c>
      <c r="Z16" s="710">
        <f>'lead  charge'!E11</f>
        <v>508.1</v>
      </c>
      <c r="AA16" s="530"/>
      <c r="AB16" s="523">
        <v>0</v>
      </c>
      <c r="AC16" s="523">
        <f t="shared" si="1"/>
        <v>1846.1</v>
      </c>
      <c r="AD16" s="673" t="s">
        <v>5594</v>
      </c>
      <c r="AE16" s="522">
        <f t="shared" si="2"/>
        <v>839</v>
      </c>
      <c r="AF16" s="362">
        <v>839</v>
      </c>
      <c r="AG16" s="252">
        <f t="shared" si="3"/>
        <v>922.9</v>
      </c>
      <c r="AH16" s="252">
        <f t="shared" si="4"/>
        <v>1006.8</v>
      </c>
      <c r="AI16" s="252">
        <f t="shared" si="5"/>
        <v>1258.5</v>
      </c>
      <c r="AJ16" s="252">
        <f t="shared" si="6"/>
        <v>880.95</v>
      </c>
      <c r="AK16" s="252">
        <f t="shared" si="7"/>
        <v>1048.75</v>
      </c>
    </row>
    <row r="17" spans="1:37" ht="18.75" customHeight="1">
      <c r="A17" s="363">
        <f t="shared" si="8"/>
        <v>8</v>
      </c>
      <c r="B17" s="296" t="s">
        <v>4003</v>
      </c>
      <c r="C17" s="364">
        <f>AE17</f>
        <v>881</v>
      </c>
      <c r="D17" s="364">
        <f>AE18</f>
        <v>856</v>
      </c>
      <c r="H17" s="358" t="s">
        <v>1579</v>
      </c>
      <c r="O17" s="296" t="s">
        <v>1028</v>
      </c>
      <c r="T17" s="530" t="s">
        <v>1029</v>
      </c>
      <c r="U17" s="523" t="s">
        <v>5381</v>
      </c>
      <c r="V17" s="523" t="s">
        <v>863</v>
      </c>
      <c r="W17" s="530" t="str">
        <f>W16</f>
        <v>Thiruvakkarai</v>
      </c>
      <c r="X17" s="522">
        <f>X16</f>
        <v>55</v>
      </c>
      <c r="Y17" s="711">
        <f>Y16</f>
        <v>1338</v>
      </c>
      <c r="Z17" s="710">
        <f>Z16</f>
        <v>508.1</v>
      </c>
      <c r="AA17" s="530"/>
      <c r="AB17" s="523">
        <v>0</v>
      </c>
      <c r="AC17" s="523">
        <f t="shared" si="1"/>
        <v>1846.1</v>
      </c>
      <c r="AD17" s="673" t="s">
        <v>5595</v>
      </c>
      <c r="AE17" s="522">
        <f t="shared" si="2"/>
        <v>881</v>
      </c>
      <c r="AF17" s="362">
        <v>881</v>
      </c>
      <c r="AG17" s="252">
        <f t="shared" si="3"/>
        <v>969.1</v>
      </c>
      <c r="AH17" s="252">
        <f t="shared" si="4"/>
        <v>1057.2</v>
      </c>
      <c r="AI17" s="252">
        <f t="shared" si="5"/>
        <v>1321.5</v>
      </c>
      <c r="AJ17" s="252">
        <f t="shared" si="6"/>
        <v>925.05</v>
      </c>
      <c r="AK17" s="252">
        <f t="shared" si="7"/>
        <v>1101.25</v>
      </c>
    </row>
    <row r="18" spans="1:37" ht="18.75" customHeight="1">
      <c r="A18" s="363">
        <f t="shared" si="8"/>
        <v>9</v>
      </c>
      <c r="B18" s="296" t="s">
        <v>4004</v>
      </c>
      <c r="C18" s="364">
        <f>AE24</f>
        <v>116</v>
      </c>
      <c r="D18" s="365" t="s">
        <v>1033</v>
      </c>
      <c r="F18" s="252">
        <v>0.72</v>
      </c>
      <c r="G18" s="252" t="s">
        <v>858</v>
      </c>
      <c r="H18" s="296" t="s">
        <v>859</v>
      </c>
      <c r="I18" s="252">
        <f>(C67)</f>
        <v>6040</v>
      </c>
      <c r="J18" s="296" t="s">
        <v>858</v>
      </c>
      <c r="K18" s="252">
        <f>(F18*I18)</f>
        <v>4348.8</v>
      </c>
      <c r="O18" s="296" t="s">
        <v>1437</v>
      </c>
      <c r="T18" s="530" t="s">
        <v>1438</v>
      </c>
      <c r="U18" s="523" t="s">
        <v>5382</v>
      </c>
      <c r="V18" s="523" t="s">
        <v>1439</v>
      </c>
      <c r="W18" s="530" t="s">
        <v>5784</v>
      </c>
      <c r="X18" s="522">
        <f>'lead  charge'!G10</f>
        <v>2</v>
      </c>
      <c r="Y18" s="608">
        <v>5709</v>
      </c>
      <c r="Z18" s="710">
        <f>'lead  charge'!H10</f>
        <v>19.64</v>
      </c>
      <c r="AA18" s="530"/>
      <c r="AB18" s="523">
        <v>0</v>
      </c>
      <c r="AC18" s="523">
        <f t="shared" si="1"/>
        <v>5728.64</v>
      </c>
      <c r="AD18" s="673" t="s">
        <v>5596</v>
      </c>
      <c r="AE18" s="522">
        <f t="shared" si="2"/>
        <v>856</v>
      </c>
      <c r="AF18" s="362">
        <v>856</v>
      </c>
      <c r="AG18" s="252">
        <f t="shared" si="3"/>
        <v>941.6</v>
      </c>
      <c r="AH18" s="252">
        <f t="shared" si="4"/>
        <v>1027.2</v>
      </c>
      <c r="AI18" s="252">
        <f t="shared" si="5"/>
        <v>1284</v>
      </c>
      <c r="AJ18" s="252">
        <f t="shared" si="6"/>
        <v>898.8</v>
      </c>
      <c r="AK18" s="252">
        <f t="shared" si="7"/>
        <v>1070</v>
      </c>
    </row>
    <row r="19" spans="1:37" ht="18.75" customHeight="1">
      <c r="A19" s="363">
        <f t="shared" si="8"/>
        <v>10</v>
      </c>
      <c r="B19" s="296" t="s">
        <v>4554</v>
      </c>
      <c r="C19" s="252">
        <f t="shared" ref="C19:C24" si="9">AE41</f>
        <v>78.900000000000006</v>
      </c>
      <c r="D19" s="365" t="s">
        <v>866</v>
      </c>
      <c r="F19" s="252">
        <v>1</v>
      </c>
      <c r="G19" s="252" t="s">
        <v>866</v>
      </c>
      <c r="H19" s="296" t="s">
        <v>867</v>
      </c>
      <c r="I19" s="252">
        <f>I36</f>
        <v>1846.1</v>
      </c>
      <c r="J19" s="296" t="s">
        <v>866</v>
      </c>
      <c r="K19" s="252">
        <f>(F19*I19)</f>
        <v>1846.1</v>
      </c>
      <c r="O19" s="296" t="s">
        <v>71</v>
      </c>
      <c r="T19" s="530" t="s">
        <v>72</v>
      </c>
      <c r="U19" s="523" t="s">
        <v>5383</v>
      </c>
      <c r="V19" s="523" t="s">
        <v>866</v>
      </c>
      <c r="W19" s="530" t="str">
        <f>W18</f>
        <v>Semmandalam</v>
      </c>
      <c r="X19" s="522">
        <f>'lead  charge'!P10</f>
        <v>2</v>
      </c>
      <c r="Y19" s="608">
        <v>705</v>
      </c>
      <c r="Z19" s="710">
        <f>'lead  charge'!Q10</f>
        <v>15.98</v>
      </c>
      <c r="AA19" s="530"/>
      <c r="AB19" s="523">
        <v>0</v>
      </c>
      <c r="AC19" s="523">
        <f t="shared" si="1"/>
        <v>720.98</v>
      </c>
      <c r="AD19" s="673" t="s">
        <v>5597</v>
      </c>
      <c r="AE19" s="522">
        <f t="shared" si="2"/>
        <v>976</v>
      </c>
      <c r="AF19" s="362">
        <v>976</v>
      </c>
      <c r="AG19" s="252">
        <f t="shared" si="3"/>
        <v>1073.5999999999999</v>
      </c>
      <c r="AH19" s="252">
        <f t="shared" si="4"/>
        <v>1171.2</v>
      </c>
      <c r="AI19" s="252">
        <f t="shared" si="5"/>
        <v>1464</v>
      </c>
      <c r="AJ19" s="252">
        <f t="shared" si="6"/>
        <v>1024.8</v>
      </c>
      <c r="AK19" s="252">
        <f t="shared" si="7"/>
        <v>1220</v>
      </c>
    </row>
    <row r="20" spans="1:37" ht="18.75" customHeight="1">
      <c r="A20" s="363">
        <f t="shared" si="8"/>
        <v>11</v>
      </c>
      <c r="B20" s="296" t="s">
        <v>371</v>
      </c>
      <c r="C20" s="252">
        <f t="shared" si="9"/>
        <v>159.19999999999999</v>
      </c>
      <c r="D20" s="365" t="s">
        <v>866</v>
      </c>
      <c r="F20" s="252">
        <v>1</v>
      </c>
      <c r="G20" s="252" t="s">
        <v>866</v>
      </c>
      <c r="H20" s="296" t="s">
        <v>871</v>
      </c>
      <c r="I20" s="252">
        <f>(C18)</f>
        <v>116</v>
      </c>
      <c r="J20" s="296" t="s">
        <v>866</v>
      </c>
      <c r="K20" s="252">
        <f>(F20*I20)</f>
        <v>116</v>
      </c>
      <c r="O20" s="296" t="s">
        <v>1040</v>
      </c>
      <c r="T20" s="530" t="s">
        <v>1962</v>
      </c>
      <c r="U20" s="523" t="s">
        <v>1963</v>
      </c>
      <c r="V20" s="523" t="s">
        <v>866</v>
      </c>
      <c r="W20" s="530" t="str">
        <f>W18</f>
        <v>Semmandalam</v>
      </c>
      <c r="X20" s="522">
        <f>X19</f>
        <v>2</v>
      </c>
      <c r="Y20" s="608">
        <v>786</v>
      </c>
      <c r="Z20" s="710">
        <f>Z19</f>
        <v>15.98</v>
      </c>
      <c r="AA20" s="530"/>
      <c r="AB20" s="523">
        <v>0</v>
      </c>
      <c r="AC20" s="523">
        <f t="shared" si="1"/>
        <v>801.98</v>
      </c>
      <c r="AD20" s="673" t="s">
        <v>5598</v>
      </c>
      <c r="AE20" s="522">
        <f t="shared" si="2"/>
        <v>932</v>
      </c>
      <c r="AF20" s="362">
        <v>932</v>
      </c>
      <c r="AG20" s="252">
        <f t="shared" si="3"/>
        <v>1025.2</v>
      </c>
      <c r="AH20" s="252">
        <f t="shared" si="4"/>
        <v>1118.4000000000001</v>
      </c>
      <c r="AI20" s="252">
        <f t="shared" si="5"/>
        <v>1398</v>
      </c>
      <c r="AJ20" s="252">
        <f t="shared" si="6"/>
        <v>978.6</v>
      </c>
      <c r="AK20" s="252">
        <f t="shared" si="7"/>
        <v>1165</v>
      </c>
    </row>
    <row r="21" spans="1:37" ht="18.75" customHeight="1">
      <c r="A21" s="363">
        <f t="shared" si="8"/>
        <v>12</v>
      </c>
      <c r="B21" s="296" t="s">
        <v>2252</v>
      </c>
      <c r="C21" s="252">
        <f t="shared" si="9"/>
        <v>159.19999999999999</v>
      </c>
      <c r="D21" s="365" t="s">
        <v>866</v>
      </c>
      <c r="G21" s="252" t="s">
        <v>446</v>
      </c>
      <c r="H21" s="296" t="s">
        <v>447</v>
      </c>
      <c r="I21" s="296" t="s">
        <v>971</v>
      </c>
      <c r="J21" s="296" t="s">
        <v>446</v>
      </c>
      <c r="K21" s="252">
        <v>0</v>
      </c>
      <c r="O21" s="358" t="s">
        <v>1579</v>
      </c>
      <c r="T21" s="530" t="s">
        <v>2253</v>
      </c>
      <c r="U21" s="523" t="s">
        <v>5384</v>
      </c>
      <c r="V21" s="523" t="s">
        <v>1439</v>
      </c>
      <c r="W21" s="530" t="s">
        <v>2255</v>
      </c>
      <c r="X21" s="522">
        <f>'lead  charge'!J12</f>
        <v>0</v>
      </c>
      <c r="Y21" s="608">
        <v>16106</v>
      </c>
      <c r="Z21" s="710">
        <f>'lead  charge'!K11</f>
        <v>0</v>
      </c>
      <c r="AA21" s="530"/>
      <c r="AB21" s="523">
        <v>0</v>
      </c>
      <c r="AC21" s="523">
        <f t="shared" si="1"/>
        <v>16106</v>
      </c>
      <c r="AD21" s="673" t="s">
        <v>5599</v>
      </c>
      <c r="AE21" s="522">
        <f t="shared" si="2"/>
        <v>766</v>
      </c>
      <c r="AF21" s="362">
        <v>766</v>
      </c>
      <c r="AG21" s="252">
        <f t="shared" si="3"/>
        <v>842.6</v>
      </c>
      <c r="AH21" s="252">
        <f t="shared" si="4"/>
        <v>919.2</v>
      </c>
      <c r="AI21" s="252">
        <f t="shared" si="5"/>
        <v>1149</v>
      </c>
      <c r="AJ21" s="252">
        <f t="shared" si="6"/>
        <v>804.3</v>
      </c>
      <c r="AK21" s="252">
        <f t="shared" si="7"/>
        <v>957.5</v>
      </c>
    </row>
    <row r="22" spans="1:37" ht="18.75" customHeight="1">
      <c r="A22" s="363">
        <f t="shared" si="8"/>
        <v>13</v>
      </c>
      <c r="B22" s="296" t="s">
        <v>4555</v>
      </c>
      <c r="C22" s="252">
        <f t="shared" si="9"/>
        <v>119.85</v>
      </c>
      <c r="D22" s="365" t="s">
        <v>866</v>
      </c>
      <c r="K22" s="358" t="s">
        <v>1579</v>
      </c>
      <c r="M22" s="252">
        <v>1</v>
      </c>
      <c r="N22" s="296" t="s">
        <v>866</v>
      </c>
      <c r="O22" s="296" t="s">
        <v>1993</v>
      </c>
      <c r="P22" s="252">
        <f>C79</f>
        <v>1846.1</v>
      </c>
      <c r="Q22" s="296" t="s">
        <v>866</v>
      </c>
      <c r="R22" s="252">
        <f>(M22*P22)</f>
        <v>1846.1</v>
      </c>
      <c r="T22" s="530" t="s">
        <v>1994</v>
      </c>
      <c r="U22" s="523" t="s">
        <v>5385</v>
      </c>
      <c r="V22" s="523" t="s">
        <v>863</v>
      </c>
      <c r="W22" s="530" t="s">
        <v>2255</v>
      </c>
      <c r="X22" s="522"/>
      <c r="Y22" s="608">
        <v>1348</v>
      </c>
      <c r="Z22" s="710"/>
      <c r="AA22" s="530"/>
      <c r="AB22" s="523">
        <v>0</v>
      </c>
      <c r="AC22" s="523">
        <f t="shared" si="1"/>
        <v>1348</v>
      </c>
      <c r="AD22" s="673" t="s">
        <v>1996</v>
      </c>
      <c r="AE22" s="522">
        <f t="shared" si="2"/>
        <v>738</v>
      </c>
      <c r="AF22" s="362">
        <v>738</v>
      </c>
      <c r="AG22" s="252">
        <f t="shared" si="3"/>
        <v>811.8</v>
      </c>
      <c r="AH22" s="252">
        <f t="shared" si="4"/>
        <v>885.6</v>
      </c>
      <c r="AI22" s="252">
        <f t="shared" si="5"/>
        <v>1107</v>
      </c>
      <c r="AJ22" s="252">
        <f t="shared" si="6"/>
        <v>774.9</v>
      </c>
      <c r="AK22" s="252">
        <f t="shared" si="7"/>
        <v>922.5</v>
      </c>
    </row>
    <row r="23" spans="1:37" ht="18.75" customHeight="1">
      <c r="A23" s="363">
        <f t="shared" si="8"/>
        <v>14</v>
      </c>
      <c r="B23" s="296" t="s">
        <v>282</v>
      </c>
      <c r="C23" s="252">
        <f t="shared" si="9"/>
        <v>236.1</v>
      </c>
      <c r="D23" s="365" t="s">
        <v>866</v>
      </c>
      <c r="H23" s="296" t="s">
        <v>1509</v>
      </c>
      <c r="K23" s="274">
        <f>SUM(K18:K21)</f>
        <v>6310.9</v>
      </c>
      <c r="M23" s="252">
        <v>1</v>
      </c>
      <c r="N23" s="296" t="s">
        <v>866</v>
      </c>
      <c r="O23" s="296" t="s">
        <v>283</v>
      </c>
      <c r="P23" s="252">
        <f>C85</f>
        <v>1170.8</v>
      </c>
      <c r="Q23" s="296" t="s">
        <v>866</v>
      </c>
      <c r="R23" s="252">
        <f>(M23*P23)</f>
        <v>1170.8</v>
      </c>
      <c r="T23" s="530" t="s">
        <v>825</v>
      </c>
      <c r="U23" s="523" t="s">
        <v>4547</v>
      </c>
      <c r="V23" s="523" t="s">
        <v>863</v>
      </c>
      <c r="W23" s="530" t="s">
        <v>5785</v>
      </c>
      <c r="X23" s="522">
        <f>'lead  charge'!P11</f>
        <v>25</v>
      </c>
      <c r="Y23" s="608">
        <v>993</v>
      </c>
      <c r="Z23" s="710">
        <f>'lead  charge'!Q11</f>
        <v>177.8</v>
      </c>
      <c r="AA23" s="530"/>
      <c r="AB23" s="523">
        <v>0</v>
      </c>
      <c r="AC23" s="523">
        <f t="shared" si="1"/>
        <v>1170.8</v>
      </c>
      <c r="AD23" s="673" t="s">
        <v>827</v>
      </c>
      <c r="AE23" s="522">
        <f t="shared" si="2"/>
        <v>769</v>
      </c>
      <c r="AF23" s="362">
        <v>769</v>
      </c>
      <c r="AG23" s="252">
        <f t="shared" si="3"/>
        <v>845.9</v>
      </c>
      <c r="AH23" s="252">
        <f t="shared" si="4"/>
        <v>922.8</v>
      </c>
      <c r="AI23" s="252">
        <f t="shared" si="5"/>
        <v>1153.5</v>
      </c>
      <c r="AJ23" s="252">
        <f t="shared" si="6"/>
        <v>807.45</v>
      </c>
      <c r="AK23" s="252">
        <f t="shared" si="7"/>
        <v>961.25</v>
      </c>
    </row>
    <row r="24" spans="1:37" ht="18.75" customHeight="1">
      <c r="A24" s="363">
        <f t="shared" si="8"/>
        <v>15</v>
      </c>
      <c r="B24" s="296" t="s">
        <v>828</v>
      </c>
      <c r="C24" s="252">
        <f t="shared" si="9"/>
        <v>236.1</v>
      </c>
      <c r="D24" s="365" t="s">
        <v>866</v>
      </c>
      <c r="K24" s="358" t="s">
        <v>1579</v>
      </c>
      <c r="M24" s="252">
        <v>1.5</v>
      </c>
      <c r="N24" s="296" t="s">
        <v>866</v>
      </c>
      <c r="O24" s="296" t="s">
        <v>1784</v>
      </c>
      <c r="P24" s="252">
        <f>C18</f>
        <v>116</v>
      </c>
      <c r="Q24" s="296" t="s">
        <v>866</v>
      </c>
      <c r="R24" s="252">
        <f>(M24*P24)</f>
        <v>174</v>
      </c>
      <c r="T24" s="530" t="s">
        <v>1785</v>
      </c>
      <c r="U24" s="523" t="s">
        <v>4548</v>
      </c>
      <c r="V24" s="523" t="s">
        <v>863</v>
      </c>
      <c r="W24" s="530" t="s">
        <v>1786</v>
      </c>
      <c r="X24" s="522">
        <f>X25</f>
        <v>0</v>
      </c>
      <c r="Y24" s="608">
        <v>34300</v>
      </c>
      <c r="Z24" s="710">
        <f>Z25</f>
        <v>0</v>
      </c>
      <c r="AA24" s="530"/>
      <c r="AB24" s="523">
        <v>0</v>
      </c>
      <c r="AC24" s="523">
        <f t="shared" si="1"/>
        <v>34300</v>
      </c>
      <c r="AD24" s="673" t="s">
        <v>5763</v>
      </c>
      <c r="AE24" s="522">
        <f t="shared" si="2"/>
        <v>116</v>
      </c>
      <c r="AF24" s="362">
        <v>116</v>
      </c>
      <c r="AG24" s="252">
        <f t="shared" si="3"/>
        <v>127.6</v>
      </c>
      <c r="AH24" s="252">
        <f t="shared" si="4"/>
        <v>139.19999999999999</v>
      </c>
      <c r="AI24" s="252">
        <f t="shared" si="5"/>
        <v>174</v>
      </c>
      <c r="AJ24" s="252">
        <f t="shared" si="6"/>
        <v>121.8</v>
      </c>
      <c r="AK24" s="252">
        <f t="shared" si="7"/>
        <v>145</v>
      </c>
    </row>
    <row r="25" spans="1:37" ht="18.75" customHeight="1">
      <c r="A25" s="363">
        <f t="shared" si="8"/>
        <v>16</v>
      </c>
      <c r="B25" s="296" t="s">
        <v>4005</v>
      </c>
      <c r="C25" s="364">
        <f>AE25</f>
        <v>94.2</v>
      </c>
      <c r="D25" s="365" t="s">
        <v>866</v>
      </c>
      <c r="G25" s="252" t="s">
        <v>2241</v>
      </c>
      <c r="H25" s="296" t="s">
        <v>1348</v>
      </c>
      <c r="M25" s="252">
        <v>1.5</v>
      </c>
      <c r="N25" s="296" t="s">
        <v>866</v>
      </c>
      <c r="O25" s="296" t="s">
        <v>1349</v>
      </c>
      <c r="P25" s="252">
        <f>C27</f>
        <v>34.200000000000003</v>
      </c>
      <c r="Q25" s="296" t="s">
        <v>866</v>
      </c>
      <c r="R25" s="252">
        <f>(M25*P25)</f>
        <v>51.3</v>
      </c>
      <c r="T25" s="530" t="s">
        <v>1350</v>
      </c>
      <c r="U25" s="523" t="s">
        <v>1351</v>
      </c>
      <c r="V25" s="523" t="s">
        <v>863</v>
      </c>
      <c r="W25" s="530" t="s">
        <v>1786</v>
      </c>
      <c r="X25" s="522">
        <f>'lead  charge'!P12</f>
        <v>0</v>
      </c>
      <c r="Y25" s="608">
        <v>39400</v>
      </c>
      <c r="Z25" s="710">
        <f>'lead  charge'!Q12</f>
        <v>0</v>
      </c>
      <c r="AA25" s="530"/>
      <c r="AB25" s="523">
        <v>0</v>
      </c>
      <c r="AC25" s="523">
        <f>SUM(Y25+Z25+AA25+AB25)</f>
        <v>39400</v>
      </c>
      <c r="AD25" s="673" t="s">
        <v>5764</v>
      </c>
      <c r="AE25" s="522">
        <f t="shared" si="2"/>
        <v>94.2</v>
      </c>
      <c r="AF25" s="362">
        <v>94.2</v>
      </c>
      <c r="AG25" s="252">
        <f t="shared" si="3"/>
        <v>103.62</v>
      </c>
      <c r="AH25" s="252">
        <f t="shared" si="4"/>
        <v>113.04</v>
      </c>
      <c r="AI25" s="252">
        <f t="shared" si="5"/>
        <v>141.30000000000001</v>
      </c>
      <c r="AJ25" s="252">
        <f t="shared" si="6"/>
        <v>98.91</v>
      </c>
      <c r="AK25" s="252">
        <f t="shared" si="7"/>
        <v>117.75</v>
      </c>
    </row>
    <row r="26" spans="1:37" ht="18.75" customHeight="1">
      <c r="A26" s="363">
        <f t="shared" si="8"/>
        <v>17</v>
      </c>
      <c r="B26" s="296" t="s">
        <v>4006</v>
      </c>
      <c r="C26" s="364">
        <f>AE28</f>
        <v>38.950000000000003</v>
      </c>
      <c r="D26" s="365" t="s">
        <v>2034</v>
      </c>
      <c r="H26" s="358" t="s">
        <v>1579</v>
      </c>
      <c r="N26" s="296" t="s">
        <v>446</v>
      </c>
      <c r="O26" s="296" t="s">
        <v>447</v>
      </c>
      <c r="P26" s="296" t="s">
        <v>971</v>
      </c>
      <c r="Q26" s="296" t="s">
        <v>446</v>
      </c>
      <c r="R26" s="252">
        <v>0</v>
      </c>
      <c r="T26" s="530" t="s">
        <v>2035</v>
      </c>
      <c r="U26" s="523" t="s">
        <v>4549</v>
      </c>
      <c r="V26" s="523" t="s">
        <v>863</v>
      </c>
      <c r="W26" s="530" t="s">
        <v>1786</v>
      </c>
      <c r="X26" s="522">
        <f>X25</f>
        <v>0</v>
      </c>
      <c r="Y26" s="608">
        <v>111600</v>
      </c>
      <c r="Z26" s="710">
        <f>'lead  charge'!Q12</f>
        <v>0</v>
      </c>
      <c r="AA26" s="530"/>
      <c r="AB26" s="523">
        <v>0</v>
      </c>
      <c r="AC26" s="523">
        <f>SUM(Y26+Z26+AA26+AB26)</f>
        <v>111600</v>
      </c>
      <c r="AD26" s="673" t="s">
        <v>4821</v>
      </c>
      <c r="AE26" s="522">
        <f t="shared" si="2"/>
        <v>69.8</v>
      </c>
      <c r="AF26" s="362">
        <v>69.8</v>
      </c>
      <c r="AG26" s="252">
        <f t="shared" si="3"/>
        <v>76.78</v>
      </c>
      <c r="AH26" s="252">
        <f t="shared" si="4"/>
        <v>83.76</v>
      </c>
      <c r="AI26" s="252">
        <f t="shared" si="5"/>
        <v>104.7</v>
      </c>
      <c r="AJ26" s="252">
        <f t="shared" si="6"/>
        <v>73.290000000000006</v>
      </c>
      <c r="AK26" s="252">
        <f t="shared" si="7"/>
        <v>87.25</v>
      </c>
    </row>
    <row r="27" spans="1:37" ht="18.75" customHeight="1">
      <c r="A27" s="363">
        <f t="shared" si="8"/>
        <v>18</v>
      </c>
      <c r="B27" s="296" t="s">
        <v>4007</v>
      </c>
      <c r="C27" s="364">
        <f>AE27</f>
        <v>34.200000000000003</v>
      </c>
      <c r="D27" s="365" t="s">
        <v>2034</v>
      </c>
      <c r="E27" s="366">
        <f>(67+89.5+102.7)/3</f>
        <v>86.4</v>
      </c>
      <c r="F27" s="252">
        <v>0.48</v>
      </c>
      <c r="G27" s="252" t="s">
        <v>858</v>
      </c>
      <c r="H27" s="296" t="s">
        <v>859</v>
      </c>
      <c r="I27" s="252">
        <f>(C67)</f>
        <v>6040</v>
      </c>
      <c r="J27" s="296" t="s">
        <v>858</v>
      </c>
      <c r="K27" s="252">
        <f>(F27*I27)</f>
        <v>2899.2</v>
      </c>
      <c r="R27" s="358" t="s">
        <v>1579</v>
      </c>
      <c r="T27" s="530" t="s">
        <v>1483</v>
      </c>
      <c r="U27" s="523" t="s">
        <v>4550</v>
      </c>
      <c r="V27" s="523" t="s">
        <v>863</v>
      </c>
      <c r="W27" s="530" t="s">
        <v>1786</v>
      </c>
      <c r="X27" s="522">
        <f>X26</f>
        <v>0</v>
      </c>
      <c r="Y27" s="608">
        <v>99400</v>
      </c>
      <c r="Z27" s="710">
        <f>Z26</f>
        <v>0</v>
      </c>
      <c r="AA27" s="530"/>
      <c r="AB27" s="523">
        <v>0</v>
      </c>
      <c r="AC27" s="523">
        <f>SUM(Y27+Z27+AA27+AB27)</f>
        <v>99400</v>
      </c>
      <c r="AD27" s="673" t="s">
        <v>5765</v>
      </c>
      <c r="AE27" s="522">
        <f t="shared" si="2"/>
        <v>34.200000000000003</v>
      </c>
      <c r="AF27" s="362">
        <v>34.200000000000003</v>
      </c>
      <c r="AG27" s="252">
        <f t="shared" si="3"/>
        <v>37.619999999999997</v>
      </c>
      <c r="AH27" s="252">
        <f t="shared" si="4"/>
        <v>41.04</v>
      </c>
      <c r="AI27" s="252">
        <f t="shared" si="5"/>
        <v>51.3</v>
      </c>
      <c r="AJ27" s="252">
        <f t="shared" si="6"/>
        <v>35.909999999999997</v>
      </c>
      <c r="AK27" s="252">
        <f t="shared" si="7"/>
        <v>42.75</v>
      </c>
    </row>
    <row r="28" spans="1:37" ht="18.75" customHeight="1">
      <c r="A28" s="363">
        <f t="shared" si="8"/>
        <v>19</v>
      </c>
      <c r="B28" s="296" t="s">
        <v>4822</v>
      </c>
      <c r="C28" s="366">
        <f>E27</f>
        <v>86.4</v>
      </c>
      <c r="D28" s="365" t="s">
        <v>446</v>
      </c>
      <c r="E28" s="252">
        <v>254.4</v>
      </c>
      <c r="F28" s="252">
        <v>1</v>
      </c>
      <c r="G28" s="252" t="s">
        <v>866</v>
      </c>
      <c r="H28" s="296" t="s">
        <v>867</v>
      </c>
      <c r="I28" s="252">
        <f>(C78)</f>
        <v>1846.1</v>
      </c>
      <c r="J28" s="296" t="s">
        <v>866</v>
      </c>
      <c r="K28" s="252">
        <f>(F28*I28)</f>
        <v>1846.1</v>
      </c>
      <c r="O28" s="296" t="s">
        <v>168</v>
      </c>
      <c r="R28" s="252">
        <f>SUM(R22:R26)</f>
        <v>3242.2</v>
      </c>
      <c r="T28" s="530" t="s">
        <v>882</v>
      </c>
      <c r="U28" s="523" t="s">
        <v>4551</v>
      </c>
      <c r="V28" s="523" t="s">
        <v>863</v>
      </c>
      <c r="W28" s="530" t="s">
        <v>1786</v>
      </c>
      <c r="X28" s="522">
        <f>X27</f>
        <v>0</v>
      </c>
      <c r="Y28" s="608">
        <v>95000</v>
      </c>
      <c r="Z28" s="710">
        <f>Z27</f>
        <v>0</v>
      </c>
      <c r="AA28" s="530"/>
      <c r="AB28" s="523">
        <v>0</v>
      </c>
      <c r="AC28" s="523">
        <f>SUM(Y28+Z28+AA28+AB28)</f>
        <v>95000</v>
      </c>
      <c r="AD28" s="673" t="s">
        <v>4823</v>
      </c>
      <c r="AE28" s="522">
        <f t="shared" si="2"/>
        <v>38.950000000000003</v>
      </c>
      <c r="AF28" s="362">
        <v>38.950000000000003</v>
      </c>
      <c r="AG28" s="252">
        <f t="shared" si="3"/>
        <v>42.85</v>
      </c>
      <c r="AH28" s="252">
        <f t="shared" si="4"/>
        <v>46.74</v>
      </c>
      <c r="AI28" s="252">
        <f t="shared" si="5"/>
        <v>58.43</v>
      </c>
      <c r="AJ28" s="252">
        <f t="shared" si="6"/>
        <v>40.9</v>
      </c>
      <c r="AK28" s="252">
        <f t="shared" si="7"/>
        <v>48.69</v>
      </c>
    </row>
    <row r="29" spans="1:37" ht="18.75" customHeight="1">
      <c r="A29" s="363">
        <f t="shared" si="8"/>
        <v>20</v>
      </c>
      <c r="B29" s="296" t="s">
        <v>4008</v>
      </c>
      <c r="C29" s="364">
        <f>AE23</f>
        <v>769</v>
      </c>
      <c r="D29" s="365" t="s">
        <v>766</v>
      </c>
      <c r="E29" s="252">
        <f>E28/3</f>
        <v>84.8</v>
      </c>
      <c r="F29" s="252">
        <v>1</v>
      </c>
      <c r="G29" s="252" t="s">
        <v>866</v>
      </c>
      <c r="H29" s="296" t="s">
        <v>871</v>
      </c>
      <c r="I29" s="252">
        <f>(C18)</f>
        <v>116</v>
      </c>
      <c r="J29" s="296" t="s">
        <v>866</v>
      </c>
      <c r="K29" s="252">
        <f>(F29*I29)</f>
        <v>116</v>
      </c>
      <c r="R29" s="358" t="s">
        <v>1579</v>
      </c>
      <c r="T29" s="530" t="s">
        <v>767</v>
      </c>
      <c r="U29" s="523" t="s">
        <v>5386</v>
      </c>
      <c r="V29" s="523" t="s">
        <v>1439</v>
      </c>
      <c r="W29" s="530" t="str">
        <f>W18</f>
        <v>Semmandalam</v>
      </c>
      <c r="X29" s="522">
        <f>X18</f>
        <v>2</v>
      </c>
      <c r="Y29" s="608">
        <v>4299</v>
      </c>
      <c r="Z29" s="710">
        <f>'lead  charge'!H10</f>
        <v>19.64</v>
      </c>
      <c r="AA29" s="530"/>
      <c r="AB29" s="523">
        <v>0</v>
      </c>
      <c r="AC29" s="523">
        <f>SUM(Y29+Z29+AA29+AB29)</f>
        <v>4318.6400000000003</v>
      </c>
      <c r="AD29" s="673" t="s">
        <v>4824</v>
      </c>
      <c r="AE29" s="522">
        <f t="shared" si="2"/>
        <v>112.05</v>
      </c>
      <c r="AF29" s="362">
        <v>112.05</v>
      </c>
      <c r="AG29" s="252">
        <f t="shared" si="3"/>
        <v>123.26</v>
      </c>
      <c r="AH29" s="252">
        <f t="shared" si="4"/>
        <v>134.46</v>
      </c>
      <c r="AI29" s="252">
        <f t="shared" si="5"/>
        <v>168.08</v>
      </c>
      <c r="AJ29" s="252">
        <f t="shared" si="6"/>
        <v>117.65</v>
      </c>
      <c r="AK29" s="252">
        <f t="shared" si="7"/>
        <v>140.06</v>
      </c>
    </row>
    <row r="30" spans="1:37" ht="18.75" customHeight="1">
      <c r="A30" s="363">
        <f t="shared" si="8"/>
        <v>21</v>
      </c>
      <c r="B30" s="296" t="s">
        <v>4009</v>
      </c>
      <c r="C30" s="364">
        <f>AE33</f>
        <v>13690</v>
      </c>
      <c r="D30" s="288">
        <f>AE31</f>
        <v>1281</v>
      </c>
      <c r="G30" s="252" t="s">
        <v>446</v>
      </c>
      <c r="H30" s="296" t="s">
        <v>447</v>
      </c>
      <c r="I30" s="296" t="s">
        <v>971</v>
      </c>
      <c r="J30" s="296" t="s">
        <v>446</v>
      </c>
      <c r="K30" s="252">
        <v>0</v>
      </c>
      <c r="O30" s="296" t="s">
        <v>770</v>
      </c>
      <c r="R30" s="252">
        <f>(R28/1.5)</f>
        <v>2161.4699999999998</v>
      </c>
      <c r="T30" s="530" t="s">
        <v>2158</v>
      </c>
      <c r="U30" s="523" t="s">
        <v>4552</v>
      </c>
      <c r="V30" s="523" t="s">
        <v>1439</v>
      </c>
      <c r="W30" s="530" t="s">
        <v>1786</v>
      </c>
      <c r="X30" s="522"/>
      <c r="Y30" s="608">
        <v>11907</v>
      </c>
      <c r="Z30" s="710"/>
      <c r="AA30" s="530"/>
      <c r="AB30" s="523">
        <v>0</v>
      </c>
      <c r="AC30" s="523">
        <f t="shared" si="1"/>
        <v>11907</v>
      </c>
      <c r="AD30" s="673" t="s">
        <v>5766</v>
      </c>
      <c r="AE30" s="522">
        <f t="shared" si="2"/>
        <v>1537</v>
      </c>
      <c r="AF30" s="362">
        <v>1537</v>
      </c>
      <c r="AG30" s="252">
        <f t="shared" si="3"/>
        <v>1690.7</v>
      </c>
      <c r="AH30" s="252">
        <f t="shared" si="4"/>
        <v>1844.4</v>
      </c>
      <c r="AI30" s="252">
        <f t="shared" si="5"/>
        <v>2305.5</v>
      </c>
      <c r="AJ30" s="252">
        <f t="shared" si="6"/>
        <v>1613.85</v>
      </c>
      <c r="AK30" s="252">
        <f t="shared" si="7"/>
        <v>1921.25</v>
      </c>
    </row>
    <row r="31" spans="1:37" ht="18.75" customHeight="1">
      <c r="A31" s="363">
        <f t="shared" si="8"/>
        <v>22</v>
      </c>
      <c r="B31" s="296" t="s">
        <v>4010</v>
      </c>
      <c r="C31" s="364">
        <f>AE30</f>
        <v>1537</v>
      </c>
      <c r="D31" s="288">
        <f>AE32</f>
        <v>1436</v>
      </c>
      <c r="K31" s="358" t="s">
        <v>1579</v>
      </c>
      <c r="O31" s="296" t="s">
        <v>246</v>
      </c>
      <c r="R31" s="358" t="s">
        <v>2046</v>
      </c>
      <c r="T31" s="530" t="s">
        <v>18</v>
      </c>
      <c r="U31" s="523" t="s">
        <v>19</v>
      </c>
      <c r="V31" s="523" t="s">
        <v>858</v>
      </c>
      <c r="W31" s="530" t="s">
        <v>1786</v>
      </c>
      <c r="X31" s="522">
        <f>'lead  charge'!D14</f>
        <v>0</v>
      </c>
      <c r="Y31" s="608">
        <v>6040</v>
      </c>
      <c r="Z31" s="710">
        <f>'lead  charge'!E14</f>
        <v>0</v>
      </c>
      <c r="AA31" s="530"/>
      <c r="AB31" s="523"/>
      <c r="AC31" s="523">
        <f>SUM(Y31+Z31+AA31+AB31)</f>
        <v>6040</v>
      </c>
      <c r="AD31" s="673" t="s">
        <v>5767</v>
      </c>
      <c r="AE31" s="522">
        <f t="shared" si="2"/>
        <v>1281</v>
      </c>
      <c r="AF31" s="362">
        <v>1281</v>
      </c>
      <c r="AG31" s="252">
        <f t="shared" si="3"/>
        <v>1409.1</v>
      </c>
      <c r="AH31" s="252">
        <f t="shared" si="4"/>
        <v>1537.2</v>
      </c>
      <c r="AI31" s="252">
        <f t="shared" si="5"/>
        <v>1921.5</v>
      </c>
      <c r="AJ31" s="252">
        <f t="shared" si="6"/>
        <v>1345.05</v>
      </c>
      <c r="AK31" s="252">
        <f t="shared" si="7"/>
        <v>1601.25</v>
      </c>
    </row>
    <row r="32" spans="1:37" ht="18.75" customHeight="1">
      <c r="A32" s="363">
        <f t="shared" si="8"/>
        <v>23</v>
      </c>
      <c r="B32" s="296" t="s">
        <v>1789</v>
      </c>
      <c r="C32" s="368">
        <v>2.5</v>
      </c>
      <c r="D32" s="364">
        <f>AE34</f>
        <v>1197</v>
      </c>
      <c r="H32" s="296" t="s">
        <v>1509</v>
      </c>
      <c r="K32" s="274">
        <f>SUM(K27:K30)</f>
        <v>4861.3</v>
      </c>
      <c r="T32" s="530" t="s">
        <v>1790</v>
      </c>
      <c r="U32" s="523" t="s">
        <v>1791</v>
      </c>
      <c r="V32" s="523" t="s">
        <v>858</v>
      </c>
      <c r="W32" s="530" t="s">
        <v>2255</v>
      </c>
      <c r="X32" s="522">
        <f>'lead  charge'!D15</f>
        <v>0</v>
      </c>
      <c r="Y32" s="608">
        <v>58000</v>
      </c>
      <c r="Z32" s="710">
        <f>Z31</f>
        <v>0</v>
      </c>
      <c r="AA32" s="530"/>
      <c r="AB32" s="523">
        <v>0</v>
      </c>
      <c r="AC32" s="523">
        <f>SUM(Y32+Z32+AA32+AB32)</f>
        <v>58000</v>
      </c>
      <c r="AD32" s="673" t="s">
        <v>5768</v>
      </c>
      <c r="AE32" s="522">
        <f t="shared" si="2"/>
        <v>1436</v>
      </c>
      <c r="AF32" s="362">
        <v>1436</v>
      </c>
      <c r="AG32" s="252">
        <f t="shared" si="3"/>
        <v>1579.6</v>
      </c>
      <c r="AH32" s="252">
        <f t="shared" si="4"/>
        <v>1723.2</v>
      </c>
      <c r="AI32" s="252">
        <f t="shared" si="5"/>
        <v>2154</v>
      </c>
      <c r="AJ32" s="252">
        <f t="shared" si="6"/>
        <v>1507.8</v>
      </c>
      <c r="AK32" s="252">
        <f t="shared" si="7"/>
        <v>1795</v>
      </c>
    </row>
    <row r="33" spans="1:37" ht="18.75" customHeight="1">
      <c r="A33" s="363">
        <f t="shared" si="8"/>
        <v>24</v>
      </c>
      <c r="B33" s="296" t="s">
        <v>441</v>
      </c>
      <c r="C33" s="368">
        <v>3.64</v>
      </c>
      <c r="D33" s="364">
        <f>AE35</f>
        <v>1072</v>
      </c>
      <c r="K33" s="358" t="s">
        <v>1579</v>
      </c>
      <c r="T33" s="712" t="s">
        <v>442</v>
      </c>
      <c r="U33" s="523" t="s">
        <v>1413</v>
      </c>
      <c r="V33" s="523" t="s">
        <v>858</v>
      </c>
      <c r="W33" s="530" t="s">
        <v>2255</v>
      </c>
      <c r="X33" s="522">
        <f>X32</f>
        <v>0</v>
      </c>
      <c r="Y33" s="608">
        <v>58000</v>
      </c>
      <c r="Z33" s="710">
        <f>Z32</f>
        <v>0</v>
      </c>
      <c r="AA33" s="530"/>
      <c r="AB33" s="523">
        <v>0</v>
      </c>
      <c r="AC33" s="523">
        <f t="shared" si="1"/>
        <v>58000</v>
      </c>
      <c r="AD33" s="673" t="s">
        <v>5769</v>
      </c>
      <c r="AE33" s="522">
        <f t="shared" si="2"/>
        <v>13690</v>
      </c>
      <c r="AF33" s="362">
        <v>13690</v>
      </c>
      <c r="AG33" s="252">
        <f t="shared" si="3"/>
        <v>15059</v>
      </c>
      <c r="AH33" s="252">
        <f t="shared" si="4"/>
        <v>16428</v>
      </c>
      <c r="AI33" s="252">
        <f t="shared" si="5"/>
        <v>20535</v>
      </c>
      <c r="AJ33" s="252">
        <f t="shared" si="6"/>
        <v>14374.5</v>
      </c>
      <c r="AK33" s="252">
        <f t="shared" si="7"/>
        <v>17112.5</v>
      </c>
    </row>
    <row r="34" spans="1:37" ht="18.75" customHeight="1">
      <c r="A34" s="363">
        <f t="shared" si="8"/>
        <v>25</v>
      </c>
      <c r="B34" s="296" t="s">
        <v>5387</v>
      </c>
      <c r="C34" s="362">
        <f>53*1000</f>
        <v>53000</v>
      </c>
      <c r="D34" s="370">
        <f>C34</f>
        <v>53000</v>
      </c>
      <c r="G34" s="252" t="s">
        <v>2241</v>
      </c>
      <c r="H34" s="296" t="s">
        <v>1302</v>
      </c>
      <c r="T34" s="712" t="s">
        <v>1415</v>
      </c>
      <c r="U34" s="523" t="s">
        <v>1416</v>
      </c>
      <c r="V34" s="523" t="s">
        <v>1439</v>
      </c>
      <c r="W34" s="530" t="str">
        <f>W18</f>
        <v>Semmandalam</v>
      </c>
      <c r="X34" s="522">
        <f>X29</f>
        <v>2</v>
      </c>
      <c r="Y34" s="608">
        <f>Y29</f>
        <v>4299</v>
      </c>
      <c r="Z34" s="710">
        <f>Z29</f>
        <v>19.64</v>
      </c>
      <c r="AA34" s="530"/>
      <c r="AB34" s="523">
        <v>0</v>
      </c>
      <c r="AC34" s="523">
        <f t="shared" si="1"/>
        <v>4318.6400000000003</v>
      </c>
      <c r="AD34" s="673" t="s">
        <v>5770</v>
      </c>
      <c r="AE34" s="522">
        <f t="shared" si="2"/>
        <v>1197</v>
      </c>
      <c r="AF34" s="362">
        <v>1197</v>
      </c>
      <c r="AG34" s="252">
        <f t="shared" si="3"/>
        <v>1316.7</v>
      </c>
      <c r="AH34" s="252">
        <f t="shared" si="4"/>
        <v>1436.4</v>
      </c>
      <c r="AI34" s="252">
        <f t="shared" si="5"/>
        <v>1795.5</v>
      </c>
      <c r="AJ34" s="252">
        <f t="shared" si="6"/>
        <v>1256.8499999999999</v>
      </c>
      <c r="AK34" s="252">
        <f t="shared" si="7"/>
        <v>1496.25</v>
      </c>
    </row>
    <row r="35" spans="1:37" ht="18.75" customHeight="1">
      <c r="A35" s="363">
        <f t="shared" si="8"/>
        <v>26</v>
      </c>
      <c r="B35" s="296" t="s">
        <v>207</v>
      </c>
      <c r="C35" s="364">
        <f>AC38</f>
        <v>389</v>
      </c>
      <c r="D35" s="364"/>
      <c r="F35" s="252">
        <v>0.36</v>
      </c>
      <c r="G35" s="252" t="s">
        <v>858</v>
      </c>
      <c r="H35" s="296" t="s">
        <v>859</v>
      </c>
      <c r="I35" s="252">
        <f>C67</f>
        <v>6040</v>
      </c>
      <c r="J35" s="296" t="s">
        <v>858</v>
      </c>
      <c r="K35" s="252">
        <f>(F35*I35)</f>
        <v>2174.4</v>
      </c>
      <c r="T35" s="530" t="s">
        <v>1417</v>
      </c>
      <c r="U35" s="713" t="s">
        <v>5388</v>
      </c>
      <c r="V35" s="713" t="s">
        <v>863</v>
      </c>
      <c r="W35" s="714" t="str">
        <f>W11</f>
        <v>Thiruvakkarai</v>
      </c>
      <c r="X35" s="715">
        <f>X11</f>
        <v>55</v>
      </c>
      <c r="Y35" s="716">
        <v>961</v>
      </c>
      <c r="Z35" s="710">
        <f>Z11</f>
        <v>508.1</v>
      </c>
      <c r="AA35" s="530"/>
      <c r="AB35" s="523"/>
      <c r="AC35" s="523">
        <f t="shared" si="1"/>
        <v>1469.1</v>
      </c>
      <c r="AD35" s="673" t="s">
        <v>5771</v>
      </c>
      <c r="AE35" s="522">
        <f t="shared" si="2"/>
        <v>1072</v>
      </c>
      <c r="AF35" s="362">
        <v>1072</v>
      </c>
      <c r="AG35" s="252">
        <f t="shared" si="3"/>
        <v>1179.2</v>
      </c>
      <c r="AH35" s="252">
        <f t="shared" si="4"/>
        <v>1286.4000000000001</v>
      </c>
      <c r="AI35" s="252">
        <f t="shared" si="5"/>
        <v>1608</v>
      </c>
      <c r="AJ35" s="252">
        <f t="shared" si="6"/>
        <v>1125.5999999999999</v>
      </c>
      <c r="AK35" s="252">
        <f t="shared" si="7"/>
        <v>1340</v>
      </c>
    </row>
    <row r="36" spans="1:37" ht="18.75" customHeight="1">
      <c r="A36" s="364" t="s">
        <v>971</v>
      </c>
      <c r="B36" s="296" t="s">
        <v>4825</v>
      </c>
      <c r="C36" s="252">
        <f>AE59</f>
        <v>10.55</v>
      </c>
      <c r="D36" s="364"/>
      <c r="F36" s="252">
        <v>1</v>
      </c>
      <c r="G36" s="252" t="s">
        <v>866</v>
      </c>
      <c r="H36" s="296" t="s">
        <v>867</v>
      </c>
      <c r="I36" s="252">
        <f>AC16</f>
        <v>1846.1</v>
      </c>
      <c r="J36" s="296" t="s">
        <v>866</v>
      </c>
      <c r="K36" s="252">
        <f>(F36*I36)</f>
        <v>1846.1</v>
      </c>
      <c r="T36" s="530" t="s">
        <v>224</v>
      </c>
      <c r="U36" s="713" t="s">
        <v>395</v>
      </c>
      <c r="V36" s="713" t="s">
        <v>863</v>
      </c>
      <c r="W36" s="714" t="str">
        <f>W12</f>
        <v>Thiruvakkarai</v>
      </c>
      <c r="X36" s="715">
        <f>X11</f>
        <v>55</v>
      </c>
      <c r="Y36" s="716">
        <f>ROUND((1114+1051)/2,2)</f>
        <v>1082.5</v>
      </c>
      <c r="Z36" s="710">
        <f>Z11</f>
        <v>508.1</v>
      </c>
      <c r="AA36" s="530"/>
      <c r="AB36" s="523">
        <v>0</v>
      </c>
      <c r="AC36" s="523">
        <f t="shared" si="1"/>
        <v>1590.6</v>
      </c>
      <c r="AD36" s="673" t="s">
        <v>4826</v>
      </c>
      <c r="AE36" s="522">
        <f t="shared" si="2"/>
        <v>166.9</v>
      </c>
      <c r="AF36" s="362">
        <v>166.9</v>
      </c>
      <c r="AG36" s="252">
        <f t="shared" si="3"/>
        <v>183.59</v>
      </c>
      <c r="AH36" s="252">
        <f t="shared" si="4"/>
        <v>200.28</v>
      </c>
      <c r="AI36" s="252">
        <f t="shared" si="5"/>
        <v>250.35</v>
      </c>
      <c r="AJ36" s="252">
        <f t="shared" si="6"/>
        <v>175.25</v>
      </c>
      <c r="AK36" s="252">
        <f t="shared" si="7"/>
        <v>208.63</v>
      </c>
    </row>
    <row r="37" spans="1:37" ht="18.75" customHeight="1">
      <c r="A37" s="364"/>
      <c r="B37" s="296" t="s">
        <v>4827</v>
      </c>
      <c r="C37" s="252">
        <f>AE60</f>
        <v>55.35</v>
      </c>
      <c r="D37" s="364"/>
      <c r="F37" s="252">
        <v>1</v>
      </c>
      <c r="G37" s="252" t="s">
        <v>866</v>
      </c>
      <c r="H37" s="296" t="s">
        <v>871</v>
      </c>
      <c r="I37" s="252">
        <f>C18</f>
        <v>116</v>
      </c>
      <c r="J37" s="296" t="s">
        <v>866</v>
      </c>
      <c r="K37" s="252">
        <f>(F37*I37)</f>
        <v>116</v>
      </c>
      <c r="T37" s="530" t="s">
        <v>1665</v>
      </c>
      <c r="U37" s="713" t="s">
        <v>413</v>
      </c>
      <c r="V37" s="713" t="s">
        <v>863</v>
      </c>
      <c r="W37" s="714" t="str">
        <f>W13</f>
        <v>Thiruvakkarai</v>
      </c>
      <c r="X37" s="715">
        <f>X36</f>
        <v>55</v>
      </c>
      <c r="Y37" s="716">
        <f>ROUND((665.8+812+1092+1092)/4,2)</f>
        <v>915.45</v>
      </c>
      <c r="Z37" s="710">
        <f>Z11</f>
        <v>508.1</v>
      </c>
      <c r="AA37" s="530"/>
      <c r="AB37" s="523">
        <v>0</v>
      </c>
      <c r="AC37" s="523">
        <f>SUM(Y37+Z37+AA37+AB37)</f>
        <v>1423.55</v>
      </c>
      <c r="AD37" s="673" t="s">
        <v>5772</v>
      </c>
      <c r="AE37" s="522">
        <f t="shared" si="2"/>
        <v>839</v>
      </c>
      <c r="AF37" s="362">
        <v>839</v>
      </c>
      <c r="AG37" s="252">
        <f t="shared" si="3"/>
        <v>922.9</v>
      </c>
      <c r="AH37" s="252">
        <f t="shared" si="4"/>
        <v>1006.8</v>
      </c>
      <c r="AI37" s="252">
        <f t="shared" si="5"/>
        <v>1258.5</v>
      </c>
      <c r="AJ37" s="252">
        <f t="shared" si="6"/>
        <v>880.95</v>
      </c>
      <c r="AK37" s="252">
        <f t="shared" si="7"/>
        <v>1048.75</v>
      </c>
    </row>
    <row r="38" spans="1:37" ht="18.75" customHeight="1">
      <c r="A38" s="363">
        <f>(A35+1)</f>
        <v>27</v>
      </c>
      <c r="B38" s="296" t="s">
        <v>1666</v>
      </c>
      <c r="C38" s="372">
        <v>40</v>
      </c>
      <c r="D38" s="365" t="s">
        <v>865</v>
      </c>
      <c r="G38" s="252" t="s">
        <v>446</v>
      </c>
      <c r="H38" s="296" t="s">
        <v>447</v>
      </c>
      <c r="I38" s="296" t="s">
        <v>971</v>
      </c>
      <c r="J38" s="296" t="s">
        <v>446</v>
      </c>
      <c r="K38" s="252">
        <v>0</v>
      </c>
      <c r="T38" s="530" t="s">
        <v>206</v>
      </c>
      <c r="U38" s="523" t="s">
        <v>5389</v>
      </c>
      <c r="V38" s="523" t="s">
        <v>863</v>
      </c>
      <c r="W38" s="530" t="s">
        <v>2255</v>
      </c>
      <c r="X38" s="522">
        <f>'lead  charge'!D13</f>
        <v>15</v>
      </c>
      <c r="Y38" s="717">
        <v>222.7</v>
      </c>
      <c r="Z38" s="710">
        <f>'lead  charge'!E13</f>
        <v>166.3</v>
      </c>
      <c r="AA38" s="530"/>
      <c r="AB38" s="523">
        <v>0</v>
      </c>
      <c r="AC38" s="523">
        <f>SUM(Y38+Z38+AA38+AB38)</f>
        <v>389</v>
      </c>
      <c r="AD38" s="673" t="s">
        <v>5773</v>
      </c>
      <c r="AE38" s="522">
        <f t="shared" si="2"/>
        <v>866</v>
      </c>
      <c r="AF38" s="362">
        <v>866</v>
      </c>
      <c r="AG38" s="252">
        <f t="shared" si="3"/>
        <v>952.6</v>
      </c>
      <c r="AH38" s="252">
        <f t="shared" si="4"/>
        <v>1039.2</v>
      </c>
      <c r="AI38" s="252">
        <f t="shared" si="5"/>
        <v>1299</v>
      </c>
      <c r="AJ38" s="252">
        <f t="shared" si="6"/>
        <v>909.3</v>
      </c>
      <c r="AK38" s="252">
        <f t="shared" si="7"/>
        <v>1082.5</v>
      </c>
    </row>
    <row r="39" spans="1:37" ht="18.75" customHeight="1">
      <c r="A39" s="363">
        <f t="shared" ref="A39:A58" si="10">(A38+1)</f>
        <v>28</v>
      </c>
      <c r="B39" s="296" t="s">
        <v>208</v>
      </c>
      <c r="C39" s="372">
        <v>41</v>
      </c>
      <c r="D39" s="364">
        <v>500</v>
      </c>
      <c r="K39" s="358" t="s">
        <v>1579</v>
      </c>
      <c r="T39" s="530">
        <v>31</v>
      </c>
      <c r="U39" s="523" t="s">
        <v>5390</v>
      </c>
      <c r="V39" s="523" t="s">
        <v>863</v>
      </c>
      <c r="W39" s="530" t="s">
        <v>2255</v>
      </c>
      <c r="X39" s="522">
        <f>'lead  charge'!D16</f>
        <v>0</v>
      </c>
      <c r="Y39" s="717">
        <v>166.5</v>
      </c>
      <c r="Z39" s="710">
        <f>'lead  charge'!E16</f>
        <v>0</v>
      </c>
      <c r="AA39" s="530"/>
      <c r="AB39" s="523">
        <v>0</v>
      </c>
      <c r="AC39" s="523">
        <f>SUM(Y39+Z39+AA39+AB39)</f>
        <v>166.5</v>
      </c>
      <c r="AD39" s="673" t="s">
        <v>5774</v>
      </c>
      <c r="AE39" s="522">
        <f t="shared" si="2"/>
        <v>74.849999999999994</v>
      </c>
      <c r="AF39" s="362">
        <v>74.849999999999994</v>
      </c>
      <c r="AG39" s="252">
        <f t="shared" si="3"/>
        <v>82.34</v>
      </c>
      <c r="AH39" s="252">
        <f t="shared" si="4"/>
        <v>89.82</v>
      </c>
      <c r="AI39" s="252">
        <f t="shared" si="5"/>
        <v>112.28</v>
      </c>
      <c r="AJ39" s="252">
        <f t="shared" si="6"/>
        <v>78.59</v>
      </c>
      <c r="AK39" s="252">
        <f t="shared" si="7"/>
        <v>93.56</v>
      </c>
    </row>
    <row r="40" spans="1:37" ht="18.75" customHeight="1">
      <c r="A40" s="363">
        <f t="shared" si="10"/>
        <v>29</v>
      </c>
      <c r="B40" s="296" t="s">
        <v>1009</v>
      </c>
      <c r="C40" s="372">
        <v>28</v>
      </c>
      <c r="D40" s="314">
        <v>116.2</v>
      </c>
      <c r="H40" s="296" t="s">
        <v>1509</v>
      </c>
      <c r="K40" s="274">
        <f>SUM(K35:K38)</f>
        <v>4136.5</v>
      </c>
      <c r="T40" s="524"/>
      <c r="U40" s="522"/>
      <c r="V40" s="522"/>
      <c r="W40" s="530" t="s">
        <v>1579</v>
      </c>
      <c r="X40" s="522"/>
      <c r="Y40" s="522"/>
      <c r="Z40" s="710"/>
      <c r="AA40" s="522"/>
      <c r="AB40" s="522"/>
      <c r="AC40" s="522"/>
      <c r="AD40" s="726"/>
      <c r="AE40" s="522">
        <f t="shared" si="2"/>
        <v>0</v>
      </c>
      <c r="AG40" s="252">
        <f t="shared" si="3"/>
        <v>0</v>
      </c>
      <c r="AH40" s="252">
        <f t="shared" si="4"/>
        <v>0</v>
      </c>
      <c r="AI40" s="252">
        <f t="shared" si="5"/>
        <v>0</v>
      </c>
      <c r="AJ40" s="252">
        <f t="shared" si="6"/>
        <v>0</v>
      </c>
      <c r="AK40" s="252">
        <f t="shared" si="7"/>
        <v>0</v>
      </c>
    </row>
    <row r="41" spans="1:37" ht="18.75" customHeight="1">
      <c r="A41" s="363">
        <f t="shared" si="10"/>
        <v>30</v>
      </c>
      <c r="B41" s="296" t="s">
        <v>1761</v>
      </c>
      <c r="C41" s="364">
        <f>AE22</f>
        <v>738</v>
      </c>
      <c r="D41" s="365" t="s">
        <v>766</v>
      </c>
      <c r="K41" s="358" t="s">
        <v>1579</v>
      </c>
      <c r="T41" s="522"/>
      <c r="U41" s="523" t="s">
        <v>5391</v>
      </c>
      <c r="V41" s="523" t="s">
        <v>1439</v>
      </c>
      <c r="W41" s="530"/>
      <c r="X41" s="522">
        <f>'lead  charge'!M10</f>
        <v>25</v>
      </c>
      <c r="Y41" s="608">
        <v>6595</v>
      </c>
      <c r="Z41" s="710">
        <f>'lead  charge'!N10</f>
        <v>364.15</v>
      </c>
      <c r="AA41" s="530">
        <v>0</v>
      </c>
      <c r="AB41" s="523">
        <v>0</v>
      </c>
      <c r="AC41" s="523">
        <f t="shared" ref="AC41:AC47" si="11">SUM(Y41+Z41+AA41+AB41)</f>
        <v>6959.15</v>
      </c>
      <c r="AD41" s="657" t="s">
        <v>4828</v>
      </c>
      <c r="AE41" s="522">
        <f t="shared" si="2"/>
        <v>78.900000000000006</v>
      </c>
      <c r="AF41" s="362">
        <v>78.900000000000006</v>
      </c>
      <c r="AG41" s="252">
        <f t="shared" si="3"/>
        <v>86.79</v>
      </c>
      <c r="AH41" s="252">
        <f t="shared" si="4"/>
        <v>94.68</v>
      </c>
      <c r="AI41" s="252">
        <f t="shared" si="5"/>
        <v>118.35</v>
      </c>
      <c r="AJ41" s="252">
        <f t="shared" si="6"/>
        <v>82.85</v>
      </c>
      <c r="AK41" s="252">
        <f t="shared" si="7"/>
        <v>98.63</v>
      </c>
    </row>
    <row r="42" spans="1:37" ht="18.75" customHeight="1">
      <c r="A42" s="363">
        <f t="shared" si="10"/>
        <v>31</v>
      </c>
      <c r="B42" s="296" t="s">
        <v>1762</v>
      </c>
      <c r="C42" s="372">
        <v>5</v>
      </c>
      <c r="D42" s="374" t="s">
        <v>1763</v>
      </c>
      <c r="G42" s="252" t="s">
        <v>2241</v>
      </c>
      <c r="H42" s="296" t="s">
        <v>1617</v>
      </c>
      <c r="T42" s="522"/>
      <c r="U42" s="523" t="s">
        <v>5392</v>
      </c>
      <c r="V42" s="523" t="s">
        <v>1439</v>
      </c>
      <c r="W42" s="530">
        <f>W41</f>
        <v>0</v>
      </c>
      <c r="X42" s="522">
        <f>X41</f>
        <v>25</v>
      </c>
      <c r="Y42" s="608">
        <v>6795</v>
      </c>
      <c r="Z42" s="710">
        <f>Z41</f>
        <v>364.15</v>
      </c>
      <c r="AA42" s="530">
        <v>0</v>
      </c>
      <c r="AB42" s="523">
        <v>0</v>
      </c>
      <c r="AC42" s="523">
        <f t="shared" si="11"/>
        <v>7159.15</v>
      </c>
      <c r="AD42" s="657" t="s">
        <v>371</v>
      </c>
      <c r="AE42" s="522">
        <f t="shared" si="2"/>
        <v>159.19999999999999</v>
      </c>
      <c r="AF42" s="362">
        <v>159.19999999999999</v>
      </c>
      <c r="AG42" s="252">
        <f t="shared" si="3"/>
        <v>175.12</v>
      </c>
      <c r="AH42" s="252">
        <f t="shared" si="4"/>
        <v>191.04</v>
      </c>
      <c r="AI42" s="252">
        <f t="shared" si="5"/>
        <v>238.8</v>
      </c>
      <c r="AJ42" s="252">
        <f t="shared" si="6"/>
        <v>167.16</v>
      </c>
      <c r="AK42" s="252">
        <f t="shared" si="7"/>
        <v>199</v>
      </c>
    </row>
    <row r="43" spans="1:37" ht="18.75" customHeight="1">
      <c r="A43" s="363">
        <f t="shared" si="10"/>
        <v>32</v>
      </c>
      <c r="B43" s="296" t="s">
        <v>4829</v>
      </c>
      <c r="C43" s="362">
        <v>9.35</v>
      </c>
      <c r="D43" s="374" t="s">
        <v>766</v>
      </c>
      <c r="H43" s="358" t="s">
        <v>1579</v>
      </c>
      <c r="T43" s="522"/>
      <c r="U43" s="523" t="s">
        <v>5600</v>
      </c>
      <c r="V43" s="523" t="s">
        <v>2142</v>
      </c>
      <c r="W43" s="530" t="str">
        <f>W11</f>
        <v>Thiruvakkarai</v>
      </c>
      <c r="X43" s="522">
        <f>'lead  charge'!P13</f>
        <v>55</v>
      </c>
      <c r="Y43" s="608">
        <v>123.7</v>
      </c>
      <c r="Z43" s="710">
        <f>'lead  charge'!Q13</f>
        <v>342.65</v>
      </c>
      <c r="AA43" s="530">
        <v>0</v>
      </c>
      <c r="AB43" s="523">
        <v>0</v>
      </c>
      <c r="AC43" s="523">
        <f t="shared" si="11"/>
        <v>466.35</v>
      </c>
      <c r="AD43" s="657" t="s">
        <v>2252</v>
      </c>
      <c r="AE43" s="522">
        <f t="shared" si="2"/>
        <v>159.19999999999999</v>
      </c>
      <c r="AF43" s="362">
        <f>AF42</f>
        <v>159.19999999999999</v>
      </c>
      <c r="AG43" s="252">
        <f t="shared" si="3"/>
        <v>175.12</v>
      </c>
      <c r="AH43" s="252">
        <f t="shared" si="4"/>
        <v>191.04</v>
      </c>
      <c r="AI43" s="252">
        <f t="shared" si="5"/>
        <v>238.8</v>
      </c>
      <c r="AJ43" s="252">
        <f t="shared" si="6"/>
        <v>167.16</v>
      </c>
      <c r="AK43" s="252">
        <f t="shared" si="7"/>
        <v>199</v>
      </c>
    </row>
    <row r="44" spans="1:37" ht="18.75" customHeight="1">
      <c r="A44" s="363">
        <f t="shared" si="10"/>
        <v>33</v>
      </c>
      <c r="B44" s="296" t="s">
        <v>257</v>
      </c>
      <c r="C44" s="362">
        <v>9.35</v>
      </c>
      <c r="D44" s="374" t="s">
        <v>766</v>
      </c>
      <c r="F44" s="356">
        <v>0.28799999999999998</v>
      </c>
      <c r="G44" s="252" t="s">
        <v>858</v>
      </c>
      <c r="H44" s="296" t="s">
        <v>859</v>
      </c>
      <c r="I44" s="252">
        <f>(C67)</f>
        <v>6040</v>
      </c>
      <c r="J44" s="296" t="s">
        <v>858</v>
      </c>
      <c r="K44" s="252">
        <f>(F44*I44)</f>
        <v>1739.52</v>
      </c>
      <c r="T44" s="522"/>
      <c r="U44" s="523" t="s">
        <v>4553</v>
      </c>
      <c r="V44" s="523" t="s">
        <v>2142</v>
      </c>
      <c r="W44" s="530" t="str">
        <f>W43</f>
        <v>Thiruvakkarai</v>
      </c>
      <c r="X44" s="522">
        <f>X11</f>
        <v>55</v>
      </c>
      <c r="Y44" s="608">
        <f>ROUND((687+1016)/2,2)</f>
        <v>851.5</v>
      </c>
      <c r="Z44" s="710">
        <f>Z11</f>
        <v>508.1</v>
      </c>
      <c r="AA44" s="530">
        <v>0</v>
      </c>
      <c r="AB44" s="523">
        <v>0</v>
      </c>
      <c r="AC44" s="523">
        <f t="shared" si="11"/>
        <v>1359.6</v>
      </c>
      <c r="AD44" s="657" t="s">
        <v>4830</v>
      </c>
      <c r="AE44" s="522">
        <f t="shared" si="2"/>
        <v>119.85</v>
      </c>
      <c r="AF44" s="362">
        <v>119.85</v>
      </c>
      <c r="AG44" s="252">
        <f t="shared" si="3"/>
        <v>131.84</v>
      </c>
      <c r="AH44" s="252">
        <f t="shared" si="4"/>
        <v>143.82</v>
      </c>
      <c r="AI44" s="252">
        <f t="shared" si="5"/>
        <v>179.78</v>
      </c>
      <c r="AJ44" s="252">
        <f t="shared" si="6"/>
        <v>125.84</v>
      </c>
      <c r="AK44" s="252">
        <f t="shared" si="7"/>
        <v>149.81</v>
      </c>
    </row>
    <row r="45" spans="1:37" ht="18.75" customHeight="1">
      <c r="A45" s="363">
        <f t="shared" si="10"/>
        <v>34</v>
      </c>
      <c r="B45" s="296" t="s">
        <v>1903</v>
      </c>
      <c r="C45" s="362">
        <v>11.2</v>
      </c>
      <c r="D45" s="374" t="s">
        <v>766</v>
      </c>
      <c r="F45" s="252">
        <v>1</v>
      </c>
      <c r="G45" s="252" t="s">
        <v>866</v>
      </c>
      <c r="H45" s="296" t="s">
        <v>867</v>
      </c>
      <c r="I45" s="252">
        <f>I36</f>
        <v>1846.1</v>
      </c>
      <c r="J45" s="296" t="s">
        <v>866</v>
      </c>
      <c r="K45" s="252">
        <f>(F45*I45)</f>
        <v>1846.1</v>
      </c>
      <c r="T45" s="522"/>
      <c r="U45" s="523" t="s">
        <v>5601</v>
      </c>
      <c r="V45" s="522"/>
      <c r="W45" s="530" t="s">
        <v>5785</v>
      </c>
      <c r="X45" s="522">
        <f>'lead  charge'!M10</f>
        <v>25</v>
      </c>
      <c r="Y45" s="608">
        <v>6595</v>
      </c>
      <c r="Z45" s="710">
        <f>Z41</f>
        <v>364.15</v>
      </c>
      <c r="AA45" s="522"/>
      <c r="AB45" s="522"/>
      <c r="AC45" s="523">
        <f t="shared" si="11"/>
        <v>6959.15</v>
      </c>
      <c r="AD45" s="657" t="s">
        <v>282</v>
      </c>
      <c r="AE45" s="522">
        <f t="shared" si="2"/>
        <v>236.1</v>
      </c>
      <c r="AF45" s="362">
        <v>236.1</v>
      </c>
      <c r="AG45" s="252">
        <f t="shared" si="3"/>
        <v>259.70999999999998</v>
      </c>
      <c r="AH45" s="252">
        <f t="shared" si="4"/>
        <v>283.32</v>
      </c>
      <c r="AI45" s="252">
        <f t="shared" si="5"/>
        <v>354.15</v>
      </c>
      <c r="AJ45" s="252">
        <f t="shared" si="6"/>
        <v>247.91</v>
      </c>
      <c r="AK45" s="252">
        <f t="shared" si="7"/>
        <v>295.13</v>
      </c>
    </row>
    <row r="46" spans="1:37" ht="18.75" customHeight="1">
      <c r="A46" s="363">
        <f t="shared" si="10"/>
        <v>35</v>
      </c>
      <c r="B46" s="296" t="s">
        <v>76</v>
      </c>
      <c r="C46" s="362">
        <v>13.55</v>
      </c>
      <c r="D46" s="374" t="s">
        <v>766</v>
      </c>
      <c r="F46" s="252">
        <v>1</v>
      </c>
      <c r="G46" s="252" t="s">
        <v>866</v>
      </c>
      <c r="H46" s="296" t="s">
        <v>871</v>
      </c>
      <c r="I46" s="252">
        <f>(C18)</f>
        <v>116</v>
      </c>
      <c r="J46" s="296" t="s">
        <v>866</v>
      </c>
      <c r="K46" s="252">
        <f>(F46*I46)</f>
        <v>116</v>
      </c>
      <c r="T46" s="522"/>
      <c r="U46" s="523" t="s">
        <v>4545</v>
      </c>
      <c r="V46" s="523" t="s">
        <v>863</v>
      </c>
      <c r="W46" s="530" t="str">
        <f>W17</f>
        <v>Thiruvakkarai</v>
      </c>
      <c r="X46" s="522">
        <f>'lead  charge'!D11</f>
        <v>55</v>
      </c>
      <c r="Y46" s="711">
        <v>1338</v>
      </c>
      <c r="Z46" s="710">
        <f>'lead  charge'!E11</f>
        <v>508.1</v>
      </c>
      <c r="AA46" s="530"/>
      <c r="AB46" s="523">
        <v>0</v>
      </c>
      <c r="AC46" s="523">
        <f t="shared" si="11"/>
        <v>1846.1</v>
      </c>
      <c r="AD46" s="657" t="s">
        <v>828</v>
      </c>
      <c r="AE46" s="522">
        <f t="shared" si="2"/>
        <v>236.1</v>
      </c>
      <c r="AF46" s="362">
        <f>AF45</f>
        <v>236.1</v>
      </c>
      <c r="AG46" s="252">
        <f t="shared" si="3"/>
        <v>259.70999999999998</v>
      </c>
      <c r="AH46" s="252">
        <f t="shared" si="4"/>
        <v>283.32</v>
      </c>
      <c r="AI46" s="252">
        <f t="shared" si="5"/>
        <v>354.15</v>
      </c>
      <c r="AJ46" s="252">
        <f t="shared" si="6"/>
        <v>247.91</v>
      </c>
      <c r="AK46" s="252">
        <f t="shared" si="7"/>
        <v>295.13</v>
      </c>
    </row>
    <row r="47" spans="1:37" ht="18.75" customHeight="1">
      <c r="A47" s="363">
        <f t="shared" si="10"/>
        <v>36</v>
      </c>
      <c r="B47" s="296" t="s">
        <v>78</v>
      </c>
      <c r="C47" s="362">
        <v>18.3</v>
      </c>
      <c r="D47" s="374" t="s">
        <v>766</v>
      </c>
      <c r="G47" s="252" t="s">
        <v>446</v>
      </c>
      <c r="H47" s="296" t="s">
        <v>447</v>
      </c>
      <c r="I47" s="296" t="s">
        <v>971</v>
      </c>
      <c r="J47" s="296" t="s">
        <v>446</v>
      </c>
      <c r="K47" s="252">
        <v>0</v>
      </c>
      <c r="N47" s="296" t="s">
        <v>2241</v>
      </c>
      <c r="O47" s="296" t="s">
        <v>1250</v>
      </c>
      <c r="T47" s="522"/>
      <c r="U47" s="523" t="s">
        <v>4330</v>
      </c>
      <c r="V47" s="523" t="s">
        <v>863</v>
      </c>
      <c r="W47" s="530" t="str">
        <f>W46</f>
        <v>Thiruvakkarai</v>
      </c>
      <c r="X47" s="522">
        <f>X46</f>
        <v>55</v>
      </c>
      <c r="Y47" s="711">
        <f>Y46</f>
        <v>1338</v>
      </c>
      <c r="Z47" s="710">
        <f>Z46</f>
        <v>508.1</v>
      </c>
      <c r="AA47" s="530"/>
      <c r="AB47" s="523">
        <v>0</v>
      </c>
      <c r="AC47" s="523">
        <f t="shared" si="11"/>
        <v>1846.1</v>
      </c>
      <c r="AD47" s="673"/>
      <c r="AE47" s="522">
        <f t="shared" si="2"/>
        <v>0</v>
      </c>
      <c r="AG47" s="252">
        <f t="shared" si="3"/>
        <v>0</v>
      </c>
      <c r="AH47" s="252">
        <f t="shared" si="4"/>
        <v>0</v>
      </c>
      <c r="AI47" s="252">
        <f t="shared" si="5"/>
        <v>0</v>
      </c>
      <c r="AJ47" s="252">
        <f t="shared" si="6"/>
        <v>0</v>
      </c>
      <c r="AK47" s="252">
        <f t="shared" si="7"/>
        <v>0</v>
      </c>
    </row>
    <row r="48" spans="1:37" ht="18.75" customHeight="1">
      <c r="A48" s="363">
        <f t="shared" si="10"/>
        <v>37</v>
      </c>
      <c r="B48" s="296" t="s">
        <v>1251</v>
      </c>
      <c r="C48" s="362">
        <v>23.5</v>
      </c>
      <c r="D48" s="362">
        <v>47.35</v>
      </c>
      <c r="K48" s="358" t="s">
        <v>1579</v>
      </c>
      <c r="O48" s="296" t="s">
        <v>640</v>
      </c>
      <c r="T48" s="524" t="s">
        <v>1579</v>
      </c>
      <c r="U48" s="524" t="s">
        <v>1579</v>
      </c>
      <c r="V48" s="524" t="s">
        <v>1579</v>
      </c>
      <c r="W48" s="524" t="s">
        <v>1579</v>
      </c>
      <c r="X48" s="524" t="s">
        <v>1579</v>
      </c>
      <c r="Y48" s="524" t="s">
        <v>1579</v>
      </c>
      <c r="Z48" s="524" t="s">
        <v>1579</v>
      </c>
      <c r="AA48" s="524" t="s">
        <v>1579</v>
      </c>
      <c r="AB48" s="524" t="s">
        <v>1579</v>
      </c>
      <c r="AC48" s="524" t="s">
        <v>1579</v>
      </c>
      <c r="AD48" s="727" t="s">
        <v>1579</v>
      </c>
      <c r="AE48" s="522" t="str">
        <f t="shared" si="2"/>
        <v>-</v>
      </c>
      <c r="AF48" s="358" t="s">
        <v>1579</v>
      </c>
      <c r="AG48" s="252">
        <f t="shared" si="3"/>
        <v>0</v>
      </c>
      <c r="AH48" s="252">
        <f t="shared" si="4"/>
        <v>0</v>
      </c>
      <c r="AI48" s="252">
        <f t="shared" si="5"/>
        <v>0</v>
      </c>
      <c r="AJ48" s="252">
        <f t="shared" si="6"/>
        <v>0</v>
      </c>
      <c r="AK48" s="252">
        <f t="shared" si="7"/>
        <v>0</v>
      </c>
    </row>
    <row r="49" spans="1:45" ht="18.75" customHeight="1">
      <c r="A49" s="363">
        <f t="shared" si="10"/>
        <v>38</v>
      </c>
      <c r="B49" s="296" t="s">
        <v>1698</v>
      </c>
      <c r="C49" s="362">
        <v>25.5</v>
      </c>
      <c r="D49" s="362">
        <v>33.200000000000003</v>
      </c>
      <c r="H49" s="296" t="s">
        <v>1509</v>
      </c>
      <c r="K49" s="274">
        <f>SUM(K44:K47)</f>
        <v>3701.62</v>
      </c>
      <c r="O49" s="358" t="s">
        <v>1579</v>
      </c>
      <c r="T49" s="522"/>
      <c r="U49" s="522"/>
      <c r="V49" s="522"/>
      <c r="W49" s="530"/>
      <c r="X49" s="522"/>
      <c r="Y49" s="522"/>
      <c r="Z49" s="710"/>
      <c r="AA49" s="522"/>
      <c r="AB49" s="522"/>
      <c r="AC49" s="522"/>
      <c r="AD49" s="657" t="s">
        <v>4831</v>
      </c>
      <c r="AE49" s="522">
        <f t="shared" si="2"/>
        <v>4.2</v>
      </c>
      <c r="AF49" s="362">
        <v>4.2</v>
      </c>
      <c r="AG49" s="252">
        <f t="shared" si="3"/>
        <v>4.62</v>
      </c>
      <c r="AH49" s="252">
        <f t="shared" si="4"/>
        <v>5.04</v>
      </c>
      <c r="AI49" s="252">
        <f t="shared" si="5"/>
        <v>6.3</v>
      </c>
      <c r="AJ49" s="252">
        <f t="shared" si="6"/>
        <v>4.41</v>
      </c>
      <c r="AK49" s="252">
        <f t="shared" si="7"/>
        <v>5.25</v>
      </c>
    </row>
    <row r="50" spans="1:45" ht="18.75" customHeight="1">
      <c r="A50" s="363">
        <f t="shared" si="10"/>
        <v>39</v>
      </c>
      <c r="B50" s="296" t="s">
        <v>4011</v>
      </c>
      <c r="C50" s="362">
        <v>13.35</v>
      </c>
      <c r="D50" s="374" t="s">
        <v>766</v>
      </c>
      <c r="K50" s="358" t="s">
        <v>1579</v>
      </c>
      <c r="M50" s="252">
        <v>9</v>
      </c>
      <c r="N50" s="296" t="s">
        <v>866</v>
      </c>
      <c r="O50" s="296" t="s">
        <v>640</v>
      </c>
      <c r="P50" s="252">
        <f>(C81)</f>
        <v>720.98</v>
      </c>
      <c r="Q50" s="296" t="s">
        <v>866</v>
      </c>
      <c r="R50" s="252">
        <f>(M50*P50)</f>
        <v>6488.82</v>
      </c>
      <c r="T50" s="522"/>
      <c r="U50" s="522" t="s">
        <v>5776</v>
      </c>
      <c r="V50" s="522"/>
      <c r="W50" s="530"/>
      <c r="X50" s="522"/>
      <c r="Y50" s="522"/>
      <c r="Z50" s="710"/>
      <c r="AA50" s="522"/>
      <c r="AB50" s="522"/>
      <c r="AC50" s="522"/>
      <c r="AD50" s="657" t="s">
        <v>5393</v>
      </c>
      <c r="AE50" s="522">
        <f t="shared" si="2"/>
        <v>5.25</v>
      </c>
      <c r="AF50" s="362">
        <v>5.25</v>
      </c>
      <c r="AG50" s="252">
        <f t="shared" si="3"/>
        <v>5.78</v>
      </c>
      <c r="AH50" s="252">
        <f t="shared" si="4"/>
        <v>6.3</v>
      </c>
      <c r="AI50" s="252">
        <f t="shared" si="5"/>
        <v>7.88</v>
      </c>
      <c r="AJ50" s="252">
        <f t="shared" si="6"/>
        <v>5.51</v>
      </c>
      <c r="AK50" s="252">
        <f t="shared" si="7"/>
        <v>6.56</v>
      </c>
    </row>
    <row r="51" spans="1:45" ht="18.75" customHeight="1">
      <c r="A51" s="363">
        <f t="shared" si="10"/>
        <v>40</v>
      </c>
      <c r="B51" s="296" t="s">
        <v>1622</v>
      </c>
      <c r="C51" s="362">
        <v>13.5</v>
      </c>
      <c r="D51" s="374" t="s">
        <v>766</v>
      </c>
      <c r="G51" s="252" t="s">
        <v>2241</v>
      </c>
      <c r="H51" s="296" t="s">
        <v>1623</v>
      </c>
      <c r="M51" s="252">
        <v>4.5</v>
      </c>
      <c r="N51" s="296" t="s">
        <v>866</v>
      </c>
      <c r="O51" s="296" t="s">
        <v>1624</v>
      </c>
      <c r="P51" s="252">
        <f>(K77)</f>
        <v>3049.3</v>
      </c>
      <c r="Q51" s="296" t="s">
        <v>866</v>
      </c>
      <c r="R51" s="252">
        <f>(M51*P51)</f>
        <v>13721.85</v>
      </c>
      <c r="T51" s="522"/>
      <c r="U51" s="522"/>
      <c r="V51" s="522"/>
      <c r="W51" s="530"/>
      <c r="X51" s="522"/>
      <c r="Y51" s="522"/>
      <c r="Z51" s="710"/>
      <c r="AA51" s="522"/>
      <c r="AB51" s="522"/>
      <c r="AC51" s="522"/>
      <c r="AD51" s="657" t="s">
        <v>4832</v>
      </c>
      <c r="AE51" s="522">
        <f t="shared" si="2"/>
        <v>0</v>
      </c>
      <c r="AF51" s="362"/>
      <c r="AG51" s="252">
        <f t="shared" si="3"/>
        <v>0</v>
      </c>
      <c r="AH51" s="252">
        <f t="shared" si="4"/>
        <v>0</v>
      </c>
      <c r="AI51" s="252">
        <f t="shared" si="5"/>
        <v>0</v>
      </c>
      <c r="AJ51" s="252">
        <f t="shared" si="6"/>
        <v>0</v>
      </c>
      <c r="AK51" s="252">
        <f t="shared" si="7"/>
        <v>0</v>
      </c>
    </row>
    <row r="52" spans="1:45" ht="18.75" customHeight="1">
      <c r="A52" s="363">
        <f t="shared" si="10"/>
        <v>41</v>
      </c>
      <c r="B52" s="296" t="s">
        <v>1703</v>
      </c>
      <c r="C52" s="362">
        <v>28.05</v>
      </c>
      <c r="D52" s="374" t="s">
        <v>766</v>
      </c>
      <c r="H52" s="358" t="s">
        <v>1579</v>
      </c>
      <c r="M52" s="252">
        <v>1.8</v>
      </c>
      <c r="N52" s="296" t="s">
        <v>865</v>
      </c>
      <c r="O52" s="296" t="s">
        <v>1704</v>
      </c>
      <c r="P52" s="252">
        <f>(C11)</f>
        <v>932</v>
      </c>
      <c r="Q52" s="296" t="s">
        <v>865</v>
      </c>
      <c r="R52" s="252">
        <f>(M52*P52)</f>
        <v>1677.6</v>
      </c>
      <c r="T52" s="522"/>
      <c r="U52" s="522"/>
      <c r="V52" s="522"/>
      <c r="W52" s="530"/>
      <c r="X52" s="522"/>
      <c r="Y52" s="522"/>
      <c r="Z52" s="710"/>
      <c r="AA52" s="522"/>
      <c r="AB52" s="522"/>
      <c r="AC52" s="522"/>
      <c r="AD52" s="657" t="s">
        <v>5394</v>
      </c>
      <c r="AE52" s="522">
        <f t="shared" si="2"/>
        <v>214.1</v>
      </c>
      <c r="AF52" s="362">
        <v>214.1</v>
      </c>
      <c r="AG52" s="252">
        <f t="shared" si="3"/>
        <v>235.51</v>
      </c>
      <c r="AH52" s="252">
        <f t="shared" si="4"/>
        <v>256.92</v>
      </c>
      <c r="AI52" s="252">
        <f t="shared" si="5"/>
        <v>321.14999999999998</v>
      </c>
      <c r="AJ52" s="252">
        <f t="shared" si="6"/>
        <v>224.81</v>
      </c>
      <c r="AK52" s="252">
        <f t="shared" si="7"/>
        <v>267.63</v>
      </c>
    </row>
    <row r="53" spans="1:45" ht="18.75" customHeight="1">
      <c r="A53" s="363">
        <f t="shared" si="10"/>
        <v>42</v>
      </c>
      <c r="B53" s="296" t="s">
        <v>1892</v>
      </c>
      <c r="C53" s="362">
        <v>37.85</v>
      </c>
      <c r="D53" s="362">
        <v>95.55</v>
      </c>
      <c r="F53" s="252">
        <v>0.24</v>
      </c>
      <c r="G53" s="252" t="s">
        <v>858</v>
      </c>
      <c r="H53" s="296" t="s">
        <v>859</v>
      </c>
      <c r="I53" s="252">
        <f>(C67)</f>
        <v>6040</v>
      </c>
      <c r="J53" s="296" t="s">
        <v>858</v>
      </c>
      <c r="K53" s="252">
        <f>(F53*I53)</f>
        <v>1449.6</v>
      </c>
      <c r="M53" s="252">
        <v>17.7</v>
      </c>
      <c r="N53" s="296" t="s">
        <v>865</v>
      </c>
      <c r="O53" s="296" t="s">
        <v>1893</v>
      </c>
      <c r="P53" s="252">
        <f>(C12)</f>
        <v>651</v>
      </c>
      <c r="Q53" s="296" t="s">
        <v>865</v>
      </c>
      <c r="R53" s="252">
        <f>(M53*P53)</f>
        <v>11522.7</v>
      </c>
      <c r="T53" s="522"/>
      <c r="U53" s="522"/>
      <c r="V53" s="522"/>
      <c r="W53" s="530"/>
      <c r="X53" s="522"/>
      <c r="Y53" s="522"/>
      <c r="Z53" s="710"/>
      <c r="AA53" s="522"/>
      <c r="AB53" s="522"/>
      <c r="AC53" s="522"/>
      <c r="AD53" s="657" t="s">
        <v>5395</v>
      </c>
      <c r="AE53" s="522">
        <f t="shared" si="2"/>
        <v>330.2</v>
      </c>
      <c r="AF53" s="362">
        <v>330.2</v>
      </c>
      <c r="AG53" s="252">
        <f t="shared" si="3"/>
        <v>363.22</v>
      </c>
      <c r="AH53" s="252">
        <f t="shared" si="4"/>
        <v>396.24</v>
      </c>
      <c r="AI53" s="252">
        <f t="shared" si="5"/>
        <v>495.3</v>
      </c>
      <c r="AJ53" s="252">
        <f t="shared" si="6"/>
        <v>346.71</v>
      </c>
      <c r="AK53" s="252">
        <f t="shared" si="7"/>
        <v>412.75</v>
      </c>
    </row>
    <row r="54" spans="1:45" ht="18.75" customHeight="1">
      <c r="A54" s="363">
        <f t="shared" si="10"/>
        <v>43</v>
      </c>
      <c r="B54" s="296" t="s">
        <v>316</v>
      </c>
      <c r="C54" s="362">
        <v>42.65</v>
      </c>
      <c r="D54" s="362">
        <v>72.150000000000006</v>
      </c>
      <c r="F54" s="252">
        <v>1</v>
      </c>
      <c r="G54" s="252" t="s">
        <v>866</v>
      </c>
      <c r="H54" s="296" t="s">
        <v>867</v>
      </c>
      <c r="I54" s="252">
        <f>(C78)</f>
        <v>1846.1</v>
      </c>
      <c r="J54" s="296" t="s">
        <v>866</v>
      </c>
      <c r="K54" s="252">
        <f>(F54*I54)</f>
        <v>1846.1</v>
      </c>
      <c r="M54" s="252">
        <v>14.1</v>
      </c>
      <c r="N54" s="296" t="s">
        <v>865</v>
      </c>
      <c r="O54" s="296" t="s">
        <v>317</v>
      </c>
      <c r="P54" s="252">
        <f>(C13)</f>
        <v>534</v>
      </c>
      <c r="Q54" s="296" t="s">
        <v>865</v>
      </c>
      <c r="R54" s="252">
        <f>(M54*P54)</f>
        <v>7529.4</v>
      </c>
      <c r="T54" s="522"/>
      <c r="U54" s="522"/>
      <c r="V54" s="522"/>
      <c r="W54" s="530"/>
      <c r="X54" s="522"/>
      <c r="Y54" s="522"/>
      <c r="Z54" s="710"/>
      <c r="AA54" s="522"/>
      <c r="AB54" s="522"/>
      <c r="AC54" s="522"/>
      <c r="AD54" s="657" t="s">
        <v>5396</v>
      </c>
      <c r="AE54" s="522">
        <f t="shared" si="2"/>
        <v>9.1</v>
      </c>
      <c r="AF54" s="362">
        <v>9.1</v>
      </c>
      <c r="AG54" s="252">
        <f t="shared" si="3"/>
        <v>10.01</v>
      </c>
      <c r="AH54" s="252">
        <f t="shared" si="4"/>
        <v>10.92</v>
      </c>
      <c r="AI54" s="252">
        <f t="shared" si="5"/>
        <v>13.65</v>
      </c>
      <c r="AJ54" s="252">
        <f t="shared" si="6"/>
        <v>9.56</v>
      </c>
      <c r="AK54" s="252">
        <f t="shared" si="7"/>
        <v>11.38</v>
      </c>
    </row>
    <row r="55" spans="1:45" ht="18.75" customHeight="1">
      <c r="A55" s="363">
        <f t="shared" si="10"/>
        <v>44</v>
      </c>
      <c r="B55" s="296" t="s">
        <v>319</v>
      </c>
      <c r="C55" s="362">
        <v>47.35</v>
      </c>
      <c r="D55" s="362">
        <v>57.25</v>
      </c>
      <c r="F55" s="252">
        <v>1</v>
      </c>
      <c r="G55" s="252" t="s">
        <v>866</v>
      </c>
      <c r="H55" s="296" t="s">
        <v>871</v>
      </c>
      <c r="I55" s="252">
        <f>(C18)</f>
        <v>116</v>
      </c>
      <c r="J55" s="296" t="s">
        <v>866</v>
      </c>
      <c r="K55" s="252">
        <f>(F55*I55)</f>
        <v>116</v>
      </c>
      <c r="N55" s="296" t="s">
        <v>446</v>
      </c>
      <c r="O55" s="296" t="s">
        <v>447</v>
      </c>
      <c r="Q55" s="296" t="s">
        <v>446</v>
      </c>
      <c r="R55" s="252">
        <v>0</v>
      </c>
      <c r="T55" s="522"/>
      <c r="U55" s="522"/>
      <c r="V55" s="522"/>
      <c r="W55" s="530"/>
      <c r="X55" s="522"/>
      <c r="Y55" s="522"/>
      <c r="Z55" s="710"/>
      <c r="AA55" s="522"/>
      <c r="AB55" s="522"/>
      <c r="AC55" s="522"/>
      <c r="AD55" s="657" t="s">
        <v>5397</v>
      </c>
      <c r="AE55" s="522">
        <f t="shared" si="2"/>
        <v>9.85</v>
      </c>
      <c r="AF55" s="362">
        <v>9.85</v>
      </c>
      <c r="AG55" s="252">
        <f t="shared" si="3"/>
        <v>10.84</v>
      </c>
      <c r="AH55" s="252">
        <f t="shared" si="4"/>
        <v>11.82</v>
      </c>
      <c r="AI55" s="252">
        <f t="shared" si="5"/>
        <v>14.78</v>
      </c>
      <c r="AJ55" s="252">
        <f t="shared" si="6"/>
        <v>10.34</v>
      </c>
      <c r="AK55" s="252">
        <f t="shared" si="7"/>
        <v>12.31</v>
      </c>
    </row>
    <row r="56" spans="1:45" ht="18.75" customHeight="1">
      <c r="A56" s="363">
        <f t="shared" si="10"/>
        <v>45</v>
      </c>
      <c r="B56" s="296" t="s">
        <v>320</v>
      </c>
      <c r="C56" s="314">
        <v>12.1</v>
      </c>
      <c r="D56" s="365" t="s">
        <v>446</v>
      </c>
      <c r="G56" s="252" t="s">
        <v>446</v>
      </c>
      <c r="H56" s="296" t="s">
        <v>447</v>
      </c>
      <c r="I56" s="296" t="s">
        <v>971</v>
      </c>
      <c r="J56" s="296" t="s">
        <v>446</v>
      </c>
      <c r="K56" s="252">
        <v>0</v>
      </c>
      <c r="R56" s="358" t="s">
        <v>1579</v>
      </c>
      <c r="T56" s="522"/>
      <c r="U56" s="721" t="s">
        <v>1654</v>
      </c>
      <c r="V56" s="722" t="s">
        <v>5787</v>
      </c>
      <c r="W56" s="722"/>
      <c r="X56" s="723"/>
      <c r="Y56" s="724" t="s">
        <v>5788</v>
      </c>
      <c r="Z56" s="522"/>
      <c r="AA56" s="522"/>
      <c r="AB56" s="522"/>
      <c r="AC56" s="522"/>
      <c r="AD56" s="657" t="s">
        <v>5398</v>
      </c>
      <c r="AE56" s="522">
        <f t="shared" si="2"/>
        <v>10.199999999999999</v>
      </c>
      <c r="AF56" s="362">
        <v>10.199999999999999</v>
      </c>
      <c r="AG56" s="252">
        <f t="shared" si="3"/>
        <v>11.22</v>
      </c>
      <c r="AH56" s="252">
        <f t="shared" si="4"/>
        <v>12.24</v>
      </c>
      <c r="AI56" s="252">
        <f t="shared" si="5"/>
        <v>15.3</v>
      </c>
      <c r="AJ56" s="252">
        <f t="shared" si="6"/>
        <v>10.71</v>
      </c>
      <c r="AK56" s="252">
        <f t="shared" si="7"/>
        <v>12.75</v>
      </c>
    </row>
    <row r="57" spans="1:45" ht="18.75" customHeight="1">
      <c r="A57" s="363">
        <f t="shared" si="10"/>
        <v>46</v>
      </c>
      <c r="B57" s="296" t="s">
        <v>4833</v>
      </c>
      <c r="C57" s="362">
        <f>228.6/8</f>
        <v>28.58</v>
      </c>
      <c r="D57" s="365" t="s">
        <v>446</v>
      </c>
      <c r="K57" s="358" t="s">
        <v>1579</v>
      </c>
      <c r="O57" s="296" t="s">
        <v>611</v>
      </c>
      <c r="R57" s="252">
        <f>SUM(R50:R55)</f>
        <v>40940.370000000003</v>
      </c>
      <c r="T57" s="522"/>
      <c r="U57" s="522"/>
      <c r="V57" s="522"/>
      <c r="W57" s="530"/>
      <c r="X57" s="522"/>
      <c r="Y57" s="522"/>
      <c r="Z57" s="522"/>
      <c r="AA57" s="522"/>
      <c r="AB57" s="522"/>
      <c r="AC57" s="522"/>
      <c r="AD57" s="657" t="s">
        <v>5602</v>
      </c>
      <c r="AE57" s="522">
        <f t="shared" si="2"/>
        <v>1547</v>
      </c>
      <c r="AF57" s="362">
        <v>1547</v>
      </c>
      <c r="AG57" s="252">
        <f t="shared" si="3"/>
        <v>1701.7</v>
      </c>
      <c r="AH57" s="252">
        <f t="shared" si="4"/>
        <v>1856.4</v>
      </c>
      <c r="AI57" s="252">
        <f t="shared" si="5"/>
        <v>2320.5</v>
      </c>
      <c r="AJ57" s="252">
        <f t="shared" si="6"/>
        <v>1624.35</v>
      </c>
      <c r="AK57" s="252">
        <f t="shared" si="7"/>
        <v>1933.75</v>
      </c>
    </row>
    <row r="58" spans="1:45" ht="18.75" customHeight="1">
      <c r="A58" s="363">
        <f t="shared" si="10"/>
        <v>47</v>
      </c>
      <c r="B58" s="296" t="s">
        <v>5399</v>
      </c>
      <c r="C58" s="362">
        <v>11.9</v>
      </c>
      <c r="D58" s="365" t="s">
        <v>5400</v>
      </c>
      <c r="H58" s="296" t="s">
        <v>1509</v>
      </c>
      <c r="K58" s="274">
        <f>SUM(K53:K56)</f>
        <v>3411.7</v>
      </c>
      <c r="R58" s="358" t="s">
        <v>1579</v>
      </c>
      <c r="T58" s="522"/>
      <c r="U58" s="522"/>
      <c r="V58" s="522"/>
      <c r="W58" s="530"/>
      <c r="X58" s="522"/>
      <c r="Y58" s="522"/>
      <c r="Z58" s="522"/>
      <c r="AA58" s="522"/>
      <c r="AB58" s="522"/>
      <c r="AC58" s="522"/>
      <c r="AD58" s="673" t="s">
        <v>5775</v>
      </c>
      <c r="AE58" s="522">
        <f t="shared" si="2"/>
        <v>1436</v>
      </c>
      <c r="AF58" s="362">
        <v>1436</v>
      </c>
      <c r="AG58" s="252">
        <f t="shared" si="3"/>
        <v>1579.6</v>
      </c>
      <c r="AH58" s="252">
        <f t="shared" si="4"/>
        <v>1723.2</v>
      </c>
      <c r="AI58" s="252">
        <f t="shared" si="5"/>
        <v>2154</v>
      </c>
      <c r="AJ58" s="252">
        <f t="shared" si="6"/>
        <v>1507.8</v>
      </c>
      <c r="AK58" s="252">
        <f t="shared" si="7"/>
        <v>1795</v>
      </c>
    </row>
    <row r="59" spans="1:45" ht="18.75" customHeight="1">
      <c r="A59" s="364"/>
      <c r="C59" s="364"/>
      <c r="D59" s="364"/>
      <c r="F59" s="296" t="s">
        <v>971</v>
      </c>
      <c r="T59" s="522"/>
      <c r="U59" s="522"/>
      <c r="V59" s="522"/>
      <c r="W59" s="530"/>
      <c r="X59" s="522"/>
      <c r="Y59" s="522"/>
      <c r="Z59" s="522"/>
      <c r="AA59" s="522"/>
      <c r="AB59" s="522"/>
      <c r="AC59" s="522"/>
      <c r="AD59" s="673" t="s">
        <v>4825</v>
      </c>
      <c r="AE59" s="522">
        <f t="shared" si="2"/>
        <v>10.55</v>
      </c>
      <c r="AF59" s="370">
        <v>10.55</v>
      </c>
      <c r="AG59" s="252">
        <f t="shared" si="3"/>
        <v>11.61</v>
      </c>
      <c r="AH59" s="252">
        <f t="shared" si="4"/>
        <v>12.66</v>
      </c>
      <c r="AI59" s="252">
        <f t="shared" si="5"/>
        <v>15.83</v>
      </c>
      <c r="AJ59" s="252">
        <f t="shared" si="6"/>
        <v>11.08</v>
      </c>
      <c r="AK59" s="252">
        <f t="shared" si="7"/>
        <v>13.19</v>
      </c>
      <c r="AP59" s="274" t="s">
        <v>4328</v>
      </c>
    </row>
    <row r="60" spans="1:45" ht="18.75" customHeight="1">
      <c r="A60" s="363">
        <f>(A58+1)</f>
        <v>48</v>
      </c>
      <c r="B60" s="296" t="s">
        <v>4834</v>
      </c>
      <c r="C60" s="362">
        <v>32</v>
      </c>
      <c r="D60" s="296" t="s">
        <v>2068</v>
      </c>
      <c r="K60" s="358" t="s">
        <v>1579</v>
      </c>
      <c r="O60" s="296" t="s">
        <v>770</v>
      </c>
      <c r="R60" s="252">
        <f>(R57/10)</f>
        <v>4094.04</v>
      </c>
      <c r="T60" s="522"/>
      <c r="U60" s="522"/>
      <c r="V60" s="522"/>
      <c r="W60" s="530"/>
      <c r="X60" s="522"/>
      <c r="Y60" s="522"/>
      <c r="Z60" s="522"/>
      <c r="AA60" s="522"/>
      <c r="AB60" s="522"/>
      <c r="AC60" s="522"/>
      <c r="AD60" s="673" t="s">
        <v>4827</v>
      </c>
      <c r="AE60" s="522">
        <f t="shared" si="2"/>
        <v>55.35</v>
      </c>
      <c r="AF60" s="370">
        <v>55.35</v>
      </c>
      <c r="AG60" s="252">
        <f t="shared" si="3"/>
        <v>60.89</v>
      </c>
      <c r="AH60" s="252">
        <f t="shared" si="4"/>
        <v>66.42</v>
      </c>
      <c r="AI60" s="252">
        <f t="shared" si="5"/>
        <v>83.03</v>
      </c>
      <c r="AJ60" s="252">
        <f t="shared" si="6"/>
        <v>58.12</v>
      </c>
      <c r="AK60" s="252">
        <f t="shared" si="7"/>
        <v>69.19</v>
      </c>
      <c r="AN60" s="375">
        <v>6.5</v>
      </c>
      <c r="AO60" s="252" t="s">
        <v>2241</v>
      </c>
      <c r="AP60" s="296" t="s">
        <v>3734</v>
      </c>
      <c r="AR60" s="296"/>
    </row>
    <row r="61" spans="1:45" ht="18.75" customHeight="1">
      <c r="A61" s="363">
        <f t="shared" ref="A61:A91" si="12">(A60+1)</f>
        <v>49</v>
      </c>
      <c r="B61" s="296" t="s">
        <v>4835</v>
      </c>
      <c r="C61" s="252">
        <f>AE29</f>
        <v>112.05</v>
      </c>
      <c r="D61" s="252">
        <f>AE36</f>
        <v>166.9</v>
      </c>
      <c r="G61" s="252" t="s">
        <v>2241</v>
      </c>
      <c r="H61" s="296" t="s">
        <v>2070</v>
      </c>
      <c r="R61" s="358" t="s">
        <v>2046</v>
      </c>
      <c r="T61" s="522"/>
      <c r="U61" s="522"/>
      <c r="V61" s="522"/>
      <c r="W61" s="530"/>
      <c r="X61" s="522"/>
      <c r="Y61" s="522"/>
      <c r="Z61" s="522"/>
      <c r="AA61" s="522"/>
      <c r="AB61" s="522"/>
      <c r="AC61" s="522"/>
      <c r="AD61" s="726"/>
      <c r="AE61" s="522">
        <f t="shared" si="2"/>
        <v>0</v>
      </c>
      <c r="AG61" s="252">
        <f t="shared" si="3"/>
        <v>0</v>
      </c>
      <c r="AH61" s="252">
        <f t="shared" si="4"/>
        <v>0</v>
      </c>
      <c r="AI61" s="252">
        <f t="shared" si="5"/>
        <v>0</v>
      </c>
      <c r="AJ61" s="252">
        <f t="shared" si="6"/>
        <v>0</v>
      </c>
      <c r="AK61" s="252">
        <f t="shared" si="7"/>
        <v>0</v>
      </c>
      <c r="AP61" s="296" t="s">
        <v>3735</v>
      </c>
      <c r="AR61" s="296"/>
    </row>
    <row r="62" spans="1:45" ht="18.75" customHeight="1">
      <c r="A62" s="363">
        <f t="shared" si="12"/>
        <v>50</v>
      </c>
      <c r="B62" s="296" t="s">
        <v>4836</v>
      </c>
      <c r="C62" s="362">
        <v>708</v>
      </c>
      <c r="D62" s="296" t="s">
        <v>865</v>
      </c>
      <c r="H62" s="358" t="s">
        <v>1579</v>
      </c>
      <c r="N62" s="296" t="s">
        <v>2241</v>
      </c>
      <c r="O62" s="296" t="s">
        <v>1352</v>
      </c>
      <c r="T62" s="522"/>
      <c r="U62" s="522"/>
      <c r="V62" s="522"/>
      <c r="W62" s="530"/>
      <c r="X62" s="522"/>
      <c r="Y62" s="522"/>
      <c r="Z62" s="522"/>
      <c r="AA62" s="522"/>
      <c r="AB62" s="522"/>
      <c r="AC62" s="522"/>
      <c r="AD62" s="728" t="s">
        <v>5515</v>
      </c>
      <c r="AE62" s="522">
        <f t="shared" si="2"/>
        <v>6380</v>
      </c>
      <c r="AF62" s="252">
        <v>6380</v>
      </c>
      <c r="AG62" s="252">
        <f t="shared" si="3"/>
        <v>7018</v>
      </c>
      <c r="AH62" s="252">
        <f t="shared" si="4"/>
        <v>7656</v>
      </c>
      <c r="AI62" s="252">
        <f t="shared" si="5"/>
        <v>9570</v>
      </c>
      <c r="AJ62" s="252">
        <f t="shared" si="6"/>
        <v>6699</v>
      </c>
      <c r="AK62" s="252">
        <f t="shared" si="7"/>
        <v>7975</v>
      </c>
      <c r="AP62" s="358" t="s">
        <v>1579</v>
      </c>
      <c r="AR62" s="296"/>
    </row>
    <row r="63" spans="1:45" ht="18.75" customHeight="1">
      <c r="A63" s="363">
        <f t="shared" si="12"/>
        <v>51</v>
      </c>
      <c r="B63" s="376" t="s">
        <v>2036</v>
      </c>
      <c r="C63" s="314">
        <v>42</v>
      </c>
      <c r="D63" s="296" t="s">
        <v>446</v>
      </c>
      <c r="F63" s="356">
        <v>0.20599999999999999</v>
      </c>
      <c r="G63" s="252" t="s">
        <v>858</v>
      </c>
      <c r="H63" s="296" t="s">
        <v>859</v>
      </c>
      <c r="I63" s="252">
        <f>(C67)</f>
        <v>6040</v>
      </c>
      <c r="J63" s="296" t="s">
        <v>858</v>
      </c>
      <c r="K63" s="252">
        <f>(F63*I63)</f>
        <v>1244.24</v>
      </c>
      <c r="O63" s="296" t="s">
        <v>1480</v>
      </c>
      <c r="T63" s="522"/>
      <c r="U63" s="522"/>
      <c r="V63" s="522"/>
      <c r="W63" s="530"/>
      <c r="X63" s="522"/>
      <c r="Y63" s="522"/>
      <c r="Z63" s="522"/>
      <c r="AA63" s="522"/>
      <c r="AB63" s="718"/>
      <c r="AC63" s="522"/>
      <c r="AD63" s="725" t="s">
        <v>5516</v>
      </c>
      <c r="AE63" s="522">
        <f t="shared" si="2"/>
        <v>11.45</v>
      </c>
      <c r="AF63" s="252">
        <v>11.45</v>
      </c>
      <c r="AG63" s="252">
        <f t="shared" si="3"/>
        <v>12.6</v>
      </c>
      <c r="AH63" s="252">
        <f t="shared" si="4"/>
        <v>13.74</v>
      </c>
      <c r="AI63" s="252">
        <f t="shared" si="5"/>
        <v>17.18</v>
      </c>
      <c r="AJ63" s="252">
        <f t="shared" si="6"/>
        <v>12.02</v>
      </c>
      <c r="AK63" s="252">
        <f t="shared" si="7"/>
        <v>14.31</v>
      </c>
      <c r="AN63" s="252">
        <v>1300</v>
      </c>
      <c r="AO63" s="252" t="s">
        <v>1420</v>
      </c>
      <c r="AP63" s="252" t="str">
        <f>AP61</f>
        <v>Bricks of size 23x11x7 cm</v>
      </c>
      <c r="AQ63" s="252">
        <f>AC45</f>
        <v>6959.15</v>
      </c>
      <c r="AR63" s="296" t="s">
        <v>1587</v>
      </c>
      <c r="AS63" s="252">
        <f>(AN63*AQ63)/1000</f>
        <v>9046.9</v>
      </c>
    </row>
    <row r="64" spans="1:45" ht="18.75" customHeight="1">
      <c r="A64" s="363">
        <f t="shared" si="12"/>
        <v>52</v>
      </c>
      <c r="B64" s="296" t="s">
        <v>4837</v>
      </c>
      <c r="C64" s="362">
        <v>280.60000000000002</v>
      </c>
      <c r="D64" s="296" t="s">
        <v>866</v>
      </c>
      <c r="F64" s="252">
        <v>1</v>
      </c>
      <c r="G64" s="252" t="s">
        <v>866</v>
      </c>
      <c r="H64" s="296" t="s">
        <v>867</v>
      </c>
      <c r="I64" s="252">
        <f>(C78)</f>
        <v>1846.1</v>
      </c>
      <c r="J64" s="296" t="s">
        <v>866</v>
      </c>
      <c r="K64" s="252">
        <f>(F64*I64)</f>
        <v>1846.1</v>
      </c>
      <c r="O64" s="358" t="s">
        <v>1579</v>
      </c>
      <c r="T64" s="522"/>
      <c r="U64" s="522"/>
      <c r="V64" s="522"/>
      <c r="W64" s="530"/>
      <c r="X64" s="522"/>
      <c r="Y64" s="522"/>
      <c r="Z64" s="522"/>
      <c r="AA64" s="522"/>
      <c r="AB64" s="522"/>
      <c r="AC64" s="522"/>
      <c r="AD64" s="725" t="s">
        <v>5517</v>
      </c>
      <c r="AE64" s="522">
        <f t="shared" si="2"/>
        <v>44.25</v>
      </c>
      <c r="AF64" s="362">
        <v>44.25</v>
      </c>
      <c r="AG64" s="252">
        <f t="shared" si="3"/>
        <v>48.68</v>
      </c>
      <c r="AH64" s="252">
        <f t="shared" si="4"/>
        <v>53.1</v>
      </c>
      <c r="AI64" s="252">
        <f t="shared" si="5"/>
        <v>66.38</v>
      </c>
      <c r="AJ64" s="252">
        <f t="shared" si="6"/>
        <v>46.46</v>
      </c>
      <c r="AK64" s="252">
        <f t="shared" si="7"/>
        <v>55.31</v>
      </c>
      <c r="AN64" s="356">
        <v>0.70799999999999996</v>
      </c>
      <c r="AO64" s="252" t="s">
        <v>866</v>
      </c>
      <c r="AP64" s="296" t="s">
        <v>1617</v>
      </c>
      <c r="AQ64" s="252">
        <f>K49</f>
        <v>3701.62</v>
      </c>
      <c r="AR64" s="296" t="s">
        <v>866</v>
      </c>
      <c r="AS64" s="252">
        <f>(AN64*AQ64)</f>
        <v>2620.75</v>
      </c>
    </row>
    <row r="65" spans="1:45" s="288" customFormat="1" ht="18.75" customHeight="1">
      <c r="A65" s="379">
        <f t="shared" si="12"/>
        <v>53</v>
      </c>
      <c r="B65" s="371" t="s">
        <v>5401</v>
      </c>
      <c r="C65" s="380">
        <v>391.1</v>
      </c>
      <c r="D65" s="371" t="s">
        <v>1354</v>
      </c>
      <c r="F65" s="288">
        <v>1</v>
      </c>
      <c r="G65" s="288" t="s">
        <v>866</v>
      </c>
      <c r="H65" s="371" t="s">
        <v>871</v>
      </c>
      <c r="I65" s="288">
        <f>(C18)</f>
        <v>116</v>
      </c>
      <c r="J65" s="371" t="s">
        <v>866</v>
      </c>
      <c r="K65" s="288">
        <f>(F65*I65)</f>
        <v>116</v>
      </c>
      <c r="M65" s="288">
        <v>9</v>
      </c>
      <c r="N65" s="371" t="s">
        <v>866</v>
      </c>
      <c r="O65" s="371" t="s">
        <v>1480</v>
      </c>
      <c r="P65" s="288">
        <f>(C73)</f>
        <v>1997.1</v>
      </c>
      <c r="Q65" s="371" t="s">
        <v>866</v>
      </c>
      <c r="R65" s="288">
        <f>(M65*P65)</f>
        <v>17973.900000000001</v>
      </c>
      <c r="S65" s="381"/>
      <c r="U65" s="288" t="s">
        <v>5402</v>
      </c>
      <c r="W65" s="382"/>
      <c r="AE65" s="252">
        <f t="shared" si="2"/>
        <v>0</v>
      </c>
      <c r="AG65" s="252">
        <f t="shared" si="3"/>
        <v>0</v>
      </c>
      <c r="AH65" s="252">
        <f t="shared" si="4"/>
        <v>0</v>
      </c>
      <c r="AI65" s="252">
        <f t="shared" si="5"/>
        <v>0</v>
      </c>
      <c r="AJ65" s="252">
        <f t="shared" si="6"/>
        <v>0</v>
      </c>
      <c r="AK65" s="252">
        <f t="shared" si="7"/>
        <v>0</v>
      </c>
      <c r="AN65" s="288">
        <v>1</v>
      </c>
      <c r="AO65" s="288" t="s">
        <v>865</v>
      </c>
      <c r="AP65" s="371" t="s">
        <v>2000</v>
      </c>
      <c r="AQ65" s="288">
        <f>V313</f>
        <v>999</v>
      </c>
      <c r="AR65" s="371" t="s">
        <v>865</v>
      </c>
      <c r="AS65" s="288">
        <f>(AN65*AQ65)</f>
        <v>999</v>
      </c>
    </row>
    <row r="66" spans="1:45" ht="18.75" customHeight="1">
      <c r="A66" s="363">
        <f t="shared" si="12"/>
        <v>54</v>
      </c>
      <c r="B66" s="296" t="s">
        <v>1487</v>
      </c>
      <c r="C66" s="252">
        <f>AE18</f>
        <v>856</v>
      </c>
      <c r="D66" s="296" t="s">
        <v>865</v>
      </c>
      <c r="G66" s="252" t="s">
        <v>446</v>
      </c>
      <c r="H66" s="296" t="s">
        <v>447</v>
      </c>
      <c r="I66" s="296" t="s">
        <v>971</v>
      </c>
      <c r="J66" s="296" t="s">
        <v>446</v>
      </c>
      <c r="K66" s="252">
        <v>0</v>
      </c>
      <c r="M66" s="252">
        <v>4.5</v>
      </c>
      <c r="N66" s="296" t="s">
        <v>866</v>
      </c>
      <c r="O66" s="296" t="s">
        <v>119</v>
      </c>
      <c r="P66" s="252">
        <f>(K23)</f>
        <v>6310.9</v>
      </c>
      <c r="Q66" s="296" t="s">
        <v>866</v>
      </c>
      <c r="R66" s="252">
        <f>(M66*P66)</f>
        <v>28399.05</v>
      </c>
      <c r="U66" s="252" t="s">
        <v>5403</v>
      </c>
      <c r="V66" s="252" t="s">
        <v>2186</v>
      </c>
      <c r="W66" s="383">
        <v>195.7</v>
      </c>
      <c r="AE66" s="252">
        <f t="shared" si="2"/>
        <v>0</v>
      </c>
      <c r="AG66" s="252">
        <f t="shared" si="3"/>
        <v>0</v>
      </c>
      <c r="AH66" s="252">
        <f t="shared" si="4"/>
        <v>0</v>
      </c>
      <c r="AI66" s="252">
        <f t="shared" si="5"/>
        <v>0</v>
      </c>
      <c r="AJ66" s="252">
        <f t="shared" si="6"/>
        <v>0</v>
      </c>
      <c r="AK66" s="252">
        <f t="shared" si="7"/>
        <v>0</v>
      </c>
      <c r="AN66" s="252">
        <v>3</v>
      </c>
      <c r="AO66" s="252" t="s">
        <v>865</v>
      </c>
      <c r="AP66" s="296" t="s">
        <v>1704</v>
      </c>
      <c r="AQ66" s="252">
        <f>V314</f>
        <v>932</v>
      </c>
      <c r="AR66" s="296" t="s">
        <v>865</v>
      </c>
      <c r="AS66" s="252">
        <f>(AN66*AQ66)</f>
        <v>2796</v>
      </c>
    </row>
    <row r="67" spans="1:45" ht="18.75" customHeight="1">
      <c r="A67" s="363">
        <f t="shared" si="12"/>
        <v>55</v>
      </c>
      <c r="B67" s="296" t="s">
        <v>859</v>
      </c>
      <c r="C67" s="252">
        <f>AC31</f>
        <v>6040</v>
      </c>
      <c r="D67" s="296" t="s">
        <v>858</v>
      </c>
      <c r="K67" s="358" t="s">
        <v>1579</v>
      </c>
      <c r="M67" s="252">
        <v>1.8</v>
      </c>
      <c r="N67" s="296" t="s">
        <v>865</v>
      </c>
      <c r="O67" s="296" t="s">
        <v>1704</v>
      </c>
      <c r="P67" s="252">
        <f>(C11)</f>
        <v>932</v>
      </c>
      <c r="Q67" s="296" t="s">
        <v>865</v>
      </c>
      <c r="R67" s="252">
        <f>(M67*P67)</f>
        <v>1677.6</v>
      </c>
      <c r="U67" s="252" t="s">
        <v>5404</v>
      </c>
      <c r="V67" s="252" t="s">
        <v>2186</v>
      </c>
      <c r="W67" s="383">
        <v>370.25</v>
      </c>
      <c r="AD67" s="378" t="s">
        <v>5611</v>
      </c>
      <c r="AE67" s="252">
        <f t="shared" si="2"/>
        <v>36.950000000000003</v>
      </c>
      <c r="AF67" s="274">
        <v>36.950000000000003</v>
      </c>
      <c r="AG67" s="252">
        <f t="shared" si="3"/>
        <v>40.65</v>
      </c>
      <c r="AH67" s="252">
        <f t="shared" si="4"/>
        <v>44.34</v>
      </c>
      <c r="AI67" s="252">
        <f>AE67*1.5</f>
        <v>55.43</v>
      </c>
      <c r="AJ67" s="252">
        <f>AE67*1.05</f>
        <v>38.799999999999997</v>
      </c>
      <c r="AK67" s="252">
        <f>AE67*1.25</f>
        <v>46.19</v>
      </c>
      <c r="AN67" s="252">
        <v>2</v>
      </c>
      <c r="AO67" s="252" t="s">
        <v>865</v>
      </c>
      <c r="AP67" s="296" t="s">
        <v>1893</v>
      </c>
      <c r="AQ67" s="252">
        <f>V315</f>
        <v>651</v>
      </c>
      <c r="AR67" s="296" t="s">
        <v>865</v>
      </c>
      <c r="AS67" s="252">
        <f>(AN67*AQ67)</f>
        <v>1302</v>
      </c>
    </row>
    <row r="68" spans="1:45" ht="18.75" customHeight="1">
      <c r="A68" s="363">
        <f t="shared" si="12"/>
        <v>56</v>
      </c>
      <c r="B68" s="296" t="s">
        <v>1488</v>
      </c>
      <c r="C68" s="252">
        <f t="shared" ref="C68:C74" si="13">AC9</f>
        <v>957.5</v>
      </c>
      <c r="D68" s="296" t="s">
        <v>866</v>
      </c>
      <c r="H68" s="296" t="s">
        <v>1509</v>
      </c>
      <c r="K68" s="274">
        <f>SUM(K63:K66)</f>
        <v>3206.34</v>
      </c>
      <c r="M68" s="252">
        <v>17.7</v>
      </c>
      <c r="N68" s="296" t="s">
        <v>865</v>
      </c>
      <c r="O68" s="296" t="s">
        <v>1893</v>
      </c>
      <c r="P68" s="252">
        <f>(C12)</f>
        <v>651</v>
      </c>
      <c r="Q68" s="296" t="s">
        <v>865</v>
      </c>
      <c r="R68" s="252">
        <f>(M68*P68)</f>
        <v>11522.7</v>
      </c>
      <c r="U68" s="252" t="s">
        <v>5405</v>
      </c>
      <c r="W68" s="253"/>
      <c r="AE68" s="252">
        <f t="shared" si="2"/>
        <v>0</v>
      </c>
      <c r="AG68" s="252">
        <f t="shared" si="3"/>
        <v>0</v>
      </c>
      <c r="AH68" s="252">
        <f t="shared" si="4"/>
        <v>0</v>
      </c>
      <c r="AI68" s="252">
        <f t="shared" si="5"/>
        <v>0</v>
      </c>
      <c r="AJ68" s="252">
        <f t="shared" si="6"/>
        <v>0</v>
      </c>
      <c r="AK68" s="252">
        <f t="shared" si="7"/>
        <v>0</v>
      </c>
      <c r="AN68" s="252">
        <v>6</v>
      </c>
      <c r="AO68" s="252" t="s">
        <v>865</v>
      </c>
      <c r="AP68" s="296" t="s">
        <v>317</v>
      </c>
      <c r="AQ68" s="252">
        <f>V316</f>
        <v>534</v>
      </c>
      <c r="AR68" s="296" t="s">
        <v>865</v>
      </c>
      <c r="AS68" s="252">
        <f>(AN68*AQ68)</f>
        <v>3204</v>
      </c>
    </row>
    <row r="69" spans="1:45" ht="18.75" customHeight="1">
      <c r="A69" s="363">
        <f t="shared" si="12"/>
        <v>57</v>
      </c>
      <c r="B69" s="296" t="s">
        <v>869</v>
      </c>
      <c r="C69" s="252">
        <f t="shared" si="13"/>
        <v>1156.5</v>
      </c>
      <c r="D69" s="296" t="s">
        <v>866</v>
      </c>
      <c r="K69" s="358" t="s">
        <v>1579</v>
      </c>
      <c r="M69" s="252">
        <v>14.1</v>
      </c>
      <c r="N69" s="296" t="s">
        <v>865</v>
      </c>
      <c r="O69" s="296" t="s">
        <v>317</v>
      </c>
      <c r="P69" s="252">
        <f>(C13)</f>
        <v>534</v>
      </c>
      <c r="Q69" s="296" t="s">
        <v>865</v>
      </c>
      <c r="R69" s="252">
        <f>(M69*P69)</f>
        <v>7529.4</v>
      </c>
      <c r="U69" s="252" t="s">
        <v>5406</v>
      </c>
      <c r="V69" s="252" t="s">
        <v>1393</v>
      </c>
      <c r="W69" s="383">
        <v>9180</v>
      </c>
      <c r="AE69" s="252">
        <f t="shared" si="2"/>
        <v>0</v>
      </c>
      <c r="AG69" s="252">
        <f t="shared" si="3"/>
        <v>0</v>
      </c>
      <c r="AH69" s="252">
        <f t="shared" si="4"/>
        <v>0</v>
      </c>
      <c r="AI69" s="252">
        <f t="shared" si="5"/>
        <v>0</v>
      </c>
      <c r="AJ69" s="252">
        <f t="shared" si="6"/>
        <v>0</v>
      </c>
      <c r="AK69" s="252">
        <f t="shared" si="7"/>
        <v>0</v>
      </c>
      <c r="AO69" s="252" t="s">
        <v>446</v>
      </c>
      <c r="AP69" s="296" t="s">
        <v>447</v>
      </c>
      <c r="AR69" s="296" t="s">
        <v>446</v>
      </c>
      <c r="AS69" s="252">
        <v>5</v>
      </c>
    </row>
    <row r="70" spans="1:45" ht="18.75" customHeight="1">
      <c r="A70" s="363">
        <f t="shared" si="12"/>
        <v>58</v>
      </c>
      <c r="B70" s="296" t="s">
        <v>1489</v>
      </c>
      <c r="C70" s="252">
        <f t="shared" si="13"/>
        <v>1281.77</v>
      </c>
      <c r="D70" s="296" t="s">
        <v>866</v>
      </c>
      <c r="G70" s="252" t="s">
        <v>2241</v>
      </c>
      <c r="H70" s="296" t="s">
        <v>1624</v>
      </c>
      <c r="N70" s="296" t="s">
        <v>446</v>
      </c>
      <c r="O70" s="296" t="s">
        <v>447</v>
      </c>
      <c r="Q70" s="296" t="s">
        <v>446</v>
      </c>
      <c r="R70" s="252">
        <v>0</v>
      </c>
      <c r="U70" s="252" t="s">
        <v>5407</v>
      </c>
      <c r="V70" s="252" t="s">
        <v>1393</v>
      </c>
      <c r="W70" s="383">
        <v>7140</v>
      </c>
      <c r="AE70" s="252">
        <f t="shared" si="2"/>
        <v>0</v>
      </c>
      <c r="AG70" s="252">
        <f t="shared" si="3"/>
        <v>0</v>
      </c>
      <c r="AH70" s="252">
        <f t="shared" si="4"/>
        <v>0</v>
      </c>
      <c r="AI70" s="252">
        <f t="shared" si="5"/>
        <v>0</v>
      </c>
      <c r="AJ70" s="252">
        <f t="shared" si="6"/>
        <v>0</v>
      </c>
      <c r="AK70" s="252">
        <f t="shared" si="7"/>
        <v>0</v>
      </c>
      <c r="AR70" s="296"/>
      <c r="AS70" s="358" t="s">
        <v>1579</v>
      </c>
    </row>
    <row r="71" spans="1:45" ht="18.75" customHeight="1">
      <c r="A71" s="363">
        <f t="shared" si="12"/>
        <v>59</v>
      </c>
      <c r="B71" s="296" t="s">
        <v>1490</v>
      </c>
      <c r="C71" s="252">
        <f t="shared" si="13"/>
        <v>1524.1</v>
      </c>
      <c r="D71" s="296" t="s">
        <v>866</v>
      </c>
      <c r="H71" s="358" t="s">
        <v>1579</v>
      </c>
      <c r="R71" s="358" t="s">
        <v>1579</v>
      </c>
      <c r="U71" s="252" t="s">
        <v>5408</v>
      </c>
      <c r="V71" s="252" t="s">
        <v>5409</v>
      </c>
      <c r="W71" s="383">
        <v>8106</v>
      </c>
      <c r="AE71" s="252">
        <f t="shared" si="2"/>
        <v>0</v>
      </c>
      <c r="AG71" s="252">
        <f t="shared" si="3"/>
        <v>0</v>
      </c>
      <c r="AH71" s="252">
        <f t="shared" si="4"/>
        <v>0</v>
      </c>
      <c r="AI71" s="252">
        <f t="shared" si="5"/>
        <v>0</v>
      </c>
      <c r="AJ71" s="252">
        <f t="shared" si="6"/>
        <v>0</v>
      </c>
      <c r="AK71" s="252">
        <f t="shared" si="7"/>
        <v>0</v>
      </c>
      <c r="AP71" s="296" t="s">
        <v>3736</v>
      </c>
      <c r="AR71" s="296"/>
      <c r="AS71" s="252">
        <f>SUM(AS63:AS69)</f>
        <v>19973.650000000001</v>
      </c>
    </row>
    <row r="72" spans="1:45" ht="18.75" customHeight="1">
      <c r="A72" s="363">
        <f t="shared" si="12"/>
        <v>60</v>
      </c>
      <c r="B72" s="296" t="s">
        <v>1491</v>
      </c>
      <c r="C72" s="252">
        <f t="shared" si="13"/>
        <v>1890.1</v>
      </c>
      <c r="D72" s="296" t="s">
        <v>866</v>
      </c>
      <c r="F72" s="252">
        <v>0.18</v>
      </c>
      <c r="G72" s="252" t="s">
        <v>858</v>
      </c>
      <c r="H72" s="296" t="s">
        <v>859</v>
      </c>
      <c r="I72" s="252">
        <f>(C67)</f>
        <v>6040</v>
      </c>
      <c r="J72" s="296" t="s">
        <v>858</v>
      </c>
      <c r="K72" s="252">
        <f>(F72*I72)</f>
        <v>1087.2</v>
      </c>
      <c r="O72" s="296" t="s">
        <v>611</v>
      </c>
      <c r="R72" s="252">
        <f>SUM(R65:R70)</f>
        <v>67102.649999999994</v>
      </c>
      <c r="U72" s="252" t="s">
        <v>5410</v>
      </c>
      <c r="V72" s="252" t="s">
        <v>5409</v>
      </c>
      <c r="W72" s="383">
        <v>7482</v>
      </c>
      <c r="AE72" s="252">
        <f t="shared" si="2"/>
        <v>0</v>
      </c>
      <c r="AG72" s="252">
        <f t="shared" si="3"/>
        <v>0</v>
      </c>
      <c r="AH72" s="252">
        <f t="shared" si="4"/>
        <v>0</v>
      </c>
      <c r="AI72" s="252">
        <f t="shared" si="5"/>
        <v>0</v>
      </c>
      <c r="AJ72" s="252">
        <f t="shared" si="6"/>
        <v>0</v>
      </c>
      <c r="AK72" s="252">
        <f t="shared" si="7"/>
        <v>0</v>
      </c>
      <c r="AR72" s="296"/>
      <c r="AS72" s="358" t="s">
        <v>1579</v>
      </c>
    </row>
    <row r="73" spans="1:45" ht="18.75" customHeight="1">
      <c r="A73" s="363">
        <f t="shared" si="12"/>
        <v>61</v>
      </c>
      <c r="B73" s="296" t="s">
        <v>652</v>
      </c>
      <c r="C73" s="252">
        <f t="shared" si="13"/>
        <v>1997.1</v>
      </c>
      <c r="D73" s="296" t="s">
        <v>866</v>
      </c>
      <c r="F73" s="252">
        <v>1</v>
      </c>
      <c r="G73" s="252" t="s">
        <v>866</v>
      </c>
      <c r="H73" s="296" t="s">
        <v>867</v>
      </c>
      <c r="I73" s="252">
        <f>(C78)</f>
        <v>1846.1</v>
      </c>
      <c r="J73" s="296" t="s">
        <v>866</v>
      </c>
      <c r="K73" s="252">
        <f>(F73*I73)</f>
        <v>1846.1</v>
      </c>
      <c r="R73" s="358" t="s">
        <v>1579</v>
      </c>
      <c r="W73" s="253"/>
      <c r="AE73" s="252">
        <f t="shared" si="2"/>
        <v>0</v>
      </c>
      <c r="AG73" s="252">
        <f t="shared" si="3"/>
        <v>0</v>
      </c>
      <c r="AH73" s="252">
        <f t="shared" si="4"/>
        <v>0</v>
      </c>
      <c r="AI73" s="252">
        <f t="shared" si="5"/>
        <v>0</v>
      </c>
      <c r="AJ73" s="252">
        <f t="shared" si="6"/>
        <v>0</v>
      </c>
      <c r="AK73" s="252">
        <f t="shared" si="7"/>
        <v>0</v>
      </c>
      <c r="AP73" s="255" t="s">
        <v>770</v>
      </c>
      <c r="AR73" s="296"/>
      <c r="AS73" s="274">
        <f>(AS71/2.83168)</f>
        <v>7053.64</v>
      </c>
    </row>
    <row r="74" spans="1:45" ht="18.75" customHeight="1">
      <c r="A74" s="363">
        <f t="shared" si="12"/>
        <v>62</v>
      </c>
      <c r="B74" s="296" t="s">
        <v>950</v>
      </c>
      <c r="C74" s="252">
        <f t="shared" si="13"/>
        <v>1577.9</v>
      </c>
      <c r="D74" s="296" t="s">
        <v>866</v>
      </c>
      <c r="F74" s="252">
        <v>1</v>
      </c>
      <c r="G74" s="252" t="s">
        <v>866</v>
      </c>
      <c r="H74" s="296" t="s">
        <v>871</v>
      </c>
      <c r="I74" s="252">
        <f>(C18)</f>
        <v>116</v>
      </c>
      <c r="J74" s="296" t="s">
        <v>866</v>
      </c>
      <c r="K74" s="252">
        <f>(F74*I74)</f>
        <v>116</v>
      </c>
      <c r="O74" s="296" t="s">
        <v>770</v>
      </c>
      <c r="R74" s="252">
        <f>(R72/10)</f>
        <v>6710.27</v>
      </c>
      <c r="U74" s="262" t="s">
        <v>5411</v>
      </c>
      <c r="V74" s="252" t="s">
        <v>5412</v>
      </c>
      <c r="W74" s="383">
        <v>2419</v>
      </c>
      <c r="AE74" s="252">
        <f t="shared" ref="AE74:AE106" si="14">AF74</f>
        <v>0</v>
      </c>
      <c r="AG74" s="252">
        <f t="shared" ref="AG74:AG77" si="15">AF74*1.1</f>
        <v>0</v>
      </c>
      <c r="AH74" s="252">
        <f t="shared" ref="AH74" si="16">AF74*1.2</f>
        <v>0</v>
      </c>
      <c r="AI74" s="252">
        <f t="shared" ref="AI74:AI98" si="17">AF74*1.5</f>
        <v>0</v>
      </c>
      <c r="AJ74" s="252">
        <f t="shared" ref="AJ74:AJ98" si="18">AF74*1.05</f>
        <v>0</v>
      </c>
      <c r="AK74" s="252">
        <f t="shared" ref="AK74:AK98" si="19">AF74*1.25</f>
        <v>0</v>
      </c>
      <c r="AR74" s="296"/>
      <c r="AS74" s="358" t="s">
        <v>2046</v>
      </c>
    </row>
    <row r="75" spans="1:45" ht="18.75" customHeight="1">
      <c r="A75" s="363">
        <f t="shared" si="12"/>
        <v>63</v>
      </c>
      <c r="B75" s="296" t="s">
        <v>951</v>
      </c>
      <c r="C75" s="372">
        <v>175</v>
      </c>
      <c r="D75" s="365" t="s">
        <v>2241</v>
      </c>
      <c r="G75" s="252" t="s">
        <v>446</v>
      </c>
      <c r="H75" s="296" t="s">
        <v>447</v>
      </c>
      <c r="I75" s="296" t="s">
        <v>971</v>
      </c>
      <c r="J75" s="296" t="s">
        <v>446</v>
      </c>
      <c r="K75" s="252">
        <v>0</v>
      </c>
      <c r="R75" s="358" t="s">
        <v>2046</v>
      </c>
      <c r="W75" s="253"/>
      <c r="AE75" s="252">
        <f t="shared" si="14"/>
        <v>0</v>
      </c>
      <c r="AG75" s="252">
        <f t="shared" si="15"/>
        <v>0</v>
      </c>
      <c r="AH75" s="252">
        <f t="shared" ref="AH75:AH98" si="20">AF75*1.2</f>
        <v>0</v>
      </c>
      <c r="AI75" s="252">
        <f t="shared" si="17"/>
        <v>0</v>
      </c>
      <c r="AJ75" s="252">
        <f t="shared" si="18"/>
        <v>0</v>
      </c>
      <c r="AK75" s="252">
        <f t="shared" si="19"/>
        <v>0</v>
      </c>
      <c r="AP75" s="296" t="s">
        <v>383</v>
      </c>
      <c r="AR75" s="296"/>
      <c r="AS75" s="252">
        <f>AS73+C19</f>
        <v>7132.54</v>
      </c>
    </row>
    <row r="76" spans="1:45" ht="18.75" customHeight="1">
      <c r="A76" s="363">
        <f t="shared" si="12"/>
        <v>64</v>
      </c>
      <c r="B76" s="296" t="s">
        <v>952</v>
      </c>
      <c r="C76" s="372">
        <v>460</v>
      </c>
      <c r="D76" s="314">
        <v>290</v>
      </c>
      <c r="E76" s="252" t="s">
        <v>4210</v>
      </c>
      <c r="K76" s="358" t="s">
        <v>1579</v>
      </c>
      <c r="N76" s="296" t="s">
        <v>2241</v>
      </c>
      <c r="O76" s="296" t="s">
        <v>953</v>
      </c>
      <c r="W76" s="253"/>
      <c r="AE76" s="252">
        <f t="shared" si="14"/>
        <v>0</v>
      </c>
      <c r="AG76" s="252">
        <f t="shared" si="15"/>
        <v>0</v>
      </c>
      <c r="AH76" s="252">
        <f t="shared" si="20"/>
        <v>0</v>
      </c>
      <c r="AI76" s="252">
        <f t="shared" si="17"/>
        <v>0</v>
      </c>
      <c r="AJ76" s="252">
        <f t="shared" si="18"/>
        <v>0</v>
      </c>
      <c r="AK76" s="252">
        <f t="shared" si="19"/>
        <v>0</v>
      </c>
      <c r="AP76" s="296" t="s">
        <v>385</v>
      </c>
      <c r="AR76" s="296"/>
      <c r="AS76" s="252">
        <f>AS75+C20</f>
        <v>7291.74</v>
      </c>
    </row>
    <row r="77" spans="1:45" ht="18.75" customHeight="1">
      <c r="A77" s="363">
        <f t="shared" si="12"/>
        <v>65</v>
      </c>
      <c r="B77" s="296" t="s">
        <v>1543</v>
      </c>
      <c r="C77" s="364">
        <f>AC34</f>
        <v>4318.6400000000003</v>
      </c>
      <c r="D77" s="365" t="s">
        <v>866</v>
      </c>
      <c r="H77" s="296" t="s">
        <v>1509</v>
      </c>
      <c r="K77" s="274">
        <f>SUM(K72:K75)</f>
        <v>3049.3</v>
      </c>
      <c r="O77" s="296" t="s">
        <v>425</v>
      </c>
      <c r="W77" s="253"/>
      <c r="AE77" s="252">
        <f t="shared" si="14"/>
        <v>0</v>
      </c>
      <c r="AG77" s="252">
        <f t="shared" si="15"/>
        <v>0</v>
      </c>
      <c r="AH77" s="252">
        <f t="shared" si="20"/>
        <v>0</v>
      </c>
      <c r="AI77" s="252">
        <f t="shared" si="17"/>
        <v>0</v>
      </c>
      <c r="AJ77" s="252">
        <f t="shared" si="18"/>
        <v>0</v>
      </c>
      <c r="AK77" s="252">
        <f t="shared" si="19"/>
        <v>0</v>
      </c>
      <c r="AP77" s="296" t="s">
        <v>2222</v>
      </c>
      <c r="AR77" s="296"/>
      <c r="AS77" s="252">
        <f>AS76+C20</f>
        <v>7450.94</v>
      </c>
    </row>
    <row r="78" spans="1:45" ht="18.75" customHeight="1">
      <c r="A78" s="363">
        <f t="shared" si="12"/>
        <v>66</v>
      </c>
      <c r="B78" s="296" t="s">
        <v>1418</v>
      </c>
      <c r="C78" s="364">
        <f t="shared" ref="C78:C91" si="21">AC16</f>
        <v>1846.1</v>
      </c>
      <c r="D78" s="365" t="s">
        <v>866</v>
      </c>
      <c r="K78" s="358" t="s">
        <v>1579</v>
      </c>
      <c r="O78" s="358" t="s">
        <v>1579</v>
      </c>
      <c r="W78" s="253"/>
      <c r="AE78" s="252">
        <f t="shared" si="14"/>
        <v>0</v>
      </c>
      <c r="AG78" s="296"/>
      <c r="AH78" s="252">
        <f t="shared" si="20"/>
        <v>0</v>
      </c>
      <c r="AI78" s="252">
        <f t="shared" si="17"/>
        <v>0</v>
      </c>
      <c r="AJ78" s="252">
        <f t="shared" si="18"/>
        <v>0</v>
      </c>
      <c r="AK78" s="252">
        <f t="shared" si="19"/>
        <v>0</v>
      </c>
      <c r="AP78" s="296" t="s">
        <v>377</v>
      </c>
      <c r="AR78" s="296"/>
      <c r="AS78" s="252">
        <f>AS77+C20</f>
        <v>7610.14</v>
      </c>
    </row>
    <row r="79" spans="1:45" ht="18.75" customHeight="1">
      <c r="A79" s="363">
        <f t="shared" si="12"/>
        <v>67</v>
      </c>
      <c r="B79" s="296" t="s">
        <v>1030</v>
      </c>
      <c r="C79" s="364">
        <f t="shared" si="21"/>
        <v>1846.1</v>
      </c>
      <c r="D79" s="365" t="s">
        <v>866</v>
      </c>
      <c r="F79" s="375">
        <v>1.1000000000000001</v>
      </c>
      <c r="G79" s="252" t="s">
        <v>971</v>
      </c>
      <c r="H79" s="296" t="s">
        <v>1419</v>
      </c>
      <c r="M79" s="252">
        <v>4600</v>
      </c>
      <c r="N79" s="296" t="s">
        <v>1420</v>
      </c>
      <c r="O79" s="296" t="s">
        <v>1108</v>
      </c>
      <c r="P79" s="252">
        <f>AC41</f>
        <v>6959.15</v>
      </c>
      <c r="Q79" s="296" t="s">
        <v>1587</v>
      </c>
      <c r="R79" s="252">
        <f>(M79*P79)/1000</f>
        <v>32012.09</v>
      </c>
      <c r="S79" s="384">
        <v>1.1000000000000001</v>
      </c>
      <c r="T79" s="252" t="s">
        <v>971</v>
      </c>
      <c r="U79" s="276" t="s">
        <v>2153</v>
      </c>
      <c r="W79" s="253"/>
      <c r="AE79" s="252">
        <f t="shared" si="14"/>
        <v>0</v>
      </c>
      <c r="AG79" s="296"/>
      <c r="AH79" s="252">
        <f t="shared" si="20"/>
        <v>0</v>
      </c>
      <c r="AI79" s="252">
        <f t="shared" si="17"/>
        <v>0</v>
      </c>
      <c r="AJ79" s="252">
        <f t="shared" si="18"/>
        <v>0</v>
      </c>
      <c r="AK79" s="252">
        <f t="shared" si="19"/>
        <v>0</v>
      </c>
      <c r="AP79" s="296" t="s">
        <v>485</v>
      </c>
      <c r="AR79" s="296"/>
      <c r="AS79" s="252">
        <f>AS78+C20</f>
        <v>7769.34</v>
      </c>
    </row>
    <row r="80" spans="1:45" ht="18.75" customHeight="1">
      <c r="A80" s="363">
        <f t="shared" si="12"/>
        <v>68</v>
      </c>
      <c r="B80" s="296" t="s">
        <v>1473</v>
      </c>
      <c r="C80" s="364">
        <f t="shared" si="21"/>
        <v>5728.64</v>
      </c>
      <c r="D80" s="365" t="s">
        <v>1474</v>
      </c>
      <c r="F80" s="385" t="s">
        <v>971</v>
      </c>
      <c r="H80" s="296" t="s">
        <v>1475</v>
      </c>
      <c r="M80" s="252">
        <v>2.5</v>
      </c>
      <c r="N80" s="296" t="s">
        <v>866</v>
      </c>
      <c r="O80" s="296" t="s">
        <v>1617</v>
      </c>
      <c r="P80" s="252">
        <f>(K49)</f>
        <v>3701.62</v>
      </c>
      <c r="Q80" s="296" t="s">
        <v>866</v>
      </c>
      <c r="R80" s="252">
        <f>(M80*P80)</f>
        <v>9254.0499999999993</v>
      </c>
      <c r="S80" s="386" t="s">
        <v>971</v>
      </c>
      <c r="U80" s="296" t="s">
        <v>1475</v>
      </c>
      <c r="W80" s="253"/>
      <c r="AE80" s="252">
        <f t="shared" si="14"/>
        <v>0</v>
      </c>
      <c r="AG80" s="296"/>
      <c r="AH80" s="252">
        <f t="shared" si="20"/>
        <v>0</v>
      </c>
      <c r="AI80" s="252">
        <f t="shared" si="17"/>
        <v>0</v>
      </c>
      <c r="AJ80" s="252">
        <f t="shared" si="18"/>
        <v>0</v>
      </c>
      <c r="AK80" s="252">
        <f t="shared" si="19"/>
        <v>0</v>
      </c>
      <c r="AQ80" s="370"/>
      <c r="AS80" s="296"/>
    </row>
    <row r="81" spans="1:45" ht="18.75" customHeight="1">
      <c r="A81" s="363">
        <f t="shared" si="12"/>
        <v>69</v>
      </c>
      <c r="B81" s="296" t="s">
        <v>65</v>
      </c>
      <c r="C81" s="364">
        <f t="shared" si="21"/>
        <v>720.98</v>
      </c>
      <c r="D81" s="365" t="s">
        <v>866</v>
      </c>
      <c r="F81" s="252">
        <v>10</v>
      </c>
      <c r="G81" s="252" t="s">
        <v>866</v>
      </c>
      <c r="H81" s="296" t="s">
        <v>1173</v>
      </c>
      <c r="I81" s="252">
        <f>(C61)</f>
        <v>112.05</v>
      </c>
      <c r="J81" s="296" t="s">
        <v>866</v>
      </c>
      <c r="K81" s="252">
        <f>(F81*I81)</f>
        <v>1120.5</v>
      </c>
      <c r="M81" s="252">
        <v>3.5</v>
      </c>
      <c r="N81" s="296" t="s">
        <v>865</v>
      </c>
      <c r="O81" s="296" t="s">
        <v>2000</v>
      </c>
      <c r="P81" s="252">
        <f>(C10)</f>
        <v>999</v>
      </c>
      <c r="Q81" s="296" t="s">
        <v>865</v>
      </c>
      <c r="R81" s="252">
        <f>(M81*P81)</f>
        <v>3496.5</v>
      </c>
      <c r="S81" s="356">
        <v>10</v>
      </c>
      <c r="T81" s="252" t="s">
        <v>866</v>
      </c>
      <c r="U81" s="296" t="s">
        <v>1173</v>
      </c>
      <c r="V81" s="252">
        <f>AE39</f>
        <v>74.849999999999994</v>
      </c>
      <c r="W81" s="253" t="s">
        <v>866</v>
      </c>
      <c r="X81" s="252">
        <f>(S81*V81)</f>
        <v>748.5</v>
      </c>
      <c r="AE81" s="252">
        <f t="shared" si="14"/>
        <v>0</v>
      </c>
      <c r="AG81" s="296"/>
      <c r="AH81" s="252">
        <f t="shared" si="20"/>
        <v>0</v>
      </c>
      <c r="AI81" s="252">
        <f t="shared" si="17"/>
        <v>0</v>
      </c>
      <c r="AJ81" s="252">
        <f t="shared" si="18"/>
        <v>0</v>
      </c>
      <c r="AK81" s="252">
        <f t="shared" si="19"/>
        <v>0</v>
      </c>
      <c r="AQ81" s="370"/>
      <c r="AS81" s="296"/>
    </row>
    <row r="82" spans="1:45" ht="18.75" customHeight="1">
      <c r="A82" s="363">
        <f t="shared" si="12"/>
        <v>70</v>
      </c>
      <c r="B82" s="296" t="s">
        <v>2001</v>
      </c>
      <c r="C82" s="364">
        <f t="shared" si="21"/>
        <v>801.98</v>
      </c>
      <c r="D82" s="365" t="s">
        <v>866</v>
      </c>
      <c r="F82" s="252">
        <v>10</v>
      </c>
      <c r="G82" s="252" t="s">
        <v>866</v>
      </c>
      <c r="H82" s="296" t="s">
        <v>2002</v>
      </c>
      <c r="I82" s="252">
        <f>(C61)</f>
        <v>112.05</v>
      </c>
      <c r="J82" s="296" t="s">
        <v>866</v>
      </c>
      <c r="K82" s="252">
        <f>(F82*I82)</f>
        <v>1120.5</v>
      </c>
      <c r="L82" s="252">
        <f>I82+I81</f>
        <v>224.1</v>
      </c>
      <c r="M82" s="252">
        <v>10.6</v>
      </c>
      <c r="N82" s="296" t="s">
        <v>865</v>
      </c>
      <c r="O82" s="296" t="s">
        <v>1704</v>
      </c>
      <c r="P82" s="252">
        <f>(C11)</f>
        <v>932</v>
      </c>
      <c r="Q82" s="296" t="s">
        <v>865</v>
      </c>
      <c r="R82" s="252">
        <f>(M82*P82)</f>
        <v>9879.2000000000007</v>
      </c>
      <c r="S82" s="356">
        <v>10</v>
      </c>
      <c r="T82" s="252" t="s">
        <v>866</v>
      </c>
      <c r="U82" s="296" t="s">
        <v>2002</v>
      </c>
      <c r="V82" s="252">
        <f>V81</f>
        <v>74.849999999999994</v>
      </c>
      <c r="W82" s="253" t="s">
        <v>866</v>
      </c>
      <c r="X82" s="252">
        <f>(S82*V82)</f>
        <v>748.5</v>
      </c>
      <c r="AE82" s="252">
        <f t="shared" si="14"/>
        <v>0</v>
      </c>
      <c r="AG82" s="296"/>
      <c r="AH82" s="252">
        <f t="shared" si="20"/>
        <v>0</v>
      </c>
      <c r="AI82" s="252">
        <f t="shared" si="17"/>
        <v>0</v>
      </c>
      <c r="AJ82" s="252">
        <f t="shared" si="18"/>
        <v>0</v>
      </c>
      <c r="AK82" s="252">
        <f t="shared" si="19"/>
        <v>0</v>
      </c>
      <c r="AQ82" s="370"/>
      <c r="AS82" s="296"/>
    </row>
    <row r="83" spans="1:45" ht="18.75" customHeight="1">
      <c r="A83" s="363">
        <f t="shared" si="12"/>
        <v>71</v>
      </c>
      <c r="B83" s="296" t="s">
        <v>2003</v>
      </c>
      <c r="C83" s="364">
        <f t="shared" si="21"/>
        <v>16106</v>
      </c>
      <c r="D83" s="365" t="s">
        <v>1474</v>
      </c>
      <c r="E83" s="387">
        <v>8710</v>
      </c>
      <c r="F83" s="252">
        <v>10</v>
      </c>
      <c r="G83" s="252" t="s">
        <v>866</v>
      </c>
      <c r="H83" s="296" t="s">
        <v>2004</v>
      </c>
      <c r="I83" s="252">
        <f>(C26)/3</f>
        <v>12.98</v>
      </c>
      <c r="J83" s="296" t="s">
        <v>866</v>
      </c>
      <c r="K83" s="252">
        <f>(F83*I83)</f>
        <v>129.80000000000001</v>
      </c>
      <c r="M83" s="252">
        <v>7.1</v>
      </c>
      <c r="N83" s="296" t="s">
        <v>865</v>
      </c>
      <c r="O83" s="296" t="s">
        <v>1893</v>
      </c>
      <c r="P83" s="252">
        <f>(C12)</f>
        <v>651</v>
      </c>
      <c r="Q83" s="296" t="s">
        <v>865</v>
      </c>
      <c r="R83" s="252">
        <f>(M83*P83)</f>
        <v>4622.1000000000004</v>
      </c>
      <c r="S83" s="356">
        <v>10</v>
      </c>
      <c r="T83" s="252" t="s">
        <v>866</v>
      </c>
      <c r="U83" s="296" t="s">
        <v>2004</v>
      </c>
      <c r="V83" s="252">
        <f>AE27/3</f>
        <v>11.4</v>
      </c>
      <c r="W83" s="253" t="s">
        <v>866</v>
      </c>
      <c r="X83" s="252">
        <f>(S83*V83)</f>
        <v>114</v>
      </c>
      <c r="AE83" s="252">
        <f t="shared" si="14"/>
        <v>0</v>
      </c>
      <c r="AG83" s="296"/>
      <c r="AH83" s="252">
        <f t="shared" si="20"/>
        <v>0</v>
      </c>
      <c r="AI83" s="252">
        <f t="shared" si="17"/>
        <v>0</v>
      </c>
      <c r="AJ83" s="252">
        <f t="shared" si="18"/>
        <v>0</v>
      </c>
      <c r="AK83" s="252">
        <f t="shared" si="19"/>
        <v>0</v>
      </c>
      <c r="AQ83" s="370"/>
      <c r="AS83" s="296"/>
    </row>
    <row r="84" spans="1:45" ht="18.75" customHeight="1">
      <c r="A84" s="363">
        <f t="shared" si="12"/>
        <v>72</v>
      </c>
      <c r="B84" s="296" t="s">
        <v>2005</v>
      </c>
      <c r="C84" s="364">
        <f t="shared" si="21"/>
        <v>1348</v>
      </c>
      <c r="D84" s="365" t="s">
        <v>866</v>
      </c>
      <c r="G84" s="252" t="s">
        <v>446</v>
      </c>
      <c r="H84" s="296" t="s">
        <v>447</v>
      </c>
      <c r="J84" s="296" t="s">
        <v>446</v>
      </c>
      <c r="K84" s="252">
        <v>0</v>
      </c>
      <c r="M84" s="252">
        <v>21.2</v>
      </c>
      <c r="N84" s="296" t="s">
        <v>865</v>
      </c>
      <c r="O84" s="296" t="s">
        <v>317</v>
      </c>
      <c r="P84" s="252">
        <f>(C13)</f>
        <v>534</v>
      </c>
      <c r="Q84" s="296" t="s">
        <v>865</v>
      </c>
      <c r="R84" s="252">
        <f>(M84*P84)</f>
        <v>11320.8</v>
      </c>
      <c r="T84" s="252" t="s">
        <v>446</v>
      </c>
      <c r="U84" s="296" t="s">
        <v>447</v>
      </c>
      <c r="W84" s="253" t="s">
        <v>446</v>
      </c>
      <c r="X84" s="252">
        <v>0</v>
      </c>
      <c r="AE84" s="252">
        <f t="shared" si="14"/>
        <v>0</v>
      </c>
      <c r="AG84" s="296"/>
      <c r="AH84" s="252">
        <f t="shared" si="20"/>
        <v>0</v>
      </c>
      <c r="AI84" s="252">
        <f t="shared" si="17"/>
        <v>0</v>
      </c>
      <c r="AJ84" s="252">
        <f t="shared" si="18"/>
        <v>0</v>
      </c>
      <c r="AK84" s="252">
        <f t="shared" si="19"/>
        <v>0</v>
      </c>
      <c r="AN84" s="369">
        <v>9</v>
      </c>
      <c r="AO84" s="252" t="s">
        <v>2241</v>
      </c>
      <c r="AP84" s="296" t="s">
        <v>3737</v>
      </c>
      <c r="AR84" s="296"/>
    </row>
    <row r="85" spans="1:45" ht="18.75" customHeight="1">
      <c r="A85" s="363">
        <f t="shared" si="12"/>
        <v>73</v>
      </c>
      <c r="B85" s="296" t="s">
        <v>1995</v>
      </c>
      <c r="C85" s="364">
        <f t="shared" si="21"/>
        <v>1170.8</v>
      </c>
      <c r="D85" s="365" t="s">
        <v>866</v>
      </c>
      <c r="K85" s="358" t="s">
        <v>1579</v>
      </c>
      <c r="N85" s="296" t="s">
        <v>446</v>
      </c>
      <c r="O85" s="296" t="s">
        <v>447</v>
      </c>
      <c r="Q85" s="296" t="s">
        <v>446</v>
      </c>
      <c r="R85" s="252">
        <v>0</v>
      </c>
      <c r="W85" s="253"/>
      <c r="X85" s="358" t="s">
        <v>1579</v>
      </c>
      <c r="AE85" s="252">
        <f t="shared" si="14"/>
        <v>0</v>
      </c>
      <c r="AG85" s="296"/>
      <c r="AH85" s="252">
        <f t="shared" si="20"/>
        <v>0</v>
      </c>
      <c r="AI85" s="252">
        <f t="shared" si="17"/>
        <v>0</v>
      </c>
      <c r="AJ85" s="252">
        <f t="shared" si="18"/>
        <v>0</v>
      </c>
      <c r="AK85" s="252">
        <f t="shared" si="19"/>
        <v>0</v>
      </c>
      <c r="AP85" s="296" t="str">
        <f>AP61</f>
        <v>Bricks of size 23x11x7 cm</v>
      </c>
      <c r="AR85" s="296"/>
    </row>
    <row r="86" spans="1:45" ht="18.75" customHeight="1">
      <c r="A86" s="363">
        <f t="shared" si="12"/>
        <v>74</v>
      </c>
      <c r="B86" s="296" t="s">
        <v>3891</v>
      </c>
      <c r="C86" s="364">
        <f t="shared" si="21"/>
        <v>34300</v>
      </c>
      <c r="D86" s="365" t="s">
        <v>866</v>
      </c>
      <c r="H86" s="296" t="s">
        <v>611</v>
      </c>
      <c r="K86" s="252">
        <f>SUM(K81:K84)</f>
        <v>2370.8000000000002</v>
      </c>
      <c r="R86" s="358" t="s">
        <v>1579</v>
      </c>
      <c r="U86" s="296" t="s">
        <v>611</v>
      </c>
      <c r="W86" s="253"/>
      <c r="X86" s="252">
        <f>SUM(X81:X84)</f>
        <v>1611</v>
      </c>
      <c r="AE86" s="252">
        <f t="shared" si="14"/>
        <v>0</v>
      </c>
      <c r="AG86" s="296"/>
      <c r="AH86" s="252">
        <f t="shared" si="20"/>
        <v>0</v>
      </c>
      <c r="AI86" s="252">
        <f t="shared" si="17"/>
        <v>0</v>
      </c>
      <c r="AJ86" s="252">
        <f t="shared" si="18"/>
        <v>0</v>
      </c>
      <c r="AK86" s="252">
        <f t="shared" si="19"/>
        <v>0</v>
      </c>
      <c r="AP86" s="358" t="s">
        <v>1579</v>
      </c>
      <c r="AR86" s="296"/>
    </row>
    <row r="87" spans="1:45" ht="18.75" customHeight="1">
      <c r="A87" s="363">
        <f t="shared" si="12"/>
        <v>75</v>
      </c>
      <c r="B87" s="296" t="s">
        <v>2007</v>
      </c>
      <c r="C87" s="364">
        <f t="shared" si="21"/>
        <v>39400</v>
      </c>
      <c r="D87" s="365" t="s">
        <v>866</v>
      </c>
      <c r="K87" s="358" t="s">
        <v>1579</v>
      </c>
      <c r="O87" s="296" t="s">
        <v>611</v>
      </c>
      <c r="R87" s="252">
        <f>SUM(R79:R85)</f>
        <v>70584.740000000005</v>
      </c>
      <c r="W87" s="253"/>
      <c r="X87" s="358" t="s">
        <v>1579</v>
      </c>
      <c r="AE87" s="252">
        <f t="shared" si="14"/>
        <v>0</v>
      </c>
      <c r="AG87" s="296"/>
      <c r="AH87" s="252">
        <f t="shared" si="20"/>
        <v>0</v>
      </c>
      <c r="AI87" s="252">
        <f t="shared" si="17"/>
        <v>0</v>
      </c>
      <c r="AJ87" s="252">
        <f t="shared" si="18"/>
        <v>0</v>
      </c>
      <c r="AK87" s="252">
        <f t="shared" si="19"/>
        <v>0</v>
      </c>
      <c r="AN87" s="252">
        <f>AN63</f>
        <v>1300</v>
      </c>
      <c r="AO87" s="252" t="s">
        <v>1420</v>
      </c>
      <c r="AP87" s="252" t="str">
        <f>AP61</f>
        <v>Bricks of size 23x11x7 cm</v>
      </c>
      <c r="AQ87" s="252">
        <f>AC45</f>
        <v>6959.15</v>
      </c>
      <c r="AR87" s="296" t="s">
        <v>1587</v>
      </c>
      <c r="AS87" s="252">
        <f>AQ87*AN87/1000</f>
        <v>9046.9</v>
      </c>
    </row>
    <row r="88" spans="1:45" ht="18.75" customHeight="1">
      <c r="A88" s="363">
        <f t="shared" si="12"/>
        <v>76</v>
      </c>
      <c r="B88" s="296" t="s">
        <v>2008</v>
      </c>
      <c r="C88" s="364">
        <f t="shared" si="21"/>
        <v>111600</v>
      </c>
      <c r="D88" s="365" t="s">
        <v>866</v>
      </c>
      <c r="H88" s="276" t="s">
        <v>2040</v>
      </c>
      <c r="I88" s="274" t="s">
        <v>1394</v>
      </c>
      <c r="J88" s="276"/>
      <c r="K88" s="274">
        <f>(K86/10)</f>
        <v>237.08</v>
      </c>
      <c r="R88" s="358" t="s">
        <v>1579</v>
      </c>
      <c r="U88" s="276" t="s">
        <v>2040</v>
      </c>
      <c r="V88" s="274" t="s">
        <v>1394</v>
      </c>
      <c r="W88" s="255"/>
      <c r="X88" s="274">
        <f>(X86/10)</f>
        <v>161.1</v>
      </c>
      <c r="AE88" s="252">
        <f t="shared" si="14"/>
        <v>0</v>
      </c>
      <c r="AG88" s="296"/>
      <c r="AH88" s="252">
        <f t="shared" si="20"/>
        <v>0</v>
      </c>
      <c r="AI88" s="252">
        <f t="shared" si="17"/>
        <v>0</v>
      </c>
      <c r="AJ88" s="252">
        <f t="shared" si="18"/>
        <v>0</v>
      </c>
      <c r="AK88" s="252">
        <f t="shared" si="19"/>
        <v>0</v>
      </c>
      <c r="AN88" s="356">
        <f>AN64</f>
        <v>0.70799999999999996</v>
      </c>
      <c r="AO88" s="252" t="s">
        <v>866</v>
      </c>
      <c r="AP88" s="296" t="s">
        <v>1623</v>
      </c>
      <c r="AQ88" s="252">
        <f>K58</f>
        <v>3411.7</v>
      </c>
      <c r="AR88" s="296" t="s">
        <v>866</v>
      </c>
      <c r="AS88" s="252">
        <f>AQ88*AN88</f>
        <v>2415.48</v>
      </c>
    </row>
    <row r="89" spans="1:45" ht="18.75" customHeight="1">
      <c r="A89" s="363">
        <f t="shared" si="12"/>
        <v>77</v>
      </c>
      <c r="B89" s="296" t="s">
        <v>292</v>
      </c>
      <c r="C89" s="364">
        <f t="shared" si="21"/>
        <v>99400</v>
      </c>
      <c r="D89" s="365" t="s">
        <v>866</v>
      </c>
      <c r="I89" s="274" t="s">
        <v>1357</v>
      </c>
      <c r="J89" s="276"/>
      <c r="K89" s="360">
        <f>ROUND(K88+C36,2)</f>
        <v>247.63</v>
      </c>
      <c r="L89" s="252">
        <f>K89+C36</f>
        <v>258.18</v>
      </c>
      <c r="M89" s="252">
        <f>L89+C36</f>
        <v>268.73</v>
      </c>
      <c r="O89" s="296" t="s">
        <v>770</v>
      </c>
      <c r="R89" s="252">
        <f>(R87/10)</f>
        <v>7058.47</v>
      </c>
      <c r="V89" s="274" t="s">
        <v>1357</v>
      </c>
      <c r="W89" s="255"/>
      <c r="X89" s="360">
        <f>ROUND(X88+C36,2)</f>
        <v>171.65</v>
      </c>
      <c r="AE89" s="252">
        <f t="shared" si="14"/>
        <v>0</v>
      </c>
      <c r="AG89" s="296"/>
      <c r="AH89" s="252">
        <f t="shared" si="20"/>
        <v>0</v>
      </c>
      <c r="AI89" s="252">
        <f t="shared" si="17"/>
        <v>0</v>
      </c>
      <c r="AJ89" s="252">
        <f t="shared" si="18"/>
        <v>0</v>
      </c>
      <c r="AK89" s="252">
        <f t="shared" si="19"/>
        <v>0</v>
      </c>
      <c r="AN89" s="252">
        <v>1</v>
      </c>
      <c r="AO89" s="252" t="s">
        <v>865</v>
      </c>
      <c r="AP89" s="296" t="s">
        <v>2000</v>
      </c>
      <c r="AQ89" s="252">
        <f>AQ65</f>
        <v>999</v>
      </c>
      <c r="AR89" s="296" t="s">
        <v>865</v>
      </c>
      <c r="AS89" s="252">
        <f>AQ89*AN89</f>
        <v>999</v>
      </c>
    </row>
    <row r="90" spans="1:45" ht="18.75" customHeight="1">
      <c r="A90" s="363">
        <f t="shared" si="12"/>
        <v>78</v>
      </c>
      <c r="B90" s="296" t="s">
        <v>293</v>
      </c>
      <c r="C90" s="364">
        <f>AC28</f>
        <v>95000</v>
      </c>
      <c r="D90" s="365" t="s">
        <v>866</v>
      </c>
      <c r="F90" s="369" t="s">
        <v>1519</v>
      </c>
      <c r="H90" s="275" t="s">
        <v>1932</v>
      </c>
      <c r="I90" s="274" t="s">
        <v>1394</v>
      </c>
      <c r="J90" s="276"/>
      <c r="K90" s="274">
        <f>K88-K83/10</f>
        <v>224.1</v>
      </c>
      <c r="R90" s="358" t="s">
        <v>2046</v>
      </c>
      <c r="S90" s="384" t="s">
        <v>1519</v>
      </c>
      <c r="U90" s="275" t="s">
        <v>157</v>
      </c>
      <c r="V90" s="274" t="s">
        <v>1394</v>
      </c>
      <c r="W90" s="255"/>
      <c r="X90" s="274">
        <f>X88-X83/10</f>
        <v>149.69999999999999</v>
      </c>
      <c r="AE90" s="252">
        <f t="shared" si="14"/>
        <v>0</v>
      </c>
      <c r="AG90" s="296"/>
      <c r="AH90" s="252">
        <f t="shared" si="20"/>
        <v>0</v>
      </c>
      <c r="AI90" s="252">
        <f t="shared" si="17"/>
        <v>0</v>
      </c>
      <c r="AJ90" s="252">
        <f t="shared" si="18"/>
        <v>0</v>
      </c>
      <c r="AK90" s="252">
        <f t="shared" si="19"/>
        <v>0</v>
      </c>
      <c r="AN90" s="252">
        <v>3</v>
      </c>
      <c r="AO90" s="252" t="s">
        <v>865</v>
      </c>
      <c r="AP90" s="296" t="s">
        <v>1704</v>
      </c>
      <c r="AQ90" s="252">
        <f>AQ66</f>
        <v>932</v>
      </c>
      <c r="AR90" s="296" t="s">
        <v>865</v>
      </c>
      <c r="AS90" s="252">
        <f>AQ90*AN90</f>
        <v>2796</v>
      </c>
    </row>
    <row r="91" spans="1:45" ht="18.75" customHeight="1">
      <c r="A91" s="363">
        <f t="shared" si="12"/>
        <v>79</v>
      </c>
      <c r="B91" s="296" t="s">
        <v>1544</v>
      </c>
      <c r="C91" s="364">
        <f t="shared" si="21"/>
        <v>4318.6400000000003</v>
      </c>
      <c r="D91" s="365" t="s">
        <v>1474</v>
      </c>
      <c r="I91" s="274" t="s">
        <v>1357</v>
      </c>
      <c r="J91" s="276"/>
      <c r="K91" s="360">
        <f>ROUND(K90+C36,2)</f>
        <v>234.65</v>
      </c>
      <c r="V91" s="274" t="s">
        <v>1357</v>
      </c>
      <c r="W91" s="255"/>
      <c r="X91" s="360">
        <f>ROUND(X90+C36,2)</f>
        <v>160.25</v>
      </c>
      <c r="AE91" s="252">
        <f t="shared" si="14"/>
        <v>0</v>
      </c>
      <c r="AG91" s="296"/>
      <c r="AH91" s="252">
        <f t="shared" si="20"/>
        <v>0</v>
      </c>
      <c r="AI91" s="252">
        <f t="shared" si="17"/>
        <v>0</v>
      </c>
      <c r="AJ91" s="252">
        <f t="shared" si="18"/>
        <v>0</v>
      </c>
      <c r="AK91" s="252">
        <f t="shared" si="19"/>
        <v>0</v>
      </c>
      <c r="AN91" s="252">
        <v>2</v>
      </c>
      <c r="AO91" s="252" t="s">
        <v>865</v>
      </c>
      <c r="AP91" s="296" t="s">
        <v>1893</v>
      </c>
      <c r="AQ91" s="252">
        <f>AQ67</f>
        <v>651</v>
      </c>
      <c r="AR91" s="296" t="s">
        <v>865</v>
      </c>
      <c r="AS91" s="252">
        <f>AQ91*AN91</f>
        <v>1302</v>
      </c>
    </row>
    <row r="92" spans="1:45" ht="18.75" customHeight="1">
      <c r="A92" s="364"/>
      <c r="B92" s="364"/>
      <c r="C92" s="364"/>
      <c r="D92" s="364"/>
      <c r="F92" s="369" t="s">
        <v>2086</v>
      </c>
      <c r="G92" s="252" t="s">
        <v>971</v>
      </c>
      <c r="H92" s="296" t="s">
        <v>5650</v>
      </c>
      <c r="S92" s="384"/>
      <c r="U92" s="296"/>
      <c r="W92" s="253"/>
      <c r="AE92" s="252">
        <f t="shared" si="14"/>
        <v>0</v>
      </c>
      <c r="AH92" s="252">
        <f t="shared" si="20"/>
        <v>0</v>
      </c>
      <c r="AI92" s="252">
        <f t="shared" si="17"/>
        <v>0</v>
      </c>
      <c r="AJ92" s="252">
        <f t="shared" si="18"/>
        <v>0</v>
      </c>
      <c r="AK92" s="252">
        <f t="shared" si="19"/>
        <v>0</v>
      </c>
      <c r="AN92" s="252">
        <v>6</v>
      </c>
      <c r="AO92" s="252" t="s">
        <v>865</v>
      </c>
      <c r="AP92" s="296" t="s">
        <v>317</v>
      </c>
      <c r="AQ92" s="252">
        <f>AQ68</f>
        <v>534</v>
      </c>
      <c r="AR92" s="296" t="s">
        <v>865</v>
      </c>
      <c r="AS92" s="252">
        <f>AQ92*AN92</f>
        <v>3204</v>
      </c>
    </row>
    <row r="93" spans="1:45" ht="18.75" customHeight="1">
      <c r="A93" s="364"/>
      <c r="B93" s="364"/>
      <c r="C93" s="364"/>
      <c r="D93" s="364"/>
      <c r="F93" s="385" t="s">
        <v>971</v>
      </c>
      <c r="H93" s="358" t="s">
        <v>1579</v>
      </c>
      <c r="M93" s="252" t="s">
        <v>3218</v>
      </c>
      <c r="S93" s="386"/>
      <c r="U93" s="358"/>
      <c r="W93" s="253"/>
      <c r="AE93" s="252">
        <f t="shared" si="14"/>
        <v>0</v>
      </c>
      <c r="AH93" s="252">
        <f t="shared" si="20"/>
        <v>0</v>
      </c>
      <c r="AI93" s="252">
        <f t="shared" si="17"/>
        <v>0</v>
      </c>
      <c r="AJ93" s="252">
        <f t="shared" si="18"/>
        <v>0</v>
      </c>
      <c r="AK93" s="252">
        <f t="shared" si="19"/>
        <v>0</v>
      </c>
      <c r="AO93" s="252" t="s">
        <v>446</v>
      </c>
      <c r="AP93" s="296" t="s">
        <v>447</v>
      </c>
      <c r="AR93" s="296" t="s">
        <v>446</v>
      </c>
      <c r="AS93" s="252">
        <v>5</v>
      </c>
    </row>
    <row r="94" spans="1:45" ht="18.75" customHeight="1">
      <c r="A94" s="364"/>
      <c r="B94" s="364"/>
      <c r="C94" s="364"/>
      <c r="D94" s="364"/>
      <c r="F94" s="252">
        <v>10</v>
      </c>
      <c r="G94" s="252" t="s">
        <v>866</v>
      </c>
      <c r="H94" s="296" t="s">
        <v>378</v>
      </c>
      <c r="I94" s="252">
        <f>D61</f>
        <v>166.9</v>
      </c>
      <c r="J94" s="296" t="s">
        <v>866</v>
      </c>
      <c r="K94" s="252">
        <f>(F94*I94)</f>
        <v>1669</v>
      </c>
      <c r="M94" s="252">
        <f>AE39</f>
        <v>74.849999999999994</v>
      </c>
      <c r="U94" s="296"/>
      <c r="W94" s="253"/>
      <c r="AE94" s="252">
        <f t="shared" si="14"/>
        <v>0</v>
      </c>
      <c r="AH94" s="252">
        <f t="shared" si="20"/>
        <v>0</v>
      </c>
      <c r="AI94" s="252">
        <f t="shared" si="17"/>
        <v>0</v>
      </c>
      <c r="AJ94" s="252">
        <f t="shared" si="18"/>
        <v>0</v>
      </c>
      <c r="AK94" s="252">
        <f t="shared" si="19"/>
        <v>0</v>
      </c>
      <c r="AR94" s="296"/>
      <c r="AS94" s="358" t="s">
        <v>1579</v>
      </c>
    </row>
    <row r="95" spans="1:45" ht="18.75" customHeight="1">
      <c r="A95" s="364"/>
      <c r="B95" s="364"/>
      <c r="C95" s="364"/>
      <c r="D95" s="364"/>
      <c r="F95" s="252">
        <v>10</v>
      </c>
      <c r="G95" s="252" t="s">
        <v>866</v>
      </c>
      <c r="H95" s="296" t="s">
        <v>2002</v>
      </c>
      <c r="I95" s="252">
        <f>D61</f>
        <v>166.9</v>
      </c>
      <c r="J95" s="296" t="s">
        <v>866</v>
      </c>
      <c r="K95" s="252">
        <f>(F95*I95)</f>
        <v>1669</v>
      </c>
      <c r="M95" s="252">
        <f>M94</f>
        <v>74.849999999999994</v>
      </c>
      <c r="U95" s="296"/>
      <c r="W95" s="253"/>
      <c r="AE95" s="252">
        <f t="shared" si="14"/>
        <v>0</v>
      </c>
      <c r="AH95" s="252">
        <f t="shared" si="20"/>
        <v>0</v>
      </c>
      <c r="AI95" s="252">
        <f t="shared" si="17"/>
        <v>0</v>
      </c>
      <c r="AJ95" s="252">
        <f t="shared" si="18"/>
        <v>0</v>
      </c>
      <c r="AK95" s="252">
        <f t="shared" si="19"/>
        <v>0</v>
      </c>
      <c r="AP95" s="296" t="s">
        <v>611</v>
      </c>
      <c r="AR95" s="296"/>
      <c r="AS95" s="252">
        <f>SUM(AS87:AS93)</f>
        <v>19768.38</v>
      </c>
    </row>
    <row r="96" spans="1:45" ht="18.75" customHeight="1">
      <c r="A96" s="364"/>
      <c r="B96" s="364"/>
      <c r="C96" s="364"/>
      <c r="D96" s="364"/>
      <c r="F96" s="252">
        <v>10</v>
      </c>
      <c r="G96" s="252" t="s">
        <v>866</v>
      </c>
      <c r="H96" s="296" t="s">
        <v>2004</v>
      </c>
      <c r="I96" s="252">
        <f>I83</f>
        <v>12.98</v>
      </c>
      <c r="J96" s="296" t="s">
        <v>866</v>
      </c>
      <c r="K96" s="252">
        <f>(F96*I96)</f>
        <v>129.80000000000001</v>
      </c>
      <c r="M96" s="252">
        <f>I96</f>
        <v>12.98</v>
      </c>
      <c r="U96" s="296"/>
      <c r="W96" s="253"/>
      <c r="AE96" s="252">
        <f t="shared" si="14"/>
        <v>0</v>
      </c>
      <c r="AH96" s="252">
        <f t="shared" si="20"/>
        <v>0</v>
      </c>
      <c r="AI96" s="252">
        <f t="shared" si="17"/>
        <v>0</v>
      </c>
      <c r="AJ96" s="252">
        <f t="shared" si="18"/>
        <v>0</v>
      </c>
      <c r="AK96" s="252">
        <f t="shared" si="19"/>
        <v>0</v>
      </c>
      <c r="AR96" s="296"/>
      <c r="AS96" s="358" t="s">
        <v>1579</v>
      </c>
    </row>
    <row r="97" spans="1:48" ht="18.75" customHeight="1">
      <c r="A97" s="364"/>
      <c r="B97" s="364"/>
      <c r="C97" s="364"/>
      <c r="D97" s="364"/>
      <c r="G97" s="252" t="s">
        <v>446</v>
      </c>
      <c r="H97" s="296" t="s">
        <v>447</v>
      </c>
      <c r="J97" s="296" t="s">
        <v>446</v>
      </c>
      <c r="K97" s="252">
        <v>0</v>
      </c>
      <c r="M97" s="252">
        <f>SUM(M94:M96)</f>
        <v>162.68</v>
      </c>
      <c r="U97" s="296"/>
      <c r="W97" s="253"/>
      <c r="AE97" s="252">
        <f t="shared" si="14"/>
        <v>0</v>
      </c>
      <c r="AH97" s="252">
        <f t="shared" si="20"/>
        <v>0</v>
      </c>
      <c r="AI97" s="252">
        <f t="shared" si="17"/>
        <v>0</v>
      </c>
      <c r="AJ97" s="252">
        <f t="shared" si="18"/>
        <v>0</v>
      </c>
      <c r="AK97" s="252">
        <f t="shared" si="19"/>
        <v>0</v>
      </c>
      <c r="AP97" s="253" t="s">
        <v>770</v>
      </c>
      <c r="AR97" s="296"/>
      <c r="AS97" s="252">
        <f>(AS95/2.83168)</f>
        <v>6981.15</v>
      </c>
    </row>
    <row r="98" spans="1:48" ht="18.75" customHeight="1">
      <c r="A98" s="364"/>
      <c r="B98" s="364"/>
      <c r="C98" s="364"/>
      <c r="D98" s="364"/>
      <c r="K98" s="358" t="s">
        <v>1579</v>
      </c>
      <c r="W98" s="253"/>
      <c r="X98" s="358"/>
      <c r="AE98" s="252">
        <f t="shared" si="14"/>
        <v>0</v>
      </c>
      <c r="AH98" s="252">
        <f t="shared" si="20"/>
        <v>0</v>
      </c>
      <c r="AI98" s="252">
        <f t="shared" si="17"/>
        <v>0</v>
      </c>
      <c r="AJ98" s="252">
        <f t="shared" si="18"/>
        <v>0</v>
      </c>
      <c r="AK98" s="252">
        <f t="shared" si="19"/>
        <v>0</v>
      </c>
      <c r="AR98" s="296"/>
      <c r="AS98" s="358" t="s">
        <v>2046</v>
      </c>
    </row>
    <row r="99" spans="1:48" ht="18.75" customHeight="1">
      <c r="A99" s="364"/>
      <c r="B99" s="364"/>
      <c r="C99" s="364"/>
      <c r="D99" s="364"/>
      <c r="H99" s="296" t="s">
        <v>611</v>
      </c>
      <c r="K99" s="252">
        <f>SUM(K94:K97)</f>
        <v>3467.8</v>
      </c>
      <c r="U99" s="296"/>
      <c r="W99" s="253"/>
      <c r="AE99" s="252">
        <f t="shared" si="14"/>
        <v>0</v>
      </c>
      <c r="AH99" s="252">
        <f t="shared" ref="AH99:AH123" si="22">AF99*1.2</f>
        <v>0</v>
      </c>
      <c r="AP99" s="296" t="s">
        <v>383</v>
      </c>
      <c r="AR99" s="296"/>
      <c r="AS99" s="274">
        <f>AS97+C19</f>
        <v>7060.05</v>
      </c>
      <c r="AU99" s="252">
        <f>AS99*22.69/100</f>
        <v>1601.93</v>
      </c>
      <c r="AV99" s="252">
        <f>AS99-AU99</f>
        <v>5458.12</v>
      </c>
    </row>
    <row r="100" spans="1:48" ht="18.75" customHeight="1">
      <c r="A100" s="364"/>
      <c r="B100" s="364"/>
      <c r="C100" s="364"/>
      <c r="D100" s="364"/>
      <c r="K100" s="358" t="s">
        <v>1579</v>
      </c>
      <c r="W100" s="253"/>
      <c r="X100" s="358"/>
      <c r="AE100" s="252">
        <f t="shared" si="14"/>
        <v>0</v>
      </c>
      <c r="AH100" s="252">
        <f t="shared" si="22"/>
        <v>0</v>
      </c>
      <c r="AP100" s="296" t="s">
        <v>385</v>
      </c>
      <c r="AR100" s="296"/>
      <c r="AS100" s="274">
        <f>(AS99+C20)</f>
        <v>7219.25</v>
      </c>
      <c r="AU100" s="252">
        <f t="shared" ref="AU100:AU163" si="23">AS100*22.69/100</f>
        <v>1638.05</v>
      </c>
      <c r="AV100" s="252">
        <f t="shared" ref="AV100:AV163" si="24">AS100-AU100</f>
        <v>5581.2</v>
      </c>
    </row>
    <row r="101" spans="1:48" ht="18.75" customHeight="1">
      <c r="A101" s="364"/>
      <c r="B101" s="364"/>
      <c r="C101" s="364"/>
      <c r="D101" s="364"/>
      <c r="H101" s="276" t="s">
        <v>2040</v>
      </c>
      <c r="I101" s="274" t="s">
        <v>1394</v>
      </c>
      <c r="J101" s="276"/>
      <c r="K101" s="274">
        <f>(K99/10)</f>
        <v>346.78</v>
      </c>
      <c r="M101" s="252">
        <f>SUM(M94:M95)</f>
        <v>149.69999999999999</v>
      </c>
      <c r="U101" s="276"/>
      <c r="V101" s="274"/>
      <c r="W101" s="255"/>
      <c r="X101" s="274"/>
      <c r="AE101" s="252">
        <f t="shared" si="14"/>
        <v>0</v>
      </c>
      <c r="AH101" s="252">
        <f t="shared" si="22"/>
        <v>0</v>
      </c>
      <c r="AP101" s="296" t="s">
        <v>2222</v>
      </c>
      <c r="AR101" s="296"/>
      <c r="AS101" s="274">
        <f>(AS100+C20)</f>
        <v>7378.45</v>
      </c>
      <c r="AU101" s="252">
        <f t="shared" si="23"/>
        <v>1674.17</v>
      </c>
      <c r="AV101" s="252">
        <f t="shared" si="24"/>
        <v>5704.28</v>
      </c>
    </row>
    <row r="102" spans="1:48" ht="18.75" customHeight="1">
      <c r="A102" s="364"/>
      <c r="B102" s="364"/>
      <c r="C102" s="364"/>
      <c r="D102" s="364"/>
      <c r="I102" s="274" t="s">
        <v>1357</v>
      </c>
      <c r="J102" s="276"/>
      <c r="K102" s="360">
        <f>ROUND(K101+C36,2)</f>
        <v>357.33</v>
      </c>
      <c r="V102" s="274"/>
      <c r="W102" s="255"/>
      <c r="X102" s="360"/>
      <c r="AE102" s="252">
        <f t="shared" si="14"/>
        <v>0</v>
      </c>
      <c r="AH102" s="252">
        <f t="shared" si="22"/>
        <v>0</v>
      </c>
      <c r="AP102" s="296" t="s">
        <v>377</v>
      </c>
      <c r="AR102" s="296"/>
      <c r="AS102" s="274">
        <f>(AS101+C20)</f>
        <v>7537.65</v>
      </c>
      <c r="AU102" s="252">
        <f t="shared" si="23"/>
        <v>1710.29</v>
      </c>
      <c r="AV102" s="252">
        <f t="shared" si="24"/>
        <v>5827.36</v>
      </c>
    </row>
    <row r="103" spans="1:48" ht="18.75" customHeight="1">
      <c r="A103" s="364"/>
      <c r="B103" s="364"/>
      <c r="C103" s="364"/>
      <c r="D103" s="364"/>
      <c r="I103" s="274"/>
      <c r="J103" s="276"/>
      <c r="K103" s="388"/>
      <c r="V103" s="274"/>
      <c r="W103" s="255"/>
      <c r="X103" s="388"/>
      <c r="AE103" s="252">
        <f t="shared" si="14"/>
        <v>0</v>
      </c>
      <c r="AH103" s="252">
        <f t="shared" si="22"/>
        <v>0</v>
      </c>
      <c r="AN103" s="296" t="s">
        <v>971</v>
      </c>
      <c r="AP103" s="296" t="s">
        <v>485</v>
      </c>
      <c r="AR103" s="296"/>
      <c r="AS103" s="274">
        <f>(AS102+C20)</f>
        <v>7696.85</v>
      </c>
      <c r="AU103" s="252">
        <f t="shared" si="23"/>
        <v>1746.42</v>
      </c>
      <c r="AV103" s="252">
        <f t="shared" si="24"/>
        <v>5950.43</v>
      </c>
    </row>
    <row r="104" spans="1:48" ht="18.75" customHeight="1">
      <c r="A104" s="364"/>
      <c r="B104" s="364"/>
      <c r="C104" s="364"/>
      <c r="D104" s="364"/>
      <c r="F104" s="375">
        <v>1.7</v>
      </c>
      <c r="H104" s="275" t="s">
        <v>653</v>
      </c>
      <c r="I104" s="274" t="s">
        <v>1394</v>
      </c>
      <c r="J104" s="276"/>
      <c r="K104" s="360">
        <f>ROUND(K101-K96/10,2)</f>
        <v>333.8</v>
      </c>
      <c r="S104" s="384"/>
      <c r="U104" s="275"/>
      <c r="V104" s="274"/>
      <c r="W104" s="255"/>
      <c r="X104" s="360"/>
      <c r="AE104" s="252">
        <f t="shared" si="14"/>
        <v>0</v>
      </c>
      <c r="AH104" s="252">
        <f t="shared" si="22"/>
        <v>0</v>
      </c>
      <c r="AN104" s="369">
        <v>27</v>
      </c>
      <c r="AO104" s="252" t="s">
        <v>2241</v>
      </c>
      <c r="AP104" s="296" t="s">
        <v>3738</v>
      </c>
      <c r="AR104" s="296"/>
      <c r="AS104" s="274">
        <f>(AS103+C21)</f>
        <v>7856.05</v>
      </c>
    </row>
    <row r="105" spans="1:48" ht="18.75" customHeight="1">
      <c r="A105" s="364"/>
      <c r="B105" s="364"/>
      <c r="C105" s="364"/>
      <c r="D105" s="364"/>
      <c r="I105" s="274" t="s">
        <v>1357</v>
      </c>
      <c r="J105" s="276"/>
      <c r="K105" s="360">
        <f>ROUND(K104+C36,2)</f>
        <v>344.35</v>
      </c>
      <c r="V105" s="274"/>
      <c r="W105" s="255"/>
      <c r="X105" s="360"/>
      <c r="AE105" s="252">
        <f t="shared" si="14"/>
        <v>0</v>
      </c>
      <c r="AH105" s="252">
        <f t="shared" si="22"/>
        <v>0</v>
      </c>
      <c r="AP105" s="296" t="str">
        <f>AP85</f>
        <v>Bricks of size 23x11x7 cm</v>
      </c>
      <c r="AR105" s="296"/>
    </row>
    <row r="106" spans="1:48" ht="18.75" customHeight="1">
      <c r="A106" s="364"/>
      <c r="B106" s="364"/>
      <c r="C106" s="364"/>
      <c r="D106" s="364"/>
      <c r="K106" s="358"/>
      <c r="W106" s="253"/>
      <c r="X106" s="358"/>
      <c r="AE106" s="252">
        <f t="shared" si="14"/>
        <v>0</v>
      </c>
      <c r="AH106" s="252">
        <f t="shared" si="22"/>
        <v>0</v>
      </c>
      <c r="AP106" s="358" t="s">
        <v>1579</v>
      </c>
      <c r="AR106" s="296"/>
    </row>
    <row r="107" spans="1:48" ht="18.75" customHeight="1">
      <c r="A107" s="364"/>
      <c r="B107" s="364"/>
      <c r="C107" s="364"/>
      <c r="D107" s="364"/>
      <c r="K107" s="358"/>
      <c r="W107" s="253"/>
      <c r="X107" s="358"/>
      <c r="AH107" s="252">
        <f t="shared" si="22"/>
        <v>0</v>
      </c>
      <c r="AN107" s="252">
        <v>1300</v>
      </c>
      <c r="AO107" s="252" t="s">
        <v>1420</v>
      </c>
      <c r="AP107" s="252" t="str">
        <f>AP61</f>
        <v>Bricks of size 23x11x7 cm</v>
      </c>
      <c r="AQ107" s="252">
        <f>AC45</f>
        <v>6959.15</v>
      </c>
      <c r="AR107" s="296" t="s">
        <v>1587</v>
      </c>
      <c r="AS107" s="252">
        <f>(AN107*AQ107)/1000</f>
        <v>9046.9</v>
      </c>
      <c r="AU107" s="252">
        <f t="shared" si="23"/>
        <v>2052.7399999999998</v>
      </c>
      <c r="AV107" s="252">
        <f t="shared" si="24"/>
        <v>6994.16</v>
      </c>
    </row>
    <row r="108" spans="1:48" ht="18.75" customHeight="1">
      <c r="A108" s="364"/>
      <c r="B108" s="364"/>
      <c r="C108" s="364"/>
      <c r="D108" s="364"/>
      <c r="F108" s="375">
        <v>1.4</v>
      </c>
      <c r="G108" s="252" t="s">
        <v>971</v>
      </c>
      <c r="H108" s="389" t="s">
        <v>5651</v>
      </c>
      <c r="S108" s="384">
        <v>1.4</v>
      </c>
      <c r="T108" s="252" t="s">
        <v>971</v>
      </c>
      <c r="U108" s="389" t="s">
        <v>5651</v>
      </c>
      <c r="W108" s="253"/>
      <c r="AH108" s="252">
        <f t="shared" si="22"/>
        <v>0</v>
      </c>
      <c r="AN108" s="356">
        <v>0.70799999999999996</v>
      </c>
      <c r="AO108" s="252" t="s">
        <v>866</v>
      </c>
      <c r="AP108" s="296" t="s">
        <v>1302</v>
      </c>
      <c r="AQ108" s="252">
        <f>K40</f>
        <v>4136.5</v>
      </c>
      <c r="AR108" s="296" t="s">
        <v>866</v>
      </c>
      <c r="AS108" s="252">
        <f>(AN108*AQ108)</f>
        <v>2928.64</v>
      </c>
      <c r="AU108" s="252">
        <f t="shared" si="23"/>
        <v>664.51</v>
      </c>
      <c r="AV108" s="252">
        <f t="shared" si="24"/>
        <v>2264.13</v>
      </c>
    </row>
    <row r="109" spans="1:48" ht="18.75" customHeight="1">
      <c r="A109" s="364"/>
      <c r="B109" s="364"/>
      <c r="C109" s="364"/>
      <c r="D109" s="364"/>
      <c r="W109" s="253"/>
      <c r="AH109" s="252">
        <f t="shared" si="22"/>
        <v>0</v>
      </c>
      <c r="AN109" s="252">
        <v>1</v>
      </c>
      <c r="AO109" s="252" t="s">
        <v>865</v>
      </c>
      <c r="AP109" s="296" t="s">
        <v>2000</v>
      </c>
      <c r="AQ109" s="252">
        <f>AQ89</f>
        <v>999</v>
      </c>
      <c r="AR109" s="296" t="s">
        <v>865</v>
      </c>
      <c r="AS109" s="252">
        <f>(AN109*AQ109)</f>
        <v>999</v>
      </c>
      <c r="AU109" s="252">
        <f t="shared" si="23"/>
        <v>226.67</v>
      </c>
      <c r="AV109" s="252">
        <f t="shared" si="24"/>
        <v>772.33</v>
      </c>
    </row>
    <row r="110" spans="1:48" ht="18.75" customHeight="1">
      <c r="A110" s="364"/>
      <c r="B110" s="364"/>
      <c r="C110" s="364"/>
      <c r="D110" s="364"/>
      <c r="F110" s="252">
        <v>10</v>
      </c>
      <c r="G110" s="252" t="s">
        <v>866</v>
      </c>
      <c r="H110" s="296" t="s">
        <v>1173</v>
      </c>
      <c r="I110" s="252">
        <f>C61</f>
        <v>112.05</v>
      </c>
      <c r="J110" s="296" t="s">
        <v>866</v>
      </c>
      <c r="K110" s="252">
        <f>(F110*I110)</f>
        <v>1120.5</v>
      </c>
      <c r="S110" s="356">
        <v>10</v>
      </c>
      <c r="T110" s="252" t="s">
        <v>866</v>
      </c>
      <c r="U110" s="296" t="s">
        <v>1173</v>
      </c>
      <c r="V110" s="252">
        <f>V81</f>
        <v>74.849999999999994</v>
      </c>
      <c r="W110" s="253" t="s">
        <v>866</v>
      </c>
      <c r="X110" s="252">
        <f>(S110*V110)</f>
        <v>748.5</v>
      </c>
      <c r="AH110" s="252">
        <f t="shared" si="22"/>
        <v>0</v>
      </c>
      <c r="AN110" s="252">
        <v>3</v>
      </c>
      <c r="AO110" s="252" t="s">
        <v>865</v>
      </c>
      <c r="AP110" s="296" t="s">
        <v>1704</v>
      </c>
      <c r="AQ110" s="252">
        <f>AQ90</f>
        <v>932</v>
      </c>
      <c r="AR110" s="296" t="s">
        <v>865</v>
      </c>
      <c r="AS110" s="252">
        <f>(AN110*AQ110)</f>
        <v>2796</v>
      </c>
      <c r="AU110" s="252">
        <f t="shared" si="23"/>
        <v>634.41</v>
      </c>
      <c r="AV110" s="252">
        <f t="shared" si="24"/>
        <v>2161.59</v>
      </c>
    </row>
    <row r="111" spans="1:48" ht="18.75" customHeight="1">
      <c r="A111" s="364"/>
      <c r="B111" s="364"/>
      <c r="C111" s="364"/>
      <c r="D111" s="364"/>
      <c r="F111" s="252">
        <v>10</v>
      </c>
      <c r="G111" s="252" t="s">
        <v>866</v>
      </c>
      <c r="H111" s="296" t="s">
        <v>2004</v>
      </c>
      <c r="I111" s="252">
        <f>I83</f>
        <v>12.98</v>
      </c>
      <c r="J111" s="296" t="s">
        <v>866</v>
      </c>
      <c r="K111" s="252">
        <f>(F111*I111)</f>
        <v>129.80000000000001</v>
      </c>
      <c r="S111" s="356">
        <v>10</v>
      </c>
      <c r="T111" s="252" t="s">
        <v>866</v>
      </c>
      <c r="U111" s="296" t="s">
        <v>2004</v>
      </c>
      <c r="V111" s="252">
        <f>V83</f>
        <v>11.4</v>
      </c>
      <c r="W111" s="253" t="s">
        <v>866</v>
      </c>
      <c r="X111" s="252">
        <f>(S111*V111)</f>
        <v>114</v>
      </c>
      <c r="AH111" s="252">
        <f t="shared" si="22"/>
        <v>0</v>
      </c>
      <c r="AN111" s="252">
        <v>2</v>
      </c>
      <c r="AO111" s="252" t="s">
        <v>865</v>
      </c>
      <c r="AP111" s="296" t="s">
        <v>1893</v>
      </c>
      <c r="AQ111" s="252">
        <f>AQ91</f>
        <v>651</v>
      </c>
      <c r="AR111" s="296" t="s">
        <v>865</v>
      </c>
      <c r="AS111" s="252">
        <f>(AN111*AQ111)</f>
        <v>1302</v>
      </c>
      <c r="AU111" s="252">
        <f t="shared" si="23"/>
        <v>295.42</v>
      </c>
      <c r="AV111" s="252">
        <f t="shared" si="24"/>
        <v>1006.58</v>
      </c>
    </row>
    <row r="112" spans="1:48" ht="18.75" customHeight="1">
      <c r="A112" s="364"/>
      <c r="B112" s="364"/>
      <c r="C112" s="364"/>
      <c r="D112" s="364"/>
      <c r="G112" s="252" t="s">
        <v>446</v>
      </c>
      <c r="H112" s="296" t="s">
        <v>447</v>
      </c>
      <c r="J112" s="296" t="s">
        <v>446</v>
      </c>
      <c r="K112" s="252">
        <v>0</v>
      </c>
      <c r="T112" s="252" t="s">
        <v>446</v>
      </c>
      <c r="U112" s="296" t="s">
        <v>447</v>
      </c>
      <c r="W112" s="253" t="s">
        <v>446</v>
      </c>
      <c r="X112" s="252">
        <v>0</v>
      </c>
      <c r="AH112" s="252">
        <f t="shared" si="22"/>
        <v>0</v>
      </c>
      <c r="AN112" s="252">
        <v>6</v>
      </c>
      <c r="AO112" s="252" t="s">
        <v>865</v>
      </c>
      <c r="AP112" s="296" t="s">
        <v>317</v>
      </c>
      <c r="AQ112" s="252">
        <f>AQ92</f>
        <v>534</v>
      </c>
      <c r="AR112" s="296" t="s">
        <v>865</v>
      </c>
      <c r="AS112" s="252">
        <f>(AN112*AQ112)</f>
        <v>3204</v>
      </c>
      <c r="AU112" s="252">
        <f t="shared" si="23"/>
        <v>726.99</v>
      </c>
      <c r="AV112" s="252">
        <f t="shared" si="24"/>
        <v>2477.0100000000002</v>
      </c>
    </row>
    <row r="113" spans="1:48" ht="18.75" customHeight="1">
      <c r="A113" s="364"/>
      <c r="B113" s="364"/>
      <c r="C113" s="364"/>
      <c r="D113" s="364"/>
      <c r="K113" s="358" t="s">
        <v>1579</v>
      </c>
      <c r="W113" s="253"/>
      <c r="X113" s="358" t="s">
        <v>1579</v>
      </c>
      <c r="AH113" s="252">
        <f t="shared" si="22"/>
        <v>0</v>
      </c>
      <c r="AO113" s="252" t="s">
        <v>446</v>
      </c>
      <c r="AP113" s="296" t="s">
        <v>447</v>
      </c>
      <c r="AR113" s="296" t="s">
        <v>446</v>
      </c>
      <c r="AS113" s="252">
        <v>5</v>
      </c>
      <c r="AU113" s="252">
        <f t="shared" si="23"/>
        <v>1.1299999999999999</v>
      </c>
      <c r="AV113" s="252">
        <f t="shared" si="24"/>
        <v>3.87</v>
      </c>
    </row>
    <row r="114" spans="1:48" ht="18.75" customHeight="1">
      <c r="A114" s="364"/>
      <c r="B114" s="364"/>
      <c r="C114" s="364"/>
      <c r="D114" s="364"/>
      <c r="H114" s="296" t="s">
        <v>611</v>
      </c>
      <c r="K114" s="252">
        <f>SUM(K110:K112)</f>
        <v>1250.3</v>
      </c>
      <c r="U114" s="296" t="s">
        <v>611</v>
      </c>
      <c r="W114" s="253"/>
      <c r="X114" s="252">
        <f>SUM(X110:X112)</f>
        <v>862.5</v>
      </c>
      <c r="AH114" s="252">
        <f t="shared" si="22"/>
        <v>0</v>
      </c>
      <c r="AR114" s="296"/>
      <c r="AS114" s="358" t="s">
        <v>1579</v>
      </c>
      <c r="AU114" s="252">
        <f t="shared" si="23"/>
        <v>0</v>
      </c>
      <c r="AV114" s="252">
        <f t="shared" si="24"/>
        <v>0</v>
      </c>
    </row>
    <row r="115" spans="1:48" ht="18.75" customHeight="1">
      <c r="A115" s="364"/>
      <c r="B115" s="364"/>
      <c r="C115" s="364"/>
      <c r="D115" s="364"/>
      <c r="K115" s="358" t="s">
        <v>1579</v>
      </c>
      <c r="W115" s="253"/>
      <c r="X115" s="358" t="s">
        <v>1579</v>
      </c>
      <c r="AH115" s="252">
        <f t="shared" si="22"/>
        <v>0</v>
      </c>
      <c r="AP115" s="296" t="s">
        <v>611</v>
      </c>
      <c r="AR115" s="296"/>
      <c r="AS115" s="252">
        <f>SUM(AS107:AS113)</f>
        <v>20281.54</v>
      </c>
      <c r="AU115" s="252">
        <f t="shared" si="23"/>
        <v>4601.88</v>
      </c>
      <c r="AV115" s="252">
        <f t="shared" si="24"/>
        <v>15679.66</v>
      </c>
    </row>
    <row r="116" spans="1:48" ht="18.75" customHeight="1">
      <c r="A116" s="364"/>
      <c r="B116" s="364"/>
      <c r="C116" s="364"/>
      <c r="D116" s="364"/>
      <c r="H116" s="296"/>
      <c r="K116" s="274">
        <f>(K114/10)</f>
        <v>125.03</v>
      </c>
      <c r="L116" s="274">
        <f>K116+C36</f>
        <v>135.58000000000001</v>
      </c>
      <c r="M116" s="252">
        <f>M94</f>
        <v>74.849999999999994</v>
      </c>
      <c r="U116" s="296"/>
      <c r="W116" s="253"/>
      <c r="X116" s="274">
        <f>(X114/10)</f>
        <v>86.25</v>
      </c>
      <c r="AH116" s="252">
        <f t="shared" si="22"/>
        <v>0</v>
      </c>
      <c r="AR116" s="296"/>
      <c r="AS116" s="358" t="s">
        <v>1579</v>
      </c>
      <c r="AU116" s="252">
        <f t="shared" si="23"/>
        <v>0</v>
      </c>
      <c r="AV116" s="252">
        <f t="shared" si="24"/>
        <v>0</v>
      </c>
    </row>
    <row r="117" spans="1:48" ht="18.75" customHeight="1">
      <c r="A117" s="364"/>
      <c r="B117" s="364"/>
      <c r="C117" s="364"/>
      <c r="D117" s="364"/>
      <c r="K117" s="358"/>
      <c r="W117" s="253"/>
      <c r="X117" s="358"/>
      <c r="AH117" s="252">
        <f t="shared" si="22"/>
        <v>0</v>
      </c>
      <c r="AP117" s="296" t="s">
        <v>770</v>
      </c>
      <c r="AR117" s="296"/>
      <c r="AS117" s="274">
        <f>(AS115/2.83168)</f>
        <v>7162.37</v>
      </c>
      <c r="AU117" s="252">
        <f t="shared" si="23"/>
        <v>1625.14</v>
      </c>
      <c r="AV117" s="252">
        <f t="shared" si="24"/>
        <v>5537.23</v>
      </c>
    </row>
    <row r="118" spans="1:48" ht="18.75" customHeight="1">
      <c r="A118" s="364"/>
      <c r="B118" s="364"/>
      <c r="C118" s="364"/>
      <c r="D118" s="364"/>
      <c r="F118" s="375">
        <v>1.5</v>
      </c>
      <c r="H118" s="296" t="s">
        <v>2026</v>
      </c>
      <c r="I118" s="274" t="s">
        <v>1394</v>
      </c>
      <c r="K118" s="274">
        <f>K116-K111/10</f>
        <v>112.05</v>
      </c>
      <c r="S118" s="384">
        <v>1.5</v>
      </c>
      <c r="U118" s="296" t="s">
        <v>2026</v>
      </c>
      <c r="V118" s="274" t="s">
        <v>1394</v>
      </c>
      <c r="W118" s="253"/>
      <c r="X118" s="274">
        <f>X116-X111/10</f>
        <v>74.849999999999994</v>
      </c>
      <c r="AH118" s="252">
        <f t="shared" si="22"/>
        <v>0</v>
      </c>
      <c r="AR118" s="296"/>
      <c r="AS118" s="358" t="s">
        <v>2046</v>
      </c>
      <c r="AU118" s="252">
        <f t="shared" si="23"/>
        <v>0</v>
      </c>
      <c r="AV118" s="252">
        <f t="shared" si="24"/>
        <v>0</v>
      </c>
    </row>
    <row r="119" spans="1:48" ht="18.75" customHeight="1">
      <c r="A119" s="364"/>
      <c r="B119" s="364"/>
      <c r="C119" s="364"/>
      <c r="D119" s="364"/>
      <c r="I119" s="274" t="s">
        <v>1357</v>
      </c>
      <c r="K119" s="360">
        <f>ROUND(K118+C36,2)</f>
        <v>122.6</v>
      </c>
      <c r="V119" s="274" t="s">
        <v>1357</v>
      </c>
      <c r="W119" s="253"/>
      <c r="X119" s="360">
        <f>ROUND(X118+P36,2)</f>
        <v>74.849999999999994</v>
      </c>
      <c r="AH119" s="252">
        <f t="shared" si="22"/>
        <v>0</v>
      </c>
      <c r="AP119" s="296" t="s">
        <v>383</v>
      </c>
      <c r="AR119" s="296"/>
      <c r="AS119" s="252">
        <f>(AS117+C19)</f>
        <v>7241.27</v>
      </c>
      <c r="AT119" s="252">
        <f>AS119-AS117</f>
        <v>78.900000000000006</v>
      </c>
      <c r="AU119" s="252">
        <f t="shared" si="23"/>
        <v>1643.04</v>
      </c>
      <c r="AV119" s="252">
        <f t="shared" si="24"/>
        <v>5598.23</v>
      </c>
    </row>
    <row r="120" spans="1:48" ht="18.75" customHeight="1">
      <c r="A120" s="364"/>
      <c r="B120" s="364"/>
      <c r="C120" s="364"/>
      <c r="D120" s="364"/>
      <c r="I120" s="252" t="s">
        <v>3777</v>
      </c>
      <c r="K120" s="360">
        <f>ROUND(K119+C36,2)</f>
        <v>133.15</v>
      </c>
      <c r="W120" s="253"/>
      <c r="X120" s="358"/>
      <c r="AH120" s="252">
        <f t="shared" si="22"/>
        <v>0</v>
      </c>
      <c r="AP120" s="296" t="s">
        <v>385</v>
      </c>
      <c r="AR120" s="296"/>
      <c r="AS120" s="252">
        <f>(AS119+C20)</f>
        <v>7400.47</v>
      </c>
      <c r="AT120" s="252">
        <f>AS120-AS119</f>
        <v>159.19999999999999</v>
      </c>
      <c r="AU120" s="252">
        <f t="shared" si="23"/>
        <v>1679.17</v>
      </c>
      <c r="AV120" s="252">
        <f t="shared" si="24"/>
        <v>5721.3</v>
      </c>
    </row>
    <row r="121" spans="1:48" ht="18.75" customHeight="1">
      <c r="A121" s="364"/>
      <c r="B121" s="364"/>
      <c r="C121" s="364"/>
      <c r="D121" s="364"/>
      <c r="I121" s="252" t="s">
        <v>3778</v>
      </c>
      <c r="K121" s="360">
        <f>ROUND(K120+C36,2)</f>
        <v>143.69999999999999</v>
      </c>
      <c r="W121" s="253"/>
      <c r="X121" s="358"/>
      <c r="AH121" s="252">
        <f t="shared" si="22"/>
        <v>0</v>
      </c>
      <c r="AP121" s="296" t="s">
        <v>2222</v>
      </c>
      <c r="AR121" s="296"/>
      <c r="AS121" s="252">
        <f>(AS120+C20)</f>
        <v>7559.67</v>
      </c>
      <c r="AU121" s="252">
        <f t="shared" si="23"/>
        <v>1715.29</v>
      </c>
      <c r="AV121" s="252">
        <f t="shared" si="24"/>
        <v>5844.38</v>
      </c>
    </row>
    <row r="122" spans="1:48" ht="18.75" customHeight="1">
      <c r="A122" s="364"/>
      <c r="B122" s="364"/>
      <c r="C122" s="364"/>
      <c r="D122" s="364"/>
      <c r="F122" s="390">
        <v>1.8</v>
      </c>
      <c r="H122" s="389" t="s">
        <v>5652</v>
      </c>
      <c r="K122" s="358"/>
      <c r="M122" s="253" t="s">
        <v>381</v>
      </c>
      <c r="N122" s="252" t="s">
        <v>2241</v>
      </c>
      <c r="O122" s="296" t="s">
        <v>382</v>
      </c>
      <c r="Q122" s="296"/>
      <c r="S122" s="391"/>
      <c r="U122" s="389"/>
      <c r="W122" s="253"/>
      <c r="X122" s="358"/>
      <c r="AH122" s="252">
        <f t="shared" si="22"/>
        <v>0</v>
      </c>
      <c r="AP122" s="296" t="s">
        <v>377</v>
      </c>
      <c r="AR122" s="296"/>
      <c r="AS122" s="252">
        <f>AS121+C20</f>
        <v>7718.87</v>
      </c>
      <c r="AU122" s="252">
        <f t="shared" si="23"/>
        <v>1751.41</v>
      </c>
      <c r="AV122" s="252">
        <f t="shared" si="24"/>
        <v>5967.46</v>
      </c>
    </row>
    <row r="123" spans="1:48" ht="18.75" customHeight="1">
      <c r="A123" s="364"/>
      <c r="B123" s="364"/>
      <c r="C123" s="364"/>
      <c r="D123" s="364"/>
      <c r="K123" s="358"/>
      <c r="O123" s="296" t="s">
        <v>5653</v>
      </c>
      <c r="Q123" s="296"/>
      <c r="W123" s="253"/>
      <c r="X123" s="358"/>
      <c r="AH123" s="252">
        <f t="shared" si="22"/>
        <v>0</v>
      </c>
      <c r="AP123" s="296" t="s">
        <v>485</v>
      </c>
      <c r="AR123" s="296"/>
      <c r="AS123" s="252">
        <f>AS122+C20</f>
        <v>7878.07</v>
      </c>
      <c r="AU123" s="252">
        <f t="shared" si="23"/>
        <v>1787.53</v>
      </c>
      <c r="AV123" s="252">
        <f t="shared" si="24"/>
        <v>6090.54</v>
      </c>
    </row>
    <row r="124" spans="1:48" ht="18.75" customHeight="1">
      <c r="A124" s="364"/>
      <c r="B124" s="364"/>
      <c r="C124" s="364"/>
      <c r="D124" s="364"/>
      <c r="F124" s="252">
        <v>10</v>
      </c>
      <c r="G124" s="252" t="s">
        <v>866</v>
      </c>
      <c r="H124" s="296" t="s">
        <v>378</v>
      </c>
      <c r="I124" s="252">
        <f>D61</f>
        <v>166.9</v>
      </c>
      <c r="J124" s="296" t="s">
        <v>866</v>
      </c>
      <c r="K124" s="252">
        <f>(F124*I124)</f>
        <v>1669</v>
      </c>
      <c r="O124" s="358" t="s">
        <v>1579</v>
      </c>
      <c r="Q124" s="296"/>
      <c r="U124" s="296"/>
      <c r="W124" s="253" t="s">
        <v>866</v>
      </c>
      <c r="AP124" s="296" t="s">
        <v>1823</v>
      </c>
      <c r="AR124" s="296"/>
      <c r="AS124" s="252">
        <f>(AS119+AS120+AS121+AS122)/4</f>
        <v>7480.07</v>
      </c>
      <c r="AU124" s="252">
        <f t="shared" si="23"/>
        <v>1697.23</v>
      </c>
      <c r="AV124" s="252">
        <f t="shared" si="24"/>
        <v>5782.84</v>
      </c>
    </row>
    <row r="125" spans="1:48" ht="18.75" customHeight="1">
      <c r="A125" s="364"/>
      <c r="B125" s="364"/>
      <c r="C125" s="364"/>
      <c r="D125" s="364"/>
      <c r="G125" s="252" t="s">
        <v>654</v>
      </c>
      <c r="J125" s="296" t="s">
        <v>654</v>
      </c>
      <c r="K125" s="252">
        <v>0</v>
      </c>
      <c r="M125" s="252">
        <v>1</v>
      </c>
      <c r="N125" s="252" t="s">
        <v>866</v>
      </c>
      <c r="O125" s="296" t="s">
        <v>1912</v>
      </c>
      <c r="P125" s="252">
        <f>AC39</f>
        <v>166.5</v>
      </c>
      <c r="Q125" s="296" t="s">
        <v>866</v>
      </c>
      <c r="R125" s="252">
        <f>(M125*P125)</f>
        <v>166.5</v>
      </c>
      <c r="W125" s="253" t="s">
        <v>654</v>
      </c>
    </row>
    <row r="126" spans="1:48" ht="18.75" customHeight="1">
      <c r="A126" s="364"/>
      <c r="B126" s="364"/>
      <c r="C126" s="364"/>
      <c r="D126" s="364"/>
      <c r="K126" s="358" t="s">
        <v>1579</v>
      </c>
      <c r="M126" s="252">
        <v>1</v>
      </c>
      <c r="N126" s="252" t="s">
        <v>866</v>
      </c>
      <c r="O126" s="296" t="s">
        <v>1349</v>
      </c>
      <c r="P126" s="252">
        <f>P141</f>
        <v>38.950000000000003</v>
      </c>
      <c r="Q126" s="296" t="s">
        <v>866</v>
      </c>
      <c r="R126" s="252">
        <f>(M126*P126)</f>
        <v>38.950000000000003</v>
      </c>
      <c r="W126" s="253"/>
      <c r="X126" s="358"/>
      <c r="AR126" s="296"/>
    </row>
    <row r="127" spans="1:48" ht="18.75" customHeight="1">
      <c r="A127" s="364"/>
      <c r="B127" s="364"/>
      <c r="C127" s="364"/>
      <c r="D127" s="364"/>
      <c r="H127" s="296" t="s">
        <v>611</v>
      </c>
      <c r="K127" s="252">
        <f>SUM(K124:K125)</f>
        <v>1669</v>
      </c>
      <c r="N127" s="252" t="s">
        <v>446</v>
      </c>
      <c r="O127" s="296" t="s">
        <v>447</v>
      </c>
      <c r="P127" s="296" t="s">
        <v>971</v>
      </c>
      <c r="Q127" s="296" t="s">
        <v>446</v>
      </c>
      <c r="R127" s="252">
        <v>0</v>
      </c>
      <c r="U127" s="296"/>
      <c r="W127" s="253"/>
      <c r="AP127" s="255" t="s">
        <v>1825</v>
      </c>
      <c r="AR127" s="296"/>
    </row>
    <row r="128" spans="1:48" ht="18.75" customHeight="1">
      <c r="A128" s="364"/>
      <c r="B128" s="364"/>
      <c r="C128" s="364"/>
      <c r="D128" s="364"/>
      <c r="K128" s="358" t="s">
        <v>1579</v>
      </c>
      <c r="Q128" s="296"/>
      <c r="R128" s="358" t="s">
        <v>1579</v>
      </c>
      <c r="W128" s="253"/>
      <c r="X128" s="358"/>
      <c r="AP128" s="358" t="s">
        <v>1579</v>
      </c>
      <c r="AR128" s="296"/>
    </row>
    <row r="129" spans="1:48" ht="18.75" customHeight="1">
      <c r="A129" s="364"/>
      <c r="B129" s="364"/>
      <c r="C129" s="364"/>
      <c r="D129" s="364"/>
      <c r="F129" s="375"/>
      <c r="H129" s="260" t="s">
        <v>5654</v>
      </c>
      <c r="I129" s="274" t="s">
        <v>1394</v>
      </c>
      <c r="K129" s="360">
        <f>ROUND(K127/10,2)</f>
        <v>166.9</v>
      </c>
      <c r="O129" s="296" t="s">
        <v>1509</v>
      </c>
      <c r="Q129" s="296"/>
      <c r="R129" s="252">
        <f>SUM(R125:R127)</f>
        <v>205.45</v>
      </c>
      <c r="S129" s="384"/>
      <c r="U129" s="260"/>
      <c r="V129" s="274"/>
      <c r="W129" s="253"/>
      <c r="X129" s="360"/>
      <c r="AN129" s="369">
        <v>10</v>
      </c>
      <c r="AO129" s="252" t="s">
        <v>2241</v>
      </c>
      <c r="AP129" s="296" t="s">
        <v>3739</v>
      </c>
      <c r="AR129" s="296"/>
    </row>
    <row r="130" spans="1:48" ht="18.75" customHeight="1">
      <c r="A130" s="364"/>
      <c r="B130" s="364"/>
      <c r="C130" s="364"/>
      <c r="D130" s="364"/>
      <c r="I130" s="274" t="s">
        <v>1357</v>
      </c>
      <c r="K130" s="360">
        <f>ROUND(K129+C36,2)</f>
        <v>177.45</v>
      </c>
      <c r="V130" s="274"/>
      <c r="W130" s="253"/>
      <c r="X130" s="360"/>
      <c r="AP130" s="252" t="str">
        <f>AP61</f>
        <v>Bricks of size 23x11x7 cm</v>
      </c>
      <c r="AR130" s="296"/>
    </row>
    <row r="131" spans="1:48" ht="18.75" customHeight="1">
      <c r="A131" s="364"/>
      <c r="B131" s="364"/>
      <c r="C131" s="364"/>
      <c r="D131" s="364"/>
      <c r="I131" s="274"/>
      <c r="K131" s="358"/>
      <c r="V131" s="274"/>
      <c r="W131" s="253"/>
      <c r="X131" s="358"/>
      <c r="AP131" s="358" t="s">
        <v>1579</v>
      </c>
      <c r="AR131" s="296"/>
    </row>
    <row r="132" spans="1:48" ht="18.75" customHeight="1">
      <c r="A132" s="364"/>
      <c r="B132" s="364"/>
      <c r="C132" s="364"/>
      <c r="D132" s="364"/>
      <c r="F132" s="375">
        <v>1.6</v>
      </c>
      <c r="H132" s="296" t="s">
        <v>793</v>
      </c>
      <c r="I132" s="274"/>
      <c r="S132" s="384">
        <v>1.6</v>
      </c>
      <c r="U132" s="296" t="s">
        <v>793</v>
      </c>
      <c r="V132" s="274"/>
      <c r="W132" s="253"/>
      <c r="AN132" s="252">
        <f>AN63</f>
        <v>1300</v>
      </c>
      <c r="AO132" s="252" t="s">
        <v>1420</v>
      </c>
      <c r="AP132" s="252" t="str">
        <f>AP61</f>
        <v>Bricks of size 23x11x7 cm</v>
      </c>
      <c r="AQ132" s="252">
        <f>AC45</f>
        <v>6959.15</v>
      </c>
      <c r="AR132" s="296" t="s">
        <v>1587</v>
      </c>
      <c r="AS132" s="252">
        <f>(AN132*AQ132)/1000</f>
        <v>9046.9</v>
      </c>
      <c r="AU132" s="252">
        <f t="shared" si="23"/>
        <v>2052.7399999999998</v>
      </c>
      <c r="AV132" s="252">
        <f t="shared" si="24"/>
        <v>6994.16</v>
      </c>
    </row>
    <row r="133" spans="1:48" ht="18.75" customHeight="1">
      <c r="A133" s="364"/>
      <c r="B133" s="364"/>
      <c r="C133" s="364"/>
      <c r="D133" s="364"/>
      <c r="H133" s="296" t="s">
        <v>379</v>
      </c>
      <c r="I133" s="274" t="s">
        <v>1394</v>
      </c>
      <c r="K133" s="274">
        <f>C61*1.5</f>
        <v>168.08</v>
      </c>
      <c r="L133" s="274"/>
      <c r="M133" s="252">
        <f>M116*1.5</f>
        <v>112.28</v>
      </c>
      <c r="U133" s="296" t="s">
        <v>379</v>
      </c>
      <c r="V133" s="274" t="s">
        <v>1394</v>
      </c>
      <c r="W133" s="253"/>
      <c r="X133" s="274">
        <f>V81*1.5</f>
        <v>112.28</v>
      </c>
      <c r="AN133" s="356">
        <v>0.70799999999999996</v>
      </c>
      <c r="AO133" s="252" t="s">
        <v>866</v>
      </c>
      <c r="AP133" s="296" t="s">
        <v>1302</v>
      </c>
      <c r="AQ133" s="252">
        <f>K40</f>
        <v>4136.5</v>
      </c>
      <c r="AR133" s="296" t="s">
        <v>866</v>
      </c>
      <c r="AS133" s="252">
        <f>(AN133*AQ133)</f>
        <v>2928.64</v>
      </c>
      <c r="AU133" s="252">
        <f t="shared" si="23"/>
        <v>664.51</v>
      </c>
      <c r="AV133" s="252">
        <f t="shared" si="24"/>
        <v>2264.13</v>
      </c>
    </row>
    <row r="134" spans="1:48" ht="18.75" customHeight="1">
      <c r="A134" s="364"/>
      <c r="B134" s="364"/>
      <c r="C134" s="364"/>
      <c r="D134" s="364"/>
      <c r="F134" s="296" t="s">
        <v>971</v>
      </c>
      <c r="H134" s="296" t="s">
        <v>380</v>
      </c>
      <c r="I134" s="274" t="s">
        <v>1357</v>
      </c>
      <c r="K134" s="360">
        <f>ROUND(K133+C36,2)</f>
        <v>178.63</v>
      </c>
      <c r="S134" s="386" t="s">
        <v>971</v>
      </c>
      <c r="U134" s="296" t="s">
        <v>380</v>
      </c>
      <c r="V134" s="274" t="s">
        <v>1357</v>
      </c>
      <c r="W134" s="253"/>
      <c r="X134" s="360">
        <f>ROUND(X133+C36,2)</f>
        <v>122.83</v>
      </c>
      <c r="AN134" s="252">
        <v>1</v>
      </c>
      <c r="AO134" s="252" t="s">
        <v>865</v>
      </c>
      <c r="AP134" s="296" t="s">
        <v>2000</v>
      </c>
      <c r="AQ134" s="252">
        <f>AQ109</f>
        <v>999</v>
      </c>
      <c r="AR134" s="296" t="s">
        <v>865</v>
      </c>
      <c r="AS134" s="252">
        <f>(AN134*AQ134)</f>
        <v>999</v>
      </c>
      <c r="AU134" s="252">
        <f t="shared" si="23"/>
        <v>226.67</v>
      </c>
      <c r="AV134" s="252">
        <f t="shared" si="24"/>
        <v>772.33</v>
      </c>
    </row>
    <row r="135" spans="1:48" ht="18.75" customHeight="1">
      <c r="A135" s="364"/>
      <c r="B135" s="364"/>
      <c r="C135" s="364"/>
      <c r="D135" s="364"/>
      <c r="K135" s="358" t="s">
        <v>2046</v>
      </c>
      <c r="W135" s="253"/>
      <c r="X135" s="358" t="s">
        <v>2046</v>
      </c>
      <c r="AN135" s="252">
        <v>3</v>
      </c>
      <c r="AO135" s="252" t="s">
        <v>865</v>
      </c>
      <c r="AP135" s="296" t="s">
        <v>1704</v>
      </c>
      <c r="AQ135" s="252">
        <f>AQ110</f>
        <v>932</v>
      </c>
      <c r="AR135" s="296" t="s">
        <v>865</v>
      </c>
      <c r="AS135" s="252">
        <f>(AN135*AQ135)</f>
        <v>2796</v>
      </c>
      <c r="AU135" s="252">
        <f t="shared" si="23"/>
        <v>634.41</v>
      </c>
      <c r="AV135" s="252">
        <f t="shared" si="24"/>
        <v>2161.59</v>
      </c>
    </row>
    <row r="136" spans="1:48" ht="18.75" customHeight="1">
      <c r="A136" s="364"/>
      <c r="B136" s="364"/>
      <c r="C136" s="364"/>
      <c r="D136" s="364"/>
      <c r="H136" s="276" t="s">
        <v>3720</v>
      </c>
      <c r="I136" s="274" t="s">
        <v>1394</v>
      </c>
      <c r="K136" s="274">
        <f>C61*1.25</f>
        <v>140.06</v>
      </c>
      <c r="U136" s="276" t="s">
        <v>1380</v>
      </c>
      <c r="V136" s="274" t="s">
        <v>1394</v>
      </c>
      <c r="W136" s="253"/>
      <c r="X136" s="274">
        <f>V81*1.25</f>
        <v>93.56</v>
      </c>
      <c r="AN136" s="252">
        <v>2</v>
      </c>
      <c r="AO136" s="252" t="s">
        <v>865</v>
      </c>
      <c r="AP136" s="296" t="s">
        <v>1893</v>
      </c>
      <c r="AQ136" s="252">
        <f>AQ111</f>
        <v>651</v>
      </c>
      <c r="AR136" s="296" t="s">
        <v>865</v>
      </c>
      <c r="AS136" s="252">
        <f>(AN136*AQ136)</f>
        <v>1302</v>
      </c>
      <c r="AU136" s="252">
        <f t="shared" si="23"/>
        <v>295.42</v>
      </c>
      <c r="AV136" s="252">
        <f t="shared" si="24"/>
        <v>1006.58</v>
      </c>
    </row>
    <row r="137" spans="1:48" ht="18.75" customHeight="1">
      <c r="A137" s="363">
        <f>(A91+1)</f>
        <v>80</v>
      </c>
      <c r="B137" s="365" t="s">
        <v>1541</v>
      </c>
      <c r="C137" s="364">
        <f>AC30</f>
        <v>11907</v>
      </c>
      <c r="D137" s="392">
        <v>13.87</v>
      </c>
      <c r="E137" s="296" t="s">
        <v>971</v>
      </c>
      <c r="F137" s="253" t="s">
        <v>381</v>
      </c>
      <c r="G137" s="252" t="s">
        <v>2241</v>
      </c>
      <c r="H137" s="296" t="s">
        <v>382</v>
      </c>
      <c r="M137" s="253" t="s">
        <v>381</v>
      </c>
      <c r="N137" s="252" t="s">
        <v>2241</v>
      </c>
      <c r="O137" s="296" t="s">
        <v>382</v>
      </c>
      <c r="Q137" s="296"/>
      <c r="W137" s="253"/>
      <c r="AG137" s="296"/>
      <c r="AN137" s="252">
        <v>6</v>
      </c>
      <c r="AO137" s="252" t="s">
        <v>865</v>
      </c>
      <c r="AP137" s="296" t="s">
        <v>317</v>
      </c>
      <c r="AQ137" s="252">
        <f>AQ112</f>
        <v>534</v>
      </c>
      <c r="AR137" s="296" t="s">
        <v>865</v>
      </c>
      <c r="AS137" s="252">
        <f>(AN137*AQ137)</f>
        <v>3204</v>
      </c>
      <c r="AU137" s="252">
        <f t="shared" si="23"/>
        <v>726.99</v>
      </c>
      <c r="AV137" s="252">
        <f t="shared" si="24"/>
        <v>2477.0100000000002</v>
      </c>
    </row>
    <row r="138" spans="1:48" ht="18.75" customHeight="1">
      <c r="A138" s="363">
        <f t="shared" ref="A138:A143" si="25">(A137+1)</f>
        <v>81</v>
      </c>
      <c r="B138" s="365" t="s">
        <v>384</v>
      </c>
      <c r="C138" s="364">
        <f>AC33</f>
        <v>58000</v>
      </c>
      <c r="D138" s="365" t="s">
        <v>858</v>
      </c>
      <c r="H138" s="296" t="s">
        <v>5655</v>
      </c>
      <c r="O138" s="296" t="s">
        <v>5656</v>
      </c>
      <c r="Q138" s="296"/>
      <c r="W138" s="253"/>
      <c r="AG138" s="296"/>
      <c r="AO138" s="252" t="s">
        <v>446</v>
      </c>
      <c r="AP138" s="296" t="s">
        <v>447</v>
      </c>
      <c r="AQ138" s="296" t="s">
        <v>971</v>
      </c>
      <c r="AR138" s="296" t="s">
        <v>446</v>
      </c>
      <c r="AS138" s="252">
        <v>5</v>
      </c>
      <c r="AU138" s="252">
        <f t="shared" si="23"/>
        <v>1.1299999999999999</v>
      </c>
      <c r="AV138" s="252">
        <f t="shared" si="24"/>
        <v>3.87</v>
      </c>
    </row>
    <row r="139" spans="1:48" ht="18.75" customHeight="1">
      <c r="A139" s="363">
        <f t="shared" si="25"/>
        <v>82</v>
      </c>
      <c r="B139" s="365" t="s">
        <v>1794</v>
      </c>
      <c r="C139" s="364">
        <f>AC32</f>
        <v>58000</v>
      </c>
      <c r="D139" s="365" t="s">
        <v>858</v>
      </c>
      <c r="H139" s="358" t="s">
        <v>1579</v>
      </c>
      <c r="O139" s="358" t="s">
        <v>1579</v>
      </c>
      <c r="Q139" s="296"/>
      <c r="W139" s="253"/>
      <c r="AG139" s="296"/>
      <c r="AR139" s="296"/>
      <c r="AS139" s="358" t="s">
        <v>1579</v>
      </c>
      <c r="AU139" s="252">
        <f t="shared" si="23"/>
        <v>0</v>
      </c>
      <c r="AV139" s="252">
        <f t="shared" si="24"/>
        <v>0</v>
      </c>
    </row>
    <row r="140" spans="1:48" ht="18.75" customHeight="1">
      <c r="A140" s="363">
        <f t="shared" si="25"/>
        <v>83</v>
      </c>
      <c r="B140" s="365" t="s">
        <v>375</v>
      </c>
      <c r="C140" s="364">
        <f>AC33</f>
        <v>58000</v>
      </c>
      <c r="D140" s="365" t="s">
        <v>858</v>
      </c>
      <c r="F140" s="252">
        <v>1</v>
      </c>
      <c r="G140" s="252" t="s">
        <v>866</v>
      </c>
      <c r="H140" s="296" t="s">
        <v>376</v>
      </c>
      <c r="I140" s="252">
        <f>I36</f>
        <v>1846.1</v>
      </c>
      <c r="J140" s="296" t="s">
        <v>866</v>
      </c>
      <c r="K140" s="252">
        <f>(F140*I140)</f>
        <v>1846.1</v>
      </c>
      <c r="M140" s="252">
        <v>1</v>
      </c>
      <c r="N140" s="252" t="s">
        <v>866</v>
      </c>
      <c r="O140" s="296" t="s">
        <v>1912</v>
      </c>
      <c r="P140" s="252">
        <f>AC38</f>
        <v>389</v>
      </c>
      <c r="Q140" s="296" t="s">
        <v>866</v>
      </c>
      <c r="R140" s="252">
        <f>(M140*P140)</f>
        <v>389</v>
      </c>
      <c r="W140" s="253"/>
      <c r="AG140" s="296"/>
      <c r="AP140" s="296" t="s">
        <v>611</v>
      </c>
      <c r="AR140" s="296"/>
      <c r="AS140" s="252">
        <f>SUM(AS132:AS138)</f>
        <v>20281.54</v>
      </c>
      <c r="AU140" s="252">
        <f t="shared" si="23"/>
        <v>4601.88</v>
      </c>
      <c r="AV140" s="252">
        <f t="shared" si="24"/>
        <v>15679.66</v>
      </c>
    </row>
    <row r="141" spans="1:48" ht="18.75" customHeight="1">
      <c r="A141" s="363">
        <f t="shared" si="25"/>
        <v>84</v>
      </c>
      <c r="B141" s="365" t="s">
        <v>1539</v>
      </c>
      <c r="C141" s="364">
        <f>AC38</f>
        <v>389</v>
      </c>
      <c r="D141" s="365" t="s">
        <v>866</v>
      </c>
      <c r="F141" s="252">
        <v>1</v>
      </c>
      <c r="G141" s="252" t="s">
        <v>866</v>
      </c>
      <c r="H141" s="296" t="s">
        <v>1349</v>
      </c>
      <c r="I141" s="252">
        <f>C27</f>
        <v>34.200000000000003</v>
      </c>
      <c r="J141" s="296" t="s">
        <v>866</v>
      </c>
      <c r="K141" s="252">
        <f>(F141*I141)</f>
        <v>34.200000000000003</v>
      </c>
      <c r="M141" s="252">
        <v>1</v>
      </c>
      <c r="N141" s="252" t="s">
        <v>866</v>
      </c>
      <c r="O141" s="296" t="s">
        <v>1349</v>
      </c>
      <c r="P141" s="252">
        <f>C26</f>
        <v>38.950000000000003</v>
      </c>
      <c r="Q141" s="296" t="s">
        <v>866</v>
      </c>
      <c r="R141" s="252">
        <f>(M141*P141)</f>
        <v>38.950000000000003</v>
      </c>
      <c r="W141" s="253"/>
      <c r="AG141" s="296"/>
      <c r="AR141" s="296"/>
      <c r="AS141" s="358" t="s">
        <v>1579</v>
      </c>
      <c r="AU141" s="252">
        <f t="shared" si="23"/>
        <v>0</v>
      </c>
      <c r="AV141" s="252">
        <f t="shared" si="24"/>
        <v>0</v>
      </c>
    </row>
    <row r="142" spans="1:48" ht="18.75" customHeight="1">
      <c r="A142" s="363">
        <f t="shared" si="25"/>
        <v>85</v>
      </c>
      <c r="B142" s="365" t="s">
        <v>191</v>
      </c>
      <c r="C142" s="314">
        <v>43563.69</v>
      </c>
      <c r="D142" s="365" t="s">
        <v>858</v>
      </c>
      <c r="G142" s="252" t="s">
        <v>446</v>
      </c>
      <c r="H142" s="296" t="s">
        <v>447</v>
      </c>
      <c r="I142" s="296" t="s">
        <v>971</v>
      </c>
      <c r="J142" s="296" t="s">
        <v>446</v>
      </c>
      <c r="K142" s="252">
        <v>0</v>
      </c>
      <c r="N142" s="252" t="s">
        <v>446</v>
      </c>
      <c r="O142" s="296" t="s">
        <v>447</v>
      </c>
      <c r="P142" s="296" t="s">
        <v>971</v>
      </c>
      <c r="Q142" s="296" t="s">
        <v>446</v>
      </c>
      <c r="R142" s="252">
        <v>0</v>
      </c>
      <c r="W142" s="253"/>
      <c r="AG142" s="296"/>
      <c r="AP142" s="296" t="s">
        <v>770</v>
      </c>
      <c r="AR142" s="296"/>
      <c r="AS142" s="252">
        <f>(AS140/2.83168)</f>
        <v>7162.37</v>
      </c>
      <c r="AU142" s="252">
        <f t="shared" si="23"/>
        <v>1625.14</v>
      </c>
      <c r="AV142" s="252">
        <f t="shared" si="24"/>
        <v>5537.23</v>
      </c>
    </row>
    <row r="143" spans="1:48" ht="18.75" customHeight="1">
      <c r="A143" s="363">
        <f t="shared" si="25"/>
        <v>86</v>
      </c>
      <c r="B143" s="296" t="s">
        <v>5413</v>
      </c>
      <c r="C143" s="370">
        <f>56.35*1000</f>
        <v>56350</v>
      </c>
      <c r="D143" s="365" t="s">
        <v>858</v>
      </c>
      <c r="E143" s="252">
        <v>5</v>
      </c>
      <c r="K143" s="358" t="s">
        <v>1579</v>
      </c>
      <c r="Q143" s="296"/>
      <c r="R143" s="358" t="s">
        <v>1579</v>
      </c>
      <c r="W143" s="253"/>
      <c r="AG143" s="296"/>
      <c r="AR143" s="296"/>
      <c r="AS143" s="358" t="s">
        <v>2046</v>
      </c>
      <c r="AU143" s="252">
        <f t="shared" si="23"/>
        <v>0</v>
      </c>
      <c r="AV143" s="252">
        <f t="shared" si="24"/>
        <v>0</v>
      </c>
    </row>
    <row r="144" spans="1:48" ht="18.75" customHeight="1">
      <c r="A144" s="364"/>
      <c r="B144" s="365" t="s">
        <v>971</v>
      </c>
      <c r="C144" s="364"/>
      <c r="D144" s="364"/>
      <c r="H144" s="296" t="s">
        <v>193</v>
      </c>
      <c r="K144" s="274">
        <f>SUM(K138:K142)</f>
        <v>1880.3</v>
      </c>
      <c r="O144" s="296" t="s">
        <v>1509</v>
      </c>
      <c r="Q144" s="296"/>
      <c r="R144" s="252">
        <f>SUM(R140:R142)</f>
        <v>427.95</v>
      </c>
      <c r="W144" s="253"/>
      <c r="AG144" s="296"/>
      <c r="AR144" s="296"/>
      <c r="AU144" s="252">
        <f t="shared" si="23"/>
        <v>0</v>
      </c>
      <c r="AV144" s="252">
        <f t="shared" si="24"/>
        <v>0</v>
      </c>
    </row>
    <row r="145" spans="1:48" ht="18.75" customHeight="1">
      <c r="A145" s="363">
        <f>(A143+1)</f>
        <v>87</v>
      </c>
      <c r="B145" s="365" t="s">
        <v>194</v>
      </c>
      <c r="C145" s="372">
        <v>7.5</v>
      </c>
      <c r="D145" s="365" t="s">
        <v>446</v>
      </c>
      <c r="K145" s="358" t="s">
        <v>1579</v>
      </c>
      <c r="O145" s="296" t="s">
        <v>2018</v>
      </c>
      <c r="Q145" s="296"/>
      <c r="R145" s="358" t="s">
        <v>1579</v>
      </c>
      <c r="W145" s="253"/>
      <c r="AG145" s="296"/>
      <c r="AO145" s="252" t="s">
        <v>672</v>
      </c>
      <c r="AP145" s="296" t="s">
        <v>2898</v>
      </c>
      <c r="AR145" s="296"/>
      <c r="AU145" s="252">
        <f t="shared" si="23"/>
        <v>0</v>
      </c>
      <c r="AV145" s="252">
        <f t="shared" si="24"/>
        <v>0</v>
      </c>
    </row>
    <row r="146" spans="1:48" ht="18.75" customHeight="1">
      <c r="A146" s="364"/>
      <c r="B146" s="296" t="s">
        <v>4556</v>
      </c>
      <c r="C146" s="314">
        <v>15.5</v>
      </c>
      <c r="D146" s="364"/>
      <c r="F146" s="253" t="s">
        <v>195</v>
      </c>
      <c r="G146" s="252" t="s">
        <v>2241</v>
      </c>
      <c r="H146" s="296" t="s">
        <v>5657</v>
      </c>
      <c r="W146" s="253"/>
      <c r="AP146" s="358" t="s">
        <v>1579</v>
      </c>
      <c r="AR146" s="296"/>
      <c r="AU146" s="252">
        <f t="shared" si="23"/>
        <v>0</v>
      </c>
      <c r="AV146" s="252">
        <f t="shared" si="24"/>
        <v>0</v>
      </c>
    </row>
    <row r="147" spans="1:48" ht="18.75" customHeight="1">
      <c r="A147" s="363">
        <f>(A145+1)</f>
        <v>88</v>
      </c>
      <c r="B147" s="365" t="s">
        <v>1636</v>
      </c>
      <c r="C147" s="314">
        <v>15.25</v>
      </c>
      <c r="D147" s="365" t="s">
        <v>1637</v>
      </c>
      <c r="H147" s="296" t="s">
        <v>1023</v>
      </c>
      <c r="M147" s="253" t="s">
        <v>381</v>
      </c>
      <c r="N147" s="252" t="s">
        <v>2241</v>
      </c>
      <c r="O147" s="296" t="s">
        <v>382</v>
      </c>
      <c r="Q147" s="296"/>
      <c r="W147" s="253"/>
      <c r="AN147" s="252">
        <v>1.1000000000000001</v>
      </c>
      <c r="AO147" s="252" t="s">
        <v>866</v>
      </c>
      <c r="AP147" s="296" t="s">
        <v>1115</v>
      </c>
      <c r="AQ147" s="252">
        <f>(AS142)</f>
        <v>7162.37</v>
      </c>
      <c r="AR147" s="296" t="s">
        <v>866</v>
      </c>
      <c r="AS147" s="252">
        <f>(AN147*AQ147)</f>
        <v>7878.61</v>
      </c>
      <c r="AU147" s="252">
        <f t="shared" si="23"/>
        <v>1787.66</v>
      </c>
      <c r="AV147" s="252">
        <f t="shared" si="24"/>
        <v>6090.95</v>
      </c>
    </row>
    <row r="148" spans="1:48" ht="18.75" customHeight="1">
      <c r="A148" s="363">
        <f>(A147+1)</f>
        <v>89</v>
      </c>
      <c r="B148" s="296" t="s">
        <v>4838</v>
      </c>
      <c r="C148" s="362">
        <v>145.19999999999999</v>
      </c>
      <c r="D148" s="365" t="s">
        <v>1637</v>
      </c>
      <c r="H148" s="296" t="s">
        <v>484</v>
      </c>
      <c r="O148" s="296" t="s">
        <v>5658</v>
      </c>
      <c r="Q148" s="296"/>
      <c r="W148" s="253"/>
      <c r="AN148" s="252">
        <v>1</v>
      </c>
      <c r="AO148" s="252" t="s">
        <v>766</v>
      </c>
      <c r="AP148" s="296" t="s">
        <v>2000</v>
      </c>
      <c r="AQ148" s="252">
        <f>AQ134</f>
        <v>999</v>
      </c>
      <c r="AR148" s="296" t="s">
        <v>865</v>
      </c>
      <c r="AS148" s="252">
        <f>(AN148*AQ148)</f>
        <v>999</v>
      </c>
      <c r="AU148" s="252">
        <f t="shared" si="23"/>
        <v>226.67</v>
      </c>
      <c r="AV148" s="252">
        <f t="shared" si="24"/>
        <v>772.33</v>
      </c>
    </row>
    <row r="149" spans="1:48" ht="18.75" customHeight="1">
      <c r="A149" s="364"/>
      <c r="B149" s="364" t="s">
        <v>5414</v>
      </c>
      <c r="C149" s="362">
        <v>43.2</v>
      </c>
      <c r="D149" s="364" t="s">
        <v>1637</v>
      </c>
      <c r="H149" s="296" t="s">
        <v>520</v>
      </c>
      <c r="O149" s="358" t="s">
        <v>1579</v>
      </c>
      <c r="Q149" s="296"/>
      <c r="W149" s="253"/>
      <c r="AO149" s="252" t="s">
        <v>446</v>
      </c>
      <c r="AP149" s="296" t="s">
        <v>447</v>
      </c>
      <c r="AQ149" s="296" t="s">
        <v>971</v>
      </c>
      <c r="AR149" s="296" t="s">
        <v>446</v>
      </c>
      <c r="AS149" s="252">
        <v>0</v>
      </c>
      <c r="AU149" s="252">
        <f t="shared" si="23"/>
        <v>0</v>
      </c>
      <c r="AV149" s="252">
        <f t="shared" si="24"/>
        <v>0</v>
      </c>
    </row>
    <row r="150" spans="1:48" ht="18.75" customHeight="1">
      <c r="A150" s="364"/>
      <c r="B150" s="364"/>
      <c r="C150" s="364"/>
      <c r="D150" s="364"/>
      <c r="H150" s="296" t="s">
        <v>521</v>
      </c>
      <c r="M150" s="252">
        <v>1</v>
      </c>
      <c r="N150" s="252" t="s">
        <v>866</v>
      </c>
      <c r="O150" s="296" t="s">
        <v>3577</v>
      </c>
      <c r="P150" s="252">
        <f>AC43</f>
        <v>466.35</v>
      </c>
      <c r="Q150" s="296" t="s">
        <v>866</v>
      </c>
      <c r="R150" s="252">
        <f>(M150*P150)</f>
        <v>466.35</v>
      </c>
      <c r="W150" s="253"/>
      <c r="AR150" s="296"/>
      <c r="AS150" s="358" t="s">
        <v>1579</v>
      </c>
      <c r="AU150" s="252">
        <f t="shared" si="23"/>
        <v>0</v>
      </c>
      <c r="AV150" s="252">
        <f t="shared" si="24"/>
        <v>0</v>
      </c>
    </row>
    <row r="151" spans="1:48" ht="18.75" customHeight="1">
      <c r="A151" s="364"/>
      <c r="B151" s="364"/>
      <c r="C151" s="364"/>
      <c r="D151" s="364"/>
      <c r="H151" s="358" t="s">
        <v>1579</v>
      </c>
      <c r="M151" s="252">
        <v>1</v>
      </c>
      <c r="N151" s="252" t="s">
        <v>866</v>
      </c>
      <c r="O151" s="296" t="s">
        <v>1349</v>
      </c>
      <c r="P151" s="252">
        <f>AE28</f>
        <v>38.950000000000003</v>
      </c>
      <c r="Q151" s="296" t="s">
        <v>866</v>
      </c>
      <c r="R151" s="252">
        <f>(M151*P151)</f>
        <v>38.950000000000003</v>
      </c>
      <c r="W151" s="253"/>
      <c r="AP151" s="296" t="s">
        <v>438</v>
      </c>
      <c r="AR151" s="296"/>
      <c r="AS151" s="274">
        <f>SUM(AS147:AS149)</f>
        <v>8877.61</v>
      </c>
      <c r="AU151" s="252">
        <f t="shared" si="23"/>
        <v>2014.33</v>
      </c>
      <c r="AV151" s="252">
        <f t="shared" si="24"/>
        <v>6863.28</v>
      </c>
    </row>
    <row r="152" spans="1:48" ht="18.75" customHeight="1">
      <c r="A152" s="364"/>
      <c r="B152" s="364"/>
      <c r="C152" s="364"/>
      <c r="D152" s="364"/>
      <c r="F152" s="252">
        <v>0.7</v>
      </c>
      <c r="G152" s="252" t="s">
        <v>866</v>
      </c>
      <c r="H152" s="296" t="s">
        <v>1993</v>
      </c>
      <c r="I152" s="252">
        <f>C79</f>
        <v>1846.1</v>
      </c>
      <c r="J152" s="296" t="s">
        <v>866</v>
      </c>
      <c r="K152" s="252">
        <f t="shared" ref="K152:K157" si="26">(F152*I152)</f>
        <v>1292.27</v>
      </c>
      <c r="N152" s="252" t="s">
        <v>446</v>
      </c>
      <c r="O152" s="296" t="s">
        <v>447</v>
      </c>
      <c r="P152" s="296" t="s">
        <v>971</v>
      </c>
      <c r="Q152" s="296" t="s">
        <v>446</v>
      </c>
      <c r="R152" s="252">
        <v>0</v>
      </c>
      <c r="W152" s="253"/>
      <c r="AR152" s="296"/>
      <c r="AS152" s="358" t="s">
        <v>1579</v>
      </c>
      <c r="AU152" s="252">
        <f t="shared" si="23"/>
        <v>0</v>
      </c>
      <c r="AV152" s="252">
        <f t="shared" si="24"/>
        <v>0</v>
      </c>
    </row>
    <row r="153" spans="1:48" ht="18.75" customHeight="1">
      <c r="A153" s="364"/>
      <c r="B153" s="364"/>
      <c r="C153" s="364"/>
      <c r="D153" s="364"/>
      <c r="F153" s="252">
        <v>0.7</v>
      </c>
      <c r="G153" s="252" t="s">
        <v>866</v>
      </c>
      <c r="H153" s="393" t="s">
        <v>522</v>
      </c>
      <c r="I153" s="394">
        <f>C812</f>
        <v>3.15</v>
      </c>
      <c r="J153" s="296" t="s">
        <v>866</v>
      </c>
      <c r="K153" s="252">
        <f t="shared" si="26"/>
        <v>2.21</v>
      </c>
      <c r="Q153" s="296"/>
      <c r="R153" s="358" t="s">
        <v>1579</v>
      </c>
      <c r="W153" s="253"/>
      <c r="AP153" s="296" t="s">
        <v>549</v>
      </c>
      <c r="AR153" s="296"/>
      <c r="AS153" s="252">
        <f>(AS151/10)</f>
        <v>887.76</v>
      </c>
      <c r="AU153" s="252">
        <f t="shared" si="23"/>
        <v>201.43</v>
      </c>
      <c r="AV153" s="252">
        <f t="shared" si="24"/>
        <v>686.33</v>
      </c>
    </row>
    <row r="154" spans="1:48" ht="18.75" customHeight="1">
      <c r="A154" s="364"/>
      <c r="B154" s="364"/>
      <c r="C154" s="364"/>
      <c r="D154" s="364"/>
      <c r="F154" s="252">
        <v>0.72</v>
      </c>
      <c r="G154" s="252" t="s">
        <v>866</v>
      </c>
      <c r="H154" s="296" t="s">
        <v>1633</v>
      </c>
      <c r="I154" s="252">
        <f>C35</f>
        <v>389</v>
      </c>
      <c r="J154" s="296" t="s">
        <v>866</v>
      </c>
      <c r="K154" s="252">
        <f t="shared" si="26"/>
        <v>280.08</v>
      </c>
      <c r="O154" s="296" t="s">
        <v>1509</v>
      </c>
      <c r="Q154" s="296"/>
      <c r="R154" s="252">
        <f>SUM(R150:R152)</f>
        <v>505.3</v>
      </c>
      <c r="W154" s="253"/>
      <c r="AR154" s="296"/>
      <c r="AS154" s="358" t="s">
        <v>2046</v>
      </c>
      <c r="AU154" s="252">
        <f t="shared" si="23"/>
        <v>0</v>
      </c>
      <c r="AV154" s="252">
        <f t="shared" si="24"/>
        <v>0</v>
      </c>
    </row>
    <row r="155" spans="1:48" ht="18.75" customHeight="1">
      <c r="A155" s="364"/>
      <c r="B155" s="364"/>
      <c r="C155" s="364"/>
      <c r="D155" s="364"/>
      <c r="F155" s="252">
        <v>0.72</v>
      </c>
      <c r="G155" s="252" t="s">
        <v>866</v>
      </c>
      <c r="H155" s="393" t="s">
        <v>522</v>
      </c>
      <c r="I155" s="394">
        <f>C812</f>
        <v>3.15</v>
      </c>
      <c r="J155" s="296" t="s">
        <v>866</v>
      </c>
      <c r="K155" s="252">
        <f t="shared" si="26"/>
        <v>2.27</v>
      </c>
      <c r="O155" s="296" t="s">
        <v>2018</v>
      </c>
      <c r="Q155" s="296"/>
      <c r="R155" s="358" t="s">
        <v>1579</v>
      </c>
      <c r="W155" s="253"/>
      <c r="AP155" s="296" t="s">
        <v>383</v>
      </c>
      <c r="AR155" s="296">
        <f>AS155-AS153</f>
        <v>8.68</v>
      </c>
      <c r="AS155" s="274">
        <f>(AS153+C19/10*AN147)</f>
        <v>896.44</v>
      </c>
      <c r="AT155" s="252">
        <f>AS153-AS155</f>
        <v>-8.68</v>
      </c>
      <c r="AU155" s="252">
        <f t="shared" si="23"/>
        <v>203.4</v>
      </c>
      <c r="AV155" s="252">
        <f t="shared" si="24"/>
        <v>693.04</v>
      </c>
    </row>
    <row r="156" spans="1:48" ht="18.75" customHeight="1">
      <c r="A156" s="364"/>
      <c r="B156" s="364"/>
      <c r="C156" s="364"/>
      <c r="D156" s="364"/>
      <c r="F156" s="252">
        <v>1</v>
      </c>
      <c r="G156" s="252" t="s">
        <v>866</v>
      </c>
      <c r="H156" s="296" t="s">
        <v>1784</v>
      </c>
      <c r="I156" s="252">
        <f>C18</f>
        <v>116</v>
      </c>
      <c r="J156" s="296" t="s">
        <v>866</v>
      </c>
      <c r="K156" s="252">
        <f t="shared" si="26"/>
        <v>116</v>
      </c>
      <c r="W156" s="253"/>
      <c r="AP156" s="296" t="s">
        <v>385</v>
      </c>
      <c r="AR156" s="296">
        <f>AS156-AS155</f>
        <v>17.510000000000002</v>
      </c>
      <c r="AS156" s="274">
        <f>(AS155+C20/10*AN147)</f>
        <v>913.95</v>
      </c>
      <c r="AT156" s="252">
        <f>AS156-AS155</f>
        <v>17.510000000000002</v>
      </c>
      <c r="AU156" s="252">
        <f t="shared" si="23"/>
        <v>207.38</v>
      </c>
      <c r="AV156" s="252">
        <f t="shared" si="24"/>
        <v>706.57</v>
      </c>
    </row>
    <row r="157" spans="1:48" ht="18.75" customHeight="1">
      <c r="A157" s="364"/>
      <c r="B157" s="364"/>
      <c r="C157" s="364"/>
      <c r="D157" s="364"/>
      <c r="F157" s="252">
        <v>1</v>
      </c>
      <c r="G157" s="252" t="s">
        <v>866</v>
      </c>
      <c r="H157" s="393" t="s">
        <v>1634</v>
      </c>
      <c r="I157" s="395">
        <f>C146</f>
        <v>15.5</v>
      </c>
      <c r="J157" s="296" t="s">
        <v>866</v>
      </c>
      <c r="K157" s="252">
        <f t="shared" si="26"/>
        <v>15.5</v>
      </c>
      <c r="W157" s="253"/>
      <c r="AP157" s="296" t="s">
        <v>2222</v>
      </c>
      <c r="AR157" s="296">
        <f>AS157-AS156</f>
        <v>17.510000000000002</v>
      </c>
      <c r="AS157" s="274">
        <f>(AS156+C21/10*AN147)</f>
        <v>931.46</v>
      </c>
      <c r="AU157" s="252">
        <f t="shared" si="23"/>
        <v>211.35</v>
      </c>
      <c r="AV157" s="252">
        <f t="shared" si="24"/>
        <v>720.11</v>
      </c>
    </row>
    <row r="158" spans="1:48" ht="18.75" customHeight="1">
      <c r="A158" s="364"/>
      <c r="B158" s="364"/>
      <c r="C158" s="364"/>
      <c r="D158" s="364"/>
      <c r="H158" s="296" t="s">
        <v>1635</v>
      </c>
      <c r="W158" s="253"/>
      <c r="AP158" s="296" t="s">
        <v>377</v>
      </c>
      <c r="AR158" s="296">
        <f>AS158-AS157</f>
        <v>17.510000000000002</v>
      </c>
      <c r="AS158" s="274">
        <f>(AS157+C21/10*AN147)</f>
        <v>948.97</v>
      </c>
      <c r="AU158" s="252">
        <f t="shared" si="23"/>
        <v>215.32</v>
      </c>
      <c r="AV158" s="252">
        <f t="shared" si="24"/>
        <v>733.65</v>
      </c>
    </row>
    <row r="159" spans="1:48" ht="18.75" customHeight="1">
      <c r="A159" s="364"/>
      <c r="B159" s="364"/>
      <c r="C159" s="364"/>
      <c r="D159" s="364"/>
      <c r="G159" s="252" t="s">
        <v>446</v>
      </c>
      <c r="H159" s="296" t="s">
        <v>447</v>
      </c>
      <c r="I159" s="296" t="s">
        <v>971</v>
      </c>
      <c r="J159" s="296" t="s">
        <v>446</v>
      </c>
      <c r="K159" s="252">
        <v>0</v>
      </c>
      <c r="W159" s="253"/>
      <c r="AP159" s="296" t="s">
        <v>1525</v>
      </c>
      <c r="AR159" s="296">
        <f>AS159-AS158</f>
        <v>17.510000000000002</v>
      </c>
      <c r="AS159" s="274">
        <f>(AS158+C21/10*AN147)</f>
        <v>966.48</v>
      </c>
      <c r="AU159" s="252">
        <f t="shared" si="23"/>
        <v>219.29</v>
      </c>
      <c r="AV159" s="252">
        <f t="shared" si="24"/>
        <v>747.19</v>
      </c>
    </row>
    <row r="160" spans="1:48" ht="18.75" customHeight="1">
      <c r="A160" s="364"/>
      <c r="B160" s="364"/>
      <c r="C160" s="364"/>
      <c r="D160" s="364"/>
      <c r="K160" s="358" t="s">
        <v>1579</v>
      </c>
      <c r="M160" s="253" t="s">
        <v>663</v>
      </c>
      <c r="N160" s="252" t="s">
        <v>2241</v>
      </c>
      <c r="O160" s="296" t="s">
        <v>543</v>
      </c>
      <c r="Q160" s="296"/>
      <c r="W160" s="253"/>
      <c r="AN160" s="396">
        <v>11</v>
      </c>
      <c r="AO160" s="274" t="s">
        <v>2241</v>
      </c>
      <c r="AP160" s="276" t="s">
        <v>3740</v>
      </c>
      <c r="AQ160" s="274"/>
      <c r="AR160" s="276"/>
      <c r="AS160" s="274"/>
      <c r="AU160" s="252">
        <f t="shared" si="23"/>
        <v>0</v>
      </c>
      <c r="AV160" s="252">
        <f t="shared" si="24"/>
        <v>0</v>
      </c>
    </row>
    <row r="161" spans="1:48" ht="18.75" customHeight="1">
      <c r="A161" s="364"/>
      <c r="B161" s="364"/>
      <c r="C161" s="364"/>
      <c r="D161" s="364"/>
      <c r="H161" s="255" t="s">
        <v>193</v>
      </c>
      <c r="K161" s="274">
        <f>SUM(K152:K159)</f>
        <v>1708.33</v>
      </c>
      <c r="O161" s="296" t="s">
        <v>666</v>
      </c>
      <c r="Q161" s="296"/>
      <c r="W161" s="253"/>
      <c r="AN161" s="274"/>
      <c r="AO161" s="274"/>
      <c r="AP161" s="274" t="str">
        <f>AP61</f>
        <v>Bricks of size 23x11x7 cm</v>
      </c>
      <c r="AQ161" s="274"/>
      <c r="AR161" s="276"/>
      <c r="AS161" s="274"/>
      <c r="AU161" s="252">
        <f t="shared" si="23"/>
        <v>0</v>
      </c>
      <c r="AV161" s="252">
        <f t="shared" si="24"/>
        <v>0</v>
      </c>
    </row>
    <row r="162" spans="1:48" ht="18.75" customHeight="1">
      <c r="A162" s="364"/>
      <c r="B162" s="364"/>
      <c r="C162" s="364"/>
      <c r="D162" s="364"/>
      <c r="K162" s="358" t="s">
        <v>1579</v>
      </c>
      <c r="O162" s="358" t="s">
        <v>1579</v>
      </c>
      <c r="Q162" s="296"/>
      <c r="W162" s="253"/>
      <c r="AP162" s="358" t="s">
        <v>1579</v>
      </c>
      <c r="AR162" s="296"/>
      <c r="AU162" s="252">
        <f t="shared" si="23"/>
        <v>0</v>
      </c>
      <c r="AV162" s="252">
        <f t="shared" si="24"/>
        <v>0</v>
      </c>
    </row>
    <row r="163" spans="1:48" ht="18.75" customHeight="1">
      <c r="A163" s="364"/>
      <c r="B163" s="364"/>
      <c r="C163" s="364"/>
      <c r="D163" s="364"/>
      <c r="H163" s="296" t="s">
        <v>971</v>
      </c>
      <c r="K163" s="296" t="s">
        <v>971</v>
      </c>
      <c r="M163" s="252">
        <v>9</v>
      </c>
      <c r="N163" s="252" t="s">
        <v>866</v>
      </c>
      <c r="O163" s="296" t="s">
        <v>1630</v>
      </c>
      <c r="P163" s="252">
        <f>I195</f>
        <v>1577.9</v>
      </c>
      <c r="Q163" s="296" t="s">
        <v>866</v>
      </c>
      <c r="R163" s="252">
        <f>(M163*P163)</f>
        <v>14201.1</v>
      </c>
      <c r="W163" s="253"/>
      <c r="AN163" s="252">
        <f>AN63</f>
        <v>1300</v>
      </c>
      <c r="AO163" s="252" t="s">
        <v>1420</v>
      </c>
      <c r="AP163" s="252" t="str">
        <f>AP61</f>
        <v>Bricks of size 23x11x7 cm</v>
      </c>
      <c r="AQ163" s="252">
        <f>AC45</f>
        <v>6959.15</v>
      </c>
      <c r="AR163" s="296" t="s">
        <v>1526</v>
      </c>
      <c r="AS163" s="252">
        <f>(AN163*AQ163)/1000</f>
        <v>9046.9</v>
      </c>
      <c r="AU163" s="252">
        <f t="shared" si="23"/>
        <v>2052.7399999999998</v>
      </c>
      <c r="AV163" s="252">
        <f t="shared" si="24"/>
        <v>6994.16</v>
      </c>
    </row>
    <row r="164" spans="1:48" ht="18.75" customHeight="1">
      <c r="A164" s="364"/>
      <c r="B164" s="364"/>
      <c r="C164" s="364"/>
      <c r="D164" s="364"/>
      <c r="K164" s="296" t="s">
        <v>971</v>
      </c>
      <c r="M164" s="252">
        <v>4.5</v>
      </c>
      <c r="N164" s="252" t="s">
        <v>866</v>
      </c>
      <c r="O164" s="296" t="s">
        <v>1302</v>
      </c>
      <c r="P164" s="252">
        <f>K40</f>
        <v>4136.5</v>
      </c>
      <c r="Q164" s="296" t="s">
        <v>866</v>
      </c>
      <c r="R164" s="252">
        <f>(M164*P164)</f>
        <v>18614.25</v>
      </c>
      <c r="W164" s="253"/>
      <c r="AN164" s="356">
        <f>AN133</f>
        <v>0.70799999999999996</v>
      </c>
      <c r="AO164" s="252" t="s">
        <v>866</v>
      </c>
      <c r="AP164" s="296" t="s">
        <v>1302</v>
      </c>
      <c r="AQ164" s="252">
        <f>AQ133</f>
        <v>4136.5</v>
      </c>
      <c r="AR164" s="296" t="s">
        <v>866</v>
      </c>
      <c r="AS164" s="252">
        <f>(AN164*AQ164)</f>
        <v>2928.64</v>
      </c>
      <c r="AU164" s="252">
        <f t="shared" ref="AU164:AU217" si="27">AS164*22.69/100</f>
        <v>664.51</v>
      </c>
      <c r="AV164" s="252">
        <f t="shared" ref="AV164:AV217" si="28">AS164-AU164</f>
        <v>2264.13</v>
      </c>
    </row>
    <row r="165" spans="1:48" ht="18.75" customHeight="1">
      <c r="A165" s="397">
        <v>2.2999999999999998</v>
      </c>
      <c r="B165" s="376" t="s">
        <v>243</v>
      </c>
      <c r="C165" s="398">
        <f>AC19+I168</f>
        <v>759.93</v>
      </c>
      <c r="D165" s="364"/>
      <c r="F165" s="375">
        <v>2.6</v>
      </c>
      <c r="G165" s="252" t="s">
        <v>2241</v>
      </c>
      <c r="H165" s="296" t="s">
        <v>1167</v>
      </c>
      <c r="M165" s="252">
        <v>1.8</v>
      </c>
      <c r="N165" s="252" t="s">
        <v>865</v>
      </c>
      <c r="O165" s="296" t="s">
        <v>1704</v>
      </c>
      <c r="P165" s="252">
        <f>I197</f>
        <v>932</v>
      </c>
      <c r="Q165" s="296" t="s">
        <v>865</v>
      </c>
      <c r="R165" s="252">
        <f>(M165*P165)</f>
        <v>1677.6</v>
      </c>
      <c r="W165" s="253"/>
      <c r="AN165" s="252">
        <v>1</v>
      </c>
      <c r="AO165" s="252" t="s">
        <v>865</v>
      </c>
      <c r="AP165" s="296" t="s">
        <v>2000</v>
      </c>
      <c r="AQ165" s="252">
        <f>AQ134</f>
        <v>999</v>
      </c>
      <c r="AR165" s="296" t="s">
        <v>865</v>
      </c>
      <c r="AS165" s="252">
        <f>(AN165*AQ165)</f>
        <v>999</v>
      </c>
      <c r="AU165" s="252">
        <f t="shared" si="27"/>
        <v>226.67</v>
      </c>
      <c r="AV165" s="252">
        <f t="shared" si="28"/>
        <v>772.33</v>
      </c>
    </row>
    <row r="166" spans="1:48" ht="18.75" customHeight="1">
      <c r="A166" s="397">
        <v>2.4</v>
      </c>
      <c r="B166" s="376" t="s">
        <v>777</v>
      </c>
      <c r="C166" s="398">
        <f>AC20+I168</f>
        <v>840.93</v>
      </c>
      <c r="D166" s="364"/>
      <c r="H166" s="358" t="s">
        <v>1579</v>
      </c>
      <c r="M166" s="252">
        <v>17.7</v>
      </c>
      <c r="N166" s="252" t="s">
        <v>865</v>
      </c>
      <c r="O166" s="296" t="s">
        <v>1893</v>
      </c>
      <c r="P166" s="252">
        <f>I198</f>
        <v>651</v>
      </c>
      <c r="Q166" s="296" t="s">
        <v>865</v>
      </c>
      <c r="R166" s="252">
        <f>(M166*P166)</f>
        <v>11522.7</v>
      </c>
      <c r="W166" s="253"/>
      <c r="AN166" s="252">
        <v>3</v>
      </c>
      <c r="AO166" s="252" t="s">
        <v>865</v>
      </c>
      <c r="AP166" s="296" t="s">
        <v>1704</v>
      </c>
      <c r="AQ166" s="252">
        <f>AQ135</f>
        <v>932</v>
      </c>
      <c r="AR166" s="296" t="s">
        <v>865</v>
      </c>
      <c r="AS166" s="252">
        <f>(AN166*AQ166)</f>
        <v>2796</v>
      </c>
      <c r="AU166" s="252">
        <f t="shared" si="27"/>
        <v>634.41</v>
      </c>
      <c r="AV166" s="252">
        <f t="shared" si="28"/>
        <v>2161.59</v>
      </c>
    </row>
    <row r="167" spans="1:48" ht="18.75" customHeight="1">
      <c r="A167" s="364"/>
      <c r="B167" s="364"/>
      <c r="C167" s="364"/>
      <c r="D167" s="364"/>
      <c r="F167" s="252">
        <v>1</v>
      </c>
      <c r="G167" s="252" t="s">
        <v>866</v>
      </c>
      <c r="H167" s="296" t="s">
        <v>1086</v>
      </c>
      <c r="I167" s="252">
        <f>AC15</f>
        <v>1577.9</v>
      </c>
      <c r="J167" s="296" t="s">
        <v>866</v>
      </c>
      <c r="K167" s="252">
        <f>(F167*I167)</f>
        <v>1577.9</v>
      </c>
      <c r="M167" s="252">
        <v>14.1</v>
      </c>
      <c r="N167" s="252" t="s">
        <v>865</v>
      </c>
      <c r="O167" s="296" t="s">
        <v>317</v>
      </c>
      <c r="P167" s="252">
        <f>I199</f>
        <v>534</v>
      </c>
      <c r="Q167" s="296" t="s">
        <v>865</v>
      </c>
      <c r="R167" s="252">
        <f>(M167*P167)</f>
        <v>7529.4</v>
      </c>
      <c r="W167" s="253"/>
      <c r="AN167" s="252">
        <v>2</v>
      </c>
      <c r="AO167" s="252" t="s">
        <v>865</v>
      </c>
      <c r="AP167" s="296" t="s">
        <v>1893</v>
      </c>
      <c r="AQ167" s="252">
        <f>AQ136</f>
        <v>651</v>
      </c>
      <c r="AR167" s="296" t="s">
        <v>865</v>
      </c>
      <c r="AS167" s="252">
        <f>(AN167*AQ167)</f>
        <v>1302</v>
      </c>
      <c r="AU167" s="252">
        <f t="shared" si="27"/>
        <v>295.42</v>
      </c>
      <c r="AV167" s="252">
        <f t="shared" si="28"/>
        <v>1006.58</v>
      </c>
    </row>
    <row r="168" spans="1:48" ht="18.75" customHeight="1">
      <c r="A168" s="364"/>
      <c r="B168" s="364"/>
      <c r="C168" s="364"/>
      <c r="D168" s="364"/>
      <c r="F168" s="252">
        <v>1</v>
      </c>
      <c r="G168" s="252" t="s">
        <v>866</v>
      </c>
      <c r="H168" s="296" t="s">
        <v>1349</v>
      </c>
      <c r="I168" s="252">
        <f>C26</f>
        <v>38.950000000000003</v>
      </c>
      <c r="J168" s="296" t="s">
        <v>866</v>
      </c>
      <c r="K168" s="252">
        <f>(F168*I168)</f>
        <v>38.950000000000003</v>
      </c>
      <c r="N168" s="252" t="s">
        <v>446</v>
      </c>
      <c r="O168" s="296" t="s">
        <v>447</v>
      </c>
      <c r="Q168" s="296" t="s">
        <v>446</v>
      </c>
      <c r="R168" s="252">
        <v>0</v>
      </c>
      <c r="W168" s="253"/>
      <c r="AN168" s="252">
        <v>6</v>
      </c>
      <c r="AO168" s="252" t="s">
        <v>865</v>
      </c>
      <c r="AP168" s="296" t="s">
        <v>317</v>
      </c>
      <c r="AQ168" s="252">
        <f>AQ137</f>
        <v>534</v>
      </c>
      <c r="AR168" s="296" t="s">
        <v>865</v>
      </c>
      <c r="AS168" s="252">
        <f>(AN168*AQ168)</f>
        <v>3204</v>
      </c>
      <c r="AU168" s="252">
        <f t="shared" si="27"/>
        <v>726.99</v>
      </c>
      <c r="AV168" s="252">
        <f t="shared" si="28"/>
        <v>2477.0100000000002</v>
      </c>
    </row>
    <row r="169" spans="1:48" ht="18.75" customHeight="1">
      <c r="A169" s="364"/>
      <c r="B169" s="364"/>
      <c r="C169" s="364"/>
      <c r="D169" s="364"/>
      <c r="G169" s="252" t="s">
        <v>446</v>
      </c>
      <c r="H169" s="296" t="s">
        <v>447</v>
      </c>
      <c r="I169" s="296" t="s">
        <v>971</v>
      </c>
      <c r="J169" s="296" t="s">
        <v>446</v>
      </c>
      <c r="K169" s="252">
        <v>0</v>
      </c>
      <c r="Q169" s="296"/>
      <c r="R169" s="358" t="s">
        <v>1579</v>
      </c>
      <c r="W169" s="253"/>
      <c r="AO169" s="252" t="s">
        <v>446</v>
      </c>
      <c r="AP169" s="296" t="s">
        <v>447</v>
      </c>
      <c r="AQ169" s="296" t="s">
        <v>971</v>
      </c>
      <c r="AR169" s="296" t="s">
        <v>446</v>
      </c>
      <c r="AS169" s="252">
        <v>5</v>
      </c>
      <c r="AU169" s="252">
        <f t="shared" si="27"/>
        <v>1.1299999999999999</v>
      </c>
      <c r="AV169" s="252">
        <f t="shared" si="28"/>
        <v>3.87</v>
      </c>
    </row>
    <row r="170" spans="1:48" ht="18.75" customHeight="1">
      <c r="A170" s="364"/>
      <c r="B170" s="364"/>
      <c r="C170" s="364"/>
      <c r="D170" s="364"/>
      <c r="K170" s="358" t="s">
        <v>1579</v>
      </c>
      <c r="Q170" s="296"/>
      <c r="R170" s="252">
        <f>SUM(R163:R168)</f>
        <v>53545.05</v>
      </c>
      <c r="W170" s="253"/>
      <c r="AR170" s="296"/>
      <c r="AS170" s="358" t="s">
        <v>1579</v>
      </c>
      <c r="AU170" s="252">
        <f t="shared" si="27"/>
        <v>0</v>
      </c>
      <c r="AV170" s="252">
        <f t="shared" si="28"/>
        <v>0</v>
      </c>
    </row>
    <row r="171" spans="1:48" ht="18.75" customHeight="1">
      <c r="A171" s="364"/>
      <c r="B171" s="364"/>
      <c r="C171" s="364"/>
      <c r="D171" s="364"/>
      <c r="H171" s="255" t="s">
        <v>193</v>
      </c>
      <c r="K171" s="274">
        <f>SUM(K166:K169)</f>
        <v>1616.85</v>
      </c>
      <c r="O171" s="253" t="s">
        <v>611</v>
      </c>
      <c r="Q171" s="296"/>
      <c r="R171" s="358" t="s">
        <v>1579</v>
      </c>
      <c r="W171" s="253"/>
      <c r="AP171" s="296" t="s">
        <v>611</v>
      </c>
      <c r="AR171" s="296"/>
      <c r="AS171" s="252">
        <f>SUM(AS163:AS169)</f>
        <v>20281.54</v>
      </c>
      <c r="AU171" s="252">
        <f t="shared" si="27"/>
        <v>4601.88</v>
      </c>
      <c r="AV171" s="252">
        <f t="shared" si="28"/>
        <v>15679.66</v>
      </c>
    </row>
    <row r="172" spans="1:48" ht="18.75" customHeight="1">
      <c r="A172" s="364"/>
      <c r="B172" s="364"/>
      <c r="C172" s="364"/>
      <c r="D172" s="364"/>
      <c r="K172" s="358" t="s">
        <v>1579</v>
      </c>
      <c r="Q172" s="296"/>
      <c r="R172" s="274">
        <f>(R170/10)</f>
        <v>5354.51</v>
      </c>
      <c r="W172" s="253"/>
      <c r="AR172" s="296"/>
      <c r="AS172" s="358" t="s">
        <v>1579</v>
      </c>
      <c r="AU172" s="252">
        <f t="shared" si="27"/>
        <v>0</v>
      </c>
      <c r="AV172" s="252">
        <f t="shared" si="28"/>
        <v>0</v>
      </c>
    </row>
    <row r="173" spans="1:48" ht="18.75" customHeight="1">
      <c r="A173" s="364"/>
      <c r="B173" s="364"/>
      <c r="C173" s="364"/>
      <c r="D173" s="364"/>
      <c r="F173" s="375">
        <v>2.7</v>
      </c>
      <c r="G173" s="252" t="s">
        <v>2241</v>
      </c>
      <c r="H173" s="296" t="s">
        <v>1982</v>
      </c>
      <c r="O173" s="255" t="s">
        <v>770</v>
      </c>
      <c r="Q173" s="296"/>
      <c r="R173" s="358" t="s">
        <v>2046</v>
      </c>
      <c r="W173" s="253"/>
      <c r="AP173" s="296" t="s">
        <v>770</v>
      </c>
      <c r="AR173" s="296"/>
      <c r="AS173" s="252">
        <f>(AS171/2.83168)</f>
        <v>7162.37</v>
      </c>
      <c r="AU173" s="252">
        <f t="shared" si="27"/>
        <v>1625.14</v>
      </c>
      <c r="AV173" s="252">
        <f t="shared" si="28"/>
        <v>5537.23</v>
      </c>
    </row>
    <row r="174" spans="1:48" ht="18.75" customHeight="1">
      <c r="A174" s="364"/>
      <c r="B174" s="364"/>
      <c r="C174" s="364"/>
      <c r="D174" s="364"/>
      <c r="H174" s="358" t="s">
        <v>1579</v>
      </c>
      <c r="W174" s="253"/>
      <c r="AR174" s="296"/>
      <c r="AS174" s="358" t="s">
        <v>2046</v>
      </c>
      <c r="AU174" s="252">
        <f t="shared" si="27"/>
        <v>0</v>
      </c>
      <c r="AV174" s="252">
        <f t="shared" si="28"/>
        <v>0</v>
      </c>
    </row>
    <row r="175" spans="1:48" ht="18.75" customHeight="1">
      <c r="A175" s="364"/>
      <c r="B175" s="364"/>
      <c r="C175" s="364"/>
      <c r="D175" s="364"/>
      <c r="F175" s="252">
        <v>1</v>
      </c>
      <c r="G175" s="252" t="s">
        <v>866</v>
      </c>
      <c r="H175" s="296" t="s">
        <v>829</v>
      </c>
      <c r="I175" s="252">
        <f>AC14</f>
        <v>1997.1</v>
      </c>
      <c r="J175" s="296" t="s">
        <v>866</v>
      </c>
      <c r="K175" s="252">
        <f>(F175*I175)</f>
        <v>1997.1</v>
      </c>
      <c r="W175" s="253"/>
      <c r="AN175" s="296" t="s">
        <v>246</v>
      </c>
      <c r="AR175" s="296"/>
      <c r="AU175" s="252">
        <f t="shared" si="27"/>
        <v>0</v>
      </c>
      <c r="AV175" s="252">
        <f t="shared" si="28"/>
        <v>0</v>
      </c>
    </row>
    <row r="176" spans="1:48" ht="18.75" customHeight="1">
      <c r="A176" s="364"/>
      <c r="B176" s="364"/>
      <c r="C176" s="364"/>
      <c r="D176" s="364"/>
      <c r="F176" s="252">
        <v>1</v>
      </c>
      <c r="G176" s="252" t="s">
        <v>866</v>
      </c>
      <c r="H176" s="296" t="s">
        <v>1349</v>
      </c>
      <c r="I176" s="252">
        <f>C26</f>
        <v>38.950000000000003</v>
      </c>
      <c r="J176" s="296" t="s">
        <v>866</v>
      </c>
      <c r="K176" s="252">
        <f>(F176*I176)</f>
        <v>38.950000000000003</v>
      </c>
      <c r="W176" s="253"/>
      <c r="AR176" s="296"/>
      <c r="AU176" s="252">
        <f t="shared" si="27"/>
        <v>0</v>
      </c>
      <c r="AV176" s="252">
        <f t="shared" si="28"/>
        <v>0</v>
      </c>
    </row>
    <row r="177" spans="1:48" ht="18.75" customHeight="1">
      <c r="A177" s="364"/>
      <c r="B177" s="364"/>
      <c r="C177" s="364"/>
      <c r="D177" s="364"/>
      <c r="G177" s="252" t="s">
        <v>446</v>
      </c>
      <c r="H177" s="296" t="s">
        <v>447</v>
      </c>
      <c r="I177" s="296" t="s">
        <v>971</v>
      </c>
      <c r="J177" s="296" t="s">
        <v>446</v>
      </c>
      <c r="K177" s="252">
        <v>0</v>
      </c>
      <c r="W177" s="253"/>
      <c r="AO177" s="252" t="s">
        <v>1532</v>
      </c>
      <c r="AP177" s="296" t="s">
        <v>428</v>
      </c>
      <c r="AR177" s="296"/>
      <c r="AU177" s="252">
        <f t="shared" si="27"/>
        <v>0</v>
      </c>
      <c r="AV177" s="252">
        <f t="shared" si="28"/>
        <v>0</v>
      </c>
    </row>
    <row r="178" spans="1:48" ht="18.75" customHeight="1">
      <c r="A178" s="364"/>
      <c r="B178" s="364"/>
      <c r="C178" s="364"/>
      <c r="D178" s="364"/>
      <c r="K178" s="358" t="s">
        <v>1579</v>
      </c>
      <c r="W178" s="253"/>
      <c r="AP178" s="358" t="s">
        <v>1579</v>
      </c>
      <c r="AR178" s="296"/>
      <c r="AU178" s="252">
        <f t="shared" si="27"/>
        <v>0</v>
      </c>
      <c r="AV178" s="252">
        <f t="shared" si="28"/>
        <v>0</v>
      </c>
    </row>
    <row r="179" spans="1:48" ht="18.75" customHeight="1">
      <c r="A179" s="364"/>
      <c r="B179" s="364"/>
      <c r="C179" s="364"/>
      <c r="D179" s="364"/>
      <c r="H179" s="255" t="s">
        <v>193</v>
      </c>
      <c r="K179" s="274">
        <f>SUM(K174:K177)</f>
        <v>2036.05</v>
      </c>
      <c r="W179" s="253"/>
      <c r="AN179" s="252">
        <v>0.7</v>
      </c>
      <c r="AO179" s="252" t="s">
        <v>866</v>
      </c>
      <c r="AP179" s="296" t="s">
        <v>2269</v>
      </c>
      <c r="AQ179" s="252">
        <f>AQ147</f>
        <v>7162.37</v>
      </c>
      <c r="AR179" s="296" t="s">
        <v>865</v>
      </c>
      <c r="AS179" s="252">
        <f>(AN179*AQ179)</f>
        <v>5013.66</v>
      </c>
      <c r="AU179" s="252">
        <f t="shared" si="27"/>
        <v>1137.5999999999999</v>
      </c>
      <c r="AV179" s="252">
        <f t="shared" si="28"/>
        <v>3876.06</v>
      </c>
    </row>
    <row r="180" spans="1:48" ht="18.75" customHeight="1">
      <c r="K180" s="358" t="s">
        <v>1579</v>
      </c>
      <c r="M180" s="252">
        <v>2.5</v>
      </c>
      <c r="N180" s="296" t="s">
        <v>866</v>
      </c>
      <c r="O180" s="296" t="s">
        <v>1623</v>
      </c>
      <c r="P180" s="252">
        <f>(K58)</f>
        <v>3411.7</v>
      </c>
      <c r="Q180" s="296" t="s">
        <v>866</v>
      </c>
      <c r="R180" s="252">
        <f>(M180*P180)</f>
        <v>8529.25</v>
      </c>
      <c r="W180" s="253"/>
      <c r="AG180" s="296"/>
      <c r="AN180" s="252">
        <v>1</v>
      </c>
      <c r="AO180" s="252" t="s">
        <v>766</v>
      </c>
      <c r="AP180" s="296" t="s">
        <v>2000</v>
      </c>
      <c r="AQ180" s="252">
        <f>AQ165</f>
        <v>999</v>
      </c>
      <c r="AR180" s="296" t="s">
        <v>865</v>
      </c>
      <c r="AS180" s="252">
        <f>(AN180*AQ180)</f>
        <v>999</v>
      </c>
      <c r="AU180" s="252">
        <f t="shared" si="27"/>
        <v>226.67</v>
      </c>
      <c r="AV180" s="252">
        <f t="shared" si="28"/>
        <v>772.33</v>
      </c>
    </row>
    <row r="181" spans="1:48" ht="18.75" customHeight="1">
      <c r="H181" s="296" t="s">
        <v>971</v>
      </c>
      <c r="M181" s="252">
        <v>3.5</v>
      </c>
      <c r="N181" s="296" t="s">
        <v>865</v>
      </c>
      <c r="O181" s="296" t="s">
        <v>2000</v>
      </c>
      <c r="P181" s="252">
        <f>(C10)</f>
        <v>999</v>
      </c>
      <c r="Q181" s="296" t="s">
        <v>865</v>
      </c>
      <c r="R181" s="252">
        <f>(M181*P181)</f>
        <v>3496.5</v>
      </c>
      <c r="W181" s="253"/>
      <c r="AG181" s="296"/>
      <c r="AO181" s="252" t="s">
        <v>446</v>
      </c>
      <c r="AP181" s="296" t="s">
        <v>447</v>
      </c>
      <c r="AQ181" s="296" t="s">
        <v>971</v>
      </c>
      <c r="AR181" s="296" t="s">
        <v>446</v>
      </c>
      <c r="AS181" s="252">
        <v>0</v>
      </c>
      <c r="AU181" s="252">
        <f t="shared" si="27"/>
        <v>0</v>
      </c>
      <c r="AV181" s="252">
        <f t="shared" si="28"/>
        <v>0</v>
      </c>
    </row>
    <row r="182" spans="1:48" ht="18.75" customHeight="1">
      <c r="F182" s="253" t="s">
        <v>1639</v>
      </c>
      <c r="H182" s="296" t="s">
        <v>5659</v>
      </c>
      <c r="W182" s="253"/>
      <c r="AR182" s="296"/>
      <c r="AS182" s="358" t="s">
        <v>1579</v>
      </c>
      <c r="AU182" s="252">
        <f t="shared" si="27"/>
        <v>0</v>
      </c>
      <c r="AV182" s="252">
        <f t="shared" si="28"/>
        <v>0</v>
      </c>
    </row>
    <row r="183" spans="1:48" ht="18.75" customHeight="1">
      <c r="A183" s="364"/>
      <c r="B183" s="364"/>
      <c r="C183" s="364"/>
      <c r="D183" s="364"/>
      <c r="W183" s="253"/>
      <c r="AP183" s="296" t="s">
        <v>438</v>
      </c>
      <c r="AR183" s="296"/>
      <c r="AS183" s="274">
        <f>SUM(AS179:AS181)</f>
        <v>6012.66</v>
      </c>
      <c r="AU183" s="252">
        <f t="shared" si="27"/>
        <v>1364.27</v>
      </c>
      <c r="AV183" s="252">
        <f t="shared" si="28"/>
        <v>4648.3900000000003</v>
      </c>
    </row>
    <row r="184" spans="1:48" ht="18.75" customHeight="1">
      <c r="A184" s="364"/>
      <c r="B184" s="364"/>
      <c r="C184" s="364"/>
      <c r="D184" s="364"/>
      <c r="F184" s="252">
        <v>1</v>
      </c>
      <c r="G184" s="252" t="s">
        <v>866</v>
      </c>
      <c r="H184" s="296" t="s">
        <v>64</v>
      </c>
      <c r="I184" s="252">
        <f>C35</f>
        <v>389</v>
      </c>
      <c r="J184" s="296" t="s">
        <v>866</v>
      </c>
      <c r="K184" s="252">
        <f>(F184*I184)</f>
        <v>389</v>
      </c>
      <c r="W184" s="253"/>
      <c r="AR184" s="296"/>
      <c r="AS184" s="358" t="s">
        <v>1579</v>
      </c>
      <c r="AU184" s="252">
        <f t="shared" si="27"/>
        <v>0</v>
      </c>
      <c r="AV184" s="252">
        <f t="shared" si="28"/>
        <v>0</v>
      </c>
    </row>
    <row r="185" spans="1:48" ht="18.75" customHeight="1">
      <c r="A185" s="364"/>
      <c r="B185" s="364"/>
      <c r="C185" s="364"/>
      <c r="D185" s="364"/>
      <c r="F185" s="252">
        <v>1</v>
      </c>
      <c r="G185" s="252" t="s">
        <v>866</v>
      </c>
      <c r="H185" s="296" t="s">
        <v>522</v>
      </c>
      <c r="I185" s="399">
        <f>C812</f>
        <v>3.15</v>
      </c>
      <c r="J185" s="296" t="s">
        <v>866</v>
      </c>
      <c r="K185" s="252">
        <f>(F185*I185)</f>
        <v>3.15</v>
      </c>
      <c r="W185" s="253"/>
      <c r="AP185" s="296" t="s">
        <v>549</v>
      </c>
      <c r="AR185" s="296"/>
      <c r="AS185" s="252">
        <f>(AS183/10)</f>
        <v>601.27</v>
      </c>
      <c r="AU185" s="252">
        <f t="shared" si="27"/>
        <v>136.43</v>
      </c>
      <c r="AV185" s="252">
        <f t="shared" si="28"/>
        <v>464.84</v>
      </c>
    </row>
    <row r="186" spans="1:48" ht="18.75" customHeight="1">
      <c r="A186" s="364"/>
      <c r="B186" s="364"/>
      <c r="C186" s="364"/>
      <c r="D186" s="364"/>
      <c r="F186" s="252">
        <v>1</v>
      </c>
      <c r="G186" s="252" t="s">
        <v>866</v>
      </c>
      <c r="H186" s="296" t="s">
        <v>1634</v>
      </c>
      <c r="I186" s="399">
        <f>C146</f>
        <v>15.5</v>
      </c>
      <c r="J186" s="296" t="s">
        <v>866</v>
      </c>
      <c r="K186" s="252">
        <f>(F186*I186)</f>
        <v>15.5</v>
      </c>
      <c r="W186" s="253"/>
      <c r="AR186" s="296"/>
      <c r="AS186" s="358" t="s">
        <v>2046</v>
      </c>
      <c r="AU186" s="252">
        <f t="shared" si="27"/>
        <v>0</v>
      </c>
      <c r="AV186" s="252">
        <f t="shared" si="28"/>
        <v>0</v>
      </c>
    </row>
    <row r="187" spans="1:48" ht="18.75" customHeight="1">
      <c r="A187" s="364"/>
      <c r="B187" s="364"/>
      <c r="C187" s="364"/>
      <c r="D187" s="364"/>
      <c r="H187" s="296" t="s">
        <v>1635</v>
      </c>
      <c r="W187" s="253"/>
      <c r="AP187" s="296" t="s">
        <v>383</v>
      </c>
      <c r="AR187" s="296">
        <f>AS187-AS185</f>
        <v>5.52</v>
      </c>
      <c r="AS187" s="274">
        <f>(AS185+C19/10*AN179)</f>
        <v>606.79</v>
      </c>
      <c r="AU187" s="252">
        <f t="shared" si="27"/>
        <v>137.68</v>
      </c>
      <c r="AV187" s="252">
        <f t="shared" si="28"/>
        <v>469.11</v>
      </c>
    </row>
    <row r="188" spans="1:48" ht="18.75" customHeight="1">
      <c r="A188" s="364"/>
      <c r="B188" s="364"/>
      <c r="C188" s="364"/>
      <c r="D188" s="364"/>
      <c r="K188" s="358" t="s">
        <v>1579</v>
      </c>
      <c r="W188" s="253"/>
      <c r="AP188" s="296" t="s">
        <v>385</v>
      </c>
      <c r="AR188" s="296">
        <f>AS188-AS187</f>
        <v>11.14</v>
      </c>
      <c r="AS188" s="274">
        <f>(AS187+C20/10*AN179)</f>
        <v>617.92999999999995</v>
      </c>
      <c r="AU188" s="252">
        <f t="shared" si="27"/>
        <v>140.21</v>
      </c>
      <c r="AV188" s="252">
        <f t="shared" si="28"/>
        <v>477.72</v>
      </c>
    </row>
    <row r="189" spans="1:48" ht="18.75" customHeight="1">
      <c r="A189" s="364"/>
      <c r="B189" s="364"/>
      <c r="C189" s="364"/>
      <c r="D189" s="364"/>
      <c r="H189" s="255" t="s">
        <v>193</v>
      </c>
      <c r="K189" s="274">
        <f>SUM(K182:K187)</f>
        <v>407.65</v>
      </c>
      <c r="W189" s="253"/>
      <c r="AP189" s="296" t="s">
        <v>2222</v>
      </c>
      <c r="AR189" s="296">
        <f>AS189-AS188</f>
        <v>11.14</v>
      </c>
      <c r="AS189" s="274">
        <f>(AS188+C21/10*AN179)</f>
        <v>629.07000000000005</v>
      </c>
      <c r="AU189" s="252">
        <f t="shared" si="27"/>
        <v>142.74</v>
      </c>
      <c r="AV189" s="252">
        <f t="shared" si="28"/>
        <v>486.33</v>
      </c>
    </row>
    <row r="190" spans="1:48" ht="18.75" customHeight="1">
      <c r="A190" s="364"/>
      <c r="B190" s="364"/>
      <c r="C190" s="364"/>
      <c r="D190" s="364"/>
      <c r="F190" s="296" t="s">
        <v>971</v>
      </c>
      <c r="K190" s="358" t="s">
        <v>1579</v>
      </c>
      <c r="W190" s="253"/>
      <c r="AP190" s="296" t="s">
        <v>377</v>
      </c>
      <c r="AR190" s="296">
        <f>AS190-AS189</f>
        <v>11.14</v>
      </c>
      <c r="AS190" s="274">
        <f>(AS189+C21/10*AN179)</f>
        <v>640.21</v>
      </c>
      <c r="AU190" s="252">
        <f t="shared" si="27"/>
        <v>145.26</v>
      </c>
      <c r="AV190" s="252">
        <f t="shared" si="28"/>
        <v>494.95</v>
      </c>
    </row>
    <row r="191" spans="1:48" ht="18.75" customHeight="1">
      <c r="A191" s="364"/>
      <c r="B191" s="364"/>
      <c r="C191" s="364"/>
      <c r="D191" s="364"/>
      <c r="K191" s="296" t="s">
        <v>971</v>
      </c>
      <c r="W191" s="253"/>
      <c r="AP191" s="296" t="s">
        <v>830</v>
      </c>
      <c r="AR191" s="296">
        <f>AS191-AS190</f>
        <v>11.14</v>
      </c>
      <c r="AS191" s="274">
        <f>(AS190+C21/10*AN179)</f>
        <v>651.35</v>
      </c>
      <c r="AU191" s="252">
        <f t="shared" si="27"/>
        <v>147.79</v>
      </c>
      <c r="AV191" s="252">
        <f t="shared" si="28"/>
        <v>503.56</v>
      </c>
    </row>
    <row r="192" spans="1:48" ht="18.75" customHeight="1">
      <c r="A192" s="363">
        <f>(A148+1)</f>
        <v>90</v>
      </c>
      <c r="B192" s="365" t="s">
        <v>661</v>
      </c>
      <c r="C192" s="314">
        <v>65</v>
      </c>
      <c r="D192" s="365" t="s">
        <v>662</v>
      </c>
      <c r="F192" s="253" t="s">
        <v>663</v>
      </c>
      <c r="G192" s="252" t="s">
        <v>2241</v>
      </c>
      <c r="H192" s="296" t="s">
        <v>664</v>
      </c>
      <c r="M192" s="253" t="s">
        <v>663</v>
      </c>
      <c r="N192" s="252" t="s">
        <v>2241</v>
      </c>
      <c r="O192" s="296" t="s">
        <v>210</v>
      </c>
      <c r="Q192" s="296"/>
      <c r="S192" s="253" t="s">
        <v>663</v>
      </c>
      <c r="T192" s="252" t="s">
        <v>2241</v>
      </c>
      <c r="U192" s="296" t="s">
        <v>210</v>
      </c>
      <c r="W192" s="253"/>
      <c r="AG192" s="296"/>
      <c r="AP192" s="296"/>
      <c r="AR192" s="296"/>
      <c r="AS192" s="274"/>
      <c r="AU192" s="252">
        <f t="shared" si="27"/>
        <v>0</v>
      </c>
      <c r="AV192" s="252">
        <f t="shared" si="28"/>
        <v>0</v>
      </c>
    </row>
    <row r="193" spans="1:48" ht="18.75" customHeight="1">
      <c r="A193" s="363">
        <f t="shared" ref="A193:A208" si="29">(A192+1)</f>
        <v>91</v>
      </c>
      <c r="B193" s="365" t="s">
        <v>665</v>
      </c>
      <c r="C193" s="314">
        <v>25</v>
      </c>
      <c r="D193" s="365" t="s">
        <v>662</v>
      </c>
      <c r="H193" s="296" t="s">
        <v>666</v>
      </c>
      <c r="O193" s="296" t="s">
        <v>1480</v>
      </c>
      <c r="Q193" s="296"/>
      <c r="S193" s="252"/>
      <c r="U193" s="296" t="s">
        <v>666</v>
      </c>
      <c r="W193" s="253"/>
      <c r="AG193" s="296"/>
      <c r="AO193" s="252" t="s">
        <v>1532</v>
      </c>
      <c r="AP193" s="296" t="s">
        <v>428</v>
      </c>
      <c r="AR193" s="296"/>
      <c r="AU193" s="252">
        <f t="shared" si="27"/>
        <v>0</v>
      </c>
      <c r="AV193" s="252">
        <f t="shared" si="28"/>
        <v>0</v>
      </c>
    </row>
    <row r="194" spans="1:48" ht="18.75" customHeight="1">
      <c r="A194" s="363">
        <f t="shared" si="29"/>
        <v>92</v>
      </c>
      <c r="B194" s="296" t="s">
        <v>4839</v>
      </c>
      <c r="C194" s="362">
        <v>271.2</v>
      </c>
      <c r="D194" s="365" t="s">
        <v>662</v>
      </c>
      <c r="H194" s="358" t="s">
        <v>1579</v>
      </c>
      <c r="O194" s="358" t="s">
        <v>1579</v>
      </c>
      <c r="Q194" s="296"/>
      <c r="S194" s="252"/>
      <c r="U194" s="358" t="s">
        <v>1579</v>
      </c>
      <c r="W194" s="253"/>
      <c r="AG194" s="296"/>
      <c r="AP194" s="358" t="s">
        <v>1579</v>
      </c>
      <c r="AR194" s="296"/>
      <c r="AU194" s="252">
        <f t="shared" si="27"/>
        <v>0</v>
      </c>
      <c r="AV194" s="252">
        <f t="shared" si="28"/>
        <v>0</v>
      </c>
    </row>
    <row r="195" spans="1:48" ht="18.75" customHeight="1">
      <c r="A195" s="363">
        <f t="shared" si="29"/>
        <v>93</v>
      </c>
      <c r="B195" s="296" t="s">
        <v>4840</v>
      </c>
      <c r="C195" s="362">
        <v>238.9</v>
      </c>
      <c r="D195" s="314">
        <v>96.11</v>
      </c>
      <c r="F195" s="252">
        <v>9</v>
      </c>
      <c r="G195" s="252" t="s">
        <v>866</v>
      </c>
      <c r="H195" s="296" t="s">
        <v>1630</v>
      </c>
      <c r="I195" s="252">
        <f>(C74)</f>
        <v>1577.9</v>
      </c>
      <c r="J195" s="296" t="s">
        <v>866</v>
      </c>
      <c r="K195" s="252">
        <f>(F195*I195)</f>
        <v>14201.1</v>
      </c>
      <c r="M195" s="252">
        <v>9</v>
      </c>
      <c r="N195" s="252" t="s">
        <v>866</v>
      </c>
      <c r="O195" s="296" t="s">
        <v>688</v>
      </c>
      <c r="P195" s="252">
        <f>(C73)</f>
        <v>1997.1</v>
      </c>
      <c r="Q195" s="296" t="s">
        <v>866</v>
      </c>
      <c r="R195" s="252">
        <f>(M195*P195)</f>
        <v>17973.900000000001</v>
      </c>
      <c r="S195" s="252">
        <v>9</v>
      </c>
      <c r="T195" s="252" t="s">
        <v>866</v>
      </c>
      <c r="U195" s="296" t="s">
        <v>1630</v>
      </c>
      <c r="V195" s="252">
        <f>(C74)</f>
        <v>1577.9</v>
      </c>
      <c r="W195" s="253" t="s">
        <v>866</v>
      </c>
      <c r="X195" s="252">
        <f>(S195*V195)</f>
        <v>14201.1</v>
      </c>
      <c r="AG195" s="296"/>
      <c r="AN195" s="252">
        <v>0.7</v>
      </c>
      <c r="AO195" s="252" t="s">
        <v>866</v>
      </c>
      <c r="AP195" s="296" t="s">
        <v>2269</v>
      </c>
      <c r="AQ195" s="252">
        <f>AQ163</f>
        <v>6959.15</v>
      </c>
      <c r="AR195" s="296" t="s">
        <v>865</v>
      </c>
      <c r="AS195" s="252">
        <f>(AN195*AQ195)</f>
        <v>4871.41</v>
      </c>
      <c r="AU195" s="252">
        <f t="shared" si="27"/>
        <v>1105.32</v>
      </c>
      <c r="AV195" s="252">
        <f t="shared" si="28"/>
        <v>3766.09</v>
      </c>
    </row>
    <row r="196" spans="1:48" ht="18.75" customHeight="1">
      <c r="A196" s="363">
        <f t="shared" si="29"/>
        <v>94</v>
      </c>
      <c r="B196" s="296" t="s">
        <v>4841</v>
      </c>
      <c r="C196" s="362">
        <v>147.5</v>
      </c>
      <c r="D196" s="365" t="s">
        <v>662</v>
      </c>
      <c r="F196" s="252">
        <v>4.5</v>
      </c>
      <c r="G196" s="252" t="s">
        <v>866</v>
      </c>
      <c r="H196" s="296" t="s">
        <v>1617</v>
      </c>
      <c r="I196" s="252">
        <f>(K49)</f>
        <v>3701.62</v>
      </c>
      <c r="J196" s="296" t="s">
        <v>866</v>
      </c>
      <c r="K196" s="252">
        <f>(F196*I196)</f>
        <v>16657.29</v>
      </c>
      <c r="M196" s="252">
        <v>4.5</v>
      </c>
      <c r="N196" s="252" t="s">
        <v>866</v>
      </c>
      <c r="O196" s="296" t="s">
        <v>1348</v>
      </c>
      <c r="P196" s="252">
        <f>K32</f>
        <v>4861.3</v>
      </c>
      <c r="Q196" s="296" t="s">
        <v>866</v>
      </c>
      <c r="R196" s="252">
        <f>(M196*P196)</f>
        <v>21875.85</v>
      </c>
      <c r="S196" s="252">
        <v>4.5</v>
      </c>
      <c r="T196" s="252" t="s">
        <v>866</v>
      </c>
      <c r="U196" s="296" t="s">
        <v>1348</v>
      </c>
      <c r="V196" s="252">
        <f>P196</f>
        <v>4861.3</v>
      </c>
      <c r="W196" s="253" t="s">
        <v>866</v>
      </c>
      <c r="X196" s="252">
        <f>(S196*V196)</f>
        <v>21875.85</v>
      </c>
      <c r="AG196" s="296"/>
      <c r="AN196" s="252">
        <v>1</v>
      </c>
      <c r="AO196" s="252" t="s">
        <v>766</v>
      </c>
      <c r="AP196" s="296" t="s">
        <v>2000</v>
      </c>
      <c r="AQ196" s="252" t="str">
        <f>AQ181</f>
        <v xml:space="preserve"> </v>
      </c>
      <c r="AR196" s="296" t="s">
        <v>865</v>
      </c>
      <c r="AS196" s="252">
        <f>(AN196*AQ196)</f>
        <v>0</v>
      </c>
      <c r="AU196" s="252">
        <f t="shared" si="27"/>
        <v>0</v>
      </c>
      <c r="AV196" s="252">
        <f t="shared" si="28"/>
        <v>0</v>
      </c>
    </row>
    <row r="197" spans="1:48" ht="18.75" customHeight="1">
      <c r="A197" s="363">
        <f t="shared" si="29"/>
        <v>95</v>
      </c>
      <c r="B197" s="365" t="s">
        <v>834</v>
      </c>
      <c r="C197" s="314">
        <v>0.25</v>
      </c>
      <c r="D197" s="365" t="s">
        <v>865</v>
      </c>
      <c r="F197" s="252">
        <v>1.8</v>
      </c>
      <c r="G197" s="252" t="s">
        <v>865</v>
      </c>
      <c r="H197" s="296" t="s">
        <v>1704</v>
      </c>
      <c r="I197" s="252">
        <f>(C11)</f>
        <v>932</v>
      </c>
      <c r="J197" s="296" t="s">
        <v>865</v>
      </c>
      <c r="K197" s="252">
        <f>(F197*I197)</f>
        <v>1677.6</v>
      </c>
      <c r="M197" s="252">
        <v>1.8</v>
      </c>
      <c r="N197" s="252" t="s">
        <v>865</v>
      </c>
      <c r="O197" s="296" t="s">
        <v>1704</v>
      </c>
      <c r="P197" s="252">
        <f>I197</f>
        <v>932</v>
      </c>
      <c r="Q197" s="296" t="s">
        <v>865</v>
      </c>
      <c r="R197" s="252">
        <f>(M197*P197)</f>
        <v>1677.6</v>
      </c>
      <c r="S197" s="252">
        <v>1.8</v>
      </c>
      <c r="T197" s="252" t="s">
        <v>865</v>
      </c>
      <c r="U197" s="296" t="s">
        <v>1704</v>
      </c>
      <c r="V197" s="252">
        <f>P197</f>
        <v>932</v>
      </c>
      <c r="W197" s="253" t="s">
        <v>865</v>
      </c>
      <c r="X197" s="252">
        <f>(S197*V197)</f>
        <v>1677.6</v>
      </c>
      <c r="AG197" s="296"/>
      <c r="AO197" s="252" t="s">
        <v>446</v>
      </c>
      <c r="AP197" s="296" t="s">
        <v>447</v>
      </c>
      <c r="AQ197" s="296" t="s">
        <v>971</v>
      </c>
      <c r="AR197" s="296" t="s">
        <v>446</v>
      </c>
      <c r="AS197" s="252">
        <v>0</v>
      </c>
      <c r="AU197" s="252">
        <f t="shared" si="27"/>
        <v>0</v>
      </c>
      <c r="AV197" s="252">
        <f t="shared" si="28"/>
        <v>0</v>
      </c>
    </row>
    <row r="198" spans="1:48" ht="18.75" customHeight="1">
      <c r="A198" s="363">
        <f t="shared" si="29"/>
        <v>96</v>
      </c>
      <c r="B198" s="296" t="s">
        <v>5415</v>
      </c>
      <c r="C198" s="362">
        <v>40.65</v>
      </c>
      <c r="D198" s="296" t="s">
        <v>606</v>
      </c>
      <c r="F198" s="252">
        <v>17.7</v>
      </c>
      <c r="G198" s="252" t="s">
        <v>865</v>
      </c>
      <c r="H198" s="296" t="s">
        <v>1893</v>
      </c>
      <c r="I198" s="252">
        <f>(C12)</f>
        <v>651</v>
      </c>
      <c r="J198" s="296" t="s">
        <v>865</v>
      </c>
      <c r="K198" s="252">
        <f>(F198*I198)</f>
        <v>11522.7</v>
      </c>
      <c r="M198" s="252">
        <v>17.7</v>
      </c>
      <c r="N198" s="252" t="s">
        <v>865</v>
      </c>
      <c r="O198" s="296" t="s">
        <v>1893</v>
      </c>
      <c r="P198" s="252">
        <f>I198</f>
        <v>651</v>
      </c>
      <c r="Q198" s="296" t="s">
        <v>865</v>
      </c>
      <c r="R198" s="252">
        <f>(M198*P198)</f>
        <v>11522.7</v>
      </c>
      <c r="S198" s="252">
        <v>17.7</v>
      </c>
      <c r="T198" s="252" t="s">
        <v>865</v>
      </c>
      <c r="U198" s="296" t="s">
        <v>1893</v>
      </c>
      <c r="V198" s="252">
        <f>P198</f>
        <v>651</v>
      </c>
      <c r="W198" s="253" t="s">
        <v>865</v>
      </c>
      <c r="X198" s="252">
        <f>(S198*V198)</f>
        <v>11522.7</v>
      </c>
      <c r="AG198" s="296"/>
      <c r="AR198" s="296"/>
      <c r="AS198" s="358" t="s">
        <v>1579</v>
      </c>
      <c r="AU198" s="252">
        <f t="shared" si="27"/>
        <v>0</v>
      </c>
      <c r="AV198" s="252">
        <f t="shared" si="28"/>
        <v>0</v>
      </c>
    </row>
    <row r="199" spans="1:48" ht="18.75" customHeight="1">
      <c r="A199" s="363">
        <f t="shared" si="29"/>
        <v>97</v>
      </c>
      <c r="B199" s="296" t="s">
        <v>5416</v>
      </c>
      <c r="C199" s="362">
        <v>379.9</v>
      </c>
      <c r="D199" s="362">
        <v>116.55</v>
      </c>
      <c r="E199" s="365" t="s">
        <v>606</v>
      </c>
      <c r="F199" s="252">
        <v>14.1</v>
      </c>
      <c r="G199" s="252" t="s">
        <v>865</v>
      </c>
      <c r="H199" s="296" t="s">
        <v>317</v>
      </c>
      <c r="I199" s="252">
        <f>(C13)</f>
        <v>534</v>
      </c>
      <c r="J199" s="296" t="s">
        <v>865</v>
      </c>
      <c r="K199" s="252">
        <f>(F199*I199)</f>
        <v>7529.4</v>
      </c>
      <c r="M199" s="252">
        <v>14.1</v>
      </c>
      <c r="N199" s="252" t="s">
        <v>865</v>
      </c>
      <c r="O199" s="296" t="s">
        <v>317</v>
      </c>
      <c r="P199" s="252">
        <f>I199</f>
        <v>534</v>
      </c>
      <c r="Q199" s="296" t="s">
        <v>865</v>
      </c>
      <c r="R199" s="252">
        <f>(M199*P199)</f>
        <v>7529.4</v>
      </c>
      <c r="S199" s="252">
        <v>14.1</v>
      </c>
      <c r="T199" s="252" t="s">
        <v>865</v>
      </c>
      <c r="U199" s="296" t="s">
        <v>317</v>
      </c>
      <c r="V199" s="252">
        <f>P199</f>
        <v>534</v>
      </c>
      <c r="W199" s="253" t="s">
        <v>865</v>
      </c>
      <c r="X199" s="252">
        <f>(S199*V199)</f>
        <v>7529.4</v>
      </c>
      <c r="AG199" s="296"/>
      <c r="AP199" s="296" t="s">
        <v>438</v>
      </c>
      <c r="AR199" s="296"/>
      <c r="AS199" s="274">
        <f>SUM(AS195:AS197)</f>
        <v>4871.41</v>
      </c>
      <c r="AU199" s="252">
        <f t="shared" si="27"/>
        <v>1105.32</v>
      </c>
      <c r="AV199" s="252">
        <f t="shared" si="28"/>
        <v>3766.09</v>
      </c>
    </row>
    <row r="200" spans="1:48" ht="18.75" customHeight="1">
      <c r="A200" s="363">
        <f t="shared" si="29"/>
        <v>98</v>
      </c>
      <c r="B200" s="296" t="s">
        <v>5417</v>
      </c>
      <c r="C200" s="362">
        <v>183.8</v>
      </c>
      <c r="D200" s="296" t="s">
        <v>766</v>
      </c>
      <c r="G200" s="252" t="s">
        <v>446</v>
      </c>
      <c r="H200" s="296" t="s">
        <v>447</v>
      </c>
      <c r="J200" s="296" t="s">
        <v>446</v>
      </c>
      <c r="K200" s="252">
        <v>0</v>
      </c>
      <c r="N200" s="252" t="s">
        <v>446</v>
      </c>
      <c r="O200" s="296" t="s">
        <v>447</v>
      </c>
      <c r="Q200" s="296" t="s">
        <v>446</v>
      </c>
      <c r="R200" s="252">
        <v>0</v>
      </c>
      <c r="S200" s="252"/>
      <c r="T200" s="252" t="s">
        <v>446</v>
      </c>
      <c r="U200" s="296" t="s">
        <v>447</v>
      </c>
      <c r="W200" s="253" t="s">
        <v>446</v>
      </c>
      <c r="X200" s="252">
        <v>0</v>
      </c>
      <c r="AG200" s="296"/>
      <c r="AR200" s="296"/>
      <c r="AS200" s="358" t="s">
        <v>1579</v>
      </c>
      <c r="AU200" s="252">
        <f t="shared" si="27"/>
        <v>0</v>
      </c>
      <c r="AV200" s="252">
        <f t="shared" si="28"/>
        <v>0</v>
      </c>
    </row>
    <row r="201" spans="1:48" ht="18.75" customHeight="1">
      <c r="A201" s="363">
        <f t="shared" si="29"/>
        <v>99</v>
      </c>
      <c r="B201" s="296" t="s">
        <v>5418</v>
      </c>
      <c r="C201" s="362">
        <v>1201</v>
      </c>
      <c r="D201" s="296" t="s">
        <v>766</v>
      </c>
      <c r="K201" s="358" t="s">
        <v>1579</v>
      </c>
      <c r="Q201" s="296"/>
      <c r="R201" s="358" t="s">
        <v>1579</v>
      </c>
      <c r="S201" s="252"/>
      <c r="W201" s="253"/>
      <c r="X201" s="358" t="s">
        <v>1579</v>
      </c>
      <c r="AG201" s="296"/>
      <c r="AP201" s="296" t="s">
        <v>549</v>
      </c>
      <c r="AR201" s="296"/>
      <c r="AS201" s="252">
        <f>(AS199/10)</f>
        <v>487.14</v>
      </c>
      <c r="AU201" s="252">
        <f t="shared" si="27"/>
        <v>110.53</v>
      </c>
      <c r="AV201" s="252">
        <f t="shared" si="28"/>
        <v>376.61</v>
      </c>
    </row>
    <row r="202" spans="1:48" ht="18.75" customHeight="1">
      <c r="A202" s="363">
        <f t="shared" si="29"/>
        <v>100</v>
      </c>
      <c r="B202" s="365" t="s">
        <v>1145</v>
      </c>
      <c r="C202" s="372">
        <v>47.2</v>
      </c>
      <c r="D202" s="365" t="s">
        <v>766</v>
      </c>
      <c r="K202" s="252">
        <f>SUM(K195:K200)</f>
        <v>51588.09</v>
      </c>
      <c r="Q202" s="296"/>
      <c r="R202" s="252">
        <f>SUM(R195:R200)</f>
        <v>60579.45</v>
      </c>
      <c r="S202" s="252"/>
      <c r="U202" s="296" t="s">
        <v>611</v>
      </c>
      <c r="W202" s="253"/>
      <c r="X202" s="252">
        <f>SUM(X195:X200)</f>
        <v>56806.65</v>
      </c>
      <c r="AG202" s="296"/>
      <c r="AR202" s="296"/>
      <c r="AS202" s="358" t="s">
        <v>2046</v>
      </c>
      <c r="AU202" s="252">
        <f t="shared" si="27"/>
        <v>0</v>
      </c>
      <c r="AV202" s="252">
        <f t="shared" si="28"/>
        <v>0</v>
      </c>
    </row>
    <row r="203" spans="1:48" ht="18.75" customHeight="1">
      <c r="A203" s="363">
        <f t="shared" si="29"/>
        <v>101</v>
      </c>
      <c r="B203" s="296" t="s">
        <v>5419</v>
      </c>
      <c r="C203" s="362">
        <v>128</v>
      </c>
      <c r="D203" s="365" t="s">
        <v>766</v>
      </c>
      <c r="E203" s="362">
        <v>166.15</v>
      </c>
      <c r="H203" s="253" t="s">
        <v>611</v>
      </c>
      <c r="K203" s="358" t="s">
        <v>1579</v>
      </c>
      <c r="O203" s="296" t="s">
        <v>611</v>
      </c>
      <c r="Q203" s="296"/>
      <c r="R203" s="358" t="s">
        <v>1579</v>
      </c>
      <c r="S203" s="252"/>
      <c r="W203" s="253"/>
      <c r="X203" s="358" t="s">
        <v>1579</v>
      </c>
      <c r="AG203" s="296"/>
      <c r="AP203" s="296" t="s">
        <v>383</v>
      </c>
      <c r="AR203" s="296">
        <f>AS203-AS201</f>
        <v>27.23</v>
      </c>
      <c r="AS203" s="274">
        <f>(AS201+C35/10*AN195)</f>
        <v>514.37</v>
      </c>
      <c r="AU203" s="252">
        <f t="shared" si="27"/>
        <v>116.71</v>
      </c>
      <c r="AV203" s="252">
        <f t="shared" si="28"/>
        <v>397.66</v>
      </c>
    </row>
    <row r="204" spans="1:48" ht="18.75" customHeight="1">
      <c r="A204" s="363">
        <f t="shared" si="29"/>
        <v>102</v>
      </c>
      <c r="B204" s="296" t="s">
        <v>5420</v>
      </c>
      <c r="C204" s="362">
        <v>63.4</v>
      </c>
      <c r="D204" s="365" t="s">
        <v>766</v>
      </c>
      <c r="K204" s="274">
        <f>(K202/10)</f>
        <v>5158.8100000000004</v>
      </c>
      <c r="Q204" s="296"/>
      <c r="R204" s="252">
        <f>(R202/10)</f>
        <v>6057.95</v>
      </c>
      <c r="S204" s="252"/>
      <c r="U204" s="296" t="s">
        <v>770</v>
      </c>
      <c r="W204" s="253"/>
      <c r="X204" s="252">
        <f>(X202/10)</f>
        <v>5680.67</v>
      </c>
      <c r="AP204" s="296" t="s">
        <v>385</v>
      </c>
      <c r="AR204" s="296">
        <f>AS204-AS203</f>
        <v>0.74</v>
      </c>
      <c r="AS204" s="274">
        <f>(AS203+C36/10*AN195)</f>
        <v>515.11</v>
      </c>
      <c r="AU204" s="252">
        <f t="shared" si="27"/>
        <v>116.88</v>
      </c>
      <c r="AV204" s="252">
        <f t="shared" si="28"/>
        <v>398.23</v>
      </c>
    </row>
    <row r="205" spans="1:48" ht="18.75" customHeight="1">
      <c r="A205" s="363">
        <f t="shared" si="29"/>
        <v>103</v>
      </c>
      <c r="B205" s="296" t="s">
        <v>618</v>
      </c>
      <c r="C205" s="362">
        <v>102</v>
      </c>
      <c r="D205" s="365" t="s">
        <v>766</v>
      </c>
      <c r="H205" s="255" t="s">
        <v>770</v>
      </c>
      <c r="K205" s="358" t="s">
        <v>2046</v>
      </c>
      <c r="O205" s="296" t="s">
        <v>770</v>
      </c>
      <c r="Q205" s="296"/>
      <c r="R205" s="358" t="s">
        <v>2046</v>
      </c>
      <c r="S205" s="252"/>
      <c r="W205" s="253"/>
      <c r="X205" s="358" t="s">
        <v>2046</v>
      </c>
      <c r="AP205" s="296" t="s">
        <v>2222</v>
      </c>
      <c r="AR205" s="296">
        <f>AS205-AS204</f>
        <v>3.87</v>
      </c>
      <c r="AS205" s="274">
        <f>(AS204+C37/10*AN195)</f>
        <v>518.98</v>
      </c>
      <c r="AU205" s="252">
        <f t="shared" si="27"/>
        <v>117.76</v>
      </c>
      <c r="AV205" s="252">
        <f t="shared" si="28"/>
        <v>401.22</v>
      </c>
    </row>
    <row r="206" spans="1:48" ht="18.75" customHeight="1">
      <c r="A206" s="363">
        <f t="shared" si="29"/>
        <v>104</v>
      </c>
      <c r="B206" s="296" t="s">
        <v>5421</v>
      </c>
      <c r="C206" s="362">
        <v>101.6</v>
      </c>
      <c r="D206" s="365" t="s">
        <v>766</v>
      </c>
      <c r="E206" s="362">
        <v>140.65</v>
      </c>
      <c r="W206" s="253"/>
      <c r="AG206" s="296"/>
      <c r="AP206" s="296" t="s">
        <v>377</v>
      </c>
      <c r="AR206" s="296">
        <f>AS206-AS205</f>
        <v>3.87</v>
      </c>
      <c r="AS206" s="274">
        <f>(AS205+C37/10*AN195)</f>
        <v>522.85</v>
      </c>
      <c r="AU206" s="252">
        <f t="shared" si="27"/>
        <v>118.63</v>
      </c>
      <c r="AV206" s="252">
        <f t="shared" si="28"/>
        <v>404.22</v>
      </c>
    </row>
    <row r="207" spans="1:48" ht="18.75" customHeight="1">
      <c r="A207" s="363">
        <f t="shared" si="29"/>
        <v>105</v>
      </c>
      <c r="B207" s="296" t="s">
        <v>4842</v>
      </c>
      <c r="C207" s="362">
        <v>227.6</v>
      </c>
      <c r="D207" s="365" t="s">
        <v>683</v>
      </c>
      <c r="F207" s="253" t="s">
        <v>684</v>
      </c>
      <c r="G207" s="252" t="s">
        <v>2241</v>
      </c>
      <c r="H207" s="296" t="s">
        <v>5660</v>
      </c>
      <c r="W207" s="253"/>
      <c r="AP207" s="296" t="s">
        <v>830</v>
      </c>
      <c r="AR207" s="296">
        <f>AS207-AS206</f>
        <v>3.87</v>
      </c>
      <c r="AS207" s="274">
        <f>(AS206+C37/10*AN195)</f>
        <v>526.72</v>
      </c>
      <c r="AU207" s="252">
        <f t="shared" si="27"/>
        <v>119.51</v>
      </c>
      <c r="AV207" s="252">
        <f t="shared" si="28"/>
        <v>407.21</v>
      </c>
    </row>
    <row r="208" spans="1:48" ht="18.75" customHeight="1">
      <c r="A208" s="363">
        <f t="shared" si="29"/>
        <v>106</v>
      </c>
      <c r="B208" s="296" t="s">
        <v>5422</v>
      </c>
      <c r="C208" s="362">
        <v>166.15</v>
      </c>
      <c r="D208" s="365" t="s">
        <v>766</v>
      </c>
      <c r="H208" s="296" t="s">
        <v>1480</v>
      </c>
      <c r="N208" s="296" t="s">
        <v>686</v>
      </c>
      <c r="O208" s="296" t="s">
        <v>687</v>
      </c>
      <c r="W208" s="253"/>
      <c r="AU208" s="252">
        <f t="shared" si="27"/>
        <v>0</v>
      </c>
      <c r="AV208" s="252">
        <f t="shared" si="28"/>
        <v>0</v>
      </c>
    </row>
    <row r="209" spans="1:48" ht="18.75" customHeight="1">
      <c r="A209" s="364"/>
      <c r="B209" s="364"/>
      <c r="C209" s="364"/>
      <c r="D209" s="364"/>
      <c r="H209" s="358" t="s">
        <v>1579</v>
      </c>
      <c r="O209" s="358" t="s">
        <v>1579</v>
      </c>
      <c r="W209" s="253"/>
      <c r="AU209" s="252">
        <f t="shared" si="27"/>
        <v>0</v>
      </c>
      <c r="AV209" s="252">
        <f t="shared" si="28"/>
        <v>0</v>
      </c>
    </row>
    <row r="210" spans="1:48" ht="18.75" customHeight="1">
      <c r="A210" s="364"/>
      <c r="B210" s="364"/>
      <c r="C210" s="364"/>
      <c r="D210" s="364"/>
      <c r="F210" s="252">
        <v>9</v>
      </c>
      <c r="G210" s="252" t="s">
        <v>866</v>
      </c>
      <c r="H210" s="296" t="s">
        <v>688</v>
      </c>
      <c r="I210" s="252">
        <f>C73</f>
        <v>1997.1</v>
      </c>
      <c r="J210" s="296" t="s">
        <v>866</v>
      </c>
      <c r="K210" s="252">
        <f>(F210*I210)</f>
        <v>17973.900000000001</v>
      </c>
      <c r="M210" s="400">
        <v>1.153E-2</v>
      </c>
      <c r="N210" s="296" t="s">
        <v>866</v>
      </c>
      <c r="O210" s="296" t="s">
        <v>689</v>
      </c>
      <c r="P210" s="252">
        <f>C88</f>
        <v>111600</v>
      </c>
      <c r="Q210" s="296" t="s">
        <v>866</v>
      </c>
      <c r="R210" s="252">
        <f t="shared" ref="R210:R219" si="30">(M210*P210)</f>
        <v>1286.75</v>
      </c>
      <c r="W210" s="253"/>
      <c r="AU210" s="252">
        <f t="shared" si="27"/>
        <v>0</v>
      </c>
      <c r="AV210" s="252">
        <f t="shared" si="28"/>
        <v>0</v>
      </c>
    </row>
    <row r="211" spans="1:48" ht="18.75" customHeight="1">
      <c r="A211" s="364"/>
      <c r="B211" s="364"/>
      <c r="C211" s="364"/>
      <c r="D211" s="364"/>
      <c r="F211" s="252">
        <v>4.5</v>
      </c>
      <c r="G211" s="252" t="s">
        <v>866</v>
      </c>
      <c r="H211" s="296" t="s">
        <v>119</v>
      </c>
      <c r="I211" s="252">
        <f>K23</f>
        <v>6310.9</v>
      </c>
      <c r="J211" s="296" t="s">
        <v>866</v>
      </c>
      <c r="K211" s="252">
        <f>(F211*I211)</f>
        <v>28399.05</v>
      </c>
      <c r="M211" s="400">
        <v>1.013E-2</v>
      </c>
      <c r="N211" s="296" t="s">
        <v>866</v>
      </c>
      <c r="O211" s="296" t="s">
        <v>690</v>
      </c>
      <c r="P211" s="252">
        <f>C89</f>
        <v>99400</v>
      </c>
      <c r="Q211" s="296" t="s">
        <v>866</v>
      </c>
      <c r="R211" s="252">
        <f t="shared" si="30"/>
        <v>1006.92</v>
      </c>
      <c r="W211" s="253"/>
      <c r="AU211" s="252">
        <f t="shared" si="27"/>
        <v>0</v>
      </c>
      <c r="AV211" s="252">
        <f t="shared" si="28"/>
        <v>0</v>
      </c>
    </row>
    <row r="212" spans="1:48" ht="18.75" customHeight="1">
      <c r="A212" s="364"/>
      <c r="B212" s="364"/>
      <c r="C212" s="364"/>
      <c r="D212" s="364"/>
      <c r="F212" s="252">
        <v>1.8</v>
      </c>
      <c r="G212" s="252" t="s">
        <v>865</v>
      </c>
      <c r="H212" s="296" t="s">
        <v>1704</v>
      </c>
      <c r="I212" s="252">
        <f>C11</f>
        <v>932</v>
      </c>
      <c r="J212" s="296" t="s">
        <v>865</v>
      </c>
      <c r="K212" s="252">
        <f>(F212*I212)</f>
        <v>1677.6</v>
      </c>
      <c r="M212" s="400">
        <v>0.77780000000000005</v>
      </c>
      <c r="N212" s="296" t="s">
        <v>606</v>
      </c>
      <c r="O212" s="296" t="s">
        <v>2082</v>
      </c>
      <c r="P212" s="252">
        <f>C783</f>
        <v>387.4</v>
      </c>
      <c r="Q212" s="296" t="s">
        <v>606</v>
      </c>
      <c r="R212" s="252">
        <f t="shared" si="30"/>
        <v>301.32</v>
      </c>
      <c r="W212" s="253"/>
      <c r="AU212" s="252">
        <f t="shared" si="27"/>
        <v>0</v>
      </c>
      <c r="AV212" s="252">
        <f t="shared" si="28"/>
        <v>0</v>
      </c>
    </row>
    <row r="213" spans="1:48" ht="18.75" customHeight="1">
      <c r="A213" s="364"/>
      <c r="B213" s="364"/>
      <c r="C213" s="364"/>
      <c r="D213" s="364"/>
      <c r="F213" s="252">
        <v>17.7</v>
      </c>
      <c r="G213" s="252" t="s">
        <v>865</v>
      </c>
      <c r="H213" s="296" t="s">
        <v>1893</v>
      </c>
      <c r="I213" s="252">
        <f>C12</f>
        <v>651</v>
      </c>
      <c r="J213" s="296" t="s">
        <v>865</v>
      </c>
      <c r="K213" s="252">
        <f>(F213*I213)</f>
        <v>11522.7</v>
      </c>
      <c r="M213" s="400">
        <v>1.23</v>
      </c>
      <c r="N213" s="296" t="s">
        <v>606</v>
      </c>
      <c r="O213" s="296" t="s">
        <v>2083</v>
      </c>
      <c r="P213" s="252">
        <f>D30</f>
        <v>1281</v>
      </c>
      <c r="Q213" s="296" t="s">
        <v>606</v>
      </c>
      <c r="R213" s="252">
        <f t="shared" si="30"/>
        <v>1575.63</v>
      </c>
      <c r="W213" s="253"/>
      <c r="AU213" s="252">
        <f t="shared" si="27"/>
        <v>0</v>
      </c>
      <c r="AV213" s="252">
        <f t="shared" si="28"/>
        <v>0</v>
      </c>
    </row>
    <row r="214" spans="1:48" ht="18.75" customHeight="1">
      <c r="A214" s="364"/>
      <c r="B214" s="364"/>
      <c r="C214" s="364"/>
      <c r="D214" s="364"/>
      <c r="F214" s="252">
        <v>14.1</v>
      </c>
      <c r="G214" s="252" t="s">
        <v>865</v>
      </c>
      <c r="H214" s="296" t="s">
        <v>317</v>
      </c>
      <c r="I214" s="252">
        <f>C13</f>
        <v>534</v>
      </c>
      <c r="J214" s="296" t="s">
        <v>865</v>
      </c>
      <c r="K214" s="252">
        <f>(F214*I214)</f>
        <v>7529.4</v>
      </c>
      <c r="M214" s="252">
        <v>2</v>
      </c>
      <c r="N214" s="296" t="s">
        <v>865</v>
      </c>
      <c r="O214" s="296" t="s">
        <v>2084</v>
      </c>
      <c r="P214" s="252">
        <f>C284</f>
        <v>64.8</v>
      </c>
      <c r="Q214" s="296" t="s">
        <v>865</v>
      </c>
      <c r="R214" s="252">
        <f t="shared" si="30"/>
        <v>129.6</v>
      </c>
      <c r="W214" s="253"/>
      <c r="AU214" s="252">
        <f t="shared" si="27"/>
        <v>0</v>
      </c>
      <c r="AV214" s="252">
        <f t="shared" si="28"/>
        <v>0</v>
      </c>
    </row>
    <row r="215" spans="1:48" ht="18.75" customHeight="1">
      <c r="A215" s="364"/>
      <c r="B215" s="364"/>
      <c r="C215" s="364"/>
      <c r="D215" s="364"/>
      <c r="G215" s="252" t="s">
        <v>446</v>
      </c>
      <c r="H215" s="296" t="s">
        <v>447</v>
      </c>
      <c r="J215" s="296" t="s">
        <v>446</v>
      </c>
      <c r="K215" s="252">
        <v>0</v>
      </c>
      <c r="M215" s="252">
        <v>3</v>
      </c>
      <c r="N215" s="296" t="s">
        <v>865</v>
      </c>
      <c r="O215" s="296" t="s">
        <v>2085</v>
      </c>
      <c r="P215" s="252">
        <f>C279</f>
        <v>89.6</v>
      </c>
      <c r="Q215" s="296" t="s">
        <v>865</v>
      </c>
      <c r="R215" s="252">
        <f t="shared" si="30"/>
        <v>268.8</v>
      </c>
      <c r="W215" s="253"/>
      <c r="AU215" s="252">
        <f t="shared" si="27"/>
        <v>0</v>
      </c>
      <c r="AV215" s="252">
        <f t="shared" si="28"/>
        <v>0</v>
      </c>
    </row>
    <row r="216" spans="1:48" ht="18.75" customHeight="1">
      <c r="A216" s="364"/>
      <c r="B216" s="364"/>
      <c r="C216" s="364"/>
      <c r="D216" s="364"/>
      <c r="K216" s="358" t="s">
        <v>1579</v>
      </c>
      <c r="M216" s="252">
        <v>1</v>
      </c>
      <c r="N216" s="296" t="s">
        <v>865</v>
      </c>
      <c r="O216" s="296" t="s">
        <v>1970</v>
      </c>
      <c r="P216" s="252">
        <f>C286</f>
        <v>181</v>
      </c>
      <c r="Q216" s="296" t="s">
        <v>865</v>
      </c>
      <c r="R216" s="252">
        <f t="shared" si="30"/>
        <v>181</v>
      </c>
      <c r="T216" s="252">
        <v>0</v>
      </c>
      <c r="W216" s="253"/>
      <c r="AU216" s="252">
        <f t="shared" si="27"/>
        <v>0</v>
      </c>
      <c r="AV216" s="252">
        <f t="shared" si="28"/>
        <v>0</v>
      </c>
    </row>
    <row r="217" spans="1:48" ht="18.75" customHeight="1">
      <c r="A217" s="364"/>
      <c r="B217" s="364"/>
      <c r="C217" s="364"/>
      <c r="D217" s="364"/>
      <c r="K217" s="252">
        <f>SUM(K210:K215)</f>
        <v>67102.649999999994</v>
      </c>
      <c r="M217" s="252">
        <v>1</v>
      </c>
      <c r="N217" s="296" t="s">
        <v>865</v>
      </c>
      <c r="O217" s="296" t="s">
        <v>1971</v>
      </c>
      <c r="P217" s="252">
        <f>C288</f>
        <v>7.3</v>
      </c>
      <c r="Q217" s="296" t="s">
        <v>865</v>
      </c>
      <c r="R217" s="252">
        <f t="shared" si="30"/>
        <v>7.3</v>
      </c>
      <c r="W217" s="253"/>
      <c r="AU217" s="252">
        <f t="shared" si="27"/>
        <v>0</v>
      </c>
      <c r="AV217" s="252">
        <f t="shared" si="28"/>
        <v>0</v>
      </c>
    </row>
    <row r="218" spans="1:48" ht="18.75" customHeight="1">
      <c r="A218" s="364"/>
      <c r="B218" s="364"/>
      <c r="C218" s="364"/>
      <c r="D218" s="364"/>
      <c r="H218" s="296" t="s">
        <v>611</v>
      </c>
      <c r="K218" s="358" t="s">
        <v>1579</v>
      </c>
      <c r="M218" s="252">
        <v>1</v>
      </c>
      <c r="N218" s="296" t="s">
        <v>865</v>
      </c>
      <c r="O218" s="296" t="s">
        <v>3519</v>
      </c>
      <c r="P218" s="252">
        <f>C598</f>
        <v>57.65</v>
      </c>
      <c r="Q218" s="296" t="s">
        <v>865</v>
      </c>
      <c r="R218" s="252">
        <f t="shared" si="30"/>
        <v>57.65</v>
      </c>
      <c r="W218" s="253"/>
    </row>
    <row r="219" spans="1:48" ht="18.75" customHeight="1">
      <c r="A219" s="364"/>
      <c r="B219" s="364"/>
      <c r="C219" s="364"/>
      <c r="D219" s="364"/>
      <c r="K219" s="274">
        <f>(K217/10)</f>
        <v>6710.27</v>
      </c>
      <c r="M219" s="252">
        <v>1</v>
      </c>
      <c r="N219" s="296" t="s">
        <v>865</v>
      </c>
      <c r="O219" s="296" t="s">
        <v>1973</v>
      </c>
      <c r="P219" s="252">
        <f>D598</f>
        <v>49.55</v>
      </c>
      <c r="Q219" s="296" t="s">
        <v>865</v>
      </c>
      <c r="R219" s="252">
        <f t="shared" si="30"/>
        <v>49.55</v>
      </c>
      <c r="W219" s="253"/>
    </row>
    <row r="220" spans="1:48" ht="18.75" customHeight="1">
      <c r="A220" s="364"/>
      <c r="B220" s="364"/>
      <c r="C220" s="364"/>
      <c r="D220" s="364"/>
      <c r="H220" s="255" t="s">
        <v>770</v>
      </c>
      <c r="K220" s="358" t="s">
        <v>2046</v>
      </c>
      <c r="R220" s="358" t="s">
        <v>1579</v>
      </c>
      <c r="W220" s="253"/>
    </row>
    <row r="221" spans="1:48" ht="18.75" customHeight="1">
      <c r="A221" s="364"/>
      <c r="B221" s="364"/>
      <c r="C221" s="364"/>
      <c r="D221" s="364"/>
      <c r="O221" s="253" t="s">
        <v>1974</v>
      </c>
      <c r="R221" s="252">
        <f>SUM(R210:R219)</f>
        <v>4864.5200000000004</v>
      </c>
      <c r="W221" s="253"/>
    </row>
    <row r="222" spans="1:48" ht="18.75" customHeight="1">
      <c r="A222" s="364"/>
      <c r="B222" s="364"/>
      <c r="C222" s="364"/>
      <c r="D222" s="364"/>
      <c r="F222" s="253" t="s">
        <v>2062</v>
      </c>
      <c r="G222" s="252" t="s">
        <v>2241</v>
      </c>
      <c r="H222" s="296" t="s">
        <v>5661</v>
      </c>
      <c r="N222" s="296" t="s">
        <v>971</v>
      </c>
      <c r="R222" s="358" t="s">
        <v>1579</v>
      </c>
      <c r="W222" s="253"/>
    </row>
    <row r="223" spans="1:48" ht="18.75" customHeight="1">
      <c r="A223" s="364"/>
      <c r="B223" s="364"/>
      <c r="C223" s="364"/>
      <c r="D223" s="364"/>
      <c r="H223" s="296" t="s">
        <v>2063</v>
      </c>
      <c r="M223" s="296" t="s">
        <v>971</v>
      </c>
      <c r="W223" s="253"/>
    </row>
    <row r="224" spans="1:48" ht="18.75" customHeight="1">
      <c r="A224" s="364"/>
      <c r="B224" s="364"/>
      <c r="C224" s="364"/>
      <c r="D224" s="364"/>
      <c r="H224" s="358" t="s">
        <v>1579</v>
      </c>
      <c r="O224" s="253" t="s">
        <v>549</v>
      </c>
      <c r="R224" s="252">
        <f>R221/M213</f>
        <v>3954.89</v>
      </c>
      <c r="W224" s="253"/>
    </row>
    <row r="225" spans="1:23" ht="18.75" customHeight="1">
      <c r="A225" s="364"/>
      <c r="B225" s="364"/>
      <c r="C225" s="364"/>
      <c r="D225" s="364"/>
      <c r="F225" s="252">
        <v>9</v>
      </c>
      <c r="G225" s="252" t="s">
        <v>866</v>
      </c>
      <c r="H225" s="296" t="s">
        <v>1802</v>
      </c>
      <c r="I225" s="252">
        <f>AC20</f>
        <v>801.98</v>
      </c>
      <c r="J225" s="296" t="s">
        <v>866</v>
      </c>
      <c r="K225" s="252">
        <f>(F225*I225)</f>
        <v>7217.82</v>
      </c>
      <c r="M225" s="296" t="s">
        <v>318</v>
      </c>
      <c r="W225" s="253"/>
    </row>
    <row r="226" spans="1:23" ht="18.75" customHeight="1">
      <c r="A226" s="364"/>
      <c r="B226" s="364"/>
      <c r="C226" s="364"/>
      <c r="D226" s="364"/>
      <c r="F226" s="252">
        <v>4.5</v>
      </c>
      <c r="G226" s="252" t="s">
        <v>866</v>
      </c>
      <c r="H226" s="296" t="s">
        <v>1624</v>
      </c>
      <c r="I226" s="252">
        <f>K77</f>
        <v>3049.3</v>
      </c>
      <c r="J226" s="296" t="s">
        <v>866</v>
      </c>
      <c r="K226" s="252">
        <f>(F226*I226)</f>
        <v>13721.85</v>
      </c>
      <c r="W226" s="253"/>
    </row>
    <row r="227" spans="1:23" ht="18.75" customHeight="1">
      <c r="A227" s="364"/>
      <c r="B227" s="364"/>
      <c r="C227" s="364"/>
      <c r="D227" s="364"/>
      <c r="F227" s="252">
        <v>1.8</v>
      </c>
      <c r="G227" s="252" t="s">
        <v>865</v>
      </c>
      <c r="H227" s="296" t="s">
        <v>1704</v>
      </c>
      <c r="I227" s="252">
        <f>C11</f>
        <v>932</v>
      </c>
      <c r="J227" s="296" t="s">
        <v>865</v>
      </c>
      <c r="K227" s="252">
        <f>(F227*I227)</f>
        <v>1677.6</v>
      </c>
      <c r="W227" s="253"/>
    </row>
    <row r="228" spans="1:23" ht="18.75" customHeight="1">
      <c r="A228" s="364"/>
      <c r="B228" s="364"/>
      <c r="C228" s="364"/>
      <c r="D228" s="364"/>
      <c r="F228" s="252">
        <v>17.7</v>
      </c>
      <c r="G228" s="252" t="s">
        <v>865</v>
      </c>
      <c r="H228" s="296" t="s">
        <v>1893</v>
      </c>
      <c r="I228" s="252">
        <f>C12</f>
        <v>651</v>
      </c>
      <c r="J228" s="296" t="s">
        <v>865</v>
      </c>
      <c r="K228" s="252">
        <f>(F228*I228)</f>
        <v>11522.7</v>
      </c>
      <c r="M228" s="253" t="s">
        <v>2062</v>
      </c>
      <c r="N228" s="252" t="s">
        <v>2241</v>
      </c>
      <c r="O228" s="296" t="s">
        <v>5662</v>
      </c>
      <c r="Q228" s="296"/>
      <c r="W228" s="253"/>
    </row>
    <row r="229" spans="1:23" ht="18.75" customHeight="1">
      <c r="A229" s="364"/>
      <c r="B229" s="364"/>
      <c r="C229" s="364"/>
      <c r="D229" s="364"/>
      <c r="F229" s="252">
        <v>14.1</v>
      </c>
      <c r="G229" s="252" t="s">
        <v>865</v>
      </c>
      <c r="H229" s="296" t="s">
        <v>317</v>
      </c>
      <c r="I229" s="252">
        <f>C13</f>
        <v>534</v>
      </c>
      <c r="J229" s="296" t="s">
        <v>865</v>
      </c>
      <c r="K229" s="252">
        <f>(F229*I229)</f>
        <v>7529.4</v>
      </c>
      <c r="O229" s="296" t="s">
        <v>3895</v>
      </c>
      <c r="Q229" s="296"/>
      <c r="W229" s="253"/>
    </row>
    <row r="230" spans="1:23" ht="18.75" customHeight="1">
      <c r="A230" s="364"/>
      <c r="B230" s="364"/>
      <c r="C230" s="364"/>
      <c r="D230" s="364"/>
      <c r="G230" s="252" t="s">
        <v>446</v>
      </c>
      <c r="H230" s="296" t="s">
        <v>447</v>
      </c>
      <c r="J230" s="296" t="s">
        <v>446</v>
      </c>
      <c r="K230" s="252">
        <v>0</v>
      </c>
      <c r="O230" s="358" t="s">
        <v>1579</v>
      </c>
      <c r="Q230" s="296"/>
      <c r="W230" s="253"/>
    </row>
    <row r="231" spans="1:23" ht="18.75" customHeight="1">
      <c r="A231" s="364"/>
      <c r="B231" s="364"/>
      <c r="C231" s="364"/>
      <c r="D231" s="364"/>
      <c r="K231" s="358" t="s">
        <v>1579</v>
      </c>
      <c r="M231" s="252">
        <v>9</v>
      </c>
      <c r="N231" s="252" t="s">
        <v>866</v>
      </c>
      <c r="O231" s="296" t="s">
        <v>2264</v>
      </c>
      <c r="P231" s="252">
        <f>AC15</f>
        <v>1577.9</v>
      </c>
      <c r="Q231" s="296" t="s">
        <v>866</v>
      </c>
      <c r="R231" s="252">
        <f>(M231*P231)</f>
        <v>14201.1</v>
      </c>
      <c r="W231" s="253"/>
    </row>
    <row r="232" spans="1:23" ht="18.75" customHeight="1">
      <c r="A232" s="364"/>
      <c r="B232" s="364"/>
      <c r="C232" s="364"/>
      <c r="D232" s="364"/>
      <c r="K232" s="252">
        <f>SUM(K225:K230)</f>
        <v>41669.370000000003</v>
      </c>
      <c r="M232" s="252">
        <v>4.5</v>
      </c>
      <c r="N232" s="252" t="s">
        <v>866</v>
      </c>
      <c r="O232" s="296" t="s">
        <v>1302</v>
      </c>
      <c r="P232" s="252">
        <f>K40</f>
        <v>4136.5</v>
      </c>
      <c r="Q232" s="296" t="s">
        <v>866</v>
      </c>
      <c r="R232" s="252">
        <f>(M232*P232)</f>
        <v>18614.25</v>
      </c>
      <c r="W232" s="253"/>
    </row>
    <row r="233" spans="1:23" ht="18.75" customHeight="1">
      <c r="A233" s="364"/>
      <c r="B233" s="364"/>
      <c r="C233" s="364"/>
      <c r="D233" s="364"/>
      <c r="H233" s="296" t="s">
        <v>611</v>
      </c>
      <c r="K233" s="358" t="s">
        <v>1579</v>
      </c>
      <c r="M233" s="252">
        <v>1.8</v>
      </c>
      <c r="N233" s="252" t="s">
        <v>865</v>
      </c>
      <c r="O233" s="296" t="s">
        <v>1704</v>
      </c>
      <c r="P233" s="252">
        <f>I227</f>
        <v>932</v>
      </c>
      <c r="Q233" s="296" t="s">
        <v>865</v>
      </c>
      <c r="R233" s="252">
        <f>(M233*P233)</f>
        <v>1677.6</v>
      </c>
      <c r="W233" s="253"/>
    </row>
    <row r="234" spans="1:23" ht="18.75" customHeight="1">
      <c r="A234" s="364"/>
      <c r="B234" s="364"/>
      <c r="C234" s="364"/>
      <c r="D234" s="364"/>
      <c r="K234" s="274">
        <f>(K232/10)</f>
        <v>4166.9399999999996</v>
      </c>
      <c r="M234" s="252">
        <v>17.7</v>
      </c>
      <c r="N234" s="252" t="s">
        <v>865</v>
      </c>
      <c r="O234" s="296" t="s">
        <v>1893</v>
      </c>
      <c r="P234" s="252">
        <f>I228</f>
        <v>651</v>
      </c>
      <c r="Q234" s="296" t="s">
        <v>865</v>
      </c>
      <c r="R234" s="252">
        <f>(M234*P234)</f>
        <v>11522.7</v>
      </c>
      <c r="W234" s="253"/>
    </row>
    <row r="235" spans="1:23" ht="18.75" customHeight="1">
      <c r="A235" s="364"/>
      <c r="B235" s="364"/>
      <c r="C235" s="364"/>
      <c r="D235" s="364"/>
      <c r="H235" s="255" t="s">
        <v>770</v>
      </c>
      <c r="K235" s="358" t="s">
        <v>2046</v>
      </c>
      <c r="M235" s="252">
        <v>14.1</v>
      </c>
      <c r="N235" s="252" t="s">
        <v>865</v>
      </c>
      <c r="O235" s="296" t="s">
        <v>317</v>
      </c>
      <c r="P235" s="252">
        <f>I229</f>
        <v>534</v>
      </c>
      <c r="Q235" s="296" t="s">
        <v>865</v>
      </c>
      <c r="R235" s="252">
        <f>(M235*P235)</f>
        <v>7529.4</v>
      </c>
      <c r="W235" s="253"/>
    </row>
    <row r="236" spans="1:23" ht="18.75" customHeight="1">
      <c r="A236" s="364"/>
      <c r="B236" s="364"/>
      <c r="C236" s="364"/>
      <c r="D236" s="364"/>
      <c r="N236" s="252" t="s">
        <v>446</v>
      </c>
      <c r="O236" s="296" t="s">
        <v>447</v>
      </c>
      <c r="Q236" s="296" t="s">
        <v>446</v>
      </c>
      <c r="R236" s="252">
        <v>0</v>
      </c>
      <c r="W236" s="253"/>
    </row>
    <row r="237" spans="1:23" ht="18.75" customHeight="1">
      <c r="A237" s="364"/>
      <c r="B237" s="364"/>
      <c r="C237" s="364"/>
      <c r="D237" s="364"/>
      <c r="Q237" s="296"/>
      <c r="R237" s="358" t="s">
        <v>1579</v>
      </c>
      <c r="W237" s="253"/>
    </row>
    <row r="238" spans="1:23" ht="18.75" customHeight="1">
      <c r="A238" s="364"/>
      <c r="B238" s="364"/>
      <c r="C238" s="364"/>
      <c r="D238" s="364"/>
      <c r="F238" s="375">
        <v>3.6</v>
      </c>
      <c r="H238" s="296" t="s">
        <v>5663</v>
      </c>
      <c r="Q238" s="296"/>
      <c r="R238" s="252">
        <f>SUM(R231:R236)</f>
        <v>53545.05</v>
      </c>
      <c r="W238" s="253"/>
    </row>
    <row r="239" spans="1:23" ht="18.75" customHeight="1">
      <c r="A239" s="364"/>
      <c r="B239" s="364"/>
      <c r="C239" s="364"/>
      <c r="D239" s="364"/>
      <c r="H239" s="296" t="s">
        <v>638</v>
      </c>
      <c r="O239" s="296" t="s">
        <v>611</v>
      </c>
      <c r="Q239" s="296"/>
      <c r="R239" s="358" t="s">
        <v>1579</v>
      </c>
      <c r="W239" s="253"/>
    </row>
    <row r="240" spans="1:23" ht="18.75" customHeight="1">
      <c r="A240" s="364"/>
      <c r="B240" s="364"/>
      <c r="C240" s="364"/>
      <c r="D240" s="364"/>
      <c r="H240" s="358" t="s">
        <v>2046</v>
      </c>
      <c r="Q240" s="296"/>
      <c r="R240" s="274">
        <f>(R238/10)</f>
        <v>5354.51</v>
      </c>
      <c r="W240" s="253"/>
    </row>
    <row r="241" spans="1:23" ht="18.75" customHeight="1">
      <c r="A241" s="364"/>
      <c r="B241" s="364"/>
      <c r="C241" s="364"/>
      <c r="D241" s="364"/>
      <c r="F241" s="252">
        <v>1.25</v>
      </c>
      <c r="G241" s="252" t="s">
        <v>1336</v>
      </c>
      <c r="H241" s="296" t="s">
        <v>1497</v>
      </c>
      <c r="I241" s="399">
        <f>C812</f>
        <v>3.15</v>
      </c>
      <c r="J241" s="296" t="s">
        <v>1336</v>
      </c>
      <c r="K241" s="252">
        <f>(F241*I241)</f>
        <v>3.94</v>
      </c>
      <c r="O241" s="255" t="s">
        <v>770</v>
      </c>
      <c r="Q241" s="296"/>
      <c r="R241" s="358" t="s">
        <v>2046</v>
      </c>
      <c r="W241" s="253"/>
    </row>
    <row r="242" spans="1:23" ht="18.75" customHeight="1">
      <c r="A242" s="364"/>
      <c r="B242" s="364"/>
      <c r="C242" s="364"/>
      <c r="D242" s="364"/>
      <c r="F242" s="252">
        <v>0.75</v>
      </c>
      <c r="G242" s="252" t="s">
        <v>1336</v>
      </c>
      <c r="H242" s="296" t="s">
        <v>744</v>
      </c>
      <c r="I242" s="252">
        <f>AC37</f>
        <v>1423.55</v>
      </c>
      <c r="J242" s="296" t="s">
        <v>1336</v>
      </c>
      <c r="K242" s="252">
        <f>(F242*I242)</f>
        <v>1067.6600000000001</v>
      </c>
      <c r="W242" s="253"/>
    </row>
    <row r="243" spans="1:23" ht="18.75" customHeight="1">
      <c r="A243" s="364"/>
      <c r="B243" s="364"/>
      <c r="C243" s="364"/>
      <c r="D243" s="364"/>
      <c r="F243" s="252">
        <v>0.5</v>
      </c>
      <c r="G243" s="252" t="s">
        <v>1336</v>
      </c>
      <c r="H243" s="296" t="s">
        <v>2089</v>
      </c>
      <c r="I243" s="252">
        <f>AC36</f>
        <v>1590.6</v>
      </c>
      <c r="J243" s="296" t="s">
        <v>1336</v>
      </c>
      <c r="K243" s="252">
        <f>(F243*I243)</f>
        <v>795.3</v>
      </c>
      <c r="W243" s="253"/>
    </row>
    <row r="244" spans="1:23" ht="18.75" customHeight="1">
      <c r="A244" s="364"/>
      <c r="B244" s="364"/>
      <c r="C244" s="364"/>
      <c r="D244" s="364"/>
      <c r="F244" s="252">
        <v>0.45</v>
      </c>
      <c r="G244" s="252" t="s">
        <v>1336</v>
      </c>
      <c r="H244" s="296" t="s">
        <v>921</v>
      </c>
      <c r="I244" s="252">
        <f>AC38</f>
        <v>389</v>
      </c>
      <c r="J244" s="296" t="s">
        <v>1336</v>
      </c>
      <c r="K244" s="252">
        <f>(F244*I244)</f>
        <v>175.05</v>
      </c>
      <c r="W244" s="253"/>
    </row>
    <row r="245" spans="1:23" ht="18.75" customHeight="1">
      <c r="A245" s="364"/>
      <c r="B245" s="364"/>
      <c r="C245" s="364"/>
      <c r="D245" s="364"/>
      <c r="F245" s="252">
        <v>10</v>
      </c>
      <c r="G245" s="252" t="s">
        <v>230</v>
      </c>
      <c r="H245" s="296" t="s">
        <v>1906</v>
      </c>
      <c r="I245" s="399">
        <v>17.82</v>
      </c>
      <c r="J245" s="296" t="s">
        <v>230</v>
      </c>
      <c r="K245" s="252">
        <f>(F245*I245)</f>
        <v>178.2</v>
      </c>
      <c r="W245" s="253"/>
    </row>
    <row r="246" spans="1:23" ht="18.75" customHeight="1">
      <c r="A246" s="364"/>
      <c r="B246" s="364"/>
      <c r="C246" s="364"/>
      <c r="D246" s="364"/>
      <c r="H246" s="296" t="s">
        <v>1907</v>
      </c>
      <c r="K246" s="358" t="s">
        <v>1579</v>
      </c>
      <c r="W246" s="253"/>
    </row>
    <row r="247" spans="1:23" ht="18.75" customHeight="1">
      <c r="A247" s="364"/>
      <c r="B247" s="364"/>
      <c r="C247" s="364"/>
      <c r="D247" s="364"/>
      <c r="H247" s="296" t="s">
        <v>1908</v>
      </c>
      <c r="K247" s="252">
        <f>SUM(K241:K245)</f>
        <v>2220.15</v>
      </c>
      <c r="W247" s="253"/>
    </row>
    <row r="248" spans="1:23" ht="18.75" customHeight="1">
      <c r="A248" s="364"/>
      <c r="B248" s="364"/>
      <c r="C248" s="364"/>
      <c r="D248" s="364"/>
      <c r="K248" s="358" t="s">
        <v>1579</v>
      </c>
      <c r="W248" s="253"/>
    </row>
    <row r="249" spans="1:23" ht="18.75" customHeight="1">
      <c r="A249" s="364"/>
      <c r="B249" s="364"/>
      <c r="C249" s="364"/>
      <c r="D249" s="364"/>
      <c r="H249" s="255" t="s">
        <v>1909</v>
      </c>
      <c r="K249" s="274">
        <f>K247/10</f>
        <v>222.02</v>
      </c>
      <c r="W249" s="253"/>
    </row>
    <row r="250" spans="1:23" ht="18.75" customHeight="1">
      <c r="A250" s="364"/>
      <c r="B250" s="364"/>
      <c r="C250" s="364"/>
      <c r="D250" s="364"/>
      <c r="K250" s="358" t="s">
        <v>2046</v>
      </c>
      <c r="W250" s="253"/>
    </row>
    <row r="251" spans="1:23" ht="18.75" customHeight="1">
      <c r="A251" s="364"/>
      <c r="B251" s="364"/>
      <c r="C251" s="364"/>
      <c r="D251" s="364"/>
      <c r="W251" s="253"/>
    </row>
    <row r="252" spans="1:23" ht="18.75" customHeight="1">
      <c r="A252" s="364"/>
      <c r="B252" s="364"/>
      <c r="C252" s="364"/>
      <c r="D252" s="364"/>
      <c r="F252" s="375">
        <v>3.7</v>
      </c>
      <c r="H252" s="296" t="s">
        <v>5664</v>
      </c>
      <c r="W252" s="253"/>
    </row>
    <row r="253" spans="1:23" ht="18.75" customHeight="1">
      <c r="A253" s="364"/>
      <c r="B253" s="364"/>
      <c r="C253" s="364"/>
      <c r="D253" s="364"/>
      <c r="H253" s="358" t="s">
        <v>1579</v>
      </c>
      <c r="W253" s="253"/>
    </row>
    <row r="254" spans="1:23" ht="18.75" customHeight="1">
      <c r="A254" s="364"/>
      <c r="B254" s="364"/>
      <c r="C254" s="364"/>
      <c r="D254" s="364"/>
      <c r="F254" s="252">
        <v>2.7</v>
      </c>
      <c r="G254" s="252" t="s">
        <v>1336</v>
      </c>
      <c r="H254" s="296" t="s">
        <v>152</v>
      </c>
      <c r="I254" s="252">
        <f>AC35</f>
        <v>1469.1</v>
      </c>
      <c r="J254" s="296" t="s">
        <v>1336</v>
      </c>
      <c r="K254" s="252">
        <f>(F254*I254)</f>
        <v>3966.57</v>
      </c>
      <c r="W254" s="253"/>
    </row>
    <row r="255" spans="1:23" ht="18.75" customHeight="1">
      <c r="A255" s="364"/>
      <c r="B255" s="364"/>
      <c r="C255" s="364"/>
      <c r="D255" s="364"/>
      <c r="F255" s="316">
        <v>0.14499999999999999</v>
      </c>
      <c r="G255" s="252" t="s">
        <v>1336</v>
      </c>
      <c r="H255" s="296" t="s">
        <v>908</v>
      </c>
      <c r="I255" s="252">
        <f>AC17</f>
        <v>1846.1</v>
      </c>
      <c r="J255" s="296" t="s">
        <v>1336</v>
      </c>
      <c r="K255" s="252">
        <f>(F255*I255)</f>
        <v>267.68</v>
      </c>
      <c r="W255" s="253"/>
    </row>
    <row r="256" spans="1:23" ht="18.75" customHeight="1">
      <c r="A256" s="364"/>
      <c r="B256" s="364"/>
      <c r="C256" s="364"/>
      <c r="D256" s="364"/>
      <c r="F256" s="252">
        <v>218.8</v>
      </c>
      <c r="G256" s="252" t="s">
        <v>909</v>
      </c>
      <c r="H256" s="296" t="s">
        <v>910</v>
      </c>
      <c r="I256" s="252">
        <f>C142</f>
        <v>43563.69</v>
      </c>
      <c r="J256" s="296" t="s">
        <v>525</v>
      </c>
      <c r="K256" s="252">
        <f>(F256*I256)/1000</f>
        <v>9531.74</v>
      </c>
      <c r="W256" s="253"/>
    </row>
    <row r="257" spans="1:33" ht="18.75" customHeight="1">
      <c r="A257" s="364"/>
      <c r="B257" s="364"/>
      <c r="C257" s="364"/>
      <c r="D257" s="364"/>
      <c r="F257" s="252">
        <v>100</v>
      </c>
      <c r="G257" s="252" t="s">
        <v>230</v>
      </c>
      <c r="H257" s="296" t="s">
        <v>911</v>
      </c>
      <c r="I257" s="399">
        <v>14.3</v>
      </c>
      <c r="J257" s="296" t="s">
        <v>230</v>
      </c>
      <c r="K257" s="252">
        <f>(F257*I257)</f>
        <v>1430</v>
      </c>
      <c r="W257" s="253"/>
    </row>
    <row r="258" spans="1:33" ht="18.75" customHeight="1">
      <c r="A258" s="364"/>
      <c r="B258" s="364"/>
      <c r="C258" s="364"/>
      <c r="D258" s="364"/>
      <c r="K258" s="358" t="s">
        <v>1579</v>
      </c>
      <c r="W258" s="253"/>
    </row>
    <row r="259" spans="1:33" ht="18.75" customHeight="1">
      <c r="A259" s="364"/>
      <c r="B259" s="364"/>
      <c r="C259" s="364"/>
      <c r="D259" s="364"/>
      <c r="H259" s="296" t="s">
        <v>912</v>
      </c>
      <c r="K259" s="252">
        <f>SUM(K254:K257)</f>
        <v>15195.99</v>
      </c>
      <c r="W259" s="253"/>
    </row>
    <row r="260" spans="1:33" ht="18.75" customHeight="1">
      <c r="A260" s="364"/>
      <c r="B260" s="364"/>
      <c r="C260" s="364"/>
      <c r="D260" s="364"/>
      <c r="K260" s="358" t="s">
        <v>1579</v>
      </c>
      <c r="W260" s="253"/>
    </row>
    <row r="261" spans="1:33" ht="18.75" customHeight="1">
      <c r="A261" s="364"/>
      <c r="B261" s="364"/>
      <c r="C261" s="364"/>
      <c r="D261" s="364"/>
      <c r="H261" s="255" t="s">
        <v>1909</v>
      </c>
      <c r="K261" s="274">
        <f>K259/100</f>
        <v>151.96</v>
      </c>
      <c r="W261" s="253"/>
    </row>
    <row r="262" spans="1:33" ht="18.75" customHeight="1">
      <c r="A262" s="364"/>
      <c r="B262" s="364"/>
      <c r="C262" s="364"/>
      <c r="D262" s="364"/>
      <c r="F262" s="296" t="s">
        <v>971</v>
      </c>
      <c r="G262" s="252" t="s">
        <v>971</v>
      </c>
      <c r="K262" s="358" t="s">
        <v>2046</v>
      </c>
      <c r="W262" s="253"/>
    </row>
    <row r="263" spans="1:33" ht="18.75" customHeight="1">
      <c r="A263" s="364"/>
      <c r="B263" s="364"/>
      <c r="C263" s="364"/>
      <c r="D263" s="364"/>
      <c r="W263" s="253"/>
    </row>
    <row r="264" spans="1:33" ht="18.75" customHeight="1">
      <c r="A264" s="364"/>
      <c r="B264" s="364"/>
      <c r="C264" s="364"/>
      <c r="D264" s="364"/>
      <c r="W264" s="253"/>
    </row>
    <row r="265" spans="1:33" ht="18.75" customHeight="1">
      <c r="A265" s="363">
        <f>(A206+1)</f>
        <v>105</v>
      </c>
      <c r="B265" s="296" t="s">
        <v>4843</v>
      </c>
      <c r="C265" s="362">
        <v>140.65</v>
      </c>
      <c r="D265" s="365" t="s">
        <v>766</v>
      </c>
      <c r="F265" s="253" t="s">
        <v>671</v>
      </c>
      <c r="H265" s="296" t="s">
        <v>1599</v>
      </c>
      <c r="N265" s="296" t="s">
        <v>672</v>
      </c>
      <c r="O265" s="296" t="s">
        <v>831</v>
      </c>
      <c r="W265" s="253"/>
      <c r="AG265" s="296"/>
    </row>
    <row r="266" spans="1:33" ht="18.75" customHeight="1">
      <c r="A266" s="363">
        <f t="shared" ref="A266:A280" si="31">(A265+1)</f>
        <v>106</v>
      </c>
      <c r="B266" s="296" t="s">
        <v>5423</v>
      </c>
      <c r="C266" s="362">
        <v>170.35</v>
      </c>
      <c r="D266" s="365" t="s">
        <v>766</v>
      </c>
      <c r="H266" s="358" t="s">
        <v>2046</v>
      </c>
      <c r="O266" s="358" t="s">
        <v>1579</v>
      </c>
      <c r="W266" s="253"/>
      <c r="AG266" s="296"/>
    </row>
    <row r="267" spans="1:33" ht="18.75" customHeight="1">
      <c r="A267" s="363">
        <f t="shared" si="31"/>
        <v>107</v>
      </c>
      <c r="B267" s="401" t="s">
        <v>5424</v>
      </c>
      <c r="C267" s="402">
        <v>63</v>
      </c>
      <c r="D267" s="362">
        <v>156</v>
      </c>
      <c r="E267" s="252" t="s">
        <v>5425</v>
      </c>
      <c r="G267" s="252" t="s">
        <v>2241</v>
      </c>
      <c r="H267" s="296" t="s">
        <v>398</v>
      </c>
      <c r="M267" s="252">
        <v>1.1399999999999999</v>
      </c>
      <c r="N267" s="296" t="s">
        <v>866</v>
      </c>
      <c r="O267" s="296" t="s">
        <v>2269</v>
      </c>
      <c r="P267" s="252">
        <f>(K420)</f>
        <v>6362.76</v>
      </c>
      <c r="Q267" s="296" t="s">
        <v>865</v>
      </c>
      <c r="R267" s="252">
        <f>(M267*P267)</f>
        <v>7253.55</v>
      </c>
      <c r="W267" s="253"/>
      <c r="AG267" s="296"/>
    </row>
    <row r="268" spans="1:33" ht="18.75" customHeight="1">
      <c r="A268" s="363">
        <f t="shared" si="31"/>
        <v>108</v>
      </c>
      <c r="B268" s="389" t="s">
        <v>5426</v>
      </c>
      <c r="C268" s="362">
        <v>17600</v>
      </c>
      <c r="D268" s="365" t="s">
        <v>866</v>
      </c>
      <c r="H268" s="296" t="s">
        <v>2259</v>
      </c>
      <c r="M268" s="252">
        <v>1</v>
      </c>
      <c r="N268" s="296" t="s">
        <v>766</v>
      </c>
      <c r="O268" s="296" t="s">
        <v>2000</v>
      </c>
      <c r="P268" s="252">
        <f>(C10)</f>
        <v>999</v>
      </c>
      <c r="Q268" s="296" t="s">
        <v>865</v>
      </c>
      <c r="R268" s="252">
        <f>(M268*P268)</f>
        <v>999</v>
      </c>
      <c r="W268" s="253"/>
      <c r="AG268" s="296"/>
    </row>
    <row r="269" spans="1:33" ht="18.75" customHeight="1">
      <c r="A269" s="363">
        <f t="shared" si="31"/>
        <v>109</v>
      </c>
      <c r="B269" s="296" t="s">
        <v>5427</v>
      </c>
      <c r="C269" s="362">
        <v>15500</v>
      </c>
      <c r="D269" s="365" t="s">
        <v>866</v>
      </c>
      <c r="H269" s="358" t="s">
        <v>1579</v>
      </c>
      <c r="N269" s="296" t="s">
        <v>446</v>
      </c>
      <c r="O269" s="296" t="s">
        <v>447</v>
      </c>
      <c r="P269" s="296" t="s">
        <v>971</v>
      </c>
      <c r="Q269" s="296" t="s">
        <v>446</v>
      </c>
      <c r="R269" s="252">
        <v>0.05</v>
      </c>
      <c r="W269" s="253"/>
      <c r="AG269" s="296"/>
    </row>
    <row r="270" spans="1:33" ht="18.75" customHeight="1">
      <c r="A270" s="363">
        <f t="shared" si="31"/>
        <v>110</v>
      </c>
      <c r="B270" s="296" t="s">
        <v>5428</v>
      </c>
      <c r="C270" s="362">
        <v>25.2</v>
      </c>
      <c r="D270" s="365" t="s">
        <v>766</v>
      </c>
      <c r="F270" s="252">
        <v>9</v>
      </c>
      <c r="G270" s="252" t="s">
        <v>866</v>
      </c>
      <c r="H270" s="296" t="s">
        <v>436</v>
      </c>
      <c r="I270" s="252">
        <f>(C73)</f>
        <v>1997.1</v>
      </c>
      <c r="J270" s="296" t="s">
        <v>866</v>
      </c>
      <c r="K270" s="252">
        <f t="shared" ref="K270:K275" si="32">(F270*I270)</f>
        <v>17973.900000000001</v>
      </c>
      <c r="R270" s="358" t="s">
        <v>1579</v>
      </c>
      <c r="W270" s="253"/>
      <c r="AG270" s="296"/>
    </row>
    <row r="271" spans="1:33" ht="18.75" customHeight="1">
      <c r="A271" s="363">
        <f t="shared" si="31"/>
        <v>111</v>
      </c>
      <c r="B271" s="296" t="s">
        <v>4844</v>
      </c>
      <c r="C271" s="362">
        <v>49.85</v>
      </c>
      <c r="D271" s="365" t="s">
        <v>1637</v>
      </c>
      <c r="E271" s="362">
        <v>158</v>
      </c>
      <c r="F271" s="356">
        <v>3.2309999999999999</v>
      </c>
      <c r="G271" s="252" t="s">
        <v>858</v>
      </c>
      <c r="H271" s="296" t="s">
        <v>859</v>
      </c>
      <c r="I271" s="252">
        <f>(C67)</f>
        <v>6040</v>
      </c>
      <c r="J271" s="296" t="s">
        <v>858</v>
      </c>
      <c r="K271" s="252">
        <f t="shared" si="32"/>
        <v>19515.240000000002</v>
      </c>
      <c r="O271" s="296" t="s">
        <v>438</v>
      </c>
      <c r="R271" s="252">
        <f>SUM(R267:R269)</f>
        <v>8252.6</v>
      </c>
      <c r="W271" s="253"/>
      <c r="AG271" s="296"/>
    </row>
    <row r="272" spans="1:33" ht="18.75" customHeight="1">
      <c r="A272" s="363">
        <f t="shared" si="31"/>
        <v>112</v>
      </c>
      <c r="B272" s="296" t="s">
        <v>4845</v>
      </c>
      <c r="C272" s="362">
        <v>306.89999999999998</v>
      </c>
      <c r="D272" s="314">
        <v>452.09</v>
      </c>
      <c r="E272" s="314">
        <v>250</v>
      </c>
      <c r="F272" s="252">
        <v>4.5</v>
      </c>
      <c r="G272" s="252" t="s">
        <v>866</v>
      </c>
      <c r="H272" s="296" t="s">
        <v>867</v>
      </c>
      <c r="I272" s="252">
        <f>(C78)</f>
        <v>1846.1</v>
      </c>
      <c r="J272" s="296" t="s">
        <v>866</v>
      </c>
      <c r="K272" s="252">
        <f t="shared" si="32"/>
        <v>8307.4500000000007</v>
      </c>
      <c r="R272" s="358" t="s">
        <v>1579</v>
      </c>
      <c r="W272" s="253"/>
      <c r="AG272" s="296"/>
    </row>
    <row r="273" spans="1:33" ht="18.75" customHeight="1">
      <c r="A273" s="363">
        <f t="shared" si="31"/>
        <v>113</v>
      </c>
      <c r="B273" s="296" t="s">
        <v>4846</v>
      </c>
      <c r="C273" s="362">
        <v>144.1</v>
      </c>
      <c r="D273" s="365" t="s">
        <v>1763</v>
      </c>
      <c r="F273" s="252">
        <v>3.5</v>
      </c>
      <c r="G273" s="252" t="s">
        <v>865</v>
      </c>
      <c r="H273" s="296" t="s">
        <v>1704</v>
      </c>
      <c r="I273" s="252">
        <f>(C11)</f>
        <v>932</v>
      </c>
      <c r="J273" s="296" t="s">
        <v>865</v>
      </c>
      <c r="K273" s="252">
        <f t="shared" si="32"/>
        <v>3262</v>
      </c>
      <c r="O273" s="296" t="s">
        <v>549</v>
      </c>
      <c r="R273" s="252">
        <f>(R271/10)</f>
        <v>825.26</v>
      </c>
      <c r="W273" s="253"/>
      <c r="AG273" s="296"/>
    </row>
    <row r="274" spans="1:33" ht="18.75" customHeight="1">
      <c r="A274" s="363">
        <f t="shared" si="31"/>
        <v>114</v>
      </c>
      <c r="B274" s="296" t="s">
        <v>4847</v>
      </c>
      <c r="C274" s="362">
        <v>52.3</v>
      </c>
      <c r="D274" s="365" t="s">
        <v>766</v>
      </c>
      <c r="F274" s="252">
        <v>21.2</v>
      </c>
      <c r="G274" s="252" t="s">
        <v>865</v>
      </c>
      <c r="H274" s="296" t="s">
        <v>1893</v>
      </c>
      <c r="I274" s="252">
        <f>(C12)</f>
        <v>651</v>
      </c>
      <c r="J274" s="296" t="s">
        <v>865</v>
      </c>
      <c r="K274" s="252">
        <f t="shared" si="32"/>
        <v>13801.2</v>
      </c>
      <c r="R274" s="358" t="s">
        <v>2046</v>
      </c>
      <c r="W274" s="253"/>
      <c r="Y274" s="356"/>
      <c r="Z274" s="356"/>
      <c r="AG274" s="296"/>
    </row>
    <row r="275" spans="1:33" ht="18.75" customHeight="1">
      <c r="A275" s="363">
        <f t="shared" si="31"/>
        <v>115</v>
      </c>
      <c r="B275" s="296" t="s">
        <v>4848</v>
      </c>
      <c r="C275" s="362">
        <v>45.7</v>
      </c>
      <c r="D275" s="365" t="s">
        <v>766</v>
      </c>
      <c r="F275" s="252">
        <v>35.299999999999997</v>
      </c>
      <c r="G275" s="252" t="s">
        <v>865</v>
      </c>
      <c r="H275" s="296" t="s">
        <v>317</v>
      </c>
      <c r="I275" s="252">
        <f>(C13)</f>
        <v>534</v>
      </c>
      <c r="J275" s="296" t="s">
        <v>865</v>
      </c>
      <c r="K275" s="252">
        <f t="shared" si="32"/>
        <v>18850.2</v>
      </c>
      <c r="N275" s="296" t="s">
        <v>1130</v>
      </c>
      <c r="O275" s="296" t="s">
        <v>383</v>
      </c>
      <c r="R275" s="252">
        <f>(R273+C19/10*M267)</f>
        <v>834.25</v>
      </c>
      <c r="W275" s="253"/>
      <c r="Y275" s="356"/>
      <c r="Z275" s="356"/>
      <c r="AG275" s="296"/>
    </row>
    <row r="276" spans="1:33" ht="18.75" customHeight="1">
      <c r="A276" s="363">
        <f t="shared" si="31"/>
        <v>116</v>
      </c>
      <c r="B276" s="365" t="s">
        <v>656</v>
      </c>
      <c r="C276" s="372">
        <v>16.440000000000001</v>
      </c>
      <c r="D276" s="365" t="s">
        <v>766</v>
      </c>
      <c r="G276" s="252" t="s">
        <v>446</v>
      </c>
      <c r="H276" s="296" t="s">
        <v>447</v>
      </c>
      <c r="I276" s="296" t="s">
        <v>971</v>
      </c>
      <c r="J276" s="296" t="s">
        <v>446</v>
      </c>
      <c r="K276" s="252">
        <v>0</v>
      </c>
      <c r="N276" s="296" t="s">
        <v>657</v>
      </c>
      <c r="O276" s="296" t="s">
        <v>385</v>
      </c>
      <c r="R276" s="252">
        <f>(R275+C20/10*M267)</f>
        <v>852.4</v>
      </c>
      <c r="W276" s="253"/>
      <c r="Y276" s="356"/>
      <c r="Z276" s="356"/>
      <c r="AG276" s="296"/>
    </row>
    <row r="277" spans="1:33" ht="18.75" customHeight="1">
      <c r="A277" s="363">
        <f t="shared" si="31"/>
        <v>117</v>
      </c>
      <c r="B277" s="296" t="s">
        <v>4849</v>
      </c>
      <c r="C277" s="362">
        <v>32.1</v>
      </c>
      <c r="D277" s="387">
        <v>6.25</v>
      </c>
      <c r="K277" s="358" t="s">
        <v>1579</v>
      </c>
      <c r="N277" s="296" t="s">
        <v>669</v>
      </c>
      <c r="O277" s="296" t="s">
        <v>2222</v>
      </c>
      <c r="R277" s="252">
        <f>(R276+C21/10*M267)</f>
        <v>870.55</v>
      </c>
      <c r="W277" s="253"/>
      <c r="Y277" s="356"/>
      <c r="Z277" s="356"/>
      <c r="AG277" s="296"/>
    </row>
    <row r="278" spans="1:33" ht="18.75" customHeight="1">
      <c r="A278" s="363">
        <f t="shared" si="31"/>
        <v>118</v>
      </c>
      <c r="B278" s="296" t="s">
        <v>4850</v>
      </c>
      <c r="C278" s="362">
        <v>364.6</v>
      </c>
      <c r="D278" s="365" t="s">
        <v>606</v>
      </c>
      <c r="H278" s="296" t="s">
        <v>2161</v>
      </c>
      <c r="K278" s="252">
        <f>SUM(K270:K276)</f>
        <v>81709.990000000005</v>
      </c>
      <c r="N278" s="296" t="s">
        <v>2162</v>
      </c>
      <c r="O278" s="296" t="s">
        <v>377</v>
      </c>
      <c r="R278" s="252">
        <f>(R277+C21/10*M267)</f>
        <v>888.7</v>
      </c>
      <c r="W278" s="253"/>
      <c r="Y278" s="356"/>
      <c r="Z278" s="356"/>
      <c r="AG278" s="296"/>
    </row>
    <row r="279" spans="1:33" ht="18.75" customHeight="1">
      <c r="A279" s="363">
        <f t="shared" si="31"/>
        <v>119</v>
      </c>
      <c r="B279" s="296" t="s">
        <v>4851</v>
      </c>
      <c r="C279" s="362">
        <v>89.6</v>
      </c>
      <c r="D279" s="365" t="s">
        <v>766</v>
      </c>
      <c r="K279" s="358" t="s">
        <v>1579</v>
      </c>
      <c r="W279" s="253"/>
      <c r="Z279" s="356"/>
      <c r="AG279" s="296"/>
    </row>
    <row r="280" spans="1:33" ht="18.75" customHeight="1">
      <c r="A280" s="363">
        <f t="shared" si="31"/>
        <v>120</v>
      </c>
      <c r="B280" s="296" t="s">
        <v>4852</v>
      </c>
      <c r="C280" s="362">
        <v>71.900000000000006</v>
      </c>
      <c r="D280" s="365" t="s">
        <v>766</v>
      </c>
      <c r="H280" s="255" t="s">
        <v>770</v>
      </c>
      <c r="K280" s="274">
        <f>(K278/10)</f>
        <v>8171</v>
      </c>
      <c r="R280" s="296" t="s">
        <v>971</v>
      </c>
      <c r="W280" s="253"/>
      <c r="AG280" s="296"/>
    </row>
    <row r="281" spans="1:33" ht="18.75" customHeight="1">
      <c r="A281" s="364"/>
      <c r="C281" s="362"/>
      <c r="D281" s="364"/>
      <c r="F281" s="296" t="s">
        <v>971</v>
      </c>
      <c r="N281" s="296" t="s">
        <v>672</v>
      </c>
      <c r="O281" s="296" t="s">
        <v>2163</v>
      </c>
      <c r="W281" s="253"/>
    </row>
    <row r="282" spans="1:33" ht="18.75" customHeight="1">
      <c r="A282" s="363">
        <f>(A280+1)</f>
        <v>121</v>
      </c>
      <c r="B282" s="296" t="s">
        <v>4853</v>
      </c>
      <c r="C282" s="362">
        <v>49.35</v>
      </c>
      <c r="D282" s="365" t="s">
        <v>766</v>
      </c>
      <c r="O282" s="296" t="s">
        <v>1576</v>
      </c>
      <c r="W282" s="253"/>
      <c r="AG282" s="296"/>
    </row>
    <row r="283" spans="1:33" ht="18.75" customHeight="1">
      <c r="A283" s="363">
        <f t="shared" ref="A283:A346" si="33">(A282+1)</f>
        <v>122</v>
      </c>
      <c r="B283" s="296" t="s">
        <v>4854</v>
      </c>
      <c r="C283" s="362">
        <v>39.85</v>
      </c>
      <c r="D283" s="365" t="s">
        <v>766</v>
      </c>
      <c r="F283" s="252">
        <v>1</v>
      </c>
      <c r="G283" s="252" t="s">
        <v>866</v>
      </c>
      <c r="H283" s="296" t="s">
        <v>44</v>
      </c>
      <c r="K283" s="252">
        <f>(C25)</f>
        <v>94.2</v>
      </c>
      <c r="O283" s="358" t="s">
        <v>1579</v>
      </c>
      <c r="W283" s="253"/>
      <c r="AG283" s="296"/>
    </row>
    <row r="284" spans="1:33" ht="18.75" customHeight="1">
      <c r="A284" s="363">
        <f t="shared" si="33"/>
        <v>123</v>
      </c>
      <c r="B284" s="296" t="s">
        <v>4855</v>
      </c>
      <c r="C284" s="362">
        <v>64.8</v>
      </c>
      <c r="D284" s="365" t="s">
        <v>766</v>
      </c>
      <c r="K284" s="358" t="s">
        <v>1579</v>
      </c>
      <c r="M284" s="252">
        <v>10</v>
      </c>
      <c r="N284" s="296" t="s">
        <v>606</v>
      </c>
      <c r="O284" s="296" t="s">
        <v>45</v>
      </c>
      <c r="P284" s="252">
        <f>(K1241)</f>
        <v>1234.17</v>
      </c>
      <c r="Q284" s="296" t="s">
        <v>606</v>
      </c>
      <c r="R284" s="252">
        <f>(M284*P284)</f>
        <v>12341.7</v>
      </c>
      <c r="W284" s="253"/>
      <c r="AG284" s="296"/>
    </row>
    <row r="285" spans="1:33" ht="18.75" customHeight="1">
      <c r="A285" s="363">
        <f t="shared" si="33"/>
        <v>124</v>
      </c>
      <c r="B285" s="296" t="s">
        <v>4856</v>
      </c>
      <c r="C285" s="362">
        <v>39.700000000000003</v>
      </c>
      <c r="D285" s="365" t="s">
        <v>766</v>
      </c>
      <c r="E285" s="362">
        <v>57</v>
      </c>
      <c r="H285" s="296" t="s">
        <v>599</v>
      </c>
      <c r="K285" s="274">
        <f>SUM(K280:K283)</f>
        <v>8265.2000000000007</v>
      </c>
      <c r="M285" s="252">
        <v>1.1000000000000001</v>
      </c>
      <c r="N285" s="296" t="s">
        <v>865</v>
      </c>
      <c r="O285" s="296" t="s">
        <v>1704</v>
      </c>
      <c r="P285" s="252">
        <f>(C11)</f>
        <v>932</v>
      </c>
      <c r="Q285" s="296" t="s">
        <v>865</v>
      </c>
      <c r="R285" s="252">
        <f>(M285*P285)</f>
        <v>1025.2</v>
      </c>
      <c r="W285" s="253"/>
      <c r="AG285" s="296"/>
    </row>
    <row r="286" spans="1:33" ht="18.75" customHeight="1">
      <c r="A286" s="363">
        <f t="shared" si="33"/>
        <v>125</v>
      </c>
      <c r="B286" s="296" t="s">
        <v>4857</v>
      </c>
      <c r="C286" s="362">
        <v>181</v>
      </c>
      <c r="D286" s="365" t="s">
        <v>766</v>
      </c>
      <c r="K286" s="358" t="s">
        <v>1579</v>
      </c>
      <c r="M286" s="252">
        <v>1.1000000000000001</v>
      </c>
      <c r="N286" s="296" t="s">
        <v>865</v>
      </c>
      <c r="O286" s="296" t="s">
        <v>1893</v>
      </c>
      <c r="P286" s="252">
        <f>(C12)</f>
        <v>651</v>
      </c>
      <c r="Q286" s="296" t="s">
        <v>865</v>
      </c>
      <c r="R286" s="252">
        <f>(M286*P286)</f>
        <v>716.1</v>
      </c>
      <c r="W286" s="253"/>
      <c r="AG286" s="296"/>
    </row>
    <row r="287" spans="1:33" ht="18.75" customHeight="1">
      <c r="A287" s="363">
        <f t="shared" si="33"/>
        <v>126</v>
      </c>
      <c r="B287" s="296" t="s">
        <v>4858</v>
      </c>
      <c r="C287" s="362">
        <v>101.6</v>
      </c>
      <c r="D287" s="365" t="s">
        <v>766</v>
      </c>
      <c r="H287" s="296" t="s">
        <v>383</v>
      </c>
      <c r="K287" s="274">
        <f>(K285+C22)</f>
        <v>8385.0499999999993</v>
      </c>
      <c r="L287" s="252">
        <v>54</v>
      </c>
      <c r="M287" s="252">
        <v>1.1000000000000001</v>
      </c>
      <c r="N287" s="296" t="s">
        <v>865</v>
      </c>
      <c r="O287" s="296" t="s">
        <v>246</v>
      </c>
      <c r="P287" s="252">
        <f>(C13)</f>
        <v>534</v>
      </c>
      <c r="Q287" s="296" t="s">
        <v>865</v>
      </c>
      <c r="R287" s="252">
        <f>(M287*P287)</f>
        <v>587.4</v>
      </c>
      <c r="W287" s="253"/>
      <c r="AG287" s="296"/>
    </row>
    <row r="288" spans="1:33" ht="18.75" customHeight="1">
      <c r="A288" s="363">
        <f t="shared" si="33"/>
        <v>127</v>
      </c>
      <c r="B288" s="365" t="s">
        <v>4239</v>
      </c>
      <c r="C288" s="314">
        <v>7.3</v>
      </c>
      <c r="D288" s="365" t="s">
        <v>766</v>
      </c>
      <c r="H288" s="296" t="s">
        <v>385</v>
      </c>
      <c r="K288" s="274">
        <f>(K287+C23)</f>
        <v>8621.15</v>
      </c>
      <c r="L288" s="252">
        <v>107</v>
      </c>
      <c r="R288" s="358" t="s">
        <v>1579</v>
      </c>
      <c r="W288" s="253"/>
      <c r="AG288" s="296"/>
    </row>
    <row r="289" spans="1:33" ht="18.75" customHeight="1">
      <c r="A289" s="363">
        <f t="shared" si="33"/>
        <v>128</v>
      </c>
      <c r="B289" s="365" t="s">
        <v>1146</v>
      </c>
      <c r="C289" s="314">
        <v>7.3</v>
      </c>
      <c r="D289" s="365" t="s">
        <v>766</v>
      </c>
      <c r="H289" s="296" t="s">
        <v>2222</v>
      </c>
      <c r="K289" s="274">
        <f>(K288+C24)</f>
        <v>8857.25</v>
      </c>
      <c r="O289" s="296" t="s">
        <v>438</v>
      </c>
      <c r="R289" s="252">
        <f>SUM(R284:R287)</f>
        <v>14670.4</v>
      </c>
      <c r="W289" s="253"/>
      <c r="AG289" s="296"/>
    </row>
    <row r="290" spans="1:33" ht="18.75" customHeight="1">
      <c r="A290" s="363">
        <f t="shared" si="33"/>
        <v>129</v>
      </c>
      <c r="B290" s="365" t="s">
        <v>1147</v>
      </c>
      <c r="C290" s="372">
        <v>2.9</v>
      </c>
      <c r="D290" s="365" t="s">
        <v>1148</v>
      </c>
      <c r="H290" s="296" t="s">
        <v>377</v>
      </c>
      <c r="K290" s="274">
        <f>(K289+C24)</f>
        <v>9093.35</v>
      </c>
      <c r="R290" s="358" t="s">
        <v>1579</v>
      </c>
      <c r="W290" s="253"/>
      <c r="AG290" s="296"/>
    </row>
    <row r="291" spans="1:33" ht="18.75" customHeight="1">
      <c r="A291" s="363">
        <f t="shared" si="33"/>
        <v>130</v>
      </c>
      <c r="B291" s="365" t="s">
        <v>1149</v>
      </c>
      <c r="C291" s="314">
        <v>11.8</v>
      </c>
      <c r="D291" s="365" t="s">
        <v>1148</v>
      </c>
      <c r="H291" s="296" t="s">
        <v>485</v>
      </c>
      <c r="K291" s="274">
        <f>(K290+C24)</f>
        <v>9329.4500000000007</v>
      </c>
      <c r="O291" s="296" t="s">
        <v>549</v>
      </c>
      <c r="R291" s="252">
        <f>(R289/10)</f>
        <v>1467.04</v>
      </c>
      <c r="W291" s="253"/>
      <c r="AG291" s="296"/>
    </row>
    <row r="292" spans="1:33" ht="18.75" customHeight="1">
      <c r="A292" s="363">
        <f t="shared" si="33"/>
        <v>131</v>
      </c>
      <c r="B292" s="365" t="s">
        <v>486</v>
      </c>
      <c r="C292" s="314">
        <v>8.9</v>
      </c>
      <c r="D292" s="365" t="s">
        <v>766</v>
      </c>
      <c r="R292" s="358" t="s">
        <v>2046</v>
      </c>
      <c r="W292" s="253"/>
      <c r="AG292" s="296"/>
    </row>
    <row r="293" spans="1:33" ht="18.75" customHeight="1">
      <c r="A293" s="363">
        <f t="shared" si="33"/>
        <v>132</v>
      </c>
      <c r="B293" s="365" t="s">
        <v>487</v>
      </c>
      <c r="C293" s="314">
        <v>6.1</v>
      </c>
      <c r="D293" s="365" t="s">
        <v>766</v>
      </c>
      <c r="F293" s="253" t="s">
        <v>1505</v>
      </c>
      <c r="G293" s="252" t="s">
        <v>2241</v>
      </c>
      <c r="H293" s="296" t="s">
        <v>488</v>
      </c>
      <c r="W293" s="253"/>
      <c r="AG293" s="296"/>
    </row>
    <row r="294" spans="1:33" ht="18.75" customHeight="1">
      <c r="A294" s="363">
        <f t="shared" si="33"/>
        <v>133</v>
      </c>
      <c r="B294" s="365" t="s">
        <v>489</v>
      </c>
      <c r="C294" s="372">
        <v>5.75</v>
      </c>
      <c r="D294" s="365" t="s">
        <v>766</v>
      </c>
      <c r="H294" s="358" t="s">
        <v>2046</v>
      </c>
      <c r="N294" s="296" t="s">
        <v>2241</v>
      </c>
      <c r="O294" s="296" t="s">
        <v>1121</v>
      </c>
      <c r="W294" s="253"/>
      <c r="AG294" s="296"/>
    </row>
    <row r="295" spans="1:33" ht="18.75" customHeight="1">
      <c r="A295" s="363">
        <f t="shared" si="33"/>
        <v>134</v>
      </c>
      <c r="B295" s="365" t="s">
        <v>1122</v>
      </c>
      <c r="C295" s="372">
        <v>8.5</v>
      </c>
      <c r="D295" s="365" t="s">
        <v>766</v>
      </c>
      <c r="F295" s="252">
        <v>10</v>
      </c>
      <c r="G295" s="252" t="s">
        <v>866</v>
      </c>
      <c r="H295" s="296" t="s">
        <v>862</v>
      </c>
      <c r="I295" s="252">
        <f>(C68)</f>
        <v>957.5</v>
      </c>
      <c r="J295" s="296" t="s">
        <v>866</v>
      </c>
      <c r="K295" s="252">
        <f t="shared" ref="K295:K301" si="34">(F295*I295)</f>
        <v>9575</v>
      </c>
      <c r="O295" s="358" t="s">
        <v>1579</v>
      </c>
      <c r="W295" s="253"/>
      <c r="AG295" s="296"/>
    </row>
    <row r="296" spans="1:33" ht="18.75" customHeight="1">
      <c r="A296" s="363">
        <f t="shared" si="33"/>
        <v>135</v>
      </c>
      <c r="B296" s="365" t="s">
        <v>1255</v>
      </c>
      <c r="C296" s="372">
        <v>10</v>
      </c>
      <c r="D296" s="365" t="s">
        <v>766</v>
      </c>
      <c r="F296" s="252">
        <v>1</v>
      </c>
      <c r="G296" s="252" t="s">
        <v>866</v>
      </c>
      <c r="H296" s="296" t="s">
        <v>869</v>
      </c>
      <c r="I296" s="252">
        <f>(C69)</f>
        <v>1156.5</v>
      </c>
      <c r="J296" s="296" t="s">
        <v>866</v>
      </c>
      <c r="K296" s="252">
        <f t="shared" si="34"/>
        <v>1156.5</v>
      </c>
      <c r="M296" s="252">
        <v>0.14000000000000001</v>
      </c>
      <c r="N296" s="296" t="s">
        <v>866</v>
      </c>
      <c r="O296" s="296" t="s">
        <v>1348</v>
      </c>
      <c r="P296" s="252">
        <f>(K32)</f>
        <v>4861.3</v>
      </c>
      <c r="Q296" s="296" t="s">
        <v>866</v>
      </c>
      <c r="R296" s="252">
        <f>(M296*P296)</f>
        <v>680.58</v>
      </c>
      <c r="W296" s="253"/>
      <c r="AG296" s="296"/>
    </row>
    <row r="297" spans="1:33" ht="18.75" customHeight="1">
      <c r="A297" s="363">
        <f t="shared" si="33"/>
        <v>136</v>
      </c>
      <c r="B297" s="365" t="s">
        <v>1256</v>
      </c>
      <c r="C297" s="314">
        <v>7</v>
      </c>
      <c r="D297" s="365" t="s">
        <v>766</v>
      </c>
      <c r="F297" s="252">
        <v>3.4</v>
      </c>
      <c r="G297" s="252" t="s">
        <v>866</v>
      </c>
      <c r="H297" s="296" t="s">
        <v>1617</v>
      </c>
      <c r="I297" s="252">
        <f>(K49)</f>
        <v>3701.62</v>
      </c>
      <c r="J297" s="296" t="s">
        <v>866</v>
      </c>
      <c r="K297" s="252">
        <f t="shared" si="34"/>
        <v>12585.51</v>
      </c>
      <c r="M297" s="252">
        <v>1.1000000000000001</v>
      </c>
      <c r="N297" s="296" t="s">
        <v>865</v>
      </c>
      <c r="O297" s="296" t="s">
        <v>2000</v>
      </c>
      <c r="P297" s="252">
        <f>(C10)</f>
        <v>999</v>
      </c>
      <c r="Q297" s="296" t="s">
        <v>865</v>
      </c>
      <c r="R297" s="252">
        <f>(M297*P297)</f>
        <v>1098.9000000000001</v>
      </c>
      <c r="W297" s="253"/>
      <c r="AG297" s="296"/>
    </row>
    <row r="298" spans="1:33" ht="18.75" customHeight="1">
      <c r="A298" s="363">
        <f t="shared" si="33"/>
        <v>137</v>
      </c>
      <c r="B298" s="365" t="s">
        <v>1257</v>
      </c>
      <c r="C298" s="372">
        <v>2.2000000000000002</v>
      </c>
      <c r="D298" s="365" t="s">
        <v>766</v>
      </c>
      <c r="F298" s="252">
        <v>7.1</v>
      </c>
      <c r="G298" s="252" t="s">
        <v>865</v>
      </c>
      <c r="H298" s="296" t="s">
        <v>2000</v>
      </c>
      <c r="I298" s="252">
        <f>(C10)</f>
        <v>999</v>
      </c>
      <c r="J298" s="296" t="s">
        <v>865</v>
      </c>
      <c r="K298" s="252">
        <f t="shared" si="34"/>
        <v>7092.9</v>
      </c>
      <c r="M298" s="252">
        <v>0.5</v>
      </c>
      <c r="N298" s="296" t="s">
        <v>865</v>
      </c>
      <c r="O298" s="296" t="s">
        <v>1893</v>
      </c>
      <c r="P298" s="252">
        <f>(C12)</f>
        <v>651</v>
      </c>
      <c r="Q298" s="296" t="s">
        <v>865</v>
      </c>
      <c r="R298" s="252">
        <f>(M298*P298)</f>
        <v>325.5</v>
      </c>
      <c r="W298" s="253"/>
      <c r="AG298" s="296"/>
    </row>
    <row r="299" spans="1:33" ht="18.75" customHeight="1">
      <c r="A299" s="363">
        <f t="shared" si="33"/>
        <v>138</v>
      </c>
      <c r="B299" s="365" t="s">
        <v>1442</v>
      </c>
      <c r="C299" s="372">
        <v>10.5</v>
      </c>
      <c r="D299" s="365" t="s">
        <v>766</v>
      </c>
      <c r="F299" s="252">
        <v>10.6</v>
      </c>
      <c r="G299" s="252" t="s">
        <v>865</v>
      </c>
      <c r="H299" s="296" t="s">
        <v>1704</v>
      </c>
      <c r="I299" s="252">
        <f>(C11)</f>
        <v>932</v>
      </c>
      <c r="J299" s="296" t="s">
        <v>865</v>
      </c>
      <c r="K299" s="252">
        <f t="shared" si="34"/>
        <v>9879.2000000000007</v>
      </c>
      <c r="M299" s="252">
        <v>1.1000000000000001</v>
      </c>
      <c r="N299" s="296" t="s">
        <v>865</v>
      </c>
      <c r="O299" s="296" t="s">
        <v>317</v>
      </c>
      <c r="P299" s="252">
        <f>(C13)</f>
        <v>534</v>
      </c>
      <c r="Q299" s="296" t="s">
        <v>865</v>
      </c>
      <c r="R299" s="252">
        <f>(M299*P299)</f>
        <v>587.4</v>
      </c>
      <c r="W299" s="253"/>
      <c r="AG299" s="296"/>
    </row>
    <row r="300" spans="1:33" ht="18.75" customHeight="1">
      <c r="A300" s="363">
        <f t="shared" si="33"/>
        <v>139</v>
      </c>
      <c r="B300" s="365" t="s">
        <v>1443</v>
      </c>
      <c r="C300" s="372">
        <v>5.5</v>
      </c>
      <c r="D300" s="365" t="s">
        <v>766</v>
      </c>
      <c r="F300" s="252">
        <v>14.1</v>
      </c>
      <c r="G300" s="252" t="s">
        <v>865</v>
      </c>
      <c r="H300" s="296" t="s">
        <v>1893</v>
      </c>
      <c r="I300" s="252">
        <f>(C12)</f>
        <v>651</v>
      </c>
      <c r="J300" s="296" t="s">
        <v>865</v>
      </c>
      <c r="K300" s="252">
        <f t="shared" si="34"/>
        <v>9179.1</v>
      </c>
      <c r="N300" s="296" t="s">
        <v>446</v>
      </c>
      <c r="O300" s="296" t="s">
        <v>447</v>
      </c>
      <c r="P300" s="296" t="s">
        <v>971</v>
      </c>
      <c r="Q300" s="296" t="s">
        <v>446</v>
      </c>
      <c r="R300" s="252">
        <v>0</v>
      </c>
      <c r="W300" s="253"/>
      <c r="AG300" s="296"/>
    </row>
    <row r="301" spans="1:33" ht="18.75" customHeight="1">
      <c r="A301" s="363">
        <f t="shared" si="33"/>
        <v>140</v>
      </c>
      <c r="B301" s="365" t="s">
        <v>491</v>
      </c>
      <c r="C301" s="372">
        <v>21</v>
      </c>
      <c r="D301" s="365" t="s">
        <v>766</v>
      </c>
      <c r="F301" s="252">
        <v>14.1</v>
      </c>
      <c r="G301" s="252" t="s">
        <v>865</v>
      </c>
      <c r="H301" s="296" t="s">
        <v>317</v>
      </c>
      <c r="I301" s="252">
        <f>(C13)</f>
        <v>534</v>
      </c>
      <c r="J301" s="296" t="s">
        <v>865</v>
      </c>
      <c r="K301" s="252">
        <f t="shared" si="34"/>
        <v>7529.4</v>
      </c>
      <c r="R301" s="358" t="s">
        <v>1579</v>
      </c>
      <c r="W301" s="253"/>
      <c r="AG301" s="296"/>
    </row>
    <row r="302" spans="1:33" ht="18.75" customHeight="1">
      <c r="A302" s="363">
        <f t="shared" si="33"/>
        <v>141</v>
      </c>
      <c r="B302" s="365" t="s">
        <v>492</v>
      </c>
      <c r="C302" s="372">
        <v>10</v>
      </c>
      <c r="D302" s="365" t="s">
        <v>766</v>
      </c>
      <c r="G302" s="252" t="s">
        <v>446</v>
      </c>
      <c r="H302" s="296" t="s">
        <v>447</v>
      </c>
      <c r="J302" s="296" t="s">
        <v>446</v>
      </c>
      <c r="K302" s="252">
        <v>0</v>
      </c>
      <c r="O302" s="296" t="s">
        <v>971</v>
      </c>
      <c r="R302" s="252">
        <f>SUM(R296:R300)</f>
        <v>2692.38</v>
      </c>
      <c r="W302" s="253"/>
      <c r="AG302" s="296"/>
    </row>
    <row r="303" spans="1:33" ht="18.75" customHeight="1">
      <c r="A303" s="363">
        <f t="shared" si="33"/>
        <v>142</v>
      </c>
      <c r="B303" s="365" t="s">
        <v>1797</v>
      </c>
      <c r="C303" s="372">
        <v>4</v>
      </c>
      <c r="D303" s="365" t="s">
        <v>766</v>
      </c>
      <c r="K303" s="358" t="s">
        <v>1579</v>
      </c>
      <c r="R303" s="358" t="s">
        <v>1579</v>
      </c>
      <c r="W303" s="253"/>
      <c r="AG303" s="296"/>
    </row>
    <row r="304" spans="1:33" ht="18.75" customHeight="1">
      <c r="A304" s="363">
        <f t="shared" si="33"/>
        <v>143</v>
      </c>
      <c r="B304" s="365" t="s">
        <v>1146</v>
      </c>
      <c r="C304" s="372">
        <v>8</v>
      </c>
      <c r="D304" s="365" t="s">
        <v>865</v>
      </c>
      <c r="H304" s="296" t="s">
        <v>611</v>
      </c>
      <c r="K304" s="252">
        <f>SUM(K295:K302)</f>
        <v>56997.61</v>
      </c>
      <c r="O304" s="296" t="s">
        <v>549</v>
      </c>
      <c r="R304" s="252">
        <f>(R302/10)</f>
        <v>269.24</v>
      </c>
      <c r="W304" s="253"/>
      <c r="AG304" s="296"/>
    </row>
    <row r="305" spans="1:33" ht="18.75" customHeight="1">
      <c r="A305" s="363">
        <f t="shared" si="33"/>
        <v>144</v>
      </c>
      <c r="B305" s="365" t="s">
        <v>1147</v>
      </c>
      <c r="C305" s="372">
        <v>8.5</v>
      </c>
      <c r="D305" s="365" t="s">
        <v>766</v>
      </c>
      <c r="K305" s="358" t="s">
        <v>1579</v>
      </c>
      <c r="N305" s="296" t="s">
        <v>2241</v>
      </c>
      <c r="O305" s="296" t="s">
        <v>493</v>
      </c>
      <c r="R305" s="358" t="s">
        <v>2046</v>
      </c>
      <c r="W305" s="253"/>
      <c r="AG305" s="296"/>
    </row>
    <row r="306" spans="1:33" ht="18.75" customHeight="1">
      <c r="A306" s="363">
        <f t="shared" si="33"/>
        <v>145</v>
      </c>
      <c r="B306" s="365" t="s">
        <v>601</v>
      </c>
      <c r="C306" s="372">
        <v>2.8</v>
      </c>
      <c r="D306" s="365" t="s">
        <v>766</v>
      </c>
      <c r="H306" s="255" t="s">
        <v>770</v>
      </c>
      <c r="K306" s="274">
        <f>(K304/10)</f>
        <v>5699.76</v>
      </c>
      <c r="O306" s="358" t="s">
        <v>1579</v>
      </c>
      <c r="W306" s="253"/>
      <c r="AG306" s="296"/>
    </row>
    <row r="307" spans="1:33" ht="18.75" customHeight="1">
      <c r="A307" s="363">
        <f t="shared" si="33"/>
        <v>146</v>
      </c>
      <c r="B307" s="365" t="s">
        <v>1975</v>
      </c>
      <c r="C307" s="372">
        <v>1.8</v>
      </c>
      <c r="D307" s="365" t="s">
        <v>766</v>
      </c>
      <c r="K307" s="358" t="s">
        <v>2046</v>
      </c>
      <c r="M307" s="252">
        <v>0.14000000000000001</v>
      </c>
      <c r="N307" s="296" t="s">
        <v>866</v>
      </c>
      <c r="O307" s="296" t="s">
        <v>119</v>
      </c>
      <c r="P307" s="252">
        <f>(K23)</f>
        <v>6310.9</v>
      </c>
      <c r="Q307" s="296" t="s">
        <v>866</v>
      </c>
      <c r="R307" s="252">
        <f>(M307*P307)</f>
        <v>883.53</v>
      </c>
      <c r="W307" s="253"/>
      <c r="AG307" s="296"/>
    </row>
    <row r="308" spans="1:33" ht="18.75" customHeight="1">
      <c r="A308" s="363">
        <f t="shared" si="33"/>
        <v>147</v>
      </c>
      <c r="B308" s="314" t="s">
        <v>4219</v>
      </c>
      <c r="C308" s="314">
        <v>3</v>
      </c>
      <c r="D308" s="365" t="s">
        <v>766</v>
      </c>
      <c r="F308" s="375">
        <v>6.5</v>
      </c>
      <c r="G308" s="252" t="s">
        <v>2241</v>
      </c>
      <c r="H308" s="296" t="s">
        <v>2802</v>
      </c>
      <c r="M308" s="252">
        <v>1.1000000000000001</v>
      </c>
      <c r="N308" s="296" t="s">
        <v>865</v>
      </c>
      <c r="O308" s="296" t="s">
        <v>2000</v>
      </c>
      <c r="P308" s="252">
        <f>(C10)</f>
        <v>999</v>
      </c>
      <c r="Q308" s="296" t="s">
        <v>865</v>
      </c>
      <c r="R308" s="252">
        <f>(M308*P308)</f>
        <v>1098.9000000000001</v>
      </c>
      <c r="S308" s="356">
        <v>6.1</v>
      </c>
      <c r="T308" s="252" t="s">
        <v>2241</v>
      </c>
      <c r="U308" s="252" t="s">
        <v>2226</v>
      </c>
      <c r="W308" s="253"/>
      <c r="AB308" s="369">
        <v>6</v>
      </c>
      <c r="AC308" s="252" t="s">
        <v>2241</v>
      </c>
      <c r="AD308" s="296" t="s">
        <v>3498</v>
      </c>
      <c r="AF308" s="296"/>
    </row>
    <row r="309" spans="1:33" ht="18.75" customHeight="1">
      <c r="A309" s="363">
        <f t="shared" si="33"/>
        <v>148</v>
      </c>
      <c r="B309" s="365" t="s">
        <v>1977</v>
      </c>
      <c r="C309" s="403" t="s">
        <v>971</v>
      </c>
      <c r="D309" s="404"/>
      <c r="H309" s="296" t="s">
        <v>2895</v>
      </c>
      <c r="M309" s="252">
        <v>0.5</v>
      </c>
      <c r="N309" s="296" t="s">
        <v>865</v>
      </c>
      <c r="O309" s="296" t="s">
        <v>1893</v>
      </c>
      <c r="P309" s="252">
        <f>(C12)</f>
        <v>651</v>
      </c>
      <c r="Q309" s="296" t="s">
        <v>865</v>
      </c>
      <c r="R309" s="252">
        <f>(M309*P309)</f>
        <v>325.5</v>
      </c>
      <c r="U309" s="252" t="s">
        <v>424</v>
      </c>
      <c r="W309" s="253"/>
      <c r="AD309" s="296" t="s">
        <v>3499</v>
      </c>
      <c r="AF309" s="296"/>
    </row>
    <row r="310" spans="1:33" ht="18.75" customHeight="1">
      <c r="A310" s="363">
        <f t="shared" si="33"/>
        <v>149</v>
      </c>
      <c r="B310" s="365" t="s">
        <v>237</v>
      </c>
      <c r="C310" s="405">
        <v>66.44</v>
      </c>
      <c r="D310" s="406" t="s">
        <v>1763</v>
      </c>
      <c r="H310" s="358" t="s">
        <v>1579</v>
      </c>
      <c r="M310" s="252">
        <v>1.1000000000000001</v>
      </c>
      <c r="N310" s="296" t="s">
        <v>865</v>
      </c>
      <c r="O310" s="296" t="s">
        <v>317</v>
      </c>
      <c r="P310" s="252">
        <f>(C13)</f>
        <v>534</v>
      </c>
      <c r="Q310" s="296" t="s">
        <v>865</v>
      </c>
      <c r="R310" s="252">
        <f>(M310*P310)</f>
        <v>587.4</v>
      </c>
      <c r="U310" s="252" t="s">
        <v>1579</v>
      </c>
      <c r="W310" s="253"/>
      <c r="AD310" s="358" t="s">
        <v>1579</v>
      </c>
      <c r="AF310" s="296"/>
    </row>
    <row r="311" spans="1:33" ht="18.75" customHeight="1">
      <c r="A311" s="363">
        <f t="shared" si="33"/>
        <v>150</v>
      </c>
      <c r="B311" s="365" t="s">
        <v>238</v>
      </c>
      <c r="C311" s="405">
        <v>83.5</v>
      </c>
      <c r="D311" s="406" t="s">
        <v>1763</v>
      </c>
      <c r="F311" s="252">
        <v>4800</v>
      </c>
      <c r="G311" s="252" t="s">
        <v>1420</v>
      </c>
      <c r="H311" s="252" t="str">
        <f>H309</f>
        <v>Bricks of size 22x11x7 cm</v>
      </c>
      <c r="I311" s="252">
        <f>C80</f>
        <v>5728.64</v>
      </c>
      <c r="J311" s="296" t="s">
        <v>1587</v>
      </c>
      <c r="K311" s="252">
        <f>(F311*I311)/1000</f>
        <v>27497.47</v>
      </c>
      <c r="N311" s="296" t="s">
        <v>446</v>
      </c>
      <c r="O311" s="296" t="s">
        <v>447</v>
      </c>
      <c r="P311" s="296" t="s">
        <v>971</v>
      </c>
      <c r="Q311" s="296" t="s">
        <v>446</v>
      </c>
      <c r="R311" s="252">
        <v>0</v>
      </c>
      <c r="S311" s="356">
        <v>4600</v>
      </c>
      <c r="T311" s="252" t="s">
        <v>1420</v>
      </c>
      <c r="U311" s="252" t="s">
        <v>424</v>
      </c>
      <c r="V311" s="407">
        <f>AC41</f>
        <v>6959.15</v>
      </c>
      <c r="W311" s="384" t="s">
        <v>1285</v>
      </c>
      <c r="X311" s="252">
        <f>(V311*S311)/1000</f>
        <v>32012.09</v>
      </c>
      <c r="AB311" s="252">
        <v>4240</v>
      </c>
      <c r="AC311" s="252" t="s">
        <v>1420</v>
      </c>
      <c r="AD311" s="252" t="str">
        <f>AD309</f>
        <v>Bricks of size 23x11.4x7.5 cm</v>
      </c>
      <c r="AE311" s="252">
        <f>AC42</f>
        <v>7159.15</v>
      </c>
      <c r="AF311" s="296" t="s">
        <v>1587</v>
      </c>
      <c r="AG311" s="252">
        <f>(AB311*AE311)/1000</f>
        <v>30354.799999999999</v>
      </c>
    </row>
    <row r="312" spans="1:33" ht="18.75" customHeight="1">
      <c r="A312" s="363">
        <f t="shared" si="33"/>
        <v>151</v>
      </c>
      <c r="B312" s="365" t="s">
        <v>239</v>
      </c>
      <c r="C312" s="405">
        <v>102.12</v>
      </c>
      <c r="D312" s="406" t="s">
        <v>1763</v>
      </c>
      <c r="F312" s="252">
        <v>2.5</v>
      </c>
      <c r="G312" s="252" t="s">
        <v>866</v>
      </c>
      <c r="H312" s="296" t="s">
        <v>1617</v>
      </c>
      <c r="I312" s="252">
        <f>K49</f>
        <v>3701.62</v>
      </c>
      <c r="J312" s="296" t="s">
        <v>866</v>
      </c>
      <c r="K312" s="252">
        <f>(F312*I312)</f>
        <v>9254.0499999999993</v>
      </c>
      <c r="R312" s="358" t="s">
        <v>1579</v>
      </c>
      <c r="S312" s="356">
        <v>2.5</v>
      </c>
      <c r="T312" s="252" t="s">
        <v>866</v>
      </c>
      <c r="U312" s="252" t="s">
        <v>1617</v>
      </c>
      <c r="V312" s="407">
        <f>K49</f>
        <v>3701.62</v>
      </c>
      <c r="W312" s="253" t="s">
        <v>866</v>
      </c>
      <c r="X312" s="252">
        <f>V312*S312</f>
        <v>9254.0499999999993</v>
      </c>
      <c r="AB312" s="252">
        <v>2</v>
      </c>
      <c r="AC312" s="252" t="s">
        <v>866</v>
      </c>
      <c r="AD312" s="296" t="s">
        <v>1617</v>
      </c>
      <c r="AE312" s="252">
        <f>K49</f>
        <v>3701.62</v>
      </c>
      <c r="AF312" s="296" t="s">
        <v>866</v>
      </c>
      <c r="AG312" s="252">
        <f>(AB312*AE312)</f>
        <v>7403.24</v>
      </c>
    </row>
    <row r="313" spans="1:33" ht="18.75" customHeight="1">
      <c r="A313" s="363">
        <f t="shared" si="33"/>
        <v>152</v>
      </c>
      <c r="B313" s="365" t="s">
        <v>2212</v>
      </c>
      <c r="C313" s="405">
        <v>182.52</v>
      </c>
      <c r="D313" s="406" t="s">
        <v>1763</v>
      </c>
      <c r="F313" s="252">
        <v>3.5</v>
      </c>
      <c r="G313" s="252" t="s">
        <v>865</v>
      </c>
      <c r="H313" s="296" t="s">
        <v>2000</v>
      </c>
      <c r="I313" s="252">
        <f>C10</f>
        <v>999</v>
      </c>
      <c r="J313" s="296" t="s">
        <v>865</v>
      </c>
      <c r="K313" s="252">
        <f>(F313*I313)</f>
        <v>3496.5</v>
      </c>
      <c r="O313" s="296" t="s">
        <v>438</v>
      </c>
      <c r="R313" s="252">
        <f>SUM(R307:R311)</f>
        <v>2895.33</v>
      </c>
      <c r="S313" s="356">
        <v>3.5</v>
      </c>
      <c r="T313" s="252" t="s">
        <v>865</v>
      </c>
      <c r="U313" s="252" t="s">
        <v>2000</v>
      </c>
      <c r="V313" s="407">
        <f>I313</f>
        <v>999</v>
      </c>
      <c r="W313" s="253" t="s">
        <v>865</v>
      </c>
      <c r="X313" s="252">
        <f>V313*S313</f>
        <v>3496.5</v>
      </c>
      <c r="AB313" s="252">
        <v>3.5</v>
      </c>
      <c r="AC313" s="252" t="s">
        <v>865</v>
      </c>
      <c r="AD313" s="296" t="s">
        <v>2000</v>
      </c>
      <c r="AE313" s="252">
        <f>V313</f>
        <v>999</v>
      </c>
      <c r="AF313" s="296" t="s">
        <v>865</v>
      </c>
      <c r="AG313" s="252">
        <f>(AB313*AE313)</f>
        <v>3496.5</v>
      </c>
    </row>
    <row r="314" spans="1:33" ht="18.75" customHeight="1">
      <c r="A314" s="363">
        <f t="shared" si="33"/>
        <v>153</v>
      </c>
      <c r="B314" s="365" t="s">
        <v>2213</v>
      </c>
      <c r="C314" s="405"/>
      <c r="D314" s="283"/>
      <c r="F314" s="252">
        <v>10.6</v>
      </c>
      <c r="G314" s="252" t="s">
        <v>865</v>
      </c>
      <c r="H314" s="296" t="s">
        <v>1704</v>
      </c>
      <c r="I314" s="252">
        <f>C11</f>
        <v>932</v>
      </c>
      <c r="J314" s="296" t="s">
        <v>865</v>
      </c>
      <c r="K314" s="252">
        <f>(F314*I314)</f>
        <v>9879.2000000000007</v>
      </c>
      <c r="R314" s="358" t="s">
        <v>1579</v>
      </c>
      <c r="S314" s="356">
        <v>10.6</v>
      </c>
      <c r="T314" s="252" t="s">
        <v>865</v>
      </c>
      <c r="U314" s="252" t="s">
        <v>1704</v>
      </c>
      <c r="V314" s="407">
        <f>I314</f>
        <v>932</v>
      </c>
      <c r="W314" s="253" t="s">
        <v>865</v>
      </c>
      <c r="X314" s="252">
        <f>V314*S314</f>
        <v>9879.2000000000007</v>
      </c>
      <c r="AB314" s="252">
        <v>10.6</v>
      </c>
      <c r="AC314" s="252" t="s">
        <v>865</v>
      </c>
      <c r="AD314" s="296" t="s">
        <v>1704</v>
      </c>
      <c r="AE314" s="252">
        <f>V314</f>
        <v>932</v>
      </c>
      <c r="AF314" s="296" t="s">
        <v>865</v>
      </c>
      <c r="AG314" s="252">
        <f>(AB314*AE314)</f>
        <v>9879.2000000000007</v>
      </c>
    </row>
    <row r="315" spans="1:33" ht="18.75" customHeight="1">
      <c r="A315" s="363">
        <f t="shared" si="33"/>
        <v>154</v>
      </c>
      <c r="B315" s="365" t="s">
        <v>237</v>
      </c>
      <c r="C315" s="405">
        <v>26.62</v>
      </c>
      <c r="D315" s="406" t="s">
        <v>766</v>
      </c>
      <c r="F315" s="252">
        <v>7.1</v>
      </c>
      <c r="G315" s="252" t="s">
        <v>865</v>
      </c>
      <c r="H315" s="296" t="s">
        <v>1893</v>
      </c>
      <c r="I315" s="252">
        <f>C12</f>
        <v>651</v>
      </c>
      <c r="J315" s="296" t="s">
        <v>865</v>
      </c>
      <c r="K315" s="252">
        <f>(F315*I315)</f>
        <v>4622.1000000000004</v>
      </c>
      <c r="O315" s="296" t="s">
        <v>549</v>
      </c>
      <c r="R315" s="252">
        <f>(R313/10)</f>
        <v>289.52999999999997</v>
      </c>
      <c r="S315" s="356">
        <v>7.1</v>
      </c>
      <c r="T315" s="252" t="s">
        <v>865</v>
      </c>
      <c r="U315" s="252" t="s">
        <v>1893</v>
      </c>
      <c r="V315" s="407">
        <f>I315</f>
        <v>651</v>
      </c>
      <c r="W315" s="253" t="s">
        <v>865</v>
      </c>
      <c r="X315" s="252">
        <f>V315*S315</f>
        <v>4622.1000000000004</v>
      </c>
      <c r="AB315" s="252">
        <v>7.1</v>
      </c>
      <c r="AC315" s="252" t="s">
        <v>865</v>
      </c>
      <c r="AD315" s="296" t="s">
        <v>1893</v>
      </c>
      <c r="AE315" s="252">
        <f>V315</f>
        <v>651</v>
      </c>
      <c r="AF315" s="296" t="s">
        <v>865</v>
      </c>
      <c r="AG315" s="252">
        <f>(AB315*AE315)</f>
        <v>4622.1000000000004</v>
      </c>
    </row>
    <row r="316" spans="1:33" ht="18.75" customHeight="1">
      <c r="A316" s="363">
        <f t="shared" si="33"/>
        <v>155</v>
      </c>
      <c r="B316" s="365" t="s">
        <v>238</v>
      </c>
      <c r="C316" s="405">
        <v>34.869999999999997</v>
      </c>
      <c r="D316" s="406" t="s">
        <v>766</v>
      </c>
      <c r="F316" s="252">
        <v>21.2</v>
      </c>
      <c r="G316" s="252" t="s">
        <v>865</v>
      </c>
      <c r="H316" s="296" t="s">
        <v>317</v>
      </c>
      <c r="I316" s="252">
        <f>C13</f>
        <v>534</v>
      </c>
      <c r="J316" s="296" t="s">
        <v>865</v>
      </c>
      <c r="K316" s="252">
        <f>(F316*I316)</f>
        <v>11320.8</v>
      </c>
      <c r="R316" s="358" t="s">
        <v>2046</v>
      </c>
      <c r="S316" s="356">
        <v>21.2</v>
      </c>
      <c r="T316" s="252" t="s">
        <v>865</v>
      </c>
      <c r="U316" s="252" t="s">
        <v>317</v>
      </c>
      <c r="V316" s="407">
        <f>I316</f>
        <v>534</v>
      </c>
      <c r="W316" s="253" t="s">
        <v>865</v>
      </c>
      <c r="X316" s="252">
        <f>V316*S316</f>
        <v>11320.8</v>
      </c>
      <c r="AB316" s="252">
        <v>21.2</v>
      </c>
      <c r="AC316" s="252" t="s">
        <v>865</v>
      </c>
      <c r="AD316" s="296" t="s">
        <v>317</v>
      </c>
      <c r="AE316" s="252">
        <f>V316</f>
        <v>534</v>
      </c>
      <c r="AF316" s="296" t="s">
        <v>865</v>
      </c>
      <c r="AG316" s="252">
        <f>(AB316*AE316)</f>
        <v>11320.8</v>
      </c>
    </row>
    <row r="317" spans="1:33" ht="18.75" customHeight="1">
      <c r="A317" s="363">
        <f t="shared" si="33"/>
        <v>156</v>
      </c>
      <c r="B317" s="365" t="s">
        <v>239</v>
      </c>
      <c r="C317" s="405">
        <v>45</v>
      </c>
      <c r="D317" s="406" t="s">
        <v>766</v>
      </c>
      <c r="G317" s="252" t="s">
        <v>446</v>
      </c>
      <c r="H317" s="296" t="s">
        <v>447</v>
      </c>
      <c r="J317" s="296" t="s">
        <v>446</v>
      </c>
      <c r="K317" s="252">
        <v>5</v>
      </c>
      <c r="N317" s="296" t="s">
        <v>2241</v>
      </c>
      <c r="O317" s="296" t="s">
        <v>2214</v>
      </c>
      <c r="T317" s="252" t="s">
        <v>446</v>
      </c>
      <c r="U317" s="252" t="s">
        <v>447</v>
      </c>
      <c r="W317" s="253" t="s">
        <v>446</v>
      </c>
      <c r="X317" s="252">
        <v>0</v>
      </c>
      <c r="AC317" s="252" t="s">
        <v>446</v>
      </c>
      <c r="AD317" s="296" t="s">
        <v>447</v>
      </c>
      <c r="AF317" s="296" t="s">
        <v>446</v>
      </c>
      <c r="AG317" s="252">
        <v>0</v>
      </c>
    </row>
    <row r="318" spans="1:33" ht="18.75" customHeight="1">
      <c r="A318" s="363">
        <f t="shared" si="33"/>
        <v>157</v>
      </c>
      <c r="B318" s="365" t="s">
        <v>2212</v>
      </c>
      <c r="C318" s="405">
        <v>99.75</v>
      </c>
      <c r="D318" s="406" t="s">
        <v>766</v>
      </c>
      <c r="K318" s="358" t="s">
        <v>1579</v>
      </c>
      <c r="O318" s="358" t="s">
        <v>1579</v>
      </c>
      <c r="W318" s="253"/>
      <c r="X318" s="252" t="s">
        <v>1579</v>
      </c>
      <c r="AF318" s="296"/>
      <c r="AG318" s="358" t="s">
        <v>1579</v>
      </c>
    </row>
    <row r="319" spans="1:33" ht="18.75" customHeight="1">
      <c r="A319" s="363">
        <f t="shared" si="33"/>
        <v>158</v>
      </c>
      <c r="B319" s="365" t="s">
        <v>2176</v>
      </c>
      <c r="C319" s="405"/>
      <c r="D319" s="283"/>
      <c r="H319" s="296" t="s">
        <v>611</v>
      </c>
      <c r="K319" s="252">
        <f>SUM(K311:K317)</f>
        <v>66075.12</v>
      </c>
      <c r="M319" s="252">
        <v>0.1</v>
      </c>
      <c r="N319" s="296" t="s">
        <v>866</v>
      </c>
      <c r="O319" s="296" t="s">
        <v>119</v>
      </c>
      <c r="P319" s="252">
        <f>(K23)</f>
        <v>6310.9</v>
      </c>
      <c r="Q319" s="296" t="s">
        <v>866</v>
      </c>
      <c r="R319" s="252">
        <f>(M319*P319)</f>
        <v>631.09</v>
      </c>
      <c r="U319" s="252" t="s">
        <v>611</v>
      </c>
      <c r="W319" s="253"/>
      <c r="X319" s="252">
        <f>SUM(X311:X318)</f>
        <v>70584.740000000005</v>
      </c>
      <c r="AD319" s="296" t="s">
        <v>611</v>
      </c>
      <c r="AF319" s="296"/>
      <c r="AG319" s="252">
        <f>SUM(AG311:AG317)</f>
        <v>67076.639999999999</v>
      </c>
    </row>
    <row r="320" spans="1:33" ht="18.75" customHeight="1">
      <c r="A320" s="363">
        <f t="shared" si="33"/>
        <v>159</v>
      </c>
      <c r="B320" s="365" t="s">
        <v>237</v>
      </c>
      <c r="C320" s="405">
        <v>43.47</v>
      </c>
      <c r="D320" s="406" t="s">
        <v>766</v>
      </c>
      <c r="K320" s="358" t="s">
        <v>1579</v>
      </c>
      <c r="M320" s="252">
        <v>1.1000000000000001</v>
      </c>
      <c r="N320" s="296" t="s">
        <v>865</v>
      </c>
      <c r="O320" s="296" t="s">
        <v>2000</v>
      </c>
      <c r="P320" s="252">
        <f>(C10)</f>
        <v>999</v>
      </c>
      <c r="Q320" s="296" t="s">
        <v>865</v>
      </c>
      <c r="R320" s="252">
        <f>(M320*P320)</f>
        <v>1098.9000000000001</v>
      </c>
      <c r="W320" s="253"/>
      <c r="X320" s="252" t="s">
        <v>1579</v>
      </c>
      <c r="AF320" s="296"/>
      <c r="AG320" s="358" t="s">
        <v>1579</v>
      </c>
    </row>
    <row r="321" spans="1:34" ht="18.75" customHeight="1">
      <c r="A321" s="363">
        <f t="shared" si="33"/>
        <v>160</v>
      </c>
      <c r="B321" s="365" t="s">
        <v>238</v>
      </c>
      <c r="C321" s="405">
        <v>50.34</v>
      </c>
      <c r="D321" s="406" t="s">
        <v>766</v>
      </c>
      <c r="H321" s="255" t="s">
        <v>770</v>
      </c>
      <c r="K321" s="274">
        <f>(K319/10)</f>
        <v>6607.51</v>
      </c>
      <c r="M321" s="252">
        <v>1.1000000000000001</v>
      </c>
      <c r="N321" s="296" t="s">
        <v>865</v>
      </c>
      <c r="O321" s="296" t="s">
        <v>1893</v>
      </c>
      <c r="P321" s="252">
        <f>(C12)</f>
        <v>651</v>
      </c>
      <c r="Q321" s="296" t="s">
        <v>865</v>
      </c>
      <c r="R321" s="252">
        <f>(M321*P321)</f>
        <v>716.1</v>
      </c>
      <c r="U321" s="252" t="s">
        <v>770</v>
      </c>
      <c r="W321" s="253"/>
      <c r="X321" s="274">
        <f>X319/10</f>
        <v>7058.47</v>
      </c>
      <c r="AD321" s="255" t="s">
        <v>770</v>
      </c>
      <c r="AF321" s="296"/>
      <c r="AG321" s="274">
        <f>(AG319/10)</f>
        <v>6707.66</v>
      </c>
    </row>
    <row r="322" spans="1:34" ht="18.75" customHeight="1">
      <c r="A322" s="363">
        <f t="shared" si="33"/>
        <v>161</v>
      </c>
      <c r="B322" s="365" t="s">
        <v>239</v>
      </c>
      <c r="C322" s="405">
        <v>65.209999999999994</v>
      </c>
      <c r="D322" s="406" t="s">
        <v>766</v>
      </c>
      <c r="K322" s="358" t="s">
        <v>2046</v>
      </c>
      <c r="M322" s="252">
        <v>1.1000000000000001</v>
      </c>
      <c r="N322" s="296" t="s">
        <v>865</v>
      </c>
      <c r="O322" s="296" t="s">
        <v>317</v>
      </c>
      <c r="P322" s="252">
        <f>(C13)</f>
        <v>534</v>
      </c>
      <c r="Q322" s="296" t="s">
        <v>865</v>
      </c>
      <c r="R322" s="252">
        <f>(M322*P322)</f>
        <v>587.4</v>
      </c>
      <c r="W322" s="253"/>
      <c r="AF322" s="296"/>
      <c r="AG322" s="358" t="s">
        <v>2046</v>
      </c>
    </row>
    <row r="323" spans="1:34" ht="18.75" customHeight="1">
      <c r="A323" s="363">
        <f t="shared" si="33"/>
        <v>162</v>
      </c>
      <c r="B323" s="365" t="s">
        <v>2212</v>
      </c>
      <c r="C323" s="405">
        <v>145.29</v>
      </c>
      <c r="D323" s="406" t="s">
        <v>766</v>
      </c>
      <c r="H323" s="296" t="s">
        <v>383</v>
      </c>
      <c r="K323" s="252">
        <f>(K321+C19)</f>
        <v>6686.41</v>
      </c>
      <c r="L323" s="252">
        <f>K323-K321</f>
        <v>78.900000000000006</v>
      </c>
      <c r="N323" s="296" t="s">
        <v>446</v>
      </c>
      <c r="O323" s="296" t="s">
        <v>447</v>
      </c>
      <c r="P323" s="296" t="s">
        <v>971</v>
      </c>
      <c r="Q323" s="296" t="s">
        <v>446</v>
      </c>
      <c r="R323" s="252">
        <v>0</v>
      </c>
      <c r="U323" s="252" t="s">
        <v>383</v>
      </c>
      <c r="W323" s="253"/>
      <c r="X323" s="252">
        <f>X321+C19</f>
        <v>7137.37</v>
      </c>
      <c r="Y323" s="252">
        <f>X323-X321</f>
        <v>78.900000000000006</v>
      </c>
      <c r="AD323" s="296" t="s">
        <v>383</v>
      </c>
      <c r="AF323" s="296"/>
      <c r="AG323" s="252">
        <f>AG321+C19</f>
        <v>6786.56</v>
      </c>
      <c r="AH323" s="252">
        <f>AG323-AG321</f>
        <v>78.900000000000006</v>
      </c>
    </row>
    <row r="324" spans="1:34" ht="18.75" customHeight="1">
      <c r="A324" s="363">
        <f t="shared" si="33"/>
        <v>163</v>
      </c>
      <c r="B324" s="365" t="s">
        <v>2177</v>
      </c>
      <c r="C324" s="405"/>
      <c r="D324" s="283"/>
      <c r="H324" s="296" t="s">
        <v>385</v>
      </c>
      <c r="K324" s="252">
        <f>(K323+C20)</f>
        <v>6845.61</v>
      </c>
      <c r="L324" s="252">
        <f>K324-K323</f>
        <v>159.19999999999999</v>
      </c>
      <c r="R324" s="358" t="s">
        <v>1579</v>
      </c>
      <c r="U324" s="252" t="s">
        <v>385</v>
      </c>
      <c r="W324" s="253"/>
      <c r="X324" s="252">
        <f>X323+C20</f>
        <v>7296.57</v>
      </c>
      <c r="Y324" s="252">
        <f>X324-X323</f>
        <v>159.19999999999999</v>
      </c>
      <c r="AD324" s="296" t="s">
        <v>385</v>
      </c>
      <c r="AF324" s="296"/>
      <c r="AG324" s="252">
        <f>AG323+C20</f>
        <v>6945.76</v>
      </c>
      <c r="AH324" s="252">
        <f>AG324-AG323</f>
        <v>159.19999999999999</v>
      </c>
    </row>
    <row r="325" spans="1:34" ht="18.75" customHeight="1">
      <c r="A325" s="363">
        <f t="shared" si="33"/>
        <v>164</v>
      </c>
      <c r="B325" s="365" t="s">
        <v>237</v>
      </c>
      <c r="C325" s="405">
        <v>14.91</v>
      </c>
      <c r="D325" s="406" t="s">
        <v>1763</v>
      </c>
      <c r="H325" s="296" t="s">
        <v>2222</v>
      </c>
      <c r="K325" s="252">
        <f>(K324+C21)</f>
        <v>7004.81</v>
      </c>
      <c r="M325" s="252">
        <f>(K325+K324)/2</f>
        <v>6925.21</v>
      </c>
      <c r="O325" s="296" t="s">
        <v>438</v>
      </c>
      <c r="R325" s="252">
        <f>SUM(R319:R323)</f>
        <v>3033.49</v>
      </c>
      <c r="U325" s="252" t="s">
        <v>2222</v>
      </c>
      <c r="W325" s="253"/>
      <c r="X325" s="252">
        <f>X324+C20</f>
        <v>7455.77</v>
      </c>
      <c r="AD325" s="296" t="s">
        <v>2222</v>
      </c>
      <c r="AF325" s="296"/>
      <c r="AG325" s="252">
        <f>AG324+C20</f>
        <v>7104.96</v>
      </c>
      <c r="AH325" s="252">
        <f>AG324-AG323</f>
        <v>159.19999999999999</v>
      </c>
    </row>
    <row r="326" spans="1:34" ht="18.75" customHeight="1">
      <c r="A326" s="363">
        <f t="shared" si="33"/>
        <v>165</v>
      </c>
      <c r="B326" s="365" t="s">
        <v>238</v>
      </c>
      <c r="C326" s="405">
        <v>19.41</v>
      </c>
      <c r="D326" s="406" t="s">
        <v>1763</v>
      </c>
      <c r="H326" s="296" t="s">
        <v>377</v>
      </c>
      <c r="K326" s="252">
        <f>(K325+C21)</f>
        <v>7164.01</v>
      </c>
      <c r="R326" s="358" t="s">
        <v>1579</v>
      </c>
      <c r="U326" s="252" t="s">
        <v>377</v>
      </c>
      <c r="W326" s="253"/>
      <c r="X326" s="252">
        <f>X325+C20</f>
        <v>7614.97</v>
      </c>
      <c r="AD326" s="296" t="s">
        <v>377</v>
      </c>
      <c r="AF326" s="296"/>
      <c r="AG326" s="252">
        <f>AG325+C20</f>
        <v>7264.16</v>
      </c>
    </row>
    <row r="327" spans="1:34" ht="18.75" customHeight="1">
      <c r="A327" s="363">
        <f t="shared" si="33"/>
        <v>166</v>
      </c>
      <c r="B327" s="365" t="s">
        <v>239</v>
      </c>
      <c r="C327" s="405">
        <v>22.22</v>
      </c>
      <c r="D327" s="406" t="s">
        <v>1763</v>
      </c>
      <c r="H327" s="296" t="s">
        <v>485</v>
      </c>
      <c r="K327" s="252">
        <f>(K326+C21)</f>
        <v>7323.21</v>
      </c>
      <c r="O327" s="296" t="s">
        <v>549</v>
      </c>
      <c r="R327" s="252">
        <f>(R325/10)</f>
        <v>303.35000000000002</v>
      </c>
      <c r="U327" s="252" t="s">
        <v>485</v>
      </c>
      <c r="W327" s="253"/>
      <c r="X327" s="252">
        <f>X326+C20</f>
        <v>7774.17</v>
      </c>
      <c r="AD327" s="296" t="s">
        <v>485</v>
      </c>
      <c r="AF327" s="296"/>
      <c r="AG327" s="252">
        <f>AG326+C20</f>
        <v>7423.36</v>
      </c>
    </row>
    <row r="328" spans="1:34" ht="18.75" customHeight="1">
      <c r="A328" s="363"/>
      <c r="B328" s="365"/>
      <c r="C328" s="405"/>
      <c r="D328" s="406"/>
      <c r="H328" s="296"/>
      <c r="O328" s="296"/>
      <c r="W328" s="253"/>
      <c r="AE328" s="370"/>
      <c r="AG328" s="296"/>
    </row>
    <row r="329" spans="1:34" ht="18.75" customHeight="1">
      <c r="A329" s="363"/>
      <c r="B329" s="365"/>
      <c r="C329" s="405"/>
      <c r="D329" s="406"/>
      <c r="F329" s="253" t="s">
        <v>636</v>
      </c>
      <c r="H329" s="296" t="s">
        <v>5665</v>
      </c>
      <c r="K329" s="408">
        <v>719</v>
      </c>
      <c r="L329" s="252" t="s">
        <v>1105</v>
      </c>
      <c r="O329" s="296"/>
      <c r="W329" s="253"/>
      <c r="AE329" s="370"/>
      <c r="AG329" s="296"/>
    </row>
    <row r="330" spans="1:34" ht="18.75" customHeight="1">
      <c r="A330" s="363"/>
      <c r="B330" s="365"/>
      <c r="C330" s="405"/>
      <c r="D330" s="406"/>
      <c r="H330" s="296" t="s">
        <v>4859</v>
      </c>
      <c r="K330" s="358" t="s">
        <v>2046</v>
      </c>
      <c r="O330" s="296"/>
      <c r="W330" s="253"/>
      <c r="AE330" s="370"/>
      <c r="AG330" s="296"/>
    </row>
    <row r="331" spans="1:34" ht="18.75" customHeight="1">
      <c r="A331" s="363"/>
      <c r="B331" s="365"/>
      <c r="C331" s="405"/>
      <c r="D331" s="406"/>
      <c r="H331" s="296"/>
      <c r="O331" s="296"/>
      <c r="W331" s="253"/>
      <c r="AE331" s="370"/>
      <c r="AG331" s="296"/>
    </row>
    <row r="332" spans="1:34" ht="18.75" customHeight="1">
      <c r="A332" s="363">
        <f>(A327+1)</f>
        <v>167</v>
      </c>
      <c r="B332" s="365" t="s">
        <v>2212</v>
      </c>
      <c r="C332" s="405">
        <v>46.42</v>
      </c>
      <c r="D332" s="406" t="s">
        <v>1763</v>
      </c>
      <c r="F332" s="369">
        <v>9</v>
      </c>
      <c r="G332" s="252" t="s">
        <v>2241</v>
      </c>
      <c r="H332" s="296" t="s">
        <v>2803</v>
      </c>
      <c r="R332" s="358" t="s">
        <v>2046</v>
      </c>
      <c r="S332" s="356">
        <v>9</v>
      </c>
      <c r="T332" s="252" t="s">
        <v>2241</v>
      </c>
      <c r="U332" s="252" t="s">
        <v>2225</v>
      </c>
      <c r="W332" s="253"/>
      <c r="AB332" s="369">
        <v>9</v>
      </c>
      <c r="AC332" s="252" t="s">
        <v>2241</v>
      </c>
      <c r="AD332" s="296" t="s">
        <v>3500</v>
      </c>
      <c r="AF332" s="296"/>
    </row>
    <row r="333" spans="1:34" ht="18.75" customHeight="1">
      <c r="A333" s="363">
        <f t="shared" si="33"/>
        <v>168</v>
      </c>
      <c r="B333" s="365" t="s">
        <v>2178</v>
      </c>
      <c r="C333" s="405"/>
      <c r="D333" s="283"/>
      <c r="H333" s="296" t="str">
        <f>H309</f>
        <v>Bricks of size 22x11x7 cm</v>
      </c>
      <c r="U333" s="252" t="s">
        <v>424</v>
      </c>
      <c r="W333" s="253"/>
      <c r="AD333" s="296" t="str">
        <f>AD309</f>
        <v>Bricks of size 23x11.4x7.5 cm</v>
      </c>
      <c r="AF333" s="296"/>
    </row>
    <row r="334" spans="1:34" ht="18.75" customHeight="1">
      <c r="A334" s="363">
        <f t="shared" si="33"/>
        <v>169</v>
      </c>
      <c r="B334" s="365" t="s">
        <v>237</v>
      </c>
      <c r="C334" s="405">
        <v>8.58</v>
      </c>
      <c r="D334" s="406" t="s">
        <v>766</v>
      </c>
      <c r="H334" s="358" t="s">
        <v>1579</v>
      </c>
      <c r="N334" s="296" t="s">
        <v>2241</v>
      </c>
      <c r="O334" s="296" t="s">
        <v>2179</v>
      </c>
      <c r="U334" s="252" t="s">
        <v>1579</v>
      </c>
      <c r="W334" s="253"/>
      <c r="AD334" s="358" t="s">
        <v>1579</v>
      </c>
      <c r="AF334" s="296"/>
    </row>
    <row r="335" spans="1:34" ht="18.75" customHeight="1">
      <c r="A335" s="363">
        <f t="shared" si="33"/>
        <v>170</v>
      </c>
      <c r="B335" s="365" t="s">
        <v>238</v>
      </c>
      <c r="C335" s="405">
        <v>12.26</v>
      </c>
      <c r="D335" s="406" t="s">
        <v>766</v>
      </c>
      <c r="F335" s="252">
        <f>F311</f>
        <v>4800</v>
      </c>
      <c r="G335" s="252" t="s">
        <v>1420</v>
      </c>
      <c r="H335" s="252" t="str">
        <f>H309</f>
        <v>Bricks of size 22x11x7 cm</v>
      </c>
      <c r="I335" s="252">
        <f>C80</f>
        <v>5728.64</v>
      </c>
      <c r="J335" s="296" t="s">
        <v>1587</v>
      </c>
      <c r="K335" s="252">
        <f>(F335*I335)/1000</f>
        <v>27497.47</v>
      </c>
      <c r="O335" s="358" t="s">
        <v>1579</v>
      </c>
      <c r="S335" s="356">
        <v>4600</v>
      </c>
      <c r="T335" s="252" t="s">
        <v>1420</v>
      </c>
      <c r="U335" s="252" t="s">
        <v>424</v>
      </c>
      <c r="V335" s="252">
        <f>AC41</f>
        <v>6959.15</v>
      </c>
      <c r="W335" s="253" t="s">
        <v>1587</v>
      </c>
      <c r="X335" s="252">
        <f>V335*S335/1000</f>
        <v>32012.09</v>
      </c>
      <c r="AB335" s="252">
        <f>AB311</f>
        <v>4240</v>
      </c>
      <c r="AC335" s="252" t="s">
        <v>1420</v>
      </c>
      <c r="AD335" s="252" t="str">
        <f>AD309</f>
        <v>Bricks of size 23x11.4x7.5 cm</v>
      </c>
      <c r="AE335" s="252">
        <f>AC42</f>
        <v>7159.15</v>
      </c>
      <c r="AF335" s="296" t="s">
        <v>1587</v>
      </c>
      <c r="AG335" s="252">
        <f>AE335*AB335/1000</f>
        <v>30354.799999999999</v>
      </c>
    </row>
    <row r="336" spans="1:34" ht="18.75" customHeight="1">
      <c r="A336" s="363">
        <f t="shared" si="33"/>
        <v>171</v>
      </c>
      <c r="B336" s="365" t="s">
        <v>239</v>
      </c>
      <c r="C336" s="405">
        <v>13.89</v>
      </c>
      <c r="D336" s="406" t="s">
        <v>766</v>
      </c>
      <c r="F336" s="252">
        <f>F312</f>
        <v>2.5</v>
      </c>
      <c r="G336" s="252" t="s">
        <v>866</v>
      </c>
      <c r="H336" s="296" t="s">
        <v>1623</v>
      </c>
      <c r="I336" s="252">
        <f>K58</f>
        <v>3411.7</v>
      </c>
      <c r="J336" s="296" t="s">
        <v>866</v>
      </c>
      <c r="K336" s="252">
        <f>(F336*I336)</f>
        <v>8529.25</v>
      </c>
      <c r="M336" s="252">
        <v>0.22</v>
      </c>
      <c r="N336" s="296" t="s">
        <v>866</v>
      </c>
      <c r="O336" s="296" t="s">
        <v>1617</v>
      </c>
      <c r="P336" s="252">
        <f>(K49)</f>
        <v>3701.62</v>
      </c>
      <c r="Q336" s="296" t="s">
        <v>866</v>
      </c>
      <c r="R336" s="252">
        <f>(M336*P336)</f>
        <v>814.36</v>
      </c>
      <c r="S336" s="356">
        <v>2.5</v>
      </c>
      <c r="T336" s="252" t="s">
        <v>866</v>
      </c>
      <c r="U336" s="252" t="s">
        <v>1623</v>
      </c>
      <c r="V336" s="252">
        <f>I336</f>
        <v>3411.7</v>
      </c>
      <c r="W336" s="253" t="s">
        <v>866</v>
      </c>
      <c r="X336" s="252">
        <f t="shared" ref="X336:X341" si="35">V336*S336</f>
        <v>8529.25</v>
      </c>
      <c r="AB336" s="252">
        <f>AB312</f>
        <v>2</v>
      </c>
      <c r="AC336" s="252" t="s">
        <v>866</v>
      </c>
      <c r="AD336" s="296" t="s">
        <v>1623</v>
      </c>
      <c r="AE336" s="252">
        <f>V336</f>
        <v>3411.7</v>
      </c>
      <c r="AF336" s="296" t="s">
        <v>866</v>
      </c>
      <c r="AG336" s="252">
        <f>AE336*AB336</f>
        <v>6823.4</v>
      </c>
    </row>
    <row r="337" spans="1:33" ht="18.75" customHeight="1">
      <c r="A337" s="363">
        <f t="shared" si="33"/>
        <v>172</v>
      </c>
      <c r="B337" s="365" t="s">
        <v>2212</v>
      </c>
      <c r="C337" s="405">
        <v>36.25</v>
      </c>
      <c r="D337" s="406" t="s">
        <v>766</v>
      </c>
      <c r="F337" s="252">
        <v>3.5</v>
      </c>
      <c r="G337" s="252" t="s">
        <v>865</v>
      </c>
      <c r="H337" s="296" t="s">
        <v>2000</v>
      </c>
      <c r="I337" s="252">
        <f>C10</f>
        <v>999</v>
      </c>
      <c r="J337" s="296" t="s">
        <v>865</v>
      </c>
      <c r="K337" s="252">
        <f>(F337*I337)</f>
        <v>3496.5</v>
      </c>
      <c r="M337" s="252">
        <v>2.2000000000000002</v>
      </c>
      <c r="N337" s="296" t="s">
        <v>865</v>
      </c>
      <c r="O337" s="296" t="s">
        <v>2000</v>
      </c>
      <c r="P337" s="252">
        <f>(C10)</f>
        <v>999</v>
      </c>
      <c r="Q337" s="296" t="s">
        <v>865</v>
      </c>
      <c r="R337" s="252">
        <f>(M337*P337)</f>
        <v>2197.8000000000002</v>
      </c>
      <c r="S337" s="356">
        <v>3.5</v>
      </c>
      <c r="T337" s="252" t="s">
        <v>865</v>
      </c>
      <c r="U337" s="252" t="s">
        <v>2000</v>
      </c>
      <c r="V337" s="252">
        <f>I337</f>
        <v>999</v>
      </c>
      <c r="W337" s="253" t="s">
        <v>865</v>
      </c>
      <c r="X337" s="252">
        <f t="shared" si="35"/>
        <v>3496.5</v>
      </c>
      <c r="AB337" s="252">
        <v>3.5</v>
      </c>
      <c r="AC337" s="252" t="s">
        <v>865</v>
      </c>
      <c r="AD337" s="296" t="s">
        <v>2000</v>
      </c>
      <c r="AE337" s="252">
        <f>V337</f>
        <v>999</v>
      </c>
      <c r="AF337" s="296" t="s">
        <v>865</v>
      </c>
      <c r="AG337" s="252">
        <f>AE337*AB337</f>
        <v>3496.5</v>
      </c>
    </row>
    <row r="338" spans="1:33" ht="18.75" customHeight="1">
      <c r="A338" s="363">
        <f t="shared" si="33"/>
        <v>173</v>
      </c>
      <c r="B338" s="365" t="s">
        <v>2180</v>
      </c>
      <c r="C338" s="405"/>
      <c r="D338" s="283"/>
      <c r="F338" s="252">
        <v>10.6</v>
      </c>
      <c r="G338" s="252" t="s">
        <v>865</v>
      </c>
      <c r="H338" s="296" t="s">
        <v>1704</v>
      </c>
      <c r="I338" s="252">
        <f>C11</f>
        <v>932</v>
      </c>
      <c r="J338" s="296" t="s">
        <v>865</v>
      </c>
      <c r="K338" s="252">
        <f>(F338*I338)</f>
        <v>9879.2000000000007</v>
      </c>
      <c r="M338" s="252">
        <v>0.5</v>
      </c>
      <c r="N338" s="296" t="s">
        <v>865</v>
      </c>
      <c r="O338" s="296" t="s">
        <v>1893</v>
      </c>
      <c r="P338" s="252">
        <f>(C12)</f>
        <v>651</v>
      </c>
      <c r="Q338" s="296" t="s">
        <v>865</v>
      </c>
      <c r="R338" s="252">
        <f>(M338*P338)</f>
        <v>325.5</v>
      </c>
      <c r="S338" s="356">
        <v>10.6</v>
      </c>
      <c r="T338" s="252" t="s">
        <v>865</v>
      </c>
      <c r="U338" s="252" t="s">
        <v>1704</v>
      </c>
      <c r="V338" s="252">
        <f>I338</f>
        <v>932</v>
      </c>
      <c r="W338" s="253" t="s">
        <v>865</v>
      </c>
      <c r="X338" s="252">
        <f t="shared" si="35"/>
        <v>9879.2000000000007</v>
      </c>
      <c r="AB338" s="252">
        <v>10.6</v>
      </c>
      <c r="AC338" s="252" t="s">
        <v>865</v>
      </c>
      <c r="AD338" s="296" t="s">
        <v>1704</v>
      </c>
      <c r="AE338" s="252">
        <f>V338</f>
        <v>932</v>
      </c>
      <c r="AF338" s="296" t="s">
        <v>865</v>
      </c>
      <c r="AG338" s="252">
        <f>AE338*AB338</f>
        <v>9879.2000000000007</v>
      </c>
    </row>
    <row r="339" spans="1:33" ht="18.75" customHeight="1">
      <c r="A339" s="363">
        <f t="shared" si="33"/>
        <v>174</v>
      </c>
      <c r="B339" s="365" t="s">
        <v>237</v>
      </c>
      <c r="C339" s="405">
        <v>15.7</v>
      </c>
      <c r="D339" s="406" t="s">
        <v>766</v>
      </c>
      <c r="F339" s="252">
        <v>7.1</v>
      </c>
      <c r="G339" s="252" t="s">
        <v>865</v>
      </c>
      <c r="H339" s="296" t="s">
        <v>1893</v>
      </c>
      <c r="I339" s="252">
        <f>C12</f>
        <v>651</v>
      </c>
      <c r="J339" s="296" t="s">
        <v>865</v>
      </c>
      <c r="K339" s="252">
        <f>(F339*I339)</f>
        <v>4622.1000000000004</v>
      </c>
      <c r="M339" s="252">
        <v>3.2</v>
      </c>
      <c r="N339" s="296" t="s">
        <v>865</v>
      </c>
      <c r="O339" s="296" t="s">
        <v>317</v>
      </c>
      <c r="P339" s="252">
        <f>(C13)</f>
        <v>534</v>
      </c>
      <c r="Q339" s="296" t="s">
        <v>865</v>
      </c>
      <c r="R339" s="252">
        <f>(M339*P339)</f>
        <v>1708.8</v>
      </c>
      <c r="S339" s="356">
        <v>7.1</v>
      </c>
      <c r="T339" s="252" t="s">
        <v>865</v>
      </c>
      <c r="U339" s="252" t="s">
        <v>1893</v>
      </c>
      <c r="V339" s="252">
        <f>I339</f>
        <v>651</v>
      </c>
      <c r="W339" s="253" t="s">
        <v>865</v>
      </c>
      <c r="X339" s="252">
        <f t="shared" si="35"/>
        <v>4622.1000000000004</v>
      </c>
      <c r="AB339" s="252">
        <v>7.1</v>
      </c>
      <c r="AC339" s="252" t="s">
        <v>865</v>
      </c>
      <c r="AD339" s="296" t="s">
        <v>1893</v>
      </c>
      <c r="AE339" s="252">
        <f>V339</f>
        <v>651</v>
      </c>
      <c r="AF339" s="296" t="s">
        <v>865</v>
      </c>
      <c r="AG339" s="252">
        <f>AE339*AB339</f>
        <v>4622.1000000000004</v>
      </c>
    </row>
    <row r="340" spans="1:33" ht="18.75" customHeight="1">
      <c r="A340" s="363">
        <f t="shared" si="33"/>
        <v>175</v>
      </c>
      <c r="B340" s="365" t="s">
        <v>238</v>
      </c>
      <c r="C340" s="405">
        <v>22.31</v>
      </c>
      <c r="D340" s="406" t="s">
        <v>766</v>
      </c>
      <c r="F340" s="252">
        <v>21.2</v>
      </c>
      <c r="G340" s="252" t="s">
        <v>865</v>
      </c>
      <c r="H340" s="296" t="s">
        <v>317</v>
      </c>
      <c r="I340" s="252">
        <f>C13</f>
        <v>534</v>
      </c>
      <c r="J340" s="296" t="s">
        <v>865</v>
      </c>
      <c r="K340" s="252">
        <f>(F340*I340)</f>
        <v>11320.8</v>
      </c>
      <c r="N340" s="296" t="s">
        <v>446</v>
      </c>
      <c r="O340" s="296" t="s">
        <v>447</v>
      </c>
      <c r="P340" s="296" t="s">
        <v>971</v>
      </c>
      <c r="Q340" s="296" t="s">
        <v>446</v>
      </c>
      <c r="R340" s="252">
        <v>0</v>
      </c>
      <c r="S340" s="356">
        <v>21.2</v>
      </c>
      <c r="T340" s="252" t="s">
        <v>865</v>
      </c>
      <c r="U340" s="252" t="s">
        <v>317</v>
      </c>
      <c r="V340" s="252">
        <f>I340</f>
        <v>534</v>
      </c>
      <c r="W340" s="253" t="s">
        <v>865</v>
      </c>
      <c r="X340" s="252">
        <f t="shared" si="35"/>
        <v>11320.8</v>
      </c>
      <c r="AB340" s="252">
        <v>21.2</v>
      </c>
      <c r="AC340" s="252" t="s">
        <v>865</v>
      </c>
      <c r="AD340" s="296" t="s">
        <v>317</v>
      </c>
      <c r="AE340" s="252">
        <f>V340</f>
        <v>534</v>
      </c>
      <c r="AF340" s="296" t="s">
        <v>865</v>
      </c>
      <c r="AG340" s="252">
        <f>AE340*AB340</f>
        <v>11320.8</v>
      </c>
    </row>
    <row r="341" spans="1:33" ht="18.75" customHeight="1">
      <c r="A341" s="363">
        <f t="shared" si="33"/>
        <v>176</v>
      </c>
      <c r="B341" s="365" t="s">
        <v>239</v>
      </c>
      <c r="C341" s="405">
        <v>25.24</v>
      </c>
      <c r="D341" s="406" t="s">
        <v>766</v>
      </c>
      <c r="G341" s="252" t="s">
        <v>446</v>
      </c>
      <c r="H341" s="296" t="s">
        <v>447</v>
      </c>
      <c r="J341" s="296" t="s">
        <v>446</v>
      </c>
      <c r="K341" s="252">
        <v>0</v>
      </c>
      <c r="R341" s="358" t="s">
        <v>1579</v>
      </c>
      <c r="T341" s="252" t="s">
        <v>446</v>
      </c>
      <c r="U341" s="252" t="s">
        <v>447</v>
      </c>
      <c r="W341" s="253" t="s">
        <v>446</v>
      </c>
      <c r="X341" s="252">
        <f t="shared" si="35"/>
        <v>0</v>
      </c>
      <c r="AC341" s="252" t="s">
        <v>446</v>
      </c>
      <c r="AD341" s="296" t="s">
        <v>447</v>
      </c>
      <c r="AF341" s="296" t="s">
        <v>446</v>
      </c>
      <c r="AG341" s="252">
        <v>0</v>
      </c>
    </row>
    <row r="342" spans="1:33" ht="18.75" customHeight="1">
      <c r="A342" s="363">
        <f t="shared" si="33"/>
        <v>177</v>
      </c>
      <c r="B342" s="365" t="s">
        <v>2212</v>
      </c>
      <c r="C342" s="405">
        <v>52.34</v>
      </c>
      <c r="D342" s="406" t="s">
        <v>766</v>
      </c>
      <c r="K342" s="358" t="s">
        <v>1579</v>
      </c>
      <c r="O342" s="296" t="s">
        <v>438</v>
      </c>
      <c r="R342" s="252">
        <f>SUM(R336:R340)</f>
        <v>5046.46</v>
      </c>
      <c r="W342" s="253"/>
      <c r="X342" s="358" t="s">
        <v>1579</v>
      </c>
      <c r="AF342" s="296"/>
      <c r="AG342" s="358" t="s">
        <v>1579</v>
      </c>
    </row>
    <row r="343" spans="1:33" ht="18.75" customHeight="1">
      <c r="A343" s="363">
        <f t="shared" si="33"/>
        <v>178</v>
      </c>
      <c r="B343" s="365" t="s">
        <v>1035</v>
      </c>
      <c r="C343" s="405"/>
      <c r="D343" s="283"/>
      <c r="H343" s="296" t="s">
        <v>611</v>
      </c>
      <c r="K343" s="252">
        <f>SUM(K335:K341)</f>
        <v>65345.32</v>
      </c>
      <c r="R343" s="358" t="s">
        <v>1579</v>
      </c>
      <c r="U343" s="252" t="s">
        <v>611</v>
      </c>
      <c r="W343" s="253"/>
      <c r="X343" s="252">
        <f>SUM(X335:X342)</f>
        <v>69859.94</v>
      </c>
      <c r="AD343" s="296" t="s">
        <v>611</v>
      </c>
      <c r="AF343" s="296"/>
      <c r="AG343" s="252">
        <f>SUM(AG335:AG341)</f>
        <v>66496.800000000003</v>
      </c>
    </row>
    <row r="344" spans="1:33" ht="18.75" customHeight="1">
      <c r="A344" s="363">
        <f t="shared" si="33"/>
        <v>179</v>
      </c>
      <c r="B344" s="365" t="s">
        <v>237</v>
      </c>
      <c r="C344" s="405">
        <v>13.73</v>
      </c>
      <c r="D344" s="406" t="s">
        <v>766</v>
      </c>
      <c r="K344" s="358" t="s">
        <v>1579</v>
      </c>
      <c r="O344" s="296" t="s">
        <v>549</v>
      </c>
      <c r="R344" s="252">
        <f>(R342/10)</f>
        <v>504.65</v>
      </c>
      <c r="W344" s="253"/>
      <c r="X344" s="358" t="s">
        <v>1579</v>
      </c>
      <c r="AF344" s="296"/>
      <c r="AG344" s="358" t="s">
        <v>1579</v>
      </c>
    </row>
    <row r="345" spans="1:33" ht="18.75" customHeight="1">
      <c r="A345" s="363">
        <f t="shared" si="33"/>
        <v>180</v>
      </c>
      <c r="B345" s="365" t="s">
        <v>238</v>
      </c>
      <c r="C345" s="405">
        <v>20.16</v>
      </c>
      <c r="D345" s="406" t="s">
        <v>766</v>
      </c>
      <c r="H345" s="253" t="s">
        <v>770</v>
      </c>
      <c r="K345" s="252">
        <f>(K343/10)</f>
        <v>6534.53</v>
      </c>
      <c r="R345" s="358" t="s">
        <v>2046</v>
      </c>
      <c r="U345" s="252" t="s">
        <v>770</v>
      </c>
      <c r="W345" s="253"/>
      <c r="X345" s="252">
        <f>X343/10</f>
        <v>6985.99</v>
      </c>
      <c r="AD345" s="253" t="s">
        <v>770</v>
      </c>
      <c r="AF345" s="296"/>
      <c r="AG345" s="252">
        <f>(AG343/10)</f>
        <v>6649.68</v>
      </c>
    </row>
    <row r="346" spans="1:33" ht="18.75" customHeight="1">
      <c r="A346" s="363">
        <f t="shared" si="33"/>
        <v>181</v>
      </c>
      <c r="B346" s="365" t="s">
        <v>239</v>
      </c>
      <c r="C346" s="405">
        <v>22.73</v>
      </c>
      <c r="D346" s="406" t="s">
        <v>766</v>
      </c>
      <c r="K346" s="358" t="s">
        <v>2046</v>
      </c>
      <c r="N346" s="296" t="s">
        <v>2241</v>
      </c>
      <c r="O346" s="296" t="s">
        <v>1036</v>
      </c>
      <c r="W346" s="253"/>
      <c r="X346" s="377" t="s">
        <v>1219</v>
      </c>
      <c r="AF346" s="296"/>
      <c r="AG346" s="358" t="s">
        <v>2046</v>
      </c>
    </row>
    <row r="347" spans="1:33" ht="18.75" customHeight="1">
      <c r="A347" s="363">
        <f t="shared" ref="A347:A410" si="36">(A346+1)</f>
        <v>182</v>
      </c>
      <c r="B347" s="365" t="s">
        <v>2212</v>
      </c>
      <c r="C347" s="405">
        <v>46.98</v>
      </c>
      <c r="D347" s="406" t="s">
        <v>971</v>
      </c>
      <c r="H347" s="296" t="s">
        <v>383</v>
      </c>
      <c r="K347" s="274">
        <f>(K345+C19)</f>
        <v>6613.43</v>
      </c>
      <c r="L347" s="252">
        <f>K347-K345</f>
        <v>78.900000000000006</v>
      </c>
      <c r="O347" s="358" t="s">
        <v>1579</v>
      </c>
      <c r="U347" s="274" t="s">
        <v>383</v>
      </c>
      <c r="W347" s="253"/>
      <c r="X347" s="274">
        <f>X345+C19</f>
        <v>7064.89</v>
      </c>
      <c r="AD347" s="296" t="s">
        <v>383</v>
      </c>
      <c r="AF347" s="296"/>
      <c r="AG347" s="274">
        <f>(AG345+C19)</f>
        <v>6728.58</v>
      </c>
    </row>
    <row r="348" spans="1:33" ht="18.75" customHeight="1">
      <c r="A348" s="363">
        <f t="shared" si="36"/>
        <v>183</v>
      </c>
      <c r="B348" s="365" t="s">
        <v>1037</v>
      </c>
      <c r="C348" s="405"/>
      <c r="D348" s="283"/>
      <c r="H348" s="296" t="s">
        <v>385</v>
      </c>
      <c r="K348" s="274">
        <f>(K347+C20)</f>
        <v>6772.63</v>
      </c>
      <c r="L348" s="252">
        <f>K348-K347</f>
        <v>159.19999999999999</v>
      </c>
      <c r="M348" s="252">
        <v>0.22</v>
      </c>
      <c r="N348" s="296" t="s">
        <v>866</v>
      </c>
      <c r="O348" s="296" t="s">
        <v>1348</v>
      </c>
      <c r="P348" s="252">
        <f>(K32)</f>
        <v>4861.3</v>
      </c>
      <c r="Q348" s="296" t="s">
        <v>866</v>
      </c>
      <c r="R348" s="252">
        <f>(M348*P348)</f>
        <v>1069.49</v>
      </c>
      <c r="U348" s="274" t="s">
        <v>385</v>
      </c>
      <c r="W348" s="253"/>
      <c r="X348" s="274">
        <f>X347+C20</f>
        <v>7224.09</v>
      </c>
      <c r="AD348" s="296" t="s">
        <v>385</v>
      </c>
      <c r="AF348" s="296"/>
      <c r="AG348" s="274">
        <f>(AG347+C20)</f>
        <v>6887.78</v>
      </c>
    </row>
    <row r="349" spans="1:33" ht="18.75" customHeight="1">
      <c r="A349" s="363">
        <f t="shared" si="36"/>
        <v>184</v>
      </c>
      <c r="B349" s="365" t="s">
        <v>237</v>
      </c>
      <c r="C349" s="405">
        <v>19.3</v>
      </c>
      <c r="D349" s="406" t="s">
        <v>766</v>
      </c>
      <c r="H349" s="296" t="s">
        <v>2222</v>
      </c>
      <c r="K349" s="274">
        <f>(K348+C20)</f>
        <v>6931.83</v>
      </c>
      <c r="L349" s="252">
        <f>K349-K348</f>
        <v>159.19999999999999</v>
      </c>
      <c r="M349" s="252">
        <v>2.2000000000000002</v>
      </c>
      <c r="N349" s="296" t="s">
        <v>865</v>
      </c>
      <c r="O349" s="296" t="s">
        <v>2000</v>
      </c>
      <c r="P349" s="252">
        <f>(C10)</f>
        <v>999</v>
      </c>
      <c r="Q349" s="296" t="s">
        <v>865</v>
      </c>
      <c r="R349" s="252">
        <f>(M349*P349)</f>
        <v>2197.8000000000002</v>
      </c>
      <c r="U349" s="274" t="s">
        <v>2222</v>
      </c>
      <c r="W349" s="253"/>
      <c r="X349" s="274">
        <f>X348+C20</f>
        <v>7383.29</v>
      </c>
      <c r="AD349" s="296" t="s">
        <v>2222</v>
      </c>
      <c r="AF349" s="296"/>
      <c r="AG349" s="274">
        <f>(AG348+C20)</f>
        <v>7046.98</v>
      </c>
    </row>
    <row r="350" spans="1:33" ht="18.75" customHeight="1">
      <c r="A350" s="363">
        <f t="shared" si="36"/>
        <v>185</v>
      </c>
      <c r="B350" s="365" t="s">
        <v>239</v>
      </c>
      <c r="C350" s="405">
        <v>33.46</v>
      </c>
      <c r="D350" s="406" t="s">
        <v>766</v>
      </c>
      <c r="H350" s="296" t="s">
        <v>377</v>
      </c>
      <c r="K350" s="274">
        <f>(K349+C21)</f>
        <v>7091.03</v>
      </c>
      <c r="M350" s="252">
        <v>0.5</v>
      </c>
      <c r="N350" s="296" t="s">
        <v>865</v>
      </c>
      <c r="O350" s="296" t="s">
        <v>1893</v>
      </c>
      <c r="P350" s="252">
        <f>(C12)</f>
        <v>651</v>
      </c>
      <c r="Q350" s="296" t="s">
        <v>865</v>
      </c>
      <c r="R350" s="252">
        <f>(M350*P350)</f>
        <v>325.5</v>
      </c>
      <c r="U350" s="274" t="s">
        <v>377</v>
      </c>
      <c r="W350" s="253"/>
      <c r="X350" s="274">
        <f>X349+C20</f>
        <v>7542.49</v>
      </c>
      <c r="AD350" s="296" t="s">
        <v>377</v>
      </c>
      <c r="AF350" s="296"/>
      <c r="AG350" s="274">
        <f>(AG349+C20)</f>
        <v>7206.18</v>
      </c>
    </row>
    <row r="351" spans="1:33" ht="18.75" customHeight="1">
      <c r="A351" s="363">
        <f t="shared" si="36"/>
        <v>186</v>
      </c>
      <c r="B351" s="365" t="s">
        <v>2212</v>
      </c>
      <c r="C351" s="405">
        <v>53.62</v>
      </c>
      <c r="D351" s="406" t="s">
        <v>766</v>
      </c>
      <c r="F351" s="296" t="s">
        <v>971</v>
      </c>
      <c r="H351" s="296" t="s">
        <v>485</v>
      </c>
      <c r="K351" s="274">
        <f>(K350+C21)</f>
        <v>7250.23</v>
      </c>
      <c r="L351" s="252">
        <f>K351-K350</f>
        <v>159.19999999999999</v>
      </c>
      <c r="M351" s="252">
        <v>3.2</v>
      </c>
      <c r="N351" s="296" t="s">
        <v>865</v>
      </c>
      <c r="O351" s="296" t="s">
        <v>317</v>
      </c>
      <c r="P351" s="252">
        <f>(C13)</f>
        <v>534</v>
      </c>
      <c r="Q351" s="296" t="s">
        <v>865</v>
      </c>
      <c r="R351" s="252">
        <f>(M351*P351)</f>
        <v>1708.8</v>
      </c>
      <c r="S351" s="356" t="s">
        <v>971</v>
      </c>
      <c r="U351" s="274" t="s">
        <v>485</v>
      </c>
      <c r="W351" s="253"/>
      <c r="X351" s="274">
        <f>X350+C20</f>
        <v>7701.69</v>
      </c>
      <c r="AB351" s="296" t="s">
        <v>971</v>
      </c>
      <c r="AD351" s="296" t="s">
        <v>485</v>
      </c>
      <c r="AF351" s="296"/>
      <c r="AG351" s="274">
        <f>(AG350+C20)</f>
        <v>7365.38</v>
      </c>
    </row>
    <row r="352" spans="1:33" ht="18.75" customHeight="1">
      <c r="A352" s="363">
        <f t="shared" si="36"/>
        <v>187</v>
      </c>
      <c r="B352" s="365" t="s">
        <v>127</v>
      </c>
      <c r="C352" s="405"/>
      <c r="D352" s="283"/>
      <c r="F352" s="369">
        <v>27</v>
      </c>
      <c r="G352" s="252" t="s">
        <v>2241</v>
      </c>
      <c r="H352" s="296" t="s">
        <v>2804</v>
      </c>
      <c r="L352" s="252">
        <f>K351+L351</f>
        <v>7409.43</v>
      </c>
      <c r="N352" s="296" t="s">
        <v>446</v>
      </c>
      <c r="O352" s="296" t="s">
        <v>447</v>
      </c>
      <c r="P352" s="296" t="s">
        <v>971</v>
      </c>
      <c r="Q352" s="296" t="s">
        <v>446</v>
      </c>
      <c r="R352" s="252">
        <v>0</v>
      </c>
      <c r="S352" s="356">
        <v>27</v>
      </c>
      <c r="T352" s="252" t="s">
        <v>2241</v>
      </c>
      <c r="U352" s="252" t="s">
        <v>105</v>
      </c>
      <c r="W352" s="253"/>
      <c r="AB352" s="296"/>
      <c r="AD352" s="296">
        <v>5</v>
      </c>
      <c r="AF352" s="296"/>
      <c r="AG352" s="274">
        <f>(AG351+C20)</f>
        <v>7524.58</v>
      </c>
    </row>
    <row r="353" spans="1:34" ht="18.75" customHeight="1">
      <c r="A353" s="363">
        <f t="shared" si="36"/>
        <v>188</v>
      </c>
      <c r="B353" s="365" t="s">
        <v>237</v>
      </c>
      <c r="C353" s="405">
        <v>13.73</v>
      </c>
      <c r="D353" s="406" t="s">
        <v>766</v>
      </c>
      <c r="H353" s="296" t="str">
        <f>H333</f>
        <v>Bricks of size 22x11x7 cm</v>
      </c>
      <c r="L353" s="252">
        <f>L352+L351</f>
        <v>7568.63</v>
      </c>
      <c r="R353" s="358" t="s">
        <v>1579</v>
      </c>
      <c r="U353" s="252" t="s">
        <v>424</v>
      </c>
      <c r="W353" s="253"/>
      <c r="AB353" s="296"/>
      <c r="AD353" s="296">
        <v>6</v>
      </c>
      <c r="AF353" s="296"/>
      <c r="AG353" s="274">
        <f>(AG352+C20)</f>
        <v>7683.78</v>
      </c>
    </row>
    <row r="354" spans="1:34" ht="18.75" customHeight="1">
      <c r="A354" s="363">
        <f t="shared" si="36"/>
        <v>189</v>
      </c>
      <c r="B354" s="365" t="s">
        <v>238</v>
      </c>
      <c r="C354" s="405">
        <v>20.16</v>
      </c>
      <c r="D354" s="406" t="s">
        <v>766</v>
      </c>
      <c r="H354" s="358" t="s">
        <v>1579</v>
      </c>
      <c r="O354" s="296" t="s">
        <v>438</v>
      </c>
      <c r="R354" s="252">
        <f>SUM(R348:R352)</f>
        <v>5301.59</v>
      </c>
      <c r="U354" s="252" t="s">
        <v>1579</v>
      </c>
      <c r="W354" s="253"/>
      <c r="AB354" s="296"/>
      <c r="AD354" s="296">
        <v>7</v>
      </c>
      <c r="AF354" s="296"/>
      <c r="AG354" s="274">
        <f>(AG353+C20)</f>
        <v>7842.98</v>
      </c>
    </row>
    <row r="355" spans="1:34" ht="18.75" customHeight="1">
      <c r="A355" s="363">
        <f t="shared" si="36"/>
        <v>190</v>
      </c>
      <c r="B355" s="365" t="s">
        <v>239</v>
      </c>
      <c r="C355" s="405">
        <v>22.73</v>
      </c>
      <c r="D355" s="406" t="s">
        <v>766</v>
      </c>
      <c r="F355" s="252">
        <v>4800</v>
      </c>
      <c r="G355" s="252" t="s">
        <v>1420</v>
      </c>
      <c r="H355" s="252" t="str">
        <f>H309</f>
        <v>Bricks of size 22x11x7 cm</v>
      </c>
      <c r="I355" s="252">
        <f>C80</f>
        <v>5728.64</v>
      </c>
      <c r="J355" s="296" t="s">
        <v>1587</v>
      </c>
      <c r="K355" s="252">
        <f>(F355*I355)/1000</f>
        <v>27497.47</v>
      </c>
      <c r="R355" s="358" t="s">
        <v>1579</v>
      </c>
      <c r="S355" s="356">
        <v>4600</v>
      </c>
      <c r="T355" s="252" t="s">
        <v>1420</v>
      </c>
      <c r="U355" s="252" t="s">
        <v>424</v>
      </c>
      <c r="V355" s="252">
        <f>AC41</f>
        <v>6959.15</v>
      </c>
      <c r="W355" s="253" t="s">
        <v>1587</v>
      </c>
      <c r="X355" s="252">
        <f>V355*S355/1000</f>
        <v>32012.09</v>
      </c>
      <c r="AB355" s="296"/>
      <c r="AD355" s="296">
        <v>8</v>
      </c>
      <c r="AF355" s="296"/>
      <c r="AG355" s="274">
        <f>(AG354+C20)</f>
        <v>8002.18</v>
      </c>
    </row>
    <row r="356" spans="1:34" ht="18.75" customHeight="1">
      <c r="A356" s="363">
        <f t="shared" si="36"/>
        <v>191</v>
      </c>
      <c r="B356" s="365" t="s">
        <v>2212</v>
      </c>
      <c r="C356" s="405">
        <v>46.98</v>
      </c>
      <c r="D356" s="406" t="s">
        <v>766</v>
      </c>
      <c r="F356" s="252">
        <v>2.5</v>
      </c>
      <c r="G356" s="252" t="s">
        <v>866</v>
      </c>
      <c r="H356" s="296" t="s">
        <v>1302</v>
      </c>
      <c r="I356" s="252">
        <f>K40</f>
        <v>4136.5</v>
      </c>
      <c r="J356" s="296" t="s">
        <v>866</v>
      </c>
      <c r="K356" s="252">
        <f>(F356*I356)</f>
        <v>10341.25</v>
      </c>
      <c r="O356" s="296" t="s">
        <v>549</v>
      </c>
      <c r="R356" s="252">
        <f>(R354/10)</f>
        <v>530.16</v>
      </c>
      <c r="S356" s="356">
        <v>2.5</v>
      </c>
      <c r="T356" s="252" t="s">
        <v>866</v>
      </c>
      <c r="U356" s="252" t="s">
        <v>1302</v>
      </c>
      <c r="V356" s="252">
        <f>I356</f>
        <v>4136.5</v>
      </c>
      <c r="W356" s="253" t="s">
        <v>866</v>
      </c>
      <c r="X356" s="252">
        <f>V356*S356</f>
        <v>10341.25</v>
      </c>
      <c r="AB356" s="296"/>
      <c r="AD356" s="296">
        <v>9</v>
      </c>
      <c r="AF356" s="296"/>
      <c r="AG356" s="274">
        <f>(AG355+C20)</f>
        <v>8161.38</v>
      </c>
    </row>
    <row r="357" spans="1:34" ht="18.75" customHeight="1">
      <c r="A357" s="363">
        <f t="shared" si="36"/>
        <v>192</v>
      </c>
      <c r="B357" s="365" t="s">
        <v>807</v>
      </c>
      <c r="C357" s="405"/>
      <c r="D357" s="283"/>
      <c r="F357" s="252">
        <v>3.5</v>
      </c>
      <c r="G357" s="252" t="s">
        <v>865</v>
      </c>
      <c r="H357" s="296" t="s">
        <v>2000</v>
      </c>
      <c r="I357" s="252">
        <f>(C10)</f>
        <v>999</v>
      </c>
      <c r="J357" s="296" t="s">
        <v>865</v>
      </c>
      <c r="K357" s="252">
        <f>(F357*I357)</f>
        <v>3496.5</v>
      </c>
      <c r="R357" s="358" t="s">
        <v>2046</v>
      </c>
      <c r="S357" s="356">
        <v>3.5</v>
      </c>
      <c r="T357" s="252" t="s">
        <v>865</v>
      </c>
      <c r="U357" s="252" t="s">
        <v>2000</v>
      </c>
      <c r="V357" s="252">
        <f>I357</f>
        <v>999</v>
      </c>
      <c r="W357" s="253" t="s">
        <v>865</v>
      </c>
      <c r="X357" s="252">
        <f>V357*S357</f>
        <v>3496.5</v>
      </c>
      <c r="AB357" s="296"/>
      <c r="AD357" s="296">
        <v>10</v>
      </c>
      <c r="AF357" s="296"/>
      <c r="AG357" s="274">
        <f>(AG356+C20)</f>
        <v>8320.58</v>
      </c>
    </row>
    <row r="358" spans="1:34" ht="18.75" customHeight="1">
      <c r="A358" s="363">
        <f t="shared" si="36"/>
        <v>193</v>
      </c>
      <c r="B358" s="365" t="s">
        <v>237</v>
      </c>
      <c r="C358" s="405">
        <v>19.3</v>
      </c>
      <c r="D358" s="406" t="s">
        <v>766</v>
      </c>
      <c r="F358" s="252">
        <v>10.6</v>
      </c>
      <c r="G358" s="252" t="s">
        <v>865</v>
      </c>
      <c r="H358" s="296" t="s">
        <v>1704</v>
      </c>
      <c r="I358" s="252">
        <f>(C11)</f>
        <v>932</v>
      </c>
      <c r="J358" s="296" t="s">
        <v>865</v>
      </c>
      <c r="K358" s="252">
        <f>(F358*I358)</f>
        <v>9879.2000000000007</v>
      </c>
      <c r="N358" s="296" t="s">
        <v>2241</v>
      </c>
      <c r="O358" s="296" t="s">
        <v>808</v>
      </c>
      <c r="S358" s="356">
        <v>10.6</v>
      </c>
      <c r="T358" s="252" t="s">
        <v>865</v>
      </c>
      <c r="U358" s="252" t="s">
        <v>1704</v>
      </c>
      <c r="V358" s="252">
        <f>I358</f>
        <v>932</v>
      </c>
      <c r="W358" s="253" t="s">
        <v>865</v>
      </c>
      <c r="X358" s="252">
        <f>V358*S358</f>
        <v>9879.2000000000007</v>
      </c>
      <c r="AB358" s="296"/>
      <c r="AD358" s="296">
        <v>11</v>
      </c>
      <c r="AF358" s="296"/>
      <c r="AG358" s="274">
        <f>(AG357+C20)</f>
        <v>8479.7800000000007</v>
      </c>
    </row>
    <row r="359" spans="1:34" ht="18.75" customHeight="1">
      <c r="A359" s="363">
        <f t="shared" si="36"/>
        <v>194</v>
      </c>
      <c r="B359" s="365" t="s">
        <v>238</v>
      </c>
      <c r="C359" s="405">
        <v>25.74</v>
      </c>
      <c r="D359" s="406" t="s">
        <v>766</v>
      </c>
      <c r="F359" s="252">
        <v>7.1</v>
      </c>
      <c r="G359" s="252" t="s">
        <v>865</v>
      </c>
      <c r="H359" s="296" t="s">
        <v>1893</v>
      </c>
      <c r="I359" s="252">
        <f>(C12)</f>
        <v>651</v>
      </c>
      <c r="J359" s="296" t="s">
        <v>865</v>
      </c>
      <c r="K359" s="252">
        <f>(F359*I359)</f>
        <v>4622.1000000000004</v>
      </c>
      <c r="O359" s="296" t="s">
        <v>809</v>
      </c>
      <c r="S359" s="356">
        <v>7.1</v>
      </c>
      <c r="T359" s="252" t="s">
        <v>865</v>
      </c>
      <c r="U359" s="252" t="s">
        <v>1893</v>
      </c>
      <c r="V359" s="252">
        <f>I359</f>
        <v>651</v>
      </c>
      <c r="W359" s="253" t="s">
        <v>865</v>
      </c>
      <c r="X359" s="252">
        <f>V359*S359</f>
        <v>4622.1000000000004</v>
      </c>
      <c r="AB359" s="296"/>
      <c r="AD359" s="296">
        <v>12</v>
      </c>
      <c r="AF359" s="296"/>
      <c r="AG359" s="274">
        <f>(AG358+C20)</f>
        <v>8638.98</v>
      </c>
    </row>
    <row r="360" spans="1:34" ht="18.75" customHeight="1">
      <c r="A360" s="363">
        <f t="shared" si="36"/>
        <v>195</v>
      </c>
      <c r="B360" s="365" t="s">
        <v>239</v>
      </c>
      <c r="C360" s="405">
        <v>33.46</v>
      </c>
      <c r="D360" s="406" t="s">
        <v>766</v>
      </c>
      <c r="F360" s="252">
        <v>21.2</v>
      </c>
      <c r="G360" s="252" t="s">
        <v>865</v>
      </c>
      <c r="H360" s="296" t="s">
        <v>317</v>
      </c>
      <c r="I360" s="252">
        <f>(C13)</f>
        <v>534</v>
      </c>
      <c r="J360" s="296" t="s">
        <v>865</v>
      </c>
      <c r="K360" s="252">
        <f>(F360*I360)</f>
        <v>11320.8</v>
      </c>
      <c r="O360" s="296" t="s">
        <v>810</v>
      </c>
      <c r="S360" s="356">
        <v>21.2</v>
      </c>
      <c r="T360" s="252" t="s">
        <v>865</v>
      </c>
      <c r="U360" s="252" t="s">
        <v>317</v>
      </c>
      <c r="V360" s="252">
        <f>I360</f>
        <v>534</v>
      </c>
      <c r="W360" s="253" t="s">
        <v>865</v>
      </c>
      <c r="X360" s="252">
        <f>V360*S360</f>
        <v>11320.8</v>
      </c>
      <c r="AB360" s="296"/>
      <c r="AD360" s="296">
        <v>13</v>
      </c>
      <c r="AF360" s="296"/>
      <c r="AG360" s="274">
        <f>(AG359+C20)</f>
        <v>8798.18</v>
      </c>
    </row>
    <row r="361" spans="1:34" ht="18.75" customHeight="1">
      <c r="A361" s="363">
        <f t="shared" si="36"/>
        <v>196</v>
      </c>
      <c r="B361" s="365" t="s">
        <v>2212</v>
      </c>
      <c r="C361" s="405">
        <v>53.62</v>
      </c>
      <c r="D361" s="406" t="s">
        <v>971</v>
      </c>
      <c r="G361" s="252" t="s">
        <v>446</v>
      </c>
      <c r="H361" s="296" t="s">
        <v>447</v>
      </c>
      <c r="J361" s="296" t="s">
        <v>446</v>
      </c>
      <c r="K361" s="252">
        <v>0</v>
      </c>
      <c r="O361" s="358" t="s">
        <v>1579</v>
      </c>
      <c r="T361" s="252" t="s">
        <v>446</v>
      </c>
      <c r="U361" s="252" t="s">
        <v>447</v>
      </c>
      <c r="W361" s="253" t="s">
        <v>446</v>
      </c>
      <c r="X361" s="252">
        <v>0</v>
      </c>
      <c r="AB361" s="369">
        <v>27</v>
      </c>
      <c r="AC361" s="252" t="s">
        <v>2241</v>
      </c>
      <c r="AD361" s="296" t="s">
        <v>3501</v>
      </c>
      <c r="AF361" s="296"/>
    </row>
    <row r="362" spans="1:34" ht="18.75" customHeight="1">
      <c r="A362" s="363">
        <f t="shared" si="36"/>
        <v>197</v>
      </c>
      <c r="B362" s="365" t="s">
        <v>965</v>
      </c>
      <c r="C362" s="405"/>
      <c r="D362" s="283"/>
      <c r="K362" s="358" t="s">
        <v>1579</v>
      </c>
      <c r="M362" s="252">
        <v>0.22</v>
      </c>
      <c r="N362" s="296" t="s">
        <v>866</v>
      </c>
      <c r="O362" s="296" t="s">
        <v>1302</v>
      </c>
      <c r="P362" s="252">
        <f>(K40)</f>
        <v>4136.5</v>
      </c>
      <c r="Q362" s="296" t="s">
        <v>866</v>
      </c>
      <c r="R362" s="252">
        <f t="shared" ref="R362:R367" si="37">(M362*P362)</f>
        <v>910.03</v>
      </c>
      <c r="W362" s="253"/>
      <c r="X362" s="358" t="s">
        <v>1579</v>
      </c>
      <c r="AD362" s="296" t="str">
        <f>AD333</f>
        <v>Bricks of size 23x11.4x7.5 cm</v>
      </c>
      <c r="AF362" s="296"/>
    </row>
    <row r="363" spans="1:34" ht="18.75" customHeight="1">
      <c r="A363" s="363">
        <f t="shared" si="36"/>
        <v>198</v>
      </c>
      <c r="B363" s="365" t="s">
        <v>237</v>
      </c>
      <c r="C363" s="405">
        <v>26.16</v>
      </c>
      <c r="D363" s="406" t="s">
        <v>766</v>
      </c>
      <c r="H363" s="296" t="s">
        <v>611</v>
      </c>
      <c r="K363" s="252">
        <f>SUM(K355:K361)</f>
        <v>67157.320000000007</v>
      </c>
      <c r="M363" s="252">
        <v>2.2000000000000002</v>
      </c>
      <c r="N363" s="296" t="s">
        <v>865</v>
      </c>
      <c r="O363" s="296" t="s">
        <v>2000</v>
      </c>
      <c r="P363" s="252">
        <f>(C10)</f>
        <v>999</v>
      </c>
      <c r="Q363" s="296" t="s">
        <v>865</v>
      </c>
      <c r="R363" s="252">
        <f t="shared" si="37"/>
        <v>2197.8000000000002</v>
      </c>
      <c r="U363" s="252" t="s">
        <v>611</v>
      </c>
      <c r="W363" s="253"/>
      <c r="X363" s="252">
        <f>SUM(X355:X361)</f>
        <v>71671.94</v>
      </c>
      <c r="AD363" s="358" t="s">
        <v>1579</v>
      </c>
      <c r="AF363" s="296"/>
    </row>
    <row r="364" spans="1:34" ht="18.75" customHeight="1">
      <c r="A364" s="363">
        <f t="shared" si="36"/>
        <v>199</v>
      </c>
      <c r="B364" s="365" t="s">
        <v>238</v>
      </c>
      <c r="C364" s="405">
        <v>34.32</v>
      </c>
      <c r="D364" s="406" t="s">
        <v>766</v>
      </c>
      <c r="K364" s="358" t="s">
        <v>1579</v>
      </c>
      <c r="M364" s="252">
        <v>0.5</v>
      </c>
      <c r="N364" s="296" t="s">
        <v>865</v>
      </c>
      <c r="O364" s="296" t="s">
        <v>1893</v>
      </c>
      <c r="P364" s="252">
        <f>(C12)</f>
        <v>651</v>
      </c>
      <c r="Q364" s="296" t="s">
        <v>865</v>
      </c>
      <c r="R364" s="252">
        <f t="shared" si="37"/>
        <v>325.5</v>
      </c>
      <c r="W364" s="253"/>
      <c r="X364" s="358" t="s">
        <v>1579</v>
      </c>
      <c r="AB364" s="252">
        <v>4240</v>
      </c>
      <c r="AC364" s="252" t="s">
        <v>1420</v>
      </c>
      <c r="AD364" s="252" t="str">
        <f>AD309</f>
        <v>Bricks of size 23x11.4x7.5 cm</v>
      </c>
      <c r="AE364" s="252">
        <f>AC42</f>
        <v>7159.15</v>
      </c>
      <c r="AF364" s="296" t="s">
        <v>1587</v>
      </c>
      <c r="AG364" s="252">
        <f>(AB364*AE364)/1000</f>
        <v>30354.799999999999</v>
      </c>
    </row>
    <row r="365" spans="1:34" ht="18.75" customHeight="1">
      <c r="A365" s="363">
        <f t="shared" si="36"/>
        <v>200</v>
      </c>
      <c r="B365" s="365" t="s">
        <v>239</v>
      </c>
      <c r="C365" s="405">
        <v>40.33</v>
      </c>
      <c r="D365" s="406" t="s">
        <v>766</v>
      </c>
      <c r="H365" s="296" t="s">
        <v>770</v>
      </c>
      <c r="K365" s="252">
        <f>(K363/10)</f>
        <v>6715.73</v>
      </c>
      <c r="M365" s="252">
        <v>1.1000000000000001</v>
      </c>
      <c r="N365" s="296" t="s">
        <v>966</v>
      </c>
      <c r="O365" s="296" t="s">
        <v>967</v>
      </c>
      <c r="P365" s="252">
        <f>(C10)</f>
        <v>999</v>
      </c>
      <c r="Q365" s="296" t="s">
        <v>865</v>
      </c>
      <c r="R365" s="252">
        <f t="shared" si="37"/>
        <v>1098.9000000000001</v>
      </c>
      <c r="U365" s="252" t="s">
        <v>770</v>
      </c>
      <c r="W365" s="253"/>
      <c r="X365" s="252">
        <f>X363/10</f>
        <v>7167.19</v>
      </c>
      <c r="AB365" s="252">
        <v>2</v>
      </c>
      <c r="AC365" s="252" t="s">
        <v>866</v>
      </c>
      <c r="AD365" s="296" t="s">
        <v>1302</v>
      </c>
      <c r="AE365" s="252">
        <f>V356</f>
        <v>4136.5</v>
      </c>
      <c r="AF365" s="296" t="s">
        <v>866</v>
      </c>
      <c r="AG365" s="252">
        <f>(AB365*AE365)</f>
        <v>8273</v>
      </c>
    </row>
    <row r="366" spans="1:34" ht="18.75" customHeight="1">
      <c r="A366" s="363">
        <f t="shared" si="36"/>
        <v>201</v>
      </c>
      <c r="B366" s="365" t="s">
        <v>968</v>
      </c>
      <c r="C366" s="405"/>
      <c r="D366" s="406" t="s">
        <v>971</v>
      </c>
      <c r="K366" s="358" t="s">
        <v>2046</v>
      </c>
      <c r="M366" s="252">
        <v>3.2</v>
      </c>
      <c r="N366" s="296" t="s">
        <v>865</v>
      </c>
      <c r="O366" s="296" t="s">
        <v>317</v>
      </c>
      <c r="P366" s="252">
        <f>(C13)</f>
        <v>534</v>
      </c>
      <c r="Q366" s="296" t="s">
        <v>865</v>
      </c>
      <c r="R366" s="252">
        <f t="shared" si="37"/>
        <v>1708.8</v>
      </c>
      <c r="W366" s="253"/>
      <c r="X366" s="377" t="s">
        <v>1219</v>
      </c>
      <c r="AB366" s="252">
        <v>3.5</v>
      </c>
      <c r="AC366" s="252" t="s">
        <v>865</v>
      </c>
      <c r="AD366" s="296" t="s">
        <v>2000</v>
      </c>
      <c r="AE366" s="252">
        <f>V357</f>
        <v>999</v>
      </c>
      <c r="AF366" s="296" t="s">
        <v>865</v>
      </c>
      <c r="AG366" s="252">
        <f>(AB366*AE366)</f>
        <v>3496.5</v>
      </c>
    </row>
    <row r="367" spans="1:34" ht="18.75" customHeight="1">
      <c r="A367" s="363">
        <f t="shared" si="36"/>
        <v>202</v>
      </c>
      <c r="B367" s="365" t="s">
        <v>237</v>
      </c>
      <c r="C367" s="405">
        <v>20.329999999999998</v>
      </c>
      <c r="D367" s="406" t="s">
        <v>766</v>
      </c>
      <c r="H367" s="296" t="s">
        <v>383</v>
      </c>
      <c r="J367" s="296">
        <f>K367-K365</f>
        <v>78.900000000000006</v>
      </c>
      <c r="K367" s="252">
        <f>(K365+C19)</f>
        <v>6794.63</v>
      </c>
      <c r="M367" s="252">
        <v>9.8000000000000007</v>
      </c>
      <c r="N367" s="296" t="s">
        <v>1637</v>
      </c>
      <c r="O367" s="296" t="s">
        <v>1638</v>
      </c>
      <c r="P367" s="252">
        <f>(C148)</f>
        <v>145.19999999999999</v>
      </c>
      <c r="Q367" s="296" t="s">
        <v>1637</v>
      </c>
      <c r="R367" s="252">
        <f t="shared" si="37"/>
        <v>1422.96</v>
      </c>
      <c r="U367" s="252" t="s">
        <v>383</v>
      </c>
      <c r="W367" s="253"/>
      <c r="X367" s="252">
        <f>X365+C19</f>
        <v>7246.09</v>
      </c>
      <c r="Y367" s="252">
        <f>X365+X367+X368+X369+X370+X371</f>
        <v>44989.64</v>
      </c>
      <c r="Z367" s="252">
        <f>Y367/6</f>
        <v>7498.27</v>
      </c>
      <c r="AB367" s="252">
        <v>10.6</v>
      </c>
      <c r="AC367" s="252" t="s">
        <v>865</v>
      </c>
      <c r="AD367" s="296" t="s">
        <v>1704</v>
      </c>
      <c r="AE367" s="252">
        <f>V358</f>
        <v>932</v>
      </c>
      <c r="AF367" s="296" t="s">
        <v>865</v>
      </c>
      <c r="AG367" s="252">
        <f>(AB367*AE367)</f>
        <v>9879.2000000000007</v>
      </c>
    </row>
    <row r="368" spans="1:34" ht="18.75" customHeight="1">
      <c r="A368" s="363">
        <f t="shared" si="36"/>
        <v>203</v>
      </c>
      <c r="B368" s="365" t="s">
        <v>238</v>
      </c>
      <c r="C368" s="405">
        <v>26.6</v>
      </c>
      <c r="D368" s="406" t="s">
        <v>766</v>
      </c>
      <c r="H368" s="296" t="s">
        <v>385</v>
      </c>
      <c r="J368" s="296">
        <f>K368-K367</f>
        <v>159.19999999999999</v>
      </c>
      <c r="K368" s="252">
        <f>(K367+C20)</f>
        <v>6953.83</v>
      </c>
      <c r="L368" s="252">
        <f>(K367+K368)/2</f>
        <v>6874.23</v>
      </c>
      <c r="N368" s="296" t="s">
        <v>446</v>
      </c>
      <c r="O368" s="296" t="s">
        <v>447</v>
      </c>
      <c r="P368" s="296" t="s">
        <v>971</v>
      </c>
      <c r="Q368" s="296" t="s">
        <v>446</v>
      </c>
      <c r="R368" s="252">
        <v>0</v>
      </c>
      <c r="U368" s="252" t="s">
        <v>385</v>
      </c>
      <c r="W368" s="253"/>
      <c r="X368" s="252">
        <f>X367+C20</f>
        <v>7405.29</v>
      </c>
      <c r="Y368" s="252">
        <f>SUM(X367:X368)/2</f>
        <v>7325.69</v>
      </c>
      <c r="AB368" s="252">
        <v>7.1</v>
      </c>
      <c r="AC368" s="252" t="s">
        <v>865</v>
      </c>
      <c r="AD368" s="296" t="s">
        <v>1893</v>
      </c>
      <c r="AE368" s="252">
        <f>V359</f>
        <v>651</v>
      </c>
      <c r="AF368" s="296" t="s">
        <v>865</v>
      </c>
      <c r="AG368" s="252">
        <f>(AB368*AE368)</f>
        <v>4622.1000000000004</v>
      </c>
      <c r="AH368" s="252">
        <f>(AG377+AG376)/2</f>
        <v>6953.14</v>
      </c>
    </row>
    <row r="369" spans="1:34" ht="18.75" customHeight="1">
      <c r="A369" s="363">
        <f t="shared" si="36"/>
        <v>204</v>
      </c>
      <c r="B369" s="365" t="s">
        <v>239</v>
      </c>
      <c r="C369" s="405">
        <v>33.89</v>
      </c>
      <c r="D369" s="406" t="s">
        <v>766</v>
      </c>
      <c r="H369" s="296" t="s">
        <v>2222</v>
      </c>
      <c r="J369" s="296">
        <f>K369-K368</f>
        <v>159.19999999999999</v>
      </c>
      <c r="K369" s="252">
        <f>(K368+C21)</f>
        <v>7113.03</v>
      </c>
      <c r="L369" s="252">
        <f>SUM(K367:K369)/3</f>
        <v>6953.83</v>
      </c>
      <c r="R369" s="358" t="s">
        <v>1579</v>
      </c>
      <c r="U369" s="252" t="s">
        <v>2222</v>
      </c>
      <c r="W369" s="253"/>
      <c r="X369" s="252">
        <f>X368+C20</f>
        <v>7564.49</v>
      </c>
      <c r="Y369" s="252">
        <f>SUM(X367:X369)/3</f>
        <v>7405.29</v>
      </c>
      <c r="AB369" s="252">
        <v>21.2</v>
      </c>
      <c r="AC369" s="252" t="s">
        <v>865</v>
      </c>
      <c r="AD369" s="296" t="s">
        <v>317</v>
      </c>
      <c r="AE369" s="252">
        <f>V360</f>
        <v>534</v>
      </c>
      <c r="AF369" s="296" t="s">
        <v>865</v>
      </c>
      <c r="AG369" s="252">
        <f>(AB369*AE369)</f>
        <v>11320.8</v>
      </c>
      <c r="AH369" s="252">
        <f>SUM(AG376:AG378)/3</f>
        <v>7032.74</v>
      </c>
    </row>
    <row r="370" spans="1:34" ht="18.75" customHeight="1">
      <c r="A370" s="363">
        <f t="shared" si="36"/>
        <v>205</v>
      </c>
      <c r="B370" s="365" t="s">
        <v>969</v>
      </c>
      <c r="C370" s="405"/>
      <c r="D370" s="283"/>
      <c r="H370" s="296" t="s">
        <v>377</v>
      </c>
      <c r="J370" s="296">
        <f>K370-K369</f>
        <v>159.19999999999999</v>
      </c>
      <c r="K370" s="252">
        <f>K369+C21</f>
        <v>7272.23</v>
      </c>
      <c r="O370" s="296" t="s">
        <v>438</v>
      </c>
      <c r="R370" s="252">
        <f>SUM(R362:R368)</f>
        <v>7663.99</v>
      </c>
      <c r="U370" s="252" t="s">
        <v>377</v>
      </c>
      <c r="W370" s="253"/>
      <c r="X370" s="252">
        <f>X369+C20</f>
        <v>7723.69</v>
      </c>
      <c r="AC370" s="252" t="s">
        <v>446</v>
      </c>
      <c r="AD370" s="296" t="s">
        <v>447</v>
      </c>
      <c r="AF370" s="296" t="s">
        <v>446</v>
      </c>
      <c r="AG370" s="252">
        <v>0</v>
      </c>
    </row>
    <row r="371" spans="1:34" ht="18.75" customHeight="1">
      <c r="A371" s="363">
        <f t="shared" si="36"/>
        <v>206</v>
      </c>
      <c r="B371" s="365" t="s">
        <v>237</v>
      </c>
      <c r="C371" s="405">
        <v>13.29</v>
      </c>
      <c r="D371" s="406" t="s">
        <v>766</v>
      </c>
      <c r="H371" s="296" t="s">
        <v>485</v>
      </c>
      <c r="J371" s="296">
        <f>K371-K370</f>
        <v>159.19999999999999</v>
      </c>
      <c r="K371" s="252">
        <f>K370+C21</f>
        <v>7431.43</v>
      </c>
      <c r="R371" s="358" t="s">
        <v>1579</v>
      </c>
      <c r="U371" s="252" t="s">
        <v>485</v>
      </c>
      <c r="W371" s="253"/>
      <c r="X371" s="252">
        <f>X370+C20</f>
        <v>7882.89</v>
      </c>
      <c r="AF371" s="296"/>
      <c r="AG371" s="358" t="s">
        <v>1579</v>
      </c>
    </row>
    <row r="372" spans="1:34" ht="18.75" customHeight="1">
      <c r="A372" s="363">
        <f t="shared" si="36"/>
        <v>207</v>
      </c>
      <c r="B372" s="365" t="s">
        <v>238</v>
      </c>
      <c r="C372" s="405">
        <v>18.02</v>
      </c>
      <c r="D372" s="406" t="s">
        <v>766</v>
      </c>
      <c r="H372" s="296" t="s">
        <v>1823</v>
      </c>
      <c r="J372" s="296">
        <f>SUM(K367+K368+K369)/3</f>
        <v>6953.83</v>
      </c>
      <c r="K372" s="252">
        <f>(K367+K368+K369+K370)/4</f>
        <v>7033.43</v>
      </c>
      <c r="O372" s="296" t="s">
        <v>549</v>
      </c>
      <c r="R372" s="252">
        <f>(R370/10)</f>
        <v>766.4</v>
      </c>
      <c r="U372" s="252" t="s">
        <v>1823</v>
      </c>
      <c r="W372" s="253">
        <v>2171.31</v>
      </c>
      <c r="X372" s="252">
        <f>SUM(X367:X370)/4</f>
        <v>7484.89</v>
      </c>
      <c r="AD372" s="296" t="s">
        <v>611</v>
      </c>
      <c r="AF372" s="296"/>
      <c r="AG372" s="252">
        <f>SUM(AG364:AG370)</f>
        <v>67946.399999999994</v>
      </c>
    </row>
    <row r="373" spans="1:34" ht="18.75" customHeight="1">
      <c r="A373" s="363">
        <f t="shared" si="36"/>
        <v>208</v>
      </c>
      <c r="B373" s="365" t="s">
        <v>239</v>
      </c>
      <c r="C373" s="405">
        <v>23.17</v>
      </c>
      <c r="D373" s="406" t="s">
        <v>766</v>
      </c>
      <c r="R373" s="358" t="s">
        <v>2046</v>
      </c>
      <c r="W373" s="253"/>
      <c r="AF373" s="296"/>
      <c r="AG373" s="358" t="s">
        <v>1579</v>
      </c>
    </row>
    <row r="374" spans="1:34" ht="18.75" customHeight="1">
      <c r="A374" s="363">
        <f t="shared" si="36"/>
        <v>209</v>
      </c>
      <c r="B374" s="365" t="s">
        <v>1824</v>
      </c>
      <c r="C374" s="405"/>
      <c r="D374" s="406" t="s">
        <v>971</v>
      </c>
      <c r="H374" s="253" t="s">
        <v>1825</v>
      </c>
      <c r="N374" s="296" t="s">
        <v>2241</v>
      </c>
      <c r="O374" s="296" t="s">
        <v>1826</v>
      </c>
      <c r="U374" s="252" t="s">
        <v>1825</v>
      </c>
      <c r="W374" s="253"/>
      <c r="AD374" s="296" t="s">
        <v>770</v>
      </c>
      <c r="AF374" s="296"/>
      <c r="AG374" s="252">
        <f>(AG372/10)</f>
        <v>6794.64</v>
      </c>
    </row>
    <row r="375" spans="1:34" ht="18.75" customHeight="1">
      <c r="A375" s="363">
        <f t="shared" si="36"/>
        <v>210</v>
      </c>
      <c r="B375" s="365" t="s">
        <v>237</v>
      </c>
      <c r="C375" s="405">
        <v>9</v>
      </c>
      <c r="D375" s="406" t="s">
        <v>766</v>
      </c>
      <c r="H375" s="358" t="s">
        <v>1579</v>
      </c>
      <c r="O375" s="358" t="s">
        <v>1579</v>
      </c>
      <c r="U375" s="252" t="s">
        <v>1579</v>
      </c>
      <c r="W375" s="253"/>
      <c r="AF375" s="296"/>
      <c r="AG375" s="358" t="s">
        <v>2046</v>
      </c>
    </row>
    <row r="376" spans="1:34" ht="18.75" customHeight="1">
      <c r="A376" s="363">
        <f t="shared" si="36"/>
        <v>211</v>
      </c>
      <c r="B376" s="365" t="s">
        <v>238</v>
      </c>
      <c r="C376" s="405">
        <v>11.58</v>
      </c>
      <c r="D376" s="406" t="s">
        <v>766</v>
      </c>
      <c r="F376" s="369">
        <v>10</v>
      </c>
      <c r="G376" s="252" t="s">
        <v>2241</v>
      </c>
      <c r="H376" s="296" t="s">
        <v>2748</v>
      </c>
      <c r="M376" s="252">
        <v>0.05</v>
      </c>
      <c r="N376" s="296" t="s">
        <v>866</v>
      </c>
      <c r="O376" s="296" t="s">
        <v>1995</v>
      </c>
      <c r="P376" s="252">
        <f>(C84)</f>
        <v>1348</v>
      </c>
      <c r="Q376" s="296" t="s">
        <v>866</v>
      </c>
      <c r="R376" s="252">
        <f>(M376*P376)</f>
        <v>67.400000000000006</v>
      </c>
      <c r="S376" s="356">
        <v>10</v>
      </c>
      <c r="T376" s="252" t="s">
        <v>2241</v>
      </c>
      <c r="U376" s="252" t="s">
        <v>1411</v>
      </c>
      <c r="W376" s="253"/>
      <c r="AD376" s="296" t="s">
        <v>383</v>
      </c>
      <c r="AF376" s="296"/>
      <c r="AG376" s="252">
        <f>(AG374+C19)</f>
        <v>6873.54</v>
      </c>
    </row>
    <row r="377" spans="1:34" ht="18.75" customHeight="1">
      <c r="A377" s="363">
        <f t="shared" si="36"/>
        <v>212</v>
      </c>
      <c r="B377" s="365" t="s">
        <v>239</v>
      </c>
      <c r="C377" s="405">
        <v>14.15</v>
      </c>
      <c r="D377" s="406" t="s">
        <v>766</v>
      </c>
      <c r="H377" s="252" t="str">
        <f>H309</f>
        <v>Bricks of size 22x11x7 cm</v>
      </c>
      <c r="M377" s="252">
        <v>1.1000000000000001</v>
      </c>
      <c r="N377" s="296" t="s">
        <v>865</v>
      </c>
      <c r="O377" s="296" t="s">
        <v>1704</v>
      </c>
      <c r="P377" s="252">
        <f>(C11)</f>
        <v>932</v>
      </c>
      <c r="Q377" s="296" t="s">
        <v>865</v>
      </c>
      <c r="R377" s="252">
        <f>(M377*P377)</f>
        <v>1025.2</v>
      </c>
      <c r="U377" s="252" t="s">
        <v>424</v>
      </c>
      <c r="W377" s="253"/>
      <c r="AD377" s="296" t="s">
        <v>385</v>
      </c>
      <c r="AF377" s="296"/>
      <c r="AG377" s="252">
        <f>(AG376+C20)</f>
        <v>7032.74</v>
      </c>
    </row>
    <row r="378" spans="1:34" ht="18.75" customHeight="1">
      <c r="A378" s="363">
        <f t="shared" si="36"/>
        <v>213</v>
      </c>
      <c r="B378" s="365" t="s">
        <v>1827</v>
      </c>
      <c r="C378" s="405"/>
      <c r="D378" s="283"/>
      <c r="H378" s="358" t="s">
        <v>1579</v>
      </c>
      <c r="M378" s="252">
        <v>0.3</v>
      </c>
      <c r="N378" s="296" t="s">
        <v>865</v>
      </c>
      <c r="O378" s="296" t="s">
        <v>1893</v>
      </c>
      <c r="P378" s="252">
        <f>(C12)</f>
        <v>651</v>
      </c>
      <c r="Q378" s="296" t="s">
        <v>865</v>
      </c>
      <c r="R378" s="252">
        <f>(M378*P378)</f>
        <v>195.3</v>
      </c>
      <c r="U378" s="252" t="s">
        <v>1579</v>
      </c>
      <c r="W378" s="253"/>
      <c r="AD378" s="296" t="s">
        <v>2222</v>
      </c>
      <c r="AF378" s="296"/>
      <c r="AG378" s="252">
        <f>(AG377+C20)</f>
        <v>7191.94</v>
      </c>
    </row>
    <row r="379" spans="1:34" ht="18.75" customHeight="1">
      <c r="A379" s="363">
        <f t="shared" si="36"/>
        <v>214</v>
      </c>
      <c r="B379" s="365" t="s">
        <v>237</v>
      </c>
      <c r="C379" s="405">
        <v>4.29</v>
      </c>
      <c r="D379" s="406" t="s">
        <v>766</v>
      </c>
      <c r="F379" s="252">
        <f>F311</f>
        <v>4800</v>
      </c>
      <c r="G379" s="252" t="s">
        <v>1420</v>
      </c>
      <c r="H379" s="252" t="str">
        <f>H309</f>
        <v>Bricks of size 22x11x7 cm</v>
      </c>
      <c r="I379" s="252">
        <f>(C80)</f>
        <v>5728.64</v>
      </c>
      <c r="J379" s="296" t="s">
        <v>1587</v>
      </c>
      <c r="K379" s="252">
        <f>(F379*I379)/1000</f>
        <v>27497.47</v>
      </c>
      <c r="M379" s="252">
        <v>1.9</v>
      </c>
      <c r="N379" s="296" t="s">
        <v>865</v>
      </c>
      <c r="O379" s="296" t="s">
        <v>317</v>
      </c>
      <c r="P379" s="252">
        <f>(C13)</f>
        <v>534</v>
      </c>
      <c r="Q379" s="296" t="s">
        <v>865</v>
      </c>
      <c r="R379" s="252">
        <f>(M379*P379)</f>
        <v>1014.6</v>
      </c>
      <c r="S379" s="356">
        <v>4600</v>
      </c>
      <c r="T379" s="252" t="s">
        <v>1420</v>
      </c>
      <c r="U379" s="252" t="s">
        <v>424</v>
      </c>
      <c r="V379" s="252">
        <f>AC41</f>
        <v>6959.15</v>
      </c>
      <c r="W379" s="253" t="s">
        <v>1587</v>
      </c>
      <c r="X379" s="252">
        <f>S379*V379/1000</f>
        <v>32012.09</v>
      </c>
      <c r="AD379" s="296" t="s">
        <v>377</v>
      </c>
      <c r="AF379" s="296"/>
      <c r="AG379" s="252">
        <f>AG378+C20</f>
        <v>7351.14</v>
      </c>
    </row>
    <row r="380" spans="1:34" ht="18.75" customHeight="1">
      <c r="A380" s="363">
        <f t="shared" si="36"/>
        <v>215</v>
      </c>
      <c r="B380" s="365" t="s">
        <v>238</v>
      </c>
      <c r="C380" s="405">
        <v>6.01</v>
      </c>
      <c r="D380" s="406" t="s">
        <v>766</v>
      </c>
      <c r="F380" s="252">
        <v>1.59</v>
      </c>
      <c r="G380" s="252" t="s">
        <v>866</v>
      </c>
      <c r="H380" s="296" t="s">
        <v>1302</v>
      </c>
      <c r="I380" s="252">
        <f>(K40)</f>
        <v>4136.5</v>
      </c>
      <c r="J380" s="296" t="s">
        <v>866</v>
      </c>
      <c r="K380" s="252">
        <f>(F380*I380)</f>
        <v>6577.04</v>
      </c>
      <c r="N380" s="296" t="s">
        <v>446</v>
      </c>
      <c r="O380" s="296" t="s">
        <v>1828</v>
      </c>
      <c r="P380" s="296" t="s">
        <v>971</v>
      </c>
      <c r="Q380" s="296" t="s">
        <v>446</v>
      </c>
      <c r="R380" s="252">
        <v>1.46</v>
      </c>
      <c r="S380" s="356">
        <v>1.59</v>
      </c>
      <c r="T380" s="252" t="s">
        <v>866</v>
      </c>
      <c r="U380" s="252" t="s">
        <v>1302</v>
      </c>
      <c r="V380" s="252">
        <f>I380</f>
        <v>4136.5</v>
      </c>
      <c r="W380" s="253" t="s">
        <v>866</v>
      </c>
      <c r="X380" s="252">
        <f>V380*S380</f>
        <v>6577.04</v>
      </c>
      <c r="AD380" s="296" t="s">
        <v>485</v>
      </c>
      <c r="AF380" s="296"/>
      <c r="AG380" s="252">
        <f>AG379+C20</f>
        <v>7510.34</v>
      </c>
    </row>
    <row r="381" spans="1:34" ht="18.75" customHeight="1">
      <c r="A381" s="363">
        <f t="shared" si="36"/>
        <v>216</v>
      </c>
      <c r="B381" s="365" t="s">
        <v>239</v>
      </c>
      <c r="C381" s="405">
        <v>6.86</v>
      </c>
      <c r="D381" s="406" t="s">
        <v>766</v>
      </c>
      <c r="F381" s="252">
        <v>7</v>
      </c>
      <c r="G381" s="252" t="s">
        <v>865</v>
      </c>
      <c r="H381" s="296" t="s">
        <v>2000</v>
      </c>
      <c r="I381" s="252">
        <f>(C10)</f>
        <v>999</v>
      </c>
      <c r="J381" s="296" t="s">
        <v>865</v>
      </c>
      <c r="K381" s="252">
        <f>(F381*I381)</f>
        <v>6993</v>
      </c>
      <c r="R381" s="358" t="s">
        <v>1579</v>
      </c>
      <c r="S381" s="356">
        <v>7</v>
      </c>
      <c r="T381" s="252" t="s">
        <v>865</v>
      </c>
      <c r="U381" s="252" t="s">
        <v>2000</v>
      </c>
      <c r="V381" s="252">
        <f>I381</f>
        <v>999</v>
      </c>
      <c r="W381" s="253" t="s">
        <v>865</v>
      </c>
      <c r="X381" s="252">
        <f>V381*S381</f>
        <v>6993</v>
      </c>
      <c r="AD381" s="296" t="s">
        <v>1823</v>
      </c>
      <c r="AF381" s="296"/>
      <c r="AG381" s="252">
        <f>(AG376+AG377+AG378+AG379)/4</f>
        <v>7112.34</v>
      </c>
    </row>
    <row r="382" spans="1:34" ht="18.75" customHeight="1">
      <c r="A382" s="363">
        <f t="shared" si="36"/>
        <v>217</v>
      </c>
      <c r="B382" s="365" t="s">
        <v>1829</v>
      </c>
      <c r="C382" s="405"/>
      <c r="D382" s="406" t="s">
        <v>971</v>
      </c>
      <c r="F382" s="252">
        <v>7.1</v>
      </c>
      <c r="G382" s="252" t="s">
        <v>865</v>
      </c>
      <c r="H382" s="296" t="s">
        <v>1704</v>
      </c>
      <c r="I382" s="252">
        <f>(C11)</f>
        <v>932</v>
      </c>
      <c r="J382" s="296" t="s">
        <v>865</v>
      </c>
      <c r="K382" s="252">
        <f>(F382*I382)</f>
        <v>6617.2</v>
      </c>
      <c r="O382" s="296" t="s">
        <v>1830</v>
      </c>
      <c r="R382" s="252">
        <f>SUM(R375:R380)</f>
        <v>2303.96</v>
      </c>
      <c r="S382" s="356">
        <v>7.1</v>
      </c>
      <c r="T382" s="252" t="s">
        <v>865</v>
      </c>
      <c r="U382" s="252" t="s">
        <v>1704</v>
      </c>
      <c r="V382" s="252">
        <f>I382</f>
        <v>932</v>
      </c>
      <c r="W382" s="253" t="s">
        <v>865</v>
      </c>
      <c r="X382" s="252">
        <f>V382*S382</f>
        <v>6617.2</v>
      </c>
      <c r="AF382" s="296"/>
    </row>
    <row r="383" spans="1:34" ht="18.75" customHeight="1">
      <c r="A383" s="363">
        <f t="shared" si="36"/>
        <v>218</v>
      </c>
      <c r="B383" s="365" t="s">
        <v>237</v>
      </c>
      <c r="C383" s="405">
        <v>14.91</v>
      </c>
      <c r="D383" s="406" t="s">
        <v>766</v>
      </c>
      <c r="F383" s="252">
        <v>7.1</v>
      </c>
      <c r="G383" s="252" t="s">
        <v>865</v>
      </c>
      <c r="H383" s="296" t="s">
        <v>1893</v>
      </c>
      <c r="I383" s="252">
        <f>(C12)</f>
        <v>651</v>
      </c>
      <c r="J383" s="296" t="s">
        <v>865</v>
      </c>
      <c r="K383" s="252">
        <f>(F383*I383)</f>
        <v>4622.1000000000004</v>
      </c>
      <c r="R383" s="358" t="s">
        <v>1579</v>
      </c>
      <c r="S383" s="356">
        <v>7.1</v>
      </c>
      <c r="T383" s="252" t="s">
        <v>865</v>
      </c>
      <c r="U383" s="252" t="s">
        <v>1893</v>
      </c>
      <c r="V383" s="252">
        <f>I383</f>
        <v>651</v>
      </c>
      <c r="W383" s="253" t="s">
        <v>865</v>
      </c>
      <c r="X383" s="252">
        <f>V383*S383</f>
        <v>4622.1000000000004</v>
      </c>
      <c r="AD383" s="253" t="s">
        <v>1825</v>
      </c>
      <c r="AF383" s="296"/>
    </row>
    <row r="384" spans="1:34" ht="18.75" customHeight="1">
      <c r="A384" s="363">
        <f t="shared" si="36"/>
        <v>219</v>
      </c>
      <c r="B384" s="365" t="s">
        <v>238</v>
      </c>
      <c r="C384" s="405">
        <v>17.579999999999998</v>
      </c>
      <c r="D384" s="406" t="s">
        <v>766</v>
      </c>
      <c r="F384" s="252">
        <v>21.2</v>
      </c>
      <c r="G384" s="252" t="s">
        <v>865</v>
      </c>
      <c r="H384" s="296" t="s">
        <v>317</v>
      </c>
      <c r="I384" s="252">
        <f>(C13)</f>
        <v>534</v>
      </c>
      <c r="J384" s="296" t="s">
        <v>865</v>
      </c>
      <c r="K384" s="252">
        <f>(F384*I384)</f>
        <v>11320.8</v>
      </c>
      <c r="O384" s="296" t="s">
        <v>549</v>
      </c>
      <c r="R384" s="252">
        <f>(R382/100)</f>
        <v>23.04</v>
      </c>
      <c r="S384" s="356">
        <v>21.2</v>
      </c>
      <c r="T384" s="252" t="s">
        <v>865</v>
      </c>
      <c r="U384" s="252" t="s">
        <v>317</v>
      </c>
      <c r="V384" s="252">
        <f>I384</f>
        <v>534</v>
      </c>
      <c r="W384" s="253" t="s">
        <v>865</v>
      </c>
      <c r="X384" s="252">
        <f>V384*S384</f>
        <v>11320.8</v>
      </c>
      <c r="AD384" s="358" t="s">
        <v>1579</v>
      </c>
      <c r="AF384" s="296"/>
    </row>
    <row r="385" spans="1:45" ht="18.75" customHeight="1">
      <c r="A385" s="363">
        <f t="shared" si="36"/>
        <v>220</v>
      </c>
      <c r="B385" s="365" t="s">
        <v>239</v>
      </c>
      <c r="C385" s="405">
        <v>19.3</v>
      </c>
      <c r="D385" s="406" t="s">
        <v>766</v>
      </c>
      <c r="G385" s="252" t="s">
        <v>446</v>
      </c>
      <c r="H385" s="296" t="s">
        <v>447</v>
      </c>
      <c r="I385" s="296" t="s">
        <v>971</v>
      </c>
      <c r="J385" s="296" t="s">
        <v>446</v>
      </c>
      <c r="K385" s="252">
        <v>0</v>
      </c>
      <c r="R385" s="358" t="s">
        <v>2046</v>
      </c>
      <c r="T385" s="252" t="s">
        <v>446</v>
      </c>
      <c r="U385" s="252" t="s">
        <v>447</v>
      </c>
      <c r="V385" s="252" t="s">
        <v>971</v>
      </c>
      <c r="W385" s="253" t="s">
        <v>446</v>
      </c>
      <c r="X385" s="252">
        <v>0</v>
      </c>
      <c r="AB385" s="369">
        <v>10</v>
      </c>
      <c r="AC385" s="252" t="s">
        <v>2241</v>
      </c>
      <c r="AD385" s="296" t="s">
        <v>811</v>
      </c>
      <c r="AF385" s="296"/>
      <c r="AN385" s="369"/>
      <c r="AO385" s="252" t="s">
        <v>2241</v>
      </c>
      <c r="AP385" s="296" t="s">
        <v>4681</v>
      </c>
      <c r="AR385" s="296"/>
    </row>
    <row r="386" spans="1:45" ht="18.75" customHeight="1">
      <c r="A386" s="363">
        <f t="shared" si="36"/>
        <v>221</v>
      </c>
      <c r="B386" s="365" t="s">
        <v>1109</v>
      </c>
      <c r="C386" s="405"/>
      <c r="D386" s="283"/>
      <c r="K386" s="358" t="s">
        <v>1579</v>
      </c>
      <c r="W386" s="253"/>
      <c r="X386" s="377" t="s">
        <v>426</v>
      </c>
      <c r="AD386" s="252" t="str">
        <f>AD309</f>
        <v>Bricks of size 23x11.4x7.5 cm</v>
      </c>
      <c r="AF386" s="296"/>
      <c r="AR386" s="296"/>
    </row>
    <row r="387" spans="1:45" ht="18.75" customHeight="1">
      <c r="A387" s="363">
        <f t="shared" si="36"/>
        <v>222</v>
      </c>
      <c r="B387" s="365" t="s">
        <v>237</v>
      </c>
      <c r="C387" s="405">
        <v>15.87</v>
      </c>
      <c r="D387" s="406" t="s">
        <v>766</v>
      </c>
      <c r="H387" s="296" t="s">
        <v>611</v>
      </c>
      <c r="K387" s="252">
        <f>SUM(K379:K385)</f>
        <v>63627.61</v>
      </c>
      <c r="U387" s="252" t="s">
        <v>611</v>
      </c>
      <c r="W387" s="253"/>
      <c r="X387" s="252">
        <f>SUM(X379:X386)</f>
        <v>68142.23</v>
      </c>
      <c r="AD387" s="358" t="s">
        <v>1579</v>
      </c>
      <c r="AF387" s="296"/>
      <c r="AP387" s="358" t="s">
        <v>1579</v>
      </c>
      <c r="AR387" s="296"/>
    </row>
    <row r="388" spans="1:45" ht="18.75" customHeight="1">
      <c r="A388" s="363">
        <f t="shared" si="36"/>
        <v>223</v>
      </c>
      <c r="B388" s="365" t="s">
        <v>238</v>
      </c>
      <c r="C388" s="405">
        <v>20.16</v>
      </c>
      <c r="D388" s="406" t="s">
        <v>766</v>
      </c>
      <c r="K388" s="358" t="s">
        <v>1579</v>
      </c>
      <c r="N388" s="296" t="s">
        <v>672</v>
      </c>
      <c r="O388" s="296" t="s">
        <v>1110</v>
      </c>
      <c r="W388" s="253"/>
      <c r="X388" s="377" t="s">
        <v>426</v>
      </c>
      <c r="AB388" s="252">
        <f>AB311</f>
        <v>4240</v>
      </c>
      <c r="AC388" s="252" t="s">
        <v>1420</v>
      </c>
      <c r="AD388" s="252" t="str">
        <f>AD309</f>
        <v>Bricks of size 23x11.4x7.5 cm</v>
      </c>
      <c r="AE388" s="252">
        <f>AC42</f>
        <v>7159.15</v>
      </c>
      <c r="AF388" s="296" t="s">
        <v>1587</v>
      </c>
      <c r="AG388" s="252">
        <f>(AB388*AE388)/1000</f>
        <v>30354.799999999999</v>
      </c>
      <c r="AN388" s="252">
        <v>91</v>
      </c>
      <c r="AO388" s="252" t="s">
        <v>1420</v>
      </c>
      <c r="AP388" s="268" t="s">
        <v>4682</v>
      </c>
      <c r="AQ388" s="362">
        <v>45.35</v>
      </c>
      <c r="AR388" s="296" t="s">
        <v>1393</v>
      </c>
      <c r="AS388" s="252">
        <f>(AN388*AQ388)</f>
        <v>4126.8500000000004</v>
      </c>
    </row>
    <row r="389" spans="1:45" ht="18.75" customHeight="1">
      <c r="A389" s="363">
        <f t="shared" si="36"/>
        <v>224</v>
      </c>
      <c r="B389" s="365" t="s">
        <v>239</v>
      </c>
      <c r="C389" s="405">
        <v>22.31</v>
      </c>
      <c r="D389" s="406" t="s">
        <v>766</v>
      </c>
      <c r="H389" s="296" t="s">
        <v>770</v>
      </c>
      <c r="K389" s="252">
        <f>(K387/10)</f>
        <v>6362.76</v>
      </c>
      <c r="O389" s="358" t="s">
        <v>1579</v>
      </c>
      <c r="U389" s="252" t="s">
        <v>770</v>
      </c>
      <c r="W389" s="253"/>
      <c r="X389" s="252">
        <f>X387/10</f>
        <v>6814.22</v>
      </c>
      <c r="AB389" s="252">
        <v>1.27</v>
      </c>
      <c r="AC389" s="252" t="s">
        <v>866</v>
      </c>
      <c r="AD389" s="296" t="s">
        <v>1302</v>
      </c>
      <c r="AE389" s="252">
        <f>V380</f>
        <v>4136.5</v>
      </c>
      <c r="AF389" s="296" t="s">
        <v>866</v>
      </c>
      <c r="AG389" s="252">
        <f>(AB389*AE389)</f>
        <v>5253.36</v>
      </c>
      <c r="AN389" s="252">
        <v>0.11</v>
      </c>
      <c r="AO389" s="252" t="s">
        <v>866</v>
      </c>
      <c r="AP389" s="296" t="s">
        <v>1302</v>
      </c>
      <c r="AQ389" s="252">
        <f>AE389</f>
        <v>4136.5</v>
      </c>
      <c r="AR389" s="296" t="s">
        <v>866</v>
      </c>
      <c r="AS389" s="252">
        <f>(AN389*AQ389)</f>
        <v>455.02</v>
      </c>
    </row>
    <row r="390" spans="1:45" ht="18.75" customHeight="1">
      <c r="A390" s="363">
        <f t="shared" si="36"/>
        <v>225</v>
      </c>
      <c r="B390" s="365" t="s">
        <v>2217</v>
      </c>
      <c r="C390" s="404"/>
      <c r="D390" s="403" t="s">
        <v>971</v>
      </c>
      <c r="K390" s="358" t="s">
        <v>2046</v>
      </c>
      <c r="M390" s="252">
        <v>7.0000000000000007E-2</v>
      </c>
      <c r="N390" s="296" t="s">
        <v>866</v>
      </c>
      <c r="O390" s="296" t="s">
        <v>1995</v>
      </c>
      <c r="P390" s="252">
        <f>(C84)</f>
        <v>1348</v>
      </c>
      <c r="Q390" s="296" t="s">
        <v>866</v>
      </c>
      <c r="R390" s="252">
        <f>(M390*P390)</f>
        <v>94.36</v>
      </c>
      <c r="W390" s="253"/>
      <c r="X390" s="377" t="s">
        <v>32</v>
      </c>
      <c r="AB390" s="252">
        <v>7</v>
      </c>
      <c r="AC390" s="252" t="s">
        <v>865</v>
      </c>
      <c r="AD390" s="296" t="s">
        <v>2000</v>
      </c>
      <c r="AE390" s="252">
        <f>V381</f>
        <v>999</v>
      </c>
      <c r="AF390" s="296" t="s">
        <v>865</v>
      </c>
      <c r="AG390" s="252">
        <f>(AB390*AE390)</f>
        <v>6993</v>
      </c>
      <c r="AN390" s="252">
        <v>1.25</v>
      </c>
      <c r="AO390" s="252" t="s">
        <v>865</v>
      </c>
      <c r="AP390" s="296" t="s">
        <v>2000</v>
      </c>
      <c r="AQ390" s="252">
        <f>AE390</f>
        <v>999</v>
      </c>
      <c r="AR390" s="296" t="s">
        <v>865</v>
      </c>
      <c r="AS390" s="252">
        <f>(AN390*AQ390)</f>
        <v>1248.75</v>
      </c>
    </row>
    <row r="391" spans="1:45" ht="18.75" customHeight="1">
      <c r="A391" s="363">
        <f t="shared" si="36"/>
        <v>226</v>
      </c>
      <c r="B391" s="296" t="s">
        <v>4860</v>
      </c>
      <c r="C391" s="362">
        <v>69.8</v>
      </c>
      <c r="D391" s="365" t="s">
        <v>1763</v>
      </c>
      <c r="M391" s="252">
        <v>1.6</v>
      </c>
      <c r="N391" s="296" t="s">
        <v>865</v>
      </c>
      <c r="O391" s="296" t="s">
        <v>1704</v>
      </c>
      <c r="P391" s="252">
        <f>(C11)</f>
        <v>932</v>
      </c>
      <c r="Q391" s="296" t="s">
        <v>865</v>
      </c>
      <c r="R391" s="252">
        <f>(M391*P391)</f>
        <v>1491.2</v>
      </c>
      <c r="W391" s="253"/>
      <c r="AB391" s="252">
        <v>7.1</v>
      </c>
      <c r="AC391" s="252" t="s">
        <v>865</v>
      </c>
      <c r="AD391" s="296" t="s">
        <v>1704</v>
      </c>
      <c r="AE391" s="252">
        <f>V382</f>
        <v>932</v>
      </c>
      <c r="AF391" s="296" t="s">
        <v>865</v>
      </c>
      <c r="AG391" s="252">
        <f>(AB391*AE391)</f>
        <v>6617.2</v>
      </c>
      <c r="AP391" s="296"/>
      <c r="AR391" s="296"/>
    </row>
    <row r="392" spans="1:45" ht="18.75" customHeight="1">
      <c r="A392" s="363">
        <f t="shared" si="36"/>
        <v>227</v>
      </c>
      <c r="B392" s="365" t="s">
        <v>1112</v>
      </c>
      <c r="C392" s="362">
        <v>98.6</v>
      </c>
      <c r="D392" s="365" t="s">
        <v>1763</v>
      </c>
      <c r="G392" s="252" t="s">
        <v>672</v>
      </c>
      <c r="H392" s="296" t="s">
        <v>2898</v>
      </c>
      <c r="M392" s="252">
        <v>0.5</v>
      </c>
      <c r="N392" s="296" t="s">
        <v>865</v>
      </c>
      <c r="O392" s="296" t="s">
        <v>1893</v>
      </c>
      <c r="P392" s="252">
        <f>(C12)</f>
        <v>651</v>
      </c>
      <c r="Q392" s="296" t="s">
        <v>865</v>
      </c>
      <c r="R392" s="252">
        <f>(M392*P392)</f>
        <v>325.5</v>
      </c>
      <c r="T392" s="252" t="s">
        <v>672</v>
      </c>
      <c r="U392" s="252" t="s">
        <v>427</v>
      </c>
      <c r="W392" s="253"/>
      <c r="AB392" s="252">
        <v>7.1</v>
      </c>
      <c r="AC392" s="252" t="s">
        <v>865</v>
      </c>
      <c r="AD392" s="296" t="s">
        <v>1893</v>
      </c>
      <c r="AE392" s="252">
        <f>V383</f>
        <v>651</v>
      </c>
      <c r="AF392" s="296" t="s">
        <v>865</v>
      </c>
      <c r="AG392" s="252">
        <f>(AB392*AE392)</f>
        <v>4622.1000000000004</v>
      </c>
      <c r="AN392" s="252">
        <v>0.88</v>
      </c>
      <c r="AO392" s="252" t="s">
        <v>865</v>
      </c>
      <c r="AP392" s="296" t="s">
        <v>1893</v>
      </c>
      <c r="AQ392" s="252">
        <f>AE392</f>
        <v>651</v>
      </c>
      <c r="AR392" s="296" t="s">
        <v>865</v>
      </c>
      <c r="AS392" s="252">
        <f>(AN392*AQ392)</f>
        <v>572.88</v>
      </c>
    </row>
    <row r="393" spans="1:45" ht="18.75" customHeight="1">
      <c r="A393" s="363">
        <f t="shared" si="36"/>
        <v>228</v>
      </c>
      <c r="B393" s="365" t="s">
        <v>1113</v>
      </c>
      <c r="C393" s="362">
        <v>128</v>
      </c>
      <c r="D393" s="365" t="s">
        <v>1763</v>
      </c>
      <c r="H393" s="358" t="s">
        <v>1579</v>
      </c>
      <c r="M393" s="252">
        <v>2.7</v>
      </c>
      <c r="N393" s="296" t="s">
        <v>865</v>
      </c>
      <c r="O393" s="296" t="s">
        <v>317</v>
      </c>
      <c r="P393" s="252">
        <f>(C13)</f>
        <v>534</v>
      </c>
      <c r="Q393" s="296" t="s">
        <v>865</v>
      </c>
      <c r="R393" s="252">
        <f>(M393*P393)</f>
        <v>1441.8</v>
      </c>
      <c r="U393" s="252" t="s">
        <v>1579</v>
      </c>
      <c r="W393" s="253"/>
      <c r="AB393" s="252">
        <v>21.2</v>
      </c>
      <c r="AC393" s="252" t="s">
        <v>865</v>
      </c>
      <c r="AD393" s="296" t="s">
        <v>317</v>
      </c>
      <c r="AE393" s="252">
        <f>V384</f>
        <v>534</v>
      </c>
      <c r="AF393" s="296" t="s">
        <v>865</v>
      </c>
      <c r="AG393" s="252">
        <f>(AB393*AE393)</f>
        <v>11320.8</v>
      </c>
      <c r="AN393" s="252">
        <v>0.88</v>
      </c>
      <c r="AO393" s="252" t="s">
        <v>865</v>
      </c>
      <c r="AP393" s="296" t="s">
        <v>317</v>
      </c>
      <c r="AQ393" s="252">
        <f>AE393</f>
        <v>534</v>
      </c>
      <c r="AR393" s="296" t="s">
        <v>865</v>
      </c>
      <c r="AS393" s="252">
        <f>(AN393*AQ393)</f>
        <v>469.92</v>
      </c>
    </row>
    <row r="394" spans="1:45" ht="18.75" customHeight="1">
      <c r="A394" s="363">
        <f t="shared" si="36"/>
        <v>229</v>
      </c>
      <c r="B394" s="365" t="s">
        <v>1114</v>
      </c>
      <c r="C394" s="362">
        <v>151.4</v>
      </c>
      <c r="D394" s="365" t="s">
        <v>1763</v>
      </c>
      <c r="F394" s="252">
        <v>1.1000000000000001</v>
      </c>
      <c r="G394" s="252" t="s">
        <v>866</v>
      </c>
      <c r="H394" s="296" t="s">
        <v>1115</v>
      </c>
      <c r="I394" s="252">
        <f>(K389)</f>
        <v>6362.76</v>
      </c>
      <c r="J394" s="296" t="s">
        <v>866</v>
      </c>
      <c r="K394" s="252">
        <f>(F394*I394)</f>
        <v>6999.04</v>
      </c>
      <c r="N394" s="296" t="s">
        <v>446</v>
      </c>
      <c r="O394" s="296" t="s">
        <v>1828</v>
      </c>
      <c r="P394" s="296" t="s">
        <v>971</v>
      </c>
      <c r="Q394" s="296" t="s">
        <v>446</v>
      </c>
      <c r="R394" s="252">
        <v>2.09</v>
      </c>
      <c r="S394" s="356">
        <v>1.1200000000000001</v>
      </c>
      <c r="T394" s="252" t="s">
        <v>866</v>
      </c>
      <c r="U394" s="252" t="s">
        <v>1115</v>
      </c>
      <c r="V394" s="252">
        <f>X389</f>
        <v>6814.22</v>
      </c>
      <c r="W394" s="253" t="s">
        <v>866</v>
      </c>
      <c r="X394" s="252">
        <f>V394*S394</f>
        <v>7631.93</v>
      </c>
      <c r="AC394" s="252" t="s">
        <v>446</v>
      </c>
      <c r="AD394" s="296" t="s">
        <v>447</v>
      </c>
      <c r="AE394" s="296" t="s">
        <v>971</v>
      </c>
      <c r="AF394" s="296" t="s">
        <v>446</v>
      </c>
      <c r="AG394" s="252">
        <v>0</v>
      </c>
      <c r="AO394" s="252" t="s">
        <v>446</v>
      </c>
      <c r="AP394" s="296" t="s">
        <v>447</v>
      </c>
      <c r="AQ394" s="296" t="s">
        <v>971</v>
      </c>
      <c r="AR394" s="296" t="s">
        <v>446</v>
      </c>
      <c r="AS394" s="252">
        <v>0</v>
      </c>
    </row>
    <row r="395" spans="1:45" ht="18.75" customHeight="1">
      <c r="A395" s="363">
        <f t="shared" si="36"/>
        <v>230</v>
      </c>
      <c r="B395" s="365" t="s">
        <v>1116</v>
      </c>
      <c r="C395" s="362">
        <v>163</v>
      </c>
      <c r="D395" s="365" t="s">
        <v>1763</v>
      </c>
      <c r="F395" s="252">
        <v>1</v>
      </c>
      <c r="G395" s="252" t="s">
        <v>766</v>
      </c>
      <c r="H395" s="296" t="s">
        <v>2000</v>
      </c>
      <c r="I395" s="252">
        <f>(C10)</f>
        <v>999</v>
      </c>
      <c r="J395" s="296" t="s">
        <v>865</v>
      </c>
      <c r="K395" s="252">
        <f>(F395*I395)</f>
        <v>999</v>
      </c>
      <c r="R395" s="358" t="s">
        <v>1579</v>
      </c>
      <c r="S395" s="356">
        <v>1</v>
      </c>
      <c r="T395" s="252" t="s">
        <v>766</v>
      </c>
      <c r="U395" s="252" t="s">
        <v>2000</v>
      </c>
      <c r="V395" s="252">
        <f>I395</f>
        <v>999</v>
      </c>
      <c r="W395" s="253" t="s">
        <v>865</v>
      </c>
      <c r="X395" s="252">
        <f>V395*S395</f>
        <v>999</v>
      </c>
      <c r="AF395" s="296"/>
      <c r="AG395" s="358" t="s">
        <v>1579</v>
      </c>
      <c r="AR395" s="296"/>
      <c r="AS395" s="358" t="s">
        <v>1579</v>
      </c>
    </row>
    <row r="396" spans="1:45" ht="18.75" customHeight="1">
      <c r="A396" s="363">
        <f t="shared" si="36"/>
        <v>231</v>
      </c>
      <c r="B396" s="365" t="s">
        <v>237</v>
      </c>
      <c r="C396" s="362">
        <v>209</v>
      </c>
      <c r="D396" s="365" t="s">
        <v>1763</v>
      </c>
      <c r="G396" s="252" t="s">
        <v>446</v>
      </c>
      <c r="H396" s="296" t="s">
        <v>447</v>
      </c>
      <c r="I396" s="296" t="s">
        <v>971</v>
      </c>
      <c r="J396" s="296" t="s">
        <v>446</v>
      </c>
      <c r="K396" s="252">
        <v>0</v>
      </c>
      <c r="O396" s="296" t="s">
        <v>1830</v>
      </c>
      <c r="R396" s="252">
        <f>SUM(R389:R394)</f>
        <v>3354.95</v>
      </c>
      <c r="T396" s="252" t="s">
        <v>446</v>
      </c>
      <c r="U396" s="252" t="s">
        <v>447</v>
      </c>
      <c r="V396" s="252" t="s">
        <v>971</v>
      </c>
      <c r="W396" s="253" t="s">
        <v>446</v>
      </c>
      <c r="X396" s="252">
        <v>0</v>
      </c>
      <c r="AD396" s="296" t="s">
        <v>611</v>
      </c>
      <c r="AF396" s="296"/>
      <c r="AG396" s="252">
        <f>SUM(AG388:AG394)</f>
        <v>65161.26</v>
      </c>
      <c r="AP396" s="296" t="s">
        <v>4683</v>
      </c>
      <c r="AR396" s="296"/>
      <c r="AS396" s="252">
        <f>SUM(AS388:AS394)</f>
        <v>6873.42</v>
      </c>
    </row>
    <row r="397" spans="1:45" ht="18.75" customHeight="1">
      <c r="A397" s="363">
        <f t="shared" si="36"/>
        <v>232</v>
      </c>
      <c r="B397" s="365" t="s">
        <v>4012</v>
      </c>
      <c r="C397" s="362">
        <v>244.4</v>
      </c>
      <c r="D397" s="365" t="s">
        <v>1763</v>
      </c>
      <c r="K397" s="358" t="s">
        <v>1579</v>
      </c>
      <c r="R397" s="358" t="s">
        <v>1579</v>
      </c>
      <c r="W397" s="253"/>
      <c r="X397" s="377" t="s">
        <v>426</v>
      </c>
      <c r="AF397" s="296"/>
      <c r="AG397" s="358" t="s">
        <v>1579</v>
      </c>
      <c r="AR397" s="296"/>
      <c r="AS397" s="358" t="s">
        <v>1579</v>
      </c>
    </row>
    <row r="398" spans="1:45" ht="18.75" customHeight="1">
      <c r="A398" s="363">
        <f t="shared" si="36"/>
        <v>233</v>
      </c>
      <c r="B398" s="296" t="s">
        <v>4861</v>
      </c>
      <c r="C398" s="364"/>
      <c r="D398" s="364"/>
      <c r="H398" s="296" t="s">
        <v>438</v>
      </c>
      <c r="K398" s="252">
        <f>SUM(K394:K396)</f>
        <v>7998.04</v>
      </c>
      <c r="O398" s="296" t="s">
        <v>549</v>
      </c>
      <c r="R398" s="252">
        <f>(R396/100)</f>
        <v>33.549999999999997</v>
      </c>
      <c r="U398" s="252" t="s">
        <v>438</v>
      </c>
      <c r="W398" s="253"/>
      <c r="X398" s="252">
        <f>SUM(X394:X396)</f>
        <v>8630.93</v>
      </c>
      <c r="AD398" s="296" t="s">
        <v>770</v>
      </c>
      <c r="AF398" s="296"/>
      <c r="AG398" s="252">
        <f>(AG396/10)</f>
        <v>6516.13</v>
      </c>
      <c r="AP398" s="296" t="s">
        <v>549</v>
      </c>
      <c r="AR398" s="296"/>
      <c r="AS398" s="252">
        <f>(AS396/10.71)</f>
        <v>641.78</v>
      </c>
    </row>
    <row r="399" spans="1:45" ht="18.75" customHeight="1">
      <c r="A399" s="363">
        <f t="shared" si="36"/>
        <v>234</v>
      </c>
      <c r="B399" s="365" t="s">
        <v>1111</v>
      </c>
      <c r="C399" s="362">
        <v>13.6</v>
      </c>
      <c r="D399" s="365" t="s">
        <v>865</v>
      </c>
      <c r="K399" s="358" t="s">
        <v>1579</v>
      </c>
      <c r="R399" s="358" t="s">
        <v>2046</v>
      </c>
      <c r="W399" s="253"/>
      <c r="X399" s="377" t="s">
        <v>426</v>
      </c>
      <c r="AF399" s="296"/>
      <c r="AG399" s="358" t="s">
        <v>2046</v>
      </c>
      <c r="AR399" s="296"/>
      <c r="AS399" s="358" t="s">
        <v>2046</v>
      </c>
    </row>
    <row r="400" spans="1:45" ht="18.75" customHeight="1">
      <c r="A400" s="363">
        <f t="shared" si="36"/>
        <v>235</v>
      </c>
      <c r="B400" s="365" t="s">
        <v>1112</v>
      </c>
      <c r="C400" s="362">
        <v>23.2</v>
      </c>
      <c r="D400" s="365" t="s">
        <v>865</v>
      </c>
      <c r="H400" s="296" t="s">
        <v>549</v>
      </c>
      <c r="K400" s="274">
        <f>(K398/10)</f>
        <v>799.8</v>
      </c>
      <c r="N400" s="296" t="s">
        <v>672</v>
      </c>
      <c r="O400" s="296" t="s">
        <v>346</v>
      </c>
      <c r="U400" s="252" t="s">
        <v>549</v>
      </c>
      <c r="W400" s="253"/>
      <c r="X400" s="252">
        <f>X398/10</f>
        <v>863.09</v>
      </c>
      <c r="AF400" s="296"/>
      <c r="AP400" s="296" t="s">
        <v>383</v>
      </c>
      <c r="AR400" s="296">
        <f>AF411</f>
        <v>8.99</v>
      </c>
      <c r="AS400" s="274">
        <f>AS398+AR400</f>
        <v>650.77</v>
      </c>
    </row>
    <row r="401" spans="1:45" ht="18.75" customHeight="1">
      <c r="A401" s="363">
        <f t="shared" si="36"/>
        <v>236</v>
      </c>
      <c r="B401" s="365" t="s">
        <v>1113</v>
      </c>
      <c r="C401" s="362">
        <v>52</v>
      </c>
      <c r="D401" s="365" t="s">
        <v>865</v>
      </c>
      <c r="K401" s="358" t="s">
        <v>2046</v>
      </c>
      <c r="O401" s="358" t="s">
        <v>1579</v>
      </c>
      <c r="W401" s="253"/>
      <c r="X401" s="377" t="s">
        <v>32</v>
      </c>
      <c r="AC401" s="252" t="s">
        <v>672</v>
      </c>
      <c r="AD401" s="296" t="s">
        <v>3179</v>
      </c>
      <c r="AF401" s="296"/>
      <c r="AP401" s="296" t="s">
        <v>385</v>
      </c>
      <c r="AR401" s="296">
        <f>AF412</f>
        <v>18.149999999999999</v>
      </c>
      <c r="AS401" s="274">
        <f t="shared" ref="AS401:AS406" si="38">AS400+AR401</f>
        <v>668.92</v>
      </c>
    </row>
    <row r="402" spans="1:45" ht="18.75" customHeight="1">
      <c r="A402" s="363">
        <f t="shared" si="36"/>
        <v>237</v>
      </c>
      <c r="B402" s="365" t="s">
        <v>1114</v>
      </c>
      <c r="C402" s="362">
        <v>69.8</v>
      </c>
      <c r="D402" s="365" t="s">
        <v>865</v>
      </c>
      <c r="H402" s="296" t="s">
        <v>383</v>
      </c>
      <c r="J402" s="296">
        <f>K402-K400</f>
        <v>8.68</v>
      </c>
      <c r="K402" s="274">
        <f>(K400+C19/10*F394)</f>
        <v>808.48</v>
      </c>
      <c r="M402" s="252">
        <v>10</v>
      </c>
      <c r="N402" s="296" t="s">
        <v>606</v>
      </c>
      <c r="O402" s="296" t="s">
        <v>1110</v>
      </c>
      <c r="P402" s="252">
        <f>(R398)</f>
        <v>33.549999999999997</v>
      </c>
      <c r="Q402" s="296" t="s">
        <v>606</v>
      </c>
      <c r="R402" s="252">
        <f>(M402*P402)</f>
        <v>335.5</v>
      </c>
      <c r="U402" s="274" t="s">
        <v>383</v>
      </c>
      <c r="W402" s="253">
        <f>0.112*C19</f>
        <v>8.84</v>
      </c>
      <c r="X402" s="274">
        <f>X400+W402</f>
        <v>871.93</v>
      </c>
      <c r="AD402" s="358" t="s">
        <v>1579</v>
      </c>
      <c r="AF402" s="296"/>
      <c r="AP402" s="296" t="s">
        <v>2222</v>
      </c>
      <c r="AR402" s="296">
        <f>AR401</f>
        <v>18.149999999999999</v>
      </c>
      <c r="AS402" s="274">
        <f t="shared" si="38"/>
        <v>687.07</v>
      </c>
    </row>
    <row r="403" spans="1:45" ht="18.75" customHeight="1">
      <c r="A403" s="363">
        <f t="shared" si="36"/>
        <v>238</v>
      </c>
      <c r="B403" s="365" t="s">
        <v>1116</v>
      </c>
      <c r="C403" s="362">
        <v>87</v>
      </c>
      <c r="D403" s="365" t="s">
        <v>865</v>
      </c>
      <c r="H403" s="296" t="s">
        <v>385</v>
      </c>
      <c r="J403" s="296">
        <f>K403-K402</f>
        <v>17.510000000000002</v>
      </c>
      <c r="K403" s="274">
        <f>(K402+C20/10*F394)</f>
        <v>825.99</v>
      </c>
      <c r="M403" s="252">
        <v>10</v>
      </c>
      <c r="N403" s="296" t="s">
        <v>606</v>
      </c>
      <c r="O403" s="296" t="s">
        <v>1522</v>
      </c>
      <c r="P403" s="252">
        <f>(R398/2)</f>
        <v>16.78</v>
      </c>
      <c r="Q403" s="296" t="s">
        <v>606</v>
      </c>
      <c r="R403" s="252">
        <f>(M403*P403)</f>
        <v>167.8</v>
      </c>
      <c r="U403" s="274" t="s">
        <v>385</v>
      </c>
      <c r="W403" s="253">
        <f>0.112*C20</f>
        <v>17.829999999999998</v>
      </c>
      <c r="X403" s="274">
        <f>X402+W403</f>
        <v>889.76</v>
      </c>
      <c r="AB403" s="252">
        <v>1.1399999999999999</v>
      </c>
      <c r="AC403" s="252" t="s">
        <v>866</v>
      </c>
      <c r="AD403" s="296" t="s">
        <v>1115</v>
      </c>
      <c r="AE403" s="252">
        <f>(AG398)</f>
        <v>6516.13</v>
      </c>
      <c r="AF403" s="296" t="s">
        <v>866</v>
      </c>
      <c r="AG403" s="252">
        <f>(AB403*AE403)</f>
        <v>7428.39</v>
      </c>
      <c r="AP403" s="296" t="s">
        <v>377</v>
      </c>
      <c r="AR403" s="296">
        <f>AR402</f>
        <v>18.149999999999999</v>
      </c>
      <c r="AS403" s="274">
        <f t="shared" si="38"/>
        <v>705.22</v>
      </c>
    </row>
    <row r="404" spans="1:45" ht="18.75" customHeight="1">
      <c r="A404" s="363">
        <f t="shared" si="36"/>
        <v>239</v>
      </c>
      <c r="B404" s="365" t="s">
        <v>237</v>
      </c>
      <c r="C404" s="362">
        <v>116.3</v>
      </c>
      <c r="D404" s="365" t="s">
        <v>865</v>
      </c>
      <c r="H404" s="296" t="s">
        <v>2222</v>
      </c>
      <c r="K404" s="274">
        <f>(K403+C21/10*F394)</f>
        <v>843.5</v>
      </c>
      <c r="O404" s="296" t="s">
        <v>1523</v>
      </c>
      <c r="R404" s="358" t="s">
        <v>1579</v>
      </c>
      <c r="U404" s="274" t="s">
        <v>2222</v>
      </c>
      <c r="W404" s="253">
        <f>W403</f>
        <v>17.829999999999998</v>
      </c>
      <c r="X404" s="274">
        <f>X403+W404</f>
        <v>907.59</v>
      </c>
      <c r="AB404" s="252">
        <v>1</v>
      </c>
      <c r="AC404" s="252" t="s">
        <v>766</v>
      </c>
      <c r="AD404" s="296" t="s">
        <v>2000</v>
      </c>
      <c r="AE404" s="252">
        <f>AE390</f>
        <v>999</v>
      </c>
      <c r="AF404" s="296" t="s">
        <v>865</v>
      </c>
      <c r="AG404" s="252">
        <f>(AB404*AE404)</f>
        <v>999</v>
      </c>
      <c r="AP404" s="296" t="s">
        <v>1525</v>
      </c>
      <c r="AR404" s="296">
        <f>AR403</f>
        <v>18.149999999999999</v>
      </c>
      <c r="AS404" s="274">
        <f t="shared" si="38"/>
        <v>723.37</v>
      </c>
    </row>
    <row r="405" spans="1:45" ht="18.75" customHeight="1">
      <c r="A405" s="363">
        <f t="shared" si="36"/>
        <v>240</v>
      </c>
      <c r="B405" s="409" t="s">
        <v>5585</v>
      </c>
      <c r="C405" s="410">
        <v>278.3</v>
      </c>
      <c r="D405" s="411" t="s">
        <v>865</v>
      </c>
      <c r="H405" s="296" t="s">
        <v>377</v>
      </c>
      <c r="K405" s="274">
        <f>(K404+C21/10*F394)</f>
        <v>861.01</v>
      </c>
      <c r="R405" s="252">
        <f>SUM(R402:R403)</f>
        <v>503.3</v>
      </c>
      <c r="U405" s="274" t="s">
        <v>377</v>
      </c>
      <c r="W405" s="253">
        <f>W403</f>
        <v>17.829999999999998</v>
      </c>
      <c r="X405" s="274">
        <f>X404+W405</f>
        <v>925.42</v>
      </c>
      <c r="AC405" s="252" t="s">
        <v>446</v>
      </c>
      <c r="AD405" s="296" t="s">
        <v>447</v>
      </c>
      <c r="AE405" s="296" t="s">
        <v>971</v>
      </c>
      <c r="AF405" s="296" t="s">
        <v>446</v>
      </c>
      <c r="AG405" s="252">
        <v>0</v>
      </c>
      <c r="AP405" s="296" t="s">
        <v>3552</v>
      </c>
      <c r="AR405" s="296">
        <f>AR404</f>
        <v>18.149999999999999</v>
      </c>
      <c r="AS405" s="274">
        <f t="shared" si="38"/>
        <v>741.52</v>
      </c>
    </row>
    <row r="406" spans="1:45" ht="18.75" customHeight="1">
      <c r="A406" s="363">
        <f t="shared" si="36"/>
        <v>241</v>
      </c>
      <c r="B406" s="296" t="s">
        <v>4862</v>
      </c>
      <c r="C406" s="364"/>
      <c r="D406" s="365" t="s">
        <v>971</v>
      </c>
      <c r="H406" s="296" t="s">
        <v>1525</v>
      </c>
      <c r="K406" s="274">
        <f>(K405+C21/10*F394)</f>
        <v>878.52</v>
      </c>
      <c r="L406" s="252">
        <f>K406-K405</f>
        <v>17.510000000000002</v>
      </c>
      <c r="O406" s="296" t="s">
        <v>438</v>
      </c>
      <c r="R406" s="358" t="s">
        <v>1579</v>
      </c>
      <c r="U406" s="274" t="s">
        <v>1525</v>
      </c>
      <c r="W406" s="253">
        <f>W405</f>
        <v>17.829999999999998</v>
      </c>
      <c r="X406" s="274">
        <f>X405+W406</f>
        <v>943.25</v>
      </c>
      <c r="AF406" s="296"/>
      <c r="AG406" s="358" t="s">
        <v>1579</v>
      </c>
      <c r="AP406" s="296" t="s">
        <v>3553</v>
      </c>
      <c r="AR406" s="296">
        <f>AR405</f>
        <v>18.149999999999999</v>
      </c>
      <c r="AS406" s="274">
        <f t="shared" si="38"/>
        <v>759.67</v>
      </c>
    </row>
    <row r="407" spans="1:45" ht="18.75" customHeight="1">
      <c r="A407" s="363">
        <f t="shared" si="36"/>
        <v>242</v>
      </c>
      <c r="B407" s="365" t="s">
        <v>1111</v>
      </c>
      <c r="C407" s="362">
        <v>13.6</v>
      </c>
      <c r="D407" s="365" t="s">
        <v>865</v>
      </c>
      <c r="F407" s="369">
        <v>11</v>
      </c>
      <c r="G407" s="252" t="s">
        <v>2241</v>
      </c>
      <c r="H407" s="296" t="s">
        <v>806</v>
      </c>
      <c r="L407" s="252">
        <f>K406+L406</f>
        <v>896.03</v>
      </c>
      <c r="R407" s="252">
        <f>(R405/10)</f>
        <v>50.33</v>
      </c>
      <c r="S407" s="356">
        <v>11</v>
      </c>
      <c r="T407" s="252" t="s">
        <v>2241</v>
      </c>
      <c r="U407" s="252" t="s">
        <v>806</v>
      </c>
      <c r="W407" s="253"/>
      <c r="AD407" s="296" t="s">
        <v>438</v>
      </c>
      <c r="AF407" s="296"/>
      <c r="AG407" s="252">
        <f>SUM(AG403:AG405)</f>
        <v>8427.39</v>
      </c>
    </row>
    <row r="408" spans="1:45" ht="18.75" customHeight="1">
      <c r="A408" s="363">
        <f t="shared" si="36"/>
        <v>243</v>
      </c>
      <c r="B408" s="365" t="s">
        <v>1112</v>
      </c>
      <c r="C408" s="362">
        <v>15.9</v>
      </c>
      <c r="D408" s="365" t="s">
        <v>865</v>
      </c>
      <c r="H408" s="252" t="str">
        <f>H309</f>
        <v>Bricks of size 22x11x7 cm</v>
      </c>
      <c r="O408" s="296" t="s">
        <v>549</v>
      </c>
      <c r="R408" s="358" t="s">
        <v>2046</v>
      </c>
      <c r="U408" s="252" t="s">
        <v>424</v>
      </c>
      <c r="W408" s="253"/>
      <c r="AF408" s="296"/>
      <c r="AG408" s="358" t="s">
        <v>1579</v>
      </c>
    </row>
    <row r="409" spans="1:45" ht="18.75" customHeight="1">
      <c r="A409" s="363">
        <f t="shared" si="36"/>
        <v>244</v>
      </c>
      <c r="B409" s="365" t="s">
        <v>1113</v>
      </c>
      <c r="C409" s="362">
        <v>28.6</v>
      </c>
      <c r="D409" s="365" t="s">
        <v>865</v>
      </c>
      <c r="H409" s="358" t="s">
        <v>1579</v>
      </c>
      <c r="U409" s="252" t="s">
        <v>1579</v>
      </c>
      <c r="W409" s="253"/>
      <c r="AD409" s="296" t="s">
        <v>549</v>
      </c>
      <c r="AF409" s="296"/>
      <c r="AG409" s="274">
        <f>(AG407/10)</f>
        <v>842.74</v>
      </c>
    </row>
    <row r="410" spans="1:45" ht="18.75" customHeight="1">
      <c r="A410" s="363">
        <f t="shared" si="36"/>
        <v>245</v>
      </c>
      <c r="B410" s="365" t="s">
        <v>1114</v>
      </c>
      <c r="C410" s="362">
        <v>46.5</v>
      </c>
      <c r="D410" s="365" t="s">
        <v>865</v>
      </c>
      <c r="F410" s="252">
        <f>F311</f>
        <v>4800</v>
      </c>
      <c r="G410" s="252" t="s">
        <v>1420</v>
      </c>
      <c r="H410" s="252" t="str">
        <f>H309</f>
        <v>Bricks of size 22x11x7 cm</v>
      </c>
      <c r="I410" s="252">
        <f>(C80)</f>
        <v>5728.64</v>
      </c>
      <c r="J410" s="296" t="s">
        <v>1526</v>
      </c>
      <c r="K410" s="252">
        <f>(F410*I410)/1000</f>
        <v>27497.47</v>
      </c>
      <c r="N410" s="296" t="s">
        <v>2241</v>
      </c>
      <c r="O410" s="296" t="s">
        <v>1527</v>
      </c>
      <c r="S410" s="356">
        <v>4600</v>
      </c>
      <c r="T410" s="252" t="s">
        <v>1420</v>
      </c>
      <c r="U410" s="252" t="s">
        <v>424</v>
      </c>
      <c r="V410" s="252">
        <f t="shared" ref="V410:V415" si="39">V379</f>
        <v>6959.15</v>
      </c>
      <c r="W410" s="253" t="s">
        <v>1526</v>
      </c>
      <c r="X410" s="252">
        <f>V410*S410/1000</f>
        <v>32012.09</v>
      </c>
      <c r="AF410" s="296"/>
      <c r="AG410" s="358" t="s">
        <v>2046</v>
      </c>
    </row>
    <row r="411" spans="1:45" ht="18.75" customHeight="1">
      <c r="A411" s="363">
        <f t="shared" ref="A411:A421" si="40">(A410+1)</f>
        <v>246</v>
      </c>
      <c r="B411" s="365" t="s">
        <v>1116</v>
      </c>
      <c r="C411" s="362">
        <v>58.1</v>
      </c>
      <c r="D411" s="365" t="s">
        <v>865</v>
      </c>
      <c r="F411" s="252">
        <f>F380</f>
        <v>1.59</v>
      </c>
      <c r="G411" s="252" t="s">
        <v>866</v>
      </c>
      <c r="H411" s="296" t="s">
        <v>1302</v>
      </c>
      <c r="I411" s="252">
        <f>(K40)</f>
        <v>4136.5</v>
      </c>
      <c r="J411" s="296" t="s">
        <v>866</v>
      </c>
      <c r="K411" s="252">
        <f>(F411*I411)</f>
        <v>6577.04</v>
      </c>
      <c r="O411" s="296" t="s">
        <v>1528</v>
      </c>
      <c r="S411" s="356">
        <v>1.59</v>
      </c>
      <c r="T411" s="252" t="s">
        <v>866</v>
      </c>
      <c r="U411" s="252" t="s">
        <v>1302</v>
      </c>
      <c r="V411" s="252">
        <f t="shared" si="39"/>
        <v>4136.5</v>
      </c>
      <c r="W411" s="253" t="s">
        <v>866</v>
      </c>
      <c r="X411" s="252">
        <f t="shared" ref="X411:X416" si="41">V411*S411</f>
        <v>6577.04</v>
      </c>
      <c r="AD411" s="296" t="s">
        <v>383</v>
      </c>
      <c r="AF411" s="296">
        <f>C19*0.114</f>
        <v>8.99</v>
      </c>
      <c r="AG411" s="274">
        <f>AG409+AF411</f>
        <v>851.73</v>
      </c>
    </row>
    <row r="412" spans="1:45" ht="18.75" customHeight="1">
      <c r="A412" s="363">
        <f t="shared" si="40"/>
        <v>247</v>
      </c>
      <c r="B412" s="365" t="s">
        <v>237</v>
      </c>
      <c r="C412" s="362">
        <v>69.8</v>
      </c>
      <c r="D412" s="365" t="s">
        <v>865</v>
      </c>
      <c r="F412" s="252">
        <v>7</v>
      </c>
      <c r="G412" s="252" t="s">
        <v>865</v>
      </c>
      <c r="H412" s="296" t="s">
        <v>2000</v>
      </c>
      <c r="I412" s="252">
        <f>(C10)</f>
        <v>999</v>
      </c>
      <c r="J412" s="296" t="s">
        <v>865</v>
      </c>
      <c r="K412" s="252">
        <f>(F412*I412)</f>
        <v>6993</v>
      </c>
      <c r="O412" s="358" t="s">
        <v>1579</v>
      </c>
      <c r="S412" s="356">
        <v>7</v>
      </c>
      <c r="T412" s="252" t="s">
        <v>865</v>
      </c>
      <c r="U412" s="252" t="s">
        <v>2000</v>
      </c>
      <c r="V412" s="252">
        <f t="shared" si="39"/>
        <v>999</v>
      </c>
      <c r="W412" s="253" t="s">
        <v>865</v>
      </c>
      <c r="X412" s="252">
        <f t="shared" si="41"/>
        <v>6993</v>
      </c>
      <c r="AD412" s="296" t="s">
        <v>385</v>
      </c>
      <c r="AF412" s="296">
        <f>C20*0.114</f>
        <v>18.149999999999999</v>
      </c>
      <c r="AG412" s="274">
        <f t="shared" ref="AG412:AG420" si="42">AG411+AF412</f>
        <v>869.88</v>
      </c>
    </row>
    <row r="413" spans="1:45" ht="18.75" customHeight="1">
      <c r="A413" s="363">
        <f t="shared" si="40"/>
        <v>248</v>
      </c>
      <c r="B413" s="409" t="s">
        <v>4863</v>
      </c>
      <c r="C413" s="410">
        <v>239</v>
      </c>
      <c r="D413" s="411" t="s">
        <v>865</v>
      </c>
      <c r="F413" s="252">
        <v>7.1</v>
      </c>
      <c r="G413" s="252" t="s">
        <v>865</v>
      </c>
      <c r="H413" s="296" t="s">
        <v>1704</v>
      </c>
      <c r="I413" s="252">
        <f>(C11)</f>
        <v>932</v>
      </c>
      <c r="J413" s="296" t="s">
        <v>865</v>
      </c>
      <c r="K413" s="252">
        <f>(F413*I413)</f>
        <v>6617.2</v>
      </c>
      <c r="M413" s="252">
        <v>10</v>
      </c>
      <c r="N413" s="296" t="s">
        <v>606</v>
      </c>
      <c r="O413" s="296" t="s">
        <v>1826</v>
      </c>
      <c r="P413" s="252">
        <f>(R384)</f>
        <v>23.04</v>
      </c>
      <c r="Q413" s="296" t="s">
        <v>606</v>
      </c>
      <c r="R413" s="252">
        <f>(M413*P413)</f>
        <v>230.4</v>
      </c>
      <c r="S413" s="356">
        <v>7.1</v>
      </c>
      <c r="T413" s="252" t="s">
        <v>865</v>
      </c>
      <c r="U413" s="252" t="s">
        <v>1704</v>
      </c>
      <c r="V413" s="252">
        <f t="shared" si="39"/>
        <v>932</v>
      </c>
      <c r="W413" s="253" t="s">
        <v>865</v>
      </c>
      <c r="X413" s="252">
        <f t="shared" si="41"/>
        <v>6617.2</v>
      </c>
      <c r="AD413" s="296" t="s">
        <v>2222</v>
      </c>
      <c r="AF413" s="296">
        <f t="shared" ref="AF413:AF422" si="43">AF412</f>
        <v>18.149999999999999</v>
      </c>
      <c r="AG413" s="274">
        <f t="shared" si="42"/>
        <v>888.03</v>
      </c>
    </row>
    <row r="414" spans="1:45" ht="18.75" customHeight="1">
      <c r="A414" s="363">
        <f t="shared" si="40"/>
        <v>249</v>
      </c>
      <c r="B414" s="412" t="s">
        <v>4557</v>
      </c>
      <c r="C414" s="364"/>
      <c r="D414" s="365" t="s">
        <v>971</v>
      </c>
      <c r="F414" s="252">
        <v>7.1</v>
      </c>
      <c r="G414" s="252" t="s">
        <v>865</v>
      </c>
      <c r="H414" s="296" t="s">
        <v>1893</v>
      </c>
      <c r="I414" s="252">
        <f>(C12)</f>
        <v>651</v>
      </c>
      <c r="J414" s="296" t="s">
        <v>865</v>
      </c>
      <c r="K414" s="252">
        <f>(F414*I414)</f>
        <v>4622.1000000000004</v>
      </c>
      <c r="M414" s="252">
        <v>10</v>
      </c>
      <c r="N414" s="296" t="s">
        <v>606</v>
      </c>
      <c r="O414" s="296" t="s">
        <v>346</v>
      </c>
      <c r="P414" s="252">
        <f>(R407)</f>
        <v>50.33</v>
      </c>
      <c r="Q414" s="296" t="s">
        <v>606</v>
      </c>
      <c r="R414" s="252">
        <f>(M414*P414)</f>
        <v>503.3</v>
      </c>
      <c r="S414" s="356">
        <v>7.1</v>
      </c>
      <c r="T414" s="252" t="s">
        <v>865</v>
      </c>
      <c r="U414" s="252" t="s">
        <v>1893</v>
      </c>
      <c r="V414" s="252">
        <f t="shared" si="39"/>
        <v>651</v>
      </c>
      <c r="W414" s="253" t="s">
        <v>865</v>
      </c>
      <c r="X414" s="252">
        <f t="shared" si="41"/>
        <v>4622.1000000000004</v>
      </c>
      <c r="AD414" s="296" t="s">
        <v>377</v>
      </c>
      <c r="AF414" s="296">
        <f t="shared" si="43"/>
        <v>18.149999999999999</v>
      </c>
      <c r="AG414" s="274">
        <f t="shared" si="42"/>
        <v>906.18</v>
      </c>
    </row>
    <row r="415" spans="1:45" ht="18.75" customHeight="1">
      <c r="A415" s="363">
        <f t="shared" si="40"/>
        <v>250</v>
      </c>
      <c r="B415" s="365" t="s">
        <v>1111</v>
      </c>
      <c r="C415" s="362">
        <v>15.9</v>
      </c>
      <c r="D415" s="365" t="s">
        <v>865</v>
      </c>
      <c r="F415" s="252">
        <v>21.2</v>
      </c>
      <c r="G415" s="252" t="s">
        <v>865</v>
      </c>
      <c r="H415" s="296" t="s">
        <v>317</v>
      </c>
      <c r="I415" s="252">
        <f>(C13)</f>
        <v>534</v>
      </c>
      <c r="J415" s="296" t="s">
        <v>865</v>
      </c>
      <c r="K415" s="252">
        <f>(F415*I415)</f>
        <v>11320.8</v>
      </c>
      <c r="O415" s="296" t="s">
        <v>971</v>
      </c>
      <c r="R415" s="358" t="s">
        <v>1579</v>
      </c>
      <c r="S415" s="356">
        <v>21.2</v>
      </c>
      <c r="T415" s="252" t="s">
        <v>865</v>
      </c>
      <c r="U415" s="252" t="s">
        <v>317</v>
      </c>
      <c r="V415" s="252">
        <f t="shared" si="39"/>
        <v>534</v>
      </c>
      <c r="W415" s="253" t="s">
        <v>865</v>
      </c>
      <c r="X415" s="252">
        <f t="shared" si="41"/>
        <v>11320.8</v>
      </c>
      <c r="AD415" s="296" t="s">
        <v>1525</v>
      </c>
      <c r="AF415" s="296">
        <f t="shared" si="43"/>
        <v>18.149999999999999</v>
      </c>
      <c r="AG415" s="274">
        <f t="shared" si="42"/>
        <v>924.33</v>
      </c>
    </row>
    <row r="416" spans="1:45" ht="18.75" customHeight="1">
      <c r="A416" s="363">
        <f t="shared" si="40"/>
        <v>251</v>
      </c>
      <c r="B416" s="365" t="s">
        <v>1112</v>
      </c>
      <c r="C416" s="362">
        <v>25.4</v>
      </c>
      <c r="D416" s="365" t="s">
        <v>865</v>
      </c>
      <c r="G416" s="252" t="s">
        <v>446</v>
      </c>
      <c r="H416" s="296" t="s">
        <v>447</v>
      </c>
      <c r="I416" s="296" t="s">
        <v>971</v>
      </c>
      <c r="J416" s="296" t="s">
        <v>446</v>
      </c>
      <c r="K416" s="252">
        <v>0</v>
      </c>
      <c r="R416" s="252">
        <f>SUM(R413:R414)</f>
        <v>733.7</v>
      </c>
      <c r="T416" s="252" t="s">
        <v>446</v>
      </c>
      <c r="U416" s="252" t="s">
        <v>447</v>
      </c>
      <c r="V416" s="252" t="s">
        <v>971</v>
      </c>
      <c r="W416" s="253" t="s">
        <v>446</v>
      </c>
      <c r="X416" s="252">
        <f t="shared" si="41"/>
        <v>0</v>
      </c>
      <c r="AD416" s="296" t="s">
        <v>3552</v>
      </c>
      <c r="AF416" s="296">
        <f t="shared" si="43"/>
        <v>18.149999999999999</v>
      </c>
      <c r="AG416" s="274">
        <f t="shared" si="42"/>
        <v>942.48</v>
      </c>
    </row>
    <row r="417" spans="1:35" ht="18.75" customHeight="1">
      <c r="A417" s="363">
        <f t="shared" si="40"/>
        <v>252</v>
      </c>
      <c r="B417" s="365" t="s">
        <v>1113</v>
      </c>
      <c r="C417" s="362">
        <v>58.1</v>
      </c>
      <c r="D417" s="365" t="s">
        <v>865</v>
      </c>
      <c r="K417" s="358" t="s">
        <v>1579</v>
      </c>
      <c r="O417" s="296" t="s">
        <v>438</v>
      </c>
      <c r="R417" s="358" t="s">
        <v>1579</v>
      </c>
      <c r="W417" s="253"/>
      <c r="X417" s="377" t="s">
        <v>426</v>
      </c>
      <c r="AD417" s="296" t="s">
        <v>3553</v>
      </c>
      <c r="AF417" s="296">
        <f t="shared" si="43"/>
        <v>18.149999999999999</v>
      </c>
      <c r="AG417" s="274">
        <f t="shared" si="42"/>
        <v>960.63</v>
      </c>
    </row>
    <row r="418" spans="1:35" ht="18.75" customHeight="1">
      <c r="A418" s="363">
        <f t="shared" si="40"/>
        <v>253</v>
      </c>
      <c r="B418" s="365" t="s">
        <v>1114</v>
      </c>
      <c r="C418" s="362">
        <v>87</v>
      </c>
      <c r="D418" s="365" t="s">
        <v>865</v>
      </c>
      <c r="H418" s="296" t="s">
        <v>611</v>
      </c>
      <c r="K418" s="252">
        <f>SUM(K410:K416)</f>
        <v>63627.61</v>
      </c>
      <c r="R418" s="252">
        <f>(R416/10)</f>
        <v>73.37</v>
      </c>
      <c r="U418" s="252" t="s">
        <v>611</v>
      </c>
      <c r="W418" s="253"/>
      <c r="X418" s="252">
        <f>SUM(X410:X416)</f>
        <v>68142.23</v>
      </c>
      <c r="AD418" s="296" t="s">
        <v>3554</v>
      </c>
      <c r="AF418" s="296">
        <f t="shared" si="43"/>
        <v>18.149999999999999</v>
      </c>
      <c r="AG418" s="274">
        <f t="shared" si="42"/>
        <v>978.78</v>
      </c>
    </row>
    <row r="419" spans="1:35" ht="18.75" customHeight="1">
      <c r="A419" s="363">
        <f t="shared" si="40"/>
        <v>254</v>
      </c>
      <c r="B419" s="365" t="s">
        <v>1116</v>
      </c>
      <c r="C419" s="362">
        <v>98.6</v>
      </c>
      <c r="D419" s="365" t="s">
        <v>865</v>
      </c>
      <c r="K419" s="358" t="s">
        <v>1579</v>
      </c>
      <c r="O419" s="296" t="s">
        <v>549</v>
      </c>
      <c r="R419" s="358" t="s">
        <v>2046</v>
      </c>
      <c r="W419" s="253"/>
      <c r="X419" s="377" t="s">
        <v>426</v>
      </c>
      <c r="AD419" s="296" t="s">
        <v>3576</v>
      </c>
      <c r="AF419" s="296">
        <f t="shared" si="43"/>
        <v>18.149999999999999</v>
      </c>
      <c r="AG419" s="274">
        <f>AG418+AF419</f>
        <v>996.93</v>
      </c>
    </row>
    <row r="420" spans="1:35" ht="18.75" customHeight="1">
      <c r="A420" s="363">
        <f t="shared" si="40"/>
        <v>255</v>
      </c>
      <c r="B420" s="365" t="s">
        <v>237</v>
      </c>
      <c r="C420" s="362">
        <v>128</v>
      </c>
      <c r="D420" s="365" t="s">
        <v>865</v>
      </c>
      <c r="H420" s="296" t="s">
        <v>770</v>
      </c>
      <c r="K420" s="252">
        <f>(K418/10)</f>
        <v>6362.76</v>
      </c>
      <c r="U420" s="252" t="s">
        <v>770</v>
      </c>
      <c r="W420" s="253"/>
      <c r="X420" s="252">
        <f>X418/10</f>
        <v>6814.22</v>
      </c>
      <c r="AD420" s="296" t="s">
        <v>3574</v>
      </c>
      <c r="AF420" s="296">
        <f t="shared" si="43"/>
        <v>18.149999999999999</v>
      </c>
      <c r="AG420" s="274">
        <f t="shared" si="42"/>
        <v>1015.08</v>
      </c>
    </row>
    <row r="421" spans="1:35" ht="18.75" customHeight="1">
      <c r="A421" s="363">
        <f t="shared" si="40"/>
        <v>256</v>
      </c>
      <c r="B421" s="411" t="s">
        <v>3512</v>
      </c>
      <c r="C421" s="410">
        <v>345.2</v>
      </c>
      <c r="D421" s="411" t="s">
        <v>865</v>
      </c>
      <c r="K421" s="358" t="s">
        <v>2046</v>
      </c>
      <c r="W421" s="253"/>
      <c r="X421" s="377" t="s">
        <v>32</v>
      </c>
      <c r="AB421" s="369">
        <v>11</v>
      </c>
      <c r="AC421" s="252" t="s">
        <v>2241</v>
      </c>
      <c r="AD421" s="296" t="s">
        <v>806</v>
      </c>
      <c r="AF421" s="296">
        <f t="shared" si="43"/>
        <v>18.149999999999999</v>
      </c>
      <c r="AG421" s="274">
        <f>AG420+AF421</f>
        <v>1033.23</v>
      </c>
    </row>
    <row r="422" spans="1:35" ht="18.75" customHeight="1">
      <c r="A422" s="364"/>
      <c r="B422" s="364"/>
      <c r="C422" s="364"/>
      <c r="D422" s="364"/>
      <c r="F422" s="296" t="s">
        <v>246</v>
      </c>
      <c r="S422" s="356" t="s">
        <v>246</v>
      </c>
      <c r="W422" s="253"/>
      <c r="AD422" s="252">
        <f>AD307</f>
        <v>0</v>
      </c>
      <c r="AF422" s="296">
        <f t="shared" si="43"/>
        <v>18.149999999999999</v>
      </c>
      <c r="AG422" s="274">
        <f>AG421+AF422</f>
        <v>1051.3800000000001</v>
      </c>
      <c r="AH422" s="252" t="s">
        <v>4289</v>
      </c>
      <c r="AI422" s="252">
        <f>AG422+AF422</f>
        <v>1069.53</v>
      </c>
    </row>
    <row r="423" spans="1:35" ht="18.75" customHeight="1">
      <c r="A423" s="363">
        <f>(A421+1)</f>
        <v>257</v>
      </c>
      <c r="B423" s="412" t="s">
        <v>4558</v>
      </c>
      <c r="C423" s="364"/>
      <c r="D423" s="365" t="s">
        <v>971</v>
      </c>
      <c r="O423" s="253" t="s">
        <v>1531</v>
      </c>
      <c r="W423" s="253"/>
      <c r="AD423" s="358" t="s">
        <v>1579</v>
      </c>
      <c r="AF423" s="296"/>
      <c r="AH423" s="252" t="s">
        <v>4290</v>
      </c>
      <c r="AI423" s="252">
        <f>AI422+AF422</f>
        <v>1087.68</v>
      </c>
    </row>
    <row r="424" spans="1:35" ht="18.75" customHeight="1">
      <c r="A424" s="363">
        <f t="shared" ref="A424:A487" si="44">(A423+1)</f>
        <v>258</v>
      </c>
      <c r="B424" s="365" t="s">
        <v>1111</v>
      </c>
      <c r="C424" s="362">
        <v>58.1</v>
      </c>
      <c r="D424" s="365" t="s">
        <v>865</v>
      </c>
      <c r="G424" s="252" t="s">
        <v>1532</v>
      </c>
      <c r="H424" s="296" t="s">
        <v>428</v>
      </c>
      <c r="O424" s="358" t="s">
        <v>1579</v>
      </c>
      <c r="T424" s="252" t="s">
        <v>1532</v>
      </c>
      <c r="U424" s="252" t="s">
        <v>428</v>
      </c>
      <c r="W424" s="253"/>
      <c r="AB424" s="252">
        <f>AB311</f>
        <v>4240</v>
      </c>
      <c r="AC424" s="252" t="s">
        <v>1420</v>
      </c>
      <c r="AD424" s="252" t="str">
        <f>AD311</f>
        <v>Bricks of size 23x11.4x7.5 cm</v>
      </c>
      <c r="AE424" s="252">
        <f t="shared" ref="AE424:AE429" si="45">AE388</f>
        <v>7159.15</v>
      </c>
      <c r="AF424" s="296" t="s">
        <v>1526</v>
      </c>
      <c r="AG424" s="252">
        <f>(AB424*AE424)/1000</f>
        <v>30354.799999999999</v>
      </c>
    </row>
    <row r="425" spans="1:35" ht="18.75" customHeight="1">
      <c r="A425" s="363">
        <f t="shared" si="44"/>
        <v>259</v>
      </c>
      <c r="B425" s="365" t="s">
        <v>1112</v>
      </c>
      <c r="C425" s="362">
        <v>69.8</v>
      </c>
      <c r="D425" s="365" t="s">
        <v>865</v>
      </c>
      <c r="H425" s="358" t="s">
        <v>1579</v>
      </c>
      <c r="N425" s="296" t="s">
        <v>2241</v>
      </c>
      <c r="O425" s="296" t="s">
        <v>2038</v>
      </c>
      <c r="U425" s="252" t="s">
        <v>1579</v>
      </c>
      <c r="W425" s="253"/>
      <c r="AB425" s="252">
        <v>1.27</v>
      </c>
      <c r="AC425" s="252" t="s">
        <v>866</v>
      </c>
      <c r="AD425" s="296" t="s">
        <v>1302</v>
      </c>
      <c r="AE425" s="252">
        <f t="shared" si="45"/>
        <v>4136.5</v>
      </c>
      <c r="AF425" s="296" t="s">
        <v>866</v>
      </c>
      <c r="AG425" s="252">
        <f>(AB425*AE425)</f>
        <v>5253.36</v>
      </c>
    </row>
    <row r="426" spans="1:35" ht="18.75" customHeight="1">
      <c r="A426" s="363">
        <f t="shared" si="44"/>
        <v>260</v>
      </c>
      <c r="B426" s="365" t="s">
        <v>1113</v>
      </c>
      <c r="C426" s="362">
        <v>98.6</v>
      </c>
      <c r="D426" s="365" t="s">
        <v>865</v>
      </c>
      <c r="F426" s="252">
        <v>0.7</v>
      </c>
      <c r="G426" s="252" t="s">
        <v>866</v>
      </c>
      <c r="H426" s="296" t="s">
        <v>2269</v>
      </c>
      <c r="I426" s="252">
        <f>(K420)</f>
        <v>6362.76</v>
      </c>
      <c r="J426" s="296" t="s">
        <v>865</v>
      </c>
      <c r="K426" s="252">
        <f>(F426*I426)</f>
        <v>4453.93</v>
      </c>
      <c r="O426" s="296" t="s">
        <v>2039</v>
      </c>
      <c r="S426" s="356">
        <v>0.7</v>
      </c>
      <c r="T426" s="252" t="s">
        <v>866</v>
      </c>
      <c r="U426" s="252" t="s">
        <v>2269</v>
      </c>
      <c r="V426" s="252">
        <f>X420</f>
        <v>6814.22</v>
      </c>
      <c r="W426" s="253" t="s">
        <v>865</v>
      </c>
      <c r="X426" s="252">
        <f>V426*S426</f>
        <v>4769.95</v>
      </c>
      <c r="AB426" s="252">
        <v>7</v>
      </c>
      <c r="AC426" s="252" t="s">
        <v>865</v>
      </c>
      <c r="AD426" s="296" t="s">
        <v>2000</v>
      </c>
      <c r="AE426" s="252">
        <f t="shared" si="45"/>
        <v>999</v>
      </c>
      <c r="AF426" s="296" t="s">
        <v>865</v>
      </c>
      <c r="AG426" s="252">
        <f>(AB426*AE426)</f>
        <v>6993</v>
      </c>
    </row>
    <row r="427" spans="1:35" ht="18.75" customHeight="1">
      <c r="A427" s="363">
        <f t="shared" si="44"/>
        <v>261</v>
      </c>
      <c r="B427" s="365" t="s">
        <v>1114</v>
      </c>
      <c r="C427" s="362">
        <v>127.5</v>
      </c>
      <c r="D427" s="365" t="s">
        <v>865</v>
      </c>
      <c r="F427" s="252">
        <v>1</v>
      </c>
      <c r="G427" s="252" t="s">
        <v>766</v>
      </c>
      <c r="H427" s="296" t="s">
        <v>2000</v>
      </c>
      <c r="I427" s="252">
        <f>(C10)</f>
        <v>999</v>
      </c>
      <c r="J427" s="296" t="s">
        <v>865</v>
      </c>
      <c r="K427" s="252">
        <f>(F427*I427)</f>
        <v>999</v>
      </c>
      <c r="O427" s="296" t="s">
        <v>153</v>
      </c>
      <c r="S427" s="356">
        <v>1</v>
      </c>
      <c r="T427" s="252" t="s">
        <v>766</v>
      </c>
      <c r="U427" s="252" t="s">
        <v>2000</v>
      </c>
      <c r="V427" s="252">
        <f>V395</f>
        <v>999</v>
      </c>
      <c r="W427" s="253" t="s">
        <v>865</v>
      </c>
      <c r="X427" s="252">
        <f>V427*S427</f>
        <v>999</v>
      </c>
      <c r="AB427" s="252">
        <v>7.1</v>
      </c>
      <c r="AC427" s="252" t="s">
        <v>865</v>
      </c>
      <c r="AD427" s="296" t="s">
        <v>1704</v>
      </c>
      <c r="AE427" s="252">
        <f t="shared" si="45"/>
        <v>932</v>
      </c>
      <c r="AF427" s="296" t="s">
        <v>865</v>
      </c>
      <c r="AG427" s="252">
        <f>(AB427*AE427)</f>
        <v>6617.2</v>
      </c>
    </row>
    <row r="428" spans="1:35" ht="18.75" customHeight="1">
      <c r="A428" s="363">
        <f t="shared" si="44"/>
        <v>262</v>
      </c>
      <c r="B428" s="365" t="s">
        <v>1116</v>
      </c>
      <c r="C428" s="362">
        <v>197.5</v>
      </c>
      <c r="D428" s="365" t="s">
        <v>865</v>
      </c>
      <c r="G428" s="252" t="s">
        <v>446</v>
      </c>
      <c r="H428" s="296" t="s">
        <v>447</v>
      </c>
      <c r="I428" s="296" t="s">
        <v>971</v>
      </c>
      <c r="J428" s="296" t="s">
        <v>446</v>
      </c>
      <c r="K428" s="252">
        <v>0</v>
      </c>
      <c r="O428" s="358" t="s">
        <v>1579</v>
      </c>
      <c r="T428" s="252" t="s">
        <v>446</v>
      </c>
      <c r="U428" s="252" t="s">
        <v>447</v>
      </c>
      <c r="V428" s="252" t="s">
        <v>971</v>
      </c>
      <c r="W428" s="253" t="s">
        <v>446</v>
      </c>
      <c r="X428" s="252">
        <v>0</v>
      </c>
      <c r="AB428" s="252">
        <f>AB315</f>
        <v>7.1</v>
      </c>
      <c r="AC428" s="252" t="s">
        <v>865</v>
      </c>
      <c r="AD428" s="296" t="s">
        <v>1893</v>
      </c>
      <c r="AE428" s="252">
        <f t="shared" si="45"/>
        <v>651</v>
      </c>
      <c r="AF428" s="296" t="s">
        <v>865</v>
      </c>
      <c r="AG428" s="252">
        <f>(AB428*AE428)</f>
        <v>4622.1000000000004</v>
      </c>
    </row>
    <row r="429" spans="1:35" ht="18.75" customHeight="1">
      <c r="A429" s="363">
        <f t="shared" si="44"/>
        <v>263</v>
      </c>
      <c r="B429" s="365" t="s">
        <v>237</v>
      </c>
      <c r="C429" s="362">
        <v>266.3</v>
      </c>
      <c r="D429" s="365" t="s">
        <v>865</v>
      </c>
      <c r="K429" s="358" t="s">
        <v>1579</v>
      </c>
      <c r="N429" s="296" t="s">
        <v>154</v>
      </c>
      <c r="O429" s="253" t="s">
        <v>155</v>
      </c>
      <c r="W429" s="253"/>
      <c r="X429" s="377" t="s">
        <v>426</v>
      </c>
      <c r="AB429" s="252">
        <f>AB316</f>
        <v>21.2</v>
      </c>
      <c r="AC429" s="252" t="s">
        <v>865</v>
      </c>
      <c r="AD429" s="296" t="s">
        <v>317</v>
      </c>
      <c r="AE429" s="252">
        <f t="shared" si="45"/>
        <v>534</v>
      </c>
      <c r="AF429" s="296" t="s">
        <v>865</v>
      </c>
      <c r="AG429" s="252">
        <f>(AB429*AE429)</f>
        <v>11320.8</v>
      </c>
    </row>
    <row r="430" spans="1:35" ht="18.75" customHeight="1">
      <c r="A430" s="363">
        <f t="shared" si="44"/>
        <v>264</v>
      </c>
      <c r="B430" s="411" t="s">
        <v>1117</v>
      </c>
      <c r="C430" s="410">
        <v>551</v>
      </c>
      <c r="D430" s="411" t="s">
        <v>865</v>
      </c>
      <c r="H430" s="296" t="s">
        <v>438</v>
      </c>
      <c r="K430" s="252">
        <f>SUM(K426:K428)</f>
        <v>5452.93</v>
      </c>
      <c r="O430" s="358" t="s">
        <v>1579</v>
      </c>
      <c r="U430" s="252" t="s">
        <v>438</v>
      </c>
      <c r="W430" s="253"/>
      <c r="X430" s="252">
        <f>SUM(X426:X428)</f>
        <v>5768.95</v>
      </c>
      <c r="AB430" s="252">
        <f>AB317</f>
        <v>0</v>
      </c>
      <c r="AC430" s="252" t="s">
        <v>446</v>
      </c>
      <c r="AD430" s="296" t="s">
        <v>447</v>
      </c>
      <c r="AE430" s="296" t="s">
        <v>971</v>
      </c>
      <c r="AF430" s="296" t="s">
        <v>446</v>
      </c>
      <c r="AG430" s="252">
        <v>0</v>
      </c>
    </row>
    <row r="431" spans="1:35" ht="18.75" customHeight="1">
      <c r="A431" s="363">
        <f t="shared" si="44"/>
        <v>265</v>
      </c>
      <c r="B431" s="365" t="s">
        <v>156</v>
      </c>
      <c r="C431" s="364"/>
      <c r="D431" s="365" t="s">
        <v>971</v>
      </c>
      <c r="K431" s="358" t="s">
        <v>1579</v>
      </c>
      <c r="M431" s="252">
        <v>8.1</v>
      </c>
      <c r="N431" s="296" t="s">
        <v>866</v>
      </c>
      <c r="O431" s="296" t="s">
        <v>614</v>
      </c>
      <c r="P431" s="252">
        <f>(C61)*2</f>
        <v>224.1</v>
      </c>
      <c r="Q431" s="296" t="s">
        <v>866</v>
      </c>
      <c r="R431" s="252">
        <f>(M431*P431)</f>
        <v>1815.21</v>
      </c>
      <c r="W431" s="253"/>
      <c r="X431" s="377" t="s">
        <v>426</v>
      </c>
      <c r="AB431" s="252">
        <f>AB318</f>
        <v>0</v>
      </c>
      <c r="AF431" s="296"/>
      <c r="AG431" s="358" t="s">
        <v>1579</v>
      </c>
    </row>
    <row r="432" spans="1:35" ht="18.75" customHeight="1">
      <c r="A432" s="363">
        <f t="shared" si="44"/>
        <v>266</v>
      </c>
      <c r="B432" s="365" t="s">
        <v>1111</v>
      </c>
      <c r="C432" s="314">
        <v>1.8</v>
      </c>
      <c r="D432" s="365" t="s">
        <v>865</v>
      </c>
      <c r="H432" s="296" t="s">
        <v>549</v>
      </c>
      <c r="K432" s="252">
        <f>(K430/10)</f>
        <v>545.29</v>
      </c>
      <c r="M432" s="252">
        <v>8.1</v>
      </c>
      <c r="N432" s="296" t="s">
        <v>866</v>
      </c>
      <c r="O432" s="296" t="s">
        <v>2148</v>
      </c>
      <c r="P432" s="252">
        <f>(C26)</f>
        <v>38.950000000000003</v>
      </c>
      <c r="Q432" s="296" t="s">
        <v>866</v>
      </c>
      <c r="R432" s="252">
        <f>(M432*P432)</f>
        <v>315.5</v>
      </c>
      <c r="U432" s="252" t="s">
        <v>549</v>
      </c>
      <c r="W432" s="253"/>
      <c r="X432" s="252">
        <f>X430/10</f>
        <v>576.9</v>
      </c>
      <c r="AB432" s="252">
        <f>AB319</f>
        <v>0</v>
      </c>
      <c r="AD432" s="296" t="s">
        <v>611</v>
      </c>
      <c r="AF432" s="296"/>
      <c r="AG432" s="252">
        <f>SUM(AG424:AG431)</f>
        <v>65161.26</v>
      </c>
    </row>
    <row r="433" spans="1:33" ht="18.75" customHeight="1">
      <c r="A433" s="363">
        <f t="shared" si="44"/>
        <v>267</v>
      </c>
      <c r="B433" s="365" t="s">
        <v>1112</v>
      </c>
      <c r="C433" s="314">
        <v>2.9</v>
      </c>
      <c r="D433" s="365" t="s">
        <v>865</v>
      </c>
      <c r="K433" s="358" t="s">
        <v>2046</v>
      </c>
      <c r="M433" s="252">
        <v>30</v>
      </c>
      <c r="N433" s="296" t="s">
        <v>1763</v>
      </c>
      <c r="O433" s="296" t="s">
        <v>2149</v>
      </c>
      <c r="P433" s="252">
        <f>(C42)</f>
        <v>5</v>
      </c>
      <c r="Q433" s="296" t="s">
        <v>1763</v>
      </c>
      <c r="R433" s="252">
        <f>(M433*P433)</f>
        <v>150</v>
      </c>
      <c r="W433" s="253"/>
      <c r="X433" s="377" t="s">
        <v>32</v>
      </c>
      <c r="AF433" s="296"/>
      <c r="AG433" s="358" t="s">
        <v>1579</v>
      </c>
    </row>
    <row r="434" spans="1:33" ht="18.75" customHeight="1">
      <c r="A434" s="363">
        <f t="shared" si="44"/>
        <v>268</v>
      </c>
      <c r="B434" s="365" t="s">
        <v>1113</v>
      </c>
      <c r="C434" s="314">
        <v>4</v>
      </c>
      <c r="D434" s="365" t="s">
        <v>865</v>
      </c>
      <c r="H434" s="296" t="s">
        <v>383</v>
      </c>
      <c r="K434" s="274">
        <f>(K432+C19/10*F426)</f>
        <v>550.80999999999995</v>
      </c>
      <c r="O434" s="296" t="s">
        <v>2150</v>
      </c>
      <c r="U434" s="274" t="s">
        <v>383</v>
      </c>
      <c r="W434" s="253">
        <f>0.07*C19</f>
        <v>5.52</v>
      </c>
      <c r="X434" s="274">
        <f>X432+W434</f>
        <v>582.41999999999996</v>
      </c>
      <c r="AD434" s="296" t="s">
        <v>770</v>
      </c>
      <c r="AF434" s="296"/>
      <c r="AG434" s="252">
        <f>(AG432/10)</f>
        <v>6516.13</v>
      </c>
    </row>
    <row r="435" spans="1:33" ht="18.75" customHeight="1">
      <c r="A435" s="363">
        <f t="shared" si="44"/>
        <v>269</v>
      </c>
      <c r="B435" s="365" t="s">
        <v>1114</v>
      </c>
      <c r="C435" s="314">
        <v>6.86</v>
      </c>
      <c r="D435" s="365" t="s">
        <v>865</v>
      </c>
      <c r="H435" s="296" t="s">
        <v>385</v>
      </c>
      <c r="K435" s="274">
        <f>(K434+C20/10*F426)</f>
        <v>561.95000000000005</v>
      </c>
      <c r="O435" s="296" t="s">
        <v>2151</v>
      </c>
      <c r="U435" s="274" t="s">
        <v>385</v>
      </c>
      <c r="W435" s="253">
        <f>0.07*C20</f>
        <v>11.14</v>
      </c>
      <c r="X435" s="274">
        <f>X434+W435</f>
        <v>593.55999999999995</v>
      </c>
      <c r="AF435" s="296"/>
      <c r="AG435" s="358" t="s">
        <v>2046</v>
      </c>
    </row>
    <row r="436" spans="1:33" ht="18.75" customHeight="1">
      <c r="A436" s="363">
        <f t="shared" si="44"/>
        <v>270</v>
      </c>
      <c r="B436" s="365" t="s">
        <v>1116</v>
      </c>
      <c r="C436" s="314">
        <v>9.15</v>
      </c>
      <c r="D436" s="365" t="s">
        <v>865</v>
      </c>
      <c r="H436" s="296" t="s">
        <v>2222</v>
      </c>
      <c r="K436" s="274">
        <f>(K435+C21/10*F426)</f>
        <v>573.09</v>
      </c>
      <c r="O436" s="296" t="s">
        <v>2152</v>
      </c>
      <c r="U436" s="274" t="s">
        <v>2222</v>
      </c>
      <c r="W436" s="253">
        <f>W435</f>
        <v>11.14</v>
      </c>
      <c r="X436" s="274">
        <f>X435+W436</f>
        <v>604.70000000000005</v>
      </c>
      <c r="AB436" s="296" t="s">
        <v>246</v>
      </c>
      <c r="AF436" s="296"/>
    </row>
    <row r="437" spans="1:33" ht="18.75" customHeight="1">
      <c r="A437" s="363">
        <f t="shared" si="44"/>
        <v>271</v>
      </c>
      <c r="B437" s="365" t="s">
        <v>237</v>
      </c>
      <c r="C437" s="314">
        <v>14.59</v>
      </c>
      <c r="D437" s="365" t="s">
        <v>865</v>
      </c>
      <c r="H437" s="296" t="s">
        <v>377</v>
      </c>
      <c r="K437" s="274">
        <f>(K436+C21/10*F426)</f>
        <v>584.23</v>
      </c>
      <c r="O437" s="296" t="s">
        <v>2155</v>
      </c>
      <c r="U437" s="274" t="s">
        <v>377</v>
      </c>
      <c r="W437" s="253">
        <f>W436</f>
        <v>11.14</v>
      </c>
      <c r="X437" s="274">
        <f>X436+W437</f>
        <v>615.84</v>
      </c>
      <c r="AF437" s="296"/>
    </row>
    <row r="438" spans="1:33" ht="18.75" customHeight="1">
      <c r="A438" s="363"/>
      <c r="B438" s="365"/>
      <c r="C438" s="314"/>
      <c r="D438" s="365"/>
      <c r="H438" s="296" t="s">
        <v>830</v>
      </c>
      <c r="K438" s="274">
        <f>(K437+C20/10*F426)</f>
        <v>595.37</v>
      </c>
      <c r="O438" s="296"/>
      <c r="U438" s="274" t="s">
        <v>830</v>
      </c>
      <c r="W438" s="253">
        <f>W437</f>
        <v>11.14</v>
      </c>
      <c r="X438" s="274">
        <f>X437+W438</f>
        <v>626.98</v>
      </c>
      <c r="AC438" s="252" t="s">
        <v>1532</v>
      </c>
      <c r="AD438" s="296" t="s">
        <v>3828</v>
      </c>
      <c r="AF438" s="296"/>
    </row>
    <row r="439" spans="1:33" ht="18.75" customHeight="1">
      <c r="A439" s="363">
        <f>(A437+1)</f>
        <v>272</v>
      </c>
      <c r="B439" s="365" t="s">
        <v>1117</v>
      </c>
      <c r="C439" s="314">
        <v>21.74</v>
      </c>
      <c r="D439" s="365" t="s">
        <v>865</v>
      </c>
      <c r="H439" s="253" t="s">
        <v>2134</v>
      </c>
      <c r="M439" s="252">
        <v>8</v>
      </c>
      <c r="N439" s="296" t="s">
        <v>766</v>
      </c>
      <c r="O439" s="296" t="s">
        <v>2135</v>
      </c>
      <c r="P439" s="252">
        <f>(C43)</f>
        <v>9.35</v>
      </c>
      <c r="Q439" s="296" t="s">
        <v>766</v>
      </c>
      <c r="R439" s="252">
        <f>(M439*P439)</f>
        <v>74.8</v>
      </c>
      <c r="W439" s="253"/>
      <c r="AD439" s="358" t="s">
        <v>1579</v>
      </c>
      <c r="AF439" s="296"/>
    </row>
    <row r="440" spans="1:33" ht="18.75" customHeight="1">
      <c r="A440" s="363">
        <f t="shared" si="44"/>
        <v>273</v>
      </c>
      <c r="B440" s="412" t="s">
        <v>4559</v>
      </c>
      <c r="C440" s="364"/>
      <c r="D440" s="365" t="s">
        <v>971</v>
      </c>
      <c r="H440" s="253" t="s">
        <v>2110</v>
      </c>
      <c r="M440" s="252">
        <v>8</v>
      </c>
      <c r="N440" s="296" t="s">
        <v>766</v>
      </c>
      <c r="O440" s="296" t="s">
        <v>464</v>
      </c>
      <c r="P440" s="252">
        <f>(C50)</f>
        <v>13.35</v>
      </c>
      <c r="Q440" s="296" t="s">
        <v>766</v>
      </c>
      <c r="R440" s="252">
        <f>(M440*P440)</f>
        <v>106.8</v>
      </c>
      <c r="W440" s="253"/>
      <c r="AB440" s="252">
        <v>0.75</v>
      </c>
      <c r="AC440" s="252" t="s">
        <v>866</v>
      </c>
      <c r="AD440" s="296" t="s">
        <v>2269</v>
      </c>
      <c r="AE440" s="252">
        <f>AG434</f>
        <v>6516.13</v>
      </c>
      <c r="AF440" s="296" t="s">
        <v>865</v>
      </c>
      <c r="AG440" s="252">
        <f>(AB440*AE440)</f>
        <v>4887.1000000000004</v>
      </c>
    </row>
    <row r="441" spans="1:33" ht="18.75" customHeight="1">
      <c r="A441" s="363">
        <f t="shared" si="44"/>
        <v>274</v>
      </c>
      <c r="B441" s="365" t="s">
        <v>1111</v>
      </c>
      <c r="C441" s="362">
        <v>28.6</v>
      </c>
      <c r="D441" s="365" t="s">
        <v>865</v>
      </c>
      <c r="F441" s="369">
        <v>12</v>
      </c>
      <c r="G441" s="252" t="s">
        <v>2241</v>
      </c>
      <c r="H441" s="296" t="s">
        <v>465</v>
      </c>
      <c r="M441" s="252">
        <v>1</v>
      </c>
      <c r="N441" s="296" t="s">
        <v>446</v>
      </c>
      <c r="O441" s="296" t="s">
        <v>1676</v>
      </c>
      <c r="P441" s="252">
        <f>(C56)</f>
        <v>12.1</v>
      </c>
      <c r="Q441" s="296" t="s">
        <v>446</v>
      </c>
      <c r="R441" s="252">
        <f>(M441*P441)</f>
        <v>12.1</v>
      </c>
      <c r="W441" s="253"/>
      <c r="AB441" s="252">
        <v>1</v>
      </c>
      <c r="AC441" s="252" t="s">
        <v>766</v>
      </c>
      <c r="AD441" s="296" t="s">
        <v>2000</v>
      </c>
      <c r="AE441" s="252">
        <f>AE426</f>
        <v>999</v>
      </c>
      <c r="AF441" s="296" t="s">
        <v>865</v>
      </c>
      <c r="AG441" s="252">
        <f>(AB441*AE441)</f>
        <v>999</v>
      </c>
    </row>
    <row r="442" spans="1:33" ht="18.75" customHeight="1">
      <c r="A442" s="363">
        <f t="shared" si="44"/>
        <v>275</v>
      </c>
      <c r="B442" s="365" t="s">
        <v>1112</v>
      </c>
      <c r="C442" s="362">
        <v>34.700000000000003</v>
      </c>
      <c r="D442" s="365" t="s">
        <v>865</v>
      </c>
      <c r="H442" s="296" t="s">
        <v>1108</v>
      </c>
      <c r="M442" s="252">
        <v>1</v>
      </c>
      <c r="N442" s="296" t="s">
        <v>446</v>
      </c>
      <c r="O442" s="296" t="s">
        <v>447</v>
      </c>
      <c r="Q442" s="296" t="s">
        <v>446</v>
      </c>
      <c r="R442" s="252">
        <v>0</v>
      </c>
      <c r="W442" s="253"/>
      <c r="AC442" s="252" t="s">
        <v>446</v>
      </c>
      <c r="AD442" s="296" t="s">
        <v>447</v>
      </c>
      <c r="AE442" s="296" t="s">
        <v>971</v>
      </c>
      <c r="AF442" s="296" t="s">
        <v>446</v>
      </c>
      <c r="AG442" s="252">
        <v>0</v>
      </c>
    </row>
    <row r="443" spans="1:33" ht="18.75" customHeight="1">
      <c r="A443" s="363">
        <f t="shared" si="44"/>
        <v>276</v>
      </c>
      <c r="B443" s="365" t="s">
        <v>1113</v>
      </c>
      <c r="C443" s="362">
        <v>81.400000000000006</v>
      </c>
      <c r="D443" s="365" t="s">
        <v>865</v>
      </c>
      <c r="H443" s="358" t="s">
        <v>1579</v>
      </c>
      <c r="R443" s="358" t="s">
        <v>1579</v>
      </c>
      <c r="W443" s="253"/>
      <c r="AF443" s="296"/>
      <c r="AG443" s="358" t="s">
        <v>1579</v>
      </c>
    </row>
    <row r="444" spans="1:33" ht="18.75" customHeight="1">
      <c r="A444" s="363">
        <f t="shared" si="44"/>
        <v>277</v>
      </c>
      <c r="B444" s="365" t="s">
        <v>1114</v>
      </c>
      <c r="C444" s="362">
        <v>98.6</v>
      </c>
      <c r="D444" s="365" t="s">
        <v>865</v>
      </c>
      <c r="F444" s="252">
        <v>6570</v>
      </c>
      <c r="G444" s="252" t="s">
        <v>1420</v>
      </c>
      <c r="H444" s="296" t="s">
        <v>1559</v>
      </c>
      <c r="I444" s="252">
        <f>(C77)</f>
        <v>4318.6400000000003</v>
      </c>
      <c r="J444" s="296" t="s">
        <v>1587</v>
      </c>
      <c r="K444" s="252">
        <f>(F444*I444)/1000</f>
        <v>28373.46</v>
      </c>
      <c r="O444" s="296" t="s">
        <v>1537</v>
      </c>
      <c r="R444" s="252">
        <f>SUM(R431:R442)</f>
        <v>2474.41</v>
      </c>
      <c r="W444" s="253"/>
      <c r="AD444" s="296" t="s">
        <v>438</v>
      </c>
      <c r="AF444" s="296"/>
      <c r="AG444" s="252">
        <f>SUM(AG440:AG442)</f>
        <v>5886.1</v>
      </c>
    </row>
    <row r="445" spans="1:33" ht="18.75" customHeight="1">
      <c r="A445" s="363">
        <f t="shared" si="44"/>
        <v>278</v>
      </c>
      <c r="B445" s="365" t="s">
        <v>1116</v>
      </c>
      <c r="C445" s="362">
        <v>110.2</v>
      </c>
      <c r="D445" s="365" t="s">
        <v>865</v>
      </c>
      <c r="F445" s="252">
        <v>1.91</v>
      </c>
      <c r="G445" s="252" t="s">
        <v>866</v>
      </c>
      <c r="H445" s="296" t="s">
        <v>1302</v>
      </c>
      <c r="I445" s="252">
        <f>(K40)</f>
        <v>4136.5</v>
      </c>
      <c r="J445" s="296" t="s">
        <v>866</v>
      </c>
      <c r="K445" s="252">
        <f>(F445*I445)</f>
        <v>7900.72</v>
      </c>
      <c r="R445" s="358" t="s">
        <v>1579</v>
      </c>
      <c r="W445" s="253"/>
      <c r="AF445" s="296"/>
      <c r="AG445" s="358" t="s">
        <v>1579</v>
      </c>
    </row>
    <row r="446" spans="1:33" ht="18.75" customHeight="1">
      <c r="A446" s="363">
        <f t="shared" si="44"/>
        <v>279</v>
      </c>
      <c r="B446" s="365" t="s">
        <v>237</v>
      </c>
      <c r="C446" s="362">
        <v>139.80000000000001</v>
      </c>
      <c r="D446" s="365" t="s">
        <v>865</v>
      </c>
      <c r="F446" s="252">
        <v>7</v>
      </c>
      <c r="G446" s="252" t="s">
        <v>865</v>
      </c>
      <c r="H446" s="296" t="s">
        <v>2000</v>
      </c>
      <c r="I446" s="252">
        <f>(C10)</f>
        <v>999</v>
      </c>
      <c r="J446" s="296" t="s">
        <v>865</v>
      </c>
      <c r="K446" s="252">
        <f>(F446*I446)</f>
        <v>6993</v>
      </c>
      <c r="O446" s="296" t="s">
        <v>1538</v>
      </c>
      <c r="R446" s="252">
        <f>(R444/30)</f>
        <v>82.48</v>
      </c>
      <c r="W446" s="253"/>
      <c r="AD446" s="296" t="s">
        <v>549</v>
      </c>
      <c r="AF446" s="296"/>
      <c r="AG446" s="252">
        <f>(AG444/10)</f>
        <v>588.61</v>
      </c>
    </row>
    <row r="447" spans="1:33" ht="18.75" customHeight="1">
      <c r="A447" s="363">
        <f t="shared" si="44"/>
        <v>280</v>
      </c>
      <c r="B447" s="411" t="s">
        <v>3513</v>
      </c>
      <c r="C447" s="410">
        <v>363</v>
      </c>
      <c r="D447" s="411" t="s">
        <v>865</v>
      </c>
      <c r="F447" s="252">
        <v>3.6</v>
      </c>
      <c r="G447" s="252" t="s">
        <v>865</v>
      </c>
      <c r="H447" s="296" t="s">
        <v>1704</v>
      </c>
      <c r="I447" s="252">
        <f>(C11)</f>
        <v>932</v>
      </c>
      <c r="J447" s="296" t="s">
        <v>865</v>
      </c>
      <c r="K447" s="252">
        <f>(F447*I447)</f>
        <v>3355.2</v>
      </c>
      <c r="R447" s="358" t="s">
        <v>1579</v>
      </c>
      <c r="W447" s="253"/>
      <c r="AF447" s="296"/>
      <c r="AG447" s="358" t="s">
        <v>2046</v>
      </c>
    </row>
    <row r="448" spans="1:33" ht="18.75" customHeight="1">
      <c r="A448" s="363">
        <f t="shared" si="44"/>
        <v>281</v>
      </c>
      <c r="B448" s="412" t="s">
        <v>4560</v>
      </c>
      <c r="C448" s="364"/>
      <c r="D448" s="365" t="s">
        <v>971</v>
      </c>
      <c r="F448" s="252">
        <v>7.1</v>
      </c>
      <c r="G448" s="252" t="s">
        <v>865</v>
      </c>
      <c r="H448" s="296" t="s">
        <v>1893</v>
      </c>
      <c r="I448" s="252">
        <f>(C12)</f>
        <v>651</v>
      </c>
      <c r="J448" s="296" t="s">
        <v>865</v>
      </c>
      <c r="K448" s="252">
        <f>(F448*I448)</f>
        <v>4622.1000000000004</v>
      </c>
      <c r="N448" s="296" t="s">
        <v>1548</v>
      </c>
      <c r="O448" s="253" t="s">
        <v>1010</v>
      </c>
      <c r="W448" s="253"/>
      <c r="AD448" s="296" t="s">
        <v>383</v>
      </c>
      <c r="AF448" s="296">
        <f>C19*0.075</f>
        <v>5.92</v>
      </c>
      <c r="AG448" s="274">
        <f>AG446+AF448</f>
        <v>594.53</v>
      </c>
    </row>
    <row r="449" spans="1:36" ht="18.75" customHeight="1">
      <c r="A449" s="363">
        <f t="shared" si="44"/>
        <v>282</v>
      </c>
      <c r="B449" s="365" t="s">
        <v>1111</v>
      </c>
      <c r="C449" s="362">
        <v>23.2</v>
      </c>
      <c r="D449" s="365" t="s">
        <v>865</v>
      </c>
      <c r="F449" s="252">
        <v>14.1</v>
      </c>
      <c r="G449" s="252" t="s">
        <v>865</v>
      </c>
      <c r="H449" s="296" t="s">
        <v>317</v>
      </c>
      <c r="I449" s="252">
        <f>(C13)</f>
        <v>534</v>
      </c>
      <c r="J449" s="296" t="s">
        <v>865</v>
      </c>
      <c r="K449" s="252">
        <f>(F449*I449)</f>
        <v>7529.4</v>
      </c>
      <c r="O449" s="358" t="s">
        <v>1579</v>
      </c>
      <c r="W449" s="253"/>
      <c r="AD449" s="296" t="s">
        <v>385</v>
      </c>
      <c r="AF449" s="296">
        <f>C20*0.075</f>
        <v>11.94</v>
      </c>
      <c r="AG449" s="274">
        <f t="shared" ref="AG449:AG458" si="46">AG448+AF449</f>
        <v>606.47</v>
      </c>
    </row>
    <row r="450" spans="1:36" ht="18.75" customHeight="1">
      <c r="A450" s="363">
        <f t="shared" si="44"/>
        <v>283</v>
      </c>
      <c r="B450" s="365" t="s">
        <v>1112</v>
      </c>
      <c r="C450" s="362">
        <v>34.700000000000003</v>
      </c>
      <c r="D450" s="365" t="s">
        <v>865</v>
      </c>
      <c r="G450" s="252" t="s">
        <v>446</v>
      </c>
      <c r="H450" s="296" t="s">
        <v>447</v>
      </c>
      <c r="I450" s="296" t="s">
        <v>971</v>
      </c>
      <c r="J450" s="296" t="s">
        <v>446</v>
      </c>
      <c r="K450" s="252">
        <v>0</v>
      </c>
      <c r="M450" s="252">
        <v>8.1</v>
      </c>
      <c r="N450" s="296" t="s">
        <v>866</v>
      </c>
      <c r="O450" s="296" t="s">
        <v>614</v>
      </c>
      <c r="P450" s="252">
        <f>(C61)*2</f>
        <v>224.1</v>
      </c>
      <c r="Q450" s="296" t="s">
        <v>866</v>
      </c>
      <c r="R450" s="252">
        <f>(M450*P450)</f>
        <v>1815.21</v>
      </c>
      <c r="W450" s="253"/>
      <c r="AD450" s="296" t="s">
        <v>2222</v>
      </c>
      <c r="AF450" s="296">
        <f>C21*0.075</f>
        <v>11.94</v>
      </c>
      <c r="AG450" s="274">
        <f t="shared" si="46"/>
        <v>618.41</v>
      </c>
    </row>
    <row r="451" spans="1:36" ht="18.75" customHeight="1">
      <c r="A451" s="363">
        <f t="shared" si="44"/>
        <v>284</v>
      </c>
      <c r="B451" s="365" t="s">
        <v>1113</v>
      </c>
      <c r="C451" s="362">
        <v>43.7</v>
      </c>
      <c r="D451" s="365" t="s">
        <v>865</v>
      </c>
      <c r="K451" s="358" t="s">
        <v>1579</v>
      </c>
      <c r="M451" s="252">
        <v>8.1</v>
      </c>
      <c r="N451" s="296" t="s">
        <v>866</v>
      </c>
      <c r="O451" s="296" t="s">
        <v>2148</v>
      </c>
      <c r="P451" s="252">
        <f>(C26)</f>
        <v>38.950000000000003</v>
      </c>
      <c r="Q451" s="296" t="s">
        <v>866</v>
      </c>
      <c r="R451" s="252">
        <f>(M451*P451)</f>
        <v>315.5</v>
      </c>
      <c r="W451" s="253"/>
      <c r="AD451" s="296" t="s">
        <v>377</v>
      </c>
      <c r="AF451" s="296">
        <f t="shared" ref="AF451:AF458" si="47">AF450</f>
        <v>11.94</v>
      </c>
      <c r="AG451" s="274">
        <f t="shared" si="46"/>
        <v>630.35</v>
      </c>
    </row>
    <row r="452" spans="1:36" ht="18.75" customHeight="1">
      <c r="A452" s="363">
        <f t="shared" si="44"/>
        <v>285</v>
      </c>
      <c r="B452" s="365" t="s">
        <v>1114</v>
      </c>
      <c r="C452" s="362">
        <v>58.1</v>
      </c>
      <c r="D452" s="365" t="s">
        <v>865</v>
      </c>
      <c r="H452" s="296" t="s">
        <v>611</v>
      </c>
      <c r="K452" s="252">
        <f>SUM(K444:K450)</f>
        <v>58773.88</v>
      </c>
      <c r="M452" s="252">
        <v>30</v>
      </c>
      <c r="N452" s="296" t="s">
        <v>1763</v>
      </c>
      <c r="O452" s="296" t="s">
        <v>2149</v>
      </c>
      <c r="P452" s="252">
        <f>(C42)</f>
        <v>5</v>
      </c>
      <c r="Q452" s="296" t="s">
        <v>1763</v>
      </c>
      <c r="R452" s="252">
        <f>(M452*P452)</f>
        <v>150</v>
      </c>
      <c r="W452" s="253"/>
      <c r="AD452" s="296" t="s">
        <v>830</v>
      </c>
      <c r="AF452" s="296">
        <f t="shared" si="47"/>
        <v>11.94</v>
      </c>
      <c r="AG452" s="274">
        <f t="shared" si="46"/>
        <v>642.29</v>
      </c>
      <c r="AJ452" s="252">
        <f>40.81*0.075</f>
        <v>3.06</v>
      </c>
    </row>
    <row r="453" spans="1:36" ht="18.75" customHeight="1">
      <c r="A453" s="363">
        <f t="shared" si="44"/>
        <v>286</v>
      </c>
      <c r="B453" s="365" t="s">
        <v>1116</v>
      </c>
      <c r="C453" s="362">
        <v>69.8</v>
      </c>
      <c r="D453" s="365" t="s">
        <v>865</v>
      </c>
      <c r="K453" s="358" t="s">
        <v>1579</v>
      </c>
      <c r="O453" s="296" t="s">
        <v>2150</v>
      </c>
      <c r="W453" s="253"/>
      <c r="AD453" s="296" t="s">
        <v>3552</v>
      </c>
      <c r="AE453" s="370">
        <f t="shared" ref="AE453:AE458" si="48">AG453</f>
        <v>654.23</v>
      </c>
      <c r="AF453" s="296">
        <f t="shared" si="47"/>
        <v>11.94</v>
      </c>
      <c r="AG453" s="274">
        <f t="shared" si="46"/>
        <v>654.23</v>
      </c>
    </row>
    <row r="454" spans="1:36" ht="18.75" customHeight="1">
      <c r="A454" s="363">
        <f t="shared" si="44"/>
        <v>287</v>
      </c>
      <c r="B454" s="365" t="s">
        <v>237</v>
      </c>
      <c r="C454" s="362">
        <v>87</v>
      </c>
      <c r="D454" s="365" t="s">
        <v>865</v>
      </c>
      <c r="H454" s="296" t="s">
        <v>770</v>
      </c>
      <c r="K454" s="252">
        <f>(K452/10)</f>
        <v>5877.39</v>
      </c>
      <c r="O454" s="296" t="s">
        <v>2151</v>
      </c>
      <c r="W454" s="253"/>
      <c r="AD454" s="296" t="s">
        <v>3553</v>
      </c>
      <c r="AE454" s="370">
        <f t="shared" si="48"/>
        <v>666.17</v>
      </c>
      <c r="AF454" s="296">
        <f t="shared" si="47"/>
        <v>11.94</v>
      </c>
      <c r="AG454" s="274">
        <f t="shared" si="46"/>
        <v>666.17</v>
      </c>
    </row>
    <row r="455" spans="1:36" ht="18.75" customHeight="1">
      <c r="A455" s="363">
        <f t="shared" si="44"/>
        <v>288</v>
      </c>
      <c r="B455" s="411" t="s">
        <v>3513</v>
      </c>
      <c r="C455" s="410">
        <v>18.600000000000001</v>
      </c>
      <c r="D455" s="411" t="s">
        <v>865</v>
      </c>
      <c r="K455" s="358" t="s">
        <v>2046</v>
      </c>
      <c r="O455" s="296" t="s">
        <v>2152</v>
      </c>
      <c r="W455" s="253"/>
      <c r="AD455" s="296" t="s">
        <v>3554</v>
      </c>
      <c r="AE455" s="370">
        <f t="shared" si="48"/>
        <v>678.11</v>
      </c>
      <c r="AF455" s="296">
        <f t="shared" si="47"/>
        <v>11.94</v>
      </c>
      <c r="AG455" s="274">
        <f t="shared" si="46"/>
        <v>678.11</v>
      </c>
    </row>
    <row r="456" spans="1:36" ht="18.75" customHeight="1">
      <c r="A456" s="363">
        <f t="shared" si="44"/>
        <v>289</v>
      </c>
      <c r="B456" s="365" t="s">
        <v>2278</v>
      </c>
      <c r="C456" s="364"/>
      <c r="D456" s="365" t="s">
        <v>971</v>
      </c>
      <c r="O456" s="296" t="s">
        <v>2155</v>
      </c>
      <c r="W456" s="253"/>
      <c r="AD456" s="296" t="s">
        <v>3576</v>
      </c>
      <c r="AE456" s="370">
        <f t="shared" si="48"/>
        <v>690.05</v>
      </c>
      <c r="AF456" s="296">
        <f t="shared" si="47"/>
        <v>11.94</v>
      </c>
      <c r="AG456" s="274">
        <f t="shared" si="46"/>
        <v>690.05</v>
      </c>
    </row>
    <row r="457" spans="1:36" ht="18.75" customHeight="1">
      <c r="A457" s="363">
        <f t="shared" si="44"/>
        <v>290</v>
      </c>
      <c r="B457" s="365" t="s">
        <v>1111</v>
      </c>
      <c r="C457" s="413">
        <v>355.95</v>
      </c>
      <c r="D457" s="365" t="s">
        <v>865</v>
      </c>
      <c r="G457" s="252" t="s">
        <v>2241</v>
      </c>
      <c r="H457" s="296" t="s">
        <v>151</v>
      </c>
      <c r="M457" s="252">
        <v>8</v>
      </c>
      <c r="N457" s="296" t="s">
        <v>766</v>
      </c>
      <c r="O457" s="296" t="s">
        <v>2135</v>
      </c>
      <c r="P457" s="252">
        <f>(C44)</f>
        <v>9.35</v>
      </c>
      <c r="Q457" s="296" t="s">
        <v>766</v>
      </c>
      <c r="R457" s="252">
        <f>(M457*P457)</f>
        <v>74.8</v>
      </c>
      <c r="W457" s="253"/>
      <c r="AD457" s="296" t="s">
        <v>3574</v>
      </c>
      <c r="AE457" s="370">
        <f t="shared" si="48"/>
        <v>701.99</v>
      </c>
      <c r="AF457" s="296">
        <f t="shared" si="47"/>
        <v>11.94</v>
      </c>
      <c r="AG457" s="274">
        <f t="shared" si="46"/>
        <v>701.99</v>
      </c>
    </row>
    <row r="458" spans="1:36" ht="18.75" customHeight="1">
      <c r="A458" s="363">
        <f t="shared" si="44"/>
        <v>291</v>
      </c>
      <c r="B458" s="365" t="s">
        <v>1112</v>
      </c>
      <c r="C458" s="413">
        <v>536.54999999999995</v>
      </c>
      <c r="D458" s="365" t="s">
        <v>865</v>
      </c>
      <c r="H458" s="358" t="s">
        <v>1579</v>
      </c>
      <c r="M458" s="252">
        <v>8</v>
      </c>
      <c r="N458" s="296" t="s">
        <v>766</v>
      </c>
      <c r="O458" s="296" t="s">
        <v>464</v>
      </c>
      <c r="P458" s="252">
        <f>(C51)</f>
        <v>13.5</v>
      </c>
      <c r="Q458" s="296" t="s">
        <v>766</v>
      </c>
      <c r="R458" s="252">
        <f>(M458*P458)</f>
        <v>108</v>
      </c>
      <c r="W458" s="253"/>
      <c r="AE458" s="370">
        <f t="shared" si="48"/>
        <v>713.93</v>
      </c>
      <c r="AF458" s="296">
        <f t="shared" si="47"/>
        <v>11.94</v>
      </c>
      <c r="AG458" s="274">
        <f t="shared" si="46"/>
        <v>713.93</v>
      </c>
    </row>
    <row r="459" spans="1:36" ht="18.75" customHeight="1">
      <c r="A459" s="363">
        <f t="shared" si="44"/>
        <v>292</v>
      </c>
      <c r="B459" s="365" t="s">
        <v>1113</v>
      </c>
      <c r="C459" s="413">
        <v>789.6</v>
      </c>
      <c r="D459" s="365" t="s">
        <v>971</v>
      </c>
      <c r="F459" s="252">
        <v>0.5</v>
      </c>
      <c r="G459" s="252" t="s">
        <v>866</v>
      </c>
      <c r="H459" s="296" t="s">
        <v>2269</v>
      </c>
      <c r="I459" s="252">
        <f>(K454)</f>
        <v>5877.39</v>
      </c>
      <c r="J459" s="296" t="s">
        <v>865</v>
      </c>
      <c r="K459" s="252">
        <f>(F459*I459)</f>
        <v>2938.7</v>
      </c>
      <c r="M459" s="252">
        <v>1</v>
      </c>
      <c r="N459" s="296" t="s">
        <v>446</v>
      </c>
      <c r="O459" s="296" t="s">
        <v>1676</v>
      </c>
      <c r="P459" s="252">
        <f>(C56)</f>
        <v>12.1</v>
      </c>
      <c r="Q459" s="296" t="s">
        <v>446</v>
      </c>
      <c r="R459" s="252">
        <f>(M459*P459)</f>
        <v>12.1</v>
      </c>
      <c r="U459" s="414" t="s">
        <v>4000</v>
      </c>
      <c r="W459" s="253"/>
      <c r="Y459" s="356"/>
      <c r="AA459" s="414" t="s">
        <v>4121</v>
      </c>
      <c r="AE459" s="370">
        <f>AG459</f>
        <v>725.87</v>
      </c>
      <c r="AF459" s="296">
        <f>AF458</f>
        <v>11.94</v>
      </c>
      <c r="AG459" s="274">
        <f>AG458+AF459</f>
        <v>725.87</v>
      </c>
    </row>
    <row r="460" spans="1:36" ht="18.75" customHeight="1">
      <c r="A460" s="363">
        <f t="shared" si="44"/>
        <v>293</v>
      </c>
      <c r="B460" s="365" t="s">
        <v>4561</v>
      </c>
      <c r="C460" s="252">
        <f>AE49</f>
        <v>4.2</v>
      </c>
      <c r="D460" s="365" t="s">
        <v>865</v>
      </c>
      <c r="F460" s="252">
        <v>1</v>
      </c>
      <c r="G460" s="252" t="s">
        <v>766</v>
      </c>
      <c r="H460" s="296" t="s">
        <v>2000</v>
      </c>
      <c r="I460" s="252">
        <f>(C10)</f>
        <v>999</v>
      </c>
      <c r="J460" s="296" t="s">
        <v>865</v>
      </c>
      <c r="K460" s="252">
        <f>(F460*I460)</f>
        <v>999</v>
      </c>
      <c r="M460" s="252">
        <v>1</v>
      </c>
      <c r="N460" s="296" t="s">
        <v>446</v>
      </c>
      <c r="O460" s="296" t="s">
        <v>447</v>
      </c>
      <c r="Q460" s="296" t="s">
        <v>446</v>
      </c>
      <c r="R460" s="252">
        <v>0</v>
      </c>
      <c r="S460" s="253" t="s">
        <v>1603</v>
      </c>
      <c r="T460" s="252" t="s">
        <v>2241</v>
      </c>
      <c r="U460" s="296" t="s">
        <v>879</v>
      </c>
      <c r="W460" s="253"/>
      <c r="Y460" s="253" t="s">
        <v>1603</v>
      </c>
      <c r="Z460" s="252" t="s">
        <v>2241</v>
      </c>
      <c r="AA460" s="296" t="s">
        <v>879</v>
      </c>
      <c r="AC460" s="296"/>
      <c r="AE460" s="370">
        <f>AG460</f>
        <v>737.81</v>
      </c>
      <c r="AF460" s="296">
        <f>AF459</f>
        <v>11.94</v>
      </c>
      <c r="AG460" s="274">
        <f>AG459+AF460</f>
        <v>737.81</v>
      </c>
    </row>
    <row r="461" spans="1:36" ht="18.75" customHeight="1">
      <c r="A461" s="363">
        <f t="shared" si="44"/>
        <v>294</v>
      </c>
      <c r="B461" s="365" t="s">
        <v>4562</v>
      </c>
      <c r="C461" s="252">
        <f>AE50</f>
        <v>5.25</v>
      </c>
      <c r="D461" s="365" t="s">
        <v>865</v>
      </c>
      <c r="G461" s="252" t="s">
        <v>446</v>
      </c>
      <c r="H461" s="296" t="s">
        <v>447</v>
      </c>
      <c r="I461" s="296" t="s">
        <v>971</v>
      </c>
      <c r="J461" s="296" t="s">
        <v>446</v>
      </c>
      <c r="K461" s="252">
        <v>0</v>
      </c>
      <c r="R461" s="358" t="s">
        <v>1579</v>
      </c>
      <c r="S461" s="252"/>
      <c r="U461" s="296" t="s">
        <v>1091</v>
      </c>
      <c r="W461" s="253"/>
      <c r="AA461" s="296" t="s">
        <v>1091</v>
      </c>
      <c r="AC461" s="296"/>
      <c r="AE461" s="370">
        <f t="shared" ref="AE461:AE524" si="49">AG461</f>
        <v>749.75</v>
      </c>
      <c r="AF461" s="296">
        <f>AF460</f>
        <v>11.94</v>
      </c>
      <c r="AG461" s="274">
        <f>AG460+AF461</f>
        <v>749.75</v>
      </c>
    </row>
    <row r="462" spans="1:36" ht="18.75" customHeight="1">
      <c r="A462" s="363">
        <f t="shared" si="44"/>
        <v>295</v>
      </c>
      <c r="B462" s="365" t="s">
        <v>1077</v>
      </c>
      <c r="C462" s="387">
        <v>350</v>
      </c>
      <c r="D462" s="387">
        <v>375</v>
      </c>
      <c r="K462" s="358" t="s">
        <v>1579</v>
      </c>
      <c r="O462" s="296" t="s">
        <v>1537</v>
      </c>
      <c r="R462" s="252">
        <f>SUM(R450:R460)</f>
        <v>2475.61</v>
      </c>
      <c r="S462" s="252"/>
      <c r="U462" s="296" t="s">
        <v>3993</v>
      </c>
      <c r="W462" s="253"/>
      <c r="AA462" s="296" t="s">
        <v>3993</v>
      </c>
      <c r="AC462" s="296"/>
      <c r="AE462" s="370">
        <f t="shared" si="49"/>
        <v>761.69</v>
      </c>
      <c r="AF462" s="296">
        <f>AF461</f>
        <v>11.94</v>
      </c>
      <c r="AG462" s="274">
        <f>AG461+AF462</f>
        <v>761.69</v>
      </c>
    </row>
    <row r="463" spans="1:36" ht="18.75" customHeight="1">
      <c r="A463" s="363">
        <f t="shared" si="44"/>
        <v>296</v>
      </c>
      <c r="B463" s="365" t="s">
        <v>2087</v>
      </c>
      <c r="C463" s="387">
        <v>400</v>
      </c>
      <c r="D463" s="387">
        <v>425</v>
      </c>
      <c r="H463" s="296" t="s">
        <v>438</v>
      </c>
      <c r="K463" s="252">
        <f>SUM(K459:K461)</f>
        <v>3937.7</v>
      </c>
      <c r="R463" s="358" t="s">
        <v>1579</v>
      </c>
      <c r="S463" s="252"/>
      <c r="U463" s="358" t="s">
        <v>1579</v>
      </c>
      <c r="W463" s="253"/>
      <c r="AA463" s="358" t="s">
        <v>1579</v>
      </c>
      <c r="AC463" s="296"/>
      <c r="AE463" s="370">
        <f t="shared" si="49"/>
        <v>773.63</v>
      </c>
      <c r="AF463" s="296">
        <f>AF462</f>
        <v>11.94</v>
      </c>
      <c r="AG463" s="274">
        <f>AG462+AF463</f>
        <v>773.63</v>
      </c>
    </row>
    <row r="464" spans="1:36" ht="18.75" customHeight="1">
      <c r="A464" s="363">
        <f t="shared" si="44"/>
        <v>297</v>
      </c>
      <c r="B464" s="365" t="s">
        <v>1054</v>
      </c>
      <c r="C464" s="387">
        <v>450</v>
      </c>
      <c r="D464" s="387">
        <v>500</v>
      </c>
      <c r="K464" s="358" t="s">
        <v>1579</v>
      </c>
      <c r="O464" s="296" t="s">
        <v>1538</v>
      </c>
      <c r="R464" s="252">
        <f>(R462/30)</f>
        <v>82.52</v>
      </c>
      <c r="S464" s="252">
        <v>0.01</v>
      </c>
      <c r="T464" s="252" t="s">
        <v>866</v>
      </c>
      <c r="U464" s="389" t="s">
        <v>4001</v>
      </c>
      <c r="V464" s="252">
        <f>Z718</f>
        <v>8125.18</v>
      </c>
      <c r="W464" s="253" t="s">
        <v>866</v>
      </c>
      <c r="X464" s="252">
        <f>(S464*V464)</f>
        <v>81.25</v>
      </c>
      <c r="Y464" s="252">
        <v>0.01</v>
      </c>
      <c r="Z464" s="252" t="s">
        <v>866</v>
      </c>
      <c r="AA464" s="389" t="s">
        <v>4122</v>
      </c>
      <c r="AB464" s="252">
        <f>Y688</f>
        <v>8669.4500000000007</v>
      </c>
      <c r="AC464" s="296" t="s">
        <v>866</v>
      </c>
      <c r="AD464" s="252">
        <f>(Y464*AB464)</f>
        <v>86.69</v>
      </c>
      <c r="AE464" s="370" t="str">
        <f t="shared" si="49"/>
        <v>|</v>
      </c>
      <c r="AG464" s="296" t="s">
        <v>2249</v>
      </c>
    </row>
    <row r="465" spans="1:33" ht="18.75" customHeight="1">
      <c r="A465" s="363">
        <f t="shared" si="44"/>
        <v>298</v>
      </c>
      <c r="B465" s="365" t="s">
        <v>1944</v>
      </c>
      <c r="C465" s="387">
        <v>77.819999999999993</v>
      </c>
      <c r="D465" s="365" t="s">
        <v>865</v>
      </c>
      <c r="H465" s="296" t="s">
        <v>549</v>
      </c>
      <c r="K465" s="252">
        <f>(K463/10)</f>
        <v>393.77</v>
      </c>
      <c r="R465" s="358" t="s">
        <v>1579</v>
      </c>
      <c r="S465" s="252">
        <v>0.01</v>
      </c>
      <c r="T465" s="252" t="s">
        <v>866</v>
      </c>
      <c r="U465" s="296" t="s">
        <v>981</v>
      </c>
      <c r="W465" s="253" t="s">
        <v>446</v>
      </c>
      <c r="X465" s="252">
        <v>1.1499999999999999</v>
      </c>
      <c r="Y465" s="252">
        <v>0.01</v>
      </c>
      <c r="Z465" s="252" t="s">
        <v>866</v>
      </c>
      <c r="AA465" s="296" t="s">
        <v>981</v>
      </c>
      <c r="AC465" s="296" t="s">
        <v>446</v>
      </c>
      <c r="AD465" s="252">
        <v>1.1499999999999999</v>
      </c>
      <c r="AE465" s="370" t="str">
        <f t="shared" si="49"/>
        <v>|</v>
      </c>
      <c r="AG465" s="296" t="s">
        <v>2249</v>
      </c>
    </row>
    <row r="466" spans="1:33" ht="18.75" customHeight="1">
      <c r="A466" s="363">
        <f t="shared" si="44"/>
        <v>299</v>
      </c>
      <c r="B466" s="365" t="s">
        <v>1945</v>
      </c>
      <c r="C466" s="387">
        <v>99.74</v>
      </c>
      <c r="D466" s="365" t="s">
        <v>865</v>
      </c>
      <c r="K466" s="358" t="s">
        <v>2046</v>
      </c>
      <c r="N466" s="296" t="s">
        <v>1946</v>
      </c>
      <c r="O466" s="253" t="s">
        <v>1947</v>
      </c>
      <c r="S466" s="252"/>
      <c r="U466" s="296" t="s">
        <v>130</v>
      </c>
      <c r="W466" s="253"/>
      <c r="AA466" s="296" t="s">
        <v>130</v>
      </c>
      <c r="AC466" s="296"/>
      <c r="AE466" s="370" t="str">
        <f t="shared" si="49"/>
        <v>|</v>
      </c>
      <c r="AG466" s="296" t="s">
        <v>2249</v>
      </c>
    </row>
    <row r="467" spans="1:33" ht="18.75" customHeight="1">
      <c r="A467" s="363">
        <f t="shared" si="44"/>
        <v>300</v>
      </c>
      <c r="B467" s="365" t="s">
        <v>1113</v>
      </c>
      <c r="C467" s="387">
        <v>165</v>
      </c>
      <c r="D467" s="365" t="s">
        <v>865</v>
      </c>
      <c r="H467" s="296" t="s">
        <v>383</v>
      </c>
      <c r="K467" s="274">
        <f>(K465+C19/10*F459)</f>
        <v>397.72</v>
      </c>
      <c r="O467" s="358" t="s">
        <v>1579</v>
      </c>
      <c r="S467" s="252"/>
      <c r="W467" s="253"/>
      <c r="X467" s="358" t="s">
        <v>1579</v>
      </c>
      <c r="AC467" s="296"/>
      <c r="AD467" s="358" t="s">
        <v>1579</v>
      </c>
      <c r="AE467" s="370" t="str">
        <f t="shared" si="49"/>
        <v>|</v>
      </c>
      <c r="AG467" s="296" t="s">
        <v>2249</v>
      </c>
    </row>
    <row r="468" spans="1:33" ht="18.75" customHeight="1">
      <c r="A468" s="363">
        <f t="shared" si="44"/>
        <v>301</v>
      </c>
      <c r="B468" s="365" t="s">
        <v>1114</v>
      </c>
      <c r="C468" s="387">
        <v>258</v>
      </c>
      <c r="D468" s="365" t="s">
        <v>865</v>
      </c>
      <c r="H468" s="296" t="s">
        <v>385</v>
      </c>
      <c r="K468" s="274">
        <f>(K467+C20/10*F459)</f>
        <v>405.68</v>
      </c>
      <c r="M468" s="252">
        <v>8.1</v>
      </c>
      <c r="N468" s="296" t="s">
        <v>866</v>
      </c>
      <c r="O468" s="296" t="s">
        <v>614</v>
      </c>
      <c r="P468" s="252">
        <f>(C61)*2</f>
        <v>224.1</v>
      </c>
      <c r="Q468" s="296" t="s">
        <v>866</v>
      </c>
      <c r="R468" s="252">
        <f>(M468*P468)</f>
        <v>1815.21</v>
      </c>
      <c r="S468" s="252"/>
      <c r="U468" s="296" t="s">
        <v>1479</v>
      </c>
      <c r="W468" s="253"/>
      <c r="X468" s="252">
        <f>SUM(X464:X466)</f>
        <v>82.4</v>
      </c>
      <c r="AA468" s="296" t="s">
        <v>1479</v>
      </c>
      <c r="AC468" s="296"/>
      <c r="AD468" s="252">
        <f>SUM(AD464:AD466)</f>
        <v>87.84</v>
      </c>
      <c r="AE468" s="370" t="str">
        <f t="shared" si="49"/>
        <v>|</v>
      </c>
      <c r="AG468" s="296" t="s">
        <v>2249</v>
      </c>
    </row>
    <row r="469" spans="1:33" ht="18.75" customHeight="1">
      <c r="A469" s="363">
        <f t="shared" si="44"/>
        <v>302</v>
      </c>
      <c r="B469" s="365" t="s">
        <v>1116</v>
      </c>
      <c r="C469" s="387">
        <v>298</v>
      </c>
      <c r="D469" s="365" t="s">
        <v>865</v>
      </c>
      <c r="H469" s="296" t="s">
        <v>2222</v>
      </c>
      <c r="K469" s="274">
        <f>(K468+C21/10*F459)</f>
        <v>413.64</v>
      </c>
      <c r="M469" s="252">
        <v>8.1</v>
      </c>
      <c r="N469" s="296" t="s">
        <v>866</v>
      </c>
      <c r="O469" s="296" t="s">
        <v>2148</v>
      </c>
      <c r="P469" s="252">
        <f>(C26)</f>
        <v>38.950000000000003</v>
      </c>
      <c r="Q469" s="296" t="s">
        <v>866</v>
      </c>
      <c r="R469" s="252">
        <f>(M469*P469)</f>
        <v>315.5</v>
      </c>
      <c r="S469" s="252"/>
      <c r="W469" s="253"/>
      <c r="X469" s="358" t="s">
        <v>1579</v>
      </c>
      <c r="AC469" s="296"/>
      <c r="AD469" s="358" t="s">
        <v>1579</v>
      </c>
      <c r="AE469" s="370" t="str">
        <f t="shared" si="49"/>
        <v>|</v>
      </c>
      <c r="AG469" s="296" t="s">
        <v>2249</v>
      </c>
    </row>
    <row r="470" spans="1:33" ht="18.75" customHeight="1">
      <c r="A470" s="363">
        <f t="shared" si="44"/>
        <v>303</v>
      </c>
      <c r="B470" s="365" t="s">
        <v>237</v>
      </c>
      <c r="C470" s="387">
        <v>398</v>
      </c>
      <c r="D470" s="365" t="s">
        <v>865</v>
      </c>
      <c r="H470" s="296" t="s">
        <v>377</v>
      </c>
      <c r="K470" s="274">
        <f>(K469+C21/10*F459)</f>
        <v>421.6</v>
      </c>
      <c r="L470" s="252">
        <f t="shared" ref="L470:L476" si="50">K470-K469</f>
        <v>7.96</v>
      </c>
      <c r="M470" s="252">
        <v>30</v>
      </c>
      <c r="N470" s="296" t="s">
        <v>1763</v>
      </c>
      <c r="O470" s="296" t="s">
        <v>2149</v>
      </c>
      <c r="P470" s="252">
        <f>(C42)</f>
        <v>5</v>
      </c>
      <c r="Q470" s="296" t="s">
        <v>1763</v>
      </c>
      <c r="R470" s="252">
        <f>(M470*P470)</f>
        <v>150</v>
      </c>
      <c r="S470" s="252"/>
      <c r="U470" s="296" t="s">
        <v>770</v>
      </c>
      <c r="W470" s="253"/>
      <c r="X470" s="252">
        <f>ROUND(X468*100,0)</f>
        <v>8240</v>
      </c>
      <c r="AA470" s="296" t="s">
        <v>770</v>
      </c>
      <c r="AC470" s="296"/>
      <c r="AD470" s="252">
        <f>ROUND(AD468*100,0)</f>
        <v>8784</v>
      </c>
      <c r="AE470" s="370" t="str">
        <f t="shared" si="49"/>
        <v>|</v>
      </c>
      <c r="AG470" s="296" t="s">
        <v>2249</v>
      </c>
    </row>
    <row r="471" spans="1:33" ht="18.75" customHeight="1">
      <c r="A471" s="363">
        <f t="shared" si="44"/>
        <v>304</v>
      </c>
      <c r="B471" s="365" t="s">
        <v>1117</v>
      </c>
      <c r="C471" s="387"/>
      <c r="D471" s="365" t="s">
        <v>865</v>
      </c>
      <c r="H471" s="296" t="s">
        <v>1525</v>
      </c>
      <c r="K471" s="274">
        <f>(K470+C21/10*F459)</f>
        <v>429.56</v>
      </c>
      <c r="L471" s="252">
        <f t="shared" si="50"/>
        <v>7.96</v>
      </c>
      <c r="O471" s="296" t="s">
        <v>2150</v>
      </c>
      <c r="S471" s="296" t="s">
        <v>971</v>
      </c>
      <c r="W471" s="253"/>
      <c r="Y471" s="296" t="s">
        <v>971</v>
      </c>
      <c r="AC471" s="296"/>
      <c r="AE471" s="370" t="str">
        <f t="shared" si="49"/>
        <v>|</v>
      </c>
      <c r="AG471" s="296" t="s">
        <v>2249</v>
      </c>
    </row>
    <row r="472" spans="1:33" ht="18.75" customHeight="1">
      <c r="A472" s="363"/>
      <c r="B472" s="365"/>
      <c r="C472" s="364"/>
      <c r="D472" s="365"/>
      <c r="H472" s="296">
        <v>5</v>
      </c>
      <c r="K472" s="274">
        <f>(K471+C21/10*F459)</f>
        <v>437.52</v>
      </c>
      <c r="L472" s="252">
        <f t="shared" si="50"/>
        <v>7.96</v>
      </c>
      <c r="O472" s="296"/>
      <c r="S472" s="252"/>
      <c r="W472" s="253"/>
      <c r="X472" s="358" t="s">
        <v>2046</v>
      </c>
      <c r="AC472" s="296"/>
      <c r="AD472" s="358" t="s">
        <v>2046</v>
      </c>
      <c r="AE472" s="370"/>
      <c r="AG472" s="296"/>
    </row>
    <row r="473" spans="1:33" ht="18.75" customHeight="1">
      <c r="A473" s="363"/>
      <c r="B473" s="365"/>
      <c r="C473" s="364"/>
      <c r="D473" s="365"/>
      <c r="H473" s="296">
        <v>6</v>
      </c>
      <c r="K473" s="274">
        <f>(K472+C21/10*F459)</f>
        <v>445.48</v>
      </c>
      <c r="L473" s="252">
        <f t="shared" si="50"/>
        <v>7.96</v>
      </c>
      <c r="O473" s="296"/>
      <c r="S473" s="252"/>
      <c r="T473" s="252" t="s">
        <v>672</v>
      </c>
      <c r="U473" s="296" t="s">
        <v>986</v>
      </c>
      <c r="W473" s="253"/>
      <c r="Z473" s="252" t="s">
        <v>672</v>
      </c>
      <c r="AA473" s="296" t="s">
        <v>986</v>
      </c>
      <c r="AC473" s="296"/>
      <c r="AE473" s="370"/>
      <c r="AG473" s="296"/>
    </row>
    <row r="474" spans="1:33" ht="18.75" customHeight="1">
      <c r="A474" s="363"/>
      <c r="B474" s="365"/>
      <c r="C474" s="364"/>
      <c r="D474" s="365"/>
      <c r="H474" s="296">
        <v>7</v>
      </c>
      <c r="K474" s="274">
        <f>(K473+C21/10*F459)</f>
        <v>453.44</v>
      </c>
      <c r="L474" s="252">
        <f t="shared" si="50"/>
        <v>7.96</v>
      </c>
      <c r="O474" s="296"/>
      <c r="S474" s="252"/>
      <c r="U474" s="296" t="s">
        <v>1645</v>
      </c>
      <c r="W474" s="253"/>
      <c r="AA474" s="296" t="s">
        <v>1645</v>
      </c>
      <c r="AC474" s="296"/>
      <c r="AE474" s="370"/>
      <c r="AG474" s="296"/>
    </row>
    <row r="475" spans="1:33" ht="18.75" customHeight="1">
      <c r="A475" s="363"/>
      <c r="B475" s="365"/>
      <c r="C475" s="364"/>
      <c r="D475" s="365"/>
      <c r="H475" s="296">
        <v>8</v>
      </c>
      <c r="K475" s="274">
        <f>(K474+C21/10*F459)</f>
        <v>461.4</v>
      </c>
      <c r="L475" s="252">
        <f t="shared" si="50"/>
        <v>7.96</v>
      </c>
      <c r="O475" s="296"/>
      <c r="S475" s="252"/>
      <c r="U475" s="358" t="s">
        <v>1579</v>
      </c>
      <c r="W475" s="253"/>
      <c r="AA475" s="358" t="s">
        <v>1579</v>
      </c>
      <c r="AC475" s="296"/>
      <c r="AE475" s="370"/>
      <c r="AG475" s="296"/>
    </row>
    <row r="476" spans="1:33" ht="18.75" customHeight="1">
      <c r="A476" s="363"/>
      <c r="B476" s="365"/>
      <c r="C476" s="364"/>
      <c r="D476" s="365"/>
      <c r="H476" s="296">
        <v>9</v>
      </c>
      <c r="K476" s="274">
        <f>(K475+C21/10*F459)</f>
        <v>469.36</v>
      </c>
      <c r="L476" s="252">
        <f t="shared" si="50"/>
        <v>7.96</v>
      </c>
      <c r="O476" s="296"/>
      <c r="S476" s="356">
        <v>1.4E-2</v>
      </c>
      <c r="T476" s="252" t="s">
        <v>866</v>
      </c>
      <c r="U476" s="296" t="s">
        <v>1320</v>
      </c>
      <c r="V476" s="252">
        <f>X470</f>
        <v>8240</v>
      </c>
      <c r="W476" s="253" t="s">
        <v>866</v>
      </c>
      <c r="X476" s="252">
        <f>(S476*V476)</f>
        <v>115.36</v>
      </c>
      <c r="Y476" s="356">
        <v>1.4E-2</v>
      </c>
      <c r="Z476" s="252" t="s">
        <v>866</v>
      </c>
      <c r="AA476" s="296" t="s">
        <v>1320</v>
      </c>
      <c r="AB476" s="252">
        <f>AD470</f>
        <v>8784</v>
      </c>
      <c r="AC476" s="296" t="s">
        <v>866</v>
      </c>
      <c r="AD476" s="252">
        <f>(Y476*AB476)</f>
        <v>122.98</v>
      </c>
      <c r="AE476" s="370"/>
      <c r="AG476" s="296"/>
    </row>
    <row r="477" spans="1:33" ht="18.75" customHeight="1">
      <c r="A477" s="363"/>
      <c r="B477" s="365"/>
      <c r="C477" s="364"/>
      <c r="D477" s="365"/>
      <c r="H477" s="296">
        <v>10</v>
      </c>
      <c r="K477" s="274">
        <f>(K476+C21/10*F459)</f>
        <v>477.32</v>
      </c>
      <c r="L477" s="252">
        <f>K477-K476</f>
        <v>7.96</v>
      </c>
      <c r="O477" s="296"/>
      <c r="U477" s="296" t="s">
        <v>1766</v>
      </c>
      <c r="W477" s="253"/>
      <c r="X477" s="296" t="s">
        <v>971</v>
      </c>
      <c r="Y477" s="356"/>
      <c r="AA477" s="296" t="s">
        <v>1766</v>
      </c>
      <c r="AC477" s="296"/>
      <c r="AD477" s="296" t="s">
        <v>971</v>
      </c>
      <c r="AE477" s="370"/>
      <c r="AG477" s="296"/>
    </row>
    <row r="478" spans="1:33" ht="18.75" customHeight="1">
      <c r="A478" s="363"/>
      <c r="B478" s="365"/>
      <c r="C478" s="364"/>
      <c r="D478" s="365"/>
      <c r="H478" s="296"/>
      <c r="K478" s="274">
        <f>(K477+C21/10*F459)</f>
        <v>485.28</v>
      </c>
      <c r="L478" s="252">
        <f>K478-K477</f>
        <v>7.96</v>
      </c>
      <c r="O478" s="296"/>
      <c r="S478" s="252">
        <v>0.5</v>
      </c>
      <c r="T478" s="252" t="s">
        <v>766</v>
      </c>
      <c r="U478" s="296" t="s">
        <v>2000</v>
      </c>
      <c r="V478" s="252">
        <f>C10</f>
        <v>999</v>
      </c>
      <c r="W478" s="253" t="s">
        <v>766</v>
      </c>
      <c r="X478" s="252">
        <f>(S478*V478)</f>
        <v>499.5</v>
      </c>
      <c r="Y478" s="252">
        <v>0.5</v>
      </c>
      <c r="Z478" s="252" t="s">
        <v>766</v>
      </c>
      <c r="AA478" s="296" t="s">
        <v>2000</v>
      </c>
      <c r="AB478" s="252">
        <f>V478</f>
        <v>999</v>
      </c>
      <c r="AC478" s="296" t="s">
        <v>766</v>
      </c>
      <c r="AD478" s="252">
        <f>(Y478*AB478)</f>
        <v>499.5</v>
      </c>
      <c r="AE478" s="370"/>
      <c r="AG478" s="296"/>
    </row>
    <row r="479" spans="1:33" ht="18.75" customHeight="1">
      <c r="A479" s="363">
        <f>(A471+1)</f>
        <v>305</v>
      </c>
      <c r="B479" s="412" t="s">
        <v>5429</v>
      </c>
      <c r="C479" s="364"/>
      <c r="D479" s="365" t="s">
        <v>865</v>
      </c>
      <c r="F479" s="253" t="s">
        <v>1948</v>
      </c>
      <c r="G479" s="252" t="s">
        <v>2241</v>
      </c>
      <c r="H479" s="296" t="s">
        <v>1949</v>
      </c>
      <c r="K479" s="274">
        <f>(K478+C21/10*F459)</f>
        <v>493.24</v>
      </c>
      <c r="L479" s="252">
        <f>K479-K478</f>
        <v>7.96</v>
      </c>
      <c r="O479" s="296" t="s">
        <v>2151</v>
      </c>
      <c r="S479" s="252">
        <v>0.75</v>
      </c>
      <c r="T479" s="252" t="s">
        <v>766</v>
      </c>
      <c r="U479" s="296" t="s">
        <v>1893</v>
      </c>
      <c r="V479" s="252">
        <f>C12</f>
        <v>651</v>
      </c>
      <c r="W479" s="253" t="s">
        <v>766</v>
      </c>
      <c r="X479" s="252">
        <f>(S479*V479)</f>
        <v>488.25</v>
      </c>
      <c r="Y479" s="252">
        <v>0.75</v>
      </c>
      <c r="Z479" s="252" t="s">
        <v>766</v>
      </c>
      <c r="AA479" s="296" t="s">
        <v>1893</v>
      </c>
      <c r="AB479" s="252">
        <f>V479</f>
        <v>651</v>
      </c>
      <c r="AC479" s="296" t="s">
        <v>766</v>
      </c>
      <c r="AD479" s="252">
        <f>(Y479*AB479)</f>
        <v>488.25</v>
      </c>
      <c r="AE479" s="370" t="str">
        <f t="shared" si="49"/>
        <v>|</v>
      </c>
      <c r="AG479" s="296" t="s">
        <v>2249</v>
      </c>
    </row>
    <row r="480" spans="1:33" ht="18.75" customHeight="1">
      <c r="A480" s="363">
        <f t="shared" si="44"/>
        <v>306</v>
      </c>
      <c r="B480" s="365" t="s">
        <v>1111</v>
      </c>
      <c r="C480" s="413">
        <v>168</v>
      </c>
      <c r="D480" s="365" t="s">
        <v>865</v>
      </c>
      <c r="H480" s="296" t="s">
        <v>2228</v>
      </c>
      <c r="O480" s="296" t="s">
        <v>2152</v>
      </c>
      <c r="S480" s="252"/>
      <c r="T480" s="252" t="s">
        <v>446</v>
      </c>
      <c r="U480" s="296" t="s">
        <v>447</v>
      </c>
      <c r="W480" s="253" t="s">
        <v>446</v>
      </c>
      <c r="X480" s="252">
        <v>0</v>
      </c>
      <c r="Z480" s="252" t="s">
        <v>446</v>
      </c>
      <c r="AA480" s="296" t="s">
        <v>447</v>
      </c>
      <c r="AB480" s="252">
        <f>V480</f>
        <v>0</v>
      </c>
      <c r="AC480" s="296" t="s">
        <v>446</v>
      </c>
      <c r="AD480" s="252">
        <v>0</v>
      </c>
      <c r="AE480" s="370" t="str">
        <f t="shared" si="49"/>
        <v>|</v>
      </c>
      <c r="AG480" s="296" t="s">
        <v>2249</v>
      </c>
    </row>
    <row r="481" spans="1:33" ht="18.75" customHeight="1">
      <c r="A481" s="363">
        <f t="shared" si="44"/>
        <v>307</v>
      </c>
      <c r="B481" s="365" t="s">
        <v>1112</v>
      </c>
      <c r="C481" s="362">
        <v>350</v>
      </c>
      <c r="D481" s="365" t="s">
        <v>865</v>
      </c>
      <c r="H481" s="358" t="s">
        <v>1579</v>
      </c>
      <c r="O481" s="296" t="s">
        <v>2155</v>
      </c>
      <c r="S481" s="252"/>
      <c r="W481" s="253"/>
      <c r="X481" s="358" t="s">
        <v>1579</v>
      </c>
      <c r="AC481" s="296"/>
      <c r="AD481" s="358" t="s">
        <v>1579</v>
      </c>
      <c r="AE481" s="370" t="str">
        <f t="shared" si="49"/>
        <v>|</v>
      </c>
      <c r="AG481" s="296" t="s">
        <v>2249</v>
      </c>
    </row>
    <row r="482" spans="1:33" ht="18.75" customHeight="1">
      <c r="A482" s="363">
        <f t="shared" si="44"/>
        <v>308</v>
      </c>
      <c r="B482" s="365" t="s">
        <v>1113</v>
      </c>
      <c r="C482" s="362">
        <v>592</v>
      </c>
      <c r="D482" s="365" t="s">
        <v>865</v>
      </c>
      <c r="F482" s="252">
        <v>1</v>
      </c>
      <c r="G482" s="252" t="s">
        <v>866</v>
      </c>
      <c r="H482" s="296" t="s">
        <v>5603</v>
      </c>
      <c r="I482" s="252">
        <f>(C26)</f>
        <v>38.950000000000003</v>
      </c>
      <c r="J482" s="296" t="s">
        <v>866</v>
      </c>
      <c r="K482" s="274">
        <f>(F482*I482)</f>
        <v>38.950000000000003</v>
      </c>
      <c r="M482" s="252">
        <v>8</v>
      </c>
      <c r="N482" s="296" t="s">
        <v>766</v>
      </c>
      <c r="O482" s="296" t="s">
        <v>2135</v>
      </c>
      <c r="P482" s="252">
        <f>(C45)</f>
        <v>11.2</v>
      </c>
      <c r="Q482" s="296" t="s">
        <v>766</v>
      </c>
      <c r="R482" s="252">
        <f>(M482*P482)</f>
        <v>89.6</v>
      </c>
      <c r="S482" s="252"/>
      <c r="U482" s="296" t="s">
        <v>102</v>
      </c>
      <c r="W482" s="253"/>
      <c r="X482" s="252">
        <f>SUM(X476:X480)</f>
        <v>1103.1099999999999</v>
      </c>
      <c r="AA482" s="296" t="s">
        <v>102</v>
      </c>
      <c r="AC482" s="296"/>
      <c r="AD482" s="252">
        <f>SUM(AD476:AD480)</f>
        <v>1110.73</v>
      </c>
      <c r="AE482" s="370" t="str">
        <f t="shared" si="49"/>
        <v>|</v>
      </c>
      <c r="AG482" s="296" t="s">
        <v>2249</v>
      </c>
    </row>
    <row r="483" spans="1:33" ht="18.75" customHeight="1">
      <c r="A483" s="363">
        <f t="shared" si="44"/>
        <v>309</v>
      </c>
      <c r="B483" s="365" t="s">
        <v>1114</v>
      </c>
      <c r="C483" s="362">
        <v>760</v>
      </c>
      <c r="D483" s="365" t="s">
        <v>865</v>
      </c>
      <c r="K483" s="358" t="s">
        <v>2046</v>
      </c>
      <c r="M483" s="252">
        <v>8</v>
      </c>
      <c r="N483" s="296" t="s">
        <v>766</v>
      </c>
      <c r="O483" s="296" t="s">
        <v>464</v>
      </c>
      <c r="P483" s="252">
        <f>(C52)</f>
        <v>28.05</v>
      </c>
      <c r="Q483" s="296" t="s">
        <v>766</v>
      </c>
      <c r="R483" s="252">
        <f>(M483*P483)</f>
        <v>224.4</v>
      </c>
      <c r="S483" s="252"/>
      <c r="W483" s="253"/>
      <c r="X483" s="358" t="s">
        <v>1579</v>
      </c>
      <c r="AC483" s="296"/>
      <c r="AD483" s="358" t="s">
        <v>1579</v>
      </c>
      <c r="AE483" s="370" t="str">
        <f t="shared" si="49"/>
        <v>|</v>
      </c>
      <c r="AG483" s="296" t="s">
        <v>2249</v>
      </c>
    </row>
    <row r="484" spans="1:33" ht="18.75" customHeight="1">
      <c r="A484" s="363">
        <f t="shared" si="44"/>
        <v>310</v>
      </c>
      <c r="B484" s="365" t="s">
        <v>1116</v>
      </c>
      <c r="C484" s="362">
        <v>977</v>
      </c>
      <c r="D484" s="365" t="s">
        <v>865</v>
      </c>
      <c r="F484" s="375">
        <v>7.3</v>
      </c>
      <c r="G484" s="252" t="s">
        <v>2241</v>
      </c>
      <c r="H484" s="296" t="s">
        <v>2230</v>
      </c>
      <c r="M484" s="252">
        <v>1</v>
      </c>
      <c r="N484" s="296" t="s">
        <v>446</v>
      </c>
      <c r="O484" s="296" t="s">
        <v>1676</v>
      </c>
      <c r="P484" s="252">
        <f>(C56)</f>
        <v>12.1</v>
      </c>
      <c r="Q484" s="296" t="s">
        <v>446</v>
      </c>
      <c r="R484" s="252">
        <f>(M484*P484)</f>
        <v>12.1</v>
      </c>
      <c r="S484" s="252"/>
      <c r="U484" s="296" t="s">
        <v>549</v>
      </c>
      <c r="W484" s="253"/>
      <c r="X484" s="252">
        <f>(X482/0.372)</f>
        <v>2965.35</v>
      </c>
      <c r="AA484" s="296" t="s">
        <v>549</v>
      </c>
      <c r="AC484" s="296"/>
      <c r="AD484" s="252">
        <f>(AD482/0.372)</f>
        <v>2985.83</v>
      </c>
      <c r="AE484" s="370" t="str">
        <f t="shared" si="49"/>
        <v>|</v>
      </c>
      <c r="AG484" s="296" t="s">
        <v>2249</v>
      </c>
    </row>
    <row r="485" spans="1:33" ht="18.75" customHeight="1">
      <c r="A485" s="363">
        <f t="shared" si="44"/>
        <v>311</v>
      </c>
      <c r="B485" s="365" t="s">
        <v>237</v>
      </c>
      <c r="C485" s="362">
        <v>1241</v>
      </c>
      <c r="D485" s="365" t="s">
        <v>865</v>
      </c>
      <c r="F485" s="296" t="s">
        <v>971</v>
      </c>
      <c r="H485" s="296" t="s">
        <v>959</v>
      </c>
      <c r="M485" s="252">
        <v>1</v>
      </c>
      <c r="N485" s="296" t="s">
        <v>446</v>
      </c>
      <c r="O485" s="296" t="s">
        <v>447</v>
      </c>
      <c r="Q485" s="296" t="s">
        <v>446</v>
      </c>
      <c r="R485" s="252">
        <v>0</v>
      </c>
      <c r="S485" s="252"/>
      <c r="W485" s="253"/>
      <c r="X485" s="358" t="s">
        <v>2046</v>
      </c>
      <c r="AC485" s="296"/>
      <c r="AD485" s="358" t="s">
        <v>2046</v>
      </c>
      <c r="AE485" s="370" t="str">
        <f t="shared" si="49"/>
        <v>|</v>
      </c>
      <c r="AG485" s="296" t="s">
        <v>2249</v>
      </c>
    </row>
    <row r="486" spans="1:33" ht="18.75" customHeight="1">
      <c r="A486" s="363">
        <f t="shared" si="44"/>
        <v>312</v>
      </c>
      <c r="B486" s="365" t="s">
        <v>1117</v>
      </c>
      <c r="C486" s="362">
        <v>1523</v>
      </c>
      <c r="D486" s="365" t="s">
        <v>865</v>
      </c>
      <c r="F486" s="296" t="s">
        <v>971</v>
      </c>
      <c r="H486" s="358" t="s">
        <v>2289</v>
      </c>
      <c r="R486" s="358" t="s">
        <v>1579</v>
      </c>
      <c r="S486" s="252"/>
      <c r="U486" s="296" t="s">
        <v>383</v>
      </c>
      <c r="V486" s="252">
        <f>X484</f>
        <v>2965.35</v>
      </c>
      <c r="W486" s="253">
        <f>J659</f>
        <v>4.51</v>
      </c>
      <c r="X486" s="274">
        <f>V486+W486</f>
        <v>2969.86</v>
      </c>
      <c r="AA486" s="296" t="s">
        <v>383</v>
      </c>
      <c r="AB486" s="252">
        <f>AD484</f>
        <v>2985.83</v>
      </c>
      <c r="AC486" s="296">
        <f>W486</f>
        <v>4.51</v>
      </c>
      <c r="AD486" s="274">
        <f>AB486+AC486</f>
        <v>2990.34</v>
      </c>
      <c r="AE486" s="370" t="str">
        <f t="shared" si="49"/>
        <v>|</v>
      </c>
      <c r="AG486" s="296" t="s">
        <v>2249</v>
      </c>
    </row>
    <row r="487" spans="1:33" ht="18.75" customHeight="1">
      <c r="A487" s="363">
        <f t="shared" si="44"/>
        <v>313</v>
      </c>
      <c r="B487" s="412" t="s">
        <v>5430</v>
      </c>
      <c r="C487" s="364"/>
      <c r="D487" s="365"/>
      <c r="F487" s="252">
        <v>0.13</v>
      </c>
      <c r="G487" s="252" t="s">
        <v>866</v>
      </c>
      <c r="H487" s="296" t="s">
        <v>1302</v>
      </c>
      <c r="I487" s="252">
        <f>(K40)</f>
        <v>4136.5</v>
      </c>
      <c r="J487" s="296" t="s">
        <v>866</v>
      </c>
      <c r="K487" s="252">
        <f t="shared" ref="K487:K492" si="51">(F487*I487)</f>
        <v>537.75</v>
      </c>
      <c r="O487" s="296" t="s">
        <v>1537</v>
      </c>
      <c r="R487" s="252">
        <f>SUM(R468:R485)</f>
        <v>2606.81</v>
      </c>
      <c r="S487" s="252"/>
      <c r="U487" s="296" t="s">
        <v>385</v>
      </c>
      <c r="V487" s="252">
        <f>X486</f>
        <v>2969.86</v>
      </c>
      <c r="W487" s="253">
        <f>J662</f>
        <v>8.89</v>
      </c>
      <c r="X487" s="274">
        <f>V487+W487</f>
        <v>2978.75</v>
      </c>
      <c r="AA487" s="296" t="s">
        <v>385</v>
      </c>
      <c r="AB487" s="252">
        <f>AD486</f>
        <v>2990.34</v>
      </c>
      <c r="AC487" s="296">
        <f>W487</f>
        <v>8.89</v>
      </c>
      <c r="AD487" s="274">
        <f>AB487+AC487</f>
        <v>2999.23</v>
      </c>
      <c r="AE487" s="370" t="str">
        <f t="shared" si="49"/>
        <v>|</v>
      </c>
      <c r="AG487" s="296" t="s">
        <v>2249</v>
      </c>
    </row>
    <row r="488" spans="1:33" ht="18.75" customHeight="1">
      <c r="A488" s="363">
        <f t="shared" ref="A488:A494" si="52">(A487+1)</f>
        <v>314</v>
      </c>
      <c r="B488" s="365" t="s">
        <v>1111</v>
      </c>
      <c r="C488" s="362">
        <v>169</v>
      </c>
      <c r="D488" s="365" t="s">
        <v>865</v>
      </c>
      <c r="F488" s="252">
        <v>0.7</v>
      </c>
      <c r="G488" s="252" t="s">
        <v>766</v>
      </c>
      <c r="H488" s="296" t="s">
        <v>2000</v>
      </c>
      <c r="I488" s="252">
        <f>(C10)</f>
        <v>999</v>
      </c>
      <c r="J488" s="296" t="s">
        <v>766</v>
      </c>
      <c r="K488" s="252">
        <f t="shared" si="51"/>
        <v>699.3</v>
      </c>
      <c r="R488" s="358" t="s">
        <v>1579</v>
      </c>
      <c r="S488" s="252"/>
      <c r="U488" s="296" t="s">
        <v>2222</v>
      </c>
      <c r="V488" s="252">
        <f>X487</f>
        <v>2978.75</v>
      </c>
      <c r="W488" s="253">
        <f>J663</f>
        <v>8.89</v>
      </c>
      <c r="X488" s="274">
        <f>V488+W488</f>
        <v>2987.64</v>
      </c>
      <c r="AA488" s="296" t="s">
        <v>2222</v>
      </c>
      <c r="AB488" s="252">
        <f>AD487</f>
        <v>2999.23</v>
      </c>
      <c r="AC488" s="296">
        <f>W488</f>
        <v>8.89</v>
      </c>
      <c r="AD488" s="274">
        <f>AB488+AC488</f>
        <v>3008.12</v>
      </c>
      <c r="AE488" s="370" t="str">
        <f t="shared" si="49"/>
        <v>|</v>
      </c>
      <c r="AG488" s="296" t="s">
        <v>2249</v>
      </c>
    </row>
    <row r="489" spans="1:33" ht="18.75" customHeight="1">
      <c r="A489" s="363">
        <f t="shared" si="52"/>
        <v>315</v>
      </c>
      <c r="B489" s="365" t="s">
        <v>1112</v>
      </c>
      <c r="C489" s="362">
        <v>241</v>
      </c>
      <c r="D489" s="365" t="s">
        <v>865</v>
      </c>
      <c r="F489" s="252">
        <v>0.7</v>
      </c>
      <c r="G489" s="252" t="s">
        <v>766</v>
      </c>
      <c r="H489" s="296" t="s">
        <v>1704</v>
      </c>
      <c r="I489" s="252">
        <f>(C11)</f>
        <v>932</v>
      </c>
      <c r="J489" s="296" t="s">
        <v>766</v>
      </c>
      <c r="K489" s="252">
        <f t="shared" si="51"/>
        <v>652.4</v>
      </c>
      <c r="O489" s="296" t="s">
        <v>1538</v>
      </c>
      <c r="R489" s="252">
        <f>(R487/30)</f>
        <v>86.89</v>
      </c>
      <c r="S489" s="252"/>
      <c r="U489" s="296" t="s">
        <v>377</v>
      </c>
      <c r="V489" s="252">
        <f>X488</f>
        <v>2987.64</v>
      </c>
      <c r="W489" s="253">
        <f>J664</f>
        <v>8.89</v>
      </c>
      <c r="X489" s="274">
        <f>V489+W489</f>
        <v>2996.53</v>
      </c>
      <c r="AA489" s="296" t="s">
        <v>377</v>
      </c>
      <c r="AB489" s="252">
        <f>AD488</f>
        <v>3008.12</v>
      </c>
      <c r="AC489" s="296">
        <f>W489</f>
        <v>8.89</v>
      </c>
      <c r="AD489" s="274">
        <f>AB489+AC489</f>
        <v>3017.01</v>
      </c>
      <c r="AE489" s="370" t="str">
        <f t="shared" si="49"/>
        <v>|</v>
      </c>
      <c r="AG489" s="296" t="s">
        <v>2249</v>
      </c>
    </row>
    <row r="490" spans="1:33" ht="18.75" customHeight="1">
      <c r="A490" s="363">
        <f t="shared" si="52"/>
        <v>316</v>
      </c>
      <c r="B490" s="365" t="s">
        <v>1113</v>
      </c>
      <c r="C490" s="362">
        <v>351</v>
      </c>
      <c r="D490" s="365" t="s">
        <v>865</v>
      </c>
      <c r="F490" s="252">
        <v>1.5</v>
      </c>
      <c r="G490" s="252" t="s">
        <v>766</v>
      </c>
      <c r="H490" s="296" t="s">
        <v>1893</v>
      </c>
      <c r="I490" s="252">
        <f>(C12)</f>
        <v>651</v>
      </c>
      <c r="J490" s="296" t="s">
        <v>766</v>
      </c>
      <c r="K490" s="252">
        <f t="shared" si="51"/>
        <v>976.5</v>
      </c>
      <c r="R490" s="358" t="s">
        <v>1579</v>
      </c>
      <c r="S490" s="252"/>
      <c r="U490" s="296" t="s">
        <v>1359</v>
      </c>
      <c r="V490" s="252">
        <f>X489</f>
        <v>2996.53</v>
      </c>
      <c r="W490" s="253">
        <f>J665</f>
        <v>8.89</v>
      </c>
      <c r="X490" s="274">
        <f>V490+W490</f>
        <v>3005.42</v>
      </c>
      <c r="AA490" s="296" t="s">
        <v>1359</v>
      </c>
      <c r="AB490" s="252">
        <f>AD489</f>
        <v>3017.01</v>
      </c>
      <c r="AC490" s="296">
        <f>W490</f>
        <v>8.89</v>
      </c>
      <c r="AD490" s="274">
        <f>AB490+AC490</f>
        <v>3025.9</v>
      </c>
      <c r="AE490" s="370" t="str">
        <f t="shared" si="49"/>
        <v>|</v>
      </c>
      <c r="AG490" s="296" t="s">
        <v>2249</v>
      </c>
    </row>
    <row r="491" spans="1:33" ht="18.75" customHeight="1">
      <c r="A491" s="363">
        <f t="shared" si="52"/>
        <v>317</v>
      </c>
      <c r="B491" s="365" t="s">
        <v>1114</v>
      </c>
      <c r="C491" s="362">
        <v>513</v>
      </c>
      <c r="D491" s="365" t="s">
        <v>865</v>
      </c>
      <c r="F491" s="252">
        <v>0.5</v>
      </c>
      <c r="G491" s="252" t="s">
        <v>766</v>
      </c>
      <c r="H491" s="296" t="s">
        <v>317</v>
      </c>
      <c r="I491" s="252">
        <f>(C13)</f>
        <v>534</v>
      </c>
      <c r="J491" s="296" t="s">
        <v>766</v>
      </c>
      <c r="K491" s="252">
        <f t="shared" si="51"/>
        <v>267</v>
      </c>
      <c r="M491" s="296" t="s">
        <v>971</v>
      </c>
      <c r="W491" s="253"/>
      <c r="Y491" s="356"/>
      <c r="AA491" s="296" t="s">
        <v>3552</v>
      </c>
      <c r="AC491" s="296">
        <f t="shared" ref="AC491:AC497" si="53">AC490</f>
        <v>8.89</v>
      </c>
      <c r="AD491" s="274">
        <f t="shared" ref="AD491:AD497" si="54">AD490+AC491</f>
        <v>3034.79</v>
      </c>
      <c r="AE491" s="370" t="str">
        <f t="shared" si="49"/>
        <v>|</v>
      </c>
      <c r="AG491" s="296" t="s">
        <v>2249</v>
      </c>
    </row>
    <row r="492" spans="1:33" ht="18.75" customHeight="1">
      <c r="A492" s="363">
        <f t="shared" si="52"/>
        <v>318</v>
      </c>
      <c r="B492" s="365" t="s">
        <v>1116</v>
      </c>
      <c r="C492" s="362">
        <v>652</v>
      </c>
      <c r="D492" s="365" t="s">
        <v>865</v>
      </c>
      <c r="F492" s="252">
        <v>0.94</v>
      </c>
      <c r="G492" s="252" t="s">
        <v>1637</v>
      </c>
      <c r="H492" s="296" t="s">
        <v>907</v>
      </c>
      <c r="I492" s="252">
        <f>C653</f>
        <v>42.7</v>
      </c>
      <c r="J492" s="296" t="s">
        <v>1637</v>
      </c>
      <c r="K492" s="252">
        <f t="shared" si="51"/>
        <v>40.14</v>
      </c>
      <c r="N492" s="296" t="s">
        <v>2241</v>
      </c>
      <c r="O492" s="296" t="s">
        <v>2038</v>
      </c>
      <c r="W492" s="253"/>
      <c r="Y492" s="356"/>
      <c r="AA492" s="296" t="s">
        <v>3553</v>
      </c>
      <c r="AC492" s="296">
        <f t="shared" si="53"/>
        <v>8.89</v>
      </c>
      <c r="AD492" s="274">
        <f t="shared" si="54"/>
        <v>3043.68</v>
      </c>
      <c r="AE492" s="370" t="str">
        <f t="shared" si="49"/>
        <v>|</v>
      </c>
      <c r="AG492" s="296" t="s">
        <v>2249</v>
      </c>
    </row>
    <row r="493" spans="1:33" ht="18.75" customHeight="1">
      <c r="A493" s="363">
        <f t="shared" si="52"/>
        <v>319</v>
      </c>
      <c r="B493" s="365" t="s">
        <v>237</v>
      </c>
      <c r="C493" s="387">
        <v>584</v>
      </c>
      <c r="D493" s="365" t="s">
        <v>865</v>
      </c>
      <c r="H493" s="296" t="s">
        <v>447</v>
      </c>
      <c r="I493" s="296" t="s">
        <v>971</v>
      </c>
      <c r="J493" s="296" t="s">
        <v>446</v>
      </c>
      <c r="K493" s="252">
        <v>0</v>
      </c>
      <c r="O493" s="296" t="s">
        <v>2039</v>
      </c>
      <c r="W493" s="253"/>
      <c r="Y493" s="356"/>
      <c r="AA493" s="296" t="s">
        <v>3554</v>
      </c>
      <c r="AC493" s="296">
        <f t="shared" si="53"/>
        <v>8.89</v>
      </c>
      <c r="AD493" s="252">
        <f t="shared" si="54"/>
        <v>3052.57</v>
      </c>
      <c r="AE493" s="370" t="str">
        <f t="shared" si="49"/>
        <v>|</v>
      </c>
      <c r="AG493" s="296" t="s">
        <v>2249</v>
      </c>
    </row>
    <row r="494" spans="1:33" ht="18.75" customHeight="1">
      <c r="A494" s="363">
        <f t="shared" si="52"/>
        <v>320</v>
      </c>
      <c r="B494" s="365" t="s">
        <v>1117</v>
      </c>
      <c r="C494" s="364"/>
      <c r="D494" s="365" t="s">
        <v>865</v>
      </c>
      <c r="K494" s="358" t="s">
        <v>1579</v>
      </c>
      <c r="O494" s="296" t="s">
        <v>944</v>
      </c>
      <c r="W494" s="253"/>
      <c r="Y494" s="356"/>
      <c r="AA494" s="296" t="s">
        <v>3555</v>
      </c>
      <c r="AC494" s="296">
        <f t="shared" si="53"/>
        <v>8.89</v>
      </c>
      <c r="AD494" s="252">
        <f t="shared" si="54"/>
        <v>3061.46</v>
      </c>
      <c r="AE494" s="370" t="str">
        <f t="shared" si="49"/>
        <v>|</v>
      </c>
      <c r="AG494" s="296" t="s">
        <v>2249</v>
      </c>
    </row>
    <row r="495" spans="1:33" ht="18.75" customHeight="1">
      <c r="A495" s="363">
        <f>(A494+1)</f>
        <v>321</v>
      </c>
      <c r="B495" s="412" t="s">
        <v>5431</v>
      </c>
      <c r="C495" s="364"/>
      <c r="D495" s="365" t="s">
        <v>865</v>
      </c>
      <c r="H495" s="296" t="s">
        <v>438</v>
      </c>
      <c r="K495" s="252">
        <f>SUM(K486:K493)</f>
        <v>3173.09</v>
      </c>
      <c r="O495" s="358" t="s">
        <v>1579</v>
      </c>
      <c r="W495" s="253"/>
      <c r="Y495" s="356"/>
      <c r="AA495" s="296" t="s">
        <v>3574</v>
      </c>
      <c r="AC495" s="296">
        <f t="shared" si="53"/>
        <v>8.89</v>
      </c>
      <c r="AD495" s="274">
        <f t="shared" si="54"/>
        <v>3070.35</v>
      </c>
      <c r="AE495" s="370" t="str">
        <f t="shared" si="49"/>
        <v>|</v>
      </c>
      <c r="AG495" s="296" t="s">
        <v>2249</v>
      </c>
    </row>
    <row r="496" spans="1:33" ht="18.75" customHeight="1">
      <c r="A496" s="363">
        <f>(A495+1)</f>
        <v>322</v>
      </c>
      <c r="B496" s="365" t="s">
        <v>4240</v>
      </c>
      <c r="C496" s="362">
        <v>20.3</v>
      </c>
      <c r="D496" s="365" t="s">
        <v>865</v>
      </c>
      <c r="K496" s="358" t="s">
        <v>1579</v>
      </c>
      <c r="N496" s="296" t="s">
        <v>154</v>
      </c>
      <c r="O496" s="253" t="s">
        <v>949</v>
      </c>
      <c r="W496" s="253"/>
      <c r="Y496" s="356"/>
      <c r="AA496" s="296" t="s">
        <v>3575</v>
      </c>
      <c r="AC496" s="296">
        <f t="shared" si="53"/>
        <v>8.89</v>
      </c>
      <c r="AD496" s="274">
        <f t="shared" si="54"/>
        <v>3079.24</v>
      </c>
      <c r="AE496" s="370" t="str">
        <f t="shared" si="49"/>
        <v>|</v>
      </c>
      <c r="AG496" s="296" t="s">
        <v>2249</v>
      </c>
    </row>
    <row r="497" spans="1:33" ht="18.75" customHeight="1">
      <c r="A497" s="363">
        <f>(A496+1)</f>
        <v>323</v>
      </c>
      <c r="B497" s="365" t="s">
        <v>741</v>
      </c>
      <c r="C497" s="387">
        <v>11.5</v>
      </c>
      <c r="D497" s="365" t="s">
        <v>865</v>
      </c>
      <c r="H497" s="255" t="s">
        <v>549</v>
      </c>
      <c r="K497" s="274">
        <f>(K495/10)</f>
        <v>317.31</v>
      </c>
      <c r="O497" s="358" t="s">
        <v>1579</v>
      </c>
      <c r="W497" s="253"/>
      <c r="Y497" s="356"/>
      <c r="AA497" s="296" t="s">
        <v>4604</v>
      </c>
      <c r="AC497" s="296">
        <f t="shared" si="53"/>
        <v>8.89</v>
      </c>
      <c r="AD497" s="274">
        <f t="shared" si="54"/>
        <v>3088.13</v>
      </c>
      <c r="AE497" s="370" t="str">
        <f t="shared" si="49"/>
        <v>|</v>
      </c>
      <c r="AG497" s="296" t="s">
        <v>2249</v>
      </c>
    </row>
    <row r="498" spans="1:33" ht="18.75" customHeight="1">
      <c r="A498" s="364"/>
      <c r="B498" s="364"/>
      <c r="C498" s="364"/>
      <c r="D498" s="364"/>
      <c r="F498" s="296" t="s">
        <v>971</v>
      </c>
      <c r="W498" s="253"/>
      <c r="AD498" s="274">
        <f>AD497+AC497</f>
        <v>3097.02</v>
      </c>
      <c r="AE498" s="370" t="str">
        <f t="shared" si="49"/>
        <v>|</v>
      </c>
      <c r="AG498" s="296" t="s">
        <v>2249</v>
      </c>
    </row>
    <row r="499" spans="1:33" ht="18.75" customHeight="1">
      <c r="A499" s="363">
        <f>(A497+1)</f>
        <v>324</v>
      </c>
      <c r="B499" s="365" t="s">
        <v>4241</v>
      </c>
      <c r="C499" s="362">
        <v>28.6</v>
      </c>
      <c r="D499" s="365" t="s">
        <v>865</v>
      </c>
      <c r="K499" s="358" t="s">
        <v>2046</v>
      </c>
      <c r="M499" s="252">
        <v>30</v>
      </c>
      <c r="N499" s="296" t="s">
        <v>1763</v>
      </c>
      <c r="O499" s="296" t="s">
        <v>1656</v>
      </c>
      <c r="P499" s="252">
        <f>(C42)</f>
        <v>5</v>
      </c>
      <c r="Q499" s="296" t="s">
        <v>1763</v>
      </c>
      <c r="R499" s="252">
        <f>(M499*P499)</f>
        <v>150</v>
      </c>
      <c r="W499" s="253"/>
      <c r="AE499" s="370" t="str">
        <f t="shared" si="49"/>
        <v>|</v>
      </c>
      <c r="AG499" s="296" t="s">
        <v>2249</v>
      </c>
    </row>
    <row r="500" spans="1:33" ht="18.75" customHeight="1">
      <c r="A500" s="363">
        <f t="shared" ref="A500:A562" si="55">(A499+1)</f>
        <v>325</v>
      </c>
      <c r="B500" s="365" t="s">
        <v>1657</v>
      </c>
      <c r="C500" s="387">
        <v>56.74</v>
      </c>
      <c r="D500" s="365" t="s">
        <v>865</v>
      </c>
      <c r="F500" s="253"/>
      <c r="G500" s="252" t="s">
        <v>2241</v>
      </c>
      <c r="H500" s="296" t="s">
        <v>1658</v>
      </c>
      <c r="M500" s="296" t="s">
        <v>971</v>
      </c>
      <c r="O500" s="296" t="s">
        <v>1659</v>
      </c>
      <c r="P500" s="296" t="s">
        <v>971</v>
      </c>
      <c r="R500" s="296" t="s">
        <v>971</v>
      </c>
      <c r="W500" s="253"/>
      <c r="AE500" s="370" t="str">
        <f t="shared" si="49"/>
        <v>|</v>
      </c>
      <c r="AG500" s="296" t="s">
        <v>2249</v>
      </c>
    </row>
    <row r="501" spans="1:33" ht="18.75" customHeight="1">
      <c r="A501" s="363">
        <f t="shared" si="55"/>
        <v>326</v>
      </c>
      <c r="B501" s="365" t="s">
        <v>1660</v>
      </c>
      <c r="C501" s="387">
        <v>56.74</v>
      </c>
      <c r="D501" s="365" t="s">
        <v>865</v>
      </c>
      <c r="H501" s="296" t="s">
        <v>2259</v>
      </c>
      <c r="M501" s="252">
        <v>8</v>
      </c>
      <c r="N501" s="296" t="s">
        <v>865</v>
      </c>
      <c r="O501" s="296" t="s">
        <v>2135</v>
      </c>
      <c r="P501" s="252">
        <f>(C43)</f>
        <v>9.35</v>
      </c>
      <c r="Q501" s="296" t="s">
        <v>865</v>
      </c>
      <c r="R501" s="252">
        <f t="shared" ref="R501:R506" si="56">(M501*P501)</f>
        <v>74.8</v>
      </c>
      <c r="W501" s="253"/>
      <c r="AE501" s="370" t="str">
        <f t="shared" si="49"/>
        <v>|</v>
      </c>
      <c r="AG501" s="296" t="s">
        <v>2249</v>
      </c>
    </row>
    <row r="502" spans="1:33" ht="18.75" customHeight="1">
      <c r="A502" s="363">
        <f t="shared" si="55"/>
        <v>327</v>
      </c>
      <c r="B502" s="412" t="s">
        <v>5432</v>
      </c>
      <c r="C502" s="364"/>
      <c r="D502" s="365" t="s">
        <v>971</v>
      </c>
      <c r="H502" s="358" t="s">
        <v>1579</v>
      </c>
      <c r="M502" s="252">
        <v>8</v>
      </c>
      <c r="N502" s="296" t="s">
        <v>865</v>
      </c>
      <c r="O502" s="296" t="s">
        <v>464</v>
      </c>
      <c r="P502" s="252">
        <f>(C50)</f>
        <v>13.35</v>
      </c>
      <c r="Q502" s="296" t="s">
        <v>865</v>
      </c>
      <c r="R502" s="252">
        <f t="shared" si="56"/>
        <v>106.8</v>
      </c>
      <c r="W502" s="253"/>
      <c r="AE502" s="370" t="str">
        <f t="shared" si="49"/>
        <v>|</v>
      </c>
      <c r="AG502" s="296" t="s">
        <v>2249</v>
      </c>
    </row>
    <row r="503" spans="1:33" ht="18.75" customHeight="1">
      <c r="A503" s="363">
        <f t="shared" si="55"/>
        <v>328</v>
      </c>
      <c r="B503" s="365" t="s">
        <v>948</v>
      </c>
      <c r="C503" s="362">
        <v>69.8</v>
      </c>
      <c r="D503" s="365" t="s">
        <v>865</v>
      </c>
      <c r="F503" s="252">
        <v>9</v>
      </c>
      <c r="G503" s="252" t="s">
        <v>866</v>
      </c>
      <c r="H503" s="296" t="s">
        <v>1662</v>
      </c>
      <c r="I503" s="252">
        <f>(C70)</f>
        <v>1281.77</v>
      </c>
      <c r="J503" s="296" t="s">
        <v>866</v>
      </c>
      <c r="K503" s="252">
        <f t="shared" ref="K503:K508" si="57">(F503*I503)</f>
        <v>11535.93</v>
      </c>
      <c r="M503" s="252">
        <v>3</v>
      </c>
      <c r="N503" s="296" t="s">
        <v>865</v>
      </c>
      <c r="O503" s="296" t="s">
        <v>1837</v>
      </c>
      <c r="P503" s="252">
        <f>(C41)</f>
        <v>738</v>
      </c>
      <c r="Q503" s="296" t="s">
        <v>865</v>
      </c>
      <c r="R503" s="252">
        <f t="shared" si="56"/>
        <v>2214</v>
      </c>
      <c r="W503" s="253"/>
      <c r="AE503" s="370" t="str">
        <f t="shared" si="49"/>
        <v>|</v>
      </c>
      <c r="AG503" s="296" t="s">
        <v>2249</v>
      </c>
    </row>
    <row r="504" spans="1:33" ht="18.75" customHeight="1">
      <c r="A504" s="363">
        <f t="shared" si="55"/>
        <v>329</v>
      </c>
      <c r="B504" s="365" t="s">
        <v>741</v>
      </c>
      <c r="C504" s="387">
        <v>15.6</v>
      </c>
      <c r="D504" s="365" t="s">
        <v>865</v>
      </c>
      <c r="F504" s="356">
        <v>3.2309999999999999</v>
      </c>
      <c r="G504" s="252" t="s">
        <v>858</v>
      </c>
      <c r="H504" s="296" t="s">
        <v>859</v>
      </c>
      <c r="I504" s="252">
        <f>(C67)</f>
        <v>6040</v>
      </c>
      <c r="J504" s="296" t="s">
        <v>858</v>
      </c>
      <c r="K504" s="252">
        <f t="shared" si="57"/>
        <v>19515.240000000002</v>
      </c>
      <c r="M504" s="252">
        <v>1</v>
      </c>
      <c r="N504" s="296" t="s">
        <v>865</v>
      </c>
      <c r="O504" s="296" t="s">
        <v>1838</v>
      </c>
      <c r="P504" s="252">
        <f>(C10)</f>
        <v>999</v>
      </c>
      <c r="Q504" s="296" t="s">
        <v>865</v>
      </c>
      <c r="R504" s="252">
        <f t="shared" si="56"/>
        <v>999</v>
      </c>
      <c r="W504" s="253"/>
      <c r="AE504" s="370" t="str">
        <f t="shared" si="49"/>
        <v>|</v>
      </c>
      <c r="AG504" s="296" t="s">
        <v>2249</v>
      </c>
    </row>
    <row r="505" spans="1:33" ht="18.75" customHeight="1">
      <c r="A505" s="363">
        <f t="shared" si="55"/>
        <v>330</v>
      </c>
      <c r="B505" s="365" t="s">
        <v>1655</v>
      </c>
      <c r="C505" s="362">
        <v>75.3</v>
      </c>
      <c r="D505" s="365" t="s">
        <v>865</v>
      </c>
      <c r="F505" s="252">
        <v>4.5</v>
      </c>
      <c r="G505" s="252" t="s">
        <v>866</v>
      </c>
      <c r="H505" s="296" t="s">
        <v>867</v>
      </c>
      <c r="I505" s="252">
        <f>(C78)</f>
        <v>1846.1</v>
      </c>
      <c r="J505" s="296" t="s">
        <v>866</v>
      </c>
      <c r="K505" s="252">
        <f t="shared" si="57"/>
        <v>8307.4500000000007</v>
      </c>
      <c r="M505" s="252">
        <v>2</v>
      </c>
      <c r="N505" s="296" t="s">
        <v>865</v>
      </c>
      <c r="O505" s="296" t="s">
        <v>1893</v>
      </c>
      <c r="P505" s="252">
        <f>(C12)</f>
        <v>651</v>
      </c>
      <c r="Q505" s="296" t="s">
        <v>865</v>
      </c>
      <c r="R505" s="252">
        <f t="shared" si="56"/>
        <v>1302</v>
      </c>
      <c r="W505" s="253"/>
      <c r="AE505" s="370" t="str">
        <f t="shared" si="49"/>
        <v>|</v>
      </c>
      <c r="AG505" s="296" t="s">
        <v>2249</v>
      </c>
    </row>
    <row r="506" spans="1:33" ht="18.75" customHeight="1">
      <c r="A506" s="363">
        <f t="shared" si="55"/>
        <v>331</v>
      </c>
      <c r="B506" s="365" t="s">
        <v>1657</v>
      </c>
      <c r="C506" s="387">
        <v>100.3</v>
      </c>
      <c r="D506" s="365" t="s">
        <v>865</v>
      </c>
      <c r="F506" s="252">
        <v>3.5</v>
      </c>
      <c r="G506" s="252" t="s">
        <v>865</v>
      </c>
      <c r="H506" s="296" t="s">
        <v>1704</v>
      </c>
      <c r="I506" s="252">
        <f>(C11)</f>
        <v>932</v>
      </c>
      <c r="J506" s="296" t="s">
        <v>865</v>
      </c>
      <c r="K506" s="252">
        <f t="shared" si="57"/>
        <v>3262</v>
      </c>
      <c r="M506" s="252">
        <v>1</v>
      </c>
      <c r="N506" s="296" t="s">
        <v>865</v>
      </c>
      <c r="O506" s="296" t="s">
        <v>317</v>
      </c>
      <c r="P506" s="252">
        <f>(C13)</f>
        <v>534</v>
      </c>
      <c r="Q506" s="296" t="s">
        <v>865</v>
      </c>
      <c r="R506" s="252">
        <f t="shared" si="56"/>
        <v>534</v>
      </c>
      <c r="W506" s="253"/>
      <c r="AE506" s="370" t="str">
        <f t="shared" si="49"/>
        <v>|</v>
      </c>
      <c r="AG506" s="296" t="s">
        <v>2249</v>
      </c>
    </row>
    <row r="507" spans="1:33" ht="18.75" customHeight="1">
      <c r="A507" s="363">
        <f t="shared" si="55"/>
        <v>332</v>
      </c>
      <c r="B507" s="365" t="s">
        <v>1660</v>
      </c>
      <c r="C507" s="387">
        <v>100.3</v>
      </c>
      <c r="D507" s="365" t="s">
        <v>865</v>
      </c>
      <c r="F507" s="252">
        <v>21.2</v>
      </c>
      <c r="G507" s="252" t="s">
        <v>865</v>
      </c>
      <c r="H507" s="296" t="s">
        <v>1893</v>
      </c>
      <c r="I507" s="252">
        <f>(C12)</f>
        <v>651</v>
      </c>
      <c r="J507" s="296" t="s">
        <v>865</v>
      </c>
      <c r="K507" s="252">
        <f t="shared" si="57"/>
        <v>13801.2</v>
      </c>
      <c r="N507" s="296" t="s">
        <v>446</v>
      </c>
      <c r="O507" s="296" t="s">
        <v>1839</v>
      </c>
      <c r="P507" s="296" t="s">
        <v>971</v>
      </c>
      <c r="Q507" s="296" t="s">
        <v>446</v>
      </c>
      <c r="R507" s="252">
        <f>(C56)</f>
        <v>12.1</v>
      </c>
      <c r="W507" s="253"/>
      <c r="AE507" s="370" t="str">
        <f t="shared" si="49"/>
        <v>|</v>
      </c>
      <c r="AG507" s="296" t="s">
        <v>2249</v>
      </c>
    </row>
    <row r="508" spans="1:33" ht="18.75" customHeight="1">
      <c r="A508" s="363">
        <f t="shared" si="55"/>
        <v>333</v>
      </c>
      <c r="B508" s="412" t="s">
        <v>5433</v>
      </c>
      <c r="C508" s="364"/>
      <c r="D508" s="365" t="s">
        <v>971</v>
      </c>
      <c r="F508" s="252">
        <v>35.299999999999997</v>
      </c>
      <c r="G508" s="252" t="s">
        <v>865</v>
      </c>
      <c r="H508" s="296" t="s">
        <v>317</v>
      </c>
      <c r="I508" s="252">
        <f>(C13)</f>
        <v>534</v>
      </c>
      <c r="J508" s="296" t="s">
        <v>865</v>
      </c>
      <c r="K508" s="252">
        <f t="shared" si="57"/>
        <v>18850.2</v>
      </c>
      <c r="O508" s="296" t="s">
        <v>1841</v>
      </c>
      <c r="P508" s="296" t="s">
        <v>971</v>
      </c>
      <c r="R508" s="296" t="s">
        <v>971</v>
      </c>
      <c r="W508" s="253"/>
      <c r="AE508" s="370" t="str">
        <f t="shared" si="49"/>
        <v>|</v>
      </c>
      <c r="AG508" s="296" t="s">
        <v>2249</v>
      </c>
    </row>
    <row r="509" spans="1:33" ht="18.75" customHeight="1">
      <c r="A509" s="363">
        <f t="shared" si="55"/>
        <v>334</v>
      </c>
      <c r="B509" s="365" t="s">
        <v>948</v>
      </c>
      <c r="C509" s="362">
        <v>40.4</v>
      </c>
      <c r="D509" s="365" t="s">
        <v>865</v>
      </c>
      <c r="G509" s="252" t="s">
        <v>446</v>
      </c>
      <c r="H509" s="296" t="s">
        <v>447</v>
      </c>
      <c r="I509" s="296" t="s">
        <v>971</v>
      </c>
      <c r="J509" s="296" t="s">
        <v>446</v>
      </c>
      <c r="K509" s="252">
        <v>0</v>
      </c>
      <c r="N509" s="296" t="s">
        <v>446</v>
      </c>
      <c r="O509" s="296" t="s">
        <v>447</v>
      </c>
      <c r="Q509" s="296" t="s">
        <v>446</v>
      </c>
      <c r="R509" s="252">
        <v>0</v>
      </c>
      <c r="W509" s="253"/>
      <c r="AE509" s="370" t="str">
        <f t="shared" si="49"/>
        <v>|</v>
      </c>
      <c r="AG509" s="296" t="s">
        <v>2249</v>
      </c>
    </row>
    <row r="510" spans="1:33" ht="18.75" customHeight="1">
      <c r="A510" s="363">
        <f t="shared" si="55"/>
        <v>335</v>
      </c>
      <c r="B510" s="365" t="s">
        <v>741</v>
      </c>
      <c r="C510" s="415">
        <v>47</v>
      </c>
      <c r="D510" s="365" t="s">
        <v>865</v>
      </c>
      <c r="K510" s="358" t="s">
        <v>1579</v>
      </c>
      <c r="R510" s="358" t="s">
        <v>1579</v>
      </c>
      <c r="W510" s="253"/>
      <c r="AE510" s="370" t="str">
        <f t="shared" si="49"/>
        <v>|</v>
      </c>
      <c r="AG510" s="296" t="s">
        <v>2249</v>
      </c>
    </row>
    <row r="511" spans="1:33" ht="18.75" customHeight="1">
      <c r="A511" s="363">
        <f t="shared" si="55"/>
        <v>336</v>
      </c>
      <c r="B511" s="365" t="s">
        <v>1655</v>
      </c>
      <c r="C511" s="362">
        <v>52</v>
      </c>
      <c r="D511" s="365" t="s">
        <v>865</v>
      </c>
      <c r="H511" s="296" t="s">
        <v>2161</v>
      </c>
      <c r="K511" s="252">
        <f>SUM(K503:K509)</f>
        <v>75272.02</v>
      </c>
      <c r="O511" s="296" t="s">
        <v>1842</v>
      </c>
      <c r="R511" s="252">
        <f>SUM(R499:R509)</f>
        <v>5392.7</v>
      </c>
      <c r="W511" s="253"/>
      <c r="AE511" s="370" t="str">
        <f t="shared" si="49"/>
        <v>|</v>
      </c>
      <c r="AG511" s="296" t="s">
        <v>2249</v>
      </c>
    </row>
    <row r="512" spans="1:33" ht="18.75" customHeight="1">
      <c r="A512" s="363">
        <f t="shared" si="55"/>
        <v>337</v>
      </c>
      <c r="B512" s="365" t="s">
        <v>1843</v>
      </c>
      <c r="C512" s="387">
        <v>36.61</v>
      </c>
      <c r="D512" s="365" t="s">
        <v>865</v>
      </c>
      <c r="K512" s="358" t="s">
        <v>1579</v>
      </c>
      <c r="R512" s="358" t="s">
        <v>1579</v>
      </c>
      <c r="W512" s="253"/>
      <c r="AE512" s="370" t="str">
        <f t="shared" si="49"/>
        <v>|</v>
      </c>
      <c r="AG512" s="296" t="s">
        <v>2249</v>
      </c>
    </row>
    <row r="513" spans="1:37" ht="18.75" customHeight="1">
      <c r="A513" s="363">
        <f t="shared" si="55"/>
        <v>338</v>
      </c>
      <c r="B513" s="365" t="s">
        <v>1657</v>
      </c>
      <c r="C513" s="387">
        <v>78.709999999999994</v>
      </c>
      <c r="D513" s="365" t="s">
        <v>865</v>
      </c>
      <c r="H513" s="296" t="s">
        <v>770</v>
      </c>
      <c r="K513" s="252">
        <f>(K511/10)+0.01</f>
        <v>7527.21</v>
      </c>
      <c r="O513" s="296" t="s">
        <v>1538</v>
      </c>
      <c r="R513" s="252">
        <f>(R511/30)</f>
        <v>179.76</v>
      </c>
      <c r="W513" s="253"/>
      <c r="AE513" s="370" t="str">
        <f t="shared" si="49"/>
        <v>|</v>
      </c>
      <c r="AG513" s="296" t="s">
        <v>2249</v>
      </c>
    </row>
    <row r="514" spans="1:37" ht="18.75" customHeight="1">
      <c r="A514" s="363">
        <f t="shared" si="55"/>
        <v>339</v>
      </c>
      <c r="B514" s="365" t="s">
        <v>1660</v>
      </c>
      <c r="C514" s="387">
        <v>78.709999999999994</v>
      </c>
      <c r="D514" s="365" t="s">
        <v>865</v>
      </c>
      <c r="R514" s="358" t="s">
        <v>1579</v>
      </c>
      <c r="W514" s="253"/>
      <c r="AE514" s="370">
        <f t="shared" si="49"/>
        <v>0</v>
      </c>
    </row>
    <row r="515" spans="1:37" ht="18.75" customHeight="1">
      <c r="A515" s="363">
        <f t="shared" si="55"/>
        <v>340</v>
      </c>
      <c r="B515" s="365" t="s">
        <v>1844</v>
      </c>
      <c r="C515" s="364"/>
      <c r="D515" s="365" t="s">
        <v>215</v>
      </c>
      <c r="F515" s="252">
        <v>1</v>
      </c>
      <c r="G515" s="252" t="s">
        <v>866</v>
      </c>
      <c r="H515" s="296" t="s">
        <v>44</v>
      </c>
      <c r="K515" s="252">
        <f>C25</f>
        <v>94.2</v>
      </c>
      <c r="N515" s="296" t="s">
        <v>1548</v>
      </c>
      <c r="O515" s="253" t="s">
        <v>216</v>
      </c>
      <c r="W515" s="253"/>
      <c r="AE515" s="370" t="str">
        <f t="shared" si="49"/>
        <v>|</v>
      </c>
      <c r="AG515" s="296" t="s">
        <v>2249</v>
      </c>
    </row>
    <row r="516" spans="1:37" ht="18.75" customHeight="1">
      <c r="A516" s="363">
        <f t="shared" si="55"/>
        <v>341</v>
      </c>
      <c r="B516" s="365" t="s">
        <v>4242</v>
      </c>
      <c r="C516" s="314">
        <v>20.55</v>
      </c>
      <c r="D516" s="365" t="s">
        <v>1763</v>
      </c>
      <c r="K516" s="358" t="s">
        <v>1579</v>
      </c>
      <c r="O516" s="358" t="s">
        <v>1579</v>
      </c>
      <c r="W516" s="253"/>
      <c r="AE516" s="370" t="str">
        <f t="shared" si="49"/>
        <v>|</v>
      </c>
      <c r="AG516" s="296" t="s">
        <v>2249</v>
      </c>
    </row>
    <row r="517" spans="1:37" ht="18.75" customHeight="1">
      <c r="A517" s="363">
        <f t="shared" si="55"/>
        <v>342</v>
      </c>
      <c r="B517" s="365" t="s">
        <v>2897</v>
      </c>
      <c r="C517" s="314">
        <v>26</v>
      </c>
      <c r="D517" s="365" t="s">
        <v>1763</v>
      </c>
      <c r="E517" s="362">
        <v>98.6</v>
      </c>
      <c r="H517" s="296" t="s">
        <v>1235</v>
      </c>
      <c r="K517" s="252">
        <f>SUM(K513:K515)</f>
        <v>7621.41</v>
      </c>
      <c r="M517" s="252">
        <v>30</v>
      </c>
      <c r="N517" s="296" t="s">
        <v>1763</v>
      </c>
      <c r="O517" s="296" t="s">
        <v>1656</v>
      </c>
      <c r="P517" s="252">
        <f>(C42)</f>
        <v>5</v>
      </c>
      <c r="Q517" s="296" t="s">
        <v>1763</v>
      </c>
      <c r="R517" s="252">
        <f>(M517*P517)</f>
        <v>150</v>
      </c>
      <c r="W517" s="253"/>
      <c r="AE517" s="370" t="str">
        <f t="shared" si="49"/>
        <v>|</v>
      </c>
      <c r="AG517" s="296" t="s">
        <v>2249</v>
      </c>
    </row>
    <row r="518" spans="1:37" ht="18.75" customHeight="1">
      <c r="A518" s="363">
        <f t="shared" si="55"/>
        <v>343</v>
      </c>
      <c r="B518" s="365" t="s">
        <v>1236</v>
      </c>
      <c r="C518" s="314">
        <v>35</v>
      </c>
      <c r="D518" s="365" t="s">
        <v>1763</v>
      </c>
      <c r="K518" s="358" t="s">
        <v>1579</v>
      </c>
      <c r="M518" s="296" t="s">
        <v>971</v>
      </c>
      <c r="O518" s="296" t="s">
        <v>1659</v>
      </c>
      <c r="P518" s="296" t="s">
        <v>971</v>
      </c>
      <c r="R518" s="296" t="s">
        <v>971</v>
      </c>
      <c r="W518" s="253"/>
      <c r="AE518" s="370" t="str">
        <f t="shared" si="49"/>
        <v>|</v>
      </c>
      <c r="AG518" s="296" t="s">
        <v>2249</v>
      </c>
    </row>
    <row r="519" spans="1:37" ht="18.75" customHeight="1">
      <c r="A519" s="363">
        <f t="shared" si="55"/>
        <v>344</v>
      </c>
      <c r="B519" s="365" t="s">
        <v>1237</v>
      </c>
      <c r="C519" s="314">
        <v>52</v>
      </c>
      <c r="D519" s="365" t="s">
        <v>1763</v>
      </c>
      <c r="G519" s="252" t="s">
        <v>1238</v>
      </c>
      <c r="H519" s="296" t="s">
        <v>383</v>
      </c>
      <c r="K519" s="252">
        <f>(K517+C22)</f>
        <v>7741.26</v>
      </c>
      <c r="L519" s="252">
        <f>K519-K517</f>
        <v>119.85</v>
      </c>
      <c r="M519" s="252">
        <v>8</v>
      </c>
      <c r="N519" s="296" t="s">
        <v>865</v>
      </c>
      <c r="O519" s="296" t="s">
        <v>2135</v>
      </c>
      <c r="P519" s="252">
        <f>(C44)</f>
        <v>9.35</v>
      </c>
      <c r="Q519" s="296" t="s">
        <v>865</v>
      </c>
      <c r="R519" s="252">
        <f t="shared" ref="R519:R524" si="58">(M519*P519)</f>
        <v>74.8</v>
      </c>
      <c r="W519" s="253"/>
      <c r="AE519" s="370" t="str">
        <f t="shared" si="49"/>
        <v>|</v>
      </c>
      <c r="AG519" s="296" t="s">
        <v>2249</v>
      </c>
    </row>
    <row r="520" spans="1:37" ht="18.75" customHeight="1">
      <c r="A520" s="363">
        <f t="shared" si="55"/>
        <v>345</v>
      </c>
      <c r="B520" s="365" t="s">
        <v>1239</v>
      </c>
      <c r="C520" s="314">
        <v>65</v>
      </c>
      <c r="D520" s="364">
        <v>21</v>
      </c>
      <c r="G520" s="252" t="s">
        <v>1240</v>
      </c>
      <c r="H520" s="296" t="s">
        <v>385</v>
      </c>
      <c r="K520" s="252">
        <f>(K519+C23)</f>
        <v>7977.36</v>
      </c>
      <c r="M520" s="252">
        <v>8</v>
      </c>
      <c r="N520" s="296" t="s">
        <v>865</v>
      </c>
      <c r="O520" s="296" t="s">
        <v>464</v>
      </c>
      <c r="P520" s="252">
        <f>(C51)</f>
        <v>13.5</v>
      </c>
      <c r="Q520" s="296" t="s">
        <v>865</v>
      </c>
      <c r="R520" s="252">
        <f t="shared" si="58"/>
        <v>108</v>
      </c>
      <c r="W520" s="253"/>
      <c r="AE520" s="370" t="str">
        <f t="shared" si="49"/>
        <v>|</v>
      </c>
      <c r="AG520" s="296" t="s">
        <v>2249</v>
      </c>
    </row>
    <row r="521" spans="1:37" ht="18.75" customHeight="1">
      <c r="A521" s="363">
        <f t="shared" si="55"/>
        <v>346</v>
      </c>
      <c r="B521" s="365" t="s">
        <v>373</v>
      </c>
      <c r="C521" s="314">
        <v>82</v>
      </c>
      <c r="D521" s="364">
        <v>37.15</v>
      </c>
      <c r="G521" s="252" t="s">
        <v>423</v>
      </c>
      <c r="H521" s="296" t="s">
        <v>2222</v>
      </c>
      <c r="K521" s="252">
        <f>(K520+C24)</f>
        <v>8213.4599999999991</v>
      </c>
      <c r="M521" s="252">
        <v>3</v>
      </c>
      <c r="N521" s="296" t="s">
        <v>865</v>
      </c>
      <c r="O521" s="296" t="s">
        <v>1837</v>
      </c>
      <c r="P521" s="252">
        <f>(C41)</f>
        <v>738</v>
      </c>
      <c r="Q521" s="296" t="s">
        <v>865</v>
      </c>
      <c r="R521" s="252">
        <f t="shared" si="58"/>
        <v>2214</v>
      </c>
      <c r="W521" s="253"/>
      <c r="AE521" s="370" t="str">
        <f t="shared" si="49"/>
        <v>|</v>
      </c>
      <c r="AG521" s="296" t="s">
        <v>2249</v>
      </c>
    </row>
    <row r="522" spans="1:37" ht="18.75" customHeight="1">
      <c r="A522" s="363">
        <f t="shared" si="55"/>
        <v>347</v>
      </c>
      <c r="B522" s="365" t="s">
        <v>989</v>
      </c>
      <c r="C522" s="364"/>
      <c r="D522" s="365" t="s">
        <v>971</v>
      </c>
      <c r="G522" s="252" t="s">
        <v>990</v>
      </c>
      <c r="H522" s="296" t="s">
        <v>377</v>
      </c>
      <c r="K522" s="252">
        <f>(K521+C24)</f>
        <v>8449.56</v>
      </c>
      <c r="M522" s="252">
        <v>1</v>
      </c>
      <c r="N522" s="296" t="s">
        <v>865</v>
      </c>
      <c r="O522" s="296" t="s">
        <v>1838</v>
      </c>
      <c r="P522" s="252">
        <f>(C10)</f>
        <v>999</v>
      </c>
      <c r="Q522" s="296" t="s">
        <v>865</v>
      </c>
      <c r="R522" s="252">
        <f t="shared" si="58"/>
        <v>999</v>
      </c>
      <c r="W522" s="253"/>
      <c r="AE522" s="370" t="str">
        <f t="shared" si="49"/>
        <v>|::</v>
      </c>
      <c r="AG522" s="296" t="s">
        <v>318</v>
      </c>
    </row>
    <row r="523" spans="1:37" ht="18.75" customHeight="1">
      <c r="A523" s="363">
        <f t="shared" si="55"/>
        <v>348</v>
      </c>
      <c r="B523" s="365" t="s">
        <v>1111</v>
      </c>
      <c r="C523" s="314">
        <v>4.1900000000000004</v>
      </c>
      <c r="D523" s="365" t="s">
        <v>865</v>
      </c>
      <c r="M523" s="252">
        <v>2</v>
      </c>
      <c r="N523" s="296" t="s">
        <v>865</v>
      </c>
      <c r="O523" s="296" t="s">
        <v>1893</v>
      </c>
      <c r="P523" s="252">
        <f>(C12)</f>
        <v>651</v>
      </c>
      <c r="Q523" s="296" t="s">
        <v>865</v>
      </c>
      <c r="R523" s="252">
        <f t="shared" si="58"/>
        <v>1302</v>
      </c>
      <c r="W523" s="253"/>
      <c r="AE523" s="370">
        <f t="shared" si="49"/>
        <v>0</v>
      </c>
    </row>
    <row r="524" spans="1:37" ht="18.75" customHeight="1">
      <c r="A524" s="363">
        <f t="shared" si="55"/>
        <v>349</v>
      </c>
      <c r="B524" s="365" t="s">
        <v>1112</v>
      </c>
      <c r="C524" s="314">
        <v>5</v>
      </c>
      <c r="D524" s="365" t="s">
        <v>865</v>
      </c>
      <c r="F524" s="253" t="s">
        <v>991</v>
      </c>
      <c r="G524" s="252" t="s">
        <v>2241</v>
      </c>
      <c r="H524" s="296" t="s">
        <v>992</v>
      </c>
      <c r="M524" s="252">
        <v>1</v>
      </c>
      <c r="N524" s="296" t="s">
        <v>865</v>
      </c>
      <c r="O524" s="296" t="s">
        <v>317</v>
      </c>
      <c r="P524" s="252">
        <f>(C13)</f>
        <v>534</v>
      </c>
      <c r="Q524" s="296" t="s">
        <v>865</v>
      </c>
      <c r="R524" s="252">
        <f t="shared" si="58"/>
        <v>534</v>
      </c>
      <c r="W524" s="253"/>
      <c r="AE524" s="370">
        <f t="shared" si="49"/>
        <v>0</v>
      </c>
    </row>
    <row r="525" spans="1:37" ht="18.75" customHeight="1">
      <c r="A525" s="363">
        <f t="shared" si="55"/>
        <v>350</v>
      </c>
      <c r="B525" s="365" t="s">
        <v>1113</v>
      </c>
      <c r="C525" s="314">
        <v>8.06</v>
      </c>
      <c r="D525" s="365" t="s">
        <v>865</v>
      </c>
      <c r="H525" s="358" t="s">
        <v>1579</v>
      </c>
      <c r="N525" s="296" t="s">
        <v>446</v>
      </c>
      <c r="O525" s="296" t="s">
        <v>1839</v>
      </c>
      <c r="P525" s="296" t="s">
        <v>971</v>
      </c>
      <c r="Q525" s="296" t="s">
        <v>446</v>
      </c>
      <c r="R525" s="252">
        <f>(C56)</f>
        <v>12.1</v>
      </c>
      <c r="U525" s="416" t="s">
        <v>3981</v>
      </c>
      <c r="W525" s="253"/>
      <c r="AA525" s="416" t="s">
        <v>4123</v>
      </c>
      <c r="AE525" s="370">
        <f t="shared" ref="AE525:AE596" si="59">AG525</f>
        <v>0</v>
      </c>
      <c r="AH525" s="416" t="s">
        <v>4684</v>
      </c>
    </row>
    <row r="526" spans="1:37" ht="18.75" customHeight="1">
      <c r="A526" s="363">
        <f t="shared" si="55"/>
        <v>351</v>
      </c>
      <c r="B526" s="365" t="s">
        <v>1114</v>
      </c>
      <c r="C526" s="314">
        <v>11.86</v>
      </c>
      <c r="D526" s="365" t="s">
        <v>865</v>
      </c>
      <c r="F526" s="356">
        <v>1.4999999999999999E-2</v>
      </c>
      <c r="G526" s="252" t="s">
        <v>866</v>
      </c>
      <c r="H526" s="296" t="s">
        <v>993</v>
      </c>
      <c r="I526" s="252">
        <f>(K513)</f>
        <v>7527.21</v>
      </c>
      <c r="J526" s="296" t="s">
        <v>866</v>
      </c>
      <c r="K526" s="252">
        <f>(F526*I526)</f>
        <v>112.91</v>
      </c>
      <c r="O526" s="296" t="s">
        <v>1841</v>
      </c>
      <c r="P526" s="296" t="s">
        <v>971</v>
      </c>
      <c r="R526" s="296" t="s">
        <v>971</v>
      </c>
      <c r="S526" s="253" t="s">
        <v>991</v>
      </c>
      <c r="T526" s="252" t="s">
        <v>2241</v>
      </c>
      <c r="U526" s="296" t="s">
        <v>5666</v>
      </c>
      <c r="W526" s="253"/>
      <c r="Y526" s="253" t="s">
        <v>991</v>
      </c>
      <c r="Z526" s="252" t="s">
        <v>2241</v>
      </c>
      <c r="AA526" s="296" t="s">
        <v>5667</v>
      </c>
      <c r="AC526" s="296"/>
      <c r="AE526" s="370" t="str">
        <f t="shared" si="59"/>
        <v>*</v>
      </c>
      <c r="AF526" s="253" t="s">
        <v>991</v>
      </c>
      <c r="AG526" s="252" t="s">
        <v>2241</v>
      </c>
      <c r="AH526" s="296" t="s">
        <v>5668</v>
      </c>
      <c r="AJ526" s="296"/>
    </row>
    <row r="527" spans="1:37" ht="18.75" customHeight="1">
      <c r="A527" s="363">
        <f t="shared" si="55"/>
        <v>352</v>
      </c>
      <c r="B527" s="365" t="s">
        <v>1116</v>
      </c>
      <c r="C527" s="314">
        <v>18.88</v>
      </c>
      <c r="D527" s="365" t="s">
        <v>865</v>
      </c>
      <c r="F527" s="252">
        <v>0.5</v>
      </c>
      <c r="G527" s="252" t="s">
        <v>766</v>
      </c>
      <c r="H527" s="296" t="s">
        <v>2000</v>
      </c>
      <c r="I527" s="252">
        <f>(C10)</f>
        <v>999</v>
      </c>
      <c r="J527" s="296" t="s">
        <v>766</v>
      </c>
      <c r="K527" s="252">
        <f>(F527*I527)</f>
        <v>499.5</v>
      </c>
      <c r="N527" s="296" t="s">
        <v>446</v>
      </c>
      <c r="O527" s="296" t="s">
        <v>447</v>
      </c>
      <c r="Q527" s="296" t="s">
        <v>446</v>
      </c>
      <c r="R527" s="252">
        <v>0</v>
      </c>
      <c r="S527" s="252"/>
      <c r="U527" s="358" t="s">
        <v>1579</v>
      </c>
      <c r="W527" s="253"/>
      <c r="AA527" s="358" t="s">
        <v>1579</v>
      </c>
      <c r="AC527" s="296"/>
      <c r="AE527" s="370">
        <f t="shared" si="59"/>
        <v>0</v>
      </c>
      <c r="AH527" s="358" t="s">
        <v>1579</v>
      </c>
      <c r="AJ527" s="296"/>
    </row>
    <row r="528" spans="1:37" ht="18.75" customHeight="1">
      <c r="A528" s="363">
        <f t="shared" si="55"/>
        <v>353</v>
      </c>
      <c r="B528" s="365" t="s">
        <v>237</v>
      </c>
      <c r="C528" s="314">
        <v>26</v>
      </c>
      <c r="D528" s="365" t="s">
        <v>865</v>
      </c>
      <c r="F528" s="252">
        <v>0.75</v>
      </c>
      <c r="G528" s="252" t="s">
        <v>766</v>
      </c>
      <c r="H528" s="296" t="s">
        <v>1893</v>
      </c>
      <c r="I528" s="252">
        <f>(C12)</f>
        <v>651</v>
      </c>
      <c r="J528" s="296" t="s">
        <v>766</v>
      </c>
      <c r="K528" s="252">
        <f>(F528*I528)</f>
        <v>488.25</v>
      </c>
      <c r="R528" s="358" t="s">
        <v>1579</v>
      </c>
      <c r="S528" s="356">
        <v>1.4999999999999999E-2</v>
      </c>
      <c r="T528" s="252" t="s">
        <v>866</v>
      </c>
      <c r="U528" s="296" t="s">
        <v>993</v>
      </c>
      <c r="V528" s="252">
        <f>X657</f>
        <v>7624.66</v>
      </c>
      <c r="W528" s="253" t="s">
        <v>866</v>
      </c>
      <c r="X528" s="252">
        <f>(S528*V528)</f>
        <v>114.37</v>
      </c>
      <c r="Y528" s="356">
        <v>1.4999999999999999E-2</v>
      </c>
      <c r="Z528" s="252" t="s">
        <v>866</v>
      </c>
      <c r="AA528" s="296" t="s">
        <v>993</v>
      </c>
      <c r="AB528" s="252">
        <f>AF657</f>
        <v>8168.93</v>
      </c>
      <c r="AC528" s="296" t="s">
        <v>866</v>
      </c>
      <c r="AD528" s="252">
        <f>(Y528*AB528)</f>
        <v>122.53</v>
      </c>
      <c r="AE528" s="370" t="str">
        <f t="shared" si="59"/>
        <v>CUM</v>
      </c>
      <c r="AF528" s="356">
        <v>1.4999999999999999E-2</v>
      </c>
      <c r="AG528" s="252" t="s">
        <v>866</v>
      </c>
      <c r="AH528" s="296" t="s">
        <v>993</v>
      </c>
      <c r="AI528" s="252">
        <f>Y742</f>
        <v>8313.84</v>
      </c>
      <c r="AJ528" s="296" t="s">
        <v>866</v>
      </c>
      <c r="AK528" s="252">
        <f>(AF528*AI528)</f>
        <v>124.71</v>
      </c>
    </row>
    <row r="529" spans="1:37" ht="18.75" customHeight="1">
      <c r="A529" s="363">
        <f t="shared" si="55"/>
        <v>354</v>
      </c>
      <c r="B529" s="365" t="s">
        <v>679</v>
      </c>
      <c r="C529" s="314"/>
      <c r="D529" s="365" t="s">
        <v>971</v>
      </c>
      <c r="G529" s="252" t="s">
        <v>446</v>
      </c>
      <c r="H529" s="296" t="s">
        <v>447</v>
      </c>
      <c r="J529" s="296" t="s">
        <v>446</v>
      </c>
      <c r="K529" s="252">
        <v>0</v>
      </c>
      <c r="O529" s="296" t="s">
        <v>1842</v>
      </c>
      <c r="R529" s="252">
        <f>SUM(R517:R527)</f>
        <v>5393.9</v>
      </c>
      <c r="S529" s="252">
        <v>0.5</v>
      </c>
      <c r="T529" s="252" t="s">
        <v>766</v>
      </c>
      <c r="U529" s="296" t="s">
        <v>2000</v>
      </c>
      <c r="V529" s="252">
        <f>C10</f>
        <v>999</v>
      </c>
      <c r="W529" s="253" t="s">
        <v>766</v>
      </c>
      <c r="X529" s="252">
        <f>(S529*V529)</f>
        <v>499.5</v>
      </c>
      <c r="Y529" s="252">
        <v>0.5</v>
      </c>
      <c r="Z529" s="252" t="s">
        <v>766</v>
      </c>
      <c r="AA529" s="296" t="s">
        <v>2000</v>
      </c>
      <c r="AB529" s="252">
        <f>V529</f>
        <v>999</v>
      </c>
      <c r="AC529" s="296" t="s">
        <v>766</v>
      </c>
      <c r="AD529" s="252">
        <f>(Y529*AB529)</f>
        <v>499.5</v>
      </c>
      <c r="AE529" s="370" t="str">
        <f t="shared" si="59"/>
        <v>NO</v>
      </c>
      <c r="AF529" s="252">
        <v>0.5</v>
      </c>
      <c r="AG529" s="252" t="s">
        <v>766</v>
      </c>
      <c r="AH529" s="296" t="s">
        <v>2000</v>
      </c>
      <c r="AI529" s="252">
        <f>AB529</f>
        <v>999</v>
      </c>
      <c r="AJ529" s="296" t="s">
        <v>766</v>
      </c>
      <c r="AK529" s="252">
        <f>(AF529*AI529)</f>
        <v>499.5</v>
      </c>
    </row>
    <row r="530" spans="1:37" ht="18.75" customHeight="1">
      <c r="A530" s="363">
        <f t="shared" si="55"/>
        <v>355</v>
      </c>
      <c r="B530" s="365" t="s">
        <v>1111</v>
      </c>
      <c r="C530" s="314">
        <v>4.62</v>
      </c>
      <c r="D530" s="365" t="s">
        <v>865</v>
      </c>
      <c r="K530" s="358" t="s">
        <v>1579</v>
      </c>
      <c r="R530" s="358" t="s">
        <v>1579</v>
      </c>
      <c r="S530" s="252">
        <v>0.75</v>
      </c>
      <c r="T530" s="252" t="s">
        <v>766</v>
      </c>
      <c r="U530" s="296" t="s">
        <v>1893</v>
      </c>
      <c r="V530" s="252">
        <f>C12</f>
        <v>651</v>
      </c>
      <c r="W530" s="253" t="s">
        <v>766</v>
      </c>
      <c r="X530" s="252">
        <f>(S530*V530)</f>
        <v>488.25</v>
      </c>
      <c r="Y530" s="252">
        <v>0.75</v>
      </c>
      <c r="Z530" s="252" t="s">
        <v>766</v>
      </c>
      <c r="AA530" s="296" t="s">
        <v>1893</v>
      </c>
      <c r="AB530" s="252">
        <f>V530</f>
        <v>651</v>
      </c>
      <c r="AC530" s="296" t="s">
        <v>766</v>
      </c>
      <c r="AD530" s="252">
        <f>(Y530*AB530)</f>
        <v>488.25</v>
      </c>
      <c r="AE530" s="370" t="str">
        <f t="shared" si="59"/>
        <v>NO</v>
      </c>
      <c r="AF530" s="252">
        <v>0.75</v>
      </c>
      <c r="AG530" s="252" t="s">
        <v>766</v>
      </c>
      <c r="AH530" s="296" t="s">
        <v>1893</v>
      </c>
      <c r="AI530" s="252">
        <f>AB530</f>
        <v>651</v>
      </c>
      <c r="AJ530" s="296" t="s">
        <v>766</v>
      </c>
      <c r="AK530" s="252">
        <f>(AF530*AI530)</f>
        <v>488.25</v>
      </c>
    </row>
    <row r="531" spans="1:37" ht="18.75" customHeight="1">
      <c r="A531" s="363">
        <f t="shared" si="55"/>
        <v>356</v>
      </c>
      <c r="B531" s="365" t="s">
        <v>1112</v>
      </c>
      <c r="C531" s="314">
        <v>7.83</v>
      </c>
      <c r="D531" s="365" t="s">
        <v>865</v>
      </c>
      <c r="H531" s="296" t="s">
        <v>1740</v>
      </c>
      <c r="K531" s="252">
        <f>SUM(K526:K529)</f>
        <v>1100.6600000000001</v>
      </c>
      <c r="O531" s="296" t="s">
        <v>1538</v>
      </c>
      <c r="R531" s="252">
        <f>(R529/30)</f>
        <v>179.8</v>
      </c>
      <c r="S531" s="252"/>
      <c r="T531" s="252" t="s">
        <v>446</v>
      </c>
      <c r="U531" s="296" t="s">
        <v>447</v>
      </c>
      <c r="W531" s="253" t="s">
        <v>446</v>
      </c>
      <c r="X531" s="252">
        <v>0</v>
      </c>
      <c r="Z531" s="252" t="s">
        <v>446</v>
      </c>
      <c r="AA531" s="296" t="s">
        <v>447</v>
      </c>
      <c r="AB531" s="252">
        <f>V531</f>
        <v>0</v>
      </c>
      <c r="AC531" s="296" t="s">
        <v>446</v>
      </c>
      <c r="AD531" s="252">
        <v>0</v>
      </c>
      <c r="AE531" s="370" t="str">
        <f t="shared" si="59"/>
        <v>L.S</v>
      </c>
      <c r="AG531" s="252" t="s">
        <v>446</v>
      </c>
      <c r="AH531" s="296" t="s">
        <v>447</v>
      </c>
      <c r="AI531" s="252">
        <f>AB531</f>
        <v>0</v>
      </c>
      <c r="AJ531" s="296" t="s">
        <v>446</v>
      </c>
      <c r="AK531" s="252">
        <v>0</v>
      </c>
    </row>
    <row r="532" spans="1:37" ht="18.75" customHeight="1">
      <c r="A532" s="363">
        <f t="shared" si="55"/>
        <v>357</v>
      </c>
      <c r="B532" s="365" t="s">
        <v>1113</v>
      </c>
      <c r="C532" s="314">
        <v>11.38</v>
      </c>
      <c r="D532" s="365" t="s">
        <v>865</v>
      </c>
      <c r="K532" s="358" t="s">
        <v>1579</v>
      </c>
      <c r="R532" s="358" t="s">
        <v>1579</v>
      </c>
      <c r="S532" s="252"/>
      <c r="W532" s="253"/>
      <c r="X532" s="358" t="s">
        <v>1579</v>
      </c>
      <c r="AC532" s="296"/>
      <c r="AD532" s="358" t="s">
        <v>1579</v>
      </c>
      <c r="AE532" s="370">
        <f t="shared" si="59"/>
        <v>0</v>
      </c>
      <c r="AJ532" s="296"/>
      <c r="AK532" s="358" t="s">
        <v>1579</v>
      </c>
    </row>
    <row r="533" spans="1:37" ht="18.75" customHeight="1">
      <c r="A533" s="363">
        <f t="shared" si="55"/>
        <v>358</v>
      </c>
      <c r="B533" s="365" t="s">
        <v>1114</v>
      </c>
      <c r="C533" s="314">
        <v>18.75</v>
      </c>
      <c r="D533" s="365" t="s">
        <v>865</v>
      </c>
      <c r="H533" s="296" t="s">
        <v>549</v>
      </c>
      <c r="K533" s="252">
        <f>(K531/0.743)</f>
        <v>1481.37</v>
      </c>
      <c r="S533" s="252"/>
      <c r="U533" s="296" t="s">
        <v>1740</v>
      </c>
      <c r="W533" s="253"/>
      <c r="X533" s="252">
        <f>SUM(X528:X531)</f>
        <v>1102.1199999999999</v>
      </c>
      <c r="AA533" s="296" t="s">
        <v>1740</v>
      </c>
      <c r="AC533" s="296"/>
      <c r="AD533" s="252">
        <f>SUM(AD528:AD531)</f>
        <v>1110.28</v>
      </c>
      <c r="AE533" s="370">
        <f t="shared" si="59"/>
        <v>0</v>
      </c>
      <c r="AH533" s="296" t="s">
        <v>1740</v>
      </c>
      <c r="AJ533" s="296"/>
      <c r="AK533" s="252">
        <f>SUM(AK528:AK531)</f>
        <v>1112.46</v>
      </c>
    </row>
    <row r="534" spans="1:37" ht="18.75" customHeight="1">
      <c r="A534" s="363">
        <f t="shared" si="55"/>
        <v>359</v>
      </c>
      <c r="B534" s="365" t="s">
        <v>1116</v>
      </c>
      <c r="C534" s="314">
        <v>35.1</v>
      </c>
      <c r="D534" s="365" t="s">
        <v>865</v>
      </c>
      <c r="K534" s="358" t="s">
        <v>2046</v>
      </c>
      <c r="S534" s="252"/>
      <c r="W534" s="253"/>
      <c r="X534" s="358" t="s">
        <v>1579</v>
      </c>
      <c r="AC534" s="296"/>
      <c r="AD534" s="358" t="s">
        <v>1579</v>
      </c>
      <c r="AE534" s="370">
        <f t="shared" si="59"/>
        <v>0</v>
      </c>
      <c r="AJ534" s="296"/>
      <c r="AK534" s="358" t="s">
        <v>1579</v>
      </c>
    </row>
    <row r="535" spans="1:37" ht="18.75" customHeight="1">
      <c r="A535" s="363">
        <f t="shared" si="55"/>
        <v>360</v>
      </c>
      <c r="B535" s="365" t="s">
        <v>237</v>
      </c>
      <c r="C535" s="314">
        <v>45.57</v>
      </c>
      <c r="D535" s="365" t="s">
        <v>865</v>
      </c>
      <c r="H535" s="296" t="s">
        <v>383</v>
      </c>
      <c r="I535" s="252">
        <f>K533</f>
        <v>1481.37</v>
      </c>
      <c r="J535" s="296">
        <f>C22*0.015/0.743</f>
        <v>2.42</v>
      </c>
      <c r="K535" s="274">
        <f>I535+J535</f>
        <v>1483.79</v>
      </c>
      <c r="N535" s="296" t="s">
        <v>1946</v>
      </c>
      <c r="O535" s="253" t="s">
        <v>1267</v>
      </c>
      <c r="S535" s="252"/>
      <c r="U535" s="296" t="s">
        <v>549</v>
      </c>
      <c r="W535" s="253"/>
      <c r="X535" s="252">
        <f>(X533/0.743)</f>
        <v>1483.34</v>
      </c>
      <c r="AA535" s="296" t="s">
        <v>549</v>
      </c>
      <c r="AC535" s="296"/>
      <c r="AD535" s="252">
        <f>(AD533/0.743)</f>
        <v>1494.32</v>
      </c>
      <c r="AE535" s="370">
        <f t="shared" si="59"/>
        <v>0</v>
      </c>
      <c r="AH535" s="296" t="s">
        <v>549</v>
      </c>
      <c r="AJ535" s="296"/>
      <c r="AK535" s="252">
        <f>(AK533/0.743)</f>
        <v>1497.25</v>
      </c>
    </row>
    <row r="536" spans="1:37" ht="18.75" customHeight="1">
      <c r="A536" s="363">
        <f t="shared" si="55"/>
        <v>361</v>
      </c>
      <c r="B536" s="365" t="s">
        <v>1123</v>
      </c>
      <c r="C536" s="314"/>
      <c r="D536" s="365" t="s">
        <v>971</v>
      </c>
      <c r="H536" s="296" t="s">
        <v>385</v>
      </c>
      <c r="I536" s="252">
        <f>K535</f>
        <v>1483.79</v>
      </c>
      <c r="J536" s="296">
        <f>C23*0.015/0.743</f>
        <v>4.7699999999999996</v>
      </c>
      <c r="K536" s="274">
        <f>I536+J536</f>
        <v>1488.56</v>
      </c>
      <c r="O536" s="358" t="s">
        <v>1579</v>
      </c>
      <c r="S536" s="252"/>
      <c r="W536" s="253"/>
      <c r="X536" s="358" t="s">
        <v>2046</v>
      </c>
      <c r="AC536" s="296"/>
      <c r="AD536" s="358" t="s">
        <v>2046</v>
      </c>
      <c r="AE536" s="370">
        <f t="shared" si="59"/>
        <v>0</v>
      </c>
      <c r="AJ536" s="296"/>
      <c r="AK536" s="358" t="s">
        <v>2046</v>
      </c>
    </row>
    <row r="537" spans="1:37" ht="18.75" customHeight="1">
      <c r="A537" s="363">
        <f t="shared" si="55"/>
        <v>362</v>
      </c>
      <c r="B537" s="365" t="s">
        <v>1111</v>
      </c>
      <c r="C537" s="314">
        <v>7.8</v>
      </c>
      <c r="D537" s="365" t="s">
        <v>865</v>
      </c>
      <c r="H537" s="296" t="s">
        <v>2222</v>
      </c>
      <c r="I537" s="252">
        <f>K536</f>
        <v>1488.56</v>
      </c>
      <c r="J537" s="296">
        <f>J536</f>
        <v>4.7699999999999996</v>
      </c>
      <c r="K537" s="274">
        <f>I537+J537</f>
        <v>1493.33</v>
      </c>
      <c r="M537" s="252">
        <v>30</v>
      </c>
      <c r="N537" s="296" t="s">
        <v>1763</v>
      </c>
      <c r="O537" s="296" t="s">
        <v>1656</v>
      </c>
      <c r="P537" s="252">
        <f>(C42)</f>
        <v>5</v>
      </c>
      <c r="Q537" s="296" t="s">
        <v>1763</v>
      </c>
      <c r="R537" s="252">
        <f>(M537*P537)</f>
        <v>150</v>
      </c>
      <c r="S537" s="252"/>
      <c r="U537" s="296" t="s">
        <v>383</v>
      </c>
      <c r="V537" s="252">
        <f>X535</f>
        <v>1483.34</v>
      </c>
      <c r="W537" s="253">
        <f>J535</f>
        <v>2.42</v>
      </c>
      <c r="X537" s="274">
        <f>V537+W537</f>
        <v>1485.76</v>
      </c>
      <c r="AA537" s="296" t="s">
        <v>383</v>
      </c>
      <c r="AB537" s="252">
        <f>AD535</f>
        <v>1494.32</v>
      </c>
      <c r="AC537" s="296">
        <f>W537</f>
        <v>2.42</v>
      </c>
      <c r="AD537" s="274">
        <f>AB537+AC537</f>
        <v>1496.74</v>
      </c>
      <c r="AE537" s="370">
        <f t="shared" si="59"/>
        <v>0</v>
      </c>
      <c r="AH537" s="296" t="s">
        <v>383</v>
      </c>
      <c r="AI537" s="252">
        <f>AK535</f>
        <v>1497.25</v>
      </c>
      <c r="AJ537" s="296">
        <f>AC537</f>
        <v>2.42</v>
      </c>
      <c r="AK537" s="274">
        <f>AI537+AJ537</f>
        <v>1499.67</v>
      </c>
    </row>
    <row r="538" spans="1:37" ht="18.75" customHeight="1">
      <c r="A538" s="363">
        <f t="shared" si="55"/>
        <v>363</v>
      </c>
      <c r="B538" s="365" t="s">
        <v>1112</v>
      </c>
      <c r="C538" s="314">
        <v>9.49</v>
      </c>
      <c r="D538" s="365" t="s">
        <v>865</v>
      </c>
      <c r="H538" s="296" t="s">
        <v>377</v>
      </c>
      <c r="I538" s="252">
        <f>K537</f>
        <v>1493.33</v>
      </c>
      <c r="J538" s="296">
        <f>J537</f>
        <v>4.7699999999999996</v>
      </c>
      <c r="K538" s="274">
        <f>I538+J538</f>
        <v>1498.1</v>
      </c>
      <c r="M538" s="296" t="s">
        <v>971</v>
      </c>
      <c r="O538" s="296" t="s">
        <v>1659</v>
      </c>
      <c r="P538" s="296" t="s">
        <v>971</v>
      </c>
      <c r="R538" s="296" t="s">
        <v>971</v>
      </c>
      <c r="S538" s="252"/>
      <c r="U538" s="296" t="s">
        <v>385</v>
      </c>
      <c r="V538" s="252">
        <f>X537</f>
        <v>1485.76</v>
      </c>
      <c r="W538" s="253">
        <f t="shared" ref="W538:W549" si="60">J538</f>
        <v>4.7699999999999996</v>
      </c>
      <c r="X538" s="274">
        <f>V538+W538</f>
        <v>1490.53</v>
      </c>
      <c r="AA538" s="296" t="s">
        <v>385</v>
      </c>
      <c r="AB538" s="252">
        <f>AD537</f>
        <v>1496.74</v>
      </c>
      <c r="AC538" s="296">
        <f t="shared" ref="AC538:AC549" si="61">W538</f>
        <v>4.7699999999999996</v>
      </c>
      <c r="AD538" s="274">
        <f>AB538+AC538</f>
        <v>1501.51</v>
      </c>
      <c r="AE538" s="370">
        <f t="shared" si="59"/>
        <v>0</v>
      </c>
      <c r="AH538" s="296" t="s">
        <v>385</v>
      </c>
      <c r="AI538" s="252">
        <f>AK537</f>
        <v>1499.67</v>
      </c>
      <c r="AJ538" s="296">
        <f t="shared" ref="AJ538:AJ548" si="62">AC538</f>
        <v>4.7699999999999996</v>
      </c>
      <c r="AK538" s="274">
        <f>AI538+AJ538</f>
        <v>1504.44</v>
      </c>
    </row>
    <row r="539" spans="1:37" ht="18.75" customHeight="1">
      <c r="A539" s="363">
        <f t="shared" si="55"/>
        <v>364</v>
      </c>
      <c r="B539" s="365" t="s">
        <v>1113</v>
      </c>
      <c r="C539" s="314">
        <v>13.91</v>
      </c>
      <c r="D539" s="365" t="s">
        <v>865</v>
      </c>
      <c r="H539" s="296" t="s">
        <v>385</v>
      </c>
      <c r="I539" s="252">
        <f>K538</f>
        <v>1498.1</v>
      </c>
      <c r="J539" s="296">
        <f>J538</f>
        <v>4.7699999999999996</v>
      </c>
      <c r="K539" s="274">
        <f>I539+J539</f>
        <v>1502.87</v>
      </c>
      <c r="M539" s="252">
        <v>8</v>
      </c>
      <c r="N539" s="296" t="s">
        <v>865</v>
      </c>
      <c r="O539" s="296" t="s">
        <v>2135</v>
      </c>
      <c r="P539" s="252">
        <f>(C45)</f>
        <v>11.2</v>
      </c>
      <c r="Q539" s="296" t="s">
        <v>865</v>
      </c>
      <c r="R539" s="252">
        <f>(M539*P539)</f>
        <v>89.6</v>
      </c>
      <c r="S539" s="252"/>
      <c r="U539" s="296" t="s">
        <v>2222</v>
      </c>
      <c r="V539" s="252">
        <f>X538</f>
        <v>1490.53</v>
      </c>
      <c r="W539" s="253">
        <f t="shared" si="60"/>
        <v>4.7699999999999996</v>
      </c>
      <c r="X539" s="274">
        <f>V539+W539</f>
        <v>1495.3</v>
      </c>
      <c r="AA539" s="296" t="s">
        <v>2222</v>
      </c>
      <c r="AB539" s="252">
        <f>AD538</f>
        <v>1501.51</v>
      </c>
      <c r="AC539" s="296">
        <f t="shared" si="61"/>
        <v>4.7699999999999996</v>
      </c>
      <c r="AD539" s="274">
        <f>AB539+AC539</f>
        <v>1506.28</v>
      </c>
      <c r="AE539" s="370">
        <f t="shared" si="59"/>
        <v>0</v>
      </c>
      <c r="AH539" s="296" t="s">
        <v>2222</v>
      </c>
      <c r="AI539" s="252">
        <f>AK538</f>
        <v>1504.44</v>
      </c>
      <c r="AJ539" s="296">
        <f t="shared" si="62"/>
        <v>4.7699999999999996</v>
      </c>
      <c r="AK539" s="274">
        <f>AI539+AJ539</f>
        <v>1509.21</v>
      </c>
    </row>
    <row r="540" spans="1:37" ht="18.75" customHeight="1">
      <c r="A540" s="363"/>
      <c r="B540" s="365"/>
      <c r="C540" s="364"/>
      <c r="D540" s="365"/>
      <c r="H540" s="296">
        <v>5</v>
      </c>
      <c r="I540" s="252">
        <f t="shared" ref="I540:I545" si="63">K539</f>
        <v>1502.87</v>
      </c>
      <c r="J540" s="296">
        <f t="shared" ref="J540:J547" si="64">J539</f>
        <v>4.7699999999999996</v>
      </c>
      <c r="K540" s="274">
        <f t="shared" ref="K540:K545" si="65">I540+J540</f>
        <v>1507.64</v>
      </c>
      <c r="N540" s="296"/>
      <c r="O540" s="296"/>
      <c r="Q540" s="296"/>
      <c r="S540" s="252"/>
      <c r="U540" s="296" t="s">
        <v>377</v>
      </c>
      <c r="V540" s="252">
        <f>X539</f>
        <v>1495.3</v>
      </c>
      <c r="W540" s="253">
        <f t="shared" si="60"/>
        <v>4.7699999999999996</v>
      </c>
      <c r="X540" s="274">
        <f>V540+W540</f>
        <v>1500.07</v>
      </c>
      <c r="AA540" s="296" t="s">
        <v>377</v>
      </c>
      <c r="AB540" s="252">
        <f>AD539</f>
        <v>1506.28</v>
      </c>
      <c r="AC540" s="296">
        <f t="shared" si="61"/>
        <v>4.7699999999999996</v>
      </c>
      <c r="AD540" s="274">
        <f>AB540+AC540</f>
        <v>1511.05</v>
      </c>
      <c r="AE540" s="370"/>
      <c r="AH540" s="296" t="s">
        <v>377</v>
      </c>
      <c r="AI540" s="252">
        <f>AK539</f>
        <v>1509.21</v>
      </c>
      <c r="AJ540" s="296">
        <f t="shared" si="62"/>
        <v>4.7699999999999996</v>
      </c>
      <c r="AK540" s="274">
        <f>AI540+AJ540</f>
        <v>1513.98</v>
      </c>
    </row>
    <row r="541" spans="1:37" ht="18.75" customHeight="1">
      <c r="A541" s="363"/>
      <c r="B541" s="365"/>
      <c r="C541" s="364"/>
      <c r="D541" s="365"/>
      <c r="H541" s="296">
        <v>6</v>
      </c>
      <c r="I541" s="252">
        <f t="shared" si="63"/>
        <v>1507.64</v>
      </c>
      <c r="J541" s="296">
        <f t="shared" si="64"/>
        <v>4.7699999999999996</v>
      </c>
      <c r="K541" s="274">
        <f t="shared" si="65"/>
        <v>1512.41</v>
      </c>
      <c r="N541" s="296"/>
      <c r="O541" s="296"/>
      <c r="Q541" s="296"/>
      <c r="S541" s="252"/>
      <c r="U541" s="296" t="s">
        <v>385</v>
      </c>
      <c r="V541" s="252">
        <f>X540</f>
        <v>1500.07</v>
      </c>
      <c r="W541" s="253">
        <f t="shared" si="60"/>
        <v>4.7699999999999996</v>
      </c>
      <c r="X541" s="274">
        <f>V541+W541</f>
        <v>1504.84</v>
      </c>
      <c r="AA541" s="296" t="s">
        <v>385</v>
      </c>
      <c r="AB541" s="252">
        <f>AD540</f>
        <v>1511.05</v>
      </c>
      <c r="AC541" s="296">
        <f t="shared" si="61"/>
        <v>4.7699999999999996</v>
      </c>
      <c r="AD541" s="274">
        <f>AB541+AC541</f>
        <v>1515.82</v>
      </c>
      <c r="AE541" s="370"/>
      <c r="AH541" s="296" t="s">
        <v>385</v>
      </c>
      <c r="AI541" s="252">
        <f>AK540</f>
        <v>1513.98</v>
      </c>
      <c r="AJ541" s="296">
        <f t="shared" si="62"/>
        <v>4.7699999999999996</v>
      </c>
      <c r="AK541" s="274">
        <f>AI541+AJ541</f>
        <v>1518.75</v>
      </c>
    </row>
    <row r="542" spans="1:37" ht="18.75" customHeight="1">
      <c r="A542" s="363"/>
      <c r="B542" s="365"/>
      <c r="C542" s="364"/>
      <c r="D542" s="365"/>
      <c r="H542" s="296">
        <v>7</v>
      </c>
      <c r="I542" s="252">
        <f t="shared" si="63"/>
        <v>1512.41</v>
      </c>
      <c r="J542" s="296">
        <f t="shared" si="64"/>
        <v>4.7699999999999996</v>
      </c>
      <c r="K542" s="274">
        <f t="shared" si="65"/>
        <v>1517.18</v>
      </c>
      <c r="N542" s="296"/>
      <c r="O542" s="296"/>
      <c r="Q542" s="296"/>
      <c r="S542" s="252"/>
      <c r="U542" s="296">
        <v>5</v>
      </c>
      <c r="V542" s="252">
        <f t="shared" ref="V542:V547" si="66">X541</f>
        <v>1504.84</v>
      </c>
      <c r="W542" s="253">
        <f t="shared" si="60"/>
        <v>4.7699999999999996</v>
      </c>
      <c r="X542" s="274">
        <f t="shared" ref="X542:X547" si="67">V542+W542</f>
        <v>1509.61</v>
      </c>
      <c r="AA542" s="296">
        <v>5</v>
      </c>
      <c r="AB542" s="252">
        <f t="shared" ref="AB542:AB547" si="68">AD541</f>
        <v>1515.82</v>
      </c>
      <c r="AC542" s="296">
        <f t="shared" si="61"/>
        <v>4.7699999999999996</v>
      </c>
      <c r="AD542" s="274">
        <f t="shared" ref="AD542:AD547" si="69">AB542+AC542</f>
        <v>1520.59</v>
      </c>
      <c r="AE542" s="370"/>
      <c r="AH542" s="296">
        <v>5</v>
      </c>
      <c r="AI542" s="252">
        <f t="shared" ref="AI542:AI547" si="70">AK541</f>
        <v>1518.75</v>
      </c>
      <c r="AJ542" s="296">
        <f t="shared" si="62"/>
        <v>4.7699999999999996</v>
      </c>
      <c r="AK542" s="274">
        <f t="shared" ref="AK542:AK547" si="71">AI542+AJ542</f>
        <v>1523.52</v>
      </c>
    </row>
    <row r="543" spans="1:37" ht="18.75" customHeight="1">
      <c r="A543" s="363"/>
      <c r="B543" s="365"/>
      <c r="C543" s="364"/>
      <c r="D543" s="365"/>
      <c r="H543" s="296">
        <v>8</v>
      </c>
      <c r="I543" s="252">
        <f t="shared" si="63"/>
        <v>1517.18</v>
      </c>
      <c r="J543" s="296">
        <f t="shared" si="64"/>
        <v>4.7699999999999996</v>
      </c>
      <c r="K543" s="274">
        <f t="shared" si="65"/>
        <v>1521.95</v>
      </c>
      <c r="N543" s="296"/>
      <c r="O543" s="296"/>
      <c r="Q543" s="296"/>
      <c r="S543" s="252"/>
      <c r="U543" s="296">
        <v>6</v>
      </c>
      <c r="V543" s="252">
        <f t="shared" si="66"/>
        <v>1509.61</v>
      </c>
      <c r="W543" s="253">
        <f t="shared" si="60"/>
        <v>4.7699999999999996</v>
      </c>
      <c r="X543" s="274">
        <f t="shared" si="67"/>
        <v>1514.38</v>
      </c>
      <c r="AA543" s="296">
        <v>6</v>
      </c>
      <c r="AB543" s="252">
        <f t="shared" si="68"/>
        <v>1520.59</v>
      </c>
      <c r="AC543" s="296">
        <f t="shared" si="61"/>
        <v>4.7699999999999996</v>
      </c>
      <c r="AD543" s="274">
        <f t="shared" si="69"/>
        <v>1525.36</v>
      </c>
      <c r="AE543" s="370"/>
      <c r="AH543" s="296">
        <v>6</v>
      </c>
      <c r="AI543" s="252">
        <f t="shared" si="70"/>
        <v>1523.52</v>
      </c>
      <c r="AJ543" s="296">
        <f t="shared" si="62"/>
        <v>4.7699999999999996</v>
      </c>
      <c r="AK543" s="274">
        <f t="shared" si="71"/>
        <v>1528.29</v>
      </c>
    </row>
    <row r="544" spans="1:37" ht="18.75" customHeight="1">
      <c r="A544" s="363"/>
      <c r="B544" s="365"/>
      <c r="C544" s="364"/>
      <c r="D544" s="365"/>
      <c r="H544" s="296">
        <v>9</v>
      </c>
      <c r="I544" s="252">
        <f t="shared" si="63"/>
        <v>1521.95</v>
      </c>
      <c r="J544" s="296">
        <f t="shared" si="64"/>
        <v>4.7699999999999996</v>
      </c>
      <c r="K544" s="274">
        <f t="shared" si="65"/>
        <v>1526.72</v>
      </c>
      <c r="N544" s="296"/>
      <c r="O544" s="296"/>
      <c r="Q544" s="296"/>
      <c r="S544" s="252"/>
      <c r="U544" s="296">
        <v>7</v>
      </c>
      <c r="V544" s="252">
        <f t="shared" si="66"/>
        <v>1514.38</v>
      </c>
      <c r="W544" s="253">
        <f t="shared" si="60"/>
        <v>4.7699999999999996</v>
      </c>
      <c r="X544" s="274">
        <f t="shared" si="67"/>
        <v>1519.15</v>
      </c>
      <c r="AA544" s="296">
        <v>7</v>
      </c>
      <c r="AB544" s="252">
        <f t="shared" si="68"/>
        <v>1525.36</v>
      </c>
      <c r="AC544" s="296">
        <f t="shared" si="61"/>
        <v>4.7699999999999996</v>
      </c>
      <c r="AD544" s="274">
        <f t="shared" si="69"/>
        <v>1530.13</v>
      </c>
      <c r="AE544" s="370"/>
      <c r="AH544" s="296">
        <v>7</v>
      </c>
      <c r="AI544" s="252">
        <f t="shared" si="70"/>
        <v>1528.29</v>
      </c>
      <c r="AJ544" s="296">
        <f t="shared" si="62"/>
        <v>4.7699999999999996</v>
      </c>
      <c r="AK544" s="274">
        <f t="shared" si="71"/>
        <v>1533.06</v>
      </c>
    </row>
    <row r="545" spans="1:37" ht="18.75" customHeight="1">
      <c r="A545" s="363"/>
      <c r="B545" s="365"/>
      <c r="C545" s="364"/>
      <c r="D545" s="365"/>
      <c r="H545" s="296">
        <v>10</v>
      </c>
      <c r="I545" s="252">
        <f t="shared" si="63"/>
        <v>1526.72</v>
      </c>
      <c r="J545" s="296">
        <f t="shared" si="64"/>
        <v>4.7699999999999996</v>
      </c>
      <c r="K545" s="274">
        <f t="shared" si="65"/>
        <v>1531.49</v>
      </c>
      <c r="N545" s="296"/>
      <c r="O545" s="296"/>
      <c r="Q545" s="296"/>
      <c r="S545" s="252"/>
      <c r="U545" s="296">
        <v>8</v>
      </c>
      <c r="V545" s="252">
        <f t="shared" si="66"/>
        <v>1519.15</v>
      </c>
      <c r="W545" s="253">
        <f t="shared" si="60"/>
        <v>4.7699999999999996</v>
      </c>
      <c r="X545" s="274">
        <f t="shared" si="67"/>
        <v>1523.92</v>
      </c>
      <c r="AA545" s="296">
        <v>8</v>
      </c>
      <c r="AB545" s="252">
        <f t="shared" si="68"/>
        <v>1530.13</v>
      </c>
      <c r="AC545" s="296">
        <f t="shared" si="61"/>
        <v>4.7699999999999996</v>
      </c>
      <c r="AD545" s="274">
        <f t="shared" si="69"/>
        <v>1534.9</v>
      </c>
      <c r="AE545" s="370"/>
      <c r="AH545" s="296">
        <v>8</v>
      </c>
      <c r="AI545" s="252">
        <f t="shared" si="70"/>
        <v>1533.06</v>
      </c>
      <c r="AJ545" s="296">
        <f t="shared" si="62"/>
        <v>4.7699999999999996</v>
      </c>
      <c r="AK545" s="274">
        <f t="shared" si="71"/>
        <v>1537.83</v>
      </c>
    </row>
    <row r="546" spans="1:37" ht="18.75" customHeight="1">
      <c r="A546" s="363"/>
      <c r="B546" s="365"/>
      <c r="C546" s="364"/>
      <c r="D546" s="365"/>
      <c r="H546" s="296">
        <v>11</v>
      </c>
      <c r="I546" s="252">
        <f>K545</f>
        <v>1531.49</v>
      </c>
      <c r="J546" s="296">
        <f t="shared" si="64"/>
        <v>4.7699999999999996</v>
      </c>
      <c r="K546" s="274">
        <f>I546+J546</f>
        <v>1536.26</v>
      </c>
      <c r="N546" s="296"/>
      <c r="O546" s="296"/>
      <c r="Q546" s="296"/>
      <c r="S546" s="252"/>
      <c r="U546" s="296">
        <v>9</v>
      </c>
      <c r="V546" s="252">
        <f t="shared" si="66"/>
        <v>1523.92</v>
      </c>
      <c r="W546" s="253">
        <f t="shared" si="60"/>
        <v>4.7699999999999996</v>
      </c>
      <c r="X546" s="274">
        <f t="shared" si="67"/>
        <v>1528.69</v>
      </c>
      <c r="AA546" s="296">
        <v>9</v>
      </c>
      <c r="AB546" s="252">
        <f t="shared" si="68"/>
        <v>1534.9</v>
      </c>
      <c r="AC546" s="296">
        <f t="shared" si="61"/>
        <v>4.7699999999999996</v>
      </c>
      <c r="AD546" s="274">
        <f t="shared" si="69"/>
        <v>1539.67</v>
      </c>
      <c r="AE546" s="370"/>
      <c r="AH546" s="296">
        <v>9</v>
      </c>
      <c r="AI546" s="252">
        <f t="shared" si="70"/>
        <v>1537.83</v>
      </c>
      <c r="AJ546" s="296">
        <f t="shared" si="62"/>
        <v>4.7699999999999996</v>
      </c>
      <c r="AK546" s="274">
        <f t="shared" si="71"/>
        <v>1542.6</v>
      </c>
    </row>
    <row r="547" spans="1:37" ht="18.75" customHeight="1">
      <c r="A547" s="363"/>
      <c r="B547" s="365"/>
      <c r="C547" s="364"/>
      <c r="D547" s="365"/>
      <c r="H547" s="296">
        <v>12</v>
      </c>
      <c r="I547" s="252">
        <f>K546</f>
        <v>1536.26</v>
      </c>
      <c r="J547" s="296">
        <f t="shared" si="64"/>
        <v>4.7699999999999996</v>
      </c>
      <c r="K547" s="274">
        <f>I547+J547</f>
        <v>1541.03</v>
      </c>
      <c r="N547" s="296"/>
      <c r="O547" s="296"/>
      <c r="Q547" s="296"/>
      <c r="S547" s="252"/>
      <c r="U547" s="296">
        <v>10</v>
      </c>
      <c r="V547" s="252">
        <f t="shared" si="66"/>
        <v>1528.69</v>
      </c>
      <c r="W547" s="253">
        <f t="shared" si="60"/>
        <v>4.7699999999999996</v>
      </c>
      <c r="X547" s="274">
        <f t="shared" si="67"/>
        <v>1533.46</v>
      </c>
      <c r="AA547" s="296">
        <v>10</v>
      </c>
      <c r="AB547" s="252">
        <f t="shared" si="68"/>
        <v>1539.67</v>
      </c>
      <c r="AC547" s="296">
        <f t="shared" si="61"/>
        <v>4.7699999999999996</v>
      </c>
      <c r="AD547" s="274">
        <f t="shared" si="69"/>
        <v>1544.44</v>
      </c>
      <c r="AE547" s="370"/>
      <c r="AH547" s="296">
        <v>10</v>
      </c>
      <c r="AI547" s="252">
        <f t="shared" si="70"/>
        <v>1542.6</v>
      </c>
      <c r="AJ547" s="296">
        <f t="shared" si="62"/>
        <v>4.7699999999999996</v>
      </c>
      <c r="AK547" s="274">
        <f t="shared" si="71"/>
        <v>1547.37</v>
      </c>
    </row>
    <row r="548" spans="1:37" ht="18.75" customHeight="1">
      <c r="A548" s="363">
        <f>(A539+1)</f>
        <v>365</v>
      </c>
      <c r="B548" s="365" t="s">
        <v>1114</v>
      </c>
      <c r="C548" s="314">
        <v>26.59</v>
      </c>
      <c r="D548" s="365" t="s">
        <v>865</v>
      </c>
      <c r="F548" s="253" t="s">
        <v>1124</v>
      </c>
      <c r="G548" s="252" t="s">
        <v>2241</v>
      </c>
      <c r="H548" s="296" t="s">
        <v>254</v>
      </c>
      <c r="M548" s="252">
        <v>8</v>
      </c>
      <c r="N548" s="296" t="s">
        <v>865</v>
      </c>
      <c r="O548" s="296" t="s">
        <v>464</v>
      </c>
      <c r="P548" s="252">
        <f>(C52)</f>
        <v>28.05</v>
      </c>
      <c r="Q548" s="296" t="s">
        <v>865</v>
      </c>
      <c r="R548" s="252">
        <f>(M548*P548)</f>
        <v>224.4</v>
      </c>
      <c r="S548" s="252"/>
      <c r="U548" s="296">
        <v>11</v>
      </c>
      <c r="V548" s="252">
        <f>X547</f>
        <v>1533.46</v>
      </c>
      <c r="W548" s="253">
        <f t="shared" si="60"/>
        <v>0</v>
      </c>
      <c r="X548" s="274">
        <f>V548+W548</f>
        <v>1533.46</v>
      </c>
      <c r="AA548" s="296">
        <v>11</v>
      </c>
      <c r="AB548" s="252">
        <f>AD547</f>
        <v>1544.44</v>
      </c>
      <c r="AC548" s="296">
        <f t="shared" si="61"/>
        <v>0</v>
      </c>
      <c r="AD548" s="274">
        <f>AB548+AC548</f>
        <v>1544.44</v>
      </c>
      <c r="AE548" s="370">
        <f t="shared" si="59"/>
        <v>0</v>
      </c>
      <c r="AH548" s="296">
        <v>11</v>
      </c>
      <c r="AI548" s="252">
        <f>AK547</f>
        <v>1547.37</v>
      </c>
      <c r="AJ548" s="296">
        <f t="shared" si="62"/>
        <v>0</v>
      </c>
      <c r="AK548" s="274">
        <f>AI548+AJ548</f>
        <v>1547.37</v>
      </c>
    </row>
    <row r="549" spans="1:37" ht="18.75" customHeight="1">
      <c r="A549" s="363">
        <f t="shared" si="55"/>
        <v>366</v>
      </c>
      <c r="B549" s="365" t="s">
        <v>1116</v>
      </c>
      <c r="C549" s="314">
        <v>39.909999999999997</v>
      </c>
      <c r="D549" s="365" t="s">
        <v>865</v>
      </c>
      <c r="H549" s="358" t="s">
        <v>1579</v>
      </c>
      <c r="M549" s="252">
        <v>3</v>
      </c>
      <c r="N549" s="296" t="s">
        <v>865</v>
      </c>
      <c r="O549" s="296" t="s">
        <v>1837</v>
      </c>
      <c r="P549" s="252">
        <f>(C41)</f>
        <v>738</v>
      </c>
      <c r="Q549" s="296" t="s">
        <v>865</v>
      </c>
      <c r="R549" s="252">
        <f>(M549*P549)</f>
        <v>2214</v>
      </c>
      <c r="S549" s="252"/>
      <c r="U549" s="296">
        <v>12</v>
      </c>
      <c r="V549" s="252">
        <f>X548</f>
        <v>1533.46</v>
      </c>
      <c r="W549" s="253">
        <f t="shared" si="60"/>
        <v>0</v>
      </c>
      <c r="X549" s="274">
        <f>V549+W549</f>
        <v>1533.46</v>
      </c>
      <c r="AA549" s="296">
        <v>12</v>
      </c>
      <c r="AB549" s="252">
        <f>AD548</f>
        <v>1544.44</v>
      </c>
      <c r="AC549" s="296">
        <f t="shared" si="61"/>
        <v>0</v>
      </c>
      <c r="AD549" s="274">
        <f>AB549+AC549</f>
        <v>1544.44</v>
      </c>
      <c r="AE549" s="370">
        <f t="shared" si="59"/>
        <v>0</v>
      </c>
      <c r="AH549" s="296">
        <v>12</v>
      </c>
      <c r="AI549" s="252">
        <f>AK548</f>
        <v>1547.37</v>
      </c>
      <c r="AJ549" s="296">
        <f>AD549</f>
        <v>1544.44</v>
      </c>
      <c r="AK549" s="274">
        <f>AI549+AJ549</f>
        <v>3091.81</v>
      </c>
    </row>
    <row r="550" spans="1:37" ht="18.75" customHeight="1">
      <c r="A550" s="363">
        <f t="shared" si="55"/>
        <v>367</v>
      </c>
      <c r="B550" s="365" t="s">
        <v>237</v>
      </c>
      <c r="C550" s="314">
        <v>66</v>
      </c>
      <c r="D550" s="365" t="s">
        <v>865</v>
      </c>
      <c r="F550" s="252">
        <v>0.03</v>
      </c>
      <c r="G550" s="252" t="s">
        <v>866</v>
      </c>
      <c r="H550" s="296" t="s">
        <v>993</v>
      </c>
      <c r="I550" s="252">
        <f>(K513)</f>
        <v>7527.21</v>
      </c>
      <c r="J550" s="296" t="s">
        <v>866</v>
      </c>
      <c r="K550" s="252">
        <f>(F550*I550)</f>
        <v>225.82</v>
      </c>
      <c r="M550" s="252">
        <v>1</v>
      </c>
      <c r="N550" s="296" t="s">
        <v>865</v>
      </c>
      <c r="O550" s="296" t="s">
        <v>1838</v>
      </c>
      <c r="P550" s="252">
        <f>(C10)</f>
        <v>999</v>
      </c>
      <c r="Q550" s="296" t="s">
        <v>865</v>
      </c>
      <c r="R550" s="252">
        <f>(M550*P550)</f>
        <v>999</v>
      </c>
      <c r="S550" s="253" t="s">
        <v>1124</v>
      </c>
      <c r="T550" s="252" t="s">
        <v>2241</v>
      </c>
      <c r="U550" s="389" t="s">
        <v>5669</v>
      </c>
      <c r="W550" s="253"/>
      <c r="Y550" s="253" t="s">
        <v>1124</v>
      </c>
      <c r="Z550" s="252" t="s">
        <v>2241</v>
      </c>
      <c r="AA550" s="1256" t="s">
        <v>5670</v>
      </c>
      <c r="AB550" s="1256"/>
      <c r="AC550" s="296"/>
      <c r="AE550" s="370" t="str">
        <f t="shared" si="59"/>
        <v>*</v>
      </c>
      <c r="AF550" s="253" t="s">
        <v>1124</v>
      </c>
      <c r="AG550" s="252" t="s">
        <v>2241</v>
      </c>
      <c r="AH550" s="1256" t="s">
        <v>5671</v>
      </c>
      <c r="AI550" s="1256"/>
      <c r="AJ550" s="296"/>
    </row>
    <row r="551" spans="1:37" ht="18.75" customHeight="1">
      <c r="A551" s="363">
        <f t="shared" si="55"/>
        <v>368</v>
      </c>
      <c r="B551" s="365" t="s">
        <v>1125</v>
      </c>
      <c r="C551" s="314"/>
      <c r="D551" s="365" t="s">
        <v>971</v>
      </c>
      <c r="F551" s="252">
        <v>0.5</v>
      </c>
      <c r="G551" s="252" t="s">
        <v>766</v>
      </c>
      <c r="H551" s="296" t="s">
        <v>2000</v>
      </c>
      <c r="I551" s="252">
        <f>(C10)</f>
        <v>999</v>
      </c>
      <c r="J551" s="296" t="s">
        <v>766</v>
      </c>
      <c r="K551" s="252">
        <f>(F551*I551)</f>
        <v>499.5</v>
      </c>
      <c r="M551" s="252">
        <v>2</v>
      </c>
      <c r="N551" s="296" t="s">
        <v>865</v>
      </c>
      <c r="O551" s="296" t="s">
        <v>1893</v>
      </c>
      <c r="P551" s="252">
        <f>(C12)</f>
        <v>651</v>
      </c>
      <c r="Q551" s="296" t="s">
        <v>865</v>
      </c>
      <c r="R551" s="252">
        <f>(M551*P551)</f>
        <v>1302</v>
      </c>
      <c r="S551" s="252"/>
      <c r="U551" s="358" t="s">
        <v>1579</v>
      </c>
      <c r="W551" s="253"/>
      <c r="AA551" s="358" t="s">
        <v>1579</v>
      </c>
      <c r="AC551" s="296"/>
      <c r="AE551" s="370">
        <f t="shared" si="59"/>
        <v>0</v>
      </c>
      <c r="AH551" s="358" t="s">
        <v>1579</v>
      </c>
      <c r="AJ551" s="296"/>
    </row>
    <row r="552" spans="1:37" ht="18.75" customHeight="1">
      <c r="A552" s="363">
        <f t="shared" si="55"/>
        <v>369</v>
      </c>
      <c r="B552" s="365" t="s">
        <v>948</v>
      </c>
      <c r="C552" s="314">
        <v>4.75</v>
      </c>
      <c r="D552" s="365" t="s">
        <v>865</v>
      </c>
      <c r="F552" s="252">
        <v>0.75</v>
      </c>
      <c r="G552" s="252" t="s">
        <v>766</v>
      </c>
      <c r="H552" s="296" t="s">
        <v>1893</v>
      </c>
      <c r="I552" s="252">
        <f>(C12)</f>
        <v>651</v>
      </c>
      <c r="J552" s="296" t="s">
        <v>766</v>
      </c>
      <c r="K552" s="252">
        <f>(F552*I552)</f>
        <v>488.25</v>
      </c>
      <c r="M552" s="252">
        <v>1</v>
      </c>
      <c r="N552" s="296" t="s">
        <v>865</v>
      </c>
      <c r="O552" s="296" t="s">
        <v>317</v>
      </c>
      <c r="P552" s="252">
        <f>(C13)</f>
        <v>534</v>
      </c>
      <c r="Q552" s="296" t="s">
        <v>865</v>
      </c>
      <c r="R552" s="252">
        <f>(M552*P552)</f>
        <v>534</v>
      </c>
      <c r="S552" s="252">
        <v>0.03</v>
      </c>
      <c r="T552" s="252" t="s">
        <v>866</v>
      </c>
      <c r="U552" s="296" t="s">
        <v>3979</v>
      </c>
      <c r="V552" s="252">
        <f>V528</f>
        <v>7624.66</v>
      </c>
      <c r="W552" s="253" t="s">
        <v>866</v>
      </c>
      <c r="X552" s="252">
        <f>(S552*V552)</f>
        <v>228.74</v>
      </c>
      <c r="Y552" s="252">
        <v>0.03</v>
      </c>
      <c r="Z552" s="252" t="s">
        <v>866</v>
      </c>
      <c r="AA552" s="296" t="s">
        <v>3979</v>
      </c>
      <c r="AB552" s="252">
        <f>AB528</f>
        <v>8168.93</v>
      </c>
      <c r="AC552" s="296" t="s">
        <v>866</v>
      </c>
      <c r="AD552" s="252">
        <f>(Y552*AB552)</f>
        <v>245.07</v>
      </c>
      <c r="AE552" s="370" t="str">
        <f t="shared" si="59"/>
        <v>CUM</v>
      </c>
      <c r="AF552" s="316">
        <v>7.3999999999999996E-2</v>
      </c>
      <c r="AG552" s="252" t="s">
        <v>866</v>
      </c>
      <c r="AH552" s="296" t="s">
        <v>3979</v>
      </c>
      <c r="AI552" s="252">
        <f>AI528</f>
        <v>8313.84</v>
      </c>
      <c r="AJ552" s="296" t="s">
        <v>866</v>
      </c>
      <c r="AK552" s="252">
        <f>(AF552*AI552)</f>
        <v>615.22</v>
      </c>
    </row>
    <row r="553" spans="1:37" ht="18.75" customHeight="1">
      <c r="A553" s="363">
        <f t="shared" si="55"/>
        <v>370</v>
      </c>
      <c r="B553" s="365" t="s">
        <v>741</v>
      </c>
      <c r="C553" s="314">
        <v>6.89</v>
      </c>
      <c r="D553" s="365" t="s">
        <v>865</v>
      </c>
      <c r="E553" s="316">
        <f>0.03/40*75</f>
        <v>5.6300000000000003E-2</v>
      </c>
      <c r="G553" s="252" t="s">
        <v>446</v>
      </c>
      <c r="H553" s="296" t="s">
        <v>447</v>
      </c>
      <c r="J553" s="296" t="s">
        <v>446</v>
      </c>
      <c r="K553" s="252">
        <v>0</v>
      </c>
      <c r="N553" s="296" t="s">
        <v>446</v>
      </c>
      <c r="O553" s="296" t="s">
        <v>1839</v>
      </c>
      <c r="P553" s="296" t="s">
        <v>971</v>
      </c>
      <c r="Q553" s="296" t="s">
        <v>446</v>
      </c>
      <c r="R553" s="252">
        <f>(C56)</f>
        <v>12.1</v>
      </c>
      <c r="S553" s="252">
        <v>0.5</v>
      </c>
      <c r="T553" s="252" t="s">
        <v>766</v>
      </c>
      <c r="U553" s="296" t="s">
        <v>2000</v>
      </c>
      <c r="V553" s="252">
        <f>V529</f>
        <v>999</v>
      </c>
      <c r="W553" s="253" t="s">
        <v>766</v>
      </c>
      <c r="X553" s="252">
        <f>(S553*V553)</f>
        <v>499.5</v>
      </c>
      <c r="Y553" s="252">
        <v>0.5</v>
      </c>
      <c r="Z553" s="252" t="s">
        <v>766</v>
      </c>
      <c r="AA553" s="296" t="s">
        <v>2000</v>
      </c>
      <c r="AB553" s="252">
        <f>AB529</f>
        <v>999</v>
      </c>
      <c r="AC553" s="296" t="s">
        <v>766</v>
      </c>
      <c r="AD553" s="252">
        <f>(Y553*AB553)</f>
        <v>499.5</v>
      </c>
      <c r="AE553" s="370" t="str">
        <f t="shared" si="59"/>
        <v>NO</v>
      </c>
      <c r="AF553" s="252">
        <v>0.5</v>
      </c>
      <c r="AG553" s="252" t="s">
        <v>766</v>
      </c>
      <c r="AH553" s="296" t="s">
        <v>2000</v>
      </c>
      <c r="AI553" s="252">
        <f>AI529</f>
        <v>999</v>
      </c>
      <c r="AJ553" s="296" t="s">
        <v>766</v>
      </c>
      <c r="AK553" s="252">
        <f>(AF553*AI553)</f>
        <v>499.5</v>
      </c>
    </row>
    <row r="554" spans="1:37" ht="18.75" customHeight="1">
      <c r="A554" s="363">
        <f t="shared" si="55"/>
        <v>371</v>
      </c>
      <c r="B554" s="365" t="s">
        <v>1655</v>
      </c>
      <c r="C554" s="314">
        <v>6.18</v>
      </c>
      <c r="D554" s="365" t="s">
        <v>865</v>
      </c>
      <c r="K554" s="358" t="s">
        <v>1579</v>
      </c>
      <c r="O554" s="296" t="s">
        <v>1841</v>
      </c>
      <c r="P554" s="296" t="s">
        <v>971</v>
      </c>
      <c r="R554" s="296" t="s">
        <v>971</v>
      </c>
      <c r="S554" s="252">
        <v>0.75</v>
      </c>
      <c r="T554" s="252" t="s">
        <v>766</v>
      </c>
      <c r="U554" s="296" t="s">
        <v>1893</v>
      </c>
      <c r="V554" s="252">
        <f>V530</f>
        <v>651</v>
      </c>
      <c r="W554" s="253" t="s">
        <v>766</v>
      </c>
      <c r="X554" s="252">
        <f>(S554*V554)</f>
        <v>488.25</v>
      </c>
      <c r="Y554" s="252">
        <v>0.75</v>
      </c>
      <c r="Z554" s="252" t="s">
        <v>766</v>
      </c>
      <c r="AA554" s="296" t="s">
        <v>1893</v>
      </c>
      <c r="AB554" s="252">
        <f>AB530</f>
        <v>651</v>
      </c>
      <c r="AC554" s="296" t="s">
        <v>766</v>
      </c>
      <c r="AD554" s="252">
        <f>(Y554*AB554)</f>
        <v>488.25</v>
      </c>
      <c r="AE554" s="370" t="str">
        <f t="shared" si="59"/>
        <v>NO</v>
      </c>
      <c r="AF554" s="252">
        <v>0.75</v>
      </c>
      <c r="AG554" s="252" t="s">
        <v>766</v>
      </c>
      <c r="AH554" s="296" t="s">
        <v>1893</v>
      </c>
      <c r="AI554" s="252">
        <f>AI530</f>
        <v>651</v>
      </c>
      <c r="AJ554" s="296" t="s">
        <v>766</v>
      </c>
      <c r="AK554" s="252">
        <f>(AF554*AI554)</f>
        <v>488.25</v>
      </c>
    </row>
    <row r="555" spans="1:37" ht="18.75" customHeight="1">
      <c r="A555" s="363">
        <f t="shared" si="55"/>
        <v>372</v>
      </c>
      <c r="B555" s="365" t="s">
        <v>1126</v>
      </c>
      <c r="C555" s="314">
        <v>13.29</v>
      </c>
      <c r="D555" s="365" t="s">
        <v>865</v>
      </c>
      <c r="H555" s="296" t="s">
        <v>1740</v>
      </c>
      <c r="K555" s="252">
        <f>SUM(K550:K553)</f>
        <v>1213.57</v>
      </c>
      <c r="N555" s="296" t="s">
        <v>446</v>
      </c>
      <c r="O555" s="296" t="s">
        <v>447</v>
      </c>
      <c r="Q555" s="296" t="s">
        <v>446</v>
      </c>
      <c r="R555" s="252">
        <v>0</v>
      </c>
      <c r="S555" s="252"/>
      <c r="T555" s="252" t="s">
        <v>446</v>
      </c>
      <c r="U555" s="296" t="s">
        <v>447</v>
      </c>
      <c r="V555" s="252">
        <f>V531</f>
        <v>0</v>
      </c>
      <c r="W555" s="253" t="s">
        <v>446</v>
      </c>
      <c r="X555" s="252">
        <v>0</v>
      </c>
      <c r="Z555" s="252" t="s">
        <v>446</v>
      </c>
      <c r="AA555" s="296" t="s">
        <v>447</v>
      </c>
      <c r="AB555" s="252">
        <f>AB531</f>
        <v>0</v>
      </c>
      <c r="AC555" s="296" t="s">
        <v>446</v>
      </c>
      <c r="AD555" s="252">
        <v>0</v>
      </c>
      <c r="AE555" s="370" t="str">
        <f t="shared" si="59"/>
        <v>L.S</v>
      </c>
      <c r="AG555" s="252" t="s">
        <v>446</v>
      </c>
      <c r="AH555" s="296" t="s">
        <v>447</v>
      </c>
      <c r="AI555" s="252">
        <f>AI531</f>
        <v>0</v>
      </c>
      <c r="AJ555" s="296" t="s">
        <v>446</v>
      </c>
      <c r="AK555" s="252">
        <v>0</v>
      </c>
    </row>
    <row r="556" spans="1:37" ht="18.75" customHeight="1">
      <c r="A556" s="363">
        <f t="shared" si="55"/>
        <v>373</v>
      </c>
      <c r="B556" s="365" t="s">
        <v>1127</v>
      </c>
      <c r="C556" s="314">
        <v>14.11</v>
      </c>
      <c r="D556" s="365" t="s">
        <v>865</v>
      </c>
      <c r="K556" s="358" t="s">
        <v>1579</v>
      </c>
      <c r="R556" s="358" t="s">
        <v>1579</v>
      </c>
      <c r="S556" s="252"/>
      <c r="W556" s="253"/>
      <c r="X556" s="358" t="s">
        <v>1579</v>
      </c>
      <c r="AC556" s="296"/>
      <c r="AD556" s="358" t="s">
        <v>1579</v>
      </c>
      <c r="AE556" s="370">
        <f t="shared" si="59"/>
        <v>0</v>
      </c>
      <c r="AJ556" s="296"/>
      <c r="AK556" s="358" t="s">
        <v>1579</v>
      </c>
    </row>
    <row r="557" spans="1:37" ht="18.75" customHeight="1">
      <c r="A557" s="363">
        <f t="shared" si="55"/>
        <v>374</v>
      </c>
      <c r="B557" s="365" t="s">
        <v>1128</v>
      </c>
      <c r="C557" s="314">
        <v>14.69</v>
      </c>
      <c r="D557" s="365" t="s">
        <v>865</v>
      </c>
      <c r="H557" s="296" t="s">
        <v>549</v>
      </c>
      <c r="K557" s="252">
        <f>(K555/0.743)</f>
        <v>1633.34</v>
      </c>
      <c r="O557" s="296" t="s">
        <v>1842</v>
      </c>
      <c r="R557" s="252">
        <f>SUM(R537:R555)</f>
        <v>5525.1</v>
      </c>
      <c r="S557" s="252"/>
      <c r="U557" s="296" t="s">
        <v>1740</v>
      </c>
      <c r="W557" s="253"/>
      <c r="X557" s="252">
        <f>SUM(X552:X555)</f>
        <v>1216.49</v>
      </c>
      <c r="AA557" s="296" t="s">
        <v>1740</v>
      </c>
      <c r="AC557" s="296"/>
      <c r="AD557" s="252">
        <f>SUM(AD552:AD555)</f>
        <v>1232.82</v>
      </c>
      <c r="AE557" s="370">
        <f t="shared" si="59"/>
        <v>0</v>
      </c>
      <c r="AH557" s="296" t="s">
        <v>1740</v>
      </c>
      <c r="AJ557" s="296"/>
      <c r="AK557" s="252">
        <f>SUM(AK552:AK555)</f>
        <v>1602.97</v>
      </c>
    </row>
    <row r="558" spans="1:37" ht="18.75" customHeight="1">
      <c r="A558" s="363">
        <f t="shared" si="55"/>
        <v>375</v>
      </c>
      <c r="B558" s="365" t="s">
        <v>1856</v>
      </c>
      <c r="C558" s="364"/>
      <c r="D558" s="365" t="s">
        <v>971</v>
      </c>
      <c r="K558" s="358" t="s">
        <v>2046</v>
      </c>
      <c r="R558" s="358" t="s">
        <v>1579</v>
      </c>
      <c r="S558" s="252"/>
      <c r="W558" s="253"/>
      <c r="X558" s="358" t="s">
        <v>1579</v>
      </c>
      <c r="AC558" s="296"/>
      <c r="AD558" s="358" t="s">
        <v>1579</v>
      </c>
      <c r="AE558" s="370">
        <f t="shared" si="59"/>
        <v>0</v>
      </c>
      <c r="AJ558" s="296"/>
      <c r="AK558" s="358" t="s">
        <v>1579</v>
      </c>
    </row>
    <row r="559" spans="1:37" ht="18.75" customHeight="1">
      <c r="A559" s="363">
        <f t="shared" si="55"/>
        <v>376</v>
      </c>
      <c r="B559" s="365" t="s">
        <v>948</v>
      </c>
      <c r="C559" s="314">
        <v>10.3</v>
      </c>
      <c r="D559" s="365" t="s">
        <v>865</v>
      </c>
      <c r="H559" s="296" t="s">
        <v>383</v>
      </c>
      <c r="I559" s="252">
        <f>K557</f>
        <v>1633.34</v>
      </c>
      <c r="J559" s="296">
        <f>C22*0.03/0.743</f>
        <v>4.84</v>
      </c>
      <c r="K559" s="274">
        <f>I559+J559</f>
        <v>1638.18</v>
      </c>
      <c r="M559" s="252">
        <f>0.47*38.5</f>
        <v>18.100000000000001</v>
      </c>
      <c r="O559" s="296" t="s">
        <v>1538</v>
      </c>
      <c r="R559" s="252">
        <f>(R557/30)</f>
        <v>184.17</v>
      </c>
      <c r="S559" s="252"/>
      <c r="U559" s="296" t="s">
        <v>3980</v>
      </c>
      <c r="W559" s="253"/>
      <c r="X559" s="274">
        <f>(X557/0.743)</f>
        <v>1637.27</v>
      </c>
      <c r="AA559" s="296" t="s">
        <v>3980</v>
      </c>
      <c r="AC559" s="296"/>
      <c r="AD559" s="274">
        <f>(AD557/0.743)</f>
        <v>1659.25</v>
      </c>
      <c r="AE559" s="370">
        <f t="shared" si="59"/>
        <v>0</v>
      </c>
      <c r="AH559" s="296" t="s">
        <v>3980</v>
      </c>
      <c r="AJ559" s="296"/>
      <c r="AK559" s="274">
        <f>(AK557/0.743)</f>
        <v>2157.4299999999998</v>
      </c>
    </row>
    <row r="560" spans="1:37" ht="18.75" customHeight="1">
      <c r="A560" s="363">
        <f t="shared" si="55"/>
        <v>377</v>
      </c>
      <c r="B560" s="365" t="s">
        <v>741</v>
      </c>
      <c r="C560" s="314">
        <v>19.05</v>
      </c>
      <c r="D560" s="365" t="s">
        <v>865</v>
      </c>
      <c r="H560" s="296" t="s">
        <v>385</v>
      </c>
      <c r="I560" s="252">
        <f>K559</f>
        <v>1638.18</v>
      </c>
      <c r="J560" s="296">
        <f>C23*0.03/0.743</f>
        <v>9.5299999999999994</v>
      </c>
      <c r="K560" s="274">
        <f>I560+J560</f>
        <v>1647.71</v>
      </c>
      <c r="M560" s="252">
        <f>0.24*546</f>
        <v>131.04</v>
      </c>
      <c r="R560" s="358" t="s">
        <v>1579</v>
      </c>
      <c r="S560" s="252"/>
      <c r="W560" s="253"/>
      <c r="X560" s="358" t="s">
        <v>2046</v>
      </c>
      <c r="AC560" s="296"/>
      <c r="AD560" s="358" t="s">
        <v>2046</v>
      </c>
      <c r="AE560" s="370">
        <f t="shared" si="59"/>
        <v>0</v>
      </c>
      <c r="AJ560" s="296"/>
      <c r="AK560" s="358" t="s">
        <v>2046</v>
      </c>
    </row>
    <row r="561" spans="1:37" ht="18.75" customHeight="1">
      <c r="A561" s="363">
        <f t="shared" si="55"/>
        <v>378</v>
      </c>
      <c r="B561" s="365" t="s">
        <v>1655</v>
      </c>
      <c r="C561" s="314">
        <v>15.34</v>
      </c>
      <c r="D561" s="365" t="s">
        <v>865</v>
      </c>
      <c r="H561" s="296" t="s">
        <v>2222</v>
      </c>
      <c r="I561" s="252">
        <f>K560</f>
        <v>1647.71</v>
      </c>
      <c r="J561" s="296">
        <f>J560</f>
        <v>9.5299999999999994</v>
      </c>
      <c r="K561" s="274">
        <f>I561+J561</f>
        <v>1657.24</v>
      </c>
      <c r="M561" s="252">
        <f>0.24*143.6</f>
        <v>34.46</v>
      </c>
      <c r="N561" s="296" t="s">
        <v>2241</v>
      </c>
      <c r="O561" s="296" t="s">
        <v>2038</v>
      </c>
      <c r="S561" s="252"/>
      <c r="U561" s="296" t="s">
        <v>383</v>
      </c>
      <c r="V561" s="252">
        <f>X559</f>
        <v>1637.27</v>
      </c>
      <c r="W561" s="253">
        <f>J559</f>
        <v>4.84</v>
      </c>
      <c r="X561" s="274">
        <f>V561+W561</f>
        <v>1642.11</v>
      </c>
      <c r="AA561" s="296" t="s">
        <v>383</v>
      </c>
      <c r="AB561" s="252">
        <f>AD559</f>
        <v>1659.25</v>
      </c>
      <c r="AC561" s="296">
        <f t="shared" ref="AC561:AC566" si="72">W561</f>
        <v>4.84</v>
      </c>
      <c r="AD561" s="274">
        <f t="shared" ref="AD561:AD566" si="73">AB561+AC561</f>
        <v>1664.09</v>
      </c>
      <c r="AE561" s="370">
        <f t="shared" si="59"/>
        <v>0</v>
      </c>
      <c r="AH561" s="296" t="s">
        <v>383</v>
      </c>
      <c r="AI561" s="252">
        <f>AK559</f>
        <v>2157.4299999999998</v>
      </c>
      <c r="AJ561" s="296">
        <f t="shared" ref="AJ561:AJ566" si="74">AC561</f>
        <v>4.84</v>
      </c>
      <c r="AK561" s="274">
        <f t="shared" ref="AK561:AK566" si="75">AI561+AJ561</f>
        <v>2162.27</v>
      </c>
    </row>
    <row r="562" spans="1:37" ht="18.75" customHeight="1">
      <c r="A562" s="363">
        <f t="shared" si="55"/>
        <v>379</v>
      </c>
      <c r="B562" s="365" t="s">
        <v>1857</v>
      </c>
      <c r="C562" s="314">
        <v>29.41</v>
      </c>
      <c r="D562" s="365" t="s">
        <v>865</v>
      </c>
      <c r="H562" s="296" t="s">
        <v>377</v>
      </c>
      <c r="I562" s="252">
        <f>K561</f>
        <v>1657.24</v>
      </c>
      <c r="J562" s="296">
        <f>J561</f>
        <v>9.5299999999999994</v>
      </c>
      <c r="K562" s="274">
        <f>I562+J562</f>
        <v>1666.77</v>
      </c>
      <c r="M562" s="252">
        <f>0.79*328.9</f>
        <v>259.83</v>
      </c>
      <c r="O562" s="296" t="s">
        <v>1858</v>
      </c>
      <c r="S562" s="252"/>
      <c r="U562" s="296" t="s">
        <v>385</v>
      </c>
      <c r="V562" s="252">
        <f>X561</f>
        <v>1642.11</v>
      </c>
      <c r="W562" s="253">
        <f>J560</f>
        <v>9.5299999999999994</v>
      </c>
      <c r="X562" s="274">
        <f>V562+W562</f>
        <v>1651.64</v>
      </c>
      <c r="AA562" s="296" t="s">
        <v>385</v>
      </c>
      <c r="AB562" s="252">
        <f>AD561</f>
        <v>1664.09</v>
      </c>
      <c r="AC562" s="296">
        <f t="shared" si="72"/>
        <v>9.5299999999999994</v>
      </c>
      <c r="AD562" s="274">
        <f t="shared" si="73"/>
        <v>1673.62</v>
      </c>
      <c r="AE562" s="370">
        <f t="shared" si="59"/>
        <v>0</v>
      </c>
      <c r="AH562" s="296" t="s">
        <v>385</v>
      </c>
      <c r="AI562" s="252">
        <f>AK561</f>
        <v>2162.27</v>
      </c>
      <c r="AJ562" s="296">
        <f t="shared" si="74"/>
        <v>9.5299999999999994</v>
      </c>
      <c r="AK562" s="274">
        <f t="shared" si="75"/>
        <v>2171.8000000000002</v>
      </c>
    </row>
    <row r="563" spans="1:37" ht="18.75" customHeight="1">
      <c r="A563" s="364"/>
      <c r="B563" s="364"/>
      <c r="C563" s="314"/>
      <c r="D563" s="364"/>
      <c r="F563" s="296" t="s">
        <v>971</v>
      </c>
      <c r="H563" s="296" t="s">
        <v>385</v>
      </c>
      <c r="I563" s="252">
        <f>K562</f>
        <v>1666.77</v>
      </c>
      <c r="J563" s="296">
        <f>J562</f>
        <v>9.5299999999999994</v>
      </c>
      <c r="K563" s="274">
        <f>I563+J563</f>
        <v>1676.3</v>
      </c>
      <c r="M563" s="252">
        <f>SUM(M559:M562)</f>
        <v>443.43</v>
      </c>
      <c r="S563" s="252"/>
      <c r="U563" s="296" t="s">
        <v>2222</v>
      </c>
      <c r="V563" s="252">
        <f>X562</f>
        <v>1651.64</v>
      </c>
      <c r="W563" s="253">
        <f>J561</f>
        <v>9.5299999999999994</v>
      </c>
      <c r="X563" s="274">
        <f>V563+W563</f>
        <v>1661.17</v>
      </c>
      <c r="AA563" s="296" t="s">
        <v>2222</v>
      </c>
      <c r="AB563" s="252">
        <f>AD562</f>
        <v>1673.62</v>
      </c>
      <c r="AC563" s="296">
        <f t="shared" si="72"/>
        <v>9.5299999999999994</v>
      </c>
      <c r="AD563" s="274">
        <f t="shared" si="73"/>
        <v>1683.15</v>
      </c>
      <c r="AE563" s="370">
        <f t="shared" si="59"/>
        <v>0</v>
      </c>
      <c r="AH563" s="296" t="s">
        <v>2222</v>
      </c>
      <c r="AI563" s="252">
        <f>AK562</f>
        <v>2171.8000000000002</v>
      </c>
      <c r="AJ563" s="296">
        <f t="shared" si="74"/>
        <v>9.5299999999999994</v>
      </c>
      <c r="AK563" s="274">
        <f t="shared" si="75"/>
        <v>2181.33</v>
      </c>
    </row>
    <row r="564" spans="1:37" ht="18.75" customHeight="1">
      <c r="A564" s="363">
        <f>(A562+1)</f>
        <v>380</v>
      </c>
      <c r="B564" s="365" t="s">
        <v>1127</v>
      </c>
      <c r="C564" s="314">
        <v>38.35</v>
      </c>
      <c r="D564" s="365" t="s">
        <v>865</v>
      </c>
      <c r="H564" s="296">
        <v>5</v>
      </c>
      <c r="I564" s="252">
        <f t="shared" ref="I564:I569" si="76">K563</f>
        <v>1676.3</v>
      </c>
      <c r="J564" s="296">
        <f t="shared" ref="J564:J571" si="77">J563</f>
        <v>9.5299999999999994</v>
      </c>
      <c r="K564" s="274">
        <f t="shared" ref="K564:K569" si="78">I564+J564</f>
        <v>1685.83</v>
      </c>
      <c r="O564" s="296" t="s">
        <v>153</v>
      </c>
      <c r="S564" s="252"/>
      <c r="U564" s="296" t="s">
        <v>377</v>
      </c>
      <c r="V564" s="252">
        <f>X563</f>
        <v>1661.17</v>
      </c>
      <c r="W564" s="253">
        <f>J562</f>
        <v>9.5299999999999994</v>
      </c>
      <c r="X564" s="274">
        <f>V564+W564</f>
        <v>1670.7</v>
      </c>
      <c r="AA564" s="296" t="s">
        <v>377</v>
      </c>
      <c r="AB564" s="252">
        <f>AD563</f>
        <v>1683.15</v>
      </c>
      <c r="AC564" s="296">
        <f t="shared" si="72"/>
        <v>9.5299999999999994</v>
      </c>
      <c r="AD564" s="274">
        <f t="shared" si="73"/>
        <v>1692.68</v>
      </c>
      <c r="AE564" s="370">
        <f t="shared" si="59"/>
        <v>0</v>
      </c>
      <c r="AH564" s="296" t="s">
        <v>377</v>
      </c>
      <c r="AI564" s="252">
        <f>AK563</f>
        <v>2181.33</v>
      </c>
      <c r="AJ564" s="296">
        <f t="shared" si="74"/>
        <v>9.5299999999999994</v>
      </c>
      <c r="AK564" s="274">
        <f t="shared" si="75"/>
        <v>2190.86</v>
      </c>
    </row>
    <row r="565" spans="1:37" ht="18.75" customHeight="1">
      <c r="A565" s="363"/>
      <c r="B565" s="365"/>
      <c r="C565" s="364"/>
      <c r="D565" s="365"/>
      <c r="H565" s="296">
        <v>6</v>
      </c>
      <c r="I565" s="252">
        <f t="shared" si="76"/>
        <v>1685.83</v>
      </c>
      <c r="J565" s="296">
        <f t="shared" si="77"/>
        <v>9.5299999999999994</v>
      </c>
      <c r="K565" s="274">
        <f t="shared" si="78"/>
        <v>1695.36</v>
      </c>
      <c r="O565" s="296"/>
      <c r="S565" s="296" t="s">
        <v>971</v>
      </c>
      <c r="U565" s="296" t="s">
        <v>3996</v>
      </c>
      <c r="V565" s="252">
        <f>X564</f>
        <v>1670.7</v>
      </c>
      <c r="W565" s="253">
        <f>J563</f>
        <v>9.5299999999999994</v>
      </c>
      <c r="X565" s="274">
        <f>V565+W565</f>
        <v>1680.23</v>
      </c>
      <c r="AA565" s="296" t="s">
        <v>385</v>
      </c>
      <c r="AB565" s="252">
        <f>AD564</f>
        <v>1692.68</v>
      </c>
      <c r="AC565" s="296">
        <f t="shared" si="72"/>
        <v>9.5299999999999994</v>
      </c>
      <c r="AD565" s="274">
        <f t="shared" si="73"/>
        <v>1702.21</v>
      </c>
      <c r="AE565" s="370"/>
      <c r="AH565" s="296" t="s">
        <v>385</v>
      </c>
      <c r="AI565" s="252">
        <f>AK564</f>
        <v>2190.86</v>
      </c>
      <c r="AJ565" s="296">
        <f t="shared" si="74"/>
        <v>9.5299999999999994</v>
      </c>
      <c r="AK565" s="274">
        <f t="shared" si="75"/>
        <v>2200.39</v>
      </c>
    </row>
    <row r="566" spans="1:37" ht="18.75" customHeight="1">
      <c r="A566" s="363"/>
      <c r="B566" s="365"/>
      <c r="C566" s="364"/>
      <c r="D566" s="365"/>
      <c r="H566" s="296">
        <v>7</v>
      </c>
      <c r="I566" s="252">
        <f t="shared" si="76"/>
        <v>1695.36</v>
      </c>
      <c r="J566" s="296">
        <f t="shared" si="77"/>
        <v>9.5299999999999994</v>
      </c>
      <c r="K566" s="274">
        <f t="shared" si="78"/>
        <v>1704.89</v>
      </c>
      <c r="O566" s="296"/>
      <c r="W566" s="253"/>
      <c r="AA566" s="296" t="s">
        <v>2222</v>
      </c>
      <c r="AB566" s="252">
        <f>AD565</f>
        <v>1702.21</v>
      </c>
      <c r="AC566" s="296">
        <f t="shared" si="72"/>
        <v>0</v>
      </c>
      <c r="AD566" s="274">
        <f t="shared" si="73"/>
        <v>1702.21</v>
      </c>
      <c r="AE566" s="370"/>
      <c r="AH566" s="296" t="s">
        <v>2222</v>
      </c>
      <c r="AI566" s="252">
        <f>AK565</f>
        <v>2200.39</v>
      </c>
      <c r="AJ566" s="296">
        <f t="shared" si="74"/>
        <v>0</v>
      </c>
      <c r="AK566" s="274">
        <f t="shared" si="75"/>
        <v>2200.39</v>
      </c>
    </row>
    <row r="567" spans="1:37" ht="18.75" customHeight="1">
      <c r="A567" s="363"/>
      <c r="B567" s="365"/>
      <c r="C567" s="364"/>
      <c r="D567" s="365"/>
      <c r="H567" s="296">
        <v>8</v>
      </c>
      <c r="I567" s="252">
        <f t="shared" si="76"/>
        <v>1704.89</v>
      </c>
      <c r="J567" s="296">
        <f t="shared" si="77"/>
        <v>9.5299999999999994</v>
      </c>
      <c r="K567" s="274">
        <f t="shared" si="78"/>
        <v>1714.42</v>
      </c>
      <c r="O567" s="296"/>
      <c r="W567" s="253"/>
      <c r="AE567" s="370"/>
      <c r="AG567" s="296"/>
    </row>
    <row r="568" spans="1:37" ht="18.75" customHeight="1">
      <c r="A568" s="363"/>
      <c r="B568" s="365"/>
      <c r="C568" s="364"/>
      <c r="D568" s="365"/>
      <c r="H568" s="296">
        <v>9</v>
      </c>
      <c r="I568" s="252">
        <f t="shared" si="76"/>
        <v>1714.42</v>
      </c>
      <c r="J568" s="296">
        <f t="shared" si="77"/>
        <v>9.5299999999999994</v>
      </c>
      <c r="K568" s="274">
        <f t="shared" si="78"/>
        <v>1723.95</v>
      </c>
      <c r="O568" s="296"/>
      <c r="W568" s="253"/>
      <c r="AE568" s="370"/>
      <c r="AG568" s="296"/>
    </row>
    <row r="569" spans="1:37" ht="18.75" customHeight="1">
      <c r="A569" s="363"/>
      <c r="B569" s="365"/>
      <c r="C569" s="364"/>
      <c r="D569" s="365"/>
      <c r="H569" s="296">
        <v>10</v>
      </c>
      <c r="I569" s="252">
        <f t="shared" si="76"/>
        <v>1723.95</v>
      </c>
      <c r="J569" s="296">
        <f t="shared" si="77"/>
        <v>9.5299999999999994</v>
      </c>
      <c r="K569" s="274">
        <f t="shared" si="78"/>
        <v>1733.48</v>
      </c>
      <c r="O569" s="296"/>
      <c r="W569" s="253"/>
      <c r="AE569" s="370"/>
      <c r="AG569" s="296"/>
    </row>
    <row r="570" spans="1:37" ht="18.75" customHeight="1">
      <c r="A570" s="363"/>
      <c r="B570" s="365"/>
      <c r="C570" s="364"/>
      <c r="D570" s="365"/>
      <c r="H570" s="296">
        <v>11</v>
      </c>
      <c r="I570" s="252">
        <f>K569</f>
        <v>1733.48</v>
      </c>
      <c r="J570" s="296">
        <f t="shared" si="77"/>
        <v>9.5299999999999994</v>
      </c>
      <c r="K570" s="274">
        <f>I570+J570</f>
        <v>1743.01</v>
      </c>
      <c r="O570" s="296"/>
      <c r="W570" s="253"/>
      <c r="AE570" s="370"/>
      <c r="AG570" s="296"/>
    </row>
    <row r="571" spans="1:37" ht="18.75" customHeight="1">
      <c r="A571" s="363"/>
      <c r="B571" s="365"/>
      <c r="C571" s="364"/>
      <c r="D571" s="365"/>
      <c r="H571" s="296">
        <v>12</v>
      </c>
      <c r="I571" s="252">
        <f>K570</f>
        <v>1743.01</v>
      </c>
      <c r="J571" s="296">
        <f t="shared" si="77"/>
        <v>9.5299999999999994</v>
      </c>
      <c r="K571" s="274">
        <f>I571+J571</f>
        <v>1752.54</v>
      </c>
      <c r="O571" s="296"/>
      <c r="W571" s="253"/>
      <c r="AE571" s="370"/>
      <c r="AG571" s="296"/>
    </row>
    <row r="572" spans="1:37" ht="18.75" customHeight="1">
      <c r="A572" s="363">
        <f>(A564+1)</f>
        <v>381</v>
      </c>
      <c r="B572" s="365" t="s">
        <v>1128</v>
      </c>
      <c r="C572" s="314">
        <v>37.96</v>
      </c>
      <c r="D572" s="365" t="s">
        <v>865</v>
      </c>
      <c r="F572" s="375"/>
      <c r="G572" s="252" t="s">
        <v>971</v>
      </c>
      <c r="H572" s="296" t="s">
        <v>133</v>
      </c>
      <c r="O572" s="358" t="s">
        <v>1579</v>
      </c>
      <c r="S572" s="384"/>
      <c r="T572" s="252" t="s">
        <v>971</v>
      </c>
      <c r="U572" s="296" t="s">
        <v>133</v>
      </c>
      <c r="W572" s="253"/>
      <c r="AA572" s="296" t="s">
        <v>377</v>
      </c>
      <c r="AB572" s="252">
        <f>AD571</f>
        <v>0</v>
      </c>
      <c r="AC572" s="296">
        <f>W572</f>
        <v>0</v>
      </c>
      <c r="AD572" s="274">
        <f>AB572+AC572</f>
        <v>0</v>
      </c>
      <c r="AE572" s="370" t="str">
        <f t="shared" si="59"/>
        <v>|</v>
      </c>
      <c r="AG572" s="296" t="s">
        <v>2249</v>
      </c>
    </row>
    <row r="573" spans="1:37" ht="18.75" customHeight="1">
      <c r="A573" s="363">
        <f t="shared" ref="A573:A587" si="79">(A572+1)</f>
        <v>382</v>
      </c>
      <c r="B573" s="365" t="s">
        <v>134</v>
      </c>
      <c r="C573" s="314"/>
      <c r="D573" s="365" t="s">
        <v>971</v>
      </c>
      <c r="H573" s="296" t="s">
        <v>1260</v>
      </c>
      <c r="U573" s="296" t="s">
        <v>1260</v>
      </c>
      <c r="W573" s="253"/>
      <c r="AE573" s="370" t="str">
        <f t="shared" si="59"/>
        <v>|</v>
      </c>
      <c r="AG573" s="296" t="s">
        <v>2249</v>
      </c>
    </row>
    <row r="574" spans="1:37" ht="18.75" customHeight="1">
      <c r="A574" s="363">
        <f t="shared" si="79"/>
        <v>383</v>
      </c>
      <c r="B574" s="365" t="s">
        <v>948</v>
      </c>
      <c r="C574" s="314">
        <v>6.68</v>
      </c>
      <c r="D574" s="365" t="s">
        <v>865</v>
      </c>
      <c r="H574" s="296" t="s">
        <v>1261</v>
      </c>
      <c r="N574" s="296" t="s">
        <v>154</v>
      </c>
      <c r="O574" s="296" t="s">
        <v>1019</v>
      </c>
      <c r="U574" s="296" t="s">
        <v>1261</v>
      </c>
      <c r="W574" s="253"/>
      <c r="AE574" s="370" t="str">
        <f t="shared" si="59"/>
        <v>|</v>
      </c>
      <c r="AG574" s="296" t="s">
        <v>2249</v>
      </c>
    </row>
    <row r="575" spans="1:37" ht="18.75" customHeight="1">
      <c r="A575" s="363">
        <f t="shared" si="79"/>
        <v>384</v>
      </c>
      <c r="B575" s="365" t="s">
        <v>741</v>
      </c>
      <c r="C575" s="314">
        <v>9.4499999999999993</v>
      </c>
      <c r="D575" s="365" t="s">
        <v>865</v>
      </c>
      <c r="H575" s="296" t="s">
        <v>1020</v>
      </c>
      <c r="O575" s="358" t="s">
        <v>1579</v>
      </c>
      <c r="U575" s="296" t="s">
        <v>1020</v>
      </c>
      <c r="W575" s="253"/>
      <c r="AE575" s="370" t="str">
        <f t="shared" si="59"/>
        <v>|</v>
      </c>
      <c r="AG575" s="296" t="s">
        <v>2249</v>
      </c>
    </row>
    <row r="576" spans="1:37" ht="18.75" customHeight="1">
      <c r="A576" s="363">
        <f t="shared" si="79"/>
        <v>385</v>
      </c>
      <c r="B576" s="365" t="s">
        <v>1655</v>
      </c>
      <c r="C576" s="314">
        <v>33.04</v>
      </c>
      <c r="D576" s="365" t="s">
        <v>865</v>
      </c>
      <c r="H576" s="296" t="s">
        <v>1021</v>
      </c>
      <c r="M576" s="252">
        <v>8.1</v>
      </c>
      <c r="N576" s="296" t="s">
        <v>866</v>
      </c>
      <c r="O576" s="296" t="s">
        <v>614</v>
      </c>
      <c r="P576" s="252">
        <f>(C61)*2</f>
        <v>224.1</v>
      </c>
      <c r="Q576" s="296" t="s">
        <v>866</v>
      </c>
      <c r="R576" s="252">
        <f>(M576*P576)</f>
        <v>1815.21</v>
      </c>
      <c r="U576" s="296" t="s">
        <v>1021</v>
      </c>
      <c r="W576" s="253"/>
      <c r="AE576" s="370" t="str">
        <f t="shared" si="59"/>
        <v>|</v>
      </c>
      <c r="AG576" s="296" t="s">
        <v>2249</v>
      </c>
    </row>
    <row r="577" spans="1:33" ht="18.75" customHeight="1">
      <c r="A577" s="363">
        <f t="shared" si="79"/>
        <v>386</v>
      </c>
      <c r="B577" s="365" t="s">
        <v>1857</v>
      </c>
      <c r="C577" s="314">
        <v>33.04</v>
      </c>
      <c r="D577" s="365" t="s">
        <v>865</v>
      </c>
      <c r="H577" s="296" t="s">
        <v>1243</v>
      </c>
      <c r="M577" s="252">
        <v>8.1</v>
      </c>
      <c r="N577" s="296" t="s">
        <v>866</v>
      </c>
      <c r="O577" s="296" t="s">
        <v>2148</v>
      </c>
      <c r="P577" s="252">
        <f>(C26)</f>
        <v>38.950000000000003</v>
      </c>
      <c r="Q577" s="296" t="s">
        <v>866</v>
      </c>
      <c r="R577" s="252">
        <f>(M577*P577)</f>
        <v>315.5</v>
      </c>
      <c r="U577" s="296" t="s">
        <v>1243</v>
      </c>
      <c r="W577" s="253"/>
      <c r="AE577" s="370" t="str">
        <f t="shared" si="59"/>
        <v>|</v>
      </c>
      <c r="AG577" s="296" t="s">
        <v>2249</v>
      </c>
    </row>
    <row r="578" spans="1:33" ht="18.75" customHeight="1">
      <c r="A578" s="363">
        <f t="shared" si="79"/>
        <v>387</v>
      </c>
      <c r="B578" s="365" t="s">
        <v>1244</v>
      </c>
      <c r="C578" s="314">
        <v>33.04</v>
      </c>
      <c r="D578" s="365" t="s">
        <v>865</v>
      </c>
      <c r="H578" s="296" t="s">
        <v>1142</v>
      </c>
      <c r="M578" s="252">
        <v>30</v>
      </c>
      <c r="N578" s="296" t="s">
        <v>1763</v>
      </c>
      <c r="O578" s="296" t="s">
        <v>2149</v>
      </c>
      <c r="P578" s="252">
        <f>(C661)</f>
        <v>11.2</v>
      </c>
      <c r="Q578" s="296" t="s">
        <v>1763</v>
      </c>
      <c r="R578" s="252">
        <f>(M578*P578)</f>
        <v>336</v>
      </c>
      <c r="U578" s="296" t="s">
        <v>1142</v>
      </c>
      <c r="W578" s="253"/>
      <c r="AE578" s="370" t="str">
        <f t="shared" si="59"/>
        <v>|</v>
      </c>
      <c r="AG578" s="296" t="s">
        <v>2249</v>
      </c>
    </row>
    <row r="579" spans="1:33" ht="18.75" customHeight="1">
      <c r="A579" s="363">
        <f t="shared" si="79"/>
        <v>388</v>
      </c>
      <c r="B579" s="365" t="s">
        <v>1245</v>
      </c>
      <c r="C579" s="314">
        <v>33.04</v>
      </c>
      <c r="D579" s="365" t="s">
        <v>865</v>
      </c>
      <c r="H579" s="358" t="s">
        <v>1579</v>
      </c>
      <c r="I579" s="358" t="s">
        <v>1579</v>
      </c>
      <c r="O579" s="296" t="s">
        <v>1246</v>
      </c>
      <c r="U579" s="358" t="s">
        <v>1579</v>
      </c>
      <c r="V579" s="358" t="s">
        <v>1579</v>
      </c>
      <c r="W579" s="253"/>
      <c r="AE579" s="370" t="str">
        <f t="shared" si="59"/>
        <v>|</v>
      </c>
      <c r="AG579" s="296" t="s">
        <v>2249</v>
      </c>
    </row>
    <row r="580" spans="1:33" ht="18.75" customHeight="1">
      <c r="A580" s="363">
        <f t="shared" si="79"/>
        <v>389</v>
      </c>
      <c r="B580" s="365" t="s">
        <v>607</v>
      </c>
      <c r="C580" s="314">
        <v>538</v>
      </c>
      <c r="D580" s="365" t="s">
        <v>865</v>
      </c>
      <c r="G580" s="252" t="s">
        <v>686</v>
      </c>
      <c r="H580" s="296" t="s">
        <v>608</v>
      </c>
      <c r="O580" s="296" t="s">
        <v>2151</v>
      </c>
      <c r="T580" s="252" t="s">
        <v>686</v>
      </c>
      <c r="U580" s="296" t="s">
        <v>2154</v>
      </c>
      <c r="W580" s="253"/>
      <c r="AE580" s="370" t="str">
        <f t="shared" si="59"/>
        <v>|</v>
      </c>
      <c r="AG580" s="296" t="s">
        <v>2249</v>
      </c>
    </row>
    <row r="581" spans="1:33" ht="18.75" customHeight="1">
      <c r="A581" s="363">
        <f t="shared" si="79"/>
        <v>390</v>
      </c>
      <c r="B581" s="365" t="s">
        <v>2270</v>
      </c>
      <c r="C581" s="314">
        <v>340</v>
      </c>
      <c r="D581" s="365" t="s">
        <v>865</v>
      </c>
      <c r="H581" s="296" t="s">
        <v>2271</v>
      </c>
      <c r="O581" s="296" t="s">
        <v>2152</v>
      </c>
      <c r="U581" s="296" t="s">
        <v>2271</v>
      </c>
      <c r="W581" s="253"/>
      <c r="AE581" s="370" t="str">
        <f t="shared" si="59"/>
        <v>|</v>
      </c>
      <c r="AG581" s="296" t="s">
        <v>2249</v>
      </c>
    </row>
    <row r="582" spans="1:33" ht="18.75" customHeight="1">
      <c r="A582" s="363">
        <f t="shared" si="79"/>
        <v>391</v>
      </c>
      <c r="B582" s="365" t="s">
        <v>2272</v>
      </c>
      <c r="C582" s="314">
        <v>1039</v>
      </c>
      <c r="D582" s="365" t="s">
        <v>865</v>
      </c>
      <c r="F582" s="252">
        <v>10</v>
      </c>
      <c r="G582" s="252" t="s">
        <v>2273</v>
      </c>
      <c r="H582" s="296" t="s">
        <v>555</v>
      </c>
      <c r="I582" s="252">
        <f>C751</f>
        <v>376.7</v>
      </c>
      <c r="J582" s="296" t="s">
        <v>2273</v>
      </c>
      <c r="K582" s="252">
        <f>(F582*I582)</f>
        <v>3767</v>
      </c>
      <c r="O582" s="296" t="s">
        <v>2155</v>
      </c>
      <c r="S582" s="356">
        <v>10</v>
      </c>
      <c r="T582" s="252" t="s">
        <v>2273</v>
      </c>
      <c r="U582" s="296" t="s">
        <v>555</v>
      </c>
      <c r="V582" s="252">
        <f>I604</f>
        <v>408</v>
      </c>
      <c r="W582" s="253" t="s">
        <v>2273</v>
      </c>
      <c r="X582" s="252">
        <f>(S582*V582)</f>
        <v>4080</v>
      </c>
      <c r="AE582" s="370" t="str">
        <f t="shared" si="59"/>
        <v>|</v>
      </c>
      <c r="AG582" s="296" t="s">
        <v>2249</v>
      </c>
    </row>
    <row r="583" spans="1:33" ht="18.75" customHeight="1">
      <c r="A583" s="363">
        <f t="shared" si="79"/>
        <v>392</v>
      </c>
      <c r="B583" s="365" t="s">
        <v>4864</v>
      </c>
      <c r="C583" s="362">
        <v>230.2</v>
      </c>
      <c r="D583" s="365" t="s">
        <v>865</v>
      </c>
      <c r="F583" s="252">
        <v>1</v>
      </c>
      <c r="G583" s="252" t="s">
        <v>557</v>
      </c>
      <c r="H583" s="296" t="s">
        <v>558</v>
      </c>
      <c r="I583" s="252">
        <f>C10</f>
        <v>999</v>
      </c>
      <c r="J583" s="296" t="s">
        <v>1393</v>
      </c>
      <c r="K583" s="252">
        <f>(F583*I583)</f>
        <v>999</v>
      </c>
      <c r="M583" s="252">
        <v>8</v>
      </c>
      <c r="N583" s="296" t="s">
        <v>766</v>
      </c>
      <c r="O583" s="296" t="s">
        <v>2135</v>
      </c>
      <c r="P583" s="252">
        <v>10.199999999999999</v>
      </c>
      <c r="Q583" s="296" t="s">
        <v>766</v>
      </c>
      <c r="R583" s="252">
        <f>(M583*P583)</f>
        <v>81.599999999999994</v>
      </c>
      <c r="S583" s="356">
        <v>1</v>
      </c>
      <c r="T583" s="252" t="s">
        <v>557</v>
      </c>
      <c r="U583" s="296" t="s">
        <v>558</v>
      </c>
      <c r="V583" s="252">
        <f>I583</f>
        <v>999</v>
      </c>
      <c r="W583" s="253" t="s">
        <v>1393</v>
      </c>
      <c r="X583" s="252">
        <f>(S583*V583)</f>
        <v>999</v>
      </c>
      <c r="AE583" s="370" t="str">
        <f t="shared" si="59"/>
        <v>|</v>
      </c>
      <c r="AG583" s="296" t="s">
        <v>2249</v>
      </c>
    </row>
    <row r="584" spans="1:33" ht="18.75" customHeight="1">
      <c r="A584" s="363">
        <f t="shared" si="79"/>
        <v>393</v>
      </c>
      <c r="B584" s="365" t="s">
        <v>819</v>
      </c>
      <c r="C584" s="314">
        <v>31</v>
      </c>
      <c r="D584" s="365" t="s">
        <v>1148</v>
      </c>
      <c r="F584" s="252">
        <v>1</v>
      </c>
      <c r="G584" s="252" t="s">
        <v>557</v>
      </c>
      <c r="H584" s="296" t="s">
        <v>820</v>
      </c>
      <c r="I584" s="252">
        <f>C12</f>
        <v>651</v>
      </c>
      <c r="J584" s="296" t="s">
        <v>1393</v>
      </c>
      <c r="K584" s="252">
        <f>(F584*I584)</f>
        <v>651</v>
      </c>
      <c r="M584" s="252">
        <v>8</v>
      </c>
      <c r="N584" s="296" t="s">
        <v>766</v>
      </c>
      <c r="O584" s="296" t="s">
        <v>464</v>
      </c>
      <c r="P584" s="252">
        <v>28.5</v>
      </c>
      <c r="Q584" s="296" t="s">
        <v>766</v>
      </c>
      <c r="R584" s="252">
        <f>(M584*P584)</f>
        <v>228</v>
      </c>
      <c r="S584" s="356">
        <v>1</v>
      </c>
      <c r="T584" s="252" t="s">
        <v>557</v>
      </c>
      <c r="U584" s="296" t="s">
        <v>820</v>
      </c>
      <c r="V584" s="252">
        <f>I584</f>
        <v>651</v>
      </c>
      <c r="W584" s="253" t="s">
        <v>1393</v>
      </c>
      <c r="X584" s="252">
        <f>(S584*V584)</f>
        <v>651</v>
      </c>
      <c r="AE584" s="370" t="str">
        <f t="shared" si="59"/>
        <v>|</v>
      </c>
      <c r="AG584" s="296" t="s">
        <v>2249</v>
      </c>
    </row>
    <row r="585" spans="1:33" ht="18.75" customHeight="1">
      <c r="A585" s="363">
        <f t="shared" si="79"/>
        <v>394</v>
      </c>
      <c r="B585" s="296" t="s">
        <v>4865</v>
      </c>
      <c r="C585" s="362">
        <v>206</v>
      </c>
      <c r="D585" s="365" t="s">
        <v>865</v>
      </c>
      <c r="G585" s="252" t="s">
        <v>446</v>
      </c>
      <c r="H585" s="296" t="s">
        <v>59</v>
      </c>
      <c r="J585" s="296" t="s">
        <v>446</v>
      </c>
      <c r="K585" s="252">
        <v>120</v>
      </c>
      <c r="M585" s="252">
        <v>1</v>
      </c>
      <c r="N585" s="296" t="s">
        <v>446</v>
      </c>
      <c r="O585" s="296" t="s">
        <v>1676</v>
      </c>
      <c r="P585" s="252">
        <f>(C673)</f>
        <v>4</v>
      </c>
      <c r="Q585" s="296" t="s">
        <v>446</v>
      </c>
      <c r="R585" s="252">
        <f>(M585*P585)</f>
        <v>4</v>
      </c>
      <c r="T585" s="252" t="s">
        <v>446</v>
      </c>
      <c r="U585" s="296" t="s">
        <v>59</v>
      </c>
      <c r="V585" s="252">
        <f>I585</f>
        <v>0</v>
      </c>
      <c r="W585" s="253" t="s">
        <v>446</v>
      </c>
      <c r="X585" s="252">
        <v>120</v>
      </c>
      <c r="AE585" s="370" t="str">
        <f t="shared" si="59"/>
        <v>|</v>
      </c>
      <c r="AG585" s="296" t="s">
        <v>2249</v>
      </c>
    </row>
    <row r="586" spans="1:33" ht="18.75" customHeight="1">
      <c r="A586" s="363">
        <f t="shared" si="79"/>
        <v>395</v>
      </c>
      <c r="B586" s="365" t="s">
        <v>5434</v>
      </c>
      <c r="C586" s="362">
        <v>93.4</v>
      </c>
      <c r="D586" s="365" t="s">
        <v>865</v>
      </c>
      <c r="H586" s="296" t="s">
        <v>927</v>
      </c>
      <c r="K586" s="358" t="s">
        <v>1579</v>
      </c>
      <c r="M586" s="252">
        <v>1</v>
      </c>
      <c r="N586" s="296" t="s">
        <v>446</v>
      </c>
      <c r="O586" s="296" t="s">
        <v>447</v>
      </c>
      <c r="Q586" s="296" t="s">
        <v>446</v>
      </c>
      <c r="R586" s="252">
        <v>0</v>
      </c>
      <c r="U586" s="296" t="s">
        <v>927</v>
      </c>
      <c r="W586" s="253"/>
      <c r="X586" s="358" t="s">
        <v>1579</v>
      </c>
      <c r="AE586" s="370">
        <f t="shared" si="59"/>
        <v>0</v>
      </c>
    </row>
    <row r="587" spans="1:33" ht="18.75" customHeight="1">
      <c r="A587" s="363">
        <f t="shared" si="79"/>
        <v>396</v>
      </c>
      <c r="B587" s="365" t="s">
        <v>1055</v>
      </c>
      <c r="C587" s="314">
        <v>57.51</v>
      </c>
      <c r="D587" s="365" t="s">
        <v>865</v>
      </c>
      <c r="H587" s="253" t="s">
        <v>1056</v>
      </c>
      <c r="K587" s="252">
        <f>SUM(K582:K585)</f>
        <v>5537</v>
      </c>
      <c r="R587" s="358" t="s">
        <v>1579</v>
      </c>
      <c r="U587" s="253" t="s">
        <v>1056</v>
      </c>
      <c r="W587" s="253"/>
      <c r="X587" s="252">
        <f>SUM(X582:X585)</f>
        <v>5850</v>
      </c>
      <c r="AE587" s="370" t="str">
        <f t="shared" si="59"/>
        <v>|</v>
      </c>
      <c r="AG587" s="296" t="s">
        <v>2249</v>
      </c>
    </row>
    <row r="588" spans="1:33" ht="18.75" customHeight="1">
      <c r="A588" s="363">
        <f>(A587+1)</f>
        <v>397</v>
      </c>
      <c r="B588" s="365" t="s">
        <v>913</v>
      </c>
      <c r="C588" s="314">
        <v>30</v>
      </c>
      <c r="D588" s="365" t="s">
        <v>865</v>
      </c>
      <c r="K588" s="358" t="s">
        <v>1579</v>
      </c>
      <c r="O588" s="296" t="s">
        <v>1537</v>
      </c>
      <c r="R588" s="252">
        <f>SUM(R576:R586)</f>
        <v>2780.31</v>
      </c>
      <c r="W588" s="253"/>
      <c r="X588" s="358" t="s">
        <v>1579</v>
      </c>
      <c r="AE588" s="370" t="str">
        <f t="shared" si="59"/>
        <v>|</v>
      </c>
      <c r="AG588" s="296" t="s">
        <v>2249</v>
      </c>
    </row>
    <row r="589" spans="1:33" ht="18.75" customHeight="1">
      <c r="A589" s="363">
        <f t="shared" ref="A589:A636" si="80">(A588+1)</f>
        <v>398</v>
      </c>
      <c r="B589" s="365" t="s">
        <v>499</v>
      </c>
      <c r="C589" s="314">
        <v>57.51</v>
      </c>
      <c r="D589" s="365" t="s">
        <v>865</v>
      </c>
      <c r="H589" s="253" t="s">
        <v>500</v>
      </c>
      <c r="K589" s="252">
        <f>K587/10</f>
        <v>553.70000000000005</v>
      </c>
      <c r="R589" s="358" t="s">
        <v>1579</v>
      </c>
      <c r="U589" s="253" t="s">
        <v>500</v>
      </c>
      <c r="W589" s="253"/>
      <c r="X589" s="252">
        <f>X587/10</f>
        <v>585</v>
      </c>
      <c r="AE589" s="370" t="str">
        <f t="shared" si="59"/>
        <v>|</v>
      </c>
      <c r="AG589" s="296" t="s">
        <v>2249</v>
      </c>
    </row>
    <row r="590" spans="1:33" ht="18.75" customHeight="1">
      <c r="A590" s="363">
        <f t="shared" si="80"/>
        <v>399</v>
      </c>
      <c r="B590" s="365" t="s">
        <v>1900</v>
      </c>
      <c r="C590" s="314">
        <v>20</v>
      </c>
      <c r="D590" s="365" t="s">
        <v>865</v>
      </c>
      <c r="H590" s="296" t="s">
        <v>383</v>
      </c>
      <c r="I590" s="252">
        <f t="shared" ref="I590:I599" si="81">K589</f>
        <v>553.70000000000005</v>
      </c>
      <c r="J590" s="296">
        <f>C22*0.02</f>
        <v>2.4</v>
      </c>
      <c r="K590" s="274">
        <f>I590+J590</f>
        <v>556.1</v>
      </c>
      <c r="O590" s="296" t="s">
        <v>1538</v>
      </c>
      <c r="R590" s="252">
        <f>(R588/30)</f>
        <v>92.68</v>
      </c>
      <c r="U590" s="296" t="s">
        <v>383</v>
      </c>
      <c r="V590" s="252">
        <f>J612</f>
        <v>4.79</v>
      </c>
      <c r="W590" s="253">
        <f>P22*0.02</f>
        <v>36.92</v>
      </c>
      <c r="X590" s="274">
        <f>X589+V590</f>
        <v>589.79</v>
      </c>
      <c r="Y590" s="252">
        <f>X595+V594</f>
        <v>646.42999999999995</v>
      </c>
      <c r="AE590" s="370" t="str">
        <f t="shared" si="59"/>
        <v>|</v>
      </c>
      <c r="AG590" s="296" t="s">
        <v>2249</v>
      </c>
    </row>
    <row r="591" spans="1:33" ht="18.75" customHeight="1">
      <c r="A591" s="363">
        <f t="shared" si="80"/>
        <v>400</v>
      </c>
      <c r="B591" s="365" t="s">
        <v>1901</v>
      </c>
      <c r="C591" s="314">
        <v>21.92</v>
      </c>
      <c r="D591" s="365" t="s">
        <v>865</v>
      </c>
      <c r="H591" s="296" t="s">
        <v>385</v>
      </c>
      <c r="I591" s="252">
        <f t="shared" si="81"/>
        <v>556.1</v>
      </c>
      <c r="J591" s="296">
        <f>C23*0.02</f>
        <v>4.72</v>
      </c>
      <c r="K591" s="274">
        <f>I591+J591</f>
        <v>560.82000000000005</v>
      </c>
      <c r="N591" s="296" t="s">
        <v>2241</v>
      </c>
      <c r="O591" s="296" t="s">
        <v>1902</v>
      </c>
      <c r="U591" s="296" t="s">
        <v>385</v>
      </c>
      <c r="V591" s="252">
        <f>J613</f>
        <v>9.44</v>
      </c>
      <c r="W591" s="253">
        <f>P23*0.02</f>
        <v>23.42</v>
      </c>
      <c r="X591" s="274">
        <f>X590+V591</f>
        <v>599.23</v>
      </c>
      <c r="Y591" s="252">
        <f>Y590+V594</f>
        <v>655.87</v>
      </c>
      <c r="AE591" s="370" t="str">
        <f t="shared" si="59"/>
        <v>|</v>
      </c>
      <c r="AG591" s="296" t="s">
        <v>2249</v>
      </c>
    </row>
    <row r="592" spans="1:33" ht="18.75" customHeight="1">
      <c r="A592" s="363">
        <f t="shared" si="80"/>
        <v>401</v>
      </c>
      <c r="B592" s="365" t="s">
        <v>5435</v>
      </c>
      <c r="C592" s="362">
        <v>145.15</v>
      </c>
      <c r="D592" s="365" t="s">
        <v>865</v>
      </c>
      <c r="H592" s="296" t="s">
        <v>2222</v>
      </c>
      <c r="I592" s="252">
        <f t="shared" si="81"/>
        <v>560.82000000000005</v>
      </c>
      <c r="J592" s="296">
        <f>C23*0.02</f>
        <v>4.72</v>
      </c>
      <c r="K592" s="274">
        <f>I592+J592</f>
        <v>565.54</v>
      </c>
      <c r="O592" s="296" t="s">
        <v>236</v>
      </c>
      <c r="U592" s="296" t="s">
        <v>2222</v>
      </c>
      <c r="V592" s="252">
        <f>J614</f>
        <v>9.44</v>
      </c>
      <c r="W592" s="253">
        <f>P23*0.02</f>
        <v>23.42</v>
      </c>
      <c r="X592" s="274">
        <f>X591+V592</f>
        <v>608.66999999999996</v>
      </c>
      <c r="Y592" s="252">
        <f>Y591+V594</f>
        <v>665.31</v>
      </c>
      <c r="AE592" s="370" t="str">
        <f t="shared" si="59"/>
        <v>|</v>
      </c>
      <c r="AG592" s="296" t="s">
        <v>2249</v>
      </c>
    </row>
    <row r="593" spans="1:33" ht="18.75" customHeight="1">
      <c r="A593" s="363">
        <f t="shared" si="80"/>
        <v>402</v>
      </c>
      <c r="B593" s="365" t="s">
        <v>5436</v>
      </c>
      <c r="C593" s="362">
        <v>995</v>
      </c>
      <c r="D593" s="365" t="s">
        <v>865</v>
      </c>
      <c r="H593" s="296" t="s">
        <v>377</v>
      </c>
      <c r="I593" s="252">
        <f t="shared" si="81"/>
        <v>565.54</v>
      </c>
      <c r="J593" s="296">
        <f>C23*0.02</f>
        <v>4.72</v>
      </c>
      <c r="K593" s="274">
        <f>I593+J593</f>
        <v>570.26</v>
      </c>
      <c r="O593" s="358" t="s">
        <v>1579</v>
      </c>
      <c r="U593" s="296" t="s">
        <v>377</v>
      </c>
      <c r="V593" s="252">
        <f>J615</f>
        <v>9.44</v>
      </c>
      <c r="W593" s="253">
        <f>P23*0.02</f>
        <v>23.42</v>
      </c>
      <c r="X593" s="274">
        <f>X592+V593</f>
        <v>618.11</v>
      </c>
      <c r="Y593" s="252">
        <f>Y592+V594</f>
        <v>674.75</v>
      </c>
      <c r="AE593" s="370" t="str">
        <f t="shared" si="59"/>
        <v>|</v>
      </c>
      <c r="AG593" s="296" t="s">
        <v>2249</v>
      </c>
    </row>
    <row r="594" spans="1:33" ht="18.75" customHeight="1">
      <c r="A594" s="363"/>
      <c r="B594" s="365"/>
      <c r="C594" s="364"/>
      <c r="D594" s="365"/>
      <c r="H594" s="296" t="s">
        <v>1359</v>
      </c>
      <c r="I594" s="252">
        <f t="shared" si="81"/>
        <v>570.26</v>
      </c>
      <c r="J594" s="296">
        <f>C23*0.02</f>
        <v>4.72</v>
      </c>
      <c r="K594" s="274">
        <f t="shared" ref="K594:K599" si="82">I594+J594</f>
        <v>574.98</v>
      </c>
      <c r="O594" s="358"/>
      <c r="U594" s="296" t="s">
        <v>1359</v>
      </c>
      <c r="V594" s="252">
        <f>J616</f>
        <v>9.44</v>
      </c>
      <c r="W594" s="253">
        <f>P23*0.02</f>
        <v>23.42</v>
      </c>
      <c r="X594" s="274">
        <f>X593+V594</f>
        <v>627.54999999999995</v>
      </c>
      <c r="Y594" s="252">
        <f>Y593+V594</f>
        <v>684.19</v>
      </c>
      <c r="AE594" s="370" t="str">
        <f t="shared" si="59"/>
        <v>|::</v>
      </c>
      <c r="AG594" s="296" t="s">
        <v>318</v>
      </c>
    </row>
    <row r="595" spans="1:33" ht="18.75" customHeight="1">
      <c r="A595" s="363">
        <f>(A593+1)</f>
        <v>403</v>
      </c>
      <c r="B595" s="365" t="s">
        <v>540</v>
      </c>
      <c r="C595" s="314">
        <v>21</v>
      </c>
      <c r="D595" s="365" t="s">
        <v>865</v>
      </c>
      <c r="H595" s="296" t="s">
        <v>3552</v>
      </c>
      <c r="I595" s="252">
        <f t="shared" si="81"/>
        <v>574.98</v>
      </c>
      <c r="J595" s="296">
        <f>C23*0.02</f>
        <v>4.72</v>
      </c>
      <c r="K595" s="274">
        <f t="shared" si="82"/>
        <v>579.70000000000005</v>
      </c>
      <c r="M595" s="252">
        <v>1.08</v>
      </c>
      <c r="N595" s="296" t="s">
        <v>866</v>
      </c>
      <c r="O595" s="296" t="s">
        <v>784</v>
      </c>
      <c r="P595" s="252">
        <f>(K88)</f>
        <v>237.08</v>
      </c>
      <c r="Q595" s="296" t="s">
        <v>866</v>
      </c>
      <c r="R595" s="252">
        <f>(M595*P595)</f>
        <v>256.05</v>
      </c>
      <c r="S595" s="384">
        <v>15.2</v>
      </c>
      <c r="T595" s="252" t="s">
        <v>686</v>
      </c>
      <c r="U595" s="296" t="s">
        <v>783</v>
      </c>
      <c r="W595" s="253"/>
      <c r="X595" s="274">
        <f>X594+V594</f>
        <v>636.99</v>
      </c>
      <c r="AE595" s="370">
        <f t="shared" si="59"/>
        <v>0</v>
      </c>
    </row>
    <row r="596" spans="1:33" ht="18.75" customHeight="1">
      <c r="A596" s="363">
        <f t="shared" si="80"/>
        <v>404</v>
      </c>
      <c r="B596" s="365" t="s">
        <v>785</v>
      </c>
      <c r="C596" s="314">
        <v>150</v>
      </c>
      <c r="D596" s="365" t="s">
        <v>865</v>
      </c>
      <c r="H596" s="296" t="s">
        <v>3553</v>
      </c>
      <c r="I596" s="252">
        <f t="shared" si="81"/>
        <v>579.70000000000005</v>
      </c>
      <c r="J596" s="296">
        <f>C23*0.02</f>
        <v>4.72</v>
      </c>
      <c r="K596" s="274">
        <f t="shared" si="82"/>
        <v>584.41999999999996</v>
      </c>
      <c r="M596" s="356">
        <v>0.216</v>
      </c>
      <c r="N596" s="296" t="s">
        <v>866</v>
      </c>
      <c r="O596" s="296" t="s">
        <v>786</v>
      </c>
      <c r="P596" s="252">
        <f>(R60)</f>
        <v>4094.04</v>
      </c>
      <c r="Q596" s="296" t="s">
        <v>866</v>
      </c>
      <c r="R596" s="252">
        <f>(M596*P596)</f>
        <v>884.31</v>
      </c>
      <c r="W596" s="253"/>
      <c r="AE596" s="370">
        <f t="shared" si="59"/>
        <v>0</v>
      </c>
    </row>
    <row r="597" spans="1:33" ht="18.75" customHeight="1">
      <c r="A597" s="363">
        <f t="shared" si="80"/>
        <v>405</v>
      </c>
      <c r="B597" s="365" t="s">
        <v>4563</v>
      </c>
      <c r="C597" s="362">
        <v>21.6</v>
      </c>
      <c r="D597" s="365" t="s">
        <v>865</v>
      </c>
      <c r="H597" s="296" t="s">
        <v>3554</v>
      </c>
      <c r="I597" s="252">
        <f t="shared" si="81"/>
        <v>584.41999999999996</v>
      </c>
      <c r="J597" s="296">
        <f>C23*0.02</f>
        <v>4.72</v>
      </c>
      <c r="K597" s="274">
        <f t="shared" si="82"/>
        <v>589.14</v>
      </c>
      <c r="M597" s="356">
        <v>0.48699999999999999</v>
      </c>
      <c r="N597" s="296" t="s">
        <v>866</v>
      </c>
      <c r="O597" s="296" t="s">
        <v>1967</v>
      </c>
      <c r="P597" s="252">
        <f>AG321</f>
        <v>6707.66</v>
      </c>
      <c r="Q597" s="296" t="s">
        <v>866</v>
      </c>
      <c r="R597" s="252">
        <f>(M597*P597)</f>
        <v>3266.63</v>
      </c>
      <c r="W597" s="253"/>
      <c r="AE597" s="370" t="str">
        <f t="shared" ref="AE597:AE637" si="83">AG597</f>
        <v>|</v>
      </c>
      <c r="AG597" s="296" t="s">
        <v>2249</v>
      </c>
    </row>
    <row r="598" spans="1:33" ht="18.75" customHeight="1">
      <c r="A598" s="363">
        <f t="shared" si="80"/>
        <v>406</v>
      </c>
      <c r="B598" s="365" t="s">
        <v>5437</v>
      </c>
      <c r="C598" s="362">
        <v>57.65</v>
      </c>
      <c r="D598" s="362">
        <v>49.55</v>
      </c>
      <c r="E598" s="252" t="s">
        <v>4866</v>
      </c>
      <c r="H598" s="296" t="s">
        <v>3555</v>
      </c>
      <c r="I598" s="252">
        <f t="shared" si="81"/>
        <v>589.14</v>
      </c>
      <c r="J598" s="296">
        <f>C23*0.02</f>
        <v>4.72</v>
      </c>
      <c r="K598" s="274">
        <f t="shared" si="82"/>
        <v>593.86</v>
      </c>
      <c r="M598" s="356">
        <v>5.36</v>
      </c>
      <c r="N598" s="296" t="s">
        <v>606</v>
      </c>
      <c r="O598" s="296" t="s">
        <v>1968</v>
      </c>
      <c r="P598" s="252">
        <f>(R304)</f>
        <v>269.24</v>
      </c>
      <c r="Q598" s="296" t="s">
        <v>606</v>
      </c>
      <c r="R598" s="252">
        <f>(M598*P598)</f>
        <v>1443.13</v>
      </c>
      <c r="W598" s="253"/>
      <c r="AE598" s="370" t="str">
        <f t="shared" si="83"/>
        <v>|</v>
      </c>
      <c r="AG598" s="296" t="s">
        <v>2249</v>
      </c>
    </row>
    <row r="599" spans="1:33" ht="18.75" customHeight="1">
      <c r="A599" s="363">
        <f t="shared" si="80"/>
        <v>407</v>
      </c>
      <c r="B599" s="365" t="s">
        <v>421</v>
      </c>
      <c r="C599" s="314">
        <v>208.5</v>
      </c>
      <c r="D599" s="365" t="s">
        <v>865</v>
      </c>
      <c r="H599" s="296">
        <v>9</v>
      </c>
      <c r="I599" s="252">
        <f t="shared" si="81"/>
        <v>593.86</v>
      </c>
      <c r="J599" s="296">
        <f>C23*0.02</f>
        <v>4.72</v>
      </c>
      <c r="K599" s="274">
        <f t="shared" si="82"/>
        <v>598.58000000000004</v>
      </c>
      <c r="M599" s="356">
        <v>3.2000000000000001E-2</v>
      </c>
      <c r="N599" s="296" t="s">
        <v>866</v>
      </c>
      <c r="O599" s="296" t="s">
        <v>776</v>
      </c>
      <c r="P599" s="252">
        <f>(K643)</f>
        <v>8286</v>
      </c>
      <c r="Q599" s="296" t="s">
        <v>866</v>
      </c>
      <c r="R599" s="252">
        <f>(M599*P599)</f>
        <v>265.14999999999998</v>
      </c>
      <c r="W599" s="253"/>
      <c r="AE599" s="370" t="str">
        <f t="shared" si="83"/>
        <v>|</v>
      </c>
      <c r="AG599" s="296" t="s">
        <v>2249</v>
      </c>
    </row>
    <row r="600" spans="1:33" ht="18.75" customHeight="1">
      <c r="A600" s="363">
        <f t="shared" si="80"/>
        <v>408</v>
      </c>
      <c r="B600" s="401" t="s">
        <v>2032</v>
      </c>
      <c r="C600" s="368">
        <v>172</v>
      </c>
      <c r="D600" s="365" t="s">
        <v>865</v>
      </c>
      <c r="H600" s="296"/>
      <c r="K600" s="274"/>
      <c r="O600" s="296" t="s">
        <v>285</v>
      </c>
      <c r="R600" s="296" t="s">
        <v>971</v>
      </c>
      <c r="W600" s="253"/>
      <c r="AE600" s="370" t="str">
        <f t="shared" si="83"/>
        <v>|</v>
      </c>
      <c r="AG600" s="296" t="s">
        <v>2249</v>
      </c>
    </row>
    <row r="601" spans="1:33" ht="18.75" customHeight="1">
      <c r="A601" s="363">
        <f t="shared" si="80"/>
        <v>409</v>
      </c>
      <c r="B601" s="417" t="s">
        <v>4867</v>
      </c>
      <c r="C601" s="373">
        <f>ROUND(35.15/0.093025,2)</f>
        <v>377.86</v>
      </c>
      <c r="D601" s="365" t="s">
        <v>606</v>
      </c>
      <c r="H601" s="296"/>
      <c r="K601" s="274"/>
      <c r="N601" s="296" t="s">
        <v>446</v>
      </c>
      <c r="O601" s="296" t="s">
        <v>337</v>
      </c>
      <c r="Q601" s="296" t="s">
        <v>446</v>
      </c>
      <c r="R601" s="252">
        <v>2.66</v>
      </c>
      <c r="W601" s="253"/>
      <c r="AE601" s="370" t="str">
        <f t="shared" si="83"/>
        <v>|</v>
      </c>
      <c r="AG601" s="296" t="s">
        <v>2249</v>
      </c>
    </row>
    <row r="602" spans="1:33" ht="18.75" customHeight="1">
      <c r="A602" s="363">
        <f t="shared" si="80"/>
        <v>410</v>
      </c>
      <c r="B602" s="389" t="s">
        <v>5672</v>
      </c>
      <c r="C602" s="362">
        <f>8.3/0.02</f>
        <v>415</v>
      </c>
      <c r="D602" s="365" t="s">
        <v>606</v>
      </c>
      <c r="E602" s="418">
        <f>7.25/0.02</f>
        <v>362.5</v>
      </c>
      <c r="F602" s="375">
        <v>15.2</v>
      </c>
      <c r="G602" s="252" t="s">
        <v>686</v>
      </c>
      <c r="H602" s="296" t="s">
        <v>783</v>
      </c>
      <c r="K602" s="419">
        <f>K594+J594</f>
        <v>579.70000000000005</v>
      </c>
      <c r="R602" s="358" t="s">
        <v>1579</v>
      </c>
      <c r="W602" s="253"/>
      <c r="AE602" s="370" t="str">
        <f t="shared" si="83"/>
        <v>|</v>
      </c>
      <c r="AG602" s="296" t="s">
        <v>2249</v>
      </c>
    </row>
    <row r="603" spans="1:33" ht="18.75" customHeight="1">
      <c r="A603" s="363">
        <f t="shared" si="80"/>
        <v>411</v>
      </c>
      <c r="B603" s="365" t="s">
        <v>338</v>
      </c>
      <c r="C603" s="314">
        <v>75</v>
      </c>
      <c r="D603" s="365" t="s">
        <v>865</v>
      </c>
      <c r="H603" s="296" t="s">
        <v>2271</v>
      </c>
      <c r="O603" s="296" t="s">
        <v>1743</v>
      </c>
      <c r="R603" s="252">
        <f>SUM(R595:R601)</f>
        <v>6117.93</v>
      </c>
      <c r="W603" s="253"/>
      <c r="AE603" s="370" t="str">
        <f t="shared" si="83"/>
        <v>|</v>
      </c>
      <c r="AG603" s="296" t="s">
        <v>2249</v>
      </c>
    </row>
    <row r="604" spans="1:33" ht="18.75" customHeight="1">
      <c r="A604" s="363">
        <f t="shared" si="80"/>
        <v>412</v>
      </c>
      <c r="B604" s="365" t="s">
        <v>1744</v>
      </c>
      <c r="C604" s="314">
        <v>125</v>
      </c>
      <c r="D604" s="365" t="s">
        <v>865</v>
      </c>
      <c r="F604" s="252">
        <v>1</v>
      </c>
      <c r="G604" s="252" t="s">
        <v>2273</v>
      </c>
      <c r="H604" s="296" t="s">
        <v>555</v>
      </c>
      <c r="I604" s="252">
        <f>D751</f>
        <v>408</v>
      </c>
      <c r="J604" s="296" t="s">
        <v>2273</v>
      </c>
      <c r="K604" s="252">
        <f>(F604*I604)</f>
        <v>408</v>
      </c>
      <c r="R604" s="358" t="s">
        <v>1579</v>
      </c>
      <c r="W604" s="253"/>
      <c r="AE604" s="370" t="str">
        <f t="shared" si="83"/>
        <v>|</v>
      </c>
      <c r="AG604" s="296" t="s">
        <v>2249</v>
      </c>
    </row>
    <row r="605" spans="1:33" ht="18.75" customHeight="1">
      <c r="A605" s="363">
        <f t="shared" si="80"/>
        <v>413</v>
      </c>
      <c r="B605" s="365" t="s">
        <v>1745</v>
      </c>
      <c r="C605" s="314">
        <v>190</v>
      </c>
      <c r="D605" s="365" t="s">
        <v>865</v>
      </c>
      <c r="F605" s="252">
        <v>0.75</v>
      </c>
      <c r="G605" s="252" t="s">
        <v>557</v>
      </c>
      <c r="H605" s="296" t="s">
        <v>558</v>
      </c>
      <c r="I605" s="252">
        <f>C10</f>
        <v>999</v>
      </c>
      <c r="J605" s="296" t="s">
        <v>1393</v>
      </c>
      <c r="K605" s="252">
        <f>(F605*I605)</f>
        <v>749.25</v>
      </c>
      <c r="N605" s="296" t="s">
        <v>2241</v>
      </c>
      <c r="O605" s="296" t="s">
        <v>1902</v>
      </c>
      <c r="W605" s="253"/>
      <c r="AE605" s="370" t="str">
        <f t="shared" si="83"/>
        <v>|</v>
      </c>
      <c r="AG605" s="296" t="s">
        <v>2249</v>
      </c>
    </row>
    <row r="606" spans="1:33" ht="18.75" customHeight="1">
      <c r="A606" s="363">
        <f t="shared" si="80"/>
        <v>414</v>
      </c>
      <c r="B606" s="365" t="s">
        <v>1746</v>
      </c>
      <c r="C606" s="314">
        <v>16</v>
      </c>
      <c r="D606" s="365" t="s">
        <v>865</v>
      </c>
      <c r="F606" s="252">
        <v>0.75</v>
      </c>
      <c r="G606" s="252" t="s">
        <v>557</v>
      </c>
      <c r="H606" s="296" t="s">
        <v>820</v>
      </c>
      <c r="I606" s="252">
        <f>C12</f>
        <v>651</v>
      </c>
      <c r="J606" s="296" t="s">
        <v>1393</v>
      </c>
      <c r="K606" s="252">
        <f>(F606*I606)</f>
        <v>488.25</v>
      </c>
      <c r="O606" s="296" t="s">
        <v>1747</v>
      </c>
      <c r="W606" s="253"/>
      <c r="AE606" s="370" t="str">
        <f t="shared" si="83"/>
        <v>|</v>
      </c>
      <c r="AG606" s="296" t="s">
        <v>2249</v>
      </c>
    </row>
    <row r="607" spans="1:33" ht="18.75" customHeight="1">
      <c r="A607" s="363">
        <f t="shared" si="80"/>
        <v>415</v>
      </c>
      <c r="B607" s="296" t="s">
        <v>5438</v>
      </c>
      <c r="C607" s="362">
        <v>11.8</v>
      </c>
      <c r="D607" s="365" t="s">
        <v>1637</v>
      </c>
      <c r="F607" s="252">
        <v>0.5</v>
      </c>
      <c r="G607" s="252" t="s">
        <v>557</v>
      </c>
      <c r="H607" s="296" t="s">
        <v>2033</v>
      </c>
      <c r="I607" s="252">
        <f>C41</f>
        <v>738</v>
      </c>
      <c r="J607" s="296" t="s">
        <v>1393</v>
      </c>
      <c r="K607" s="252">
        <f>(F607*I607)</f>
        <v>369</v>
      </c>
      <c r="O607" s="358" t="s">
        <v>1579</v>
      </c>
      <c r="W607" s="253"/>
      <c r="AE607" s="370" t="str">
        <f t="shared" si="83"/>
        <v>|</v>
      </c>
      <c r="AG607" s="296" t="s">
        <v>2249</v>
      </c>
    </row>
    <row r="608" spans="1:33" ht="18.75" customHeight="1">
      <c r="A608" s="363">
        <f t="shared" si="80"/>
        <v>416</v>
      </c>
      <c r="B608" s="296" t="s">
        <v>4868</v>
      </c>
      <c r="C608" s="362">
        <f>(22.6+27.25)/2</f>
        <v>24.93</v>
      </c>
      <c r="D608" s="365" t="s">
        <v>1637</v>
      </c>
      <c r="G608" s="252" t="s">
        <v>446</v>
      </c>
      <c r="H608" s="296" t="s">
        <v>59</v>
      </c>
      <c r="J608" s="296" t="s">
        <v>446</v>
      </c>
      <c r="K608" s="252">
        <v>53.5</v>
      </c>
      <c r="M608" s="252">
        <v>1.3</v>
      </c>
      <c r="N608" s="296" t="s">
        <v>866</v>
      </c>
      <c r="O608" s="296" t="s">
        <v>784</v>
      </c>
      <c r="P608" s="252">
        <f>(K88)</f>
        <v>237.08</v>
      </c>
      <c r="Q608" s="296" t="s">
        <v>866</v>
      </c>
      <c r="R608" s="252">
        <f>(M608*P608)</f>
        <v>308.2</v>
      </c>
      <c r="W608" s="253"/>
      <c r="AE608" s="370" t="str">
        <f t="shared" si="83"/>
        <v>|</v>
      </c>
      <c r="AG608" s="296" t="s">
        <v>2249</v>
      </c>
    </row>
    <row r="609" spans="1:33" ht="18.75" customHeight="1">
      <c r="A609" s="363"/>
      <c r="B609" s="296" t="s">
        <v>4869</v>
      </c>
      <c r="C609" s="362">
        <v>22.6</v>
      </c>
      <c r="D609" s="365" t="s">
        <v>1637</v>
      </c>
      <c r="H609" s="296" t="s">
        <v>927</v>
      </c>
      <c r="K609" s="358" t="s">
        <v>1579</v>
      </c>
      <c r="N609" s="296"/>
      <c r="O609" s="296"/>
      <c r="Q609" s="296"/>
      <c r="W609" s="253"/>
      <c r="AE609" s="370" t="str">
        <f t="shared" si="83"/>
        <v>|</v>
      </c>
      <c r="AG609" s="296" t="s">
        <v>2249</v>
      </c>
    </row>
    <row r="610" spans="1:33" ht="18.75" customHeight="1">
      <c r="A610" s="363">
        <f>(A608+1)</f>
        <v>417</v>
      </c>
      <c r="B610" s="296" t="s">
        <v>4870</v>
      </c>
      <c r="C610" s="362">
        <v>27.25</v>
      </c>
      <c r="D610" s="365" t="s">
        <v>1637</v>
      </c>
      <c r="H610" s="253" t="s">
        <v>1742</v>
      </c>
      <c r="K610" s="252">
        <f>SUM(K604:K608)</f>
        <v>2068</v>
      </c>
      <c r="M610" s="356">
        <v>0.216</v>
      </c>
      <c r="N610" s="296" t="s">
        <v>866</v>
      </c>
      <c r="O610" s="296" t="s">
        <v>786</v>
      </c>
      <c r="P610" s="252">
        <f>(R60)</f>
        <v>4094.04</v>
      </c>
      <c r="Q610" s="296" t="s">
        <v>866</v>
      </c>
      <c r="R610" s="252">
        <f>(M610*P610)</f>
        <v>884.31</v>
      </c>
      <c r="W610" s="253"/>
      <c r="AE610" s="370">
        <f t="shared" si="83"/>
        <v>0</v>
      </c>
      <c r="AG610" s="296"/>
    </row>
    <row r="611" spans="1:33" ht="18.75" customHeight="1">
      <c r="A611" s="363">
        <f t="shared" si="80"/>
        <v>418</v>
      </c>
      <c r="B611" s="365" t="s">
        <v>4564</v>
      </c>
      <c r="C611" s="314">
        <v>7.5</v>
      </c>
      <c r="D611" s="365" t="s">
        <v>766</v>
      </c>
      <c r="K611" s="358" t="s">
        <v>1579</v>
      </c>
      <c r="M611" s="356">
        <v>0.60099999999999998</v>
      </c>
      <c r="N611" s="296" t="s">
        <v>866</v>
      </c>
      <c r="O611" s="296" t="s">
        <v>1967</v>
      </c>
      <c r="P611" s="252">
        <f>P597</f>
        <v>6707.66</v>
      </c>
      <c r="Q611" s="296" t="s">
        <v>866</v>
      </c>
      <c r="R611" s="252">
        <f>(M611*P611)</f>
        <v>4031.3</v>
      </c>
      <c r="W611" s="253"/>
      <c r="AE611" s="370" t="str">
        <f t="shared" si="83"/>
        <v>|</v>
      </c>
      <c r="AG611" s="296" t="s">
        <v>2249</v>
      </c>
    </row>
    <row r="612" spans="1:33" ht="18.75" customHeight="1">
      <c r="A612" s="363">
        <f t="shared" si="80"/>
        <v>419</v>
      </c>
      <c r="B612" s="365" t="s">
        <v>4565</v>
      </c>
      <c r="C612" s="314">
        <v>16</v>
      </c>
      <c r="D612" s="365" t="s">
        <v>766</v>
      </c>
      <c r="E612" s="252" t="s">
        <v>1552</v>
      </c>
      <c r="H612" s="296" t="s">
        <v>383</v>
      </c>
      <c r="I612" s="252">
        <f>K610</f>
        <v>2068</v>
      </c>
      <c r="J612" s="296">
        <f>C22*0.04</f>
        <v>4.79</v>
      </c>
      <c r="K612" s="274">
        <f>(K610+C22*0.04)</f>
        <v>2072.79</v>
      </c>
      <c r="M612" s="356">
        <v>6.35</v>
      </c>
      <c r="N612" s="296" t="s">
        <v>606</v>
      </c>
      <c r="O612" s="296" t="s">
        <v>1968</v>
      </c>
      <c r="P612" s="252">
        <f>(R304)</f>
        <v>269.24</v>
      </c>
      <c r="Q612" s="296" t="s">
        <v>606</v>
      </c>
      <c r="R612" s="252">
        <f>(M612*P612)</f>
        <v>1709.67</v>
      </c>
      <c r="W612" s="253"/>
      <c r="AE612" s="370" t="str">
        <f t="shared" si="83"/>
        <v>|</v>
      </c>
      <c r="AG612" s="296" t="s">
        <v>2249</v>
      </c>
    </row>
    <row r="613" spans="1:33" ht="18.75" customHeight="1">
      <c r="A613" s="363">
        <f t="shared" si="80"/>
        <v>420</v>
      </c>
      <c r="B613" s="296" t="s">
        <v>5439</v>
      </c>
      <c r="C613" s="362">
        <v>3090</v>
      </c>
      <c r="D613" s="365" t="s">
        <v>780</v>
      </c>
      <c r="E613" s="362">
        <v>3484</v>
      </c>
      <c r="H613" s="296" t="s">
        <v>385</v>
      </c>
      <c r="I613" s="252">
        <f>K612</f>
        <v>2072.79</v>
      </c>
      <c r="J613" s="296">
        <f>C23*0.04</f>
        <v>9.44</v>
      </c>
      <c r="K613" s="274">
        <f>(K612+C23*0.04)</f>
        <v>2082.23</v>
      </c>
      <c r="M613" s="356">
        <v>3.2000000000000001E-2</v>
      </c>
      <c r="N613" s="296" t="s">
        <v>866</v>
      </c>
      <c r="O613" s="296" t="s">
        <v>776</v>
      </c>
      <c r="P613" s="252">
        <f>(K643)</f>
        <v>8286</v>
      </c>
      <c r="Q613" s="296" t="s">
        <v>866</v>
      </c>
      <c r="R613" s="252">
        <f>(M613*P613)</f>
        <v>265.14999999999998</v>
      </c>
      <c r="W613" s="253"/>
      <c r="AE613" s="370" t="str">
        <f t="shared" si="83"/>
        <v>|</v>
      </c>
      <c r="AG613" s="296" t="s">
        <v>2249</v>
      </c>
    </row>
    <row r="614" spans="1:33" ht="18.75" customHeight="1">
      <c r="A614" s="363">
        <f t="shared" si="80"/>
        <v>421</v>
      </c>
      <c r="B614" s="365" t="s">
        <v>782</v>
      </c>
      <c r="C614" s="314">
        <v>805</v>
      </c>
      <c r="D614" s="365" t="s">
        <v>780</v>
      </c>
      <c r="H614" s="296" t="s">
        <v>2222</v>
      </c>
      <c r="I614" s="252">
        <f>K613</f>
        <v>2082.23</v>
      </c>
      <c r="J614" s="296">
        <f>C23*0.04</f>
        <v>9.44</v>
      </c>
      <c r="K614" s="274">
        <f>(K613+C24*0.04)</f>
        <v>2091.67</v>
      </c>
      <c r="O614" s="296" t="s">
        <v>285</v>
      </c>
      <c r="R614" s="296" t="s">
        <v>971</v>
      </c>
      <c r="W614" s="253"/>
      <c r="AE614" s="370" t="str">
        <f t="shared" si="83"/>
        <v>|</v>
      </c>
      <c r="AG614" s="296" t="s">
        <v>2249</v>
      </c>
    </row>
    <row r="615" spans="1:33" ht="18.75" customHeight="1">
      <c r="A615" s="363">
        <f t="shared" si="80"/>
        <v>422</v>
      </c>
      <c r="B615" s="365" t="s">
        <v>2056</v>
      </c>
      <c r="C615" s="314">
        <f>204+53</f>
        <v>257</v>
      </c>
      <c r="D615" s="365" t="s">
        <v>780</v>
      </c>
      <c r="H615" s="296" t="s">
        <v>377</v>
      </c>
      <c r="I615" s="252">
        <f>K614</f>
        <v>2091.67</v>
      </c>
      <c r="J615" s="296">
        <f>C23*0.04</f>
        <v>9.44</v>
      </c>
      <c r="K615" s="274">
        <f>(K614+C24*0.04)</f>
        <v>2101.11</v>
      </c>
      <c r="N615" s="296" t="s">
        <v>446</v>
      </c>
      <c r="O615" s="296" t="s">
        <v>337</v>
      </c>
      <c r="Q615" s="296" t="s">
        <v>446</v>
      </c>
      <c r="R615" s="252">
        <v>2</v>
      </c>
      <c r="W615" s="253"/>
      <c r="AE615" s="370" t="str">
        <f t="shared" si="83"/>
        <v>|</v>
      </c>
      <c r="AG615" s="296" t="s">
        <v>2249</v>
      </c>
    </row>
    <row r="616" spans="1:33" ht="18.75" customHeight="1">
      <c r="A616" s="363">
        <f t="shared" si="80"/>
        <v>423</v>
      </c>
      <c r="B616" s="365" t="s">
        <v>1057</v>
      </c>
      <c r="C616" s="314">
        <v>53</v>
      </c>
      <c r="D616" s="365" t="s">
        <v>766</v>
      </c>
      <c r="H616" s="296" t="s">
        <v>1359</v>
      </c>
      <c r="I616" s="252">
        <f>K615</f>
        <v>2101.11</v>
      </c>
      <c r="J616" s="296">
        <f>C24*0.04</f>
        <v>9.44</v>
      </c>
      <c r="K616" s="274">
        <f>(K615+C24*0.04)</f>
        <v>2110.5500000000002</v>
      </c>
      <c r="R616" s="358" t="s">
        <v>1579</v>
      </c>
      <c r="W616" s="253"/>
      <c r="AE616" s="370" t="str">
        <f t="shared" si="83"/>
        <v>|</v>
      </c>
      <c r="AG616" s="296" t="s">
        <v>2249</v>
      </c>
    </row>
    <row r="617" spans="1:33" ht="18.75" customHeight="1">
      <c r="A617" s="363">
        <f t="shared" si="80"/>
        <v>424</v>
      </c>
      <c r="B617" s="296" t="s">
        <v>5440</v>
      </c>
      <c r="C617" s="362">
        <v>1672</v>
      </c>
      <c r="D617" s="365" t="s">
        <v>766</v>
      </c>
      <c r="F617" s="375">
        <v>15.1</v>
      </c>
      <c r="G617" s="252" t="s">
        <v>1749</v>
      </c>
      <c r="H617" s="296" t="s">
        <v>5673</v>
      </c>
      <c r="O617" s="296" t="s">
        <v>1743</v>
      </c>
      <c r="R617" s="252">
        <f>SUM(R608:R615)</f>
        <v>7200.63</v>
      </c>
      <c r="W617" s="253"/>
      <c r="AE617" s="370" t="str">
        <f t="shared" si="83"/>
        <v>|</v>
      </c>
      <c r="AG617" s="296" t="s">
        <v>2249</v>
      </c>
    </row>
    <row r="618" spans="1:33" ht="18.75" customHeight="1">
      <c r="A618" s="363">
        <f t="shared" si="80"/>
        <v>425</v>
      </c>
      <c r="B618" s="365" t="s">
        <v>403</v>
      </c>
      <c r="C618" s="314">
        <v>196</v>
      </c>
      <c r="D618" s="365" t="s">
        <v>766</v>
      </c>
      <c r="H618" s="296" t="s">
        <v>2271</v>
      </c>
      <c r="R618" s="358" t="s">
        <v>1579</v>
      </c>
      <c r="W618" s="253"/>
      <c r="AE618" s="370" t="str">
        <f t="shared" si="83"/>
        <v>|</v>
      </c>
      <c r="AG618" s="296" t="s">
        <v>2249</v>
      </c>
    </row>
    <row r="619" spans="1:33" ht="18.75" customHeight="1">
      <c r="A619" s="363">
        <f t="shared" si="80"/>
        <v>426</v>
      </c>
      <c r="B619" s="296" t="s">
        <v>4871</v>
      </c>
      <c r="C619" s="362">
        <v>940</v>
      </c>
      <c r="D619" s="365" t="s">
        <v>766</v>
      </c>
      <c r="F619" s="252">
        <v>10</v>
      </c>
      <c r="G619" s="252" t="s">
        <v>2273</v>
      </c>
      <c r="H619" s="296" t="s">
        <v>4066</v>
      </c>
      <c r="I619" s="252">
        <f>C751</f>
        <v>376.7</v>
      </c>
      <c r="J619" s="296" t="s">
        <v>2273</v>
      </c>
      <c r="K619" s="252">
        <f>(F619*I619)</f>
        <v>3767</v>
      </c>
      <c r="N619" s="296" t="s">
        <v>2241</v>
      </c>
      <c r="O619" s="296" t="s">
        <v>406</v>
      </c>
      <c r="W619" s="253"/>
      <c r="AE619" s="370" t="str">
        <f t="shared" si="83"/>
        <v>|</v>
      </c>
      <c r="AG619" s="296" t="s">
        <v>2249</v>
      </c>
    </row>
    <row r="620" spans="1:33" ht="18.75" customHeight="1">
      <c r="A620" s="363">
        <f t="shared" si="80"/>
        <v>427</v>
      </c>
      <c r="B620" s="365" t="s">
        <v>407</v>
      </c>
      <c r="C620" s="314">
        <v>193.05</v>
      </c>
      <c r="D620" s="401">
        <v>120.54</v>
      </c>
      <c r="F620" s="252">
        <v>0.12</v>
      </c>
      <c r="G620" s="252" t="s">
        <v>866</v>
      </c>
      <c r="H620" s="296" t="s">
        <v>781</v>
      </c>
      <c r="I620" s="252">
        <f>K32</f>
        <v>4861.3</v>
      </c>
      <c r="J620" s="296" t="s">
        <v>866</v>
      </c>
      <c r="K620" s="252">
        <f>(F620*I620)</f>
        <v>583.36</v>
      </c>
      <c r="O620" s="296" t="s">
        <v>409</v>
      </c>
      <c r="W620" s="253"/>
      <c r="AE620" s="370" t="str">
        <f t="shared" si="83"/>
        <v>|</v>
      </c>
      <c r="AG620" s="296" t="s">
        <v>2249</v>
      </c>
    </row>
    <row r="621" spans="1:33" ht="18.75" customHeight="1">
      <c r="A621" s="363">
        <f t="shared" si="80"/>
        <v>428</v>
      </c>
      <c r="B621" s="365" t="s">
        <v>410</v>
      </c>
      <c r="C621" s="420">
        <v>115.85</v>
      </c>
      <c r="D621" s="421" t="s">
        <v>1763</v>
      </c>
      <c r="E621" s="422"/>
      <c r="F621" s="252">
        <v>1</v>
      </c>
      <c r="G621" s="252" t="s">
        <v>557</v>
      </c>
      <c r="H621" s="296" t="s">
        <v>558</v>
      </c>
      <c r="I621" s="252">
        <f>C10</f>
        <v>999</v>
      </c>
      <c r="J621" s="296" t="s">
        <v>1393</v>
      </c>
      <c r="K621" s="252">
        <f>(F621*I621)</f>
        <v>999</v>
      </c>
      <c r="O621" s="358" t="s">
        <v>1579</v>
      </c>
      <c r="W621" s="253"/>
      <c r="AE621" s="370" t="str">
        <f t="shared" si="83"/>
        <v>|</v>
      </c>
      <c r="AG621" s="296" t="s">
        <v>2249</v>
      </c>
    </row>
    <row r="622" spans="1:33" ht="18.75" customHeight="1">
      <c r="A622" s="363">
        <f t="shared" si="80"/>
        <v>429</v>
      </c>
      <c r="B622" s="365" t="s">
        <v>411</v>
      </c>
      <c r="C622" s="420"/>
      <c r="D622" s="421" t="s">
        <v>1763</v>
      </c>
      <c r="E622" s="422"/>
      <c r="F622" s="252">
        <v>1</v>
      </c>
      <c r="G622" s="252" t="s">
        <v>557</v>
      </c>
      <c r="H622" s="296" t="s">
        <v>820</v>
      </c>
      <c r="I622" s="252">
        <f>C12</f>
        <v>651</v>
      </c>
      <c r="J622" s="296" t="s">
        <v>1393</v>
      </c>
      <c r="K622" s="252">
        <f>(F622*I622)</f>
        <v>651</v>
      </c>
      <c r="M622" s="252">
        <v>10.37</v>
      </c>
      <c r="N622" s="296" t="s">
        <v>866</v>
      </c>
      <c r="O622" s="296" t="s">
        <v>412</v>
      </c>
      <c r="P622" s="252">
        <f>(C61*2)</f>
        <v>224.1</v>
      </c>
      <c r="Q622" s="296" t="s">
        <v>866</v>
      </c>
      <c r="R622" s="252">
        <f t="shared" ref="R622:R630" si="84">(M622*P622)</f>
        <v>2323.92</v>
      </c>
      <c r="W622" s="253"/>
      <c r="AE622" s="370" t="str">
        <f t="shared" si="83"/>
        <v>|</v>
      </c>
      <c r="AG622" s="296" t="s">
        <v>2249</v>
      </c>
    </row>
    <row r="623" spans="1:33" ht="18.75" customHeight="1">
      <c r="A623" s="363">
        <f t="shared" si="80"/>
        <v>430</v>
      </c>
      <c r="B623" s="365" t="s">
        <v>5674</v>
      </c>
      <c r="C623" s="420">
        <v>76</v>
      </c>
      <c r="D623" s="421" t="s">
        <v>865</v>
      </c>
      <c r="E623" s="422"/>
      <c r="G623" s="252" t="s">
        <v>446</v>
      </c>
      <c r="H623" s="296" t="s">
        <v>59</v>
      </c>
      <c r="J623" s="296" t="s">
        <v>446</v>
      </c>
      <c r="K623" s="252">
        <v>0.33</v>
      </c>
      <c r="M623" s="252">
        <v>0.65</v>
      </c>
      <c r="N623" s="296" t="s">
        <v>866</v>
      </c>
      <c r="O623" s="296" t="s">
        <v>2055</v>
      </c>
      <c r="P623" s="252">
        <f>R60</f>
        <v>4094.04</v>
      </c>
      <c r="Q623" s="296" t="s">
        <v>866</v>
      </c>
      <c r="R623" s="252">
        <f t="shared" si="84"/>
        <v>2661.13</v>
      </c>
      <c r="W623" s="253"/>
      <c r="AE623" s="370" t="str">
        <f t="shared" si="83"/>
        <v>|</v>
      </c>
      <c r="AG623" s="296" t="s">
        <v>2249</v>
      </c>
    </row>
    <row r="624" spans="1:33" ht="18.75" customHeight="1">
      <c r="A624" s="363">
        <f t="shared" si="80"/>
        <v>431</v>
      </c>
      <c r="B624" s="365" t="s">
        <v>1774</v>
      </c>
      <c r="C624" s="420">
        <v>45</v>
      </c>
      <c r="D624" s="421" t="s">
        <v>865</v>
      </c>
      <c r="E624" s="422"/>
      <c r="H624" s="296" t="s">
        <v>927</v>
      </c>
      <c r="K624" s="358" t="s">
        <v>1579</v>
      </c>
      <c r="M624" s="252">
        <v>1.1399999999999999</v>
      </c>
      <c r="N624" s="296" t="s">
        <v>866</v>
      </c>
      <c r="O624" s="296" t="s">
        <v>323</v>
      </c>
      <c r="P624" s="252">
        <f>K321</f>
        <v>6607.51</v>
      </c>
      <c r="Q624" s="296" t="s">
        <v>866</v>
      </c>
      <c r="R624" s="252">
        <f t="shared" si="84"/>
        <v>7532.56</v>
      </c>
      <c r="W624" s="253"/>
      <c r="AE624" s="370" t="str">
        <f t="shared" si="83"/>
        <v>|</v>
      </c>
      <c r="AG624" s="296" t="s">
        <v>2249</v>
      </c>
    </row>
    <row r="625" spans="1:33" ht="18.75" customHeight="1">
      <c r="A625" s="363">
        <f t="shared" si="80"/>
        <v>432</v>
      </c>
      <c r="B625" s="365" t="s">
        <v>325</v>
      </c>
      <c r="C625" s="423">
        <v>34.299999999999997</v>
      </c>
      <c r="D625" s="365" t="s">
        <v>865</v>
      </c>
      <c r="H625" s="253" t="s">
        <v>404</v>
      </c>
      <c r="K625" s="252">
        <f>SUM(K619:K623)</f>
        <v>6000.69</v>
      </c>
      <c r="M625" s="252">
        <v>0.85</v>
      </c>
      <c r="N625" s="296" t="s">
        <v>866</v>
      </c>
      <c r="O625" s="296" t="s">
        <v>1601</v>
      </c>
      <c r="P625" s="252">
        <f>K321-K312/10</f>
        <v>5682.11</v>
      </c>
      <c r="Q625" s="296" t="s">
        <v>866</v>
      </c>
      <c r="R625" s="252">
        <f t="shared" si="84"/>
        <v>4829.79</v>
      </c>
      <c r="W625" s="253"/>
      <c r="AE625" s="370">
        <f t="shared" si="83"/>
        <v>0</v>
      </c>
      <c r="AG625" s="296"/>
    </row>
    <row r="626" spans="1:33" ht="18.75" customHeight="1">
      <c r="A626" s="363">
        <f t="shared" si="80"/>
        <v>433</v>
      </c>
      <c r="B626" s="296" t="s">
        <v>5441</v>
      </c>
      <c r="C626" s="362">
        <v>83.4</v>
      </c>
      <c r="D626" s="365" t="s">
        <v>865</v>
      </c>
      <c r="K626" s="358" t="s">
        <v>1579</v>
      </c>
      <c r="M626" s="252">
        <v>0.98</v>
      </c>
      <c r="N626" s="296" t="s">
        <v>866</v>
      </c>
      <c r="O626" s="296" t="s">
        <v>2208</v>
      </c>
      <c r="P626" s="252">
        <f>(C73)</f>
        <v>1997.1</v>
      </c>
      <c r="Q626" s="296" t="s">
        <v>866</v>
      </c>
      <c r="R626" s="252">
        <f t="shared" si="84"/>
        <v>1957.16</v>
      </c>
      <c r="W626" s="253"/>
      <c r="AE626" s="370" t="str">
        <f t="shared" si="83"/>
        <v>|</v>
      </c>
      <c r="AG626" s="296" t="s">
        <v>2249</v>
      </c>
    </row>
    <row r="627" spans="1:33" ht="18.75" customHeight="1">
      <c r="A627" s="363">
        <f t="shared" si="80"/>
        <v>434</v>
      </c>
      <c r="B627" s="365" t="s">
        <v>1090</v>
      </c>
      <c r="C627" s="314">
        <v>36.520000000000003</v>
      </c>
      <c r="D627" s="365" t="s">
        <v>865</v>
      </c>
      <c r="H627" s="253" t="s">
        <v>408</v>
      </c>
      <c r="K627" s="252">
        <f>K625/10</f>
        <v>600.07000000000005</v>
      </c>
      <c r="M627" s="252">
        <v>2.68</v>
      </c>
      <c r="N627" s="296" t="s">
        <v>866</v>
      </c>
      <c r="O627" s="296" t="s">
        <v>1030</v>
      </c>
      <c r="P627" s="252">
        <f>(C79)</f>
        <v>1846.1</v>
      </c>
      <c r="Q627" s="296" t="s">
        <v>866</v>
      </c>
      <c r="R627" s="252">
        <f t="shared" si="84"/>
        <v>4947.55</v>
      </c>
      <c r="W627" s="253"/>
      <c r="AE627" s="370" t="str">
        <f t="shared" si="83"/>
        <v>|</v>
      </c>
      <c r="AG627" s="296" t="s">
        <v>2249</v>
      </c>
    </row>
    <row r="628" spans="1:33" ht="18.75" customHeight="1">
      <c r="A628" s="363">
        <f t="shared" si="80"/>
        <v>435</v>
      </c>
      <c r="B628" s="365" t="s">
        <v>1604</v>
      </c>
      <c r="C628" s="364"/>
      <c r="D628" s="365" t="s">
        <v>865</v>
      </c>
      <c r="H628" s="296" t="s">
        <v>383</v>
      </c>
      <c r="I628" s="252">
        <f>K627</f>
        <v>600.07000000000005</v>
      </c>
      <c r="J628" s="296">
        <f>C22*0.02</f>
        <v>2.4</v>
      </c>
      <c r="K628" s="274">
        <f>I628+J628</f>
        <v>602.47</v>
      </c>
      <c r="M628" s="252">
        <v>7.24</v>
      </c>
      <c r="N628" s="296" t="s">
        <v>606</v>
      </c>
      <c r="O628" s="296" t="s">
        <v>1606</v>
      </c>
      <c r="P628" s="252">
        <f>(K1400)</f>
        <v>253.5</v>
      </c>
      <c r="Q628" s="296" t="s">
        <v>606</v>
      </c>
      <c r="R628" s="252">
        <f t="shared" si="84"/>
        <v>1835.34</v>
      </c>
      <c r="W628" s="253"/>
      <c r="AE628" s="370" t="str">
        <f t="shared" si="83"/>
        <v>|</v>
      </c>
      <c r="AG628" s="296" t="s">
        <v>2249</v>
      </c>
    </row>
    <row r="629" spans="1:33" ht="18.75" customHeight="1">
      <c r="A629" s="363">
        <f t="shared" si="80"/>
        <v>436</v>
      </c>
      <c r="B629" s="296" t="s">
        <v>4566</v>
      </c>
      <c r="C629" s="362">
        <v>104.1</v>
      </c>
      <c r="D629" s="364">
        <v>93.72</v>
      </c>
      <c r="H629" s="296" t="s">
        <v>385</v>
      </c>
      <c r="I629" s="252">
        <f>K628</f>
        <v>602.47</v>
      </c>
      <c r="J629" s="296">
        <f>C23*0.02</f>
        <v>4.72</v>
      </c>
      <c r="K629" s="274">
        <f>I629+J629</f>
        <v>607.19000000000005</v>
      </c>
      <c r="M629" s="252">
        <v>1</v>
      </c>
      <c r="N629" s="296" t="s">
        <v>865</v>
      </c>
      <c r="O629" s="296" t="s">
        <v>1469</v>
      </c>
      <c r="P629" s="252">
        <f>(C203)</f>
        <v>128</v>
      </c>
      <c r="Q629" s="296" t="s">
        <v>865</v>
      </c>
      <c r="R629" s="252">
        <f t="shared" si="84"/>
        <v>128</v>
      </c>
      <c r="W629" s="253"/>
      <c r="AE629" s="370" t="str">
        <f t="shared" si="83"/>
        <v>|</v>
      </c>
      <c r="AG629" s="296" t="s">
        <v>2249</v>
      </c>
    </row>
    <row r="630" spans="1:33" ht="18.75" customHeight="1">
      <c r="A630" s="363">
        <f t="shared" si="80"/>
        <v>437</v>
      </c>
      <c r="B630" s="296" t="s">
        <v>1470</v>
      </c>
      <c r="C630" s="362">
        <v>69.599999999999994</v>
      </c>
      <c r="D630" s="365" t="s">
        <v>865</v>
      </c>
      <c r="H630" s="296" t="s">
        <v>2222</v>
      </c>
      <c r="I630" s="252">
        <f>K629</f>
        <v>607.19000000000005</v>
      </c>
      <c r="J630" s="296">
        <f>J629</f>
        <v>4.72</v>
      </c>
      <c r="K630" s="274">
        <f>I630+J630</f>
        <v>611.91</v>
      </c>
      <c r="M630" s="356">
        <v>0.13600000000000001</v>
      </c>
      <c r="N630" s="296" t="s">
        <v>866</v>
      </c>
      <c r="O630" s="296" t="s">
        <v>979</v>
      </c>
      <c r="P630" s="252">
        <f>(K643)</f>
        <v>8286</v>
      </c>
      <c r="Q630" s="296" t="s">
        <v>866</v>
      </c>
      <c r="R630" s="252">
        <f t="shared" si="84"/>
        <v>1126.9000000000001</v>
      </c>
      <c r="W630" s="253"/>
      <c r="AE630" s="370" t="str">
        <f t="shared" si="83"/>
        <v>|</v>
      </c>
      <c r="AG630" s="296" t="s">
        <v>2249</v>
      </c>
    </row>
    <row r="631" spans="1:33" ht="18.75" customHeight="1">
      <c r="A631" s="363">
        <f t="shared" si="80"/>
        <v>438</v>
      </c>
      <c r="B631" s="365" t="s">
        <v>980</v>
      </c>
      <c r="C631" s="423">
        <v>30.25</v>
      </c>
      <c r="D631" s="365" t="s">
        <v>865</v>
      </c>
      <c r="H631" s="296" t="s">
        <v>377</v>
      </c>
      <c r="I631" s="252">
        <f>K630</f>
        <v>611.91</v>
      </c>
      <c r="J631" s="296">
        <f>J630</f>
        <v>4.72</v>
      </c>
      <c r="K631" s="274">
        <f>I631+J631</f>
        <v>616.63</v>
      </c>
      <c r="O631" s="296" t="s">
        <v>128</v>
      </c>
      <c r="W631" s="253"/>
      <c r="AE631" s="370" t="str">
        <f t="shared" si="83"/>
        <v>|</v>
      </c>
      <c r="AG631" s="296" t="s">
        <v>2249</v>
      </c>
    </row>
    <row r="632" spans="1:33" ht="18.75" customHeight="1">
      <c r="A632" s="363">
        <f t="shared" si="80"/>
        <v>439</v>
      </c>
      <c r="B632" s="296" t="s">
        <v>4567</v>
      </c>
      <c r="C632" s="362">
        <v>167.1</v>
      </c>
      <c r="D632" s="365" t="s">
        <v>865</v>
      </c>
      <c r="H632" s="296" t="s">
        <v>1359</v>
      </c>
      <c r="I632" s="252">
        <f>K631</f>
        <v>616.63</v>
      </c>
      <c r="J632" s="296">
        <f>J631</f>
        <v>4.72</v>
      </c>
      <c r="K632" s="274">
        <f>I632+J632</f>
        <v>621.35</v>
      </c>
      <c r="N632" s="296" t="s">
        <v>446</v>
      </c>
      <c r="O632" s="296" t="s">
        <v>337</v>
      </c>
      <c r="Q632" s="296" t="s">
        <v>446</v>
      </c>
      <c r="R632" s="252">
        <v>2.2400000000000002</v>
      </c>
      <c r="W632" s="253"/>
      <c r="AE632" s="370" t="str">
        <f t="shared" si="83"/>
        <v>|</v>
      </c>
      <c r="AG632" s="296" t="s">
        <v>2249</v>
      </c>
    </row>
    <row r="633" spans="1:33" ht="18.75" customHeight="1">
      <c r="A633" s="363">
        <f t="shared" si="80"/>
        <v>440</v>
      </c>
      <c r="B633" s="296" t="s">
        <v>1477</v>
      </c>
      <c r="C633" s="362">
        <v>104.1</v>
      </c>
      <c r="D633" s="365" t="s">
        <v>865</v>
      </c>
      <c r="F633" s="253" t="s">
        <v>1603</v>
      </c>
      <c r="G633" s="252" t="s">
        <v>2241</v>
      </c>
      <c r="H633" s="296" t="s">
        <v>879</v>
      </c>
      <c r="R633" s="358" t="s">
        <v>1579</v>
      </c>
      <c r="W633" s="253"/>
      <c r="AE633" s="370" t="str">
        <f t="shared" si="83"/>
        <v>|</v>
      </c>
      <c r="AG633" s="296" t="s">
        <v>2249</v>
      </c>
    </row>
    <row r="634" spans="1:33" ht="18.75" customHeight="1">
      <c r="A634" s="363">
        <f t="shared" si="80"/>
        <v>441</v>
      </c>
      <c r="B634" s="365" t="s">
        <v>1478</v>
      </c>
      <c r="C634" s="364"/>
      <c r="D634" s="365" t="s">
        <v>865</v>
      </c>
      <c r="H634" s="296" t="s">
        <v>1091</v>
      </c>
      <c r="O634" s="296" t="s">
        <v>1743</v>
      </c>
      <c r="R634" s="252">
        <f>SUM(R622:R632)</f>
        <v>27344.59</v>
      </c>
      <c r="W634" s="253"/>
      <c r="AE634" s="370" t="str">
        <f t="shared" si="83"/>
        <v>|</v>
      </c>
      <c r="AG634" s="296" t="s">
        <v>2249</v>
      </c>
    </row>
    <row r="635" spans="1:33" ht="18.75" customHeight="1">
      <c r="A635" s="363">
        <f t="shared" si="80"/>
        <v>442</v>
      </c>
      <c r="B635" s="296" t="s">
        <v>4568</v>
      </c>
      <c r="C635" s="362">
        <v>195.2</v>
      </c>
      <c r="D635" s="365" t="s">
        <v>865</v>
      </c>
      <c r="H635" s="296" t="s">
        <v>1605</v>
      </c>
      <c r="R635" s="358" t="s">
        <v>1579</v>
      </c>
      <c r="W635" s="253"/>
      <c r="AE635" s="370" t="str">
        <f t="shared" si="83"/>
        <v>|</v>
      </c>
      <c r="AG635" s="296" t="s">
        <v>2249</v>
      </c>
    </row>
    <row r="636" spans="1:33" ht="18.75" customHeight="1">
      <c r="A636" s="363">
        <f t="shared" si="80"/>
        <v>443</v>
      </c>
      <c r="B636" s="296" t="s">
        <v>432</v>
      </c>
      <c r="C636" s="362">
        <v>125.2</v>
      </c>
      <c r="D636" s="365" t="s">
        <v>865</v>
      </c>
      <c r="H636" s="358" t="s">
        <v>1579</v>
      </c>
      <c r="N636" s="296" t="s">
        <v>2241</v>
      </c>
      <c r="O636" s="296" t="s">
        <v>433</v>
      </c>
      <c r="W636" s="253"/>
      <c r="AE636" s="370" t="str">
        <f t="shared" si="83"/>
        <v>|</v>
      </c>
      <c r="AG636" s="296" t="s">
        <v>2249</v>
      </c>
    </row>
    <row r="637" spans="1:33" ht="18.75" customHeight="1">
      <c r="A637" s="364"/>
      <c r="B637" s="364"/>
      <c r="C637" s="364"/>
      <c r="D637" s="364"/>
      <c r="F637" s="252">
        <v>0.01</v>
      </c>
      <c r="G637" s="252" t="s">
        <v>866</v>
      </c>
      <c r="H637" s="296" t="s">
        <v>1471</v>
      </c>
      <c r="I637" s="252">
        <f>(K280)</f>
        <v>8171</v>
      </c>
      <c r="J637" s="296" t="s">
        <v>866</v>
      </c>
      <c r="K637" s="252">
        <f>(F637*I637)</f>
        <v>81.709999999999994</v>
      </c>
      <c r="W637" s="253"/>
      <c r="AE637" s="370" t="str">
        <f t="shared" si="83"/>
        <v>|</v>
      </c>
      <c r="AG637" s="296" t="s">
        <v>2249</v>
      </c>
    </row>
    <row r="638" spans="1:33" ht="18.75" customHeight="1">
      <c r="A638" s="363">
        <f>(A636+1)</f>
        <v>444</v>
      </c>
      <c r="B638" s="365" t="s">
        <v>1095</v>
      </c>
      <c r="C638" s="364"/>
      <c r="D638" s="365" t="s">
        <v>865</v>
      </c>
      <c r="F638" s="252">
        <v>0.01</v>
      </c>
      <c r="G638" s="252" t="s">
        <v>866</v>
      </c>
      <c r="H638" s="296" t="s">
        <v>981</v>
      </c>
      <c r="J638" s="296" t="s">
        <v>446</v>
      </c>
      <c r="K638" s="252">
        <v>1.1499999999999999</v>
      </c>
      <c r="O638" s="296" t="s">
        <v>1096</v>
      </c>
      <c r="S638" s="253" t="s">
        <v>163</v>
      </c>
      <c r="T638" s="252" t="s">
        <v>2241</v>
      </c>
      <c r="U638" s="276" t="s">
        <v>3981</v>
      </c>
      <c r="W638" s="253"/>
      <c r="AA638" s="253" t="s">
        <v>163</v>
      </c>
      <c r="AB638" s="252" t="s">
        <v>2241</v>
      </c>
      <c r="AC638" s="276" t="s">
        <v>4123</v>
      </c>
      <c r="AE638" s="296"/>
    </row>
    <row r="639" spans="1:33" ht="18.75" customHeight="1">
      <c r="A639" s="363">
        <f t="shared" ref="A639:A702" si="85">(A638+1)</f>
        <v>445</v>
      </c>
      <c r="B639" s="296" t="s">
        <v>4243</v>
      </c>
      <c r="C639" s="362">
        <v>298.60000000000002</v>
      </c>
      <c r="D639" s="365" t="s">
        <v>865</v>
      </c>
      <c r="H639" s="296" t="s">
        <v>130</v>
      </c>
      <c r="O639" s="358" t="s">
        <v>1579</v>
      </c>
      <c r="S639" s="252"/>
      <c r="U639" s="296" t="s">
        <v>1378</v>
      </c>
      <c r="W639" s="253"/>
      <c r="AC639" s="296" t="s">
        <v>1378</v>
      </c>
      <c r="AE639" s="296"/>
    </row>
    <row r="640" spans="1:33" ht="18.75" customHeight="1">
      <c r="A640" s="363">
        <f t="shared" si="85"/>
        <v>446</v>
      </c>
      <c r="B640" s="296" t="s">
        <v>1644</v>
      </c>
      <c r="C640" s="362">
        <v>208.1</v>
      </c>
      <c r="D640" s="365" t="s">
        <v>865</v>
      </c>
      <c r="K640" s="358" t="s">
        <v>1579</v>
      </c>
      <c r="M640" s="252">
        <v>3</v>
      </c>
      <c r="N640" s="296" t="s">
        <v>866</v>
      </c>
      <c r="O640" s="296" t="s">
        <v>1646</v>
      </c>
      <c r="P640" s="252">
        <f>(C61*2)</f>
        <v>224.1</v>
      </c>
      <c r="Q640" s="296" t="s">
        <v>866</v>
      </c>
      <c r="R640" s="252">
        <f>(M640*P640)</f>
        <v>672.3</v>
      </c>
      <c r="S640" s="252"/>
      <c r="U640" s="296" t="s">
        <v>132</v>
      </c>
      <c r="W640" s="253"/>
      <c r="AC640" s="296" t="s">
        <v>132</v>
      </c>
      <c r="AE640" s="296"/>
    </row>
    <row r="641" spans="1:32" ht="18.75" customHeight="1">
      <c r="A641" s="363">
        <f t="shared" si="85"/>
        <v>447</v>
      </c>
      <c r="B641" s="365" t="s">
        <v>619</v>
      </c>
      <c r="C641" s="364"/>
      <c r="D641" s="365" t="s">
        <v>865</v>
      </c>
      <c r="H641" s="296" t="s">
        <v>1479</v>
      </c>
      <c r="K641" s="252">
        <f>SUM(K637:K639)</f>
        <v>82.86</v>
      </c>
      <c r="M641" s="252">
        <v>2.4</v>
      </c>
      <c r="N641" s="296" t="s">
        <v>866</v>
      </c>
      <c r="O641" s="296" t="s">
        <v>1625</v>
      </c>
      <c r="P641" s="252">
        <f>(C81)</f>
        <v>720.98</v>
      </c>
      <c r="Q641" s="296" t="s">
        <v>866</v>
      </c>
      <c r="R641" s="252">
        <f>(M641*P641)</f>
        <v>1730.35</v>
      </c>
      <c r="S641" s="252"/>
      <c r="U641" s="358" t="s">
        <v>1579</v>
      </c>
      <c r="W641" s="253"/>
      <c r="AC641" s="358" t="s">
        <v>1579</v>
      </c>
      <c r="AE641" s="296"/>
    </row>
    <row r="642" spans="1:32" ht="18.75" customHeight="1">
      <c r="A642" s="363">
        <f t="shared" si="85"/>
        <v>448</v>
      </c>
      <c r="B642" s="296" t="s">
        <v>4570</v>
      </c>
      <c r="C642" s="362">
        <v>159.9</v>
      </c>
      <c r="D642" s="365" t="s">
        <v>865</v>
      </c>
      <c r="K642" s="358" t="s">
        <v>1579</v>
      </c>
      <c r="M642" s="252">
        <v>5</v>
      </c>
      <c r="N642" s="296" t="s">
        <v>865</v>
      </c>
      <c r="O642" s="296" t="s">
        <v>604</v>
      </c>
      <c r="P642" s="252">
        <f>(C204)</f>
        <v>63.4</v>
      </c>
      <c r="Q642" s="296" t="s">
        <v>865</v>
      </c>
      <c r="R642" s="252">
        <f>(M642*P642)</f>
        <v>317</v>
      </c>
      <c r="S642" s="356">
        <v>8.3000000000000007</v>
      </c>
      <c r="T642" s="252" t="s">
        <v>866</v>
      </c>
      <c r="U642" s="296" t="s">
        <v>3982</v>
      </c>
      <c r="V642" s="252">
        <f>AC11</f>
        <v>1281.77</v>
      </c>
      <c r="W642" s="253" t="s">
        <v>866</v>
      </c>
      <c r="X642" s="252">
        <f t="shared" ref="X642:X648" si="86">S642*V642</f>
        <v>10638.69</v>
      </c>
      <c r="AA642" s="356">
        <v>8.3000000000000007</v>
      </c>
      <c r="AB642" s="252" t="s">
        <v>866</v>
      </c>
      <c r="AC642" s="296" t="s">
        <v>3982</v>
      </c>
      <c r="AD642" s="252">
        <f>V642</f>
        <v>1281.77</v>
      </c>
      <c r="AE642" s="296" t="s">
        <v>866</v>
      </c>
      <c r="AF642" s="252">
        <f t="shared" ref="AF642:AF648" si="87">AA642*AD642</f>
        <v>10638.69</v>
      </c>
    </row>
    <row r="643" spans="1:32" ht="18.75" customHeight="1">
      <c r="A643" s="363">
        <f t="shared" si="85"/>
        <v>449</v>
      </c>
      <c r="B643" s="296" t="s">
        <v>1765</v>
      </c>
      <c r="C643" s="362">
        <v>97.3</v>
      </c>
      <c r="D643" s="365" t="s">
        <v>865</v>
      </c>
      <c r="H643" s="296" t="s">
        <v>770</v>
      </c>
      <c r="K643" s="252">
        <f>ROUND(K641*100,0)</f>
        <v>8286</v>
      </c>
      <c r="O643" s="296" t="s">
        <v>447</v>
      </c>
      <c r="Q643" s="296" t="s">
        <v>446</v>
      </c>
      <c r="R643" s="252">
        <v>0.08</v>
      </c>
      <c r="S643" s="356">
        <v>3.25</v>
      </c>
      <c r="T643" s="252" t="s">
        <v>858</v>
      </c>
      <c r="U643" s="296" t="s">
        <v>859</v>
      </c>
      <c r="V643" s="252">
        <f>I808</f>
        <v>6040</v>
      </c>
      <c r="W643" s="253" t="s">
        <v>858</v>
      </c>
      <c r="X643" s="252">
        <f t="shared" si="86"/>
        <v>19630</v>
      </c>
      <c r="AA643" s="356">
        <v>4</v>
      </c>
      <c r="AB643" s="252" t="s">
        <v>858</v>
      </c>
      <c r="AC643" s="296" t="s">
        <v>859</v>
      </c>
      <c r="AD643" s="252">
        <f t="shared" ref="AD643:AD648" si="88">V643</f>
        <v>6040</v>
      </c>
      <c r="AE643" s="296" t="s">
        <v>858</v>
      </c>
      <c r="AF643" s="252">
        <f t="shared" si="87"/>
        <v>24160</v>
      </c>
    </row>
    <row r="644" spans="1:32" ht="18.75" customHeight="1">
      <c r="A644" s="363">
        <f t="shared" si="85"/>
        <v>450</v>
      </c>
      <c r="B644" s="365" t="s">
        <v>1767</v>
      </c>
      <c r="C644" s="364"/>
      <c r="D644" s="365" t="s">
        <v>865</v>
      </c>
      <c r="F644" s="296" t="s">
        <v>971</v>
      </c>
      <c r="R644" s="358" t="s">
        <v>1579</v>
      </c>
      <c r="S644" s="356">
        <v>4.79</v>
      </c>
      <c r="T644" s="252" t="s">
        <v>866</v>
      </c>
      <c r="U644" s="296" t="s">
        <v>867</v>
      </c>
      <c r="V644" s="252">
        <f>I809</f>
        <v>1846.1</v>
      </c>
      <c r="W644" s="253" t="s">
        <v>866</v>
      </c>
      <c r="X644" s="252">
        <f t="shared" si="86"/>
        <v>8842.82</v>
      </c>
      <c r="AA644" s="356">
        <v>4.79</v>
      </c>
      <c r="AB644" s="252" t="s">
        <v>866</v>
      </c>
      <c r="AC644" s="296" t="s">
        <v>867</v>
      </c>
      <c r="AD644" s="252">
        <f t="shared" si="88"/>
        <v>1846.1</v>
      </c>
      <c r="AE644" s="296" t="s">
        <v>866</v>
      </c>
      <c r="AF644" s="252">
        <f t="shared" si="87"/>
        <v>8842.82</v>
      </c>
    </row>
    <row r="645" spans="1:32" ht="18.75" customHeight="1">
      <c r="A645" s="363">
        <f t="shared" si="85"/>
        <v>451</v>
      </c>
      <c r="B645" s="296" t="s">
        <v>4569</v>
      </c>
      <c r="C645" s="362">
        <v>187.8</v>
      </c>
      <c r="D645" s="365" t="s">
        <v>865</v>
      </c>
      <c r="K645" s="358" t="s">
        <v>2046</v>
      </c>
      <c r="O645" s="296" t="s">
        <v>1743</v>
      </c>
      <c r="R645" s="252">
        <f>SUM(R640:R643)</f>
        <v>2719.73</v>
      </c>
      <c r="S645" s="356">
        <v>3.5</v>
      </c>
      <c r="T645" s="252" t="s">
        <v>865</v>
      </c>
      <c r="U645" s="296" t="s">
        <v>1704</v>
      </c>
      <c r="V645" s="252">
        <f>C11</f>
        <v>932</v>
      </c>
      <c r="W645" s="253" t="s">
        <v>865</v>
      </c>
      <c r="X645" s="252">
        <f t="shared" si="86"/>
        <v>3262</v>
      </c>
      <c r="AA645" s="356">
        <v>3.5</v>
      </c>
      <c r="AB645" s="252" t="s">
        <v>865</v>
      </c>
      <c r="AC645" s="296" t="s">
        <v>1704</v>
      </c>
      <c r="AD645" s="252">
        <f t="shared" si="88"/>
        <v>932</v>
      </c>
      <c r="AE645" s="296" t="s">
        <v>865</v>
      </c>
      <c r="AF645" s="252">
        <f t="shared" si="87"/>
        <v>3262</v>
      </c>
    </row>
    <row r="646" spans="1:32" ht="18.75" customHeight="1">
      <c r="A646" s="363">
        <f t="shared" si="85"/>
        <v>452</v>
      </c>
      <c r="B646" s="296" t="s">
        <v>1627</v>
      </c>
      <c r="C646" s="362">
        <v>125.2</v>
      </c>
      <c r="D646" s="365" t="s">
        <v>865</v>
      </c>
      <c r="G646" s="252" t="s">
        <v>672</v>
      </c>
      <c r="H646" s="296" t="s">
        <v>986</v>
      </c>
      <c r="R646" s="358" t="s">
        <v>1579</v>
      </c>
      <c r="S646" s="356">
        <v>21.2</v>
      </c>
      <c r="T646" s="252" t="s">
        <v>865</v>
      </c>
      <c r="U646" s="296" t="s">
        <v>1893</v>
      </c>
      <c r="V646" s="252">
        <f>C12</f>
        <v>651</v>
      </c>
      <c r="W646" s="253" t="s">
        <v>865</v>
      </c>
      <c r="X646" s="252">
        <f t="shared" si="86"/>
        <v>13801.2</v>
      </c>
      <c r="AA646" s="356">
        <v>21.2</v>
      </c>
      <c r="AB646" s="252" t="s">
        <v>865</v>
      </c>
      <c r="AC646" s="296" t="s">
        <v>1893</v>
      </c>
      <c r="AD646" s="252">
        <f t="shared" si="88"/>
        <v>651</v>
      </c>
      <c r="AE646" s="296" t="s">
        <v>865</v>
      </c>
      <c r="AF646" s="252">
        <f t="shared" si="87"/>
        <v>13801.2</v>
      </c>
    </row>
    <row r="647" spans="1:32" ht="18.75" customHeight="1">
      <c r="A647" s="363">
        <f t="shared" si="85"/>
        <v>453</v>
      </c>
      <c r="B647" s="365" t="s">
        <v>1628</v>
      </c>
      <c r="C647" s="364"/>
      <c r="D647" s="365" t="s">
        <v>865</v>
      </c>
      <c r="H647" s="296" t="s">
        <v>1645</v>
      </c>
      <c r="S647" s="356">
        <v>35.299999999999997</v>
      </c>
      <c r="T647" s="252" t="s">
        <v>865</v>
      </c>
      <c r="U647" s="296" t="s">
        <v>317</v>
      </c>
      <c r="V647" s="252">
        <f>C13</f>
        <v>534</v>
      </c>
      <c r="W647" s="253" t="s">
        <v>865</v>
      </c>
      <c r="X647" s="252">
        <f t="shared" si="86"/>
        <v>18850.2</v>
      </c>
      <c r="AA647" s="356">
        <v>35.299999999999997</v>
      </c>
      <c r="AB647" s="252" t="s">
        <v>865</v>
      </c>
      <c r="AC647" s="296" t="s">
        <v>317</v>
      </c>
      <c r="AD647" s="252">
        <f t="shared" si="88"/>
        <v>534</v>
      </c>
      <c r="AE647" s="296" t="s">
        <v>865</v>
      </c>
      <c r="AF647" s="252">
        <f t="shared" si="87"/>
        <v>18850.2</v>
      </c>
    </row>
    <row r="648" spans="1:32" ht="18.75" customHeight="1">
      <c r="A648" s="363">
        <f t="shared" si="85"/>
        <v>454</v>
      </c>
      <c r="B648" s="296" t="s">
        <v>4571</v>
      </c>
      <c r="C648" s="362">
        <v>82.3</v>
      </c>
      <c r="D648" s="365" t="s">
        <v>865</v>
      </c>
      <c r="H648" s="358" t="s">
        <v>1579</v>
      </c>
      <c r="N648" s="296" t="s">
        <v>2241</v>
      </c>
      <c r="O648" s="296" t="s">
        <v>61</v>
      </c>
      <c r="S648" s="407">
        <v>19.5</v>
      </c>
      <c r="U648" s="296" t="s">
        <v>3983</v>
      </c>
      <c r="V648" s="362">
        <f>C149</f>
        <v>43.2</v>
      </c>
      <c r="W648" s="253" t="s">
        <v>446</v>
      </c>
      <c r="X648" s="252">
        <f t="shared" si="86"/>
        <v>842.4</v>
      </c>
      <c r="AA648" s="407">
        <v>40</v>
      </c>
      <c r="AC648" s="296" t="s">
        <v>3983</v>
      </c>
      <c r="AD648" s="252">
        <f t="shared" si="88"/>
        <v>43.2</v>
      </c>
      <c r="AE648" s="296" t="s">
        <v>446</v>
      </c>
      <c r="AF648" s="252">
        <f t="shared" si="87"/>
        <v>1728</v>
      </c>
    </row>
    <row r="649" spans="1:32" ht="18.75" customHeight="1">
      <c r="A649" s="363">
        <f t="shared" si="85"/>
        <v>455</v>
      </c>
      <c r="B649" s="296" t="s">
        <v>1951</v>
      </c>
      <c r="C649" s="362">
        <v>55.5</v>
      </c>
      <c r="D649" s="365" t="s">
        <v>865</v>
      </c>
      <c r="F649" s="356">
        <v>1.4E-2</v>
      </c>
      <c r="G649" s="252" t="s">
        <v>866</v>
      </c>
      <c r="H649" s="296" t="s">
        <v>1320</v>
      </c>
      <c r="I649" s="252">
        <f>(K643)</f>
        <v>8286</v>
      </c>
      <c r="J649" s="296" t="s">
        <v>866</v>
      </c>
      <c r="K649" s="252">
        <f>(F649*I649)</f>
        <v>116</v>
      </c>
      <c r="O649" s="296" t="s">
        <v>1952</v>
      </c>
      <c r="S649" s="252"/>
      <c r="W649" s="253"/>
      <c r="X649" s="358" t="s">
        <v>1579</v>
      </c>
      <c r="AE649" s="296"/>
      <c r="AF649" s="358" t="s">
        <v>1579</v>
      </c>
    </row>
    <row r="650" spans="1:32" ht="18.75" customHeight="1">
      <c r="A650" s="363">
        <f t="shared" si="85"/>
        <v>456</v>
      </c>
      <c r="B650" s="296" t="s">
        <v>1953</v>
      </c>
      <c r="C650" s="362">
        <v>34.4</v>
      </c>
      <c r="D650" s="365" t="s">
        <v>865</v>
      </c>
      <c r="F650" s="356"/>
      <c r="H650" s="296" t="s">
        <v>1766</v>
      </c>
      <c r="K650" s="296" t="s">
        <v>971</v>
      </c>
      <c r="O650" s="296" t="s">
        <v>1954</v>
      </c>
      <c r="S650" s="252"/>
      <c r="U650" s="253" t="s">
        <v>611</v>
      </c>
      <c r="W650" s="253"/>
      <c r="X650" s="252">
        <f>SUM(X642:X648)</f>
        <v>75867.31</v>
      </c>
      <c r="AC650" s="253" t="s">
        <v>611</v>
      </c>
      <c r="AE650" s="296"/>
      <c r="AF650" s="252">
        <f>SUM(AF642:AF648)</f>
        <v>81282.91</v>
      </c>
    </row>
    <row r="651" spans="1:32" ht="18.75" customHeight="1">
      <c r="A651" s="363">
        <f t="shared" si="85"/>
        <v>457</v>
      </c>
      <c r="B651" s="365" t="s">
        <v>1955</v>
      </c>
      <c r="C651" s="314">
        <v>155.32</v>
      </c>
      <c r="D651" s="365" t="s">
        <v>865</v>
      </c>
      <c r="F651" s="252">
        <v>0.5</v>
      </c>
      <c r="G651" s="252" t="s">
        <v>766</v>
      </c>
      <c r="H651" s="296" t="s">
        <v>2000</v>
      </c>
      <c r="I651" s="252">
        <f>(C10)</f>
        <v>999</v>
      </c>
      <c r="J651" s="296" t="s">
        <v>766</v>
      </c>
      <c r="K651" s="252">
        <f>(F651*I651)</f>
        <v>499.5</v>
      </c>
      <c r="O651" s="358" t="s">
        <v>1579</v>
      </c>
      <c r="S651" s="252"/>
      <c r="W651" s="253"/>
      <c r="X651" s="358" t="s">
        <v>2046</v>
      </c>
      <c r="AE651" s="296"/>
      <c r="AF651" s="358" t="s">
        <v>2046</v>
      </c>
    </row>
    <row r="652" spans="1:32" ht="18.75" customHeight="1">
      <c r="A652" s="363">
        <f t="shared" si="85"/>
        <v>458</v>
      </c>
      <c r="B652" s="365" t="s">
        <v>1759</v>
      </c>
      <c r="C652" s="314">
        <v>91.08</v>
      </c>
      <c r="D652" s="365" t="s">
        <v>865</v>
      </c>
      <c r="F652" s="252">
        <v>0.75</v>
      </c>
      <c r="G652" s="252" t="s">
        <v>766</v>
      </c>
      <c r="H652" s="296" t="s">
        <v>1893</v>
      </c>
      <c r="I652" s="252">
        <f>(C12)</f>
        <v>651</v>
      </c>
      <c r="J652" s="296" t="s">
        <v>766</v>
      </c>
      <c r="K652" s="252">
        <f>(F652*I652)</f>
        <v>488.25</v>
      </c>
      <c r="M652" s="252">
        <v>9.5</v>
      </c>
      <c r="N652" s="296" t="s">
        <v>866</v>
      </c>
      <c r="O652" s="296" t="s">
        <v>1646</v>
      </c>
      <c r="P652" s="252">
        <f>(C61*2)</f>
        <v>224.1</v>
      </c>
      <c r="Q652" s="296" t="s">
        <v>866</v>
      </c>
      <c r="R652" s="252">
        <f t="shared" ref="R652:R660" si="89">(M652*P652)</f>
        <v>2128.9499999999998</v>
      </c>
      <c r="S652" s="252"/>
      <c r="U652" s="296" t="s">
        <v>770</v>
      </c>
      <c r="W652" s="253"/>
      <c r="X652" s="252">
        <f>X650/10</f>
        <v>7586.73</v>
      </c>
      <c r="AC652" s="296" t="s">
        <v>770</v>
      </c>
      <c r="AE652" s="296"/>
      <c r="AF652" s="252">
        <f>AF650/10</f>
        <v>8128.29</v>
      </c>
    </row>
    <row r="653" spans="1:32" ht="18.75" customHeight="1">
      <c r="A653" s="363">
        <f t="shared" si="85"/>
        <v>459</v>
      </c>
      <c r="B653" s="296" t="s">
        <v>4872</v>
      </c>
      <c r="C653" s="362">
        <v>42.7</v>
      </c>
      <c r="D653" s="365" t="s">
        <v>1637</v>
      </c>
      <c r="G653" s="252" t="s">
        <v>446</v>
      </c>
      <c r="H653" s="296" t="s">
        <v>447</v>
      </c>
      <c r="J653" s="296" t="s">
        <v>446</v>
      </c>
      <c r="K653" s="252">
        <v>0</v>
      </c>
      <c r="M653" s="252">
        <v>0.47</v>
      </c>
      <c r="N653" s="296" t="s">
        <v>866</v>
      </c>
      <c r="O653" s="296" t="s">
        <v>339</v>
      </c>
      <c r="P653" s="252">
        <f>(R74)</f>
        <v>6710.27</v>
      </c>
      <c r="Q653" s="296" t="s">
        <v>866</v>
      </c>
      <c r="R653" s="252">
        <f t="shared" si="89"/>
        <v>3153.83</v>
      </c>
      <c r="S653" s="252">
        <v>1</v>
      </c>
      <c r="T653" s="252" t="s">
        <v>866</v>
      </c>
      <c r="U653" s="296" t="s">
        <v>44</v>
      </c>
      <c r="W653" s="253"/>
      <c r="AA653" s="252">
        <v>1</v>
      </c>
      <c r="AB653" s="252" t="s">
        <v>866</v>
      </c>
      <c r="AC653" s="296" t="s">
        <v>44</v>
      </c>
      <c r="AE653" s="296"/>
    </row>
    <row r="654" spans="1:32" ht="18.75" customHeight="1">
      <c r="A654" s="363">
        <f t="shared" si="85"/>
        <v>460</v>
      </c>
      <c r="B654" s="365" t="s">
        <v>1835</v>
      </c>
      <c r="C654" s="314">
        <v>0.3</v>
      </c>
      <c r="D654" s="365" t="s">
        <v>865</v>
      </c>
      <c r="K654" s="358" t="s">
        <v>1579</v>
      </c>
      <c r="M654" s="252">
        <v>1.62</v>
      </c>
      <c r="N654" s="296" t="s">
        <v>866</v>
      </c>
      <c r="O654" s="296" t="s">
        <v>1967</v>
      </c>
      <c r="P654" s="252">
        <f>(R89)</f>
        <v>7058.47</v>
      </c>
      <c r="Q654" s="296" t="s">
        <v>866</v>
      </c>
      <c r="R654" s="252">
        <f t="shared" si="89"/>
        <v>11434.72</v>
      </c>
      <c r="W654" s="253"/>
      <c r="X654" s="252">
        <f>SUM(X652:X653)</f>
        <v>7586.73</v>
      </c>
      <c r="AA654" s="356"/>
      <c r="AF654" s="252">
        <f>SUM(AF652:AF653)</f>
        <v>8128.29</v>
      </c>
    </row>
    <row r="655" spans="1:32" ht="18.75" customHeight="1">
      <c r="A655" s="363">
        <f t="shared" si="85"/>
        <v>461</v>
      </c>
      <c r="B655" s="296" t="s">
        <v>4873</v>
      </c>
      <c r="C655" s="362">
        <v>189.65</v>
      </c>
      <c r="D655" s="365" t="s">
        <v>606</v>
      </c>
      <c r="H655" s="296" t="s">
        <v>102</v>
      </c>
      <c r="K655" s="252">
        <f>SUM(K649:K653)</f>
        <v>1103.75</v>
      </c>
      <c r="M655" s="252">
        <v>15.22</v>
      </c>
      <c r="N655" s="296" t="s">
        <v>606</v>
      </c>
      <c r="O655" s="296" t="s">
        <v>2126</v>
      </c>
      <c r="P655" s="252">
        <f>(R304)</f>
        <v>269.24</v>
      </c>
      <c r="Q655" s="296" t="s">
        <v>606</v>
      </c>
      <c r="R655" s="252">
        <f t="shared" si="89"/>
        <v>4097.83</v>
      </c>
      <c r="S655" s="252"/>
      <c r="U655" s="252" t="s">
        <v>3984</v>
      </c>
      <c r="W655" s="253"/>
      <c r="X655" s="252">
        <f>X654*0.5%</f>
        <v>37.93</v>
      </c>
      <c r="AC655" s="252" t="s">
        <v>3984</v>
      </c>
      <c r="AF655" s="252">
        <f>AF654*0.5%</f>
        <v>40.64</v>
      </c>
    </row>
    <row r="656" spans="1:32" ht="18.75" customHeight="1">
      <c r="A656" s="363">
        <f t="shared" si="85"/>
        <v>462</v>
      </c>
      <c r="B656" s="365" t="s">
        <v>2009</v>
      </c>
      <c r="C656" s="314">
        <v>97.31</v>
      </c>
      <c r="D656" s="365" t="s">
        <v>606</v>
      </c>
      <c r="K656" s="358" t="s">
        <v>1579</v>
      </c>
      <c r="M656" s="252">
        <v>0.18</v>
      </c>
      <c r="N656" s="296" t="s">
        <v>866</v>
      </c>
      <c r="O656" s="296" t="s">
        <v>1328</v>
      </c>
      <c r="P656" s="252">
        <f>(K280)</f>
        <v>8171</v>
      </c>
      <c r="Q656" s="296" t="s">
        <v>866</v>
      </c>
      <c r="R656" s="252">
        <f t="shared" si="89"/>
        <v>1470.78</v>
      </c>
      <c r="S656" s="252"/>
      <c r="W656" s="253"/>
      <c r="X656" s="358"/>
      <c r="AE656" s="296"/>
      <c r="AF656" s="358"/>
    </row>
    <row r="657" spans="1:32" ht="18.75" customHeight="1">
      <c r="A657" s="363">
        <f t="shared" si="85"/>
        <v>463</v>
      </c>
      <c r="B657" s="296" t="s">
        <v>4874</v>
      </c>
      <c r="C657" s="362">
        <v>196.45</v>
      </c>
      <c r="D657" s="296" t="s">
        <v>1148</v>
      </c>
      <c r="H657" s="296" t="s">
        <v>549</v>
      </c>
      <c r="K657" s="252">
        <f>(K655/0.372)</f>
        <v>2967.07</v>
      </c>
      <c r="M657" s="252">
        <v>0.36</v>
      </c>
      <c r="N657" s="296" t="s">
        <v>606</v>
      </c>
      <c r="O657" s="296" t="s">
        <v>757</v>
      </c>
      <c r="P657" s="252">
        <f>(K467)</f>
        <v>397.72</v>
      </c>
      <c r="Q657" s="296" t="s">
        <v>606</v>
      </c>
      <c r="R657" s="252">
        <f t="shared" si="89"/>
        <v>143.18</v>
      </c>
      <c r="S657" s="252"/>
      <c r="U657" s="252" t="s">
        <v>3578</v>
      </c>
      <c r="W657" s="253"/>
      <c r="X657" s="274">
        <f>SUM(X654:X656)</f>
        <v>7624.66</v>
      </c>
      <c r="AC657" s="252" t="s">
        <v>3578</v>
      </c>
      <c r="AE657" s="296"/>
      <c r="AF657" s="274">
        <f>SUM(AF654:AF656)</f>
        <v>8168.93</v>
      </c>
    </row>
    <row r="658" spans="1:32" ht="18.75" customHeight="1">
      <c r="A658" s="363">
        <f t="shared" si="85"/>
        <v>464</v>
      </c>
      <c r="B658" s="296" t="s">
        <v>4875</v>
      </c>
      <c r="C658" s="362">
        <f>C657</f>
        <v>196.45</v>
      </c>
      <c r="D658" s="296" t="s">
        <v>1148</v>
      </c>
      <c r="K658" s="358" t="s">
        <v>2046</v>
      </c>
      <c r="M658" s="252">
        <v>1</v>
      </c>
      <c r="N658" s="296" t="s">
        <v>865</v>
      </c>
      <c r="O658" s="296" t="s">
        <v>1160</v>
      </c>
      <c r="P658" s="252">
        <f>(C203)</f>
        <v>128</v>
      </c>
      <c r="Q658" s="296" t="s">
        <v>865</v>
      </c>
      <c r="R658" s="252">
        <f t="shared" si="89"/>
        <v>128</v>
      </c>
      <c r="S658" s="252"/>
      <c r="W658" s="253"/>
      <c r="X658" s="358" t="s">
        <v>1579</v>
      </c>
      <c r="AE658" s="296"/>
      <c r="AF658" s="358" t="s">
        <v>1579</v>
      </c>
    </row>
    <row r="659" spans="1:32" ht="18.75" customHeight="1">
      <c r="A659" s="363">
        <f t="shared" si="85"/>
        <v>465</v>
      </c>
      <c r="B659" s="296" t="s">
        <v>1161</v>
      </c>
      <c r="C659" s="362">
        <v>3.91</v>
      </c>
      <c r="D659" s="296" t="s">
        <v>865</v>
      </c>
      <c r="E659" s="252" t="s">
        <v>148</v>
      </c>
      <c r="H659" s="296" t="s">
        <v>383</v>
      </c>
      <c r="I659" s="252">
        <f>K657</f>
        <v>2967.07</v>
      </c>
      <c r="J659" s="296">
        <f>C22*0.014/0.372</f>
        <v>4.51</v>
      </c>
      <c r="K659" s="274">
        <f>I659+J659</f>
        <v>2971.58</v>
      </c>
      <c r="M659" s="252">
        <v>1.8</v>
      </c>
      <c r="N659" s="296" t="s">
        <v>332</v>
      </c>
      <c r="O659" s="296" t="s">
        <v>333</v>
      </c>
      <c r="P659" s="252">
        <f>(C325)</f>
        <v>14.91</v>
      </c>
      <c r="Q659" s="296" t="s">
        <v>332</v>
      </c>
      <c r="R659" s="252">
        <f t="shared" si="89"/>
        <v>26.84</v>
      </c>
      <c r="S659" s="252"/>
      <c r="U659" s="296" t="s">
        <v>383</v>
      </c>
      <c r="W659" s="253"/>
      <c r="X659" s="274">
        <f>(X657+C23)</f>
        <v>7860.76</v>
      </c>
      <c r="AC659" s="296" t="s">
        <v>383</v>
      </c>
      <c r="AE659" s="296"/>
      <c r="AF659" s="274">
        <f>AF657+C23</f>
        <v>8405.0300000000007</v>
      </c>
    </row>
    <row r="660" spans="1:32" ht="18.75" customHeight="1">
      <c r="A660" s="363">
        <f t="shared" si="85"/>
        <v>466</v>
      </c>
      <c r="B660" s="296" t="s">
        <v>5442</v>
      </c>
      <c r="C660" s="362">
        <v>70.150000000000006</v>
      </c>
      <c r="D660" s="418">
        <v>69.599999999999994</v>
      </c>
      <c r="E660" s="252" t="s">
        <v>4572</v>
      </c>
      <c r="H660" s="296" t="s">
        <v>385</v>
      </c>
      <c r="I660" s="252">
        <f>K659</f>
        <v>2971.58</v>
      </c>
      <c r="J660" s="296">
        <f>C23*0.014/0.372</f>
        <v>8.89</v>
      </c>
      <c r="K660" s="274">
        <f>I660+J660</f>
        <v>2980.47</v>
      </c>
      <c r="M660" s="252">
        <v>1</v>
      </c>
      <c r="N660" s="296" t="s">
        <v>865</v>
      </c>
      <c r="O660" s="296" t="s">
        <v>1904</v>
      </c>
      <c r="P660" s="252">
        <f>(C371)</f>
        <v>13.29</v>
      </c>
      <c r="Q660" s="296" t="s">
        <v>865</v>
      </c>
      <c r="R660" s="252">
        <f t="shared" si="89"/>
        <v>13.29</v>
      </c>
      <c r="S660" s="252"/>
      <c r="U660" s="296" t="s">
        <v>385</v>
      </c>
      <c r="W660" s="253"/>
      <c r="X660" s="274">
        <f>X659+C24</f>
        <v>8096.86</v>
      </c>
      <c r="AC660" s="296" t="s">
        <v>385</v>
      </c>
      <c r="AE660" s="296"/>
      <c r="AF660" s="274">
        <f>AF659+C24</f>
        <v>8641.1299999999992</v>
      </c>
    </row>
    <row r="661" spans="1:32" ht="18.75" customHeight="1">
      <c r="A661" s="363">
        <f t="shared" si="85"/>
        <v>467</v>
      </c>
      <c r="B661" s="424" t="s">
        <v>4876</v>
      </c>
      <c r="C661" s="410">
        <v>11.2</v>
      </c>
      <c r="D661" s="411" t="s">
        <v>1763</v>
      </c>
      <c r="E661" s="410">
        <v>17.3</v>
      </c>
      <c r="H661" s="296" t="s">
        <v>2222</v>
      </c>
      <c r="I661" s="252">
        <f>K660</f>
        <v>2980.47</v>
      </c>
      <c r="J661" s="296">
        <f>J660</f>
        <v>8.89</v>
      </c>
      <c r="K661" s="274">
        <f>I661+J661</f>
        <v>2989.36</v>
      </c>
      <c r="N661" s="296" t="s">
        <v>446</v>
      </c>
      <c r="O661" s="296" t="s">
        <v>337</v>
      </c>
      <c r="Q661" s="296" t="s">
        <v>446</v>
      </c>
      <c r="R661" s="252">
        <v>1.72</v>
      </c>
      <c r="S661" s="252"/>
      <c r="U661" s="296" t="s">
        <v>2222</v>
      </c>
      <c r="W661" s="253"/>
      <c r="X661" s="274">
        <f>X660+C25</f>
        <v>8191.06</v>
      </c>
      <c r="AC661" s="296" t="s">
        <v>2222</v>
      </c>
      <c r="AE661" s="296"/>
      <c r="AF661" s="274">
        <f>AF660+C25</f>
        <v>8735.33</v>
      </c>
    </row>
    <row r="662" spans="1:32" ht="18.75" customHeight="1">
      <c r="A662" s="363">
        <f t="shared" si="85"/>
        <v>468</v>
      </c>
      <c r="B662" s="425" t="s">
        <v>4877</v>
      </c>
      <c r="C662" s="410">
        <v>17.3</v>
      </c>
      <c r="D662" s="411" t="s">
        <v>1763</v>
      </c>
      <c r="E662" s="410"/>
      <c r="H662" s="296" t="s">
        <v>377</v>
      </c>
      <c r="I662" s="252">
        <f>K661</f>
        <v>2989.36</v>
      </c>
      <c r="J662" s="296">
        <f>J661</f>
        <v>8.89</v>
      </c>
      <c r="K662" s="274">
        <f>I662+J662</f>
        <v>2998.25</v>
      </c>
      <c r="R662" s="296" t="s">
        <v>971</v>
      </c>
      <c r="S662" s="252"/>
      <c r="U662" s="296" t="s">
        <v>377</v>
      </c>
      <c r="W662" s="253"/>
      <c r="X662" s="274">
        <f>X661+C25</f>
        <v>8285.26</v>
      </c>
      <c r="AC662" s="296" t="s">
        <v>377</v>
      </c>
      <c r="AE662" s="296"/>
      <c r="AF662" s="274">
        <f>AF661+C25</f>
        <v>8829.5300000000007</v>
      </c>
    </row>
    <row r="663" spans="1:32" ht="18.75" customHeight="1">
      <c r="A663" s="363">
        <f t="shared" si="85"/>
        <v>469</v>
      </c>
      <c r="B663" s="296" t="s">
        <v>4573</v>
      </c>
      <c r="C663" s="426">
        <v>8.9</v>
      </c>
      <c r="D663" s="427">
        <v>10.65</v>
      </c>
      <c r="E663" s="252">
        <v>2</v>
      </c>
      <c r="H663" s="296" t="s">
        <v>1359</v>
      </c>
      <c r="I663" s="252">
        <f>K662</f>
        <v>2998.25</v>
      </c>
      <c r="J663" s="296">
        <f>J662</f>
        <v>8.89</v>
      </c>
      <c r="K663" s="274">
        <f>I663+J663</f>
        <v>3007.14</v>
      </c>
      <c r="R663" s="358" t="s">
        <v>1579</v>
      </c>
      <c r="S663" s="252"/>
      <c r="U663" s="296" t="s">
        <v>1525</v>
      </c>
      <c r="W663" s="253"/>
      <c r="X663" s="274">
        <f>X662+C25</f>
        <v>8379.4599999999991</v>
      </c>
      <c r="AC663" s="296" t="s">
        <v>1525</v>
      </c>
      <c r="AE663" s="296"/>
      <c r="AF663" s="274">
        <f>AF662+K25</f>
        <v>8829.5300000000007</v>
      </c>
    </row>
    <row r="664" spans="1:32" ht="18.75" customHeight="1">
      <c r="A664" s="363"/>
      <c r="B664" s="365"/>
      <c r="C664" s="370"/>
      <c r="D664" s="374"/>
      <c r="H664" s="296">
        <v>5</v>
      </c>
      <c r="I664" s="252">
        <f t="shared" ref="I664:I670" si="90">K663</f>
        <v>3007.14</v>
      </c>
      <c r="J664" s="296">
        <f t="shared" ref="J664:J670" si="91">J663</f>
        <v>8.89</v>
      </c>
      <c r="K664" s="274">
        <f t="shared" ref="K664:K670" si="92">I664+J664</f>
        <v>3016.03</v>
      </c>
      <c r="R664" s="358"/>
      <c r="S664" s="252"/>
      <c r="U664" s="296">
        <v>5</v>
      </c>
      <c r="W664" s="253"/>
      <c r="X664" s="274">
        <f>X663+C25</f>
        <v>8473.66</v>
      </c>
      <c r="AC664" s="296">
        <v>5</v>
      </c>
      <c r="AE664" s="296"/>
      <c r="AF664" s="274">
        <f>AF663+K25</f>
        <v>8829.5300000000007</v>
      </c>
    </row>
    <row r="665" spans="1:32" ht="18.75" customHeight="1">
      <c r="A665" s="363"/>
      <c r="B665" s="365"/>
      <c r="C665" s="370"/>
      <c r="D665" s="374"/>
      <c r="H665" s="296">
        <v>6</v>
      </c>
      <c r="I665" s="252">
        <f t="shared" si="90"/>
        <v>3016.03</v>
      </c>
      <c r="J665" s="296">
        <f t="shared" si="91"/>
        <v>8.89</v>
      </c>
      <c r="K665" s="274">
        <f t="shared" si="92"/>
        <v>3024.92</v>
      </c>
      <c r="R665" s="358"/>
      <c r="W665" s="253"/>
      <c r="AA665" s="356"/>
    </row>
    <row r="666" spans="1:32" ht="18.75" customHeight="1">
      <c r="A666" s="363"/>
      <c r="B666" s="365"/>
      <c r="C666" s="370"/>
      <c r="D666" s="374"/>
      <c r="H666" s="296">
        <v>7</v>
      </c>
      <c r="I666" s="252">
        <f t="shared" si="90"/>
        <v>3024.92</v>
      </c>
      <c r="J666" s="296">
        <f t="shared" si="91"/>
        <v>8.89</v>
      </c>
      <c r="K666" s="274">
        <f t="shared" si="92"/>
        <v>3033.81</v>
      </c>
      <c r="R666" s="358"/>
      <c r="W666" s="253"/>
      <c r="AA666" s="356"/>
    </row>
    <row r="667" spans="1:32" ht="18.75" customHeight="1">
      <c r="A667" s="363"/>
      <c r="B667" s="365"/>
      <c r="C667" s="370"/>
      <c r="D667" s="374"/>
      <c r="H667" s="296">
        <v>8</v>
      </c>
      <c r="I667" s="252">
        <f t="shared" si="90"/>
        <v>3033.81</v>
      </c>
      <c r="J667" s="296">
        <f t="shared" si="91"/>
        <v>8.89</v>
      </c>
      <c r="K667" s="274">
        <f t="shared" si="92"/>
        <v>3042.7</v>
      </c>
      <c r="R667" s="358"/>
      <c r="W667" s="253"/>
      <c r="AA667" s="356"/>
    </row>
    <row r="668" spans="1:32" ht="18.75" customHeight="1">
      <c r="A668" s="363"/>
      <c r="B668" s="365"/>
      <c r="C668" s="370"/>
      <c r="D668" s="374"/>
      <c r="H668" s="296">
        <v>9</v>
      </c>
      <c r="I668" s="252">
        <f t="shared" si="90"/>
        <v>3042.7</v>
      </c>
      <c r="J668" s="296">
        <f t="shared" si="91"/>
        <v>8.89</v>
      </c>
      <c r="K668" s="274">
        <f t="shared" si="92"/>
        <v>3051.59</v>
      </c>
      <c r="R668" s="358"/>
      <c r="W668" s="253"/>
      <c r="AA668" s="356"/>
    </row>
    <row r="669" spans="1:32" ht="18.75" customHeight="1">
      <c r="A669" s="363"/>
      <c r="B669" s="365"/>
      <c r="C669" s="370"/>
      <c r="D669" s="374"/>
      <c r="H669" s="296">
        <v>10</v>
      </c>
      <c r="I669" s="252">
        <f t="shared" si="90"/>
        <v>3051.59</v>
      </c>
      <c r="J669" s="296">
        <f t="shared" si="91"/>
        <v>8.89</v>
      </c>
      <c r="K669" s="274">
        <f t="shared" si="92"/>
        <v>3060.48</v>
      </c>
      <c r="R669" s="358"/>
      <c r="W669" s="253"/>
      <c r="AA669" s="356"/>
    </row>
    <row r="670" spans="1:32" ht="18.75" customHeight="1">
      <c r="A670" s="363"/>
      <c r="B670" s="365"/>
      <c r="C670" s="370"/>
      <c r="D670" s="374"/>
      <c r="H670" s="296">
        <v>11</v>
      </c>
      <c r="I670" s="252">
        <f t="shared" si="90"/>
        <v>3060.48</v>
      </c>
      <c r="J670" s="296">
        <f t="shared" si="91"/>
        <v>8.89</v>
      </c>
      <c r="K670" s="274">
        <f t="shared" si="92"/>
        <v>3069.37</v>
      </c>
      <c r="R670" s="358"/>
      <c r="W670" s="253"/>
      <c r="AA670" s="356"/>
    </row>
    <row r="671" spans="1:32" ht="18.75" customHeight="1">
      <c r="A671" s="363"/>
      <c r="B671" s="365"/>
      <c r="C671" s="370"/>
      <c r="D671" s="374"/>
      <c r="H671" s="296"/>
      <c r="K671" s="274"/>
      <c r="R671" s="358"/>
      <c r="W671" s="253"/>
      <c r="AA671" s="356"/>
    </row>
    <row r="672" spans="1:32" ht="18.75" customHeight="1">
      <c r="A672" s="363">
        <f>(A663+1)</f>
        <v>470</v>
      </c>
      <c r="B672" s="365" t="s">
        <v>174</v>
      </c>
      <c r="C672" s="426">
        <v>12.65</v>
      </c>
      <c r="D672" s="427">
        <v>12.85</v>
      </c>
      <c r="E672" s="252">
        <v>3.7</v>
      </c>
      <c r="F672" s="253" t="s">
        <v>1329</v>
      </c>
      <c r="H672" s="296" t="s">
        <v>756</v>
      </c>
      <c r="O672" s="296" t="s">
        <v>1743</v>
      </c>
      <c r="R672" s="252">
        <f>SUM(R652:R662)</f>
        <v>22599.14</v>
      </c>
      <c r="W672" s="253"/>
      <c r="AA672" s="356"/>
    </row>
    <row r="673" spans="1:33" ht="18.75" customHeight="1">
      <c r="A673" s="363">
        <f t="shared" si="85"/>
        <v>471</v>
      </c>
      <c r="B673" s="365" t="s">
        <v>175</v>
      </c>
      <c r="C673" s="314">
        <v>4</v>
      </c>
      <c r="D673" s="365" t="s">
        <v>446</v>
      </c>
      <c r="H673" s="296" t="s">
        <v>1404</v>
      </c>
      <c r="R673" s="358" t="s">
        <v>1579</v>
      </c>
      <c r="W673" s="253"/>
      <c r="AE673" s="370" t="str">
        <f t="shared" ref="AE673:AE680" si="93">AG673</f>
        <v>|</v>
      </c>
      <c r="AG673" s="296" t="s">
        <v>2249</v>
      </c>
    </row>
    <row r="674" spans="1:33" ht="18.75" customHeight="1">
      <c r="A674" s="363">
        <f t="shared" si="85"/>
        <v>472</v>
      </c>
      <c r="B674" s="365" t="s">
        <v>415</v>
      </c>
      <c r="C674" s="314">
        <v>5</v>
      </c>
      <c r="D674" s="365" t="s">
        <v>446</v>
      </c>
      <c r="H674" s="296" t="s">
        <v>331</v>
      </c>
      <c r="O674" s="296" t="s">
        <v>1432</v>
      </c>
      <c r="T674" s="274">
        <v>4.2</v>
      </c>
      <c r="U674" s="274" t="s">
        <v>3977</v>
      </c>
      <c r="W674" s="253"/>
      <c r="AE674" s="370" t="str">
        <f t="shared" si="93"/>
        <v>|</v>
      </c>
      <c r="AG674" s="296" t="s">
        <v>2249</v>
      </c>
    </row>
    <row r="675" spans="1:33" ht="18.75" customHeight="1">
      <c r="A675" s="363">
        <f t="shared" si="85"/>
        <v>473</v>
      </c>
      <c r="B675" s="365" t="s">
        <v>1591</v>
      </c>
      <c r="C675" s="314">
        <v>96</v>
      </c>
      <c r="D675" s="365" t="s">
        <v>865</v>
      </c>
      <c r="H675" s="296" t="s">
        <v>1496</v>
      </c>
      <c r="N675" s="296" t="s">
        <v>2241</v>
      </c>
      <c r="O675" s="296" t="s">
        <v>1593</v>
      </c>
      <c r="S675" s="356">
        <v>5</v>
      </c>
      <c r="T675" s="252" t="s">
        <v>1336</v>
      </c>
      <c r="U675" s="252" t="s">
        <v>5675</v>
      </c>
      <c r="V675" s="252">
        <f>V705</f>
        <v>1997.1</v>
      </c>
      <c r="W675" s="253"/>
      <c r="X675" s="252">
        <f>V675*S675</f>
        <v>9985.5</v>
      </c>
      <c r="AE675" s="370" t="str">
        <f t="shared" si="93"/>
        <v>|</v>
      </c>
      <c r="AG675" s="296" t="s">
        <v>2249</v>
      </c>
    </row>
    <row r="676" spans="1:33" ht="18.75" customHeight="1">
      <c r="A676" s="363">
        <f t="shared" si="85"/>
        <v>474</v>
      </c>
      <c r="B676" s="365" t="s">
        <v>1594</v>
      </c>
      <c r="C676" s="314">
        <v>75</v>
      </c>
      <c r="D676" s="365" t="s">
        <v>865</v>
      </c>
      <c r="H676" s="296" t="s">
        <v>170</v>
      </c>
      <c r="O676" s="296" t="s">
        <v>1595</v>
      </c>
      <c r="S676" s="356">
        <v>3.3</v>
      </c>
      <c r="T676" s="252" t="s">
        <v>1336</v>
      </c>
      <c r="U676" s="252" t="s">
        <v>5676</v>
      </c>
      <c r="V676" s="252">
        <f t="shared" ref="V676:V685" si="94">V706</f>
        <v>1707.1</v>
      </c>
      <c r="W676" s="253"/>
      <c r="X676" s="252">
        <f t="shared" ref="X676:X682" si="95">V676*S676</f>
        <v>5633.43</v>
      </c>
      <c r="AE676" s="370" t="str">
        <f t="shared" si="93"/>
        <v>|</v>
      </c>
      <c r="AG676" s="296" t="s">
        <v>2249</v>
      </c>
    </row>
    <row r="677" spans="1:33" ht="18.75" customHeight="1">
      <c r="A677" s="363">
        <f t="shared" si="85"/>
        <v>475</v>
      </c>
      <c r="B677" s="365" t="s">
        <v>1596</v>
      </c>
      <c r="C677" s="428">
        <v>26.6</v>
      </c>
      <c r="D677" s="428">
        <v>40.9</v>
      </c>
      <c r="E677" s="252">
        <v>3</v>
      </c>
      <c r="H677" s="296" t="s">
        <v>172</v>
      </c>
      <c r="O677" s="358" t="s">
        <v>1579</v>
      </c>
      <c r="S677" s="356">
        <v>4.79</v>
      </c>
      <c r="T677" s="252" t="s">
        <v>1336</v>
      </c>
      <c r="U677" s="252" t="s">
        <v>5677</v>
      </c>
      <c r="V677" s="252">
        <f t="shared" si="94"/>
        <v>1846.1</v>
      </c>
      <c r="W677" s="253"/>
      <c r="X677" s="252">
        <f t="shared" si="95"/>
        <v>8842.82</v>
      </c>
      <c r="AE677" s="370" t="str">
        <f t="shared" si="93"/>
        <v>|</v>
      </c>
      <c r="AG677" s="296" t="s">
        <v>2249</v>
      </c>
    </row>
    <row r="678" spans="1:33" ht="18.75" customHeight="1">
      <c r="A678" s="363">
        <f t="shared" si="85"/>
        <v>476</v>
      </c>
      <c r="B678" s="365" t="s">
        <v>1573</v>
      </c>
      <c r="C678" s="314">
        <v>80</v>
      </c>
      <c r="D678" s="365" t="s">
        <v>865</v>
      </c>
      <c r="H678" s="296" t="s">
        <v>173</v>
      </c>
      <c r="M678" s="252">
        <v>1</v>
      </c>
      <c r="N678" s="296" t="s">
        <v>865</v>
      </c>
      <c r="O678" s="296" t="s">
        <v>1575</v>
      </c>
      <c r="P678" s="252">
        <f>(C383)</f>
        <v>14.91</v>
      </c>
      <c r="Q678" s="296" t="s">
        <v>865</v>
      </c>
      <c r="R678" s="252">
        <f>(M678*P678)</f>
        <v>14.91</v>
      </c>
      <c r="S678" s="356">
        <v>4</v>
      </c>
      <c r="T678" s="252" t="s">
        <v>525</v>
      </c>
      <c r="U678" s="252" t="s">
        <v>387</v>
      </c>
      <c r="V678" s="252">
        <f t="shared" si="94"/>
        <v>6040</v>
      </c>
      <c r="W678" s="253"/>
      <c r="X678" s="252">
        <f t="shared" si="95"/>
        <v>24160</v>
      </c>
      <c r="AE678" s="370" t="str">
        <f t="shared" si="93"/>
        <v>|</v>
      </c>
      <c r="AG678" s="296" t="s">
        <v>2249</v>
      </c>
    </row>
    <row r="679" spans="1:33" ht="18.75" customHeight="1">
      <c r="A679" s="363">
        <f t="shared" si="85"/>
        <v>477</v>
      </c>
      <c r="B679" s="365" t="s">
        <v>135</v>
      </c>
      <c r="C679" s="314">
        <v>64</v>
      </c>
      <c r="D679" s="365" t="s">
        <v>865</v>
      </c>
      <c r="H679" s="358" t="s">
        <v>1579</v>
      </c>
      <c r="I679" s="358" t="s">
        <v>1579</v>
      </c>
      <c r="N679" s="296" t="s">
        <v>446</v>
      </c>
      <c r="O679" s="296" t="s">
        <v>136</v>
      </c>
      <c r="Q679" s="296" t="s">
        <v>446</v>
      </c>
      <c r="R679" s="252">
        <v>2.09</v>
      </c>
      <c r="S679" s="356">
        <v>40</v>
      </c>
      <c r="T679" s="252" t="s">
        <v>1637</v>
      </c>
      <c r="U679" s="252" t="s">
        <v>3994</v>
      </c>
      <c r="V679" s="252">
        <f>V648</f>
        <v>43.2</v>
      </c>
      <c r="W679" s="253"/>
      <c r="X679" s="252">
        <f t="shared" si="95"/>
        <v>1728</v>
      </c>
      <c r="AE679" s="370" t="str">
        <f t="shared" si="93"/>
        <v>|</v>
      </c>
      <c r="AG679" s="296" t="s">
        <v>2249</v>
      </c>
    </row>
    <row r="680" spans="1:33" ht="18.75" customHeight="1">
      <c r="A680" s="363">
        <f t="shared" si="85"/>
        <v>478</v>
      </c>
      <c r="B680" s="365" t="s">
        <v>137</v>
      </c>
      <c r="C680" s="314">
        <v>40.5</v>
      </c>
      <c r="D680" s="365" t="s">
        <v>865</v>
      </c>
      <c r="F680" s="252">
        <v>1</v>
      </c>
      <c r="G680" s="252" t="s">
        <v>606</v>
      </c>
      <c r="H680" s="296" t="s">
        <v>176</v>
      </c>
      <c r="I680" s="252">
        <f>D76</f>
        <v>290</v>
      </c>
      <c r="J680" s="296" t="s">
        <v>606</v>
      </c>
      <c r="K680" s="252">
        <f>(F680*I680)</f>
        <v>290</v>
      </c>
      <c r="O680" s="296" t="s">
        <v>138</v>
      </c>
      <c r="R680" s="296" t="s">
        <v>971</v>
      </c>
      <c r="S680" s="356">
        <v>3.5</v>
      </c>
      <c r="T680" s="252" t="s">
        <v>1427</v>
      </c>
      <c r="U680" s="252" t="s">
        <v>462</v>
      </c>
      <c r="V680" s="252">
        <f t="shared" si="94"/>
        <v>932</v>
      </c>
      <c r="W680" s="253"/>
      <c r="X680" s="252">
        <f>V680*S680</f>
        <v>3262</v>
      </c>
      <c r="AE680" s="370" t="str">
        <f t="shared" si="93"/>
        <v>|</v>
      </c>
      <c r="AG680" s="296" t="s">
        <v>2249</v>
      </c>
    </row>
    <row r="681" spans="1:33" ht="18.75" customHeight="1">
      <c r="A681" s="363">
        <f t="shared" si="85"/>
        <v>479</v>
      </c>
      <c r="B681" s="365" t="s">
        <v>1454</v>
      </c>
      <c r="C681" s="314">
        <v>92</v>
      </c>
      <c r="D681" s="365" t="s">
        <v>865</v>
      </c>
      <c r="F681" s="252">
        <v>1</v>
      </c>
      <c r="G681" s="252" t="s">
        <v>606</v>
      </c>
      <c r="H681" s="296" t="s">
        <v>1431</v>
      </c>
      <c r="I681" s="252">
        <f>C75</f>
        <v>175</v>
      </c>
      <c r="J681" s="296" t="s">
        <v>606</v>
      </c>
      <c r="K681" s="252">
        <f>(F681*I681)</f>
        <v>175</v>
      </c>
      <c r="R681" s="358" t="s">
        <v>1579</v>
      </c>
      <c r="S681" s="356">
        <v>21.2</v>
      </c>
      <c r="T681" s="252" t="s">
        <v>1427</v>
      </c>
      <c r="U681" s="252" t="s">
        <v>3453</v>
      </c>
      <c r="V681" s="252">
        <f t="shared" si="94"/>
        <v>651</v>
      </c>
      <c r="W681" s="253"/>
      <c r="X681" s="252">
        <f t="shared" si="95"/>
        <v>13801.2</v>
      </c>
      <c r="AE681" s="370">
        <f>32.32*100</f>
        <v>3232</v>
      </c>
      <c r="AG681" s="296" t="s">
        <v>2249</v>
      </c>
    </row>
    <row r="682" spans="1:33" ht="18.75" customHeight="1">
      <c r="A682" s="363">
        <f t="shared" si="85"/>
        <v>480</v>
      </c>
      <c r="B682" s="365" t="s">
        <v>1557</v>
      </c>
      <c r="C682" s="314">
        <v>60</v>
      </c>
      <c r="D682" s="365" t="s">
        <v>865</v>
      </c>
      <c r="F682" s="252">
        <v>1</v>
      </c>
      <c r="G682" s="252" t="s">
        <v>446</v>
      </c>
      <c r="H682" s="296" t="s">
        <v>1592</v>
      </c>
      <c r="I682" s="399">
        <v>15</v>
      </c>
      <c r="J682" s="296" t="s">
        <v>446</v>
      </c>
      <c r="K682" s="252">
        <f>(F682*I682)</f>
        <v>15</v>
      </c>
      <c r="O682" s="296" t="s">
        <v>1558</v>
      </c>
      <c r="R682" s="252">
        <f>SUM(R678:R680)</f>
        <v>17</v>
      </c>
      <c r="S682" s="356">
        <v>35.299999999999997</v>
      </c>
      <c r="T682" s="252" t="s">
        <v>1427</v>
      </c>
      <c r="U682" s="252" t="s">
        <v>3454</v>
      </c>
      <c r="V682" s="252">
        <f>V712</f>
        <v>534</v>
      </c>
      <c r="W682" s="253"/>
      <c r="X682" s="252">
        <f t="shared" si="95"/>
        <v>18850.2</v>
      </c>
      <c r="AE682" s="370">
        <f>48.824*100</f>
        <v>4882.3999999999996</v>
      </c>
      <c r="AG682" s="296" t="s">
        <v>2249</v>
      </c>
    </row>
    <row r="683" spans="1:33" ht="18.75" customHeight="1">
      <c r="A683" s="363">
        <f t="shared" si="85"/>
        <v>481</v>
      </c>
      <c r="B683" s="365" t="s">
        <v>1358</v>
      </c>
      <c r="C683" s="314">
        <v>49.87</v>
      </c>
      <c r="D683" s="365" t="s">
        <v>865</v>
      </c>
      <c r="K683" s="358" t="s">
        <v>1579</v>
      </c>
      <c r="R683" s="358" t="s">
        <v>1579</v>
      </c>
      <c r="U683" s="274" t="s">
        <v>3989</v>
      </c>
      <c r="W683" s="253"/>
      <c r="X683" s="274">
        <f>SUM(X675:X682)</f>
        <v>86263.15</v>
      </c>
      <c r="AA683" s="356">
        <f>22.77+26.054</f>
        <v>48.823999999999998</v>
      </c>
      <c r="AE683" s="370">
        <f>0.52*100</f>
        <v>52</v>
      </c>
      <c r="AG683" s="296" t="s">
        <v>2249</v>
      </c>
    </row>
    <row r="684" spans="1:33" ht="18.75" customHeight="1">
      <c r="A684" s="363">
        <f t="shared" si="85"/>
        <v>482</v>
      </c>
      <c r="B684" s="365" t="s">
        <v>1807</v>
      </c>
      <c r="C684" s="314">
        <v>80</v>
      </c>
      <c r="D684" s="365" t="s">
        <v>865</v>
      </c>
      <c r="H684" s="296" t="s">
        <v>549</v>
      </c>
      <c r="K684" s="252">
        <f>SUM(K678:K682)</f>
        <v>480</v>
      </c>
      <c r="U684" s="274" t="s">
        <v>3990</v>
      </c>
      <c r="W684" s="253"/>
      <c r="X684" s="274">
        <f>X683/10</f>
        <v>8626.32</v>
      </c>
      <c r="Y684" s="252">
        <f>X684</f>
        <v>8626.32</v>
      </c>
      <c r="AC684" s="252">
        <f>26.19*0.02</f>
        <v>0.52</v>
      </c>
      <c r="AE684" s="370">
        <f>0.397*100</f>
        <v>39.700000000000003</v>
      </c>
      <c r="AF684" s="252">
        <f>AE681+AE682+AE683+AE684</f>
        <v>8206.1</v>
      </c>
      <c r="AG684" s="296" t="s">
        <v>2249</v>
      </c>
    </row>
    <row r="685" spans="1:33" ht="18.75" customHeight="1">
      <c r="A685" s="363">
        <f t="shared" si="85"/>
        <v>483</v>
      </c>
      <c r="B685" s="365" t="s">
        <v>1809</v>
      </c>
      <c r="C685" s="314">
        <v>52</v>
      </c>
      <c r="D685" s="365" t="s">
        <v>865</v>
      </c>
      <c r="H685" s="296" t="s">
        <v>1574</v>
      </c>
      <c r="K685" s="358" t="s">
        <v>2046</v>
      </c>
      <c r="N685" s="296" t="s">
        <v>2241</v>
      </c>
      <c r="O685" s="296" t="s">
        <v>891</v>
      </c>
      <c r="S685" s="356">
        <v>1</v>
      </c>
      <c r="T685" s="252" t="s">
        <v>1336</v>
      </c>
      <c r="U685" s="252" t="s">
        <v>4016</v>
      </c>
      <c r="V685" s="252">
        <f t="shared" si="94"/>
        <v>94.2</v>
      </c>
      <c r="W685" s="253"/>
      <c r="X685" s="252">
        <f>V685</f>
        <v>94.2</v>
      </c>
      <c r="AC685" s="356">
        <f>9.92*0.04</f>
        <v>0.39700000000000002</v>
      </c>
      <c r="AE685" s="370" t="str">
        <f t="shared" ref="AE685:AE748" si="96">AG685</f>
        <v>|</v>
      </c>
      <c r="AG685" s="296" t="s">
        <v>2249</v>
      </c>
    </row>
    <row r="686" spans="1:33" ht="18.75" customHeight="1">
      <c r="A686" s="363">
        <f t="shared" si="85"/>
        <v>484</v>
      </c>
      <c r="B686" s="365" t="s">
        <v>1178</v>
      </c>
      <c r="C686" s="314">
        <v>39</v>
      </c>
      <c r="D686" s="365" t="s">
        <v>865</v>
      </c>
      <c r="H686" s="296" t="s">
        <v>383</v>
      </c>
      <c r="I686" s="252">
        <f>K684</f>
        <v>480</v>
      </c>
      <c r="J686" s="296">
        <f>C19*0.05</f>
        <v>3.95</v>
      </c>
      <c r="K686" s="274">
        <f>I686+J686</f>
        <v>483.95</v>
      </c>
      <c r="O686" s="296" t="s">
        <v>1595</v>
      </c>
      <c r="U686" s="252" t="s">
        <v>3991</v>
      </c>
      <c r="W686" s="253"/>
      <c r="X686" s="274">
        <f>SUM(X684:X685)</f>
        <v>8720.52</v>
      </c>
      <c r="Y686" s="252">
        <f>SUM(Y684:Y685)</f>
        <v>8626.32</v>
      </c>
      <c r="AE686" s="370" t="str">
        <f t="shared" si="96"/>
        <v>|</v>
      </c>
      <c r="AF686" s="252">
        <f>SUM(AF684:AF685)</f>
        <v>8206.1</v>
      </c>
      <c r="AG686" s="296" t="s">
        <v>2249</v>
      </c>
    </row>
    <row r="687" spans="1:33" ht="18.75" customHeight="1">
      <c r="A687" s="363">
        <f t="shared" si="85"/>
        <v>485</v>
      </c>
      <c r="B687" s="365" t="s">
        <v>1248</v>
      </c>
      <c r="C687" s="314">
        <v>90</v>
      </c>
      <c r="D687" s="365" t="s">
        <v>865</v>
      </c>
      <c r="H687" s="296" t="s">
        <v>385</v>
      </c>
      <c r="I687" s="252">
        <f>K686</f>
        <v>483.95</v>
      </c>
      <c r="J687" s="296">
        <f>C20*0.05</f>
        <v>7.96</v>
      </c>
      <c r="K687" s="274">
        <f>I687+J687</f>
        <v>491.91</v>
      </c>
      <c r="O687" s="358" t="s">
        <v>1579</v>
      </c>
      <c r="S687" s="429" t="s">
        <v>654</v>
      </c>
      <c r="U687" s="252" t="s">
        <v>3992</v>
      </c>
      <c r="V687" s="429" t="s">
        <v>654</v>
      </c>
      <c r="W687" s="253"/>
      <c r="X687" s="252">
        <f>X686*0.5%</f>
        <v>43.6</v>
      </c>
      <c r="Y687" s="252">
        <f>Y686*0.5/100</f>
        <v>43.13</v>
      </c>
      <c r="AE687" s="370" t="str">
        <f t="shared" si="96"/>
        <v>|</v>
      </c>
      <c r="AF687" s="252">
        <f>AF686/185.82</f>
        <v>44.16</v>
      </c>
      <c r="AG687" s="296" t="s">
        <v>2249</v>
      </c>
    </row>
    <row r="688" spans="1:33" ht="18.75" customHeight="1">
      <c r="A688" s="363">
        <f t="shared" si="85"/>
        <v>486</v>
      </c>
      <c r="B688" s="365" t="s">
        <v>1249</v>
      </c>
      <c r="C688" s="314">
        <v>60</v>
      </c>
      <c r="D688" s="365" t="s">
        <v>865</v>
      </c>
      <c r="H688" s="296" t="s">
        <v>2222</v>
      </c>
      <c r="I688" s="252">
        <f>K687</f>
        <v>491.91</v>
      </c>
      <c r="J688" s="296">
        <f>J687</f>
        <v>7.96</v>
      </c>
      <c r="K688" s="274">
        <f>I688+J688</f>
        <v>499.87</v>
      </c>
      <c r="M688" s="252">
        <v>1</v>
      </c>
      <c r="N688" s="296" t="s">
        <v>865</v>
      </c>
      <c r="O688" s="296" t="s">
        <v>1080</v>
      </c>
      <c r="P688" s="252">
        <f>(C384)</f>
        <v>17.579999999999998</v>
      </c>
      <c r="Q688" s="296" t="s">
        <v>865</v>
      </c>
      <c r="R688" s="252">
        <f>(M688*P688)</f>
        <v>17.579999999999998</v>
      </c>
      <c r="U688" s="274" t="s">
        <v>3578</v>
      </c>
      <c r="W688" s="253"/>
      <c r="X688" s="274">
        <f>SUM(X686:X687)</f>
        <v>8764.1200000000008</v>
      </c>
      <c r="Y688" s="274">
        <f>SUM(Y686:Y687)</f>
        <v>8669.4500000000007</v>
      </c>
      <c r="Z688" s="430" t="s">
        <v>4002</v>
      </c>
      <c r="AE688" s="370" t="str">
        <f t="shared" si="96"/>
        <v>|</v>
      </c>
      <c r="AF688" s="252">
        <f>AF686/1000</f>
        <v>8.2100000000000009</v>
      </c>
      <c r="AG688" s="296" t="s">
        <v>2249</v>
      </c>
    </row>
    <row r="689" spans="1:33" ht="18.75" customHeight="1">
      <c r="A689" s="363">
        <f t="shared" si="85"/>
        <v>487</v>
      </c>
      <c r="B689" s="365" t="s">
        <v>1081</v>
      </c>
      <c r="C689" s="314">
        <v>43.5</v>
      </c>
      <c r="D689" s="365" t="s">
        <v>865</v>
      </c>
      <c r="H689" s="296" t="s">
        <v>377</v>
      </c>
      <c r="I689" s="252">
        <f>K688</f>
        <v>499.87</v>
      </c>
      <c r="J689" s="296">
        <f>J688</f>
        <v>7.96</v>
      </c>
      <c r="K689" s="274">
        <f>I689+J689</f>
        <v>507.83</v>
      </c>
      <c r="N689" s="296" t="s">
        <v>446</v>
      </c>
      <c r="O689" s="296" t="s">
        <v>136</v>
      </c>
      <c r="Q689" s="296" t="s">
        <v>446</v>
      </c>
      <c r="R689" s="252">
        <v>2.09</v>
      </c>
      <c r="W689" s="253"/>
      <c r="X689" s="358" t="s">
        <v>1579</v>
      </c>
      <c r="AE689" s="370" t="str">
        <f t="shared" si="96"/>
        <v>|</v>
      </c>
      <c r="AF689" s="252">
        <f>185.82*10.764</f>
        <v>2000.17</v>
      </c>
      <c r="AG689" s="296" t="s">
        <v>2249</v>
      </c>
    </row>
    <row r="690" spans="1:33" ht="18.75" customHeight="1">
      <c r="A690" s="363">
        <f t="shared" si="85"/>
        <v>488</v>
      </c>
      <c r="B690" s="365" t="s">
        <v>244</v>
      </c>
      <c r="C690" s="314">
        <v>75</v>
      </c>
      <c r="D690" s="365" t="s">
        <v>865</v>
      </c>
      <c r="H690" s="296" t="s">
        <v>1359</v>
      </c>
      <c r="I690" s="252">
        <f>K689</f>
        <v>507.83</v>
      </c>
      <c r="J690" s="296">
        <f>J689</f>
        <v>7.96</v>
      </c>
      <c r="K690" s="274">
        <f>I690+J690</f>
        <v>515.79</v>
      </c>
      <c r="O690" s="296" t="s">
        <v>138</v>
      </c>
      <c r="R690" s="296" t="s">
        <v>971</v>
      </c>
      <c r="U690" s="296" t="s">
        <v>383</v>
      </c>
      <c r="W690" s="253"/>
      <c r="X690" s="274">
        <f>(X688+C22)</f>
        <v>8883.9699999999993</v>
      </c>
      <c r="AE690" s="370" t="str">
        <f t="shared" si="96"/>
        <v>|</v>
      </c>
      <c r="AF690" s="252">
        <f>AF686/AF689</f>
        <v>4.0999999999999996</v>
      </c>
      <c r="AG690" s="296" t="s">
        <v>2249</v>
      </c>
    </row>
    <row r="691" spans="1:33" ht="18.75" customHeight="1">
      <c r="A691" s="363">
        <f t="shared" si="85"/>
        <v>489</v>
      </c>
      <c r="B691" s="365" t="s">
        <v>2016</v>
      </c>
      <c r="C691" s="314">
        <v>52</v>
      </c>
      <c r="D691" s="365" t="s">
        <v>865</v>
      </c>
      <c r="F691" s="253" t="s">
        <v>1808</v>
      </c>
      <c r="H691" s="296" t="s">
        <v>756</v>
      </c>
      <c r="R691" s="358" t="s">
        <v>1579</v>
      </c>
      <c r="U691" s="296" t="s">
        <v>385</v>
      </c>
      <c r="W691" s="253"/>
      <c r="X691" s="274">
        <f>(X690+C24)</f>
        <v>9120.07</v>
      </c>
      <c r="AE691" s="370" t="str">
        <f t="shared" si="96"/>
        <v>|</v>
      </c>
      <c r="AF691" s="252">
        <f>924.2/8.21</f>
        <v>112.57</v>
      </c>
      <c r="AG691" s="296" t="s">
        <v>2249</v>
      </c>
    </row>
    <row r="692" spans="1:33" ht="18.75" customHeight="1">
      <c r="A692" s="363">
        <f t="shared" si="85"/>
        <v>490</v>
      </c>
      <c r="B692" s="365" t="s">
        <v>1178</v>
      </c>
      <c r="C692" s="314">
        <v>35.25</v>
      </c>
      <c r="D692" s="365" t="s">
        <v>865</v>
      </c>
      <c r="H692" s="296" t="s">
        <v>1810</v>
      </c>
      <c r="O692" s="296" t="s">
        <v>1558</v>
      </c>
      <c r="R692" s="252">
        <f>SUM(R688:R690)</f>
        <v>19.670000000000002</v>
      </c>
      <c r="U692" s="296" t="s">
        <v>2222</v>
      </c>
      <c r="W692" s="253"/>
      <c r="X692" s="274">
        <f>(X691+C24)</f>
        <v>9356.17</v>
      </c>
      <c r="AE692" s="370" t="str">
        <f t="shared" si="96"/>
        <v>|</v>
      </c>
      <c r="AG692" s="296" t="s">
        <v>2249</v>
      </c>
    </row>
    <row r="693" spans="1:33" ht="18.75" customHeight="1">
      <c r="A693" s="363">
        <f t="shared" si="85"/>
        <v>491</v>
      </c>
      <c r="B693" s="365" t="s">
        <v>923</v>
      </c>
      <c r="C693" s="314">
        <v>37.5</v>
      </c>
      <c r="D693" s="365" t="s">
        <v>865</v>
      </c>
      <c r="H693" s="296" t="s">
        <v>331</v>
      </c>
      <c r="R693" s="358" t="s">
        <v>1579</v>
      </c>
      <c r="U693" s="296" t="s">
        <v>377</v>
      </c>
      <c r="W693" s="253"/>
      <c r="X693" s="274">
        <f>(X692+C24)</f>
        <v>9592.27</v>
      </c>
      <c r="AE693" s="370" t="str">
        <f t="shared" si="96"/>
        <v>|</v>
      </c>
      <c r="AG693" s="296" t="s">
        <v>2249</v>
      </c>
    </row>
    <row r="694" spans="1:33" ht="18.75" customHeight="1">
      <c r="A694" s="363">
        <f t="shared" si="85"/>
        <v>492</v>
      </c>
      <c r="B694" s="365" t="s">
        <v>924</v>
      </c>
      <c r="C694" s="314">
        <v>24</v>
      </c>
      <c r="D694" s="365" t="s">
        <v>865</v>
      </c>
      <c r="H694" s="296" t="s">
        <v>1496</v>
      </c>
      <c r="O694" s="252" t="s">
        <v>246</v>
      </c>
      <c r="U694" s="296" t="s">
        <v>1525</v>
      </c>
      <c r="W694" s="253"/>
      <c r="X694" s="274">
        <f>(X693+C24)</f>
        <v>9828.3700000000008</v>
      </c>
      <c r="AE694" s="370" t="str">
        <f t="shared" si="96"/>
        <v>|</v>
      </c>
      <c r="AG694" s="296" t="s">
        <v>2249</v>
      </c>
    </row>
    <row r="695" spans="1:33" ht="18.75" customHeight="1">
      <c r="A695" s="363">
        <f t="shared" si="85"/>
        <v>493</v>
      </c>
      <c r="B695" s="365" t="s">
        <v>925</v>
      </c>
      <c r="C695" s="314">
        <v>16</v>
      </c>
      <c r="D695" s="365" t="s">
        <v>865</v>
      </c>
      <c r="H695" s="296" t="s">
        <v>170</v>
      </c>
      <c r="N695" s="296" t="s">
        <v>2241</v>
      </c>
      <c r="O695" s="296" t="s">
        <v>478</v>
      </c>
      <c r="W695" s="253"/>
      <c r="X695" s="252">
        <f>X694+C24</f>
        <v>10064.469999999999</v>
      </c>
      <c r="AE695" s="370" t="str">
        <f t="shared" si="96"/>
        <v>|</v>
      </c>
      <c r="AG695" s="296" t="s">
        <v>2249</v>
      </c>
    </row>
    <row r="696" spans="1:33" ht="18.75" customHeight="1">
      <c r="A696" s="363">
        <f t="shared" si="85"/>
        <v>494</v>
      </c>
      <c r="B696" s="296" t="s">
        <v>4878</v>
      </c>
      <c r="C696" s="370">
        <v>32.1</v>
      </c>
      <c r="D696" s="365" t="s">
        <v>865</v>
      </c>
      <c r="H696" s="296" t="s">
        <v>172</v>
      </c>
      <c r="O696" s="296" t="s">
        <v>1595</v>
      </c>
      <c r="W696" s="253"/>
      <c r="X696" s="252">
        <f>X695+C24</f>
        <v>10300.57</v>
      </c>
      <c r="AE696" s="370" t="str">
        <f t="shared" si="96"/>
        <v>|</v>
      </c>
      <c r="AG696" s="296" t="s">
        <v>2249</v>
      </c>
    </row>
    <row r="697" spans="1:33" ht="18.75" customHeight="1">
      <c r="A697" s="363">
        <f t="shared" si="85"/>
        <v>495</v>
      </c>
      <c r="B697" s="365" t="s">
        <v>3864</v>
      </c>
      <c r="C697" s="314">
        <v>6</v>
      </c>
      <c r="D697" s="365" t="s">
        <v>865</v>
      </c>
      <c r="H697" s="296" t="s">
        <v>2061</v>
      </c>
      <c r="O697" s="358" t="s">
        <v>1579</v>
      </c>
      <c r="W697" s="253"/>
      <c r="X697" s="252">
        <f>X696+C24</f>
        <v>10536.67</v>
      </c>
      <c r="AE697" s="370" t="str">
        <f t="shared" si="96"/>
        <v>|</v>
      </c>
      <c r="AG697" s="296" t="s">
        <v>2249</v>
      </c>
    </row>
    <row r="698" spans="1:33" ht="18.75" customHeight="1">
      <c r="A698" s="363">
        <f t="shared" si="85"/>
        <v>496</v>
      </c>
      <c r="B698" s="365" t="s">
        <v>126</v>
      </c>
      <c r="C698" s="364">
        <v>152.5</v>
      </c>
      <c r="D698" s="365" t="s">
        <v>1763</v>
      </c>
      <c r="E698" s="362">
        <v>98.6</v>
      </c>
      <c r="F698" s="252" t="s">
        <v>4574</v>
      </c>
      <c r="H698" s="358" t="s">
        <v>1579</v>
      </c>
      <c r="I698" s="358" t="s">
        <v>1579</v>
      </c>
      <c r="M698" s="252">
        <v>1</v>
      </c>
      <c r="N698" s="296" t="s">
        <v>865</v>
      </c>
      <c r="O698" s="296" t="s">
        <v>482</v>
      </c>
      <c r="P698" s="252">
        <f>(C385)</f>
        <v>19.3</v>
      </c>
      <c r="Q698" s="296" t="s">
        <v>865</v>
      </c>
      <c r="R698" s="252">
        <f>(M698*P698)</f>
        <v>19.3</v>
      </c>
      <c r="W698" s="253"/>
      <c r="X698" s="252">
        <f>X697+C24</f>
        <v>10772.77</v>
      </c>
      <c r="AE698" s="370" t="str">
        <f t="shared" si="96"/>
        <v>|</v>
      </c>
      <c r="AG698" s="296" t="s">
        <v>2249</v>
      </c>
    </row>
    <row r="699" spans="1:33" ht="18.75" customHeight="1">
      <c r="A699" s="363">
        <f t="shared" si="85"/>
        <v>497</v>
      </c>
      <c r="B699" s="296" t="s">
        <v>4879</v>
      </c>
      <c r="C699" s="428">
        <v>366</v>
      </c>
      <c r="D699" s="365" t="s">
        <v>865</v>
      </c>
      <c r="F699" s="252">
        <v>1</v>
      </c>
      <c r="G699" s="252" t="s">
        <v>606</v>
      </c>
      <c r="H699" s="296" t="s">
        <v>922</v>
      </c>
      <c r="I699" s="252">
        <f>C76</f>
        <v>460</v>
      </c>
      <c r="J699" s="296" t="s">
        <v>606</v>
      </c>
      <c r="K699" s="252">
        <f>(F699*I699)</f>
        <v>460</v>
      </c>
      <c r="N699" s="296" t="s">
        <v>446</v>
      </c>
      <c r="O699" s="296" t="s">
        <v>136</v>
      </c>
      <c r="Q699" s="296" t="s">
        <v>446</v>
      </c>
      <c r="R699" s="252">
        <v>2.09</v>
      </c>
      <c r="W699" s="253"/>
      <c r="X699" s="252">
        <f>X698+C24</f>
        <v>11008.87</v>
      </c>
      <c r="AE699" s="370" t="str">
        <f t="shared" si="96"/>
        <v>|</v>
      </c>
      <c r="AG699" s="296" t="s">
        <v>2249</v>
      </c>
    </row>
    <row r="700" spans="1:33" ht="18.75" customHeight="1">
      <c r="A700" s="363">
        <f t="shared" si="85"/>
        <v>498</v>
      </c>
      <c r="B700" s="296" t="s">
        <v>545</v>
      </c>
      <c r="C700" s="428">
        <v>256</v>
      </c>
      <c r="D700" s="365" t="s">
        <v>865</v>
      </c>
      <c r="F700" s="252">
        <v>1</v>
      </c>
      <c r="G700" s="252" t="s">
        <v>606</v>
      </c>
      <c r="H700" s="296" t="s">
        <v>1431</v>
      </c>
      <c r="I700" s="252">
        <f>C75</f>
        <v>175</v>
      </c>
      <c r="J700" s="296" t="s">
        <v>606</v>
      </c>
      <c r="K700" s="252">
        <f>(F700*I700)</f>
        <v>175</v>
      </c>
      <c r="O700" s="296" t="s">
        <v>138</v>
      </c>
      <c r="R700" s="296" t="s">
        <v>971</v>
      </c>
      <c r="W700" s="253"/>
      <c r="X700" s="252">
        <f>X699+C24</f>
        <v>11244.97</v>
      </c>
      <c r="AE700" s="370" t="str">
        <f t="shared" si="96"/>
        <v>|</v>
      </c>
      <c r="AG700" s="296" t="s">
        <v>2249</v>
      </c>
    </row>
    <row r="701" spans="1:33" ht="18.75" customHeight="1">
      <c r="A701" s="363">
        <f t="shared" si="85"/>
        <v>499</v>
      </c>
      <c r="B701" s="296" t="s">
        <v>546</v>
      </c>
      <c r="C701" s="428">
        <v>768.6</v>
      </c>
      <c r="D701" s="365" t="s">
        <v>865</v>
      </c>
      <c r="F701" s="252">
        <v>1</v>
      </c>
      <c r="G701" s="252" t="s">
        <v>446</v>
      </c>
      <c r="H701" s="296" t="s">
        <v>1592</v>
      </c>
      <c r="I701" s="399">
        <v>15</v>
      </c>
      <c r="J701" s="296" t="s">
        <v>446</v>
      </c>
      <c r="K701" s="252">
        <f>(F701*I701)</f>
        <v>15</v>
      </c>
      <c r="R701" s="358" t="s">
        <v>1579</v>
      </c>
      <c r="W701" s="253"/>
      <c r="X701" s="252">
        <f>X700+C24</f>
        <v>11481.07</v>
      </c>
      <c r="AE701" s="370" t="str">
        <f t="shared" si="96"/>
        <v>|</v>
      </c>
      <c r="AG701" s="296" t="s">
        <v>2249</v>
      </c>
    </row>
    <row r="702" spans="1:33" ht="18.75" customHeight="1">
      <c r="A702" s="363">
        <f t="shared" si="85"/>
        <v>500</v>
      </c>
      <c r="B702" s="296" t="s">
        <v>547</v>
      </c>
      <c r="C702" s="428">
        <v>129</v>
      </c>
      <c r="D702" s="365" t="s">
        <v>865</v>
      </c>
      <c r="H702" s="296" t="s">
        <v>447</v>
      </c>
      <c r="J702" s="296" t="s">
        <v>446</v>
      </c>
      <c r="K702" s="252">
        <v>0</v>
      </c>
      <c r="O702" s="296" t="s">
        <v>1558</v>
      </c>
      <c r="R702" s="252">
        <f>SUM(R698:R700)</f>
        <v>21.39</v>
      </c>
      <c r="W702" s="253"/>
      <c r="X702" s="252">
        <f>X701+C24</f>
        <v>11717.17</v>
      </c>
      <c r="AE702" s="370" t="str">
        <f t="shared" si="96"/>
        <v>|</v>
      </c>
      <c r="AG702" s="296" t="s">
        <v>2249</v>
      </c>
    </row>
    <row r="703" spans="1:33" ht="18.75" customHeight="1">
      <c r="A703" s="363">
        <f>(A702+1)</f>
        <v>501</v>
      </c>
      <c r="B703" s="296" t="s">
        <v>186</v>
      </c>
      <c r="C703" s="428">
        <v>515.54999999999995</v>
      </c>
      <c r="D703" s="365" t="s">
        <v>865</v>
      </c>
      <c r="K703" s="358" t="s">
        <v>1579</v>
      </c>
      <c r="R703" s="358" t="s">
        <v>1579</v>
      </c>
      <c r="W703" s="253"/>
      <c r="AE703" s="370" t="str">
        <f t="shared" si="96"/>
        <v>|</v>
      </c>
      <c r="AG703" s="296" t="s">
        <v>2249</v>
      </c>
    </row>
    <row r="704" spans="1:33" ht="18.75" customHeight="1">
      <c r="A704" s="364"/>
      <c r="B704" s="252" t="s">
        <v>4880</v>
      </c>
      <c r="C704" s="362">
        <v>3325</v>
      </c>
      <c r="D704" s="364" t="s">
        <v>606</v>
      </c>
      <c r="H704" s="296" t="s">
        <v>549</v>
      </c>
      <c r="K704" s="252">
        <f>SUM(K699:K702)</f>
        <v>650</v>
      </c>
      <c r="U704" s="274" t="s">
        <v>3978</v>
      </c>
      <c r="W704" s="253"/>
      <c r="AE704" s="370" t="str">
        <f t="shared" si="96"/>
        <v>|</v>
      </c>
      <c r="AG704" s="296" t="s">
        <v>2249</v>
      </c>
    </row>
    <row r="705" spans="1:33" ht="18.75" customHeight="1">
      <c r="A705" s="363">
        <f>(A703+1)</f>
        <v>502</v>
      </c>
      <c r="B705" s="296" t="s">
        <v>187</v>
      </c>
      <c r="C705" s="428">
        <v>254</v>
      </c>
      <c r="D705" s="365" t="s">
        <v>865</v>
      </c>
      <c r="H705" s="296" t="s">
        <v>1574</v>
      </c>
      <c r="K705" s="358" t="s">
        <v>2046</v>
      </c>
      <c r="S705" s="356">
        <v>5</v>
      </c>
      <c r="T705" s="252" t="s">
        <v>1336</v>
      </c>
      <c r="U705" s="252" t="s">
        <v>5675</v>
      </c>
      <c r="V705" s="252">
        <f>AC14</f>
        <v>1997.1</v>
      </c>
      <c r="W705" s="253"/>
      <c r="X705" s="252">
        <f>V705*S705</f>
        <v>9985.5</v>
      </c>
      <c r="Z705" s="252">
        <f>X705</f>
        <v>9985.5</v>
      </c>
      <c r="AE705" s="370" t="str">
        <f t="shared" si="96"/>
        <v>|</v>
      </c>
      <c r="AG705" s="296" t="s">
        <v>2249</v>
      </c>
    </row>
    <row r="706" spans="1:33" ht="18.75" customHeight="1">
      <c r="A706" s="363">
        <f t="shared" ref="A706:A763" si="97">(A705+1)</f>
        <v>503</v>
      </c>
      <c r="B706" s="296" t="s">
        <v>188</v>
      </c>
      <c r="C706" s="428">
        <v>315</v>
      </c>
      <c r="D706" s="365" t="s">
        <v>865</v>
      </c>
      <c r="H706" s="296" t="s">
        <v>383</v>
      </c>
      <c r="I706" s="252">
        <f>K704</f>
        <v>650</v>
      </c>
      <c r="J706" s="296">
        <f>C19*0.11</f>
        <v>8.68</v>
      </c>
      <c r="K706" s="274">
        <f>I706+J706</f>
        <v>658.68</v>
      </c>
      <c r="N706" s="296" t="s">
        <v>2241</v>
      </c>
      <c r="O706" s="296" t="s">
        <v>1445</v>
      </c>
      <c r="S706" s="356">
        <v>3.3</v>
      </c>
      <c r="T706" s="252" t="s">
        <v>1336</v>
      </c>
      <c r="U706" s="252" t="s">
        <v>5676</v>
      </c>
      <c r="V706" s="252">
        <f>(AC12+AC13)/2</f>
        <v>1707.1</v>
      </c>
      <c r="W706" s="253"/>
      <c r="X706" s="252">
        <f t="shared" ref="X706:X712" si="98">V706*S706</f>
        <v>5633.43</v>
      </c>
      <c r="Z706" s="252">
        <f t="shared" ref="Z706:Z714" si="99">X706</f>
        <v>5633.43</v>
      </c>
      <c r="AE706" s="370" t="str">
        <f t="shared" si="96"/>
        <v>|</v>
      </c>
      <c r="AG706" s="296" t="s">
        <v>2249</v>
      </c>
    </row>
    <row r="707" spans="1:33" ht="18.75" customHeight="1">
      <c r="A707" s="363">
        <f t="shared" si="97"/>
        <v>504</v>
      </c>
      <c r="B707" s="296" t="s">
        <v>1446</v>
      </c>
      <c r="C707" s="428">
        <v>306</v>
      </c>
      <c r="D707" s="365" t="s">
        <v>865</v>
      </c>
      <c r="H707" s="296" t="s">
        <v>385</v>
      </c>
      <c r="I707" s="252">
        <f>K706</f>
        <v>658.68</v>
      </c>
      <c r="J707" s="296">
        <f>C20*0.11</f>
        <v>17.510000000000002</v>
      </c>
      <c r="K707" s="274">
        <f>I707+J707</f>
        <v>676.19</v>
      </c>
      <c r="O707" s="296" t="s">
        <v>1448</v>
      </c>
      <c r="S707" s="356">
        <v>4.79</v>
      </c>
      <c r="T707" s="252" t="s">
        <v>1336</v>
      </c>
      <c r="U707" s="252" t="s">
        <v>5677</v>
      </c>
      <c r="V707" s="252">
        <f>V644</f>
        <v>1846.1</v>
      </c>
      <c r="W707" s="253"/>
      <c r="X707" s="252">
        <f t="shared" si="98"/>
        <v>8842.82</v>
      </c>
      <c r="Z707" s="252">
        <f t="shared" si="99"/>
        <v>8842.82</v>
      </c>
      <c r="AE707" s="370" t="str">
        <f t="shared" si="96"/>
        <v>|</v>
      </c>
      <c r="AG707" s="296" t="s">
        <v>2249</v>
      </c>
    </row>
    <row r="708" spans="1:33" ht="18.75" customHeight="1">
      <c r="A708" s="363">
        <f t="shared" si="97"/>
        <v>505</v>
      </c>
      <c r="B708" s="296" t="s">
        <v>1449</v>
      </c>
      <c r="C708" s="428">
        <v>274</v>
      </c>
      <c r="D708" s="365" t="s">
        <v>865</v>
      </c>
      <c r="H708" s="296" t="s">
        <v>2222</v>
      </c>
      <c r="I708" s="252">
        <f>K707</f>
        <v>676.19</v>
      </c>
      <c r="J708" s="296">
        <f>J707</f>
        <v>17.510000000000002</v>
      </c>
      <c r="K708" s="274">
        <f>I708+J708</f>
        <v>693.7</v>
      </c>
      <c r="O708" s="358" t="s">
        <v>1579</v>
      </c>
      <c r="S708" s="356">
        <v>3.25</v>
      </c>
      <c r="T708" s="252" t="s">
        <v>525</v>
      </c>
      <c r="U708" s="252" t="s">
        <v>387</v>
      </c>
      <c r="V708" s="252">
        <f>V643</f>
        <v>6040</v>
      </c>
      <c r="W708" s="253"/>
      <c r="X708" s="252">
        <f t="shared" si="98"/>
        <v>19630</v>
      </c>
      <c r="Z708" s="252">
        <f t="shared" si="99"/>
        <v>19630</v>
      </c>
      <c r="AE708" s="370" t="str">
        <f t="shared" si="96"/>
        <v>|</v>
      </c>
      <c r="AG708" s="296" t="s">
        <v>2249</v>
      </c>
    </row>
    <row r="709" spans="1:33" ht="18.75" customHeight="1">
      <c r="A709" s="363">
        <f t="shared" si="97"/>
        <v>506</v>
      </c>
      <c r="B709" s="296" t="s">
        <v>1208</v>
      </c>
      <c r="C709" s="428">
        <v>266</v>
      </c>
      <c r="D709" s="365" t="s">
        <v>865</v>
      </c>
      <c r="H709" s="296" t="s">
        <v>377</v>
      </c>
      <c r="I709" s="252">
        <f>K708</f>
        <v>693.7</v>
      </c>
      <c r="J709" s="296">
        <f>J708</f>
        <v>17.510000000000002</v>
      </c>
      <c r="K709" s="274">
        <f>I709+J709</f>
        <v>711.21</v>
      </c>
      <c r="M709" s="252">
        <v>1</v>
      </c>
      <c r="N709" s="296" t="s">
        <v>865</v>
      </c>
      <c r="O709" s="296" t="s">
        <v>1209</v>
      </c>
      <c r="P709" s="252">
        <f>(C393/1*0.3)</f>
        <v>38.4</v>
      </c>
      <c r="Q709" s="296" t="s">
        <v>865</v>
      </c>
      <c r="R709" s="252">
        <f>(M709*P709)</f>
        <v>38.4</v>
      </c>
      <c r="S709" s="356">
        <f>3250*0.6%</f>
        <v>19.5</v>
      </c>
      <c r="T709" s="252" t="s">
        <v>1637</v>
      </c>
      <c r="U709" s="262" t="s">
        <v>3988</v>
      </c>
      <c r="V709" s="252">
        <f>V648</f>
        <v>43.2</v>
      </c>
      <c r="W709" s="253"/>
      <c r="X709" s="252">
        <f t="shared" si="98"/>
        <v>842.4</v>
      </c>
      <c r="Z709" s="252">
        <f t="shared" si="99"/>
        <v>842.4</v>
      </c>
      <c r="AE709" s="370" t="str">
        <f t="shared" si="96"/>
        <v>|</v>
      </c>
      <c r="AG709" s="296" t="s">
        <v>2249</v>
      </c>
    </row>
    <row r="710" spans="1:33" ht="18.75" customHeight="1">
      <c r="A710" s="363">
        <f t="shared" si="97"/>
        <v>507</v>
      </c>
      <c r="B710" s="365" t="s">
        <v>1210</v>
      </c>
      <c r="C710" s="314">
        <v>107.64</v>
      </c>
      <c r="D710" s="365" t="s">
        <v>606</v>
      </c>
      <c r="H710" s="296" t="s">
        <v>1359</v>
      </c>
      <c r="I710" s="252">
        <f>K709</f>
        <v>711.21</v>
      </c>
      <c r="J710" s="296">
        <f>J709</f>
        <v>17.510000000000002</v>
      </c>
      <c r="K710" s="274">
        <f>I710+J710</f>
        <v>728.72</v>
      </c>
      <c r="N710" s="296" t="s">
        <v>446</v>
      </c>
      <c r="O710" s="296" t="s">
        <v>136</v>
      </c>
      <c r="Q710" s="296" t="s">
        <v>446</v>
      </c>
      <c r="R710" s="252">
        <v>1.65</v>
      </c>
      <c r="S710" s="356">
        <v>3.5</v>
      </c>
      <c r="T710" s="252" t="s">
        <v>1427</v>
      </c>
      <c r="U710" s="252" t="s">
        <v>462</v>
      </c>
      <c r="V710" s="252">
        <f>C11</f>
        <v>932</v>
      </c>
      <c r="W710" s="253">
        <f>J719</f>
        <v>0</v>
      </c>
      <c r="X710" s="252">
        <f t="shared" si="98"/>
        <v>3262</v>
      </c>
      <c r="Z710" s="252">
        <f t="shared" si="99"/>
        <v>3262</v>
      </c>
      <c r="AE710" s="370" t="str">
        <f t="shared" si="96"/>
        <v>|</v>
      </c>
      <c r="AG710" s="296" t="s">
        <v>2249</v>
      </c>
    </row>
    <row r="711" spans="1:33" ht="18.75" customHeight="1">
      <c r="A711" s="363">
        <f t="shared" si="97"/>
        <v>508</v>
      </c>
      <c r="B711" s="365" t="s">
        <v>1212</v>
      </c>
      <c r="C711" s="364"/>
      <c r="D711" s="364"/>
      <c r="F711" s="296" t="s">
        <v>971</v>
      </c>
      <c r="O711" s="296" t="s">
        <v>138</v>
      </c>
      <c r="R711" s="296" t="s">
        <v>971</v>
      </c>
      <c r="S711" s="356">
        <v>21.2</v>
      </c>
      <c r="T711" s="252" t="s">
        <v>1427</v>
      </c>
      <c r="U711" s="252" t="s">
        <v>3453</v>
      </c>
      <c r="V711" s="252">
        <f>C12</f>
        <v>651</v>
      </c>
      <c r="W711" s="253"/>
      <c r="X711" s="252">
        <f t="shared" si="98"/>
        <v>13801.2</v>
      </c>
      <c r="Z711" s="252">
        <f t="shared" si="99"/>
        <v>13801.2</v>
      </c>
      <c r="AE711" s="370" t="str">
        <f t="shared" si="96"/>
        <v>|</v>
      </c>
      <c r="AG711" s="296" t="s">
        <v>2249</v>
      </c>
    </row>
    <row r="712" spans="1:33" ht="18.75" customHeight="1">
      <c r="A712" s="363">
        <f t="shared" si="97"/>
        <v>509</v>
      </c>
      <c r="B712" s="365" t="s">
        <v>2108</v>
      </c>
      <c r="C712" s="314">
        <v>11.55</v>
      </c>
      <c r="D712" s="365" t="s">
        <v>865</v>
      </c>
      <c r="R712" s="358" t="s">
        <v>1579</v>
      </c>
      <c r="S712" s="356">
        <v>35.299999999999997</v>
      </c>
      <c r="T712" s="252" t="s">
        <v>1427</v>
      </c>
      <c r="U712" s="252" t="s">
        <v>3454</v>
      </c>
      <c r="V712" s="252">
        <f>C13</f>
        <v>534</v>
      </c>
      <c r="W712" s="253"/>
      <c r="X712" s="252">
        <f t="shared" si="98"/>
        <v>18850.2</v>
      </c>
      <c r="Z712" s="252">
        <f t="shared" si="99"/>
        <v>18850.2</v>
      </c>
      <c r="AE712" s="370" t="str">
        <f t="shared" si="96"/>
        <v>|</v>
      </c>
      <c r="AG712" s="296" t="s">
        <v>2249</v>
      </c>
    </row>
    <row r="713" spans="1:33" ht="18.75" customHeight="1">
      <c r="A713" s="363">
        <f t="shared" si="97"/>
        <v>510</v>
      </c>
      <c r="B713" s="365" t="s">
        <v>1112</v>
      </c>
      <c r="C713" s="314">
        <v>16.399999999999999</v>
      </c>
      <c r="D713" s="365" t="s">
        <v>865</v>
      </c>
      <c r="F713" s="253" t="s">
        <v>1350</v>
      </c>
      <c r="H713" s="296" t="s">
        <v>189</v>
      </c>
      <c r="O713" s="296" t="s">
        <v>1558</v>
      </c>
      <c r="R713" s="252">
        <f>SUM(R709:R711)</f>
        <v>40.049999999999997</v>
      </c>
      <c r="U713" s="252" t="s">
        <v>3989</v>
      </c>
      <c r="V713" s="252">
        <f>V683</f>
        <v>0</v>
      </c>
      <c r="W713" s="253"/>
      <c r="X713" s="274">
        <f>SUM(X705:X712)</f>
        <v>80847.55</v>
      </c>
      <c r="Z713" s="252">
        <f t="shared" si="99"/>
        <v>80847.55</v>
      </c>
      <c r="AE713" s="370" t="str">
        <f t="shared" si="96"/>
        <v>|</v>
      </c>
      <c r="AG713" s="296" t="s">
        <v>2249</v>
      </c>
    </row>
    <row r="714" spans="1:33" ht="18.75" customHeight="1">
      <c r="A714" s="363">
        <f t="shared" si="97"/>
        <v>511</v>
      </c>
      <c r="B714" s="365" t="s">
        <v>1113</v>
      </c>
      <c r="C714" s="314">
        <v>27.85</v>
      </c>
      <c r="D714" s="365" t="s">
        <v>865</v>
      </c>
      <c r="H714" s="296" t="s">
        <v>1447</v>
      </c>
      <c r="R714" s="358" t="s">
        <v>1579</v>
      </c>
      <c r="U714" s="252" t="s">
        <v>3990</v>
      </c>
      <c r="V714" s="252">
        <f>V684</f>
        <v>0</v>
      </c>
      <c r="W714" s="253"/>
      <c r="X714" s="274">
        <f>X713/10</f>
        <v>8084.76</v>
      </c>
      <c r="Z714" s="252">
        <f t="shared" si="99"/>
        <v>8084.76</v>
      </c>
      <c r="AE714" s="370" t="str">
        <f t="shared" si="96"/>
        <v>|</v>
      </c>
      <c r="AG714" s="296" t="s">
        <v>2249</v>
      </c>
    </row>
    <row r="715" spans="1:33" ht="18.75" customHeight="1">
      <c r="A715" s="363">
        <f t="shared" si="97"/>
        <v>512</v>
      </c>
      <c r="B715" s="365" t="s">
        <v>1114</v>
      </c>
      <c r="C715" s="314">
        <v>49.9</v>
      </c>
      <c r="D715" s="365" t="s">
        <v>865</v>
      </c>
      <c r="H715" s="296" t="s">
        <v>1450</v>
      </c>
      <c r="O715" s="253" t="s">
        <v>659</v>
      </c>
      <c r="R715" s="296" t="s">
        <v>971</v>
      </c>
      <c r="S715" s="356">
        <v>1</v>
      </c>
      <c r="T715" s="252" t="s">
        <v>1336</v>
      </c>
      <c r="U715" s="252" t="s">
        <v>4016</v>
      </c>
      <c r="V715" s="252">
        <f>C25</f>
        <v>94.2</v>
      </c>
      <c r="W715" s="253"/>
      <c r="X715" s="252">
        <f>V715*S715</f>
        <v>94.2</v>
      </c>
      <c r="AE715" s="370" t="str">
        <f t="shared" si="96"/>
        <v>|</v>
      </c>
      <c r="AG715" s="296" t="s">
        <v>2249</v>
      </c>
    </row>
    <row r="716" spans="1:33" ht="18.75" customHeight="1">
      <c r="A716" s="363">
        <f t="shared" si="97"/>
        <v>513</v>
      </c>
      <c r="B716" s="365" t="s">
        <v>1116</v>
      </c>
      <c r="C716" s="314">
        <v>69.25</v>
      </c>
      <c r="D716" s="365" t="s">
        <v>865</v>
      </c>
      <c r="H716" s="358" t="s">
        <v>1579</v>
      </c>
      <c r="M716" s="316"/>
      <c r="O716" s="253" t="s">
        <v>2075</v>
      </c>
      <c r="U716" s="252" t="s">
        <v>3991</v>
      </c>
      <c r="V716" s="252">
        <f>V686</f>
        <v>0</v>
      </c>
      <c r="W716" s="253"/>
      <c r="X716" s="274">
        <f>SUM(X714:X715)</f>
        <v>8178.96</v>
      </c>
      <c r="Z716" s="252">
        <f>Z714</f>
        <v>8084.76</v>
      </c>
      <c r="AE716" s="370" t="str">
        <f t="shared" si="96"/>
        <v>|</v>
      </c>
      <c r="AG716" s="296" t="s">
        <v>2249</v>
      </c>
    </row>
    <row r="717" spans="1:33" ht="18.75" customHeight="1">
      <c r="A717" s="363">
        <f t="shared" si="97"/>
        <v>514</v>
      </c>
      <c r="B717" s="365" t="s">
        <v>1897</v>
      </c>
      <c r="C717" s="364"/>
      <c r="D717" s="365" t="s">
        <v>971</v>
      </c>
      <c r="F717" s="252">
        <v>0.4</v>
      </c>
      <c r="G717" s="252" t="s">
        <v>866</v>
      </c>
      <c r="H717" s="296" t="s">
        <v>1211</v>
      </c>
      <c r="I717" s="252">
        <f>(C268)</f>
        <v>17600</v>
      </c>
      <c r="J717" s="296" t="s">
        <v>866</v>
      </c>
      <c r="K717" s="252">
        <f>(F717*I717)</f>
        <v>7040</v>
      </c>
      <c r="M717" s="253" t="s">
        <v>1532</v>
      </c>
      <c r="N717" s="296" t="s">
        <v>1898</v>
      </c>
      <c r="O717" s="296" t="s">
        <v>327</v>
      </c>
      <c r="S717" s="429" t="s">
        <v>654</v>
      </c>
      <c r="U717" s="252" t="s">
        <v>3992</v>
      </c>
      <c r="V717" s="252" t="str">
        <f>V687</f>
        <v>LS</v>
      </c>
      <c r="W717" s="253"/>
      <c r="X717" s="252">
        <f>X716*0.5%</f>
        <v>40.89</v>
      </c>
      <c r="Z717" s="252">
        <f>Z716*0.5/100</f>
        <v>40.42</v>
      </c>
      <c r="AE717" s="370" t="str">
        <f t="shared" si="96"/>
        <v>|::</v>
      </c>
      <c r="AG717" s="296" t="s">
        <v>318</v>
      </c>
    </row>
    <row r="718" spans="1:33" ht="18.75" customHeight="1">
      <c r="A718" s="363">
        <f t="shared" si="97"/>
        <v>515</v>
      </c>
      <c r="B718" s="365" t="s">
        <v>238</v>
      </c>
      <c r="C718" s="314">
        <v>20</v>
      </c>
      <c r="D718" s="365" t="s">
        <v>865</v>
      </c>
      <c r="F718" s="252">
        <v>0.12</v>
      </c>
      <c r="G718" s="252" t="s">
        <v>866</v>
      </c>
      <c r="H718" s="296" t="s">
        <v>1170</v>
      </c>
      <c r="I718" s="252">
        <f>(C269)</f>
        <v>15500</v>
      </c>
      <c r="J718" s="296" t="s">
        <v>866</v>
      </c>
      <c r="K718" s="252">
        <f>(F718*I718)</f>
        <v>1860</v>
      </c>
      <c r="O718" s="358" t="s">
        <v>1579</v>
      </c>
      <c r="U718" s="274" t="s">
        <v>3578</v>
      </c>
      <c r="W718" s="253"/>
      <c r="X718" s="274">
        <f>SUM(X716:X717)</f>
        <v>8219.85</v>
      </c>
      <c r="Z718" s="274">
        <f>SUM(Z716:Z717)</f>
        <v>8125.18</v>
      </c>
      <c r="AE718" s="370">
        <f t="shared" si="96"/>
        <v>0</v>
      </c>
    </row>
    <row r="719" spans="1:33" ht="18.75" customHeight="1">
      <c r="A719" s="363">
        <f t="shared" si="97"/>
        <v>516</v>
      </c>
      <c r="B719" s="365" t="s">
        <v>497</v>
      </c>
      <c r="C719" s="314">
        <v>45</v>
      </c>
      <c r="D719" s="365" t="s">
        <v>865</v>
      </c>
      <c r="H719" s="296" t="s">
        <v>2109</v>
      </c>
      <c r="I719" s="296" t="s">
        <v>971</v>
      </c>
      <c r="K719" s="296" t="s">
        <v>971</v>
      </c>
      <c r="M719" s="316">
        <v>2.69E-2</v>
      </c>
      <c r="N719" s="296" t="s">
        <v>866</v>
      </c>
      <c r="O719" s="393" t="s">
        <v>483</v>
      </c>
      <c r="P719" s="252">
        <f>C86</f>
        <v>34300</v>
      </c>
      <c r="Q719" s="296" t="s">
        <v>866</v>
      </c>
      <c r="R719" s="252">
        <f t="shared" ref="R719:R725" si="100">M719*P719</f>
        <v>922.67</v>
      </c>
      <c r="W719" s="253"/>
      <c r="X719" s="358" t="s">
        <v>1579</v>
      </c>
      <c r="AE719" s="370">
        <f t="shared" si="96"/>
        <v>0</v>
      </c>
    </row>
    <row r="720" spans="1:33" ht="18.75" customHeight="1">
      <c r="A720" s="363">
        <f t="shared" si="97"/>
        <v>517</v>
      </c>
      <c r="B720" s="365" t="s">
        <v>1310</v>
      </c>
      <c r="C720" s="314"/>
      <c r="D720" s="365" t="s">
        <v>246</v>
      </c>
      <c r="F720" s="252">
        <v>98.5</v>
      </c>
      <c r="G720" s="252" t="s">
        <v>1763</v>
      </c>
      <c r="H720" s="296" t="s">
        <v>1421</v>
      </c>
      <c r="I720" s="252">
        <f>(C270)</f>
        <v>25.2</v>
      </c>
      <c r="J720" s="296" t="s">
        <v>1763</v>
      </c>
      <c r="K720" s="252">
        <f>(F720*I720)</f>
        <v>2482.1999999999998</v>
      </c>
      <c r="M720" s="316">
        <v>1.2949999999999999</v>
      </c>
      <c r="N720" s="296" t="s">
        <v>606</v>
      </c>
      <c r="O720" s="296" t="s">
        <v>1292</v>
      </c>
      <c r="P720" s="252">
        <f>C783</f>
        <v>387.4</v>
      </c>
      <c r="Q720" s="296" t="s">
        <v>606</v>
      </c>
      <c r="R720" s="252">
        <f t="shared" si="100"/>
        <v>501.68</v>
      </c>
      <c r="U720" s="296" t="s">
        <v>383</v>
      </c>
      <c r="W720" s="253"/>
      <c r="X720" s="274">
        <f>(X718+C22)</f>
        <v>8339.7000000000007</v>
      </c>
      <c r="AE720" s="370">
        <f t="shared" si="96"/>
        <v>0</v>
      </c>
    </row>
    <row r="721" spans="1:33" ht="18.75" customHeight="1">
      <c r="A721" s="363">
        <f t="shared" si="97"/>
        <v>518</v>
      </c>
      <c r="B721" s="365" t="s">
        <v>238</v>
      </c>
      <c r="C721" s="314">
        <v>19.09</v>
      </c>
      <c r="D721" s="365" t="s">
        <v>865</v>
      </c>
      <c r="H721" s="296" t="s">
        <v>308</v>
      </c>
      <c r="I721" s="296" t="s">
        <v>971</v>
      </c>
      <c r="K721" s="296" t="s">
        <v>246</v>
      </c>
      <c r="M721" s="316">
        <v>1.8149999999999999</v>
      </c>
      <c r="N721" s="296" t="s">
        <v>606</v>
      </c>
      <c r="O721" s="296" t="s">
        <v>2083</v>
      </c>
      <c r="P721" s="252">
        <f>C31</f>
        <v>1537</v>
      </c>
      <c r="Q721" s="296" t="s">
        <v>606</v>
      </c>
      <c r="R721" s="252">
        <f t="shared" si="100"/>
        <v>2789.66</v>
      </c>
      <c r="U721" s="296" t="s">
        <v>385</v>
      </c>
      <c r="W721" s="253"/>
      <c r="X721" s="274">
        <f>(X720+C24)</f>
        <v>8575.7999999999993</v>
      </c>
      <c r="AE721" s="370" t="str">
        <f t="shared" si="96"/>
        <v>|</v>
      </c>
      <c r="AG721" s="296" t="s">
        <v>2249</v>
      </c>
    </row>
    <row r="722" spans="1:33" ht="18.75" customHeight="1">
      <c r="A722" s="363">
        <f t="shared" si="97"/>
        <v>519</v>
      </c>
      <c r="B722" s="365" t="s">
        <v>497</v>
      </c>
      <c r="C722" s="314">
        <v>50.66</v>
      </c>
      <c r="D722" s="365" t="s">
        <v>865</v>
      </c>
      <c r="K722" s="358" t="s">
        <v>1579</v>
      </c>
      <c r="M722" s="252">
        <v>2</v>
      </c>
      <c r="N722" s="296" t="s">
        <v>865</v>
      </c>
      <c r="O722" s="296" t="s">
        <v>1715</v>
      </c>
      <c r="P722" s="252">
        <f>C299</f>
        <v>10.5</v>
      </c>
      <c r="Q722" s="296" t="s">
        <v>865</v>
      </c>
      <c r="R722" s="252">
        <f t="shared" si="100"/>
        <v>21</v>
      </c>
      <c r="U722" s="296" t="s">
        <v>2222</v>
      </c>
      <c r="W722" s="253"/>
      <c r="X722" s="274">
        <f>(X721+C24)</f>
        <v>8811.9</v>
      </c>
      <c r="AE722" s="370" t="str">
        <f t="shared" si="96"/>
        <v>|</v>
      </c>
      <c r="AG722" s="296" t="s">
        <v>2249</v>
      </c>
    </row>
    <row r="723" spans="1:33" ht="18.75" customHeight="1">
      <c r="A723" s="363">
        <f t="shared" si="97"/>
        <v>520</v>
      </c>
      <c r="B723" s="365" t="s">
        <v>1610</v>
      </c>
      <c r="C723" s="314">
        <v>1183.82</v>
      </c>
      <c r="D723" s="365" t="s">
        <v>606</v>
      </c>
      <c r="H723" s="296" t="s">
        <v>660</v>
      </c>
      <c r="K723" s="252">
        <f>SUM(K717:K721)</f>
        <v>11382.2</v>
      </c>
      <c r="M723" s="252">
        <v>3</v>
      </c>
      <c r="N723" s="296" t="s">
        <v>865</v>
      </c>
      <c r="O723" s="296" t="s">
        <v>1611</v>
      </c>
      <c r="P723" s="252">
        <f>C295</f>
        <v>8.5</v>
      </c>
      <c r="Q723" s="296" t="s">
        <v>865</v>
      </c>
      <c r="R723" s="252">
        <f t="shared" si="100"/>
        <v>25.5</v>
      </c>
      <c r="U723" s="296" t="s">
        <v>377</v>
      </c>
      <c r="W723" s="253"/>
      <c r="X723" s="274">
        <f>(X722+C24)</f>
        <v>9048</v>
      </c>
      <c r="AE723" s="370" t="str">
        <f t="shared" si="96"/>
        <v>|</v>
      </c>
      <c r="AG723" s="296" t="s">
        <v>2249</v>
      </c>
    </row>
    <row r="724" spans="1:33" ht="18.75" customHeight="1">
      <c r="A724" s="363">
        <f t="shared" si="97"/>
        <v>521</v>
      </c>
      <c r="B724" s="365" t="s">
        <v>1612</v>
      </c>
      <c r="C724" s="314">
        <v>1605</v>
      </c>
      <c r="D724" s="365" t="s">
        <v>606</v>
      </c>
      <c r="H724" s="296" t="s">
        <v>971</v>
      </c>
      <c r="K724" s="358" t="s">
        <v>1579</v>
      </c>
      <c r="M724" s="252">
        <v>1</v>
      </c>
      <c r="N724" s="296" t="s">
        <v>865</v>
      </c>
      <c r="O724" s="296" t="s">
        <v>1699</v>
      </c>
      <c r="P724" s="252">
        <f>C301</f>
        <v>21</v>
      </c>
      <c r="Q724" s="296" t="s">
        <v>865</v>
      </c>
      <c r="R724" s="252">
        <f t="shared" si="100"/>
        <v>21</v>
      </c>
      <c r="U724" s="296" t="s">
        <v>1525</v>
      </c>
      <c r="W724" s="253"/>
      <c r="X724" s="274">
        <f>(X723+C24)</f>
        <v>9284.1</v>
      </c>
      <c r="AE724" s="370" t="str">
        <f t="shared" si="96"/>
        <v>|</v>
      </c>
      <c r="AG724" s="296" t="s">
        <v>2249</v>
      </c>
    </row>
    <row r="725" spans="1:33" ht="18.75" customHeight="1">
      <c r="A725" s="363">
        <f t="shared" si="97"/>
        <v>522</v>
      </c>
      <c r="B725" s="296" t="s">
        <v>5443</v>
      </c>
      <c r="C725" s="373">
        <v>10.050000000000001</v>
      </c>
      <c r="D725" s="418" t="s">
        <v>53</v>
      </c>
      <c r="F725" s="252">
        <v>10</v>
      </c>
      <c r="G725" s="252" t="s">
        <v>606</v>
      </c>
      <c r="H725" s="296" t="s">
        <v>496</v>
      </c>
      <c r="I725" s="252">
        <f>(K723/50)</f>
        <v>227.64</v>
      </c>
      <c r="J725" s="296" t="s">
        <v>606</v>
      </c>
      <c r="K725" s="252">
        <f>(F725*I725)</f>
        <v>2276.4</v>
      </c>
      <c r="M725" s="252">
        <v>1</v>
      </c>
      <c r="N725" s="296" t="s">
        <v>865</v>
      </c>
      <c r="O725" s="296" t="s">
        <v>1971</v>
      </c>
      <c r="P725" s="252">
        <f>C303</f>
        <v>4</v>
      </c>
      <c r="Q725" s="296" t="s">
        <v>865</v>
      </c>
      <c r="R725" s="252">
        <f t="shared" si="100"/>
        <v>4</v>
      </c>
      <c r="W725" s="253"/>
      <c r="AE725" s="370" t="str">
        <f t="shared" si="96"/>
        <v>|</v>
      </c>
      <c r="AG725" s="296" t="s">
        <v>2249</v>
      </c>
    </row>
    <row r="726" spans="1:33" ht="18.75" customHeight="1">
      <c r="A726" s="363">
        <f t="shared" si="97"/>
        <v>523</v>
      </c>
      <c r="B726" s="365" t="s">
        <v>1709</v>
      </c>
      <c r="C726" s="314">
        <v>147.6</v>
      </c>
      <c r="D726" s="365" t="s">
        <v>1763</v>
      </c>
      <c r="F726" s="252">
        <v>3.8</v>
      </c>
      <c r="G726" s="252" t="s">
        <v>766</v>
      </c>
      <c r="H726" s="296" t="s">
        <v>498</v>
      </c>
      <c r="I726" s="252">
        <f>(C16)</f>
        <v>976</v>
      </c>
      <c r="J726" s="296" t="s">
        <v>766</v>
      </c>
      <c r="K726" s="252">
        <f>(F726*I726)</f>
        <v>3708.8</v>
      </c>
      <c r="N726" s="296" t="s">
        <v>446</v>
      </c>
      <c r="O726" s="296" t="s">
        <v>447</v>
      </c>
      <c r="Q726" s="296" t="s">
        <v>446</v>
      </c>
      <c r="R726" s="252">
        <v>0</v>
      </c>
      <c r="W726" s="253"/>
      <c r="AE726" s="370" t="str">
        <f t="shared" si="96"/>
        <v>|</v>
      </c>
      <c r="AG726" s="296" t="s">
        <v>2249</v>
      </c>
    </row>
    <row r="727" spans="1:33" ht="18.75" customHeight="1">
      <c r="A727" s="363">
        <f t="shared" si="97"/>
        <v>524</v>
      </c>
      <c r="B727" s="365" t="s">
        <v>1710</v>
      </c>
      <c r="C727" s="314">
        <v>147.6</v>
      </c>
      <c r="D727" s="365" t="s">
        <v>1763</v>
      </c>
      <c r="F727" s="252">
        <v>5.4</v>
      </c>
      <c r="G727" s="252" t="s">
        <v>766</v>
      </c>
      <c r="H727" s="296" t="s">
        <v>1893</v>
      </c>
      <c r="I727" s="252">
        <f>(C12)</f>
        <v>651</v>
      </c>
      <c r="J727" s="296" t="s">
        <v>766</v>
      </c>
      <c r="K727" s="252">
        <f>(F727*I727)</f>
        <v>3515.4</v>
      </c>
      <c r="R727" s="358" t="s">
        <v>1579</v>
      </c>
      <c r="W727" s="253"/>
      <c r="AE727" s="370" t="str">
        <f t="shared" si="96"/>
        <v>|</v>
      </c>
      <c r="AG727" s="296" t="s">
        <v>2249</v>
      </c>
    </row>
    <row r="728" spans="1:33" ht="18.75" customHeight="1">
      <c r="A728" s="363">
        <f t="shared" si="97"/>
        <v>525</v>
      </c>
      <c r="B728" s="365" t="s">
        <v>1711</v>
      </c>
      <c r="C728" s="314">
        <v>147.6</v>
      </c>
      <c r="D728" s="365" t="s">
        <v>1763</v>
      </c>
      <c r="G728" s="252" t="s">
        <v>446</v>
      </c>
      <c r="H728" s="296" t="s">
        <v>1293</v>
      </c>
      <c r="J728" s="296" t="s">
        <v>446</v>
      </c>
      <c r="K728" s="252">
        <v>5</v>
      </c>
      <c r="O728" s="253" t="s">
        <v>10</v>
      </c>
      <c r="R728" s="252">
        <f>SUM(R719:R726)</f>
        <v>4285.51</v>
      </c>
      <c r="T728" s="274">
        <v>4.2</v>
      </c>
      <c r="U728" s="274" t="s">
        <v>4608</v>
      </c>
      <c r="W728" s="253"/>
      <c r="AE728" s="370" t="str">
        <f t="shared" si="96"/>
        <v>|</v>
      </c>
      <c r="AG728" s="296" t="s">
        <v>2249</v>
      </c>
    </row>
    <row r="729" spans="1:33" ht="18.75" customHeight="1">
      <c r="A729" s="363">
        <f t="shared" si="97"/>
        <v>526</v>
      </c>
      <c r="B729" s="365" t="s">
        <v>645</v>
      </c>
      <c r="C729" s="314">
        <v>1250</v>
      </c>
      <c r="D729" s="365" t="s">
        <v>606</v>
      </c>
      <c r="K729" s="358" t="s">
        <v>1579</v>
      </c>
      <c r="R729" s="358" t="s">
        <v>1579</v>
      </c>
      <c r="S729" s="356">
        <v>5</v>
      </c>
      <c r="T729" s="252" t="s">
        <v>1336</v>
      </c>
      <c r="U729" s="252" t="s">
        <v>5675</v>
      </c>
      <c r="V729" s="252">
        <f>V675</f>
        <v>1997.1</v>
      </c>
      <c r="W729" s="253"/>
      <c r="X729" s="252">
        <f t="shared" ref="X729:X736" si="101">V729*S729</f>
        <v>9985.5</v>
      </c>
      <c r="AE729" s="370" t="str">
        <f t="shared" si="96"/>
        <v>|</v>
      </c>
      <c r="AG729" s="296" t="s">
        <v>2249</v>
      </c>
    </row>
    <row r="730" spans="1:33" ht="18.75" customHeight="1">
      <c r="A730" s="363">
        <f t="shared" si="97"/>
        <v>527</v>
      </c>
      <c r="B730" s="365" t="s">
        <v>647</v>
      </c>
      <c r="C730" s="314">
        <v>1250</v>
      </c>
      <c r="D730" s="365" t="s">
        <v>606</v>
      </c>
      <c r="H730" s="296" t="s">
        <v>438</v>
      </c>
      <c r="K730" s="252">
        <f>SUM(K725:K728)</f>
        <v>9505.6</v>
      </c>
      <c r="N730" s="296" t="s">
        <v>971</v>
      </c>
      <c r="O730" s="253" t="s">
        <v>549</v>
      </c>
      <c r="R730" s="252">
        <f>R728/M720</f>
        <v>3309.27</v>
      </c>
      <c r="S730" s="356">
        <v>3.3</v>
      </c>
      <c r="T730" s="252" t="s">
        <v>1336</v>
      </c>
      <c r="U730" s="252" t="s">
        <v>5676</v>
      </c>
      <c r="V730" s="252">
        <f t="shared" ref="V730:V739" si="102">V676</f>
        <v>1707.1</v>
      </c>
      <c r="W730" s="253"/>
      <c r="X730" s="252">
        <f t="shared" si="101"/>
        <v>5633.43</v>
      </c>
      <c r="AE730" s="370" t="str">
        <f t="shared" si="96"/>
        <v>|</v>
      </c>
      <c r="AG730" s="296" t="s">
        <v>2249</v>
      </c>
    </row>
    <row r="731" spans="1:33" ht="18.75" customHeight="1">
      <c r="A731" s="363">
        <f t="shared" si="97"/>
        <v>528</v>
      </c>
      <c r="B731" s="365" t="s">
        <v>1230</v>
      </c>
      <c r="C731" s="314">
        <v>1250</v>
      </c>
      <c r="D731" s="365" t="s">
        <v>606</v>
      </c>
      <c r="K731" s="358" t="s">
        <v>1579</v>
      </c>
      <c r="R731" s="358" t="s">
        <v>2046</v>
      </c>
      <c r="S731" s="356">
        <v>4.79</v>
      </c>
      <c r="T731" s="252" t="s">
        <v>1336</v>
      </c>
      <c r="U731" s="252" t="s">
        <v>5677</v>
      </c>
      <c r="V731" s="252">
        <f t="shared" si="102"/>
        <v>1846.1</v>
      </c>
      <c r="W731" s="253"/>
      <c r="X731" s="252">
        <f t="shared" si="101"/>
        <v>8842.82</v>
      </c>
      <c r="AE731" s="370" t="str">
        <f t="shared" si="96"/>
        <v>|</v>
      </c>
      <c r="AG731" s="296" t="s">
        <v>2249</v>
      </c>
    </row>
    <row r="732" spans="1:33" ht="18.75" customHeight="1">
      <c r="A732" s="363">
        <f t="shared" si="97"/>
        <v>529</v>
      </c>
      <c r="B732" s="365" t="s">
        <v>515</v>
      </c>
      <c r="C732" s="314">
        <v>1250</v>
      </c>
      <c r="D732" s="365" t="s">
        <v>606</v>
      </c>
      <c r="H732" s="296" t="s">
        <v>549</v>
      </c>
      <c r="K732" s="252">
        <f>(K730/10)</f>
        <v>950.56</v>
      </c>
      <c r="M732" s="253" t="s">
        <v>1532</v>
      </c>
      <c r="N732" s="296" t="s">
        <v>517</v>
      </c>
      <c r="O732" s="296" t="s">
        <v>518</v>
      </c>
      <c r="S732" s="356">
        <v>3.5</v>
      </c>
      <c r="T732" s="252" t="s">
        <v>525</v>
      </c>
      <c r="U732" s="252" t="s">
        <v>387</v>
      </c>
      <c r="V732" s="252">
        <f t="shared" si="102"/>
        <v>6040</v>
      </c>
      <c r="W732" s="253"/>
      <c r="X732" s="252">
        <f t="shared" si="101"/>
        <v>21140</v>
      </c>
      <c r="AE732" s="370" t="str">
        <f t="shared" si="96"/>
        <v>|</v>
      </c>
      <c r="AG732" s="296" t="s">
        <v>2249</v>
      </c>
    </row>
    <row r="733" spans="1:33" ht="18.75" customHeight="1">
      <c r="A733" s="363">
        <f t="shared" si="97"/>
        <v>530</v>
      </c>
      <c r="B733" s="365" t="s">
        <v>519</v>
      </c>
      <c r="C733" s="314">
        <v>1250</v>
      </c>
      <c r="D733" s="365" t="s">
        <v>606</v>
      </c>
      <c r="K733" s="358" t="s">
        <v>2046</v>
      </c>
      <c r="O733" s="358" t="s">
        <v>1579</v>
      </c>
      <c r="S733" s="356">
        <v>28</v>
      </c>
      <c r="T733" s="252" t="s">
        <v>1637</v>
      </c>
      <c r="U733" s="252" t="s">
        <v>3994</v>
      </c>
      <c r="V733" s="252">
        <f t="shared" si="102"/>
        <v>43.2</v>
      </c>
      <c r="W733" s="253"/>
      <c r="X733" s="252">
        <f t="shared" si="101"/>
        <v>1209.5999999999999</v>
      </c>
      <c r="AE733" s="370" t="str">
        <f t="shared" si="96"/>
        <v>|</v>
      </c>
      <c r="AG733" s="296" t="s">
        <v>2249</v>
      </c>
    </row>
    <row r="734" spans="1:33" ht="18.75" customHeight="1">
      <c r="A734" s="363">
        <f t="shared" si="97"/>
        <v>531</v>
      </c>
      <c r="B734" s="365" t="s">
        <v>758</v>
      </c>
      <c r="C734" s="314">
        <v>1250</v>
      </c>
      <c r="D734" s="365" t="s">
        <v>606</v>
      </c>
      <c r="M734" s="316">
        <v>2.5499999999999998E-2</v>
      </c>
      <c r="N734" s="296" t="s">
        <v>866</v>
      </c>
      <c r="O734" s="296" t="s">
        <v>1309</v>
      </c>
      <c r="P734" s="252">
        <f>C86</f>
        <v>34300</v>
      </c>
      <c r="Q734" s="296" t="s">
        <v>866</v>
      </c>
      <c r="R734" s="252">
        <f t="shared" ref="R734:R740" si="103">M734*P734</f>
        <v>874.65</v>
      </c>
      <c r="S734" s="356">
        <v>3.5</v>
      </c>
      <c r="T734" s="252" t="s">
        <v>1427</v>
      </c>
      <c r="U734" s="252" t="s">
        <v>462</v>
      </c>
      <c r="V734" s="252">
        <f t="shared" si="102"/>
        <v>932</v>
      </c>
      <c r="W734" s="253"/>
      <c r="X734" s="252">
        <f t="shared" si="101"/>
        <v>3262</v>
      </c>
      <c r="AE734" s="370" t="str">
        <f t="shared" si="96"/>
        <v>|</v>
      </c>
      <c r="AG734" s="296" t="s">
        <v>2249</v>
      </c>
    </row>
    <row r="735" spans="1:33" ht="18.75" customHeight="1">
      <c r="A735" s="363">
        <f t="shared" si="97"/>
        <v>532</v>
      </c>
      <c r="B735" s="365" t="s">
        <v>1222</v>
      </c>
      <c r="C735" s="314">
        <v>1250</v>
      </c>
      <c r="D735" s="365" t="s">
        <v>606</v>
      </c>
      <c r="F735" s="253" t="s">
        <v>2035</v>
      </c>
      <c r="G735" s="252" t="s">
        <v>2241</v>
      </c>
      <c r="H735" s="296" t="s">
        <v>9</v>
      </c>
      <c r="M735" s="316">
        <v>1.1299999999999999</v>
      </c>
      <c r="N735" s="296" t="s">
        <v>606</v>
      </c>
      <c r="O735" s="296" t="s">
        <v>1292</v>
      </c>
      <c r="P735" s="252">
        <f>C783</f>
        <v>387.4</v>
      </c>
      <c r="Q735" s="296" t="s">
        <v>606</v>
      </c>
      <c r="R735" s="252">
        <f t="shared" si="103"/>
        <v>437.76</v>
      </c>
      <c r="S735" s="356">
        <v>21.2</v>
      </c>
      <c r="T735" s="252" t="s">
        <v>1427</v>
      </c>
      <c r="U735" s="252" t="s">
        <v>3453</v>
      </c>
      <c r="V735" s="252">
        <f t="shared" si="102"/>
        <v>651</v>
      </c>
      <c r="W735" s="253"/>
      <c r="X735" s="252">
        <f t="shared" si="101"/>
        <v>13801.2</v>
      </c>
      <c r="AE735" s="370" t="str">
        <f t="shared" si="96"/>
        <v>|</v>
      </c>
      <c r="AG735" s="296" t="s">
        <v>2249</v>
      </c>
    </row>
    <row r="736" spans="1:33" ht="18.75" customHeight="1">
      <c r="A736" s="363">
        <f t="shared" si="97"/>
        <v>533</v>
      </c>
      <c r="B736" s="365" t="s">
        <v>1223</v>
      </c>
      <c r="C736" s="314">
        <v>1250</v>
      </c>
      <c r="D736" s="365" t="s">
        <v>606</v>
      </c>
      <c r="H736" s="296" t="s">
        <v>646</v>
      </c>
      <c r="M736" s="316">
        <v>1.6191</v>
      </c>
      <c r="N736" s="296" t="s">
        <v>606</v>
      </c>
      <c r="O736" s="296" t="s">
        <v>2083</v>
      </c>
      <c r="P736" s="252">
        <f>C31</f>
        <v>1537</v>
      </c>
      <c r="Q736" s="296" t="s">
        <v>606</v>
      </c>
      <c r="R736" s="252">
        <f t="shared" si="103"/>
        <v>2488.56</v>
      </c>
      <c r="S736" s="356">
        <v>35.299999999999997</v>
      </c>
      <c r="T736" s="252" t="s">
        <v>1427</v>
      </c>
      <c r="U736" s="252" t="s">
        <v>3454</v>
      </c>
      <c r="V736" s="252">
        <f t="shared" si="102"/>
        <v>534</v>
      </c>
      <c r="W736" s="253"/>
      <c r="X736" s="252">
        <f t="shared" si="101"/>
        <v>18850.2</v>
      </c>
      <c r="AE736" s="370" t="str">
        <f t="shared" si="96"/>
        <v>|</v>
      </c>
      <c r="AG736" s="296" t="s">
        <v>2249</v>
      </c>
    </row>
    <row r="737" spans="1:33" ht="18.75" customHeight="1">
      <c r="A737" s="363">
        <f t="shared" si="97"/>
        <v>534</v>
      </c>
      <c r="B737" s="365" t="s">
        <v>975</v>
      </c>
      <c r="C737" s="314">
        <v>1250</v>
      </c>
      <c r="D737" s="365" t="s">
        <v>606</v>
      </c>
      <c r="H737" s="296" t="s">
        <v>648</v>
      </c>
      <c r="M737" s="252">
        <v>2</v>
      </c>
      <c r="N737" s="296" t="s">
        <v>865</v>
      </c>
      <c r="O737" s="296" t="s">
        <v>1715</v>
      </c>
      <c r="P737" s="252">
        <f>C299</f>
        <v>10.5</v>
      </c>
      <c r="Q737" s="296" t="s">
        <v>865</v>
      </c>
      <c r="R737" s="252">
        <f t="shared" si="103"/>
        <v>21</v>
      </c>
      <c r="U737" s="274" t="s">
        <v>3989</v>
      </c>
      <c r="V737" s="252">
        <f t="shared" si="102"/>
        <v>0</v>
      </c>
      <c r="W737" s="253"/>
      <c r="X737" s="274">
        <f>SUM(X729:X736)</f>
        <v>82724.75</v>
      </c>
      <c r="AE737" s="370" t="str">
        <f t="shared" si="96"/>
        <v>|</v>
      </c>
      <c r="AG737" s="296" t="s">
        <v>2249</v>
      </c>
    </row>
    <row r="738" spans="1:33" ht="18.75" customHeight="1">
      <c r="A738" s="363">
        <f t="shared" si="97"/>
        <v>535</v>
      </c>
      <c r="B738" s="365" t="s">
        <v>977</v>
      </c>
      <c r="C738" s="314">
        <v>1250</v>
      </c>
      <c r="D738" s="365" t="s">
        <v>606</v>
      </c>
      <c r="H738" s="296" t="s">
        <v>514</v>
      </c>
      <c r="M738" s="252">
        <v>3</v>
      </c>
      <c r="N738" s="296" t="s">
        <v>865</v>
      </c>
      <c r="O738" s="296" t="s">
        <v>1611</v>
      </c>
      <c r="P738" s="252">
        <f>C295</f>
        <v>8.5</v>
      </c>
      <c r="Q738" s="296" t="s">
        <v>865</v>
      </c>
      <c r="R738" s="252">
        <f t="shared" si="103"/>
        <v>25.5</v>
      </c>
      <c r="U738" s="274" t="s">
        <v>3990</v>
      </c>
      <c r="V738" s="252">
        <f t="shared" si="102"/>
        <v>0</v>
      </c>
      <c r="W738" s="253"/>
      <c r="X738" s="274">
        <f>X737/10</f>
        <v>8272.48</v>
      </c>
      <c r="Y738" s="252">
        <f>X738</f>
        <v>8272.48</v>
      </c>
      <c r="AE738" s="370" t="str">
        <f t="shared" si="96"/>
        <v>|</v>
      </c>
      <c r="AG738" s="296" t="s">
        <v>2249</v>
      </c>
    </row>
    <row r="739" spans="1:33" ht="18.75" customHeight="1">
      <c r="A739" s="363">
        <f t="shared" si="97"/>
        <v>536</v>
      </c>
      <c r="B739" s="365" t="s">
        <v>939</v>
      </c>
      <c r="C739" s="314">
        <v>1250</v>
      </c>
      <c r="D739" s="365" t="s">
        <v>606</v>
      </c>
      <c r="H739" s="296" t="s">
        <v>516</v>
      </c>
      <c r="M739" s="252">
        <v>1</v>
      </c>
      <c r="N739" s="296" t="s">
        <v>865</v>
      </c>
      <c r="O739" s="296" t="s">
        <v>1699</v>
      </c>
      <c r="P739" s="252">
        <f>C301</f>
        <v>21</v>
      </c>
      <c r="Q739" s="296" t="s">
        <v>865</v>
      </c>
      <c r="R739" s="252">
        <f t="shared" si="103"/>
        <v>21</v>
      </c>
      <c r="S739" s="356">
        <v>1</v>
      </c>
      <c r="T739" s="252" t="s">
        <v>1336</v>
      </c>
      <c r="U739" s="252" t="s">
        <v>4016</v>
      </c>
      <c r="V739" s="252">
        <f t="shared" si="102"/>
        <v>94.2</v>
      </c>
      <c r="W739" s="253"/>
      <c r="X739" s="252">
        <f>V739</f>
        <v>94.2</v>
      </c>
      <c r="AE739" s="370" t="str">
        <f t="shared" si="96"/>
        <v>|</v>
      </c>
      <c r="AG739" s="296" t="s">
        <v>2249</v>
      </c>
    </row>
    <row r="740" spans="1:33" ht="18.75" customHeight="1">
      <c r="A740" s="363">
        <f t="shared" si="97"/>
        <v>537</v>
      </c>
      <c r="B740" s="365" t="s">
        <v>1222</v>
      </c>
      <c r="C740" s="314">
        <v>1250</v>
      </c>
      <c r="D740" s="365" t="s">
        <v>606</v>
      </c>
      <c r="H740" s="296" t="s">
        <v>2</v>
      </c>
      <c r="M740" s="252">
        <v>1</v>
      </c>
      <c r="N740" s="296" t="s">
        <v>865</v>
      </c>
      <c r="O740" s="296" t="s">
        <v>1971</v>
      </c>
      <c r="P740" s="252">
        <f>C303</f>
        <v>4</v>
      </c>
      <c r="Q740" s="296" t="s">
        <v>865</v>
      </c>
      <c r="R740" s="252">
        <f t="shared" si="103"/>
        <v>4</v>
      </c>
      <c r="U740" s="252" t="s">
        <v>3991</v>
      </c>
      <c r="W740" s="253"/>
      <c r="X740" s="274">
        <f>SUM(X738:X739)</f>
        <v>8366.68</v>
      </c>
      <c r="Y740" s="252">
        <f>SUM(Y738:Y739)</f>
        <v>8272.48</v>
      </c>
      <c r="AE740" s="370" t="str">
        <f t="shared" si="96"/>
        <v>|</v>
      </c>
      <c r="AG740" s="296" t="s">
        <v>2249</v>
      </c>
    </row>
    <row r="741" spans="1:33" ht="18.75" customHeight="1">
      <c r="A741" s="363">
        <f t="shared" si="97"/>
        <v>538</v>
      </c>
      <c r="B741" s="365" t="s">
        <v>1649</v>
      </c>
      <c r="C741" s="364"/>
      <c r="D741" s="365" t="s">
        <v>971</v>
      </c>
      <c r="H741" s="296" t="s">
        <v>1221</v>
      </c>
      <c r="N741" s="296" t="s">
        <v>446</v>
      </c>
      <c r="O741" s="296" t="s">
        <v>447</v>
      </c>
      <c r="Q741" s="296" t="s">
        <v>446</v>
      </c>
      <c r="R741" s="252">
        <v>0</v>
      </c>
      <c r="S741" s="429" t="s">
        <v>654</v>
      </c>
      <c r="U741" s="252" t="s">
        <v>3992</v>
      </c>
      <c r="V741" s="429" t="s">
        <v>654</v>
      </c>
      <c r="W741" s="253"/>
      <c r="X741" s="252">
        <f>X740*0.5%</f>
        <v>41.83</v>
      </c>
      <c r="Y741" s="252">
        <f>Y740*0.5/100</f>
        <v>41.36</v>
      </c>
      <c r="AE741" s="370" t="str">
        <f t="shared" si="96"/>
        <v>|</v>
      </c>
      <c r="AG741" s="296" t="s">
        <v>2249</v>
      </c>
    </row>
    <row r="742" spans="1:33" ht="18.75" customHeight="1">
      <c r="A742" s="363">
        <f t="shared" si="97"/>
        <v>539</v>
      </c>
      <c r="B742" s="365" t="s">
        <v>1651</v>
      </c>
      <c r="C742" s="314">
        <v>65</v>
      </c>
      <c r="D742" s="365" t="s">
        <v>1708</v>
      </c>
      <c r="H742" s="358" t="s">
        <v>1579</v>
      </c>
      <c r="I742" s="358" t="s">
        <v>1579</v>
      </c>
      <c r="J742" s="296" t="s">
        <v>1579</v>
      </c>
      <c r="R742" s="358" t="s">
        <v>1579</v>
      </c>
      <c r="U742" s="274" t="s">
        <v>3578</v>
      </c>
      <c r="W742" s="253"/>
      <c r="X742" s="274">
        <f>SUM(X740:X741)</f>
        <v>8408.51</v>
      </c>
      <c r="Y742" s="274">
        <f>SUM(Y740:Y741)</f>
        <v>8313.84</v>
      </c>
      <c r="AE742" s="370" t="str">
        <f t="shared" si="96"/>
        <v>|</v>
      </c>
      <c r="AG742" s="296" t="s">
        <v>2249</v>
      </c>
    </row>
    <row r="743" spans="1:33" ht="18.75" customHeight="1">
      <c r="A743" s="363">
        <f t="shared" si="97"/>
        <v>540</v>
      </c>
      <c r="B743" s="296" t="s">
        <v>24</v>
      </c>
      <c r="C743" s="362">
        <v>21.5</v>
      </c>
      <c r="D743" s="365" t="s">
        <v>1708</v>
      </c>
      <c r="F743" s="252">
        <v>13.46</v>
      </c>
      <c r="G743" s="252" t="s">
        <v>265</v>
      </c>
      <c r="H743" s="296" t="s">
        <v>266</v>
      </c>
      <c r="I743" s="252">
        <f>C34/1000</f>
        <v>53</v>
      </c>
      <c r="J743" s="296" t="s">
        <v>265</v>
      </c>
      <c r="K743" s="252">
        <f>(F743*I743)</f>
        <v>713.38</v>
      </c>
      <c r="O743" s="253" t="s">
        <v>25</v>
      </c>
      <c r="R743" s="252">
        <f>SUM(R734:R741)</f>
        <v>3872.47</v>
      </c>
      <c r="W743" s="253"/>
      <c r="X743" s="358" t="s">
        <v>1579</v>
      </c>
      <c r="AE743" s="370" t="str">
        <f t="shared" si="96"/>
        <v>|</v>
      </c>
      <c r="AG743" s="296" t="s">
        <v>2249</v>
      </c>
    </row>
    <row r="744" spans="1:33" ht="18.75" customHeight="1">
      <c r="A744" s="363">
        <f t="shared" si="97"/>
        <v>541</v>
      </c>
      <c r="B744" s="365" t="s">
        <v>26</v>
      </c>
      <c r="C744" s="314">
        <v>110.95</v>
      </c>
      <c r="D744" s="365" t="s">
        <v>1708</v>
      </c>
      <c r="H744" s="296" t="s">
        <v>976</v>
      </c>
      <c r="R744" s="358" t="s">
        <v>1579</v>
      </c>
      <c r="U744" s="296" t="s">
        <v>383</v>
      </c>
      <c r="W744" s="253"/>
      <c r="X744" s="274">
        <f>(X742+C22)</f>
        <v>8528.36</v>
      </c>
      <c r="AE744" s="370" t="str">
        <f t="shared" si="96"/>
        <v>|</v>
      </c>
      <c r="AG744" s="296" t="s">
        <v>2249</v>
      </c>
    </row>
    <row r="745" spans="1:33" ht="18.75" customHeight="1">
      <c r="A745" s="363">
        <f t="shared" si="97"/>
        <v>542</v>
      </c>
      <c r="B745" s="365" t="s">
        <v>1014</v>
      </c>
      <c r="C745" s="314">
        <v>399</v>
      </c>
      <c r="D745" s="365" t="s">
        <v>1708</v>
      </c>
      <c r="F745" s="252">
        <v>4</v>
      </c>
      <c r="G745" s="252" t="s">
        <v>265</v>
      </c>
      <c r="H745" s="296" t="s">
        <v>978</v>
      </c>
      <c r="I745" s="252">
        <f>C34/1000</f>
        <v>53</v>
      </c>
      <c r="J745" s="296" t="s">
        <v>265</v>
      </c>
      <c r="K745" s="252">
        <f>(F745*I745)</f>
        <v>212</v>
      </c>
      <c r="O745" s="253" t="s">
        <v>549</v>
      </c>
      <c r="R745" s="252">
        <f>R743/M736</f>
        <v>2391.7399999999998</v>
      </c>
      <c r="U745" s="296" t="s">
        <v>385</v>
      </c>
      <c r="W745" s="253"/>
      <c r="X745" s="274">
        <f>(X744+C24)</f>
        <v>8764.4599999999991</v>
      </c>
      <c r="AE745" s="370" t="str">
        <f t="shared" si="96"/>
        <v>|</v>
      </c>
      <c r="AG745" s="296" t="s">
        <v>2249</v>
      </c>
    </row>
    <row r="746" spans="1:33" ht="18.75" customHeight="1">
      <c r="A746" s="363">
        <f t="shared" si="97"/>
        <v>543</v>
      </c>
      <c r="B746" s="365" t="s">
        <v>893</v>
      </c>
      <c r="C746" s="314">
        <v>92</v>
      </c>
      <c r="D746" s="365" t="s">
        <v>1708</v>
      </c>
      <c r="H746" s="296" t="s">
        <v>1025</v>
      </c>
      <c r="R746" s="358" t="s">
        <v>2046</v>
      </c>
      <c r="U746" s="296" t="s">
        <v>2222</v>
      </c>
      <c r="W746" s="253"/>
      <c r="X746" s="274">
        <f>(X745+C24)</f>
        <v>9000.56</v>
      </c>
      <c r="Y746" s="252">
        <f>X746-X745</f>
        <v>236.1</v>
      </c>
      <c r="AE746" s="370" t="str">
        <f t="shared" si="96"/>
        <v>|</v>
      </c>
      <c r="AG746" s="296" t="s">
        <v>2249</v>
      </c>
    </row>
    <row r="747" spans="1:33" ht="18.75" customHeight="1">
      <c r="A747" s="363">
        <f t="shared" si="97"/>
        <v>544</v>
      </c>
      <c r="B747" s="365" t="s">
        <v>309</v>
      </c>
      <c r="C747" s="314">
        <v>174.24</v>
      </c>
      <c r="D747" s="365" t="s">
        <v>1708</v>
      </c>
      <c r="G747" s="252" t="s">
        <v>446</v>
      </c>
      <c r="H747" s="296" t="s">
        <v>1648</v>
      </c>
      <c r="J747" s="296" t="s">
        <v>446</v>
      </c>
      <c r="K747" s="413">
        <v>40</v>
      </c>
      <c r="U747" s="296" t="s">
        <v>377</v>
      </c>
      <c r="W747" s="253"/>
      <c r="X747" s="274">
        <f>(X746+C24)</f>
        <v>9236.66</v>
      </c>
      <c r="AE747" s="370" t="str">
        <f t="shared" si="96"/>
        <v>|</v>
      </c>
      <c r="AG747" s="296" t="s">
        <v>2249</v>
      </c>
    </row>
    <row r="748" spans="1:33" ht="18.75" customHeight="1">
      <c r="A748" s="363">
        <f t="shared" si="97"/>
        <v>545</v>
      </c>
      <c r="B748" s="365" t="s">
        <v>311</v>
      </c>
      <c r="C748" s="314">
        <v>215.06</v>
      </c>
      <c r="D748" s="365" t="s">
        <v>1708</v>
      </c>
      <c r="H748" s="296" t="s">
        <v>1650</v>
      </c>
      <c r="K748" s="358" t="s">
        <v>1579</v>
      </c>
      <c r="M748" s="253" t="s">
        <v>1532</v>
      </c>
      <c r="N748" s="296" t="s">
        <v>313</v>
      </c>
      <c r="O748" s="296" t="s">
        <v>1613</v>
      </c>
      <c r="U748" s="296" t="s">
        <v>1525</v>
      </c>
      <c r="W748" s="253"/>
      <c r="X748" s="274">
        <f t="shared" ref="X748:X753" si="104">(X747+C24)</f>
        <v>9472.76</v>
      </c>
      <c r="Y748" s="252">
        <f>X748+Y746</f>
        <v>9708.86</v>
      </c>
      <c r="AE748" s="370" t="str">
        <f t="shared" si="96"/>
        <v>|</v>
      </c>
      <c r="AG748" s="296" t="s">
        <v>2249</v>
      </c>
    </row>
    <row r="749" spans="1:33" ht="18.75" customHeight="1">
      <c r="A749" s="363">
        <f t="shared" si="97"/>
        <v>546</v>
      </c>
      <c r="B749" s="365" t="s">
        <v>1614</v>
      </c>
      <c r="C749" s="314">
        <v>97.24</v>
      </c>
      <c r="D749" s="365" t="s">
        <v>1708</v>
      </c>
      <c r="H749" s="253" t="s">
        <v>3586</v>
      </c>
      <c r="K749" s="252">
        <f>SUM(K743:K747)</f>
        <v>965.38</v>
      </c>
      <c r="O749" s="358" t="s">
        <v>1579</v>
      </c>
      <c r="W749" s="253"/>
      <c r="X749" s="274">
        <f t="shared" si="104"/>
        <v>9566.9599999999991</v>
      </c>
      <c r="Y749" s="252">
        <f>Y748-X748</f>
        <v>236.1</v>
      </c>
      <c r="AE749" s="370" t="str">
        <f t="shared" ref="AE749:AE812" si="105">AG749</f>
        <v>|</v>
      </c>
      <c r="AG749" s="296" t="s">
        <v>2249</v>
      </c>
    </row>
    <row r="750" spans="1:33" ht="18.75" customHeight="1">
      <c r="A750" s="363">
        <f t="shared" si="97"/>
        <v>547</v>
      </c>
      <c r="B750" s="365" t="s">
        <v>1426</v>
      </c>
      <c r="C750" s="314">
        <v>168.96</v>
      </c>
      <c r="D750" s="365" t="s">
        <v>1708</v>
      </c>
      <c r="K750" s="358" t="s">
        <v>1579</v>
      </c>
      <c r="M750" s="316">
        <v>2.35E-2</v>
      </c>
      <c r="N750" s="296" t="s">
        <v>866</v>
      </c>
      <c r="O750" s="296" t="s">
        <v>1309</v>
      </c>
      <c r="P750" s="252">
        <f>C86</f>
        <v>34300</v>
      </c>
      <c r="Q750" s="296" t="s">
        <v>866</v>
      </c>
      <c r="R750" s="252">
        <f t="shared" ref="R750:R756" si="106">M750*P750</f>
        <v>806.05</v>
      </c>
      <c r="W750" s="253"/>
      <c r="X750" s="274">
        <f t="shared" si="104"/>
        <v>9605.91</v>
      </c>
      <c r="AE750" s="370" t="str">
        <f t="shared" si="105"/>
        <v>|</v>
      </c>
      <c r="AG750" s="296" t="s">
        <v>2249</v>
      </c>
    </row>
    <row r="751" spans="1:33" ht="18.75" customHeight="1">
      <c r="A751" s="363">
        <f t="shared" si="97"/>
        <v>548</v>
      </c>
      <c r="B751" s="296" t="s">
        <v>5444</v>
      </c>
      <c r="C751" s="362">
        <v>376.7</v>
      </c>
      <c r="D751" s="362">
        <v>408</v>
      </c>
      <c r="H751" s="253" t="s">
        <v>27</v>
      </c>
      <c r="K751" s="252">
        <f>K749/40</f>
        <v>24.13</v>
      </c>
      <c r="M751" s="316">
        <v>0.872</v>
      </c>
      <c r="N751" s="296" t="s">
        <v>606</v>
      </c>
      <c r="O751" s="296" t="s">
        <v>1292</v>
      </c>
      <c r="P751" s="252">
        <f>C783</f>
        <v>387.4</v>
      </c>
      <c r="Q751" s="296" t="s">
        <v>606</v>
      </c>
      <c r="R751" s="252">
        <f t="shared" si="106"/>
        <v>337.81</v>
      </c>
      <c r="W751" s="253"/>
      <c r="X751" s="274">
        <f t="shared" si="104"/>
        <v>9640.11</v>
      </c>
      <c r="AE751" s="370" t="str">
        <f t="shared" si="105"/>
        <v>|</v>
      </c>
      <c r="AG751" s="296" t="s">
        <v>2249</v>
      </c>
    </row>
    <row r="752" spans="1:33" ht="18.75" customHeight="1">
      <c r="A752" s="363">
        <f t="shared" si="97"/>
        <v>549</v>
      </c>
      <c r="B752" s="296" t="s">
        <v>5445</v>
      </c>
      <c r="C752" s="362">
        <v>769</v>
      </c>
      <c r="D752" s="365" t="s">
        <v>1708</v>
      </c>
      <c r="K752" s="358" t="s">
        <v>1579</v>
      </c>
      <c r="M752" s="316">
        <v>1.3247</v>
      </c>
      <c r="N752" s="296" t="s">
        <v>606</v>
      </c>
      <c r="O752" s="296" t="s">
        <v>2083</v>
      </c>
      <c r="P752" s="252">
        <f>C31</f>
        <v>1537</v>
      </c>
      <c r="Q752" s="296" t="s">
        <v>606</v>
      </c>
      <c r="R752" s="252">
        <f t="shared" si="106"/>
        <v>2036.06</v>
      </c>
      <c r="W752" s="253"/>
      <c r="X752" s="274">
        <f t="shared" si="104"/>
        <v>9726.51</v>
      </c>
      <c r="AE752" s="370" t="str">
        <f t="shared" si="105"/>
        <v>|</v>
      </c>
      <c r="AG752" s="296" t="s">
        <v>2249</v>
      </c>
    </row>
    <row r="753" spans="1:33" ht="18.75" customHeight="1">
      <c r="A753" s="363">
        <f t="shared" si="97"/>
        <v>550</v>
      </c>
      <c r="B753" s="365" t="s">
        <v>822</v>
      </c>
      <c r="C753" s="314">
        <v>210</v>
      </c>
      <c r="D753" s="365" t="s">
        <v>1708</v>
      </c>
      <c r="H753" s="296" t="s">
        <v>894</v>
      </c>
      <c r="M753" s="252">
        <v>1</v>
      </c>
      <c r="N753" s="296" t="s">
        <v>865</v>
      </c>
      <c r="O753" s="296" t="s">
        <v>1715</v>
      </c>
      <c r="P753" s="252">
        <f>C299</f>
        <v>10.5</v>
      </c>
      <c r="Q753" s="296" t="s">
        <v>865</v>
      </c>
      <c r="R753" s="252">
        <f t="shared" si="106"/>
        <v>10.5</v>
      </c>
      <c r="W753" s="253"/>
      <c r="X753" s="274">
        <f t="shared" si="104"/>
        <v>10495.51</v>
      </c>
      <c r="AE753" s="370" t="str">
        <f t="shared" si="105"/>
        <v>|</v>
      </c>
      <c r="AG753" s="296" t="s">
        <v>2249</v>
      </c>
    </row>
    <row r="754" spans="1:33" ht="18.75" customHeight="1">
      <c r="A754" s="363">
        <f t="shared" si="97"/>
        <v>551</v>
      </c>
      <c r="B754" s="296" t="s">
        <v>4881</v>
      </c>
      <c r="C754" s="362">
        <v>1462</v>
      </c>
      <c r="D754" s="365" t="s">
        <v>606</v>
      </c>
      <c r="H754" s="296" t="s">
        <v>310</v>
      </c>
      <c r="M754" s="252">
        <v>3</v>
      </c>
      <c r="N754" s="296" t="s">
        <v>865</v>
      </c>
      <c r="O754" s="296" t="s">
        <v>1387</v>
      </c>
      <c r="P754" s="252">
        <f>C294</f>
        <v>5.75</v>
      </c>
      <c r="Q754" s="296" t="s">
        <v>865</v>
      </c>
      <c r="R754" s="252">
        <f t="shared" si="106"/>
        <v>17.25</v>
      </c>
      <c r="W754" s="253"/>
      <c r="AE754" s="370" t="str">
        <f t="shared" si="105"/>
        <v>|</v>
      </c>
      <c r="AG754" s="296" t="s">
        <v>2249</v>
      </c>
    </row>
    <row r="755" spans="1:33" ht="18.75" customHeight="1">
      <c r="A755" s="363">
        <f t="shared" si="97"/>
        <v>552</v>
      </c>
      <c r="B755" s="365" t="s">
        <v>1388</v>
      </c>
      <c r="C755" s="364"/>
      <c r="D755" s="365" t="s">
        <v>971</v>
      </c>
      <c r="H755" s="296" t="s">
        <v>312</v>
      </c>
      <c r="M755" s="252">
        <v>1</v>
      </c>
      <c r="N755" s="296" t="s">
        <v>865</v>
      </c>
      <c r="O755" s="296" t="s">
        <v>1391</v>
      </c>
      <c r="P755" s="252">
        <f>C302</f>
        <v>10</v>
      </c>
      <c r="Q755" s="296" t="s">
        <v>865</v>
      </c>
      <c r="R755" s="252">
        <f t="shared" si="106"/>
        <v>10</v>
      </c>
      <c r="W755" s="253"/>
      <c r="AE755" s="370" t="str">
        <f t="shared" si="105"/>
        <v>|</v>
      </c>
      <c r="AG755" s="296" t="s">
        <v>2249</v>
      </c>
    </row>
    <row r="756" spans="1:33" ht="18.75" customHeight="1">
      <c r="A756" s="363">
        <f t="shared" si="97"/>
        <v>553</v>
      </c>
      <c r="B756" s="365" t="s">
        <v>1392</v>
      </c>
      <c r="C756" s="364"/>
      <c r="D756" s="364"/>
      <c r="M756" s="252">
        <v>1</v>
      </c>
      <c r="N756" s="296" t="s">
        <v>865</v>
      </c>
      <c r="O756" s="296" t="s">
        <v>1971</v>
      </c>
      <c r="P756" s="252">
        <f>C303</f>
        <v>4</v>
      </c>
      <c r="Q756" s="296" t="s">
        <v>865</v>
      </c>
      <c r="R756" s="252">
        <f t="shared" si="106"/>
        <v>4</v>
      </c>
      <c r="W756" s="253"/>
      <c r="AE756" s="370" t="str">
        <f t="shared" si="105"/>
        <v>|</v>
      </c>
      <c r="AG756" s="296" t="s">
        <v>2249</v>
      </c>
    </row>
    <row r="757" spans="1:33" ht="18.75" customHeight="1">
      <c r="A757" s="363">
        <f t="shared" si="97"/>
        <v>554</v>
      </c>
      <c r="B757" s="365" t="s">
        <v>2168</v>
      </c>
      <c r="C757" s="364">
        <v>300</v>
      </c>
      <c r="D757" s="365" t="s">
        <v>2275</v>
      </c>
      <c r="F757" s="252">
        <v>19</v>
      </c>
      <c r="G757" s="252" t="s">
        <v>1427</v>
      </c>
      <c r="H757" s="296" t="s">
        <v>68</v>
      </c>
      <c r="I757" s="356">
        <f>K751</f>
        <v>24.13</v>
      </c>
      <c r="J757" s="296" t="s">
        <v>256</v>
      </c>
      <c r="K757" s="252">
        <f>(F757*I757)</f>
        <v>458.47</v>
      </c>
      <c r="N757" s="296" t="s">
        <v>446</v>
      </c>
      <c r="O757" s="296" t="s">
        <v>447</v>
      </c>
      <c r="Q757" s="296" t="s">
        <v>446</v>
      </c>
      <c r="R757" s="252">
        <v>0</v>
      </c>
      <c r="W757" s="253"/>
      <c r="AE757" s="370" t="str">
        <f t="shared" si="105"/>
        <v>|</v>
      </c>
      <c r="AG757" s="296" t="s">
        <v>2249</v>
      </c>
    </row>
    <row r="758" spans="1:33" ht="18.75" customHeight="1">
      <c r="A758" s="363">
        <f t="shared" si="97"/>
        <v>555</v>
      </c>
      <c r="B758" s="431" t="s">
        <v>771</v>
      </c>
      <c r="C758" s="364">
        <v>302</v>
      </c>
      <c r="D758" s="365" t="s">
        <v>2275</v>
      </c>
      <c r="H758" s="296" t="s">
        <v>1652</v>
      </c>
      <c r="R758" s="358" t="s">
        <v>1579</v>
      </c>
      <c r="W758" s="253"/>
      <c r="AE758" s="370" t="str">
        <f t="shared" si="105"/>
        <v>|</v>
      </c>
      <c r="AG758" s="296" t="s">
        <v>2249</v>
      </c>
    </row>
    <row r="759" spans="1:33" ht="18.75" customHeight="1">
      <c r="A759" s="363">
        <f t="shared" si="97"/>
        <v>556</v>
      </c>
      <c r="B759" s="365" t="s">
        <v>773</v>
      </c>
      <c r="C759" s="364">
        <v>382</v>
      </c>
      <c r="D759" s="365" t="s">
        <v>2275</v>
      </c>
      <c r="F759" s="252">
        <v>0.12</v>
      </c>
      <c r="G759" s="252" t="s">
        <v>2142</v>
      </c>
      <c r="H759" s="296" t="s">
        <v>1131</v>
      </c>
      <c r="I759" s="252">
        <f>C269/5</f>
        <v>3100</v>
      </c>
      <c r="J759" s="296" t="s">
        <v>256</v>
      </c>
      <c r="K759" s="252">
        <f t="shared" ref="K759:K766" si="107">(F759*I759)</f>
        <v>372</v>
      </c>
      <c r="O759" s="253" t="s">
        <v>742</v>
      </c>
      <c r="R759" s="252">
        <f>SUM(R750:R757)</f>
        <v>3221.67</v>
      </c>
      <c r="W759" s="253"/>
      <c r="AE759" s="370" t="str">
        <f t="shared" si="105"/>
        <v>|</v>
      </c>
      <c r="AG759" s="296" t="s">
        <v>2249</v>
      </c>
    </row>
    <row r="760" spans="1:33" ht="18.75" customHeight="1">
      <c r="A760" s="363">
        <f t="shared" si="97"/>
        <v>557</v>
      </c>
      <c r="B760" s="365" t="s">
        <v>567</v>
      </c>
      <c r="C760" s="364">
        <v>140</v>
      </c>
      <c r="D760" s="365" t="s">
        <v>2275</v>
      </c>
      <c r="F760" s="252">
        <v>98.5</v>
      </c>
      <c r="G760" s="252" t="s">
        <v>823</v>
      </c>
      <c r="H760" s="296" t="s">
        <v>824</v>
      </c>
      <c r="I760" s="252">
        <f>C270/5</f>
        <v>5.04</v>
      </c>
      <c r="J760" s="296" t="s">
        <v>256</v>
      </c>
      <c r="K760" s="252">
        <f t="shared" si="107"/>
        <v>496.44</v>
      </c>
      <c r="R760" s="358" t="s">
        <v>1579</v>
      </c>
      <c r="T760" s="274">
        <v>4.2</v>
      </c>
      <c r="U760" s="274" t="s">
        <v>5446</v>
      </c>
      <c r="W760" s="253"/>
      <c r="AE760" s="370" t="str">
        <f t="shared" si="105"/>
        <v>|</v>
      </c>
      <c r="AG760" s="296" t="s">
        <v>2249</v>
      </c>
    </row>
    <row r="761" spans="1:33" ht="18.75" customHeight="1">
      <c r="A761" s="363">
        <f t="shared" si="97"/>
        <v>558</v>
      </c>
      <c r="B761" s="365" t="s">
        <v>835</v>
      </c>
      <c r="C761" s="364">
        <v>222</v>
      </c>
      <c r="D761" s="365" t="s">
        <v>2275</v>
      </c>
      <c r="F761" s="252">
        <v>1</v>
      </c>
      <c r="G761" s="252" t="s">
        <v>446</v>
      </c>
      <c r="H761" s="296" t="s">
        <v>1386</v>
      </c>
      <c r="I761" s="399">
        <v>11</v>
      </c>
      <c r="J761" s="296" t="s">
        <v>446</v>
      </c>
      <c r="K761" s="252">
        <f t="shared" si="107"/>
        <v>11</v>
      </c>
      <c r="O761" s="253" t="s">
        <v>549</v>
      </c>
      <c r="R761" s="252">
        <f>R759/1.3247</f>
        <v>2432</v>
      </c>
      <c r="S761" s="356">
        <v>5</v>
      </c>
      <c r="T761" s="252" t="s">
        <v>1336</v>
      </c>
      <c r="U761" s="252" t="s">
        <v>5675</v>
      </c>
      <c r="V761" s="252">
        <f>V675</f>
        <v>1997.1</v>
      </c>
      <c r="W761" s="253"/>
      <c r="X761" s="252">
        <f t="shared" ref="X761:X768" si="108">V761*S761</f>
        <v>9985.5</v>
      </c>
      <c r="AE761" s="370" t="str">
        <f t="shared" si="105"/>
        <v>|</v>
      </c>
      <c r="AG761" s="296" t="s">
        <v>2249</v>
      </c>
    </row>
    <row r="762" spans="1:33" ht="18.75" customHeight="1">
      <c r="A762" s="363">
        <f t="shared" si="97"/>
        <v>559</v>
      </c>
      <c r="B762" s="365" t="s">
        <v>609</v>
      </c>
      <c r="C762" s="364">
        <v>505</v>
      </c>
      <c r="D762" s="365" t="s">
        <v>2275</v>
      </c>
      <c r="F762" s="252">
        <v>3.8</v>
      </c>
      <c r="G762" s="252" t="s">
        <v>1389</v>
      </c>
      <c r="H762" s="296" t="s">
        <v>1390</v>
      </c>
      <c r="I762" s="252">
        <f>C16</f>
        <v>976</v>
      </c>
      <c r="J762" s="296" t="s">
        <v>1393</v>
      </c>
      <c r="K762" s="252">
        <f t="shared" si="107"/>
        <v>3708.8</v>
      </c>
      <c r="R762" s="358" t="s">
        <v>2046</v>
      </c>
      <c r="S762" s="356">
        <v>3.3</v>
      </c>
      <c r="T762" s="252" t="s">
        <v>1336</v>
      </c>
      <c r="U762" s="252" t="s">
        <v>5676</v>
      </c>
      <c r="V762" s="252">
        <f t="shared" ref="V762:V768" si="109">V676</f>
        <v>1707.1</v>
      </c>
      <c r="W762" s="253"/>
      <c r="X762" s="252">
        <f t="shared" si="108"/>
        <v>5633.43</v>
      </c>
      <c r="AE762" s="370" t="str">
        <f t="shared" si="105"/>
        <v>|</v>
      </c>
      <c r="AG762" s="296" t="s">
        <v>2249</v>
      </c>
    </row>
    <row r="763" spans="1:33" ht="18.75" customHeight="1">
      <c r="A763" s="363">
        <f t="shared" si="97"/>
        <v>560</v>
      </c>
      <c r="B763" s="365" t="s">
        <v>4575</v>
      </c>
      <c r="C763" s="252">
        <v>272.2</v>
      </c>
      <c r="D763" s="365" t="s">
        <v>1708</v>
      </c>
      <c r="F763" s="252">
        <v>5.4</v>
      </c>
      <c r="G763" s="252" t="s">
        <v>1389</v>
      </c>
      <c r="H763" s="296" t="s">
        <v>820</v>
      </c>
      <c r="I763" s="252">
        <f>C12</f>
        <v>651</v>
      </c>
      <c r="J763" s="296" t="s">
        <v>1393</v>
      </c>
      <c r="K763" s="252">
        <f t="shared" si="107"/>
        <v>3515.4</v>
      </c>
      <c r="N763" s="296" t="s">
        <v>2241</v>
      </c>
      <c r="S763" s="356">
        <v>4.79</v>
      </c>
      <c r="T763" s="252" t="s">
        <v>1336</v>
      </c>
      <c r="U763" s="252" t="s">
        <v>5677</v>
      </c>
      <c r="V763" s="252">
        <f t="shared" si="109"/>
        <v>1846.1</v>
      </c>
      <c r="W763" s="253"/>
      <c r="X763" s="252">
        <f t="shared" si="108"/>
        <v>8842.82</v>
      </c>
      <c r="AE763" s="370" t="str">
        <f t="shared" si="105"/>
        <v>|</v>
      </c>
      <c r="AG763" s="296" t="s">
        <v>2249</v>
      </c>
    </row>
    <row r="764" spans="1:33" ht="18.75" customHeight="1">
      <c r="A764" s="364" t="s">
        <v>2813</v>
      </c>
      <c r="B764" s="365" t="s">
        <v>5447</v>
      </c>
      <c r="C764" s="362">
        <v>1020</v>
      </c>
      <c r="D764" s="365" t="s">
        <v>1708</v>
      </c>
      <c r="F764" s="252">
        <v>1</v>
      </c>
      <c r="G764" s="252" t="s">
        <v>1389</v>
      </c>
      <c r="H764" s="296" t="s">
        <v>2276</v>
      </c>
      <c r="I764" s="252">
        <f>C66</f>
        <v>856</v>
      </c>
      <c r="J764" s="296" t="s">
        <v>1393</v>
      </c>
      <c r="K764" s="252">
        <f t="shared" si="107"/>
        <v>856</v>
      </c>
      <c r="O764" s="296" t="s">
        <v>2274</v>
      </c>
      <c r="S764" s="356">
        <v>4.25</v>
      </c>
      <c r="T764" s="252" t="s">
        <v>525</v>
      </c>
      <c r="U764" s="252" t="s">
        <v>387</v>
      </c>
      <c r="V764" s="252">
        <f t="shared" si="109"/>
        <v>6040</v>
      </c>
      <c r="W764" s="253"/>
      <c r="X764" s="252">
        <f t="shared" si="108"/>
        <v>25670</v>
      </c>
      <c r="AE764" s="370" t="str">
        <f t="shared" si="105"/>
        <v>|</v>
      </c>
      <c r="AG764" s="296" t="s">
        <v>2249</v>
      </c>
    </row>
    <row r="765" spans="1:33" ht="18.75" customHeight="1">
      <c r="A765" s="363">
        <f>(A763+1)</f>
        <v>561</v>
      </c>
      <c r="B765" s="365" t="s">
        <v>100</v>
      </c>
      <c r="C765" s="364">
        <v>43.3</v>
      </c>
      <c r="D765" s="365" t="s">
        <v>1763</v>
      </c>
      <c r="F765" s="252">
        <v>1</v>
      </c>
      <c r="G765" s="252" t="s">
        <v>446</v>
      </c>
      <c r="H765" s="296" t="s">
        <v>772</v>
      </c>
      <c r="I765" s="399">
        <v>10</v>
      </c>
      <c r="J765" s="296" t="s">
        <v>446</v>
      </c>
      <c r="K765" s="252">
        <f t="shared" si="107"/>
        <v>10</v>
      </c>
      <c r="O765" s="296" t="s">
        <v>2104</v>
      </c>
      <c r="S765" s="356">
        <v>40</v>
      </c>
      <c r="T765" s="252" t="s">
        <v>1637</v>
      </c>
      <c r="U765" s="252" t="s">
        <v>3994</v>
      </c>
      <c r="V765" s="252">
        <f t="shared" si="109"/>
        <v>43.2</v>
      </c>
      <c r="W765" s="253"/>
      <c r="X765" s="252">
        <f t="shared" si="108"/>
        <v>1728</v>
      </c>
      <c r="AE765" s="370" t="str">
        <f t="shared" si="105"/>
        <v>|</v>
      </c>
      <c r="AG765" s="296" t="s">
        <v>2249</v>
      </c>
    </row>
    <row r="766" spans="1:33" ht="18.75" customHeight="1">
      <c r="A766" s="363">
        <f t="shared" ref="A766:A783" si="110">(A765+1)</f>
        <v>562</v>
      </c>
      <c r="B766" s="365" t="s">
        <v>2105</v>
      </c>
      <c r="C766" s="364">
        <v>218</v>
      </c>
      <c r="D766" s="365" t="s">
        <v>1708</v>
      </c>
      <c r="F766" s="252">
        <v>19</v>
      </c>
      <c r="G766" s="252" t="s">
        <v>1427</v>
      </c>
      <c r="H766" s="296" t="s">
        <v>774</v>
      </c>
      <c r="I766" s="399">
        <v>2</v>
      </c>
      <c r="J766" s="296" t="s">
        <v>1427</v>
      </c>
      <c r="K766" s="252">
        <f t="shared" si="107"/>
        <v>38</v>
      </c>
      <c r="O766" s="296" t="s">
        <v>714</v>
      </c>
      <c r="S766" s="356">
        <v>3.5</v>
      </c>
      <c r="T766" s="252" t="s">
        <v>1427</v>
      </c>
      <c r="U766" s="252" t="s">
        <v>462</v>
      </c>
      <c r="V766" s="252">
        <f t="shared" si="109"/>
        <v>932</v>
      </c>
      <c r="W766" s="253"/>
      <c r="X766" s="252">
        <f t="shared" si="108"/>
        <v>3262</v>
      </c>
      <c r="AE766" s="370" t="str">
        <f t="shared" si="105"/>
        <v>|</v>
      </c>
      <c r="AG766" s="296" t="s">
        <v>2249</v>
      </c>
    </row>
    <row r="767" spans="1:33" ht="18.75" customHeight="1">
      <c r="A767" s="363">
        <f t="shared" si="110"/>
        <v>563</v>
      </c>
      <c r="B767" s="365" t="s">
        <v>715</v>
      </c>
      <c r="C767" s="364">
        <v>926</v>
      </c>
      <c r="D767" s="365" t="s">
        <v>1708</v>
      </c>
      <c r="H767" s="296" t="s">
        <v>501</v>
      </c>
      <c r="K767" s="358" t="s">
        <v>1579</v>
      </c>
      <c r="O767" s="296" t="s">
        <v>86</v>
      </c>
      <c r="S767" s="356">
        <v>21.2</v>
      </c>
      <c r="T767" s="252" t="s">
        <v>1427</v>
      </c>
      <c r="U767" s="252" t="s">
        <v>3453</v>
      </c>
      <c r="V767" s="252">
        <f t="shared" si="109"/>
        <v>651</v>
      </c>
      <c r="W767" s="253"/>
      <c r="X767" s="252">
        <f t="shared" si="108"/>
        <v>13801.2</v>
      </c>
      <c r="AE767" s="370" t="str">
        <f t="shared" si="105"/>
        <v>|</v>
      </c>
      <c r="AG767" s="296" t="s">
        <v>2249</v>
      </c>
    </row>
    <row r="768" spans="1:33" ht="18.75" customHeight="1">
      <c r="A768" s="363">
        <f t="shared" si="110"/>
        <v>564</v>
      </c>
      <c r="B768" s="365" t="s">
        <v>87</v>
      </c>
      <c r="C768" s="364">
        <v>5.15</v>
      </c>
      <c r="D768" s="365" t="s">
        <v>1763</v>
      </c>
      <c r="H768" s="253" t="s">
        <v>438</v>
      </c>
      <c r="K768" s="252">
        <f>SUM(K757:K766)+0.07</f>
        <v>9466.18</v>
      </c>
      <c r="O768" s="358" t="s">
        <v>1579</v>
      </c>
      <c r="S768" s="356">
        <v>35.299999999999997</v>
      </c>
      <c r="T768" s="252" t="s">
        <v>1427</v>
      </c>
      <c r="U768" s="252" t="s">
        <v>3454</v>
      </c>
      <c r="V768" s="252">
        <f t="shared" si="109"/>
        <v>534</v>
      </c>
      <c r="W768" s="253"/>
      <c r="X768" s="252">
        <f t="shared" si="108"/>
        <v>18850.2</v>
      </c>
      <c r="AE768" s="370" t="str">
        <f t="shared" si="105"/>
        <v>|</v>
      </c>
      <c r="AG768" s="296" t="s">
        <v>2249</v>
      </c>
    </row>
    <row r="769" spans="1:33" ht="18.75" customHeight="1">
      <c r="A769" s="363">
        <f t="shared" si="110"/>
        <v>565</v>
      </c>
      <c r="B769" s="365" t="s">
        <v>564</v>
      </c>
      <c r="C769" s="364">
        <v>550</v>
      </c>
      <c r="D769" s="365" t="s">
        <v>1708</v>
      </c>
      <c r="K769" s="358" t="s">
        <v>1579</v>
      </c>
      <c r="U769" s="274" t="s">
        <v>3989</v>
      </c>
      <c r="W769" s="253"/>
      <c r="X769" s="274">
        <f>SUM(X761:X768)</f>
        <v>87773.15</v>
      </c>
      <c r="AE769" s="370" t="str">
        <f t="shared" si="105"/>
        <v>|</v>
      </c>
      <c r="AG769" s="296" t="s">
        <v>2249</v>
      </c>
    </row>
    <row r="770" spans="1:33" ht="18.75" customHeight="1">
      <c r="A770" s="363">
        <f t="shared" si="110"/>
        <v>566</v>
      </c>
      <c r="B770" s="365" t="s">
        <v>974</v>
      </c>
      <c r="C770" s="364">
        <v>286</v>
      </c>
      <c r="D770" s="365" t="s">
        <v>1708</v>
      </c>
      <c r="H770" s="253" t="s">
        <v>549</v>
      </c>
      <c r="K770" s="252">
        <f>(K768/10)</f>
        <v>946.62</v>
      </c>
      <c r="O770" s="296" t="s">
        <v>896</v>
      </c>
      <c r="R770" s="252">
        <f>(C723)</f>
        <v>1183.82</v>
      </c>
      <c r="U770" s="274" t="s">
        <v>3990</v>
      </c>
      <c r="W770" s="253"/>
      <c r="X770" s="274">
        <f>X769/10</f>
        <v>8777.32</v>
      </c>
      <c r="AE770" s="370" t="str">
        <f t="shared" si="105"/>
        <v>|</v>
      </c>
      <c r="AG770" s="296" t="s">
        <v>2249</v>
      </c>
    </row>
    <row r="771" spans="1:33" ht="18.75" customHeight="1">
      <c r="A771" s="363">
        <f t="shared" si="110"/>
        <v>567</v>
      </c>
      <c r="B771" s="365" t="s">
        <v>897</v>
      </c>
      <c r="C771" s="364">
        <v>96.3</v>
      </c>
      <c r="D771" s="365" t="s">
        <v>1763</v>
      </c>
      <c r="F771" s="296" t="s">
        <v>971</v>
      </c>
      <c r="R771" s="358" t="s">
        <v>2046</v>
      </c>
      <c r="S771" s="356">
        <v>1</v>
      </c>
      <c r="T771" s="252" t="s">
        <v>1336</v>
      </c>
      <c r="U771" s="252" t="s">
        <v>4016</v>
      </c>
      <c r="V771" s="252">
        <f>V807</f>
        <v>94.2</v>
      </c>
      <c r="W771" s="253"/>
      <c r="X771" s="252">
        <f>V771</f>
        <v>94.2</v>
      </c>
      <c r="AE771" s="370" t="str">
        <f t="shared" si="105"/>
        <v>|</v>
      </c>
      <c r="AG771" s="296" t="s">
        <v>2249</v>
      </c>
    </row>
    <row r="772" spans="1:33" ht="18.75" customHeight="1">
      <c r="A772" s="363">
        <f t="shared" si="110"/>
        <v>568</v>
      </c>
      <c r="B772" s="365" t="s">
        <v>836</v>
      </c>
      <c r="C772" s="364">
        <v>51</v>
      </c>
      <c r="D772" s="365" t="s">
        <v>1708</v>
      </c>
      <c r="K772" s="358" t="s">
        <v>2046</v>
      </c>
      <c r="U772" s="252" t="s">
        <v>3991</v>
      </c>
      <c r="W772" s="253"/>
      <c r="X772" s="274">
        <f>SUM(X770:X771)</f>
        <v>8871.52</v>
      </c>
      <c r="AE772" s="370" t="str">
        <f t="shared" si="105"/>
        <v>|</v>
      </c>
      <c r="AG772" s="296" t="s">
        <v>2249</v>
      </c>
    </row>
    <row r="773" spans="1:33" ht="18.75" customHeight="1">
      <c r="A773" s="363">
        <f t="shared" si="110"/>
        <v>569</v>
      </c>
      <c r="B773" s="365" t="s">
        <v>551</v>
      </c>
      <c r="C773" s="364">
        <v>181</v>
      </c>
      <c r="D773" s="365" t="s">
        <v>780</v>
      </c>
      <c r="F773" s="253" t="s">
        <v>1483</v>
      </c>
      <c r="G773" s="252" t="s">
        <v>2241</v>
      </c>
      <c r="H773" s="296" t="s">
        <v>713</v>
      </c>
      <c r="N773" s="296" t="s">
        <v>2241</v>
      </c>
      <c r="O773" s="296" t="s">
        <v>553</v>
      </c>
      <c r="S773" s="429" t="s">
        <v>654</v>
      </c>
      <c r="U773" s="252" t="s">
        <v>3992</v>
      </c>
      <c r="V773" s="429" t="s">
        <v>654</v>
      </c>
      <c r="W773" s="253"/>
      <c r="X773" s="252">
        <f>X772*0.5%</f>
        <v>44.36</v>
      </c>
      <c r="AE773" s="370" t="str">
        <f t="shared" si="105"/>
        <v>|</v>
      </c>
      <c r="AG773" s="296" t="s">
        <v>2249</v>
      </c>
    </row>
    <row r="774" spans="1:33" ht="18.75" customHeight="1">
      <c r="A774" s="363">
        <f t="shared" si="110"/>
        <v>570</v>
      </c>
      <c r="B774" s="365" t="s">
        <v>554</v>
      </c>
      <c r="C774" s="364">
        <v>36.200000000000003</v>
      </c>
      <c r="D774" s="365" t="s">
        <v>1763</v>
      </c>
      <c r="H774" s="296" t="s">
        <v>716</v>
      </c>
      <c r="O774" s="358" t="s">
        <v>2046</v>
      </c>
      <c r="P774" s="358" t="s">
        <v>2046</v>
      </c>
      <c r="Q774" s="358" t="s">
        <v>2046</v>
      </c>
      <c r="R774" s="296" t="s">
        <v>998</v>
      </c>
      <c r="U774" s="274" t="s">
        <v>3578</v>
      </c>
      <c r="W774" s="253"/>
      <c r="X774" s="274">
        <f>SUM(X772:X773)</f>
        <v>8915.8799999999992</v>
      </c>
      <c r="AE774" s="370" t="str">
        <f t="shared" si="105"/>
        <v>|</v>
      </c>
      <c r="AG774" s="296" t="s">
        <v>2249</v>
      </c>
    </row>
    <row r="775" spans="1:33" ht="18.75" customHeight="1">
      <c r="A775" s="363">
        <f t="shared" si="110"/>
        <v>571</v>
      </c>
      <c r="B775" s="365" t="s">
        <v>655</v>
      </c>
      <c r="C775" s="364">
        <v>98</v>
      </c>
      <c r="D775" s="365" t="s">
        <v>1708</v>
      </c>
      <c r="H775" s="296" t="s">
        <v>2263</v>
      </c>
      <c r="O775" s="296" t="s">
        <v>1428</v>
      </c>
      <c r="Q775" s="253" t="s">
        <v>823</v>
      </c>
      <c r="R775" s="252">
        <f>(C726)</f>
        <v>147.6</v>
      </c>
      <c r="W775" s="253"/>
      <c r="X775" s="358" t="s">
        <v>1579</v>
      </c>
      <c r="AE775" s="370" t="str">
        <f t="shared" si="105"/>
        <v>|</v>
      </c>
      <c r="AG775" s="296" t="s">
        <v>2249</v>
      </c>
    </row>
    <row r="776" spans="1:33" ht="18.75" customHeight="1">
      <c r="A776" s="363">
        <f t="shared" si="110"/>
        <v>572</v>
      </c>
      <c r="B776" s="365" t="s">
        <v>1950</v>
      </c>
      <c r="C776" s="364">
        <v>92</v>
      </c>
      <c r="D776" s="365" t="s">
        <v>1763</v>
      </c>
      <c r="H776" s="358" t="s">
        <v>1579</v>
      </c>
      <c r="O776" s="296" t="s">
        <v>2074</v>
      </c>
      <c r="U776" s="296" t="s">
        <v>383</v>
      </c>
      <c r="W776" s="253"/>
      <c r="X776" s="274">
        <f>(X774+C22)</f>
        <v>9035.73</v>
      </c>
      <c r="AE776" s="370" t="str">
        <f t="shared" si="105"/>
        <v>|::</v>
      </c>
      <c r="AG776" s="296" t="s">
        <v>318</v>
      </c>
    </row>
    <row r="777" spans="1:33" ht="18.75" customHeight="1">
      <c r="A777" s="363">
        <f t="shared" si="110"/>
        <v>573</v>
      </c>
      <c r="B777" s="365" t="s">
        <v>321</v>
      </c>
      <c r="C777" s="364">
        <v>49.42</v>
      </c>
      <c r="D777" s="365" t="s">
        <v>1708</v>
      </c>
      <c r="F777" s="252">
        <v>10</v>
      </c>
      <c r="G777" s="252" t="s">
        <v>606</v>
      </c>
      <c r="H777" s="296" t="s">
        <v>895</v>
      </c>
      <c r="I777" s="252">
        <f>(K757)*1.2</f>
        <v>550.16</v>
      </c>
      <c r="J777" s="296" t="s">
        <v>256</v>
      </c>
      <c r="K777" s="252">
        <f>(F777*I777)/10</f>
        <v>550.16</v>
      </c>
      <c r="O777" s="296" t="s">
        <v>322</v>
      </c>
      <c r="U777" s="296" t="s">
        <v>385</v>
      </c>
      <c r="W777" s="253"/>
      <c r="X777" s="274">
        <f>(X776+C24)</f>
        <v>9271.83</v>
      </c>
      <c r="AE777" s="370">
        <f t="shared" si="105"/>
        <v>0</v>
      </c>
    </row>
    <row r="778" spans="1:33" ht="18.75" customHeight="1">
      <c r="A778" s="363">
        <f t="shared" si="110"/>
        <v>574</v>
      </c>
      <c r="B778" s="365" t="s">
        <v>712</v>
      </c>
      <c r="C778" s="364">
        <v>53.2</v>
      </c>
      <c r="D778" s="365" t="s">
        <v>1708</v>
      </c>
      <c r="H778" s="296" t="s">
        <v>898</v>
      </c>
      <c r="O778" s="296" t="s">
        <v>1038</v>
      </c>
      <c r="U778" s="296" t="s">
        <v>2222</v>
      </c>
      <c r="W778" s="253"/>
      <c r="X778" s="274">
        <f>(X777+C24)</f>
        <v>9507.93</v>
      </c>
      <c r="AE778" s="370">
        <f t="shared" si="105"/>
        <v>0</v>
      </c>
    </row>
    <row r="779" spans="1:33" ht="18.75" customHeight="1">
      <c r="A779" s="363">
        <f t="shared" si="110"/>
        <v>575</v>
      </c>
      <c r="B779" s="365" t="s">
        <v>1039</v>
      </c>
      <c r="C779" s="364">
        <v>59</v>
      </c>
      <c r="D779" s="365" t="s">
        <v>1708</v>
      </c>
      <c r="H779" s="296" t="s">
        <v>837</v>
      </c>
      <c r="O779" s="296" t="s">
        <v>1097</v>
      </c>
      <c r="U779" s="296" t="s">
        <v>377</v>
      </c>
      <c r="W779" s="253"/>
      <c r="X779" s="274">
        <f>(X778+C24)</f>
        <v>9744.0300000000007</v>
      </c>
      <c r="AE779" s="370" t="str">
        <f t="shared" si="105"/>
        <v>|</v>
      </c>
      <c r="AG779" s="296" t="s">
        <v>2249</v>
      </c>
    </row>
    <row r="780" spans="1:33" ht="18.75" customHeight="1">
      <c r="A780" s="363">
        <f t="shared" si="110"/>
        <v>576</v>
      </c>
      <c r="B780" s="365" t="s">
        <v>957</v>
      </c>
      <c r="C780" s="364">
        <v>100</v>
      </c>
      <c r="D780" s="365" t="s">
        <v>1708</v>
      </c>
      <c r="F780" s="252">
        <v>10</v>
      </c>
      <c r="G780" s="252" t="s">
        <v>606</v>
      </c>
      <c r="H780" s="296" t="s">
        <v>552</v>
      </c>
      <c r="I780" s="252">
        <f>K759*1.2</f>
        <v>446.4</v>
      </c>
      <c r="J780" s="296" t="s">
        <v>256</v>
      </c>
      <c r="K780" s="252">
        <f>(F780*I780)/10</f>
        <v>446.4</v>
      </c>
      <c r="O780" s="296" t="s">
        <v>1106</v>
      </c>
      <c r="R780" s="296" t="s">
        <v>971</v>
      </c>
      <c r="U780" s="296" t="s">
        <v>1525</v>
      </c>
      <c r="W780" s="253"/>
      <c r="X780" s="274">
        <f>(X779+C$24)</f>
        <v>9980.1299999999992</v>
      </c>
      <c r="AE780" s="370">
        <f t="shared" si="105"/>
        <v>0</v>
      </c>
    </row>
    <row r="781" spans="1:33" ht="18.75" customHeight="1">
      <c r="A781" s="363">
        <f t="shared" si="110"/>
        <v>577</v>
      </c>
      <c r="B781" s="365" t="s">
        <v>1107</v>
      </c>
      <c r="C781" s="364">
        <v>49.52</v>
      </c>
      <c r="D781" s="365" t="s">
        <v>1763</v>
      </c>
      <c r="H781" s="296" t="s">
        <v>997</v>
      </c>
      <c r="O781" s="296" t="s">
        <v>971</v>
      </c>
      <c r="W781" s="253"/>
      <c r="X781" s="274">
        <f>(X780+C$24)</f>
        <v>10216.23</v>
      </c>
      <c r="AE781" s="370" t="str">
        <f t="shared" si="105"/>
        <v>|</v>
      </c>
      <c r="AG781" s="296" t="s">
        <v>2249</v>
      </c>
    </row>
    <row r="782" spans="1:33" ht="18.75" customHeight="1">
      <c r="A782" s="363">
        <f t="shared" si="110"/>
        <v>578</v>
      </c>
      <c r="B782" s="365" t="s">
        <v>2116</v>
      </c>
      <c r="C782" s="364">
        <v>1080</v>
      </c>
      <c r="D782" s="365" t="s">
        <v>1708</v>
      </c>
      <c r="H782" s="296" t="s">
        <v>813</v>
      </c>
      <c r="W782" s="253"/>
      <c r="X782" s="274">
        <f>(X781+C$24)</f>
        <v>10452.33</v>
      </c>
      <c r="AE782" s="370" t="str">
        <f t="shared" si="105"/>
        <v>|</v>
      </c>
      <c r="AG782" s="296" t="s">
        <v>2249</v>
      </c>
    </row>
    <row r="783" spans="1:33" ht="18.75" customHeight="1">
      <c r="A783" s="363">
        <f t="shared" si="110"/>
        <v>579</v>
      </c>
      <c r="B783" s="365" t="s">
        <v>4218</v>
      </c>
      <c r="C783" s="314">
        <v>387.4</v>
      </c>
      <c r="D783" s="365" t="s">
        <v>606</v>
      </c>
      <c r="F783" s="252">
        <v>98.5</v>
      </c>
      <c r="G783" s="252" t="s">
        <v>823</v>
      </c>
      <c r="H783" s="296" t="s">
        <v>824</v>
      </c>
      <c r="I783" s="252">
        <f>C270/5</f>
        <v>5.04</v>
      </c>
      <c r="J783" s="296" t="s">
        <v>256</v>
      </c>
      <c r="K783" s="252">
        <f t="shared" ref="K783:K789" si="111">(F783*I783)</f>
        <v>496.44</v>
      </c>
      <c r="N783" s="296" t="s">
        <v>2241</v>
      </c>
      <c r="O783" s="296" t="s">
        <v>2118</v>
      </c>
      <c r="Q783" s="253" t="s">
        <v>2273</v>
      </c>
      <c r="R783" s="252">
        <f>(C730)</f>
        <v>1250</v>
      </c>
      <c r="W783" s="253"/>
      <c r="X783" s="274">
        <f>(X782+C$24)</f>
        <v>10688.43</v>
      </c>
      <c r="AE783" s="370" t="str">
        <f t="shared" si="105"/>
        <v>|</v>
      </c>
      <c r="AG783" s="296" t="s">
        <v>2249</v>
      </c>
    </row>
    <row r="784" spans="1:33" ht="18.75" customHeight="1">
      <c r="A784" s="363" t="e">
        <f>(#REF!+1)</f>
        <v>#REF!</v>
      </c>
      <c r="B784" s="365" t="s">
        <v>1392</v>
      </c>
      <c r="C784" s="364"/>
      <c r="D784" s="364"/>
      <c r="F784" s="252">
        <v>3.8</v>
      </c>
      <c r="G784" s="252" t="s">
        <v>766</v>
      </c>
      <c r="H784" s="296" t="s">
        <v>498</v>
      </c>
      <c r="I784" s="252">
        <f>(C16)</f>
        <v>976</v>
      </c>
      <c r="J784" s="296" t="s">
        <v>766</v>
      </c>
      <c r="K784" s="252">
        <f t="shared" si="111"/>
        <v>3708.8</v>
      </c>
      <c r="O784" s="296" t="s">
        <v>1675</v>
      </c>
      <c r="W784" s="253"/>
      <c r="AE784" s="370" t="str">
        <f t="shared" si="105"/>
        <v>|</v>
      </c>
      <c r="AG784" s="296" t="s">
        <v>2249</v>
      </c>
    </row>
    <row r="785" spans="1:33" ht="18.75" customHeight="1">
      <c r="A785" s="363"/>
      <c r="B785" s="365" t="s">
        <v>2168</v>
      </c>
      <c r="C785" s="364">
        <v>300</v>
      </c>
      <c r="D785" s="364"/>
      <c r="F785" s="252">
        <v>5.4</v>
      </c>
      <c r="G785" s="252" t="s">
        <v>766</v>
      </c>
      <c r="H785" s="296" t="s">
        <v>1893</v>
      </c>
      <c r="I785" s="252">
        <f>(C12)</f>
        <v>651</v>
      </c>
      <c r="J785" s="296" t="s">
        <v>766</v>
      </c>
      <c r="K785" s="252">
        <f t="shared" si="111"/>
        <v>3515.4</v>
      </c>
      <c r="O785" s="296" t="s">
        <v>314</v>
      </c>
      <c r="W785" s="253"/>
      <c r="AE785" s="370" t="str">
        <f t="shared" si="105"/>
        <v>|</v>
      </c>
      <c r="AG785" s="296" t="s">
        <v>2249</v>
      </c>
    </row>
    <row r="786" spans="1:33" ht="18.75" customHeight="1">
      <c r="A786" s="363"/>
      <c r="B786" s="431" t="s">
        <v>771</v>
      </c>
      <c r="C786" s="364">
        <v>302</v>
      </c>
      <c r="D786" s="364"/>
      <c r="F786" s="252">
        <v>1</v>
      </c>
      <c r="G786" s="252" t="s">
        <v>766</v>
      </c>
      <c r="H786" s="296" t="s">
        <v>2276</v>
      </c>
      <c r="I786" s="252">
        <f>C66</f>
        <v>856</v>
      </c>
      <c r="J786" s="296" t="s">
        <v>1393</v>
      </c>
      <c r="K786" s="252">
        <f t="shared" si="111"/>
        <v>856</v>
      </c>
      <c r="O786" s="296" t="s">
        <v>1262</v>
      </c>
      <c r="W786" s="253"/>
      <c r="AE786" s="370" t="str">
        <f t="shared" si="105"/>
        <v>|</v>
      </c>
      <c r="AG786" s="296" t="s">
        <v>2249</v>
      </c>
    </row>
    <row r="787" spans="1:33" ht="18.75" customHeight="1">
      <c r="A787" s="363"/>
      <c r="B787" s="365" t="s">
        <v>1263</v>
      </c>
      <c r="C787" s="364">
        <v>324</v>
      </c>
      <c r="D787" s="364"/>
      <c r="F787" s="252">
        <v>1</v>
      </c>
      <c r="G787" s="252" t="s">
        <v>446</v>
      </c>
      <c r="H787" s="296" t="s">
        <v>958</v>
      </c>
      <c r="I787" s="252">
        <f>I761</f>
        <v>11</v>
      </c>
      <c r="J787" s="296" t="s">
        <v>1393</v>
      </c>
      <c r="K787" s="252">
        <f t="shared" si="111"/>
        <v>11</v>
      </c>
      <c r="W787" s="253"/>
      <c r="AE787" s="370" t="str">
        <f t="shared" si="105"/>
        <v>|</v>
      </c>
      <c r="AG787" s="296" t="s">
        <v>2249</v>
      </c>
    </row>
    <row r="788" spans="1:33" ht="18.75" customHeight="1">
      <c r="A788" s="363"/>
      <c r="B788" s="365" t="s">
        <v>773</v>
      </c>
      <c r="C788" s="364">
        <v>382</v>
      </c>
      <c r="D788" s="364"/>
      <c r="F788" s="252">
        <v>1</v>
      </c>
      <c r="G788" s="252" t="s">
        <v>446</v>
      </c>
      <c r="H788" s="296" t="s">
        <v>1293</v>
      </c>
      <c r="I788" s="432">
        <v>10</v>
      </c>
      <c r="J788" s="296" t="s">
        <v>446</v>
      </c>
      <c r="K788" s="252">
        <f t="shared" si="111"/>
        <v>10</v>
      </c>
      <c r="N788" s="296" t="s">
        <v>2241</v>
      </c>
      <c r="O788" s="296" t="s">
        <v>591</v>
      </c>
      <c r="W788" s="253"/>
      <c r="AE788" s="370" t="str">
        <f t="shared" si="105"/>
        <v>|</v>
      </c>
      <c r="AG788" s="296" t="s">
        <v>2249</v>
      </c>
    </row>
    <row r="789" spans="1:33" ht="18.75" customHeight="1">
      <c r="A789" s="363"/>
      <c r="B789" s="365" t="s">
        <v>609</v>
      </c>
      <c r="C789" s="364">
        <v>505</v>
      </c>
      <c r="D789" s="364"/>
      <c r="F789" s="252">
        <v>19</v>
      </c>
      <c r="G789" s="252" t="s">
        <v>1427</v>
      </c>
      <c r="H789" s="296" t="s">
        <v>2117</v>
      </c>
      <c r="I789" s="432">
        <v>2</v>
      </c>
      <c r="J789" s="296" t="s">
        <v>1427</v>
      </c>
      <c r="K789" s="252">
        <f t="shared" si="111"/>
        <v>38</v>
      </c>
      <c r="O789" s="296" t="s">
        <v>4068</v>
      </c>
      <c r="R789" s="296" t="s">
        <v>971</v>
      </c>
      <c r="W789" s="253"/>
      <c r="AE789" s="370" t="str">
        <f t="shared" si="105"/>
        <v>|</v>
      </c>
      <c r="AG789" s="296" t="s">
        <v>2249</v>
      </c>
    </row>
    <row r="790" spans="1:33" ht="18.75" customHeight="1">
      <c r="A790" s="363"/>
      <c r="B790" s="365" t="s">
        <v>567</v>
      </c>
      <c r="C790" s="364">
        <v>140</v>
      </c>
      <c r="D790" s="364"/>
      <c r="H790" s="296" t="s">
        <v>75</v>
      </c>
      <c r="O790" s="296" t="s">
        <v>2081</v>
      </c>
      <c r="W790" s="253"/>
      <c r="AE790" s="370" t="str">
        <f t="shared" si="105"/>
        <v>|</v>
      </c>
      <c r="AG790" s="296" t="s">
        <v>2249</v>
      </c>
    </row>
    <row r="791" spans="1:33" ht="18.75" customHeight="1">
      <c r="A791" s="363"/>
      <c r="B791" s="365" t="s">
        <v>835</v>
      </c>
      <c r="C791" s="364">
        <v>222</v>
      </c>
      <c r="D791" s="364"/>
      <c r="K791" s="358" t="s">
        <v>1579</v>
      </c>
      <c r="O791" s="358" t="s">
        <v>1579</v>
      </c>
      <c r="W791" s="253"/>
      <c r="AE791" s="370" t="str">
        <f t="shared" si="105"/>
        <v>|</v>
      </c>
      <c r="AG791" s="296" t="s">
        <v>2249</v>
      </c>
    </row>
    <row r="792" spans="1:33" ht="18.75" customHeight="1">
      <c r="A792" s="363"/>
      <c r="B792" s="365" t="s">
        <v>727</v>
      </c>
      <c r="C792" s="364">
        <v>100</v>
      </c>
      <c r="D792" s="364"/>
      <c r="H792" s="296" t="s">
        <v>438</v>
      </c>
      <c r="K792" s="252">
        <f>SUM(K777:K790)</f>
        <v>9632.2000000000007</v>
      </c>
      <c r="N792" s="296" t="s">
        <v>230</v>
      </c>
      <c r="O792" s="296" t="s">
        <v>4067</v>
      </c>
      <c r="P792" s="252">
        <f>(C272)</f>
        <v>306.89999999999998</v>
      </c>
      <c r="Q792" s="296" t="s">
        <v>230</v>
      </c>
      <c r="R792" s="252">
        <f>M792*P792</f>
        <v>0</v>
      </c>
      <c r="W792" s="253"/>
      <c r="AE792" s="370" t="str">
        <f t="shared" si="105"/>
        <v>|</v>
      </c>
      <c r="AG792" s="296" t="s">
        <v>2249</v>
      </c>
    </row>
    <row r="793" spans="1:33" ht="18.75" customHeight="1">
      <c r="A793" s="363"/>
      <c r="B793" s="365" t="s">
        <v>495</v>
      </c>
      <c r="C793" s="364">
        <v>75</v>
      </c>
      <c r="D793" s="364"/>
      <c r="K793" s="358" t="s">
        <v>1579</v>
      </c>
      <c r="W793" s="253"/>
      <c r="AE793" s="370" t="str">
        <f t="shared" si="105"/>
        <v>|</v>
      </c>
      <c r="AG793" s="296" t="s">
        <v>2249</v>
      </c>
    </row>
    <row r="794" spans="1:33" ht="18.75" customHeight="1">
      <c r="A794" s="363"/>
      <c r="B794" s="365" t="s">
        <v>1152</v>
      </c>
      <c r="C794" s="364">
        <v>218</v>
      </c>
      <c r="D794" s="364"/>
      <c r="H794" s="296" t="s">
        <v>549</v>
      </c>
      <c r="K794" s="252">
        <f>(K792/10)</f>
        <v>963.22</v>
      </c>
      <c r="N794" s="296" t="s">
        <v>1154</v>
      </c>
      <c r="O794" s="296" t="s">
        <v>271</v>
      </c>
      <c r="P794" s="252">
        <f>(C16)</f>
        <v>976</v>
      </c>
      <c r="Q794" s="296" t="s">
        <v>1154</v>
      </c>
      <c r="R794" s="252">
        <f>M794*P794</f>
        <v>0</v>
      </c>
      <c r="W794" s="253"/>
      <c r="AE794" s="370" t="str">
        <f t="shared" si="105"/>
        <v>|</v>
      </c>
      <c r="AG794" s="296" t="s">
        <v>2249</v>
      </c>
    </row>
    <row r="795" spans="1:33" ht="18.75" customHeight="1">
      <c r="A795" s="363"/>
      <c r="B795" s="365" t="s">
        <v>272</v>
      </c>
      <c r="C795" s="364">
        <v>1854</v>
      </c>
      <c r="D795" s="364"/>
      <c r="K795" s="358" t="s">
        <v>2046</v>
      </c>
      <c r="W795" s="253"/>
      <c r="AE795" s="370" t="str">
        <f t="shared" si="105"/>
        <v>|</v>
      </c>
      <c r="AG795" s="296" t="s">
        <v>2249</v>
      </c>
    </row>
    <row r="796" spans="1:33" ht="18.75" customHeight="1">
      <c r="A796" s="363"/>
      <c r="B796" s="365" t="s">
        <v>162</v>
      </c>
      <c r="C796" s="364">
        <v>51</v>
      </c>
      <c r="D796" s="364"/>
      <c r="O796" s="296" t="s">
        <v>1321</v>
      </c>
      <c r="P796" s="407" t="s">
        <v>446</v>
      </c>
      <c r="R796" s="252">
        <v>0.64</v>
      </c>
      <c r="W796" s="253"/>
      <c r="AE796" s="370" t="str">
        <f t="shared" si="105"/>
        <v>|</v>
      </c>
      <c r="AG796" s="296" t="s">
        <v>2249</v>
      </c>
    </row>
    <row r="797" spans="1:33" ht="18.75" customHeight="1">
      <c r="A797" s="363"/>
      <c r="B797" s="365" t="s">
        <v>1377</v>
      </c>
      <c r="C797" s="364">
        <v>915</v>
      </c>
      <c r="D797" s="364"/>
      <c r="F797" s="253" t="s">
        <v>882</v>
      </c>
      <c r="G797" s="252" t="s">
        <v>2241</v>
      </c>
      <c r="H797" s="296" t="s">
        <v>713</v>
      </c>
      <c r="R797" s="358" t="s">
        <v>1579</v>
      </c>
      <c r="W797" s="253"/>
      <c r="AE797" s="370" t="str">
        <f t="shared" si="105"/>
        <v>|</v>
      </c>
      <c r="AG797" s="296" t="s">
        <v>2249</v>
      </c>
    </row>
    <row r="798" spans="1:33" ht="18.75" customHeight="1">
      <c r="A798" s="363"/>
      <c r="B798" s="365" t="s">
        <v>131</v>
      </c>
      <c r="C798" s="364">
        <v>890</v>
      </c>
      <c r="D798" s="364"/>
      <c r="H798" s="296" t="s">
        <v>716</v>
      </c>
      <c r="O798" s="296" t="s">
        <v>1921</v>
      </c>
      <c r="R798" s="252">
        <f>SUM(R792:R796)</f>
        <v>0.64</v>
      </c>
      <c r="W798" s="253"/>
      <c r="AE798" s="370" t="str">
        <f t="shared" si="105"/>
        <v>|</v>
      </c>
      <c r="AG798" s="296" t="s">
        <v>2249</v>
      </c>
    </row>
    <row r="799" spans="1:33" ht="18.75" customHeight="1">
      <c r="A799" s="363"/>
      <c r="B799" s="365" t="s">
        <v>1922</v>
      </c>
      <c r="C799" s="364">
        <v>5.15</v>
      </c>
      <c r="D799" s="364"/>
      <c r="H799" s="296" t="s">
        <v>274</v>
      </c>
      <c r="R799" s="358" t="s">
        <v>1579</v>
      </c>
      <c r="U799" s="274" t="s">
        <v>3458</v>
      </c>
      <c r="W799" s="253"/>
      <c r="AE799" s="370" t="str">
        <f t="shared" si="105"/>
        <v>|</v>
      </c>
      <c r="AG799" s="296" t="s">
        <v>2249</v>
      </c>
    </row>
    <row r="800" spans="1:33" ht="18.75" customHeight="1">
      <c r="A800" s="363"/>
      <c r="B800" s="365" t="s">
        <v>1405</v>
      </c>
      <c r="C800" s="364">
        <v>43.3</v>
      </c>
      <c r="D800" s="364"/>
      <c r="H800" s="358" t="s">
        <v>1579</v>
      </c>
      <c r="O800" s="296" t="s">
        <v>1407</v>
      </c>
      <c r="R800" s="252">
        <f>(R798/0.4)</f>
        <v>1.6</v>
      </c>
      <c r="S800" s="356">
        <v>0.443</v>
      </c>
      <c r="T800" s="252" t="s">
        <v>1336</v>
      </c>
      <c r="U800" s="252" t="s">
        <v>3451</v>
      </c>
      <c r="V800" s="252">
        <f>AC14</f>
        <v>1997.1</v>
      </c>
      <c r="W800" s="253"/>
      <c r="X800" s="252">
        <f>V800*S800</f>
        <v>884.72</v>
      </c>
      <c r="AE800" s="370" t="str">
        <f t="shared" si="105"/>
        <v>|</v>
      </c>
      <c r="AG800" s="296" t="s">
        <v>2249</v>
      </c>
    </row>
    <row r="801" spans="1:33" ht="18.75" customHeight="1">
      <c r="A801" s="363"/>
      <c r="B801" s="365" t="s">
        <v>79</v>
      </c>
      <c r="C801" s="364">
        <v>920</v>
      </c>
      <c r="D801" s="364"/>
      <c r="H801" s="296" t="s">
        <v>1153</v>
      </c>
      <c r="K801" s="252">
        <f>(K732/2)</f>
        <v>475.28</v>
      </c>
      <c r="R801" s="358" t="s">
        <v>2046</v>
      </c>
      <c r="S801" s="356">
        <v>0.29499999999999998</v>
      </c>
      <c r="T801" s="252" t="s">
        <v>1336</v>
      </c>
      <c r="U801" s="252" t="s">
        <v>3452</v>
      </c>
      <c r="V801" s="252">
        <f>AC12</f>
        <v>1524.1</v>
      </c>
      <c r="W801" s="253"/>
      <c r="X801" s="252">
        <f t="shared" ref="X801:X807" si="112">V801*S801</f>
        <v>449.61</v>
      </c>
      <c r="AE801" s="370" t="str">
        <f t="shared" si="105"/>
        <v>|</v>
      </c>
      <c r="AG801" s="296" t="s">
        <v>2249</v>
      </c>
    </row>
    <row r="802" spans="1:33" ht="18.75" customHeight="1">
      <c r="A802" s="363"/>
      <c r="B802" s="365" t="s">
        <v>80</v>
      </c>
      <c r="C802" s="364">
        <v>98</v>
      </c>
      <c r="D802" s="364"/>
      <c r="H802" s="296" t="s">
        <v>273</v>
      </c>
      <c r="K802" s="358" t="s">
        <v>2046</v>
      </c>
      <c r="N802" s="376"/>
      <c r="O802" s="376"/>
      <c r="P802" s="314"/>
      <c r="Q802" s="314"/>
      <c r="R802" s="314"/>
      <c r="S802" s="356">
        <v>0.43</v>
      </c>
      <c r="T802" s="252" t="s">
        <v>1336</v>
      </c>
      <c r="U802" s="252" t="s">
        <v>1061</v>
      </c>
      <c r="V802" s="252">
        <f>I809</f>
        <v>1846.1</v>
      </c>
      <c r="W802" s="253"/>
      <c r="X802" s="252">
        <f t="shared" si="112"/>
        <v>793.82</v>
      </c>
      <c r="AE802" s="370" t="str">
        <f t="shared" si="105"/>
        <v>|</v>
      </c>
      <c r="AG802" s="296" t="s">
        <v>2249</v>
      </c>
    </row>
    <row r="803" spans="1:33" ht="18.75" customHeight="1">
      <c r="A803" s="363"/>
      <c r="B803" s="365" t="s">
        <v>2107</v>
      </c>
      <c r="C803" s="364">
        <v>181</v>
      </c>
      <c r="D803" s="364"/>
      <c r="F803" s="253" t="s">
        <v>163</v>
      </c>
      <c r="G803" s="252" t="s">
        <v>2241</v>
      </c>
      <c r="H803" s="296" t="s">
        <v>164</v>
      </c>
      <c r="N803" s="314"/>
      <c r="O803" s="376"/>
      <c r="P803" s="314"/>
      <c r="Q803" s="314"/>
      <c r="R803" s="314"/>
      <c r="S803" s="356">
        <v>0.39</v>
      </c>
      <c r="T803" s="252" t="s">
        <v>525</v>
      </c>
      <c r="U803" s="252" t="s">
        <v>387</v>
      </c>
      <c r="V803" s="252">
        <f>I808</f>
        <v>6040</v>
      </c>
      <c r="W803" s="253"/>
      <c r="X803" s="252">
        <f t="shared" si="112"/>
        <v>2355.6</v>
      </c>
      <c r="AE803" s="370" t="str">
        <f t="shared" si="105"/>
        <v>|</v>
      </c>
      <c r="AG803" s="296" t="s">
        <v>2249</v>
      </c>
    </row>
    <row r="804" spans="1:33" ht="18.75" customHeight="1">
      <c r="A804" s="363"/>
      <c r="B804" s="365" t="s">
        <v>91</v>
      </c>
      <c r="C804" s="364">
        <v>1148.76</v>
      </c>
      <c r="D804" s="364"/>
      <c r="H804" s="296" t="s">
        <v>1378</v>
      </c>
      <c r="N804" s="314"/>
      <c r="O804" s="376"/>
      <c r="P804" s="314"/>
      <c r="Q804" s="314"/>
      <c r="R804" s="314"/>
      <c r="S804" s="356">
        <v>0.35</v>
      </c>
      <c r="T804" s="252" t="s">
        <v>1427</v>
      </c>
      <c r="U804" s="252" t="s">
        <v>462</v>
      </c>
      <c r="V804" s="252">
        <f>I810</f>
        <v>932</v>
      </c>
      <c r="W804" s="253" t="str">
        <f>J810</f>
        <v>NO.</v>
      </c>
      <c r="X804" s="252">
        <f t="shared" si="112"/>
        <v>326.2</v>
      </c>
      <c r="AE804" s="370" t="str">
        <f t="shared" si="105"/>
        <v>|</v>
      </c>
      <c r="AG804" s="296" t="s">
        <v>2249</v>
      </c>
    </row>
    <row r="805" spans="1:33" ht="18.75" customHeight="1">
      <c r="A805" s="363"/>
      <c r="B805" s="365" t="s">
        <v>1542</v>
      </c>
      <c r="C805" s="364">
        <v>967</v>
      </c>
      <c r="D805" s="364"/>
      <c r="H805" s="296" t="s">
        <v>132</v>
      </c>
      <c r="N805" s="314"/>
      <c r="O805" s="433"/>
      <c r="P805" s="314"/>
      <c r="Q805" s="314"/>
      <c r="R805" s="314"/>
      <c r="S805" s="356">
        <v>2.12</v>
      </c>
      <c r="T805" s="252" t="s">
        <v>1427</v>
      </c>
      <c r="U805" s="252" t="s">
        <v>3453</v>
      </c>
      <c r="V805" s="252">
        <f>I811</f>
        <v>651</v>
      </c>
      <c r="W805" s="253"/>
      <c r="X805" s="252">
        <f t="shared" si="112"/>
        <v>1380.12</v>
      </c>
      <c r="AE805" s="370" t="str">
        <f t="shared" si="105"/>
        <v>|</v>
      </c>
      <c r="AG805" s="296" t="s">
        <v>2249</v>
      </c>
    </row>
    <row r="806" spans="1:33" ht="18.75" customHeight="1">
      <c r="A806" s="363"/>
      <c r="B806" s="365" t="s">
        <v>5678</v>
      </c>
      <c r="C806" s="434">
        <v>33.9</v>
      </c>
      <c r="D806" s="364"/>
      <c r="H806" s="358" t="s">
        <v>1579</v>
      </c>
      <c r="N806" s="435"/>
      <c r="O806" s="376"/>
      <c r="P806" s="314"/>
      <c r="Q806" s="314"/>
      <c r="R806" s="314"/>
      <c r="S806" s="356">
        <v>3.53</v>
      </c>
      <c r="T806" s="252" t="s">
        <v>1427</v>
      </c>
      <c r="U806" s="252" t="s">
        <v>3454</v>
      </c>
      <c r="V806" s="252">
        <f>I812</f>
        <v>534</v>
      </c>
      <c r="W806" s="253"/>
      <c r="X806" s="252">
        <f t="shared" si="112"/>
        <v>1885.02</v>
      </c>
      <c r="AE806" s="370" t="str">
        <f t="shared" si="105"/>
        <v>|</v>
      </c>
      <c r="AG806" s="296" t="s">
        <v>2249</v>
      </c>
    </row>
    <row r="807" spans="1:33" ht="18.75" customHeight="1">
      <c r="A807" s="363"/>
      <c r="B807" s="365" t="s">
        <v>1754</v>
      </c>
      <c r="C807" s="364">
        <v>2107</v>
      </c>
      <c r="D807" s="364"/>
      <c r="F807" s="356">
        <v>9</v>
      </c>
      <c r="G807" s="252" t="s">
        <v>866</v>
      </c>
      <c r="H807" s="296" t="s">
        <v>1406</v>
      </c>
      <c r="I807" s="252">
        <f>C73</f>
        <v>1997.1</v>
      </c>
      <c r="J807" s="296" t="s">
        <v>866</v>
      </c>
      <c r="K807" s="252">
        <f t="shared" ref="K807:K812" si="113">F807*I807</f>
        <v>17973.900000000001</v>
      </c>
      <c r="N807" s="314"/>
      <c r="O807" s="376"/>
      <c r="P807" s="314"/>
      <c r="Q807" s="314"/>
      <c r="R807" s="314"/>
      <c r="S807" s="356">
        <v>1</v>
      </c>
      <c r="T807" s="252" t="s">
        <v>1336</v>
      </c>
      <c r="U807" s="252" t="s">
        <v>3455</v>
      </c>
      <c r="V807" s="252">
        <f>K819</f>
        <v>94.2</v>
      </c>
      <c r="W807" s="253"/>
      <c r="X807" s="252">
        <f t="shared" si="112"/>
        <v>94.2</v>
      </c>
      <c r="AE807" s="370" t="str">
        <f t="shared" si="105"/>
        <v>|</v>
      </c>
      <c r="AG807" s="296" t="s">
        <v>2249</v>
      </c>
    </row>
    <row r="808" spans="1:33" ht="18.75" customHeight="1">
      <c r="A808" s="363"/>
      <c r="B808" s="365" t="s">
        <v>5448</v>
      </c>
      <c r="C808" s="370">
        <v>940</v>
      </c>
      <c r="D808" s="364"/>
      <c r="F808" s="356">
        <v>4.3079999999999998</v>
      </c>
      <c r="G808" s="252" t="s">
        <v>858</v>
      </c>
      <c r="H808" s="296" t="s">
        <v>859</v>
      </c>
      <c r="I808" s="252">
        <f>C67</f>
        <v>6040</v>
      </c>
      <c r="J808" s="296" t="s">
        <v>858</v>
      </c>
      <c r="K808" s="252">
        <f t="shared" si="113"/>
        <v>26020.32</v>
      </c>
      <c r="N808" s="376"/>
      <c r="O808" s="376"/>
      <c r="P808" s="314"/>
      <c r="Q808" s="314"/>
      <c r="R808" s="314"/>
      <c r="S808" s="429" t="s">
        <v>654</v>
      </c>
      <c r="U808" s="252" t="s">
        <v>3456</v>
      </c>
      <c r="V808" s="429" t="s">
        <v>654</v>
      </c>
      <c r="W808" s="253"/>
      <c r="X808" s="252">
        <v>270</v>
      </c>
      <c r="AE808" s="370" t="str">
        <f t="shared" si="105"/>
        <v>|</v>
      </c>
      <c r="AG808" s="296" t="s">
        <v>2249</v>
      </c>
    </row>
    <row r="809" spans="1:33" ht="18.75" customHeight="1">
      <c r="A809" s="363"/>
      <c r="B809" s="365" t="s">
        <v>4576</v>
      </c>
      <c r="C809" s="362">
        <v>826</v>
      </c>
      <c r="D809" s="364"/>
      <c r="F809" s="356">
        <v>4.5</v>
      </c>
      <c r="G809" s="252" t="s">
        <v>866</v>
      </c>
      <c r="H809" s="296" t="s">
        <v>867</v>
      </c>
      <c r="I809" s="252">
        <f>C78</f>
        <v>1846.1</v>
      </c>
      <c r="J809" s="296" t="s">
        <v>866</v>
      </c>
      <c r="K809" s="252">
        <f t="shared" si="113"/>
        <v>8307.4500000000007</v>
      </c>
      <c r="N809" s="314"/>
      <c r="O809" s="376"/>
      <c r="P809" s="314"/>
      <c r="Q809" s="314"/>
      <c r="R809" s="314"/>
      <c r="S809" s="429" t="s">
        <v>654</v>
      </c>
      <c r="U809" s="252" t="s">
        <v>3457</v>
      </c>
      <c r="V809" s="429" t="s">
        <v>654</v>
      </c>
      <c r="W809" s="253"/>
      <c r="X809" s="252">
        <v>150</v>
      </c>
      <c r="AE809" s="370" t="str">
        <f t="shared" si="105"/>
        <v>|</v>
      </c>
      <c r="AG809" s="296" t="s">
        <v>2249</v>
      </c>
    </row>
    <row r="810" spans="1:33" ht="18.75" customHeight="1">
      <c r="A810" s="363"/>
      <c r="B810" s="365" t="s">
        <v>4577</v>
      </c>
      <c r="C810" s="362">
        <v>644</v>
      </c>
      <c r="D810" s="364"/>
      <c r="F810" s="356">
        <v>3.5</v>
      </c>
      <c r="G810" s="252" t="s">
        <v>865</v>
      </c>
      <c r="H810" s="296" t="s">
        <v>1704</v>
      </c>
      <c r="I810" s="252">
        <f>C11</f>
        <v>932</v>
      </c>
      <c r="J810" s="296" t="s">
        <v>865</v>
      </c>
      <c r="K810" s="252">
        <f t="shared" si="113"/>
        <v>3262</v>
      </c>
      <c r="N810" s="314"/>
      <c r="O810" s="376"/>
      <c r="P810" s="314"/>
      <c r="Q810" s="314"/>
      <c r="R810" s="314"/>
      <c r="S810" s="429" t="s">
        <v>654</v>
      </c>
      <c r="U810" s="252" t="s">
        <v>2261</v>
      </c>
      <c r="V810" s="429" t="s">
        <v>654</v>
      </c>
      <c r="W810" s="253"/>
      <c r="X810" s="252">
        <v>0.06</v>
      </c>
      <c r="AE810" s="370" t="str">
        <f t="shared" si="105"/>
        <v>|</v>
      </c>
      <c r="AG810" s="296" t="s">
        <v>2249</v>
      </c>
    </row>
    <row r="811" spans="1:33" ht="18.75" customHeight="1">
      <c r="A811" s="363"/>
      <c r="B811" s="364"/>
      <c r="C811" s="364"/>
      <c r="D811" s="364"/>
      <c r="F811" s="356">
        <v>21.2</v>
      </c>
      <c r="G811" s="252" t="s">
        <v>865</v>
      </c>
      <c r="H811" s="296" t="s">
        <v>1893</v>
      </c>
      <c r="I811" s="252">
        <f>C12</f>
        <v>651</v>
      </c>
      <c r="J811" s="296" t="s">
        <v>865</v>
      </c>
      <c r="K811" s="252">
        <f t="shared" si="113"/>
        <v>13801.2</v>
      </c>
      <c r="N811" s="376"/>
      <c r="O811" s="376"/>
      <c r="P811" s="314"/>
      <c r="Q811" s="314"/>
      <c r="R811" s="314"/>
      <c r="W811" s="253"/>
      <c r="X811" s="274">
        <f>SUM(X800:X810)</f>
        <v>8589.35</v>
      </c>
      <c r="Y811" s="252">
        <v>59.4</v>
      </c>
      <c r="Z811" s="252">
        <v>117</v>
      </c>
      <c r="AE811" s="370" t="str">
        <f t="shared" si="105"/>
        <v>|</v>
      </c>
      <c r="AG811" s="296" t="s">
        <v>2249</v>
      </c>
    </row>
    <row r="812" spans="1:33" ht="18.75" customHeight="1">
      <c r="A812" s="363"/>
      <c r="B812" s="365" t="s">
        <v>3851</v>
      </c>
      <c r="C812" s="436">
        <v>3.15</v>
      </c>
      <c r="D812" s="364"/>
      <c r="F812" s="356">
        <v>35.299999999999997</v>
      </c>
      <c r="G812" s="252" t="s">
        <v>865</v>
      </c>
      <c r="H812" s="296" t="s">
        <v>317</v>
      </c>
      <c r="I812" s="252">
        <f>C13</f>
        <v>534</v>
      </c>
      <c r="J812" s="296" t="s">
        <v>865</v>
      </c>
      <c r="K812" s="252">
        <f t="shared" si="113"/>
        <v>18850.2</v>
      </c>
      <c r="N812" s="376"/>
      <c r="O812" s="376"/>
      <c r="P812" s="314"/>
      <c r="Q812" s="314"/>
      <c r="R812" s="314"/>
      <c r="W812" s="253"/>
      <c r="AE812" s="370" t="str">
        <f t="shared" si="105"/>
        <v>|</v>
      </c>
      <c r="AG812" s="296" t="s">
        <v>2249</v>
      </c>
    </row>
    <row r="813" spans="1:33" ht="18.75" customHeight="1">
      <c r="A813" s="363"/>
      <c r="B813" s="364"/>
      <c r="C813" s="364"/>
      <c r="D813" s="364"/>
      <c r="F813" s="407" t="s">
        <v>446</v>
      </c>
      <c r="H813" s="296" t="s">
        <v>447</v>
      </c>
      <c r="J813" s="296" t="s">
        <v>446</v>
      </c>
      <c r="K813" s="252">
        <v>0</v>
      </c>
      <c r="N813" s="376"/>
      <c r="O813" s="376"/>
      <c r="P813" s="314"/>
      <c r="Q813" s="314"/>
      <c r="R813" s="314"/>
      <c r="W813" s="253"/>
      <c r="AE813" s="370" t="str">
        <f t="shared" ref="AE813:AE876" si="114">AG813</f>
        <v>|</v>
      </c>
      <c r="AG813" s="296" t="s">
        <v>2249</v>
      </c>
    </row>
    <row r="814" spans="1:33" ht="18.75" customHeight="1">
      <c r="A814" s="363"/>
      <c r="B814" s="365" t="s">
        <v>4578</v>
      </c>
      <c r="C814" s="426">
        <v>8.5</v>
      </c>
      <c r="D814" s="364"/>
      <c r="K814" s="358" t="s">
        <v>1579</v>
      </c>
      <c r="N814" s="376"/>
      <c r="O814" s="376"/>
      <c r="P814" s="314"/>
      <c r="Q814" s="314"/>
      <c r="R814" s="314"/>
      <c r="U814" s="274" t="s">
        <v>3459</v>
      </c>
      <c r="W814" s="253"/>
      <c r="AE814" s="370" t="str">
        <f t="shared" si="114"/>
        <v>|</v>
      </c>
      <c r="AG814" s="296" t="s">
        <v>2249</v>
      </c>
    </row>
    <row r="815" spans="1:33" ht="18.75" customHeight="1">
      <c r="A815" s="363"/>
      <c r="B815" s="365" t="s">
        <v>1062</v>
      </c>
      <c r="C815" s="426">
        <v>21.1</v>
      </c>
      <c r="D815" s="364"/>
      <c r="H815" s="253" t="s">
        <v>611</v>
      </c>
      <c r="K815" s="252">
        <f>SUM(K807:K813)</f>
        <v>88215.07</v>
      </c>
      <c r="N815" s="376"/>
      <c r="O815" s="376"/>
      <c r="P815" s="314"/>
      <c r="Q815" s="314"/>
      <c r="R815" s="314"/>
      <c r="S815" s="356">
        <v>0.45300000000000001</v>
      </c>
      <c r="T815" s="252" t="s">
        <v>1336</v>
      </c>
      <c r="U815" s="252" t="s">
        <v>3451</v>
      </c>
      <c r="V815" s="252">
        <f>V800</f>
        <v>1997.1</v>
      </c>
      <c r="W815" s="253"/>
      <c r="X815" s="252">
        <f>V815*S815</f>
        <v>904.69</v>
      </c>
      <c r="Z815" s="252">
        <f>X826+Y811</f>
        <v>8577.16</v>
      </c>
      <c r="AE815" s="370" t="str">
        <f t="shared" si="114"/>
        <v>|</v>
      </c>
      <c r="AG815" s="296" t="s">
        <v>2249</v>
      </c>
    </row>
    <row r="816" spans="1:33" ht="18.75" customHeight="1">
      <c r="A816" s="363"/>
      <c r="B816" s="364"/>
      <c r="C816" s="364" t="s">
        <v>4244</v>
      </c>
      <c r="D816" s="364"/>
      <c r="K816" s="358" t="s">
        <v>2046</v>
      </c>
      <c r="N816" s="376"/>
      <c r="O816" s="376"/>
      <c r="P816" s="314"/>
      <c r="Q816" s="314"/>
      <c r="R816" s="314"/>
      <c r="S816" s="356">
        <v>0.30199999999999999</v>
      </c>
      <c r="T816" s="252" t="s">
        <v>1336</v>
      </c>
      <c r="U816" s="252" t="s">
        <v>3452</v>
      </c>
      <c r="V816" s="252">
        <f t="shared" ref="V816:V825" si="115">V801</f>
        <v>1524.1</v>
      </c>
      <c r="W816" s="253"/>
      <c r="X816" s="252">
        <f t="shared" ref="X816:X822" si="116">V816*S816</f>
        <v>460.28</v>
      </c>
      <c r="Z816" s="252">
        <f>Z815+Z811</f>
        <v>8694.16</v>
      </c>
      <c r="AE816" s="370" t="str">
        <f t="shared" si="114"/>
        <v>|</v>
      </c>
      <c r="AG816" s="296" t="s">
        <v>2249</v>
      </c>
    </row>
    <row r="817" spans="1:33" ht="18.75" customHeight="1">
      <c r="A817" s="437"/>
      <c r="H817" s="296" t="s">
        <v>770</v>
      </c>
      <c r="K817" s="252">
        <f>K815/10</f>
        <v>8821.51</v>
      </c>
      <c r="N817" s="376"/>
      <c r="O817" s="376"/>
      <c r="P817" s="314"/>
      <c r="Q817" s="314"/>
      <c r="R817" s="314"/>
      <c r="S817" s="356">
        <v>0.44</v>
      </c>
      <c r="T817" s="252" t="s">
        <v>1336</v>
      </c>
      <c r="U817" s="252" t="s">
        <v>1061</v>
      </c>
      <c r="V817" s="252">
        <f t="shared" si="115"/>
        <v>1846.1</v>
      </c>
      <c r="W817" s="253"/>
      <c r="X817" s="252">
        <f t="shared" si="116"/>
        <v>812.28</v>
      </c>
      <c r="Z817" s="252">
        <f>Z816+Z811</f>
        <v>8811.16</v>
      </c>
      <c r="AE817" s="370" t="str">
        <f t="shared" si="114"/>
        <v>|</v>
      </c>
      <c r="AG817" s="296" t="s">
        <v>2249</v>
      </c>
    </row>
    <row r="818" spans="1:33" ht="18.75" customHeight="1">
      <c r="A818" s="437"/>
      <c r="S818" s="356">
        <v>0.37</v>
      </c>
      <c r="T818" s="252" t="s">
        <v>525</v>
      </c>
      <c r="U818" s="252" t="s">
        <v>387</v>
      </c>
      <c r="V818" s="252">
        <f t="shared" si="115"/>
        <v>6040</v>
      </c>
      <c r="W818" s="253"/>
      <c r="X818" s="252">
        <f t="shared" si="116"/>
        <v>2234.8000000000002</v>
      </c>
      <c r="Z818" s="252">
        <f>Z817+Z811</f>
        <v>8928.16</v>
      </c>
      <c r="AE818" s="370" t="str">
        <f t="shared" si="114"/>
        <v>|</v>
      </c>
      <c r="AG818" s="296" t="s">
        <v>2249</v>
      </c>
    </row>
    <row r="819" spans="1:33" ht="18.75" customHeight="1">
      <c r="A819" s="437"/>
      <c r="F819" s="252">
        <v>1</v>
      </c>
      <c r="G819" s="252" t="s">
        <v>866</v>
      </c>
      <c r="H819" s="296" t="s">
        <v>44</v>
      </c>
      <c r="I819" s="252">
        <f>C25</f>
        <v>94.2</v>
      </c>
      <c r="K819" s="252">
        <f>F819*I819</f>
        <v>94.2</v>
      </c>
      <c r="R819" s="358"/>
      <c r="S819" s="356">
        <v>0.35</v>
      </c>
      <c r="T819" s="252" t="s">
        <v>1427</v>
      </c>
      <c r="U819" s="252" t="s">
        <v>462</v>
      </c>
      <c r="V819" s="252">
        <f t="shared" si="115"/>
        <v>932</v>
      </c>
      <c r="W819" s="253">
        <f>J825</f>
        <v>0</v>
      </c>
      <c r="X819" s="252">
        <f t="shared" si="116"/>
        <v>326.2</v>
      </c>
      <c r="Z819" s="252">
        <f>Z811+Z818</f>
        <v>9045.16</v>
      </c>
      <c r="AE819" s="370" t="str">
        <f t="shared" si="114"/>
        <v>|</v>
      </c>
      <c r="AG819" s="296" t="s">
        <v>2249</v>
      </c>
    </row>
    <row r="820" spans="1:33" ht="18.75" customHeight="1">
      <c r="A820" s="437"/>
      <c r="K820" s="358" t="s">
        <v>1579</v>
      </c>
      <c r="O820" s="253"/>
      <c r="S820" s="356">
        <v>2.12</v>
      </c>
      <c r="T820" s="252" t="s">
        <v>1427</v>
      </c>
      <c r="U820" s="252" t="s">
        <v>3453</v>
      </c>
      <c r="V820" s="252">
        <f t="shared" si="115"/>
        <v>651</v>
      </c>
      <c r="W820" s="253"/>
      <c r="X820" s="252">
        <f t="shared" si="116"/>
        <v>1380.12</v>
      </c>
      <c r="Z820" s="252">
        <f>Z811+Z819</f>
        <v>9162.16</v>
      </c>
      <c r="AE820" s="370" t="str">
        <f t="shared" si="114"/>
        <v>|</v>
      </c>
      <c r="AG820" s="296" t="s">
        <v>2249</v>
      </c>
    </row>
    <row r="821" spans="1:33" ht="18.75" customHeight="1">
      <c r="K821" s="252">
        <f>SUM(K817:K819)</f>
        <v>8915.7099999999991</v>
      </c>
      <c r="S821" s="356">
        <v>3.53</v>
      </c>
      <c r="T821" s="252" t="s">
        <v>1427</v>
      </c>
      <c r="U821" s="252" t="s">
        <v>3454</v>
      </c>
      <c r="V821" s="252">
        <f t="shared" si="115"/>
        <v>534</v>
      </c>
      <c r="W821" s="253"/>
      <c r="X821" s="252">
        <f t="shared" si="116"/>
        <v>1885.02</v>
      </c>
      <c r="Z821" s="252">
        <f>Z811+Z820</f>
        <v>9279.16</v>
      </c>
      <c r="AE821" s="370" t="str">
        <f t="shared" si="114"/>
        <v>|</v>
      </c>
      <c r="AG821" s="296" t="s">
        <v>2249</v>
      </c>
    </row>
    <row r="822" spans="1:33" ht="18.75" customHeight="1">
      <c r="A822" s="437"/>
      <c r="K822" s="358" t="s">
        <v>1579</v>
      </c>
      <c r="R822" s="358"/>
      <c r="S822" s="356">
        <v>1</v>
      </c>
      <c r="T822" s="252" t="s">
        <v>1336</v>
      </c>
      <c r="U822" s="252" t="s">
        <v>3455</v>
      </c>
      <c r="V822" s="252">
        <f t="shared" si="115"/>
        <v>94.2</v>
      </c>
      <c r="W822" s="253"/>
      <c r="X822" s="252">
        <f t="shared" si="116"/>
        <v>94.2</v>
      </c>
      <c r="Z822" s="252">
        <f>Z811+Z821</f>
        <v>9396.16</v>
      </c>
      <c r="AE822" s="370" t="str">
        <f t="shared" si="114"/>
        <v>|</v>
      </c>
      <c r="AG822" s="296" t="s">
        <v>2249</v>
      </c>
    </row>
    <row r="823" spans="1:33" ht="18.75" customHeight="1">
      <c r="A823" s="437"/>
      <c r="H823" s="296" t="s">
        <v>383</v>
      </c>
      <c r="K823" s="274">
        <f>(K821+C22)</f>
        <v>9035.56</v>
      </c>
      <c r="S823" s="429" t="s">
        <v>654</v>
      </c>
      <c r="U823" s="252" t="s">
        <v>3456</v>
      </c>
      <c r="V823" s="407" t="str">
        <f t="shared" si="115"/>
        <v>LS</v>
      </c>
      <c r="W823" s="253"/>
      <c r="X823" s="252">
        <v>270</v>
      </c>
      <c r="Z823" s="252">
        <f>Z811+Z822</f>
        <v>9513.16</v>
      </c>
      <c r="AE823" s="370" t="str">
        <f t="shared" si="114"/>
        <v>|</v>
      </c>
      <c r="AG823" s="296" t="s">
        <v>2249</v>
      </c>
    </row>
    <row r="824" spans="1:33" ht="18.75" customHeight="1">
      <c r="A824" s="437"/>
      <c r="H824" s="296" t="s">
        <v>385</v>
      </c>
      <c r="K824" s="274">
        <f>(K823+C23)</f>
        <v>9271.66</v>
      </c>
      <c r="N824" s="296"/>
      <c r="O824" s="296"/>
      <c r="S824" s="429" t="s">
        <v>654</v>
      </c>
      <c r="U824" s="252" t="s">
        <v>3457</v>
      </c>
      <c r="V824" s="407" t="str">
        <f t="shared" si="115"/>
        <v>LS</v>
      </c>
      <c r="W824" s="253"/>
      <c r="X824" s="252">
        <v>150</v>
      </c>
      <c r="Z824" s="252">
        <f>Z811+Z823</f>
        <v>9630.16</v>
      </c>
      <c r="AE824" s="370" t="str">
        <f t="shared" si="114"/>
        <v>|</v>
      </c>
      <c r="AG824" s="296" t="s">
        <v>2249</v>
      </c>
    </row>
    <row r="825" spans="1:33" ht="18.75" customHeight="1">
      <c r="A825" s="437"/>
      <c r="H825" s="296" t="s">
        <v>2222</v>
      </c>
      <c r="K825" s="274">
        <f>(K824+C24)</f>
        <v>9507.76</v>
      </c>
      <c r="O825" s="296"/>
      <c r="S825" s="429" t="s">
        <v>654</v>
      </c>
      <c r="U825" s="252" t="s">
        <v>2261</v>
      </c>
      <c r="V825" s="407" t="str">
        <f t="shared" si="115"/>
        <v>LS</v>
      </c>
      <c r="W825" s="253"/>
      <c r="X825" s="252">
        <v>0.17</v>
      </c>
      <c r="AE825" s="370" t="str">
        <f t="shared" si="114"/>
        <v>|</v>
      </c>
      <c r="AG825" s="296" t="s">
        <v>2249</v>
      </c>
    </row>
    <row r="826" spans="1:33" ht="18.75" customHeight="1">
      <c r="A826" s="437"/>
      <c r="H826" s="296" t="s">
        <v>377</v>
      </c>
      <c r="K826" s="274">
        <f>(K825+C24)</f>
        <v>9743.86</v>
      </c>
      <c r="N826" s="296"/>
      <c r="O826" s="296"/>
      <c r="W826" s="253"/>
      <c r="X826" s="274">
        <f>SUM(X815:X825)</f>
        <v>8517.76</v>
      </c>
      <c r="AE826" s="370" t="str">
        <f t="shared" si="114"/>
        <v>|</v>
      </c>
      <c r="AG826" s="296" t="s">
        <v>2249</v>
      </c>
    </row>
    <row r="827" spans="1:33" ht="18.75" customHeight="1">
      <c r="H827" s="296" t="s">
        <v>1525</v>
      </c>
      <c r="K827" s="274">
        <f>(K826+C24)</f>
        <v>9979.9599999999991</v>
      </c>
      <c r="O827" s="296"/>
      <c r="W827" s="253"/>
      <c r="AE827" s="370" t="str">
        <f t="shared" si="114"/>
        <v>|</v>
      </c>
      <c r="AG827" s="296" t="s">
        <v>2249</v>
      </c>
    </row>
    <row r="828" spans="1:33" ht="18.75" customHeight="1">
      <c r="H828" s="296">
        <v>5</v>
      </c>
      <c r="K828" s="274">
        <f>(K827+C24)</f>
        <v>10216.06</v>
      </c>
      <c r="O828" s="296"/>
      <c r="W828" s="253"/>
      <c r="AE828" s="370">
        <f>SUM(AE681:AE685)</f>
        <v>8206.1</v>
      </c>
      <c r="AG828" s="296"/>
    </row>
    <row r="829" spans="1:33" ht="18.75" customHeight="1">
      <c r="H829" s="296">
        <v>6</v>
      </c>
      <c r="K829" s="274">
        <f>(K828+C24)</f>
        <v>10452.16</v>
      </c>
      <c r="O829" s="296"/>
      <c r="W829" s="253"/>
      <c r="AE829" s="370"/>
      <c r="AG829" s="296"/>
    </row>
    <row r="830" spans="1:33" ht="18.75" customHeight="1">
      <c r="H830" s="296">
        <v>7</v>
      </c>
      <c r="K830" s="274">
        <f>(K829+C24)</f>
        <v>10688.26</v>
      </c>
      <c r="O830" s="296"/>
      <c r="W830" s="253"/>
      <c r="AE830" s="370"/>
      <c r="AG830" s="296"/>
    </row>
    <row r="831" spans="1:33" ht="18.75" customHeight="1">
      <c r="H831" s="296">
        <v>8</v>
      </c>
      <c r="K831" s="274">
        <f>(K830+C24)</f>
        <v>10924.36</v>
      </c>
      <c r="O831" s="296"/>
      <c r="W831" s="253"/>
      <c r="AE831" s="370"/>
      <c r="AG831" s="296"/>
    </row>
    <row r="832" spans="1:33" ht="18.75" customHeight="1">
      <c r="H832" s="296">
        <v>9</v>
      </c>
      <c r="K832" s="274">
        <f>(K831+C24)</f>
        <v>11160.46</v>
      </c>
      <c r="O832" s="296"/>
      <c r="W832" s="253"/>
      <c r="AE832" s="370"/>
      <c r="AG832" s="296"/>
    </row>
    <row r="833" spans="6:33" ht="18.75" customHeight="1">
      <c r="H833" s="296">
        <v>10</v>
      </c>
      <c r="K833" s="274">
        <f>(K832+C24)</f>
        <v>11396.56</v>
      </c>
      <c r="O833" s="296"/>
      <c r="W833" s="253"/>
      <c r="AE833" s="370"/>
      <c r="AG833" s="296"/>
    </row>
    <row r="834" spans="6:33" ht="18.75" customHeight="1">
      <c r="H834" s="296">
        <v>11</v>
      </c>
      <c r="K834" s="274">
        <f>(K833+C24)</f>
        <v>11632.66</v>
      </c>
      <c r="O834" s="296"/>
      <c r="W834" s="253"/>
      <c r="AE834" s="370"/>
      <c r="AG834" s="296"/>
    </row>
    <row r="835" spans="6:33" ht="18.75" customHeight="1">
      <c r="H835" s="296">
        <v>12</v>
      </c>
      <c r="K835" s="274">
        <f>(K834+C24)</f>
        <v>11868.76</v>
      </c>
      <c r="O835" s="296"/>
      <c r="W835" s="253"/>
      <c r="AE835" s="370"/>
      <c r="AG835" s="296"/>
    </row>
    <row r="836" spans="6:33" ht="18.75" customHeight="1">
      <c r="H836" s="296"/>
      <c r="K836" s="274"/>
      <c r="O836" s="296"/>
      <c r="W836" s="253"/>
      <c r="AE836" s="370"/>
      <c r="AG836" s="296"/>
    </row>
    <row r="837" spans="6:33" ht="18.75" customHeight="1">
      <c r="F837" s="296" t="s">
        <v>971</v>
      </c>
      <c r="O837" s="296"/>
      <c r="W837" s="253"/>
      <c r="AE837" s="370" t="str">
        <f t="shared" si="114"/>
        <v>|</v>
      </c>
      <c r="AG837" s="296" t="s">
        <v>2249</v>
      </c>
    </row>
    <row r="838" spans="6:33" ht="18.75" customHeight="1">
      <c r="F838" s="296" t="s">
        <v>971</v>
      </c>
      <c r="G838" s="252" t="s">
        <v>2241</v>
      </c>
      <c r="H838" s="253" t="s">
        <v>1316</v>
      </c>
      <c r="N838" s="296"/>
      <c r="O838" s="296"/>
      <c r="W838" s="253"/>
      <c r="AE838" s="370" t="str">
        <f t="shared" si="114"/>
        <v>|</v>
      </c>
      <c r="AG838" s="296" t="s">
        <v>2249</v>
      </c>
    </row>
    <row r="839" spans="6:33" ht="18.75" customHeight="1">
      <c r="H839" s="358" t="s">
        <v>2046</v>
      </c>
      <c r="N839" s="296"/>
      <c r="O839" s="296"/>
      <c r="W839" s="253"/>
      <c r="AE839" s="370" t="str">
        <f t="shared" si="114"/>
        <v>|</v>
      </c>
      <c r="AG839" s="296" t="s">
        <v>2249</v>
      </c>
    </row>
    <row r="840" spans="6:33" ht="18.75" customHeight="1">
      <c r="N840" s="296"/>
      <c r="O840" s="296"/>
      <c r="W840" s="253"/>
      <c r="AE840" s="370" t="str">
        <f t="shared" si="114"/>
        <v>|</v>
      </c>
      <c r="AG840" s="296" t="s">
        <v>2249</v>
      </c>
    </row>
    <row r="841" spans="6:33" ht="18.75" customHeight="1">
      <c r="F841" s="253" t="s">
        <v>1318</v>
      </c>
      <c r="G841" s="252" t="s">
        <v>2241</v>
      </c>
      <c r="H841" s="296" t="s">
        <v>2022</v>
      </c>
      <c r="N841" s="296"/>
      <c r="O841" s="296"/>
      <c r="W841" s="253"/>
      <c r="AE841" s="370" t="str">
        <f t="shared" si="114"/>
        <v>|</v>
      </c>
      <c r="AG841" s="296" t="s">
        <v>2249</v>
      </c>
    </row>
    <row r="842" spans="6:33" ht="18.75" customHeight="1">
      <c r="H842" s="296" t="s">
        <v>2023</v>
      </c>
      <c r="N842" s="296"/>
      <c r="O842" s="296"/>
      <c r="W842" s="253"/>
      <c r="AE842" s="370" t="str">
        <f t="shared" si="114"/>
        <v>|</v>
      </c>
      <c r="AG842" s="296" t="s">
        <v>2249</v>
      </c>
    </row>
    <row r="843" spans="6:33" ht="18.75" customHeight="1">
      <c r="H843" s="296" t="s">
        <v>2024</v>
      </c>
      <c r="N843" s="296"/>
      <c r="O843" s="296"/>
      <c r="W843" s="253"/>
      <c r="AE843" s="370" t="str">
        <f t="shared" si="114"/>
        <v>|::</v>
      </c>
      <c r="AG843" s="296" t="s">
        <v>318</v>
      </c>
    </row>
    <row r="844" spans="6:33" ht="18.75" customHeight="1">
      <c r="H844" s="296" t="s">
        <v>888</v>
      </c>
      <c r="N844" s="296"/>
      <c r="O844" s="296"/>
      <c r="W844" s="253"/>
      <c r="AE844" s="370">
        <f t="shared" si="114"/>
        <v>0</v>
      </c>
    </row>
    <row r="845" spans="6:33" ht="18.75" customHeight="1">
      <c r="H845" s="296" t="s">
        <v>889</v>
      </c>
      <c r="W845" s="253"/>
      <c r="AE845" s="370">
        <f t="shared" si="114"/>
        <v>0</v>
      </c>
    </row>
    <row r="846" spans="6:33" ht="18.75" customHeight="1">
      <c r="H846" s="296" t="s">
        <v>1713</v>
      </c>
      <c r="R846" s="358"/>
      <c r="W846" s="253"/>
      <c r="AE846" s="370">
        <f t="shared" si="114"/>
        <v>0</v>
      </c>
    </row>
    <row r="847" spans="6:33" ht="18.75" customHeight="1">
      <c r="H847" s="296" t="s">
        <v>93</v>
      </c>
      <c r="O847" s="253"/>
      <c r="W847" s="253"/>
      <c r="AE847" s="370" t="str">
        <f t="shared" si="114"/>
        <v>|</v>
      </c>
      <c r="AG847" s="296" t="s">
        <v>2249</v>
      </c>
    </row>
    <row r="848" spans="6:33" ht="18.75" customHeight="1">
      <c r="H848" s="296" t="s">
        <v>94</v>
      </c>
      <c r="R848" s="358"/>
      <c r="W848" s="253"/>
      <c r="AE848" s="370" t="str">
        <f t="shared" si="114"/>
        <v>|</v>
      </c>
      <c r="AG848" s="296" t="s">
        <v>2249</v>
      </c>
    </row>
    <row r="849" spans="6:33" ht="18.75" customHeight="1">
      <c r="H849" s="296" t="s">
        <v>95</v>
      </c>
      <c r="O849" s="274" t="s">
        <v>4372</v>
      </c>
      <c r="R849" s="358"/>
      <c r="W849" s="253"/>
      <c r="AE849" s="370" t="str">
        <f t="shared" si="114"/>
        <v>|</v>
      </c>
      <c r="AG849" s="296" t="s">
        <v>2249</v>
      </c>
    </row>
    <row r="850" spans="6:33" ht="18.75" customHeight="1">
      <c r="H850" s="296" t="s">
        <v>96</v>
      </c>
      <c r="O850" s="253" t="s">
        <v>1735</v>
      </c>
      <c r="R850" s="358"/>
      <c r="W850" s="253"/>
      <c r="AE850" s="370" t="str">
        <f t="shared" si="114"/>
        <v>|</v>
      </c>
      <c r="AG850" s="296" t="s">
        <v>2249</v>
      </c>
    </row>
    <row r="851" spans="6:33" ht="18.75" customHeight="1">
      <c r="H851" s="296" t="s">
        <v>2044</v>
      </c>
      <c r="R851" s="358"/>
      <c r="W851" s="253"/>
      <c r="AE851" s="370" t="str">
        <f t="shared" si="114"/>
        <v>|</v>
      </c>
      <c r="AG851" s="296" t="s">
        <v>2249</v>
      </c>
    </row>
    <row r="852" spans="6:33" ht="18.75" customHeight="1">
      <c r="H852" s="296" t="s">
        <v>1024</v>
      </c>
      <c r="M852" s="400">
        <v>6.5000000000000002E-2</v>
      </c>
      <c r="N852" s="252" t="s">
        <v>866</v>
      </c>
      <c r="O852" s="296" t="s">
        <v>2064</v>
      </c>
      <c r="P852" s="252">
        <f>I859</f>
        <v>8125.18</v>
      </c>
      <c r="Q852" s="296" t="s">
        <v>866</v>
      </c>
      <c r="R852" s="252">
        <f>P852*M852</f>
        <v>528.14</v>
      </c>
      <c r="W852" s="253"/>
      <c r="AE852" s="370" t="str">
        <f t="shared" si="114"/>
        <v>|</v>
      </c>
      <c r="AG852" s="296" t="s">
        <v>2249</v>
      </c>
    </row>
    <row r="853" spans="6:33" ht="18.75" customHeight="1">
      <c r="H853" s="296" t="s">
        <v>1770</v>
      </c>
      <c r="M853" s="438">
        <v>8.4499999999999993</v>
      </c>
      <c r="N853" s="252" t="s">
        <v>1637</v>
      </c>
      <c r="O853" s="296" t="s">
        <v>2065</v>
      </c>
      <c r="P853" s="252">
        <f t="shared" ref="P853:P862" si="117">I860</f>
        <v>88873.5</v>
      </c>
      <c r="Q853" s="296" t="s">
        <v>858</v>
      </c>
      <c r="R853" s="252">
        <f>P853*M853/1000</f>
        <v>750.98</v>
      </c>
      <c r="W853" s="253"/>
      <c r="AE853" s="370" t="str">
        <f t="shared" si="114"/>
        <v>|</v>
      </c>
      <c r="AG853" s="296" t="s">
        <v>2249</v>
      </c>
    </row>
    <row r="854" spans="6:33" ht="18.75" customHeight="1">
      <c r="H854" s="296" t="s">
        <v>1771</v>
      </c>
      <c r="M854" s="252">
        <v>3</v>
      </c>
      <c r="N854" s="252" t="s">
        <v>865</v>
      </c>
      <c r="O854" s="296" t="s">
        <v>1182</v>
      </c>
      <c r="P854" s="252">
        <f t="shared" si="117"/>
        <v>14.8</v>
      </c>
      <c r="Q854" s="296" t="s">
        <v>865</v>
      </c>
      <c r="R854" s="252">
        <f t="shared" ref="R854:R861" si="118">P854*M854</f>
        <v>44.4</v>
      </c>
      <c r="W854" s="253"/>
      <c r="AE854" s="370" t="str">
        <f t="shared" si="114"/>
        <v>|</v>
      </c>
      <c r="AG854" s="296" t="s">
        <v>2249</v>
      </c>
    </row>
    <row r="855" spans="6:33" ht="18.75" customHeight="1">
      <c r="M855" s="252">
        <v>12</v>
      </c>
      <c r="N855" s="252" t="s">
        <v>865</v>
      </c>
      <c r="O855" s="296" t="s">
        <v>1183</v>
      </c>
      <c r="P855" s="252">
        <f t="shared" si="117"/>
        <v>2</v>
      </c>
      <c r="Q855" s="296" t="s">
        <v>865</v>
      </c>
      <c r="R855" s="252">
        <f t="shared" si="118"/>
        <v>24</v>
      </c>
      <c r="W855" s="253"/>
      <c r="AE855" s="370" t="str">
        <f t="shared" si="114"/>
        <v>|</v>
      </c>
      <c r="AG855" s="296" t="s">
        <v>2249</v>
      </c>
    </row>
    <row r="856" spans="6:33" ht="18.75" customHeight="1">
      <c r="M856" s="252">
        <v>2</v>
      </c>
      <c r="N856" s="252" t="s">
        <v>865</v>
      </c>
      <c r="O856" s="296" t="s">
        <v>1184</v>
      </c>
      <c r="P856" s="252">
        <f t="shared" si="117"/>
        <v>4.9000000000000004</v>
      </c>
      <c r="Q856" s="296" t="s">
        <v>865</v>
      </c>
      <c r="R856" s="252">
        <f t="shared" si="118"/>
        <v>9.8000000000000007</v>
      </c>
      <c r="W856" s="253"/>
      <c r="AE856" s="370" t="str">
        <f t="shared" si="114"/>
        <v>|</v>
      </c>
      <c r="AG856" s="296" t="s">
        <v>2249</v>
      </c>
    </row>
    <row r="857" spans="6:33" ht="18.75" customHeight="1">
      <c r="G857" s="252" t="s">
        <v>313</v>
      </c>
      <c r="H857" s="253" t="s">
        <v>1768</v>
      </c>
      <c r="M857" s="252">
        <v>6</v>
      </c>
      <c r="N857" s="252" t="s">
        <v>865</v>
      </c>
      <c r="O857" s="296" t="s">
        <v>2210</v>
      </c>
      <c r="P857" s="252">
        <f t="shared" si="117"/>
        <v>4.45</v>
      </c>
      <c r="Q857" s="296" t="s">
        <v>865</v>
      </c>
      <c r="R857" s="252">
        <f t="shared" si="118"/>
        <v>26.7</v>
      </c>
      <c r="S857" s="252"/>
      <c r="T857" s="252" t="s">
        <v>313</v>
      </c>
      <c r="U857" s="253" t="s">
        <v>3747</v>
      </c>
      <c r="W857" s="253"/>
      <c r="AE857" s="370" t="str">
        <f t="shared" si="114"/>
        <v>|</v>
      </c>
      <c r="AG857" s="296" t="s">
        <v>2249</v>
      </c>
    </row>
    <row r="858" spans="6:33" ht="18.75" customHeight="1">
      <c r="H858" s="253" t="s">
        <v>1773</v>
      </c>
      <c r="M858" s="252">
        <v>1</v>
      </c>
      <c r="N858" s="252" t="s">
        <v>865</v>
      </c>
      <c r="O858" s="296" t="s">
        <v>1188</v>
      </c>
      <c r="P858" s="252">
        <f t="shared" si="117"/>
        <v>999</v>
      </c>
      <c r="Q858" s="296" t="s">
        <v>865</v>
      </c>
      <c r="R858" s="252">
        <f t="shared" si="118"/>
        <v>999</v>
      </c>
      <c r="S858" s="252"/>
      <c r="U858" s="253" t="s">
        <v>1773</v>
      </c>
      <c r="W858" s="253"/>
      <c r="AE858" s="370" t="str">
        <f t="shared" si="114"/>
        <v>|</v>
      </c>
      <c r="AG858" s="296" t="s">
        <v>2249</v>
      </c>
    </row>
    <row r="859" spans="6:33" ht="18.75" customHeight="1">
      <c r="F859" s="400">
        <v>3.8100000000000002E-2</v>
      </c>
      <c r="G859" s="252" t="s">
        <v>866</v>
      </c>
      <c r="H859" s="296" t="s">
        <v>5604</v>
      </c>
      <c r="I859" s="252">
        <f>I877</f>
        <v>8125.18</v>
      </c>
      <c r="J859" s="296" t="s">
        <v>866</v>
      </c>
      <c r="K859" s="252">
        <f>F859*I859</f>
        <v>309.57</v>
      </c>
      <c r="M859" s="252">
        <v>1</v>
      </c>
      <c r="N859" s="252" t="s">
        <v>865</v>
      </c>
      <c r="O859" s="296" t="s">
        <v>1189</v>
      </c>
      <c r="P859" s="252">
        <f t="shared" si="117"/>
        <v>651</v>
      </c>
      <c r="Q859" s="296" t="s">
        <v>865</v>
      </c>
      <c r="R859" s="252">
        <f t="shared" si="118"/>
        <v>651</v>
      </c>
      <c r="S859" s="400">
        <v>4.9500000000000002E-2</v>
      </c>
      <c r="T859" s="252" t="s">
        <v>866</v>
      </c>
      <c r="U859" s="296" t="s">
        <v>2064</v>
      </c>
      <c r="V859" s="252">
        <f>I859</f>
        <v>8125.18</v>
      </c>
      <c r="W859" s="253" t="s">
        <v>866</v>
      </c>
      <c r="X859" s="252">
        <f>S859*V859</f>
        <v>402.2</v>
      </c>
      <c r="AE859" s="370" t="str">
        <f t="shared" si="114"/>
        <v>|</v>
      </c>
      <c r="AG859" s="296" t="s">
        <v>2249</v>
      </c>
    </row>
    <row r="860" spans="6:33" ht="18.75" customHeight="1">
      <c r="F860" s="377">
        <v>5.01</v>
      </c>
      <c r="G860" s="252" t="s">
        <v>1637</v>
      </c>
      <c r="H860" s="296" t="s">
        <v>2065</v>
      </c>
      <c r="I860" s="252">
        <f>I878</f>
        <v>88873.5</v>
      </c>
      <c r="J860" s="296" t="s">
        <v>858</v>
      </c>
      <c r="K860" s="252">
        <f>F860*I860/1000</f>
        <v>445.26</v>
      </c>
      <c r="M860" s="252">
        <v>1</v>
      </c>
      <c r="N860" s="252" t="s">
        <v>865</v>
      </c>
      <c r="O860" s="296" t="s">
        <v>1190</v>
      </c>
      <c r="P860" s="252">
        <f t="shared" si="117"/>
        <v>25</v>
      </c>
      <c r="Q860" s="296" t="s">
        <v>865</v>
      </c>
      <c r="R860" s="252">
        <f t="shared" si="118"/>
        <v>25</v>
      </c>
      <c r="S860" s="377">
        <v>5.66</v>
      </c>
      <c r="T860" s="252" t="s">
        <v>1637</v>
      </c>
      <c r="U860" s="296" t="s">
        <v>2065</v>
      </c>
      <c r="V860" s="252">
        <f t="shared" ref="V860:V868" si="119">I860</f>
        <v>88873.5</v>
      </c>
      <c r="W860" s="253" t="s">
        <v>858</v>
      </c>
      <c r="X860" s="252">
        <f>S860*V860/1000</f>
        <v>503.02</v>
      </c>
      <c r="AE860" s="370" t="str">
        <f t="shared" si="114"/>
        <v>|</v>
      </c>
      <c r="AG860" s="296" t="s">
        <v>2249</v>
      </c>
    </row>
    <row r="861" spans="6:33" ht="18.75" customHeight="1">
      <c r="F861" s="252">
        <v>3</v>
      </c>
      <c r="G861" s="252" t="s">
        <v>865</v>
      </c>
      <c r="H861" s="439" t="s">
        <v>1182</v>
      </c>
      <c r="I861" s="399">
        <v>14.8</v>
      </c>
      <c r="J861" s="296" t="s">
        <v>865</v>
      </c>
      <c r="K861" s="252">
        <f t="shared" ref="K861:K868" si="120">F861*I861</f>
        <v>44.4</v>
      </c>
      <c r="M861" s="252">
        <v>0.5</v>
      </c>
      <c r="N861" s="252" t="s">
        <v>865</v>
      </c>
      <c r="O861" s="296" t="s">
        <v>1191</v>
      </c>
      <c r="P861" s="252">
        <f t="shared" si="117"/>
        <v>534</v>
      </c>
      <c r="Q861" s="296" t="s">
        <v>865</v>
      </c>
      <c r="R861" s="252">
        <f t="shared" si="118"/>
        <v>267</v>
      </c>
      <c r="S861" s="252">
        <v>3</v>
      </c>
      <c r="T861" s="252" t="s">
        <v>865</v>
      </c>
      <c r="U861" s="296" t="s">
        <v>1182</v>
      </c>
      <c r="V861" s="252">
        <f t="shared" si="119"/>
        <v>14.8</v>
      </c>
      <c r="W861" s="253" t="s">
        <v>865</v>
      </c>
      <c r="X861" s="252">
        <f t="shared" ref="X861:X868" si="121">S861*V861</f>
        <v>44.4</v>
      </c>
      <c r="AE861" s="370" t="str">
        <f t="shared" si="114"/>
        <v>|</v>
      </c>
      <c r="AG861" s="296" t="s">
        <v>2249</v>
      </c>
    </row>
    <row r="862" spans="6:33" ht="18.75" customHeight="1">
      <c r="F862" s="252">
        <v>12</v>
      </c>
      <c r="G862" s="252" t="s">
        <v>865</v>
      </c>
      <c r="H862" s="439" t="s">
        <v>1183</v>
      </c>
      <c r="I862" s="399">
        <v>2</v>
      </c>
      <c r="J862" s="296" t="s">
        <v>865</v>
      </c>
      <c r="K862" s="252">
        <f t="shared" si="120"/>
        <v>24</v>
      </c>
      <c r="N862" s="252" t="s">
        <v>446</v>
      </c>
      <c r="O862" s="296" t="s">
        <v>2130</v>
      </c>
      <c r="P862" s="252">
        <f t="shared" si="117"/>
        <v>0</v>
      </c>
      <c r="Q862" s="296" t="s">
        <v>446</v>
      </c>
      <c r="R862" s="252">
        <v>2.1</v>
      </c>
      <c r="S862" s="252">
        <v>12</v>
      </c>
      <c r="T862" s="252" t="s">
        <v>865</v>
      </c>
      <c r="U862" s="296" t="s">
        <v>1183</v>
      </c>
      <c r="V862" s="252">
        <f t="shared" si="119"/>
        <v>2</v>
      </c>
      <c r="W862" s="253" t="s">
        <v>865</v>
      </c>
      <c r="X862" s="252">
        <f t="shared" si="121"/>
        <v>24</v>
      </c>
      <c r="AE862" s="370" t="str">
        <f t="shared" si="114"/>
        <v>|</v>
      </c>
      <c r="AG862" s="296" t="s">
        <v>2249</v>
      </c>
    </row>
    <row r="863" spans="6:33" ht="18.75" customHeight="1">
      <c r="F863" s="252">
        <v>2</v>
      </c>
      <c r="G863" s="252" t="s">
        <v>865</v>
      </c>
      <c r="H863" s="439" t="s">
        <v>1184</v>
      </c>
      <c r="I863" s="399">
        <v>4.9000000000000004</v>
      </c>
      <c r="J863" s="296" t="s">
        <v>865</v>
      </c>
      <c r="K863" s="252">
        <f t="shared" si="120"/>
        <v>9.8000000000000007</v>
      </c>
      <c r="Q863" s="296"/>
      <c r="R863" s="358" t="s">
        <v>1579</v>
      </c>
      <c r="S863" s="252">
        <v>2</v>
      </c>
      <c r="T863" s="252" t="s">
        <v>865</v>
      </c>
      <c r="U863" s="296" t="s">
        <v>1184</v>
      </c>
      <c r="V863" s="252">
        <f t="shared" si="119"/>
        <v>4.9000000000000004</v>
      </c>
      <c r="W863" s="253" t="s">
        <v>865</v>
      </c>
      <c r="X863" s="252">
        <f t="shared" si="121"/>
        <v>9.8000000000000007</v>
      </c>
      <c r="AE863" s="370" t="str">
        <f t="shared" si="114"/>
        <v>|</v>
      </c>
      <c r="AG863" s="296" t="s">
        <v>2249</v>
      </c>
    </row>
    <row r="864" spans="6:33" ht="18.75" customHeight="1">
      <c r="F864" s="252">
        <v>6</v>
      </c>
      <c r="G864" s="252" t="s">
        <v>865</v>
      </c>
      <c r="H864" s="439" t="s">
        <v>2210</v>
      </c>
      <c r="I864" s="399">
        <v>4.45</v>
      </c>
      <c r="J864" s="296" t="s">
        <v>865</v>
      </c>
      <c r="K864" s="252">
        <f t="shared" si="120"/>
        <v>26.7</v>
      </c>
      <c r="O864" s="255" t="s">
        <v>280</v>
      </c>
      <c r="Q864" s="296"/>
      <c r="R864" s="274">
        <f>SUM(R852:R862)</f>
        <v>3328.12</v>
      </c>
      <c r="S864" s="252">
        <v>6</v>
      </c>
      <c r="T864" s="252" t="s">
        <v>865</v>
      </c>
      <c r="U864" s="296" t="s">
        <v>2210</v>
      </c>
      <c r="V864" s="252">
        <f t="shared" si="119"/>
        <v>4.45</v>
      </c>
      <c r="W864" s="253" t="s">
        <v>865</v>
      </c>
      <c r="X864" s="252">
        <f t="shared" si="121"/>
        <v>26.7</v>
      </c>
      <c r="AE864" s="370" t="str">
        <f t="shared" si="114"/>
        <v>|</v>
      </c>
      <c r="AG864" s="296" t="s">
        <v>2249</v>
      </c>
    </row>
    <row r="865" spans="2:33" ht="18.75" customHeight="1">
      <c r="F865" s="252">
        <v>1</v>
      </c>
      <c r="G865" s="252" t="s">
        <v>865</v>
      </c>
      <c r="H865" s="296" t="s">
        <v>1188</v>
      </c>
      <c r="I865" s="252">
        <f>C10</f>
        <v>999</v>
      </c>
      <c r="J865" s="296" t="s">
        <v>865</v>
      </c>
      <c r="K865" s="252">
        <f t="shared" si="120"/>
        <v>999</v>
      </c>
      <c r="Q865" s="296"/>
      <c r="R865" s="358" t="s">
        <v>1579</v>
      </c>
      <c r="S865" s="252">
        <v>1</v>
      </c>
      <c r="T865" s="252" t="s">
        <v>865</v>
      </c>
      <c r="U865" s="296" t="s">
        <v>1188</v>
      </c>
      <c r="V865" s="252">
        <f t="shared" si="119"/>
        <v>999</v>
      </c>
      <c r="W865" s="253" t="s">
        <v>865</v>
      </c>
      <c r="X865" s="252">
        <f t="shared" si="121"/>
        <v>999</v>
      </c>
      <c r="AE865" s="370">
        <f t="shared" si="114"/>
        <v>0</v>
      </c>
      <c r="AG865" s="296"/>
    </row>
    <row r="866" spans="2:33" ht="18.75" customHeight="1">
      <c r="F866" s="252">
        <v>1</v>
      </c>
      <c r="G866" s="252" t="s">
        <v>865</v>
      </c>
      <c r="H866" s="296" t="s">
        <v>1189</v>
      </c>
      <c r="I866" s="252">
        <f>C12</f>
        <v>651</v>
      </c>
      <c r="J866" s="296" t="s">
        <v>865</v>
      </c>
      <c r="K866" s="252">
        <f t="shared" si="120"/>
        <v>651</v>
      </c>
      <c r="S866" s="252">
        <v>1</v>
      </c>
      <c r="T866" s="252" t="s">
        <v>865</v>
      </c>
      <c r="U866" s="296" t="s">
        <v>1189</v>
      </c>
      <c r="V866" s="252">
        <f t="shared" si="119"/>
        <v>651</v>
      </c>
      <c r="W866" s="253" t="s">
        <v>865</v>
      </c>
      <c r="X866" s="252">
        <f t="shared" si="121"/>
        <v>651</v>
      </c>
      <c r="AE866" s="370">
        <f t="shared" si="114"/>
        <v>0</v>
      </c>
      <c r="AG866" s="296"/>
    </row>
    <row r="867" spans="2:33" ht="18.75" customHeight="1">
      <c r="F867" s="252">
        <v>1</v>
      </c>
      <c r="G867" s="252" t="s">
        <v>865</v>
      </c>
      <c r="H867" s="439" t="s">
        <v>1190</v>
      </c>
      <c r="I867" s="399">
        <v>25</v>
      </c>
      <c r="J867" s="296" t="s">
        <v>865</v>
      </c>
      <c r="K867" s="252">
        <f t="shared" si="120"/>
        <v>25</v>
      </c>
      <c r="R867" s="358"/>
      <c r="S867" s="252">
        <v>1</v>
      </c>
      <c r="T867" s="252" t="s">
        <v>865</v>
      </c>
      <c r="U867" s="296" t="s">
        <v>1190</v>
      </c>
      <c r="V867" s="252">
        <f t="shared" si="119"/>
        <v>25</v>
      </c>
      <c r="W867" s="253" t="s">
        <v>865</v>
      </c>
      <c r="X867" s="252">
        <f t="shared" si="121"/>
        <v>25</v>
      </c>
      <c r="AE867" s="370">
        <f t="shared" si="114"/>
        <v>0</v>
      </c>
      <c r="AG867" s="296"/>
    </row>
    <row r="868" spans="2:33" ht="18.75" customHeight="1">
      <c r="F868" s="252">
        <v>0.5</v>
      </c>
      <c r="G868" s="252" t="s">
        <v>865</v>
      </c>
      <c r="H868" s="296" t="s">
        <v>1191</v>
      </c>
      <c r="I868" s="252">
        <f>C13</f>
        <v>534</v>
      </c>
      <c r="J868" s="296" t="s">
        <v>865</v>
      </c>
      <c r="K868" s="252">
        <f t="shared" si="120"/>
        <v>267</v>
      </c>
      <c r="R868" s="296" t="s">
        <v>971</v>
      </c>
      <c r="S868" s="252">
        <v>0.5</v>
      </c>
      <c r="T868" s="252" t="s">
        <v>865</v>
      </c>
      <c r="U868" s="296" t="s">
        <v>1191</v>
      </c>
      <c r="V868" s="252">
        <f t="shared" si="119"/>
        <v>534</v>
      </c>
      <c r="W868" s="253" t="s">
        <v>865</v>
      </c>
      <c r="X868" s="252">
        <f t="shared" si="121"/>
        <v>267</v>
      </c>
      <c r="AE868" s="370">
        <f t="shared" si="114"/>
        <v>0</v>
      </c>
      <c r="AG868" s="296"/>
    </row>
    <row r="869" spans="2:33" ht="18.75" customHeight="1">
      <c r="G869" s="252" t="s">
        <v>446</v>
      </c>
      <c r="H869" s="296" t="s">
        <v>2130</v>
      </c>
      <c r="J869" s="296" t="s">
        <v>446</v>
      </c>
      <c r="K869" s="252">
        <v>1.1299999999999999</v>
      </c>
      <c r="N869" s="296"/>
      <c r="O869" s="296"/>
      <c r="S869" s="252"/>
      <c r="T869" s="252" t="s">
        <v>446</v>
      </c>
      <c r="U869" s="296" t="s">
        <v>2130</v>
      </c>
      <c r="W869" s="253" t="s">
        <v>446</v>
      </c>
      <c r="X869" s="252">
        <v>0.06</v>
      </c>
      <c r="AE869" s="370">
        <f t="shared" si="114"/>
        <v>0</v>
      </c>
      <c r="AG869" s="296"/>
    </row>
    <row r="870" spans="2:33" ht="18.75" customHeight="1">
      <c r="K870" s="358" t="s">
        <v>1579</v>
      </c>
      <c r="O870" s="296"/>
      <c r="S870" s="252"/>
      <c r="W870" s="253"/>
      <c r="X870" s="358" t="s">
        <v>1579</v>
      </c>
      <c r="AE870" s="370">
        <f t="shared" si="114"/>
        <v>0</v>
      </c>
      <c r="AG870" s="296"/>
    </row>
    <row r="871" spans="2:33" ht="18.75" customHeight="1">
      <c r="H871" s="255" t="s">
        <v>280</v>
      </c>
      <c r="K871" s="274">
        <f>SUM(K859:K869)</f>
        <v>2802.86</v>
      </c>
      <c r="N871" s="296"/>
      <c r="O871" s="296"/>
      <c r="S871" s="252"/>
      <c r="U871" s="255" t="s">
        <v>280</v>
      </c>
      <c r="W871" s="253"/>
      <c r="X871" s="274">
        <f>SUM(X859:X869)</f>
        <v>2952.18</v>
      </c>
      <c r="AE871" s="370">
        <f t="shared" si="114"/>
        <v>0</v>
      </c>
      <c r="AG871" s="296"/>
    </row>
    <row r="872" spans="2:33" ht="18.75" customHeight="1">
      <c r="K872" s="358" t="s">
        <v>1579</v>
      </c>
      <c r="O872" s="296"/>
      <c r="W872" s="253"/>
      <c r="AE872" s="370">
        <f t="shared" si="114"/>
        <v>0</v>
      </c>
      <c r="AG872" s="296"/>
    </row>
    <row r="873" spans="2:33" ht="18.75" customHeight="1">
      <c r="O873" s="296"/>
      <c r="W873" s="253"/>
      <c r="AE873" s="370">
        <f t="shared" si="114"/>
        <v>0</v>
      </c>
      <c r="AG873" s="296"/>
    </row>
    <row r="874" spans="2:33" ht="18.75" customHeight="1">
      <c r="N874" s="296"/>
      <c r="O874" s="296"/>
      <c r="W874" s="253"/>
      <c r="AE874" s="370">
        <f t="shared" si="114"/>
        <v>0</v>
      </c>
      <c r="AG874" s="296"/>
    </row>
    <row r="875" spans="2:33" ht="18.75" customHeight="1">
      <c r="G875" s="252" t="s">
        <v>1898</v>
      </c>
      <c r="H875" s="253" t="s">
        <v>1772</v>
      </c>
      <c r="N875" s="296"/>
      <c r="O875" s="296"/>
      <c r="S875" s="252"/>
      <c r="T875" s="252" t="s">
        <v>313</v>
      </c>
      <c r="U875" s="253" t="s">
        <v>3748</v>
      </c>
      <c r="W875" s="253"/>
      <c r="AE875" s="370">
        <f t="shared" si="114"/>
        <v>0</v>
      </c>
      <c r="AG875" s="296"/>
    </row>
    <row r="876" spans="2:33" ht="18.75" customHeight="1">
      <c r="H876" s="253" t="s">
        <v>1773</v>
      </c>
      <c r="N876" s="296"/>
      <c r="O876" s="296"/>
      <c r="S876" s="252"/>
      <c r="U876" s="253" t="s">
        <v>1773</v>
      </c>
      <c r="W876" s="253"/>
      <c r="AE876" s="370">
        <f t="shared" si="114"/>
        <v>0</v>
      </c>
      <c r="AG876" s="296"/>
    </row>
    <row r="877" spans="2:33" ht="18.75" customHeight="1">
      <c r="B877" s="389" t="s">
        <v>5679</v>
      </c>
      <c r="C877" s="252">
        <f>Y688</f>
        <v>8669.4500000000007</v>
      </c>
      <c r="F877" s="400">
        <v>3.6799999999999999E-2</v>
      </c>
      <c r="G877" s="252" t="s">
        <v>866</v>
      </c>
      <c r="H877" s="389" t="s">
        <v>5679</v>
      </c>
      <c r="I877" s="252">
        <f>Z718</f>
        <v>8125.18</v>
      </c>
      <c r="J877" s="296" t="s">
        <v>866</v>
      </c>
      <c r="K877" s="252">
        <f>F877*I877</f>
        <v>299.01</v>
      </c>
      <c r="N877" s="296"/>
      <c r="O877" s="296"/>
      <c r="S877" s="400">
        <v>5.4699999999999999E-2</v>
      </c>
      <c r="T877" s="252" t="s">
        <v>866</v>
      </c>
      <c r="U877" s="296" t="s">
        <v>2064</v>
      </c>
      <c r="V877" s="252">
        <f>I877</f>
        <v>8125.18</v>
      </c>
      <c r="W877" s="253" t="s">
        <v>866</v>
      </c>
      <c r="X877" s="252">
        <f>S877*V877</f>
        <v>444.45</v>
      </c>
      <c r="AE877" s="370">
        <f t="shared" ref="AE877:AE949" si="122">AG877</f>
        <v>0</v>
      </c>
      <c r="AG877" s="296"/>
    </row>
    <row r="878" spans="2:33" ht="18.75" customHeight="1">
      <c r="B878" s="296" t="s">
        <v>2065</v>
      </c>
      <c r="C878" s="252">
        <f>R1609</f>
        <v>89024.3</v>
      </c>
      <c r="F878" s="252">
        <v>4.87</v>
      </c>
      <c r="G878" s="252" t="s">
        <v>1637</v>
      </c>
      <c r="H878" s="296" t="s">
        <v>2065</v>
      </c>
      <c r="I878" s="252">
        <f>K1608</f>
        <v>88873.5</v>
      </c>
      <c r="J878" s="296" t="s">
        <v>858</v>
      </c>
      <c r="K878" s="252">
        <f>F878*I878/1000</f>
        <v>432.81</v>
      </c>
      <c r="N878" s="296"/>
      <c r="O878" s="296"/>
      <c r="S878" s="377">
        <v>6.16</v>
      </c>
      <c r="T878" s="252" t="s">
        <v>1637</v>
      </c>
      <c r="U878" s="296" t="s">
        <v>2065</v>
      </c>
      <c r="V878" s="252">
        <f t="shared" ref="V878:V886" si="123">I878</f>
        <v>88873.5</v>
      </c>
      <c r="W878" s="253" t="s">
        <v>858</v>
      </c>
      <c r="X878" s="252">
        <f>S878*V878/1000</f>
        <v>547.46</v>
      </c>
      <c r="AE878" s="370">
        <f t="shared" si="122"/>
        <v>0</v>
      </c>
      <c r="AG878" s="296"/>
    </row>
    <row r="879" spans="2:33" ht="18.75" customHeight="1">
      <c r="F879" s="252">
        <v>3</v>
      </c>
      <c r="G879" s="252" t="s">
        <v>865</v>
      </c>
      <c r="H879" s="296" t="s">
        <v>1182</v>
      </c>
      <c r="I879" s="434">
        <f>I861</f>
        <v>14.8</v>
      </c>
      <c r="J879" s="296" t="s">
        <v>865</v>
      </c>
      <c r="K879" s="252">
        <f t="shared" ref="K879:K886" si="124">F879*I879</f>
        <v>44.4</v>
      </c>
      <c r="N879" s="296"/>
      <c r="O879" s="296"/>
      <c r="S879" s="252">
        <v>3</v>
      </c>
      <c r="T879" s="252" t="s">
        <v>865</v>
      </c>
      <c r="U879" s="296" t="s">
        <v>1182</v>
      </c>
      <c r="V879" s="252">
        <f t="shared" si="123"/>
        <v>14.8</v>
      </c>
      <c r="W879" s="253" t="s">
        <v>865</v>
      </c>
      <c r="X879" s="252">
        <f t="shared" ref="X879:X886" si="125">S879*V879</f>
        <v>44.4</v>
      </c>
      <c r="AE879" s="370">
        <f t="shared" si="122"/>
        <v>0</v>
      </c>
      <c r="AG879" s="296"/>
    </row>
    <row r="880" spans="2:33" ht="18.75" customHeight="1">
      <c r="F880" s="252">
        <v>12</v>
      </c>
      <c r="G880" s="252" t="s">
        <v>865</v>
      </c>
      <c r="H880" s="296" t="s">
        <v>1183</v>
      </c>
      <c r="I880" s="434">
        <f>I862</f>
        <v>2</v>
      </c>
      <c r="J880" s="296" t="s">
        <v>865</v>
      </c>
      <c r="K880" s="252">
        <f t="shared" si="124"/>
        <v>24</v>
      </c>
      <c r="N880" s="296"/>
      <c r="O880" s="296"/>
      <c r="S880" s="252">
        <v>12</v>
      </c>
      <c r="T880" s="252" t="s">
        <v>865</v>
      </c>
      <c r="U880" s="296" t="s">
        <v>1183</v>
      </c>
      <c r="V880" s="252">
        <f t="shared" si="123"/>
        <v>2</v>
      </c>
      <c r="W880" s="253" t="s">
        <v>865</v>
      </c>
      <c r="X880" s="252">
        <f t="shared" si="125"/>
        <v>24</v>
      </c>
      <c r="AE880" s="370">
        <f t="shared" si="122"/>
        <v>0</v>
      </c>
      <c r="AG880" s="296"/>
    </row>
    <row r="881" spans="6:33" ht="18.75" customHeight="1">
      <c r="F881" s="252">
        <v>2</v>
      </c>
      <c r="G881" s="252" t="s">
        <v>865</v>
      </c>
      <c r="H881" s="296" t="s">
        <v>1184</v>
      </c>
      <c r="I881" s="434">
        <f>I863</f>
        <v>4.9000000000000004</v>
      </c>
      <c r="J881" s="296" t="s">
        <v>865</v>
      </c>
      <c r="K881" s="252">
        <f t="shared" si="124"/>
        <v>9.8000000000000007</v>
      </c>
      <c r="S881" s="252">
        <v>2</v>
      </c>
      <c r="T881" s="252" t="s">
        <v>865</v>
      </c>
      <c r="U881" s="296" t="s">
        <v>1184</v>
      </c>
      <c r="V881" s="252">
        <f t="shared" si="123"/>
        <v>4.9000000000000004</v>
      </c>
      <c r="W881" s="253" t="s">
        <v>865</v>
      </c>
      <c r="X881" s="252">
        <f t="shared" si="125"/>
        <v>9.8000000000000007</v>
      </c>
      <c r="AE881" s="370">
        <f t="shared" si="122"/>
        <v>0</v>
      </c>
      <c r="AG881" s="296"/>
    </row>
    <row r="882" spans="6:33" ht="18.75" customHeight="1">
      <c r="F882" s="252">
        <v>6</v>
      </c>
      <c r="G882" s="252" t="s">
        <v>865</v>
      </c>
      <c r="H882" s="296" t="s">
        <v>2210</v>
      </c>
      <c r="I882" s="434">
        <f>I864</f>
        <v>4.45</v>
      </c>
      <c r="J882" s="296" t="s">
        <v>865</v>
      </c>
      <c r="K882" s="252">
        <f t="shared" si="124"/>
        <v>26.7</v>
      </c>
      <c r="R882" s="358"/>
      <c r="S882" s="252">
        <v>6</v>
      </c>
      <c r="T882" s="252" t="s">
        <v>865</v>
      </c>
      <c r="U882" s="296" t="s">
        <v>2210</v>
      </c>
      <c r="V882" s="252">
        <f t="shared" si="123"/>
        <v>4.45</v>
      </c>
      <c r="W882" s="253" t="s">
        <v>865</v>
      </c>
      <c r="X882" s="252">
        <f t="shared" si="125"/>
        <v>26.7</v>
      </c>
      <c r="AE882" s="370">
        <f t="shared" si="122"/>
        <v>0</v>
      </c>
      <c r="AG882" s="296"/>
    </row>
    <row r="883" spans="6:33" ht="18.75" customHeight="1">
      <c r="F883" s="252">
        <v>1</v>
      </c>
      <c r="G883" s="252" t="s">
        <v>865</v>
      </c>
      <c r="H883" s="296" t="s">
        <v>1188</v>
      </c>
      <c r="I883" s="252">
        <f>C10</f>
        <v>999</v>
      </c>
      <c r="J883" s="296" t="s">
        <v>865</v>
      </c>
      <c r="K883" s="252">
        <f t="shared" si="124"/>
        <v>999</v>
      </c>
      <c r="O883" s="253"/>
      <c r="S883" s="252">
        <v>1</v>
      </c>
      <c r="T883" s="252" t="s">
        <v>865</v>
      </c>
      <c r="U883" s="296" t="s">
        <v>1188</v>
      </c>
      <c r="V883" s="252">
        <f t="shared" si="123"/>
        <v>999</v>
      </c>
      <c r="W883" s="253" t="s">
        <v>865</v>
      </c>
      <c r="X883" s="252">
        <f t="shared" si="125"/>
        <v>999</v>
      </c>
      <c r="AE883" s="370">
        <f t="shared" si="122"/>
        <v>0</v>
      </c>
      <c r="AG883" s="296"/>
    </row>
    <row r="884" spans="6:33" ht="18.75" customHeight="1">
      <c r="F884" s="252">
        <v>1</v>
      </c>
      <c r="G884" s="252" t="s">
        <v>865</v>
      </c>
      <c r="H884" s="296" t="s">
        <v>1189</v>
      </c>
      <c r="I884" s="252">
        <f>C12</f>
        <v>651</v>
      </c>
      <c r="J884" s="296" t="s">
        <v>865</v>
      </c>
      <c r="K884" s="252">
        <f t="shared" si="124"/>
        <v>651</v>
      </c>
      <c r="R884" s="358"/>
      <c r="S884" s="252">
        <v>1</v>
      </c>
      <c r="T884" s="252" t="s">
        <v>865</v>
      </c>
      <c r="U884" s="296" t="s">
        <v>1189</v>
      </c>
      <c r="V884" s="252">
        <f t="shared" si="123"/>
        <v>651</v>
      </c>
      <c r="W884" s="253" t="s">
        <v>865</v>
      </c>
      <c r="X884" s="252">
        <f t="shared" si="125"/>
        <v>651</v>
      </c>
      <c r="AE884" s="370" t="str">
        <f t="shared" si="122"/>
        <v>|</v>
      </c>
      <c r="AG884" s="296" t="s">
        <v>2249</v>
      </c>
    </row>
    <row r="885" spans="6:33" ht="18.75" customHeight="1">
      <c r="F885" s="252">
        <v>1</v>
      </c>
      <c r="G885" s="252" t="s">
        <v>865</v>
      </c>
      <c r="H885" s="296" t="s">
        <v>1190</v>
      </c>
      <c r="I885" s="440">
        <v>25</v>
      </c>
      <c r="J885" s="296" t="s">
        <v>865</v>
      </c>
      <c r="K885" s="252">
        <f t="shared" si="124"/>
        <v>25</v>
      </c>
      <c r="S885" s="252">
        <v>1</v>
      </c>
      <c r="T885" s="252" t="s">
        <v>865</v>
      </c>
      <c r="U885" s="296" t="s">
        <v>1190</v>
      </c>
      <c r="V885" s="252">
        <f t="shared" si="123"/>
        <v>25</v>
      </c>
      <c r="W885" s="253" t="s">
        <v>865</v>
      </c>
      <c r="X885" s="252">
        <f t="shared" si="125"/>
        <v>25</v>
      </c>
      <c r="AE885" s="370" t="str">
        <f t="shared" si="122"/>
        <v>|</v>
      </c>
      <c r="AG885" s="296" t="s">
        <v>2249</v>
      </c>
    </row>
    <row r="886" spans="6:33" ht="18.75" customHeight="1">
      <c r="F886" s="252">
        <v>0.5</v>
      </c>
      <c r="G886" s="252" t="s">
        <v>865</v>
      </c>
      <c r="H886" s="296" t="s">
        <v>1191</v>
      </c>
      <c r="I886" s="252">
        <f>C13</f>
        <v>534</v>
      </c>
      <c r="J886" s="296" t="s">
        <v>865</v>
      </c>
      <c r="K886" s="252">
        <f t="shared" si="124"/>
        <v>267</v>
      </c>
      <c r="M886" s="253" t="s">
        <v>1101</v>
      </c>
      <c r="N886" s="296" t="s">
        <v>2241</v>
      </c>
      <c r="O886" s="296" t="s">
        <v>1102</v>
      </c>
      <c r="S886" s="252">
        <v>0.5</v>
      </c>
      <c r="T886" s="252" t="s">
        <v>865</v>
      </c>
      <c r="U886" s="296" t="s">
        <v>1191</v>
      </c>
      <c r="V886" s="252">
        <f t="shared" si="123"/>
        <v>534</v>
      </c>
      <c r="W886" s="253" t="s">
        <v>865</v>
      </c>
      <c r="X886" s="252">
        <f t="shared" si="125"/>
        <v>267</v>
      </c>
      <c r="AE886" s="370" t="str">
        <f t="shared" si="122"/>
        <v>|</v>
      </c>
      <c r="AG886" s="296" t="s">
        <v>2249</v>
      </c>
    </row>
    <row r="887" spans="6:33" ht="18.75" customHeight="1">
      <c r="G887" s="252" t="s">
        <v>446</v>
      </c>
      <c r="H887" s="296" t="s">
        <v>2130</v>
      </c>
      <c r="J887" s="296" t="s">
        <v>446</v>
      </c>
      <c r="K887" s="252">
        <v>1.98</v>
      </c>
      <c r="O887" s="296" t="s">
        <v>577</v>
      </c>
      <c r="S887" s="252"/>
      <c r="T887" s="252" t="s">
        <v>446</v>
      </c>
      <c r="U887" s="296" t="s">
        <v>2130</v>
      </c>
      <c r="W887" s="253" t="s">
        <v>446</v>
      </c>
      <c r="X887" s="252">
        <v>0.27</v>
      </c>
      <c r="AE887" s="370" t="str">
        <f t="shared" si="122"/>
        <v>|</v>
      </c>
      <c r="AG887" s="296" t="s">
        <v>2249</v>
      </c>
    </row>
    <row r="888" spans="6:33" ht="18.75" customHeight="1">
      <c r="K888" s="358" t="s">
        <v>1579</v>
      </c>
      <c r="O888" s="358" t="s">
        <v>1579</v>
      </c>
      <c r="P888" s="358" t="s">
        <v>1579</v>
      </c>
      <c r="S888" s="252"/>
      <c r="W888" s="253"/>
      <c r="X888" s="358" t="s">
        <v>1579</v>
      </c>
      <c r="AE888" s="370" t="str">
        <f t="shared" si="122"/>
        <v>|</v>
      </c>
      <c r="AG888" s="296" t="s">
        <v>2249</v>
      </c>
    </row>
    <row r="889" spans="6:33" ht="18.75" customHeight="1">
      <c r="H889" s="255" t="s">
        <v>280</v>
      </c>
      <c r="K889" s="274">
        <f>SUM(K877:K887)</f>
        <v>2780.7</v>
      </c>
      <c r="L889" s="252">
        <f>K889-1729</f>
        <v>1051.7</v>
      </c>
      <c r="O889" s="296" t="s">
        <v>578</v>
      </c>
      <c r="S889" s="252"/>
      <c r="U889" s="255" t="s">
        <v>280</v>
      </c>
      <c r="W889" s="253"/>
      <c r="X889" s="274">
        <f>SUM(X877:X887)</f>
        <v>3039.08</v>
      </c>
      <c r="AE889" s="370" t="str">
        <f t="shared" si="122"/>
        <v>|</v>
      </c>
      <c r="AG889" s="296" t="s">
        <v>2249</v>
      </c>
    </row>
    <row r="890" spans="6:33" ht="18.75" customHeight="1">
      <c r="K890" s="358" t="s">
        <v>1579</v>
      </c>
      <c r="M890" s="252">
        <v>0.5</v>
      </c>
      <c r="N890" s="253" t="s">
        <v>766</v>
      </c>
      <c r="O890" s="296" t="s">
        <v>74</v>
      </c>
      <c r="P890" s="252">
        <f>C16</f>
        <v>976</v>
      </c>
      <c r="Q890" s="253" t="s">
        <v>1708</v>
      </c>
      <c r="R890" s="252">
        <f>(M890*P890)</f>
        <v>488</v>
      </c>
      <c r="W890" s="253"/>
      <c r="AE890" s="370" t="str">
        <f t="shared" si="122"/>
        <v>|</v>
      </c>
      <c r="AG890" s="296" t="s">
        <v>2249</v>
      </c>
    </row>
    <row r="891" spans="6:33" ht="18.75" customHeight="1">
      <c r="F891" s="253"/>
      <c r="G891" s="252" t="s">
        <v>517</v>
      </c>
      <c r="H891" s="253" t="s">
        <v>560</v>
      </c>
      <c r="K891" s="252">
        <f>K889-1800.2</f>
        <v>980.5</v>
      </c>
      <c r="M891" s="252">
        <v>0.25</v>
      </c>
      <c r="N891" s="253" t="s">
        <v>766</v>
      </c>
      <c r="O891" s="296" t="s">
        <v>875</v>
      </c>
      <c r="P891" s="252">
        <f>C12</f>
        <v>651</v>
      </c>
      <c r="Q891" s="253" t="s">
        <v>1708</v>
      </c>
      <c r="R891" s="252">
        <f>(M891*P891)</f>
        <v>162.75</v>
      </c>
      <c r="S891" s="252"/>
      <c r="T891" s="252" t="s">
        <v>313</v>
      </c>
      <c r="U891" s="253" t="s">
        <v>3749</v>
      </c>
      <c r="W891" s="253"/>
      <c r="AE891" s="370" t="str">
        <f t="shared" si="122"/>
        <v>|</v>
      </c>
      <c r="AG891" s="296" t="s">
        <v>2249</v>
      </c>
    </row>
    <row r="892" spans="6:33" ht="18.75" customHeight="1">
      <c r="H892" s="253" t="s">
        <v>1773</v>
      </c>
      <c r="R892" s="358" t="s">
        <v>1579</v>
      </c>
      <c r="S892" s="252"/>
      <c r="U892" s="253" t="s">
        <v>1773</v>
      </c>
      <c r="W892" s="253"/>
      <c r="AE892" s="370" t="str">
        <f t="shared" si="122"/>
        <v>|</v>
      </c>
      <c r="AG892" s="296" t="s">
        <v>2249</v>
      </c>
    </row>
    <row r="893" spans="6:33" ht="18.75" customHeight="1">
      <c r="F893" s="400">
        <v>3.5299999999999998E-2</v>
      </c>
      <c r="G893" s="252" t="s">
        <v>866</v>
      </c>
      <c r="H893" s="296" t="s">
        <v>2064</v>
      </c>
      <c r="I893" s="252">
        <f t="shared" ref="I893:I898" si="126">I877</f>
        <v>8125.18</v>
      </c>
      <c r="J893" s="296" t="s">
        <v>866</v>
      </c>
      <c r="K893" s="252">
        <f>F893*I893</f>
        <v>286.82</v>
      </c>
      <c r="O893" s="253" t="s">
        <v>1158</v>
      </c>
      <c r="R893" s="252">
        <f>SUM(R890:R891)</f>
        <v>650.75</v>
      </c>
      <c r="S893" s="400">
        <v>5.91E-2</v>
      </c>
      <c r="T893" s="252" t="s">
        <v>866</v>
      </c>
      <c r="U893" s="296" t="s">
        <v>2064</v>
      </c>
      <c r="V893" s="252">
        <f>V877</f>
        <v>8125.18</v>
      </c>
      <c r="W893" s="253" t="s">
        <v>866</v>
      </c>
      <c r="X893" s="252">
        <f>S893*V893</f>
        <v>480.2</v>
      </c>
      <c r="AE893" s="370" t="str">
        <f t="shared" si="122"/>
        <v>|</v>
      </c>
      <c r="AG893" s="296" t="s">
        <v>2249</v>
      </c>
    </row>
    <row r="894" spans="6:33" ht="18.75" customHeight="1">
      <c r="F894" s="252">
        <v>4.59</v>
      </c>
      <c r="G894" s="252" t="s">
        <v>1637</v>
      </c>
      <c r="H894" s="296" t="s">
        <v>2065</v>
      </c>
      <c r="I894" s="252">
        <f t="shared" si="126"/>
        <v>88873.5</v>
      </c>
      <c r="J894" s="296" t="s">
        <v>858</v>
      </c>
      <c r="K894" s="252">
        <f>F894*I894/1000</f>
        <v>407.93</v>
      </c>
      <c r="R894" s="358" t="s">
        <v>1579</v>
      </c>
      <c r="S894" s="377">
        <v>6.58</v>
      </c>
      <c r="T894" s="252" t="s">
        <v>1637</v>
      </c>
      <c r="U894" s="296" t="s">
        <v>2065</v>
      </c>
      <c r="V894" s="252">
        <f t="shared" ref="V894:V902" si="127">V878</f>
        <v>88873.5</v>
      </c>
      <c r="W894" s="253" t="s">
        <v>858</v>
      </c>
      <c r="X894" s="252">
        <f>S894*V894/1000</f>
        <v>584.79</v>
      </c>
      <c r="AE894" s="370" t="str">
        <f t="shared" si="122"/>
        <v>|</v>
      </c>
      <c r="AG894" s="296" t="s">
        <v>2249</v>
      </c>
    </row>
    <row r="895" spans="6:33" ht="18.75" customHeight="1">
      <c r="F895" s="252">
        <v>3</v>
      </c>
      <c r="G895" s="252" t="s">
        <v>865</v>
      </c>
      <c r="H895" s="296" t="s">
        <v>1182</v>
      </c>
      <c r="I895" s="434">
        <f t="shared" si="126"/>
        <v>14.8</v>
      </c>
      <c r="J895" s="296" t="s">
        <v>865</v>
      </c>
      <c r="K895" s="252">
        <f t="shared" ref="K895:K902" si="128">F895*I895</f>
        <v>44.4</v>
      </c>
      <c r="O895" s="253" t="s">
        <v>1159</v>
      </c>
      <c r="R895" s="252">
        <f>R893/0.0283</f>
        <v>22994.7</v>
      </c>
      <c r="S895" s="252">
        <v>3</v>
      </c>
      <c r="T895" s="252" t="s">
        <v>865</v>
      </c>
      <c r="U895" s="296" t="s">
        <v>1182</v>
      </c>
      <c r="V895" s="252">
        <f t="shared" si="127"/>
        <v>14.8</v>
      </c>
      <c r="W895" s="253" t="s">
        <v>865</v>
      </c>
      <c r="X895" s="252">
        <f t="shared" ref="X895:X902" si="129">S895*V895</f>
        <v>44.4</v>
      </c>
      <c r="AE895" s="370" t="str">
        <f t="shared" si="122"/>
        <v>|</v>
      </c>
      <c r="AG895" s="296" t="s">
        <v>2249</v>
      </c>
    </row>
    <row r="896" spans="6:33" ht="18.75" customHeight="1">
      <c r="F896" s="252">
        <v>12</v>
      </c>
      <c r="G896" s="252" t="s">
        <v>865</v>
      </c>
      <c r="H896" s="296" t="s">
        <v>1183</v>
      </c>
      <c r="I896" s="434">
        <f t="shared" si="126"/>
        <v>2</v>
      </c>
      <c r="J896" s="296" t="s">
        <v>865</v>
      </c>
      <c r="K896" s="252">
        <f t="shared" si="128"/>
        <v>24</v>
      </c>
      <c r="R896" s="358" t="s">
        <v>1579</v>
      </c>
      <c r="S896" s="252">
        <v>12</v>
      </c>
      <c r="T896" s="252" t="s">
        <v>865</v>
      </c>
      <c r="U896" s="296" t="s">
        <v>1183</v>
      </c>
      <c r="V896" s="252">
        <f t="shared" si="127"/>
        <v>2</v>
      </c>
      <c r="W896" s="253" t="s">
        <v>865</v>
      </c>
      <c r="X896" s="252">
        <f t="shared" si="129"/>
        <v>24</v>
      </c>
      <c r="AE896" s="370" t="str">
        <f t="shared" si="122"/>
        <v>|</v>
      </c>
      <c r="AG896" s="296" t="s">
        <v>2249</v>
      </c>
    </row>
    <row r="897" spans="6:33" ht="18.75" customHeight="1">
      <c r="F897" s="252">
        <v>2</v>
      </c>
      <c r="G897" s="252" t="s">
        <v>865</v>
      </c>
      <c r="H897" s="252" t="str">
        <f>H881</f>
        <v>TOWER BOLT RECEIVER</v>
      </c>
      <c r="I897" s="434">
        <f t="shared" si="126"/>
        <v>4.9000000000000004</v>
      </c>
      <c r="J897" s="296" t="s">
        <v>865</v>
      </c>
      <c r="K897" s="252">
        <f t="shared" si="128"/>
        <v>9.8000000000000007</v>
      </c>
      <c r="S897" s="252">
        <v>2</v>
      </c>
      <c r="T897" s="252" t="s">
        <v>865</v>
      </c>
      <c r="U897" s="296" t="s">
        <v>1184</v>
      </c>
      <c r="V897" s="252">
        <f t="shared" si="127"/>
        <v>4.9000000000000004</v>
      </c>
      <c r="W897" s="253" t="s">
        <v>865</v>
      </c>
      <c r="X897" s="252">
        <f t="shared" si="129"/>
        <v>9.8000000000000007</v>
      </c>
      <c r="AE897" s="370" t="str">
        <f t="shared" si="122"/>
        <v>|</v>
      </c>
      <c r="AG897" s="296" t="s">
        <v>2249</v>
      </c>
    </row>
    <row r="898" spans="6:33" ht="18.75" customHeight="1">
      <c r="F898" s="252">
        <v>6</v>
      </c>
      <c r="G898" s="252" t="s">
        <v>865</v>
      </c>
      <c r="H898" s="296" t="s">
        <v>2210</v>
      </c>
      <c r="I898" s="434">
        <f t="shared" si="126"/>
        <v>4.45</v>
      </c>
      <c r="J898" s="296" t="s">
        <v>865</v>
      </c>
      <c r="K898" s="252">
        <f t="shared" si="128"/>
        <v>26.7</v>
      </c>
      <c r="S898" s="252">
        <v>6</v>
      </c>
      <c r="T898" s="252" t="s">
        <v>865</v>
      </c>
      <c r="U898" s="296" t="s">
        <v>2210</v>
      </c>
      <c r="V898" s="252">
        <f t="shared" si="127"/>
        <v>4.45</v>
      </c>
      <c r="W898" s="253" t="s">
        <v>865</v>
      </c>
      <c r="X898" s="252">
        <f t="shared" si="129"/>
        <v>26.7</v>
      </c>
      <c r="AE898" s="370" t="str">
        <f t="shared" si="122"/>
        <v>|</v>
      </c>
      <c r="AG898" s="296" t="s">
        <v>2249</v>
      </c>
    </row>
    <row r="899" spans="6:33" ht="18.75" customHeight="1">
      <c r="F899" s="252">
        <v>1</v>
      </c>
      <c r="G899" s="252" t="s">
        <v>865</v>
      </c>
      <c r="H899" s="296" t="s">
        <v>1188</v>
      </c>
      <c r="I899" s="252">
        <f>C10</f>
        <v>999</v>
      </c>
      <c r="J899" s="296" t="s">
        <v>865</v>
      </c>
      <c r="K899" s="252">
        <f t="shared" si="128"/>
        <v>999</v>
      </c>
      <c r="S899" s="252">
        <v>1</v>
      </c>
      <c r="T899" s="252" t="s">
        <v>865</v>
      </c>
      <c r="U899" s="296" t="s">
        <v>1188</v>
      </c>
      <c r="V899" s="252">
        <f t="shared" si="127"/>
        <v>999</v>
      </c>
      <c r="W899" s="253" t="s">
        <v>865</v>
      </c>
      <c r="X899" s="252">
        <f t="shared" si="129"/>
        <v>999</v>
      </c>
      <c r="AE899" s="370" t="str">
        <f t="shared" si="122"/>
        <v>|</v>
      </c>
      <c r="AG899" s="296" t="s">
        <v>2249</v>
      </c>
    </row>
    <row r="900" spans="6:33" ht="18.75" customHeight="1">
      <c r="F900" s="252">
        <v>1</v>
      </c>
      <c r="G900" s="252" t="s">
        <v>865</v>
      </c>
      <c r="H900" s="296" t="s">
        <v>1189</v>
      </c>
      <c r="I900" s="252">
        <f>C12</f>
        <v>651</v>
      </c>
      <c r="J900" s="296" t="s">
        <v>865</v>
      </c>
      <c r="K900" s="252">
        <f t="shared" si="128"/>
        <v>651</v>
      </c>
      <c r="S900" s="252">
        <v>1</v>
      </c>
      <c r="T900" s="252" t="s">
        <v>865</v>
      </c>
      <c r="U900" s="296" t="s">
        <v>1189</v>
      </c>
      <c r="V900" s="252">
        <f t="shared" si="127"/>
        <v>651</v>
      </c>
      <c r="W900" s="253" t="s">
        <v>865</v>
      </c>
      <c r="X900" s="252">
        <f t="shared" si="129"/>
        <v>651</v>
      </c>
      <c r="AE900" s="370" t="str">
        <f t="shared" si="122"/>
        <v>|</v>
      </c>
      <c r="AG900" s="296" t="s">
        <v>2249</v>
      </c>
    </row>
    <row r="901" spans="6:33" ht="18.75" customHeight="1">
      <c r="F901" s="252">
        <v>1</v>
      </c>
      <c r="G901" s="252" t="s">
        <v>865</v>
      </c>
      <c r="H901" s="252" t="str">
        <f>H885</f>
        <v>MOULDING CHARGES</v>
      </c>
      <c r="I901" s="399">
        <v>25</v>
      </c>
      <c r="J901" s="296" t="s">
        <v>865</v>
      </c>
      <c r="K901" s="252">
        <f t="shared" si="128"/>
        <v>25</v>
      </c>
      <c r="S901" s="252">
        <v>1</v>
      </c>
      <c r="T901" s="252" t="s">
        <v>865</v>
      </c>
      <c r="U901" s="296" t="s">
        <v>1190</v>
      </c>
      <c r="V901" s="252">
        <f t="shared" si="127"/>
        <v>25</v>
      </c>
      <c r="W901" s="253" t="s">
        <v>865</v>
      </c>
      <c r="X901" s="252">
        <f t="shared" si="129"/>
        <v>25</v>
      </c>
      <c r="AE901" s="370">
        <f t="shared" si="122"/>
        <v>0</v>
      </c>
    </row>
    <row r="902" spans="6:33" ht="18.75" customHeight="1">
      <c r="F902" s="252">
        <v>0.5</v>
      </c>
      <c r="G902" s="252" t="s">
        <v>865</v>
      </c>
      <c r="H902" s="296" t="s">
        <v>1191</v>
      </c>
      <c r="I902" s="252">
        <f>C13</f>
        <v>534</v>
      </c>
      <c r="J902" s="296" t="s">
        <v>865</v>
      </c>
      <c r="K902" s="252">
        <f t="shared" si="128"/>
        <v>267</v>
      </c>
      <c r="N902" s="296"/>
      <c r="O902" s="296"/>
      <c r="S902" s="252">
        <v>0.5</v>
      </c>
      <c r="T902" s="252" t="s">
        <v>865</v>
      </c>
      <c r="U902" s="296" t="s">
        <v>1191</v>
      </c>
      <c r="V902" s="252">
        <f t="shared" si="127"/>
        <v>534</v>
      </c>
      <c r="W902" s="253" t="s">
        <v>865</v>
      </c>
      <c r="X902" s="252">
        <f t="shared" si="129"/>
        <v>267</v>
      </c>
      <c r="AE902" s="370">
        <f t="shared" si="122"/>
        <v>0</v>
      </c>
    </row>
    <row r="903" spans="6:33" ht="18.75" customHeight="1">
      <c r="G903" s="252" t="s">
        <v>446</v>
      </c>
      <c r="H903" s="296" t="s">
        <v>2130</v>
      </c>
      <c r="J903" s="296" t="s">
        <v>446</v>
      </c>
      <c r="K903" s="252">
        <v>1.39</v>
      </c>
      <c r="M903" s="316"/>
      <c r="N903" s="296"/>
      <c r="O903" s="296"/>
      <c r="S903" s="252"/>
      <c r="T903" s="252" t="s">
        <v>446</v>
      </c>
      <c r="U903" s="296" t="s">
        <v>2130</v>
      </c>
      <c r="W903" s="253" t="s">
        <v>446</v>
      </c>
      <c r="X903" s="252">
        <v>0.21</v>
      </c>
      <c r="AE903" s="370">
        <f t="shared" si="122"/>
        <v>0</v>
      </c>
    </row>
    <row r="904" spans="6:33" ht="18.75" customHeight="1">
      <c r="K904" s="358" t="s">
        <v>1579</v>
      </c>
      <c r="N904" s="296"/>
      <c r="O904" s="296"/>
      <c r="S904" s="252"/>
      <c r="W904" s="253"/>
      <c r="X904" s="358" t="s">
        <v>1579</v>
      </c>
      <c r="AE904" s="370">
        <f t="shared" si="122"/>
        <v>0</v>
      </c>
    </row>
    <row r="905" spans="6:33" ht="18.75" customHeight="1">
      <c r="H905" s="255" t="s">
        <v>280</v>
      </c>
      <c r="K905" s="274">
        <f>SUM(K893:K903)</f>
        <v>2743.04</v>
      </c>
      <c r="S905" s="252"/>
      <c r="U905" s="255" t="s">
        <v>280</v>
      </c>
      <c r="W905" s="253"/>
      <c r="X905" s="274">
        <f>SUM(X893:X903)</f>
        <v>3112.1</v>
      </c>
      <c r="AE905" s="370">
        <f t="shared" si="122"/>
        <v>0</v>
      </c>
    </row>
    <row r="906" spans="6:33" ht="18.75" customHeight="1">
      <c r="K906" s="358" t="s">
        <v>1579</v>
      </c>
      <c r="W906" s="253"/>
      <c r="AE906" s="370">
        <f t="shared" si="122"/>
        <v>0</v>
      </c>
    </row>
    <row r="907" spans="6:33" ht="18.75" customHeight="1">
      <c r="R907" s="358"/>
      <c r="W907" s="253"/>
      <c r="AE907" s="370">
        <f t="shared" si="122"/>
        <v>0</v>
      </c>
    </row>
    <row r="908" spans="6:33" ht="18.75" customHeight="1">
      <c r="F908" s="441">
        <v>21.3</v>
      </c>
      <c r="G908" s="252" t="s">
        <v>2241</v>
      </c>
      <c r="H908" s="442" t="s">
        <v>6531</v>
      </c>
      <c r="O908" s="253"/>
      <c r="W908" s="253"/>
      <c r="AE908" s="370">
        <f t="shared" si="122"/>
        <v>0</v>
      </c>
    </row>
    <row r="909" spans="6:33" ht="18.75" customHeight="1">
      <c r="H909" s="296" t="s">
        <v>2250</v>
      </c>
      <c r="W909" s="253"/>
      <c r="AE909" s="370">
        <f t="shared" si="122"/>
        <v>0</v>
      </c>
    </row>
    <row r="910" spans="6:33" ht="18.75" customHeight="1">
      <c r="H910" s="358" t="s">
        <v>1579</v>
      </c>
      <c r="J910" s="296" t="s">
        <v>1299</v>
      </c>
      <c r="W910" s="253"/>
      <c r="AE910" s="370">
        <f t="shared" si="122"/>
        <v>0</v>
      </c>
    </row>
    <row r="911" spans="6:33" ht="18.75" customHeight="1">
      <c r="W911" s="253"/>
      <c r="AE911" s="370">
        <f t="shared" si="122"/>
        <v>0</v>
      </c>
    </row>
    <row r="912" spans="6:33" ht="18.75" customHeight="1">
      <c r="H912" s="393" t="s">
        <v>4882</v>
      </c>
      <c r="J912" s="296" t="s">
        <v>606</v>
      </c>
      <c r="K912" s="366">
        <v>2135</v>
      </c>
      <c r="W912" s="253"/>
      <c r="AE912" s="370">
        <f t="shared" si="122"/>
        <v>0</v>
      </c>
    </row>
    <row r="913" spans="6:33" ht="18.75" customHeight="1">
      <c r="F913" s="296" t="s">
        <v>971</v>
      </c>
      <c r="W913" s="253"/>
      <c r="AE913" s="370">
        <f t="shared" si="122"/>
        <v>0</v>
      </c>
    </row>
    <row r="914" spans="6:33" ht="18.75" customHeight="1">
      <c r="H914" s="253" t="s">
        <v>2251</v>
      </c>
      <c r="K914" s="358" t="s">
        <v>2046</v>
      </c>
      <c r="W914" s="253"/>
      <c r="AE914" s="370">
        <f t="shared" si="122"/>
        <v>0</v>
      </c>
    </row>
    <row r="915" spans="6:33" ht="18.75" customHeight="1">
      <c r="H915" s="253" t="s">
        <v>1363</v>
      </c>
      <c r="W915" s="253"/>
      <c r="AE915" s="370">
        <f t="shared" si="122"/>
        <v>0</v>
      </c>
    </row>
    <row r="916" spans="6:33" ht="18.75" customHeight="1">
      <c r="F916" s="375">
        <v>21.2</v>
      </c>
      <c r="H916" s="274" t="s">
        <v>1720</v>
      </c>
      <c r="W916" s="253"/>
      <c r="AE916" s="370">
        <f t="shared" si="122"/>
        <v>0</v>
      </c>
    </row>
    <row r="917" spans="6:33" ht="18.75" customHeight="1">
      <c r="F917" s="375"/>
      <c r="H917" s="358" t="s">
        <v>1579</v>
      </c>
      <c r="W917" s="253"/>
      <c r="AE917" s="370" t="str">
        <f t="shared" si="122"/>
        <v>|</v>
      </c>
      <c r="AG917" s="296" t="s">
        <v>2249</v>
      </c>
    </row>
    <row r="918" spans="6:33" ht="18.75" customHeight="1">
      <c r="G918" s="252" t="s">
        <v>154</v>
      </c>
      <c r="H918" s="296" t="s">
        <v>1364</v>
      </c>
      <c r="K918" s="296" t="s">
        <v>971</v>
      </c>
      <c r="W918" s="253"/>
      <c r="AE918" s="370" t="str">
        <f t="shared" si="122"/>
        <v>|</v>
      </c>
      <c r="AG918" s="296" t="s">
        <v>2249</v>
      </c>
    </row>
    <row r="919" spans="6:33" ht="18.75" customHeight="1">
      <c r="H919" s="358" t="s">
        <v>1579</v>
      </c>
      <c r="K919" s="296" t="s">
        <v>971</v>
      </c>
      <c r="W919" s="253"/>
      <c r="AE919" s="370" t="str">
        <f t="shared" si="122"/>
        <v>|</v>
      </c>
      <c r="AG919" s="296" t="s">
        <v>2249</v>
      </c>
    </row>
    <row r="920" spans="6:33" ht="18.75" customHeight="1">
      <c r="F920" s="252">
        <v>1</v>
      </c>
      <c r="G920" s="252" t="s">
        <v>866</v>
      </c>
      <c r="H920" s="296" t="s">
        <v>1561</v>
      </c>
      <c r="I920" s="252">
        <f>C30</f>
        <v>13690</v>
      </c>
      <c r="J920" s="296" t="s">
        <v>866</v>
      </c>
      <c r="K920" s="252">
        <f>(F920*I920)</f>
        <v>13690</v>
      </c>
      <c r="W920" s="253"/>
      <c r="AE920" s="370" t="str">
        <f t="shared" si="122"/>
        <v>|</v>
      </c>
      <c r="AG920" s="296" t="s">
        <v>2249</v>
      </c>
    </row>
    <row r="921" spans="6:33" ht="18.75" customHeight="1">
      <c r="F921" s="252">
        <v>1</v>
      </c>
      <c r="G921" s="252" t="s">
        <v>866</v>
      </c>
      <c r="H921" s="296" t="s">
        <v>1364</v>
      </c>
      <c r="I921" s="252">
        <f>C88</f>
        <v>111600</v>
      </c>
      <c r="J921" s="296" t="s">
        <v>866</v>
      </c>
      <c r="K921" s="252">
        <f>(F921*I921)</f>
        <v>111600</v>
      </c>
      <c r="W921" s="253"/>
      <c r="AE921" s="370" t="str">
        <f t="shared" si="122"/>
        <v>|</v>
      </c>
      <c r="AG921" s="296" t="s">
        <v>2249</v>
      </c>
    </row>
    <row r="922" spans="6:33" ht="18.75" customHeight="1">
      <c r="K922" s="358" t="s">
        <v>2046</v>
      </c>
      <c r="W922" s="253"/>
      <c r="AE922" s="370">
        <f t="shared" si="122"/>
        <v>0</v>
      </c>
    </row>
    <row r="923" spans="6:33" ht="18.75" customHeight="1">
      <c r="H923" s="296" t="s">
        <v>1562</v>
      </c>
      <c r="K923" s="274">
        <f>SUM(K920:K921)</f>
        <v>125290</v>
      </c>
      <c r="W923" s="253"/>
      <c r="AE923" s="370" t="str">
        <f t="shared" si="122"/>
        <v>|</v>
      </c>
      <c r="AG923" s="296" t="s">
        <v>2249</v>
      </c>
    </row>
    <row r="924" spans="6:33" ht="18.75" customHeight="1">
      <c r="K924" s="358" t="s">
        <v>2046</v>
      </c>
      <c r="W924" s="253"/>
      <c r="AE924" s="370" t="str">
        <f t="shared" si="122"/>
        <v>|</v>
      </c>
      <c r="AG924" s="296" t="s">
        <v>2249</v>
      </c>
    </row>
    <row r="925" spans="6:33" ht="18.75" customHeight="1">
      <c r="G925" s="252" t="s">
        <v>1548</v>
      </c>
      <c r="H925" s="296" t="s">
        <v>1563</v>
      </c>
      <c r="K925" s="296" t="s">
        <v>971</v>
      </c>
      <c r="W925" s="253"/>
      <c r="AE925" s="370" t="str">
        <f t="shared" si="122"/>
        <v>|</v>
      </c>
      <c r="AG925" s="296" t="s">
        <v>2249</v>
      </c>
    </row>
    <row r="926" spans="6:33" ht="18.75" customHeight="1">
      <c r="H926" s="358" t="s">
        <v>1579</v>
      </c>
      <c r="M926" s="253" t="s">
        <v>561</v>
      </c>
      <c r="N926" s="252" t="s">
        <v>2241</v>
      </c>
      <c r="O926" s="296" t="s">
        <v>326</v>
      </c>
      <c r="Q926" s="296"/>
      <c r="W926" s="253"/>
      <c r="AE926" s="370">
        <f t="shared" si="122"/>
        <v>0</v>
      </c>
      <c r="AG926" s="296"/>
    </row>
    <row r="927" spans="6:33" ht="18.75" customHeight="1">
      <c r="F927" s="252">
        <v>1</v>
      </c>
      <c r="G927" s="252" t="s">
        <v>866</v>
      </c>
      <c r="H927" s="296" t="s">
        <v>1561</v>
      </c>
      <c r="I927" s="252">
        <f>C30</f>
        <v>13690</v>
      </c>
      <c r="J927" s="296" t="s">
        <v>866</v>
      </c>
      <c r="K927" s="252">
        <f>(F927*I927)</f>
        <v>13690</v>
      </c>
      <c r="O927" s="296" t="s">
        <v>253</v>
      </c>
      <c r="Q927" s="296"/>
      <c r="W927" s="253"/>
      <c r="AE927" s="370" t="str">
        <f t="shared" si="122"/>
        <v>|</v>
      </c>
      <c r="AG927" s="296" t="s">
        <v>2249</v>
      </c>
    </row>
    <row r="928" spans="6:33" ht="18.75" customHeight="1">
      <c r="F928" s="252">
        <v>1</v>
      </c>
      <c r="G928" s="252" t="s">
        <v>866</v>
      </c>
      <c r="H928" s="296" t="s">
        <v>1364</v>
      </c>
      <c r="I928" s="252">
        <f>C89</f>
        <v>99400</v>
      </c>
      <c r="J928" s="296" t="s">
        <v>866</v>
      </c>
      <c r="K928" s="252">
        <f>(F928*I928)</f>
        <v>99400</v>
      </c>
      <c r="O928" s="296" t="s">
        <v>1463</v>
      </c>
      <c r="Q928" s="296"/>
      <c r="W928" s="253"/>
      <c r="AE928" s="370" t="str">
        <f t="shared" si="122"/>
        <v>|</v>
      </c>
      <c r="AG928" s="296" t="s">
        <v>2249</v>
      </c>
    </row>
    <row r="929" spans="6:33" ht="18.75" customHeight="1">
      <c r="K929" s="358" t="s">
        <v>2046</v>
      </c>
      <c r="O929" s="358" t="s">
        <v>1579</v>
      </c>
      <c r="Q929" s="296"/>
      <c r="W929" s="253"/>
      <c r="AE929" s="370" t="str">
        <f t="shared" si="122"/>
        <v>|</v>
      </c>
      <c r="AG929" s="296" t="s">
        <v>2249</v>
      </c>
    </row>
    <row r="930" spans="6:33" ht="18.75" customHeight="1">
      <c r="H930" s="296" t="s">
        <v>1564</v>
      </c>
      <c r="K930" s="274">
        <f>SUM(K927:K928)</f>
        <v>113090</v>
      </c>
      <c r="O930" s="296" t="s">
        <v>89</v>
      </c>
      <c r="Q930" s="296"/>
      <c r="W930" s="253"/>
      <c r="AE930" s="370" t="str">
        <f t="shared" si="122"/>
        <v>|</v>
      </c>
      <c r="AG930" s="296" t="s">
        <v>2249</v>
      </c>
    </row>
    <row r="931" spans="6:33" ht="18.75" customHeight="1">
      <c r="K931" s="358" t="s">
        <v>2046</v>
      </c>
      <c r="O931" s="296" t="s">
        <v>90</v>
      </c>
      <c r="Q931" s="296"/>
      <c r="W931" s="253"/>
      <c r="AE931" s="370" t="str">
        <f t="shared" si="122"/>
        <v>|</v>
      </c>
      <c r="AG931" s="296" t="s">
        <v>2249</v>
      </c>
    </row>
    <row r="932" spans="6:33" ht="18.75" customHeight="1">
      <c r="Q932" s="296" t="s">
        <v>1579</v>
      </c>
      <c r="W932" s="253"/>
      <c r="AE932" s="370" t="str">
        <f t="shared" si="122"/>
        <v>|</v>
      </c>
      <c r="AG932" s="296" t="s">
        <v>2249</v>
      </c>
    </row>
    <row r="933" spans="6:33" ht="18.75" customHeight="1">
      <c r="F933" s="253" t="s">
        <v>561</v>
      </c>
      <c r="G933" s="252" t="s">
        <v>2241</v>
      </c>
      <c r="H933" s="296" t="s">
        <v>252</v>
      </c>
      <c r="O933" s="296" t="s">
        <v>1168</v>
      </c>
      <c r="Q933" s="296"/>
      <c r="W933" s="253"/>
      <c r="AE933" s="370" t="str">
        <f t="shared" si="122"/>
        <v>|</v>
      </c>
      <c r="AG933" s="296" t="s">
        <v>2249</v>
      </c>
    </row>
    <row r="934" spans="6:33" ht="18.75" customHeight="1">
      <c r="H934" s="296" t="s">
        <v>253</v>
      </c>
      <c r="O934" s="296" t="s">
        <v>1997</v>
      </c>
      <c r="Q934" s="296"/>
      <c r="R934" s="400">
        <v>2.4299999999999999E-2</v>
      </c>
      <c r="W934" s="253"/>
      <c r="AE934" s="370" t="str">
        <f t="shared" si="122"/>
        <v>|</v>
      </c>
      <c r="AG934" s="296" t="s">
        <v>2249</v>
      </c>
    </row>
    <row r="935" spans="6:33" ht="18.75" customHeight="1">
      <c r="H935" s="296" t="s">
        <v>1463</v>
      </c>
      <c r="Q935" s="296" t="s">
        <v>971</v>
      </c>
      <c r="R935" s="358" t="s">
        <v>1579</v>
      </c>
      <c r="W935" s="253"/>
      <c r="AE935" s="370" t="str">
        <f t="shared" si="122"/>
        <v>|</v>
      </c>
      <c r="AG935" s="296" t="s">
        <v>2249</v>
      </c>
    </row>
    <row r="936" spans="6:33" ht="18.75" customHeight="1">
      <c r="H936" s="358" t="s">
        <v>1579</v>
      </c>
      <c r="O936" s="296" t="s">
        <v>1998</v>
      </c>
      <c r="Q936" s="443" t="s">
        <v>971</v>
      </c>
      <c r="R936" s="400">
        <v>1.47E-2</v>
      </c>
      <c r="W936" s="253"/>
      <c r="AE936" s="370" t="str">
        <f t="shared" si="122"/>
        <v>|</v>
      </c>
      <c r="AG936" s="296" t="s">
        <v>2249</v>
      </c>
    </row>
    <row r="937" spans="6:33" ht="18.75" customHeight="1">
      <c r="H937" s="296" t="s">
        <v>89</v>
      </c>
      <c r="O937" s="296" t="s">
        <v>1758</v>
      </c>
      <c r="Q937" s="296" t="s">
        <v>971</v>
      </c>
      <c r="R937" s="400">
        <v>4.5999999999999999E-3</v>
      </c>
      <c r="W937" s="253"/>
      <c r="AE937" s="370" t="str">
        <f t="shared" si="122"/>
        <v>|</v>
      </c>
      <c r="AG937" s="296" t="s">
        <v>2249</v>
      </c>
    </row>
    <row r="938" spans="6:33" ht="18.75" customHeight="1">
      <c r="H938" s="296" t="s">
        <v>90</v>
      </c>
      <c r="Q938" s="296"/>
      <c r="R938" s="358" t="s">
        <v>1579</v>
      </c>
      <c r="W938" s="253"/>
      <c r="AE938" s="370" t="str">
        <f t="shared" si="122"/>
        <v>|</v>
      </c>
      <c r="AG938" s="296" t="s">
        <v>2249</v>
      </c>
    </row>
    <row r="939" spans="6:33" ht="18.75" customHeight="1">
      <c r="J939" s="296" t="s">
        <v>1579</v>
      </c>
      <c r="Q939" s="296"/>
      <c r="R939" s="400">
        <v>1.9300000000000001E-2</v>
      </c>
      <c r="W939" s="253"/>
      <c r="AE939" s="370" t="str">
        <f t="shared" si="122"/>
        <v>|</v>
      </c>
      <c r="AG939" s="296" t="s">
        <v>2249</v>
      </c>
    </row>
    <row r="940" spans="6:33" ht="18.75" customHeight="1">
      <c r="H940" s="296" t="s">
        <v>1168</v>
      </c>
      <c r="Q940" s="296"/>
      <c r="R940" s="358" t="s">
        <v>1579</v>
      </c>
      <c r="W940" s="253"/>
      <c r="AE940" s="370" t="str">
        <f t="shared" si="122"/>
        <v>|</v>
      </c>
      <c r="AG940" s="296" t="s">
        <v>2249</v>
      </c>
    </row>
    <row r="941" spans="6:33" ht="18.75" customHeight="1">
      <c r="H941" s="296" t="s">
        <v>1997</v>
      </c>
      <c r="K941" s="400">
        <v>2.4299999999999999E-2</v>
      </c>
      <c r="Q941" s="296"/>
      <c r="W941" s="253"/>
      <c r="AE941" s="370" t="str">
        <f t="shared" si="122"/>
        <v>|</v>
      </c>
      <c r="AG941" s="296" t="s">
        <v>2249</v>
      </c>
    </row>
    <row r="942" spans="6:33" ht="18.75" customHeight="1">
      <c r="J942" s="296" t="s">
        <v>971</v>
      </c>
      <c r="K942" s="358" t="s">
        <v>1579</v>
      </c>
      <c r="Q942" s="296"/>
      <c r="W942" s="253"/>
      <c r="AE942" s="370" t="str">
        <f t="shared" si="122"/>
        <v>|</v>
      </c>
      <c r="AG942" s="296" t="s">
        <v>2249</v>
      </c>
    </row>
    <row r="943" spans="6:33" ht="18.75" customHeight="1">
      <c r="H943" s="296" t="s">
        <v>1998</v>
      </c>
      <c r="J943" s="443" t="s">
        <v>971</v>
      </c>
      <c r="K943" s="400">
        <v>1.47E-2</v>
      </c>
      <c r="M943" s="400">
        <v>1.14E-2</v>
      </c>
      <c r="N943" s="252" t="s">
        <v>866</v>
      </c>
      <c r="O943" s="296" t="s">
        <v>3892</v>
      </c>
      <c r="P943" s="252">
        <f>C86</f>
        <v>34300</v>
      </c>
      <c r="Q943" s="296" t="s">
        <v>866</v>
      </c>
      <c r="R943" s="252">
        <f>(M943*P943)</f>
        <v>391.02</v>
      </c>
      <c r="W943" s="253"/>
      <c r="AE943" s="370" t="str">
        <f t="shared" si="122"/>
        <v>|</v>
      </c>
      <c r="AG943" s="296" t="s">
        <v>2249</v>
      </c>
    </row>
    <row r="944" spans="6:33" ht="18.75" customHeight="1">
      <c r="H944" s="296" t="s">
        <v>1758</v>
      </c>
      <c r="J944" s="296" t="s">
        <v>971</v>
      </c>
      <c r="K944" s="400">
        <v>4.5999999999999999E-3</v>
      </c>
      <c r="M944" s="400">
        <v>2.4299999999999999E-2</v>
      </c>
      <c r="N944" s="252" t="s">
        <v>866</v>
      </c>
      <c r="O944" s="296" t="s">
        <v>3893</v>
      </c>
      <c r="P944" s="252">
        <f>P943</f>
        <v>34300</v>
      </c>
      <c r="Q944" s="296" t="s">
        <v>866</v>
      </c>
      <c r="R944" s="252">
        <f>(M944*P944)</f>
        <v>833.49</v>
      </c>
      <c r="W944" s="253"/>
      <c r="AE944" s="370" t="str">
        <f t="shared" si="122"/>
        <v>|</v>
      </c>
      <c r="AG944" s="296" t="s">
        <v>2249</v>
      </c>
    </row>
    <row r="945" spans="6:33" ht="18.75" customHeight="1">
      <c r="K945" s="358" t="s">
        <v>1579</v>
      </c>
      <c r="M945" s="400">
        <v>1.9300000000000001E-2</v>
      </c>
      <c r="N945" s="252" t="s">
        <v>866</v>
      </c>
      <c r="O945" s="296" t="s">
        <v>3894</v>
      </c>
      <c r="P945" s="252">
        <f>C87</f>
        <v>39400</v>
      </c>
      <c r="Q945" s="296" t="s">
        <v>866</v>
      </c>
      <c r="R945" s="252">
        <f>(M945*P945)</f>
        <v>760.42</v>
      </c>
      <c r="W945" s="253"/>
      <c r="AE945" s="370" t="str">
        <f t="shared" si="122"/>
        <v>|</v>
      </c>
      <c r="AG945" s="296" t="s">
        <v>2249</v>
      </c>
    </row>
    <row r="946" spans="6:33" ht="18.75" customHeight="1">
      <c r="K946" s="400">
        <v>1.9300000000000001E-2</v>
      </c>
      <c r="M946" s="316"/>
      <c r="O946" s="296"/>
      <c r="P946" s="296" t="s">
        <v>971</v>
      </c>
      <c r="Q946" s="296"/>
      <c r="R946" s="296" t="s">
        <v>971</v>
      </c>
      <c r="W946" s="253"/>
      <c r="AE946" s="370">
        <f t="shared" si="122"/>
        <v>0</v>
      </c>
    </row>
    <row r="947" spans="6:33" ht="18.75" customHeight="1">
      <c r="K947" s="358" t="s">
        <v>1579</v>
      </c>
      <c r="M947" s="316">
        <v>1.823</v>
      </c>
      <c r="N947" s="252" t="s">
        <v>606</v>
      </c>
      <c r="O947" s="296" t="s">
        <v>444</v>
      </c>
      <c r="P947" s="252">
        <f>I954</f>
        <v>1537</v>
      </c>
      <c r="Q947" s="296" t="s">
        <v>606</v>
      </c>
      <c r="R947" s="252">
        <f t="shared" ref="R947:R953" si="130">(M947*P947)</f>
        <v>2801.95</v>
      </c>
      <c r="W947" s="253"/>
      <c r="AE947" s="370">
        <f t="shared" si="122"/>
        <v>0</v>
      </c>
    </row>
    <row r="948" spans="6:33" ht="18.75" customHeight="1">
      <c r="M948" s="252">
        <v>1</v>
      </c>
      <c r="N948" s="252" t="s">
        <v>766</v>
      </c>
      <c r="O948" s="296" t="s">
        <v>1456</v>
      </c>
      <c r="P948" s="252">
        <f t="shared" ref="P948:P953" si="131">I955</f>
        <v>57.65</v>
      </c>
      <c r="Q948" s="296" t="s">
        <v>865</v>
      </c>
      <c r="R948" s="252">
        <f t="shared" si="130"/>
        <v>57.65</v>
      </c>
      <c r="W948" s="253"/>
      <c r="AE948" s="370">
        <f t="shared" si="122"/>
        <v>0</v>
      </c>
    </row>
    <row r="949" spans="6:33" ht="18.75" customHeight="1">
      <c r="M949" s="252">
        <v>3</v>
      </c>
      <c r="N949" s="252" t="s">
        <v>865</v>
      </c>
      <c r="O949" s="296" t="s">
        <v>1457</v>
      </c>
      <c r="P949" s="252">
        <f t="shared" si="131"/>
        <v>89.6</v>
      </c>
      <c r="Q949" s="296" t="s">
        <v>865</v>
      </c>
      <c r="R949" s="252">
        <f t="shared" si="130"/>
        <v>268.8</v>
      </c>
      <c r="W949" s="253"/>
      <c r="AE949" s="370">
        <f t="shared" si="122"/>
        <v>0</v>
      </c>
    </row>
    <row r="950" spans="6:33" ht="18.75" customHeight="1">
      <c r="F950" s="400">
        <v>1.14E-2</v>
      </c>
      <c r="G950" s="252" t="s">
        <v>866</v>
      </c>
      <c r="H950" s="296" t="s">
        <v>305</v>
      </c>
      <c r="I950" s="252">
        <f>C88</f>
        <v>111600</v>
      </c>
      <c r="J950" s="296" t="s">
        <v>866</v>
      </c>
      <c r="K950" s="252">
        <f>(F950*I950)</f>
        <v>1272.24</v>
      </c>
      <c r="M950" s="252">
        <v>2</v>
      </c>
      <c r="N950" s="252" t="s">
        <v>865</v>
      </c>
      <c r="O950" s="296" t="s">
        <v>1458</v>
      </c>
      <c r="P950" s="252">
        <f t="shared" si="131"/>
        <v>64.8</v>
      </c>
      <c r="Q950" s="296" t="s">
        <v>865</v>
      </c>
      <c r="R950" s="252">
        <f t="shared" si="130"/>
        <v>129.6</v>
      </c>
      <c r="W950" s="253"/>
      <c r="AE950" s="370">
        <f t="shared" ref="AE950:AE1013" si="132">AG950</f>
        <v>0</v>
      </c>
    </row>
    <row r="951" spans="6:33" ht="18.75" customHeight="1">
      <c r="F951" s="400">
        <v>2.4299999999999999E-2</v>
      </c>
      <c r="G951" s="252" t="s">
        <v>866</v>
      </c>
      <c r="H951" s="296" t="s">
        <v>306</v>
      </c>
      <c r="I951" s="252">
        <f>C89</f>
        <v>99400</v>
      </c>
      <c r="J951" s="296" t="s">
        <v>866</v>
      </c>
      <c r="K951" s="252">
        <f>(F951*I951)</f>
        <v>2415.42</v>
      </c>
      <c r="M951" s="252">
        <v>1</v>
      </c>
      <c r="N951" s="252" t="s">
        <v>865</v>
      </c>
      <c r="O951" s="296" t="s">
        <v>1459</v>
      </c>
      <c r="P951" s="252">
        <f t="shared" si="131"/>
        <v>181</v>
      </c>
      <c r="Q951" s="296" t="s">
        <v>865</v>
      </c>
      <c r="R951" s="252">
        <f t="shared" si="130"/>
        <v>181</v>
      </c>
      <c r="W951" s="253"/>
      <c r="AE951" s="370">
        <f t="shared" si="132"/>
        <v>0</v>
      </c>
    </row>
    <row r="952" spans="6:33" ht="18.75" customHeight="1">
      <c r="F952" s="400">
        <v>1.9300000000000001E-2</v>
      </c>
      <c r="G952" s="252" t="s">
        <v>866</v>
      </c>
      <c r="H952" s="296" t="s">
        <v>307</v>
      </c>
      <c r="I952" s="252">
        <f>C90</f>
        <v>95000</v>
      </c>
      <c r="J952" s="296" t="s">
        <v>866</v>
      </c>
      <c r="K952" s="252">
        <f>(F952*I952)</f>
        <v>1833.5</v>
      </c>
      <c r="M952" s="252">
        <v>1</v>
      </c>
      <c r="N952" s="252" t="s">
        <v>865</v>
      </c>
      <c r="O952" s="296" t="s">
        <v>1460</v>
      </c>
      <c r="P952" s="252">
        <f t="shared" si="131"/>
        <v>7.3</v>
      </c>
      <c r="Q952" s="296" t="s">
        <v>865</v>
      </c>
      <c r="R952" s="252">
        <f t="shared" si="130"/>
        <v>7.3</v>
      </c>
      <c r="W952" s="253"/>
      <c r="AE952" s="370">
        <f t="shared" si="132"/>
        <v>0</v>
      </c>
    </row>
    <row r="953" spans="6:33" ht="18.75" customHeight="1">
      <c r="F953" s="316"/>
      <c r="H953" s="296" t="s">
        <v>443</v>
      </c>
      <c r="I953" s="296" t="s">
        <v>971</v>
      </c>
      <c r="K953" s="296" t="s">
        <v>971</v>
      </c>
      <c r="M953" s="252">
        <v>1</v>
      </c>
      <c r="N953" s="252" t="s">
        <v>865</v>
      </c>
      <c r="O953" s="296" t="s">
        <v>1973</v>
      </c>
      <c r="P953" s="252">
        <f t="shared" si="131"/>
        <v>49.55</v>
      </c>
      <c r="Q953" s="296" t="s">
        <v>865</v>
      </c>
      <c r="R953" s="252">
        <f t="shared" si="130"/>
        <v>49.55</v>
      </c>
      <c r="W953" s="253"/>
      <c r="AE953" s="370">
        <f t="shared" si="132"/>
        <v>0</v>
      </c>
    </row>
    <row r="954" spans="6:33" ht="18.75" customHeight="1">
      <c r="F954" s="316">
        <v>1.823</v>
      </c>
      <c r="G954" s="252" t="s">
        <v>606</v>
      </c>
      <c r="H954" s="296" t="s">
        <v>444</v>
      </c>
      <c r="I954" s="252">
        <f>C31</f>
        <v>1537</v>
      </c>
      <c r="J954" s="296" t="s">
        <v>606</v>
      </c>
      <c r="K954" s="252">
        <f t="shared" ref="K954:K961" si="133">(F954*I954)</f>
        <v>2801.95</v>
      </c>
      <c r="Q954" s="296"/>
      <c r="R954" s="358" t="s">
        <v>1579</v>
      </c>
      <c r="W954" s="253"/>
      <c r="AE954" s="370">
        <f t="shared" si="132"/>
        <v>0</v>
      </c>
    </row>
    <row r="955" spans="6:33" ht="18.75" customHeight="1">
      <c r="F955" s="252">
        <v>1</v>
      </c>
      <c r="G955" s="252" t="s">
        <v>766</v>
      </c>
      <c r="H955" s="296" t="s">
        <v>5605</v>
      </c>
      <c r="I955" s="252">
        <f>C598</f>
        <v>57.65</v>
      </c>
      <c r="J955" s="296" t="s">
        <v>865</v>
      </c>
      <c r="K955" s="252">
        <f t="shared" si="133"/>
        <v>57.65</v>
      </c>
      <c r="O955" s="296" t="s">
        <v>1461</v>
      </c>
      <c r="Q955" s="296"/>
      <c r="R955" s="252">
        <f>SUM(R943:R953)</f>
        <v>5480.78</v>
      </c>
      <c r="W955" s="253"/>
      <c r="AE955" s="370">
        <f t="shared" si="132"/>
        <v>0</v>
      </c>
    </row>
    <row r="956" spans="6:33" ht="18.75" customHeight="1">
      <c r="F956" s="252">
        <v>3</v>
      </c>
      <c r="G956" s="252" t="s">
        <v>865</v>
      </c>
      <c r="H956" s="296" t="s">
        <v>5606</v>
      </c>
      <c r="I956" s="252">
        <f>C279</f>
        <v>89.6</v>
      </c>
      <c r="J956" s="296" t="s">
        <v>865</v>
      </c>
      <c r="K956" s="252">
        <f t="shared" si="133"/>
        <v>268.8</v>
      </c>
      <c r="Q956" s="296"/>
      <c r="R956" s="358" t="s">
        <v>1579</v>
      </c>
      <c r="W956" s="253"/>
      <c r="AE956" s="370">
        <f t="shared" si="132"/>
        <v>0</v>
      </c>
    </row>
    <row r="957" spans="6:33" ht="18.75" customHeight="1">
      <c r="F957" s="252">
        <v>2</v>
      </c>
      <c r="G957" s="252" t="s">
        <v>865</v>
      </c>
      <c r="H957" s="296" t="s">
        <v>5607</v>
      </c>
      <c r="I957" s="252">
        <f>C284</f>
        <v>64.8</v>
      </c>
      <c r="J957" s="296" t="s">
        <v>865</v>
      </c>
      <c r="K957" s="252">
        <f t="shared" si="133"/>
        <v>129.6</v>
      </c>
      <c r="O957" s="255" t="s">
        <v>549</v>
      </c>
      <c r="Q957" s="296"/>
      <c r="R957" s="274">
        <f>R955/M947</f>
        <v>3006.46</v>
      </c>
      <c r="W957" s="253"/>
      <c r="AE957" s="370">
        <f t="shared" si="132"/>
        <v>0</v>
      </c>
    </row>
    <row r="958" spans="6:33" ht="18.75" customHeight="1">
      <c r="F958" s="252">
        <v>1</v>
      </c>
      <c r="G958" s="252" t="s">
        <v>865</v>
      </c>
      <c r="H958" s="296" t="s">
        <v>5608</v>
      </c>
      <c r="I958" s="252">
        <f>C286</f>
        <v>181</v>
      </c>
      <c r="J958" s="296" t="s">
        <v>865</v>
      </c>
      <c r="K958" s="252">
        <f t="shared" si="133"/>
        <v>181</v>
      </c>
      <c r="M958" s="296" t="s">
        <v>971</v>
      </c>
      <c r="Q958" s="296"/>
      <c r="W958" s="253"/>
      <c r="AE958" s="370">
        <f t="shared" si="132"/>
        <v>0</v>
      </c>
    </row>
    <row r="959" spans="6:33" ht="18.75" customHeight="1">
      <c r="F959" s="252">
        <v>1</v>
      </c>
      <c r="G959" s="252" t="s">
        <v>865</v>
      </c>
      <c r="H959" s="296" t="s">
        <v>1460</v>
      </c>
      <c r="I959" s="252">
        <f>C288</f>
        <v>7.3</v>
      </c>
      <c r="J959" s="296" t="s">
        <v>865</v>
      </c>
      <c r="K959" s="252">
        <f t="shared" si="133"/>
        <v>7.3</v>
      </c>
      <c r="Q959" s="296"/>
      <c r="R959" s="358" t="s">
        <v>2046</v>
      </c>
      <c r="W959" s="253"/>
      <c r="AE959" s="370" t="str">
        <f t="shared" si="132"/>
        <v>|</v>
      </c>
      <c r="AG959" s="296" t="s">
        <v>2249</v>
      </c>
    </row>
    <row r="960" spans="6:33" ht="18.75" customHeight="1">
      <c r="F960" s="252">
        <v>1</v>
      </c>
      <c r="G960" s="252" t="s">
        <v>865</v>
      </c>
      <c r="H960" s="296" t="s">
        <v>5609</v>
      </c>
      <c r="I960" s="252">
        <f>D598</f>
        <v>49.55</v>
      </c>
      <c r="J960" s="296" t="s">
        <v>865</v>
      </c>
      <c r="K960" s="252">
        <f t="shared" si="133"/>
        <v>49.55</v>
      </c>
      <c r="W960" s="253"/>
      <c r="AE960" s="370" t="str">
        <f t="shared" si="132"/>
        <v>|</v>
      </c>
      <c r="AG960" s="296" t="s">
        <v>2249</v>
      </c>
    </row>
    <row r="961" spans="6:33" ht="18.75" customHeight="1">
      <c r="F961" s="252">
        <v>64</v>
      </c>
      <c r="G961" s="252" t="s">
        <v>1026</v>
      </c>
      <c r="H961" s="393" t="s">
        <v>5449</v>
      </c>
      <c r="I961" s="362">
        <v>2.41</v>
      </c>
      <c r="J961" s="296" t="s">
        <v>158</v>
      </c>
      <c r="K961" s="252">
        <f t="shared" si="133"/>
        <v>154.24</v>
      </c>
      <c r="W961" s="253"/>
      <c r="AE961" s="370" t="str">
        <f t="shared" si="132"/>
        <v>|</v>
      </c>
      <c r="AG961" s="296" t="s">
        <v>2249</v>
      </c>
    </row>
    <row r="962" spans="6:33" ht="18.75" customHeight="1">
      <c r="H962" s="296" t="s">
        <v>1461</v>
      </c>
      <c r="K962" s="252">
        <f>SUM(K950:K961)</f>
        <v>9171.25</v>
      </c>
      <c r="W962" s="253"/>
      <c r="AE962" s="370" t="str">
        <f t="shared" si="132"/>
        <v>|</v>
      </c>
      <c r="AG962" s="296" t="s">
        <v>2249</v>
      </c>
    </row>
    <row r="963" spans="6:33" ht="18.75" customHeight="1">
      <c r="K963" s="358" t="s">
        <v>1579</v>
      </c>
      <c r="W963" s="253"/>
      <c r="AE963" s="370" t="str">
        <f t="shared" si="132"/>
        <v>|</v>
      </c>
      <c r="AG963" s="296" t="s">
        <v>2249</v>
      </c>
    </row>
    <row r="964" spans="6:33" ht="18.75" customHeight="1">
      <c r="H964" s="255" t="s">
        <v>549</v>
      </c>
      <c r="K964" s="274">
        <f>K962/F954</f>
        <v>5030.8599999999997</v>
      </c>
      <c r="W964" s="253"/>
      <c r="AE964" s="370" t="str">
        <f t="shared" si="132"/>
        <v>|</v>
      </c>
      <c r="AG964" s="296" t="s">
        <v>2249</v>
      </c>
    </row>
    <row r="965" spans="6:33" ht="18.75" customHeight="1">
      <c r="F965" s="296" t="s">
        <v>971</v>
      </c>
      <c r="W965" s="253"/>
      <c r="AE965" s="370" t="str">
        <f t="shared" si="132"/>
        <v>|</v>
      </c>
      <c r="AG965" s="296" t="s">
        <v>2249</v>
      </c>
    </row>
    <row r="966" spans="6:33" ht="18.75" customHeight="1">
      <c r="K966" s="358" t="s">
        <v>2046</v>
      </c>
      <c r="W966" s="253"/>
      <c r="AE966" s="370" t="str">
        <f t="shared" si="132"/>
        <v>|</v>
      </c>
      <c r="AG966" s="296" t="s">
        <v>2249</v>
      </c>
    </row>
    <row r="967" spans="6:33" ht="18.75" customHeight="1">
      <c r="W967" s="253"/>
      <c r="AE967" s="370" t="str">
        <f t="shared" si="132"/>
        <v>|</v>
      </c>
      <c r="AG967" s="296" t="s">
        <v>2249</v>
      </c>
    </row>
    <row r="968" spans="6:33" ht="18.75" customHeight="1">
      <c r="W968" s="253"/>
      <c r="AE968" s="370" t="str">
        <f t="shared" si="132"/>
        <v>|</v>
      </c>
      <c r="AG968" s="296" t="s">
        <v>2249</v>
      </c>
    </row>
    <row r="969" spans="6:33" ht="18.75" customHeight="1">
      <c r="F969" s="253" t="s">
        <v>1333</v>
      </c>
      <c r="G969" s="252" t="s">
        <v>2241</v>
      </c>
      <c r="H969" s="296" t="s">
        <v>252</v>
      </c>
      <c r="W969" s="253"/>
      <c r="AE969" s="370" t="str">
        <f t="shared" si="132"/>
        <v>|</v>
      </c>
      <c r="AG969" s="296" t="s">
        <v>2249</v>
      </c>
    </row>
    <row r="970" spans="6:33" ht="18.75" customHeight="1">
      <c r="H970" s="296" t="s">
        <v>253</v>
      </c>
      <c r="W970" s="253"/>
      <c r="AE970" s="370" t="str">
        <f t="shared" si="132"/>
        <v>|</v>
      </c>
      <c r="AG970" s="296" t="s">
        <v>2249</v>
      </c>
    </row>
    <row r="971" spans="6:33" ht="18.75" customHeight="1">
      <c r="H971" s="296" t="s">
        <v>1464</v>
      </c>
      <c r="W971" s="253"/>
      <c r="AE971" s="370" t="str">
        <f t="shared" si="132"/>
        <v>|</v>
      </c>
      <c r="AG971" s="296" t="s">
        <v>2249</v>
      </c>
    </row>
    <row r="972" spans="6:33" ht="18.75" customHeight="1">
      <c r="H972" s="358" t="s">
        <v>1579</v>
      </c>
      <c r="W972" s="253"/>
      <c r="AE972" s="370" t="str">
        <f t="shared" si="132"/>
        <v>|</v>
      </c>
      <c r="AG972" s="296" t="s">
        <v>2249</v>
      </c>
    </row>
    <row r="973" spans="6:33" ht="18.75" customHeight="1">
      <c r="W973" s="253"/>
      <c r="AE973" s="370" t="str">
        <f t="shared" si="132"/>
        <v>|</v>
      </c>
      <c r="AG973" s="296" t="s">
        <v>2249</v>
      </c>
    </row>
    <row r="974" spans="6:33" ht="18.75" customHeight="1">
      <c r="H974" s="296" t="s">
        <v>641</v>
      </c>
      <c r="W974" s="253"/>
      <c r="AE974" s="370">
        <f t="shared" si="132"/>
        <v>0</v>
      </c>
    </row>
    <row r="975" spans="6:33" ht="18.75" customHeight="1">
      <c r="H975" s="296" t="s">
        <v>642</v>
      </c>
      <c r="W975" s="253"/>
      <c r="AE975" s="370" t="str">
        <f t="shared" si="132"/>
        <v>|</v>
      </c>
      <c r="AG975" s="296" t="s">
        <v>2249</v>
      </c>
    </row>
    <row r="976" spans="6:33" ht="18.75" customHeight="1">
      <c r="J976" s="296" t="s">
        <v>1579</v>
      </c>
      <c r="W976" s="253"/>
      <c r="AE976" s="370">
        <f t="shared" si="132"/>
        <v>0</v>
      </c>
    </row>
    <row r="977" spans="6:33" ht="18.75" customHeight="1">
      <c r="H977" s="296" t="s">
        <v>643</v>
      </c>
      <c r="W977" s="253"/>
      <c r="AE977" s="370">
        <f t="shared" si="132"/>
        <v>0</v>
      </c>
    </row>
    <row r="978" spans="6:33" ht="18.75" customHeight="1">
      <c r="H978" s="296" t="s">
        <v>644</v>
      </c>
      <c r="K978" s="400">
        <v>2.1999999999999999E-2</v>
      </c>
      <c r="W978" s="253"/>
      <c r="AE978" s="370" t="str">
        <f t="shared" si="132"/>
        <v>|</v>
      </c>
      <c r="AG978" s="296" t="s">
        <v>2249</v>
      </c>
    </row>
    <row r="979" spans="6:33" ht="18.75" customHeight="1">
      <c r="J979" s="296" t="s">
        <v>971</v>
      </c>
      <c r="K979" s="358" t="s">
        <v>1579</v>
      </c>
      <c r="W979" s="253"/>
      <c r="AE979" s="370" t="str">
        <f t="shared" si="132"/>
        <v>|</v>
      </c>
      <c r="AG979" s="296" t="s">
        <v>2249</v>
      </c>
    </row>
    <row r="980" spans="6:33" ht="18.75" customHeight="1">
      <c r="H980" s="296" t="s">
        <v>856</v>
      </c>
      <c r="J980" s="443" t="s">
        <v>971</v>
      </c>
      <c r="K980" s="400">
        <v>1.3100000000000001E-2</v>
      </c>
      <c r="W980" s="253"/>
      <c r="AE980" s="370" t="str">
        <f t="shared" si="132"/>
        <v>|</v>
      </c>
      <c r="AG980" s="296" t="s">
        <v>2249</v>
      </c>
    </row>
    <row r="981" spans="6:33" ht="18.75" customHeight="1">
      <c r="H981" s="296" t="s">
        <v>2143</v>
      </c>
      <c r="J981" s="296" t="s">
        <v>971</v>
      </c>
      <c r="K981" s="400">
        <v>3.3999999999999998E-3</v>
      </c>
      <c r="W981" s="253"/>
      <c r="AE981" s="370" t="str">
        <f t="shared" si="132"/>
        <v>|</v>
      </c>
      <c r="AG981" s="296" t="s">
        <v>2249</v>
      </c>
    </row>
    <row r="982" spans="6:33" ht="18.75" customHeight="1">
      <c r="K982" s="358" t="s">
        <v>1579</v>
      </c>
      <c r="W982" s="253"/>
      <c r="AE982" s="370">
        <f t="shared" si="132"/>
        <v>0</v>
      </c>
    </row>
    <row r="983" spans="6:33" ht="18.75" customHeight="1">
      <c r="K983" s="400">
        <v>1.6500000000000001E-2</v>
      </c>
      <c r="W983" s="253"/>
      <c r="AE983" s="370">
        <f t="shared" si="132"/>
        <v>0</v>
      </c>
    </row>
    <row r="984" spans="6:33" ht="18.75" customHeight="1">
      <c r="K984" s="358" t="s">
        <v>1579</v>
      </c>
      <c r="O984" s="252" t="s">
        <v>4367</v>
      </c>
      <c r="W984" s="253"/>
      <c r="AE984" s="370">
        <f t="shared" si="132"/>
        <v>0</v>
      </c>
    </row>
    <row r="985" spans="6:33" ht="18.75" customHeight="1">
      <c r="F985" s="400">
        <v>1.15E-2</v>
      </c>
      <c r="G985" s="252" t="s">
        <v>866</v>
      </c>
      <c r="H985" s="296" t="s">
        <v>305</v>
      </c>
      <c r="I985" s="252">
        <f>C88</f>
        <v>111600</v>
      </c>
      <c r="J985" s="296" t="s">
        <v>866</v>
      </c>
      <c r="K985" s="252">
        <f>(F985*I985)</f>
        <v>1283.4000000000001</v>
      </c>
      <c r="M985" s="253" t="s">
        <v>1466</v>
      </c>
      <c r="O985" s="296" t="s">
        <v>3719</v>
      </c>
      <c r="Q985" s="296"/>
      <c r="R985" s="296" t="s">
        <v>971</v>
      </c>
      <c r="W985" s="253"/>
      <c r="AE985" s="370">
        <f t="shared" si="132"/>
        <v>0</v>
      </c>
    </row>
    <row r="986" spans="6:33" ht="18.75" customHeight="1">
      <c r="F986" s="400">
        <v>2.1999999999999999E-2</v>
      </c>
      <c r="G986" s="252" t="s">
        <v>866</v>
      </c>
      <c r="H986" s="296" t="s">
        <v>306</v>
      </c>
      <c r="I986" s="252">
        <f>C89</f>
        <v>99400</v>
      </c>
      <c r="J986" s="296" t="s">
        <v>866</v>
      </c>
      <c r="K986" s="252">
        <f>(F986*I986)</f>
        <v>2186.8000000000002</v>
      </c>
      <c r="O986" s="358" t="s">
        <v>1579</v>
      </c>
      <c r="Q986" s="296"/>
      <c r="W986" s="253"/>
      <c r="AE986" s="370">
        <f t="shared" si="132"/>
        <v>0</v>
      </c>
    </row>
    <row r="987" spans="6:33" ht="18.75" customHeight="1">
      <c r="F987" s="400">
        <v>1.6500000000000001E-2</v>
      </c>
      <c r="G987" s="252" t="s">
        <v>866</v>
      </c>
      <c r="H987" s="296" t="s">
        <v>307</v>
      </c>
      <c r="I987" s="252">
        <f>C90</f>
        <v>95000</v>
      </c>
      <c r="J987" s="296" t="s">
        <v>866</v>
      </c>
      <c r="K987" s="252">
        <f>(F987*I987)</f>
        <v>1567.5</v>
      </c>
      <c r="L987" s="252" t="s">
        <v>5040</v>
      </c>
      <c r="M987" s="444">
        <v>1.153E-2</v>
      </c>
      <c r="N987" s="445" t="s">
        <v>866</v>
      </c>
      <c r="O987" s="446" t="s">
        <v>689</v>
      </c>
      <c r="P987" s="445">
        <f t="shared" ref="P987:P997" si="134">I1053</f>
        <v>111600</v>
      </c>
      <c r="Q987" s="446" t="s">
        <v>866</v>
      </c>
      <c r="R987" s="445">
        <f t="shared" ref="R987:R997" si="135">(M987*P987)</f>
        <v>1286.75</v>
      </c>
      <c r="W987" s="253"/>
      <c r="AE987" s="370">
        <f t="shared" si="132"/>
        <v>0</v>
      </c>
    </row>
    <row r="988" spans="6:33" ht="18.75" customHeight="1">
      <c r="F988" s="400"/>
      <c r="H988" s="296" t="s">
        <v>443</v>
      </c>
      <c r="I988" s="296" t="s">
        <v>971</v>
      </c>
      <c r="K988" s="296" t="s">
        <v>971</v>
      </c>
      <c r="M988" s="447">
        <v>1.013E-2</v>
      </c>
      <c r="N988" s="252" t="s">
        <v>866</v>
      </c>
      <c r="O988" s="296" t="s">
        <v>690</v>
      </c>
      <c r="P988" s="445">
        <f t="shared" si="134"/>
        <v>99400</v>
      </c>
      <c r="Q988" s="296" t="s">
        <v>866</v>
      </c>
      <c r="R988" s="252">
        <f t="shared" si="135"/>
        <v>1006.92</v>
      </c>
      <c r="W988" s="253"/>
      <c r="AE988" s="370">
        <f t="shared" si="132"/>
        <v>0</v>
      </c>
    </row>
    <row r="989" spans="6:33" ht="18.75" customHeight="1">
      <c r="F989" s="400">
        <v>1.64</v>
      </c>
      <c r="G989" s="252" t="s">
        <v>606</v>
      </c>
      <c r="H989" s="296" t="s">
        <v>444</v>
      </c>
      <c r="I989" s="252">
        <f>C31</f>
        <v>1537</v>
      </c>
      <c r="J989" s="296" t="s">
        <v>606</v>
      </c>
      <c r="K989" s="252">
        <f t="shared" ref="K989:K996" si="136">(F989*I989)</f>
        <v>2520.6799999999998</v>
      </c>
      <c r="M989" s="447">
        <v>0.77780000000000005</v>
      </c>
      <c r="N989" s="252" t="s">
        <v>606</v>
      </c>
      <c r="O989" s="296" t="s">
        <v>2082</v>
      </c>
      <c r="P989" s="445">
        <f t="shared" si="134"/>
        <v>387.4</v>
      </c>
      <c r="Q989" s="296" t="s">
        <v>606</v>
      </c>
      <c r="R989" s="252">
        <f t="shared" si="135"/>
        <v>301.32</v>
      </c>
      <c r="W989" s="253"/>
      <c r="AE989" s="370">
        <f t="shared" si="132"/>
        <v>0</v>
      </c>
    </row>
    <row r="990" spans="6:33" ht="18.75" customHeight="1">
      <c r="F990" s="252">
        <v>1</v>
      </c>
      <c r="G990" s="252" t="s">
        <v>766</v>
      </c>
      <c r="H990" s="296" t="s">
        <v>1132</v>
      </c>
      <c r="I990" s="252">
        <f>C598</f>
        <v>57.65</v>
      </c>
      <c r="J990" s="296" t="s">
        <v>865</v>
      </c>
      <c r="K990" s="252">
        <f t="shared" si="136"/>
        <v>57.65</v>
      </c>
      <c r="M990" s="447">
        <v>1.23</v>
      </c>
      <c r="N990" s="252" t="s">
        <v>606</v>
      </c>
      <c r="O990" s="296" t="s">
        <v>2083</v>
      </c>
      <c r="P990" s="445">
        <f t="shared" si="134"/>
        <v>1281</v>
      </c>
      <c r="Q990" s="296" t="s">
        <v>606</v>
      </c>
      <c r="R990" s="252">
        <f t="shared" si="135"/>
        <v>1575.63</v>
      </c>
      <c r="W990" s="253"/>
      <c r="AE990" s="370">
        <f t="shared" si="132"/>
        <v>0</v>
      </c>
    </row>
    <row r="991" spans="6:33" ht="18.75" customHeight="1">
      <c r="F991" s="252">
        <v>3</v>
      </c>
      <c r="G991" s="252" t="s">
        <v>865</v>
      </c>
      <c r="H991" s="296" t="str">
        <f>H956</f>
        <v xml:space="preserve">  5"BUTT HINGS (p-40)</v>
      </c>
      <c r="I991" s="252">
        <f>C279</f>
        <v>89.6</v>
      </c>
      <c r="J991" s="296" t="s">
        <v>865</v>
      </c>
      <c r="K991" s="252">
        <f t="shared" si="136"/>
        <v>268.8</v>
      </c>
      <c r="M991" s="252">
        <v>2</v>
      </c>
      <c r="N991" s="252" t="s">
        <v>865</v>
      </c>
      <c r="O991" s="296" t="s">
        <v>2084</v>
      </c>
      <c r="P991" s="445">
        <f t="shared" si="134"/>
        <v>64.8</v>
      </c>
      <c r="Q991" s="296" t="s">
        <v>865</v>
      </c>
      <c r="R991" s="252">
        <f t="shared" si="135"/>
        <v>129.6</v>
      </c>
      <c r="W991" s="253"/>
      <c r="AE991" s="370">
        <f t="shared" si="132"/>
        <v>0</v>
      </c>
    </row>
    <row r="992" spans="6:33" ht="18.75" customHeight="1">
      <c r="F992" s="252">
        <v>2</v>
      </c>
      <c r="G992" s="252" t="s">
        <v>865</v>
      </c>
      <c r="H992" s="296" t="str">
        <f t="shared" ref="H992:H996" si="137">H957</f>
        <v xml:space="preserve"> 6"X1/2"TOWER BOLT (p-40)</v>
      </c>
      <c r="I992" s="252">
        <f>C284</f>
        <v>64.8</v>
      </c>
      <c r="J992" s="296" t="s">
        <v>865</v>
      </c>
      <c r="K992" s="252">
        <f t="shared" si="136"/>
        <v>129.6</v>
      </c>
      <c r="M992" s="252">
        <v>3</v>
      </c>
      <c r="N992" s="252" t="s">
        <v>865</v>
      </c>
      <c r="O992" s="296" t="s">
        <v>1510</v>
      </c>
      <c r="P992" s="445">
        <f t="shared" si="134"/>
        <v>89.6</v>
      </c>
      <c r="Q992" s="296" t="s">
        <v>865</v>
      </c>
      <c r="R992" s="252">
        <f t="shared" si="135"/>
        <v>268.8</v>
      </c>
      <c r="W992" s="253"/>
      <c r="AE992" s="370">
        <f t="shared" si="132"/>
        <v>0</v>
      </c>
    </row>
    <row r="993" spans="6:33" ht="18.75" customHeight="1">
      <c r="F993" s="252">
        <v>1</v>
      </c>
      <c r="G993" s="252" t="s">
        <v>865</v>
      </c>
      <c r="H993" s="296" t="str">
        <f t="shared" si="137"/>
        <v>10"X5/8"ALDROP (p-41)</v>
      </c>
      <c r="I993" s="252">
        <f>C286</f>
        <v>181</v>
      </c>
      <c r="J993" s="296" t="s">
        <v>865</v>
      </c>
      <c r="K993" s="252">
        <f t="shared" si="136"/>
        <v>181</v>
      </c>
      <c r="M993" s="252">
        <v>1</v>
      </c>
      <c r="N993" s="252" t="s">
        <v>865</v>
      </c>
      <c r="O993" s="296" t="s">
        <v>1970</v>
      </c>
      <c r="P993" s="445">
        <f t="shared" si="134"/>
        <v>181</v>
      </c>
      <c r="Q993" s="296" t="s">
        <v>865</v>
      </c>
      <c r="R993" s="252">
        <f t="shared" si="135"/>
        <v>181</v>
      </c>
      <c r="W993" s="253"/>
      <c r="AE993" s="370">
        <f t="shared" si="132"/>
        <v>0</v>
      </c>
    </row>
    <row r="994" spans="6:33" ht="18.75" customHeight="1">
      <c r="F994" s="252">
        <v>1</v>
      </c>
      <c r="G994" s="252" t="s">
        <v>865</v>
      </c>
      <c r="H994" s="296" t="str">
        <f t="shared" si="137"/>
        <v>NYLONBUSH</v>
      </c>
      <c r="I994" s="252">
        <f>C288</f>
        <v>7.3</v>
      </c>
      <c r="J994" s="296" t="s">
        <v>865</v>
      </c>
      <c r="K994" s="252">
        <f t="shared" si="136"/>
        <v>7.3</v>
      </c>
      <c r="M994" s="252">
        <v>1</v>
      </c>
      <c r="N994" s="252" t="s">
        <v>865</v>
      </c>
      <c r="O994" s="296" t="s">
        <v>1971</v>
      </c>
      <c r="P994" s="445">
        <f t="shared" si="134"/>
        <v>7.3</v>
      </c>
      <c r="Q994" s="296" t="s">
        <v>865</v>
      </c>
      <c r="R994" s="252">
        <f t="shared" si="135"/>
        <v>7.3</v>
      </c>
      <c r="W994" s="253"/>
      <c r="AE994" s="370" t="str">
        <f t="shared" si="132"/>
        <v>|</v>
      </c>
      <c r="AG994" s="296" t="s">
        <v>2249</v>
      </c>
    </row>
    <row r="995" spans="6:33" ht="18.75" customHeight="1">
      <c r="F995" s="252">
        <v>1</v>
      </c>
      <c r="G995" s="252" t="s">
        <v>865</v>
      </c>
      <c r="H995" s="296" t="str">
        <f t="shared" si="137"/>
        <v>DOOR STOPPER (p-41)</v>
      </c>
      <c r="I995" s="252">
        <f>D598</f>
        <v>49.55</v>
      </c>
      <c r="J995" s="296" t="s">
        <v>865</v>
      </c>
      <c r="K995" s="252">
        <f t="shared" si="136"/>
        <v>49.55</v>
      </c>
      <c r="M995" s="252">
        <v>1</v>
      </c>
      <c r="N995" s="252" t="s">
        <v>865</v>
      </c>
      <c r="O995" s="296" t="s">
        <v>1133</v>
      </c>
      <c r="P995" s="445">
        <f t="shared" si="134"/>
        <v>57.65</v>
      </c>
      <c r="Q995" s="296" t="s">
        <v>865</v>
      </c>
      <c r="R995" s="252">
        <f t="shared" si="135"/>
        <v>57.65</v>
      </c>
      <c r="W995" s="253"/>
      <c r="AE995" s="370" t="str">
        <f t="shared" si="132"/>
        <v>|</v>
      </c>
      <c r="AG995" s="296" t="s">
        <v>2249</v>
      </c>
    </row>
    <row r="996" spans="6:33" ht="18.75" customHeight="1">
      <c r="F996" s="252">
        <v>10</v>
      </c>
      <c r="G996" s="252" t="s">
        <v>1026</v>
      </c>
      <c r="H996" s="296" t="str">
        <f t="shared" si="137"/>
        <v>Brass screw p-55 it-232</v>
      </c>
      <c r="I996" s="252">
        <f>I961</f>
        <v>2.41</v>
      </c>
      <c r="J996" s="296" t="s">
        <v>865</v>
      </c>
      <c r="K996" s="252">
        <f t="shared" si="136"/>
        <v>24.1</v>
      </c>
      <c r="M996" s="252">
        <v>1</v>
      </c>
      <c r="N996" s="252" t="s">
        <v>865</v>
      </c>
      <c r="O996" s="296" t="s">
        <v>1973</v>
      </c>
      <c r="P996" s="445">
        <f t="shared" si="134"/>
        <v>49.55</v>
      </c>
      <c r="Q996" s="296" t="s">
        <v>865</v>
      </c>
      <c r="R996" s="252">
        <f t="shared" si="135"/>
        <v>49.55</v>
      </c>
      <c r="W996" s="253"/>
      <c r="AE996" s="370" t="str">
        <f t="shared" si="132"/>
        <v>|</v>
      </c>
      <c r="AG996" s="296" t="s">
        <v>2249</v>
      </c>
    </row>
    <row r="997" spans="6:33" ht="18.75" customHeight="1">
      <c r="K997" s="358" t="s">
        <v>1579</v>
      </c>
      <c r="M997" s="252">
        <v>58</v>
      </c>
      <c r="O997" s="296" t="s">
        <v>1734</v>
      </c>
      <c r="P997" s="445">
        <f t="shared" si="134"/>
        <v>2.41</v>
      </c>
      <c r="Q997" s="296"/>
      <c r="R997" s="252">
        <f t="shared" si="135"/>
        <v>139.78</v>
      </c>
      <c r="W997" s="253"/>
      <c r="AE997" s="370" t="str">
        <f t="shared" si="132"/>
        <v>|</v>
      </c>
      <c r="AG997" s="296" t="s">
        <v>2249</v>
      </c>
    </row>
    <row r="998" spans="6:33" ht="18.75" customHeight="1">
      <c r="H998" s="296" t="s">
        <v>2144</v>
      </c>
      <c r="K998" s="252">
        <f>SUM(K985:K996)</f>
        <v>8276.3799999999992</v>
      </c>
      <c r="O998" s="253" t="s">
        <v>1974</v>
      </c>
      <c r="Q998" s="296"/>
      <c r="R998" s="252">
        <f>SUM(R987:R997)</f>
        <v>5004.3</v>
      </c>
      <c r="W998" s="253"/>
      <c r="AE998" s="370" t="str">
        <f t="shared" si="132"/>
        <v>|</v>
      </c>
      <c r="AG998" s="296" t="s">
        <v>2249</v>
      </c>
    </row>
    <row r="999" spans="6:33" ht="18.75" customHeight="1">
      <c r="K999" s="358" t="s">
        <v>1579</v>
      </c>
      <c r="N999" s="252" t="s">
        <v>971</v>
      </c>
      <c r="Q999" s="296"/>
      <c r="R999" s="358" t="s">
        <v>1579</v>
      </c>
      <c r="W999" s="253"/>
      <c r="AE999" s="370" t="str">
        <f t="shared" si="132"/>
        <v>|</v>
      </c>
      <c r="AG999" s="296" t="s">
        <v>2249</v>
      </c>
    </row>
    <row r="1000" spans="6:33" ht="18.75" customHeight="1">
      <c r="H1000" s="255" t="s">
        <v>5039</v>
      </c>
      <c r="K1000" s="274">
        <f>K998/F989</f>
        <v>5046.57</v>
      </c>
      <c r="O1000" s="255" t="s">
        <v>549</v>
      </c>
      <c r="Q1000" s="296"/>
      <c r="R1000" s="274">
        <f>R998/M990</f>
        <v>4068.54</v>
      </c>
      <c r="W1000" s="253"/>
      <c r="AE1000" s="370" t="str">
        <f t="shared" si="132"/>
        <v>|</v>
      </c>
      <c r="AG1000" s="296" t="s">
        <v>2249</v>
      </c>
    </row>
    <row r="1001" spans="6:33" ht="18.75" customHeight="1">
      <c r="K1001" s="358" t="s">
        <v>2046</v>
      </c>
      <c r="Q1001" s="296"/>
      <c r="R1001" s="358" t="s">
        <v>2046</v>
      </c>
      <c r="W1001" s="253"/>
      <c r="AE1001" s="370" t="str">
        <f t="shared" si="132"/>
        <v>|::</v>
      </c>
      <c r="AG1001" s="296" t="s">
        <v>318</v>
      </c>
    </row>
    <row r="1002" spans="6:33" ht="18.75" customHeight="1">
      <c r="F1002" s="253" t="s">
        <v>1332</v>
      </c>
      <c r="G1002" s="252" t="s">
        <v>2241</v>
      </c>
      <c r="H1002" s="296" t="s">
        <v>252</v>
      </c>
      <c r="W1002" s="253"/>
      <c r="AE1002" s="370">
        <f t="shared" si="132"/>
        <v>0</v>
      </c>
    </row>
    <row r="1003" spans="6:33" ht="18.75" customHeight="1">
      <c r="H1003" s="296" t="s">
        <v>253</v>
      </c>
      <c r="W1003" s="253"/>
      <c r="AE1003" s="370">
        <f t="shared" si="132"/>
        <v>0</v>
      </c>
    </row>
    <row r="1004" spans="6:33" ht="18.75" customHeight="1">
      <c r="H1004" s="296" t="s">
        <v>1465</v>
      </c>
      <c r="W1004" s="253"/>
      <c r="AE1004" s="370" t="str">
        <f t="shared" si="132"/>
        <v>|</v>
      </c>
      <c r="AG1004" s="296" t="s">
        <v>2249</v>
      </c>
    </row>
    <row r="1005" spans="6:33" ht="18.75" customHeight="1">
      <c r="H1005" s="358" t="s">
        <v>1579</v>
      </c>
      <c r="W1005" s="253"/>
      <c r="AE1005" s="370"/>
      <c r="AG1005" s="296"/>
    </row>
    <row r="1006" spans="6:33" ht="18.75" customHeight="1">
      <c r="H1006" s="296" t="s">
        <v>2145</v>
      </c>
      <c r="W1006" s="253"/>
      <c r="AE1006" s="370" t="str">
        <f t="shared" si="132"/>
        <v>|</v>
      </c>
      <c r="AG1006" s="296" t="s">
        <v>2249</v>
      </c>
    </row>
    <row r="1007" spans="6:33" ht="18.75" customHeight="1">
      <c r="H1007" s="296" t="s">
        <v>90</v>
      </c>
      <c r="W1007" s="253"/>
      <c r="AE1007" s="370" t="str">
        <f t="shared" si="132"/>
        <v>|</v>
      </c>
      <c r="AG1007" s="296" t="s">
        <v>2249</v>
      </c>
    </row>
    <row r="1008" spans="6:33" ht="18.75" customHeight="1">
      <c r="J1008" s="296" t="s">
        <v>1579</v>
      </c>
      <c r="W1008" s="253"/>
      <c r="AE1008" s="370" t="str">
        <f t="shared" si="132"/>
        <v>|</v>
      </c>
      <c r="AG1008" s="296" t="s">
        <v>2249</v>
      </c>
    </row>
    <row r="1009" spans="6:33" ht="18.75" customHeight="1">
      <c r="H1009" s="296" t="s">
        <v>2146</v>
      </c>
      <c r="W1009" s="253"/>
      <c r="AE1009" s="370" t="str">
        <f t="shared" si="132"/>
        <v>|</v>
      </c>
      <c r="AG1009" s="296" t="s">
        <v>2249</v>
      </c>
    </row>
    <row r="1010" spans="6:33" ht="18.75" customHeight="1">
      <c r="H1010" s="296" t="s">
        <v>456</v>
      </c>
      <c r="K1010" s="400">
        <v>1.1900000000000001E-2</v>
      </c>
      <c r="W1010" s="253"/>
      <c r="AE1010" s="370" t="str">
        <f t="shared" si="132"/>
        <v>|</v>
      </c>
      <c r="AG1010" s="296" t="s">
        <v>2249</v>
      </c>
    </row>
    <row r="1011" spans="6:33" ht="18.75" customHeight="1">
      <c r="J1011" s="296" t="s">
        <v>971</v>
      </c>
      <c r="K1011" s="358" t="s">
        <v>1579</v>
      </c>
      <c r="W1011" s="253"/>
      <c r="AE1011" s="370">
        <f t="shared" si="132"/>
        <v>0</v>
      </c>
    </row>
    <row r="1012" spans="6:33" ht="18.75" customHeight="1">
      <c r="H1012" s="296" t="s">
        <v>457</v>
      </c>
      <c r="J1012" s="443" t="s">
        <v>971</v>
      </c>
      <c r="K1012" s="400">
        <v>1.18E-2</v>
      </c>
      <c r="W1012" s="253"/>
      <c r="AE1012" s="370">
        <f t="shared" si="132"/>
        <v>0</v>
      </c>
    </row>
    <row r="1013" spans="6:33" ht="18.75" customHeight="1">
      <c r="H1013" s="296" t="s">
        <v>246</v>
      </c>
      <c r="J1013" s="296" t="s">
        <v>971</v>
      </c>
      <c r="K1013" s="448" t="s">
        <v>1579</v>
      </c>
      <c r="W1013" s="253"/>
      <c r="AE1013" s="370">
        <f t="shared" si="132"/>
        <v>0</v>
      </c>
    </row>
    <row r="1014" spans="6:33" ht="18.75" customHeight="1">
      <c r="W1014" s="253"/>
      <c r="AE1014" s="370">
        <f t="shared" ref="AE1014:AE1034" si="138">AG1014</f>
        <v>0</v>
      </c>
    </row>
    <row r="1015" spans="6:33" ht="18.75" customHeight="1">
      <c r="F1015" s="400">
        <v>1.14E-2</v>
      </c>
      <c r="G1015" s="252" t="s">
        <v>866</v>
      </c>
      <c r="H1015" s="296" t="s">
        <v>305</v>
      </c>
      <c r="I1015" s="252">
        <f>C88</f>
        <v>111600</v>
      </c>
      <c r="J1015" s="296" t="s">
        <v>866</v>
      </c>
      <c r="K1015" s="252">
        <f>(F1015*I1015)</f>
        <v>1272.24</v>
      </c>
      <c r="W1015" s="253"/>
      <c r="AE1015" s="370">
        <f t="shared" si="138"/>
        <v>0</v>
      </c>
    </row>
    <row r="1016" spans="6:33" ht="18.75" customHeight="1">
      <c r="F1016" s="400">
        <v>1.1900000000000001E-2</v>
      </c>
      <c r="G1016" s="252" t="s">
        <v>866</v>
      </c>
      <c r="H1016" s="296" t="s">
        <v>306</v>
      </c>
      <c r="I1016" s="252">
        <f>C89</f>
        <v>99400</v>
      </c>
      <c r="J1016" s="296" t="s">
        <v>866</v>
      </c>
      <c r="K1016" s="252">
        <f>(F1016*I1016)</f>
        <v>1182.8599999999999</v>
      </c>
      <c r="W1016" s="253"/>
      <c r="AE1016" s="370">
        <f t="shared" si="138"/>
        <v>0</v>
      </c>
    </row>
    <row r="1017" spans="6:33" ht="18.75" customHeight="1">
      <c r="F1017" s="400">
        <v>1.18E-2</v>
      </c>
      <c r="G1017" s="252" t="s">
        <v>866</v>
      </c>
      <c r="H1017" s="296" t="s">
        <v>307</v>
      </c>
      <c r="I1017" s="252">
        <f>C90</f>
        <v>95000</v>
      </c>
      <c r="J1017" s="296" t="s">
        <v>866</v>
      </c>
      <c r="K1017" s="252">
        <f>(F1017*I1017)</f>
        <v>1121</v>
      </c>
      <c r="W1017" s="253"/>
      <c r="AE1017" s="370">
        <f t="shared" si="138"/>
        <v>0</v>
      </c>
    </row>
    <row r="1018" spans="6:33" ht="18.75" customHeight="1">
      <c r="F1018" s="400"/>
      <c r="H1018" s="296" t="s">
        <v>443</v>
      </c>
      <c r="I1018" s="296" t="s">
        <v>971</v>
      </c>
      <c r="K1018" s="296" t="s">
        <v>971</v>
      </c>
      <c r="W1018" s="253"/>
      <c r="AE1018" s="370">
        <f t="shared" si="138"/>
        <v>0</v>
      </c>
    </row>
    <row r="1019" spans="6:33" ht="18.75" customHeight="1">
      <c r="F1019" s="400">
        <v>1.2150000000000001</v>
      </c>
      <c r="G1019" s="252" t="s">
        <v>606</v>
      </c>
      <c r="H1019" s="296" t="s">
        <v>444</v>
      </c>
      <c r="I1019" s="252">
        <f>C31</f>
        <v>1537</v>
      </c>
      <c r="J1019" s="296" t="s">
        <v>606</v>
      </c>
      <c r="K1019" s="252">
        <f t="shared" ref="K1019:K1026" si="139">(F1019*I1019)</f>
        <v>1867.46</v>
      </c>
      <c r="W1019" s="253"/>
      <c r="AE1019" s="370">
        <f t="shared" si="138"/>
        <v>0</v>
      </c>
    </row>
    <row r="1020" spans="6:33" ht="18.75" customHeight="1">
      <c r="F1020" s="252">
        <v>1</v>
      </c>
      <c r="G1020" s="252" t="s">
        <v>766</v>
      </c>
      <c r="H1020" s="296" t="s">
        <v>1132</v>
      </c>
      <c r="I1020" s="252">
        <f>C598</f>
        <v>57.65</v>
      </c>
      <c r="J1020" s="296" t="s">
        <v>865</v>
      </c>
      <c r="K1020" s="252">
        <f t="shared" si="139"/>
        <v>57.65</v>
      </c>
      <c r="W1020" s="253"/>
      <c r="AE1020" s="370">
        <f t="shared" si="138"/>
        <v>0</v>
      </c>
    </row>
    <row r="1021" spans="6:33" ht="18.75" customHeight="1">
      <c r="F1021" s="252">
        <v>3</v>
      </c>
      <c r="G1021" s="252" t="s">
        <v>865</v>
      </c>
      <c r="H1021" s="296" t="str">
        <f>H991</f>
        <v xml:space="preserve">  5"BUTT HINGS (p-40)</v>
      </c>
      <c r="I1021" s="252">
        <f>C279</f>
        <v>89.6</v>
      </c>
      <c r="J1021" s="296" t="s">
        <v>865</v>
      </c>
      <c r="K1021" s="252">
        <f t="shared" si="139"/>
        <v>268.8</v>
      </c>
      <c r="W1021" s="253"/>
      <c r="AE1021" s="370">
        <f t="shared" si="138"/>
        <v>0</v>
      </c>
    </row>
    <row r="1022" spans="6:33" ht="18.75" customHeight="1">
      <c r="F1022" s="252">
        <v>2</v>
      </c>
      <c r="G1022" s="252" t="s">
        <v>865</v>
      </c>
      <c r="H1022" s="296" t="str">
        <f t="shared" ref="H1022:H1026" si="140">H992</f>
        <v xml:space="preserve"> 6"X1/2"TOWER BOLT (p-40)</v>
      </c>
      <c r="I1022" s="252">
        <f>C284</f>
        <v>64.8</v>
      </c>
      <c r="J1022" s="296" t="s">
        <v>865</v>
      </c>
      <c r="K1022" s="252">
        <f t="shared" si="139"/>
        <v>129.6</v>
      </c>
      <c r="W1022" s="253"/>
      <c r="AE1022" s="370">
        <f t="shared" si="138"/>
        <v>0</v>
      </c>
    </row>
    <row r="1023" spans="6:33" ht="18.75" customHeight="1">
      <c r="F1023" s="252">
        <v>1</v>
      </c>
      <c r="G1023" s="252" t="s">
        <v>865</v>
      </c>
      <c r="H1023" s="296" t="str">
        <f t="shared" si="140"/>
        <v>10"X5/8"ALDROP (p-41)</v>
      </c>
      <c r="I1023" s="252">
        <f>C286</f>
        <v>181</v>
      </c>
      <c r="J1023" s="296" t="s">
        <v>865</v>
      </c>
      <c r="K1023" s="252">
        <f t="shared" si="139"/>
        <v>181</v>
      </c>
      <c r="W1023" s="253"/>
      <c r="AE1023" s="370">
        <f t="shared" si="138"/>
        <v>0</v>
      </c>
    </row>
    <row r="1024" spans="6:33" ht="18.75" customHeight="1">
      <c r="F1024" s="252">
        <v>1</v>
      </c>
      <c r="G1024" s="252" t="s">
        <v>865</v>
      </c>
      <c r="H1024" s="296" t="str">
        <f t="shared" si="140"/>
        <v>NYLONBUSH</v>
      </c>
      <c r="I1024" s="252">
        <f>C288</f>
        <v>7.3</v>
      </c>
      <c r="J1024" s="296" t="s">
        <v>865</v>
      </c>
      <c r="K1024" s="252">
        <f t="shared" si="139"/>
        <v>7.3</v>
      </c>
      <c r="W1024" s="253"/>
      <c r="AE1024" s="370">
        <f t="shared" si="138"/>
        <v>0</v>
      </c>
    </row>
    <row r="1025" spans="6:31" ht="18.75" customHeight="1">
      <c r="F1025" s="252">
        <v>1</v>
      </c>
      <c r="G1025" s="252" t="s">
        <v>865</v>
      </c>
      <c r="H1025" s="296" t="str">
        <f t="shared" si="140"/>
        <v>DOOR STOPPER (p-41)</v>
      </c>
      <c r="I1025" s="252">
        <f>D598</f>
        <v>49.55</v>
      </c>
      <c r="J1025" s="296" t="s">
        <v>865</v>
      </c>
      <c r="K1025" s="252">
        <f t="shared" si="139"/>
        <v>49.55</v>
      </c>
      <c r="W1025" s="253"/>
      <c r="AE1025" s="370">
        <f t="shared" si="138"/>
        <v>0</v>
      </c>
    </row>
    <row r="1026" spans="6:31" ht="18.75" customHeight="1">
      <c r="F1026" s="252">
        <v>10</v>
      </c>
      <c r="G1026" s="252" t="s">
        <v>1026</v>
      </c>
      <c r="H1026" s="296" t="str">
        <f t="shared" si="140"/>
        <v>Brass screw p-55 it-232</v>
      </c>
      <c r="I1026" s="252">
        <f>I996</f>
        <v>2.41</v>
      </c>
      <c r="J1026" s="296" t="s">
        <v>865</v>
      </c>
      <c r="K1026" s="252">
        <f t="shared" si="139"/>
        <v>24.1</v>
      </c>
      <c r="M1026" s="253" t="s">
        <v>459</v>
      </c>
      <c r="N1026" s="252" t="s">
        <v>2241</v>
      </c>
      <c r="O1026" s="296" t="s">
        <v>2167</v>
      </c>
      <c r="Q1026" s="296"/>
      <c r="W1026" s="253"/>
      <c r="AE1026" s="370">
        <f t="shared" si="138"/>
        <v>0</v>
      </c>
    </row>
    <row r="1027" spans="6:31" ht="18.75" customHeight="1">
      <c r="K1027" s="358" t="s">
        <v>1579</v>
      </c>
      <c r="O1027" s="296" t="s">
        <v>2169</v>
      </c>
      <c r="Q1027" s="296"/>
      <c r="W1027" s="253"/>
      <c r="AE1027" s="370">
        <f t="shared" si="138"/>
        <v>0</v>
      </c>
    </row>
    <row r="1028" spans="6:31" ht="18.75" customHeight="1">
      <c r="H1028" s="296" t="s">
        <v>458</v>
      </c>
      <c r="K1028" s="252">
        <f>SUM(K1015:K1026)</f>
        <v>6161.56</v>
      </c>
      <c r="O1028" s="296" t="s">
        <v>2170</v>
      </c>
      <c r="Q1028" s="296"/>
      <c r="W1028" s="253"/>
      <c r="AE1028" s="370">
        <f t="shared" si="138"/>
        <v>0</v>
      </c>
    </row>
    <row r="1029" spans="6:31" ht="18.75" customHeight="1">
      <c r="K1029" s="358" t="s">
        <v>1579</v>
      </c>
      <c r="O1029" s="296" t="s">
        <v>2171</v>
      </c>
      <c r="Q1029" s="296"/>
      <c r="W1029" s="253"/>
      <c r="AE1029" s="370">
        <f t="shared" si="138"/>
        <v>0</v>
      </c>
    </row>
    <row r="1030" spans="6:31" ht="18.75" customHeight="1">
      <c r="H1030" s="255" t="s">
        <v>549</v>
      </c>
      <c r="K1030" s="274">
        <f>K1028/F1019</f>
        <v>5071.24</v>
      </c>
      <c r="O1030" s="296" t="s">
        <v>2172</v>
      </c>
      <c r="Q1030" s="296"/>
      <c r="W1030" s="253"/>
      <c r="AE1030" s="370">
        <f t="shared" si="138"/>
        <v>0</v>
      </c>
    </row>
    <row r="1031" spans="6:31" ht="18.75" customHeight="1">
      <c r="K1031" s="358" t="s">
        <v>2046</v>
      </c>
      <c r="O1031" s="296" t="s">
        <v>2173</v>
      </c>
      <c r="Q1031" s="296"/>
      <c r="W1031" s="253"/>
      <c r="AE1031" s="370">
        <f t="shared" si="138"/>
        <v>0</v>
      </c>
    </row>
    <row r="1032" spans="6:31" ht="18.75" customHeight="1">
      <c r="H1032" s="449" t="s">
        <v>3497</v>
      </c>
      <c r="I1032" s="450"/>
      <c r="J1032" s="451"/>
      <c r="K1032" s="449">
        <f>K912</f>
        <v>2135</v>
      </c>
      <c r="O1032" s="358" t="s">
        <v>1579</v>
      </c>
      <c r="Q1032" s="296"/>
      <c r="W1032" s="253"/>
      <c r="AE1032" s="370">
        <f t="shared" si="138"/>
        <v>0</v>
      </c>
    </row>
    <row r="1033" spans="6:31" ht="18.75" customHeight="1">
      <c r="F1033" s="253" t="s">
        <v>459</v>
      </c>
      <c r="G1033" s="252" t="s">
        <v>2241</v>
      </c>
      <c r="H1033" s="296" t="s">
        <v>2167</v>
      </c>
      <c r="O1033" s="296" t="s">
        <v>641</v>
      </c>
      <c r="Q1033" s="296"/>
      <c r="W1033" s="253"/>
      <c r="AE1033" s="370">
        <f t="shared" si="138"/>
        <v>0</v>
      </c>
    </row>
    <row r="1034" spans="6:31" ht="18.75" customHeight="1">
      <c r="H1034" s="296" t="s">
        <v>2169</v>
      </c>
      <c r="O1034" s="296" t="s">
        <v>2174</v>
      </c>
      <c r="Q1034" s="296"/>
      <c r="W1034" s="253"/>
      <c r="AE1034" s="370">
        <f t="shared" si="138"/>
        <v>0</v>
      </c>
    </row>
    <row r="1035" spans="6:31" ht="18.75" customHeight="1">
      <c r="H1035" s="296" t="s">
        <v>2170</v>
      </c>
      <c r="Q1035" s="296" t="s">
        <v>1579</v>
      </c>
      <c r="W1035" s="253"/>
      <c r="AE1035" s="370"/>
    </row>
    <row r="1036" spans="6:31" ht="18.75" customHeight="1">
      <c r="H1036" s="296" t="s">
        <v>2171</v>
      </c>
      <c r="O1036" s="296" t="s">
        <v>2175</v>
      </c>
      <c r="Q1036" s="296"/>
      <c r="W1036" s="253"/>
      <c r="AE1036" s="370">
        <f t="shared" ref="AE1036:AE1041" si="141">AG1036</f>
        <v>0</v>
      </c>
    </row>
    <row r="1037" spans="6:31" ht="18.75" customHeight="1">
      <c r="H1037" s="296" t="s">
        <v>2172</v>
      </c>
      <c r="O1037" s="296" t="s">
        <v>971</v>
      </c>
      <c r="P1037" s="296" t="s">
        <v>971</v>
      </c>
      <c r="Q1037" s="296"/>
      <c r="R1037" s="443" t="s">
        <v>971</v>
      </c>
      <c r="W1037" s="253"/>
      <c r="AE1037" s="370">
        <f t="shared" si="141"/>
        <v>0</v>
      </c>
    </row>
    <row r="1038" spans="6:31" ht="18.75" customHeight="1">
      <c r="H1038" s="296" t="s">
        <v>2173</v>
      </c>
      <c r="Q1038" s="296" t="s">
        <v>971</v>
      </c>
      <c r="R1038" s="296" t="s">
        <v>971</v>
      </c>
      <c r="W1038" s="253"/>
      <c r="AE1038" s="370">
        <f t="shared" si="141"/>
        <v>0</v>
      </c>
    </row>
    <row r="1039" spans="6:31" ht="18.75" customHeight="1">
      <c r="H1039" s="358" t="s">
        <v>1579</v>
      </c>
      <c r="O1039" s="296" t="s">
        <v>2102</v>
      </c>
      <c r="Q1039" s="443" t="s">
        <v>971</v>
      </c>
      <c r="R1039" s="443" t="s">
        <v>971</v>
      </c>
      <c r="W1039" s="253"/>
      <c r="AE1039" s="370">
        <f t="shared" si="141"/>
        <v>0</v>
      </c>
    </row>
    <row r="1040" spans="6:31" ht="18.75" customHeight="1">
      <c r="H1040" s="296" t="s">
        <v>641</v>
      </c>
      <c r="O1040" s="296" t="s">
        <v>111</v>
      </c>
      <c r="Q1040" s="296"/>
      <c r="R1040" s="443" t="s">
        <v>1732</v>
      </c>
      <c r="W1040" s="253"/>
      <c r="AE1040" s="370">
        <f t="shared" si="141"/>
        <v>0</v>
      </c>
    </row>
    <row r="1041" spans="6:33" ht="18.75" customHeight="1">
      <c r="H1041" s="296" t="s">
        <v>2174</v>
      </c>
      <c r="Q1041" s="296"/>
      <c r="R1041" s="296" t="s">
        <v>971</v>
      </c>
      <c r="W1041" s="253"/>
      <c r="AE1041" s="370">
        <f t="shared" si="141"/>
        <v>0</v>
      </c>
    </row>
    <row r="1042" spans="6:33" ht="18.75" customHeight="1">
      <c r="J1042" s="296" t="s">
        <v>1579</v>
      </c>
      <c r="Q1042" s="296"/>
      <c r="R1042" s="443" t="s">
        <v>971</v>
      </c>
      <c r="W1042" s="253"/>
      <c r="AB1042" s="253" t="s">
        <v>459</v>
      </c>
      <c r="AC1042" s="252" t="s">
        <v>2241</v>
      </c>
      <c r="AD1042" s="296" t="s">
        <v>5680</v>
      </c>
      <c r="AF1042" s="296"/>
    </row>
    <row r="1043" spans="6:33" ht="18.75" customHeight="1">
      <c r="H1043" s="296" t="s">
        <v>2175</v>
      </c>
      <c r="Q1043" s="296"/>
      <c r="R1043" s="296" t="s">
        <v>971</v>
      </c>
      <c r="W1043" s="253"/>
      <c r="AD1043" s="296" t="s">
        <v>2169</v>
      </c>
      <c r="AF1043" s="296"/>
    </row>
    <row r="1044" spans="6:33" ht="18.75" customHeight="1">
      <c r="H1044" s="296" t="s">
        <v>971</v>
      </c>
      <c r="I1044" s="296" t="s">
        <v>971</v>
      </c>
      <c r="K1044" s="443" t="s">
        <v>971</v>
      </c>
      <c r="M1044" s="253" t="s">
        <v>1466</v>
      </c>
      <c r="O1044" s="296" t="s">
        <v>717</v>
      </c>
      <c r="Q1044" s="296"/>
      <c r="R1044" s="296" t="s">
        <v>971</v>
      </c>
      <c r="W1044" s="253"/>
      <c r="AD1044" s="296" t="s">
        <v>2170</v>
      </c>
      <c r="AF1044" s="296"/>
    </row>
    <row r="1045" spans="6:33" ht="18.75" customHeight="1">
      <c r="J1045" s="296" t="s">
        <v>971</v>
      </c>
      <c r="K1045" s="296" t="s">
        <v>971</v>
      </c>
      <c r="O1045" s="358" t="s">
        <v>1579</v>
      </c>
      <c r="Q1045" s="296"/>
      <c r="W1045" s="253"/>
      <c r="AD1045" s="296" t="s">
        <v>2171</v>
      </c>
      <c r="AF1045" s="296"/>
    </row>
    <row r="1046" spans="6:33" s="445" customFormat="1" ht="18.75" customHeight="1">
      <c r="F1046" s="252"/>
      <c r="G1046" s="252"/>
      <c r="H1046" s="296" t="s">
        <v>2102</v>
      </c>
      <c r="I1046" s="252"/>
      <c r="J1046" s="443" t="s">
        <v>971</v>
      </c>
      <c r="K1046" s="443" t="s">
        <v>971</v>
      </c>
      <c r="M1046" s="444">
        <v>1.153E-2</v>
      </c>
      <c r="N1046" s="445" t="s">
        <v>866</v>
      </c>
      <c r="O1046" s="446" t="s">
        <v>1753</v>
      </c>
      <c r="P1046" s="445">
        <f>C86</f>
        <v>34300</v>
      </c>
      <c r="Q1046" s="446" t="s">
        <v>866</v>
      </c>
      <c r="R1046" s="445">
        <f t="shared" ref="R1046:R1055" si="142">(M1046*P1046)</f>
        <v>395.48</v>
      </c>
      <c r="S1046" s="452"/>
      <c r="W1046" s="453"/>
      <c r="AB1046" s="252"/>
      <c r="AC1046" s="252"/>
      <c r="AD1046" s="296" t="s">
        <v>2172</v>
      </c>
      <c r="AE1046" s="252"/>
      <c r="AF1046" s="296"/>
      <c r="AG1046" s="252"/>
    </row>
    <row r="1047" spans="6:33" ht="18.75" customHeight="1">
      <c r="H1047" s="296" t="s">
        <v>111</v>
      </c>
      <c r="K1047" s="443" t="s">
        <v>1732</v>
      </c>
      <c r="M1047" s="447">
        <v>1.35E-2</v>
      </c>
      <c r="N1047" s="252" t="s">
        <v>866</v>
      </c>
      <c r="O1047" s="296" t="s">
        <v>1753</v>
      </c>
      <c r="P1047" s="252">
        <f>P1046</f>
        <v>34300</v>
      </c>
      <c r="Q1047" s="296" t="s">
        <v>866</v>
      </c>
      <c r="R1047" s="252">
        <f t="shared" si="142"/>
        <v>463.05</v>
      </c>
      <c r="W1047" s="253"/>
      <c r="AD1047" s="296" t="s">
        <v>5681</v>
      </c>
      <c r="AF1047" s="296"/>
    </row>
    <row r="1048" spans="6:33" ht="18.75" customHeight="1">
      <c r="K1048" s="296" t="s">
        <v>971</v>
      </c>
      <c r="M1048" s="447">
        <v>1.016</v>
      </c>
      <c r="N1048" s="252" t="s">
        <v>606</v>
      </c>
      <c r="O1048" s="296" t="s">
        <v>2082</v>
      </c>
      <c r="P1048" s="252">
        <f>I1055</f>
        <v>387.4</v>
      </c>
      <c r="Q1048" s="296" t="s">
        <v>606</v>
      </c>
      <c r="R1048" s="252">
        <f t="shared" si="142"/>
        <v>393.6</v>
      </c>
      <c r="W1048" s="253"/>
      <c r="AD1048" s="358" t="s">
        <v>1579</v>
      </c>
      <c r="AF1048" s="296"/>
    </row>
    <row r="1049" spans="6:33" ht="18.75" customHeight="1">
      <c r="K1049" s="443" t="s">
        <v>971</v>
      </c>
      <c r="M1049" s="447">
        <v>1.64</v>
      </c>
      <c r="N1049" s="252" t="s">
        <v>606</v>
      </c>
      <c r="O1049" s="296" t="s">
        <v>2083</v>
      </c>
      <c r="P1049" s="252">
        <f t="shared" ref="P1049:P1054" si="143">I1056</f>
        <v>1281</v>
      </c>
      <c r="Q1049" s="296" t="s">
        <v>606</v>
      </c>
      <c r="R1049" s="252">
        <f t="shared" si="142"/>
        <v>2100.84</v>
      </c>
      <c r="W1049" s="253"/>
      <c r="AD1049" s="296" t="s">
        <v>1723</v>
      </c>
      <c r="AF1049" s="296"/>
    </row>
    <row r="1050" spans="6:33" ht="18.75" customHeight="1">
      <c r="K1050" s="296" t="s">
        <v>971</v>
      </c>
      <c r="M1050" s="252">
        <v>2</v>
      </c>
      <c r="N1050" s="252" t="s">
        <v>865</v>
      </c>
      <c r="O1050" s="296" t="s">
        <v>2084</v>
      </c>
      <c r="P1050" s="252">
        <f t="shared" si="143"/>
        <v>64.8</v>
      </c>
      <c r="Q1050" s="296" t="s">
        <v>865</v>
      </c>
      <c r="R1050" s="252">
        <f t="shared" si="142"/>
        <v>129.6</v>
      </c>
      <c r="W1050" s="253"/>
      <c r="AD1050" s="296" t="s">
        <v>1724</v>
      </c>
      <c r="AF1050" s="296"/>
    </row>
    <row r="1051" spans="6:33" ht="18.75" customHeight="1">
      <c r="F1051" s="253" t="s">
        <v>1466</v>
      </c>
      <c r="H1051" s="296" t="s">
        <v>717</v>
      </c>
      <c r="K1051" s="296" t="s">
        <v>971</v>
      </c>
      <c r="M1051" s="252">
        <v>3</v>
      </c>
      <c r="N1051" s="252" t="s">
        <v>865</v>
      </c>
      <c r="O1051" s="296" t="s">
        <v>1510</v>
      </c>
      <c r="P1051" s="252">
        <f t="shared" si="143"/>
        <v>89.6</v>
      </c>
      <c r="Q1051" s="296" t="s">
        <v>865</v>
      </c>
      <c r="R1051" s="252">
        <f t="shared" si="142"/>
        <v>268.8</v>
      </c>
      <c r="W1051" s="253"/>
      <c r="AF1051" s="296" t="s">
        <v>1579</v>
      </c>
    </row>
    <row r="1052" spans="6:33" ht="18.75" customHeight="1">
      <c r="H1052" s="358" t="s">
        <v>1579</v>
      </c>
      <c r="M1052" s="252">
        <v>1</v>
      </c>
      <c r="N1052" s="252" t="s">
        <v>865</v>
      </c>
      <c r="O1052" s="296" t="s">
        <v>1970</v>
      </c>
      <c r="P1052" s="252">
        <f t="shared" si="143"/>
        <v>181</v>
      </c>
      <c r="Q1052" s="296" t="s">
        <v>865</v>
      </c>
      <c r="R1052" s="252">
        <f t="shared" si="142"/>
        <v>181</v>
      </c>
      <c r="W1052" s="253"/>
      <c r="AD1052" s="296" t="s">
        <v>1725</v>
      </c>
      <c r="AF1052" s="296"/>
    </row>
    <row r="1053" spans="6:33" ht="18.75" customHeight="1">
      <c r="F1053" s="444">
        <v>1.153E-2</v>
      </c>
      <c r="G1053" s="445" t="s">
        <v>866</v>
      </c>
      <c r="H1053" s="446" t="s">
        <v>689</v>
      </c>
      <c r="I1053" s="445">
        <f>C88</f>
        <v>111600</v>
      </c>
      <c r="J1053" s="446" t="s">
        <v>866</v>
      </c>
      <c r="K1053" s="445">
        <f t="shared" ref="K1053:K1063" si="144">(F1053*I1053)</f>
        <v>1286.75</v>
      </c>
      <c r="M1053" s="252">
        <v>1</v>
      </c>
      <c r="N1053" s="252" t="s">
        <v>865</v>
      </c>
      <c r="O1053" s="296" t="s">
        <v>1971</v>
      </c>
      <c r="P1053" s="252">
        <f t="shared" si="143"/>
        <v>7.3</v>
      </c>
      <c r="Q1053" s="296" t="s">
        <v>865</v>
      </c>
      <c r="R1053" s="252">
        <f t="shared" si="142"/>
        <v>7.3</v>
      </c>
      <c r="W1053" s="253"/>
      <c r="AD1053" s="296" t="s">
        <v>971</v>
      </c>
      <c r="AE1053" s="296" t="s">
        <v>971</v>
      </c>
      <c r="AF1053" s="296"/>
      <c r="AG1053" s="443" t="s">
        <v>971</v>
      </c>
    </row>
    <row r="1054" spans="6:33" ht="18.75" customHeight="1">
      <c r="F1054" s="447">
        <v>1.35E-2</v>
      </c>
      <c r="G1054" s="252" t="s">
        <v>866</v>
      </c>
      <c r="H1054" s="296" t="s">
        <v>690</v>
      </c>
      <c r="I1054" s="252">
        <f>C89</f>
        <v>99400</v>
      </c>
      <c r="J1054" s="296" t="s">
        <v>866</v>
      </c>
      <c r="K1054" s="252">
        <f t="shared" si="144"/>
        <v>1341.9</v>
      </c>
      <c r="M1054" s="252">
        <v>1</v>
      </c>
      <c r="N1054" s="252" t="s">
        <v>865</v>
      </c>
      <c r="O1054" s="296" t="s">
        <v>1972</v>
      </c>
      <c r="P1054" s="252">
        <f t="shared" si="143"/>
        <v>57.65</v>
      </c>
      <c r="Q1054" s="296" t="s">
        <v>865</v>
      </c>
      <c r="R1054" s="252">
        <f t="shared" si="142"/>
        <v>57.65</v>
      </c>
      <c r="W1054" s="253"/>
      <c r="AF1054" s="296" t="s">
        <v>971</v>
      </c>
      <c r="AG1054" s="296" t="s">
        <v>971</v>
      </c>
    </row>
    <row r="1055" spans="6:33" ht="18.75" customHeight="1">
      <c r="F1055" s="447">
        <v>1.016</v>
      </c>
      <c r="G1055" s="252" t="s">
        <v>606</v>
      </c>
      <c r="H1055" s="296" t="s">
        <v>2082</v>
      </c>
      <c r="I1055" s="252">
        <f>C783</f>
        <v>387.4</v>
      </c>
      <c r="J1055" s="296" t="s">
        <v>606</v>
      </c>
      <c r="K1055" s="252">
        <f t="shared" si="144"/>
        <v>393.6</v>
      </c>
      <c r="M1055" s="252">
        <v>1</v>
      </c>
      <c r="N1055" s="252" t="s">
        <v>865</v>
      </c>
      <c r="O1055" s="296" t="s">
        <v>1973</v>
      </c>
      <c r="P1055" s="252">
        <f>P953</f>
        <v>49.55</v>
      </c>
      <c r="Q1055" s="296" t="s">
        <v>865</v>
      </c>
      <c r="R1055" s="252">
        <f t="shared" si="142"/>
        <v>49.55</v>
      </c>
      <c r="W1055" s="253"/>
      <c r="AD1055" s="296" t="s">
        <v>1726</v>
      </c>
      <c r="AF1055" s="443" t="s">
        <v>971</v>
      </c>
      <c r="AG1055" s="443" t="s">
        <v>971</v>
      </c>
    </row>
    <row r="1056" spans="6:33" ht="18.75" customHeight="1">
      <c r="F1056" s="447">
        <v>1.64</v>
      </c>
      <c r="G1056" s="252" t="s">
        <v>606</v>
      </c>
      <c r="H1056" s="296" t="s">
        <v>2083</v>
      </c>
      <c r="I1056" s="252">
        <f>D30</f>
        <v>1281</v>
      </c>
      <c r="J1056" s="296" t="s">
        <v>606</v>
      </c>
      <c r="K1056" s="252">
        <f t="shared" si="144"/>
        <v>2100.84</v>
      </c>
      <c r="Q1056" s="296"/>
      <c r="R1056" s="358" t="s">
        <v>1579</v>
      </c>
      <c r="S1056" s="454"/>
      <c r="W1056" s="253"/>
      <c r="AD1056" s="296" t="s">
        <v>1727</v>
      </c>
      <c r="AF1056" s="296"/>
      <c r="AG1056" s="443" t="s">
        <v>1728</v>
      </c>
    </row>
    <row r="1057" spans="6:33" ht="18.75" customHeight="1">
      <c r="F1057" s="252">
        <v>2</v>
      </c>
      <c r="G1057" s="252" t="s">
        <v>865</v>
      </c>
      <c r="H1057" s="296" t="str">
        <f>H1022</f>
        <v xml:space="preserve"> 6"X1/2"TOWER BOLT (p-40)</v>
      </c>
      <c r="I1057" s="252">
        <f>C284</f>
        <v>64.8</v>
      </c>
      <c r="J1057" s="296" t="s">
        <v>865</v>
      </c>
      <c r="K1057" s="252">
        <f t="shared" si="144"/>
        <v>129.6</v>
      </c>
      <c r="O1057" s="253" t="s">
        <v>1511</v>
      </c>
      <c r="Q1057" s="296"/>
      <c r="R1057" s="252">
        <f>SUM(R1046:R1055)</f>
        <v>4046.87</v>
      </c>
      <c r="W1057" s="253"/>
      <c r="AF1057" s="296"/>
      <c r="AG1057" s="296" t="s">
        <v>971</v>
      </c>
    </row>
    <row r="1058" spans="6:33" ht="18.75" customHeight="1">
      <c r="F1058" s="252">
        <v>3</v>
      </c>
      <c r="G1058" s="252" t="s">
        <v>865</v>
      </c>
      <c r="H1058" s="296" t="s">
        <v>1510</v>
      </c>
      <c r="I1058" s="252">
        <f>C279</f>
        <v>89.6</v>
      </c>
      <c r="J1058" s="296" t="s">
        <v>865</v>
      </c>
      <c r="K1058" s="252">
        <f t="shared" si="144"/>
        <v>268.8</v>
      </c>
      <c r="N1058" s="252" t="s">
        <v>971</v>
      </c>
      <c r="Q1058" s="296"/>
      <c r="R1058" s="358" t="s">
        <v>1579</v>
      </c>
      <c r="S1058" s="454"/>
      <c r="W1058" s="253"/>
      <c r="AF1058" s="296"/>
      <c r="AG1058" s="443" t="s">
        <v>971</v>
      </c>
    </row>
    <row r="1059" spans="6:33" ht="18.75" customHeight="1">
      <c r="F1059" s="252">
        <v>1</v>
      </c>
      <c r="G1059" s="252" t="s">
        <v>865</v>
      </c>
      <c r="H1059" s="296" t="s">
        <v>1970</v>
      </c>
      <c r="I1059" s="252">
        <f>C286</f>
        <v>181</v>
      </c>
      <c r="J1059" s="296" t="s">
        <v>865</v>
      </c>
      <c r="K1059" s="252">
        <f t="shared" si="144"/>
        <v>181</v>
      </c>
      <c r="O1059" s="255" t="s">
        <v>549</v>
      </c>
      <c r="Q1059" s="296"/>
      <c r="R1059" s="274">
        <f>R1057/M1049</f>
        <v>2467.6</v>
      </c>
      <c r="W1059" s="253"/>
      <c r="AF1059" s="296"/>
      <c r="AG1059" s="296" t="s">
        <v>971</v>
      </c>
    </row>
    <row r="1060" spans="6:33" ht="18.75" customHeight="1">
      <c r="F1060" s="252">
        <v>1</v>
      </c>
      <c r="G1060" s="252" t="s">
        <v>865</v>
      </c>
      <c r="H1060" s="296" t="s">
        <v>1971</v>
      </c>
      <c r="I1060" s="252">
        <f>C288</f>
        <v>7.3</v>
      </c>
      <c r="J1060" s="296" t="s">
        <v>865</v>
      </c>
      <c r="K1060" s="252">
        <f t="shared" si="144"/>
        <v>7.3</v>
      </c>
      <c r="Q1060" s="296"/>
      <c r="R1060" s="358" t="s">
        <v>2046</v>
      </c>
      <c r="S1060" s="454" t="s">
        <v>2046</v>
      </c>
      <c r="W1060" s="253"/>
      <c r="AB1060" s="253" t="s">
        <v>1466</v>
      </c>
      <c r="AD1060" s="296" t="s">
        <v>1730</v>
      </c>
      <c r="AF1060" s="296"/>
      <c r="AG1060" s="296" t="s">
        <v>971</v>
      </c>
    </row>
    <row r="1061" spans="6:33" ht="18.75" customHeight="1">
      <c r="F1061" s="252">
        <v>1</v>
      </c>
      <c r="G1061" s="252" t="s">
        <v>865</v>
      </c>
      <c r="H1061" s="296" t="s">
        <v>1133</v>
      </c>
      <c r="I1061" s="252">
        <f>C598</f>
        <v>57.65</v>
      </c>
      <c r="J1061" s="296" t="s">
        <v>865</v>
      </c>
      <c r="K1061" s="252">
        <f t="shared" si="144"/>
        <v>57.65</v>
      </c>
      <c r="M1061" s="253"/>
      <c r="O1061" s="296"/>
      <c r="Q1061" s="296"/>
      <c r="R1061" s="296" t="s">
        <v>971</v>
      </c>
      <c r="W1061" s="253"/>
      <c r="AD1061" s="358" t="s">
        <v>1579</v>
      </c>
      <c r="AF1061" s="296"/>
    </row>
    <row r="1062" spans="6:33" ht="18.75" customHeight="1">
      <c r="F1062" s="252">
        <v>1</v>
      </c>
      <c r="G1062" s="252" t="s">
        <v>865</v>
      </c>
      <c r="H1062" s="296" t="s">
        <v>1973</v>
      </c>
      <c r="I1062" s="252">
        <f>D598</f>
        <v>49.55</v>
      </c>
      <c r="J1062" s="296" t="s">
        <v>865</v>
      </c>
      <c r="K1062" s="252">
        <f t="shared" si="144"/>
        <v>49.55</v>
      </c>
      <c r="M1062" s="253" t="s">
        <v>1466</v>
      </c>
      <c r="O1062" s="296" t="s">
        <v>1806</v>
      </c>
      <c r="Q1062" s="296"/>
      <c r="R1062" s="296" t="s">
        <v>971</v>
      </c>
      <c r="W1062" s="253"/>
      <c r="AB1062" s="444">
        <v>2.3060000000000001E-2</v>
      </c>
      <c r="AC1062" s="445" t="s">
        <v>866</v>
      </c>
      <c r="AD1062" s="446" t="s">
        <v>689</v>
      </c>
      <c r="AE1062" s="445">
        <f>I1053</f>
        <v>111600</v>
      </c>
      <c r="AF1062" s="446" t="s">
        <v>866</v>
      </c>
      <c r="AG1062" s="445">
        <f t="shared" ref="AG1062:AG1072" si="145">(AB1062*AE1062)</f>
        <v>2573.5</v>
      </c>
    </row>
    <row r="1063" spans="6:33" ht="18.75" customHeight="1">
      <c r="F1063" s="252">
        <v>58</v>
      </c>
      <c r="G1063" s="252" t="s">
        <v>1026</v>
      </c>
      <c r="H1063" s="296" t="s">
        <v>1137</v>
      </c>
      <c r="I1063" s="252">
        <f>I1026</f>
        <v>2.41</v>
      </c>
      <c r="J1063" s="296" t="s">
        <v>865</v>
      </c>
      <c r="K1063" s="252">
        <f t="shared" si="144"/>
        <v>139.78</v>
      </c>
      <c r="O1063" s="358" t="s">
        <v>1579</v>
      </c>
      <c r="Q1063" s="296"/>
      <c r="W1063" s="253"/>
      <c r="AB1063" s="447">
        <v>1.856E-2</v>
      </c>
      <c r="AC1063" s="252" t="s">
        <v>866</v>
      </c>
      <c r="AD1063" s="296" t="s">
        <v>690</v>
      </c>
      <c r="AE1063" s="445">
        <f t="shared" ref="AE1063:AE1071" si="146">I1054</f>
        <v>99400</v>
      </c>
      <c r="AF1063" s="296" t="s">
        <v>866</v>
      </c>
      <c r="AG1063" s="252">
        <f t="shared" si="145"/>
        <v>1844.86</v>
      </c>
    </row>
    <row r="1064" spans="6:33" ht="18.75" customHeight="1">
      <c r="H1064" s="253" t="s">
        <v>1511</v>
      </c>
      <c r="K1064" s="252">
        <f>SUM(K1053:K1063)</f>
        <v>5956.77</v>
      </c>
      <c r="M1064" s="444">
        <v>1.153E-2</v>
      </c>
      <c r="N1064" s="445" t="s">
        <v>866</v>
      </c>
      <c r="O1064" s="446" t="s">
        <v>689</v>
      </c>
      <c r="P1064" s="445">
        <f>I1053</f>
        <v>111600</v>
      </c>
      <c r="Q1064" s="446" t="s">
        <v>866</v>
      </c>
      <c r="R1064" s="445">
        <f t="shared" ref="R1064:R1074" si="147">(M1064*P1064)</f>
        <v>1286.75</v>
      </c>
      <c r="W1064" s="253"/>
      <c r="AB1064" s="447">
        <v>1.4</v>
      </c>
      <c r="AC1064" s="252" t="s">
        <v>606</v>
      </c>
      <c r="AD1064" s="296" t="s">
        <v>2082</v>
      </c>
      <c r="AE1064" s="445">
        <f t="shared" si="146"/>
        <v>387.4</v>
      </c>
      <c r="AF1064" s="296" t="s">
        <v>606</v>
      </c>
      <c r="AG1064" s="252">
        <f t="shared" si="145"/>
        <v>542.36</v>
      </c>
    </row>
    <row r="1065" spans="6:33" ht="18.75" customHeight="1">
      <c r="G1065" s="252" t="s">
        <v>971</v>
      </c>
      <c r="K1065" s="358" t="s">
        <v>1579</v>
      </c>
      <c r="M1065" s="447">
        <v>1.52E-2</v>
      </c>
      <c r="N1065" s="252" t="s">
        <v>866</v>
      </c>
      <c r="O1065" s="296" t="s">
        <v>690</v>
      </c>
      <c r="P1065" s="445">
        <f t="shared" ref="P1065:P1073" si="148">I1054</f>
        <v>99400</v>
      </c>
      <c r="Q1065" s="296" t="s">
        <v>866</v>
      </c>
      <c r="R1065" s="252">
        <f t="shared" si="147"/>
        <v>1510.88</v>
      </c>
      <c r="W1065" s="253"/>
      <c r="AB1065" s="447">
        <v>2.2549999999999999</v>
      </c>
      <c r="AC1065" s="252" t="s">
        <v>606</v>
      </c>
      <c r="AD1065" s="296" t="s">
        <v>2083</v>
      </c>
      <c r="AE1065" s="445">
        <f t="shared" si="146"/>
        <v>1281</v>
      </c>
      <c r="AF1065" s="296" t="s">
        <v>606</v>
      </c>
      <c r="AG1065" s="252">
        <f t="shared" si="145"/>
        <v>2888.66</v>
      </c>
    </row>
    <row r="1066" spans="6:33" ht="18.75" customHeight="1">
      <c r="H1066" s="255" t="s">
        <v>549</v>
      </c>
      <c r="K1066" s="274">
        <f>K1064/F1056</f>
        <v>3632.18</v>
      </c>
      <c r="M1066" s="447">
        <v>1.26</v>
      </c>
      <c r="N1066" s="252" t="s">
        <v>606</v>
      </c>
      <c r="O1066" s="296" t="s">
        <v>2082</v>
      </c>
      <c r="P1066" s="445">
        <f t="shared" si="148"/>
        <v>387.4</v>
      </c>
      <c r="Q1066" s="296" t="s">
        <v>606</v>
      </c>
      <c r="R1066" s="252">
        <f t="shared" si="147"/>
        <v>488.12</v>
      </c>
      <c r="W1066" s="253"/>
      <c r="AB1066" s="252">
        <v>4</v>
      </c>
      <c r="AC1066" s="252" t="s">
        <v>865</v>
      </c>
      <c r="AD1066" s="296" t="s">
        <v>2084</v>
      </c>
      <c r="AE1066" s="445">
        <f t="shared" si="146"/>
        <v>64.8</v>
      </c>
      <c r="AF1066" s="296" t="s">
        <v>865</v>
      </c>
      <c r="AG1066" s="252">
        <f t="shared" si="145"/>
        <v>259.2</v>
      </c>
    </row>
    <row r="1067" spans="6:33" ht="18.75" customHeight="1">
      <c r="K1067" s="358" t="s">
        <v>2046</v>
      </c>
      <c r="M1067" s="447">
        <v>1.845</v>
      </c>
      <c r="N1067" s="252" t="s">
        <v>606</v>
      </c>
      <c r="O1067" s="296" t="s">
        <v>2083</v>
      </c>
      <c r="P1067" s="445">
        <f t="shared" si="148"/>
        <v>1281</v>
      </c>
      <c r="Q1067" s="296" t="s">
        <v>606</v>
      </c>
      <c r="R1067" s="252">
        <f t="shared" si="147"/>
        <v>2363.4499999999998</v>
      </c>
      <c r="W1067" s="253"/>
      <c r="AB1067" s="252">
        <v>6</v>
      </c>
      <c r="AC1067" s="252" t="s">
        <v>865</v>
      </c>
      <c r="AD1067" s="296" t="s">
        <v>1510</v>
      </c>
      <c r="AE1067" s="445">
        <f t="shared" si="146"/>
        <v>89.6</v>
      </c>
      <c r="AF1067" s="296" t="s">
        <v>865</v>
      </c>
      <c r="AG1067" s="252">
        <f t="shared" si="145"/>
        <v>537.6</v>
      </c>
    </row>
    <row r="1068" spans="6:33" ht="18.75" customHeight="1">
      <c r="F1068" s="253" t="s">
        <v>1565</v>
      </c>
      <c r="H1068" s="296" t="s">
        <v>1334</v>
      </c>
      <c r="M1068" s="252">
        <v>2</v>
      </c>
      <c r="N1068" s="252" t="s">
        <v>865</v>
      </c>
      <c r="O1068" s="296" t="s">
        <v>2084</v>
      </c>
      <c r="P1068" s="445">
        <f t="shared" si="148"/>
        <v>64.8</v>
      </c>
      <c r="Q1068" s="296" t="s">
        <v>865</v>
      </c>
      <c r="R1068" s="252">
        <f t="shared" si="147"/>
        <v>129.6</v>
      </c>
      <c r="W1068" s="253"/>
      <c r="AB1068" s="252">
        <v>1</v>
      </c>
      <c r="AC1068" s="252" t="s">
        <v>865</v>
      </c>
      <c r="AD1068" s="296" t="s">
        <v>1970</v>
      </c>
      <c r="AE1068" s="445">
        <f t="shared" si="146"/>
        <v>181</v>
      </c>
      <c r="AF1068" s="296" t="s">
        <v>865</v>
      </c>
      <c r="AG1068" s="252">
        <f t="shared" si="145"/>
        <v>181</v>
      </c>
    </row>
    <row r="1069" spans="6:33" ht="18.75" customHeight="1">
      <c r="H1069" s="296" t="s">
        <v>1335</v>
      </c>
      <c r="M1069" s="252">
        <v>3</v>
      </c>
      <c r="N1069" s="252" t="s">
        <v>865</v>
      </c>
      <c r="O1069" s="296" t="s">
        <v>1510</v>
      </c>
      <c r="P1069" s="445">
        <f t="shared" si="148"/>
        <v>89.6</v>
      </c>
      <c r="Q1069" s="296" t="s">
        <v>865</v>
      </c>
      <c r="R1069" s="252">
        <f t="shared" si="147"/>
        <v>268.8</v>
      </c>
      <c r="W1069" s="253"/>
      <c r="AB1069" s="252">
        <v>2</v>
      </c>
      <c r="AC1069" s="252" t="s">
        <v>865</v>
      </c>
      <c r="AD1069" s="296" t="s">
        <v>1971</v>
      </c>
      <c r="AE1069" s="445">
        <f t="shared" si="146"/>
        <v>7.3</v>
      </c>
      <c r="AF1069" s="296" t="s">
        <v>865</v>
      </c>
      <c r="AG1069" s="252">
        <f t="shared" si="145"/>
        <v>14.6</v>
      </c>
    </row>
    <row r="1070" spans="6:33" ht="18.75" customHeight="1">
      <c r="H1070" s="358" t="s">
        <v>1579</v>
      </c>
      <c r="M1070" s="252">
        <v>1</v>
      </c>
      <c r="N1070" s="252" t="s">
        <v>865</v>
      </c>
      <c r="O1070" s="296" t="s">
        <v>1970</v>
      </c>
      <c r="P1070" s="445">
        <f t="shared" si="148"/>
        <v>181</v>
      </c>
      <c r="Q1070" s="296" t="s">
        <v>865</v>
      </c>
      <c r="R1070" s="252">
        <f t="shared" si="147"/>
        <v>181</v>
      </c>
      <c r="W1070" s="253"/>
      <c r="AB1070" s="252">
        <v>2</v>
      </c>
      <c r="AC1070" s="252" t="s">
        <v>865</v>
      </c>
      <c r="AD1070" s="296" t="s">
        <v>1133</v>
      </c>
      <c r="AE1070" s="445">
        <f t="shared" si="146"/>
        <v>57.65</v>
      </c>
      <c r="AF1070" s="296" t="s">
        <v>865</v>
      </c>
      <c r="AG1070" s="252">
        <f t="shared" si="145"/>
        <v>115.3</v>
      </c>
    </row>
    <row r="1071" spans="6:33" ht="18.75" customHeight="1">
      <c r="F1071" s="447">
        <v>6.6499999999999997E-3</v>
      </c>
      <c r="G1071" s="252" t="s">
        <v>1336</v>
      </c>
      <c r="H1071" s="296" t="s">
        <v>1337</v>
      </c>
      <c r="I1071" s="252">
        <f>C89</f>
        <v>99400</v>
      </c>
      <c r="J1071" s="296" t="s">
        <v>866</v>
      </c>
      <c r="K1071" s="252">
        <f t="shared" ref="K1071:K1078" si="149">(F1071*I1071)</f>
        <v>661.01</v>
      </c>
      <c r="M1071" s="252">
        <v>1</v>
      </c>
      <c r="N1071" s="252" t="s">
        <v>865</v>
      </c>
      <c r="O1071" s="296" t="s">
        <v>1971</v>
      </c>
      <c r="P1071" s="445">
        <f t="shared" si="148"/>
        <v>7.3</v>
      </c>
      <c r="Q1071" s="296" t="s">
        <v>865</v>
      </c>
      <c r="R1071" s="252">
        <f t="shared" si="147"/>
        <v>7.3</v>
      </c>
      <c r="W1071" s="253"/>
      <c r="AB1071" s="252">
        <v>2</v>
      </c>
      <c r="AC1071" s="252" t="s">
        <v>865</v>
      </c>
      <c r="AD1071" s="296" t="s">
        <v>1973</v>
      </c>
      <c r="AE1071" s="445">
        <f t="shared" si="146"/>
        <v>49.55</v>
      </c>
      <c r="AF1071" s="296" t="s">
        <v>865</v>
      </c>
      <c r="AG1071" s="252">
        <f t="shared" si="145"/>
        <v>99.1</v>
      </c>
    </row>
    <row r="1072" spans="6:33" ht="18.75" customHeight="1">
      <c r="F1072" s="447">
        <v>0.32346000000000003</v>
      </c>
      <c r="G1072" s="252" t="s">
        <v>606</v>
      </c>
      <c r="H1072" s="296" t="s">
        <v>1600</v>
      </c>
      <c r="I1072" s="402">
        <v>208.8</v>
      </c>
      <c r="J1072" s="296" t="s">
        <v>866</v>
      </c>
      <c r="K1072" s="252">
        <f t="shared" si="149"/>
        <v>67.540000000000006</v>
      </c>
      <c r="M1072" s="252">
        <v>1</v>
      </c>
      <c r="N1072" s="252" t="s">
        <v>865</v>
      </c>
      <c r="O1072" s="296" t="s">
        <v>1133</v>
      </c>
      <c r="P1072" s="445">
        <f t="shared" si="148"/>
        <v>57.65</v>
      </c>
      <c r="Q1072" s="296" t="s">
        <v>865</v>
      </c>
      <c r="R1072" s="252">
        <f t="shared" si="147"/>
        <v>57.65</v>
      </c>
      <c r="W1072" s="253"/>
      <c r="AB1072" s="252">
        <v>118</v>
      </c>
      <c r="AC1072" s="252" t="s">
        <v>865</v>
      </c>
      <c r="AD1072" s="296" t="s">
        <v>1137</v>
      </c>
      <c r="AE1072" s="445">
        <f>I1063</f>
        <v>2.41</v>
      </c>
      <c r="AF1072" s="296"/>
      <c r="AG1072" s="252">
        <f t="shared" si="145"/>
        <v>284.38</v>
      </c>
    </row>
    <row r="1073" spans="6:33" ht="18.75" customHeight="1">
      <c r="F1073" s="447">
        <v>0.47660000000000002</v>
      </c>
      <c r="G1073" s="252" t="s">
        <v>606</v>
      </c>
      <c r="H1073" s="296" t="s">
        <v>2083</v>
      </c>
      <c r="I1073" s="252">
        <f>D31</f>
        <v>1436</v>
      </c>
      <c r="J1073" s="296" t="s">
        <v>606</v>
      </c>
      <c r="K1073" s="252">
        <f t="shared" si="149"/>
        <v>684.4</v>
      </c>
      <c r="M1073" s="252">
        <v>1</v>
      </c>
      <c r="N1073" s="252" t="s">
        <v>865</v>
      </c>
      <c r="O1073" s="296" t="s">
        <v>1973</v>
      </c>
      <c r="P1073" s="445">
        <f t="shared" si="148"/>
        <v>49.55</v>
      </c>
      <c r="Q1073" s="296" t="s">
        <v>865</v>
      </c>
      <c r="R1073" s="252">
        <f t="shared" si="147"/>
        <v>49.55</v>
      </c>
      <c r="W1073" s="253"/>
      <c r="AD1073" s="253" t="s">
        <v>1729</v>
      </c>
      <c r="AF1073" s="296"/>
      <c r="AG1073" s="252">
        <f>SUM(AG1062:AG1072)</f>
        <v>9340.56</v>
      </c>
    </row>
    <row r="1074" spans="6:33" ht="18.75" customHeight="1">
      <c r="F1074" s="252">
        <v>3</v>
      </c>
      <c r="G1074" s="252" t="s">
        <v>865</v>
      </c>
      <c r="H1074" s="296" t="s">
        <v>1338</v>
      </c>
      <c r="I1074" s="252">
        <f>C282</f>
        <v>49.35</v>
      </c>
      <c r="J1074" s="296" t="s">
        <v>865</v>
      </c>
      <c r="K1074" s="252">
        <f t="shared" si="149"/>
        <v>148.05000000000001</v>
      </c>
      <c r="M1074" s="252">
        <v>58</v>
      </c>
      <c r="O1074" s="296" t="s">
        <v>1734</v>
      </c>
      <c r="P1074" s="445">
        <f>I1078</f>
        <v>2.41</v>
      </c>
      <c r="Q1074" s="296"/>
      <c r="R1074" s="252">
        <f t="shared" si="147"/>
        <v>139.78</v>
      </c>
      <c r="W1074" s="253"/>
      <c r="AC1074" s="252" t="s">
        <v>971</v>
      </c>
      <c r="AF1074" s="296"/>
      <c r="AG1074" s="358" t="s">
        <v>1579</v>
      </c>
    </row>
    <row r="1075" spans="6:33" ht="18.75" customHeight="1">
      <c r="F1075" s="252">
        <v>2</v>
      </c>
      <c r="G1075" s="252" t="s">
        <v>865</v>
      </c>
      <c r="H1075" s="296" t="s">
        <v>2098</v>
      </c>
      <c r="I1075" s="252">
        <f>C285</f>
        <v>39.700000000000003</v>
      </c>
      <c r="J1075" s="296" t="s">
        <v>865</v>
      </c>
      <c r="K1075" s="252">
        <f t="shared" si="149"/>
        <v>79.400000000000006</v>
      </c>
      <c r="O1075" s="253" t="s">
        <v>4368</v>
      </c>
      <c r="Q1075" s="296"/>
      <c r="R1075" s="252">
        <f>SUM(R1064:R1074)</f>
        <v>6482.88</v>
      </c>
      <c r="W1075" s="253"/>
      <c r="AD1075" s="255" t="s">
        <v>549</v>
      </c>
      <c r="AF1075" s="296"/>
      <c r="AG1075" s="274">
        <f>AG1073/AB1065</f>
        <v>4142.16</v>
      </c>
    </row>
    <row r="1076" spans="6:33" ht="18.75" customHeight="1">
      <c r="F1076" s="252">
        <v>1</v>
      </c>
      <c r="G1076" s="252" t="s">
        <v>865</v>
      </c>
      <c r="H1076" s="296" t="s">
        <v>2099</v>
      </c>
      <c r="I1076" s="434">
        <f>I1060</f>
        <v>7.3</v>
      </c>
      <c r="J1076" s="296" t="s">
        <v>865</v>
      </c>
      <c r="K1076" s="252">
        <f t="shared" si="149"/>
        <v>7.3</v>
      </c>
      <c r="N1076" s="252" t="s">
        <v>971</v>
      </c>
      <c r="Q1076" s="296"/>
      <c r="R1076" s="358" t="s">
        <v>1579</v>
      </c>
      <c r="W1076" s="253"/>
      <c r="AF1076" s="296"/>
      <c r="AG1076" s="358" t="s">
        <v>2046</v>
      </c>
    </row>
    <row r="1077" spans="6:33" ht="18.75" customHeight="1">
      <c r="F1077" s="252">
        <v>1</v>
      </c>
      <c r="G1077" s="252" t="s">
        <v>865</v>
      </c>
      <c r="H1077" s="296" t="s">
        <v>2100</v>
      </c>
      <c r="I1077" s="252">
        <f>C292</f>
        <v>8.9</v>
      </c>
      <c r="J1077" s="296" t="s">
        <v>865</v>
      </c>
      <c r="K1077" s="252">
        <f t="shared" si="149"/>
        <v>8.9</v>
      </c>
      <c r="O1077" s="255" t="s">
        <v>549</v>
      </c>
      <c r="Q1077" s="296"/>
      <c r="R1077" s="274">
        <f>R1075/M1067</f>
        <v>3513.76</v>
      </c>
      <c r="W1077" s="253"/>
      <c r="AE1077" s="370"/>
    </row>
    <row r="1078" spans="6:33" ht="18.75" customHeight="1">
      <c r="F1078" s="252">
        <v>24</v>
      </c>
      <c r="H1078" s="296" t="s">
        <v>1137</v>
      </c>
      <c r="I1078" s="252">
        <f>I1063</f>
        <v>2.41</v>
      </c>
      <c r="J1078" s="296" t="s">
        <v>865</v>
      </c>
      <c r="K1078" s="252">
        <f t="shared" si="149"/>
        <v>57.84</v>
      </c>
      <c r="Q1078" s="296"/>
      <c r="R1078" s="358" t="s">
        <v>2046</v>
      </c>
      <c r="W1078" s="253"/>
      <c r="AE1078" s="370"/>
    </row>
    <row r="1079" spans="6:33" ht="18.75" customHeight="1">
      <c r="H1079" s="253" t="s">
        <v>2101</v>
      </c>
      <c r="K1079" s="252">
        <f>SUM(K1071:K1078)</f>
        <v>1714.44</v>
      </c>
      <c r="W1079" s="253"/>
      <c r="AE1079" s="370"/>
    </row>
    <row r="1080" spans="6:33" ht="18.75" customHeight="1">
      <c r="K1080" s="358" t="s">
        <v>1579</v>
      </c>
      <c r="W1080" s="253"/>
      <c r="AE1080" s="370"/>
    </row>
    <row r="1081" spans="6:33" ht="18.75" customHeight="1">
      <c r="H1081" s="255" t="s">
        <v>549</v>
      </c>
      <c r="I1081" s="296" t="s">
        <v>971</v>
      </c>
      <c r="K1081" s="274">
        <f>K1079/F1073</f>
        <v>3597.23</v>
      </c>
      <c r="W1081" s="253"/>
      <c r="AE1081" s="370"/>
    </row>
    <row r="1082" spans="6:33" ht="18.75" customHeight="1">
      <c r="K1082" s="358" t="s">
        <v>2046</v>
      </c>
      <c r="W1082" s="253"/>
      <c r="AE1082" s="370"/>
    </row>
    <row r="1083" spans="6:33" ht="18.75" customHeight="1">
      <c r="F1083" s="253" t="s">
        <v>1607</v>
      </c>
      <c r="G1083" s="252" t="s">
        <v>2241</v>
      </c>
      <c r="H1083" s="296" t="s">
        <v>1334</v>
      </c>
      <c r="W1083" s="253"/>
      <c r="AE1083" s="370"/>
    </row>
    <row r="1084" spans="6:33" ht="18.75" customHeight="1">
      <c r="H1084" s="296" t="s">
        <v>706</v>
      </c>
      <c r="N1084" s="296" t="s">
        <v>252</v>
      </c>
      <c r="W1084" s="253"/>
      <c r="AE1084" s="370"/>
    </row>
    <row r="1085" spans="6:33" ht="18.75" customHeight="1">
      <c r="H1085" s="358" t="s">
        <v>1579</v>
      </c>
      <c r="N1085" s="296" t="s">
        <v>253</v>
      </c>
      <c r="W1085" s="253"/>
      <c r="AE1085" s="370"/>
    </row>
    <row r="1086" spans="6:33" ht="18.75" customHeight="1">
      <c r="F1086" s="447">
        <v>5.4000000000000003E-3</v>
      </c>
      <c r="G1086" s="252" t="s">
        <v>1336</v>
      </c>
      <c r="H1086" s="296" t="s">
        <v>1337</v>
      </c>
      <c r="I1086" s="252">
        <f>C89</f>
        <v>99400</v>
      </c>
      <c r="J1086" s="296" t="s">
        <v>866</v>
      </c>
      <c r="K1086" s="252">
        <f t="shared" ref="K1086:K1093" si="150">(F1086*I1086)</f>
        <v>536.76</v>
      </c>
      <c r="N1086" s="296" t="s">
        <v>1731</v>
      </c>
      <c r="W1086" s="253"/>
      <c r="AE1086" s="370"/>
    </row>
    <row r="1087" spans="6:33" ht="18.75" customHeight="1">
      <c r="F1087" s="447">
        <v>0.23871000000000001</v>
      </c>
      <c r="G1087" s="252" t="s">
        <v>606</v>
      </c>
      <c r="H1087" s="393" t="str">
        <f>H1072</f>
        <v>frosted glass 4mmthick</v>
      </c>
      <c r="I1087" s="434">
        <f>I1072</f>
        <v>208.8</v>
      </c>
      <c r="J1087" s="296" t="s">
        <v>866</v>
      </c>
      <c r="K1087" s="252">
        <f t="shared" si="150"/>
        <v>49.84</v>
      </c>
      <c r="W1087" s="253"/>
      <c r="AE1087" s="370"/>
    </row>
    <row r="1088" spans="6:33" ht="18.75" customHeight="1">
      <c r="F1088" s="447">
        <v>0.36199999999999999</v>
      </c>
      <c r="G1088" s="252" t="s">
        <v>606</v>
      </c>
      <c r="H1088" s="296" t="s">
        <v>2083</v>
      </c>
      <c r="I1088" s="252">
        <f>D31</f>
        <v>1436</v>
      </c>
      <c r="J1088" s="296" t="s">
        <v>606</v>
      </c>
      <c r="K1088" s="252">
        <f t="shared" si="150"/>
        <v>519.83000000000004</v>
      </c>
      <c r="W1088" s="253"/>
      <c r="AE1088" s="370"/>
    </row>
    <row r="1089" spans="6:31" ht="18.75" customHeight="1">
      <c r="F1089" s="252">
        <v>3</v>
      </c>
      <c r="G1089" s="252" t="s">
        <v>865</v>
      </c>
      <c r="H1089" s="296" t="s">
        <v>1338</v>
      </c>
      <c r="I1089" s="252">
        <f>C282</f>
        <v>49.35</v>
      </c>
      <c r="J1089" s="296" t="s">
        <v>865</v>
      </c>
      <c r="K1089" s="252">
        <f t="shared" si="150"/>
        <v>148.05000000000001</v>
      </c>
      <c r="M1089" s="400">
        <v>2.2800000000000001E-2</v>
      </c>
      <c r="N1089" s="252" t="s">
        <v>866</v>
      </c>
      <c r="O1089" s="296" t="s">
        <v>305</v>
      </c>
      <c r="P1089" s="252">
        <f>I1053</f>
        <v>111600</v>
      </c>
      <c r="Q1089" s="296" t="s">
        <v>866</v>
      </c>
      <c r="R1089" s="252">
        <f>P1089*M1089</f>
        <v>2544.48</v>
      </c>
      <c r="W1089" s="253"/>
      <c r="AE1089" s="370"/>
    </row>
    <row r="1090" spans="6:31" ht="18.75" customHeight="1">
      <c r="F1090" s="252">
        <v>2</v>
      </c>
      <c r="G1090" s="252" t="s">
        <v>865</v>
      </c>
      <c r="H1090" s="296" t="s">
        <v>2098</v>
      </c>
      <c r="I1090" s="252">
        <f>C285</f>
        <v>39.700000000000003</v>
      </c>
      <c r="J1090" s="296" t="s">
        <v>865</v>
      </c>
      <c r="K1090" s="252">
        <f t="shared" si="150"/>
        <v>79.400000000000006</v>
      </c>
      <c r="M1090" s="400">
        <v>4.2999999999999997E-2</v>
      </c>
      <c r="N1090" s="252" t="s">
        <v>866</v>
      </c>
      <c r="O1090" s="296" t="s">
        <v>306</v>
      </c>
      <c r="P1090" s="252">
        <f>I1054</f>
        <v>99400</v>
      </c>
      <c r="Q1090" s="296" t="s">
        <v>866</v>
      </c>
      <c r="R1090" s="252">
        <f t="shared" ref="R1090:R1100" si="151">P1090*M1090</f>
        <v>4274.2</v>
      </c>
      <c r="W1090" s="253"/>
      <c r="AE1090" s="370"/>
    </row>
    <row r="1091" spans="6:31" ht="18.75" customHeight="1">
      <c r="F1091" s="252">
        <v>1</v>
      </c>
      <c r="G1091" s="252" t="s">
        <v>865</v>
      </c>
      <c r="H1091" s="296" t="s">
        <v>2099</v>
      </c>
      <c r="I1091" s="434">
        <f>I1076</f>
        <v>7.3</v>
      </c>
      <c r="J1091" s="296" t="s">
        <v>865</v>
      </c>
      <c r="K1091" s="252">
        <f t="shared" si="150"/>
        <v>7.3</v>
      </c>
      <c r="M1091" s="400">
        <v>4.0800000000000003E-2</v>
      </c>
      <c r="N1091" s="252" t="s">
        <v>866</v>
      </c>
      <c r="O1091" s="296" t="s">
        <v>307</v>
      </c>
      <c r="P1091" s="252">
        <f>I1017</f>
        <v>95000</v>
      </c>
      <c r="Q1091" s="296" t="s">
        <v>866</v>
      </c>
      <c r="R1091" s="252">
        <f t="shared" si="151"/>
        <v>3876</v>
      </c>
      <c r="W1091" s="253"/>
      <c r="AE1091" s="370"/>
    </row>
    <row r="1092" spans="6:31" ht="18.75" customHeight="1">
      <c r="F1092" s="252">
        <v>1</v>
      </c>
      <c r="G1092" s="252" t="s">
        <v>865</v>
      </c>
      <c r="H1092" s="296" t="s">
        <v>2100</v>
      </c>
      <c r="I1092" s="252">
        <f>C292</f>
        <v>8.9</v>
      </c>
      <c r="J1092" s="296" t="s">
        <v>865</v>
      </c>
      <c r="K1092" s="252">
        <f t="shared" si="150"/>
        <v>8.9</v>
      </c>
      <c r="M1092" s="400"/>
      <c r="O1092" s="296" t="s">
        <v>941</v>
      </c>
      <c r="Q1092" s="296"/>
      <c r="R1092" s="252">
        <f t="shared" si="151"/>
        <v>0</v>
      </c>
      <c r="W1092" s="253"/>
      <c r="AE1092" s="370"/>
    </row>
    <row r="1093" spans="6:31" ht="18.75" customHeight="1">
      <c r="F1093" s="252">
        <v>10</v>
      </c>
      <c r="H1093" s="296" t="s">
        <v>1137</v>
      </c>
      <c r="I1093" s="252">
        <f>I1078</f>
        <v>2.41</v>
      </c>
      <c r="J1093" s="296" t="s">
        <v>865</v>
      </c>
      <c r="K1093" s="252">
        <f t="shared" si="150"/>
        <v>24.1</v>
      </c>
      <c r="M1093" s="400">
        <v>3.4424999999999999</v>
      </c>
      <c r="N1093" s="252" t="s">
        <v>606</v>
      </c>
      <c r="O1093" s="296" t="s">
        <v>444</v>
      </c>
      <c r="P1093" s="252">
        <f>I1019</f>
        <v>1537</v>
      </c>
      <c r="Q1093" s="296" t="s">
        <v>606</v>
      </c>
      <c r="R1093" s="252">
        <f t="shared" si="151"/>
        <v>5291.12</v>
      </c>
      <c r="W1093" s="253"/>
      <c r="AE1093" s="370"/>
    </row>
    <row r="1094" spans="6:31" ht="18.75" customHeight="1">
      <c r="K1094" s="358" t="s">
        <v>1579</v>
      </c>
      <c r="M1094" s="252">
        <v>2</v>
      </c>
      <c r="N1094" s="252" t="s">
        <v>766</v>
      </c>
      <c r="O1094" s="296" t="s">
        <v>1132</v>
      </c>
      <c r="P1094" s="252">
        <f t="shared" ref="P1094:P1099" si="152">I1020</f>
        <v>57.65</v>
      </c>
      <c r="Q1094" s="296" t="s">
        <v>865</v>
      </c>
      <c r="R1094" s="252">
        <f t="shared" si="151"/>
        <v>115.3</v>
      </c>
      <c r="W1094" s="253"/>
      <c r="AE1094" s="370"/>
    </row>
    <row r="1095" spans="6:31" ht="18.75" customHeight="1">
      <c r="H1095" s="253" t="s">
        <v>886</v>
      </c>
      <c r="K1095" s="252">
        <f>SUM(K1082:K1093)</f>
        <v>1374.18</v>
      </c>
      <c r="M1095" s="252">
        <v>6</v>
      </c>
      <c r="N1095" s="252" t="s">
        <v>865</v>
      </c>
      <c r="O1095" s="296" t="s">
        <v>1457</v>
      </c>
      <c r="P1095" s="252">
        <f t="shared" si="152"/>
        <v>89.6</v>
      </c>
      <c r="Q1095" s="296" t="s">
        <v>865</v>
      </c>
      <c r="R1095" s="252">
        <f t="shared" si="151"/>
        <v>537.6</v>
      </c>
      <c r="W1095" s="253"/>
      <c r="AE1095" s="370"/>
    </row>
    <row r="1096" spans="6:31" ht="18.75" customHeight="1">
      <c r="K1096" s="358" t="s">
        <v>1579</v>
      </c>
      <c r="M1096" s="252">
        <v>4</v>
      </c>
      <c r="N1096" s="252" t="s">
        <v>865</v>
      </c>
      <c r="O1096" s="296" t="s">
        <v>1458</v>
      </c>
      <c r="P1096" s="252">
        <f t="shared" si="152"/>
        <v>64.8</v>
      </c>
      <c r="Q1096" s="296" t="s">
        <v>865</v>
      </c>
      <c r="R1096" s="252">
        <f t="shared" si="151"/>
        <v>259.2</v>
      </c>
      <c r="W1096" s="253"/>
      <c r="AE1096" s="370"/>
    </row>
    <row r="1097" spans="6:31" ht="18.75" customHeight="1">
      <c r="H1097" s="255" t="s">
        <v>549</v>
      </c>
      <c r="I1097" s="296" t="s">
        <v>971</v>
      </c>
      <c r="K1097" s="274">
        <f>K1095/F1088</f>
        <v>3796.08</v>
      </c>
      <c r="M1097" s="252">
        <v>1</v>
      </c>
      <c r="N1097" s="252" t="s">
        <v>865</v>
      </c>
      <c r="O1097" s="296" t="s">
        <v>1459</v>
      </c>
      <c r="P1097" s="252">
        <f t="shared" si="152"/>
        <v>181</v>
      </c>
      <c r="Q1097" s="296" t="s">
        <v>865</v>
      </c>
      <c r="R1097" s="252">
        <f t="shared" si="151"/>
        <v>181</v>
      </c>
      <c r="W1097" s="253"/>
      <c r="AE1097" s="370"/>
    </row>
    <row r="1098" spans="6:31" ht="18.75" customHeight="1">
      <c r="K1098" s="358" t="s">
        <v>2046</v>
      </c>
      <c r="M1098" s="252">
        <v>2</v>
      </c>
      <c r="N1098" s="252" t="s">
        <v>865</v>
      </c>
      <c r="O1098" s="296" t="s">
        <v>1460</v>
      </c>
      <c r="P1098" s="252">
        <f t="shared" si="152"/>
        <v>7.3</v>
      </c>
      <c r="Q1098" s="296" t="s">
        <v>865</v>
      </c>
      <c r="R1098" s="252">
        <f t="shared" si="151"/>
        <v>14.6</v>
      </c>
      <c r="W1098" s="253"/>
      <c r="AE1098" s="370"/>
    </row>
    <row r="1099" spans="6:31" ht="18.75" customHeight="1">
      <c r="F1099" s="253" t="s">
        <v>1608</v>
      </c>
      <c r="G1099" s="252" t="s">
        <v>2241</v>
      </c>
      <c r="H1099" s="296" t="s">
        <v>887</v>
      </c>
      <c r="M1099" s="252">
        <v>2</v>
      </c>
      <c r="N1099" s="252" t="s">
        <v>865</v>
      </c>
      <c r="O1099" s="296" t="s">
        <v>1973</v>
      </c>
      <c r="P1099" s="252">
        <f t="shared" si="152"/>
        <v>49.55</v>
      </c>
      <c r="Q1099" s="296" t="s">
        <v>865</v>
      </c>
      <c r="R1099" s="252">
        <f t="shared" si="151"/>
        <v>99.1</v>
      </c>
      <c r="W1099" s="253"/>
      <c r="AE1099" s="370"/>
    </row>
    <row r="1100" spans="6:31" ht="18.75" customHeight="1">
      <c r="H1100" s="296" t="s">
        <v>1985</v>
      </c>
      <c r="M1100" s="252">
        <v>10</v>
      </c>
      <c r="O1100" s="296" t="s">
        <v>1734</v>
      </c>
      <c r="P1100" s="252">
        <f>P1074</f>
        <v>2.41</v>
      </c>
      <c r="Q1100" s="296"/>
      <c r="R1100" s="252">
        <f t="shared" si="151"/>
        <v>24.1</v>
      </c>
      <c r="W1100" s="253"/>
      <c r="AE1100" s="370"/>
    </row>
    <row r="1101" spans="6:31" ht="18.75" customHeight="1">
      <c r="H1101" s="358" t="s">
        <v>1579</v>
      </c>
      <c r="O1101" s="296" t="s">
        <v>2144</v>
      </c>
      <c r="Q1101" s="296"/>
      <c r="R1101" s="252">
        <f>SUM(R1089:R1100)+0.31</f>
        <v>17217.009999999998</v>
      </c>
      <c r="W1101" s="253"/>
      <c r="AE1101" s="370"/>
    </row>
    <row r="1102" spans="6:31" ht="18.75" customHeight="1">
      <c r="F1102" s="447">
        <v>5.3E-3</v>
      </c>
      <c r="G1102" s="252" t="s">
        <v>1336</v>
      </c>
      <c r="H1102" s="296" t="s">
        <v>1337</v>
      </c>
      <c r="I1102" s="252">
        <f>C89</f>
        <v>99400</v>
      </c>
      <c r="J1102" s="296" t="s">
        <v>866</v>
      </c>
      <c r="K1102" s="252">
        <f t="shared" ref="K1102:K1108" si="153">(F1102*I1102)</f>
        <v>526.82000000000005</v>
      </c>
      <c r="Q1102" s="296"/>
      <c r="R1102" s="358" t="s">
        <v>1579</v>
      </c>
      <c r="W1102" s="253"/>
      <c r="AE1102" s="370"/>
    </row>
    <row r="1103" spans="6:31" ht="18.75" customHeight="1">
      <c r="F1103" s="447">
        <v>0.27450000000000002</v>
      </c>
      <c r="G1103" s="252" t="s">
        <v>606</v>
      </c>
      <c r="H1103" s="296" t="str">
        <f>H1087</f>
        <v>frosted glass 4mmthick</v>
      </c>
      <c r="I1103" s="314">
        <f>I1072</f>
        <v>208.8</v>
      </c>
      <c r="J1103" s="296" t="s">
        <v>866</v>
      </c>
      <c r="K1103" s="252">
        <f t="shared" si="153"/>
        <v>57.32</v>
      </c>
      <c r="O1103" s="255" t="s">
        <v>549</v>
      </c>
      <c r="Q1103" s="296"/>
      <c r="R1103" s="274">
        <f>R1101/M1093</f>
        <v>5001.3100000000004</v>
      </c>
      <c r="W1103" s="253"/>
      <c r="AE1103" s="370"/>
    </row>
    <row r="1104" spans="6:31" ht="18.75" customHeight="1">
      <c r="F1104" s="447">
        <v>0.4</v>
      </c>
      <c r="G1104" s="252" t="s">
        <v>606</v>
      </c>
      <c r="H1104" s="296" t="s">
        <v>2083</v>
      </c>
      <c r="I1104" s="252">
        <f>D32</f>
        <v>1197</v>
      </c>
      <c r="J1104" s="296" t="s">
        <v>606</v>
      </c>
      <c r="K1104" s="252">
        <f t="shared" si="153"/>
        <v>478.8</v>
      </c>
      <c r="Q1104" s="296"/>
      <c r="R1104" s="358" t="s">
        <v>2046</v>
      </c>
      <c r="W1104" s="253"/>
      <c r="AE1104" s="370"/>
    </row>
    <row r="1105" spans="6:31" ht="18.75" customHeight="1">
      <c r="F1105" s="252">
        <v>2</v>
      </c>
      <c r="G1105" s="252" t="s">
        <v>1986</v>
      </c>
      <c r="H1105" s="296" t="s">
        <v>1987</v>
      </c>
      <c r="I1105" s="252">
        <f>C305</f>
        <v>8.5</v>
      </c>
      <c r="J1105" s="296" t="s">
        <v>1986</v>
      </c>
      <c r="K1105" s="252">
        <f t="shared" si="153"/>
        <v>17</v>
      </c>
      <c r="W1105" s="253"/>
      <c r="AE1105" s="370"/>
    </row>
    <row r="1106" spans="6:31" ht="18.75" customHeight="1">
      <c r="F1106" s="252">
        <v>1</v>
      </c>
      <c r="G1106" s="252" t="s">
        <v>865</v>
      </c>
      <c r="H1106" s="296" t="s">
        <v>1988</v>
      </c>
      <c r="I1106" s="252">
        <f>C293</f>
        <v>6.1</v>
      </c>
      <c r="J1106" s="296" t="s">
        <v>865</v>
      </c>
      <c r="K1106" s="252">
        <f t="shared" si="153"/>
        <v>6.1</v>
      </c>
      <c r="W1106" s="253"/>
      <c r="AE1106" s="370"/>
    </row>
    <row r="1107" spans="6:31" ht="18.75" customHeight="1">
      <c r="F1107" s="252">
        <v>1</v>
      </c>
      <c r="G1107" s="252" t="s">
        <v>865</v>
      </c>
      <c r="H1107" s="296" t="s">
        <v>1989</v>
      </c>
      <c r="I1107" s="314">
        <f>C291</f>
        <v>11.8</v>
      </c>
      <c r="J1107" s="296" t="s">
        <v>865</v>
      </c>
      <c r="K1107" s="252">
        <f t="shared" si="153"/>
        <v>11.8</v>
      </c>
      <c r="O1107" s="296" t="s">
        <v>1733</v>
      </c>
      <c r="W1107" s="253"/>
      <c r="AE1107" s="370"/>
    </row>
    <row r="1108" spans="6:31" ht="18.75" customHeight="1">
      <c r="F1108" s="252">
        <v>10</v>
      </c>
      <c r="H1108" s="296" t="s">
        <v>1137</v>
      </c>
      <c r="I1108" s="252">
        <f>I1093</f>
        <v>2.41</v>
      </c>
      <c r="J1108" s="296" t="s">
        <v>865</v>
      </c>
      <c r="K1108" s="252">
        <f t="shared" si="153"/>
        <v>24.1</v>
      </c>
      <c r="W1108" s="253"/>
      <c r="AE1108" s="370"/>
    </row>
    <row r="1109" spans="6:31" ht="18.75" customHeight="1">
      <c r="K1109" s="358" t="s">
        <v>1579</v>
      </c>
      <c r="W1109" s="253"/>
      <c r="AE1109" s="370"/>
    </row>
    <row r="1110" spans="6:31" ht="18.75" customHeight="1">
      <c r="H1110" s="253" t="s">
        <v>34</v>
      </c>
      <c r="K1110" s="252">
        <f>SUM(K1098:K1108)</f>
        <v>1121.94</v>
      </c>
      <c r="W1110" s="253"/>
      <c r="AE1110" s="370"/>
    </row>
    <row r="1111" spans="6:31" ht="18.75" customHeight="1">
      <c r="K1111" s="358" t="s">
        <v>1579</v>
      </c>
      <c r="M1111" s="316">
        <v>2.2800000000000001E-2</v>
      </c>
      <c r="N1111" s="252" t="s">
        <v>866</v>
      </c>
      <c r="O1111" s="252" t="s">
        <v>3114</v>
      </c>
      <c r="P1111" s="252">
        <f>P1089</f>
        <v>111600</v>
      </c>
      <c r="Q1111" s="296" t="s">
        <v>866</v>
      </c>
      <c r="R1111" s="252">
        <f>P1111*M1111</f>
        <v>2544.48</v>
      </c>
      <c r="W1111" s="253"/>
      <c r="AE1111" s="370"/>
    </row>
    <row r="1112" spans="6:31" ht="18.75" customHeight="1">
      <c r="H1112" s="255" t="s">
        <v>549</v>
      </c>
      <c r="I1112" s="296" t="s">
        <v>971</v>
      </c>
      <c r="K1112" s="274">
        <f>K1110/F1104</f>
        <v>2804.85</v>
      </c>
      <c r="M1112" s="316">
        <v>3.5400000000000001E-2</v>
      </c>
      <c r="N1112" s="252" t="s">
        <v>866</v>
      </c>
      <c r="O1112" s="252" t="s">
        <v>2478</v>
      </c>
      <c r="P1112" s="252">
        <f>P1090</f>
        <v>99400</v>
      </c>
      <c r="Q1112" s="296" t="s">
        <v>866</v>
      </c>
      <c r="R1112" s="252">
        <f t="shared" ref="R1112:R1121" si="154">P1112*M1112</f>
        <v>3518.76</v>
      </c>
      <c r="W1112" s="253"/>
      <c r="AE1112" s="370"/>
    </row>
    <row r="1113" spans="6:31" ht="18.75" customHeight="1">
      <c r="F1113" s="296" t="s">
        <v>971</v>
      </c>
      <c r="M1113" s="400">
        <v>3.2300000000000002E-2</v>
      </c>
      <c r="N1113" s="252" t="s">
        <v>866</v>
      </c>
      <c r="O1113" s="252" t="s">
        <v>933</v>
      </c>
      <c r="P1113" s="252">
        <f>P1091</f>
        <v>95000</v>
      </c>
      <c r="Q1113" s="296" t="s">
        <v>866</v>
      </c>
      <c r="R1113" s="252">
        <f t="shared" si="154"/>
        <v>3068.5</v>
      </c>
      <c r="W1113" s="253"/>
      <c r="AE1113" s="370"/>
    </row>
    <row r="1114" spans="6:31" ht="18.75" customHeight="1">
      <c r="K1114" s="358" t="s">
        <v>2046</v>
      </c>
      <c r="M1114" s="356">
        <v>2.835</v>
      </c>
      <c r="N1114" s="252" t="s">
        <v>606</v>
      </c>
      <c r="O1114" s="252" t="s">
        <v>880</v>
      </c>
      <c r="P1114" s="252">
        <f t="shared" ref="P1114:P1120" si="155">P1093</f>
        <v>1537</v>
      </c>
      <c r="Q1114" s="296" t="s">
        <v>606</v>
      </c>
      <c r="R1114" s="252">
        <f t="shared" si="154"/>
        <v>4357.3999999999996</v>
      </c>
      <c r="W1114" s="253"/>
      <c r="AE1114" s="370"/>
    </row>
    <row r="1115" spans="6:31" ht="18.75" customHeight="1">
      <c r="F1115" s="375">
        <v>22.3</v>
      </c>
      <c r="H1115" s="296" t="s">
        <v>1990</v>
      </c>
      <c r="L1115" s="296" t="s">
        <v>971</v>
      </c>
      <c r="M1115" s="252">
        <v>2</v>
      </c>
      <c r="N1115" s="252" t="s">
        <v>1865</v>
      </c>
      <c r="O1115" s="252" t="s">
        <v>2114</v>
      </c>
      <c r="P1115" s="252">
        <f t="shared" si="155"/>
        <v>57.65</v>
      </c>
      <c r="Q1115" s="296" t="s">
        <v>1393</v>
      </c>
      <c r="R1115" s="252">
        <f t="shared" si="154"/>
        <v>115.3</v>
      </c>
      <c r="W1115" s="253"/>
      <c r="AE1115" s="370"/>
    </row>
    <row r="1116" spans="6:31" ht="18.75" customHeight="1">
      <c r="H1116" s="358" t="s">
        <v>1579</v>
      </c>
      <c r="I1116" s="358" t="s">
        <v>1579</v>
      </c>
      <c r="J1116" s="296" t="s">
        <v>1579</v>
      </c>
      <c r="M1116" s="252">
        <v>6</v>
      </c>
      <c r="N1116" s="252" t="s">
        <v>1865</v>
      </c>
      <c r="O1116" s="252" t="s">
        <v>1094</v>
      </c>
      <c r="P1116" s="252">
        <f t="shared" si="155"/>
        <v>89.6</v>
      </c>
      <c r="Q1116" s="296" t="s">
        <v>1393</v>
      </c>
      <c r="R1116" s="252">
        <f t="shared" si="154"/>
        <v>537.6</v>
      </c>
      <c r="W1116" s="253"/>
      <c r="AE1116" s="370"/>
    </row>
    <row r="1117" spans="6:31" ht="18.75" customHeight="1">
      <c r="M1117" s="252">
        <v>4</v>
      </c>
      <c r="N1117" s="252" t="s">
        <v>1865</v>
      </c>
      <c r="O1117" s="252" t="s">
        <v>1343</v>
      </c>
      <c r="P1117" s="252">
        <f t="shared" si="155"/>
        <v>64.8</v>
      </c>
      <c r="Q1117" s="296" t="s">
        <v>1393</v>
      </c>
      <c r="R1117" s="252">
        <f t="shared" si="154"/>
        <v>259.2</v>
      </c>
      <c r="W1117" s="253"/>
      <c r="AE1117" s="370"/>
    </row>
    <row r="1118" spans="6:31" ht="18.75" customHeight="1">
      <c r="H1118" s="296" t="s">
        <v>1991</v>
      </c>
      <c r="M1118" s="252">
        <v>1</v>
      </c>
      <c r="N1118" s="252" t="s">
        <v>1865</v>
      </c>
      <c r="O1118" s="252" t="s">
        <v>1344</v>
      </c>
      <c r="P1118" s="252">
        <f t="shared" si="155"/>
        <v>181</v>
      </c>
      <c r="Q1118" s="296" t="s">
        <v>1393</v>
      </c>
      <c r="R1118" s="252">
        <f t="shared" si="154"/>
        <v>181</v>
      </c>
      <c r="W1118" s="253"/>
      <c r="AE1118" s="370"/>
    </row>
    <row r="1119" spans="6:31" ht="18.75" customHeight="1">
      <c r="H1119" s="296" t="s">
        <v>1992</v>
      </c>
      <c r="M1119" s="252">
        <v>2</v>
      </c>
      <c r="N1119" s="252" t="s">
        <v>1865</v>
      </c>
      <c r="O1119" s="252" t="s">
        <v>1971</v>
      </c>
      <c r="P1119" s="252">
        <f t="shared" si="155"/>
        <v>7.3</v>
      </c>
      <c r="Q1119" s="296" t="s">
        <v>1393</v>
      </c>
      <c r="R1119" s="252">
        <f t="shared" si="154"/>
        <v>14.6</v>
      </c>
      <c r="W1119" s="253"/>
      <c r="AE1119" s="370"/>
    </row>
    <row r="1120" spans="6:31" ht="18.75" customHeight="1">
      <c r="H1120" s="296" t="s">
        <v>451</v>
      </c>
      <c r="M1120" s="252">
        <v>2</v>
      </c>
      <c r="N1120" s="252" t="s">
        <v>1865</v>
      </c>
      <c r="O1120" s="252" t="s">
        <v>1973</v>
      </c>
      <c r="P1120" s="252">
        <f t="shared" si="155"/>
        <v>49.55</v>
      </c>
      <c r="Q1120" s="296" t="s">
        <v>1393</v>
      </c>
      <c r="R1120" s="252">
        <f t="shared" si="154"/>
        <v>99.1</v>
      </c>
      <c r="W1120" s="253"/>
      <c r="AE1120" s="370"/>
    </row>
    <row r="1121" spans="6:62" ht="18.75" customHeight="1">
      <c r="H1121" s="296" t="s">
        <v>452</v>
      </c>
      <c r="M1121" s="252">
        <v>118</v>
      </c>
      <c r="O1121" s="296" t="s">
        <v>1734</v>
      </c>
      <c r="P1121" s="252">
        <f>P1100</f>
        <v>2.41</v>
      </c>
      <c r="Q1121" s="296"/>
      <c r="R1121" s="252">
        <f t="shared" si="154"/>
        <v>284.38</v>
      </c>
      <c r="W1121" s="253"/>
      <c r="AE1121" s="370"/>
    </row>
    <row r="1122" spans="6:62" ht="18.75" customHeight="1">
      <c r="H1122" s="296" t="s">
        <v>453</v>
      </c>
      <c r="N1122" s="274"/>
      <c r="O1122" s="274" t="s">
        <v>549</v>
      </c>
      <c r="Q1122" s="296"/>
      <c r="R1122" s="274">
        <f>SUM(R1111:R1121)</f>
        <v>14980.32</v>
      </c>
      <c r="W1122" s="253"/>
      <c r="AE1122" s="370"/>
    </row>
    <row r="1123" spans="6:62" ht="18.75" customHeight="1">
      <c r="J1123" s="296" t="s">
        <v>971</v>
      </c>
      <c r="K1123" s="400">
        <v>3.32E-2</v>
      </c>
      <c r="N1123" s="274"/>
      <c r="O1123" s="274"/>
      <c r="Q1123" s="296"/>
      <c r="R1123" s="377" t="s">
        <v>146</v>
      </c>
      <c r="W1123" s="253"/>
      <c r="AE1123" s="370"/>
      <c r="BJ1123" s="252" t="s">
        <v>2021</v>
      </c>
    </row>
    <row r="1124" spans="6:62" ht="18.75" customHeight="1">
      <c r="H1124" s="296" t="s">
        <v>2147</v>
      </c>
      <c r="J1124" s="443" t="s">
        <v>971</v>
      </c>
      <c r="K1124" s="443" t="s">
        <v>971</v>
      </c>
      <c r="N1124" s="274"/>
      <c r="O1124" s="274" t="s">
        <v>2073</v>
      </c>
      <c r="Q1124" s="296"/>
      <c r="R1124" s="274">
        <f>R1122/2.835</f>
        <v>5284.06</v>
      </c>
      <c r="W1124" s="253"/>
      <c r="AE1124" s="370"/>
    </row>
    <row r="1125" spans="6:62" ht="18.75" customHeight="1">
      <c r="H1125" s="296" t="s">
        <v>1822</v>
      </c>
      <c r="K1125" s="443" t="s">
        <v>971</v>
      </c>
      <c r="N1125" s="274"/>
      <c r="Q1125" s="296"/>
      <c r="R1125" s="377" t="s">
        <v>146</v>
      </c>
      <c r="W1125" s="253"/>
      <c r="AE1125" s="370"/>
    </row>
    <row r="1126" spans="6:62" ht="18.75" customHeight="1">
      <c r="W1126" s="253"/>
      <c r="AE1126" s="370"/>
    </row>
    <row r="1127" spans="6:62" ht="18.75" customHeight="1">
      <c r="F1127" s="447">
        <v>1.18E-2</v>
      </c>
      <c r="G1127" s="252" t="s">
        <v>866</v>
      </c>
      <c r="H1127" s="296" t="s">
        <v>689</v>
      </c>
      <c r="I1127" s="252">
        <f>C88</f>
        <v>111600</v>
      </c>
      <c r="J1127" s="296" t="s">
        <v>866</v>
      </c>
      <c r="K1127" s="252">
        <f t="shared" ref="K1127:K1136" si="156">(F1127*I1127)</f>
        <v>1316.88</v>
      </c>
      <c r="W1127" s="253"/>
      <c r="AE1127" s="370"/>
    </row>
    <row r="1128" spans="6:62" ht="18.75" customHeight="1">
      <c r="F1128" s="447">
        <v>3.32E-2</v>
      </c>
      <c r="G1128" s="252" t="s">
        <v>866</v>
      </c>
      <c r="H1128" s="296" t="s">
        <v>690</v>
      </c>
      <c r="I1128" s="252">
        <f>C89</f>
        <v>99400</v>
      </c>
      <c r="J1128" s="296" t="s">
        <v>866</v>
      </c>
      <c r="K1128" s="252">
        <f t="shared" si="156"/>
        <v>3300.08</v>
      </c>
      <c r="W1128" s="253"/>
      <c r="AE1128" s="370"/>
    </row>
    <row r="1129" spans="6:62" ht="18.75" customHeight="1">
      <c r="F1129" s="447">
        <v>1.8550000000000001E-2</v>
      </c>
      <c r="G1129" s="252" t="s">
        <v>866</v>
      </c>
      <c r="H1129" s="296" t="s">
        <v>883</v>
      </c>
      <c r="I1129" s="252">
        <f>C30</f>
        <v>13690</v>
      </c>
      <c r="J1129" s="296" t="s">
        <v>866</v>
      </c>
      <c r="K1129" s="252">
        <f t="shared" si="156"/>
        <v>253.95</v>
      </c>
      <c r="W1129" s="253"/>
      <c r="AE1129" s="370"/>
    </row>
    <row r="1130" spans="6:62" ht="18.75" customHeight="1">
      <c r="F1130" s="447">
        <v>1.46</v>
      </c>
      <c r="G1130" s="252" t="s">
        <v>606</v>
      </c>
      <c r="H1130" s="296" t="s">
        <v>884</v>
      </c>
      <c r="I1130" s="455">
        <v>269.10000000000002</v>
      </c>
      <c r="J1130" s="296" t="s">
        <v>606</v>
      </c>
      <c r="K1130" s="252">
        <f t="shared" si="156"/>
        <v>392.89</v>
      </c>
      <c r="W1130" s="253"/>
      <c r="AE1130" s="370"/>
    </row>
    <row r="1131" spans="6:62" ht="18.75" customHeight="1">
      <c r="F1131" s="447">
        <v>2.0499999999999998</v>
      </c>
      <c r="G1131" s="252" t="s">
        <v>606</v>
      </c>
      <c r="H1131" s="296" t="s">
        <v>1499</v>
      </c>
      <c r="I1131" s="252">
        <f>D30</f>
        <v>1281</v>
      </c>
      <c r="J1131" s="296" t="s">
        <v>606</v>
      </c>
      <c r="K1131" s="252">
        <f t="shared" si="156"/>
        <v>2626.05</v>
      </c>
      <c r="W1131" s="253"/>
      <c r="AE1131" s="370"/>
    </row>
    <row r="1132" spans="6:62" ht="18.75" customHeight="1">
      <c r="F1132" s="252">
        <v>2</v>
      </c>
      <c r="G1132" s="252" t="s">
        <v>865</v>
      </c>
      <c r="H1132" s="296" t="s">
        <v>1500</v>
      </c>
      <c r="I1132" s="252">
        <f>C285</f>
        <v>39.700000000000003</v>
      </c>
      <c r="J1132" s="296" t="s">
        <v>865</v>
      </c>
      <c r="K1132" s="252">
        <f t="shared" si="156"/>
        <v>79.400000000000006</v>
      </c>
      <c r="W1132" s="253"/>
      <c r="AE1132" s="370"/>
    </row>
    <row r="1133" spans="6:62" ht="18.75" customHeight="1">
      <c r="F1133" s="252">
        <v>6</v>
      </c>
      <c r="G1133" s="252" t="s">
        <v>865</v>
      </c>
      <c r="H1133" s="296" t="s">
        <v>1338</v>
      </c>
      <c r="I1133" s="252">
        <f>C282</f>
        <v>49.35</v>
      </c>
      <c r="J1133" s="296" t="s">
        <v>865</v>
      </c>
      <c r="K1133" s="252">
        <f t="shared" si="156"/>
        <v>296.10000000000002</v>
      </c>
      <c r="W1133" s="253"/>
      <c r="AE1133" s="370"/>
    </row>
    <row r="1134" spans="6:62" ht="18.75" customHeight="1">
      <c r="F1134" s="252">
        <v>2</v>
      </c>
      <c r="G1134" s="252" t="s">
        <v>865</v>
      </c>
      <c r="H1134" s="296" t="s">
        <v>4883</v>
      </c>
      <c r="I1134" s="362">
        <v>60.9</v>
      </c>
      <c r="J1134" s="296" t="s">
        <v>865</v>
      </c>
      <c r="K1134" s="252">
        <f t="shared" si="156"/>
        <v>121.8</v>
      </c>
      <c r="W1134" s="253"/>
      <c r="AE1134" s="370"/>
    </row>
    <row r="1135" spans="6:62" ht="18.75" customHeight="1">
      <c r="F1135" s="252">
        <v>1</v>
      </c>
      <c r="G1135" s="252" t="s">
        <v>865</v>
      </c>
      <c r="H1135" s="420" t="s">
        <v>4220</v>
      </c>
      <c r="I1135" s="420">
        <v>63.2</v>
      </c>
      <c r="J1135" s="296" t="s">
        <v>865</v>
      </c>
      <c r="K1135" s="252">
        <f t="shared" si="156"/>
        <v>63.2</v>
      </c>
      <c r="W1135" s="253"/>
      <c r="AE1135" s="370"/>
    </row>
    <row r="1136" spans="6:62" ht="18.75" customHeight="1">
      <c r="F1136" s="252">
        <v>2.52</v>
      </c>
      <c r="G1136" s="252" t="s">
        <v>606</v>
      </c>
      <c r="H1136" s="296" t="s">
        <v>1705</v>
      </c>
      <c r="I1136" s="252">
        <f>K1167</f>
        <v>194.22</v>
      </c>
      <c r="J1136" s="296" t="s">
        <v>606</v>
      </c>
      <c r="K1136" s="252">
        <f t="shared" si="156"/>
        <v>489.43</v>
      </c>
      <c r="W1136" s="253"/>
      <c r="AE1136" s="370"/>
    </row>
    <row r="1137" spans="6:31" ht="18.75" customHeight="1">
      <c r="H1137" s="296" t="s">
        <v>1409</v>
      </c>
      <c r="I1137" s="253" t="s">
        <v>446</v>
      </c>
      <c r="K1137" s="252">
        <v>0.21</v>
      </c>
      <c r="W1137" s="253"/>
      <c r="AE1137" s="370"/>
    </row>
    <row r="1138" spans="6:31" ht="18.75" customHeight="1">
      <c r="K1138" s="358" t="s">
        <v>1579</v>
      </c>
      <c r="W1138" s="253"/>
      <c r="AE1138" s="370"/>
    </row>
    <row r="1139" spans="6:31" ht="18.75" customHeight="1">
      <c r="H1139" s="253" t="s">
        <v>1410</v>
      </c>
      <c r="K1139" s="252">
        <f>SUM(K1127:K1137)</f>
        <v>8939.99</v>
      </c>
      <c r="M1139" s="274" t="s">
        <v>3571</v>
      </c>
      <c r="N1139" s="274"/>
      <c r="O1139" s="274"/>
      <c r="P1139" s="274"/>
      <c r="Q1139" s="274"/>
      <c r="R1139" s="274"/>
      <c r="S1139" s="274"/>
      <c r="W1139" s="253"/>
      <c r="AE1139" s="370"/>
    </row>
    <row r="1140" spans="6:31" ht="18.75" customHeight="1">
      <c r="G1140" s="252" t="s">
        <v>971</v>
      </c>
      <c r="K1140" s="358" t="s">
        <v>1579</v>
      </c>
      <c r="O1140" s="358" t="s">
        <v>1579</v>
      </c>
      <c r="Q1140" s="296"/>
      <c r="W1140" s="253"/>
      <c r="AE1140" s="370"/>
    </row>
    <row r="1141" spans="6:31" ht="18.75" customHeight="1">
      <c r="H1141" s="255" t="s">
        <v>549</v>
      </c>
      <c r="K1141" s="274">
        <f>K1139/2.52</f>
        <v>3547.62</v>
      </c>
      <c r="N1141" s="356">
        <v>0.45300000000000001</v>
      </c>
      <c r="O1141" s="296" t="s">
        <v>1406</v>
      </c>
      <c r="P1141" s="252">
        <f>C73</f>
        <v>1997.1</v>
      </c>
      <c r="Q1141" s="296" t="s">
        <v>866</v>
      </c>
      <c r="R1141" s="252">
        <f>P1141*N1141</f>
        <v>904.69</v>
      </c>
      <c r="W1141" s="253"/>
      <c r="AE1141" s="370"/>
    </row>
    <row r="1142" spans="6:31" ht="18.75" customHeight="1">
      <c r="K1142" s="358" t="s">
        <v>2046</v>
      </c>
      <c r="N1142" s="356">
        <v>0.30199999999999999</v>
      </c>
      <c r="O1142" s="296" t="s">
        <v>3572</v>
      </c>
      <c r="P1142" s="252">
        <f>C71</f>
        <v>1524.1</v>
      </c>
      <c r="Q1142" s="296" t="str">
        <f>Q1141</f>
        <v>CUM</v>
      </c>
      <c r="R1142" s="252">
        <f t="shared" ref="R1142:R1147" si="157">P1142*N1142</f>
        <v>460.28</v>
      </c>
      <c r="W1142" s="253"/>
      <c r="AE1142" s="370"/>
    </row>
    <row r="1143" spans="6:31" ht="18.75" customHeight="1">
      <c r="G1143" s="252" t="s">
        <v>2241</v>
      </c>
      <c r="H1143" s="296" t="s">
        <v>182</v>
      </c>
      <c r="N1143" s="252">
        <v>0.44</v>
      </c>
      <c r="O1143" s="296" t="s">
        <v>867</v>
      </c>
      <c r="P1143" s="252">
        <f>C78</f>
        <v>1846.1</v>
      </c>
      <c r="Q1143" s="296" t="s">
        <v>866</v>
      </c>
      <c r="R1143" s="252">
        <f t="shared" si="157"/>
        <v>812.28</v>
      </c>
      <c r="W1143" s="253"/>
      <c r="AE1143" s="370"/>
    </row>
    <row r="1144" spans="6:31" ht="18.75" customHeight="1">
      <c r="H1144" s="358" t="s">
        <v>1579</v>
      </c>
      <c r="I1144" s="358" t="s">
        <v>1579</v>
      </c>
      <c r="N1144" s="252">
        <v>0.37</v>
      </c>
      <c r="O1144" s="296" t="s">
        <v>387</v>
      </c>
      <c r="P1144" s="252">
        <f>I808</f>
        <v>6040</v>
      </c>
      <c r="Q1144" s="296" t="s">
        <v>525</v>
      </c>
      <c r="R1144" s="252">
        <f t="shared" si="157"/>
        <v>2234.8000000000002</v>
      </c>
      <c r="W1144" s="253"/>
      <c r="AE1144" s="370"/>
    </row>
    <row r="1145" spans="6:31" ht="18.75" customHeight="1">
      <c r="F1145" s="252">
        <v>0.77</v>
      </c>
      <c r="G1145" s="252" t="s">
        <v>183</v>
      </c>
      <c r="H1145" s="296" t="s">
        <v>184</v>
      </c>
      <c r="I1145" s="252">
        <f>C194</f>
        <v>271.2</v>
      </c>
      <c r="J1145" s="296" t="s">
        <v>183</v>
      </c>
      <c r="K1145" s="252">
        <f>(F1145*I1145)</f>
        <v>208.82</v>
      </c>
      <c r="N1145" s="252">
        <v>0.35</v>
      </c>
      <c r="O1145" s="296" t="s">
        <v>462</v>
      </c>
      <c r="P1145" s="252">
        <f>C11</f>
        <v>932</v>
      </c>
      <c r="Q1145" s="296" t="s">
        <v>865</v>
      </c>
      <c r="R1145" s="252">
        <f t="shared" si="157"/>
        <v>326.2</v>
      </c>
      <c r="W1145" s="253"/>
      <c r="AE1145" s="370"/>
    </row>
    <row r="1146" spans="6:31" ht="18.75" customHeight="1">
      <c r="F1146" s="252">
        <v>0.61</v>
      </c>
      <c r="G1146" s="252" t="s">
        <v>183</v>
      </c>
      <c r="H1146" s="296" t="s">
        <v>185</v>
      </c>
      <c r="I1146" s="252">
        <f>C193</f>
        <v>25</v>
      </c>
      <c r="J1146" s="296" t="s">
        <v>183</v>
      </c>
      <c r="K1146" s="252">
        <f>(F1146*I1146)</f>
        <v>15.25</v>
      </c>
      <c r="N1146" s="252">
        <v>2.12</v>
      </c>
      <c r="O1146" s="296" t="s">
        <v>345</v>
      </c>
      <c r="P1146" s="252">
        <f>C12</f>
        <v>651</v>
      </c>
      <c r="Q1146" s="296" t="s">
        <v>865</v>
      </c>
      <c r="R1146" s="252">
        <f t="shared" si="157"/>
        <v>1380.12</v>
      </c>
      <c r="W1146" s="253"/>
      <c r="AE1146" s="370"/>
    </row>
    <row r="1147" spans="6:31" ht="18.75" customHeight="1">
      <c r="F1147" s="252">
        <v>0.7</v>
      </c>
      <c r="G1147" s="252" t="s">
        <v>557</v>
      </c>
      <c r="H1147" s="296" t="s">
        <v>1507</v>
      </c>
      <c r="I1147" s="252">
        <f>C14</f>
        <v>797</v>
      </c>
      <c r="J1147" s="296" t="s">
        <v>1708</v>
      </c>
      <c r="K1147" s="252">
        <f>(F1147*I1147)</f>
        <v>557.9</v>
      </c>
      <c r="N1147" s="252">
        <v>3.53</v>
      </c>
      <c r="O1147" s="296" t="s">
        <v>1218</v>
      </c>
      <c r="P1147" s="252">
        <f>C13</f>
        <v>534</v>
      </c>
      <c r="Q1147" s="296" t="s">
        <v>865</v>
      </c>
      <c r="R1147" s="252">
        <f t="shared" si="157"/>
        <v>1885.02</v>
      </c>
      <c r="W1147" s="253"/>
      <c r="AE1147" s="370"/>
    </row>
    <row r="1148" spans="6:31" ht="18.75" customHeight="1">
      <c r="H1148" s="296"/>
      <c r="O1148" s="296" t="s">
        <v>44</v>
      </c>
      <c r="Q1148" s="296"/>
      <c r="R1148" s="407">
        <f>K819</f>
        <v>94.2</v>
      </c>
      <c r="W1148" s="253"/>
      <c r="AE1148" s="370"/>
    </row>
    <row r="1149" spans="6:31" ht="18.75" customHeight="1">
      <c r="F1149" s="252">
        <v>0.7</v>
      </c>
      <c r="G1149" s="252" t="s">
        <v>557</v>
      </c>
      <c r="H1149" s="296" t="s">
        <v>875</v>
      </c>
      <c r="I1149" s="252">
        <f>C12</f>
        <v>651</v>
      </c>
      <c r="J1149" s="296" t="s">
        <v>1708</v>
      </c>
      <c r="K1149" s="252">
        <f>(F1149*I1149)</f>
        <v>455.7</v>
      </c>
      <c r="M1149" s="429" t="s">
        <v>654</v>
      </c>
      <c r="O1149" s="252" t="s">
        <v>3456</v>
      </c>
      <c r="P1149" s="407">
        <f>V1134</f>
        <v>0</v>
      </c>
      <c r="R1149" s="252">
        <v>270</v>
      </c>
      <c r="W1149" s="253"/>
      <c r="AE1149" s="370"/>
    </row>
    <row r="1150" spans="6:31" ht="18.75" customHeight="1">
      <c r="G1150" s="252" t="s">
        <v>446</v>
      </c>
      <c r="H1150" s="296" t="s">
        <v>1177</v>
      </c>
      <c r="J1150" s="296" t="s">
        <v>446</v>
      </c>
      <c r="K1150" s="252">
        <v>1.5</v>
      </c>
      <c r="M1150" s="429" t="s">
        <v>654</v>
      </c>
      <c r="O1150" s="252" t="s">
        <v>3457</v>
      </c>
      <c r="P1150" s="407">
        <f>V1135</f>
        <v>0</v>
      </c>
      <c r="R1150" s="252">
        <v>150</v>
      </c>
      <c r="W1150" s="253"/>
      <c r="AE1150" s="370"/>
    </row>
    <row r="1151" spans="6:31" ht="18.75" customHeight="1">
      <c r="K1151" s="358" t="s">
        <v>1579</v>
      </c>
      <c r="M1151" s="429" t="s">
        <v>654</v>
      </c>
      <c r="O1151" s="252" t="s">
        <v>2261</v>
      </c>
      <c r="P1151" s="407">
        <f>V1136</f>
        <v>0</v>
      </c>
      <c r="R1151" s="252">
        <v>0.35</v>
      </c>
      <c r="W1151" s="253"/>
      <c r="AE1151" s="370"/>
    </row>
    <row r="1152" spans="6:31" ht="18.75" customHeight="1">
      <c r="H1152" s="253" t="s">
        <v>1433</v>
      </c>
      <c r="K1152" s="252">
        <f>SUM(K1145:K1150)</f>
        <v>1239.17</v>
      </c>
      <c r="Q1152" s="296"/>
      <c r="R1152" s="252">
        <f>SUM(R1141:R1151)</f>
        <v>8517.94</v>
      </c>
      <c r="W1152" s="253"/>
      <c r="AE1152" s="370"/>
    </row>
    <row r="1153" spans="6:31" ht="18.75" customHeight="1">
      <c r="K1153" s="358" t="s">
        <v>1579</v>
      </c>
      <c r="W1153" s="253"/>
      <c r="X1153" s="274">
        <f>SUM(X1141:X1152)</f>
        <v>0</v>
      </c>
      <c r="AE1153" s="370"/>
    </row>
    <row r="1154" spans="6:31" ht="18.75" customHeight="1">
      <c r="H1154" s="255" t="s">
        <v>549</v>
      </c>
      <c r="K1154" s="274">
        <f>(K1152/10)</f>
        <v>123.92</v>
      </c>
      <c r="W1154" s="253"/>
      <c r="AE1154" s="370"/>
    </row>
    <row r="1155" spans="6:31" ht="18.75" customHeight="1">
      <c r="K1155" s="358" t="s">
        <v>2046</v>
      </c>
      <c r="Q1155" s="296"/>
      <c r="R1155" s="407"/>
      <c r="W1155" s="253"/>
      <c r="AE1155" s="370"/>
    </row>
    <row r="1156" spans="6:31" ht="18.75" customHeight="1">
      <c r="O1156" s="252" t="s">
        <v>3573</v>
      </c>
      <c r="Q1156" s="296"/>
      <c r="R1156" s="252">
        <f>SUM(R1152:R1155)</f>
        <v>8517.94</v>
      </c>
      <c r="W1156" s="253"/>
      <c r="AE1156" s="370"/>
    </row>
    <row r="1157" spans="6:31" ht="18.75" customHeight="1">
      <c r="F1157" s="296" t="s">
        <v>971</v>
      </c>
      <c r="G1157" s="252" t="s">
        <v>2241</v>
      </c>
      <c r="H1157" s="296" t="s">
        <v>1434</v>
      </c>
      <c r="Q1157" s="296"/>
      <c r="R1157" s="358" t="s">
        <v>1579</v>
      </c>
      <c r="W1157" s="253"/>
      <c r="AE1157" s="370"/>
    </row>
    <row r="1158" spans="6:31" ht="18.75" customHeight="1">
      <c r="H1158" s="358" t="s">
        <v>1579</v>
      </c>
      <c r="I1158" s="358" t="s">
        <v>1579</v>
      </c>
      <c r="O1158" s="296" t="s">
        <v>383</v>
      </c>
      <c r="Q1158" s="296"/>
      <c r="R1158" s="274">
        <f>R1156+C22</f>
        <v>8637.7900000000009</v>
      </c>
      <c r="S1158" s="356">
        <f>C22</f>
        <v>119.85</v>
      </c>
      <c r="T1158" s="356">
        <f>C23</f>
        <v>236.1</v>
      </c>
      <c r="W1158" s="253"/>
      <c r="AE1158" s="370"/>
    </row>
    <row r="1159" spans="6:31" ht="18.75" customHeight="1">
      <c r="F1159" s="252">
        <v>1.2</v>
      </c>
      <c r="G1159" s="252" t="s">
        <v>183</v>
      </c>
      <c r="H1159" s="296" t="s">
        <v>4884</v>
      </c>
      <c r="I1159" s="252">
        <f>C194</f>
        <v>271.2</v>
      </c>
      <c r="J1159" s="296" t="s">
        <v>183</v>
      </c>
      <c r="K1159" s="252">
        <f>(F1159*I1159)</f>
        <v>325.44</v>
      </c>
      <c r="O1159" s="296" t="s">
        <v>385</v>
      </c>
      <c r="Q1159" s="296"/>
      <c r="R1159" s="274">
        <f>R1158+C23</f>
        <v>8873.89</v>
      </c>
      <c r="S1159" s="356">
        <f>R1156-5363.9</f>
        <v>3154.04</v>
      </c>
      <c r="W1159" s="253"/>
      <c r="AE1159" s="370"/>
    </row>
    <row r="1160" spans="6:31" ht="18.75" customHeight="1">
      <c r="F1160" s="252">
        <v>0.9</v>
      </c>
      <c r="G1160" s="252" t="s">
        <v>183</v>
      </c>
      <c r="H1160" s="296" t="s">
        <v>185</v>
      </c>
      <c r="I1160" s="252">
        <f>C193</f>
        <v>25</v>
      </c>
      <c r="J1160" s="296" t="s">
        <v>183</v>
      </c>
      <c r="K1160" s="252">
        <f>(F1160*I1160)</f>
        <v>22.5</v>
      </c>
      <c r="O1160" s="296" t="s">
        <v>2222</v>
      </c>
      <c r="Q1160" s="296"/>
      <c r="R1160" s="274">
        <f>R1159+C23</f>
        <v>9109.99</v>
      </c>
      <c r="W1160" s="253"/>
      <c r="AE1160" s="370"/>
    </row>
    <row r="1161" spans="6:31" ht="18.75" customHeight="1">
      <c r="F1161" s="252">
        <v>1.1000000000000001</v>
      </c>
      <c r="G1161" s="252" t="s">
        <v>557</v>
      </c>
      <c r="H1161" s="296" t="s">
        <v>1507</v>
      </c>
      <c r="I1161" s="252">
        <f>C14</f>
        <v>797</v>
      </c>
      <c r="J1161" s="296" t="s">
        <v>1708</v>
      </c>
      <c r="K1161" s="252">
        <f>(F1161*I1161)</f>
        <v>876.7</v>
      </c>
      <c r="O1161" s="296" t="s">
        <v>377</v>
      </c>
      <c r="Q1161" s="296"/>
      <c r="R1161" s="274">
        <f>R1160+C23</f>
        <v>9346.09</v>
      </c>
      <c r="W1161" s="253"/>
      <c r="AE1161" s="370"/>
    </row>
    <row r="1162" spans="6:31" ht="18.75" customHeight="1">
      <c r="F1162" s="252">
        <v>1.1000000000000001</v>
      </c>
      <c r="G1162" s="252" t="s">
        <v>557</v>
      </c>
      <c r="H1162" s="296" t="s">
        <v>875</v>
      </c>
      <c r="I1162" s="252">
        <f>C12</f>
        <v>651</v>
      </c>
      <c r="J1162" s="296" t="s">
        <v>1708</v>
      </c>
      <c r="K1162" s="252">
        <f>(F1162*I1162)</f>
        <v>716.1</v>
      </c>
      <c r="O1162" s="296" t="s">
        <v>1525</v>
      </c>
      <c r="Q1162" s="296"/>
      <c r="R1162" s="274">
        <f>R1161+C23</f>
        <v>9582.19</v>
      </c>
      <c r="W1162" s="253"/>
      <c r="AE1162" s="370"/>
    </row>
    <row r="1163" spans="6:31" ht="18.75" customHeight="1">
      <c r="G1163" s="252" t="s">
        <v>446</v>
      </c>
      <c r="H1163" s="296" t="s">
        <v>1177</v>
      </c>
      <c r="J1163" s="296" t="s">
        <v>446</v>
      </c>
      <c r="K1163" s="252">
        <v>1.5</v>
      </c>
      <c r="O1163" s="296" t="s">
        <v>3552</v>
      </c>
      <c r="R1163" s="274">
        <f>R1162+C23</f>
        <v>9818.2900000000009</v>
      </c>
      <c r="W1163" s="253"/>
      <c r="AE1163" s="370"/>
    </row>
    <row r="1164" spans="6:31" ht="18.75" customHeight="1">
      <c r="K1164" s="358" t="s">
        <v>1579</v>
      </c>
      <c r="O1164" s="296" t="s">
        <v>3553</v>
      </c>
      <c r="R1164" s="274">
        <f>R1163+C23</f>
        <v>10054.39</v>
      </c>
      <c r="W1164" s="253"/>
      <c r="AE1164" s="370"/>
    </row>
    <row r="1165" spans="6:31" ht="18.75" customHeight="1">
      <c r="H1165" s="253" t="s">
        <v>1433</v>
      </c>
      <c r="K1165" s="252">
        <f>SUM(K1159:K1163)</f>
        <v>1942.24</v>
      </c>
      <c r="O1165" s="296" t="s">
        <v>3554</v>
      </c>
      <c r="R1165" s="274">
        <f>R1164+C23</f>
        <v>10290.49</v>
      </c>
      <c r="W1165" s="253"/>
      <c r="AE1165" s="370"/>
    </row>
    <row r="1166" spans="6:31" ht="18.75" customHeight="1">
      <c r="K1166" s="358" t="s">
        <v>1579</v>
      </c>
      <c r="O1166" s="296" t="s">
        <v>3555</v>
      </c>
      <c r="R1166" s="274">
        <f>R1165+C23</f>
        <v>10526.59</v>
      </c>
      <c r="W1166" s="253"/>
      <c r="AE1166" s="370"/>
    </row>
    <row r="1167" spans="6:31" ht="18.75" customHeight="1">
      <c r="H1167" s="255" t="s">
        <v>549</v>
      </c>
      <c r="K1167" s="274">
        <f>(K1165/10)</f>
        <v>194.22</v>
      </c>
      <c r="O1167" s="296" t="s">
        <v>3574</v>
      </c>
      <c r="R1167" s="274">
        <f>R1166+C23</f>
        <v>10762.69</v>
      </c>
      <c r="W1167" s="253"/>
      <c r="AE1167" s="370"/>
    </row>
    <row r="1168" spans="6:31" ht="18.75" customHeight="1">
      <c r="K1168" s="358" t="s">
        <v>2046</v>
      </c>
      <c r="O1168" s="252" t="s">
        <v>3575</v>
      </c>
      <c r="R1168" s="274">
        <f>R1167+C23</f>
        <v>10998.79</v>
      </c>
      <c r="W1168" s="253"/>
      <c r="AE1168" s="370"/>
    </row>
    <row r="1169" spans="6:33" ht="18.75" customHeight="1">
      <c r="R1169" s="274">
        <f>R1168+C23</f>
        <v>11234.89</v>
      </c>
      <c r="W1169" s="253"/>
      <c r="AE1169" s="370"/>
    </row>
    <row r="1170" spans="6:33" ht="18.75" customHeight="1">
      <c r="F1170" s="375">
        <v>23.3</v>
      </c>
      <c r="H1170" s="314" t="s">
        <v>2277</v>
      </c>
      <c r="I1170" s="314" t="s">
        <v>4210</v>
      </c>
      <c r="K1170" s="456">
        <v>52</v>
      </c>
      <c r="R1170" s="274">
        <f>R1169+C23</f>
        <v>11470.99</v>
      </c>
      <c r="S1170" s="252"/>
      <c r="W1170" s="253"/>
      <c r="AE1170" s="370"/>
    </row>
    <row r="1171" spans="6:33" ht="18.75" customHeight="1">
      <c r="M1171" s="356"/>
      <c r="O1171" s="274" t="s">
        <v>3458</v>
      </c>
      <c r="R1171" s="274">
        <f>R1170+C23</f>
        <v>11707.09</v>
      </c>
      <c r="S1171" s="252"/>
      <c r="W1171" s="253"/>
      <c r="AE1171" s="370"/>
    </row>
    <row r="1172" spans="6:33" ht="18.75" customHeight="1">
      <c r="M1172" s="356">
        <v>0.443</v>
      </c>
      <c r="N1172" s="252" t="s">
        <v>1336</v>
      </c>
      <c r="O1172" s="252" t="s">
        <v>3451</v>
      </c>
      <c r="P1172" s="252">
        <f t="shared" ref="P1172:P1178" si="158">P1141</f>
        <v>1997.1</v>
      </c>
      <c r="R1172" s="252">
        <f>P1172*M1172</f>
        <v>884.72</v>
      </c>
      <c r="S1172" s="252"/>
      <c r="W1172" s="253"/>
      <c r="AE1172" s="370"/>
    </row>
    <row r="1173" spans="6:33" ht="18.75" customHeight="1">
      <c r="F1173" s="253" t="s">
        <v>1435</v>
      </c>
      <c r="G1173" s="252" t="s">
        <v>2241</v>
      </c>
      <c r="H1173" s="296" t="s">
        <v>5682</v>
      </c>
      <c r="M1173" s="356">
        <v>0.29499999999999998</v>
      </c>
      <c r="N1173" s="252" t="s">
        <v>1336</v>
      </c>
      <c r="O1173" s="252" t="s">
        <v>3452</v>
      </c>
      <c r="P1173" s="252">
        <f t="shared" si="158"/>
        <v>1524.1</v>
      </c>
      <c r="R1173" s="252">
        <f t="shared" ref="R1173:R1179" si="159">P1173*M1173</f>
        <v>449.61</v>
      </c>
      <c r="S1173" s="252"/>
      <c r="W1173" s="253"/>
      <c r="AE1173" s="370"/>
    </row>
    <row r="1174" spans="6:33" ht="18.75" customHeight="1">
      <c r="H1174" s="296" t="s">
        <v>1436</v>
      </c>
      <c r="M1174" s="356">
        <v>0.43</v>
      </c>
      <c r="N1174" s="252" t="s">
        <v>1336</v>
      </c>
      <c r="O1174" s="252" t="s">
        <v>1061</v>
      </c>
      <c r="P1174" s="252">
        <f t="shared" si="158"/>
        <v>1846.1</v>
      </c>
      <c r="R1174" s="252">
        <f t="shared" si="159"/>
        <v>793.82</v>
      </c>
      <c r="S1174" s="252"/>
      <c r="W1174" s="253"/>
      <c r="AE1174" s="370"/>
    </row>
    <row r="1175" spans="6:33" ht="18.75" customHeight="1">
      <c r="H1175" s="358" t="s">
        <v>1579</v>
      </c>
      <c r="I1175" s="358" t="s">
        <v>1579</v>
      </c>
      <c r="M1175" s="356">
        <v>0.39</v>
      </c>
      <c r="N1175" s="252" t="s">
        <v>525</v>
      </c>
      <c r="O1175" s="252" t="s">
        <v>387</v>
      </c>
      <c r="P1175" s="252">
        <f t="shared" si="158"/>
        <v>6040</v>
      </c>
      <c r="R1175" s="252">
        <f t="shared" si="159"/>
        <v>2355.6</v>
      </c>
      <c r="S1175" s="252"/>
      <c r="W1175" s="253"/>
      <c r="AE1175" s="370"/>
    </row>
    <row r="1176" spans="6:33" ht="18.75" customHeight="1">
      <c r="F1176" s="316">
        <v>0.53339999999999999</v>
      </c>
      <c r="G1176" s="252" t="s">
        <v>2273</v>
      </c>
      <c r="H1176" s="393" t="s">
        <v>5781</v>
      </c>
      <c r="I1176" s="362">
        <v>306.89999999999998</v>
      </c>
      <c r="J1176" s="296" t="s">
        <v>2273</v>
      </c>
      <c r="K1176" s="252">
        <f>(F1176*I1176)</f>
        <v>163.69999999999999</v>
      </c>
      <c r="M1176" s="356">
        <v>0.35</v>
      </c>
      <c r="N1176" s="252" t="s">
        <v>1427</v>
      </c>
      <c r="O1176" s="252" t="s">
        <v>462</v>
      </c>
      <c r="P1176" s="252">
        <f t="shared" si="158"/>
        <v>932</v>
      </c>
      <c r="Q1176" s="252">
        <f>D1174</f>
        <v>0</v>
      </c>
      <c r="R1176" s="252">
        <f t="shared" si="159"/>
        <v>326.2</v>
      </c>
      <c r="S1176" s="252"/>
      <c r="W1176" s="253"/>
      <c r="AE1176" s="370"/>
    </row>
    <row r="1177" spans="6:33" ht="18.75" customHeight="1">
      <c r="F1177" s="252">
        <v>4.24</v>
      </c>
      <c r="G1177" s="252" t="s">
        <v>823</v>
      </c>
      <c r="H1177" s="457" t="s">
        <v>4211</v>
      </c>
      <c r="I1177" s="314">
        <v>35.61</v>
      </c>
      <c r="J1177" s="296" t="s">
        <v>823</v>
      </c>
      <c r="K1177" s="252">
        <f>(F1177*I1177)</f>
        <v>150.99</v>
      </c>
      <c r="M1177" s="356">
        <v>2.12</v>
      </c>
      <c r="N1177" s="252" t="s">
        <v>1427</v>
      </c>
      <c r="O1177" s="252" t="s">
        <v>3453</v>
      </c>
      <c r="P1177" s="252">
        <f t="shared" si="158"/>
        <v>651</v>
      </c>
      <c r="R1177" s="252">
        <f t="shared" si="159"/>
        <v>1380.12</v>
      </c>
      <c r="S1177" s="252"/>
      <c r="W1177" s="253"/>
      <c r="AE1177" s="370"/>
    </row>
    <row r="1178" spans="6:33" ht="18.75" customHeight="1">
      <c r="F1178" s="252">
        <v>16</v>
      </c>
      <c r="G1178" s="252" t="s">
        <v>557</v>
      </c>
      <c r="H1178" s="457" t="s">
        <v>4212</v>
      </c>
      <c r="I1178" s="314">
        <v>1</v>
      </c>
      <c r="J1178" s="296" t="s">
        <v>1393</v>
      </c>
      <c r="K1178" s="252">
        <f>(F1178*I1178)</f>
        <v>16</v>
      </c>
      <c r="M1178" s="356">
        <v>3.53</v>
      </c>
      <c r="N1178" s="252" t="s">
        <v>1427</v>
      </c>
      <c r="O1178" s="252" t="s">
        <v>3454</v>
      </c>
      <c r="P1178" s="252">
        <f t="shared" si="158"/>
        <v>534</v>
      </c>
      <c r="R1178" s="252">
        <f t="shared" si="159"/>
        <v>1885.02</v>
      </c>
      <c r="S1178" s="252"/>
      <c r="W1178" s="253"/>
      <c r="AE1178" s="370"/>
    </row>
    <row r="1179" spans="6:33" ht="18.75" customHeight="1">
      <c r="F1179" s="316">
        <v>0.53339999999999999</v>
      </c>
      <c r="G1179" s="252" t="s">
        <v>2273</v>
      </c>
      <c r="H1179" s="296" t="s">
        <v>704</v>
      </c>
      <c r="I1179" s="252">
        <f>0.25/1.08*D16</f>
        <v>215.74</v>
      </c>
      <c r="J1179" s="296" t="s">
        <v>2273</v>
      </c>
      <c r="K1179" s="252">
        <f>(F1179*I1179)</f>
        <v>115.08</v>
      </c>
      <c r="M1179" s="356">
        <v>1</v>
      </c>
      <c r="N1179" s="252" t="s">
        <v>1336</v>
      </c>
      <c r="O1179" s="252" t="s">
        <v>3455</v>
      </c>
      <c r="P1179" s="252">
        <f>R1148</f>
        <v>94.2</v>
      </c>
      <c r="R1179" s="252">
        <f t="shared" si="159"/>
        <v>94.2</v>
      </c>
      <c r="S1179" s="252"/>
      <c r="W1179" s="253"/>
      <c r="AE1179" s="370"/>
    </row>
    <row r="1180" spans="6:33" ht="18.75" customHeight="1">
      <c r="G1180" s="252" t="s">
        <v>446</v>
      </c>
      <c r="H1180" s="296" t="s">
        <v>2261</v>
      </c>
      <c r="J1180" s="296" t="s">
        <v>446</v>
      </c>
      <c r="M1180" s="429" t="s">
        <v>654</v>
      </c>
      <c r="O1180" s="252" t="s">
        <v>3456</v>
      </c>
      <c r="P1180" s="429" t="s">
        <v>654</v>
      </c>
      <c r="R1180" s="252">
        <v>270</v>
      </c>
      <c r="S1180" s="252"/>
      <c r="W1180" s="253"/>
      <c r="AE1180" s="370"/>
    </row>
    <row r="1181" spans="6:33" ht="18.75" customHeight="1">
      <c r="H1181" s="296" t="s">
        <v>2262</v>
      </c>
      <c r="M1181" s="429" t="s">
        <v>654</v>
      </c>
      <c r="O1181" s="252" t="s">
        <v>3457</v>
      </c>
      <c r="P1181" s="429" t="s">
        <v>654</v>
      </c>
      <c r="R1181" s="252">
        <v>150</v>
      </c>
      <c r="S1181" s="252"/>
      <c r="W1181" s="253"/>
      <c r="AE1181" s="370"/>
    </row>
    <row r="1182" spans="6:33" ht="18.75" customHeight="1">
      <c r="K1182" s="358" t="s">
        <v>1579</v>
      </c>
      <c r="M1182" s="429" t="s">
        <v>654</v>
      </c>
      <c r="O1182" s="252" t="s">
        <v>2261</v>
      </c>
      <c r="P1182" s="429" t="s">
        <v>654</v>
      </c>
      <c r="R1182" s="252">
        <v>0.45</v>
      </c>
      <c r="S1182" s="252">
        <f>C22</f>
        <v>119.85</v>
      </c>
      <c r="T1182" s="252">
        <f>C23</f>
        <v>236.1</v>
      </c>
      <c r="W1182" s="253"/>
      <c r="AE1182" s="370"/>
      <c r="AG1182" s="296" t="s">
        <v>2249</v>
      </c>
    </row>
    <row r="1183" spans="6:33" ht="18.75" customHeight="1">
      <c r="H1183" s="253" t="s">
        <v>1686</v>
      </c>
      <c r="K1183" s="252">
        <f>SUM(K1176:K1180)</f>
        <v>445.77</v>
      </c>
      <c r="M1183" s="356"/>
      <c r="O1183" s="252" t="s">
        <v>3578</v>
      </c>
      <c r="R1183" s="274">
        <f>SUM(R1172:R1182)</f>
        <v>8589.74</v>
      </c>
      <c r="S1183" s="252"/>
      <c r="W1183" s="253"/>
      <c r="AE1183" s="370"/>
      <c r="AG1183" s="296" t="s">
        <v>2249</v>
      </c>
    </row>
    <row r="1184" spans="6:33" ht="18.75" customHeight="1">
      <c r="K1184" s="358" t="s">
        <v>1579</v>
      </c>
      <c r="M1184" s="356"/>
      <c r="O1184" s="252" t="s">
        <v>383</v>
      </c>
      <c r="R1184" s="252">
        <f>R1183+C22</f>
        <v>8709.59</v>
      </c>
      <c r="W1184" s="253"/>
      <c r="AE1184" s="370"/>
      <c r="AG1184" s="296" t="s">
        <v>2249</v>
      </c>
    </row>
    <row r="1185" spans="6:37" ht="18.75" customHeight="1">
      <c r="H1185" s="253" t="s">
        <v>1687</v>
      </c>
      <c r="K1185" s="274">
        <f>ROUND(K1183/0.5334,1)</f>
        <v>835.7</v>
      </c>
      <c r="R1185" s="252">
        <f>R1184+C23</f>
        <v>8945.69</v>
      </c>
      <c r="W1185" s="253"/>
      <c r="AE1185" s="370"/>
      <c r="AG1185" s="296" t="s">
        <v>2249</v>
      </c>
    </row>
    <row r="1186" spans="6:37" ht="18.75" customHeight="1">
      <c r="F1186" s="296" t="s">
        <v>971</v>
      </c>
      <c r="K1186" s="358" t="s">
        <v>2046</v>
      </c>
      <c r="R1186" s="252">
        <f>R1185+C23</f>
        <v>9181.7900000000009</v>
      </c>
      <c r="W1186" s="253"/>
      <c r="Y1186" s="375">
        <v>15.1</v>
      </c>
      <c r="Z1186" s="252" t="s">
        <v>1749</v>
      </c>
      <c r="AA1186" s="276" t="s">
        <v>4229</v>
      </c>
      <c r="AC1186" s="253"/>
      <c r="AE1186" s="370"/>
      <c r="AF1186" s="375">
        <v>15.1</v>
      </c>
      <c r="AG1186" s="252" t="s">
        <v>1749</v>
      </c>
      <c r="AH1186" s="458" t="s">
        <v>4228</v>
      </c>
      <c r="AJ1186" s="253"/>
    </row>
    <row r="1187" spans="6:37" ht="18.75" customHeight="1">
      <c r="F1187" s="296" t="s">
        <v>971</v>
      </c>
      <c r="G1187" s="252" t="s">
        <v>971</v>
      </c>
      <c r="H1187" s="296" t="s">
        <v>971</v>
      </c>
      <c r="W1187" s="253"/>
      <c r="AA1187" s="296" t="s">
        <v>2271</v>
      </c>
      <c r="AC1187" s="253"/>
      <c r="AE1187" s="370"/>
      <c r="AH1187" s="296" t="s">
        <v>2271</v>
      </c>
      <c r="AJ1187" s="253"/>
    </row>
    <row r="1188" spans="6:37" ht="18.75" customHeight="1">
      <c r="F1188" s="253" t="s">
        <v>1790</v>
      </c>
      <c r="G1188" s="252" t="s">
        <v>2241</v>
      </c>
      <c r="H1188" s="296" t="s">
        <v>1485</v>
      </c>
      <c r="W1188" s="253"/>
      <c r="Y1188" s="252">
        <v>10</v>
      </c>
      <c r="Z1188" s="252" t="s">
        <v>2273</v>
      </c>
      <c r="AA1188" s="389" t="s">
        <v>4885</v>
      </c>
      <c r="AB1188" s="362">
        <v>1737</v>
      </c>
      <c r="AC1188" s="253" t="s">
        <v>2273</v>
      </c>
      <c r="AD1188" s="252">
        <f>(Y1188*AB1188)</f>
        <v>17370</v>
      </c>
      <c r="AE1188" s="370" t="str">
        <f>AG1188</f>
        <v>Sqm</v>
      </c>
      <c r="AF1188" s="252">
        <v>10</v>
      </c>
      <c r="AG1188" s="252" t="s">
        <v>2273</v>
      </c>
      <c r="AH1188" s="389" t="s">
        <v>4886</v>
      </c>
      <c r="AI1188" s="362">
        <v>886</v>
      </c>
      <c r="AJ1188" s="253" t="s">
        <v>2273</v>
      </c>
      <c r="AK1188" s="252">
        <f>(AF1188*AI1188)</f>
        <v>8860</v>
      </c>
    </row>
    <row r="1189" spans="6:37" ht="18.75" customHeight="1">
      <c r="H1189" s="296" t="s">
        <v>159</v>
      </c>
      <c r="W1189" s="253"/>
      <c r="Y1189" s="252">
        <v>0.12</v>
      </c>
      <c r="Z1189" s="252" t="s">
        <v>866</v>
      </c>
      <c r="AA1189" s="296" t="s">
        <v>781</v>
      </c>
      <c r="AB1189" s="288">
        <f>P1333</f>
        <v>4861.3</v>
      </c>
      <c r="AC1189" s="253" t="s">
        <v>866</v>
      </c>
      <c r="AD1189" s="252">
        <f>(Y1189*AB1189)</f>
        <v>583.36</v>
      </c>
      <c r="AE1189" s="370" t="str">
        <f>AG1189</f>
        <v>CUM</v>
      </c>
      <c r="AF1189" s="252">
        <v>0.12</v>
      </c>
      <c r="AG1189" s="252" t="s">
        <v>866</v>
      </c>
      <c r="AH1189" s="296" t="s">
        <v>781</v>
      </c>
      <c r="AI1189" s="362">
        <f>AB1189</f>
        <v>4861.3</v>
      </c>
      <c r="AJ1189" s="253" t="s">
        <v>866</v>
      </c>
      <c r="AK1189" s="252">
        <f>(AF1189*AI1189)</f>
        <v>583.36</v>
      </c>
    </row>
    <row r="1190" spans="6:37" ht="18.75" customHeight="1">
      <c r="H1190" s="358" t="s">
        <v>1579</v>
      </c>
      <c r="W1190" s="253"/>
      <c r="Y1190" s="252">
        <v>1</v>
      </c>
      <c r="Z1190" s="252" t="s">
        <v>557</v>
      </c>
      <c r="AA1190" s="296" t="s">
        <v>558</v>
      </c>
      <c r="AB1190" s="288">
        <f>P1334</f>
        <v>999</v>
      </c>
      <c r="AC1190" s="253" t="s">
        <v>1393</v>
      </c>
      <c r="AD1190" s="252">
        <f>(Y1190*AB1190)</f>
        <v>999</v>
      </c>
      <c r="AE1190" s="370" t="str">
        <f>AG1190</f>
        <v>No.</v>
      </c>
      <c r="AF1190" s="252">
        <v>1</v>
      </c>
      <c r="AG1190" s="252" t="s">
        <v>557</v>
      </c>
      <c r="AH1190" s="296" t="s">
        <v>558</v>
      </c>
      <c r="AI1190" s="362">
        <f>AB1190</f>
        <v>999</v>
      </c>
      <c r="AJ1190" s="253" t="s">
        <v>1393</v>
      </c>
      <c r="AK1190" s="252">
        <f>(AF1190*AI1190)</f>
        <v>999</v>
      </c>
    </row>
    <row r="1191" spans="6:37" ht="18.75" customHeight="1">
      <c r="F1191" s="252">
        <v>1</v>
      </c>
      <c r="G1191" s="252" t="s">
        <v>1637</v>
      </c>
      <c r="H1191" s="296" t="s">
        <v>4887</v>
      </c>
      <c r="I1191" s="459">
        <f>D660</f>
        <v>69.599999999999994</v>
      </c>
      <c r="J1191" s="296" t="s">
        <v>1637</v>
      </c>
      <c r="K1191" s="274">
        <f>(F1191*I1191)</f>
        <v>69.599999999999994</v>
      </c>
      <c r="W1191" s="253"/>
      <c r="Y1191" s="252">
        <v>1</v>
      </c>
      <c r="Z1191" s="252" t="s">
        <v>557</v>
      </c>
      <c r="AA1191" s="296" t="s">
        <v>4621</v>
      </c>
      <c r="AB1191" s="288">
        <f>P1335</f>
        <v>651</v>
      </c>
      <c r="AC1191" s="253" t="s">
        <v>1393</v>
      </c>
      <c r="AD1191" s="252">
        <f>(Y1191*AB1191)</f>
        <v>651</v>
      </c>
      <c r="AE1191" s="370" t="str">
        <f>AG1191</f>
        <v>No.</v>
      </c>
      <c r="AF1191" s="252">
        <v>1</v>
      </c>
      <c r="AG1191" s="252" t="s">
        <v>557</v>
      </c>
      <c r="AH1191" s="296" t="s">
        <v>4622</v>
      </c>
      <c r="AI1191" s="362">
        <f>AB1191</f>
        <v>651</v>
      </c>
      <c r="AJ1191" s="253" t="s">
        <v>1393</v>
      </c>
      <c r="AK1191" s="252">
        <f>(AF1191*AI1191)</f>
        <v>651</v>
      </c>
    </row>
    <row r="1192" spans="6:37" ht="18.75" customHeight="1">
      <c r="K1192" s="358" t="s">
        <v>2046</v>
      </c>
      <c r="W1192" s="253"/>
      <c r="Z1192" s="252" t="s">
        <v>446</v>
      </c>
      <c r="AA1192" s="296" t="s">
        <v>59</v>
      </c>
      <c r="AC1192" s="253" t="s">
        <v>446</v>
      </c>
      <c r="AD1192" s="252">
        <v>0.33</v>
      </c>
      <c r="AG1192" s="252" t="s">
        <v>446</v>
      </c>
      <c r="AH1192" s="296" t="s">
        <v>59</v>
      </c>
      <c r="AJ1192" s="253" t="s">
        <v>446</v>
      </c>
      <c r="AK1192" s="252">
        <v>0.33</v>
      </c>
    </row>
    <row r="1193" spans="6:37" ht="18.75" customHeight="1">
      <c r="F1193" s="253">
        <v>39</v>
      </c>
      <c r="H1193" s="393" t="s">
        <v>4888</v>
      </c>
      <c r="I1193" s="459">
        <f>C660</f>
        <v>70.150000000000006</v>
      </c>
      <c r="J1193" s="296" t="s">
        <v>1637</v>
      </c>
      <c r="K1193" s="460">
        <f>I1193</f>
        <v>70.150000000000006</v>
      </c>
      <c r="W1193" s="253"/>
      <c r="AA1193" s="296" t="s">
        <v>927</v>
      </c>
      <c r="AD1193" s="253"/>
      <c r="AE1193" s="358" t="s">
        <v>1579</v>
      </c>
      <c r="AH1193" s="296" t="s">
        <v>927</v>
      </c>
      <c r="AK1193" s="253"/>
    </row>
    <row r="1194" spans="6:37" ht="18.75" customHeight="1">
      <c r="F1194" s="253" t="s">
        <v>442</v>
      </c>
      <c r="G1194" s="252" t="s">
        <v>2241</v>
      </c>
      <c r="H1194" s="296" t="s">
        <v>4213</v>
      </c>
      <c r="I1194" s="296" t="s">
        <v>971</v>
      </c>
      <c r="J1194" s="296" t="s">
        <v>1708</v>
      </c>
      <c r="K1194" s="456">
        <v>9.6</v>
      </c>
      <c r="W1194" s="253"/>
      <c r="AA1194" s="253" t="s">
        <v>404</v>
      </c>
      <c r="AC1194" s="253"/>
      <c r="AD1194" s="252">
        <f>SUM(AD1188:AD1193)</f>
        <v>19603.689999999999</v>
      </c>
      <c r="AE1194" s="252">
        <f>SUM(AE1188:AE1192)</f>
        <v>0</v>
      </c>
      <c r="AH1194" s="253" t="s">
        <v>404</v>
      </c>
      <c r="AJ1194" s="253"/>
      <c r="AK1194" s="252">
        <f>SUM(AK1188:AK1193)</f>
        <v>11093.69</v>
      </c>
    </row>
    <row r="1195" spans="6:37" ht="18.75" customHeight="1">
      <c r="H1195" s="296" t="s">
        <v>259</v>
      </c>
      <c r="K1195" s="358" t="s">
        <v>2046</v>
      </c>
      <c r="W1195" s="253"/>
      <c r="AC1195" s="253"/>
      <c r="AD1195" s="358" t="s">
        <v>1579</v>
      </c>
      <c r="AE1195" s="358" t="s">
        <v>1579</v>
      </c>
      <c r="AJ1195" s="253"/>
      <c r="AK1195" s="358" t="s">
        <v>1579</v>
      </c>
    </row>
    <row r="1196" spans="6:37" ht="18.75" customHeight="1">
      <c r="W1196" s="253"/>
      <c r="AA1196" s="253" t="s">
        <v>408</v>
      </c>
      <c r="AD1196" s="274">
        <f>AD1194/10</f>
        <v>1960.37</v>
      </c>
      <c r="AH1196" s="253" t="s">
        <v>408</v>
      </c>
      <c r="AK1196" s="274">
        <f>AK1194/10</f>
        <v>1109.3699999999999</v>
      </c>
    </row>
    <row r="1197" spans="6:37" ht="18.75" customHeight="1">
      <c r="F1197" s="253" t="s">
        <v>224</v>
      </c>
      <c r="G1197" s="252" t="s">
        <v>2241</v>
      </c>
      <c r="H1197" s="296" t="s">
        <v>1913</v>
      </c>
      <c r="W1197" s="253"/>
      <c r="AA1197" s="296" t="s">
        <v>383</v>
      </c>
      <c r="AC1197" s="253">
        <f>C22*0.02</f>
        <v>2.4</v>
      </c>
      <c r="AD1197" s="252">
        <f>AD1196+AC1197</f>
        <v>1962.77</v>
      </c>
      <c r="AH1197" s="296" t="s">
        <v>383</v>
      </c>
      <c r="AJ1197" s="253">
        <f>C22*0.01</f>
        <v>1.2</v>
      </c>
      <c r="AK1197" s="252">
        <f>AK1196+AJ1197</f>
        <v>1110.57</v>
      </c>
    </row>
    <row r="1198" spans="6:37" ht="18.75" customHeight="1">
      <c r="H1198" s="296" t="s">
        <v>929</v>
      </c>
      <c r="W1198" s="253"/>
      <c r="AA1198" s="296" t="s">
        <v>385</v>
      </c>
      <c r="AC1198" s="253">
        <f>C23*0.02</f>
        <v>4.72</v>
      </c>
      <c r="AD1198" s="252">
        <f>AD1197+AC1198</f>
        <v>1967.49</v>
      </c>
      <c r="AH1198" s="296" t="s">
        <v>385</v>
      </c>
      <c r="AJ1198" s="253">
        <f>C23*0.01</f>
        <v>2.36</v>
      </c>
      <c r="AK1198" s="252">
        <f>AK1197+AJ1198</f>
        <v>1112.93</v>
      </c>
    </row>
    <row r="1199" spans="6:37" ht="18.75" customHeight="1">
      <c r="H1199" s="358" t="s">
        <v>1579</v>
      </c>
      <c r="W1199" s="253"/>
      <c r="AA1199" s="296" t="s">
        <v>2222</v>
      </c>
      <c r="AC1199" s="253">
        <f t="shared" ref="AC1199:AC1208" si="160">AC1198</f>
        <v>4.72</v>
      </c>
      <c r="AD1199" s="252">
        <f t="shared" ref="AD1199:AD1208" si="161">+AD1198+AC1199</f>
        <v>1972.21</v>
      </c>
      <c r="AH1199" s="296" t="s">
        <v>2222</v>
      </c>
      <c r="AJ1199" s="253">
        <f>C24*0.01</f>
        <v>2.36</v>
      </c>
      <c r="AK1199" s="252">
        <f t="shared" ref="AK1199:AK1206" si="162">+AK1198+AJ1199</f>
        <v>1115.29</v>
      </c>
    </row>
    <row r="1200" spans="6:37" ht="18.75" customHeight="1">
      <c r="F1200" s="252">
        <v>0.22</v>
      </c>
      <c r="G1200" s="252" t="s">
        <v>866</v>
      </c>
      <c r="H1200" s="296" t="s">
        <v>1302</v>
      </c>
      <c r="I1200" s="252">
        <f>K40</f>
        <v>4136.5</v>
      </c>
      <c r="J1200" s="296" t="s">
        <v>866</v>
      </c>
      <c r="K1200" s="252">
        <f>(F1200*I1200)</f>
        <v>910.03</v>
      </c>
      <c r="W1200" s="253"/>
      <c r="AA1200" s="296" t="s">
        <v>377</v>
      </c>
      <c r="AC1200" s="253">
        <f t="shared" si="160"/>
        <v>4.72</v>
      </c>
      <c r="AD1200" s="252">
        <f t="shared" si="161"/>
        <v>1976.93</v>
      </c>
      <c r="AH1200" s="296" t="s">
        <v>377</v>
      </c>
      <c r="AJ1200" s="253">
        <v>1.95</v>
      </c>
      <c r="AK1200" s="252">
        <f t="shared" si="162"/>
        <v>1117.24</v>
      </c>
    </row>
    <row r="1201" spans="6:37" ht="18.75" customHeight="1">
      <c r="F1201" s="252">
        <v>2.2000000000000002</v>
      </c>
      <c r="G1201" s="252" t="s">
        <v>766</v>
      </c>
      <c r="H1201" s="296" t="s">
        <v>2000</v>
      </c>
      <c r="I1201" s="252">
        <f>(C10)</f>
        <v>999</v>
      </c>
      <c r="J1201" s="296" t="s">
        <v>766</v>
      </c>
      <c r="K1201" s="252">
        <f>(F1201*I1201)</f>
        <v>2197.8000000000002</v>
      </c>
      <c r="W1201" s="253"/>
      <c r="AA1201" s="296" t="s">
        <v>1359</v>
      </c>
      <c r="AC1201" s="253">
        <f t="shared" si="160"/>
        <v>4.72</v>
      </c>
      <c r="AD1201" s="252">
        <f t="shared" si="161"/>
        <v>1981.65</v>
      </c>
      <c r="AH1201" s="296" t="s">
        <v>1359</v>
      </c>
      <c r="AJ1201" s="253">
        <v>1.95</v>
      </c>
      <c r="AK1201" s="252">
        <f t="shared" si="162"/>
        <v>1119.19</v>
      </c>
    </row>
    <row r="1202" spans="6:37" ht="18.75" customHeight="1">
      <c r="F1202" s="252">
        <v>0.5</v>
      </c>
      <c r="G1202" s="252" t="s">
        <v>766</v>
      </c>
      <c r="H1202" s="296" t="s">
        <v>930</v>
      </c>
      <c r="I1202" s="252">
        <f>(C12)</f>
        <v>651</v>
      </c>
      <c r="J1202" s="296" t="s">
        <v>766</v>
      </c>
      <c r="K1202" s="252">
        <f>(F1202*I1202)</f>
        <v>325.5</v>
      </c>
      <c r="W1202" s="253"/>
      <c r="AA1202" s="252">
        <v>5</v>
      </c>
      <c r="AC1202" s="253">
        <f t="shared" si="160"/>
        <v>4.72</v>
      </c>
      <c r="AD1202" s="252">
        <f t="shared" si="161"/>
        <v>1986.37</v>
      </c>
      <c r="AE1202" s="370">
        <f>AG1202</f>
        <v>0</v>
      </c>
      <c r="AH1202" s="252">
        <v>5</v>
      </c>
      <c r="AJ1202" s="253">
        <f>AC1202</f>
        <v>4.72</v>
      </c>
      <c r="AK1202" s="252">
        <f t="shared" si="162"/>
        <v>1123.9100000000001</v>
      </c>
    </row>
    <row r="1203" spans="6:37" ht="18.75" customHeight="1">
      <c r="F1203" s="252">
        <v>3.2</v>
      </c>
      <c r="G1203" s="252" t="s">
        <v>766</v>
      </c>
      <c r="H1203" s="296" t="s">
        <v>317</v>
      </c>
      <c r="I1203" s="252">
        <f>(C13)</f>
        <v>534</v>
      </c>
      <c r="J1203" s="296" t="s">
        <v>766</v>
      </c>
      <c r="K1203" s="252">
        <f>(F1203*I1203)</f>
        <v>1708.8</v>
      </c>
      <c r="W1203" s="253"/>
      <c r="AA1203" s="252">
        <v>6</v>
      </c>
      <c r="AC1203" s="253">
        <f t="shared" si="160"/>
        <v>4.72</v>
      </c>
      <c r="AD1203" s="252">
        <f t="shared" si="161"/>
        <v>1991.09</v>
      </c>
      <c r="AE1203" s="370">
        <f>AG1203</f>
        <v>0</v>
      </c>
      <c r="AH1203" s="252">
        <v>6</v>
      </c>
      <c r="AJ1203" s="253">
        <f>AC1203</f>
        <v>4.72</v>
      </c>
      <c r="AK1203" s="252">
        <f t="shared" si="162"/>
        <v>1128.6300000000001</v>
      </c>
    </row>
    <row r="1204" spans="6:37" ht="18.75" customHeight="1">
      <c r="H1204" s="296"/>
      <c r="W1204" s="253"/>
      <c r="AA1204" s="252">
        <v>7</v>
      </c>
      <c r="AC1204" s="253">
        <f t="shared" si="160"/>
        <v>4.72</v>
      </c>
      <c r="AD1204" s="252">
        <f t="shared" si="161"/>
        <v>1995.81</v>
      </c>
      <c r="AE1204" s="370"/>
      <c r="AH1204" s="252">
        <v>7</v>
      </c>
      <c r="AJ1204" s="253">
        <f>AC1204</f>
        <v>4.72</v>
      </c>
      <c r="AK1204" s="252">
        <f t="shared" si="162"/>
        <v>1133.3499999999999</v>
      </c>
    </row>
    <row r="1205" spans="6:37" ht="18.75" customHeight="1">
      <c r="H1205" s="296"/>
      <c r="W1205" s="253"/>
      <c r="AA1205" s="252">
        <v>8</v>
      </c>
      <c r="AC1205" s="253">
        <f t="shared" si="160"/>
        <v>4.72</v>
      </c>
      <c r="AD1205" s="252">
        <f t="shared" si="161"/>
        <v>2000.53</v>
      </c>
      <c r="AE1205" s="370"/>
      <c r="AH1205" s="252">
        <v>8</v>
      </c>
      <c r="AJ1205" s="253">
        <f>AC1205</f>
        <v>4.72</v>
      </c>
      <c r="AK1205" s="252">
        <f t="shared" si="162"/>
        <v>1138.07</v>
      </c>
    </row>
    <row r="1206" spans="6:37" ht="18.75" customHeight="1">
      <c r="H1206" s="296"/>
      <c r="W1206" s="253"/>
      <c r="AA1206" s="252">
        <v>9</v>
      </c>
      <c r="AC1206" s="253">
        <f t="shared" si="160"/>
        <v>4.72</v>
      </c>
      <c r="AD1206" s="252">
        <f t="shared" si="161"/>
        <v>2005.25</v>
      </c>
      <c r="AE1206" s="370"/>
      <c r="AF1206" s="252" t="s">
        <v>4605</v>
      </c>
      <c r="AH1206" s="252">
        <v>9</v>
      </c>
      <c r="AJ1206" s="253">
        <f>AC1206</f>
        <v>4.72</v>
      </c>
      <c r="AK1206" s="252">
        <f t="shared" si="162"/>
        <v>1142.79</v>
      </c>
    </row>
    <row r="1207" spans="6:37" ht="18.75" customHeight="1">
      <c r="H1207" s="296"/>
      <c r="W1207" s="253"/>
      <c r="AA1207" s="252">
        <v>10</v>
      </c>
      <c r="AC1207" s="253">
        <f t="shared" si="160"/>
        <v>4.72</v>
      </c>
      <c r="AD1207" s="252">
        <f t="shared" si="161"/>
        <v>2009.97</v>
      </c>
      <c r="AE1207" s="370"/>
      <c r="AG1207" s="296"/>
    </row>
    <row r="1208" spans="6:37" ht="18.75" customHeight="1">
      <c r="H1208" s="296"/>
      <c r="W1208" s="253"/>
      <c r="AA1208" s="252">
        <v>11</v>
      </c>
      <c r="AC1208" s="253">
        <f t="shared" si="160"/>
        <v>4.72</v>
      </c>
      <c r="AD1208" s="252">
        <f t="shared" si="161"/>
        <v>2014.69</v>
      </c>
      <c r="AE1208" s="370"/>
      <c r="AG1208" s="296"/>
    </row>
    <row r="1209" spans="6:37" ht="18.75" customHeight="1">
      <c r="G1209" s="252" t="s">
        <v>446</v>
      </c>
      <c r="H1209" s="296" t="s">
        <v>447</v>
      </c>
      <c r="I1209" s="296" t="s">
        <v>971</v>
      </c>
      <c r="J1209" s="296" t="s">
        <v>446</v>
      </c>
      <c r="K1209" s="252">
        <v>5</v>
      </c>
      <c r="Q1209" s="253"/>
      <c r="W1209" s="253"/>
      <c r="Y1209" s="375">
        <v>29.5</v>
      </c>
      <c r="Z1209" s="252" t="s">
        <v>2241</v>
      </c>
      <c r="AA1209" s="276" t="s">
        <v>5615</v>
      </c>
      <c r="AE1209" s="370" t="str">
        <f t="shared" ref="AE1209:AE1277" si="163">AG1209</f>
        <v>|</v>
      </c>
      <c r="AG1209" s="296" t="s">
        <v>2249</v>
      </c>
    </row>
    <row r="1210" spans="6:37" ht="18.75" customHeight="1">
      <c r="K1210" s="358" t="s">
        <v>1579</v>
      </c>
      <c r="Q1210" s="253"/>
      <c r="W1210" s="253"/>
      <c r="AA1210" s="276" t="s">
        <v>3808</v>
      </c>
      <c r="AE1210" s="370" t="str">
        <f t="shared" si="163"/>
        <v>|</v>
      </c>
      <c r="AG1210" s="296" t="s">
        <v>2249</v>
      </c>
    </row>
    <row r="1211" spans="6:37" ht="18.75" customHeight="1">
      <c r="H1211" s="296" t="s">
        <v>438</v>
      </c>
      <c r="K1211" s="252">
        <f>SUM(K1200:K1209)</f>
        <v>5147.13</v>
      </c>
      <c r="Q1211" s="253"/>
      <c r="W1211" s="253"/>
      <c r="AA1211" s="296"/>
      <c r="AE1211" s="370" t="str">
        <f t="shared" si="163"/>
        <v>|</v>
      </c>
      <c r="AG1211" s="296" t="s">
        <v>2249</v>
      </c>
    </row>
    <row r="1212" spans="6:37" ht="18.75" customHeight="1">
      <c r="F1212" s="252" t="s">
        <v>971</v>
      </c>
      <c r="K1212" s="358" t="s">
        <v>1579</v>
      </c>
      <c r="O1212" s="461" t="s">
        <v>1520</v>
      </c>
      <c r="Q1212" s="253"/>
      <c r="W1212" s="253"/>
      <c r="AA1212" s="358" t="s">
        <v>1579</v>
      </c>
      <c r="AB1212" s="358" t="s">
        <v>1579</v>
      </c>
      <c r="AC1212" s="296">
        <f>54.96*10.764</f>
        <v>591.59</v>
      </c>
      <c r="AE1212" s="370" t="str">
        <f t="shared" si="163"/>
        <v>|</v>
      </c>
      <c r="AG1212" s="296" t="s">
        <v>2249</v>
      </c>
    </row>
    <row r="1213" spans="6:37" ht="18.75" customHeight="1">
      <c r="H1213" s="255" t="s">
        <v>549</v>
      </c>
      <c r="K1213" s="274">
        <f>(K1211/10)</f>
        <v>514.71</v>
      </c>
      <c r="Q1213" s="253"/>
      <c r="W1213" s="253"/>
      <c r="Y1213" s="252">
        <v>10</v>
      </c>
      <c r="Z1213" s="252" t="s">
        <v>606</v>
      </c>
      <c r="AA1213" s="260" t="s">
        <v>5616</v>
      </c>
      <c r="AB1213" s="362">
        <v>1462</v>
      </c>
      <c r="AC1213" s="296" t="s">
        <v>606</v>
      </c>
      <c r="AD1213" s="252">
        <f>(Y1213*AB1213)</f>
        <v>14620</v>
      </c>
      <c r="AE1213" s="370" t="str">
        <f t="shared" si="163"/>
        <v>|</v>
      </c>
      <c r="AG1213" s="296" t="s">
        <v>2249</v>
      </c>
    </row>
    <row r="1214" spans="6:37" ht="18.75" customHeight="1">
      <c r="K1214" s="358" t="s">
        <v>2046</v>
      </c>
      <c r="Q1214" s="253"/>
      <c r="S1214" s="462" t="s">
        <v>3460</v>
      </c>
      <c r="W1214" s="253"/>
      <c r="Y1214" s="252">
        <v>0.21</v>
      </c>
      <c r="Z1214" s="252" t="s">
        <v>866</v>
      </c>
      <c r="AA1214" s="296" t="s">
        <v>1868</v>
      </c>
      <c r="AB1214" s="252">
        <f t="shared" ref="AB1214:AB1226" si="164">AB1242</f>
        <v>4861.3</v>
      </c>
      <c r="AC1214" s="296" t="s">
        <v>866</v>
      </c>
      <c r="AD1214" s="252">
        <f>(Y1214*AB1214)</f>
        <v>1020.87</v>
      </c>
      <c r="AE1214" s="370" t="str">
        <f t="shared" si="163"/>
        <v>|</v>
      </c>
      <c r="AG1214" s="296" t="s">
        <v>2249</v>
      </c>
    </row>
    <row r="1215" spans="6:37" ht="18.75" customHeight="1">
      <c r="F1215" s="253" t="s">
        <v>931</v>
      </c>
      <c r="G1215" s="252" t="s">
        <v>2241</v>
      </c>
      <c r="H1215" s="296" t="s">
        <v>1836</v>
      </c>
      <c r="M1215" s="252">
        <v>10</v>
      </c>
      <c r="N1215" s="252" t="s">
        <v>606</v>
      </c>
      <c r="O1215" s="393" t="s">
        <v>5683</v>
      </c>
      <c r="P1215" s="463">
        <v>653</v>
      </c>
      <c r="Q1215" s="253" t="s">
        <v>606</v>
      </c>
      <c r="R1215" s="252">
        <f>M1215*P1215</f>
        <v>6530</v>
      </c>
      <c r="S1215" s="356">
        <v>694.02</v>
      </c>
      <c r="T1215" s="252">
        <f>S1215*M1215</f>
        <v>6940.2</v>
      </c>
      <c r="W1215" s="253"/>
      <c r="AA1215" s="296" t="s">
        <v>1869</v>
      </c>
      <c r="AB1215" s="252" t="str">
        <f t="shared" si="164"/>
        <v xml:space="preserve"> </v>
      </c>
      <c r="AC1215" s="296"/>
      <c r="AD1215" s="296" t="s">
        <v>971</v>
      </c>
      <c r="AE1215" s="370" t="str">
        <f t="shared" si="163"/>
        <v>|</v>
      </c>
      <c r="AG1215" s="296" t="s">
        <v>2249</v>
      </c>
    </row>
    <row r="1216" spans="6:37" ht="18.75" customHeight="1">
      <c r="H1216" s="296" t="s">
        <v>1864</v>
      </c>
      <c r="M1216" s="252">
        <v>0.21</v>
      </c>
      <c r="N1216" s="252" t="s">
        <v>866</v>
      </c>
      <c r="O1216" s="296" t="s">
        <v>1868</v>
      </c>
      <c r="P1216" s="252">
        <f>I1220</f>
        <v>4861.3</v>
      </c>
      <c r="Q1216" s="253" t="s">
        <v>866</v>
      </c>
      <c r="R1216" s="252">
        <f t="shared" ref="R1216:R1225" si="165">(M1216*P1216)</f>
        <v>1020.87</v>
      </c>
      <c r="T1216" s="252">
        <f>R1216</f>
        <v>1020.87</v>
      </c>
      <c r="W1216" s="253"/>
      <c r="Y1216" s="252">
        <v>1.1000000000000001</v>
      </c>
      <c r="Z1216" s="252" t="s">
        <v>766</v>
      </c>
      <c r="AA1216" s="296" t="s">
        <v>2000</v>
      </c>
      <c r="AB1216" s="252">
        <f t="shared" si="164"/>
        <v>999</v>
      </c>
      <c r="AC1216" s="296" t="s">
        <v>766</v>
      </c>
      <c r="AD1216" s="252">
        <f>(Y1216*AB1216)</f>
        <v>1098.9000000000001</v>
      </c>
      <c r="AE1216" s="370" t="str">
        <f t="shared" si="163"/>
        <v>|</v>
      </c>
      <c r="AG1216" s="296" t="s">
        <v>2249</v>
      </c>
    </row>
    <row r="1217" spans="6:33" ht="18.75" customHeight="1">
      <c r="H1217" s="358" t="s">
        <v>1579</v>
      </c>
      <c r="M1217" s="252">
        <v>1.1000000000000001</v>
      </c>
      <c r="N1217" s="252" t="s">
        <v>766</v>
      </c>
      <c r="O1217" s="296" t="s">
        <v>2000</v>
      </c>
      <c r="P1217" s="252">
        <f>I1222</f>
        <v>999</v>
      </c>
      <c r="Q1217" s="253" t="s">
        <v>766</v>
      </c>
      <c r="R1217" s="252">
        <f t="shared" si="165"/>
        <v>1098.9000000000001</v>
      </c>
      <c r="T1217" s="252">
        <f t="shared" ref="T1217:T1225" si="166">R1217</f>
        <v>1098.9000000000001</v>
      </c>
      <c r="W1217" s="253"/>
      <c r="Y1217" s="252">
        <v>1.1000000000000001</v>
      </c>
      <c r="Z1217" s="252" t="s">
        <v>766</v>
      </c>
      <c r="AA1217" s="296" t="s">
        <v>1704</v>
      </c>
      <c r="AB1217" s="252">
        <f t="shared" si="164"/>
        <v>932</v>
      </c>
      <c r="AC1217" s="296" t="s">
        <v>766</v>
      </c>
      <c r="AD1217" s="252">
        <f>(Y1217*AB1217)</f>
        <v>1025.2</v>
      </c>
      <c r="AE1217" s="370" t="str">
        <f t="shared" si="163"/>
        <v>|</v>
      </c>
      <c r="AG1217" s="296" t="s">
        <v>2249</v>
      </c>
    </row>
    <row r="1218" spans="6:33" ht="18.75" customHeight="1">
      <c r="F1218" s="252">
        <v>160</v>
      </c>
      <c r="G1218" s="252" t="s">
        <v>1865</v>
      </c>
      <c r="H1218" s="296" t="s">
        <v>1866</v>
      </c>
      <c r="I1218" s="252">
        <f>(C137)</f>
        <v>11907</v>
      </c>
      <c r="J1218" s="296" t="s">
        <v>1474</v>
      </c>
      <c r="K1218" s="252">
        <f>(F1218*I1218)/1000</f>
        <v>1905.12</v>
      </c>
      <c r="M1218" s="252">
        <v>1.1000000000000001</v>
      </c>
      <c r="N1218" s="252" t="s">
        <v>766</v>
      </c>
      <c r="O1218" s="296" t="s">
        <v>1704</v>
      </c>
      <c r="P1218" s="252">
        <f>I1223</f>
        <v>932</v>
      </c>
      <c r="Q1218" s="253" t="s">
        <v>766</v>
      </c>
      <c r="R1218" s="252">
        <f t="shared" si="165"/>
        <v>1025.2</v>
      </c>
      <c r="T1218" s="252">
        <f t="shared" si="166"/>
        <v>1025.2</v>
      </c>
      <c r="W1218" s="253"/>
      <c r="Y1218" s="252">
        <v>2.2000000000000002</v>
      </c>
      <c r="Z1218" s="252" t="s">
        <v>766</v>
      </c>
      <c r="AA1218" s="296" t="s">
        <v>1893</v>
      </c>
      <c r="AB1218" s="252">
        <f t="shared" si="164"/>
        <v>651</v>
      </c>
      <c r="AC1218" s="296" t="s">
        <v>766</v>
      </c>
      <c r="AD1218" s="252">
        <f>(Y1218*AB1218)</f>
        <v>1432.2</v>
      </c>
      <c r="AE1218" s="370" t="str">
        <f t="shared" si="163"/>
        <v>|</v>
      </c>
      <c r="AG1218" s="296" t="s">
        <v>2249</v>
      </c>
    </row>
    <row r="1219" spans="6:33" ht="18.75" customHeight="1">
      <c r="H1219" s="296" t="s">
        <v>1867</v>
      </c>
      <c r="I1219" s="296" t="s">
        <v>971</v>
      </c>
      <c r="K1219" s="296" t="s">
        <v>971</v>
      </c>
      <c r="M1219" s="252">
        <v>2.2000000000000002</v>
      </c>
      <c r="N1219" s="252" t="s">
        <v>766</v>
      </c>
      <c r="O1219" s="296" t="s">
        <v>1893</v>
      </c>
      <c r="P1219" s="252">
        <f>I1224</f>
        <v>651</v>
      </c>
      <c r="Q1219" s="253" t="s">
        <v>766</v>
      </c>
      <c r="R1219" s="252">
        <f t="shared" si="165"/>
        <v>1432.2</v>
      </c>
      <c r="T1219" s="252">
        <f t="shared" si="166"/>
        <v>1432.2</v>
      </c>
      <c r="W1219" s="253"/>
      <c r="Y1219" s="252">
        <v>2.2000000000000002</v>
      </c>
      <c r="Z1219" s="252" t="s">
        <v>766</v>
      </c>
      <c r="AA1219" s="296" t="s">
        <v>317</v>
      </c>
      <c r="AB1219" s="252">
        <f t="shared" si="164"/>
        <v>534</v>
      </c>
      <c r="AC1219" s="296" t="s">
        <v>766</v>
      </c>
      <c r="AD1219" s="252">
        <f>(Y1219*AB1219)</f>
        <v>1174.8</v>
      </c>
      <c r="AE1219" s="370" t="str">
        <f t="shared" si="163"/>
        <v>|</v>
      </c>
      <c r="AG1219" s="296" t="s">
        <v>2249</v>
      </c>
    </row>
    <row r="1220" spans="6:33" ht="18.75" customHeight="1">
      <c r="F1220" s="252">
        <v>0.21</v>
      </c>
      <c r="G1220" s="252" t="s">
        <v>866</v>
      </c>
      <c r="H1220" s="296" t="s">
        <v>1868</v>
      </c>
      <c r="I1220" s="252">
        <f>(K32)</f>
        <v>4861.3</v>
      </c>
      <c r="J1220" s="296" t="s">
        <v>866</v>
      </c>
      <c r="K1220" s="252">
        <f>(F1220*I1220)</f>
        <v>1020.87</v>
      </c>
      <c r="M1220" s="252">
        <v>2.2000000000000002</v>
      </c>
      <c r="N1220" s="252" t="s">
        <v>766</v>
      </c>
      <c r="O1220" s="296" t="s">
        <v>317</v>
      </c>
      <c r="P1220" s="252">
        <f>I1225</f>
        <v>534</v>
      </c>
      <c r="Q1220" s="253" t="s">
        <v>766</v>
      </c>
      <c r="R1220" s="252">
        <f t="shared" si="165"/>
        <v>1174.8</v>
      </c>
      <c r="T1220" s="252">
        <f t="shared" si="166"/>
        <v>1174.8</v>
      </c>
      <c r="W1220" s="253"/>
      <c r="Y1220" s="356">
        <v>20</v>
      </c>
      <c r="Z1220" s="252" t="s">
        <v>1637</v>
      </c>
      <c r="AA1220" s="296" t="s">
        <v>859</v>
      </c>
      <c r="AB1220" s="252">
        <f t="shared" si="164"/>
        <v>6040</v>
      </c>
      <c r="AC1220" s="296" t="s">
        <v>858</v>
      </c>
      <c r="AD1220" s="252">
        <f>(Y1220*AB1220)/1000</f>
        <v>120.8</v>
      </c>
      <c r="AE1220" s="370" t="str">
        <f t="shared" si="163"/>
        <v>|</v>
      </c>
      <c r="AG1220" s="296" t="s">
        <v>2249</v>
      </c>
    </row>
    <row r="1221" spans="6:33" ht="18.75" customHeight="1">
      <c r="H1221" s="296" t="s">
        <v>1869</v>
      </c>
      <c r="I1221" s="296" t="s">
        <v>971</v>
      </c>
      <c r="K1221" s="296" t="s">
        <v>971</v>
      </c>
      <c r="M1221" s="356">
        <v>20</v>
      </c>
      <c r="N1221" s="252" t="s">
        <v>1637</v>
      </c>
      <c r="O1221" s="296" t="s">
        <v>859</v>
      </c>
      <c r="P1221" s="252">
        <f>I1226</f>
        <v>6040</v>
      </c>
      <c r="Q1221" s="253" t="s">
        <v>858</v>
      </c>
      <c r="R1221" s="252">
        <f>(M1221*P1221)/1000</f>
        <v>120.8</v>
      </c>
      <c r="T1221" s="252">
        <f t="shared" si="166"/>
        <v>120.8</v>
      </c>
      <c r="W1221" s="253"/>
      <c r="Y1221" s="356">
        <v>2</v>
      </c>
      <c r="Z1221" s="252" t="s">
        <v>1637</v>
      </c>
      <c r="AA1221" s="296" t="s">
        <v>2072</v>
      </c>
      <c r="AB1221" s="252">
        <f t="shared" si="164"/>
        <v>36.1</v>
      </c>
      <c r="AC1221" s="296" t="s">
        <v>1637</v>
      </c>
      <c r="AD1221" s="252">
        <f>(Y1221*AB1221)</f>
        <v>72.2</v>
      </c>
      <c r="AE1221" s="370" t="str">
        <f t="shared" si="163"/>
        <v>|</v>
      </c>
      <c r="AG1221" s="296" t="s">
        <v>2249</v>
      </c>
    </row>
    <row r="1222" spans="6:33" ht="18.75" customHeight="1">
      <c r="F1222" s="252">
        <v>1.1000000000000001</v>
      </c>
      <c r="G1222" s="252" t="s">
        <v>766</v>
      </c>
      <c r="H1222" s="296" t="s">
        <v>2000</v>
      </c>
      <c r="I1222" s="252">
        <f>(C10)</f>
        <v>999</v>
      </c>
      <c r="J1222" s="296" t="s">
        <v>766</v>
      </c>
      <c r="K1222" s="252">
        <f>(F1222*I1222)</f>
        <v>1098.9000000000001</v>
      </c>
      <c r="M1222" s="356">
        <v>2</v>
      </c>
      <c r="N1222" s="252" t="s">
        <v>1637</v>
      </c>
      <c r="O1222" s="393" t="s">
        <v>1092</v>
      </c>
      <c r="P1222" s="252">
        <f>C608</f>
        <v>24.93</v>
      </c>
      <c r="Q1222" s="253" t="s">
        <v>1637</v>
      </c>
      <c r="R1222" s="252">
        <f t="shared" si="165"/>
        <v>49.86</v>
      </c>
      <c r="T1222" s="252">
        <f t="shared" si="166"/>
        <v>49.86</v>
      </c>
      <c r="W1222" s="253"/>
      <c r="Y1222" s="252">
        <v>1.6</v>
      </c>
      <c r="Z1222" s="252" t="s">
        <v>766</v>
      </c>
      <c r="AA1222" s="296" t="s">
        <v>1704</v>
      </c>
      <c r="AB1222" s="252">
        <f t="shared" si="164"/>
        <v>932</v>
      </c>
      <c r="AC1222" s="296" t="s">
        <v>766</v>
      </c>
      <c r="AD1222" s="252">
        <f>(Y1222*AB1222)</f>
        <v>1491.2</v>
      </c>
      <c r="AE1222" s="370" t="str">
        <f t="shared" si="163"/>
        <v>|</v>
      </c>
      <c r="AG1222" s="296" t="s">
        <v>2249</v>
      </c>
    </row>
    <row r="1223" spans="6:33" ht="18.75" customHeight="1">
      <c r="F1223" s="252">
        <v>1.1000000000000001</v>
      </c>
      <c r="G1223" s="252" t="s">
        <v>766</v>
      </c>
      <c r="H1223" s="296" t="s">
        <v>1704</v>
      </c>
      <c r="I1223" s="252">
        <f>(C11)</f>
        <v>932</v>
      </c>
      <c r="J1223" s="296" t="s">
        <v>766</v>
      </c>
      <c r="K1223" s="252">
        <f>(F1223*I1223)</f>
        <v>1025.2</v>
      </c>
      <c r="M1223" s="252">
        <v>1.6</v>
      </c>
      <c r="N1223" s="252" t="s">
        <v>766</v>
      </c>
      <c r="O1223" s="296" t="s">
        <v>1704</v>
      </c>
      <c r="P1223" s="252">
        <f>P1218</f>
        <v>932</v>
      </c>
      <c r="Q1223" s="253" t="s">
        <v>766</v>
      </c>
      <c r="R1223" s="252">
        <f t="shared" si="165"/>
        <v>1491.2</v>
      </c>
      <c r="T1223" s="252">
        <f t="shared" si="166"/>
        <v>1491.2</v>
      </c>
      <c r="W1223" s="253"/>
      <c r="Y1223" s="252">
        <v>0.5</v>
      </c>
      <c r="Z1223" s="252" t="s">
        <v>766</v>
      </c>
      <c r="AA1223" s="296" t="s">
        <v>1893</v>
      </c>
      <c r="AB1223" s="252">
        <f t="shared" si="164"/>
        <v>651</v>
      </c>
      <c r="AC1223" s="296" t="s">
        <v>766</v>
      </c>
      <c r="AD1223" s="252">
        <f>(Y1223*AB1223)</f>
        <v>325.5</v>
      </c>
      <c r="AE1223" s="370" t="str">
        <f t="shared" si="163"/>
        <v>|</v>
      </c>
      <c r="AG1223" s="296" t="s">
        <v>2249</v>
      </c>
    </row>
    <row r="1224" spans="6:33" ht="18.75" customHeight="1">
      <c r="F1224" s="252">
        <v>2.2000000000000002</v>
      </c>
      <c r="G1224" s="252" t="s">
        <v>766</v>
      </c>
      <c r="H1224" s="296" t="s">
        <v>1893</v>
      </c>
      <c r="I1224" s="252">
        <f>(C12)</f>
        <v>651</v>
      </c>
      <c r="J1224" s="296" t="s">
        <v>766</v>
      </c>
      <c r="K1224" s="252">
        <f>(F1224*I1224)</f>
        <v>1432.2</v>
      </c>
      <c r="M1224" s="252">
        <v>0.5</v>
      </c>
      <c r="N1224" s="252" t="s">
        <v>766</v>
      </c>
      <c r="O1224" s="296" t="s">
        <v>1893</v>
      </c>
      <c r="P1224" s="252">
        <f>P1219</f>
        <v>651</v>
      </c>
      <c r="Q1224" s="253" t="s">
        <v>766</v>
      </c>
      <c r="R1224" s="252">
        <f t="shared" si="165"/>
        <v>325.5</v>
      </c>
      <c r="T1224" s="252">
        <f t="shared" si="166"/>
        <v>325.5</v>
      </c>
      <c r="W1224" s="253"/>
      <c r="Y1224" s="252">
        <v>1.1000000000000001</v>
      </c>
      <c r="Z1224" s="252" t="s">
        <v>766</v>
      </c>
      <c r="AA1224" s="296" t="s">
        <v>317</v>
      </c>
      <c r="AB1224" s="252">
        <f t="shared" si="164"/>
        <v>534</v>
      </c>
      <c r="AC1224" s="296" t="s">
        <v>766</v>
      </c>
      <c r="AD1224" s="252">
        <f>(Y1224*AB1224)</f>
        <v>587.4</v>
      </c>
      <c r="AE1224" s="370" t="str">
        <f t="shared" si="163"/>
        <v>|</v>
      </c>
      <c r="AG1224" s="296" t="s">
        <v>2249</v>
      </c>
    </row>
    <row r="1225" spans="6:33" ht="18.75" customHeight="1">
      <c r="F1225" s="252">
        <v>2.2000000000000002</v>
      </c>
      <c r="G1225" s="252" t="s">
        <v>766</v>
      </c>
      <c r="H1225" s="296" t="s">
        <v>317</v>
      </c>
      <c r="I1225" s="252">
        <f>(C13)</f>
        <v>534</v>
      </c>
      <c r="J1225" s="296" t="s">
        <v>766</v>
      </c>
      <c r="K1225" s="252">
        <f>(F1225*I1225)</f>
        <v>1174.8</v>
      </c>
      <c r="M1225" s="252">
        <v>1.1000000000000001</v>
      </c>
      <c r="N1225" s="252" t="s">
        <v>766</v>
      </c>
      <c r="O1225" s="296" t="s">
        <v>317</v>
      </c>
      <c r="P1225" s="252">
        <f>P1220</f>
        <v>534</v>
      </c>
      <c r="Q1225" s="253" t="s">
        <v>766</v>
      </c>
      <c r="R1225" s="252">
        <f t="shared" si="165"/>
        <v>587.4</v>
      </c>
      <c r="T1225" s="252">
        <f t="shared" si="166"/>
        <v>587.4</v>
      </c>
      <c r="W1225" s="253"/>
      <c r="Z1225" s="252" t="s">
        <v>446</v>
      </c>
      <c r="AA1225" s="296" t="s">
        <v>447</v>
      </c>
      <c r="AB1225" s="252">
        <f t="shared" si="164"/>
        <v>0</v>
      </c>
      <c r="AC1225" s="296" t="s">
        <v>446</v>
      </c>
      <c r="AD1225" s="252">
        <v>0</v>
      </c>
      <c r="AE1225" s="370" t="str">
        <f t="shared" si="163"/>
        <v>|</v>
      </c>
      <c r="AG1225" s="296" t="s">
        <v>2249</v>
      </c>
    </row>
    <row r="1226" spans="6:33" ht="18.75" customHeight="1">
      <c r="F1226" s="356">
        <v>22</v>
      </c>
      <c r="G1226" s="252" t="s">
        <v>1637</v>
      </c>
      <c r="H1226" s="296" t="s">
        <v>859</v>
      </c>
      <c r="I1226" s="252">
        <f>(C67)</f>
        <v>6040</v>
      </c>
      <c r="J1226" s="296" t="s">
        <v>858</v>
      </c>
      <c r="K1226" s="252">
        <f>(F1226*I1226)/1000</f>
        <v>132.88</v>
      </c>
      <c r="N1226" s="252" t="s">
        <v>446</v>
      </c>
      <c r="O1226" s="296" t="s">
        <v>447</v>
      </c>
      <c r="Q1226" s="253" t="s">
        <v>446</v>
      </c>
      <c r="R1226" s="252">
        <v>4.5999999999999996</v>
      </c>
      <c r="S1226" s="356">
        <f>3.27-0.52</f>
        <v>2.75</v>
      </c>
      <c r="T1226" s="252">
        <v>2.74</v>
      </c>
      <c r="W1226" s="253"/>
      <c r="AB1226" s="252">
        <f t="shared" si="164"/>
        <v>0</v>
      </c>
      <c r="AC1226" s="296"/>
      <c r="AD1226" s="358" t="s">
        <v>1579</v>
      </c>
      <c r="AE1226" s="370" t="str">
        <f t="shared" si="163"/>
        <v>|</v>
      </c>
      <c r="AG1226" s="296" t="s">
        <v>2249</v>
      </c>
    </row>
    <row r="1227" spans="6:33" ht="18.75" customHeight="1">
      <c r="F1227" s="252">
        <v>1.6</v>
      </c>
      <c r="G1227" s="252" t="s">
        <v>766</v>
      </c>
      <c r="H1227" s="296" t="s">
        <v>1704</v>
      </c>
      <c r="I1227" s="252">
        <f>(C11)</f>
        <v>932</v>
      </c>
      <c r="J1227" s="296" t="s">
        <v>766</v>
      </c>
      <c r="K1227" s="252">
        <f>(F1227*I1227)</f>
        <v>1491.2</v>
      </c>
      <c r="Q1227" s="253"/>
      <c r="R1227" s="358" t="s">
        <v>1579</v>
      </c>
      <c r="W1227" s="253"/>
      <c r="AA1227" s="296" t="s">
        <v>438</v>
      </c>
      <c r="AC1227" s="296"/>
      <c r="AD1227" s="252">
        <f>SUM(AD1213:AD1225)</f>
        <v>22969.07</v>
      </c>
      <c r="AE1227" s="370" t="str">
        <f t="shared" si="163"/>
        <v>|::</v>
      </c>
      <c r="AG1227" s="296" t="s">
        <v>318</v>
      </c>
    </row>
    <row r="1228" spans="6:33" ht="18.75" customHeight="1">
      <c r="F1228" s="252">
        <v>0.5</v>
      </c>
      <c r="G1228" s="252" t="s">
        <v>766</v>
      </c>
      <c r="H1228" s="296" t="s">
        <v>1893</v>
      </c>
      <c r="I1228" s="252">
        <f>(C12)</f>
        <v>651</v>
      </c>
      <c r="J1228" s="296" t="s">
        <v>766</v>
      </c>
      <c r="K1228" s="252">
        <f>(F1228*I1228)</f>
        <v>325.5</v>
      </c>
      <c r="O1228" s="296" t="s">
        <v>438</v>
      </c>
      <c r="Q1228" s="253"/>
      <c r="R1228" s="252">
        <f>SUM(R1215:R1226)</f>
        <v>14861.33</v>
      </c>
      <c r="T1228" s="252">
        <f>SUM(T1215:T1227)</f>
        <v>15269.67</v>
      </c>
      <c r="W1228" s="253"/>
      <c r="AC1228" s="296"/>
      <c r="AD1228" s="358" t="s">
        <v>1579</v>
      </c>
      <c r="AE1228" s="370">
        <f t="shared" si="163"/>
        <v>0</v>
      </c>
    </row>
    <row r="1229" spans="6:33" ht="18.75" customHeight="1">
      <c r="F1229" s="252">
        <v>1.1000000000000001</v>
      </c>
      <c r="G1229" s="252" t="s">
        <v>766</v>
      </c>
      <c r="H1229" s="296" t="s">
        <v>317</v>
      </c>
      <c r="I1229" s="252">
        <f>(C13)</f>
        <v>534</v>
      </c>
      <c r="J1229" s="296" t="s">
        <v>766</v>
      </c>
      <c r="K1229" s="252">
        <f>(F1229*I1229)</f>
        <v>587.4</v>
      </c>
      <c r="Q1229" s="253"/>
      <c r="R1229" s="358" t="s">
        <v>1579</v>
      </c>
      <c r="W1229" s="253"/>
      <c r="AA1229" s="255" t="s">
        <v>549</v>
      </c>
      <c r="AC1229" s="296"/>
      <c r="AD1229" s="274">
        <f>(AD1227/10)</f>
        <v>2296.91</v>
      </c>
      <c r="AE1229" s="370">
        <f t="shared" si="163"/>
        <v>0</v>
      </c>
    </row>
    <row r="1230" spans="6:33" ht="18.75" customHeight="1">
      <c r="F1230" s="296" t="s">
        <v>246</v>
      </c>
      <c r="H1230" s="296" t="s">
        <v>1870</v>
      </c>
      <c r="I1230" s="296" t="s">
        <v>971</v>
      </c>
      <c r="K1230" s="296" t="s">
        <v>971</v>
      </c>
      <c r="O1230" s="276" t="s">
        <v>549</v>
      </c>
      <c r="Q1230" s="253"/>
      <c r="R1230" s="274">
        <f>(R1228/10)</f>
        <v>1486.13</v>
      </c>
      <c r="S1230" s="356">
        <f>R1230-975.62</f>
        <v>510.51</v>
      </c>
      <c r="T1230" s="274">
        <f>(T1228/10)</f>
        <v>1526.97</v>
      </c>
      <c r="W1230" s="253"/>
      <c r="AC1230" s="296"/>
      <c r="AD1230" s="358" t="s">
        <v>2046</v>
      </c>
      <c r="AE1230" s="370" t="str">
        <f t="shared" si="163"/>
        <v>|</v>
      </c>
      <c r="AG1230" s="296" t="s">
        <v>2249</v>
      </c>
    </row>
    <row r="1231" spans="6:33" ht="18.75" customHeight="1">
      <c r="F1231" s="252">
        <v>1</v>
      </c>
      <c r="G1231" s="252" t="s">
        <v>446</v>
      </c>
      <c r="H1231" s="296" t="s">
        <v>1871</v>
      </c>
      <c r="I1231" s="252">
        <f>(C57)</f>
        <v>28.58</v>
      </c>
      <c r="J1231" s="296" t="s">
        <v>446</v>
      </c>
      <c r="K1231" s="252">
        <f>(F1231*I1231)</f>
        <v>28.58</v>
      </c>
      <c r="O1231" s="461" t="s">
        <v>3863</v>
      </c>
      <c r="P1231" s="274"/>
      <c r="Q1231" s="253"/>
      <c r="W1231" s="253"/>
      <c r="AE1231" s="370" t="str">
        <f t="shared" si="163"/>
        <v>|</v>
      </c>
      <c r="AG1231" s="296" t="s">
        <v>2249</v>
      </c>
    </row>
    <row r="1232" spans="6:33" ht="18.75" customHeight="1">
      <c r="F1232" s="252">
        <v>1</v>
      </c>
      <c r="G1232" s="252" t="s">
        <v>446</v>
      </c>
      <c r="H1232" s="296" t="s">
        <v>1872</v>
      </c>
      <c r="I1232" s="252">
        <f>(C58)</f>
        <v>11.9</v>
      </c>
      <c r="J1232" s="296" t="s">
        <v>446</v>
      </c>
      <c r="K1232" s="252">
        <f>(F1232*I1232)</f>
        <v>11.9</v>
      </c>
      <c r="Q1232" s="253"/>
      <c r="W1232" s="253"/>
      <c r="AE1232" s="370" t="str">
        <f t="shared" si="163"/>
        <v>|</v>
      </c>
      <c r="AG1232" s="296" t="s">
        <v>2249</v>
      </c>
    </row>
    <row r="1233" spans="6:33" ht="18.75" customHeight="1">
      <c r="F1233" s="252">
        <v>1</v>
      </c>
      <c r="G1233" s="252" t="s">
        <v>446</v>
      </c>
      <c r="H1233" s="296" t="s">
        <v>177</v>
      </c>
      <c r="I1233" s="252">
        <f>(C28)</f>
        <v>86.4</v>
      </c>
      <c r="J1233" s="296" t="s">
        <v>446</v>
      </c>
      <c r="K1233" s="252">
        <f>(F1233*I1233)</f>
        <v>86.4</v>
      </c>
      <c r="M1233" s="464"/>
      <c r="N1233" s="464"/>
      <c r="O1233" s="464"/>
      <c r="P1233" s="464"/>
      <c r="Q1233" s="253"/>
      <c r="W1233" s="253"/>
      <c r="AE1233" s="370" t="str">
        <f t="shared" si="163"/>
        <v>|</v>
      </c>
      <c r="AG1233" s="296" t="s">
        <v>2249</v>
      </c>
    </row>
    <row r="1234" spans="6:33" ht="18.75" customHeight="1">
      <c r="F1234" s="252">
        <v>1.1000000000000001</v>
      </c>
      <c r="G1234" s="252" t="s">
        <v>766</v>
      </c>
      <c r="H1234" s="296" t="s">
        <v>853</v>
      </c>
      <c r="I1234" s="252">
        <f>(C29)</f>
        <v>769</v>
      </c>
      <c r="J1234" s="296" t="s">
        <v>766</v>
      </c>
      <c r="K1234" s="252">
        <f>(F1234*I1234)</f>
        <v>845.9</v>
      </c>
      <c r="M1234" s="252">
        <v>10</v>
      </c>
      <c r="N1234" s="252" t="s">
        <v>606</v>
      </c>
      <c r="O1234" s="296" t="s">
        <v>4889</v>
      </c>
      <c r="P1234" s="362">
        <v>658</v>
      </c>
      <c r="Q1234" s="253" t="s">
        <v>606</v>
      </c>
      <c r="R1234" s="252">
        <f>M1234*P1234</f>
        <v>6580</v>
      </c>
      <c r="U1234" s="461" t="s">
        <v>3890</v>
      </c>
      <c r="W1234" s="253"/>
      <c r="AE1234" s="370" t="str">
        <f t="shared" si="163"/>
        <v>|</v>
      </c>
      <c r="AG1234" s="296" t="s">
        <v>2249</v>
      </c>
    </row>
    <row r="1235" spans="6:33" ht="18.75" customHeight="1">
      <c r="F1235" s="252">
        <v>2.2000000000000002</v>
      </c>
      <c r="G1235" s="252" t="s">
        <v>766</v>
      </c>
      <c r="H1235" s="296" t="s">
        <v>854</v>
      </c>
      <c r="I1235" s="252">
        <f>(C13)</f>
        <v>534</v>
      </c>
      <c r="J1235" s="296" t="s">
        <v>766</v>
      </c>
      <c r="K1235" s="252">
        <f>(F1235*I1235)</f>
        <v>1174.8</v>
      </c>
      <c r="M1235" s="252">
        <v>0.21</v>
      </c>
      <c r="N1235" s="252" t="s">
        <v>866</v>
      </c>
      <c r="O1235" s="296" t="s">
        <v>1868</v>
      </c>
      <c r="P1235" s="252">
        <f>P1258</f>
        <v>4861.3</v>
      </c>
      <c r="Q1235" s="253" t="s">
        <v>866</v>
      </c>
      <c r="R1235" s="252">
        <f>(M1235*P1235)</f>
        <v>1020.87</v>
      </c>
      <c r="W1235" s="253"/>
      <c r="AE1235" s="370" t="str">
        <f t="shared" si="163"/>
        <v>|</v>
      </c>
      <c r="AG1235" s="296" t="s">
        <v>2249</v>
      </c>
    </row>
    <row r="1236" spans="6:33" ht="18.75" customHeight="1">
      <c r="G1236" s="252" t="s">
        <v>446</v>
      </c>
      <c r="H1236" s="296" t="s">
        <v>447</v>
      </c>
      <c r="J1236" s="296" t="s">
        <v>446</v>
      </c>
      <c r="K1236" s="252">
        <v>0</v>
      </c>
      <c r="M1236" s="252">
        <v>1.1000000000000001</v>
      </c>
      <c r="N1236" s="252" t="s">
        <v>766</v>
      </c>
      <c r="O1236" s="296" t="s">
        <v>2000</v>
      </c>
      <c r="P1236" s="252">
        <f t="shared" ref="P1236:P1244" si="167">P1259</f>
        <v>999</v>
      </c>
      <c r="Q1236" s="253" t="s">
        <v>766</v>
      </c>
      <c r="R1236" s="252">
        <f>(M1236*P1236)</f>
        <v>1098.9000000000001</v>
      </c>
      <c r="W1236" s="253"/>
      <c r="AE1236" s="370" t="str">
        <f t="shared" si="163"/>
        <v>|</v>
      </c>
      <c r="AG1236" s="296" t="s">
        <v>2249</v>
      </c>
    </row>
    <row r="1237" spans="6:33" ht="18.75" customHeight="1">
      <c r="K1237" s="358" t="s">
        <v>1579</v>
      </c>
      <c r="M1237" s="252">
        <v>1.1000000000000001</v>
      </c>
      <c r="N1237" s="252" t="s">
        <v>766</v>
      </c>
      <c r="O1237" s="296" t="s">
        <v>1704</v>
      </c>
      <c r="P1237" s="252">
        <f t="shared" si="167"/>
        <v>932</v>
      </c>
      <c r="Q1237" s="253" t="s">
        <v>766</v>
      </c>
      <c r="R1237" s="252">
        <f>(M1237*P1237)</f>
        <v>1025.2</v>
      </c>
      <c r="S1237" s="356">
        <v>10</v>
      </c>
      <c r="T1237" s="252" t="s">
        <v>606</v>
      </c>
      <c r="U1237" s="296" t="s">
        <v>5612</v>
      </c>
      <c r="V1237" s="435">
        <v>658</v>
      </c>
      <c r="W1237" s="253" t="s">
        <v>606</v>
      </c>
      <c r="X1237" s="252">
        <f>S1237*V1237</f>
        <v>6580</v>
      </c>
      <c r="Y1237" s="375">
        <v>29.5</v>
      </c>
      <c r="Z1237" s="252" t="s">
        <v>2241</v>
      </c>
      <c r="AA1237" s="276" t="s">
        <v>3785</v>
      </c>
      <c r="AE1237" s="370" t="str">
        <f t="shared" si="163"/>
        <v>|</v>
      </c>
      <c r="AG1237" s="296" t="s">
        <v>2249</v>
      </c>
    </row>
    <row r="1238" spans="6:33" ht="18.75" customHeight="1">
      <c r="H1238" s="296" t="s">
        <v>438</v>
      </c>
      <c r="K1238" s="252">
        <f>SUM(K1218:K1236)</f>
        <v>12341.65</v>
      </c>
      <c r="M1238" s="252">
        <v>2.2000000000000002</v>
      </c>
      <c r="N1238" s="252" t="s">
        <v>766</v>
      </c>
      <c r="O1238" s="296" t="s">
        <v>1893</v>
      </c>
      <c r="P1238" s="252">
        <f t="shared" si="167"/>
        <v>651</v>
      </c>
      <c r="Q1238" s="253" t="s">
        <v>766</v>
      </c>
      <c r="R1238" s="252">
        <f>(M1238*P1238)</f>
        <v>1432.2</v>
      </c>
      <c r="S1238" s="356">
        <v>0.21</v>
      </c>
      <c r="T1238" s="252" t="s">
        <v>866</v>
      </c>
      <c r="U1238" s="296" t="s">
        <v>1868</v>
      </c>
      <c r="V1238" s="252">
        <f t="shared" ref="V1238:V1247" si="168">P1258</f>
        <v>4861.3</v>
      </c>
      <c r="W1238" s="253" t="s">
        <v>866</v>
      </c>
      <c r="X1238" s="252">
        <f>(S1238*V1238)</f>
        <v>1020.87</v>
      </c>
      <c r="AA1238" s="296"/>
      <c r="AE1238" s="370" t="str">
        <f t="shared" si="163"/>
        <v>|</v>
      </c>
      <c r="AG1238" s="296" t="s">
        <v>2249</v>
      </c>
    </row>
    <row r="1239" spans="6:33" ht="18.75" customHeight="1">
      <c r="K1239" s="358" t="s">
        <v>1579</v>
      </c>
      <c r="M1239" s="252">
        <v>2.2000000000000002</v>
      </c>
      <c r="N1239" s="252" t="s">
        <v>766</v>
      </c>
      <c r="O1239" s="296" t="s">
        <v>317</v>
      </c>
      <c r="P1239" s="252">
        <f t="shared" si="167"/>
        <v>534</v>
      </c>
      <c r="Q1239" s="253" t="s">
        <v>766</v>
      </c>
      <c r="R1239" s="252">
        <f>(M1239*P1239)</f>
        <v>1174.8</v>
      </c>
      <c r="S1239" s="356">
        <v>1.1000000000000001</v>
      </c>
      <c r="T1239" s="252" t="s">
        <v>766</v>
      </c>
      <c r="U1239" s="296" t="s">
        <v>2000</v>
      </c>
      <c r="V1239" s="252">
        <f t="shared" si="168"/>
        <v>999</v>
      </c>
      <c r="W1239" s="253" t="s">
        <v>766</v>
      </c>
      <c r="X1239" s="252">
        <f>(S1239*V1239)</f>
        <v>1098.9000000000001</v>
      </c>
      <c r="AA1239" s="296"/>
      <c r="AE1239" s="370" t="str">
        <f t="shared" si="163"/>
        <v>|</v>
      </c>
      <c r="AG1239" s="296" t="s">
        <v>2249</v>
      </c>
    </row>
    <row r="1240" spans="6:33" ht="18.75" customHeight="1">
      <c r="F1240" s="296" t="s">
        <v>971</v>
      </c>
      <c r="M1240" s="356">
        <v>20</v>
      </c>
      <c r="N1240" s="252" t="s">
        <v>1637</v>
      </c>
      <c r="O1240" s="296" t="s">
        <v>859</v>
      </c>
      <c r="P1240" s="252">
        <f t="shared" si="167"/>
        <v>6040</v>
      </c>
      <c r="Q1240" s="253" t="s">
        <v>858</v>
      </c>
      <c r="R1240" s="252">
        <f>(M1240*P1240)/1000</f>
        <v>120.8</v>
      </c>
      <c r="S1240" s="356">
        <v>1.1000000000000001</v>
      </c>
      <c r="T1240" s="252" t="s">
        <v>766</v>
      </c>
      <c r="U1240" s="296" t="s">
        <v>1704</v>
      </c>
      <c r="V1240" s="252">
        <f t="shared" si="168"/>
        <v>932</v>
      </c>
      <c r="W1240" s="253" t="s">
        <v>766</v>
      </c>
      <c r="X1240" s="252">
        <f>(S1240*V1240)</f>
        <v>1025.2</v>
      </c>
      <c r="AA1240" s="358" t="s">
        <v>1579</v>
      </c>
      <c r="AB1240" s="358" t="s">
        <v>1579</v>
      </c>
      <c r="AC1240" s="296"/>
      <c r="AE1240" s="370" t="str">
        <f t="shared" si="163"/>
        <v>|</v>
      </c>
      <c r="AG1240" s="296" t="s">
        <v>2249</v>
      </c>
    </row>
    <row r="1241" spans="6:33" ht="18.75" customHeight="1">
      <c r="H1241" s="255" t="s">
        <v>549</v>
      </c>
      <c r="K1241" s="274">
        <f>(K1238/10)</f>
        <v>1234.17</v>
      </c>
      <c r="M1241" s="356">
        <v>2</v>
      </c>
      <c r="N1241" s="252" t="s">
        <v>1637</v>
      </c>
      <c r="O1241" s="296" t="s">
        <v>1521</v>
      </c>
      <c r="P1241" s="252">
        <f t="shared" si="167"/>
        <v>36.1</v>
      </c>
      <c r="Q1241" s="253" t="s">
        <v>1637</v>
      </c>
      <c r="R1241" s="252">
        <f>(M1241*P1241)</f>
        <v>72.2</v>
      </c>
      <c r="S1241" s="356">
        <v>2.2000000000000002</v>
      </c>
      <c r="T1241" s="252" t="s">
        <v>766</v>
      </c>
      <c r="U1241" s="296" t="s">
        <v>1893</v>
      </c>
      <c r="V1241" s="252">
        <f t="shared" si="168"/>
        <v>651</v>
      </c>
      <c r="W1241" s="253" t="s">
        <v>766</v>
      </c>
      <c r="X1241" s="252">
        <f>(S1241*V1241)</f>
        <v>1432.2</v>
      </c>
      <c r="Y1241" s="252">
        <v>10</v>
      </c>
      <c r="Z1241" s="252" t="s">
        <v>606</v>
      </c>
      <c r="AA1241" s="260" t="s">
        <v>4890</v>
      </c>
      <c r="AB1241" s="362">
        <v>793</v>
      </c>
      <c r="AC1241" s="296" t="s">
        <v>606</v>
      </c>
      <c r="AD1241" s="252">
        <f>(Y1241*AB1241)</f>
        <v>7930</v>
      </c>
      <c r="AE1241" s="370" t="str">
        <f t="shared" si="163"/>
        <v>|</v>
      </c>
      <c r="AG1241" s="296" t="s">
        <v>2249</v>
      </c>
    </row>
    <row r="1242" spans="6:33" ht="18.75" customHeight="1">
      <c r="F1242" s="296" t="s">
        <v>971</v>
      </c>
      <c r="M1242" s="252">
        <v>1.6</v>
      </c>
      <c r="N1242" s="252" t="s">
        <v>766</v>
      </c>
      <c r="O1242" s="296" t="s">
        <v>1704</v>
      </c>
      <c r="P1242" s="252">
        <f t="shared" si="167"/>
        <v>932</v>
      </c>
      <c r="Q1242" s="253" t="s">
        <v>766</v>
      </c>
      <c r="R1242" s="252">
        <f>(M1242*P1242)</f>
        <v>1491.2</v>
      </c>
      <c r="S1242" s="356">
        <v>2.2000000000000002</v>
      </c>
      <c r="T1242" s="252" t="s">
        <v>766</v>
      </c>
      <c r="U1242" s="296" t="s">
        <v>317</v>
      </c>
      <c r="V1242" s="252">
        <f t="shared" si="168"/>
        <v>534</v>
      </c>
      <c r="W1242" s="253" t="s">
        <v>766</v>
      </c>
      <c r="X1242" s="252">
        <f>(S1242*V1242)</f>
        <v>1174.8</v>
      </c>
      <c r="Y1242" s="252">
        <v>0.21</v>
      </c>
      <c r="Z1242" s="252" t="s">
        <v>866</v>
      </c>
      <c r="AA1242" s="296" t="s">
        <v>1868</v>
      </c>
      <c r="AB1242" s="252">
        <f>V1238</f>
        <v>4861.3</v>
      </c>
      <c r="AC1242" s="296" t="s">
        <v>866</v>
      </c>
      <c r="AD1242" s="252">
        <f>(Y1242*AB1242)</f>
        <v>1020.87</v>
      </c>
      <c r="AE1242" s="370" t="str">
        <f t="shared" si="163"/>
        <v>|</v>
      </c>
      <c r="AG1242" s="296" t="s">
        <v>2249</v>
      </c>
    </row>
    <row r="1243" spans="6:33" ht="18.75" customHeight="1">
      <c r="K1243" s="358" t="s">
        <v>2046</v>
      </c>
      <c r="M1243" s="252">
        <v>0.5</v>
      </c>
      <c r="N1243" s="252" t="s">
        <v>766</v>
      </c>
      <c r="O1243" s="296" t="s">
        <v>1893</v>
      </c>
      <c r="P1243" s="252">
        <f t="shared" si="167"/>
        <v>651</v>
      </c>
      <c r="Q1243" s="253" t="s">
        <v>766</v>
      </c>
      <c r="R1243" s="252">
        <f>(M1243*P1243)</f>
        <v>325.5</v>
      </c>
      <c r="S1243" s="356">
        <v>20</v>
      </c>
      <c r="T1243" s="252" t="s">
        <v>1637</v>
      </c>
      <c r="U1243" s="296" t="s">
        <v>859</v>
      </c>
      <c r="V1243" s="252">
        <f t="shared" si="168"/>
        <v>6040</v>
      </c>
      <c r="W1243" s="253" t="s">
        <v>858</v>
      </c>
      <c r="X1243" s="252">
        <f>(S1243*V1243)/1000</f>
        <v>120.8</v>
      </c>
      <c r="AA1243" s="296" t="s">
        <v>1869</v>
      </c>
      <c r="AB1243" s="296" t="s">
        <v>971</v>
      </c>
      <c r="AC1243" s="296"/>
      <c r="AD1243" s="296" t="s">
        <v>971</v>
      </c>
      <c r="AE1243" s="370" t="str">
        <f t="shared" si="163"/>
        <v>|</v>
      </c>
      <c r="AG1243" s="296" t="s">
        <v>2249</v>
      </c>
    </row>
    <row r="1244" spans="6:33" ht="18.75" customHeight="1">
      <c r="F1244" s="375">
        <v>29.5</v>
      </c>
      <c r="G1244" s="252" t="s">
        <v>2241</v>
      </c>
      <c r="H1244" s="296" t="s">
        <v>1805</v>
      </c>
      <c r="M1244" s="252">
        <v>1.1000000000000001</v>
      </c>
      <c r="N1244" s="252" t="s">
        <v>766</v>
      </c>
      <c r="O1244" s="296" t="s">
        <v>317</v>
      </c>
      <c r="P1244" s="252">
        <f t="shared" si="167"/>
        <v>534</v>
      </c>
      <c r="Q1244" s="253" t="s">
        <v>766</v>
      </c>
      <c r="R1244" s="252">
        <f>(M1244*P1244)</f>
        <v>587.4</v>
      </c>
      <c r="S1244" s="356">
        <v>2</v>
      </c>
      <c r="T1244" s="252" t="s">
        <v>1637</v>
      </c>
      <c r="U1244" s="296" t="s">
        <v>1521</v>
      </c>
      <c r="V1244" s="252">
        <f t="shared" si="168"/>
        <v>36.1</v>
      </c>
      <c r="W1244" s="253" t="s">
        <v>1637</v>
      </c>
      <c r="X1244" s="252">
        <f>(S1244*V1244)</f>
        <v>72.2</v>
      </c>
      <c r="Y1244" s="252">
        <v>1.1000000000000001</v>
      </c>
      <c r="Z1244" s="252" t="s">
        <v>766</v>
      </c>
      <c r="AA1244" s="296" t="s">
        <v>2000</v>
      </c>
      <c r="AB1244" s="252">
        <f>V1239</f>
        <v>999</v>
      </c>
      <c r="AC1244" s="296" t="s">
        <v>766</v>
      </c>
      <c r="AD1244" s="252">
        <f>(Y1244*AB1244)</f>
        <v>1098.9000000000001</v>
      </c>
      <c r="AE1244" s="370" t="str">
        <f t="shared" si="163"/>
        <v>|</v>
      </c>
      <c r="AG1244" s="296" t="s">
        <v>2249</v>
      </c>
    </row>
    <row r="1245" spans="6:33" ht="18.75" customHeight="1">
      <c r="H1245" s="296" t="s">
        <v>855</v>
      </c>
      <c r="N1245" s="252" t="s">
        <v>446</v>
      </c>
      <c r="O1245" s="296" t="s">
        <v>447</v>
      </c>
      <c r="Q1245" s="253" t="s">
        <v>446</v>
      </c>
      <c r="R1245" s="252">
        <v>0</v>
      </c>
      <c r="S1245" s="356">
        <v>1.6</v>
      </c>
      <c r="T1245" s="252" t="s">
        <v>766</v>
      </c>
      <c r="U1245" s="296" t="s">
        <v>1704</v>
      </c>
      <c r="V1245" s="252">
        <f t="shared" si="168"/>
        <v>932</v>
      </c>
      <c r="W1245" s="253" t="s">
        <v>766</v>
      </c>
      <c r="X1245" s="252">
        <f>(S1245*V1245)</f>
        <v>1491.2</v>
      </c>
      <c r="Y1245" s="252">
        <v>1.1000000000000001</v>
      </c>
      <c r="Z1245" s="252" t="s">
        <v>766</v>
      </c>
      <c r="AA1245" s="296" t="s">
        <v>1704</v>
      </c>
      <c r="AB1245" s="252">
        <f>V1240</f>
        <v>932</v>
      </c>
      <c r="AC1245" s="296" t="s">
        <v>766</v>
      </c>
      <c r="AD1245" s="252">
        <f>(Y1245*AB1245)</f>
        <v>1025.2</v>
      </c>
      <c r="AE1245" s="370" t="str">
        <f t="shared" si="163"/>
        <v>|</v>
      </c>
      <c r="AG1245" s="296" t="s">
        <v>2249</v>
      </c>
    </row>
    <row r="1246" spans="6:33" ht="18.75" customHeight="1">
      <c r="H1246" s="296" t="s">
        <v>1927</v>
      </c>
      <c r="Q1246" s="253"/>
      <c r="R1246" s="358"/>
      <c r="S1246" s="356">
        <v>0.5</v>
      </c>
      <c r="T1246" s="252" t="s">
        <v>766</v>
      </c>
      <c r="U1246" s="296" t="s">
        <v>1893</v>
      </c>
      <c r="V1246" s="252">
        <f t="shared" si="168"/>
        <v>651</v>
      </c>
      <c r="W1246" s="253" t="s">
        <v>766</v>
      </c>
      <c r="X1246" s="252">
        <f>(S1246*V1246)</f>
        <v>325.5</v>
      </c>
      <c r="Y1246" s="252">
        <v>2.2000000000000002</v>
      </c>
      <c r="Z1246" s="252" t="s">
        <v>766</v>
      </c>
      <c r="AA1246" s="296" t="s">
        <v>1893</v>
      </c>
      <c r="AB1246" s="252">
        <f>V1241</f>
        <v>651</v>
      </c>
      <c r="AC1246" s="296" t="s">
        <v>766</v>
      </c>
      <c r="AD1246" s="252">
        <f>(Y1246*AB1246)</f>
        <v>1432.2</v>
      </c>
      <c r="AE1246" s="370" t="str">
        <f t="shared" si="163"/>
        <v>|</v>
      </c>
      <c r="AG1246" s="296" t="s">
        <v>2249</v>
      </c>
    </row>
    <row r="1247" spans="6:33" ht="18.75" customHeight="1">
      <c r="H1247" s="358" t="s">
        <v>1579</v>
      </c>
      <c r="I1247" s="358" t="s">
        <v>1579</v>
      </c>
      <c r="O1247" s="296" t="s">
        <v>438</v>
      </c>
      <c r="Q1247" s="253"/>
      <c r="R1247" s="252">
        <f>SUM(R1234:R1245)</f>
        <v>14929.07</v>
      </c>
      <c r="S1247" s="356">
        <v>1.1000000000000001</v>
      </c>
      <c r="T1247" s="252" t="s">
        <v>766</v>
      </c>
      <c r="U1247" s="296" t="s">
        <v>317</v>
      </c>
      <c r="V1247" s="252">
        <f t="shared" si="168"/>
        <v>534</v>
      </c>
      <c r="W1247" s="253" t="s">
        <v>766</v>
      </c>
      <c r="X1247" s="252">
        <f>(S1247*V1247)</f>
        <v>587.4</v>
      </c>
      <c r="Y1247" s="252">
        <v>2.2000000000000002</v>
      </c>
      <c r="Z1247" s="252" t="s">
        <v>766</v>
      </c>
      <c r="AA1247" s="296" t="s">
        <v>317</v>
      </c>
      <c r="AB1247" s="252">
        <f>V1242</f>
        <v>534</v>
      </c>
      <c r="AC1247" s="296" t="s">
        <v>766</v>
      </c>
      <c r="AD1247" s="252">
        <f>(Y1247*AB1247)</f>
        <v>1174.8</v>
      </c>
      <c r="AE1247" s="370" t="str">
        <f t="shared" si="163"/>
        <v>|</v>
      </c>
      <c r="AG1247" s="296" t="s">
        <v>2249</v>
      </c>
    </row>
    <row r="1248" spans="6:33" ht="18.75" customHeight="1">
      <c r="F1248" s="252">
        <v>10</v>
      </c>
      <c r="G1248" s="252" t="s">
        <v>606</v>
      </c>
      <c r="H1248" s="296" t="s">
        <v>1928</v>
      </c>
      <c r="I1248" s="252">
        <f>C601</f>
        <v>377.86</v>
      </c>
      <c r="J1248" s="296" t="s">
        <v>606</v>
      </c>
      <c r="K1248" s="252">
        <f>(F1248*I1248)</f>
        <v>3778.6</v>
      </c>
      <c r="Q1248" s="253"/>
      <c r="R1248" s="358" t="s">
        <v>1579</v>
      </c>
      <c r="T1248" s="252" t="s">
        <v>446</v>
      </c>
      <c r="U1248" s="296" t="s">
        <v>447</v>
      </c>
      <c r="W1248" s="253" t="s">
        <v>446</v>
      </c>
      <c r="X1248" s="252">
        <v>0.18</v>
      </c>
      <c r="Y1248" s="356">
        <v>20</v>
      </c>
      <c r="Z1248" s="252" t="s">
        <v>1637</v>
      </c>
      <c r="AA1248" s="296" t="s">
        <v>859</v>
      </c>
      <c r="AB1248" s="252">
        <f>V1243</f>
        <v>6040</v>
      </c>
      <c r="AC1248" s="296" t="s">
        <v>858</v>
      </c>
      <c r="AD1248" s="252">
        <f>(Y1248*AB1248)/1000</f>
        <v>120.8</v>
      </c>
      <c r="AE1248" s="370" t="str">
        <f t="shared" si="163"/>
        <v>|</v>
      </c>
      <c r="AG1248" s="296" t="s">
        <v>2249</v>
      </c>
    </row>
    <row r="1249" spans="6:33" ht="18.75" customHeight="1">
      <c r="F1249" s="252">
        <v>0.21</v>
      </c>
      <c r="G1249" s="252" t="s">
        <v>866</v>
      </c>
      <c r="H1249" s="296" t="s">
        <v>1868</v>
      </c>
      <c r="I1249" s="252">
        <f>(K32)</f>
        <v>4861.3</v>
      </c>
      <c r="J1249" s="296" t="s">
        <v>866</v>
      </c>
      <c r="K1249" s="252">
        <f>(F1249*I1249)</f>
        <v>1020.87</v>
      </c>
      <c r="O1249" s="276" t="s">
        <v>549</v>
      </c>
      <c r="Q1249" s="253"/>
      <c r="R1249" s="274">
        <f>(R1247/10)</f>
        <v>1492.91</v>
      </c>
      <c r="W1249" s="253"/>
      <c r="X1249" s="358" t="s">
        <v>1579</v>
      </c>
      <c r="Y1249" s="356">
        <v>2</v>
      </c>
      <c r="Z1249" s="252" t="s">
        <v>1637</v>
      </c>
      <c r="AA1249" s="296" t="s">
        <v>2072</v>
      </c>
      <c r="AB1249" s="314">
        <v>36.1</v>
      </c>
      <c r="AC1249" s="296" t="s">
        <v>1637</v>
      </c>
      <c r="AD1249" s="252">
        <f>(Y1249*AB1249)</f>
        <v>72.2</v>
      </c>
      <c r="AE1249" s="370">
        <f t="shared" si="163"/>
        <v>0</v>
      </c>
    </row>
    <row r="1250" spans="6:33" ht="18.75" customHeight="1">
      <c r="H1250" s="296" t="s">
        <v>1869</v>
      </c>
      <c r="I1250" s="296" t="s">
        <v>971</v>
      </c>
      <c r="K1250" s="296" t="s">
        <v>971</v>
      </c>
      <c r="Q1250" s="253"/>
      <c r="R1250" s="358"/>
      <c r="U1250" s="296" t="s">
        <v>438</v>
      </c>
      <c r="W1250" s="253"/>
      <c r="X1250" s="252">
        <f>SUM(X1237:X1248)</f>
        <v>14929.25</v>
      </c>
      <c r="Y1250" s="252">
        <v>1.6</v>
      </c>
      <c r="Z1250" s="252" t="s">
        <v>766</v>
      </c>
      <c r="AA1250" s="296" t="s">
        <v>1704</v>
      </c>
      <c r="AB1250" s="252">
        <f>V1245</f>
        <v>932</v>
      </c>
      <c r="AC1250" s="296" t="s">
        <v>766</v>
      </c>
      <c r="AD1250" s="252">
        <f>(Y1250*AB1250)</f>
        <v>1491.2</v>
      </c>
      <c r="AE1250" s="370" t="str">
        <f t="shared" si="163"/>
        <v>|</v>
      </c>
      <c r="AG1250" s="296" t="s">
        <v>2249</v>
      </c>
    </row>
    <row r="1251" spans="6:33" ht="18.75" customHeight="1">
      <c r="F1251" s="252">
        <v>1.1000000000000001</v>
      </c>
      <c r="G1251" s="252" t="s">
        <v>766</v>
      </c>
      <c r="H1251" s="296" t="s">
        <v>2000</v>
      </c>
      <c r="I1251" s="252">
        <f>(C10)</f>
        <v>999</v>
      </c>
      <c r="J1251" s="296" t="s">
        <v>766</v>
      </c>
      <c r="K1251" s="252">
        <f>(F1251*I1251)</f>
        <v>1098.9000000000001</v>
      </c>
      <c r="Q1251" s="253"/>
      <c r="R1251" s="358"/>
      <c r="W1251" s="253"/>
      <c r="X1251" s="358" t="s">
        <v>1579</v>
      </c>
      <c r="Y1251" s="252">
        <v>0.5</v>
      </c>
      <c r="Z1251" s="252" t="s">
        <v>766</v>
      </c>
      <c r="AA1251" s="296" t="s">
        <v>1893</v>
      </c>
      <c r="AB1251" s="252">
        <f>V1246</f>
        <v>651</v>
      </c>
      <c r="AC1251" s="296" t="s">
        <v>766</v>
      </c>
      <c r="AD1251" s="252">
        <f>(Y1251*AB1251)</f>
        <v>325.5</v>
      </c>
      <c r="AE1251" s="370">
        <f t="shared" si="163"/>
        <v>0</v>
      </c>
    </row>
    <row r="1252" spans="6:33" ht="18.75" customHeight="1">
      <c r="F1252" s="252">
        <v>1.1000000000000001</v>
      </c>
      <c r="G1252" s="252" t="s">
        <v>766</v>
      </c>
      <c r="H1252" s="296" t="s">
        <v>1704</v>
      </c>
      <c r="I1252" s="252">
        <f>(C11)</f>
        <v>932</v>
      </c>
      <c r="J1252" s="296" t="s">
        <v>766</v>
      </c>
      <c r="K1252" s="252">
        <f>(F1252*I1252)</f>
        <v>1025.2</v>
      </c>
      <c r="Q1252" s="253"/>
      <c r="R1252" s="358"/>
      <c r="U1252" s="276" t="s">
        <v>549</v>
      </c>
      <c r="W1252" s="253"/>
      <c r="X1252" s="274">
        <f>(X1250/10)</f>
        <v>1492.93</v>
      </c>
      <c r="Y1252" s="252">
        <v>1.1000000000000001</v>
      </c>
      <c r="Z1252" s="252" t="s">
        <v>766</v>
      </c>
      <c r="AA1252" s="296" t="s">
        <v>317</v>
      </c>
      <c r="AB1252" s="252">
        <f>V1247</f>
        <v>534</v>
      </c>
      <c r="AC1252" s="296" t="s">
        <v>766</v>
      </c>
      <c r="AD1252" s="252">
        <f>(Y1252*AB1252)</f>
        <v>587.4</v>
      </c>
      <c r="AE1252" s="370" t="str">
        <f t="shared" si="163"/>
        <v>|</v>
      </c>
      <c r="AG1252" s="296" t="s">
        <v>2249</v>
      </c>
    </row>
    <row r="1253" spans="6:33" ht="18.75" customHeight="1">
      <c r="F1253" s="252">
        <v>2.2000000000000002</v>
      </c>
      <c r="G1253" s="252" t="s">
        <v>766</v>
      </c>
      <c r="H1253" s="296" t="s">
        <v>1893</v>
      </c>
      <c r="I1253" s="252">
        <f>(C12)</f>
        <v>651</v>
      </c>
      <c r="J1253" s="296" t="s">
        <v>766</v>
      </c>
      <c r="K1253" s="252">
        <f>(F1253*I1253)</f>
        <v>1432.2</v>
      </c>
      <c r="Q1253" s="253"/>
      <c r="R1253" s="358"/>
      <c r="W1253" s="253"/>
      <c r="Z1253" s="252" t="s">
        <v>446</v>
      </c>
      <c r="AA1253" s="296" t="s">
        <v>447</v>
      </c>
      <c r="AB1253" s="252">
        <f>V1248</f>
        <v>0</v>
      </c>
      <c r="AC1253" s="296" t="s">
        <v>446</v>
      </c>
      <c r="AD1253" s="252">
        <v>0</v>
      </c>
      <c r="AE1253" s="370" t="str">
        <f t="shared" si="163"/>
        <v>|</v>
      </c>
      <c r="AG1253" s="296" t="s">
        <v>2249</v>
      </c>
    </row>
    <row r="1254" spans="6:33" ht="18.75" customHeight="1">
      <c r="F1254" s="252">
        <v>2.2000000000000002</v>
      </c>
      <c r="G1254" s="252" t="s">
        <v>766</v>
      </c>
      <c r="H1254" s="296" t="s">
        <v>317</v>
      </c>
      <c r="I1254" s="252">
        <f>(C13)</f>
        <v>534</v>
      </c>
      <c r="J1254" s="296" t="s">
        <v>766</v>
      </c>
      <c r="K1254" s="252">
        <f>(F1254*I1254)</f>
        <v>1174.8</v>
      </c>
      <c r="M1254" s="465"/>
      <c r="N1254" s="465"/>
      <c r="O1254" s="357" t="s">
        <v>3605</v>
      </c>
      <c r="P1254" s="465"/>
      <c r="Q1254" s="466" t="s">
        <v>3844</v>
      </c>
      <c r="R1254" s="465"/>
      <c r="W1254" s="253"/>
      <c r="AC1254" s="296"/>
      <c r="AD1254" s="358" t="s">
        <v>1579</v>
      </c>
      <c r="AE1254" s="370" t="str">
        <f t="shared" si="163"/>
        <v>|</v>
      </c>
      <c r="AG1254" s="296" t="s">
        <v>2249</v>
      </c>
    </row>
    <row r="1255" spans="6:33" ht="18.75" customHeight="1">
      <c r="F1255" s="356">
        <v>20</v>
      </c>
      <c r="G1255" s="252" t="s">
        <v>1637</v>
      </c>
      <c r="H1255" s="296" t="s">
        <v>859</v>
      </c>
      <c r="I1255" s="252">
        <f>(C67)</f>
        <v>6040</v>
      </c>
      <c r="J1255" s="296" t="s">
        <v>858</v>
      </c>
      <c r="K1255" s="252">
        <f>(F1255*I1255)/1000</f>
        <v>120.8</v>
      </c>
      <c r="M1255" s="465"/>
      <c r="N1255" s="465"/>
      <c r="O1255" s="465"/>
      <c r="P1255" s="465"/>
      <c r="Q1255" s="466"/>
      <c r="R1255" s="465"/>
      <c r="W1255" s="253"/>
      <c r="AA1255" s="296" t="s">
        <v>438</v>
      </c>
      <c r="AC1255" s="296"/>
      <c r="AD1255" s="252">
        <f>SUM(AD1241:AD1253)</f>
        <v>16279.07</v>
      </c>
      <c r="AE1255" s="370" t="str">
        <f t="shared" si="163"/>
        <v>|</v>
      </c>
      <c r="AG1255" s="296" t="s">
        <v>2249</v>
      </c>
    </row>
    <row r="1256" spans="6:33" ht="18.75" customHeight="1">
      <c r="F1256" s="356">
        <v>2</v>
      </c>
      <c r="G1256" s="252" t="s">
        <v>1637</v>
      </c>
      <c r="H1256" s="376" t="s">
        <v>4214</v>
      </c>
      <c r="I1256" s="420">
        <v>36.1</v>
      </c>
      <c r="J1256" s="296" t="s">
        <v>1637</v>
      </c>
      <c r="K1256" s="252">
        <f>(F1256*I1256)</f>
        <v>72.2</v>
      </c>
      <c r="M1256" s="467"/>
      <c r="N1256" s="467"/>
      <c r="O1256" s="467"/>
      <c r="P1256" s="467"/>
      <c r="Q1256" s="466"/>
      <c r="R1256" s="465"/>
      <c r="W1256" s="253"/>
      <c r="AC1256" s="296"/>
      <c r="AD1256" s="358" t="s">
        <v>1579</v>
      </c>
      <c r="AE1256" s="370" t="str">
        <f t="shared" si="163"/>
        <v>|</v>
      </c>
      <c r="AG1256" s="296" t="s">
        <v>2249</v>
      </c>
    </row>
    <row r="1257" spans="6:33" ht="18.75" customHeight="1">
      <c r="F1257" s="252">
        <v>1.6</v>
      </c>
      <c r="G1257" s="252" t="s">
        <v>766</v>
      </c>
      <c r="H1257" s="296" t="s">
        <v>1704</v>
      </c>
      <c r="I1257" s="252">
        <f>(C11)</f>
        <v>932</v>
      </c>
      <c r="J1257" s="296" t="s">
        <v>766</v>
      </c>
      <c r="K1257" s="252">
        <f>(F1257*I1257)</f>
        <v>1491.2</v>
      </c>
      <c r="M1257" s="468">
        <v>10</v>
      </c>
      <c r="N1257" s="468" t="s">
        <v>606</v>
      </c>
      <c r="O1257" s="469" t="s">
        <v>5684</v>
      </c>
      <c r="P1257" s="470">
        <v>421.3</v>
      </c>
      <c r="Q1257" s="466" t="s">
        <v>606</v>
      </c>
      <c r="R1257" s="465">
        <f>M1257*P1257</f>
        <v>4213</v>
      </c>
      <c r="W1257" s="253"/>
      <c r="AA1257" s="255" t="s">
        <v>549</v>
      </c>
      <c r="AC1257" s="296"/>
      <c r="AD1257" s="274">
        <f>(AD1255/10)</f>
        <v>1627.91</v>
      </c>
      <c r="AE1257" s="471" t="s">
        <v>3491</v>
      </c>
      <c r="AG1257" s="296" t="s">
        <v>2249</v>
      </c>
    </row>
    <row r="1258" spans="6:33" ht="18.75" customHeight="1">
      <c r="F1258" s="252">
        <v>0.5</v>
      </c>
      <c r="G1258" s="252" t="s">
        <v>766</v>
      </c>
      <c r="H1258" s="296" t="s">
        <v>1893</v>
      </c>
      <c r="I1258" s="252">
        <f>(C12)</f>
        <v>651</v>
      </c>
      <c r="J1258" s="296" t="s">
        <v>766</v>
      </c>
      <c r="K1258" s="252">
        <f>(F1258*I1258)</f>
        <v>325.5</v>
      </c>
      <c r="M1258" s="465">
        <v>0.21</v>
      </c>
      <c r="N1258" s="465" t="s">
        <v>866</v>
      </c>
      <c r="O1258" s="472" t="s">
        <v>1868</v>
      </c>
      <c r="P1258" s="465">
        <f t="shared" ref="P1258:P1263" si="169">P1216</f>
        <v>4861.3</v>
      </c>
      <c r="Q1258" s="466" t="s">
        <v>866</v>
      </c>
      <c r="R1258" s="465">
        <f t="shared" ref="R1258:R1267" si="170">(M1258*P1258)</f>
        <v>1020.87</v>
      </c>
      <c r="W1258" s="253"/>
      <c r="AC1258" s="296"/>
      <c r="AD1258" s="358" t="s">
        <v>2046</v>
      </c>
      <c r="AE1258" s="370" t="str">
        <f t="shared" si="163"/>
        <v>|</v>
      </c>
      <c r="AG1258" s="296" t="s">
        <v>2249</v>
      </c>
    </row>
    <row r="1259" spans="6:33" ht="18.75" customHeight="1">
      <c r="F1259" s="252">
        <v>1.1000000000000001</v>
      </c>
      <c r="G1259" s="252" t="s">
        <v>766</v>
      </c>
      <c r="H1259" s="296" t="s">
        <v>317</v>
      </c>
      <c r="I1259" s="252">
        <f>(C13)</f>
        <v>534</v>
      </c>
      <c r="J1259" s="296" t="s">
        <v>766</v>
      </c>
      <c r="K1259" s="252">
        <f>(F1259*I1259)</f>
        <v>587.4</v>
      </c>
      <c r="M1259" s="465">
        <v>1.1000000000000001</v>
      </c>
      <c r="N1259" s="465" t="s">
        <v>766</v>
      </c>
      <c r="O1259" s="472" t="s">
        <v>2000</v>
      </c>
      <c r="P1259" s="465">
        <f t="shared" si="169"/>
        <v>999</v>
      </c>
      <c r="Q1259" s="466" t="s">
        <v>766</v>
      </c>
      <c r="R1259" s="465">
        <f t="shared" si="170"/>
        <v>1098.9000000000001</v>
      </c>
      <c r="W1259" s="253"/>
      <c r="Y1259" s="375">
        <v>29.4</v>
      </c>
      <c r="Z1259" s="252" t="s">
        <v>2241</v>
      </c>
      <c r="AA1259" s="296" t="s">
        <v>3493</v>
      </c>
      <c r="AE1259" s="370" t="str">
        <f t="shared" si="163"/>
        <v>|</v>
      </c>
      <c r="AG1259" s="296" t="s">
        <v>2249</v>
      </c>
    </row>
    <row r="1260" spans="6:33" ht="18.75" customHeight="1">
      <c r="G1260" s="252" t="s">
        <v>446</v>
      </c>
      <c r="H1260" s="296" t="s">
        <v>447</v>
      </c>
      <c r="J1260" s="296" t="s">
        <v>446</v>
      </c>
      <c r="K1260" s="252">
        <v>0</v>
      </c>
      <c r="M1260" s="465">
        <v>1.1000000000000001</v>
      </c>
      <c r="N1260" s="465" t="s">
        <v>766</v>
      </c>
      <c r="O1260" s="472" t="s">
        <v>1704</v>
      </c>
      <c r="P1260" s="465">
        <f t="shared" si="169"/>
        <v>932</v>
      </c>
      <c r="Q1260" s="466" t="s">
        <v>766</v>
      </c>
      <c r="R1260" s="465">
        <f t="shared" si="170"/>
        <v>1025.2</v>
      </c>
      <c r="W1260" s="253"/>
      <c r="AA1260" s="296" t="s">
        <v>3494</v>
      </c>
      <c r="AE1260" s="370" t="str">
        <f t="shared" si="163"/>
        <v>|</v>
      </c>
      <c r="AG1260" s="296" t="s">
        <v>2249</v>
      </c>
    </row>
    <row r="1261" spans="6:33" ht="18.75" customHeight="1">
      <c r="K1261" s="358" t="s">
        <v>1579</v>
      </c>
      <c r="M1261" s="465">
        <v>2.2000000000000002</v>
      </c>
      <c r="N1261" s="465" t="s">
        <v>766</v>
      </c>
      <c r="O1261" s="472" t="s">
        <v>1893</v>
      </c>
      <c r="P1261" s="465">
        <f t="shared" si="169"/>
        <v>651</v>
      </c>
      <c r="Q1261" s="466" t="s">
        <v>766</v>
      </c>
      <c r="R1261" s="465">
        <f t="shared" si="170"/>
        <v>1432.2</v>
      </c>
      <c r="W1261" s="253"/>
      <c r="AA1261" s="358" t="s">
        <v>1579</v>
      </c>
      <c r="AE1261" s="370" t="str">
        <f t="shared" si="163"/>
        <v>|</v>
      </c>
      <c r="AG1261" s="296" t="s">
        <v>2249</v>
      </c>
    </row>
    <row r="1262" spans="6:33" ht="18.75" customHeight="1">
      <c r="H1262" s="296" t="s">
        <v>438</v>
      </c>
      <c r="K1262" s="252">
        <f>SUM(K1248:K1260)</f>
        <v>12127.67</v>
      </c>
      <c r="M1262" s="465">
        <v>2.2000000000000002</v>
      </c>
      <c r="N1262" s="465" t="s">
        <v>766</v>
      </c>
      <c r="O1262" s="472" t="s">
        <v>317</v>
      </c>
      <c r="P1262" s="465">
        <f t="shared" si="169"/>
        <v>534</v>
      </c>
      <c r="Q1262" s="466" t="s">
        <v>766</v>
      </c>
      <c r="R1262" s="465">
        <f t="shared" si="170"/>
        <v>1174.8</v>
      </c>
      <c r="W1262" s="253"/>
      <c r="Y1262" s="252">
        <v>1.86</v>
      </c>
      <c r="Z1262" s="252" t="s">
        <v>606</v>
      </c>
      <c r="AA1262" s="296" t="s">
        <v>3495</v>
      </c>
      <c r="AB1262" s="252">
        <f>AB1241</f>
        <v>793</v>
      </c>
      <c r="AC1262" s="296" t="str">
        <f>J1269</f>
        <v>SQM</v>
      </c>
      <c r="AD1262" s="252">
        <f t="shared" ref="AD1262:AD1267" si="171">(Y1262*AB1262)</f>
        <v>1474.98</v>
      </c>
      <c r="AE1262" s="370" t="str">
        <f t="shared" si="163"/>
        <v>|</v>
      </c>
      <c r="AG1262" s="296" t="s">
        <v>2249</v>
      </c>
    </row>
    <row r="1263" spans="6:33" ht="18.75" customHeight="1">
      <c r="K1263" s="358" t="s">
        <v>1579</v>
      </c>
      <c r="M1263" s="473">
        <v>20</v>
      </c>
      <c r="N1263" s="465" t="s">
        <v>1637</v>
      </c>
      <c r="O1263" s="472" t="s">
        <v>859</v>
      </c>
      <c r="P1263" s="465">
        <f t="shared" si="169"/>
        <v>6040</v>
      </c>
      <c r="Q1263" s="466" t="s">
        <v>858</v>
      </c>
      <c r="R1263" s="465">
        <f>(M1263*P1263)/1000</f>
        <v>120.8</v>
      </c>
      <c r="W1263" s="253"/>
      <c r="Y1263" s="252">
        <v>0.4</v>
      </c>
      <c r="Z1263" s="252" t="s">
        <v>1637</v>
      </c>
      <c r="AA1263" s="296" t="s">
        <v>2072</v>
      </c>
      <c r="AB1263" s="402">
        <f>AB1249</f>
        <v>36.1</v>
      </c>
      <c r="AC1263" s="296" t="str">
        <f>J1270</f>
        <v>Kg</v>
      </c>
      <c r="AD1263" s="252">
        <f t="shared" si="171"/>
        <v>14.44</v>
      </c>
      <c r="AE1263" s="370">
        <f t="shared" si="163"/>
        <v>0</v>
      </c>
    </row>
    <row r="1264" spans="6:33" ht="18.75" customHeight="1">
      <c r="H1264" s="255" t="s">
        <v>549</v>
      </c>
      <c r="K1264" s="274">
        <f>(K1262/10)</f>
        <v>1212.77</v>
      </c>
      <c r="M1264" s="473">
        <v>2</v>
      </c>
      <c r="N1264" s="465" t="s">
        <v>1637</v>
      </c>
      <c r="O1264" s="472" t="s">
        <v>1521</v>
      </c>
      <c r="P1264" s="465">
        <f>I1256</f>
        <v>36.1</v>
      </c>
      <c r="Q1264" s="466" t="s">
        <v>1637</v>
      </c>
      <c r="R1264" s="465">
        <f t="shared" si="170"/>
        <v>72.2</v>
      </c>
      <c r="W1264" s="253"/>
      <c r="Y1264" s="252">
        <v>0.02</v>
      </c>
      <c r="Z1264" s="252" t="s">
        <v>866</v>
      </c>
      <c r="AA1264" s="296" t="s">
        <v>414</v>
      </c>
      <c r="AB1264" s="252">
        <f>I1271</f>
        <v>6310.9</v>
      </c>
      <c r="AC1264" s="296" t="str">
        <f>J1271</f>
        <v>CUM</v>
      </c>
      <c r="AD1264" s="252">
        <f t="shared" si="171"/>
        <v>126.22</v>
      </c>
      <c r="AE1264" s="370">
        <f t="shared" si="163"/>
        <v>0</v>
      </c>
    </row>
    <row r="1265" spans="6:33" ht="18.75" customHeight="1">
      <c r="K1265" s="358" t="s">
        <v>2046</v>
      </c>
      <c r="M1265" s="465">
        <v>1.6</v>
      </c>
      <c r="N1265" s="465" t="s">
        <v>766</v>
      </c>
      <c r="O1265" s="472" t="s">
        <v>1704</v>
      </c>
      <c r="P1265" s="465">
        <f>P1223</f>
        <v>932</v>
      </c>
      <c r="Q1265" s="466" t="s">
        <v>766</v>
      </c>
      <c r="R1265" s="465">
        <f t="shared" si="170"/>
        <v>1491.2</v>
      </c>
      <c r="W1265" s="253"/>
      <c r="Y1265" s="252">
        <v>1</v>
      </c>
      <c r="Z1265" s="252" t="s">
        <v>766</v>
      </c>
      <c r="AA1265" s="296" t="s">
        <v>2000</v>
      </c>
      <c r="AB1265" s="252">
        <f>I1272</f>
        <v>999</v>
      </c>
      <c r="AC1265" s="296" t="str">
        <f>J1272</f>
        <v>NO</v>
      </c>
      <c r="AD1265" s="252">
        <f t="shared" si="171"/>
        <v>999</v>
      </c>
      <c r="AE1265" s="370" t="str">
        <f t="shared" si="163"/>
        <v xml:space="preserve"> </v>
      </c>
      <c r="AG1265" s="296" t="s">
        <v>971</v>
      </c>
    </row>
    <row r="1266" spans="6:33" ht="18.75" customHeight="1">
      <c r="F1266" s="375">
        <v>29.4</v>
      </c>
      <c r="G1266" s="252" t="s">
        <v>2241</v>
      </c>
      <c r="H1266" s="296" t="s">
        <v>1087</v>
      </c>
      <c r="M1266" s="465">
        <v>0.5</v>
      </c>
      <c r="N1266" s="465" t="s">
        <v>766</v>
      </c>
      <c r="O1266" s="472" t="s">
        <v>1893</v>
      </c>
      <c r="P1266" s="465">
        <f>P1224</f>
        <v>651</v>
      </c>
      <c r="Q1266" s="466" t="s">
        <v>766</v>
      </c>
      <c r="R1266" s="465">
        <f t="shared" si="170"/>
        <v>325.5</v>
      </c>
      <c r="W1266" s="253"/>
      <c r="Y1266" s="252">
        <v>1</v>
      </c>
      <c r="Z1266" s="252" t="s">
        <v>766</v>
      </c>
      <c r="AA1266" s="296" t="s">
        <v>1680</v>
      </c>
      <c r="AB1266" s="252">
        <f>I1273</f>
        <v>651</v>
      </c>
      <c r="AC1266" s="296" t="str">
        <f>J1273</f>
        <v>NO</v>
      </c>
      <c r="AD1266" s="252">
        <f t="shared" si="171"/>
        <v>651</v>
      </c>
      <c r="AE1266" s="370">
        <f t="shared" si="163"/>
        <v>0</v>
      </c>
    </row>
    <row r="1267" spans="6:33" ht="18.75" customHeight="1">
      <c r="H1267" s="296" t="s">
        <v>1088</v>
      </c>
      <c r="M1267" s="465">
        <v>1.1000000000000001</v>
      </c>
      <c r="N1267" s="465" t="s">
        <v>766</v>
      </c>
      <c r="O1267" s="472" t="s">
        <v>317</v>
      </c>
      <c r="P1267" s="465">
        <f>P1225</f>
        <v>534</v>
      </c>
      <c r="Q1267" s="466" t="s">
        <v>766</v>
      </c>
      <c r="R1267" s="465">
        <f t="shared" si="170"/>
        <v>587.4</v>
      </c>
      <c r="W1267" s="253"/>
      <c r="Z1267" s="252" t="s">
        <v>446</v>
      </c>
      <c r="AA1267" s="296" t="s">
        <v>447</v>
      </c>
      <c r="AC1267" s="296" t="s">
        <v>446</v>
      </c>
      <c r="AD1267" s="252">
        <f t="shared" si="171"/>
        <v>0</v>
      </c>
      <c r="AE1267" s="370">
        <f t="shared" si="163"/>
        <v>0</v>
      </c>
    </row>
    <row r="1268" spans="6:33" ht="18.75" customHeight="1">
      <c r="H1268" s="358" t="s">
        <v>1579</v>
      </c>
      <c r="M1268" s="465"/>
      <c r="N1268" s="465" t="s">
        <v>446</v>
      </c>
      <c r="O1268" s="472" t="s">
        <v>447</v>
      </c>
      <c r="P1268" s="465"/>
      <c r="Q1268" s="466" t="s">
        <v>446</v>
      </c>
      <c r="R1268" s="465">
        <v>0</v>
      </c>
      <c r="W1268" s="253"/>
      <c r="AC1268" s="296"/>
      <c r="AD1268" s="358" t="s">
        <v>1579</v>
      </c>
      <c r="AE1268" s="370">
        <f t="shared" si="163"/>
        <v>0</v>
      </c>
    </row>
    <row r="1269" spans="6:33" ht="18.75" customHeight="1">
      <c r="F1269" s="252">
        <v>1.86</v>
      </c>
      <c r="G1269" s="252" t="s">
        <v>606</v>
      </c>
      <c r="H1269" s="296" t="s">
        <v>1089</v>
      </c>
      <c r="I1269" s="252">
        <f>C602</f>
        <v>415</v>
      </c>
      <c r="J1269" s="296" t="s">
        <v>606</v>
      </c>
      <c r="K1269" s="252">
        <f>(F1269*I1269)</f>
        <v>771.9</v>
      </c>
      <c r="M1269" s="465">
        <f>9.3/0.02</f>
        <v>465</v>
      </c>
      <c r="N1269" s="465"/>
      <c r="O1269" s="465"/>
      <c r="P1269" s="465"/>
      <c r="Q1269" s="466"/>
      <c r="R1269" s="474"/>
      <c r="W1269" s="253"/>
      <c r="AA1269" s="296" t="s">
        <v>1681</v>
      </c>
      <c r="AC1269" s="296"/>
      <c r="AD1269" s="252">
        <f>SUM(AD1262:AD1267)</f>
        <v>3265.64</v>
      </c>
      <c r="AE1269" s="370">
        <f t="shared" si="163"/>
        <v>0</v>
      </c>
    </row>
    <row r="1270" spans="6:33" ht="18.75" customHeight="1">
      <c r="F1270" s="252">
        <v>0.4</v>
      </c>
      <c r="G1270" s="252" t="s">
        <v>1637</v>
      </c>
      <c r="H1270" s="296" t="s">
        <v>2072</v>
      </c>
      <c r="I1270" s="434">
        <f>I1256</f>
        <v>36.1</v>
      </c>
      <c r="J1270" s="296" t="s">
        <v>1637</v>
      </c>
      <c r="K1270" s="252">
        <f>(F1270*I1270)</f>
        <v>14.44</v>
      </c>
      <c r="M1270" s="465"/>
      <c r="N1270" s="465"/>
      <c r="O1270" s="472" t="s">
        <v>438</v>
      </c>
      <c r="P1270" s="465"/>
      <c r="Q1270" s="466"/>
      <c r="R1270" s="465">
        <f>SUM(R1257:R1268)</f>
        <v>12562.07</v>
      </c>
      <c r="W1270" s="253"/>
      <c r="AC1270" s="296"/>
      <c r="AD1270" s="358" t="s">
        <v>1579</v>
      </c>
      <c r="AE1270" s="370">
        <f t="shared" si="163"/>
        <v>0</v>
      </c>
    </row>
    <row r="1271" spans="6:33" ht="18.75" customHeight="1">
      <c r="F1271" s="252">
        <v>0.02</v>
      </c>
      <c r="G1271" s="252" t="s">
        <v>866</v>
      </c>
      <c r="H1271" s="296" t="s">
        <v>414</v>
      </c>
      <c r="I1271" s="252">
        <f>K23</f>
        <v>6310.9</v>
      </c>
      <c r="J1271" s="296" t="s">
        <v>866</v>
      </c>
      <c r="K1271" s="252">
        <f>(F1271*I1271)</f>
        <v>126.22</v>
      </c>
      <c r="M1271" s="465"/>
      <c r="N1271" s="465"/>
      <c r="O1271" s="465"/>
      <c r="P1271" s="465"/>
      <c r="Q1271" s="466"/>
      <c r="R1271" s="474" t="s">
        <v>1579</v>
      </c>
      <c r="W1271" s="253"/>
      <c r="AA1271" s="255" t="s">
        <v>549</v>
      </c>
      <c r="AC1271" s="296"/>
      <c r="AD1271" s="274">
        <f>(AD1269/1.86)</f>
        <v>1755.72</v>
      </c>
      <c r="AE1271" s="370">
        <f t="shared" si="163"/>
        <v>0</v>
      </c>
    </row>
    <row r="1272" spans="6:33" ht="18.75" customHeight="1">
      <c r="F1272" s="252">
        <v>1</v>
      </c>
      <c r="G1272" s="252" t="s">
        <v>766</v>
      </c>
      <c r="H1272" s="296" t="s">
        <v>2000</v>
      </c>
      <c r="I1272" s="252">
        <f>C10</f>
        <v>999</v>
      </c>
      <c r="J1272" s="296" t="s">
        <v>766</v>
      </c>
      <c r="K1272" s="252">
        <f>(F1272*I1272)</f>
        <v>999</v>
      </c>
      <c r="M1272" s="465"/>
      <c r="N1272" s="465"/>
      <c r="O1272" s="475" t="s">
        <v>549</v>
      </c>
      <c r="P1272" s="465"/>
      <c r="Q1272" s="466"/>
      <c r="R1272" s="357">
        <f>(R1270/10)</f>
        <v>1256.21</v>
      </c>
      <c r="W1272" s="253"/>
      <c r="AC1272" s="296"/>
      <c r="AD1272" s="358" t="s">
        <v>2046</v>
      </c>
      <c r="AE1272" s="370">
        <f t="shared" si="163"/>
        <v>0</v>
      </c>
    </row>
    <row r="1273" spans="6:33" ht="18.75" customHeight="1">
      <c r="F1273" s="252">
        <v>1</v>
      </c>
      <c r="G1273" s="252" t="s">
        <v>766</v>
      </c>
      <c r="H1273" s="296" t="s">
        <v>1680</v>
      </c>
      <c r="I1273" s="252">
        <f>C12</f>
        <v>651</v>
      </c>
      <c r="J1273" s="296" t="s">
        <v>766</v>
      </c>
      <c r="K1273" s="252">
        <f>(F1273*I1273)</f>
        <v>651</v>
      </c>
      <c r="S1273" s="375">
        <v>29.5</v>
      </c>
      <c r="T1273" s="252" t="s">
        <v>2241</v>
      </c>
      <c r="U1273" s="296" t="s">
        <v>5685</v>
      </c>
      <c r="W1273" s="253"/>
      <c r="AE1273" s="370">
        <f t="shared" si="163"/>
        <v>0</v>
      </c>
    </row>
    <row r="1274" spans="6:33" ht="18.75" customHeight="1">
      <c r="G1274" s="252" t="s">
        <v>446</v>
      </c>
      <c r="H1274" s="296" t="s">
        <v>447</v>
      </c>
      <c r="J1274" s="296" t="s">
        <v>446</v>
      </c>
      <c r="S1274" s="252"/>
      <c r="U1274" s="296"/>
      <c r="W1274" s="253"/>
      <c r="AE1274" s="370">
        <f t="shared" si="163"/>
        <v>0</v>
      </c>
    </row>
    <row r="1275" spans="6:33" ht="18.75" customHeight="1">
      <c r="K1275" s="358" t="s">
        <v>1579</v>
      </c>
      <c r="S1275" s="252"/>
      <c r="U1275" s="296"/>
      <c r="W1275" s="253"/>
      <c r="AC1275" s="296"/>
      <c r="AE1275" s="370">
        <f t="shared" si="163"/>
        <v>0</v>
      </c>
    </row>
    <row r="1276" spans="6:33" ht="18.75" customHeight="1">
      <c r="H1276" s="296" t="s">
        <v>1681</v>
      </c>
      <c r="K1276" s="252">
        <f>SUM(K1269:K1274)</f>
        <v>2562.56</v>
      </c>
      <c r="S1276" s="252"/>
      <c r="U1276" s="358" t="s">
        <v>1579</v>
      </c>
      <c r="V1276" s="358" t="s">
        <v>1579</v>
      </c>
      <c r="W1276" s="253"/>
      <c r="AC1276" s="296"/>
      <c r="AE1276" s="370">
        <f t="shared" si="163"/>
        <v>0</v>
      </c>
    </row>
    <row r="1277" spans="6:33" ht="18.75" customHeight="1">
      <c r="K1277" s="358" t="s">
        <v>1579</v>
      </c>
      <c r="S1277" s="252">
        <v>10</v>
      </c>
      <c r="T1277" s="252" t="s">
        <v>606</v>
      </c>
      <c r="U1277" s="260" t="s">
        <v>3592</v>
      </c>
      <c r="V1277" s="314">
        <v>538.21</v>
      </c>
      <c r="W1277" s="253" t="s">
        <v>606</v>
      </c>
      <c r="X1277" s="252">
        <f>(S1277*V1277)</f>
        <v>5382.1</v>
      </c>
      <c r="AC1277" s="296"/>
      <c r="AE1277" s="370">
        <f t="shared" si="163"/>
        <v>0</v>
      </c>
    </row>
    <row r="1278" spans="6:33" ht="18.75" customHeight="1">
      <c r="H1278" s="255" t="s">
        <v>549</v>
      </c>
      <c r="K1278" s="274">
        <f>(K1276/1.86)</f>
        <v>1377.72</v>
      </c>
      <c r="S1278" s="252">
        <v>0.21</v>
      </c>
      <c r="T1278" s="252" t="s">
        <v>866</v>
      </c>
      <c r="U1278" s="296" t="s">
        <v>1868</v>
      </c>
      <c r="V1278" s="252">
        <f t="shared" ref="V1278:V1288" si="172">I1249</f>
        <v>4861.3</v>
      </c>
      <c r="W1278" s="253" t="s">
        <v>866</v>
      </c>
      <c r="X1278" s="252">
        <f>(S1278*V1278)</f>
        <v>1020.87</v>
      </c>
      <c r="AE1278" s="370">
        <f t="shared" ref="AE1278:AE1341" si="173">AG1278</f>
        <v>0</v>
      </c>
    </row>
    <row r="1279" spans="6:33" ht="18.75" customHeight="1">
      <c r="K1279" s="358" t="s">
        <v>2046</v>
      </c>
      <c r="S1279" s="252"/>
      <c r="U1279" s="296" t="s">
        <v>1869</v>
      </c>
      <c r="V1279" s="252" t="str">
        <f t="shared" si="172"/>
        <v xml:space="preserve"> </v>
      </c>
      <c r="W1279" s="253"/>
      <c r="X1279" s="296" t="s">
        <v>971</v>
      </c>
      <c r="AE1279" s="370">
        <f t="shared" si="173"/>
        <v>0</v>
      </c>
    </row>
    <row r="1280" spans="6:33" ht="18.75" customHeight="1">
      <c r="F1280" s="375"/>
      <c r="G1280" s="252" t="s">
        <v>2241</v>
      </c>
      <c r="H1280" s="296" t="s">
        <v>5686</v>
      </c>
      <c r="S1280" s="252">
        <v>1.1000000000000001</v>
      </c>
      <c r="T1280" s="252" t="s">
        <v>766</v>
      </c>
      <c r="U1280" s="296" t="s">
        <v>2000</v>
      </c>
      <c r="V1280" s="252">
        <f t="shared" si="172"/>
        <v>999</v>
      </c>
      <c r="W1280" s="253" t="s">
        <v>766</v>
      </c>
      <c r="X1280" s="252">
        <f>(S1280*V1280)</f>
        <v>1098.9000000000001</v>
      </c>
      <c r="AE1280" s="370">
        <f t="shared" si="173"/>
        <v>0</v>
      </c>
    </row>
    <row r="1281" spans="6:31" ht="18.75" customHeight="1">
      <c r="H1281" s="296"/>
      <c r="S1281" s="252">
        <v>1.1000000000000001</v>
      </c>
      <c r="T1281" s="252" t="s">
        <v>766</v>
      </c>
      <c r="U1281" s="296" t="s">
        <v>1704</v>
      </c>
      <c r="V1281" s="252">
        <f t="shared" si="172"/>
        <v>932</v>
      </c>
      <c r="W1281" s="253" t="s">
        <v>766</v>
      </c>
      <c r="X1281" s="252">
        <f>(S1281*V1281)</f>
        <v>1025.2</v>
      </c>
      <c r="AE1281" s="370">
        <f t="shared" si="173"/>
        <v>0</v>
      </c>
    </row>
    <row r="1282" spans="6:31" ht="18.75" customHeight="1">
      <c r="H1282" s="358" t="s">
        <v>1579</v>
      </c>
      <c r="S1282" s="252">
        <v>2.2000000000000002</v>
      </c>
      <c r="T1282" s="252" t="s">
        <v>766</v>
      </c>
      <c r="U1282" s="296" t="s">
        <v>1893</v>
      </c>
      <c r="V1282" s="252">
        <f t="shared" si="172"/>
        <v>651</v>
      </c>
      <c r="W1282" s="253" t="s">
        <v>766</v>
      </c>
      <c r="X1282" s="252">
        <f>(S1282*V1282)</f>
        <v>1432.2</v>
      </c>
      <c r="AE1282" s="370">
        <f t="shared" si="173"/>
        <v>0</v>
      </c>
    </row>
    <row r="1283" spans="6:31" ht="18.75" customHeight="1">
      <c r="F1283" s="252">
        <v>1.86</v>
      </c>
      <c r="G1283" s="252" t="s">
        <v>606</v>
      </c>
      <c r="H1283" s="296" t="s">
        <v>3593</v>
      </c>
      <c r="I1283" s="314">
        <v>699.4</v>
      </c>
      <c r="J1283" s="296" t="s">
        <v>606</v>
      </c>
      <c r="K1283" s="252">
        <f>(F1283*I1283)</f>
        <v>1300.8800000000001</v>
      </c>
      <c r="S1283" s="252">
        <v>2.2000000000000002</v>
      </c>
      <c r="T1283" s="252" t="s">
        <v>766</v>
      </c>
      <c r="U1283" s="296" t="s">
        <v>317</v>
      </c>
      <c r="V1283" s="252">
        <f t="shared" si="172"/>
        <v>534</v>
      </c>
      <c r="W1283" s="253" t="s">
        <v>766</v>
      </c>
      <c r="X1283" s="252">
        <f>(S1283*V1283)</f>
        <v>1174.8</v>
      </c>
      <c r="AE1283" s="370">
        <f t="shared" si="173"/>
        <v>0</v>
      </c>
    </row>
    <row r="1284" spans="6:31" ht="18.75" customHeight="1">
      <c r="F1284" s="252">
        <v>0.4</v>
      </c>
      <c r="G1284" s="252" t="s">
        <v>1637</v>
      </c>
      <c r="H1284" s="296" t="s">
        <v>387</v>
      </c>
      <c r="I1284" s="422">
        <f>C67</f>
        <v>6040</v>
      </c>
      <c r="J1284" s="296" t="s">
        <v>1637</v>
      </c>
      <c r="K1284" s="252">
        <f>(F1284*I1284)</f>
        <v>2416</v>
      </c>
      <c r="S1284" s="356">
        <v>20</v>
      </c>
      <c r="T1284" s="252" t="s">
        <v>1637</v>
      </c>
      <c r="U1284" s="296" t="s">
        <v>859</v>
      </c>
      <c r="V1284" s="252">
        <f t="shared" si="172"/>
        <v>6040</v>
      </c>
      <c r="W1284" s="253" t="s">
        <v>858</v>
      </c>
      <c r="X1284" s="252">
        <f>(S1284*V1284)/1000</f>
        <v>120.8</v>
      </c>
      <c r="AE1284" s="370">
        <f t="shared" si="173"/>
        <v>0</v>
      </c>
    </row>
    <row r="1285" spans="6:31" ht="18.75" customHeight="1">
      <c r="F1285" s="252">
        <v>0.02</v>
      </c>
      <c r="G1285" s="252" t="s">
        <v>866</v>
      </c>
      <c r="H1285" s="296" t="s">
        <v>414</v>
      </c>
      <c r="I1285" s="252">
        <f>I1271</f>
        <v>6310.9</v>
      </c>
      <c r="J1285" s="296" t="s">
        <v>866</v>
      </c>
      <c r="K1285" s="252">
        <f>(F1285*I1285)</f>
        <v>126.22</v>
      </c>
      <c r="S1285" s="356">
        <v>2</v>
      </c>
      <c r="T1285" s="252" t="s">
        <v>1637</v>
      </c>
      <c r="U1285" s="296" t="s">
        <v>2072</v>
      </c>
      <c r="V1285" s="252">
        <f t="shared" si="172"/>
        <v>36.1</v>
      </c>
      <c r="W1285" s="253" t="s">
        <v>1637</v>
      </c>
      <c r="X1285" s="252">
        <f>(S1285*V1285)</f>
        <v>72.2</v>
      </c>
      <c r="AE1285" s="370">
        <f t="shared" si="173"/>
        <v>0</v>
      </c>
    </row>
    <row r="1286" spans="6:31" ht="18.75" customHeight="1">
      <c r="F1286" s="252">
        <v>1</v>
      </c>
      <c r="G1286" s="252" t="s">
        <v>766</v>
      </c>
      <c r="H1286" s="296" t="s">
        <v>2000</v>
      </c>
      <c r="I1286" s="252">
        <f>I1272</f>
        <v>999</v>
      </c>
      <c r="J1286" s="296" t="s">
        <v>766</v>
      </c>
      <c r="K1286" s="252">
        <f>(F1286*I1286)</f>
        <v>999</v>
      </c>
      <c r="S1286" s="252">
        <v>1.6</v>
      </c>
      <c r="T1286" s="252" t="s">
        <v>766</v>
      </c>
      <c r="U1286" s="296" t="s">
        <v>1704</v>
      </c>
      <c r="V1286" s="252">
        <f t="shared" si="172"/>
        <v>932</v>
      </c>
      <c r="W1286" s="253" t="s">
        <v>766</v>
      </c>
      <c r="X1286" s="252">
        <f>(S1286*V1286)</f>
        <v>1491.2</v>
      </c>
      <c r="AE1286" s="370">
        <f t="shared" si="173"/>
        <v>0</v>
      </c>
    </row>
    <row r="1287" spans="6:31" ht="18.75" customHeight="1">
      <c r="F1287" s="252">
        <v>1</v>
      </c>
      <c r="G1287" s="252" t="s">
        <v>766</v>
      </c>
      <c r="H1287" s="296" t="s">
        <v>1680</v>
      </c>
      <c r="I1287" s="252">
        <f>I1273</f>
        <v>651</v>
      </c>
      <c r="J1287" s="296" t="s">
        <v>766</v>
      </c>
      <c r="K1287" s="252">
        <f>(F1287*I1287)</f>
        <v>651</v>
      </c>
      <c r="S1287" s="252">
        <v>0.5</v>
      </c>
      <c r="T1287" s="252" t="s">
        <v>766</v>
      </c>
      <c r="U1287" s="296" t="s">
        <v>1893</v>
      </c>
      <c r="V1287" s="252">
        <f t="shared" si="172"/>
        <v>651</v>
      </c>
      <c r="W1287" s="253" t="s">
        <v>766</v>
      </c>
      <c r="X1287" s="252">
        <f>(S1287*V1287)</f>
        <v>325.5</v>
      </c>
      <c r="AE1287" s="370">
        <f t="shared" si="173"/>
        <v>0</v>
      </c>
    </row>
    <row r="1288" spans="6:31" ht="18.75" customHeight="1">
      <c r="G1288" s="252" t="s">
        <v>446</v>
      </c>
      <c r="H1288" s="296" t="s">
        <v>447</v>
      </c>
      <c r="J1288" s="296" t="s">
        <v>446</v>
      </c>
      <c r="S1288" s="252">
        <v>1.1000000000000001</v>
      </c>
      <c r="T1288" s="252" t="s">
        <v>766</v>
      </c>
      <c r="U1288" s="296" t="s">
        <v>317</v>
      </c>
      <c r="V1288" s="252">
        <f t="shared" si="172"/>
        <v>534</v>
      </c>
      <c r="W1288" s="253" t="s">
        <v>766</v>
      </c>
      <c r="X1288" s="252">
        <f>(S1288*V1288)</f>
        <v>587.4</v>
      </c>
      <c r="AE1288" s="370">
        <f t="shared" si="173"/>
        <v>0</v>
      </c>
    </row>
    <row r="1289" spans="6:31" ht="18.75" customHeight="1">
      <c r="K1289" s="358" t="s">
        <v>1579</v>
      </c>
      <c r="S1289" s="252"/>
      <c r="T1289" s="252" t="s">
        <v>446</v>
      </c>
      <c r="U1289" s="296" t="s">
        <v>447</v>
      </c>
      <c r="W1289" s="253" t="s">
        <v>446</v>
      </c>
      <c r="X1289" s="252">
        <v>0</v>
      </c>
      <c r="AE1289" s="370">
        <f t="shared" si="173"/>
        <v>0</v>
      </c>
    </row>
    <row r="1290" spans="6:31" ht="18.75" customHeight="1">
      <c r="H1290" s="296" t="s">
        <v>1681</v>
      </c>
      <c r="K1290" s="252">
        <f>SUM(K1283:K1288)</f>
        <v>5493.1</v>
      </c>
      <c r="S1290" s="252"/>
      <c r="W1290" s="253"/>
      <c r="X1290" s="358" t="s">
        <v>1579</v>
      </c>
      <c r="AE1290" s="370">
        <f t="shared" si="173"/>
        <v>0</v>
      </c>
    </row>
    <row r="1291" spans="6:31" ht="18.75" customHeight="1">
      <c r="K1291" s="358" t="s">
        <v>1579</v>
      </c>
      <c r="S1291" s="252"/>
      <c r="U1291" s="296" t="s">
        <v>438</v>
      </c>
      <c r="W1291" s="253"/>
      <c r="X1291" s="252">
        <f>SUM(X1277:X1289)</f>
        <v>13731.17</v>
      </c>
      <c r="AE1291" s="370">
        <f t="shared" si="173"/>
        <v>0</v>
      </c>
    </row>
    <row r="1292" spans="6:31" ht="18.75" customHeight="1">
      <c r="H1292" s="255" t="s">
        <v>549</v>
      </c>
      <c r="K1292" s="274">
        <f>(K1290/1.86)</f>
        <v>2953.28</v>
      </c>
      <c r="S1292" s="252"/>
      <c r="W1292" s="253"/>
      <c r="X1292" s="358" t="s">
        <v>1579</v>
      </c>
      <c r="AE1292" s="370">
        <f t="shared" si="173"/>
        <v>0</v>
      </c>
    </row>
    <row r="1293" spans="6:31" ht="18.75" customHeight="1">
      <c r="K1293" s="358" t="s">
        <v>2046</v>
      </c>
      <c r="U1293" s="255" t="s">
        <v>549</v>
      </c>
      <c r="W1293" s="253"/>
      <c r="X1293" s="274">
        <f>(X1291/10)</f>
        <v>1373.12</v>
      </c>
      <c r="AE1293" s="370">
        <f t="shared" si="173"/>
        <v>0</v>
      </c>
    </row>
    <row r="1294" spans="6:31" ht="18.75" customHeight="1">
      <c r="K1294" s="358"/>
      <c r="W1294" s="253"/>
      <c r="X1294" s="358" t="s">
        <v>2046</v>
      </c>
      <c r="AE1294" s="370">
        <f t="shared" si="173"/>
        <v>0</v>
      </c>
    </row>
    <row r="1295" spans="6:31" ht="18.75" customHeight="1">
      <c r="K1295" s="358"/>
      <c r="W1295" s="253"/>
      <c r="AE1295" s="370">
        <f t="shared" si="173"/>
        <v>0</v>
      </c>
    </row>
    <row r="1296" spans="6:31" ht="18.75" customHeight="1">
      <c r="K1296" s="358"/>
      <c r="M1296" s="253"/>
      <c r="N1296" s="252" t="s">
        <v>2241</v>
      </c>
      <c r="O1296" s="296" t="s">
        <v>5687</v>
      </c>
      <c r="Q1296" s="253"/>
      <c r="S1296" s="375">
        <v>15.1</v>
      </c>
      <c r="T1296" s="252" t="s">
        <v>1749</v>
      </c>
      <c r="U1296" s="296" t="s">
        <v>5688</v>
      </c>
      <c r="W1296" s="253"/>
      <c r="AE1296" s="370">
        <f t="shared" si="173"/>
        <v>0</v>
      </c>
    </row>
    <row r="1297" spans="6:31" ht="18.75" customHeight="1">
      <c r="K1297" s="358"/>
      <c r="O1297" s="296" t="s">
        <v>1517</v>
      </c>
      <c r="Q1297" s="253"/>
      <c r="S1297" s="252"/>
      <c r="U1297" s="296" t="s">
        <v>2271</v>
      </c>
      <c r="W1297" s="253"/>
      <c r="AE1297" s="370">
        <f t="shared" si="173"/>
        <v>0</v>
      </c>
    </row>
    <row r="1298" spans="6:31" ht="18.75" customHeight="1">
      <c r="F1298" s="253" t="s">
        <v>206</v>
      </c>
      <c r="G1298" s="252" t="s">
        <v>2241</v>
      </c>
      <c r="H1298" s="296" t="s">
        <v>1913</v>
      </c>
      <c r="O1298" s="276" t="s">
        <v>5689</v>
      </c>
      <c r="Q1298" s="253"/>
      <c r="S1298" s="252">
        <v>10</v>
      </c>
      <c r="T1298" s="252" t="s">
        <v>2273</v>
      </c>
      <c r="U1298" s="296" t="s">
        <v>5690</v>
      </c>
      <c r="V1298" s="362">
        <v>1626</v>
      </c>
      <c r="W1298" s="253" t="s">
        <v>2273</v>
      </c>
      <c r="X1298" s="252">
        <f t="shared" ref="X1298:X1304" si="174">(S1298*V1298)</f>
        <v>16260</v>
      </c>
      <c r="AE1298" s="370">
        <f t="shared" si="173"/>
        <v>0</v>
      </c>
    </row>
    <row r="1299" spans="6:31" ht="18.75" customHeight="1">
      <c r="H1299" s="296" t="s">
        <v>2223</v>
      </c>
      <c r="O1299" s="358" t="s">
        <v>1579</v>
      </c>
      <c r="Q1299" s="253"/>
      <c r="S1299" s="252">
        <v>0.21</v>
      </c>
      <c r="T1299" s="252" t="s">
        <v>866</v>
      </c>
      <c r="U1299" s="296" t="s">
        <v>781</v>
      </c>
      <c r="V1299" s="407">
        <f>P1333</f>
        <v>4861.3</v>
      </c>
      <c r="W1299" s="253" t="s">
        <v>866</v>
      </c>
      <c r="X1299" s="252">
        <f t="shared" si="174"/>
        <v>1020.87</v>
      </c>
      <c r="AE1299" s="370">
        <f t="shared" si="173"/>
        <v>0</v>
      </c>
    </row>
    <row r="1300" spans="6:31" ht="18.75" customHeight="1">
      <c r="H1300" s="296" t="s">
        <v>1682</v>
      </c>
      <c r="M1300" s="252">
        <v>3.2</v>
      </c>
      <c r="N1300" s="252" t="s">
        <v>1637</v>
      </c>
      <c r="O1300" s="393" t="s">
        <v>1193</v>
      </c>
      <c r="P1300" s="314">
        <v>225</v>
      </c>
      <c r="Q1300" s="253" t="s">
        <v>1637</v>
      </c>
      <c r="R1300" s="252">
        <f>(M1300*P1300)</f>
        <v>720</v>
      </c>
      <c r="S1300" s="252">
        <v>1.1000000000000001</v>
      </c>
      <c r="T1300" s="252" t="s">
        <v>557</v>
      </c>
      <c r="U1300" s="296" t="s">
        <v>558</v>
      </c>
      <c r="V1300" s="407">
        <f>P1334</f>
        <v>999</v>
      </c>
      <c r="W1300" s="253" t="s">
        <v>1393</v>
      </c>
      <c r="X1300" s="252">
        <f t="shared" si="174"/>
        <v>1098.9000000000001</v>
      </c>
      <c r="AE1300" s="370">
        <f t="shared" si="173"/>
        <v>0</v>
      </c>
    </row>
    <row r="1301" spans="6:31" ht="18.75" customHeight="1">
      <c r="H1301" s="296" t="s">
        <v>5691</v>
      </c>
      <c r="M1301" s="252">
        <v>0.98</v>
      </c>
      <c r="N1301" s="252" t="s">
        <v>1233</v>
      </c>
      <c r="O1301" s="296" t="s">
        <v>3865</v>
      </c>
      <c r="P1301" s="252">
        <f>P1320</f>
        <v>147.5</v>
      </c>
      <c r="Q1301" s="253" t="s">
        <v>1233</v>
      </c>
      <c r="R1301" s="252">
        <f t="shared" ref="R1301:R1306" si="175">(M1301*P1301)</f>
        <v>144.55000000000001</v>
      </c>
      <c r="S1301" s="252">
        <v>1.1000000000000001</v>
      </c>
      <c r="T1301" s="252" t="s">
        <v>557</v>
      </c>
      <c r="U1301" s="296" t="s">
        <v>3601</v>
      </c>
      <c r="V1301" s="407">
        <f>P1260</f>
        <v>932</v>
      </c>
      <c r="W1301" s="253" t="s">
        <v>1393</v>
      </c>
      <c r="X1301" s="252">
        <f t="shared" si="174"/>
        <v>1025.2</v>
      </c>
      <c r="AE1301" s="370">
        <f t="shared" si="173"/>
        <v>0</v>
      </c>
    </row>
    <row r="1302" spans="6:31" ht="18.75" customHeight="1">
      <c r="H1302" s="358" t="s">
        <v>1579</v>
      </c>
      <c r="M1302" s="252">
        <v>0.5</v>
      </c>
      <c r="N1302" s="252" t="s">
        <v>766</v>
      </c>
      <c r="O1302" s="296" t="s">
        <v>1175</v>
      </c>
      <c r="P1302" s="252">
        <f>AE13</f>
        <v>797</v>
      </c>
      <c r="Q1302" s="252" t="s">
        <v>766</v>
      </c>
      <c r="R1302" s="252">
        <f t="shared" si="175"/>
        <v>398.5</v>
      </c>
      <c r="S1302" s="252">
        <v>2.2000000000000002</v>
      </c>
      <c r="T1302" s="252" t="s">
        <v>557</v>
      </c>
      <c r="U1302" s="296" t="s">
        <v>820</v>
      </c>
      <c r="V1302" s="407">
        <f>P1335</f>
        <v>651</v>
      </c>
      <c r="W1302" s="253" t="s">
        <v>1393</v>
      </c>
      <c r="X1302" s="252">
        <f t="shared" si="174"/>
        <v>1432.2</v>
      </c>
      <c r="AE1302" s="370">
        <f t="shared" si="173"/>
        <v>0</v>
      </c>
    </row>
    <row r="1303" spans="6:31" ht="18.75" customHeight="1">
      <c r="F1303" s="252">
        <v>0.24</v>
      </c>
      <c r="G1303" s="252" t="s">
        <v>866</v>
      </c>
      <c r="H1303" s="296" t="s">
        <v>1683</v>
      </c>
      <c r="I1303" s="252">
        <f>(C70)</f>
        <v>1281.77</v>
      </c>
      <c r="J1303" s="296" t="s">
        <v>866</v>
      </c>
      <c r="K1303" s="252">
        <f>(F1303*I1303)</f>
        <v>307.62</v>
      </c>
      <c r="M1303" s="252">
        <v>0.7</v>
      </c>
      <c r="N1303" s="252" t="s">
        <v>766</v>
      </c>
      <c r="O1303" s="296" t="s">
        <v>1194</v>
      </c>
      <c r="P1303" s="252">
        <f>AE14</f>
        <v>772</v>
      </c>
      <c r="Q1303" s="252" t="s">
        <v>766</v>
      </c>
      <c r="R1303" s="252">
        <f t="shared" si="175"/>
        <v>540.4</v>
      </c>
      <c r="S1303" s="252">
        <v>2.2000000000000002</v>
      </c>
      <c r="T1303" s="252" t="s">
        <v>557</v>
      </c>
      <c r="U1303" s="296" t="s">
        <v>3599</v>
      </c>
      <c r="V1303" s="407">
        <f>P1305</f>
        <v>534</v>
      </c>
      <c r="W1303" s="253" t="s">
        <v>1393</v>
      </c>
      <c r="X1303" s="252">
        <f t="shared" si="174"/>
        <v>1174.8</v>
      </c>
      <c r="AE1303" s="370">
        <f t="shared" si="173"/>
        <v>0</v>
      </c>
    </row>
    <row r="1304" spans="6:31" ht="18.75" customHeight="1">
      <c r="F1304" s="356">
        <v>0.11700000000000001</v>
      </c>
      <c r="G1304" s="252" t="s">
        <v>858</v>
      </c>
      <c r="H1304" s="296" t="s">
        <v>859</v>
      </c>
      <c r="I1304" s="252">
        <f>(C67)</f>
        <v>6040</v>
      </c>
      <c r="J1304" s="296" t="s">
        <v>858</v>
      </c>
      <c r="K1304" s="252">
        <f>(F1304*I1304)</f>
        <v>706.68</v>
      </c>
      <c r="M1304" s="252">
        <v>0.5</v>
      </c>
      <c r="N1304" s="252" t="s">
        <v>766</v>
      </c>
      <c r="O1304" s="296" t="s">
        <v>1893</v>
      </c>
      <c r="P1304" s="252">
        <f>I1306</f>
        <v>651</v>
      </c>
      <c r="Q1304" s="252" t="s">
        <v>766</v>
      </c>
      <c r="R1304" s="252">
        <f t="shared" si="175"/>
        <v>325.5</v>
      </c>
      <c r="S1304" s="252">
        <v>10</v>
      </c>
      <c r="T1304" s="252" t="s">
        <v>446</v>
      </c>
      <c r="U1304" s="296" t="s">
        <v>3600</v>
      </c>
      <c r="V1304" s="407">
        <v>153.47</v>
      </c>
      <c r="W1304" s="253" t="s">
        <v>446</v>
      </c>
      <c r="X1304" s="252">
        <f t="shared" si="174"/>
        <v>1534.7</v>
      </c>
      <c r="AE1304" s="370">
        <f t="shared" si="173"/>
        <v>0</v>
      </c>
    </row>
    <row r="1305" spans="6:31" ht="18.75" customHeight="1">
      <c r="F1305" s="252">
        <v>0.5</v>
      </c>
      <c r="G1305" s="252" t="s">
        <v>766</v>
      </c>
      <c r="H1305" s="296" t="s">
        <v>2000</v>
      </c>
      <c r="I1305" s="252">
        <f>(C10)</f>
        <v>999</v>
      </c>
      <c r="J1305" s="296" t="s">
        <v>766</v>
      </c>
      <c r="K1305" s="252">
        <f>(F1305*I1305)</f>
        <v>499.5</v>
      </c>
      <c r="M1305" s="252">
        <v>0.8</v>
      </c>
      <c r="N1305" s="252" t="s">
        <v>766</v>
      </c>
      <c r="O1305" s="296" t="s">
        <v>317</v>
      </c>
      <c r="P1305" s="252">
        <f>I1307</f>
        <v>534</v>
      </c>
      <c r="Q1305" s="252" t="s">
        <v>766</v>
      </c>
      <c r="R1305" s="252">
        <f t="shared" si="175"/>
        <v>427.2</v>
      </c>
      <c r="S1305" s="252"/>
      <c r="U1305" s="296"/>
      <c r="V1305" s="407">
        <f>P1337</f>
        <v>0</v>
      </c>
      <c r="W1305" s="253"/>
      <c r="X1305" s="358" t="s">
        <v>1579</v>
      </c>
      <c r="AE1305" s="370">
        <f t="shared" si="173"/>
        <v>0</v>
      </c>
    </row>
    <row r="1306" spans="6:31" ht="18.75" customHeight="1">
      <c r="F1306" s="252">
        <v>1.1000000000000001</v>
      </c>
      <c r="G1306" s="252" t="s">
        <v>766</v>
      </c>
      <c r="H1306" s="296" t="s">
        <v>930</v>
      </c>
      <c r="I1306" s="252">
        <f>(C12)</f>
        <v>651</v>
      </c>
      <c r="J1306" s="296" t="s">
        <v>766</v>
      </c>
      <c r="K1306" s="252">
        <f>(F1306*I1306)</f>
        <v>716.1</v>
      </c>
      <c r="M1306" s="252">
        <v>10</v>
      </c>
      <c r="N1306" s="252" t="s">
        <v>2273</v>
      </c>
      <c r="O1306" s="296" t="s">
        <v>3853</v>
      </c>
      <c r="P1306" s="252">
        <f>C460</f>
        <v>4.2</v>
      </c>
      <c r="Q1306" s="252" t="s">
        <v>2273</v>
      </c>
      <c r="R1306" s="252">
        <f t="shared" si="175"/>
        <v>42</v>
      </c>
      <c r="S1306" s="252"/>
      <c r="U1306" s="253" t="s">
        <v>404</v>
      </c>
      <c r="V1306" s="407"/>
      <c r="W1306" s="253"/>
      <c r="X1306" s="252">
        <f>SUM(X1298:X1304)</f>
        <v>23546.67</v>
      </c>
      <c r="AE1306" s="370">
        <f t="shared" si="173"/>
        <v>0</v>
      </c>
    </row>
    <row r="1307" spans="6:31" ht="18.75" customHeight="1">
      <c r="F1307" s="252">
        <v>4.3</v>
      </c>
      <c r="G1307" s="252" t="s">
        <v>766</v>
      </c>
      <c r="H1307" s="296" t="s">
        <v>317</v>
      </c>
      <c r="I1307" s="252">
        <f>(C13)</f>
        <v>534</v>
      </c>
      <c r="J1307" s="296" t="s">
        <v>766</v>
      </c>
      <c r="K1307" s="252">
        <f>(F1307*I1307)</f>
        <v>2296.1999999999998</v>
      </c>
      <c r="N1307" s="252" t="s">
        <v>446</v>
      </c>
      <c r="O1307" s="296" t="s">
        <v>1177</v>
      </c>
      <c r="P1307" s="296" t="s">
        <v>971</v>
      </c>
      <c r="Q1307" s="253" t="s">
        <v>446</v>
      </c>
      <c r="R1307" s="252">
        <v>0</v>
      </c>
      <c r="S1307" s="252"/>
      <c r="W1307" s="253"/>
      <c r="X1307" s="358" t="s">
        <v>1579</v>
      </c>
      <c r="AE1307" s="370">
        <f t="shared" si="173"/>
        <v>0</v>
      </c>
    </row>
    <row r="1308" spans="6:31" ht="18.75" customHeight="1">
      <c r="G1308" s="252" t="s">
        <v>446</v>
      </c>
      <c r="H1308" s="296" t="s">
        <v>447</v>
      </c>
      <c r="J1308" s="296" t="s">
        <v>446</v>
      </c>
      <c r="K1308" s="252">
        <v>0</v>
      </c>
      <c r="Q1308" s="253"/>
      <c r="R1308" s="358" t="s">
        <v>1579</v>
      </c>
      <c r="S1308" s="252"/>
      <c r="U1308" s="253" t="s">
        <v>408</v>
      </c>
      <c r="W1308" s="253"/>
      <c r="X1308" s="274">
        <f>X1306/10</f>
        <v>2354.67</v>
      </c>
      <c r="AE1308" s="370">
        <f t="shared" si="173"/>
        <v>0</v>
      </c>
    </row>
    <row r="1309" spans="6:31" ht="18.75" customHeight="1">
      <c r="K1309" s="358" t="s">
        <v>1579</v>
      </c>
      <c r="O1309" s="296" t="s">
        <v>438</v>
      </c>
      <c r="Q1309" s="253"/>
      <c r="R1309" s="252">
        <f>SUM(R1300:R1307)</f>
        <v>2598.15</v>
      </c>
      <c r="S1309" s="252"/>
      <c r="U1309" s="296" t="s">
        <v>383</v>
      </c>
      <c r="W1309" s="253">
        <f>X1313+Y1308</f>
        <v>2356.89</v>
      </c>
      <c r="X1309" s="252">
        <f>X1308+Y1306</f>
        <v>2354.67</v>
      </c>
      <c r="AE1309" s="370">
        <f t="shared" si="173"/>
        <v>0</v>
      </c>
    </row>
    <row r="1310" spans="6:31" ht="18.75" customHeight="1">
      <c r="H1310" s="296" t="s">
        <v>438</v>
      </c>
      <c r="K1310" s="252">
        <f>SUM(K1303:K1308)</f>
        <v>4526.1000000000004</v>
      </c>
      <c r="Q1310" s="253"/>
      <c r="R1310" s="358" t="s">
        <v>1579</v>
      </c>
      <c r="S1310" s="252"/>
      <c r="U1310" s="296" t="s">
        <v>385</v>
      </c>
      <c r="W1310" s="253">
        <f>W1309+Y1308</f>
        <v>2356.89</v>
      </c>
      <c r="X1310" s="252">
        <f>X1309+1.11</f>
        <v>2355.7800000000002</v>
      </c>
      <c r="AE1310" s="370">
        <f t="shared" si="173"/>
        <v>0</v>
      </c>
    </row>
    <row r="1311" spans="6:31" ht="18.75" customHeight="1">
      <c r="K1311" s="358" t="s">
        <v>1579</v>
      </c>
      <c r="O1311" s="276" t="s">
        <v>549</v>
      </c>
      <c r="Q1311" s="253"/>
      <c r="R1311" s="274">
        <f>(R1309/10)</f>
        <v>259.82</v>
      </c>
      <c r="S1311" s="252"/>
      <c r="U1311" s="296" t="s">
        <v>2222</v>
      </c>
      <c r="W1311" s="253"/>
      <c r="X1311" s="252">
        <f>X1310+1.11</f>
        <v>2356.89</v>
      </c>
      <c r="AE1311" s="370">
        <f t="shared" si="173"/>
        <v>0</v>
      </c>
    </row>
    <row r="1312" spans="6:31" ht="18.75" customHeight="1">
      <c r="H1312" s="255" t="s">
        <v>549</v>
      </c>
      <c r="K1312" s="274">
        <f>(K1310/10)</f>
        <v>452.61</v>
      </c>
      <c r="M1312" s="296" t="s">
        <v>971</v>
      </c>
      <c r="Q1312" s="253"/>
      <c r="S1312" s="252"/>
      <c r="U1312" s="296" t="s">
        <v>377</v>
      </c>
      <c r="W1312" s="253"/>
      <c r="X1312" s="252">
        <f>X1311+Y1308</f>
        <v>2356.89</v>
      </c>
      <c r="AE1312" s="370">
        <f t="shared" si="173"/>
        <v>0</v>
      </c>
    </row>
    <row r="1313" spans="6:31" ht="18.75" customHeight="1">
      <c r="F1313" s="296" t="s">
        <v>971</v>
      </c>
      <c r="Q1313" s="253"/>
      <c r="R1313" s="358" t="s">
        <v>2046</v>
      </c>
      <c r="S1313" s="252"/>
      <c r="U1313" s="296" t="s">
        <v>1359</v>
      </c>
      <c r="W1313" s="253"/>
      <c r="X1313" s="252">
        <f>X1312+Y1308</f>
        <v>2356.89</v>
      </c>
      <c r="AE1313" s="370">
        <f t="shared" si="173"/>
        <v>0</v>
      </c>
    </row>
    <row r="1314" spans="6:31" ht="18.75" customHeight="1">
      <c r="K1314" s="358" t="s">
        <v>2046</v>
      </c>
      <c r="Q1314" s="253"/>
      <c r="S1314" s="252"/>
      <c r="W1314" s="253"/>
      <c r="AE1314" s="370">
        <f t="shared" si="173"/>
        <v>0</v>
      </c>
    </row>
    <row r="1315" spans="6:31" ht="18.75" customHeight="1">
      <c r="F1315" s="253" t="s">
        <v>1929</v>
      </c>
      <c r="G1315" s="252" t="s">
        <v>2241</v>
      </c>
      <c r="H1315" s="276" t="s">
        <v>5692</v>
      </c>
      <c r="M1315" s="253" t="s">
        <v>1369</v>
      </c>
      <c r="N1315" s="252" t="s">
        <v>2241</v>
      </c>
      <c r="O1315" s="296" t="s">
        <v>5693</v>
      </c>
      <c r="Q1315" s="253"/>
      <c r="W1315" s="253"/>
      <c r="AE1315" s="370">
        <f t="shared" si="173"/>
        <v>0</v>
      </c>
    </row>
    <row r="1316" spans="6:31" ht="18.75" customHeight="1">
      <c r="H1316" s="296" t="s">
        <v>1930</v>
      </c>
      <c r="O1316" s="296" t="s">
        <v>1517</v>
      </c>
      <c r="Q1316" s="253"/>
      <c r="S1316" s="375">
        <v>15.1</v>
      </c>
      <c r="T1316" s="252" t="s">
        <v>1749</v>
      </c>
      <c r="U1316" s="296" t="s">
        <v>5694</v>
      </c>
      <c r="W1316" s="253"/>
      <c r="AE1316" s="370">
        <f t="shared" si="173"/>
        <v>0</v>
      </c>
    </row>
    <row r="1317" spans="6:31" ht="18.75" customHeight="1">
      <c r="H1317" s="296" t="s">
        <v>1931</v>
      </c>
      <c r="O1317" s="276" t="s">
        <v>1195</v>
      </c>
      <c r="Q1317" s="253"/>
      <c r="S1317" s="252"/>
      <c r="U1317" s="296" t="s">
        <v>2271</v>
      </c>
      <c r="W1317" s="253"/>
      <c r="AE1317" s="370">
        <f t="shared" si="173"/>
        <v>0</v>
      </c>
    </row>
    <row r="1318" spans="6:31" ht="18.75" customHeight="1">
      <c r="H1318" s="296" t="s">
        <v>753</v>
      </c>
      <c r="O1318" s="358" t="s">
        <v>1579</v>
      </c>
      <c r="Q1318" s="253"/>
      <c r="S1318" s="252">
        <v>10</v>
      </c>
      <c r="T1318" s="252" t="s">
        <v>2273</v>
      </c>
      <c r="U1318" s="296" t="s">
        <v>5695</v>
      </c>
      <c r="V1318" s="362">
        <f>AB1188</f>
        <v>1737</v>
      </c>
      <c r="W1318" s="253" t="s">
        <v>2273</v>
      </c>
      <c r="X1318" s="252">
        <f>(S1318*V1318)</f>
        <v>17370</v>
      </c>
      <c r="AE1318" s="370">
        <f t="shared" si="173"/>
        <v>0</v>
      </c>
    </row>
    <row r="1319" spans="6:31" ht="18.75" customHeight="1">
      <c r="H1319" s="296" t="s">
        <v>746</v>
      </c>
      <c r="M1319" s="252">
        <v>1.4</v>
      </c>
      <c r="N1319" s="252" t="s">
        <v>1233</v>
      </c>
      <c r="O1319" s="476" t="s">
        <v>4891</v>
      </c>
      <c r="P1319" s="463">
        <v>295.60000000000002</v>
      </c>
      <c r="Q1319" s="253" t="s">
        <v>1233</v>
      </c>
      <c r="R1319" s="252">
        <f>P1319*M1319</f>
        <v>413.84</v>
      </c>
      <c r="S1319" s="252">
        <v>0.21</v>
      </c>
      <c r="T1319" s="252" t="s">
        <v>866</v>
      </c>
      <c r="U1319" s="296" t="s">
        <v>781</v>
      </c>
      <c r="V1319" s="407">
        <f>V1299</f>
        <v>4861.3</v>
      </c>
      <c r="W1319" s="253" t="s">
        <v>866</v>
      </c>
      <c r="X1319" s="252">
        <f t="shared" ref="X1319:X1324" si="176">(S1319*V1319)</f>
        <v>1020.87</v>
      </c>
      <c r="AE1319" s="370">
        <f t="shared" si="173"/>
        <v>0</v>
      </c>
    </row>
    <row r="1320" spans="6:31" ht="18.75" customHeight="1">
      <c r="H1320" s="358" t="s">
        <v>1579</v>
      </c>
      <c r="M1320" s="252">
        <v>0.98</v>
      </c>
      <c r="N1320" s="252" t="s">
        <v>1233</v>
      </c>
      <c r="O1320" s="393" t="s">
        <v>4892</v>
      </c>
      <c r="P1320" s="252">
        <f>C196</f>
        <v>147.5</v>
      </c>
      <c r="Q1320" s="253" t="s">
        <v>1233</v>
      </c>
      <c r="R1320" s="252">
        <f>(M1320*P1320)</f>
        <v>144.55000000000001</v>
      </c>
      <c r="S1320" s="252">
        <v>1.1000000000000001</v>
      </c>
      <c r="T1320" s="252" t="s">
        <v>557</v>
      </c>
      <c r="U1320" s="296" t="s">
        <v>558</v>
      </c>
      <c r="V1320" s="362">
        <f t="shared" ref="V1320:V1325" si="177">V1300</f>
        <v>999</v>
      </c>
      <c r="W1320" s="253" t="s">
        <v>1393</v>
      </c>
      <c r="X1320" s="252">
        <f t="shared" si="176"/>
        <v>1098.9000000000001</v>
      </c>
      <c r="AE1320" s="370">
        <f t="shared" si="173"/>
        <v>0</v>
      </c>
    </row>
    <row r="1321" spans="6:31" ht="18.75" customHeight="1">
      <c r="F1321" s="252">
        <v>12.8</v>
      </c>
      <c r="G1321" s="252" t="s">
        <v>866</v>
      </c>
      <c r="H1321" s="296" t="s">
        <v>747</v>
      </c>
      <c r="I1321" s="252">
        <f>(C82)</f>
        <v>801.98</v>
      </c>
      <c r="J1321" s="296" t="s">
        <v>866</v>
      </c>
      <c r="K1321" s="252">
        <f>(F1321*I1321)</f>
        <v>10265.34</v>
      </c>
      <c r="M1321" s="252">
        <v>2.2000000000000002</v>
      </c>
      <c r="N1321" s="252" t="s">
        <v>766</v>
      </c>
      <c r="O1321" s="296" t="s">
        <v>1175</v>
      </c>
      <c r="P1321" s="252">
        <f>P1302</f>
        <v>797</v>
      </c>
      <c r="Q1321" s="253" t="s">
        <v>766</v>
      </c>
      <c r="R1321" s="252">
        <f>(M1321*P1321)</f>
        <v>1753.4</v>
      </c>
      <c r="S1321" s="252">
        <v>1.1000000000000001</v>
      </c>
      <c r="T1321" s="252" t="s">
        <v>557</v>
      </c>
      <c r="U1321" s="296" t="s">
        <v>3601</v>
      </c>
      <c r="V1321" s="362">
        <f t="shared" si="177"/>
        <v>932</v>
      </c>
      <c r="W1321" s="253" t="s">
        <v>1393</v>
      </c>
      <c r="X1321" s="252">
        <f t="shared" si="176"/>
        <v>1025.2</v>
      </c>
      <c r="AE1321" s="370">
        <f t="shared" si="173"/>
        <v>0</v>
      </c>
    </row>
    <row r="1322" spans="6:31" ht="18.75" customHeight="1">
      <c r="F1322" s="252">
        <v>5</v>
      </c>
      <c r="G1322" s="252" t="s">
        <v>866</v>
      </c>
      <c r="H1322" s="296" t="s">
        <v>748</v>
      </c>
      <c r="I1322" s="252">
        <f>(C85)</f>
        <v>1170.8</v>
      </c>
      <c r="J1322" s="296" t="s">
        <v>866</v>
      </c>
      <c r="K1322" s="252">
        <f>(F1322*I1322)</f>
        <v>5854</v>
      </c>
      <c r="N1322" s="252" t="s">
        <v>446</v>
      </c>
      <c r="O1322" s="296" t="s">
        <v>1177</v>
      </c>
      <c r="P1322" s="296" t="s">
        <v>971</v>
      </c>
      <c r="Q1322" s="253" t="s">
        <v>446</v>
      </c>
      <c r="R1322" s="252">
        <v>2.5499999999999998</v>
      </c>
      <c r="S1322" s="252">
        <v>2.2000000000000002</v>
      </c>
      <c r="T1322" s="252" t="s">
        <v>557</v>
      </c>
      <c r="U1322" s="296" t="s">
        <v>820</v>
      </c>
      <c r="V1322" s="362">
        <f t="shared" si="177"/>
        <v>651</v>
      </c>
      <c r="W1322" s="253" t="s">
        <v>1393</v>
      </c>
      <c r="X1322" s="252">
        <f t="shared" si="176"/>
        <v>1432.2</v>
      </c>
      <c r="AE1322" s="370">
        <f t="shared" si="173"/>
        <v>0</v>
      </c>
    </row>
    <row r="1323" spans="6:31" ht="18.75" customHeight="1">
      <c r="F1323" s="252">
        <v>1.8</v>
      </c>
      <c r="G1323" s="252" t="s">
        <v>766</v>
      </c>
      <c r="H1323" s="296" t="s">
        <v>2000</v>
      </c>
      <c r="I1323" s="252">
        <f>(C10)</f>
        <v>999</v>
      </c>
      <c r="J1323" s="296" t="s">
        <v>766</v>
      </c>
      <c r="K1323" s="252">
        <f>(F1323*I1323)</f>
        <v>1798.2</v>
      </c>
      <c r="Q1323" s="253"/>
      <c r="R1323" s="358"/>
      <c r="S1323" s="252">
        <v>2.2000000000000002</v>
      </c>
      <c r="T1323" s="252" t="s">
        <v>557</v>
      </c>
      <c r="U1323" s="296" t="s">
        <v>3599</v>
      </c>
      <c r="V1323" s="362">
        <f t="shared" si="177"/>
        <v>534</v>
      </c>
      <c r="W1323" s="253" t="s">
        <v>1393</v>
      </c>
      <c r="X1323" s="252">
        <f t="shared" si="176"/>
        <v>1174.8</v>
      </c>
      <c r="AE1323" s="370">
        <f t="shared" si="173"/>
        <v>0</v>
      </c>
    </row>
    <row r="1324" spans="6:31" ht="18.75" customHeight="1">
      <c r="F1324" s="252">
        <v>17.7</v>
      </c>
      <c r="G1324" s="252" t="s">
        <v>766</v>
      </c>
      <c r="H1324" s="296" t="s">
        <v>930</v>
      </c>
      <c r="I1324" s="252">
        <f>(C12)</f>
        <v>651</v>
      </c>
      <c r="J1324" s="296" t="s">
        <v>766</v>
      </c>
      <c r="K1324" s="252">
        <f>(F1324*I1324)</f>
        <v>11522.7</v>
      </c>
      <c r="O1324" s="296" t="s">
        <v>438</v>
      </c>
      <c r="Q1324" s="253"/>
      <c r="R1324" s="252">
        <f>SUM(R1319:R1322)</f>
        <v>2314.34</v>
      </c>
      <c r="S1324" s="252">
        <v>10</v>
      </c>
      <c r="T1324" s="252" t="s">
        <v>446</v>
      </c>
      <c r="U1324" s="296" t="s">
        <v>3600</v>
      </c>
      <c r="V1324" s="362">
        <f t="shared" si="177"/>
        <v>153.47</v>
      </c>
      <c r="W1324" s="253" t="s">
        <v>446</v>
      </c>
      <c r="X1324" s="252">
        <f t="shared" si="176"/>
        <v>1534.7</v>
      </c>
      <c r="AE1324" s="370">
        <f t="shared" si="173"/>
        <v>0</v>
      </c>
    </row>
    <row r="1325" spans="6:31" ht="18.75" customHeight="1">
      <c r="F1325" s="252">
        <v>14.1</v>
      </c>
      <c r="G1325" s="252" t="s">
        <v>766</v>
      </c>
      <c r="H1325" s="296" t="s">
        <v>317</v>
      </c>
      <c r="I1325" s="252">
        <f>(C13)</f>
        <v>534</v>
      </c>
      <c r="J1325" s="296" t="s">
        <v>766</v>
      </c>
      <c r="K1325" s="252">
        <f>(F1325*I1325)</f>
        <v>7529.4</v>
      </c>
      <c r="Q1325" s="253"/>
      <c r="R1325" s="358" t="s">
        <v>1579</v>
      </c>
      <c r="S1325" s="252"/>
      <c r="U1325" s="296"/>
      <c r="V1325" s="362">
        <f t="shared" si="177"/>
        <v>0</v>
      </c>
      <c r="W1325" s="253"/>
      <c r="X1325" s="358" t="s">
        <v>1579</v>
      </c>
      <c r="AE1325" s="370">
        <f t="shared" si="173"/>
        <v>0</v>
      </c>
    </row>
    <row r="1326" spans="6:31" ht="18.75" customHeight="1">
      <c r="G1326" s="252" t="s">
        <v>446</v>
      </c>
      <c r="H1326" s="296" t="s">
        <v>447</v>
      </c>
      <c r="J1326" s="296" t="s">
        <v>446</v>
      </c>
      <c r="K1326" s="252">
        <v>0</v>
      </c>
      <c r="O1326" s="296" t="s">
        <v>549</v>
      </c>
      <c r="Q1326" s="253"/>
      <c r="R1326" s="274">
        <f>(R1324/10)</f>
        <v>231.43</v>
      </c>
      <c r="S1326" s="252">
        <f>R1326-157</f>
        <v>74.430000000000007</v>
      </c>
      <c r="U1326" s="253" t="s">
        <v>404</v>
      </c>
      <c r="W1326" s="253"/>
      <c r="X1326" s="252">
        <f>SUM(X1318:X1324)</f>
        <v>24656.67</v>
      </c>
      <c r="AE1326" s="370">
        <f t="shared" si="173"/>
        <v>0</v>
      </c>
    </row>
    <row r="1327" spans="6:31" ht="18.75" customHeight="1">
      <c r="K1327" s="358" t="s">
        <v>1579</v>
      </c>
      <c r="M1327" s="296" t="s">
        <v>971</v>
      </c>
      <c r="Q1327" s="253"/>
      <c r="S1327" s="252"/>
      <c r="W1327" s="253"/>
      <c r="X1327" s="358" t="s">
        <v>1579</v>
      </c>
      <c r="AE1327" s="370">
        <f t="shared" si="173"/>
        <v>0</v>
      </c>
    </row>
    <row r="1328" spans="6:31" ht="18.75" customHeight="1">
      <c r="H1328" s="296" t="s">
        <v>611</v>
      </c>
      <c r="K1328" s="252">
        <f>SUM(K1321:K1327)</f>
        <v>36969.64</v>
      </c>
      <c r="Q1328" s="253"/>
      <c r="R1328" s="358" t="s">
        <v>2046</v>
      </c>
      <c r="S1328" s="252"/>
      <c r="U1328" s="253" t="s">
        <v>408</v>
      </c>
      <c r="W1328" s="253"/>
      <c r="X1328" s="274">
        <f>X1326/10</f>
        <v>2465.67</v>
      </c>
      <c r="AE1328" s="370">
        <f t="shared" si="173"/>
        <v>0</v>
      </c>
    </row>
    <row r="1329" spans="6:31" ht="18.75" customHeight="1">
      <c r="K1329" s="358" t="s">
        <v>1579</v>
      </c>
      <c r="Q1329" s="253"/>
      <c r="W1329" s="253"/>
      <c r="AE1329" s="370">
        <f t="shared" si="173"/>
        <v>0</v>
      </c>
    </row>
    <row r="1330" spans="6:31" ht="18.75" customHeight="1">
      <c r="H1330" s="255" t="s">
        <v>770</v>
      </c>
      <c r="K1330" s="274">
        <f>(K1328/10)</f>
        <v>3696.96</v>
      </c>
      <c r="M1330" s="375">
        <v>15.1</v>
      </c>
      <c r="N1330" s="252" t="s">
        <v>1749</v>
      </c>
      <c r="O1330" s="296" t="s">
        <v>5694</v>
      </c>
      <c r="Q1330" s="253"/>
      <c r="T1330" s="276" t="s">
        <v>3825</v>
      </c>
      <c r="W1330" s="253"/>
      <c r="AE1330" s="370">
        <f t="shared" si="173"/>
        <v>0</v>
      </c>
    </row>
    <row r="1331" spans="6:31" ht="18.75" customHeight="1">
      <c r="K1331" s="358" t="s">
        <v>2046</v>
      </c>
      <c r="O1331" s="296" t="s">
        <v>2271</v>
      </c>
      <c r="Q1331" s="253"/>
      <c r="S1331" s="252">
        <v>10</v>
      </c>
      <c r="T1331" s="252" t="s">
        <v>606</v>
      </c>
      <c r="U1331" s="296" t="s">
        <v>4893</v>
      </c>
      <c r="V1331" s="362">
        <v>506</v>
      </c>
      <c r="W1331" s="253" t="s">
        <v>606</v>
      </c>
      <c r="X1331" s="252">
        <f>(S1331*V1331)</f>
        <v>5060</v>
      </c>
      <c r="Z1331" s="252">
        <v>9</v>
      </c>
      <c r="AA1331" s="252" t="s">
        <v>3641</v>
      </c>
      <c r="AB1331" s="252">
        <f>AC44</f>
        <v>1359.6</v>
      </c>
      <c r="AC1331" s="252">
        <f>AB1331*Z1331</f>
        <v>12236.4</v>
      </c>
      <c r="AE1331" s="370">
        <f t="shared" si="173"/>
        <v>0</v>
      </c>
    </row>
    <row r="1332" spans="6:31" ht="18.75" customHeight="1">
      <c r="M1332" s="252">
        <v>10</v>
      </c>
      <c r="N1332" s="252" t="s">
        <v>2273</v>
      </c>
      <c r="O1332" s="477" t="s">
        <v>5696</v>
      </c>
      <c r="P1332" s="362">
        <v>1626</v>
      </c>
      <c r="Q1332" s="253" t="s">
        <v>2273</v>
      </c>
      <c r="R1332" s="252">
        <f>(M1332*P1332)</f>
        <v>16260</v>
      </c>
      <c r="S1332" s="252">
        <v>0.21</v>
      </c>
      <c r="T1332" s="252" t="s">
        <v>866</v>
      </c>
      <c r="U1332" s="296" t="s">
        <v>1868</v>
      </c>
      <c r="V1332" s="252">
        <f>P1333</f>
        <v>4861.3</v>
      </c>
      <c r="W1332" s="253" t="s">
        <v>866</v>
      </c>
      <c r="X1332" s="252">
        <f>(S1332*V1332)</f>
        <v>1020.87</v>
      </c>
      <c r="Z1332" s="252">
        <v>4.5</v>
      </c>
      <c r="AA1332" s="296" t="s">
        <v>414</v>
      </c>
      <c r="AB1332" s="252">
        <f>K23</f>
        <v>6310.9</v>
      </c>
      <c r="AC1332" s="252">
        <f>AB1332*Z1332</f>
        <v>28399.05</v>
      </c>
      <c r="AE1332" s="370">
        <f t="shared" si="173"/>
        <v>0</v>
      </c>
    </row>
    <row r="1333" spans="6:31" ht="18.75" customHeight="1">
      <c r="G1333" s="252" t="s">
        <v>672</v>
      </c>
      <c r="H1333" s="296" t="s">
        <v>749</v>
      </c>
      <c r="M1333" s="252">
        <v>0.12</v>
      </c>
      <c r="N1333" s="252" t="s">
        <v>866</v>
      </c>
      <c r="O1333" s="296" t="s">
        <v>781</v>
      </c>
      <c r="P1333" s="252">
        <f>K32</f>
        <v>4861.3</v>
      </c>
      <c r="Q1333" s="253" t="s">
        <v>866</v>
      </c>
      <c r="R1333" s="252">
        <f>(M1333*P1333)</f>
        <v>583.36</v>
      </c>
      <c r="S1333" s="252">
        <v>10</v>
      </c>
      <c r="U1333" s="296" t="s">
        <v>3826</v>
      </c>
      <c r="V1333" s="407">
        <f>K1344</f>
        <v>315.77999999999997</v>
      </c>
      <c r="W1333" s="253"/>
      <c r="X1333" s="252">
        <f>(S1333*V1333)</f>
        <v>3157.8</v>
      </c>
      <c r="Z1333" s="252">
        <v>1.8</v>
      </c>
      <c r="AA1333" s="296" t="s">
        <v>1704</v>
      </c>
      <c r="AB1333" s="252">
        <f>V1335</f>
        <v>932</v>
      </c>
      <c r="AC1333" s="252">
        <f>AB1333*Z1333</f>
        <v>1677.6</v>
      </c>
      <c r="AE1333" s="370">
        <f t="shared" si="173"/>
        <v>0</v>
      </c>
    </row>
    <row r="1334" spans="6:31" ht="18.75" customHeight="1">
      <c r="H1334" s="296" t="s">
        <v>750</v>
      </c>
      <c r="M1334" s="252">
        <v>1</v>
      </c>
      <c r="N1334" s="252" t="s">
        <v>557</v>
      </c>
      <c r="O1334" s="296" t="s">
        <v>558</v>
      </c>
      <c r="P1334" s="252">
        <f>I1305</f>
        <v>999</v>
      </c>
      <c r="Q1334" s="253" t="s">
        <v>1393</v>
      </c>
      <c r="R1334" s="252">
        <f>(M1334*P1334)</f>
        <v>999</v>
      </c>
      <c r="S1334" s="252">
        <v>1.1000000000000001</v>
      </c>
      <c r="T1334" s="400" t="s">
        <v>766</v>
      </c>
      <c r="U1334" s="296" t="s">
        <v>2000</v>
      </c>
      <c r="V1334" s="252">
        <f>AE9</f>
        <v>999</v>
      </c>
      <c r="W1334" s="253" t="s">
        <v>766</v>
      </c>
      <c r="X1334" s="252">
        <f t="shared" ref="X1334:X1341" si="178">S1334*V1334</f>
        <v>1098.9000000000001</v>
      </c>
      <c r="Z1334" s="252">
        <v>17.7</v>
      </c>
      <c r="AA1334" s="296" t="s">
        <v>1893</v>
      </c>
      <c r="AB1334" s="252">
        <f>V1336</f>
        <v>651</v>
      </c>
      <c r="AC1334" s="252">
        <f>AB1334*Z1334</f>
        <v>11522.7</v>
      </c>
      <c r="AE1334" s="370">
        <f t="shared" si="173"/>
        <v>0</v>
      </c>
    </row>
    <row r="1335" spans="6:31" ht="18.75" customHeight="1">
      <c r="H1335" s="358" t="s">
        <v>1579</v>
      </c>
      <c r="L1335" s="252">
        <f>SUM(K1355:K1360)</f>
        <v>8299.26</v>
      </c>
      <c r="M1335" s="252">
        <v>1</v>
      </c>
      <c r="N1335" s="252" t="s">
        <v>557</v>
      </c>
      <c r="O1335" s="296" t="s">
        <v>820</v>
      </c>
      <c r="P1335" s="252">
        <f>I1306</f>
        <v>651</v>
      </c>
      <c r="Q1335" s="253" t="s">
        <v>1393</v>
      </c>
      <c r="R1335" s="252">
        <f>(M1335*P1335)</f>
        <v>651</v>
      </c>
      <c r="S1335" s="252">
        <v>2.1</v>
      </c>
      <c r="T1335" s="400" t="s">
        <v>766</v>
      </c>
      <c r="U1335" s="296" t="s">
        <v>1704</v>
      </c>
      <c r="V1335" s="252">
        <f>AE10</f>
        <v>932</v>
      </c>
      <c r="W1335" s="253" t="s">
        <v>766</v>
      </c>
      <c r="X1335" s="252">
        <f t="shared" si="178"/>
        <v>1957.2</v>
      </c>
      <c r="Z1335" s="252">
        <v>14.1</v>
      </c>
      <c r="AA1335" s="296" t="s">
        <v>317</v>
      </c>
      <c r="AB1335" s="252">
        <f>V1337</f>
        <v>534</v>
      </c>
      <c r="AC1335" s="252">
        <f>AB1335*Z1335</f>
        <v>7529.4</v>
      </c>
      <c r="AE1335" s="370">
        <f t="shared" si="173"/>
        <v>0</v>
      </c>
    </row>
    <row r="1336" spans="6:31" ht="18.75" customHeight="1">
      <c r="F1336" s="252">
        <v>0.04</v>
      </c>
      <c r="G1336" s="252" t="s">
        <v>866</v>
      </c>
      <c r="H1336" s="296" t="s">
        <v>751</v>
      </c>
      <c r="I1336" s="252">
        <f>(K32)</f>
        <v>4861.3</v>
      </c>
      <c r="J1336" s="296" t="s">
        <v>866</v>
      </c>
      <c r="K1336" s="252">
        <f>(F1336*I1336)</f>
        <v>194.45</v>
      </c>
      <c r="N1336" s="252" t="s">
        <v>446</v>
      </c>
      <c r="O1336" s="296" t="s">
        <v>59</v>
      </c>
      <c r="Q1336" s="253" t="s">
        <v>446</v>
      </c>
      <c r="R1336" s="252">
        <v>0.33</v>
      </c>
      <c r="S1336" s="252">
        <v>2.2000000000000002</v>
      </c>
      <c r="T1336" s="400" t="s">
        <v>766</v>
      </c>
      <c r="U1336" s="296" t="s">
        <v>1893</v>
      </c>
      <c r="V1336" s="252">
        <f>AE11</f>
        <v>651</v>
      </c>
      <c r="W1336" s="253" t="s">
        <v>766</v>
      </c>
      <c r="X1336" s="252">
        <f t="shared" si="178"/>
        <v>1432.2</v>
      </c>
      <c r="AC1336" s="252">
        <f>SUM(AC1331:AC1335)</f>
        <v>61365.15</v>
      </c>
      <c r="AE1336" s="370">
        <f t="shared" si="173"/>
        <v>0</v>
      </c>
    </row>
    <row r="1337" spans="6:31" ht="18.75" customHeight="1">
      <c r="F1337" s="252">
        <v>2.2000000000000002</v>
      </c>
      <c r="G1337" s="252" t="s">
        <v>766</v>
      </c>
      <c r="H1337" s="296" t="s">
        <v>1704</v>
      </c>
      <c r="I1337" s="252">
        <f>(C11)</f>
        <v>932</v>
      </c>
      <c r="J1337" s="296" t="s">
        <v>766</v>
      </c>
      <c r="K1337" s="252">
        <f>(F1337*I1337)</f>
        <v>2050.4</v>
      </c>
      <c r="L1337" s="252">
        <f>SUM(K1355:K1360)</f>
        <v>8299.26</v>
      </c>
      <c r="O1337" s="296" t="s">
        <v>927</v>
      </c>
      <c r="Q1337" s="253"/>
      <c r="R1337" s="358" t="s">
        <v>1579</v>
      </c>
      <c r="S1337" s="252">
        <v>1.1000000000000001</v>
      </c>
      <c r="T1337" s="400" t="s">
        <v>766</v>
      </c>
      <c r="U1337" s="296" t="s">
        <v>317</v>
      </c>
      <c r="V1337" s="252">
        <f>AE12</f>
        <v>534</v>
      </c>
      <c r="W1337" s="253" t="s">
        <v>766</v>
      </c>
      <c r="X1337" s="252">
        <f t="shared" si="178"/>
        <v>587.4</v>
      </c>
      <c r="AC1337" s="252">
        <f>AC1336/10</f>
        <v>6136.52</v>
      </c>
      <c r="AE1337" s="370">
        <f t="shared" si="173"/>
        <v>0</v>
      </c>
    </row>
    <row r="1338" spans="6:31" ht="18.75" customHeight="1">
      <c r="F1338" s="252">
        <v>0.5</v>
      </c>
      <c r="G1338" s="252" t="s">
        <v>766</v>
      </c>
      <c r="H1338" s="296" t="s">
        <v>1893</v>
      </c>
      <c r="I1338" s="252">
        <f>(C12)</f>
        <v>651</v>
      </c>
      <c r="J1338" s="296" t="s">
        <v>766</v>
      </c>
      <c r="K1338" s="252">
        <f>(F1338*I1338)</f>
        <v>325.5</v>
      </c>
      <c r="O1338" s="253" t="s">
        <v>404</v>
      </c>
      <c r="Q1338" s="253"/>
      <c r="R1338" s="252">
        <f>SUM(R1332:R1336)</f>
        <v>18493.689999999999</v>
      </c>
      <c r="S1338" s="356">
        <v>6.5</v>
      </c>
      <c r="T1338" s="400" t="s">
        <v>1637</v>
      </c>
      <c r="U1338" s="296" t="s">
        <v>3642</v>
      </c>
      <c r="V1338" s="314">
        <v>17.18</v>
      </c>
      <c r="W1338" s="253" t="s">
        <v>858</v>
      </c>
      <c r="X1338" s="252">
        <f t="shared" si="178"/>
        <v>111.67</v>
      </c>
      <c r="AE1338" s="370">
        <f t="shared" si="173"/>
        <v>0</v>
      </c>
    </row>
    <row r="1339" spans="6:31" ht="18.75" customHeight="1">
      <c r="F1339" s="252">
        <v>1.1000000000000001</v>
      </c>
      <c r="G1339" s="252" t="s">
        <v>766</v>
      </c>
      <c r="H1339" s="296" t="s">
        <v>317</v>
      </c>
      <c r="I1339" s="252">
        <f>(C13)</f>
        <v>534</v>
      </c>
      <c r="J1339" s="296" t="s">
        <v>766</v>
      </c>
      <c r="K1339" s="252">
        <f>(F1339*I1339)</f>
        <v>587.4</v>
      </c>
      <c r="Q1339" s="253"/>
      <c r="R1339" s="358" t="s">
        <v>1579</v>
      </c>
      <c r="S1339" s="356">
        <v>3</v>
      </c>
      <c r="T1339" s="400" t="s">
        <v>1637</v>
      </c>
      <c r="U1339" s="296" t="s">
        <v>3722</v>
      </c>
      <c r="V1339" s="362">
        <f>C610</f>
        <v>27.25</v>
      </c>
      <c r="W1339" s="253" t="s">
        <v>1637</v>
      </c>
      <c r="X1339" s="252">
        <f t="shared" si="178"/>
        <v>81.75</v>
      </c>
      <c r="AE1339" s="370">
        <f t="shared" si="173"/>
        <v>0</v>
      </c>
    </row>
    <row r="1340" spans="6:31" ht="18.75" customHeight="1">
      <c r="G1340" s="252" t="s">
        <v>446</v>
      </c>
      <c r="H1340" s="296" t="s">
        <v>447</v>
      </c>
      <c r="J1340" s="296" t="s">
        <v>446</v>
      </c>
      <c r="K1340" s="252">
        <v>0</v>
      </c>
      <c r="O1340" s="253" t="s">
        <v>408</v>
      </c>
      <c r="Q1340" s="253"/>
      <c r="R1340" s="274">
        <f>R1338/10</f>
        <v>1849.37</v>
      </c>
      <c r="S1340" s="252">
        <v>2.15</v>
      </c>
      <c r="T1340" s="400" t="s">
        <v>766</v>
      </c>
      <c r="U1340" s="296" t="s">
        <v>3643</v>
      </c>
      <c r="V1340" s="314">
        <v>45.8</v>
      </c>
      <c r="W1340" s="253" t="s">
        <v>766</v>
      </c>
      <c r="X1340" s="252">
        <f t="shared" si="178"/>
        <v>98.47</v>
      </c>
      <c r="AE1340" s="370">
        <f t="shared" si="173"/>
        <v>0</v>
      </c>
    </row>
    <row r="1341" spans="6:31" ht="18.75" customHeight="1">
      <c r="K1341" s="358" t="s">
        <v>1579</v>
      </c>
      <c r="O1341" s="296" t="s">
        <v>383</v>
      </c>
      <c r="Q1341" s="253">
        <f>R1345+S1302</f>
        <v>1858.4</v>
      </c>
      <c r="R1341" s="252">
        <f>R1340+S1299</f>
        <v>1849.58</v>
      </c>
      <c r="S1341" s="252">
        <v>0.4</v>
      </c>
      <c r="T1341" s="400" t="s">
        <v>766</v>
      </c>
      <c r="U1341" s="296" t="s">
        <v>3731</v>
      </c>
      <c r="V1341" s="252">
        <f>AC1337</f>
        <v>6136.52</v>
      </c>
      <c r="W1341" s="253" t="s">
        <v>766</v>
      </c>
      <c r="X1341" s="252">
        <f t="shared" si="178"/>
        <v>2454.61</v>
      </c>
      <c r="AE1341" s="370">
        <f t="shared" si="173"/>
        <v>0</v>
      </c>
    </row>
    <row r="1342" spans="6:31" ht="18.75" customHeight="1">
      <c r="H1342" s="296" t="s">
        <v>438</v>
      </c>
      <c r="K1342" s="252">
        <f>SUM(K1336:K1340)</f>
        <v>3157.75</v>
      </c>
      <c r="O1342" s="296" t="s">
        <v>385</v>
      </c>
      <c r="Q1342" s="253">
        <f>Q1341+S1302</f>
        <v>1860.6</v>
      </c>
      <c r="R1342" s="252">
        <f>R1341+1.11</f>
        <v>1850.69</v>
      </c>
      <c r="S1342" s="252"/>
      <c r="T1342" s="400"/>
      <c r="U1342" s="296"/>
      <c r="W1342" s="253" t="s">
        <v>766</v>
      </c>
      <c r="X1342" s="252">
        <f>(S1342*V1342)</f>
        <v>0</v>
      </c>
      <c r="AE1342" s="370">
        <f t="shared" ref="AE1342:AE1405" si="179">AG1342</f>
        <v>0</v>
      </c>
    </row>
    <row r="1343" spans="6:31" ht="18.75" customHeight="1">
      <c r="K1343" s="358" t="s">
        <v>1579</v>
      </c>
      <c r="O1343" s="296" t="s">
        <v>2222</v>
      </c>
      <c r="Q1343" s="253"/>
      <c r="R1343" s="252">
        <f>R1342+1.11</f>
        <v>1851.8</v>
      </c>
      <c r="S1343" s="252"/>
      <c r="T1343" s="400" t="s">
        <v>446</v>
      </c>
      <c r="U1343" s="296" t="s">
        <v>447</v>
      </c>
      <c r="W1343" s="253" t="s">
        <v>446</v>
      </c>
      <c r="X1343" s="252">
        <v>0.8</v>
      </c>
      <c r="AE1343" s="370">
        <f t="shared" si="179"/>
        <v>0</v>
      </c>
    </row>
    <row r="1344" spans="6:31" ht="18.75" customHeight="1">
      <c r="H1344" s="255" t="s">
        <v>549</v>
      </c>
      <c r="K1344" s="274">
        <f>(K1342/10)</f>
        <v>315.77999999999997</v>
      </c>
      <c r="O1344" s="296" t="s">
        <v>377</v>
      </c>
      <c r="Q1344" s="253"/>
      <c r="R1344" s="252">
        <f>R1343+S1302</f>
        <v>1854</v>
      </c>
      <c r="S1344" s="252"/>
      <c r="T1344" s="400"/>
      <c r="W1344" s="253"/>
      <c r="X1344" s="358" t="s">
        <v>1579</v>
      </c>
      <c r="AE1344" s="370">
        <f t="shared" si="179"/>
        <v>0</v>
      </c>
    </row>
    <row r="1345" spans="6:31" ht="18.75" customHeight="1">
      <c r="K1345" s="358" t="s">
        <v>2046</v>
      </c>
      <c r="O1345" s="296" t="s">
        <v>1359</v>
      </c>
      <c r="Q1345" s="253"/>
      <c r="R1345" s="252">
        <f>R1344+S1302</f>
        <v>1856.2</v>
      </c>
      <c r="S1345" s="252"/>
      <c r="T1345" s="400"/>
      <c r="U1345" s="296" t="s">
        <v>438</v>
      </c>
      <c r="W1345" s="253"/>
      <c r="X1345" s="252">
        <f>SUM(X1331:X1344)</f>
        <v>17061.669999999998</v>
      </c>
      <c r="AE1345" s="370">
        <f t="shared" si="179"/>
        <v>0</v>
      </c>
    </row>
    <row r="1346" spans="6:31" ht="18.75" customHeight="1">
      <c r="Q1346" s="253"/>
      <c r="S1346" s="252"/>
      <c r="T1346" s="400"/>
      <c r="W1346" s="253"/>
      <c r="X1346" s="358" t="s">
        <v>1579</v>
      </c>
      <c r="AE1346" s="370">
        <f t="shared" si="179"/>
        <v>0</v>
      </c>
    </row>
    <row r="1347" spans="6:31" ht="18.75" customHeight="1">
      <c r="F1347" s="375">
        <v>32.1</v>
      </c>
      <c r="G1347" s="252" t="s">
        <v>2241</v>
      </c>
      <c r="H1347" s="296" t="s">
        <v>752</v>
      </c>
      <c r="Q1347" s="296"/>
      <c r="S1347" s="252"/>
      <c r="T1347" s="400"/>
      <c r="U1347" s="296" t="s">
        <v>549</v>
      </c>
      <c r="W1347" s="253"/>
      <c r="X1347" s="274">
        <f>(X1345/10)</f>
        <v>1706.17</v>
      </c>
      <c r="Y1347" s="252">
        <f>0.8-0.77</f>
        <v>0.03</v>
      </c>
      <c r="AE1347" s="370">
        <f t="shared" si="179"/>
        <v>0</v>
      </c>
    </row>
    <row r="1348" spans="6:31" ht="18.75" customHeight="1">
      <c r="H1348" s="296" t="s">
        <v>1476</v>
      </c>
      <c r="Q1348" s="296"/>
      <c r="S1348" s="252"/>
      <c r="T1348" s="400"/>
      <c r="W1348" s="253"/>
      <c r="X1348" s="358" t="s">
        <v>2046</v>
      </c>
      <c r="AE1348" s="370">
        <f t="shared" si="179"/>
        <v>0</v>
      </c>
    </row>
    <row r="1349" spans="6:31" ht="18.75" customHeight="1">
      <c r="H1349" s="296" t="s">
        <v>680</v>
      </c>
      <c r="Q1349" s="296"/>
      <c r="W1349" s="253"/>
      <c r="AE1349" s="370">
        <f t="shared" si="179"/>
        <v>0</v>
      </c>
    </row>
    <row r="1350" spans="6:31" ht="18.75" customHeight="1">
      <c r="H1350" s="296" t="s">
        <v>1958</v>
      </c>
      <c r="Q1350" s="296"/>
      <c r="W1350" s="253"/>
      <c r="Y1350" s="316">
        <v>3.02</v>
      </c>
      <c r="Z1350" s="252" t="s">
        <v>909</v>
      </c>
      <c r="AA1350" s="296" t="s">
        <v>1846</v>
      </c>
      <c r="AB1350" s="252">
        <f t="shared" ref="AB1350:AB1361" si="180">V1352</f>
        <v>325</v>
      </c>
      <c r="AC1350" s="252" t="s">
        <v>909</v>
      </c>
      <c r="AD1350" s="252">
        <f t="shared" ref="AD1350:AD1361" si="181">AB1350*Y1350</f>
        <v>981.5</v>
      </c>
      <c r="AE1350" s="370">
        <f t="shared" si="179"/>
        <v>0</v>
      </c>
    </row>
    <row r="1351" spans="6:31" ht="18.75" customHeight="1">
      <c r="H1351" s="296" t="s">
        <v>1288</v>
      </c>
      <c r="O1351" s="252" t="s">
        <v>1196</v>
      </c>
      <c r="Q1351" s="253"/>
      <c r="U1351" s="461" t="s">
        <v>3470</v>
      </c>
      <c r="W1351" s="253"/>
      <c r="Y1351" s="316">
        <v>2.19</v>
      </c>
      <c r="Z1351" s="252" t="s">
        <v>909</v>
      </c>
      <c r="AA1351" s="296" t="s">
        <v>1846</v>
      </c>
      <c r="AB1351" s="252">
        <f t="shared" si="180"/>
        <v>325</v>
      </c>
      <c r="AC1351" s="252" t="s">
        <v>909</v>
      </c>
      <c r="AD1351" s="252">
        <f t="shared" si="181"/>
        <v>711.75</v>
      </c>
      <c r="AE1351" s="370">
        <f t="shared" si="179"/>
        <v>0</v>
      </c>
    </row>
    <row r="1352" spans="6:31" ht="18.75" customHeight="1">
      <c r="H1352" s="358" t="s">
        <v>1579</v>
      </c>
      <c r="Q1352" s="253"/>
      <c r="S1352" s="356">
        <v>3.72</v>
      </c>
      <c r="T1352" s="252" t="s">
        <v>909</v>
      </c>
      <c r="U1352" s="296" t="s">
        <v>1846</v>
      </c>
      <c r="V1352" s="252">
        <f>P1391</f>
        <v>325</v>
      </c>
      <c r="W1352" s="253" t="s">
        <v>909</v>
      </c>
      <c r="X1352" s="252">
        <f>V1352*S1352</f>
        <v>1209</v>
      </c>
      <c r="Y1352" s="316">
        <v>4.96</v>
      </c>
      <c r="Z1352" s="252" t="s">
        <v>909</v>
      </c>
      <c r="AA1352" s="296" t="s">
        <v>1846</v>
      </c>
      <c r="AB1352" s="252">
        <f t="shared" si="180"/>
        <v>325</v>
      </c>
      <c r="AC1352" s="252" t="s">
        <v>909</v>
      </c>
      <c r="AD1352" s="252">
        <f t="shared" si="181"/>
        <v>1612</v>
      </c>
      <c r="AE1352" s="370">
        <f t="shared" si="179"/>
        <v>0</v>
      </c>
    </row>
    <row r="1353" spans="6:31" ht="18.75" customHeight="1">
      <c r="F1353" s="252">
        <v>190</v>
      </c>
      <c r="G1353" s="252" t="s">
        <v>1865</v>
      </c>
      <c r="H1353" s="296" t="s">
        <v>3868</v>
      </c>
      <c r="I1353" s="252">
        <f>(C83)</f>
        <v>16106</v>
      </c>
      <c r="J1353" s="296" t="s">
        <v>1474</v>
      </c>
      <c r="K1353" s="252">
        <f>(F1353*I1353)/1000</f>
        <v>3060.14</v>
      </c>
      <c r="M1353" s="252">
        <v>70</v>
      </c>
      <c r="N1353" s="252" t="s">
        <v>823</v>
      </c>
      <c r="O1353" s="478" t="s">
        <v>4894</v>
      </c>
      <c r="P1353" s="362">
        <v>33</v>
      </c>
      <c r="Q1353" s="253" t="s">
        <v>823</v>
      </c>
      <c r="R1353" s="252">
        <f>P1353*M1353</f>
        <v>2310</v>
      </c>
      <c r="S1353" s="356">
        <v>3.87</v>
      </c>
      <c r="T1353" s="252" t="s">
        <v>909</v>
      </c>
      <c r="U1353" s="296" t="s">
        <v>1846</v>
      </c>
      <c r="V1353" s="252">
        <f t="shared" ref="V1353:V1363" si="182">P1392</f>
        <v>325</v>
      </c>
      <c r="W1353" s="253" t="s">
        <v>909</v>
      </c>
      <c r="X1353" s="252">
        <f t="shared" ref="X1353:X1363" si="183">V1353*S1353</f>
        <v>1257.75</v>
      </c>
      <c r="Y1353" s="316">
        <v>0.85</v>
      </c>
      <c r="Z1353" s="252" t="s">
        <v>909</v>
      </c>
      <c r="AA1353" s="296" t="s">
        <v>1846</v>
      </c>
      <c r="AB1353" s="252">
        <f t="shared" si="180"/>
        <v>325</v>
      </c>
      <c r="AC1353" s="252" t="s">
        <v>909</v>
      </c>
      <c r="AD1353" s="252">
        <f t="shared" si="181"/>
        <v>276.25</v>
      </c>
      <c r="AE1353" s="370">
        <f t="shared" si="179"/>
        <v>0</v>
      </c>
    </row>
    <row r="1354" spans="6:31" ht="18.75" customHeight="1">
      <c r="F1354" s="252">
        <v>0.12</v>
      </c>
      <c r="G1354" s="252" t="s">
        <v>866</v>
      </c>
      <c r="H1354" s="296" t="s">
        <v>1868</v>
      </c>
      <c r="I1354" s="252">
        <f>(K32)</f>
        <v>4861.3</v>
      </c>
      <c r="J1354" s="296" t="s">
        <v>866</v>
      </c>
      <c r="K1354" s="252">
        <f t="shared" ref="K1354:K1360" si="184">(F1354*I1354)</f>
        <v>583.36</v>
      </c>
      <c r="Q1354" s="253"/>
      <c r="S1354" s="356">
        <v>7.46</v>
      </c>
      <c r="T1354" s="252" t="s">
        <v>909</v>
      </c>
      <c r="U1354" s="296" t="s">
        <v>1846</v>
      </c>
      <c r="V1354" s="252">
        <f t="shared" si="182"/>
        <v>325</v>
      </c>
      <c r="W1354" s="253" t="s">
        <v>909</v>
      </c>
      <c r="X1354" s="252">
        <f t="shared" si="183"/>
        <v>2424.5</v>
      </c>
      <c r="Y1354" s="316">
        <v>0.73199999999999998</v>
      </c>
      <c r="Z1354" s="252" t="s">
        <v>230</v>
      </c>
      <c r="AA1354" s="296" t="s">
        <v>1847</v>
      </c>
      <c r="AB1354" s="252">
        <f>V1356</f>
        <v>306.89999999999998</v>
      </c>
      <c r="AC1354" s="252" t="s">
        <v>230</v>
      </c>
      <c r="AD1354" s="252">
        <f t="shared" si="181"/>
        <v>224.65</v>
      </c>
      <c r="AE1354" s="370">
        <f t="shared" si="179"/>
        <v>0</v>
      </c>
    </row>
    <row r="1355" spans="6:31" ht="18.75" customHeight="1">
      <c r="F1355" s="252">
        <v>10</v>
      </c>
      <c r="G1355" s="252" t="s">
        <v>606</v>
      </c>
      <c r="H1355" s="296" t="s">
        <v>1290</v>
      </c>
      <c r="I1355" s="252">
        <f>(K1344)</f>
        <v>315.77999999999997</v>
      </c>
      <c r="J1355" s="296" t="s">
        <v>606</v>
      </c>
      <c r="K1355" s="252">
        <f t="shared" si="184"/>
        <v>3157.8</v>
      </c>
      <c r="M1355" s="252">
        <v>0.3</v>
      </c>
      <c r="N1355" s="252" t="s">
        <v>2142</v>
      </c>
      <c r="O1355" s="478" t="s">
        <v>4895</v>
      </c>
      <c r="P1355" s="362">
        <v>17600</v>
      </c>
      <c r="Q1355" s="253" t="s">
        <v>2142</v>
      </c>
      <c r="R1355" s="252">
        <f>P1355*M1355</f>
        <v>5280</v>
      </c>
      <c r="S1355" s="356">
        <v>1.28</v>
      </c>
      <c r="T1355" s="252" t="s">
        <v>909</v>
      </c>
      <c r="U1355" s="296" t="s">
        <v>1846</v>
      </c>
      <c r="V1355" s="252">
        <f t="shared" si="182"/>
        <v>325</v>
      </c>
      <c r="W1355" s="253" t="s">
        <v>909</v>
      </c>
      <c r="X1355" s="252">
        <f t="shared" si="183"/>
        <v>416</v>
      </c>
      <c r="Y1355" s="316">
        <v>6.8719999999999999</v>
      </c>
      <c r="Z1355" s="252" t="s">
        <v>823</v>
      </c>
      <c r="AA1355" s="296" t="s">
        <v>1848</v>
      </c>
      <c r="AB1355" s="252">
        <f t="shared" si="180"/>
        <v>29.05</v>
      </c>
      <c r="AC1355" s="252" t="s">
        <v>823</v>
      </c>
      <c r="AD1355" s="252">
        <f t="shared" si="181"/>
        <v>199.63</v>
      </c>
      <c r="AE1355" s="370">
        <f t="shared" si="179"/>
        <v>0</v>
      </c>
    </row>
    <row r="1356" spans="6:31" ht="18.75" customHeight="1">
      <c r="F1356" s="356">
        <v>1.54</v>
      </c>
      <c r="G1356" s="252" t="s">
        <v>1637</v>
      </c>
      <c r="H1356" s="296" t="s">
        <v>960</v>
      </c>
      <c r="I1356" s="252">
        <f>C653</f>
        <v>42.7</v>
      </c>
      <c r="J1356" s="296" t="s">
        <v>1637</v>
      </c>
      <c r="K1356" s="252">
        <f t="shared" si="184"/>
        <v>65.760000000000005</v>
      </c>
      <c r="Q1356" s="253"/>
      <c r="S1356" s="356">
        <v>1.107</v>
      </c>
      <c r="T1356" s="252" t="s">
        <v>230</v>
      </c>
      <c r="U1356" s="296" t="s">
        <v>1847</v>
      </c>
      <c r="V1356" s="252">
        <f t="shared" si="182"/>
        <v>306.89999999999998</v>
      </c>
      <c r="W1356" s="253" t="s">
        <v>230</v>
      </c>
      <c r="X1356" s="252">
        <f t="shared" si="183"/>
        <v>339.74</v>
      </c>
      <c r="Y1356" s="316">
        <v>8</v>
      </c>
      <c r="Z1356" s="252" t="s">
        <v>766</v>
      </c>
      <c r="AA1356" s="296" t="s">
        <v>1849</v>
      </c>
      <c r="AB1356" s="252">
        <f t="shared" si="180"/>
        <v>71.900000000000006</v>
      </c>
      <c r="AC1356" s="252" t="s">
        <v>766</v>
      </c>
      <c r="AD1356" s="252">
        <f t="shared" si="181"/>
        <v>575.20000000000005</v>
      </c>
      <c r="AE1356" s="370">
        <f t="shared" si="179"/>
        <v>0</v>
      </c>
    </row>
    <row r="1357" spans="6:31" ht="18.75" customHeight="1">
      <c r="F1357" s="252">
        <v>1.1000000000000001</v>
      </c>
      <c r="G1357" s="252" t="s">
        <v>766</v>
      </c>
      <c r="H1357" s="296" t="s">
        <v>2000</v>
      </c>
      <c r="I1357" s="252">
        <f>(C10)</f>
        <v>999</v>
      </c>
      <c r="J1357" s="296" t="s">
        <v>766</v>
      </c>
      <c r="K1357" s="252">
        <f t="shared" si="184"/>
        <v>1098.9000000000001</v>
      </c>
      <c r="O1357" s="252" t="s">
        <v>1197</v>
      </c>
      <c r="Q1357" s="253"/>
      <c r="R1357" s="252">
        <f>SUM(R1353:R1355)</f>
        <v>7590</v>
      </c>
      <c r="S1357" s="356">
        <v>10.343999999999999</v>
      </c>
      <c r="T1357" s="252" t="s">
        <v>823</v>
      </c>
      <c r="U1357" s="296" t="s">
        <v>1848</v>
      </c>
      <c r="V1357" s="252">
        <f t="shared" si="182"/>
        <v>29.05</v>
      </c>
      <c r="W1357" s="253" t="s">
        <v>823</v>
      </c>
      <c r="X1357" s="252">
        <f t="shared" si="183"/>
        <v>300.49</v>
      </c>
      <c r="Y1357" s="316">
        <v>4</v>
      </c>
      <c r="Z1357" s="252" t="s">
        <v>766</v>
      </c>
      <c r="AA1357" s="296" t="s">
        <v>1850</v>
      </c>
      <c r="AB1357" s="252">
        <f t="shared" si="180"/>
        <v>57.65</v>
      </c>
      <c r="AC1357" s="252" t="s">
        <v>766</v>
      </c>
      <c r="AD1357" s="252">
        <f t="shared" si="181"/>
        <v>230.6</v>
      </c>
      <c r="AE1357" s="370">
        <f t="shared" si="179"/>
        <v>0</v>
      </c>
    </row>
    <row r="1358" spans="6:31" ht="18.75" customHeight="1">
      <c r="F1358" s="252">
        <v>2.1</v>
      </c>
      <c r="G1358" s="252" t="s">
        <v>766</v>
      </c>
      <c r="H1358" s="296" t="s">
        <v>1704</v>
      </c>
      <c r="I1358" s="252">
        <f>(C11)</f>
        <v>932</v>
      </c>
      <c r="J1358" s="296" t="s">
        <v>766</v>
      </c>
      <c r="K1358" s="252">
        <f t="shared" si="184"/>
        <v>1957.2</v>
      </c>
      <c r="O1358" s="360" t="s">
        <v>1198</v>
      </c>
      <c r="Q1358" s="253"/>
      <c r="R1358" s="274">
        <f>R1357/10</f>
        <v>759</v>
      </c>
      <c r="S1358" s="356">
        <v>12</v>
      </c>
      <c r="T1358" s="252" t="s">
        <v>766</v>
      </c>
      <c r="U1358" s="296" t="s">
        <v>4022</v>
      </c>
      <c r="V1358" s="252">
        <f t="shared" si="182"/>
        <v>71.900000000000006</v>
      </c>
      <c r="W1358" s="253" t="s">
        <v>766</v>
      </c>
      <c r="X1358" s="252">
        <f t="shared" si="183"/>
        <v>862.8</v>
      </c>
      <c r="Y1358" s="316">
        <v>4</v>
      </c>
      <c r="Z1358" s="252" t="s">
        <v>766</v>
      </c>
      <c r="AA1358" s="296" t="s">
        <v>1851</v>
      </c>
      <c r="AB1358" s="252">
        <f t="shared" si="180"/>
        <v>30</v>
      </c>
      <c r="AC1358" s="252" t="s">
        <v>766</v>
      </c>
      <c r="AD1358" s="252">
        <f t="shared" si="181"/>
        <v>120</v>
      </c>
      <c r="AE1358" s="370">
        <f t="shared" si="179"/>
        <v>0</v>
      </c>
    </row>
    <row r="1359" spans="6:31" ht="18.75" customHeight="1">
      <c r="F1359" s="252">
        <v>2.2000000000000002</v>
      </c>
      <c r="G1359" s="252" t="s">
        <v>766</v>
      </c>
      <c r="H1359" s="296" t="s">
        <v>1893</v>
      </c>
      <c r="I1359" s="252">
        <f>(C12)</f>
        <v>651</v>
      </c>
      <c r="J1359" s="296" t="s">
        <v>766</v>
      </c>
      <c r="K1359" s="252">
        <f t="shared" si="184"/>
        <v>1432.2</v>
      </c>
      <c r="Q1359" s="253"/>
      <c r="S1359" s="356">
        <v>6</v>
      </c>
      <c r="T1359" s="252" t="s">
        <v>766</v>
      </c>
      <c r="U1359" s="296" t="s">
        <v>1850</v>
      </c>
      <c r="V1359" s="252">
        <f t="shared" si="182"/>
        <v>57.65</v>
      </c>
      <c r="W1359" s="253" t="s">
        <v>766</v>
      </c>
      <c r="X1359" s="252">
        <f t="shared" si="183"/>
        <v>345.9</v>
      </c>
      <c r="Y1359" s="316">
        <v>4</v>
      </c>
      <c r="Z1359" s="252" t="s">
        <v>766</v>
      </c>
      <c r="AA1359" s="296" t="s">
        <v>1852</v>
      </c>
      <c r="AB1359" s="252">
        <f t="shared" si="180"/>
        <v>20</v>
      </c>
      <c r="AC1359" s="252" t="s">
        <v>766</v>
      </c>
      <c r="AD1359" s="252">
        <f t="shared" si="181"/>
        <v>80</v>
      </c>
      <c r="AE1359" s="370">
        <f t="shared" si="179"/>
        <v>0</v>
      </c>
    </row>
    <row r="1360" spans="6:31" ht="18.75" customHeight="1">
      <c r="F1360" s="252">
        <v>1.1000000000000001</v>
      </c>
      <c r="G1360" s="252" t="s">
        <v>766</v>
      </c>
      <c r="H1360" s="296" t="s">
        <v>317</v>
      </c>
      <c r="I1360" s="252">
        <f>(C13)</f>
        <v>534</v>
      </c>
      <c r="J1360" s="296" t="s">
        <v>766</v>
      </c>
      <c r="K1360" s="252">
        <f t="shared" si="184"/>
        <v>587.4</v>
      </c>
      <c r="M1360" s="252">
        <v>2</v>
      </c>
      <c r="N1360" s="252" t="s">
        <v>1427</v>
      </c>
      <c r="O1360" s="252" t="s">
        <v>345</v>
      </c>
      <c r="P1360" s="252">
        <f>C12</f>
        <v>651</v>
      </c>
      <c r="Q1360" s="253" t="s">
        <v>1706</v>
      </c>
      <c r="R1360" s="252">
        <f>P1360*M1360</f>
        <v>1302</v>
      </c>
      <c r="S1360" s="356">
        <v>6</v>
      </c>
      <c r="T1360" s="252" t="s">
        <v>766</v>
      </c>
      <c r="U1360" s="296" t="s">
        <v>1851</v>
      </c>
      <c r="V1360" s="252">
        <f t="shared" si="182"/>
        <v>30</v>
      </c>
      <c r="W1360" s="253" t="s">
        <v>766</v>
      </c>
      <c r="X1360" s="252">
        <f t="shared" si="183"/>
        <v>180</v>
      </c>
      <c r="Y1360" s="316">
        <v>4</v>
      </c>
      <c r="Z1360" s="252" t="s">
        <v>766</v>
      </c>
      <c r="AA1360" s="296" t="s">
        <v>1853</v>
      </c>
      <c r="AB1360" s="252">
        <f t="shared" si="180"/>
        <v>15</v>
      </c>
      <c r="AC1360" s="252" t="s">
        <v>766</v>
      </c>
      <c r="AD1360" s="252">
        <f t="shared" si="181"/>
        <v>60</v>
      </c>
      <c r="AE1360" s="370">
        <f t="shared" si="179"/>
        <v>0</v>
      </c>
    </row>
    <row r="1361" spans="6:31" ht="18.75" customHeight="1">
      <c r="G1361" s="252" t="s">
        <v>446</v>
      </c>
      <c r="H1361" s="296" t="s">
        <v>447</v>
      </c>
      <c r="J1361" s="296" t="s">
        <v>446</v>
      </c>
      <c r="K1361" s="252">
        <v>0</v>
      </c>
      <c r="Q1361" s="253"/>
      <c r="S1361" s="356">
        <v>6</v>
      </c>
      <c r="T1361" s="252" t="s">
        <v>766</v>
      </c>
      <c r="U1361" s="296" t="s">
        <v>1852</v>
      </c>
      <c r="V1361" s="252">
        <f t="shared" si="182"/>
        <v>20</v>
      </c>
      <c r="W1361" s="253" t="s">
        <v>766</v>
      </c>
      <c r="X1361" s="252">
        <f t="shared" si="183"/>
        <v>120</v>
      </c>
      <c r="Y1361" s="316">
        <v>0.94499999999999995</v>
      </c>
      <c r="Z1361" s="252" t="s">
        <v>2273</v>
      </c>
      <c r="AA1361" s="296" t="s">
        <v>1854</v>
      </c>
      <c r="AB1361" s="252">
        <f t="shared" si="180"/>
        <v>1998</v>
      </c>
      <c r="AC1361" s="252" t="s">
        <v>2273</v>
      </c>
      <c r="AD1361" s="252">
        <f t="shared" si="181"/>
        <v>1888.11</v>
      </c>
      <c r="AE1361" s="370">
        <f t="shared" si="179"/>
        <v>0</v>
      </c>
    </row>
    <row r="1362" spans="6:31" ht="18.75" customHeight="1">
      <c r="K1362" s="358" t="s">
        <v>1579</v>
      </c>
      <c r="O1362" s="252" t="s">
        <v>1199</v>
      </c>
      <c r="P1362" s="252" t="s">
        <v>654</v>
      </c>
      <c r="Q1362" s="253"/>
      <c r="R1362" s="252">
        <v>11.5</v>
      </c>
      <c r="S1362" s="356">
        <v>4</v>
      </c>
      <c r="T1362" s="252" t="s">
        <v>766</v>
      </c>
      <c r="U1362" s="296" t="s">
        <v>1853</v>
      </c>
      <c r="V1362" s="252">
        <f t="shared" si="182"/>
        <v>15</v>
      </c>
      <c r="W1362" s="253" t="s">
        <v>766</v>
      </c>
      <c r="X1362" s="252">
        <f t="shared" si="183"/>
        <v>60</v>
      </c>
      <c r="AA1362" s="296" t="s">
        <v>1855</v>
      </c>
      <c r="AC1362" s="253"/>
      <c r="AD1362" s="252">
        <v>0.81</v>
      </c>
      <c r="AE1362" s="370">
        <f t="shared" si="179"/>
        <v>0</v>
      </c>
    </row>
    <row r="1363" spans="6:31" ht="18.75" customHeight="1">
      <c r="H1363" s="296" t="s">
        <v>438</v>
      </c>
      <c r="K1363" s="252">
        <f>SUM(K1353:K1361)</f>
        <v>11942.76</v>
      </c>
      <c r="O1363" s="360" t="s">
        <v>1200</v>
      </c>
      <c r="Q1363" s="253"/>
      <c r="R1363" s="252">
        <f>SUM(R1358:R1362)</f>
        <v>2072.5</v>
      </c>
      <c r="S1363" s="356">
        <v>1.4179999999999999</v>
      </c>
      <c r="T1363" s="252" t="s">
        <v>2273</v>
      </c>
      <c r="U1363" s="296" t="s">
        <v>1854</v>
      </c>
      <c r="V1363" s="252">
        <f t="shared" si="182"/>
        <v>1998</v>
      </c>
      <c r="W1363" s="253" t="s">
        <v>2273</v>
      </c>
      <c r="X1363" s="252">
        <f t="shared" si="183"/>
        <v>2833.16</v>
      </c>
      <c r="AA1363" s="360" t="s">
        <v>3526</v>
      </c>
      <c r="AD1363" s="274">
        <f>SUM(AD1350:AD1362)</f>
        <v>6960.5</v>
      </c>
      <c r="AE1363" s="370">
        <f t="shared" si="179"/>
        <v>0</v>
      </c>
    </row>
    <row r="1364" spans="6:31" ht="18.75" customHeight="1">
      <c r="K1364" s="358" t="s">
        <v>1579</v>
      </c>
      <c r="Q1364" s="253"/>
      <c r="U1364" s="296" t="s">
        <v>1855</v>
      </c>
      <c r="W1364" s="253"/>
      <c r="AE1364" s="370">
        <f t="shared" si="179"/>
        <v>0</v>
      </c>
    </row>
    <row r="1365" spans="6:31" ht="18.75" customHeight="1">
      <c r="H1365" s="255" t="s">
        <v>549</v>
      </c>
      <c r="K1365" s="274">
        <f>(K1363/10)</f>
        <v>1194.28</v>
      </c>
      <c r="O1365" s="360" t="s">
        <v>1201</v>
      </c>
      <c r="Q1365" s="253"/>
      <c r="R1365" s="274">
        <f>R1363/6</f>
        <v>345.42</v>
      </c>
      <c r="U1365" s="360" t="s">
        <v>3526</v>
      </c>
      <c r="W1365" s="253"/>
      <c r="X1365" s="274">
        <f>SUM(X1352:X1364)</f>
        <v>10349.34</v>
      </c>
      <c r="AE1365" s="370">
        <f t="shared" si="179"/>
        <v>0</v>
      </c>
    </row>
    <row r="1366" spans="6:31" ht="18.75" customHeight="1">
      <c r="K1366" s="358" t="s">
        <v>2046</v>
      </c>
      <c r="Q1366" s="253"/>
      <c r="W1366" s="253"/>
      <c r="AA1366" s="461" t="s">
        <v>3466</v>
      </c>
      <c r="AC1366" s="296"/>
      <c r="AE1366" s="370">
        <f t="shared" si="179"/>
        <v>0</v>
      </c>
    </row>
    <row r="1367" spans="6:31" ht="18.75" customHeight="1">
      <c r="K1367" s="358"/>
      <c r="Q1367" s="296"/>
      <c r="W1367" s="253"/>
      <c r="Y1367" s="316">
        <v>3.72</v>
      </c>
      <c r="Z1367" s="252" t="s">
        <v>909</v>
      </c>
      <c r="AA1367" s="296" t="s">
        <v>1846</v>
      </c>
      <c r="AB1367" s="252">
        <f>AB1350</f>
        <v>325</v>
      </c>
      <c r="AC1367" s="252" t="s">
        <v>909</v>
      </c>
      <c r="AD1367" s="252">
        <f t="shared" ref="AD1367:AD1378" si="185">AB1367*Y1367</f>
        <v>1209</v>
      </c>
      <c r="AE1367" s="370">
        <f t="shared" si="179"/>
        <v>0</v>
      </c>
    </row>
    <row r="1368" spans="6:31" ht="18.75" customHeight="1">
      <c r="K1368" s="358"/>
      <c r="M1368" s="375">
        <v>29.5</v>
      </c>
      <c r="N1368" s="252" t="s">
        <v>2241</v>
      </c>
      <c r="O1368" s="296" t="s">
        <v>1202</v>
      </c>
      <c r="Q1368" s="253"/>
      <c r="U1368" s="461" t="s">
        <v>3465</v>
      </c>
      <c r="W1368" s="253"/>
      <c r="Y1368" s="316">
        <v>2.69</v>
      </c>
      <c r="Z1368" s="252" t="s">
        <v>909</v>
      </c>
      <c r="AA1368" s="296" t="s">
        <v>1846</v>
      </c>
      <c r="AB1368" s="252">
        <f t="shared" ref="AB1368:AB1378" si="186">AB1351</f>
        <v>325</v>
      </c>
      <c r="AC1368" s="252" t="s">
        <v>909</v>
      </c>
      <c r="AD1368" s="252">
        <f t="shared" si="185"/>
        <v>874.25</v>
      </c>
      <c r="AE1368" s="370">
        <f t="shared" si="179"/>
        <v>0</v>
      </c>
    </row>
    <row r="1369" spans="6:31" ht="18.75" customHeight="1">
      <c r="F1369" s="375">
        <v>32.200000000000003</v>
      </c>
      <c r="G1369" s="252" t="s">
        <v>2241</v>
      </c>
      <c r="H1369" s="296" t="s">
        <v>752</v>
      </c>
      <c r="K1369" s="358"/>
      <c r="O1369" s="296" t="s">
        <v>855</v>
      </c>
      <c r="Q1369" s="253"/>
      <c r="S1369" s="356">
        <v>3.49</v>
      </c>
      <c r="T1369" s="252" t="s">
        <v>909</v>
      </c>
      <c r="U1369" s="296" t="s">
        <v>1846</v>
      </c>
      <c r="V1369" s="252">
        <f>P1408</f>
        <v>325</v>
      </c>
      <c r="W1369" s="253" t="s">
        <v>909</v>
      </c>
      <c r="X1369" s="252">
        <f>V1369*S1369</f>
        <v>1134.25</v>
      </c>
      <c r="Y1369" s="316">
        <v>6.15</v>
      </c>
      <c r="Z1369" s="252" t="s">
        <v>909</v>
      </c>
      <c r="AA1369" s="296" t="s">
        <v>1846</v>
      </c>
      <c r="AB1369" s="252">
        <f t="shared" si="186"/>
        <v>325</v>
      </c>
      <c r="AC1369" s="252" t="s">
        <v>909</v>
      </c>
      <c r="AD1369" s="252">
        <f t="shared" si="185"/>
        <v>1998.75</v>
      </c>
      <c r="AE1369" s="370">
        <f t="shared" si="179"/>
        <v>0</v>
      </c>
    </row>
    <row r="1370" spans="6:31" ht="18.75" customHeight="1">
      <c r="H1370" s="296" t="s">
        <v>1476</v>
      </c>
      <c r="K1370" s="358"/>
      <c r="O1370" s="296" t="s">
        <v>1927</v>
      </c>
      <c r="Q1370" s="253"/>
      <c r="S1370" s="356">
        <v>2.5299999999999998</v>
      </c>
      <c r="T1370" s="252" t="s">
        <v>909</v>
      </c>
      <c r="U1370" s="296" t="s">
        <v>1846</v>
      </c>
      <c r="V1370" s="252">
        <f t="shared" ref="V1370:V1380" si="187">P1409</f>
        <v>325</v>
      </c>
      <c r="W1370" s="253" t="s">
        <v>909</v>
      </c>
      <c r="X1370" s="252">
        <f t="shared" ref="X1370:X1380" si="188">V1370*S1370</f>
        <v>822.25</v>
      </c>
      <c r="Y1370" s="316">
        <v>1.07</v>
      </c>
      <c r="Z1370" s="252" t="s">
        <v>909</v>
      </c>
      <c r="AA1370" s="296" t="s">
        <v>1846</v>
      </c>
      <c r="AB1370" s="252">
        <f t="shared" si="186"/>
        <v>325</v>
      </c>
      <c r="AC1370" s="252" t="s">
        <v>909</v>
      </c>
      <c r="AD1370" s="252">
        <f t="shared" si="185"/>
        <v>347.75</v>
      </c>
      <c r="AE1370" s="370">
        <f t="shared" si="179"/>
        <v>0</v>
      </c>
    </row>
    <row r="1371" spans="6:31" ht="18.75" customHeight="1">
      <c r="H1371" s="296" t="s">
        <v>680</v>
      </c>
      <c r="K1371" s="358"/>
      <c r="O1371" s="358" t="s">
        <v>1579</v>
      </c>
      <c r="P1371" s="358" t="s">
        <v>1579</v>
      </c>
      <c r="Q1371" s="253"/>
      <c r="S1371" s="356">
        <v>5.75</v>
      </c>
      <c r="T1371" s="252" t="s">
        <v>909</v>
      </c>
      <c r="U1371" s="296" t="s">
        <v>1846</v>
      </c>
      <c r="V1371" s="252">
        <f t="shared" si="187"/>
        <v>325</v>
      </c>
      <c r="W1371" s="253" t="s">
        <v>909</v>
      </c>
      <c r="X1371" s="252">
        <f t="shared" si="188"/>
        <v>1868.75</v>
      </c>
      <c r="Y1371" s="316">
        <v>1.153</v>
      </c>
      <c r="Z1371" s="252" t="s">
        <v>230</v>
      </c>
      <c r="AA1371" s="296" t="s">
        <v>1847</v>
      </c>
      <c r="AB1371" s="252">
        <f t="shared" si="186"/>
        <v>306.89999999999998</v>
      </c>
      <c r="AC1371" s="252" t="s">
        <v>230</v>
      </c>
      <c r="AD1371" s="252">
        <f t="shared" si="185"/>
        <v>353.86</v>
      </c>
      <c r="AE1371" s="370">
        <f t="shared" si="179"/>
        <v>0</v>
      </c>
    </row>
    <row r="1372" spans="6:31" ht="18.75" customHeight="1">
      <c r="H1372" s="296" t="s">
        <v>1958</v>
      </c>
      <c r="K1372" s="358"/>
      <c r="M1372" s="252">
        <v>10</v>
      </c>
      <c r="N1372" s="252" t="s">
        <v>606</v>
      </c>
      <c r="O1372" s="296" t="s">
        <v>1203</v>
      </c>
      <c r="P1372" s="407">
        <f>P1332</f>
        <v>1626</v>
      </c>
      <c r="Q1372" s="253" t="s">
        <v>606</v>
      </c>
      <c r="R1372" s="252">
        <f>M1372*P1372</f>
        <v>16260</v>
      </c>
      <c r="S1372" s="356">
        <v>1</v>
      </c>
      <c r="T1372" s="252" t="s">
        <v>909</v>
      </c>
      <c r="U1372" s="296" t="s">
        <v>1846</v>
      </c>
      <c r="V1372" s="252">
        <f t="shared" si="187"/>
        <v>325</v>
      </c>
      <c r="W1372" s="253" t="s">
        <v>909</v>
      </c>
      <c r="X1372" s="252">
        <f t="shared" si="188"/>
        <v>325</v>
      </c>
      <c r="Y1372" s="316">
        <v>8.6720000000000006</v>
      </c>
      <c r="Z1372" s="252" t="s">
        <v>823</v>
      </c>
      <c r="AA1372" s="296" t="s">
        <v>1848</v>
      </c>
      <c r="AB1372" s="252">
        <f t="shared" si="186"/>
        <v>29.05</v>
      </c>
      <c r="AC1372" s="252" t="s">
        <v>823</v>
      </c>
      <c r="AD1372" s="252">
        <f t="shared" si="185"/>
        <v>251.92</v>
      </c>
      <c r="AE1372" s="370">
        <f t="shared" si="179"/>
        <v>0</v>
      </c>
    </row>
    <row r="1373" spans="6:31" ht="18.75" customHeight="1">
      <c r="H1373" s="296" t="s">
        <v>1288</v>
      </c>
      <c r="K1373" s="358"/>
      <c r="M1373" s="252">
        <v>0.21</v>
      </c>
      <c r="N1373" s="252" t="s">
        <v>866</v>
      </c>
      <c r="O1373" s="296" t="s">
        <v>1868</v>
      </c>
      <c r="P1373" s="252">
        <f>P1333</f>
        <v>4861.3</v>
      </c>
      <c r="Q1373" s="253" t="s">
        <v>866</v>
      </c>
      <c r="R1373" s="252">
        <f>(M1373*P1373)</f>
        <v>1020.87</v>
      </c>
      <c r="S1373" s="356">
        <v>0.96699999999999997</v>
      </c>
      <c r="T1373" s="252" t="s">
        <v>230</v>
      </c>
      <c r="U1373" s="296" t="s">
        <v>1847</v>
      </c>
      <c r="V1373" s="252">
        <f t="shared" si="187"/>
        <v>306.89999999999998</v>
      </c>
      <c r="W1373" s="253" t="s">
        <v>230</v>
      </c>
      <c r="X1373" s="252">
        <f t="shared" si="188"/>
        <v>296.77</v>
      </c>
      <c r="Y1373" s="316">
        <v>8</v>
      </c>
      <c r="Z1373" s="252" t="s">
        <v>766</v>
      </c>
      <c r="AA1373" s="296" t="s">
        <v>1849</v>
      </c>
      <c r="AB1373" s="252">
        <f t="shared" si="186"/>
        <v>71.900000000000006</v>
      </c>
      <c r="AC1373" s="252" t="s">
        <v>766</v>
      </c>
      <c r="AD1373" s="252">
        <f t="shared" si="185"/>
        <v>575.20000000000005</v>
      </c>
      <c r="AE1373" s="370">
        <f t="shared" si="179"/>
        <v>0</v>
      </c>
    </row>
    <row r="1374" spans="6:31" ht="18.75" customHeight="1">
      <c r="H1374" s="358" t="s">
        <v>1579</v>
      </c>
      <c r="K1374" s="358"/>
      <c r="O1374" s="296" t="s">
        <v>1869</v>
      </c>
      <c r="P1374" s="296" t="s">
        <v>971</v>
      </c>
      <c r="Q1374" s="253"/>
      <c r="R1374" s="296" t="s">
        <v>971</v>
      </c>
      <c r="S1374" s="356">
        <v>8.0719999999999992</v>
      </c>
      <c r="T1374" s="252" t="s">
        <v>823</v>
      </c>
      <c r="U1374" s="296" t="s">
        <v>1848</v>
      </c>
      <c r="V1374" s="252">
        <f t="shared" si="187"/>
        <v>29.05</v>
      </c>
      <c r="W1374" s="253" t="s">
        <v>823</v>
      </c>
      <c r="X1374" s="252">
        <f t="shared" si="188"/>
        <v>234.49</v>
      </c>
      <c r="Y1374" s="316">
        <v>4</v>
      </c>
      <c r="Z1374" s="252" t="s">
        <v>766</v>
      </c>
      <c r="AA1374" s="296" t="s">
        <v>1850</v>
      </c>
      <c r="AB1374" s="252">
        <f t="shared" si="186"/>
        <v>57.65</v>
      </c>
      <c r="AC1374" s="252" t="s">
        <v>766</v>
      </c>
      <c r="AD1374" s="252">
        <f t="shared" si="185"/>
        <v>230.6</v>
      </c>
      <c r="AE1374" s="370">
        <f t="shared" si="179"/>
        <v>0</v>
      </c>
    </row>
    <row r="1375" spans="6:31" ht="18.75" customHeight="1">
      <c r="F1375" s="252">
        <v>190</v>
      </c>
      <c r="G1375" s="252" t="s">
        <v>1865</v>
      </c>
      <c r="H1375" s="296" t="s">
        <v>1560</v>
      </c>
      <c r="I1375" s="252">
        <f>C83</f>
        <v>16106</v>
      </c>
      <c r="J1375" s="296" t="s">
        <v>1474</v>
      </c>
      <c r="K1375" s="252">
        <f>(F1375*I1375)/1000</f>
        <v>3060.14</v>
      </c>
      <c r="M1375" s="252">
        <v>1.1000000000000001</v>
      </c>
      <c r="N1375" s="252" t="s">
        <v>766</v>
      </c>
      <c r="O1375" s="296" t="s">
        <v>2000</v>
      </c>
      <c r="P1375" s="252">
        <f>AE9</f>
        <v>999</v>
      </c>
      <c r="Q1375" s="253" t="s">
        <v>766</v>
      </c>
      <c r="R1375" s="252">
        <f>(M1375*P1375)</f>
        <v>1098.9000000000001</v>
      </c>
      <c r="S1375" s="356">
        <v>8</v>
      </c>
      <c r="T1375" s="252" t="s">
        <v>766</v>
      </c>
      <c r="U1375" s="296" t="s">
        <v>1849</v>
      </c>
      <c r="V1375" s="252">
        <f t="shared" si="187"/>
        <v>71.900000000000006</v>
      </c>
      <c r="W1375" s="253" t="s">
        <v>766</v>
      </c>
      <c r="X1375" s="252">
        <f t="shared" si="188"/>
        <v>575.20000000000005</v>
      </c>
      <c r="Y1375" s="316">
        <v>4</v>
      </c>
      <c r="Z1375" s="252" t="s">
        <v>766</v>
      </c>
      <c r="AA1375" s="296" t="s">
        <v>1851</v>
      </c>
      <c r="AB1375" s="252">
        <f t="shared" si="186"/>
        <v>30</v>
      </c>
      <c r="AC1375" s="252" t="s">
        <v>766</v>
      </c>
      <c r="AD1375" s="252">
        <f t="shared" si="185"/>
        <v>120</v>
      </c>
      <c r="AE1375" s="370">
        <f t="shared" si="179"/>
        <v>0</v>
      </c>
    </row>
    <row r="1376" spans="6:31" ht="18.75" customHeight="1">
      <c r="F1376" s="252">
        <v>0.12</v>
      </c>
      <c r="G1376" s="252" t="s">
        <v>866</v>
      </c>
      <c r="H1376" s="296" t="s">
        <v>1868</v>
      </c>
      <c r="I1376" s="252">
        <f>K32</f>
        <v>4861.3</v>
      </c>
      <c r="J1376" s="296" t="s">
        <v>866</v>
      </c>
      <c r="K1376" s="252">
        <f t="shared" ref="K1376:K1382" si="189">(F1376*I1376)</f>
        <v>583.36</v>
      </c>
      <c r="M1376" s="252">
        <v>1.1000000000000001</v>
      </c>
      <c r="N1376" s="252" t="s">
        <v>766</v>
      </c>
      <c r="O1376" s="296" t="s">
        <v>1704</v>
      </c>
      <c r="P1376" s="252">
        <f>AE10</f>
        <v>932</v>
      </c>
      <c r="Q1376" s="253" t="s">
        <v>766</v>
      </c>
      <c r="R1376" s="252">
        <f>(M1376*P1376)</f>
        <v>1025.2</v>
      </c>
      <c r="S1376" s="356">
        <v>4</v>
      </c>
      <c r="T1376" s="252" t="s">
        <v>766</v>
      </c>
      <c r="U1376" s="296" t="s">
        <v>1850</v>
      </c>
      <c r="V1376" s="252">
        <f t="shared" si="187"/>
        <v>57.65</v>
      </c>
      <c r="W1376" s="253" t="s">
        <v>766</v>
      </c>
      <c r="X1376" s="252">
        <f t="shared" si="188"/>
        <v>230.6</v>
      </c>
      <c r="Y1376" s="316">
        <v>4</v>
      </c>
      <c r="Z1376" s="252" t="s">
        <v>766</v>
      </c>
      <c r="AA1376" s="296" t="s">
        <v>1852</v>
      </c>
      <c r="AB1376" s="252">
        <f t="shared" si="186"/>
        <v>20</v>
      </c>
      <c r="AC1376" s="252" t="s">
        <v>766</v>
      </c>
      <c r="AD1376" s="252">
        <f t="shared" si="185"/>
        <v>80</v>
      </c>
      <c r="AE1376" s="370">
        <f t="shared" si="179"/>
        <v>0</v>
      </c>
    </row>
    <row r="1377" spans="6:31" ht="18.75" customHeight="1">
      <c r="F1377" s="252">
        <v>10</v>
      </c>
      <c r="G1377" s="252" t="s">
        <v>606</v>
      </c>
      <c r="H1377" s="296" t="s">
        <v>1290</v>
      </c>
      <c r="I1377" s="252">
        <f>K1344</f>
        <v>315.77999999999997</v>
      </c>
      <c r="J1377" s="296" t="s">
        <v>606</v>
      </c>
      <c r="K1377" s="252">
        <f t="shared" si="189"/>
        <v>3157.8</v>
      </c>
      <c r="M1377" s="252">
        <v>2.2000000000000002</v>
      </c>
      <c r="N1377" s="252" t="s">
        <v>766</v>
      </c>
      <c r="O1377" s="296" t="s">
        <v>1893</v>
      </c>
      <c r="P1377" s="252">
        <f>AE11</f>
        <v>651</v>
      </c>
      <c r="Q1377" s="253" t="s">
        <v>766</v>
      </c>
      <c r="R1377" s="252">
        <f>(M1377*P1377)</f>
        <v>1432.2</v>
      </c>
      <c r="S1377" s="356">
        <v>4</v>
      </c>
      <c r="T1377" s="252" t="s">
        <v>766</v>
      </c>
      <c r="U1377" s="296" t="s">
        <v>1851</v>
      </c>
      <c r="V1377" s="252">
        <f t="shared" si="187"/>
        <v>30</v>
      </c>
      <c r="W1377" s="253" t="s">
        <v>766</v>
      </c>
      <c r="X1377" s="252">
        <f t="shared" si="188"/>
        <v>120</v>
      </c>
      <c r="Y1377" s="316">
        <v>4</v>
      </c>
      <c r="Z1377" s="252" t="s">
        <v>766</v>
      </c>
      <c r="AA1377" s="296" t="s">
        <v>1853</v>
      </c>
      <c r="AB1377" s="252">
        <f t="shared" si="186"/>
        <v>15</v>
      </c>
      <c r="AC1377" s="252" t="s">
        <v>766</v>
      </c>
      <c r="AD1377" s="252">
        <f t="shared" si="185"/>
        <v>60</v>
      </c>
      <c r="AE1377" s="370">
        <f t="shared" si="179"/>
        <v>0</v>
      </c>
    </row>
    <row r="1378" spans="6:31" ht="18.75" customHeight="1">
      <c r="F1378" s="252">
        <v>5.8</v>
      </c>
      <c r="G1378" s="252" t="s">
        <v>1637</v>
      </c>
      <c r="H1378" s="296" t="s">
        <v>960</v>
      </c>
      <c r="I1378" s="252">
        <f>C653</f>
        <v>42.7</v>
      </c>
      <c r="J1378" s="296" t="s">
        <v>1637</v>
      </c>
      <c r="K1378" s="252">
        <f t="shared" si="189"/>
        <v>247.66</v>
      </c>
      <c r="M1378" s="252">
        <v>2.2000000000000002</v>
      </c>
      <c r="N1378" s="252" t="s">
        <v>766</v>
      </c>
      <c r="O1378" s="296" t="s">
        <v>317</v>
      </c>
      <c r="P1378" s="252">
        <f>AE12</f>
        <v>534</v>
      </c>
      <c r="Q1378" s="253" t="s">
        <v>766</v>
      </c>
      <c r="R1378" s="252">
        <f>(M1378*P1378)</f>
        <v>1174.8</v>
      </c>
      <c r="S1378" s="356">
        <v>4</v>
      </c>
      <c r="T1378" s="252" t="s">
        <v>766</v>
      </c>
      <c r="U1378" s="296" t="s">
        <v>1852</v>
      </c>
      <c r="V1378" s="252">
        <f t="shared" si="187"/>
        <v>20</v>
      </c>
      <c r="W1378" s="253" t="s">
        <v>766</v>
      </c>
      <c r="X1378" s="252">
        <f t="shared" si="188"/>
        <v>80</v>
      </c>
      <c r="Y1378" s="316">
        <v>1.42</v>
      </c>
      <c r="Z1378" s="252" t="s">
        <v>2273</v>
      </c>
      <c r="AA1378" s="296" t="s">
        <v>1854</v>
      </c>
      <c r="AB1378" s="252">
        <f t="shared" si="186"/>
        <v>1998</v>
      </c>
      <c r="AC1378" s="252" t="s">
        <v>2273</v>
      </c>
      <c r="AD1378" s="252">
        <f t="shared" si="185"/>
        <v>2837.16</v>
      </c>
      <c r="AE1378" s="370">
        <f t="shared" si="179"/>
        <v>0</v>
      </c>
    </row>
    <row r="1379" spans="6:31" ht="18.75" customHeight="1">
      <c r="F1379" s="252">
        <v>1.1000000000000001</v>
      </c>
      <c r="G1379" s="252" t="s">
        <v>766</v>
      </c>
      <c r="H1379" s="296" t="s">
        <v>2000</v>
      </c>
      <c r="I1379" s="252">
        <f>C10</f>
        <v>999</v>
      </c>
      <c r="J1379" s="296" t="s">
        <v>766</v>
      </c>
      <c r="K1379" s="252">
        <f t="shared" si="189"/>
        <v>1098.9000000000001</v>
      </c>
      <c r="M1379" s="356">
        <v>20</v>
      </c>
      <c r="N1379" s="252" t="s">
        <v>1637</v>
      </c>
      <c r="O1379" s="296" t="s">
        <v>859</v>
      </c>
      <c r="P1379" s="252">
        <f>AC31</f>
        <v>6040</v>
      </c>
      <c r="Q1379" s="253" t="s">
        <v>858</v>
      </c>
      <c r="R1379" s="252">
        <f>(M1379*P1379)/1000</f>
        <v>120.8</v>
      </c>
      <c r="S1379" s="356">
        <v>4</v>
      </c>
      <c r="T1379" s="252" t="s">
        <v>766</v>
      </c>
      <c r="U1379" s="296" t="s">
        <v>1853</v>
      </c>
      <c r="V1379" s="252">
        <f t="shared" si="187"/>
        <v>15</v>
      </c>
      <c r="W1379" s="253" t="s">
        <v>766</v>
      </c>
      <c r="X1379" s="252">
        <f t="shared" si="188"/>
        <v>60</v>
      </c>
      <c r="AA1379" s="296" t="s">
        <v>1855</v>
      </c>
      <c r="AC1379" s="253"/>
      <c r="AD1379" s="252">
        <v>0.85</v>
      </c>
      <c r="AE1379" s="370">
        <f t="shared" si="179"/>
        <v>0</v>
      </c>
    </row>
    <row r="1380" spans="6:31" ht="18.75" customHeight="1">
      <c r="F1380" s="252">
        <v>2.1</v>
      </c>
      <c r="G1380" s="252" t="s">
        <v>766</v>
      </c>
      <c r="H1380" s="296" t="s">
        <v>1704</v>
      </c>
      <c r="I1380" s="252">
        <f>C11</f>
        <v>932</v>
      </c>
      <c r="J1380" s="296" t="s">
        <v>766</v>
      </c>
      <c r="K1380" s="252">
        <f t="shared" si="189"/>
        <v>1957.2</v>
      </c>
      <c r="M1380" s="356">
        <v>2</v>
      </c>
      <c r="N1380" s="252" t="s">
        <v>1637</v>
      </c>
      <c r="O1380" s="296" t="s">
        <v>2072</v>
      </c>
      <c r="P1380" s="368">
        <f>P1264</f>
        <v>36.1</v>
      </c>
      <c r="Q1380" s="253" t="s">
        <v>1637</v>
      </c>
      <c r="R1380" s="252">
        <f>(M1380*P1380)</f>
        <v>72.2</v>
      </c>
      <c r="S1380" s="356">
        <v>1.2150000000000001</v>
      </c>
      <c r="T1380" s="252" t="s">
        <v>2273</v>
      </c>
      <c r="U1380" s="296" t="s">
        <v>1854</v>
      </c>
      <c r="V1380" s="252">
        <f t="shared" si="187"/>
        <v>1998</v>
      </c>
      <c r="W1380" s="253" t="s">
        <v>2273</v>
      </c>
      <c r="X1380" s="252">
        <f t="shared" si="188"/>
        <v>2427.5700000000002</v>
      </c>
      <c r="AA1380" s="360" t="s">
        <v>3526</v>
      </c>
      <c r="AD1380" s="274">
        <f>SUM(AD1367:AD1379)</f>
        <v>8939.34</v>
      </c>
      <c r="AE1380" s="370">
        <f t="shared" si="179"/>
        <v>0</v>
      </c>
    </row>
    <row r="1381" spans="6:31" ht="18.75" customHeight="1">
      <c r="F1381" s="252">
        <v>2.2000000000000002</v>
      </c>
      <c r="G1381" s="252" t="s">
        <v>766</v>
      </c>
      <c r="H1381" s="296" t="s">
        <v>1893</v>
      </c>
      <c r="I1381" s="252">
        <f>C12</f>
        <v>651</v>
      </c>
      <c r="J1381" s="296" t="s">
        <v>766</v>
      </c>
      <c r="K1381" s="252">
        <f t="shared" si="189"/>
        <v>1432.2</v>
      </c>
      <c r="M1381" s="252">
        <v>1.6</v>
      </c>
      <c r="N1381" s="252" t="s">
        <v>766</v>
      </c>
      <c r="O1381" s="296" t="s">
        <v>1704</v>
      </c>
      <c r="P1381" s="252">
        <f>P1265</f>
        <v>932</v>
      </c>
      <c r="Q1381" s="253" t="s">
        <v>766</v>
      </c>
      <c r="R1381" s="252">
        <f>(M1381*P1381)</f>
        <v>1491.2</v>
      </c>
      <c r="U1381" s="296" t="s">
        <v>1855</v>
      </c>
      <c r="W1381" s="253"/>
      <c r="X1381" s="252">
        <v>0.23</v>
      </c>
      <c r="AE1381" s="370">
        <f t="shared" si="179"/>
        <v>0</v>
      </c>
    </row>
    <row r="1382" spans="6:31" ht="18.75" customHeight="1">
      <c r="F1382" s="252">
        <v>1.1000000000000001</v>
      </c>
      <c r="G1382" s="252" t="s">
        <v>766</v>
      </c>
      <c r="H1382" s="296" t="s">
        <v>317</v>
      </c>
      <c r="I1382" s="252">
        <f>C13</f>
        <v>534</v>
      </c>
      <c r="J1382" s="296" t="s">
        <v>766</v>
      </c>
      <c r="K1382" s="252">
        <f t="shared" si="189"/>
        <v>587.4</v>
      </c>
      <c r="M1382" s="252">
        <v>0.5</v>
      </c>
      <c r="N1382" s="252" t="s">
        <v>766</v>
      </c>
      <c r="O1382" s="296" t="s">
        <v>1893</v>
      </c>
      <c r="P1382" s="252">
        <f>P1266</f>
        <v>651</v>
      </c>
      <c r="Q1382" s="253" t="s">
        <v>766</v>
      </c>
      <c r="R1382" s="252">
        <f>(M1382*P1382)</f>
        <v>325.5</v>
      </c>
      <c r="U1382" s="360" t="s">
        <v>3526</v>
      </c>
      <c r="W1382" s="253"/>
      <c r="X1382" s="274">
        <f>SUM(X1369:X1381)</f>
        <v>8175.11</v>
      </c>
      <c r="AE1382" s="370">
        <f t="shared" si="179"/>
        <v>0</v>
      </c>
    </row>
    <row r="1383" spans="6:31" ht="18.75" customHeight="1">
      <c r="G1383" s="252" t="s">
        <v>446</v>
      </c>
      <c r="H1383" s="296" t="s">
        <v>447</v>
      </c>
      <c r="J1383" s="296" t="s">
        <v>446</v>
      </c>
      <c r="K1383" s="252">
        <v>0</v>
      </c>
      <c r="M1383" s="252">
        <v>1.1000000000000001</v>
      </c>
      <c r="N1383" s="252" t="s">
        <v>766</v>
      </c>
      <c r="O1383" s="296" t="s">
        <v>317</v>
      </c>
      <c r="P1383" s="252">
        <f>P1267</f>
        <v>534</v>
      </c>
      <c r="Q1383" s="253" t="s">
        <v>766</v>
      </c>
      <c r="R1383" s="252">
        <f>(M1383*P1383)</f>
        <v>587.4</v>
      </c>
      <c r="W1383" s="253"/>
      <c r="AA1383" s="461" t="s">
        <v>3467</v>
      </c>
      <c r="AC1383" s="296"/>
      <c r="AE1383" s="370">
        <f t="shared" si="179"/>
        <v>0</v>
      </c>
    </row>
    <row r="1384" spans="6:31" ht="18.75" customHeight="1">
      <c r="K1384" s="358" t="s">
        <v>1579</v>
      </c>
      <c r="N1384" s="252" t="s">
        <v>446</v>
      </c>
      <c r="O1384" s="296" t="s">
        <v>447</v>
      </c>
      <c r="Q1384" s="253" t="s">
        <v>446</v>
      </c>
      <c r="R1384" s="252">
        <v>0.28000000000000003</v>
      </c>
      <c r="W1384" s="253"/>
      <c r="Y1384" s="316">
        <v>2.87</v>
      </c>
      <c r="Z1384" s="252" t="s">
        <v>909</v>
      </c>
      <c r="AA1384" s="296" t="s">
        <v>1846</v>
      </c>
      <c r="AB1384" s="252">
        <f>AB1367</f>
        <v>325</v>
      </c>
      <c r="AC1384" s="252" t="s">
        <v>909</v>
      </c>
      <c r="AD1384" s="252">
        <f t="shared" ref="AD1384:AD1395" si="190">AB1384*Y1384</f>
        <v>932.75</v>
      </c>
      <c r="AE1384" s="370">
        <f t="shared" si="179"/>
        <v>0</v>
      </c>
    </row>
    <row r="1385" spans="6:31" ht="18.75" customHeight="1">
      <c r="H1385" s="296" t="s">
        <v>438</v>
      </c>
      <c r="K1385" s="252">
        <f>SUM(K1375:K1383)</f>
        <v>12124.66</v>
      </c>
      <c r="Q1385" s="253"/>
      <c r="R1385" s="358" t="s">
        <v>1579</v>
      </c>
      <c r="U1385" s="461" t="s">
        <v>3474</v>
      </c>
      <c r="W1385" s="253"/>
      <c r="Y1385" s="316">
        <v>0.56000000000000005</v>
      </c>
      <c r="Z1385" s="252" t="s">
        <v>909</v>
      </c>
      <c r="AA1385" s="296" t="s">
        <v>1846</v>
      </c>
      <c r="AB1385" s="252">
        <f t="shared" ref="AB1385:AB1395" si="191">AB1368</f>
        <v>325</v>
      </c>
      <c r="AC1385" s="252" t="s">
        <v>909</v>
      </c>
      <c r="AD1385" s="252">
        <f t="shared" si="190"/>
        <v>182</v>
      </c>
      <c r="AE1385" s="370">
        <f t="shared" si="179"/>
        <v>0</v>
      </c>
    </row>
    <row r="1386" spans="6:31" ht="18.75" customHeight="1">
      <c r="K1386" s="358" t="s">
        <v>1579</v>
      </c>
      <c r="O1386" s="296" t="s">
        <v>438</v>
      </c>
      <c r="Q1386" s="253"/>
      <c r="R1386" s="252">
        <f>SUM(R1372:R1384)</f>
        <v>24609.35</v>
      </c>
      <c r="S1386" s="356">
        <v>4.88</v>
      </c>
      <c r="T1386" s="252" t="s">
        <v>909</v>
      </c>
      <c r="U1386" s="296" t="s">
        <v>1846</v>
      </c>
      <c r="V1386" s="252">
        <f>V1369</f>
        <v>325</v>
      </c>
      <c r="W1386" s="253" t="s">
        <v>909</v>
      </c>
      <c r="X1386" s="252">
        <f>V1386*S1386</f>
        <v>1586</v>
      </c>
      <c r="Y1386" s="316">
        <v>2.98</v>
      </c>
      <c r="Z1386" s="252" t="s">
        <v>909</v>
      </c>
      <c r="AA1386" s="296" t="s">
        <v>1846</v>
      </c>
      <c r="AB1386" s="252">
        <f t="shared" si="191"/>
        <v>325</v>
      </c>
      <c r="AC1386" s="252" t="s">
        <v>909</v>
      </c>
      <c r="AD1386" s="252">
        <f t="shared" si="190"/>
        <v>968.5</v>
      </c>
      <c r="AE1386" s="370">
        <f t="shared" si="179"/>
        <v>0</v>
      </c>
    </row>
    <row r="1387" spans="6:31" ht="18.75" customHeight="1">
      <c r="H1387" s="255" t="s">
        <v>549</v>
      </c>
      <c r="K1387" s="274">
        <f>(K1385/10)</f>
        <v>1212.47</v>
      </c>
      <c r="Q1387" s="253"/>
      <c r="R1387" s="358" t="s">
        <v>1579</v>
      </c>
      <c r="S1387" s="356">
        <v>6.57</v>
      </c>
      <c r="T1387" s="252" t="s">
        <v>909</v>
      </c>
      <c r="U1387" s="296" t="s">
        <v>1846</v>
      </c>
      <c r="V1387" s="252">
        <f t="shared" ref="V1387:V1397" si="192">V1370</f>
        <v>325</v>
      </c>
      <c r="W1387" s="253" t="s">
        <v>909</v>
      </c>
      <c r="X1387" s="252">
        <f t="shared" ref="X1387:X1397" si="193">V1387*S1387</f>
        <v>2135.25</v>
      </c>
      <c r="Y1387" s="316">
        <v>0.52</v>
      </c>
      <c r="Z1387" s="252" t="s">
        <v>909</v>
      </c>
      <c r="AA1387" s="296" t="s">
        <v>1846</v>
      </c>
      <c r="AB1387" s="252">
        <f t="shared" si="191"/>
        <v>325</v>
      </c>
      <c r="AC1387" s="252" t="s">
        <v>909</v>
      </c>
      <c r="AD1387" s="252">
        <f t="shared" si="190"/>
        <v>169</v>
      </c>
      <c r="AE1387" s="370">
        <f t="shared" si="179"/>
        <v>0</v>
      </c>
    </row>
    <row r="1388" spans="6:31" ht="18.75" customHeight="1">
      <c r="K1388" s="358" t="s">
        <v>2046</v>
      </c>
      <c r="O1388" s="296" t="s">
        <v>549</v>
      </c>
      <c r="Q1388" s="253"/>
      <c r="R1388" s="252">
        <f>(R1386/10)</f>
        <v>2460.94</v>
      </c>
      <c r="S1388" s="356">
        <v>11.56</v>
      </c>
      <c r="T1388" s="252" t="s">
        <v>909</v>
      </c>
      <c r="U1388" s="296" t="s">
        <v>1846</v>
      </c>
      <c r="V1388" s="252">
        <f t="shared" si="192"/>
        <v>325</v>
      </c>
      <c r="W1388" s="253" t="s">
        <v>909</v>
      </c>
      <c r="X1388" s="252">
        <f t="shared" si="193"/>
        <v>3757</v>
      </c>
      <c r="Y1388" s="316">
        <v>0.53300000000000003</v>
      </c>
      <c r="Z1388" s="252" t="s">
        <v>230</v>
      </c>
      <c r="AA1388" s="296" t="s">
        <v>1847</v>
      </c>
      <c r="AB1388" s="252">
        <f t="shared" si="191"/>
        <v>306.89999999999998</v>
      </c>
      <c r="AC1388" s="252" t="s">
        <v>230</v>
      </c>
      <c r="AD1388" s="252">
        <f t="shared" si="190"/>
        <v>163.58000000000001</v>
      </c>
      <c r="AE1388" s="370">
        <f t="shared" si="179"/>
        <v>0</v>
      </c>
    </row>
    <row r="1389" spans="6:31" ht="18.75" customHeight="1">
      <c r="K1389" s="358"/>
      <c r="Q1389" s="253"/>
      <c r="R1389" s="358" t="s">
        <v>2046</v>
      </c>
      <c r="S1389" s="356">
        <v>2.0099999999999998</v>
      </c>
      <c r="T1389" s="252" t="s">
        <v>909</v>
      </c>
      <c r="U1389" s="296" t="s">
        <v>1846</v>
      </c>
      <c r="V1389" s="252">
        <f t="shared" si="192"/>
        <v>325</v>
      </c>
      <c r="W1389" s="253" t="s">
        <v>909</v>
      </c>
      <c r="X1389" s="252">
        <f t="shared" si="193"/>
        <v>653.25</v>
      </c>
      <c r="Y1389" s="316">
        <v>4.1959999999999997</v>
      </c>
      <c r="Z1389" s="252" t="s">
        <v>823</v>
      </c>
      <c r="AA1389" s="296" t="s">
        <v>1848</v>
      </c>
      <c r="AB1389" s="252">
        <f t="shared" si="191"/>
        <v>29.05</v>
      </c>
      <c r="AC1389" s="252" t="s">
        <v>823</v>
      </c>
      <c r="AD1389" s="252">
        <f t="shared" si="190"/>
        <v>121.89</v>
      </c>
      <c r="AE1389" s="370">
        <f t="shared" si="179"/>
        <v>0</v>
      </c>
    </row>
    <row r="1390" spans="6:31" ht="18.75" customHeight="1">
      <c r="F1390" s="253" t="s">
        <v>1291</v>
      </c>
      <c r="G1390" s="252" t="s">
        <v>2241</v>
      </c>
      <c r="H1390" s="296" t="s">
        <v>4</v>
      </c>
      <c r="O1390" s="461" t="s">
        <v>3469</v>
      </c>
      <c r="Q1390" s="296"/>
      <c r="S1390" s="356">
        <v>1.96</v>
      </c>
      <c r="T1390" s="252" t="s">
        <v>230</v>
      </c>
      <c r="U1390" s="296" t="s">
        <v>1847</v>
      </c>
      <c r="V1390" s="252">
        <f t="shared" si="192"/>
        <v>306.89999999999998</v>
      </c>
      <c r="W1390" s="253" t="s">
        <v>230</v>
      </c>
      <c r="X1390" s="252">
        <f t="shared" si="193"/>
        <v>601.52</v>
      </c>
      <c r="Y1390" s="316">
        <v>4</v>
      </c>
      <c r="Z1390" s="252" t="s">
        <v>766</v>
      </c>
      <c r="AA1390" s="296" t="s">
        <v>1849</v>
      </c>
      <c r="AB1390" s="252">
        <f t="shared" si="191"/>
        <v>71.900000000000006</v>
      </c>
      <c r="AC1390" s="252" t="s">
        <v>766</v>
      </c>
      <c r="AD1390" s="252">
        <f t="shared" si="190"/>
        <v>287.60000000000002</v>
      </c>
      <c r="AE1390" s="370">
        <f t="shared" si="179"/>
        <v>0</v>
      </c>
    </row>
    <row r="1391" spans="6:31" ht="18.75" customHeight="1">
      <c r="H1391" s="358" t="s">
        <v>1579</v>
      </c>
      <c r="M1391" s="316">
        <v>4.1849999999999996</v>
      </c>
      <c r="N1391" s="252" t="s">
        <v>909</v>
      </c>
      <c r="O1391" s="393" t="s">
        <v>4896</v>
      </c>
      <c r="P1391" s="362">
        <v>325</v>
      </c>
      <c r="Q1391" s="252" t="s">
        <v>909</v>
      </c>
      <c r="R1391" s="252">
        <f>P1391*M1391</f>
        <v>1360.13</v>
      </c>
      <c r="S1391" s="356">
        <v>16.224</v>
      </c>
      <c r="T1391" s="252" t="s">
        <v>823</v>
      </c>
      <c r="U1391" s="296" t="s">
        <v>1848</v>
      </c>
      <c r="V1391" s="252">
        <f t="shared" si="192"/>
        <v>29.05</v>
      </c>
      <c r="W1391" s="253" t="s">
        <v>823</v>
      </c>
      <c r="X1391" s="252">
        <f t="shared" si="193"/>
        <v>471.31</v>
      </c>
      <c r="Y1391" s="316">
        <v>2</v>
      </c>
      <c r="Z1391" s="252" t="s">
        <v>766</v>
      </c>
      <c r="AA1391" s="296" t="s">
        <v>1850</v>
      </c>
      <c r="AB1391" s="252">
        <f t="shared" si="191"/>
        <v>57.65</v>
      </c>
      <c r="AC1391" s="252" t="s">
        <v>766</v>
      </c>
      <c r="AD1391" s="252">
        <f t="shared" si="190"/>
        <v>115.3</v>
      </c>
      <c r="AE1391" s="370">
        <f t="shared" si="179"/>
        <v>0</v>
      </c>
    </row>
    <row r="1392" spans="6:31" ht="18.75" customHeight="1">
      <c r="F1392" s="252">
        <v>0.14000000000000001</v>
      </c>
      <c r="G1392" s="252" t="s">
        <v>866</v>
      </c>
      <c r="H1392" s="296" t="s">
        <v>1617</v>
      </c>
      <c r="I1392" s="252">
        <f>(K49)</f>
        <v>3701.62</v>
      </c>
      <c r="J1392" s="296" t="s">
        <v>866</v>
      </c>
      <c r="K1392" s="252">
        <f>(F1392*I1392)</f>
        <v>518.23</v>
      </c>
      <c r="M1392" s="316">
        <v>4.55</v>
      </c>
      <c r="N1392" s="252" t="s">
        <v>909</v>
      </c>
      <c r="O1392" s="296" t="s">
        <v>1846</v>
      </c>
      <c r="P1392" s="252">
        <f>P1391</f>
        <v>325</v>
      </c>
      <c r="Q1392" s="252" t="s">
        <v>909</v>
      </c>
      <c r="R1392" s="252">
        <f t="shared" ref="R1392:R1402" si="194">P1392*M1392</f>
        <v>1478.75</v>
      </c>
      <c r="S1392" s="356">
        <v>16</v>
      </c>
      <c r="T1392" s="252" t="s">
        <v>766</v>
      </c>
      <c r="U1392" s="296" t="s">
        <v>1849</v>
      </c>
      <c r="V1392" s="252">
        <f t="shared" si="192"/>
        <v>71.900000000000006</v>
      </c>
      <c r="W1392" s="253" t="s">
        <v>766</v>
      </c>
      <c r="X1392" s="252">
        <f t="shared" si="193"/>
        <v>1150.4000000000001</v>
      </c>
      <c r="Y1392" s="316">
        <v>2</v>
      </c>
      <c r="Z1392" s="252" t="s">
        <v>766</v>
      </c>
      <c r="AA1392" s="296" t="s">
        <v>1851</v>
      </c>
      <c r="AB1392" s="252">
        <f t="shared" si="191"/>
        <v>30</v>
      </c>
      <c r="AC1392" s="252" t="s">
        <v>766</v>
      </c>
      <c r="AD1392" s="252">
        <f t="shared" si="190"/>
        <v>60</v>
      </c>
      <c r="AE1392" s="370">
        <f t="shared" si="179"/>
        <v>0</v>
      </c>
    </row>
    <row r="1393" spans="6:31" ht="18.75" customHeight="1">
      <c r="F1393" s="252">
        <v>1.1000000000000001</v>
      </c>
      <c r="G1393" s="252" t="s">
        <v>865</v>
      </c>
      <c r="H1393" s="296" t="s">
        <v>2000</v>
      </c>
      <c r="I1393" s="252">
        <f>(C10)</f>
        <v>999</v>
      </c>
      <c r="J1393" s="296" t="s">
        <v>865</v>
      </c>
      <c r="K1393" s="252">
        <f>(F1393*I1393)</f>
        <v>1098.9000000000001</v>
      </c>
      <c r="M1393" s="316">
        <v>8.66</v>
      </c>
      <c r="N1393" s="252" t="s">
        <v>909</v>
      </c>
      <c r="O1393" s="296" t="s">
        <v>1846</v>
      </c>
      <c r="P1393" s="252">
        <f>P1391</f>
        <v>325</v>
      </c>
      <c r="Q1393" s="252" t="s">
        <v>909</v>
      </c>
      <c r="R1393" s="252">
        <f t="shared" si="194"/>
        <v>2814.5</v>
      </c>
      <c r="S1393" s="356">
        <v>8</v>
      </c>
      <c r="T1393" s="252" t="s">
        <v>766</v>
      </c>
      <c r="U1393" s="296" t="s">
        <v>1850</v>
      </c>
      <c r="V1393" s="252">
        <f t="shared" si="192"/>
        <v>57.65</v>
      </c>
      <c r="W1393" s="253" t="s">
        <v>766</v>
      </c>
      <c r="X1393" s="252">
        <f t="shared" si="193"/>
        <v>461.2</v>
      </c>
      <c r="Y1393" s="316">
        <v>2</v>
      </c>
      <c r="Z1393" s="252" t="s">
        <v>766</v>
      </c>
      <c r="AA1393" s="296" t="s">
        <v>1852</v>
      </c>
      <c r="AB1393" s="252">
        <f t="shared" si="191"/>
        <v>20</v>
      </c>
      <c r="AC1393" s="252" t="s">
        <v>766</v>
      </c>
      <c r="AD1393" s="252">
        <f t="shared" si="190"/>
        <v>40</v>
      </c>
      <c r="AE1393" s="370">
        <f t="shared" si="179"/>
        <v>0</v>
      </c>
    </row>
    <row r="1394" spans="6:31" ht="18.75" customHeight="1">
      <c r="F1394" s="252">
        <v>0.5</v>
      </c>
      <c r="G1394" s="252" t="s">
        <v>865</v>
      </c>
      <c r="H1394" s="296" t="s">
        <v>1893</v>
      </c>
      <c r="I1394" s="252">
        <f>(C12)</f>
        <v>651</v>
      </c>
      <c r="J1394" s="296" t="s">
        <v>865</v>
      </c>
      <c r="K1394" s="252">
        <f>(F1394*I1394)</f>
        <v>325.5</v>
      </c>
      <c r="M1394" s="316">
        <v>1.51</v>
      </c>
      <c r="N1394" s="252" t="s">
        <v>909</v>
      </c>
      <c r="O1394" s="296" t="s">
        <v>1846</v>
      </c>
      <c r="P1394" s="252">
        <f>P1391</f>
        <v>325</v>
      </c>
      <c r="Q1394" s="252" t="s">
        <v>909</v>
      </c>
      <c r="R1394" s="252">
        <f t="shared" si="194"/>
        <v>490.75</v>
      </c>
      <c r="S1394" s="356">
        <v>8</v>
      </c>
      <c r="T1394" s="252" t="s">
        <v>766</v>
      </c>
      <c r="U1394" s="296" t="s">
        <v>1851</v>
      </c>
      <c r="V1394" s="252">
        <f t="shared" si="192"/>
        <v>30</v>
      </c>
      <c r="W1394" s="253" t="s">
        <v>766</v>
      </c>
      <c r="X1394" s="252">
        <f t="shared" si="193"/>
        <v>240</v>
      </c>
      <c r="Y1394" s="316">
        <v>4</v>
      </c>
      <c r="Z1394" s="252" t="s">
        <v>766</v>
      </c>
      <c r="AA1394" s="296" t="s">
        <v>1853</v>
      </c>
      <c r="AB1394" s="252">
        <f t="shared" si="191"/>
        <v>15</v>
      </c>
      <c r="AC1394" s="252" t="s">
        <v>766</v>
      </c>
      <c r="AD1394" s="252">
        <f t="shared" si="190"/>
        <v>60</v>
      </c>
      <c r="AE1394" s="370">
        <f t="shared" si="179"/>
        <v>0</v>
      </c>
    </row>
    <row r="1395" spans="6:31" ht="18.75" customHeight="1">
      <c r="F1395" s="252">
        <v>1.1000000000000001</v>
      </c>
      <c r="G1395" s="252" t="s">
        <v>865</v>
      </c>
      <c r="H1395" s="296" t="s">
        <v>317</v>
      </c>
      <c r="I1395" s="252">
        <f>(C13)</f>
        <v>534</v>
      </c>
      <c r="J1395" s="296" t="s">
        <v>865</v>
      </c>
      <c r="K1395" s="252">
        <f>(F1395*I1395)</f>
        <v>587.4</v>
      </c>
      <c r="M1395" s="316">
        <v>1.462</v>
      </c>
      <c r="N1395" s="252" t="s">
        <v>230</v>
      </c>
      <c r="O1395" s="393" t="s">
        <v>1847</v>
      </c>
      <c r="P1395" s="362">
        <v>306.89999999999998</v>
      </c>
      <c r="Q1395" s="252" t="s">
        <v>230</v>
      </c>
      <c r="R1395" s="252">
        <f t="shared" si="194"/>
        <v>448.69</v>
      </c>
      <c r="S1395" s="356">
        <v>8</v>
      </c>
      <c r="T1395" s="252" t="s">
        <v>766</v>
      </c>
      <c r="U1395" s="296" t="s">
        <v>1852</v>
      </c>
      <c r="V1395" s="252">
        <f t="shared" si="192"/>
        <v>20</v>
      </c>
      <c r="W1395" s="253" t="s">
        <v>766</v>
      </c>
      <c r="X1395" s="252">
        <f t="shared" si="193"/>
        <v>160</v>
      </c>
      <c r="Y1395" s="316">
        <v>0.67500000000000004</v>
      </c>
      <c r="Z1395" s="252" t="s">
        <v>2273</v>
      </c>
      <c r="AA1395" s="296" t="s">
        <v>1854</v>
      </c>
      <c r="AB1395" s="252">
        <f t="shared" si="191"/>
        <v>1998</v>
      </c>
      <c r="AC1395" s="252" t="s">
        <v>2273</v>
      </c>
      <c r="AD1395" s="252">
        <f t="shared" si="190"/>
        <v>1348.65</v>
      </c>
      <c r="AE1395" s="370">
        <f t="shared" si="179"/>
        <v>0</v>
      </c>
    </row>
    <row r="1396" spans="6:31" ht="18.75" customHeight="1">
      <c r="G1396" s="252" t="s">
        <v>446</v>
      </c>
      <c r="H1396" s="296" t="s">
        <v>447</v>
      </c>
      <c r="I1396" s="296" t="s">
        <v>971</v>
      </c>
      <c r="J1396" s="296" t="s">
        <v>446</v>
      </c>
      <c r="K1396" s="252">
        <v>5</v>
      </c>
      <c r="M1396" s="316">
        <v>12.144</v>
      </c>
      <c r="N1396" s="252" t="s">
        <v>823</v>
      </c>
      <c r="O1396" s="393" t="s">
        <v>4585</v>
      </c>
      <c r="P1396" s="362">
        <v>29.05</v>
      </c>
      <c r="Q1396" s="252" t="s">
        <v>823</v>
      </c>
      <c r="R1396" s="252">
        <f t="shared" si="194"/>
        <v>352.78</v>
      </c>
      <c r="S1396" s="356">
        <v>4</v>
      </c>
      <c r="T1396" s="252" t="s">
        <v>766</v>
      </c>
      <c r="U1396" s="296" t="s">
        <v>1853</v>
      </c>
      <c r="V1396" s="252">
        <f t="shared" si="192"/>
        <v>15</v>
      </c>
      <c r="W1396" s="253" t="s">
        <v>766</v>
      </c>
      <c r="X1396" s="252">
        <f t="shared" si="193"/>
        <v>60</v>
      </c>
      <c r="AA1396" s="296" t="s">
        <v>1855</v>
      </c>
      <c r="AC1396" s="253"/>
      <c r="AD1396" s="252">
        <v>0.39</v>
      </c>
      <c r="AE1396" s="370">
        <f t="shared" si="179"/>
        <v>0</v>
      </c>
    </row>
    <row r="1397" spans="6:31" ht="18.75" customHeight="1">
      <c r="K1397" s="358" t="s">
        <v>1579</v>
      </c>
      <c r="M1397" s="316">
        <v>12</v>
      </c>
      <c r="N1397" s="252" t="s">
        <v>766</v>
      </c>
      <c r="O1397" s="393" t="s">
        <v>4586</v>
      </c>
      <c r="P1397" s="362">
        <v>71.900000000000006</v>
      </c>
      <c r="Q1397" s="252" t="s">
        <v>766</v>
      </c>
      <c r="R1397" s="252">
        <f t="shared" si="194"/>
        <v>862.8</v>
      </c>
      <c r="S1397" s="356">
        <v>2.4300000000000002</v>
      </c>
      <c r="T1397" s="252" t="s">
        <v>2273</v>
      </c>
      <c r="U1397" s="296" t="s">
        <v>1854</v>
      </c>
      <c r="V1397" s="252">
        <f t="shared" si="192"/>
        <v>1998</v>
      </c>
      <c r="W1397" s="253" t="s">
        <v>2273</v>
      </c>
      <c r="X1397" s="252">
        <f t="shared" si="193"/>
        <v>4855.1400000000003</v>
      </c>
      <c r="AA1397" s="360" t="s">
        <v>3526</v>
      </c>
      <c r="AD1397" s="274">
        <f>SUM(AD1384:AD1396)</f>
        <v>4449.66</v>
      </c>
      <c r="AE1397" s="370">
        <f t="shared" si="179"/>
        <v>0</v>
      </c>
    </row>
    <row r="1398" spans="6:31" ht="18.75" customHeight="1">
      <c r="H1398" s="296" t="s">
        <v>438</v>
      </c>
      <c r="K1398" s="252">
        <f>SUM(K1392:K1397)</f>
        <v>2535.0300000000002</v>
      </c>
      <c r="M1398" s="316">
        <v>6</v>
      </c>
      <c r="N1398" s="252" t="s">
        <v>766</v>
      </c>
      <c r="O1398" s="393" t="s">
        <v>4250</v>
      </c>
      <c r="P1398" s="252">
        <f>P1094</f>
        <v>57.65</v>
      </c>
      <c r="Q1398" s="252" t="s">
        <v>766</v>
      </c>
      <c r="R1398" s="252">
        <f t="shared" si="194"/>
        <v>345.9</v>
      </c>
      <c r="U1398" s="296" t="s">
        <v>1855</v>
      </c>
      <c r="W1398" s="253"/>
      <c r="AE1398" s="370">
        <f t="shared" si="179"/>
        <v>0</v>
      </c>
    </row>
    <row r="1399" spans="6:31" ht="18.75" customHeight="1">
      <c r="K1399" s="358" t="s">
        <v>1579</v>
      </c>
      <c r="M1399" s="316">
        <v>6</v>
      </c>
      <c r="N1399" s="252" t="s">
        <v>766</v>
      </c>
      <c r="O1399" s="296" t="s">
        <v>3524</v>
      </c>
      <c r="P1399" s="368">
        <v>30</v>
      </c>
      <c r="Q1399" s="252" t="s">
        <v>766</v>
      </c>
      <c r="R1399" s="252">
        <f t="shared" si="194"/>
        <v>180</v>
      </c>
      <c r="U1399" s="360" t="s">
        <v>3526</v>
      </c>
      <c r="W1399" s="253"/>
      <c r="X1399" s="274">
        <f>SUM(X1386:X1398)</f>
        <v>16131.07</v>
      </c>
      <c r="AA1399" s="461" t="s">
        <v>3472</v>
      </c>
      <c r="AC1399" s="296"/>
      <c r="AE1399" s="370">
        <f t="shared" si="179"/>
        <v>0</v>
      </c>
    </row>
    <row r="1400" spans="6:31" ht="18.75" customHeight="1">
      <c r="H1400" s="255" t="s">
        <v>549</v>
      </c>
      <c r="K1400" s="274">
        <f>(K1398/10)</f>
        <v>253.5</v>
      </c>
      <c r="M1400" s="316">
        <v>6</v>
      </c>
      <c r="N1400" s="252" t="s">
        <v>766</v>
      </c>
      <c r="O1400" s="296" t="s">
        <v>1852</v>
      </c>
      <c r="P1400" s="314">
        <v>20</v>
      </c>
      <c r="Q1400" s="252" t="s">
        <v>766</v>
      </c>
      <c r="R1400" s="252">
        <f t="shared" si="194"/>
        <v>120</v>
      </c>
      <c r="W1400" s="253"/>
      <c r="Y1400" s="316">
        <v>2.33</v>
      </c>
      <c r="Z1400" s="252" t="s">
        <v>909</v>
      </c>
      <c r="AA1400" s="296" t="s">
        <v>1846</v>
      </c>
      <c r="AB1400" s="252">
        <f t="shared" ref="AB1400:AB1411" si="195">V1402</f>
        <v>325</v>
      </c>
      <c r="AC1400" s="252" t="s">
        <v>909</v>
      </c>
      <c r="AD1400" s="252">
        <f t="shared" ref="AD1400:AD1411" si="196">AB1400*Y1400</f>
        <v>757.25</v>
      </c>
      <c r="AE1400" s="370">
        <f t="shared" si="179"/>
        <v>0</v>
      </c>
    </row>
    <row r="1401" spans="6:31" ht="18.75" customHeight="1">
      <c r="F1401" s="296" t="s">
        <v>971</v>
      </c>
      <c r="M1401" s="316">
        <v>4</v>
      </c>
      <c r="N1401" s="252" t="s">
        <v>766</v>
      </c>
      <c r="O1401" s="296" t="s">
        <v>1853</v>
      </c>
      <c r="P1401" s="314">
        <v>15</v>
      </c>
      <c r="Q1401" s="252" t="s">
        <v>766</v>
      </c>
      <c r="R1401" s="252">
        <f t="shared" si="194"/>
        <v>60</v>
      </c>
      <c r="U1401" s="461" t="s">
        <v>3473</v>
      </c>
      <c r="W1401" s="253"/>
      <c r="Y1401" s="316">
        <v>0.67</v>
      </c>
      <c r="Z1401" s="252" t="s">
        <v>909</v>
      </c>
      <c r="AA1401" s="296" t="s">
        <v>1846</v>
      </c>
      <c r="AB1401" s="252">
        <f t="shared" si="195"/>
        <v>325</v>
      </c>
      <c r="AC1401" s="252" t="s">
        <v>909</v>
      </c>
      <c r="AD1401" s="252">
        <f t="shared" si="196"/>
        <v>217.75</v>
      </c>
      <c r="AE1401" s="370">
        <f t="shared" si="179"/>
        <v>0</v>
      </c>
    </row>
    <row r="1402" spans="6:31" ht="18.75" customHeight="1">
      <c r="K1402" s="358" t="s">
        <v>2046</v>
      </c>
      <c r="M1402" s="316">
        <v>1.823</v>
      </c>
      <c r="N1402" s="252" t="s">
        <v>2273</v>
      </c>
      <c r="O1402" s="296" t="s">
        <v>1854</v>
      </c>
      <c r="P1402" s="252">
        <f>ROUND(AE17+AE11+(AE20*0.5),2)</f>
        <v>1998</v>
      </c>
      <c r="Q1402" s="252" t="s">
        <v>2273</v>
      </c>
      <c r="R1402" s="252">
        <f t="shared" si="194"/>
        <v>3642.35</v>
      </c>
      <c r="S1402" s="356">
        <f>8*0.775</f>
        <v>6.2</v>
      </c>
      <c r="T1402" s="252" t="s">
        <v>909</v>
      </c>
      <c r="U1402" s="296" t="s">
        <v>1846</v>
      </c>
      <c r="V1402" s="252">
        <f>V1386</f>
        <v>325</v>
      </c>
      <c r="W1402" s="253" t="s">
        <v>909</v>
      </c>
      <c r="X1402" s="252">
        <f>V1402*S1402</f>
        <v>2015</v>
      </c>
      <c r="Y1402" s="316">
        <v>2.65</v>
      </c>
      <c r="Z1402" s="252" t="s">
        <v>909</v>
      </c>
      <c r="AA1402" s="296" t="s">
        <v>1846</v>
      </c>
      <c r="AB1402" s="252">
        <f t="shared" si="195"/>
        <v>325</v>
      </c>
      <c r="AC1402" s="252" t="s">
        <v>909</v>
      </c>
      <c r="AD1402" s="252">
        <f t="shared" si="196"/>
        <v>861.25</v>
      </c>
      <c r="AE1402" s="370">
        <f t="shared" si="179"/>
        <v>0</v>
      </c>
    </row>
    <row r="1403" spans="6:31" ht="18.75" customHeight="1">
      <c r="F1403" s="253" t="s">
        <v>5</v>
      </c>
      <c r="G1403" s="252" t="s">
        <v>2241</v>
      </c>
      <c r="H1403" s="296" t="s">
        <v>6</v>
      </c>
      <c r="O1403" s="296" t="s">
        <v>1855</v>
      </c>
      <c r="Q1403" s="253"/>
      <c r="R1403" s="252">
        <v>0.51</v>
      </c>
      <c r="S1403" s="356">
        <f>8.4*1.123</f>
        <v>9.4329999999999998</v>
      </c>
      <c r="T1403" s="252" t="s">
        <v>909</v>
      </c>
      <c r="U1403" s="296" t="s">
        <v>1846</v>
      </c>
      <c r="V1403" s="252">
        <f t="shared" ref="V1403:V1413" si="197">V1387</f>
        <v>325</v>
      </c>
      <c r="W1403" s="253" t="s">
        <v>909</v>
      </c>
      <c r="X1403" s="252">
        <f t="shared" ref="X1403:X1413" si="198">V1403*S1403</f>
        <v>3065.73</v>
      </c>
      <c r="Y1403" s="316">
        <v>0.46</v>
      </c>
      <c r="Z1403" s="252" t="s">
        <v>909</v>
      </c>
      <c r="AA1403" s="296" t="s">
        <v>1846</v>
      </c>
      <c r="AB1403" s="252">
        <f t="shared" si="195"/>
        <v>325</v>
      </c>
      <c r="AC1403" s="252" t="s">
        <v>909</v>
      </c>
      <c r="AD1403" s="252">
        <f t="shared" si="196"/>
        <v>149.5</v>
      </c>
      <c r="AE1403" s="370">
        <f t="shared" si="179"/>
        <v>0</v>
      </c>
    </row>
    <row r="1404" spans="6:31" ht="18.75" customHeight="1">
      <c r="H1404" s="358" t="s">
        <v>1579</v>
      </c>
      <c r="L1404" s="252">
        <f>5.85*1.123</f>
        <v>6.57</v>
      </c>
      <c r="R1404" s="274">
        <f>SUM(R1391:R1403)</f>
        <v>12157.16</v>
      </c>
      <c r="S1404" s="356">
        <f>24.24*0.663</f>
        <v>16.071000000000002</v>
      </c>
      <c r="T1404" s="252" t="s">
        <v>909</v>
      </c>
      <c r="U1404" s="296" t="s">
        <v>1846</v>
      </c>
      <c r="V1404" s="252">
        <f t="shared" si="197"/>
        <v>325</v>
      </c>
      <c r="W1404" s="253" t="s">
        <v>909</v>
      </c>
      <c r="X1404" s="252">
        <f t="shared" si="198"/>
        <v>5223.08</v>
      </c>
      <c r="Y1404" s="316">
        <v>0.41699999999999998</v>
      </c>
      <c r="Z1404" s="252" t="s">
        <v>230</v>
      </c>
      <c r="AA1404" s="296" t="s">
        <v>1847</v>
      </c>
      <c r="AB1404" s="252">
        <f t="shared" si="195"/>
        <v>306.89999999999998</v>
      </c>
      <c r="AC1404" s="252" t="s">
        <v>230</v>
      </c>
      <c r="AD1404" s="252">
        <f t="shared" si="196"/>
        <v>127.98</v>
      </c>
      <c r="AE1404" s="370">
        <f t="shared" si="179"/>
        <v>0</v>
      </c>
    </row>
    <row r="1405" spans="6:31" ht="18.75" customHeight="1">
      <c r="F1405" s="252">
        <v>0.14000000000000001</v>
      </c>
      <c r="G1405" s="252" t="s">
        <v>866</v>
      </c>
      <c r="H1405" s="296" t="s">
        <v>1302</v>
      </c>
      <c r="I1405" s="252">
        <f>(K40)</f>
        <v>4136.5</v>
      </c>
      <c r="J1405" s="296" t="s">
        <v>866</v>
      </c>
      <c r="K1405" s="252">
        <f>(F1405*I1405)</f>
        <v>579.11</v>
      </c>
      <c r="O1405" s="288"/>
      <c r="S1405" s="356">
        <f>23.02*0.124</f>
        <v>2.8540000000000001</v>
      </c>
      <c r="T1405" s="252" t="s">
        <v>909</v>
      </c>
      <c r="U1405" s="296" t="s">
        <v>1846</v>
      </c>
      <c r="V1405" s="252">
        <f t="shared" si="197"/>
        <v>325</v>
      </c>
      <c r="W1405" s="253" t="s">
        <v>909</v>
      </c>
      <c r="X1405" s="252">
        <f t="shared" si="198"/>
        <v>927.55</v>
      </c>
      <c r="Y1405" s="316">
        <v>3.6960000000000002</v>
      </c>
      <c r="Z1405" s="252" t="s">
        <v>823</v>
      </c>
      <c r="AA1405" s="296" t="s">
        <v>1848</v>
      </c>
      <c r="AB1405" s="252">
        <f t="shared" si="195"/>
        <v>29.05</v>
      </c>
      <c r="AC1405" s="252" t="s">
        <v>823</v>
      </c>
      <c r="AD1405" s="252">
        <f t="shared" si="196"/>
        <v>107.37</v>
      </c>
      <c r="AE1405" s="370">
        <f t="shared" si="179"/>
        <v>0</v>
      </c>
    </row>
    <row r="1406" spans="6:31" ht="18.75" customHeight="1">
      <c r="F1406" s="252">
        <v>1.1000000000000001</v>
      </c>
      <c r="G1406" s="252" t="s">
        <v>865</v>
      </c>
      <c r="H1406" s="296" t="s">
        <v>2000</v>
      </c>
      <c r="I1406" s="252">
        <f>(C10)</f>
        <v>999</v>
      </c>
      <c r="J1406" s="296" t="s">
        <v>865</v>
      </c>
      <c r="K1406" s="252">
        <f>(F1406*I1406)</f>
        <v>1098.9000000000001</v>
      </c>
      <c r="S1406" s="356">
        <f>3.31</f>
        <v>3.31</v>
      </c>
      <c r="T1406" s="252" t="s">
        <v>230</v>
      </c>
      <c r="U1406" s="296" t="s">
        <v>1847</v>
      </c>
      <c r="V1406" s="252">
        <f t="shared" si="197"/>
        <v>306.89999999999998</v>
      </c>
      <c r="W1406" s="253" t="s">
        <v>230</v>
      </c>
      <c r="X1406" s="252">
        <f t="shared" si="198"/>
        <v>1015.84</v>
      </c>
      <c r="Y1406" s="316">
        <v>4</v>
      </c>
      <c r="Z1406" s="252" t="s">
        <v>766</v>
      </c>
      <c r="AA1406" s="296" t="s">
        <v>1849</v>
      </c>
      <c r="AB1406" s="252">
        <f t="shared" si="195"/>
        <v>71.900000000000006</v>
      </c>
      <c r="AC1406" s="252" t="s">
        <v>766</v>
      </c>
      <c r="AD1406" s="252">
        <f t="shared" si="196"/>
        <v>287.60000000000002</v>
      </c>
      <c r="AE1406" s="370">
        <f t="shared" ref="AE1406:AE1469" si="199">AG1406</f>
        <v>0</v>
      </c>
    </row>
    <row r="1407" spans="6:31" ht="18.75" customHeight="1">
      <c r="F1407" s="252">
        <v>0.5</v>
      </c>
      <c r="G1407" s="252" t="s">
        <v>865</v>
      </c>
      <c r="H1407" s="296" t="s">
        <v>1893</v>
      </c>
      <c r="I1407" s="252">
        <f>(C12)</f>
        <v>651</v>
      </c>
      <c r="J1407" s="296" t="s">
        <v>865</v>
      </c>
      <c r="K1407" s="252">
        <f>(F1407*I1407)</f>
        <v>325.5</v>
      </c>
      <c r="O1407" s="461" t="s">
        <v>3464</v>
      </c>
      <c r="Q1407" s="296"/>
      <c r="S1407" s="356">
        <v>23.02</v>
      </c>
      <c r="T1407" s="252" t="s">
        <v>823</v>
      </c>
      <c r="U1407" s="296" t="s">
        <v>1848</v>
      </c>
      <c r="V1407" s="252">
        <f t="shared" si="197"/>
        <v>29.05</v>
      </c>
      <c r="W1407" s="253" t="s">
        <v>823</v>
      </c>
      <c r="X1407" s="252">
        <f t="shared" si="198"/>
        <v>668.73</v>
      </c>
      <c r="Y1407" s="316">
        <v>2</v>
      </c>
      <c r="Z1407" s="252" t="s">
        <v>766</v>
      </c>
      <c r="AA1407" s="296" t="s">
        <v>1850</v>
      </c>
      <c r="AB1407" s="252">
        <f t="shared" si="195"/>
        <v>57.65</v>
      </c>
      <c r="AC1407" s="252" t="s">
        <v>766</v>
      </c>
      <c r="AD1407" s="252">
        <f t="shared" si="196"/>
        <v>115.3</v>
      </c>
      <c r="AE1407" s="370">
        <f t="shared" si="199"/>
        <v>0</v>
      </c>
    </row>
    <row r="1408" spans="6:31" ht="18.75" customHeight="1">
      <c r="F1408" s="252">
        <v>1.1000000000000001</v>
      </c>
      <c r="G1408" s="252" t="s">
        <v>865</v>
      </c>
      <c r="H1408" s="296" t="s">
        <v>317</v>
      </c>
      <c r="I1408" s="252">
        <f>(C13)</f>
        <v>534</v>
      </c>
      <c r="J1408" s="296" t="s">
        <v>865</v>
      </c>
      <c r="K1408" s="252">
        <f>(F1408*I1408)</f>
        <v>587.4</v>
      </c>
      <c r="M1408" s="316">
        <v>3.95</v>
      </c>
      <c r="N1408" s="252" t="s">
        <v>909</v>
      </c>
      <c r="O1408" s="393" t="s">
        <v>4248</v>
      </c>
      <c r="P1408" s="252">
        <f>P1391</f>
        <v>325</v>
      </c>
      <c r="Q1408" s="252" t="s">
        <v>909</v>
      </c>
      <c r="R1408" s="252">
        <f>P1408*M1408</f>
        <v>1283.75</v>
      </c>
      <c r="S1408" s="356">
        <v>16</v>
      </c>
      <c r="T1408" s="252" t="s">
        <v>766</v>
      </c>
      <c r="U1408" s="296" t="s">
        <v>1849</v>
      </c>
      <c r="V1408" s="252">
        <f t="shared" si="197"/>
        <v>71.900000000000006</v>
      </c>
      <c r="W1408" s="253" t="s">
        <v>766</v>
      </c>
      <c r="X1408" s="252">
        <f t="shared" si="198"/>
        <v>1150.4000000000001</v>
      </c>
      <c r="Y1408" s="316">
        <v>2</v>
      </c>
      <c r="Z1408" s="252" t="s">
        <v>766</v>
      </c>
      <c r="AA1408" s="296" t="s">
        <v>1851</v>
      </c>
      <c r="AB1408" s="252">
        <f t="shared" si="195"/>
        <v>30</v>
      </c>
      <c r="AC1408" s="252" t="s">
        <v>766</v>
      </c>
      <c r="AD1408" s="252">
        <f t="shared" si="196"/>
        <v>60</v>
      </c>
      <c r="AE1408" s="370">
        <f t="shared" si="199"/>
        <v>0</v>
      </c>
    </row>
    <row r="1409" spans="6:31" ht="18.75" customHeight="1">
      <c r="G1409" s="252" t="s">
        <v>446</v>
      </c>
      <c r="H1409" s="296" t="s">
        <v>447</v>
      </c>
      <c r="I1409" s="296" t="s">
        <v>971</v>
      </c>
      <c r="J1409" s="296" t="s">
        <v>446</v>
      </c>
      <c r="K1409" s="252">
        <v>5</v>
      </c>
      <c r="M1409" s="316">
        <v>2.86</v>
      </c>
      <c r="N1409" s="252" t="s">
        <v>909</v>
      </c>
      <c r="O1409" s="296" t="s">
        <v>1846</v>
      </c>
      <c r="P1409" s="252">
        <f t="shared" ref="P1409:P1419" si="200">P1392</f>
        <v>325</v>
      </c>
      <c r="Q1409" s="252" t="s">
        <v>909</v>
      </c>
      <c r="R1409" s="252">
        <f t="shared" ref="R1409:R1419" si="201">P1409*M1409</f>
        <v>929.5</v>
      </c>
      <c r="S1409" s="356">
        <v>8</v>
      </c>
      <c r="T1409" s="252" t="s">
        <v>766</v>
      </c>
      <c r="U1409" s="296" t="s">
        <v>1850</v>
      </c>
      <c r="V1409" s="252">
        <f t="shared" si="197"/>
        <v>57.65</v>
      </c>
      <c r="W1409" s="253" t="s">
        <v>766</v>
      </c>
      <c r="X1409" s="252">
        <f t="shared" si="198"/>
        <v>461.2</v>
      </c>
      <c r="Y1409" s="316">
        <v>2</v>
      </c>
      <c r="Z1409" s="252" t="s">
        <v>766</v>
      </c>
      <c r="AA1409" s="296" t="s">
        <v>1852</v>
      </c>
      <c r="AB1409" s="252">
        <f t="shared" si="195"/>
        <v>20</v>
      </c>
      <c r="AC1409" s="252" t="s">
        <v>766</v>
      </c>
      <c r="AD1409" s="252">
        <f t="shared" si="196"/>
        <v>40</v>
      </c>
      <c r="AE1409" s="370">
        <f t="shared" si="199"/>
        <v>0</v>
      </c>
    </row>
    <row r="1410" spans="6:31" ht="18.75" customHeight="1">
      <c r="H1410" s="296"/>
      <c r="I1410" s="296"/>
      <c r="M1410" s="316">
        <v>6.55</v>
      </c>
      <c r="N1410" s="252" t="s">
        <v>909</v>
      </c>
      <c r="O1410" s="296" t="s">
        <v>1846</v>
      </c>
      <c r="P1410" s="252">
        <f t="shared" si="200"/>
        <v>325</v>
      </c>
      <c r="Q1410" s="252" t="s">
        <v>909</v>
      </c>
      <c r="R1410" s="252">
        <f t="shared" si="201"/>
        <v>2128.75</v>
      </c>
      <c r="S1410" s="356">
        <v>8</v>
      </c>
      <c r="T1410" s="252" t="s">
        <v>766</v>
      </c>
      <c r="U1410" s="296" t="s">
        <v>1851</v>
      </c>
      <c r="V1410" s="252">
        <f t="shared" si="197"/>
        <v>30</v>
      </c>
      <c r="W1410" s="253" t="s">
        <v>766</v>
      </c>
      <c r="X1410" s="252">
        <f t="shared" si="198"/>
        <v>240</v>
      </c>
      <c r="Y1410" s="316">
        <v>2</v>
      </c>
      <c r="Z1410" s="252" t="s">
        <v>766</v>
      </c>
      <c r="AA1410" s="296" t="s">
        <v>1853</v>
      </c>
      <c r="AB1410" s="252">
        <f t="shared" si="195"/>
        <v>15</v>
      </c>
      <c r="AC1410" s="252" t="s">
        <v>766</v>
      </c>
      <c r="AD1410" s="252">
        <f t="shared" si="196"/>
        <v>30</v>
      </c>
      <c r="AE1410" s="370">
        <f t="shared" si="199"/>
        <v>0</v>
      </c>
    </row>
    <row r="1411" spans="6:31" ht="18.75" customHeight="1">
      <c r="K1411" s="358" t="s">
        <v>1579</v>
      </c>
      <c r="M1411" s="316">
        <v>1.1499999999999999</v>
      </c>
      <c r="N1411" s="252" t="s">
        <v>909</v>
      </c>
      <c r="O1411" s="296" t="s">
        <v>1846</v>
      </c>
      <c r="P1411" s="252">
        <f t="shared" si="200"/>
        <v>325</v>
      </c>
      <c r="Q1411" s="252" t="s">
        <v>909</v>
      </c>
      <c r="R1411" s="252">
        <f t="shared" si="201"/>
        <v>373.75</v>
      </c>
      <c r="S1411" s="356">
        <v>8</v>
      </c>
      <c r="T1411" s="252" t="s">
        <v>766</v>
      </c>
      <c r="U1411" s="296" t="s">
        <v>1852</v>
      </c>
      <c r="V1411" s="252">
        <f t="shared" si="197"/>
        <v>20</v>
      </c>
      <c r="W1411" s="253" t="s">
        <v>766</v>
      </c>
      <c r="X1411" s="252">
        <f t="shared" si="198"/>
        <v>160</v>
      </c>
      <c r="Y1411" s="316">
        <v>0.54</v>
      </c>
      <c r="Z1411" s="252" t="s">
        <v>2273</v>
      </c>
      <c r="AA1411" s="296" t="s">
        <v>1854</v>
      </c>
      <c r="AB1411" s="252">
        <f t="shared" si="195"/>
        <v>1998</v>
      </c>
      <c r="AC1411" s="252" t="s">
        <v>2273</v>
      </c>
      <c r="AD1411" s="252">
        <f t="shared" si="196"/>
        <v>1078.92</v>
      </c>
      <c r="AE1411" s="370">
        <f t="shared" si="199"/>
        <v>0</v>
      </c>
    </row>
    <row r="1412" spans="6:31" ht="18.75" customHeight="1">
      <c r="H1412" s="296" t="s">
        <v>438</v>
      </c>
      <c r="K1412" s="252">
        <f>SUM(K1405:K1409)</f>
        <v>2595.91</v>
      </c>
      <c r="L1412" s="252">
        <f>SUM(K1433:K1436)</f>
        <v>2692.38</v>
      </c>
      <c r="M1412" s="316">
        <v>1.3380000000000001</v>
      </c>
      <c r="N1412" s="252" t="s">
        <v>230</v>
      </c>
      <c r="O1412" s="296" t="s">
        <v>1847</v>
      </c>
      <c r="P1412" s="252">
        <f t="shared" si="200"/>
        <v>306.89999999999998</v>
      </c>
      <c r="Q1412" s="252" t="s">
        <v>230</v>
      </c>
      <c r="R1412" s="252">
        <f t="shared" si="201"/>
        <v>410.63</v>
      </c>
      <c r="S1412" s="356">
        <v>4</v>
      </c>
      <c r="T1412" s="252" t="s">
        <v>766</v>
      </c>
      <c r="U1412" s="296" t="s">
        <v>1853</v>
      </c>
      <c r="V1412" s="252">
        <f t="shared" si="197"/>
        <v>15</v>
      </c>
      <c r="W1412" s="253" t="s">
        <v>766</v>
      </c>
      <c r="X1412" s="252">
        <f t="shared" si="198"/>
        <v>60</v>
      </c>
      <c r="AA1412" s="296" t="s">
        <v>1855</v>
      </c>
      <c r="AC1412" s="253"/>
      <c r="AD1412" s="252">
        <v>0.7</v>
      </c>
      <c r="AE1412" s="370">
        <f t="shared" si="199"/>
        <v>0</v>
      </c>
    </row>
    <row r="1413" spans="6:31" ht="18.75" customHeight="1">
      <c r="K1413" s="358" t="s">
        <v>1579</v>
      </c>
      <c r="M1413" s="316">
        <v>9.2720000000000002</v>
      </c>
      <c r="N1413" s="252" t="s">
        <v>823</v>
      </c>
      <c r="O1413" s="393" t="s">
        <v>4251</v>
      </c>
      <c r="P1413" s="252">
        <f t="shared" si="200"/>
        <v>29.05</v>
      </c>
      <c r="Q1413" s="252" t="s">
        <v>823</v>
      </c>
      <c r="R1413" s="252">
        <f t="shared" si="201"/>
        <v>269.35000000000002</v>
      </c>
      <c r="S1413" s="356">
        <v>3.96</v>
      </c>
      <c r="T1413" s="252" t="s">
        <v>2273</v>
      </c>
      <c r="U1413" s="296" t="s">
        <v>1854</v>
      </c>
      <c r="V1413" s="252">
        <f t="shared" si="197"/>
        <v>1998</v>
      </c>
      <c r="W1413" s="253" t="s">
        <v>2273</v>
      </c>
      <c r="X1413" s="252">
        <f t="shared" si="198"/>
        <v>7912.08</v>
      </c>
      <c r="AA1413" s="360" t="s">
        <v>3526</v>
      </c>
      <c r="AD1413" s="274">
        <f>SUM(AD1400:AD1412)</f>
        <v>3833.62</v>
      </c>
      <c r="AE1413" s="370">
        <f t="shared" si="199"/>
        <v>0</v>
      </c>
    </row>
    <row r="1414" spans="6:31" ht="18.75" customHeight="1">
      <c r="H1414" s="255" t="s">
        <v>549</v>
      </c>
      <c r="K1414" s="274">
        <f>(K1412/10)</f>
        <v>259.58999999999997</v>
      </c>
      <c r="M1414" s="316">
        <v>8</v>
      </c>
      <c r="N1414" s="252" t="s">
        <v>766</v>
      </c>
      <c r="O1414" s="393" t="s">
        <v>4249</v>
      </c>
      <c r="P1414" s="252">
        <f t="shared" si="200"/>
        <v>71.900000000000006</v>
      </c>
      <c r="Q1414" s="252" t="s">
        <v>766</v>
      </c>
      <c r="R1414" s="252">
        <f t="shared" si="201"/>
        <v>575.20000000000005</v>
      </c>
      <c r="U1414" s="296" t="s">
        <v>1855</v>
      </c>
      <c r="W1414" s="253"/>
      <c r="X1414" s="252">
        <v>0.09</v>
      </c>
      <c r="AE1414" s="370">
        <f t="shared" si="199"/>
        <v>0</v>
      </c>
    </row>
    <row r="1415" spans="6:31" ht="18.75" customHeight="1">
      <c r="K1415" s="358" t="s">
        <v>2046</v>
      </c>
      <c r="M1415" s="316">
        <v>4</v>
      </c>
      <c r="N1415" s="252" t="s">
        <v>766</v>
      </c>
      <c r="O1415" s="393" t="s">
        <v>4250</v>
      </c>
      <c r="P1415" s="252">
        <f t="shared" si="200"/>
        <v>57.65</v>
      </c>
      <c r="Q1415" s="252" t="s">
        <v>766</v>
      </c>
      <c r="R1415" s="252">
        <f t="shared" si="201"/>
        <v>230.6</v>
      </c>
      <c r="U1415" s="360" t="s">
        <v>3526</v>
      </c>
      <c r="W1415" s="253"/>
      <c r="X1415" s="274">
        <f>SUM(X1402:X1414)</f>
        <v>22899.7</v>
      </c>
      <c r="AE1415" s="370">
        <f t="shared" si="199"/>
        <v>0</v>
      </c>
    </row>
    <row r="1416" spans="6:31" ht="18.75" customHeight="1">
      <c r="F1416" s="253" t="s">
        <v>7</v>
      </c>
      <c r="G1416" s="252" t="s">
        <v>2241</v>
      </c>
      <c r="H1416" s="296" t="s">
        <v>8</v>
      </c>
      <c r="M1416" s="316">
        <v>4</v>
      </c>
      <c r="N1416" s="252" t="s">
        <v>766</v>
      </c>
      <c r="O1416" s="296" t="s">
        <v>1851</v>
      </c>
      <c r="P1416" s="252">
        <f t="shared" si="200"/>
        <v>30</v>
      </c>
      <c r="Q1416" s="252" t="s">
        <v>766</v>
      </c>
      <c r="R1416" s="252">
        <f t="shared" si="201"/>
        <v>120</v>
      </c>
      <c r="W1416" s="253"/>
      <c r="AA1416" s="461" t="s">
        <v>3463</v>
      </c>
      <c r="AC1416" s="296"/>
      <c r="AE1416" s="370">
        <f t="shared" si="199"/>
        <v>0</v>
      </c>
    </row>
    <row r="1417" spans="6:31" ht="18.75" customHeight="1">
      <c r="H1417" s="358" t="s">
        <v>1579</v>
      </c>
      <c r="M1417" s="316">
        <v>4</v>
      </c>
      <c r="N1417" s="252" t="s">
        <v>766</v>
      </c>
      <c r="O1417" s="296" t="s">
        <v>1852</v>
      </c>
      <c r="P1417" s="252">
        <f t="shared" si="200"/>
        <v>20</v>
      </c>
      <c r="Q1417" s="252" t="s">
        <v>766</v>
      </c>
      <c r="R1417" s="252">
        <f t="shared" si="201"/>
        <v>80</v>
      </c>
      <c r="W1417" s="253"/>
      <c r="Y1417" s="316">
        <f>4.2*0.775</f>
        <v>3.2549999999999999</v>
      </c>
      <c r="Z1417" s="252" t="s">
        <v>909</v>
      </c>
      <c r="AA1417" s="296" t="s">
        <v>1846</v>
      </c>
      <c r="AB1417" s="252">
        <f>AB1400</f>
        <v>325</v>
      </c>
      <c r="AC1417" s="252" t="s">
        <v>909</v>
      </c>
      <c r="AD1417" s="252">
        <f t="shared" ref="AD1417:AD1428" si="202">AB1417*Y1417</f>
        <v>1057.8800000000001</v>
      </c>
      <c r="AE1417" s="370">
        <f t="shared" si="199"/>
        <v>0</v>
      </c>
    </row>
    <row r="1418" spans="6:31" ht="18.75" customHeight="1">
      <c r="F1418" s="252">
        <v>0.1</v>
      </c>
      <c r="G1418" s="252" t="s">
        <v>866</v>
      </c>
      <c r="H1418" s="296" t="s">
        <v>1348</v>
      </c>
      <c r="I1418" s="252">
        <f>(K32)</f>
        <v>4861.3</v>
      </c>
      <c r="J1418" s="296" t="s">
        <v>866</v>
      </c>
      <c r="K1418" s="252">
        <f>(F1418*I1418)</f>
        <v>486.13</v>
      </c>
      <c r="M1418" s="316">
        <v>4</v>
      </c>
      <c r="N1418" s="252" t="s">
        <v>766</v>
      </c>
      <c r="O1418" s="296" t="s">
        <v>1853</v>
      </c>
      <c r="P1418" s="252">
        <f t="shared" si="200"/>
        <v>15</v>
      </c>
      <c r="Q1418" s="252" t="s">
        <v>766</v>
      </c>
      <c r="R1418" s="252">
        <f t="shared" si="201"/>
        <v>60</v>
      </c>
      <c r="U1418" s="274" t="s">
        <v>3527</v>
      </c>
      <c r="W1418" s="253"/>
      <c r="Y1418" s="316">
        <v>2.3580000000000001</v>
      </c>
      <c r="Z1418" s="252" t="s">
        <v>909</v>
      </c>
      <c r="AA1418" s="296" t="s">
        <v>1846</v>
      </c>
      <c r="AB1418" s="252">
        <f t="shared" ref="AB1418:AB1428" si="203">AB1401</f>
        <v>325</v>
      </c>
      <c r="AC1418" s="252" t="s">
        <v>909</v>
      </c>
      <c r="AD1418" s="252">
        <f t="shared" si="202"/>
        <v>766.35</v>
      </c>
      <c r="AE1418" s="370">
        <f t="shared" si="199"/>
        <v>0</v>
      </c>
    </row>
    <row r="1419" spans="6:31" ht="18.75" customHeight="1">
      <c r="F1419" s="252">
        <v>1.1000000000000001</v>
      </c>
      <c r="G1419" s="252" t="s">
        <v>865</v>
      </c>
      <c r="H1419" s="296" t="s">
        <v>2000</v>
      </c>
      <c r="I1419" s="252">
        <f>(C10)</f>
        <v>999</v>
      </c>
      <c r="J1419" s="296" t="s">
        <v>865</v>
      </c>
      <c r="K1419" s="252">
        <f>(F1419*I1419)</f>
        <v>1098.9000000000001</v>
      </c>
      <c r="L1419" s="252">
        <f>M1458+M1459+M1460</f>
        <v>11.74</v>
      </c>
      <c r="M1419" s="316">
        <v>1.62</v>
      </c>
      <c r="N1419" s="252" t="s">
        <v>2273</v>
      </c>
      <c r="O1419" s="296" t="s">
        <v>1854</v>
      </c>
      <c r="P1419" s="252">
        <f t="shared" si="200"/>
        <v>1998</v>
      </c>
      <c r="Q1419" s="252" t="s">
        <v>2273</v>
      </c>
      <c r="R1419" s="252">
        <f t="shared" si="201"/>
        <v>3236.76</v>
      </c>
      <c r="S1419" s="356">
        <v>4.42</v>
      </c>
      <c r="T1419" s="252" t="s">
        <v>909</v>
      </c>
      <c r="U1419" s="296" t="s">
        <v>1846</v>
      </c>
      <c r="V1419" s="252">
        <f>P1458</f>
        <v>325</v>
      </c>
      <c r="W1419" s="253" t="s">
        <v>909</v>
      </c>
      <c r="X1419" s="370">
        <f>V1419*S1419</f>
        <v>1436.5</v>
      </c>
      <c r="Y1419" s="316">
        <f>8.08*0.663</f>
        <v>5.3570000000000002</v>
      </c>
      <c r="Z1419" s="252" t="s">
        <v>909</v>
      </c>
      <c r="AA1419" s="296" t="s">
        <v>1846</v>
      </c>
      <c r="AB1419" s="252">
        <f t="shared" si="203"/>
        <v>325</v>
      </c>
      <c r="AC1419" s="252" t="s">
        <v>909</v>
      </c>
      <c r="AD1419" s="252">
        <f t="shared" si="202"/>
        <v>1741.03</v>
      </c>
      <c r="AE1419" s="370">
        <f t="shared" si="199"/>
        <v>0</v>
      </c>
    </row>
    <row r="1420" spans="6:31" ht="18.75" customHeight="1">
      <c r="F1420" s="252">
        <v>1.1000000000000001</v>
      </c>
      <c r="G1420" s="252" t="s">
        <v>865</v>
      </c>
      <c r="H1420" s="296" t="s">
        <v>1893</v>
      </c>
      <c r="I1420" s="252">
        <f>(C12)</f>
        <v>651</v>
      </c>
      <c r="J1420" s="296" t="s">
        <v>865</v>
      </c>
      <c r="K1420" s="252">
        <f>(F1420*I1420)</f>
        <v>716.1</v>
      </c>
      <c r="O1420" s="296" t="s">
        <v>1855</v>
      </c>
      <c r="Q1420" s="253"/>
      <c r="R1420" s="252">
        <v>0.25</v>
      </c>
      <c r="S1420" s="356">
        <v>4.72</v>
      </c>
      <c r="T1420" s="252" t="s">
        <v>909</v>
      </c>
      <c r="U1420" s="296" t="s">
        <v>1846</v>
      </c>
      <c r="V1420" s="252">
        <f>P1459</f>
        <v>325</v>
      </c>
      <c r="W1420" s="253" t="s">
        <v>909</v>
      </c>
      <c r="X1420" s="370">
        <f t="shared" ref="X1420:X1430" si="204">V1420*S1420</f>
        <v>1534</v>
      </c>
      <c r="Y1420" s="316">
        <v>0.92600000000000005</v>
      </c>
      <c r="Z1420" s="252" t="s">
        <v>909</v>
      </c>
      <c r="AA1420" s="296" t="s">
        <v>1846</v>
      </c>
      <c r="AB1420" s="252">
        <f t="shared" si="203"/>
        <v>325</v>
      </c>
      <c r="AC1420" s="252" t="s">
        <v>909</v>
      </c>
      <c r="AD1420" s="252">
        <f t="shared" si="202"/>
        <v>300.95</v>
      </c>
      <c r="AE1420" s="370">
        <f t="shared" si="199"/>
        <v>0</v>
      </c>
    </row>
    <row r="1421" spans="6:31" ht="18.75" customHeight="1">
      <c r="F1421" s="252">
        <v>1.1000000000000001</v>
      </c>
      <c r="G1421" s="252" t="s">
        <v>865</v>
      </c>
      <c r="H1421" s="296" t="s">
        <v>317</v>
      </c>
      <c r="I1421" s="252">
        <f>(C13)</f>
        <v>534</v>
      </c>
      <c r="J1421" s="296" t="s">
        <v>865</v>
      </c>
      <c r="K1421" s="252">
        <f>(F1421*I1421)</f>
        <v>587.4</v>
      </c>
      <c r="R1421" s="274">
        <f>SUM(R1408:R1420)</f>
        <v>9698.5400000000009</v>
      </c>
      <c r="S1421" s="356">
        <v>9.06</v>
      </c>
      <c r="T1421" s="252" t="s">
        <v>909</v>
      </c>
      <c r="U1421" s="296" t="s">
        <v>1846</v>
      </c>
      <c r="V1421" s="252">
        <f>P1460</f>
        <v>325</v>
      </c>
      <c r="W1421" s="253" t="s">
        <v>909</v>
      </c>
      <c r="X1421" s="370">
        <f t="shared" si="204"/>
        <v>2944.5</v>
      </c>
      <c r="Y1421" s="316">
        <v>0.85</v>
      </c>
      <c r="Z1421" s="252" t="s">
        <v>230</v>
      </c>
      <c r="AA1421" s="296" t="s">
        <v>1847</v>
      </c>
      <c r="AB1421" s="252">
        <f t="shared" si="203"/>
        <v>306.89999999999998</v>
      </c>
      <c r="AC1421" s="252" t="s">
        <v>230</v>
      </c>
      <c r="AD1421" s="252">
        <f t="shared" si="202"/>
        <v>260.87</v>
      </c>
      <c r="AE1421" s="370">
        <f t="shared" si="199"/>
        <v>0</v>
      </c>
    </row>
    <row r="1422" spans="6:31" ht="18.75" customHeight="1">
      <c r="G1422" s="252" t="s">
        <v>446</v>
      </c>
      <c r="H1422" s="296" t="s">
        <v>447</v>
      </c>
      <c r="I1422" s="296" t="s">
        <v>971</v>
      </c>
      <c r="J1422" s="296" t="s">
        <v>446</v>
      </c>
      <c r="K1422" s="252">
        <v>5</v>
      </c>
      <c r="O1422" s="296"/>
      <c r="Q1422" s="253"/>
      <c r="S1422" s="356">
        <v>1.58</v>
      </c>
      <c r="T1422" s="252" t="s">
        <v>909</v>
      </c>
      <c r="U1422" s="296" t="s">
        <v>1846</v>
      </c>
      <c r="V1422" s="252">
        <f>P1461</f>
        <v>325</v>
      </c>
      <c r="W1422" s="253" t="s">
        <v>909</v>
      </c>
      <c r="X1422" s="370">
        <f t="shared" si="204"/>
        <v>513.5</v>
      </c>
      <c r="Y1422" s="316">
        <v>7.4720000000000004</v>
      </c>
      <c r="Z1422" s="252" t="s">
        <v>823</v>
      </c>
      <c r="AA1422" s="296" t="s">
        <v>1848</v>
      </c>
      <c r="AB1422" s="252">
        <f t="shared" si="203"/>
        <v>29.05</v>
      </c>
      <c r="AC1422" s="252" t="s">
        <v>823</v>
      </c>
      <c r="AD1422" s="252">
        <f t="shared" si="202"/>
        <v>217.06</v>
      </c>
      <c r="AE1422" s="370">
        <f t="shared" si="199"/>
        <v>0</v>
      </c>
    </row>
    <row r="1423" spans="6:31" ht="18.75" customHeight="1">
      <c r="K1423" s="358" t="s">
        <v>1579</v>
      </c>
      <c r="O1423" s="296"/>
      <c r="Q1423" s="253"/>
      <c r="S1423" s="356">
        <v>1.65</v>
      </c>
      <c r="T1423" s="252" t="s">
        <v>230</v>
      </c>
      <c r="U1423" s="296" t="s">
        <v>1847</v>
      </c>
      <c r="V1423" s="252">
        <f>P1429</f>
        <v>306.89999999999998</v>
      </c>
      <c r="W1423" s="253" t="s">
        <v>230</v>
      </c>
      <c r="X1423" s="370">
        <f t="shared" si="204"/>
        <v>506.39</v>
      </c>
      <c r="Y1423" s="316">
        <v>8</v>
      </c>
      <c r="Z1423" s="252" t="s">
        <v>766</v>
      </c>
      <c r="AA1423" s="296" t="s">
        <v>1849</v>
      </c>
      <c r="AB1423" s="252">
        <f t="shared" si="203"/>
        <v>71.900000000000006</v>
      </c>
      <c r="AC1423" s="252" t="s">
        <v>766</v>
      </c>
      <c r="AD1423" s="252">
        <f t="shared" si="202"/>
        <v>575.20000000000005</v>
      </c>
      <c r="AE1423" s="370">
        <f t="shared" si="199"/>
        <v>0</v>
      </c>
    </row>
    <row r="1424" spans="6:31" ht="18.75" customHeight="1">
      <c r="H1424" s="296" t="s">
        <v>438</v>
      </c>
      <c r="K1424" s="252">
        <f>SUM(K1418:K1422)</f>
        <v>2893.53</v>
      </c>
      <c r="O1424" s="461" t="s">
        <v>3468</v>
      </c>
      <c r="Q1424" s="296"/>
      <c r="S1424" s="356">
        <v>12.74</v>
      </c>
      <c r="T1424" s="252" t="s">
        <v>823</v>
      </c>
      <c r="U1424" s="296" t="s">
        <v>1848</v>
      </c>
      <c r="V1424" s="252">
        <f>P1463</f>
        <v>29.05</v>
      </c>
      <c r="W1424" s="253" t="s">
        <v>823</v>
      </c>
      <c r="X1424" s="370">
        <f t="shared" si="204"/>
        <v>370.1</v>
      </c>
      <c r="Y1424" s="316">
        <v>4</v>
      </c>
      <c r="Z1424" s="252" t="s">
        <v>766</v>
      </c>
      <c r="AA1424" s="296" t="s">
        <v>1850</v>
      </c>
      <c r="AB1424" s="252">
        <f t="shared" si="203"/>
        <v>57.65</v>
      </c>
      <c r="AC1424" s="252" t="s">
        <v>766</v>
      </c>
      <c r="AD1424" s="252">
        <f t="shared" si="202"/>
        <v>230.6</v>
      </c>
      <c r="AE1424" s="370">
        <f t="shared" si="199"/>
        <v>0</v>
      </c>
    </row>
    <row r="1425" spans="6:31" ht="18.75" customHeight="1">
      <c r="H1425" s="253"/>
      <c r="K1425" s="358" t="s">
        <v>1579</v>
      </c>
      <c r="M1425" s="316">
        <v>2.79</v>
      </c>
      <c r="N1425" s="252" t="s">
        <v>909</v>
      </c>
      <c r="O1425" s="393" t="s">
        <v>4248</v>
      </c>
      <c r="P1425" s="252">
        <f>P1408</f>
        <v>325</v>
      </c>
      <c r="Q1425" s="252" t="s">
        <v>909</v>
      </c>
      <c r="R1425" s="252">
        <f>P1425*M1425</f>
        <v>906.75</v>
      </c>
      <c r="S1425" s="356">
        <v>12</v>
      </c>
      <c r="T1425" s="252" t="s">
        <v>766</v>
      </c>
      <c r="U1425" s="296" t="s">
        <v>1849</v>
      </c>
      <c r="V1425" s="252">
        <f>P1464</f>
        <v>71.900000000000006</v>
      </c>
      <c r="W1425" s="253" t="s">
        <v>766</v>
      </c>
      <c r="X1425" s="370">
        <f t="shared" si="204"/>
        <v>862.8</v>
      </c>
      <c r="Y1425" s="316">
        <v>4</v>
      </c>
      <c r="Z1425" s="252" t="s">
        <v>766</v>
      </c>
      <c r="AA1425" s="296" t="s">
        <v>1851</v>
      </c>
      <c r="AB1425" s="252">
        <f t="shared" si="203"/>
        <v>30</v>
      </c>
      <c r="AC1425" s="252" t="s">
        <v>766</v>
      </c>
      <c r="AD1425" s="252">
        <f t="shared" si="202"/>
        <v>120</v>
      </c>
      <c r="AE1425" s="370">
        <f t="shared" si="199"/>
        <v>0</v>
      </c>
    </row>
    <row r="1426" spans="6:31" ht="18.75" customHeight="1">
      <c r="H1426" s="255" t="s">
        <v>549</v>
      </c>
      <c r="I1426" s="274"/>
      <c r="J1426" s="276"/>
      <c r="K1426" s="274">
        <f>(K1424/10)</f>
        <v>289.35000000000002</v>
      </c>
      <c r="M1426" s="316">
        <v>0.5</v>
      </c>
      <c r="N1426" s="252" t="s">
        <v>909</v>
      </c>
      <c r="O1426" s="296" t="s">
        <v>1846</v>
      </c>
      <c r="P1426" s="252">
        <f t="shared" ref="P1426:P1436" si="205">P1409</f>
        <v>325</v>
      </c>
      <c r="Q1426" s="252" t="s">
        <v>909</v>
      </c>
      <c r="R1426" s="252">
        <f t="shared" ref="R1426:R1436" si="206">P1426*M1426</f>
        <v>162.5</v>
      </c>
      <c r="S1426" s="356">
        <v>6</v>
      </c>
      <c r="T1426" s="252" t="s">
        <v>766</v>
      </c>
      <c r="U1426" s="296" t="s">
        <v>1850</v>
      </c>
      <c r="V1426" s="252">
        <f>P1465</f>
        <v>57.65</v>
      </c>
      <c r="W1426" s="253" t="s">
        <v>766</v>
      </c>
      <c r="X1426" s="370">
        <f t="shared" si="204"/>
        <v>345.9</v>
      </c>
      <c r="Y1426" s="316">
        <v>4</v>
      </c>
      <c r="Z1426" s="252" t="s">
        <v>766</v>
      </c>
      <c r="AA1426" s="296" t="s">
        <v>1852</v>
      </c>
      <c r="AB1426" s="252">
        <f t="shared" si="203"/>
        <v>20</v>
      </c>
      <c r="AC1426" s="252" t="s">
        <v>766</v>
      </c>
      <c r="AD1426" s="252">
        <f t="shared" si="202"/>
        <v>80</v>
      </c>
      <c r="AE1426" s="370">
        <f t="shared" si="199"/>
        <v>0</v>
      </c>
    </row>
    <row r="1427" spans="6:31" ht="18.75" customHeight="1">
      <c r="K1427" s="358" t="s">
        <v>2046</v>
      </c>
      <c r="M1427" s="316">
        <v>2.85</v>
      </c>
      <c r="N1427" s="252" t="s">
        <v>909</v>
      </c>
      <c r="O1427" s="296" t="s">
        <v>1846</v>
      </c>
      <c r="P1427" s="252">
        <f t="shared" si="205"/>
        <v>325</v>
      </c>
      <c r="Q1427" s="252" t="s">
        <v>909</v>
      </c>
      <c r="R1427" s="252">
        <f t="shared" si="206"/>
        <v>926.25</v>
      </c>
      <c r="S1427" s="356">
        <v>6</v>
      </c>
      <c r="T1427" s="252" t="s">
        <v>766</v>
      </c>
      <c r="U1427" s="296" t="s">
        <v>1851</v>
      </c>
      <c r="V1427" s="314">
        <v>30</v>
      </c>
      <c r="W1427" s="253" t="s">
        <v>766</v>
      </c>
      <c r="X1427" s="370">
        <f t="shared" si="204"/>
        <v>180</v>
      </c>
      <c r="Y1427" s="316">
        <v>4</v>
      </c>
      <c r="Z1427" s="252" t="s">
        <v>766</v>
      </c>
      <c r="AA1427" s="296" t="s">
        <v>1853</v>
      </c>
      <c r="AB1427" s="252">
        <f t="shared" si="203"/>
        <v>15</v>
      </c>
      <c r="AC1427" s="252" t="s">
        <v>766</v>
      </c>
      <c r="AD1427" s="252">
        <f t="shared" si="202"/>
        <v>60</v>
      </c>
      <c r="AE1427" s="370">
        <f t="shared" si="199"/>
        <v>0</v>
      </c>
    </row>
    <row r="1428" spans="6:31" ht="18.75" customHeight="1">
      <c r="M1428" s="316">
        <v>0.5</v>
      </c>
      <c r="N1428" s="252" t="s">
        <v>909</v>
      </c>
      <c r="O1428" s="296" t="s">
        <v>1846</v>
      </c>
      <c r="P1428" s="252">
        <f t="shared" si="205"/>
        <v>325</v>
      </c>
      <c r="Q1428" s="252" t="s">
        <v>909</v>
      </c>
      <c r="R1428" s="252">
        <f t="shared" si="206"/>
        <v>162.5</v>
      </c>
      <c r="S1428" s="356">
        <v>6</v>
      </c>
      <c r="T1428" s="252" t="s">
        <v>766</v>
      </c>
      <c r="U1428" s="296" t="s">
        <v>1852</v>
      </c>
      <c r="V1428" s="314">
        <v>20</v>
      </c>
      <c r="W1428" s="253" t="s">
        <v>766</v>
      </c>
      <c r="X1428" s="370">
        <f t="shared" si="204"/>
        <v>120</v>
      </c>
      <c r="Y1428" s="316">
        <v>1.08</v>
      </c>
      <c r="Z1428" s="252" t="s">
        <v>2273</v>
      </c>
      <c r="AA1428" s="296" t="s">
        <v>1854</v>
      </c>
      <c r="AB1428" s="252">
        <f t="shared" si="203"/>
        <v>1998</v>
      </c>
      <c r="AC1428" s="252" t="s">
        <v>2273</v>
      </c>
      <c r="AD1428" s="252">
        <f t="shared" si="202"/>
        <v>2157.84</v>
      </c>
      <c r="AE1428" s="370">
        <f t="shared" si="199"/>
        <v>0</v>
      </c>
    </row>
    <row r="1429" spans="6:31" ht="18.75" customHeight="1">
      <c r="G1429" s="252" t="s">
        <v>2241</v>
      </c>
      <c r="H1429" s="296" t="s">
        <v>839</v>
      </c>
      <c r="M1429" s="316">
        <v>0.47099999999999997</v>
      </c>
      <c r="N1429" s="252" t="s">
        <v>230</v>
      </c>
      <c r="O1429" s="296" t="s">
        <v>1847</v>
      </c>
      <c r="P1429" s="314">
        <f t="shared" si="205"/>
        <v>306.89999999999998</v>
      </c>
      <c r="Q1429" s="252" t="s">
        <v>230</v>
      </c>
      <c r="R1429" s="252">
        <f t="shared" si="206"/>
        <v>144.55000000000001</v>
      </c>
      <c r="S1429" s="356">
        <v>4</v>
      </c>
      <c r="T1429" s="252" t="s">
        <v>766</v>
      </c>
      <c r="U1429" s="296" t="s">
        <v>1853</v>
      </c>
      <c r="V1429" s="314">
        <v>15</v>
      </c>
      <c r="W1429" s="253" t="s">
        <v>766</v>
      </c>
      <c r="X1429" s="370">
        <f t="shared" si="204"/>
        <v>60</v>
      </c>
      <c r="AA1429" s="296" t="s">
        <v>1855</v>
      </c>
      <c r="AC1429" s="253"/>
      <c r="AD1429" s="252">
        <v>0.96</v>
      </c>
      <c r="AE1429" s="370">
        <f t="shared" si="199"/>
        <v>0</v>
      </c>
    </row>
    <row r="1430" spans="6:31" ht="18.75" customHeight="1">
      <c r="H1430" s="296" t="s">
        <v>840</v>
      </c>
      <c r="M1430" s="316">
        <v>3.996</v>
      </c>
      <c r="N1430" s="252" t="s">
        <v>823</v>
      </c>
      <c r="O1430" s="393" t="s">
        <v>4251</v>
      </c>
      <c r="P1430" s="252">
        <f t="shared" si="205"/>
        <v>29.05</v>
      </c>
      <c r="Q1430" s="252" t="s">
        <v>823</v>
      </c>
      <c r="R1430" s="252">
        <f t="shared" si="206"/>
        <v>116.08</v>
      </c>
      <c r="S1430" s="356">
        <f>1.5*1.35</f>
        <v>2.0249999999999999</v>
      </c>
      <c r="T1430" s="252" t="s">
        <v>2273</v>
      </c>
      <c r="U1430" s="296" t="s">
        <v>1854</v>
      </c>
      <c r="V1430" s="252">
        <f>P1469</f>
        <v>1998</v>
      </c>
      <c r="W1430" s="253" t="s">
        <v>2273</v>
      </c>
      <c r="X1430" s="252">
        <f t="shared" si="204"/>
        <v>4045.95</v>
      </c>
      <c r="AA1430" s="360" t="s">
        <v>3526</v>
      </c>
      <c r="AD1430" s="274">
        <f>SUM(AD1417:AD1429)</f>
        <v>7568.74</v>
      </c>
      <c r="AE1430" s="370">
        <f t="shared" si="199"/>
        <v>0</v>
      </c>
    </row>
    <row r="1431" spans="6:31" ht="18.75" customHeight="1">
      <c r="H1431" s="296" t="s">
        <v>841</v>
      </c>
      <c r="M1431" s="316">
        <v>4</v>
      </c>
      <c r="N1431" s="252" t="s">
        <v>766</v>
      </c>
      <c r="O1431" s="393" t="s">
        <v>4249</v>
      </c>
      <c r="P1431" s="252">
        <f t="shared" si="205"/>
        <v>71.900000000000006</v>
      </c>
      <c r="Q1431" s="252" t="s">
        <v>766</v>
      </c>
      <c r="R1431" s="252">
        <f t="shared" si="206"/>
        <v>287.60000000000002</v>
      </c>
      <c r="U1431" s="296" t="s">
        <v>1855</v>
      </c>
      <c r="W1431" s="253"/>
      <c r="X1431" s="252">
        <v>0.31</v>
      </c>
      <c r="AE1431" s="370">
        <f t="shared" si="199"/>
        <v>0</v>
      </c>
    </row>
    <row r="1432" spans="6:31" ht="18.75" customHeight="1">
      <c r="H1432" s="358" t="s">
        <v>1579</v>
      </c>
      <c r="M1432" s="316">
        <v>2</v>
      </c>
      <c r="N1432" s="252" t="s">
        <v>766</v>
      </c>
      <c r="O1432" s="393" t="s">
        <v>4250</v>
      </c>
      <c r="P1432" s="252">
        <f t="shared" si="205"/>
        <v>57.65</v>
      </c>
      <c r="Q1432" s="252" t="s">
        <v>766</v>
      </c>
      <c r="R1432" s="252">
        <f t="shared" si="206"/>
        <v>115.3</v>
      </c>
      <c r="U1432" s="360" t="s">
        <v>3526</v>
      </c>
      <c r="W1432" s="253"/>
      <c r="X1432" s="274">
        <f>SUM(X1419:X1431)</f>
        <v>12919.95</v>
      </c>
      <c r="AE1432" s="370">
        <f t="shared" si="199"/>
        <v>0</v>
      </c>
    </row>
    <row r="1433" spans="6:31" ht="18.75" customHeight="1">
      <c r="F1433" s="252">
        <v>0.14000000000000001</v>
      </c>
      <c r="G1433" s="252" t="s">
        <v>866</v>
      </c>
      <c r="H1433" s="296" t="s">
        <v>1348</v>
      </c>
      <c r="I1433" s="252">
        <f>(K32)</f>
        <v>4861.3</v>
      </c>
      <c r="J1433" s="296" t="s">
        <v>866</v>
      </c>
      <c r="K1433" s="252">
        <f>(F1433*I1433)</f>
        <v>680.58</v>
      </c>
      <c r="M1433" s="316">
        <v>2</v>
      </c>
      <c r="N1433" s="252" t="s">
        <v>766</v>
      </c>
      <c r="O1433" s="296" t="s">
        <v>1851</v>
      </c>
      <c r="P1433" s="252">
        <f t="shared" si="205"/>
        <v>30</v>
      </c>
      <c r="Q1433" s="252" t="s">
        <v>766</v>
      </c>
      <c r="R1433" s="252">
        <f t="shared" si="206"/>
        <v>60</v>
      </c>
      <c r="U1433" s="252">
        <f>2.025</f>
        <v>2.0299999999999998</v>
      </c>
      <c r="W1433" s="253"/>
      <c r="Y1433" s="356"/>
      <c r="AA1433" s="461" t="s">
        <v>3492</v>
      </c>
      <c r="AB1433" s="274" t="s">
        <v>2349</v>
      </c>
      <c r="AC1433" s="274"/>
      <c r="AD1433" s="274"/>
      <c r="AE1433" s="370">
        <f t="shared" si="199"/>
        <v>0</v>
      </c>
    </row>
    <row r="1434" spans="6:31" ht="18.75" customHeight="1">
      <c r="F1434" s="252">
        <v>1.1000000000000001</v>
      </c>
      <c r="G1434" s="252" t="s">
        <v>865</v>
      </c>
      <c r="H1434" s="296" t="s">
        <v>2000</v>
      </c>
      <c r="I1434" s="252">
        <f>(C10)</f>
        <v>999</v>
      </c>
      <c r="J1434" s="296" t="s">
        <v>865</v>
      </c>
      <c r="K1434" s="252">
        <f>(F1434*I1434)</f>
        <v>1098.9000000000001</v>
      </c>
      <c r="M1434" s="316">
        <v>2</v>
      </c>
      <c r="N1434" s="252" t="s">
        <v>766</v>
      </c>
      <c r="O1434" s="296" t="s">
        <v>1852</v>
      </c>
      <c r="P1434" s="252">
        <f t="shared" si="205"/>
        <v>20</v>
      </c>
      <c r="Q1434" s="252" t="s">
        <v>766</v>
      </c>
      <c r="R1434" s="252">
        <f t="shared" si="206"/>
        <v>40</v>
      </c>
      <c r="W1434" s="253"/>
      <c r="Y1434" s="356">
        <v>4.21</v>
      </c>
      <c r="Z1434" s="252" t="s">
        <v>909</v>
      </c>
      <c r="AA1434" s="296" t="s">
        <v>1846</v>
      </c>
      <c r="AB1434" s="252">
        <f>V1436</f>
        <v>325</v>
      </c>
      <c r="AC1434" s="252" t="s">
        <v>909</v>
      </c>
      <c r="AD1434" s="252">
        <f>AB1434*Y1434</f>
        <v>1368.25</v>
      </c>
      <c r="AE1434" s="370">
        <f t="shared" si="199"/>
        <v>0</v>
      </c>
    </row>
    <row r="1435" spans="6:31" ht="18.75" customHeight="1">
      <c r="F1435" s="252">
        <v>0.5</v>
      </c>
      <c r="G1435" s="252" t="s">
        <v>865</v>
      </c>
      <c r="H1435" s="296" t="s">
        <v>1893</v>
      </c>
      <c r="I1435" s="252">
        <f>(C12)</f>
        <v>651</v>
      </c>
      <c r="J1435" s="296" t="s">
        <v>865</v>
      </c>
      <c r="K1435" s="252">
        <f>(F1435*I1435)</f>
        <v>325.5</v>
      </c>
      <c r="M1435" s="316">
        <v>4</v>
      </c>
      <c r="N1435" s="252" t="s">
        <v>766</v>
      </c>
      <c r="O1435" s="296" t="s">
        <v>1853</v>
      </c>
      <c r="P1435" s="252">
        <f t="shared" si="205"/>
        <v>15</v>
      </c>
      <c r="Q1435" s="252" t="s">
        <v>766</v>
      </c>
      <c r="R1435" s="252">
        <f t="shared" si="206"/>
        <v>60</v>
      </c>
      <c r="U1435" s="461" t="s">
        <v>3723</v>
      </c>
      <c r="V1435" s="274" t="s">
        <v>2349</v>
      </c>
      <c r="W1435" s="255"/>
      <c r="X1435" s="274"/>
      <c r="Y1435" s="356">
        <v>0.40500000000000003</v>
      </c>
      <c r="Z1435" s="252" t="s">
        <v>230</v>
      </c>
      <c r="AA1435" s="296" t="s">
        <v>1847</v>
      </c>
      <c r="AB1435" s="252">
        <f>V1437</f>
        <v>306.89999999999998</v>
      </c>
      <c r="AC1435" s="252" t="s">
        <v>909</v>
      </c>
      <c r="AD1435" s="252">
        <f>AB1435*Y1435</f>
        <v>124.29</v>
      </c>
      <c r="AE1435" s="370">
        <f t="shared" si="199"/>
        <v>0</v>
      </c>
    </row>
    <row r="1436" spans="6:31" ht="18.75" customHeight="1">
      <c r="F1436" s="252">
        <v>1.1000000000000001</v>
      </c>
      <c r="G1436" s="252" t="s">
        <v>865</v>
      </c>
      <c r="H1436" s="296" t="s">
        <v>317</v>
      </c>
      <c r="I1436" s="252">
        <f>(C13)</f>
        <v>534</v>
      </c>
      <c r="J1436" s="296" t="s">
        <v>865</v>
      </c>
      <c r="K1436" s="252">
        <f>(F1436*I1436)</f>
        <v>587.4</v>
      </c>
      <c r="M1436" s="316">
        <v>0.60799999999999998</v>
      </c>
      <c r="N1436" s="252" t="s">
        <v>2273</v>
      </c>
      <c r="O1436" s="296" t="s">
        <v>1854</v>
      </c>
      <c r="P1436" s="252">
        <f t="shared" si="205"/>
        <v>1998</v>
      </c>
      <c r="Q1436" s="252" t="s">
        <v>2273</v>
      </c>
      <c r="R1436" s="252">
        <f t="shared" si="206"/>
        <v>1214.78</v>
      </c>
      <c r="S1436" s="356">
        <v>3.7389999999999999</v>
      </c>
      <c r="T1436" s="252" t="s">
        <v>909</v>
      </c>
      <c r="U1436" s="296" t="s">
        <v>1846</v>
      </c>
      <c r="V1436" s="252">
        <f>P1475</f>
        <v>325</v>
      </c>
      <c r="W1436" s="253" t="s">
        <v>909</v>
      </c>
      <c r="X1436" s="252">
        <f>V1436*S1436</f>
        <v>1215.18</v>
      </c>
      <c r="Y1436" s="356">
        <v>0.40500000000000003</v>
      </c>
      <c r="Z1436" s="252" t="s">
        <v>230</v>
      </c>
      <c r="AA1436" s="296" t="s">
        <v>1854</v>
      </c>
      <c r="AB1436" s="252">
        <f>V1438</f>
        <v>1998</v>
      </c>
      <c r="AC1436" s="252" t="s">
        <v>909</v>
      </c>
      <c r="AD1436" s="252">
        <f>AB1436*Y1436</f>
        <v>809.19</v>
      </c>
      <c r="AE1436" s="370">
        <f t="shared" si="199"/>
        <v>0</v>
      </c>
    </row>
    <row r="1437" spans="6:31" ht="18.75" customHeight="1">
      <c r="F1437" s="252">
        <v>2</v>
      </c>
      <c r="G1437" s="252" t="s">
        <v>1637</v>
      </c>
      <c r="H1437" s="296" t="s">
        <v>842</v>
      </c>
      <c r="I1437" s="252">
        <f>(C653)</f>
        <v>42.7</v>
      </c>
      <c r="J1437" s="296" t="s">
        <v>1637</v>
      </c>
      <c r="K1437" s="252">
        <f>(F1437*I1437)</f>
        <v>85.4</v>
      </c>
      <c r="O1437" s="296" t="s">
        <v>1855</v>
      </c>
      <c r="Q1437" s="253"/>
      <c r="R1437" s="252">
        <v>0.57999999999999996</v>
      </c>
      <c r="S1437" s="356">
        <v>0.36</v>
      </c>
      <c r="T1437" s="252" t="s">
        <v>230</v>
      </c>
      <c r="U1437" s="296" t="s">
        <v>1847</v>
      </c>
      <c r="V1437" s="252">
        <f>P1476</f>
        <v>306.89999999999998</v>
      </c>
      <c r="W1437" s="253" t="s">
        <v>909</v>
      </c>
      <c r="X1437" s="252">
        <f>V1437*S1437</f>
        <v>110.48</v>
      </c>
      <c r="Y1437" s="356"/>
      <c r="AA1437" s="296"/>
      <c r="AD1437" s="252">
        <f>SUM(AD1434:AD1436)</f>
        <v>2301.73</v>
      </c>
      <c r="AE1437" s="370">
        <f t="shared" si="199"/>
        <v>0</v>
      </c>
    </row>
    <row r="1438" spans="6:31" ht="18.75" customHeight="1">
      <c r="G1438" s="252" t="s">
        <v>446</v>
      </c>
      <c r="H1438" s="296" t="s">
        <v>447</v>
      </c>
      <c r="I1438" s="296" t="s">
        <v>971</v>
      </c>
      <c r="J1438" s="296" t="s">
        <v>446</v>
      </c>
      <c r="K1438" s="252">
        <v>5</v>
      </c>
      <c r="R1438" s="274">
        <f>SUM(R1425:R1437)</f>
        <v>4196.8900000000003</v>
      </c>
      <c r="S1438" s="356">
        <v>0.36</v>
      </c>
      <c r="T1438" s="252" t="s">
        <v>230</v>
      </c>
      <c r="U1438" s="296" t="s">
        <v>1854</v>
      </c>
      <c r="V1438" s="252">
        <f>P1477</f>
        <v>1998</v>
      </c>
      <c r="W1438" s="253" t="s">
        <v>909</v>
      </c>
      <c r="X1438" s="252">
        <f>V1438*S1438</f>
        <v>719.28</v>
      </c>
      <c r="Y1438" s="356"/>
      <c r="AA1438" s="360" t="s">
        <v>3525</v>
      </c>
      <c r="AD1438" s="274">
        <f>AD1437/Y1436</f>
        <v>5683.28</v>
      </c>
      <c r="AE1438" s="370">
        <f t="shared" si="199"/>
        <v>0</v>
      </c>
    </row>
    <row r="1439" spans="6:31" ht="18.75" customHeight="1">
      <c r="K1439" s="358" t="s">
        <v>1579</v>
      </c>
      <c r="O1439" s="296"/>
      <c r="Q1439" s="253"/>
      <c r="U1439" s="296"/>
      <c r="W1439" s="253"/>
      <c r="X1439" s="252">
        <f>SUM(X1436:X1438)</f>
        <v>2044.94</v>
      </c>
      <c r="AE1439" s="370">
        <f t="shared" si="199"/>
        <v>0</v>
      </c>
    </row>
    <row r="1440" spans="6:31" ht="18.75" customHeight="1">
      <c r="F1440" s="296" t="s">
        <v>971</v>
      </c>
      <c r="H1440" s="296" t="s">
        <v>438</v>
      </c>
      <c r="K1440" s="252">
        <f>SUM(K1433:K1438)</f>
        <v>2782.78</v>
      </c>
      <c r="O1440" s="461" t="s">
        <v>3475</v>
      </c>
      <c r="Q1440" s="296"/>
      <c r="U1440" s="360" t="s">
        <v>3525</v>
      </c>
      <c r="W1440" s="253"/>
      <c r="X1440" s="274">
        <f>X1439/S1438</f>
        <v>5680.39</v>
      </c>
      <c r="AE1440" s="370">
        <f t="shared" si="199"/>
        <v>0</v>
      </c>
    </row>
    <row r="1441" spans="6:31" ht="18.75" customHeight="1">
      <c r="H1441" s="274"/>
      <c r="I1441" s="274"/>
      <c r="J1441" s="276"/>
      <c r="K1441" s="388" t="s">
        <v>1579</v>
      </c>
      <c r="M1441" s="316">
        <v>5.35</v>
      </c>
      <c r="N1441" s="252" t="s">
        <v>909</v>
      </c>
      <c r="O1441" s="393" t="s">
        <v>4248</v>
      </c>
      <c r="P1441" s="252">
        <f>P1425</f>
        <v>325</v>
      </c>
      <c r="Q1441" s="252" t="s">
        <v>909</v>
      </c>
      <c r="R1441" s="252">
        <f>P1441*M1441</f>
        <v>1738.75</v>
      </c>
      <c r="W1441" s="253"/>
      <c r="AE1441" s="370">
        <f t="shared" si="199"/>
        <v>0</v>
      </c>
    </row>
    <row r="1442" spans="6:31" ht="18.75" customHeight="1">
      <c r="H1442" s="255" t="s">
        <v>549</v>
      </c>
      <c r="I1442" s="274"/>
      <c r="J1442" s="276"/>
      <c r="K1442" s="274">
        <f>(K1440/10)</f>
        <v>278.27999999999997</v>
      </c>
      <c r="M1442" s="316">
        <v>7.58</v>
      </c>
      <c r="N1442" s="252" t="s">
        <v>909</v>
      </c>
      <c r="O1442" s="296" t="s">
        <v>1846</v>
      </c>
      <c r="P1442" s="252">
        <f t="shared" ref="P1442:P1452" si="207">P1426</f>
        <v>325</v>
      </c>
      <c r="Q1442" s="252" t="s">
        <v>909</v>
      </c>
      <c r="R1442" s="252">
        <f t="shared" ref="R1442:R1452" si="208">P1442*M1442</f>
        <v>2463.5</v>
      </c>
      <c r="U1442" s="461" t="s">
        <v>3724</v>
      </c>
      <c r="V1442" s="274" t="s">
        <v>2349</v>
      </c>
      <c r="W1442" s="253"/>
      <c r="AE1442" s="370">
        <f t="shared" si="199"/>
        <v>0</v>
      </c>
    </row>
    <row r="1443" spans="6:31" ht="18.75" customHeight="1">
      <c r="K1443" s="358" t="s">
        <v>2046</v>
      </c>
      <c r="M1443" s="316">
        <v>13.15</v>
      </c>
      <c r="N1443" s="252" t="s">
        <v>909</v>
      </c>
      <c r="O1443" s="296" t="s">
        <v>1846</v>
      </c>
      <c r="P1443" s="252">
        <f t="shared" si="207"/>
        <v>325</v>
      </c>
      <c r="Q1443" s="252" t="s">
        <v>909</v>
      </c>
      <c r="R1443" s="252">
        <f t="shared" si="208"/>
        <v>4273.75</v>
      </c>
      <c r="S1443" s="356">
        <v>4.21</v>
      </c>
      <c r="T1443" s="252" t="s">
        <v>909</v>
      </c>
      <c r="U1443" s="296" t="s">
        <v>1846</v>
      </c>
      <c r="V1443" s="252">
        <f>P1482</f>
        <v>325</v>
      </c>
      <c r="W1443" s="253" t="s">
        <v>909</v>
      </c>
      <c r="X1443" s="252">
        <f>V1443*S1443</f>
        <v>1368.25</v>
      </c>
      <c r="AE1443" s="370">
        <f t="shared" si="199"/>
        <v>0</v>
      </c>
    </row>
    <row r="1444" spans="6:31" ht="18.75" customHeight="1">
      <c r="H1444" s="296" t="s">
        <v>971</v>
      </c>
      <c r="M1444" s="316">
        <v>2.31</v>
      </c>
      <c r="N1444" s="252" t="s">
        <v>909</v>
      </c>
      <c r="O1444" s="296" t="s">
        <v>1846</v>
      </c>
      <c r="P1444" s="252">
        <f t="shared" si="207"/>
        <v>325</v>
      </c>
      <c r="Q1444" s="252" t="s">
        <v>909</v>
      </c>
      <c r="R1444" s="252">
        <f t="shared" si="208"/>
        <v>750.75</v>
      </c>
      <c r="S1444" s="356">
        <v>0.45</v>
      </c>
      <c r="T1444" s="252" t="s">
        <v>230</v>
      </c>
      <c r="U1444" s="296" t="s">
        <v>1847</v>
      </c>
      <c r="V1444" s="252">
        <f>P1483</f>
        <v>306.89999999999998</v>
      </c>
      <c r="W1444" s="253" t="s">
        <v>909</v>
      </c>
      <c r="X1444" s="252">
        <f>V1444*S1444</f>
        <v>138.11000000000001</v>
      </c>
      <c r="AE1444" s="370">
        <f t="shared" si="199"/>
        <v>0</v>
      </c>
    </row>
    <row r="1445" spans="6:31" ht="18.75" customHeight="1">
      <c r="M1445" s="316">
        <v>2.44</v>
      </c>
      <c r="N1445" s="252" t="s">
        <v>230</v>
      </c>
      <c r="O1445" s="296" t="s">
        <v>1847</v>
      </c>
      <c r="P1445" s="314">
        <f t="shared" si="207"/>
        <v>306.89999999999998</v>
      </c>
      <c r="Q1445" s="252" t="s">
        <v>230</v>
      </c>
      <c r="R1445" s="252">
        <f t="shared" si="208"/>
        <v>748.84</v>
      </c>
      <c r="S1445" s="356">
        <v>0.45</v>
      </c>
      <c r="T1445" s="252" t="s">
        <v>230</v>
      </c>
      <c r="U1445" s="296" t="s">
        <v>1854</v>
      </c>
      <c r="V1445" s="252">
        <f>P1484</f>
        <v>1998</v>
      </c>
      <c r="W1445" s="253" t="s">
        <v>909</v>
      </c>
      <c r="X1445" s="252">
        <f>V1445*S1445</f>
        <v>899.1</v>
      </c>
      <c r="AE1445" s="370">
        <f t="shared" si="199"/>
        <v>0</v>
      </c>
    </row>
    <row r="1446" spans="6:31" ht="18.75" customHeight="1">
      <c r="F1446" s="253" t="s">
        <v>843</v>
      </c>
      <c r="G1446" s="252" t="s">
        <v>2241</v>
      </c>
      <c r="H1446" s="296" t="s">
        <v>844</v>
      </c>
      <c r="M1446" s="316">
        <v>18.62</v>
      </c>
      <c r="N1446" s="252" t="s">
        <v>823</v>
      </c>
      <c r="O1446" s="393" t="s">
        <v>4251</v>
      </c>
      <c r="P1446" s="252">
        <f t="shared" si="207"/>
        <v>29.05</v>
      </c>
      <c r="Q1446" s="252" t="s">
        <v>823</v>
      </c>
      <c r="R1446" s="252">
        <f t="shared" si="208"/>
        <v>540.91</v>
      </c>
      <c r="S1446" s="356">
        <f>R1485-2967</f>
        <v>1178.9000000000001</v>
      </c>
      <c r="U1446" s="296"/>
      <c r="W1446" s="253"/>
      <c r="X1446" s="252">
        <f>SUM(X1443:X1445)</f>
        <v>2405.46</v>
      </c>
      <c r="AE1446" s="370">
        <f t="shared" si="199"/>
        <v>0</v>
      </c>
    </row>
    <row r="1447" spans="6:31" ht="18.75" customHeight="1">
      <c r="H1447" s="296" t="s">
        <v>1355</v>
      </c>
      <c r="M1447" s="316">
        <v>16</v>
      </c>
      <c r="N1447" s="252" t="s">
        <v>766</v>
      </c>
      <c r="O1447" s="393" t="s">
        <v>4249</v>
      </c>
      <c r="P1447" s="252">
        <f t="shared" si="207"/>
        <v>71.900000000000006</v>
      </c>
      <c r="Q1447" s="252" t="s">
        <v>766</v>
      </c>
      <c r="R1447" s="252">
        <f t="shared" si="208"/>
        <v>1150.4000000000001</v>
      </c>
      <c r="U1447" s="360" t="s">
        <v>3525</v>
      </c>
      <c r="W1447" s="253"/>
      <c r="X1447" s="274">
        <f>X1446/S1445</f>
        <v>5345.47</v>
      </c>
      <c r="Y1447" s="356"/>
      <c r="AA1447" s="461" t="s">
        <v>3462</v>
      </c>
      <c r="AC1447" s="296"/>
      <c r="AE1447" s="370">
        <f t="shared" si="199"/>
        <v>0</v>
      </c>
    </row>
    <row r="1448" spans="6:31" ht="18.75" customHeight="1">
      <c r="H1448" s="296" t="s">
        <v>1356</v>
      </c>
      <c r="M1448" s="316">
        <v>8</v>
      </c>
      <c r="N1448" s="252" t="s">
        <v>766</v>
      </c>
      <c r="O1448" s="393" t="s">
        <v>4250</v>
      </c>
      <c r="P1448" s="252">
        <f t="shared" si="207"/>
        <v>57.65</v>
      </c>
      <c r="Q1448" s="252" t="s">
        <v>766</v>
      </c>
      <c r="R1448" s="252">
        <f t="shared" si="208"/>
        <v>461.2</v>
      </c>
      <c r="W1448" s="253"/>
      <c r="Y1448" s="356">
        <v>3.26</v>
      </c>
      <c r="Z1448" s="252" t="s">
        <v>909</v>
      </c>
      <c r="AA1448" s="296" t="s">
        <v>1846</v>
      </c>
      <c r="AB1448" s="252">
        <f t="shared" ref="AB1448:AB1459" si="209">V1450</f>
        <v>325</v>
      </c>
      <c r="AC1448" s="252" t="s">
        <v>909</v>
      </c>
      <c r="AD1448" s="252">
        <f t="shared" ref="AD1448:AD1459" si="210">AB1448*Y1448</f>
        <v>1059.5</v>
      </c>
      <c r="AE1448" s="370">
        <f t="shared" si="199"/>
        <v>0</v>
      </c>
    </row>
    <row r="1449" spans="6:31" ht="18.75" customHeight="1">
      <c r="H1449" s="296" t="s">
        <v>695</v>
      </c>
      <c r="M1449" s="316">
        <v>8</v>
      </c>
      <c r="N1449" s="252" t="s">
        <v>766</v>
      </c>
      <c r="O1449" s="296" t="s">
        <v>1851</v>
      </c>
      <c r="P1449" s="252">
        <f t="shared" si="207"/>
        <v>30</v>
      </c>
      <c r="Q1449" s="252" t="s">
        <v>766</v>
      </c>
      <c r="R1449" s="252">
        <f t="shared" si="208"/>
        <v>240</v>
      </c>
      <c r="U1449" s="461" t="s">
        <v>3461</v>
      </c>
      <c r="W1449" s="253"/>
      <c r="Y1449" s="356">
        <v>0.84</v>
      </c>
      <c r="Z1449" s="252" t="s">
        <v>909</v>
      </c>
      <c r="AA1449" s="296" t="s">
        <v>1846</v>
      </c>
      <c r="AB1449" s="252">
        <f t="shared" si="209"/>
        <v>325</v>
      </c>
      <c r="AC1449" s="252" t="s">
        <v>909</v>
      </c>
      <c r="AD1449" s="252">
        <f t="shared" si="210"/>
        <v>273</v>
      </c>
      <c r="AE1449" s="370">
        <f t="shared" si="199"/>
        <v>0</v>
      </c>
    </row>
    <row r="1450" spans="6:31" ht="18.75" customHeight="1">
      <c r="H1450" s="358" t="s">
        <v>1579</v>
      </c>
      <c r="I1450" s="358" t="s">
        <v>1579</v>
      </c>
      <c r="M1450" s="316">
        <v>8</v>
      </c>
      <c r="N1450" s="252" t="s">
        <v>766</v>
      </c>
      <c r="O1450" s="296" t="s">
        <v>1852</v>
      </c>
      <c r="P1450" s="252">
        <f t="shared" si="207"/>
        <v>20</v>
      </c>
      <c r="Q1450" s="252" t="s">
        <v>766</v>
      </c>
      <c r="R1450" s="252">
        <f t="shared" si="208"/>
        <v>160</v>
      </c>
      <c r="S1450" s="356">
        <v>3.49</v>
      </c>
      <c r="T1450" s="252" t="s">
        <v>909</v>
      </c>
      <c r="U1450" s="296" t="s">
        <v>1846</v>
      </c>
      <c r="V1450" s="252">
        <f>P1489</f>
        <v>325</v>
      </c>
      <c r="W1450" s="253" t="s">
        <v>909</v>
      </c>
      <c r="X1450" s="252">
        <f>V1450*S1450</f>
        <v>1134.25</v>
      </c>
      <c r="Y1450" s="356">
        <v>3.65</v>
      </c>
      <c r="Z1450" s="252" t="s">
        <v>909</v>
      </c>
      <c r="AA1450" s="296" t="s">
        <v>1846</v>
      </c>
      <c r="AB1450" s="252">
        <f t="shared" si="209"/>
        <v>325</v>
      </c>
      <c r="AC1450" s="252" t="s">
        <v>909</v>
      </c>
      <c r="AD1450" s="252">
        <f t="shared" si="210"/>
        <v>1186.25</v>
      </c>
      <c r="AE1450" s="370">
        <f t="shared" si="199"/>
        <v>0</v>
      </c>
    </row>
    <row r="1451" spans="6:31" ht="18.75" customHeight="1">
      <c r="G1451" s="252" t="s">
        <v>1898</v>
      </c>
      <c r="H1451" s="296" t="s">
        <v>696</v>
      </c>
      <c r="M1451" s="316">
        <v>4</v>
      </c>
      <c r="N1451" s="252" t="s">
        <v>766</v>
      </c>
      <c r="O1451" s="296" t="s">
        <v>1853</v>
      </c>
      <c r="P1451" s="252">
        <f t="shared" si="207"/>
        <v>15</v>
      </c>
      <c r="Q1451" s="252" t="s">
        <v>766</v>
      </c>
      <c r="R1451" s="252">
        <f t="shared" si="208"/>
        <v>60</v>
      </c>
      <c r="S1451" s="356">
        <v>2.5299999999999998</v>
      </c>
      <c r="T1451" s="252" t="s">
        <v>909</v>
      </c>
      <c r="U1451" s="296" t="s">
        <v>1846</v>
      </c>
      <c r="V1451" s="252">
        <f t="shared" ref="V1451:V1461" si="211">P1490</f>
        <v>325</v>
      </c>
      <c r="W1451" s="253" t="s">
        <v>909</v>
      </c>
      <c r="X1451" s="252">
        <f t="shared" ref="X1451:X1461" si="212">V1451*S1451</f>
        <v>822.25</v>
      </c>
      <c r="Y1451" s="356">
        <v>0.64</v>
      </c>
      <c r="Z1451" s="252" t="s">
        <v>909</v>
      </c>
      <c r="AA1451" s="296" t="s">
        <v>1846</v>
      </c>
      <c r="AB1451" s="252">
        <f t="shared" si="209"/>
        <v>325</v>
      </c>
      <c r="AC1451" s="252" t="s">
        <v>909</v>
      </c>
      <c r="AD1451" s="252">
        <f t="shared" si="210"/>
        <v>208</v>
      </c>
      <c r="AE1451" s="370">
        <f t="shared" si="199"/>
        <v>0</v>
      </c>
    </row>
    <row r="1452" spans="6:31" ht="18.75" customHeight="1">
      <c r="G1452" s="252" t="s">
        <v>1579</v>
      </c>
      <c r="H1452" s="358" t="s">
        <v>1579</v>
      </c>
      <c r="M1452" s="316">
        <f>1.8*1.65</f>
        <v>2.97</v>
      </c>
      <c r="N1452" s="252" t="s">
        <v>2273</v>
      </c>
      <c r="O1452" s="296" t="s">
        <v>1854</v>
      </c>
      <c r="P1452" s="252">
        <f t="shared" si="207"/>
        <v>1998</v>
      </c>
      <c r="Q1452" s="252" t="s">
        <v>2273</v>
      </c>
      <c r="R1452" s="252">
        <f t="shared" si="208"/>
        <v>5934.06</v>
      </c>
      <c r="S1452" s="356">
        <v>5.7549999999999999</v>
      </c>
      <c r="T1452" s="252" t="s">
        <v>909</v>
      </c>
      <c r="U1452" s="296" t="s">
        <v>1846</v>
      </c>
      <c r="V1452" s="252">
        <f t="shared" si="211"/>
        <v>325</v>
      </c>
      <c r="W1452" s="253" t="s">
        <v>909</v>
      </c>
      <c r="X1452" s="252">
        <f t="shared" si="212"/>
        <v>1870.38</v>
      </c>
      <c r="Y1452" s="356">
        <v>0.84099999999999997</v>
      </c>
      <c r="Z1452" s="252" t="s">
        <v>230</v>
      </c>
      <c r="AA1452" s="296" t="s">
        <v>1847</v>
      </c>
      <c r="AB1452" s="252">
        <f t="shared" si="209"/>
        <v>306.89999999999998</v>
      </c>
      <c r="AC1452" s="252" t="s">
        <v>230</v>
      </c>
      <c r="AD1452" s="252">
        <f t="shared" si="210"/>
        <v>258.10000000000002</v>
      </c>
      <c r="AE1452" s="370">
        <f t="shared" si="199"/>
        <v>0</v>
      </c>
    </row>
    <row r="1453" spans="6:31" ht="18.75" customHeight="1">
      <c r="F1453" s="316">
        <v>1.4E-2</v>
      </c>
      <c r="G1453" s="252" t="s">
        <v>2142</v>
      </c>
      <c r="H1453" s="296" t="s">
        <v>697</v>
      </c>
      <c r="I1453" s="252">
        <f>K49</f>
        <v>3701.62</v>
      </c>
      <c r="J1453" s="296" t="s">
        <v>2142</v>
      </c>
      <c r="K1453" s="252">
        <f>(F1453*I1453)</f>
        <v>51.82</v>
      </c>
      <c r="O1453" s="296" t="s">
        <v>1855</v>
      </c>
      <c r="Q1453" s="253"/>
      <c r="R1453" s="252">
        <v>0.78</v>
      </c>
      <c r="S1453" s="356">
        <v>1.0009999999999999</v>
      </c>
      <c r="T1453" s="252" t="s">
        <v>909</v>
      </c>
      <c r="U1453" s="296" t="s">
        <v>1846</v>
      </c>
      <c r="V1453" s="252">
        <f t="shared" si="211"/>
        <v>325</v>
      </c>
      <c r="W1453" s="253" t="s">
        <v>909</v>
      </c>
      <c r="X1453" s="252">
        <f t="shared" si="212"/>
        <v>325.33</v>
      </c>
      <c r="Y1453" s="356">
        <v>5.1959999999999997</v>
      </c>
      <c r="Z1453" s="252" t="s">
        <v>823</v>
      </c>
      <c r="AA1453" s="296" t="s">
        <v>1848</v>
      </c>
      <c r="AB1453" s="252">
        <f t="shared" si="209"/>
        <v>29.05</v>
      </c>
      <c r="AC1453" s="252" t="s">
        <v>823</v>
      </c>
      <c r="AD1453" s="252">
        <f t="shared" si="210"/>
        <v>150.94</v>
      </c>
      <c r="AE1453" s="370">
        <f t="shared" si="199"/>
        <v>0</v>
      </c>
    </row>
    <row r="1454" spans="6:31" ht="18.75" customHeight="1">
      <c r="F1454" s="252">
        <v>0.3</v>
      </c>
      <c r="G1454" s="252" t="s">
        <v>557</v>
      </c>
      <c r="H1454" s="296" t="s">
        <v>698</v>
      </c>
      <c r="I1454" s="252">
        <f>C10</f>
        <v>999</v>
      </c>
      <c r="J1454" s="296" t="s">
        <v>557</v>
      </c>
      <c r="K1454" s="252">
        <f>(F1454*I1454)</f>
        <v>299.7</v>
      </c>
      <c r="R1454" s="274">
        <f>SUM(R1441:R1453)</f>
        <v>18522.939999999999</v>
      </c>
      <c r="S1454" s="356">
        <f>1.012</f>
        <v>1.012</v>
      </c>
      <c r="T1454" s="252" t="s">
        <v>230</v>
      </c>
      <c r="U1454" s="296" t="s">
        <v>1847</v>
      </c>
      <c r="V1454" s="252">
        <f t="shared" si="211"/>
        <v>306.89999999999998</v>
      </c>
      <c r="W1454" s="253" t="s">
        <v>230</v>
      </c>
      <c r="X1454" s="252">
        <f t="shared" si="212"/>
        <v>310.58</v>
      </c>
      <c r="Y1454" s="356">
        <v>4</v>
      </c>
      <c r="Z1454" s="252" t="s">
        <v>766</v>
      </c>
      <c r="AA1454" s="296" t="s">
        <v>1849</v>
      </c>
      <c r="AB1454" s="252">
        <f t="shared" si="209"/>
        <v>71.900000000000006</v>
      </c>
      <c r="AC1454" s="252" t="s">
        <v>766</v>
      </c>
      <c r="AD1454" s="252">
        <f t="shared" si="210"/>
        <v>287.60000000000002</v>
      </c>
      <c r="AE1454" s="370">
        <f t="shared" si="199"/>
        <v>0</v>
      </c>
    </row>
    <row r="1455" spans="6:31" ht="18.75" customHeight="1">
      <c r="F1455" s="252">
        <v>0.3</v>
      </c>
      <c r="G1455" s="252" t="s">
        <v>557</v>
      </c>
      <c r="H1455" s="296" t="s">
        <v>820</v>
      </c>
      <c r="I1455" s="252">
        <f>C12</f>
        <v>651</v>
      </c>
      <c r="J1455" s="296" t="s">
        <v>557</v>
      </c>
      <c r="K1455" s="252">
        <f>(F1455*I1455)</f>
        <v>195.3</v>
      </c>
      <c r="R1455" s="252">
        <f>R1454/M1452</f>
        <v>6236.68</v>
      </c>
      <c r="S1455" s="356" t="s">
        <v>2273</v>
      </c>
      <c r="T1455" s="252" t="s">
        <v>823</v>
      </c>
      <c r="U1455" s="296" t="s">
        <v>1848</v>
      </c>
      <c r="V1455" s="252">
        <f t="shared" si="211"/>
        <v>29.05</v>
      </c>
      <c r="W1455" s="253" t="s">
        <v>823</v>
      </c>
      <c r="X1455" s="252">
        <f t="shared" si="212"/>
        <v>0</v>
      </c>
      <c r="Y1455" s="356">
        <v>2</v>
      </c>
      <c r="Z1455" s="252" t="s">
        <v>766</v>
      </c>
      <c r="AA1455" s="296" t="s">
        <v>1850</v>
      </c>
      <c r="AB1455" s="252">
        <f t="shared" si="209"/>
        <v>57.65</v>
      </c>
      <c r="AC1455" s="252" t="s">
        <v>766</v>
      </c>
      <c r="AD1455" s="252">
        <f t="shared" si="210"/>
        <v>115.3</v>
      </c>
      <c r="AE1455" s="370">
        <f t="shared" si="199"/>
        <v>0</v>
      </c>
    </row>
    <row r="1456" spans="6:31" ht="18.75" customHeight="1">
      <c r="G1456" s="252" t="s">
        <v>446</v>
      </c>
      <c r="H1456" s="296" t="s">
        <v>2261</v>
      </c>
      <c r="J1456" s="296" t="s">
        <v>446</v>
      </c>
      <c r="K1456" s="252">
        <v>0</v>
      </c>
      <c r="S1456" s="356">
        <v>8</v>
      </c>
      <c r="T1456" s="252" t="s">
        <v>766</v>
      </c>
      <c r="U1456" s="296" t="s">
        <v>1849</v>
      </c>
      <c r="V1456" s="252">
        <f t="shared" si="211"/>
        <v>71.900000000000006</v>
      </c>
      <c r="W1456" s="253" t="s">
        <v>766</v>
      </c>
      <c r="X1456" s="252">
        <f t="shared" si="212"/>
        <v>575.20000000000005</v>
      </c>
      <c r="Y1456" s="356">
        <v>2</v>
      </c>
      <c r="Z1456" s="252" t="s">
        <v>766</v>
      </c>
      <c r="AA1456" s="296" t="s">
        <v>1851</v>
      </c>
      <c r="AB1456" s="252">
        <f t="shared" si="209"/>
        <v>30</v>
      </c>
      <c r="AC1456" s="252" t="s">
        <v>766</v>
      </c>
      <c r="AD1456" s="252">
        <f t="shared" si="210"/>
        <v>60</v>
      </c>
      <c r="AE1456" s="370">
        <f t="shared" si="199"/>
        <v>0</v>
      </c>
    </row>
    <row r="1457" spans="6:31" ht="18.75" customHeight="1">
      <c r="K1457" s="358" t="s">
        <v>1579</v>
      </c>
      <c r="O1457" s="461" t="s">
        <v>2819</v>
      </c>
      <c r="Q1457" s="296"/>
      <c r="S1457" s="356">
        <v>4</v>
      </c>
      <c r="T1457" s="252" t="s">
        <v>766</v>
      </c>
      <c r="U1457" s="296" t="s">
        <v>1850</v>
      </c>
      <c r="V1457" s="252">
        <f t="shared" si="211"/>
        <v>57.65</v>
      </c>
      <c r="W1457" s="253" t="s">
        <v>766</v>
      </c>
      <c r="X1457" s="252">
        <f t="shared" si="212"/>
        <v>230.6</v>
      </c>
      <c r="Y1457" s="356">
        <v>2</v>
      </c>
      <c r="Z1457" s="252" t="s">
        <v>766</v>
      </c>
      <c r="AA1457" s="296" t="s">
        <v>1852</v>
      </c>
      <c r="AB1457" s="252">
        <f t="shared" si="209"/>
        <v>20</v>
      </c>
      <c r="AC1457" s="252" t="s">
        <v>766</v>
      </c>
      <c r="AD1457" s="252">
        <f t="shared" si="210"/>
        <v>40</v>
      </c>
      <c r="AE1457" s="370">
        <f t="shared" si="199"/>
        <v>0</v>
      </c>
    </row>
    <row r="1458" spans="6:31" ht="18.75" customHeight="1">
      <c r="H1458" s="253" t="s">
        <v>699</v>
      </c>
      <c r="K1458" s="252">
        <f>SUM(K1453:K1456)</f>
        <v>546.82000000000005</v>
      </c>
      <c r="M1458" s="316">
        <v>10.75</v>
      </c>
      <c r="N1458" s="252" t="s">
        <v>909</v>
      </c>
      <c r="O1458" s="393" t="s">
        <v>4248</v>
      </c>
      <c r="P1458" s="252">
        <f>P1441</f>
        <v>325</v>
      </c>
      <c r="Q1458" s="252" t="s">
        <v>909</v>
      </c>
      <c r="R1458" s="252">
        <f>P1458*M1458</f>
        <v>3493.75</v>
      </c>
      <c r="S1458" s="356">
        <v>4</v>
      </c>
      <c r="T1458" s="252" t="s">
        <v>766</v>
      </c>
      <c r="U1458" s="296" t="s">
        <v>1851</v>
      </c>
      <c r="V1458" s="252">
        <f t="shared" si="211"/>
        <v>30</v>
      </c>
      <c r="W1458" s="253" t="s">
        <v>766</v>
      </c>
      <c r="X1458" s="252">
        <f t="shared" si="212"/>
        <v>120</v>
      </c>
      <c r="Y1458" s="356">
        <v>4</v>
      </c>
      <c r="Z1458" s="252" t="s">
        <v>766</v>
      </c>
      <c r="AA1458" s="296" t="s">
        <v>1853</v>
      </c>
      <c r="AB1458" s="252">
        <f t="shared" si="209"/>
        <v>15</v>
      </c>
      <c r="AC1458" s="252" t="s">
        <v>766</v>
      </c>
      <c r="AD1458" s="252">
        <f t="shared" si="210"/>
        <v>60</v>
      </c>
      <c r="AE1458" s="370">
        <f t="shared" si="199"/>
        <v>0</v>
      </c>
    </row>
    <row r="1459" spans="6:31" ht="18.75" customHeight="1">
      <c r="K1459" s="358" t="s">
        <v>1579</v>
      </c>
      <c r="M1459" s="316">
        <v>0.99199999999999999</v>
      </c>
      <c r="N1459" s="252" t="s">
        <v>909</v>
      </c>
      <c r="O1459" s="296" t="s">
        <v>1846</v>
      </c>
      <c r="P1459" s="252">
        <f t="shared" ref="P1459:P1469" si="213">P1442</f>
        <v>325</v>
      </c>
      <c r="Q1459" s="252" t="s">
        <v>909</v>
      </c>
      <c r="R1459" s="252">
        <f t="shared" ref="R1459:R1469" si="214">P1459*M1459</f>
        <v>322.39999999999998</v>
      </c>
      <c r="S1459" s="356">
        <v>4</v>
      </c>
      <c r="T1459" s="252" t="s">
        <v>766</v>
      </c>
      <c r="U1459" s="296" t="s">
        <v>1852</v>
      </c>
      <c r="V1459" s="252">
        <f t="shared" si="211"/>
        <v>20</v>
      </c>
      <c r="W1459" s="253" t="s">
        <v>766</v>
      </c>
      <c r="X1459" s="252">
        <f t="shared" si="212"/>
        <v>80</v>
      </c>
      <c r="Y1459" s="356">
        <v>1.01</v>
      </c>
      <c r="Z1459" s="252" t="s">
        <v>2273</v>
      </c>
      <c r="AA1459" s="296" t="s">
        <v>1854</v>
      </c>
      <c r="AB1459" s="252">
        <f t="shared" si="209"/>
        <v>1998</v>
      </c>
      <c r="AC1459" s="252" t="s">
        <v>2273</v>
      </c>
      <c r="AD1459" s="252">
        <f t="shared" si="210"/>
        <v>2017.98</v>
      </c>
      <c r="AE1459" s="370">
        <f t="shared" si="199"/>
        <v>0</v>
      </c>
    </row>
    <row r="1460" spans="6:31" ht="18.75" customHeight="1">
      <c r="H1460" s="255" t="s">
        <v>700</v>
      </c>
      <c r="I1460" s="274"/>
      <c r="J1460" s="276"/>
      <c r="K1460" s="274">
        <f>K1458/6.77</f>
        <v>80.77</v>
      </c>
      <c r="M1460" s="316">
        <v>0</v>
      </c>
      <c r="N1460" s="252" t="s">
        <v>909</v>
      </c>
      <c r="O1460" s="296" t="s">
        <v>1846</v>
      </c>
      <c r="P1460" s="252">
        <f t="shared" si="213"/>
        <v>325</v>
      </c>
      <c r="Q1460" s="252" t="s">
        <v>909</v>
      </c>
      <c r="R1460" s="252">
        <f t="shared" si="214"/>
        <v>0</v>
      </c>
      <c r="S1460" s="356">
        <v>4</v>
      </c>
      <c r="T1460" s="252" t="s">
        <v>766</v>
      </c>
      <c r="U1460" s="296" t="s">
        <v>1853</v>
      </c>
      <c r="V1460" s="252">
        <f t="shared" si="211"/>
        <v>15</v>
      </c>
      <c r="W1460" s="253" t="s">
        <v>766</v>
      </c>
      <c r="X1460" s="252">
        <f t="shared" si="212"/>
        <v>60</v>
      </c>
      <c r="Y1460" s="356"/>
      <c r="AA1460" s="296" t="s">
        <v>1855</v>
      </c>
      <c r="AC1460" s="253"/>
      <c r="AD1460" s="252">
        <v>0.84</v>
      </c>
      <c r="AE1460" s="370">
        <f t="shared" si="199"/>
        <v>0</v>
      </c>
    </row>
    <row r="1461" spans="6:31" ht="18.75" customHeight="1">
      <c r="F1461" s="296" t="s">
        <v>971</v>
      </c>
      <c r="M1461" s="316">
        <v>0</v>
      </c>
      <c r="N1461" s="252" t="s">
        <v>909</v>
      </c>
      <c r="O1461" s="296" t="s">
        <v>1846</v>
      </c>
      <c r="P1461" s="252">
        <f t="shared" si="213"/>
        <v>325</v>
      </c>
      <c r="Q1461" s="252" t="s">
        <v>909</v>
      </c>
      <c r="R1461" s="252">
        <f t="shared" si="214"/>
        <v>0</v>
      </c>
      <c r="S1461" s="356">
        <v>1.26</v>
      </c>
      <c r="T1461" s="252" t="s">
        <v>2273</v>
      </c>
      <c r="U1461" s="296" t="s">
        <v>1854</v>
      </c>
      <c r="V1461" s="252">
        <f t="shared" si="211"/>
        <v>1998</v>
      </c>
      <c r="W1461" s="253" t="s">
        <v>2273</v>
      </c>
      <c r="X1461" s="252">
        <f t="shared" si="212"/>
        <v>2517.48</v>
      </c>
      <c r="Y1461" s="356"/>
      <c r="AA1461" s="360" t="s">
        <v>3526</v>
      </c>
      <c r="AD1461" s="274">
        <f>SUM(AD1448:AD1460)</f>
        <v>5717.51</v>
      </c>
      <c r="AE1461" s="370">
        <f t="shared" si="199"/>
        <v>0</v>
      </c>
    </row>
    <row r="1462" spans="6:31" ht="18.75" customHeight="1">
      <c r="K1462" s="358" t="s">
        <v>2046</v>
      </c>
      <c r="M1462" s="316">
        <v>1.89</v>
      </c>
      <c r="N1462" s="252" t="s">
        <v>230</v>
      </c>
      <c r="O1462" s="296" t="s">
        <v>1847</v>
      </c>
      <c r="P1462" s="314">
        <f t="shared" si="213"/>
        <v>306.89999999999998</v>
      </c>
      <c r="Q1462" s="252" t="s">
        <v>230</v>
      </c>
      <c r="R1462" s="252">
        <f t="shared" si="214"/>
        <v>580.04</v>
      </c>
      <c r="U1462" s="296" t="s">
        <v>1855</v>
      </c>
      <c r="W1462" s="253"/>
      <c r="X1462" s="252">
        <v>0.14000000000000001</v>
      </c>
      <c r="AE1462" s="370">
        <f t="shared" si="199"/>
        <v>0</v>
      </c>
    </row>
    <row r="1463" spans="6:31" ht="18.75" customHeight="1">
      <c r="G1463" s="252" t="s">
        <v>517</v>
      </c>
      <c r="H1463" s="296" t="s">
        <v>701</v>
      </c>
      <c r="M1463" s="316">
        <v>8</v>
      </c>
      <c r="N1463" s="252" t="s">
        <v>823</v>
      </c>
      <c r="O1463" s="393" t="s">
        <v>4251</v>
      </c>
      <c r="P1463" s="252">
        <f t="shared" si="213"/>
        <v>29.05</v>
      </c>
      <c r="Q1463" s="252" t="s">
        <v>823</v>
      </c>
      <c r="R1463" s="252">
        <f t="shared" si="214"/>
        <v>232.4</v>
      </c>
      <c r="U1463" s="360" t="s">
        <v>3526</v>
      </c>
      <c r="W1463" s="253"/>
      <c r="X1463" s="274">
        <f>SUM(X1450:X1462)</f>
        <v>8046.21</v>
      </c>
      <c r="AE1463" s="370">
        <f t="shared" si="199"/>
        <v>0</v>
      </c>
    </row>
    <row r="1464" spans="6:31" ht="18.75" customHeight="1">
      <c r="G1464" s="252" t="s">
        <v>1579</v>
      </c>
      <c r="H1464" s="358" t="s">
        <v>1579</v>
      </c>
      <c r="M1464" s="316">
        <v>0</v>
      </c>
      <c r="N1464" s="252" t="s">
        <v>766</v>
      </c>
      <c r="O1464" s="393" t="s">
        <v>4249</v>
      </c>
      <c r="P1464" s="252">
        <f t="shared" si="213"/>
        <v>71.900000000000006</v>
      </c>
      <c r="Q1464" s="252" t="s">
        <v>766</v>
      </c>
      <c r="R1464" s="252">
        <f t="shared" si="214"/>
        <v>0</v>
      </c>
      <c r="W1464" s="253"/>
      <c r="AE1464" s="370">
        <f t="shared" si="199"/>
        <v>0</v>
      </c>
    </row>
    <row r="1465" spans="6:31" ht="18.75" customHeight="1">
      <c r="F1465" s="316">
        <v>7.0000000000000001E-3</v>
      </c>
      <c r="G1465" s="252" t="s">
        <v>2142</v>
      </c>
      <c r="H1465" s="296" t="s">
        <v>697</v>
      </c>
      <c r="I1465" s="252">
        <f>K49</f>
        <v>3701.62</v>
      </c>
      <c r="J1465" s="296" t="s">
        <v>2142</v>
      </c>
      <c r="K1465" s="252">
        <f>(F1465*I1465)</f>
        <v>25.91</v>
      </c>
      <c r="M1465" s="316">
        <v>0</v>
      </c>
      <c r="N1465" s="252" t="s">
        <v>766</v>
      </c>
      <c r="O1465" s="393" t="s">
        <v>4250</v>
      </c>
      <c r="P1465" s="252">
        <f t="shared" si="213"/>
        <v>57.65</v>
      </c>
      <c r="Q1465" s="252" t="s">
        <v>766</v>
      </c>
      <c r="R1465" s="252">
        <f t="shared" si="214"/>
        <v>0</v>
      </c>
      <c r="W1465" s="253"/>
      <c r="AE1465" s="370">
        <f t="shared" si="199"/>
        <v>0</v>
      </c>
    </row>
    <row r="1466" spans="6:31" ht="18.75" customHeight="1">
      <c r="F1466" s="252">
        <v>0.2</v>
      </c>
      <c r="G1466" s="252" t="s">
        <v>557</v>
      </c>
      <c r="H1466" s="296" t="s">
        <v>698</v>
      </c>
      <c r="I1466" s="252">
        <f>C10</f>
        <v>999</v>
      </c>
      <c r="J1466" s="296" t="s">
        <v>557</v>
      </c>
      <c r="K1466" s="252">
        <f>(F1466*I1466)</f>
        <v>199.8</v>
      </c>
      <c r="M1466" s="316">
        <v>0</v>
      </c>
      <c r="N1466" s="252" t="s">
        <v>766</v>
      </c>
      <c r="O1466" s="296" t="s">
        <v>1851</v>
      </c>
      <c r="P1466" s="252">
        <f t="shared" si="213"/>
        <v>30</v>
      </c>
      <c r="Q1466" s="252" t="s">
        <v>766</v>
      </c>
      <c r="R1466" s="252">
        <f t="shared" si="214"/>
        <v>0</v>
      </c>
      <c r="U1466" s="461" t="s">
        <v>2348</v>
      </c>
      <c r="V1466" s="274" t="s">
        <v>2349</v>
      </c>
      <c r="W1466" s="253"/>
      <c r="AE1466" s="370">
        <f t="shared" si="199"/>
        <v>0</v>
      </c>
    </row>
    <row r="1467" spans="6:31" ht="18.75" customHeight="1">
      <c r="F1467" s="252">
        <v>0.2</v>
      </c>
      <c r="G1467" s="252" t="s">
        <v>557</v>
      </c>
      <c r="H1467" s="296" t="s">
        <v>820</v>
      </c>
      <c r="I1467" s="252">
        <f>C12</f>
        <v>651</v>
      </c>
      <c r="J1467" s="296" t="s">
        <v>557</v>
      </c>
      <c r="K1467" s="252">
        <f>(F1467*I1467)</f>
        <v>130.19999999999999</v>
      </c>
      <c r="M1467" s="316">
        <v>0</v>
      </c>
      <c r="N1467" s="252" t="s">
        <v>766</v>
      </c>
      <c r="O1467" s="296" t="s">
        <v>1852</v>
      </c>
      <c r="P1467" s="252">
        <f t="shared" si="213"/>
        <v>20</v>
      </c>
      <c r="Q1467" s="252" t="s">
        <v>766</v>
      </c>
      <c r="R1467" s="252">
        <f t="shared" si="214"/>
        <v>0</v>
      </c>
      <c r="S1467" s="356">
        <v>6.81</v>
      </c>
      <c r="T1467" s="252" t="s">
        <v>909</v>
      </c>
      <c r="U1467" s="296" t="s">
        <v>1846</v>
      </c>
      <c r="V1467" s="252">
        <f>V1443</f>
        <v>325</v>
      </c>
      <c r="W1467" s="253" t="s">
        <v>909</v>
      </c>
      <c r="X1467" s="252">
        <f>V1467*S1467</f>
        <v>2213.25</v>
      </c>
      <c r="AE1467" s="370">
        <f t="shared" si="199"/>
        <v>0</v>
      </c>
    </row>
    <row r="1468" spans="6:31" ht="18.75" customHeight="1">
      <c r="H1468" s="296" t="s">
        <v>2261</v>
      </c>
      <c r="K1468" s="252">
        <v>0</v>
      </c>
      <c r="M1468" s="316">
        <v>0</v>
      </c>
      <c r="N1468" s="252" t="s">
        <v>766</v>
      </c>
      <c r="O1468" s="296" t="s">
        <v>1853</v>
      </c>
      <c r="P1468" s="252">
        <f t="shared" si="213"/>
        <v>15</v>
      </c>
      <c r="Q1468" s="252" t="s">
        <v>766</v>
      </c>
      <c r="R1468" s="252">
        <f t="shared" si="214"/>
        <v>0</v>
      </c>
      <c r="S1468" s="356">
        <v>0.77100000000000002</v>
      </c>
      <c r="T1468" s="252" t="s">
        <v>230</v>
      </c>
      <c r="U1468" s="296" t="s">
        <v>1847</v>
      </c>
      <c r="V1468" s="252">
        <f>V1444</f>
        <v>306.89999999999998</v>
      </c>
      <c r="W1468" s="253" t="s">
        <v>909</v>
      </c>
      <c r="X1468" s="252">
        <f>V1468*S1468</f>
        <v>236.62</v>
      </c>
      <c r="AE1468" s="370">
        <f t="shared" si="199"/>
        <v>0</v>
      </c>
    </row>
    <row r="1469" spans="6:31" ht="18.75" customHeight="1">
      <c r="K1469" s="358" t="s">
        <v>1579</v>
      </c>
      <c r="M1469" s="316">
        <v>1.89</v>
      </c>
      <c r="N1469" s="252" t="s">
        <v>2273</v>
      </c>
      <c r="O1469" s="296" t="s">
        <v>1854</v>
      </c>
      <c r="P1469" s="252">
        <f t="shared" si="213"/>
        <v>1998</v>
      </c>
      <c r="Q1469" s="252" t="s">
        <v>2273</v>
      </c>
      <c r="R1469" s="252">
        <f t="shared" si="214"/>
        <v>3776.22</v>
      </c>
      <c r="S1469" s="356">
        <v>0.77100000000000002</v>
      </c>
      <c r="T1469" s="252" t="s">
        <v>230</v>
      </c>
      <c r="U1469" s="296" t="s">
        <v>1854</v>
      </c>
      <c r="V1469" s="252">
        <f>V1445</f>
        <v>1998</v>
      </c>
      <c r="W1469" s="253" t="s">
        <v>909</v>
      </c>
      <c r="X1469" s="252">
        <f>V1469*S1469</f>
        <v>1540.46</v>
      </c>
      <c r="AE1469" s="370">
        <f t="shared" si="199"/>
        <v>0</v>
      </c>
    </row>
    <row r="1470" spans="6:31" ht="18.75" customHeight="1">
      <c r="H1470" s="253" t="s">
        <v>699</v>
      </c>
      <c r="K1470" s="252">
        <f>SUM(K1465:K1468)</f>
        <v>355.91</v>
      </c>
      <c r="O1470" s="296" t="s">
        <v>1855</v>
      </c>
      <c r="Q1470" s="253"/>
      <c r="R1470" s="252">
        <v>0.28000000000000003</v>
      </c>
      <c r="U1470" s="296"/>
      <c r="W1470" s="253"/>
      <c r="X1470" s="252">
        <f>SUM(X1467:X1469)</f>
        <v>3990.33</v>
      </c>
      <c r="AE1470" s="370">
        <f t="shared" ref="AE1470:AE1533" si="215">AG1470</f>
        <v>0</v>
      </c>
    </row>
    <row r="1471" spans="6:31" ht="18.75" customHeight="1">
      <c r="K1471" s="358" t="s">
        <v>1579</v>
      </c>
      <c r="R1471" s="274">
        <f>SUM(R1458:R1470)</f>
        <v>8405.09</v>
      </c>
      <c r="U1471" s="360" t="s">
        <v>3525</v>
      </c>
      <c r="W1471" s="253"/>
      <c r="X1471" s="274">
        <f>X1470/S1469</f>
        <v>5175.53</v>
      </c>
      <c r="AE1471" s="370">
        <f t="shared" si="215"/>
        <v>0</v>
      </c>
    </row>
    <row r="1472" spans="6:31" ht="18.75" customHeight="1">
      <c r="H1472" s="255" t="s">
        <v>700</v>
      </c>
      <c r="I1472" s="274"/>
      <c r="J1472" s="276"/>
      <c r="K1472" s="274">
        <f>K1470/6.77</f>
        <v>52.57</v>
      </c>
      <c r="W1472" s="253"/>
      <c r="AE1472" s="370">
        <f t="shared" si="215"/>
        <v>0</v>
      </c>
    </row>
    <row r="1473" spans="6:31" ht="18.75" customHeight="1">
      <c r="K1473" s="358" t="s">
        <v>2046</v>
      </c>
      <c r="W1473" s="253"/>
      <c r="AE1473" s="370">
        <f t="shared" si="215"/>
        <v>0</v>
      </c>
    </row>
    <row r="1474" spans="6:31" ht="18.75" customHeight="1">
      <c r="K1474" s="358"/>
      <c r="O1474" s="461" t="s">
        <v>2820</v>
      </c>
      <c r="P1474" s="1269" t="s">
        <v>2349</v>
      </c>
      <c r="Q1474" s="1269"/>
      <c r="R1474" s="1269"/>
      <c r="S1474" s="1270"/>
      <c r="T1474" s="1270"/>
      <c r="U1474" s="1270"/>
      <c r="V1474" s="479"/>
      <c r="W1474" s="479"/>
      <c r="AE1474" s="370">
        <f t="shared" si="215"/>
        <v>0</v>
      </c>
    </row>
    <row r="1475" spans="6:31" ht="18.75" customHeight="1">
      <c r="K1475" s="358"/>
      <c r="M1475" s="316">
        <v>4.67</v>
      </c>
      <c r="N1475" s="252" t="s">
        <v>909</v>
      </c>
      <c r="O1475" s="393" t="s">
        <v>4248</v>
      </c>
      <c r="P1475" s="252">
        <f>P1458</f>
        <v>325</v>
      </c>
      <c r="Q1475" s="252" t="s">
        <v>909</v>
      </c>
      <c r="R1475" s="252">
        <f>P1475*M1475</f>
        <v>1517.75</v>
      </c>
      <c r="S1475" s="316"/>
      <c r="U1475" s="296"/>
      <c r="W1475" s="253"/>
      <c r="AE1475" s="370">
        <f t="shared" si="215"/>
        <v>0</v>
      </c>
    </row>
    <row r="1476" spans="6:31" ht="18.75" customHeight="1">
      <c r="G1476" s="252" t="s">
        <v>313</v>
      </c>
      <c r="H1476" s="296" t="s">
        <v>935</v>
      </c>
      <c r="K1476" s="358"/>
      <c r="M1476" s="316">
        <v>0.54</v>
      </c>
      <c r="N1476" s="252" t="s">
        <v>230</v>
      </c>
      <c r="O1476" s="296" t="s">
        <v>1847</v>
      </c>
      <c r="P1476" s="314">
        <f>P1462</f>
        <v>306.89999999999998</v>
      </c>
      <c r="Q1476" s="252" t="s">
        <v>909</v>
      </c>
      <c r="R1476" s="252">
        <f>P1476*M1476</f>
        <v>165.73</v>
      </c>
      <c r="S1476" s="316"/>
      <c r="U1476" s="296"/>
      <c r="W1476" s="253"/>
      <c r="AE1476" s="370">
        <f t="shared" si="215"/>
        <v>0</v>
      </c>
    </row>
    <row r="1477" spans="6:31" ht="18.75" customHeight="1">
      <c r="G1477" s="252" t="s">
        <v>1579</v>
      </c>
      <c r="H1477" s="358" t="s">
        <v>1579</v>
      </c>
      <c r="K1477" s="358"/>
      <c r="M1477" s="316">
        <v>0.54</v>
      </c>
      <c r="N1477" s="252" t="s">
        <v>230</v>
      </c>
      <c r="O1477" s="296" t="s">
        <v>1854</v>
      </c>
      <c r="P1477" s="252">
        <f>P1469</f>
        <v>1998</v>
      </c>
      <c r="Q1477" s="252" t="s">
        <v>909</v>
      </c>
      <c r="R1477" s="252">
        <f>P1477*M1477</f>
        <v>1078.92</v>
      </c>
      <c r="S1477" s="316"/>
      <c r="U1477" s="296"/>
      <c r="W1477" s="253"/>
      <c r="AE1477" s="370">
        <f t="shared" si="215"/>
        <v>0</v>
      </c>
    </row>
    <row r="1478" spans="6:31" ht="18.75" customHeight="1">
      <c r="F1478" s="316">
        <v>4.7000000000000002E-3</v>
      </c>
      <c r="G1478" s="252" t="s">
        <v>2142</v>
      </c>
      <c r="H1478" s="296" t="s">
        <v>697</v>
      </c>
      <c r="I1478" s="252">
        <f>K49</f>
        <v>3701.62</v>
      </c>
      <c r="J1478" s="296" t="s">
        <v>2142</v>
      </c>
      <c r="K1478" s="252">
        <f>(F1478*I1478)</f>
        <v>17.399999999999999</v>
      </c>
      <c r="M1478" s="316"/>
      <c r="O1478" s="296"/>
      <c r="R1478" s="252">
        <f>SUM(R1475:R1477)</f>
        <v>2762.4</v>
      </c>
      <c r="S1478" s="316"/>
      <c r="U1478" s="296"/>
      <c r="W1478" s="253"/>
      <c r="AE1478" s="370">
        <f t="shared" si="215"/>
        <v>0</v>
      </c>
    </row>
    <row r="1479" spans="6:31" ht="18.75" customHeight="1">
      <c r="F1479" s="252">
        <v>0.15</v>
      </c>
      <c r="G1479" s="252" t="s">
        <v>557</v>
      </c>
      <c r="H1479" s="296" t="s">
        <v>698</v>
      </c>
      <c r="I1479" s="252">
        <f>C10</f>
        <v>999</v>
      </c>
      <c r="J1479" s="296" t="s">
        <v>557</v>
      </c>
      <c r="K1479" s="252">
        <f>(F1479*I1479)</f>
        <v>149.85</v>
      </c>
      <c r="M1479" s="316"/>
      <c r="O1479" s="360" t="s">
        <v>3525</v>
      </c>
      <c r="R1479" s="274">
        <f>R1478/M1477</f>
        <v>5115.5600000000004</v>
      </c>
      <c r="S1479" s="316"/>
      <c r="U1479" s="296"/>
      <c r="W1479" s="253"/>
      <c r="X1479" s="274"/>
      <c r="AE1479" s="370">
        <f t="shared" si="215"/>
        <v>0</v>
      </c>
    </row>
    <row r="1480" spans="6:31" ht="18.75" customHeight="1">
      <c r="F1480" s="252">
        <v>0.15</v>
      </c>
      <c r="G1480" s="252" t="s">
        <v>557</v>
      </c>
      <c r="H1480" s="296" t="s">
        <v>820</v>
      </c>
      <c r="I1480" s="252">
        <f>C12</f>
        <v>651</v>
      </c>
      <c r="J1480" s="296" t="s">
        <v>557</v>
      </c>
      <c r="K1480" s="252">
        <f>(F1480*I1480)</f>
        <v>97.65</v>
      </c>
      <c r="M1480" s="316"/>
      <c r="O1480" s="296"/>
      <c r="W1480" s="253"/>
      <c r="AE1480" s="370">
        <f t="shared" si="215"/>
        <v>0</v>
      </c>
    </row>
    <row r="1481" spans="6:31" ht="18.75" customHeight="1">
      <c r="H1481" s="296" t="s">
        <v>2261</v>
      </c>
      <c r="K1481" s="252">
        <v>0</v>
      </c>
      <c r="O1481" s="461" t="s">
        <v>2821</v>
      </c>
      <c r="P1481" s="274" t="s">
        <v>2349</v>
      </c>
      <c r="Q1481" s="296"/>
      <c r="W1481" s="253"/>
      <c r="AE1481" s="370">
        <f t="shared" si="215"/>
        <v>0</v>
      </c>
    </row>
    <row r="1482" spans="6:31" ht="18.75" customHeight="1">
      <c r="K1482" s="358" t="s">
        <v>1579</v>
      </c>
      <c r="M1482" s="316">
        <v>7.01</v>
      </c>
      <c r="N1482" s="252" t="s">
        <v>909</v>
      </c>
      <c r="O1482" s="393" t="s">
        <v>4248</v>
      </c>
      <c r="P1482" s="252">
        <f>P1475</f>
        <v>325</v>
      </c>
      <c r="Q1482" s="252" t="s">
        <v>909</v>
      </c>
      <c r="R1482" s="252">
        <f>P1482*M1482</f>
        <v>2278.25</v>
      </c>
      <c r="S1482" s="356">
        <f>0.3028*0.3028</f>
        <v>9.1999999999999998E-2</v>
      </c>
      <c r="T1482" s="252">
        <f>60*S1482</f>
        <v>5.52</v>
      </c>
      <c r="U1482" s="252">
        <f>4.58/10</f>
        <v>0.46</v>
      </c>
      <c r="W1482" s="253"/>
      <c r="AE1482" s="370">
        <f t="shared" si="215"/>
        <v>0</v>
      </c>
    </row>
    <row r="1483" spans="6:31" ht="18.75" customHeight="1">
      <c r="H1483" s="253" t="s">
        <v>699</v>
      </c>
      <c r="K1483" s="252">
        <f>SUM(K1478:K1481)</f>
        <v>264.89999999999998</v>
      </c>
      <c r="M1483" s="316">
        <v>0.81</v>
      </c>
      <c r="N1483" s="252" t="s">
        <v>230</v>
      </c>
      <c r="O1483" s="296" t="s">
        <v>1847</v>
      </c>
      <c r="P1483" s="314">
        <f>P1476</f>
        <v>306.89999999999998</v>
      </c>
      <c r="Q1483" s="252" t="s">
        <v>909</v>
      </c>
      <c r="R1483" s="252">
        <f>P1483*M1483</f>
        <v>248.59</v>
      </c>
      <c r="W1483" s="253"/>
      <c r="AE1483" s="370">
        <f t="shared" si="215"/>
        <v>0</v>
      </c>
    </row>
    <row r="1484" spans="6:31" ht="18.75" customHeight="1">
      <c r="K1484" s="358" t="s">
        <v>1579</v>
      </c>
      <c r="M1484" s="316">
        <v>0.81</v>
      </c>
      <c r="N1484" s="252" t="s">
        <v>230</v>
      </c>
      <c r="O1484" s="296" t="s">
        <v>1854</v>
      </c>
      <c r="P1484" s="252">
        <f>P1477</f>
        <v>1998</v>
      </c>
      <c r="Q1484" s="252" t="s">
        <v>909</v>
      </c>
      <c r="R1484" s="252">
        <f>P1484*M1484</f>
        <v>1618.38</v>
      </c>
      <c r="W1484" s="253"/>
      <c r="AE1484" s="370">
        <f t="shared" si="215"/>
        <v>0</v>
      </c>
    </row>
    <row r="1485" spans="6:31" ht="18.75" customHeight="1">
      <c r="H1485" s="255" t="s">
        <v>700</v>
      </c>
      <c r="I1485" s="274"/>
      <c r="J1485" s="276"/>
      <c r="K1485" s="274">
        <f>K1483/6.77</f>
        <v>39.130000000000003</v>
      </c>
      <c r="M1485" s="316"/>
      <c r="O1485" s="296"/>
      <c r="R1485" s="252">
        <f>SUM(R1482:R1484)+0.68</f>
        <v>4145.8999999999996</v>
      </c>
      <c r="W1485" s="253"/>
      <c r="AE1485" s="370">
        <f t="shared" si="215"/>
        <v>0</v>
      </c>
    </row>
    <row r="1486" spans="6:31" ht="18.75" customHeight="1">
      <c r="K1486" s="358" t="s">
        <v>2046</v>
      </c>
      <c r="M1486" s="316"/>
      <c r="O1486" s="360" t="s">
        <v>3525</v>
      </c>
      <c r="R1486" s="274">
        <f>R1485/M1484</f>
        <v>5118.3999999999996</v>
      </c>
      <c r="W1486" s="253"/>
      <c r="AE1486" s="370">
        <f t="shared" si="215"/>
        <v>0</v>
      </c>
    </row>
    <row r="1487" spans="6:31" ht="18.75" customHeight="1">
      <c r="K1487" s="358"/>
      <c r="O1487" s="296"/>
      <c r="Q1487" s="253"/>
      <c r="W1487" s="253"/>
      <c r="AE1487" s="370">
        <f t="shared" si="215"/>
        <v>0</v>
      </c>
    </row>
    <row r="1488" spans="6:31" ht="18.75" customHeight="1">
      <c r="F1488" s="375">
        <v>37.1</v>
      </c>
      <c r="G1488" s="252" t="s">
        <v>2241</v>
      </c>
      <c r="H1488" s="296" t="s">
        <v>392</v>
      </c>
      <c r="O1488" s="461" t="s">
        <v>3471</v>
      </c>
      <c r="Q1488" s="296"/>
      <c r="W1488" s="253"/>
      <c r="AE1488" s="370">
        <f t="shared" si="215"/>
        <v>0</v>
      </c>
    </row>
    <row r="1489" spans="6:31" ht="18.75" customHeight="1">
      <c r="H1489" s="358" t="s">
        <v>1579</v>
      </c>
      <c r="M1489" s="316">
        <v>4.42</v>
      </c>
      <c r="N1489" s="252" t="s">
        <v>909</v>
      </c>
      <c r="O1489" s="393" t="s">
        <v>4248</v>
      </c>
      <c r="P1489" s="252">
        <f>P1458</f>
        <v>325</v>
      </c>
      <c r="Q1489" s="252" t="s">
        <v>909</v>
      </c>
      <c r="R1489" s="252">
        <f>P1489*M1489</f>
        <v>1436.5</v>
      </c>
      <c r="W1489" s="253"/>
      <c r="AE1489" s="370">
        <f t="shared" si="215"/>
        <v>0</v>
      </c>
    </row>
    <row r="1490" spans="6:31" ht="18.75" customHeight="1">
      <c r="F1490" s="252">
        <v>0.09</v>
      </c>
      <c r="G1490" s="252" t="s">
        <v>866</v>
      </c>
      <c r="H1490" s="296" t="s">
        <v>1995</v>
      </c>
      <c r="I1490" s="252">
        <f>(C84)</f>
        <v>1348</v>
      </c>
      <c r="J1490" s="296" t="s">
        <v>866</v>
      </c>
      <c r="K1490" s="252">
        <f>(F1490*I1490)</f>
        <v>121.32</v>
      </c>
      <c r="M1490" s="316">
        <v>4.72</v>
      </c>
      <c r="N1490" s="252" t="s">
        <v>909</v>
      </c>
      <c r="O1490" s="393" t="s">
        <v>4248</v>
      </c>
      <c r="P1490" s="252">
        <f t="shared" ref="P1490:P1500" si="216">P1459</f>
        <v>325</v>
      </c>
      <c r="Q1490" s="252" t="s">
        <v>909</v>
      </c>
      <c r="R1490" s="252">
        <f t="shared" ref="R1490:R1500" si="217">P1490*M1490</f>
        <v>1534</v>
      </c>
      <c r="W1490" s="253"/>
      <c r="AE1490" s="370">
        <f t="shared" si="215"/>
        <v>0</v>
      </c>
    </row>
    <row r="1491" spans="6:31" ht="18.75" customHeight="1">
      <c r="F1491" s="252">
        <v>2.2000000000000002</v>
      </c>
      <c r="G1491" s="252" t="s">
        <v>865</v>
      </c>
      <c r="H1491" s="296" t="s">
        <v>1704</v>
      </c>
      <c r="I1491" s="252">
        <f>(C11)</f>
        <v>932</v>
      </c>
      <c r="J1491" s="296" t="s">
        <v>865</v>
      </c>
      <c r="K1491" s="252">
        <f>(F1491*I1491)</f>
        <v>2050.4</v>
      </c>
      <c r="M1491" s="316">
        <v>9.06</v>
      </c>
      <c r="N1491" s="252" t="s">
        <v>909</v>
      </c>
      <c r="O1491" s="296" t="s">
        <v>1846</v>
      </c>
      <c r="P1491" s="252">
        <f t="shared" si="216"/>
        <v>325</v>
      </c>
      <c r="Q1491" s="252" t="s">
        <v>909</v>
      </c>
      <c r="R1491" s="252">
        <f t="shared" si="217"/>
        <v>2944.5</v>
      </c>
      <c r="W1491" s="253"/>
      <c r="AE1491" s="370">
        <f t="shared" si="215"/>
        <v>0</v>
      </c>
    </row>
    <row r="1492" spans="6:31" ht="18.75" customHeight="1">
      <c r="F1492" s="252">
        <v>0.5</v>
      </c>
      <c r="G1492" s="252" t="s">
        <v>865</v>
      </c>
      <c r="H1492" s="296" t="s">
        <v>1893</v>
      </c>
      <c r="I1492" s="252">
        <f>(C12)</f>
        <v>651</v>
      </c>
      <c r="J1492" s="296" t="s">
        <v>865</v>
      </c>
      <c r="K1492" s="252">
        <f>(F1492*I1492)</f>
        <v>325.5</v>
      </c>
      <c r="M1492" s="316">
        <v>1.58</v>
      </c>
      <c r="N1492" s="252" t="s">
        <v>909</v>
      </c>
      <c r="O1492" s="296" t="s">
        <v>1846</v>
      </c>
      <c r="P1492" s="252">
        <f t="shared" si="216"/>
        <v>325</v>
      </c>
      <c r="Q1492" s="252" t="s">
        <v>909</v>
      </c>
      <c r="R1492" s="252">
        <f t="shared" si="217"/>
        <v>513.5</v>
      </c>
      <c r="W1492" s="253"/>
      <c r="AE1492" s="370">
        <f t="shared" si="215"/>
        <v>0</v>
      </c>
    </row>
    <row r="1493" spans="6:31" ht="18.75" customHeight="1">
      <c r="F1493" s="252">
        <v>3.8</v>
      </c>
      <c r="G1493" s="252" t="s">
        <v>865</v>
      </c>
      <c r="H1493" s="296" t="s">
        <v>317</v>
      </c>
      <c r="I1493" s="252">
        <f>(C13)</f>
        <v>534</v>
      </c>
      <c r="J1493" s="296" t="s">
        <v>865</v>
      </c>
      <c r="K1493" s="252">
        <f>(F1493*I1493)</f>
        <v>2029.2</v>
      </c>
      <c r="M1493" s="316">
        <v>1.65</v>
      </c>
      <c r="N1493" s="252" t="s">
        <v>230</v>
      </c>
      <c r="O1493" s="296" t="s">
        <v>1847</v>
      </c>
      <c r="P1493" s="252">
        <f t="shared" si="216"/>
        <v>306.89999999999998</v>
      </c>
      <c r="Q1493" s="252" t="s">
        <v>230</v>
      </c>
      <c r="R1493" s="252">
        <f t="shared" si="217"/>
        <v>506.39</v>
      </c>
      <c r="W1493" s="253"/>
      <c r="AE1493" s="370">
        <f t="shared" si="215"/>
        <v>0</v>
      </c>
    </row>
    <row r="1494" spans="6:31" ht="18.75" customHeight="1">
      <c r="G1494" s="252" t="s">
        <v>446</v>
      </c>
      <c r="H1494" s="296" t="s">
        <v>502</v>
      </c>
      <c r="I1494" s="296" t="s">
        <v>971</v>
      </c>
      <c r="J1494" s="296" t="s">
        <v>446</v>
      </c>
      <c r="K1494" s="252">
        <v>1.5</v>
      </c>
      <c r="M1494" s="316">
        <v>12.74</v>
      </c>
      <c r="N1494" s="252" t="s">
        <v>823</v>
      </c>
      <c r="O1494" s="296" t="str">
        <f>O1463</f>
        <v>rubber beeding P-41/64</v>
      </c>
      <c r="P1494" s="252">
        <f t="shared" si="216"/>
        <v>29.05</v>
      </c>
      <c r="Q1494" s="252" t="s">
        <v>823</v>
      </c>
      <c r="R1494" s="252">
        <f t="shared" si="217"/>
        <v>370.1</v>
      </c>
      <c r="W1494" s="253"/>
      <c r="AE1494" s="370">
        <f t="shared" si="215"/>
        <v>0</v>
      </c>
    </row>
    <row r="1495" spans="6:31" ht="18.75" customHeight="1">
      <c r="K1495" s="358" t="s">
        <v>1579</v>
      </c>
      <c r="M1495" s="316">
        <v>12</v>
      </c>
      <c r="N1495" s="252" t="s">
        <v>766</v>
      </c>
      <c r="O1495" s="296" t="str">
        <f>O1464</f>
        <v>hinges 75mm x 30 mm P-41/77 b</v>
      </c>
      <c r="P1495" s="252">
        <f t="shared" si="216"/>
        <v>71.900000000000006</v>
      </c>
      <c r="Q1495" s="252" t="s">
        <v>766</v>
      </c>
      <c r="R1495" s="252">
        <f t="shared" si="217"/>
        <v>862.8</v>
      </c>
      <c r="W1495" s="253"/>
      <c r="AE1495" s="370">
        <f t="shared" si="215"/>
        <v>0</v>
      </c>
    </row>
    <row r="1496" spans="6:31" ht="18.75" customHeight="1">
      <c r="H1496" s="296" t="s">
        <v>1830</v>
      </c>
      <c r="K1496" s="252">
        <f>SUM(K1489:K1494)</f>
        <v>4527.92</v>
      </c>
      <c r="M1496" s="316">
        <v>6</v>
      </c>
      <c r="N1496" s="252" t="s">
        <v>766</v>
      </c>
      <c r="O1496" s="296" t="str">
        <f>O1465</f>
        <v>handle 150 mm long p-42 /80b</v>
      </c>
      <c r="P1496" s="252">
        <f t="shared" si="216"/>
        <v>57.65</v>
      </c>
      <c r="Q1496" s="252" t="s">
        <v>766</v>
      </c>
      <c r="R1496" s="252">
        <f t="shared" si="217"/>
        <v>345.9</v>
      </c>
      <c r="W1496" s="253"/>
      <c r="AE1496" s="370">
        <f t="shared" si="215"/>
        <v>0</v>
      </c>
    </row>
    <row r="1497" spans="6:31" ht="18.75" customHeight="1">
      <c r="K1497" s="358" t="s">
        <v>1579</v>
      </c>
      <c r="M1497" s="316">
        <v>6</v>
      </c>
      <c r="N1497" s="252" t="s">
        <v>766</v>
      </c>
      <c r="O1497" s="296" t="s">
        <v>1851</v>
      </c>
      <c r="P1497" s="252">
        <f t="shared" si="216"/>
        <v>30</v>
      </c>
      <c r="Q1497" s="252" t="s">
        <v>766</v>
      </c>
      <c r="R1497" s="252">
        <f t="shared" si="217"/>
        <v>180</v>
      </c>
      <c r="W1497" s="253"/>
      <c r="AE1497" s="370">
        <f t="shared" si="215"/>
        <v>0</v>
      </c>
    </row>
    <row r="1498" spans="6:31" ht="18.75" customHeight="1">
      <c r="H1498" s="255" t="s">
        <v>549</v>
      </c>
      <c r="I1498" s="274"/>
      <c r="J1498" s="276"/>
      <c r="K1498" s="274">
        <f>(K1496/100)</f>
        <v>45.28</v>
      </c>
      <c r="M1498" s="316">
        <v>6</v>
      </c>
      <c r="N1498" s="252" t="s">
        <v>766</v>
      </c>
      <c r="O1498" s="296" t="s">
        <v>1852</v>
      </c>
      <c r="P1498" s="252">
        <f t="shared" si="216"/>
        <v>20</v>
      </c>
      <c r="Q1498" s="252" t="s">
        <v>766</v>
      </c>
      <c r="R1498" s="252">
        <f t="shared" si="217"/>
        <v>120</v>
      </c>
      <c r="W1498" s="253"/>
      <c r="AE1498" s="370">
        <f t="shared" si="215"/>
        <v>0</v>
      </c>
    </row>
    <row r="1499" spans="6:31" ht="18.75" customHeight="1">
      <c r="K1499" s="358" t="s">
        <v>2046</v>
      </c>
      <c r="M1499" s="316">
        <v>4</v>
      </c>
      <c r="N1499" s="252" t="s">
        <v>766</v>
      </c>
      <c r="O1499" s="296" t="s">
        <v>1853</v>
      </c>
      <c r="P1499" s="252">
        <f t="shared" si="216"/>
        <v>15</v>
      </c>
      <c r="Q1499" s="252" t="s">
        <v>766</v>
      </c>
      <c r="R1499" s="252">
        <f t="shared" si="217"/>
        <v>60</v>
      </c>
      <c r="W1499" s="253"/>
      <c r="AE1499" s="370">
        <f t="shared" si="215"/>
        <v>0</v>
      </c>
    </row>
    <row r="1500" spans="6:31" ht="18.75" customHeight="1">
      <c r="F1500" s="253" t="s">
        <v>845</v>
      </c>
      <c r="G1500" s="252" t="s">
        <v>2241</v>
      </c>
      <c r="H1500" s="296" t="s">
        <v>994</v>
      </c>
      <c r="M1500" s="316">
        <f>1.5*1.35</f>
        <v>2.0249999999999999</v>
      </c>
      <c r="N1500" s="252" t="s">
        <v>2273</v>
      </c>
      <c r="O1500" s="296" t="s">
        <v>1854</v>
      </c>
      <c r="P1500" s="252">
        <f t="shared" si="216"/>
        <v>1998</v>
      </c>
      <c r="Q1500" s="252" t="s">
        <v>2273</v>
      </c>
      <c r="R1500" s="252">
        <f t="shared" si="217"/>
        <v>4045.95</v>
      </c>
      <c r="W1500" s="253"/>
      <c r="AE1500" s="370">
        <f t="shared" si="215"/>
        <v>0</v>
      </c>
    </row>
    <row r="1501" spans="6:31" ht="18.75" customHeight="1">
      <c r="H1501" s="296" t="s">
        <v>995</v>
      </c>
      <c r="O1501" s="296" t="s">
        <v>1855</v>
      </c>
      <c r="Q1501" s="253"/>
      <c r="R1501" s="252">
        <v>0.31</v>
      </c>
      <c r="W1501" s="253"/>
      <c r="AE1501" s="370">
        <f t="shared" si="215"/>
        <v>0</v>
      </c>
    </row>
    <row r="1502" spans="6:31" ht="18.75" customHeight="1">
      <c r="H1502" s="296" t="s">
        <v>996</v>
      </c>
      <c r="R1502" s="274">
        <f>SUM(R1489:R1501)</f>
        <v>12919.95</v>
      </c>
      <c r="W1502" s="253"/>
      <c r="AE1502" s="370">
        <f t="shared" si="215"/>
        <v>0</v>
      </c>
    </row>
    <row r="1503" spans="6:31" ht="18.75" customHeight="1">
      <c r="H1503" s="296" t="s">
        <v>28</v>
      </c>
      <c r="W1503" s="253"/>
      <c r="AE1503" s="370">
        <f t="shared" si="215"/>
        <v>0</v>
      </c>
    </row>
    <row r="1504" spans="6:31" ht="18.75" customHeight="1">
      <c r="H1504" s="358" t="s">
        <v>1579</v>
      </c>
      <c r="W1504" s="253"/>
      <c r="AE1504" s="370">
        <f t="shared" si="215"/>
        <v>0</v>
      </c>
    </row>
    <row r="1505" spans="6:31" ht="18.75" customHeight="1">
      <c r="F1505" s="252">
        <v>4.8</v>
      </c>
      <c r="G1505" s="252" t="s">
        <v>1637</v>
      </c>
      <c r="H1505" s="296" t="s">
        <v>437</v>
      </c>
      <c r="I1505" s="252">
        <f>(C271)</f>
        <v>49.85</v>
      </c>
      <c r="J1505" s="296" t="s">
        <v>1637</v>
      </c>
      <c r="K1505" s="252">
        <f>(F1505*I1505)</f>
        <v>239.28</v>
      </c>
      <c r="W1505" s="253"/>
      <c r="AE1505" s="370">
        <f t="shared" si="215"/>
        <v>0</v>
      </c>
    </row>
    <row r="1506" spans="6:31" ht="18.75" customHeight="1">
      <c r="F1506" s="252">
        <v>0.75</v>
      </c>
      <c r="G1506" s="252" t="s">
        <v>865</v>
      </c>
      <c r="H1506" s="296" t="s">
        <v>29</v>
      </c>
      <c r="I1506" s="252">
        <f>(C14)</f>
        <v>797</v>
      </c>
      <c r="J1506" s="296" t="s">
        <v>865</v>
      </c>
      <c r="K1506" s="252">
        <f>(F1506*I1506)</f>
        <v>597.75</v>
      </c>
      <c r="W1506" s="253"/>
      <c r="AE1506" s="370">
        <f t="shared" si="215"/>
        <v>0</v>
      </c>
    </row>
    <row r="1507" spans="6:31" ht="18.75" customHeight="1">
      <c r="F1507" s="252">
        <v>0.75</v>
      </c>
      <c r="G1507" s="252" t="s">
        <v>865</v>
      </c>
      <c r="H1507" s="296" t="s">
        <v>930</v>
      </c>
      <c r="I1507" s="252">
        <f>(C12)</f>
        <v>651</v>
      </c>
      <c r="J1507" s="296" t="s">
        <v>865</v>
      </c>
      <c r="K1507" s="252">
        <f>(F1507*I1507)</f>
        <v>488.25</v>
      </c>
      <c r="W1507" s="253"/>
      <c r="AE1507" s="370">
        <f t="shared" si="215"/>
        <v>0</v>
      </c>
    </row>
    <row r="1508" spans="6:31" ht="18.75" customHeight="1">
      <c r="F1508" s="252">
        <v>1.2</v>
      </c>
      <c r="G1508" s="252" t="s">
        <v>865</v>
      </c>
      <c r="H1508" s="296" t="s">
        <v>317</v>
      </c>
      <c r="I1508" s="252">
        <f>(C13)</f>
        <v>534</v>
      </c>
      <c r="J1508" s="296" t="s">
        <v>865</v>
      </c>
      <c r="K1508" s="252">
        <f>(F1508*I1508)</f>
        <v>640.79999999999995</v>
      </c>
      <c r="W1508" s="253"/>
      <c r="AE1508" s="370">
        <f t="shared" si="215"/>
        <v>0</v>
      </c>
    </row>
    <row r="1509" spans="6:31" ht="18.75" customHeight="1">
      <c r="G1509" s="252" t="s">
        <v>446</v>
      </c>
      <c r="H1509" s="296" t="s">
        <v>1828</v>
      </c>
      <c r="I1509" s="296" t="s">
        <v>971</v>
      </c>
      <c r="J1509" s="296" t="s">
        <v>446</v>
      </c>
      <c r="K1509" s="252">
        <v>1.5</v>
      </c>
      <c r="W1509" s="253"/>
      <c r="AE1509" s="370">
        <f t="shared" si="215"/>
        <v>0</v>
      </c>
    </row>
    <row r="1510" spans="6:31" ht="18.75" customHeight="1">
      <c r="K1510" s="358" t="s">
        <v>1579</v>
      </c>
      <c r="W1510" s="253"/>
      <c r="AE1510" s="370">
        <f t="shared" si="215"/>
        <v>0</v>
      </c>
    </row>
    <row r="1511" spans="6:31" ht="18.75" customHeight="1">
      <c r="H1511" s="296" t="s">
        <v>438</v>
      </c>
      <c r="K1511" s="252">
        <f>SUM(K1505:K1509)</f>
        <v>1967.58</v>
      </c>
      <c r="W1511" s="253"/>
      <c r="AE1511" s="370">
        <f t="shared" si="215"/>
        <v>0</v>
      </c>
    </row>
    <row r="1512" spans="6:31" ht="18.75" customHeight="1">
      <c r="K1512" s="358" t="s">
        <v>1579</v>
      </c>
      <c r="W1512" s="253"/>
      <c r="AE1512" s="370">
        <f t="shared" si="215"/>
        <v>0</v>
      </c>
    </row>
    <row r="1513" spans="6:31" ht="18.75" customHeight="1">
      <c r="H1513" s="255" t="s">
        <v>549</v>
      </c>
      <c r="I1513" s="274"/>
      <c r="J1513" s="276"/>
      <c r="K1513" s="274">
        <f>(K1511/10)</f>
        <v>196.76</v>
      </c>
      <c r="W1513" s="253"/>
      <c r="AE1513" s="370">
        <f t="shared" si="215"/>
        <v>0</v>
      </c>
    </row>
    <row r="1514" spans="6:31" ht="18.75" customHeight="1">
      <c r="K1514" s="358" t="s">
        <v>2046</v>
      </c>
      <c r="W1514" s="253"/>
      <c r="AE1514" s="370">
        <f t="shared" si="215"/>
        <v>0</v>
      </c>
    </row>
    <row r="1515" spans="6:31" ht="18.75" customHeight="1">
      <c r="F1515" s="253" t="s">
        <v>30</v>
      </c>
      <c r="G1515" s="252" t="s">
        <v>2241</v>
      </c>
      <c r="H1515" s="253" t="s">
        <v>1959</v>
      </c>
      <c r="W1515" s="253"/>
      <c r="AE1515" s="370">
        <f t="shared" si="215"/>
        <v>0</v>
      </c>
    </row>
    <row r="1516" spans="6:31" ht="18.75" customHeight="1">
      <c r="H1516" s="253" t="s">
        <v>32</v>
      </c>
      <c r="M1516" s="253"/>
      <c r="N1516" s="252" t="s">
        <v>2241</v>
      </c>
      <c r="O1516" s="296" t="s">
        <v>1980</v>
      </c>
      <c r="Q1516" s="296"/>
      <c r="W1516" s="253"/>
      <c r="AE1516" s="370">
        <f t="shared" si="215"/>
        <v>0</v>
      </c>
    </row>
    <row r="1517" spans="6:31" ht="18.75" customHeight="1">
      <c r="F1517" s="252">
        <v>3.08</v>
      </c>
      <c r="G1517" s="252" t="s">
        <v>1365</v>
      </c>
      <c r="H1517" s="296" t="s">
        <v>31</v>
      </c>
      <c r="I1517" s="252">
        <f>E271</f>
        <v>158</v>
      </c>
      <c r="J1517" s="296" t="s">
        <v>1365</v>
      </c>
      <c r="K1517" s="252">
        <f>(F1517*I1517)</f>
        <v>486.64</v>
      </c>
      <c r="O1517" s="296" t="s">
        <v>995</v>
      </c>
      <c r="Q1517" s="296"/>
      <c r="W1517" s="253"/>
      <c r="AE1517" s="370">
        <f t="shared" si="215"/>
        <v>0</v>
      </c>
    </row>
    <row r="1518" spans="6:31" ht="18.75" customHeight="1">
      <c r="F1518" s="252">
        <v>0.5</v>
      </c>
      <c r="G1518" s="252" t="s">
        <v>557</v>
      </c>
      <c r="H1518" s="296" t="s">
        <v>1366</v>
      </c>
      <c r="I1518" s="252">
        <f>C14</f>
        <v>797</v>
      </c>
      <c r="J1518" s="296" t="s">
        <v>557</v>
      </c>
      <c r="K1518" s="252">
        <f>(F1518*I1518)</f>
        <v>398.5</v>
      </c>
      <c r="O1518" s="296" t="s">
        <v>996</v>
      </c>
      <c r="Q1518" s="296"/>
      <c r="W1518" s="253"/>
      <c r="AE1518" s="370">
        <f t="shared" si="215"/>
        <v>0</v>
      </c>
    </row>
    <row r="1519" spans="6:31" ht="18.75" customHeight="1">
      <c r="F1519" s="252">
        <v>0.5</v>
      </c>
      <c r="G1519" s="252" t="s">
        <v>557</v>
      </c>
      <c r="H1519" s="296" t="s">
        <v>820</v>
      </c>
      <c r="I1519" s="252">
        <f>C12</f>
        <v>651</v>
      </c>
      <c r="J1519" s="296" t="s">
        <v>557</v>
      </c>
      <c r="K1519" s="252">
        <f>(F1519*I1519)</f>
        <v>325.5</v>
      </c>
      <c r="O1519" s="296" t="s">
        <v>28</v>
      </c>
      <c r="Q1519" s="296"/>
      <c r="W1519" s="253"/>
      <c r="AE1519" s="370">
        <f t="shared" si="215"/>
        <v>0</v>
      </c>
    </row>
    <row r="1520" spans="6:31" ht="18.75" customHeight="1">
      <c r="F1520" s="252">
        <v>0.8</v>
      </c>
      <c r="G1520" s="252" t="s">
        <v>557</v>
      </c>
      <c r="H1520" s="296" t="s">
        <v>1367</v>
      </c>
      <c r="I1520" s="252">
        <f>C13</f>
        <v>534</v>
      </c>
      <c r="J1520" s="296" t="s">
        <v>557</v>
      </c>
      <c r="K1520" s="252">
        <f>(F1520*I1520)</f>
        <v>427.2</v>
      </c>
      <c r="O1520" s="358" t="s">
        <v>1579</v>
      </c>
      <c r="Q1520" s="296"/>
      <c r="W1520" s="253"/>
      <c r="AE1520" s="370">
        <f t="shared" si="215"/>
        <v>0</v>
      </c>
    </row>
    <row r="1521" spans="6:31" ht="18.75" customHeight="1">
      <c r="G1521" s="252" t="s">
        <v>446</v>
      </c>
      <c r="H1521" s="296" t="s">
        <v>1828</v>
      </c>
      <c r="J1521" s="296" t="s">
        <v>446</v>
      </c>
      <c r="K1521" s="252">
        <v>1.5</v>
      </c>
      <c r="M1521" s="252">
        <v>2.1800000000000002</v>
      </c>
      <c r="N1521" s="252" t="s">
        <v>1637</v>
      </c>
      <c r="O1521" s="296" t="s">
        <v>1981</v>
      </c>
      <c r="P1521" s="314">
        <v>70</v>
      </c>
      <c r="Q1521" s="296" t="s">
        <v>1637</v>
      </c>
      <c r="R1521" s="252">
        <f>M1521*P1521</f>
        <v>152.6</v>
      </c>
      <c r="W1521" s="253"/>
      <c r="AE1521" s="370">
        <f t="shared" si="215"/>
        <v>0</v>
      </c>
    </row>
    <row r="1522" spans="6:31" ht="18.75" customHeight="1">
      <c r="M1522" s="252">
        <v>0.75</v>
      </c>
      <c r="N1522" s="252" t="s">
        <v>865</v>
      </c>
      <c r="O1522" s="296" t="s">
        <v>29</v>
      </c>
      <c r="P1522" s="252">
        <f>C14</f>
        <v>797</v>
      </c>
      <c r="Q1522" s="296" t="s">
        <v>865</v>
      </c>
      <c r="R1522" s="252">
        <f>M1522*P1522</f>
        <v>597.75</v>
      </c>
      <c r="W1522" s="253"/>
      <c r="AE1522" s="370">
        <f t="shared" si="215"/>
        <v>0</v>
      </c>
    </row>
    <row r="1523" spans="6:31" ht="18.75" customHeight="1">
      <c r="K1523" s="358" t="s">
        <v>1579</v>
      </c>
      <c r="M1523" s="252">
        <v>0.75</v>
      </c>
      <c r="N1523" s="252" t="s">
        <v>865</v>
      </c>
      <c r="O1523" s="296" t="s">
        <v>930</v>
      </c>
      <c r="P1523" s="252">
        <f>C12</f>
        <v>651</v>
      </c>
      <c r="Q1523" s="296" t="s">
        <v>865</v>
      </c>
      <c r="R1523" s="252">
        <f>M1523*P1523</f>
        <v>488.25</v>
      </c>
      <c r="W1523" s="253"/>
      <c r="AE1523" s="370">
        <f t="shared" si="215"/>
        <v>0</v>
      </c>
    </row>
    <row r="1524" spans="6:31" ht="18.75" customHeight="1">
      <c r="H1524" s="253" t="s">
        <v>1368</v>
      </c>
      <c r="K1524" s="252">
        <f>SUM(K1517:K1521)</f>
        <v>1639.34</v>
      </c>
      <c r="M1524" s="252">
        <v>1.2</v>
      </c>
      <c r="N1524" s="252" t="s">
        <v>865</v>
      </c>
      <c r="O1524" s="296" t="s">
        <v>317</v>
      </c>
      <c r="P1524" s="252">
        <f>C13</f>
        <v>534</v>
      </c>
      <c r="Q1524" s="296" t="s">
        <v>865</v>
      </c>
      <c r="R1524" s="252">
        <f>M1524*P1524</f>
        <v>640.79999999999995</v>
      </c>
      <c r="W1524" s="253"/>
      <c r="AE1524" s="370">
        <f t="shared" si="215"/>
        <v>0</v>
      </c>
    </row>
    <row r="1525" spans="6:31" ht="18.75" customHeight="1">
      <c r="K1525" s="358" t="s">
        <v>1579</v>
      </c>
      <c r="N1525" s="252" t="s">
        <v>446</v>
      </c>
      <c r="O1525" s="296" t="s">
        <v>1828</v>
      </c>
      <c r="P1525" s="296" t="s">
        <v>971</v>
      </c>
      <c r="Q1525" s="296" t="s">
        <v>446</v>
      </c>
      <c r="R1525" s="252">
        <v>1.5</v>
      </c>
      <c r="W1525" s="253"/>
      <c r="AE1525" s="370">
        <f t="shared" si="215"/>
        <v>0</v>
      </c>
    </row>
    <row r="1526" spans="6:31" ht="18.75" customHeight="1">
      <c r="F1526" s="296" t="s">
        <v>971</v>
      </c>
      <c r="G1526" s="252" t="s">
        <v>971</v>
      </c>
      <c r="H1526" s="255" t="s">
        <v>1687</v>
      </c>
      <c r="I1526" s="276" t="s">
        <v>971</v>
      </c>
      <c r="J1526" s="276" t="s">
        <v>971</v>
      </c>
      <c r="K1526" s="274">
        <f>K1524/10</f>
        <v>163.93</v>
      </c>
      <c r="Q1526" s="296"/>
      <c r="R1526" s="358" t="s">
        <v>1579</v>
      </c>
      <c r="W1526" s="253"/>
      <c r="AE1526" s="370">
        <f t="shared" si="215"/>
        <v>0</v>
      </c>
    </row>
    <row r="1527" spans="6:31" ht="18.75" customHeight="1">
      <c r="K1527" s="358" t="s">
        <v>2046</v>
      </c>
      <c r="O1527" s="296" t="s">
        <v>438</v>
      </c>
      <c r="Q1527" s="296"/>
      <c r="R1527" s="252">
        <f>SUM(R1521:R1525)</f>
        <v>1880.9</v>
      </c>
      <c r="W1527" s="253"/>
      <c r="AE1527" s="370">
        <f t="shared" si="215"/>
        <v>0</v>
      </c>
    </row>
    <row r="1528" spans="6:31" ht="18.75" customHeight="1">
      <c r="F1528" s="253" t="s">
        <v>1369</v>
      </c>
      <c r="G1528" s="252" t="s">
        <v>2241</v>
      </c>
      <c r="H1528" s="296" t="s">
        <v>490</v>
      </c>
      <c r="Q1528" s="296"/>
      <c r="R1528" s="358" t="s">
        <v>1579</v>
      </c>
      <c r="W1528" s="253"/>
      <c r="AE1528" s="370">
        <f t="shared" si="215"/>
        <v>0</v>
      </c>
    </row>
    <row r="1529" spans="6:31" ht="18.75" customHeight="1">
      <c r="H1529" s="296" t="s">
        <v>1371</v>
      </c>
      <c r="O1529" s="296" t="s">
        <v>549</v>
      </c>
      <c r="Q1529" s="296"/>
      <c r="R1529" s="252">
        <f>(R1527/10)</f>
        <v>188.09</v>
      </c>
      <c r="W1529" s="253"/>
      <c r="AE1529" s="370">
        <f t="shared" si="215"/>
        <v>0</v>
      </c>
    </row>
    <row r="1530" spans="6:31" ht="18.75" customHeight="1">
      <c r="H1530" s="296" t="s">
        <v>1960</v>
      </c>
      <c r="Q1530" s="296"/>
      <c r="R1530" s="358" t="s">
        <v>2046</v>
      </c>
      <c r="W1530" s="253"/>
      <c r="AE1530" s="370">
        <f t="shared" si="215"/>
        <v>0</v>
      </c>
    </row>
    <row r="1531" spans="6:31" ht="18.75" customHeight="1">
      <c r="H1531" s="358" t="s">
        <v>1579</v>
      </c>
      <c r="L1531" s="480"/>
      <c r="M1531" s="481"/>
      <c r="N1531" s="1266" t="s">
        <v>4357</v>
      </c>
      <c r="O1531" s="1266"/>
      <c r="P1531" s="1266"/>
      <c r="Q1531" s="1266"/>
      <c r="R1531" s="1266"/>
      <c r="W1531" s="253"/>
      <c r="AE1531" s="370">
        <f t="shared" si="215"/>
        <v>0</v>
      </c>
    </row>
    <row r="1532" spans="6:31" ht="18.75" customHeight="1">
      <c r="F1532" s="252">
        <v>1.44</v>
      </c>
      <c r="G1532" s="252" t="s">
        <v>1233</v>
      </c>
      <c r="H1532" s="296" t="s">
        <v>1174</v>
      </c>
      <c r="I1532" s="252">
        <f>(C196)</f>
        <v>147.5</v>
      </c>
      <c r="J1532" s="296" t="s">
        <v>1233</v>
      </c>
      <c r="K1532" s="252">
        <f>(F1532*I1532)</f>
        <v>212.4</v>
      </c>
      <c r="L1532" s="483"/>
      <c r="M1532" s="484"/>
      <c r="N1532" s="481"/>
      <c r="O1532" s="482" t="s">
        <v>4358</v>
      </c>
      <c r="P1532" s="481"/>
      <c r="Q1532" s="481"/>
      <c r="R1532" s="481"/>
      <c r="W1532" s="253"/>
      <c r="AE1532" s="370">
        <f t="shared" si="215"/>
        <v>0</v>
      </c>
    </row>
    <row r="1533" spans="6:31" ht="18.75" customHeight="1">
      <c r="F1533" s="252">
        <v>0.7</v>
      </c>
      <c r="G1533" s="252" t="s">
        <v>766</v>
      </c>
      <c r="H1533" s="296" t="s">
        <v>1175</v>
      </c>
      <c r="I1533" s="252">
        <f>(C14)</f>
        <v>797</v>
      </c>
      <c r="J1533" s="296" t="s">
        <v>766</v>
      </c>
      <c r="K1533" s="252">
        <f>(F1533*I1533)</f>
        <v>557.9</v>
      </c>
      <c r="L1533" s="483"/>
      <c r="M1533" s="484"/>
      <c r="N1533" s="481"/>
      <c r="O1533" s="485"/>
      <c r="P1533" s="481"/>
      <c r="Q1533" s="481"/>
      <c r="R1533" s="481"/>
      <c r="W1533" s="253"/>
      <c r="AE1533" s="370">
        <f t="shared" si="215"/>
        <v>0</v>
      </c>
    </row>
    <row r="1534" spans="6:31" ht="18.75" customHeight="1">
      <c r="F1534" s="252">
        <v>2.5499999999999998</v>
      </c>
      <c r="G1534" s="252" t="s">
        <v>1233</v>
      </c>
      <c r="H1534" s="296" t="s">
        <v>1176</v>
      </c>
      <c r="I1534" s="252">
        <f>(C195)</f>
        <v>238.9</v>
      </c>
      <c r="J1534" s="296" t="s">
        <v>1233</v>
      </c>
      <c r="K1534" s="252">
        <f>(F1534*I1534)</f>
        <v>609.20000000000005</v>
      </c>
      <c r="L1534" s="483"/>
      <c r="M1534" s="484"/>
      <c r="N1534" s="481"/>
      <c r="O1534" s="485"/>
      <c r="P1534" s="481"/>
      <c r="Q1534" s="481"/>
      <c r="R1534" s="481"/>
      <c r="W1534" s="253"/>
      <c r="AE1534" s="370">
        <f t="shared" ref="AE1534:AE1597" si="218">AG1534</f>
        <v>0</v>
      </c>
    </row>
    <row r="1535" spans="6:31" ht="18.75" customHeight="1">
      <c r="F1535" s="252">
        <v>1.2</v>
      </c>
      <c r="G1535" s="252" t="s">
        <v>766</v>
      </c>
      <c r="H1535" s="296" t="s">
        <v>1175</v>
      </c>
      <c r="I1535" s="252">
        <f>(C14)</f>
        <v>797</v>
      </c>
      <c r="J1535" s="296" t="s">
        <v>766</v>
      </c>
      <c r="K1535" s="252">
        <f>(F1535*I1535)</f>
        <v>956.4</v>
      </c>
      <c r="L1535" s="483"/>
      <c r="M1535" s="484">
        <v>19.13</v>
      </c>
      <c r="N1535" s="481" t="s">
        <v>909</v>
      </c>
      <c r="O1535" s="485" t="s">
        <v>3920</v>
      </c>
      <c r="P1535" s="481">
        <f>P1489</f>
        <v>325</v>
      </c>
      <c r="Q1535" s="481" t="s">
        <v>909</v>
      </c>
      <c r="R1535" s="481">
        <f>P1535*M1535</f>
        <v>6217.25</v>
      </c>
      <c r="W1535" s="253"/>
      <c r="AE1535" s="370">
        <f t="shared" si="218"/>
        <v>0</v>
      </c>
    </row>
    <row r="1536" spans="6:31" ht="18.75" customHeight="1">
      <c r="G1536" s="252" t="s">
        <v>446</v>
      </c>
      <c r="H1536" s="296" t="s">
        <v>1177</v>
      </c>
      <c r="I1536" s="296" t="s">
        <v>971</v>
      </c>
      <c r="J1536" s="296" t="s">
        <v>446</v>
      </c>
      <c r="K1536" s="252">
        <v>1.5</v>
      </c>
      <c r="L1536" s="483"/>
      <c r="M1536" s="484">
        <v>2.97</v>
      </c>
      <c r="N1536" s="481" t="s">
        <v>230</v>
      </c>
      <c r="O1536" s="485" t="s">
        <v>3904</v>
      </c>
      <c r="P1536" s="481">
        <f>P1493</f>
        <v>306.89999999999998</v>
      </c>
      <c r="Q1536" s="481" t="s">
        <v>230</v>
      </c>
      <c r="R1536" s="481">
        <f t="shared" ref="R1536:R1541" si="219">P1536*M1536</f>
        <v>911.49</v>
      </c>
      <c r="W1536" s="253"/>
      <c r="AE1536" s="370">
        <f t="shared" si="218"/>
        <v>0</v>
      </c>
    </row>
    <row r="1537" spans="6:31" ht="18.75" customHeight="1">
      <c r="K1537" s="358" t="s">
        <v>1579</v>
      </c>
      <c r="L1537" s="483"/>
      <c r="M1537" s="484">
        <v>15.3</v>
      </c>
      <c r="N1537" s="481" t="s">
        <v>823</v>
      </c>
      <c r="O1537" s="485" t="s">
        <v>3903</v>
      </c>
      <c r="P1537" s="481">
        <f>P1494</f>
        <v>29.05</v>
      </c>
      <c r="Q1537" s="481" t="s">
        <v>823</v>
      </c>
      <c r="R1537" s="481">
        <f t="shared" si="219"/>
        <v>444.47</v>
      </c>
      <c r="W1537" s="253"/>
      <c r="AE1537" s="370">
        <f t="shared" si="218"/>
        <v>0</v>
      </c>
    </row>
    <row r="1538" spans="6:31" ht="18.75" customHeight="1">
      <c r="H1538" s="296" t="s">
        <v>438</v>
      </c>
      <c r="K1538" s="252">
        <f>SUM(K1532:K1536)</f>
        <v>2337.4</v>
      </c>
      <c r="L1538" s="483"/>
      <c r="M1538" s="484">
        <v>3</v>
      </c>
      <c r="N1538" s="481" t="s">
        <v>3912</v>
      </c>
      <c r="O1538" s="485" t="s">
        <v>3926</v>
      </c>
      <c r="P1538" s="481">
        <f>I4009</f>
        <v>350</v>
      </c>
      <c r="Q1538" s="481" t="s">
        <v>766</v>
      </c>
      <c r="R1538" s="481">
        <f t="shared" si="219"/>
        <v>1050</v>
      </c>
      <c r="W1538" s="253"/>
      <c r="AE1538" s="370">
        <f t="shared" si="218"/>
        <v>0</v>
      </c>
    </row>
    <row r="1539" spans="6:31" ht="18.75" customHeight="1">
      <c r="K1539" s="358" t="s">
        <v>1579</v>
      </c>
      <c r="L1539" s="483"/>
      <c r="M1539" s="484">
        <v>3</v>
      </c>
      <c r="N1539" s="481" t="s">
        <v>766</v>
      </c>
      <c r="O1539" s="485" t="s">
        <v>3905</v>
      </c>
      <c r="P1539" s="481">
        <f>I4010</f>
        <v>57.65</v>
      </c>
      <c r="Q1539" s="481" t="s">
        <v>766</v>
      </c>
      <c r="R1539" s="481">
        <f t="shared" si="219"/>
        <v>172.95</v>
      </c>
      <c r="W1539" s="253"/>
      <c r="AE1539" s="370">
        <f t="shared" si="218"/>
        <v>0</v>
      </c>
    </row>
    <row r="1540" spans="6:31" ht="18.75" customHeight="1">
      <c r="H1540" s="255" t="s">
        <v>549</v>
      </c>
      <c r="I1540" s="274"/>
      <c r="J1540" s="276"/>
      <c r="K1540" s="274">
        <f>(K1538/10)</f>
        <v>233.74</v>
      </c>
      <c r="L1540" s="483"/>
      <c r="M1540" s="484">
        <v>6</v>
      </c>
      <c r="N1540" s="481" t="s">
        <v>766</v>
      </c>
      <c r="O1540" s="485" t="s">
        <v>3907</v>
      </c>
      <c r="P1540" s="481">
        <f>I3995</f>
        <v>15</v>
      </c>
      <c r="Q1540" s="481" t="s">
        <v>766</v>
      </c>
      <c r="R1540" s="481">
        <f t="shared" si="219"/>
        <v>90</v>
      </c>
      <c r="W1540" s="253"/>
      <c r="AE1540" s="370">
        <f t="shared" si="218"/>
        <v>0</v>
      </c>
    </row>
    <row r="1541" spans="6:31" ht="18.75" customHeight="1">
      <c r="F1541" s="296" t="s">
        <v>971</v>
      </c>
      <c r="L1541" s="483"/>
      <c r="M1541" s="484">
        <v>2.97</v>
      </c>
      <c r="N1541" s="481" t="s">
        <v>2273</v>
      </c>
      <c r="O1541" s="485" t="s">
        <v>3908</v>
      </c>
      <c r="P1541" s="481">
        <f>R1552</f>
        <v>1998</v>
      </c>
      <c r="Q1541" s="481" t="s">
        <v>2273</v>
      </c>
      <c r="R1541" s="481">
        <f t="shared" si="219"/>
        <v>5934.06</v>
      </c>
      <c r="W1541" s="253"/>
      <c r="AE1541" s="370">
        <f t="shared" si="218"/>
        <v>0</v>
      </c>
    </row>
    <row r="1542" spans="6:31" ht="18.75" customHeight="1">
      <c r="K1542" s="358" t="s">
        <v>2046</v>
      </c>
      <c r="L1542" s="483"/>
      <c r="M1542" s="484"/>
      <c r="N1542" s="481"/>
      <c r="O1542" s="485" t="s">
        <v>2261</v>
      </c>
      <c r="P1542" s="481"/>
      <c r="Q1542" s="486"/>
      <c r="R1542" s="481">
        <v>3.5</v>
      </c>
      <c r="W1542" s="253"/>
      <c r="AE1542" s="370">
        <f t="shared" si="218"/>
        <v>0</v>
      </c>
    </row>
    <row r="1543" spans="6:31" ht="18.75" customHeight="1">
      <c r="F1543" s="369">
        <v>41</v>
      </c>
      <c r="G1543" s="252" t="s">
        <v>2241</v>
      </c>
      <c r="H1543" s="296" t="s">
        <v>1370</v>
      </c>
      <c r="L1543" s="483"/>
      <c r="M1543" s="481"/>
      <c r="N1543" s="481"/>
      <c r="O1543" s="296" t="s">
        <v>4359</v>
      </c>
      <c r="P1543" s="481"/>
      <c r="Q1543" s="481"/>
      <c r="R1543" s="487">
        <f>SUM(R1535:R1542)</f>
        <v>14823.72</v>
      </c>
      <c r="W1543" s="253"/>
      <c r="AE1543" s="370">
        <f t="shared" si="218"/>
        <v>0</v>
      </c>
    </row>
    <row r="1544" spans="6:31" ht="18.75" customHeight="1">
      <c r="H1544" s="296" t="s">
        <v>1041</v>
      </c>
      <c r="L1544" s="488"/>
      <c r="M1544" s="481"/>
      <c r="N1544" s="481"/>
      <c r="W1544" s="253"/>
      <c r="AE1544" s="370">
        <f t="shared" si="218"/>
        <v>0</v>
      </c>
    </row>
    <row r="1545" spans="6:31" ht="18.75" customHeight="1">
      <c r="H1545" s="296" t="s">
        <v>1232</v>
      </c>
      <c r="L1545" s="480"/>
      <c r="M1545" s="481"/>
      <c r="N1545" s="481"/>
      <c r="O1545" s="296" t="s">
        <v>549</v>
      </c>
      <c r="P1545" s="481"/>
      <c r="Q1545" s="481"/>
      <c r="R1545" s="487">
        <f>R1543/2.97</f>
        <v>4991.1499999999996</v>
      </c>
      <c r="S1545" s="356">
        <f>R1545-3740</f>
        <v>1251.1500000000001</v>
      </c>
      <c r="W1545" s="253"/>
      <c r="AE1545" s="370">
        <f t="shared" si="218"/>
        <v>0</v>
      </c>
    </row>
    <row r="1546" spans="6:31" ht="18.75" customHeight="1">
      <c r="H1546" s="358" t="s">
        <v>1579</v>
      </c>
      <c r="L1546" s="483"/>
      <c r="M1546" s="481"/>
      <c r="N1546" s="481"/>
      <c r="O1546" s="489"/>
      <c r="P1546" s="481"/>
      <c r="Q1546" s="481"/>
      <c r="R1546" s="481"/>
      <c r="W1546" s="253"/>
      <c r="AE1546" s="370">
        <f t="shared" si="218"/>
        <v>0</v>
      </c>
    </row>
    <row r="1547" spans="6:31" ht="18.75" customHeight="1">
      <c r="F1547" s="252">
        <v>2.2200000000000002</v>
      </c>
      <c r="G1547" s="252" t="s">
        <v>1233</v>
      </c>
      <c r="H1547" s="296" t="s">
        <v>1176</v>
      </c>
      <c r="I1547" s="252">
        <f>(C207)</f>
        <v>227.6</v>
      </c>
      <c r="J1547" s="296" t="s">
        <v>1233</v>
      </c>
      <c r="K1547" s="252">
        <f>(F1547*I1547)</f>
        <v>505.27</v>
      </c>
      <c r="L1547" s="483"/>
      <c r="M1547" s="481">
        <v>1</v>
      </c>
      <c r="N1547" s="481" t="s">
        <v>865</v>
      </c>
      <c r="O1547" s="485" t="s">
        <v>5697</v>
      </c>
      <c r="P1547" s="481">
        <f>AE17</f>
        <v>881</v>
      </c>
      <c r="Q1547" s="485" t="s">
        <v>865</v>
      </c>
      <c r="R1547" s="481">
        <f>P1547*M1547</f>
        <v>881</v>
      </c>
      <c r="W1547" s="253"/>
      <c r="AE1547" s="370">
        <f t="shared" si="218"/>
        <v>0</v>
      </c>
    </row>
    <row r="1548" spans="6:31" ht="18.75" customHeight="1">
      <c r="F1548" s="252">
        <v>1.1000000000000001</v>
      </c>
      <c r="G1548" s="252" t="s">
        <v>766</v>
      </c>
      <c r="H1548" s="296" t="s">
        <v>1175</v>
      </c>
      <c r="I1548" s="252">
        <f>(C14)</f>
        <v>797</v>
      </c>
      <c r="J1548" s="296" t="s">
        <v>766</v>
      </c>
      <c r="K1548" s="252">
        <f>(F1548*I1548)</f>
        <v>876.7</v>
      </c>
      <c r="L1548" s="483"/>
      <c r="M1548" s="481">
        <v>1</v>
      </c>
      <c r="N1548" s="481" t="s">
        <v>865</v>
      </c>
      <c r="O1548" s="485" t="s">
        <v>5698</v>
      </c>
      <c r="P1548" s="481">
        <f>AE11</f>
        <v>651</v>
      </c>
      <c r="Q1548" s="485" t="s">
        <v>865</v>
      </c>
      <c r="R1548" s="481">
        <f>P1548*M1548</f>
        <v>651</v>
      </c>
      <c r="W1548" s="253"/>
      <c r="AE1548" s="370">
        <f t="shared" si="218"/>
        <v>0</v>
      </c>
    </row>
    <row r="1549" spans="6:31" ht="18.75" customHeight="1">
      <c r="G1549" s="252" t="s">
        <v>446</v>
      </c>
      <c r="H1549" s="296" t="s">
        <v>1177</v>
      </c>
      <c r="I1549" s="296" t="s">
        <v>971</v>
      </c>
      <c r="J1549" s="296" t="s">
        <v>446</v>
      </c>
      <c r="K1549" s="252">
        <v>1.5</v>
      </c>
      <c r="L1549" s="483"/>
      <c r="M1549" s="481">
        <v>0.5</v>
      </c>
      <c r="N1549" s="481" t="s">
        <v>865</v>
      </c>
      <c r="O1549" s="485" t="s">
        <v>5699</v>
      </c>
      <c r="P1549" s="481">
        <f>AE20</f>
        <v>932</v>
      </c>
      <c r="Q1549" s="485" t="s">
        <v>865</v>
      </c>
      <c r="R1549" s="481">
        <f>P1549*M1549</f>
        <v>466</v>
      </c>
      <c r="W1549" s="253"/>
      <c r="AE1549" s="370">
        <f t="shared" si="218"/>
        <v>0</v>
      </c>
    </row>
    <row r="1550" spans="6:31" ht="18.75" customHeight="1">
      <c r="K1550" s="358" t="s">
        <v>1579</v>
      </c>
      <c r="L1550" s="483"/>
      <c r="M1550" s="481"/>
      <c r="N1550" s="481"/>
      <c r="O1550" s="481"/>
      <c r="P1550" s="481"/>
      <c r="Q1550" s="485"/>
      <c r="R1550" s="481"/>
      <c r="W1550" s="253"/>
      <c r="AE1550" s="370">
        <f t="shared" si="218"/>
        <v>0</v>
      </c>
    </row>
    <row r="1551" spans="6:31" ht="18.75" customHeight="1">
      <c r="H1551" s="296" t="s">
        <v>438</v>
      </c>
      <c r="K1551" s="252">
        <f>SUM(K1547:K1549)</f>
        <v>1383.47</v>
      </c>
      <c r="L1551" s="483"/>
      <c r="M1551" s="481"/>
      <c r="N1551" s="481"/>
      <c r="O1551" s="485" t="s">
        <v>3917</v>
      </c>
      <c r="P1551" s="481"/>
      <c r="Q1551" s="485"/>
      <c r="R1551" s="490" t="s">
        <v>1579</v>
      </c>
      <c r="W1551" s="253"/>
      <c r="AE1551" s="370">
        <f t="shared" si="218"/>
        <v>0</v>
      </c>
    </row>
    <row r="1552" spans="6:31" ht="18.75" customHeight="1">
      <c r="K1552" s="358" t="s">
        <v>1579</v>
      </c>
      <c r="L1552" s="483"/>
      <c r="M1552" s="481"/>
      <c r="N1552" s="481"/>
      <c r="O1552" s="481"/>
      <c r="P1552" s="481"/>
      <c r="Q1552" s="485"/>
      <c r="R1552" s="487">
        <f>SUM(R1547:R1551)</f>
        <v>1998</v>
      </c>
      <c r="W1552" s="253"/>
      <c r="AE1552" s="370">
        <f t="shared" si="218"/>
        <v>0</v>
      </c>
    </row>
    <row r="1553" spans="6:31" ht="18.75" customHeight="1">
      <c r="H1553" s="255" t="s">
        <v>549</v>
      </c>
      <c r="I1553" s="274"/>
      <c r="J1553" s="276"/>
      <c r="K1553" s="274">
        <f>(K1551/10)</f>
        <v>138.35</v>
      </c>
      <c r="L1553" s="483"/>
      <c r="W1553" s="253"/>
      <c r="AE1553" s="370">
        <f t="shared" si="218"/>
        <v>0</v>
      </c>
    </row>
    <row r="1554" spans="6:31" ht="18.75" customHeight="1">
      <c r="H1554" s="296"/>
      <c r="L1554" s="483"/>
      <c r="W1554" s="253"/>
      <c r="AE1554" s="370">
        <f t="shared" si="218"/>
        <v>0</v>
      </c>
    </row>
    <row r="1555" spans="6:31" ht="18.75" customHeight="1">
      <c r="H1555" s="296"/>
      <c r="L1555" s="483"/>
      <c r="W1555" s="253"/>
      <c r="AE1555" s="370">
        <f t="shared" si="218"/>
        <v>0</v>
      </c>
    </row>
    <row r="1556" spans="6:31" ht="18.75" customHeight="1">
      <c r="F1556" s="491">
        <v>238</v>
      </c>
      <c r="G1556" s="492" t="s">
        <v>2241</v>
      </c>
      <c r="H1556" s="493" t="s">
        <v>583</v>
      </c>
      <c r="I1556" s="492"/>
      <c r="J1556" s="493"/>
      <c r="K1556" s="492"/>
      <c r="L1556" s="483"/>
      <c r="W1556" s="253"/>
      <c r="AE1556" s="370">
        <f t="shared" si="218"/>
        <v>0</v>
      </c>
    </row>
    <row r="1557" spans="6:31" ht="18.75" customHeight="1">
      <c r="F1557" s="494"/>
      <c r="H1557" s="296" t="s">
        <v>1961</v>
      </c>
      <c r="L1557" s="488"/>
      <c r="W1557" s="253"/>
      <c r="AE1557" s="370">
        <f t="shared" si="218"/>
        <v>0</v>
      </c>
    </row>
    <row r="1558" spans="6:31" ht="18.75" customHeight="1">
      <c r="F1558" s="494"/>
      <c r="H1558" s="358" t="s">
        <v>1579</v>
      </c>
      <c r="W1558" s="253"/>
      <c r="AE1558" s="370">
        <f t="shared" si="218"/>
        <v>0</v>
      </c>
    </row>
    <row r="1559" spans="6:31" ht="18.75" customHeight="1">
      <c r="F1559" s="494">
        <v>20</v>
      </c>
      <c r="G1559" s="252" t="s">
        <v>1233</v>
      </c>
      <c r="H1559" s="296" t="s">
        <v>5700</v>
      </c>
      <c r="I1559" s="314">
        <f>D40</f>
        <v>116.2</v>
      </c>
      <c r="J1559" s="296" t="s">
        <v>1233</v>
      </c>
      <c r="K1559" s="252">
        <f>(F1559*I1559)</f>
        <v>2324</v>
      </c>
      <c r="W1559" s="253"/>
      <c r="AE1559" s="370">
        <f t="shared" si="218"/>
        <v>0</v>
      </c>
    </row>
    <row r="1560" spans="6:31" ht="18.75" customHeight="1">
      <c r="F1560" s="494"/>
      <c r="H1560" s="296" t="s">
        <v>585</v>
      </c>
      <c r="K1560" s="296" t="s">
        <v>971</v>
      </c>
      <c r="W1560" s="253"/>
      <c r="AE1560" s="370">
        <f t="shared" si="218"/>
        <v>0</v>
      </c>
    </row>
    <row r="1561" spans="6:31" ht="18.75" customHeight="1">
      <c r="F1561" s="494">
        <v>50</v>
      </c>
      <c r="G1561" s="252" t="s">
        <v>1637</v>
      </c>
      <c r="H1561" s="296" t="s">
        <v>859</v>
      </c>
      <c r="I1561" s="252">
        <f>C67/1000</f>
        <v>6.04</v>
      </c>
      <c r="J1561" s="296" t="s">
        <v>1637</v>
      </c>
      <c r="K1561" s="252">
        <f>(F1561*I1561)</f>
        <v>302</v>
      </c>
      <c r="W1561" s="253"/>
      <c r="AE1561" s="370">
        <f t="shared" si="218"/>
        <v>0</v>
      </c>
    </row>
    <row r="1562" spans="6:31" ht="18.75" customHeight="1">
      <c r="F1562" s="494">
        <v>1</v>
      </c>
      <c r="G1562" s="252" t="s">
        <v>446</v>
      </c>
      <c r="H1562" s="296" t="s">
        <v>586</v>
      </c>
      <c r="I1562" s="495">
        <v>75</v>
      </c>
      <c r="J1562" s="296" t="s">
        <v>446</v>
      </c>
      <c r="K1562" s="252">
        <f>(F1562*I1562)</f>
        <v>75</v>
      </c>
      <c r="W1562" s="253"/>
      <c r="AE1562" s="370">
        <f t="shared" si="218"/>
        <v>0</v>
      </c>
    </row>
    <row r="1563" spans="6:31" ht="18.75" customHeight="1">
      <c r="F1563" s="494">
        <v>1</v>
      </c>
      <c r="G1563" s="252" t="s">
        <v>446</v>
      </c>
      <c r="H1563" s="296" t="s">
        <v>587</v>
      </c>
      <c r="I1563" s="252">
        <f>C38</f>
        <v>40</v>
      </c>
      <c r="J1563" s="296" t="s">
        <v>446</v>
      </c>
      <c r="K1563" s="252">
        <f>(F1563*I1563)</f>
        <v>40</v>
      </c>
      <c r="W1563" s="253"/>
      <c r="AE1563" s="370">
        <f t="shared" si="218"/>
        <v>0</v>
      </c>
    </row>
    <row r="1564" spans="6:31" ht="18.75" customHeight="1">
      <c r="F1564" s="494">
        <v>2.5</v>
      </c>
      <c r="G1564" s="252" t="s">
        <v>446</v>
      </c>
      <c r="H1564" s="296" t="s">
        <v>588</v>
      </c>
      <c r="I1564" s="252">
        <f>D14</f>
        <v>772</v>
      </c>
      <c r="J1564" s="296" t="s">
        <v>446</v>
      </c>
      <c r="K1564" s="252">
        <f>(F1564*I1564)</f>
        <v>1930</v>
      </c>
      <c r="W1564" s="253"/>
      <c r="AE1564" s="370">
        <f t="shared" si="218"/>
        <v>0</v>
      </c>
    </row>
    <row r="1565" spans="6:31" ht="18.75" customHeight="1">
      <c r="F1565" s="494"/>
      <c r="G1565" s="252" t="s">
        <v>446</v>
      </c>
      <c r="H1565" s="296" t="s">
        <v>503</v>
      </c>
      <c r="J1565" s="296" t="s">
        <v>446</v>
      </c>
      <c r="K1565" s="407">
        <v>1.5</v>
      </c>
      <c r="W1565" s="253"/>
      <c r="AE1565" s="370">
        <f t="shared" si="218"/>
        <v>0</v>
      </c>
    </row>
    <row r="1566" spans="6:31" ht="18.75" customHeight="1">
      <c r="F1566" s="494"/>
      <c r="K1566" s="358" t="s">
        <v>1579</v>
      </c>
      <c r="W1566" s="253"/>
      <c r="AE1566" s="370">
        <f t="shared" si="218"/>
        <v>0</v>
      </c>
    </row>
    <row r="1567" spans="6:31" ht="18.75" customHeight="1">
      <c r="F1567" s="494"/>
      <c r="H1567" s="255" t="s">
        <v>589</v>
      </c>
      <c r="I1567" s="274"/>
      <c r="J1567" s="276"/>
      <c r="K1567" s="274">
        <f>SUM(K1559:K1565)</f>
        <v>4672.5</v>
      </c>
      <c r="W1567" s="253"/>
      <c r="AE1567" s="370">
        <f t="shared" si="218"/>
        <v>0</v>
      </c>
    </row>
    <row r="1568" spans="6:31" ht="18.75" customHeight="1">
      <c r="F1568" s="494"/>
      <c r="H1568" s="296"/>
      <c r="K1568" s="358" t="s">
        <v>1579</v>
      </c>
      <c r="W1568" s="253"/>
      <c r="AE1568" s="370">
        <f t="shared" si="218"/>
        <v>0</v>
      </c>
    </row>
    <row r="1569" spans="6:31" ht="18.75" customHeight="1">
      <c r="F1569" s="496"/>
      <c r="G1569" s="497"/>
      <c r="H1569" s="497"/>
      <c r="I1569" s="497"/>
      <c r="J1569" s="498"/>
      <c r="K1569" s="499"/>
      <c r="W1569" s="253"/>
      <c r="AE1569" s="370">
        <f t="shared" si="218"/>
        <v>0</v>
      </c>
    </row>
    <row r="1570" spans="6:31" ht="18.75" customHeight="1">
      <c r="F1570" s="500" t="s">
        <v>1042</v>
      </c>
      <c r="G1570" s="492" t="s">
        <v>2241</v>
      </c>
      <c r="H1570" s="493" t="s">
        <v>548</v>
      </c>
      <c r="I1570" s="492"/>
      <c r="J1570" s="493"/>
      <c r="K1570" s="492"/>
      <c r="W1570" s="253"/>
      <c r="AE1570" s="370">
        <f t="shared" si="218"/>
        <v>0</v>
      </c>
    </row>
    <row r="1571" spans="6:31" ht="18.75" customHeight="1">
      <c r="F1571" s="494"/>
      <c r="H1571" s="296" t="s">
        <v>2125</v>
      </c>
      <c r="W1571" s="253"/>
      <c r="AE1571" s="370">
        <f t="shared" si="218"/>
        <v>0</v>
      </c>
    </row>
    <row r="1572" spans="6:31" ht="18.75" customHeight="1">
      <c r="F1572" s="494"/>
      <c r="H1572" s="358" t="s">
        <v>1579</v>
      </c>
      <c r="W1572" s="253"/>
      <c r="AE1572" s="370">
        <f t="shared" si="218"/>
        <v>0</v>
      </c>
    </row>
    <row r="1573" spans="6:31" ht="18.75" customHeight="1">
      <c r="F1573" s="494">
        <v>1</v>
      </c>
      <c r="G1573" s="252" t="s">
        <v>523</v>
      </c>
      <c r="H1573" s="296" t="s">
        <v>524</v>
      </c>
      <c r="I1573" s="252">
        <f>(C139)</f>
        <v>58000</v>
      </c>
      <c r="J1573" s="296" t="s">
        <v>525</v>
      </c>
      <c r="K1573" s="252">
        <f>(F1573*I1573)/10</f>
        <v>5800</v>
      </c>
      <c r="W1573" s="253"/>
      <c r="AE1573" s="370">
        <f t="shared" si="218"/>
        <v>0</v>
      </c>
    </row>
    <row r="1574" spans="6:31" ht="18.75" customHeight="1">
      <c r="F1574" s="501">
        <v>0.01</v>
      </c>
      <c r="G1574" s="252" t="s">
        <v>523</v>
      </c>
      <c r="H1574" s="296" t="s">
        <v>192</v>
      </c>
      <c r="I1574" s="252">
        <f>(C143)</f>
        <v>56350</v>
      </c>
      <c r="J1574" s="296" t="s">
        <v>525</v>
      </c>
      <c r="K1574" s="252">
        <f>(F1574*I1574)/10</f>
        <v>56.35</v>
      </c>
      <c r="W1574" s="253"/>
      <c r="AE1574" s="370">
        <f t="shared" si="218"/>
        <v>0</v>
      </c>
    </row>
    <row r="1575" spans="6:31" ht="18.75" customHeight="1">
      <c r="F1575" s="501">
        <v>3.5</v>
      </c>
      <c r="G1575" s="252" t="s">
        <v>766</v>
      </c>
      <c r="H1575" s="296" t="s">
        <v>526</v>
      </c>
      <c r="I1575" s="252">
        <f>AE38</f>
        <v>866</v>
      </c>
      <c r="J1575" s="296" t="s">
        <v>1393</v>
      </c>
      <c r="K1575" s="252">
        <f>(F1575*I1575)</f>
        <v>3031</v>
      </c>
      <c r="W1575" s="253"/>
      <c r="AE1575" s="370">
        <f t="shared" si="218"/>
        <v>0</v>
      </c>
    </row>
    <row r="1576" spans="6:31" ht="18.75" customHeight="1">
      <c r="F1576" s="494">
        <v>1.3</v>
      </c>
      <c r="G1576" s="252" t="s">
        <v>1637</v>
      </c>
      <c r="H1576" s="296" t="s">
        <v>527</v>
      </c>
      <c r="I1576" s="252">
        <f>C67/1000</f>
        <v>6.04</v>
      </c>
      <c r="J1576" s="296" t="s">
        <v>1637</v>
      </c>
      <c r="K1576" s="252">
        <f>(F1576*I1576)</f>
        <v>7.85</v>
      </c>
      <c r="W1576" s="253"/>
      <c r="AE1576" s="370">
        <f t="shared" si="218"/>
        <v>0</v>
      </c>
    </row>
    <row r="1577" spans="6:31" ht="18.75" customHeight="1">
      <c r="F1577" s="494">
        <v>0.25</v>
      </c>
      <c r="G1577" s="252" t="s">
        <v>766</v>
      </c>
      <c r="H1577" s="296" t="s">
        <v>528</v>
      </c>
      <c r="I1577" s="252">
        <f>D14</f>
        <v>772</v>
      </c>
      <c r="J1577" s="296" t="s">
        <v>1393</v>
      </c>
      <c r="K1577" s="252">
        <f>(F1577*I1577)</f>
        <v>193</v>
      </c>
      <c r="W1577" s="253"/>
      <c r="AE1577" s="370">
        <f t="shared" si="218"/>
        <v>0</v>
      </c>
    </row>
    <row r="1578" spans="6:31" ht="18.75" customHeight="1">
      <c r="F1578" s="501"/>
      <c r="G1578" s="252" t="s">
        <v>446</v>
      </c>
      <c r="H1578" s="296" t="s">
        <v>447</v>
      </c>
      <c r="J1578" s="296" t="s">
        <v>446</v>
      </c>
      <c r="K1578" s="252">
        <f>(F1578*I1578)</f>
        <v>0</v>
      </c>
      <c r="W1578" s="253"/>
      <c r="AE1578" s="370">
        <f t="shared" si="218"/>
        <v>0</v>
      </c>
    </row>
    <row r="1579" spans="6:31" ht="18.75" customHeight="1">
      <c r="F1579" s="501"/>
      <c r="K1579" s="358" t="s">
        <v>1579</v>
      </c>
      <c r="W1579" s="253"/>
      <c r="AE1579" s="370">
        <f t="shared" si="218"/>
        <v>0</v>
      </c>
    </row>
    <row r="1580" spans="6:31" ht="18.75" customHeight="1">
      <c r="F1580" s="501"/>
      <c r="H1580" s="296" t="s">
        <v>529</v>
      </c>
      <c r="K1580" s="252">
        <f>SUM(K1573:K1578)</f>
        <v>9088.2000000000007</v>
      </c>
      <c r="W1580" s="253"/>
      <c r="AE1580" s="370">
        <f t="shared" si="218"/>
        <v>0</v>
      </c>
    </row>
    <row r="1581" spans="6:31" ht="18.75" customHeight="1">
      <c r="F1581" s="501"/>
      <c r="K1581" s="358" t="s">
        <v>1579</v>
      </c>
      <c r="W1581" s="253"/>
      <c r="AE1581" s="370">
        <f t="shared" si="218"/>
        <v>0</v>
      </c>
    </row>
    <row r="1582" spans="6:31" ht="18.75" customHeight="1">
      <c r="F1582" s="502"/>
      <c r="G1582" s="497"/>
      <c r="H1582" s="503" t="s">
        <v>530</v>
      </c>
      <c r="I1582" s="504"/>
      <c r="J1582" s="505"/>
      <c r="K1582" s="504">
        <f>(K1580*10)</f>
        <v>90882</v>
      </c>
      <c r="W1582" s="253"/>
      <c r="AE1582" s="370">
        <f t="shared" si="218"/>
        <v>0</v>
      </c>
    </row>
    <row r="1583" spans="6:31" ht="18.75" customHeight="1">
      <c r="F1583" s="356"/>
      <c r="K1583" s="358"/>
      <c r="W1583" s="253"/>
      <c r="AE1583" s="370">
        <f t="shared" si="218"/>
        <v>0</v>
      </c>
    </row>
    <row r="1584" spans="6:31" ht="18.75" customHeight="1">
      <c r="F1584" s="356"/>
      <c r="K1584" s="358"/>
      <c r="W1584" s="253"/>
      <c r="AE1584" s="370">
        <f t="shared" si="218"/>
        <v>0</v>
      </c>
    </row>
    <row r="1585" spans="6:31" ht="18.75" customHeight="1">
      <c r="F1585" s="356"/>
      <c r="H1585" s="274" t="s">
        <v>531</v>
      </c>
      <c r="K1585" s="358"/>
      <c r="W1585" s="253"/>
      <c r="AE1585" s="370">
        <f t="shared" si="218"/>
        <v>0</v>
      </c>
    </row>
    <row r="1586" spans="6:31" ht="18.75" customHeight="1">
      <c r="F1586" s="252">
        <v>1</v>
      </c>
      <c r="G1586" s="252" t="s">
        <v>523</v>
      </c>
      <c r="H1586" s="296" t="s">
        <v>532</v>
      </c>
      <c r="I1586" s="252">
        <f>C138</f>
        <v>58000</v>
      </c>
      <c r="J1586" s="296" t="s">
        <v>525</v>
      </c>
      <c r="K1586" s="252">
        <f>(F1586*I1586)/10</f>
        <v>5800</v>
      </c>
      <c r="W1586" s="253"/>
      <c r="AE1586" s="370">
        <f t="shared" si="218"/>
        <v>0</v>
      </c>
    </row>
    <row r="1587" spans="6:31" ht="18.75" customHeight="1">
      <c r="F1587" s="356">
        <v>0.01</v>
      </c>
      <c r="G1587" s="252" t="s">
        <v>523</v>
      </c>
      <c r="H1587" s="296" t="s">
        <v>192</v>
      </c>
      <c r="I1587" s="252">
        <f>C143</f>
        <v>56350</v>
      </c>
      <c r="J1587" s="296" t="s">
        <v>525</v>
      </c>
      <c r="K1587" s="252">
        <f>(F1587*I1587)/10</f>
        <v>56.35</v>
      </c>
      <c r="W1587" s="253"/>
      <c r="AE1587" s="370">
        <f t="shared" si="218"/>
        <v>0</v>
      </c>
    </row>
    <row r="1588" spans="6:31" ht="18.75" customHeight="1">
      <c r="F1588" s="356">
        <v>3.5</v>
      </c>
      <c r="G1588" s="252" t="s">
        <v>766</v>
      </c>
      <c r="H1588" s="296" t="s">
        <v>526</v>
      </c>
      <c r="I1588" s="252">
        <f>I1575</f>
        <v>866</v>
      </c>
      <c r="J1588" s="296" t="s">
        <v>1393</v>
      </c>
      <c r="K1588" s="252">
        <f>(F1588*I1588)</f>
        <v>3031</v>
      </c>
      <c r="W1588" s="253"/>
      <c r="AE1588" s="370">
        <f t="shared" si="218"/>
        <v>0</v>
      </c>
    </row>
    <row r="1589" spans="6:31" ht="18.75" customHeight="1">
      <c r="F1589" s="252">
        <v>1.3</v>
      </c>
      <c r="G1589" s="252" t="s">
        <v>1637</v>
      </c>
      <c r="H1589" s="296" t="s">
        <v>527</v>
      </c>
      <c r="I1589" s="252">
        <f>C67/1000</f>
        <v>6.04</v>
      </c>
      <c r="J1589" s="296" t="s">
        <v>1637</v>
      </c>
      <c r="K1589" s="252">
        <f>(F1589*I1589)</f>
        <v>7.85</v>
      </c>
      <c r="W1589" s="253"/>
      <c r="AE1589" s="370">
        <f t="shared" si="218"/>
        <v>0</v>
      </c>
    </row>
    <row r="1590" spans="6:31" ht="18.75" customHeight="1">
      <c r="F1590" s="252">
        <v>0.25</v>
      </c>
      <c r="G1590" s="252" t="s">
        <v>766</v>
      </c>
      <c r="H1590" s="296" t="s">
        <v>528</v>
      </c>
      <c r="I1590" s="252">
        <f>D14</f>
        <v>772</v>
      </c>
      <c r="J1590" s="296" t="s">
        <v>1393</v>
      </c>
      <c r="K1590" s="252">
        <f>(F1590*I1590)</f>
        <v>193</v>
      </c>
      <c r="W1590" s="253"/>
      <c r="AE1590" s="370">
        <f t="shared" si="218"/>
        <v>0</v>
      </c>
    </row>
    <row r="1591" spans="6:31" ht="18.75" customHeight="1">
      <c r="F1591" s="356"/>
      <c r="G1591" s="252" t="s">
        <v>446</v>
      </c>
      <c r="H1591" s="296" t="s">
        <v>447</v>
      </c>
      <c r="J1591" s="296" t="s">
        <v>446</v>
      </c>
      <c r="K1591" s="252">
        <f>(F1591*I1591)</f>
        <v>0</v>
      </c>
      <c r="W1591" s="253"/>
      <c r="AE1591" s="370">
        <f t="shared" si="218"/>
        <v>0</v>
      </c>
    </row>
    <row r="1592" spans="6:31" ht="18.75" customHeight="1">
      <c r="F1592" s="356"/>
      <c r="K1592" s="358" t="s">
        <v>1579</v>
      </c>
      <c r="W1592" s="253"/>
      <c r="AE1592" s="370">
        <f t="shared" si="218"/>
        <v>0</v>
      </c>
    </row>
    <row r="1593" spans="6:31" ht="18.75" customHeight="1">
      <c r="F1593" s="356"/>
      <c r="H1593" s="296" t="s">
        <v>529</v>
      </c>
      <c r="K1593" s="252">
        <f>SUM(K1586:K1591)</f>
        <v>9088.2000000000007</v>
      </c>
      <c r="W1593" s="253"/>
      <c r="AE1593" s="370">
        <f t="shared" si="218"/>
        <v>0</v>
      </c>
    </row>
    <row r="1594" spans="6:31" ht="18.75" customHeight="1">
      <c r="F1594" s="356"/>
      <c r="K1594" s="358" t="s">
        <v>1579</v>
      </c>
      <c r="W1594" s="253"/>
      <c r="AE1594" s="370">
        <f t="shared" si="218"/>
        <v>0</v>
      </c>
    </row>
    <row r="1595" spans="6:31" ht="18.75" customHeight="1">
      <c r="F1595" s="356" t="s">
        <v>971</v>
      </c>
      <c r="H1595" s="255" t="s">
        <v>530</v>
      </c>
      <c r="I1595" s="274"/>
      <c r="J1595" s="276"/>
      <c r="K1595" s="274">
        <f>(K1593*10)</f>
        <v>90882</v>
      </c>
      <c r="W1595" s="253"/>
      <c r="AE1595" s="370">
        <f t="shared" si="218"/>
        <v>0</v>
      </c>
    </row>
    <row r="1596" spans="6:31" ht="18.75" customHeight="1">
      <c r="F1596" s="356"/>
      <c r="K1596" s="358" t="s">
        <v>2046</v>
      </c>
      <c r="W1596" s="253"/>
      <c r="AE1596" s="370">
        <f t="shared" si="218"/>
        <v>0</v>
      </c>
    </row>
    <row r="1597" spans="6:31" ht="18.75" customHeight="1">
      <c r="F1597" s="356"/>
      <c r="H1597" s="296" t="s">
        <v>971</v>
      </c>
      <c r="K1597" s="296" t="s">
        <v>971</v>
      </c>
      <c r="W1597" s="253"/>
      <c r="AE1597" s="370">
        <f t="shared" si="218"/>
        <v>0</v>
      </c>
    </row>
    <row r="1598" spans="6:31" ht="18.75" customHeight="1">
      <c r="F1598" s="384" t="s">
        <v>533</v>
      </c>
      <c r="G1598" s="252" t="s">
        <v>1898</v>
      </c>
      <c r="H1598" s="296" t="s">
        <v>548</v>
      </c>
      <c r="O1598" s="274" t="s">
        <v>3862</v>
      </c>
      <c r="W1598" s="253"/>
      <c r="AE1598" s="370">
        <f t="shared" ref="AE1598:AE1661" si="220">AG1598</f>
        <v>0</v>
      </c>
    </row>
    <row r="1599" spans="6:31" ht="18.75" customHeight="1">
      <c r="F1599" s="356"/>
      <c r="H1599" s="296" t="s">
        <v>534</v>
      </c>
      <c r="M1599" s="384" t="s">
        <v>533</v>
      </c>
      <c r="N1599" s="252" t="s">
        <v>1898</v>
      </c>
      <c r="O1599" s="296" t="s">
        <v>548</v>
      </c>
      <c r="Q1599" s="296"/>
      <c r="W1599" s="253"/>
      <c r="AE1599" s="370">
        <f t="shared" si="220"/>
        <v>0</v>
      </c>
    </row>
    <row r="1600" spans="6:31" ht="18.75" customHeight="1">
      <c r="F1600" s="356"/>
      <c r="H1600" s="358" t="s">
        <v>1579</v>
      </c>
      <c r="M1600" s="356"/>
      <c r="O1600" s="296" t="s">
        <v>534</v>
      </c>
      <c r="Q1600" s="296"/>
      <c r="W1600" s="253"/>
      <c r="AE1600" s="370">
        <f t="shared" si="220"/>
        <v>0</v>
      </c>
    </row>
    <row r="1601" spans="6:31" ht="18.75" customHeight="1">
      <c r="F1601" s="252">
        <v>1</v>
      </c>
      <c r="G1601" s="252" t="s">
        <v>523</v>
      </c>
      <c r="H1601" s="296" t="s">
        <v>524</v>
      </c>
      <c r="I1601" s="252">
        <f>(C139)</f>
        <v>58000</v>
      </c>
      <c r="J1601" s="296" t="s">
        <v>525</v>
      </c>
      <c r="K1601" s="252">
        <f>(F1601*I1601)/10</f>
        <v>5800</v>
      </c>
      <c r="L1601" s="252">
        <f>K1626+K1630</f>
        <v>393.72</v>
      </c>
      <c r="M1601" s="356"/>
      <c r="O1601" s="358" t="s">
        <v>1579</v>
      </c>
      <c r="Q1601" s="296"/>
      <c r="W1601" s="253"/>
      <c r="AE1601" s="370">
        <f t="shared" si="220"/>
        <v>0</v>
      </c>
    </row>
    <row r="1602" spans="6:31" ht="18.75" customHeight="1">
      <c r="F1602" s="356">
        <v>0.01</v>
      </c>
      <c r="G1602" s="252" t="s">
        <v>523</v>
      </c>
      <c r="H1602" s="296" t="s">
        <v>192</v>
      </c>
      <c r="I1602" s="252">
        <f>I1587</f>
        <v>56350</v>
      </c>
      <c r="J1602" s="296" t="s">
        <v>525</v>
      </c>
      <c r="K1602" s="252">
        <f>(F1602*I1602)/10</f>
        <v>56.35</v>
      </c>
      <c r="L1602" s="252">
        <f>L1601/3</f>
        <v>131.24</v>
      </c>
      <c r="M1602" s="252">
        <v>1</v>
      </c>
      <c r="N1602" s="252" t="s">
        <v>523</v>
      </c>
      <c r="O1602" s="296" t="s">
        <v>524</v>
      </c>
      <c r="P1602" s="252">
        <f>I1601</f>
        <v>58000</v>
      </c>
      <c r="Q1602" s="296" t="s">
        <v>525</v>
      </c>
      <c r="R1602" s="252">
        <f>(M1602*P1602)/10</f>
        <v>5800</v>
      </c>
      <c r="W1602" s="253"/>
      <c r="AE1602" s="370">
        <f t="shared" si="220"/>
        <v>0</v>
      </c>
    </row>
    <row r="1603" spans="6:31" ht="18.75" customHeight="1">
      <c r="F1603" s="356">
        <v>3.5</v>
      </c>
      <c r="G1603" s="252" t="s">
        <v>766</v>
      </c>
      <c r="H1603" s="296" t="s">
        <v>526</v>
      </c>
      <c r="I1603" s="252">
        <f>AE38</f>
        <v>866</v>
      </c>
      <c r="J1603" s="296" t="s">
        <v>766</v>
      </c>
      <c r="K1603" s="252">
        <f>(F1603*I1603)</f>
        <v>3031</v>
      </c>
      <c r="M1603" s="356">
        <v>0.01</v>
      </c>
      <c r="N1603" s="252" t="s">
        <v>523</v>
      </c>
      <c r="O1603" s="276" t="s">
        <v>4015</v>
      </c>
      <c r="P1603" s="456">
        <f>80000/112*100</f>
        <v>71428.570000000007</v>
      </c>
      <c r="Q1603" s="296" t="s">
        <v>525</v>
      </c>
      <c r="R1603" s="252">
        <f>(M1603*P1603)/10</f>
        <v>71.430000000000007</v>
      </c>
      <c r="W1603" s="253"/>
      <c r="AE1603" s="370">
        <f t="shared" si="220"/>
        <v>0</v>
      </c>
    </row>
    <row r="1604" spans="6:31" ht="18.75" customHeight="1">
      <c r="F1604" s="356"/>
      <c r="G1604" s="252" t="s">
        <v>446</v>
      </c>
      <c r="H1604" s="296" t="s">
        <v>447</v>
      </c>
      <c r="J1604" s="296" t="s">
        <v>446</v>
      </c>
      <c r="K1604" s="252">
        <v>0</v>
      </c>
      <c r="M1604" s="356">
        <v>3.5</v>
      </c>
      <c r="N1604" s="252" t="s">
        <v>766</v>
      </c>
      <c r="O1604" s="296" t="s">
        <v>526</v>
      </c>
      <c r="P1604" s="252">
        <f>I1603</f>
        <v>866</v>
      </c>
      <c r="Q1604" s="296" t="s">
        <v>766</v>
      </c>
      <c r="R1604" s="252">
        <f>(M1604*P1604)</f>
        <v>3031</v>
      </c>
      <c r="W1604" s="253"/>
      <c r="AE1604" s="370">
        <f t="shared" si="220"/>
        <v>0</v>
      </c>
    </row>
    <row r="1605" spans="6:31" ht="18.75" customHeight="1">
      <c r="K1605" s="358" t="s">
        <v>1579</v>
      </c>
      <c r="M1605" s="356"/>
      <c r="N1605" s="252" t="s">
        <v>446</v>
      </c>
      <c r="O1605" s="296" t="s">
        <v>447</v>
      </c>
      <c r="Q1605" s="296" t="s">
        <v>446</v>
      </c>
      <c r="R1605" s="252">
        <v>0</v>
      </c>
      <c r="W1605" s="253"/>
      <c r="AE1605" s="370">
        <f t="shared" si="220"/>
        <v>0</v>
      </c>
    </row>
    <row r="1606" spans="6:31" ht="18.75" customHeight="1">
      <c r="H1606" s="296" t="s">
        <v>529</v>
      </c>
      <c r="K1606" s="252">
        <f>SUM(K1601:K1604)</f>
        <v>8887.35</v>
      </c>
      <c r="Q1606" s="296"/>
      <c r="R1606" s="358" t="s">
        <v>1579</v>
      </c>
      <c r="W1606" s="253"/>
      <c r="AE1606" s="370">
        <f t="shared" si="220"/>
        <v>0</v>
      </c>
    </row>
    <row r="1607" spans="6:31" ht="18.75" customHeight="1">
      <c r="K1607" s="358" t="s">
        <v>1579</v>
      </c>
      <c r="O1607" s="296" t="s">
        <v>529</v>
      </c>
      <c r="Q1607" s="296"/>
      <c r="R1607" s="252">
        <f>SUM(R1602:R1605)</f>
        <v>8902.43</v>
      </c>
      <c r="W1607" s="253"/>
      <c r="AE1607" s="370">
        <f t="shared" si="220"/>
        <v>0</v>
      </c>
    </row>
    <row r="1608" spans="6:31" ht="18.75" customHeight="1">
      <c r="H1608" s="255" t="s">
        <v>530</v>
      </c>
      <c r="I1608" s="274"/>
      <c r="J1608" s="276"/>
      <c r="K1608" s="274">
        <f>(K1606*10)</f>
        <v>88873.5</v>
      </c>
      <c r="Q1608" s="296"/>
      <c r="R1608" s="358" t="s">
        <v>1579</v>
      </c>
      <c r="W1608" s="253"/>
      <c r="AE1608" s="370">
        <f t="shared" si="220"/>
        <v>0</v>
      </c>
    </row>
    <row r="1609" spans="6:31" ht="18.75" customHeight="1">
      <c r="H1609" s="296" t="s">
        <v>971</v>
      </c>
      <c r="K1609" s="296" t="s">
        <v>971</v>
      </c>
      <c r="O1609" s="255" t="s">
        <v>530</v>
      </c>
      <c r="P1609" s="274"/>
      <c r="Q1609" s="276"/>
      <c r="R1609" s="274">
        <f>(R1607*10)</f>
        <v>89024.3</v>
      </c>
      <c r="W1609" s="253"/>
      <c r="AE1609" s="370">
        <f t="shared" si="220"/>
        <v>0</v>
      </c>
    </row>
    <row r="1610" spans="6:31" ht="18.75" customHeight="1">
      <c r="G1610" s="252" t="s">
        <v>517</v>
      </c>
      <c r="H1610" s="296" t="s">
        <v>548</v>
      </c>
      <c r="K1610" s="296"/>
      <c r="W1610" s="253"/>
      <c r="AE1610" s="370">
        <f t="shared" si="220"/>
        <v>0</v>
      </c>
    </row>
    <row r="1611" spans="6:31" ht="18.75" customHeight="1">
      <c r="H1611" s="296" t="s">
        <v>1588</v>
      </c>
      <c r="K1611" s="296"/>
      <c r="N1611" s="252" t="s">
        <v>517</v>
      </c>
      <c r="O1611" s="296" t="s">
        <v>548</v>
      </c>
      <c r="Q1611" s="296"/>
      <c r="R1611" s="296"/>
      <c r="W1611" s="253"/>
      <c r="AE1611" s="370">
        <f t="shared" si="220"/>
        <v>0</v>
      </c>
    </row>
    <row r="1612" spans="6:31" ht="18.75" customHeight="1">
      <c r="F1612" s="356"/>
      <c r="H1612" s="358" t="s">
        <v>1579</v>
      </c>
      <c r="K1612" s="296"/>
      <c r="O1612" s="296" t="s">
        <v>1588</v>
      </c>
      <c r="Q1612" s="296"/>
      <c r="R1612" s="296"/>
      <c r="W1612" s="253"/>
      <c r="AE1612" s="370">
        <f t="shared" si="220"/>
        <v>0</v>
      </c>
    </row>
    <row r="1613" spans="6:31" ht="18.75" customHeight="1">
      <c r="F1613" s="252">
        <v>1</v>
      </c>
      <c r="G1613" s="252" t="s">
        <v>523</v>
      </c>
      <c r="H1613" s="296" t="s">
        <v>532</v>
      </c>
      <c r="I1613" s="252">
        <f>C138</f>
        <v>58000</v>
      </c>
      <c r="J1613" s="296" t="s">
        <v>525</v>
      </c>
      <c r="K1613" s="252">
        <f>(F1613*I1613)/10</f>
        <v>5800</v>
      </c>
      <c r="M1613" s="356"/>
      <c r="O1613" s="358" t="s">
        <v>1579</v>
      </c>
      <c r="Q1613" s="296"/>
      <c r="R1613" s="296"/>
      <c r="W1613" s="253"/>
      <c r="AE1613" s="370">
        <f t="shared" si="220"/>
        <v>0</v>
      </c>
    </row>
    <row r="1614" spans="6:31" ht="18.75" customHeight="1">
      <c r="F1614" s="356">
        <v>0.01</v>
      </c>
      <c r="G1614" s="252" t="s">
        <v>523</v>
      </c>
      <c r="H1614" s="296" t="s">
        <v>192</v>
      </c>
      <c r="I1614" s="252">
        <f>C143</f>
        <v>56350</v>
      </c>
      <c r="J1614" s="296" t="s">
        <v>525</v>
      </c>
      <c r="K1614" s="252">
        <f>(F1614*I1614)/10</f>
        <v>56.35</v>
      </c>
      <c r="M1614" s="252">
        <v>1</v>
      </c>
      <c r="N1614" s="252" t="s">
        <v>523</v>
      </c>
      <c r="O1614" s="296" t="s">
        <v>532</v>
      </c>
      <c r="P1614" s="252">
        <f>I1613</f>
        <v>58000</v>
      </c>
      <c r="Q1614" s="296" t="s">
        <v>525</v>
      </c>
      <c r="R1614" s="252">
        <f>(M1614*P1614)/10</f>
        <v>5800</v>
      </c>
      <c r="W1614" s="253"/>
      <c r="AE1614" s="370">
        <f t="shared" si="220"/>
        <v>0</v>
      </c>
    </row>
    <row r="1615" spans="6:31" ht="18.75" customHeight="1">
      <c r="F1615" s="356">
        <v>3.5</v>
      </c>
      <c r="G1615" s="252" t="s">
        <v>766</v>
      </c>
      <c r="H1615" s="296" t="s">
        <v>526</v>
      </c>
      <c r="I1615" s="252">
        <f>I1603</f>
        <v>866</v>
      </c>
      <c r="J1615" s="296" t="s">
        <v>766</v>
      </c>
      <c r="K1615" s="252">
        <f>(F1615*I1615)</f>
        <v>3031</v>
      </c>
      <c r="M1615" s="356">
        <v>0.01</v>
      </c>
      <c r="N1615" s="252" t="s">
        <v>523</v>
      </c>
      <c r="O1615" s="276" t="str">
        <f>O1603</f>
        <v>BINDING WIRE insulated with PVC as per circular</v>
      </c>
      <c r="P1615" s="252">
        <f>P1603</f>
        <v>71428.570000000007</v>
      </c>
      <c r="Q1615" s="296" t="s">
        <v>525</v>
      </c>
      <c r="R1615" s="252">
        <f>(M1615*P1615)/10</f>
        <v>71.430000000000007</v>
      </c>
      <c r="W1615" s="253"/>
      <c r="AE1615" s="370">
        <f t="shared" si="220"/>
        <v>0</v>
      </c>
    </row>
    <row r="1616" spans="6:31" ht="18.75" customHeight="1">
      <c r="F1616" s="356"/>
      <c r="G1616" s="252" t="s">
        <v>446</v>
      </c>
      <c r="H1616" s="296" t="s">
        <v>447</v>
      </c>
      <c r="J1616" s="296" t="s">
        <v>446</v>
      </c>
      <c r="K1616" s="252">
        <v>0</v>
      </c>
      <c r="M1616" s="356">
        <v>3.5</v>
      </c>
      <c r="N1616" s="252" t="s">
        <v>523</v>
      </c>
      <c r="O1616" s="296" t="s">
        <v>526</v>
      </c>
      <c r="P1616" s="252">
        <f>I1615</f>
        <v>866</v>
      </c>
      <c r="Q1616" s="296" t="s">
        <v>766</v>
      </c>
      <c r="R1616" s="252">
        <f>(M1616*P1616)</f>
        <v>3031</v>
      </c>
      <c r="W1616" s="253"/>
      <c r="AE1616" s="370">
        <f t="shared" si="220"/>
        <v>0</v>
      </c>
    </row>
    <row r="1617" spans="6:31" ht="18.75" customHeight="1">
      <c r="K1617" s="358" t="s">
        <v>1579</v>
      </c>
      <c r="M1617" s="356"/>
      <c r="N1617" s="252" t="s">
        <v>523</v>
      </c>
      <c r="O1617" s="296" t="s">
        <v>447</v>
      </c>
      <c r="Q1617" s="296" t="s">
        <v>446</v>
      </c>
      <c r="R1617" s="252">
        <v>0</v>
      </c>
      <c r="W1617" s="253"/>
      <c r="AE1617" s="370">
        <f t="shared" si="220"/>
        <v>0</v>
      </c>
    </row>
    <row r="1618" spans="6:31" ht="18.75" customHeight="1">
      <c r="H1618" s="296" t="s">
        <v>529</v>
      </c>
      <c r="K1618" s="252">
        <f>SUM(K1613:K1616)</f>
        <v>8887.35</v>
      </c>
      <c r="Q1618" s="296"/>
      <c r="R1618" s="358" t="s">
        <v>1579</v>
      </c>
      <c r="W1618" s="253"/>
      <c r="AE1618" s="370">
        <f t="shared" si="220"/>
        <v>0</v>
      </c>
    </row>
    <row r="1619" spans="6:31" ht="18.75" customHeight="1">
      <c r="K1619" s="358" t="s">
        <v>1579</v>
      </c>
      <c r="O1619" s="296" t="s">
        <v>529</v>
      </c>
      <c r="Q1619" s="296"/>
      <c r="R1619" s="252">
        <f>SUM(R1614:R1617)</f>
        <v>8902.43</v>
      </c>
      <c r="W1619" s="253"/>
      <c r="AE1619" s="370">
        <f t="shared" si="220"/>
        <v>0</v>
      </c>
    </row>
    <row r="1620" spans="6:31" ht="18.75" customHeight="1">
      <c r="H1620" s="255" t="s">
        <v>530</v>
      </c>
      <c r="I1620" s="274"/>
      <c r="J1620" s="276"/>
      <c r="K1620" s="274">
        <f>(K1618*10)</f>
        <v>88873.5</v>
      </c>
      <c r="Q1620" s="296"/>
      <c r="R1620" s="358" t="s">
        <v>1579</v>
      </c>
      <c r="W1620" s="253"/>
      <c r="AE1620" s="370">
        <f t="shared" si="220"/>
        <v>0</v>
      </c>
    </row>
    <row r="1621" spans="6:31" ht="18.75" customHeight="1">
      <c r="H1621" s="296" t="s">
        <v>971</v>
      </c>
      <c r="O1621" s="255" t="s">
        <v>530</v>
      </c>
      <c r="P1621" s="274"/>
      <c r="Q1621" s="276"/>
      <c r="R1621" s="274">
        <f>(R1619*10)</f>
        <v>89024.3</v>
      </c>
      <c r="W1621" s="253"/>
      <c r="AE1621" s="370">
        <f t="shared" si="220"/>
        <v>0</v>
      </c>
    </row>
    <row r="1622" spans="6:31" ht="18.75" customHeight="1">
      <c r="F1622" s="375">
        <v>44.1</v>
      </c>
      <c r="G1622" s="252" t="s">
        <v>2241</v>
      </c>
      <c r="H1622" s="296" t="s">
        <v>1589</v>
      </c>
      <c r="W1622" s="253"/>
      <c r="AE1622" s="370">
        <f t="shared" si="220"/>
        <v>0</v>
      </c>
    </row>
    <row r="1623" spans="6:31" ht="18.75" customHeight="1">
      <c r="H1623" s="296" t="s">
        <v>1590</v>
      </c>
      <c r="R1623" s="252" t="s">
        <v>246</v>
      </c>
      <c r="W1623" s="253"/>
      <c r="AE1623" s="370">
        <f t="shared" si="220"/>
        <v>0</v>
      </c>
    </row>
    <row r="1624" spans="6:31" ht="18.75" customHeight="1">
      <c r="H1624" s="296" t="s">
        <v>5701</v>
      </c>
      <c r="M1624" s="375">
        <v>44.1</v>
      </c>
      <c r="N1624" s="252" t="s">
        <v>2241</v>
      </c>
      <c r="O1624" s="296" t="s">
        <v>1589</v>
      </c>
      <c r="W1624" s="253"/>
      <c r="AE1624" s="370">
        <f t="shared" si="220"/>
        <v>0</v>
      </c>
    </row>
    <row r="1625" spans="6:31" ht="18.75" customHeight="1">
      <c r="H1625" s="358" t="s">
        <v>1579</v>
      </c>
      <c r="O1625" s="296" t="s">
        <v>1590</v>
      </c>
      <c r="W1625" s="253"/>
      <c r="AE1625" s="370">
        <f t="shared" si="220"/>
        <v>0</v>
      </c>
    </row>
    <row r="1626" spans="6:31" ht="18.75" customHeight="1">
      <c r="F1626" s="252">
        <v>3</v>
      </c>
      <c r="G1626" s="252" t="s">
        <v>1763</v>
      </c>
      <c r="H1626" s="296" t="s">
        <v>2037</v>
      </c>
      <c r="I1626" s="252">
        <f>D620</f>
        <v>120.54</v>
      </c>
      <c r="J1626" s="296" t="s">
        <v>1763</v>
      </c>
      <c r="K1626" s="252">
        <f t="shared" ref="K1626:K1631" si="221">(F1626*I1626)</f>
        <v>361.62</v>
      </c>
      <c r="O1626" s="296" t="s">
        <v>5701</v>
      </c>
      <c r="W1626" s="253"/>
      <c r="AE1626" s="370">
        <f t="shared" si="220"/>
        <v>0</v>
      </c>
    </row>
    <row r="1627" spans="6:31" ht="18.75" customHeight="1">
      <c r="F1627" s="252">
        <v>1</v>
      </c>
      <c r="G1627" s="252" t="s">
        <v>865</v>
      </c>
      <c r="H1627" s="296" t="s">
        <v>2090</v>
      </c>
      <c r="I1627" s="420">
        <f>(C623)</f>
        <v>76</v>
      </c>
      <c r="J1627" s="296" t="s">
        <v>865</v>
      </c>
      <c r="K1627" s="252">
        <f t="shared" si="221"/>
        <v>76</v>
      </c>
      <c r="O1627" s="358" t="s">
        <v>1579</v>
      </c>
      <c r="W1627" s="253"/>
      <c r="AE1627" s="370">
        <f t="shared" si="220"/>
        <v>0</v>
      </c>
    </row>
    <row r="1628" spans="6:31" ht="18.75" customHeight="1">
      <c r="F1628" s="252">
        <v>1</v>
      </c>
      <c r="G1628" s="252" t="s">
        <v>865</v>
      </c>
      <c r="H1628" s="296" t="s">
        <v>2091</v>
      </c>
      <c r="I1628" s="252">
        <f>(C626)</f>
        <v>83.4</v>
      </c>
      <c r="J1628" s="296" t="s">
        <v>865</v>
      </c>
      <c r="K1628" s="252">
        <f t="shared" si="221"/>
        <v>83.4</v>
      </c>
      <c r="M1628" s="252">
        <v>3</v>
      </c>
      <c r="N1628" s="252" t="s">
        <v>1763</v>
      </c>
      <c r="O1628" s="296" t="s">
        <v>2037</v>
      </c>
      <c r="P1628" s="252">
        <f>I1626</f>
        <v>120.54</v>
      </c>
      <c r="Q1628" s="252" t="str">
        <f>J1628</f>
        <v>NO.</v>
      </c>
      <c r="R1628" s="252">
        <f t="shared" ref="R1628:R1633" si="222">P1628*M1628</f>
        <v>361.62</v>
      </c>
      <c r="W1628" s="253"/>
      <c r="AE1628" s="370">
        <f t="shared" si="220"/>
        <v>0</v>
      </c>
    </row>
    <row r="1629" spans="6:31" ht="18.75" customHeight="1">
      <c r="F1629" s="252">
        <v>2</v>
      </c>
      <c r="G1629" s="252" t="s">
        <v>865</v>
      </c>
      <c r="H1629" s="296" t="s">
        <v>2092</v>
      </c>
      <c r="I1629" s="252">
        <f>C597</f>
        <v>21.6</v>
      </c>
      <c r="J1629" s="296" t="s">
        <v>865</v>
      </c>
      <c r="K1629" s="252">
        <f t="shared" si="221"/>
        <v>43.2</v>
      </c>
      <c r="M1629" s="252">
        <v>1</v>
      </c>
      <c r="N1629" s="252" t="s">
        <v>865</v>
      </c>
      <c r="O1629" s="296" t="s">
        <v>2090</v>
      </c>
      <c r="P1629" s="314">
        <v>76.78</v>
      </c>
      <c r="Q1629" s="252" t="str">
        <f>J1629</f>
        <v>NO.</v>
      </c>
      <c r="R1629" s="252">
        <f t="shared" si="222"/>
        <v>76.78</v>
      </c>
      <c r="W1629" s="253"/>
      <c r="AE1629" s="370">
        <f t="shared" si="220"/>
        <v>0</v>
      </c>
    </row>
    <row r="1630" spans="6:31" ht="18.75" customHeight="1">
      <c r="F1630" s="252">
        <v>1</v>
      </c>
      <c r="G1630" s="252" t="s">
        <v>865</v>
      </c>
      <c r="H1630" s="296" t="s">
        <v>2093</v>
      </c>
      <c r="I1630" s="252">
        <f>(C696)</f>
        <v>32.1</v>
      </c>
      <c r="J1630" s="296" t="s">
        <v>865</v>
      </c>
      <c r="K1630" s="252">
        <f t="shared" si="221"/>
        <v>32.1</v>
      </c>
      <c r="M1630" s="252">
        <v>1</v>
      </c>
      <c r="N1630" s="252" t="s">
        <v>865</v>
      </c>
      <c r="O1630" s="296" t="s">
        <v>2091</v>
      </c>
      <c r="P1630" s="252">
        <f>I1628</f>
        <v>83.4</v>
      </c>
      <c r="Q1630" s="252" t="str">
        <f>J1630</f>
        <v>NO.</v>
      </c>
      <c r="R1630" s="252">
        <f t="shared" si="222"/>
        <v>83.4</v>
      </c>
      <c r="W1630" s="253"/>
      <c r="AE1630" s="370">
        <f t="shared" si="220"/>
        <v>0</v>
      </c>
    </row>
    <row r="1631" spans="6:31" ht="18.75" customHeight="1">
      <c r="F1631" s="252">
        <v>0.5</v>
      </c>
      <c r="G1631" s="252" t="s">
        <v>865</v>
      </c>
      <c r="H1631" s="296" t="s">
        <v>2094</v>
      </c>
      <c r="I1631" s="252">
        <f>(C15)</f>
        <v>866</v>
      </c>
      <c r="J1631" s="296" t="s">
        <v>865</v>
      </c>
      <c r="K1631" s="252">
        <f t="shared" si="221"/>
        <v>433</v>
      </c>
      <c r="M1631" s="274">
        <v>2</v>
      </c>
      <c r="N1631" s="274" t="s">
        <v>1026</v>
      </c>
      <c r="O1631" s="506" t="s">
        <v>4215</v>
      </c>
      <c r="P1631" s="314">
        <v>12</v>
      </c>
      <c r="Q1631" s="252" t="str">
        <f>J1631</f>
        <v>NO.</v>
      </c>
      <c r="R1631" s="252">
        <f t="shared" si="222"/>
        <v>24</v>
      </c>
      <c r="W1631" s="253"/>
      <c r="AE1631" s="370">
        <f t="shared" si="220"/>
        <v>0</v>
      </c>
    </row>
    <row r="1632" spans="6:31" ht="18.75" customHeight="1">
      <c r="G1632" s="252" t="s">
        <v>446</v>
      </c>
      <c r="H1632" s="296" t="s">
        <v>602</v>
      </c>
      <c r="J1632" s="296" t="s">
        <v>446</v>
      </c>
      <c r="M1632" s="252">
        <v>1</v>
      </c>
      <c r="N1632" s="252" t="s">
        <v>1026</v>
      </c>
      <c r="O1632" s="296" t="s">
        <v>2093</v>
      </c>
      <c r="P1632" s="252">
        <f>I1630</f>
        <v>32.1</v>
      </c>
      <c r="Q1632" s="252" t="str">
        <f>J1632</f>
        <v>L.S</v>
      </c>
      <c r="R1632" s="252">
        <f t="shared" si="222"/>
        <v>32.1</v>
      </c>
      <c r="W1632" s="253"/>
      <c r="AE1632" s="370">
        <f t="shared" si="220"/>
        <v>0</v>
      </c>
    </row>
    <row r="1633" spans="6:31" ht="18.75" customHeight="1">
      <c r="H1633" s="296" t="s">
        <v>20</v>
      </c>
      <c r="M1633" s="252">
        <v>0.5</v>
      </c>
      <c r="N1633" s="252" t="s">
        <v>1026</v>
      </c>
      <c r="O1633" s="296" t="s">
        <v>2094</v>
      </c>
      <c r="P1633" s="252">
        <f>I1631</f>
        <v>866</v>
      </c>
      <c r="R1633" s="252">
        <f t="shared" si="222"/>
        <v>433</v>
      </c>
      <c r="W1633" s="253"/>
      <c r="AE1633" s="370">
        <f t="shared" si="220"/>
        <v>0</v>
      </c>
    </row>
    <row r="1634" spans="6:31" ht="18.75" customHeight="1">
      <c r="K1634" s="358" t="s">
        <v>1579</v>
      </c>
      <c r="N1634" s="252" t="s">
        <v>1026</v>
      </c>
      <c r="O1634" s="296" t="s">
        <v>602</v>
      </c>
      <c r="P1634" s="252">
        <f>I1634</f>
        <v>0</v>
      </c>
      <c r="W1634" s="253"/>
      <c r="AE1634" s="370">
        <f t="shared" si="220"/>
        <v>0</v>
      </c>
    </row>
    <row r="1635" spans="6:31" ht="18.75" customHeight="1">
      <c r="H1635" s="296" t="s">
        <v>1312</v>
      </c>
      <c r="K1635" s="252">
        <f>SUM(K1626:K1632)</f>
        <v>1029.32</v>
      </c>
      <c r="O1635" s="296" t="s">
        <v>20</v>
      </c>
      <c r="R1635" s="252">
        <f>26.98+4.7</f>
        <v>31.68</v>
      </c>
      <c r="W1635" s="253"/>
      <c r="AE1635" s="370">
        <f t="shared" si="220"/>
        <v>0</v>
      </c>
    </row>
    <row r="1636" spans="6:31" ht="18.75" customHeight="1">
      <c r="F1636" s="296" t="s">
        <v>971</v>
      </c>
      <c r="W1636" s="253"/>
      <c r="AE1636" s="370">
        <f t="shared" si="220"/>
        <v>0</v>
      </c>
    </row>
    <row r="1637" spans="6:31" ht="18.75" customHeight="1">
      <c r="K1637" s="358" t="s">
        <v>1579</v>
      </c>
      <c r="O1637" s="296" t="s">
        <v>1312</v>
      </c>
      <c r="R1637" s="274">
        <f>SUM(R1628:R1636)</f>
        <v>1042.58</v>
      </c>
      <c r="W1637" s="253"/>
      <c r="AE1637" s="370">
        <f t="shared" si="220"/>
        <v>0</v>
      </c>
    </row>
    <row r="1638" spans="6:31" ht="18.75" customHeight="1">
      <c r="H1638" s="255" t="s">
        <v>1538</v>
      </c>
      <c r="I1638" s="274"/>
      <c r="J1638" s="276"/>
      <c r="K1638" s="274">
        <f>(K1635/3)</f>
        <v>343.11</v>
      </c>
      <c r="W1638" s="253"/>
      <c r="AE1638" s="370">
        <f t="shared" si="220"/>
        <v>0</v>
      </c>
    </row>
    <row r="1639" spans="6:31" ht="18.75" customHeight="1">
      <c r="H1639" s="296"/>
      <c r="K1639" s="358" t="s">
        <v>2046</v>
      </c>
      <c r="Q1639" s="296"/>
      <c r="R1639" s="358" t="s">
        <v>1579</v>
      </c>
      <c r="W1639" s="253"/>
      <c r="AE1639" s="370">
        <f t="shared" si="220"/>
        <v>0</v>
      </c>
    </row>
    <row r="1640" spans="6:31" ht="18.75" customHeight="1">
      <c r="F1640" s="253" t="s">
        <v>1313</v>
      </c>
      <c r="H1640" s="296" t="s">
        <v>14</v>
      </c>
      <c r="O1640" s="255" t="s">
        <v>1538</v>
      </c>
      <c r="P1640" s="274"/>
      <c r="Q1640" s="276"/>
      <c r="R1640" s="274">
        <f>(R1637/3)</f>
        <v>347.53</v>
      </c>
      <c r="S1640" s="356">
        <f>310*3</f>
        <v>930</v>
      </c>
      <c r="T1640" s="252">
        <f>S1640-R1637</f>
        <v>-112.58</v>
      </c>
      <c r="W1640" s="253"/>
      <c r="AE1640" s="370">
        <f t="shared" si="220"/>
        <v>0</v>
      </c>
    </row>
    <row r="1641" spans="6:31" ht="18.75" customHeight="1">
      <c r="H1641" s="296" t="s">
        <v>15</v>
      </c>
      <c r="O1641" s="296"/>
      <c r="Q1641" s="296"/>
      <c r="R1641" s="358" t="s">
        <v>2046</v>
      </c>
      <c r="W1641" s="253"/>
      <c r="AE1641" s="370">
        <f t="shared" si="220"/>
        <v>0</v>
      </c>
    </row>
    <row r="1642" spans="6:31" ht="18.75" customHeight="1">
      <c r="H1642" s="296" t="s">
        <v>2027</v>
      </c>
      <c r="W1642" s="253"/>
      <c r="AE1642" s="370">
        <f t="shared" si="220"/>
        <v>0</v>
      </c>
    </row>
    <row r="1643" spans="6:31" ht="18.75" customHeight="1">
      <c r="H1643" s="358" t="s">
        <v>1579</v>
      </c>
      <c r="W1643" s="253"/>
      <c r="AE1643" s="370">
        <f t="shared" si="220"/>
        <v>0</v>
      </c>
    </row>
    <row r="1644" spans="6:31" ht="18.75" customHeight="1">
      <c r="F1644" s="252">
        <v>0.15</v>
      </c>
      <c r="G1644" s="252" t="s">
        <v>866</v>
      </c>
      <c r="H1644" s="296" t="s">
        <v>2028</v>
      </c>
      <c r="I1644" s="252">
        <f>(C70)</f>
        <v>1281.77</v>
      </c>
      <c r="J1644" s="296" t="s">
        <v>866</v>
      </c>
      <c r="K1644" s="252">
        <f>(F1644*I1644)</f>
        <v>192.27</v>
      </c>
      <c r="W1644" s="253"/>
      <c r="AE1644" s="370">
        <f t="shared" si="220"/>
        <v>0</v>
      </c>
    </row>
    <row r="1645" spans="6:31" ht="18.75" customHeight="1">
      <c r="F1645" s="316">
        <v>8.6499999999999994E-2</v>
      </c>
      <c r="G1645" s="252" t="s">
        <v>858</v>
      </c>
      <c r="H1645" s="296" t="s">
        <v>859</v>
      </c>
      <c r="I1645" s="252">
        <f>(C67)</f>
        <v>6040</v>
      </c>
      <c r="J1645" s="296" t="s">
        <v>858</v>
      </c>
      <c r="K1645" s="252">
        <f>(F1645*I1645)</f>
        <v>522.46</v>
      </c>
      <c r="W1645" s="253"/>
      <c r="AE1645" s="370">
        <f t="shared" si="220"/>
        <v>0</v>
      </c>
    </row>
    <row r="1646" spans="6:31" ht="18.75" customHeight="1">
      <c r="F1646" s="252">
        <v>1.6</v>
      </c>
      <c r="G1646" s="252" t="s">
        <v>766</v>
      </c>
      <c r="H1646" s="296" t="s">
        <v>2000</v>
      </c>
      <c r="I1646" s="252">
        <f>(C10)</f>
        <v>999</v>
      </c>
      <c r="J1646" s="296" t="s">
        <v>766</v>
      </c>
      <c r="K1646" s="252">
        <f>(F1646*I1646)</f>
        <v>1598.4</v>
      </c>
      <c r="W1646" s="253"/>
      <c r="AE1646" s="370">
        <f t="shared" si="220"/>
        <v>0</v>
      </c>
    </row>
    <row r="1647" spans="6:31" ht="18.75" customHeight="1">
      <c r="F1647" s="252">
        <v>0.5</v>
      </c>
      <c r="G1647" s="252" t="s">
        <v>766</v>
      </c>
      <c r="H1647" s="296" t="s">
        <v>1893</v>
      </c>
      <c r="I1647" s="252">
        <f>(C12)</f>
        <v>651</v>
      </c>
      <c r="J1647" s="296" t="s">
        <v>766</v>
      </c>
      <c r="K1647" s="252">
        <f>(F1647*I1647)</f>
        <v>325.5</v>
      </c>
      <c r="W1647" s="253"/>
      <c r="AE1647" s="370">
        <f t="shared" si="220"/>
        <v>0</v>
      </c>
    </row>
    <row r="1648" spans="6:31" ht="18.75" customHeight="1">
      <c r="F1648" s="252">
        <v>1.1000000000000001</v>
      </c>
      <c r="G1648" s="252" t="s">
        <v>766</v>
      </c>
      <c r="H1648" s="296" t="s">
        <v>317</v>
      </c>
      <c r="I1648" s="252">
        <f>(C13)</f>
        <v>534</v>
      </c>
      <c r="J1648" s="296" t="s">
        <v>766</v>
      </c>
      <c r="K1648" s="252">
        <f>(F1648*I1648)</f>
        <v>587.4</v>
      </c>
      <c r="W1648" s="253"/>
      <c r="AE1648" s="370">
        <f t="shared" si="220"/>
        <v>0</v>
      </c>
    </row>
    <row r="1649" spans="6:31" ht="18.75" customHeight="1">
      <c r="G1649" s="252" t="s">
        <v>446</v>
      </c>
      <c r="H1649" s="296" t="s">
        <v>447</v>
      </c>
      <c r="I1649" s="296" t="s">
        <v>971</v>
      </c>
      <c r="J1649" s="296" t="s">
        <v>446</v>
      </c>
      <c r="K1649" s="252">
        <v>0</v>
      </c>
      <c r="W1649" s="253"/>
      <c r="AE1649" s="370">
        <f t="shared" si="220"/>
        <v>0</v>
      </c>
    </row>
    <row r="1650" spans="6:31" ht="18.75" customHeight="1">
      <c r="K1650" s="358" t="s">
        <v>1579</v>
      </c>
      <c r="W1650" s="253"/>
      <c r="AE1650" s="370">
        <f t="shared" si="220"/>
        <v>0</v>
      </c>
    </row>
    <row r="1651" spans="6:31" ht="18.75" customHeight="1">
      <c r="H1651" s="296" t="s">
        <v>438</v>
      </c>
      <c r="K1651" s="252">
        <f>SUM(K1644:K1649)</f>
        <v>3226.03</v>
      </c>
      <c r="W1651" s="253"/>
      <c r="AE1651" s="370">
        <f t="shared" si="220"/>
        <v>0</v>
      </c>
    </row>
    <row r="1652" spans="6:31" ht="18.75" customHeight="1">
      <c r="K1652" s="358" t="s">
        <v>1579</v>
      </c>
      <c r="W1652" s="253"/>
      <c r="AE1652" s="370">
        <f t="shared" si="220"/>
        <v>0</v>
      </c>
    </row>
    <row r="1653" spans="6:31" ht="18.75" customHeight="1">
      <c r="H1653" s="255" t="s">
        <v>549</v>
      </c>
      <c r="I1653" s="274"/>
      <c r="J1653" s="276"/>
      <c r="K1653" s="274">
        <f>(K1651/10)</f>
        <v>322.60000000000002</v>
      </c>
      <c r="W1653" s="253"/>
      <c r="AE1653" s="370">
        <f t="shared" si="220"/>
        <v>0</v>
      </c>
    </row>
    <row r="1654" spans="6:31" ht="18.75" customHeight="1">
      <c r="K1654" s="358" t="s">
        <v>2046</v>
      </c>
      <c r="W1654" s="253"/>
      <c r="AE1654" s="370">
        <f t="shared" si="220"/>
        <v>0</v>
      </c>
    </row>
    <row r="1655" spans="6:31" ht="18.75" customHeight="1">
      <c r="F1655" s="253" t="s">
        <v>2029</v>
      </c>
      <c r="G1655" s="252" t="s">
        <v>2241</v>
      </c>
      <c r="H1655" s="296" t="s">
        <v>2030</v>
      </c>
      <c r="W1655" s="253"/>
      <c r="AE1655" s="370">
        <f t="shared" si="220"/>
        <v>0</v>
      </c>
    </row>
    <row r="1656" spans="6:31" ht="18.75" customHeight="1">
      <c r="H1656" s="296" t="s">
        <v>1206</v>
      </c>
      <c r="W1656" s="253"/>
      <c r="AE1656" s="370">
        <f t="shared" si="220"/>
        <v>0</v>
      </c>
    </row>
    <row r="1657" spans="6:31" ht="18.75" customHeight="1">
      <c r="H1657" s="296" t="s">
        <v>1207</v>
      </c>
      <c r="J1657" s="296" t="s">
        <v>971</v>
      </c>
      <c r="W1657" s="253"/>
      <c r="AE1657" s="370">
        <f t="shared" si="220"/>
        <v>0</v>
      </c>
    </row>
    <row r="1658" spans="6:31" ht="18.75" customHeight="1">
      <c r="H1658" s="296" t="s">
        <v>1103</v>
      </c>
      <c r="W1658" s="253"/>
      <c r="AE1658" s="370">
        <f t="shared" si="220"/>
        <v>0</v>
      </c>
    </row>
    <row r="1659" spans="6:31" ht="18.75" customHeight="1">
      <c r="H1659" s="296" t="s">
        <v>1022</v>
      </c>
      <c r="W1659" s="253"/>
      <c r="AE1659" s="370">
        <f t="shared" si="220"/>
        <v>0</v>
      </c>
    </row>
    <row r="1660" spans="6:31" ht="18.75" customHeight="1">
      <c r="H1660" s="296" t="s">
        <v>1804</v>
      </c>
      <c r="W1660" s="253"/>
      <c r="AE1660" s="370">
        <f t="shared" si="220"/>
        <v>0</v>
      </c>
    </row>
    <row r="1661" spans="6:31" ht="18.75" customHeight="1">
      <c r="H1661" s="296" t="s">
        <v>275</v>
      </c>
      <c r="W1661" s="253"/>
      <c r="AE1661" s="370">
        <f t="shared" si="220"/>
        <v>0</v>
      </c>
    </row>
    <row r="1662" spans="6:31" ht="18.75" customHeight="1">
      <c r="H1662" s="296" t="s">
        <v>276</v>
      </c>
      <c r="W1662" s="253"/>
      <c r="AE1662" s="370">
        <f t="shared" ref="AE1662:AE1695" si="223">AG1662</f>
        <v>0</v>
      </c>
    </row>
    <row r="1663" spans="6:31" ht="18.75" customHeight="1">
      <c r="H1663" s="296" t="s">
        <v>277</v>
      </c>
      <c r="W1663" s="253"/>
      <c r="AE1663" s="370">
        <f t="shared" si="223"/>
        <v>0</v>
      </c>
    </row>
    <row r="1664" spans="6:31" ht="18.75" customHeight="1">
      <c r="H1664" s="358" t="s">
        <v>2046</v>
      </c>
      <c r="W1664" s="253"/>
      <c r="AE1664" s="370">
        <f t="shared" si="223"/>
        <v>0</v>
      </c>
    </row>
    <row r="1665" spans="6:31" ht="18.75" customHeight="1">
      <c r="W1665" s="253"/>
      <c r="AE1665" s="370">
        <f t="shared" si="223"/>
        <v>0</v>
      </c>
    </row>
    <row r="1666" spans="6:31" ht="18.75" customHeight="1">
      <c r="F1666" s="252">
        <v>1</v>
      </c>
      <c r="G1666" s="252" t="s">
        <v>823</v>
      </c>
      <c r="H1666" s="296" t="s">
        <v>3496</v>
      </c>
      <c r="I1666" s="434">
        <v>45.72</v>
      </c>
      <c r="J1666" s="296" t="s">
        <v>823</v>
      </c>
      <c r="K1666" s="252">
        <f>(F1666*I1666)</f>
        <v>45.72</v>
      </c>
      <c r="W1666" s="253"/>
      <c r="AE1666" s="370">
        <f t="shared" si="223"/>
        <v>0</v>
      </c>
    </row>
    <row r="1667" spans="6:31" ht="18.75" customHeight="1">
      <c r="F1667" s="252">
        <v>1</v>
      </c>
      <c r="G1667" s="252" t="s">
        <v>279</v>
      </c>
      <c r="H1667" s="296" t="s">
        <v>1151</v>
      </c>
      <c r="I1667" s="434">
        <v>5</v>
      </c>
      <c r="J1667" s="296" t="s">
        <v>279</v>
      </c>
      <c r="K1667" s="252">
        <f>(F1667*I1667)</f>
        <v>5</v>
      </c>
      <c r="W1667" s="253"/>
      <c r="AE1667" s="370">
        <f t="shared" si="223"/>
        <v>0</v>
      </c>
    </row>
    <row r="1668" spans="6:31" ht="18.75" customHeight="1">
      <c r="G1668" s="252" t="s">
        <v>446</v>
      </c>
      <c r="H1668" s="296" t="s">
        <v>504</v>
      </c>
      <c r="J1668" s="296" t="s">
        <v>446</v>
      </c>
      <c r="K1668" s="252">
        <v>7.28</v>
      </c>
      <c r="W1668" s="253"/>
      <c r="AE1668" s="370">
        <f t="shared" si="223"/>
        <v>0</v>
      </c>
    </row>
    <row r="1669" spans="6:31" ht="18.75" customHeight="1">
      <c r="K1669" s="358" t="s">
        <v>1579</v>
      </c>
      <c r="W1669" s="253"/>
      <c r="AE1669" s="370">
        <f t="shared" si="223"/>
        <v>0</v>
      </c>
    </row>
    <row r="1670" spans="6:31" ht="18.75" customHeight="1">
      <c r="H1670" s="253" t="s">
        <v>1631</v>
      </c>
      <c r="K1670" s="252">
        <f>SUM(K1666:K1668)</f>
        <v>58</v>
      </c>
      <c r="W1670" s="253"/>
      <c r="AE1670" s="370">
        <f t="shared" si="223"/>
        <v>0</v>
      </c>
    </row>
    <row r="1671" spans="6:31" ht="18.75" customHeight="1">
      <c r="K1671" s="358" t="s">
        <v>2046</v>
      </c>
      <c r="W1671" s="253"/>
      <c r="AE1671" s="370">
        <f t="shared" si="223"/>
        <v>0</v>
      </c>
    </row>
    <row r="1672" spans="6:31" ht="18.75" customHeight="1">
      <c r="F1672" s="253" t="s">
        <v>1632</v>
      </c>
      <c r="G1672" s="252" t="s">
        <v>2241</v>
      </c>
      <c r="H1672" s="296" t="s">
        <v>5702</v>
      </c>
      <c r="W1672" s="253"/>
      <c r="AE1672" s="370">
        <f t="shared" si="223"/>
        <v>0</v>
      </c>
    </row>
    <row r="1673" spans="6:31" ht="18.75" customHeight="1">
      <c r="H1673" s="296" t="s">
        <v>399</v>
      </c>
      <c r="W1673" s="253"/>
      <c r="AE1673" s="370">
        <f t="shared" si="223"/>
        <v>0</v>
      </c>
    </row>
    <row r="1674" spans="6:31" ht="18.75" customHeight="1">
      <c r="H1674" s="296" t="s">
        <v>400</v>
      </c>
      <c r="W1674" s="253"/>
      <c r="AE1674" s="370">
        <f t="shared" si="223"/>
        <v>0</v>
      </c>
    </row>
    <row r="1675" spans="6:31" ht="18.75" customHeight="1">
      <c r="H1675" s="296" t="s">
        <v>397</v>
      </c>
      <c r="W1675" s="253"/>
      <c r="AE1675" s="370">
        <f t="shared" si="223"/>
        <v>0</v>
      </c>
    </row>
    <row r="1676" spans="6:31" ht="18.75" customHeight="1">
      <c r="H1676" s="296" t="s">
        <v>1751</v>
      </c>
      <c r="W1676" s="253"/>
      <c r="AE1676" s="370">
        <f t="shared" si="223"/>
        <v>0</v>
      </c>
    </row>
    <row r="1677" spans="6:31" ht="18.75" customHeight="1">
      <c r="H1677" s="358" t="s">
        <v>1579</v>
      </c>
      <c r="I1677" s="358" t="s">
        <v>1579</v>
      </c>
      <c r="W1677" s="253"/>
      <c r="AE1677" s="370">
        <f t="shared" si="223"/>
        <v>0</v>
      </c>
    </row>
    <row r="1678" spans="6:31" ht="18.75" customHeight="1">
      <c r="F1678" s="252">
        <v>1</v>
      </c>
      <c r="G1678" s="252" t="s">
        <v>1752</v>
      </c>
      <c r="H1678" s="296" t="s">
        <v>1545</v>
      </c>
      <c r="I1678" s="434">
        <v>85</v>
      </c>
      <c r="J1678" s="296" t="s">
        <v>1393</v>
      </c>
      <c r="K1678" s="252">
        <f>(F1678*I1678)</f>
        <v>85</v>
      </c>
      <c r="W1678" s="253"/>
      <c r="AE1678" s="370">
        <f t="shared" si="223"/>
        <v>0</v>
      </c>
    </row>
    <row r="1679" spans="6:31" ht="18.75" customHeight="1">
      <c r="G1679" s="252" t="s">
        <v>446</v>
      </c>
      <c r="H1679" s="296" t="s">
        <v>1546</v>
      </c>
      <c r="J1679" s="296" t="s">
        <v>446</v>
      </c>
      <c r="K1679" s="252">
        <v>7.5</v>
      </c>
      <c r="W1679" s="253"/>
      <c r="AE1679" s="370">
        <f t="shared" si="223"/>
        <v>0</v>
      </c>
    </row>
    <row r="1680" spans="6:31" ht="18.75" customHeight="1">
      <c r="G1680" s="252" t="s">
        <v>446</v>
      </c>
      <c r="H1680" s="296" t="s">
        <v>620</v>
      </c>
      <c r="J1680" s="296" t="s">
        <v>446</v>
      </c>
      <c r="K1680" s="252">
        <f>1.75+0.75</f>
        <v>2.5</v>
      </c>
      <c r="W1680" s="253"/>
      <c r="AE1680" s="370">
        <f t="shared" si="223"/>
        <v>0</v>
      </c>
    </row>
    <row r="1681" spans="6:31" ht="18.75" customHeight="1">
      <c r="H1681" s="296" t="s">
        <v>621</v>
      </c>
      <c r="K1681" s="358" t="s">
        <v>1579</v>
      </c>
      <c r="W1681" s="253"/>
      <c r="AE1681" s="370">
        <f t="shared" si="223"/>
        <v>0</v>
      </c>
    </row>
    <row r="1682" spans="6:31" ht="18.75" customHeight="1">
      <c r="H1682" s="253" t="s">
        <v>1631</v>
      </c>
      <c r="K1682" s="252">
        <f>SUM(K1678:K1680)</f>
        <v>95</v>
      </c>
      <c r="W1682" s="253"/>
      <c r="AE1682" s="370">
        <f t="shared" si="223"/>
        <v>0</v>
      </c>
    </row>
    <row r="1683" spans="6:31" ht="18.75" customHeight="1">
      <c r="K1683" s="358" t="s">
        <v>2046</v>
      </c>
      <c r="W1683" s="253"/>
      <c r="AE1683" s="370">
        <f t="shared" si="223"/>
        <v>0</v>
      </c>
    </row>
    <row r="1684" spans="6:31" ht="18.75" customHeight="1">
      <c r="F1684" s="253" t="s">
        <v>622</v>
      </c>
      <c r="G1684" s="252" t="s">
        <v>2241</v>
      </c>
      <c r="H1684" s="296" t="s">
        <v>5703</v>
      </c>
      <c r="W1684" s="253"/>
      <c r="AE1684" s="370">
        <f t="shared" si="223"/>
        <v>0</v>
      </c>
    </row>
    <row r="1685" spans="6:31" ht="18.75" customHeight="1">
      <c r="H1685" s="296" t="s">
        <v>623</v>
      </c>
      <c r="K1685" s="296" t="s">
        <v>971</v>
      </c>
      <c r="W1685" s="253"/>
      <c r="AE1685" s="370">
        <f t="shared" si="223"/>
        <v>0</v>
      </c>
    </row>
    <row r="1686" spans="6:31" ht="18.75" customHeight="1">
      <c r="H1686" s="358" t="s">
        <v>1579</v>
      </c>
      <c r="W1686" s="253"/>
      <c r="AE1686" s="370">
        <f t="shared" si="223"/>
        <v>0</v>
      </c>
    </row>
    <row r="1687" spans="6:31" ht="18.75" customHeight="1">
      <c r="F1687" s="252">
        <v>1</v>
      </c>
      <c r="G1687" s="252" t="s">
        <v>1752</v>
      </c>
      <c r="H1687" s="296" t="s">
        <v>624</v>
      </c>
      <c r="I1687" s="434">
        <v>50</v>
      </c>
      <c r="J1687" s="296" t="s">
        <v>1393</v>
      </c>
      <c r="K1687" s="252">
        <f>(F1687*I1687)</f>
        <v>50</v>
      </c>
      <c r="W1687" s="253"/>
      <c r="AE1687" s="370">
        <f t="shared" si="223"/>
        <v>0</v>
      </c>
    </row>
    <row r="1688" spans="6:31" ht="18.75" customHeight="1">
      <c r="G1688" s="252" t="s">
        <v>446</v>
      </c>
      <c r="H1688" s="296" t="s">
        <v>625</v>
      </c>
      <c r="J1688" s="296" t="s">
        <v>446</v>
      </c>
      <c r="K1688" s="252">
        <v>5</v>
      </c>
      <c r="W1688" s="253"/>
      <c r="AE1688" s="370">
        <f t="shared" si="223"/>
        <v>0</v>
      </c>
    </row>
    <row r="1689" spans="6:31" ht="18.75" customHeight="1">
      <c r="K1689" s="358" t="s">
        <v>1579</v>
      </c>
      <c r="W1689" s="253"/>
      <c r="AE1689" s="370">
        <f t="shared" si="223"/>
        <v>0</v>
      </c>
    </row>
    <row r="1690" spans="6:31" ht="18.75" customHeight="1">
      <c r="H1690" s="253" t="s">
        <v>626</v>
      </c>
      <c r="K1690" s="252">
        <f>SUM(K1686:K1688)</f>
        <v>55</v>
      </c>
      <c r="W1690" s="253"/>
      <c r="AE1690" s="370">
        <f t="shared" si="223"/>
        <v>0</v>
      </c>
    </row>
    <row r="1691" spans="6:31" ht="18.75" customHeight="1">
      <c r="K1691" s="358" t="s">
        <v>2046</v>
      </c>
      <c r="W1691" s="253"/>
      <c r="AE1691" s="370">
        <f t="shared" si="223"/>
        <v>0</v>
      </c>
    </row>
    <row r="1692" spans="6:31" ht="18.75" customHeight="1">
      <c r="F1692" s="253" t="s">
        <v>2139</v>
      </c>
      <c r="G1692" s="252" t="s">
        <v>2241</v>
      </c>
      <c r="H1692" s="296" t="s">
        <v>5704</v>
      </c>
      <c r="W1692" s="253"/>
      <c r="AE1692" s="370">
        <f t="shared" si="223"/>
        <v>0</v>
      </c>
    </row>
    <row r="1693" spans="6:31" ht="18.75" customHeight="1">
      <c r="H1693" s="358" t="s">
        <v>1579</v>
      </c>
      <c r="I1693" s="358" t="s">
        <v>1579</v>
      </c>
      <c r="W1693" s="253"/>
      <c r="AE1693" s="370">
        <f t="shared" si="223"/>
        <v>0</v>
      </c>
    </row>
    <row r="1694" spans="6:31" ht="18.75" customHeight="1">
      <c r="F1694" s="252">
        <v>1</v>
      </c>
      <c r="G1694" s="252" t="s">
        <v>1752</v>
      </c>
      <c r="H1694" s="296" t="s">
        <v>2140</v>
      </c>
      <c r="I1694" s="434">
        <v>1.2</v>
      </c>
      <c r="J1694" s="296" t="s">
        <v>1393</v>
      </c>
      <c r="K1694" s="252">
        <f>(F1694*I1694)</f>
        <v>1.2</v>
      </c>
      <c r="W1694" s="253"/>
      <c r="AE1694" s="370">
        <f t="shared" si="223"/>
        <v>0</v>
      </c>
    </row>
    <row r="1695" spans="6:31" ht="18.75" customHeight="1">
      <c r="G1695" s="252" t="s">
        <v>446</v>
      </c>
      <c r="H1695" s="296" t="s">
        <v>625</v>
      </c>
      <c r="J1695" s="296" t="s">
        <v>446</v>
      </c>
      <c r="K1695" s="252">
        <f>K1694*0.25</f>
        <v>0.3</v>
      </c>
      <c r="W1695" s="253"/>
      <c r="AE1695" s="370">
        <f t="shared" si="223"/>
        <v>0</v>
      </c>
    </row>
    <row r="1696" spans="6:31" ht="18.75" customHeight="1">
      <c r="K1696" s="358" t="s">
        <v>1579</v>
      </c>
      <c r="W1696" s="253"/>
    </row>
    <row r="1697" spans="6:23" ht="18.75" customHeight="1">
      <c r="H1697" s="253" t="s">
        <v>626</v>
      </c>
      <c r="K1697" s="252">
        <f>SUM(K1692:K1695)</f>
        <v>1.5</v>
      </c>
      <c r="W1697" s="253"/>
    </row>
    <row r="1698" spans="6:23" ht="18.75" customHeight="1">
      <c r="F1698" s="296" t="s">
        <v>971</v>
      </c>
      <c r="K1698" s="358" t="s">
        <v>1579</v>
      </c>
      <c r="W1698" s="253"/>
    </row>
    <row r="1699" spans="6:23" ht="18.75" customHeight="1">
      <c r="F1699" s="375">
        <v>50.1</v>
      </c>
      <c r="G1699" s="252" t="s">
        <v>2241</v>
      </c>
      <c r="H1699" s="296" t="s">
        <v>2156</v>
      </c>
      <c r="W1699" s="253"/>
    </row>
    <row r="1700" spans="6:23" ht="18.75" customHeight="1">
      <c r="H1700" s="296" t="s">
        <v>12</v>
      </c>
      <c r="W1700" s="253"/>
    </row>
    <row r="1701" spans="6:23" ht="18.75" customHeight="1">
      <c r="H1701" s="296" t="s">
        <v>41</v>
      </c>
      <c r="W1701" s="253"/>
    </row>
    <row r="1702" spans="6:23" ht="18.75" customHeight="1">
      <c r="H1702" s="296" t="s">
        <v>42</v>
      </c>
      <c r="W1702" s="253"/>
    </row>
    <row r="1703" spans="6:23" ht="18.75" customHeight="1">
      <c r="H1703" s="296" t="s">
        <v>43</v>
      </c>
      <c r="W1703" s="253"/>
    </row>
    <row r="1704" spans="6:23" ht="18.75" customHeight="1">
      <c r="H1704" s="358" t="s">
        <v>1579</v>
      </c>
      <c r="I1704" s="358" t="s">
        <v>1579</v>
      </c>
      <c r="W1704" s="253"/>
    </row>
    <row r="1705" spans="6:23" ht="18.75" customHeight="1">
      <c r="F1705" s="252">
        <v>9</v>
      </c>
      <c r="G1705" s="252" t="s">
        <v>2142</v>
      </c>
      <c r="H1705" s="296" t="s">
        <v>1567</v>
      </c>
      <c r="I1705" s="252">
        <f>C73</f>
        <v>1997.1</v>
      </c>
      <c r="J1705" s="296" t="s">
        <v>2142</v>
      </c>
      <c r="K1705" s="252">
        <f>(F1705*I1705)</f>
        <v>17973.900000000001</v>
      </c>
      <c r="W1705" s="253"/>
    </row>
    <row r="1706" spans="6:23" ht="18.75" customHeight="1">
      <c r="F1706" s="252">
        <v>4.5</v>
      </c>
      <c r="G1706" s="252" t="s">
        <v>2142</v>
      </c>
      <c r="H1706" s="296" t="s">
        <v>1568</v>
      </c>
      <c r="I1706" s="252">
        <f>K32</f>
        <v>4861.3</v>
      </c>
      <c r="J1706" s="296" t="s">
        <v>2142</v>
      </c>
      <c r="K1706" s="252">
        <f>(F1706*I1706)</f>
        <v>21875.85</v>
      </c>
      <c r="W1706" s="253"/>
    </row>
    <row r="1707" spans="6:23" ht="18.75" customHeight="1">
      <c r="F1707" s="252">
        <v>1.8</v>
      </c>
      <c r="G1707" s="252" t="s">
        <v>557</v>
      </c>
      <c r="H1707" s="296" t="s">
        <v>1569</v>
      </c>
      <c r="I1707" s="252">
        <f>C11</f>
        <v>932</v>
      </c>
      <c r="J1707" s="296" t="s">
        <v>1393</v>
      </c>
      <c r="K1707" s="252">
        <f>(F1707*I1707)</f>
        <v>1677.6</v>
      </c>
      <c r="W1707" s="253"/>
    </row>
    <row r="1708" spans="6:23" ht="18.75" customHeight="1">
      <c r="F1708" s="252">
        <v>17.7</v>
      </c>
      <c r="G1708" s="252" t="s">
        <v>557</v>
      </c>
      <c r="H1708" s="296" t="s">
        <v>820</v>
      </c>
      <c r="I1708" s="252">
        <f>C12</f>
        <v>651</v>
      </c>
      <c r="J1708" s="296" t="s">
        <v>1393</v>
      </c>
      <c r="K1708" s="252">
        <f>(F1708*I1708)</f>
        <v>11522.7</v>
      </c>
      <c r="W1708" s="253"/>
    </row>
    <row r="1709" spans="6:23" ht="18.75" customHeight="1">
      <c r="F1709" s="252">
        <v>14.1</v>
      </c>
      <c r="G1709" s="252" t="s">
        <v>557</v>
      </c>
      <c r="H1709" s="296" t="s">
        <v>1367</v>
      </c>
      <c r="I1709" s="252">
        <f>C13</f>
        <v>534</v>
      </c>
      <c r="J1709" s="296" t="s">
        <v>1393</v>
      </c>
      <c r="K1709" s="252">
        <f>(F1709*I1709)</f>
        <v>7529.4</v>
      </c>
      <c r="W1709" s="253"/>
    </row>
    <row r="1710" spans="6:23" ht="18.75" customHeight="1">
      <c r="K1710" s="358" t="s">
        <v>1579</v>
      </c>
      <c r="W1710" s="253"/>
    </row>
    <row r="1711" spans="6:23" ht="18.75" customHeight="1">
      <c r="H1711" s="253" t="s">
        <v>1570</v>
      </c>
      <c r="K1711" s="252">
        <f>SUM(K1705:K1709)</f>
        <v>60579.45</v>
      </c>
      <c r="W1711" s="253"/>
    </row>
    <row r="1712" spans="6:23" ht="18.75" customHeight="1">
      <c r="K1712" s="358" t="s">
        <v>1579</v>
      </c>
      <c r="W1712" s="253"/>
    </row>
    <row r="1713" spans="6:23" ht="18.75" customHeight="1">
      <c r="H1713" s="253" t="s">
        <v>1571</v>
      </c>
      <c r="K1713" s="274">
        <f>(K1711/10)</f>
        <v>6057.95</v>
      </c>
      <c r="W1713" s="253"/>
    </row>
    <row r="1714" spans="6:23" ht="18.75" customHeight="1">
      <c r="K1714" s="358" t="s">
        <v>2046</v>
      </c>
      <c r="W1714" s="253"/>
    </row>
    <row r="1715" spans="6:23" ht="18.75" customHeight="1">
      <c r="W1715" s="253"/>
    </row>
    <row r="1716" spans="6:23" ht="18.75" customHeight="1">
      <c r="G1716" s="252" t="s">
        <v>672</v>
      </c>
      <c r="H1716" s="296" t="s">
        <v>1143</v>
      </c>
      <c r="W1716" s="253"/>
    </row>
    <row r="1717" spans="6:23" ht="18.75" customHeight="1">
      <c r="H1717" s="296" t="s">
        <v>5705</v>
      </c>
      <c r="W1717" s="253"/>
    </row>
    <row r="1718" spans="6:23" ht="18.75" customHeight="1">
      <c r="H1718" s="358" t="s">
        <v>1579</v>
      </c>
      <c r="I1718" s="358" t="s">
        <v>1579</v>
      </c>
      <c r="W1718" s="253"/>
    </row>
    <row r="1719" spans="6:23" ht="18.75" customHeight="1">
      <c r="W1719" s="253"/>
    </row>
    <row r="1720" spans="6:23" ht="18.75" customHeight="1">
      <c r="F1720" s="356">
        <v>0.314</v>
      </c>
      <c r="G1720" s="252" t="s">
        <v>2142</v>
      </c>
      <c r="H1720" s="296" t="s">
        <v>439</v>
      </c>
      <c r="I1720" s="252">
        <f>K1713</f>
        <v>6057.95</v>
      </c>
      <c r="J1720" s="296" t="s">
        <v>2142</v>
      </c>
      <c r="K1720" s="252">
        <f>(F1720*I1720)</f>
        <v>1902.2</v>
      </c>
      <c r="W1720" s="253"/>
    </row>
    <row r="1721" spans="6:23" ht="18.75" customHeight="1">
      <c r="F1721" s="252">
        <v>18</v>
      </c>
      <c r="G1721" s="252" t="s">
        <v>557</v>
      </c>
      <c r="H1721" s="376" t="s">
        <v>4216</v>
      </c>
      <c r="I1721" s="420">
        <v>41.87</v>
      </c>
      <c r="J1721" s="296" t="s">
        <v>1393</v>
      </c>
      <c r="K1721" s="252">
        <f>(F1721*I1721)</f>
        <v>753.66</v>
      </c>
      <c r="W1721" s="253"/>
    </row>
    <row r="1722" spans="6:23" ht="18.75" customHeight="1">
      <c r="F1722" s="252">
        <v>18</v>
      </c>
      <c r="G1722" s="252" t="s">
        <v>557</v>
      </c>
      <c r="H1722" s="296" t="s">
        <v>536</v>
      </c>
      <c r="I1722" s="252">
        <v>1</v>
      </c>
      <c r="J1722" s="296" t="s">
        <v>1393</v>
      </c>
      <c r="K1722" s="252">
        <f>(F1722*I1722)</f>
        <v>18</v>
      </c>
      <c r="W1722" s="253"/>
    </row>
    <row r="1723" spans="6:23" ht="18.75" customHeight="1">
      <c r="F1723" s="252">
        <v>18</v>
      </c>
      <c r="G1723" s="252" t="s">
        <v>557</v>
      </c>
      <c r="H1723" s="296" t="s">
        <v>537</v>
      </c>
      <c r="I1723" s="252">
        <v>2</v>
      </c>
      <c r="J1723" s="296" t="s">
        <v>1393</v>
      </c>
      <c r="K1723" s="252">
        <f>(F1723*I1723)</f>
        <v>36</v>
      </c>
      <c r="W1723" s="253"/>
    </row>
    <row r="1724" spans="6:23" ht="18.75" customHeight="1">
      <c r="K1724" s="358" t="s">
        <v>1579</v>
      </c>
      <c r="W1724" s="253"/>
    </row>
    <row r="1725" spans="6:23" ht="18.75" customHeight="1">
      <c r="H1725" s="253" t="s">
        <v>1940</v>
      </c>
      <c r="K1725" s="252">
        <f>SUM(K1719:K1723)</f>
        <v>2709.86</v>
      </c>
      <c r="W1725" s="253"/>
    </row>
    <row r="1726" spans="6:23" ht="18.75" customHeight="1">
      <c r="K1726" s="358" t="s">
        <v>1579</v>
      </c>
      <c r="W1726" s="253"/>
    </row>
    <row r="1727" spans="6:23" ht="18.75" customHeight="1">
      <c r="H1727" s="253" t="s">
        <v>1941</v>
      </c>
      <c r="K1727" s="274">
        <f>(K1725/6.28)</f>
        <v>431.51</v>
      </c>
      <c r="W1727" s="253"/>
    </row>
    <row r="1728" spans="6:23" ht="18.75" customHeight="1">
      <c r="K1728" s="358" t="s">
        <v>2046</v>
      </c>
      <c r="W1728" s="253"/>
    </row>
    <row r="1729" spans="6:23" ht="18.75" customHeight="1">
      <c r="F1729" s="296" t="s">
        <v>971</v>
      </c>
      <c r="H1729" s="296" t="s">
        <v>728</v>
      </c>
      <c r="W1729" s="253"/>
    </row>
    <row r="1730" spans="6:23" ht="18.75" customHeight="1">
      <c r="H1730" s="358" t="s">
        <v>1579</v>
      </c>
      <c r="W1730" s="253"/>
    </row>
    <row r="1731" spans="6:23" ht="18.75" customHeight="1">
      <c r="F1731" s="356">
        <v>0.01</v>
      </c>
      <c r="G1731" s="252" t="s">
        <v>2142</v>
      </c>
      <c r="H1731" s="296" t="s">
        <v>439</v>
      </c>
      <c r="I1731" s="252">
        <f>K1713</f>
        <v>6057.95</v>
      </c>
      <c r="J1731" s="296" t="s">
        <v>2142</v>
      </c>
      <c r="K1731" s="252">
        <f>ROUND(F1731*I1731,2)</f>
        <v>60.58</v>
      </c>
      <c r="W1731" s="253"/>
    </row>
    <row r="1732" spans="6:23" ht="18.75" customHeight="1">
      <c r="F1732" s="252">
        <v>0.01</v>
      </c>
      <c r="G1732" s="252" t="s">
        <v>1336</v>
      </c>
      <c r="H1732" s="296" t="s">
        <v>729</v>
      </c>
      <c r="I1732" s="407" t="s">
        <v>654</v>
      </c>
      <c r="K1732" s="252">
        <v>1.2</v>
      </c>
      <c r="W1732" s="253"/>
    </row>
    <row r="1733" spans="6:23" ht="18.75" customHeight="1">
      <c r="I1733" s="407"/>
      <c r="K1733" s="358" t="s">
        <v>1579</v>
      </c>
      <c r="W1733" s="253"/>
    </row>
    <row r="1734" spans="6:23" ht="18.75" customHeight="1">
      <c r="H1734" s="253" t="s">
        <v>737</v>
      </c>
      <c r="K1734" s="252">
        <f>SUM(K1728:K1732)</f>
        <v>61.78</v>
      </c>
      <c r="W1734" s="253"/>
    </row>
    <row r="1735" spans="6:23" ht="18.75" customHeight="1">
      <c r="K1735" s="358" t="s">
        <v>1579</v>
      </c>
      <c r="W1735" s="253"/>
    </row>
    <row r="1736" spans="6:23" ht="18.75" customHeight="1">
      <c r="H1736" s="253" t="s">
        <v>2165</v>
      </c>
      <c r="K1736" s="252">
        <f>K1734/0.01</f>
        <v>6178</v>
      </c>
      <c r="W1736" s="253"/>
    </row>
    <row r="1737" spans="6:23" ht="18.75" customHeight="1">
      <c r="K1737" s="358" t="s">
        <v>2046</v>
      </c>
      <c r="W1737" s="253"/>
    </row>
    <row r="1738" spans="6:23" ht="18.75" customHeight="1">
      <c r="F1738" s="253" t="s">
        <v>2166</v>
      </c>
      <c r="G1738" s="252" t="s">
        <v>672</v>
      </c>
      <c r="H1738" s="296" t="s">
        <v>1143</v>
      </c>
      <c r="W1738" s="253"/>
    </row>
    <row r="1739" spans="6:23" ht="18.75" customHeight="1">
      <c r="H1739" s="276" t="s">
        <v>5706</v>
      </c>
      <c r="W1739" s="253"/>
    </row>
    <row r="1740" spans="6:23" ht="18.75" customHeight="1">
      <c r="H1740" s="358" t="s">
        <v>1579</v>
      </c>
      <c r="I1740" s="358" t="s">
        <v>1579</v>
      </c>
      <c r="W1740" s="253"/>
    </row>
    <row r="1741" spans="6:23" ht="18.75" customHeight="1">
      <c r="F1741" s="356">
        <v>0.40500000000000003</v>
      </c>
      <c r="G1741" s="252" t="s">
        <v>2142</v>
      </c>
      <c r="H1741" s="296" t="s">
        <v>439</v>
      </c>
      <c r="I1741" s="252">
        <f>K1736</f>
        <v>6178</v>
      </c>
      <c r="J1741" s="296" t="s">
        <v>2142</v>
      </c>
      <c r="K1741" s="252">
        <f>(F1741*I1741)</f>
        <v>2502.09</v>
      </c>
      <c r="W1741" s="253"/>
    </row>
    <row r="1742" spans="6:23" ht="18.75" customHeight="1">
      <c r="F1742" s="296" t="s">
        <v>971</v>
      </c>
      <c r="G1742" s="252" t="s">
        <v>971</v>
      </c>
      <c r="H1742" s="296" t="s">
        <v>1640</v>
      </c>
      <c r="I1742" s="407" t="s">
        <v>654</v>
      </c>
      <c r="K1742" s="296" t="s">
        <v>971</v>
      </c>
      <c r="W1742" s="253"/>
    </row>
    <row r="1743" spans="6:23" ht="18.75" customHeight="1">
      <c r="K1743" s="358" t="s">
        <v>1579</v>
      </c>
      <c r="W1743" s="253"/>
    </row>
    <row r="1744" spans="6:23" ht="18.75" customHeight="1">
      <c r="H1744" s="253" t="s">
        <v>1641</v>
      </c>
      <c r="K1744" s="252">
        <f>SUM(K1738:K1742)</f>
        <v>2502.09</v>
      </c>
      <c r="W1744" s="253"/>
    </row>
    <row r="1745" spans="6:23" ht="18.75" customHeight="1">
      <c r="K1745" s="358" t="s">
        <v>1579</v>
      </c>
      <c r="W1745" s="253"/>
    </row>
    <row r="1746" spans="6:23" ht="18.75" customHeight="1">
      <c r="H1746" s="253" t="s">
        <v>1642</v>
      </c>
      <c r="K1746" s="274">
        <f>K1744/9</f>
        <v>278.01</v>
      </c>
      <c r="W1746" s="253"/>
    </row>
    <row r="1747" spans="6:23" ht="18.75" customHeight="1">
      <c r="K1747" s="358" t="s">
        <v>2046</v>
      </c>
      <c r="W1747" s="253"/>
    </row>
    <row r="1748" spans="6:23" ht="18.75" customHeight="1">
      <c r="F1748" s="253" t="s">
        <v>1400</v>
      </c>
      <c r="H1748" s="296" t="s">
        <v>466</v>
      </c>
      <c r="W1748" s="253"/>
    </row>
    <row r="1749" spans="6:23" ht="18.75" customHeight="1">
      <c r="H1749" s="358" t="s">
        <v>1579</v>
      </c>
      <c r="W1749" s="253"/>
    </row>
    <row r="1750" spans="6:23" ht="18.75" customHeight="1">
      <c r="F1750" s="252">
        <v>4.32</v>
      </c>
      <c r="G1750" s="252" t="s">
        <v>866</v>
      </c>
      <c r="H1750" s="296" t="s">
        <v>354</v>
      </c>
      <c r="I1750" s="252">
        <f>C61</f>
        <v>112.05</v>
      </c>
      <c r="J1750" s="296" t="s">
        <v>866</v>
      </c>
      <c r="K1750" s="252">
        <f t="shared" ref="K1750:K1757" si="224">(F1750*I1750)</f>
        <v>484.06</v>
      </c>
      <c r="W1750" s="253"/>
    </row>
    <row r="1751" spans="6:23" ht="18.75" customHeight="1">
      <c r="F1751" s="252">
        <v>1.44</v>
      </c>
      <c r="G1751" s="252" t="s">
        <v>866</v>
      </c>
      <c r="H1751" s="296" t="s">
        <v>467</v>
      </c>
      <c r="I1751" s="434">
        <v>69.099999999999994</v>
      </c>
      <c r="J1751" s="296" t="s">
        <v>866</v>
      </c>
      <c r="K1751" s="252">
        <f t="shared" si="224"/>
        <v>99.5</v>
      </c>
      <c r="W1751" s="253"/>
    </row>
    <row r="1752" spans="6:23" ht="18.75" customHeight="1">
      <c r="F1752" s="252">
        <v>1.44</v>
      </c>
      <c r="G1752" s="252" t="s">
        <v>866</v>
      </c>
      <c r="H1752" s="296" t="s">
        <v>468</v>
      </c>
      <c r="I1752" s="252">
        <f>C35</f>
        <v>389</v>
      </c>
      <c r="J1752" s="296" t="s">
        <v>866</v>
      </c>
      <c r="K1752" s="252">
        <f t="shared" si="224"/>
        <v>560.16</v>
      </c>
      <c r="W1752" s="253"/>
    </row>
    <row r="1753" spans="6:23" ht="18.75" customHeight="1">
      <c r="F1753" s="252">
        <v>1.44</v>
      </c>
      <c r="G1753" s="252" t="s">
        <v>866</v>
      </c>
      <c r="H1753" s="296" t="s">
        <v>469</v>
      </c>
      <c r="I1753" s="252">
        <f>C78</f>
        <v>1846.1</v>
      </c>
      <c r="J1753" s="296" t="s">
        <v>866</v>
      </c>
      <c r="K1753" s="252">
        <f t="shared" si="224"/>
        <v>2658.38</v>
      </c>
      <c r="W1753" s="253"/>
    </row>
    <row r="1754" spans="6:23" ht="18.75" customHeight="1">
      <c r="F1754" s="252">
        <v>2.88</v>
      </c>
      <c r="G1754" s="252" t="s">
        <v>866</v>
      </c>
      <c r="H1754" s="296" t="s">
        <v>470</v>
      </c>
      <c r="I1754" s="420">
        <v>10</v>
      </c>
      <c r="J1754" s="296" t="s">
        <v>866</v>
      </c>
      <c r="K1754" s="252">
        <f t="shared" si="224"/>
        <v>28.8</v>
      </c>
      <c r="W1754" s="253"/>
    </row>
    <row r="1755" spans="6:23" ht="18.75" customHeight="1">
      <c r="F1755" s="252">
        <v>20</v>
      </c>
      <c r="G1755" s="252" t="s">
        <v>255</v>
      </c>
      <c r="H1755" s="296" t="s">
        <v>1616</v>
      </c>
      <c r="I1755" s="434">
        <v>46.1</v>
      </c>
      <c r="J1755" s="296" t="s">
        <v>255</v>
      </c>
      <c r="K1755" s="252">
        <f t="shared" si="224"/>
        <v>922</v>
      </c>
      <c r="W1755" s="253"/>
    </row>
    <row r="1756" spans="6:23" ht="18.75" customHeight="1">
      <c r="F1756" s="252">
        <v>42</v>
      </c>
      <c r="G1756" s="252" t="s">
        <v>2186</v>
      </c>
      <c r="H1756" s="296" t="s">
        <v>4897</v>
      </c>
      <c r="I1756" s="370">
        <v>17.5</v>
      </c>
      <c r="J1756" s="296" t="s">
        <v>2186</v>
      </c>
      <c r="K1756" s="252">
        <f t="shared" si="224"/>
        <v>735</v>
      </c>
      <c r="W1756" s="253"/>
    </row>
    <row r="1757" spans="6:23" ht="18.75" customHeight="1">
      <c r="F1757" s="252">
        <v>4.32</v>
      </c>
      <c r="G1757" s="252" t="s">
        <v>866</v>
      </c>
      <c r="H1757" s="296" t="s">
        <v>1609</v>
      </c>
      <c r="I1757" s="252">
        <f>C26</f>
        <v>38.950000000000003</v>
      </c>
      <c r="J1757" s="296" t="s">
        <v>866</v>
      </c>
      <c r="K1757" s="252">
        <f t="shared" si="224"/>
        <v>168.26</v>
      </c>
      <c r="W1757" s="253"/>
    </row>
    <row r="1758" spans="6:23" ht="18.75" customHeight="1">
      <c r="F1758" s="253" t="s">
        <v>730</v>
      </c>
      <c r="H1758" s="296" t="s">
        <v>1016</v>
      </c>
      <c r="K1758" s="252">
        <v>2000</v>
      </c>
      <c r="W1758" s="253"/>
    </row>
    <row r="1759" spans="6:23" ht="18.75" customHeight="1">
      <c r="K1759" s="358" t="s">
        <v>1579</v>
      </c>
      <c r="W1759" s="253"/>
    </row>
    <row r="1760" spans="6:23" ht="18.75" customHeight="1">
      <c r="H1760" s="296" t="s">
        <v>1017</v>
      </c>
      <c r="K1760" s="252">
        <f>SUM(K1750:K1758)</f>
        <v>7656.16</v>
      </c>
      <c r="W1760" s="253"/>
    </row>
    <row r="1761" spans="6:23" ht="18.75" customHeight="1">
      <c r="K1761" s="358" t="s">
        <v>1579</v>
      </c>
      <c r="W1761" s="253"/>
    </row>
    <row r="1762" spans="6:23" ht="18.75" customHeight="1">
      <c r="H1762" s="296" t="s">
        <v>1396</v>
      </c>
      <c r="K1762" s="274">
        <f>K1760/20</f>
        <v>382.81</v>
      </c>
      <c r="W1762" s="253"/>
    </row>
    <row r="1763" spans="6:23" ht="18.75" customHeight="1">
      <c r="K1763" s="358" t="s">
        <v>2046</v>
      </c>
      <c r="W1763" s="253"/>
    </row>
    <row r="1764" spans="6:23" ht="18.75" customHeight="1">
      <c r="W1764" s="253"/>
    </row>
    <row r="1765" spans="6:23" ht="18.75" customHeight="1">
      <c r="F1765" s="253" t="s">
        <v>1018</v>
      </c>
      <c r="H1765" s="296" t="s">
        <v>1311</v>
      </c>
      <c r="W1765" s="253"/>
    </row>
    <row r="1766" spans="6:23" ht="18.75" customHeight="1">
      <c r="H1766" s="358" t="s">
        <v>1579</v>
      </c>
      <c r="W1766" s="253"/>
    </row>
    <row r="1767" spans="6:23" ht="18.75" customHeight="1">
      <c r="F1767" s="252">
        <v>0.1</v>
      </c>
      <c r="G1767" s="252" t="s">
        <v>866</v>
      </c>
      <c r="H1767" s="296" t="s">
        <v>354</v>
      </c>
      <c r="I1767" s="252">
        <f>K90</f>
        <v>224.1</v>
      </c>
      <c r="J1767" s="296" t="s">
        <v>866</v>
      </c>
      <c r="K1767" s="252">
        <f t="shared" ref="K1767:K1772" si="225">(F1767*I1767)</f>
        <v>22.41</v>
      </c>
      <c r="W1767" s="253"/>
    </row>
    <row r="1768" spans="6:23" ht="18.75" customHeight="1">
      <c r="F1768" s="252">
        <v>6.3</v>
      </c>
      <c r="G1768" s="252" t="s">
        <v>2186</v>
      </c>
      <c r="H1768" s="296" t="s">
        <v>5450</v>
      </c>
      <c r="I1768" s="370">
        <v>34.6</v>
      </c>
      <c r="J1768" s="296" t="s">
        <v>2186</v>
      </c>
      <c r="K1768" s="252">
        <f t="shared" si="225"/>
        <v>217.98</v>
      </c>
      <c r="W1768" s="253"/>
    </row>
    <row r="1769" spans="6:23" ht="18.75" customHeight="1">
      <c r="F1769" s="252">
        <v>6.3</v>
      </c>
      <c r="G1769" s="252" t="s">
        <v>2186</v>
      </c>
      <c r="H1769" s="296" t="s">
        <v>1134</v>
      </c>
      <c r="I1769" s="252">
        <f>I1756</f>
        <v>17.5</v>
      </c>
      <c r="J1769" s="296" t="s">
        <v>2186</v>
      </c>
      <c r="K1769" s="252">
        <f t="shared" si="225"/>
        <v>110.25</v>
      </c>
      <c r="W1769" s="253"/>
    </row>
    <row r="1770" spans="6:23" ht="18.75" customHeight="1">
      <c r="F1770" s="252">
        <v>3.15</v>
      </c>
      <c r="G1770" s="252" t="s">
        <v>230</v>
      </c>
      <c r="H1770" s="296" t="s">
        <v>633</v>
      </c>
      <c r="I1770" s="252">
        <f>C198</f>
        <v>40.65</v>
      </c>
      <c r="J1770" s="296" t="s">
        <v>230</v>
      </c>
      <c r="K1770" s="252">
        <f t="shared" si="225"/>
        <v>128.05000000000001</v>
      </c>
      <c r="L1770" s="252" t="s">
        <v>183</v>
      </c>
      <c r="W1770" s="253"/>
    </row>
    <row r="1771" spans="6:23" ht="18.75" customHeight="1">
      <c r="F1771" s="252">
        <v>0.25</v>
      </c>
      <c r="G1771" s="252" t="s">
        <v>1752</v>
      </c>
      <c r="H1771" s="296" t="s">
        <v>634</v>
      </c>
      <c r="I1771" s="252">
        <f>D16</f>
        <v>932</v>
      </c>
      <c r="J1771" s="296" t="s">
        <v>1752</v>
      </c>
      <c r="K1771" s="252">
        <f t="shared" si="225"/>
        <v>233</v>
      </c>
      <c r="W1771" s="253"/>
    </row>
    <row r="1772" spans="6:23" ht="18.75" customHeight="1">
      <c r="F1772" s="252">
        <v>0.2</v>
      </c>
      <c r="G1772" s="252" t="s">
        <v>1752</v>
      </c>
      <c r="H1772" s="296" t="s">
        <v>635</v>
      </c>
      <c r="I1772" s="252">
        <f>AE38</f>
        <v>866</v>
      </c>
      <c r="J1772" s="296" t="s">
        <v>1752</v>
      </c>
      <c r="K1772" s="252">
        <f t="shared" si="225"/>
        <v>173.2</v>
      </c>
      <c r="W1772" s="253"/>
    </row>
    <row r="1773" spans="6:23" ht="18.75" customHeight="1">
      <c r="H1773" s="296" t="s">
        <v>505</v>
      </c>
      <c r="I1773" s="296" t="s">
        <v>971</v>
      </c>
      <c r="J1773" s="296" t="s">
        <v>971</v>
      </c>
      <c r="K1773" s="252">
        <v>0</v>
      </c>
      <c r="W1773" s="253"/>
    </row>
    <row r="1774" spans="6:23" ht="18.75" customHeight="1">
      <c r="J1774" s="296" t="s">
        <v>971</v>
      </c>
      <c r="K1774" s="358" t="s">
        <v>1579</v>
      </c>
      <c r="W1774" s="253"/>
    </row>
    <row r="1775" spans="6:23" ht="18.75" customHeight="1">
      <c r="F1775" s="296" t="s">
        <v>971</v>
      </c>
      <c r="G1775" s="252" t="s">
        <v>971</v>
      </c>
      <c r="H1775" s="296" t="s">
        <v>1396</v>
      </c>
      <c r="K1775" s="274">
        <f>SUM(K1767:K1774)</f>
        <v>884.89</v>
      </c>
      <c r="W1775" s="253"/>
    </row>
    <row r="1776" spans="6:23" ht="18.75" customHeight="1">
      <c r="H1776" s="296" t="s">
        <v>971</v>
      </c>
      <c r="K1776" s="358" t="s">
        <v>1579</v>
      </c>
      <c r="W1776" s="253"/>
    </row>
    <row r="1777" spans="6:23" ht="18.75" customHeight="1">
      <c r="K1777" s="358"/>
      <c r="W1777" s="253"/>
    </row>
    <row r="1778" spans="6:23" ht="18.75" customHeight="1">
      <c r="F1778" s="253" t="s">
        <v>590</v>
      </c>
      <c r="H1778" s="296" t="s">
        <v>926</v>
      </c>
      <c r="W1778" s="253"/>
    </row>
    <row r="1779" spans="6:23" ht="18.75" customHeight="1">
      <c r="H1779" s="358" t="s">
        <v>1579</v>
      </c>
      <c r="W1779" s="253"/>
    </row>
    <row r="1780" spans="6:23" ht="18.75" customHeight="1">
      <c r="F1780" s="316">
        <v>0.48599999999999999</v>
      </c>
      <c r="G1780" s="252" t="s">
        <v>1336</v>
      </c>
      <c r="H1780" s="296" t="s">
        <v>354</v>
      </c>
      <c r="I1780" s="252">
        <f>C61</f>
        <v>112.05</v>
      </c>
      <c r="J1780" s="296" t="s">
        <v>1336</v>
      </c>
      <c r="K1780" s="252">
        <f t="shared" ref="K1780:K1786" si="226">(F1780*I1780)</f>
        <v>54.46</v>
      </c>
      <c r="W1780" s="253"/>
    </row>
    <row r="1781" spans="6:23" ht="18.75" customHeight="1">
      <c r="F1781" s="316">
        <v>0.48599999999999999</v>
      </c>
      <c r="G1781" s="252" t="s">
        <v>1336</v>
      </c>
      <c r="H1781" s="296" t="s">
        <v>355</v>
      </c>
      <c r="I1781" s="252">
        <f>K204</f>
        <v>5158.8100000000004</v>
      </c>
      <c r="J1781" s="296" t="s">
        <v>1336</v>
      </c>
      <c r="K1781" s="252">
        <f t="shared" si="226"/>
        <v>2507.1799999999998</v>
      </c>
      <c r="W1781" s="253"/>
    </row>
    <row r="1782" spans="6:23" ht="18.75" customHeight="1">
      <c r="F1782" s="252">
        <v>81.75</v>
      </c>
      <c r="G1782" s="252" t="s">
        <v>356</v>
      </c>
      <c r="H1782" s="296" t="s">
        <v>357</v>
      </c>
      <c r="I1782" s="252">
        <f>I745</f>
        <v>53</v>
      </c>
      <c r="J1782" s="296" t="s">
        <v>356</v>
      </c>
      <c r="K1782" s="252">
        <f t="shared" si="226"/>
        <v>4332.75</v>
      </c>
      <c r="W1782" s="253"/>
    </row>
    <row r="1783" spans="6:23" ht="18.75" customHeight="1">
      <c r="F1783" s="252">
        <v>7.2</v>
      </c>
      <c r="G1783" s="252" t="s">
        <v>356</v>
      </c>
      <c r="H1783" s="296" t="s">
        <v>358</v>
      </c>
      <c r="I1783" s="252">
        <f>I745</f>
        <v>53</v>
      </c>
      <c r="J1783" s="296" t="s">
        <v>356</v>
      </c>
      <c r="K1783" s="252">
        <f t="shared" si="226"/>
        <v>381.6</v>
      </c>
      <c r="W1783" s="253"/>
    </row>
    <row r="1784" spans="6:23" ht="18.75" customHeight="1">
      <c r="F1784" s="252">
        <v>43.68</v>
      </c>
      <c r="G1784" s="252" t="s">
        <v>356</v>
      </c>
      <c r="H1784" s="296" t="s">
        <v>1549</v>
      </c>
      <c r="I1784" s="252">
        <f>I743</f>
        <v>53</v>
      </c>
      <c r="J1784" s="296" t="s">
        <v>356</v>
      </c>
      <c r="K1784" s="252">
        <f t="shared" si="226"/>
        <v>2315.04</v>
      </c>
      <c r="W1784" s="253"/>
    </row>
    <row r="1785" spans="6:23" ht="18.75" customHeight="1">
      <c r="F1785" s="252">
        <v>132.63</v>
      </c>
      <c r="G1785" s="252" t="s">
        <v>356</v>
      </c>
      <c r="H1785" s="296" t="s">
        <v>1550</v>
      </c>
      <c r="I1785" s="252">
        <f>C37</f>
        <v>55.35</v>
      </c>
      <c r="J1785" s="296" t="s">
        <v>356</v>
      </c>
      <c r="K1785" s="252">
        <f t="shared" si="226"/>
        <v>7341.07</v>
      </c>
      <c r="W1785" s="253"/>
    </row>
    <row r="1786" spans="6:23" ht="18.75" customHeight="1">
      <c r="F1786" s="252">
        <v>2.2000000000000002</v>
      </c>
      <c r="G1786" s="252" t="s">
        <v>230</v>
      </c>
      <c r="H1786" s="296" t="s">
        <v>5707</v>
      </c>
      <c r="I1786" s="420">
        <v>970</v>
      </c>
      <c r="J1786" s="296" t="s">
        <v>230</v>
      </c>
      <c r="K1786" s="252">
        <f t="shared" si="226"/>
        <v>2134</v>
      </c>
      <c r="W1786" s="253"/>
    </row>
    <row r="1787" spans="6:23" ht="18.75" customHeight="1">
      <c r="F1787" s="407" t="s">
        <v>654</v>
      </c>
      <c r="H1787" s="296" t="s">
        <v>1551</v>
      </c>
      <c r="I1787" s="407" t="s">
        <v>654</v>
      </c>
      <c r="K1787" s="252">
        <v>250</v>
      </c>
      <c r="W1787" s="253"/>
    </row>
    <row r="1788" spans="6:23" ht="18.75" customHeight="1">
      <c r="F1788" s="407" t="s">
        <v>654</v>
      </c>
      <c r="H1788" s="296" t="s">
        <v>1395</v>
      </c>
      <c r="I1788" s="407" t="s">
        <v>654</v>
      </c>
      <c r="K1788" s="252">
        <v>20.47</v>
      </c>
      <c r="W1788" s="253"/>
    </row>
    <row r="1789" spans="6:23" ht="18.75" customHeight="1">
      <c r="K1789" s="358" t="s">
        <v>1579</v>
      </c>
      <c r="W1789" s="253"/>
    </row>
    <row r="1790" spans="6:23" ht="18.75" customHeight="1">
      <c r="K1790" s="252">
        <f>SUM(K1780:K1789)</f>
        <v>19336.57</v>
      </c>
      <c r="W1790" s="253"/>
    </row>
    <row r="1791" spans="6:23" ht="18.75" customHeight="1">
      <c r="K1791" s="358" t="s">
        <v>1579</v>
      </c>
      <c r="W1791" s="253"/>
    </row>
    <row r="1792" spans="6:23" ht="18.75" customHeight="1">
      <c r="K1792" s="358"/>
      <c r="W1792" s="253"/>
    </row>
    <row r="1793" spans="6:23" ht="18.75" customHeight="1">
      <c r="F1793" s="369">
        <v>86</v>
      </c>
      <c r="H1793" s="296" t="s">
        <v>2050</v>
      </c>
      <c r="K1793" s="314">
        <f>C806</f>
        <v>33.9</v>
      </c>
      <c r="W1793" s="253"/>
    </row>
    <row r="1794" spans="6:23" ht="18.75" customHeight="1">
      <c r="F1794" s="375"/>
      <c r="H1794" s="296"/>
      <c r="W1794" s="253"/>
    </row>
    <row r="1795" spans="6:23" ht="18.75" customHeight="1">
      <c r="F1795" s="253" t="s">
        <v>1643</v>
      </c>
      <c r="H1795" s="296" t="s">
        <v>4898</v>
      </c>
      <c r="K1795" s="373">
        <v>10.050000000000001</v>
      </c>
      <c r="W1795" s="253"/>
    </row>
    <row r="1796" spans="6:23" ht="18.75" customHeight="1">
      <c r="H1796" s="296" t="s">
        <v>2266</v>
      </c>
      <c r="K1796" s="252">
        <f>700*K1795</f>
        <v>7035</v>
      </c>
      <c r="W1796" s="253"/>
    </row>
    <row r="1797" spans="6:23" ht="18.75" customHeight="1">
      <c r="F1797" s="296" t="s">
        <v>971</v>
      </c>
      <c r="H1797" s="296" t="s">
        <v>2718</v>
      </c>
      <c r="K1797" s="252">
        <f>200*K1795</f>
        <v>2010</v>
      </c>
      <c r="L1797" s="252">
        <f>K1795*1000</f>
        <v>10050</v>
      </c>
      <c r="M1797" s="252">
        <f>K1795*1500</f>
        <v>15075</v>
      </c>
      <c r="W1797" s="253"/>
    </row>
    <row r="1798" spans="6:23" ht="18.75" customHeight="1">
      <c r="F1798" s="375"/>
      <c r="G1798" s="252" t="s">
        <v>2241</v>
      </c>
      <c r="H1798" s="296" t="s">
        <v>2038</v>
      </c>
      <c r="W1798" s="253"/>
    </row>
    <row r="1799" spans="6:23" ht="18.75" customHeight="1">
      <c r="H1799" s="296" t="s">
        <v>2267</v>
      </c>
      <c r="W1799" s="253"/>
    </row>
    <row r="1800" spans="6:23" ht="18.75" customHeight="1">
      <c r="H1800" s="296" t="s">
        <v>944</v>
      </c>
      <c r="W1800" s="253"/>
    </row>
    <row r="1801" spans="6:23" ht="18.75" customHeight="1">
      <c r="H1801" s="358" t="s">
        <v>1579</v>
      </c>
      <c r="W1801" s="253"/>
    </row>
    <row r="1802" spans="6:23" ht="18.75" customHeight="1">
      <c r="G1802" s="252" t="s">
        <v>2268</v>
      </c>
      <c r="H1802" s="296" t="s">
        <v>944</v>
      </c>
      <c r="K1802" s="296" t="s">
        <v>1444</v>
      </c>
      <c r="W1802" s="253"/>
    </row>
    <row r="1803" spans="6:23" ht="18.75" customHeight="1">
      <c r="H1803" s="358" t="s">
        <v>1579</v>
      </c>
      <c r="K1803" s="358" t="s">
        <v>2046</v>
      </c>
      <c r="W1803" s="253"/>
    </row>
    <row r="1804" spans="6:23" ht="18.75" customHeight="1">
      <c r="F1804" s="252">
        <v>30</v>
      </c>
      <c r="G1804" s="252" t="s">
        <v>1763</v>
      </c>
      <c r="H1804" s="296" t="s">
        <v>1656</v>
      </c>
      <c r="I1804" s="252">
        <f>(C661)</f>
        <v>11.2</v>
      </c>
      <c r="J1804" s="296" t="s">
        <v>1763</v>
      </c>
      <c r="K1804" s="252">
        <f>(F1804*I1804)</f>
        <v>336</v>
      </c>
      <c r="W1804" s="253"/>
    </row>
    <row r="1805" spans="6:23" ht="18.75" customHeight="1">
      <c r="F1805" s="296" t="s">
        <v>971</v>
      </c>
      <c r="H1805" s="296" t="s">
        <v>1659</v>
      </c>
      <c r="I1805" s="296" t="s">
        <v>971</v>
      </c>
      <c r="K1805" s="296" t="s">
        <v>971</v>
      </c>
      <c r="W1805" s="253"/>
    </row>
    <row r="1806" spans="6:23" ht="18.75" customHeight="1">
      <c r="F1806" s="252">
        <v>8</v>
      </c>
      <c r="G1806" s="252" t="s">
        <v>865</v>
      </c>
      <c r="H1806" s="296" t="s">
        <v>2135</v>
      </c>
      <c r="I1806" s="252">
        <f>(C663)</f>
        <v>8.9</v>
      </c>
      <c r="J1806" s="296" t="s">
        <v>865</v>
      </c>
      <c r="K1806" s="252">
        <f t="shared" ref="K1806:K1812" si="227">(F1806*I1806)</f>
        <v>71.2</v>
      </c>
      <c r="W1806" s="253"/>
    </row>
    <row r="1807" spans="6:23" ht="18.75" customHeight="1">
      <c r="F1807" s="252">
        <v>8</v>
      </c>
      <c r="G1807" s="252" t="s">
        <v>865</v>
      </c>
      <c r="H1807" s="296" t="s">
        <v>464</v>
      </c>
      <c r="I1807" s="252">
        <f>(C672)</f>
        <v>12.65</v>
      </c>
      <c r="J1807" s="296" t="s">
        <v>865</v>
      </c>
      <c r="K1807" s="252">
        <f t="shared" si="227"/>
        <v>101.2</v>
      </c>
      <c r="W1807" s="253"/>
    </row>
    <row r="1808" spans="6:23" ht="18.75" customHeight="1">
      <c r="F1808" s="252">
        <v>3</v>
      </c>
      <c r="G1808" s="252" t="s">
        <v>865</v>
      </c>
      <c r="H1808" s="296" t="s">
        <v>1837</v>
      </c>
      <c r="I1808" s="252">
        <f>(C41)</f>
        <v>738</v>
      </c>
      <c r="J1808" s="296" t="s">
        <v>865</v>
      </c>
      <c r="K1808" s="252">
        <f t="shared" si="227"/>
        <v>2214</v>
      </c>
      <c r="W1808" s="253"/>
    </row>
    <row r="1809" spans="6:23" ht="18.75" customHeight="1">
      <c r="F1809" s="252">
        <v>1</v>
      </c>
      <c r="G1809" s="252" t="s">
        <v>865</v>
      </c>
      <c r="H1809" s="296" t="s">
        <v>1375</v>
      </c>
      <c r="I1809" s="252">
        <f>(C10)</f>
        <v>999</v>
      </c>
      <c r="J1809" s="296" t="s">
        <v>865</v>
      </c>
      <c r="K1809" s="252">
        <f t="shared" si="227"/>
        <v>999</v>
      </c>
      <c r="W1809" s="253"/>
    </row>
    <row r="1810" spans="6:23" ht="18.75" customHeight="1">
      <c r="F1810" s="252">
        <v>2</v>
      </c>
      <c r="G1810" s="252" t="s">
        <v>865</v>
      </c>
      <c r="H1810" s="296" t="s">
        <v>1893</v>
      </c>
      <c r="I1810" s="252">
        <f>(C12)</f>
        <v>651</v>
      </c>
      <c r="J1810" s="296" t="s">
        <v>865</v>
      </c>
      <c r="K1810" s="252">
        <f t="shared" si="227"/>
        <v>1302</v>
      </c>
      <c r="W1810" s="253"/>
    </row>
    <row r="1811" spans="6:23" ht="18.75" customHeight="1">
      <c r="F1811" s="252">
        <v>1</v>
      </c>
      <c r="G1811" s="252" t="s">
        <v>865</v>
      </c>
      <c r="H1811" s="296" t="s">
        <v>317</v>
      </c>
      <c r="I1811" s="252">
        <f>(C13)</f>
        <v>534</v>
      </c>
      <c r="J1811" s="296" t="s">
        <v>865</v>
      </c>
      <c r="K1811" s="252">
        <f t="shared" si="227"/>
        <v>534</v>
      </c>
      <c r="W1811" s="253"/>
    </row>
    <row r="1812" spans="6:23" ht="18.75" customHeight="1">
      <c r="F1812" s="252">
        <v>1</v>
      </c>
      <c r="G1812" s="252" t="s">
        <v>865</v>
      </c>
      <c r="H1812" s="296" t="s">
        <v>1376</v>
      </c>
      <c r="I1812" s="407">
        <v>5</v>
      </c>
      <c r="J1812" s="296" t="s">
        <v>1393</v>
      </c>
      <c r="K1812" s="252">
        <f t="shared" si="227"/>
        <v>5</v>
      </c>
      <c r="W1812" s="253"/>
    </row>
    <row r="1813" spans="6:23" ht="18.75" customHeight="1">
      <c r="H1813" s="296" t="s">
        <v>928</v>
      </c>
      <c r="I1813" s="296" t="s">
        <v>971</v>
      </c>
      <c r="K1813" s="296" t="s">
        <v>971</v>
      </c>
      <c r="W1813" s="253"/>
    </row>
    <row r="1814" spans="6:23" ht="18.75" customHeight="1">
      <c r="G1814" s="252" t="s">
        <v>446</v>
      </c>
      <c r="H1814" s="296" t="s">
        <v>447</v>
      </c>
      <c r="J1814" s="296" t="s">
        <v>446</v>
      </c>
      <c r="K1814" s="252">
        <v>0</v>
      </c>
      <c r="W1814" s="253"/>
    </row>
    <row r="1815" spans="6:23" ht="18.75" customHeight="1">
      <c r="K1815" s="358" t="s">
        <v>1579</v>
      </c>
      <c r="W1815" s="253"/>
    </row>
    <row r="1816" spans="6:23" ht="18.75" customHeight="1">
      <c r="H1816" s="296" t="s">
        <v>1842</v>
      </c>
      <c r="K1816" s="252">
        <f>SUM(K1804:K1814)</f>
        <v>5562.4</v>
      </c>
      <c r="W1816" s="253"/>
    </row>
    <row r="1817" spans="6:23" ht="18.75" customHeight="1">
      <c r="K1817" s="358" t="s">
        <v>1579</v>
      </c>
      <c r="W1817" s="253"/>
    </row>
    <row r="1818" spans="6:23" ht="18.75" customHeight="1">
      <c r="H1818" s="296" t="s">
        <v>1538</v>
      </c>
      <c r="K1818" s="252">
        <f>(K1816/30)</f>
        <v>185.41</v>
      </c>
      <c r="W1818" s="253"/>
    </row>
    <row r="1819" spans="6:23" ht="18.75" customHeight="1">
      <c r="K1819" s="358" t="s">
        <v>1579</v>
      </c>
      <c r="W1819" s="253"/>
    </row>
    <row r="1820" spans="6:23" ht="18.75" customHeight="1">
      <c r="G1820" s="252" t="s">
        <v>517</v>
      </c>
      <c r="H1820" s="296" t="s">
        <v>944</v>
      </c>
      <c r="K1820" s="296" t="s">
        <v>21</v>
      </c>
      <c r="W1820" s="253"/>
    </row>
    <row r="1821" spans="6:23" ht="18.75" customHeight="1">
      <c r="H1821" s="358" t="s">
        <v>1579</v>
      </c>
      <c r="K1821" s="358" t="s">
        <v>2046</v>
      </c>
      <c r="W1821" s="253"/>
    </row>
    <row r="1822" spans="6:23" ht="18.75" customHeight="1">
      <c r="F1822" s="252">
        <v>30</v>
      </c>
      <c r="G1822" s="252" t="s">
        <v>1763</v>
      </c>
      <c r="H1822" s="296" t="s">
        <v>1656</v>
      </c>
      <c r="I1822" s="252">
        <f>(C661)</f>
        <v>11.2</v>
      </c>
      <c r="J1822" s="296" t="s">
        <v>1763</v>
      </c>
      <c r="K1822" s="252">
        <f>(F1822*I1822)</f>
        <v>336</v>
      </c>
      <c r="W1822" s="253"/>
    </row>
    <row r="1823" spans="6:23" ht="18.75" customHeight="1">
      <c r="F1823" s="296" t="s">
        <v>971</v>
      </c>
      <c r="H1823" s="296" t="s">
        <v>1659</v>
      </c>
      <c r="I1823" s="296" t="s">
        <v>971</v>
      </c>
      <c r="K1823" s="296" t="s">
        <v>971</v>
      </c>
      <c r="W1823" s="253"/>
    </row>
    <row r="1824" spans="6:23" ht="18.75" customHeight="1">
      <c r="F1824" s="252">
        <v>8</v>
      </c>
      <c r="G1824" s="252" t="s">
        <v>865</v>
      </c>
      <c r="H1824" s="296" t="s">
        <v>2135</v>
      </c>
      <c r="I1824" s="252">
        <f>(C663)</f>
        <v>8.9</v>
      </c>
      <c r="J1824" s="296" t="s">
        <v>865</v>
      </c>
      <c r="K1824" s="252">
        <f t="shared" ref="K1824:K1830" si="228">(F1824*I1824)</f>
        <v>71.2</v>
      </c>
      <c r="W1824" s="253"/>
    </row>
    <row r="1825" spans="6:23" ht="18.75" customHeight="1">
      <c r="F1825" s="252">
        <v>8</v>
      </c>
      <c r="G1825" s="252" t="s">
        <v>865</v>
      </c>
      <c r="H1825" s="296" t="s">
        <v>464</v>
      </c>
      <c r="I1825" s="252">
        <f>D672</f>
        <v>12.85</v>
      </c>
      <c r="J1825" s="296" t="s">
        <v>865</v>
      </c>
      <c r="K1825" s="252">
        <f t="shared" si="228"/>
        <v>102.8</v>
      </c>
      <c r="W1825" s="253"/>
    </row>
    <row r="1826" spans="6:23" ht="18.75" customHeight="1">
      <c r="F1826" s="252">
        <v>3</v>
      </c>
      <c r="G1826" s="252" t="s">
        <v>865</v>
      </c>
      <c r="H1826" s="296" t="s">
        <v>1837</v>
      </c>
      <c r="I1826" s="252">
        <f>(C41)</f>
        <v>738</v>
      </c>
      <c r="J1826" s="296" t="s">
        <v>865</v>
      </c>
      <c r="K1826" s="252">
        <f t="shared" si="228"/>
        <v>2214</v>
      </c>
      <c r="W1826" s="253"/>
    </row>
    <row r="1827" spans="6:23" ht="18.75" customHeight="1">
      <c r="F1827" s="252">
        <v>1</v>
      </c>
      <c r="G1827" s="252" t="s">
        <v>865</v>
      </c>
      <c r="H1827" s="296" t="s">
        <v>1375</v>
      </c>
      <c r="I1827" s="252">
        <f>(C10)</f>
        <v>999</v>
      </c>
      <c r="J1827" s="296" t="s">
        <v>865</v>
      </c>
      <c r="K1827" s="252">
        <f t="shared" si="228"/>
        <v>999</v>
      </c>
      <c r="W1827" s="253"/>
    </row>
    <row r="1828" spans="6:23" ht="18.75" customHeight="1">
      <c r="F1828" s="252">
        <v>2</v>
      </c>
      <c r="G1828" s="252" t="s">
        <v>865</v>
      </c>
      <c r="H1828" s="296" t="s">
        <v>1893</v>
      </c>
      <c r="I1828" s="252">
        <f>(C12)</f>
        <v>651</v>
      </c>
      <c r="J1828" s="296" t="s">
        <v>865</v>
      </c>
      <c r="K1828" s="252">
        <f t="shared" si="228"/>
        <v>1302</v>
      </c>
      <c r="W1828" s="253"/>
    </row>
    <row r="1829" spans="6:23" ht="18.75" customHeight="1">
      <c r="F1829" s="252">
        <v>1</v>
      </c>
      <c r="G1829" s="252" t="s">
        <v>865</v>
      </c>
      <c r="H1829" s="296" t="s">
        <v>317</v>
      </c>
      <c r="I1829" s="252">
        <f>(C13)</f>
        <v>534</v>
      </c>
      <c r="J1829" s="296" t="s">
        <v>865</v>
      </c>
      <c r="K1829" s="252">
        <f t="shared" si="228"/>
        <v>534</v>
      </c>
      <c r="W1829" s="253"/>
    </row>
    <row r="1830" spans="6:23" ht="18.75" customHeight="1">
      <c r="F1830" s="252">
        <v>1</v>
      </c>
      <c r="G1830" s="252" t="s">
        <v>865</v>
      </c>
      <c r="H1830" s="296" t="s">
        <v>1376</v>
      </c>
      <c r="I1830" s="407">
        <v>3</v>
      </c>
      <c r="J1830" s="296" t="s">
        <v>865</v>
      </c>
      <c r="K1830" s="252">
        <f t="shared" si="228"/>
        <v>3</v>
      </c>
      <c r="W1830" s="253"/>
    </row>
    <row r="1831" spans="6:23" ht="18.75" customHeight="1">
      <c r="H1831" s="296" t="s">
        <v>928</v>
      </c>
      <c r="I1831" s="296" t="s">
        <v>971</v>
      </c>
      <c r="K1831" s="296" t="s">
        <v>971</v>
      </c>
      <c r="W1831" s="253"/>
    </row>
    <row r="1832" spans="6:23" ht="18.75" customHeight="1">
      <c r="G1832" s="252" t="s">
        <v>446</v>
      </c>
      <c r="H1832" s="296" t="s">
        <v>447</v>
      </c>
      <c r="J1832" s="296" t="s">
        <v>446</v>
      </c>
      <c r="K1832" s="252">
        <v>0</v>
      </c>
      <c r="W1832" s="253"/>
    </row>
    <row r="1833" spans="6:23" ht="18.75" customHeight="1">
      <c r="K1833" s="358" t="s">
        <v>1579</v>
      </c>
      <c r="W1833" s="253"/>
    </row>
    <row r="1834" spans="6:23" ht="18.75" customHeight="1">
      <c r="H1834" s="296" t="s">
        <v>1842</v>
      </c>
      <c r="K1834" s="252">
        <f>SUM(K1822:K1832)</f>
        <v>5562</v>
      </c>
      <c r="W1834" s="253"/>
    </row>
    <row r="1835" spans="6:23" ht="18.75" customHeight="1">
      <c r="K1835" s="358" t="s">
        <v>1579</v>
      </c>
      <c r="W1835" s="253"/>
    </row>
    <row r="1836" spans="6:23" ht="18.75" customHeight="1">
      <c r="H1836" s="296" t="s">
        <v>1538</v>
      </c>
      <c r="K1836" s="252">
        <f>(K1834/30)</f>
        <v>185.4</v>
      </c>
      <c r="W1836" s="253"/>
    </row>
    <row r="1837" spans="6:23" ht="18.75" customHeight="1">
      <c r="K1837" s="358" t="s">
        <v>1579</v>
      </c>
      <c r="W1837" s="253"/>
    </row>
    <row r="1838" spans="6:23" ht="18.75" customHeight="1">
      <c r="G1838" s="252" t="s">
        <v>1898</v>
      </c>
      <c r="H1838" s="296" t="s">
        <v>944</v>
      </c>
      <c r="K1838" s="296" t="s">
        <v>22</v>
      </c>
      <c r="W1838" s="253"/>
    </row>
    <row r="1839" spans="6:23" ht="18.75" customHeight="1">
      <c r="H1839" s="358" t="s">
        <v>1579</v>
      </c>
      <c r="K1839" s="358" t="s">
        <v>2046</v>
      </c>
      <c r="W1839" s="253"/>
    </row>
    <row r="1840" spans="6:23" ht="18.75" customHeight="1">
      <c r="F1840" s="252">
        <v>30</v>
      </c>
      <c r="G1840" s="252" t="s">
        <v>1763</v>
      </c>
      <c r="H1840" s="296" t="s">
        <v>1656</v>
      </c>
      <c r="I1840" s="252">
        <f>(C661)</f>
        <v>11.2</v>
      </c>
      <c r="J1840" s="296" t="s">
        <v>1763</v>
      </c>
      <c r="K1840" s="252">
        <f>(F1840*I1840)</f>
        <v>336</v>
      </c>
      <c r="W1840" s="253"/>
    </row>
    <row r="1841" spans="6:23" ht="18.75" customHeight="1">
      <c r="F1841" s="296" t="s">
        <v>971</v>
      </c>
      <c r="H1841" s="296" t="s">
        <v>1659</v>
      </c>
      <c r="I1841" s="296" t="s">
        <v>971</v>
      </c>
      <c r="K1841" s="296" t="s">
        <v>971</v>
      </c>
      <c r="W1841" s="253"/>
    </row>
    <row r="1842" spans="6:23" ht="18.75" customHeight="1">
      <c r="F1842" s="252">
        <v>8</v>
      </c>
      <c r="G1842" s="252" t="s">
        <v>865</v>
      </c>
      <c r="H1842" s="296" t="s">
        <v>2135</v>
      </c>
      <c r="I1842" s="252">
        <f>D663</f>
        <v>10.65</v>
      </c>
      <c r="J1842" s="296" t="s">
        <v>865</v>
      </c>
      <c r="K1842" s="252">
        <f t="shared" ref="K1842:K1848" si="229">(F1842*I1842)</f>
        <v>85.2</v>
      </c>
      <c r="W1842" s="253"/>
    </row>
    <row r="1843" spans="6:23" ht="18.75" customHeight="1">
      <c r="F1843" s="252">
        <v>8</v>
      </c>
      <c r="G1843" s="252" t="s">
        <v>865</v>
      </c>
      <c r="H1843" s="296" t="s">
        <v>464</v>
      </c>
      <c r="I1843" s="252">
        <f>C677</f>
        <v>26.6</v>
      </c>
      <c r="J1843" s="296" t="s">
        <v>865</v>
      </c>
      <c r="K1843" s="252">
        <f t="shared" si="229"/>
        <v>212.8</v>
      </c>
      <c r="W1843" s="253"/>
    </row>
    <row r="1844" spans="6:23" ht="18.75" customHeight="1">
      <c r="F1844" s="252">
        <v>3</v>
      </c>
      <c r="G1844" s="252" t="s">
        <v>865</v>
      </c>
      <c r="H1844" s="296" t="s">
        <v>1837</v>
      </c>
      <c r="I1844" s="252">
        <f>(C41)</f>
        <v>738</v>
      </c>
      <c r="J1844" s="296" t="s">
        <v>865</v>
      </c>
      <c r="K1844" s="252">
        <f t="shared" si="229"/>
        <v>2214</v>
      </c>
      <c r="W1844" s="253"/>
    </row>
    <row r="1845" spans="6:23" ht="18.75" customHeight="1">
      <c r="F1845" s="252">
        <v>1</v>
      </c>
      <c r="G1845" s="252" t="s">
        <v>865</v>
      </c>
      <c r="H1845" s="296" t="s">
        <v>1375</v>
      </c>
      <c r="I1845" s="252">
        <f>(C10)</f>
        <v>999</v>
      </c>
      <c r="J1845" s="296" t="s">
        <v>865</v>
      </c>
      <c r="K1845" s="252">
        <f t="shared" si="229"/>
        <v>999</v>
      </c>
      <c r="W1845" s="253"/>
    </row>
    <row r="1846" spans="6:23" ht="18.75" customHeight="1">
      <c r="F1846" s="252">
        <v>2</v>
      </c>
      <c r="G1846" s="252" t="s">
        <v>865</v>
      </c>
      <c r="H1846" s="296" t="s">
        <v>1893</v>
      </c>
      <c r="I1846" s="252">
        <f>(C12)</f>
        <v>651</v>
      </c>
      <c r="J1846" s="296" t="s">
        <v>865</v>
      </c>
      <c r="K1846" s="252">
        <f t="shared" si="229"/>
        <v>1302</v>
      </c>
      <c r="W1846" s="253"/>
    </row>
    <row r="1847" spans="6:23" ht="18.75" customHeight="1">
      <c r="F1847" s="252">
        <v>1</v>
      </c>
      <c r="G1847" s="252" t="s">
        <v>865</v>
      </c>
      <c r="H1847" s="296" t="s">
        <v>317</v>
      </c>
      <c r="I1847" s="252">
        <f>(C13)</f>
        <v>534</v>
      </c>
      <c r="J1847" s="296" t="s">
        <v>865</v>
      </c>
      <c r="K1847" s="252">
        <f t="shared" si="229"/>
        <v>534</v>
      </c>
      <c r="W1847" s="253"/>
    </row>
    <row r="1848" spans="6:23" ht="18.75" customHeight="1">
      <c r="F1848" s="252">
        <v>1</v>
      </c>
      <c r="G1848" s="252" t="s">
        <v>865</v>
      </c>
      <c r="H1848" s="296" t="s">
        <v>1376</v>
      </c>
      <c r="I1848" s="407">
        <v>5.26</v>
      </c>
      <c r="J1848" s="296" t="s">
        <v>865</v>
      </c>
      <c r="K1848" s="252">
        <f t="shared" si="229"/>
        <v>5.26</v>
      </c>
      <c r="W1848" s="253"/>
    </row>
    <row r="1849" spans="6:23" ht="18.75" customHeight="1">
      <c r="H1849" s="296" t="s">
        <v>928</v>
      </c>
      <c r="I1849" s="296" t="s">
        <v>971</v>
      </c>
      <c r="K1849" s="296" t="s">
        <v>971</v>
      </c>
      <c r="W1849" s="253"/>
    </row>
    <row r="1850" spans="6:23" ht="18.75" customHeight="1">
      <c r="G1850" s="252" t="s">
        <v>446</v>
      </c>
      <c r="H1850" s="296" t="s">
        <v>447</v>
      </c>
      <c r="J1850" s="296" t="s">
        <v>446</v>
      </c>
      <c r="K1850" s="252">
        <v>0</v>
      </c>
      <c r="W1850" s="253"/>
    </row>
    <row r="1851" spans="6:23" ht="18.75" customHeight="1">
      <c r="K1851" s="358" t="s">
        <v>1579</v>
      </c>
      <c r="W1851" s="253"/>
    </row>
    <row r="1852" spans="6:23" ht="18.75" customHeight="1">
      <c r="H1852" s="296" t="s">
        <v>1842</v>
      </c>
      <c r="K1852" s="252">
        <f>SUM(K1840:K1850)</f>
        <v>5688.26</v>
      </c>
      <c r="W1852" s="253"/>
    </row>
    <row r="1853" spans="6:23" ht="18.75" customHeight="1">
      <c r="K1853" s="358" t="s">
        <v>1579</v>
      </c>
      <c r="W1853" s="253"/>
    </row>
    <row r="1854" spans="6:23" ht="18.75" customHeight="1">
      <c r="H1854" s="296" t="s">
        <v>1538</v>
      </c>
      <c r="K1854" s="252">
        <f>(K1852/30)</f>
        <v>189.61</v>
      </c>
      <c r="N1854" s="252" t="s">
        <v>1898</v>
      </c>
      <c r="O1854" s="296" t="s">
        <v>944</v>
      </c>
      <c r="Q1854" s="296"/>
      <c r="R1854" s="296" t="s">
        <v>1716</v>
      </c>
      <c r="W1854" s="253"/>
    </row>
    <row r="1855" spans="6:23" ht="18.75" customHeight="1">
      <c r="K1855" s="358" t="s">
        <v>1579</v>
      </c>
      <c r="O1855" s="358" t="s">
        <v>1579</v>
      </c>
      <c r="Q1855" s="296"/>
      <c r="R1855" s="358" t="s">
        <v>2046</v>
      </c>
      <c r="W1855" s="253"/>
    </row>
    <row r="1856" spans="6:23" ht="18.75" customHeight="1">
      <c r="M1856" s="252">
        <v>30</v>
      </c>
      <c r="N1856" s="252" t="s">
        <v>1763</v>
      </c>
      <c r="O1856" s="296" t="s">
        <v>1656</v>
      </c>
      <c r="P1856" s="252">
        <f>I1840</f>
        <v>11.2</v>
      </c>
      <c r="Q1856" s="296" t="s">
        <v>1763</v>
      </c>
      <c r="R1856" s="252">
        <f>(M1856*P1856)</f>
        <v>336</v>
      </c>
      <c r="W1856" s="253"/>
    </row>
    <row r="1857" spans="6:23" ht="18.75" customHeight="1">
      <c r="F1857" s="369">
        <v>52</v>
      </c>
      <c r="G1857" s="252" t="s">
        <v>2241</v>
      </c>
      <c r="H1857" s="296" t="s">
        <v>99</v>
      </c>
      <c r="M1857" s="296" t="s">
        <v>971</v>
      </c>
      <c r="O1857" s="296" t="s">
        <v>1659</v>
      </c>
      <c r="P1857" s="252" t="str">
        <f t="shared" ref="P1857:P1866" si="230">I1841</f>
        <v xml:space="preserve"> </v>
      </c>
      <c r="Q1857" s="296"/>
      <c r="R1857" s="296" t="s">
        <v>971</v>
      </c>
      <c r="W1857" s="253"/>
    </row>
    <row r="1858" spans="6:23" ht="18.75" customHeight="1">
      <c r="H1858" s="296" t="s">
        <v>2159</v>
      </c>
      <c r="M1858" s="252">
        <v>8</v>
      </c>
      <c r="N1858" s="252" t="s">
        <v>865</v>
      </c>
      <c r="O1858" s="393" t="s">
        <v>5451</v>
      </c>
      <c r="P1858" s="252">
        <f>C46</f>
        <v>13.55</v>
      </c>
      <c r="Q1858" s="296" t="s">
        <v>865</v>
      </c>
      <c r="R1858" s="252">
        <f t="shared" ref="R1858:R1863" si="231">(M1858*P1858)</f>
        <v>108.4</v>
      </c>
      <c r="W1858" s="253"/>
    </row>
    <row r="1859" spans="6:23" ht="18.75" customHeight="1">
      <c r="H1859" s="296" t="s">
        <v>2160</v>
      </c>
      <c r="M1859" s="252">
        <v>8</v>
      </c>
      <c r="N1859" s="252" t="s">
        <v>865</v>
      </c>
      <c r="O1859" s="393" t="s">
        <v>5452</v>
      </c>
      <c r="P1859" s="252">
        <f>C53</f>
        <v>37.85</v>
      </c>
      <c r="Q1859" s="296" t="s">
        <v>865</v>
      </c>
      <c r="R1859" s="252">
        <f t="shared" si="231"/>
        <v>302.8</v>
      </c>
      <c r="W1859" s="253"/>
    </row>
    <row r="1860" spans="6:23" ht="18.75" customHeight="1">
      <c r="H1860" s="296" t="s">
        <v>1401</v>
      </c>
      <c r="M1860" s="252">
        <v>3</v>
      </c>
      <c r="N1860" s="252" t="s">
        <v>865</v>
      </c>
      <c r="O1860" s="296" t="s">
        <v>1837</v>
      </c>
      <c r="P1860" s="252">
        <f t="shared" si="230"/>
        <v>738</v>
      </c>
      <c r="Q1860" s="296" t="s">
        <v>865</v>
      </c>
      <c r="R1860" s="252">
        <f t="shared" si="231"/>
        <v>2214</v>
      </c>
      <c r="W1860" s="253"/>
    </row>
    <row r="1861" spans="6:23" ht="18.75" customHeight="1">
      <c r="H1861" s="296" t="s">
        <v>1402</v>
      </c>
      <c r="M1861" s="252">
        <v>1</v>
      </c>
      <c r="N1861" s="252" t="s">
        <v>865</v>
      </c>
      <c r="O1861" s="296" t="s">
        <v>1375</v>
      </c>
      <c r="P1861" s="252">
        <f t="shared" si="230"/>
        <v>999</v>
      </c>
      <c r="Q1861" s="296" t="s">
        <v>865</v>
      </c>
      <c r="R1861" s="252">
        <f t="shared" si="231"/>
        <v>999</v>
      </c>
      <c r="W1861" s="253"/>
    </row>
    <row r="1862" spans="6:23" ht="18.75" customHeight="1">
      <c r="H1862" s="296" t="s">
        <v>1346</v>
      </c>
      <c r="M1862" s="252">
        <v>2</v>
      </c>
      <c r="N1862" s="252" t="s">
        <v>865</v>
      </c>
      <c r="O1862" s="296" t="s">
        <v>1893</v>
      </c>
      <c r="P1862" s="252">
        <f t="shared" si="230"/>
        <v>651</v>
      </c>
      <c r="Q1862" s="296" t="s">
        <v>865</v>
      </c>
      <c r="R1862" s="252">
        <f t="shared" si="231"/>
        <v>1302</v>
      </c>
      <c r="W1862" s="253"/>
    </row>
    <row r="1863" spans="6:23" ht="18.75" customHeight="1">
      <c r="H1863" s="296" t="s">
        <v>1347</v>
      </c>
      <c r="M1863" s="252">
        <v>1</v>
      </c>
      <c r="N1863" s="252" t="s">
        <v>865</v>
      </c>
      <c r="O1863" s="296" t="s">
        <v>317</v>
      </c>
      <c r="P1863" s="252">
        <f t="shared" si="230"/>
        <v>534</v>
      </c>
      <c r="Q1863" s="296" t="s">
        <v>865</v>
      </c>
      <c r="R1863" s="252">
        <f t="shared" si="231"/>
        <v>534</v>
      </c>
      <c r="W1863" s="253"/>
    </row>
    <row r="1864" spans="6:23" ht="18.75" customHeight="1">
      <c r="H1864" s="296" t="s">
        <v>707</v>
      </c>
      <c r="N1864" s="252" t="s">
        <v>446</v>
      </c>
      <c r="O1864" s="296" t="s">
        <v>1376</v>
      </c>
      <c r="P1864" s="252">
        <f t="shared" si="230"/>
        <v>5.26</v>
      </c>
      <c r="Q1864" s="296" t="s">
        <v>446</v>
      </c>
      <c r="R1864" s="252">
        <v>5</v>
      </c>
      <c r="W1864" s="253"/>
    </row>
    <row r="1865" spans="6:23" ht="18.75" customHeight="1">
      <c r="H1865" s="358" t="s">
        <v>2046</v>
      </c>
      <c r="I1865" s="358" t="s">
        <v>2046</v>
      </c>
      <c r="O1865" s="296" t="s">
        <v>928</v>
      </c>
      <c r="P1865" s="252" t="str">
        <f t="shared" si="230"/>
        <v xml:space="preserve"> </v>
      </c>
      <c r="Q1865" s="296"/>
      <c r="R1865" s="296" t="s">
        <v>971</v>
      </c>
      <c r="W1865" s="253"/>
    </row>
    <row r="1866" spans="6:23" ht="18.75" customHeight="1">
      <c r="G1866" s="252" t="s">
        <v>2241</v>
      </c>
      <c r="H1866" s="296" t="s">
        <v>914</v>
      </c>
      <c r="N1866" s="252" t="s">
        <v>446</v>
      </c>
      <c r="O1866" s="296" t="s">
        <v>447</v>
      </c>
      <c r="P1866" s="252">
        <f t="shared" si="230"/>
        <v>0</v>
      </c>
      <c r="Q1866" s="296" t="s">
        <v>446</v>
      </c>
      <c r="R1866" s="252">
        <v>0</v>
      </c>
      <c r="W1866" s="253"/>
    </row>
    <row r="1867" spans="6:23" ht="18.75" customHeight="1">
      <c r="H1867" s="296" t="s">
        <v>803</v>
      </c>
      <c r="Q1867" s="296"/>
      <c r="R1867" s="358" t="s">
        <v>1579</v>
      </c>
      <c r="W1867" s="253"/>
    </row>
    <row r="1868" spans="6:23" ht="18.75" customHeight="1">
      <c r="G1868" s="252" t="s">
        <v>313</v>
      </c>
      <c r="H1868" s="296" t="s">
        <v>804</v>
      </c>
      <c r="O1868" s="296" t="s">
        <v>1842</v>
      </c>
      <c r="Q1868" s="296"/>
      <c r="R1868" s="252">
        <f>SUM(R1856:R1866)</f>
        <v>5801.2</v>
      </c>
      <c r="W1868" s="253"/>
    </row>
    <row r="1869" spans="6:23" ht="18.75" customHeight="1">
      <c r="H1869" s="358" t="s">
        <v>1579</v>
      </c>
      <c r="Q1869" s="296"/>
      <c r="R1869" s="358" t="s">
        <v>1579</v>
      </c>
      <c r="W1869" s="253"/>
    </row>
    <row r="1870" spans="6:23" ht="18.75" customHeight="1">
      <c r="F1870" s="252">
        <v>1</v>
      </c>
      <c r="G1870" s="252" t="s">
        <v>823</v>
      </c>
      <c r="H1870" s="296" t="s">
        <v>615</v>
      </c>
      <c r="I1870" s="252">
        <f>C517</f>
        <v>26</v>
      </c>
      <c r="J1870" s="296" t="s">
        <v>823</v>
      </c>
      <c r="K1870" s="252">
        <f>(F1870*I1870)</f>
        <v>26</v>
      </c>
      <c r="O1870" s="296" t="s">
        <v>1538</v>
      </c>
      <c r="Q1870" s="296"/>
      <c r="R1870" s="252">
        <f>(R1868/30)</f>
        <v>193.37</v>
      </c>
      <c r="W1870" s="253"/>
    </row>
    <row r="1871" spans="6:23" ht="18.75" customHeight="1">
      <c r="F1871" s="252">
        <v>1</v>
      </c>
      <c r="G1871" s="252" t="s">
        <v>446</v>
      </c>
      <c r="H1871" s="296" t="s">
        <v>1793</v>
      </c>
      <c r="I1871" s="252">
        <f>I1870*0.7</f>
        <v>18.2</v>
      </c>
      <c r="J1871" s="296" t="s">
        <v>446</v>
      </c>
      <c r="K1871" s="252">
        <f>(F1871*I1871)</f>
        <v>18.2</v>
      </c>
      <c r="Q1871" s="296"/>
      <c r="R1871" s="358" t="s">
        <v>1579</v>
      </c>
      <c r="W1871" s="253"/>
    </row>
    <row r="1872" spans="6:23" ht="18.75" customHeight="1">
      <c r="F1872" s="252">
        <v>1</v>
      </c>
      <c r="G1872" s="252" t="s">
        <v>823</v>
      </c>
      <c r="H1872" s="296" t="s">
        <v>161</v>
      </c>
      <c r="I1872" s="252">
        <f>K1818</f>
        <v>185.41</v>
      </c>
      <c r="J1872" s="296" t="s">
        <v>823</v>
      </c>
      <c r="K1872" s="252">
        <f>(F1872*I1872)</f>
        <v>185.41</v>
      </c>
      <c r="W1872" s="253"/>
    </row>
    <row r="1873" spans="6:23" ht="18.75" customHeight="1">
      <c r="I1873" s="296" t="s">
        <v>971</v>
      </c>
      <c r="K1873" s="358" t="s">
        <v>1579</v>
      </c>
      <c r="W1873" s="253"/>
    </row>
    <row r="1874" spans="6:23" ht="18.75" customHeight="1">
      <c r="H1874" s="296" t="s">
        <v>374</v>
      </c>
      <c r="K1874" s="274">
        <f>SUM(K1870:K1872)</f>
        <v>229.61</v>
      </c>
      <c r="W1874" s="253"/>
    </row>
    <row r="1875" spans="6:23" ht="18.75" customHeight="1">
      <c r="H1875" s="296" t="s">
        <v>971</v>
      </c>
      <c r="I1875" s="296" t="s">
        <v>971</v>
      </c>
      <c r="K1875" s="358" t="s">
        <v>2046</v>
      </c>
      <c r="N1875" s="252" t="s">
        <v>1898</v>
      </c>
      <c r="O1875" s="296" t="s">
        <v>4899</v>
      </c>
      <c r="Q1875" s="296"/>
      <c r="W1875" s="253"/>
    </row>
    <row r="1876" spans="6:23" ht="18.75" customHeight="1">
      <c r="G1876" s="252" t="s">
        <v>517</v>
      </c>
      <c r="H1876" s="296" t="s">
        <v>739</v>
      </c>
      <c r="O1876" s="358" t="s">
        <v>1579</v>
      </c>
      <c r="Q1876" s="296"/>
      <c r="W1876" s="253"/>
    </row>
    <row r="1877" spans="6:23" ht="18.75" customHeight="1">
      <c r="H1877" s="358" t="s">
        <v>1579</v>
      </c>
      <c r="M1877" s="252">
        <v>1</v>
      </c>
      <c r="N1877" s="252" t="s">
        <v>823</v>
      </c>
      <c r="O1877" s="296" t="s">
        <v>2884</v>
      </c>
      <c r="P1877" s="362">
        <v>133.69999999999999</v>
      </c>
      <c r="Q1877" s="296" t="s">
        <v>823</v>
      </c>
      <c r="R1877" s="252">
        <f>(M1877*P1877)</f>
        <v>133.69999999999999</v>
      </c>
      <c r="W1877" s="253"/>
    </row>
    <row r="1878" spans="6:23" ht="18.75" customHeight="1">
      <c r="F1878" s="252">
        <v>1</v>
      </c>
      <c r="G1878" s="252" t="s">
        <v>823</v>
      </c>
      <c r="H1878" s="296" t="s">
        <v>740</v>
      </c>
      <c r="I1878" s="252">
        <f>C518</f>
        <v>35</v>
      </c>
      <c r="J1878" s="296" t="s">
        <v>823</v>
      </c>
      <c r="K1878" s="252">
        <f>(F1878*I1878)</f>
        <v>35</v>
      </c>
      <c r="M1878" s="252">
        <v>1</v>
      </c>
      <c r="N1878" s="252" t="s">
        <v>446</v>
      </c>
      <c r="O1878" s="296" t="s">
        <v>1664</v>
      </c>
      <c r="P1878" s="252">
        <f>P1877*0.2</f>
        <v>26.74</v>
      </c>
      <c r="Q1878" s="296" t="s">
        <v>446</v>
      </c>
      <c r="R1878" s="252">
        <f>(M1878*P1878)</f>
        <v>26.74</v>
      </c>
      <c r="W1878" s="253"/>
    </row>
    <row r="1879" spans="6:23" ht="18.75" customHeight="1">
      <c r="F1879" s="252">
        <v>1</v>
      </c>
      <c r="G1879" s="252" t="s">
        <v>446</v>
      </c>
      <c r="H1879" s="296" t="s">
        <v>890</v>
      </c>
      <c r="I1879" s="252">
        <f>I1878*0.4</f>
        <v>14</v>
      </c>
      <c r="J1879" s="296" t="s">
        <v>446</v>
      </c>
      <c r="K1879" s="252">
        <f>(F1879*I1879)</f>
        <v>14</v>
      </c>
      <c r="M1879" s="252">
        <v>1</v>
      </c>
      <c r="N1879" s="252" t="s">
        <v>823</v>
      </c>
      <c r="O1879" s="296" t="s">
        <v>161</v>
      </c>
      <c r="P1879" s="252">
        <f>R1870</f>
        <v>193.37</v>
      </c>
      <c r="Q1879" s="296" t="s">
        <v>823</v>
      </c>
      <c r="R1879" s="252">
        <f>(M1879*P1879)</f>
        <v>193.37</v>
      </c>
      <c r="W1879" s="253"/>
    </row>
    <row r="1880" spans="6:23" ht="18.75" customHeight="1">
      <c r="F1880" s="252">
        <v>1</v>
      </c>
      <c r="G1880" s="252" t="s">
        <v>823</v>
      </c>
      <c r="H1880" s="296" t="s">
        <v>161</v>
      </c>
      <c r="I1880" s="252">
        <f>K1836</f>
        <v>185.4</v>
      </c>
      <c r="J1880" s="296" t="s">
        <v>823</v>
      </c>
      <c r="K1880" s="252">
        <f>(F1880*I1880)</f>
        <v>185.4</v>
      </c>
      <c r="P1880" s="296" t="s">
        <v>971</v>
      </c>
      <c r="Q1880" s="296"/>
      <c r="R1880" s="358" t="s">
        <v>1579</v>
      </c>
      <c r="W1880" s="253"/>
    </row>
    <row r="1881" spans="6:23" ht="18.75" customHeight="1">
      <c r="I1881" s="296" t="s">
        <v>971</v>
      </c>
      <c r="K1881" s="358" t="s">
        <v>1579</v>
      </c>
      <c r="O1881" s="296" t="s">
        <v>374</v>
      </c>
      <c r="Q1881" s="296"/>
      <c r="R1881" s="274">
        <f>SUM(R1877:R1879)</f>
        <v>353.81</v>
      </c>
      <c r="W1881" s="253"/>
    </row>
    <row r="1882" spans="6:23" ht="18.75" customHeight="1">
      <c r="H1882" s="296" t="s">
        <v>374</v>
      </c>
      <c r="K1882" s="274">
        <f>SUM(K1878:K1880)</f>
        <v>234.4</v>
      </c>
      <c r="P1882" s="296" t="s">
        <v>971</v>
      </c>
      <c r="Q1882" s="296"/>
      <c r="R1882" s="358" t="s">
        <v>2046</v>
      </c>
      <c r="W1882" s="253"/>
    </row>
    <row r="1883" spans="6:23" ht="18.75" customHeight="1">
      <c r="I1883" s="296" t="s">
        <v>971</v>
      </c>
      <c r="K1883" s="358" t="s">
        <v>2046</v>
      </c>
      <c r="W1883" s="253"/>
    </row>
    <row r="1884" spans="6:23" ht="18.75" customHeight="1">
      <c r="G1884" s="252" t="s">
        <v>1898</v>
      </c>
      <c r="H1884" s="296" t="s">
        <v>372</v>
      </c>
      <c r="W1884" s="253"/>
    </row>
    <row r="1885" spans="6:23" ht="18.75" customHeight="1">
      <c r="H1885" s="358" t="s">
        <v>1579</v>
      </c>
      <c r="N1885" s="252" t="s">
        <v>1898</v>
      </c>
      <c r="O1885" s="296" t="s">
        <v>944</v>
      </c>
      <c r="Q1885" s="296"/>
      <c r="R1885" s="296" t="s">
        <v>3583</v>
      </c>
      <c r="W1885" s="253"/>
    </row>
    <row r="1886" spans="6:23" ht="18.75" customHeight="1">
      <c r="F1886" s="252">
        <v>1</v>
      </c>
      <c r="G1886" s="252" t="s">
        <v>823</v>
      </c>
      <c r="H1886" s="296" t="s">
        <v>1663</v>
      </c>
      <c r="I1886" s="1208">
        <f>C519</f>
        <v>52</v>
      </c>
      <c r="J1886" s="296" t="s">
        <v>823</v>
      </c>
      <c r="K1886" s="252">
        <f>(F1886*I1886)</f>
        <v>52</v>
      </c>
      <c r="O1886" s="358" t="s">
        <v>1579</v>
      </c>
      <c r="Q1886" s="296"/>
      <c r="R1886" s="358" t="s">
        <v>2046</v>
      </c>
      <c r="W1886" s="253"/>
    </row>
    <row r="1887" spans="6:23" ht="18.75" customHeight="1">
      <c r="F1887" s="252">
        <v>1</v>
      </c>
      <c r="G1887" s="252" t="s">
        <v>446</v>
      </c>
      <c r="H1887" s="296" t="s">
        <v>1664</v>
      </c>
      <c r="I1887" s="1208">
        <f>I1886*0.2</f>
        <v>10.4</v>
      </c>
      <c r="J1887" s="296" t="s">
        <v>446</v>
      </c>
      <c r="K1887" s="252">
        <f>(F1887*I1887)</f>
        <v>10.4</v>
      </c>
      <c r="M1887" s="252">
        <v>30</v>
      </c>
      <c r="N1887" s="252" t="s">
        <v>1763</v>
      </c>
      <c r="O1887" s="296" t="s">
        <v>4900</v>
      </c>
      <c r="P1887" s="507">
        <f>18.9*10/100+18.9</f>
        <v>20.79</v>
      </c>
      <c r="Q1887" s="296" t="s">
        <v>1763</v>
      </c>
      <c r="R1887" s="252">
        <f>(M1887*P1887)</f>
        <v>623.70000000000005</v>
      </c>
      <c r="W1887" s="253"/>
    </row>
    <row r="1888" spans="6:23" ht="18.75" customHeight="1">
      <c r="F1888" s="252">
        <v>1</v>
      </c>
      <c r="G1888" s="252" t="s">
        <v>823</v>
      </c>
      <c r="H1888" s="296" t="s">
        <v>161</v>
      </c>
      <c r="I1888" s="1208">
        <f>K1854</f>
        <v>189.61</v>
      </c>
      <c r="J1888" s="296" t="s">
        <v>823</v>
      </c>
      <c r="K1888" s="252">
        <f>(F1888*I1888)</f>
        <v>189.61</v>
      </c>
      <c r="M1888" s="296" t="s">
        <v>971</v>
      </c>
      <c r="O1888" s="508" t="s">
        <v>5586</v>
      </c>
      <c r="P1888" s="252" t="str">
        <f t="shared" ref="P1888:P1896" si="232">P1857</f>
        <v xml:space="preserve"> </v>
      </c>
      <c r="Q1888" s="296"/>
      <c r="R1888" s="296" t="s">
        <v>971</v>
      </c>
      <c r="W1888" s="253"/>
    </row>
    <row r="1889" spans="6:23" ht="18.75" customHeight="1">
      <c r="I1889" s="296" t="s">
        <v>971</v>
      </c>
      <c r="K1889" s="358" t="s">
        <v>1579</v>
      </c>
      <c r="M1889" s="252">
        <v>8</v>
      </c>
      <c r="N1889" s="252" t="s">
        <v>865</v>
      </c>
      <c r="O1889" s="296" t="s">
        <v>4901</v>
      </c>
      <c r="P1889" s="252">
        <f>C47*10/100+17.35</f>
        <v>19.18</v>
      </c>
      <c r="Q1889" s="296" t="s">
        <v>865</v>
      </c>
      <c r="R1889" s="252">
        <f t="shared" ref="R1889:R1894" si="233">(M1889*P1889)</f>
        <v>153.44</v>
      </c>
      <c r="W1889" s="253"/>
    </row>
    <row r="1890" spans="6:23" ht="18.75" customHeight="1">
      <c r="H1890" s="296" t="s">
        <v>374</v>
      </c>
      <c r="K1890" s="274">
        <f>SUM(K1886:K1888)</f>
        <v>252.01</v>
      </c>
      <c r="M1890" s="252">
        <v>8</v>
      </c>
      <c r="N1890" s="252" t="s">
        <v>865</v>
      </c>
      <c r="O1890" s="296" t="s">
        <v>4902</v>
      </c>
      <c r="P1890" s="252">
        <f>C48*10/100+40.45</f>
        <v>42.8</v>
      </c>
      <c r="Q1890" s="296" t="s">
        <v>865</v>
      </c>
      <c r="R1890" s="252">
        <f t="shared" si="233"/>
        <v>342.4</v>
      </c>
      <c r="W1890" s="253"/>
    </row>
    <row r="1891" spans="6:23" ht="18.75" customHeight="1">
      <c r="I1891" s="296" t="s">
        <v>971</v>
      </c>
      <c r="K1891" s="358" t="s">
        <v>2046</v>
      </c>
      <c r="M1891" s="252">
        <v>3</v>
      </c>
      <c r="N1891" s="252" t="s">
        <v>865</v>
      </c>
      <c r="O1891" s="296" t="s">
        <v>1837</v>
      </c>
      <c r="P1891" s="252">
        <f t="shared" si="232"/>
        <v>738</v>
      </c>
      <c r="Q1891" s="296" t="s">
        <v>865</v>
      </c>
      <c r="R1891" s="252">
        <f t="shared" si="233"/>
        <v>2214</v>
      </c>
      <c r="W1891" s="253"/>
    </row>
    <row r="1892" spans="6:23" ht="18.75" customHeight="1">
      <c r="I1892" s="296"/>
      <c r="K1892" s="358"/>
      <c r="M1892" s="252">
        <v>1</v>
      </c>
      <c r="N1892" s="252" t="s">
        <v>865</v>
      </c>
      <c r="O1892" s="296" t="s">
        <v>1375</v>
      </c>
      <c r="P1892" s="252">
        <f t="shared" si="232"/>
        <v>999</v>
      </c>
      <c r="Q1892" s="296" t="s">
        <v>865</v>
      </c>
      <c r="R1892" s="252">
        <f t="shared" si="233"/>
        <v>999</v>
      </c>
      <c r="W1892" s="253"/>
    </row>
    <row r="1893" spans="6:23" ht="18.75" customHeight="1">
      <c r="G1893" s="252" t="s">
        <v>1898</v>
      </c>
      <c r="H1893" s="296" t="s">
        <v>3580</v>
      </c>
      <c r="M1893" s="252">
        <v>2</v>
      </c>
      <c r="N1893" s="252" t="s">
        <v>865</v>
      </c>
      <c r="O1893" s="296" t="s">
        <v>1893</v>
      </c>
      <c r="P1893" s="252">
        <f t="shared" si="232"/>
        <v>651</v>
      </c>
      <c r="Q1893" s="296" t="s">
        <v>865</v>
      </c>
      <c r="R1893" s="252">
        <f t="shared" si="233"/>
        <v>1302</v>
      </c>
      <c r="W1893" s="253"/>
    </row>
    <row r="1894" spans="6:23" ht="18.75" customHeight="1">
      <c r="H1894" s="358" t="s">
        <v>1579</v>
      </c>
      <c r="M1894" s="252">
        <v>1</v>
      </c>
      <c r="N1894" s="252" t="s">
        <v>865</v>
      </c>
      <c r="O1894" s="296" t="s">
        <v>317</v>
      </c>
      <c r="P1894" s="252">
        <f t="shared" si="232"/>
        <v>534</v>
      </c>
      <c r="Q1894" s="296" t="s">
        <v>865</v>
      </c>
      <c r="R1894" s="252">
        <f t="shared" si="233"/>
        <v>534</v>
      </c>
      <c r="W1894" s="253"/>
    </row>
    <row r="1895" spans="6:23" ht="18.75" customHeight="1">
      <c r="F1895" s="252">
        <v>1</v>
      </c>
      <c r="G1895" s="252" t="s">
        <v>823</v>
      </c>
      <c r="H1895" s="296" t="s">
        <v>3581</v>
      </c>
      <c r="I1895" s="252">
        <f>C521</f>
        <v>82</v>
      </c>
      <c r="J1895" s="296" t="s">
        <v>823</v>
      </c>
      <c r="K1895" s="252">
        <f>(F1895*I1895)</f>
        <v>82</v>
      </c>
      <c r="N1895" s="252" t="s">
        <v>446</v>
      </c>
      <c r="O1895" s="296" t="s">
        <v>1376</v>
      </c>
      <c r="P1895" s="252">
        <f t="shared" si="232"/>
        <v>5.26</v>
      </c>
      <c r="Q1895" s="296" t="s">
        <v>446</v>
      </c>
      <c r="R1895" s="252">
        <v>5.26</v>
      </c>
      <c r="W1895" s="253"/>
    </row>
    <row r="1896" spans="6:23" ht="18.75" customHeight="1">
      <c r="F1896" s="252">
        <v>1</v>
      </c>
      <c r="G1896" s="252" t="s">
        <v>446</v>
      </c>
      <c r="H1896" s="296" t="s">
        <v>1664</v>
      </c>
      <c r="I1896" s="252">
        <f>I1895*0.2</f>
        <v>16.399999999999999</v>
      </c>
      <c r="J1896" s="296" t="s">
        <v>446</v>
      </c>
      <c r="K1896" s="252">
        <f>(F1896*I1896)</f>
        <v>16.399999999999999</v>
      </c>
      <c r="O1896" s="296" t="s">
        <v>928</v>
      </c>
      <c r="P1896" s="252" t="str">
        <f t="shared" si="232"/>
        <v xml:space="preserve"> </v>
      </c>
      <c r="Q1896" s="296"/>
      <c r="R1896" s="296" t="s">
        <v>971</v>
      </c>
      <c r="W1896" s="253"/>
    </row>
    <row r="1897" spans="6:23" ht="18.75" customHeight="1">
      <c r="F1897" s="252">
        <v>1</v>
      </c>
      <c r="G1897" s="252" t="s">
        <v>823</v>
      </c>
      <c r="H1897" s="296" t="s">
        <v>161</v>
      </c>
      <c r="I1897" s="252">
        <f>I1888</f>
        <v>189.61</v>
      </c>
      <c r="J1897" s="296" t="s">
        <v>823</v>
      </c>
      <c r="K1897" s="252">
        <f>(F1897*I1897)</f>
        <v>189.61</v>
      </c>
      <c r="N1897" s="252" t="s">
        <v>446</v>
      </c>
      <c r="O1897" s="296" t="s">
        <v>447</v>
      </c>
      <c r="P1897" s="252" t="str">
        <f>I1881</f>
        <v xml:space="preserve"> </v>
      </c>
      <c r="Q1897" s="296" t="s">
        <v>446</v>
      </c>
      <c r="R1897" s="252">
        <v>0</v>
      </c>
      <c r="W1897" s="253"/>
    </row>
    <row r="1898" spans="6:23" ht="18.75" customHeight="1">
      <c r="I1898" s="296" t="s">
        <v>971</v>
      </c>
      <c r="K1898" s="358" t="s">
        <v>1579</v>
      </c>
      <c r="Q1898" s="296"/>
      <c r="R1898" s="358" t="s">
        <v>1579</v>
      </c>
      <c r="W1898" s="253"/>
    </row>
    <row r="1899" spans="6:23" ht="18.75" customHeight="1">
      <c r="H1899" s="296" t="s">
        <v>374</v>
      </c>
      <c r="K1899" s="274">
        <f>SUM(K1895:K1897)</f>
        <v>288.01</v>
      </c>
      <c r="O1899" s="296" t="s">
        <v>1842</v>
      </c>
      <c r="Q1899" s="296"/>
      <c r="R1899" s="252">
        <f>SUM(R1887:R1897)</f>
        <v>6173.8</v>
      </c>
      <c r="W1899" s="253"/>
    </row>
    <row r="1900" spans="6:23" ht="18.75" customHeight="1">
      <c r="I1900" s="296" t="s">
        <v>971</v>
      </c>
      <c r="K1900" s="358" t="s">
        <v>2046</v>
      </c>
      <c r="Q1900" s="296"/>
      <c r="R1900" s="358" t="s">
        <v>1579</v>
      </c>
      <c r="W1900" s="253"/>
    </row>
    <row r="1901" spans="6:23" ht="18.75" customHeight="1">
      <c r="I1901" s="296"/>
      <c r="K1901" s="358"/>
      <c r="O1901" s="296" t="s">
        <v>1538</v>
      </c>
      <c r="Q1901" s="296"/>
      <c r="R1901" s="252">
        <f>(R1899/30)</f>
        <v>205.79</v>
      </c>
      <c r="W1901" s="253"/>
    </row>
    <row r="1902" spans="6:23" ht="18.75" customHeight="1">
      <c r="F1902" s="509">
        <v>52.1</v>
      </c>
      <c r="H1902" s="268" t="s">
        <v>2191</v>
      </c>
      <c r="I1902" s="296"/>
      <c r="K1902" s="358"/>
      <c r="Q1902" s="296"/>
      <c r="R1902" s="358" t="s">
        <v>1579</v>
      </c>
      <c r="W1902" s="253"/>
    </row>
    <row r="1903" spans="6:23" ht="18.75" customHeight="1">
      <c r="I1903" s="296"/>
      <c r="K1903" s="358"/>
      <c r="W1903" s="253"/>
    </row>
    <row r="1904" spans="6:23" ht="18.75" customHeight="1">
      <c r="F1904" s="253"/>
      <c r="H1904" s="296" t="s">
        <v>2038</v>
      </c>
      <c r="I1904" s="296"/>
      <c r="K1904" s="358"/>
      <c r="W1904" s="253"/>
    </row>
    <row r="1905" spans="6:23" ht="18.75" customHeight="1">
      <c r="H1905" s="296" t="s">
        <v>2192</v>
      </c>
      <c r="I1905" s="296"/>
      <c r="K1905" s="358"/>
      <c r="W1905" s="253"/>
    </row>
    <row r="1906" spans="6:23" ht="18.75" customHeight="1">
      <c r="H1906" s="358" t="s">
        <v>1579</v>
      </c>
      <c r="I1906" s="296"/>
      <c r="K1906" s="358"/>
      <c r="N1906" s="252" t="s">
        <v>1898</v>
      </c>
      <c r="O1906" s="296" t="s">
        <v>3580</v>
      </c>
      <c r="Q1906" s="296"/>
      <c r="W1906" s="253"/>
    </row>
    <row r="1907" spans="6:23" ht="18.75" customHeight="1">
      <c r="F1907" s="252">
        <v>30</v>
      </c>
      <c r="G1907" s="252" t="s">
        <v>1763</v>
      </c>
      <c r="H1907" s="296" t="s">
        <v>147</v>
      </c>
      <c r="I1907" s="407">
        <f>E661</f>
        <v>17.3</v>
      </c>
      <c r="J1907" s="296" t="s">
        <v>1763</v>
      </c>
      <c r="K1907" s="252">
        <f>(F1907*I1907)</f>
        <v>519</v>
      </c>
      <c r="O1907" s="358" t="s">
        <v>1579</v>
      </c>
      <c r="Q1907" s="296"/>
      <c r="W1907" s="253"/>
    </row>
    <row r="1908" spans="6:23" ht="18.75" customHeight="1">
      <c r="F1908" s="252">
        <v>8</v>
      </c>
      <c r="G1908" s="252" t="s">
        <v>865</v>
      </c>
      <c r="H1908" s="296" t="s">
        <v>2135</v>
      </c>
      <c r="I1908" s="407">
        <f>C663</f>
        <v>8.9</v>
      </c>
      <c r="J1908" s="296" t="s">
        <v>865</v>
      </c>
      <c r="K1908" s="252">
        <f t="shared" ref="K1908:K1913" si="234">(F1908*I1908)</f>
        <v>71.2</v>
      </c>
      <c r="M1908" s="252">
        <v>1</v>
      </c>
      <c r="N1908" s="252" t="s">
        <v>823</v>
      </c>
      <c r="O1908" s="296" t="s">
        <v>3582</v>
      </c>
      <c r="P1908" s="362">
        <v>82</v>
      </c>
      <c r="Q1908" s="296" t="s">
        <v>823</v>
      </c>
      <c r="R1908" s="252">
        <f>(M1908*P1908)</f>
        <v>82</v>
      </c>
      <c r="W1908" s="253"/>
    </row>
    <row r="1909" spans="6:23" ht="18.75" customHeight="1">
      <c r="F1909" s="252">
        <v>8</v>
      </c>
      <c r="G1909" s="252" t="s">
        <v>865</v>
      </c>
      <c r="H1909" s="296" t="s">
        <v>464</v>
      </c>
      <c r="I1909" s="407">
        <f>D672</f>
        <v>12.85</v>
      </c>
      <c r="J1909" s="296" t="s">
        <v>865</v>
      </c>
      <c r="K1909" s="252">
        <f t="shared" si="234"/>
        <v>102.8</v>
      </c>
      <c r="M1909" s="252">
        <v>1</v>
      </c>
      <c r="N1909" s="252" t="s">
        <v>446</v>
      </c>
      <c r="O1909" s="296" t="s">
        <v>1664</v>
      </c>
      <c r="P1909" s="252">
        <f>P1908*0.2</f>
        <v>16.399999999999999</v>
      </c>
      <c r="Q1909" s="296" t="s">
        <v>446</v>
      </c>
      <c r="R1909" s="252">
        <f>(M1909*P1909)</f>
        <v>16.399999999999999</v>
      </c>
      <c r="W1909" s="253"/>
    </row>
    <row r="1910" spans="6:23" ht="18.75" customHeight="1">
      <c r="F1910" s="252">
        <v>3</v>
      </c>
      <c r="G1910" s="252" t="s">
        <v>865</v>
      </c>
      <c r="H1910" s="296" t="s">
        <v>1837</v>
      </c>
      <c r="I1910" s="407">
        <f>C41</f>
        <v>738</v>
      </c>
      <c r="J1910" s="296" t="s">
        <v>865</v>
      </c>
      <c r="K1910" s="252">
        <f t="shared" si="234"/>
        <v>2214</v>
      </c>
      <c r="M1910" s="252">
        <v>1</v>
      </c>
      <c r="N1910" s="252" t="s">
        <v>823</v>
      </c>
      <c r="O1910" s="296" t="s">
        <v>161</v>
      </c>
      <c r="P1910" s="252">
        <f>R1901</f>
        <v>205.79</v>
      </c>
      <c r="Q1910" s="296" t="s">
        <v>823</v>
      </c>
      <c r="R1910" s="252">
        <f>(M1910*P1910)</f>
        <v>205.79</v>
      </c>
      <c r="W1910" s="253"/>
    </row>
    <row r="1911" spans="6:23" ht="18.75" customHeight="1">
      <c r="F1911" s="252">
        <v>1</v>
      </c>
      <c r="G1911" s="252" t="s">
        <v>865</v>
      </c>
      <c r="H1911" s="296" t="s">
        <v>1375</v>
      </c>
      <c r="I1911" s="407">
        <f>C10</f>
        <v>999</v>
      </c>
      <c r="J1911" s="296" t="s">
        <v>865</v>
      </c>
      <c r="K1911" s="252">
        <f t="shared" si="234"/>
        <v>999</v>
      </c>
      <c r="P1911" s="296" t="s">
        <v>971</v>
      </c>
      <c r="Q1911" s="296"/>
      <c r="R1911" s="358" t="s">
        <v>1579</v>
      </c>
      <c r="W1911" s="253"/>
    </row>
    <row r="1912" spans="6:23" ht="18.75" customHeight="1">
      <c r="F1912" s="252">
        <v>2</v>
      </c>
      <c r="G1912" s="252" t="s">
        <v>865</v>
      </c>
      <c r="H1912" s="296" t="s">
        <v>1893</v>
      </c>
      <c r="I1912" s="407">
        <f>C12</f>
        <v>651</v>
      </c>
      <c r="J1912" s="296" t="s">
        <v>865</v>
      </c>
      <c r="K1912" s="252">
        <f t="shared" si="234"/>
        <v>1302</v>
      </c>
      <c r="O1912" s="296" t="s">
        <v>374</v>
      </c>
      <c r="Q1912" s="296"/>
      <c r="R1912" s="274">
        <f>SUM(R1908:R1910)</f>
        <v>304.19</v>
      </c>
      <c r="W1912" s="253"/>
    </row>
    <row r="1913" spans="6:23" ht="18.75" customHeight="1">
      <c r="F1913" s="252">
        <v>1</v>
      </c>
      <c r="G1913" s="252" t="s">
        <v>865</v>
      </c>
      <c r="H1913" s="296" t="s">
        <v>317</v>
      </c>
      <c r="I1913" s="407">
        <f>C13</f>
        <v>534</v>
      </c>
      <c r="J1913" s="296" t="s">
        <v>865</v>
      </c>
      <c r="K1913" s="252">
        <f t="shared" si="234"/>
        <v>534</v>
      </c>
      <c r="P1913" s="296" t="s">
        <v>971</v>
      </c>
      <c r="Q1913" s="296"/>
      <c r="R1913" s="358" t="s">
        <v>2046</v>
      </c>
      <c r="W1913" s="253"/>
    </row>
    <row r="1914" spans="6:23" ht="18.75" customHeight="1">
      <c r="K1914" s="358" t="s">
        <v>1579</v>
      </c>
      <c r="W1914" s="253"/>
    </row>
    <row r="1915" spans="6:23" ht="18.75" customHeight="1">
      <c r="H1915" s="296" t="s">
        <v>1842</v>
      </c>
      <c r="K1915" s="252">
        <f>SUM(K1907:K1913)</f>
        <v>5742</v>
      </c>
      <c r="W1915" s="253"/>
    </row>
    <row r="1916" spans="6:23" ht="18.75" customHeight="1">
      <c r="K1916" s="358" t="s">
        <v>1579</v>
      </c>
      <c r="W1916" s="253"/>
    </row>
    <row r="1917" spans="6:23" ht="18.75" customHeight="1">
      <c r="H1917" s="296" t="s">
        <v>1538</v>
      </c>
      <c r="K1917" s="252">
        <f>(K1915/30)</f>
        <v>191.4</v>
      </c>
      <c r="W1917" s="253"/>
    </row>
    <row r="1918" spans="6:23" ht="18.75" customHeight="1">
      <c r="K1918" s="358" t="s">
        <v>1579</v>
      </c>
      <c r="W1918" s="253"/>
    </row>
    <row r="1919" spans="6:23" ht="18.75" customHeight="1">
      <c r="I1919" s="296"/>
      <c r="K1919" s="358"/>
      <c r="W1919" s="253"/>
    </row>
    <row r="1920" spans="6:23" ht="18.75" customHeight="1">
      <c r="H1920" s="252" t="s">
        <v>334</v>
      </c>
      <c r="I1920" s="296"/>
      <c r="K1920" s="358"/>
      <c r="W1920" s="253"/>
    </row>
    <row r="1921" spans="6:23" ht="18.75" customHeight="1">
      <c r="H1921" s="358" t="s">
        <v>1579</v>
      </c>
      <c r="I1921" s="296"/>
      <c r="K1921" s="358"/>
      <c r="W1921" s="253"/>
    </row>
    <row r="1922" spans="6:23" ht="18.75" customHeight="1">
      <c r="F1922" s="252">
        <v>1</v>
      </c>
      <c r="G1922" s="252" t="s">
        <v>823</v>
      </c>
      <c r="H1922" s="296" t="s">
        <v>335</v>
      </c>
      <c r="I1922" s="407">
        <f>E698</f>
        <v>98.6</v>
      </c>
      <c r="J1922" s="296" t="s">
        <v>823</v>
      </c>
      <c r="K1922" s="252">
        <f>(F1922*I1922)</f>
        <v>98.6</v>
      </c>
      <c r="W1922" s="253"/>
    </row>
    <row r="1923" spans="6:23" ht="18.75" customHeight="1">
      <c r="F1923" s="252">
        <v>1</v>
      </c>
      <c r="G1923" s="252" t="s">
        <v>446</v>
      </c>
      <c r="H1923" s="296" t="s">
        <v>336</v>
      </c>
      <c r="I1923" s="407">
        <f>I1922*0.2</f>
        <v>19.72</v>
      </c>
      <c r="J1923" s="296" t="s">
        <v>446</v>
      </c>
      <c r="K1923" s="252">
        <f>(F1923*I1923)</f>
        <v>19.72</v>
      </c>
      <c r="W1923" s="253"/>
    </row>
    <row r="1924" spans="6:23" ht="18.75" customHeight="1">
      <c r="F1924" s="252">
        <v>1</v>
      </c>
      <c r="G1924" s="252" t="s">
        <v>823</v>
      </c>
      <c r="H1924" s="296" t="s">
        <v>161</v>
      </c>
      <c r="I1924" s="407">
        <f>K1917</f>
        <v>191.4</v>
      </c>
      <c r="J1924" s="296" t="s">
        <v>823</v>
      </c>
      <c r="K1924" s="252">
        <f>(F1924*I1924)</f>
        <v>191.4</v>
      </c>
      <c r="W1924" s="253"/>
    </row>
    <row r="1925" spans="6:23" ht="18.75" customHeight="1">
      <c r="H1925" s="389" t="s">
        <v>1072</v>
      </c>
      <c r="I1925" s="407"/>
      <c r="J1925" s="296" t="s">
        <v>446</v>
      </c>
      <c r="K1925" s="252">
        <f>1.25+0.47</f>
        <v>1.72</v>
      </c>
      <c r="W1925" s="253"/>
    </row>
    <row r="1926" spans="6:23" ht="18.75" customHeight="1">
      <c r="I1926" s="296"/>
      <c r="K1926" s="358" t="s">
        <v>1579</v>
      </c>
      <c r="W1926" s="253"/>
    </row>
    <row r="1927" spans="6:23" ht="18.75" customHeight="1">
      <c r="H1927" s="296" t="s">
        <v>374</v>
      </c>
      <c r="I1927" s="296"/>
      <c r="K1927" s="274">
        <f>SUM(K1922:K1925)</f>
        <v>311.44</v>
      </c>
      <c r="W1927" s="253"/>
    </row>
    <row r="1928" spans="6:23" ht="18.75" customHeight="1">
      <c r="I1928" s="296"/>
      <c r="K1928" s="358" t="s">
        <v>2046</v>
      </c>
      <c r="W1928" s="253"/>
    </row>
    <row r="1929" spans="6:23" ht="18.75" customHeight="1">
      <c r="I1929" s="296"/>
      <c r="K1929" s="358"/>
      <c r="W1929" s="253"/>
    </row>
    <row r="1930" spans="6:23" ht="18.75" customHeight="1">
      <c r="I1930" s="296"/>
      <c r="K1930" s="358"/>
      <c r="W1930" s="253"/>
    </row>
    <row r="1931" spans="6:23" ht="18.75" customHeight="1">
      <c r="F1931" s="375">
        <v>53.1</v>
      </c>
      <c r="G1931" s="252" t="s">
        <v>2241</v>
      </c>
      <c r="H1931" s="296" t="s">
        <v>2209</v>
      </c>
      <c r="W1931" s="253"/>
    </row>
    <row r="1932" spans="6:23" ht="18.75" customHeight="1">
      <c r="H1932" s="276" t="s">
        <v>5708</v>
      </c>
      <c r="W1932" s="253"/>
    </row>
    <row r="1933" spans="6:23" ht="18.75" customHeight="1">
      <c r="H1933" s="296" t="s">
        <v>1138</v>
      </c>
      <c r="W1933" s="253"/>
    </row>
    <row r="1934" spans="6:23" ht="18.75" customHeight="1">
      <c r="H1934" s="296" t="s">
        <v>1139</v>
      </c>
      <c r="W1934" s="253"/>
    </row>
    <row r="1935" spans="6:23" ht="18.75" customHeight="1">
      <c r="H1935" s="358" t="s">
        <v>1579</v>
      </c>
      <c r="W1935" s="253"/>
    </row>
    <row r="1936" spans="6:23" ht="18.75" customHeight="1">
      <c r="F1936" s="510">
        <v>1</v>
      </c>
      <c r="G1936" s="510" t="s">
        <v>865</v>
      </c>
      <c r="H1936" s="389" t="s">
        <v>1572</v>
      </c>
      <c r="I1936" s="511">
        <v>1672</v>
      </c>
      <c r="J1936" s="312" t="s">
        <v>865</v>
      </c>
      <c r="K1936" s="510">
        <f>(F1936*I1936)</f>
        <v>1672</v>
      </c>
      <c r="W1936" s="253"/>
    </row>
    <row r="1937" spans="6:23" ht="18.75" customHeight="1">
      <c r="H1937" s="296"/>
      <c r="W1937" s="253"/>
    </row>
    <row r="1938" spans="6:23" ht="18.75" customHeight="1">
      <c r="H1938" s="296"/>
      <c r="J1938" s="253"/>
      <c r="W1938" s="253"/>
    </row>
    <row r="1939" spans="6:23" ht="18.75" customHeight="1">
      <c r="F1939" s="510">
        <v>1</v>
      </c>
      <c r="G1939" s="510" t="s">
        <v>865</v>
      </c>
      <c r="H1939" s="296" t="s">
        <v>5453</v>
      </c>
      <c r="I1939" s="512">
        <v>-169</v>
      </c>
      <c r="J1939" s="296" t="s">
        <v>865</v>
      </c>
      <c r="K1939" s="510">
        <f>(F1939*I1939)</f>
        <v>-169</v>
      </c>
      <c r="W1939" s="253"/>
    </row>
    <row r="1940" spans="6:23" ht="18.75" customHeight="1">
      <c r="H1940" s="296"/>
      <c r="J1940" s="253"/>
      <c r="W1940" s="253"/>
    </row>
    <row r="1941" spans="6:23" ht="18.75" customHeight="1">
      <c r="F1941" s="252">
        <v>1</v>
      </c>
      <c r="G1941" s="252" t="s">
        <v>865</v>
      </c>
      <c r="H1941" s="296" t="s">
        <v>2124</v>
      </c>
      <c r="I1941" s="513">
        <v>250</v>
      </c>
      <c r="J1941" s="296" t="s">
        <v>865</v>
      </c>
      <c r="K1941" s="514">
        <f>(F1941*I1941)</f>
        <v>250</v>
      </c>
      <c r="W1941" s="253"/>
    </row>
    <row r="1942" spans="6:23" ht="18.75" customHeight="1">
      <c r="H1942" s="296"/>
      <c r="W1942" s="253"/>
    </row>
    <row r="1943" spans="6:23" ht="18.75" customHeight="1">
      <c r="F1943" s="252">
        <v>0.5</v>
      </c>
      <c r="G1943" s="252" t="s">
        <v>865</v>
      </c>
      <c r="H1943" s="296" t="s">
        <v>2094</v>
      </c>
      <c r="I1943" s="252">
        <f>(C15)</f>
        <v>866</v>
      </c>
      <c r="J1943" s="296" t="s">
        <v>865</v>
      </c>
      <c r="K1943" s="252">
        <f>(F1943*I1943)</f>
        <v>433</v>
      </c>
      <c r="N1943" s="252">
        <f>7635</f>
        <v>7635</v>
      </c>
      <c r="W1943" s="253"/>
    </row>
    <row r="1944" spans="6:23" ht="18.75" customHeight="1">
      <c r="F1944" s="252">
        <v>1</v>
      </c>
      <c r="G1944" s="252" t="s">
        <v>865</v>
      </c>
      <c r="H1944" s="296" t="s">
        <v>1893</v>
      </c>
      <c r="I1944" s="252">
        <f>(C12)</f>
        <v>651</v>
      </c>
      <c r="J1944" s="296" t="s">
        <v>865</v>
      </c>
      <c r="K1944" s="252">
        <f>(F1944*I1944)</f>
        <v>651</v>
      </c>
      <c r="N1944" s="252">
        <f>N1943*4%</f>
        <v>305.39999999999998</v>
      </c>
      <c r="W1944" s="253"/>
    </row>
    <row r="1945" spans="6:23" ht="18.75" customHeight="1">
      <c r="F1945" s="252">
        <v>0.5</v>
      </c>
      <c r="G1945" s="252" t="s">
        <v>865</v>
      </c>
      <c r="H1945" s="296" t="s">
        <v>2000</v>
      </c>
      <c r="I1945" s="252">
        <f>(C10)</f>
        <v>999</v>
      </c>
      <c r="J1945" s="296" t="s">
        <v>865</v>
      </c>
      <c r="K1945" s="252">
        <f>(F1945*I1945)</f>
        <v>499.5</v>
      </c>
      <c r="N1945" s="252">
        <f>SUM(N1943:N1944)</f>
        <v>7940.4</v>
      </c>
      <c r="W1945" s="253"/>
    </row>
    <row r="1946" spans="6:23" ht="18.75" customHeight="1">
      <c r="G1946" s="252" t="s">
        <v>446</v>
      </c>
      <c r="H1946" s="296" t="s">
        <v>1140</v>
      </c>
      <c r="J1946" s="296" t="s">
        <v>446</v>
      </c>
      <c r="K1946" s="252">
        <v>0.82</v>
      </c>
      <c r="W1946" s="253"/>
    </row>
    <row r="1947" spans="6:23" ht="18.75" customHeight="1">
      <c r="K1947" s="358" t="s">
        <v>1579</v>
      </c>
      <c r="W1947" s="253"/>
    </row>
    <row r="1948" spans="6:23" ht="18.75" customHeight="1">
      <c r="H1948" s="296" t="s">
        <v>1743</v>
      </c>
      <c r="K1948" s="252">
        <f>SUM(K1936:K1946)</f>
        <v>3337.32</v>
      </c>
      <c r="W1948" s="253"/>
    </row>
    <row r="1949" spans="6:23" ht="18.75" customHeight="1">
      <c r="K1949" s="358" t="s">
        <v>1579</v>
      </c>
      <c r="W1949" s="253"/>
    </row>
    <row r="1950" spans="6:23" ht="18.75" customHeight="1">
      <c r="F1950" s="253" t="s">
        <v>1397</v>
      </c>
      <c r="H1950" s="296" t="s">
        <v>1398</v>
      </c>
      <c r="J1950" s="296" t="s">
        <v>1393</v>
      </c>
      <c r="K1950" s="515">
        <v>967.5</v>
      </c>
      <c r="V1950" s="296" t="s">
        <v>1444</v>
      </c>
      <c r="W1950" s="253"/>
    </row>
    <row r="1951" spans="6:23" ht="18.75" customHeight="1">
      <c r="H1951" s="296" t="s">
        <v>5454</v>
      </c>
      <c r="J1951" s="296" t="s">
        <v>1393</v>
      </c>
      <c r="K1951" s="516">
        <v>1864</v>
      </c>
      <c r="W1951" s="253"/>
    </row>
    <row r="1952" spans="6:23" ht="18.75" customHeight="1">
      <c r="F1952" s="253" t="s">
        <v>1399</v>
      </c>
      <c r="H1952" s="296" t="s">
        <v>1005</v>
      </c>
      <c r="J1952" s="296" t="s">
        <v>1393</v>
      </c>
      <c r="K1952" s="515">
        <v>30</v>
      </c>
      <c r="W1952" s="253"/>
    </row>
    <row r="1953" spans="6:23" ht="18.75" customHeight="1">
      <c r="F1953" s="253"/>
      <c r="H1953" s="296"/>
      <c r="K1953" s="296"/>
      <c r="W1953" s="253"/>
    </row>
    <row r="1954" spans="6:23" ht="18.75" customHeight="1">
      <c r="F1954" s="369">
        <v>54</v>
      </c>
      <c r="G1954" s="252" t="s">
        <v>2241</v>
      </c>
      <c r="H1954" s="296" t="s">
        <v>4903</v>
      </c>
      <c r="J1954" s="296" t="s">
        <v>1393</v>
      </c>
      <c r="K1954" s="517">
        <v>206</v>
      </c>
      <c r="W1954" s="253"/>
    </row>
    <row r="1955" spans="6:23" ht="18.75" customHeight="1">
      <c r="K1955" s="358" t="s">
        <v>2046</v>
      </c>
      <c r="W1955" s="253"/>
    </row>
    <row r="1956" spans="6:23" ht="18.75" customHeight="1">
      <c r="W1956" s="253"/>
    </row>
    <row r="1957" spans="6:23" ht="18.75" customHeight="1">
      <c r="F1957" s="375">
        <v>54.1</v>
      </c>
      <c r="G1957" s="252" t="s">
        <v>2241</v>
      </c>
      <c r="H1957" s="296" t="s">
        <v>1289</v>
      </c>
      <c r="J1957" s="296" t="s">
        <v>1393</v>
      </c>
      <c r="K1957" s="434">
        <v>300</v>
      </c>
      <c r="W1957" s="253"/>
    </row>
    <row r="1958" spans="6:23" ht="18.75" customHeight="1">
      <c r="K1958" s="358" t="s">
        <v>2046</v>
      </c>
      <c r="W1958" s="253"/>
    </row>
    <row r="1959" spans="6:23" ht="18.75" customHeight="1">
      <c r="W1959" s="253"/>
    </row>
    <row r="1960" spans="6:23" ht="18.75" customHeight="1">
      <c r="F1960" s="375">
        <v>54.2</v>
      </c>
      <c r="G1960" s="252" t="s">
        <v>2241</v>
      </c>
      <c r="H1960" s="296" t="s">
        <v>934</v>
      </c>
      <c r="J1960" s="296" t="s">
        <v>1393</v>
      </c>
      <c r="K1960" s="434">
        <v>250</v>
      </c>
      <c r="W1960" s="253"/>
    </row>
    <row r="1961" spans="6:23" ht="18.75" customHeight="1">
      <c r="K1961" s="358" t="s">
        <v>2046</v>
      </c>
      <c r="W1961" s="253"/>
    </row>
    <row r="1962" spans="6:23" ht="18.75" customHeight="1">
      <c r="W1962" s="253"/>
    </row>
    <row r="1963" spans="6:23" ht="18.75" customHeight="1">
      <c r="F1963" s="253" t="s">
        <v>1136</v>
      </c>
      <c r="G1963" s="252" t="s">
        <v>2241</v>
      </c>
      <c r="H1963" s="296" t="s">
        <v>81</v>
      </c>
      <c r="M1963" s="253" t="s">
        <v>1136</v>
      </c>
      <c r="N1963" s="252" t="s">
        <v>2241</v>
      </c>
      <c r="O1963" s="296" t="s">
        <v>81</v>
      </c>
      <c r="Q1963" s="296"/>
      <c r="W1963" s="253"/>
    </row>
    <row r="1964" spans="6:23" ht="18.75" customHeight="1">
      <c r="H1964" s="296" t="s">
        <v>1098</v>
      </c>
      <c r="O1964" s="296" t="s">
        <v>1098</v>
      </c>
      <c r="Q1964" s="296"/>
      <c r="W1964" s="253"/>
    </row>
    <row r="1965" spans="6:23" ht="18.75" customHeight="1">
      <c r="H1965" s="296" t="s">
        <v>1099</v>
      </c>
      <c r="O1965" s="296" t="s">
        <v>1099</v>
      </c>
      <c r="Q1965" s="296"/>
      <c r="W1965" s="253"/>
    </row>
    <row r="1966" spans="6:23" ht="18.75" customHeight="1">
      <c r="H1966" s="296" t="s">
        <v>1100</v>
      </c>
      <c r="O1966" s="296" t="s">
        <v>1100</v>
      </c>
      <c r="Q1966" s="296"/>
      <c r="W1966" s="253"/>
    </row>
    <row r="1967" spans="6:23" ht="18.75" customHeight="1">
      <c r="H1967" s="358" t="s">
        <v>1579</v>
      </c>
      <c r="O1967" s="358" t="s">
        <v>1579</v>
      </c>
      <c r="Q1967" s="296"/>
      <c r="W1967" s="253"/>
    </row>
    <row r="1968" spans="6:23" ht="18.75" customHeight="1">
      <c r="F1968" s="252">
        <v>1</v>
      </c>
      <c r="G1968" s="252" t="s">
        <v>865</v>
      </c>
      <c r="H1968" s="296" t="s">
        <v>709</v>
      </c>
      <c r="I1968" s="252">
        <f>(C201)</f>
        <v>1201</v>
      </c>
      <c r="J1968" s="296" t="s">
        <v>865</v>
      </c>
      <c r="K1968" s="252">
        <f t="shared" ref="K1968:K1974" si="235">(F1968*I1968)</f>
        <v>1201</v>
      </c>
      <c r="M1968" s="252">
        <v>1</v>
      </c>
      <c r="N1968" s="252" t="s">
        <v>865</v>
      </c>
      <c r="O1968" s="296" t="s">
        <v>709</v>
      </c>
      <c r="P1968" s="252">
        <f>I1968</f>
        <v>1201</v>
      </c>
      <c r="Q1968" s="296" t="s">
        <v>865</v>
      </c>
      <c r="R1968" s="252">
        <f t="shared" ref="R1968:R1974" si="236">(M1968*P1968)</f>
        <v>1201</v>
      </c>
      <c r="W1968" s="253"/>
    </row>
    <row r="1969" spans="6:23" ht="18.75" customHeight="1">
      <c r="F1969" s="252">
        <v>0.65</v>
      </c>
      <c r="G1969" s="252" t="s">
        <v>866</v>
      </c>
      <c r="H1969" s="296" t="s">
        <v>247</v>
      </c>
      <c r="I1969" s="252">
        <f>(C61*2)</f>
        <v>224.1</v>
      </c>
      <c r="J1969" s="296" t="s">
        <v>866</v>
      </c>
      <c r="K1969" s="252">
        <f t="shared" si="235"/>
        <v>145.66999999999999</v>
      </c>
      <c r="M1969" s="252">
        <v>0.65</v>
      </c>
      <c r="N1969" s="252" t="s">
        <v>866</v>
      </c>
      <c r="O1969" s="296" t="s">
        <v>247</v>
      </c>
      <c r="P1969" s="252">
        <f t="shared" ref="P1969:P1975" si="237">I1969</f>
        <v>224.1</v>
      </c>
      <c r="Q1969" s="296" t="s">
        <v>866</v>
      </c>
      <c r="R1969" s="252">
        <f t="shared" si="236"/>
        <v>145.66999999999999</v>
      </c>
      <c r="W1969" s="253"/>
    </row>
    <row r="1970" spans="6:23" ht="18.75" customHeight="1">
      <c r="F1970" s="252">
        <v>0.56999999999999995</v>
      </c>
      <c r="G1970" s="252" t="s">
        <v>866</v>
      </c>
      <c r="H1970" s="296" t="s">
        <v>248</v>
      </c>
      <c r="I1970" s="252">
        <f>(C26)</f>
        <v>38.950000000000003</v>
      </c>
      <c r="J1970" s="296" t="s">
        <v>866</v>
      </c>
      <c r="K1970" s="252">
        <f t="shared" si="235"/>
        <v>22.2</v>
      </c>
      <c r="M1970" s="252">
        <v>0.56999999999999995</v>
      </c>
      <c r="N1970" s="252" t="s">
        <v>866</v>
      </c>
      <c r="O1970" s="296" t="s">
        <v>248</v>
      </c>
      <c r="P1970" s="252">
        <f t="shared" si="237"/>
        <v>38.950000000000003</v>
      </c>
      <c r="Q1970" s="296" t="s">
        <v>866</v>
      </c>
      <c r="R1970" s="252">
        <f t="shared" si="236"/>
        <v>22.2</v>
      </c>
      <c r="W1970" s="253"/>
    </row>
    <row r="1971" spans="6:23" ht="18.75" customHeight="1">
      <c r="F1971" s="356">
        <v>8.1000000000000003E-2</v>
      </c>
      <c r="G1971" s="252" t="s">
        <v>866</v>
      </c>
      <c r="H1971" s="296" t="s">
        <v>249</v>
      </c>
      <c r="I1971" s="252">
        <f>(R60)</f>
        <v>4094.04</v>
      </c>
      <c r="J1971" s="296" t="s">
        <v>866</v>
      </c>
      <c r="K1971" s="252">
        <f t="shared" si="235"/>
        <v>331.62</v>
      </c>
      <c r="M1971" s="356">
        <v>8.1000000000000003E-2</v>
      </c>
      <c r="N1971" s="252" t="s">
        <v>866</v>
      </c>
      <c r="O1971" s="296" t="s">
        <v>249</v>
      </c>
      <c r="P1971" s="252">
        <f t="shared" si="237"/>
        <v>4094.04</v>
      </c>
      <c r="Q1971" s="296" t="s">
        <v>866</v>
      </c>
      <c r="R1971" s="252">
        <f t="shared" si="236"/>
        <v>331.62</v>
      </c>
      <c r="W1971" s="253"/>
    </row>
    <row r="1972" spans="6:23" ht="18.75" customHeight="1">
      <c r="F1972" s="252">
        <v>1</v>
      </c>
      <c r="G1972" s="252" t="s">
        <v>865</v>
      </c>
      <c r="H1972" s="296" t="s">
        <v>2094</v>
      </c>
      <c r="I1972" s="252">
        <f>(C15)</f>
        <v>866</v>
      </c>
      <c r="J1972" s="296" t="s">
        <v>865</v>
      </c>
      <c r="K1972" s="252">
        <f t="shared" si="235"/>
        <v>866</v>
      </c>
      <c r="M1972" s="252">
        <v>1</v>
      </c>
      <c r="N1972" s="252" t="s">
        <v>865</v>
      </c>
      <c r="O1972" s="296" t="s">
        <v>2094</v>
      </c>
      <c r="P1972" s="252">
        <f t="shared" si="237"/>
        <v>866</v>
      </c>
      <c r="Q1972" s="296" t="s">
        <v>865</v>
      </c>
      <c r="R1972" s="252">
        <f t="shared" si="236"/>
        <v>866</v>
      </c>
      <c r="W1972" s="253"/>
    </row>
    <row r="1973" spans="6:23" ht="18.75" customHeight="1">
      <c r="F1973" s="252">
        <v>0.5</v>
      </c>
      <c r="G1973" s="252" t="s">
        <v>865</v>
      </c>
      <c r="H1973" s="296" t="s">
        <v>1704</v>
      </c>
      <c r="I1973" s="252">
        <f>(C11)</f>
        <v>932</v>
      </c>
      <c r="J1973" s="296" t="s">
        <v>865</v>
      </c>
      <c r="K1973" s="252">
        <f t="shared" si="235"/>
        <v>466</v>
      </c>
      <c r="M1973" s="252">
        <v>0.5</v>
      </c>
      <c r="N1973" s="252" t="s">
        <v>865</v>
      </c>
      <c r="O1973" s="296" t="s">
        <v>1704</v>
      </c>
      <c r="P1973" s="252">
        <f t="shared" si="237"/>
        <v>932</v>
      </c>
      <c r="Q1973" s="296" t="s">
        <v>865</v>
      </c>
      <c r="R1973" s="252">
        <f t="shared" si="236"/>
        <v>466</v>
      </c>
      <c r="W1973" s="253"/>
    </row>
    <row r="1974" spans="6:23" ht="18.75" customHeight="1">
      <c r="F1974" s="252">
        <v>0.5</v>
      </c>
      <c r="G1974" s="252" t="s">
        <v>865</v>
      </c>
      <c r="H1974" s="296" t="s">
        <v>1893</v>
      </c>
      <c r="I1974" s="252">
        <f>(C12)</f>
        <v>651</v>
      </c>
      <c r="J1974" s="296" t="s">
        <v>865</v>
      </c>
      <c r="K1974" s="252">
        <f t="shared" si="235"/>
        <v>325.5</v>
      </c>
      <c r="M1974" s="252">
        <v>0.5</v>
      </c>
      <c r="N1974" s="252" t="s">
        <v>865</v>
      </c>
      <c r="O1974" s="296" t="s">
        <v>1893</v>
      </c>
      <c r="P1974" s="252">
        <f t="shared" si="237"/>
        <v>651</v>
      </c>
      <c r="Q1974" s="296" t="s">
        <v>865</v>
      </c>
      <c r="R1974" s="252">
        <f t="shared" si="236"/>
        <v>325.5</v>
      </c>
      <c r="W1974" s="253"/>
    </row>
    <row r="1975" spans="6:23" ht="18.75" customHeight="1">
      <c r="G1975" s="252" t="s">
        <v>446</v>
      </c>
      <c r="H1975" s="296" t="s">
        <v>447</v>
      </c>
      <c r="I1975" s="296" t="s">
        <v>971</v>
      </c>
      <c r="J1975" s="296" t="s">
        <v>446</v>
      </c>
      <c r="K1975" s="252">
        <v>1.25</v>
      </c>
      <c r="O1975" s="276" t="s">
        <v>4221</v>
      </c>
      <c r="P1975" s="252" t="str">
        <f t="shared" si="237"/>
        <v xml:space="preserve"> </v>
      </c>
      <c r="Q1975" s="296"/>
      <c r="R1975" s="518">
        <v>-164</v>
      </c>
      <c r="W1975" s="253"/>
    </row>
    <row r="1976" spans="6:23" ht="18.75" customHeight="1">
      <c r="K1976" s="358" t="s">
        <v>1579</v>
      </c>
      <c r="O1976" s="276" t="s">
        <v>4222</v>
      </c>
      <c r="Q1976" s="296"/>
      <c r="R1976" s="518">
        <v>134.1</v>
      </c>
      <c r="W1976" s="253"/>
    </row>
    <row r="1977" spans="6:23" ht="18.75" customHeight="1" thickBot="1">
      <c r="H1977" s="296" t="s">
        <v>1743</v>
      </c>
      <c r="K1977" s="252">
        <f>SUM(K1968:K1975)</f>
        <v>3359.24</v>
      </c>
      <c r="N1977" s="252" t="s">
        <v>654</v>
      </c>
      <c r="O1977" s="276" t="s">
        <v>2261</v>
      </c>
      <c r="Q1977" s="296"/>
      <c r="R1977" s="252">
        <v>0.32</v>
      </c>
      <c r="W1977" s="253"/>
    </row>
    <row r="1978" spans="6:23" ht="18.75" customHeight="1" thickTop="1">
      <c r="K1978" s="358" t="s">
        <v>2046</v>
      </c>
      <c r="O1978" s="296" t="s">
        <v>1743</v>
      </c>
      <c r="Q1978" s="296"/>
      <c r="R1978" s="519">
        <f>SUM(R1968:R1977)</f>
        <v>3328.41</v>
      </c>
      <c r="W1978" s="253"/>
    </row>
    <row r="1979" spans="6:23" ht="18.75" customHeight="1" thickBot="1">
      <c r="G1979" s="252" t="s">
        <v>971</v>
      </c>
      <c r="H1979" s="296" t="s">
        <v>971</v>
      </c>
      <c r="K1979" s="296" t="s">
        <v>971</v>
      </c>
      <c r="Q1979" s="296"/>
      <c r="R1979" s="520"/>
      <c r="W1979" s="253"/>
    </row>
    <row r="1980" spans="6:23" ht="18.75" customHeight="1" thickTop="1">
      <c r="J1980" s="296" t="s">
        <v>971</v>
      </c>
      <c r="K1980" s="296" t="s">
        <v>971</v>
      </c>
      <c r="W1980" s="253"/>
    </row>
    <row r="1981" spans="6:23" ht="18.75" customHeight="1">
      <c r="F1981" s="253" t="s">
        <v>250</v>
      </c>
      <c r="G1981" s="252" t="s">
        <v>2241</v>
      </c>
      <c r="H1981" s="296" t="s">
        <v>81</v>
      </c>
      <c r="M1981" s="253" t="s">
        <v>250</v>
      </c>
      <c r="N1981" s="252" t="s">
        <v>2241</v>
      </c>
      <c r="O1981" s="296" t="s">
        <v>81</v>
      </c>
      <c r="Q1981" s="296"/>
      <c r="W1981" s="253"/>
    </row>
    <row r="1982" spans="6:23" ht="18.75" customHeight="1">
      <c r="H1982" s="296" t="s">
        <v>1098</v>
      </c>
      <c r="O1982" s="296" t="s">
        <v>1098</v>
      </c>
      <c r="Q1982" s="296"/>
      <c r="W1982" s="253"/>
    </row>
    <row r="1983" spans="6:23" ht="18.75" customHeight="1">
      <c r="H1983" s="296" t="s">
        <v>1099</v>
      </c>
      <c r="O1983" s="296" t="s">
        <v>1099</v>
      </c>
      <c r="Q1983" s="296"/>
      <c r="W1983" s="253"/>
    </row>
    <row r="1984" spans="6:23" ht="18.75" customHeight="1">
      <c r="H1984" s="296" t="s">
        <v>251</v>
      </c>
      <c r="O1984" s="296" t="s">
        <v>251</v>
      </c>
      <c r="Q1984" s="296"/>
      <c r="W1984" s="253"/>
    </row>
    <row r="1985" spans="6:23" ht="18.75" customHeight="1">
      <c r="H1985" s="358" t="s">
        <v>1579</v>
      </c>
      <c r="O1985" s="358" t="s">
        <v>1579</v>
      </c>
      <c r="Q1985" s="296"/>
      <c r="W1985" s="253"/>
    </row>
    <row r="1986" spans="6:23" ht="18.75" customHeight="1">
      <c r="F1986" s="252">
        <v>1</v>
      </c>
      <c r="G1986" s="252" t="s">
        <v>865</v>
      </c>
      <c r="H1986" s="296" t="s">
        <v>709</v>
      </c>
      <c r="I1986" s="252">
        <f>(C201)</f>
        <v>1201</v>
      </c>
      <c r="J1986" s="296" t="s">
        <v>865</v>
      </c>
      <c r="K1986" s="252">
        <f>(F1986*I1986)</f>
        <v>1201</v>
      </c>
      <c r="M1986" s="252">
        <v>1</v>
      </c>
      <c r="N1986" s="252" t="s">
        <v>865</v>
      </c>
      <c r="O1986" s="296" t="s">
        <v>709</v>
      </c>
      <c r="P1986" s="252">
        <f>I1986</f>
        <v>1201</v>
      </c>
      <c r="Q1986" s="296" t="s">
        <v>865</v>
      </c>
      <c r="R1986" s="252">
        <f>(M1986*P1986)</f>
        <v>1201</v>
      </c>
      <c r="W1986" s="253"/>
    </row>
    <row r="1987" spans="6:23" ht="18.75" customHeight="1">
      <c r="F1987" s="356">
        <v>0.40500000000000003</v>
      </c>
      <c r="G1987" s="252" t="s">
        <v>866</v>
      </c>
      <c r="H1987" s="296" t="s">
        <v>2206</v>
      </c>
      <c r="I1987" s="252">
        <f>(K1330)</f>
        <v>3696.96</v>
      </c>
      <c r="J1987" s="296" t="s">
        <v>866</v>
      </c>
      <c r="K1987" s="252">
        <f>(F1987*I1987)</f>
        <v>1497.27</v>
      </c>
      <c r="M1987" s="356">
        <v>0.40500000000000003</v>
      </c>
      <c r="N1987" s="252" t="s">
        <v>866</v>
      </c>
      <c r="O1987" s="296" t="s">
        <v>2206</v>
      </c>
      <c r="P1987" s="252">
        <f t="shared" ref="P1987:P1996" si="238">I1987</f>
        <v>3696.96</v>
      </c>
      <c r="Q1987" s="296" t="s">
        <v>866</v>
      </c>
      <c r="R1987" s="252">
        <f>(M1987*P1987)</f>
        <v>1497.27</v>
      </c>
      <c r="W1987" s="253"/>
    </row>
    <row r="1988" spans="6:23" ht="18.75" customHeight="1">
      <c r="H1988" s="296" t="s">
        <v>1093</v>
      </c>
      <c r="I1988" s="296" t="s">
        <v>971</v>
      </c>
      <c r="K1988" s="296" t="s">
        <v>971</v>
      </c>
      <c r="O1988" s="296" t="s">
        <v>1093</v>
      </c>
      <c r="P1988" s="252" t="str">
        <f t="shared" si="238"/>
        <v xml:space="preserve"> </v>
      </c>
      <c r="Q1988" s="296"/>
      <c r="R1988" s="296" t="s">
        <v>971</v>
      </c>
      <c r="W1988" s="253"/>
    </row>
    <row r="1989" spans="6:23" ht="18.75" customHeight="1">
      <c r="F1989" s="252">
        <v>1.89</v>
      </c>
      <c r="G1989" s="252" t="s">
        <v>606</v>
      </c>
      <c r="H1989" s="296" t="s">
        <v>261</v>
      </c>
      <c r="I1989" s="252">
        <f>(K1442)</f>
        <v>278.27999999999997</v>
      </c>
      <c r="J1989" s="296" t="s">
        <v>606</v>
      </c>
      <c r="K1989" s="252">
        <f>(F1989*I1989)</f>
        <v>525.95000000000005</v>
      </c>
      <c r="M1989" s="252">
        <v>1.89</v>
      </c>
      <c r="N1989" s="252" t="s">
        <v>606</v>
      </c>
      <c r="O1989" s="296" t="s">
        <v>261</v>
      </c>
      <c r="P1989" s="252">
        <f t="shared" si="238"/>
        <v>278.27999999999997</v>
      </c>
      <c r="Q1989" s="296" t="s">
        <v>606</v>
      </c>
      <c r="R1989" s="252">
        <f>(M1989*P1989)</f>
        <v>525.95000000000005</v>
      </c>
      <c r="W1989" s="253"/>
    </row>
    <row r="1990" spans="6:23" ht="18.75" customHeight="1">
      <c r="H1990" s="296" t="s">
        <v>262</v>
      </c>
      <c r="I1990" s="296" t="s">
        <v>971</v>
      </c>
      <c r="K1990" s="296" t="s">
        <v>971</v>
      </c>
      <c r="O1990" s="296" t="s">
        <v>262</v>
      </c>
      <c r="P1990" s="252" t="str">
        <f t="shared" si="238"/>
        <v xml:space="preserve"> </v>
      </c>
      <c r="Q1990" s="296"/>
      <c r="R1990" s="296" t="s">
        <v>971</v>
      </c>
      <c r="W1990" s="253"/>
    </row>
    <row r="1991" spans="6:23" ht="18.75" customHeight="1">
      <c r="F1991" s="356">
        <v>8.1000000000000003E-2</v>
      </c>
      <c r="G1991" s="252" t="s">
        <v>866</v>
      </c>
      <c r="H1991" s="296" t="s">
        <v>263</v>
      </c>
      <c r="I1991" s="252">
        <f>(R60)</f>
        <v>4094.04</v>
      </c>
      <c r="J1991" s="296" t="s">
        <v>866</v>
      </c>
      <c r="K1991" s="252">
        <f>(F1991*I1991)</f>
        <v>331.62</v>
      </c>
      <c r="M1991" s="356">
        <v>8.1000000000000003E-2</v>
      </c>
      <c r="N1991" s="252" t="s">
        <v>866</v>
      </c>
      <c r="O1991" s="296" t="s">
        <v>263</v>
      </c>
      <c r="P1991" s="252">
        <f t="shared" si="238"/>
        <v>4094.04</v>
      </c>
      <c r="Q1991" s="296" t="s">
        <v>866</v>
      </c>
      <c r="R1991" s="252">
        <f>(M1991*P1991)</f>
        <v>331.62</v>
      </c>
      <c r="W1991" s="253"/>
    </row>
    <row r="1992" spans="6:23" ht="18.75" customHeight="1">
      <c r="H1992" s="296" t="s">
        <v>264</v>
      </c>
      <c r="O1992" s="296" t="s">
        <v>264</v>
      </c>
      <c r="Q1992" s="296"/>
      <c r="W1992" s="253"/>
    </row>
    <row r="1993" spans="6:23" ht="18.75" customHeight="1">
      <c r="F1993" s="252">
        <v>1</v>
      </c>
      <c r="G1993" s="252" t="s">
        <v>766</v>
      </c>
      <c r="H1993" s="296" t="s">
        <v>2094</v>
      </c>
      <c r="I1993" s="252">
        <f>(C15)</f>
        <v>866</v>
      </c>
      <c r="J1993" s="296" t="s">
        <v>766</v>
      </c>
      <c r="K1993" s="252">
        <f>(F1993*I1993)</f>
        <v>866</v>
      </c>
      <c r="M1993" s="252">
        <v>1</v>
      </c>
      <c r="N1993" s="252" t="s">
        <v>766</v>
      </c>
      <c r="O1993" s="296" t="s">
        <v>2094</v>
      </c>
      <c r="P1993" s="252">
        <f t="shared" si="238"/>
        <v>866</v>
      </c>
      <c r="Q1993" s="296" t="s">
        <v>766</v>
      </c>
      <c r="R1993" s="252">
        <f>(M1993*P1993)</f>
        <v>866</v>
      </c>
      <c r="W1993" s="253"/>
    </row>
    <row r="1994" spans="6:23" ht="18.75" customHeight="1">
      <c r="F1994" s="252">
        <v>0.5</v>
      </c>
      <c r="G1994" s="252" t="s">
        <v>865</v>
      </c>
      <c r="H1994" s="296" t="s">
        <v>1704</v>
      </c>
      <c r="I1994" s="252">
        <f>(C11)</f>
        <v>932</v>
      </c>
      <c r="J1994" s="296" t="s">
        <v>865</v>
      </c>
      <c r="K1994" s="252">
        <f>(F1994*I1994)</f>
        <v>466</v>
      </c>
      <c r="M1994" s="252">
        <v>0.5</v>
      </c>
      <c r="N1994" s="252" t="s">
        <v>865</v>
      </c>
      <c r="O1994" s="296" t="s">
        <v>1704</v>
      </c>
      <c r="P1994" s="252">
        <f t="shared" si="238"/>
        <v>932</v>
      </c>
      <c r="Q1994" s="296" t="s">
        <v>865</v>
      </c>
      <c r="R1994" s="518">
        <f>(M1994*P1994)</f>
        <v>466</v>
      </c>
      <c r="W1994" s="253"/>
    </row>
    <row r="1995" spans="6:23" ht="18.75" customHeight="1">
      <c r="F1995" s="252">
        <v>0.5</v>
      </c>
      <c r="G1995" s="252" t="s">
        <v>865</v>
      </c>
      <c r="H1995" s="296" t="s">
        <v>1893</v>
      </c>
      <c r="I1995" s="252">
        <f>(C12)</f>
        <v>651</v>
      </c>
      <c r="J1995" s="296" t="s">
        <v>865</v>
      </c>
      <c r="K1995" s="252">
        <f>(F1995*I1995)</f>
        <v>325.5</v>
      </c>
      <c r="M1995" s="252">
        <v>0.5</v>
      </c>
      <c r="N1995" s="252" t="s">
        <v>865</v>
      </c>
      <c r="O1995" s="296" t="s">
        <v>1893</v>
      </c>
      <c r="P1995" s="252">
        <f t="shared" si="238"/>
        <v>651</v>
      </c>
      <c r="Q1995" s="296" t="s">
        <v>865</v>
      </c>
      <c r="R1995" s="518">
        <f>(M1995*P1995)</f>
        <v>325.5</v>
      </c>
      <c r="W1995" s="253"/>
    </row>
    <row r="1996" spans="6:23" ht="18.75" customHeight="1">
      <c r="G1996" s="252" t="s">
        <v>446</v>
      </c>
      <c r="H1996" s="296" t="s">
        <v>447</v>
      </c>
      <c r="I1996" s="296" t="s">
        <v>971</v>
      </c>
      <c r="J1996" s="296" t="s">
        <v>446</v>
      </c>
      <c r="K1996" s="252">
        <v>1.03</v>
      </c>
      <c r="O1996" s="276" t="s">
        <v>4221</v>
      </c>
      <c r="P1996" s="252" t="str">
        <f t="shared" si="238"/>
        <v xml:space="preserve"> </v>
      </c>
      <c r="Q1996" s="296"/>
      <c r="R1996" s="518">
        <v>-164</v>
      </c>
      <c r="W1996" s="253"/>
    </row>
    <row r="1997" spans="6:23" ht="18.75" customHeight="1">
      <c r="H1997" s="296" t="s">
        <v>971</v>
      </c>
      <c r="K1997" s="358" t="s">
        <v>1579</v>
      </c>
      <c r="O1997" s="276" t="s">
        <v>4222</v>
      </c>
      <c r="Q1997" s="296"/>
      <c r="R1997" s="518">
        <v>134.1</v>
      </c>
      <c r="W1997" s="253"/>
    </row>
    <row r="1998" spans="6:23" ht="18.75" customHeight="1" thickBot="1">
      <c r="H1998" s="296" t="s">
        <v>1743</v>
      </c>
      <c r="K1998" s="252">
        <f>SUM(K1986:K1996)</f>
        <v>5214.37</v>
      </c>
      <c r="N1998" s="252" t="s">
        <v>654</v>
      </c>
      <c r="O1998" s="276" t="s">
        <v>2261</v>
      </c>
      <c r="Q1998" s="296"/>
      <c r="R1998" s="518">
        <v>0.47</v>
      </c>
      <c r="W1998" s="253"/>
    </row>
    <row r="1999" spans="6:23" ht="18.75" customHeight="1" thickTop="1">
      <c r="K1999" s="358" t="s">
        <v>2046</v>
      </c>
      <c r="O1999" s="296" t="s">
        <v>1743</v>
      </c>
      <c r="Q1999" s="296"/>
      <c r="R1999" s="519">
        <f>SUM(R1986:R1998)</f>
        <v>5183.91</v>
      </c>
      <c r="W1999" s="253"/>
    </row>
    <row r="2000" spans="6:23" ht="18.75" customHeight="1" thickBot="1">
      <c r="G2000" s="252" t="s">
        <v>971</v>
      </c>
      <c r="H2000" s="296" t="s">
        <v>971</v>
      </c>
      <c r="K2000" s="296" t="s">
        <v>971</v>
      </c>
      <c r="Q2000" s="296"/>
      <c r="R2000" s="520"/>
      <c r="W2000" s="253"/>
    </row>
    <row r="2001" spans="6:23" ht="18.75" customHeight="1" thickTop="1">
      <c r="F2001" s="369">
        <v>57</v>
      </c>
      <c r="G2001" s="252" t="s">
        <v>2241</v>
      </c>
      <c r="H2001" s="296" t="s">
        <v>5709</v>
      </c>
      <c r="W2001" s="253"/>
    </row>
    <row r="2002" spans="6:23" ht="18.75" customHeight="1">
      <c r="H2002" s="296" t="s">
        <v>200</v>
      </c>
      <c r="M2002" s="369">
        <v>57</v>
      </c>
      <c r="N2002" s="252" t="s">
        <v>2241</v>
      </c>
      <c r="O2002" s="296" t="s">
        <v>5709</v>
      </c>
      <c r="Q2002" s="296"/>
      <c r="S2002" s="252"/>
      <c r="W2002" s="253"/>
    </row>
    <row r="2003" spans="6:23" ht="18.75" customHeight="1">
      <c r="H2003" s="296" t="s">
        <v>1764</v>
      </c>
      <c r="O2003" s="296" t="s">
        <v>200</v>
      </c>
      <c r="Q2003" s="296"/>
      <c r="S2003" s="252"/>
      <c r="W2003" s="253"/>
    </row>
    <row r="2004" spans="6:23" ht="18.75" customHeight="1">
      <c r="H2004" s="358" t="s">
        <v>1579</v>
      </c>
      <c r="O2004" s="296" t="s">
        <v>1764</v>
      </c>
      <c r="Q2004" s="296"/>
      <c r="S2004" s="252"/>
      <c r="W2004" s="253"/>
    </row>
    <row r="2005" spans="6:23" ht="18.75" customHeight="1">
      <c r="F2005" s="510">
        <v>1</v>
      </c>
      <c r="G2005" s="510" t="s">
        <v>780</v>
      </c>
      <c r="H2005" s="260" t="s">
        <v>4114</v>
      </c>
      <c r="I2005" s="510">
        <f>C613</f>
        <v>3090</v>
      </c>
      <c r="J2005" s="312" t="s">
        <v>780</v>
      </c>
      <c r="K2005" s="510">
        <f>(F2005*I2005)</f>
        <v>3090</v>
      </c>
      <c r="O2005" s="358" t="s">
        <v>1579</v>
      </c>
      <c r="Q2005" s="296"/>
      <c r="S2005" s="252"/>
      <c r="W2005" s="253"/>
    </row>
    <row r="2006" spans="6:23" ht="18.75" customHeight="1">
      <c r="H2006" s="276" t="s">
        <v>1157</v>
      </c>
      <c r="M2006" s="510">
        <v>1</v>
      </c>
      <c r="N2006" s="510" t="s">
        <v>780</v>
      </c>
      <c r="O2006" s="260" t="s">
        <v>1118</v>
      </c>
      <c r="P2006" s="510">
        <f>I2005</f>
        <v>3090</v>
      </c>
      <c r="Q2006" s="312" t="s">
        <v>780</v>
      </c>
      <c r="R2006" s="510">
        <f>(M2006*P2006)</f>
        <v>3090</v>
      </c>
      <c r="S2006" s="252"/>
      <c r="W2006" s="253"/>
    </row>
    <row r="2007" spans="6:23" ht="18.75" customHeight="1">
      <c r="F2007" s="252">
        <v>1</v>
      </c>
      <c r="G2007" s="252" t="s">
        <v>865</v>
      </c>
      <c r="H2007" s="296" t="s">
        <v>2000</v>
      </c>
      <c r="I2007" s="252">
        <f>(C10)</f>
        <v>999</v>
      </c>
      <c r="J2007" s="296" t="s">
        <v>865</v>
      </c>
      <c r="K2007" s="252">
        <f>(F2007*I2007)</f>
        <v>999</v>
      </c>
      <c r="O2007" s="276" t="s">
        <v>1157</v>
      </c>
      <c r="Q2007" s="296"/>
      <c r="S2007" s="252"/>
      <c r="W2007" s="253"/>
    </row>
    <row r="2008" spans="6:23" ht="18.75" customHeight="1">
      <c r="F2008" s="252">
        <v>2</v>
      </c>
      <c r="G2008" s="252" t="s">
        <v>865</v>
      </c>
      <c r="H2008" s="296" t="s">
        <v>2094</v>
      </c>
      <c r="I2008" s="252">
        <f>(C15)</f>
        <v>866</v>
      </c>
      <c r="J2008" s="296" t="s">
        <v>865</v>
      </c>
      <c r="K2008" s="252">
        <f>(F2008*I2008)</f>
        <v>1732</v>
      </c>
      <c r="M2008" s="252">
        <v>1</v>
      </c>
      <c r="N2008" s="252" t="s">
        <v>865</v>
      </c>
      <c r="O2008" s="296" t="s">
        <v>2000</v>
      </c>
      <c r="P2008" s="252">
        <f t="shared" ref="P2008:P2013" si="239">I2007</f>
        <v>999</v>
      </c>
      <c r="Q2008" s="296" t="s">
        <v>865</v>
      </c>
      <c r="R2008" s="252">
        <f>(M2008*P2008)</f>
        <v>999</v>
      </c>
      <c r="S2008" s="252"/>
      <c r="W2008" s="253"/>
    </row>
    <row r="2009" spans="6:23" ht="18.75" customHeight="1">
      <c r="F2009" s="252">
        <v>1</v>
      </c>
      <c r="G2009" s="252" t="s">
        <v>865</v>
      </c>
      <c r="H2009" s="296" t="s">
        <v>317</v>
      </c>
      <c r="I2009" s="252">
        <f>(C13)</f>
        <v>534</v>
      </c>
      <c r="J2009" s="296" t="s">
        <v>865</v>
      </c>
      <c r="K2009" s="252">
        <f>(F2009*I2009)</f>
        <v>534</v>
      </c>
      <c r="M2009" s="252">
        <v>2</v>
      </c>
      <c r="N2009" s="252" t="s">
        <v>865</v>
      </c>
      <c r="O2009" s="296" t="s">
        <v>2094</v>
      </c>
      <c r="P2009" s="252">
        <f t="shared" si="239"/>
        <v>866</v>
      </c>
      <c r="Q2009" s="296" t="s">
        <v>865</v>
      </c>
      <c r="R2009" s="252">
        <f>(M2009*P2009)</f>
        <v>1732</v>
      </c>
      <c r="S2009" s="252"/>
      <c r="W2009" s="253"/>
    </row>
    <row r="2010" spans="6:23" ht="18.75" customHeight="1">
      <c r="H2010" s="276" t="s">
        <v>710</v>
      </c>
      <c r="M2010" s="252">
        <v>1</v>
      </c>
      <c r="N2010" s="252" t="s">
        <v>865</v>
      </c>
      <c r="O2010" s="296" t="s">
        <v>317</v>
      </c>
      <c r="P2010" s="252">
        <f t="shared" si="239"/>
        <v>534</v>
      </c>
      <c r="Q2010" s="296" t="s">
        <v>865</v>
      </c>
      <c r="R2010" s="252">
        <f>(M2010*P2010)</f>
        <v>534</v>
      </c>
      <c r="S2010" s="252"/>
      <c r="W2010" s="253"/>
    </row>
    <row r="2011" spans="6:23" ht="18.75" customHeight="1">
      <c r="F2011" s="252">
        <v>0.5</v>
      </c>
      <c r="G2011" s="252" t="s">
        <v>865</v>
      </c>
      <c r="H2011" s="296" t="s">
        <v>2094</v>
      </c>
      <c r="I2011" s="252">
        <f>(C15)</f>
        <v>866</v>
      </c>
      <c r="J2011" s="296" t="s">
        <v>865</v>
      </c>
      <c r="K2011" s="252">
        <f>(F2011*I2011)</f>
        <v>433</v>
      </c>
      <c r="O2011" s="276" t="s">
        <v>710</v>
      </c>
      <c r="Q2011" s="296"/>
      <c r="S2011" s="252"/>
      <c r="W2011" s="253"/>
    </row>
    <row r="2012" spans="6:23" ht="18.75" customHeight="1">
      <c r="F2012" s="252">
        <v>0.5</v>
      </c>
      <c r="G2012" s="252" t="s">
        <v>865</v>
      </c>
      <c r="H2012" s="296" t="s">
        <v>1893</v>
      </c>
      <c r="I2012" s="252">
        <f>(C12)</f>
        <v>651</v>
      </c>
      <c r="J2012" s="296" t="s">
        <v>865</v>
      </c>
      <c r="K2012" s="252">
        <f>(F2012*I2012)</f>
        <v>325.5</v>
      </c>
      <c r="M2012" s="252">
        <v>0.5</v>
      </c>
      <c r="N2012" s="252" t="s">
        <v>865</v>
      </c>
      <c r="O2012" s="296" t="s">
        <v>2094</v>
      </c>
      <c r="P2012" s="252">
        <f t="shared" si="239"/>
        <v>866</v>
      </c>
      <c r="Q2012" s="296" t="s">
        <v>865</v>
      </c>
      <c r="R2012" s="252">
        <f>(M2012*P2012)</f>
        <v>433</v>
      </c>
      <c r="S2012" s="252"/>
      <c r="W2012" s="253"/>
    </row>
    <row r="2013" spans="6:23" ht="18.75" customHeight="1">
      <c r="G2013" s="252" t="s">
        <v>446</v>
      </c>
      <c r="H2013" s="296" t="s">
        <v>447</v>
      </c>
      <c r="J2013" s="296" t="s">
        <v>446</v>
      </c>
      <c r="K2013" s="252">
        <v>0.7</v>
      </c>
      <c r="M2013" s="252">
        <v>0.5</v>
      </c>
      <c r="N2013" s="252" t="s">
        <v>865</v>
      </c>
      <c r="O2013" s="296" t="s">
        <v>1893</v>
      </c>
      <c r="P2013" s="252">
        <f t="shared" si="239"/>
        <v>651</v>
      </c>
      <c r="Q2013" s="296" t="s">
        <v>865</v>
      </c>
      <c r="R2013" s="252">
        <f>(M2013*P2013)</f>
        <v>325.5</v>
      </c>
      <c r="S2013" s="252"/>
      <c r="W2013" s="253"/>
    </row>
    <row r="2014" spans="6:23" ht="18.75" customHeight="1">
      <c r="K2014" s="358" t="s">
        <v>1579</v>
      </c>
      <c r="O2014" s="276" t="s">
        <v>4221</v>
      </c>
      <c r="P2014" s="252">
        <f>I2014</f>
        <v>0</v>
      </c>
      <c r="Q2014" s="296"/>
      <c r="R2014" s="314">
        <v>-164</v>
      </c>
      <c r="S2014" s="252"/>
      <c r="W2014" s="253"/>
    </row>
    <row r="2015" spans="6:23" ht="18.75" customHeight="1">
      <c r="H2015" s="296" t="s">
        <v>1743</v>
      </c>
      <c r="K2015" s="252">
        <f>SUM(K2005:K2013)</f>
        <v>7114.2</v>
      </c>
      <c r="O2015" s="276" t="s">
        <v>4222</v>
      </c>
      <c r="Q2015" s="296"/>
      <c r="R2015" s="314">
        <v>134.1</v>
      </c>
      <c r="S2015" s="252"/>
      <c r="W2015" s="253"/>
    </row>
    <row r="2016" spans="6:23" ht="18.75" customHeight="1">
      <c r="F2016" s="296" t="s">
        <v>971</v>
      </c>
      <c r="N2016" s="252" t="s">
        <v>446</v>
      </c>
      <c r="O2016" s="296" t="s">
        <v>447</v>
      </c>
      <c r="Q2016" s="296" t="s">
        <v>446</v>
      </c>
      <c r="R2016" s="252">
        <v>0.7</v>
      </c>
      <c r="S2016" s="252"/>
      <c r="W2016" s="253"/>
    </row>
    <row r="2017" spans="6:23" ht="18.75" customHeight="1">
      <c r="K2017" s="358" t="s">
        <v>1579</v>
      </c>
      <c r="O2017" s="296" t="s">
        <v>1743</v>
      </c>
      <c r="Q2017" s="296"/>
      <c r="S2017" s="252"/>
      <c r="W2017" s="253"/>
    </row>
    <row r="2018" spans="6:23" ht="18.75" customHeight="1">
      <c r="G2018" s="252" t="s">
        <v>971</v>
      </c>
      <c r="H2018" s="296" t="s">
        <v>971</v>
      </c>
      <c r="K2018" s="296" t="s">
        <v>971</v>
      </c>
      <c r="Q2018" s="296"/>
      <c r="R2018" s="274">
        <f>SUM(R2006:R2017)</f>
        <v>7084.3</v>
      </c>
      <c r="S2018" s="252"/>
      <c r="W2018" s="253"/>
    </row>
    <row r="2019" spans="6:23" ht="18.75" customHeight="1">
      <c r="H2019" s="296" t="s">
        <v>971</v>
      </c>
      <c r="M2019" s="296" t="s">
        <v>971</v>
      </c>
      <c r="S2019" s="252"/>
      <c r="W2019" s="253"/>
    </row>
    <row r="2020" spans="6:23" ht="18.75" customHeight="1">
      <c r="F2020" s="375">
        <v>57.1</v>
      </c>
      <c r="G2020" s="252" t="s">
        <v>2241</v>
      </c>
      <c r="H2020" s="296" t="s">
        <v>5710</v>
      </c>
      <c r="M2020" s="369">
        <v>57</v>
      </c>
      <c r="N2020" s="252" t="s">
        <v>2241</v>
      </c>
      <c r="O2020" s="296" t="s">
        <v>5710</v>
      </c>
      <c r="Q2020" s="296"/>
      <c r="S2020" s="252"/>
      <c r="W2020" s="253"/>
    </row>
    <row r="2021" spans="6:23" ht="18.75" customHeight="1">
      <c r="H2021" s="296" t="s">
        <v>200</v>
      </c>
      <c r="O2021" s="296" t="s">
        <v>200</v>
      </c>
      <c r="Q2021" s="296"/>
      <c r="W2021" s="253"/>
    </row>
    <row r="2022" spans="6:23" ht="18.75" customHeight="1">
      <c r="H2022" s="296" t="s">
        <v>1764</v>
      </c>
      <c r="O2022" s="296" t="s">
        <v>1764</v>
      </c>
      <c r="Q2022" s="296"/>
      <c r="W2022" s="253"/>
    </row>
    <row r="2023" spans="6:23" ht="18.75" customHeight="1">
      <c r="H2023" s="358" t="s">
        <v>1579</v>
      </c>
      <c r="O2023" s="358" t="s">
        <v>1579</v>
      </c>
      <c r="Q2023" s="296"/>
      <c r="W2023" s="253"/>
    </row>
    <row r="2024" spans="6:23" ht="18.75" customHeight="1">
      <c r="F2024" s="510">
        <v>1</v>
      </c>
      <c r="G2024" s="510" t="s">
        <v>780</v>
      </c>
      <c r="H2024" s="389" t="s">
        <v>1118</v>
      </c>
      <c r="I2024" s="252">
        <f>E613</f>
        <v>3484</v>
      </c>
      <c r="J2024" s="312" t="s">
        <v>780</v>
      </c>
      <c r="K2024" s="510">
        <f>(F2024*I2024)</f>
        <v>3484</v>
      </c>
      <c r="M2024" s="510">
        <v>1</v>
      </c>
      <c r="N2024" s="510" t="s">
        <v>780</v>
      </c>
      <c r="O2024" s="260" t="s">
        <v>1118</v>
      </c>
      <c r="P2024" s="510">
        <f>I2024</f>
        <v>3484</v>
      </c>
      <c r="Q2024" s="312" t="s">
        <v>780</v>
      </c>
      <c r="R2024" s="510">
        <f>(M2024*P2024)</f>
        <v>3484</v>
      </c>
      <c r="W2024" s="253"/>
    </row>
    <row r="2025" spans="6:23" ht="18.75" customHeight="1">
      <c r="H2025" s="276" t="s">
        <v>1157</v>
      </c>
      <c r="O2025" s="276" t="s">
        <v>1157</v>
      </c>
      <c r="Q2025" s="296"/>
      <c r="R2025" s="510"/>
      <c r="W2025" s="253"/>
    </row>
    <row r="2026" spans="6:23" ht="18.75" customHeight="1">
      <c r="F2026" s="252">
        <v>1</v>
      </c>
      <c r="G2026" s="252" t="s">
        <v>865</v>
      </c>
      <c r="H2026" s="296" t="s">
        <v>2000</v>
      </c>
      <c r="I2026" s="252">
        <f>C10</f>
        <v>999</v>
      </c>
      <c r="J2026" s="296" t="s">
        <v>865</v>
      </c>
      <c r="K2026" s="252">
        <f>(F2026*I2026)</f>
        <v>999</v>
      </c>
      <c r="M2026" s="252">
        <v>1</v>
      </c>
      <c r="N2026" s="252" t="s">
        <v>865</v>
      </c>
      <c r="O2026" s="296" t="s">
        <v>2000</v>
      </c>
      <c r="P2026" s="252">
        <f>I2026</f>
        <v>999</v>
      </c>
      <c r="Q2026" s="296" t="s">
        <v>865</v>
      </c>
      <c r="R2026" s="510">
        <f>(M2026*P2026)</f>
        <v>999</v>
      </c>
      <c r="W2026" s="253"/>
    </row>
    <row r="2027" spans="6:23" ht="18.75" customHeight="1">
      <c r="F2027" s="252">
        <v>2</v>
      </c>
      <c r="G2027" s="252" t="s">
        <v>865</v>
      </c>
      <c r="H2027" s="296" t="s">
        <v>2094</v>
      </c>
      <c r="I2027" s="252">
        <f>C15</f>
        <v>866</v>
      </c>
      <c r="J2027" s="296" t="s">
        <v>865</v>
      </c>
      <c r="K2027" s="252">
        <f>(F2027*I2027)</f>
        <v>1732</v>
      </c>
      <c r="M2027" s="252">
        <v>2</v>
      </c>
      <c r="N2027" s="252" t="s">
        <v>865</v>
      </c>
      <c r="O2027" s="296" t="s">
        <v>2094</v>
      </c>
      <c r="P2027" s="252">
        <f>I2027</f>
        <v>866</v>
      </c>
      <c r="Q2027" s="296" t="s">
        <v>865</v>
      </c>
      <c r="R2027" s="510">
        <f>(M2027*P2027)</f>
        <v>1732</v>
      </c>
      <c r="W2027" s="253"/>
    </row>
    <row r="2028" spans="6:23" ht="18.75" customHeight="1">
      <c r="F2028" s="252">
        <v>1</v>
      </c>
      <c r="G2028" s="252" t="s">
        <v>865</v>
      </c>
      <c r="H2028" s="296" t="s">
        <v>317</v>
      </c>
      <c r="I2028" s="252">
        <f>C13</f>
        <v>534</v>
      </c>
      <c r="J2028" s="296" t="s">
        <v>865</v>
      </c>
      <c r="K2028" s="252">
        <f>(F2028*I2028)</f>
        <v>534</v>
      </c>
      <c r="M2028" s="252">
        <v>1</v>
      </c>
      <c r="N2028" s="252" t="s">
        <v>865</v>
      </c>
      <c r="O2028" s="296" t="s">
        <v>317</v>
      </c>
      <c r="P2028" s="252">
        <f>I2028</f>
        <v>534</v>
      </c>
      <c r="Q2028" s="296" t="s">
        <v>865</v>
      </c>
      <c r="R2028" s="510">
        <f>(M2028*P2028)</f>
        <v>534</v>
      </c>
      <c r="W2028" s="253"/>
    </row>
    <row r="2029" spans="6:23" ht="18.75" customHeight="1">
      <c r="H2029" s="276" t="s">
        <v>710</v>
      </c>
      <c r="O2029" s="276" t="s">
        <v>710</v>
      </c>
      <c r="Q2029" s="296"/>
      <c r="W2029" s="253"/>
    </row>
    <row r="2030" spans="6:23" ht="18.75" customHeight="1">
      <c r="F2030" s="252">
        <v>0.5</v>
      </c>
      <c r="G2030" s="252" t="s">
        <v>865</v>
      </c>
      <c r="H2030" s="296" t="s">
        <v>2094</v>
      </c>
      <c r="I2030" s="252">
        <f>C15</f>
        <v>866</v>
      </c>
      <c r="J2030" s="296" t="s">
        <v>865</v>
      </c>
      <c r="K2030" s="252">
        <f>(F2030*I2030)</f>
        <v>433</v>
      </c>
      <c r="M2030" s="252">
        <v>0.5</v>
      </c>
      <c r="N2030" s="252" t="s">
        <v>865</v>
      </c>
      <c r="O2030" s="296" t="s">
        <v>2094</v>
      </c>
      <c r="P2030" s="252">
        <f>I2030</f>
        <v>866</v>
      </c>
      <c r="Q2030" s="296" t="s">
        <v>865</v>
      </c>
      <c r="R2030" s="252">
        <f>(M2030*P2030)</f>
        <v>433</v>
      </c>
      <c r="W2030" s="253"/>
    </row>
    <row r="2031" spans="6:23" ht="18.75" customHeight="1">
      <c r="F2031" s="252">
        <v>0.5</v>
      </c>
      <c r="G2031" s="252" t="s">
        <v>865</v>
      </c>
      <c r="H2031" s="296" t="s">
        <v>1893</v>
      </c>
      <c r="I2031" s="252">
        <f>C12</f>
        <v>651</v>
      </c>
      <c r="J2031" s="296" t="s">
        <v>865</v>
      </c>
      <c r="K2031" s="252">
        <f>(F2031*I2031)</f>
        <v>325.5</v>
      </c>
      <c r="M2031" s="252">
        <v>0.5</v>
      </c>
      <c r="N2031" s="252" t="s">
        <v>865</v>
      </c>
      <c r="O2031" s="296" t="s">
        <v>1893</v>
      </c>
      <c r="P2031" s="252">
        <f>I2031</f>
        <v>651</v>
      </c>
      <c r="Q2031" s="296" t="s">
        <v>865</v>
      </c>
      <c r="R2031" s="252">
        <f>(M2031*P2031)</f>
        <v>325.5</v>
      </c>
      <c r="W2031" s="253"/>
    </row>
    <row r="2032" spans="6:23" ht="18.75" customHeight="1">
      <c r="G2032" s="252" t="s">
        <v>446</v>
      </c>
      <c r="H2032" s="296" t="s">
        <v>447</v>
      </c>
      <c r="J2032" s="296" t="s">
        <v>446</v>
      </c>
      <c r="K2032" s="252">
        <v>0.7</v>
      </c>
      <c r="O2032" s="276" t="s">
        <v>4221</v>
      </c>
      <c r="P2032" s="252">
        <f>I2032</f>
        <v>0</v>
      </c>
      <c r="Q2032" s="296"/>
      <c r="R2032" s="314">
        <v>-164</v>
      </c>
      <c r="W2032" s="253"/>
    </row>
    <row r="2033" spans="6:23" ht="18.75" customHeight="1">
      <c r="K2033" s="358" t="s">
        <v>1579</v>
      </c>
      <c r="O2033" s="276" t="s">
        <v>4222</v>
      </c>
      <c r="Q2033" s="296"/>
      <c r="R2033" s="314">
        <v>134.1</v>
      </c>
      <c r="W2033" s="253"/>
    </row>
    <row r="2034" spans="6:23" ht="18.75" customHeight="1">
      <c r="H2034" s="296" t="s">
        <v>1743</v>
      </c>
      <c r="K2034" s="252">
        <f>SUM(K2024:K2032)</f>
        <v>7508.2</v>
      </c>
      <c r="N2034" s="252" t="s">
        <v>446</v>
      </c>
      <c r="O2034" s="296" t="s">
        <v>447</v>
      </c>
      <c r="Q2034" s="296" t="s">
        <v>446</v>
      </c>
      <c r="R2034" s="252">
        <v>0.7</v>
      </c>
      <c r="W2034" s="253"/>
    </row>
    <row r="2035" spans="6:23" ht="18.75" customHeight="1">
      <c r="H2035" s="296"/>
      <c r="Q2035" s="296"/>
      <c r="R2035" s="358" t="s">
        <v>1579</v>
      </c>
      <c r="W2035" s="253"/>
    </row>
    <row r="2036" spans="6:23" ht="18.75" customHeight="1">
      <c r="H2036" s="296"/>
      <c r="K2036" s="358" t="s">
        <v>1579</v>
      </c>
      <c r="O2036" s="296" t="s">
        <v>1743</v>
      </c>
      <c r="Q2036" s="296"/>
      <c r="W2036" s="253"/>
    </row>
    <row r="2037" spans="6:23" ht="18.75" customHeight="1">
      <c r="H2037" s="296"/>
      <c r="M2037" s="296" t="s">
        <v>971</v>
      </c>
      <c r="Q2037" s="296"/>
      <c r="R2037" s="274">
        <f>SUM(R2024:R2036)</f>
        <v>7478.3</v>
      </c>
      <c r="W2037" s="253"/>
    </row>
    <row r="2038" spans="6:23" ht="18.75" customHeight="1">
      <c r="F2038" s="253" t="s">
        <v>711</v>
      </c>
      <c r="G2038" s="252" t="s">
        <v>2241</v>
      </c>
      <c r="H2038" s="296" t="s">
        <v>805</v>
      </c>
      <c r="Q2038" s="296"/>
      <c r="R2038" s="358" t="s">
        <v>1579</v>
      </c>
      <c r="W2038" s="253"/>
    </row>
    <row r="2039" spans="6:23" ht="18.75" customHeight="1">
      <c r="H2039" s="296" t="s">
        <v>160</v>
      </c>
      <c r="W2039" s="253"/>
    </row>
    <row r="2040" spans="6:23" ht="18.75" customHeight="1">
      <c r="H2040" s="358" t="s">
        <v>1579</v>
      </c>
      <c r="W2040" s="253"/>
    </row>
    <row r="2041" spans="6:23" ht="18.75" customHeight="1">
      <c r="G2041" s="252" t="s">
        <v>686</v>
      </c>
      <c r="H2041" s="296" t="s">
        <v>40</v>
      </c>
      <c r="W2041" s="253"/>
    </row>
    <row r="2042" spans="6:23" ht="18.75" customHeight="1">
      <c r="H2042" s="296" t="s">
        <v>5711</v>
      </c>
      <c r="W2042" s="253"/>
    </row>
    <row r="2043" spans="6:23" ht="18.75" customHeight="1">
      <c r="H2043" s="296" t="s">
        <v>942</v>
      </c>
      <c r="M2043" s="521"/>
      <c r="N2043" s="522"/>
      <c r="O2043" s="523" t="s">
        <v>1990</v>
      </c>
      <c r="P2043" s="522"/>
      <c r="Q2043" s="523"/>
      <c r="R2043" s="522"/>
      <c r="W2043" s="253"/>
    </row>
    <row r="2044" spans="6:23" ht="18.75" customHeight="1">
      <c r="H2044" s="296" t="s">
        <v>943</v>
      </c>
      <c r="M2044" s="521"/>
      <c r="N2044" s="522"/>
      <c r="O2044" s="523" t="s">
        <v>4735</v>
      </c>
      <c r="P2044" s="522"/>
      <c r="Q2044" s="523"/>
      <c r="R2044" s="522"/>
      <c r="W2044" s="253"/>
    </row>
    <row r="2045" spans="6:23" ht="18.75" customHeight="1">
      <c r="H2045" s="296" t="s">
        <v>2095</v>
      </c>
      <c r="M2045" s="522"/>
      <c r="N2045" s="522"/>
      <c r="O2045" s="524" t="s">
        <v>1579</v>
      </c>
      <c r="P2045" s="524" t="s">
        <v>1579</v>
      </c>
      <c r="Q2045" s="523" t="s">
        <v>1579</v>
      </c>
      <c r="R2045" s="522"/>
      <c r="W2045" s="253"/>
    </row>
    <row r="2046" spans="6:23" ht="18.75" customHeight="1">
      <c r="H2046" s="296" t="s">
        <v>2096</v>
      </c>
      <c r="M2046" s="522"/>
      <c r="N2046" s="522"/>
      <c r="O2046" s="522"/>
      <c r="P2046" s="522"/>
      <c r="Q2046" s="523"/>
      <c r="R2046" s="522"/>
      <c r="W2046" s="253"/>
    </row>
    <row r="2047" spans="6:23" ht="18.75" customHeight="1">
      <c r="H2047" s="296" t="s">
        <v>198</v>
      </c>
      <c r="M2047" s="522"/>
      <c r="N2047" s="522"/>
      <c r="O2047" s="525" t="s">
        <v>4736</v>
      </c>
      <c r="P2047" s="522">
        <f>3.93*2.1</f>
        <v>8.25</v>
      </c>
      <c r="Q2047" s="523" t="s">
        <v>2142</v>
      </c>
      <c r="R2047" s="522"/>
      <c r="W2047" s="253"/>
    </row>
    <row r="2048" spans="6:23" ht="18.75" customHeight="1">
      <c r="H2048" s="358" t="s">
        <v>1579</v>
      </c>
      <c r="M2048" s="522"/>
      <c r="N2048" s="522"/>
      <c r="O2048" s="523" t="s">
        <v>4737</v>
      </c>
      <c r="P2048" s="522"/>
      <c r="Q2048" s="523"/>
      <c r="R2048" s="522"/>
      <c r="W2048" s="253"/>
    </row>
    <row r="2049" spans="6:23" ht="18.75" customHeight="1">
      <c r="F2049" s="252">
        <v>3</v>
      </c>
      <c r="G2049" s="252" t="s">
        <v>1763</v>
      </c>
      <c r="H2049" s="296" t="s">
        <v>2097</v>
      </c>
      <c r="I2049" s="420">
        <f>(C620)</f>
        <v>193.05</v>
      </c>
      <c r="J2049" s="296" t="s">
        <v>1763</v>
      </c>
      <c r="K2049" s="252">
        <f t="shared" ref="K2049:K2055" si="240">(F2049*I2049)</f>
        <v>579.15</v>
      </c>
      <c r="M2049" s="522"/>
      <c r="N2049" s="522"/>
      <c r="O2049" s="523" t="s">
        <v>4738</v>
      </c>
      <c r="P2049" s="526">
        <f>1*7*2.1*0.075*0.0375</f>
        <v>4.1000000000000002E-2</v>
      </c>
      <c r="Q2049" s="523"/>
      <c r="R2049" s="522"/>
      <c r="W2049" s="253"/>
    </row>
    <row r="2050" spans="6:23" ht="18.75" customHeight="1">
      <c r="F2050" s="252">
        <v>1</v>
      </c>
      <c r="G2050" s="252" t="s">
        <v>766</v>
      </c>
      <c r="H2050" s="296" t="s">
        <v>667</v>
      </c>
      <c r="I2050" s="314">
        <v>76</v>
      </c>
      <c r="J2050" s="296" t="s">
        <v>1708</v>
      </c>
      <c r="K2050" s="252">
        <f t="shared" si="240"/>
        <v>76</v>
      </c>
      <c r="M2050" s="522"/>
      <c r="N2050" s="522"/>
      <c r="O2050" s="523" t="s">
        <v>4739</v>
      </c>
      <c r="P2050" s="526">
        <f>5*3.93*0.075*0.0375</f>
        <v>5.5E-2</v>
      </c>
      <c r="Q2050" s="523"/>
      <c r="R2050" s="522"/>
      <c r="W2050" s="253"/>
    </row>
    <row r="2051" spans="6:23" ht="18.75" customHeight="1">
      <c r="F2051" s="252">
        <v>1</v>
      </c>
      <c r="G2051" s="252" t="s">
        <v>766</v>
      </c>
      <c r="H2051" s="296" t="s">
        <v>668</v>
      </c>
      <c r="I2051" s="252">
        <f>C648</f>
        <v>82.3</v>
      </c>
      <c r="J2051" s="296" t="s">
        <v>1708</v>
      </c>
      <c r="K2051" s="252">
        <f t="shared" si="240"/>
        <v>82.3</v>
      </c>
      <c r="M2051" s="522"/>
      <c r="N2051" s="522"/>
      <c r="O2051" s="523"/>
      <c r="P2051" s="527">
        <f>SUM(P2049:P2050)</f>
        <v>9.6000000000000002E-2</v>
      </c>
      <c r="Q2051" s="523" t="s">
        <v>2142</v>
      </c>
      <c r="R2051" s="522"/>
      <c r="W2051" s="253"/>
    </row>
    <row r="2052" spans="6:23" ht="18.75" customHeight="1">
      <c r="F2052" s="252">
        <v>1</v>
      </c>
      <c r="G2052" s="252" t="s">
        <v>766</v>
      </c>
      <c r="H2052" s="296" t="s">
        <v>4115</v>
      </c>
      <c r="I2052" s="252">
        <f>C645</f>
        <v>187.8</v>
      </c>
      <c r="J2052" s="296" t="s">
        <v>1708</v>
      </c>
      <c r="K2052" s="252">
        <f t="shared" si="240"/>
        <v>187.8</v>
      </c>
      <c r="M2052" s="522"/>
      <c r="N2052" s="522"/>
      <c r="O2052" s="523" t="s">
        <v>4740</v>
      </c>
      <c r="P2052" s="522"/>
      <c r="Q2052" s="523"/>
      <c r="R2052" s="522"/>
      <c r="W2052" s="253"/>
    </row>
    <row r="2053" spans="6:23" ht="18.75" customHeight="1">
      <c r="F2053" s="252">
        <v>0.5</v>
      </c>
      <c r="G2053" s="252" t="s">
        <v>865</v>
      </c>
      <c r="H2053" s="296" t="s">
        <v>2094</v>
      </c>
      <c r="I2053" s="252">
        <f>(C15)</f>
        <v>866</v>
      </c>
      <c r="J2053" s="296" t="s">
        <v>1708</v>
      </c>
      <c r="K2053" s="252">
        <f t="shared" si="240"/>
        <v>433</v>
      </c>
      <c r="M2053" s="522"/>
      <c r="N2053" s="522"/>
      <c r="O2053" s="523" t="s">
        <v>4741</v>
      </c>
      <c r="P2053" s="522"/>
      <c r="Q2053" s="523"/>
      <c r="R2053" s="522"/>
      <c r="W2053" s="253"/>
    </row>
    <row r="2054" spans="6:23" ht="18.75" customHeight="1">
      <c r="F2054" s="252">
        <v>0.5</v>
      </c>
      <c r="G2054" s="252" t="s">
        <v>865</v>
      </c>
      <c r="H2054" s="296" t="s">
        <v>1704</v>
      </c>
      <c r="I2054" s="252">
        <f>(C11)</f>
        <v>932</v>
      </c>
      <c r="J2054" s="296" t="s">
        <v>1708</v>
      </c>
      <c r="K2054" s="252">
        <f t="shared" si="240"/>
        <v>466</v>
      </c>
      <c r="M2054" s="522"/>
      <c r="N2054" s="522"/>
      <c r="O2054" s="523" t="s">
        <v>4742</v>
      </c>
      <c r="P2054" s="526">
        <f>2*18*0.6*0.075*0.0375</f>
        <v>6.0999999999999999E-2</v>
      </c>
      <c r="Q2054" s="523"/>
      <c r="R2054" s="522"/>
      <c r="W2054" s="253"/>
    </row>
    <row r="2055" spans="6:23" ht="18.75" customHeight="1">
      <c r="F2055" s="252">
        <v>0.5</v>
      </c>
      <c r="G2055" s="252" t="s">
        <v>865</v>
      </c>
      <c r="H2055" s="296" t="s">
        <v>1893</v>
      </c>
      <c r="I2055" s="252">
        <f>(C12)</f>
        <v>651</v>
      </c>
      <c r="J2055" s="296" t="s">
        <v>1708</v>
      </c>
      <c r="K2055" s="252">
        <f t="shared" si="240"/>
        <v>325.5</v>
      </c>
      <c r="M2055" s="522"/>
      <c r="N2055" s="522"/>
      <c r="O2055" s="523" t="s">
        <v>4743</v>
      </c>
      <c r="P2055" s="526">
        <f>2*18*0.69*0.075*0.0375</f>
        <v>7.0000000000000007E-2</v>
      </c>
      <c r="Q2055" s="523"/>
      <c r="R2055" s="522"/>
      <c r="W2055" s="253"/>
    </row>
    <row r="2056" spans="6:23" ht="18.75" customHeight="1">
      <c r="G2056" s="252" t="s">
        <v>446</v>
      </c>
      <c r="H2056" s="296" t="s">
        <v>1516</v>
      </c>
      <c r="I2056" s="420">
        <v>2.79</v>
      </c>
      <c r="J2056" s="296" t="s">
        <v>446</v>
      </c>
      <c r="K2056" s="252">
        <v>2.79</v>
      </c>
      <c r="M2056" s="522"/>
      <c r="N2056" s="522"/>
      <c r="O2056" s="523"/>
      <c r="P2056" s="527">
        <f>SUM(P2054:P2055)</f>
        <v>0.13100000000000001</v>
      </c>
      <c r="Q2056" s="523"/>
      <c r="R2056" s="522"/>
      <c r="W2056" s="253"/>
    </row>
    <row r="2057" spans="6:23" ht="18.75" customHeight="1">
      <c r="H2057" s="296" t="s">
        <v>83</v>
      </c>
      <c r="M2057" s="522"/>
      <c r="N2057" s="522"/>
      <c r="O2057" s="523" t="s">
        <v>4744</v>
      </c>
      <c r="P2057" s="522"/>
      <c r="Q2057" s="523"/>
      <c r="R2057" s="522"/>
      <c r="W2057" s="253"/>
    </row>
    <row r="2058" spans="6:23" ht="18.75" customHeight="1">
      <c r="H2058" s="296" t="s">
        <v>190</v>
      </c>
      <c r="M2058" s="522"/>
      <c r="N2058" s="522"/>
      <c r="O2058" s="523" t="s">
        <v>4745</v>
      </c>
      <c r="P2058" s="526">
        <f>2*6*0.66*0.075*0.0375</f>
        <v>2.1999999999999999E-2</v>
      </c>
      <c r="Q2058" s="523"/>
      <c r="R2058" s="522"/>
      <c r="W2058" s="253"/>
    </row>
    <row r="2059" spans="6:23" ht="18.75" customHeight="1">
      <c r="H2059" s="296" t="s">
        <v>731</v>
      </c>
      <c r="J2059" s="296" t="s">
        <v>446</v>
      </c>
      <c r="K2059" s="252">
        <v>0.12</v>
      </c>
      <c r="M2059" s="522"/>
      <c r="N2059" s="522"/>
      <c r="O2059" s="523" t="s">
        <v>4746</v>
      </c>
      <c r="P2059" s="526">
        <f>2*6*0.69*0.075*0.0375</f>
        <v>2.3E-2</v>
      </c>
      <c r="Q2059" s="523"/>
      <c r="R2059" s="522"/>
      <c r="W2059" s="253"/>
    </row>
    <row r="2060" spans="6:23" ht="18.75" customHeight="1">
      <c r="K2060" s="358" t="s">
        <v>1579</v>
      </c>
      <c r="M2060" s="522"/>
      <c r="N2060" s="522"/>
      <c r="O2060" s="523"/>
      <c r="P2060" s="527">
        <f>SUM(P2058:P2059)</f>
        <v>4.4999999999999998E-2</v>
      </c>
      <c r="Q2060" s="523"/>
      <c r="R2060" s="522"/>
      <c r="W2060" s="253"/>
    </row>
    <row r="2061" spans="6:23" ht="18.75" customHeight="1">
      <c r="H2061" s="296" t="s">
        <v>1312</v>
      </c>
      <c r="K2061" s="252">
        <f>SUM(K2049:K2059)</f>
        <v>2152.66</v>
      </c>
      <c r="M2061" s="522"/>
      <c r="N2061" s="522"/>
      <c r="O2061" s="523"/>
      <c r="P2061" s="527">
        <f>P2056+P2060</f>
        <v>0.17599999999999999</v>
      </c>
      <c r="Q2061" s="523" t="s">
        <v>2142</v>
      </c>
      <c r="R2061" s="526">
        <f>P2061+P2051</f>
        <v>0.27200000000000002</v>
      </c>
      <c r="W2061" s="253"/>
    </row>
    <row r="2062" spans="6:23" ht="18.75" customHeight="1">
      <c r="K2062" s="358" t="s">
        <v>1579</v>
      </c>
      <c r="M2062" s="522"/>
      <c r="N2062" s="522"/>
      <c r="O2062" s="523" t="s">
        <v>4747</v>
      </c>
      <c r="P2062" s="522"/>
      <c r="Q2062" s="523"/>
      <c r="R2062" s="522"/>
      <c r="W2062" s="253"/>
    </row>
    <row r="2063" spans="6:23" ht="18.75" customHeight="1">
      <c r="H2063" s="296" t="s">
        <v>1538</v>
      </c>
      <c r="K2063" s="252">
        <f>(K2061/3)</f>
        <v>717.55</v>
      </c>
      <c r="M2063" s="522"/>
      <c r="N2063" s="522"/>
      <c r="O2063" s="523" t="s">
        <v>4748</v>
      </c>
      <c r="P2063" s="522">
        <f>1*18*0.54*0.45</f>
        <v>4.37</v>
      </c>
      <c r="Q2063" s="523"/>
      <c r="R2063" s="522"/>
      <c r="W2063" s="253"/>
    </row>
    <row r="2064" spans="6:23" ht="18.75" customHeight="1">
      <c r="K2064" s="358" t="s">
        <v>1579</v>
      </c>
      <c r="M2064" s="522"/>
      <c r="N2064" s="522"/>
      <c r="O2064" s="523" t="s">
        <v>4749</v>
      </c>
      <c r="P2064" s="522">
        <f>1*6*0.54*0.51</f>
        <v>1.65</v>
      </c>
      <c r="Q2064" s="523"/>
      <c r="R2064" s="522"/>
      <c r="W2064" s="253"/>
    </row>
    <row r="2065" spans="6:23" ht="18.75" customHeight="1">
      <c r="F2065" s="253" t="s">
        <v>732</v>
      </c>
      <c r="G2065" s="252" t="s">
        <v>281</v>
      </c>
      <c r="H2065" s="296" t="s">
        <v>733</v>
      </c>
      <c r="M2065" s="522"/>
      <c r="N2065" s="522"/>
      <c r="O2065" s="523"/>
      <c r="P2065" s="461">
        <f>SUM(P2063:P2064)</f>
        <v>6.02</v>
      </c>
      <c r="Q2065" s="523" t="s">
        <v>2273</v>
      </c>
      <c r="R2065" s="522"/>
      <c r="W2065" s="253"/>
    </row>
    <row r="2066" spans="6:23" ht="18.75" customHeight="1">
      <c r="H2066" s="296" t="s">
        <v>5712</v>
      </c>
      <c r="M2066" s="522"/>
      <c r="N2066" s="522"/>
      <c r="O2066" s="523"/>
      <c r="P2066" s="522"/>
      <c r="Q2066" s="523"/>
      <c r="R2066" s="522"/>
      <c r="W2066" s="253"/>
    </row>
    <row r="2067" spans="6:23" ht="18.75" customHeight="1">
      <c r="H2067" s="296" t="s">
        <v>942</v>
      </c>
      <c r="M2067" s="522"/>
      <c r="N2067" s="522"/>
      <c r="O2067" s="523" t="s">
        <v>4750</v>
      </c>
      <c r="P2067" s="522">
        <f>3.78*1.95</f>
        <v>7.37</v>
      </c>
      <c r="Q2067" s="523" t="s">
        <v>2273</v>
      </c>
      <c r="R2067" s="528" t="s">
        <v>971</v>
      </c>
      <c r="W2067" s="253"/>
    </row>
    <row r="2068" spans="6:23" ht="18.75" customHeight="1">
      <c r="H2068" s="296" t="s">
        <v>734</v>
      </c>
      <c r="M2068" s="522"/>
      <c r="N2068" s="522"/>
      <c r="O2068" s="523"/>
      <c r="P2068" s="522"/>
      <c r="Q2068" s="523"/>
      <c r="R2068" s="528"/>
      <c r="W2068" s="253"/>
    </row>
    <row r="2069" spans="6:23" ht="18.75" customHeight="1">
      <c r="H2069" s="296" t="s">
        <v>538</v>
      </c>
      <c r="M2069" s="522"/>
      <c r="N2069" s="522"/>
      <c r="O2069" s="523" t="s">
        <v>4751</v>
      </c>
      <c r="P2069" s="522">
        <f>18*2</f>
        <v>36</v>
      </c>
      <c r="Q2069" s="523" t="s">
        <v>1389</v>
      </c>
      <c r="R2069" s="528"/>
      <c r="W2069" s="253"/>
    </row>
    <row r="2070" spans="6:23" ht="18.75" customHeight="1">
      <c r="H2070" s="296" t="s">
        <v>2096</v>
      </c>
      <c r="M2070" s="522"/>
      <c r="N2070" s="522"/>
      <c r="O2070" s="523" t="s">
        <v>4752</v>
      </c>
      <c r="P2070" s="522">
        <f>18*1</f>
        <v>18</v>
      </c>
      <c r="Q2070" s="523" t="s">
        <v>1389</v>
      </c>
      <c r="R2070" s="528"/>
      <c r="W2070" s="253"/>
    </row>
    <row r="2071" spans="6:23" ht="18.75" customHeight="1">
      <c r="H2071" s="296" t="s">
        <v>198</v>
      </c>
      <c r="M2071" s="522"/>
      <c r="N2071" s="522"/>
      <c r="O2071" s="522" t="s">
        <v>4220</v>
      </c>
      <c r="P2071" s="522">
        <f>18*1</f>
        <v>18</v>
      </c>
      <c r="Q2071" s="523" t="s">
        <v>1389</v>
      </c>
      <c r="R2071" s="528"/>
      <c r="W2071" s="253"/>
    </row>
    <row r="2072" spans="6:23" ht="18.75" customHeight="1">
      <c r="H2072" s="358" t="s">
        <v>1579</v>
      </c>
      <c r="M2072" s="522"/>
      <c r="N2072" s="522"/>
      <c r="O2072" s="523" t="s">
        <v>4753</v>
      </c>
      <c r="P2072" s="522">
        <f>3.93*2.6*2.1</f>
        <v>21.46</v>
      </c>
      <c r="Q2072" s="523" t="s">
        <v>2273</v>
      </c>
      <c r="R2072" s="528"/>
      <c r="W2072" s="253"/>
    </row>
    <row r="2073" spans="6:23" ht="18.75" customHeight="1">
      <c r="F2073" s="252">
        <v>3</v>
      </c>
      <c r="G2073" s="252" t="s">
        <v>1763</v>
      </c>
      <c r="H2073" s="296" t="s">
        <v>999</v>
      </c>
      <c r="I2073" s="314">
        <f>C621</f>
        <v>115.85</v>
      </c>
      <c r="J2073" s="296" t="s">
        <v>1763</v>
      </c>
      <c r="K2073" s="252">
        <f t="shared" ref="K2073:K2079" si="241">(F2073*I2073)</f>
        <v>347.55</v>
      </c>
      <c r="M2073" s="522"/>
      <c r="N2073" s="522"/>
      <c r="O2073" s="522"/>
      <c r="P2073" s="522"/>
      <c r="Q2073" s="523"/>
      <c r="R2073" s="522"/>
      <c r="W2073" s="253"/>
    </row>
    <row r="2074" spans="6:23" ht="18.75" customHeight="1">
      <c r="F2074" s="252">
        <v>1</v>
      </c>
      <c r="G2074" s="252" t="s">
        <v>766</v>
      </c>
      <c r="H2074" s="296" t="s">
        <v>1000</v>
      </c>
      <c r="I2074" s="314">
        <f>C624</f>
        <v>45</v>
      </c>
      <c r="J2074" s="296" t="s">
        <v>1708</v>
      </c>
      <c r="K2074" s="252">
        <f t="shared" si="241"/>
        <v>45</v>
      </c>
      <c r="M2074" s="529">
        <f>P2051</f>
        <v>9.6000000000000002E-2</v>
      </c>
      <c r="N2074" s="522" t="s">
        <v>866</v>
      </c>
      <c r="O2074" s="523" t="s">
        <v>689</v>
      </c>
      <c r="P2074" s="522">
        <f>I3100</f>
        <v>111600</v>
      </c>
      <c r="Q2074" s="523" t="s">
        <v>866</v>
      </c>
      <c r="R2074" s="522">
        <f t="shared" ref="R2074:R2083" si="242">(M2074*P2074)</f>
        <v>10713.6</v>
      </c>
      <c r="W2074" s="253"/>
    </row>
    <row r="2075" spans="6:23" ht="18.75" customHeight="1">
      <c r="F2075" s="252">
        <v>1</v>
      </c>
      <c r="G2075" s="252" t="s">
        <v>766</v>
      </c>
      <c r="H2075" s="296" t="s">
        <v>1001</v>
      </c>
      <c r="I2075" s="252">
        <f>C649</f>
        <v>55.5</v>
      </c>
      <c r="J2075" s="296" t="s">
        <v>1708</v>
      </c>
      <c r="K2075" s="252">
        <f t="shared" si="241"/>
        <v>55.5</v>
      </c>
      <c r="M2075" s="529">
        <f>P2061</f>
        <v>0.17599999999999999</v>
      </c>
      <c r="N2075" s="522" t="s">
        <v>866</v>
      </c>
      <c r="O2075" s="523" t="s">
        <v>690</v>
      </c>
      <c r="P2075" s="522">
        <f t="shared" ref="P2075:P2083" si="243">I3101</f>
        <v>99400</v>
      </c>
      <c r="Q2075" s="523" t="s">
        <v>866</v>
      </c>
      <c r="R2075" s="522">
        <f t="shared" si="242"/>
        <v>17494.400000000001</v>
      </c>
      <c r="W2075" s="253"/>
    </row>
    <row r="2076" spans="6:23" ht="18.75" customHeight="1">
      <c r="F2076" s="252">
        <v>1</v>
      </c>
      <c r="G2076" s="252" t="s">
        <v>766</v>
      </c>
      <c r="H2076" s="296" t="s">
        <v>84</v>
      </c>
      <c r="I2076" s="252">
        <f>C646</f>
        <v>125.2</v>
      </c>
      <c r="J2076" s="296" t="s">
        <v>1708</v>
      </c>
      <c r="K2076" s="252">
        <f t="shared" si="241"/>
        <v>125.2</v>
      </c>
      <c r="M2076" s="529">
        <f>SUM(M2074:M2075)</f>
        <v>0.27200000000000002</v>
      </c>
      <c r="N2076" s="522" t="s">
        <v>866</v>
      </c>
      <c r="O2076" s="523" t="s">
        <v>883</v>
      </c>
      <c r="P2076" s="522">
        <f t="shared" si="243"/>
        <v>13690</v>
      </c>
      <c r="Q2076" s="523" t="s">
        <v>866</v>
      </c>
      <c r="R2076" s="522">
        <f t="shared" si="242"/>
        <v>3723.68</v>
      </c>
      <c r="W2076" s="253"/>
    </row>
    <row r="2077" spans="6:23" ht="18.75" customHeight="1">
      <c r="F2077" s="252">
        <v>0.5</v>
      </c>
      <c r="G2077" s="252" t="s">
        <v>865</v>
      </c>
      <c r="H2077" s="296" t="s">
        <v>2094</v>
      </c>
      <c r="I2077" s="252">
        <f>(C15)</f>
        <v>866</v>
      </c>
      <c r="J2077" s="296" t="s">
        <v>1708</v>
      </c>
      <c r="K2077" s="252">
        <f t="shared" si="241"/>
        <v>433</v>
      </c>
      <c r="M2077" s="529">
        <f>P2065</f>
        <v>6.02</v>
      </c>
      <c r="N2077" s="522" t="s">
        <v>606</v>
      </c>
      <c r="O2077" s="523" t="s">
        <v>4754</v>
      </c>
      <c r="P2077" s="522">
        <f t="shared" si="243"/>
        <v>387.4</v>
      </c>
      <c r="Q2077" s="523" t="s">
        <v>606</v>
      </c>
      <c r="R2077" s="522">
        <f t="shared" si="242"/>
        <v>2332.15</v>
      </c>
      <c r="W2077" s="253"/>
    </row>
    <row r="2078" spans="6:23" ht="18.75" customHeight="1">
      <c r="F2078" s="252">
        <v>0.5</v>
      </c>
      <c r="G2078" s="252" t="s">
        <v>865</v>
      </c>
      <c r="H2078" s="296" t="s">
        <v>1704</v>
      </c>
      <c r="I2078" s="252">
        <f>(C11)</f>
        <v>932</v>
      </c>
      <c r="J2078" s="296" t="s">
        <v>1708</v>
      </c>
      <c r="K2078" s="252">
        <f t="shared" si="241"/>
        <v>466</v>
      </c>
      <c r="M2078" s="529">
        <f>P2067</f>
        <v>7.37</v>
      </c>
      <c r="N2078" s="522" t="s">
        <v>606</v>
      </c>
      <c r="O2078" s="523" t="s">
        <v>1499</v>
      </c>
      <c r="P2078" s="522">
        <f t="shared" si="243"/>
        <v>1281</v>
      </c>
      <c r="Q2078" s="523" t="s">
        <v>606</v>
      </c>
      <c r="R2078" s="522">
        <f t="shared" si="242"/>
        <v>9440.9699999999993</v>
      </c>
      <c r="W2078" s="253"/>
    </row>
    <row r="2079" spans="6:23" ht="18.75" customHeight="1">
      <c r="F2079" s="252">
        <v>0.5</v>
      </c>
      <c r="G2079" s="252" t="s">
        <v>865</v>
      </c>
      <c r="H2079" s="296" t="s">
        <v>1893</v>
      </c>
      <c r="I2079" s="252">
        <f>(C12)</f>
        <v>651</v>
      </c>
      <c r="J2079" s="296" t="s">
        <v>1708</v>
      </c>
      <c r="K2079" s="252">
        <f t="shared" si="241"/>
        <v>325.5</v>
      </c>
      <c r="M2079" s="522">
        <f>P2069</f>
        <v>36</v>
      </c>
      <c r="N2079" s="522" t="s">
        <v>865</v>
      </c>
      <c r="O2079" s="523" t="s">
        <v>1338</v>
      </c>
      <c r="P2079" s="522">
        <f t="shared" si="243"/>
        <v>57</v>
      </c>
      <c r="Q2079" s="523" t="s">
        <v>865</v>
      </c>
      <c r="R2079" s="522">
        <f t="shared" si="242"/>
        <v>2052</v>
      </c>
      <c r="W2079" s="253"/>
    </row>
    <row r="2080" spans="6:23" ht="18.75" customHeight="1">
      <c r="G2080" s="252" t="s">
        <v>446</v>
      </c>
      <c r="H2080" s="296" t="s">
        <v>1516</v>
      </c>
      <c r="I2080" s="296" t="s">
        <v>971</v>
      </c>
      <c r="J2080" s="296" t="s">
        <v>446</v>
      </c>
      <c r="K2080" s="252">
        <v>2.73</v>
      </c>
      <c r="M2080" s="522">
        <f>P2070</f>
        <v>18</v>
      </c>
      <c r="N2080" s="522" t="s">
        <v>865</v>
      </c>
      <c r="O2080" s="523" t="s">
        <v>4579</v>
      </c>
      <c r="P2080" s="522">
        <f t="shared" si="243"/>
        <v>49.35</v>
      </c>
      <c r="Q2080" s="523" t="s">
        <v>865</v>
      </c>
      <c r="R2080" s="522">
        <f t="shared" si="242"/>
        <v>888.3</v>
      </c>
      <c r="W2080" s="253"/>
    </row>
    <row r="2081" spans="6:23" ht="18.75" customHeight="1">
      <c r="H2081" s="296" t="s">
        <v>83</v>
      </c>
      <c r="M2081" s="522">
        <f>P2071</f>
        <v>18</v>
      </c>
      <c r="N2081" s="522" t="s">
        <v>865</v>
      </c>
      <c r="O2081" s="522" t="s">
        <v>4755</v>
      </c>
      <c r="P2081" s="522">
        <f t="shared" si="243"/>
        <v>60.9</v>
      </c>
      <c r="Q2081" s="523" t="s">
        <v>865</v>
      </c>
      <c r="R2081" s="522">
        <f t="shared" si="242"/>
        <v>1096.2</v>
      </c>
      <c r="W2081" s="253"/>
    </row>
    <row r="2082" spans="6:23" ht="18.75" customHeight="1">
      <c r="H2082" s="296" t="s">
        <v>190</v>
      </c>
      <c r="M2082" s="522">
        <f>P2072</f>
        <v>21.46</v>
      </c>
      <c r="N2082" s="522" t="s">
        <v>606</v>
      </c>
      <c r="O2082" s="523" t="s">
        <v>4756</v>
      </c>
      <c r="P2082" s="522">
        <f t="shared" si="243"/>
        <v>63.2</v>
      </c>
      <c r="Q2082" s="523" t="s">
        <v>606</v>
      </c>
      <c r="R2082" s="522">
        <f t="shared" si="242"/>
        <v>1356.27</v>
      </c>
      <c r="W2082" s="253"/>
    </row>
    <row r="2083" spans="6:23" ht="18.75" customHeight="1">
      <c r="H2083" s="296" t="s">
        <v>731</v>
      </c>
      <c r="J2083" s="296" t="s">
        <v>446</v>
      </c>
      <c r="K2083" s="252">
        <v>0.27</v>
      </c>
      <c r="M2083" s="522">
        <v>50</v>
      </c>
      <c r="N2083" s="522" t="s">
        <v>1427</v>
      </c>
      <c r="O2083" s="523" t="s">
        <v>1409</v>
      </c>
      <c r="P2083" s="522">
        <f t="shared" si="243"/>
        <v>233.74</v>
      </c>
      <c r="Q2083" s="523" t="s">
        <v>865</v>
      </c>
      <c r="R2083" s="522">
        <f t="shared" si="242"/>
        <v>11687</v>
      </c>
      <c r="W2083" s="253"/>
    </row>
    <row r="2084" spans="6:23" ht="18.75" customHeight="1">
      <c r="K2084" s="358" t="s">
        <v>1579</v>
      </c>
      <c r="M2084" s="522"/>
      <c r="N2084" s="522"/>
      <c r="O2084" s="522"/>
      <c r="P2084" s="522"/>
      <c r="Q2084" s="523"/>
      <c r="R2084" s="524" t="s">
        <v>1579</v>
      </c>
      <c r="W2084" s="253"/>
    </row>
    <row r="2085" spans="6:23" ht="18.75" customHeight="1">
      <c r="H2085" s="296" t="s">
        <v>1312</v>
      </c>
      <c r="K2085" s="252">
        <f>SUM(K2073:K2083)</f>
        <v>1800.75</v>
      </c>
      <c r="M2085" s="522"/>
      <c r="N2085" s="522"/>
      <c r="O2085" s="530" t="s">
        <v>1410</v>
      </c>
      <c r="P2085" s="522"/>
      <c r="Q2085" s="523"/>
      <c r="R2085" s="522">
        <f>SUM(R2074:R2083)</f>
        <v>60784.57</v>
      </c>
      <c r="W2085" s="253"/>
    </row>
    <row r="2086" spans="6:23" ht="18.75" customHeight="1">
      <c r="K2086" s="358" t="s">
        <v>1579</v>
      </c>
      <c r="M2086" s="522"/>
      <c r="N2086" s="522" t="s">
        <v>971</v>
      </c>
      <c r="O2086" s="522"/>
      <c r="P2086" s="522"/>
      <c r="Q2086" s="523"/>
      <c r="R2086" s="524" t="s">
        <v>1579</v>
      </c>
      <c r="W2086" s="253"/>
    </row>
    <row r="2087" spans="6:23" ht="18.75" customHeight="1">
      <c r="H2087" s="296" t="s">
        <v>1538</v>
      </c>
      <c r="K2087" s="252">
        <f>(K2085/3)</f>
        <v>600.25</v>
      </c>
      <c r="M2087" s="522"/>
      <c r="N2087" s="522"/>
      <c r="O2087" s="479" t="s">
        <v>549</v>
      </c>
      <c r="P2087" s="522"/>
      <c r="Q2087" s="523"/>
      <c r="R2087" s="461">
        <f>R2085/P2047</f>
        <v>7367.83</v>
      </c>
      <c r="W2087" s="253"/>
    </row>
    <row r="2088" spans="6:23" ht="18.75" customHeight="1">
      <c r="K2088" s="358" t="s">
        <v>1579</v>
      </c>
      <c r="M2088" s="522"/>
      <c r="N2088" s="522"/>
      <c r="O2088" s="522"/>
      <c r="P2088" s="522"/>
      <c r="Q2088" s="523"/>
      <c r="R2088" s="524" t="s">
        <v>2046</v>
      </c>
      <c r="W2088" s="253"/>
    </row>
    <row r="2089" spans="6:23" ht="18.75" customHeight="1">
      <c r="F2089" s="253" t="s">
        <v>85</v>
      </c>
      <c r="H2089" s="296" t="s">
        <v>205</v>
      </c>
      <c r="M2089" s="522"/>
      <c r="N2089" s="522"/>
      <c r="O2089" s="522"/>
      <c r="P2089" s="522"/>
      <c r="Q2089" s="522"/>
      <c r="R2089" s="522"/>
      <c r="W2089" s="253"/>
    </row>
    <row r="2090" spans="6:23" ht="18.75" customHeight="1">
      <c r="H2090" s="296" t="s">
        <v>1811</v>
      </c>
      <c r="W2090" s="253"/>
    </row>
    <row r="2091" spans="6:23" ht="18.75" customHeight="1">
      <c r="F2091" s="296" t="s">
        <v>971</v>
      </c>
      <c r="H2091" s="296" t="s">
        <v>2185</v>
      </c>
      <c r="W2091" s="253"/>
    </row>
    <row r="2092" spans="6:23" ht="18.75" customHeight="1">
      <c r="H2092" s="358" t="s">
        <v>1579</v>
      </c>
      <c r="M2092" s="268"/>
      <c r="N2092" s="268"/>
      <c r="O2092" s="268" t="s">
        <v>4757</v>
      </c>
      <c r="P2092" s="268"/>
      <c r="Q2092" s="268"/>
      <c r="R2092" s="268"/>
      <c r="W2092" s="253"/>
    </row>
    <row r="2093" spans="6:23" ht="18.75" customHeight="1">
      <c r="F2093" s="252">
        <v>3</v>
      </c>
      <c r="G2093" s="252" t="s">
        <v>2186</v>
      </c>
      <c r="H2093" s="296" t="s">
        <v>2187</v>
      </c>
      <c r="I2093" s="314">
        <f>D620</f>
        <v>120.54</v>
      </c>
      <c r="J2093" s="296" t="s">
        <v>2186</v>
      </c>
      <c r="K2093" s="252">
        <f>(F2093*I2093)</f>
        <v>361.62</v>
      </c>
      <c r="M2093" s="531">
        <v>8.5000000000000006E-2</v>
      </c>
      <c r="N2093" s="268" t="s">
        <v>2142</v>
      </c>
      <c r="O2093" s="268" t="s">
        <v>4758</v>
      </c>
      <c r="P2093" s="268">
        <f>Z718</f>
        <v>8125.18</v>
      </c>
      <c r="Q2093" s="268" t="s">
        <v>1393</v>
      </c>
      <c r="R2093" s="268">
        <f>M2093*P2093</f>
        <v>690.64</v>
      </c>
      <c r="W2093" s="253"/>
    </row>
    <row r="2094" spans="6:23" ht="18.75" customHeight="1">
      <c r="F2094" s="252">
        <v>1</v>
      </c>
      <c r="G2094" s="252" t="s">
        <v>1752</v>
      </c>
      <c r="H2094" s="296" t="s">
        <v>2188</v>
      </c>
      <c r="I2094" s="252">
        <f>C648</f>
        <v>82.3</v>
      </c>
      <c r="J2094" s="296" t="s">
        <v>1752</v>
      </c>
      <c r="K2094" s="252">
        <f>(F2094*I2094)</f>
        <v>82.3</v>
      </c>
      <c r="M2094" s="268">
        <v>8.5</v>
      </c>
      <c r="N2094" s="268" t="s">
        <v>1637</v>
      </c>
      <c r="O2094" s="268" t="s">
        <v>4759</v>
      </c>
      <c r="P2094" s="268">
        <f>K1608/1000</f>
        <v>88.87</v>
      </c>
      <c r="Q2094" s="268" t="s">
        <v>1637</v>
      </c>
      <c r="R2094" s="268">
        <f>M2094*P2094</f>
        <v>755.4</v>
      </c>
      <c r="W2094" s="253"/>
    </row>
    <row r="2095" spans="6:23" ht="18.75" customHeight="1">
      <c r="F2095" s="252">
        <v>1</v>
      </c>
      <c r="G2095" s="252" t="s">
        <v>1752</v>
      </c>
      <c r="H2095" s="296" t="s">
        <v>2189</v>
      </c>
      <c r="I2095" s="252">
        <v>8</v>
      </c>
      <c r="J2095" s="296" t="s">
        <v>1752</v>
      </c>
      <c r="K2095" s="252">
        <f>(F2095*I2095)</f>
        <v>8</v>
      </c>
      <c r="M2095" s="268"/>
      <c r="N2095" s="268"/>
      <c r="O2095" s="268" t="s">
        <v>2261</v>
      </c>
      <c r="P2095" s="268"/>
      <c r="Q2095" s="268"/>
      <c r="R2095" s="532" t="s">
        <v>1579</v>
      </c>
      <c r="W2095" s="253"/>
    </row>
    <row r="2096" spans="6:23" ht="18.75" customHeight="1">
      <c r="F2096" s="253" t="s">
        <v>730</v>
      </c>
      <c r="H2096" s="296" t="s">
        <v>2190</v>
      </c>
      <c r="I2096" s="253" t="s">
        <v>730</v>
      </c>
      <c r="K2096" s="252">
        <f>1.21+0.47+0.4</f>
        <v>2.08</v>
      </c>
      <c r="M2096" s="268"/>
      <c r="N2096" s="268"/>
      <c r="O2096" s="268"/>
      <c r="P2096" s="268"/>
      <c r="Q2096" s="268"/>
      <c r="R2096" s="268">
        <f>SUM(R2093:R2095)</f>
        <v>1446.04</v>
      </c>
      <c r="W2096" s="253"/>
    </row>
    <row r="2097" spans="6:23" ht="18.75" customHeight="1">
      <c r="K2097" s="358" t="s">
        <v>1579</v>
      </c>
      <c r="W2097" s="253"/>
    </row>
    <row r="2098" spans="6:23" ht="18.75" customHeight="1">
      <c r="H2098" s="296" t="s">
        <v>393</v>
      </c>
      <c r="K2098" s="252">
        <f>SUM(K2093:K2096)</f>
        <v>454</v>
      </c>
      <c r="M2098" s="268"/>
      <c r="N2098" s="268"/>
      <c r="O2098" s="268" t="s">
        <v>4757</v>
      </c>
      <c r="P2098" s="268"/>
      <c r="Q2098" s="268"/>
      <c r="R2098" s="268"/>
      <c r="W2098" s="253"/>
    </row>
    <row r="2099" spans="6:23" ht="18.75" customHeight="1">
      <c r="K2099" s="358" t="s">
        <v>1579</v>
      </c>
      <c r="M2099" s="531">
        <v>4.4999999999999998E-2</v>
      </c>
      <c r="N2099" s="268" t="s">
        <v>2142</v>
      </c>
      <c r="O2099" s="268" t="s">
        <v>4761</v>
      </c>
      <c r="P2099" s="268">
        <f>P2093</f>
        <v>8125.18</v>
      </c>
      <c r="Q2099" s="268" t="s">
        <v>1393</v>
      </c>
      <c r="R2099" s="268">
        <f>M2099*P2099</f>
        <v>365.63</v>
      </c>
      <c r="W2099" s="253"/>
    </row>
    <row r="2100" spans="6:23" ht="18.75" customHeight="1">
      <c r="M2100" s="268">
        <v>4.5</v>
      </c>
      <c r="N2100" s="268" t="s">
        <v>1637</v>
      </c>
      <c r="O2100" s="268" t="s">
        <v>4759</v>
      </c>
      <c r="P2100" s="268">
        <f>P2094</f>
        <v>88.87</v>
      </c>
      <c r="Q2100" s="268" t="s">
        <v>1637</v>
      </c>
      <c r="R2100" s="268">
        <f>M2100*P2100</f>
        <v>399.92</v>
      </c>
      <c r="W2100" s="253"/>
    </row>
    <row r="2101" spans="6:23" ht="18.75" customHeight="1">
      <c r="F2101" s="253" t="s">
        <v>394</v>
      </c>
      <c r="G2101" s="252" t="s">
        <v>2241</v>
      </c>
      <c r="H2101" s="296" t="s">
        <v>1129</v>
      </c>
      <c r="M2101" s="268"/>
      <c r="N2101" s="268"/>
      <c r="O2101" s="268" t="s">
        <v>2261</v>
      </c>
      <c r="P2101" s="268"/>
      <c r="Q2101" s="268"/>
      <c r="R2101" s="532" t="s">
        <v>1579</v>
      </c>
      <c r="W2101" s="253"/>
    </row>
    <row r="2102" spans="6:23" ht="18.75" customHeight="1">
      <c r="H2102" s="296" t="s">
        <v>291</v>
      </c>
      <c r="M2102" s="268"/>
      <c r="N2102" s="268"/>
      <c r="O2102" s="268"/>
      <c r="P2102" s="268"/>
      <c r="Q2102" s="268"/>
      <c r="R2102" s="268">
        <f>SUM(R2099:R2101)</f>
        <v>765.55</v>
      </c>
      <c r="W2102" s="253"/>
    </row>
    <row r="2103" spans="6:23" ht="18.75" customHeight="1">
      <c r="H2103" s="358" t="s">
        <v>1579</v>
      </c>
      <c r="W2103" s="253"/>
    </row>
    <row r="2104" spans="6:23" ht="18.75" customHeight="1">
      <c r="F2104" s="252">
        <v>1</v>
      </c>
      <c r="G2104" s="252" t="s">
        <v>865</v>
      </c>
      <c r="H2104" s="296" t="s">
        <v>291</v>
      </c>
      <c r="I2104" s="252">
        <f>(C266)</f>
        <v>170.35</v>
      </c>
      <c r="J2104" s="296" t="s">
        <v>865</v>
      </c>
      <c r="K2104" s="252">
        <f>(F2104*I2104)</f>
        <v>170.35</v>
      </c>
      <c r="W2104" s="253"/>
    </row>
    <row r="2105" spans="6:23" ht="18.75" customHeight="1">
      <c r="F2105" s="252">
        <v>0.05</v>
      </c>
      <c r="G2105" s="252" t="s">
        <v>866</v>
      </c>
      <c r="H2105" s="296" t="s">
        <v>1171</v>
      </c>
      <c r="I2105" s="252">
        <f>(R60)</f>
        <v>4094.04</v>
      </c>
      <c r="J2105" s="296" t="s">
        <v>866</v>
      </c>
      <c r="K2105" s="252">
        <f>(F2105*I2105)</f>
        <v>204.7</v>
      </c>
      <c r="M2105" s="268"/>
      <c r="N2105" s="268"/>
      <c r="O2105" s="268" t="s">
        <v>4760</v>
      </c>
      <c r="P2105" s="268"/>
      <c r="Q2105" s="268"/>
      <c r="R2105" s="268"/>
      <c r="W2105" s="253"/>
    </row>
    <row r="2106" spans="6:23" ht="18.75" customHeight="1">
      <c r="F2106" s="252">
        <v>0.5</v>
      </c>
      <c r="G2106" s="252" t="s">
        <v>865</v>
      </c>
      <c r="H2106" s="296" t="s">
        <v>2094</v>
      </c>
      <c r="I2106" s="252">
        <f>(C15)</f>
        <v>866</v>
      </c>
      <c r="J2106" s="296" t="s">
        <v>865</v>
      </c>
      <c r="K2106" s="252">
        <f>(F2106*I2106)</f>
        <v>433</v>
      </c>
      <c r="M2106" s="531">
        <v>8.5000000000000006E-2</v>
      </c>
      <c r="N2106" s="268" t="s">
        <v>2142</v>
      </c>
      <c r="O2106" s="268" t="s">
        <v>4758</v>
      </c>
      <c r="P2106" s="268">
        <f>Z718</f>
        <v>8125.18</v>
      </c>
      <c r="Q2106" s="268" t="s">
        <v>1393</v>
      </c>
      <c r="R2106" s="268">
        <f>M2106*P2106</f>
        <v>690.64</v>
      </c>
      <c r="W2106" s="253"/>
    </row>
    <row r="2107" spans="6:23" ht="18.75" customHeight="1">
      <c r="F2107" s="252">
        <v>1</v>
      </c>
      <c r="G2107" s="252" t="s">
        <v>865</v>
      </c>
      <c r="H2107" s="296" t="s">
        <v>1893</v>
      </c>
      <c r="I2107" s="252">
        <f>(C12)</f>
        <v>651</v>
      </c>
      <c r="J2107" s="296" t="s">
        <v>865</v>
      </c>
      <c r="K2107" s="252">
        <f>(F2107*I2107)</f>
        <v>651</v>
      </c>
      <c r="M2107" s="268">
        <v>8.5</v>
      </c>
      <c r="N2107" s="268" t="s">
        <v>1637</v>
      </c>
      <c r="O2107" s="268" t="s">
        <v>4759</v>
      </c>
      <c r="P2107" s="268">
        <f>P2100</f>
        <v>88.87</v>
      </c>
      <c r="Q2107" s="268" t="s">
        <v>1637</v>
      </c>
      <c r="R2107" s="268">
        <f>M2107*P2107</f>
        <v>755.4</v>
      </c>
      <c r="W2107" s="253"/>
    </row>
    <row r="2108" spans="6:23" ht="18.75" customHeight="1">
      <c r="F2108" s="252">
        <v>1</v>
      </c>
      <c r="G2108" s="252" t="s">
        <v>865</v>
      </c>
      <c r="H2108" s="296" t="s">
        <v>317</v>
      </c>
      <c r="I2108" s="252">
        <f>(C13)</f>
        <v>534</v>
      </c>
      <c r="J2108" s="296" t="s">
        <v>865</v>
      </c>
      <c r="K2108" s="252">
        <f>(F2108*I2108)</f>
        <v>534</v>
      </c>
      <c r="M2108" s="268"/>
      <c r="N2108" s="268"/>
      <c r="O2108" s="268" t="s">
        <v>2261</v>
      </c>
      <c r="P2108" s="268"/>
      <c r="Q2108" s="268"/>
      <c r="R2108" s="532" t="s">
        <v>1579</v>
      </c>
      <c r="W2108" s="253"/>
    </row>
    <row r="2109" spans="6:23" ht="18.75" customHeight="1">
      <c r="G2109" s="252" t="s">
        <v>446</v>
      </c>
      <c r="H2109" s="296" t="s">
        <v>447</v>
      </c>
      <c r="I2109" s="296" t="s">
        <v>971</v>
      </c>
      <c r="J2109" s="296" t="s">
        <v>446</v>
      </c>
      <c r="K2109" s="252">
        <v>0.54</v>
      </c>
      <c r="M2109" s="268"/>
      <c r="N2109" s="268"/>
      <c r="O2109" s="268"/>
      <c r="P2109" s="268"/>
      <c r="Q2109" s="268"/>
      <c r="R2109" s="268">
        <f>SUM(R2106:R2108)</f>
        <v>1446.04</v>
      </c>
      <c r="W2109" s="253"/>
    </row>
    <row r="2110" spans="6:23" ht="18.75" customHeight="1">
      <c r="H2110" s="296" t="s">
        <v>971</v>
      </c>
      <c r="K2110" s="358" t="s">
        <v>1579</v>
      </c>
      <c r="W2110" s="253"/>
    </row>
    <row r="2111" spans="6:23" ht="18.75" customHeight="1">
      <c r="H2111" s="296" t="s">
        <v>1743</v>
      </c>
      <c r="K2111" s="252">
        <f>SUM(K2104:K2109)</f>
        <v>1993.59</v>
      </c>
      <c r="W2111" s="253"/>
    </row>
    <row r="2112" spans="6:23" ht="18.75" customHeight="1">
      <c r="K2112" s="358" t="s">
        <v>2046</v>
      </c>
      <c r="M2112" s="268"/>
      <c r="N2112" s="268"/>
      <c r="O2112" s="268" t="s">
        <v>4760</v>
      </c>
      <c r="P2112" s="268"/>
      <c r="Q2112" s="268"/>
      <c r="R2112" s="268"/>
      <c r="W2112" s="253"/>
    </row>
    <row r="2113" spans="6:23" ht="18.75" customHeight="1">
      <c r="F2113" s="253" t="s">
        <v>1172</v>
      </c>
      <c r="G2113" s="252" t="s">
        <v>2241</v>
      </c>
      <c r="H2113" s="296" t="s">
        <v>2215</v>
      </c>
      <c r="M2113" s="531">
        <v>8.5000000000000006E-2</v>
      </c>
      <c r="N2113" s="268" t="s">
        <v>2142</v>
      </c>
      <c r="O2113" s="268" t="s">
        <v>4758</v>
      </c>
      <c r="P2113" s="268">
        <f>Z725</f>
        <v>0</v>
      </c>
      <c r="Q2113" s="268" t="s">
        <v>1393</v>
      </c>
      <c r="R2113" s="268">
        <f>M2113*P2113</f>
        <v>0</v>
      </c>
      <c r="W2113" s="253"/>
    </row>
    <row r="2114" spans="6:23" ht="18.75" customHeight="1">
      <c r="H2114" s="296" t="s">
        <v>2111</v>
      </c>
      <c r="M2114" s="268">
        <v>8.5</v>
      </c>
      <c r="N2114" s="268" t="s">
        <v>1637</v>
      </c>
      <c r="O2114" s="268" t="s">
        <v>4759</v>
      </c>
      <c r="P2114" s="268">
        <f>P2107</f>
        <v>88.87</v>
      </c>
      <c r="Q2114" s="268" t="s">
        <v>1637</v>
      </c>
      <c r="R2114" s="268">
        <f>M2114*P2114</f>
        <v>755.4</v>
      </c>
      <c r="W2114" s="253"/>
    </row>
    <row r="2115" spans="6:23" ht="18.75" customHeight="1">
      <c r="H2115" s="358" t="s">
        <v>1579</v>
      </c>
      <c r="M2115" s="268"/>
      <c r="N2115" s="268"/>
      <c r="O2115" s="268" t="s">
        <v>2261</v>
      </c>
      <c r="P2115" s="268"/>
      <c r="Q2115" s="268"/>
      <c r="R2115" s="532" t="s">
        <v>1579</v>
      </c>
      <c r="W2115" s="253"/>
    </row>
    <row r="2116" spans="6:23" ht="18.75" customHeight="1">
      <c r="F2116" s="252">
        <v>1</v>
      </c>
      <c r="G2116" s="252" t="s">
        <v>865</v>
      </c>
      <c r="H2116" s="296" t="s">
        <v>2216</v>
      </c>
      <c r="I2116" s="252">
        <f>(D267)</f>
        <v>156</v>
      </c>
      <c r="J2116" s="296" t="s">
        <v>865</v>
      </c>
      <c r="K2116" s="252">
        <f>(F2116*I2116)</f>
        <v>156</v>
      </c>
      <c r="M2116" s="268"/>
      <c r="N2116" s="268"/>
      <c r="O2116" s="268"/>
      <c r="P2116" s="268"/>
      <c r="Q2116" s="268"/>
      <c r="R2116" s="268">
        <f>SUM(R2113:R2115)</f>
        <v>755.4</v>
      </c>
      <c r="W2116" s="253"/>
    </row>
    <row r="2117" spans="6:23" ht="18.75" customHeight="1">
      <c r="G2117" s="252" t="s">
        <v>446</v>
      </c>
      <c r="H2117" s="296" t="s">
        <v>1678</v>
      </c>
      <c r="J2117" s="296" t="s">
        <v>446</v>
      </c>
      <c r="K2117" s="252">
        <v>4</v>
      </c>
      <c r="W2117" s="253"/>
    </row>
    <row r="2118" spans="6:23" ht="18.75" customHeight="1">
      <c r="J2118" s="296" t="s">
        <v>971</v>
      </c>
      <c r="K2118" s="358" t="s">
        <v>1579</v>
      </c>
      <c r="W2118" s="253"/>
    </row>
    <row r="2119" spans="6:23" ht="18.75" customHeight="1">
      <c r="H2119" s="296" t="s">
        <v>1743</v>
      </c>
      <c r="K2119" s="252">
        <f>SUM(K2116:K2118)</f>
        <v>160</v>
      </c>
      <c r="W2119" s="253"/>
    </row>
    <row r="2120" spans="6:23" ht="18.75" customHeight="1">
      <c r="K2120" s="358" t="s">
        <v>1579</v>
      </c>
      <c r="W2120" s="253"/>
    </row>
    <row r="2121" spans="6:23" ht="18.75" customHeight="1">
      <c r="F2121" s="253" t="s">
        <v>1679</v>
      </c>
      <c r="G2121" s="252" t="s">
        <v>2241</v>
      </c>
      <c r="H2121" s="296" t="s">
        <v>51</v>
      </c>
      <c r="W2121" s="253"/>
    </row>
    <row r="2122" spans="6:23" ht="18.75" customHeight="1">
      <c r="H2122" s="296" t="s">
        <v>52</v>
      </c>
      <c r="W2122" s="253"/>
    </row>
    <row r="2123" spans="6:23" ht="18.75" customHeight="1">
      <c r="H2123" s="358" t="s">
        <v>1579</v>
      </c>
      <c r="W2123" s="253"/>
    </row>
    <row r="2124" spans="6:23" ht="18.75" customHeight="1">
      <c r="F2124" s="252">
        <v>50</v>
      </c>
      <c r="G2124" s="252" t="s">
        <v>865</v>
      </c>
      <c r="H2124" s="296" t="s">
        <v>787</v>
      </c>
      <c r="I2124" s="252">
        <f>C204</f>
        <v>63.4</v>
      </c>
      <c r="J2124" s="296" t="s">
        <v>865</v>
      </c>
      <c r="K2124" s="252">
        <f t="shared" ref="K2124:K2133" si="244">(F2124*I2124)</f>
        <v>3170</v>
      </c>
      <c r="W2124" s="253"/>
    </row>
    <row r="2125" spans="6:23" ht="18.75" customHeight="1">
      <c r="F2125" s="252">
        <v>21.6</v>
      </c>
      <c r="G2125" s="252" t="s">
        <v>866</v>
      </c>
      <c r="H2125" s="296" t="s">
        <v>788</v>
      </c>
      <c r="I2125" s="252">
        <f>(C61*2)</f>
        <v>224.1</v>
      </c>
      <c r="J2125" s="296" t="s">
        <v>866</v>
      </c>
      <c r="K2125" s="252">
        <f t="shared" si="244"/>
        <v>4840.5600000000004</v>
      </c>
      <c r="W2125" s="253"/>
    </row>
    <row r="2126" spans="6:23" ht="18.75" customHeight="1">
      <c r="F2126" s="252">
        <v>21.6</v>
      </c>
      <c r="G2126" s="252" t="s">
        <v>866</v>
      </c>
      <c r="H2126" s="296" t="s">
        <v>248</v>
      </c>
      <c r="I2126" s="252">
        <f>(C26)</f>
        <v>38.950000000000003</v>
      </c>
      <c r="J2126" s="296" t="s">
        <v>866</v>
      </c>
      <c r="K2126" s="252">
        <f t="shared" si="244"/>
        <v>841.32</v>
      </c>
      <c r="W2126" s="253"/>
    </row>
    <row r="2127" spans="6:23" ht="18.75" customHeight="1">
      <c r="F2127" s="252">
        <v>45</v>
      </c>
      <c r="G2127" s="252" t="s">
        <v>1637</v>
      </c>
      <c r="H2127" s="296" t="s">
        <v>859</v>
      </c>
      <c r="I2127" s="252">
        <f>(C67/1000)</f>
        <v>6.04</v>
      </c>
      <c r="J2127" s="296" t="s">
        <v>1637</v>
      </c>
      <c r="K2127" s="252">
        <f t="shared" si="244"/>
        <v>271.8</v>
      </c>
      <c r="W2127" s="253"/>
    </row>
    <row r="2128" spans="6:23" ht="18.75" customHeight="1">
      <c r="F2128" s="252">
        <v>0.04</v>
      </c>
      <c r="G2128" s="252" t="s">
        <v>866</v>
      </c>
      <c r="H2128" s="296" t="s">
        <v>867</v>
      </c>
      <c r="I2128" s="252">
        <f>(C78)</f>
        <v>1846.1</v>
      </c>
      <c r="J2128" s="296" t="s">
        <v>866</v>
      </c>
      <c r="K2128" s="252">
        <f t="shared" si="244"/>
        <v>73.84</v>
      </c>
      <c r="W2128" s="253"/>
    </row>
    <row r="2129" spans="6:23" ht="18.75" customHeight="1">
      <c r="F2129" s="252">
        <v>3.63</v>
      </c>
      <c r="G2129" s="252" t="s">
        <v>1637</v>
      </c>
      <c r="H2129" s="296" t="s">
        <v>789</v>
      </c>
      <c r="I2129" s="252">
        <f>(C607)</f>
        <v>11.8</v>
      </c>
      <c r="J2129" s="296" t="s">
        <v>1637</v>
      </c>
      <c r="K2129" s="252">
        <f t="shared" si="244"/>
        <v>42.83</v>
      </c>
      <c r="W2129" s="253"/>
    </row>
    <row r="2130" spans="6:23" ht="18.75" customHeight="1">
      <c r="F2130" s="252">
        <v>2</v>
      </c>
      <c r="G2130" s="252" t="s">
        <v>865</v>
      </c>
      <c r="H2130" s="296" t="s">
        <v>2000</v>
      </c>
      <c r="I2130" s="252">
        <f>(C10)</f>
        <v>999</v>
      </c>
      <c r="J2130" s="296" t="s">
        <v>865</v>
      </c>
      <c r="K2130" s="252">
        <f t="shared" si="244"/>
        <v>1998</v>
      </c>
      <c r="W2130" s="253"/>
    </row>
    <row r="2131" spans="6:23" ht="18.75" customHeight="1">
      <c r="F2131" s="252">
        <v>1</v>
      </c>
      <c r="G2131" s="252" t="s">
        <v>865</v>
      </c>
      <c r="H2131" s="296" t="s">
        <v>790</v>
      </c>
      <c r="I2131" s="252">
        <f>AE37</f>
        <v>839</v>
      </c>
      <c r="J2131" s="296" t="s">
        <v>865</v>
      </c>
      <c r="K2131" s="252">
        <f t="shared" si="244"/>
        <v>839</v>
      </c>
      <c r="W2131" s="253"/>
    </row>
    <row r="2132" spans="6:23" ht="18.75" customHeight="1">
      <c r="F2132" s="252">
        <v>5</v>
      </c>
      <c r="G2132" s="252" t="s">
        <v>865</v>
      </c>
      <c r="H2132" s="296" t="s">
        <v>1893</v>
      </c>
      <c r="I2132" s="252">
        <f>(C12)</f>
        <v>651</v>
      </c>
      <c r="J2132" s="296" t="s">
        <v>865</v>
      </c>
      <c r="K2132" s="252">
        <f t="shared" si="244"/>
        <v>3255</v>
      </c>
      <c r="W2132" s="253"/>
    </row>
    <row r="2133" spans="6:23" ht="18.75" customHeight="1">
      <c r="F2133" s="252">
        <v>2</v>
      </c>
      <c r="G2133" s="252" t="s">
        <v>865</v>
      </c>
      <c r="H2133" s="296" t="s">
        <v>317</v>
      </c>
      <c r="I2133" s="252">
        <f>(C13)</f>
        <v>534</v>
      </c>
      <c r="J2133" s="296" t="s">
        <v>865</v>
      </c>
      <c r="K2133" s="252">
        <f t="shared" si="244"/>
        <v>1068</v>
      </c>
      <c r="W2133" s="253"/>
    </row>
    <row r="2134" spans="6:23" ht="18.75" customHeight="1">
      <c r="G2134" s="252" t="s">
        <v>446</v>
      </c>
      <c r="H2134" s="296" t="s">
        <v>2127</v>
      </c>
      <c r="J2134" s="296" t="s">
        <v>446</v>
      </c>
      <c r="K2134" s="252">
        <f>SUM(K2130:K2133)/10+7.5</f>
        <v>723.5</v>
      </c>
      <c r="W2134" s="253"/>
    </row>
    <row r="2135" spans="6:23" ht="18.75" customHeight="1">
      <c r="K2135" s="358" t="s">
        <v>1579</v>
      </c>
      <c r="W2135" s="253"/>
    </row>
    <row r="2136" spans="6:23" ht="18.75" customHeight="1">
      <c r="H2136" s="296" t="s">
        <v>2128</v>
      </c>
      <c r="K2136" s="252">
        <f>SUM(K2124:K2134)</f>
        <v>17123.849999999999</v>
      </c>
      <c r="W2136" s="253"/>
    </row>
    <row r="2137" spans="6:23" ht="18.75" customHeight="1">
      <c r="K2137" s="358" t="s">
        <v>1579</v>
      </c>
      <c r="W2137" s="253"/>
    </row>
    <row r="2138" spans="6:23" ht="18.75" customHeight="1">
      <c r="H2138" s="296" t="s">
        <v>1119</v>
      </c>
      <c r="K2138" s="252">
        <f>(K2136/30)</f>
        <v>570.79999999999995</v>
      </c>
      <c r="W2138" s="253"/>
    </row>
    <row r="2139" spans="6:23" ht="18.75" customHeight="1">
      <c r="K2139" s="358" t="s">
        <v>2046</v>
      </c>
      <c r="W2139" s="253"/>
    </row>
    <row r="2140" spans="6:23" ht="18.75" customHeight="1">
      <c r="W2140" s="253"/>
    </row>
    <row r="2141" spans="6:23" ht="18.75" customHeight="1">
      <c r="F2141" s="253" t="s">
        <v>1120</v>
      </c>
      <c r="G2141" s="252" t="s">
        <v>2241</v>
      </c>
      <c r="H2141" s="296" t="s">
        <v>1015</v>
      </c>
      <c r="W2141" s="253"/>
    </row>
    <row r="2142" spans="6:23" ht="18.75" customHeight="1">
      <c r="H2142" s="296" t="s">
        <v>52</v>
      </c>
      <c r="W2142" s="253"/>
    </row>
    <row r="2143" spans="6:23" ht="18.75" customHeight="1">
      <c r="H2143" s="358" t="s">
        <v>1579</v>
      </c>
      <c r="W2143" s="253"/>
    </row>
    <row r="2144" spans="6:23" ht="18.75" customHeight="1">
      <c r="F2144" s="252">
        <v>50</v>
      </c>
      <c r="G2144" s="252" t="s">
        <v>865</v>
      </c>
      <c r="H2144" s="296" t="s">
        <v>565</v>
      </c>
      <c r="I2144" s="252">
        <f>C205</f>
        <v>102</v>
      </c>
      <c r="J2144" s="296" t="s">
        <v>865</v>
      </c>
      <c r="K2144" s="252">
        <f t="shared" ref="K2144:K2153" si="245">(F2144*I2144)</f>
        <v>5100</v>
      </c>
      <c r="W2144" s="253"/>
    </row>
    <row r="2145" spans="6:23" ht="18.75" customHeight="1">
      <c r="F2145" s="252">
        <v>21.6</v>
      </c>
      <c r="G2145" s="252" t="s">
        <v>866</v>
      </c>
      <c r="H2145" s="296" t="s">
        <v>788</v>
      </c>
      <c r="I2145" s="252">
        <f>(C61*2)</f>
        <v>224.1</v>
      </c>
      <c r="J2145" s="296" t="s">
        <v>866</v>
      </c>
      <c r="K2145" s="252">
        <f t="shared" si="245"/>
        <v>4840.5600000000004</v>
      </c>
      <c r="W2145" s="253"/>
    </row>
    <row r="2146" spans="6:23" ht="18.75" customHeight="1">
      <c r="F2146" s="252">
        <v>21.6</v>
      </c>
      <c r="G2146" s="252" t="s">
        <v>866</v>
      </c>
      <c r="H2146" s="296" t="s">
        <v>248</v>
      </c>
      <c r="I2146" s="252">
        <f>(C26)</f>
        <v>38.950000000000003</v>
      </c>
      <c r="J2146" s="296" t="s">
        <v>866</v>
      </c>
      <c r="K2146" s="252">
        <f t="shared" si="245"/>
        <v>841.32</v>
      </c>
      <c r="W2146" s="253"/>
    </row>
    <row r="2147" spans="6:23" ht="18.75" customHeight="1">
      <c r="F2147" s="252">
        <v>68</v>
      </c>
      <c r="G2147" s="252" t="s">
        <v>1637</v>
      </c>
      <c r="H2147" s="296" t="s">
        <v>859</v>
      </c>
      <c r="I2147" s="252">
        <f>(C67/1000)</f>
        <v>6.04</v>
      </c>
      <c r="J2147" s="296" t="s">
        <v>1637</v>
      </c>
      <c r="K2147" s="252">
        <f t="shared" si="245"/>
        <v>410.72</v>
      </c>
      <c r="W2147" s="253"/>
    </row>
    <row r="2148" spans="6:23" ht="18.75" customHeight="1">
      <c r="F2148" s="252">
        <v>7.0000000000000007E-2</v>
      </c>
      <c r="G2148" s="252" t="s">
        <v>866</v>
      </c>
      <c r="H2148" s="296" t="s">
        <v>867</v>
      </c>
      <c r="I2148" s="252">
        <f>(C78)</f>
        <v>1846.1</v>
      </c>
      <c r="J2148" s="296" t="s">
        <v>866</v>
      </c>
      <c r="K2148" s="252">
        <f t="shared" si="245"/>
        <v>129.22999999999999</v>
      </c>
      <c r="M2148" s="253" t="s">
        <v>1120</v>
      </c>
      <c r="N2148" s="252" t="s">
        <v>2241</v>
      </c>
      <c r="O2148" s="296" t="s">
        <v>736</v>
      </c>
      <c r="Q2148" s="296"/>
      <c r="W2148" s="253"/>
    </row>
    <row r="2149" spans="6:23" ht="18.75" customHeight="1">
      <c r="F2149" s="252">
        <v>5.45</v>
      </c>
      <c r="G2149" s="252" t="s">
        <v>1637</v>
      </c>
      <c r="H2149" s="296" t="s">
        <v>789</v>
      </c>
      <c r="I2149" s="252">
        <f>(C607)</f>
        <v>11.8</v>
      </c>
      <c r="J2149" s="296" t="s">
        <v>1637</v>
      </c>
      <c r="K2149" s="252">
        <f t="shared" si="245"/>
        <v>64.31</v>
      </c>
      <c r="O2149" s="296" t="s">
        <v>52</v>
      </c>
      <c r="Q2149" s="296"/>
      <c r="W2149" s="253"/>
    </row>
    <row r="2150" spans="6:23" ht="18.75" customHeight="1">
      <c r="F2150" s="252">
        <v>3</v>
      </c>
      <c r="G2150" s="252" t="s">
        <v>865</v>
      </c>
      <c r="H2150" s="296" t="s">
        <v>2000</v>
      </c>
      <c r="I2150" s="252">
        <f>(C10)</f>
        <v>999</v>
      </c>
      <c r="J2150" s="296" t="s">
        <v>865</v>
      </c>
      <c r="K2150" s="252">
        <f t="shared" si="245"/>
        <v>2997</v>
      </c>
      <c r="O2150" s="358" t="s">
        <v>1579</v>
      </c>
      <c r="Q2150" s="296"/>
      <c r="W2150" s="253"/>
    </row>
    <row r="2151" spans="6:23" ht="18.75" customHeight="1">
      <c r="F2151" s="252">
        <v>2</v>
      </c>
      <c r="G2151" s="252" t="s">
        <v>865</v>
      </c>
      <c r="H2151" s="296" t="s">
        <v>790</v>
      </c>
      <c r="I2151" s="252">
        <f>AE37</f>
        <v>839</v>
      </c>
      <c r="J2151" s="296" t="s">
        <v>865</v>
      </c>
      <c r="K2151" s="252">
        <f t="shared" si="245"/>
        <v>1678</v>
      </c>
      <c r="M2151" s="252">
        <v>50</v>
      </c>
      <c r="N2151" s="252" t="s">
        <v>865</v>
      </c>
      <c r="O2151" s="389" t="s">
        <v>5713</v>
      </c>
      <c r="P2151" s="495">
        <v>455</v>
      </c>
      <c r="Q2151" s="296" t="s">
        <v>865</v>
      </c>
      <c r="R2151" s="252">
        <f t="shared" ref="R2151:R2160" si="246">(M2151*P2151)</f>
        <v>22750</v>
      </c>
      <c r="W2151" s="253"/>
    </row>
    <row r="2152" spans="6:23" ht="18.75" customHeight="1">
      <c r="F2152" s="252">
        <v>6</v>
      </c>
      <c r="G2152" s="252" t="s">
        <v>865</v>
      </c>
      <c r="H2152" s="296" t="s">
        <v>1893</v>
      </c>
      <c r="I2152" s="252">
        <f>(C12)</f>
        <v>651</v>
      </c>
      <c r="J2152" s="296" t="s">
        <v>865</v>
      </c>
      <c r="K2152" s="252">
        <f t="shared" si="245"/>
        <v>3906</v>
      </c>
      <c r="M2152" s="252">
        <v>21.6</v>
      </c>
      <c r="N2152" s="252" t="s">
        <v>866</v>
      </c>
      <c r="O2152" s="296" t="s">
        <v>788</v>
      </c>
      <c r="P2152" s="252">
        <f>I2145</f>
        <v>224.1</v>
      </c>
      <c r="Q2152" s="296" t="s">
        <v>866</v>
      </c>
      <c r="R2152" s="252">
        <f t="shared" si="246"/>
        <v>4840.5600000000004</v>
      </c>
      <c r="W2152" s="253"/>
    </row>
    <row r="2153" spans="6:23" ht="18.75" customHeight="1">
      <c r="F2153" s="252">
        <v>3</v>
      </c>
      <c r="G2153" s="252" t="s">
        <v>865</v>
      </c>
      <c r="H2153" s="296" t="s">
        <v>317</v>
      </c>
      <c r="I2153" s="252">
        <f>(C13)</f>
        <v>534</v>
      </c>
      <c r="J2153" s="296" t="s">
        <v>865</v>
      </c>
      <c r="K2153" s="252">
        <f t="shared" si="245"/>
        <v>1602</v>
      </c>
      <c r="M2153" s="252">
        <v>21.6</v>
      </c>
      <c r="N2153" s="252" t="s">
        <v>866</v>
      </c>
      <c r="O2153" s="296" t="s">
        <v>248</v>
      </c>
      <c r="P2153" s="252">
        <f t="shared" ref="P2153:P2160" si="247">I2146</f>
        <v>38.950000000000003</v>
      </c>
      <c r="Q2153" s="296" t="s">
        <v>866</v>
      </c>
      <c r="R2153" s="252">
        <f t="shared" si="246"/>
        <v>841.32</v>
      </c>
      <c r="W2153" s="253"/>
    </row>
    <row r="2154" spans="6:23" ht="18.75" customHeight="1">
      <c r="G2154" s="252" t="s">
        <v>446</v>
      </c>
      <c r="H2154" s="296" t="s">
        <v>2127</v>
      </c>
      <c r="J2154" s="296" t="s">
        <v>446</v>
      </c>
      <c r="K2154" s="252">
        <f>SUM(K2150:K2153)/10+4.8</f>
        <v>1023.1</v>
      </c>
      <c r="M2154" s="252">
        <v>115</v>
      </c>
      <c r="N2154" s="252" t="s">
        <v>1637</v>
      </c>
      <c r="O2154" s="296" t="s">
        <v>859</v>
      </c>
      <c r="P2154" s="252">
        <f t="shared" si="247"/>
        <v>6.04</v>
      </c>
      <c r="Q2154" s="296" t="s">
        <v>1637</v>
      </c>
      <c r="R2154" s="252">
        <f t="shared" si="246"/>
        <v>694.6</v>
      </c>
      <c r="W2154" s="253"/>
    </row>
    <row r="2155" spans="6:23" ht="18.75" customHeight="1">
      <c r="K2155" s="358" t="s">
        <v>1579</v>
      </c>
      <c r="M2155" s="252">
        <v>0.11</v>
      </c>
      <c r="N2155" s="252" t="s">
        <v>866</v>
      </c>
      <c r="O2155" s="296" t="s">
        <v>867</v>
      </c>
      <c r="P2155" s="252">
        <f t="shared" si="247"/>
        <v>1846.1</v>
      </c>
      <c r="Q2155" s="296" t="s">
        <v>866</v>
      </c>
      <c r="R2155" s="252">
        <f t="shared" si="246"/>
        <v>203.07</v>
      </c>
      <c r="W2155" s="253"/>
    </row>
    <row r="2156" spans="6:23" ht="18.75" customHeight="1">
      <c r="H2156" s="296" t="s">
        <v>2128</v>
      </c>
      <c r="K2156" s="252">
        <f>SUM(K2144:K2154)</f>
        <v>22592.240000000002</v>
      </c>
      <c r="M2156" s="252">
        <v>8.35</v>
      </c>
      <c r="N2156" s="252" t="s">
        <v>1637</v>
      </c>
      <c r="O2156" s="296" t="s">
        <v>789</v>
      </c>
      <c r="P2156" s="252">
        <f t="shared" si="247"/>
        <v>11.8</v>
      </c>
      <c r="Q2156" s="296" t="s">
        <v>1637</v>
      </c>
      <c r="R2156" s="252">
        <f t="shared" si="246"/>
        <v>98.53</v>
      </c>
      <c r="W2156" s="253"/>
    </row>
    <row r="2157" spans="6:23" ht="18.75" customHeight="1">
      <c r="K2157" s="358" t="s">
        <v>1579</v>
      </c>
      <c r="M2157" s="252">
        <v>5</v>
      </c>
      <c r="N2157" s="252" t="s">
        <v>865</v>
      </c>
      <c r="O2157" s="296" t="s">
        <v>2000</v>
      </c>
      <c r="P2157" s="252">
        <f t="shared" si="247"/>
        <v>999</v>
      </c>
      <c r="Q2157" s="296" t="s">
        <v>865</v>
      </c>
      <c r="R2157" s="252">
        <f t="shared" si="246"/>
        <v>4995</v>
      </c>
      <c r="W2157" s="253"/>
    </row>
    <row r="2158" spans="6:23" ht="18.75" customHeight="1">
      <c r="H2158" s="296" t="s">
        <v>1119</v>
      </c>
      <c r="K2158" s="252">
        <f>(K2156/30)</f>
        <v>753.07</v>
      </c>
      <c r="M2158" s="252">
        <v>3</v>
      </c>
      <c r="N2158" s="252" t="s">
        <v>865</v>
      </c>
      <c r="O2158" s="296" t="s">
        <v>790</v>
      </c>
      <c r="P2158" s="252">
        <f t="shared" si="247"/>
        <v>839</v>
      </c>
      <c r="Q2158" s="296" t="s">
        <v>865</v>
      </c>
      <c r="R2158" s="252">
        <f t="shared" si="246"/>
        <v>2517</v>
      </c>
      <c r="W2158" s="253"/>
    </row>
    <row r="2159" spans="6:23" ht="18.75" customHeight="1">
      <c r="K2159" s="358" t="s">
        <v>2046</v>
      </c>
      <c r="M2159" s="252">
        <v>7</v>
      </c>
      <c r="N2159" s="252" t="s">
        <v>865</v>
      </c>
      <c r="O2159" s="296" t="s">
        <v>1893</v>
      </c>
      <c r="P2159" s="252">
        <f t="shared" si="247"/>
        <v>651</v>
      </c>
      <c r="Q2159" s="296" t="s">
        <v>865</v>
      </c>
      <c r="R2159" s="252">
        <f t="shared" si="246"/>
        <v>4557</v>
      </c>
      <c r="W2159" s="253"/>
    </row>
    <row r="2160" spans="6:23" ht="18.75" customHeight="1">
      <c r="F2160" s="253" t="s">
        <v>566</v>
      </c>
      <c r="G2160" s="252" t="s">
        <v>2241</v>
      </c>
      <c r="H2160" s="296" t="s">
        <v>51</v>
      </c>
      <c r="M2160" s="252">
        <v>5</v>
      </c>
      <c r="N2160" s="252" t="s">
        <v>865</v>
      </c>
      <c r="O2160" s="296" t="s">
        <v>317</v>
      </c>
      <c r="P2160" s="252">
        <f t="shared" si="247"/>
        <v>534</v>
      </c>
      <c r="Q2160" s="296" t="s">
        <v>865</v>
      </c>
      <c r="R2160" s="252">
        <f t="shared" si="246"/>
        <v>2670</v>
      </c>
      <c r="W2160" s="253"/>
    </row>
    <row r="2161" spans="6:23" ht="18.75" customHeight="1">
      <c r="H2161" s="296" t="s">
        <v>217</v>
      </c>
      <c r="N2161" s="252" t="s">
        <v>446</v>
      </c>
      <c r="O2161" s="296" t="s">
        <v>2127</v>
      </c>
      <c r="Q2161" s="296" t="s">
        <v>446</v>
      </c>
      <c r="R2161" s="252">
        <v>234</v>
      </c>
      <c r="W2161" s="253"/>
    </row>
    <row r="2162" spans="6:23" ht="18.75" customHeight="1">
      <c r="H2162" s="358" t="s">
        <v>1579</v>
      </c>
      <c r="Q2162" s="296"/>
      <c r="R2162" s="358" t="s">
        <v>1579</v>
      </c>
      <c r="W2162" s="253"/>
    </row>
    <row r="2163" spans="6:23" ht="18.75" customHeight="1">
      <c r="F2163" s="252">
        <v>50</v>
      </c>
      <c r="G2163" s="252" t="s">
        <v>865</v>
      </c>
      <c r="H2163" s="296" t="s">
        <v>218</v>
      </c>
      <c r="I2163" s="252">
        <f>C204</f>
        <v>63.4</v>
      </c>
      <c r="J2163" s="296" t="s">
        <v>865</v>
      </c>
      <c r="K2163" s="252">
        <f>(F2163*I2163)</f>
        <v>3170</v>
      </c>
      <c r="O2163" s="296" t="s">
        <v>2128</v>
      </c>
      <c r="Q2163" s="296"/>
      <c r="R2163" s="252">
        <f>SUM(R2151:R2161)</f>
        <v>44401.08</v>
      </c>
      <c r="W2163" s="253"/>
    </row>
    <row r="2164" spans="6:23" ht="18.75" customHeight="1">
      <c r="F2164" s="252">
        <v>1</v>
      </c>
      <c r="G2164" s="252" t="s">
        <v>865</v>
      </c>
      <c r="H2164" s="296" t="s">
        <v>790</v>
      </c>
      <c r="I2164" s="252">
        <f>AE37</f>
        <v>839</v>
      </c>
      <c r="J2164" s="296" t="s">
        <v>865</v>
      </c>
      <c r="K2164" s="252">
        <f>(F2164*I2164)</f>
        <v>839</v>
      </c>
      <c r="Q2164" s="296"/>
      <c r="R2164" s="358" t="s">
        <v>1579</v>
      </c>
      <c r="W2164" s="253"/>
    </row>
    <row r="2165" spans="6:23" ht="18.75" customHeight="1">
      <c r="F2165" s="252">
        <v>5</v>
      </c>
      <c r="G2165" s="252" t="s">
        <v>865</v>
      </c>
      <c r="H2165" s="296" t="s">
        <v>1893</v>
      </c>
      <c r="I2165" s="252">
        <f>C12</f>
        <v>651</v>
      </c>
      <c r="J2165" s="296" t="s">
        <v>865</v>
      </c>
      <c r="K2165" s="252">
        <f>(F2165*I2165)</f>
        <v>3255</v>
      </c>
      <c r="O2165" s="296" t="s">
        <v>1119</v>
      </c>
      <c r="Q2165" s="296"/>
      <c r="R2165" s="252">
        <f>(R2163/30)</f>
        <v>1480.04</v>
      </c>
      <c r="W2165" s="253"/>
    </row>
    <row r="2166" spans="6:23" ht="18.75" customHeight="1">
      <c r="H2166" s="296" t="s">
        <v>2261</v>
      </c>
      <c r="K2166" s="407">
        <v>1.8</v>
      </c>
      <c r="Q2166" s="296"/>
      <c r="R2166" s="358" t="s">
        <v>2046</v>
      </c>
      <c r="W2166" s="253"/>
    </row>
    <row r="2167" spans="6:23" ht="18.75" customHeight="1">
      <c r="H2167" s="296" t="s">
        <v>2128</v>
      </c>
      <c r="K2167" s="252">
        <f>SUM(K2163:K2166)</f>
        <v>7265.8</v>
      </c>
      <c r="W2167" s="253"/>
    </row>
    <row r="2168" spans="6:23" ht="18.75" customHeight="1">
      <c r="F2168" s="296" t="s">
        <v>971</v>
      </c>
      <c r="K2168" s="358" t="s">
        <v>1579</v>
      </c>
      <c r="W2168" s="253"/>
    </row>
    <row r="2169" spans="6:23" ht="18.75" customHeight="1">
      <c r="H2169" s="296" t="s">
        <v>1119</v>
      </c>
      <c r="K2169" s="252">
        <f>(K2167/30)</f>
        <v>242.19</v>
      </c>
      <c r="W2169" s="253"/>
    </row>
    <row r="2170" spans="6:23" ht="18.75" customHeight="1">
      <c r="F2170" s="296" t="s">
        <v>971</v>
      </c>
      <c r="W2170" s="253"/>
    </row>
    <row r="2171" spans="6:23" ht="18.75" customHeight="1">
      <c r="F2171" s="296" t="s">
        <v>971</v>
      </c>
      <c r="W2171" s="253"/>
    </row>
    <row r="2172" spans="6:23" ht="18.75" customHeight="1">
      <c r="K2172" s="358" t="s">
        <v>2046</v>
      </c>
      <c r="W2172" s="253"/>
    </row>
    <row r="2173" spans="6:23" ht="18.75" customHeight="1">
      <c r="F2173" s="253" t="s">
        <v>1120</v>
      </c>
      <c r="G2173" s="252" t="s">
        <v>2241</v>
      </c>
      <c r="H2173" s="296" t="s">
        <v>1015</v>
      </c>
      <c r="W2173" s="253"/>
    </row>
    <row r="2174" spans="6:23" ht="18.75" customHeight="1">
      <c r="H2174" s="252" t="str">
        <f>H2161</f>
        <v>DIA S.W.PIPE(LOOSE JOINTING)</v>
      </c>
      <c r="W2174" s="253"/>
    </row>
    <row r="2175" spans="6:23" ht="18.75" customHeight="1">
      <c r="H2175" s="358" t="s">
        <v>1579</v>
      </c>
      <c r="W2175" s="253"/>
    </row>
    <row r="2176" spans="6:23" ht="18.75" customHeight="1">
      <c r="F2176" s="252">
        <v>50</v>
      </c>
      <c r="G2176" s="252" t="s">
        <v>865</v>
      </c>
      <c r="H2176" s="296" t="s">
        <v>219</v>
      </c>
      <c r="I2176" s="252">
        <f>C205</f>
        <v>102</v>
      </c>
      <c r="J2176" s="296" t="s">
        <v>865</v>
      </c>
      <c r="K2176" s="252">
        <f>(F2176*I2176)</f>
        <v>5100</v>
      </c>
      <c r="W2176" s="253"/>
    </row>
    <row r="2177" spans="6:23" ht="18.75" customHeight="1">
      <c r="F2177" s="252">
        <v>2</v>
      </c>
      <c r="G2177" s="252" t="s">
        <v>865</v>
      </c>
      <c r="H2177" s="296" t="s">
        <v>790</v>
      </c>
      <c r="I2177" s="252">
        <f>AE37</f>
        <v>839</v>
      </c>
      <c r="J2177" s="296" t="s">
        <v>865</v>
      </c>
      <c r="K2177" s="252">
        <f>(F2177*I2177)</f>
        <v>1678</v>
      </c>
      <c r="W2177" s="253"/>
    </row>
    <row r="2178" spans="6:23" ht="18.75" customHeight="1">
      <c r="F2178" s="252">
        <v>6</v>
      </c>
      <c r="G2178" s="252" t="s">
        <v>865</v>
      </c>
      <c r="H2178" s="296" t="s">
        <v>1893</v>
      </c>
      <c r="I2178" s="252">
        <f>C12</f>
        <v>651</v>
      </c>
      <c r="J2178" s="296" t="s">
        <v>865</v>
      </c>
      <c r="K2178" s="252">
        <f>(F2178*I2178)</f>
        <v>3906</v>
      </c>
      <c r="W2178" s="253"/>
    </row>
    <row r="2179" spans="6:23" ht="18.75" customHeight="1">
      <c r="H2179" s="296" t="s">
        <v>2261</v>
      </c>
      <c r="K2179" s="407">
        <v>0.6</v>
      </c>
      <c r="W2179" s="253"/>
    </row>
    <row r="2180" spans="6:23" ht="18.75" customHeight="1">
      <c r="H2180" s="296" t="s">
        <v>2128</v>
      </c>
      <c r="K2180" s="252">
        <f>SUM(K2176:K2179)</f>
        <v>10684.6</v>
      </c>
      <c r="W2180" s="253"/>
    </row>
    <row r="2181" spans="6:23" ht="18.75" customHeight="1">
      <c r="K2181" s="358" t="s">
        <v>1579</v>
      </c>
      <c r="W2181" s="253"/>
    </row>
    <row r="2182" spans="6:23" ht="18.75" customHeight="1">
      <c r="H2182" s="296" t="s">
        <v>1119</v>
      </c>
      <c r="K2182" s="252">
        <f>(K2180/30)</f>
        <v>356.15</v>
      </c>
      <c r="W2182" s="253"/>
    </row>
    <row r="2183" spans="6:23" ht="18.75" customHeight="1">
      <c r="K2183" s="358" t="s">
        <v>2046</v>
      </c>
      <c r="W2183" s="253"/>
    </row>
    <row r="2184" spans="6:23" ht="18.75" customHeight="1">
      <c r="H2184" s="253" t="s">
        <v>220</v>
      </c>
      <c r="K2184" s="252">
        <f>SUM(K2181:K2182)</f>
        <v>356.15</v>
      </c>
      <c r="W2184" s="253"/>
    </row>
    <row r="2185" spans="6:23" ht="18.75" customHeight="1">
      <c r="K2185" s="358" t="s">
        <v>2046</v>
      </c>
      <c r="W2185" s="253"/>
    </row>
    <row r="2186" spans="6:23" ht="18.75" customHeight="1">
      <c r="F2186" s="253" t="s">
        <v>1861</v>
      </c>
      <c r="G2186" s="252" t="s">
        <v>2241</v>
      </c>
      <c r="H2186" s="296" t="s">
        <v>51</v>
      </c>
      <c r="W2186" s="253"/>
    </row>
    <row r="2187" spans="6:23" ht="18.75" customHeight="1">
      <c r="H2187" s="296" t="s">
        <v>56</v>
      </c>
      <c r="W2187" s="253"/>
    </row>
    <row r="2188" spans="6:23" ht="18.75" customHeight="1">
      <c r="H2188" s="358" t="s">
        <v>1579</v>
      </c>
      <c r="W2188" s="253"/>
    </row>
    <row r="2189" spans="6:23" ht="18.75" customHeight="1">
      <c r="F2189" s="252">
        <v>1</v>
      </c>
      <c r="G2189" s="252" t="s">
        <v>865</v>
      </c>
      <c r="H2189" s="296" t="s">
        <v>1085</v>
      </c>
      <c r="I2189" s="252">
        <f>C206</f>
        <v>101.6</v>
      </c>
      <c r="J2189" s="296" t="s">
        <v>865</v>
      </c>
      <c r="K2189" s="252">
        <f>(F2189*I2189)</f>
        <v>101.6</v>
      </c>
      <c r="W2189" s="253"/>
    </row>
    <row r="2190" spans="6:23" ht="18.75" customHeight="1">
      <c r="F2190" s="296" t="s">
        <v>971</v>
      </c>
      <c r="H2190" s="296" t="s">
        <v>57</v>
      </c>
      <c r="W2190" s="253"/>
    </row>
    <row r="2191" spans="6:23" ht="18.75" customHeight="1">
      <c r="F2191" s="296" t="s">
        <v>971</v>
      </c>
      <c r="H2191" s="296" t="s">
        <v>58</v>
      </c>
      <c r="I2191" s="253" t="s">
        <v>446</v>
      </c>
      <c r="K2191" s="252">
        <v>2.5</v>
      </c>
      <c r="W2191" s="253"/>
    </row>
    <row r="2192" spans="6:23" ht="18.75" customHeight="1">
      <c r="K2192" s="358" t="s">
        <v>1579</v>
      </c>
      <c r="W2192" s="253"/>
    </row>
    <row r="2193" spans="6:23" ht="18.75" customHeight="1">
      <c r="H2193" s="296" t="s">
        <v>2128</v>
      </c>
      <c r="K2193" s="252">
        <f>SUM(K2189:K2191)</f>
        <v>104.1</v>
      </c>
      <c r="W2193" s="253"/>
    </row>
    <row r="2194" spans="6:23" ht="18.75" customHeight="1">
      <c r="F2194" s="253" t="s">
        <v>1861</v>
      </c>
      <c r="G2194" s="252" t="s">
        <v>2241</v>
      </c>
      <c r="H2194" s="296" t="s">
        <v>1015</v>
      </c>
      <c r="K2194" s="358" t="s">
        <v>1579</v>
      </c>
      <c r="W2194" s="253"/>
    </row>
    <row r="2195" spans="6:23" ht="18.75" customHeight="1">
      <c r="H2195" s="296" t="s">
        <v>56</v>
      </c>
      <c r="W2195" s="253"/>
    </row>
    <row r="2196" spans="6:23" ht="18.75" customHeight="1">
      <c r="H2196" s="358" t="s">
        <v>1579</v>
      </c>
      <c r="K2196" s="358" t="s">
        <v>1579</v>
      </c>
      <c r="W2196" s="253"/>
    </row>
    <row r="2197" spans="6:23" ht="18.75" customHeight="1">
      <c r="F2197" s="252">
        <v>1</v>
      </c>
      <c r="G2197" s="252" t="s">
        <v>766</v>
      </c>
      <c r="H2197" s="296" t="s">
        <v>1084</v>
      </c>
      <c r="J2197" s="296">
        <f>E206</f>
        <v>140.65</v>
      </c>
      <c r="K2197" s="252">
        <f>J2197</f>
        <v>140.65</v>
      </c>
      <c r="W2197" s="253"/>
    </row>
    <row r="2198" spans="6:23" ht="18.75" customHeight="1">
      <c r="H2198" s="296" t="s">
        <v>58</v>
      </c>
      <c r="I2198" s="253" t="s">
        <v>446</v>
      </c>
      <c r="K2198" s="252">
        <v>2.5</v>
      </c>
      <c r="W2198" s="253"/>
    </row>
    <row r="2199" spans="6:23" ht="18.75" customHeight="1">
      <c r="F2199" s="253" t="s">
        <v>1259</v>
      </c>
      <c r="G2199" s="252" t="s">
        <v>2241</v>
      </c>
      <c r="H2199" s="276" t="s">
        <v>51</v>
      </c>
      <c r="K2199" s="358" t="s">
        <v>1579</v>
      </c>
      <c r="W2199" s="253"/>
    </row>
    <row r="2200" spans="6:23" ht="18.75" customHeight="1">
      <c r="H2200" s="276" t="s">
        <v>1266</v>
      </c>
      <c r="K2200" s="252">
        <f>SUM(K2196:K2198)</f>
        <v>143.15</v>
      </c>
      <c r="W2200" s="253"/>
    </row>
    <row r="2201" spans="6:23" ht="18.75" customHeight="1">
      <c r="H2201" s="358" t="s">
        <v>1579</v>
      </c>
      <c r="K2201" s="358" t="s">
        <v>1579</v>
      </c>
      <c r="W2201" s="253"/>
    </row>
    <row r="2202" spans="6:23" ht="18.75" customHeight="1">
      <c r="F2202" s="252">
        <v>1</v>
      </c>
      <c r="G2202" s="252" t="s">
        <v>865</v>
      </c>
      <c r="H2202" s="296" t="s">
        <v>1083</v>
      </c>
      <c r="I2202" s="252">
        <f>C203</f>
        <v>128</v>
      </c>
      <c r="J2202" s="296" t="s">
        <v>865</v>
      </c>
      <c r="K2202" s="252">
        <f>(F2202*I2202)</f>
        <v>128</v>
      </c>
      <c r="W2202" s="253"/>
    </row>
    <row r="2203" spans="6:23" ht="18.75" customHeight="1">
      <c r="F2203" s="296" t="s">
        <v>971</v>
      </c>
      <c r="H2203" s="296" t="s">
        <v>57</v>
      </c>
      <c r="W2203" s="253"/>
    </row>
    <row r="2204" spans="6:23" ht="18.75" customHeight="1">
      <c r="F2204" s="296" t="s">
        <v>971</v>
      </c>
      <c r="H2204" s="296" t="s">
        <v>58</v>
      </c>
      <c r="I2204" s="253" t="s">
        <v>446</v>
      </c>
      <c r="K2204" s="252">
        <v>3</v>
      </c>
      <c r="W2204" s="253"/>
    </row>
    <row r="2205" spans="6:23" ht="18.75" customHeight="1">
      <c r="K2205" s="358" t="s">
        <v>1579</v>
      </c>
      <c r="W2205" s="253"/>
    </row>
    <row r="2206" spans="6:23" ht="18.75" customHeight="1">
      <c r="H2206" s="296" t="s">
        <v>2128</v>
      </c>
      <c r="K2206" s="252">
        <f>SUM(K2202:K2204)</f>
        <v>131</v>
      </c>
      <c r="W2206" s="253"/>
    </row>
    <row r="2207" spans="6:23" ht="18.75" customHeight="1">
      <c r="K2207" s="358" t="s">
        <v>1579</v>
      </c>
      <c r="W2207" s="253"/>
    </row>
    <row r="2208" spans="6:23" ht="18.75" customHeight="1">
      <c r="W2208" s="253"/>
    </row>
    <row r="2209" spans="6:23" ht="18.75" customHeight="1">
      <c r="F2209" s="253" t="s">
        <v>1796</v>
      </c>
      <c r="G2209" s="252" t="s">
        <v>2241</v>
      </c>
      <c r="H2209" s="276" t="s">
        <v>1015</v>
      </c>
      <c r="W2209" s="253"/>
    </row>
    <row r="2210" spans="6:23" ht="18.75" customHeight="1">
      <c r="H2210" s="276" t="s">
        <v>1266</v>
      </c>
      <c r="W2210" s="253"/>
    </row>
    <row r="2211" spans="6:23" ht="18.75" customHeight="1">
      <c r="H2211" s="358" t="s">
        <v>1579</v>
      </c>
      <c r="W2211" s="253"/>
    </row>
    <row r="2212" spans="6:23" ht="18.75" customHeight="1">
      <c r="F2212" s="252">
        <v>1</v>
      </c>
      <c r="G2212" s="252" t="s">
        <v>865</v>
      </c>
      <c r="H2212" s="296" t="s">
        <v>802</v>
      </c>
      <c r="I2212" s="252">
        <f>C208</f>
        <v>166.15</v>
      </c>
      <c r="J2212" s="296" t="s">
        <v>865</v>
      </c>
      <c r="K2212" s="252">
        <f>(F2212*I2212)</f>
        <v>166.15</v>
      </c>
      <c r="W2212" s="253"/>
    </row>
    <row r="2213" spans="6:23" ht="18.75" customHeight="1">
      <c r="F2213" s="296" t="s">
        <v>971</v>
      </c>
      <c r="H2213" s="296" t="s">
        <v>57</v>
      </c>
      <c r="W2213" s="253"/>
    </row>
    <row r="2214" spans="6:23" ht="18.75" customHeight="1">
      <c r="F2214" s="296" t="s">
        <v>971</v>
      </c>
      <c r="H2214" s="296" t="s">
        <v>58</v>
      </c>
      <c r="I2214" s="253" t="s">
        <v>446</v>
      </c>
      <c r="K2214" s="252">
        <v>3</v>
      </c>
      <c r="W2214" s="253"/>
    </row>
    <row r="2215" spans="6:23" ht="18.75" customHeight="1">
      <c r="K2215" s="358" t="s">
        <v>1579</v>
      </c>
      <c r="W2215" s="253"/>
    </row>
    <row r="2216" spans="6:23" ht="18.75" customHeight="1">
      <c r="H2216" s="276" t="s">
        <v>2128</v>
      </c>
      <c r="K2216" s="252">
        <f>SUM(K2212:K2214)</f>
        <v>169.15</v>
      </c>
      <c r="W2216" s="253"/>
    </row>
    <row r="2217" spans="6:23" ht="18.75" customHeight="1">
      <c r="K2217" s="358" t="s">
        <v>1579</v>
      </c>
      <c r="W2217" s="253"/>
    </row>
    <row r="2218" spans="6:23" ht="18.75" customHeight="1">
      <c r="F2218" s="253" t="s">
        <v>1533</v>
      </c>
      <c r="H2218" s="276" t="s">
        <v>1534</v>
      </c>
      <c r="W2218" s="253"/>
    </row>
    <row r="2219" spans="6:23" ht="18.75" customHeight="1">
      <c r="H2219" s="276" t="s">
        <v>1066</v>
      </c>
      <c r="W2219" s="253"/>
    </row>
    <row r="2220" spans="6:23" ht="18.75" customHeight="1">
      <c r="H2220" s="358" t="s">
        <v>1579</v>
      </c>
      <c r="W2220" s="253"/>
    </row>
    <row r="2221" spans="6:23" ht="18.75" customHeight="1">
      <c r="F2221" s="252">
        <v>2.5</v>
      </c>
      <c r="G2221" s="252" t="s">
        <v>1067</v>
      </c>
      <c r="H2221" s="296" t="s">
        <v>1534</v>
      </c>
      <c r="I2221" s="252">
        <f>C588</f>
        <v>30</v>
      </c>
      <c r="J2221" s="296">
        <v>2.5</v>
      </c>
      <c r="K2221" s="533">
        <f>(F2221*I2221)/F2221</f>
        <v>30</v>
      </c>
      <c r="L2221" s="252">
        <f>1394*1.62-K2252</f>
        <v>-1861.7</v>
      </c>
      <c r="W2221" s="253"/>
    </row>
    <row r="2222" spans="6:23" ht="18.75" customHeight="1">
      <c r="H2222" s="296" t="s">
        <v>1068</v>
      </c>
      <c r="J2222" s="296" t="s">
        <v>1067</v>
      </c>
      <c r="K2222" s="533"/>
      <c r="W2222" s="253"/>
    </row>
    <row r="2223" spans="6:23" ht="18.75" customHeight="1">
      <c r="G2223" s="252" t="s">
        <v>446</v>
      </c>
      <c r="H2223" s="296" t="s">
        <v>1069</v>
      </c>
      <c r="J2223" s="296" t="s">
        <v>446</v>
      </c>
      <c r="K2223" s="434">
        <v>1.87</v>
      </c>
      <c r="W2223" s="253"/>
    </row>
    <row r="2224" spans="6:23" ht="18.75" customHeight="1">
      <c r="K2224" s="358" t="s">
        <v>1579</v>
      </c>
      <c r="W2224" s="253"/>
    </row>
    <row r="2225" spans="6:23" ht="18.75" customHeight="1">
      <c r="H2225" s="255" t="s">
        <v>220</v>
      </c>
      <c r="K2225" s="274">
        <f>SUM(K2221:K2223)</f>
        <v>31.87</v>
      </c>
      <c r="W2225" s="253"/>
    </row>
    <row r="2226" spans="6:23" ht="18.75" customHeight="1">
      <c r="K2226" s="358" t="s">
        <v>2046</v>
      </c>
      <c r="W2226" s="253"/>
    </row>
    <row r="2227" spans="6:23" ht="18.75" customHeight="1">
      <c r="W2227" s="253"/>
    </row>
    <row r="2228" spans="6:23" ht="18.75" customHeight="1">
      <c r="F2228" s="253" t="s">
        <v>1070</v>
      </c>
      <c r="G2228" s="252" t="s">
        <v>2241</v>
      </c>
      <c r="H2228" s="296" t="s">
        <v>270</v>
      </c>
      <c r="W2228" s="253"/>
    </row>
    <row r="2229" spans="6:23" ht="18.75" customHeight="1">
      <c r="H2229" s="296" t="s">
        <v>62</v>
      </c>
      <c r="W2229" s="253"/>
    </row>
    <row r="2230" spans="6:23" ht="18.75" customHeight="1">
      <c r="H2230" s="296" t="s">
        <v>367</v>
      </c>
      <c r="W2230" s="253"/>
    </row>
    <row r="2231" spans="6:23" ht="18.75" customHeight="1">
      <c r="H2231" s="296" t="s">
        <v>348</v>
      </c>
      <c r="W2231" s="253"/>
    </row>
    <row r="2232" spans="6:23" ht="18.75" customHeight="1">
      <c r="H2232" s="296" t="s">
        <v>429</v>
      </c>
      <c r="W2232" s="253"/>
    </row>
    <row r="2233" spans="6:23" ht="18.75" customHeight="1">
      <c r="H2233" s="296" t="s">
        <v>1472</v>
      </c>
      <c r="W2233" s="253"/>
    </row>
    <row r="2234" spans="6:23" ht="18.75" customHeight="1">
      <c r="H2234" s="296" t="s">
        <v>1859</v>
      </c>
      <c r="W2234" s="253"/>
    </row>
    <row r="2235" spans="6:23" ht="18.75" customHeight="1">
      <c r="H2235" s="296" t="s">
        <v>2193</v>
      </c>
      <c r="W2235" s="253"/>
    </row>
    <row r="2236" spans="6:23" ht="18.75" customHeight="1">
      <c r="H2236" s="296" t="s">
        <v>563</v>
      </c>
      <c r="W2236" s="253"/>
    </row>
    <row r="2237" spans="6:23" ht="18.75" customHeight="1">
      <c r="H2237" s="296" t="s">
        <v>1270</v>
      </c>
      <c r="W2237" s="253"/>
    </row>
    <row r="2238" spans="6:23" ht="18.75" customHeight="1">
      <c r="H2238" s="296" t="s">
        <v>1271</v>
      </c>
      <c r="W2238" s="253"/>
    </row>
    <row r="2239" spans="6:23" ht="18.75" customHeight="1">
      <c r="H2239" s="296" t="s">
        <v>1272</v>
      </c>
      <c r="W2239" s="253"/>
    </row>
    <row r="2240" spans="6:23" ht="18.75" customHeight="1">
      <c r="H2240" s="358" t="s">
        <v>1579</v>
      </c>
      <c r="I2240" s="358" t="s">
        <v>1579</v>
      </c>
      <c r="W2240" s="253"/>
    </row>
    <row r="2241" spans="6:23" ht="18.75" customHeight="1">
      <c r="F2241" s="296" t="s">
        <v>971</v>
      </c>
      <c r="W2241" s="253"/>
    </row>
    <row r="2242" spans="6:23" ht="18.75" customHeight="1">
      <c r="F2242" s="316">
        <v>1.7399999999999999E-2</v>
      </c>
      <c r="G2242" s="252" t="s">
        <v>2142</v>
      </c>
      <c r="H2242" s="296" t="s">
        <v>1273</v>
      </c>
      <c r="I2242" s="252">
        <f>C86</f>
        <v>34300</v>
      </c>
      <c r="J2242" s="296" t="s">
        <v>2142</v>
      </c>
      <c r="K2242" s="252">
        <f t="shared" ref="K2242:K2249" si="248">F2242*I2242</f>
        <v>596.82000000000005</v>
      </c>
      <c r="W2242" s="253"/>
    </row>
    <row r="2243" spans="6:23" ht="18.75" customHeight="1">
      <c r="F2243" s="316">
        <v>2.93E-2</v>
      </c>
      <c r="G2243" s="252" t="s">
        <v>2142</v>
      </c>
      <c r="H2243" s="296" t="s">
        <v>1274</v>
      </c>
      <c r="I2243" s="252">
        <f>C87</f>
        <v>39400</v>
      </c>
      <c r="J2243" s="296" t="s">
        <v>2142</v>
      </c>
      <c r="K2243" s="252">
        <f t="shared" si="248"/>
        <v>1154.42</v>
      </c>
      <c r="W2243" s="253"/>
    </row>
    <row r="2244" spans="6:23" ht="18.75" customHeight="1">
      <c r="F2244" s="316">
        <v>1.093</v>
      </c>
      <c r="G2244" s="252" t="s">
        <v>2273</v>
      </c>
      <c r="H2244" s="296" t="s">
        <v>1275</v>
      </c>
      <c r="I2244" s="252">
        <f>C199</f>
        <v>379.9</v>
      </c>
      <c r="J2244" s="296" t="s">
        <v>2273</v>
      </c>
      <c r="K2244" s="252">
        <f t="shared" si="248"/>
        <v>415.23</v>
      </c>
      <c r="W2244" s="253"/>
    </row>
    <row r="2245" spans="6:23" ht="18.75" customHeight="1">
      <c r="F2245" s="252">
        <v>6</v>
      </c>
      <c r="G2245" s="252" t="s">
        <v>557</v>
      </c>
      <c r="H2245" s="296" t="s">
        <v>1141</v>
      </c>
      <c r="I2245" s="252">
        <f>C297</f>
        <v>7</v>
      </c>
      <c r="J2245" s="296" t="s">
        <v>1393</v>
      </c>
      <c r="K2245" s="252">
        <f t="shared" si="248"/>
        <v>42</v>
      </c>
      <c r="W2245" s="253"/>
    </row>
    <row r="2246" spans="6:23" ht="18.75" customHeight="1">
      <c r="F2246" s="252">
        <v>1</v>
      </c>
      <c r="G2246" s="252" t="s">
        <v>557</v>
      </c>
      <c r="H2246" s="296" t="s">
        <v>2207</v>
      </c>
      <c r="I2246" s="252">
        <f>C287</f>
        <v>101.6</v>
      </c>
      <c r="J2246" s="296" t="s">
        <v>1393</v>
      </c>
      <c r="K2246" s="252">
        <f t="shared" si="248"/>
        <v>101.6</v>
      </c>
      <c r="W2246" s="253"/>
    </row>
    <row r="2247" spans="6:23" ht="18.75" customHeight="1">
      <c r="F2247" s="252">
        <v>2</v>
      </c>
      <c r="G2247" s="252" t="s">
        <v>557</v>
      </c>
      <c r="H2247" s="296" t="s">
        <v>1741</v>
      </c>
      <c r="I2247" s="252">
        <f>C308</f>
        <v>3</v>
      </c>
      <c r="J2247" s="296" t="s">
        <v>1393</v>
      </c>
      <c r="K2247" s="252">
        <f t="shared" si="248"/>
        <v>6</v>
      </c>
      <c r="W2247" s="253"/>
    </row>
    <row r="2248" spans="6:23" ht="18.75" customHeight="1">
      <c r="F2248" s="252">
        <v>6</v>
      </c>
      <c r="G2248" s="252" t="s">
        <v>557</v>
      </c>
      <c r="H2248" s="296" t="s">
        <v>139</v>
      </c>
      <c r="I2248" s="534">
        <v>10.5</v>
      </c>
      <c r="J2248" s="296" t="s">
        <v>1393</v>
      </c>
      <c r="K2248" s="252">
        <f t="shared" si="248"/>
        <v>63</v>
      </c>
      <c r="W2248" s="253"/>
    </row>
    <row r="2249" spans="6:23" ht="18.75" customHeight="1">
      <c r="F2249" s="356">
        <v>1.62</v>
      </c>
      <c r="G2249" s="252" t="s">
        <v>2273</v>
      </c>
      <c r="H2249" s="296" t="s">
        <v>140</v>
      </c>
      <c r="I2249" s="252">
        <f>D33</f>
        <v>1072</v>
      </c>
      <c r="J2249" s="296" t="s">
        <v>2273</v>
      </c>
      <c r="K2249" s="252">
        <f t="shared" si="248"/>
        <v>1736.64</v>
      </c>
      <c r="W2249" s="253"/>
    </row>
    <row r="2250" spans="6:23" ht="18.75" customHeight="1">
      <c r="G2250" s="252" t="s">
        <v>446</v>
      </c>
      <c r="H2250" s="296" t="s">
        <v>506</v>
      </c>
      <c r="J2250" s="296" t="s">
        <v>446</v>
      </c>
      <c r="K2250" s="252">
        <v>4.2699999999999996</v>
      </c>
      <c r="W2250" s="253"/>
    </row>
    <row r="2251" spans="6:23" ht="18.75" customHeight="1">
      <c r="K2251" s="358" t="s">
        <v>1579</v>
      </c>
      <c r="W2251" s="253"/>
    </row>
    <row r="2252" spans="6:23" ht="18.75" customHeight="1">
      <c r="H2252" s="255" t="s">
        <v>141</v>
      </c>
      <c r="K2252" s="274">
        <f>SUM(K2242:K2250)</f>
        <v>4119.9799999999996</v>
      </c>
      <c r="W2252" s="253"/>
    </row>
    <row r="2253" spans="6:23" ht="18.75" customHeight="1">
      <c r="K2253" s="388" t="s">
        <v>1579</v>
      </c>
      <c r="W2253" s="253"/>
    </row>
    <row r="2254" spans="6:23" ht="18.75" customHeight="1">
      <c r="K2254" s="274"/>
      <c r="W2254" s="253"/>
    </row>
    <row r="2255" spans="6:23" ht="18.75" customHeight="1">
      <c r="H2255" s="255" t="s">
        <v>142</v>
      </c>
      <c r="I2255" s="296" t="s">
        <v>971</v>
      </c>
      <c r="K2255" s="274">
        <f>K2252/1.62</f>
        <v>2543.1999999999998</v>
      </c>
      <c r="M2255" s="252">
        <f>1921*1.62</f>
        <v>3112.02</v>
      </c>
      <c r="W2255" s="253"/>
    </row>
    <row r="2256" spans="6:23" ht="18.75" customHeight="1">
      <c r="F2256" s="296" t="s">
        <v>971</v>
      </c>
      <c r="G2256" s="252" t="s">
        <v>971</v>
      </c>
      <c r="H2256" s="296" t="s">
        <v>971</v>
      </c>
      <c r="I2256" s="296" t="s">
        <v>971</v>
      </c>
      <c r="J2256" s="296" t="s">
        <v>971</v>
      </c>
      <c r="M2256" s="252">
        <f>M2255-K2252</f>
        <v>-1007.96</v>
      </c>
      <c r="W2256" s="253"/>
    </row>
    <row r="2257" spans="6:23" ht="18.75" customHeight="1">
      <c r="W2257" s="253"/>
    </row>
    <row r="2258" spans="6:23" ht="18.75" customHeight="1">
      <c r="G2258" s="252" t="s">
        <v>1532</v>
      </c>
      <c r="H2258" s="276" t="s">
        <v>1388</v>
      </c>
      <c r="W2258" s="253"/>
    </row>
    <row r="2259" spans="6:23" ht="18.75" customHeight="1">
      <c r="H2259" s="296" t="s">
        <v>794</v>
      </c>
      <c r="L2259" s="252">
        <f>3.6*1.1</f>
        <v>3.96</v>
      </c>
      <c r="W2259" s="253"/>
    </row>
    <row r="2260" spans="6:23" ht="18.75" customHeight="1">
      <c r="F2260" s="296" t="s">
        <v>971</v>
      </c>
      <c r="H2260" s="296" t="s">
        <v>795</v>
      </c>
      <c r="L2260" s="252">
        <f>3.6*1.6</f>
        <v>5.76</v>
      </c>
      <c r="W2260" s="253"/>
    </row>
    <row r="2261" spans="6:23" ht="18.75" customHeight="1">
      <c r="F2261" s="253" t="s">
        <v>796</v>
      </c>
      <c r="H2261" s="296" t="s">
        <v>2168</v>
      </c>
      <c r="K2261" s="372">
        <f>Elec.Data!K29</f>
        <v>1692.1</v>
      </c>
      <c r="W2261" s="253"/>
    </row>
    <row r="2262" spans="6:23" ht="18.75" customHeight="1">
      <c r="F2262" s="253" t="s">
        <v>797</v>
      </c>
      <c r="H2262" s="253" t="s">
        <v>771</v>
      </c>
      <c r="K2262" s="372">
        <f>Elec.Data!K53</f>
        <v>1695.1</v>
      </c>
      <c r="W2262" s="253"/>
    </row>
    <row r="2263" spans="6:23" ht="18.75" customHeight="1">
      <c r="F2263" s="253" t="s">
        <v>798</v>
      </c>
      <c r="H2263" s="296" t="s">
        <v>1263</v>
      </c>
      <c r="K2263" s="372">
        <f>Elec.Data!K68</f>
        <v>1732.1</v>
      </c>
      <c r="W2263" s="253"/>
    </row>
    <row r="2264" spans="6:23" ht="18.75" customHeight="1">
      <c r="F2264" s="369">
        <v>65</v>
      </c>
      <c r="H2264" s="296" t="s">
        <v>773</v>
      </c>
      <c r="K2264" s="372">
        <f>Elec.Data!K90</f>
        <v>1767.1</v>
      </c>
      <c r="W2264" s="253"/>
    </row>
    <row r="2265" spans="6:23" ht="18.75" customHeight="1">
      <c r="F2265" s="369">
        <v>66</v>
      </c>
      <c r="H2265" s="296" t="s">
        <v>609</v>
      </c>
      <c r="K2265" s="372">
        <f>Elec.Data!K114</f>
        <v>3176.2</v>
      </c>
      <c r="W2265" s="253"/>
    </row>
    <row r="2266" spans="6:23" ht="18.75" customHeight="1">
      <c r="F2266" s="369">
        <v>67</v>
      </c>
      <c r="H2266" s="296" t="s">
        <v>567</v>
      </c>
      <c r="K2266" s="372">
        <f>Elec.Data!K146</f>
        <v>869.5</v>
      </c>
      <c r="W2266" s="253"/>
    </row>
    <row r="2267" spans="6:23" ht="18.75" customHeight="1">
      <c r="F2267" s="369">
        <v>68</v>
      </c>
      <c r="H2267" s="296" t="s">
        <v>835</v>
      </c>
      <c r="K2267" s="372">
        <f>Elec.Data!K134</f>
        <v>1174.4000000000001</v>
      </c>
      <c r="W2267" s="253"/>
    </row>
    <row r="2268" spans="6:23" ht="18.75" customHeight="1">
      <c r="F2268" s="369">
        <v>69</v>
      </c>
      <c r="H2268" s="296" t="s">
        <v>799</v>
      </c>
      <c r="K2268" s="372">
        <f>Elec.Data!K157</f>
        <v>150</v>
      </c>
      <c r="W2268" s="253"/>
    </row>
    <row r="2269" spans="6:23" ht="18.75" customHeight="1">
      <c r="F2269" s="369" t="s">
        <v>800</v>
      </c>
      <c r="H2269" s="296" t="s">
        <v>495</v>
      </c>
      <c r="K2269" s="372">
        <f>Elec.Data!K304</f>
        <v>529.20000000000005</v>
      </c>
      <c r="W2269" s="253"/>
    </row>
    <row r="2270" spans="6:23" ht="18.75" customHeight="1">
      <c r="F2270" s="369" t="s">
        <v>290</v>
      </c>
      <c r="H2270" s="296" t="s">
        <v>286</v>
      </c>
      <c r="J2270" s="253"/>
      <c r="K2270" s="372"/>
      <c r="L2270" s="252">
        <f>37.7*90</f>
        <v>3393</v>
      </c>
      <c r="W2270" s="253"/>
    </row>
    <row r="2271" spans="6:23" ht="18.75" customHeight="1">
      <c r="F2271" s="369" t="s">
        <v>1933</v>
      </c>
      <c r="H2271" s="296" t="s">
        <v>1495</v>
      </c>
      <c r="K2271" s="362">
        <v>9.4</v>
      </c>
      <c r="W2271" s="253"/>
    </row>
    <row r="2272" spans="6:23" ht="18.75" customHeight="1">
      <c r="F2272" s="369" t="s">
        <v>1934</v>
      </c>
      <c r="H2272" s="296" t="s">
        <v>579</v>
      </c>
      <c r="K2272" s="420">
        <v>10</v>
      </c>
      <c r="W2272" s="253"/>
    </row>
    <row r="2273" spans="6:23" ht="18.75" customHeight="1">
      <c r="F2273" s="369">
        <v>71</v>
      </c>
      <c r="H2273" s="296" t="s">
        <v>1152</v>
      </c>
      <c r="K2273" s="372">
        <f>Elec.Data!K342</f>
        <v>1372.85</v>
      </c>
      <c r="W2273" s="253"/>
    </row>
    <row r="2274" spans="6:23" ht="18.75" customHeight="1">
      <c r="F2274" s="369">
        <v>72</v>
      </c>
      <c r="H2274" s="296" t="s">
        <v>801</v>
      </c>
      <c r="K2274" s="420">
        <v>34</v>
      </c>
      <c r="W2274" s="253"/>
    </row>
    <row r="2275" spans="6:23" ht="18.75" customHeight="1">
      <c r="F2275" s="369" t="s">
        <v>580</v>
      </c>
      <c r="H2275" s="296" t="s">
        <v>272</v>
      </c>
      <c r="K2275" s="372">
        <f>Elec.Data!K402</f>
        <v>4248.34</v>
      </c>
      <c r="W2275" s="253"/>
    </row>
    <row r="2276" spans="6:23" ht="18.75" customHeight="1">
      <c r="F2276" s="369" t="s">
        <v>581</v>
      </c>
      <c r="H2276" s="296" t="s">
        <v>582</v>
      </c>
      <c r="K2276" s="372">
        <f>Elec.Data!K390</f>
        <v>3466.34</v>
      </c>
      <c r="W2276" s="253"/>
    </row>
    <row r="2277" spans="6:23" ht="18.75" customHeight="1">
      <c r="F2277" s="369">
        <v>74</v>
      </c>
      <c r="H2277" s="296" t="s">
        <v>162</v>
      </c>
      <c r="K2277" s="372">
        <f>Elec.Data!K446</f>
        <v>601.20000000000005</v>
      </c>
      <c r="W2277" s="253"/>
    </row>
    <row r="2278" spans="6:23" ht="18.75" customHeight="1">
      <c r="F2278" s="369" t="s">
        <v>629</v>
      </c>
      <c r="H2278" s="296" t="s">
        <v>1254</v>
      </c>
      <c r="K2278" s="314">
        <v>1265</v>
      </c>
      <c r="W2278" s="253"/>
    </row>
    <row r="2279" spans="6:23" ht="18.75" customHeight="1">
      <c r="F2279" s="369" t="s">
        <v>630</v>
      </c>
      <c r="H2279" s="296" t="s">
        <v>131</v>
      </c>
      <c r="W2279" s="253"/>
    </row>
    <row r="2280" spans="6:23" ht="18.75" customHeight="1">
      <c r="F2280" s="369">
        <v>112</v>
      </c>
      <c r="H2280" s="296" t="s">
        <v>743</v>
      </c>
      <c r="K2280" s="372">
        <f>Elec.Data!K912</f>
        <v>2363.25</v>
      </c>
      <c r="W2280" s="253"/>
    </row>
    <row r="2281" spans="6:23" ht="18.75" customHeight="1">
      <c r="F2281" s="369">
        <v>76</v>
      </c>
      <c r="H2281" s="296" t="s">
        <v>1922</v>
      </c>
      <c r="K2281" s="372">
        <f>Elec.Data!K462</f>
        <v>81.34</v>
      </c>
      <c r="W2281" s="253"/>
    </row>
    <row r="2282" spans="6:23" ht="18.75" customHeight="1">
      <c r="F2282" s="369">
        <v>77</v>
      </c>
      <c r="H2282" s="296" t="s">
        <v>2258</v>
      </c>
      <c r="K2282" s="372">
        <f>Elec.Data!K249</f>
        <v>214.9</v>
      </c>
      <c r="W2282" s="253"/>
    </row>
    <row r="2283" spans="6:23" ht="18.75" customHeight="1">
      <c r="F2283" s="390">
        <v>77.099999999999994</v>
      </c>
      <c r="H2283" s="389" t="s">
        <v>1799</v>
      </c>
      <c r="K2283" s="535">
        <f>Elec.Data!K274</f>
        <v>272.89999999999998</v>
      </c>
      <c r="W2283" s="253"/>
    </row>
    <row r="2284" spans="6:23" ht="18.75" customHeight="1">
      <c r="F2284" s="375">
        <v>77.2</v>
      </c>
      <c r="H2284" s="296" t="s">
        <v>1800</v>
      </c>
      <c r="K2284" s="314">
        <v>500</v>
      </c>
      <c r="W2284" s="253"/>
    </row>
    <row r="2285" spans="6:23" ht="18.75" customHeight="1">
      <c r="F2285" s="375">
        <v>77.3</v>
      </c>
      <c r="H2285" s="296" t="s">
        <v>1494</v>
      </c>
      <c r="K2285" s="314">
        <f>Elec.Data!K880</f>
        <v>77.010000000000005</v>
      </c>
      <c r="W2285" s="253"/>
    </row>
    <row r="2286" spans="6:23" ht="18.75" customHeight="1">
      <c r="F2286" s="369">
        <v>78</v>
      </c>
      <c r="H2286" s="296" t="s">
        <v>79</v>
      </c>
      <c r="K2286" s="372">
        <f>Elec.Data!K487</f>
        <v>2997.6</v>
      </c>
      <c r="W2286" s="253"/>
    </row>
    <row r="2287" spans="6:23" ht="18.75" customHeight="1">
      <c r="F2287" s="369">
        <v>80</v>
      </c>
      <c r="H2287" s="296" t="s">
        <v>2107</v>
      </c>
      <c r="K2287" s="372">
        <f>Elec.Data!K609</f>
        <v>846</v>
      </c>
      <c r="W2287" s="253"/>
    </row>
    <row r="2288" spans="6:23" ht="18.75" customHeight="1">
      <c r="F2288" s="369">
        <v>81</v>
      </c>
      <c r="H2288" s="296" t="s">
        <v>91</v>
      </c>
      <c r="K2288" s="252">
        <f>K2255</f>
        <v>2543.1999999999998</v>
      </c>
      <c r="W2288" s="253"/>
    </row>
    <row r="2289" spans="6:33" ht="18.75" customHeight="1">
      <c r="F2289" s="369">
        <v>82</v>
      </c>
      <c r="H2289" s="296" t="s">
        <v>1542</v>
      </c>
      <c r="K2289" s="372">
        <f>Elec.Data!K806</f>
        <v>3037.67</v>
      </c>
      <c r="W2289" s="253"/>
    </row>
    <row r="2290" spans="6:33" ht="18.75" customHeight="1">
      <c r="F2290" s="369">
        <v>87</v>
      </c>
      <c r="H2290" s="296" t="s">
        <v>1754</v>
      </c>
      <c r="K2290" s="372">
        <f>Elec.Data!K626</f>
        <v>2717.8</v>
      </c>
      <c r="W2290" s="253"/>
    </row>
    <row r="2291" spans="6:33" ht="18.75" customHeight="1">
      <c r="H2291" s="536" t="s">
        <v>1910</v>
      </c>
      <c r="K2291" s="372">
        <f>Elec.Data!K930</f>
        <v>2176.4</v>
      </c>
      <c r="W2291" s="253"/>
    </row>
    <row r="2292" spans="6:33" ht="18.75" customHeight="1">
      <c r="H2292" s="296" t="s">
        <v>260</v>
      </c>
      <c r="K2292" s="314">
        <v>137</v>
      </c>
      <c r="W2292" s="253"/>
    </row>
    <row r="2293" spans="6:33" ht="18.75" customHeight="1">
      <c r="F2293" s="441">
        <v>77.400000000000006</v>
      </c>
      <c r="H2293" s="258" t="s">
        <v>1714</v>
      </c>
      <c r="M2293" s="441">
        <v>77.400000000000006</v>
      </c>
      <c r="O2293" s="258" t="s">
        <v>4662</v>
      </c>
      <c r="Q2293" s="296"/>
      <c r="W2293" s="253"/>
    </row>
    <row r="2294" spans="6:33" ht="18.75" customHeight="1">
      <c r="H2294" s="296" t="s">
        <v>794</v>
      </c>
      <c r="O2294" s="296" t="s">
        <v>794</v>
      </c>
      <c r="Q2294" s="296"/>
      <c r="W2294" s="253"/>
    </row>
    <row r="2295" spans="6:33" ht="18.75" customHeight="1">
      <c r="F2295" s="252">
        <v>90</v>
      </c>
      <c r="G2295" s="252" t="s">
        <v>369</v>
      </c>
      <c r="H2295" s="268" t="s">
        <v>4904</v>
      </c>
      <c r="I2295" s="537">
        <v>20</v>
      </c>
      <c r="J2295" s="296" t="s">
        <v>369</v>
      </c>
      <c r="K2295" s="252">
        <f>I2295*F2295</f>
        <v>1800</v>
      </c>
      <c r="M2295" s="252">
        <v>90</v>
      </c>
      <c r="N2295" s="252" t="s">
        <v>369</v>
      </c>
      <c r="O2295" s="268" t="s">
        <v>4580</v>
      </c>
      <c r="P2295" s="537">
        <v>20</v>
      </c>
      <c r="Q2295" s="296" t="s">
        <v>369</v>
      </c>
      <c r="R2295" s="252">
        <f>P2295*M2295</f>
        <v>1800</v>
      </c>
      <c r="W2295" s="253"/>
    </row>
    <row r="2296" spans="6:33" ht="18.75" customHeight="1">
      <c r="F2296" s="252">
        <v>0.15</v>
      </c>
      <c r="G2296" s="252" t="s">
        <v>525</v>
      </c>
      <c r="H2296" s="252" t="s">
        <v>859</v>
      </c>
      <c r="I2296" s="252">
        <f>AC31</f>
        <v>6040</v>
      </c>
      <c r="J2296" s="296" t="s">
        <v>525</v>
      </c>
      <c r="K2296" s="252">
        <f>I2296*F2296</f>
        <v>906</v>
      </c>
      <c r="M2296" s="252">
        <v>0.15</v>
      </c>
      <c r="N2296" s="252" t="s">
        <v>525</v>
      </c>
      <c r="O2296" s="252" t="s">
        <v>859</v>
      </c>
      <c r="P2296" s="252">
        <f>I2296</f>
        <v>6040</v>
      </c>
      <c r="Q2296" s="296" t="s">
        <v>525</v>
      </c>
      <c r="R2296" s="252">
        <f>P2296*M2296</f>
        <v>906</v>
      </c>
      <c r="W2296" s="253"/>
    </row>
    <row r="2297" spans="6:33" ht="18.75" customHeight="1">
      <c r="F2297" s="252">
        <v>1</v>
      </c>
      <c r="G2297" s="252" t="s">
        <v>766</v>
      </c>
      <c r="H2297" s="252" t="s">
        <v>368</v>
      </c>
      <c r="I2297" s="252">
        <f>C809</f>
        <v>826</v>
      </c>
      <c r="J2297" s="296" t="s">
        <v>766</v>
      </c>
      <c r="K2297" s="252">
        <f>I2297*F2297</f>
        <v>826</v>
      </c>
      <c r="M2297" s="252">
        <v>1</v>
      </c>
      <c r="N2297" s="252" t="s">
        <v>766</v>
      </c>
      <c r="O2297" s="252" t="s">
        <v>368</v>
      </c>
      <c r="P2297" s="252">
        <f>I2297</f>
        <v>826</v>
      </c>
      <c r="Q2297" s="296" t="s">
        <v>766</v>
      </c>
      <c r="R2297" s="252">
        <f>P2297*M2297</f>
        <v>826</v>
      </c>
      <c r="W2297" s="253"/>
    </row>
    <row r="2298" spans="6:33" ht="18.75" customHeight="1">
      <c r="F2298" s="252">
        <v>2</v>
      </c>
      <c r="G2298" s="252" t="s">
        <v>766</v>
      </c>
      <c r="H2298" s="252" t="s">
        <v>1704</v>
      </c>
      <c r="I2298" s="252">
        <f>AE10</f>
        <v>932</v>
      </c>
      <c r="J2298" s="296" t="s">
        <v>766</v>
      </c>
      <c r="K2298" s="252">
        <f>I2298*F2298</f>
        <v>1864</v>
      </c>
      <c r="M2298" s="252">
        <v>2</v>
      </c>
      <c r="N2298" s="252" t="s">
        <v>766</v>
      </c>
      <c r="O2298" s="252" t="s">
        <v>1704</v>
      </c>
      <c r="P2298" s="252">
        <f>I2298</f>
        <v>932</v>
      </c>
      <c r="Q2298" s="296" t="s">
        <v>766</v>
      </c>
      <c r="R2298" s="252">
        <f>P2298*M2298</f>
        <v>1864</v>
      </c>
      <c r="W2298" s="253"/>
    </row>
    <row r="2299" spans="6:33" ht="18.75" customHeight="1">
      <c r="F2299" s="252">
        <v>4</v>
      </c>
      <c r="G2299" s="252" t="s">
        <v>766</v>
      </c>
      <c r="H2299" s="252" t="str">
        <f>B810</f>
        <v>Electrical HELPERp-15 it-100</v>
      </c>
      <c r="I2299" s="372">
        <f>C810</f>
        <v>644</v>
      </c>
      <c r="J2299" s="296" t="s">
        <v>766</v>
      </c>
      <c r="K2299" s="252">
        <f>I2299*F2299</f>
        <v>2576</v>
      </c>
      <c r="M2299" s="252">
        <v>4</v>
      </c>
      <c r="N2299" s="252" t="s">
        <v>766</v>
      </c>
      <c r="O2299" s="252" t="str">
        <f>H2299</f>
        <v>Electrical HELPERp-15 it-100</v>
      </c>
      <c r="P2299" s="252">
        <f>I2299</f>
        <v>644</v>
      </c>
      <c r="Q2299" s="296" t="s">
        <v>766</v>
      </c>
      <c r="R2299" s="252">
        <f>P2299*M2299</f>
        <v>2576</v>
      </c>
      <c r="W2299" s="253"/>
    </row>
    <row r="2300" spans="6:33" ht="18.75" customHeight="1">
      <c r="H2300" s="252" t="s">
        <v>370</v>
      </c>
      <c r="K2300" s="252">
        <v>11.5</v>
      </c>
      <c r="O2300" s="252" t="s">
        <v>370</v>
      </c>
      <c r="Q2300" s="296"/>
      <c r="R2300" s="252">
        <v>11.5</v>
      </c>
      <c r="W2300" s="253"/>
    </row>
    <row r="2301" spans="6:33" ht="18.75" customHeight="1">
      <c r="K2301" s="358" t="s">
        <v>1579</v>
      </c>
      <c r="Q2301" s="296"/>
      <c r="R2301" s="358" t="s">
        <v>1579</v>
      </c>
      <c r="W2301" s="253"/>
    </row>
    <row r="2302" spans="6:33" ht="18.75" customHeight="1">
      <c r="H2302" s="296" t="s">
        <v>2257</v>
      </c>
      <c r="K2302" s="252">
        <f>SUM(K2295:K2300)</f>
        <v>7983.5</v>
      </c>
      <c r="O2302" s="296" t="s">
        <v>2257</v>
      </c>
      <c r="Q2302" s="296"/>
      <c r="R2302" s="252">
        <f>SUM(R2295:R2300)</f>
        <v>7983.5</v>
      </c>
      <c r="W2302" s="253"/>
    </row>
    <row r="2303" spans="6:33" ht="18.75" customHeight="1">
      <c r="K2303" s="358" t="s">
        <v>1579</v>
      </c>
      <c r="Q2303" s="296"/>
      <c r="R2303" s="358" t="s">
        <v>1579</v>
      </c>
      <c r="W2303" s="253"/>
    </row>
    <row r="2304" spans="6:33" ht="18.75" customHeight="1">
      <c r="H2304" s="296" t="s">
        <v>1119</v>
      </c>
      <c r="K2304" s="252">
        <f>(K2302/90)</f>
        <v>88.71</v>
      </c>
      <c r="O2304" s="296" t="s">
        <v>1119</v>
      </c>
      <c r="Q2304" s="296"/>
      <c r="R2304" s="252">
        <f>(R2302/90)</f>
        <v>88.71</v>
      </c>
      <c r="W2304" s="253"/>
      <c r="AG2304" s="252">
        <v>0</v>
      </c>
    </row>
    <row r="2305" spans="5:253" ht="18.75" customHeight="1">
      <c r="K2305" s="358" t="s">
        <v>2046</v>
      </c>
      <c r="W2305" s="253"/>
      <c r="IS2305" s="252">
        <v>0</v>
      </c>
    </row>
    <row r="2306" spans="5:253" ht="18.75" customHeight="1">
      <c r="W2306" s="253"/>
    </row>
    <row r="2307" spans="5:253" ht="18.75" customHeight="1">
      <c r="F2307" s="375">
        <v>78.099999999999994</v>
      </c>
      <c r="H2307" s="276" t="s">
        <v>1553</v>
      </c>
      <c r="L2307" s="252">
        <f>31.5+85</f>
        <v>116.5</v>
      </c>
      <c r="W2307" s="253"/>
    </row>
    <row r="2308" spans="5:253" ht="18.75" customHeight="1">
      <c r="H2308" s="296" t="s">
        <v>794</v>
      </c>
      <c r="L2308" s="252">
        <f>L2307*10%</f>
        <v>11.65</v>
      </c>
      <c r="W2308" s="253"/>
    </row>
    <row r="2309" spans="5:253" ht="18.75" customHeight="1">
      <c r="F2309" s="252">
        <v>2.5</v>
      </c>
      <c r="G2309" s="252" t="s">
        <v>766</v>
      </c>
      <c r="H2309" s="252" t="s">
        <v>1554</v>
      </c>
      <c r="I2309" s="252">
        <f>C395</f>
        <v>163</v>
      </c>
      <c r="J2309" s="296" t="s">
        <v>766</v>
      </c>
      <c r="K2309" s="252">
        <f t="shared" ref="K2309:K2314" si="249">I2309*F2309</f>
        <v>407.5</v>
      </c>
      <c r="W2309" s="253"/>
    </row>
    <row r="2310" spans="5:253" ht="18.75" customHeight="1">
      <c r="F2310" s="252">
        <v>20</v>
      </c>
      <c r="G2310" s="252" t="s">
        <v>356</v>
      </c>
      <c r="H2310" s="264" t="s">
        <v>5455</v>
      </c>
      <c r="I2310" s="305">
        <v>5</v>
      </c>
      <c r="J2310" s="296" t="s">
        <v>356</v>
      </c>
      <c r="K2310" s="252">
        <f t="shared" si="249"/>
        <v>100</v>
      </c>
      <c r="W2310" s="253"/>
    </row>
    <row r="2311" spans="5:253" ht="18.75" customHeight="1">
      <c r="F2311" s="252">
        <v>9</v>
      </c>
      <c r="G2311" s="252" t="s">
        <v>356</v>
      </c>
      <c r="H2311" s="362" t="s">
        <v>5456</v>
      </c>
      <c r="I2311" s="362">
        <v>3.7</v>
      </c>
      <c r="J2311" s="296" t="s">
        <v>356</v>
      </c>
      <c r="K2311" s="252">
        <f t="shared" si="249"/>
        <v>33.299999999999997</v>
      </c>
      <c r="W2311" s="253"/>
    </row>
    <row r="2312" spans="5:253" ht="18.75" customHeight="1">
      <c r="F2312" s="252">
        <v>0.5</v>
      </c>
      <c r="G2312" s="252" t="s">
        <v>356</v>
      </c>
      <c r="H2312" s="252" t="s">
        <v>5457</v>
      </c>
      <c r="I2312" s="537">
        <v>101.5</v>
      </c>
      <c r="J2312" s="296" t="s">
        <v>356</v>
      </c>
      <c r="K2312" s="252">
        <f t="shared" si="249"/>
        <v>50.75</v>
      </c>
      <c r="W2312" s="253"/>
    </row>
    <row r="2313" spans="5:253" ht="18.75" customHeight="1">
      <c r="E2313" s="356">
        <f>25.2/5</f>
        <v>5.04</v>
      </c>
      <c r="F2313" s="252">
        <v>0.5</v>
      </c>
      <c r="G2313" s="252" t="s">
        <v>766</v>
      </c>
      <c r="H2313" s="252" t="s">
        <v>1279</v>
      </c>
      <c r="I2313" s="252">
        <f>I2297</f>
        <v>826</v>
      </c>
      <c r="J2313" s="296" t="s">
        <v>766</v>
      </c>
      <c r="K2313" s="252">
        <f t="shared" si="249"/>
        <v>413</v>
      </c>
      <c r="W2313" s="253"/>
    </row>
    <row r="2314" spans="5:253" ht="18.75" customHeight="1">
      <c r="F2314" s="252">
        <v>1</v>
      </c>
      <c r="G2314" s="252" t="s">
        <v>766</v>
      </c>
      <c r="H2314" s="252" t="s">
        <v>1280</v>
      </c>
      <c r="I2314" s="252">
        <f>I2299</f>
        <v>644</v>
      </c>
      <c r="J2314" s="296" t="s">
        <v>766</v>
      </c>
      <c r="K2314" s="252">
        <f t="shared" si="249"/>
        <v>644</v>
      </c>
      <c r="W2314" s="253"/>
    </row>
    <row r="2315" spans="5:253" ht="18.75" customHeight="1">
      <c r="G2315" s="252" t="s">
        <v>654</v>
      </c>
      <c r="H2315" s="262" t="s">
        <v>1281</v>
      </c>
      <c r="J2315" s="296" t="s">
        <v>654</v>
      </c>
      <c r="K2315" s="252">
        <v>200</v>
      </c>
      <c r="W2315" s="253"/>
    </row>
    <row r="2316" spans="5:253" ht="18.75" customHeight="1">
      <c r="G2316" s="252" t="s">
        <v>654</v>
      </c>
      <c r="H2316" s="252" t="s">
        <v>1205</v>
      </c>
      <c r="J2316" s="296" t="s">
        <v>654</v>
      </c>
      <c r="K2316" s="252">
        <v>8.32</v>
      </c>
      <c r="W2316" s="253"/>
    </row>
    <row r="2317" spans="5:253" ht="18.75" customHeight="1">
      <c r="K2317" s="358" t="s">
        <v>1579</v>
      </c>
      <c r="W2317" s="253"/>
    </row>
    <row r="2318" spans="5:253" ht="18.75" customHeight="1">
      <c r="H2318" s="252" t="s">
        <v>280</v>
      </c>
      <c r="K2318" s="252">
        <f>SUM(K2309:K2316)</f>
        <v>1856.87</v>
      </c>
      <c r="L2318" s="252">
        <f>K2352/3</f>
        <v>32.85</v>
      </c>
      <c r="W2318" s="253"/>
    </row>
    <row r="2319" spans="5:253" ht="18.75" customHeight="1">
      <c r="K2319" s="358" t="s">
        <v>1579</v>
      </c>
      <c r="W2319" s="253"/>
    </row>
    <row r="2320" spans="5:253" ht="18.75" customHeight="1">
      <c r="H2320" s="274" t="s">
        <v>2219</v>
      </c>
      <c r="W2320" s="253"/>
    </row>
    <row r="2321" spans="6:23" ht="18.75" customHeight="1">
      <c r="F2321" s="252">
        <v>0.7</v>
      </c>
      <c r="G2321" s="252" t="s">
        <v>766</v>
      </c>
      <c r="H2321" s="252" t="s">
        <v>650</v>
      </c>
      <c r="I2321" s="252">
        <f>C17</f>
        <v>881</v>
      </c>
      <c r="J2321" s="296" t="s">
        <v>1393</v>
      </c>
      <c r="K2321" s="252">
        <f>I2321*F2321</f>
        <v>616.70000000000005</v>
      </c>
      <c r="S2321" s="356">
        <f>R2359+R2360</f>
        <v>884</v>
      </c>
      <c r="W2321" s="253"/>
    </row>
    <row r="2322" spans="6:23" ht="18.75" customHeight="1">
      <c r="F2322" s="252">
        <v>0.5</v>
      </c>
      <c r="G2322" s="252" t="s">
        <v>766</v>
      </c>
      <c r="H2322" s="252" t="s">
        <v>651</v>
      </c>
      <c r="I2322" s="252">
        <f>C12</f>
        <v>651</v>
      </c>
      <c r="J2322" s="296" t="s">
        <v>1393</v>
      </c>
      <c r="K2322" s="252">
        <f>I2322*F2322</f>
        <v>325.5</v>
      </c>
      <c r="W2322" s="253"/>
    </row>
    <row r="2323" spans="6:23" ht="18.75" customHeight="1">
      <c r="H2323" s="252" t="s">
        <v>2220</v>
      </c>
      <c r="K2323" s="252">
        <f>SUM(K2321:K2322)</f>
        <v>942.2</v>
      </c>
      <c r="W2323" s="253"/>
    </row>
    <row r="2324" spans="6:23" ht="18.75" customHeight="1">
      <c r="H2324" s="252" t="s">
        <v>434</v>
      </c>
      <c r="K2324" s="274">
        <f>K2323/8.16</f>
        <v>115.47</v>
      </c>
      <c r="W2324" s="253"/>
    </row>
    <row r="2325" spans="6:23" ht="18.75" customHeight="1">
      <c r="W2325" s="253"/>
    </row>
    <row r="2326" spans="6:23" ht="18.75" customHeight="1">
      <c r="H2326" s="274" t="s">
        <v>1812</v>
      </c>
      <c r="W2326" s="253"/>
    </row>
    <row r="2327" spans="6:23" ht="18.75" customHeight="1">
      <c r="F2327" s="252">
        <v>2</v>
      </c>
      <c r="G2327" s="252" t="s">
        <v>909</v>
      </c>
      <c r="H2327" s="252" t="s">
        <v>4905</v>
      </c>
      <c r="I2327" s="537">
        <v>62.1</v>
      </c>
      <c r="J2327" s="296" t="s">
        <v>909</v>
      </c>
      <c r="K2327" s="252">
        <f>I2327*F2327</f>
        <v>124.2</v>
      </c>
      <c r="W2327" s="253"/>
    </row>
    <row r="2328" spans="6:23" ht="18.75" customHeight="1">
      <c r="F2328" s="252">
        <v>0.2</v>
      </c>
      <c r="G2328" s="252" t="s">
        <v>909</v>
      </c>
      <c r="H2328" s="252" t="s">
        <v>1813</v>
      </c>
      <c r="I2328" s="252">
        <f>C143/1000</f>
        <v>56.35</v>
      </c>
      <c r="J2328" s="296" t="s">
        <v>909</v>
      </c>
      <c r="K2328" s="252">
        <f>I2328*F2328</f>
        <v>11.27</v>
      </c>
      <c r="W2328" s="253"/>
    </row>
    <row r="2329" spans="6:23" ht="18.75" customHeight="1">
      <c r="F2329" s="252">
        <v>2</v>
      </c>
      <c r="G2329" s="252" t="s">
        <v>909</v>
      </c>
      <c r="H2329" s="252" t="s">
        <v>1814</v>
      </c>
      <c r="I2329" s="252">
        <f>K2324</f>
        <v>115.47</v>
      </c>
      <c r="J2329" s="296" t="s">
        <v>909</v>
      </c>
      <c r="K2329" s="252">
        <f>I2329*F2329</f>
        <v>230.94</v>
      </c>
      <c r="W2329" s="253"/>
    </row>
    <row r="2330" spans="6:23" ht="18.75" customHeight="1">
      <c r="H2330" s="252" t="s">
        <v>1815</v>
      </c>
      <c r="K2330" s="252">
        <f>SUM(K2327:K2329)</f>
        <v>366.41</v>
      </c>
      <c r="W2330" s="253"/>
    </row>
    <row r="2331" spans="6:23" ht="18.75" customHeight="1">
      <c r="H2331" s="252" t="s">
        <v>1816</v>
      </c>
      <c r="K2331" s="274">
        <f>K2330/10</f>
        <v>36.64</v>
      </c>
      <c r="W2331" s="253"/>
    </row>
    <row r="2332" spans="6:23" ht="18.75" customHeight="1">
      <c r="W2332" s="253"/>
    </row>
    <row r="2333" spans="6:23" ht="18.75" customHeight="1">
      <c r="H2333" s="274" t="s">
        <v>987</v>
      </c>
      <c r="O2333" s="274" t="s">
        <v>917</v>
      </c>
      <c r="Q2333" s="296"/>
      <c r="W2333" s="253"/>
    </row>
    <row r="2334" spans="6:23" ht="18.75" customHeight="1">
      <c r="F2334" s="252">
        <v>0.25</v>
      </c>
      <c r="G2334" s="252" t="s">
        <v>557</v>
      </c>
      <c r="H2334" s="252" t="s">
        <v>1817</v>
      </c>
      <c r="I2334" s="252">
        <f>C11</f>
        <v>932</v>
      </c>
      <c r="J2334" s="296" t="s">
        <v>1393</v>
      </c>
      <c r="K2334" s="252">
        <f>I2334*F2334</f>
        <v>233</v>
      </c>
      <c r="M2334" s="252">
        <v>15</v>
      </c>
      <c r="N2334" s="252" t="s">
        <v>230</v>
      </c>
      <c r="O2334" s="478" t="s">
        <v>5458</v>
      </c>
      <c r="P2334" s="362">
        <v>160.25</v>
      </c>
      <c r="Q2334" s="296" t="s">
        <v>230</v>
      </c>
      <c r="R2334" s="252">
        <f>P2334*M2334</f>
        <v>2403.75</v>
      </c>
      <c r="W2334" s="253"/>
    </row>
    <row r="2335" spans="6:23" ht="18.75" customHeight="1">
      <c r="F2335" s="252">
        <v>1</v>
      </c>
      <c r="G2335" s="252" t="s">
        <v>557</v>
      </c>
      <c r="H2335" s="252" t="s">
        <v>651</v>
      </c>
      <c r="I2335" s="252">
        <f>C12</f>
        <v>651</v>
      </c>
      <c r="J2335" s="296" t="s">
        <v>1393</v>
      </c>
      <c r="K2335" s="252">
        <f>I2335*F2335</f>
        <v>651</v>
      </c>
      <c r="M2335" s="252">
        <v>0.5</v>
      </c>
      <c r="N2335" s="252" t="s">
        <v>909</v>
      </c>
      <c r="O2335" s="252" t="s">
        <v>1813</v>
      </c>
      <c r="P2335" s="252">
        <f>C143/1000</f>
        <v>56.35</v>
      </c>
      <c r="Q2335" s="296" t="s">
        <v>909</v>
      </c>
      <c r="R2335" s="252">
        <f>P2335*M2335</f>
        <v>28.18</v>
      </c>
      <c r="W2335" s="253"/>
    </row>
    <row r="2336" spans="6:23" ht="18.75" customHeight="1">
      <c r="G2336" s="296" t="s">
        <v>446</v>
      </c>
      <c r="H2336" s="252" t="s">
        <v>2010</v>
      </c>
      <c r="I2336" s="252">
        <f>SUM(K2334:K2335)*10/100</f>
        <v>88.4</v>
      </c>
      <c r="J2336" s="296" t="s">
        <v>446</v>
      </c>
      <c r="K2336" s="252">
        <f>I2336</f>
        <v>88.4</v>
      </c>
      <c r="M2336" s="252">
        <v>0.5</v>
      </c>
      <c r="N2336" s="252" t="s">
        <v>557</v>
      </c>
      <c r="O2336" s="252" t="s">
        <v>650</v>
      </c>
      <c r="P2336" s="252">
        <f>C17</f>
        <v>881</v>
      </c>
      <c r="Q2336" s="296" t="s">
        <v>909</v>
      </c>
      <c r="R2336" s="252">
        <f>P2336*M2336</f>
        <v>440.5</v>
      </c>
      <c r="W2336" s="253"/>
    </row>
    <row r="2337" spans="4:23" ht="18.75" customHeight="1">
      <c r="H2337" s="252" t="s">
        <v>2015</v>
      </c>
      <c r="K2337" s="252">
        <f>SUM(K2334:K2336)</f>
        <v>972.4</v>
      </c>
      <c r="M2337" s="252">
        <v>0.5</v>
      </c>
      <c r="N2337" s="252" t="s">
        <v>557</v>
      </c>
      <c r="O2337" s="252" t="s">
        <v>651</v>
      </c>
      <c r="P2337" s="252">
        <f>C12</f>
        <v>651</v>
      </c>
      <c r="Q2337" s="296" t="s">
        <v>909</v>
      </c>
      <c r="R2337" s="252">
        <f>P2337*M2337</f>
        <v>325.5</v>
      </c>
      <c r="W2337" s="253"/>
    </row>
    <row r="2338" spans="4:23" ht="18.75" customHeight="1">
      <c r="H2338" s="252" t="s">
        <v>988</v>
      </c>
      <c r="K2338" s="274">
        <f>K2337/2.44</f>
        <v>398.52</v>
      </c>
      <c r="O2338" s="252" t="s">
        <v>39</v>
      </c>
      <c r="Q2338" s="296"/>
      <c r="R2338" s="252">
        <f>SUM(R2334:R2337)</f>
        <v>3197.93</v>
      </c>
      <c r="W2338" s="253"/>
    </row>
    <row r="2339" spans="4:23" ht="18.75" customHeight="1">
      <c r="K2339" s="252">
        <v>0</v>
      </c>
      <c r="O2339" s="274" t="s">
        <v>1722</v>
      </c>
      <c r="Q2339" s="296"/>
      <c r="R2339" s="274">
        <f>R2338/15</f>
        <v>213.2</v>
      </c>
      <c r="W2339" s="253"/>
    </row>
    <row r="2340" spans="4:23" ht="18.75" customHeight="1">
      <c r="H2340" s="274" t="s">
        <v>936</v>
      </c>
      <c r="W2340" s="253"/>
    </row>
    <row r="2341" spans="4:23" ht="18.75" customHeight="1">
      <c r="F2341" s="356">
        <v>7.0999999999999994E-2</v>
      </c>
      <c r="G2341" s="252" t="s">
        <v>364</v>
      </c>
      <c r="H2341" s="252" t="s">
        <v>937</v>
      </c>
      <c r="I2341" s="252">
        <f>Y688</f>
        <v>8669.4500000000007</v>
      </c>
      <c r="J2341" s="296" t="s">
        <v>365</v>
      </c>
      <c r="K2341" s="252">
        <f>I2341*F2341</f>
        <v>615.53</v>
      </c>
      <c r="W2341" s="253"/>
    </row>
    <row r="2342" spans="4:23" ht="18.75" customHeight="1">
      <c r="F2342" s="252">
        <v>1</v>
      </c>
      <c r="G2342" s="252" t="s">
        <v>2186</v>
      </c>
      <c r="H2342" s="252" t="s">
        <v>911</v>
      </c>
      <c r="I2342" s="252">
        <f>K2338</f>
        <v>398.52</v>
      </c>
      <c r="J2342" s="296" t="s">
        <v>2186</v>
      </c>
      <c r="K2342" s="252">
        <f>I2342*F2342</f>
        <v>398.52</v>
      </c>
      <c r="W2342" s="253"/>
    </row>
    <row r="2343" spans="4:23" ht="18.75" customHeight="1">
      <c r="F2343" s="252" t="s">
        <v>971</v>
      </c>
      <c r="H2343" s="252" t="s">
        <v>366</v>
      </c>
      <c r="K2343" s="274">
        <f>SUM(K2341:K2342)</f>
        <v>1014.05</v>
      </c>
      <c r="O2343" s="1262" t="s">
        <v>1162</v>
      </c>
      <c r="P2343" s="1263"/>
      <c r="Q2343" s="1263"/>
      <c r="W2343" s="253"/>
    </row>
    <row r="2344" spans="4:23" ht="18.75" customHeight="1">
      <c r="M2344" s="252">
        <v>0.47</v>
      </c>
      <c r="N2344" s="252" t="s">
        <v>2142</v>
      </c>
      <c r="O2344" s="252" t="s">
        <v>354</v>
      </c>
      <c r="P2344" s="252">
        <f>K90</f>
        <v>224.1</v>
      </c>
      <c r="Q2344" s="296" t="s">
        <v>1393</v>
      </c>
      <c r="R2344" s="252">
        <f>P2344*M2344</f>
        <v>105.33</v>
      </c>
      <c r="W2344" s="253"/>
    </row>
    <row r="2345" spans="4:23" ht="18.75" customHeight="1">
      <c r="M2345" s="252">
        <v>2</v>
      </c>
      <c r="R2345" s="252">
        <f>P2345*M2345</f>
        <v>0</v>
      </c>
      <c r="W2345" s="253"/>
    </row>
    <row r="2346" spans="4:23" ht="18.75" customHeight="1">
      <c r="H2346" s="258" t="s">
        <v>1327</v>
      </c>
      <c r="K2346" s="356"/>
      <c r="M2346" s="252">
        <v>0.24</v>
      </c>
      <c r="N2346" s="252" t="s">
        <v>2142</v>
      </c>
      <c r="O2346" s="252" t="s">
        <v>1163</v>
      </c>
      <c r="P2346" s="252">
        <f>AC15</f>
        <v>1577.9</v>
      </c>
      <c r="Q2346" s="296" t="s">
        <v>1393</v>
      </c>
      <c r="R2346" s="252">
        <f>P2346*M2346</f>
        <v>378.7</v>
      </c>
      <c r="W2346" s="253"/>
    </row>
    <row r="2347" spans="4:23" ht="18.75" customHeight="1">
      <c r="D2347" s="252">
        <f>24/5</f>
        <v>4.8</v>
      </c>
      <c r="F2347" s="252">
        <v>98.5</v>
      </c>
      <c r="G2347" s="252" t="s">
        <v>1763</v>
      </c>
      <c r="H2347" s="539" t="s">
        <v>4906</v>
      </c>
      <c r="I2347" s="540">
        <f>25.2/5</f>
        <v>5.04</v>
      </c>
      <c r="J2347" s="296" t="s">
        <v>1763</v>
      </c>
      <c r="K2347" s="252">
        <f>I2347*F2347</f>
        <v>496.44</v>
      </c>
      <c r="M2347" s="252">
        <v>0.79</v>
      </c>
      <c r="N2347" s="296" t="s">
        <v>2273</v>
      </c>
      <c r="O2347" s="430" t="s">
        <v>4907</v>
      </c>
      <c r="P2347" s="252">
        <f>AD559</f>
        <v>1659.25</v>
      </c>
      <c r="Q2347" s="296" t="s">
        <v>446</v>
      </c>
      <c r="R2347" s="252">
        <f>P2347*M2347</f>
        <v>1310.81</v>
      </c>
      <c r="W2347" s="253"/>
    </row>
    <row r="2348" spans="4:23" ht="18.75" customHeight="1">
      <c r="F2348" s="252">
        <v>0.3</v>
      </c>
      <c r="G2348" s="252" t="s">
        <v>1763</v>
      </c>
      <c r="H2348" s="252" t="s">
        <v>271</v>
      </c>
      <c r="I2348" s="252">
        <f>C16</f>
        <v>976</v>
      </c>
      <c r="J2348" s="296" t="s">
        <v>1393</v>
      </c>
      <c r="K2348" s="252">
        <f>I2348*F2348</f>
        <v>292.8</v>
      </c>
      <c r="M2348" s="252">
        <v>0.24</v>
      </c>
      <c r="N2348" s="252" t="s">
        <v>2142</v>
      </c>
      <c r="O2348" s="252" t="s">
        <v>908</v>
      </c>
      <c r="P2348" s="252">
        <f>I140</f>
        <v>1846.1</v>
      </c>
      <c r="Q2348" s="296"/>
      <c r="R2348" s="252">
        <f>P2348*M2348</f>
        <v>443.06</v>
      </c>
      <c r="W2348" s="253"/>
    </row>
    <row r="2349" spans="4:23" ht="18.75" customHeight="1">
      <c r="F2349" s="252">
        <v>0.3</v>
      </c>
      <c r="G2349" s="252" t="s">
        <v>1763</v>
      </c>
      <c r="H2349" s="252" t="s">
        <v>651</v>
      </c>
      <c r="I2349" s="252">
        <f>C12</f>
        <v>651</v>
      </c>
      <c r="J2349" s="296" t="s">
        <v>1393</v>
      </c>
      <c r="K2349" s="252">
        <f>I2349*F2349</f>
        <v>195.3</v>
      </c>
      <c r="O2349" s="252" t="s">
        <v>2261</v>
      </c>
      <c r="Q2349" s="296"/>
      <c r="R2349" s="252" t="s">
        <v>1304</v>
      </c>
      <c r="W2349" s="253"/>
    </row>
    <row r="2350" spans="4:23" ht="18.75" customHeight="1">
      <c r="H2350" s="252" t="s">
        <v>13</v>
      </c>
      <c r="K2350" s="252">
        <v>0.9</v>
      </c>
      <c r="R2350" s="274">
        <f>SUM(R2344:R2348)</f>
        <v>2237.9</v>
      </c>
      <c r="W2350" s="253"/>
    </row>
    <row r="2351" spans="4:23" ht="18.75" customHeight="1">
      <c r="H2351" s="274" t="s">
        <v>3529</v>
      </c>
      <c r="K2351" s="274">
        <f>SUM(K2347:K2350)</f>
        <v>985.44</v>
      </c>
      <c r="R2351" s="252" t="s">
        <v>3999</v>
      </c>
      <c r="W2351" s="253"/>
    </row>
    <row r="2352" spans="4:23" ht="18.75" customHeight="1">
      <c r="H2352" s="274" t="s">
        <v>3530</v>
      </c>
      <c r="K2352" s="274">
        <f>K2351/10</f>
        <v>98.54</v>
      </c>
      <c r="R2352" s="252">
        <v>0</v>
      </c>
      <c r="W2352" s="253"/>
    </row>
    <row r="2353" spans="6:23" ht="18.75" customHeight="1">
      <c r="H2353" s="274" t="s">
        <v>3531</v>
      </c>
      <c r="K2353" s="274">
        <f>K2352/3</f>
        <v>32.85</v>
      </c>
      <c r="O2353" s="1262" t="s">
        <v>1305</v>
      </c>
      <c r="P2353" s="1263"/>
      <c r="Q2353" s="1263"/>
      <c r="W2353" s="253"/>
    </row>
    <row r="2354" spans="6:23" ht="18.75" customHeight="1">
      <c r="G2354" s="360" t="s">
        <v>725</v>
      </c>
      <c r="H2354" s="252" t="s">
        <v>721</v>
      </c>
      <c r="I2354" s="274">
        <f>I2356-K2352</f>
        <v>848.08</v>
      </c>
      <c r="K2354" s="274"/>
      <c r="M2354" s="252">
        <v>1</v>
      </c>
      <c r="N2354" s="252" t="s">
        <v>2142</v>
      </c>
      <c r="O2354" s="252" t="s">
        <v>911</v>
      </c>
      <c r="P2354" s="252">
        <f>R2365</f>
        <v>398.52</v>
      </c>
      <c r="Q2354" s="296" t="s">
        <v>1393</v>
      </c>
      <c r="R2354" s="252">
        <f>P2354*M2354</f>
        <v>398.52</v>
      </c>
      <c r="W2354" s="253"/>
    </row>
    <row r="2355" spans="6:23" ht="18.75" customHeight="1">
      <c r="G2355" s="274"/>
      <c r="I2355" s="274"/>
      <c r="K2355" s="274"/>
      <c r="M2355" s="356">
        <v>7.0999999999999994E-2</v>
      </c>
      <c r="N2355" s="252" t="s">
        <v>2142</v>
      </c>
      <c r="O2355" s="252" t="s">
        <v>1163</v>
      </c>
      <c r="P2355" s="252">
        <f>P2346</f>
        <v>1577.9</v>
      </c>
      <c r="Q2355" s="296" t="s">
        <v>1393</v>
      </c>
      <c r="R2355" s="252">
        <f>P2355*M2355</f>
        <v>112.03</v>
      </c>
      <c r="W2355" s="253"/>
    </row>
    <row r="2356" spans="6:23" ht="18.75" customHeight="1">
      <c r="G2356" s="360" t="s">
        <v>517</v>
      </c>
      <c r="H2356" s="252" t="s">
        <v>722</v>
      </c>
      <c r="I2356" s="274">
        <f>K770</f>
        <v>946.62</v>
      </c>
      <c r="K2356" s="274"/>
      <c r="R2356" s="252" t="s">
        <v>1304</v>
      </c>
      <c r="W2356" s="253"/>
    </row>
    <row r="2357" spans="6:23" ht="18.75" customHeight="1">
      <c r="G2357" s="274"/>
      <c r="I2357" s="274"/>
      <c r="K2357" s="274"/>
      <c r="N2357" s="296"/>
      <c r="Q2357" s="296"/>
      <c r="R2357" s="274">
        <f>SUM(R2354:R2355)</f>
        <v>510.55</v>
      </c>
      <c r="W2357" s="253"/>
    </row>
    <row r="2358" spans="6:23" ht="18.75" customHeight="1">
      <c r="G2358" s="271" t="s">
        <v>313</v>
      </c>
      <c r="H2358" s="262" t="s">
        <v>723</v>
      </c>
      <c r="I2358" s="274">
        <f>I2356*1.2</f>
        <v>1135.94</v>
      </c>
      <c r="K2358" s="274"/>
      <c r="Q2358" s="296"/>
      <c r="R2358" s="252" t="s">
        <v>1304</v>
      </c>
      <c r="W2358" s="253"/>
    </row>
    <row r="2359" spans="6:23" ht="18.75" customHeight="1">
      <c r="G2359" s="360"/>
      <c r="K2359" s="274"/>
      <c r="M2359" s="252">
        <v>0.25</v>
      </c>
      <c r="N2359" s="252" t="s">
        <v>1389</v>
      </c>
      <c r="O2359" s="252" t="s">
        <v>1306</v>
      </c>
      <c r="P2359" s="252">
        <f>AE10</f>
        <v>932</v>
      </c>
      <c r="Q2359" s="296"/>
      <c r="R2359" s="252">
        <f>P2359*M2359</f>
        <v>233</v>
      </c>
      <c r="W2359" s="253"/>
    </row>
    <row r="2360" spans="6:23" ht="18.75" customHeight="1">
      <c r="G2360" s="360" t="s">
        <v>726</v>
      </c>
      <c r="H2360" s="252" t="s">
        <v>724</v>
      </c>
      <c r="I2360" s="274">
        <f>I2356*1.1</f>
        <v>1041.28</v>
      </c>
      <c r="K2360" s="274"/>
      <c r="M2360" s="252">
        <v>1</v>
      </c>
      <c r="N2360" s="252" t="s">
        <v>1389</v>
      </c>
      <c r="O2360" s="252" t="s">
        <v>1307</v>
      </c>
      <c r="P2360" s="252">
        <f>AE11</f>
        <v>651</v>
      </c>
      <c r="R2360" s="252">
        <f>P2360*M2360</f>
        <v>651</v>
      </c>
      <c r="W2360" s="253"/>
    </row>
    <row r="2361" spans="6:23" ht="18.75" customHeight="1">
      <c r="K2361" s="274"/>
      <c r="M2361" s="252">
        <v>1</v>
      </c>
      <c r="N2361" s="252" t="s">
        <v>1389</v>
      </c>
      <c r="O2361" s="268" t="s">
        <v>1308</v>
      </c>
      <c r="P2361" s="252" t="s">
        <v>654</v>
      </c>
      <c r="R2361" s="252">
        <f>(R2359+R2360)*10%</f>
        <v>88.4</v>
      </c>
      <c r="W2361" s="253"/>
    </row>
    <row r="2362" spans="6:23" ht="18.75" customHeight="1">
      <c r="R2362" s="252" t="s">
        <v>1304</v>
      </c>
      <c r="W2362" s="253"/>
    </row>
    <row r="2363" spans="6:23" ht="18.75" customHeight="1">
      <c r="H2363" s="274" t="s">
        <v>2181</v>
      </c>
      <c r="R2363" s="274">
        <f>SUM(R2359:R2361)</f>
        <v>972.4</v>
      </c>
      <c r="W2363" s="253"/>
    </row>
    <row r="2364" spans="6:23" ht="18.75" customHeight="1">
      <c r="F2364" s="252">
        <v>11.5</v>
      </c>
      <c r="G2364" s="252" t="s">
        <v>2273</v>
      </c>
      <c r="H2364" s="422" t="s">
        <v>4908</v>
      </c>
      <c r="I2364" s="370">
        <v>170.15</v>
      </c>
      <c r="J2364" s="296" t="s">
        <v>2273</v>
      </c>
      <c r="K2364" s="252">
        <f t="shared" ref="K2364:K2369" si="250">F2364*I2364</f>
        <v>1956.73</v>
      </c>
      <c r="R2364" s="252" t="s">
        <v>1304</v>
      </c>
      <c r="W2364" s="253"/>
    </row>
    <row r="2365" spans="6:23" ht="18.75" customHeight="1">
      <c r="F2365" s="252">
        <v>2</v>
      </c>
      <c r="G2365" s="252" t="s">
        <v>1956</v>
      </c>
      <c r="H2365" s="422" t="s">
        <v>4909</v>
      </c>
      <c r="I2365" s="370">
        <v>196.45</v>
      </c>
      <c r="J2365" s="296" t="s">
        <v>1957</v>
      </c>
      <c r="K2365" s="252">
        <f t="shared" si="250"/>
        <v>392.9</v>
      </c>
      <c r="R2365" s="252">
        <f>R2363/2.44</f>
        <v>398.52</v>
      </c>
      <c r="W2365" s="253"/>
    </row>
    <row r="2366" spans="6:23" ht="18.75" customHeight="1">
      <c r="F2366" s="252">
        <v>20</v>
      </c>
      <c r="G2366" s="252" t="s">
        <v>145</v>
      </c>
      <c r="H2366" s="541" t="s">
        <v>4910</v>
      </c>
      <c r="I2366" s="370">
        <v>3.91</v>
      </c>
      <c r="J2366" s="296" t="s">
        <v>145</v>
      </c>
      <c r="K2366" s="252">
        <f t="shared" si="250"/>
        <v>78.2</v>
      </c>
      <c r="W2366" s="253"/>
    </row>
    <row r="2367" spans="6:23" ht="18.75" customHeight="1">
      <c r="F2367" s="252">
        <v>2.2000000000000002</v>
      </c>
      <c r="G2367" s="252" t="s">
        <v>1389</v>
      </c>
      <c r="H2367" s="252" t="s">
        <v>961</v>
      </c>
      <c r="I2367" s="252">
        <f>AE18</f>
        <v>856</v>
      </c>
      <c r="J2367" s="296" t="s">
        <v>1393</v>
      </c>
      <c r="K2367" s="252">
        <f t="shared" si="250"/>
        <v>1883.2</v>
      </c>
      <c r="W2367" s="253"/>
    </row>
    <row r="2368" spans="6:23" ht="18.75" customHeight="1">
      <c r="F2368" s="252">
        <v>1.1000000000000001</v>
      </c>
      <c r="G2368" s="252" t="s">
        <v>1389</v>
      </c>
      <c r="H2368" s="252" t="s">
        <v>143</v>
      </c>
      <c r="I2368" s="252">
        <f>C16</f>
        <v>976</v>
      </c>
      <c r="J2368" s="296" t="s">
        <v>1393</v>
      </c>
      <c r="K2368" s="252">
        <f t="shared" si="250"/>
        <v>1073.5999999999999</v>
      </c>
      <c r="W2368" s="253"/>
    </row>
    <row r="2369" spans="6:23" ht="18.75" customHeight="1">
      <c r="F2369" s="252">
        <v>3.2</v>
      </c>
      <c r="G2369" s="252" t="s">
        <v>1389</v>
      </c>
      <c r="H2369" s="252" t="s">
        <v>144</v>
      </c>
      <c r="I2369" s="252">
        <f>C12</f>
        <v>651</v>
      </c>
      <c r="J2369" s="296" t="s">
        <v>1393</v>
      </c>
      <c r="K2369" s="252">
        <f t="shared" si="250"/>
        <v>2083.1999999999998</v>
      </c>
      <c r="O2369" s="253"/>
      <c r="W2369" s="253"/>
    </row>
    <row r="2370" spans="6:23" ht="18.75" customHeight="1">
      <c r="H2370" s="252" t="s">
        <v>1451</v>
      </c>
      <c r="J2370" s="296" t="s">
        <v>446</v>
      </c>
      <c r="K2370" s="252">
        <v>0.5</v>
      </c>
      <c r="O2370" s="255" t="s">
        <v>2182</v>
      </c>
      <c r="Q2370" s="296"/>
      <c r="W2370" s="253"/>
    </row>
    <row r="2371" spans="6:23" ht="18.75" customHeight="1">
      <c r="K2371" s="377" t="s">
        <v>146</v>
      </c>
      <c r="M2371" s="252">
        <v>11</v>
      </c>
      <c r="N2371" s="252" t="s">
        <v>2273</v>
      </c>
      <c r="O2371" s="252" t="s">
        <v>2885</v>
      </c>
      <c r="P2371" s="364">
        <f>I2364</f>
        <v>170.15</v>
      </c>
      <c r="Q2371" s="296" t="s">
        <v>2273</v>
      </c>
      <c r="R2371" s="252">
        <f>M2371*P2371</f>
        <v>1871.65</v>
      </c>
      <c r="W2371" s="253"/>
    </row>
    <row r="2372" spans="6:23" ht="18.75" customHeight="1">
      <c r="H2372" s="255" t="s">
        <v>1452</v>
      </c>
      <c r="K2372" s="274">
        <f>SUM(K2364:K2371)</f>
        <v>7468.33</v>
      </c>
      <c r="M2372" s="252">
        <v>20</v>
      </c>
      <c r="N2372" s="296" t="s">
        <v>279</v>
      </c>
      <c r="O2372" s="252" t="s">
        <v>791</v>
      </c>
      <c r="P2372" s="364">
        <f>I2366</f>
        <v>3.91</v>
      </c>
      <c r="Q2372" s="296" t="s">
        <v>279</v>
      </c>
      <c r="R2372" s="252">
        <f>M2372*P2372</f>
        <v>78.2</v>
      </c>
      <c r="W2372" s="253"/>
    </row>
    <row r="2373" spans="6:23" ht="18.75" customHeight="1">
      <c r="K2373" s="377" t="s">
        <v>146</v>
      </c>
      <c r="M2373" s="252">
        <v>2.2000000000000002</v>
      </c>
      <c r="N2373" s="252" t="s">
        <v>1389</v>
      </c>
      <c r="O2373" s="252" t="s">
        <v>961</v>
      </c>
      <c r="P2373" s="252">
        <f>AE18</f>
        <v>856</v>
      </c>
      <c r="Q2373" s="296" t="s">
        <v>1393</v>
      </c>
      <c r="R2373" s="252">
        <f>M2373*P2373</f>
        <v>1883.2</v>
      </c>
      <c r="W2373" s="253"/>
    </row>
    <row r="2374" spans="6:23" ht="18.75" customHeight="1">
      <c r="H2374" s="255" t="s">
        <v>1941</v>
      </c>
      <c r="I2374" s="252" t="s">
        <v>971</v>
      </c>
      <c r="K2374" s="274">
        <f>K2372/10</f>
        <v>746.83</v>
      </c>
      <c r="M2374" s="252">
        <v>1.1000000000000001</v>
      </c>
      <c r="N2374" s="252" t="s">
        <v>1389</v>
      </c>
      <c r="O2374" s="252" t="s">
        <v>143</v>
      </c>
      <c r="P2374" s="252">
        <f>I2368</f>
        <v>976</v>
      </c>
      <c r="Q2374" s="296" t="s">
        <v>1393</v>
      </c>
      <c r="R2374" s="252">
        <f>M2374*P2374</f>
        <v>1073.5999999999999</v>
      </c>
      <c r="W2374" s="253"/>
    </row>
    <row r="2375" spans="6:23" ht="18.75" customHeight="1">
      <c r="K2375" s="377" t="s">
        <v>146</v>
      </c>
      <c r="M2375" s="252">
        <v>3.2</v>
      </c>
      <c r="N2375" s="252" t="s">
        <v>1389</v>
      </c>
      <c r="O2375" s="252" t="s">
        <v>144</v>
      </c>
      <c r="P2375" s="252">
        <f>I2369</f>
        <v>651</v>
      </c>
      <c r="Q2375" s="296" t="s">
        <v>1393</v>
      </c>
      <c r="R2375" s="252">
        <f>M2375*P2375</f>
        <v>2083.1999999999998</v>
      </c>
      <c r="W2375" s="253"/>
    </row>
    <row r="2376" spans="6:23" ht="18.75" customHeight="1">
      <c r="O2376" s="252" t="s">
        <v>1451</v>
      </c>
      <c r="Q2376" s="296" t="s">
        <v>654</v>
      </c>
      <c r="R2376" s="252">
        <v>0.74</v>
      </c>
      <c r="W2376" s="253"/>
    </row>
    <row r="2377" spans="6:23" ht="18.75" customHeight="1">
      <c r="W2377" s="253"/>
    </row>
    <row r="2378" spans="6:23" ht="18.75" customHeight="1">
      <c r="H2378" s="275" t="s">
        <v>2017</v>
      </c>
      <c r="Q2378" s="296"/>
      <c r="R2378" s="377" t="s">
        <v>146</v>
      </c>
      <c r="W2378" s="253"/>
    </row>
    <row r="2379" spans="6:23" ht="18.75" customHeight="1">
      <c r="O2379" s="255" t="s">
        <v>1452</v>
      </c>
      <c r="Q2379" s="296"/>
      <c r="R2379" s="274">
        <f>SUM(R2371:R2378)</f>
        <v>6990.59</v>
      </c>
      <c r="W2379" s="253"/>
    </row>
    <row r="2380" spans="6:23" ht="18.75" customHeight="1">
      <c r="F2380" s="252" t="s">
        <v>2018</v>
      </c>
      <c r="H2380" s="252" t="s">
        <v>2019</v>
      </c>
      <c r="Q2380" s="296"/>
      <c r="R2380" s="377" t="s">
        <v>146</v>
      </c>
      <c r="W2380" s="253"/>
    </row>
    <row r="2381" spans="6:23" ht="18.75" customHeight="1">
      <c r="H2381" s="252" t="s">
        <v>349</v>
      </c>
      <c r="O2381" s="255" t="s">
        <v>1453</v>
      </c>
      <c r="Q2381" s="296"/>
      <c r="R2381" s="274">
        <f>R2379/10</f>
        <v>699.06</v>
      </c>
      <c r="W2381" s="253"/>
    </row>
    <row r="2382" spans="6:23" ht="18.75" customHeight="1">
      <c r="Q2382" s="296"/>
      <c r="R2382" s="377" t="s">
        <v>146</v>
      </c>
      <c r="W2382" s="253"/>
    </row>
    <row r="2383" spans="6:23" ht="18.75" customHeight="1">
      <c r="F2383" s="252">
        <v>1.96</v>
      </c>
      <c r="G2383" s="252" t="s">
        <v>2142</v>
      </c>
      <c r="H2383" s="252" t="s">
        <v>350</v>
      </c>
      <c r="I2383" s="252">
        <f>K1713</f>
        <v>6057.95</v>
      </c>
      <c r="J2383" s="296" t="s">
        <v>866</v>
      </c>
      <c r="K2383" s="252">
        <f t="shared" ref="K2383:K2388" si="251">(F2383*I2383)</f>
        <v>11873.58</v>
      </c>
      <c r="W2383" s="253"/>
    </row>
    <row r="2384" spans="6:23" ht="18.75" customHeight="1">
      <c r="F2384" s="252">
        <v>2</v>
      </c>
      <c r="G2384" s="252" t="s">
        <v>1389</v>
      </c>
      <c r="H2384" s="252" t="s">
        <v>351</v>
      </c>
      <c r="I2384" s="252">
        <f>C10</f>
        <v>999</v>
      </c>
      <c r="J2384" s="296" t="s">
        <v>865</v>
      </c>
      <c r="K2384" s="252">
        <f t="shared" si="251"/>
        <v>1998</v>
      </c>
      <c r="W2384" s="253"/>
    </row>
    <row r="2385" spans="5:23" ht="18.75" customHeight="1">
      <c r="F2385" s="252">
        <v>2</v>
      </c>
      <c r="G2385" s="252" t="s">
        <v>1389</v>
      </c>
      <c r="H2385" s="252" t="s">
        <v>352</v>
      </c>
      <c r="I2385" s="252">
        <f>C13</f>
        <v>534</v>
      </c>
      <c r="J2385" s="296" t="s">
        <v>865</v>
      </c>
      <c r="K2385" s="252">
        <f t="shared" si="251"/>
        <v>1068</v>
      </c>
      <c r="N2385" s="252" t="s">
        <v>2241</v>
      </c>
      <c r="Q2385" s="296"/>
      <c r="W2385" s="253"/>
    </row>
    <row r="2386" spans="5:23" ht="18.75" customHeight="1">
      <c r="F2386" s="252">
        <v>0.28000000000000003</v>
      </c>
      <c r="G2386" s="252" t="s">
        <v>2273</v>
      </c>
      <c r="H2386" s="252" t="s">
        <v>353</v>
      </c>
      <c r="I2386" s="252">
        <f>I2354</f>
        <v>848.08</v>
      </c>
      <c r="J2386" s="296" t="s">
        <v>865</v>
      </c>
      <c r="K2386" s="252">
        <f t="shared" si="251"/>
        <v>237.46</v>
      </c>
      <c r="O2386" s="296" t="s">
        <v>5714</v>
      </c>
      <c r="Q2386" s="253"/>
      <c r="W2386" s="253"/>
    </row>
    <row r="2387" spans="5:23" ht="18.75" customHeight="1">
      <c r="F2387" s="252">
        <v>500</v>
      </c>
      <c r="G2387" s="252" t="s">
        <v>1389</v>
      </c>
      <c r="H2387" s="389" t="s">
        <v>2137</v>
      </c>
      <c r="I2387" s="252">
        <v>2</v>
      </c>
      <c r="J2387" s="296" t="s">
        <v>865</v>
      </c>
      <c r="K2387" s="252">
        <f t="shared" si="251"/>
        <v>1000</v>
      </c>
      <c r="O2387" s="296" t="s">
        <v>3654</v>
      </c>
      <c r="Q2387" s="253"/>
      <c r="W2387" s="253"/>
    </row>
    <row r="2388" spans="5:23" ht="18.75" customHeight="1">
      <c r="F2388" s="252">
        <v>8.5</v>
      </c>
      <c r="G2388" s="252" t="s">
        <v>2138</v>
      </c>
      <c r="H2388" s="368" t="s">
        <v>4217</v>
      </c>
      <c r="I2388" s="420">
        <v>43.6</v>
      </c>
      <c r="J2388" s="296" t="s">
        <v>2138</v>
      </c>
      <c r="K2388" s="252">
        <f t="shared" si="251"/>
        <v>370.6</v>
      </c>
      <c r="O2388" s="296" t="s">
        <v>3655</v>
      </c>
      <c r="Q2388" s="253"/>
      <c r="W2388" s="253"/>
    </row>
    <row r="2389" spans="5:23" ht="18.75" customHeight="1">
      <c r="H2389" s="252" t="s">
        <v>2261</v>
      </c>
      <c r="K2389" s="407">
        <v>1.96</v>
      </c>
      <c r="O2389" s="296" t="s">
        <v>3656</v>
      </c>
      <c r="Q2389" s="253"/>
      <c r="W2389" s="253"/>
    </row>
    <row r="2390" spans="5:23" ht="18.75" customHeight="1">
      <c r="I2390" s="252" t="s">
        <v>1721</v>
      </c>
      <c r="K2390" s="252">
        <f>SUM(K2383:K2389)</f>
        <v>16549.599999999999</v>
      </c>
      <c r="O2390" s="358" t="s">
        <v>1579</v>
      </c>
      <c r="P2390" s="358" t="s">
        <v>1579</v>
      </c>
      <c r="Q2390" s="253"/>
      <c r="W2390" s="253"/>
    </row>
    <row r="2391" spans="5:23" ht="18.75" customHeight="1">
      <c r="K2391" s="358" t="s">
        <v>1579</v>
      </c>
      <c r="M2391" s="252">
        <v>8</v>
      </c>
      <c r="N2391" s="252" t="s">
        <v>1865</v>
      </c>
      <c r="O2391" s="296" t="s">
        <v>4252</v>
      </c>
      <c r="P2391" s="435">
        <v>4.0999999999999996</v>
      </c>
      <c r="Q2391" s="253" t="s">
        <v>1393</v>
      </c>
      <c r="R2391" s="252">
        <f>P2391*M2391</f>
        <v>32.799999999999997</v>
      </c>
      <c r="W2391" s="253"/>
    </row>
    <row r="2392" spans="5:23" ht="18.75" customHeight="1">
      <c r="E2392" s="252">
        <f>23+26.65</f>
        <v>49.65</v>
      </c>
      <c r="I2392" s="252" t="s">
        <v>1722</v>
      </c>
      <c r="K2392" s="274">
        <f>K2390/39.2</f>
        <v>422.18</v>
      </c>
      <c r="M2392" s="252">
        <v>8</v>
      </c>
      <c r="N2392" s="252" t="s">
        <v>1865</v>
      </c>
      <c r="O2392" s="296" t="s">
        <v>3657</v>
      </c>
      <c r="P2392" s="435">
        <v>3.69</v>
      </c>
      <c r="Q2392" s="253" t="s">
        <v>1393</v>
      </c>
      <c r="R2392" s="252">
        <f>P2392*M2392</f>
        <v>29.52</v>
      </c>
      <c r="W2392" s="253"/>
    </row>
    <row r="2393" spans="5:23" ht="18.75" customHeight="1">
      <c r="E2393" s="252">
        <f>E2392/2</f>
        <v>24.83</v>
      </c>
      <c r="K2393" s="358" t="s">
        <v>2046</v>
      </c>
      <c r="M2393" s="252">
        <v>8</v>
      </c>
      <c r="N2393" s="252" t="s">
        <v>1865</v>
      </c>
      <c r="O2393" s="296" t="s">
        <v>3658</v>
      </c>
      <c r="P2393" s="435">
        <v>4.0999999999999996</v>
      </c>
      <c r="Q2393" s="253" t="s">
        <v>1393</v>
      </c>
      <c r="R2393" s="252">
        <f>P2393*M2393</f>
        <v>32.799999999999997</v>
      </c>
      <c r="W2393" s="253"/>
    </row>
    <row r="2394" spans="5:23" ht="18.75" customHeight="1">
      <c r="M2394" s="252">
        <v>0.75</v>
      </c>
      <c r="N2394" s="252" t="s">
        <v>1637</v>
      </c>
      <c r="O2394" s="296" t="s">
        <v>3659</v>
      </c>
      <c r="P2394" s="314">
        <v>176.4</v>
      </c>
      <c r="Q2394" s="253" t="s">
        <v>1393</v>
      </c>
      <c r="R2394" s="252">
        <f t="shared" ref="R2394:R2399" si="252">(M2394*P2394)</f>
        <v>132.30000000000001</v>
      </c>
      <c r="W2394" s="253"/>
    </row>
    <row r="2395" spans="5:23" ht="18.75" customHeight="1">
      <c r="M2395" s="252">
        <v>2.25</v>
      </c>
      <c r="N2395" s="252" t="s">
        <v>3660</v>
      </c>
      <c r="O2395" s="296" t="s">
        <v>3661</v>
      </c>
      <c r="P2395" s="314">
        <v>140.41</v>
      </c>
      <c r="Q2395" s="253" t="s">
        <v>3660</v>
      </c>
      <c r="R2395" s="252">
        <f t="shared" si="252"/>
        <v>315.92</v>
      </c>
      <c r="W2395" s="253"/>
    </row>
    <row r="2396" spans="5:23" ht="18.75" customHeight="1">
      <c r="H2396" s="274" t="s">
        <v>971</v>
      </c>
      <c r="M2396" s="252">
        <v>4.5</v>
      </c>
      <c r="N2396" s="252" t="s">
        <v>3660</v>
      </c>
      <c r="O2396" s="296" t="s">
        <v>3662</v>
      </c>
      <c r="P2396" s="314">
        <v>65</v>
      </c>
      <c r="Q2396" s="253" t="s">
        <v>3660</v>
      </c>
      <c r="R2396" s="252">
        <f t="shared" si="252"/>
        <v>292.5</v>
      </c>
      <c r="W2396" s="253"/>
    </row>
    <row r="2397" spans="5:23" ht="18.75" customHeight="1">
      <c r="F2397" s="252">
        <v>1</v>
      </c>
      <c r="G2397" s="252" t="s">
        <v>1389</v>
      </c>
      <c r="H2397" s="542" t="s">
        <v>5459</v>
      </c>
      <c r="I2397" s="370">
        <v>454.5</v>
      </c>
      <c r="J2397" s="296" t="s">
        <v>865</v>
      </c>
      <c r="K2397" s="252">
        <f>(F2397*I2397)</f>
        <v>454.5</v>
      </c>
      <c r="M2397" s="252">
        <v>6</v>
      </c>
      <c r="N2397" s="252" t="s">
        <v>1865</v>
      </c>
      <c r="O2397" s="296" t="s">
        <v>3663</v>
      </c>
      <c r="P2397" s="314">
        <v>8</v>
      </c>
      <c r="Q2397" s="253" t="s">
        <v>1393</v>
      </c>
      <c r="R2397" s="252">
        <f t="shared" si="252"/>
        <v>48</v>
      </c>
      <c r="W2397" s="253"/>
    </row>
    <row r="2398" spans="5:23" ht="18.75" customHeight="1">
      <c r="F2398" s="252">
        <v>0.25</v>
      </c>
      <c r="G2398" s="252" t="s">
        <v>1389</v>
      </c>
      <c r="H2398" s="252" t="s">
        <v>351</v>
      </c>
      <c r="I2398" s="252">
        <f>I2384</f>
        <v>999</v>
      </c>
      <c r="J2398" s="296" t="s">
        <v>865</v>
      </c>
      <c r="K2398" s="252">
        <f>(F2398*I2398)</f>
        <v>249.75</v>
      </c>
      <c r="M2398" s="252">
        <v>6</v>
      </c>
      <c r="N2398" s="252" t="s">
        <v>1865</v>
      </c>
      <c r="O2398" s="296" t="s">
        <v>3664</v>
      </c>
      <c r="P2398" s="314">
        <v>8.61</v>
      </c>
      <c r="Q2398" s="253" t="s">
        <v>1393</v>
      </c>
      <c r="R2398" s="252">
        <f t="shared" si="252"/>
        <v>51.66</v>
      </c>
      <c r="W2398" s="253"/>
    </row>
    <row r="2399" spans="5:23" ht="18.75" customHeight="1">
      <c r="F2399" s="252">
        <v>0.28000000000000003</v>
      </c>
      <c r="G2399" s="252" t="s">
        <v>2273</v>
      </c>
      <c r="H2399" s="252" t="s">
        <v>651</v>
      </c>
      <c r="I2399" s="252">
        <f>C12</f>
        <v>651</v>
      </c>
      <c r="J2399" s="296" t="s">
        <v>865</v>
      </c>
      <c r="K2399" s="252">
        <f>(F2399*I2399)</f>
        <v>182.28</v>
      </c>
      <c r="M2399" s="252">
        <v>4</v>
      </c>
      <c r="N2399" s="252" t="s">
        <v>1865</v>
      </c>
      <c r="O2399" s="296" t="s">
        <v>3665</v>
      </c>
      <c r="P2399" s="314">
        <v>8.61</v>
      </c>
      <c r="Q2399" s="253" t="s">
        <v>1393</v>
      </c>
      <c r="R2399" s="252">
        <f t="shared" si="252"/>
        <v>34.44</v>
      </c>
      <c r="W2399" s="253"/>
    </row>
    <row r="2400" spans="5:23" ht="18.75" customHeight="1">
      <c r="H2400" s="389"/>
      <c r="M2400" s="252">
        <v>300</v>
      </c>
      <c r="N2400" s="252" t="s">
        <v>3666</v>
      </c>
      <c r="O2400" s="296" t="s">
        <v>3667</v>
      </c>
      <c r="P2400" s="314">
        <v>30</v>
      </c>
      <c r="Q2400" s="253" t="s">
        <v>4225</v>
      </c>
      <c r="R2400" s="252">
        <f>P2400*M2400/100</f>
        <v>90</v>
      </c>
      <c r="W2400" s="253"/>
    </row>
    <row r="2401" spans="6:23" ht="18.75" customHeight="1">
      <c r="M2401" s="252">
        <v>300</v>
      </c>
      <c r="N2401" s="252" t="s">
        <v>3666</v>
      </c>
      <c r="O2401" s="296" t="s">
        <v>3668</v>
      </c>
      <c r="P2401" s="314">
        <v>44.99</v>
      </c>
      <c r="Q2401" s="253" t="s">
        <v>4226</v>
      </c>
      <c r="R2401" s="252">
        <f>P2401*M2401/500</f>
        <v>26.99</v>
      </c>
      <c r="W2401" s="253"/>
    </row>
    <row r="2402" spans="6:23" ht="18.75" customHeight="1">
      <c r="K2402" s="543" t="s">
        <v>146</v>
      </c>
      <c r="M2402" s="252">
        <v>1.5</v>
      </c>
      <c r="N2402" s="252" t="s">
        <v>1637</v>
      </c>
      <c r="O2402" s="296" t="s">
        <v>3669</v>
      </c>
      <c r="P2402" s="314">
        <v>20.95</v>
      </c>
      <c r="Q2402" s="253" t="s">
        <v>1637</v>
      </c>
      <c r="R2402" s="252">
        <f>P2402*M2402</f>
        <v>31.43</v>
      </c>
      <c r="W2402" s="253"/>
    </row>
    <row r="2403" spans="6:23" ht="18.75" customHeight="1">
      <c r="K2403" s="274">
        <f>SUM(K2397:K2402)</f>
        <v>886.53</v>
      </c>
      <c r="M2403" s="252">
        <v>2.25</v>
      </c>
      <c r="N2403" s="252" t="s">
        <v>3660</v>
      </c>
      <c r="O2403" s="296" t="s">
        <v>4253</v>
      </c>
      <c r="P2403" s="314">
        <v>212.41</v>
      </c>
      <c r="Q2403" s="253" t="s">
        <v>3660</v>
      </c>
      <c r="R2403" s="252">
        <f>(M2403*P2403)</f>
        <v>477.92</v>
      </c>
      <c r="W2403" s="253"/>
    </row>
    <row r="2404" spans="6:23" ht="18.75" customHeight="1">
      <c r="K2404" s="543" t="s">
        <v>146</v>
      </c>
      <c r="M2404" s="252">
        <v>0.75</v>
      </c>
      <c r="N2404" s="252" t="s">
        <v>3660</v>
      </c>
      <c r="O2404" s="296" t="s">
        <v>3670</v>
      </c>
      <c r="P2404" s="314">
        <v>205.21</v>
      </c>
      <c r="Q2404" s="253" t="s">
        <v>3660</v>
      </c>
      <c r="R2404" s="252">
        <f>(M2404*P2404)</f>
        <v>153.91</v>
      </c>
      <c r="W2404" s="253"/>
    </row>
    <row r="2405" spans="6:23" ht="18.75" customHeight="1">
      <c r="M2405" s="252">
        <v>2.25</v>
      </c>
      <c r="N2405" s="252" t="s">
        <v>3660</v>
      </c>
      <c r="O2405" s="296" t="s">
        <v>3671</v>
      </c>
      <c r="P2405" s="314">
        <v>185.21</v>
      </c>
      <c r="Q2405" s="253" t="s">
        <v>3660</v>
      </c>
      <c r="R2405" s="252">
        <f>(M2405*P2405)</f>
        <v>416.72</v>
      </c>
      <c r="W2405" s="253"/>
    </row>
    <row r="2406" spans="6:23" ht="18.75" customHeight="1">
      <c r="M2406" s="252">
        <v>500</v>
      </c>
      <c r="N2406" s="252" t="s">
        <v>3666</v>
      </c>
      <c r="O2406" s="296" t="s">
        <v>3672</v>
      </c>
      <c r="P2406" s="314">
        <v>52.25</v>
      </c>
      <c r="Q2406" s="253" t="s">
        <v>1637</v>
      </c>
      <c r="R2406" s="252">
        <f>(M2406*P2406)/1000</f>
        <v>26.13</v>
      </c>
      <c r="W2406" s="253"/>
    </row>
    <row r="2407" spans="6:23" ht="18.75" customHeight="1">
      <c r="H2407" s="274" t="s">
        <v>2112</v>
      </c>
      <c r="M2407" s="252">
        <v>1</v>
      </c>
      <c r="N2407" s="252" t="s">
        <v>1865</v>
      </c>
      <c r="O2407" s="296" t="s">
        <v>3673</v>
      </c>
      <c r="P2407" s="314">
        <v>131.21</v>
      </c>
      <c r="Q2407" s="253" t="s">
        <v>4227</v>
      </c>
      <c r="R2407" s="252">
        <f>P2407/1</f>
        <v>131.21</v>
      </c>
      <c r="W2407" s="253"/>
    </row>
    <row r="2408" spans="6:23" ht="18.75" customHeight="1">
      <c r="F2408" s="252">
        <v>1</v>
      </c>
      <c r="G2408" s="252" t="s">
        <v>1389</v>
      </c>
      <c r="H2408" s="422" t="s">
        <v>4245</v>
      </c>
      <c r="I2408" s="252">
        <f>C619</f>
        <v>940</v>
      </c>
      <c r="J2408" s="296" t="s">
        <v>865</v>
      </c>
      <c r="K2408" s="252">
        <f>(F2408*I2408)</f>
        <v>940</v>
      </c>
      <c r="M2408" s="252">
        <v>1</v>
      </c>
      <c r="N2408" s="252" t="s">
        <v>1865</v>
      </c>
      <c r="O2408" s="296" t="s">
        <v>3674</v>
      </c>
      <c r="P2408" s="314">
        <v>12.3</v>
      </c>
      <c r="Q2408" s="253" t="s">
        <v>4227</v>
      </c>
      <c r="R2408" s="252">
        <f>P2408/1</f>
        <v>12.3</v>
      </c>
      <c r="W2408" s="253"/>
    </row>
    <row r="2409" spans="6:23" ht="18.75" customHeight="1">
      <c r="F2409" s="252">
        <v>0.5</v>
      </c>
      <c r="G2409" s="252" t="s">
        <v>1389</v>
      </c>
      <c r="H2409" s="252" t="s">
        <v>2053</v>
      </c>
      <c r="I2409" s="252">
        <f>C15</f>
        <v>866</v>
      </c>
      <c r="J2409" s="296" t="s">
        <v>865</v>
      </c>
      <c r="K2409" s="252">
        <f>(F2409*I2409)</f>
        <v>433</v>
      </c>
      <c r="M2409" s="252">
        <v>4</v>
      </c>
      <c r="N2409" s="252" t="s">
        <v>1865</v>
      </c>
      <c r="O2409" s="393" t="s">
        <v>3675</v>
      </c>
      <c r="P2409" s="252">
        <f>AE13</f>
        <v>797</v>
      </c>
      <c r="Q2409" s="253" t="s">
        <v>1393</v>
      </c>
      <c r="R2409" s="252">
        <f>(M2409*P2409)</f>
        <v>3188</v>
      </c>
      <c r="W2409" s="253"/>
    </row>
    <row r="2410" spans="6:23" ht="18.75" customHeight="1">
      <c r="F2410" s="252">
        <v>0.5</v>
      </c>
      <c r="G2410" s="252" t="s">
        <v>1389</v>
      </c>
      <c r="H2410" s="252" t="s">
        <v>351</v>
      </c>
      <c r="I2410" s="252">
        <f>I2398</f>
        <v>999</v>
      </c>
      <c r="J2410" s="296" t="s">
        <v>865</v>
      </c>
      <c r="K2410" s="252">
        <f>(F2410*I2410)</f>
        <v>499.5</v>
      </c>
      <c r="M2410" s="252">
        <v>2</v>
      </c>
      <c r="N2410" s="252" t="s">
        <v>1865</v>
      </c>
      <c r="O2410" s="393" t="s">
        <v>3676</v>
      </c>
      <c r="P2410" s="252">
        <f>AE14</f>
        <v>772</v>
      </c>
      <c r="Q2410" s="253" t="s">
        <v>1393</v>
      </c>
      <c r="R2410" s="252">
        <f>(M2410*P2410)</f>
        <v>1544</v>
      </c>
      <c r="W2410" s="253"/>
    </row>
    <row r="2411" spans="6:23" ht="18.75" customHeight="1">
      <c r="F2411" s="252">
        <v>0.5</v>
      </c>
      <c r="G2411" s="252" t="s">
        <v>2273</v>
      </c>
      <c r="H2411" s="252" t="s">
        <v>651</v>
      </c>
      <c r="I2411" s="252">
        <f>I2399</f>
        <v>651</v>
      </c>
      <c r="J2411" s="296" t="s">
        <v>865</v>
      </c>
      <c r="K2411" s="252">
        <f>(F2411*I2411)</f>
        <v>325.5</v>
      </c>
      <c r="M2411" s="252">
        <v>2</v>
      </c>
      <c r="N2411" s="252" t="s">
        <v>1865</v>
      </c>
      <c r="O2411" s="393" t="s">
        <v>3677</v>
      </c>
      <c r="P2411" s="252">
        <f>AE12</f>
        <v>534</v>
      </c>
      <c r="Q2411" s="253" t="s">
        <v>1393</v>
      </c>
      <c r="R2411" s="252">
        <f>(M2411*P2411)</f>
        <v>1068</v>
      </c>
      <c r="W2411" s="253"/>
    </row>
    <row r="2412" spans="6:23" ht="18.75" customHeight="1">
      <c r="H2412" s="252" t="s">
        <v>304</v>
      </c>
      <c r="J2412" s="253" t="s">
        <v>67</v>
      </c>
      <c r="K2412" s="252">
        <v>0.25</v>
      </c>
      <c r="O2412" s="296" t="s">
        <v>3678</v>
      </c>
      <c r="Q2412" s="253"/>
      <c r="R2412" s="252">
        <v>20</v>
      </c>
      <c r="W2412" s="253"/>
    </row>
    <row r="2413" spans="6:23" ht="18.75" customHeight="1">
      <c r="Q2413" s="296"/>
      <c r="R2413" s="377" t="s">
        <v>3679</v>
      </c>
      <c r="W2413" s="253"/>
    </row>
    <row r="2414" spans="6:23" ht="18.75" customHeight="1">
      <c r="K2414" s="543" t="s">
        <v>146</v>
      </c>
      <c r="O2414" s="296" t="s">
        <v>5715</v>
      </c>
      <c r="Q2414" s="296"/>
      <c r="R2414" s="252">
        <f>SUM(R2391:R2413)</f>
        <v>8156.55</v>
      </c>
      <c r="W2414" s="253"/>
    </row>
    <row r="2415" spans="6:23" ht="18.75" customHeight="1">
      <c r="K2415" s="274">
        <f>SUM(K2408:K2414)</f>
        <v>2198.25</v>
      </c>
      <c r="O2415" s="274"/>
      <c r="P2415" s="274"/>
      <c r="Q2415" s="276"/>
      <c r="R2415" s="358" t="s">
        <v>2046</v>
      </c>
      <c r="W2415" s="253"/>
    </row>
    <row r="2416" spans="6:23" ht="18.75" customHeight="1">
      <c r="K2416" s="543" t="s">
        <v>146</v>
      </c>
      <c r="O2416" s="274" t="s">
        <v>3215</v>
      </c>
      <c r="P2416" s="274"/>
      <c r="Q2416" s="276"/>
      <c r="R2416" s="360">
        <f>R2414/5.67</f>
        <v>1438.54</v>
      </c>
      <c r="W2416" s="253"/>
    </row>
    <row r="2417" spans="6:23" ht="18.75" customHeight="1">
      <c r="K2417" s="253"/>
      <c r="W2417" s="253"/>
    </row>
    <row r="2418" spans="6:23" ht="18.75" customHeight="1">
      <c r="K2418" s="253"/>
      <c r="W2418" s="253"/>
    </row>
    <row r="2419" spans="6:23" ht="18.75" customHeight="1">
      <c r="K2419" s="253"/>
      <c r="W2419" s="253"/>
    </row>
    <row r="2420" spans="6:23" ht="18.75" customHeight="1">
      <c r="F2420" s="253" t="s">
        <v>931</v>
      </c>
      <c r="G2420" s="253"/>
      <c r="H2420" s="1268" t="s">
        <v>341</v>
      </c>
      <c r="I2420" s="1268"/>
      <c r="J2420" s="1268"/>
      <c r="K2420" s="1268"/>
      <c r="W2420" s="253"/>
    </row>
    <row r="2421" spans="6:23" ht="18.75" customHeight="1">
      <c r="F2421" s="253"/>
      <c r="G2421" s="253"/>
      <c r="H2421" s="253"/>
      <c r="I2421" s="253"/>
      <c r="W2421" s="253"/>
    </row>
    <row r="2422" spans="6:23" ht="18.75" customHeight="1">
      <c r="F2422" s="252">
        <v>10.5</v>
      </c>
      <c r="G2422" s="252" t="s">
        <v>2273</v>
      </c>
      <c r="H2422" s="1267" t="s">
        <v>4911</v>
      </c>
      <c r="I2422" s="370">
        <v>318</v>
      </c>
      <c r="J2422" s="296" t="s">
        <v>2273</v>
      </c>
      <c r="K2422" s="252">
        <f>(F2422*I2422)</f>
        <v>3339</v>
      </c>
      <c r="W2422" s="253"/>
    </row>
    <row r="2423" spans="6:23" ht="18.75" customHeight="1">
      <c r="H2423" s="1267"/>
      <c r="I2423" s="296" t="s">
        <v>971</v>
      </c>
      <c r="K2423" s="296" t="s">
        <v>971</v>
      </c>
      <c r="W2423" s="253"/>
    </row>
    <row r="2424" spans="6:23" ht="18.75" customHeight="1">
      <c r="F2424" s="252">
        <v>0.22</v>
      </c>
      <c r="G2424" s="252" t="s">
        <v>866</v>
      </c>
      <c r="H2424" s="296" t="s">
        <v>1868</v>
      </c>
      <c r="I2424" s="252">
        <f>K32</f>
        <v>4861.3</v>
      </c>
      <c r="J2424" s="296" t="s">
        <v>866</v>
      </c>
      <c r="K2424" s="252">
        <f>(F2424*I2424)</f>
        <v>1069.49</v>
      </c>
      <c r="W2424" s="253"/>
    </row>
    <row r="2425" spans="6:23" ht="18.75" customHeight="1">
      <c r="F2425" s="252">
        <v>64</v>
      </c>
      <c r="G2425" s="252" t="s">
        <v>1637</v>
      </c>
      <c r="H2425" s="296" t="s">
        <v>342</v>
      </c>
      <c r="I2425" s="252">
        <f>C67</f>
        <v>6040</v>
      </c>
      <c r="J2425" s="296" t="s">
        <v>343</v>
      </c>
      <c r="K2425" s="252">
        <f>I2425*F2425/1000</f>
        <v>386.56</v>
      </c>
      <c r="W2425" s="253"/>
    </row>
    <row r="2426" spans="6:23" ht="18.75" customHeight="1">
      <c r="F2426" s="252">
        <v>4.5</v>
      </c>
      <c r="G2426" s="252" t="s">
        <v>1637</v>
      </c>
      <c r="H2426" s="544" t="s">
        <v>4246</v>
      </c>
      <c r="I2426" s="252">
        <f>C608</f>
        <v>24.93</v>
      </c>
      <c r="J2426" s="296" t="s">
        <v>1637</v>
      </c>
      <c r="K2426" s="252">
        <f>F2426*I2426</f>
        <v>112.19</v>
      </c>
      <c r="W2426" s="253"/>
    </row>
    <row r="2427" spans="6:23" ht="18.75" customHeight="1">
      <c r="F2427" s="252">
        <v>5.4</v>
      </c>
      <c r="G2427" s="252" t="s">
        <v>766</v>
      </c>
      <c r="H2427" s="296" t="s">
        <v>344</v>
      </c>
      <c r="I2427" s="252">
        <f>C11</f>
        <v>932</v>
      </c>
      <c r="J2427" s="296" t="s">
        <v>766</v>
      </c>
      <c r="K2427" s="252">
        <f>(F2427*I2427)</f>
        <v>5032.8</v>
      </c>
      <c r="M2427" s="253" t="s">
        <v>931</v>
      </c>
      <c r="N2427" s="253"/>
      <c r="O2427" s="1264" t="s">
        <v>2780</v>
      </c>
      <c r="P2427" s="1264"/>
      <c r="Q2427" s="1264"/>
      <c r="R2427" s="1264"/>
      <c r="W2427" s="253"/>
    </row>
    <row r="2428" spans="6:23" ht="18.75" customHeight="1">
      <c r="F2428" s="252">
        <v>2.16</v>
      </c>
      <c r="G2428" s="252" t="s">
        <v>766</v>
      </c>
      <c r="H2428" s="296" t="s">
        <v>345</v>
      </c>
      <c r="I2428" s="252">
        <f>C12</f>
        <v>651</v>
      </c>
      <c r="J2428" s="296" t="s">
        <v>766</v>
      </c>
      <c r="K2428" s="252">
        <f>(F2428*I2428)</f>
        <v>1406.16</v>
      </c>
      <c r="M2428" s="253"/>
      <c r="N2428" s="253"/>
      <c r="O2428" s="253"/>
      <c r="P2428" s="253"/>
      <c r="Q2428" s="296"/>
      <c r="W2428" s="253"/>
    </row>
    <row r="2429" spans="6:23" ht="18.75" customHeight="1">
      <c r="F2429" s="252">
        <v>6.5</v>
      </c>
      <c r="G2429" s="252" t="s">
        <v>766</v>
      </c>
      <c r="H2429" s="296" t="s">
        <v>1218</v>
      </c>
      <c r="I2429" s="252">
        <f>C13</f>
        <v>534</v>
      </c>
      <c r="J2429" s="296" t="s">
        <v>766</v>
      </c>
      <c r="K2429" s="252">
        <f>(F2429*I2429)</f>
        <v>3471</v>
      </c>
      <c r="M2429" s="252">
        <v>10.5</v>
      </c>
      <c r="N2429" s="252" t="s">
        <v>2273</v>
      </c>
      <c r="O2429" s="1265" t="s">
        <v>4912</v>
      </c>
      <c r="P2429" s="362">
        <v>484</v>
      </c>
      <c r="Q2429" s="296" t="s">
        <v>2273</v>
      </c>
      <c r="R2429" s="252">
        <f>(M2429*P2429)</f>
        <v>5082</v>
      </c>
      <c r="W2429" s="253"/>
    </row>
    <row r="2430" spans="6:23" ht="18.75" customHeight="1">
      <c r="H2430" s="296"/>
      <c r="J2430" s="296" t="s">
        <v>766</v>
      </c>
      <c r="K2430" s="252">
        <v>0</v>
      </c>
      <c r="O2430" s="1265"/>
      <c r="P2430" s="296" t="s">
        <v>971</v>
      </c>
      <c r="Q2430" s="296"/>
      <c r="R2430" s="296" t="s">
        <v>971</v>
      </c>
      <c r="W2430" s="253"/>
    </row>
    <row r="2431" spans="6:23" ht="18.75" customHeight="1">
      <c r="F2431" s="356"/>
      <c r="M2431" s="252">
        <v>0.22</v>
      </c>
      <c r="N2431" s="252" t="s">
        <v>866</v>
      </c>
      <c r="O2431" s="296" t="s">
        <v>1868</v>
      </c>
      <c r="P2431" s="252">
        <f t="shared" ref="P2431:P2436" si="253">I2424</f>
        <v>4861.3</v>
      </c>
      <c r="Q2431" s="296" t="s">
        <v>866</v>
      </c>
      <c r="R2431" s="252">
        <f>(M2431*P2431)</f>
        <v>1069.49</v>
      </c>
      <c r="W2431" s="253"/>
    </row>
    <row r="2432" spans="6:23" ht="18.75" customHeight="1">
      <c r="H2432" s="276" t="s">
        <v>438</v>
      </c>
      <c r="K2432" s="543" t="s">
        <v>146</v>
      </c>
      <c r="M2432" s="252">
        <v>64</v>
      </c>
      <c r="N2432" s="252" t="s">
        <v>1637</v>
      </c>
      <c r="O2432" s="296" t="s">
        <v>342</v>
      </c>
      <c r="P2432" s="252">
        <f t="shared" si="253"/>
        <v>6040</v>
      </c>
      <c r="Q2432" s="296" t="s">
        <v>343</v>
      </c>
      <c r="R2432" s="252">
        <f>P2432*M2432/1000</f>
        <v>386.56</v>
      </c>
      <c r="W2432" s="253"/>
    </row>
    <row r="2433" spans="6:23" ht="18.75" customHeight="1">
      <c r="H2433" s="276"/>
      <c r="K2433" s="274">
        <f>SUM(K2422:K2430)</f>
        <v>14817.2</v>
      </c>
      <c r="M2433" s="252">
        <v>4.5</v>
      </c>
      <c r="N2433" s="252" t="s">
        <v>1637</v>
      </c>
      <c r="O2433" s="296" t="s">
        <v>2886</v>
      </c>
      <c r="P2433" s="252">
        <f t="shared" si="253"/>
        <v>24.93</v>
      </c>
      <c r="Q2433" s="296" t="s">
        <v>1637</v>
      </c>
      <c r="R2433" s="252">
        <f>M2433*P2433</f>
        <v>112.19</v>
      </c>
      <c r="W2433" s="253"/>
    </row>
    <row r="2434" spans="6:23" ht="18.75" customHeight="1">
      <c r="H2434" s="276"/>
      <c r="K2434" s="545" t="s">
        <v>1219</v>
      </c>
      <c r="M2434" s="252">
        <v>5.4</v>
      </c>
      <c r="N2434" s="252" t="s">
        <v>766</v>
      </c>
      <c r="O2434" s="296" t="s">
        <v>344</v>
      </c>
      <c r="P2434" s="252">
        <f t="shared" si="253"/>
        <v>932</v>
      </c>
      <c r="Q2434" s="296" t="s">
        <v>766</v>
      </c>
      <c r="R2434" s="252">
        <f>(M2434*P2434)</f>
        <v>5032.8</v>
      </c>
      <c r="W2434" s="253"/>
    </row>
    <row r="2435" spans="6:23" ht="18.75" customHeight="1">
      <c r="F2435" s="296"/>
      <c r="H2435" s="276" t="s">
        <v>549</v>
      </c>
      <c r="I2435" s="296"/>
      <c r="K2435" s="360">
        <f>K2433/10</f>
        <v>1481.72</v>
      </c>
      <c r="M2435" s="252">
        <v>2.16</v>
      </c>
      <c r="N2435" s="252" t="s">
        <v>766</v>
      </c>
      <c r="O2435" s="296" t="s">
        <v>345</v>
      </c>
      <c r="P2435" s="252">
        <f t="shared" si="253"/>
        <v>651</v>
      </c>
      <c r="Q2435" s="296" t="s">
        <v>766</v>
      </c>
      <c r="R2435" s="252">
        <f>(M2435*P2435)</f>
        <v>1406.16</v>
      </c>
      <c r="W2435" s="253"/>
    </row>
    <row r="2436" spans="6:23" ht="18.75" customHeight="1">
      <c r="K2436" s="377" t="s">
        <v>146</v>
      </c>
      <c r="M2436" s="252">
        <v>6.5</v>
      </c>
      <c r="N2436" s="252" t="s">
        <v>766</v>
      </c>
      <c r="O2436" s="296" t="s">
        <v>1218</v>
      </c>
      <c r="P2436" s="252">
        <f t="shared" si="253"/>
        <v>534</v>
      </c>
      <c r="Q2436" s="296" t="s">
        <v>766</v>
      </c>
      <c r="R2436" s="252">
        <f>(M2436*P2436)</f>
        <v>3471</v>
      </c>
      <c r="W2436" s="253"/>
    </row>
    <row r="2437" spans="6:23" ht="18.75" customHeight="1">
      <c r="O2437" s="296"/>
      <c r="Q2437" s="296" t="s">
        <v>766</v>
      </c>
      <c r="R2437" s="252">
        <f>(M2437*P2437)</f>
        <v>0</v>
      </c>
      <c r="W2437" s="253"/>
    </row>
    <row r="2438" spans="6:23" ht="18.75" customHeight="1">
      <c r="M2438" s="356"/>
      <c r="Q2438" s="296"/>
      <c r="W2438" s="253"/>
    </row>
    <row r="2439" spans="6:23" ht="18.75" customHeight="1">
      <c r="H2439" s="276" t="s">
        <v>1220</v>
      </c>
      <c r="O2439" s="276" t="s">
        <v>438</v>
      </c>
      <c r="Q2439" s="296"/>
      <c r="R2439" s="543" t="s">
        <v>146</v>
      </c>
      <c r="W2439" s="253"/>
    </row>
    <row r="2440" spans="6:23" ht="18.75" customHeight="1">
      <c r="O2440" s="276"/>
      <c r="Q2440" s="296"/>
      <c r="R2440" s="274">
        <f>SUM(R2429:R2437)</f>
        <v>16560.2</v>
      </c>
      <c r="W2440" s="253"/>
    </row>
    <row r="2441" spans="6:23" ht="18.75" customHeight="1">
      <c r="F2441" s="252">
        <v>10</v>
      </c>
      <c r="G2441" s="252" t="s">
        <v>2273</v>
      </c>
      <c r="H2441" s="296" t="s">
        <v>211</v>
      </c>
      <c r="I2441" s="252">
        <f>K1213</f>
        <v>514.71</v>
      </c>
      <c r="J2441" s="296" t="s">
        <v>2273</v>
      </c>
      <c r="K2441" s="252">
        <f>F2441*I2441</f>
        <v>5147.1000000000004</v>
      </c>
      <c r="O2441" s="276"/>
      <c r="Q2441" s="296"/>
      <c r="R2441" s="545" t="s">
        <v>1219</v>
      </c>
      <c r="W2441" s="253"/>
    </row>
    <row r="2442" spans="6:23" ht="18.75" customHeight="1">
      <c r="F2442" s="252">
        <v>9.8000000000000007</v>
      </c>
      <c r="G2442" s="252" t="s">
        <v>1637</v>
      </c>
      <c r="H2442" s="252" t="s">
        <v>3787</v>
      </c>
      <c r="I2442" s="252">
        <f>C148</f>
        <v>145.19999999999999</v>
      </c>
      <c r="J2442" s="296" t="s">
        <v>1637</v>
      </c>
      <c r="K2442" s="252">
        <f>F2442*I2442</f>
        <v>1422.96</v>
      </c>
      <c r="M2442" s="296"/>
      <c r="O2442" s="276" t="s">
        <v>549</v>
      </c>
      <c r="P2442" s="296"/>
      <c r="Q2442" s="296"/>
      <c r="R2442" s="360">
        <f>R2440/10</f>
        <v>1656.02</v>
      </c>
      <c r="W2442" s="253"/>
    </row>
    <row r="2443" spans="6:23" ht="18.75" customHeight="1">
      <c r="F2443" s="252">
        <v>1.1000000000000001</v>
      </c>
      <c r="G2443" s="252" t="s">
        <v>1865</v>
      </c>
      <c r="H2443" s="296" t="s">
        <v>2000</v>
      </c>
      <c r="I2443" s="252">
        <f>I2410</f>
        <v>999</v>
      </c>
      <c r="J2443" s="296" t="s">
        <v>1393</v>
      </c>
      <c r="K2443" s="252">
        <f>F2443*I2443</f>
        <v>1098.9000000000001</v>
      </c>
      <c r="Q2443" s="296"/>
      <c r="R2443" s="377" t="s">
        <v>146</v>
      </c>
      <c r="W2443" s="253"/>
    </row>
    <row r="2444" spans="6:23" ht="18.75" customHeight="1">
      <c r="H2444" s="252" t="s">
        <v>2261</v>
      </c>
      <c r="K2444" s="252">
        <v>0.2</v>
      </c>
      <c r="W2444" s="253"/>
    </row>
    <row r="2445" spans="6:23" ht="18.75" customHeight="1">
      <c r="K2445" s="358" t="s">
        <v>2046</v>
      </c>
      <c r="O2445" s="274" t="s">
        <v>936</v>
      </c>
      <c r="Q2445" s="296"/>
      <c r="W2445" s="253"/>
    </row>
    <row r="2446" spans="6:23" ht="18.75" customHeight="1">
      <c r="F2446" s="296" t="s">
        <v>971</v>
      </c>
      <c r="H2446" s="276" t="s">
        <v>438</v>
      </c>
      <c r="K2446" s="274">
        <f>SUM(K2441:K2444)</f>
        <v>7669.16</v>
      </c>
      <c r="M2446" s="356">
        <v>7.0999999999999994E-2</v>
      </c>
      <c r="N2446" s="252" t="s">
        <v>364</v>
      </c>
      <c r="O2446" s="252" t="s">
        <v>937</v>
      </c>
      <c r="P2446" s="252">
        <f>Z718</f>
        <v>8125.18</v>
      </c>
      <c r="Q2446" s="296" t="s">
        <v>365</v>
      </c>
      <c r="R2446" s="252">
        <f>P2446*M2446</f>
        <v>576.89</v>
      </c>
      <c r="W2446" s="253"/>
    </row>
    <row r="2447" spans="6:23" ht="18.75" customHeight="1">
      <c r="K2447" s="377" t="s">
        <v>146</v>
      </c>
      <c r="M2447" s="252">
        <v>1</v>
      </c>
      <c r="N2447" s="252" t="s">
        <v>2186</v>
      </c>
      <c r="O2447" s="252" t="s">
        <v>911</v>
      </c>
      <c r="P2447" s="252">
        <f>I2342</f>
        <v>398.52</v>
      </c>
      <c r="Q2447" s="296" t="s">
        <v>2186</v>
      </c>
      <c r="R2447" s="252">
        <f>P2447*M2447</f>
        <v>398.52</v>
      </c>
      <c r="W2447" s="253"/>
    </row>
    <row r="2448" spans="6:23" ht="18.75" customHeight="1">
      <c r="F2448" s="296" t="s">
        <v>971</v>
      </c>
      <c r="H2448" s="276" t="s">
        <v>549</v>
      </c>
      <c r="K2448" s="360">
        <f>K2446/10</f>
        <v>766.92</v>
      </c>
      <c r="M2448" s="252" t="s">
        <v>971</v>
      </c>
      <c r="O2448" s="252" t="s">
        <v>366</v>
      </c>
      <c r="Q2448" s="296"/>
      <c r="R2448" s="274">
        <f>SUM(R2446:R2447)</f>
        <v>975.41</v>
      </c>
      <c r="W2448" s="253"/>
    </row>
    <row r="2449" spans="6:23" ht="18.75" customHeight="1">
      <c r="K2449" s="377" t="s">
        <v>146</v>
      </c>
      <c r="W2449" s="253"/>
    </row>
    <row r="2450" spans="6:23" ht="18.75" customHeight="1">
      <c r="W2450" s="253"/>
    </row>
    <row r="2451" spans="6:23" ht="18.75" customHeight="1">
      <c r="W2451" s="253"/>
    </row>
    <row r="2452" spans="6:23" ht="18.75" customHeight="1">
      <c r="W2452" s="253"/>
    </row>
    <row r="2453" spans="6:23" ht="18.75" customHeight="1">
      <c r="W2453" s="253"/>
    </row>
    <row r="2454" spans="6:23" ht="18.75" customHeight="1">
      <c r="H2454" s="274" t="s">
        <v>212</v>
      </c>
      <c r="W2454" s="253"/>
    </row>
    <row r="2455" spans="6:23" ht="18.75" customHeight="1">
      <c r="W2455" s="253"/>
    </row>
    <row r="2456" spans="6:23" ht="18.75" customHeight="1">
      <c r="F2456" s="296" t="s">
        <v>213</v>
      </c>
      <c r="G2456" s="296"/>
      <c r="H2456" s="296"/>
      <c r="I2456" s="252">
        <v>15.21</v>
      </c>
      <c r="J2456" s="296" t="s">
        <v>356</v>
      </c>
      <c r="W2456" s="253"/>
    </row>
    <row r="2457" spans="6:23" ht="18.75" customHeight="1">
      <c r="F2457" s="252" t="s">
        <v>214</v>
      </c>
      <c r="I2457" s="252">
        <v>22.61</v>
      </c>
      <c r="J2457" s="296" t="s">
        <v>356</v>
      </c>
      <c r="W2457" s="253"/>
    </row>
    <row r="2458" spans="6:23" ht="18.75" customHeight="1">
      <c r="F2458" s="252" t="s">
        <v>508</v>
      </c>
      <c r="I2458" s="252">
        <v>3.24</v>
      </c>
      <c r="J2458" s="296" t="s">
        <v>356</v>
      </c>
      <c r="W2458" s="253"/>
    </row>
    <row r="2459" spans="6:23" ht="18.75" customHeight="1">
      <c r="F2459" s="252" t="s">
        <v>509</v>
      </c>
      <c r="I2459" s="252">
        <v>2.16</v>
      </c>
      <c r="J2459" s="296" t="s">
        <v>356</v>
      </c>
      <c r="W2459" s="253"/>
    </row>
    <row r="2460" spans="6:23" ht="18.75" customHeight="1">
      <c r="W2460" s="253"/>
    </row>
    <row r="2461" spans="6:23" ht="18.75" customHeight="1">
      <c r="I2461" s="377" t="s">
        <v>146</v>
      </c>
      <c r="W2461" s="253"/>
    </row>
    <row r="2462" spans="6:23" ht="18.75" customHeight="1">
      <c r="I2462" s="252">
        <f>SUM(I2456:I2460)</f>
        <v>43.22</v>
      </c>
      <c r="W2462" s="253"/>
    </row>
    <row r="2463" spans="6:23" ht="18.75" customHeight="1">
      <c r="I2463" s="252" t="s">
        <v>1677</v>
      </c>
      <c r="W2463" s="253"/>
    </row>
    <row r="2464" spans="6:23" ht="18.75" customHeight="1">
      <c r="W2464" s="253"/>
    </row>
    <row r="2465" spans="6:23" ht="18.75" customHeight="1">
      <c r="W2465" s="253"/>
    </row>
    <row r="2466" spans="6:23" ht="18.75" customHeight="1">
      <c r="F2466" s="252">
        <v>43.22</v>
      </c>
      <c r="G2466" s="252" t="s">
        <v>1637</v>
      </c>
      <c r="H2466" s="422" t="s">
        <v>510</v>
      </c>
      <c r="I2466" s="252">
        <f>C660</f>
        <v>70.150000000000006</v>
      </c>
      <c r="J2466" s="296" t="s">
        <v>1637</v>
      </c>
      <c r="K2466" s="252">
        <f>I2466*F2466</f>
        <v>3031.88</v>
      </c>
      <c r="W2466" s="253"/>
    </row>
    <row r="2467" spans="6:23" ht="18.75" customHeight="1">
      <c r="F2467" s="252">
        <v>0.81</v>
      </c>
      <c r="G2467" s="252" t="s">
        <v>2273</v>
      </c>
      <c r="H2467" s="252" t="s">
        <v>2113</v>
      </c>
      <c r="I2467" s="252">
        <f>C199</f>
        <v>379.9</v>
      </c>
      <c r="J2467" s="296" t="s">
        <v>2273</v>
      </c>
      <c r="K2467" s="252">
        <f>I2467*F2467</f>
        <v>307.72000000000003</v>
      </c>
      <c r="W2467" s="253"/>
    </row>
    <row r="2468" spans="6:23" ht="18.75" customHeight="1">
      <c r="F2468" s="252">
        <v>0.81</v>
      </c>
      <c r="G2468" s="252" t="s">
        <v>2273</v>
      </c>
      <c r="H2468" s="252" t="s">
        <v>1942</v>
      </c>
      <c r="I2468" s="252">
        <f>D199</f>
        <v>116.55</v>
      </c>
      <c r="J2468" s="296" t="s">
        <v>2273</v>
      </c>
      <c r="K2468" s="252">
        <f>I2468*F2468</f>
        <v>94.41</v>
      </c>
      <c r="W2468" s="253"/>
    </row>
    <row r="2469" spans="6:23" ht="18.75" customHeight="1">
      <c r="H2469" s="252" t="s">
        <v>512</v>
      </c>
      <c r="I2469" s="420">
        <f>46.61</f>
        <v>46.61</v>
      </c>
      <c r="J2469" s="296" t="s">
        <v>446</v>
      </c>
      <c r="K2469" s="252">
        <f>I2469</f>
        <v>46.61</v>
      </c>
      <c r="W2469" s="253"/>
    </row>
    <row r="2470" spans="6:23" ht="18.75" customHeight="1">
      <c r="K2470" s="377" t="s">
        <v>146</v>
      </c>
      <c r="W2470" s="253"/>
    </row>
    <row r="2471" spans="6:23" ht="18.75" customHeight="1">
      <c r="H2471" s="274" t="s">
        <v>513</v>
      </c>
      <c r="K2471" s="274">
        <f>SUM(K2466:K2469)</f>
        <v>3480.62</v>
      </c>
      <c r="W2471" s="253"/>
    </row>
    <row r="2472" spans="6:23" ht="18.75" customHeight="1">
      <c r="H2472" s="252">
        <f>0.6*1.35</f>
        <v>0.81</v>
      </c>
      <c r="K2472" s="377" t="s">
        <v>146</v>
      </c>
      <c r="W2472" s="253"/>
    </row>
    <row r="2473" spans="6:23" ht="18.75" customHeight="1">
      <c r="H2473" s="274" t="s">
        <v>507</v>
      </c>
      <c r="K2473" s="274">
        <f>K2471/H2472</f>
        <v>4297.0600000000004</v>
      </c>
      <c r="W2473" s="253"/>
    </row>
    <row r="2474" spans="6:23" ht="18.75" customHeight="1">
      <c r="W2474" s="253"/>
    </row>
    <row r="2475" spans="6:23" ht="18.75" customHeight="1">
      <c r="F2475" s="296" t="s">
        <v>2129</v>
      </c>
      <c r="G2475" s="296"/>
      <c r="H2475" s="296"/>
      <c r="I2475" s="252">
        <v>11.78</v>
      </c>
      <c r="J2475" s="296" t="s">
        <v>356</v>
      </c>
      <c r="W2475" s="253"/>
    </row>
    <row r="2476" spans="6:23" ht="18.75" customHeight="1">
      <c r="F2476" s="252" t="s">
        <v>1345</v>
      </c>
      <c r="I2476" s="252">
        <v>15.07</v>
      </c>
      <c r="J2476" s="296" t="s">
        <v>356</v>
      </c>
      <c r="W2476" s="253"/>
    </row>
    <row r="2477" spans="6:23" ht="18.75" customHeight="1">
      <c r="F2477" s="252" t="s">
        <v>2025</v>
      </c>
      <c r="I2477" s="252">
        <v>2.16</v>
      </c>
      <c r="J2477" s="296" t="s">
        <v>356</v>
      </c>
      <c r="W2477" s="253"/>
    </row>
    <row r="2478" spans="6:23" ht="18.75" customHeight="1">
      <c r="F2478" s="252" t="s">
        <v>509</v>
      </c>
      <c r="I2478" s="252">
        <v>2.16</v>
      </c>
      <c r="J2478" s="296" t="s">
        <v>356</v>
      </c>
      <c r="W2478" s="253"/>
    </row>
    <row r="2479" spans="6:23" ht="18.75" customHeight="1">
      <c r="F2479" s="252" t="s">
        <v>539</v>
      </c>
      <c r="I2479" s="252">
        <f>1.91-0.08</f>
        <v>1.83</v>
      </c>
      <c r="W2479" s="253"/>
    </row>
    <row r="2480" spans="6:23" ht="18.75" customHeight="1">
      <c r="I2480" s="377" t="s">
        <v>876</v>
      </c>
      <c r="W2480" s="253"/>
    </row>
    <row r="2481" spans="6:23" ht="18.75" customHeight="1">
      <c r="I2481" s="274">
        <f>SUM(I2475:I2479)</f>
        <v>33</v>
      </c>
      <c r="J2481" s="296" t="s">
        <v>356</v>
      </c>
      <c r="W2481" s="253"/>
    </row>
    <row r="2482" spans="6:23" ht="18.75" customHeight="1">
      <c r="I2482" s="377" t="s">
        <v>876</v>
      </c>
      <c r="W2482" s="253"/>
    </row>
    <row r="2483" spans="6:23" ht="18.75" customHeight="1">
      <c r="W2483" s="253"/>
    </row>
    <row r="2484" spans="6:23" ht="18.75" customHeight="1">
      <c r="W2484" s="253"/>
    </row>
    <row r="2485" spans="6:23" ht="18.75" customHeight="1">
      <c r="F2485" s="252">
        <f>I2481</f>
        <v>33</v>
      </c>
      <c r="G2485" s="252" t="s">
        <v>1637</v>
      </c>
      <c r="H2485" s="252" t="s">
        <v>510</v>
      </c>
      <c r="I2485" s="252">
        <f>I2466</f>
        <v>70.150000000000006</v>
      </c>
      <c r="J2485" s="296" t="s">
        <v>1637</v>
      </c>
      <c r="K2485" s="252">
        <f>I2485*F2485</f>
        <v>2314.9499999999998</v>
      </c>
      <c r="W2485" s="253"/>
    </row>
    <row r="2486" spans="6:23" ht="18.75" customHeight="1">
      <c r="F2486" s="252">
        <v>0.54</v>
      </c>
      <c r="G2486" s="252" t="s">
        <v>2273</v>
      </c>
      <c r="H2486" s="252" t="s">
        <v>2113</v>
      </c>
      <c r="I2486" s="252">
        <f>I2467</f>
        <v>379.9</v>
      </c>
      <c r="J2486" s="296" t="s">
        <v>2273</v>
      </c>
      <c r="K2486" s="252">
        <f>I2486*F2486</f>
        <v>205.15</v>
      </c>
      <c r="W2486" s="253"/>
    </row>
    <row r="2487" spans="6:23" ht="18.75" customHeight="1">
      <c r="F2487" s="252">
        <v>0.54</v>
      </c>
      <c r="G2487" s="252" t="s">
        <v>2273</v>
      </c>
      <c r="H2487" s="252" t="str">
        <f>H2468</f>
        <v>Fly proof  Mesh</v>
      </c>
      <c r="I2487" s="252">
        <f>I2468</f>
        <v>116.55</v>
      </c>
      <c r="J2487" s="296" t="s">
        <v>2273</v>
      </c>
      <c r="K2487" s="252">
        <f>I2487*F2487</f>
        <v>62.94</v>
      </c>
      <c r="W2487" s="253"/>
    </row>
    <row r="2488" spans="6:23" ht="18.75" customHeight="1">
      <c r="H2488" s="252" t="s">
        <v>512</v>
      </c>
      <c r="I2488" s="420">
        <v>53.5</v>
      </c>
      <c r="J2488" s="296" t="s">
        <v>446</v>
      </c>
      <c r="K2488" s="252">
        <v>52.8</v>
      </c>
      <c r="W2488" s="253"/>
    </row>
    <row r="2489" spans="6:23" ht="18.75" customHeight="1">
      <c r="K2489" s="377" t="s">
        <v>146</v>
      </c>
      <c r="W2489" s="253"/>
    </row>
    <row r="2490" spans="6:23" ht="18.75" customHeight="1">
      <c r="H2490" s="274" t="s">
        <v>513</v>
      </c>
      <c r="K2490" s="274">
        <f>SUM(K2485:K2488)</f>
        <v>2635.84</v>
      </c>
      <c r="W2490" s="253"/>
    </row>
    <row r="2491" spans="6:23" ht="18.75" customHeight="1">
      <c r="K2491" s="377" t="s">
        <v>146</v>
      </c>
      <c r="W2491" s="253"/>
    </row>
    <row r="2492" spans="6:23" ht="18.75" customHeight="1">
      <c r="I2492" s="274" t="s">
        <v>2779</v>
      </c>
      <c r="K2492" s="274">
        <f>K2490/0.54</f>
        <v>4881.1899999999996</v>
      </c>
      <c r="W2492" s="253"/>
    </row>
    <row r="2493" spans="6:23" ht="18.75" customHeight="1">
      <c r="W2493" s="253"/>
    </row>
    <row r="2494" spans="6:23" ht="18.75" customHeight="1">
      <c r="W2494" s="253"/>
    </row>
    <row r="2495" spans="6:23" ht="18.75" customHeight="1">
      <c r="H2495" s="274" t="s">
        <v>1984</v>
      </c>
      <c r="W2495" s="253"/>
    </row>
    <row r="2496" spans="6:23" ht="18.75" customHeight="1">
      <c r="W2496" s="253"/>
    </row>
    <row r="2497" spans="6:23" ht="18.75" customHeight="1">
      <c r="F2497" s="296" t="s">
        <v>1820</v>
      </c>
      <c r="G2497" s="296"/>
      <c r="H2497" s="296"/>
      <c r="I2497" s="252">
        <v>9.42</v>
      </c>
      <c r="J2497" s="296" t="s">
        <v>356</v>
      </c>
      <c r="K2497" s="296"/>
      <c r="W2497" s="253"/>
    </row>
    <row r="2498" spans="6:23" ht="18.75" customHeight="1">
      <c r="F2498" s="252" t="s">
        <v>1821</v>
      </c>
      <c r="I2498" s="252">
        <v>9.42</v>
      </c>
      <c r="J2498" s="296" t="s">
        <v>356</v>
      </c>
      <c r="K2498" s="296"/>
      <c r="W2498" s="253"/>
    </row>
    <row r="2499" spans="6:23" ht="18.75" customHeight="1">
      <c r="F2499" s="252" t="s">
        <v>70</v>
      </c>
      <c r="I2499" s="252">
        <v>1.44</v>
      </c>
      <c r="J2499" s="296" t="s">
        <v>356</v>
      </c>
      <c r="K2499" s="296"/>
      <c r="W2499" s="253"/>
    </row>
    <row r="2500" spans="6:23" ht="18.75" customHeight="1">
      <c r="F2500" s="252" t="s">
        <v>509</v>
      </c>
      <c r="I2500" s="252">
        <v>2.16</v>
      </c>
      <c r="J2500" s="296" t="s">
        <v>356</v>
      </c>
      <c r="K2500" s="296"/>
      <c r="W2500" s="253"/>
    </row>
    <row r="2501" spans="6:23" ht="18.75" customHeight="1">
      <c r="F2501" s="252" t="s">
        <v>539</v>
      </c>
      <c r="I2501" s="252">
        <v>1.56</v>
      </c>
      <c r="K2501" s="296"/>
      <c r="W2501" s="253"/>
    </row>
    <row r="2502" spans="6:23" ht="18.75" customHeight="1">
      <c r="I2502" s="377" t="s">
        <v>876</v>
      </c>
      <c r="K2502" s="296"/>
      <c r="O2502" s="274" t="s">
        <v>2590</v>
      </c>
      <c r="Q2502" s="296"/>
      <c r="W2502" s="253"/>
    </row>
    <row r="2503" spans="6:23" ht="18.75" customHeight="1">
      <c r="I2503" s="252">
        <f>SUM(I2497:I2501)</f>
        <v>24</v>
      </c>
      <c r="J2503" s="296" t="s">
        <v>356</v>
      </c>
      <c r="K2503" s="296"/>
      <c r="Q2503" s="296"/>
      <c r="W2503" s="253"/>
    </row>
    <row r="2504" spans="6:23" ht="18.75" customHeight="1">
      <c r="I2504" s="377" t="s">
        <v>876</v>
      </c>
      <c r="M2504" s="296" t="s">
        <v>2591</v>
      </c>
      <c r="N2504" s="296"/>
      <c r="O2504" s="296"/>
      <c r="P2504" s="356">
        <f>3.77*3.9</f>
        <v>14.702999999999999</v>
      </c>
      <c r="Q2504" s="296" t="s">
        <v>356</v>
      </c>
      <c r="R2504" s="296"/>
      <c r="W2504" s="253"/>
    </row>
    <row r="2505" spans="6:23" ht="18.75" customHeight="1">
      <c r="M2505" s="252" t="s">
        <v>2592</v>
      </c>
      <c r="P2505" s="252">
        <f>12*0.6*3.14</f>
        <v>22.61</v>
      </c>
      <c r="Q2505" s="296" t="s">
        <v>356</v>
      </c>
      <c r="R2505" s="296"/>
      <c r="W2505" s="253"/>
    </row>
    <row r="2506" spans="6:23" ht="18.75" customHeight="1">
      <c r="M2506" s="252" t="s">
        <v>3217</v>
      </c>
      <c r="P2506" s="252">
        <f>2*1.285*1.2</f>
        <v>3.08</v>
      </c>
      <c r="Q2506" s="296" t="s">
        <v>356</v>
      </c>
      <c r="R2506" s="296"/>
      <c r="W2506" s="253"/>
    </row>
    <row r="2507" spans="6:23" ht="18.75" customHeight="1">
      <c r="F2507" s="252">
        <v>24</v>
      </c>
      <c r="G2507" s="252" t="s">
        <v>1637</v>
      </c>
      <c r="H2507" s="252" t="s">
        <v>510</v>
      </c>
      <c r="I2507" s="252">
        <f>I2485</f>
        <v>70.150000000000006</v>
      </c>
      <c r="J2507" s="296" t="s">
        <v>1637</v>
      </c>
      <c r="K2507" s="252">
        <f>I2507*F2507</f>
        <v>1683.6</v>
      </c>
      <c r="M2507" s="252" t="s">
        <v>509</v>
      </c>
      <c r="P2507" s="252">
        <f>3*0.6*1.2</f>
        <v>2.16</v>
      </c>
      <c r="Q2507" s="296" t="s">
        <v>356</v>
      </c>
      <c r="R2507" s="296"/>
      <c r="W2507" s="253"/>
    </row>
    <row r="2508" spans="6:23" ht="18.75" customHeight="1">
      <c r="F2508" s="252">
        <v>0.36</v>
      </c>
      <c r="G2508" s="252" t="s">
        <v>2273</v>
      </c>
      <c r="H2508" s="252" t="s">
        <v>2113</v>
      </c>
      <c r="I2508" s="252">
        <f>I2486</f>
        <v>379.9</v>
      </c>
      <c r="J2508" s="296" t="s">
        <v>2273</v>
      </c>
      <c r="K2508" s="252">
        <f>I2508*F2508</f>
        <v>136.76</v>
      </c>
      <c r="M2508" s="252" t="s">
        <v>539</v>
      </c>
      <c r="P2508" s="252">
        <v>0.16</v>
      </c>
      <c r="Q2508" s="296"/>
      <c r="R2508" s="296"/>
      <c r="W2508" s="253"/>
    </row>
    <row r="2509" spans="6:23" ht="18.75" customHeight="1">
      <c r="F2509" s="252">
        <v>0.36</v>
      </c>
      <c r="G2509" s="252" t="s">
        <v>2273</v>
      </c>
      <c r="H2509" s="252" t="s">
        <v>511</v>
      </c>
      <c r="I2509" s="252">
        <f>C198</f>
        <v>40.65</v>
      </c>
      <c r="J2509" s="296" t="s">
        <v>2273</v>
      </c>
      <c r="K2509" s="252">
        <f>I2509*F2509</f>
        <v>14.63</v>
      </c>
      <c r="P2509" s="377" t="s">
        <v>876</v>
      </c>
      <c r="Q2509" s="296"/>
      <c r="R2509" s="296"/>
      <c r="W2509" s="253"/>
    </row>
    <row r="2510" spans="6:23" ht="18.75" customHeight="1">
      <c r="H2510" s="252" t="s">
        <v>568</v>
      </c>
      <c r="I2510" s="432">
        <v>28.34</v>
      </c>
      <c r="J2510" s="296" t="s">
        <v>446</v>
      </c>
      <c r="K2510" s="252">
        <f>28.14</f>
        <v>28.14</v>
      </c>
      <c r="P2510" s="316">
        <f>SUM(P2504:P2508)</f>
        <v>42.713000000000001</v>
      </c>
      <c r="Q2510" s="296" t="s">
        <v>356</v>
      </c>
      <c r="R2510" s="296">
        <f>42.55-42.713</f>
        <v>-0.16</v>
      </c>
      <c r="W2510" s="253"/>
    </row>
    <row r="2511" spans="6:23" ht="18.75" customHeight="1">
      <c r="K2511" s="377" t="s">
        <v>146</v>
      </c>
      <c r="P2511" s="377" t="s">
        <v>876</v>
      </c>
      <c r="Q2511" s="296"/>
      <c r="W2511" s="253"/>
    </row>
    <row r="2512" spans="6:23" ht="18.75" customHeight="1">
      <c r="H2512" s="274" t="s">
        <v>513</v>
      </c>
      <c r="K2512" s="274">
        <f>SUM(K2507:K2510)</f>
        <v>1863.13</v>
      </c>
      <c r="Q2512" s="296"/>
      <c r="W2512" s="253"/>
    </row>
    <row r="2513" spans="6:23" ht="18.75" customHeight="1">
      <c r="K2513" s="377" t="s">
        <v>146</v>
      </c>
      <c r="Q2513" s="296"/>
      <c r="W2513" s="253"/>
    </row>
    <row r="2514" spans="6:23" ht="18.75" customHeight="1">
      <c r="K2514" s="252">
        <f>0.6*0.6</f>
        <v>0.36</v>
      </c>
      <c r="M2514" s="356">
        <f>P2510</f>
        <v>42.713000000000001</v>
      </c>
      <c r="N2514" s="252" t="s">
        <v>1637</v>
      </c>
      <c r="O2514" s="252" t="s">
        <v>510</v>
      </c>
      <c r="P2514" s="252">
        <f>I2507</f>
        <v>70.150000000000006</v>
      </c>
      <c r="Q2514" s="296" t="s">
        <v>1637</v>
      </c>
      <c r="R2514" s="252">
        <f>P2514*M2514</f>
        <v>2996.32</v>
      </c>
      <c r="W2514" s="253"/>
    </row>
    <row r="2515" spans="6:23" ht="18.75" customHeight="1">
      <c r="H2515" s="274" t="s">
        <v>1718</v>
      </c>
      <c r="K2515" s="252">
        <f>K2512/K2514</f>
        <v>5175.3599999999997</v>
      </c>
      <c r="M2515" s="252">
        <v>0.77</v>
      </c>
      <c r="N2515" s="252" t="s">
        <v>2273</v>
      </c>
      <c r="O2515" s="252" t="s">
        <v>2113</v>
      </c>
      <c r="P2515" s="252">
        <f>I2508</f>
        <v>379.9</v>
      </c>
      <c r="Q2515" s="296" t="s">
        <v>2273</v>
      </c>
      <c r="R2515" s="252">
        <f>P2515*M2515</f>
        <v>292.52</v>
      </c>
      <c r="W2515" s="253"/>
    </row>
    <row r="2516" spans="6:23" ht="18.75" customHeight="1">
      <c r="M2516" s="252">
        <v>0.77</v>
      </c>
      <c r="N2516" s="252" t="s">
        <v>2273</v>
      </c>
      <c r="O2516" s="252" t="s">
        <v>511</v>
      </c>
      <c r="P2516" s="252">
        <f>I2509</f>
        <v>40.65</v>
      </c>
      <c r="Q2516" s="296" t="s">
        <v>2273</v>
      </c>
      <c r="R2516" s="252">
        <f>P2516*M2516</f>
        <v>31.3</v>
      </c>
      <c r="W2516" s="253"/>
    </row>
    <row r="2517" spans="6:23" ht="18.75" customHeight="1">
      <c r="F2517" s="274" t="s">
        <v>435</v>
      </c>
      <c r="G2517" s="274"/>
      <c r="O2517" s="252" t="s">
        <v>568</v>
      </c>
      <c r="P2517" s="252">
        <f>I2510</f>
        <v>28.34</v>
      </c>
      <c r="Q2517" s="296" t="s">
        <v>446</v>
      </c>
      <c r="R2517" s="252">
        <f>28.34+0.11</f>
        <v>28.45</v>
      </c>
      <c r="W2517" s="253"/>
    </row>
    <row r="2518" spans="6:23" ht="18.75" customHeight="1">
      <c r="Q2518" s="296"/>
      <c r="R2518" s="377" t="s">
        <v>146</v>
      </c>
      <c r="W2518" s="253"/>
    </row>
    <row r="2519" spans="6:23" ht="18.75" customHeight="1">
      <c r="F2519" s="252" t="s">
        <v>792</v>
      </c>
      <c r="I2519" s="252">
        <v>3.93</v>
      </c>
      <c r="J2519" s="296" t="s">
        <v>1637</v>
      </c>
      <c r="O2519" s="274" t="s">
        <v>513</v>
      </c>
      <c r="Q2519" s="296"/>
      <c r="R2519" s="274">
        <f>SUM(R2514:R2517)</f>
        <v>3348.59</v>
      </c>
      <c r="W2519" s="253"/>
    </row>
    <row r="2520" spans="6:23" ht="18.75" customHeight="1">
      <c r="F2520" s="252" t="s">
        <v>2221</v>
      </c>
      <c r="I2520" s="252">
        <v>3.14</v>
      </c>
      <c r="J2520" s="296" t="s">
        <v>1637</v>
      </c>
      <c r="Q2520" s="296"/>
      <c r="R2520" s="377" t="s">
        <v>146</v>
      </c>
      <c r="W2520" s="253"/>
    </row>
    <row r="2521" spans="6:23" ht="18.75" customHeight="1">
      <c r="F2521" s="252" t="s">
        <v>209</v>
      </c>
      <c r="I2521" s="252">
        <v>1.18</v>
      </c>
      <c r="J2521" s="296" t="s">
        <v>1637</v>
      </c>
      <c r="O2521" s="360" t="s">
        <v>2779</v>
      </c>
      <c r="Q2521" s="296"/>
      <c r="R2521" s="274">
        <f>R2519/M2515</f>
        <v>4348.82</v>
      </c>
      <c r="W2521" s="253"/>
    </row>
    <row r="2522" spans="6:23" ht="18.75" customHeight="1">
      <c r="N2522" s="252">
        <f>1.285*0.6</f>
        <v>0.77</v>
      </c>
      <c r="W2522" s="253"/>
    </row>
    <row r="2523" spans="6:23" ht="18.75" customHeight="1">
      <c r="W2523" s="253"/>
    </row>
    <row r="2524" spans="6:23" ht="18.75" customHeight="1">
      <c r="H2524" s="274" t="s">
        <v>1718</v>
      </c>
      <c r="W2524" s="253"/>
    </row>
    <row r="2525" spans="6:23" ht="18.75" customHeight="1">
      <c r="W2525" s="253"/>
    </row>
    <row r="2526" spans="6:23" ht="18.75" customHeight="1">
      <c r="W2526" s="253"/>
    </row>
    <row r="2527" spans="6:23" ht="18.75" customHeight="1">
      <c r="F2527" s="252" t="s">
        <v>1462</v>
      </c>
      <c r="I2527" s="252">
        <v>24.34</v>
      </c>
      <c r="J2527" s="296" t="s">
        <v>1637</v>
      </c>
      <c r="W2527" s="253"/>
    </row>
    <row r="2528" spans="6:23" ht="18.75" customHeight="1">
      <c r="F2528" s="252" t="s">
        <v>110</v>
      </c>
      <c r="I2528" s="252">
        <v>11.78</v>
      </c>
      <c r="J2528" s="296" t="s">
        <v>1637</v>
      </c>
      <c r="W2528" s="253"/>
    </row>
    <row r="2529" spans="6:23" ht="18.75" customHeight="1">
      <c r="F2529" s="252" t="s">
        <v>571</v>
      </c>
      <c r="I2529" s="252">
        <v>59.35</v>
      </c>
      <c r="J2529" s="296" t="s">
        <v>1637</v>
      </c>
      <c r="W2529" s="253"/>
    </row>
    <row r="2530" spans="6:23" ht="18.75" customHeight="1">
      <c r="F2530" s="252" t="s">
        <v>572</v>
      </c>
      <c r="I2530" s="252">
        <v>5.04</v>
      </c>
      <c r="J2530" s="296" t="s">
        <v>1637</v>
      </c>
      <c r="W2530" s="253"/>
    </row>
    <row r="2531" spans="6:23" ht="18.75" customHeight="1">
      <c r="F2531" s="252" t="s">
        <v>573</v>
      </c>
      <c r="I2531" s="252">
        <v>4.8</v>
      </c>
      <c r="J2531" s="296" t="s">
        <v>1637</v>
      </c>
      <c r="W2531" s="253"/>
    </row>
    <row r="2532" spans="6:23" ht="18.75" customHeight="1">
      <c r="F2532" s="252" t="s">
        <v>574</v>
      </c>
      <c r="I2532" s="252">
        <v>2.69</v>
      </c>
      <c r="W2532" s="253"/>
    </row>
    <row r="2533" spans="6:23" ht="18.75" customHeight="1">
      <c r="I2533" s="377" t="s">
        <v>876</v>
      </c>
      <c r="W2533" s="253"/>
    </row>
    <row r="2534" spans="6:23" ht="18.75" customHeight="1">
      <c r="I2534" s="274">
        <f>SUM(I2527:I2532)</f>
        <v>108</v>
      </c>
      <c r="J2534" s="296" t="s">
        <v>1637</v>
      </c>
      <c r="W2534" s="253"/>
    </row>
    <row r="2535" spans="6:23" ht="18.75" customHeight="1">
      <c r="I2535" s="377" t="s">
        <v>876</v>
      </c>
      <c r="W2535" s="253"/>
    </row>
    <row r="2536" spans="6:23" ht="18.75" customHeight="1">
      <c r="L2536" s="252" t="s">
        <v>1688</v>
      </c>
      <c r="W2536" s="253"/>
    </row>
    <row r="2537" spans="6:23" ht="18.75" customHeight="1">
      <c r="F2537" s="252">
        <v>108</v>
      </c>
      <c r="G2537" s="252" t="s">
        <v>1637</v>
      </c>
      <c r="H2537" s="252" t="s">
        <v>575</v>
      </c>
      <c r="I2537" s="252">
        <f>I2466</f>
        <v>70.150000000000006</v>
      </c>
      <c r="J2537" s="296" t="s">
        <v>1637</v>
      </c>
      <c r="K2537" s="252">
        <f>F2537*I2537</f>
        <v>7576.2</v>
      </c>
      <c r="W2537" s="253"/>
    </row>
    <row r="2538" spans="6:23" ht="18.75" customHeight="1">
      <c r="F2538" s="252">
        <v>2.1</v>
      </c>
      <c r="G2538" s="252" t="s">
        <v>2273</v>
      </c>
      <c r="H2538" s="252" t="s">
        <v>2113</v>
      </c>
      <c r="I2538" s="252">
        <f>I2467</f>
        <v>379.9</v>
      </c>
      <c r="J2538" s="296" t="s">
        <v>2273</v>
      </c>
      <c r="K2538" s="252">
        <f>F2538*I2538</f>
        <v>797.79</v>
      </c>
      <c r="L2538" s="356">
        <v>42.713000000000001</v>
      </c>
      <c r="W2538" s="253"/>
    </row>
    <row r="2539" spans="6:23" ht="18.75" customHeight="1">
      <c r="F2539" s="252">
        <v>2.1</v>
      </c>
      <c r="G2539" s="252" t="s">
        <v>2273</v>
      </c>
      <c r="H2539" s="252" t="s">
        <v>1943</v>
      </c>
      <c r="I2539" s="252">
        <f>I2468</f>
        <v>116.55</v>
      </c>
      <c r="J2539" s="296" t="s">
        <v>2273</v>
      </c>
      <c r="K2539" s="252">
        <f>F2539*I2539</f>
        <v>244.76</v>
      </c>
      <c r="L2539" s="252">
        <v>0.77</v>
      </c>
      <c r="W2539" s="253"/>
    </row>
    <row r="2540" spans="6:23" ht="18.75" customHeight="1">
      <c r="H2540" s="252" t="s">
        <v>123</v>
      </c>
      <c r="I2540" s="252">
        <v>267.10000000000002</v>
      </c>
      <c r="J2540" s="296" t="s">
        <v>446</v>
      </c>
      <c r="K2540" s="252">
        <f>I2540</f>
        <v>267.10000000000002</v>
      </c>
      <c r="L2540" s="252">
        <v>0.77</v>
      </c>
      <c r="W2540" s="253"/>
    </row>
    <row r="2541" spans="6:23" ht="18.75" customHeight="1">
      <c r="K2541" s="377" t="s">
        <v>146</v>
      </c>
      <c r="W2541" s="253"/>
    </row>
    <row r="2542" spans="6:23" ht="18.75" customHeight="1">
      <c r="K2542" s="252">
        <f>SUM(K2537:K2540)</f>
        <v>8885.85</v>
      </c>
      <c r="W2542" s="253"/>
    </row>
    <row r="2543" spans="6:23" ht="18.75" customHeight="1">
      <c r="H2543" s="252" t="s">
        <v>124</v>
      </c>
      <c r="I2543" s="252">
        <v>500</v>
      </c>
      <c r="J2543" s="296" t="s">
        <v>446</v>
      </c>
      <c r="K2543" s="252">
        <f>I2543</f>
        <v>500</v>
      </c>
      <c r="W2543" s="253"/>
    </row>
    <row r="2544" spans="6:23" ht="18.75" customHeight="1">
      <c r="K2544" s="377" t="s">
        <v>146</v>
      </c>
      <c r="W2544" s="253"/>
    </row>
    <row r="2545" spans="6:23" ht="18.75" customHeight="1">
      <c r="H2545" s="274" t="s">
        <v>125</v>
      </c>
      <c r="K2545" s="274">
        <f>SUM(K2542:K2543)</f>
        <v>9385.85</v>
      </c>
      <c r="W2545" s="253"/>
    </row>
    <row r="2546" spans="6:23" ht="18.75" customHeight="1">
      <c r="K2546" s="377" t="s">
        <v>146</v>
      </c>
      <c r="W2546" s="253"/>
    </row>
    <row r="2547" spans="6:23" ht="18.75" customHeight="1">
      <c r="W2547" s="253"/>
    </row>
    <row r="2548" spans="6:23" ht="18.75" customHeight="1">
      <c r="K2548" s="252">
        <f>8054-K2545</f>
        <v>-1331.85</v>
      </c>
      <c r="W2548" s="253"/>
    </row>
    <row r="2549" spans="6:23" ht="18.75" customHeight="1">
      <c r="W2549" s="253"/>
    </row>
    <row r="2550" spans="6:23" ht="18.75" customHeight="1">
      <c r="H2550" s="274" t="s">
        <v>11</v>
      </c>
      <c r="W2550" s="253"/>
    </row>
    <row r="2551" spans="6:23" ht="18.75" customHeight="1">
      <c r="W2551" s="253"/>
    </row>
    <row r="2552" spans="6:23" ht="18.75" customHeight="1">
      <c r="F2552" s="274" t="s">
        <v>435</v>
      </c>
      <c r="G2552" s="274"/>
      <c r="W2552" s="253"/>
    </row>
    <row r="2553" spans="6:23" ht="18.75" customHeight="1">
      <c r="W2553" s="253"/>
    </row>
    <row r="2554" spans="6:23" ht="18.75" customHeight="1">
      <c r="F2554" s="252" t="s">
        <v>812</v>
      </c>
      <c r="I2554" s="356">
        <v>2.944</v>
      </c>
      <c r="J2554" s="296" t="s">
        <v>1637</v>
      </c>
      <c r="W2554" s="253"/>
    </row>
    <row r="2555" spans="6:23" ht="18.75" customHeight="1">
      <c r="F2555" s="252" t="s">
        <v>1258</v>
      </c>
      <c r="I2555" s="356">
        <v>2.355</v>
      </c>
      <c r="J2555" s="296" t="s">
        <v>1637</v>
      </c>
      <c r="W2555" s="253"/>
    </row>
    <row r="2556" spans="6:23" ht="18.75" customHeight="1">
      <c r="F2556" s="252" t="s">
        <v>1231</v>
      </c>
      <c r="I2556" s="356">
        <v>0.88300000000000001</v>
      </c>
      <c r="J2556" s="296" t="s">
        <v>1637</v>
      </c>
      <c r="W2556" s="253"/>
    </row>
    <row r="2557" spans="6:23" ht="18.75" customHeight="1">
      <c r="W2557" s="253"/>
    </row>
    <row r="2558" spans="6:23" ht="18.75" customHeight="1">
      <c r="W2558" s="253"/>
    </row>
    <row r="2559" spans="6:23" ht="18.75" customHeight="1">
      <c r="H2559" s="274" t="s">
        <v>11</v>
      </c>
      <c r="W2559" s="253"/>
    </row>
    <row r="2560" spans="6:23" ht="18.75" customHeight="1">
      <c r="W2560" s="253"/>
    </row>
    <row r="2561" spans="6:23" ht="18.75" customHeight="1">
      <c r="N2561" s="546">
        <v>24.1</v>
      </c>
      <c r="O2561" s="274" t="s">
        <v>2590</v>
      </c>
      <c r="Q2561" s="296"/>
      <c r="W2561" s="253"/>
    </row>
    <row r="2562" spans="6:23" ht="18.75" customHeight="1">
      <c r="F2562" s="252" t="s">
        <v>1217</v>
      </c>
      <c r="I2562" s="252">
        <v>16.38</v>
      </c>
      <c r="J2562" s="296" t="s">
        <v>1637</v>
      </c>
      <c r="N2562" s="358" t="s">
        <v>2046</v>
      </c>
      <c r="O2562" s="543"/>
      <c r="Q2562" s="296"/>
      <c r="W2562" s="253"/>
    </row>
    <row r="2563" spans="6:23" ht="18.75" customHeight="1">
      <c r="F2563" s="252" t="s">
        <v>1224</v>
      </c>
      <c r="I2563" s="252">
        <v>8.7799999999999994</v>
      </c>
      <c r="J2563" s="296" t="s">
        <v>1637</v>
      </c>
      <c r="M2563" s="296" t="s">
        <v>2439</v>
      </c>
      <c r="N2563" s="296"/>
      <c r="O2563" s="296"/>
      <c r="P2563" s="252">
        <v>14.8</v>
      </c>
      <c r="Q2563" s="296" t="s">
        <v>356</v>
      </c>
      <c r="W2563" s="253"/>
    </row>
    <row r="2564" spans="6:23" ht="18.75" customHeight="1">
      <c r="F2564" s="252" t="s">
        <v>1598</v>
      </c>
      <c r="I2564" s="252">
        <v>37.67</v>
      </c>
      <c r="J2564" s="296" t="s">
        <v>1637</v>
      </c>
      <c r="M2564" s="252" t="s">
        <v>214</v>
      </c>
      <c r="P2564" s="252">
        <v>22.61</v>
      </c>
      <c r="Q2564" s="296" t="s">
        <v>356</v>
      </c>
      <c r="W2564" s="253"/>
    </row>
    <row r="2565" spans="6:23" ht="18.75" customHeight="1">
      <c r="F2565" s="252" t="s">
        <v>1653</v>
      </c>
      <c r="I2565" s="252">
        <v>3.24</v>
      </c>
      <c r="J2565" s="296" t="s">
        <v>1637</v>
      </c>
      <c r="M2565" s="252" t="s">
        <v>508</v>
      </c>
      <c r="P2565" s="252">
        <v>3.24</v>
      </c>
      <c r="Q2565" s="296" t="s">
        <v>356</v>
      </c>
      <c r="W2565" s="253"/>
    </row>
    <row r="2566" spans="6:23" ht="18.75" customHeight="1">
      <c r="F2566" s="252" t="s">
        <v>430</v>
      </c>
      <c r="I2566" s="252">
        <v>3.6</v>
      </c>
      <c r="J2566" s="296" t="s">
        <v>1637</v>
      </c>
      <c r="M2566" s="252" t="s">
        <v>509</v>
      </c>
      <c r="P2566" s="252">
        <v>2.16</v>
      </c>
      <c r="Q2566" s="296" t="s">
        <v>356</v>
      </c>
      <c r="W2566" s="253"/>
    </row>
    <row r="2567" spans="6:23" ht="18.75" customHeight="1">
      <c r="F2567" s="252" t="s">
        <v>574</v>
      </c>
      <c r="I2567" s="252">
        <v>2.88</v>
      </c>
      <c r="Q2567" s="296"/>
      <c r="W2567" s="253"/>
    </row>
    <row r="2568" spans="6:23" ht="18.75" customHeight="1">
      <c r="I2568" s="377" t="s">
        <v>876</v>
      </c>
      <c r="P2568" s="377" t="s">
        <v>146</v>
      </c>
      <c r="Q2568" s="296"/>
      <c r="W2568" s="253"/>
    </row>
    <row r="2569" spans="6:23" ht="18.75" customHeight="1">
      <c r="I2569" s="274">
        <f>SUM(I2562:I2567)</f>
        <v>72.55</v>
      </c>
      <c r="J2569" s="296" t="s">
        <v>1637</v>
      </c>
      <c r="P2569" s="252">
        <f>SUM(P2563:P2567)</f>
        <v>42.81</v>
      </c>
      <c r="Q2569" s="296"/>
      <c r="W2569" s="253"/>
    </row>
    <row r="2570" spans="6:23" ht="18.75" customHeight="1">
      <c r="I2570" s="377" t="s">
        <v>876</v>
      </c>
      <c r="P2570" s="252" t="s">
        <v>1677</v>
      </c>
      <c r="Q2570" s="296"/>
      <c r="W2570" s="253"/>
    </row>
    <row r="2571" spans="6:23" ht="18.75" customHeight="1">
      <c r="Q2571" s="296"/>
      <c r="W2571" s="253"/>
    </row>
    <row r="2572" spans="6:23" ht="18.75" customHeight="1">
      <c r="F2572" s="252">
        <v>72.55</v>
      </c>
      <c r="G2572" s="252" t="s">
        <v>1637</v>
      </c>
      <c r="H2572" s="252" t="s">
        <v>575</v>
      </c>
      <c r="I2572" s="252">
        <f>I2537</f>
        <v>70.150000000000006</v>
      </c>
      <c r="J2572" s="296" t="s">
        <v>1637</v>
      </c>
      <c r="K2572" s="252">
        <f>F2572*I2572</f>
        <v>5089.38</v>
      </c>
      <c r="Q2572" s="296"/>
      <c r="W2572" s="253"/>
    </row>
    <row r="2573" spans="6:23" ht="18.75" customHeight="1">
      <c r="F2573" s="252">
        <v>1.01</v>
      </c>
      <c r="G2573" s="252" t="s">
        <v>2273</v>
      </c>
      <c r="H2573" s="252" t="s">
        <v>2113</v>
      </c>
      <c r="I2573" s="252">
        <f>I2538</f>
        <v>379.9</v>
      </c>
      <c r="J2573" s="296" t="s">
        <v>2273</v>
      </c>
      <c r="K2573" s="252">
        <f>F2573*I2573</f>
        <v>383.7</v>
      </c>
      <c r="M2573" s="252">
        <v>42.81</v>
      </c>
      <c r="N2573" s="252" t="s">
        <v>1637</v>
      </c>
      <c r="O2573" s="252" t="s">
        <v>4065</v>
      </c>
      <c r="P2573" s="252">
        <f>I2572</f>
        <v>70.150000000000006</v>
      </c>
      <c r="Q2573" s="296" t="s">
        <v>1637</v>
      </c>
      <c r="R2573" s="252">
        <f>P2573*M2573</f>
        <v>3003.12</v>
      </c>
      <c r="W2573" s="253"/>
    </row>
    <row r="2574" spans="6:23" ht="18.75" customHeight="1">
      <c r="F2574" s="252">
        <v>1.01</v>
      </c>
      <c r="G2574" s="252" t="s">
        <v>2273</v>
      </c>
      <c r="H2574" s="252" t="str">
        <f>H2539</f>
        <v>Fly proof mesh</v>
      </c>
      <c r="I2574" s="252">
        <f>I2539</f>
        <v>116.55</v>
      </c>
      <c r="J2574" s="296" t="s">
        <v>2273</v>
      </c>
      <c r="K2574" s="252">
        <f>F2574*I2574</f>
        <v>117.72</v>
      </c>
      <c r="M2574" s="252">
        <v>0.77</v>
      </c>
      <c r="N2574" s="252" t="s">
        <v>2273</v>
      </c>
      <c r="O2574" s="252" t="s">
        <v>2440</v>
      </c>
      <c r="P2574" s="252">
        <f>I2573</f>
        <v>379.9</v>
      </c>
      <c r="Q2574" s="296" t="s">
        <v>2273</v>
      </c>
      <c r="R2574" s="252">
        <f>P2574*M2574</f>
        <v>292.52</v>
      </c>
      <c r="W2574" s="253"/>
    </row>
    <row r="2575" spans="6:23" ht="18.75" customHeight="1">
      <c r="H2575" s="252" t="s">
        <v>123</v>
      </c>
      <c r="I2575" s="252">
        <v>266.49</v>
      </c>
      <c r="J2575" s="296" t="s">
        <v>446</v>
      </c>
      <c r="K2575" s="252">
        <f>I2575</f>
        <v>266.49</v>
      </c>
      <c r="M2575" s="252">
        <v>0.77</v>
      </c>
      <c r="N2575" s="252" t="s">
        <v>2273</v>
      </c>
      <c r="O2575" s="478" t="s">
        <v>4254</v>
      </c>
      <c r="P2575" s="252">
        <f>I2574</f>
        <v>116.55</v>
      </c>
      <c r="Q2575" s="296" t="s">
        <v>2273</v>
      </c>
      <c r="R2575" s="252">
        <f>P2575*M2575</f>
        <v>89.74</v>
      </c>
      <c r="W2575" s="253"/>
    </row>
    <row r="2576" spans="6:23" ht="18.75" customHeight="1">
      <c r="K2576" s="377" t="s">
        <v>146</v>
      </c>
      <c r="O2576" s="252" t="s">
        <v>512</v>
      </c>
      <c r="P2576" s="314">
        <f>46.62+0.48</f>
        <v>47.1</v>
      </c>
      <c r="Q2576" s="296" t="s">
        <v>446</v>
      </c>
      <c r="R2576" s="252">
        <f>P2576</f>
        <v>47.1</v>
      </c>
      <c r="W2576" s="253"/>
    </row>
    <row r="2577" spans="6:23" ht="18.75" customHeight="1">
      <c r="K2577" s="252">
        <f>SUM(K2572:K2575)</f>
        <v>5857.29</v>
      </c>
      <c r="Q2577" s="296"/>
      <c r="R2577" s="377" t="s">
        <v>146</v>
      </c>
      <c r="W2577" s="253"/>
    </row>
    <row r="2578" spans="6:23" ht="18.75" customHeight="1">
      <c r="H2578" s="252" t="s">
        <v>124</v>
      </c>
      <c r="I2578" s="252">
        <v>255</v>
      </c>
      <c r="J2578" s="296" t="s">
        <v>446</v>
      </c>
      <c r="K2578" s="252">
        <v>255</v>
      </c>
      <c r="O2578" s="274" t="s">
        <v>513</v>
      </c>
      <c r="Q2578" s="296"/>
      <c r="R2578" s="274">
        <f>SUM(R2573:R2576)</f>
        <v>3432.48</v>
      </c>
      <c r="W2578" s="253"/>
    </row>
    <row r="2579" spans="6:23" ht="18.75" customHeight="1">
      <c r="K2579" s="377" t="s">
        <v>146</v>
      </c>
      <c r="Q2579" s="296"/>
      <c r="R2579" s="377" t="s">
        <v>146</v>
      </c>
      <c r="W2579" s="253"/>
    </row>
    <row r="2580" spans="6:23" ht="18.75" customHeight="1">
      <c r="H2580" s="274" t="s">
        <v>125</v>
      </c>
      <c r="K2580" s="274">
        <f>SUM(K2577:K2578)</f>
        <v>6112.29</v>
      </c>
      <c r="O2580" s="252">
        <f>1.285*0.6</f>
        <v>0.77</v>
      </c>
      <c r="Q2580" s="296"/>
      <c r="R2580" s="252">
        <f>R2578/O2580</f>
        <v>4457.7700000000004</v>
      </c>
      <c r="W2580" s="253"/>
    </row>
    <row r="2581" spans="6:23" ht="18.75" customHeight="1">
      <c r="K2581" s="377" t="s">
        <v>146</v>
      </c>
      <c r="M2581" s="252">
        <f>I2574</f>
        <v>116.55</v>
      </c>
      <c r="O2581" s="296">
        <f>M2581*L2540</f>
        <v>89.74</v>
      </c>
      <c r="W2581" s="253"/>
    </row>
    <row r="2582" spans="6:23" ht="18.75" customHeight="1">
      <c r="O2582" s="296">
        <v>0.8</v>
      </c>
      <c r="W2582" s="253"/>
    </row>
    <row r="2583" spans="6:23" ht="18.75" customHeight="1">
      <c r="K2583" s="252">
        <f>5261-K2580</f>
        <v>-851.29</v>
      </c>
      <c r="O2583" s="296">
        <f>SUM(O2579:O2582)</f>
        <v>91.31</v>
      </c>
      <c r="W2583" s="253"/>
    </row>
    <row r="2584" spans="6:23" ht="18.75" customHeight="1">
      <c r="O2584" s="296">
        <f>O2583/0.77</f>
        <v>118.58</v>
      </c>
      <c r="W2584" s="253"/>
    </row>
    <row r="2585" spans="6:23" ht="18.75" customHeight="1">
      <c r="H2585" s="274" t="s">
        <v>11</v>
      </c>
      <c r="W2585" s="253"/>
    </row>
    <row r="2586" spans="6:23" ht="18.75" customHeight="1">
      <c r="W2586" s="253"/>
    </row>
    <row r="2587" spans="6:23" ht="18.75" customHeight="1">
      <c r="F2587" s="274" t="s">
        <v>435</v>
      </c>
      <c r="G2587" s="274"/>
      <c r="U2587" s="252" t="s">
        <v>3725</v>
      </c>
      <c r="W2587" s="253"/>
    </row>
    <row r="2588" spans="6:23" ht="18.75" customHeight="1">
      <c r="W2588" s="253"/>
    </row>
    <row r="2589" spans="6:23" ht="18.75" customHeight="1">
      <c r="F2589" s="252" t="s">
        <v>812</v>
      </c>
      <c r="I2589" s="356">
        <v>2.944</v>
      </c>
      <c r="J2589" s="296" t="s">
        <v>1637</v>
      </c>
      <c r="S2589" s="356" t="s">
        <v>2472</v>
      </c>
      <c r="V2589" s="547">
        <f>2*0.85*2.025</f>
        <v>3.4424999999999999</v>
      </c>
      <c r="W2589" s="253"/>
    </row>
    <row r="2590" spans="6:23" ht="18.75" customHeight="1">
      <c r="F2590" s="252" t="s">
        <v>1258</v>
      </c>
      <c r="I2590" s="356">
        <v>2.355</v>
      </c>
      <c r="J2590" s="296" t="s">
        <v>1637</v>
      </c>
      <c r="S2590" s="356" t="s">
        <v>1923</v>
      </c>
      <c r="V2590" s="547">
        <v>2.2800000000000001E-2</v>
      </c>
      <c r="W2590" s="253"/>
    </row>
    <row r="2591" spans="6:23" ht="18.75" customHeight="1">
      <c r="F2591" s="252" t="s">
        <v>1231</v>
      </c>
      <c r="I2591" s="356">
        <v>0.88300000000000001</v>
      </c>
      <c r="J2591" s="296" t="s">
        <v>1637</v>
      </c>
      <c r="S2591" s="356" t="s">
        <v>2473</v>
      </c>
      <c r="V2591" s="316">
        <f>2*3*0.85*0.15*0.0375</f>
        <v>2.87E-2</v>
      </c>
      <c r="W2591" s="253"/>
    </row>
    <row r="2592" spans="6:23" ht="18.75" customHeight="1">
      <c r="T2592" s="252" t="s">
        <v>2474</v>
      </c>
      <c r="V2592" s="316">
        <f>2*3*0.85*0.075*0.0375</f>
        <v>1.43E-2</v>
      </c>
      <c r="W2592" s="253"/>
    </row>
    <row r="2593" spans="6:33" ht="18.75" customHeight="1">
      <c r="V2593" s="548">
        <f>SUM(V2591:V2592)</f>
        <v>4.2999999999999997E-2</v>
      </c>
      <c r="W2593" s="253"/>
    </row>
    <row r="2594" spans="6:33" ht="18.75" customHeight="1">
      <c r="H2594" s="274" t="s">
        <v>11</v>
      </c>
      <c r="W2594" s="253"/>
    </row>
    <row r="2595" spans="6:33" ht="18.75" customHeight="1">
      <c r="W2595" s="253"/>
    </row>
    <row r="2596" spans="6:33" ht="18.75" customHeight="1">
      <c r="S2596" s="356" t="s">
        <v>2475</v>
      </c>
      <c r="V2596" s="316">
        <f>2*4*0.725*0.3*0.01875</f>
        <v>3.2599999999999997E-2</v>
      </c>
      <c r="W2596" s="253"/>
    </row>
    <row r="2597" spans="6:33" ht="18.75" customHeight="1">
      <c r="F2597" s="252" t="s">
        <v>1217</v>
      </c>
      <c r="I2597" s="252">
        <v>16.38</v>
      </c>
      <c r="J2597" s="296" t="s">
        <v>1637</v>
      </c>
      <c r="S2597" s="356" t="s">
        <v>2476</v>
      </c>
      <c r="V2597" s="316">
        <f>2*0.725*0.3*0.01875</f>
        <v>8.2000000000000007E-3</v>
      </c>
      <c r="W2597" s="253"/>
    </row>
    <row r="2598" spans="6:33" ht="18.75" customHeight="1">
      <c r="F2598" s="252" t="s">
        <v>1224</v>
      </c>
      <c r="I2598" s="252">
        <v>8.7799999999999994</v>
      </c>
      <c r="J2598" s="296" t="s">
        <v>1637</v>
      </c>
      <c r="V2598" s="548">
        <f>SUM(V2596:V2597)</f>
        <v>4.0800000000000003E-2</v>
      </c>
      <c r="W2598" s="253"/>
    </row>
    <row r="2599" spans="6:33" ht="18.75" customHeight="1">
      <c r="F2599" s="252" t="s">
        <v>1598</v>
      </c>
      <c r="I2599" s="252">
        <v>37.67</v>
      </c>
      <c r="J2599" s="296" t="s">
        <v>1637</v>
      </c>
      <c r="U2599" s="274" t="s">
        <v>1615</v>
      </c>
      <c r="W2599" s="253"/>
      <c r="Y2599" s="316">
        <v>2.3099999999999999E-2</v>
      </c>
      <c r="Z2599" s="252">
        <f>Y2599*V2601</f>
        <v>2577.96</v>
      </c>
    </row>
    <row r="2600" spans="6:33" ht="18.75" customHeight="1">
      <c r="F2600" s="252" t="s">
        <v>1653</v>
      </c>
      <c r="I2600" s="252">
        <v>3.24</v>
      </c>
      <c r="J2600" s="296" t="s">
        <v>1637</v>
      </c>
      <c r="W2600" s="253"/>
      <c r="Y2600" s="316">
        <v>4.48E-2</v>
      </c>
      <c r="Z2600" s="252">
        <f>Y2600*V2602</f>
        <v>4453.12</v>
      </c>
    </row>
    <row r="2601" spans="6:33" ht="18.75" customHeight="1">
      <c r="F2601" s="252" t="s">
        <v>430</v>
      </c>
      <c r="I2601" s="252">
        <v>3.6</v>
      </c>
      <c r="J2601" s="296" t="s">
        <v>1637</v>
      </c>
      <c r="S2601" s="316">
        <f>V2590</f>
        <v>2.2800000000000001E-2</v>
      </c>
      <c r="T2601" s="252" t="s">
        <v>866</v>
      </c>
      <c r="U2601" s="252" t="s">
        <v>2477</v>
      </c>
      <c r="V2601" s="252">
        <f>I2633</f>
        <v>111600</v>
      </c>
      <c r="W2601" s="253" t="s">
        <v>866</v>
      </c>
      <c r="X2601" s="252">
        <f>S2601*V2601</f>
        <v>2544.48</v>
      </c>
      <c r="Y2601" s="316">
        <v>2.2690000000000001</v>
      </c>
      <c r="Z2601" s="252">
        <f>Y2601*336</f>
        <v>762.38</v>
      </c>
      <c r="AD2601" s="1257" t="s">
        <v>5716</v>
      </c>
      <c r="AE2601" s="1257"/>
      <c r="AF2601" s="1257"/>
      <c r="AG2601" s="1257"/>
    </row>
    <row r="2602" spans="6:33" ht="18.75" customHeight="1">
      <c r="F2602" s="252" t="s">
        <v>574</v>
      </c>
      <c r="I2602" s="252">
        <v>2.88</v>
      </c>
      <c r="S2602" s="316">
        <f>V2593</f>
        <v>4.2999999999999997E-2</v>
      </c>
      <c r="T2602" s="252" t="s">
        <v>866</v>
      </c>
      <c r="U2602" s="252" t="s">
        <v>2478</v>
      </c>
      <c r="V2602" s="252">
        <f t="shared" ref="V2602:V2610" si="254">I2634</f>
        <v>99400</v>
      </c>
      <c r="W2602" s="253" t="s">
        <v>866</v>
      </c>
      <c r="X2602" s="252">
        <f t="shared" ref="X2602:X2612" si="255">S2602*V2602</f>
        <v>4274.2</v>
      </c>
      <c r="Y2602" s="316">
        <v>3.4849999999999999</v>
      </c>
      <c r="Z2602" s="252">
        <f>Y2602*V2604</f>
        <v>5356.45</v>
      </c>
      <c r="AF2602" s="296"/>
    </row>
    <row r="2603" spans="6:33" ht="18.75" customHeight="1">
      <c r="I2603" s="377" t="s">
        <v>876</v>
      </c>
      <c r="S2603" s="316">
        <f>V2598</f>
        <v>4.0800000000000003E-2</v>
      </c>
      <c r="T2603" s="252" t="s">
        <v>866</v>
      </c>
      <c r="U2603" s="252" t="s">
        <v>933</v>
      </c>
      <c r="V2603" s="252">
        <f t="shared" si="254"/>
        <v>107000</v>
      </c>
      <c r="W2603" s="253" t="s">
        <v>866</v>
      </c>
      <c r="X2603" s="252">
        <f t="shared" si="255"/>
        <v>4365.6000000000004</v>
      </c>
      <c r="Y2603" s="316">
        <v>2</v>
      </c>
      <c r="Z2603" s="252">
        <f>Y2603*V2605</f>
        <v>509</v>
      </c>
      <c r="AB2603" s="252" t="s">
        <v>2011</v>
      </c>
      <c r="AE2603" s="547">
        <f>2*0.95*2.025</f>
        <v>3.8475000000000001</v>
      </c>
      <c r="AF2603" s="296"/>
    </row>
    <row r="2604" spans="6:33" ht="18.75" customHeight="1">
      <c r="I2604" s="274">
        <f>SUM(I2597:I2602)</f>
        <v>72.55</v>
      </c>
      <c r="J2604" s="296" t="s">
        <v>1637</v>
      </c>
      <c r="S2604" s="316">
        <f>V2589</f>
        <v>3.4424999999999999</v>
      </c>
      <c r="T2604" s="252" t="s">
        <v>606</v>
      </c>
      <c r="U2604" s="252" t="s">
        <v>880</v>
      </c>
      <c r="V2604" s="252">
        <f t="shared" si="254"/>
        <v>1537</v>
      </c>
      <c r="W2604" s="253" t="s">
        <v>606</v>
      </c>
      <c r="X2604" s="252">
        <f t="shared" si="255"/>
        <v>5291.12</v>
      </c>
      <c r="Y2604" s="316">
        <v>6</v>
      </c>
      <c r="Z2604" s="252">
        <f>Y2604*V2606</f>
        <v>1284.5999999999999</v>
      </c>
      <c r="AB2604" s="252" t="s">
        <v>1923</v>
      </c>
      <c r="AE2604" s="547">
        <v>2.2800000000000001E-2</v>
      </c>
      <c r="AF2604" s="296"/>
    </row>
    <row r="2605" spans="6:33" ht="18.75" customHeight="1">
      <c r="I2605" s="377" t="s">
        <v>876</v>
      </c>
      <c r="S2605" s="356">
        <v>2</v>
      </c>
      <c r="T2605" s="252" t="s">
        <v>1865</v>
      </c>
      <c r="U2605" s="252" t="s">
        <v>2114</v>
      </c>
      <c r="V2605" s="252">
        <f t="shared" si="254"/>
        <v>254.5</v>
      </c>
      <c r="W2605" s="253" t="s">
        <v>1393</v>
      </c>
      <c r="X2605" s="252">
        <f t="shared" si="255"/>
        <v>509</v>
      </c>
      <c r="Y2605" s="316">
        <v>4</v>
      </c>
      <c r="Z2605" s="252">
        <f>Y2605*V2607</f>
        <v>1632</v>
      </c>
      <c r="AB2605" s="252" t="s">
        <v>2012</v>
      </c>
      <c r="AE2605" s="316">
        <f>2*3*0.95*0.15*0.0375</f>
        <v>3.2099999999999997E-2</v>
      </c>
      <c r="AF2605" s="296"/>
    </row>
    <row r="2606" spans="6:33" ht="18.75" customHeight="1">
      <c r="S2606" s="356">
        <v>6</v>
      </c>
      <c r="T2606" s="252" t="s">
        <v>1865</v>
      </c>
      <c r="U2606" s="252" t="s">
        <v>1094</v>
      </c>
      <c r="V2606" s="252">
        <f t="shared" si="254"/>
        <v>214.1</v>
      </c>
      <c r="W2606" s="253" t="s">
        <v>1393</v>
      </c>
      <c r="X2606" s="252">
        <f t="shared" si="255"/>
        <v>1284.5999999999999</v>
      </c>
      <c r="Y2606" s="316">
        <v>1</v>
      </c>
      <c r="Z2606" s="252">
        <f>Y2606*X2608</f>
        <v>836</v>
      </c>
      <c r="AC2606" s="252" t="s">
        <v>2013</v>
      </c>
      <c r="AE2606" s="316">
        <f>2*3*0.95*0.075*0.0375</f>
        <v>1.6E-2</v>
      </c>
      <c r="AF2606" s="296"/>
    </row>
    <row r="2607" spans="6:33" ht="18.75" customHeight="1">
      <c r="F2607" s="252">
        <v>73</v>
      </c>
      <c r="G2607" s="252" t="s">
        <v>1637</v>
      </c>
      <c r="H2607" s="252" t="s">
        <v>575</v>
      </c>
      <c r="I2607" s="252">
        <f>I2572</f>
        <v>70.150000000000006</v>
      </c>
      <c r="J2607" s="296" t="s">
        <v>1637</v>
      </c>
      <c r="K2607" s="252">
        <f>F2607*I2607</f>
        <v>5120.95</v>
      </c>
      <c r="S2607" s="356">
        <v>4</v>
      </c>
      <c r="T2607" s="252" t="s">
        <v>1865</v>
      </c>
      <c r="U2607" s="252" t="s">
        <v>1343</v>
      </c>
      <c r="V2607" s="252">
        <f t="shared" si="254"/>
        <v>408</v>
      </c>
      <c r="W2607" s="253" t="s">
        <v>1393</v>
      </c>
      <c r="X2607" s="252">
        <f t="shared" si="255"/>
        <v>1632</v>
      </c>
      <c r="Y2607" s="316">
        <v>2</v>
      </c>
      <c r="Z2607" s="252">
        <f>Y2607*V2609</f>
        <v>15</v>
      </c>
      <c r="AE2607" s="548">
        <f>SUM(AE2605:AE2606)</f>
        <v>4.8099999999999997E-2</v>
      </c>
      <c r="AF2607" s="296"/>
    </row>
    <row r="2608" spans="6:33" ht="18.75" customHeight="1">
      <c r="F2608" s="252">
        <v>1.01</v>
      </c>
      <c r="G2608" s="252" t="s">
        <v>2273</v>
      </c>
      <c r="H2608" s="252" t="s">
        <v>2113</v>
      </c>
      <c r="I2608" s="252">
        <f>I2573</f>
        <v>379.9</v>
      </c>
      <c r="J2608" s="296" t="s">
        <v>2273</v>
      </c>
      <c r="K2608" s="252">
        <f>F2608*I2608</f>
        <v>383.7</v>
      </c>
      <c r="S2608" s="356">
        <v>1</v>
      </c>
      <c r="T2608" s="252" t="s">
        <v>1865</v>
      </c>
      <c r="U2608" s="252" t="s">
        <v>1344</v>
      </c>
      <c r="V2608" s="252">
        <f t="shared" si="254"/>
        <v>836</v>
      </c>
      <c r="W2608" s="253" t="s">
        <v>1393</v>
      </c>
      <c r="X2608" s="252">
        <f t="shared" si="255"/>
        <v>836</v>
      </c>
      <c r="Y2608" s="316">
        <v>2</v>
      </c>
      <c r="Z2608" s="252">
        <f>Y2608*V2610</f>
        <v>99.1</v>
      </c>
      <c r="AF2608" s="296"/>
    </row>
    <row r="2609" spans="6:33" ht="18.75" customHeight="1">
      <c r="F2609" s="252">
        <v>1.01</v>
      </c>
      <c r="G2609" s="252" t="s">
        <v>2273</v>
      </c>
      <c r="H2609" s="252" t="s">
        <v>576</v>
      </c>
      <c r="I2609" s="252">
        <f>C198</f>
        <v>40.65</v>
      </c>
      <c r="J2609" s="296" t="s">
        <v>2273</v>
      </c>
      <c r="K2609" s="252">
        <f>F2609*I2609</f>
        <v>41.06</v>
      </c>
      <c r="S2609" s="356">
        <v>2</v>
      </c>
      <c r="T2609" s="252" t="s">
        <v>1865</v>
      </c>
      <c r="U2609" s="252" t="s">
        <v>1971</v>
      </c>
      <c r="V2609" s="314">
        <v>7.5</v>
      </c>
      <c r="W2609" s="253" t="s">
        <v>1393</v>
      </c>
      <c r="X2609" s="252">
        <f t="shared" si="255"/>
        <v>15</v>
      </c>
      <c r="Y2609" s="316"/>
      <c r="Z2609" s="252">
        <v>20</v>
      </c>
      <c r="AF2609" s="296"/>
    </row>
    <row r="2610" spans="6:33" ht="18.75" customHeight="1">
      <c r="H2610" s="252" t="s">
        <v>123</v>
      </c>
      <c r="I2610" s="432">
        <v>266.81</v>
      </c>
      <c r="J2610" s="296" t="s">
        <v>446</v>
      </c>
      <c r="K2610" s="252">
        <f>I2610</f>
        <v>266.81</v>
      </c>
      <c r="S2610" s="356">
        <v>2</v>
      </c>
      <c r="T2610" s="252" t="s">
        <v>1865</v>
      </c>
      <c r="U2610" s="252" t="s">
        <v>1973</v>
      </c>
      <c r="V2610" s="252">
        <f t="shared" si="254"/>
        <v>49.55</v>
      </c>
      <c r="W2610" s="253" t="s">
        <v>1393</v>
      </c>
      <c r="X2610" s="252">
        <f t="shared" si="255"/>
        <v>99.1</v>
      </c>
      <c r="Z2610" s="252">
        <f>SUM(Z2599:Z2609)</f>
        <v>17545.61</v>
      </c>
      <c r="AB2610" s="252" t="s">
        <v>2077</v>
      </c>
      <c r="AE2610" s="316">
        <f>2*4*0.825*0.3*0.01875</f>
        <v>3.7100000000000001E-2</v>
      </c>
      <c r="AF2610" s="296"/>
    </row>
    <row r="2611" spans="6:33" ht="18.75" customHeight="1">
      <c r="K2611" s="377" t="s">
        <v>146</v>
      </c>
      <c r="W2611" s="253"/>
      <c r="Z2611" s="252">
        <f>Z2610/3.485</f>
        <v>5034.6099999999997</v>
      </c>
      <c r="AB2611" s="252" t="s">
        <v>2078</v>
      </c>
      <c r="AE2611" s="316">
        <f>2*0.825*0.3*0.01875</f>
        <v>9.2999999999999992E-3</v>
      </c>
      <c r="AF2611" s="296"/>
    </row>
    <row r="2612" spans="6:33" ht="18.75" customHeight="1">
      <c r="K2612" s="252">
        <f>SUM(K2607:K2610)</f>
        <v>5812.52</v>
      </c>
      <c r="S2612" s="356">
        <v>10</v>
      </c>
      <c r="U2612" s="252" t="s">
        <v>1137</v>
      </c>
      <c r="V2612" s="252">
        <f>I2643</f>
        <v>2.41</v>
      </c>
      <c r="W2612" s="253"/>
      <c r="X2612" s="252">
        <f t="shared" si="255"/>
        <v>24.1</v>
      </c>
      <c r="AE2612" s="548">
        <f>SUM(AE2610:AE2611)</f>
        <v>4.6399999999999997E-2</v>
      </c>
      <c r="AF2612" s="296"/>
    </row>
    <row r="2613" spans="6:33" ht="18.75" customHeight="1">
      <c r="H2613" s="252" t="s">
        <v>124</v>
      </c>
      <c r="I2613" s="432">
        <v>255</v>
      </c>
      <c r="J2613" s="296" t="s">
        <v>446</v>
      </c>
      <c r="K2613" s="252">
        <v>255</v>
      </c>
      <c r="T2613" s="274"/>
      <c r="U2613" s="274" t="s">
        <v>549</v>
      </c>
      <c r="W2613" s="253"/>
      <c r="X2613" s="274">
        <f>SUM(X2601:X2612)</f>
        <v>20875.2</v>
      </c>
      <c r="AD2613" s="274" t="s">
        <v>1615</v>
      </c>
      <c r="AF2613" s="296"/>
    </row>
    <row r="2614" spans="6:33" ht="18.75" customHeight="1">
      <c r="K2614" s="377" t="s">
        <v>146</v>
      </c>
      <c r="T2614" s="274"/>
      <c r="U2614" s="274"/>
      <c r="W2614" s="253"/>
      <c r="X2614" s="377" t="s">
        <v>146</v>
      </c>
      <c r="AF2614" s="296"/>
    </row>
    <row r="2615" spans="6:33" ht="18.75" customHeight="1">
      <c r="H2615" s="274" t="s">
        <v>125</v>
      </c>
      <c r="K2615" s="274">
        <f>SUM(K2612:K2613)</f>
        <v>6067.52</v>
      </c>
      <c r="M2615" s="252">
        <f>5227-K2615</f>
        <v>-840.52</v>
      </c>
      <c r="T2615" s="274"/>
      <c r="U2615" s="274" t="s">
        <v>2479</v>
      </c>
      <c r="W2615" s="253"/>
      <c r="X2615" s="274">
        <f>X2613/3.4425</f>
        <v>6063.97</v>
      </c>
      <c r="AB2615" s="316">
        <f>AE2604</f>
        <v>2.2800000000000001E-2</v>
      </c>
      <c r="AC2615" s="252" t="s">
        <v>866</v>
      </c>
      <c r="AD2615" s="252" t="s">
        <v>2477</v>
      </c>
      <c r="AE2615" s="252">
        <f>V2601</f>
        <v>111600</v>
      </c>
      <c r="AF2615" s="296" t="s">
        <v>866</v>
      </c>
      <c r="AG2615" s="252">
        <f>AB2615*AE2615</f>
        <v>2544.48</v>
      </c>
    </row>
    <row r="2616" spans="6:33" ht="18.75" customHeight="1">
      <c r="K2616" s="377" t="s">
        <v>146</v>
      </c>
      <c r="W2616" s="253"/>
      <c r="AB2616" s="316">
        <f>AE2607</f>
        <v>4.8099999999999997E-2</v>
      </c>
      <c r="AC2616" s="252" t="s">
        <v>866</v>
      </c>
      <c r="AD2616" s="252" t="s">
        <v>2478</v>
      </c>
      <c r="AE2616" s="252">
        <f t="shared" ref="AE2616:AE2624" si="256">V2602</f>
        <v>99400</v>
      </c>
      <c r="AF2616" s="296" t="s">
        <v>866</v>
      </c>
      <c r="AG2616" s="252">
        <f t="shared" ref="AG2616:AG2624" si="257">AB2616*AE2616</f>
        <v>4781.1400000000003</v>
      </c>
    </row>
    <row r="2617" spans="6:33" ht="18.75" customHeight="1">
      <c r="W2617" s="253"/>
      <c r="AB2617" s="400">
        <f>AE2612</f>
        <v>4.6399999999999997E-2</v>
      </c>
      <c r="AC2617" s="252" t="s">
        <v>866</v>
      </c>
      <c r="AD2617" s="252" t="s">
        <v>933</v>
      </c>
      <c r="AE2617" s="252">
        <f t="shared" si="256"/>
        <v>107000</v>
      </c>
      <c r="AF2617" s="296" t="s">
        <v>866</v>
      </c>
      <c r="AG2617" s="252">
        <f t="shared" si="257"/>
        <v>4964.8</v>
      </c>
    </row>
    <row r="2618" spans="6:33" ht="18.75" customHeight="1">
      <c r="W2618" s="253"/>
      <c r="AB2618" s="316">
        <f>AE2603</f>
        <v>3.8475000000000001</v>
      </c>
      <c r="AC2618" s="252" t="s">
        <v>606</v>
      </c>
      <c r="AD2618" s="252" t="s">
        <v>880</v>
      </c>
      <c r="AE2618" s="252">
        <f t="shared" si="256"/>
        <v>1537</v>
      </c>
      <c r="AF2618" s="296" t="s">
        <v>606</v>
      </c>
      <c r="AG2618" s="252">
        <f t="shared" si="257"/>
        <v>5913.61</v>
      </c>
    </row>
    <row r="2619" spans="6:33" ht="18.75" customHeight="1">
      <c r="H2619" s="274" t="s">
        <v>3937</v>
      </c>
      <c r="I2619" s="274"/>
      <c r="W2619" s="253"/>
      <c r="AB2619" s="252">
        <v>2</v>
      </c>
      <c r="AC2619" s="252" t="s">
        <v>1865</v>
      </c>
      <c r="AD2619" s="252" t="s">
        <v>2114</v>
      </c>
      <c r="AE2619" s="252">
        <f t="shared" si="256"/>
        <v>254.5</v>
      </c>
      <c r="AF2619" s="296" t="s">
        <v>1393</v>
      </c>
      <c r="AG2619" s="252">
        <f t="shared" si="257"/>
        <v>509</v>
      </c>
    </row>
    <row r="2620" spans="6:33" ht="18.75" customHeight="1">
      <c r="W2620" s="253"/>
      <c r="AB2620" s="252">
        <v>6</v>
      </c>
      <c r="AC2620" s="252" t="s">
        <v>1865</v>
      </c>
      <c r="AD2620" s="252" t="s">
        <v>1094</v>
      </c>
      <c r="AE2620" s="252">
        <f t="shared" si="256"/>
        <v>214.1</v>
      </c>
      <c r="AF2620" s="296" t="s">
        <v>1393</v>
      </c>
      <c r="AG2620" s="252">
        <f t="shared" si="257"/>
        <v>1284.5999999999999</v>
      </c>
    </row>
    <row r="2621" spans="6:33" ht="18.75" customHeight="1">
      <c r="F2621" s="252" t="s">
        <v>455</v>
      </c>
      <c r="W2621" s="253"/>
      <c r="AB2621" s="252">
        <v>4</v>
      </c>
      <c r="AC2621" s="252" t="s">
        <v>1865</v>
      </c>
      <c r="AD2621" s="252" t="s">
        <v>1343</v>
      </c>
      <c r="AE2621" s="252">
        <f t="shared" si="256"/>
        <v>408</v>
      </c>
      <c r="AF2621" s="296" t="s">
        <v>1393</v>
      </c>
      <c r="AG2621" s="252">
        <f t="shared" si="257"/>
        <v>1632</v>
      </c>
    </row>
    <row r="2622" spans="6:33" ht="18.75" customHeight="1">
      <c r="F2622" s="252" t="s">
        <v>1923</v>
      </c>
      <c r="I2622" s="547">
        <v>2.2800000000000001E-2</v>
      </c>
      <c r="W2622" s="253"/>
      <c r="AB2622" s="252">
        <v>1</v>
      </c>
      <c r="AC2622" s="252" t="s">
        <v>1865</v>
      </c>
      <c r="AD2622" s="252" t="s">
        <v>1344</v>
      </c>
      <c r="AE2622" s="252">
        <f t="shared" si="256"/>
        <v>836</v>
      </c>
      <c r="AF2622" s="296" t="s">
        <v>1393</v>
      </c>
      <c r="AG2622" s="252">
        <f t="shared" si="257"/>
        <v>836</v>
      </c>
    </row>
    <row r="2623" spans="6:33" ht="18.75" customHeight="1">
      <c r="F2623" s="252" t="s">
        <v>1924</v>
      </c>
      <c r="I2623" s="316">
        <v>2.3599999999999999E-2</v>
      </c>
      <c r="W2623" s="253"/>
      <c r="AB2623" s="252">
        <v>2</v>
      </c>
      <c r="AC2623" s="252" t="s">
        <v>1865</v>
      </c>
      <c r="AD2623" s="252" t="s">
        <v>1971</v>
      </c>
      <c r="AE2623" s="252">
        <f t="shared" si="256"/>
        <v>7.5</v>
      </c>
      <c r="AF2623" s="296" t="s">
        <v>1393</v>
      </c>
      <c r="AG2623" s="252">
        <f t="shared" si="257"/>
        <v>15</v>
      </c>
    </row>
    <row r="2624" spans="6:33" ht="18.75" customHeight="1">
      <c r="G2624" s="252" t="s">
        <v>2066</v>
      </c>
      <c r="I2624" s="316">
        <v>1.18E-2</v>
      </c>
      <c r="W2624" s="253"/>
      <c r="AB2624" s="252">
        <v>2</v>
      </c>
      <c r="AC2624" s="252" t="s">
        <v>1865</v>
      </c>
      <c r="AD2624" s="252" t="s">
        <v>1973</v>
      </c>
      <c r="AE2624" s="252">
        <f t="shared" si="256"/>
        <v>49.55</v>
      </c>
      <c r="AF2624" s="296" t="s">
        <v>1393</v>
      </c>
      <c r="AG2624" s="252">
        <f t="shared" si="257"/>
        <v>99.1</v>
      </c>
    </row>
    <row r="2625" spans="6:33" ht="18.75" customHeight="1">
      <c r="I2625" s="548">
        <f>SUM(I2623:I2624)</f>
        <v>3.5400000000000001E-2</v>
      </c>
      <c r="W2625" s="253"/>
      <c r="AF2625" s="296"/>
    </row>
    <row r="2626" spans="6:33" ht="18.75" customHeight="1">
      <c r="O2626" s="274" t="s">
        <v>3938</v>
      </c>
      <c r="Q2626" s="296"/>
      <c r="W2626" s="253"/>
      <c r="AF2626" s="296"/>
      <c r="AG2626" s="377">
        <v>10.54</v>
      </c>
    </row>
    <row r="2627" spans="6:33" ht="18.75" customHeight="1">
      <c r="Q2627" s="296"/>
      <c r="W2627" s="253"/>
      <c r="AC2627" s="274"/>
      <c r="AD2627" s="274" t="s">
        <v>549</v>
      </c>
      <c r="AF2627" s="296"/>
      <c r="AG2627" s="274">
        <f>SUM(AG2615:AG2626)</f>
        <v>22590.27</v>
      </c>
    </row>
    <row r="2628" spans="6:33" ht="18.75" customHeight="1">
      <c r="F2628" s="252" t="s">
        <v>2067</v>
      </c>
      <c r="I2628" s="316">
        <v>2.5899999999999999E-2</v>
      </c>
      <c r="M2628" s="252" t="s">
        <v>1862</v>
      </c>
      <c r="Q2628" s="296"/>
      <c r="W2628" s="253"/>
      <c r="AC2628" s="274"/>
      <c r="AD2628" s="274"/>
      <c r="AF2628" s="296"/>
      <c r="AG2628" s="377" t="s">
        <v>146</v>
      </c>
    </row>
    <row r="2629" spans="6:33" ht="18.75" customHeight="1">
      <c r="F2629" s="252" t="s">
        <v>418</v>
      </c>
      <c r="I2629" s="316">
        <f>2*0.575*0.3*0.01875</f>
        <v>6.4999999999999997E-3</v>
      </c>
      <c r="K2629" s="252">
        <f>3643035-3769622.98</f>
        <v>-126587.98</v>
      </c>
      <c r="M2629" s="252" t="s">
        <v>1923</v>
      </c>
      <c r="P2629" s="547">
        <v>2.2800000000000001E-2</v>
      </c>
      <c r="Q2629" s="296"/>
      <c r="W2629" s="253"/>
      <c r="AC2629" s="274"/>
      <c r="AD2629" s="274" t="s">
        <v>2079</v>
      </c>
      <c r="AF2629" s="296"/>
      <c r="AG2629" s="274">
        <f>AG2627/3.8475</f>
        <v>5871.42</v>
      </c>
    </row>
    <row r="2630" spans="6:33" ht="18.75" customHeight="1">
      <c r="I2630" s="548">
        <f>SUM(I2628:I2629)</f>
        <v>3.2399999999999998E-2</v>
      </c>
      <c r="M2630" s="252" t="s">
        <v>1863</v>
      </c>
      <c r="P2630" s="316">
        <v>1.8599999999999998E-2</v>
      </c>
      <c r="Q2630" s="296"/>
      <c r="W2630" s="253"/>
    </row>
    <row r="2631" spans="6:33" ht="18.75" customHeight="1">
      <c r="H2631" s="274" t="s">
        <v>1615</v>
      </c>
      <c r="N2631" s="252" t="s">
        <v>402</v>
      </c>
      <c r="P2631" s="316">
        <v>9.2999999999999992E-3</v>
      </c>
      <c r="Q2631" s="296"/>
      <c r="W2631" s="253"/>
    </row>
    <row r="2632" spans="6:33" ht="18.75" customHeight="1">
      <c r="P2632" s="548">
        <f>SUM(P2630:P2631)</f>
        <v>2.7900000000000001E-2</v>
      </c>
      <c r="Q2632" s="296"/>
      <c r="W2632" s="253"/>
    </row>
    <row r="2633" spans="6:33" ht="18.75" customHeight="1">
      <c r="F2633" s="316">
        <v>2.2800000000000001E-2</v>
      </c>
      <c r="G2633" s="252" t="s">
        <v>866</v>
      </c>
      <c r="H2633" s="252" t="s">
        <v>3114</v>
      </c>
      <c r="I2633" s="252">
        <f>AC26</f>
        <v>111600</v>
      </c>
      <c r="J2633" s="296" t="s">
        <v>866</v>
      </c>
      <c r="K2633" s="252">
        <f>F2633*I2633</f>
        <v>2544.48</v>
      </c>
      <c r="Q2633" s="296"/>
      <c r="W2633" s="253"/>
    </row>
    <row r="2634" spans="6:33" ht="18.75" customHeight="1">
      <c r="F2634" s="316">
        <v>3.5400000000000001E-2</v>
      </c>
      <c r="G2634" s="252" t="s">
        <v>866</v>
      </c>
      <c r="H2634" s="252" t="s">
        <v>2478</v>
      </c>
      <c r="I2634" s="252">
        <f>AC27</f>
        <v>99400</v>
      </c>
      <c r="J2634" s="296" t="s">
        <v>866</v>
      </c>
      <c r="K2634" s="252">
        <f t="shared" ref="K2634:K2643" si="258">F2634*I2634</f>
        <v>3518.76</v>
      </c>
      <c r="Q2634" s="296"/>
      <c r="W2634" s="253"/>
    </row>
    <row r="2635" spans="6:33" ht="18.75" customHeight="1">
      <c r="F2635" s="400">
        <v>3.2300000000000002E-2</v>
      </c>
      <c r="G2635" s="252" t="s">
        <v>866</v>
      </c>
      <c r="H2635" s="252" t="s">
        <v>4913</v>
      </c>
      <c r="I2635" s="362">
        <v>107000</v>
      </c>
      <c r="J2635" s="296" t="s">
        <v>866</v>
      </c>
      <c r="K2635" s="252">
        <f t="shared" si="258"/>
        <v>3456.1</v>
      </c>
      <c r="M2635" s="252" t="s">
        <v>401</v>
      </c>
      <c r="P2635" s="316">
        <v>1.9E-2</v>
      </c>
      <c r="Q2635" s="296"/>
      <c r="W2635" s="253"/>
      <c r="AB2635" s="356"/>
      <c r="AD2635" s="274" t="s">
        <v>3725</v>
      </c>
      <c r="AF2635" s="296"/>
    </row>
    <row r="2636" spans="6:33" ht="18.75" customHeight="1">
      <c r="F2636" s="356">
        <v>2.835</v>
      </c>
      <c r="G2636" s="252" t="s">
        <v>606</v>
      </c>
      <c r="H2636" s="252" t="s">
        <v>880</v>
      </c>
      <c r="I2636" s="252">
        <f>AE30</f>
        <v>1537</v>
      </c>
      <c r="J2636" s="296" t="s">
        <v>606</v>
      </c>
      <c r="K2636" s="252">
        <f t="shared" si="258"/>
        <v>4357.3999999999996</v>
      </c>
      <c r="M2636" s="252" t="s">
        <v>347</v>
      </c>
      <c r="P2636" s="316">
        <v>4.7999999999999996E-3</v>
      </c>
      <c r="Q2636" s="296"/>
      <c r="W2636" s="253"/>
      <c r="AB2636" s="356"/>
      <c r="AD2636" s="274" t="s">
        <v>3845</v>
      </c>
      <c r="AF2636" s="296"/>
    </row>
    <row r="2637" spans="6:33" ht="18.75" customHeight="1">
      <c r="F2637" s="252">
        <v>2</v>
      </c>
      <c r="G2637" s="252" t="s">
        <v>1865</v>
      </c>
      <c r="H2637" s="252" t="s">
        <v>3726</v>
      </c>
      <c r="I2637" s="252">
        <f>I2818</f>
        <v>254.5</v>
      </c>
      <c r="J2637" s="296" t="s">
        <v>1393</v>
      </c>
      <c r="K2637" s="252">
        <f t="shared" si="258"/>
        <v>509</v>
      </c>
      <c r="P2637" s="548">
        <f>SUM(P2635:P2636)</f>
        <v>2.3800000000000002E-2</v>
      </c>
      <c r="Q2637" s="296"/>
      <c r="W2637" s="253"/>
      <c r="AB2637" s="356" t="s">
        <v>2472</v>
      </c>
      <c r="AE2637" s="547">
        <f>2*0.85*2.025</f>
        <v>3.4424999999999999</v>
      </c>
      <c r="AF2637" s="296"/>
    </row>
    <row r="2638" spans="6:33" ht="18.75" customHeight="1">
      <c r="F2638" s="252">
        <v>6</v>
      </c>
      <c r="G2638" s="252" t="s">
        <v>1865</v>
      </c>
      <c r="H2638" s="252" t="s">
        <v>3727</v>
      </c>
      <c r="I2638" s="252">
        <f t="shared" ref="I2638:I2643" si="259">I2819</f>
        <v>214.1</v>
      </c>
      <c r="J2638" s="296" t="s">
        <v>1393</v>
      </c>
      <c r="K2638" s="252">
        <f t="shared" si="258"/>
        <v>1284.5999999999999</v>
      </c>
      <c r="O2638" s="274" t="s">
        <v>1615</v>
      </c>
      <c r="Q2638" s="296"/>
      <c r="W2638" s="253"/>
      <c r="AB2638" s="356" t="s">
        <v>1923</v>
      </c>
      <c r="AE2638" s="547">
        <v>2.2800000000000001E-2</v>
      </c>
      <c r="AF2638" s="296"/>
    </row>
    <row r="2639" spans="6:33" ht="18.75" customHeight="1">
      <c r="F2639" s="252">
        <v>4</v>
      </c>
      <c r="G2639" s="252" t="s">
        <v>1865</v>
      </c>
      <c r="H2639" s="252" t="s">
        <v>3728</v>
      </c>
      <c r="I2639" s="252">
        <f t="shared" si="259"/>
        <v>408</v>
      </c>
      <c r="J2639" s="296" t="s">
        <v>1393</v>
      </c>
      <c r="K2639" s="252">
        <f t="shared" si="258"/>
        <v>1632</v>
      </c>
      <c r="Q2639" s="296"/>
      <c r="W2639" s="253"/>
      <c r="AB2639" s="356" t="s">
        <v>2473</v>
      </c>
      <c r="AE2639" s="316">
        <f>2*3*0.85*0.15*0.0375</f>
        <v>2.87E-2</v>
      </c>
      <c r="AF2639" s="296"/>
    </row>
    <row r="2640" spans="6:33" ht="18.75" customHeight="1">
      <c r="F2640" s="252">
        <v>1</v>
      </c>
      <c r="G2640" s="252" t="s">
        <v>1865</v>
      </c>
      <c r="H2640" s="252" t="s">
        <v>3729</v>
      </c>
      <c r="I2640" s="252">
        <f t="shared" si="259"/>
        <v>836</v>
      </c>
      <c r="J2640" s="296" t="s">
        <v>1393</v>
      </c>
      <c r="K2640" s="252">
        <f t="shared" si="258"/>
        <v>836</v>
      </c>
      <c r="M2640" s="316">
        <f>P2629</f>
        <v>2.2800000000000001E-2</v>
      </c>
      <c r="N2640" s="252" t="s">
        <v>866</v>
      </c>
      <c r="O2640" s="252" t="s">
        <v>2477</v>
      </c>
      <c r="P2640" s="252">
        <f>I2633</f>
        <v>111600</v>
      </c>
      <c r="Q2640" s="296" t="s">
        <v>866</v>
      </c>
      <c r="R2640" s="252">
        <f>M2640*P2640</f>
        <v>2544.48</v>
      </c>
      <c r="W2640" s="253"/>
      <c r="AB2640" s="356"/>
      <c r="AC2640" s="252" t="s">
        <v>2474</v>
      </c>
      <c r="AE2640" s="316">
        <f>2*3*0.85*0.075*0.0375</f>
        <v>1.43E-2</v>
      </c>
      <c r="AF2640" s="296"/>
    </row>
    <row r="2641" spans="6:34" ht="18.75" customHeight="1">
      <c r="F2641" s="252">
        <v>2</v>
      </c>
      <c r="G2641" s="252" t="s">
        <v>1865</v>
      </c>
      <c r="H2641" s="252" t="s">
        <v>5251</v>
      </c>
      <c r="I2641" s="252">
        <f t="shared" si="259"/>
        <v>7.3</v>
      </c>
      <c r="J2641" s="296" t="s">
        <v>1393</v>
      </c>
      <c r="K2641" s="252">
        <f t="shared" si="258"/>
        <v>14.6</v>
      </c>
      <c r="M2641" s="316">
        <f>P2632</f>
        <v>2.7900000000000001E-2</v>
      </c>
      <c r="N2641" s="252" t="s">
        <v>866</v>
      </c>
      <c r="O2641" s="252" t="s">
        <v>2478</v>
      </c>
      <c r="P2641" s="252">
        <f t="shared" ref="P2641:P2649" si="260">I2634</f>
        <v>99400</v>
      </c>
      <c r="Q2641" s="296" t="s">
        <v>866</v>
      </c>
      <c r="R2641" s="252">
        <f t="shared" ref="R2641:R2650" si="261">M2641*P2641</f>
        <v>2773.26</v>
      </c>
      <c r="W2641" s="253"/>
      <c r="AA2641" s="356"/>
      <c r="AB2641" s="356"/>
      <c r="AE2641" s="548">
        <f>SUM(AE2639:AE2640)</f>
        <v>4.2999999999999997E-2</v>
      </c>
      <c r="AF2641" s="296"/>
    </row>
    <row r="2642" spans="6:34" ht="18.75" customHeight="1">
      <c r="F2642" s="252">
        <v>2</v>
      </c>
      <c r="G2642" s="252" t="s">
        <v>1865</v>
      </c>
      <c r="H2642" s="252" t="s">
        <v>4914</v>
      </c>
      <c r="I2642" s="252">
        <f t="shared" si="259"/>
        <v>49.55</v>
      </c>
      <c r="J2642" s="296" t="s">
        <v>1393</v>
      </c>
      <c r="K2642" s="252">
        <f t="shared" si="258"/>
        <v>99.1</v>
      </c>
      <c r="M2642" s="400">
        <f>P2637</f>
        <v>2.3800000000000002E-2</v>
      </c>
      <c r="N2642" s="252" t="s">
        <v>866</v>
      </c>
      <c r="O2642" s="252" t="s">
        <v>3936</v>
      </c>
      <c r="P2642" s="252">
        <f t="shared" si="260"/>
        <v>107000</v>
      </c>
      <c r="Q2642" s="296" t="s">
        <v>866</v>
      </c>
      <c r="R2642" s="252">
        <f t="shared" si="261"/>
        <v>2546.6</v>
      </c>
      <c r="W2642" s="253"/>
      <c r="AA2642" s="356"/>
      <c r="AB2642" s="356"/>
      <c r="AF2642" s="296"/>
    </row>
    <row r="2643" spans="6:34" ht="18.75" customHeight="1">
      <c r="F2643" s="252">
        <v>118</v>
      </c>
      <c r="H2643" s="252" t="s">
        <v>1137</v>
      </c>
      <c r="I2643" s="252">
        <f t="shared" si="259"/>
        <v>2.41</v>
      </c>
      <c r="K2643" s="252">
        <f t="shared" si="258"/>
        <v>284.38</v>
      </c>
      <c r="M2643" s="356">
        <v>2.23</v>
      </c>
      <c r="N2643" s="252" t="s">
        <v>606</v>
      </c>
      <c r="O2643" s="252" t="s">
        <v>880</v>
      </c>
      <c r="P2643" s="252">
        <f t="shared" si="260"/>
        <v>1537</v>
      </c>
      <c r="Q2643" s="296" t="s">
        <v>606</v>
      </c>
      <c r="R2643" s="252">
        <f t="shared" si="261"/>
        <v>3427.51</v>
      </c>
      <c r="W2643" s="253"/>
      <c r="AA2643" s="356"/>
      <c r="AB2643" s="356"/>
      <c r="AF2643" s="296"/>
    </row>
    <row r="2644" spans="6:34" ht="18.75" customHeight="1">
      <c r="K2644" s="377"/>
      <c r="M2644" s="252">
        <v>2</v>
      </c>
      <c r="N2644" s="252" t="s">
        <v>1865</v>
      </c>
      <c r="O2644" s="274" t="s">
        <v>3726</v>
      </c>
      <c r="P2644" s="252">
        <f t="shared" si="260"/>
        <v>254.5</v>
      </c>
      <c r="Q2644" s="296" t="s">
        <v>1393</v>
      </c>
      <c r="R2644" s="252">
        <f t="shared" si="261"/>
        <v>509</v>
      </c>
      <c r="W2644" s="253"/>
      <c r="AA2644" s="356"/>
      <c r="AB2644" s="356" t="s">
        <v>2475</v>
      </c>
      <c r="AE2644" s="316">
        <f>2*4*0.725*0.3*0.01875</f>
        <v>3.2599999999999997E-2</v>
      </c>
      <c r="AF2644" s="296"/>
    </row>
    <row r="2645" spans="6:34" ht="18.75" customHeight="1">
      <c r="G2645" s="274"/>
      <c r="H2645" s="274" t="s">
        <v>549</v>
      </c>
      <c r="K2645" s="274">
        <f>SUM(K2633:K2644)</f>
        <v>18536.419999999998</v>
      </c>
      <c r="L2645" s="272"/>
      <c r="M2645" s="252">
        <v>6</v>
      </c>
      <c r="N2645" s="252" t="s">
        <v>1865</v>
      </c>
      <c r="O2645" s="274" t="s">
        <v>3727</v>
      </c>
      <c r="P2645" s="252">
        <f t="shared" si="260"/>
        <v>214.1</v>
      </c>
      <c r="Q2645" s="296" t="s">
        <v>1393</v>
      </c>
      <c r="R2645" s="252">
        <f t="shared" si="261"/>
        <v>1284.5999999999999</v>
      </c>
      <c r="W2645" s="253"/>
      <c r="AA2645" s="356"/>
      <c r="AB2645" s="356" t="s">
        <v>2476</v>
      </c>
      <c r="AE2645" s="316">
        <f>2*0.725*0.3*0.01875</f>
        <v>8.2000000000000007E-3</v>
      </c>
      <c r="AF2645" s="296"/>
    </row>
    <row r="2646" spans="6:34" ht="18.75" customHeight="1">
      <c r="G2646" s="274"/>
      <c r="H2646" s="274"/>
      <c r="K2646" s="377" t="s">
        <v>146</v>
      </c>
      <c r="M2646" s="252">
        <v>4</v>
      </c>
      <c r="N2646" s="252" t="s">
        <v>1865</v>
      </c>
      <c r="O2646" s="274" t="s">
        <v>3728</v>
      </c>
      <c r="P2646" s="252">
        <f t="shared" si="260"/>
        <v>408</v>
      </c>
      <c r="Q2646" s="296" t="s">
        <v>1393</v>
      </c>
      <c r="R2646" s="252">
        <f t="shared" si="261"/>
        <v>1632</v>
      </c>
      <c r="W2646" s="253"/>
      <c r="AA2646" s="356"/>
      <c r="AB2646" s="356"/>
      <c r="AE2646" s="548">
        <f>SUM(AE2644:AE2645)</f>
        <v>4.0800000000000003E-2</v>
      </c>
      <c r="AF2646" s="296"/>
    </row>
    <row r="2647" spans="6:34" ht="18.75" customHeight="1">
      <c r="G2647" s="274"/>
      <c r="H2647" s="274" t="s">
        <v>2073</v>
      </c>
      <c r="K2647" s="274">
        <f>K2645/2.835</f>
        <v>6538.42</v>
      </c>
      <c r="M2647" s="252">
        <v>1</v>
      </c>
      <c r="N2647" s="252" t="s">
        <v>1865</v>
      </c>
      <c r="O2647" s="274" t="s">
        <v>3729</v>
      </c>
      <c r="P2647" s="252">
        <f t="shared" si="260"/>
        <v>836</v>
      </c>
      <c r="Q2647" s="296" t="s">
        <v>1393</v>
      </c>
      <c r="R2647" s="252">
        <f t="shared" si="261"/>
        <v>836</v>
      </c>
      <c r="W2647" s="253"/>
      <c r="AA2647" s="356"/>
      <c r="AB2647" s="356"/>
      <c r="AD2647" s="274" t="s">
        <v>1615</v>
      </c>
      <c r="AF2647" s="296"/>
      <c r="AH2647" s="316"/>
    </row>
    <row r="2648" spans="6:34" ht="18.75" customHeight="1">
      <c r="G2648" s="274"/>
      <c r="K2648" s="377" t="s">
        <v>146</v>
      </c>
      <c r="M2648" s="252">
        <v>2</v>
      </c>
      <c r="N2648" s="252" t="s">
        <v>1865</v>
      </c>
      <c r="O2648" s="252" t="s">
        <v>1971</v>
      </c>
      <c r="P2648" s="252">
        <f t="shared" si="260"/>
        <v>7.3</v>
      </c>
      <c r="Q2648" s="296" t="s">
        <v>1393</v>
      </c>
      <c r="R2648" s="252">
        <f t="shared" si="261"/>
        <v>14.6</v>
      </c>
      <c r="W2648" s="253"/>
      <c r="AA2648" s="356"/>
      <c r="AB2648" s="356"/>
      <c r="AF2648" s="296"/>
      <c r="AH2648" s="316"/>
    </row>
    <row r="2649" spans="6:34" ht="18.75" customHeight="1">
      <c r="F2649" s="549" t="s">
        <v>877</v>
      </c>
      <c r="G2649" s="550"/>
      <c r="H2649" s="367" t="s">
        <v>1990</v>
      </c>
      <c r="I2649" s="550"/>
      <c r="J2649" s="367"/>
      <c r="K2649" s="550"/>
      <c r="M2649" s="252">
        <v>2</v>
      </c>
      <c r="N2649" s="252" t="s">
        <v>1865</v>
      </c>
      <c r="O2649" s="252" t="s">
        <v>1973</v>
      </c>
      <c r="P2649" s="252">
        <f t="shared" si="260"/>
        <v>49.55</v>
      </c>
      <c r="Q2649" s="296" t="s">
        <v>1393</v>
      </c>
      <c r="R2649" s="252">
        <f t="shared" si="261"/>
        <v>99.1</v>
      </c>
      <c r="W2649" s="253"/>
      <c r="AA2649" s="356"/>
      <c r="AB2649" s="316">
        <f>AE2638</f>
        <v>2.2800000000000001E-2</v>
      </c>
      <c r="AC2649" s="252" t="s">
        <v>866</v>
      </c>
      <c r="AD2649" s="252" t="s">
        <v>2477</v>
      </c>
      <c r="AE2649" s="252">
        <f>V2601</f>
        <v>111600</v>
      </c>
      <c r="AF2649" s="296" t="s">
        <v>866</v>
      </c>
      <c r="AG2649" s="252">
        <f>AB2649*AE2649</f>
        <v>2544.48</v>
      </c>
      <c r="AH2649" s="316"/>
    </row>
    <row r="2650" spans="6:34" ht="18.75" customHeight="1">
      <c r="F2650" s="550"/>
      <c r="G2650" s="550"/>
      <c r="H2650" s="551" t="s">
        <v>1579</v>
      </c>
      <c r="I2650" s="551" t="s">
        <v>1579</v>
      </c>
      <c r="J2650" s="367" t="s">
        <v>1579</v>
      </c>
      <c r="K2650" s="550"/>
      <c r="M2650" s="252">
        <v>118</v>
      </c>
      <c r="O2650" s="252" t="s">
        <v>1137</v>
      </c>
      <c r="P2650" s="362">
        <f>P2831</f>
        <v>2.41</v>
      </c>
      <c r="Q2650" s="296"/>
      <c r="R2650" s="252">
        <f t="shared" si="261"/>
        <v>284.38</v>
      </c>
      <c r="W2650" s="253"/>
      <c r="AA2650" s="356"/>
      <c r="AB2650" s="316">
        <f>AE2641</f>
        <v>4.2999999999999997E-2</v>
      </c>
      <c r="AC2650" s="252" t="s">
        <v>866</v>
      </c>
      <c r="AD2650" s="252" t="s">
        <v>2478</v>
      </c>
      <c r="AE2650" s="252">
        <f t="shared" ref="AE2650:AE2660" si="262">V2602</f>
        <v>99400</v>
      </c>
      <c r="AF2650" s="296" t="s">
        <v>866</v>
      </c>
      <c r="AG2650" s="252">
        <f t="shared" ref="AG2650:AG2660" si="263">AB2650*AE2650</f>
        <v>4274.2</v>
      </c>
      <c r="AH2650" s="316"/>
    </row>
    <row r="2651" spans="6:34" ht="18.75" customHeight="1">
      <c r="F2651" s="550"/>
      <c r="G2651" s="550"/>
      <c r="H2651" s="550"/>
      <c r="I2651" s="550"/>
      <c r="J2651" s="367"/>
      <c r="K2651" s="550"/>
      <c r="Q2651" s="296"/>
      <c r="R2651" s="377" t="s">
        <v>146</v>
      </c>
      <c r="W2651" s="253"/>
      <c r="AA2651" s="356"/>
      <c r="AB2651" s="316">
        <f>AE2646</f>
        <v>4.0800000000000003E-2</v>
      </c>
      <c r="AC2651" s="252" t="s">
        <v>866</v>
      </c>
      <c r="AD2651" s="268" t="s">
        <v>3936</v>
      </c>
      <c r="AE2651" s="252">
        <f t="shared" si="262"/>
        <v>107000</v>
      </c>
      <c r="AF2651" s="296" t="s">
        <v>866</v>
      </c>
      <c r="AG2651" s="252">
        <f t="shared" si="263"/>
        <v>4365.6000000000004</v>
      </c>
      <c r="AH2651" s="316"/>
    </row>
    <row r="2652" spans="6:34" ht="18.75" customHeight="1">
      <c r="F2652" s="550"/>
      <c r="G2652" s="550"/>
      <c r="H2652" s="367" t="s">
        <v>1991</v>
      </c>
      <c r="I2652" s="550"/>
      <c r="J2652" s="367"/>
      <c r="K2652" s="550"/>
      <c r="N2652" s="274"/>
      <c r="O2652" s="274" t="s">
        <v>549</v>
      </c>
      <c r="Q2652" s="296"/>
      <c r="R2652" s="274">
        <f>SUM(R2640:R2650)</f>
        <v>15951.53</v>
      </c>
      <c r="W2652" s="253"/>
      <c r="AA2652" s="356"/>
      <c r="AB2652" s="316">
        <f>AE2637</f>
        <v>3.4424999999999999</v>
      </c>
      <c r="AC2652" s="252" t="s">
        <v>606</v>
      </c>
      <c r="AD2652" s="268" t="s">
        <v>880</v>
      </c>
      <c r="AE2652" s="252">
        <f t="shared" si="262"/>
        <v>1537</v>
      </c>
      <c r="AF2652" s="296" t="s">
        <v>606</v>
      </c>
      <c r="AG2652" s="252">
        <f t="shared" si="263"/>
        <v>5291.12</v>
      </c>
      <c r="AH2652" s="316"/>
    </row>
    <row r="2653" spans="6:34" ht="18.75" customHeight="1">
      <c r="F2653" s="550"/>
      <c r="G2653" s="550"/>
      <c r="H2653" s="367"/>
      <c r="I2653" s="550"/>
      <c r="J2653" s="367"/>
      <c r="K2653" s="550"/>
      <c r="N2653" s="274"/>
      <c r="O2653" s="274"/>
      <c r="Q2653" s="296"/>
      <c r="R2653" s="377" t="s">
        <v>146</v>
      </c>
      <c r="W2653" s="253"/>
      <c r="AA2653" s="356"/>
      <c r="AB2653" s="356">
        <v>2</v>
      </c>
      <c r="AC2653" s="252" t="s">
        <v>1865</v>
      </c>
      <c r="AD2653" s="252" t="s">
        <v>3726</v>
      </c>
      <c r="AE2653" s="552">
        <v>450</v>
      </c>
      <c r="AF2653" s="296" t="s">
        <v>1393</v>
      </c>
      <c r="AG2653" s="252">
        <f t="shared" si="263"/>
        <v>900</v>
      </c>
      <c r="AH2653" s="316"/>
    </row>
    <row r="2654" spans="6:34" ht="18.75" customHeight="1">
      <c r="F2654" s="550"/>
      <c r="G2654" s="550"/>
      <c r="H2654" s="367" t="s">
        <v>1992</v>
      </c>
      <c r="I2654" s="550"/>
      <c r="J2654" s="367"/>
      <c r="K2654" s="550"/>
      <c r="N2654" s="274"/>
      <c r="O2654" s="274" t="s">
        <v>639</v>
      </c>
      <c r="Q2654" s="296"/>
      <c r="R2654" s="274">
        <f>R2652/M2643</f>
        <v>7153.15</v>
      </c>
      <c r="W2654" s="253"/>
      <c r="AA2654" s="356"/>
      <c r="AB2654" s="356">
        <v>6</v>
      </c>
      <c r="AC2654" s="252" t="s">
        <v>1865</v>
      </c>
      <c r="AD2654" s="252" t="s">
        <v>3727</v>
      </c>
      <c r="AE2654" s="552">
        <v>79</v>
      </c>
      <c r="AF2654" s="296" t="s">
        <v>1393</v>
      </c>
      <c r="AG2654" s="252">
        <f t="shared" si="263"/>
        <v>474</v>
      </c>
      <c r="AH2654" s="316"/>
    </row>
    <row r="2655" spans="6:34" ht="18.75" customHeight="1">
      <c r="F2655" s="550"/>
      <c r="G2655" s="550"/>
      <c r="H2655" s="367" t="s">
        <v>451</v>
      </c>
      <c r="I2655" s="550"/>
      <c r="J2655" s="367"/>
      <c r="K2655" s="550"/>
      <c r="N2655" s="274"/>
      <c r="Q2655" s="296"/>
      <c r="R2655" s="377" t="s">
        <v>146</v>
      </c>
      <c r="W2655" s="253"/>
      <c r="AA2655" s="316"/>
      <c r="AB2655" s="356">
        <v>4</v>
      </c>
      <c r="AC2655" s="252" t="s">
        <v>1865</v>
      </c>
      <c r="AD2655" s="252" t="s">
        <v>3728</v>
      </c>
      <c r="AE2655" s="552">
        <v>130</v>
      </c>
      <c r="AF2655" s="296" t="s">
        <v>1393</v>
      </c>
      <c r="AG2655" s="252">
        <f t="shared" si="263"/>
        <v>520</v>
      </c>
      <c r="AH2655" s="316"/>
    </row>
    <row r="2656" spans="6:34" ht="18.75" customHeight="1">
      <c r="F2656" s="550"/>
      <c r="G2656" s="550"/>
      <c r="H2656" s="367" t="s">
        <v>452</v>
      </c>
      <c r="I2656" s="550"/>
      <c r="J2656" s="367"/>
      <c r="K2656" s="550"/>
      <c r="M2656" s="252" t="s">
        <v>877</v>
      </c>
      <c r="O2656" s="252" t="s">
        <v>1990</v>
      </c>
      <c r="W2656" s="253"/>
      <c r="AA2656" s="316"/>
      <c r="AB2656" s="356">
        <v>1</v>
      </c>
      <c r="AC2656" s="252" t="s">
        <v>1865</v>
      </c>
      <c r="AD2656" s="252" t="s">
        <v>3729</v>
      </c>
      <c r="AE2656" s="552">
        <v>985</v>
      </c>
      <c r="AF2656" s="296" t="s">
        <v>1393</v>
      </c>
      <c r="AG2656" s="252">
        <f t="shared" si="263"/>
        <v>985</v>
      </c>
      <c r="AH2656" s="316"/>
    </row>
    <row r="2657" spans="6:34" ht="18.75" customHeight="1">
      <c r="F2657" s="550"/>
      <c r="G2657" s="550"/>
      <c r="H2657" s="367" t="s">
        <v>453</v>
      </c>
      <c r="I2657" s="550"/>
      <c r="J2657" s="367"/>
      <c r="K2657" s="550"/>
      <c r="O2657" s="252" t="s">
        <v>1579</v>
      </c>
      <c r="P2657" s="252" t="s">
        <v>1579</v>
      </c>
      <c r="Q2657" s="252" t="s">
        <v>1579</v>
      </c>
      <c r="W2657" s="253"/>
      <c r="AA2657" s="316"/>
      <c r="AB2657" s="356">
        <v>2</v>
      </c>
      <c r="AC2657" s="252" t="s">
        <v>1865</v>
      </c>
      <c r="AD2657" s="252" t="s">
        <v>3721</v>
      </c>
      <c r="AE2657" s="362">
        <v>24.6</v>
      </c>
      <c r="AF2657" s="296" t="s">
        <v>1393</v>
      </c>
      <c r="AG2657" s="252">
        <f t="shared" si="263"/>
        <v>49.2</v>
      </c>
      <c r="AH2657" s="316"/>
    </row>
    <row r="2658" spans="6:34" ht="18.75" customHeight="1">
      <c r="F2658" s="550"/>
      <c r="G2658" s="550"/>
      <c r="H2658" s="367" t="s">
        <v>878</v>
      </c>
      <c r="I2658" s="550"/>
      <c r="J2658" s="367" t="s">
        <v>971</v>
      </c>
      <c r="K2658" s="553">
        <v>3.7699999999999997E-2</v>
      </c>
      <c r="W2658" s="253"/>
      <c r="AA2658" s="316"/>
      <c r="AB2658" s="356">
        <v>2</v>
      </c>
      <c r="AC2658" s="252" t="s">
        <v>1865</v>
      </c>
      <c r="AD2658" s="252" t="s">
        <v>1973</v>
      </c>
      <c r="AE2658" s="252">
        <f t="shared" si="262"/>
        <v>49.55</v>
      </c>
      <c r="AF2658" s="296" t="s">
        <v>1393</v>
      </c>
      <c r="AG2658" s="252">
        <f t="shared" si="263"/>
        <v>99.1</v>
      </c>
    </row>
    <row r="2659" spans="6:34" ht="18.75" customHeight="1">
      <c r="F2659" s="550"/>
      <c r="G2659" s="550"/>
      <c r="H2659" s="367" t="s">
        <v>692</v>
      </c>
      <c r="I2659" s="550"/>
      <c r="J2659" s="554" t="s">
        <v>971</v>
      </c>
      <c r="K2659" s="554" t="s">
        <v>971</v>
      </c>
      <c r="O2659" s="252" t="s">
        <v>1991</v>
      </c>
      <c r="W2659" s="253"/>
      <c r="AA2659" s="356"/>
      <c r="AB2659" s="356"/>
      <c r="AE2659" s="252">
        <f t="shared" si="262"/>
        <v>0</v>
      </c>
      <c r="AF2659" s="296"/>
      <c r="AG2659" s="252">
        <f t="shared" si="263"/>
        <v>0</v>
      </c>
    </row>
    <row r="2660" spans="6:34" ht="18.75" customHeight="1">
      <c r="F2660" s="550"/>
      <c r="G2660" s="550"/>
      <c r="H2660" s="367" t="s">
        <v>1822</v>
      </c>
      <c r="I2660" s="550"/>
      <c r="J2660" s="367"/>
      <c r="K2660" s="554" t="s">
        <v>971</v>
      </c>
      <c r="W2660" s="253"/>
      <c r="AA2660" s="356"/>
      <c r="AB2660" s="356">
        <v>118</v>
      </c>
      <c r="AD2660" s="252" t="s">
        <v>1137</v>
      </c>
      <c r="AE2660" s="252">
        <f t="shared" si="262"/>
        <v>2.41</v>
      </c>
      <c r="AF2660" s="296"/>
      <c r="AG2660" s="252">
        <f t="shared" si="263"/>
        <v>284.38</v>
      </c>
    </row>
    <row r="2661" spans="6:34" ht="18.75" customHeight="1">
      <c r="F2661" s="550"/>
      <c r="G2661" s="550"/>
      <c r="H2661" s="550"/>
      <c r="I2661" s="550"/>
      <c r="J2661" s="367"/>
      <c r="K2661" s="550"/>
      <c r="O2661" s="252" t="s">
        <v>1992</v>
      </c>
      <c r="W2661" s="253"/>
      <c r="AA2661" s="356"/>
      <c r="AB2661" s="356"/>
      <c r="AC2661" s="274"/>
      <c r="AD2661" s="274" t="s">
        <v>549</v>
      </c>
      <c r="AF2661" s="296"/>
      <c r="AG2661" s="274">
        <f>SUM(AG2649:AG2660)</f>
        <v>19787.080000000002</v>
      </c>
    </row>
    <row r="2662" spans="6:34" ht="18.75" customHeight="1">
      <c r="F2662" s="555">
        <v>1.18E-2</v>
      </c>
      <c r="G2662" s="550" t="s">
        <v>866</v>
      </c>
      <c r="H2662" s="367" t="s">
        <v>689</v>
      </c>
      <c r="I2662" s="550">
        <f>AC26</f>
        <v>111600</v>
      </c>
      <c r="J2662" s="367" t="s">
        <v>866</v>
      </c>
      <c r="K2662" s="550">
        <f t="shared" ref="K2662:K2671" si="264">(F2662*I2662)</f>
        <v>1316.88</v>
      </c>
      <c r="O2662" s="252" t="s">
        <v>451</v>
      </c>
      <c r="W2662" s="253"/>
      <c r="AA2662" s="356"/>
      <c r="AB2662" s="356"/>
      <c r="AC2662" s="274"/>
      <c r="AD2662" s="274"/>
      <c r="AF2662" s="296"/>
      <c r="AG2662" s="377" t="s">
        <v>146</v>
      </c>
    </row>
    <row r="2663" spans="6:34" ht="18.75" customHeight="1">
      <c r="F2663" s="555">
        <v>3.7699999999999997E-2</v>
      </c>
      <c r="G2663" s="550" t="s">
        <v>866</v>
      </c>
      <c r="H2663" s="367" t="s">
        <v>690</v>
      </c>
      <c r="I2663" s="550">
        <f>AC27</f>
        <v>99400</v>
      </c>
      <c r="J2663" s="367" t="s">
        <v>866</v>
      </c>
      <c r="K2663" s="550">
        <f t="shared" si="264"/>
        <v>3747.38</v>
      </c>
      <c r="O2663" s="252" t="s">
        <v>452</v>
      </c>
      <c r="W2663" s="253"/>
      <c r="AA2663" s="356"/>
      <c r="AB2663" s="356"/>
      <c r="AC2663" s="274"/>
      <c r="AD2663" s="274" t="s">
        <v>2479</v>
      </c>
      <c r="AF2663" s="296"/>
      <c r="AG2663" s="274">
        <f>AG2661/3.4425</f>
        <v>5747.88</v>
      </c>
    </row>
    <row r="2664" spans="6:34" ht="18.75" customHeight="1">
      <c r="F2664" s="555">
        <v>1.8550000000000001E-2</v>
      </c>
      <c r="G2664" s="550" t="s">
        <v>866</v>
      </c>
      <c r="H2664" s="367" t="s">
        <v>883</v>
      </c>
      <c r="I2664" s="550">
        <f>AE33</f>
        <v>13690</v>
      </c>
      <c r="J2664" s="367" t="s">
        <v>866</v>
      </c>
      <c r="K2664" s="550">
        <f t="shared" si="264"/>
        <v>253.95</v>
      </c>
      <c r="O2664" s="252" t="s">
        <v>453</v>
      </c>
      <c r="W2664" s="253"/>
      <c r="AA2664" s="356"/>
      <c r="AE2664" s="296"/>
    </row>
    <row r="2665" spans="6:34" ht="18.75" customHeight="1">
      <c r="F2665" s="555">
        <v>1.36</v>
      </c>
      <c r="G2665" s="550" t="s">
        <v>606</v>
      </c>
      <c r="H2665" s="367" t="s">
        <v>884</v>
      </c>
      <c r="I2665" s="556">
        <v>269.10000000000002</v>
      </c>
      <c r="J2665" s="367" t="s">
        <v>606</v>
      </c>
      <c r="K2665" s="550">
        <f t="shared" si="264"/>
        <v>365.98</v>
      </c>
      <c r="O2665" s="252" t="s">
        <v>878</v>
      </c>
      <c r="Q2665" s="252" t="s">
        <v>971</v>
      </c>
      <c r="R2665" s="252">
        <v>0.04</v>
      </c>
      <c r="W2665" s="253"/>
      <c r="AA2665" s="356"/>
      <c r="AE2665" s="296"/>
    </row>
    <row r="2666" spans="6:34" ht="18.75" customHeight="1">
      <c r="F2666" s="555">
        <v>2.0499999999999998</v>
      </c>
      <c r="G2666" s="550" t="s">
        <v>606</v>
      </c>
      <c r="H2666" s="367" t="s">
        <v>1499</v>
      </c>
      <c r="I2666" s="550">
        <f>D30</f>
        <v>1281</v>
      </c>
      <c r="J2666" s="367" t="s">
        <v>606</v>
      </c>
      <c r="K2666" s="550">
        <f t="shared" si="264"/>
        <v>2626.05</v>
      </c>
      <c r="O2666" s="252" t="s">
        <v>692</v>
      </c>
      <c r="Q2666" s="252" t="s">
        <v>971</v>
      </c>
      <c r="R2666" s="252" t="s">
        <v>971</v>
      </c>
      <c r="W2666" s="253"/>
      <c r="AA2666" s="356"/>
      <c r="AE2666" s="296"/>
    </row>
    <row r="2667" spans="6:34" ht="18.75" customHeight="1">
      <c r="F2667" s="550">
        <v>2</v>
      </c>
      <c r="G2667" s="550" t="s">
        <v>865</v>
      </c>
      <c r="H2667" s="367" t="s">
        <v>1384</v>
      </c>
      <c r="I2667" s="550">
        <f>E285</f>
        <v>57</v>
      </c>
      <c r="J2667" s="367" t="s">
        <v>865</v>
      </c>
      <c r="K2667" s="550">
        <f t="shared" si="264"/>
        <v>114</v>
      </c>
      <c r="O2667" s="252" t="s">
        <v>1822</v>
      </c>
      <c r="R2667" s="252" t="s">
        <v>971</v>
      </c>
      <c r="W2667" s="253"/>
      <c r="AA2667" s="356"/>
      <c r="AB2667" s="274"/>
      <c r="AC2667" s="274"/>
      <c r="AE2667" s="296"/>
      <c r="AF2667" s="274"/>
    </row>
    <row r="2668" spans="6:34" ht="18.75" customHeight="1">
      <c r="F2668" s="550">
        <v>6</v>
      </c>
      <c r="G2668" s="550" t="s">
        <v>865</v>
      </c>
      <c r="H2668" s="367" t="s">
        <v>1338</v>
      </c>
      <c r="I2668" s="550">
        <f>C282</f>
        <v>49.35</v>
      </c>
      <c r="J2668" s="367" t="s">
        <v>865</v>
      </c>
      <c r="K2668" s="550">
        <f t="shared" si="264"/>
        <v>296.10000000000002</v>
      </c>
      <c r="W2668" s="253"/>
      <c r="AA2668" s="356"/>
      <c r="AB2668" s="274"/>
      <c r="AC2668" s="274"/>
      <c r="AE2668" s="296"/>
      <c r="AF2668" s="377"/>
    </row>
    <row r="2669" spans="6:34" ht="18.75" customHeight="1">
      <c r="F2669" s="550">
        <v>2</v>
      </c>
      <c r="G2669" s="550" t="s">
        <v>865</v>
      </c>
      <c r="H2669" s="557" t="s">
        <v>2115</v>
      </c>
      <c r="I2669" s="550">
        <f>I1134</f>
        <v>60.9</v>
      </c>
      <c r="J2669" s="367" t="s">
        <v>865</v>
      </c>
      <c r="K2669" s="550">
        <f t="shared" si="264"/>
        <v>121.8</v>
      </c>
      <c r="M2669" s="252">
        <v>0.01</v>
      </c>
      <c r="N2669" s="252" t="s">
        <v>866</v>
      </c>
      <c r="O2669" s="252" t="s">
        <v>689</v>
      </c>
      <c r="P2669" s="252">
        <f>I2662</f>
        <v>111600</v>
      </c>
      <c r="Q2669" s="252" t="s">
        <v>866</v>
      </c>
      <c r="R2669" s="252">
        <v>764.29</v>
      </c>
      <c r="W2669" s="253"/>
      <c r="AA2669" s="356"/>
      <c r="AB2669" s="274"/>
      <c r="AC2669" s="274"/>
      <c r="AE2669" s="296"/>
      <c r="AF2669" s="274"/>
    </row>
    <row r="2670" spans="6:34" ht="18.75" customHeight="1">
      <c r="F2670" s="550">
        <v>1</v>
      </c>
      <c r="G2670" s="550" t="s">
        <v>865</v>
      </c>
      <c r="H2670" s="367" t="s">
        <v>1412</v>
      </c>
      <c r="I2670" s="556">
        <f>I1135</f>
        <v>63.2</v>
      </c>
      <c r="J2670" s="367" t="s">
        <v>865</v>
      </c>
      <c r="K2670" s="550">
        <f t="shared" si="264"/>
        <v>63.2</v>
      </c>
      <c r="M2670" s="252">
        <v>0.04</v>
      </c>
      <c r="N2670" s="252" t="s">
        <v>866</v>
      </c>
      <c r="O2670" s="252" t="s">
        <v>690</v>
      </c>
      <c r="P2670" s="252">
        <f>I2663</f>
        <v>99400</v>
      </c>
      <c r="Q2670" s="252" t="s">
        <v>866</v>
      </c>
      <c r="R2670" s="252">
        <v>2172.65</v>
      </c>
      <c r="W2670" s="253"/>
      <c r="AA2670" s="356"/>
    </row>
    <row r="2671" spans="6:34" ht="18.75" customHeight="1">
      <c r="F2671" s="550">
        <v>2.52</v>
      </c>
      <c r="G2671" s="550" t="s">
        <v>606</v>
      </c>
      <c r="H2671" s="367" t="s">
        <v>1705</v>
      </c>
      <c r="I2671" s="550">
        <f>K1167</f>
        <v>194.22</v>
      </c>
      <c r="J2671" s="367" t="s">
        <v>606</v>
      </c>
      <c r="K2671" s="550">
        <f t="shared" si="264"/>
        <v>489.43</v>
      </c>
      <c r="M2671" s="252">
        <v>0.02</v>
      </c>
      <c r="N2671" s="252" t="s">
        <v>866</v>
      </c>
      <c r="O2671" s="252" t="s">
        <v>883</v>
      </c>
      <c r="P2671" s="252">
        <f>I2664</f>
        <v>13690</v>
      </c>
      <c r="Q2671" s="252" t="s">
        <v>866</v>
      </c>
      <c r="R2671" s="252">
        <v>56.02</v>
      </c>
      <c r="W2671" s="253"/>
    </row>
    <row r="2672" spans="6:34" ht="18.75" customHeight="1">
      <c r="F2672" s="550"/>
      <c r="G2672" s="550"/>
      <c r="H2672" s="367" t="s">
        <v>1409</v>
      </c>
      <c r="I2672" s="558" t="s">
        <v>446</v>
      </c>
      <c r="J2672" s="367"/>
      <c r="K2672" s="550">
        <v>2.13</v>
      </c>
      <c r="M2672" s="252">
        <v>1.36</v>
      </c>
      <c r="N2672" s="252" t="s">
        <v>606</v>
      </c>
      <c r="O2672" s="252" t="s">
        <v>884</v>
      </c>
      <c r="P2672" s="559">
        <v>385.89</v>
      </c>
      <c r="Q2672" s="252" t="s">
        <v>606</v>
      </c>
      <c r="R2672" s="252">
        <v>524.80999999999995</v>
      </c>
      <c r="W2672" s="253"/>
    </row>
    <row r="2673" spans="6:23" ht="18.75" customHeight="1">
      <c r="F2673" s="550"/>
      <c r="G2673" s="550"/>
      <c r="H2673" s="560"/>
      <c r="I2673" s="560"/>
      <c r="J2673" s="359"/>
      <c r="K2673" s="561" t="s">
        <v>1579</v>
      </c>
      <c r="M2673" s="252">
        <v>2.0499999999999998</v>
      </c>
      <c r="N2673" s="252" t="s">
        <v>606</v>
      </c>
      <c r="O2673" s="252" t="s">
        <v>1499</v>
      </c>
      <c r="P2673" s="252">
        <f t="shared" ref="P2673:P2678" si="265">I2666</f>
        <v>1281</v>
      </c>
      <c r="Q2673" s="252" t="s">
        <v>606</v>
      </c>
      <c r="R2673" s="252">
        <v>586.29999999999995</v>
      </c>
      <c r="W2673" s="253"/>
    </row>
    <row r="2674" spans="6:23" ht="18.75" customHeight="1">
      <c r="F2674" s="550"/>
      <c r="G2674" s="550"/>
      <c r="H2674" s="562" t="s">
        <v>1410</v>
      </c>
      <c r="I2674" s="560"/>
      <c r="J2674" s="359"/>
      <c r="K2674" s="560">
        <f>SUM(K2662:K2672)</f>
        <v>9396.9</v>
      </c>
      <c r="M2674" s="252">
        <v>2</v>
      </c>
      <c r="N2674" s="252" t="s">
        <v>865</v>
      </c>
      <c r="O2674" s="252" t="s">
        <v>1384</v>
      </c>
      <c r="P2674" s="252">
        <f t="shared" si="265"/>
        <v>57</v>
      </c>
      <c r="Q2674" s="252" t="s">
        <v>865</v>
      </c>
      <c r="R2674" s="252">
        <v>50</v>
      </c>
      <c r="W2674" s="253"/>
    </row>
    <row r="2675" spans="6:23" ht="18.75" customHeight="1">
      <c r="F2675" s="550"/>
      <c r="G2675" s="550" t="s">
        <v>971</v>
      </c>
      <c r="H2675" s="560"/>
      <c r="I2675" s="560"/>
      <c r="J2675" s="359"/>
      <c r="K2675" s="561" t="s">
        <v>1579</v>
      </c>
      <c r="M2675" s="252">
        <v>6</v>
      </c>
      <c r="N2675" s="252" t="s">
        <v>865</v>
      </c>
      <c r="O2675" s="252" t="s">
        <v>1338</v>
      </c>
      <c r="P2675" s="252">
        <f t="shared" si="265"/>
        <v>49.35</v>
      </c>
      <c r="Q2675" s="252" t="s">
        <v>865</v>
      </c>
      <c r="R2675" s="252">
        <v>150</v>
      </c>
      <c r="W2675" s="253"/>
    </row>
    <row r="2676" spans="6:23" ht="18.75" customHeight="1">
      <c r="F2676" s="550"/>
      <c r="G2676" s="550"/>
      <c r="H2676" s="562" t="s">
        <v>549</v>
      </c>
      <c r="I2676" s="560"/>
      <c r="J2676" s="359"/>
      <c r="K2676" s="560">
        <f>K2674/2.52</f>
        <v>3728.93</v>
      </c>
      <c r="M2676" s="252">
        <v>2</v>
      </c>
      <c r="N2676" s="252" t="s">
        <v>865</v>
      </c>
      <c r="O2676" s="252" t="s">
        <v>1385</v>
      </c>
      <c r="P2676" s="252">
        <f t="shared" si="265"/>
        <v>60.9</v>
      </c>
      <c r="Q2676" s="252" t="s">
        <v>865</v>
      </c>
      <c r="R2676" s="252">
        <v>70</v>
      </c>
      <c r="W2676" s="253"/>
    </row>
    <row r="2677" spans="6:23" ht="18.75" customHeight="1">
      <c r="F2677" s="550"/>
      <c r="G2677" s="550"/>
      <c r="H2677" s="560"/>
      <c r="I2677" s="560"/>
      <c r="J2677" s="359"/>
      <c r="K2677" s="561" t="s">
        <v>2046</v>
      </c>
      <c r="M2677" s="252">
        <v>1</v>
      </c>
      <c r="N2677" s="252" t="s">
        <v>865</v>
      </c>
      <c r="O2677" s="252" t="s">
        <v>1412</v>
      </c>
      <c r="P2677" s="252">
        <f t="shared" si="265"/>
        <v>63.2</v>
      </c>
      <c r="Q2677" s="252" t="s">
        <v>865</v>
      </c>
      <c r="R2677" s="252">
        <v>60</v>
      </c>
      <c r="W2677" s="253"/>
    </row>
    <row r="2678" spans="6:23" ht="18.75" customHeight="1">
      <c r="F2678" s="550"/>
      <c r="G2678" s="550"/>
      <c r="H2678" s="560"/>
      <c r="I2678" s="560"/>
      <c r="J2678" s="359"/>
      <c r="K2678" s="560"/>
      <c r="M2678" s="252">
        <v>2.52</v>
      </c>
      <c r="N2678" s="252" t="s">
        <v>606</v>
      </c>
      <c r="O2678" s="252" t="s">
        <v>1705</v>
      </c>
      <c r="P2678" s="252">
        <f t="shared" si="265"/>
        <v>194.22</v>
      </c>
      <c r="Q2678" s="252" t="s">
        <v>606</v>
      </c>
      <c r="R2678" s="252">
        <v>124.71</v>
      </c>
      <c r="W2678" s="253"/>
    </row>
    <row r="2679" spans="6:23" ht="18.75" customHeight="1">
      <c r="F2679" s="272" t="s">
        <v>759</v>
      </c>
      <c r="G2679" s="272"/>
      <c r="H2679" s="272"/>
      <c r="I2679" s="272"/>
      <c r="J2679" s="272"/>
      <c r="K2679" s="272"/>
      <c r="O2679" s="252" t="s">
        <v>1409</v>
      </c>
      <c r="P2679" s="252" t="s">
        <v>446</v>
      </c>
      <c r="R2679" s="252">
        <v>0.28000000000000003</v>
      </c>
      <c r="W2679" s="253"/>
    </row>
    <row r="2680" spans="6:23" ht="18.75" customHeight="1">
      <c r="F2680" s="563">
        <v>4</v>
      </c>
      <c r="G2680" s="252" t="s">
        <v>1026</v>
      </c>
      <c r="H2680" s="252" t="s">
        <v>1027</v>
      </c>
      <c r="I2680" s="252">
        <f>C394</f>
        <v>151.4</v>
      </c>
      <c r="J2680" s="296" t="s">
        <v>892</v>
      </c>
      <c r="K2680" s="563">
        <f>I2680*F2680</f>
        <v>605.6</v>
      </c>
      <c r="R2680" s="252" t="s">
        <v>1579</v>
      </c>
      <c r="W2680" s="253"/>
    </row>
    <row r="2681" spans="6:23" ht="18.75" customHeight="1">
      <c r="F2681" s="563">
        <v>2.52</v>
      </c>
      <c r="G2681" s="252" t="s">
        <v>892</v>
      </c>
      <c r="H2681" s="252" t="s">
        <v>815</v>
      </c>
      <c r="I2681" s="252">
        <f>C34/1000</f>
        <v>53</v>
      </c>
      <c r="J2681" s="296" t="s">
        <v>1637</v>
      </c>
      <c r="K2681" s="563">
        <f t="shared" ref="K2681:K2687" si="266">I2681*F2681</f>
        <v>133.56</v>
      </c>
      <c r="O2681" s="252" t="s">
        <v>1410</v>
      </c>
      <c r="R2681" s="252">
        <v>4559.0600000000004</v>
      </c>
      <c r="W2681" s="253"/>
    </row>
    <row r="2682" spans="6:23" ht="18.75" customHeight="1">
      <c r="F2682" s="563">
        <v>1.1299999999999999</v>
      </c>
      <c r="G2682" s="252" t="s">
        <v>892</v>
      </c>
      <c r="H2682" s="252" t="s">
        <v>816</v>
      </c>
      <c r="I2682" s="252">
        <f>I2681</f>
        <v>53</v>
      </c>
      <c r="J2682" s="296" t="s">
        <v>1637</v>
      </c>
      <c r="K2682" s="563">
        <f t="shared" si="266"/>
        <v>59.89</v>
      </c>
      <c r="N2682" s="252" t="s">
        <v>971</v>
      </c>
      <c r="R2682" s="252" t="s">
        <v>1579</v>
      </c>
      <c r="W2682" s="253"/>
    </row>
    <row r="2683" spans="6:23" ht="18.75" customHeight="1">
      <c r="F2683" s="563">
        <v>0.35</v>
      </c>
      <c r="G2683" s="252" t="s">
        <v>1637</v>
      </c>
      <c r="H2683" s="252" t="s">
        <v>817</v>
      </c>
      <c r="I2683" s="252">
        <f>I2682</f>
        <v>53</v>
      </c>
      <c r="J2683" s="296" t="s">
        <v>1637</v>
      </c>
      <c r="K2683" s="563">
        <f t="shared" si="266"/>
        <v>18.55</v>
      </c>
      <c r="O2683" s="252" t="s">
        <v>549</v>
      </c>
      <c r="R2683" s="252">
        <v>1809.15</v>
      </c>
      <c r="W2683" s="253"/>
    </row>
    <row r="2684" spans="6:23" ht="18.75" customHeight="1">
      <c r="F2684" s="563">
        <v>4</v>
      </c>
      <c r="G2684" s="252" t="s">
        <v>1637</v>
      </c>
      <c r="H2684" s="252" t="s">
        <v>106</v>
      </c>
      <c r="I2684" s="252">
        <f>C37</f>
        <v>55.35</v>
      </c>
      <c r="J2684" s="296" t="s">
        <v>1637</v>
      </c>
      <c r="K2684" s="563">
        <f t="shared" si="266"/>
        <v>221.4</v>
      </c>
      <c r="R2684" s="252" t="s">
        <v>2046</v>
      </c>
      <c r="W2684" s="253"/>
    </row>
    <row r="2685" spans="6:23" ht="18.75" customHeight="1">
      <c r="F2685" s="563">
        <v>6</v>
      </c>
      <c r="G2685" s="252" t="s">
        <v>1026</v>
      </c>
      <c r="H2685" s="252" t="s">
        <v>107</v>
      </c>
      <c r="I2685" s="314">
        <v>1</v>
      </c>
      <c r="J2685" s="296" t="s">
        <v>1393</v>
      </c>
      <c r="K2685" s="563">
        <f t="shared" si="266"/>
        <v>6</v>
      </c>
      <c r="W2685" s="253"/>
    </row>
    <row r="2686" spans="6:23" ht="18.75" customHeight="1">
      <c r="F2686" s="563">
        <v>0.5</v>
      </c>
      <c r="G2686" s="252" t="s">
        <v>1026</v>
      </c>
      <c r="H2686" s="252" t="s">
        <v>651</v>
      </c>
      <c r="I2686" s="252">
        <f>C12</f>
        <v>651</v>
      </c>
      <c r="J2686" s="296" t="s">
        <v>1393</v>
      </c>
      <c r="K2686" s="563">
        <f t="shared" si="266"/>
        <v>325.5</v>
      </c>
      <c r="W2686" s="253"/>
    </row>
    <row r="2687" spans="6:23" ht="18.75" customHeight="1">
      <c r="F2687" s="563">
        <v>0.5</v>
      </c>
      <c r="G2687" s="252" t="s">
        <v>1026</v>
      </c>
      <c r="H2687" s="252" t="s">
        <v>352</v>
      </c>
      <c r="I2687" s="252">
        <f>C13</f>
        <v>534</v>
      </c>
      <c r="J2687" s="296" t="s">
        <v>1393</v>
      </c>
      <c r="K2687" s="563">
        <f t="shared" si="266"/>
        <v>267</v>
      </c>
      <c r="W2687" s="253"/>
    </row>
    <row r="2688" spans="6:23" ht="18.75" customHeight="1">
      <c r="G2688" s="252" t="s">
        <v>446</v>
      </c>
      <c r="H2688" s="252" t="s">
        <v>108</v>
      </c>
      <c r="I2688" s="407" t="s">
        <v>446</v>
      </c>
      <c r="K2688" s="252">
        <v>21.69</v>
      </c>
      <c r="L2688" s="252">
        <f>24*176</f>
        <v>4224</v>
      </c>
      <c r="W2688" s="253"/>
    </row>
    <row r="2689" spans="6:23" ht="18.75" customHeight="1">
      <c r="H2689" s="564" t="s">
        <v>109</v>
      </c>
      <c r="K2689" s="565">
        <f>SUM(K2680:K2688)</f>
        <v>1659.19</v>
      </c>
      <c r="W2689" s="253"/>
    </row>
    <row r="2690" spans="6:23" ht="18.75" customHeight="1">
      <c r="H2690" s="564" t="s">
        <v>513</v>
      </c>
      <c r="K2690" s="565">
        <f>K2689/2</f>
        <v>829.6</v>
      </c>
      <c r="W2690" s="253"/>
    </row>
    <row r="2691" spans="6:23" ht="18.75" customHeight="1">
      <c r="L2691" s="252">
        <f>K2725+K2716</f>
        <v>191.9</v>
      </c>
      <c r="W2691" s="253"/>
    </row>
    <row r="2692" spans="6:23" ht="18.75" customHeight="1">
      <c r="H2692" s="252" t="s">
        <v>1467</v>
      </c>
      <c r="W2692" s="253"/>
    </row>
    <row r="2693" spans="6:23" ht="18.75" customHeight="1">
      <c r="W2693" s="253"/>
    </row>
    <row r="2694" spans="6:23" ht="18.75" customHeight="1">
      <c r="H2694" s="504" t="s">
        <v>2076</v>
      </c>
      <c r="J2694" s="253"/>
      <c r="W2694" s="253"/>
    </row>
    <row r="2695" spans="6:23" ht="18.75" customHeight="1">
      <c r="H2695" s="252" t="s">
        <v>628</v>
      </c>
      <c r="J2695" s="253"/>
      <c r="W2695" s="253"/>
    </row>
    <row r="2696" spans="6:23" ht="18.75" customHeight="1">
      <c r="F2696" s="252">
        <v>41.6</v>
      </c>
      <c r="G2696" s="252" t="s">
        <v>1637</v>
      </c>
      <c r="H2696" s="252" t="s">
        <v>1011</v>
      </c>
      <c r="I2696" s="252">
        <f>I2681</f>
        <v>53</v>
      </c>
      <c r="J2696" s="253" t="s">
        <v>1637</v>
      </c>
      <c r="K2696" s="252">
        <f>F2696*I2696</f>
        <v>2204.8000000000002</v>
      </c>
      <c r="W2696" s="253"/>
    </row>
    <row r="2697" spans="6:23" ht="18.75" customHeight="1">
      <c r="F2697" s="252">
        <v>0.5</v>
      </c>
      <c r="G2697" s="252" t="s">
        <v>1389</v>
      </c>
      <c r="H2697" s="252" t="s">
        <v>1012</v>
      </c>
      <c r="I2697" s="252">
        <f>AE21</f>
        <v>766</v>
      </c>
      <c r="J2697" s="253" t="s">
        <v>1393</v>
      </c>
      <c r="K2697" s="252">
        <f>F2697*I2697</f>
        <v>383</v>
      </c>
      <c r="W2697" s="253"/>
    </row>
    <row r="2698" spans="6:23" ht="18.75" customHeight="1">
      <c r="F2698" s="252">
        <v>1</v>
      </c>
      <c r="G2698" s="252" t="s">
        <v>557</v>
      </c>
      <c r="H2698" s="252" t="s">
        <v>1013</v>
      </c>
      <c r="I2698" s="252">
        <f>C10</f>
        <v>999</v>
      </c>
      <c r="J2698" s="253" t="s">
        <v>1393</v>
      </c>
      <c r="K2698" s="252">
        <f>F2698*I2698</f>
        <v>999</v>
      </c>
      <c r="W2698" s="253"/>
    </row>
    <row r="2699" spans="6:23" ht="18.75" customHeight="1">
      <c r="F2699" s="252">
        <v>1</v>
      </c>
      <c r="G2699" s="252" t="s">
        <v>557</v>
      </c>
      <c r="H2699" s="252" t="s">
        <v>1218</v>
      </c>
      <c r="I2699" s="252">
        <f>C13</f>
        <v>534</v>
      </c>
      <c r="J2699" s="253" t="s">
        <v>1393</v>
      </c>
      <c r="K2699" s="252">
        <f>F2699*I2699</f>
        <v>534</v>
      </c>
      <c r="W2699" s="253"/>
    </row>
    <row r="2700" spans="6:23" ht="18.75" customHeight="1">
      <c r="G2700" s="252" t="s">
        <v>446</v>
      </c>
      <c r="H2700" s="252" t="s">
        <v>814</v>
      </c>
      <c r="J2700" s="253" t="s">
        <v>446</v>
      </c>
      <c r="K2700" s="252">
        <v>27.7</v>
      </c>
      <c r="W2700" s="253"/>
    </row>
    <row r="2701" spans="6:23" ht="18.75" customHeight="1">
      <c r="H2701" s="407" t="s">
        <v>1700</v>
      </c>
      <c r="J2701" s="407" t="s">
        <v>718</v>
      </c>
      <c r="K2701" s="252">
        <f>SUM(K2696:K2700)</f>
        <v>4148.5</v>
      </c>
      <c r="W2701" s="253"/>
    </row>
    <row r="2702" spans="6:23" ht="18.75" customHeight="1">
      <c r="H2702" s="407" t="s">
        <v>1282</v>
      </c>
      <c r="J2702" s="407" t="s">
        <v>718</v>
      </c>
      <c r="K2702" s="252">
        <f>K2701/16</f>
        <v>259.27999999999997</v>
      </c>
      <c r="W2702" s="253"/>
    </row>
    <row r="2703" spans="6:23" ht="18.75" customHeight="1">
      <c r="H2703" s="360" t="s">
        <v>98</v>
      </c>
      <c r="I2703" s="274"/>
      <c r="J2703" s="360" t="s">
        <v>718</v>
      </c>
      <c r="K2703" s="274">
        <f>K2702/0.95</f>
        <v>272.93</v>
      </c>
      <c r="W2703" s="253"/>
    </row>
    <row r="2704" spans="6:23" ht="18.75" customHeight="1">
      <c r="J2704" s="253"/>
      <c r="W2704" s="253"/>
    </row>
    <row r="2705" spans="6:23" ht="18.75" customHeight="1">
      <c r="J2705" s="253"/>
      <c r="W2705" s="253"/>
    </row>
    <row r="2706" spans="6:23" ht="18.75" customHeight="1">
      <c r="F2706" s="253" t="s">
        <v>845</v>
      </c>
      <c r="G2706" s="252" t="s">
        <v>2241</v>
      </c>
      <c r="H2706" s="296" t="s">
        <v>994</v>
      </c>
      <c r="J2706" s="253"/>
      <c r="W2706" s="253"/>
    </row>
    <row r="2707" spans="6:23" ht="18.75" customHeight="1">
      <c r="H2707" s="296" t="s">
        <v>995</v>
      </c>
      <c r="J2707" s="253"/>
      <c r="W2707" s="253"/>
    </row>
    <row r="2708" spans="6:23" ht="18.75" customHeight="1">
      <c r="H2708" s="296" t="s">
        <v>996</v>
      </c>
      <c r="J2708" s="253"/>
      <c r="W2708" s="253"/>
    </row>
    <row r="2709" spans="6:23" ht="18.75" customHeight="1">
      <c r="H2709" s="296" t="s">
        <v>28</v>
      </c>
      <c r="J2709" s="253"/>
      <c r="W2709" s="253"/>
    </row>
    <row r="2710" spans="6:23" ht="18.75" customHeight="1">
      <c r="H2710" s="358" t="s">
        <v>1579</v>
      </c>
      <c r="J2710" s="253"/>
      <c r="W2710" s="253"/>
    </row>
    <row r="2711" spans="6:23" ht="18.75" customHeight="1">
      <c r="F2711" s="252">
        <v>1.8</v>
      </c>
      <c r="G2711" s="252" t="s">
        <v>1637</v>
      </c>
      <c r="H2711" s="544" t="s">
        <v>1283</v>
      </c>
      <c r="I2711" s="252">
        <f>C609</f>
        <v>22.6</v>
      </c>
      <c r="J2711" s="253" t="s">
        <v>1637</v>
      </c>
      <c r="K2711" s="252">
        <f>(F2711*I2711)</f>
        <v>40.68</v>
      </c>
      <c r="W2711" s="253"/>
    </row>
    <row r="2712" spans="6:23" ht="18.75" customHeight="1">
      <c r="F2712" s="252">
        <v>0.25</v>
      </c>
      <c r="G2712" s="252" t="s">
        <v>865</v>
      </c>
      <c r="H2712" s="296" t="s">
        <v>29</v>
      </c>
      <c r="I2712" s="252">
        <f>C14</f>
        <v>797</v>
      </c>
      <c r="J2712" s="253" t="s">
        <v>865</v>
      </c>
      <c r="K2712" s="252">
        <f>(F2712*I2712)</f>
        <v>199.25</v>
      </c>
      <c r="W2712" s="253"/>
    </row>
    <row r="2713" spans="6:23" ht="18.75" customHeight="1">
      <c r="F2713" s="252">
        <v>0.25</v>
      </c>
      <c r="G2713" s="252" t="s">
        <v>865</v>
      </c>
      <c r="H2713" s="296" t="s">
        <v>930</v>
      </c>
      <c r="I2713" s="252">
        <f>C12</f>
        <v>651</v>
      </c>
      <c r="J2713" s="253" t="s">
        <v>865</v>
      </c>
      <c r="K2713" s="252">
        <f>(F2713*I2713)</f>
        <v>162.75</v>
      </c>
      <c r="W2713" s="253"/>
    </row>
    <row r="2714" spans="6:23" ht="18.75" customHeight="1">
      <c r="F2714" s="252">
        <v>0.4</v>
      </c>
      <c r="G2714" s="252" t="s">
        <v>865</v>
      </c>
      <c r="H2714" s="296" t="s">
        <v>317</v>
      </c>
      <c r="I2714" s="252">
        <f>C13</f>
        <v>534</v>
      </c>
      <c r="J2714" s="253" t="s">
        <v>865</v>
      </c>
      <c r="K2714" s="252">
        <f>(F2714*I2714)</f>
        <v>213.6</v>
      </c>
      <c r="W2714" s="253"/>
    </row>
    <row r="2715" spans="6:23" ht="18.75" customHeight="1">
      <c r="H2715" s="296"/>
      <c r="I2715" s="296" t="s">
        <v>971</v>
      </c>
      <c r="J2715" s="253"/>
      <c r="K2715" s="252">
        <f>SUM(K2711:K2714)</f>
        <v>616.28</v>
      </c>
      <c r="W2715" s="253"/>
    </row>
    <row r="2716" spans="6:23" ht="18.75" customHeight="1">
      <c r="H2716" s="274"/>
      <c r="I2716" s="274"/>
      <c r="J2716" s="255"/>
      <c r="K2716" s="360">
        <f>K2715/10</f>
        <v>61.63</v>
      </c>
      <c r="W2716" s="253"/>
    </row>
    <row r="2717" spans="6:23" ht="18.75" customHeight="1">
      <c r="F2717" s="252">
        <v>3</v>
      </c>
      <c r="G2717" s="252" t="s">
        <v>1637</v>
      </c>
      <c r="H2717" s="296" t="s">
        <v>437</v>
      </c>
      <c r="I2717" s="407">
        <f>C271</f>
        <v>49.85</v>
      </c>
      <c r="J2717" s="253" t="s">
        <v>1637</v>
      </c>
      <c r="K2717" s="407">
        <f>(F2717*I2717)</f>
        <v>149.55000000000001</v>
      </c>
      <c r="W2717" s="253"/>
    </row>
    <row r="2718" spans="6:23" ht="18.75" customHeight="1">
      <c r="F2718" s="252">
        <v>0.5</v>
      </c>
      <c r="G2718" s="252" t="s">
        <v>865</v>
      </c>
      <c r="H2718" s="296" t="s">
        <v>29</v>
      </c>
      <c r="I2718" s="407">
        <f>C14</f>
        <v>797</v>
      </c>
      <c r="J2718" s="253" t="s">
        <v>865</v>
      </c>
      <c r="K2718" s="407">
        <f>(F2718*I2718)</f>
        <v>398.5</v>
      </c>
      <c r="W2718" s="253"/>
    </row>
    <row r="2719" spans="6:23" ht="18.75" customHeight="1">
      <c r="F2719" s="252">
        <v>0.5</v>
      </c>
      <c r="G2719" s="252" t="s">
        <v>865</v>
      </c>
      <c r="H2719" s="296" t="s">
        <v>930</v>
      </c>
      <c r="I2719" s="407">
        <f>I2713</f>
        <v>651</v>
      </c>
      <c r="J2719" s="253" t="s">
        <v>865</v>
      </c>
      <c r="K2719" s="407">
        <f>(F2719*I2719)</f>
        <v>325.5</v>
      </c>
      <c r="W2719" s="253"/>
    </row>
    <row r="2720" spans="6:23" ht="18.75" customHeight="1">
      <c r="F2720" s="252">
        <v>0.8</v>
      </c>
      <c r="G2720" s="252" t="s">
        <v>865</v>
      </c>
      <c r="H2720" s="296" t="s">
        <v>317</v>
      </c>
      <c r="I2720" s="407">
        <f>I2714</f>
        <v>534</v>
      </c>
      <c r="J2720" s="253" t="s">
        <v>865</v>
      </c>
      <c r="K2720" s="407">
        <f>(F2720*I2720)</f>
        <v>427.2</v>
      </c>
      <c r="W2720" s="253"/>
    </row>
    <row r="2721" spans="6:23" ht="18.75" customHeight="1">
      <c r="G2721" s="252" t="s">
        <v>446</v>
      </c>
      <c r="H2721" s="296" t="s">
        <v>1828</v>
      </c>
      <c r="I2721" s="296" t="s">
        <v>971</v>
      </c>
      <c r="J2721" s="253" t="s">
        <v>446</v>
      </c>
      <c r="K2721" s="252">
        <v>1.9</v>
      </c>
      <c r="W2721" s="253"/>
    </row>
    <row r="2722" spans="6:23" ht="18.75" customHeight="1">
      <c r="H2722" s="274"/>
      <c r="I2722" s="274"/>
      <c r="J2722" s="255"/>
      <c r="K2722" s="388" t="s">
        <v>1579</v>
      </c>
      <c r="W2722" s="253"/>
    </row>
    <row r="2723" spans="6:23" ht="18.75" customHeight="1">
      <c r="H2723" s="276" t="s">
        <v>438</v>
      </c>
      <c r="I2723" s="274"/>
      <c r="J2723" s="255"/>
      <c r="K2723" s="274">
        <f>SUM(K2717:K2721)</f>
        <v>1302.6500000000001</v>
      </c>
      <c r="W2723" s="253"/>
    </row>
    <row r="2724" spans="6:23" ht="18.75" customHeight="1">
      <c r="H2724" s="274"/>
      <c r="I2724" s="274"/>
      <c r="J2724" s="255"/>
      <c r="K2724" s="388" t="s">
        <v>1579</v>
      </c>
      <c r="W2724" s="253"/>
    </row>
    <row r="2725" spans="6:23" ht="18.75" customHeight="1">
      <c r="H2725" s="276" t="s">
        <v>549</v>
      </c>
      <c r="I2725" s="274"/>
      <c r="J2725" s="255"/>
      <c r="K2725" s="274">
        <f>(K2723/10)</f>
        <v>130.27000000000001</v>
      </c>
      <c r="W2725" s="253"/>
    </row>
    <row r="2726" spans="6:23" ht="18.75" customHeight="1">
      <c r="J2726" s="252"/>
      <c r="W2726" s="253"/>
    </row>
    <row r="2727" spans="6:23" ht="18.75" customHeight="1">
      <c r="F2727" s="375"/>
      <c r="G2727" s="252" t="s">
        <v>2241</v>
      </c>
      <c r="H2727" s="296" t="s">
        <v>2038</v>
      </c>
      <c r="J2727" s="253"/>
      <c r="W2727" s="253"/>
    </row>
    <row r="2728" spans="6:23" ht="18.75" customHeight="1">
      <c r="H2728" s="296" t="s">
        <v>2267</v>
      </c>
      <c r="J2728" s="253"/>
      <c r="W2728" s="253"/>
    </row>
    <row r="2729" spans="6:23" ht="18.75" customHeight="1">
      <c r="H2729" s="296" t="s">
        <v>1284</v>
      </c>
      <c r="J2729" s="253"/>
      <c r="W2729" s="253"/>
    </row>
    <row r="2730" spans="6:23" ht="18.75" customHeight="1">
      <c r="H2730" s="358" t="s">
        <v>1579</v>
      </c>
      <c r="J2730" s="253"/>
      <c r="W2730" s="253"/>
    </row>
    <row r="2731" spans="6:23" ht="18.75" customHeight="1">
      <c r="G2731" s="252" t="s">
        <v>2268</v>
      </c>
      <c r="H2731" s="296" t="s">
        <v>944</v>
      </c>
      <c r="J2731" s="253"/>
      <c r="K2731" s="296" t="s">
        <v>1444</v>
      </c>
      <c r="W2731" s="253"/>
    </row>
    <row r="2732" spans="6:23" ht="18.75" customHeight="1">
      <c r="H2732" s="358" t="s">
        <v>1579</v>
      </c>
      <c r="J2732" s="253"/>
      <c r="K2732" s="358" t="s">
        <v>2046</v>
      </c>
      <c r="W2732" s="253"/>
    </row>
    <row r="2733" spans="6:23" ht="18.75" customHeight="1">
      <c r="F2733" s="252">
        <v>30</v>
      </c>
      <c r="G2733" s="252" t="s">
        <v>1763</v>
      </c>
      <c r="H2733" s="296" t="s">
        <v>1656</v>
      </c>
      <c r="I2733" s="252">
        <f>C661</f>
        <v>11.2</v>
      </c>
      <c r="J2733" s="253" t="s">
        <v>1763</v>
      </c>
      <c r="K2733" s="252">
        <f>(F2733*I2733)</f>
        <v>336</v>
      </c>
      <c r="W2733" s="253"/>
    </row>
    <row r="2734" spans="6:23" ht="18.75" customHeight="1">
      <c r="F2734" s="296" t="s">
        <v>971</v>
      </c>
      <c r="H2734" s="296" t="s">
        <v>1659</v>
      </c>
      <c r="I2734" s="296" t="s">
        <v>971</v>
      </c>
      <c r="J2734" s="253"/>
      <c r="K2734" s="296" t="s">
        <v>971</v>
      </c>
      <c r="W2734" s="253"/>
    </row>
    <row r="2735" spans="6:23" ht="18.75" customHeight="1">
      <c r="F2735" s="252">
        <v>8</v>
      </c>
      <c r="G2735" s="252" t="s">
        <v>865</v>
      </c>
      <c r="H2735" s="296" t="s">
        <v>2135</v>
      </c>
      <c r="I2735" s="252">
        <f>I1806</f>
        <v>8.9</v>
      </c>
      <c r="J2735" s="253" t="s">
        <v>865</v>
      </c>
      <c r="K2735" s="252">
        <f t="shared" ref="K2735:K2740" si="267">(F2735*I2735)</f>
        <v>71.2</v>
      </c>
      <c r="W2735" s="253"/>
    </row>
    <row r="2736" spans="6:23" ht="18.75" customHeight="1">
      <c r="F2736" s="252">
        <v>8</v>
      </c>
      <c r="G2736" s="252" t="s">
        <v>865</v>
      </c>
      <c r="H2736" s="296" t="s">
        <v>464</v>
      </c>
      <c r="I2736" s="252">
        <f>I1807</f>
        <v>12.65</v>
      </c>
      <c r="J2736" s="253" t="s">
        <v>865</v>
      </c>
      <c r="K2736" s="252">
        <f t="shared" si="267"/>
        <v>101.2</v>
      </c>
      <c r="L2736" s="480"/>
      <c r="W2736" s="253"/>
    </row>
    <row r="2737" spans="6:23" ht="18.75" customHeight="1">
      <c r="F2737" s="252">
        <v>3</v>
      </c>
      <c r="G2737" s="252" t="s">
        <v>865</v>
      </c>
      <c r="H2737" s="296" t="s">
        <v>1837</v>
      </c>
      <c r="I2737" s="252">
        <f>C41</f>
        <v>738</v>
      </c>
      <c r="J2737" s="253" t="s">
        <v>865</v>
      </c>
      <c r="K2737" s="252">
        <f t="shared" si="267"/>
        <v>2214</v>
      </c>
      <c r="L2737" s="483"/>
      <c r="W2737" s="253"/>
    </row>
    <row r="2738" spans="6:23" ht="18.75" customHeight="1">
      <c r="F2738" s="252">
        <v>1</v>
      </c>
      <c r="G2738" s="252" t="s">
        <v>865</v>
      </c>
      <c r="H2738" s="296" t="s">
        <v>1375</v>
      </c>
      <c r="I2738" s="252">
        <f>C10</f>
        <v>999</v>
      </c>
      <c r="J2738" s="253" t="s">
        <v>865</v>
      </c>
      <c r="K2738" s="252">
        <f t="shared" si="267"/>
        <v>999</v>
      </c>
      <c r="L2738" s="483"/>
      <c r="W2738" s="253"/>
    </row>
    <row r="2739" spans="6:23" ht="18.75" customHeight="1">
      <c r="F2739" s="252">
        <v>2</v>
      </c>
      <c r="G2739" s="252" t="s">
        <v>865</v>
      </c>
      <c r="H2739" s="296" t="s">
        <v>1893</v>
      </c>
      <c r="I2739" s="252">
        <f>C12</f>
        <v>651</v>
      </c>
      <c r="J2739" s="253" t="s">
        <v>865</v>
      </c>
      <c r="K2739" s="252">
        <f t="shared" si="267"/>
        <v>1302</v>
      </c>
      <c r="L2739" s="483"/>
      <c r="W2739" s="253"/>
    </row>
    <row r="2740" spans="6:23" ht="18.75" customHeight="1">
      <c r="F2740" s="252">
        <v>1</v>
      </c>
      <c r="G2740" s="252" t="s">
        <v>865</v>
      </c>
      <c r="H2740" s="296" t="s">
        <v>317</v>
      </c>
      <c r="I2740" s="252">
        <f>C13</f>
        <v>534</v>
      </c>
      <c r="J2740" s="253" t="s">
        <v>865</v>
      </c>
      <c r="K2740" s="252">
        <f t="shared" si="267"/>
        <v>534</v>
      </c>
      <c r="L2740" s="483"/>
      <c r="W2740" s="253"/>
    </row>
    <row r="2741" spans="6:23" ht="18.75" customHeight="1">
      <c r="G2741" s="252" t="s">
        <v>446</v>
      </c>
      <c r="H2741" s="389" t="s">
        <v>66</v>
      </c>
      <c r="I2741" s="252" t="s">
        <v>67</v>
      </c>
      <c r="J2741" s="253" t="s">
        <v>446</v>
      </c>
      <c r="K2741" s="252">
        <v>64.849999999999994</v>
      </c>
      <c r="L2741" s="483"/>
      <c r="W2741" s="253"/>
    </row>
    <row r="2742" spans="6:23" ht="18.75" customHeight="1">
      <c r="H2742" s="296"/>
      <c r="J2742" s="253"/>
      <c r="K2742" s="407"/>
      <c r="L2742" s="483"/>
      <c r="W2742" s="253"/>
    </row>
    <row r="2743" spans="6:23" ht="18.75" customHeight="1">
      <c r="J2743" s="252"/>
      <c r="L2743" s="483"/>
      <c r="W2743" s="253"/>
    </row>
    <row r="2744" spans="6:23" ht="18.75" customHeight="1">
      <c r="J2744" s="253"/>
      <c r="K2744" s="358" t="s">
        <v>1579</v>
      </c>
      <c r="L2744" s="483"/>
      <c r="W2744" s="253"/>
    </row>
    <row r="2745" spans="6:23" ht="18.75" customHeight="1">
      <c r="H2745" s="276" t="s">
        <v>1842</v>
      </c>
      <c r="I2745" s="274"/>
      <c r="J2745" s="255"/>
      <c r="K2745" s="274">
        <f>SUM(K2733:K2744)</f>
        <v>5622.25</v>
      </c>
      <c r="L2745" s="488"/>
      <c r="W2745" s="253"/>
    </row>
    <row r="2746" spans="6:23" ht="18.75" customHeight="1">
      <c r="H2746" s="274"/>
      <c r="I2746" s="274"/>
      <c r="J2746" s="255"/>
      <c r="K2746" s="388" t="s">
        <v>1579</v>
      </c>
      <c r="W2746" s="253"/>
    </row>
    <row r="2747" spans="6:23" ht="18.75" customHeight="1">
      <c r="H2747" s="276" t="s">
        <v>1538</v>
      </c>
      <c r="I2747" s="274"/>
      <c r="J2747" s="255"/>
      <c r="K2747" s="274">
        <f>(K2745/30)</f>
        <v>187.41</v>
      </c>
      <c r="W2747" s="253"/>
    </row>
    <row r="2748" spans="6:23" ht="18.75" customHeight="1">
      <c r="J2748" s="252"/>
      <c r="W2748" s="253"/>
    </row>
    <row r="2749" spans="6:23" ht="18.75" customHeight="1">
      <c r="J2749" s="252"/>
      <c r="W2749" s="253"/>
    </row>
    <row r="2750" spans="6:23" ht="18.75" customHeight="1">
      <c r="F2750" s="369">
        <v>52</v>
      </c>
      <c r="G2750" s="252" t="s">
        <v>2241</v>
      </c>
      <c r="H2750" s="296" t="s">
        <v>99</v>
      </c>
      <c r="J2750" s="253"/>
      <c r="W2750" s="253"/>
    </row>
    <row r="2751" spans="6:23" ht="18.75" customHeight="1">
      <c r="H2751" s="296" t="s">
        <v>2159</v>
      </c>
      <c r="J2751" s="253"/>
      <c r="W2751" s="253"/>
    </row>
    <row r="2752" spans="6:23" ht="18.75" customHeight="1">
      <c r="H2752" s="296" t="s">
        <v>2160</v>
      </c>
      <c r="J2752" s="253"/>
      <c r="W2752" s="253"/>
    </row>
    <row r="2753" spans="5:23" ht="18.75" customHeight="1">
      <c r="H2753" s="296" t="s">
        <v>1401</v>
      </c>
      <c r="J2753" s="253"/>
      <c r="W2753" s="253"/>
    </row>
    <row r="2754" spans="5:23" ht="18.75" customHeight="1">
      <c r="H2754" s="296" t="s">
        <v>1402</v>
      </c>
      <c r="J2754" s="253"/>
      <c r="W2754" s="253"/>
    </row>
    <row r="2755" spans="5:23" ht="18.75" customHeight="1">
      <c r="E2755" s="252">
        <f>6*0.3</f>
        <v>1.8</v>
      </c>
      <c r="H2755" s="296" t="s">
        <v>720</v>
      </c>
      <c r="J2755" s="253"/>
      <c r="W2755" s="253"/>
    </row>
    <row r="2756" spans="5:23" ht="18.75" customHeight="1">
      <c r="E2756" s="252">
        <f>3.5+E2755</f>
        <v>5.3</v>
      </c>
      <c r="H2756" s="296" t="s">
        <v>1347</v>
      </c>
      <c r="J2756" s="253"/>
      <c r="L2756" s="252">
        <f>K2790</f>
        <v>233</v>
      </c>
      <c r="W2756" s="253"/>
    </row>
    <row r="2757" spans="5:23" ht="18.75" customHeight="1">
      <c r="E2757" s="252">
        <f>3.14*0.3*0.3</f>
        <v>0.28000000000000003</v>
      </c>
      <c r="H2757" s="296" t="s">
        <v>707</v>
      </c>
      <c r="J2757" s="253"/>
      <c r="L2757" s="252">
        <f>K2791</f>
        <v>2278.5</v>
      </c>
      <c r="W2757" s="253"/>
    </row>
    <row r="2758" spans="5:23" ht="18.75" customHeight="1">
      <c r="H2758" s="358" t="s">
        <v>2046</v>
      </c>
      <c r="I2758" s="358" t="s">
        <v>2046</v>
      </c>
      <c r="J2758" s="253"/>
      <c r="W2758" s="253"/>
    </row>
    <row r="2759" spans="5:23" ht="18.75" customHeight="1">
      <c r="E2759" s="252">
        <f>E2757/4</f>
        <v>7.0000000000000007E-2</v>
      </c>
      <c r="G2759" s="252" t="s">
        <v>2241</v>
      </c>
      <c r="H2759" s="296" t="s">
        <v>914</v>
      </c>
      <c r="J2759" s="253"/>
      <c r="L2759" s="252">
        <f>SUM(L2756:L2757)</f>
        <v>2511.5</v>
      </c>
      <c r="W2759" s="253"/>
    </row>
    <row r="2760" spans="5:23" ht="18.75" customHeight="1">
      <c r="E2760" s="316">
        <f>E2759*E2756</f>
        <v>0.371</v>
      </c>
      <c r="H2760" s="296" t="s">
        <v>803</v>
      </c>
      <c r="J2760" s="253"/>
      <c r="W2760" s="253"/>
    </row>
    <row r="2761" spans="5:23" ht="18.75" customHeight="1">
      <c r="G2761" s="252" t="s">
        <v>313</v>
      </c>
      <c r="H2761" s="296" t="s">
        <v>804</v>
      </c>
      <c r="J2761" s="253"/>
      <c r="W2761" s="253"/>
    </row>
    <row r="2762" spans="5:23" ht="18.75" customHeight="1">
      <c r="H2762" s="358" t="s">
        <v>1579</v>
      </c>
      <c r="J2762" s="253"/>
      <c r="W2762" s="253"/>
    </row>
    <row r="2763" spans="5:23" ht="18.75" customHeight="1">
      <c r="F2763" s="252">
        <v>1</v>
      </c>
      <c r="G2763" s="252" t="s">
        <v>823</v>
      </c>
      <c r="H2763" s="296" t="s">
        <v>615</v>
      </c>
      <c r="I2763" s="252">
        <f>I1870</f>
        <v>26</v>
      </c>
      <c r="J2763" s="253" t="s">
        <v>823</v>
      </c>
      <c r="K2763" s="252">
        <f>(F2763*I2763)</f>
        <v>26</v>
      </c>
      <c r="W2763" s="253"/>
    </row>
    <row r="2764" spans="5:23" ht="18.75" customHeight="1">
      <c r="F2764" s="252">
        <v>1</v>
      </c>
      <c r="G2764" s="252" t="s">
        <v>446</v>
      </c>
      <c r="H2764" s="296" t="s">
        <v>1793</v>
      </c>
      <c r="I2764" s="252">
        <f>I2763*0.7</f>
        <v>18.2</v>
      </c>
      <c r="J2764" s="253" t="s">
        <v>446</v>
      </c>
      <c r="K2764" s="252">
        <f>(F2764*I2764)</f>
        <v>18.2</v>
      </c>
      <c r="W2764" s="253"/>
    </row>
    <row r="2765" spans="5:23" ht="18.75" customHeight="1">
      <c r="F2765" s="252">
        <v>1</v>
      </c>
      <c r="G2765" s="252" t="s">
        <v>823</v>
      </c>
      <c r="H2765" s="296" t="s">
        <v>161</v>
      </c>
      <c r="I2765" s="252">
        <f>K2747</f>
        <v>187.41</v>
      </c>
      <c r="J2765" s="253" t="s">
        <v>823</v>
      </c>
      <c r="K2765" s="252">
        <f>(F2765*I2765)</f>
        <v>187.41</v>
      </c>
      <c r="W2765" s="253"/>
    </row>
    <row r="2766" spans="5:23" ht="18.75" customHeight="1">
      <c r="I2766" s="296" t="s">
        <v>971</v>
      </c>
      <c r="J2766" s="253"/>
      <c r="K2766" s="358"/>
      <c r="W2766" s="253"/>
    </row>
    <row r="2767" spans="5:23" ht="18.75" customHeight="1">
      <c r="H2767" s="276" t="s">
        <v>374</v>
      </c>
      <c r="I2767" s="274"/>
      <c r="J2767" s="255"/>
      <c r="K2767" s="274">
        <f>SUM(K2763:K2765)</f>
        <v>231.61</v>
      </c>
      <c r="W2767" s="253"/>
    </row>
    <row r="2768" spans="5:23" ht="18.75" customHeight="1">
      <c r="H2768" s="296" t="s">
        <v>971</v>
      </c>
      <c r="I2768" s="296" t="s">
        <v>971</v>
      </c>
      <c r="J2768" s="253"/>
      <c r="K2768" s="358" t="s">
        <v>2046</v>
      </c>
      <c r="S2768" s="384" t="s">
        <v>561</v>
      </c>
      <c r="T2768" s="252" t="s">
        <v>2241</v>
      </c>
      <c r="U2768" s="296" t="s">
        <v>328</v>
      </c>
      <c r="W2768" s="253"/>
    </row>
    <row r="2769" spans="6:29" ht="18.75" customHeight="1">
      <c r="J2769" s="252"/>
      <c r="U2769" s="296" t="s">
        <v>253</v>
      </c>
      <c r="W2769" s="253"/>
    </row>
    <row r="2770" spans="6:29" ht="18.75" customHeight="1">
      <c r="F2770" s="566"/>
      <c r="G2770" s="492"/>
      <c r="H2770" s="492"/>
      <c r="I2770" s="492"/>
      <c r="J2770" s="492"/>
      <c r="K2770" s="492"/>
      <c r="U2770" s="296" t="s">
        <v>1463</v>
      </c>
      <c r="W2770" s="253"/>
    </row>
    <row r="2771" spans="6:29" ht="18.75" customHeight="1">
      <c r="F2771" s="567"/>
      <c r="G2771" s="274" t="s">
        <v>962</v>
      </c>
      <c r="J2771" s="253"/>
      <c r="U2771" s="358" t="s">
        <v>1579</v>
      </c>
      <c r="W2771" s="253"/>
    </row>
    <row r="2772" spans="6:29" ht="18.75" customHeight="1">
      <c r="F2772" s="494"/>
      <c r="J2772" s="253"/>
      <c r="U2772" s="296" t="s">
        <v>1874</v>
      </c>
      <c r="W2772" s="253"/>
    </row>
    <row r="2773" spans="6:29" ht="18.75" customHeight="1">
      <c r="F2773" s="494">
        <v>5</v>
      </c>
      <c r="G2773" s="252" t="s">
        <v>963</v>
      </c>
      <c r="H2773" s="368" t="s">
        <v>4247</v>
      </c>
      <c r="I2773" s="568">
        <v>160</v>
      </c>
      <c r="J2773" s="253" t="s">
        <v>964</v>
      </c>
      <c r="K2773" s="252">
        <f>I2773*F2773</f>
        <v>800</v>
      </c>
      <c r="U2773" s="296" t="s">
        <v>1875</v>
      </c>
      <c r="W2773" s="253"/>
    </row>
    <row r="2774" spans="6:29" ht="18.75" customHeight="1">
      <c r="F2774" s="494">
        <v>1</v>
      </c>
      <c r="G2774" s="252" t="s">
        <v>1389</v>
      </c>
      <c r="H2774" s="252" t="s">
        <v>762</v>
      </c>
      <c r="I2774" s="314">
        <v>75</v>
      </c>
      <c r="J2774" s="253" t="s">
        <v>1393</v>
      </c>
      <c r="K2774" s="252">
        <f>I2774*F2774</f>
        <v>75</v>
      </c>
      <c r="W2774" s="253" t="s">
        <v>1579</v>
      </c>
    </row>
    <row r="2775" spans="6:29" ht="18.75" customHeight="1">
      <c r="F2775" s="494">
        <v>2.5</v>
      </c>
      <c r="G2775" s="252" t="s">
        <v>1389</v>
      </c>
      <c r="H2775" s="252" t="s">
        <v>763</v>
      </c>
      <c r="I2775" s="252">
        <f>C14</f>
        <v>797</v>
      </c>
      <c r="J2775" s="253" t="s">
        <v>1389</v>
      </c>
      <c r="K2775" s="252">
        <f>I2775*F2775</f>
        <v>1992.5</v>
      </c>
      <c r="U2775" s="296" t="s">
        <v>1296</v>
      </c>
      <c r="W2775" s="253"/>
    </row>
    <row r="2776" spans="6:29" ht="18.75" customHeight="1">
      <c r="F2776" s="494"/>
      <c r="H2776" s="252" t="s">
        <v>2261</v>
      </c>
      <c r="I2776" s="407" t="s">
        <v>446</v>
      </c>
      <c r="J2776" s="253"/>
      <c r="K2776" s="252">
        <v>0.25</v>
      </c>
      <c r="U2776" s="296" t="s">
        <v>1297</v>
      </c>
      <c r="W2776" s="253"/>
      <c r="X2776" s="400">
        <v>2.7099999999999999E-2</v>
      </c>
    </row>
    <row r="2777" spans="6:29" ht="18.75" customHeight="1">
      <c r="F2777" s="494"/>
      <c r="J2777" s="253"/>
      <c r="K2777" s="524" t="s">
        <v>2046</v>
      </c>
      <c r="W2777" s="253" t="s">
        <v>971</v>
      </c>
      <c r="X2777" s="358" t="s">
        <v>1579</v>
      </c>
      <c r="Y2777" s="400">
        <f>SUM(X2778:X2779)</f>
        <v>1.6420000000000001E-2</v>
      </c>
    </row>
    <row r="2778" spans="6:29" ht="18.75" customHeight="1">
      <c r="F2778" s="494"/>
      <c r="I2778" s="252" t="s">
        <v>764</v>
      </c>
      <c r="J2778" s="253" t="s">
        <v>2046</v>
      </c>
      <c r="K2778" s="274">
        <f>SUM(K2773:K2777)</f>
        <v>2867.75</v>
      </c>
      <c r="L2778" s="400">
        <f>K2811+K2810</f>
        <v>1.6420000000000001E-2</v>
      </c>
      <c r="U2778" s="296" t="s">
        <v>1298</v>
      </c>
      <c r="W2778" s="569" t="s">
        <v>971</v>
      </c>
      <c r="X2778" s="400">
        <v>1.2840000000000001E-2</v>
      </c>
    </row>
    <row r="2779" spans="6:29" ht="18.75" customHeight="1">
      <c r="F2779" s="496"/>
      <c r="G2779" s="497"/>
      <c r="H2779" s="497"/>
      <c r="I2779" s="497"/>
      <c r="J2779" s="570"/>
      <c r="K2779" s="571" t="s">
        <v>2046</v>
      </c>
      <c r="U2779" s="296" t="s">
        <v>940</v>
      </c>
      <c r="W2779" s="253" t="s">
        <v>971</v>
      </c>
      <c r="X2779" s="400">
        <v>3.5799999999999998E-3</v>
      </c>
    </row>
    <row r="2780" spans="6:29" ht="18.75" customHeight="1">
      <c r="J2780" s="253"/>
      <c r="W2780" s="253"/>
      <c r="X2780" s="358" t="s">
        <v>1579</v>
      </c>
    </row>
    <row r="2781" spans="6:29" ht="18.75" customHeight="1">
      <c r="F2781" s="252" t="s">
        <v>938</v>
      </c>
      <c r="J2781" s="253"/>
      <c r="S2781" s="356">
        <f>F2813</f>
        <v>1.9E-2</v>
      </c>
      <c r="T2781" s="252" t="s">
        <v>866</v>
      </c>
      <c r="U2781" s="296" t="s">
        <v>329</v>
      </c>
      <c r="V2781" s="252">
        <f>C86</f>
        <v>34300</v>
      </c>
      <c r="W2781" s="253" t="s">
        <v>866</v>
      </c>
      <c r="X2781" s="252">
        <f>(S2781*V2781)</f>
        <v>651.70000000000005</v>
      </c>
    </row>
    <row r="2782" spans="6:29" ht="18.75" customHeight="1">
      <c r="J2782" s="253"/>
      <c r="S2782" s="356">
        <f t="shared" ref="S2782:S2792" si="268">F2814</f>
        <v>2.7E-2</v>
      </c>
      <c r="T2782" s="252" t="s">
        <v>866</v>
      </c>
      <c r="U2782" s="296" t="s">
        <v>329</v>
      </c>
      <c r="V2782" s="252">
        <f>V2781</f>
        <v>34300</v>
      </c>
      <c r="W2782" s="253" t="s">
        <v>866</v>
      </c>
      <c r="X2782" s="252">
        <f t="shared" ref="X2782:X2792" si="269">(S2782*V2782)</f>
        <v>926.1</v>
      </c>
    </row>
    <row r="2783" spans="6:29" ht="18.75" customHeight="1">
      <c r="F2783" s="252" t="s">
        <v>3032</v>
      </c>
      <c r="J2783" s="253"/>
      <c r="S2783" s="356">
        <f t="shared" si="268"/>
        <v>1.6E-2</v>
      </c>
      <c r="T2783" s="252" t="s">
        <v>866</v>
      </c>
      <c r="U2783" s="296" t="s">
        <v>330</v>
      </c>
      <c r="V2783" s="252">
        <f>C87</f>
        <v>39400</v>
      </c>
      <c r="W2783" s="253" t="s">
        <v>866</v>
      </c>
      <c r="X2783" s="252">
        <f t="shared" si="269"/>
        <v>630.4</v>
      </c>
      <c r="AC2783" s="274" t="s">
        <v>1736</v>
      </c>
    </row>
    <row r="2784" spans="6:29" ht="18.75" customHeight="1">
      <c r="J2784" s="253"/>
      <c r="U2784" s="296"/>
      <c r="V2784" s="252">
        <f>V958</f>
        <v>0</v>
      </c>
      <c r="W2784" s="253"/>
      <c r="X2784" s="252">
        <f t="shared" si="269"/>
        <v>0</v>
      </c>
      <c r="AC2784" s="274" t="s">
        <v>1737</v>
      </c>
    </row>
    <row r="2785" spans="6:33" ht="18.75" customHeight="1">
      <c r="G2785" s="356">
        <v>0.745</v>
      </c>
      <c r="H2785" s="252" t="s">
        <v>2142</v>
      </c>
      <c r="J2785" s="253"/>
      <c r="S2785" s="356">
        <f t="shared" si="268"/>
        <v>1.823</v>
      </c>
      <c r="T2785" s="252" t="s">
        <v>606</v>
      </c>
      <c r="U2785" s="296" t="s">
        <v>444</v>
      </c>
      <c r="V2785" s="252">
        <f>I2817</f>
        <v>1537</v>
      </c>
      <c r="W2785" s="253" t="s">
        <v>606</v>
      </c>
      <c r="X2785" s="252">
        <f t="shared" si="269"/>
        <v>2801.95</v>
      </c>
    </row>
    <row r="2786" spans="6:33" ht="18.75" customHeight="1">
      <c r="J2786" s="253"/>
      <c r="S2786" s="356">
        <f t="shared" si="268"/>
        <v>2</v>
      </c>
      <c r="T2786" s="252" t="s">
        <v>766</v>
      </c>
      <c r="U2786" s="296" t="s">
        <v>1456</v>
      </c>
      <c r="V2786" s="252">
        <f t="shared" ref="V2786:V2791" si="270">I2818</f>
        <v>254.5</v>
      </c>
      <c r="W2786" s="253" t="s">
        <v>865</v>
      </c>
      <c r="X2786" s="252">
        <f t="shared" si="269"/>
        <v>509</v>
      </c>
      <c r="AB2786" s="572">
        <v>2.6159999999999999E-2</v>
      </c>
      <c r="AC2786" s="274" t="s">
        <v>866</v>
      </c>
      <c r="AD2786" s="274" t="s">
        <v>3114</v>
      </c>
      <c r="AE2786" s="274">
        <f>I2813</f>
        <v>111600</v>
      </c>
      <c r="AF2786" s="276" t="s">
        <v>866</v>
      </c>
      <c r="AG2786" s="274">
        <f>AE2786*AB2786</f>
        <v>2919.46</v>
      </c>
    </row>
    <row r="2787" spans="6:33" ht="18.75" customHeight="1">
      <c r="F2787" s="274" t="s">
        <v>460</v>
      </c>
      <c r="J2787" s="253"/>
      <c r="S2787" s="356">
        <f t="shared" si="268"/>
        <v>3</v>
      </c>
      <c r="T2787" s="252" t="s">
        <v>865</v>
      </c>
      <c r="U2787" s="296" t="s">
        <v>1457</v>
      </c>
      <c r="V2787" s="252">
        <f t="shared" si="270"/>
        <v>214.1</v>
      </c>
      <c r="W2787" s="253" t="s">
        <v>865</v>
      </c>
      <c r="X2787" s="252">
        <f t="shared" si="269"/>
        <v>642.29999999999995</v>
      </c>
      <c r="AB2787" s="572">
        <v>4.7809999999999998E-2</v>
      </c>
      <c r="AC2787" s="274" t="s">
        <v>866</v>
      </c>
      <c r="AD2787" s="274" t="s">
        <v>2478</v>
      </c>
      <c r="AE2787" s="274">
        <f>I2814</f>
        <v>99400</v>
      </c>
      <c r="AF2787" s="276" t="s">
        <v>866</v>
      </c>
      <c r="AG2787" s="274">
        <f t="shared" ref="AG2787:AG2796" si="271">AE2787*AB2787</f>
        <v>4752.3100000000004</v>
      </c>
    </row>
    <row r="2788" spans="6:33" ht="18.75" customHeight="1">
      <c r="J2788" s="253"/>
      <c r="S2788" s="356">
        <f t="shared" si="268"/>
        <v>2</v>
      </c>
      <c r="T2788" s="252" t="s">
        <v>865</v>
      </c>
      <c r="U2788" s="296" t="s">
        <v>1458</v>
      </c>
      <c r="V2788" s="252">
        <f t="shared" si="270"/>
        <v>408</v>
      </c>
      <c r="W2788" s="253" t="s">
        <v>865</v>
      </c>
      <c r="X2788" s="252">
        <f t="shared" si="269"/>
        <v>816</v>
      </c>
      <c r="AB2788" s="573">
        <v>4.5879999999999997E-2</v>
      </c>
      <c r="AC2788" s="274" t="s">
        <v>866</v>
      </c>
      <c r="AD2788" s="274" t="s">
        <v>1738</v>
      </c>
      <c r="AE2788" s="274">
        <f>I3320</f>
        <v>107000</v>
      </c>
      <c r="AF2788" s="276" t="s">
        <v>866</v>
      </c>
      <c r="AG2788" s="274">
        <f t="shared" si="271"/>
        <v>4909.16</v>
      </c>
    </row>
    <row r="2789" spans="6:33" ht="18.75" customHeight="1">
      <c r="F2789" s="356">
        <v>0.37</v>
      </c>
      <c r="G2789" s="252" t="s">
        <v>2142</v>
      </c>
      <c r="H2789" s="252" t="s">
        <v>3035</v>
      </c>
      <c r="I2789" s="252">
        <f>X688</f>
        <v>8764.1200000000008</v>
      </c>
      <c r="J2789" s="407" t="s">
        <v>2142</v>
      </c>
      <c r="K2789" s="252">
        <f>F2789*I2789</f>
        <v>3242.72</v>
      </c>
      <c r="S2789" s="356">
        <f t="shared" si="268"/>
        <v>1</v>
      </c>
      <c r="T2789" s="252" t="s">
        <v>865</v>
      </c>
      <c r="U2789" s="296" t="s">
        <v>1459</v>
      </c>
      <c r="V2789" s="252">
        <f t="shared" si="270"/>
        <v>836</v>
      </c>
      <c r="W2789" s="253" t="s">
        <v>865</v>
      </c>
      <c r="X2789" s="252">
        <f t="shared" si="269"/>
        <v>836</v>
      </c>
      <c r="AB2789" s="573">
        <v>3.95</v>
      </c>
      <c r="AC2789" s="274" t="s">
        <v>606</v>
      </c>
      <c r="AD2789" s="274" t="s">
        <v>880</v>
      </c>
      <c r="AE2789" s="274">
        <f>I2817</f>
        <v>1537</v>
      </c>
      <c r="AF2789" s="276" t="s">
        <v>606</v>
      </c>
      <c r="AG2789" s="274">
        <f t="shared" si="271"/>
        <v>6071.15</v>
      </c>
    </row>
    <row r="2790" spans="6:33" ht="18.75" customHeight="1">
      <c r="F2790" s="252">
        <v>0.25</v>
      </c>
      <c r="G2790" s="252" t="s">
        <v>1389</v>
      </c>
      <c r="H2790" s="252" t="s">
        <v>462</v>
      </c>
      <c r="I2790" s="252">
        <f>C11</f>
        <v>932</v>
      </c>
      <c r="J2790" s="407" t="s">
        <v>1393</v>
      </c>
      <c r="K2790" s="252">
        <f>F2790*I2790</f>
        <v>233</v>
      </c>
      <c r="S2790" s="356">
        <f t="shared" si="268"/>
        <v>1</v>
      </c>
      <c r="T2790" s="252" t="s">
        <v>865</v>
      </c>
      <c r="U2790" s="296" t="s">
        <v>1460</v>
      </c>
      <c r="V2790" s="252">
        <f t="shared" si="270"/>
        <v>7.3</v>
      </c>
      <c r="W2790" s="253" t="s">
        <v>865</v>
      </c>
      <c r="X2790" s="252">
        <f t="shared" si="269"/>
        <v>7.3</v>
      </c>
      <c r="AB2790" s="274">
        <v>2</v>
      </c>
      <c r="AC2790" s="274" t="s">
        <v>1865</v>
      </c>
      <c r="AD2790" s="274" t="s">
        <v>2114</v>
      </c>
      <c r="AE2790" s="274">
        <f t="shared" ref="AE2790:AE2795" si="272">I2818</f>
        <v>254.5</v>
      </c>
      <c r="AF2790" s="276" t="s">
        <v>1393</v>
      </c>
      <c r="AG2790" s="274">
        <f t="shared" si="271"/>
        <v>509</v>
      </c>
    </row>
    <row r="2791" spans="6:33" ht="18.75" customHeight="1">
      <c r="F2791" s="252">
        <v>3.5</v>
      </c>
      <c r="G2791" s="252" t="s">
        <v>1427</v>
      </c>
      <c r="H2791" s="252" t="s">
        <v>345</v>
      </c>
      <c r="I2791" s="252">
        <f>C12</f>
        <v>651</v>
      </c>
      <c r="J2791" s="407" t="s">
        <v>1393</v>
      </c>
      <c r="K2791" s="252">
        <f>F2791*I2791</f>
        <v>2278.5</v>
      </c>
      <c r="S2791" s="356">
        <f t="shared" si="268"/>
        <v>1</v>
      </c>
      <c r="T2791" s="252" t="s">
        <v>865</v>
      </c>
      <c r="U2791" s="296" t="s">
        <v>1973</v>
      </c>
      <c r="V2791" s="252">
        <f t="shared" si="270"/>
        <v>49.55</v>
      </c>
      <c r="W2791" s="253" t="s">
        <v>865</v>
      </c>
      <c r="X2791" s="252">
        <f t="shared" si="269"/>
        <v>49.55</v>
      </c>
      <c r="AB2791" s="274">
        <v>6</v>
      </c>
      <c r="AC2791" s="274" t="s">
        <v>1865</v>
      </c>
      <c r="AD2791" s="274" t="s">
        <v>1094</v>
      </c>
      <c r="AE2791" s="274">
        <f t="shared" si="272"/>
        <v>214.1</v>
      </c>
      <c r="AF2791" s="276" t="s">
        <v>1393</v>
      </c>
      <c r="AG2791" s="274">
        <f t="shared" si="271"/>
        <v>1284.5999999999999</v>
      </c>
    </row>
    <row r="2792" spans="6:33" ht="18.75" customHeight="1">
      <c r="F2792" s="252">
        <v>12</v>
      </c>
      <c r="G2792" s="252" t="s">
        <v>909</v>
      </c>
      <c r="H2792" s="252" t="s">
        <v>3033</v>
      </c>
      <c r="J2792" s="407" t="s">
        <v>909</v>
      </c>
      <c r="K2792" s="252">
        <f>I2792*F2792</f>
        <v>0</v>
      </c>
      <c r="S2792" s="356">
        <f t="shared" si="268"/>
        <v>64</v>
      </c>
      <c r="U2792" s="252" t="s">
        <v>471</v>
      </c>
      <c r="V2792" s="252">
        <f>P2831</f>
        <v>2.41</v>
      </c>
      <c r="W2792" s="253"/>
      <c r="X2792" s="252">
        <f t="shared" si="269"/>
        <v>154.24</v>
      </c>
      <c r="AB2792" s="274">
        <v>4</v>
      </c>
      <c r="AC2792" s="274" t="s">
        <v>1865</v>
      </c>
      <c r="AD2792" s="274" t="s">
        <v>1343</v>
      </c>
      <c r="AE2792" s="274">
        <f t="shared" si="272"/>
        <v>408</v>
      </c>
      <c r="AF2792" s="276" t="s">
        <v>1393</v>
      </c>
      <c r="AG2792" s="274">
        <f t="shared" si="271"/>
        <v>1632</v>
      </c>
    </row>
    <row r="2793" spans="6:33" ht="18.75" customHeight="1">
      <c r="G2793" s="252" t="s">
        <v>463</v>
      </c>
      <c r="H2793" s="252" t="s">
        <v>946</v>
      </c>
      <c r="J2793" s="407" t="s">
        <v>67</v>
      </c>
      <c r="K2793" s="252">
        <f>L2759*10%</f>
        <v>251.15</v>
      </c>
      <c r="U2793" s="296" t="s">
        <v>984</v>
      </c>
      <c r="W2793" s="253"/>
      <c r="X2793" s="252">
        <f>SUM(X2781:X2792)</f>
        <v>8024.54</v>
      </c>
      <c r="AB2793" s="274">
        <v>1</v>
      </c>
      <c r="AC2793" s="274" t="s">
        <v>1865</v>
      </c>
      <c r="AD2793" s="274" t="s">
        <v>1344</v>
      </c>
      <c r="AE2793" s="274">
        <f t="shared" si="272"/>
        <v>836</v>
      </c>
      <c r="AF2793" s="276" t="s">
        <v>1393</v>
      </c>
      <c r="AG2793" s="274">
        <f t="shared" si="271"/>
        <v>836</v>
      </c>
    </row>
    <row r="2794" spans="6:33" ht="18.75" customHeight="1">
      <c r="J2794" s="253"/>
      <c r="K2794" s="252" t="s">
        <v>947</v>
      </c>
      <c r="W2794" s="253"/>
      <c r="X2794" s="358" t="s">
        <v>1579</v>
      </c>
      <c r="AB2794" s="274">
        <v>2</v>
      </c>
      <c r="AC2794" s="274" t="s">
        <v>1865</v>
      </c>
      <c r="AD2794" s="274" t="s">
        <v>1971</v>
      </c>
      <c r="AE2794" s="274">
        <f t="shared" si="272"/>
        <v>7.3</v>
      </c>
      <c r="AF2794" s="276" t="s">
        <v>1393</v>
      </c>
      <c r="AG2794" s="274">
        <f t="shared" si="271"/>
        <v>14.6</v>
      </c>
    </row>
    <row r="2795" spans="6:33" ht="18.75" customHeight="1">
      <c r="J2795" s="253"/>
      <c r="U2795" s="296" t="s">
        <v>549</v>
      </c>
      <c r="W2795" s="253"/>
      <c r="X2795" s="252">
        <f>X2793/1.8225</f>
        <v>4403.04</v>
      </c>
      <c r="AB2795" s="274">
        <v>2</v>
      </c>
      <c r="AC2795" s="274" t="s">
        <v>1865</v>
      </c>
      <c r="AD2795" s="274" t="s">
        <v>1973</v>
      </c>
      <c r="AE2795" s="274">
        <f t="shared" si="272"/>
        <v>49.55</v>
      </c>
      <c r="AF2795" s="276" t="s">
        <v>1393</v>
      </c>
      <c r="AG2795" s="274">
        <f t="shared" si="271"/>
        <v>99.1</v>
      </c>
    </row>
    <row r="2796" spans="6:33" ht="18.75" customHeight="1">
      <c r="I2796" s="252" t="s">
        <v>3034</v>
      </c>
      <c r="J2796" s="253"/>
      <c r="K2796" s="252">
        <f>SUM(K2789:K2793)</f>
        <v>6005.37</v>
      </c>
      <c r="W2796" s="253"/>
      <c r="AB2796" s="274">
        <v>10</v>
      </c>
      <c r="AC2796" s="274"/>
      <c r="AD2796" s="274" t="s">
        <v>1734</v>
      </c>
      <c r="AE2796" s="274">
        <f>V2792</f>
        <v>2.41</v>
      </c>
      <c r="AF2796" s="276"/>
      <c r="AG2796" s="274">
        <f t="shared" si="271"/>
        <v>24.1</v>
      </c>
    </row>
    <row r="2797" spans="6:33" ht="18.75" customHeight="1">
      <c r="J2797" s="253"/>
      <c r="W2797" s="253"/>
      <c r="AB2797" s="274"/>
      <c r="AC2797" s="274"/>
      <c r="AD2797" s="274" t="s">
        <v>549</v>
      </c>
      <c r="AE2797" s="274"/>
      <c r="AF2797" s="276"/>
      <c r="AG2797" s="274">
        <f>SUM(AG2786:AG2796)</f>
        <v>23051.48</v>
      </c>
    </row>
    <row r="2798" spans="6:33" ht="18.75" customHeight="1">
      <c r="I2798" s="252" t="s">
        <v>1873</v>
      </c>
      <c r="J2798" s="253"/>
      <c r="K2798" s="252">
        <f>K2796/3.5</f>
        <v>1715.82</v>
      </c>
      <c r="W2798" s="253"/>
      <c r="AB2798" s="274"/>
      <c r="AC2798" s="274"/>
      <c r="AD2798" s="274"/>
      <c r="AE2798" s="274"/>
      <c r="AF2798" s="276"/>
      <c r="AG2798" s="545" t="s">
        <v>146</v>
      </c>
    </row>
    <row r="2799" spans="6:33" ht="18.75" customHeight="1">
      <c r="J2799" s="253"/>
      <c r="W2799" s="253"/>
      <c r="AB2799" s="274"/>
      <c r="AC2799" s="274"/>
      <c r="AD2799" s="274" t="s">
        <v>549</v>
      </c>
      <c r="AE2799" s="274"/>
      <c r="AF2799" s="276"/>
      <c r="AG2799" s="274">
        <f>AG2797/AB2789</f>
        <v>5835.82</v>
      </c>
    </row>
    <row r="2800" spans="6:33" ht="18.75" customHeight="1">
      <c r="F2800" s="253" t="s">
        <v>561</v>
      </c>
      <c r="G2800" s="252" t="s">
        <v>2241</v>
      </c>
      <c r="H2800" s="296" t="s">
        <v>252</v>
      </c>
      <c r="J2800" s="253"/>
      <c r="W2800" s="253"/>
      <c r="AB2800" s="274"/>
      <c r="AC2800" s="274"/>
      <c r="AD2800" s="274"/>
      <c r="AE2800" s="274"/>
      <c r="AF2800" s="276"/>
      <c r="AG2800" s="545" t="s">
        <v>146</v>
      </c>
    </row>
    <row r="2801" spans="6:23" ht="18.75" customHeight="1">
      <c r="H2801" s="296" t="s">
        <v>253</v>
      </c>
      <c r="J2801" s="253"/>
      <c r="W2801" s="253"/>
    </row>
    <row r="2802" spans="6:23" ht="18.75" customHeight="1">
      <c r="H2802" s="296" t="s">
        <v>1463</v>
      </c>
      <c r="I2802" s="274" t="s">
        <v>2201</v>
      </c>
      <c r="J2802" s="253"/>
      <c r="W2802" s="253"/>
    </row>
    <row r="2803" spans="6:23" ht="18.75" customHeight="1">
      <c r="H2803" s="358" t="s">
        <v>1579</v>
      </c>
      <c r="J2803" s="253"/>
      <c r="W2803" s="253"/>
    </row>
    <row r="2804" spans="6:23" ht="18.75" customHeight="1">
      <c r="H2804" s="296" t="s">
        <v>1874</v>
      </c>
      <c r="J2804" s="253"/>
      <c r="W2804" s="253"/>
    </row>
    <row r="2805" spans="6:23" ht="18.75" customHeight="1">
      <c r="H2805" s="296" t="s">
        <v>1875</v>
      </c>
      <c r="J2805" s="253"/>
      <c r="W2805" s="253"/>
    </row>
    <row r="2806" spans="6:23" ht="18.75" customHeight="1">
      <c r="J2806" s="253" t="s">
        <v>1579</v>
      </c>
      <c r="W2806" s="253"/>
    </row>
    <row r="2807" spans="6:23" ht="18.75" customHeight="1">
      <c r="H2807" s="296" t="s">
        <v>1296</v>
      </c>
      <c r="J2807" s="253"/>
      <c r="M2807" s="253" t="s">
        <v>561</v>
      </c>
      <c r="N2807" s="252" t="s">
        <v>2241</v>
      </c>
      <c r="O2807" s="296" t="s">
        <v>252</v>
      </c>
      <c r="Q2807" s="253"/>
      <c r="W2807" s="253"/>
    </row>
    <row r="2808" spans="6:23" ht="18.75" customHeight="1">
      <c r="H2808" s="296" t="s">
        <v>1297</v>
      </c>
      <c r="J2808" s="253"/>
      <c r="K2808" s="400">
        <v>2.7099999999999999E-2</v>
      </c>
      <c r="O2808" s="296" t="s">
        <v>253</v>
      </c>
      <c r="Q2808" s="253"/>
      <c r="W2808" s="253"/>
    </row>
    <row r="2809" spans="6:23" ht="18.75" customHeight="1">
      <c r="J2809" s="253" t="s">
        <v>971</v>
      </c>
      <c r="K2809" s="358" t="s">
        <v>1579</v>
      </c>
      <c r="O2809" s="296" t="s">
        <v>705</v>
      </c>
      <c r="P2809" s="274" t="s">
        <v>2200</v>
      </c>
      <c r="Q2809" s="253"/>
      <c r="W2809" s="253"/>
    </row>
    <row r="2810" spans="6:23" ht="18.75" customHeight="1">
      <c r="H2810" s="296" t="s">
        <v>1298</v>
      </c>
      <c r="J2810" s="569" t="s">
        <v>971</v>
      </c>
      <c r="K2810" s="400">
        <v>1.2840000000000001E-2</v>
      </c>
      <c r="O2810" s="358" t="s">
        <v>1579</v>
      </c>
      <c r="Q2810" s="253"/>
      <c r="W2810" s="253"/>
    </row>
    <row r="2811" spans="6:23" ht="18.75" customHeight="1">
      <c r="H2811" s="296" t="s">
        <v>2202</v>
      </c>
      <c r="J2811" s="253" t="s">
        <v>971</v>
      </c>
      <c r="K2811" s="400">
        <v>3.5799999999999998E-3</v>
      </c>
      <c r="O2811" s="296" t="s">
        <v>420</v>
      </c>
      <c r="Q2811" s="253"/>
      <c r="W2811" s="253"/>
    </row>
    <row r="2812" spans="6:23" ht="18.75" customHeight="1">
      <c r="F2812" s="447"/>
      <c r="J2812" s="253"/>
      <c r="K2812" s="358" t="s">
        <v>1579</v>
      </c>
      <c r="O2812" s="296" t="s">
        <v>1875</v>
      </c>
      <c r="Q2812" s="253"/>
      <c r="W2812" s="253"/>
    </row>
    <row r="2813" spans="6:23" ht="18.75" customHeight="1">
      <c r="F2813" s="400">
        <v>1.898E-2</v>
      </c>
      <c r="G2813" s="252" t="s">
        <v>866</v>
      </c>
      <c r="H2813" s="296" t="s">
        <v>305</v>
      </c>
      <c r="I2813" s="252">
        <f>AC26</f>
        <v>111600</v>
      </c>
      <c r="J2813" s="253" t="s">
        <v>866</v>
      </c>
      <c r="K2813" s="252">
        <f>(F2813*I2813)</f>
        <v>2118.17</v>
      </c>
      <c r="Q2813" s="253" t="s">
        <v>1579</v>
      </c>
      <c r="W2813" s="253"/>
    </row>
    <row r="2814" spans="6:23" ht="18.75" customHeight="1">
      <c r="F2814" s="400">
        <f>K2808</f>
        <v>2.7099999999999999E-2</v>
      </c>
      <c r="G2814" s="252" t="s">
        <v>866</v>
      </c>
      <c r="H2814" s="296" t="s">
        <v>306</v>
      </c>
      <c r="I2814" s="252">
        <f>AC27</f>
        <v>99400</v>
      </c>
      <c r="J2814" s="253" t="s">
        <v>866</v>
      </c>
      <c r="K2814" s="252">
        <f t="shared" ref="K2814:K2824" si="273">(F2814*I2814)</f>
        <v>2693.74</v>
      </c>
      <c r="O2814" s="296" t="s">
        <v>422</v>
      </c>
      <c r="Q2814" s="253"/>
      <c r="W2814" s="253"/>
    </row>
    <row r="2815" spans="6:23" ht="18.75" customHeight="1">
      <c r="F2815" s="400">
        <f>L2778</f>
        <v>1.6420000000000001E-2</v>
      </c>
      <c r="G2815" s="252" t="s">
        <v>866</v>
      </c>
      <c r="H2815" s="296" t="s">
        <v>307</v>
      </c>
      <c r="I2815" s="252">
        <f>AC28</f>
        <v>95000</v>
      </c>
      <c r="J2815" s="253" t="s">
        <v>866</v>
      </c>
      <c r="K2815" s="252">
        <f t="shared" si="273"/>
        <v>1559.9</v>
      </c>
      <c r="O2815" s="296" t="s">
        <v>2198</v>
      </c>
      <c r="Q2815" s="253"/>
      <c r="R2815" s="400">
        <v>2.784E-2</v>
      </c>
      <c r="W2815" s="253"/>
    </row>
    <row r="2816" spans="6:23" ht="18.75" customHeight="1">
      <c r="F2816" s="316"/>
      <c r="H2816" s="296" t="s">
        <v>941</v>
      </c>
      <c r="J2816" s="253"/>
      <c r="Q2816" s="253" t="s">
        <v>971</v>
      </c>
      <c r="R2816" s="358" t="s">
        <v>1579</v>
      </c>
      <c r="W2816" s="253"/>
    </row>
    <row r="2817" spans="6:23" ht="18.75" customHeight="1">
      <c r="F2817" s="316">
        <v>1.8225</v>
      </c>
      <c r="G2817" s="252" t="s">
        <v>606</v>
      </c>
      <c r="H2817" s="296" t="s">
        <v>444</v>
      </c>
      <c r="I2817" s="252">
        <f>I954</f>
        <v>1537</v>
      </c>
      <c r="J2817" s="253" t="s">
        <v>606</v>
      </c>
      <c r="K2817" s="252">
        <f t="shared" si="273"/>
        <v>2801.18</v>
      </c>
      <c r="O2817" s="296" t="s">
        <v>2199</v>
      </c>
      <c r="Q2817" s="569" t="s">
        <v>971</v>
      </c>
      <c r="R2817" s="400">
        <v>2.5499999999999998E-2</v>
      </c>
      <c r="W2817" s="253"/>
    </row>
    <row r="2818" spans="6:23" ht="18.75" customHeight="1">
      <c r="F2818" s="252">
        <v>2</v>
      </c>
      <c r="G2818" s="252" t="s">
        <v>766</v>
      </c>
      <c r="H2818" s="296" t="s">
        <v>5460</v>
      </c>
      <c r="I2818" s="362">
        <v>254.5</v>
      </c>
      <c r="J2818" s="253" t="s">
        <v>865</v>
      </c>
      <c r="K2818" s="252">
        <f t="shared" si="273"/>
        <v>509</v>
      </c>
      <c r="O2818" s="296"/>
      <c r="Q2818" s="253" t="s">
        <v>971</v>
      </c>
      <c r="R2818" s="400"/>
      <c r="W2818" s="253"/>
    </row>
    <row r="2819" spans="6:23" ht="18.75" customHeight="1">
      <c r="F2819" s="252">
        <v>3</v>
      </c>
      <c r="G2819" s="252" t="s">
        <v>865</v>
      </c>
      <c r="H2819" s="296" t="s">
        <v>5461</v>
      </c>
      <c r="I2819" s="362">
        <v>214.1</v>
      </c>
      <c r="J2819" s="253" t="s">
        <v>865</v>
      </c>
      <c r="K2819" s="252">
        <f t="shared" si="273"/>
        <v>642.29999999999995</v>
      </c>
      <c r="Q2819" s="253"/>
      <c r="R2819" s="358" t="s">
        <v>1579</v>
      </c>
      <c r="W2819" s="253"/>
    </row>
    <row r="2820" spans="6:23" ht="18.75" customHeight="1">
      <c r="F2820" s="252">
        <v>2</v>
      </c>
      <c r="G2820" s="252" t="s">
        <v>865</v>
      </c>
      <c r="H2820" s="296" t="s">
        <v>5462</v>
      </c>
      <c r="I2820" s="362">
        <v>408</v>
      </c>
      <c r="J2820" s="253" t="s">
        <v>865</v>
      </c>
      <c r="K2820" s="252">
        <f t="shared" si="273"/>
        <v>816</v>
      </c>
      <c r="M2820" s="400">
        <v>1.898E-2</v>
      </c>
      <c r="N2820" s="252" t="s">
        <v>866</v>
      </c>
      <c r="O2820" s="296" t="s">
        <v>305</v>
      </c>
      <c r="P2820" s="252">
        <f>I2813</f>
        <v>111600</v>
      </c>
      <c r="Q2820" s="253" t="s">
        <v>866</v>
      </c>
      <c r="R2820" s="252">
        <f>(M2820*P2820)</f>
        <v>2118.17</v>
      </c>
      <c r="W2820" s="253"/>
    </row>
    <row r="2821" spans="6:23" ht="18.75" customHeight="1">
      <c r="F2821" s="252">
        <v>1</v>
      </c>
      <c r="G2821" s="252" t="s">
        <v>865</v>
      </c>
      <c r="H2821" s="296" t="s">
        <v>5463</v>
      </c>
      <c r="I2821" s="362">
        <v>836</v>
      </c>
      <c r="J2821" s="253" t="s">
        <v>865</v>
      </c>
      <c r="K2821" s="252">
        <f t="shared" si="273"/>
        <v>836</v>
      </c>
      <c r="M2821" s="400">
        <f>R2815</f>
        <v>2.784E-2</v>
      </c>
      <c r="N2821" s="252" t="s">
        <v>866</v>
      </c>
      <c r="O2821" s="296" t="s">
        <v>306</v>
      </c>
      <c r="P2821" s="252">
        <f t="shared" ref="P2821:P2830" si="274">I2814</f>
        <v>99400</v>
      </c>
      <c r="Q2821" s="253" t="s">
        <v>866</v>
      </c>
      <c r="R2821" s="252">
        <f t="shared" ref="R2821:R2830" si="275">(M2821*P2821)</f>
        <v>2767.3</v>
      </c>
      <c r="W2821" s="253"/>
    </row>
    <row r="2822" spans="6:23" ht="18.75" customHeight="1">
      <c r="F2822" s="252">
        <v>1</v>
      </c>
      <c r="G2822" s="252" t="s">
        <v>865</v>
      </c>
      <c r="H2822" s="296" t="s">
        <v>1460</v>
      </c>
      <c r="I2822" s="314">
        <v>7.3</v>
      </c>
      <c r="J2822" s="253" t="s">
        <v>865</v>
      </c>
      <c r="K2822" s="252">
        <f t="shared" si="273"/>
        <v>7.3</v>
      </c>
      <c r="M2822" s="400">
        <f>R2817</f>
        <v>2.5499999999999998E-2</v>
      </c>
      <c r="N2822" s="252" t="s">
        <v>866</v>
      </c>
      <c r="O2822" s="296" t="s">
        <v>307</v>
      </c>
      <c r="P2822" s="252">
        <f t="shared" si="274"/>
        <v>95000</v>
      </c>
      <c r="Q2822" s="253" t="s">
        <v>866</v>
      </c>
      <c r="R2822" s="252">
        <f t="shared" si="275"/>
        <v>2422.5</v>
      </c>
      <c r="W2822" s="253"/>
    </row>
    <row r="2823" spans="6:23" ht="18.75" customHeight="1">
      <c r="F2823" s="252">
        <v>1</v>
      </c>
      <c r="G2823" s="252" t="s">
        <v>865</v>
      </c>
      <c r="H2823" s="296" t="s">
        <v>5464</v>
      </c>
      <c r="I2823" s="362">
        <v>49.55</v>
      </c>
      <c r="J2823" s="253" t="s">
        <v>865</v>
      </c>
      <c r="K2823" s="252">
        <f t="shared" si="273"/>
        <v>49.55</v>
      </c>
      <c r="M2823" s="316"/>
      <c r="O2823" s="296" t="s">
        <v>2203</v>
      </c>
      <c r="Q2823" s="253"/>
      <c r="W2823" s="253"/>
    </row>
    <row r="2824" spans="6:23" ht="18.75" customHeight="1">
      <c r="F2824" s="252">
        <v>64</v>
      </c>
      <c r="H2824" s="252" t="s">
        <v>3653</v>
      </c>
      <c r="I2824" s="518">
        <f>P1121</f>
        <v>2.41</v>
      </c>
      <c r="J2824" s="253"/>
      <c r="K2824" s="252">
        <f t="shared" si="273"/>
        <v>154.24</v>
      </c>
      <c r="M2824" s="316">
        <v>2.2275</v>
      </c>
      <c r="N2824" s="252" t="s">
        <v>606</v>
      </c>
      <c r="O2824" s="296" t="s">
        <v>444</v>
      </c>
      <c r="P2824" s="252">
        <f t="shared" si="274"/>
        <v>1537</v>
      </c>
      <c r="Q2824" s="253" t="s">
        <v>606</v>
      </c>
      <c r="R2824" s="252">
        <f t="shared" si="275"/>
        <v>3423.67</v>
      </c>
      <c r="W2824" s="253"/>
    </row>
    <row r="2825" spans="6:23" ht="18.75" customHeight="1">
      <c r="H2825" s="296" t="s">
        <v>984</v>
      </c>
      <c r="J2825" s="253"/>
      <c r="K2825" s="252">
        <f>SUM(K2813:K2824)</f>
        <v>12187.38</v>
      </c>
      <c r="M2825" s="252">
        <v>1</v>
      </c>
      <c r="N2825" s="252" t="s">
        <v>766</v>
      </c>
      <c r="O2825" s="296" t="s">
        <v>1456</v>
      </c>
      <c r="P2825" s="252">
        <f t="shared" si="274"/>
        <v>254.5</v>
      </c>
      <c r="Q2825" s="253" t="s">
        <v>865</v>
      </c>
      <c r="R2825" s="252">
        <f t="shared" si="275"/>
        <v>254.5</v>
      </c>
      <c r="W2825" s="253"/>
    </row>
    <row r="2826" spans="6:23" ht="18.75" customHeight="1">
      <c r="J2826" s="253"/>
      <c r="K2826" s="358" t="s">
        <v>1579</v>
      </c>
      <c r="M2826" s="252">
        <v>3</v>
      </c>
      <c r="N2826" s="252" t="s">
        <v>865</v>
      </c>
      <c r="O2826" s="296" t="s">
        <v>1457</v>
      </c>
      <c r="P2826" s="252">
        <f t="shared" si="274"/>
        <v>214.1</v>
      </c>
      <c r="Q2826" s="253" t="s">
        <v>865</v>
      </c>
      <c r="R2826" s="252">
        <f t="shared" si="275"/>
        <v>642.29999999999995</v>
      </c>
      <c r="W2826" s="253"/>
    </row>
    <row r="2827" spans="6:23" ht="18.75" customHeight="1">
      <c r="H2827" s="296" t="s">
        <v>549</v>
      </c>
      <c r="J2827" s="253"/>
      <c r="K2827" s="274">
        <f>K2825/F2817</f>
        <v>6687.18</v>
      </c>
      <c r="M2827" s="252">
        <v>2</v>
      </c>
      <c r="N2827" s="252" t="s">
        <v>865</v>
      </c>
      <c r="O2827" s="296" t="s">
        <v>1458</v>
      </c>
      <c r="P2827" s="252">
        <f t="shared" si="274"/>
        <v>408</v>
      </c>
      <c r="Q2827" s="253" t="s">
        <v>865</v>
      </c>
      <c r="R2827" s="252">
        <f t="shared" si="275"/>
        <v>816</v>
      </c>
      <c r="W2827" s="253"/>
    </row>
    <row r="2828" spans="6:23" ht="18.75" customHeight="1">
      <c r="J2828" s="253"/>
      <c r="M2828" s="252">
        <v>1</v>
      </c>
      <c r="N2828" s="252" t="s">
        <v>865</v>
      </c>
      <c r="O2828" s="296" t="s">
        <v>1459</v>
      </c>
      <c r="P2828" s="252">
        <f t="shared" si="274"/>
        <v>836</v>
      </c>
      <c r="Q2828" s="253" t="s">
        <v>865</v>
      </c>
      <c r="R2828" s="252">
        <f t="shared" si="275"/>
        <v>836</v>
      </c>
      <c r="W2828" s="253"/>
    </row>
    <row r="2829" spans="6:23" ht="18.75" customHeight="1">
      <c r="F2829" s="253" t="s">
        <v>561</v>
      </c>
      <c r="G2829" s="252" t="s">
        <v>2241</v>
      </c>
      <c r="H2829" s="296" t="s">
        <v>1760</v>
      </c>
      <c r="J2829" s="253"/>
      <c r="M2829" s="252">
        <v>1</v>
      </c>
      <c r="N2829" s="252" t="s">
        <v>865</v>
      </c>
      <c r="O2829" s="296" t="s">
        <v>1460</v>
      </c>
      <c r="P2829" s="252">
        <f t="shared" si="274"/>
        <v>7.3</v>
      </c>
      <c r="Q2829" s="253" t="s">
        <v>865</v>
      </c>
      <c r="R2829" s="252">
        <f t="shared" si="275"/>
        <v>7.3</v>
      </c>
      <c r="W2829" s="253"/>
    </row>
    <row r="2830" spans="6:23" ht="18.75" customHeight="1">
      <c r="H2830" s="296" t="s">
        <v>253</v>
      </c>
      <c r="J2830" s="253"/>
      <c r="M2830" s="252">
        <v>1</v>
      </c>
      <c r="N2830" s="252" t="s">
        <v>865</v>
      </c>
      <c r="O2830" s="296" t="s">
        <v>1973</v>
      </c>
      <c r="P2830" s="252">
        <f t="shared" si="274"/>
        <v>49.55</v>
      </c>
      <c r="Q2830" s="253" t="s">
        <v>865</v>
      </c>
      <c r="R2830" s="252">
        <f t="shared" si="275"/>
        <v>49.55</v>
      </c>
      <c r="W2830" s="253"/>
    </row>
    <row r="2831" spans="6:23" ht="18.75" customHeight="1">
      <c r="H2831" s="296" t="s">
        <v>1463</v>
      </c>
      <c r="J2831" s="253">
        <f>1.1*2.025</f>
        <v>2.23</v>
      </c>
      <c r="M2831" s="252">
        <v>58</v>
      </c>
      <c r="N2831" s="252" t="s">
        <v>865</v>
      </c>
      <c r="O2831" s="252" t="s">
        <v>1734</v>
      </c>
      <c r="P2831" s="252">
        <f>P1121</f>
        <v>2.41</v>
      </c>
      <c r="Q2831" s="253" t="s">
        <v>865</v>
      </c>
      <c r="R2831" s="252">
        <f>(M2831*P2831)</f>
        <v>139.78</v>
      </c>
      <c r="W2831" s="253"/>
    </row>
    <row r="2832" spans="6:23" ht="18.75" customHeight="1">
      <c r="H2832" s="358" t="s">
        <v>1579</v>
      </c>
      <c r="J2832" s="253"/>
      <c r="O2832" s="296" t="s">
        <v>3385</v>
      </c>
      <c r="Q2832" s="253"/>
      <c r="R2832" s="252">
        <f>SUM(R2820:R2831)</f>
        <v>13477.07</v>
      </c>
      <c r="W2832" s="253"/>
    </row>
    <row r="2833" spans="6:23" ht="18.75" customHeight="1">
      <c r="H2833" s="296" t="s">
        <v>89</v>
      </c>
      <c r="J2833" s="253"/>
      <c r="Q2833" s="253"/>
      <c r="R2833" s="358" t="s">
        <v>1579</v>
      </c>
      <c r="W2833" s="253"/>
    </row>
    <row r="2834" spans="6:23" ht="18.75" customHeight="1">
      <c r="F2834" s="356">
        <v>1.823</v>
      </c>
      <c r="G2834" s="252" t="s">
        <v>606</v>
      </c>
      <c r="H2834" s="389" t="s">
        <v>5465</v>
      </c>
      <c r="I2834" s="537">
        <v>2180</v>
      </c>
      <c r="J2834" s="253" t="s">
        <v>606</v>
      </c>
      <c r="K2834" s="252">
        <f>F2835*I2834</f>
        <v>3974.14</v>
      </c>
      <c r="O2834" s="296" t="s">
        <v>549</v>
      </c>
      <c r="Q2834" s="253"/>
      <c r="R2834" s="252">
        <f>R2832/M2824</f>
        <v>6050.31</v>
      </c>
      <c r="W2834" s="253"/>
    </row>
    <row r="2835" spans="6:23" ht="18.75" customHeight="1">
      <c r="F2835" s="356">
        <v>1.823</v>
      </c>
      <c r="G2835" s="252" t="s">
        <v>606</v>
      </c>
      <c r="H2835" s="544" t="s">
        <v>4915</v>
      </c>
      <c r="I2835" s="252">
        <f>AE52</f>
        <v>214.1</v>
      </c>
      <c r="J2835" s="253" t="s">
        <v>606</v>
      </c>
      <c r="K2835" s="252">
        <f t="shared" ref="K2835:K2841" si="276">(F2835*I2835)</f>
        <v>390.3</v>
      </c>
      <c r="W2835" s="253"/>
    </row>
    <row r="2836" spans="6:23" ht="18.75" customHeight="1">
      <c r="F2836" s="252">
        <v>2</v>
      </c>
      <c r="G2836" s="252" t="s">
        <v>766</v>
      </c>
      <c r="H2836" s="296" t="s">
        <v>1456</v>
      </c>
      <c r="I2836" s="252">
        <f t="shared" ref="I2836:I2841" si="277">I990</f>
        <v>57.65</v>
      </c>
      <c r="J2836" s="253" t="s">
        <v>865</v>
      </c>
      <c r="K2836" s="252">
        <f t="shared" si="276"/>
        <v>115.3</v>
      </c>
      <c r="W2836" s="253"/>
    </row>
    <row r="2837" spans="6:23" ht="18.75" customHeight="1">
      <c r="F2837" s="252">
        <v>3</v>
      </c>
      <c r="G2837" s="252" t="s">
        <v>865</v>
      </c>
      <c r="H2837" s="296" t="s">
        <v>1457</v>
      </c>
      <c r="I2837" s="252">
        <f t="shared" si="277"/>
        <v>89.6</v>
      </c>
      <c r="J2837" s="253" t="s">
        <v>865</v>
      </c>
      <c r="K2837" s="252">
        <f t="shared" si="276"/>
        <v>268.8</v>
      </c>
      <c r="W2837" s="253"/>
    </row>
    <row r="2838" spans="6:23" ht="18.75" customHeight="1">
      <c r="F2838" s="252">
        <v>2</v>
      </c>
      <c r="G2838" s="252" t="s">
        <v>865</v>
      </c>
      <c r="H2838" s="296" t="s">
        <v>1458</v>
      </c>
      <c r="I2838" s="252">
        <f t="shared" si="277"/>
        <v>64.8</v>
      </c>
      <c r="J2838" s="253" t="s">
        <v>865</v>
      </c>
      <c r="K2838" s="252">
        <f t="shared" si="276"/>
        <v>129.6</v>
      </c>
      <c r="W2838" s="253"/>
    </row>
    <row r="2839" spans="6:23" ht="18.75" customHeight="1">
      <c r="F2839" s="252">
        <v>1</v>
      </c>
      <c r="G2839" s="252" t="s">
        <v>865</v>
      </c>
      <c r="H2839" s="296" t="s">
        <v>1459</v>
      </c>
      <c r="I2839" s="252">
        <f t="shared" si="277"/>
        <v>181</v>
      </c>
      <c r="J2839" s="253" t="s">
        <v>865</v>
      </c>
      <c r="K2839" s="252">
        <f t="shared" si="276"/>
        <v>181</v>
      </c>
      <c r="W2839" s="253"/>
    </row>
    <row r="2840" spans="6:23" ht="18.75" customHeight="1">
      <c r="F2840" s="252">
        <v>1</v>
      </c>
      <c r="G2840" s="252" t="s">
        <v>865</v>
      </c>
      <c r="H2840" s="296" t="s">
        <v>1460</v>
      </c>
      <c r="I2840" s="252">
        <f t="shared" si="277"/>
        <v>7.3</v>
      </c>
      <c r="J2840" s="253" t="s">
        <v>865</v>
      </c>
      <c r="K2840" s="252">
        <f t="shared" si="276"/>
        <v>7.3</v>
      </c>
      <c r="M2840" s="253" t="s">
        <v>561</v>
      </c>
      <c r="N2840" s="252" t="s">
        <v>2241</v>
      </c>
      <c r="O2840" s="296" t="s">
        <v>252</v>
      </c>
      <c r="Q2840" s="253"/>
      <c r="W2840" s="253"/>
    </row>
    <row r="2841" spans="6:23" ht="18.75" customHeight="1">
      <c r="F2841" s="252">
        <v>1</v>
      </c>
      <c r="G2841" s="252" t="s">
        <v>865</v>
      </c>
      <c r="H2841" s="296" t="s">
        <v>1973</v>
      </c>
      <c r="I2841" s="252">
        <f t="shared" si="277"/>
        <v>49.55</v>
      </c>
      <c r="J2841" s="253" t="s">
        <v>865</v>
      </c>
      <c r="K2841" s="252">
        <f t="shared" si="276"/>
        <v>49.55</v>
      </c>
      <c r="O2841" s="296" t="s">
        <v>253</v>
      </c>
      <c r="P2841" s="274" t="s">
        <v>3387</v>
      </c>
      <c r="Q2841" s="253"/>
      <c r="W2841" s="253"/>
    </row>
    <row r="2842" spans="6:23" ht="18.75" customHeight="1">
      <c r="J2842" s="253"/>
      <c r="K2842" s="407">
        <v>0.85</v>
      </c>
      <c r="O2842" s="296" t="s">
        <v>705</v>
      </c>
      <c r="P2842" s="274" t="s">
        <v>3386</v>
      </c>
      <c r="Q2842" s="253"/>
      <c r="W2842" s="253"/>
    </row>
    <row r="2843" spans="6:23" ht="18.75" customHeight="1">
      <c r="H2843" s="296" t="s">
        <v>1216</v>
      </c>
      <c r="J2843" s="253"/>
      <c r="K2843" s="252">
        <f>SUM(K2834:K2842)</f>
        <v>5116.84</v>
      </c>
      <c r="O2843" s="358" t="s">
        <v>1579</v>
      </c>
      <c r="Q2843" s="253"/>
      <c r="W2843" s="253"/>
    </row>
    <row r="2844" spans="6:23" ht="18.75" customHeight="1">
      <c r="J2844" s="253"/>
      <c r="K2844" s="358" t="s">
        <v>1579</v>
      </c>
      <c r="O2844" s="296" t="s">
        <v>3382</v>
      </c>
      <c r="Q2844" s="253"/>
      <c r="W2844" s="253"/>
    </row>
    <row r="2845" spans="6:23" ht="18.75" customHeight="1">
      <c r="H2845" s="296" t="s">
        <v>549</v>
      </c>
      <c r="J2845" s="253"/>
      <c r="K2845" s="252">
        <f>K2843/F2835</f>
        <v>2806.82</v>
      </c>
      <c r="O2845" s="296" t="s">
        <v>3157</v>
      </c>
      <c r="Q2845" s="253"/>
      <c r="W2845" s="253"/>
    </row>
    <row r="2846" spans="6:23" ht="18.75" customHeight="1">
      <c r="F2846" s="296" t="s">
        <v>971</v>
      </c>
      <c r="J2846" s="253"/>
      <c r="Q2846" s="253" t="s">
        <v>1579</v>
      </c>
      <c r="W2846" s="253"/>
    </row>
    <row r="2847" spans="6:23" ht="18.75" customHeight="1">
      <c r="J2847" s="253"/>
      <c r="O2847" s="296" t="s">
        <v>2377</v>
      </c>
      <c r="Q2847" s="253"/>
      <c r="W2847" s="253"/>
    </row>
    <row r="2848" spans="6:23" ht="18.75" customHeight="1">
      <c r="F2848" s="375" t="s">
        <v>877</v>
      </c>
      <c r="H2848" s="296" t="s">
        <v>562</v>
      </c>
      <c r="O2848" s="296" t="s">
        <v>2378</v>
      </c>
      <c r="Q2848" s="253"/>
      <c r="R2848" s="400">
        <v>2.8910000000000002E-2</v>
      </c>
      <c r="W2848" s="253"/>
    </row>
    <row r="2849" spans="6:23" ht="18.75" customHeight="1">
      <c r="H2849" s="358" t="s">
        <v>1579</v>
      </c>
      <c r="I2849" s="358" t="s">
        <v>1579</v>
      </c>
      <c r="J2849" s="296" t="s">
        <v>1579</v>
      </c>
      <c r="Q2849" s="253" t="s">
        <v>971</v>
      </c>
      <c r="R2849" s="358" t="s">
        <v>1579</v>
      </c>
      <c r="W2849" s="253"/>
    </row>
    <row r="2850" spans="6:23" ht="18.75" customHeight="1">
      <c r="O2850" s="296" t="s">
        <v>2379</v>
      </c>
      <c r="Q2850" s="569" t="s">
        <v>971</v>
      </c>
      <c r="R2850" s="400"/>
      <c r="W2850" s="253"/>
    </row>
    <row r="2851" spans="6:23" ht="18.75" customHeight="1">
      <c r="H2851" s="296" t="s">
        <v>1991</v>
      </c>
      <c r="O2851" s="296" t="s">
        <v>3383</v>
      </c>
      <c r="Q2851" s="253" t="s">
        <v>971</v>
      </c>
      <c r="R2851" s="400">
        <v>1.7999999999999999E-2</v>
      </c>
      <c r="W2851" s="253"/>
    </row>
    <row r="2852" spans="6:23" ht="18.75" customHeight="1">
      <c r="H2852" s="296"/>
      <c r="Q2852" s="253"/>
      <c r="R2852" s="358" t="s">
        <v>1579</v>
      </c>
      <c r="W2852" s="253"/>
    </row>
    <row r="2853" spans="6:23" ht="18.75" customHeight="1">
      <c r="H2853" s="443" t="s">
        <v>1992</v>
      </c>
      <c r="K2853" s="316"/>
      <c r="M2853" s="400">
        <v>1.9220000000000001E-2</v>
      </c>
      <c r="N2853" s="252" t="s">
        <v>866</v>
      </c>
      <c r="O2853" s="296" t="s">
        <v>305</v>
      </c>
      <c r="P2853" s="252">
        <f>P2820</f>
        <v>111600</v>
      </c>
      <c r="Q2853" s="253" t="s">
        <v>866</v>
      </c>
      <c r="R2853" s="252">
        <f>(M2853*P2853)</f>
        <v>2144.9499999999998</v>
      </c>
      <c r="W2853" s="253"/>
    </row>
    <row r="2854" spans="6:23" ht="18.75" customHeight="1">
      <c r="H2854" s="296" t="s">
        <v>451</v>
      </c>
      <c r="I2854" s="400">
        <f>0.0118+0.00675</f>
        <v>1.8550000000000001E-2</v>
      </c>
      <c r="M2854" s="400">
        <f>R2848</f>
        <v>2.8910000000000002E-2</v>
      </c>
      <c r="N2854" s="252" t="s">
        <v>866</v>
      </c>
      <c r="O2854" s="296" t="s">
        <v>306</v>
      </c>
      <c r="P2854" s="252">
        <f t="shared" ref="P2854:P2863" si="278">P2821</f>
        <v>99400</v>
      </c>
      <c r="Q2854" s="253" t="s">
        <v>866</v>
      </c>
      <c r="R2854" s="252">
        <f>(M2854*P2854)</f>
        <v>2873.65</v>
      </c>
      <c r="W2854" s="253"/>
    </row>
    <row r="2855" spans="6:23" ht="18.75" customHeight="1">
      <c r="H2855" s="296" t="s">
        <v>452</v>
      </c>
      <c r="M2855" s="400">
        <f>R2851</f>
        <v>1.7999999999999999E-2</v>
      </c>
      <c r="N2855" s="252" t="s">
        <v>866</v>
      </c>
      <c r="O2855" s="296" t="s">
        <v>307</v>
      </c>
      <c r="P2855" s="252">
        <f t="shared" si="278"/>
        <v>95000</v>
      </c>
      <c r="Q2855" s="253" t="s">
        <v>866</v>
      </c>
      <c r="R2855" s="252">
        <f>(M2855*P2855)</f>
        <v>1710</v>
      </c>
      <c r="W2855" s="253"/>
    </row>
    <row r="2856" spans="6:23" ht="18.75" customHeight="1">
      <c r="H2856" s="296" t="s">
        <v>453</v>
      </c>
      <c r="M2856" s="316"/>
      <c r="O2856" s="296" t="s">
        <v>2203</v>
      </c>
      <c r="Q2856" s="253"/>
      <c r="W2856" s="253"/>
    </row>
    <row r="2857" spans="6:23" ht="18.75" customHeight="1">
      <c r="H2857" s="296" t="s">
        <v>878</v>
      </c>
      <c r="J2857" s="296" t="s">
        <v>971</v>
      </c>
      <c r="K2857" s="400">
        <v>3.7699999999999997E-2</v>
      </c>
      <c r="M2857" s="316">
        <v>2.2549999999999999</v>
      </c>
      <c r="N2857" s="252" t="s">
        <v>606</v>
      </c>
      <c r="O2857" s="296" t="s">
        <v>444</v>
      </c>
      <c r="P2857" s="252">
        <f t="shared" si="278"/>
        <v>1537</v>
      </c>
      <c r="Q2857" s="253" t="s">
        <v>606</v>
      </c>
      <c r="R2857" s="252">
        <f t="shared" ref="R2857:R2863" si="279">(M2857*P2857)</f>
        <v>3465.94</v>
      </c>
      <c r="W2857" s="253"/>
    </row>
    <row r="2858" spans="6:23" ht="18.75" customHeight="1">
      <c r="H2858" s="296" t="s">
        <v>167</v>
      </c>
      <c r="J2858" s="443" t="s">
        <v>971</v>
      </c>
      <c r="K2858" s="443" t="s">
        <v>971</v>
      </c>
      <c r="M2858" s="252">
        <v>1</v>
      </c>
      <c r="N2858" s="252" t="s">
        <v>766</v>
      </c>
      <c r="O2858" s="296" t="s">
        <v>1456</v>
      </c>
      <c r="P2858" s="252">
        <f t="shared" si="278"/>
        <v>254.5</v>
      </c>
      <c r="Q2858" s="253" t="s">
        <v>865</v>
      </c>
      <c r="R2858" s="252">
        <f t="shared" si="279"/>
        <v>254.5</v>
      </c>
      <c r="W2858" s="253"/>
    </row>
    <row r="2859" spans="6:23" ht="18.75" customHeight="1">
      <c r="H2859" s="296" t="s">
        <v>1822</v>
      </c>
      <c r="K2859" s="443" t="s">
        <v>971</v>
      </c>
      <c r="M2859" s="252">
        <v>3</v>
      </c>
      <c r="N2859" s="252" t="s">
        <v>865</v>
      </c>
      <c r="O2859" s="296" t="s">
        <v>1457</v>
      </c>
      <c r="P2859" s="252">
        <f t="shared" si="278"/>
        <v>214.1</v>
      </c>
      <c r="Q2859" s="253" t="s">
        <v>865</v>
      </c>
      <c r="R2859" s="252">
        <f t="shared" si="279"/>
        <v>642.29999999999995</v>
      </c>
      <c r="W2859" s="253"/>
    </row>
    <row r="2860" spans="6:23" ht="18.75" customHeight="1">
      <c r="H2860" s="296"/>
      <c r="K2860" s="443"/>
      <c r="M2860" s="252">
        <v>2</v>
      </c>
      <c r="N2860" s="252" t="s">
        <v>865</v>
      </c>
      <c r="O2860" s="296" t="s">
        <v>1458</v>
      </c>
      <c r="P2860" s="252">
        <f t="shared" si="278"/>
        <v>408</v>
      </c>
      <c r="Q2860" s="253" t="s">
        <v>865</v>
      </c>
      <c r="R2860" s="252">
        <f t="shared" si="279"/>
        <v>816</v>
      </c>
      <c r="W2860" s="253"/>
    </row>
    <row r="2861" spans="6:23" ht="18.75" customHeight="1">
      <c r="H2861" s="296"/>
      <c r="K2861" s="443"/>
      <c r="M2861" s="252">
        <v>1</v>
      </c>
      <c r="N2861" s="252" t="s">
        <v>865</v>
      </c>
      <c r="O2861" s="296" t="s">
        <v>1459</v>
      </c>
      <c r="P2861" s="252">
        <f t="shared" si="278"/>
        <v>836</v>
      </c>
      <c r="Q2861" s="253" t="s">
        <v>865</v>
      </c>
      <c r="R2861" s="252">
        <f t="shared" si="279"/>
        <v>836</v>
      </c>
      <c r="W2861" s="253"/>
    </row>
    <row r="2862" spans="6:23" ht="18.75" customHeight="1">
      <c r="M2862" s="252">
        <v>1</v>
      </c>
      <c r="N2862" s="252" t="s">
        <v>865</v>
      </c>
      <c r="O2862" s="296" t="s">
        <v>1460</v>
      </c>
      <c r="P2862" s="252">
        <f t="shared" si="278"/>
        <v>7.3</v>
      </c>
      <c r="Q2862" s="253" t="s">
        <v>865</v>
      </c>
      <c r="R2862" s="252">
        <f t="shared" si="279"/>
        <v>7.3</v>
      </c>
      <c r="W2862" s="253"/>
    </row>
    <row r="2863" spans="6:23" ht="18.75" customHeight="1">
      <c r="F2863" s="447">
        <v>1.18E-2</v>
      </c>
      <c r="G2863" s="252" t="s">
        <v>866</v>
      </c>
      <c r="H2863" s="296" t="s">
        <v>689</v>
      </c>
      <c r="I2863" s="252">
        <f>I2813</f>
        <v>111600</v>
      </c>
      <c r="J2863" s="296" t="s">
        <v>866</v>
      </c>
      <c r="K2863" s="252">
        <f t="shared" ref="K2863:K2872" si="280">(F2863*I2863)</f>
        <v>1316.88</v>
      </c>
      <c r="M2863" s="252">
        <v>1</v>
      </c>
      <c r="N2863" s="252" t="s">
        <v>865</v>
      </c>
      <c r="O2863" s="296" t="s">
        <v>1973</v>
      </c>
      <c r="P2863" s="252">
        <f t="shared" si="278"/>
        <v>49.55</v>
      </c>
      <c r="Q2863" s="253" t="s">
        <v>865</v>
      </c>
      <c r="R2863" s="252">
        <f t="shared" si="279"/>
        <v>49.55</v>
      </c>
      <c r="W2863" s="253"/>
    </row>
    <row r="2864" spans="6:23" ht="18.75" customHeight="1">
      <c r="F2864" s="400">
        <v>6.7499999999999999E-3</v>
      </c>
      <c r="G2864" s="252" t="s">
        <v>866</v>
      </c>
      <c r="H2864" s="296" t="s">
        <v>690</v>
      </c>
      <c r="I2864" s="252">
        <f>I2814</f>
        <v>99400</v>
      </c>
      <c r="J2864" s="296" t="s">
        <v>866</v>
      </c>
      <c r="K2864" s="252">
        <f t="shared" si="280"/>
        <v>670.95</v>
      </c>
      <c r="M2864" s="252">
        <v>58</v>
      </c>
      <c r="N2864" s="252" t="s">
        <v>865</v>
      </c>
      <c r="O2864" s="252" t="s">
        <v>1734</v>
      </c>
      <c r="P2864" s="252">
        <f>P2831</f>
        <v>2.41</v>
      </c>
      <c r="Q2864" s="253" t="s">
        <v>865</v>
      </c>
      <c r="R2864" s="252">
        <f>(M2864*P2864)</f>
        <v>139.78</v>
      </c>
      <c r="W2864" s="253"/>
    </row>
    <row r="2865" spans="6:23" ht="18.75" customHeight="1">
      <c r="F2865" s="400">
        <v>1.8550000000000001E-2</v>
      </c>
      <c r="G2865" s="252" t="s">
        <v>866</v>
      </c>
      <c r="H2865" s="296" t="s">
        <v>883</v>
      </c>
      <c r="I2865" s="252">
        <f>C30</f>
        <v>13690</v>
      </c>
      <c r="J2865" s="296" t="s">
        <v>866</v>
      </c>
      <c r="K2865" s="252">
        <f t="shared" si="280"/>
        <v>253.95</v>
      </c>
      <c r="O2865" s="296" t="s">
        <v>3384</v>
      </c>
      <c r="Q2865" s="253"/>
      <c r="R2865" s="252">
        <f>SUM(R2853:R2864)+21.502</f>
        <v>12961.47</v>
      </c>
      <c r="W2865" s="253"/>
    </row>
    <row r="2866" spans="6:23" ht="18.75" customHeight="1">
      <c r="F2866" s="400">
        <v>2.0499999999999998</v>
      </c>
      <c r="G2866" s="252" t="s">
        <v>606</v>
      </c>
      <c r="H2866" s="296" t="s">
        <v>1619</v>
      </c>
      <c r="I2866" s="362">
        <v>840</v>
      </c>
      <c r="J2866" s="296" t="s">
        <v>606</v>
      </c>
      <c r="K2866" s="252">
        <f t="shared" si="280"/>
        <v>1722</v>
      </c>
      <c r="Q2866" s="253"/>
      <c r="R2866" s="358" t="s">
        <v>1579</v>
      </c>
      <c r="W2866" s="253"/>
    </row>
    <row r="2867" spans="6:23" ht="18.75" customHeight="1">
      <c r="F2867" s="400">
        <v>2.0499999999999998</v>
      </c>
      <c r="G2867" s="252" t="s">
        <v>606</v>
      </c>
      <c r="H2867" s="574" t="s">
        <v>4916</v>
      </c>
      <c r="I2867" s="252">
        <f>AE53</f>
        <v>330.2</v>
      </c>
      <c r="J2867" s="296" t="s">
        <v>606</v>
      </c>
      <c r="K2867" s="252">
        <f t="shared" si="280"/>
        <v>676.91</v>
      </c>
      <c r="O2867" s="296" t="s">
        <v>549</v>
      </c>
      <c r="Q2867" s="253"/>
      <c r="R2867" s="252">
        <f>R2865/M2857</f>
        <v>5747.88</v>
      </c>
      <c r="W2867" s="253"/>
    </row>
    <row r="2868" spans="6:23" ht="18.75" customHeight="1">
      <c r="F2868" s="252">
        <v>2</v>
      </c>
      <c r="G2868" s="252" t="s">
        <v>865</v>
      </c>
      <c r="H2868" s="296" t="s">
        <v>1384</v>
      </c>
      <c r="I2868" s="252">
        <f>E285</f>
        <v>57</v>
      </c>
      <c r="J2868" s="296" t="s">
        <v>865</v>
      </c>
      <c r="K2868" s="252">
        <f t="shared" si="280"/>
        <v>114</v>
      </c>
      <c r="W2868" s="253"/>
    </row>
    <row r="2869" spans="6:23" ht="18.75" customHeight="1">
      <c r="F2869" s="252">
        <v>8</v>
      </c>
      <c r="G2869" s="252" t="s">
        <v>865</v>
      </c>
      <c r="H2869" s="296" t="s">
        <v>1338</v>
      </c>
      <c r="I2869" s="252">
        <f>C282</f>
        <v>49.35</v>
      </c>
      <c r="J2869" s="296" t="s">
        <v>865</v>
      </c>
      <c r="K2869" s="252">
        <f t="shared" si="280"/>
        <v>394.8</v>
      </c>
      <c r="W2869" s="253"/>
    </row>
    <row r="2870" spans="6:23" ht="18.75" customHeight="1">
      <c r="F2870" s="252">
        <v>2</v>
      </c>
      <c r="G2870" s="252" t="s">
        <v>865</v>
      </c>
      <c r="H2870" s="296" t="s">
        <v>1385</v>
      </c>
      <c r="I2870" s="252">
        <f>I1134</f>
        <v>60.9</v>
      </c>
      <c r="J2870" s="296" t="s">
        <v>865</v>
      </c>
      <c r="K2870" s="252">
        <f t="shared" si="280"/>
        <v>121.8</v>
      </c>
      <c r="W2870" s="253"/>
    </row>
    <row r="2871" spans="6:23" ht="18.75" customHeight="1">
      <c r="F2871" s="252">
        <v>1</v>
      </c>
      <c r="G2871" s="252" t="s">
        <v>865</v>
      </c>
      <c r="H2871" s="296" t="s">
        <v>4255</v>
      </c>
      <c r="I2871" s="368">
        <f>I1135</f>
        <v>63.2</v>
      </c>
      <c r="J2871" s="296" t="s">
        <v>865</v>
      </c>
      <c r="K2871" s="252">
        <f t="shared" si="280"/>
        <v>63.2</v>
      </c>
      <c r="W2871" s="253"/>
    </row>
    <row r="2872" spans="6:23" ht="18.75" customHeight="1">
      <c r="F2872" s="356">
        <v>0.94499999999999995</v>
      </c>
      <c r="G2872" s="252" t="s">
        <v>606</v>
      </c>
      <c r="H2872" s="296" t="s">
        <v>1705</v>
      </c>
      <c r="I2872" s="252">
        <f>K1167</f>
        <v>194.22</v>
      </c>
      <c r="J2872" s="296" t="s">
        <v>606</v>
      </c>
      <c r="K2872" s="252">
        <f t="shared" si="280"/>
        <v>183.54</v>
      </c>
      <c r="W2872" s="253"/>
    </row>
    <row r="2873" spans="6:23" ht="18.75" customHeight="1">
      <c r="H2873" s="296" t="s">
        <v>1409</v>
      </c>
      <c r="I2873" s="253" t="s">
        <v>446</v>
      </c>
      <c r="K2873" s="252">
        <v>0.6</v>
      </c>
      <c r="W2873" s="253"/>
    </row>
    <row r="2874" spans="6:23" ht="18.75" customHeight="1">
      <c r="H2874" s="274"/>
      <c r="I2874" s="274"/>
      <c r="J2874" s="276"/>
      <c r="K2874" s="388" t="s">
        <v>1579</v>
      </c>
      <c r="W2874" s="253"/>
    </row>
    <row r="2875" spans="6:23" ht="18.75" customHeight="1">
      <c r="H2875" s="255" t="s">
        <v>1410</v>
      </c>
      <c r="I2875" s="274"/>
      <c r="J2875" s="276"/>
      <c r="K2875" s="274">
        <f>SUM(K2863:K2873)</f>
        <v>5518.63</v>
      </c>
      <c r="W2875" s="253"/>
    </row>
    <row r="2876" spans="6:23" ht="18.75" customHeight="1">
      <c r="G2876" s="252" t="s">
        <v>971</v>
      </c>
      <c r="H2876" s="274"/>
      <c r="I2876" s="274"/>
      <c r="J2876" s="276"/>
      <c r="K2876" s="388" t="s">
        <v>1579</v>
      </c>
      <c r="W2876" s="253"/>
    </row>
    <row r="2877" spans="6:23" ht="18.75" customHeight="1">
      <c r="H2877" s="255" t="s">
        <v>549</v>
      </c>
      <c r="I2877" s="274"/>
      <c r="J2877" s="276"/>
      <c r="K2877" s="274">
        <f>K2875/2.52</f>
        <v>2189.9299999999998</v>
      </c>
      <c r="W2877" s="253"/>
    </row>
    <row r="2878" spans="6:23" ht="18.75" customHeight="1">
      <c r="H2878" s="274"/>
      <c r="I2878" s="274"/>
      <c r="J2878" s="276"/>
      <c r="K2878" s="388" t="s">
        <v>2046</v>
      </c>
      <c r="W2878" s="253"/>
    </row>
    <row r="2879" spans="6:23" ht="18.75" customHeight="1">
      <c r="J2879" s="253"/>
      <c r="W2879" s="253"/>
    </row>
    <row r="2880" spans="6:23" ht="18.75" customHeight="1">
      <c r="H2880" s="252" t="s">
        <v>1620</v>
      </c>
      <c r="J2880" s="253"/>
      <c r="W2880" s="253"/>
    </row>
    <row r="2881" spans="6:23" ht="18.75" customHeight="1">
      <c r="H2881" s="252" t="s">
        <v>1324</v>
      </c>
      <c r="J2881" s="253"/>
      <c r="W2881" s="253"/>
    </row>
    <row r="2882" spans="6:23" ht="18.75" customHeight="1">
      <c r="J2882" s="253"/>
      <c r="W2882" s="253"/>
    </row>
    <row r="2883" spans="6:23" ht="18.75" customHeight="1">
      <c r="F2883" s="252">
        <v>2</v>
      </c>
      <c r="G2883" s="252" t="s">
        <v>823</v>
      </c>
      <c r="H2883" s="252" t="s">
        <v>4917</v>
      </c>
      <c r="I2883" s="314">
        <v>96.6</v>
      </c>
      <c r="J2883" s="253" t="s">
        <v>823</v>
      </c>
      <c r="K2883" s="252">
        <f>F2883*I2883</f>
        <v>193.2</v>
      </c>
      <c r="W2883" s="253"/>
    </row>
    <row r="2884" spans="6:23" ht="18.75" customHeight="1">
      <c r="F2884" s="252">
        <v>1</v>
      </c>
      <c r="G2884" s="252" t="s">
        <v>557</v>
      </c>
      <c r="H2884" s="252" t="s">
        <v>1325</v>
      </c>
      <c r="I2884" s="252">
        <f>C625</f>
        <v>34.299999999999997</v>
      </c>
      <c r="J2884" s="253" t="s">
        <v>1393</v>
      </c>
      <c r="K2884" s="252">
        <f>F2884*I2884</f>
        <v>34.299999999999997</v>
      </c>
      <c r="W2884" s="253"/>
    </row>
    <row r="2885" spans="6:23" ht="18.75" customHeight="1">
      <c r="H2885" s="252" t="s">
        <v>1341</v>
      </c>
      <c r="J2885" s="253" t="s">
        <v>446</v>
      </c>
      <c r="K2885" s="252">
        <v>1.4</v>
      </c>
      <c r="W2885" s="253"/>
    </row>
    <row r="2886" spans="6:23" ht="18.75" customHeight="1">
      <c r="H2886" s="407" t="s">
        <v>1342</v>
      </c>
      <c r="J2886" s="253"/>
      <c r="K2886" s="252">
        <f>SUM(K2883:K2885)</f>
        <v>228.9</v>
      </c>
      <c r="W2886" s="253"/>
    </row>
    <row r="2887" spans="6:23" ht="18.75" customHeight="1">
      <c r="J2887" s="253"/>
      <c r="W2887" s="253"/>
    </row>
    <row r="2888" spans="6:23" ht="18.75" customHeight="1">
      <c r="H2888" s="360" t="s">
        <v>1701</v>
      </c>
      <c r="I2888" s="274"/>
      <c r="J2888" s="255"/>
      <c r="K2888" s="274">
        <f>K2886/2</f>
        <v>114.45</v>
      </c>
      <c r="W2888" s="253"/>
    </row>
    <row r="2889" spans="6:23" ht="18.75" customHeight="1">
      <c r="J2889" s="253"/>
      <c r="W2889" s="253"/>
    </row>
    <row r="2890" spans="6:23" ht="18.75" customHeight="1">
      <c r="J2890" s="253"/>
      <c r="W2890" s="253"/>
    </row>
    <row r="2891" spans="6:23" ht="18.75" customHeight="1">
      <c r="J2891" s="253"/>
      <c r="W2891" s="253"/>
    </row>
    <row r="2892" spans="6:23" ht="18.75" customHeight="1">
      <c r="J2892" s="253"/>
      <c r="W2892" s="253"/>
    </row>
    <row r="2893" spans="6:23" ht="18.75" customHeight="1">
      <c r="H2893" s="538" t="s">
        <v>1150</v>
      </c>
      <c r="J2893" s="253"/>
      <c r="W2893" s="253"/>
    </row>
    <row r="2894" spans="6:23" ht="18.75" customHeight="1">
      <c r="F2894" s="253"/>
      <c r="G2894" s="252" t="s">
        <v>2241</v>
      </c>
      <c r="H2894" s="296" t="s">
        <v>1658</v>
      </c>
      <c r="J2894" s="253"/>
      <c r="W2894" s="253"/>
    </row>
    <row r="2895" spans="6:23" ht="18.75" customHeight="1">
      <c r="H2895" s="296" t="s">
        <v>2259</v>
      </c>
      <c r="J2895" s="253"/>
      <c r="W2895" s="253"/>
    </row>
    <row r="2896" spans="6:23" ht="18.75" customHeight="1">
      <c r="H2896" s="358" t="s">
        <v>1579</v>
      </c>
      <c r="J2896" s="253"/>
      <c r="W2896" s="253"/>
    </row>
    <row r="2897" spans="6:23" ht="18.75" customHeight="1">
      <c r="F2897" s="252">
        <v>9</v>
      </c>
      <c r="G2897" s="252" t="s">
        <v>866</v>
      </c>
      <c r="H2897" s="296" t="s">
        <v>1662</v>
      </c>
      <c r="I2897" s="252">
        <f t="shared" ref="I2897:I2902" si="281">I503</f>
        <v>1281.77</v>
      </c>
      <c r="J2897" s="253" t="s">
        <v>866</v>
      </c>
      <c r="K2897" s="252">
        <f t="shared" ref="K2897:K2902" si="282">(F2897*I2897)</f>
        <v>11535.93</v>
      </c>
      <c r="W2897" s="253"/>
    </row>
    <row r="2898" spans="6:23" ht="18.75" customHeight="1">
      <c r="F2898" s="356">
        <v>3.2309999999999999</v>
      </c>
      <c r="G2898" s="252" t="s">
        <v>858</v>
      </c>
      <c r="H2898" s="296" t="s">
        <v>859</v>
      </c>
      <c r="I2898" s="252">
        <f t="shared" si="281"/>
        <v>6040</v>
      </c>
      <c r="J2898" s="253" t="s">
        <v>858</v>
      </c>
      <c r="K2898" s="252">
        <f t="shared" si="282"/>
        <v>19515.240000000002</v>
      </c>
      <c r="W2898" s="253"/>
    </row>
    <row r="2899" spans="6:23" ht="18.75" customHeight="1">
      <c r="F2899" s="252">
        <v>4.5</v>
      </c>
      <c r="G2899" s="252" t="s">
        <v>866</v>
      </c>
      <c r="H2899" s="296" t="s">
        <v>867</v>
      </c>
      <c r="I2899" s="252">
        <f t="shared" si="281"/>
        <v>1846.1</v>
      </c>
      <c r="J2899" s="253" t="s">
        <v>866</v>
      </c>
      <c r="K2899" s="252">
        <f t="shared" si="282"/>
        <v>8307.4500000000007</v>
      </c>
      <c r="W2899" s="253"/>
    </row>
    <row r="2900" spans="6:23" ht="18.75" customHeight="1">
      <c r="F2900" s="252">
        <v>3.5</v>
      </c>
      <c r="G2900" s="252" t="s">
        <v>865</v>
      </c>
      <c r="H2900" s="296" t="s">
        <v>1704</v>
      </c>
      <c r="I2900" s="252">
        <f t="shared" si="281"/>
        <v>932</v>
      </c>
      <c r="J2900" s="253" t="s">
        <v>865</v>
      </c>
      <c r="K2900" s="252">
        <f t="shared" si="282"/>
        <v>3262</v>
      </c>
      <c r="W2900" s="253"/>
    </row>
    <row r="2901" spans="6:23" ht="18.75" customHeight="1">
      <c r="F2901" s="252">
        <v>21.2</v>
      </c>
      <c r="G2901" s="252" t="s">
        <v>865</v>
      </c>
      <c r="H2901" s="296" t="s">
        <v>1893</v>
      </c>
      <c r="I2901" s="252">
        <f t="shared" si="281"/>
        <v>651</v>
      </c>
      <c r="J2901" s="253" t="s">
        <v>865</v>
      </c>
      <c r="K2901" s="252">
        <f t="shared" si="282"/>
        <v>13801.2</v>
      </c>
      <c r="W2901" s="253"/>
    </row>
    <row r="2902" spans="6:23" ht="18.75" customHeight="1">
      <c r="F2902" s="252">
        <v>35.299999999999997</v>
      </c>
      <c r="G2902" s="252" t="s">
        <v>865</v>
      </c>
      <c r="H2902" s="296" t="s">
        <v>317</v>
      </c>
      <c r="I2902" s="252">
        <f t="shared" si="281"/>
        <v>534</v>
      </c>
      <c r="J2902" s="253" t="s">
        <v>865</v>
      </c>
      <c r="K2902" s="252">
        <f t="shared" si="282"/>
        <v>18850.2</v>
      </c>
      <c r="W2902" s="253"/>
    </row>
    <row r="2903" spans="6:23" ht="18.75" customHeight="1">
      <c r="G2903" s="252" t="s">
        <v>446</v>
      </c>
      <c r="H2903" s="296" t="s">
        <v>447</v>
      </c>
      <c r="I2903" s="296" t="s">
        <v>971</v>
      </c>
      <c r="J2903" s="253" t="s">
        <v>446</v>
      </c>
      <c r="K2903" s="252">
        <v>0</v>
      </c>
      <c r="W2903" s="253"/>
    </row>
    <row r="2904" spans="6:23" ht="18.75" customHeight="1">
      <c r="J2904" s="253"/>
      <c r="K2904" s="358" t="s">
        <v>1579</v>
      </c>
      <c r="W2904" s="253"/>
    </row>
    <row r="2905" spans="6:23" ht="18.75" customHeight="1">
      <c r="H2905" s="296" t="s">
        <v>2161</v>
      </c>
      <c r="J2905" s="253"/>
      <c r="K2905" s="252">
        <f>SUM(K2897:K2903)</f>
        <v>75272.02</v>
      </c>
      <c r="W2905" s="253"/>
    </row>
    <row r="2906" spans="6:23" ht="18.75" customHeight="1">
      <c r="J2906" s="253"/>
      <c r="K2906" s="358" t="s">
        <v>1579</v>
      </c>
      <c r="W2906" s="253"/>
    </row>
    <row r="2907" spans="6:23" ht="18.75" customHeight="1">
      <c r="H2907" s="296" t="s">
        <v>770</v>
      </c>
      <c r="J2907" s="253"/>
      <c r="K2907" s="252">
        <f>(K2905/10)</f>
        <v>7527.2</v>
      </c>
      <c r="W2907" s="253"/>
    </row>
    <row r="2908" spans="6:23" ht="18.75" customHeight="1">
      <c r="J2908" s="253"/>
      <c r="W2908" s="253"/>
    </row>
    <row r="2909" spans="6:23" ht="18.75" customHeight="1">
      <c r="F2909" s="252">
        <v>1</v>
      </c>
      <c r="G2909" s="252" t="s">
        <v>866</v>
      </c>
      <c r="H2909" s="296" t="s">
        <v>44</v>
      </c>
      <c r="J2909" s="253"/>
      <c r="W2909" s="253"/>
    </row>
    <row r="2910" spans="6:23" ht="18.75" customHeight="1">
      <c r="J2910" s="253"/>
      <c r="K2910" s="358" t="s">
        <v>1579</v>
      </c>
      <c r="W2910" s="253"/>
    </row>
    <row r="2911" spans="6:23" ht="18.75" customHeight="1">
      <c r="H2911" s="296" t="s">
        <v>1295</v>
      </c>
      <c r="J2911" s="253"/>
      <c r="K2911" s="252">
        <f>SUM(K2907:K2909)</f>
        <v>7527.2</v>
      </c>
      <c r="W2911" s="253"/>
    </row>
    <row r="2912" spans="6:23" ht="18.75" customHeight="1">
      <c r="J2912" s="253"/>
      <c r="K2912" s="358" t="s">
        <v>1579</v>
      </c>
      <c r="W2912" s="253"/>
    </row>
    <row r="2913" spans="6:23" ht="18.75" customHeight="1">
      <c r="G2913" s="252" t="s">
        <v>1238</v>
      </c>
      <c r="H2913" s="296" t="s">
        <v>383</v>
      </c>
      <c r="J2913" s="253"/>
      <c r="K2913" s="252">
        <f>K2911+C22</f>
        <v>7647.05</v>
      </c>
      <c r="W2913" s="253"/>
    </row>
    <row r="2914" spans="6:23" ht="18.75" customHeight="1">
      <c r="G2914" s="252" t="s">
        <v>1240</v>
      </c>
      <c r="H2914" s="296" t="s">
        <v>385</v>
      </c>
      <c r="J2914" s="253"/>
      <c r="K2914" s="252">
        <f>K2913+C23</f>
        <v>7883.15</v>
      </c>
      <c r="W2914" s="253"/>
    </row>
    <row r="2915" spans="6:23" ht="18.75" customHeight="1">
      <c r="G2915" s="252" t="s">
        <v>423</v>
      </c>
      <c r="H2915" s="296" t="s">
        <v>2222</v>
      </c>
      <c r="J2915" s="253"/>
      <c r="K2915" s="252">
        <f>K2914+C23</f>
        <v>8119.25</v>
      </c>
      <c r="W2915" s="253"/>
    </row>
    <row r="2916" spans="6:23" ht="18.75" customHeight="1">
      <c r="G2916" s="252" t="s">
        <v>990</v>
      </c>
      <c r="H2916" s="296" t="s">
        <v>377</v>
      </c>
      <c r="J2916" s="253"/>
      <c r="K2916" s="252">
        <f>K2915+C23</f>
        <v>8355.35</v>
      </c>
      <c r="W2916" s="253"/>
    </row>
    <row r="2917" spans="6:23" ht="18.75" customHeight="1">
      <c r="J2917" s="253"/>
      <c r="W2917" s="253"/>
    </row>
    <row r="2918" spans="6:23" ht="18.75" customHeight="1">
      <c r="G2918" s="360"/>
      <c r="H2918" s="538"/>
      <c r="W2918" s="253"/>
    </row>
    <row r="2919" spans="6:23" ht="18.75" customHeight="1">
      <c r="H2919" s="274" t="s">
        <v>2224</v>
      </c>
      <c r="W2919" s="253"/>
    </row>
    <row r="2920" spans="6:23" ht="18.75" customHeight="1">
      <c r="W2920" s="253"/>
    </row>
    <row r="2921" spans="6:23" ht="18.75" customHeight="1">
      <c r="F2921" s="316"/>
      <c r="H2921" s="252" t="s">
        <v>5717</v>
      </c>
      <c r="J2921" s="252"/>
      <c r="W2921" s="253"/>
    </row>
    <row r="2922" spans="6:23" ht="18.75" customHeight="1">
      <c r="F2922" s="356"/>
      <c r="H2922" s="252" t="s">
        <v>627</v>
      </c>
      <c r="J2922" s="252"/>
      <c r="W2922" s="253"/>
    </row>
    <row r="2923" spans="6:23" ht="18.75" customHeight="1">
      <c r="H2923" s="296" t="s">
        <v>1670</v>
      </c>
      <c r="J2923" s="407"/>
      <c r="P2923" s="252">
        <f>0.35*4</f>
        <v>1.4</v>
      </c>
      <c r="W2923" s="253"/>
    </row>
    <row r="2924" spans="6:23" ht="18.75" customHeight="1">
      <c r="H2924" s="255" t="s">
        <v>1671</v>
      </c>
      <c r="I2924" s="274"/>
      <c r="J2924" s="360"/>
      <c r="K2924" s="274"/>
      <c r="P2924" s="252">
        <f>0.3*4</f>
        <v>1.2</v>
      </c>
      <c r="W2924" s="253"/>
    </row>
    <row r="2925" spans="6:23" ht="18.75" customHeight="1">
      <c r="H2925" s="252" t="s">
        <v>5718</v>
      </c>
      <c r="P2925" s="252">
        <f>1.28*2</f>
        <v>2.56</v>
      </c>
      <c r="W2925" s="253"/>
    </row>
    <row r="2926" spans="6:23" ht="18.75" customHeight="1">
      <c r="H2926" s="274" t="s">
        <v>201</v>
      </c>
      <c r="P2926" s="252" t="s">
        <v>3083</v>
      </c>
      <c r="W2926" s="253"/>
    </row>
    <row r="2927" spans="6:23" ht="18.75" customHeight="1">
      <c r="F2927" s="316">
        <v>3.5999999999999997E-2</v>
      </c>
      <c r="G2927" s="252" t="s">
        <v>2142</v>
      </c>
      <c r="H2927" s="252" t="s">
        <v>1672</v>
      </c>
      <c r="I2927" s="252">
        <f>K2913</f>
        <v>7647.05</v>
      </c>
      <c r="J2927" s="252" t="s">
        <v>2142</v>
      </c>
      <c r="K2927" s="252">
        <f>F2927*I2927</f>
        <v>275.29000000000002</v>
      </c>
      <c r="W2927" s="253"/>
    </row>
    <row r="2928" spans="6:23" ht="18.75" customHeight="1">
      <c r="F2928" s="356">
        <v>3.0649999999999999</v>
      </c>
      <c r="G2928" s="252" t="s">
        <v>909</v>
      </c>
      <c r="H2928" s="262" t="s">
        <v>1673</v>
      </c>
      <c r="I2928" s="252">
        <f>K1582/1000</f>
        <v>90.88</v>
      </c>
      <c r="J2928" s="252" t="s">
        <v>909</v>
      </c>
      <c r="K2928" s="252">
        <f>F2928*I2928</f>
        <v>278.55</v>
      </c>
      <c r="W2928" s="253"/>
    </row>
    <row r="2929" spans="6:23" ht="18.75" customHeight="1">
      <c r="F2929" s="356">
        <v>0.79800000000000004</v>
      </c>
      <c r="G2929" s="252" t="s">
        <v>230</v>
      </c>
      <c r="H2929" s="252" t="s">
        <v>1424</v>
      </c>
      <c r="I2929" s="252">
        <f>I2358</f>
        <v>1135.94</v>
      </c>
      <c r="J2929" s="252" t="s">
        <v>230</v>
      </c>
      <c r="K2929" s="252">
        <f>F2929*I2929</f>
        <v>906.48</v>
      </c>
      <c r="W2929" s="253"/>
    </row>
    <row r="2930" spans="6:23" ht="18.75" customHeight="1">
      <c r="H2930" s="360" t="s">
        <v>1425</v>
      </c>
      <c r="I2930" s="274"/>
      <c r="J2930" s="360" t="s">
        <v>718</v>
      </c>
      <c r="K2930" s="274">
        <f>SUM(K2927:K2929)</f>
        <v>1460.32</v>
      </c>
      <c r="W2930" s="253"/>
    </row>
    <row r="2931" spans="6:23" ht="18.75" customHeight="1">
      <c r="F2931" s="316"/>
      <c r="H2931" s="360" t="s">
        <v>1816</v>
      </c>
      <c r="J2931" s="360" t="s">
        <v>718</v>
      </c>
      <c r="K2931" s="274">
        <f>K2930/2.1</f>
        <v>695.39</v>
      </c>
      <c r="W2931" s="253"/>
    </row>
    <row r="2932" spans="6:23" ht="18.75" customHeight="1">
      <c r="F2932" s="356"/>
      <c r="J2932" s="252"/>
      <c r="W2932" s="253"/>
    </row>
    <row r="2933" spans="6:23" ht="18.75" customHeight="1">
      <c r="H2933" s="407"/>
      <c r="J2933" s="407"/>
      <c r="W2933" s="253"/>
    </row>
    <row r="2934" spans="6:23" ht="18.75" customHeight="1">
      <c r="H2934" s="360"/>
      <c r="I2934" s="274"/>
      <c r="J2934" s="360"/>
      <c r="K2934" s="274"/>
      <c r="W2934" s="253"/>
    </row>
    <row r="2935" spans="6:23" ht="18.75" customHeight="1">
      <c r="H2935" s="274" t="s">
        <v>202</v>
      </c>
      <c r="W2935" s="253"/>
    </row>
    <row r="2936" spans="6:23" ht="18.75" customHeight="1">
      <c r="F2936" s="316">
        <v>3.5999999999999997E-2</v>
      </c>
      <c r="G2936" s="252" t="s">
        <v>2142</v>
      </c>
      <c r="H2936" s="252" t="s">
        <v>1672</v>
      </c>
      <c r="I2936" s="252">
        <f>K2914</f>
        <v>7883.15</v>
      </c>
      <c r="J2936" s="252" t="s">
        <v>2142</v>
      </c>
      <c r="K2936" s="252">
        <f>F2936*I2936</f>
        <v>283.79000000000002</v>
      </c>
      <c r="W2936" s="253"/>
    </row>
    <row r="2937" spans="6:23" ht="18.75" customHeight="1">
      <c r="F2937" s="356">
        <v>3.0649999999999999</v>
      </c>
      <c r="G2937" s="252" t="s">
        <v>909</v>
      </c>
      <c r="H2937" s="262" t="s">
        <v>1673</v>
      </c>
      <c r="I2937" s="252">
        <f>K1582/1000</f>
        <v>90.88</v>
      </c>
      <c r="J2937" s="252" t="s">
        <v>909</v>
      </c>
      <c r="K2937" s="252">
        <f>F2937*I2937</f>
        <v>278.55</v>
      </c>
      <c r="W2937" s="253"/>
    </row>
    <row r="2938" spans="6:23" ht="18.75" customHeight="1">
      <c r="F2938" s="356">
        <v>0.79800000000000004</v>
      </c>
      <c r="G2938" s="252" t="s">
        <v>230</v>
      </c>
      <c r="H2938" s="252" t="s">
        <v>1424</v>
      </c>
      <c r="I2938" s="252">
        <f>I2358</f>
        <v>1135.94</v>
      </c>
      <c r="J2938" s="252" t="s">
        <v>230</v>
      </c>
      <c r="K2938" s="252">
        <f>F2938*I2938</f>
        <v>906.48</v>
      </c>
      <c r="W2938" s="253"/>
    </row>
    <row r="2939" spans="6:23" ht="18.75" customHeight="1">
      <c r="H2939" s="360" t="s">
        <v>1425</v>
      </c>
      <c r="I2939" s="274"/>
      <c r="J2939" s="360" t="s">
        <v>718</v>
      </c>
      <c r="K2939" s="274">
        <f>SUM(K2936:K2938)</f>
        <v>1468.82</v>
      </c>
      <c r="W2939" s="253"/>
    </row>
    <row r="2940" spans="6:23" ht="18.75" customHeight="1">
      <c r="F2940" s="316"/>
      <c r="H2940" s="360" t="s">
        <v>1816</v>
      </c>
      <c r="J2940" s="360" t="s">
        <v>718</v>
      </c>
      <c r="K2940" s="274">
        <f>K2939/2.1</f>
        <v>699.44</v>
      </c>
      <c r="W2940" s="253"/>
    </row>
    <row r="2941" spans="6:23" ht="18.75" customHeight="1">
      <c r="F2941" s="356"/>
      <c r="J2941" s="252"/>
      <c r="W2941" s="253"/>
    </row>
    <row r="2942" spans="6:23" ht="18.75" customHeight="1">
      <c r="W2942" s="253"/>
    </row>
    <row r="2943" spans="6:23" ht="18.75" customHeight="1">
      <c r="W2943" s="253"/>
    </row>
    <row r="2944" spans="6:23" ht="18.75" customHeight="1">
      <c r="W2944" s="253"/>
    </row>
    <row r="2945" spans="6:23" ht="18.75" customHeight="1">
      <c r="H2945" s="274" t="s">
        <v>1597</v>
      </c>
      <c r="W2945" s="253"/>
    </row>
    <row r="2946" spans="6:23" ht="18.75" customHeight="1">
      <c r="F2946" s="316">
        <v>3.5999999999999997E-2</v>
      </c>
      <c r="G2946" s="252" t="s">
        <v>2142</v>
      </c>
      <c r="H2946" s="252" t="s">
        <v>1672</v>
      </c>
      <c r="I2946" s="252">
        <f>K2915</f>
        <v>8119.25</v>
      </c>
      <c r="J2946" s="252" t="s">
        <v>2142</v>
      </c>
      <c r="K2946" s="252">
        <f>F2946*I2946</f>
        <v>292.29000000000002</v>
      </c>
      <c r="W2946" s="253"/>
    </row>
    <row r="2947" spans="6:23" ht="18.75" customHeight="1">
      <c r="F2947" s="356">
        <v>3.0649999999999999</v>
      </c>
      <c r="G2947" s="252" t="s">
        <v>909</v>
      </c>
      <c r="H2947" s="262" t="s">
        <v>1673</v>
      </c>
      <c r="I2947" s="252">
        <f>I2928</f>
        <v>90.88</v>
      </c>
      <c r="J2947" s="252" t="s">
        <v>909</v>
      </c>
      <c r="K2947" s="252">
        <f>F2947*I2947</f>
        <v>278.55</v>
      </c>
      <c r="W2947" s="253"/>
    </row>
    <row r="2948" spans="6:23" ht="18.75" customHeight="1">
      <c r="F2948" s="356">
        <v>0.79800000000000004</v>
      </c>
      <c r="G2948" s="252" t="s">
        <v>230</v>
      </c>
      <c r="H2948" s="252" t="s">
        <v>1424</v>
      </c>
      <c r="I2948" s="252">
        <f>I2929</f>
        <v>1135.94</v>
      </c>
      <c r="J2948" s="252" t="s">
        <v>230</v>
      </c>
      <c r="K2948" s="252">
        <f>F2948*I2948</f>
        <v>906.48</v>
      </c>
      <c r="W2948" s="253"/>
    </row>
    <row r="2949" spans="6:23" ht="18.75" customHeight="1">
      <c r="H2949" s="360" t="s">
        <v>1425</v>
      </c>
      <c r="I2949" s="274"/>
      <c r="J2949" s="360" t="s">
        <v>718</v>
      </c>
      <c r="K2949" s="274">
        <f>SUM(K2946:K2948)</f>
        <v>1477.32</v>
      </c>
      <c r="W2949" s="253"/>
    </row>
    <row r="2950" spans="6:23" ht="18.75" customHeight="1">
      <c r="F2950" s="316"/>
      <c r="H2950" s="360" t="s">
        <v>1816</v>
      </c>
      <c r="J2950" s="360" t="s">
        <v>718</v>
      </c>
      <c r="K2950" s="274">
        <f>K2949/2.1</f>
        <v>703.49</v>
      </c>
      <c r="W2950" s="253"/>
    </row>
    <row r="2951" spans="6:23" ht="18.75" customHeight="1">
      <c r="F2951" s="356"/>
      <c r="J2951" s="252"/>
      <c r="W2951" s="253"/>
    </row>
    <row r="2952" spans="6:23" ht="18.75" customHeight="1">
      <c r="W2952" s="253"/>
    </row>
    <row r="2953" spans="6:23" ht="18.75" customHeight="1">
      <c r="W2953" s="253"/>
    </row>
    <row r="2954" spans="6:23" ht="18.75" customHeight="1">
      <c r="H2954" s="274" t="s">
        <v>63</v>
      </c>
      <c r="W2954" s="253"/>
    </row>
    <row r="2955" spans="6:23" ht="18.75" customHeight="1">
      <c r="F2955" s="316">
        <v>3.5999999999999997E-2</v>
      </c>
      <c r="G2955" s="252" t="s">
        <v>2142</v>
      </c>
      <c r="H2955" s="252" t="s">
        <v>1672</v>
      </c>
      <c r="I2955" s="252">
        <f>K2916</f>
        <v>8355.35</v>
      </c>
      <c r="J2955" s="252" t="s">
        <v>2142</v>
      </c>
      <c r="K2955" s="252">
        <f>F2955*I2955</f>
        <v>300.79000000000002</v>
      </c>
      <c r="W2955" s="253"/>
    </row>
    <row r="2956" spans="6:23" ht="18.75" customHeight="1">
      <c r="F2956" s="356">
        <v>3.0649999999999999</v>
      </c>
      <c r="G2956" s="252" t="s">
        <v>909</v>
      </c>
      <c r="H2956" s="262" t="s">
        <v>1673</v>
      </c>
      <c r="I2956" s="252">
        <f>I2947</f>
        <v>90.88</v>
      </c>
      <c r="J2956" s="252" t="s">
        <v>909</v>
      </c>
      <c r="K2956" s="252">
        <f>F2956*I2956</f>
        <v>278.55</v>
      </c>
      <c r="W2956" s="253"/>
    </row>
    <row r="2957" spans="6:23" ht="18.75" customHeight="1">
      <c r="F2957" s="356">
        <v>0.79800000000000004</v>
      </c>
      <c r="G2957" s="252" t="s">
        <v>230</v>
      </c>
      <c r="H2957" s="252" t="s">
        <v>1424</v>
      </c>
      <c r="I2957" s="252">
        <f>I2948</f>
        <v>1135.94</v>
      </c>
      <c r="J2957" s="252" t="s">
        <v>230</v>
      </c>
      <c r="K2957" s="252">
        <f>F2957*I2957</f>
        <v>906.48</v>
      </c>
      <c r="W2957" s="253"/>
    </row>
    <row r="2958" spans="6:23" ht="18.75" customHeight="1">
      <c r="H2958" s="360" t="s">
        <v>1425</v>
      </c>
      <c r="I2958" s="274"/>
      <c r="J2958" s="360" t="s">
        <v>718</v>
      </c>
      <c r="K2958" s="274">
        <f>SUM(K2955:K2957)</f>
        <v>1485.82</v>
      </c>
      <c r="W2958" s="253"/>
    </row>
    <row r="2959" spans="6:23" ht="18.75" customHeight="1">
      <c r="F2959" s="316"/>
      <c r="H2959" s="360" t="s">
        <v>1816</v>
      </c>
      <c r="J2959" s="360" t="s">
        <v>718</v>
      </c>
      <c r="K2959" s="274">
        <f>K2958/2.1</f>
        <v>707.53</v>
      </c>
      <c r="W2959" s="253"/>
    </row>
    <row r="2960" spans="6:23" ht="18.75" customHeight="1">
      <c r="F2960" s="356"/>
      <c r="J2960" s="252"/>
      <c r="W2960" s="253"/>
    </row>
    <row r="2961" spans="6:23" ht="18.75" customHeight="1">
      <c r="J2961" s="253"/>
      <c r="W2961" s="253"/>
    </row>
    <row r="2962" spans="6:23" ht="18.75" customHeight="1">
      <c r="J2962" s="253"/>
      <c r="W2962" s="253"/>
    </row>
    <row r="2963" spans="6:23" ht="18.75" customHeight="1">
      <c r="I2963" s="252">
        <f>160*10.76</f>
        <v>1721.6</v>
      </c>
      <c r="J2963" s="253"/>
      <c r="W2963" s="253"/>
    </row>
    <row r="2964" spans="6:23" ht="18.75" customHeight="1">
      <c r="F2964" s="253" t="s">
        <v>561</v>
      </c>
      <c r="G2964" s="252" t="s">
        <v>2241</v>
      </c>
      <c r="H2964" s="296" t="s">
        <v>1760</v>
      </c>
      <c r="I2964" s="252">
        <f>148*10.76</f>
        <v>1592.48</v>
      </c>
      <c r="J2964" s="253"/>
      <c r="W2964" s="253"/>
    </row>
    <row r="2965" spans="6:23" ht="18.75" customHeight="1">
      <c r="H2965" s="296" t="s">
        <v>253</v>
      </c>
      <c r="J2965" s="253"/>
      <c r="W2965" s="253"/>
    </row>
    <row r="2966" spans="6:23" ht="18.75" customHeight="1">
      <c r="H2966" s="296" t="s">
        <v>1464</v>
      </c>
      <c r="J2966" s="253"/>
      <c r="W2966" s="253"/>
    </row>
    <row r="2967" spans="6:23" ht="18.75" customHeight="1">
      <c r="H2967" s="358" t="s">
        <v>1579</v>
      </c>
      <c r="I2967" s="316">
        <f>1.4*2.025</f>
        <v>2.835</v>
      </c>
      <c r="J2967" s="253"/>
      <c r="W2967" s="253"/>
    </row>
    <row r="2968" spans="6:23" ht="18.75" customHeight="1">
      <c r="H2968" s="296" t="s">
        <v>1915</v>
      </c>
      <c r="J2968" s="253"/>
      <c r="W2968" s="253"/>
    </row>
    <row r="2969" spans="6:23" ht="18.75" customHeight="1">
      <c r="J2969" s="253"/>
      <c r="W2969" s="253"/>
    </row>
    <row r="2970" spans="6:23" ht="18.75" customHeight="1">
      <c r="F2970" s="356">
        <v>1.64</v>
      </c>
      <c r="G2970" s="252" t="s">
        <v>606</v>
      </c>
      <c r="H2970" s="389" t="s">
        <v>738</v>
      </c>
      <c r="I2970" s="575">
        <f>I2834</f>
        <v>2180</v>
      </c>
      <c r="J2970" s="253" t="s">
        <v>606</v>
      </c>
      <c r="K2970" s="252">
        <f>F2971*I2970</f>
        <v>3575.2</v>
      </c>
      <c r="W2970" s="253"/>
    </row>
    <row r="2971" spans="6:23" ht="18.75" customHeight="1">
      <c r="F2971" s="356">
        <v>1.64</v>
      </c>
      <c r="G2971" s="252" t="s">
        <v>606</v>
      </c>
      <c r="H2971" s="296" t="s">
        <v>444</v>
      </c>
      <c r="I2971" s="252">
        <f t="shared" ref="I2971:I2977" si="283">I2835</f>
        <v>214.1</v>
      </c>
      <c r="J2971" s="253" t="s">
        <v>606</v>
      </c>
      <c r="K2971" s="252">
        <f t="shared" ref="K2971:K2977" si="284">(F2971*I2971)</f>
        <v>351.12</v>
      </c>
      <c r="O2971" s="296" t="s">
        <v>1760</v>
      </c>
      <c r="W2971" s="253"/>
    </row>
    <row r="2972" spans="6:23" ht="18.75" customHeight="1">
      <c r="F2972" s="252">
        <v>2</v>
      </c>
      <c r="G2972" s="252" t="s">
        <v>766</v>
      </c>
      <c r="H2972" s="296" t="s">
        <v>1456</v>
      </c>
      <c r="I2972" s="252">
        <f t="shared" si="283"/>
        <v>57.65</v>
      </c>
      <c r="J2972" s="253" t="s">
        <v>865</v>
      </c>
      <c r="K2972" s="252">
        <f t="shared" si="284"/>
        <v>115.3</v>
      </c>
      <c r="O2972" s="296" t="s">
        <v>253</v>
      </c>
      <c r="W2972" s="253"/>
    </row>
    <row r="2973" spans="6:23" ht="18.75" customHeight="1">
      <c r="F2973" s="252">
        <v>3</v>
      </c>
      <c r="G2973" s="252" t="s">
        <v>865</v>
      </c>
      <c r="H2973" s="296" t="s">
        <v>1457</v>
      </c>
      <c r="I2973" s="252">
        <f t="shared" si="283"/>
        <v>89.6</v>
      </c>
      <c r="J2973" s="253" t="s">
        <v>865</v>
      </c>
      <c r="K2973" s="252">
        <f t="shared" si="284"/>
        <v>268.8</v>
      </c>
      <c r="O2973" s="296" t="s">
        <v>1918</v>
      </c>
      <c r="W2973" s="253"/>
    </row>
    <row r="2974" spans="6:23" ht="18.75" customHeight="1">
      <c r="F2974" s="252">
        <v>2</v>
      </c>
      <c r="G2974" s="252" t="s">
        <v>865</v>
      </c>
      <c r="H2974" s="296" t="s">
        <v>1458</v>
      </c>
      <c r="I2974" s="252">
        <f t="shared" si="283"/>
        <v>64.8</v>
      </c>
      <c r="J2974" s="253" t="s">
        <v>865</v>
      </c>
      <c r="K2974" s="252">
        <f t="shared" si="284"/>
        <v>129.6</v>
      </c>
      <c r="O2974" s="358" t="s">
        <v>1579</v>
      </c>
      <c r="W2974" s="253"/>
    </row>
    <row r="2975" spans="6:23" ht="18.75" customHeight="1">
      <c r="F2975" s="252">
        <v>1</v>
      </c>
      <c r="G2975" s="252" t="s">
        <v>865</v>
      </c>
      <c r="H2975" s="296" t="s">
        <v>1459</v>
      </c>
      <c r="I2975" s="252">
        <f t="shared" si="283"/>
        <v>181</v>
      </c>
      <c r="J2975" s="253" t="s">
        <v>865</v>
      </c>
      <c r="K2975" s="252">
        <f t="shared" si="284"/>
        <v>181</v>
      </c>
      <c r="L2975" s="252" t="s">
        <v>971</v>
      </c>
      <c r="O2975" s="296" t="s">
        <v>1919</v>
      </c>
      <c r="W2975" s="253"/>
    </row>
    <row r="2976" spans="6:23" ht="18.75" customHeight="1">
      <c r="F2976" s="252">
        <v>1</v>
      </c>
      <c r="G2976" s="252" t="s">
        <v>865</v>
      </c>
      <c r="H2976" s="296" t="s">
        <v>1460</v>
      </c>
      <c r="I2976" s="252">
        <f t="shared" si="283"/>
        <v>7.3</v>
      </c>
      <c r="J2976" s="253" t="s">
        <v>865</v>
      </c>
      <c r="K2976" s="252">
        <f t="shared" si="284"/>
        <v>7.3</v>
      </c>
      <c r="W2976" s="253"/>
    </row>
    <row r="2977" spans="6:23" ht="18.75" customHeight="1">
      <c r="F2977" s="252">
        <v>1</v>
      </c>
      <c r="G2977" s="252" t="s">
        <v>865</v>
      </c>
      <c r="H2977" s="296" t="s">
        <v>1973</v>
      </c>
      <c r="I2977" s="252">
        <f t="shared" si="283"/>
        <v>49.55</v>
      </c>
      <c r="J2977" s="253" t="s">
        <v>865</v>
      </c>
      <c r="K2977" s="252">
        <f t="shared" si="284"/>
        <v>49.55</v>
      </c>
      <c r="M2977" s="356">
        <v>2.2549999999999999</v>
      </c>
      <c r="N2977" s="252" t="s">
        <v>606</v>
      </c>
      <c r="O2977" s="389" t="s">
        <v>738</v>
      </c>
      <c r="P2977" s="252">
        <f>I2970</f>
        <v>2180</v>
      </c>
      <c r="Q2977" s="253" t="s">
        <v>606</v>
      </c>
      <c r="R2977" s="252">
        <f>M2978*P2977</f>
        <v>4915.8999999999996</v>
      </c>
      <c r="W2977" s="253"/>
    </row>
    <row r="2978" spans="6:23" ht="18.75" customHeight="1">
      <c r="J2978" s="253"/>
      <c r="K2978" s="407">
        <v>0.63</v>
      </c>
      <c r="M2978" s="356">
        <v>2.2549999999999999</v>
      </c>
      <c r="N2978" s="252" t="s">
        <v>606</v>
      </c>
      <c r="O2978" s="296" t="s">
        <v>444</v>
      </c>
      <c r="P2978" s="252">
        <f t="shared" ref="P2978:P2984" si="285">I2971</f>
        <v>214.1</v>
      </c>
      <c r="Q2978" s="253" t="s">
        <v>606</v>
      </c>
      <c r="R2978" s="252">
        <f t="shared" ref="R2978:R2984" si="286">(M2978*P2978)</f>
        <v>482.8</v>
      </c>
      <c r="W2978" s="253"/>
    </row>
    <row r="2979" spans="6:23" ht="18.75" customHeight="1">
      <c r="H2979" s="296" t="s">
        <v>1916</v>
      </c>
      <c r="J2979" s="253"/>
      <c r="K2979" s="252">
        <f>SUM(K2970:K2978)</f>
        <v>4678.5</v>
      </c>
      <c r="M2979" s="252">
        <v>2</v>
      </c>
      <c r="N2979" s="252" t="s">
        <v>766</v>
      </c>
      <c r="O2979" s="296" t="s">
        <v>1456</v>
      </c>
      <c r="P2979" s="252">
        <f t="shared" si="285"/>
        <v>57.65</v>
      </c>
      <c r="Q2979" s="253" t="s">
        <v>865</v>
      </c>
      <c r="R2979" s="252">
        <f t="shared" si="286"/>
        <v>115.3</v>
      </c>
      <c r="W2979" s="253"/>
    </row>
    <row r="2980" spans="6:23" ht="18.75" customHeight="1">
      <c r="J2980" s="253"/>
      <c r="K2980" s="358" t="s">
        <v>1579</v>
      </c>
      <c r="M2980" s="252">
        <v>3</v>
      </c>
      <c r="N2980" s="252" t="s">
        <v>865</v>
      </c>
      <c r="O2980" s="296" t="s">
        <v>1457</v>
      </c>
      <c r="P2980" s="252">
        <f t="shared" si="285"/>
        <v>89.6</v>
      </c>
      <c r="Q2980" s="253" t="s">
        <v>865</v>
      </c>
      <c r="R2980" s="252">
        <f t="shared" si="286"/>
        <v>268.8</v>
      </c>
      <c r="W2980" s="253"/>
    </row>
    <row r="2981" spans="6:23" ht="18.75" customHeight="1">
      <c r="H2981" s="296" t="s">
        <v>549</v>
      </c>
      <c r="J2981" s="253"/>
      <c r="K2981" s="252">
        <f>K2979/F2971</f>
        <v>2852.74</v>
      </c>
      <c r="M2981" s="252">
        <v>2</v>
      </c>
      <c r="N2981" s="252" t="s">
        <v>865</v>
      </c>
      <c r="O2981" s="296" t="s">
        <v>1458</v>
      </c>
      <c r="P2981" s="252">
        <f t="shared" si="285"/>
        <v>64.8</v>
      </c>
      <c r="Q2981" s="253" t="s">
        <v>865</v>
      </c>
      <c r="R2981" s="252">
        <f t="shared" si="286"/>
        <v>129.6</v>
      </c>
      <c r="W2981" s="253"/>
    </row>
    <row r="2982" spans="6:23" ht="18.75" customHeight="1">
      <c r="F2982" s="296" t="s">
        <v>971</v>
      </c>
      <c r="J2982" s="253"/>
      <c r="M2982" s="252">
        <v>1</v>
      </c>
      <c r="N2982" s="252" t="s">
        <v>865</v>
      </c>
      <c r="O2982" s="296" t="s">
        <v>1459</v>
      </c>
      <c r="P2982" s="252">
        <f t="shared" si="285"/>
        <v>181</v>
      </c>
      <c r="Q2982" s="253" t="s">
        <v>865</v>
      </c>
      <c r="R2982" s="252">
        <f t="shared" si="286"/>
        <v>181</v>
      </c>
      <c r="W2982" s="253"/>
    </row>
    <row r="2983" spans="6:23" ht="18.75" customHeight="1">
      <c r="J2983" s="253"/>
      <c r="M2983" s="252">
        <v>1</v>
      </c>
      <c r="N2983" s="252" t="s">
        <v>865</v>
      </c>
      <c r="O2983" s="296" t="s">
        <v>1460</v>
      </c>
      <c r="P2983" s="252">
        <f t="shared" si="285"/>
        <v>7.3</v>
      </c>
      <c r="Q2983" s="253" t="s">
        <v>865</v>
      </c>
      <c r="R2983" s="252">
        <f t="shared" si="286"/>
        <v>7.3</v>
      </c>
      <c r="W2983" s="253"/>
    </row>
    <row r="2984" spans="6:23" ht="18.75" customHeight="1">
      <c r="F2984" s="252" t="s">
        <v>1422</v>
      </c>
      <c r="J2984" s="253"/>
      <c r="M2984" s="252">
        <v>1</v>
      </c>
      <c r="N2984" s="252" t="s">
        <v>865</v>
      </c>
      <c r="O2984" s="296" t="s">
        <v>1973</v>
      </c>
      <c r="P2984" s="252">
        <f t="shared" si="285"/>
        <v>49.55</v>
      </c>
      <c r="Q2984" s="253" t="s">
        <v>865</v>
      </c>
      <c r="R2984" s="252">
        <f t="shared" si="286"/>
        <v>49.55</v>
      </c>
      <c r="W2984" s="253"/>
    </row>
    <row r="2985" spans="6:23" ht="18.75" customHeight="1">
      <c r="J2985" s="253"/>
      <c r="Q2985" s="253"/>
      <c r="R2985" s="358" t="s">
        <v>1579</v>
      </c>
      <c r="W2985" s="253"/>
    </row>
    <row r="2986" spans="6:23" ht="18.75" customHeight="1">
      <c r="F2986" s="252" t="s">
        <v>1423</v>
      </c>
      <c r="J2986" s="253"/>
      <c r="O2986" s="296" t="s">
        <v>1920</v>
      </c>
      <c r="Q2986" s="253"/>
      <c r="R2986" s="252">
        <f>SUM(R2977:R2984)+0.17</f>
        <v>6150.42</v>
      </c>
      <c r="W2986" s="253"/>
    </row>
    <row r="2987" spans="6:23" ht="18.75" customHeight="1">
      <c r="J2987" s="253"/>
      <c r="Q2987" s="253"/>
      <c r="R2987" s="358" t="s">
        <v>1579</v>
      </c>
      <c r="W2987" s="253"/>
    </row>
    <row r="2988" spans="6:23" ht="18.75" customHeight="1">
      <c r="G2988" s="316">
        <v>0.99350000000000005</v>
      </c>
      <c r="H2988" s="252" t="s">
        <v>2142</v>
      </c>
      <c r="J2988" s="253"/>
      <c r="O2988" s="296" t="s">
        <v>549</v>
      </c>
      <c r="Q2988" s="253"/>
      <c r="R2988" s="252">
        <f>R2986/M2978</f>
        <v>2727.46</v>
      </c>
      <c r="W2988" s="253"/>
    </row>
    <row r="2989" spans="6:23" ht="18.75" customHeight="1">
      <c r="J2989" s="253"/>
      <c r="W2989" s="253"/>
    </row>
    <row r="2990" spans="6:23" ht="18.75" customHeight="1">
      <c r="F2990" s="274" t="s">
        <v>460</v>
      </c>
      <c r="J2990" s="253"/>
      <c r="W2990" s="253"/>
    </row>
    <row r="2991" spans="6:23" ht="18.75" customHeight="1">
      <c r="J2991" s="253"/>
      <c r="W2991" s="253"/>
    </row>
    <row r="2992" spans="6:23" ht="18.75" customHeight="1">
      <c r="F2992" s="316">
        <v>0.42</v>
      </c>
      <c r="G2992" s="252" t="s">
        <v>2142</v>
      </c>
      <c r="H2992" s="252" t="s">
        <v>461</v>
      </c>
      <c r="I2992" s="252">
        <f>K817</f>
        <v>8821.51</v>
      </c>
      <c r="J2992" s="407" t="s">
        <v>2142</v>
      </c>
      <c r="K2992" s="252">
        <f>F2992*I2992</f>
        <v>3705.03</v>
      </c>
      <c r="W2992" s="253"/>
    </row>
    <row r="2993" spans="6:23" ht="18.75" customHeight="1">
      <c r="F2993" s="252">
        <v>0.25</v>
      </c>
      <c r="G2993" s="252" t="s">
        <v>1389</v>
      </c>
      <c r="H2993" s="252" t="s">
        <v>462</v>
      </c>
      <c r="I2993" s="252">
        <f>C11</f>
        <v>932</v>
      </c>
      <c r="J2993" s="407" t="s">
        <v>1393</v>
      </c>
      <c r="K2993" s="252">
        <f>F2993*I2993</f>
        <v>233</v>
      </c>
      <c r="W2993" s="253"/>
    </row>
    <row r="2994" spans="6:23" ht="18.75" customHeight="1">
      <c r="F2994" s="252">
        <v>3.5</v>
      </c>
      <c r="G2994" s="252" t="s">
        <v>1427</v>
      </c>
      <c r="H2994" s="252" t="s">
        <v>345</v>
      </c>
      <c r="I2994" s="252">
        <f>C12</f>
        <v>651</v>
      </c>
      <c r="J2994" s="407" t="s">
        <v>1393</v>
      </c>
      <c r="K2994" s="252">
        <f>F2994*I2994</f>
        <v>2278.5</v>
      </c>
      <c r="W2994" s="253"/>
    </row>
    <row r="2995" spans="6:23" ht="18.75" customHeight="1">
      <c r="F2995" s="252">
        <v>32.1</v>
      </c>
      <c r="G2995" s="252" t="s">
        <v>1637</v>
      </c>
      <c r="H2995" s="252" t="s">
        <v>1586</v>
      </c>
      <c r="J2995" s="407"/>
      <c r="K2995" s="252">
        <f>(F2995*I2995)/1000</f>
        <v>0</v>
      </c>
      <c r="W2995" s="253"/>
    </row>
    <row r="2996" spans="6:23" ht="18.75" customHeight="1">
      <c r="G2996" s="252" t="s">
        <v>463</v>
      </c>
      <c r="H2996" s="252" t="s">
        <v>946</v>
      </c>
      <c r="J2996" s="407" t="s">
        <v>67</v>
      </c>
      <c r="K2996" s="252">
        <f>(K2993+K2994)*10%</f>
        <v>251.15</v>
      </c>
      <c r="W2996" s="253"/>
    </row>
    <row r="2997" spans="6:23" ht="18.75" customHeight="1">
      <c r="J2997" s="253"/>
      <c r="K2997" s="252" t="s">
        <v>947</v>
      </c>
      <c r="W2997" s="253"/>
    </row>
    <row r="2998" spans="6:23" ht="18.75" customHeight="1">
      <c r="J2998" s="253"/>
      <c r="W2998" s="253"/>
    </row>
    <row r="2999" spans="6:23" ht="18.75" customHeight="1">
      <c r="I2999" s="252" t="s">
        <v>1043</v>
      </c>
      <c r="J2999" s="253"/>
      <c r="K2999" s="252">
        <f>SUM(K2992:K2996)</f>
        <v>6467.68</v>
      </c>
      <c r="W2999" s="253"/>
    </row>
    <row r="3000" spans="6:23" ht="18.75" customHeight="1">
      <c r="J3000" s="253"/>
      <c r="W3000" s="253"/>
    </row>
    <row r="3001" spans="6:23" ht="18.75" customHeight="1">
      <c r="I3001" s="252" t="s">
        <v>1873</v>
      </c>
      <c r="J3001" s="253"/>
      <c r="K3001" s="252">
        <f>K2999/3.5</f>
        <v>1847.91</v>
      </c>
      <c r="W3001" s="253"/>
    </row>
    <row r="3002" spans="6:23" ht="18.75" customHeight="1">
      <c r="G3002" s="274" t="s">
        <v>1044</v>
      </c>
      <c r="J3002" s="253"/>
      <c r="W3002" s="253"/>
    </row>
    <row r="3003" spans="6:23" ht="18.75" customHeight="1">
      <c r="J3003" s="253"/>
      <c r="W3003" s="253"/>
    </row>
    <row r="3004" spans="6:23" ht="18.75" customHeight="1">
      <c r="F3004" s="252">
        <v>1</v>
      </c>
      <c r="G3004" s="252" t="s">
        <v>2142</v>
      </c>
      <c r="H3004" s="252" t="s">
        <v>207</v>
      </c>
      <c r="I3004" s="252">
        <f>AC38</f>
        <v>389</v>
      </c>
      <c r="J3004" s="407" t="s">
        <v>2142</v>
      </c>
      <c r="K3004" s="252">
        <f>F3004*I3004</f>
        <v>389</v>
      </c>
      <c r="W3004" s="253"/>
    </row>
    <row r="3005" spans="6:23" ht="18.75" customHeight="1">
      <c r="F3005" s="252">
        <v>1</v>
      </c>
      <c r="G3005" s="252" t="s">
        <v>2142</v>
      </c>
      <c r="H3005" s="252" t="s">
        <v>1045</v>
      </c>
      <c r="I3005" s="252">
        <f>AE28</f>
        <v>38.950000000000003</v>
      </c>
      <c r="J3005" s="407" t="s">
        <v>2142</v>
      </c>
      <c r="K3005" s="252">
        <f>F3005*I3005</f>
        <v>38.950000000000003</v>
      </c>
      <c r="W3005" s="253"/>
    </row>
    <row r="3006" spans="6:23" ht="18.75" customHeight="1">
      <c r="J3006" s="253"/>
      <c r="K3006" s="274">
        <f>SUM(K3004:K3005)</f>
        <v>427.95</v>
      </c>
      <c r="W3006" s="253"/>
    </row>
    <row r="3007" spans="6:23" ht="18.75" customHeight="1">
      <c r="W3007" s="253"/>
    </row>
    <row r="3008" spans="6:23" ht="18.75" customHeight="1">
      <c r="H3008" s="252" t="s">
        <v>1899</v>
      </c>
      <c r="I3008" s="268"/>
      <c r="J3008" s="253"/>
      <c r="W3008" s="253"/>
    </row>
    <row r="3009" spans="8:23" ht="18.75" customHeight="1">
      <c r="H3009" s="268" t="s">
        <v>5466</v>
      </c>
      <c r="I3009" s="252">
        <v>1020</v>
      </c>
      <c r="J3009" s="253" t="s">
        <v>1706</v>
      </c>
      <c r="K3009" s="362">
        <f>I3009</f>
        <v>1020</v>
      </c>
      <c r="W3009" s="253"/>
    </row>
    <row r="3010" spans="8:23" ht="18.75" customHeight="1">
      <c r="J3010" s="253"/>
      <c r="K3010" s="423"/>
      <c r="W3010" s="253"/>
    </row>
    <row r="3011" spans="8:23" ht="18.75" customHeight="1">
      <c r="J3011" s="253"/>
      <c r="K3011" s="423"/>
      <c r="W3011" s="253"/>
    </row>
    <row r="3012" spans="8:23" ht="18.75" customHeight="1">
      <c r="H3012" s="252" t="s">
        <v>5467</v>
      </c>
      <c r="I3012" s="537">
        <v>494.7</v>
      </c>
      <c r="J3012" s="253" t="s">
        <v>1706</v>
      </c>
      <c r="K3012" s="362">
        <f>I3012</f>
        <v>494.7</v>
      </c>
      <c r="W3012" s="253"/>
    </row>
    <row r="3013" spans="8:23" ht="18.75" customHeight="1">
      <c r="I3013" s="362"/>
      <c r="J3013" s="253"/>
      <c r="K3013" s="362"/>
      <c r="W3013" s="253"/>
    </row>
    <row r="3014" spans="8:23" ht="18.75" customHeight="1">
      <c r="H3014" s="252" t="s">
        <v>5468</v>
      </c>
      <c r="I3014" s="537">
        <v>398.3</v>
      </c>
      <c r="J3014" s="253" t="s">
        <v>1706</v>
      </c>
      <c r="K3014" s="362">
        <f>I3014</f>
        <v>398.3</v>
      </c>
      <c r="W3014" s="253"/>
    </row>
    <row r="3015" spans="8:23" ht="18.75" customHeight="1">
      <c r="J3015" s="253"/>
      <c r="K3015" s="362"/>
      <c r="W3015" s="253"/>
    </row>
    <row r="3016" spans="8:23" ht="18.75" customHeight="1">
      <c r="H3016" s="252" t="s">
        <v>1286</v>
      </c>
      <c r="J3016" s="253"/>
      <c r="K3016" s="423"/>
      <c r="W3016" s="253"/>
    </row>
    <row r="3017" spans="8:23" ht="18.75" customHeight="1">
      <c r="H3017" s="252" t="s">
        <v>5469</v>
      </c>
      <c r="I3017" s="537">
        <v>995</v>
      </c>
      <c r="J3017" s="253" t="s">
        <v>1706</v>
      </c>
      <c r="K3017" s="362">
        <f>I3017</f>
        <v>995</v>
      </c>
      <c r="W3017" s="253"/>
    </row>
    <row r="3018" spans="8:23" ht="18.75" customHeight="1">
      <c r="H3018" s="296" t="s">
        <v>1063</v>
      </c>
      <c r="I3018" s="372">
        <f>K2291</f>
        <v>2176.4</v>
      </c>
      <c r="J3018" s="253"/>
      <c r="K3018" s="372">
        <f>I3018</f>
        <v>2176.4</v>
      </c>
      <c r="W3018" s="253"/>
    </row>
    <row r="3019" spans="8:23" ht="18.75" customHeight="1">
      <c r="J3019" s="253"/>
      <c r="W3019" s="253"/>
    </row>
    <row r="3020" spans="8:23" ht="18.75" customHeight="1">
      <c r="J3020" s="253"/>
      <c r="W3020" s="253"/>
    </row>
    <row r="3021" spans="8:23" ht="18.75" customHeight="1">
      <c r="J3021" s="253"/>
      <c r="W3021" s="253"/>
    </row>
    <row r="3022" spans="8:23" ht="18.75" customHeight="1">
      <c r="J3022" s="253"/>
      <c r="W3022" s="253"/>
    </row>
    <row r="3023" spans="8:23" ht="18.75" customHeight="1">
      <c r="I3023" s="423"/>
      <c r="J3023" s="253"/>
      <c r="W3023" s="253"/>
    </row>
    <row r="3024" spans="8:23" ht="18.75" customHeight="1">
      <c r="J3024" s="253"/>
      <c r="W3024" s="253"/>
    </row>
    <row r="3025" spans="8:23" ht="18.75" customHeight="1">
      <c r="H3025" s="407"/>
      <c r="J3025" s="253"/>
      <c r="W3025" s="253"/>
    </row>
    <row r="3026" spans="8:23" ht="18.75" customHeight="1">
      <c r="J3026" s="253"/>
      <c r="W3026" s="253"/>
    </row>
    <row r="3027" spans="8:23" ht="18.75" customHeight="1">
      <c r="H3027" s="360"/>
      <c r="I3027" s="274"/>
      <c r="J3027" s="255"/>
      <c r="K3027" s="274"/>
      <c r="W3027" s="253"/>
    </row>
    <row r="3028" spans="8:23" ht="18.75" customHeight="1">
      <c r="W3028" s="253"/>
    </row>
    <row r="3029" spans="8:23" ht="18.75" customHeight="1">
      <c r="W3029" s="253"/>
    </row>
    <row r="3030" spans="8:23" ht="18.75" customHeight="1">
      <c r="H3030" s="252" t="s">
        <v>1006</v>
      </c>
      <c r="W3030" s="253"/>
    </row>
    <row r="3031" spans="8:23" ht="18.75" customHeight="1">
      <c r="H3031" s="252" t="s">
        <v>1007</v>
      </c>
      <c r="J3031" s="296" t="s">
        <v>1393</v>
      </c>
      <c r="K3031" s="422">
        <v>130</v>
      </c>
      <c r="W3031" s="253"/>
    </row>
    <row r="3032" spans="8:23" ht="18.75" customHeight="1">
      <c r="W3032" s="253"/>
    </row>
    <row r="3033" spans="8:23" ht="18.75" customHeight="1">
      <c r="H3033" s="252" t="s">
        <v>1008</v>
      </c>
      <c r="J3033" s="296" t="s">
        <v>1393</v>
      </c>
      <c r="K3033" s="422">
        <v>170</v>
      </c>
      <c r="W3033" s="253"/>
    </row>
    <row r="3034" spans="8:23" ht="18.75" customHeight="1">
      <c r="W3034" s="253"/>
    </row>
    <row r="3035" spans="8:23" ht="18.75" customHeight="1">
      <c r="W3035" s="253"/>
    </row>
    <row r="3036" spans="8:23" ht="18.75" customHeight="1">
      <c r="H3036" s="296" t="s">
        <v>1253</v>
      </c>
      <c r="J3036" s="296" t="s">
        <v>1393</v>
      </c>
      <c r="K3036" s="422">
        <v>443</v>
      </c>
      <c r="W3036" s="253"/>
    </row>
    <row r="3037" spans="8:23" ht="18.75" customHeight="1">
      <c r="W3037" s="253"/>
    </row>
    <row r="3038" spans="8:23" ht="18.75" customHeight="1">
      <c r="H3038" s="389" t="s">
        <v>199</v>
      </c>
      <c r="J3038" s="296" t="s">
        <v>1393</v>
      </c>
      <c r="K3038" s="252">
        <f>[12]Elec.Data!K936</f>
        <v>1552.7</v>
      </c>
      <c r="W3038" s="253"/>
    </row>
    <row r="3039" spans="8:23" ht="18.75" customHeight="1">
      <c r="W3039" s="253"/>
    </row>
    <row r="3040" spans="8:23" ht="18.75" customHeight="1">
      <c r="W3040" s="253"/>
    </row>
    <row r="3041" spans="6:23" ht="18.75" customHeight="1">
      <c r="H3041" s="252" t="s">
        <v>1286</v>
      </c>
      <c r="J3041" s="296" t="s">
        <v>1393</v>
      </c>
      <c r="K3041" s="423">
        <f>K3017</f>
        <v>995</v>
      </c>
      <c r="W3041" s="253"/>
    </row>
    <row r="3042" spans="6:23" ht="18.75" customHeight="1">
      <c r="H3042" s="252" t="s">
        <v>1287</v>
      </c>
      <c r="W3042" s="253"/>
    </row>
    <row r="3043" spans="6:23" ht="18.75" customHeight="1">
      <c r="W3043" s="253"/>
    </row>
    <row r="3044" spans="6:23" ht="18.75" customHeight="1">
      <c r="F3044" s="252">
        <v>0.5</v>
      </c>
      <c r="H3044" s="252" t="s">
        <v>1860</v>
      </c>
      <c r="J3044" s="296">
        <f>C15</f>
        <v>866</v>
      </c>
      <c r="K3044" s="252">
        <f>J3044*F3044</f>
        <v>433</v>
      </c>
      <c r="W3044" s="253"/>
    </row>
    <row r="3045" spans="6:23" ht="18.75" customHeight="1">
      <c r="F3045" s="252">
        <v>0.5</v>
      </c>
      <c r="H3045" s="252" t="s">
        <v>345</v>
      </c>
      <c r="J3045" s="296">
        <f>C12</f>
        <v>651</v>
      </c>
      <c r="K3045" s="252">
        <f>J3045*F3045</f>
        <v>325.5</v>
      </c>
      <c r="W3045" s="253"/>
    </row>
    <row r="3046" spans="6:23" ht="18.75" customHeight="1">
      <c r="I3046" s="1258" t="s">
        <v>1058</v>
      </c>
      <c r="J3046" s="1258"/>
      <c r="K3046" s="274">
        <f>SUM(K3041:K3045)</f>
        <v>1753.5</v>
      </c>
      <c r="W3046" s="253"/>
    </row>
    <row r="3047" spans="6:23" ht="18.75" customHeight="1">
      <c r="W3047" s="253"/>
    </row>
    <row r="3048" spans="6:23" ht="18.75" customHeight="1">
      <c r="W3048" s="253"/>
    </row>
    <row r="3049" spans="6:23" ht="18.75" customHeight="1">
      <c r="F3049" s="253" t="s">
        <v>561</v>
      </c>
      <c r="G3049" s="252" t="s">
        <v>2241</v>
      </c>
      <c r="H3049" s="296" t="s">
        <v>1760</v>
      </c>
      <c r="J3049" s="253"/>
      <c r="W3049" s="253"/>
    </row>
    <row r="3050" spans="6:23" ht="18.75" customHeight="1">
      <c r="H3050" s="296" t="s">
        <v>253</v>
      </c>
      <c r="J3050" s="253"/>
      <c r="W3050" s="253"/>
    </row>
    <row r="3051" spans="6:23" ht="18.75" customHeight="1">
      <c r="H3051" s="296" t="s">
        <v>1408</v>
      </c>
      <c r="J3051" s="253"/>
      <c r="W3051" s="253"/>
    </row>
    <row r="3052" spans="6:23" ht="18.75" customHeight="1">
      <c r="H3052" s="358" t="s">
        <v>1579</v>
      </c>
      <c r="J3052" s="253"/>
      <c r="W3052" s="253"/>
    </row>
    <row r="3053" spans="6:23" ht="18.75" customHeight="1">
      <c r="H3053" s="296" t="s">
        <v>754</v>
      </c>
      <c r="J3053" s="253"/>
      <c r="W3053" s="253"/>
    </row>
    <row r="3054" spans="6:23" ht="18.75" customHeight="1">
      <c r="J3054" s="253"/>
      <c r="W3054" s="253"/>
    </row>
    <row r="3055" spans="6:23" ht="18.75" customHeight="1">
      <c r="F3055" s="316">
        <v>2.2275</v>
      </c>
      <c r="G3055" s="252" t="s">
        <v>606</v>
      </c>
      <c r="H3055" s="389" t="s">
        <v>738</v>
      </c>
      <c r="I3055" s="252">
        <f>I2834</f>
        <v>2180</v>
      </c>
      <c r="J3055" s="253" t="s">
        <v>606</v>
      </c>
      <c r="K3055" s="252">
        <f>F3056*I3055</f>
        <v>4855.95</v>
      </c>
      <c r="W3055" s="253"/>
    </row>
    <row r="3056" spans="6:23" ht="18.75" customHeight="1">
      <c r="F3056" s="316">
        <f>F3055</f>
        <v>2.2275</v>
      </c>
      <c r="G3056" s="252" t="s">
        <v>606</v>
      </c>
      <c r="H3056" s="544" t="s">
        <v>444</v>
      </c>
      <c r="I3056" s="407">
        <f>I2867</f>
        <v>330.2</v>
      </c>
      <c r="J3056" s="253" t="s">
        <v>606</v>
      </c>
      <c r="K3056" s="252">
        <f t="shared" ref="K3056:K3062" si="287">(F3056*I3056)</f>
        <v>735.52</v>
      </c>
      <c r="M3056" s="253" t="s">
        <v>561</v>
      </c>
      <c r="N3056" s="252" t="s">
        <v>2241</v>
      </c>
      <c r="O3056" s="296" t="s">
        <v>1760</v>
      </c>
      <c r="Q3056" s="253"/>
      <c r="W3056" s="253"/>
    </row>
    <row r="3057" spans="6:23" ht="18.75" customHeight="1">
      <c r="F3057" s="252">
        <v>4</v>
      </c>
      <c r="G3057" s="252" t="s">
        <v>766</v>
      </c>
      <c r="H3057" s="296" t="s">
        <v>1456</v>
      </c>
      <c r="I3057" s="423">
        <f t="shared" ref="I3057:I3062" si="288">I2972</f>
        <v>57.65</v>
      </c>
      <c r="J3057" s="253" t="s">
        <v>865</v>
      </c>
      <c r="K3057" s="252">
        <f t="shared" si="287"/>
        <v>230.6</v>
      </c>
      <c r="O3057" s="296" t="s">
        <v>253</v>
      </c>
      <c r="Q3057" s="253"/>
      <c r="W3057" s="253"/>
    </row>
    <row r="3058" spans="6:23" ht="18.75" customHeight="1">
      <c r="F3058" s="252">
        <v>6</v>
      </c>
      <c r="G3058" s="252" t="s">
        <v>865</v>
      </c>
      <c r="H3058" s="296" t="s">
        <v>1457</v>
      </c>
      <c r="I3058" s="423">
        <f t="shared" si="288"/>
        <v>89.6</v>
      </c>
      <c r="J3058" s="253" t="s">
        <v>865</v>
      </c>
      <c r="K3058" s="252">
        <f t="shared" si="287"/>
        <v>537.6</v>
      </c>
      <c r="O3058" s="296" t="s">
        <v>82</v>
      </c>
      <c r="Q3058" s="253"/>
      <c r="W3058" s="253"/>
    </row>
    <row r="3059" spans="6:23" ht="18.75" customHeight="1">
      <c r="F3059" s="252">
        <v>4</v>
      </c>
      <c r="G3059" s="252" t="s">
        <v>865</v>
      </c>
      <c r="H3059" s="296" t="s">
        <v>1458</v>
      </c>
      <c r="I3059" s="423">
        <f t="shared" si="288"/>
        <v>64.8</v>
      </c>
      <c r="J3059" s="253" t="s">
        <v>865</v>
      </c>
      <c r="K3059" s="252">
        <f t="shared" si="287"/>
        <v>259.2</v>
      </c>
      <c r="O3059" s="358" t="s">
        <v>1579</v>
      </c>
      <c r="Q3059" s="253"/>
      <c r="W3059" s="253"/>
    </row>
    <row r="3060" spans="6:23" ht="18.75" customHeight="1">
      <c r="F3060" s="252">
        <v>1</v>
      </c>
      <c r="G3060" s="252" t="s">
        <v>865</v>
      </c>
      <c r="H3060" s="296" t="s">
        <v>1459</v>
      </c>
      <c r="I3060" s="423">
        <f t="shared" si="288"/>
        <v>181</v>
      </c>
      <c r="J3060" s="253" t="s">
        <v>865</v>
      </c>
      <c r="K3060" s="252">
        <f t="shared" si="287"/>
        <v>181</v>
      </c>
      <c r="O3060" s="296" t="s">
        <v>361</v>
      </c>
      <c r="Q3060" s="253"/>
      <c r="W3060" s="253"/>
    </row>
    <row r="3061" spans="6:23" ht="18.75" customHeight="1">
      <c r="F3061" s="252">
        <v>2</v>
      </c>
      <c r="G3061" s="252" t="s">
        <v>865</v>
      </c>
      <c r="H3061" s="296" t="s">
        <v>1460</v>
      </c>
      <c r="I3061" s="423">
        <f t="shared" si="288"/>
        <v>7.3</v>
      </c>
      <c r="J3061" s="253" t="s">
        <v>865</v>
      </c>
      <c r="K3061" s="252">
        <f t="shared" si="287"/>
        <v>14.6</v>
      </c>
      <c r="Q3061" s="253"/>
      <c r="W3061" s="253"/>
    </row>
    <row r="3062" spans="6:23" ht="18.75" customHeight="1">
      <c r="F3062" s="252">
        <v>2</v>
      </c>
      <c r="G3062" s="252" t="s">
        <v>865</v>
      </c>
      <c r="H3062" s="296" t="s">
        <v>1973</v>
      </c>
      <c r="I3062" s="423">
        <f t="shared" si="288"/>
        <v>49.55</v>
      </c>
      <c r="J3062" s="253" t="s">
        <v>865</v>
      </c>
      <c r="K3062" s="252">
        <f t="shared" si="287"/>
        <v>99.1</v>
      </c>
      <c r="M3062" s="356">
        <v>3.29</v>
      </c>
      <c r="N3062" s="252" t="s">
        <v>606</v>
      </c>
      <c r="O3062" s="389" t="s">
        <v>738</v>
      </c>
      <c r="P3062" s="252">
        <f>I3055</f>
        <v>2180</v>
      </c>
      <c r="Q3062" s="253" t="s">
        <v>606</v>
      </c>
      <c r="R3062" s="252">
        <f>M3063*P3062</f>
        <v>7172.2</v>
      </c>
      <c r="W3062" s="253"/>
    </row>
    <row r="3063" spans="6:23" ht="18.75" customHeight="1">
      <c r="J3063" s="253"/>
      <c r="K3063" s="407">
        <v>0.2</v>
      </c>
      <c r="M3063" s="356">
        <v>3.29</v>
      </c>
      <c r="N3063" s="252" t="s">
        <v>606</v>
      </c>
      <c r="O3063" s="296" t="s">
        <v>444</v>
      </c>
      <c r="P3063" s="252">
        <f t="shared" ref="P3063:P3069" si="289">I3056</f>
        <v>330.2</v>
      </c>
      <c r="Q3063" s="253" t="s">
        <v>606</v>
      </c>
      <c r="R3063" s="252">
        <f t="shared" ref="R3063:R3069" si="290">(M3063*P3063)</f>
        <v>1086.3599999999999</v>
      </c>
      <c r="W3063" s="253"/>
    </row>
    <row r="3064" spans="6:23" ht="18.75" customHeight="1">
      <c r="H3064" s="296" t="s">
        <v>755</v>
      </c>
      <c r="J3064" s="253"/>
      <c r="K3064" s="252">
        <f>SUM(K3055:K3063)</f>
        <v>6913.77</v>
      </c>
      <c r="M3064" s="252">
        <v>4</v>
      </c>
      <c r="N3064" s="252" t="s">
        <v>766</v>
      </c>
      <c r="O3064" s="296" t="s">
        <v>1456</v>
      </c>
      <c r="P3064" s="252">
        <f t="shared" si="289"/>
        <v>57.65</v>
      </c>
      <c r="Q3064" s="253" t="s">
        <v>865</v>
      </c>
      <c r="R3064" s="252">
        <f t="shared" si="290"/>
        <v>230.6</v>
      </c>
      <c r="W3064" s="253"/>
    </row>
    <row r="3065" spans="6:23" ht="18.75" customHeight="1">
      <c r="J3065" s="253"/>
      <c r="K3065" s="358" t="s">
        <v>1579</v>
      </c>
      <c r="M3065" s="252">
        <v>6</v>
      </c>
      <c r="N3065" s="252" t="s">
        <v>865</v>
      </c>
      <c r="O3065" s="296" t="s">
        <v>1457</v>
      </c>
      <c r="P3065" s="252">
        <f t="shared" si="289"/>
        <v>89.6</v>
      </c>
      <c r="Q3065" s="253" t="s">
        <v>865</v>
      </c>
      <c r="R3065" s="252">
        <f t="shared" si="290"/>
        <v>537.6</v>
      </c>
      <c r="W3065" s="253"/>
    </row>
    <row r="3066" spans="6:23" ht="18.75" customHeight="1">
      <c r="H3066" s="296" t="s">
        <v>549</v>
      </c>
      <c r="J3066" s="253"/>
      <c r="K3066" s="252">
        <f>K3064/F3056</f>
        <v>3103.82</v>
      </c>
      <c r="M3066" s="252">
        <v>4</v>
      </c>
      <c r="N3066" s="252" t="s">
        <v>865</v>
      </c>
      <c r="O3066" s="296" t="s">
        <v>1458</v>
      </c>
      <c r="P3066" s="252">
        <f t="shared" si="289"/>
        <v>64.8</v>
      </c>
      <c r="Q3066" s="253" t="s">
        <v>865</v>
      </c>
      <c r="R3066" s="252">
        <f t="shared" si="290"/>
        <v>259.2</v>
      </c>
      <c r="W3066" s="253"/>
    </row>
    <row r="3067" spans="6:23" ht="18.75" customHeight="1">
      <c r="M3067" s="252">
        <v>1</v>
      </c>
      <c r="N3067" s="252" t="s">
        <v>865</v>
      </c>
      <c r="O3067" s="296" t="s">
        <v>1459</v>
      </c>
      <c r="P3067" s="252">
        <f t="shared" si="289"/>
        <v>181</v>
      </c>
      <c r="Q3067" s="253" t="s">
        <v>865</v>
      </c>
      <c r="R3067" s="252">
        <f t="shared" si="290"/>
        <v>181</v>
      </c>
      <c r="W3067" s="253"/>
    </row>
    <row r="3068" spans="6:23" ht="18.75" customHeight="1">
      <c r="F3068" s="253" t="s">
        <v>561</v>
      </c>
      <c r="G3068" s="252" t="s">
        <v>2241</v>
      </c>
      <c r="H3068" s="296" t="s">
        <v>1760</v>
      </c>
      <c r="J3068" s="253"/>
      <c r="M3068" s="252">
        <v>2</v>
      </c>
      <c r="N3068" s="252" t="s">
        <v>865</v>
      </c>
      <c r="O3068" s="296" t="s">
        <v>1460</v>
      </c>
      <c r="P3068" s="252">
        <f t="shared" si="289"/>
        <v>7.3</v>
      </c>
      <c r="Q3068" s="253" t="s">
        <v>865</v>
      </c>
      <c r="R3068" s="252">
        <f t="shared" si="290"/>
        <v>14.6</v>
      </c>
      <c r="W3068" s="253"/>
    </row>
    <row r="3069" spans="6:23" ht="18.75" customHeight="1">
      <c r="H3069" s="296" t="s">
        <v>253</v>
      </c>
      <c r="J3069" s="253"/>
      <c r="M3069" s="252">
        <v>2</v>
      </c>
      <c r="N3069" s="252" t="s">
        <v>865</v>
      </c>
      <c r="O3069" s="296" t="s">
        <v>1973</v>
      </c>
      <c r="P3069" s="252">
        <f t="shared" si="289"/>
        <v>49.55</v>
      </c>
      <c r="Q3069" s="253" t="s">
        <v>865</v>
      </c>
      <c r="R3069" s="252">
        <f t="shared" si="290"/>
        <v>99.1</v>
      </c>
      <c r="W3069" s="253"/>
    </row>
    <row r="3070" spans="6:23" ht="18.75" customHeight="1">
      <c r="H3070" s="296" t="s">
        <v>1917</v>
      </c>
      <c r="J3070" s="253"/>
      <c r="Q3070" s="253"/>
      <c r="R3070" s="358" t="s">
        <v>1579</v>
      </c>
      <c r="W3070" s="253"/>
    </row>
    <row r="3071" spans="6:23" ht="18.75" customHeight="1">
      <c r="H3071" s="358" t="s">
        <v>1579</v>
      </c>
      <c r="J3071" s="253"/>
      <c r="O3071" s="296" t="s">
        <v>362</v>
      </c>
      <c r="Q3071" s="253"/>
      <c r="R3071" s="252">
        <f>SUM(R3062:R3070)+0.5</f>
        <v>9581.16</v>
      </c>
      <c r="W3071" s="253"/>
    </row>
    <row r="3072" spans="6:23" ht="18.75" customHeight="1">
      <c r="H3072" s="296" t="s">
        <v>103</v>
      </c>
      <c r="J3072" s="253"/>
      <c r="Q3072" s="253"/>
      <c r="R3072" s="358" t="s">
        <v>1579</v>
      </c>
      <c r="W3072" s="253"/>
    </row>
    <row r="3073" spans="6:23" ht="18.75" customHeight="1">
      <c r="J3073" s="253"/>
      <c r="O3073" s="296" t="s">
        <v>549</v>
      </c>
      <c r="Q3073" s="253"/>
      <c r="R3073" s="252">
        <f>R3071/M3062</f>
        <v>2912.21</v>
      </c>
      <c r="W3073" s="253"/>
    </row>
    <row r="3074" spans="6:23" ht="18.75" customHeight="1">
      <c r="F3074" s="356">
        <v>2.87</v>
      </c>
      <c r="G3074" s="252" t="s">
        <v>606</v>
      </c>
      <c r="H3074" s="389" t="s">
        <v>738</v>
      </c>
      <c r="I3074" s="423">
        <f>I3055</f>
        <v>2180</v>
      </c>
      <c r="J3074" s="253" t="s">
        <v>606</v>
      </c>
      <c r="K3074" s="252">
        <f>F3075*I3074</f>
        <v>6256.6</v>
      </c>
      <c r="Q3074" s="296"/>
      <c r="W3074" s="253"/>
    </row>
    <row r="3075" spans="6:23" ht="18.75" customHeight="1">
      <c r="F3075" s="356">
        <f>F3074</f>
        <v>2.87</v>
      </c>
      <c r="G3075" s="252" t="s">
        <v>606</v>
      </c>
      <c r="H3075" s="544" t="s">
        <v>444</v>
      </c>
      <c r="I3075" s="407">
        <f t="shared" ref="I3075:I3081" si="291">I3056</f>
        <v>330.2</v>
      </c>
      <c r="J3075" s="253" t="s">
        <v>606</v>
      </c>
      <c r="K3075" s="252">
        <f t="shared" ref="K3075:K3081" si="292">(F3075*I3075)</f>
        <v>947.67</v>
      </c>
      <c r="W3075" s="253"/>
    </row>
    <row r="3076" spans="6:23" ht="18.75" customHeight="1">
      <c r="F3076" s="252">
        <v>4</v>
      </c>
      <c r="G3076" s="252" t="s">
        <v>766</v>
      </c>
      <c r="H3076" s="296" t="s">
        <v>1456</v>
      </c>
      <c r="I3076" s="423">
        <f t="shared" si="291"/>
        <v>57.65</v>
      </c>
      <c r="J3076" s="253" t="s">
        <v>865</v>
      </c>
      <c r="K3076" s="252">
        <f t="shared" si="292"/>
        <v>230.6</v>
      </c>
      <c r="W3076" s="253"/>
    </row>
    <row r="3077" spans="6:23" ht="18.75" customHeight="1">
      <c r="F3077" s="252">
        <v>6</v>
      </c>
      <c r="G3077" s="252" t="s">
        <v>865</v>
      </c>
      <c r="H3077" s="296" t="s">
        <v>1457</v>
      </c>
      <c r="I3077" s="423">
        <f t="shared" si="291"/>
        <v>89.6</v>
      </c>
      <c r="J3077" s="253" t="s">
        <v>865</v>
      </c>
      <c r="K3077" s="252">
        <f t="shared" si="292"/>
        <v>537.6</v>
      </c>
      <c r="W3077" s="253"/>
    </row>
    <row r="3078" spans="6:23" ht="18.75" customHeight="1">
      <c r="F3078" s="252">
        <v>4</v>
      </c>
      <c r="G3078" s="252" t="s">
        <v>865</v>
      </c>
      <c r="H3078" s="296" t="s">
        <v>1458</v>
      </c>
      <c r="I3078" s="423">
        <f t="shared" si="291"/>
        <v>64.8</v>
      </c>
      <c r="J3078" s="253" t="s">
        <v>865</v>
      </c>
      <c r="K3078" s="252">
        <f t="shared" si="292"/>
        <v>259.2</v>
      </c>
      <c r="W3078" s="253"/>
    </row>
    <row r="3079" spans="6:23" ht="18.75" customHeight="1">
      <c r="F3079" s="252">
        <v>1</v>
      </c>
      <c r="G3079" s="252" t="s">
        <v>865</v>
      </c>
      <c r="H3079" s="296" t="s">
        <v>1459</v>
      </c>
      <c r="I3079" s="423">
        <f t="shared" si="291"/>
        <v>181</v>
      </c>
      <c r="J3079" s="253" t="s">
        <v>865</v>
      </c>
      <c r="K3079" s="252">
        <f t="shared" si="292"/>
        <v>181</v>
      </c>
      <c r="W3079" s="253"/>
    </row>
    <row r="3080" spans="6:23" ht="18.75" customHeight="1">
      <c r="F3080" s="252">
        <v>2</v>
      </c>
      <c r="G3080" s="252" t="s">
        <v>865</v>
      </c>
      <c r="H3080" s="296" t="s">
        <v>1460</v>
      </c>
      <c r="I3080" s="423">
        <f t="shared" si="291"/>
        <v>7.3</v>
      </c>
      <c r="J3080" s="253" t="s">
        <v>865</v>
      </c>
      <c r="K3080" s="252">
        <f t="shared" si="292"/>
        <v>14.6</v>
      </c>
      <c r="W3080" s="253"/>
    </row>
    <row r="3081" spans="6:23" ht="18.75" customHeight="1">
      <c r="F3081" s="252">
        <v>2</v>
      </c>
      <c r="G3081" s="252" t="s">
        <v>865</v>
      </c>
      <c r="H3081" s="296" t="s">
        <v>1973</v>
      </c>
      <c r="I3081" s="423">
        <f t="shared" si="291"/>
        <v>49.55</v>
      </c>
      <c r="J3081" s="253" t="s">
        <v>865</v>
      </c>
      <c r="K3081" s="252">
        <f t="shared" si="292"/>
        <v>99.1</v>
      </c>
      <c r="W3081" s="253"/>
    </row>
    <row r="3082" spans="6:23" ht="18.75" customHeight="1">
      <c r="J3082" s="253"/>
      <c r="K3082" s="407">
        <f>1.19+0.16</f>
        <v>1.35</v>
      </c>
      <c r="W3082" s="253"/>
    </row>
    <row r="3083" spans="6:23" ht="18.75" customHeight="1">
      <c r="H3083" s="296" t="s">
        <v>104</v>
      </c>
      <c r="J3083" s="253"/>
      <c r="K3083" s="252">
        <f>SUM(K3074:K3082)</f>
        <v>8527.7199999999993</v>
      </c>
      <c r="W3083" s="253"/>
    </row>
    <row r="3084" spans="6:23" ht="18.75" customHeight="1">
      <c r="J3084" s="253"/>
      <c r="K3084" s="358" t="s">
        <v>1579</v>
      </c>
      <c r="W3084" s="253"/>
    </row>
    <row r="3085" spans="6:23" ht="18.75" customHeight="1">
      <c r="H3085" s="296" t="s">
        <v>549</v>
      </c>
      <c r="J3085" s="253"/>
      <c r="K3085" s="252">
        <f>K3083/F3075</f>
        <v>2971.33</v>
      </c>
      <c r="W3085" s="253"/>
    </row>
    <row r="3086" spans="6:23" ht="18.75" customHeight="1">
      <c r="W3086" s="253"/>
    </row>
    <row r="3087" spans="6:23" ht="18.75" customHeight="1">
      <c r="F3087" s="549" t="s">
        <v>877</v>
      </c>
      <c r="G3087" s="550"/>
      <c r="H3087" s="367" t="s">
        <v>1225</v>
      </c>
      <c r="I3087" s="550"/>
      <c r="J3087" s="367"/>
      <c r="K3087" s="550"/>
      <c r="W3087" s="253"/>
    </row>
    <row r="3088" spans="6:23" ht="18.75" customHeight="1">
      <c r="F3088" s="550"/>
      <c r="G3088" s="550"/>
      <c r="H3088" s="551" t="s">
        <v>1579</v>
      </c>
      <c r="I3088" s="551" t="s">
        <v>1579</v>
      </c>
      <c r="J3088" s="367" t="s">
        <v>1579</v>
      </c>
      <c r="K3088" s="550"/>
      <c r="W3088" s="253"/>
    </row>
    <row r="3089" spans="6:42" ht="18.75" customHeight="1">
      <c r="F3089" s="550"/>
      <c r="G3089" s="550"/>
      <c r="H3089" s="550"/>
      <c r="I3089" s="550"/>
      <c r="J3089" s="367"/>
      <c r="K3089" s="550"/>
      <c r="W3089" s="253"/>
    </row>
    <row r="3090" spans="6:42" ht="18.75" customHeight="1">
      <c r="F3090" s="550"/>
      <c r="G3090" s="550"/>
      <c r="H3090" s="367" t="s">
        <v>1991</v>
      </c>
      <c r="I3090" s="550"/>
      <c r="J3090" s="367"/>
      <c r="K3090" s="550"/>
      <c r="W3090" s="253"/>
    </row>
    <row r="3091" spans="6:42" ht="18.75" customHeight="1">
      <c r="F3091" s="550"/>
      <c r="G3091" s="550"/>
      <c r="H3091" s="367"/>
      <c r="I3091" s="550"/>
      <c r="J3091" s="367"/>
      <c r="K3091" s="550"/>
      <c r="W3091" s="253"/>
    </row>
    <row r="3092" spans="6:42" ht="18.75" customHeight="1">
      <c r="F3092" s="550"/>
      <c r="G3092" s="550"/>
      <c r="H3092" s="367" t="s">
        <v>1992</v>
      </c>
      <c r="I3092" s="550"/>
      <c r="J3092" s="367"/>
      <c r="K3092" s="550"/>
      <c r="W3092" s="253"/>
    </row>
    <row r="3093" spans="6:42" ht="18.75" customHeight="1">
      <c r="F3093" s="550"/>
      <c r="G3093" s="550"/>
      <c r="H3093" s="367" t="s">
        <v>451</v>
      </c>
      <c r="I3093" s="550"/>
      <c r="J3093" s="367"/>
      <c r="K3093" s="550"/>
      <c r="W3093" s="253"/>
    </row>
    <row r="3094" spans="6:42" ht="18.75" customHeight="1">
      <c r="F3094" s="550"/>
      <c r="G3094" s="550"/>
      <c r="H3094" s="367" t="s">
        <v>452</v>
      </c>
      <c r="I3094" s="550"/>
      <c r="J3094" s="367"/>
      <c r="K3094" s="550"/>
      <c r="S3094" s="253"/>
      <c r="U3094" s="296"/>
      <c r="W3094" s="253"/>
    </row>
    <row r="3095" spans="6:42" ht="18.75" customHeight="1">
      <c r="F3095" s="550"/>
      <c r="G3095" s="550"/>
      <c r="H3095" s="367" t="s">
        <v>453</v>
      </c>
      <c r="I3095" s="550"/>
      <c r="J3095" s="367"/>
      <c r="K3095" s="550"/>
      <c r="S3095" s="252"/>
      <c r="U3095" s="296"/>
      <c r="W3095" s="253"/>
    </row>
    <row r="3096" spans="6:42" ht="18.75" customHeight="1">
      <c r="F3096" s="550"/>
      <c r="G3096" s="550"/>
      <c r="H3096" s="367" t="s">
        <v>878</v>
      </c>
      <c r="I3096" s="550"/>
      <c r="J3096" s="367" t="s">
        <v>971</v>
      </c>
      <c r="K3096" s="553">
        <v>3.7699999999999997E-2</v>
      </c>
      <c r="S3096" s="252"/>
      <c r="U3096" s="296"/>
      <c r="W3096" s="253"/>
    </row>
    <row r="3097" spans="6:42" ht="18.75" customHeight="1">
      <c r="F3097" s="550"/>
      <c r="G3097" s="550"/>
      <c r="H3097" s="576" t="s">
        <v>449</v>
      </c>
      <c r="I3097" s="550"/>
      <c r="J3097" s="554" t="s">
        <v>971</v>
      </c>
      <c r="K3097" s="554" t="s">
        <v>971</v>
      </c>
      <c r="S3097" s="252"/>
      <c r="U3097" s="296"/>
      <c r="W3097" s="253"/>
    </row>
    <row r="3098" spans="6:42" ht="18.75" customHeight="1">
      <c r="F3098" s="550"/>
      <c r="G3098" s="550"/>
      <c r="H3098" s="367" t="s">
        <v>1822</v>
      </c>
      <c r="I3098" s="550"/>
      <c r="J3098" s="367"/>
      <c r="K3098" s="554" t="s">
        <v>971</v>
      </c>
      <c r="S3098" s="252"/>
      <c r="U3098" s="296"/>
      <c r="W3098" s="253"/>
    </row>
    <row r="3099" spans="6:42" ht="18.75" customHeight="1">
      <c r="F3099" s="550"/>
      <c r="G3099" s="550"/>
      <c r="H3099" s="550"/>
      <c r="I3099" s="550"/>
      <c r="J3099" s="367"/>
      <c r="K3099" s="550"/>
      <c r="S3099" s="252"/>
      <c r="U3099" s="252" t="s">
        <v>3532</v>
      </c>
      <c r="W3099" s="253"/>
    </row>
    <row r="3100" spans="6:42" ht="18.75" customHeight="1">
      <c r="F3100" s="555">
        <v>1.18E-2</v>
      </c>
      <c r="G3100" s="550" t="s">
        <v>866</v>
      </c>
      <c r="H3100" s="367" t="s">
        <v>689</v>
      </c>
      <c r="I3100" s="550">
        <f>I2662</f>
        <v>111600</v>
      </c>
      <c r="J3100" s="367" t="s">
        <v>866</v>
      </c>
      <c r="K3100" s="550">
        <f t="shared" ref="K3100:K3108" si="293">(F3100*I3100)</f>
        <v>1316.88</v>
      </c>
      <c r="S3100" s="252"/>
      <c r="U3100" s="360"/>
      <c r="W3100" s="253"/>
    </row>
    <row r="3101" spans="6:42" ht="18.75" customHeight="1">
      <c r="F3101" s="555">
        <v>3.7699999999999997E-2</v>
      </c>
      <c r="G3101" s="550" t="s">
        <v>866</v>
      </c>
      <c r="H3101" s="367" t="s">
        <v>690</v>
      </c>
      <c r="I3101" s="550">
        <f t="shared" ref="I3101:I3108" si="294">I2663</f>
        <v>99400</v>
      </c>
      <c r="J3101" s="367" t="s">
        <v>866</v>
      </c>
      <c r="K3101" s="550">
        <f t="shared" si="293"/>
        <v>3747.38</v>
      </c>
      <c r="S3101" s="252"/>
      <c r="U3101" s="296" t="s">
        <v>3533</v>
      </c>
      <c r="V3101" s="316">
        <f xml:space="preserve"> 3.08*2.1</f>
        <v>6.468</v>
      </c>
      <c r="W3101" s="253" t="s">
        <v>230</v>
      </c>
      <c r="X3101" s="252" t="s">
        <v>230</v>
      </c>
    </row>
    <row r="3102" spans="6:42" ht="18.75" customHeight="1">
      <c r="F3102" s="555">
        <v>1.8550000000000001E-2</v>
      </c>
      <c r="G3102" s="550" t="s">
        <v>866</v>
      </c>
      <c r="H3102" s="367" t="s">
        <v>883</v>
      </c>
      <c r="I3102" s="550">
        <f t="shared" si="294"/>
        <v>13690</v>
      </c>
      <c r="J3102" s="367" t="s">
        <v>866</v>
      </c>
      <c r="K3102" s="550">
        <f t="shared" si="293"/>
        <v>253.95</v>
      </c>
      <c r="S3102" s="252"/>
      <c r="T3102" s="518"/>
      <c r="U3102" s="577" t="s">
        <v>3819</v>
      </c>
      <c r="V3102" s="578">
        <f>4*2.05*0.075*0.0375</f>
        <v>2.3060000000000001E-2</v>
      </c>
      <c r="W3102" s="579" t="s">
        <v>1336</v>
      </c>
      <c r="X3102" s="518"/>
      <c r="AE3102" s="274" t="s">
        <v>3644</v>
      </c>
      <c r="AP3102" s="274" t="s">
        <v>4224</v>
      </c>
    </row>
    <row r="3103" spans="6:42" ht="18.75" customHeight="1">
      <c r="F3103" s="555">
        <v>1.36</v>
      </c>
      <c r="G3103" s="550" t="s">
        <v>606</v>
      </c>
      <c r="H3103" s="367" t="s">
        <v>1226</v>
      </c>
      <c r="I3103" s="550">
        <f>I1055</f>
        <v>387.4</v>
      </c>
      <c r="J3103" s="367" t="s">
        <v>606</v>
      </c>
      <c r="K3103" s="550">
        <f t="shared" si="293"/>
        <v>526.86</v>
      </c>
      <c r="S3103" s="252"/>
      <c r="T3103" s="518"/>
      <c r="U3103" s="518"/>
      <c r="V3103" s="518"/>
      <c r="W3103" s="579" t="s">
        <v>1579</v>
      </c>
      <c r="X3103" s="518"/>
      <c r="AE3103" s="252" t="s">
        <v>3206</v>
      </c>
      <c r="AP3103" s="252" t="s">
        <v>3206</v>
      </c>
    </row>
    <row r="3104" spans="6:42" ht="18.75" customHeight="1">
      <c r="F3104" s="555">
        <v>2.0499999999999998</v>
      </c>
      <c r="G3104" s="550" t="s">
        <v>606</v>
      </c>
      <c r="H3104" s="367" t="s">
        <v>1499</v>
      </c>
      <c r="I3104" s="550">
        <f t="shared" si="294"/>
        <v>1281</v>
      </c>
      <c r="J3104" s="367" t="s">
        <v>606</v>
      </c>
      <c r="K3104" s="550">
        <f t="shared" si="293"/>
        <v>2626.05</v>
      </c>
      <c r="S3104" s="252"/>
      <c r="T3104" s="518"/>
      <c r="U3104" s="577" t="s">
        <v>3820</v>
      </c>
      <c r="V3104" s="578">
        <f>2*3*0.55*0.15*0.0375</f>
        <v>1.856E-2</v>
      </c>
      <c r="W3104" s="579" t="s">
        <v>1336</v>
      </c>
      <c r="X3104" s="518"/>
      <c r="AE3104" s="252" t="s">
        <v>3645</v>
      </c>
      <c r="AP3104" s="252" t="s">
        <v>3645</v>
      </c>
    </row>
    <row r="3105" spans="6:47" ht="18.75" customHeight="1">
      <c r="F3105" s="550">
        <v>2</v>
      </c>
      <c r="G3105" s="550" t="s">
        <v>865</v>
      </c>
      <c r="H3105" s="367" t="s">
        <v>5470</v>
      </c>
      <c r="I3105" s="580">
        <v>57</v>
      </c>
      <c r="J3105" s="367" t="s">
        <v>865</v>
      </c>
      <c r="K3105" s="550">
        <f t="shared" si="293"/>
        <v>114</v>
      </c>
      <c r="S3105" s="252"/>
      <c r="T3105" s="518"/>
      <c r="U3105" s="577" t="s">
        <v>971</v>
      </c>
      <c r="V3105" s="577" t="s">
        <v>971</v>
      </c>
      <c r="W3105" s="579"/>
      <c r="X3105" s="581" t="s">
        <v>971</v>
      </c>
      <c r="AC3105" s="252">
        <v>0.1</v>
      </c>
      <c r="AD3105" s="252" t="s">
        <v>1427</v>
      </c>
      <c r="AE3105" s="252" t="s">
        <v>650</v>
      </c>
      <c r="AF3105" s="252">
        <f>AE17</f>
        <v>881</v>
      </c>
      <c r="AG3105" s="252" t="s">
        <v>1393</v>
      </c>
      <c r="AH3105" s="252">
        <f>AC3105*AF3105</f>
        <v>88.1</v>
      </c>
      <c r="AM3105" s="252">
        <v>0.1</v>
      </c>
      <c r="AN3105" s="252" t="s">
        <v>1427</v>
      </c>
      <c r="AP3105" s="252" t="s">
        <v>650</v>
      </c>
      <c r="AQ3105" s="252">
        <f>AF3105</f>
        <v>881</v>
      </c>
      <c r="AR3105" s="252" t="s">
        <v>1393</v>
      </c>
      <c r="AS3105" s="252">
        <f>AQ3105*AM3105</f>
        <v>88.1</v>
      </c>
    </row>
    <row r="3106" spans="6:47" ht="18.75" customHeight="1">
      <c r="F3106" s="550">
        <v>6</v>
      </c>
      <c r="G3106" s="550" t="s">
        <v>865</v>
      </c>
      <c r="H3106" s="367" t="s">
        <v>1338</v>
      </c>
      <c r="I3106" s="550">
        <f t="shared" si="294"/>
        <v>49.35</v>
      </c>
      <c r="J3106" s="367" t="s">
        <v>865</v>
      </c>
      <c r="K3106" s="550">
        <f t="shared" si="293"/>
        <v>296.10000000000002</v>
      </c>
      <c r="S3106" s="252"/>
      <c r="T3106" s="518"/>
      <c r="U3106" s="518"/>
      <c r="V3106" s="518"/>
      <c r="W3106" s="579" t="s">
        <v>971</v>
      </c>
      <c r="X3106" s="577" t="s">
        <v>971</v>
      </c>
      <c r="AC3106" s="252">
        <v>0.1</v>
      </c>
      <c r="AD3106" s="252" t="s">
        <v>3646</v>
      </c>
      <c r="AE3106" s="252" t="s">
        <v>345</v>
      </c>
      <c r="AF3106" s="252">
        <f>AE11</f>
        <v>651</v>
      </c>
      <c r="AG3106" s="252" t="s">
        <v>1393</v>
      </c>
      <c r="AH3106" s="252">
        <f>AC3106*AF3106</f>
        <v>65.099999999999994</v>
      </c>
      <c r="AM3106" s="252">
        <v>0.1</v>
      </c>
      <c r="AN3106" s="252" t="s">
        <v>3646</v>
      </c>
      <c r="AP3106" s="252" t="s">
        <v>345</v>
      </c>
      <c r="AQ3106" s="252">
        <f>AF3106</f>
        <v>651</v>
      </c>
      <c r="AR3106" s="252" t="s">
        <v>1393</v>
      </c>
      <c r="AS3106" s="252">
        <f>AQ3106*AM3106</f>
        <v>65.099999999999994</v>
      </c>
    </row>
    <row r="3107" spans="6:47" ht="18.75" customHeight="1">
      <c r="F3107" s="550">
        <v>2</v>
      </c>
      <c r="G3107" s="550" t="s">
        <v>865</v>
      </c>
      <c r="H3107" s="367" t="s">
        <v>1385</v>
      </c>
      <c r="I3107" s="550">
        <f t="shared" si="294"/>
        <v>60.9</v>
      </c>
      <c r="J3107" s="367" t="s">
        <v>865</v>
      </c>
      <c r="K3107" s="550">
        <f t="shared" si="293"/>
        <v>121.8</v>
      </c>
      <c r="S3107" s="252"/>
      <c r="T3107" s="518"/>
      <c r="U3107" s="577" t="s">
        <v>2428</v>
      </c>
      <c r="V3107" s="518">
        <f>2*0.625*0.425</f>
        <v>0.53</v>
      </c>
      <c r="W3107" s="582" t="s">
        <v>971</v>
      </c>
      <c r="X3107" s="581" t="s">
        <v>971</v>
      </c>
      <c r="AC3107" s="252">
        <v>10</v>
      </c>
      <c r="AD3107" s="252" t="s">
        <v>3647</v>
      </c>
      <c r="AE3107" s="252" t="s">
        <v>4918</v>
      </c>
      <c r="AF3107" s="362">
        <v>18.45</v>
      </c>
      <c r="AG3107" s="252" t="s">
        <v>3648</v>
      </c>
      <c r="AH3107" s="252">
        <f>(AC3107*AF3107)/100</f>
        <v>1.85</v>
      </c>
      <c r="AM3107" s="252">
        <v>10</v>
      </c>
      <c r="AN3107" s="252" t="s">
        <v>3647</v>
      </c>
      <c r="AP3107" s="252" t="s">
        <v>4326</v>
      </c>
      <c r="AQ3107" s="252">
        <f>AF3107</f>
        <v>18.45</v>
      </c>
      <c r="AR3107" s="252" t="s">
        <v>3648</v>
      </c>
      <c r="AS3107" s="252">
        <f>(AQ3107*AM3107)/100</f>
        <v>1.85</v>
      </c>
    </row>
    <row r="3108" spans="6:47" ht="18.75" customHeight="1">
      <c r="F3108" s="550">
        <v>1</v>
      </c>
      <c r="G3108" s="550" t="s">
        <v>865</v>
      </c>
      <c r="H3108" s="367" t="s">
        <v>1412</v>
      </c>
      <c r="I3108" s="583">
        <f t="shared" si="294"/>
        <v>63.2</v>
      </c>
      <c r="J3108" s="367" t="s">
        <v>865</v>
      </c>
      <c r="K3108" s="550">
        <f t="shared" si="293"/>
        <v>63.2</v>
      </c>
      <c r="S3108" s="252"/>
      <c r="T3108" s="518"/>
      <c r="U3108" s="577" t="s">
        <v>2429</v>
      </c>
      <c r="V3108" s="518">
        <f>2*0.425*1.025</f>
        <v>0.87</v>
      </c>
      <c r="W3108" s="579"/>
      <c r="X3108" s="581">
        <v>1.26</v>
      </c>
      <c r="AC3108" s="252">
        <v>0.25</v>
      </c>
      <c r="AD3108" s="252" t="s">
        <v>1427</v>
      </c>
      <c r="AE3108" s="252" t="s">
        <v>4919</v>
      </c>
      <c r="AF3108" s="362">
        <v>3.6</v>
      </c>
      <c r="AG3108" s="252" t="s">
        <v>1393</v>
      </c>
      <c r="AH3108" s="252">
        <v>1</v>
      </c>
      <c r="AM3108" s="252">
        <v>0.25</v>
      </c>
      <c r="AN3108" s="252" t="s">
        <v>1427</v>
      </c>
      <c r="AP3108" s="252" t="s">
        <v>4327</v>
      </c>
      <c r="AQ3108" s="252">
        <f>AF3108</f>
        <v>3.6</v>
      </c>
      <c r="AR3108" s="252" t="s">
        <v>1393</v>
      </c>
      <c r="AS3108" s="252">
        <f>AQ3108*AM3108</f>
        <v>0.9</v>
      </c>
      <c r="AU3108" s="252">
        <f>3.09/0.25</f>
        <v>12.36</v>
      </c>
    </row>
    <row r="3109" spans="6:47" ht="18.75" customHeight="1">
      <c r="F3109" s="550">
        <v>6.55</v>
      </c>
      <c r="G3109" s="550" t="s">
        <v>606</v>
      </c>
      <c r="H3109" s="367" t="s">
        <v>1340</v>
      </c>
      <c r="I3109" s="550">
        <f>K1540</f>
        <v>233.74</v>
      </c>
      <c r="J3109" s="367" t="s">
        <v>606</v>
      </c>
      <c r="K3109" s="550">
        <f>(F3109*I3109)</f>
        <v>1531</v>
      </c>
      <c r="S3109" s="252"/>
      <c r="T3109" s="518"/>
      <c r="U3109" s="518"/>
      <c r="V3109" s="584">
        <f>SUM(V3107:V3108)</f>
        <v>1.4</v>
      </c>
      <c r="W3109" s="579" t="s">
        <v>230</v>
      </c>
      <c r="X3109" s="577" t="s">
        <v>971</v>
      </c>
      <c r="AF3109" s="252" t="s">
        <v>3649</v>
      </c>
      <c r="AH3109" s="252">
        <f>SUM(AH3105:AH3108)</f>
        <v>156.05000000000001</v>
      </c>
      <c r="AQ3109" s="252" t="s">
        <v>3649</v>
      </c>
      <c r="AS3109" s="252">
        <f>SUM(AS3105:AS3108)</f>
        <v>155.94999999999999</v>
      </c>
    </row>
    <row r="3110" spans="6:47" ht="18.75" customHeight="1">
      <c r="F3110" s="550">
        <v>50</v>
      </c>
      <c r="G3110" s="550" t="s">
        <v>1427</v>
      </c>
      <c r="H3110" s="367" t="s">
        <v>1330</v>
      </c>
      <c r="I3110" s="585">
        <f>I961</f>
        <v>2.41</v>
      </c>
      <c r="J3110" s="367"/>
      <c r="K3110" s="550">
        <f>(F3110*I3110)</f>
        <v>120.5</v>
      </c>
      <c r="S3110" s="252"/>
      <c r="W3110" s="253"/>
      <c r="X3110" s="443" t="s">
        <v>971</v>
      </c>
    </row>
    <row r="3111" spans="6:47" ht="18.75" customHeight="1">
      <c r="F3111" s="550"/>
      <c r="G3111" s="550"/>
      <c r="H3111" s="560"/>
      <c r="I3111" s="560"/>
      <c r="J3111" s="359"/>
      <c r="K3111" s="561" t="s">
        <v>1579</v>
      </c>
      <c r="S3111" s="252"/>
      <c r="W3111" s="253"/>
      <c r="X3111" s="296" t="s">
        <v>971</v>
      </c>
      <c r="AE3111" s="586" t="s">
        <v>460</v>
      </c>
      <c r="AF3111" s="252" t="s">
        <v>3650</v>
      </c>
      <c r="AG3111" s="586" t="s">
        <v>3650</v>
      </c>
      <c r="AH3111" s="586" t="s">
        <v>3651</v>
      </c>
      <c r="AP3111" s="586" t="s">
        <v>460</v>
      </c>
      <c r="AQ3111" s="274" t="s">
        <v>3650</v>
      </c>
      <c r="AR3111" s="587" t="s">
        <v>3651</v>
      </c>
    </row>
    <row r="3112" spans="6:47" ht="18.75" customHeight="1">
      <c r="F3112" s="550"/>
      <c r="G3112" s="550"/>
      <c r="H3112" s="562" t="s">
        <v>1410</v>
      </c>
      <c r="I3112" s="560"/>
      <c r="J3112" s="359"/>
      <c r="K3112" s="560">
        <f>SUM(K3100:K3110)</f>
        <v>10717.72</v>
      </c>
      <c r="S3112" s="253" t="s">
        <v>1466</v>
      </c>
      <c r="U3112" s="276" t="s">
        <v>3539</v>
      </c>
      <c r="W3112" s="253"/>
      <c r="X3112" s="296" t="s">
        <v>971</v>
      </c>
      <c r="AE3112" s="586"/>
      <c r="AF3112" s="314">
        <v>331</v>
      </c>
      <c r="AG3112" s="314">
        <v>331</v>
      </c>
      <c r="AH3112" s="314">
        <v>283</v>
      </c>
      <c r="AP3112" s="586"/>
      <c r="AR3112" s="586"/>
      <c r="AS3112" s="586"/>
    </row>
    <row r="3113" spans="6:47" ht="18.75" customHeight="1">
      <c r="F3113" s="550"/>
      <c r="G3113" s="550" t="s">
        <v>971</v>
      </c>
      <c r="H3113" s="560"/>
      <c r="I3113" s="560"/>
      <c r="J3113" s="359"/>
      <c r="K3113" s="561" t="s">
        <v>1579</v>
      </c>
      <c r="S3113" s="252"/>
      <c r="U3113" s="358" t="s">
        <v>1579</v>
      </c>
      <c r="W3113" s="253"/>
      <c r="AE3113" s="586" t="s">
        <v>3652</v>
      </c>
      <c r="AF3113" s="252">
        <f>AH3109</f>
        <v>156.05000000000001</v>
      </c>
      <c r="AG3113" s="586">
        <f>AH3109</f>
        <v>156.05000000000001</v>
      </c>
      <c r="AH3113" s="586">
        <f>AH3109</f>
        <v>156.05000000000001</v>
      </c>
      <c r="AP3113" s="586" t="s">
        <v>3652</v>
      </c>
      <c r="AQ3113" s="456">
        <v>96</v>
      </c>
      <c r="AR3113" s="456">
        <v>85</v>
      </c>
      <c r="AS3113" s="456">
        <v>85</v>
      </c>
    </row>
    <row r="3114" spans="6:47" ht="18.75" customHeight="1">
      <c r="F3114" s="550"/>
      <c r="G3114" s="550"/>
      <c r="H3114" s="562" t="s">
        <v>549</v>
      </c>
      <c r="I3114" s="560"/>
      <c r="J3114" s="359"/>
      <c r="K3114" s="560">
        <f>K3112/2.52</f>
        <v>4253.0600000000004</v>
      </c>
      <c r="S3114" s="400">
        <v>7.0699999999999999E-2</v>
      </c>
      <c r="T3114" s="252" t="s">
        <v>866</v>
      </c>
      <c r="U3114" s="296" t="s">
        <v>3534</v>
      </c>
      <c r="V3114" s="252">
        <f>P3154</f>
        <v>99400</v>
      </c>
      <c r="W3114" s="253" t="s">
        <v>866</v>
      </c>
      <c r="X3114" s="252">
        <f>V3114*S3114</f>
        <v>7027.58</v>
      </c>
      <c r="AE3114" s="586" t="s">
        <v>1814</v>
      </c>
      <c r="AF3114" s="252">
        <f>SUM(AF3112:AF3113)</f>
        <v>487.05</v>
      </c>
      <c r="AG3114" s="586">
        <f>SUM(AG3112:AG3113)</f>
        <v>487.05</v>
      </c>
      <c r="AH3114" s="586">
        <f>SUM(AH3112:AH3113)</f>
        <v>439.05</v>
      </c>
      <c r="AP3114" s="586" t="s">
        <v>1814</v>
      </c>
      <c r="AQ3114" s="252">
        <f>AS3109</f>
        <v>155.94999999999999</v>
      </c>
      <c r="AR3114" s="586">
        <f>AS3109</f>
        <v>155.94999999999999</v>
      </c>
      <c r="AS3114" s="586"/>
    </row>
    <row r="3115" spans="6:47" ht="18.75" customHeight="1">
      <c r="F3115" s="550"/>
      <c r="G3115" s="550"/>
      <c r="H3115" s="560"/>
      <c r="I3115" s="560"/>
      <c r="J3115" s="359"/>
      <c r="K3115" s="561" t="s">
        <v>2046</v>
      </c>
      <c r="S3115" s="400">
        <v>3.6659999999999999</v>
      </c>
      <c r="T3115" s="252" t="s">
        <v>606</v>
      </c>
      <c r="U3115" s="296" t="s">
        <v>3535</v>
      </c>
      <c r="V3115" s="252">
        <f>I1176</f>
        <v>306.89999999999998</v>
      </c>
      <c r="W3115" s="253" t="s">
        <v>866</v>
      </c>
      <c r="X3115" s="252">
        <f t="shared" ref="X3115:X3122" si="295">V3115*S3115</f>
        <v>1125.0999999999999</v>
      </c>
      <c r="AE3115" s="586"/>
      <c r="AF3115" s="252">
        <f>ROUNDUP(AF3114,0)</f>
        <v>488</v>
      </c>
      <c r="AG3115" s="252">
        <f>ROUNDUP(AG3114,0)</f>
        <v>488</v>
      </c>
      <c r="AH3115" s="252">
        <f>ROUNDUP(AH3114,0)</f>
        <v>440</v>
      </c>
      <c r="AP3115" s="586"/>
      <c r="AQ3115" s="274">
        <f>SUM(AQ3112:AQ3114)</f>
        <v>251.95</v>
      </c>
      <c r="AR3115" s="274">
        <f>SUM(AR3112:AR3114)</f>
        <v>240.95</v>
      </c>
    </row>
    <row r="3116" spans="6:47" ht="18.75" customHeight="1">
      <c r="S3116" s="316">
        <v>5.16</v>
      </c>
      <c r="T3116" s="252" t="s">
        <v>606</v>
      </c>
      <c r="U3116" s="296" t="s">
        <v>2083</v>
      </c>
      <c r="V3116" s="252">
        <f>AE32</f>
        <v>1436</v>
      </c>
      <c r="W3116" s="253" t="s">
        <v>606</v>
      </c>
      <c r="X3116" s="252">
        <f t="shared" si="295"/>
        <v>7409.76</v>
      </c>
      <c r="AE3116" s="586"/>
      <c r="AF3116" s="586"/>
      <c r="AG3116" s="586"/>
      <c r="AH3116" s="586"/>
      <c r="AQ3116" s="252">
        <f>ROUNDUP(AQ3115,0)</f>
        <v>252</v>
      </c>
      <c r="AR3116" s="252">
        <f>ROUNDUP(AR3115,0)</f>
        <v>241</v>
      </c>
    </row>
    <row r="3117" spans="6:47" ht="18.75" customHeight="1">
      <c r="S3117" s="316">
        <v>22.66</v>
      </c>
      <c r="T3117" s="252" t="s">
        <v>3540</v>
      </c>
      <c r="U3117" s="296" t="s">
        <v>3536</v>
      </c>
      <c r="V3117" s="362">
        <v>15.45</v>
      </c>
      <c r="W3117" s="253" t="s">
        <v>4712</v>
      </c>
      <c r="X3117" s="252">
        <f t="shared" si="295"/>
        <v>350.1</v>
      </c>
    </row>
    <row r="3118" spans="6:47" ht="18.75" customHeight="1">
      <c r="H3118" s="274" t="s">
        <v>1227</v>
      </c>
      <c r="O3118" s="274" t="s">
        <v>3680</v>
      </c>
      <c r="Q3118" s="296"/>
      <c r="S3118" s="252">
        <v>15</v>
      </c>
      <c r="T3118" s="252" t="s">
        <v>865</v>
      </c>
      <c r="U3118" s="296" t="s">
        <v>1510</v>
      </c>
      <c r="V3118" s="252">
        <f>C279</f>
        <v>89.6</v>
      </c>
      <c r="W3118" s="253" t="s">
        <v>865</v>
      </c>
      <c r="X3118" s="252">
        <f t="shared" si="295"/>
        <v>1344</v>
      </c>
    </row>
    <row r="3119" spans="6:47" ht="18.75" customHeight="1">
      <c r="F3119" s="252">
        <v>1</v>
      </c>
      <c r="H3119" s="252" t="s">
        <v>450</v>
      </c>
      <c r="I3119" s="434">
        <v>143.97999999999999</v>
      </c>
      <c r="J3119" s="296" t="s">
        <v>1393</v>
      </c>
      <c r="K3119" s="252">
        <f>I3119</f>
        <v>143.97999999999999</v>
      </c>
      <c r="M3119" s="252">
        <v>1</v>
      </c>
      <c r="O3119" s="252" t="s">
        <v>4588</v>
      </c>
      <c r="P3119" s="362">
        <v>17.2</v>
      </c>
      <c r="Q3119" s="296" t="s">
        <v>1393</v>
      </c>
      <c r="R3119" s="252">
        <f>P3119</f>
        <v>17.2</v>
      </c>
      <c r="S3119" s="252">
        <v>10</v>
      </c>
      <c r="T3119" s="252" t="s">
        <v>865</v>
      </c>
      <c r="U3119" s="296" t="s">
        <v>3537</v>
      </c>
      <c r="V3119" s="362">
        <v>82.25</v>
      </c>
      <c r="W3119" s="253" t="s">
        <v>865</v>
      </c>
      <c r="X3119" s="252">
        <f t="shared" si="295"/>
        <v>822.5</v>
      </c>
    </row>
    <row r="3120" spans="6:47" ht="18.75" customHeight="1">
      <c r="F3120" s="252">
        <v>1</v>
      </c>
      <c r="H3120" s="252" t="s">
        <v>1228</v>
      </c>
      <c r="I3120" s="434">
        <v>49.2</v>
      </c>
      <c r="J3120" s="296" t="s">
        <v>1393</v>
      </c>
      <c r="K3120" s="252">
        <f>I3120</f>
        <v>49.2</v>
      </c>
      <c r="M3120" s="252">
        <v>1</v>
      </c>
      <c r="O3120" s="252" t="s">
        <v>4587</v>
      </c>
      <c r="P3120" s="362">
        <v>8.5</v>
      </c>
      <c r="Q3120" s="296" t="s">
        <v>1393</v>
      </c>
      <c r="R3120" s="252">
        <f>P3120</f>
        <v>8.5</v>
      </c>
      <c r="S3120" s="252">
        <v>5</v>
      </c>
      <c r="T3120" s="252" t="s">
        <v>865</v>
      </c>
      <c r="U3120" s="296" t="s">
        <v>3538</v>
      </c>
      <c r="V3120" s="252">
        <f>P3161</f>
        <v>57.65</v>
      </c>
      <c r="W3120" s="253" t="s">
        <v>865</v>
      </c>
      <c r="X3120" s="252">
        <f t="shared" si="295"/>
        <v>288.25</v>
      </c>
    </row>
    <row r="3121" spans="6:24" ht="18.75" customHeight="1">
      <c r="F3121" s="356">
        <v>0.125</v>
      </c>
      <c r="H3121" s="252" t="s">
        <v>1229</v>
      </c>
      <c r="I3121" s="252">
        <f>C15</f>
        <v>866</v>
      </c>
      <c r="J3121" s="296" t="s">
        <v>1393</v>
      </c>
      <c r="K3121" s="252">
        <f>F3121*I3121</f>
        <v>108.25</v>
      </c>
      <c r="M3121" s="356">
        <v>0.125</v>
      </c>
      <c r="O3121" s="252" t="s">
        <v>1229</v>
      </c>
      <c r="P3121" s="252">
        <f>I3121</f>
        <v>866</v>
      </c>
      <c r="Q3121" s="296" t="s">
        <v>1393</v>
      </c>
      <c r="R3121" s="252">
        <f>M3121*P3121</f>
        <v>108.25</v>
      </c>
      <c r="S3121" s="252">
        <v>5</v>
      </c>
      <c r="T3121" s="252" t="s">
        <v>865</v>
      </c>
      <c r="U3121" s="296" t="s">
        <v>1971</v>
      </c>
      <c r="V3121" s="252">
        <f>P3160</f>
        <v>7.3</v>
      </c>
      <c r="W3121" s="253" t="s">
        <v>865</v>
      </c>
      <c r="X3121" s="252">
        <f t="shared" si="295"/>
        <v>36.5</v>
      </c>
    </row>
    <row r="3122" spans="6:24" ht="18.75" customHeight="1">
      <c r="F3122" s="356"/>
      <c r="H3122" s="252" t="s">
        <v>2261</v>
      </c>
      <c r="K3122" s="252">
        <v>2.11</v>
      </c>
      <c r="M3122" s="356"/>
      <c r="O3122" s="252" t="s">
        <v>2261</v>
      </c>
      <c r="Q3122" s="296"/>
      <c r="R3122" s="252">
        <v>4.37</v>
      </c>
      <c r="S3122" s="252">
        <v>10</v>
      </c>
      <c r="T3122" s="252" t="s">
        <v>865</v>
      </c>
      <c r="U3122" s="296" t="s">
        <v>1331</v>
      </c>
      <c r="V3122" s="252">
        <f>I3110</f>
        <v>2.41</v>
      </c>
      <c r="W3122" s="253" t="s">
        <v>865</v>
      </c>
      <c r="X3122" s="252">
        <f t="shared" si="295"/>
        <v>24.1</v>
      </c>
    </row>
    <row r="3123" spans="6:24" ht="18.75" customHeight="1">
      <c r="H3123" s="360" t="s">
        <v>513</v>
      </c>
      <c r="I3123" s="274"/>
      <c r="J3123" s="276"/>
      <c r="K3123" s="274">
        <f>SUM(K3119:K3122)</f>
        <v>303.54000000000002</v>
      </c>
      <c r="O3123" s="252" t="s">
        <v>2261</v>
      </c>
      <c r="P3123" s="274"/>
      <c r="Q3123" s="276"/>
      <c r="R3123" s="274">
        <f>SUM(R3119:R3122)</f>
        <v>138.32</v>
      </c>
      <c r="S3123" s="252"/>
      <c r="T3123" s="252">
        <f>R3123-90</f>
        <v>48.32</v>
      </c>
      <c r="U3123" s="296"/>
      <c r="W3123" s="253" t="s">
        <v>865</v>
      </c>
      <c r="X3123" s="358" t="s">
        <v>1579</v>
      </c>
    </row>
    <row r="3124" spans="6:24" ht="18.75" customHeight="1">
      <c r="R3124" s="252">
        <f>R3123-87</f>
        <v>51.32</v>
      </c>
      <c r="S3124" s="252"/>
      <c r="U3124" s="253" t="s">
        <v>3541</v>
      </c>
      <c r="W3124" s="253"/>
      <c r="X3124" s="252">
        <f>SUM(X3114:X3122)</f>
        <v>18427.89</v>
      </c>
    </row>
    <row r="3125" spans="6:24" ht="18.75" customHeight="1">
      <c r="S3125" s="252"/>
      <c r="W3125" s="253"/>
      <c r="X3125" s="358" t="s">
        <v>1579</v>
      </c>
    </row>
    <row r="3126" spans="6:24" ht="18.75" customHeight="1">
      <c r="F3126" s="253" t="s">
        <v>459</v>
      </c>
      <c r="G3126" s="252" t="s">
        <v>2241</v>
      </c>
      <c r="H3126" s="296" t="s">
        <v>2167</v>
      </c>
      <c r="S3126" s="252"/>
      <c r="T3126" s="252" t="s">
        <v>971</v>
      </c>
      <c r="U3126" s="255" t="s">
        <v>549</v>
      </c>
      <c r="W3126" s="253"/>
      <c r="X3126" s="274">
        <f>X3124/S3116</f>
        <v>3571.3</v>
      </c>
    </row>
    <row r="3127" spans="6:24" ht="18.75" customHeight="1">
      <c r="H3127" s="296" t="s">
        <v>2169</v>
      </c>
      <c r="S3127" s="252"/>
      <c r="W3127" s="253"/>
      <c r="X3127" s="358" t="s">
        <v>2046</v>
      </c>
    </row>
    <row r="3128" spans="6:24" ht="18.75" customHeight="1">
      <c r="H3128" s="296" t="s">
        <v>2170</v>
      </c>
      <c r="S3128" s="252"/>
      <c r="W3128" s="253"/>
    </row>
    <row r="3129" spans="6:24" ht="18.75" customHeight="1">
      <c r="H3129" s="296" t="s">
        <v>2171</v>
      </c>
      <c r="S3129" s="253"/>
      <c r="U3129" s="296" t="s">
        <v>3542</v>
      </c>
      <c r="W3129" s="253"/>
      <c r="X3129" s="296" t="s">
        <v>971</v>
      </c>
    </row>
    <row r="3130" spans="6:24" ht="18.75" customHeight="1">
      <c r="H3130" s="296" t="s">
        <v>2172</v>
      </c>
      <c r="S3130" s="252"/>
      <c r="U3130" s="358" t="s">
        <v>1579</v>
      </c>
      <c r="W3130" s="253"/>
    </row>
    <row r="3131" spans="6:24" ht="18.75" customHeight="1">
      <c r="H3131" s="296" t="s">
        <v>2173</v>
      </c>
      <c r="S3131" s="400">
        <v>2.7400000000000001E-2</v>
      </c>
      <c r="T3131" s="252" t="s">
        <v>866</v>
      </c>
      <c r="U3131" s="296" t="s">
        <v>3534</v>
      </c>
      <c r="V3131" s="252">
        <f>V3114</f>
        <v>99400</v>
      </c>
      <c r="W3131" s="253" t="s">
        <v>866</v>
      </c>
      <c r="X3131" s="252">
        <f>V3131*S3131</f>
        <v>2723.56</v>
      </c>
    </row>
    <row r="3132" spans="6:24" ht="18.75" customHeight="1">
      <c r="H3132" s="358" t="s">
        <v>1579</v>
      </c>
      <c r="S3132" s="400">
        <v>1.1599999999999999</v>
      </c>
      <c r="T3132" s="252" t="s">
        <v>606</v>
      </c>
      <c r="U3132" s="296" t="s">
        <v>3535</v>
      </c>
      <c r="V3132" s="252">
        <f t="shared" ref="V3132:V3139" si="296">V3115</f>
        <v>306.89999999999998</v>
      </c>
      <c r="W3132" s="253" t="s">
        <v>866</v>
      </c>
      <c r="X3132" s="252">
        <f t="shared" ref="X3132:X3139" si="297">V3132*S3132</f>
        <v>356</v>
      </c>
    </row>
    <row r="3133" spans="6:24" ht="18.75" customHeight="1">
      <c r="H3133" s="296" t="s">
        <v>1792</v>
      </c>
      <c r="M3133" s="253" t="s">
        <v>459</v>
      </c>
      <c r="N3133" s="252" t="s">
        <v>2241</v>
      </c>
      <c r="O3133" s="296" t="s">
        <v>2167</v>
      </c>
      <c r="Q3133" s="296"/>
      <c r="S3133" s="316">
        <v>1.74</v>
      </c>
      <c r="T3133" s="252" t="s">
        <v>606</v>
      </c>
      <c r="U3133" s="296" t="s">
        <v>2083</v>
      </c>
      <c r="V3133" s="252">
        <f t="shared" si="296"/>
        <v>1436</v>
      </c>
      <c r="W3133" s="253" t="s">
        <v>606</v>
      </c>
      <c r="X3133" s="252">
        <f t="shared" si="297"/>
        <v>2498.64</v>
      </c>
    </row>
    <row r="3134" spans="6:24" ht="18.75" customHeight="1">
      <c r="H3134" s="296" t="s">
        <v>2174</v>
      </c>
      <c r="O3134" s="296" t="s">
        <v>2169</v>
      </c>
      <c r="Q3134" s="296"/>
      <c r="S3134" s="316">
        <v>8.74</v>
      </c>
      <c r="T3134" s="252" t="s">
        <v>3540</v>
      </c>
      <c r="U3134" s="296" t="s">
        <v>3536</v>
      </c>
      <c r="V3134" s="252">
        <f t="shared" si="296"/>
        <v>15.45</v>
      </c>
      <c r="W3134" s="253" t="s">
        <v>606</v>
      </c>
      <c r="X3134" s="252">
        <f t="shared" si="297"/>
        <v>135.03</v>
      </c>
    </row>
    <row r="3135" spans="6:24" ht="18.75" customHeight="1">
      <c r="J3135" s="296" t="s">
        <v>1579</v>
      </c>
      <c r="O3135" s="296" t="s">
        <v>2170</v>
      </c>
      <c r="Q3135" s="296"/>
      <c r="S3135" s="252">
        <v>6</v>
      </c>
      <c r="T3135" s="252" t="s">
        <v>865</v>
      </c>
      <c r="U3135" s="296" t="s">
        <v>1510</v>
      </c>
      <c r="V3135" s="252">
        <f t="shared" si="296"/>
        <v>89.6</v>
      </c>
      <c r="W3135" s="253" t="s">
        <v>865</v>
      </c>
      <c r="X3135" s="252">
        <f t="shared" si="297"/>
        <v>537.6</v>
      </c>
    </row>
    <row r="3136" spans="6:24" ht="18.75" customHeight="1">
      <c r="H3136" s="296" t="s">
        <v>1252</v>
      </c>
      <c r="O3136" s="296" t="s">
        <v>2171</v>
      </c>
      <c r="Q3136" s="296"/>
      <c r="S3136" s="252">
        <v>4</v>
      </c>
      <c r="T3136" s="252" t="s">
        <v>865</v>
      </c>
      <c r="U3136" s="296" t="s">
        <v>3537</v>
      </c>
      <c r="V3136" s="252">
        <f t="shared" si="296"/>
        <v>82.25</v>
      </c>
      <c r="W3136" s="253" t="s">
        <v>865</v>
      </c>
      <c r="X3136" s="252">
        <f t="shared" si="297"/>
        <v>329</v>
      </c>
    </row>
    <row r="3137" spans="6:24" ht="18.75" customHeight="1">
      <c r="H3137" s="296" t="s">
        <v>971</v>
      </c>
      <c r="I3137" s="296" t="s">
        <v>971</v>
      </c>
      <c r="K3137" s="443" t="s">
        <v>971</v>
      </c>
      <c r="O3137" s="296" t="s">
        <v>2172</v>
      </c>
      <c r="Q3137" s="296"/>
      <c r="S3137" s="252">
        <v>2</v>
      </c>
      <c r="T3137" s="252" t="s">
        <v>865</v>
      </c>
      <c r="U3137" s="296" t="s">
        <v>3538</v>
      </c>
      <c r="V3137" s="252">
        <f t="shared" si="296"/>
        <v>57.65</v>
      </c>
      <c r="W3137" s="253" t="s">
        <v>865</v>
      </c>
      <c r="X3137" s="252">
        <f t="shared" si="297"/>
        <v>115.3</v>
      </c>
    </row>
    <row r="3138" spans="6:24" ht="18.75" customHeight="1">
      <c r="J3138" s="296" t="s">
        <v>971</v>
      </c>
      <c r="K3138" s="296" t="s">
        <v>971</v>
      </c>
      <c r="O3138" s="296" t="s">
        <v>2173</v>
      </c>
      <c r="Q3138" s="296"/>
      <c r="S3138" s="252">
        <v>2</v>
      </c>
      <c r="T3138" s="252" t="s">
        <v>865</v>
      </c>
      <c r="U3138" s="296" t="s">
        <v>1971</v>
      </c>
      <c r="V3138" s="252">
        <f t="shared" si="296"/>
        <v>7.3</v>
      </c>
      <c r="W3138" s="253" t="s">
        <v>865</v>
      </c>
      <c r="X3138" s="252">
        <f t="shared" si="297"/>
        <v>14.6</v>
      </c>
    </row>
    <row r="3139" spans="6:24" ht="18.75" customHeight="1">
      <c r="H3139" s="296" t="s">
        <v>3024</v>
      </c>
      <c r="J3139" s="443" t="s">
        <v>971</v>
      </c>
      <c r="K3139" s="443" t="s">
        <v>971</v>
      </c>
      <c r="O3139" s="360" t="s">
        <v>2426</v>
      </c>
      <c r="Q3139" s="296"/>
      <c r="S3139" s="252">
        <v>10</v>
      </c>
      <c r="T3139" s="252" t="s">
        <v>865</v>
      </c>
      <c r="U3139" s="296" t="s">
        <v>1331</v>
      </c>
      <c r="V3139" s="252">
        <f t="shared" si="296"/>
        <v>2.41</v>
      </c>
      <c r="W3139" s="253" t="s">
        <v>865</v>
      </c>
      <c r="X3139" s="252">
        <f t="shared" si="297"/>
        <v>24.1</v>
      </c>
    </row>
    <row r="3140" spans="6:24" ht="18.75" customHeight="1">
      <c r="H3140" s="296" t="s">
        <v>3025</v>
      </c>
      <c r="K3140" s="443">
        <v>1.26</v>
      </c>
      <c r="O3140" s="296" t="s">
        <v>2427</v>
      </c>
      <c r="P3140" s="316">
        <f>1.1*2.05</f>
        <v>2.2549999999999999</v>
      </c>
      <c r="Q3140" s="296" t="s">
        <v>230</v>
      </c>
      <c r="S3140" s="252"/>
      <c r="U3140" s="296"/>
      <c r="W3140" s="253" t="s">
        <v>865</v>
      </c>
      <c r="X3140" s="358" t="s">
        <v>1579</v>
      </c>
    </row>
    <row r="3141" spans="6:24" ht="18.75" customHeight="1">
      <c r="K3141" s="296" t="s">
        <v>971</v>
      </c>
      <c r="O3141" s="296" t="s">
        <v>3781</v>
      </c>
      <c r="P3141" s="400">
        <f>2*2.05*0.075*0.0375</f>
        <v>1.153E-2</v>
      </c>
      <c r="Q3141" s="296" t="s">
        <v>1336</v>
      </c>
      <c r="S3141" s="252"/>
      <c r="U3141" s="253" t="s">
        <v>3543</v>
      </c>
      <c r="W3141" s="253"/>
      <c r="X3141" s="252">
        <f>SUM(X3131:X3139)</f>
        <v>6733.83</v>
      </c>
    </row>
    <row r="3142" spans="6:24" ht="18.75" customHeight="1">
      <c r="K3142" s="443" t="s">
        <v>971</v>
      </c>
      <c r="Q3142" s="296" t="s">
        <v>1579</v>
      </c>
      <c r="S3142" s="252"/>
      <c r="W3142" s="253"/>
      <c r="X3142" s="358" t="s">
        <v>1579</v>
      </c>
    </row>
    <row r="3143" spans="6:24" ht="18.75" customHeight="1">
      <c r="K3143" s="296" t="s">
        <v>971</v>
      </c>
      <c r="O3143" s="296" t="s">
        <v>3782</v>
      </c>
      <c r="P3143" s="400">
        <f>1*3*1.1*0.15*0.0375</f>
        <v>1.856E-2</v>
      </c>
      <c r="Q3143" s="296" t="s">
        <v>1336</v>
      </c>
      <c r="S3143" s="252"/>
      <c r="T3143" s="252" t="s">
        <v>971</v>
      </c>
      <c r="U3143" s="255" t="s">
        <v>549</v>
      </c>
      <c r="W3143" s="253"/>
      <c r="X3143" s="274">
        <f>X3141/S3133</f>
        <v>3870.02</v>
      </c>
    </row>
    <row r="3144" spans="6:24" ht="18.75" customHeight="1">
      <c r="F3144" s="253" t="s">
        <v>1466</v>
      </c>
      <c r="H3144" s="296" t="s">
        <v>1806</v>
      </c>
      <c r="K3144" s="296" t="s">
        <v>971</v>
      </c>
      <c r="O3144" s="296" t="s">
        <v>971</v>
      </c>
      <c r="P3144" s="296" t="s">
        <v>971</v>
      </c>
      <c r="Q3144" s="296"/>
      <c r="R3144" s="443" t="s">
        <v>971</v>
      </c>
      <c r="S3144" s="252"/>
      <c r="W3144" s="253"/>
      <c r="X3144" s="358" t="s">
        <v>2046</v>
      </c>
    </row>
    <row r="3145" spans="6:24" ht="18.75" customHeight="1">
      <c r="H3145" s="358" t="s">
        <v>1579</v>
      </c>
      <c r="Q3145" s="296" t="s">
        <v>971</v>
      </c>
      <c r="R3145" s="296" t="s">
        <v>971</v>
      </c>
      <c r="W3145" s="253"/>
    </row>
    <row r="3146" spans="6:24" ht="18.75" customHeight="1">
      <c r="F3146" s="400">
        <v>1.153E-2</v>
      </c>
      <c r="G3146" s="252" t="s">
        <v>866</v>
      </c>
      <c r="H3146" s="296" t="s">
        <v>689</v>
      </c>
      <c r="I3146" s="252">
        <f>AC26</f>
        <v>111600</v>
      </c>
      <c r="J3146" s="296" t="s">
        <v>866</v>
      </c>
      <c r="K3146" s="252">
        <f>I3146*F3146</f>
        <v>1286.75</v>
      </c>
      <c r="O3146" s="296" t="s">
        <v>3783</v>
      </c>
      <c r="P3146" s="252">
        <f>1*0.625*0.975</f>
        <v>0.61</v>
      </c>
      <c r="Q3146" s="443" t="s">
        <v>971</v>
      </c>
      <c r="R3146" s="443" t="s">
        <v>971</v>
      </c>
      <c r="W3146" s="253"/>
    </row>
    <row r="3147" spans="6:24" ht="18.75" customHeight="1">
      <c r="F3147" s="316">
        <v>1.52E-2</v>
      </c>
      <c r="G3147" s="252" t="s">
        <v>866</v>
      </c>
      <c r="H3147" s="296" t="s">
        <v>690</v>
      </c>
      <c r="I3147" s="252">
        <f>AC27</f>
        <v>99400</v>
      </c>
      <c r="J3147" s="296" t="s">
        <v>866</v>
      </c>
      <c r="K3147" s="252">
        <f t="shared" ref="K3147:K3155" si="298">I3147*F3147</f>
        <v>1510.88</v>
      </c>
      <c r="O3147" s="296" t="s">
        <v>2429</v>
      </c>
      <c r="P3147" s="252">
        <f>1*0.975*1.025</f>
        <v>1</v>
      </c>
      <c r="Q3147" s="296"/>
      <c r="R3147" s="443">
        <v>1.26</v>
      </c>
      <c r="U3147" s="276" t="s">
        <v>4316</v>
      </c>
      <c r="W3147" s="253"/>
    </row>
    <row r="3148" spans="6:24" ht="18.75" customHeight="1">
      <c r="F3148" s="316">
        <f>K3140</f>
        <v>1.26</v>
      </c>
      <c r="G3148" s="252" t="s">
        <v>606</v>
      </c>
      <c r="H3148" s="296" t="s">
        <v>2082</v>
      </c>
      <c r="I3148" s="252">
        <f>C783</f>
        <v>387.4</v>
      </c>
      <c r="J3148" s="296" t="s">
        <v>606</v>
      </c>
      <c r="K3148" s="252">
        <f t="shared" si="298"/>
        <v>488.12</v>
      </c>
      <c r="P3148" s="274">
        <f>SUM(P3146:P3147)</f>
        <v>1.61</v>
      </c>
      <c r="Q3148" s="296" t="s">
        <v>230</v>
      </c>
      <c r="R3148" s="296" t="s">
        <v>971</v>
      </c>
      <c r="S3148" s="1259" t="s">
        <v>4317</v>
      </c>
      <c r="T3148" s="1259"/>
      <c r="U3148" s="356">
        <f>2*2*0.075*0.0375*1.95</f>
        <v>2.1999999999999999E-2</v>
      </c>
      <c r="W3148" s="253"/>
    </row>
    <row r="3149" spans="6:24" ht="18.75" customHeight="1">
      <c r="F3149" s="316">
        <v>1.845</v>
      </c>
      <c r="G3149" s="252" t="s">
        <v>606</v>
      </c>
      <c r="H3149" s="296" t="s">
        <v>2083</v>
      </c>
      <c r="I3149" s="252">
        <f>D30</f>
        <v>1281</v>
      </c>
      <c r="J3149" s="296" t="s">
        <v>606</v>
      </c>
      <c r="K3149" s="252">
        <f t="shared" si="298"/>
        <v>2363.4499999999998</v>
      </c>
      <c r="Q3149" s="296"/>
      <c r="R3149" s="443" t="s">
        <v>971</v>
      </c>
      <c r="S3149" s="356" t="s">
        <v>4318</v>
      </c>
      <c r="U3149" s="400">
        <f>2*2*0.065*0.075*0.375</f>
        <v>7.3099999999999997E-3</v>
      </c>
      <c r="W3149" s="253"/>
    </row>
    <row r="3150" spans="6:24" ht="18.75" customHeight="1">
      <c r="F3150" s="252">
        <v>2</v>
      </c>
      <c r="G3150" s="252" t="s">
        <v>865</v>
      </c>
      <c r="H3150" s="296" t="s">
        <v>2084</v>
      </c>
      <c r="I3150" s="252">
        <f>C284</f>
        <v>64.8</v>
      </c>
      <c r="J3150" s="296" t="s">
        <v>865</v>
      </c>
      <c r="K3150" s="252">
        <f t="shared" si="298"/>
        <v>129.6</v>
      </c>
      <c r="Q3150" s="296"/>
      <c r="R3150" s="296" t="s">
        <v>971</v>
      </c>
      <c r="U3150" s="547">
        <f>SUM(U3148:U3149)</f>
        <v>2.93E-2</v>
      </c>
      <c r="V3150" s="252" t="s">
        <v>4319</v>
      </c>
      <c r="W3150" s="253"/>
    </row>
    <row r="3151" spans="6:24" ht="18.75" customHeight="1">
      <c r="F3151" s="252">
        <v>3</v>
      </c>
      <c r="G3151" s="252" t="s">
        <v>865</v>
      </c>
      <c r="H3151" s="296" t="s">
        <v>1510</v>
      </c>
      <c r="I3151" s="252">
        <f>C279</f>
        <v>89.6</v>
      </c>
      <c r="J3151" s="296" t="s">
        <v>865</v>
      </c>
      <c r="K3151" s="252">
        <f t="shared" si="298"/>
        <v>268.8</v>
      </c>
      <c r="M3151" s="253" t="s">
        <v>1466</v>
      </c>
      <c r="O3151" s="296" t="s">
        <v>2430</v>
      </c>
      <c r="Q3151" s="296"/>
      <c r="R3151" s="296" t="s">
        <v>971</v>
      </c>
      <c r="S3151" s="356" t="s">
        <v>4320</v>
      </c>
      <c r="U3151" s="356">
        <f>2*0.65*1.95</f>
        <v>2.5350000000000001</v>
      </c>
      <c r="V3151" s="252" t="s">
        <v>911</v>
      </c>
      <c r="W3151" s="253"/>
    </row>
    <row r="3152" spans="6:24" ht="18.75" customHeight="1">
      <c r="F3152" s="252">
        <v>1</v>
      </c>
      <c r="G3152" s="252" t="s">
        <v>865</v>
      </c>
      <c r="H3152" s="296" t="s">
        <v>1970</v>
      </c>
      <c r="I3152" s="252">
        <f>C286</f>
        <v>181</v>
      </c>
      <c r="J3152" s="296" t="s">
        <v>865</v>
      </c>
      <c r="K3152" s="252">
        <f t="shared" si="298"/>
        <v>181</v>
      </c>
      <c r="O3152" s="358" t="s">
        <v>1579</v>
      </c>
      <c r="Q3152" s="296"/>
      <c r="S3152" s="356" t="s">
        <v>4321</v>
      </c>
      <c r="U3152" s="356">
        <f>1*2*0.525*1.825</f>
        <v>1.9159999999999999</v>
      </c>
      <c r="V3152" s="252" t="s">
        <v>4322</v>
      </c>
      <c r="W3152" s="253"/>
    </row>
    <row r="3153" spans="6:24" ht="18.75" customHeight="1">
      <c r="F3153" s="252">
        <v>1</v>
      </c>
      <c r="G3153" s="252" t="s">
        <v>865</v>
      </c>
      <c r="H3153" s="296" t="s">
        <v>1971</v>
      </c>
      <c r="I3153" s="252">
        <f>C288</f>
        <v>7.3</v>
      </c>
      <c r="J3153" s="296" t="s">
        <v>865</v>
      </c>
      <c r="K3153" s="252">
        <f t="shared" si="298"/>
        <v>7.3</v>
      </c>
      <c r="M3153" s="400">
        <f>P3141</f>
        <v>1.153E-2</v>
      </c>
      <c r="N3153" s="252" t="s">
        <v>866</v>
      </c>
      <c r="O3153" s="296" t="s">
        <v>689</v>
      </c>
      <c r="P3153" s="252">
        <f>I3146</f>
        <v>111600</v>
      </c>
      <c r="Q3153" s="296" t="s">
        <v>866</v>
      </c>
      <c r="R3153" s="252">
        <f>P3153*M3153</f>
        <v>1286.75</v>
      </c>
      <c r="S3153" s="356" t="s">
        <v>4323</v>
      </c>
      <c r="U3153" s="356">
        <f>2*2*(0.525+1.825)</f>
        <v>9.4</v>
      </c>
      <c r="V3153" s="252" t="s">
        <v>4324</v>
      </c>
      <c r="W3153" s="253"/>
    </row>
    <row r="3154" spans="6:24" ht="18.75" customHeight="1">
      <c r="F3154" s="252">
        <v>1</v>
      </c>
      <c r="G3154" s="252" t="s">
        <v>865</v>
      </c>
      <c r="H3154" s="296" t="s">
        <v>1972</v>
      </c>
      <c r="I3154" s="252">
        <f>C598</f>
        <v>57.65</v>
      </c>
      <c r="J3154" s="296" t="s">
        <v>865</v>
      </c>
      <c r="K3154" s="252">
        <f t="shared" si="298"/>
        <v>57.65</v>
      </c>
      <c r="M3154" s="400">
        <f>P3143</f>
        <v>1.856E-2</v>
      </c>
      <c r="N3154" s="252" t="s">
        <v>866</v>
      </c>
      <c r="O3154" s="296" t="s">
        <v>690</v>
      </c>
      <c r="P3154" s="252">
        <f t="shared" ref="P3154:P3162" si="299">I3147</f>
        <v>99400</v>
      </c>
      <c r="Q3154" s="296" t="s">
        <v>866</v>
      </c>
      <c r="R3154" s="252">
        <f t="shared" ref="R3154:R3163" si="300">P3154*M3154</f>
        <v>1844.86</v>
      </c>
      <c r="S3154" s="253"/>
      <c r="W3154" s="253"/>
      <c r="X3154" s="296" t="s">
        <v>971</v>
      </c>
    </row>
    <row r="3155" spans="6:24" ht="18.75" customHeight="1">
      <c r="F3155" s="252">
        <v>1</v>
      </c>
      <c r="G3155" s="252" t="s">
        <v>865</v>
      </c>
      <c r="H3155" s="296" t="s">
        <v>1973</v>
      </c>
      <c r="I3155" s="252">
        <f>D598</f>
        <v>49.55</v>
      </c>
      <c r="J3155" s="296" t="s">
        <v>865</v>
      </c>
      <c r="K3155" s="252">
        <f t="shared" si="298"/>
        <v>49.55</v>
      </c>
      <c r="M3155" s="316">
        <f>P3148</f>
        <v>1.61</v>
      </c>
      <c r="N3155" s="252" t="s">
        <v>606</v>
      </c>
      <c r="O3155" s="296" t="s">
        <v>2082</v>
      </c>
      <c r="P3155" s="252">
        <f t="shared" si="299"/>
        <v>387.4</v>
      </c>
      <c r="Q3155" s="296" t="s">
        <v>606</v>
      </c>
      <c r="R3155" s="252">
        <f t="shared" si="300"/>
        <v>623.71</v>
      </c>
      <c r="S3155" s="252"/>
      <c r="U3155" s="358" t="s">
        <v>1579</v>
      </c>
      <c r="W3155" s="253"/>
    </row>
    <row r="3156" spans="6:24" ht="18.75" customHeight="1">
      <c r="H3156" s="252" t="s">
        <v>1331</v>
      </c>
      <c r="K3156" s="407">
        <f>10*2.18</f>
        <v>21.8</v>
      </c>
      <c r="M3156" s="316">
        <f>P3140</f>
        <v>2.2549999999999999</v>
      </c>
      <c r="N3156" s="252" t="s">
        <v>606</v>
      </c>
      <c r="O3156" s="296" t="s">
        <v>2083</v>
      </c>
      <c r="P3156" s="252">
        <f t="shared" si="299"/>
        <v>1281</v>
      </c>
      <c r="Q3156" s="296" t="s">
        <v>606</v>
      </c>
      <c r="R3156" s="252">
        <f t="shared" si="300"/>
        <v>2888.66</v>
      </c>
      <c r="S3156" s="400">
        <v>9.2099999999999994E-3</v>
      </c>
      <c r="T3156" s="252" t="s">
        <v>866</v>
      </c>
      <c r="U3156" s="296" t="s">
        <v>3534</v>
      </c>
      <c r="V3156" s="252">
        <f>V3131</f>
        <v>99400</v>
      </c>
      <c r="W3156" s="253" t="s">
        <v>866</v>
      </c>
      <c r="X3156" s="252">
        <f>V3156*S3156</f>
        <v>915.47</v>
      </c>
    </row>
    <row r="3157" spans="6:24" ht="18.75" customHeight="1">
      <c r="H3157" s="253" t="s">
        <v>454</v>
      </c>
      <c r="K3157" s="252">
        <f>SUM(K3146:K3156)</f>
        <v>6364.9</v>
      </c>
      <c r="M3157" s="252">
        <v>2</v>
      </c>
      <c r="N3157" s="252" t="s">
        <v>865</v>
      </c>
      <c r="O3157" s="296" t="s">
        <v>2084</v>
      </c>
      <c r="P3157" s="252">
        <f t="shared" si="299"/>
        <v>64.8</v>
      </c>
      <c r="Q3157" s="296" t="s">
        <v>865</v>
      </c>
      <c r="R3157" s="252">
        <f t="shared" si="300"/>
        <v>129.6</v>
      </c>
      <c r="S3157" s="400">
        <v>0.65249999999999997</v>
      </c>
      <c r="T3157" s="252" t="s">
        <v>606</v>
      </c>
      <c r="U3157" s="296" t="s">
        <v>3535</v>
      </c>
      <c r="V3157" s="252">
        <f>V3132</f>
        <v>306.89999999999998</v>
      </c>
      <c r="W3157" s="253" t="s">
        <v>866</v>
      </c>
      <c r="X3157" s="252">
        <f t="shared" ref="X3157:X3164" si="301">V3157*S3157</f>
        <v>200.25</v>
      </c>
    </row>
    <row r="3158" spans="6:24" ht="18.75" customHeight="1">
      <c r="G3158" s="252" t="s">
        <v>971</v>
      </c>
      <c r="K3158" s="358" t="s">
        <v>1579</v>
      </c>
      <c r="M3158" s="252">
        <v>3</v>
      </c>
      <c r="N3158" s="252" t="s">
        <v>865</v>
      </c>
      <c r="O3158" s="296" t="s">
        <v>1510</v>
      </c>
      <c r="P3158" s="252">
        <f t="shared" si="299"/>
        <v>89.6</v>
      </c>
      <c r="Q3158" s="296" t="s">
        <v>865</v>
      </c>
      <c r="R3158" s="252">
        <f t="shared" si="300"/>
        <v>268.8</v>
      </c>
      <c r="S3158" s="316">
        <v>0.879</v>
      </c>
      <c r="T3158" s="252" t="s">
        <v>606</v>
      </c>
      <c r="U3158" s="296" t="s">
        <v>2083</v>
      </c>
      <c r="V3158" s="252">
        <f t="shared" ref="V3158:V3163" si="302">V3133</f>
        <v>1436</v>
      </c>
      <c r="W3158" s="253" t="s">
        <v>606</v>
      </c>
      <c r="X3158" s="252">
        <f t="shared" si="301"/>
        <v>1262.24</v>
      </c>
    </row>
    <row r="3159" spans="6:24" ht="18.75" customHeight="1">
      <c r="H3159" s="255" t="s">
        <v>549</v>
      </c>
      <c r="K3159" s="274">
        <f>K3157/F3149</f>
        <v>3449.81</v>
      </c>
      <c r="M3159" s="252">
        <v>1</v>
      </c>
      <c r="N3159" s="252" t="s">
        <v>865</v>
      </c>
      <c r="O3159" s="296" t="s">
        <v>1970</v>
      </c>
      <c r="P3159" s="252">
        <f t="shared" si="299"/>
        <v>181</v>
      </c>
      <c r="Q3159" s="296" t="s">
        <v>865</v>
      </c>
      <c r="R3159" s="252">
        <f t="shared" si="300"/>
        <v>181</v>
      </c>
      <c r="S3159" s="316">
        <v>4.3250000000000002</v>
      </c>
      <c r="T3159" s="252" t="s">
        <v>3540</v>
      </c>
      <c r="U3159" s="296" t="s">
        <v>3536</v>
      </c>
      <c r="V3159" s="252">
        <f t="shared" si="302"/>
        <v>15.45</v>
      </c>
      <c r="W3159" s="253" t="s">
        <v>606</v>
      </c>
      <c r="X3159" s="252">
        <f t="shared" si="301"/>
        <v>66.819999999999993</v>
      </c>
    </row>
    <row r="3160" spans="6:24" ht="18.75" customHeight="1">
      <c r="K3160" s="358" t="s">
        <v>2046</v>
      </c>
      <c r="M3160" s="252">
        <v>1</v>
      </c>
      <c r="N3160" s="252" t="s">
        <v>865</v>
      </c>
      <c r="O3160" s="296" t="s">
        <v>1971</v>
      </c>
      <c r="P3160" s="252">
        <f t="shared" si="299"/>
        <v>7.3</v>
      </c>
      <c r="Q3160" s="296" t="s">
        <v>865</v>
      </c>
      <c r="R3160" s="252">
        <f t="shared" si="300"/>
        <v>7.3</v>
      </c>
      <c r="S3160" s="252">
        <v>3</v>
      </c>
      <c r="T3160" s="252" t="s">
        <v>865</v>
      </c>
      <c r="U3160" s="296" t="s">
        <v>1510</v>
      </c>
      <c r="V3160" s="252">
        <f t="shared" si="302"/>
        <v>89.6</v>
      </c>
      <c r="W3160" s="253" t="s">
        <v>865</v>
      </c>
      <c r="X3160" s="252">
        <f t="shared" si="301"/>
        <v>268.8</v>
      </c>
    </row>
    <row r="3161" spans="6:24" ht="18.75" customHeight="1">
      <c r="M3161" s="252">
        <v>1</v>
      </c>
      <c r="N3161" s="252" t="s">
        <v>865</v>
      </c>
      <c r="O3161" s="296" t="s">
        <v>1972</v>
      </c>
      <c r="P3161" s="252">
        <f t="shared" si="299"/>
        <v>57.65</v>
      </c>
      <c r="Q3161" s="296" t="s">
        <v>865</v>
      </c>
      <c r="R3161" s="252">
        <f t="shared" si="300"/>
        <v>57.65</v>
      </c>
      <c r="S3161" s="252">
        <v>2</v>
      </c>
      <c r="T3161" s="252" t="s">
        <v>865</v>
      </c>
      <c r="U3161" s="296" t="s">
        <v>3537</v>
      </c>
      <c r="V3161" s="252">
        <f t="shared" si="302"/>
        <v>82.25</v>
      </c>
      <c r="W3161" s="253" t="s">
        <v>865</v>
      </c>
      <c r="X3161" s="252">
        <f t="shared" si="301"/>
        <v>164.5</v>
      </c>
    </row>
    <row r="3162" spans="6:24" ht="18.75" customHeight="1">
      <c r="M3162" s="252">
        <v>1</v>
      </c>
      <c r="N3162" s="252" t="s">
        <v>865</v>
      </c>
      <c r="O3162" s="296" t="s">
        <v>1973</v>
      </c>
      <c r="P3162" s="252">
        <f t="shared" si="299"/>
        <v>49.55</v>
      </c>
      <c r="Q3162" s="296" t="s">
        <v>865</v>
      </c>
      <c r="R3162" s="252">
        <f t="shared" si="300"/>
        <v>49.55</v>
      </c>
      <c r="S3162" s="252">
        <v>1</v>
      </c>
      <c r="T3162" s="252" t="s">
        <v>865</v>
      </c>
      <c r="U3162" s="296" t="s">
        <v>3538</v>
      </c>
      <c r="V3162" s="252">
        <f t="shared" si="302"/>
        <v>57.65</v>
      </c>
      <c r="W3162" s="253" t="s">
        <v>865</v>
      </c>
      <c r="X3162" s="252">
        <f t="shared" si="301"/>
        <v>57.65</v>
      </c>
    </row>
    <row r="3163" spans="6:24" ht="18.75" customHeight="1">
      <c r="M3163" s="252">
        <v>58</v>
      </c>
      <c r="O3163" s="252" t="s">
        <v>1331</v>
      </c>
      <c r="P3163" s="252">
        <f>P2864</f>
        <v>2.41</v>
      </c>
      <c r="Q3163" s="296"/>
      <c r="R3163" s="252">
        <f t="shared" si="300"/>
        <v>139.78</v>
      </c>
      <c r="S3163" s="252">
        <v>1</v>
      </c>
      <c r="T3163" s="252" t="s">
        <v>865</v>
      </c>
      <c r="U3163" s="296" t="s">
        <v>1971</v>
      </c>
      <c r="V3163" s="252">
        <f t="shared" si="302"/>
        <v>7.3</v>
      </c>
      <c r="W3163" s="253" t="s">
        <v>865</v>
      </c>
      <c r="X3163" s="252">
        <f t="shared" si="301"/>
        <v>7.3</v>
      </c>
    </row>
    <row r="3164" spans="6:24" ht="18.75" customHeight="1">
      <c r="O3164" s="253" t="s">
        <v>3384</v>
      </c>
      <c r="Q3164" s="296"/>
      <c r="R3164" s="252">
        <f>SUM(R3153:R3163)</f>
        <v>7477.66</v>
      </c>
      <c r="S3164" s="252">
        <v>36</v>
      </c>
      <c r="T3164" s="252" t="s">
        <v>865</v>
      </c>
      <c r="U3164" s="296" t="s">
        <v>1331</v>
      </c>
      <c r="V3164" s="252">
        <f>V3139</f>
        <v>2.41</v>
      </c>
      <c r="W3164" s="253" t="s">
        <v>865</v>
      </c>
      <c r="X3164" s="252">
        <f t="shared" si="301"/>
        <v>86.76</v>
      </c>
    </row>
    <row r="3165" spans="6:24" ht="18.75" customHeight="1">
      <c r="N3165" s="252" t="s">
        <v>971</v>
      </c>
      <c r="Q3165" s="296"/>
      <c r="R3165" s="358" t="s">
        <v>1579</v>
      </c>
      <c r="S3165" s="252"/>
      <c r="U3165" s="296"/>
      <c r="W3165" s="253" t="s">
        <v>865</v>
      </c>
      <c r="X3165" s="358" t="s">
        <v>1579</v>
      </c>
    </row>
    <row r="3166" spans="6:24" ht="18.75" customHeight="1">
      <c r="H3166" s="252" t="s">
        <v>4230</v>
      </c>
      <c r="J3166" s="252"/>
      <c r="O3166" s="255" t="s">
        <v>549</v>
      </c>
      <c r="Q3166" s="296"/>
      <c r="R3166" s="274">
        <f>R3164/M3156</f>
        <v>3316.04</v>
      </c>
      <c r="S3166" s="252"/>
      <c r="U3166" s="255" t="s">
        <v>4325</v>
      </c>
      <c r="W3166" s="253"/>
      <c r="X3166" s="252">
        <f>SUM(X3156:X3164)</f>
        <v>3029.79</v>
      </c>
    </row>
    <row r="3167" spans="6:24" ht="18.75" customHeight="1">
      <c r="J3167" s="252"/>
      <c r="Q3167" s="296"/>
      <c r="R3167" s="358" t="s">
        <v>2046</v>
      </c>
      <c r="S3167" s="252"/>
      <c r="W3167" s="253"/>
      <c r="X3167" s="358" t="s">
        <v>1579</v>
      </c>
    </row>
    <row r="3168" spans="6:24" ht="18.75" customHeight="1">
      <c r="F3168" s="252">
        <v>3.23</v>
      </c>
      <c r="G3168" s="252" t="s">
        <v>909</v>
      </c>
      <c r="H3168" s="252" t="s">
        <v>3026</v>
      </c>
      <c r="I3168" s="252">
        <f>I1505</f>
        <v>49.85</v>
      </c>
      <c r="J3168" s="252" t="s">
        <v>909</v>
      </c>
      <c r="K3168" s="252">
        <f>I3168*F3168</f>
        <v>161.02000000000001</v>
      </c>
      <c r="S3168" s="252"/>
      <c r="T3168" s="252" t="s">
        <v>971</v>
      </c>
      <c r="U3168" s="255" t="s">
        <v>549</v>
      </c>
      <c r="W3168" s="253"/>
      <c r="X3168" s="274">
        <f>X3166/S3158</f>
        <v>3446.86</v>
      </c>
    </row>
    <row r="3169" spans="6:24" ht="18.75" customHeight="1">
      <c r="F3169" s="252">
        <v>0.5</v>
      </c>
      <c r="G3169" s="252" t="s">
        <v>255</v>
      </c>
      <c r="H3169" s="252" t="s">
        <v>3027</v>
      </c>
      <c r="I3169" s="252">
        <f>I1506</f>
        <v>797</v>
      </c>
      <c r="J3169" s="252" t="s">
        <v>255</v>
      </c>
      <c r="K3169" s="252">
        <f>I3169*F3169</f>
        <v>398.5</v>
      </c>
      <c r="S3169" s="252"/>
      <c r="W3169" s="253"/>
      <c r="X3169" s="358" t="s">
        <v>2046</v>
      </c>
    </row>
    <row r="3170" spans="6:24" ht="18.75" customHeight="1">
      <c r="F3170" s="252">
        <v>0.5</v>
      </c>
      <c r="G3170" s="252" t="s">
        <v>255</v>
      </c>
      <c r="H3170" s="296" t="s">
        <v>1893</v>
      </c>
      <c r="I3170" s="252">
        <f>I1507</f>
        <v>651</v>
      </c>
      <c r="J3170" s="252" t="s">
        <v>255</v>
      </c>
      <c r="K3170" s="252">
        <f>I3170*F3170</f>
        <v>325.5</v>
      </c>
      <c r="M3170" s="253"/>
      <c r="N3170" s="252" t="s">
        <v>2241</v>
      </c>
      <c r="O3170" s="296" t="s">
        <v>2805</v>
      </c>
      <c r="Q3170" s="253"/>
      <c r="W3170" s="253"/>
    </row>
    <row r="3171" spans="6:24" ht="18.75" customHeight="1">
      <c r="F3171" s="252">
        <v>0.8</v>
      </c>
      <c r="G3171" s="252" t="s">
        <v>255</v>
      </c>
      <c r="H3171" s="296" t="s">
        <v>317</v>
      </c>
      <c r="I3171" s="252">
        <f>I1508</f>
        <v>534</v>
      </c>
      <c r="J3171" s="252" t="s">
        <v>255</v>
      </c>
      <c r="K3171" s="252">
        <f>I3171*F3171</f>
        <v>427.2</v>
      </c>
      <c r="O3171" s="296" t="s">
        <v>253</v>
      </c>
      <c r="Q3171" s="253"/>
      <c r="W3171" s="253"/>
    </row>
    <row r="3172" spans="6:24" ht="18.75" customHeight="1">
      <c r="F3172" s="252">
        <v>10</v>
      </c>
      <c r="G3172" s="252" t="s">
        <v>2273</v>
      </c>
      <c r="H3172" s="296" t="s">
        <v>3852</v>
      </c>
      <c r="I3172" s="252">
        <f>C460</f>
        <v>4.2</v>
      </c>
      <c r="J3172" s="252" t="s">
        <v>2273</v>
      </c>
      <c r="K3172" s="252">
        <f>I3172*F3172</f>
        <v>42</v>
      </c>
      <c r="O3172" s="525" t="s">
        <v>2806</v>
      </c>
      <c r="Q3172" s="253"/>
      <c r="W3172" s="253"/>
    </row>
    <row r="3173" spans="6:24" ht="18.75" customHeight="1">
      <c r="H3173" s="296" t="s">
        <v>3029</v>
      </c>
      <c r="I3173" s="407" t="s">
        <v>654</v>
      </c>
      <c r="J3173" s="253"/>
      <c r="K3173" s="252">
        <v>1.75</v>
      </c>
      <c r="O3173" s="358" t="s">
        <v>1579</v>
      </c>
      <c r="Q3173" s="253"/>
      <c r="W3173" s="253"/>
    </row>
    <row r="3174" spans="6:24" ht="18.75" customHeight="1">
      <c r="J3174" s="253"/>
      <c r="K3174" s="252">
        <f>SUM(K3168:K3173)</f>
        <v>1355.97</v>
      </c>
      <c r="O3174" s="296" t="s">
        <v>3248</v>
      </c>
      <c r="P3174" s="407" t="s">
        <v>2046</v>
      </c>
      <c r="Q3174" s="462">
        <v>3.1219999999999999</v>
      </c>
      <c r="R3174" s="252" t="s">
        <v>2273</v>
      </c>
      <c r="W3174" s="253"/>
    </row>
    <row r="3175" spans="6:24" ht="18.75" customHeight="1">
      <c r="J3175" s="253"/>
      <c r="K3175" s="252">
        <f>K3174/10</f>
        <v>135.6</v>
      </c>
      <c r="O3175" s="296"/>
      <c r="P3175" s="407"/>
      <c r="Q3175" s="462"/>
      <c r="W3175" s="253"/>
    </row>
    <row r="3176" spans="6:24" ht="18.75" customHeight="1">
      <c r="J3176" s="252"/>
      <c r="L3176" s="252">
        <f>K3210</f>
        <v>317.74</v>
      </c>
      <c r="O3176" s="296" t="s">
        <v>5719</v>
      </c>
      <c r="P3176" s="407" t="s">
        <v>2046</v>
      </c>
      <c r="Q3176" s="548">
        <v>5.1999999999999998E-2</v>
      </c>
      <c r="R3176" s="252" t="s">
        <v>2142</v>
      </c>
      <c r="W3176" s="253"/>
    </row>
    <row r="3177" spans="6:24" ht="18.75" customHeight="1">
      <c r="J3177" s="252"/>
      <c r="L3177" s="252">
        <f>K3211</f>
        <v>557.9</v>
      </c>
      <c r="O3177" s="296" t="s">
        <v>3249</v>
      </c>
      <c r="Q3177" s="407"/>
      <c r="W3177" s="253"/>
    </row>
    <row r="3178" spans="6:24" ht="18.75" customHeight="1">
      <c r="J3178" s="252"/>
      <c r="O3178" s="296" t="s">
        <v>3250</v>
      </c>
      <c r="P3178" s="407" t="s">
        <v>2046</v>
      </c>
      <c r="Q3178" s="588">
        <v>2.2780000000000002E-2</v>
      </c>
      <c r="W3178" s="253"/>
    </row>
    <row r="3179" spans="6:24" ht="18.75" customHeight="1">
      <c r="H3179" s="252" t="s">
        <v>4231</v>
      </c>
      <c r="J3179" s="252"/>
      <c r="L3179" s="252">
        <v>1.5</v>
      </c>
      <c r="O3179" s="296" t="s">
        <v>2807</v>
      </c>
      <c r="P3179" s="407" t="s">
        <v>2046</v>
      </c>
      <c r="Q3179" s="588">
        <v>1.013E-2</v>
      </c>
      <c r="R3179" s="400"/>
      <c r="W3179" s="253"/>
    </row>
    <row r="3180" spans="6:24" ht="18.75" customHeight="1">
      <c r="J3180" s="252"/>
      <c r="L3180" s="252">
        <f>SUM(L3176:L3179)</f>
        <v>877.14</v>
      </c>
      <c r="Q3180" s="358" t="s">
        <v>1579</v>
      </c>
      <c r="W3180" s="253"/>
    </row>
    <row r="3181" spans="6:24" ht="18.75" customHeight="1">
      <c r="F3181" s="252">
        <v>1.8</v>
      </c>
      <c r="G3181" s="252" t="s">
        <v>909</v>
      </c>
      <c r="H3181" s="252" t="s">
        <v>3026</v>
      </c>
      <c r="I3181" s="252">
        <f>I3168</f>
        <v>49.85</v>
      </c>
      <c r="J3181" s="252" t="s">
        <v>909</v>
      </c>
      <c r="K3181" s="252">
        <f>I3181*F3181</f>
        <v>89.73</v>
      </c>
      <c r="Q3181" s="589">
        <v>3.2910000000000002E-2</v>
      </c>
      <c r="R3181" s="252" t="s">
        <v>2142</v>
      </c>
      <c r="W3181" s="253"/>
    </row>
    <row r="3182" spans="6:24" ht="18.75" customHeight="1">
      <c r="F3182" s="252">
        <v>0.25</v>
      </c>
      <c r="G3182" s="252" t="s">
        <v>255</v>
      </c>
      <c r="H3182" s="252" t="s">
        <v>3027</v>
      </c>
      <c r="I3182" s="252">
        <f>I3169</f>
        <v>797</v>
      </c>
      <c r="J3182" s="252" t="s">
        <v>255</v>
      </c>
      <c r="K3182" s="252">
        <f>I3182*F3182</f>
        <v>199.25</v>
      </c>
      <c r="L3182" s="252">
        <f>L3180/10</f>
        <v>87.71</v>
      </c>
      <c r="Q3182" s="358" t="s">
        <v>1579</v>
      </c>
      <c r="W3182" s="253"/>
    </row>
    <row r="3183" spans="6:24" ht="18.75" customHeight="1">
      <c r="F3183" s="252">
        <v>0.25</v>
      </c>
      <c r="G3183" s="252" t="s">
        <v>255</v>
      </c>
      <c r="H3183" s="296" t="s">
        <v>1893</v>
      </c>
      <c r="I3183" s="252">
        <f>I3170</f>
        <v>651</v>
      </c>
      <c r="J3183" s="252" t="s">
        <v>255</v>
      </c>
      <c r="K3183" s="252">
        <f>I3183*F3183</f>
        <v>162.75</v>
      </c>
      <c r="O3183" s="296" t="s">
        <v>3251</v>
      </c>
      <c r="Q3183" s="590">
        <v>1.7600000000000001E-2</v>
      </c>
      <c r="R3183" s="400"/>
      <c r="W3183" s="253"/>
    </row>
    <row r="3184" spans="6:24" ht="18.75" customHeight="1">
      <c r="F3184" s="252">
        <v>0.4</v>
      </c>
      <c r="G3184" s="252" t="s">
        <v>255</v>
      </c>
      <c r="H3184" s="296" t="s">
        <v>317</v>
      </c>
      <c r="I3184" s="252">
        <f>I3171</f>
        <v>534</v>
      </c>
      <c r="J3184" s="252" t="s">
        <v>255</v>
      </c>
      <c r="K3184" s="252">
        <f>I3184*F3184</f>
        <v>213.6</v>
      </c>
      <c r="O3184" s="296" t="s">
        <v>3252</v>
      </c>
      <c r="Q3184" s="590">
        <v>8.3999999999999995E-3</v>
      </c>
      <c r="R3184" s="400"/>
      <c r="W3184" s="253"/>
    </row>
    <row r="3185" spans="6:23" ht="18.75" customHeight="1">
      <c r="F3185" s="252">
        <v>10</v>
      </c>
      <c r="G3185" s="252" t="s">
        <v>2273</v>
      </c>
      <c r="H3185" s="296" t="s">
        <v>3028</v>
      </c>
      <c r="I3185" s="252">
        <f>I3172</f>
        <v>4.2</v>
      </c>
      <c r="J3185" s="252" t="s">
        <v>2273</v>
      </c>
      <c r="K3185" s="252">
        <f>I3185*F3185</f>
        <v>42</v>
      </c>
      <c r="O3185" s="296"/>
      <c r="Q3185" s="358" t="s">
        <v>1579</v>
      </c>
      <c r="R3185" s="400"/>
      <c r="W3185" s="253"/>
    </row>
    <row r="3186" spans="6:23" ht="18.75" customHeight="1">
      <c r="H3186" s="296" t="s">
        <v>3029</v>
      </c>
      <c r="I3186" s="407" t="s">
        <v>3030</v>
      </c>
      <c r="J3186" s="253"/>
      <c r="K3186" s="252">
        <v>1.6</v>
      </c>
      <c r="O3186" s="296"/>
      <c r="Q3186" s="548">
        <v>2.5999999999999999E-2</v>
      </c>
      <c r="R3186" s="400" t="s">
        <v>2142</v>
      </c>
      <c r="W3186" s="253"/>
    </row>
    <row r="3187" spans="6:23" ht="18.75" customHeight="1">
      <c r="J3187" s="253"/>
      <c r="K3187" s="252">
        <f>SUM(K3181:K3186)</f>
        <v>708.93</v>
      </c>
      <c r="Q3187" s="358" t="s">
        <v>1579</v>
      </c>
      <c r="R3187" s="358"/>
      <c r="W3187" s="253"/>
    </row>
    <row r="3188" spans="6:23" ht="18.75" customHeight="1">
      <c r="J3188" s="253"/>
      <c r="K3188" s="252">
        <f>K3187/10</f>
        <v>70.89</v>
      </c>
      <c r="M3188" s="400">
        <v>5.1999999999999998E-2</v>
      </c>
      <c r="N3188" s="252" t="s">
        <v>866</v>
      </c>
      <c r="O3188" s="296" t="s">
        <v>305</v>
      </c>
      <c r="P3188" s="252">
        <f>AC26</f>
        <v>111600</v>
      </c>
      <c r="Q3188" s="253" t="s">
        <v>866</v>
      </c>
      <c r="R3188" s="252">
        <f>P3188*M3188</f>
        <v>5803.2</v>
      </c>
      <c r="W3188" s="253"/>
    </row>
    <row r="3189" spans="6:23" ht="18.75" customHeight="1">
      <c r="J3189" s="252"/>
      <c r="M3189" s="400">
        <v>3.2910000000000002E-2</v>
      </c>
      <c r="N3189" s="252" t="s">
        <v>866</v>
      </c>
      <c r="O3189" s="296" t="s">
        <v>306</v>
      </c>
      <c r="P3189" s="252">
        <f>AC27</f>
        <v>99400</v>
      </c>
      <c r="Q3189" s="253" t="s">
        <v>866</v>
      </c>
      <c r="R3189" s="252">
        <f t="shared" ref="R3189:R3199" si="303">P3189*M3189</f>
        <v>3271.25</v>
      </c>
      <c r="W3189" s="253"/>
    </row>
    <row r="3190" spans="6:23" ht="18.75" customHeight="1">
      <c r="J3190" s="252"/>
      <c r="M3190" s="400">
        <v>2.5999999999999999E-2</v>
      </c>
      <c r="N3190" s="252" t="s">
        <v>866</v>
      </c>
      <c r="O3190" s="296" t="s">
        <v>3253</v>
      </c>
      <c r="P3190" s="362">
        <v>107000</v>
      </c>
      <c r="Q3190" s="253" t="s">
        <v>866</v>
      </c>
      <c r="R3190" s="252">
        <f t="shared" si="303"/>
        <v>2782</v>
      </c>
      <c r="W3190" s="253"/>
    </row>
    <row r="3191" spans="6:23" ht="18.75" customHeight="1">
      <c r="J3191" s="252"/>
      <c r="L3191" s="252">
        <f>K3225</f>
        <v>530.36</v>
      </c>
      <c r="M3191" s="316"/>
      <c r="O3191" s="296" t="s">
        <v>3896</v>
      </c>
      <c r="Q3191" s="253"/>
      <c r="R3191" s="252">
        <f t="shared" si="303"/>
        <v>0</v>
      </c>
      <c r="W3191" s="253"/>
    </row>
    <row r="3192" spans="6:23" ht="18.75" customHeight="1">
      <c r="H3192" s="252" t="s">
        <v>3031</v>
      </c>
      <c r="J3192" s="252"/>
      <c r="L3192" s="252">
        <f>K3226</f>
        <v>956.4</v>
      </c>
      <c r="M3192" s="316">
        <v>3.1219999999999999</v>
      </c>
      <c r="N3192" s="252" t="s">
        <v>606</v>
      </c>
      <c r="O3192" s="296" t="s">
        <v>444</v>
      </c>
      <c r="P3192" s="252">
        <f>I954</f>
        <v>1537</v>
      </c>
      <c r="Q3192" s="253" t="s">
        <v>606</v>
      </c>
      <c r="R3192" s="252">
        <f t="shared" si="303"/>
        <v>4798.51</v>
      </c>
      <c r="W3192" s="253"/>
    </row>
    <row r="3193" spans="6:23" ht="18.75" customHeight="1">
      <c r="H3193" s="252" t="s">
        <v>1041</v>
      </c>
      <c r="J3193" s="252"/>
      <c r="M3193" s="252">
        <v>4</v>
      </c>
      <c r="N3193" s="252" t="s">
        <v>766</v>
      </c>
      <c r="O3193" s="296" t="s">
        <v>3254</v>
      </c>
      <c r="P3193" s="252">
        <f>I2637</f>
        <v>254.5</v>
      </c>
      <c r="Q3193" s="253" t="s">
        <v>865</v>
      </c>
      <c r="R3193" s="252">
        <f t="shared" si="303"/>
        <v>1018</v>
      </c>
      <c r="W3193" s="253"/>
    </row>
    <row r="3194" spans="6:23" ht="18.75" customHeight="1">
      <c r="H3194" s="252" t="s">
        <v>1232</v>
      </c>
      <c r="J3194" s="252"/>
      <c r="L3194" s="252">
        <f>K3228</f>
        <v>6.65</v>
      </c>
      <c r="M3194" s="252">
        <v>8</v>
      </c>
      <c r="N3194" s="252" t="s">
        <v>865</v>
      </c>
      <c r="O3194" s="296" t="s">
        <v>1457</v>
      </c>
      <c r="P3194" s="252">
        <f>P3158</f>
        <v>89.6</v>
      </c>
      <c r="Q3194" s="253" t="s">
        <v>865</v>
      </c>
      <c r="R3194" s="252">
        <f t="shared" si="303"/>
        <v>716.8</v>
      </c>
      <c r="W3194" s="253"/>
    </row>
    <row r="3195" spans="6:23" ht="18.75" customHeight="1">
      <c r="J3195" s="252"/>
      <c r="L3195" s="252">
        <f>SUM(L3191:L3194)</f>
        <v>1493.41</v>
      </c>
      <c r="M3195" s="252">
        <v>4</v>
      </c>
      <c r="N3195" s="252" t="s">
        <v>865</v>
      </c>
      <c r="O3195" s="406" t="s">
        <v>4920</v>
      </c>
      <c r="P3195" s="362">
        <v>97.85</v>
      </c>
      <c r="Q3195" s="253" t="s">
        <v>865</v>
      </c>
      <c r="R3195" s="252">
        <f t="shared" si="303"/>
        <v>391.4</v>
      </c>
      <c r="W3195" s="253"/>
    </row>
    <row r="3196" spans="6:23" ht="18.75" customHeight="1">
      <c r="F3196" s="252">
        <v>1.1100000000000001</v>
      </c>
      <c r="G3196" s="252" t="s">
        <v>2560</v>
      </c>
      <c r="H3196" s="252" t="s">
        <v>1176</v>
      </c>
      <c r="I3196" s="252">
        <f>I1547</f>
        <v>227.6</v>
      </c>
      <c r="J3196" s="252" t="s">
        <v>2560</v>
      </c>
      <c r="K3196" s="252">
        <f>I3196*F3196</f>
        <v>252.64</v>
      </c>
      <c r="M3196" s="252">
        <v>1</v>
      </c>
      <c r="N3196" s="252" t="s">
        <v>865</v>
      </c>
      <c r="O3196" s="406" t="s">
        <v>4921</v>
      </c>
      <c r="P3196" s="362">
        <v>209.9</v>
      </c>
      <c r="Q3196" s="253" t="s">
        <v>865</v>
      </c>
      <c r="R3196" s="252">
        <f t="shared" si="303"/>
        <v>209.9</v>
      </c>
      <c r="W3196" s="253"/>
    </row>
    <row r="3197" spans="6:23" ht="18.75" customHeight="1">
      <c r="F3197" s="252">
        <v>0.7</v>
      </c>
      <c r="G3197" s="252" t="s">
        <v>255</v>
      </c>
      <c r="H3197" s="252" t="s">
        <v>1175</v>
      </c>
      <c r="I3197" s="252">
        <f>I3182</f>
        <v>797</v>
      </c>
      <c r="J3197" s="252" t="s">
        <v>255</v>
      </c>
      <c r="K3197" s="252">
        <f>I3197*F3197</f>
        <v>557.9</v>
      </c>
      <c r="L3197" s="252">
        <f>L3195/10</f>
        <v>149.34</v>
      </c>
      <c r="M3197" s="252">
        <v>2</v>
      </c>
      <c r="N3197" s="252" t="s">
        <v>865</v>
      </c>
      <c r="O3197" s="406" t="s">
        <v>4922</v>
      </c>
      <c r="P3197" s="362">
        <v>23.1</v>
      </c>
      <c r="Q3197" s="253" t="s">
        <v>865</v>
      </c>
      <c r="R3197" s="252">
        <f t="shared" si="303"/>
        <v>46.2</v>
      </c>
      <c r="W3197" s="253"/>
    </row>
    <row r="3198" spans="6:23" ht="18.75" customHeight="1">
      <c r="F3198" s="252">
        <v>10</v>
      </c>
      <c r="G3198" s="252" t="s">
        <v>2273</v>
      </c>
      <c r="H3198" s="544" t="s">
        <v>4923</v>
      </c>
      <c r="I3198" s="370">
        <f>AE54</f>
        <v>9.1</v>
      </c>
      <c r="J3198" s="252" t="s">
        <v>2273</v>
      </c>
      <c r="K3198" s="252">
        <f>I3198*F3198</f>
        <v>91</v>
      </c>
      <c r="M3198" s="252">
        <v>2</v>
      </c>
      <c r="N3198" s="252" t="s">
        <v>865</v>
      </c>
      <c r="O3198" s="406" t="s">
        <v>4924</v>
      </c>
      <c r="P3198" s="362">
        <v>49.55</v>
      </c>
      <c r="Q3198" s="253" t="s">
        <v>865</v>
      </c>
      <c r="R3198" s="252">
        <f t="shared" si="303"/>
        <v>99.1</v>
      </c>
      <c r="S3198" s="356">
        <f>0.42*3.122</f>
        <v>1.3109999999999999</v>
      </c>
      <c r="T3198" s="252">
        <f>S3198+19.79</f>
        <v>21.1</v>
      </c>
      <c r="W3198" s="253"/>
    </row>
    <row r="3199" spans="6:23" ht="18.75" customHeight="1">
      <c r="H3199" s="296" t="s">
        <v>3029</v>
      </c>
      <c r="I3199" s="252" t="s">
        <v>654</v>
      </c>
      <c r="J3199" s="253"/>
      <c r="K3199" s="252">
        <v>2.8</v>
      </c>
      <c r="M3199" s="252">
        <v>118</v>
      </c>
      <c r="N3199" s="252" t="s">
        <v>865</v>
      </c>
      <c r="O3199" s="252" t="s">
        <v>1331</v>
      </c>
      <c r="P3199" s="252">
        <f>I961</f>
        <v>2.41</v>
      </c>
      <c r="Q3199" s="253" t="s">
        <v>865</v>
      </c>
      <c r="R3199" s="252">
        <f t="shared" si="303"/>
        <v>284.38</v>
      </c>
      <c r="W3199" s="253"/>
    </row>
    <row r="3200" spans="6:23" ht="18.75" customHeight="1">
      <c r="H3200" s="252" t="s">
        <v>438</v>
      </c>
      <c r="J3200" s="253"/>
      <c r="K3200" s="252">
        <f>SUM(K3196:K3199)</f>
        <v>904.34</v>
      </c>
      <c r="Q3200" s="253"/>
      <c r="R3200" s="358" t="s">
        <v>1579</v>
      </c>
      <c r="W3200" s="253"/>
    </row>
    <row r="3201" spans="6:23" ht="18.75" customHeight="1">
      <c r="J3201" s="253"/>
      <c r="O3201" s="296" t="s">
        <v>3259</v>
      </c>
      <c r="Q3201" s="253"/>
      <c r="R3201" s="252">
        <f>SUM(R3188:R3199)</f>
        <v>19420.740000000002</v>
      </c>
      <c r="W3201" s="253"/>
    </row>
    <row r="3202" spans="6:23" ht="18.75" customHeight="1">
      <c r="H3202" s="252" t="s">
        <v>549</v>
      </c>
      <c r="J3202" s="253"/>
      <c r="K3202" s="252">
        <f>K3200/10</f>
        <v>90.43</v>
      </c>
      <c r="Q3202" s="253"/>
      <c r="R3202" s="358" t="s">
        <v>1579</v>
      </c>
      <c r="W3202" s="253"/>
    </row>
    <row r="3203" spans="6:23" ht="18.75" customHeight="1">
      <c r="J3203" s="253"/>
      <c r="O3203" s="276" t="s">
        <v>549</v>
      </c>
      <c r="Q3203" s="360" t="s">
        <v>718</v>
      </c>
      <c r="R3203" s="274">
        <f>R3201/M3192</f>
        <v>6220.61</v>
      </c>
      <c r="W3203" s="253"/>
    </row>
    <row r="3204" spans="6:23" ht="18.75" customHeight="1">
      <c r="J3204" s="253"/>
      <c r="M3204" s="253"/>
      <c r="N3204" s="252" t="s">
        <v>2241</v>
      </c>
      <c r="O3204" s="296" t="s">
        <v>3260</v>
      </c>
      <c r="Q3204" s="253"/>
      <c r="W3204" s="253"/>
    </row>
    <row r="3205" spans="6:23" ht="18.75" customHeight="1">
      <c r="J3205" s="253"/>
      <c r="O3205" s="296" t="s">
        <v>253</v>
      </c>
      <c r="Q3205" s="253"/>
      <c r="W3205" s="253"/>
    </row>
    <row r="3206" spans="6:23" ht="18.75" customHeight="1">
      <c r="H3206" s="252" t="s">
        <v>3031</v>
      </c>
      <c r="J3206" s="253"/>
      <c r="O3206" s="525" t="s">
        <v>2806</v>
      </c>
      <c r="Q3206" s="253"/>
      <c r="W3206" s="253"/>
    </row>
    <row r="3207" spans="6:23" ht="18.75" customHeight="1">
      <c r="H3207" s="252" t="s">
        <v>1371</v>
      </c>
      <c r="J3207" s="253"/>
      <c r="L3207" s="252">
        <f>K3241</f>
        <v>430.16</v>
      </c>
      <c r="O3207" s="358" t="s">
        <v>1579</v>
      </c>
      <c r="Q3207" s="253"/>
      <c r="W3207" s="253"/>
    </row>
    <row r="3208" spans="6:23" ht="18.75" customHeight="1">
      <c r="H3208" s="252" t="s">
        <v>1232</v>
      </c>
      <c r="J3208" s="253"/>
      <c r="L3208" s="252">
        <f>K3242</f>
        <v>876.7</v>
      </c>
      <c r="O3208" s="296" t="s">
        <v>3248</v>
      </c>
      <c r="P3208" s="407" t="s">
        <v>2046</v>
      </c>
      <c r="Q3208" s="462">
        <v>3.1219999999999999</v>
      </c>
      <c r="R3208" s="296" t="s">
        <v>2273</v>
      </c>
      <c r="W3208" s="253"/>
    </row>
    <row r="3209" spans="6:23" ht="18.75" customHeight="1">
      <c r="J3209" s="253"/>
      <c r="O3209" s="296"/>
      <c r="P3209" s="407"/>
      <c r="Q3209" s="462"/>
      <c r="R3209" s="296"/>
      <c r="W3209" s="253"/>
    </row>
    <row r="3210" spans="6:23" ht="18.75" customHeight="1">
      <c r="F3210" s="252">
        <v>1.33</v>
      </c>
      <c r="G3210" s="252" t="s">
        <v>2560</v>
      </c>
      <c r="H3210" s="252" t="s">
        <v>1176</v>
      </c>
      <c r="I3210" s="252">
        <f>I1534</f>
        <v>238.9</v>
      </c>
      <c r="J3210" s="252" t="s">
        <v>2560</v>
      </c>
      <c r="K3210" s="252">
        <f>I3210*F3210</f>
        <v>317.74</v>
      </c>
      <c r="L3210" s="252">
        <f>K3244</f>
        <v>1.9</v>
      </c>
      <c r="O3210" s="296" t="s">
        <v>5719</v>
      </c>
      <c r="P3210" s="407" t="s">
        <v>2046</v>
      </c>
      <c r="Q3210" s="548">
        <v>5.1999999999999998E-2</v>
      </c>
      <c r="R3210" s="296" t="s">
        <v>2142</v>
      </c>
      <c r="W3210" s="253"/>
    </row>
    <row r="3211" spans="6:23" ht="18.75" customHeight="1">
      <c r="F3211" s="252">
        <v>0.7</v>
      </c>
      <c r="G3211" s="252" t="s">
        <v>255</v>
      </c>
      <c r="H3211" s="252" t="s">
        <v>1175</v>
      </c>
      <c r="I3211" s="252">
        <f>I3197</f>
        <v>797</v>
      </c>
      <c r="J3211" s="252" t="s">
        <v>255</v>
      </c>
      <c r="K3211" s="252">
        <f>I3211*F3211</f>
        <v>557.9</v>
      </c>
      <c r="L3211" s="252">
        <f>SUM(L3207:L3210)</f>
        <v>1308.76</v>
      </c>
      <c r="O3211" s="296" t="s">
        <v>3249</v>
      </c>
      <c r="Q3211" s="407"/>
      <c r="R3211" s="296"/>
      <c r="W3211" s="253"/>
    </row>
    <row r="3212" spans="6:23" ht="18.75" customHeight="1">
      <c r="F3212" s="252">
        <v>10</v>
      </c>
      <c r="G3212" s="252" t="s">
        <v>2273</v>
      </c>
      <c r="H3212" s="422" t="s">
        <v>4581</v>
      </c>
      <c r="I3212" s="370">
        <f>AE55</f>
        <v>9.85</v>
      </c>
      <c r="J3212" s="252" t="s">
        <v>2273</v>
      </c>
      <c r="K3212" s="252">
        <f>I3212*F3212</f>
        <v>98.5</v>
      </c>
      <c r="O3212" s="296" t="s">
        <v>3374</v>
      </c>
      <c r="P3212" s="407" t="s">
        <v>2046</v>
      </c>
      <c r="Q3212" s="588">
        <v>2.2780000000000002E-2</v>
      </c>
      <c r="R3212" s="296"/>
      <c r="W3212" s="253"/>
    </row>
    <row r="3213" spans="6:23" ht="18.75" customHeight="1">
      <c r="H3213" s="252" t="s">
        <v>3029</v>
      </c>
      <c r="I3213" s="252" t="s">
        <v>654</v>
      </c>
      <c r="J3213" s="253"/>
      <c r="K3213" s="252">
        <v>3.43</v>
      </c>
      <c r="O3213" s="296" t="s">
        <v>2807</v>
      </c>
      <c r="P3213" s="407" t="s">
        <v>2046</v>
      </c>
      <c r="Q3213" s="588">
        <v>1.013E-2</v>
      </c>
      <c r="R3213" s="443"/>
      <c r="W3213" s="253"/>
    </row>
    <row r="3214" spans="6:23" ht="18.75" customHeight="1">
      <c r="H3214" s="252" t="s">
        <v>438</v>
      </c>
      <c r="J3214" s="253"/>
      <c r="K3214" s="252">
        <f>SUM(K3210:K3213)</f>
        <v>977.57</v>
      </c>
      <c r="Q3214" s="591" t="s">
        <v>3043</v>
      </c>
      <c r="R3214" s="296"/>
      <c r="W3214" s="253"/>
    </row>
    <row r="3215" spans="6:23" ht="18.75" customHeight="1">
      <c r="J3215" s="253"/>
      <c r="Q3215" s="589">
        <v>3.2910000000000002E-2</v>
      </c>
      <c r="R3215" s="296" t="s">
        <v>2142</v>
      </c>
      <c r="W3215" s="253"/>
    </row>
    <row r="3216" spans="6:23" ht="18.75" customHeight="1">
      <c r="H3216" s="252" t="s">
        <v>549</v>
      </c>
      <c r="J3216" s="253"/>
      <c r="K3216" s="252">
        <f>K3214/10</f>
        <v>97.76</v>
      </c>
      <c r="Q3216" s="591" t="s">
        <v>3043</v>
      </c>
      <c r="R3216" s="296"/>
      <c r="W3216" s="253"/>
    </row>
    <row r="3217" spans="6:23" ht="18.75" customHeight="1">
      <c r="J3217" s="253"/>
      <c r="O3217" s="296" t="s">
        <v>3262</v>
      </c>
      <c r="Q3217" s="548">
        <v>0.94</v>
      </c>
      <c r="R3217" s="443" t="s">
        <v>2273</v>
      </c>
      <c r="W3217" s="253"/>
    </row>
    <row r="3218" spans="6:23" ht="18.75" customHeight="1">
      <c r="J3218" s="253"/>
      <c r="O3218" s="296" t="s">
        <v>3261</v>
      </c>
      <c r="Q3218" s="548">
        <v>8.3999999999999995E-3</v>
      </c>
      <c r="R3218" s="443" t="s">
        <v>2142</v>
      </c>
      <c r="W3218" s="253"/>
    </row>
    <row r="3219" spans="6:23" ht="18.75" customHeight="1">
      <c r="J3219" s="253"/>
      <c r="O3219" s="296" t="s">
        <v>3264</v>
      </c>
      <c r="Q3219" s="548">
        <v>7.9</v>
      </c>
      <c r="R3219" s="443" t="s">
        <v>823</v>
      </c>
      <c r="W3219" s="253"/>
    </row>
    <row r="3220" spans="6:23" ht="18.75" customHeight="1">
      <c r="J3220" s="253"/>
      <c r="Q3220" s="358"/>
      <c r="R3220" s="358"/>
      <c r="W3220" s="253"/>
    </row>
    <row r="3221" spans="6:23" ht="18.75" customHeight="1">
      <c r="H3221" s="252" t="s">
        <v>2561</v>
      </c>
      <c r="J3221" s="253"/>
      <c r="M3221" s="400">
        <v>5.1999999999999998E-2</v>
      </c>
      <c r="N3221" s="252" t="s">
        <v>866</v>
      </c>
      <c r="O3221" s="296" t="s">
        <v>305</v>
      </c>
      <c r="P3221" s="252">
        <f>P3188</f>
        <v>111600</v>
      </c>
      <c r="Q3221" s="253" t="s">
        <v>866</v>
      </c>
      <c r="R3221" s="252">
        <f>P3221*M3221</f>
        <v>5803.2</v>
      </c>
      <c r="W3221" s="253"/>
    </row>
    <row r="3222" spans="6:23" ht="18.75" customHeight="1">
      <c r="H3222" s="252" t="s">
        <v>1371</v>
      </c>
      <c r="J3222" s="253"/>
      <c r="M3222" s="400">
        <v>3.2910000000000002E-2</v>
      </c>
      <c r="N3222" s="252" t="s">
        <v>866</v>
      </c>
      <c r="O3222" s="296" t="s">
        <v>306</v>
      </c>
      <c r="P3222" s="252">
        <f>P3189</f>
        <v>99400</v>
      </c>
      <c r="Q3222" s="253" t="s">
        <v>866</v>
      </c>
      <c r="R3222" s="252">
        <f t="shared" ref="R3222:R3234" si="304">P3222*M3222</f>
        <v>3271.25</v>
      </c>
      <c r="W3222" s="253"/>
    </row>
    <row r="3223" spans="6:23" ht="18.75" customHeight="1">
      <c r="H3223" s="252" t="s">
        <v>1232</v>
      </c>
      <c r="J3223" s="253"/>
      <c r="M3223" s="400">
        <v>8.3999999999999995E-3</v>
      </c>
      <c r="N3223" s="252" t="s">
        <v>866</v>
      </c>
      <c r="O3223" s="393" t="s">
        <v>3253</v>
      </c>
      <c r="P3223" s="252">
        <f>P3190</f>
        <v>107000</v>
      </c>
      <c r="Q3223" s="253" t="s">
        <v>866</v>
      </c>
      <c r="R3223" s="252">
        <f t="shared" si="304"/>
        <v>898.8</v>
      </c>
      <c r="W3223" s="253"/>
    </row>
    <row r="3224" spans="6:23" ht="18.75" customHeight="1">
      <c r="J3224" s="253"/>
      <c r="M3224" s="316"/>
      <c r="O3224" s="296" t="s">
        <v>3520</v>
      </c>
      <c r="Q3224" s="253"/>
      <c r="R3224" s="252">
        <f t="shared" si="304"/>
        <v>0</v>
      </c>
      <c r="W3224" s="253"/>
    </row>
    <row r="3225" spans="6:23" ht="18.75" customHeight="1">
      <c r="F3225" s="252">
        <v>2.2200000000000002</v>
      </c>
      <c r="G3225" s="252" t="s">
        <v>2560</v>
      </c>
      <c r="H3225" s="252" t="s">
        <v>1176</v>
      </c>
      <c r="I3225" s="252">
        <f>I3210</f>
        <v>238.9</v>
      </c>
      <c r="J3225" s="252" t="s">
        <v>2560</v>
      </c>
      <c r="K3225" s="252">
        <f>I3225*F3225</f>
        <v>530.36</v>
      </c>
      <c r="M3225" s="316">
        <v>0.94</v>
      </c>
      <c r="N3225" s="252" t="s">
        <v>606</v>
      </c>
      <c r="O3225" s="393" t="s">
        <v>4925</v>
      </c>
      <c r="P3225" s="362">
        <v>562.5</v>
      </c>
      <c r="Q3225" s="253" t="s">
        <v>606</v>
      </c>
      <c r="R3225" s="252">
        <f t="shared" si="304"/>
        <v>528.75</v>
      </c>
      <c r="W3225" s="253"/>
    </row>
    <row r="3226" spans="6:23" ht="18.75" customHeight="1">
      <c r="F3226" s="252">
        <v>1.2</v>
      </c>
      <c r="G3226" s="252" t="s">
        <v>255</v>
      </c>
      <c r="H3226" s="252" t="s">
        <v>1175</v>
      </c>
      <c r="I3226" s="252">
        <f>I3211</f>
        <v>797</v>
      </c>
      <c r="J3226" s="252" t="s">
        <v>255</v>
      </c>
      <c r="K3226" s="252">
        <f>I3226*F3226</f>
        <v>956.4</v>
      </c>
      <c r="M3226" s="316">
        <v>7.9</v>
      </c>
      <c r="N3226" s="252" t="s">
        <v>1763</v>
      </c>
      <c r="O3226" s="393" t="s">
        <v>4926</v>
      </c>
      <c r="P3226" s="362">
        <v>15.45</v>
      </c>
      <c r="Q3226" s="253" t="s">
        <v>823</v>
      </c>
      <c r="R3226" s="252">
        <f t="shared" si="304"/>
        <v>122.06</v>
      </c>
      <c r="W3226" s="253"/>
    </row>
    <row r="3227" spans="6:23" ht="18.75" customHeight="1">
      <c r="F3227" s="252">
        <v>10</v>
      </c>
      <c r="G3227" s="252" t="s">
        <v>2273</v>
      </c>
      <c r="H3227" s="252" t="s">
        <v>3028</v>
      </c>
      <c r="I3227" s="252">
        <f>I3212</f>
        <v>9.85</v>
      </c>
      <c r="J3227" s="252" t="s">
        <v>2273</v>
      </c>
      <c r="K3227" s="252">
        <f>I3227*F3227</f>
        <v>98.5</v>
      </c>
      <c r="M3227" s="316">
        <v>3.1219999999999999</v>
      </c>
      <c r="N3227" s="252" t="s">
        <v>606</v>
      </c>
      <c r="O3227" s="393" t="s">
        <v>4589</v>
      </c>
      <c r="P3227" s="362">
        <f>AE58</f>
        <v>1436</v>
      </c>
      <c r="Q3227" s="253" t="s">
        <v>606</v>
      </c>
      <c r="R3227" s="252">
        <f t="shared" si="304"/>
        <v>4483.1899999999996</v>
      </c>
      <c r="W3227" s="253"/>
    </row>
    <row r="3228" spans="6:23" ht="18.75" customHeight="1">
      <c r="H3228" s="252" t="s">
        <v>3029</v>
      </c>
      <c r="I3228" s="252" t="s">
        <v>654</v>
      </c>
      <c r="J3228" s="253"/>
      <c r="K3228" s="252">
        <v>6.65</v>
      </c>
      <c r="M3228" s="252">
        <v>4</v>
      </c>
      <c r="N3228" s="252" t="s">
        <v>766</v>
      </c>
      <c r="O3228" s="296" t="s">
        <v>3854</v>
      </c>
      <c r="P3228" s="252">
        <f>C598</f>
        <v>57.65</v>
      </c>
      <c r="Q3228" s="253" t="s">
        <v>865</v>
      </c>
      <c r="R3228" s="252">
        <f t="shared" si="304"/>
        <v>230.6</v>
      </c>
      <c r="W3228" s="253"/>
    </row>
    <row r="3229" spans="6:23" ht="18.75" customHeight="1">
      <c r="H3229" s="252" t="s">
        <v>438</v>
      </c>
      <c r="J3229" s="253"/>
      <c r="K3229" s="252">
        <f>SUM(K3225:K3228)</f>
        <v>1591.91</v>
      </c>
      <c r="M3229" s="252">
        <v>8</v>
      </c>
      <c r="N3229" s="252" t="s">
        <v>865</v>
      </c>
      <c r="O3229" s="296" t="s">
        <v>3855</v>
      </c>
      <c r="P3229" s="252">
        <f>C279</f>
        <v>89.6</v>
      </c>
      <c r="Q3229" s="253" t="s">
        <v>865</v>
      </c>
      <c r="R3229" s="252">
        <f t="shared" si="304"/>
        <v>716.8</v>
      </c>
      <c r="W3229" s="253"/>
    </row>
    <row r="3230" spans="6:23" ht="18.75" customHeight="1">
      <c r="J3230" s="253"/>
      <c r="M3230" s="252">
        <v>4</v>
      </c>
      <c r="N3230" s="252" t="s">
        <v>865</v>
      </c>
      <c r="O3230" s="296" t="s">
        <v>3255</v>
      </c>
      <c r="P3230" s="252">
        <f>P3195</f>
        <v>97.85</v>
      </c>
      <c r="Q3230" s="253" t="s">
        <v>865</v>
      </c>
      <c r="R3230" s="252">
        <f t="shared" si="304"/>
        <v>391.4</v>
      </c>
      <c r="W3230" s="253"/>
    </row>
    <row r="3231" spans="6:23" ht="18.75" customHeight="1">
      <c r="H3231" s="252" t="s">
        <v>549</v>
      </c>
      <c r="J3231" s="253"/>
      <c r="K3231" s="252">
        <f>K3229/10</f>
        <v>159.19</v>
      </c>
      <c r="M3231" s="252">
        <v>1</v>
      </c>
      <c r="N3231" s="252" t="s">
        <v>865</v>
      </c>
      <c r="O3231" s="296" t="s">
        <v>3256</v>
      </c>
      <c r="P3231" s="252">
        <f>P3196</f>
        <v>209.9</v>
      </c>
      <c r="Q3231" s="253" t="s">
        <v>865</v>
      </c>
      <c r="R3231" s="252">
        <f t="shared" si="304"/>
        <v>209.9</v>
      </c>
      <c r="W3231" s="253"/>
    </row>
    <row r="3232" spans="6:23" ht="18.75" customHeight="1">
      <c r="J3232" s="253"/>
      <c r="L3232" s="252">
        <f>K3266</f>
        <v>284.39999999999998</v>
      </c>
      <c r="M3232" s="252">
        <v>2</v>
      </c>
      <c r="N3232" s="252" t="s">
        <v>865</v>
      </c>
      <c r="O3232" s="296" t="s">
        <v>3257</v>
      </c>
      <c r="P3232" s="252">
        <f>P3197</f>
        <v>23.1</v>
      </c>
      <c r="Q3232" s="253" t="s">
        <v>865</v>
      </c>
      <c r="R3232" s="252">
        <f t="shared" si="304"/>
        <v>46.2</v>
      </c>
      <c r="W3232" s="253"/>
    </row>
    <row r="3233" spans="6:24" ht="18.75" customHeight="1">
      <c r="J3233" s="253"/>
      <c r="L3233" s="252">
        <f>K3267</f>
        <v>199.25</v>
      </c>
      <c r="M3233" s="252">
        <v>2</v>
      </c>
      <c r="N3233" s="252" t="s">
        <v>865</v>
      </c>
      <c r="O3233" s="296" t="s">
        <v>3258</v>
      </c>
      <c r="P3233" s="252">
        <f>P3198</f>
        <v>49.55</v>
      </c>
      <c r="Q3233" s="253" t="s">
        <v>865</v>
      </c>
      <c r="R3233" s="252">
        <f t="shared" si="304"/>
        <v>99.1</v>
      </c>
      <c r="W3233" s="253"/>
    </row>
    <row r="3234" spans="6:24" ht="18.75" customHeight="1">
      <c r="J3234" s="253"/>
      <c r="L3234" s="252">
        <f>K3268</f>
        <v>162.75</v>
      </c>
      <c r="M3234" s="252">
        <v>118</v>
      </c>
      <c r="N3234" s="252" t="s">
        <v>865</v>
      </c>
      <c r="O3234" s="252" t="s">
        <v>1331</v>
      </c>
      <c r="P3234" s="252">
        <f>P3199</f>
        <v>2.41</v>
      </c>
      <c r="Q3234" s="253" t="s">
        <v>865</v>
      </c>
      <c r="R3234" s="252">
        <f t="shared" si="304"/>
        <v>284.38</v>
      </c>
      <c r="W3234" s="253"/>
    </row>
    <row r="3235" spans="6:24" ht="18.75" customHeight="1">
      <c r="J3235" s="253"/>
      <c r="L3235" s="252">
        <f>K3269</f>
        <v>213.6</v>
      </c>
      <c r="Q3235" s="253"/>
      <c r="R3235" s="358" t="s">
        <v>1579</v>
      </c>
      <c r="W3235" s="253"/>
    </row>
    <row r="3236" spans="6:24" ht="18.75" customHeight="1">
      <c r="J3236" s="253"/>
      <c r="L3236" s="252">
        <f>K3270</f>
        <v>1.65</v>
      </c>
      <c r="O3236" s="296" t="s">
        <v>3259</v>
      </c>
      <c r="Q3236" s="253"/>
      <c r="R3236" s="252">
        <f>SUM(R3221:R3234)</f>
        <v>17085.63</v>
      </c>
      <c r="W3236" s="253"/>
    </row>
    <row r="3237" spans="6:24" ht="18.75" customHeight="1">
      <c r="H3237" s="252" t="s">
        <v>2561</v>
      </c>
      <c r="J3237" s="253"/>
      <c r="Q3237" s="253"/>
      <c r="R3237" s="358" t="s">
        <v>1579</v>
      </c>
      <c r="W3237" s="253"/>
    </row>
    <row r="3238" spans="6:24" ht="18.75" customHeight="1">
      <c r="H3238" s="252" t="s">
        <v>1041</v>
      </c>
      <c r="J3238" s="253"/>
      <c r="O3238" s="276" t="s">
        <v>549</v>
      </c>
      <c r="Q3238" s="360" t="s">
        <v>718</v>
      </c>
      <c r="R3238" s="274">
        <f>R3236/M3227</f>
        <v>5472.66</v>
      </c>
      <c r="W3238" s="253"/>
    </row>
    <row r="3239" spans="6:24" ht="18.75" customHeight="1">
      <c r="H3239" s="252" t="s">
        <v>1232</v>
      </c>
      <c r="J3239" s="253"/>
      <c r="L3239" s="252">
        <f>SUM(L3232:L3238)</f>
        <v>861.65</v>
      </c>
      <c r="M3239" s="253"/>
      <c r="N3239" s="252" t="s">
        <v>2241</v>
      </c>
      <c r="O3239" s="296" t="s">
        <v>2805</v>
      </c>
      <c r="Q3239" s="253"/>
      <c r="W3239" s="253"/>
    </row>
    <row r="3240" spans="6:24" ht="18.75" customHeight="1">
      <c r="J3240" s="253"/>
      <c r="O3240" s="296" t="s">
        <v>253</v>
      </c>
      <c r="Q3240" s="253"/>
      <c r="W3240" s="253"/>
    </row>
    <row r="3241" spans="6:24" ht="18.75" customHeight="1">
      <c r="F3241" s="252">
        <v>1.89</v>
      </c>
      <c r="G3241" s="252" t="s">
        <v>2560</v>
      </c>
      <c r="H3241" s="252" t="s">
        <v>1176</v>
      </c>
      <c r="I3241" s="252">
        <f>I3196</f>
        <v>227.6</v>
      </c>
      <c r="J3241" s="252" t="s">
        <v>2560</v>
      </c>
      <c r="K3241" s="252">
        <f>I3241*F3241</f>
        <v>430.16</v>
      </c>
      <c r="L3241" s="252">
        <f>L3239/10</f>
        <v>86.17</v>
      </c>
      <c r="O3241" s="525" t="s">
        <v>3266</v>
      </c>
      <c r="Q3241" s="253"/>
      <c r="W3241" s="253"/>
    </row>
    <row r="3242" spans="6:24" ht="18.75" customHeight="1">
      <c r="F3242" s="252">
        <v>1.1000000000000001</v>
      </c>
      <c r="G3242" s="252" t="s">
        <v>255</v>
      </c>
      <c r="H3242" s="252" t="s">
        <v>1175</v>
      </c>
      <c r="I3242" s="252">
        <f>I3197</f>
        <v>797</v>
      </c>
      <c r="J3242" s="252" t="s">
        <v>255</v>
      </c>
      <c r="K3242" s="252">
        <f>I3242*F3242</f>
        <v>876.7</v>
      </c>
      <c r="O3242" s="358" t="s">
        <v>1579</v>
      </c>
      <c r="Q3242" s="253"/>
      <c r="W3242" s="253"/>
    </row>
    <row r="3243" spans="6:24" ht="18.75" customHeight="1">
      <c r="F3243" s="252">
        <v>10</v>
      </c>
      <c r="G3243" s="252" t="s">
        <v>2273</v>
      </c>
      <c r="H3243" s="296" t="s">
        <v>3028</v>
      </c>
      <c r="I3243" s="370">
        <f>I3198</f>
        <v>9.1</v>
      </c>
      <c r="J3243" s="252" t="s">
        <v>2273</v>
      </c>
      <c r="K3243" s="252">
        <f>I3243*F3243</f>
        <v>91</v>
      </c>
      <c r="O3243" s="296" t="s">
        <v>3267</v>
      </c>
      <c r="P3243" s="407" t="s">
        <v>2046</v>
      </c>
      <c r="Q3243" s="462">
        <v>2.4279999999999999</v>
      </c>
      <c r="R3243" s="252" t="s">
        <v>2273</v>
      </c>
      <c r="W3243" s="253"/>
    </row>
    <row r="3244" spans="6:24" ht="18.75" customHeight="1">
      <c r="H3244" s="296" t="s">
        <v>3029</v>
      </c>
      <c r="I3244" s="252" t="s">
        <v>654</v>
      </c>
      <c r="J3244" s="253"/>
      <c r="K3244" s="252">
        <v>1.9</v>
      </c>
      <c r="O3244" s="296"/>
      <c r="P3244" s="407"/>
      <c r="Q3244" s="462"/>
      <c r="W3244" s="253"/>
    </row>
    <row r="3245" spans="6:24" ht="18.75" customHeight="1">
      <c r="H3245" s="252" t="s">
        <v>438</v>
      </c>
      <c r="J3245" s="253"/>
      <c r="K3245" s="252">
        <f>SUM(K3241:K3244)</f>
        <v>1399.76</v>
      </c>
      <c r="O3245" s="296" t="s">
        <v>5719</v>
      </c>
      <c r="P3245" s="407" t="s">
        <v>2046</v>
      </c>
      <c r="Q3245" s="548">
        <v>5.1999999999999998E-2</v>
      </c>
      <c r="R3245" s="252" t="s">
        <v>2142</v>
      </c>
      <c r="T3245" s="274" t="s">
        <v>675</v>
      </c>
      <c r="W3245" s="253"/>
    </row>
    <row r="3246" spans="6:24" ht="18.75" customHeight="1">
      <c r="J3246" s="253"/>
      <c r="O3246" s="296" t="s">
        <v>3249</v>
      </c>
      <c r="Q3246" s="407"/>
      <c r="T3246" s="274" t="s">
        <v>1879</v>
      </c>
      <c r="W3246" s="253"/>
    </row>
    <row r="3247" spans="6:24" ht="18.75" customHeight="1">
      <c r="H3247" s="252" t="s">
        <v>549</v>
      </c>
      <c r="J3247" s="253"/>
      <c r="K3247" s="252">
        <f>K3245/10</f>
        <v>139.97999999999999</v>
      </c>
      <c r="O3247" s="296" t="s">
        <v>3268</v>
      </c>
      <c r="P3247" s="407" t="s">
        <v>2046</v>
      </c>
      <c r="Q3247" s="592">
        <v>1.7718999999999999E-2</v>
      </c>
      <c r="S3247" s="593">
        <v>6.3E-2</v>
      </c>
      <c r="T3247" s="274" t="s">
        <v>866</v>
      </c>
      <c r="U3247" s="274" t="s">
        <v>3114</v>
      </c>
      <c r="V3247" s="274">
        <f>P3291</f>
        <v>111600</v>
      </c>
      <c r="W3247" s="255" t="s">
        <v>866</v>
      </c>
      <c r="X3247" s="274">
        <f>V3247*S3247</f>
        <v>7030.8</v>
      </c>
    </row>
    <row r="3248" spans="6:24" ht="18.75" customHeight="1">
      <c r="J3248" s="252"/>
      <c r="O3248" s="296" t="s">
        <v>3269</v>
      </c>
      <c r="P3248" s="407" t="s">
        <v>2046</v>
      </c>
      <c r="Q3248" s="592">
        <v>7.8750000000000001E-3</v>
      </c>
      <c r="R3248" s="400"/>
      <c r="S3248" s="593">
        <v>4.8000000000000001E-2</v>
      </c>
      <c r="T3248" s="274" t="s">
        <v>866</v>
      </c>
      <c r="U3248" s="274" t="s">
        <v>2442</v>
      </c>
      <c r="V3248" s="274">
        <f>I3280</f>
        <v>99400</v>
      </c>
      <c r="W3248" s="255" t="s">
        <v>866</v>
      </c>
      <c r="X3248" s="274">
        <f>V3248*S3248</f>
        <v>4771.2</v>
      </c>
    </row>
    <row r="3249" spans="6:24" ht="18.75" customHeight="1">
      <c r="H3249" s="296" t="s">
        <v>1913</v>
      </c>
      <c r="J3249" s="252"/>
      <c r="Q3249" s="358" t="s">
        <v>1579</v>
      </c>
      <c r="S3249" s="593">
        <v>1.54</v>
      </c>
      <c r="T3249" s="274" t="s">
        <v>606</v>
      </c>
      <c r="U3249" s="274" t="s">
        <v>1880</v>
      </c>
      <c r="V3249" s="274">
        <f t="shared" ref="V3249:V3258" si="305">I3281</f>
        <v>2152</v>
      </c>
      <c r="W3249" s="255" t="s">
        <v>2273</v>
      </c>
      <c r="X3249" s="274">
        <f t="shared" ref="X3249:X3258" si="306">V3249*S3249</f>
        <v>3314.08</v>
      </c>
    </row>
    <row r="3250" spans="6:24" ht="18.75" customHeight="1">
      <c r="H3250" s="296" t="s">
        <v>2562</v>
      </c>
      <c r="J3250" s="252"/>
      <c r="Q3250" s="589">
        <v>2.5590000000000002E-2</v>
      </c>
      <c r="R3250" s="252" t="s">
        <v>2142</v>
      </c>
      <c r="S3250" s="593">
        <v>3.9E-2</v>
      </c>
      <c r="T3250" s="274" t="s">
        <v>866</v>
      </c>
      <c r="U3250" s="430" t="s">
        <v>933</v>
      </c>
      <c r="V3250" s="274">
        <f t="shared" si="305"/>
        <v>95000</v>
      </c>
      <c r="W3250" s="255" t="s">
        <v>866</v>
      </c>
      <c r="X3250" s="274">
        <f t="shared" si="306"/>
        <v>3705</v>
      </c>
    </row>
    <row r="3251" spans="6:24" ht="18.75" customHeight="1">
      <c r="J3251" s="252"/>
      <c r="Q3251" s="358" t="s">
        <v>1579</v>
      </c>
      <c r="S3251" s="593">
        <v>3.488</v>
      </c>
      <c r="T3251" s="274" t="s">
        <v>606</v>
      </c>
      <c r="U3251" s="430" t="s">
        <v>880</v>
      </c>
      <c r="V3251" s="274">
        <f t="shared" si="305"/>
        <v>1537</v>
      </c>
      <c r="W3251" s="255" t="s">
        <v>606</v>
      </c>
      <c r="X3251" s="274">
        <f t="shared" si="306"/>
        <v>5361.06</v>
      </c>
    </row>
    <row r="3252" spans="6:24" ht="18.75" customHeight="1">
      <c r="F3252" s="252">
        <v>0.22</v>
      </c>
      <c r="G3252" s="252" t="s">
        <v>866</v>
      </c>
      <c r="H3252" s="296" t="s">
        <v>1617</v>
      </c>
      <c r="I3252" s="252">
        <f>K49</f>
        <v>3701.62</v>
      </c>
      <c r="J3252" s="253" t="s">
        <v>866</v>
      </c>
      <c r="K3252" s="252">
        <f>(F3252*I3252)</f>
        <v>814.36</v>
      </c>
      <c r="O3252" s="296" t="s">
        <v>3270</v>
      </c>
      <c r="Q3252" s="590">
        <v>1.0999999999999999E-2</v>
      </c>
      <c r="R3252" s="400"/>
      <c r="S3252" s="593">
        <v>6</v>
      </c>
      <c r="T3252" s="274" t="s">
        <v>1865</v>
      </c>
      <c r="U3252" s="274" t="s">
        <v>1881</v>
      </c>
      <c r="V3252" s="274">
        <f t="shared" si="305"/>
        <v>214.1</v>
      </c>
      <c r="W3252" s="255" t="s">
        <v>1393</v>
      </c>
      <c r="X3252" s="274">
        <f t="shared" si="306"/>
        <v>1284.5999999999999</v>
      </c>
    </row>
    <row r="3253" spans="6:24" ht="18.75" customHeight="1">
      <c r="F3253" s="252">
        <v>2.2000000000000002</v>
      </c>
      <c r="G3253" s="252" t="s">
        <v>766</v>
      </c>
      <c r="H3253" s="296" t="s">
        <v>2000</v>
      </c>
      <c r="I3253" s="252">
        <f>AE9</f>
        <v>999</v>
      </c>
      <c r="J3253" s="253" t="s">
        <v>766</v>
      </c>
      <c r="K3253" s="252">
        <f>(F3253*I3253)</f>
        <v>2197.8000000000002</v>
      </c>
      <c r="O3253" s="296" t="s">
        <v>3271</v>
      </c>
      <c r="Q3253" s="590">
        <v>5.3E-3</v>
      </c>
      <c r="R3253" s="400"/>
      <c r="S3253" s="593">
        <v>1</v>
      </c>
      <c r="T3253" s="274" t="s">
        <v>1865</v>
      </c>
      <c r="U3253" s="274" t="s">
        <v>1882</v>
      </c>
      <c r="V3253" s="274">
        <f t="shared" si="305"/>
        <v>1020</v>
      </c>
      <c r="W3253" s="255" t="s">
        <v>1393</v>
      </c>
      <c r="X3253" s="274">
        <f t="shared" si="306"/>
        <v>1020</v>
      </c>
    </row>
    <row r="3254" spans="6:24" ht="18.75" customHeight="1">
      <c r="F3254" s="252">
        <v>0.5</v>
      </c>
      <c r="G3254" s="252" t="s">
        <v>766</v>
      </c>
      <c r="H3254" s="296" t="s">
        <v>930</v>
      </c>
      <c r="I3254" s="252">
        <f>I3183</f>
        <v>651</v>
      </c>
      <c r="J3254" s="253" t="s">
        <v>766</v>
      </c>
      <c r="K3254" s="252">
        <f>(F3254*I3254)</f>
        <v>325.5</v>
      </c>
      <c r="O3254" s="296"/>
      <c r="Q3254" s="358" t="s">
        <v>1579</v>
      </c>
      <c r="R3254" s="400"/>
      <c r="S3254" s="593">
        <v>2</v>
      </c>
      <c r="T3254" s="274" t="s">
        <v>1865</v>
      </c>
      <c r="U3254" s="274" t="s">
        <v>1883</v>
      </c>
      <c r="V3254" s="274">
        <f t="shared" si="305"/>
        <v>540</v>
      </c>
      <c r="W3254" s="255" t="s">
        <v>1393</v>
      </c>
      <c r="X3254" s="274">
        <f t="shared" si="306"/>
        <v>1080</v>
      </c>
    </row>
    <row r="3255" spans="6:24" ht="18.75" customHeight="1">
      <c r="F3255" s="252">
        <v>3.2</v>
      </c>
      <c r="G3255" s="252" t="s">
        <v>766</v>
      </c>
      <c r="H3255" s="296" t="s">
        <v>317</v>
      </c>
      <c r="I3255" s="252">
        <f>I3184</f>
        <v>534</v>
      </c>
      <c r="J3255" s="253" t="s">
        <v>766</v>
      </c>
      <c r="K3255" s="252">
        <f>(F3255*I3255)</f>
        <v>1708.8</v>
      </c>
      <c r="O3255" s="296"/>
      <c r="Q3255" s="548">
        <v>1.6299999999999999E-2</v>
      </c>
      <c r="R3255" s="400" t="s">
        <v>2142</v>
      </c>
      <c r="S3255" s="593">
        <v>2</v>
      </c>
      <c r="T3255" s="274" t="s">
        <v>1865</v>
      </c>
      <c r="U3255" s="274" t="s">
        <v>1884</v>
      </c>
      <c r="V3255" s="274">
        <f t="shared" si="305"/>
        <v>764</v>
      </c>
      <c r="W3255" s="255" t="s">
        <v>1393</v>
      </c>
      <c r="X3255" s="274">
        <f t="shared" si="306"/>
        <v>1528</v>
      </c>
    </row>
    <row r="3256" spans="6:24" ht="18.75" customHeight="1">
      <c r="F3256" s="252">
        <v>10</v>
      </c>
      <c r="G3256" s="252" t="s">
        <v>230</v>
      </c>
      <c r="H3256" s="574" t="s">
        <v>4927</v>
      </c>
      <c r="I3256" s="373">
        <f>AE56</f>
        <v>10.199999999999999</v>
      </c>
      <c r="J3256" s="253" t="s">
        <v>230</v>
      </c>
      <c r="K3256" s="252">
        <f>(F3256*I3256)</f>
        <v>102</v>
      </c>
      <c r="Q3256" s="358" t="s">
        <v>1579</v>
      </c>
      <c r="R3256" s="358"/>
      <c r="S3256" s="593">
        <v>1</v>
      </c>
      <c r="T3256" s="274" t="s">
        <v>1865</v>
      </c>
      <c r="U3256" s="274" t="s">
        <v>1885</v>
      </c>
      <c r="V3256" s="274">
        <f t="shared" si="305"/>
        <v>985</v>
      </c>
      <c r="W3256" s="255" t="s">
        <v>1393</v>
      </c>
      <c r="X3256" s="274">
        <f t="shared" si="306"/>
        <v>985</v>
      </c>
    </row>
    <row r="3257" spans="6:24" ht="18.75" customHeight="1">
      <c r="J3257" s="253"/>
      <c r="K3257" s="358" t="s">
        <v>1579</v>
      </c>
      <c r="M3257" s="400">
        <v>5.1999999999999998E-2</v>
      </c>
      <c r="N3257" s="252" t="s">
        <v>866</v>
      </c>
      <c r="O3257" s="296" t="s">
        <v>305</v>
      </c>
      <c r="P3257" s="252">
        <f>P3188</f>
        <v>111600</v>
      </c>
      <c r="Q3257" s="253" t="s">
        <v>866</v>
      </c>
      <c r="R3257" s="252">
        <f>P3257*M3257</f>
        <v>5803.2</v>
      </c>
      <c r="S3257" s="593">
        <v>2</v>
      </c>
      <c r="T3257" s="274" t="s">
        <v>1865</v>
      </c>
      <c r="U3257" s="274" t="s">
        <v>1886</v>
      </c>
      <c r="V3257" s="274">
        <f t="shared" si="305"/>
        <v>450</v>
      </c>
      <c r="W3257" s="255" t="s">
        <v>1393</v>
      </c>
      <c r="X3257" s="274">
        <f t="shared" si="306"/>
        <v>900</v>
      </c>
    </row>
    <row r="3258" spans="6:24" ht="18.75" customHeight="1">
      <c r="H3258" s="296" t="s">
        <v>438</v>
      </c>
      <c r="J3258" s="253"/>
      <c r="K3258" s="252">
        <f>SUM(K3252:K3257)</f>
        <v>5148.46</v>
      </c>
      <c r="M3258" s="400">
        <v>2.5590000000000002E-2</v>
      </c>
      <c r="N3258" s="252" t="s">
        <v>866</v>
      </c>
      <c r="O3258" s="296" t="s">
        <v>306</v>
      </c>
      <c r="P3258" s="252">
        <f>P3189</f>
        <v>99400</v>
      </c>
      <c r="Q3258" s="253" t="s">
        <v>866</v>
      </c>
      <c r="R3258" s="252">
        <f t="shared" ref="R3258:R3268" si="307">P3258*M3258</f>
        <v>2543.65</v>
      </c>
      <c r="S3258" s="593">
        <v>0</v>
      </c>
      <c r="T3258" s="274" t="s">
        <v>1427</v>
      </c>
      <c r="U3258" s="274" t="s">
        <v>5720</v>
      </c>
      <c r="V3258" s="274">
        <f t="shared" si="305"/>
        <v>2.41</v>
      </c>
      <c r="W3258" s="255" t="s">
        <v>1393</v>
      </c>
      <c r="X3258" s="545">
        <f t="shared" si="306"/>
        <v>0</v>
      </c>
    </row>
    <row r="3259" spans="6:24" ht="18.75" customHeight="1">
      <c r="J3259" s="253"/>
      <c r="K3259" s="358" t="s">
        <v>1579</v>
      </c>
      <c r="M3259" s="400">
        <v>1.6299999999999999E-2</v>
      </c>
      <c r="N3259" s="252" t="s">
        <v>866</v>
      </c>
      <c r="O3259" s="393" t="s">
        <v>3272</v>
      </c>
      <c r="P3259" s="252">
        <f>AC28</f>
        <v>95000</v>
      </c>
      <c r="Q3259" s="253" t="s">
        <v>866</v>
      </c>
      <c r="R3259" s="252">
        <f t="shared" si="307"/>
        <v>1548.5</v>
      </c>
      <c r="S3259" s="593"/>
      <c r="T3259" s="274"/>
      <c r="U3259" s="274" t="s">
        <v>1887</v>
      </c>
      <c r="V3259" s="274"/>
      <c r="W3259" s="255"/>
      <c r="X3259" s="274">
        <f>SUM(X3247:X3258)</f>
        <v>30979.74</v>
      </c>
    </row>
    <row r="3260" spans="6:24" ht="18.75" customHeight="1">
      <c r="H3260" s="296" t="s">
        <v>549</v>
      </c>
      <c r="J3260" s="253"/>
      <c r="K3260" s="252">
        <f>(K3258/10)</f>
        <v>514.85</v>
      </c>
      <c r="M3260" s="316"/>
      <c r="O3260" s="296" t="s">
        <v>941</v>
      </c>
      <c r="Q3260" s="253"/>
      <c r="R3260" s="252">
        <f t="shared" si="307"/>
        <v>0</v>
      </c>
      <c r="S3260" s="593"/>
      <c r="T3260" s="274"/>
      <c r="U3260" s="274"/>
      <c r="V3260" s="274"/>
      <c r="W3260" s="255"/>
      <c r="X3260" s="545" t="s">
        <v>146</v>
      </c>
    </row>
    <row r="3261" spans="6:24" ht="18.75" customHeight="1">
      <c r="J3261" s="253"/>
      <c r="K3261" s="358" t="s">
        <v>2046</v>
      </c>
      <c r="M3261" s="316">
        <v>2.4279999999999999</v>
      </c>
      <c r="N3261" s="252" t="s">
        <v>606</v>
      </c>
      <c r="O3261" s="296" t="s">
        <v>444</v>
      </c>
      <c r="P3261" s="252">
        <f t="shared" ref="P3261:P3267" si="308">P3192</f>
        <v>1537</v>
      </c>
      <c r="Q3261" s="253" t="s">
        <v>606</v>
      </c>
      <c r="R3261" s="252">
        <f t="shared" si="307"/>
        <v>3731.84</v>
      </c>
      <c r="S3261" s="593"/>
      <c r="T3261" s="274"/>
      <c r="U3261" s="274" t="s">
        <v>1888</v>
      </c>
      <c r="V3261" s="274"/>
      <c r="W3261" s="255"/>
      <c r="X3261" s="274">
        <f>X3259/S3251</f>
        <v>8881.81</v>
      </c>
    </row>
    <row r="3262" spans="6:24" ht="18.75" customHeight="1">
      <c r="J3262" s="252"/>
      <c r="K3262" s="252">
        <f>54000+7000</f>
        <v>61000</v>
      </c>
      <c r="M3262" s="252">
        <v>4</v>
      </c>
      <c r="N3262" s="252" t="s">
        <v>766</v>
      </c>
      <c r="O3262" s="296" t="s">
        <v>3254</v>
      </c>
      <c r="P3262" s="252">
        <f>P3228</f>
        <v>57.65</v>
      </c>
      <c r="Q3262" s="253" t="s">
        <v>865</v>
      </c>
      <c r="R3262" s="252">
        <f t="shared" si="307"/>
        <v>230.6</v>
      </c>
      <c r="S3262" s="593"/>
      <c r="T3262" s="274"/>
      <c r="U3262" s="274"/>
      <c r="V3262" s="274"/>
      <c r="W3262" s="255"/>
      <c r="X3262" s="545" t="s">
        <v>146</v>
      </c>
    </row>
    <row r="3263" spans="6:24" ht="18.75" customHeight="1">
      <c r="J3263" s="252"/>
      <c r="M3263" s="252">
        <v>8</v>
      </c>
      <c r="N3263" s="252" t="s">
        <v>865</v>
      </c>
      <c r="O3263" s="296" t="s">
        <v>1457</v>
      </c>
      <c r="P3263" s="252">
        <f>P3229</f>
        <v>89.6</v>
      </c>
      <c r="Q3263" s="253" t="s">
        <v>865</v>
      </c>
      <c r="R3263" s="252">
        <f t="shared" si="307"/>
        <v>716.8</v>
      </c>
      <c r="W3263" s="253"/>
    </row>
    <row r="3264" spans="6:24" ht="18.75" customHeight="1">
      <c r="F3264" s="253" t="s">
        <v>30</v>
      </c>
      <c r="G3264" s="252" t="s">
        <v>2241</v>
      </c>
      <c r="H3264" s="253" t="s">
        <v>3380</v>
      </c>
      <c r="J3264" s="253"/>
      <c r="M3264" s="252">
        <v>4</v>
      </c>
      <c r="N3264" s="252" t="s">
        <v>865</v>
      </c>
      <c r="O3264" s="296" t="s">
        <v>3255</v>
      </c>
      <c r="P3264" s="252">
        <f t="shared" si="308"/>
        <v>97.85</v>
      </c>
      <c r="Q3264" s="253" t="s">
        <v>865</v>
      </c>
      <c r="R3264" s="252">
        <f t="shared" si="307"/>
        <v>391.4</v>
      </c>
      <c r="W3264" s="253"/>
    </row>
    <row r="3265" spans="6:23" ht="18.75" customHeight="1">
      <c r="H3265" s="253" t="s">
        <v>32</v>
      </c>
      <c r="J3265" s="253"/>
      <c r="M3265" s="252">
        <v>1</v>
      </c>
      <c r="N3265" s="252" t="s">
        <v>865</v>
      </c>
      <c r="O3265" s="296" t="s">
        <v>3256</v>
      </c>
      <c r="P3265" s="252">
        <f t="shared" si="308"/>
        <v>209.9</v>
      </c>
      <c r="Q3265" s="253" t="s">
        <v>865</v>
      </c>
      <c r="R3265" s="252">
        <f t="shared" si="307"/>
        <v>209.9</v>
      </c>
      <c r="W3265" s="253"/>
    </row>
    <row r="3266" spans="6:23" ht="18.75" customHeight="1">
      <c r="F3266" s="252">
        <v>1.8</v>
      </c>
      <c r="G3266" s="252" t="s">
        <v>1365</v>
      </c>
      <c r="H3266" s="296" t="s">
        <v>31</v>
      </c>
      <c r="I3266" s="252">
        <f>E271</f>
        <v>158</v>
      </c>
      <c r="J3266" s="253" t="s">
        <v>1365</v>
      </c>
      <c r="K3266" s="252">
        <f>(F3266*I3266)</f>
        <v>284.39999999999998</v>
      </c>
      <c r="M3266" s="252">
        <v>2</v>
      </c>
      <c r="N3266" s="252" t="s">
        <v>865</v>
      </c>
      <c r="O3266" s="296" t="s">
        <v>3257</v>
      </c>
      <c r="P3266" s="252">
        <f t="shared" si="308"/>
        <v>23.1</v>
      </c>
      <c r="Q3266" s="253" t="s">
        <v>865</v>
      </c>
      <c r="R3266" s="252">
        <f t="shared" si="307"/>
        <v>46.2</v>
      </c>
      <c r="W3266" s="253"/>
    </row>
    <row r="3267" spans="6:23" ht="18.75" customHeight="1">
      <c r="F3267" s="252">
        <v>0.25</v>
      </c>
      <c r="G3267" s="252" t="s">
        <v>557</v>
      </c>
      <c r="H3267" s="296" t="s">
        <v>1366</v>
      </c>
      <c r="I3267" s="252">
        <f>I3242</f>
        <v>797</v>
      </c>
      <c r="J3267" s="253" t="s">
        <v>557</v>
      </c>
      <c r="K3267" s="252">
        <f>(F3267*I3267)</f>
        <v>199.25</v>
      </c>
      <c r="M3267" s="252">
        <v>2</v>
      </c>
      <c r="N3267" s="252" t="s">
        <v>865</v>
      </c>
      <c r="O3267" s="296" t="s">
        <v>3258</v>
      </c>
      <c r="P3267" s="252">
        <f t="shared" si="308"/>
        <v>49.55</v>
      </c>
      <c r="Q3267" s="253" t="s">
        <v>865</v>
      </c>
      <c r="R3267" s="252">
        <f t="shared" si="307"/>
        <v>99.1</v>
      </c>
      <c r="W3267" s="253"/>
    </row>
    <row r="3268" spans="6:23" ht="18.75" customHeight="1">
      <c r="F3268" s="252">
        <v>0.25</v>
      </c>
      <c r="G3268" s="252" t="s">
        <v>557</v>
      </c>
      <c r="H3268" s="296" t="s">
        <v>820</v>
      </c>
      <c r="I3268" s="252">
        <f>I3183</f>
        <v>651</v>
      </c>
      <c r="J3268" s="253" t="s">
        <v>557</v>
      </c>
      <c r="K3268" s="252">
        <f>(F3268*I3268)</f>
        <v>162.75</v>
      </c>
      <c r="M3268" s="252">
        <v>118</v>
      </c>
      <c r="N3268" s="252" t="s">
        <v>865</v>
      </c>
      <c r="O3268" s="252" t="s">
        <v>1331</v>
      </c>
      <c r="P3268" s="252">
        <f>P3234</f>
        <v>2.41</v>
      </c>
      <c r="Q3268" s="253"/>
      <c r="R3268" s="252">
        <f t="shared" si="307"/>
        <v>284.38</v>
      </c>
      <c r="W3268" s="253"/>
    </row>
    <row r="3269" spans="6:23" ht="18.75" customHeight="1">
      <c r="F3269" s="252">
        <v>0.4</v>
      </c>
      <c r="G3269" s="252" t="s">
        <v>557</v>
      </c>
      <c r="H3269" s="296" t="s">
        <v>1367</v>
      </c>
      <c r="I3269" s="252">
        <f>I3184</f>
        <v>534</v>
      </c>
      <c r="J3269" s="253" t="s">
        <v>557</v>
      </c>
      <c r="K3269" s="252">
        <f>(F3269*I3269)</f>
        <v>213.6</v>
      </c>
      <c r="Q3269" s="253"/>
      <c r="R3269" s="358" t="s">
        <v>1579</v>
      </c>
      <c r="W3269" s="253"/>
    </row>
    <row r="3270" spans="6:23" ht="18.75" customHeight="1">
      <c r="G3270" s="252" t="s">
        <v>446</v>
      </c>
      <c r="H3270" s="296" t="s">
        <v>1828</v>
      </c>
      <c r="J3270" s="253" t="s">
        <v>446</v>
      </c>
      <c r="K3270" s="252">
        <v>1.65</v>
      </c>
      <c r="O3270" s="296" t="s">
        <v>3273</v>
      </c>
      <c r="Q3270" s="253"/>
      <c r="R3270" s="252">
        <f>SUM(R3257:R3268)</f>
        <v>15605.57</v>
      </c>
      <c r="W3270" s="253"/>
    </row>
    <row r="3271" spans="6:23" ht="18.75" customHeight="1">
      <c r="F3271" s="252">
        <v>10</v>
      </c>
      <c r="H3271" s="296" t="s">
        <v>3381</v>
      </c>
      <c r="I3271" s="252">
        <f>I3172</f>
        <v>4.2</v>
      </c>
      <c r="J3271" s="253" t="s">
        <v>230</v>
      </c>
      <c r="K3271" s="252">
        <f>I3271*F3271</f>
        <v>42</v>
      </c>
      <c r="Q3271" s="253"/>
      <c r="R3271" s="358" t="s">
        <v>1579</v>
      </c>
      <c r="W3271" s="253"/>
    </row>
    <row r="3272" spans="6:23" ht="18.75" customHeight="1">
      <c r="J3272" s="253"/>
      <c r="K3272" s="358" t="s">
        <v>1579</v>
      </c>
      <c r="O3272" s="276" t="s">
        <v>549</v>
      </c>
      <c r="Q3272" s="360" t="s">
        <v>718</v>
      </c>
      <c r="R3272" s="274">
        <f>R3270/M3261</f>
        <v>6427.34</v>
      </c>
      <c r="W3272" s="253"/>
    </row>
    <row r="3273" spans="6:23" ht="18.75" customHeight="1">
      <c r="H3273" s="253" t="s">
        <v>1368</v>
      </c>
      <c r="J3273" s="253"/>
      <c r="K3273" s="252">
        <f>SUM(K3266:K3272)</f>
        <v>903.65</v>
      </c>
      <c r="M3273" s="253"/>
      <c r="N3273" s="252" t="s">
        <v>2241</v>
      </c>
      <c r="O3273" s="296" t="s">
        <v>3276</v>
      </c>
      <c r="Q3273" s="253"/>
      <c r="W3273" s="253"/>
    </row>
    <row r="3274" spans="6:23" ht="18.75" customHeight="1">
      <c r="J3274" s="253"/>
      <c r="K3274" s="358" t="s">
        <v>1579</v>
      </c>
      <c r="O3274" s="296" t="s">
        <v>253</v>
      </c>
      <c r="Q3274" s="253"/>
      <c r="W3274" s="253"/>
    </row>
    <row r="3275" spans="6:23" ht="18.75" customHeight="1">
      <c r="F3275" s="296" t="s">
        <v>971</v>
      </c>
      <c r="G3275" s="252" t="s">
        <v>971</v>
      </c>
      <c r="H3275" s="253" t="s">
        <v>1687</v>
      </c>
      <c r="I3275" s="296" t="s">
        <v>971</v>
      </c>
      <c r="J3275" s="253" t="s">
        <v>971</v>
      </c>
      <c r="K3275" s="252">
        <f>K3273/10</f>
        <v>90.37</v>
      </c>
      <c r="O3275" s="525" t="s">
        <v>3266</v>
      </c>
      <c r="Q3275" s="253"/>
      <c r="W3275" s="253"/>
    </row>
    <row r="3276" spans="6:23" ht="18.75" customHeight="1">
      <c r="J3276" s="253"/>
      <c r="K3276" s="358" t="s">
        <v>2046</v>
      </c>
      <c r="O3276" s="358" t="s">
        <v>1579</v>
      </c>
      <c r="Q3276" s="253"/>
      <c r="W3276" s="253"/>
    </row>
    <row r="3277" spans="6:23" ht="18.75" customHeight="1">
      <c r="G3277" s="274" t="s">
        <v>1878</v>
      </c>
      <c r="J3277" s="252"/>
      <c r="O3277" s="296" t="s">
        <v>3267</v>
      </c>
      <c r="P3277" s="407" t="s">
        <v>2046</v>
      </c>
      <c r="Q3277" s="462">
        <v>2.4279999999999999</v>
      </c>
      <c r="R3277" s="252" t="s">
        <v>2273</v>
      </c>
      <c r="W3277" s="253"/>
    </row>
    <row r="3278" spans="6:23" ht="18.75" customHeight="1">
      <c r="G3278" s="274" t="s">
        <v>1879</v>
      </c>
      <c r="J3278" s="252"/>
      <c r="O3278" s="296"/>
      <c r="P3278" s="407"/>
      <c r="Q3278" s="462"/>
      <c r="W3278" s="253"/>
    </row>
    <row r="3279" spans="6:23" ht="18.75" customHeight="1">
      <c r="J3279" s="252"/>
      <c r="O3279" s="296" t="s">
        <v>5719</v>
      </c>
      <c r="P3279" s="407" t="s">
        <v>2046</v>
      </c>
      <c r="Q3279" s="548">
        <v>5.1999999999999998E-2</v>
      </c>
      <c r="R3279" s="252" t="s">
        <v>2142</v>
      </c>
      <c r="W3279" s="253"/>
    </row>
    <row r="3280" spans="6:23" ht="18.75" customHeight="1">
      <c r="F3280" s="572">
        <v>0.10299999999999999</v>
      </c>
      <c r="G3280" s="274" t="s">
        <v>866</v>
      </c>
      <c r="H3280" s="274" t="s">
        <v>2442</v>
      </c>
      <c r="I3280" s="274">
        <f>I1102</f>
        <v>99400</v>
      </c>
      <c r="J3280" s="276" t="s">
        <v>866</v>
      </c>
      <c r="K3280" s="274">
        <f>I3280*F3280</f>
        <v>10238.200000000001</v>
      </c>
      <c r="O3280" s="296" t="s">
        <v>3249</v>
      </c>
      <c r="Q3280" s="407"/>
      <c r="W3280" s="253"/>
    </row>
    <row r="3281" spans="6:23" ht="18.75" customHeight="1">
      <c r="F3281" s="572">
        <v>1.32</v>
      </c>
      <c r="G3281" s="274" t="s">
        <v>606</v>
      </c>
      <c r="H3281" s="274" t="s">
        <v>1880</v>
      </c>
      <c r="I3281" s="594">
        <v>2152</v>
      </c>
      <c r="J3281" s="276" t="s">
        <v>2273</v>
      </c>
      <c r="K3281" s="274">
        <f t="shared" ref="K3281:K3290" si="309">I3281*F3281</f>
        <v>2840.64</v>
      </c>
      <c r="O3281" s="296" t="s">
        <v>3268</v>
      </c>
      <c r="P3281" s="407" t="s">
        <v>2046</v>
      </c>
      <c r="Q3281" s="592">
        <v>1.7718999999999999E-2</v>
      </c>
      <c r="W3281" s="253"/>
    </row>
    <row r="3282" spans="6:23" ht="18.75" customHeight="1">
      <c r="F3282" s="573">
        <v>3.3000000000000002E-2</v>
      </c>
      <c r="G3282" s="274" t="s">
        <v>866</v>
      </c>
      <c r="H3282" s="430" t="s">
        <v>933</v>
      </c>
      <c r="I3282" s="274">
        <f>AC28</f>
        <v>95000</v>
      </c>
      <c r="J3282" s="276" t="s">
        <v>866</v>
      </c>
      <c r="K3282" s="274">
        <f t="shared" si="309"/>
        <v>3135</v>
      </c>
      <c r="O3282" s="296" t="s">
        <v>3269</v>
      </c>
      <c r="P3282" s="407" t="s">
        <v>2046</v>
      </c>
      <c r="Q3282" s="592">
        <v>7.8750000000000001E-3</v>
      </c>
      <c r="R3282" s="400"/>
      <c r="W3282" s="253"/>
    </row>
    <row r="3283" spans="6:23" ht="18.75" customHeight="1">
      <c r="F3283" s="573">
        <v>3.0225</v>
      </c>
      <c r="G3283" s="274" t="s">
        <v>606</v>
      </c>
      <c r="H3283" s="430" t="s">
        <v>880</v>
      </c>
      <c r="I3283" s="274">
        <f>AE30</f>
        <v>1537</v>
      </c>
      <c r="J3283" s="276" t="s">
        <v>606</v>
      </c>
      <c r="K3283" s="274">
        <f t="shared" si="309"/>
        <v>4645.58</v>
      </c>
      <c r="Q3283" s="358" t="s">
        <v>1579</v>
      </c>
      <c r="W3283" s="253"/>
    </row>
    <row r="3284" spans="6:23" ht="18.75" customHeight="1">
      <c r="F3284" s="274">
        <v>6</v>
      </c>
      <c r="G3284" s="274" t="s">
        <v>1865</v>
      </c>
      <c r="H3284" s="274" t="s">
        <v>5471</v>
      </c>
      <c r="I3284" s="595">
        <v>214.1</v>
      </c>
      <c r="J3284" s="276" t="s">
        <v>1393</v>
      </c>
      <c r="K3284" s="274">
        <f t="shared" si="309"/>
        <v>1284.5999999999999</v>
      </c>
      <c r="Q3284" s="589">
        <v>2.5590000000000002E-2</v>
      </c>
      <c r="R3284" s="252" t="s">
        <v>2142</v>
      </c>
      <c r="W3284" s="253"/>
    </row>
    <row r="3285" spans="6:23" ht="18.75" customHeight="1">
      <c r="F3285" s="274">
        <v>1</v>
      </c>
      <c r="G3285" s="274" t="s">
        <v>1865</v>
      </c>
      <c r="H3285" s="274" t="s">
        <v>5472</v>
      </c>
      <c r="I3285" s="366">
        <v>1020</v>
      </c>
      <c r="J3285" s="276" t="s">
        <v>1393</v>
      </c>
      <c r="K3285" s="274">
        <f t="shared" si="309"/>
        <v>1020</v>
      </c>
      <c r="Q3285" s="358" t="s">
        <v>1579</v>
      </c>
      <c r="W3285" s="253"/>
    </row>
    <row r="3286" spans="6:23" ht="18.75" customHeight="1">
      <c r="F3286" s="274">
        <v>2</v>
      </c>
      <c r="G3286" s="274" t="s">
        <v>1865</v>
      </c>
      <c r="H3286" s="274" t="s">
        <v>1883</v>
      </c>
      <c r="I3286" s="366">
        <v>540</v>
      </c>
      <c r="J3286" s="276" t="s">
        <v>1393</v>
      </c>
      <c r="K3286" s="274">
        <f t="shared" si="309"/>
        <v>1080</v>
      </c>
      <c r="O3286" s="296" t="s">
        <v>3274</v>
      </c>
      <c r="Q3286" s="590">
        <v>0.58750000000000002</v>
      </c>
      <c r="R3286" s="400"/>
      <c r="W3286" s="253"/>
    </row>
    <row r="3287" spans="6:23" ht="18.75" customHeight="1">
      <c r="F3287" s="274">
        <v>2</v>
      </c>
      <c r="G3287" s="274" t="s">
        <v>1865</v>
      </c>
      <c r="H3287" s="274" t="s">
        <v>1884</v>
      </c>
      <c r="I3287" s="366">
        <v>764</v>
      </c>
      <c r="J3287" s="276" t="s">
        <v>1393</v>
      </c>
      <c r="K3287" s="274">
        <f t="shared" si="309"/>
        <v>1528</v>
      </c>
      <c r="O3287" s="296" t="s">
        <v>3275</v>
      </c>
      <c r="Q3287" s="590">
        <v>0.28129999999999999</v>
      </c>
      <c r="R3287" s="400"/>
      <c r="W3287" s="253"/>
    </row>
    <row r="3288" spans="6:23" ht="18.75" customHeight="1">
      <c r="F3288" s="274">
        <v>1</v>
      </c>
      <c r="G3288" s="274" t="s">
        <v>1865</v>
      </c>
      <c r="H3288" s="274" t="s">
        <v>1885</v>
      </c>
      <c r="I3288" s="456">
        <v>985</v>
      </c>
      <c r="J3288" s="276" t="s">
        <v>1393</v>
      </c>
      <c r="K3288" s="274">
        <f t="shared" si="309"/>
        <v>985</v>
      </c>
      <c r="O3288" s="296"/>
      <c r="Q3288" s="358" t="s">
        <v>1579</v>
      </c>
      <c r="R3288" s="400"/>
      <c r="W3288" s="253"/>
    </row>
    <row r="3289" spans="6:23" ht="18.75" customHeight="1">
      <c r="F3289" s="274">
        <v>2</v>
      </c>
      <c r="G3289" s="274" t="s">
        <v>1865</v>
      </c>
      <c r="H3289" s="274" t="s">
        <v>1886</v>
      </c>
      <c r="I3289" s="456">
        <v>450</v>
      </c>
      <c r="J3289" s="276" t="s">
        <v>1393</v>
      </c>
      <c r="K3289" s="274">
        <f t="shared" si="309"/>
        <v>900</v>
      </c>
      <c r="O3289" s="296"/>
      <c r="Q3289" s="590">
        <v>0.86880000000000002</v>
      </c>
      <c r="R3289" s="274" t="s">
        <v>2273</v>
      </c>
      <c r="W3289" s="253"/>
    </row>
    <row r="3290" spans="6:23" ht="18.75" customHeight="1">
      <c r="F3290" s="274">
        <v>0</v>
      </c>
      <c r="G3290" s="274" t="s">
        <v>1427</v>
      </c>
      <c r="H3290" s="274" t="s">
        <v>5720</v>
      </c>
      <c r="I3290" s="274">
        <f>I961</f>
        <v>2.41</v>
      </c>
      <c r="J3290" s="276" t="s">
        <v>1393</v>
      </c>
      <c r="K3290" s="545">
        <f t="shared" si="309"/>
        <v>0</v>
      </c>
      <c r="Q3290" s="358" t="s">
        <v>1579</v>
      </c>
      <c r="R3290" s="358"/>
      <c r="W3290" s="253"/>
    </row>
    <row r="3291" spans="6:23" ht="18.75" customHeight="1">
      <c r="F3291" s="274"/>
      <c r="G3291" s="274"/>
      <c r="H3291" s="274" t="s">
        <v>1887</v>
      </c>
      <c r="I3291" s="274"/>
      <c r="J3291" s="276"/>
      <c r="K3291" s="274">
        <f>SUM(K3280:K3290)</f>
        <v>27657.02</v>
      </c>
      <c r="M3291" s="400">
        <v>5.1999999999999998E-2</v>
      </c>
      <c r="N3291" s="252" t="s">
        <v>866</v>
      </c>
      <c r="O3291" s="296" t="s">
        <v>305</v>
      </c>
      <c r="P3291" s="252">
        <f>P3188</f>
        <v>111600</v>
      </c>
      <c r="Q3291" s="253" t="s">
        <v>866</v>
      </c>
      <c r="R3291" s="252">
        <f>P3291*M3291</f>
        <v>5803.2</v>
      </c>
      <c r="W3291" s="253"/>
    </row>
    <row r="3292" spans="6:23" ht="18.75" customHeight="1">
      <c r="F3292" s="274"/>
      <c r="G3292" s="274"/>
      <c r="H3292" s="274"/>
      <c r="I3292" s="274"/>
      <c r="J3292" s="276"/>
      <c r="K3292" s="545" t="s">
        <v>146</v>
      </c>
      <c r="M3292" s="400">
        <v>2.5590000000000002E-2</v>
      </c>
      <c r="N3292" s="252" t="s">
        <v>866</v>
      </c>
      <c r="O3292" s="296" t="s">
        <v>306</v>
      </c>
      <c r="P3292" s="252">
        <f>P3189</f>
        <v>99400</v>
      </c>
      <c r="Q3292" s="253" t="s">
        <v>866</v>
      </c>
      <c r="R3292" s="252">
        <f t="shared" ref="R3292:R3300" si="310">P3292*M3292</f>
        <v>2543.65</v>
      </c>
      <c r="W3292" s="253"/>
    </row>
    <row r="3293" spans="6:23" ht="18.75" customHeight="1">
      <c r="F3293" s="274"/>
      <c r="G3293" s="274"/>
      <c r="H3293" s="274" t="s">
        <v>1888</v>
      </c>
      <c r="I3293" s="274"/>
      <c r="J3293" s="276"/>
      <c r="K3293" s="274">
        <f>K3291/F3283</f>
        <v>9150.3799999999992</v>
      </c>
      <c r="M3293" s="252">
        <v>0.87</v>
      </c>
      <c r="N3293" s="252" t="s">
        <v>606</v>
      </c>
      <c r="O3293" s="296" t="s">
        <v>2082</v>
      </c>
      <c r="P3293" s="252">
        <f>C783</f>
        <v>387.4</v>
      </c>
      <c r="Q3293" s="253" t="s">
        <v>866</v>
      </c>
      <c r="R3293" s="252">
        <f t="shared" si="310"/>
        <v>337.04</v>
      </c>
      <c r="W3293" s="253"/>
    </row>
    <row r="3294" spans="6:23" ht="18.75" customHeight="1">
      <c r="F3294" s="274"/>
      <c r="G3294" s="274"/>
      <c r="H3294" s="274"/>
      <c r="I3294" s="274"/>
      <c r="J3294" s="276"/>
      <c r="K3294" s="545" t="s">
        <v>146</v>
      </c>
      <c r="M3294" s="316">
        <v>2.4279999999999999</v>
      </c>
      <c r="N3294" s="252" t="s">
        <v>606</v>
      </c>
      <c r="O3294" s="296" t="s">
        <v>444</v>
      </c>
      <c r="P3294" s="252">
        <f>D30</f>
        <v>1281</v>
      </c>
      <c r="Q3294" s="253" t="s">
        <v>606</v>
      </c>
      <c r="R3294" s="252">
        <f t="shared" si="310"/>
        <v>3110.27</v>
      </c>
      <c r="W3294" s="253"/>
    </row>
    <row r="3295" spans="6:23" ht="18.75" customHeight="1">
      <c r="J3295" s="252"/>
      <c r="M3295" s="252">
        <v>4</v>
      </c>
      <c r="N3295" s="252" t="s">
        <v>766</v>
      </c>
      <c r="O3295" s="296" t="s">
        <v>3254</v>
      </c>
      <c r="P3295" s="252">
        <f t="shared" ref="P3295:P3300" si="311">P3228</f>
        <v>57.65</v>
      </c>
      <c r="Q3295" s="253" t="s">
        <v>865</v>
      </c>
      <c r="R3295" s="252">
        <f t="shared" si="310"/>
        <v>230.6</v>
      </c>
      <c r="W3295" s="253"/>
    </row>
    <row r="3296" spans="6:23" ht="18.75" customHeight="1">
      <c r="J3296" s="252"/>
      <c r="M3296" s="252">
        <v>8</v>
      </c>
      <c r="N3296" s="252" t="s">
        <v>865</v>
      </c>
      <c r="O3296" s="296" t="s">
        <v>1457</v>
      </c>
      <c r="P3296" s="252">
        <f t="shared" si="311"/>
        <v>89.6</v>
      </c>
      <c r="Q3296" s="253" t="s">
        <v>865</v>
      </c>
      <c r="R3296" s="252">
        <f t="shared" si="310"/>
        <v>716.8</v>
      </c>
      <c r="W3296" s="253"/>
    </row>
    <row r="3297" spans="6:23" ht="18.75" customHeight="1">
      <c r="G3297" s="252" t="s">
        <v>313</v>
      </c>
      <c r="H3297" s="253" t="s">
        <v>1735</v>
      </c>
      <c r="M3297" s="252">
        <v>4</v>
      </c>
      <c r="N3297" s="252" t="s">
        <v>865</v>
      </c>
      <c r="O3297" s="296" t="s">
        <v>3255</v>
      </c>
      <c r="P3297" s="252">
        <f t="shared" si="311"/>
        <v>97.85</v>
      </c>
      <c r="Q3297" s="253" t="s">
        <v>865</v>
      </c>
      <c r="R3297" s="252">
        <f t="shared" si="310"/>
        <v>391.4</v>
      </c>
      <c r="W3297" s="253"/>
    </row>
    <row r="3298" spans="6:23" ht="18.75" customHeight="1">
      <c r="H3298" s="253" t="s">
        <v>1773</v>
      </c>
      <c r="M3298" s="252">
        <v>1</v>
      </c>
      <c r="N3298" s="252" t="s">
        <v>865</v>
      </c>
      <c r="O3298" s="296" t="s">
        <v>3256</v>
      </c>
      <c r="P3298" s="252">
        <f t="shared" si="311"/>
        <v>209.9</v>
      </c>
      <c r="Q3298" s="253" t="s">
        <v>865</v>
      </c>
      <c r="R3298" s="252">
        <f t="shared" si="310"/>
        <v>209.9</v>
      </c>
      <c r="W3298" s="253"/>
    </row>
    <row r="3299" spans="6:23" ht="18.75" customHeight="1">
      <c r="F3299" s="400">
        <v>6.5000000000000002E-2</v>
      </c>
      <c r="G3299" s="252" t="s">
        <v>866</v>
      </c>
      <c r="H3299" s="296" t="s">
        <v>2064</v>
      </c>
      <c r="I3299" s="252">
        <f>I859</f>
        <v>8125.18</v>
      </c>
      <c r="J3299" s="296" t="s">
        <v>866</v>
      </c>
      <c r="K3299" s="252">
        <f>I3299*F3299</f>
        <v>528.14</v>
      </c>
      <c r="M3299" s="252">
        <v>2</v>
      </c>
      <c r="N3299" s="252" t="s">
        <v>865</v>
      </c>
      <c r="O3299" s="296" t="s">
        <v>3257</v>
      </c>
      <c r="P3299" s="252">
        <f t="shared" si="311"/>
        <v>23.1</v>
      </c>
      <c r="Q3299" s="253" t="s">
        <v>865</v>
      </c>
      <c r="R3299" s="252">
        <f t="shared" si="310"/>
        <v>46.2</v>
      </c>
      <c r="W3299" s="253"/>
    </row>
    <row r="3300" spans="6:23" ht="18.75" customHeight="1">
      <c r="F3300" s="438">
        <v>8.4499999999999993</v>
      </c>
      <c r="G3300" s="252" t="s">
        <v>1637</v>
      </c>
      <c r="H3300" s="296" t="s">
        <v>2065</v>
      </c>
      <c r="I3300" s="252">
        <f t="shared" ref="I3300:I3310" si="312">I860</f>
        <v>88873.5</v>
      </c>
      <c r="J3300" s="296" t="s">
        <v>858</v>
      </c>
      <c r="K3300" s="252">
        <f>I3300*F3300/1000</f>
        <v>750.98</v>
      </c>
      <c r="M3300" s="252">
        <v>2</v>
      </c>
      <c r="N3300" s="252" t="s">
        <v>865</v>
      </c>
      <c r="O3300" s="296" t="s">
        <v>3258</v>
      </c>
      <c r="P3300" s="252">
        <f t="shared" si="311"/>
        <v>49.55</v>
      </c>
      <c r="Q3300" s="253" t="s">
        <v>865</v>
      </c>
      <c r="R3300" s="252">
        <f t="shared" si="310"/>
        <v>99.1</v>
      </c>
      <c r="W3300" s="253"/>
    </row>
    <row r="3301" spans="6:23" ht="18.75" customHeight="1">
      <c r="F3301" s="252">
        <v>3</v>
      </c>
      <c r="G3301" s="252" t="s">
        <v>865</v>
      </c>
      <c r="H3301" s="296" t="s">
        <v>1182</v>
      </c>
      <c r="I3301" s="252">
        <f t="shared" si="312"/>
        <v>14.8</v>
      </c>
      <c r="J3301" s="296" t="s">
        <v>865</v>
      </c>
      <c r="K3301" s="252">
        <f t="shared" ref="K3301:K3308" si="313">I3301*F3301</f>
        <v>44.4</v>
      </c>
      <c r="O3301" s="252" t="s">
        <v>1331</v>
      </c>
      <c r="Q3301" s="253"/>
      <c r="R3301" s="407">
        <f>R3199</f>
        <v>284.38</v>
      </c>
      <c r="W3301" s="253"/>
    </row>
    <row r="3302" spans="6:23" ht="18.75" customHeight="1">
      <c r="F3302" s="252">
        <v>12</v>
      </c>
      <c r="G3302" s="252" t="s">
        <v>865</v>
      </c>
      <c r="H3302" s="296" t="s">
        <v>1183</v>
      </c>
      <c r="I3302" s="252">
        <f t="shared" si="312"/>
        <v>2</v>
      </c>
      <c r="J3302" s="296" t="s">
        <v>865</v>
      </c>
      <c r="K3302" s="252">
        <f t="shared" si="313"/>
        <v>24</v>
      </c>
      <c r="Q3302" s="253"/>
      <c r="R3302" s="358" t="s">
        <v>1579</v>
      </c>
      <c r="W3302" s="253"/>
    </row>
    <row r="3303" spans="6:23" ht="18.75" customHeight="1">
      <c r="F3303" s="252">
        <v>2</v>
      </c>
      <c r="G3303" s="252" t="s">
        <v>865</v>
      </c>
      <c r="H3303" s="296" t="s">
        <v>1184</v>
      </c>
      <c r="I3303" s="252">
        <f t="shared" si="312"/>
        <v>4.9000000000000004</v>
      </c>
      <c r="J3303" s="296" t="s">
        <v>865</v>
      </c>
      <c r="K3303" s="252">
        <f t="shared" si="313"/>
        <v>9.8000000000000007</v>
      </c>
      <c r="O3303" s="296" t="s">
        <v>3273</v>
      </c>
      <c r="Q3303" s="253"/>
      <c r="R3303" s="252">
        <f>SUM(R3291:R3301)</f>
        <v>13772.54</v>
      </c>
      <c r="W3303" s="253"/>
    </row>
    <row r="3304" spans="6:23" ht="18.75" customHeight="1">
      <c r="F3304" s="252">
        <v>6</v>
      </c>
      <c r="G3304" s="252" t="s">
        <v>865</v>
      </c>
      <c r="H3304" s="296" t="s">
        <v>2210</v>
      </c>
      <c r="I3304" s="252">
        <f t="shared" si="312"/>
        <v>4.45</v>
      </c>
      <c r="J3304" s="296" t="s">
        <v>865</v>
      </c>
      <c r="K3304" s="252">
        <f t="shared" si="313"/>
        <v>26.7</v>
      </c>
      <c r="Q3304" s="253"/>
      <c r="R3304" s="358" t="s">
        <v>1579</v>
      </c>
      <c r="W3304" s="253"/>
    </row>
    <row r="3305" spans="6:23" ht="18.75" customHeight="1">
      <c r="F3305" s="252">
        <v>1</v>
      </c>
      <c r="G3305" s="252" t="s">
        <v>865</v>
      </c>
      <c r="H3305" s="296" t="s">
        <v>1188</v>
      </c>
      <c r="I3305" s="252">
        <f t="shared" si="312"/>
        <v>999</v>
      </c>
      <c r="J3305" s="296" t="s">
        <v>865</v>
      </c>
      <c r="K3305" s="252">
        <f t="shared" si="313"/>
        <v>999</v>
      </c>
      <c r="O3305" s="276" t="s">
        <v>549</v>
      </c>
      <c r="Q3305" s="360" t="s">
        <v>718</v>
      </c>
      <c r="R3305" s="274">
        <f>R3303/M3294</f>
        <v>5672.38</v>
      </c>
      <c r="W3305" s="253"/>
    </row>
    <row r="3306" spans="6:23" ht="18.75" customHeight="1">
      <c r="F3306" s="252">
        <v>1</v>
      </c>
      <c r="G3306" s="252" t="s">
        <v>865</v>
      </c>
      <c r="H3306" s="296" t="s">
        <v>1189</v>
      </c>
      <c r="I3306" s="252">
        <f t="shared" si="312"/>
        <v>651</v>
      </c>
      <c r="J3306" s="296" t="s">
        <v>865</v>
      </c>
      <c r="K3306" s="252">
        <f t="shared" si="313"/>
        <v>651</v>
      </c>
      <c r="M3306" s="253"/>
      <c r="N3306" s="252" t="s">
        <v>2241</v>
      </c>
      <c r="O3306" s="296" t="s">
        <v>2371</v>
      </c>
      <c r="Q3306" s="253"/>
      <c r="W3306" s="253"/>
    </row>
    <row r="3307" spans="6:23" ht="18.75" customHeight="1">
      <c r="F3307" s="252">
        <v>1</v>
      </c>
      <c r="G3307" s="252" t="s">
        <v>865</v>
      </c>
      <c r="H3307" s="296" t="s">
        <v>1190</v>
      </c>
      <c r="I3307" s="252">
        <f t="shared" si="312"/>
        <v>25</v>
      </c>
      <c r="J3307" s="296" t="s">
        <v>865</v>
      </c>
      <c r="K3307" s="252">
        <f t="shared" si="313"/>
        <v>25</v>
      </c>
      <c r="O3307" s="296" t="s">
        <v>253</v>
      </c>
      <c r="Q3307" s="253"/>
      <c r="W3307" s="253"/>
    </row>
    <row r="3308" spans="6:23" ht="18.75" customHeight="1">
      <c r="F3308" s="252">
        <v>0.5</v>
      </c>
      <c r="G3308" s="252" t="s">
        <v>865</v>
      </c>
      <c r="H3308" s="296" t="s">
        <v>1191</v>
      </c>
      <c r="I3308" s="252">
        <f t="shared" si="312"/>
        <v>534</v>
      </c>
      <c r="J3308" s="296" t="s">
        <v>865</v>
      </c>
      <c r="K3308" s="252">
        <f t="shared" si="313"/>
        <v>267</v>
      </c>
      <c r="O3308" s="525" t="s">
        <v>2806</v>
      </c>
      <c r="Q3308" s="253"/>
      <c r="W3308" s="253"/>
    </row>
    <row r="3309" spans="6:23" ht="18.75" customHeight="1">
      <c r="G3309" s="252" t="s">
        <v>446</v>
      </c>
      <c r="H3309" s="296" t="s">
        <v>2130</v>
      </c>
      <c r="I3309" s="252">
        <f t="shared" si="312"/>
        <v>0</v>
      </c>
      <c r="J3309" s="296" t="s">
        <v>446</v>
      </c>
      <c r="K3309" s="252">
        <v>2.1</v>
      </c>
      <c r="O3309" s="358" t="s">
        <v>1579</v>
      </c>
      <c r="Q3309" s="253"/>
      <c r="W3309" s="253"/>
    </row>
    <row r="3310" spans="6:23" ht="18.75" customHeight="1">
      <c r="I3310" s="252">
        <f t="shared" si="312"/>
        <v>0</v>
      </c>
      <c r="K3310" s="358" t="s">
        <v>1579</v>
      </c>
      <c r="O3310" s="296" t="s">
        <v>3248</v>
      </c>
      <c r="P3310" s="407" t="s">
        <v>2046</v>
      </c>
      <c r="Q3310" s="462">
        <v>3.1219999999999999</v>
      </c>
      <c r="R3310" s="296" t="s">
        <v>2273</v>
      </c>
      <c r="W3310" s="253"/>
    </row>
    <row r="3311" spans="6:23" ht="18.75" customHeight="1">
      <c r="H3311" s="255" t="s">
        <v>280</v>
      </c>
      <c r="K3311" s="274">
        <f>SUM(K3299:K3310)</f>
        <v>3328.12</v>
      </c>
      <c r="O3311" s="296"/>
      <c r="P3311" s="407"/>
      <c r="Q3311" s="462"/>
      <c r="R3311" s="296"/>
      <c r="W3311" s="253"/>
    </row>
    <row r="3312" spans="6:23" ht="18.75" customHeight="1">
      <c r="K3312" s="358" t="s">
        <v>1579</v>
      </c>
      <c r="O3312" s="296" t="s">
        <v>5719</v>
      </c>
      <c r="P3312" s="407" t="s">
        <v>2046</v>
      </c>
      <c r="Q3312" s="548">
        <v>5.1999999999999998E-2</v>
      </c>
      <c r="R3312" s="296" t="s">
        <v>2142</v>
      </c>
      <c r="W3312" s="253"/>
    </row>
    <row r="3313" spans="6:23" ht="18.75" customHeight="1">
      <c r="J3313" s="252"/>
      <c r="O3313" s="296" t="s">
        <v>3249</v>
      </c>
      <c r="Q3313" s="407"/>
      <c r="R3313" s="296"/>
      <c r="W3313" s="253"/>
    </row>
    <row r="3314" spans="6:23" ht="18.75" customHeight="1">
      <c r="J3314" s="252"/>
      <c r="O3314" s="296" t="s">
        <v>3250</v>
      </c>
      <c r="P3314" s="407" t="s">
        <v>2046</v>
      </c>
      <c r="Q3314" s="588">
        <v>2.2780000000000002E-2</v>
      </c>
      <c r="R3314" s="296"/>
      <c r="W3314" s="253"/>
    </row>
    <row r="3315" spans="6:23" ht="18.75" customHeight="1">
      <c r="G3315" s="274" t="s">
        <v>1736</v>
      </c>
      <c r="J3315" s="252"/>
      <c r="O3315" s="296" t="s">
        <v>2807</v>
      </c>
      <c r="P3315" s="407" t="s">
        <v>2046</v>
      </c>
      <c r="Q3315" s="592">
        <v>1.0125E-2</v>
      </c>
      <c r="R3315" s="443"/>
      <c r="W3315" s="253"/>
    </row>
    <row r="3316" spans="6:23" ht="18.75" customHeight="1">
      <c r="G3316" s="274" t="s">
        <v>1737</v>
      </c>
      <c r="J3316" s="252"/>
      <c r="Q3316" s="591" t="s">
        <v>3043</v>
      </c>
      <c r="R3316" s="296"/>
      <c r="W3316" s="253"/>
    </row>
    <row r="3317" spans="6:23" ht="18.75" customHeight="1">
      <c r="J3317" s="252"/>
      <c r="Q3317" s="589">
        <v>3.2910000000000002E-2</v>
      </c>
      <c r="R3317" s="296" t="s">
        <v>2142</v>
      </c>
      <c r="W3317" s="253"/>
    </row>
    <row r="3318" spans="6:23" ht="18.75" customHeight="1">
      <c r="F3318" s="573">
        <v>2.6159999999999999E-2</v>
      </c>
      <c r="G3318" s="274" t="s">
        <v>866</v>
      </c>
      <c r="H3318" s="274" t="s">
        <v>3114</v>
      </c>
      <c r="I3318" s="274">
        <f>AC26</f>
        <v>111600</v>
      </c>
      <c r="J3318" s="276" t="s">
        <v>866</v>
      </c>
      <c r="K3318" s="274">
        <f>I3318*F3318</f>
        <v>2919.46</v>
      </c>
      <c r="Q3318" s="591" t="s">
        <v>3043</v>
      </c>
      <c r="R3318" s="296"/>
      <c r="W3318" s="253"/>
    </row>
    <row r="3319" spans="6:23" ht="18.75" customHeight="1">
      <c r="F3319" s="573">
        <v>4.7809999999999998E-2</v>
      </c>
      <c r="G3319" s="274" t="s">
        <v>866</v>
      </c>
      <c r="H3319" s="274" t="s">
        <v>2478</v>
      </c>
      <c r="I3319" s="274">
        <f>AC27</f>
        <v>99400</v>
      </c>
      <c r="J3319" s="276" t="s">
        <v>866</v>
      </c>
      <c r="K3319" s="274">
        <f t="shared" ref="K3319:K3327" si="314">I3319*F3319</f>
        <v>4752.3100000000004</v>
      </c>
      <c r="O3319" s="296" t="s">
        <v>3262</v>
      </c>
      <c r="Q3319" s="548">
        <v>0.94</v>
      </c>
      <c r="R3319" s="443" t="s">
        <v>2273</v>
      </c>
      <c r="W3319" s="253"/>
    </row>
    <row r="3320" spans="6:23" ht="18.75" customHeight="1">
      <c r="F3320" s="596">
        <v>4.5879999999999997E-2</v>
      </c>
      <c r="G3320" s="257" t="s">
        <v>866</v>
      </c>
      <c r="H3320" s="597" t="s">
        <v>5473</v>
      </c>
      <c r="I3320" s="598">
        <v>107000</v>
      </c>
      <c r="J3320" s="272" t="s">
        <v>866</v>
      </c>
      <c r="K3320" s="257">
        <f t="shared" si="314"/>
        <v>4909.16</v>
      </c>
      <c r="O3320" s="296" t="s">
        <v>3277</v>
      </c>
      <c r="Q3320" s="548">
        <v>0.45</v>
      </c>
      <c r="R3320" s="443" t="s">
        <v>2142</v>
      </c>
      <c r="W3320" s="253"/>
    </row>
    <row r="3321" spans="6:23" ht="18.75" customHeight="1">
      <c r="F3321" s="573">
        <v>3.95</v>
      </c>
      <c r="G3321" s="274" t="s">
        <v>606</v>
      </c>
      <c r="H3321" s="274" t="s">
        <v>880</v>
      </c>
      <c r="I3321" s="274">
        <f>P3261</f>
        <v>1537</v>
      </c>
      <c r="J3321" s="276" t="s">
        <v>606</v>
      </c>
      <c r="K3321" s="274">
        <f t="shared" si="314"/>
        <v>6071.15</v>
      </c>
      <c r="O3321" s="296" t="s">
        <v>3264</v>
      </c>
      <c r="Q3321" s="548">
        <v>7.9</v>
      </c>
      <c r="R3321" s="443" t="s">
        <v>823</v>
      </c>
      <c r="W3321" s="253"/>
    </row>
    <row r="3322" spans="6:23" ht="18.75" customHeight="1">
      <c r="F3322" s="274">
        <v>2</v>
      </c>
      <c r="G3322" s="274" t="s">
        <v>1865</v>
      </c>
      <c r="H3322" s="274" t="s">
        <v>2114</v>
      </c>
      <c r="I3322" s="274">
        <f t="shared" ref="I3322:I3327" si="315">P3262</f>
        <v>57.65</v>
      </c>
      <c r="J3322" s="276" t="s">
        <v>1393</v>
      </c>
      <c r="K3322" s="274">
        <f t="shared" si="314"/>
        <v>115.3</v>
      </c>
      <c r="Q3322" s="358"/>
      <c r="R3322" s="358"/>
      <c r="W3322" s="253"/>
    </row>
    <row r="3323" spans="6:23" ht="18.75" customHeight="1">
      <c r="F3323" s="274">
        <v>6</v>
      </c>
      <c r="G3323" s="274" t="s">
        <v>1865</v>
      </c>
      <c r="H3323" s="274" t="s">
        <v>1094</v>
      </c>
      <c r="I3323" s="274">
        <f t="shared" si="315"/>
        <v>89.6</v>
      </c>
      <c r="J3323" s="276" t="s">
        <v>1393</v>
      </c>
      <c r="K3323" s="274">
        <f t="shared" si="314"/>
        <v>537.6</v>
      </c>
      <c r="M3323" s="400">
        <v>5.1999999999999998E-2</v>
      </c>
      <c r="N3323" s="252" t="s">
        <v>866</v>
      </c>
      <c r="O3323" s="296" t="s">
        <v>305</v>
      </c>
      <c r="P3323" s="252">
        <f>P3221</f>
        <v>111600</v>
      </c>
      <c r="Q3323" s="253" t="s">
        <v>866</v>
      </c>
      <c r="R3323" s="252">
        <f>P3323*M3323</f>
        <v>5803.2</v>
      </c>
      <c r="W3323" s="253"/>
    </row>
    <row r="3324" spans="6:23" ht="18.75" customHeight="1">
      <c r="F3324" s="274">
        <v>4</v>
      </c>
      <c r="G3324" s="274" t="s">
        <v>1865</v>
      </c>
      <c r="H3324" s="274" t="s">
        <v>1343</v>
      </c>
      <c r="I3324" s="274">
        <f t="shared" si="315"/>
        <v>97.85</v>
      </c>
      <c r="J3324" s="276" t="s">
        <v>1393</v>
      </c>
      <c r="K3324" s="274">
        <f t="shared" si="314"/>
        <v>391.4</v>
      </c>
      <c r="M3324" s="400">
        <v>3.2910000000000002E-2</v>
      </c>
      <c r="N3324" s="252" t="s">
        <v>866</v>
      </c>
      <c r="O3324" s="296" t="s">
        <v>306</v>
      </c>
      <c r="P3324" s="252">
        <f>P3222</f>
        <v>99400</v>
      </c>
      <c r="Q3324" s="253" t="s">
        <v>866</v>
      </c>
      <c r="R3324" s="252">
        <f t="shared" ref="R3324:R3335" si="316">P3324*M3324</f>
        <v>3271.25</v>
      </c>
      <c r="W3324" s="253"/>
    </row>
    <row r="3325" spans="6:23" ht="18.75" customHeight="1">
      <c r="F3325" s="274">
        <v>1</v>
      </c>
      <c r="G3325" s="274" t="s">
        <v>1865</v>
      </c>
      <c r="H3325" s="274" t="s">
        <v>1344</v>
      </c>
      <c r="I3325" s="274">
        <f t="shared" si="315"/>
        <v>209.9</v>
      </c>
      <c r="J3325" s="276" t="s">
        <v>1393</v>
      </c>
      <c r="K3325" s="274">
        <f t="shared" si="314"/>
        <v>209.9</v>
      </c>
      <c r="M3325" s="400">
        <v>0.45</v>
      </c>
      <c r="N3325" s="252" t="s">
        <v>606</v>
      </c>
      <c r="O3325" s="296" t="s">
        <v>2082</v>
      </c>
      <c r="P3325" s="252">
        <f>P3293</f>
        <v>387.4</v>
      </c>
      <c r="Q3325" s="253" t="s">
        <v>866</v>
      </c>
      <c r="R3325" s="252">
        <f t="shared" si="316"/>
        <v>174.33</v>
      </c>
      <c r="W3325" s="253"/>
    </row>
    <row r="3326" spans="6:23" ht="18.75" customHeight="1">
      <c r="F3326" s="274">
        <v>2</v>
      </c>
      <c r="G3326" s="274" t="s">
        <v>1865</v>
      </c>
      <c r="H3326" s="274" t="s">
        <v>3733</v>
      </c>
      <c r="I3326" s="274">
        <f t="shared" si="315"/>
        <v>23.1</v>
      </c>
      <c r="J3326" s="276" t="s">
        <v>1393</v>
      </c>
      <c r="K3326" s="274">
        <f t="shared" si="314"/>
        <v>46.2</v>
      </c>
      <c r="M3326" s="316">
        <v>0.94</v>
      </c>
      <c r="N3326" s="252" t="s">
        <v>606</v>
      </c>
      <c r="O3326" s="296" t="s">
        <v>3263</v>
      </c>
      <c r="P3326" s="252">
        <f t="shared" ref="P3326:P3334" si="317">P3225</f>
        <v>562.5</v>
      </c>
      <c r="Q3326" s="253" t="s">
        <v>606</v>
      </c>
      <c r="R3326" s="252">
        <f t="shared" si="316"/>
        <v>528.75</v>
      </c>
      <c r="W3326" s="253"/>
    </row>
    <row r="3327" spans="6:23" ht="18.75" customHeight="1">
      <c r="F3327" s="274">
        <v>2</v>
      </c>
      <c r="G3327" s="274" t="s">
        <v>1865</v>
      </c>
      <c r="H3327" s="274" t="s">
        <v>1973</v>
      </c>
      <c r="I3327" s="274">
        <f t="shared" si="315"/>
        <v>49.55</v>
      </c>
      <c r="J3327" s="276" t="s">
        <v>1393</v>
      </c>
      <c r="K3327" s="274">
        <f t="shared" si="314"/>
        <v>99.1</v>
      </c>
      <c r="M3327" s="316">
        <v>7.9</v>
      </c>
      <c r="N3327" s="252" t="s">
        <v>1763</v>
      </c>
      <c r="O3327" s="296" t="s">
        <v>3265</v>
      </c>
      <c r="P3327" s="252">
        <f t="shared" si="317"/>
        <v>15.45</v>
      </c>
      <c r="Q3327" s="253"/>
      <c r="R3327" s="252">
        <f t="shared" si="316"/>
        <v>122.06</v>
      </c>
      <c r="W3327" s="253"/>
    </row>
    <row r="3328" spans="6:23" ht="18.75" customHeight="1">
      <c r="F3328" s="274">
        <v>10</v>
      </c>
      <c r="G3328" s="274"/>
      <c r="H3328" s="599" t="s">
        <v>1890</v>
      </c>
      <c r="I3328" s="274">
        <f>I3290</f>
        <v>2.41</v>
      </c>
      <c r="J3328" s="276"/>
      <c r="K3328" s="274">
        <v>24.3</v>
      </c>
      <c r="M3328" s="316">
        <v>3.1219999999999999</v>
      </c>
      <c r="N3328" s="252" t="s">
        <v>606</v>
      </c>
      <c r="O3328" s="296" t="s">
        <v>444</v>
      </c>
      <c r="P3328" s="252">
        <f t="shared" si="317"/>
        <v>1436</v>
      </c>
      <c r="Q3328" s="253" t="s">
        <v>606</v>
      </c>
      <c r="R3328" s="252">
        <f t="shared" si="316"/>
        <v>4483.1899999999996</v>
      </c>
      <c r="W3328" s="253"/>
    </row>
    <row r="3329" spans="6:23" ht="18.75" customHeight="1">
      <c r="F3329" s="274"/>
      <c r="G3329" s="274"/>
      <c r="H3329" s="274" t="s">
        <v>5610</v>
      </c>
      <c r="I3329" s="274"/>
      <c r="J3329" s="276"/>
      <c r="K3329" s="274">
        <f>SUM(K3318:K3328)</f>
        <v>20075.88</v>
      </c>
      <c r="M3329" s="252">
        <v>4</v>
      </c>
      <c r="N3329" s="252" t="s">
        <v>766</v>
      </c>
      <c r="O3329" s="296" t="s">
        <v>3254</v>
      </c>
      <c r="P3329" s="252">
        <f t="shared" si="317"/>
        <v>57.65</v>
      </c>
      <c r="Q3329" s="253" t="s">
        <v>865</v>
      </c>
      <c r="R3329" s="252">
        <f t="shared" si="316"/>
        <v>230.6</v>
      </c>
      <c r="W3329" s="253"/>
    </row>
    <row r="3330" spans="6:23" ht="18.75" customHeight="1">
      <c r="F3330" s="274"/>
      <c r="G3330" s="274"/>
      <c r="H3330" s="274"/>
      <c r="I3330" s="274"/>
      <c r="J3330" s="276"/>
      <c r="K3330" s="545" t="s">
        <v>146</v>
      </c>
      <c r="M3330" s="252">
        <v>8</v>
      </c>
      <c r="N3330" s="252" t="s">
        <v>865</v>
      </c>
      <c r="O3330" s="296" t="s">
        <v>1457</v>
      </c>
      <c r="P3330" s="252">
        <f t="shared" si="317"/>
        <v>89.6</v>
      </c>
      <c r="Q3330" s="253" t="s">
        <v>865</v>
      </c>
      <c r="R3330" s="252">
        <f t="shared" si="316"/>
        <v>716.8</v>
      </c>
      <c r="W3330" s="253"/>
    </row>
    <row r="3331" spans="6:23" ht="18.75" customHeight="1">
      <c r="F3331" s="274"/>
      <c r="G3331" s="274"/>
      <c r="H3331" s="274" t="s">
        <v>549</v>
      </c>
      <c r="I3331" s="274"/>
      <c r="J3331" s="276"/>
      <c r="K3331" s="274">
        <f>K3329/F3321</f>
        <v>5082.5</v>
      </c>
      <c r="M3331" s="252">
        <v>4</v>
      </c>
      <c r="N3331" s="252" t="s">
        <v>865</v>
      </c>
      <c r="O3331" s="296" t="s">
        <v>3255</v>
      </c>
      <c r="P3331" s="252">
        <f t="shared" si="317"/>
        <v>97.85</v>
      </c>
      <c r="Q3331" s="253" t="s">
        <v>865</v>
      </c>
      <c r="R3331" s="252">
        <f t="shared" si="316"/>
        <v>391.4</v>
      </c>
      <c r="W3331" s="253"/>
    </row>
    <row r="3332" spans="6:23" ht="18.75" customHeight="1">
      <c r="F3332" s="274"/>
      <c r="G3332" s="274"/>
      <c r="H3332" s="274"/>
      <c r="I3332" s="274"/>
      <c r="J3332" s="276"/>
      <c r="K3332" s="545" t="s">
        <v>146</v>
      </c>
      <c r="M3332" s="252">
        <v>1</v>
      </c>
      <c r="N3332" s="252" t="s">
        <v>865</v>
      </c>
      <c r="O3332" s="296" t="s">
        <v>3256</v>
      </c>
      <c r="P3332" s="252">
        <f t="shared" si="317"/>
        <v>209.9</v>
      </c>
      <c r="Q3332" s="253" t="s">
        <v>865</v>
      </c>
      <c r="R3332" s="252">
        <f t="shared" si="316"/>
        <v>209.9</v>
      </c>
      <c r="W3332" s="253"/>
    </row>
    <row r="3333" spans="6:23" ht="18.75" customHeight="1">
      <c r="J3333" s="252"/>
      <c r="M3333" s="252">
        <v>2</v>
      </c>
      <c r="N3333" s="252" t="s">
        <v>865</v>
      </c>
      <c r="O3333" s="296" t="s">
        <v>3257</v>
      </c>
      <c r="P3333" s="252">
        <f t="shared" si="317"/>
        <v>23.1</v>
      </c>
      <c r="Q3333" s="253" t="s">
        <v>865</v>
      </c>
      <c r="R3333" s="252">
        <f t="shared" si="316"/>
        <v>46.2</v>
      </c>
      <c r="W3333" s="253"/>
    </row>
    <row r="3334" spans="6:23" ht="18.75" customHeight="1">
      <c r="J3334" s="252"/>
      <c r="M3334" s="252">
        <v>2</v>
      </c>
      <c r="N3334" s="252" t="s">
        <v>865</v>
      </c>
      <c r="O3334" s="296" t="s">
        <v>3258</v>
      </c>
      <c r="P3334" s="252">
        <f t="shared" si="317"/>
        <v>49.55</v>
      </c>
      <c r="Q3334" s="253" t="s">
        <v>865</v>
      </c>
      <c r="R3334" s="252">
        <f t="shared" si="316"/>
        <v>99.1</v>
      </c>
      <c r="W3334" s="253"/>
    </row>
    <row r="3335" spans="6:23" ht="18.75" customHeight="1">
      <c r="J3335" s="252"/>
      <c r="M3335" s="252">
        <v>118</v>
      </c>
      <c r="N3335" s="252" t="s">
        <v>865</v>
      </c>
      <c r="O3335" s="252" t="s">
        <v>1331</v>
      </c>
      <c r="P3335" s="252">
        <f>P3268</f>
        <v>2.41</v>
      </c>
      <c r="Q3335" s="253" t="s">
        <v>865</v>
      </c>
      <c r="R3335" s="252">
        <f t="shared" si="316"/>
        <v>284.38</v>
      </c>
      <c r="W3335" s="253"/>
    </row>
    <row r="3336" spans="6:23" ht="18.75" customHeight="1">
      <c r="F3336" s="253"/>
      <c r="G3336" s="252" t="s">
        <v>2241</v>
      </c>
      <c r="H3336" s="296" t="s">
        <v>5721</v>
      </c>
      <c r="J3336" s="253"/>
      <c r="Q3336" s="253"/>
      <c r="R3336" s="358" t="s">
        <v>1579</v>
      </c>
      <c r="W3336" s="253"/>
    </row>
    <row r="3337" spans="6:23" ht="18.75" customHeight="1">
      <c r="H3337" s="296" t="s">
        <v>1517</v>
      </c>
      <c r="J3337" s="253"/>
      <c r="O3337" s="296" t="s">
        <v>3259</v>
      </c>
      <c r="Q3337" s="253"/>
      <c r="R3337" s="252">
        <f>SUM(R3323:R3335)</f>
        <v>16361.16</v>
      </c>
      <c r="W3337" s="253"/>
    </row>
    <row r="3338" spans="6:23" ht="18.75" customHeight="1">
      <c r="H3338" s="276" t="s">
        <v>1889</v>
      </c>
      <c r="J3338" s="253"/>
      <c r="Q3338" s="253"/>
      <c r="R3338" s="358" t="s">
        <v>1579</v>
      </c>
      <c r="W3338" s="253"/>
    </row>
    <row r="3339" spans="6:23" ht="18.75" customHeight="1">
      <c r="H3339" s="358" t="s">
        <v>1579</v>
      </c>
      <c r="J3339" s="253"/>
      <c r="O3339" s="276" t="s">
        <v>549</v>
      </c>
      <c r="Q3339" s="360" t="s">
        <v>718</v>
      </c>
      <c r="R3339" s="274">
        <f>R3337/M3328</f>
        <v>5240.6000000000004</v>
      </c>
      <c r="W3339" s="253"/>
    </row>
    <row r="3340" spans="6:23" ht="18.75" customHeight="1">
      <c r="F3340" s="252">
        <v>1.34</v>
      </c>
      <c r="G3340" s="252" t="s">
        <v>1637</v>
      </c>
      <c r="H3340" s="544" t="s">
        <v>4928</v>
      </c>
      <c r="I3340" s="362">
        <v>73.8</v>
      </c>
      <c r="J3340" s="296" t="s">
        <v>1637</v>
      </c>
      <c r="K3340" s="252">
        <f>(F3340*I3340)</f>
        <v>98.89</v>
      </c>
      <c r="W3340" s="253"/>
    </row>
    <row r="3341" spans="6:23" ht="18.75" customHeight="1">
      <c r="F3341" s="252">
        <v>0.5</v>
      </c>
      <c r="G3341" s="252" t="s">
        <v>766</v>
      </c>
      <c r="H3341" s="296" t="s">
        <v>1175</v>
      </c>
      <c r="I3341" s="252">
        <f>AE13</f>
        <v>797</v>
      </c>
      <c r="J3341" s="252" t="s">
        <v>766</v>
      </c>
      <c r="K3341" s="252">
        <f>(F3341*I3341)</f>
        <v>398.5</v>
      </c>
      <c r="W3341" s="253"/>
    </row>
    <row r="3342" spans="6:23" ht="18.75" customHeight="1">
      <c r="F3342" s="252">
        <v>0.5</v>
      </c>
      <c r="G3342" s="252" t="s">
        <v>766</v>
      </c>
      <c r="H3342" s="296" t="s">
        <v>1893</v>
      </c>
      <c r="I3342" s="252">
        <f>AE11</f>
        <v>651</v>
      </c>
      <c r="J3342" s="252" t="s">
        <v>766</v>
      </c>
      <c r="K3342" s="252">
        <f>(F3342*I3342)</f>
        <v>325.5</v>
      </c>
      <c r="M3342" s="253"/>
      <c r="N3342" s="252" t="s">
        <v>2241</v>
      </c>
      <c r="O3342" s="296" t="s">
        <v>3279</v>
      </c>
      <c r="Q3342" s="253"/>
      <c r="W3342" s="253"/>
    </row>
    <row r="3343" spans="6:23" ht="18.75" customHeight="1">
      <c r="F3343" s="252">
        <v>0.8</v>
      </c>
      <c r="G3343" s="252" t="s">
        <v>766</v>
      </c>
      <c r="H3343" s="296" t="s">
        <v>317</v>
      </c>
      <c r="I3343" s="252">
        <f>AE12</f>
        <v>534</v>
      </c>
      <c r="J3343" s="252" t="s">
        <v>766</v>
      </c>
      <c r="K3343" s="252">
        <f>(F3343*I3343)</f>
        <v>427.2</v>
      </c>
      <c r="O3343" s="296" t="s">
        <v>253</v>
      </c>
      <c r="Q3343" s="253"/>
      <c r="W3343" s="253"/>
    </row>
    <row r="3344" spans="6:23" ht="18.75" customHeight="1">
      <c r="G3344" s="252" t="s">
        <v>446</v>
      </c>
      <c r="H3344" s="296" t="s">
        <v>1177</v>
      </c>
      <c r="I3344" s="296" t="s">
        <v>971</v>
      </c>
      <c r="J3344" s="253" t="s">
        <v>446</v>
      </c>
      <c r="K3344" s="252">
        <v>2.6</v>
      </c>
      <c r="O3344" s="525" t="s">
        <v>3278</v>
      </c>
      <c r="Q3344" s="253"/>
      <c r="W3344" s="253"/>
    </row>
    <row r="3345" spans="6:23" ht="18.75" customHeight="1">
      <c r="J3345" s="253"/>
      <c r="K3345" s="358" t="s">
        <v>1579</v>
      </c>
      <c r="O3345" s="358" t="s">
        <v>1579</v>
      </c>
      <c r="Q3345" s="253"/>
      <c r="W3345" s="253"/>
    </row>
    <row r="3346" spans="6:23" ht="18.75" customHeight="1">
      <c r="H3346" s="296" t="s">
        <v>438</v>
      </c>
      <c r="J3346" s="253"/>
      <c r="K3346" s="252">
        <f>SUM(K3340:K3345)</f>
        <v>1252.69</v>
      </c>
      <c r="O3346" s="296" t="s">
        <v>3375</v>
      </c>
      <c r="P3346" s="407" t="s">
        <v>2046</v>
      </c>
      <c r="Q3346" s="462">
        <v>1.734</v>
      </c>
      <c r="R3346" s="252" t="s">
        <v>2273</v>
      </c>
      <c r="W3346" s="253"/>
    </row>
    <row r="3347" spans="6:23" ht="18.75" customHeight="1">
      <c r="J3347" s="253"/>
      <c r="K3347" s="358" t="s">
        <v>1579</v>
      </c>
      <c r="O3347" s="296"/>
      <c r="P3347" s="407"/>
      <c r="Q3347" s="462"/>
      <c r="W3347" s="253"/>
    </row>
    <row r="3348" spans="6:23" ht="18.75" customHeight="1">
      <c r="H3348" s="276" t="s">
        <v>549</v>
      </c>
      <c r="J3348" s="253"/>
      <c r="K3348" s="274">
        <f>(K3346/10)</f>
        <v>125.27</v>
      </c>
      <c r="O3348" s="296" t="s">
        <v>5722</v>
      </c>
      <c r="P3348" s="407" t="s">
        <v>2046</v>
      </c>
      <c r="Q3348" s="548">
        <v>3.9E-2</v>
      </c>
      <c r="R3348" s="252" t="s">
        <v>2142</v>
      </c>
      <c r="W3348" s="253"/>
    </row>
    <row r="3349" spans="6:23" ht="18.75" customHeight="1">
      <c r="F3349" s="296" t="s">
        <v>971</v>
      </c>
      <c r="J3349" s="253"/>
      <c r="O3349" s="296" t="s">
        <v>3249</v>
      </c>
      <c r="Q3349" s="407"/>
      <c r="W3349" s="253"/>
    </row>
    <row r="3350" spans="6:23" ht="18.75" customHeight="1">
      <c r="J3350" s="252"/>
      <c r="O3350" s="296" t="s">
        <v>2749</v>
      </c>
      <c r="P3350" s="407" t="s">
        <v>2046</v>
      </c>
      <c r="Q3350" s="588">
        <v>1.2659999999999999E-2</v>
      </c>
      <c r="W3350" s="253"/>
    </row>
    <row r="3351" spans="6:23" ht="18.75" customHeight="1">
      <c r="H3351" s="274" t="s">
        <v>4232</v>
      </c>
      <c r="J3351" s="252"/>
      <c r="O3351" s="296" t="s">
        <v>2756</v>
      </c>
      <c r="P3351" s="407" t="s">
        <v>2046</v>
      </c>
      <c r="Q3351" s="592">
        <v>5.6249999999999998E-3</v>
      </c>
      <c r="R3351" s="400"/>
      <c r="W3351" s="253"/>
    </row>
    <row r="3352" spans="6:23" ht="18.75" customHeight="1">
      <c r="J3352" s="252"/>
      <c r="Q3352" s="358" t="s">
        <v>1579</v>
      </c>
      <c r="W3352" s="253"/>
    </row>
    <row r="3353" spans="6:23" ht="18.75" customHeight="1">
      <c r="F3353" s="252">
        <v>1.4</v>
      </c>
      <c r="G3353" s="252" t="s">
        <v>1233</v>
      </c>
      <c r="H3353" s="252" t="s">
        <v>1195</v>
      </c>
      <c r="I3353" s="407">
        <f>I3366</f>
        <v>295.60000000000002</v>
      </c>
      <c r="J3353" s="252" t="s">
        <v>1233</v>
      </c>
      <c r="K3353" s="252">
        <f>I3353*F3353</f>
        <v>413.84</v>
      </c>
      <c r="Q3353" s="589">
        <v>1.8290000000000001E-2</v>
      </c>
      <c r="R3353" s="252" t="s">
        <v>2142</v>
      </c>
      <c r="W3353" s="253"/>
    </row>
    <row r="3354" spans="6:23" ht="18.75" customHeight="1">
      <c r="F3354" s="252">
        <v>1.5</v>
      </c>
      <c r="G3354" s="252" t="s">
        <v>766</v>
      </c>
      <c r="H3354" s="252" t="s">
        <v>4234</v>
      </c>
      <c r="I3354" s="407">
        <f>I3367</f>
        <v>797</v>
      </c>
      <c r="J3354" s="252" t="s">
        <v>766</v>
      </c>
      <c r="K3354" s="252">
        <f>I3354*F3354</f>
        <v>1195.5</v>
      </c>
      <c r="Q3354" s="358" t="s">
        <v>1579</v>
      </c>
      <c r="W3354" s="253"/>
    </row>
    <row r="3355" spans="6:23" ht="18.75" customHeight="1">
      <c r="F3355" s="252">
        <v>10</v>
      </c>
      <c r="G3355" s="252" t="s">
        <v>2273</v>
      </c>
      <c r="H3355" s="296" t="s">
        <v>3852</v>
      </c>
      <c r="I3355" s="407">
        <f>I3368</f>
        <v>4.2</v>
      </c>
      <c r="J3355" s="252" t="s">
        <v>2273</v>
      </c>
      <c r="K3355" s="252">
        <f>I3355*F3355</f>
        <v>42</v>
      </c>
      <c r="O3355" s="296" t="s">
        <v>2750</v>
      </c>
      <c r="Q3355" s="590">
        <v>0.4113</v>
      </c>
      <c r="R3355" s="400"/>
      <c r="W3355" s="253"/>
    </row>
    <row r="3356" spans="6:23" ht="18.75" customHeight="1">
      <c r="H3356" s="296" t="s">
        <v>3029</v>
      </c>
      <c r="I3356" s="407" t="s">
        <v>3030</v>
      </c>
      <c r="J3356" s="253"/>
      <c r="K3356" s="252">
        <v>4.33</v>
      </c>
      <c r="O3356" s="296" t="s">
        <v>2751</v>
      </c>
      <c r="Q3356" s="590">
        <v>0.19689999999999999</v>
      </c>
      <c r="R3356" s="400"/>
      <c r="W3356" s="253"/>
    </row>
    <row r="3357" spans="6:23" ht="18.75" customHeight="1">
      <c r="H3357" s="296" t="s">
        <v>438</v>
      </c>
      <c r="J3357" s="253"/>
      <c r="K3357" s="252">
        <f>SUM(K3353:K3356)</f>
        <v>1655.67</v>
      </c>
      <c r="O3357" s="296"/>
      <c r="Q3357" s="358" t="s">
        <v>1579</v>
      </c>
      <c r="R3357" s="400"/>
      <c r="W3357" s="253"/>
    </row>
    <row r="3358" spans="6:23" ht="18.75" customHeight="1">
      <c r="H3358" s="276" t="s">
        <v>549</v>
      </c>
      <c r="J3358" s="253"/>
      <c r="K3358" s="252">
        <f>K3357/10</f>
        <v>165.57</v>
      </c>
      <c r="O3358" s="296"/>
      <c r="Q3358" s="548">
        <v>0.60819999999999996</v>
      </c>
      <c r="R3358" s="274"/>
      <c r="W3358" s="253"/>
    </row>
    <row r="3359" spans="6:23" ht="18.75" customHeight="1">
      <c r="J3359" s="253"/>
      <c r="Q3359" s="358" t="s">
        <v>1579</v>
      </c>
      <c r="R3359" s="358"/>
      <c r="W3359" s="253"/>
    </row>
    <row r="3360" spans="6:23" ht="18.75" customHeight="1">
      <c r="J3360" s="253"/>
      <c r="M3360" s="400">
        <v>3.9E-2</v>
      </c>
      <c r="N3360" s="252" t="s">
        <v>866</v>
      </c>
      <c r="O3360" s="296" t="s">
        <v>305</v>
      </c>
      <c r="P3360" s="252">
        <f>P3291</f>
        <v>111600</v>
      </c>
      <c r="Q3360" s="253" t="s">
        <v>866</v>
      </c>
      <c r="R3360" s="252">
        <f>P3360*M3360</f>
        <v>4352.3999999999996</v>
      </c>
      <c r="W3360" s="253"/>
    </row>
    <row r="3361" spans="6:23" ht="18.75" customHeight="1">
      <c r="J3361" s="252"/>
      <c r="M3361" s="400">
        <v>1.8290000000000001E-2</v>
      </c>
      <c r="N3361" s="252" t="s">
        <v>866</v>
      </c>
      <c r="O3361" s="296" t="s">
        <v>306</v>
      </c>
      <c r="P3361" s="252">
        <f>P3292</f>
        <v>99400</v>
      </c>
      <c r="Q3361" s="253" t="s">
        <v>866</v>
      </c>
      <c r="R3361" s="252">
        <f t="shared" ref="R3361:R3370" si="318">P3361*M3361</f>
        <v>1818.03</v>
      </c>
      <c r="W3361" s="253"/>
    </row>
    <row r="3362" spans="6:23" ht="18.75" customHeight="1">
      <c r="J3362" s="252"/>
      <c r="M3362" s="400">
        <v>0.60819999999999996</v>
      </c>
      <c r="N3362" s="252" t="s">
        <v>606</v>
      </c>
      <c r="O3362" s="296" t="s">
        <v>2082</v>
      </c>
      <c r="P3362" s="252">
        <f>P3325</f>
        <v>387.4</v>
      </c>
      <c r="Q3362" s="253" t="s">
        <v>866</v>
      </c>
      <c r="R3362" s="252">
        <f t="shared" si="318"/>
        <v>235.62</v>
      </c>
      <c r="W3362" s="253"/>
    </row>
    <row r="3363" spans="6:23" ht="18.75" customHeight="1">
      <c r="J3363" s="252"/>
      <c r="M3363" s="316">
        <v>1.734</v>
      </c>
      <c r="N3363" s="252" t="s">
        <v>606</v>
      </c>
      <c r="O3363" s="296" t="s">
        <v>444</v>
      </c>
      <c r="P3363" s="252">
        <f>P3328</f>
        <v>1436</v>
      </c>
      <c r="Q3363" s="253" t="s">
        <v>606</v>
      </c>
      <c r="R3363" s="252">
        <f t="shared" si="318"/>
        <v>2490.02</v>
      </c>
      <c r="W3363" s="253"/>
    </row>
    <row r="3364" spans="6:23" ht="18.75" customHeight="1">
      <c r="H3364" s="274" t="s">
        <v>4233</v>
      </c>
      <c r="J3364" s="252"/>
      <c r="M3364" s="252">
        <v>2</v>
      </c>
      <c r="N3364" s="252" t="s">
        <v>766</v>
      </c>
      <c r="O3364" s="296" t="s">
        <v>3254</v>
      </c>
      <c r="P3364" s="252">
        <f t="shared" ref="P3364:P3369" si="319">P3295</f>
        <v>57.65</v>
      </c>
      <c r="Q3364" s="253" t="s">
        <v>865</v>
      </c>
      <c r="R3364" s="252">
        <f t="shared" si="318"/>
        <v>115.3</v>
      </c>
      <c r="W3364" s="253"/>
    </row>
    <row r="3365" spans="6:23" ht="18.75" customHeight="1">
      <c r="J3365" s="252"/>
      <c r="M3365" s="252">
        <v>4</v>
      </c>
      <c r="N3365" s="252" t="s">
        <v>865</v>
      </c>
      <c r="O3365" s="296" t="s">
        <v>1457</v>
      </c>
      <c r="P3365" s="252">
        <f t="shared" si="319"/>
        <v>89.6</v>
      </c>
      <c r="Q3365" s="253" t="s">
        <v>865</v>
      </c>
      <c r="R3365" s="252">
        <f t="shared" si="318"/>
        <v>358.4</v>
      </c>
      <c r="W3365" s="253"/>
    </row>
    <row r="3366" spans="6:23" ht="18.75" customHeight="1">
      <c r="F3366" s="252">
        <v>0.8</v>
      </c>
      <c r="G3366" s="252" t="s">
        <v>1233</v>
      </c>
      <c r="H3366" s="252" t="s">
        <v>1195</v>
      </c>
      <c r="I3366" s="407">
        <f>P1319</f>
        <v>295.60000000000002</v>
      </c>
      <c r="J3366" s="252" t="s">
        <v>1233</v>
      </c>
      <c r="K3366" s="252">
        <f>I3366*F3366</f>
        <v>236.48</v>
      </c>
      <c r="M3366" s="252">
        <v>2</v>
      </c>
      <c r="N3366" s="252" t="s">
        <v>865</v>
      </c>
      <c r="O3366" s="296" t="s">
        <v>3255</v>
      </c>
      <c r="P3366" s="252">
        <f t="shared" si="319"/>
        <v>97.85</v>
      </c>
      <c r="Q3366" s="253" t="s">
        <v>865</v>
      </c>
      <c r="R3366" s="252">
        <f t="shared" si="318"/>
        <v>195.7</v>
      </c>
      <c r="W3366" s="253"/>
    </row>
    <row r="3367" spans="6:23" ht="18.75" customHeight="1">
      <c r="F3367" s="252">
        <v>0.7</v>
      </c>
      <c r="G3367" s="252" t="s">
        <v>766</v>
      </c>
      <c r="H3367" s="252" t="s">
        <v>4234</v>
      </c>
      <c r="I3367" s="252">
        <f>I3341</f>
        <v>797</v>
      </c>
      <c r="J3367" s="252" t="s">
        <v>766</v>
      </c>
      <c r="K3367" s="252">
        <f>I3367*F3367</f>
        <v>557.9</v>
      </c>
      <c r="M3367" s="252">
        <v>1</v>
      </c>
      <c r="N3367" s="252" t="s">
        <v>865</v>
      </c>
      <c r="O3367" s="296" t="s">
        <v>3256</v>
      </c>
      <c r="P3367" s="252">
        <f t="shared" si="319"/>
        <v>209.9</v>
      </c>
      <c r="Q3367" s="253" t="s">
        <v>865</v>
      </c>
      <c r="R3367" s="252">
        <f t="shared" si="318"/>
        <v>209.9</v>
      </c>
      <c r="W3367" s="253"/>
    </row>
    <row r="3368" spans="6:23" ht="18.75" customHeight="1">
      <c r="F3368" s="252">
        <v>10</v>
      </c>
      <c r="G3368" s="252" t="s">
        <v>2273</v>
      </c>
      <c r="H3368" s="296" t="s">
        <v>3852</v>
      </c>
      <c r="I3368" s="252">
        <f>I3185</f>
        <v>4.2</v>
      </c>
      <c r="J3368" s="252" t="s">
        <v>2273</v>
      </c>
      <c r="K3368" s="252">
        <f>I3368*F3368</f>
        <v>42</v>
      </c>
      <c r="M3368" s="252">
        <v>1</v>
      </c>
      <c r="N3368" s="252" t="s">
        <v>865</v>
      </c>
      <c r="O3368" s="296" t="s">
        <v>3257</v>
      </c>
      <c r="P3368" s="252">
        <f t="shared" si="319"/>
        <v>23.1</v>
      </c>
      <c r="Q3368" s="253" t="s">
        <v>865</v>
      </c>
      <c r="R3368" s="252">
        <f t="shared" si="318"/>
        <v>23.1</v>
      </c>
      <c r="W3368" s="253"/>
    </row>
    <row r="3369" spans="6:23" ht="18.75" customHeight="1">
      <c r="H3369" s="296" t="s">
        <v>3029</v>
      </c>
      <c r="I3369" s="407" t="s">
        <v>3030</v>
      </c>
      <c r="J3369" s="253"/>
      <c r="K3369" s="252">
        <v>1.6</v>
      </c>
      <c r="M3369" s="252">
        <v>1</v>
      </c>
      <c r="N3369" s="252" t="s">
        <v>865</v>
      </c>
      <c r="O3369" s="296" t="s">
        <v>3258</v>
      </c>
      <c r="P3369" s="252">
        <f t="shared" si="319"/>
        <v>49.55</v>
      </c>
      <c r="Q3369" s="253" t="s">
        <v>865</v>
      </c>
      <c r="R3369" s="252">
        <f t="shared" si="318"/>
        <v>49.55</v>
      </c>
      <c r="W3369" s="253"/>
    </row>
    <row r="3370" spans="6:23" ht="18.75" customHeight="1">
      <c r="H3370" s="296" t="s">
        <v>438</v>
      </c>
      <c r="J3370" s="253"/>
      <c r="K3370" s="252">
        <f>SUM(K3366:K3369)</f>
        <v>837.98</v>
      </c>
      <c r="M3370" s="252">
        <v>58</v>
      </c>
      <c r="N3370" s="252" t="s">
        <v>865</v>
      </c>
      <c r="O3370" s="252" t="s">
        <v>1331</v>
      </c>
      <c r="P3370" s="252">
        <f>P3335</f>
        <v>2.41</v>
      </c>
      <c r="Q3370" s="253" t="s">
        <v>865</v>
      </c>
      <c r="R3370" s="252">
        <f t="shared" si="318"/>
        <v>139.78</v>
      </c>
      <c r="W3370" s="253"/>
    </row>
    <row r="3371" spans="6:23" ht="18.75" customHeight="1">
      <c r="H3371" s="276" t="s">
        <v>549</v>
      </c>
      <c r="J3371" s="253"/>
      <c r="K3371" s="252">
        <f>K3370/10</f>
        <v>83.8</v>
      </c>
      <c r="Q3371" s="253"/>
      <c r="R3371" s="358" t="s">
        <v>1579</v>
      </c>
      <c r="W3371" s="253"/>
    </row>
    <row r="3372" spans="6:23" ht="18.75" customHeight="1">
      <c r="O3372" s="296" t="s">
        <v>2752</v>
      </c>
      <c r="Q3372" s="253"/>
      <c r="R3372" s="252">
        <f>SUM(R3360:R3370)</f>
        <v>9987.7999999999993</v>
      </c>
      <c r="W3372" s="253"/>
    </row>
    <row r="3373" spans="6:23" ht="18.75" customHeight="1">
      <c r="Q3373" s="253"/>
      <c r="R3373" s="358" t="s">
        <v>1579</v>
      </c>
      <c r="W3373" s="253"/>
    </row>
    <row r="3374" spans="6:23" ht="18.75" customHeight="1">
      <c r="H3374" s="296"/>
      <c r="I3374" s="407"/>
      <c r="J3374" s="462"/>
      <c r="O3374" s="276" t="s">
        <v>549</v>
      </c>
      <c r="Q3374" s="360" t="s">
        <v>718</v>
      </c>
      <c r="R3374" s="274">
        <f>R3372/M3363</f>
        <v>5759.98</v>
      </c>
      <c r="W3374" s="253"/>
    </row>
    <row r="3375" spans="6:23" ht="18.75" customHeight="1">
      <c r="H3375" s="296" t="s">
        <v>5722</v>
      </c>
      <c r="I3375" s="407" t="s">
        <v>2046</v>
      </c>
      <c r="J3375" s="548">
        <v>3.9E-2</v>
      </c>
      <c r="K3375" s="252" t="s">
        <v>2142</v>
      </c>
      <c r="Q3375" s="296"/>
      <c r="R3375" s="358" t="s">
        <v>2046</v>
      </c>
      <c r="W3375" s="253"/>
    </row>
    <row r="3376" spans="6:23" ht="18.75" customHeight="1">
      <c r="H3376" s="296" t="s">
        <v>3249</v>
      </c>
      <c r="J3376" s="407"/>
      <c r="M3376" s="253"/>
      <c r="N3376" s="252" t="s">
        <v>2241</v>
      </c>
      <c r="O3376" s="296" t="s">
        <v>3279</v>
      </c>
      <c r="Q3376" s="253"/>
      <c r="W3376" s="253"/>
    </row>
    <row r="3377" spans="6:23" ht="18.75" customHeight="1">
      <c r="H3377" s="296" t="s">
        <v>2755</v>
      </c>
      <c r="I3377" s="407" t="s">
        <v>2046</v>
      </c>
      <c r="J3377" s="588">
        <v>1.519E-2</v>
      </c>
      <c r="O3377" s="296" t="s">
        <v>253</v>
      </c>
      <c r="Q3377" s="253"/>
      <c r="W3377" s="253"/>
    </row>
    <row r="3378" spans="6:23" ht="18.75" customHeight="1">
      <c r="H3378" s="296" t="s">
        <v>2757</v>
      </c>
      <c r="I3378" s="407" t="s">
        <v>2046</v>
      </c>
      <c r="J3378" s="592">
        <v>6.7499999999999999E-3</v>
      </c>
      <c r="K3378" s="400"/>
      <c r="O3378" s="525" t="s">
        <v>2753</v>
      </c>
      <c r="Q3378" s="253"/>
      <c r="W3378" s="253"/>
    </row>
    <row r="3379" spans="6:23" ht="18.75" customHeight="1">
      <c r="J3379" s="358" t="s">
        <v>1579</v>
      </c>
      <c r="O3379" s="358" t="s">
        <v>1579</v>
      </c>
      <c r="Q3379" s="253"/>
      <c r="W3379" s="253"/>
    </row>
    <row r="3380" spans="6:23" ht="18.75" customHeight="1">
      <c r="J3380" s="589">
        <v>2.1940000000000001E-2</v>
      </c>
      <c r="K3380" s="252" t="s">
        <v>2142</v>
      </c>
      <c r="O3380" s="296" t="s">
        <v>2754</v>
      </c>
      <c r="P3380" s="407" t="s">
        <v>2046</v>
      </c>
      <c r="Q3380" s="462">
        <v>2.081</v>
      </c>
      <c r="R3380" s="252" t="s">
        <v>2273</v>
      </c>
      <c r="W3380" s="253"/>
    </row>
    <row r="3381" spans="6:23" ht="18.75" customHeight="1">
      <c r="J3381" s="358" t="s">
        <v>1579</v>
      </c>
      <c r="O3381" s="296"/>
      <c r="P3381" s="407"/>
      <c r="Q3381" s="462"/>
      <c r="W3381" s="253"/>
    </row>
    <row r="3382" spans="6:23" ht="18.75" customHeight="1">
      <c r="H3382" s="296" t="s">
        <v>3274</v>
      </c>
      <c r="J3382" s="590">
        <v>0.58750000000000002</v>
      </c>
      <c r="K3382" s="400"/>
      <c r="O3382" s="296" t="s">
        <v>5722</v>
      </c>
      <c r="P3382" s="407" t="s">
        <v>2046</v>
      </c>
      <c r="Q3382" s="548">
        <v>3.9E-2</v>
      </c>
      <c r="R3382" s="252" t="s">
        <v>2142</v>
      </c>
      <c r="W3382" s="253"/>
    </row>
    <row r="3383" spans="6:23" ht="18.75" customHeight="1">
      <c r="H3383" s="296" t="s">
        <v>3275</v>
      </c>
      <c r="J3383" s="590">
        <v>0.28129999999999999</v>
      </c>
      <c r="K3383" s="400"/>
      <c r="O3383" s="296" t="s">
        <v>3249</v>
      </c>
      <c r="Q3383" s="407"/>
      <c r="W3383" s="253"/>
    </row>
    <row r="3384" spans="6:23" ht="18.75" customHeight="1">
      <c r="H3384" s="296"/>
      <c r="J3384" s="358" t="s">
        <v>1579</v>
      </c>
      <c r="K3384" s="400"/>
      <c r="O3384" s="296" t="s">
        <v>2755</v>
      </c>
      <c r="P3384" s="407" t="s">
        <v>2046</v>
      </c>
      <c r="Q3384" s="588">
        <v>1.519E-2</v>
      </c>
      <c r="W3384" s="253"/>
    </row>
    <row r="3385" spans="6:23" ht="18.75" customHeight="1">
      <c r="H3385" s="296"/>
      <c r="J3385" s="548">
        <v>0.86880000000000002</v>
      </c>
      <c r="K3385" s="274"/>
      <c r="O3385" s="296" t="s">
        <v>2757</v>
      </c>
      <c r="P3385" s="407" t="s">
        <v>2046</v>
      </c>
      <c r="Q3385" s="592">
        <v>6.7499999999999999E-3</v>
      </c>
      <c r="R3385" s="400"/>
      <c r="W3385" s="253"/>
    </row>
    <row r="3386" spans="6:23" ht="18.75" customHeight="1">
      <c r="J3386" s="358" t="s">
        <v>1579</v>
      </c>
      <c r="K3386" s="358"/>
      <c r="Q3386" s="358" t="s">
        <v>1579</v>
      </c>
      <c r="W3386" s="253"/>
    </row>
    <row r="3387" spans="6:23" ht="18.75" customHeight="1">
      <c r="F3387" s="400">
        <v>3.9E-2</v>
      </c>
      <c r="G3387" s="252" t="s">
        <v>866</v>
      </c>
      <c r="H3387" s="296" t="s">
        <v>305</v>
      </c>
      <c r="I3387" s="252">
        <f>C88</f>
        <v>111600</v>
      </c>
      <c r="J3387" s="253" t="s">
        <v>866</v>
      </c>
      <c r="K3387" s="252">
        <v>2868.26</v>
      </c>
      <c r="Q3387" s="589">
        <v>2.1940000000000001E-2</v>
      </c>
      <c r="R3387" s="252" t="s">
        <v>2142</v>
      </c>
      <c r="W3387" s="253"/>
    </row>
    <row r="3388" spans="6:23" ht="18.75" customHeight="1">
      <c r="F3388" s="400">
        <v>2.1940000000000001E-2</v>
      </c>
      <c r="G3388" s="252" t="s">
        <v>866</v>
      </c>
      <c r="H3388" s="296" t="s">
        <v>306</v>
      </c>
      <c r="I3388" s="252">
        <f>C89</f>
        <v>99400</v>
      </c>
      <c r="J3388" s="253" t="s">
        <v>866</v>
      </c>
      <c r="K3388" s="252">
        <v>1435.86</v>
      </c>
      <c r="Q3388" s="358" t="s">
        <v>1579</v>
      </c>
      <c r="W3388" s="253"/>
    </row>
    <row r="3389" spans="6:23" ht="18.75" customHeight="1">
      <c r="F3389" s="400">
        <v>0.86880000000000002</v>
      </c>
      <c r="G3389" s="252" t="s">
        <v>606</v>
      </c>
      <c r="H3389" s="296" t="s">
        <v>2082</v>
      </c>
      <c r="I3389" s="252">
        <f>C783</f>
        <v>387.4</v>
      </c>
      <c r="J3389" s="253" t="s">
        <v>866</v>
      </c>
      <c r="K3389" s="252">
        <v>336.66</v>
      </c>
      <c r="O3389" s="296" t="s">
        <v>3274</v>
      </c>
      <c r="Q3389" s="590">
        <v>0.58750000000000002</v>
      </c>
      <c r="R3389" s="400"/>
      <c r="W3389" s="253"/>
    </row>
    <row r="3390" spans="6:23" ht="18.75" customHeight="1">
      <c r="F3390" s="316">
        <v>2.081</v>
      </c>
      <c r="G3390" s="252" t="s">
        <v>606</v>
      </c>
      <c r="H3390" s="296" t="s">
        <v>444</v>
      </c>
      <c r="I3390" s="420">
        <v>363</v>
      </c>
      <c r="J3390" s="253" t="s">
        <v>606</v>
      </c>
      <c r="K3390" s="252">
        <v>755.4</v>
      </c>
      <c r="O3390" s="296" t="s">
        <v>3275</v>
      </c>
      <c r="Q3390" s="590">
        <v>0.28129999999999999</v>
      </c>
      <c r="R3390" s="400"/>
      <c r="W3390" s="253"/>
    </row>
    <row r="3391" spans="6:23" ht="18.75" customHeight="1">
      <c r="F3391" s="252">
        <v>2</v>
      </c>
      <c r="G3391" s="252" t="s">
        <v>766</v>
      </c>
      <c r="H3391" s="544" t="s">
        <v>3515</v>
      </c>
      <c r="I3391" s="252">
        <f t="shared" ref="I3391:I3396" si="320">I3322</f>
        <v>57.65</v>
      </c>
      <c r="J3391" s="253" t="s">
        <v>865</v>
      </c>
      <c r="K3391" s="252">
        <v>84</v>
      </c>
      <c r="O3391" s="296"/>
      <c r="Q3391" s="358" t="s">
        <v>1579</v>
      </c>
      <c r="R3391" s="400"/>
      <c r="W3391" s="253"/>
    </row>
    <row r="3392" spans="6:23" ht="18.75" customHeight="1">
      <c r="F3392" s="252">
        <v>4</v>
      </c>
      <c r="G3392" s="252" t="s">
        <v>865</v>
      </c>
      <c r="H3392" s="544" t="s">
        <v>3516</v>
      </c>
      <c r="I3392" s="252">
        <f t="shared" si="320"/>
        <v>89.6</v>
      </c>
      <c r="J3392" s="253" t="s">
        <v>865</v>
      </c>
      <c r="K3392" s="252">
        <v>232</v>
      </c>
      <c r="O3392" s="296"/>
      <c r="Q3392" s="548">
        <v>0.86880000000000002</v>
      </c>
      <c r="R3392" s="274"/>
      <c r="W3392" s="253"/>
    </row>
    <row r="3393" spans="6:23" ht="18.75" customHeight="1">
      <c r="F3393" s="252">
        <v>2</v>
      </c>
      <c r="G3393" s="252" t="s">
        <v>865</v>
      </c>
      <c r="H3393" s="544" t="s">
        <v>3517</v>
      </c>
      <c r="I3393" s="252">
        <f t="shared" si="320"/>
        <v>97.85</v>
      </c>
      <c r="J3393" s="253" t="s">
        <v>865</v>
      </c>
      <c r="K3393" s="252">
        <v>126</v>
      </c>
      <c r="Q3393" s="358" t="s">
        <v>1579</v>
      </c>
      <c r="R3393" s="358"/>
      <c r="W3393" s="253"/>
    </row>
    <row r="3394" spans="6:23" ht="18.75" customHeight="1">
      <c r="F3394" s="252">
        <v>1</v>
      </c>
      <c r="G3394" s="252" t="s">
        <v>865</v>
      </c>
      <c r="H3394" s="544" t="s">
        <v>3518</v>
      </c>
      <c r="I3394" s="252">
        <f t="shared" si="320"/>
        <v>209.9</v>
      </c>
      <c r="J3394" s="253" t="s">
        <v>865</v>
      </c>
      <c r="K3394" s="252">
        <v>152</v>
      </c>
      <c r="M3394" s="400">
        <v>3.9E-2</v>
      </c>
      <c r="N3394" s="252" t="s">
        <v>866</v>
      </c>
      <c r="O3394" s="296" t="s">
        <v>305</v>
      </c>
      <c r="P3394" s="252">
        <f>P3291</f>
        <v>111600</v>
      </c>
      <c r="Q3394" s="253" t="s">
        <v>866</v>
      </c>
      <c r="R3394" s="252">
        <f>P3394*M3394</f>
        <v>4352.3999999999996</v>
      </c>
      <c r="W3394" s="253"/>
    </row>
    <row r="3395" spans="6:23" ht="18.75" customHeight="1">
      <c r="F3395" s="252">
        <v>1</v>
      </c>
      <c r="G3395" s="252" t="s">
        <v>865</v>
      </c>
      <c r="H3395" s="544" t="s">
        <v>3257</v>
      </c>
      <c r="I3395" s="252">
        <f t="shared" si="320"/>
        <v>23.1</v>
      </c>
      <c r="J3395" s="253" t="s">
        <v>865</v>
      </c>
      <c r="K3395" s="252">
        <v>20</v>
      </c>
      <c r="M3395" s="400">
        <v>2.1940000000000001E-2</v>
      </c>
      <c r="N3395" s="252" t="s">
        <v>866</v>
      </c>
      <c r="O3395" s="296" t="s">
        <v>306</v>
      </c>
      <c r="P3395" s="252">
        <f>P3292</f>
        <v>99400</v>
      </c>
      <c r="Q3395" s="253" t="s">
        <v>866</v>
      </c>
      <c r="R3395" s="252">
        <f t="shared" ref="R3395:R3404" si="321">P3395*M3395</f>
        <v>2180.84</v>
      </c>
      <c r="W3395" s="253"/>
    </row>
    <row r="3396" spans="6:23" ht="18.75" customHeight="1">
      <c r="F3396" s="252">
        <v>1</v>
      </c>
      <c r="G3396" s="252" t="s">
        <v>865</v>
      </c>
      <c r="H3396" s="544" t="s">
        <v>3258</v>
      </c>
      <c r="I3396" s="252">
        <f t="shared" si="320"/>
        <v>49.55</v>
      </c>
      <c r="J3396" s="253" t="s">
        <v>865</v>
      </c>
      <c r="K3396" s="252">
        <v>37</v>
      </c>
      <c r="M3396" s="400">
        <v>0.86880000000000002</v>
      </c>
      <c r="N3396" s="252" t="s">
        <v>606</v>
      </c>
      <c r="O3396" s="296" t="s">
        <v>2082</v>
      </c>
      <c r="P3396" s="252">
        <f>P3362</f>
        <v>387.4</v>
      </c>
      <c r="Q3396" s="253" t="s">
        <v>866</v>
      </c>
      <c r="R3396" s="252">
        <f t="shared" si="321"/>
        <v>336.57</v>
      </c>
      <c r="W3396" s="253"/>
    </row>
    <row r="3397" spans="6:23" ht="18.75" customHeight="1">
      <c r="H3397" s="252" t="s">
        <v>1331</v>
      </c>
      <c r="J3397" s="253"/>
      <c r="K3397" s="429"/>
      <c r="M3397" s="316">
        <v>2.081</v>
      </c>
      <c r="N3397" s="252" t="s">
        <v>606</v>
      </c>
      <c r="O3397" s="296" t="s">
        <v>444</v>
      </c>
      <c r="P3397" s="252">
        <f>P3294</f>
        <v>1281</v>
      </c>
      <c r="Q3397" s="253" t="s">
        <v>606</v>
      </c>
      <c r="R3397" s="252">
        <f t="shared" si="321"/>
        <v>2665.76</v>
      </c>
      <c r="W3397" s="253"/>
    </row>
    <row r="3398" spans="6:23" ht="18.75" customHeight="1">
      <c r="J3398" s="253"/>
      <c r="K3398" s="358" t="s">
        <v>1579</v>
      </c>
      <c r="M3398" s="252">
        <v>2</v>
      </c>
      <c r="N3398" s="252" t="s">
        <v>766</v>
      </c>
      <c r="O3398" s="296" t="s">
        <v>3254</v>
      </c>
      <c r="P3398" s="252">
        <f t="shared" ref="P3398:P3403" si="322">P3295</f>
        <v>57.65</v>
      </c>
      <c r="Q3398" s="253" t="s">
        <v>865</v>
      </c>
      <c r="R3398" s="252">
        <f t="shared" si="321"/>
        <v>115.3</v>
      </c>
      <c r="W3398" s="253"/>
    </row>
    <row r="3399" spans="6:23" ht="18.75" customHeight="1">
      <c r="H3399" s="296" t="s">
        <v>2758</v>
      </c>
      <c r="J3399" s="253"/>
      <c r="K3399" s="252">
        <v>6067.81</v>
      </c>
      <c r="M3399" s="252">
        <v>4</v>
      </c>
      <c r="N3399" s="252" t="s">
        <v>865</v>
      </c>
      <c r="O3399" s="296" t="s">
        <v>1457</v>
      </c>
      <c r="P3399" s="252">
        <f t="shared" si="322"/>
        <v>89.6</v>
      </c>
      <c r="Q3399" s="253" t="s">
        <v>865</v>
      </c>
      <c r="R3399" s="252">
        <f t="shared" si="321"/>
        <v>358.4</v>
      </c>
      <c r="W3399" s="253"/>
    </row>
    <row r="3400" spans="6:23" ht="18.75" customHeight="1">
      <c r="J3400" s="253"/>
      <c r="K3400" s="358" t="s">
        <v>1579</v>
      </c>
      <c r="M3400" s="252">
        <v>2</v>
      </c>
      <c r="N3400" s="252" t="s">
        <v>865</v>
      </c>
      <c r="O3400" s="296" t="s">
        <v>3255</v>
      </c>
      <c r="P3400" s="252">
        <f t="shared" si="322"/>
        <v>97.85</v>
      </c>
      <c r="Q3400" s="253" t="s">
        <v>865</v>
      </c>
      <c r="R3400" s="252">
        <f t="shared" si="321"/>
        <v>195.7</v>
      </c>
      <c r="W3400" s="253"/>
    </row>
    <row r="3401" spans="6:23" ht="18.75" customHeight="1">
      <c r="H3401" s="276" t="s">
        <v>549</v>
      </c>
      <c r="J3401" s="360" t="s">
        <v>718</v>
      </c>
      <c r="K3401" s="274">
        <v>2915.81</v>
      </c>
      <c r="M3401" s="252">
        <v>1</v>
      </c>
      <c r="N3401" s="252" t="s">
        <v>865</v>
      </c>
      <c r="O3401" s="296" t="s">
        <v>3256</v>
      </c>
      <c r="P3401" s="252">
        <f t="shared" si="322"/>
        <v>209.9</v>
      </c>
      <c r="Q3401" s="253" t="s">
        <v>865</v>
      </c>
      <c r="R3401" s="252">
        <f t="shared" si="321"/>
        <v>209.9</v>
      </c>
      <c r="W3401" s="253"/>
    </row>
    <row r="3402" spans="6:23" ht="18.75" customHeight="1">
      <c r="K3402" s="358" t="s">
        <v>2046</v>
      </c>
      <c r="M3402" s="252">
        <v>1</v>
      </c>
      <c r="N3402" s="252" t="s">
        <v>865</v>
      </c>
      <c r="O3402" s="296" t="s">
        <v>3257</v>
      </c>
      <c r="P3402" s="252">
        <f t="shared" si="322"/>
        <v>23.1</v>
      </c>
      <c r="Q3402" s="253" t="s">
        <v>865</v>
      </c>
      <c r="R3402" s="252">
        <f t="shared" si="321"/>
        <v>23.1</v>
      </c>
      <c r="W3402" s="253"/>
    </row>
    <row r="3403" spans="6:23" ht="18.75" customHeight="1">
      <c r="M3403" s="252">
        <v>1</v>
      </c>
      <c r="N3403" s="252" t="s">
        <v>865</v>
      </c>
      <c r="O3403" s="296" t="s">
        <v>3258</v>
      </c>
      <c r="P3403" s="252">
        <f t="shared" si="322"/>
        <v>49.55</v>
      </c>
      <c r="Q3403" s="253" t="s">
        <v>865</v>
      </c>
      <c r="R3403" s="252">
        <f t="shared" si="321"/>
        <v>49.55</v>
      </c>
      <c r="W3403" s="253"/>
    </row>
    <row r="3404" spans="6:23" ht="18.75" customHeight="1">
      <c r="M3404" s="252">
        <v>58</v>
      </c>
      <c r="N3404" s="252" t="s">
        <v>865</v>
      </c>
      <c r="O3404" s="252" t="s">
        <v>1331</v>
      </c>
      <c r="P3404" s="252">
        <f>P3370</f>
        <v>2.41</v>
      </c>
      <c r="Q3404" s="253"/>
      <c r="R3404" s="252">
        <f t="shared" si="321"/>
        <v>139.78</v>
      </c>
      <c r="W3404" s="253"/>
    </row>
    <row r="3405" spans="6:23" ht="18.75" customHeight="1">
      <c r="Q3405" s="253"/>
      <c r="R3405" s="358" t="s">
        <v>1579</v>
      </c>
      <c r="W3405" s="253"/>
    </row>
    <row r="3406" spans="6:23" ht="18.75" customHeight="1">
      <c r="H3406" s="255" t="s">
        <v>3939</v>
      </c>
      <c r="I3406" s="255"/>
      <c r="O3406" s="296" t="s">
        <v>2758</v>
      </c>
      <c r="Q3406" s="253"/>
      <c r="R3406" s="252">
        <f>SUM(R3394:R3404)</f>
        <v>10627.3</v>
      </c>
      <c r="W3406" s="253"/>
    </row>
    <row r="3407" spans="6:23" ht="18.75" customHeight="1">
      <c r="Q3407" s="253"/>
      <c r="R3407" s="358" t="s">
        <v>1579</v>
      </c>
      <c r="W3407" s="253"/>
    </row>
    <row r="3408" spans="6:23" ht="18.75" customHeight="1">
      <c r="F3408" s="252" t="s">
        <v>3940</v>
      </c>
      <c r="I3408" s="547">
        <f>2*0.95*2.325</f>
        <v>4.4175000000000004</v>
      </c>
      <c r="O3408" s="276" t="s">
        <v>549</v>
      </c>
      <c r="Q3408" s="360" t="s">
        <v>718</v>
      </c>
      <c r="R3408" s="274">
        <f>R3406/M3397</f>
        <v>5106.82</v>
      </c>
      <c r="W3408" s="253"/>
    </row>
    <row r="3409" spans="6:23" ht="18.75" customHeight="1">
      <c r="F3409" s="252" t="s">
        <v>3941</v>
      </c>
      <c r="I3409" s="547">
        <f>2*2*2.325*0.075*0.0375</f>
        <v>2.6200000000000001E-2</v>
      </c>
      <c r="Q3409" s="296"/>
      <c r="R3409" s="358" t="s">
        <v>2046</v>
      </c>
      <c r="W3409" s="253"/>
    </row>
    <row r="3410" spans="6:23" ht="18.75" customHeight="1">
      <c r="F3410" s="252" t="s">
        <v>2012</v>
      </c>
      <c r="I3410" s="316">
        <f>2*3*0.95*0.15*0.0375</f>
        <v>3.2099999999999997E-2</v>
      </c>
      <c r="W3410" s="253"/>
    </row>
    <row r="3411" spans="6:23" ht="18.75" customHeight="1">
      <c r="F3411" s="252" t="s">
        <v>3942</v>
      </c>
      <c r="G3411" s="252" t="s">
        <v>3943</v>
      </c>
      <c r="I3411" s="316">
        <f>2*2*0.95*0.075*0.0375</f>
        <v>1.0699999999999999E-2</v>
      </c>
      <c r="O3411" s="274"/>
      <c r="Q3411" s="296"/>
      <c r="W3411" s="253"/>
    </row>
    <row r="3412" spans="6:23" ht="18.75" customHeight="1">
      <c r="I3412" s="548">
        <f>SUM(I3410:I3411)</f>
        <v>4.2799999999999998E-2</v>
      </c>
      <c r="W3412" s="253"/>
    </row>
    <row r="3413" spans="6:23" ht="18.75" customHeight="1">
      <c r="W3413" s="253"/>
    </row>
    <row r="3414" spans="6:23" ht="18.75" customHeight="1">
      <c r="W3414" s="253"/>
    </row>
    <row r="3415" spans="6:23" ht="18.75" customHeight="1">
      <c r="F3415" s="252" t="s">
        <v>3944</v>
      </c>
      <c r="I3415" s="316">
        <f>2*4*0.825*0.36*0.01875</f>
        <v>4.4600000000000001E-2</v>
      </c>
      <c r="W3415" s="253"/>
    </row>
    <row r="3416" spans="6:23" ht="18.75" customHeight="1">
      <c r="F3416" s="252" t="s">
        <v>3945</v>
      </c>
      <c r="I3416" s="316">
        <f>2*0.825*0.36*0.01875</f>
        <v>1.11E-2</v>
      </c>
      <c r="W3416" s="253"/>
    </row>
    <row r="3417" spans="6:23" ht="18.75" customHeight="1">
      <c r="I3417" s="548">
        <f>SUM(I3415:I3416)</f>
        <v>5.57E-2</v>
      </c>
      <c r="W3417" s="253"/>
    </row>
    <row r="3418" spans="6:23" ht="18.75" customHeight="1">
      <c r="H3418" s="274" t="s">
        <v>1615</v>
      </c>
      <c r="M3418" s="253"/>
      <c r="N3418" s="252" t="s">
        <v>2241</v>
      </c>
      <c r="O3418" s="296" t="s">
        <v>3260</v>
      </c>
      <c r="Q3418" s="253"/>
      <c r="W3418" s="253"/>
    </row>
    <row r="3419" spans="6:23" ht="18.75" customHeight="1">
      <c r="O3419" s="296" t="s">
        <v>253</v>
      </c>
      <c r="Q3419" s="253"/>
      <c r="W3419" s="253"/>
    </row>
    <row r="3420" spans="6:23" ht="18.75" customHeight="1">
      <c r="F3420" s="316">
        <f>I3409</f>
        <v>2.6200000000000001E-2</v>
      </c>
      <c r="G3420" s="252" t="s">
        <v>866</v>
      </c>
      <c r="H3420" s="252" t="s">
        <v>2477</v>
      </c>
      <c r="I3420" s="252">
        <f>I2633</f>
        <v>111600</v>
      </c>
      <c r="J3420" s="296" t="s">
        <v>866</v>
      </c>
      <c r="K3420" s="252">
        <f>F3420*I3420</f>
        <v>2923.92</v>
      </c>
      <c r="O3420" s="525" t="s">
        <v>3266</v>
      </c>
      <c r="Q3420" s="253"/>
      <c r="W3420" s="253"/>
    </row>
    <row r="3421" spans="6:23" ht="18.75" customHeight="1">
      <c r="F3421" s="316">
        <f>I3412</f>
        <v>4.2799999999999998E-2</v>
      </c>
      <c r="G3421" s="252" t="s">
        <v>866</v>
      </c>
      <c r="H3421" s="252" t="s">
        <v>2478</v>
      </c>
      <c r="I3421" s="252">
        <f>I2634</f>
        <v>99400</v>
      </c>
      <c r="J3421" s="296" t="s">
        <v>866</v>
      </c>
      <c r="K3421" s="252">
        <f t="shared" ref="K3421:K3430" si="323">F3421*I3421</f>
        <v>4254.32</v>
      </c>
      <c r="O3421" s="358" t="s">
        <v>1579</v>
      </c>
      <c r="Q3421" s="253"/>
      <c r="W3421" s="253"/>
    </row>
    <row r="3422" spans="6:23" ht="18.75" customHeight="1">
      <c r="F3422" s="400">
        <f>I3417</f>
        <v>5.57E-2</v>
      </c>
      <c r="G3422" s="252" t="s">
        <v>866</v>
      </c>
      <c r="H3422" s="252" t="s">
        <v>3946</v>
      </c>
      <c r="I3422" s="252">
        <f>I2635</f>
        <v>107000</v>
      </c>
      <c r="J3422" s="296" t="s">
        <v>866</v>
      </c>
      <c r="K3422" s="252">
        <f t="shared" si="323"/>
        <v>5959.9</v>
      </c>
      <c r="O3422" s="296" t="s">
        <v>3267</v>
      </c>
      <c r="P3422" s="407" t="s">
        <v>2046</v>
      </c>
      <c r="Q3422" s="462">
        <v>2.4279999999999999</v>
      </c>
      <c r="R3422" s="252" t="s">
        <v>2273</v>
      </c>
      <c r="W3422" s="253"/>
    </row>
    <row r="3423" spans="6:23" ht="18.75" customHeight="1">
      <c r="F3423" s="316">
        <f>I3408</f>
        <v>4.4175000000000004</v>
      </c>
      <c r="G3423" s="252" t="s">
        <v>606</v>
      </c>
      <c r="H3423" s="252" t="s">
        <v>880</v>
      </c>
      <c r="I3423" s="252">
        <f>I2636</f>
        <v>1537</v>
      </c>
      <c r="J3423" s="296" t="s">
        <v>606</v>
      </c>
      <c r="K3423" s="252">
        <f t="shared" si="323"/>
        <v>6789.7</v>
      </c>
      <c r="O3423" s="296"/>
      <c r="P3423" s="407"/>
      <c r="Q3423" s="462"/>
      <c r="W3423" s="253"/>
    </row>
    <row r="3424" spans="6:23" ht="18.75" customHeight="1">
      <c r="F3424" s="252">
        <v>2</v>
      </c>
      <c r="G3424" s="252" t="s">
        <v>1865</v>
      </c>
      <c r="H3424" s="252" t="s">
        <v>3726</v>
      </c>
      <c r="I3424" s="314">
        <v>450</v>
      </c>
      <c r="J3424" s="296" t="s">
        <v>1393</v>
      </c>
      <c r="K3424" s="252">
        <f t="shared" si="323"/>
        <v>900</v>
      </c>
      <c r="O3424" s="296" t="s">
        <v>5719</v>
      </c>
      <c r="P3424" s="407" t="s">
        <v>2046</v>
      </c>
      <c r="Q3424" s="548">
        <v>5.1999999999999998E-2</v>
      </c>
      <c r="R3424" s="252" t="s">
        <v>2142</v>
      </c>
      <c r="W3424" s="253"/>
    </row>
    <row r="3425" spans="6:23" ht="18.75" customHeight="1">
      <c r="F3425" s="252">
        <v>6</v>
      </c>
      <c r="G3425" s="252" t="s">
        <v>1865</v>
      </c>
      <c r="H3425" s="252" t="s">
        <v>3727</v>
      </c>
      <c r="I3425" s="314">
        <v>79</v>
      </c>
      <c r="J3425" s="296" t="s">
        <v>1393</v>
      </c>
      <c r="K3425" s="252">
        <f t="shared" si="323"/>
        <v>474</v>
      </c>
      <c r="O3425" s="296" t="s">
        <v>3249</v>
      </c>
      <c r="Q3425" s="407"/>
      <c r="W3425" s="253"/>
    </row>
    <row r="3426" spans="6:23" ht="18.75" customHeight="1">
      <c r="F3426" s="252">
        <v>4</v>
      </c>
      <c r="G3426" s="252" t="s">
        <v>1865</v>
      </c>
      <c r="H3426" s="252" t="s">
        <v>3728</v>
      </c>
      <c r="I3426" s="314">
        <v>130</v>
      </c>
      <c r="J3426" s="296" t="s">
        <v>1393</v>
      </c>
      <c r="K3426" s="252">
        <f t="shared" si="323"/>
        <v>520</v>
      </c>
      <c r="O3426" s="296" t="s">
        <v>3268</v>
      </c>
      <c r="P3426" s="407" t="s">
        <v>2046</v>
      </c>
      <c r="Q3426" s="588">
        <v>1.772E-2</v>
      </c>
      <c r="W3426" s="253"/>
    </row>
    <row r="3427" spans="6:23" ht="18.75" customHeight="1">
      <c r="F3427" s="252">
        <v>1</v>
      </c>
      <c r="G3427" s="252" t="s">
        <v>1865</v>
      </c>
      <c r="H3427" s="252" t="s">
        <v>3729</v>
      </c>
      <c r="I3427" s="314">
        <v>985</v>
      </c>
      <c r="J3427" s="296" t="s">
        <v>1393</v>
      </c>
      <c r="K3427" s="252">
        <f t="shared" si="323"/>
        <v>985</v>
      </c>
      <c r="O3427" s="296" t="s">
        <v>3269</v>
      </c>
      <c r="P3427" s="407" t="s">
        <v>2046</v>
      </c>
      <c r="Q3427" s="592">
        <v>7.8750000000000001E-3</v>
      </c>
      <c r="R3427" s="400"/>
      <c r="W3427" s="253"/>
    </row>
    <row r="3428" spans="6:23" ht="18.75" customHeight="1">
      <c r="F3428" s="252">
        <v>2</v>
      </c>
      <c r="G3428" s="252" t="s">
        <v>1865</v>
      </c>
      <c r="H3428" s="252" t="s">
        <v>3721</v>
      </c>
      <c r="I3428" s="252">
        <f>I3395</f>
        <v>23.1</v>
      </c>
      <c r="J3428" s="296" t="s">
        <v>1393</v>
      </c>
      <c r="K3428" s="252">
        <f t="shared" si="323"/>
        <v>46.2</v>
      </c>
      <c r="Q3428" s="358" t="s">
        <v>1579</v>
      </c>
      <c r="W3428" s="253"/>
    </row>
    <row r="3429" spans="6:23" ht="18.75" customHeight="1">
      <c r="F3429" s="252">
        <v>2</v>
      </c>
      <c r="G3429" s="252" t="s">
        <v>1865</v>
      </c>
      <c r="H3429" s="252" t="s">
        <v>1973</v>
      </c>
      <c r="I3429" s="252">
        <f>I3396</f>
        <v>49.55</v>
      </c>
      <c r="J3429" s="296" t="s">
        <v>1393</v>
      </c>
      <c r="K3429" s="252">
        <f t="shared" si="323"/>
        <v>99.1</v>
      </c>
      <c r="Q3429" s="589">
        <v>2.5600000000000001E-2</v>
      </c>
      <c r="R3429" s="252" t="s">
        <v>2142</v>
      </c>
      <c r="W3429" s="253"/>
    </row>
    <row r="3430" spans="6:23" ht="18.75" customHeight="1">
      <c r="F3430" s="356">
        <v>130</v>
      </c>
      <c r="G3430" s="252" t="s">
        <v>1865</v>
      </c>
      <c r="H3430" s="252" t="s">
        <v>1137</v>
      </c>
      <c r="I3430" s="600">
        <f>I3328</f>
        <v>2.41</v>
      </c>
      <c r="K3430" s="252">
        <f t="shared" si="323"/>
        <v>313.3</v>
      </c>
      <c r="Q3430" s="358" t="s">
        <v>1579</v>
      </c>
      <c r="W3430" s="253"/>
    </row>
    <row r="3431" spans="6:23" ht="18.75" customHeight="1">
      <c r="K3431" s="377"/>
      <c r="O3431" s="296" t="s">
        <v>2372</v>
      </c>
      <c r="Q3431" s="548">
        <v>0.58750000000000002</v>
      </c>
      <c r="R3431" s="443" t="s">
        <v>2273</v>
      </c>
      <c r="W3431" s="253"/>
    </row>
    <row r="3432" spans="6:23" ht="18.75" customHeight="1">
      <c r="G3432" s="274"/>
      <c r="H3432" s="274" t="s">
        <v>3947</v>
      </c>
      <c r="K3432" s="274">
        <f>SUM(K3420:K3431)</f>
        <v>23265.439999999999</v>
      </c>
      <c r="O3432" s="296" t="s">
        <v>2373</v>
      </c>
      <c r="Q3432" s="548">
        <v>5.3E-3</v>
      </c>
      <c r="R3432" s="443" t="s">
        <v>2142</v>
      </c>
      <c r="W3432" s="253"/>
    </row>
    <row r="3433" spans="6:23" ht="18.75" customHeight="1">
      <c r="G3433" s="274"/>
      <c r="K3433" s="377" t="s">
        <v>146</v>
      </c>
      <c r="O3433" s="296" t="s">
        <v>2374</v>
      </c>
      <c r="Q3433" s="548">
        <v>6.7</v>
      </c>
      <c r="R3433" s="443" t="s">
        <v>823</v>
      </c>
      <c r="W3433" s="253"/>
    </row>
    <row r="3434" spans="6:23" ht="18.75" customHeight="1">
      <c r="G3434" s="274"/>
      <c r="H3434" s="274" t="s">
        <v>549</v>
      </c>
      <c r="K3434" s="274">
        <f>K3432/F3423</f>
        <v>5266.65</v>
      </c>
      <c r="Q3434" s="358"/>
      <c r="R3434" s="358"/>
      <c r="W3434" s="253"/>
    </row>
    <row r="3435" spans="6:23" ht="18.75" customHeight="1">
      <c r="G3435" s="252" t="s">
        <v>2241</v>
      </c>
      <c r="H3435" s="296" t="s">
        <v>5723</v>
      </c>
      <c r="J3435" s="253"/>
      <c r="M3435" s="400">
        <v>5.1999999999999998E-2</v>
      </c>
      <c r="N3435" s="252" t="s">
        <v>866</v>
      </c>
      <c r="O3435" s="296" t="s">
        <v>305</v>
      </c>
      <c r="P3435" s="252">
        <f>P3221</f>
        <v>111600</v>
      </c>
      <c r="Q3435" s="253" t="s">
        <v>866</v>
      </c>
      <c r="R3435" s="252">
        <f>P3435*M3435</f>
        <v>5803.2</v>
      </c>
      <c r="W3435" s="253"/>
    </row>
    <row r="3436" spans="6:23" ht="18.75" customHeight="1">
      <c r="H3436" s="296" t="s">
        <v>1517</v>
      </c>
      <c r="J3436" s="253"/>
      <c r="M3436" s="400">
        <v>2.5600000000000001E-2</v>
      </c>
      <c r="N3436" s="252" t="s">
        <v>866</v>
      </c>
      <c r="O3436" s="296" t="s">
        <v>306</v>
      </c>
      <c r="P3436" s="252">
        <f>P3222</f>
        <v>99400</v>
      </c>
      <c r="Q3436" s="253" t="s">
        <v>866</v>
      </c>
      <c r="R3436" s="252">
        <f t="shared" ref="R3436:R3448" si="324">P3436*M3436</f>
        <v>2544.64</v>
      </c>
      <c r="W3436" s="253"/>
    </row>
    <row r="3437" spans="6:23" ht="18.75" customHeight="1">
      <c r="H3437" s="276" t="s">
        <v>1889</v>
      </c>
      <c r="J3437" s="253"/>
      <c r="M3437" s="400">
        <v>5.3E-3</v>
      </c>
      <c r="N3437" s="252" t="s">
        <v>866</v>
      </c>
      <c r="O3437" s="296" t="s">
        <v>3253</v>
      </c>
      <c r="P3437" s="252">
        <f>P3223</f>
        <v>107000</v>
      </c>
      <c r="Q3437" s="253" t="s">
        <v>866</v>
      </c>
      <c r="R3437" s="252">
        <f t="shared" si="324"/>
        <v>567.1</v>
      </c>
      <c r="W3437" s="253"/>
    </row>
    <row r="3438" spans="6:23" ht="18.75" customHeight="1">
      <c r="H3438" s="358" t="s">
        <v>1579</v>
      </c>
      <c r="J3438" s="253"/>
      <c r="M3438" s="316"/>
      <c r="O3438" s="296" t="s">
        <v>941</v>
      </c>
      <c r="Q3438" s="253"/>
      <c r="R3438" s="252">
        <f t="shared" si="324"/>
        <v>0</v>
      </c>
      <c r="W3438" s="253"/>
    </row>
    <row r="3439" spans="6:23" ht="18.75" customHeight="1">
      <c r="F3439" s="252">
        <f>F3340</f>
        <v>1.34</v>
      </c>
      <c r="G3439" s="252" t="s">
        <v>1637</v>
      </c>
      <c r="H3439" s="544" t="s">
        <v>4928</v>
      </c>
      <c r="I3439" s="362">
        <v>73.8</v>
      </c>
      <c r="J3439" s="296" t="s">
        <v>1637</v>
      </c>
      <c r="K3439" s="252">
        <f>I3439*F3439</f>
        <v>98.89</v>
      </c>
      <c r="M3439" s="316">
        <v>0.58750000000000002</v>
      </c>
      <c r="N3439" s="252" t="s">
        <v>606</v>
      </c>
      <c r="O3439" s="296" t="s">
        <v>3263</v>
      </c>
      <c r="P3439" s="252">
        <f>P3225</f>
        <v>562.5</v>
      </c>
      <c r="Q3439" s="253" t="s">
        <v>606</v>
      </c>
      <c r="R3439" s="252">
        <f t="shared" si="324"/>
        <v>330.47</v>
      </c>
      <c r="W3439" s="253"/>
    </row>
    <row r="3440" spans="6:23" ht="18.75" customHeight="1">
      <c r="F3440" s="252">
        <f>F3341</f>
        <v>0.5</v>
      </c>
      <c r="G3440" s="252" t="s">
        <v>766</v>
      </c>
      <c r="H3440" s="296" t="s">
        <v>1175</v>
      </c>
      <c r="I3440" s="362">
        <f>I3341</f>
        <v>797</v>
      </c>
      <c r="J3440" s="252" t="s">
        <v>766</v>
      </c>
      <c r="K3440" s="252">
        <f>I3440*F3440</f>
        <v>398.5</v>
      </c>
      <c r="M3440" s="316">
        <v>6.7</v>
      </c>
      <c r="N3440" s="252" t="s">
        <v>1763</v>
      </c>
      <c r="O3440" s="296" t="s">
        <v>3265</v>
      </c>
      <c r="P3440" s="252">
        <f>P3226</f>
        <v>15.45</v>
      </c>
      <c r="Q3440" s="253" t="s">
        <v>823</v>
      </c>
      <c r="R3440" s="252">
        <f t="shared" si="324"/>
        <v>103.52</v>
      </c>
      <c r="W3440" s="253"/>
    </row>
    <row r="3441" spans="6:23" ht="18.75" customHeight="1">
      <c r="F3441" s="252">
        <f>F3342</f>
        <v>0.5</v>
      </c>
      <c r="G3441" s="252" t="s">
        <v>766</v>
      </c>
      <c r="H3441" s="296" t="s">
        <v>1893</v>
      </c>
      <c r="I3441" s="362">
        <f>I3342</f>
        <v>651</v>
      </c>
      <c r="J3441" s="252" t="s">
        <v>766</v>
      </c>
      <c r="K3441" s="252">
        <f>I3441*F3441</f>
        <v>325.5</v>
      </c>
      <c r="M3441" s="316">
        <v>2.4279999999999999</v>
      </c>
      <c r="N3441" s="252" t="s">
        <v>606</v>
      </c>
      <c r="O3441" s="296" t="s">
        <v>444</v>
      </c>
      <c r="P3441" s="252">
        <f>P3227</f>
        <v>1436</v>
      </c>
      <c r="Q3441" s="253" t="s">
        <v>606</v>
      </c>
      <c r="R3441" s="252">
        <f t="shared" si="324"/>
        <v>3486.61</v>
      </c>
      <c r="W3441" s="253"/>
    </row>
    <row r="3442" spans="6:23" ht="18.75" customHeight="1">
      <c r="F3442" s="252">
        <f>F3343</f>
        <v>0.8</v>
      </c>
      <c r="G3442" s="252" t="s">
        <v>766</v>
      </c>
      <c r="H3442" s="296" t="s">
        <v>317</v>
      </c>
      <c r="I3442" s="362">
        <f>I3343</f>
        <v>534</v>
      </c>
      <c r="J3442" s="252" t="s">
        <v>766</v>
      </c>
      <c r="K3442" s="252">
        <f>I3442*F3442</f>
        <v>427.2</v>
      </c>
      <c r="M3442" s="252">
        <v>4</v>
      </c>
      <c r="N3442" s="252" t="s">
        <v>766</v>
      </c>
      <c r="O3442" s="296" t="s">
        <v>3254</v>
      </c>
      <c r="P3442" s="252">
        <f t="shared" ref="P3442:P3447" si="325">P3228</f>
        <v>57.65</v>
      </c>
      <c r="Q3442" s="253" t="s">
        <v>865</v>
      </c>
      <c r="R3442" s="252">
        <f t="shared" si="324"/>
        <v>230.6</v>
      </c>
      <c r="W3442" s="253"/>
    </row>
    <row r="3443" spans="6:23" ht="18.75" customHeight="1">
      <c r="F3443" s="252">
        <f>F3368</f>
        <v>10</v>
      </c>
      <c r="G3443" s="252" t="s">
        <v>2273</v>
      </c>
      <c r="H3443" s="296" t="s">
        <v>3852</v>
      </c>
      <c r="I3443" s="252">
        <f>I3355</f>
        <v>4.2</v>
      </c>
      <c r="J3443" s="252" t="s">
        <v>2273</v>
      </c>
      <c r="K3443" s="252">
        <f>I3443*F3443</f>
        <v>42</v>
      </c>
      <c r="M3443" s="252">
        <v>8</v>
      </c>
      <c r="N3443" s="252" t="s">
        <v>865</v>
      </c>
      <c r="O3443" s="296" t="s">
        <v>1457</v>
      </c>
      <c r="P3443" s="252">
        <f t="shared" si="325"/>
        <v>89.6</v>
      </c>
      <c r="Q3443" s="253" t="s">
        <v>865</v>
      </c>
      <c r="R3443" s="252">
        <f t="shared" si="324"/>
        <v>716.8</v>
      </c>
      <c r="W3443" s="253"/>
    </row>
    <row r="3444" spans="6:23" ht="18.75" customHeight="1">
      <c r="G3444" s="252" t="s">
        <v>446</v>
      </c>
      <c r="H3444" s="296" t="s">
        <v>1177</v>
      </c>
      <c r="I3444" s="296" t="s">
        <v>971</v>
      </c>
      <c r="J3444" s="253" t="s">
        <v>446</v>
      </c>
      <c r="K3444" s="252">
        <v>2.5</v>
      </c>
      <c r="M3444" s="252">
        <v>4</v>
      </c>
      <c r="N3444" s="252" t="s">
        <v>865</v>
      </c>
      <c r="O3444" s="296" t="s">
        <v>3255</v>
      </c>
      <c r="P3444" s="252">
        <f t="shared" si="325"/>
        <v>97.85</v>
      </c>
      <c r="Q3444" s="253" t="s">
        <v>865</v>
      </c>
      <c r="R3444" s="252">
        <f t="shared" si="324"/>
        <v>391.4</v>
      </c>
      <c r="W3444" s="253"/>
    </row>
    <row r="3445" spans="6:23" ht="18.75" customHeight="1">
      <c r="H3445" s="296" t="s">
        <v>438</v>
      </c>
      <c r="J3445" s="253"/>
      <c r="K3445" s="252">
        <f>SUM(K3439:K3444)</f>
        <v>1294.5899999999999</v>
      </c>
      <c r="M3445" s="252">
        <v>1</v>
      </c>
      <c r="N3445" s="252" t="s">
        <v>865</v>
      </c>
      <c r="O3445" s="296" t="s">
        <v>3256</v>
      </c>
      <c r="P3445" s="252">
        <f t="shared" si="325"/>
        <v>209.9</v>
      </c>
      <c r="Q3445" s="253" t="s">
        <v>865</v>
      </c>
      <c r="R3445" s="252">
        <f t="shared" si="324"/>
        <v>209.9</v>
      </c>
      <c r="W3445" s="253"/>
    </row>
    <row r="3446" spans="6:23" ht="18.75" customHeight="1">
      <c r="J3446" s="253"/>
      <c r="K3446" s="358" t="s">
        <v>1579</v>
      </c>
      <c r="M3446" s="252">
        <v>2</v>
      </c>
      <c r="N3446" s="252" t="s">
        <v>865</v>
      </c>
      <c r="O3446" s="296" t="s">
        <v>3257</v>
      </c>
      <c r="P3446" s="252">
        <f t="shared" si="325"/>
        <v>23.1</v>
      </c>
      <c r="Q3446" s="253" t="s">
        <v>865</v>
      </c>
      <c r="R3446" s="252">
        <f t="shared" si="324"/>
        <v>46.2</v>
      </c>
      <c r="W3446" s="253"/>
    </row>
    <row r="3447" spans="6:23" ht="18.75" customHeight="1">
      <c r="H3447" s="276" t="s">
        <v>549</v>
      </c>
      <c r="J3447" s="253"/>
      <c r="K3447" s="274">
        <f>(K3445/10)</f>
        <v>129.46</v>
      </c>
      <c r="M3447" s="252">
        <v>2</v>
      </c>
      <c r="N3447" s="252" t="s">
        <v>865</v>
      </c>
      <c r="O3447" s="296" t="s">
        <v>3258</v>
      </c>
      <c r="P3447" s="252">
        <f t="shared" si="325"/>
        <v>49.55</v>
      </c>
      <c r="Q3447" s="253" t="s">
        <v>865</v>
      </c>
      <c r="R3447" s="252">
        <f t="shared" si="324"/>
        <v>99.1</v>
      </c>
      <c r="W3447" s="253"/>
    </row>
    <row r="3448" spans="6:23" ht="18.75" customHeight="1">
      <c r="H3448" s="276" t="s">
        <v>5630</v>
      </c>
      <c r="J3448" s="253"/>
      <c r="K3448" s="274">
        <f>K3447/2</f>
        <v>64.73</v>
      </c>
      <c r="M3448" s="252">
        <v>118</v>
      </c>
      <c r="N3448" s="252" t="s">
        <v>865</v>
      </c>
      <c r="O3448" s="252" t="s">
        <v>1331</v>
      </c>
      <c r="P3448" s="252">
        <f>P3404</f>
        <v>2.41</v>
      </c>
      <c r="Q3448" s="253" t="s">
        <v>865</v>
      </c>
      <c r="R3448" s="252">
        <f t="shared" si="324"/>
        <v>284.38</v>
      </c>
      <c r="W3448" s="253"/>
    </row>
    <row r="3449" spans="6:23" ht="18.75" customHeight="1">
      <c r="Q3449" s="253"/>
      <c r="R3449" s="358" t="s">
        <v>1579</v>
      </c>
      <c r="W3449" s="253"/>
    </row>
    <row r="3450" spans="6:23" ht="18.75" customHeight="1">
      <c r="F3450" s="375">
        <v>29.5</v>
      </c>
      <c r="G3450" s="252" t="s">
        <v>2241</v>
      </c>
      <c r="H3450" s="296" t="s">
        <v>3091</v>
      </c>
      <c r="J3450" s="253"/>
      <c r="O3450" s="296" t="s">
        <v>3273</v>
      </c>
      <c r="Q3450" s="253"/>
      <c r="R3450" s="252">
        <f>SUM(R3435:R3449)</f>
        <v>14813.92</v>
      </c>
      <c r="W3450" s="253"/>
    </row>
    <row r="3451" spans="6:23" ht="18.75" customHeight="1">
      <c r="H3451" s="296" t="s">
        <v>3092</v>
      </c>
      <c r="J3451" s="253"/>
      <c r="Q3451" s="253"/>
      <c r="R3451" s="358" t="s">
        <v>1579</v>
      </c>
      <c r="W3451" s="253"/>
    </row>
    <row r="3452" spans="6:23" ht="18.75" customHeight="1">
      <c r="H3452" s="296" t="s">
        <v>1927</v>
      </c>
      <c r="J3452" s="253"/>
      <c r="O3452" s="276" t="s">
        <v>549</v>
      </c>
      <c r="Q3452" s="360" t="s">
        <v>718</v>
      </c>
      <c r="R3452" s="274">
        <f>R3450/M3441</f>
        <v>6101.29</v>
      </c>
      <c r="W3452" s="253"/>
    </row>
    <row r="3453" spans="6:23" ht="18.75" customHeight="1">
      <c r="H3453" s="358" t="s">
        <v>1579</v>
      </c>
      <c r="I3453" s="358" t="s">
        <v>1579</v>
      </c>
      <c r="J3453" s="253"/>
      <c r="W3453" s="253"/>
    </row>
    <row r="3454" spans="6:23" ht="18.75" customHeight="1">
      <c r="F3454" s="252">
        <v>10</v>
      </c>
      <c r="G3454" s="252" t="s">
        <v>606</v>
      </c>
      <c r="H3454" s="276" t="s">
        <v>3421</v>
      </c>
      <c r="I3454" s="601">
        <v>416</v>
      </c>
      <c r="J3454" s="253" t="s">
        <v>606</v>
      </c>
      <c r="K3454" s="252">
        <f>F3454*I3454</f>
        <v>4160</v>
      </c>
      <c r="W3454" s="253"/>
    </row>
    <row r="3455" spans="6:23" ht="18.75" customHeight="1">
      <c r="F3455" s="252">
        <v>0.21</v>
      </c>
      <c r="G3455" s="252" t="s">
        <v>866</v>
      </c>
      <c r="H3455" s="296" t="s">
        <v>1868</v>
      </c>
      <c r="I3455" s="252">
        <f>K32</f>
        <v>4861.3</v>
      </c>
      <c r="J3455" s="253" t="s">
        <v>866</v>
      </c>
      <c r="K3455" s="252">
        <f>(F3455*I3455)</f>
        <v>1020.87</v>
      </c>
      <c r="W3455" s="253"/>
    </row>
    <row r="3456" spans="6:23" ht="18.75" customHeight="1">
      <c r="H3456" s="296" t="s">
        <v>1869</v>
      </c>
      <c r="J3456" s="253"/>
      <c r="K3456" s="296" t="s">
        <v>971</v>
      </c>
      <c r="M3456" s="375">
        <v>29.5</v>
      </c>
      <c r="N3456" s="252" t="s">
        <v>2241</v>
      </c>
      <c r="O3456" s="296" t="s">
        <v>3091</v>
      </c>
      <c r="Q3456" s="253"/>
      <c r="W3456" s="253"/>
    </row>
    <row r="3457" spans="6:23" ht="18.75" customHeight="1">
      <c r="F3457" s="252">
        <v>1.1000000000000001</v>
      </c>
      <c r="G3457" s="252" t="s">
        <v>766</v>
      </c>
      <c r="H3457" s="296" t="s">
        <v>2000</v>
      </c>
      <c r="I3457" s="252">
        <f>C10</f>
        <v>999</v>
      </c>
      <c r="J3457" s="253" t="s">
        <v>766</v>
      </c>
      <c r="K3457" s="252">
        <f>(F3457*I3457)</f>
        <v>1098.9000000000001</v>
      </c>
      <c r="O3457" s="296" t="s">
        <v>3092</v>
      </c>
      <c r="Q3457" s="253"/>
      <c r="W3457" s="253"/>
    </row>
    <row r="3458" spans="6:23" ht="18.75" customHeight="1">
      <c r="F3458" s="252">
        <v>1.1000000000000001</v>
      </c>
      <c r="G3458" s="252" t="s">
        <v>766</v>
      </c>
      <c r="H3458" s="296" t="s">
        <v>1704</v>
      </c>
      <c r="I3458" s="252">
        <f>C11</f>
        <v>932</v>
      </c>
      <c r="J3458" s="253" t="s">
        <v>766</v>
      </c>
      <c r="K3458" s="252">
        <f>(F3458*I3458)</f>
        <v>1025.2</v>
      </c>
      <c r="O3458" s="296" t="s">
        <v>1927</v>
      </c>
      <c r="Q3458" s="253"/>
      <c r="W3458" s="253"/>
    </row>
    <row r="3459" spans="6:23" ht="18.75" customHeight="1">
      <c r="F3459" s="252">
        <v>2.2000000000000002</v>
      </c>
      <c r="G3459" s="252" t="s">
        <v>766</v>
      </c>
      <c r="H3459" s="296" t="s">
        <v>1893</v>
      </c>
      <c r="I3459" s="252">
        <f>C12</f>
        <v>651</v>
      </c>
      <c r="J3459" s="253" t="s">
        <v>766</v>
      </c>
      <c r="K3459" s="252">
        <f>(F3459*I3459)</f>
        <v>1432.2</v>
      </c>
      <c r="O3459" s="358" t="s">
        <v>1579</v>
      </c>
      <c r="P3459" s="358" t="s">
        <v>1579</v>
      </c>
      <c r="Q3459" s="253"/>
      <c r="W3459" s="253"/>
    </row>
    <row r="3460" spans="6:23" ht="18.75" customHeight="1">
      <c r="F3460" s="252">
        <v>2.2000000000000002</v>
      </c>
      <c r="G3460" s="252" t="s">
        <v>766</v>
      </c>
      <c r="H3460" s="296" t="s">
        <v>317</v>
      </c>
      <c r="I3460" s="252">
        <f>C13</f>
        <v>534</v>
      </c>
      <c r="J3460" s="253" t="s">
        <v>766</v>
      </c>
      <c r="K3460" s="252">
        <f>(F3460*I3460)</f>
        <v>1174.8</v>
      </c>
      <c r="M3460" s="252">
        <v>10</v>
      </c>
      <c r="N3460" s="252" t="s">
        <v>606</v>
      </c>
      <c r="O3460" s="276" t="s">
        <v>3421</v>
      </c>
      <c r="P3460" s="602">
        <f>I3454</f>
        <v>416</v>
      </c>
      <c r="Q3460" s="253" t="s">
        <v>606</v>
      </c>
      <c r="R3460" s="252">
        <f>P3460*M3460</f>
        <v>4160</v>
      </c>
      <c r="W3460" s="253"/>
    </row>
    <row r="3461" spans="6:23" ht="18.75" customHeight="1">
      <c r="F3461" s="356">
        <v>20</v>
      </c>
      <c r="G3461" s="252" t="s">
        <v>1637</v>
      </c>
      <c r="H3461" s="296" t="s">
        <v>859</v>
      </c>
      <c r="I3461" s="252">
        <f>AC31</f>
        <v>6040</v>
      </c>
      <c r="J3461" s="253" t="s">
        <v>858</v>
      </c>
      <c r="K3461" s="252">
        <f>(F3461*I3461)/1000</f>
        <v>120.8</v>
      </c>
      <c r="M3461" s="252">
        <v>0.21</v>
      </c>
      <c r="N3461" s="252" t="s">
        <v>866</v>
      </c>
      <c r="O3461" s="296" t="s">
        <v>1868</v>
      </c>
      <c r="P3461" s="603">
        <f t="shared" ref="P3461:P3471" si="326">I3455</f>
        <v>4861.3</v>
      </c>
      <c r="Q3461" s="253" t="s">
        <v>866</v>
      </c>
      <c r="R3461" s="252">
        <f t="shared" ref="R3461:R3471" si="327">P3461*M3461</f>
        <v>1020.87</v>
      </c>
      <c r="W3461" s="253"/>
    </row>
    <row r="3462" spans="6:23" ht="18.75" customHeight="1">
      <c r="F3462" s="356">
        <v>2</v>
      </c>
      <c r="G3462" s="252" t="s">
        <v>1637</v>
      </c>
      <c r="H3462" s="296" t="s">
        <v>2072</v>
      </c>
      <c r="I3462" s="252">
        <f>I1256</f>
        <v>36.1</v>
      </c>
      <c r="J3462" s="253" t="s">
        <v>1637</v>
      </c>
      <c r="K3462" s="252">
        <f>(F3462*I3462)</f>
        <v>72.2</v>
      </c>
      <c r="O3462" s="296" t="s">
        <v>1869</v>
      </c>
      <c r="P3462" s="603">
        <f t="shared" si="326"/>
        <v>0</v>
      </c>
      <c r="Q3462" s="253"/>
      <c r="R3462" s="252">
        <f t="shared" si="327"/>
        <v>0</v>
      </c>
      <c r="W3462" s="253"/>
    </row>
    <row r="3463" spans="6:23" ht="18.75" customHeight="1">
      <c r="F3463" s="252">
        <v>1.6</v>
      </c>
      <c r="G3463" s="252" t="s">
        <v>766</v>
      </c>
      <c r="H3463" s="296" t="s">
        <v>1704</v>
      </c>
      <c r="I3463" s="252">
        <f>I3458</f>
        <v>932</v>
      </c>
      <c r="J3463" s="253" t="s">
        <v>766</v>
      </c>
      <c r="K3463" s="252">
        <f>(F3463*I3463)</f>
        <v>1491.2</v>
      </c>
      <c r="M3463" s="252">
        <v>1.1000000000000001</v>
      </c>
      <c r="N3463" s="252" t="s">
        <v>766</v>
      </c>
      <c r="O3463" s="296" t="s">
        <v>2000</v>
      </c>
      <c r="P3463" s="603">
        <f t="shared" si="326"/>
        <v>999</v>
      </c>
      <c r="Q3463" s="253" t="s">
        <v>766</v>
      </c>
      <c r="R3463" s="252">
        <f t="shared" si="327"/>
        <v>1098.9000000000001</v>
      </c>
      <c r="W3463" s="253"/>
    </row>
    <row r="3464" spans="6:23" ht="18.75" customHeight="1">
      <c r="F3464" s="252">
        <v>0.5</v>
      </c>
      <c r="G3464" s="252" t="s">
        <v>766</v>
      </c>
      <c r="H3464" s="296" t="s">
        <v>1893</v>
      </c>
      <c r="I3464" s="252">
        <f>I3459</f>
        <v>651</v>
      </c>
      <c r="J3464" s="253" t="s">
        <v>766</v>
      </c>
      <c r="K3464" s="252">
        <f>(F3464*I3464)</f>
        <v>325.5</v>
      </c>
      <c r="M3464" s="252">
        <v>1.1000000000000001</v>
      </c>
      <c r="N3464" s="252" t="s">
        <v>766</v>
      </c>
      <c r="O3464" s="296" t="s">
        <v>1704</v>
      </c>
      <c r="P3464" s="603">
        <f t="shared" si="326"/>
        <v>932</v>
      </c>
      <c r="Q3464" s="253" t="s">
        <v>766</v>
      </c>
      <c r="R3464" s="252">
        <f t="shared" si="327"/>
        <v>1025.2</v>
      </c>
      <c r="W3464" s="253"/>
    </row>
    <row r="3465" spans="6:23" ht="18.75" customHeight="1">
      <c r="F3465" s="252">
        <v>1.1000000000000001</v>
      </c>
      <c r="G3465" s="252" t="s">
        <v>766</v>
      </c>
      <c r="H3465" s="296" t="s">
        <v>317</v>
      </c>
      <c r="I3465" s="252">
        <f>I3460</f>
        <v>534</v>
      </c>
      <c r="J3465" s="253" t="s">
        <v>766</v>
      </c>
      <c r="K3465" s="252">
        <f>(F3465*I3465)</f>
        <v>587.4</v>
      </c>
      <c r="M3465" s="252">
        <v>2.2000000000000002</v>
      </c>
      <c r="N3465" s="252" t="s">
        <v>766</v>
      </c>
      <c r="O3465" s="296" t="s">
        <v>1893</v>
      </c>
      <c r="P3465" s="603">
        <f t="shared" si="326"/>
        <v>651</v>
      </c>
      <c r="Q3465" s="253" t="s">
        <v>766</v>
      </c>
      <c r="R3465" s="252">
        <f t="shared" si="327"/>
        <v>1432.2</v>
      </c>
      <c r="W3465" s="253"/>
    </row>
    <row r="3466" spans="6:23" ht="18.75" customHeight="1">
      <c r="G3466" s="252" t="s">
        <v>446</v>
      </c>
      <c r="H3466" s="296" t="s">
        <v>447</v>
      </c>
      <c r="I3466" s="252">
        <f>I1262</f>
        <v>0</v>
      </c>
      <c r="J3466" s="253" t="s">
        <v>446</v>
      </c>
      <c r="K3466" s="252">
        <v>0</v>
      </c>
      <c r="M3466" s="252">
        <v>2.2000000000000002</v>
      </c>
      <c r="N3466" s="252" t="s">
        <v>766</v>
      </c>
      <c r="O3466" s="296" t="s">
        <v>317</v>
      </c>
      <c r="P3466" s="603">
        <f t="shared" si="326"/>
        <v>534</v>
      </c>
      <c r="Q3466" s="253" t="s">
        <v>766</v>
      </c>
      <c r="R3466" s="252">
        <f t="shared" si="327"/>
        <v>1174.8</v>
      </c>
      <c r="W3466" s="253"/>
    </row>
    <row r="3467" spans="6:23" ht="18.75" customHeight="1">
      <c r="J3467" s="253"/>
      <c r="K3467" s="358" t="s">
        <v>1579</v>
      </c>
      <c r="M3467" s="356">
        <v>20</v>
      </c>
      <c r="N3467" s="252" t="s">
        <v>1637</v>
      </c>
      <c r="O3467" s="296" t="s">
        <v>859</v>
      </c>
      <c r="P3467" s="603">
        <f t="shared" si="326"/>
        <v>6040</v>
      </c>
      <c r="Q3467" s="253" t="s">
        <v>858</v>
      </c>
      <c r="R3467" s="252">
        <f>P3467*M3467/1000</f>
        <v>120.8</v>
      </c>
      <c r="W3467" s="253"/>
    </row>
    <row r="3468" spans="6:23" ht="18.75" customHeight="1">
      <c r="H3468" s="296" t="s">
        <v>438</v>
      </c>
      <c r="J3468" s="253"/>
      <c r="K3468" s="252">
        <f>SUM(K3454:K3466)</f>
        <v>12509.07</v>
      </c>
      <c r="M3468" s="356">
        <v>2</v>
      </c>
      <c r="N3468" s="252" t="s">
        <v>1637</v>
      </c>
      <c r="O3468" s="296" t="s">
        <v>2887</v>
      </c>
      <c r="P3468" s="603">
        <f>I3644</f>
        <v>24.93</v>
      </c>
      <c r="Q3468" s="253" t="s">
        <v>1637</v>
      </c>
      <c r="R3468" s="252">
        <f t="shared" si="327"/>
        <v>49.86</v>
      </c>
      <c r="W3468" s="253"/>
    </row>
    <row r="3469" spans="6:23" ht="18.75" customHeight="1">
      <c r="J3469" s="253"/>
      <c r="K3469" s="358" t="s">
        <v>1579</v>
      </c>
      <c r="M3469" s="252">
        <v>1.6</v>
      </c>
      <c r="N3469" s="252" t="s">
        <v>766</v>
      </c>
      <c r="O3469" s="296" t="s">
        <v>1704</v>
      </c>
      <c r="P3469" s="603">
        <f t="shared" si="326"/>
        <v>932</v>
      </c>
      <c r="Q3469" s="253" t="s">
        <v>766</v>
      </c>
      <c r="R3469" s="252">
        <f t="shared" si="327"/>
        <v>1491.2</v>
      </c>
      <c r="W3469" s="253"/>
    </row>
    <row r="3470" spans="6:23" ht="18.75" customHeight="1">
      <c r="H3470" s="296" t="s">
        <v>549</v>
      </c>
      <c r="J3470" s="253"/>
      <c r="K3470" s="274">
        <f>(K3468/10)</f>
        <v>1250.9100000000001</v>
      </c>
      <c r="M3470" s="252">
        <v>0.5</v>
      </c>
      <c r="N3470" s="252" t="s">
        <v>766</v>
      </c>
      <c r="O3470" s="296" t="s">
        <v>1893</v>
      </c>
      <c r="P3470" s="603">
        <f t="shared" si="326"/>
        <v>651</v>
      </c>
      <c r="Q3470" s="253" t="s">
        <v>766</v>
      </c>
      <c r="R3470" s="252">
        <f t="shared" si="327"/>
        <v>325.5</v>
      </c>
      <c r="W3470" s="253"/>
    </row>
    <row r="3471" spans="6:23" ht="18.75" customHeight="1">
      <c r="J3471" s="253"/>
      <c r="K3471" s="358" t="s">
        <v>2046</v>
      </c>
      <c r="M3471" s="252">
        <v>1.1000000000000001</v>
      </c>
      <c r="N3471" s="252" t="s">
        <v>766</v>
      </c>
      <c r="O3471" s="296" t="s">
        <v>317</v>
      </c>
      <c r="P3471" s="603">
        <f t="shared" si="326"/>
        <v>534</v>
      </c>
      <c r="Q3471" s="253" t="s">
        <v>766</v>
      </c>
      <c r="R3471" s="252">
        <f t="shared" si="327"/>
        <v>587.4</v>
      </c>
      <c r="W3471" s="253"/>
    </row>
    <row r="3472" spans="6:23" ht="18.75" customHeight="1">
      <c r="N3472" s="252" t="s">
        <v>446</v>
      </c>
      <c r="O3472" s="296" t="s">
        <v>447</v>
      </c>
      <c r="P3472" s="252">
        <v>0</v>
      </c>
      <c r="Q3472" s="253" t="s">
        <v>446</v>
      </c>
      <c r="R3472" s="252">
        <v>0</v>
      </c>
      <c r="W3472" s="253"/>
    </row>
    <row r="3473" spans="6:23" ht="18.75" customHeight="1">
      <c r="Q3473" s="253"/>
      <c r="R3473" s="358" t="s">
        <v>1579</v>
      </c>
      <c r="W3473" s="253"/>
    </row>
    <row r="3474" spans="6:23" ht="18.75" customHeight="1">
      <c r="O3474" s="296" t="s">
        <v>438</v>
      </c>
      <c r="Q3474" s="253"/>
      <c r="R3474" s="252">
        <f>SUM(R3460:R3473)</f>
        <v>12486.73</v>
      </c>
      <c r="W3474" s="253"/>
    </row>
    <row r="3475" spans="6:23" ht="18.75" customHeight="1">
      <c r="Q3475" s="253"/>
      <c r="R3475" s="358" t="s">
        <v>1579</v>
      </c>
      <c r="W3475" s="253"/>
    </row>
    <row r="3476" spans="6:23" ht="18.75" customHeight="1">
      <c r="G3476" s="604">
        <v>90</v>
      </c>
      <c r="H3476" s="605" t="s">
        <v>5724</v>
      </c>
      <c r="O3476" s="296" t="s">
        <v>549</v>
      </c>
      <c r="Q3476" s="253"/>
      <c r="R3476" s="274">
        <f>R3474/10</f>
        <v>1248.67</v>
      </c>
      <c r="W3476" s="253"/>
    </row>
    <row r="3477" spans="6:23" ht="18.75" customHeight="1">
      <c r="F3477" s="316">
        <v>3.8100000000000002E-2</v>
      </c>
      <c r="G3477" s="252" t="s">
        <v>866</v>
      </c>
      <c r="H3477" s="252" t="s">
        <v>2441</v>
      </c>
      <c r="I3477" s="252">
        <f>I3387</f>
        <v>111600</v>
      </c>
      <c r="J3477" s="252">
        <f>J2279</f>
        <v>0</v>
      </c>
      <c r="K3477" s="252">
        <f>F3477*I3477</f>
        <v>4251.96</v>
      </c>
      <c r="Q3477" s="253"/>
      <c r="R3477" s="358" t="s">
        <v>2046</v>
      </c>
      <c r="W3477" s="253"/>
    </row>
    <row r="3478" spans="6:23" ht="18.75" customHeight="1">
      <c r="F3478" s="356">
        <v>2.4E-2</v>
      </c>
      <c r="G3478" s="252" t="s">
        <v>866</v>
      </c>
      <c r="H3478" s="252" t="s">
        <v>2442</v>
      </c>
      <c r="I3478" s="252">
        <f>I3388</f>
        <v>99400</v>
      </c>
      <c r="J3478" s="252">
        <f>J2280</f>
        <v>0</v>
      </c>
      <c r="K3478" s="252">
        <f t="shared" ref="K3478:K3491" si="328">F3478*I3478</f>
        <v>2385.6</v>
      </c>
      <c r="W3478" s="253"/>
    </row>
    <row r="3479" spans="6:23" ht="18.75" customHeight="1">
      <c r="F3479" s="252">
        <v>0.01</v>
      </c>
      <c r="G3479" s="252" t="s">
        <v>866</v>
      </c>
      <c r="H3479" s="296" t="s">
        <v>307</v>
      </c>
      <c r="I3479" s="252">
        <f>I2815</f>
        <v>95000</v>
      </c>
      <c r="J3479" s="252">
        <f>J2281</f>
        <v>0</v>
      </c>
      <c r="K3479" s="252">
        <f t="shared" si="328"/>
        <v>950</v>
      </c>
      <c r="W3479" s="253"/>
    </row>
    <row r="3480" spans="6:23" ht="18.75" customHeight="1">
      <c r="H3480" s="296" t="s">
        <v>443</v>
      </c>
      <c r="W3480" s="253"/>
    </row>
    <row r="3481" spans="6:23" ht="18.75" customHeight="1">
      <c r="F3481" s="252">
        <v>1.05</v>
      </c>
      <c r="G3481" s="252" t="s">
        <v>606</v>
      </c>
      <c r="H3481" s="422" t="s">
        <v>5474</v>
      </c>
      <c r="I3481" s="362">
        <v>362.5</v>
      </c>
      <c r="J3481" s="296" t="s">
        <v>606</v>
      </c>
      <c r="K3481" s="252">
        <f t="shared" si="328"/>
        <v>380.63</v>
      </c>
      <c r="W3481" s="253"/>
    </row>
    <row r="3482" spans="6:23" ht="18.75" customHeight="1">
      <c r="F3482" s="252">
        <v>12</v>
      </c>
      <c r="G3482" s="252" t="s">
        <v>356</v>
      </c>
      <c r="H3482" s="252" t="s">
        <v>2443</v>
      </c>
      <c r="I3482" s="252">
        <f>I2537</f>
        <v>70.150000000000006</v>
      </c>
      <c r="J3482" s="296" t="s">
        <v>356</v>
      </c>
      <c r="K3482" s="252">
        <f t="shared" si="328"/>
        <v>841.8</v>
      </c>
      <c r="S3482" s="593" t="s">
        <v>3485</v>
      </c>
      <c r="W3482" s="253"/>
    </row>
    <row r="3483" spans="6:23" ht="18.75" customHeight="1">
      <c r="F3483" s="252">
        <v>2.85</v>
      </c>
      <c r="G3483" s="252" t="s">
        <v>606</v>
      </c>
      <c r="H3483" s="252" t="s">
        <v>2444</v>
      </c>
      <c r="I3483" s="252">
        <f>D31</f>
        <v>1436</v>
      </c>
      <c r="J3483" s="296" t="s">
        <v>606</v>
      </c>
      <c r="K3483" s="252">
        <f t="shared" si="328"/>
        <v>4092.6</v>
      </c>
      <c r="W3483" s="253"/>
    </row>
    <row r="3484" spans="6:23" ht="18.75" customHeight="1">
      <c r="F3484" s="252">
        <v>6</v>
      </c>
      <c r="G3484" s="252" t="s">
        <v>1389</v>
      </c>
      <c r="H3484" s="296" t="s">
        <v>1457</v>
      </c>
      <c r="I3484" s="252">
        <f>I2819</f>
        <v>214.1</v>
      </c>
      <c r="J3484" s="296" t="s">
        <v>766</v>
      </c>
      <c r="K3484" s="252">
        <f t="shared" si="328"/>
        <v>1284.5999999999999</v>
      </c>
      <c r="W3484" s="253"/>
    </row>
    <row r="3485" spans="6:23" ht="18.75" customHeight="1">
      <c r="F3485" s="252">
        <v>1</v>
      </c>
      <c r="G3485" s="252" t="s">
        <v>1389</v>
      </c>
      <c r="H3485" s="252" t="s">
        <v>2445</v>
      </c>
      <c r="I3485" s="252">
        <f>I2821</f>
        <v>836</v>
      </c>
      <c r="J3485" s="296" t="s">
        <v>766</v>
      </c>
      <c r="K3485" s="252">
        <f t="shared" si="328"/>
        <v>836</v>
      </c>
      <c r="W3485" s="253"/>
    </row>
    <row r="3486" spans="6:23" ht="18.75" customHeight="1">
      <c r="F3486" s="252">
        <v>3</v>
      </c>
      <c r="G3486" s="252" t="s">
        <v>1389</v>
      </c>
      <c r="H3486" s="296" t="s">
        <v>1458</v>
      </c>
      <c r="I3486" s="252">
        <f>I2820</f>
        <v>408</v>
      </c>
      <c r="J3486" s="296" t="s">
        <v>766</v>
      </c>
      <c r="K3486" s="252">
        <f t="shared" si="328"/>
        <v>1224</v>
      </c>
      <c r="W3486" s="253"/>
    </row>
    <row r="3487" spans="6:23" ht="18.75" customHeight="1">
      <c r="F3487" s="252">
        <v>2</v>
      </c>
      <c r="G3487" s="252" t="s">
        <v>1389</v>
      </c>
      <c r="H3487" s="296" t="s">
        <v>2449</v>
      </c>
      <c r="I3487" s="252">
        <f>I2820</f>
        <v>408</v>
      </c>
      <c r="J3487" s="296" t="s">
        <v>766</v>
      </c>
      <c r="K3487" s="252">
        <f t="shared" si="328"/>
        <v>816</v>
      </c>
      <c r="W3487" s="253"/>
    </row>
    <row r="3488" spans="6:23" ht="18.75" customHeight="1">
      <c r="F3488" s="252">
        <v>2</v>
      </c>
      <c r="G3488" s="252" t="s">
        <v>1389</v>
      </c>
      <c r="H3488" s="296" t="s">
        <v>1973</v>
      </c>
      <c r="I3488" s="252">
        <f>I2823</f>
        <v>49.55</v>
      </c>
      <c r="J3488" s="296" t="s">
        <v>766</v>
      </c>
      <c r="K3488" s="252">
        <f t="shared" si="328"/>
        <v>99.1</v>
      </c>
      <c r="W3488" s="253"/>
    </row>
    <row r="3489" spans="6:23" ht="18.75" customHeight="1">
      <c r="F3489" s="252">
        <v>2</v>
      </c>
      <c r="G3489" s="252" t="s">
        <v>1389</v>
      </c>
      <c r="H3489" s="296" t="s">
        <v>1460</v>
      </c>
      <c r="I3489" s="252">
        <f>I2822</f>
        <v>7.3</v>
      </c>
      <c r="J3489" s="296" t="s">
        <v>766</v>
      </c>
      <c r="K3489" s="252">
        <f t="shared" si="328"/>
        <v>14.6</v>
      </c>
      <c r="W3489" s="253"/>
    </row>
    <row r="3490" spans="6:23" ht="18.75" customHeight="1">
      <c r="F3490" s="252">
        <v>1.05</v>
      </c>
      <c r="G3490" s="252" t="s">
        <v>606</v>
      </c>
      <c r="H3490" s="296" t="s">
        <v>2446</v>
      </c>
      <c r="I3490" s="252">
        <f>K1553</f>
        <v>138.35</v>
      </c>
      <c r="J3490" s="296" t="s">
        <v>606</v>
      </c>
      <c r="K3490" s="252">
        <f t="shared" si="328"/>
        <v>145.27000000000001</v>
      </c>
      <c r="W3490" s="253"/>
    </row>
    <row r="3491" spans="6:23" ht="18.75" customHeight="1">
      <c r="F3491" s="606">
        <v>3.15</v>
      </c>
      <c r="G3491" s="252" t="s">
        <v>606</v>
      </c>
      <c r="H3491" s="296" t="s">
        <v>2447</v>
      </c>
      <c r="I3491" s="252">
        <f>K1167</f>
        <v>194.22</v>
      </c>
      <c r="J3491" s="296" t="s">
        <v>606</v>
      </c>
      <c r="K3491" s="252">
        <f t="shared" si="328"/>
        <v>611.79</v>
      </c>
      <c r="W3491" s="253"/>
    </row>
    <row r="3492" spans="6:23" ht="18.75" customHeight="1">
      <c r="H3492" s="296" t="s">
        <v>3528</v>
      </c>
      <c r="I3492" s="1260" t="s">
        <v>446</v>
      </c>
      <c r="J3492" s="1260"/>
      <c r="K3492" s="252">
        <f>R3199</f>
        <v>284.38</v>
      </c>
      <c r="W3492" s="253"/>
    </row>
    <row r="3493" spans="6:23" ht="18.75" customHeight="1">
      <c r="K3493" s="358" t="s">
        <v>2046</v>
      </c>
      <c r="W3493" s="253"/>
    </row>
    <row r="3494" spans="6:23" ht="18.75" customHeight="1">
      <c r="H3494" s="276" t="s">
        <v>2448</v>
      </c>
      <c r="I3494" s="274"/>
      <c r="J3494" s="276"/>
      <c r="K3494" s="274">
        <f>SUM(K3477:K3493)</f>
        <v>18218.330000000002</v>
      </c>
      <c r="W3494" s="253"/>
    </row>
    <row r="3495" spans="6:23" ht="18.75" customHeight="1">
      <c r="K3495" s="358" t="s">
        <v>2046</v>
      </c>
      <c r="W3495" s="253"/>
    </row>
    <row r="3496" spans="6:23" ht="18.75" customHeight="1">
      <c r="W3496" s="253"/>
    </row>
    <row r="3497" spans="6:23" ht="18.75" customHeight="1">
      <c r="J3497" s="253"/>
      <c r="W3497" s="253"/>
    </row>
    <row r="3498" spans="6:23" ht="18.75" customHeight="1">
      <c r="G3498" s="296" t="s">
        <v>5725</v>
      </c>
      <c r="J3498" s="253"/>
      <c r="W3498" s="253"/>
    </row>
    <row r="3499" spans="6:23" ht="18.75" customHeight="1">
      <c r="J3499" s="253"/>
      <c r="W3499" s="253"/>
    </row>
    <row r="3500" spans="6:23" ht="18.75" customHeight="1">
      <c r="F3500" s="316">
        <v>1.8</v>
      </c>
      <c r="G3500" s="252" t="s">
        <v>866</v>
      </c>
      <c r="H3500" s="252" t="s">
        <v>3487</v>
      </c>
      <c r="I3500" s="362">
        <f>((505+583)/2)+Z15</f>
        <v>1052.0999999999999</v>
      </c>
      <c r="J3500" s="253" t="s">
        <v>866</v>
      </c>
      <c r="K3500" s="407">
        <f>I3500*F3500</f>
        <v>1893.78</v>
      </c>
      <c r="W3500" s="253"/>
    </row>
    <row r="3501" spans="6:23" ht="18.75" customHeight="1">
      <c r="I3501" s="362"/>
      <c r="J3501" s="253"/>
      <c r="K3501" s="407"/>
      <c r="W3501" s="253"/>
    </row>
    <row r="3502" spans="6:23" ht="18.75" customHeight="1">
      <c r="F3502" s="316">
        <v>1.2</v>
      </c>
      <c r="G3502" s="252" t="s">
        <v>866</v>
      </c>
      <c r="H3502" s="252" t="s">
        <v>3488</v>
      </c>
      <c r="I3502" s="362">
        <f>((1054+906+1467+1362+1001)/5)+Z15</f>
        <v>1666.1</v>
      </c>
      <c r="J3502" s="253" t="s">
        <v>866</v>
      </c>
      <c r="K3502" s="407">
        <f t="shared" ref="K3502:K3510" si="329">I3502*F3502</f>
        <v>1999.32</v>
      </c>
      <c r="W3502" s="253"/>
    </row>
    <row r="3503" spans="6:23" ht="18.75" customHeight="1">
      <c r="J3503" s="253"/>
      <c r="K3503" s="407"/>
      <c r="W3503" s="253"/>
    </row>
    <row r="3504" spans="6:23" ht="18.75" customHeight="1">
      <c r="F3504" s="316">
        <v>0.6</v>
      </c>
      <c r="G3504" s="252" t="s">
        <v>866</v>
      </c>
      <c r="H3504" s="252" t="s">
        <v>3489</v>
      </c>
      <c r="I3504" s="252">
        <f>AC16</f>
        <v>1846.1</v>
      </c>
      <c r="J3504" s="253" t="s">
        <v>866</v>
      </c>
      <c r="K3504" s="407">
        <f t="shared" si="329"/>
        <v>1107.6600000000001</v>
      </c>
      <c r="O3504" s="274" t="s">
        <v>3476</v>
      </c>
      <c r="W3504" s="253"/>
    </row>
    <row r="3505" spans="6:24" ht="18.75" customHeight="1">
      <c r="J3505" s="253"/>
      <c r="K3505" s="407"/>
      <c r="W3505" s="253"/>
    </row>
    <row r="3506" spans="6:24" ht="18.75" customHeight="1">
      <c r="F3506" s="316">
        <v>3</v>
      </c>
      <c r="G3506" s="252" t="s">
        <v>866</v>
      </c>
      <c r="H3506" s="252" t="s">
        <v>3480</v>
      </c>
      <c r="I3506" s="252">
        <f>R3519</f>
        <v>2072.9699999999998</v>
      </c>
      <c r="J3506" s="253" t="s">
        <v>866</v>
      </c>
      <c r="K3506" s="407">
        <f t="shared" si="329"/>
        <v>6218.91</v>
      </c>
      <c r="W3506" s="253"/>
    </row>
    <row r="3507" spans="6:24" ht="18.75" customHeight="1">
      <c r="F3507" s="316"/>
      <c r="J3507" s="253"/>
      <c r="K3507" s="407"/>
      <c r="M3507" s="252">
        <f>(1.08/8)</f>
        <v>0.14000000000000001</v>
      </c>
      <c r="N3507" s="252" t="s">
        <v>866</v>
      </c>
      <c r="O3507" s="252" t="s">
        <v>1893</v>
      </c>
      <c r="P3507" s="252">
        <f>P3515</f>
        <v>651</v>
      </c>
      <c r="Q3507" s="252" t="s">
        <v>866</v>
      </c>
      <c r="R3507" s="252">
        <f>P3507*M3507</f>
        <v>91.14</v>
      </c>
      <c r="W3507" s="253"/>
    </row>
    <row r="3508" spans="6:24" ht="18.75" customHeight="1">
      <c r="F3508" s="316">
        <v>3</v>
      </c>
      <c r="G3508" s="252" t="s">
        <v>866</v>
      </c>
      <c r="H3508" s="252" t="s">
        <v>3486</v>
      </c>
      <c r="I3508" s="252">
        <f>R3521</f>
        <v>36.950000000000003</v>
      </c>
      <c r="J3508" s="253" t="s">
        <v>866</v>
      </c>
      <c r="K3508" s="407">
        <f t="shared" si="329"/>
        <v>110.85</v>
      </c>
      <c r="L3508" s="607"/>
      <c r="W3508" s="253"/>
    </row>
    <row r="3509" spans="6:24" ht="18.75" customHeight="1">
      <c r="F3509" s="316"/>
      <c r="J3509" s="253"/>
      <c r="K3509" s="407"/>
      <c r="O3509" s="407" t="s">
        <v>3477</v>
      </c>
      <c r="R3509" s="252">
        <f>R3507</f>
        <v>91.14</v>
      </c>
      <c r="W3509" s="253"/>
    </row>
    <row r="3510" spans="6:24" ht="18.75" customHeight="1">
      <c r="F3510" s="316">
        <v>3</v>
      </c>
      <c r="G3510" s="252" t="s">
        <v>866</v>
      </c>
      <c r="H3510" s="252" t="s">
        <v>3482</v>
      </c>
      <c r="I3510" s="252">
        <f>AE26</f>
        <v>69.8</v>
      </c>
      <c r="J3510" s="253" t="s">
        <v>866</v>
      </c>
      <c r="K3510" s="407">
        <f t="shared" si="329"/>
        <v>209.4</v>
      </c>
      <c r="O3510" s="407" t="s">
        <v>3478</v>
      </c>
      <c r="R3510" s="252">
        <f>R3509/0.75</f>
        <v>121.52</v>
      </c>
      <c r="W3510" s="253"/>
    </row>
    <row r="3511" spans="6:24" ht="18.75" customHeight="1">
      <c r="J3511" s="253"/>
      <c r="K3511" s="407"/>
      <c r="W3511" s="253"/>
    </row>
    <row r="3512" spans="6:24" ht="18.75" customHeight="1">
      <c r="H3512" s="252" t="s">
        <v>3484</v>
      </c>
      <c r="J3512" s="253" t="s">
        <v>446</v>
      </c>
      <c r="K3512" s="407">
        <v>1.84</v>
      </c>
      <c r="O3512" s="274" t="s">
        <v>3479</v>
      </c>
      <c r="W3512" s="253"/>
    </row>
    <row r="3513" spans="6:24" ht="18.75" customHeight="1">
      <c r="J3513" s="253"/>
      <c r="K3513" s="407"/>
      <c r="W3513" s="253"/>
    </row>
    <row r="3514" spans="6:24" ht="18.75" customHeight="1">
      <c r="H3514" s="407" t="s">
        <v>5726</v>
      </c>
      <c r="J3514" s="253"/>
      <c r="K3514" s="360">
        <f>SUM(K3500:K3513)</f>
        <v>11541.76</v>
      </c>
      <c r="M3514" s="252">
        <v>1.8</v>
      </c>
      <c r="N3514" s="252" t="s">
        <v>1427</v>
      </c>
      <c r="O3514" s="252" t="s">
        <v>3481</v>
      </c>
      <c r="P3514" s="252">
        <f>AE10</f>
        <v>932</v>
      </c>
      <c r="Q3514" s="252" t="s">
        <v>1393</v>
      </c>
      <c r="R3514" s="252">
        <f>P3514*M3514</f>
        <v>1677.6</v>
      </c>
      <c r="W3514" s="253"/>
    </row>
    <row r="3515" spans="6:24" ht="18.75" customHeight="1">
      <c r="H3515" s="407" t="s">
        <v>3490</v>
      </c>
      <c r="J3515" s="253"/>
      <c r="K3515" s="274">
        <f>K3514/F3506</f>
        <v>3847.25</v>
      </c>
      <c r="M3515" s="252">
        <v>17.7</v>
      </c>
      <c r="N3515" s="252" t="s">
        <v>1427</v>
      </c>
      <c r="O3515" s="252" t="s">
        <v>2764</v>
      </c>
      <c r="P3515" s="252">
        <f>AE11</f>
        <v>651</v>
      </c>
      <c r="Q3515" s="252" t="s">
        <v>1393</v>
      </c>
      <c r="R3515" s="252">
        <f>P3515*M3515</f>
        <v>11522.7</v>
      </c>
      <c r="W3515" s="253"/>
    </row>
    <row r="3516" spans="6:24" ht="18.75" customHeight="1">
      <c r="J3516" s="253"/>
      <c r="K3516" s="358" t="s">
        <v>2046</v>
      </c>
      <c r="M3516" s="252">
        <v>14.1</v>
      </c>
      <c r="N3516" s="252" t="s">
        <v>1427</v>
      </c>
      <c r="O3516" s="252" t="s">
        <v>2765</v>
      </c>
      <c r="P3516" s="252">
        <f>AE12</f>
        <v>534</v>
      </c>
      <c r="Q3516" s="252" t="s">
        <v>1393</v>
      </c>
      <c r="R3516" s="252">
        <f>P3516*M3516</f>
        <v>7529.4</v>
      </c>
      <c r="S3516" s="522"/>
      <c r="T3516" s="522"/>
      <c r="U3516" s="522" t="s">
        <v>3751</v>
      </c>
      <c r="V3516" s="522"/>
      <c r="W3516" s="530"/>
    </row>
    <row r="3517" spans="6:24" ht="18.75" customHeight="1">
      <c r="S3517" s="252"/>
      <c r="U3517" s="522" t="s">
        <v>5255</v>
      </c>
      <c r="V3517" s="252">
        <f>1.1*2.325</f>
        <v>2.56</v>
      </c>
      <c r="W3517" s="253"/>
    </row>
    <row r="3518" spans="6:24" ht="18.75" customHeight="1">
      <c r="O3518" s="407" t="s">
        <v>3483</v>
      </c>
      <c r="R3518" s="252">
        <f>SUM(R3514:R3517)</f>
        <v>20729.7</v>
      </c>
      <c r="S3518" s="522">
        <f>V3517</f>
        <v>2.56</v>
      </c>
      <c r="T3518" s="522" t="s">
        <v>606</v>
      </c>
      <c r="U3518" s="522" t="s">
        <v>3624</v>
      </c>
      <c r="V3518" s="522">
        <f>V3538</f>
        <v>2255</v>
      </c>
      <c r="W3518" s="530" t="s">
        <v>606</v>
      </c>
      <c r="X3518" s="522">
        <f>V3518*S3518</f>
        <v>5772.8</v>
      </c>
    </row>
    <row r="3519" spans="6:24" ht="18.75" customHeight="1">
      <c r="O3519" s="407" t="s">
        <v>3478</v>
      </c>
      <c r="R3519" s="252">
        <f>R3518/10</f>
        <v>2072.9699999999998</v>
      </c>
      <c r="S3519" s="522">
        <f>V3517</f>
        <v>2.56</v>
      </c>
      <c r="T3519" s="522" t="s">
        <v>606</v>
      </c>
      <c r="U3519" s="522" t="s">
        <v>3625</v>
      </c>
      <c r="V3519" s="522">
        <f t="shared" ref="V3519:V3527" si="330">V3539</f>
        <v>214.1</v>
      </c>
      <c r="W3519" s="530" t="s">
        <v>606</v>
      </c>
      <c r="X3519" s="522">
        <f t="shared" ref="X3519:X3526" si="331">V3519*S3519</f>
        <v>548.1</v>
      </c>
    </row>
    <row r="3520" spans="6:24" ht="18.75" customHeight="1">
      <c r="F3520" s="522"/>
      <c r="G3520" s="522"/>
      <c r="H3520" s="522" t="s">
        <v>3636</v>
      </c>
      <c r="I3520" s="522"/>
      <c r="J3520" s="523"/>
      <c r="O3520" s="407"/>
      <c r="S3520" s="522">
        <v>2</v>
      </c>
      <c r="T3520" s="522" t="s">
        <v>766</v>
      </c>
      <c r="U3520" s="522" t="s">
        <v>3626</v>
      </c>
      <c r="V3520" s="522">
        <f t="shared" si="330"/>
        <v>57.65</v>
      </c>
      <c r="W3520" s="530" t="s">
        <v>766</v>
      </c>
      <c r="X3520" s="522">
        <f t="shared" si="331"/>
        <v>115.3</v>
      </c>
    </row>
    <row r="3521" spans="6:32" ht="18.75" customHeight="1">
      <c r="H3521" s="481" t="s">
        <v>3637</v>
      </c>
      <c r="I3521" s="522">
        <f>1.1*2.325</f>
        <v>2.56</v>
      </c>
      <c r="O3521" s="274" t="s">
        <v>3866</v>
      </c>
      <c r="R3521" s="274">
        <f>AF67</f>
        <v>36.950000000000003</v>
      </c>
      <c r="S3521" s="522">
        <v>4</v>
      </c>
      <c r="T3521" s="522" t="s">
        <v>766</v>
      </c>
      <c r="U3521" s="522" t="s">
        <v>3627</v>
      </c>
      <c r="V3521" s="522">
        <f t="shared" si="330"/>
        <v>89.6</v>
      </c>
      <c r="W3521" s="530" t="s">
        <v>766</v>
      </c>
      <c r="X3521" s="522">
        <f t="shared" si="331"/>
        <v>358.4</v>
      </c>
    </row>
    <row r="3522" spans="6:32" ht="18.75" customHeight="1">
      <c r="F3522" s="522">
        <f>I3521</f>
        <v>2.56</v>
      </c>
      <c r="G3522" s="522" t="s">
        <v>606</v>
      </c>
      <c r="H3522" s="522" t="s">
        <v>4929</v>
      </c>
      <c r="I3522" s="608">
        <v>2255</v>
      </c>
      <c r="J3522" s="522" t="s">
        <v>606</v>
      </c>
      <c r="K3522" s="522">
        <f>I3522*F3522</f>
        <v>5772.8</v>
      </c>
      <c r="S3522" s="522">
        <v>2</v>
      </c>
      <c r="T3522" s="522" t="s">
        <v>766</v>
      </c>
      <c r="U3522" s="522" t="s">
        <v>3628</v>
      </c>
      <c r="V3522" s="522">
        <f t="shared" si="330"/>
        <v>64.8</v>
      </c>
      <c r="W3522" s="530" t="s">
        <v>766</v>
      </c>
      <c r="X3522" s="522">
        <f t="shared" si="331"/>
        <v>129.6</v>
      </c>
    </row>
    <row r="3523" spans="6:32" ht="18.75" customHeight="1">
      <c r="F3523" s="522">
        <f>F3522</f>
        <v>2.56</v>
      </c>
      <c r="G3523" s="522" t="s">
        <v>606</v>
      </c>
      <c r="H3523" s="522" t="s">
        <v>4582</v>
      </c>
      <c r="I3523" s="522">
        <f>AE53</f>
        <v>330.2</v>
      </c>
      <c r="J3523" s="522" t="s">
        <v>606</v>
      </c>
      <c r="K3523" s="522">
        <f t="shared" ref="K3523:K3530" si="332">I3523*F3523</f>
        <v>845.31</v>
      </c>
      <c r="S3523" s="522">
        <v>1</v>
      </c>
      <c r="T3523" s="522" t="s">
        <v>766</v>
      </c>
      <c r="U3523" s="522" t="s">
        <v>2445</v>
      </c>
      <c r="V3523" s="522">
        <f t="shared" si="330"/>
        <v>181</v>
      </c>
      <c r="W3523" s="530" t="s">
        <v>766</v>
      </c>
      <c r="X3523" s="522">
        <f t="shared" si="331"/>
        <v>181</v>
      </c>
    </row>
    <row r="3524" spans="6:32" ht="18.75" customHeight="1">
      <c r="F3524" s="522">
        <v>4</v>
      </c>
      <c r="G3524" s="522" t="s">
        <v>766</v>
      </c>
      <c r="H3524" s="522" t="s">
        <v>3857</v>
      </c>
      <c r="I3524" s="522">
        <f>P3228</f>
        <v>57.65</v>
      </c>
      <c r="J3524" s="522" t="s">
        <v>766</v>
      </c>
      <c r="K3524" s="522">
        <f t="shared" si="332"/>
        <v>230.6</v>
      </c>
      <c r="M3524" s="522"/>
      <c r="N3524" s="522"/>
      <c r="O3524" s="461" t="s">
        <v>3741</v>
      </c>
      <c r="P3524" s="522"/>
      <c r="Q3524" s="523"/>
      <c r="S3524" s="522">
        <v>92</v>
      </c>
      <c r="T3524" s="522" t="s">
        <v>766</v>
      </c>
      <c r="U3524" s="522" t="s">
        <v>3629</v>
      </c>
      <c r="V3524" s="522">
        <f t="shared" si="330"/>
        <v>2.41</v>
      </c>
      <c r="W3524" s="530" t="s">
        <v>766</v>
      </c>
      <c r="X3524" s="522">
        <f t="shared" si="331"/>
        <v>221.72</v>
      </c>
    </row>
    <row r="3525" spans="6:32" ht="18.75" customHeight="1">
      <c r="F3525" s="522">
        <v>8</v>
      </c>
      <c r="G3525" s="522" t="s">
        <v>766</v>
      </c>
      <c r="H3525" s="522" t="s">
        <v>3858</v>
      </c>
      <c r="I3525" s="522">
        <f>P3229</f>
        <v>89.6</v>
      </c>
      <c r="J3525" s="522" t="s">
        <v>766</v>
      </c>
      <c r="K3525" s="522">
        <f t="shared" si="332"/>
        <v>716.8</v>
      </c>
      <c r="O3525" s="550" t="s">
        <v>3742</v>
      </c>
      <c r="P3525" s="550">
        <f>1.4*2.325</f>
        <v>3.26</v>
      </c>
      <c r="Q3525" s="296"/>
      <c r="S3525" s="522">
        <v>1</v>
      </c>
      <c r="T3525" s="522" t="s">
        <v>766</v>
      </c>
      <c r="U3525" s="522" t="s">
        <v>3630</v>
      </c>
      <c r="V3525" s="522">
        <f t="shared" si="330"/>
        <v>23.1</v>
      </c>
      <c r="W3525" s="530" t="s">
        <v>766</v>
      </c>
      <c r="X3525" s="522">
        <f t="shared" si="331"/>
        <v>23.1</v>
      </c>
    </row>
    <row r="3526" spans="6:32" ht="18.75" customHeight="1">
      <c r="F3526" s="522">
        <v>4</v>
      </c>
      <c r="G3526" s="522" t="s">
        <v>766</v>
      </c>
      <c r="H3526" s="522" t="s">
        <v>3859</v>
      </c>
      <c r="I3526" s="522">
        <f>C284</f>
        <v>64.8</v>
      </c>
      <c r="J3526" s="522" t="s">
        <v>766</v>
      </c>
      <c r="K3526" s="522">
        <f t="shared" si="332"/>
        <v>259.2</v>
      </c>
      <c r="M3526" s="522">
        <f>P3525</f>
        <v>3.26</v>
      </c>
      <c r="N3526" s="522" t="s">
        <v>606</v>
      </c>
      <c r="O3526" s="522" t="s">
        <v>4312</v>
      </c>
      <c r="P3526" s="522">
        <f>I3522</f>
        <v>2255</v>
      </c>
      <c r="Q3526" s="522" t="s">
        <v>606</v>
      </c>
      <c r="R3526" s="522">
        <f t="shared" ref="R3526:R3534" si="333">P3526*M3526</f>
        <v>7351.3</v>
      </c>
      <c r="S3526" s="522">
        <v>1</v>
      </c>
      <c r="T3526" s="522" t="s">
        <v>766</v>
      </c>
      <c r="U3526" s="522" t="s">
        <v>3631</v>
      </c>
      <c r="V3526" s="522">
        <f t="shared" si="330"/>
        <v>49.55</v>
      </c>
      <c r="W3526" s="530" t="s">
        <v>766</v>
      </c>
      <c r="X3526" s="522">
        <f t="shared" si="331"/>
        <v>49.55</v>
      </c>
    </row>
    <row r="3527" spans="6:32" ht="18.75" customHeight="1">
      <c r="F3527" s="522">
        <v>1</v>
      </c>
      <c r="G3527" s="522" t="s">
        <v>766</v>
      </c>
      <c r="H3527" s="522" t="s">
        <v>3860</v>
      </c>
      <c r="I3527" s="522">
        <f>C286</f>
        <v>181</v>
      </c>
      <c r="J3527" s="522" t="s">
        <v>766</v>
      </c>
      <c r="K3527" s="522">
        <f t="shared" si="332"/>
        <v>181</v>
      </c>
      <c r="M3527" s="522">
        <f>M3526</f>
        <v>3.26</v>
      </c>
      <c r="N3527" s="522" t="s">
        <v>606</v>
      </c>
      <c r="O3527" s="522" t="s">
        <v>3867</v>
      </c>
      <c r="P3527" s="522">
        <f t="shared" ref="P3527:P3534" si="334">I3523</f>
        <v>330.2</v>
      </c>
      <c r="Q3527" s="522" t="s">
        <v>606</v>
      </c>
      <c r="R3527" s="522">
        <f t="shared" si="333"/>
        <v>1076.45</v>
      </c>
      <c r="S3527" s="609">
        <v>0.39</v>
      </c>
      <c r="T3527" s="608" t="s">
        <v>606</v>
      </c>
      <c r="U3527" s="608" t="s">
        <v>3750</v>
      </c>
      <c r="V3527" s="522">
        <f t="shared" si="330"/>
        <v>233.74</v>
      </c>
      <c r="W3527" s="610" t="s">
        <v>606</v>
      </c>
      <c r="X3527" s="608"/>
    </row>
    <row r="3528" spans="6:32" ht="18.75" customHeight="1">
      <c r="F3528" s="522">
        <v>118</v>
      </c>
      <c r="G3528" s="522" t="s">
        <v>766</v>
      </c>
      <c r="H3528" s="522" t="s">
        <v>3629</v>
      </c>
      <c r="I3528" s="522">
        <f>P3448</f>
        <v>2.41</v>
      </c>
      <c r="J3528" s="522" t="s">
        <v>766</v>
      </c>
      <c r="K3528" s="522">
        <f t="shared" si="332"/>
        <v>284.38</v>
      </c>
      <c r="M3528" s="522">
        <v>4</v>
      </c>
      <c r="N3528" s="522" t="s">
        <v>766</v>
      </c>
      <c r="O3528" s="522" t="s">
        <v>3626</v>
      </c>
      <c r="P3528" s="522">
        <f t="shared" si="334"/>
        <v>57.65</v>
      </c>
      <c r="Q3528" s="522" t="s">
        <v>766</v>
      </c>
      <c r="R3528" s="522">
        <f t="shared" si="333"/>
        <v>230.6</v>
      </c>
      <c r="S3528" s="522"/>
      <c r="T3528" s="522"/>
      <c r="U3528" s="522" t="s">
        <v>3752</v>
      </c>
      <c r="V3528" s="522"/>
      <c r="W3528" s="530"/>
      <c r="X3528" s="522">
        <f>SUM(X3518:X3527)</f>
        <v>7399.57</v>
      </c>
    </row>
    <row r="3529" spans="6:32" ht="18.75" customHeight="1">
      <c r="F3529" s="522">
        <v>2</v>
      </c>
      <c r="G3529" s="522" t="s">
        <v>766</v>
      </c>
      <c r="H3529" s="522" t="s">
        <v>3861</v>
      </c>
      <c r="I3529" s="522">
        <f>P3197</f>
        <v>23.1</v>
      </c>
      <c r="J3529" s="522" t="s">
        <v>766</v>
      </c>
      <c r="K3529" s="522">
        <f t="shared" si="332"/>
        <v>46.2</v>
      </c>
      <c r="M3529" s="522">
        <v>10</v>
      </c>
      <c r="N3529" s="522" t="s">
        <v>766</v>
      </c>
      <c r="O3529" s="522" t="s">
        <v>3627</v>
      </c>
      <c r="P3529" s="522">
        <f t="shared" si="334"/>
        <v>89.6</v>
      </c>
      <c r="Q3529" s="522" t="s">
        <v>766</v>
      </c>
      <c r="R3529" s="522">
        <f t="shared" si="333"/>
        <v>896</v>
      </c>
      <c r="S3529" s="522"/>
      <c r="T3529" s="522"/>
      <c r="U3529" s="522" t="s">
        <v>3215</v>
      </c>
      <c r="V3529" s="522"/>
      <c r="W3529" s="530"/>
      <c r="X3529" s="522">
        <f>X3528/S3519</f>
        <v>2890.46</v>
      </c>
    </row>
    <row r="3530" spans="6:32" ht="18.75" customHeight="1">
      <c r="F3530" s="522">
        <v>2</v>
      </c>
      <c r="G3530" s="522" t="s">
        <v>766</v>
      </c>
      <c r="H3530" s="522" t="s">
        <v>3631</v>
      </c>
      <c r="I3530" s="522">
        <f>P3403</f>
        <v>49.55</v>
      </c>
      <c r="J3530" s="522" t="s">
        <v>766</v>
      </c>
      <c r="K3530" s="522">
        <f t="shared" si="332"/>
        <v>99.1</v>
      </c>
      <c r="M3530" s="522">
        <v>3</v>
      </c>
      <c r="N3530" s="522" t="s">
        <v>766</v>
      </c>
      <c r="O3530" s="522" t="s">
        <v>3628</v>
      </c>
      <c r="P3530" s="522">
        <f t="shared" si="334"/>
        <v>64.8</v>
      </c>
      <c r="Q3530" s="522" t="s">
        <v>766</v>
      </c>
      <c r="R3530" s="522">
        <f t="shared" si="333"/>
        <v>194.4</v>
      </c>
      <c r="W3530" s="253"/>
    </row>
    <row r="3531" spans="6:32" ht="18.75" customHeight="1">
      <c r="F3531" s="526">
        <v>0.41099999999999998</v>
      </c>
      <c r="G3531" s="522" t="s">
        <v>606</v>
      </c>
      <c r="H3531" s="522" t="s">
        <v>3632</v>
      </c>
      <c r="I3531" s="522">
        <f>I1136</f>
        <v>194.22</v>
      </c>
      <c r="J3531" s="522" t="s">
        <v>606</v>
      </c>
      <c r="K3531" s="522"/>
      <c r="M3531" s="522">
        <v>1</v>
      </c>
      <c r="N3531" s="522" t="s">
        <v>766</v>
      </c>
      <c r="O3531" s="522" t="s">
        <v>2445</v>
      </c>
      <c r="P3531" s="522">
        <f t="shared" si="334"/>
        <v>181</v>
      </c>
      <c r="Q3531" s="522" t="s">
        <v>766</v>
      </c>
      <c r="R3531" s="522">
        <f t="shared" si="333"/>
        <v>181</v>
      </c>
      <c r="W3531" s="253"/>
    </row>
    <row r="3532" spans="6:32" ht="18.75" customHeight="1">
      <c r="F3532" s="522"/>
      <c r="G3532" s="522"/>
      <c r="H3532" s="522" t="s">
        <v>3746</v>
      </c>
      <c r="I3532" s="522"/>
      <c r="J3532" s="523"/>
      <c r="K3532" s="522">
        <f>SUM(K3522:K3531)</f>
        <v>8435.39</v>
      </c>
      <c r="M3532" s="522">
        <v>162</v>
      </c>
      <c r="N3532" s="522" t="s">
        <v>766</v>
      </c>
      <c r="O3532" s="522" t="s">
        <v>3629</v>
      </c>
      <c r="P3532" s="522">
        <f t="shared" si="334"/>
        <v>2.41</v>
      </c>
      <c r="Q3532" s="522" t="s">
        <v>766</v>
      </c>
      <c r="R3532" s="522">
        <f t="shared" si="333"/>
        <v>390.42</v>
      </c>
      <c r="W3532" s="253"/>
    </row>
    <row r="3533" spans="6:32" ht="18.75" customHeight="1">
      <c r="F3533" s="522"/>
      <c r="G3533" s="522"/>
      <c r="H3533" s="522" t="s">
        <v>3215</v>
      </c>
      <c r="I3533" s="522"/>
      <c r="J3533" s="523"/>
      <c r="K3533" s="522">
        <f>K3532/F3523</f>
        <v>3295.07</v>
      </c>
      <c r="M3533" s="522">
        <v>2</v>
      </c>
      <c r="N3533" s="522" t="s">
        <v>766</v>
      </c>
      <c r="O3533" s="522" t="s">
        <v>3630</v>
      </c>
      <c r="P3533" s="522">
        <f t="shared" si="334"/>
        <v>23.1</v>
      </c>
      <c r="Q3533" s="522" t="s">
        <v>766</v>
      </c>
      <c r="R3533" s="522">
        <f t="shared" si="333"/>
        <v>46.2</v>
      </c>
      <c r="W3533" s="253"/>
    </row>
    <row r="3534" spans="6:32" ht="18.75" customHeight="1">
      <c r="H3534" s="522"/>
      <c r="K3534" s="522"/>
      <c r="M3534" s="522">
        <v>2</v>
      </c>
      <c r="N3534" s="522" t="s">
        <v>766</v>
      </c>
      <c r="O3534" s="522" t="s">
        <v>3631</v>
      </c>
      <c r="P3534" s="522">
        <f t="shared" si="334"/>
        <v>49.55</v>
      </c>
      <c r="Q3534" s="522" t="s">
        <v>766</v>
      </c>
      <c r="R3534" s="522">
        <f t="shared" si="333"/>
        <v>99.1</v>
      </c>
      <c r="W3534" s="253"/>
    </row>
    <row r="3535" spans="6:32" ht="18.75" customHeight="1">
      <c r="M3535" s="526">
        <v>0</v>
      </c>
      <c r="N3535" s="522" t="s">
        <v>606</v>
      </c>
      <c r="O3535" s="522" t="s">
        <v>3632</v>
      </c>
      <c r="P3535" s="522">
        <f>I3531</f>
        <v>194.22</v>
      </c>
      <c r="Q3535" s="522" t="s">
        <v>606</v>
      </c>
      <c r="R3535" s="522">
        <f>P3535*M3535</f>
        <v>0</v>
      </c>
      <c r="W3535" s="253"/>
    </row>
    <row r="3536" spans="6:32" ht="18.75" customHeight="1">
      <c r="F3536" s="522"/>
      <c r="G3536" s="522"/>
      <c r="H3536" s="522" t="s">
        <v>3634</v>
      </c>
      <c r="I3536" s="522"/>
      <c r="J3536" s="523"/>
      <c r="M3536" s="522"/>
      <c r="N3536" s="522"/>
      <c r="O3536" s="522" t="s">
        <v>3743</v>
      </c>
      <c r="P3536" s="522"/>
      <c r="Q3536" s="523"/>
      <c r="R3536" s="522">
        <f>SUM(R3526:R3535)</f>
        <v>10465.469999999999</v>
      </c>
      <c r="S3536" s="522"/>
      <c r="T3536" s="522"/>
      <c r="U3536" s="522" t="s">
        <v>3751</v>
      </c>
      <c r="V3536" s="522"/>
      <c r="W3536" s="530"/>
      <c r="AB3536" s="522"/>
      <c r="AC3536" s="522"/>
      <c r="AD3536" s="522" t="s">
        <v>4334</v>
      </c>
      <c r="AE3536" s="522"/>
      <c r="AF3536" s="523"/>
    </row>
    <row r="3537" spans="6:33" ht="18.75" customHeight="1">
      <c r="H3537" s="522" t="s">
        <v>3758</v>
      </c>
      <c r="I3537" s="252">
        <f>0.9*2.025</f>
        <v>1.82</v>
      </c>
      <c r="M3537" s="522"/>
      <c r="N3537" s="522"/>
      <c r="O3537" s="522" t="s">
        <v>3215</v>
      </c>
      <c r="P3537" s="522"/>
      <c r="Q3537" s="523"/>
      <c r="R3537" s="522">
        <f>R3536/M3527</f>
        <v>3210.27</v>
      </c>
      <c r="S3537" s="252"/>
      <c r="U3537" s="522" t="s">
        <v>3759</v>
      </c>
      <c r="V3537" s="252">
        <f>0.9*2.325</f>
        <v>2.09</v>
      </c>
      <c r="W3537" s="253"/>
      <c r="AD3537" s="522" t="s">
        <v>4619</v>
      </c>
      <c r="AE3537" s="252">
        <f>0.8*2.025</f>
        <v>1.62</v>
      </c>
      <c r="AF3537" s="296"/>
    </row>
    <row r="3538" spans="6:33" ht="18.75" customHeight="1">
      <c r="F3538" s="522">
        <f>I3537</f>
        <v>1.82</v>
      </c>
      <c r="G3538" s="522" t="s">
        <v>606</v>
      </c>
      <c r="H3538" s="522" t="s">
        <v>3624</v>
      </c>
      <c r="I3538" s="608">
        <f>I3522</f>
        <v>2255</v>
      </c>
      <c r="J3538" s="522" t="s">
        <v>606</v>
      </c>
      <c r="K3538" s="522">
        <f>I3538*F3538</f>
        <v>4104.1000000000004</v>
      </c>
      <c r="Q3538" s="522"/>
      <c r="R3538" s="461"/>
      <c r="S3538" s="522">
        <f>V3537</f>
        <v>2.09</v>
      </c>
      <c r="T3538" s="522" t="s">
        <v>606</v>
      </c>
      <c r="U3538" s="522" t="s">
        <v>3624</v>
      </c>
      <c r="V3538" s="522">
        <f>I3538</f>
        <v>2255</v>
      </c>
      <c r="W3538" s="530" t="s">
        <v>606</v>
      </c>
      <c r="X3538" s="522">
        <f>V3538*S3538</f>
        <v>4712.95</v>
      </c>
      <c r="AB3538" s="522">
        <f>AE3537</f>
        <v>1.62</v>
      </c>
      <c r="AC3538" s="522" t="s">
        <v>606</v>
      </c>
      <c r="AD3538" s="522" t="s">
        <v>4336</v>
      </c>
      <c r="AE3538" s="608">
        <f>I3522</f>
        <v>2255</v>
      </c>
      <c r="AF3538" s="522" t="s">
        <v>606</v>
      </c>
      <c r="AG3538" s="522">
        <f>AE3538*AB3538</f>
        <v>3653.1</v>
      </c>
    </row>
    <row r="3539" spans="6:33" ht="18.75" customHeight="1">
      <c r="F3539" s="522">
        <f>I3537</f>
        <v>1.82</v>
      </c>
      <c r="G3539" s="522" t="s">
        <v>606</v>
      </c>
      <c r="H3539" s="522" t="s">
        <v>4583</v>
      </c>
      <c r="I3539" s="608">
        <f>AE52</f>
        <v>214.1</v>
      </c>
      <c r="J3539" s="522" t="s">
        <v>606</v>
      </c>
      <c r="K3539" s="522">
        <f t="shared" ref="K3539:K3546" si="335">I3539*F3539</f>
        <v>389.66</v>
      </c>
      <c r="S3539" s="522">
        <f>V3537</f>
        <v>2.09</v>
      </c>
      <c r="T3539" s="522" t="s">
        <v>606</v>
      </c>
      <c r="U3539" s="522" t="s">
        <v>3625</v>
      </c>
      <c r="V3539" s="522">
        <f t="shared" ref="V3539:V3547" si="336">I3539</f>
        <v>214.1</v>
      </c>
      <c r="W3539" s="530" t="s">
        <v>606</v>
      </c>
      <c r="X3539" s="522">
        <f t="shared" ref="X3539:X3546" si="337">V3539*S3539</f>
        <v>447.47</v>
      </c>
      <c r="AB3539" s="522">
        <f>AE3537</f>
        <v>1.62</v>
      </c>
      <c r="AC3539" s="522" t="s">
        <v>606</v>
      </c>
      <c r="AD3539" s="522" t="s">
        <v>3856</v>
      </c>
      <c r="AE3539" s="608">
        <f>I3539</f>
        <v>214.1</v>
      </c>
      <c r="AF3539" s="522" t="s">
        <v>606</v>
      </c>
      <c r="AG3539" s="522">
        <f t="shared" ref="AG3539:AG3546" si="338">AE3539*AB3539</f>
        <v>346.84</v>
      </c>
    </row>
    <row r="3540" spans="6:33" ht="18.75" customHeight="1">
      <c r="F3540" s="522">
        <v>2</v>
      </c>
      <c r="G3540" s="522" t="s">
        <v>766</v>
      </c>
      <c r="H3540" s="522" t="s">
        <v>3626</v>
      </c>
      <c r="I3540" s="522">
        <f t="shared" ref="I3540:I3546" si="339">I3524</f>
        <v>57.65</v>
      </c>
      <c r="J3540" s="522" t="s">
        <v>766</v>
      </c>
      <c r="K3540" s="522">
        <f t="shared" si="335"/>
        <v>115.3</v>
      </c>
      <c r="M3540" s="522"/>
      <c r="N3540" s="522"/>
      <c r="O3540" s="522" t="s">
        <v>3744</v>
      </c>
      <c r="P3540" s="522"/>
      <c r="Q3540" s="523"/>
      <c r="S3540" s="522">
        <v>2</v>
      </c>
      <c r="T3540" s="522" t="s">
        <v>766</v>
      </c>
      <c r="U3540" s="522" t="s">
        <v>3626</v>
      </c>
      <c r="V3540" s="522">
        <f t="shared" si="336"/>
        <v>57.65</v>
      </c>
      <c r="W3540" s="530" t="s">
        <v>766</v>
      </c>
      <c r="X3540" s="522">
        <f t="shared" si="337"/>
        <v>115.3</v>
      </c>
      <c r="AB3540" s="522">
        <v>2</v>
      </c>
      <c r="AC3540" s="522" t="s">
        <v>766</v>
      </c>
      <c r="AD3540" s="522" t="s">
        <v>3626</v>
      </c>
      <c r="AE3540" s="608">
        <f t="shared" ref="AE3540:AE3547" si="340">I3540</f>
        <v>57.65</v>
      </c>
      <c r="AF3540" s="522" t="s">
        <v>766</v>
      </c>
      <c r="AG3540" s="522">
        <f t="shared" si="338"/>
        <v>115.3</v>
      </c>
    </row>
    <row r="3541" spans="6:33" ht="18.75" customHeight="1">
      <c r="F3541" s="522">
        <v>3</v>
      </c>
      <c r="G3541" s="522" t="s">
        <v>766</v>
      </c>
      <c r="H3541" s="522" t="s">
        <v>3627</v>
      </c>
      <c r="I3541" s="522">
        <f t="shared" si="339"/>
        <v>89.6</v>
      </c>
      <c r="J3541" s="522" t="s">
        <v>766</v>
      </c>
      <c r="K3541" s="522">
        <f t="shared" si="335"/>
        <v>268.8</v>
      </c>
      <c r="O3541" s="550" t="s">
        <v>3745</v>
      </c>
      <c r="P3541" s="550">
        <f>1.1*2.325</f>
        <v>2.56</v>
      </c>
      <c r="Q3541" s="296"/>
      <c r="S3541" s="522">
        <v>4</v>
      </c>
      <c r="T3541" s="522" t="s">
        <v>766</v>
      </c>
      <c r="U3541" s="522" t="s">
        <v>3627</v>
      </c>
      <c r="V3541" s="522">
        <f t="shared" si="336"/>
        <v>89.6</v>
      </c>
      <c r="W3541" s="530" t="s">
        <v>766</v>
      </c>
      <c r="X3541" s="522">
        <f t="shared" si="337"/>
        <v>358.4</v>
      </c>
      <c r="AB3541" s="522">
        <v>3</v>
      </c>
      <c r="AC3541" s="522" t="s">
        <v>766</v>
      </c>
      <c r="AD3541" s="522" t="s">
        <v>3627</v>
      </c>
      <c r="AE3541" s="608">
        <f t="shared" si="340"/>
        <v>89.6</v>
      </c>
      <c r="AF3541" s="522" t="s">
        <v>766</v>
      </c>
      <c r="AG3541" s="522">
        <f t="shared" si="338"/>
        <v>268.8</v>
      </c>
    </row>
    <row r="3542" spans="6:33" ht="18.75" customHeight="1">
      <c r="F3542" s="522">
        <v>2</v>
      </c>
      <c r="G3542" s="522" t="s">
        <v>766</v>
      </c>
      <c r="H3542" s="522" t="s">
        <v>3628</v>
      </c>
      <c r="I3542" s="522">
        <f t="shared" si="339"/>
        <v>64.8</v>
      </c>
      <c r="J3542" s="522" t="s">
        <v>766</v>
      </c>
      <c r="K3542" s="522">
        <f t="shared" si="335"/>
        <v>129.6</v>
      </c>
      <c r="M3542" s="522">
        <f>P3541</f>
        <v>2.56</v>
      </c>
      <c r="N3542" s="522" t="s">
        <v>606</v>
      </c>
      <c r="O3542" s="522" t="s">
        <v>3624</v>
      </c>
      <c r="P3542" s="522">
        <f>I3538</f>
        <v>2255</v>
      </c>
      <c r="Q3542" s="522" t="s">
        <v>606</v>
      </c>
      <c r="R3542" s="522">
        <f>P3542*M3542</f>
        <v>5772.8</v>
      </c>
      <c r="S3542" s="522">
        <v>2</v>
      </c>
      <c r="T3542" s="522" t="s">
        <v>766</v>
      </c>
      <c r="U3542" s="522" t="s">
        <v>3628</v>
      </c>
      <c r="V3542" s="522">
        <f t="shared" si="336"/>
        <v>64.8</v>
      </c>
      <c r="W3542" s="530" t="s">
        <v>766</v>
      </c>
      <c r="X3542" s="522">
        <f t="shared" si="337"/>
        <v>129.6</v>
      </c>
      <c r="AB3542" s="522">
        <v>2</v>
      </c>
      <c r="AC3542" s="522" t="s">
        <v>766</v>
      </c>
      <c r="AD3542" s="522" t="s">
        <v>3628</v>
      </c>
      <c r="AE3542" s="608">
        <f t="shared" si="340"/>
        <v>64.8</v>
      </c>
      <c r="AF3542" s="522" t="s">
        <v>766</v>
      </c>
      <c r="AG3542" s="522">
        <f t="shared" si="338"/>
        <v>129.6</v>
      </c>
    </row>
    <row r="3543" spans="6:33" ht="18.75" customHeight="1">
      <c r="F3543" s="522">
        <v>1</v>
      </c>
      <c r="G3543" s="522" t="s">
        <v>766</v>
      </c>
      <c r="H3543" s="522" t="s">
        <v>2445</v>
      </c>
      <c r="I3543" s="522">
        <f t="shared" si="339"/>
        <v>181</v>
      </c>
      <c r="J3543" s="522" t="s">
        <v>766</v>
      </c>
      <c r="K3543" s="522">
        <f t="shared" si="335"/>
        <v>181</v>
      </c>
      <c r="M3543" s="522">
        <f>P3541</f>
        <v>2.56</v>
      </c>
      <c r="N3543" s="522" t="s">
        <v>606</v>
      </c>
      <c r="O3543" s="522" t="s">
        <v>4256</v>
      </c>
      <c r="P3543" s="522">
        <f t="shared" ref="P3543:P3551" si="341">I3539</f>
        <v>214.1</v>
      </c>
      <c r="Q3543" s="522" t="s">
        <v>606</v>
      </c>
      <c r="R3543" s="522">
        <f t="shared" ref="R3543:R3551" si="342">P3543*M3543</f>
        <v>548.1</v>
      </c>
      <c r="S3543" s="522">
        <v>1</v>
      </c>
      <c r="T3543" s="522" t="s">
        <v>766</v>
      </c>
      <c r="U3543" s="522" t="s">
        <v>2445</v>
      </c>
      <c r="V3543" s="522">
        <f t="shared" si="336"/>
        <v>181</v>
      </c>
      <c r="W3543" s="530" t="s">
        <v>766</v>
      </c>
      <c r="X3543" s="522">
        <f t="shared" si="337"/>
        <v>181</v>
      </c>
      <c r="AB3543" s="522">
        <v>1</v>
      </c>
      <c r="AC3543" s="522" t="s">
        <v>766</v>
      </c>
      <c r="AD3543" s="522" t="s">
        <v>2445</v>
      </c>
      <c r="AE3543" s="608">
        <f t="shared" si="340"/>
        <v>181</v>
      </c>
      <c r="AF3543" s="522" t="s">
        <v>766</v>
      </c>
      <c r="AG3543" s="522">
        <f t="shared" si="338"/>
        <v>181</v>
      </c>
    </row>
    <row r="3544" spans="6:33" ht="18.75" customHeight="1">
      <c r="F3544" s="522">
        <v>92</v>
      </c>
      <c r="G3544" s="522" t="s">
        <v>766</v>
      </c>
      <c r="H3544" s="522" t="s">
        <v>3629</v>
      </c>
      <c r="I3544" s="522">
        <f t="shared" si="339"/>
        <v>2.41</v>
      </c>
      <c r="J3544" s="522" t="s">
        <v>766</v>
      </c>
      <c r="K3544" s="522">
        <f t="shared" si="335"/>
        <v>221.72</v>
      </c>
      <c r="M3544" s="522">
        <f>F3540</f>
        <v>2</v>
      </c>
      <c r="N3544" s="522" t="s">
        <v>766</v>
      </c>
      <c r="O3544" s="522" t="s">
        <v>3626</v>
      </c>
      <c r="P3544" s="522">
        <f t="shared" si="341"/>
        <v>57.65</v>
      </c>
      <c r="Q3544" s="522" t="s">
        <v>766</v>
      </c>
      <c r="R3544" s="522">
        <f t="shared" si="342"/>
        <v>115.3</v>
      </c>
      <c r="S3544" s="522">
        <v>92</v>
      </c>
      <c r="T3544" s="522" t="s">
        <v>766</v>
      </c>
      <c r="U3544" s="522" t="s">
        <v>3629</v>
      </c>
      <c r="V3544" s="522">
        <f t="shared" si="336"/>
        <v>2.41</v>
      </c>
      <c r="W3544" s="530" t="s">
        <v>766</v>
      </c>
      <c r="X3544" s="522">
        <f t="shared" si="337"/>
        <v>221.72</v>
      </c>
      <c r="AB3544" s="522">
        <v>92</v>
      </c>
      <c r="AC3544" s="522" t="s">
        <v>766</v>
      </c>
      <c r="AD3544" s="522" t="s">
        <v>3629</v>
      </c>
      <c r="AE3544" s="608">
        <f t="shared" si="340"/>
        <v>2.41</v>
      </c>
      <c r="AF3544" s="522" t="s">
        <v>766</v>
      </c>
      <c r="AG3544" s="522">
        <f t="shared" si="338"/>
        <v>221.72</v>
      </c>
    </row>
    <row r="3545" spans="6:33" ht="18.75" customHeight="1">
      <c r="F3545" s="522">
        <v>1</v>
      </c>
      <c r="G3545" s="522" t="s">
        <v>766</v>
      </c>
      <c r="H3545" s="522" t="s">
        <v>3630</v>
      </c>
      <c r="I3545" s="522">
        <f t="shared" si="339"/>
        <v>23.1</v>
      </c>
      <c r="J3545" s="522" t="s">
        <v>766</v>
      </c>
      <c r="K3545" s="522">
        <f t="shared" si="335"/>
        <v>23.1</v>
      </c>
      <c r="M3545" s="522">
        <f t="shared" ref="M3545:M3550" si="343">F3541</f>
        <v>3</v>
      </c>
      <c r="N3545" s="522" t="s">
        <v>766</v>
      </c>
      <c r="O3545" s="522" t="s">
        <v>3627</v>
      </c>
      <c r="P3545" s="522">
        <f t="shared" si="341"/>
        <v>89.6</v>
      </c>
      <c r="Q3545" s="522" t="s">
        <v>766</v>
      </c>
      <c r="R3545" s="522">
        <f t="shared" si="342"/>
        <v>268.8</v>
      </c>
      <c r="S3545" s="522">
        <v>1</v>
      </c>
      <c r="T3545" s="522" t="s">
        <v>766</v>
      </c>
      <c r="U3545" s="522" t="s">
        <v>3630</v>
      </c>
      <c r="V3545" s="522">
        <f t="shared" si="336"/>
        <v>23.1</v>
      </c>
      <c r="W3545" s="530" t="s">
        <v>766</v>
      </c>
      <c r="X3545" s="522">
        <f t="shared" si="337"/>
        <v>23.1</v>
      </c>
      <c r="AB3545" s="522">
        <v>1</v>
      </c>
      <c r="AC3545" s="522" t="s">
        <v>766</v>
      </c>
      <c r="AD3545" s="522" t="s">
        <v>3630</v>
      </c>
      <c r="AE3545" s="608">
        <f t="shared" si="340"/>
        <v>23.1</v>
      </c>
      <c r="AF3545" s="522" t="s">
        <v>766</v>
      </c>
      <c r="AG3545" s="522">
        <f t="shared" si="338"/>
        <v>23.1</v>
      </c>
    </row>
    <row r="3546" spans="6:33" ht="18.75" customHeight="1">
      <c r="F3546" s="522">
        <v>1</v>
      </c>
      <c r="G3546" s="522" t="s">
        <v>766</v>
      </c>
      <c r="H3546" s="522" t="s">
        <v>3631</v>
      </c>
      <c r="I3546" s="522">
        <f t="shared" si="339"/>
        <v>49.55</v>
      </c>
      <c r="J3546" s="522" t="s">
        <v>766</v>
      </c>
      <c r="K3546" s="522">
        <f t="shared" si="335"/>
        <v>49.55</v>
      </c>
      <c r="M3546" s="522">
        <f t="shared" si="343"/>
        <v>2</v>
      </c>
      <c r="N3546" s="522" t="s">
        <v>766</v>
      </c>
      <c r="O3546" s="522" t="s">
        <v>3628</v>
      </c>
      <c r="P3546" s="522">
        <f t="shared" si="341"/>
        <v>64.8</v>
      </c>
      <c r="Q3546" s="522" t="s">
        <v>766</v>
      </c>
      <c r="R3546" s="522">
        <f t="shared" si="342"/>
        <v>129.6</v>
      </c>
      <c r="S3546" s="522">
        <v>1</v>
      </c>
      <c r="T3546" s="522" t="s">
        <v>766</v>
      </c>
      <c r="U3546" s="522" t="s">
        <v>3631</v>
      </c>
      <c r="V3546" s="522">
        <f t="shared" si="336"/>
        <v>49.55</v>
      </c>
      <c r="W3546" s="530" t="s">
        <v>766</v>
      </c>
      <c r="X3546" s="522">
        <f t="shared" si="337"/>
        <v>49.55</v>
      </c>
      <c r="AB3546" s="522">
        <v>1</v>
      </c>
      <c r="AC3546" s="522" t="s">
        <v>766</v>
      </c>
      <c r="AD3546" s="522" t="s">
        <v>3631</v>
      </c>
      <c r="AE3546" s="608">
        <f t="shared" si="340"/>
        <v>49.55</v>
      </c>
      <c r="AF3546" s="522" t="s">
        <v>766</v>
      </c>
      <c r="AG3546" s="522">
        <f t="shared" si="338"/>
        <v>49.55</v>
      </c>
    </row>
    <row r="3547" spans="6:33" ht="18.75" customHeight="1">
      <c r="F3547" s="609">
        <v>0.35</v>
      </c>
      <c r="G3547" s="608" t="s">
        <v>606</v>
      </c>
      <c r="H3547" s="608" t="s">
        <v>3750</v>
      </c>
      <c r="I3547" s="608">
        <f>K1540</f>
        <v>233.74</v>
      </c>
      <c r="J3547" s="608" t="s">
        <v>606</v>
      </c>
      <c r="K3547" s="608"/>
      <c r="M3547" s="522">
        <f t="shared" si="343"/>
        <v>1</v>
      </c>
      <c r="N3547" s="522" t="s">
        <v>766</v>
      </c>
      <c r="O3547" s="522" t="s">
        <v>2445</v>
      </c>
      <c r="P3547" s="522">
        <f t="shared" si="341"/>
        <v>181</v>
      </c>
      <c r="Q3547" s="522" t="s">
        <v>766</v>
      </c>
      <c r="R3547" s="522">
        <f t="shared" si="342"/>
        <v>181</v>
      </c>
      <c r="S3547" s="609">
        <v>0.39</v>
      </c>
      <c r="T3547" s="608" t="s">
        <v>606</v>
      </c>
      <c r="U3547" s="608" t="s">
        <v>3750</v>
      </c>
      <c r="V3547" s="522">
        <f t="shared" si="336"/>
        <v>233.74</v>
      </c>
      <c r="W3547" s="610" t="s">
        <v>606</v>
      </c>
      <c r="X3547" s="608"/>
      <c r="AB3547" s="609">
        <v>0.35</v>
      </c>
      <c r="AC3547" s="608" t="s">
        <v>606</v>
      </c>
      <c r="AD3547" s="608" t="s">
        <v>3750</v>
      </c>
      <c r="AE3547" s="608">
        <f t="shared" si="340"/>
        <v>233.74</v>
      </c>
      <c r="AF3547" s="608" t="s">
        <v>606</v>
      </c>
      <c r="AG3547" s="522"/>
    </row>
    <row r="3548" spans="6:33" ht="18.75" customHeight="1">
      <c r="F3548" s="522"/>
      <c r="G3548" s="522"/>
      <c r="H3548" s="522" t="s">
        <v>3635</v>
      </c>
      <c r="I3548" s="522"/>
      <c r="J3548" s="523"/>
      <c r="K3548" s="522">
        <f>SUM(K3538:K3547)</f>
        <v>5482.83</v>
      </c>
      <c r="M3548" s="522">
        <f t="shared" si="343"/>
        <v>92</v>
      </c>
      <c r="N3548" s="522" t="s">
        <v>766</v>
      </c>
      <c r="O3548" s="522" t="s">
        <v>3629</v>
      </c>
      <c r="P3548" s="522">
        <f t="shared" si="341"/>
        <v>2.41</v>
      </c>
      <c r="Q3548" s="522" t="s">
        <v>766</v>
      </c>
      <c r="R3548" s="522">
        <f t="shared" si="342"/>
        <v>221.72</v>
      </c>
      <c r="S3548" s="522"/>
      <c r="T3548" s="522"/>
      <c r="U3548" s="522" t="s">
        <v>3752</v>
      </c>
      <c r="V3548" s="522"/>
      <c r="W3548" s="530"/>
      <c r="X3548" s="522">
        <f>SUM(X3538:X3547)</f>
        <v>6239.09</v>
      </c>
      <c r="AB3548" s="522"/>
      <c r="AC3548" s="522"/>
      <c r="AD3548" s="522" t="s">
        <v>4335</v>
      </c>
      <c r="AE3548" s="522"/>
      <c r="AF3548" s="523"/>
      <c r="AG3548" s="522">
        <f>SUM(AG3538:AG3547)</f>
        <v>4989.01</v>
      </c>
    </row>
    <row r="3549" spans="6:33" ht="18.75" customHeight="1">
      <c r="F3549" s="522"/>
      <c r="G3549" s="522"/>
      <c r="H3549" s="522" t="s">
        <v>3215</v>
      </c>
      <c r="I3549" s="522"/>
      <c r="J3549" s="523"/>
      <c r="K3549" s="522">
        <f>K3548/F3539</f>
        <v>3012.54</v>
      </c>
      <c r="M3549" s="522">
        <f t="shared" si="343"/>
        <v>1</v>
      </c>
      <c r="N3549" s="522" t="s">
        <v>766</v>
      </c>
      <c r="O3549" s="522" t="s">
        <v>3630</v>
      </c>
      <c r="P3549" s="522">
        <f t="shared" si="341"/>
        <v>23.1</v>
      </c>
      <c r="Q3549" s="522" t="s">
        <v>766</v>
      </c>
      <c r="R3549" s="522">
        <f t="shared" si="342"/>
        <v>23.1</v>
      </c>
      <c r="S3549" s="522"/>
      <c r="T3549" s="522"/>
      <c r="U3549" s="522" t="s">
        <v>3215</v>
      </c>
      <c r="V3549" s="522"/>
      <c r="W3549" s="530"/>
      <c r="X3549" s="522">
        <f>X3548/S3539</f>
        <v>2985.21</v>
      </c>
      <c r="AB3549" s="522"/>
      <c r="AC3549" s="522"/>
      <c r="AD3549" s="522" t="s">
        <v>3215</v>
      </c>
      <c r="AE3549" s="522"/>
      <c r="AF3549" s="523"/>
      <c r="AG3549" s="522">
        <f>AG3548/AB3539</f>
        <v>3079.64</v>
      </c>
    </row>
    <row r="3550" spans="6:33" ht="18.75" customHeight="1">
      <c r="M3550" s="522">
        <f t="shared" si="343"/>
        <v>1</v>
      </c>
      <c r="N3550" s="522" t="s">
        <v>766</v>
      </c>
      <c r="O3550" s="522" t="s">
        <v>3631</v>
      </c>
      <c r="P3550" s="522">
        <f t="shared" si="341"/>
        <v>49.55</v>
      </c>
      <c r="Q3550" s="522" t="s">
        <v>766</v>
      </c>
      <c r="R3550" s="522">
        <f t="shared" si="342"/>
        <v>49.55</v>
      </c>
      <c r="W3550" s="253"/>
      <c r="AF3550" s="296"/>
    </row>
    <row r="3551" spans="6:33" ht="18.75" customHeight="1">
      <c r="M3551" s="526"/>
      <c r="N3551" s="522" t="s">
        <v>606</v>
      </c>
      <c r="O3551" s="522" t="s">
        <v>3632</v>
      </c>
      <c r="P3551" s="522">
        <f t="shared" si="341"/>
        <v>233.74</v>
      </c>
      <c r="Q3551" s="522" t="s">
        <v>606</v>
      </c>
      <c r="R3551" s="522">
        <f t="shared" si="342"/>
        <v>0</v>
      </c>
      <c r="W3551" s="253"/>
    </row>
    <row r="3552" spans="6:33" ht="18.75" customHeight="1">
      <c r="F3552" s="375"/>
      <c r="G3552" s="252" t="s">
        <v>2241</v>
      </c>
      <c r="H3552" s="296" t="s">
        <v>2209</v>
      </c>
      <c r="M3552" s="522"/>
      <c r="N3552" s="522"/>
      <c r="O3552" s="522" t="s">
        <v>3746</v>
      </c>
      <c r="P3552" s="522"/>
      <c r="Q3552" s="523"/>
      <c r="R3552" s="522">
        <f>SUM(R3542:R3551)</f>
        <v>7309.97</v>
      </c>
      <c r="S3552" s="522"/>
      <c r="T3552" s="522"/>
      <c r="U3552" s="522" t="s">
        <v>3753</v>
      </c>
      <c r="V3552" s="522"/>
      <c r="W3552" s="530"/>
      <c r="AB3552" s="522"/>
      <c r="AC3552" s="522"/>
      <c r="AD3552" s="522" t="s">
        <v>4616</v>
      </c>
      <c r="AE3552" s="522"/>
      <c r="AF3552" s="523"/>
    </row>
    <row r="3553" spans="6:33" ht="18.75" customHeight="1">
      <c r="H3553" s="276" t="s">
        <v>5727</v>
      </c>
      <c r="M3553" s="522"/>
      <c r="N3553" s="522"/>
      <c r="O3553" s="522" t="s">
        <v>3215</v>
      </c>
      <c r="P3553" s="522"/>
      <c r="Q3553" s="523"/>
      <c r="R3553" s="522">
        <f>R3552/M3543</f>
        <v>2855.46</v>
      </c>
      <c r="S3553" s="252"/>
      <c r="U3553" s="522" t="s">
        <v>3756</v>
      </c>
      <c r="V3553" s="252">
        <f>1.4*2.025</f>
        <v>2.84</v>
      </c>
      <c r="W3553" s="253"/>
      <c r="AD3553" s="522" t="s">
        <v>4617</v>
      </c>
      <c r="AE3553" s="252">
        <f>0.8*2.325</f>
        <v>1.86</v>
      </c>
      <c r="AF3553" s="296"/>
    </row>
    <row r="3554" spans="6:33" ht="18.75" customHeight="1">
      <c r="H3554" s="296" t="s">
        <v>1138</v>
      </c>
      <c r="Q3554" s="296"/>
      <c r="S3554" s="522">
        <f>V3553</f>
        <v>2.84</v>
      </c>
      <c r="T3554" s="522" t="s">
        <v>606</v>
      </c>
      <c r="U3554" s="522" t="s">
        <v>3624</v>
      </c>
      <c r="V3554" s="522">
        <f>P3526</f>
        <v>2255</v>
      </c>
      <c r="W3554" s="530" t="s">
        <v>606</v>
      </c>
      <c r="X3554" s="522">
        <f>V3554*S3554</f>
        <v>6404.2</v>
      </c>
      <c r="AB3554" s="522">
        <f>AE3553</f>
        <v>1.86</v>
      </c>
      <c r="AC3554" s="522" t="s">
        <v>606</v>
      </c>
      <c r="AD3554" s="522" t="s">
        <v>3624</v>
      </c>
      <c r="AE3554" s="522">
        <f>AE3538</f>
        <v>2255</v>
      </c>
      <c r="AF3554" s="522" t="s">
        <v>606</v>
      </c>
      <c r="AG3554" s="522">
        <f>AE3554*AB3554</f>
        <v>4194.3</v>
      </c>
    </row>
    <row r="3555" spans="6:33" ht="18.75" customHeight="1">
      <c r="H3555" s="296" t="s">
        <v>1139</v>
      </c>
      <c r="M3555" s="375"/>
      <c r="N3555" s="252" t="s">
        <v>2241</v>
      </c>
      <c r="O3555" s="296" t="s">
        <v>2209</v>
      </c>
      <c r="Q3555" s="296"/>
      <c r="S3555" s="522">
        <f>V3553</f>
        <v>2.84</v>
      </c>
      <c r="T3555" s="522" t="s">
        <v>606</v>
      </c>
      <c r="U3555" s="522" t="s">
        <v>3625</v>
      </c>
      <c r="V3555" s="522">
        <f>P3527</f>
        <v>330.2</v>
      </c>
      <c r="W3555" s="530" t="s">
        <v>606</v>
      </c>
      <c r="X3555" s="522">
        <f t="shared" ref="X3555:X3562" si="344">V3555*S3555</f>
        <v>937.77</v>
      </c>
      <c r="AB3555" s="522">
        <f>AE3553</f>
        <v>1.86</v>
      </c>
      <c r="AC3555" s="522" t="s">
        <v>606</v>
      </c>
      <c r="AD3555" s="522" t="s">
        <v>3625</v>
      </c>
      <c r="AE3555" s="522">
        <f t="shared" ref="AE3555:AE3563" si="345">AE3539</f>
        <v>214.1</v>
      </c>
      <c r="AF3555" s="522" t="s">
        <v>606</v>
      </c>
      <c r="AG3555" s="522">
        <f t="shared" ref="AG3555:AG3562" si="346">AE3555*AB3555</f>
        <v>398.23</v>
      </c>
    </row>
    <row r="3556" spans="6:33" ht="18.75" customHeight="1">
      <c r="H3556" s="358" t="s">
        <v>1579</v>
      </c>
      <c r="O3556" s="276" t="s">
        <v>5727</v>
      </c>
      <c r="Q3556" s="296"/>
      <c r="S3556" s="522">
        <v>4</v>
      </c>
      <c r="T3556" s="522" t="s">
        <v>766</v>
      </c>
      <c r="U3556" s="522" t="s">
        <v>3626</v>
      </c>
      <c r="V3556" s="522">
        <f t="shared" ref="V3556:V3563" si="347">V3540</f>
        <v>57.65</v>
      </c>
      <c r="W3556" s="530" t="s">
        <v>766</v>
      </c>
      <c r="X3556" s="522">
        <f t="shared" si="344"/>
        <v>230.6</v>
      </c>
      <c r="AB3556" s="522">
        <v>2</v>
      </c>
      <c r="AC3556" s="522" t="s">
        <v>766</v>
      </c>
      <c r="AD3556" s="522" t="s">
        <v>3626</v>
      </c>
      <c r="AE3556" s="522">
        <f t="shared" si="345"/>
        <v>57.65</v>
      </c>
      <c r="AF3556" s="522" t="s">
        <v>766</v>
      </c>
      <c r="AG3556" s="522">
        <f t="shared" si="346"/>
        <v>115.3</v>
      </c>
    </row>
    <row r="3557" spans="6:33" ht="18.75" customHeight="1">
      <c r="F3557" s="510">
        <v>1</v>
      </c>
      <c r="G3557" s="510" t="s">
        <v>865</v>
      </c>
      <c r="H3557" s="389" t="s">
        <v>4584</v>
      </c>
      <c r="I3557" s="511">
        <v>1672</v>
      </c>
      <c r="J3557" s="312" t="s">
        <v>865</v>
      </c>
      <c r="K3557" s="510">
        <f>(F3557*I3557)</f>
        <v>1672</v>
      </c>
      <c r="O3557" s="296" t="s">
        <v>1138</v>
      </c>
      <c r="Q3557" s="296"/>
      <c r="S3557" s="522">
        <v>6</v>
      </c>
      <c r="T3557" s="522" t="s">
        <v>766</v>
      </c>
      <c r="U3557" s="522" t="s">
        <v>3627</v>
      </c>
      <c r="V3557" s="522">
        <f t="shared" si="347"/>
        <v>89.6</v>
      </c>
      <c r="W3557" s="530" t="s">
        <v>766</v>
      </c>
      <c r="X3557" s="522">
        <f t="shared" si="344"/>
        <v>537.6</v>
      </c>
      <c r="AB3557" s="522">
        <v>4</v>
      </c>
      <c r="AC3557" s="522" t="s">
        <v>766</v>
      </c>
      <c r="AD3557" s="522" t="s">
        <v>3627</v>
      </c>
      <c r="AE3557" s="522">
        <f t="shared" si="345"/>
        <v>89.6</v>
      </c>
      <c r="AF3557" s="522" t="s">
        <v>766</v>
      </c>
      <c r="AG3557" s="522">
        <f t="shared" si="346"/>
        <v>358.4</v>
      </c>
    </row>
    <row r="3558" spans="6:33" ht="18.75" customHeight="1">
      <c r="H3558" s="296"/>
      <c r="O3558" s="296" t="s">
        <v>1139</v>
      </c>
      <c r="Q3558" s="296"/>
      <c r="S3558" s="522">
        <v>4</v>
      </c>
      <c r="T3558" s="522" t="s">
        <v>766</v>
      </c>
      <c r="U3558" s="522" t="s">
        <v>3628</v>
      </c>
      <c r="V3558" s="522">
        <f t="shared" si="347"/>
        <v>64.8</v>
      </c>
      <c r="W3558" s="530" t="s">
        <v>766</v>
      </c>
      <c r="X3558" s="522">
        <f t="shared" si="344"/>
        <v>259.2</v>
      </c>
      <c r="AB3558" s="522">
        <v>2</v>
      </c>
      <c r="AC3558" s="522" t="s">
        <v>766</v>
      </c>
      <c r="AD3558" s="522" t="s">
        <v>3628</v>
      </c>
      <c r="AE3558" s="522">
        <f t="shared" si="345"/>
        <v>64.8</v>
      </c>
      <c r="AF3558" s="522" t="s">
        <v>766</v>
      </c>
      <c r="AG3558" s="522">
        <f t="shared" si="346"/>
        <v>129.6</v>
      </c>
    </row>
    <row r="3559" spans="6:33" ht="18.75" customHeight="1">
      <c r="H3559" s="296"/>
      <c r="J3559" s="253"/>
      <c r="O3559" s="358" t="s">
        <v>1579</v>
      </c>
      <c r="Q3559" s="296"/>
      <c r="S3559" s="522">
        <v>1</v>
      </c>
      <c r="T3559" s="522" t="s">
        <v>766</v>
      </c>
      <c r="U3559" s="522" t="s">
        <v>2445</v>
      </c>
      <c r="V3559" s="522">
        <f t="shared" si="347"/>
        <v>181</v>
      </c>
      <c r="W3559" s="530" t="s">
        <v>766</v>
      </c>
      <c r="X3559" s="522">
        <f t="shared" si="344"/>
        <v>181</v>
      </c>
      <c r="AB3559" s="522">
        <v>1</v>
      </c>
      <c r="AC3559" s="522" t="s">
        <v>766</v>
      </c>
      <c r="AD3559" s="522" t="s">
        <v>2445</v>
      </c>
      <c r="AE3559" s="522">
        <f t="shared" si="345"/>
        <v>181</v>
      </c>
      <c r="AF3559" s="522" t="s">
        <v>766</v>
      </c>
      <c r="AG3559" s="522">
        <f t="shared" si="346"/>
        <v>181</v>
      </c>
    </row>
    <row r="3560" spans="6:33" ht="18.75" customHeight="1">
      <c r="F3560" s="510">
        <v>1</v>
      </c>
      <c r="G3560" s="510" t="s">
        <v>865</v>
      </c>
      <c r="H3560" s="296" t="s">
        <v>2123</v>
      </c>
      <c r="I3560" s="534">
        <f>I1939</f>
        <v>-169</v>
      </c>
      <c r="J3560" s="296" t="s">
        <v>865</v>
      </c>
      <c r="K3560" s="510">
        <f>(F3560*I3560)</f>
        <v>-169</v>
      </c>
      <c r="M3560" s="510">
        <v>1</v>
      </c>
      <c r="N3560" s="510" t="s">
        <v>865</v>
      </c>
      <c r="O3560" s="389" t="s">
        <v>4584</v>
      </c>
      <c r="P3560" s="511">
        <v>1672</v>
      </c>
      <c r="Q3560" s="312" t="s">
        <v>865</v>
      </c>
      <c r="R3560" s="510">
        <f>(M3560*P3560)</f>
        <v>1672</v>
      </c>
      <c r="S3560" s="522">
        <v>118</v>
      </c>
      <c r="T3560" s="522" t="s">
        <v>766</v>
      </c>
      <c r="U3560" s="522" t="s">
        <v>3629</v>
      </c>
      <c r="V3560" s="522">
        <f t="shared" si="347"/>
        <v>2.41</v>
      </c>
      <c r="W3560" s="530" t="s">
        <v>766</v>
      </c>
      <c r="X3560" s="522">
        <f t="shared" si="344"/>
        <v>284.38</v>
      </c>
      <c r="AB3560" s="522">
        <v>92</v>
      </c>
      <c r="AC3560" s="522" t="s">
        <v>766</v>
      </c>
      <c r="AD3560" s="522" t="s">
        <v>3629</v>
      </c>
      <c r="AE3560" s="522">
        <f t="shared" si="345"/>
        <v>2.41</v>
      </c>
      <c r="AF3560" s="522" t="s">
        <v>766</v>
      </c>
      <c r="AG3560" s="522">
        <f t="shared" si="346"/>
        <v>221.72</v>
      </c>
    </row>
    <row r="3561" spans="6:33" ht="18.75" customHeight="1">
      <c r="H3561" s="296"/>
      <c r="J3561" s="253"/>
      <c r="O3561" s="296"/>
      <c r="Q3561" s="296"/>
      <c r="S3561" s="522">
        <v>2</v>
      </c>
      <c r="T3561" s="522" t="s">
        <v>766</v>
      </c>
      <c r="U3561" s="522" t="s">
        <v>3630</v>
      </c>
      <c r="V3561" s="522">
        <f t="shared" si="347"/>
        <v>23.1</v>
      </c>
      <c r="W3561" s="530" t="s">
        <v>766</v>
      </c>
      <c r="X3561" s="522">
        <f t="shared" si="344"/>
        <v>46.2</v>
      </c>
      <c r="AB3561" s="522">
        <v>1</v>
      </c>
      <c r="AC3561" s="522" t="s">
        <v>766</v>
      </c>
      <c r="AD3561" s="522" t="s">
        <v>3630</v>
      </c>
      <c r="AE3561" s="522">
        <f t="shared" si="345"/>
        <v>23.1</v>
      </c>
      <c r="AF3561" s="522" t="s">
        <v>766</v>
      </c>
      <c r="AG3561" s="522">
        <f t="shared" si="346"/>
        <v>23.1</v>
      </c>
    </row>
    <row r="3562" spans="6:33" ht="18.75" customHeight="1">
      <c r="F3562" s="252">
        <v>1</v>
      </c>
      <c r="G3562" s="252" t="s">
        <v>865</v>
      </c>
      <c r="H3562" s="296" t="s">
        <v>2124</v>
      </c>
      <c r="I3562" s="611">
        <v>250</v>
      </c>
      <c r="J3562" s="296" t="s">
        <v>865</v>
      </c>
      <c r="K3562" s="612">
        <f>(F3562*I3562)</f>
        <v>250</v>
      </c>
      <c r="O3562" s="296"/>
      <c r="Q3562" s="253"/>
      <c r="S3562" s="522">
        <v>2</v>
      </c>
      <c r="T3562" s="522" t="s">
        <v>766</v>
      </c>
      <c r="U3562" s="522" t="s">
        <v>3631</v>
      </c>
      <c r="V3562" s="522">
        <f t="shared" si="347"/>
        <v>49.55</v>
      </c>
      <c r="W3562" s="530" t="s">
        <v>766</v>
      </c>
      <c r="X3562" s="522">
        <f t="shared" si="344"/>
        <v>99.1</v>
      </c>
      <c r="AB3562" s="522">
        <v>1</v>
      </c>
      <c r="AC3562" s="522" t="s">
        <v>766</v>
      </c>
      <c r="AD3562" s="522" t="s">
        <v>3631</v>
      </c>
      <c r="AE3562" s="522">
        <f t="shared" si="345"/>
        <v>49.55</v>
      </c>
      <c r="AF3562" s="522" t="s">
        <v>766</v>
      </c>
      <c r="AG3562" s="522">
        <f t="shared" si="346"/>
        <v>49.55</v>
      </c>
    </row>
    <row r="3563" spans="6:33" ht="18.75" customHeight="1">
      <c r="H3563" s="296"/>
      <c r="M3563" s="510">
        <v>1</v>
      </c>
      <c r="N3563" s="510" t="s">
        <v>865</v>
      </c>
      <c r="O3563" s="296" t="s">
        <v>2123</v>
      </c>
      <c r="P3563" s="534">
        <f>I3560</f>
        <v>-169</v>
      </c>
      <c r="Q3563" s="296" t="s">
        <v>865</v>
      </c>
      <c r="R3563" s="510">
        <f>(M3563*P3563)</f>
        <v>-169</v>
      </c>
      <c r="S3563" s="609">
        <v>0.65</v>
      </c>
      <c r="T3563" s="608" t="s">
        <v>606</v>
      </c>
      <c r="U3563" s="608" t="s">
        <v>3750</v>
      </c>
      <c r="V3563" s="522">
        <f t="shared" si="347"/>
        <v>233.74</v>
      </c>
      <c r="W3563" s="610" t="s">
        <v>606</v>
      </c>
      <c r="X3563" s="608"/>
      <c r="AB3563" s="609">
        <v>0.39</v>
      </c>
      <c r="AC3563" s="608" t="s">
        <v>606</v>
      </c>
      <c r="AD3563" s="608" t="s">
        <v>3750</v>
      </c>
      <c r="AE3563" s="522">
        <f t="shared" si="345"/>
        <v>233.74</v>
      </c>
      <c r="AF3563" s="608" t="s">
        <v>606</v>
      </c>
      <c r="AG3563" s="608"/>
    </row>
    <row r="3564" spans="6:33" ht="18.75" customHeight="1">
      <c r="F3564" s="252">
        <v>0.5</v>
      </c>
      <c r="G3564" s="252" t="s">
        <v>865</v>
      </c>
      <c r="H3564" s="296" t="s">
        <v>2094</v>
      </c>
      <c r="I3564" s="252">
        <f>I1943</f>
        <v>866</v>
      </c>
      <c r="J3564" s="296" t="s">
        <v>865</v>
      </c>
      <c r="K3564" s="252">
        <f>(F3564*I3564)</f>
        <v>433</v>
      </c>
      <c r="O3564" s="296"/>
      <c r="Q3564" s="253"/>
      <c r="S3564" s="522"/>
      <c r="T3564" s="522"/>
      <c r="U3564" s="522" t="s">
        <v>3757</v>
      </c>
      <c r="V3564" s="522"/>
      <c r="W3564" s="530"/>
      <c r="X3564" s="522">
        <f>SUM(X3554:X3563)</f>
        <v>8980.0499999999993</v>
      </c>
      <c r="AB3564" s="522"/>
      <c r="AC3564" s="522"/>
      <c r="AD3564" s="522" t="s">
        <v>4618</v>
      </c>
      <c r="AE3564" s="522"/>
      <c r="AF3564" s="523"/>
      <c r="AG3564" s="522">
        <f>SUM(AG3554:AG3563)</f>
        <v>5671.2</v>
      </c>
    </row>
    <row r="3565" spans="6:33" ht="18.75" customHeight="1">
      <c r="F3565" s="252">
        <v>1</v>
      </c>
      <c r="G3565" s="252" t="s">
        <v>865</v>
      </c>
      <c r="H3565" s="296" t="s">
        <v>1893</v>
      </c>
      <c r="I3565" s="252">
        <f>I1944</f>
        <v>651</v>
      </c>
      <c r="J3565" s="296" t="s">
        <v>865</v>
      </c>
      <c r="K3565" s="252">
        <f>(F3565*I3565)</f>
        <v>651</v>
      </c>
      <c r="M3565" s="252">
        <v>1</v>
      </c>
      <c r="N3565" s="252" t="s">
        <v>865</v>
      </c>
      <c r="O3565" s="296" t="s">
        <v>2124</v>
      </c>
      <c r="P3565" s="611">
        <v>250</v>
      </c>
      <c r="Q3565" s="296" t="s">
        <v>865</v>
      </c>
      <c r="R3565" s="612">
        <f>(M3565*P3565)</f>
        <v>250</v>
      </c>
      <c r="S3565" s="522"/>
      <c r="T3565" s="522"/>
      <c r="U3565" s="522" t="s">
        <v>3215</v>
      </c>
      <c r="V3565" s="522"/>
      <c r="W3565" s="530"/>
      <c r="X3565" s="522">
        <f>X3564/S3555</f>
        <v>3161.99</v>
      </c>
      <c r="AB3565" s="522"/>
      <c r="AC3565" s="522"/>
      <c r="AD3565" s="522" t="s">
        <v>3215</v>
      </c>
      <c r="AE3565" s="522"/>
      <c r="AF3565" s="523"/>
      <c r="AG3565" s="522">
        <f>AG3564/AB3555</f>
        <v>3049.03</v>
      </c>
    </row>
    <row r="3566" spans="6:33" ht="18.75" customHeight="1">
      <c r="F3566" s="252">
        <v>0.5</v>
      </c>
      <c r="G3566" s="252" t="s">
        <v>865</v>
      </c>
      <c r="H3566" s="296" t="s">
        <v>2000</v>
      </c>
      <c r="I3566" s="252">
        <f>I1945</f>
        <v>999</v>
      </c>
      <c r="J3566" s="296" t="s">
        <v>865</v>
      </c>
      <c r="K3566" s="252">
        <f>(F3566*I3566)</f>
        <v>499.5</v>
      </c>
      <c r="O3566" s="296"/>
      <c r="Q3566" s="296"/>
      <c r="W3566" s="253"/>
    </row>
    <row r="3567" spans="6:33" ht="18.75" customHeight="1">
      <c r="G3567" s="252" t="s">
        <v>446</v>
      </c>
      <c r="H3567" s="296" t="s">
        <v>1140</v>
      </c>
      <c r="J3567" s="296" t="s">
        <v>446</v>
      </c>
      <c r="K3567" s="252">
        <v>0.82</v>
      </c>
      <c r="M3567" s="252">
        <v>0.5</v>
      </c>
      <c r="N3567" s="252" t="s">
        <v>865</v>
      </c>
      <c r="O3567" s="296" t="s">
        <v>2094</v>
      </c>
      <c r="P3567" s="252">
        <f>I3564</f>
        <v>866</v>
      </c>
      <c r="Q3567" s="296" t="s">
        <v>865</v>
      </c>
      <c r="R3567" s="252">
        <f>(M3567*P3567)</f>
        <v>433</v>
      </c>
      <c r="W3567" s="253"/>
    </row>
    <row r="3568" spans="6:33" ht="18.75" customHeight="1">
      <c r="K3568" s="358" t="s">
        <v>1579</v>
      </c>
      <c r="M3568" s="252">
        <v>1</v>
      </c>
      <c r="N3568" s="252" t="s">
        <v>865</v>
      </c>
      <c r="O3568" s="296" t="s">
        <v>1893</v>
      </c>
      <c r="P3568" s="252">
        <f>I3565</f>
        <v>651</v>
      </c>
      <c r="Q3568" s="296" t="s">
        <v>865</v>
      </c>
      <c r="R3568" s="252">
        <f>(M3568*P3568)</f>
        <v>651</v>
      </c>
      <c r="S3568" s="522"/>
      <c r="T3568" s="522"/>
      <c r="U3568" s="522" t="s">
        <v>3754</v>
      </c>
      <c r="V3568" s="522"/>
      <c r="W3568" s="530"/>
    </row>
    <row r="3569" spans="1:119" ht="18.75" customHeight="1">
      <c r="H3569" s="296" t="s">
        <v>1743</v>
      </c>
      <c r="K3569" s="274">
        <f>SUM(K3557:K3567)</f>
        <v>3337.32</v>
      </c>
      <c r="M3569" s="252">
        <v>0.5</v>
      </c>
      <c r="N3569" s="252" t="s">
        <v>865</v>
      </c>
      <c r="O3569" s="296" t="s">
        <v>2000</v>
      </c>
      <c r="P3569" s="252">
        <f>I3566</f>
        <v>999</v>
      </c>
      <c r="Q3569" s="296" t="s">
        <v>865</v>
      </c>
      <c r="R3569" s="252">
        <f>(M3569*P3569)</f>
        <v>499.5</v>
      </c>
      <c r="S3569" s="252"/>
      <c r="U3569" s="522" t="s">
        <v>3755</v>
      </c>
      <c r="V3569" s="252">
        <f>1.4*2.325</f>
        <v>3.26</v>
      </c>
      <c r="W3569" s="253"/>
    </row>
    <row r="3570" spans="1:119" ht="18.75" customHeight="1">
      <c r="K3570" s="358" t="s">
        <v>1579</v>
      </c>
      <c r="N3570" s="252" t="s">
        <v>446</v>
      </c>
      <c r="O3570" s="296" t="s">
        <v>1140</v>
      </c>
      <c r="Q3570" s="296" t="s">
        <v>446</v>
      </c>
      <c r="R3570" s="252">
        <v>0.82</v>
      </c>
      <c r="S3570" s="522">
        <f>V3569</f>
        <v>3.26</v>
      </c>
      <c r="T3570" s="522" t="s">
        <v>606</v>
      </c>
      <c r="U3570" s="522" t="s">
        <v>3624</v>
      </c>
      <c r="V3570" s="522">
        <f>V3554</f>
        <v>2255</v>
      </c>
      <c r="W3570" s="530" t="s">
        <v>606</v>
      </c>
      <c r="X3570" s="522">
        <f>V3570*S3570</f>
        <v>7351.3</v>
      </c>
    </row>
    <row r="3571" spans="1:119" ht="18.75" customHeight="1">
      <c r="I3571" s="356"/>
      <c r="J3571" s="252"/>
      <c r="Q3571" s="296"/>
      <c r="R3571" s="358" t="s">
        <v>1579</v>
      </c>
      <c r="S3571" s="522">
        <f>V3569</f>
        <v>3.26</v>
      </c>
      <c r="T3571" s="522" t="s">
        <v>606</v>
      </c>
      <c r="U3571" s="522" t="s">
        <v>3625</v>
      </c>
      <c r="V3571" s="522">
        <f t="shared" ref="V3571:V3579" si="348">V3555</f>
        <v>330.2</v>
      </c>
      <c r="W3571" s="530" t="s">
        <v>606</v>
      </c>
      <c r="X3571" s="522">
        <f t="shared" ref="X3571:X3578" si="349">V3571*S3571</f>
        <v>1076.45</v>
      </c>
    </row>
    <row r="3572" spans="1:119" ht="18.75" customHeight="1">
      <c r="H3572" s="613" t="s">
        <v>3718</v>
      </c>
      <c r="I3572" s="356"/>
      <c r="J3572" s="252"/>
      <c r="O3572" s="296" t="s">
        <v>1743</v>
      </c>
      <c r="Q3572" s="296"/>
      <c r="R3572" s="274">
        <f>SUM(R3560:R3570)</f>
        <v>3337.32</v>
      </c>
      <c r="S3572" s="522">
        <v>4</v>
      </c>
      <c r="T3572" s="522" t="s">
        <v>766</v>
      </c>
      <c r="U3572" s="522" t="s">
        <v>3626</v>
      </c>
      <c r="V3572" s="522">
        <f t="shared" si="348"/>
        <v>57.65</v>
      </c>
      <c r="W3572" s="530" t="s">
        <v>766</v>
      </c>
      <c r="X3572" s="522">
        <f t="shared" si="349"/>
        <v>230.6</v>
      </c>
    </row>
    <row r="3573" spans="1:119" ht="18.75" customHeight="1">
      <c r="F3573" s="252">
        <v>70</v>
      </c>
      <c r="G3573" s="252" t="s">
        <v>823</v>
      </c>
      <c r="H3573" s="422" t="s">
        <v>4013</v>
      </c>
      <c r="I3573" s="252">
        <f>P1353</f>
        <v>33</v>
      </c>
      <c r="J3573" s="296" t="s">
        <v>2355</v>
      </c>
      <c r="K3573" s="252">
        <f>I3573*F3573</f>
        <v>2310</v>
      </c>
      <c r="Q3573" s="296"/>
      <c r="R3573" s="358" t="s">
        <v>1579</v>
      </c>
      <c r="S3573" s="522">
        <v>6</v>
      </c>
      <c r="T3573" s="522" t="s">
        <v>766</v>
      </c>
      <c r="U3573" s="522" t="s">
        <v>3627</v>
      </c>
      <c r="V3573" s="522">
        <f t="shared" si="348"/>
        <v>89.6</v>
      </c>
      <c r="W3573" s="530" t="s">
        <v>766</v>
      </c>
      <c r="X3573" s="522">
        <f t="shared" si="349"/>
        <v>537.6</v>
      </c>
    </row>
    <row r="3574" spans="1:119" ht="18.75" customHeight="1">
      <c r="F3574" s="252">
        <v>0.3</v>
      </c>
      <c r="G3574" s="252" t="s">
        <v>1336</v>
      </c>
      <c r="H3574" s="422" t="s">
        <v>4014</v>
      </c>
      <c r="I3574" s="252">
        <f>P1355</f>
        <v>17600</v>
      </c>
      <c r="J3574" s="296" t="s">
        <v>3682</v>
      </c>
      <c r="K3574" s="252">
        <f>I3574*F3574</f>
        <v>5280</v>
      </c>
      <c r="S3574" s="522">
        <v>4</v>
      </c>
      <c r="T3574" s="522" t="s">
        <v>766</v>
      </c>
      <c r="U3574" s="522" t="s">
        <v>3628</v>
      </c>
      <c r="V3574" s="522">
        <f t="shared" si="348"/>
        <v>64.8</v>
      </c>
      <c r="W3574" s="530" t="s">
        <v>766</v>
      </c>
      <c r="X3574" s="522">
        <f t="shared" si="349"/>
        <v>259.2</v>
      </c>
    </row>
    <row r="3575" spans="1:119" ht="18.75" customHeight="1">
      <c r="H3575" s="252" t="s">
        <v>3699</v>
      </c>
      <c r="K3575" s="252">
        <f>SUM(K3573:K3574)</f>
        <v>7590</v>
      </c>
      <c r="S3575" s="522">
        <v>1</v>
      </c>
      <c r="T3575" s="522" t="s">
        <v>766</v>
      </c>
      <c r="U3575" s="522" t="s">
        <v>2445</v>
      </c>
      <c r="V3575" s="522">
        <f t="shared" si="348"/>
        <v>181</v>
      </c>
      <c r="W3575" s="530" t="s">
        <v>766</v>
      </c>
      <c r="X3575" s="522">
        <f t="shared" si="349"/>
        <v>181</v>
      </c>
    </row>
    <row r="3576" spans="1:119" ht="18.75" customHeight="1">
      <c r="H3576" s="274" t="s">
        <v>3700</v>
      </c>
      <c r="I3576" s="274"/>
      <c r="J3576" s="276"/>
      <c r="K3576" s="274">
        <f>K3575/10</f>
        <v>759</v>
      </c>
      <c r="S3576" s="522">
        <v>118</v>
      </c>
      <c r="T3576" s="522" t="s">
        <v>766</v>
      </c>
      <c r="U3576" s="522" t="s">
        <v>3629</v>
      </c>
      <c r="V3576" s="522">
        <f t="shared" si="348"/>
        <v>2.41</v>
      </c>
      <c r="W3576" s="530" t="s">
        <v>766</v>
      </c>
      <c r="X3576" s="522">
        <f t="shared" si="349"/>
        <v>284.38</v>
      </c>
    </row>
    <row r="3577" spans="1:119" ht="18.75" customHeight="1">
      <c r="F3577" s="252">
        <v>1</v>
      </c>
      <c r="G3577" s="252" t="s">
        <v>3701</v>
      </c>
      <c r="H3577" s="252" t="s">
        <v>3702</v>
      </c>
      <c r="I3577" s="252">
        <f>K3576</f>
        <v>759</v>
      </c>
      <c r="J3577" s="296" t="s">
        <v>3701</v>
      </c>
      <c r="K3577" s="252">
        <f>I3577*F3577</f>
        <v>759</v>
      </c>
      <c r="S3577" s="522">
        <v>2</v>
      </c>
      <c r="T3577" s="522" t="s">
        <v>766</v>
      </c>
      <c r="U3577" s="522" t="s">
        <v>3630</v>
      </c>
      <c r="V3577" s="522">
        <f t="shared" si="348"/>
        <v>23.1</v>
      </c>
      <c r="W3577" s="530" t="s">
        <v>766</v>
      </c>
      <c r="X3577" s="522">
        <f t="shared" si="349"/>
        <v>46.2</v>
      </c>
    </row>
    <row r="3578" spans="1:119" ht="18.75" customHeight="1">
      <c r="F3578" s="252">
        <v>2</v>
      </c>
      <c r="G3578" s="252" t="s">
        <v>1427</v>
      </c>
      <c r="H3578" s="422" t="s">
        <v>144</v>
      </c>
      <c r="I3578" s="252">
        <f>I2349</f>
        <v>651</v>
      </c>
      <c r="J3578" s="296" t="s">
        <v>1393</v>
      </c>
      <c r="K3578" s="252">
        <f>I3578*F3578</f>
        <v>1302</v>
      </c>
      <c r="S3578" s="522">
        <v>2</v>
      </c>
      <c r="T3578" s="522" t="s">
        <v>766</v>
      </c>
      <c r="U3578" s="522" t="s">
        <v>3631</v>
      </c>
      <c r="V3578" s="522">
        <f t="shared" si="348"/>
        <v>49.55</v>
      </c>
      <c r="W3578" s="530" t="s">
        <v>766</v>
      </c>
      <c r="X3578" s="522">
        <f t="shared" si="349"/>
        <v>99.1</v>
      </c>
    </row>
    <row r="3579" spans="1:119" ht="18.75" customHeight="1">
      <c r="H3579" s="252" t="s">
        <v>3703</v>
      </c>
      <c r="K3579" s="252">
        <v>10.3</v>
      </c>
      <c r="S3579" s="609">
        <v>0.73</v>
      </c>
      <c r="T3579" s="608" t="s">
        <v>606</v>
      </c>
      <c r="U3579" s="608" t="s">
        <v>3750</v>
      </c>
      <c r="V3579" s="522">
        <f t="shared" si="348"/>
        <v>233.74</v>
      </c>
      <c r="W3579" s="610" t="s">
        <v>606</v>
      </c>
      <c r="X3579" s="608"/>
    </row>
    <row r="3580" spans="1:119" ht="18.75" customHeight="1">
      <c r="H3580" s="252" t="s">
        <v>3705</v>
      </c>
      <c r="K3580" s="252">
        <f>SUM(K3577:K3579)</f>
        <v>2071.3000000000002</v>
      </c>
      <c r="S3580" s="522"/>
      <c r="T3580" s="522"/>
      <c r="U3580" s="522" t="s">
        <v>3743</v>
      </c>
      <c r="V3580" s="522"/>
      <c r="W3580" s="530"/>
      <c r="X3580" s="522">
        <f>SUM(X3570:X3579)</f>
        <v>10065.83</v>
      </c>
    </row>
    <row r="3581" spans="1:119" ht="18.75" customHeight="1">
      <c r="A3581" s="274"/>
      <c r="B3581" s="274"/>
      <c r="C3581" s="274"/>
      <c r="D3581" s="274"/>
      <c r="E3581" s="274"/>
      <c r="F3581" s="274"/>
      <c r="G3581" s="274"/>
      <c r="H3581" s="274" t="s">
        <v>3704</v>
      </c>
      <c r="I3581" s="274"/>
      <c r="J3581" s="276"/>
      <c r="K3581" s="274">
        <f>K3580/6</f>
        <v>345.22</v>
      </c>
      <c r="L3581" s="274"/>
      <c r="M3581" s="274"/>
      <c r="N3581" s="274"/>
      <c r="O3581" s="274"/>
      <c r="P3581" s="274"/>
      <c r="Q3581" s="274"/>
      <c r="R3581" s="274"/>
      <c r="S3581" s="522"/>
      <c r="T3581" s="522"/>
      <c r="U3581" s="522" t="s">
        <v>3215</v>
      </c>
      <c r="V3581" s="522"/>
      <c r="W3581" s="530"/>
      <c r="X3581" s="522">
        <f>X3580/S3571</f>
        <v>3087.68</v>
      </c>
      <c r="Y3581" s="274"/>
      <c r="Z3581" s="274"/>
      <c r="AA3581" s="274"/>
      <c r="AB3581" s="274"/>
      <c r="AC3581" s="274"/>
      <c r="AD3581" s="274"/>
      <c r="AE3581" s="274"/>
      <c r="AF3581" s="274"/>
      <c r="AG3581" s="274"/>
      <c r="AH3581" s="274"/>
      <c r="AI3581" s="274"/>
      <c r="AJ3581" s="274"/>
      <c r="AK3581" s="274"/>
      <c r="AL3581" s="274"/>
      <c r="AM3581" s="274"/>
      <c r="AN3581" s="274"/>
      <c r="AO3581" s="274"/>
      <c r="AP3581" s="274"/>
      <c r="AQ3581" s="274"/>
      <c r="AR3581" s="274"/>
      <c r="AS3581" s="274"/>
      <c r="AT3581" s="274"/>
      <c r="AU3581" s="274"/>
      <c r="AV3581" s="274"/>
      <c r="AW3581" s="274"/>
      <c r="AX3581" s="274"/>
      <c r="AY3581" s="274"/>
      <c r="AZ3581" s="274"/>
      <c r="BA3581" s="274"/>
      <c r="BB3581" s="274"/>
      <c r="BC3581" s="274"/>
      <c r="BD3581" s="274"/>
      <c r="BE3581" s="274"/>
      <c r="BF3581" s="274"/>
      <c r="BG3581" s="274"/>
      <c r="BH3581" s="274"/>
      <c r="BI3581" s="274"/>
      <c r="BJ3581" s="274"/>
      <c r="BK3581" s="274"/>
      <c r="BL3581" s="274"/>
      <c r="BM3581" s="274"/>
      <c r="BN3581" s="274"/>
      <c r="BO3581" s="274"/>
      <c r="BP3581" s="274"/>
      <c r="BQ3581" s="274"/>
      <c r="BR3581" s="274"/>
      <c r="BS3581" s="274"/>
      <c r="BT3581" s="274"/>
      <c r="BU3581" s="274"/>
      <c r="BV3581" s="274"/>
      <c r="BW3581" s="274"/>
      <c r="BX3581" s="274"/>
      <c r="BY3581" s="274"/>
      <c r="BZ3581" s="274"/>
      <c r="CA3581" s="274"/>
      <c r="CB3581" s="274"/>
      <c r="CC3581" s="274"/>
      <c r="CD3581" s="274"/>
      <c r="CE3581" s="274"/>
      <c r="CF3581" s="274"/>
      <c r="CG3581" s="274"/>
      <c r="CH3581" s="274"/>
      <c r="CI3581" s="274"/>
      <c r="CJ3581" s="274"/>
      <c r="CK3581" s="274"/>
      <c r="CL3581" s="274"/>
      <c r="CM3581" s="274"/>
      <c r="CN3581" s="274"/>
      <c r="CO3581" s="274"/>
      <c r="CP3581" s="274"/>
      <c r="CQ3581" s="274"/>
      <c r="CR3581" s="274"/>
      <c r="CS3581" s="274"/>
      <c r="CT3581" s="274"/>
      <c r="CU3581" s="274"/>
      <c r="CV3581" s="274"/>
      <c r="CW3581" s="274"/>
      <c r="CX3581" s="274"/>
      <c r="CY3581" s="274"/>
      <c r="CZ3581" s="274"/>
      <c r="DA3581" s="274"/>
      <c r="DB3581" s="274"/>
      <c r="DC3581" s="274"/>
      <c r="DD3581" s="274"/>
      <c r="DE3581" s="274"/>
      <c r="DF3581" s="274"/>
      <c r="DG3581" s="274"/>
      <c r="DH3581" s="274"/>
      <c r="DI3581" s="274"/>
      <c r="DJ3581" s="274"/>
      <c r="DK3581" s="274"/>
      <c r="DL3581" s="274"/>
      <c r="DM3581" s="274"/>
      <c r="DN3581" s="274"/>
      <c r="DO3581" s="274"/>
    </row>
    <row r="3582" spans="1:119" s="274" customFormat="1" ht="18.75" customHeight="1">
      <c r="A3582" s="252"/>
      <c r="B3582" s="252"/>
      <c r="C3582" s="252"/>
      <c r="D3582" s="252"/>
      <c r="E3582" s="252"/>
      <c r="F3582" s="252"/>
      <c r="G3582" s="252"/>
      <c r="H3582" s="274" t="s">
        <v>3706</v>
      </c>
      <c r="I3582" s="252"/>
      <c r="J3582" s="296"/>
      <c r="K3582" s="252"/>
      <c r="L3582" s="252"/>
      <c r="M3582" s="252"/>
      <c r="N3582" s="252"/>
      <c r="O3582" s="252"/>
      <c r="P3582" s="252"/>
      <c r="Q3582" s="252"/>
      <c r="R3582" s="252"/>
      <c r="S3582" s="356"/>
      <c r="T3582" s="252"/>
      <c r="U3582" s="252"/>
      <c r="V3582" s="252"/>
      <c r="W3582" s="253"/>
      <c r="X3582" s="252"/>
      <c r="Y3582" s="252"/>
      <c r="Z3582" s="252"/>
      <c r="AA3582" s="252"/>
      <c r="AB3582" s="252"/>
      <c r="AC3582" s="252"/>
      <c r="AD3582" s="252"/>
      <c r="AE3582" s="252"/>
      <c r="AF3582" s="252"/>
      <c r="AG3582" s="252"/>
      <c r="AH3582" s="252"/>
      <c r="AI3582" s="252"/>
      <c r="AJ3582" s="252"/>
      <c r="AK3582" s="252"/>
      <c r="AL3582" s="252"/>
      <c r="AM3582" s="252"/>
      <c r="AN3582" s="252"/>
      <c r="AO3582" s="252"/>
      <c r="AP3582" s="252"/>
      <c r="AQ3582" s="252"/>
      <c r="AR3582" s="252"/>
      <c r="AS3582" s="252"/>
      <c r="AT3582" s="252"/>
      <c r="AU3582" s="252"/>
      <c r="AV3582" s="252"/>
      <c r="AW3582" s="252"/>
      <c r="AX3582" s="252"/>
      <c r="AY3582" s="252"/>
      <c r="AZ3582" s="252"/>
      <c r="BA3582" s="252"/>
      <c r="BB3582" s="252"/>
      <c r="BC3582" s="252"/>
      <c r="BD3582" s="252"/>
      <c r="BE3582" s="252"/>
      <c r="BF3582" s="252"/>
      <c r="BG3582" s="252"/>
      <c r="BH3582" s="252"/>
      <c r="BI3582" s="252"/>
      <c r="BJ3582" s="252"/>
      <c r="BK3582" s="252"/>
      <c r="BL3582" s="252"/>
      <c r="BM3582" s="252"/>
      <c r="BN3582" s="252"/>
      <c r="BO3582" s="252"/>
      <c r="BP3582" s="252"/>
      <c r="BQ3582" s="252"/>
      <c r="BR3582" s="252"/>
      <c r="BS3582" s="252"/>
      <c r="BT3582" s="252"/>
      <c r="BU3582" s="252"/>
      <c r="BV3582" s="252"/>
      <c r="BW3582" s="252"/>
      <c r="BX3582" s="252"/>
      <c r="BY3582" s="252"/>
      <c r="BZ3582" s="252"/>
      <c r="CA3582" s="252"/>
      <c r="CB3582" s="252"/>
      <c r="CC3582" s="252"/>
      <c r="CD3582" s="252"/>
      <c r="CE3582" s="252"/>
      <c r="CF3582" s="252"/>
      <c r="CG3582" s="252"/>
      <c r="CH3582" s="252"/>
      <c r="CI3582" s="252"/>
      <c r="CJ3582" s="252"/>
      <c r="CK3582" s="252"/>
      <c r="CL3582" s="252"/>
      <c r="CM3582" s="252"/>
      <c r="CN3582" s="252"/>
      <c r="CO3582" s="252"/>
      <c r="CP3582" s="252"/>
      <c r="CQ3582" s="252"/>
      <c r="CR3582" s="252"/>
      <c r="CS3582" s="252"/>
      <c r="CT3582" s="252"/>
      <c r="CU3582" s="252"/>
      <c r="CV3582" s="252"/>
      <c r="CW3582" s="252"/>
      <c r="CX3582" s="252"/>
      <c r="CY3582" s="252"/>
      <c r="CZ3582" s="252"/>
      <c r="DA3582" s="252"/>
      <c r="DB3582" s="252"/>
      <c r="DC3582" s="252"/>
      <c r="DD3582" s="252"/>
      <c r="DE3582" s="252"/>
      <c r="DF3582" s="252"/>
      <c r="DG3582" s="252"/>
      <c r="DH3582" s="252"/>
      <c r="DI3582" s="252"/>
      <c r="DJ3582" s="252"/>
      <c r="DK3582" s="252"/>
      <c r="DL3582" s="252"/>
      <c r="DM3582" s="252"/>
      <c r="DN3582" s="252"/>
      <c r="DO3582" s="252"/>
    </row>
    <row r="3583" spans="1:119" ht="18.75" customHeight="1">
      <c r="F3583" s="252">
        <v>49</v>
      </c>
      <c r="G3583" s="252" t="s">
        <v>3430</v>
      </c>
      <c r="H3583" s="252" t="s">
        <v>3707</v>
      </c>
      <c r="I3583" s="252">
        <f>I3573</f>
        <v>33</v>
      </c>
      <c r="J3583" s="296" t="s">
        <v>2355</v>
      </c>
      <c r="K3583" s="252">
        <f>F3583*I3583</f>
        <v>1617</v>
      </c>
      <c r="S3583" s="522"/>
      <c r="T3583" s="522"/>
      <c r="U3583" s="522" t="s">
        <v>4069</v>
      </c>
      <c r="V3583" s="522"/>
      <c r="W3583" s="530"/>
    </row>
    <row r="3584" spans="1:119" ht="18.75" customHeight="1">
      <c r="F3584" s="252">
        <v>0.3</v>
      </c>
      <c r="G3584" s="252" t="s">
        <v>1336</v>
      </c>
      <c r="H3584" s="252" t="s">
        <v>3708</v>
      </c>
      <c r="I3584" s="252">
        <f>I3574</f>
        <v>17600</v>
      </c>
      <c r="J3584" s="296" t="s">
        <v>1336</v>
      </c>
      <c r="K3584" s="252">
        <f>F3584*I3584</f>
        <v>5280</v>
      </c>
      <c r="S3584" s="252"/>
      <c r="U3584" s="481" t="s">
        <v>4070</v>
      </c>
      <c r="V3584" s="522">
        <f>1.7*2.325</f>
        <v>3.95</v>
      </c>
      <c r="W3584" s="253"/>
    </row>
    <row r="3585" spans="1:119" ht="18.75" customHeight="1">
      <c r="H3585" s="274" t="s">
        <v>3709</v>
      </c>
      <c r="K3585" s="274">
        <f>SUM(K3583:K3584)</f>
        <v>6897</v>
      </c>
      <c r="S3585" s="522">
        <f>V3584</f>
        <v>3.95</v>
      </c>
      <c r="T3585" s="522" t="s">
        <v>606</v>
      </c>
      <c r="U3585" s="522" t="s">
        <v>3624</v>
      </c>
      <c r="V3585" s="522">
        <f>V3570</f>
        <v>2255</v>
      </c>
      <c r="W3585" s="530" t="s">
        <v>606</v>
      </c>
      <c r="X3585" s="522">
        <f>V3585*S3585</f>
        <v>8907.25</v>
      </c>
    </row>
    <row r="3586" spans="1:119" ht="18.75" customHeight="1">
      <c r="H3586" s="274" t="s">
        <v>3700</v>
      </c>
      <c r="K3586" s="274">
        <f>K3585/10</f>
        <v>689.7</v>
      </c>
      <c r="S3586" s="522">
        <f>S3585</f>
        <v>3.95</v>
      </c>
      <c r="T3586" s="522" t="s">
        <v>606</v>
      </c>
      <c r="U3586" s="522" t="s">
        <v>3625</v>
      </c>
      <c r="V3586" s="522">
        <f t="shared" ref="V3586:V3593" si="350">V3571</f>
        <v>330.2</v>
      </c>
      <c r="W3586" s="530" t="s">
        <v>606</v>
      </c>
      <c r="X3586" s="522">
        <f t="shared" ref="X3586:X3593" si="351">V3586*S3586</f>
        <v>1304.29</v>
      </c>
    </row>
    <row r="3587" spans="1:119" ht="18.75" customHeight="1">
      <c r="F3587" s="252">
        <v>2</v>
      </c>
      <c r="G3587" s="252" t="s">
        <v>255</v>
      </c>
      <c r="H3587" s="252" t="s">
        <v>144</v>
      </c>
      <c r="I3587" s="252">
        <f>I3578</f>
        <v>651</v>
      </c>
      <c r="J3587" s="296" t="s">
        <v>255</v>
      </c>
      <c r="K3587" s="252">
        <f>F3587*I3587</f>
        <v>1302</v>
      </c>
      <c r="S3587" s="522">
        <v>4</v>
      </c>
      <c r="T3587" s="522" t="s">
        <v>766</v>
      </c>
      <c r="U3587" s="522" t="s">
        <v>3626</v>
      </c>
      <c r="V3587" s="522">
        <f t="shared" si="350"/>
        <v>57.65</v>
      </c>
      <c r="W3587" s="530" t="s">
        <v>766</v>
      </c>
      <c r="X3587" s="522">
        <f t="shared" si="351"/>
        <v>230.6</v>
      </c>
    </row>
    <row r="3588" spans="1:119" ht="18.75" customHeight="1">
      <c r="H3588" s="252" t="s">
        <v>3710</v>
      </c>
      <c r="K3588" s="252">
        <v>4.3499999999999996</v>
      </c>
      <c r="S3588" s="522">
        <v>8</v>
      </c>
      <c r="T3588" s="522" t="s">
        <v>766</v>
      </c>
      <c r="U3588" s="522" t="s">
        <v>3627</v>
      </c>
      <c r="V3588" s="522">
        <f t="shared" si="350"/>
        <v>89.6</v>
      </c>
      <c r="W3588" s="530" t="s">
        <v>766</v>
      </c>
      <c r="X3588" s="522">
        <f t="shared" si="351"/>
        <v>716.8</v>
      </c>
    </row>
    <row r="3589" spans="1:119" ht="18.75" customHeight="1">
      <c r="H3589" s="252" t="s">
        <v>3711</v>
      </c>
      <c r="K3589" s="252">
        <f>SUM(K3586:K3588)</f>
        <v>1996.05</v>
      </c>
      <c r="S3589" s="522">
        <v>4</v>
      </c>
      <c r="T3589" s="522" t="s">
        <v>766</v>
      </c>
      <c r="U3589" s="522" t="s">
        <v>3628</v>
      </c>
      <c r="V3589" s="522">
        <f t="shared" si="350"/>
        <v>64.8</v>
      </c>
      <c r="W3589" s="530" t="s">
        <v>766</v>
      </c>
      <c r="X3589" s="522">
        <f t="shared" si="351"/>
        <v>259.2</v>
      </c>
    </row>
    <row r="3590" spans="1:119" ht="18.75" customHeight="1">
      <c r="H3590" s="274" t="s">
        <v>3712</v>
      </c>
      <c r="I3590" s="274"/>
      <c r="J3590" s="276"/>
      <c r="K3590" s="274">
        <f>K3589/6</f>
        <v>332.68</v>
      </c>
      <c r="S3590" s="522">
        <v>1</v>
      </c>
      <c r="T3590" s="522" t="s">
        <v>766</v>
      </c>
      <c r="U3590" s="522" t="s">
        <v>2445</v>
      </c>
      <c r="V3590" s="522">
        <f t="shared" si="350"/>
        <v>181</v>
      </c>
      <c r="W3590" s="530" t="s">
        <v>766</v>
      </c>
      <c r="X3590" s="522">
        <f t="shared" si="351"/>
        <v>181</v>
      </c>
    </row>
    <row r="3591" spans="1:119" ht="18.75" customHeight="1">
      <c r="A3591" s="274"/>
      <c r="B3591" s="274"/>
      <c r="C3591" s="274"/>
      <c r="D3591" s="274"/>
      <c r="E3591" s="274"/>
      <c r="F3591" s="274"/>
      <c r="G3591" s="274"/>
      <c r="H3591" s="252" t="s">
        <v>3713</v>
      </c>
      <c r="K3591" s="252">
        <f>K3581</f>
        <v>345.22</v>
      </c>
      <c r="L3591" s="274"/>
      <c r="M3591" s="274"/>
      <c r="N3591" s="274"/>
      <c r="O3591" s="274"/>
      <c r="P3591" s="274"/>
      <c r="Q3591" s="274"/>
      <c r="R3591" s="274"/>
      <c r="S3591" s="522">
        <v>118</v>
      </c>
      <c r="T3591" s="522" t="s">
        <v>766</v>
      </c>
      <c r="U3591" s="522" t="s">
        <v>3629</v>
      </c>
      <c r="V3591" s="522">
        <f t="shared" si="350"/>
        <v>2.41</v>
      </c>
      <c r="W3591" s="530" t="s">
        <v>766</v>
      </c>
      <c r="X3591" s="522">
        <f t="shared" si="351"/>
        <v>284.38</v>
      </c>
      <c r="Z3591" s="274"/>
      <c r="AA3591" s="274"/>
      <c r="AB3591" s="274"/>
      <c r="AC3591" s="274"/>
      <c r="AD3591" s="274"/>
      <c r="AE3591" s="274"/>
      <c r="AF3591" s="274"/>
      <c r="AG3591" s="274"/>
      <c r="AH3591" s="274"/>
      <c r="AI3591" s="274"/>
      <c r="AJ3591" s="274"/>
      <c r="AK3591" s="274"/>
      <c r="AL3591" s="274"/>
      <c r="AM3591" s="274"/>
      <c r="AN3591" s="274"/>
      <c r="AO3591" s="274"/>
      <c r="AP3591" s="274"/>
      <c r="AQ3591" s="274"/>
      <c r="AR3591" s="274"/>
      <c r="AS3591" s="274"/>
      <c r="AT3591" s="274"/>
      <c r="AU3591" s="274"/>
      <c r="AV3591" s="274"/>
      <c r="AW3591" s="274"/>
      <c r="AX3591" s="274"/>
      <c r="AY3591" s="274"/>
      <c r="AZ3591" s="274"/>
      <c r="BA3591" s="274"/>
      <c r="BB3591" s="274"/>
      <c r="BC3591" s="274"/>
      <c r="BD3591" s="274"/>
      <c r="BE3591" s="274"/>
      <c r="BF3591" s="274"/>
      <c r="BG3591" s="274"/>
      <c r="BH3591" s="274"/>
      <c r="BI3591" s="274"/>
      <c r="BJ3591" s="274"/>
      <c r="BK3591" s="274"/>
      <c r="BL3591" s="274"/>
      <c r="BM3591" s="274"/>
      <c r="BN3591" s="274"/>
      <c r="BO3591" s="274"/>
      <c r="BP3591" s="274"/>
      <c r="BQ3591" s="274"/>
      <c r="BR3591" s="274"/>
      <c r="BS3591" s="274"/>
      <c r="BT3591" s="274"/>
      <c r="BU3591" s="274"/>
      <c r="BV3591" s="274"/>
      <c r="BW3591" s="274"/>
      <c r="BX3591" s="274"/>
      <c r="BY3591" s="274"/>
      <c r="BZ3591" s="274"/>
      <c r="CA3591" s="274"/>
      <c r="CB3591" s="274"/>
      <c r="CC3591" s="274"/>
      <c r="CD3591" s="274"/>
      <c r="CE3591" s="274"/>
      <c r="CF3591" s="274"/>
      <c r="CG3591" s="274"/>
      <c r="CH3591" s="274"/>
      <c r="CI3591" s="274"/>
      <c r="CJ3591" s="274"/>
      <c r="CK3591" s="274"/>
      <c r="CL3591" s="274"/>
      <c r="CM3591" s="274"/>
      <c r="CN3591" s="274"/>
      <c r="CO3591" s="274"/>
      <c r="CP3591" s="274"/>
      <c r="CQ3591" s="274"/>
      <c r="CR3591" s="274"/>
      <c r="CS3591" s="274"/>
      <c r="CT3591" s="274"/>
      <c r="CU3591" s="274"/>
      <c r="CV3591" s="274"/>
      <c r="CW3591" s="274"/>
      <c r="CX3591" s="274"/>
      <c r="CY3591" s="274"/>
      <c r="CZ3591" s="274"/>
      <c r="DA3591" s="274"/>
      <c r="DB3591" s="274"/>
      <c r="DC3591" s="274"/>
      <c r="DD3591" s="274"/>
      <c r="DE3591" s="274"/>
      <c r="DF3591" s="274"/>
      <c r="DG3591" s="274"/>
      <c r="DH3591" s="274"/>
      <c r="DI3591" s="274"/>
      <c r="DJ3591" s="274"/>
      <c r="DK3591" s="274"/>
      <c r="DL3591" s="274"/>
      <c r="DM3591" s="274"/>
      <c r="DN3591" s="274"/>
      <c r="DO3591" s="274"/>
    </row>
    <row r="3592" spans="1:119" s="274" customFormat="1" ht="18.75" customHeight="1">
      <c r="H3592" s="252" t="s">
        <v>3714</v>
      </c>
      <c r="I3592" s="252">
        <f>K3591</f>
        <v>345.22</v>
      </c>
      <c r="J3592" s="296">
        <f>K3590</f>
        <v>332.68</v>
      </c>
      <c r="K3592" s="252">
        <f>SUM(I3592:J3592)</f>
        <v>677.9</v>
      </c>
      <c r="S3592" s="522">
        <v>2</v>
      </c>
      <c r="T3592" s="522" t="s">
        <v>766</v>
      </c>
      <c r="U3592" s="522" t="s">
        <v>3630</v>
      </c>
      <c r="V3592" s="522">
        <f t="shared" si="350"/>
        <v>23.1</v>
      </c>
      <c r="W3592" s="530" t="s">
        <v>766</v>
      </c>
      <c r="X3592" s="522">
        <f t="shared" si="351"/>
        <v>46.2</v>
      </c>
      <c r="Y3592" s="252"/>
    </row>
    <row r="3593" spans="1:119" s="274" customFormat="1" ht="18.75" customHeight="1">
      <c r="H3593" s="252" t="s">
        <v>3715</v>
      </c>
      <c r="I3593" s="252">
        <f>K3592</f>
        <v>677.9</v>
      </c>
      <c r="J3593" s="296">
        <f>J3592</f>
        <v>332.68</v>
      </c>
      <c r="K3593" s="252">
        <f>SUM(I3593:J3593)</f>
        <v>1010.58</v>
      </c>
      <c r="S3593" s="522">
        <v>2</v>
      </c>
      <c r="T3593" s="522" t="s">
        <v>766</v>
      </c>
      <c r="U3593" s="522" t="s">
        <v>3631</v>
      </c>
      <c r="V3593" s="522">
        <f t="shared" si="350"/>
        <v>49.55</v>
      </c>
      <c r="W3593" s="530" t="s">
        <v>766</v>
      </c>
      <c r="X3593" s="522">
        <f t="shared" si="351"/>
        <v>99.1</v>
      </c>
      <c r="Y3593" s="252"/>
    </row>
    <row r="3594" spans="1:119" s="274" customFormat="1" ht="18.75" customHeight="1">
      <c r="H3594" s="252" t="s">
        <v>3716</v>
      </c>
      <c r="I3594" s="252">
        <f>K3593</f>
        <v>1010.58</v>
      </c>
      <c r="J3594" s="296">
        <f>J3593</f>
        <v>332.68</v>
      </c>
      <c r="K3594" s="252">
        <f>SUM(I3594:J3594)</f>
        <v>1343.26</v>
      </c>
      <c r="S3594" s="526"/>
      <c r="T3594" s="522"/>
      <c r="U3594" s="522"/>
      <c r="V3594" s="522"/>
      <c r="W3594" s="530" t="s">
        <v>606</v>
      </c>
      <c r="X3594" s="522">
        <f>V3594*S3594</f>
        <v>0</v>
      </c>
      <c r="Y3594" s="252"/>
    </row>
    <row r="3595" spans="1:119" s="274" customFormat="1" ht="18.75" customHeight="1">
      <c r="H3595" s="252" t="s">
        <v>3717</v>
      </c>
      <c r="I3595" s="252">
        <f>K3594</f>
        <v>1343.26</v>
      </c>
      <c r="J3595" s="296">
        <f>J3594</f>
        <v>332.68</v>
      </c>
      <c r="K3595" s="252">
        <f>SUM(I3595:J3595)</f>
        <v>1675.94</v>
      </c>
      <c r="S3595" s="522"/>
      <c r="T3595" s="522"/>
      <c r="U3595" s="522" t="s">
        <v>4071</v>
      </c>
      <c r="V3595" s="522"/>
      <c r="W3595" s="530"/>
      <c r="X3595" s="522">
        <f>SUM(X3585:X3594)</f>
        <v>12028.82</v>
      </c>
      <c r="Y3595" s="252"/>
    </row>
    <row r="3596" spans="1:119" s="274" customFormat="1" ht="18.75" customHeight="1">
      <c r="A3596" s="252"/>
      <c r="B3596" s="252"/>
      <c r="C3596" s="252"/>
      <c r="D3596" s="252"/>
      <c r="E3596" s="252"/>
      <c r="F3596" s="252"/>
      <c r="G3596" s="252"/>
      <c r="H3596" s="252"/>
      <c r="I3596" s="252"/>
      <c r="J3596" s="296"/>
      <c r="K3596" s="252"/>
      <c r="L3596" s="252"/>
      <c r="M3596" s="252"/>
      <c r="N3596" s="252"/>
      <c r="O3596" s="252"/>
      <c r="P3596" s="252"/>
      <c r="Q3596" s="252"/>
      <c r="R3596" s="252"/>
      <c r="S3596" s="522"/>
      <c r="T3596" s="522"/>
      <c r="U3596" s="522" t="s">
        <v>3215</v>
      </c>
      <c r="V3596" s="522"/>
      <c r="W3596" s="530"/>
      <c r="X3596" s="522">
        <f>X3595/S3586</f>
        <v>3045.27</v>
      </c>
      <c r="Y3596" s="252">
        <f>[13]Data!X3597</f>
        <v>213.6</v>
      </c>
      <c r="Z3596" s="252"/>
      <c r="AA3596" s="252"/>
      <c r="AB3596" s="252"/>
      <c r="AC3596" s="252"/>
      <c r="AD3596" s="252"/>
      <c r="AE3596" s="252"/>
      <c r="AF3596" s="252"/>
      <c r="AG3596" s="252"/>
      <c r="AH3596" s="252"/>
      <c r="AI3596" s="252"/>
      <c r="AJ3596" s="252"/>
      <c r="AK3596" s="252"/>
      <c r="AL3596" s="252"/>
      <c r="AM3596" s="252"/>
      <c r="AN3596" s="252"/>
      <c r="AO3596" s="252"/>
      <c r="AP3596" s="252"/>
      <c r="AQ3596" s="252"/>
      <c r="AR3596" s="252"/>
      <c r="AS3596" s="252"/>
      <c r="AT3596" s="252"/>
      <c r="AU3596" s="252"/>
      <c r="AV3596" s="252"/>
      <c r="AW3596" s="252"/>
      <c r="AX3596" s="252"/>
      <c r="AY3596" s="252"/>
      <c r="AZ3596" s="252"/>
      <c r="BA3596" s="252"/>
      <c r="BB3596" s="252"/>
      <c r="BC3596" s="252"/>
      <c r="BD3596" s="252"/>
      <c r="BE3596" s="252"/>
      <c r="BF3596" s="252"/>
      <c r="BG3596" s="252"/>
      <c r="BH3596" s="252"/>
      <c r="BI3596" s="252"/>
      <c r="BJ3596" s="252"/>
      <c r="BK3596" s="252"/>
      <c r="BL3596" s="252"/>
      <c r="BM3596" s="252"/>
      <c r="BN3596" s="252"/>
      <c r="BO3596" s="252"/>
      <c r="BP3596" s="252"/>
      <c r="BQ3596" s="252"/>
      <c r="BR3596" s="252"/>
      <c r="BS3596" s="252"/>
      <c r="BT3596" s="252"/>
      <c r="BU3596" s="252"/>
      <c r="BV3596" s="252"/>
      <c r="BW3596" s="252"/>
      <c r="BX3596" s="252"/>
      <c r="BY3596" s="252"/>
      <c r="BZ3596" s="252"/>
      <c r="CA3596" s="252"/>
      <c r="CB3596" s="252"/>
      <c r="CC3596" s="252"/>
      <c r="CD3596" s="252"/>
      <c r="CE3596" s="252"/>
      <c r="CF3596" s="252"/>
      <c r="CG3596" s="252"/>
      <c r="CH3596" s="252"/>
      <c r="CI3596" s="252"/>
      <c r="CJ3596" s="252"/>
      <c r="CK3596" s="252"/>
      <c r="CL3596" s="252"/>
      <c r="CM3596" s="252"/>
      <c r="CN3596" s="252"/>
      <c r="CO3596" s="252"/>
      <c r="CP3596" s="252"/>
      <c r="CQ3596" s="252"/>
      <c r="CR3596" s="252"/>
      <c r="CS3596" s="252"/>
      <c r="CT3596" s="252"/>
      <c r="CU3596" s="252"/>
      <c r="CV3596" s="252"/>
      <c r="CW3596" s="252"/>
      <c r="CX3596" s="252"/>
      <c r="CY3596" s="252"/>
      <c r="CZ3596" s="252"/>
      <c r="DA3596" s="252"/>
      <c r="DB3596" s="252"/>
      <c r="DC3596" s="252"/>
      <c r="DD3596" s="252"/>
      <c r="DE3596" s="252"/>
      <c r="DF3596" s="252"/>
      <c r="DG3596" s="252"/>
      <c r="DH3596" s="252"/>
      <c r="DI3596" s="252"/>
      <c r="DJ3596" s="252"/>
      <c r="DK3596" s="252"/>
      <c r="DL3596" s="252"/>
      <c r="DM3596" s="252"/>
      <c r="DN3596" s="252"/>
      <c r="DO3596" s="252"/>
    </row>
    <row r="3597" spans="1:119" ht="18.75" customHeight="1">
      <c r="F3597" s="253"/>
      <c r="G3597" s="252" t="s">
        <v>2241</v>
      </c>
      <c r="H3597" s="276" t="s">
        <v>3802</v>
      </c>
      <c r="L3597" s="296"/>
      <c r="S3597" s="252"/>
      <c r="U3597" s="522"/>
      <c r="W3597" s="253"/>
      <c r="X3597" s="522"/>
    </row>
    <row r="3598" spans="1:119" ht="18.75" customHeight="1">
      <c r="H3598" s="276" t="s">
        <v>3803</v>
      </c>
      <c r="L3598" s="296"/>
      <c r="W3598" s="253"/>
    </row>
    <row r="3599" spans="1:119" ht="18.75" customHeight="1">
      <c r="H3599" s="358" t="s">
        <v>1579</v>
      </c>
      <c r="L3599" s="296"/>
      <c r="W3599" s="253"/>
    </row>
    <row r="3600" spans="1:119" ht="18.75" customHeight="1">
      <c r="F3600" s="447">
        <v>7.0699999999999999E-2</v>
      </c>
      <c r="G3600" s="252" t="s">
        <v>1336</v>
      </c>
      <c r="H3600" s="296" t="s">
        <v>1337</v>
      </c>
      <c r="I3600" s="252">
        <f>I2814</f>
        <v>99400</v>
      </c>
      <c r="J3600" s="296" t="s">
        <v>866</v>
      </c>
      <c r="K3600" s="252">
        <f t="shared" ref="K3600:K3608" si="352">(F3600*I3600)</f>
        <v>7027.58</v>
      </c>
      <c r="L3600" s="296"/>
      <c r="S3600" s="522"/>
      <c r="T3600" s="522"/>
      <c r="U3600" s="522" t="s">
        <v>4072</v>
      </c>
      <c r="V3600" s="522"/>
      <c r="W3600" s="530"/>
    </row>
    <row r="3601" spans="6:29" ht="18.75" customHeight="1">
      <c r="F3601" s="447">
        <v>5.16</v>
      </c>
      <c r="G3601" s="252" t="s">
        <v>606</v>
      </c>
      <c r="H3601" s="296" t="s">
        <v>3804</v>
      </c>
      <c r="I3601" s="252">
        <f>AE57</f>
        <v>1547</v>
      </c>
      <c r="J3601" s="296" t="s">
        <v>866</v>
      </c>
      <c r="K3601" s="252">
        <f t="shared" si="352"/>
        <v>7982.52</v>
      </c>
      <c r="L3601" s="296"/>
      <c r="S3601" s="252"/>
      <c r="U3601" s="481" t="s">
        <v>4073</v>
      </c>
      <c r="V3601" s="522">
        <f>1.7*2.025</f>
        <v>3.44</v>
      </c>
      <c r="W3601" s="253"/>
    </row>
    <row r="3602" spans="6:29" ht="18.75" customHeight="1">
      <c r="F3602" s="447">
        <v>3.6659999999999999</v>
      </c>
      <c r="G3602" s="252" t="s">
        <v>606</v>
      </c>
      <c r="H3602" s="296" t="s">
        <v>3805</v>
      </c>
      <c r="I3602" s="252">
        <f>P1395</f>
        <v>306.89999999999998</v>
      </c>
      <c r="J3602" s="296" t="s">
        <v>606</v>
      </c>
      <c r="K3602" s="252">
        <f t="shared" si="352"/>
        <v>1125.0999999999999</v>
      </c>
      <c r="L3602" s="296"/>
      <c r="S3602" s="522">
        <f>V3601</f>
        <v>3.44</v>
      </c>
      <c r="T3602" s="522" t="s">
        <v>606</v>
      </c>
      <c r="U3602" s="522" t="s">
        <v>3624</v>
      </c>
      <c r="V3602" s="522">
        <f>V3585</f>
        <v>2255</v>
      </c>
      <c r="W3602" s="530" t="s">
        <v>606</v>
      </c>
      <c r="X3602" s="522">
        <f>V3602*S3602</f>
        <v>7757.2</v>
      </c>
    </row>
    <row r="3603" spans="6:29" ht="18.75" customHeight="1">
      <c r="F3603" s="252">
        <v>22.66</v>
      </c>
      <c r="G3603" s="252" t="s">
        <v>823</v>
      </c>
      <c r="H3603" s="296" t="s">
        <v>5475</v>
      </c>
      <c r="I3603" s="362">
        <v>15.45</v>
      </c>
      <c r="J3603" s="252" t="s">
        <v>823</v>
      </c>
      <c r="K3603" s="252">
        <f t="shared" si="352"/>
        <v>350.1</v>
      </c>
      <c r="L3603" s="296"/>
      <c r="S3603" s="522">
        <f>S3602</f>
        <v>3.44</v>
      </c>
      <c r="T3603" s="522" t="s">
        <v>606</v>
      </c>
      <c r="U3603" s="522" t="s">
        <v>3625</v>
      </c>
      <c r="V3603" s="522">
        <f t="shared" ref="V3603:V3610" si="353">V3586</f>
        <v>330.2</v>
      </c>
      <c r="W3603" s="530" t="s">
        <v>606</v>
      </c>
      <c r="X3603" s="522">
        <f t="shared" ref="X3603:X3610" si="354">V3603*S3603</f>
        <v>1135.8900000000001</v>
      </c>
    </row>
    <row r="3604" spans="6:29" ht="18.75" customHeight="1">
      <c r="F3604" s="252">
        <v>15</v>
      </c>
      <c r="G3604" s="252" t="s">
        <v>865</v>
      </c>
      <c r="H3604" s="296" t="s">
        <v>1510</v>
      </c>
      <c r="I3604" s="252">
        <f>C279</f>
        <v>89.6</v>
      </c>
      <c r="J3604" s="296" t="s">
        <v>865</v>
      </c>
      <c r="K3604" s="252">
        <f>(F3603*I3604)</f>
        <v>2030.34</v>
      </c>
      <c r="L3604" s="296"/>
      <c r="S3604" s="522">
        <v>4</v>
      </c>
      <c r="T3604" s="522" t="s">
        <v>766</v>
      </c>
      <c r="U3604" s="522" t="s">
        <v>3626</v>
      </c>
      <c r="V3604" s="522">
        <f t="shared" si="353"/>
        <v>57.65</v>
      </c>
      <c r="W3604" s="530" t="s">
        <v>766</v>
      </c>
      <c r="X3604" s="522">
        <f t="shared" si="354"/>
        <v>230.6</v>
      </c>
    </row>
    <row r="3605" spans="6:29" ht="18.75" customHeight="1">
      <c r="F3605" s="252">
        <v>10</v>
      </c>
      <c r="G3605" s="252" t="s">
        <v>865</v>
      </c>
      <c r="H3605" s="296" t="s">
        <v>5476</v>
      </c>
      <c r="I3605" s="362">
        <v>82.25</v>
      </c>
      <c r="J3605" s="296" t="s">
        <v>865</v>
      </c>
      <c r="K3605" s="252">
        <f>(F3604*I3605)</f>
        <v>1233.75</v>
      </c>
      <c r="L3605" s="296"/>
      <c r="S3605" s="522">
        <v>6</v>
      </c>
      <c r="T3605" s="522" t="s">
        <v>766</v>
      </c>
      <c r="U3605" s="522" t="s">
        <v>3627</v>
      </c>
      <c r="V3605" s="522">
        <f t="shared" si="353"/>
        <v>89.6</v>
      </c>
      <c r="W3605" s="530" t="s">
        <v>766</v>
      </c>
      <c r="X3605" s="522">
        <f t="shared" si="354"/>
        <v>537.6</v>
      </c>
    </row>
    <row r="3606" spans="6:29" ht="18.75" customHeight="1">
      <c r="F3606" s="252">
        <v>5</v>
      </c>
      <c r="G3606" s="252" t="s">
        <v>865</v>
      </c>
      <c r="H3606" s="296" t="s">
        <v>3806</v>
      </c>
      <c r="I3606" s="362">
        <v>57.65</v>
      </c>
      <c r="J3606" s="296" t="s">
        <v>865</v>
      </c>
      <c r="K3606" s="252">
        <f>(F3607*I3606)</f>
        <v>288.25</v>
      </c>
      <c r="L3606" s="296"/>
      <c r="S3606" s="522">
        <v>4</v>
      </c>
      <c r="T3606" s="522" t="s">
        <v>766</v>
      </c>
      <c r="U3606" s="522" t="s">
        <v>3628</v>
      </c>
      <c r="V3606" s="522">
        <f t="shared" si="353"/>
        <v>64.8</v>
      </c>
      <c r="W3606" s="530" t="s">
        <v>766</v>
      </c>
      <c r="X3606" s="522">
        <f t="shared" si="354"/>
        <v>259.2</v>
      </c>
    </row>
    <row r="3607" spans="6:29" ht="18.75" customHeight="1">
      <c r="F3607" s="252">
        <v>5</v>
      </c>
      <c r="G3607" s="252" t="s">
        <v>865</v>
      </c>
      <c r="H3607" s="296" t="s">
        <v>2099</v>
      </c>
      <c r="I3607" s="314">
        <v>7.3</v>
      </c>
      <c r="J3607" s="296" t="s">
        <v>865</v>
      </c>
      <c r="K3607" s="252">
        <f>(F3605*I3607)</f>
        <v>73</v>
      </c>
      <c r="L3607" s="296"/>
      <c r="S3607" s="522">
        <v>1</v>
      </c>
      <c r="T3607" s="522" t="s">
        <v>766</v>
      </c>
      <c r="U3607" s="522" t="s">
        <v>2445</v>
      </c>
      <c r="V3607" s="522">
        <f t="shared" si="353"/>
        <v>181</v>
      </c>
      <c r="W3607" s="530" t="s">
        <v>766</v>
      </c>
      <c r="X3607" s="522">
        <f t="shared" si="354"/>
        <v>181</v>
      </c>
    </row>
    <row r="3608" spans="6:29" ht="18.75" customHeight="1">
      <c r="F3608" s="252">
        <v>10</v>
      </c>
      <c r="H3608" s="296" t="s">
        <v>1137</v>
      </c>
      <c r="I3608" s="252">
        <f>I3430</f>
        <v>2.41</v>
      </c>
      <c r="J3608" s="296" t="s">
        <v>865</v>
      </c>
      <c r="K3608" s="252">
        <f t="shared" si="352"/>
        <v>24.1</v>
      </c>
      <c r="L3608" s="296"/>
      <c r="S3608" s="522">
        <v>118</v>
      </c>
      <c r="T3608" s="522" t="s">
        <v>766</v>
      </c>
      <c r="U3608" s="522" t="s">
        <v>3629</v>
      </c>
      <c r="V3608" s="522">
        <f t="shared" si="353"/>
        <v>2.41</v>
      </c>
      <c r="W3608" s="530" t="s">
        <v>766</v>
      </c>
      <c r="X3608" s="522">
        <f t="shared" si="354"/>
        <v>284.38</v>
      </c>
    </row>
    <row r="3609" spans="6:29" ht="18.75" customHeight="1">
      <c r="K3609" s="358" t="s">
        <v>1579</v>
      </c>
      <c r="L3609" s="296"/>
      <c r="S3609" s="522">
        <v>2</v>
      </c>
      <c r="T3609" s="522" t="s">
        <v>766</v>
      </c>
      <c r="U3609" s="522" t="s">
        <v>3630</v>
      </c>
      <c r="V3609" s="522">
        <f t="shared" si="353"/>
        <v>23.1</v>
      </c>
      <c r="W3609" s="530" t="s">
        <v>766</v>
      </c>
      <c r="X3609" s="522">
        <f t="shared" si="354"/>
        <v>46.2</v>
      </c>
    </row>
    <row r="3610" spans="6:29" ht="18.75" customHeight="1">
      <c r="H3610" s="253" t="s">
        <v>3807</v>
      </c>
      <c r="K3610" s="252">
        <f>SUM(K3596:K3608)</f>
        <v>20134.740000000002</v>
      </c>
      <c r="L3610" s="296"/>
      <c r="S3610" s="522">
        <v>2</v>
      </c>
      <c r="T3610" s="522" t="s">
        <v>766</v>
      </c>
      <c r="U3610" s="522" t="s">
        <v>3631</v>
      </c>
      <c r="V3610" s="522">
        <f t="shared" si="353"/>
        <v>49.55</v>
      </c>
      <c r="W3610" s="530" t="s">
        <v>766</v>
      </c>
      <c r="X3610" s="522">
        <f t="shared" si="354"/>
        <v>99.1</v>
      </c>
    </row>
    <row r="3611" spans="6:29" ht="18.75" customHeight="1">
      <c r="K3611" s="358" t="s">
        <v>1579</v>
      </c>
      <c r="L3611" s="296"/>
      <c r="S3611" s="526"/>
      <c r="T3611" s="522"/>
      <c r="U3611" s="522"/>
      <c r="V3611" s="522"/>
      <c r="W3611" s="530" t="s">
        <v>606</v>
      </c>
      <c r="X3611" s="522">
        <f>V3611*S3611</f>
        <v>0</v>
      </c>
    </row>
    <row r="3612" spans="6:29" ht="18.75" customHeight="1">
      <c r="H3612" s="255" t="s">
        <v>549</v>
      </c>
      <c r="I3612" s="296" t="s">
        <v>971</v>
      </c>
      <c r="K3612" s="274">
        <f>K3610/F3601</f>
        <v>3902.08</v>
      </c>
      <c r="S3612" s="522"/>
      <c r="T3612" s="522"/>
      <c r="U3612" s="522" t="s">
        <v>4074</v>
      </c>
      <c r="V3612" s="522"/>
      <c r="W3612" s="530"/>
      <c r="X3612" s="522">
        <f>SUM(X3602:X3611)</f>
        <v>10531.17</v>
      </c>
    </row>
    <row r="3613" spans="6:29" ht="18.75" customHeight="1">
      <c r="K3613" s="358" t="s">
        <v>2046</v>
      </c>
      <c r="S3613" s="522"/>
      <c r="T3613" s="522"/>
      <c r="U3613" s="522" t="s">
        <v>3215</v>
      </c>
      <c r="V3613" s="522"/>
      <c r="W3613" s="530"/>
      <c r="X3613" s="522">
        <f>X3612/S3603</f>
        <v>3061.39</v>
      </c>
    </row>
    <row r="3614" spans="6:29" ht="18.75" customHeight="1">
      <c r="F3614" s="253" t="s">
        <v>1608</v>
      </c>
      <c r="G3614" s="252" t="s">
        <v>2241</v>
      </c>
      <c r="H3614" s="296" t="s">
        <v>3821</v>
      </c>
      <c r="S3614" s="252"/>
      <c r="W3614" s="253"/>
    </row>
    <row r="3615" spans="6:29" ht="18.75" customHeight="1">
      <c r="H3615" s="296" t="s">
        <v>3822</v>
      </c>
      <c r="S3615" s="522"/>
      <c r="T3615" s="522"/>
      <c r="U3615" s="522" t="s">
        <v>4930</v>
      </c>
      <c r="V3615" s="522"/>
      <c r="W3615" s="530"/>
    </row>
    <row r="3616" spans="6:29" ht="18.75" customHeight="1">
      <c r="H3616" s="358" t="s">
        <v>1579</v>
      </c>
      <c r="S3616" s="252"/>
      <c r="U3616" s="481" t="s">
        <v>4620</v>
      </c>
      <c r="W3616" s="253">
        <f>1.1*2.025</f>
        <v>2.23</v>
      </c>
      <c r="Y3616" s="522"/>
      <c r="Z3616" s="522"/>
      <c r="AA3616" s="522" t="s">
        <v>5548</v>
      </c>
      <c r="AB3616" s="522"/>
      <c r="AC3616" s="523"/>
    </row>
    <row r="3617" spans="6:30" ht="18.75" customHeight="1">
      <c r="H3617" s="296" t="s">
        <v>3823</v>
      </c>
      <c r="I3617" s="407" t="s">
        <v>2046</v>
      </c>
      <c r="J3617" s="548">
        <f>0.65*0.65</f>
        <v>0.42249999999999999</v>
      </c>
      <c r="K3617" s="252" t="s">
        <v>2273</v>
      </c>
      <c r="S3617" s="522">
        <f>W3616</f>
        <v>2.23</v>
      </c>
      <c r="T3617" s="522" t="s">
        <v>606</v>
      </c>
      <c r="U3617" s="522" t="s">
        <v>3624</v>
      </c>
      <c r="V3617" s="522">
        <f>AE3554</f>
        <v>2255</v>
      </c>
      <c r="W3617" s="530" t="s">
        <v>606</v>
      </c>
      <c r="X3617" s="522">
        <f>V3617*S3617</f>
        <v>5028.6499999999996</v>
      </c>
      <c r="AA3617" s="481" t="s">
        <v>5549</v>
      </c>
      <c r="AC3617" s="296">
        <f>0.65*2.025</f>
        <v>1.32</v>
      </c>
    </row>
    <row r="3618" spans="6:30" ht="18.75" customHeight="1">
      <c r="H3618" s="296"/>
      <c r="I3618" s="407"/>
      <c r="J3618" s="462"/>
      <c r="S3618" s="522">
        <f>S3617</f>
        <v>2.23</v>
      </c>
      <c r="T3618" s="522" t="s">
        <v>606</v>
      </c>
      <c r="U3618" s="522" t="s">
        <v>3625</v>
      </c>
      <c r="V3618" s="522">
        <f>V3603</f>
        <v>330.2</v>
      </c>
      <c r="W3618" s="530" t="s">
        <v>606</v>
      </c>
      <c r="X3618" s="522">
        <f t="shared" ref="X3618:X3625" si="355">V3618*S3618</f>
        <v>736.35</v>
      </c>
      <c r="Y3618" s="522">
        <f>AC3617</f>
        <v>1.32</v>
      </c>
      <c r="Z3618" s="522" t="s">
        <v>606</v>
      </c>
      <c r="AA3618" s="522" t="s">
        <v>3624</v>
      </c>
      <c r="AB3618" s="522">
        <f>V3618</f>
        <v>330.2</v>
      </c>
      <c r="AC3618" s="522" t="s">
        <v>606</v>
      </c>
      <c r="AD3618" s="522">
        <f>AB3618*Y3618</f>
        <v>435.86</v>
      </c>
    </row>
    <row r="3619" spans="6:30" ht="18.75" customHeight="1">
      <c r="H3619" s="296" t="s">
        <v>5728</v>
      </c>
      <c r="I3619" s="407" t="s">
        <v>2046</v>
      </c>
      <c r="J3619" s="548">
        <v>5.1999999999999998E-2</v>
      </c>
      <c r="K3619" s="252" t="s">
        <v>2142</v>
      </c>
      <c r="S3619" s="522">
        <v>4</v>
      </c>
      <c r="T3619" s="522" t="s">
        <v>766</v>
      </c>
      <c r="U3619" s="522" t="s">
        <v>3626</v>
      </c>
      <c r="V3619" s="522">
        <f t="shared" ref="V3619:V3625" si="356">AE3556</f>
        <v>57.65</v>
      </c>
      <c r="W3619" s="530" t="s">
        <v>766</v>
      </c>
      <c r="X3619" s="522">
        <f t="shared" si="355"/>
        <v>230.6</v>
      </c>
      <c r="Y3619" s="522">
        <f>Y3618</f>
        <v>1.32</v>
      </c>
      <c r="Z3619" s="522" t="s">
        <v>606</v>
      </c>
      <c r="AA3619" s="522" t="s">
        <v>3625</v>
      </c>
      <c r="AB3619" s="522">
        <f t="shared" ref="AB3619:AB3626" si="357">V3619</f>
        <v>57.65</v>
      </c>
      <c r="AC3619" s="522" t="s">
        <v>606</v>
      </c>
      <c r="AD3619" s="522">
        <f t="shared" ref="AD3619:AD3627" si="358">AB3619*Y3619</f>
        <v>76.099999999999994</v>
      </c>
    </row>
    <row r="3620" spans="6:30" ht="18.75" customHeight="1">
      <c r="H3620" s="296" t="s">
        <v>3249</v>
      </c>
      <c r="J3620" s="407"/>
      <c r="S3620" s="522">
        <v>6</v>
      </c>
      <c r="T3620" s="522" t="s">
        <v>766</v>
      </c>
      <c r="U3620" s="522" t="s">
        <v>3627</v>
      </c>
      <c r="V3620" s="522">
        <f t="shared" si="356"/>
        <v>89.6</v>
      </c>
      <c r="W3620" s="530" t="s">
        <v>766</v>
      </c>
      <c r="X3620" s="522">
        <f t="shared" si="355"/>
        <v>537.6</v>
      </c>
      <c r="Y3620" s="522">
        <v>2</v>
      </c>
      <c r="Z3620" s="522" t="s">
        <v>766</v>
      </c>
      <c r="AA3620" s="522" t="s">
        <v>3626</v>
      </c>
      <c r="AB3620" s="522">
        <f t="shared" si="357"/>
        <v>89.6</v>
      </c>
      <c r="AC3620" s="522" t="s">
        <v>766</v>
      </c>
      <c r="AD3620" s="522">
        <f t="shared" si="358"/>
        <v>179.2</v>
      </c>
    </row>
    <row r="3621" spans="6:30" ht="18.75" customHeight="1">
      <c r="H3621" s="296" t="s">
        <v>3824</v>
      </c>
      <c r="I3621" s="407" t="s">
        <v>2046</v>
      </c>
      <c r="J3621" s="588">
        <v>1.772E-2</v>
      </c>
      <c r="S3621" s="522">
        <v>4</v>
      </c>
      <c r="T3621" s="522" t="s">
        <v>766</v>
      </c>
      <c r="U3621" s="522" t="s">
        <v>3628</v>
      </c>
      <c r="V3621" s="522">
        <f t="shared" si="356"/>
        <v>64.8</v>
      </c>
      <c r="W3621" s="530" t="s">
        <v>766</v>
      </c>
      <c r="X3621" s="522">
        <f t="shared" si="355"/>
        <v>259.2</v>
      </c>
      <c r="Y3621" s="522">
        <v>3</v>
      </c>
      <c r="Z3621" s="522" t="s">
        <v>766</v>
      </c>
      <c r="AA3621" s="522" t="s">
        <v>3627</v>
      </c>
      <c r="AB3621" s="522">
        <f t="shared" si="357"/>
        <v>64.8</v>
      </c>
      <c r="AC3621" s="522" t="s">
        <v>766</v>
      </c>
      <c r="AD3621" s="522">
        <f t="shared" si="358"/>
        <v>194.4</v>
      </c>
    </row>
    <row r="3622" spans="6:30" ht="18.75" customHeight="1">
      <c r="H3622" s="358"/>
      <c r="S3622" s="522">
        <v>1</v>
      </c>
      <c r="T3622" s="522" t="s">
        <v>766</v>
      </c>
      <c r="U3622" s="522" t="s">
        <v>2445</v>
      </c>
      <c r="V3622" s="522">
        <f t="shared" si="356"/>
        <v>181</v>
      </c>
      <c r="W3622" s="530" t="s">
        <v>766</v>
      </c>
      <c r="X3622" s="522">
        <f t="shared" si="355"/>
        <v>181</v>
      </c>
      <c r="Y3622" s="522">
        <v>2</v>
      </c>
      <c r="Z3622" s="522" t="s">
        <v>766</v>
      </c>
      <c r="AA3622" s="522" t="s">
        <v>3628</v>
      </c>
      <c r="AB3622" s="522">
        <f t="shared" si="357"/>
        <v>181</v>
      </c>
      <c r="AC3622" s="522" t="s">
        <v>766</v>
      </c>
      <c r="AD3622" s="522">
        <f t="shared" si="358"/>
        <v>362</v>
      </c>
    </row>
    <row r="3623" spans="6:30" ht="18.75" customHeight="1">
      <c r="F3623" s="447">
        <v>5.3E-3</v>
      </c>
      <c r="G3623" s="252" t="s">
        <v>1336</v>
      </c>
      <c r="H3623" s="296" t="s">
        <v>1337</v>
      </c>
      <c r="I3623" s="252">
        <f>I3600</f>
        <v>99400</v>
      </c>
      <c r="J3623" s="296" t="s">
        <v>866</v>
      </c>
      <c r="K3623" s="252">
        <f t="shared" ref="K3623:K3629" si="359">(F3623*I3623)</f>
        <v>526.82000000000005</v>
      </c>
      <c r="S3623" s="522">
        <v>118</v>
      </c>
      <c r="T3623" s="522" t="s">
        <v>766</v>
      </c>
      <c r="U3623" s="522" t="s">
        <v>3629</v>
      </c>
      <c r="V3623" s="522">
        <f t="shared" si="356"/>
        <v>2.41</v>
      </c>
      <c r="W3623" s="530" t="s">
        <v>766</v>
      </c>
      <c r="X3623" s="522">
        <f t="shared" si="355"/>
        <v>284.38</v>
      </c>
      <c r="Y3623" s="522">
        <v>1</v>
      </c>
      <c r="Z3623" s="522" t="s">
        <v>766</v>
      </c>
      <c r="AA3623" s="522" t="s">
        <v>2445</v>
      </c>
      <c r="AB3623" s="522">
        <f t="shared" si="357"/>
        <v>2.41</v>
      </c>
      <c r="AC3623" s="522" t="s">
        <v>766</v>
      </c>
      <c r="AD3623" s="522">
        <f t="shared" si="358"/>
        <v>2.41</v>
      </c>
    </row>
    <row r="3624" spans="6:30" ht="18.75" customHeight="1">
      <c r="F3624" s="447">
        <v>0.27450000000000002</v>
      </c>
      <c r="G3624" s="252" t="s">
        <v>606</v>
      </c>
      <c r="H3624" s="296" t="str">
        <f>H3602</f>
        <v>4 mm thicj frosted glass</v>
      </c>
      <c r="I3624" s="252">
        <f>I3602</f>
        <v>306.89999999999998</v>
      </c>
      <c r="J3624" s="296" t="s">
        <v>866</v>
      </c>
      <c r="K3624" s="252">
        <f t="shared" si="359"/>
        <v>84.24</v>
      </c>
      <c r="S3624" s="522">
        <v>2</v>
      </c>
      <c r="T3624" s="522" t="s">
        <v>766</v>
      </c>
      <c r="U3624" s="522" t="s">
        <v>3630</v>
      </c>
      <c r="V3624" s="522">
        <f t="shared" si="356"/>
        <v>23.1</v>
      </c>
      <c r="W3624" s="530" t="s">
        <v>766</v>
      </c>
      <c r="X3624" s="522">
        <f t="shared" si="355"/>
        <v>46.2</v>
      </c>
      <c r="Y3624" s="522">
        <v>92</v>
      </c>
      <c r="Z3624" s="522" t="s">
        <v>766</v>
      </c>
      <c r="AA3624" s="522" t="s">
        <v>3629</v>
      </c>
      <c r="AB3624" s="522">
        <f t="shared" si="357"/>
        <v>23.1</v>
      </c>
      <c r="AC3624" s="522" t="s">
        <v>766</v>
      </c>
      <c r="AD3624" s="522">
        <f t="shared" si="358"/>
        <v>2125.1999999999998</v>
      </c>
    </row>
    <row r="3625" spans="6:30" ht="18.75" customHeight="1">
      <c r="F3625" s="447">
        <v>0.4</v>
      </c>
      <c r="G3625" s="252" t="s">
        <v>606</v>
      </c>
      <c r="H3625" s="296" t="s">
        <v>2083</v>
      </c>
      <c r="I3625" s="252">
        <f>AE34</f>
        <v>1197</v>
      </c>
      <c r="J3625" s="296" t="s">
        <v>606</v>
      </c>
      <c r="K3625" s="252">
        <f t="shared" si="359"/>
        <v>478.8</v>
      </c>
      <c r="S3625" s="522">
        <v>2</v>
      </c>
      <c r="T3625" s="522" t="s">
        <v>766</v>
      </c>
      <c r="U3625" s="522" t="s">
        <v>3631</v>
      </c>
      <c r="V3625" s="522">
        <f t="shared" si="356"/>
        <v>49.55</v>
      </c>
      <c r="W3625" s="530" t="s">
        <v>766</v>
      </c>
      <c r="X3625" s="522">
        <f t="shared" si="355"/>
        <v>99.1</v>
      </c>
      <c r="Y3625" s="522">
        <v>1</v>
      </c>
      <c r="Z3625" s="522" t="s">
        <v>766</v>
      </c>
      <c r="AA3625" s="522" t="s">
        <v>3630</v>
      </c>
      <c r="AB3625" s="522">
        <f t="shared" si="357"/>
        <v>49.55</v>
      </c>
      <c r="AC3625" s="522" t="s">
        <v>766</v>
      </c>
      <c r="AD3625" s="522">
        <f t="shared" si="358"/>
        <v>49.55</v>
      </c>
    </row>
    <row r="3626" spans="6:30" ht="18.75" customHeight="1">
      <c r="F3626" s="252">
        <v>2</v>
      </c>
      <c r="G3626" s="252" t="s">
        <v>1986</v>
      </c>
      <c r="H3626" s="376" t="s">
        <v>1987</v>
      </c>
      <c r="I3626" s="314">
        <v>148</v>
      </c>
      <c r="J3626" s="296" t="s">
        <v>1986</v>
      </c>
      <c r="K3626" s="252">
        <f t="shared" si="359"/>
        <v>296</v>
      </c>
      <c r="S3626" s="526"/>
      <c r="T3626" s="522" t="s">
        <v>606</v>
      </c>
      <c r="U3626" s="522"/>
      <c r="W3626" s="530" t="s">
        <v>606</v>
      </c>
      <c r="X3626" s="522">
        <f>V3625*S3626</f>
        <v>0</v>
      </c>
      <c r="Y3626" s="522">
        <v>1</v>
      </c>
      <c r="Z3626" s="522" t="s">
        <v>766</v>
      </c>
      <c r="AA3626" s="522" t="s">
        <v>3631</v>
      </c>
      <c r="AB3626" s="522">
        <f t="shared" si="357"/>
        <v>0</v>
      </c>
      <c r="AC3626" s="522" t="s">
        <v>766</v>
      </c>
      <c r="AD3626" s="522">
        <f t="shared" si="358"/>
        <v>0</v>
      </c>
    </row>
    <row r="3627" spans="6:30" ht="18.75" customHeight="1">
      <c r="F3627" s="252">
        <v>1</v>
      </c>
      <c r="G3627" s="252" t="s">
        <v>865</v>
      </c>
      <c r="H3627" s="296" t="s">
        <v>1988</v>
      </c>
      <c r="I3627" s="252">
        <f>C293</f>
        <v>6.1</v>
      </c>
      <c r="J3627" s="296" t="s">
        <v>865</v>
      </c>
      <c r="K3627" s="252">
        <f t="shared" si="359"/>
        <v>6.1</v>
      </c>
      <c r="S3627" s="522"/>
      <c r="T3627" s="522"/>
      <c r="U3627" s="522" t="s">
        <v>3633</v>
      </c>
      <c r="V3627" s="522"/>
      <c r="W3627" s="530"/>
      <c r="X3627" s="522">
        <f>SUM(X3617:X3626)</f>
        <v>7403.08</v>
      </c>
      <c r="Y3627" s="609">
        <v>0.35</v>
      </c>
      <c r="Z3627" s="522" t="s">
        <v>606</v>
      </c>
      <c r="AA3627" s="522"/>
      <c r="AC3627" s="522" t="s">
        <v>606</v>
      </c>
      <c r="AD3627" s="522">
        <f t="shared" si="358"/>
        <v>0</v>
      </c>
    </row>
    <row r="3628" spans="6:30" ht="18.75" customHeight="1">
      <c r="F3628" s="252">
        <v>1</v>
      </c>
      <c r="G3628" s="252" t="s">
        <v>865</v>
      </c>
      <c r="H3628" s="296" t="s">
        <v>1989</v>
      </c>
      <c r="I3628" s="252">
        <f>C291</f>
        <v>11.8</v>
      </c>
      <c r="J3628" s="296" t="s">
        <v>865</v>
      </c>
      <c r="K3628" s="252">
        <f t="shared" si="359"/>
        <v>11.8</v>
      </c>
      <c r="S3628" s="522"/>
      <c r="T3628" s="522"/>
      <c r="U3628" s="522" t="s">
        <v>3215</v>
      </c>
      <c r="V3628" s="522"/>
      <c r="W3628" s="530"/>
      <c r="X3628" s="522">
        <f>X3627/S3618</f>
        <v>3319.77</v>
      </c>
      <c r="Y3628" s="522"/>
      <c r="Z3628" s="522"/>
      <c r="AA3628" s="522" t="s">
        <v>3633</v>
      </c>
      <c r="AB3628" s="522"/>
      <c r="AC3628" s="523"/>
      <c r="AD3628" s="522">
        <f>SUM(AD3618:AD3627)</f>
        <v>3424.72</v>
      </c>
    </row>
    <row r="3629" spans="6:30" ht="18.75" customHeight="1">
      <c r="F3629" s="252">
        <v>10</v>
      </c>
      <c r="H3629" s="296" t="s">
        <v>1137</v>
      </c>
      <c r="I3629" s="252">
        <f>I3608</f>
        <v>2.41</v>
      </c>
      <c r="J3629" s="296" t="s">
        <v>865</v>
      </c>
      <c r="K3629" s="252">
        <f t="shared" si="359"/>
        <v>24.1</v>
      </c>
      <c r="W3629" s="253"/>
      <c r="Y3629" s="522"/>
      <c r="Z3629" s="522"/>
      <c r="AA3629" s="522" t="s">
        <v>3215</v>
      </c>
      <c r="AB3629" s="522"/>
      <c r="AC3629" s="523"/>
      <c r="AD3629" s="522">
        <f>AD3628/Y3619</f>
        <v>2594.48</v>
      </c>
    </row>
    <row r="3630" spans="6:30" ht="18.75" customHeight="1">
      <c r="K3630" s="358" t="s">
        <v>1579</v>
      </c>
      <c r="S3630" s="252"/>
      <c r="U3630" s="276" t="s">
        <v>1733</v>
      </c>
      <c r="W3630" s="253"/>
    </row>
    <row r="3631" spans="6:30" ht="18.75" customHeight="1">
      <c r="H3631" s="253" t="s">
        <v>34</v>
      </c>
      <c r="K3631" s="252">
        <f>SUM(K3613:K3629)</f>
        <v>1427.86</v>
      </c>
      <c r="S3631" s="252"/>
      <c r="U3631" s="255" t="s">
        <v>3901</v>
      </c>
      <c r="W3631" s="253"/>
    </row>
    <row r="3632" spans="6:30" ht="18.75" customHeight="1">
      <c r="K3632" s="358" t="s">
        <v>1579</v>
      </c>
      <c r="S3632" s="252"/>
      <c r="W3632" s="253"/>
    </row>
    <row r="3633" spans="6:33" ht="18.75" customHeight="1">
      <c r="H3633" s="255" t="s">
        <v>549</v>
      </c>
      <c r="I3633" s="296" t="s">
        <v>971</v>
      </c>
      <c r="K3633" s="274">
        <f>K3631/F3625</f>
        <v>3569.65</v>
      </c>
      <c r="S3633" s="252"/>
      <c r="W3633" s="253"/>
    </row>
    <row r="3634" spans="6:33" ht="18.75" customHeight="1">
      <c r="F3634" s="296" t="s">
        <v>971</v>
      </c>
      <c r="S3634" s="316">
        <v>2.2800000000000001E-2</v>
      </c>
      <c r="T3634" s="252" t="s">
        <v>866</v>
      </c>
      <c r="U3634" s="252" t="s">
        <v>3114</v>
      </c>
      <c r="V3634" s="252">
        <f>P1111</f>
        <v>111600</v>
      </c>
      <c r="W3634" s="253" t="s">
        <v>866</v>
      </c>
      <c r="X3634" s="252">
        <f>V3634*S3634</f>
        <v>2544.48</v>
      </c>
    </row>
    <row r="3635" spans="6:33" ht="18.75" customHeight="1">
      <c r="K3635" s="358" t="s">
        <v>2046</v>
      </c>
      <c r="S3635" s="316">
        <v>3.5400000000000001E-2</v>
      </c>
      <c r="T3635" s="252" t="s">
        <v>866</v>
      </c>
      <c r="U3635" s="252" t="s">
        <v>2478</v>
      </c>
      <c r="V3635" s="252">
        <f>P1112</f>
        <v>99400</v>
      </c>
      <c r="W3635" s="253" t="s">
        <v>866</v>
      </c>
      <c r="X3635" s="252">
        <f t="shared" ref="X3635:X3644" si="360">V3635*S3635</f>
        <v>3518.76</v>
      </c>
    </row>
    <row r="3636" spans="6:33" ht="18.75" customHeight="1">
      <c r="F3636" s="252">
        <v>45</v>
      </c>
      <c r="H3636" s="614" t="s">
        <v>3973</v>
      </c>
      <c r="I3636" s="614"/>
      <c r="J3636" s="614"/>
      <c r="S3636" s="400">
        <v>3.2300000000000002E-2</v>
      </c>
      <c r="T3636" s="252" t="s">
        <v>866</v>
      </c>
      <c r="U3636" s="252" t="s">
        <v>933</v>
      </c>
      <c r="V3636" s="252">
        <f>P1113</f>
        <v>95000</v>
      </c>
      <c r="W3636" s="253" t="s">
        <v>866</v>
      </c>
      <c r="X3636" s="252">
        <f t="shared" si="360"/>
        <v>3068.5</v>
      </c>
    </row>
    <row r="3637" spans="6:33" ht="18.75" customHeight="1">
      <c r="H3637" s="614"/>
      <c r="I3637" s="614"/>
      <c r="J3637" s="614"/>
      <c r="S3637" s="356">
        <v>2.835</v>
      </c>
      <c r="T3637" s="252" t="s">
        <v>606</v>
      </c>
      <c r="U3637" s="252" t="s">
        <v>880</v>
      </c>
      <c r="V3637" s="252">
        <f>P1114</f>
        <v>1537</v>
      </c>
      <c r="W3637" s="253" t="s">
        <v>606</v>
      </c>
      <c r="X3637" s="252">
        <f t="shared" si="360"/>
        <v>4357.3999999999996</v>
      </c>
    </row>
    <row r="3638" spans="6:33" ht="18.75" customHeight="1">
      <c r="S3638" s="252">
        <v>2</v>
      </c>
      <c r="T3638" s="252" t="s">
        <v>1865</v>
      </c>
      <c r="U3638" s="252" t="s">
        <v>3726</v>
      </c>
      <c r="V3638" s="362">
        <v>254.5</v>
      </c>
      <c r="W3638" s="253" t="s">
        <v>1393</v>
      </c>
      <c r="X3638" s="252">
        <f t="shared" si="360"/>
        <v>509</v>
      </c>
    </row>
    <row r="3639" spans="6:33" ht="18.75" customHeight="1">
      <c r="F3639" s="259">
        <v>0.15</v>
      </c>
      <c r="G3639" s="259" t="s">
        <v>866</v>
      </c>
      <c r="H3639" s="262" t="s">
        <v>5477</v>
      </c>
      <c r="I3639" s="615">
        <f>91.1/0.0354</f>
        <v>2573.4499999999998</v>
      </c>
      <c r="J3639" s="261" t="s">
        <v>866</v>
      </c>
      <c r="K3639" s="259">
        <f t="shared" ref="K3639:K3644" si="361">I3639*F3639</f>
        <v>386.02</v>
      </c>
      <c r="L3639" s="259"/>
      <c r="S3639" s="252">
        <v>6</v>
      </c>
      <c r="T3639" s="252" t="s">
        <v>1865</v>
      </c>
      <c r="U3639" s="252" t="s">
        <v>3727</v>
      </c>
      <c r="V3639" s="362">
        <v>214.1</v>
      </c>
      <c r="W3639" s="253" t="s">
        <v>1393</v>
      </c>
      <c r="X3639" s="252">
        <f t="shared" si="360"/>
        <v>1284.5999999999999</v>
      </c>
    </row>
    <row r="3640" spans="6:33" ht="18.75" customHeight="1">
      <c r="F3640" s="316">
        <v>7.1999999999999995E-2</v>
      </c>
      <c r="G3640" s="252" t="s">
        <v>858</v>
      </c>
      <c r="H3640" s="252" t="s">
        <v>859</v>
      </c>
      <c r="I3640" s="252">
        <f>I1645</f>
        <v>6040</v>
      </c>
      <c r="J3640" s="296" t="s">
        <v>858</v>
      </c>
      <c r="K3640" s="252">
        <f t="shared" si="361"/>
        <v>434.88</v>
      </c>
      <c r="S3640" s="252">
        <v>4</v>
      </c>
      <c r="T3640" s="252" t="s">
        <v>1865</v>
      </c>
      <c r="U3640" s="252" t="s">
        <v>3728</v>
      </c>
      <c r="V3640" s="362">
        <v>408</v>
      </c>
      <c r="W3640" s="253" t="s">
        <v>1393</v>
      </c>
      <c r="X3640" s="252">
        <f t="shared" si="360"/>
        <v>1632</v>
      </c>
    </row>
    <row r="3641" spans="6:33" ht="18.75" customHeight="1">
      <c r="F3641" s="252">
        <v>1.6</v>
      </c>
      <c r="G3641" s="252" t="s">
        <v>766</v>
      </c>
      <c r="H3641" s="252" t="s">
        <v>2000</v>
      </c>
      <c r="I3641" s="252">
        <f>I1646</f>
        <v>999</v>
      </c>
      <c r="J3641" s="296" t="s">
        <v>766</v>
      </c>
      <c r="K3641" s="252">
        <f t="shared" si="361"/>
        <v>1598.4</v>
      </c>
      <c r="S3641" s="252">
        <v>1</v>
      </c>
      <c r="T3641" s="252" t="s">
        <v>1865</v>
      </c>
      <c r="U3641" s="252" t="s">
        <v>3729</v>
      </c>
      <c r="V3641" s="314">
        <v>985</v>
      </c>
      <c r="W3641" s="253" t="s">
        <v>1393</v>
      </c>
      <c r="X3641" s="252">
        <f t="shared" si="360"/>
        <v>985</v>
      </c>
    </row>
    <row r="3642" spans="6:33" ht="18.75" customHeight="1">
      <c r="F3642" s="252">
        <v>0.5</v>
      </c>
      <c r="G3642" s="252" t="s">
        <v>766</v>
      </c>
      <c r="H3642" s="252" t="s">
        <v>1893</v>
      </c>
      <c r="I3642" s="252">
        <f>I1647</f>
        <v>651</v>
      </c>
      <c r="J3642" s="296" t="s">
        <v>766</v>
      </c>
      <c r="K3642" s="252">
        <f t="shared" si="361"/>
        <v>325.5</v>
      </c>
      <c r="S3642" s="252">
        <v>2</v>
      </c>
      <c r="T3642" s="252" t="s">
        <v>1865</v>
      </c>
      <c r="U3642" s="252" t="s">
        <v>3721</v>
      </c>
      <c r="V3642" s="314">
        <v>23.1</v>
      </c>
      <c r="W3642" s="253" t="s">
        <v>1393</v>
      </c>
      <c r="X3642" s="252">
        <f t="shared" si="360"/>
        <v>46.2</v>
      </c>
    </row>
    <row r="3643" spans="6:33" ht="18.75" customHeight="1">
      <c r="F3643" s="252">
        <v>1.1000000000000001</v>
      </c>
      <c r="G3643" s="252" t="s">
        <v>766</v>
      </c>
      <c r="H3643" s="252" t="s">
        <v>317</v>
      </c>
      <c r="I3643" s="252">
        <f>I1648</f>
        <v>534</v>
      </c>
      <c r="J3643" s="296" t="s">
        <v>766</v>
      </c>
      <c r="K3643" s="252">
        <f t="shared" si="361"/>
        <v>587.4</v>
      </c>
      <c r="S3643" s="252">
        <v>2</v>
      </c>
      <c r="T3643" s="252" t="s">
        <v>1865</v>
      </c>
      <c r="U3643" s="252" t="s">
        <v>1973</v>
      </c>
      <c r="V3643" s="252">
        <v>49.55</v>
      </c>
      <c r="W3643" s="253" t="s">
        <v>1393</v>
      </c>
      <c r="X3643" s="252">
        <f t="shared" si="360"/>
        <v>99.1</v>
      </c>
    </row>
    <row r="3644" spans="6:33" ht="18.75" customHeight="1">
      <c r="F3644" s="252">
        <v>14.5</v>
      </c>
      <c r="G3644" s="252" t="s">
        <v>356</v>
      </c>
      <c r="H3644" s="252" t="s">
        <v>3974</v>
      </c>
      <c r="I3644" s="252">
        <f>I3747</f>
        <v>24.93</v>
      </c>
      <c r="J3644" s="296" t="s">
        <v>356</v>
      </c>
      <c r="K3644" s="252">
        <f t="shared" si="361"/>
        <v>361.49</v>
      </c>
      <c r="S3644" s="252">
        <v>118</v>
      </c>
      <c r="T3644" s="274"/>
      <c r="U3644" s="252" t="s">
        <v>1137</v>
      </c>
      <c r="V3644" s="252">
        <v>2.41</v>
      </c>
      <c r="W3644" s="253"/>
      <c r="X3644" s="252">
        <f t="shared" si="360"/>
        <v>284.38</v>
      </c>
    </row>
    <row r="3645" spans="6:33" ht="18.75" customHeight="1">
      <c r="G3645" s="252" t="s">
        <v>654</v>
      </c>
      <c r="H3645" s="252" t="s">
        <v>447</v>
      </c>
      <c r="J3645" s="296" t="s">
        <v>654</v>
      </c>
      <c r="K3645" s="252">
        <v>7</v>
      </c>
      <c r="S3645" s="252"/>
      <c r="W3645" s="253"/>
      <c r="X3645" s="274">
        <f>SUM(X3634:X3644)</f>
        <v>18329.419999999998</v>
      </c>
    </row>
    <row r="3646" spans="6:33" ht="18.75" customHeight="1">
      <c r="S3646" s="252"/>
      <c r="T3646" s="274"/>
      <c r="U3646" s="274"/>
      <c r="W3646" s="253"/>
      <c r="X3646" s="377" t="s">
        <v>146</v>
      </c>
    </row>
    <row r="3647" spans="6:33" ht="18.75" customHeight="1">
      <c r="H3647" s="252" t="s">
        <v>438</v>
      </c>
      <c r="K3647" s="252">
        <f>SUM(K3639:K3646)</f>
        <v>3700.69</v>
      </c>
      <c r="S3647" s="252"/>
      <c r="T3647" s="274"/>
      <c r="U3647" s="274" t="s">
        <v>2073</v>
      </c>
      <c r="W3647" s="253"/>
      <c r="X3647" s="274">
        <f>X3645/2.835</f>
        <v>6465.4</v>
      </c>
    </row>
    <row r="3648" spans="6:33" ht="18.75" customHeight="1">
      <c r="H3648" s="252" t="s">
        <v>549</v>
      </c>
      <c r="K3648" s="252">
        <f>K3647/10</f>
        <v>370.07</v>
      </c>
      <c r="S3648" s="252"/>
      <c r="T3648" s="274"/>
      <c r="W3648" s="253"/>
      <c r="X3648" s="377" t="s">
        <v>146</v>
      </c>
      <c r="AB3648" s="1271" t="s">
        <v>5306</v>
      </c>
      <c r="AC3648" s="1271"/>
      <c r="AD3648" s="1271"/>
      <c r="AE3648" s="1271"/>
      <c r="AF3648" s="1271"/>
      <c r="AG3648" s="1271"/>
    </row>
    <row r="3649" spans="6:33" ht="18.75" customHeight="1">
      <c r="S3649" s="252"/>
      <c r="W3649" s="253"/>
      <c r="AB3649" s="1271"/>
      <c r="AC3649" s="1271"/>
      <c r="AD3649" s="1271"/>
      <c r="AE3649" s="1271"/>
      <c r="AF3649" s="1271"/>
      <c r="AG3649" s="1271"/>
    </row>
    <row r="3650" spans="6:33" ht="18.75" customHeight="1">
      <c r="K3650" s="252" t="s">
        <v>2046</v>
      </c>
      <c r="S3650" s="487" t="s">
        <v>4105</v>
      </c>
      <c r="T3650" s="487"/>
      <c r="U3650" s="487"/>
      <c r="V3650" s="487"/>
      <c r="W3650" s="482"/>
      <c r="X3650" s="482"/>
      <c r="Y3650" s="481"/>
      <c r="AB3650" s="484"/>
      <c r="AC3650" s="481"/>
      <c r="AD3650" s="482"/>
      <c r="AE3650" s="481"/>
      <c r="AF3650" s="481"/>
      <c r="AG3650" s="481"/>
    </row>
    <row r="3651" spans="6:33" ht="18.75" customHeight="1">
      <c r="S3651" s="484"/>
      <c r="T3651" s="481"/>
      <c r="U3651" s="482"/>
      <c r="V3651" s="481"/>
      <c r="W3651" s="486"/>
      <c r="X3651" s="481"/>
      <c r="Y3651" s="481"/>
      <c r="AB3651" s="484"/>
      <c r="AC3651" s="481"/>
      <c r="AD3651" s="485"/>
      <c r="AE3651" s="616"/>
      <c r="AF3651" s="481"/>
      <c r="AG3651" s="481"/>
    </row>
    <row r="3652" spans="6:33" ht="18.75" customHeight="1">
      <c r="H3652" s="255" t="s">
        <v>3813</v>
      </c>
      <c r="J3652" s="252"/>
      <c r="S3652" s="484"/>
      <c r="T3652" s="481"/>
      <c r="U3652" s="485"/>
      <c r="V3652" s="616"/>
      <c r="W3652" s="486"/>
      <c r="X3652" s="481"/>
      <c r="Y3652" s="481"/>
      <c r="AB3652" s="484">
        <v>38.86</v>
      </c>
      <c r="AC3652" s="481" t="s">
        <v>909</v>
      </c>
      <c r="AD3652" s="617" t="s">
        <v>4107</v>
      </c>
      <c r="AE3652" s="481">
        <f>V3653</f>
        <v>325</v>
      </c>
      <c r="AF3652" s="481" t="s">
        <v>909</v>
      </c>
      <c r="AG3652" s="481">
        <f>AE3652*AB3652</f>
        <v>12629.5</v>
      </c>
    </row>
    <row r="3653" spans="6:33" ht="18.75" customHeight="1">
      <c r="H3653" s="358" t="s">
        <v>1579</v>
      </c>
      <c r="J3653" s="252"/>
      <c r="S3653" s="484">
        <v>28.49</v>
      </c>
      <c r="T3653" s="481" t="s">
        <v>909</v>
      </c>
      <c r="U3653" s="617" t="s">
        <v>4107</v>
      </c>
      <c r="V3653" s="618">
        <f>I3781</f>
        <v>325</v>
      </c>
      <c r="W3653" s="486" t="s">
        <v>909</v>
      </c>
      <c r="X3653" s="481">
        <f>V3653*S3653</f>
        <v>9259.25</v>
      </c>
      <c r="Y3653" s="481"/>
      <c r="AB3653" s="619">
        <v>34.65</v>
      </c>
      <c r="AC3653" s="481" t="s">
        <v>823</v>
      </c>
      <c r="AD3653" s="485" t="s">
        <v>4313</v>
      </c>
      <c r="AE3653" s="481">
        <f>V3654</f>
        <v>38.25</v>
      </c>
      <c r="AF3653" s="481" t="s">
        <v>823</v>
      </c>
      <c r="AG3653" s="481">
        <f t="shared" ref="AG3653:AG3660" si="362">AE3653*AB3653</f>
        <v>1325.36</v>
      </c>
    </row>
    <row r="3654" spans="6:33" ht="18.75" customHeight="1">
      <c r="G3654" s="296" t="s">
        <v>2241</v>
      </c>
      <c r="H3654" s="276" t="s">
        <v>3814</v>
      </c>
      <c r="J3654" s="252"/>
      <c r="S3654" s="619">
        <v>3.82</v>
      </c>
      <c r="T3654" s="481" t="s">
        <v>823</v>
      </c>
      <c r="U3654" s="485" t="s">
        <v>5478</v>
      </c>
      <c r="V3654" s="618">
        <v>38.25</v>
      </c>
      <c r="W3654" s="486" t="s">
        <v>823</v>
      </c>
      <c r="X3654" s="481">
        <v>501.66</v>
      </c>
      <c r="Y3654" s="481"/>
      <c r="AB3654" s="484">
        <v>2.4300000000000002</v>
      </c>
      <c r="AC3654" s="481" t="s">
        <v>230</v>
      </c>
      <c r="AD3654" s="485" t="s">
        <v>4024</v>
      </c>
      <c r="AE3654" s="481">
        <f>V3655</f>
        <v>362.5</v>
      </c>
      <c r="AF3654" s="481" t="s">
        <v>230</v>
      </c>
      <c r="AG3654" s="481">
        <f t="shared" si="362"/>
        <v>880.88</v>
      </c>
    </row>
    <row r="3655" spans="6:33" ht="18.75" customHeight="1">
      <c r="H3655" s="276" t="s">
        <v>3815</v>
      </c>
      <c r="J3655" s="252"/>
      <c r="S3655" s="484">
        <v>1.52</v>
      </c>
      <c r="T3655" s="481" t="s">
        <v>230</v>
      </c>
      <c r="U3655" s="485" t="s">
        <v>4024</v>
      </c>
      <c r="V3655" s="618">
        <v>362.5</v>
      </c>
      <c r="W3655" s="486" t="s">
        <v>230</v>
      </c>
      <c r="X3655" s="481">
        <f t="shared" ref="X3655:X3664" si="363">V3655*S3655</f>
        <v>551</v>
      </c>
      <c r="Y3655" s="481"/>
      <c r="AB3655" s="484">
        <v>4.8499999999999996</v>
      </c>
      <c r="AC3655" s="481" t="s">
        <v>230</v>
      </c>
      <c r="AD3655" s="485" t="s">
        <v>4025</v>
      </c>
      <c r="AE3655" s="481">
        <f>V3656</f>
        <v>695</v>
      </c>
      <c r="AF3655" s="481" t="s">
        <v>766</v>
      </c>
      <c r="AG3655" s="481">
        <f t="shared" si="362"/>
        <v>3370.75</v>
      </c>
    </row>
    <row r="3656" spans="6:33" ht="18.75" customHeight="1">
      <c r="H3656" s="276" t="s">
        <v>153</v>
      </c>
      <c r="J3656" s="252"/>
      <c r="S3656" s="484">
        <v>1.52</v>
      </c>
      <c r="T3656" s="481" t="s">
        <v>230</v>
      </c>
      <c r="U3656" s="485" t="s">
        <v>4025</v>
      </c>
      <c r="V3656" s="616">
        <v>695</v>
      </c>
      <c r="W3656" s="486" t="s">
        <v>766</v>
      </c>
      <c r="X3656" s="481">
        <f t="shared" si="363"/>
        <v>1056.4000000000001</v>
      </c>
      <c r="Y3656" s="481"/>
      <c r="AB3656" s="522">
        <v>144</v>
      </c>
      <c r="AC3656" s="522" t="s">
        <v>1865</v>
      </c>
      <c r="AD3656" s="522" t="s">
        <v>5479</v>
      </c>
      <c r="AE3656" s="618">
        <v>2.41</v>
      </c>
      <c r="AF3656" s="523" t="s">
        <v>1389</v>
      </c>
      <c r="AG3656" s="481">
        <f>AE3656*AB3656</f>
        <v>347.04</v>
      </c>
    </row>
    <row r="3657" spans="6:33" ht="18.75" customHeight="1">
      <c r="H3657" s="358" t="s">
        <v>1579</v>
      </c>
      <c r="J3657" s="252"/>
      <c r="S3657" s="484">
        <v>3</v>
      </c>
      <c r="T3657" s="481" t="s">
        <v>221</v>
      </c>
      <c r="U3657" s="485" t="s">
        <v>5480</v>
      </c>
      <c r="V3657" s="618">
        <v>11.9</v>
      </c>
      <c r="W3657" s="486" t="s">
        <v>221</v>
      </c>
      <c r="X3657" s="481">
        <f t="shared" si="363"/>
        <v>35.700000000000003</v>
      </c>
      <c r="Y3657" s="481"/>
      <c r="AB3657" s="522">
        <v>12</v>
      </c>
      <c r="AC3657" s="522" t="s">
        <v>1865</v>
      </c>
      <c r="AD3657" s="522" t="s">
        <v>5481</v>
      </c>
      <c r="AE3657" s="618">
        <v>4.88</v>
      </c>
      <c r="AF3657" s="523" t="s">
        <v>1389</v>
      </c>
      <c r="AG3657" s="481">
        <f>AE3657*AB3657</f>
        <v>58.56</v>
      </c>
    </row>
    <row r="3658" spans="6:33" ht="18.75" customHeight="1">
      <c r="G3658" s="296" t="s">
        <v>154</v>
      </c>
      <c r="H3658" s="620" t="s">
        <v>3816</v>
      </c>
      <c r="J3658" s="252"/>
      <c r="S3658" s="484">
        <v>4.2</v>
      </c>
      <c r="T3658" s="481" t="s">
        <v>1393</v>
      </c>
      <c r="U3658" s="485" t="s">
        <v>4931</v>
      </c>
      <c r="V3658" s="618">
        <v>7.95</v>
      </c>
      <c r="W3658" s="486" t="s">
        <v>766</v>
      </c>
      <c r="X3658" s="481">
        <f t="shared" si="363"/>
        <v>33.39</v>
      </c>
      <c r="Y3658" s="481"/>
      <c r="AB3658" s="522">
        <v>12</v>
      </c>
      <c r="AC3658" s="522" t="s">
        <v>1865</v>
      </c>
      <c r="AD3658" s="522" t="s">
        <v>5307</v>
      </c>
      <c r="AE3658" s="618">
        <v>1.08</v>
      </c>
      <c r="AF3658" s="523" t="s">
        <v>1389</v>
      </c>
      <c r="AG3658" s="481">
        <f>AE3658*AB3658</f>
        <v>12.96</v>
      </c>
    </row>
    <row r="3659" spans="6:33" ht="18.75" customHeight="1">
      <c r="H3659" s="358" t="s">
        <v>1579</v>
      </c>
      <c r="J3659" s="252"/>
      <c r="S3659" s="484">
        <v>3.15</v>
      </c>
      <c r="T3659" s="481" t="s">
        <v>2273</v>
      </c>
      <c r="U3659" s="485" t="s">
        <v>3908</v>
      </c>
      <c r="V3659" s="481">
        <f>X3675</f>
        <v>1998</v>
      </c>
      <c r="W3659" s="486" t="s">
        <v>2273</v>
      </c>
      <c r="X3659" s="481">
        <f t="shared" si="363"/>
        <v>6293.7</v>
      </c>
      <c r="Y3659" s="481"/>
      <c r="AB3659" s="484">
        <v>2</v>
      </c>
      <c r="AC3659" s="481" t="s">
        <v>221</v>
      </c>
      <c r="AD3659" s="485" t="s">
        <v>4108</v>
      </c>
      <c r="AE3659" s="618">
        <f>V3657</f>
        <v>11.9</v>
      </c>
      <c r="AF3659" s="481" t="s">
        <v>221</v>
      </c>
      <c r="AG3659" s="481">
        <f t="shared" si="362"/>
        <v>23.8</v>
      </c>
    </row>
    <row r="3660" spans="6:33" ht="18.75" customHeight="1">
      <c r="F3660" s="252">
        <v>18.899999999999999</v>
      </c>
      <c r="G3660" s="296" t="s">
        <v>866</v>
      </c>
      <c r="H3660" s="296" t="s">
        <v>614</v>
      </c>
      <c r="I3660" s="252">
        <f>P431</f>
        <v>224.1</v>
      </c>
      <c r="J3660" s="296" t="s">
        <v>866</v>
      </c>
      <c r="K3660" s="252">
        <f>(F3660*I3660)</f>
        <v>4235.49</v>
      </c>
      <c r="S3660" s="274">
        <v>1</v>
      </c>
      <c r="T3660" s="274" t="s">
        <v>1865</v>
      </c>
      <c r="U3660" s="274" t="s">
        <v>4932</v>
      </c>
      <c r="V3660" s="366">
        <v>49.55</v>
      </c>
      <c r="W3660" s="255" t="s">
        <v>1393</v>
      </c>
      <c r="X3660" s="274">
        <f t="shared" si="363"/>
        <v>49.55</v>
      </c>
      <c r="Y3660" s="481"/>
      <c r="AB3660" s="484">
        <v>6.6150000000000002</v>
      </c>
      <c r="AC3660" s="481" t="s">
        <v>2273</v>
      </c>
      <c r="AD3660" s="485" t="s">
        <v>3908</v>
      </c>
      <c r="AE3660" s="618">
        <f>V3659</f>
        <v>1998</v>
      </c>
      <c r="AF3660" s="481" t="s">
        <v>2273</v>
      </c>
      <c r="AG3660" s="481">
        <f t="shared" si="362"/>
        <v>13216.77</v>
      </c>
    </row>
    <row r="3661" spans="6:33" ht="18.75" customHeight="1">
      <c r="F3661" s="252">
        <v>18.63</v>
      </c>
      <c r="G3661" s="296" t="s">
        <v>866</v>
      </c>
      <c r="H3661" s="296" t="s">
        <v>2148</v>
      </c>
      <c r="I3661" s="252">
        <f>P432</f>
        <v>38.950000000000003</v>
      </c>
      <c r="J3661" s="296" t="s">
        <v>866</v>
      </c>
      <c r="K3661" s="252">
        <f>(F3661*I3661)</f>
        <v>725.64</v>
      </c>
      <c r="S3661" s="274">
        <v>1</v>
      </c>
      <c r="T3661" s="274" t="s">
        <v>1865</v>
      </c>
      <c r="U3661" s="274" t="s">
        <v>4109</v>
      </c>
      <c r="V3661" s="366">
        <v>1008</v>
      </c>
      <c r="W3661" s="255" t="s">
        <v>1393</v>
      </c>
      <c r="X3661" s="274">
        <f t="shared" si="363"/>
        <v>1008</v>
      </c>
      <c r="Y3661" s="481"/>
      <c r="AB3661" s="484"/>
      <c r="AC3661" s="481"/>
      <c r="AD3661" s="296" t="s">
        <v>4028</v>
      </c>
      <c r="AE3661" s="618"/>
      <c r="AF3661" s="481"/>
      <c r="AG3661" s="487">
        <f>SUM(AG3652:AG3660)</f>
        <v>31865.62</v>
      </c>
    </row>
    <row r="3662" spans="6:33" ht="18.75" customHeight="1">
      <c r="F3662" s="252">
        <v>30</v>
      </c>
      <c r="G3662" s="296" t="s">
        <v>1763</v>
      </c>
      <c r="H3662" s="275" t="s">
        <v>5540</v>
      </c>
      <c r="I3662" s="621">
        <v>288</v>
      </c>
      <c r="J3662" s="296" t="s">
        <v>1763</v>
      </c>
      <c r="K3662" s="252">
        <f>(F3662*I3662)</f>
        <v>8640</v>
      </c>
      <c r="S3662" s="522">
        <v>45</v>
      </c>
      <c r="T3662" s="522" t="s">
        <v>1865</v>
      </c>
      <c r="U3662" s="522" t="s">
        <v>4933</v>
      </c>
      <c r="V3662" s="608">
        <v>2.21</v>
      </c>
      <c r="W3662" s="530" t="s">
        <v>1389</v>
      </c>
      <c r="X3662" s="481">
        <f t="shared" si="363"/>
        <v>99.45</v>
      </c>
      <c r="Y3662" s="481"/>
      <c r="AB3662" s="484"/>
      <c r="AC3662" s="481"/>
      <c r="AD3662" s="296" t="s">
        <v>549</v>
      </c>
      <c r="AE3662" s="618"/>
      <c r="AF3662" s="482"/>
      <c r="AG3662" s="487">
        <f>AG3661/AB3660</f>
        <v>4817.18</v>
      </c>
    </row>
    <row r="3663" spans="6:33" ht="18.75" customHeight="1">
      <c r="J3663" s="252"/>
      <c r="S3663" s="522">
        <v>2</v>
      </c>
      <c r="T3663" s="522" t="s">
        <v>1865</v>
      </c>
      <c r="U3663" s="522" t="s">
        <v>5613</v>
      </c>
      <c r="V3663" s="608">
        <v>130.5</v>
      </c>
      <c r="W3663" s="255" t="s">
        <v>1393</v>
      </c>
      <c r="X3663" s="481">
        <f t="shared" si="363"/>
        <v>261</v>
      </c>
      <c r="Y3663" s="481"/>
      <c r="AB3663" s="481"/>
      <c r="AC3663" s="481"/>
      <c r="AD3663" s="489"/>
      <c r="AE3663" s="618"/>
      <c r="AF3663" s="481"/>
      <c r="AG3663" s="481"/>
    </row>
    <row r="3664" spans="6:33" ht="18.75" customHeight="1">
      <c r="F3664" s="252">
        <v>30</v>
      </c>
      <c r="G3664" s="296" t="s">
        <v>1763</v>
      </c>
      <c r="H3664" s="296" t="s">
        <v>2149</v>
      </c>
      <c r="I3664" s="622">
        <v>19.100000000000001</v>
      </c>
      <c r="J3664" s="296" t="s">
        <v>1763</v>
      </c>
      <c r="K3664" s="252">
        <f>(F3664*I3664)</f>
        <v>573</v>
      </c>
      <c r="S3664" s="522">
        <v>2</v>
      </c>
      <c r="T3664" s="522" t="s">
        <v>1865</v>
      </c>
      <c r="U3664" s="522" t="s">
        <v>5614</v>
      </c>
      <c r="V3664" s="608">
        <v>64.8</v>
      </c>
      <c r="W3664" s="255" t="s">
        <v>1393</v>
      </c>
      <c r="X3664" s="481">
        <f t="shared" si="363"/>
        <v>129.6</v>
      </c>
      <c r="Y3664" s="481"/>
      <c r="AB3664" s="481">
        <v>1</v>
      </c>
      <c r="AC3664" s="481" t="s">
        <v>865</v>
      </c>
      <c r="AD3664" s="485" t="s">
        <v>5697</v>
      </c>
      <c r="AE3664" s="618">
        <f>V3670</f>
        <v>881</v>
      </c>
      <c r="AF3664" s="485" t="s">
        <v>865</v>
      </c>
      <c r="AG3664" s="481">
        <f>AE3664*AB3664</f>
        <v>881</v>
      </c>
    </row>
    <row r="3665" spans="6:33" ht="18.75" customHeight="1">
      <c r="H3665" s="296" t="s">
        <v>2150</v>
      </c>
      <c r="J3665" s="252"/>
      <c r="S3665" s="252"/>
      <c r="W3665" s="253"/>
      <c r="X3665" s="356"/>
      <c r="Y3665" s="481"/>
      <c r="AB3665" s="481">
        <v>1</v>
      </c>
      <c r="AC3665" s="481" t="s">
        <v>865</v>
      </c>
      <c r="AD3665" s="485" t="s">
        <v>5698</v>
      </c>
      <c r="AE3665" s="618">
        <f>V3671</f>
        <v>651</v>
      </c>
      <c r="AF3665" s="485" t="s">
        <v>865</v>
      </c>
      <c r="AG3665" s="481">
        <f>AE3665*AB3665</f>
        <v>651</v>
      </c>
    </row>
    <row r="3666" spans="6:33" ht="18.75" customHeight="1">
      <c r="H3666" s="296" t="s">
        <v>2151</v>
      </c>
      <c r="J3666" s="252"/>
      <c r="S3666" s="484"/>
      <c r="T3666" s="481"/>
      <c r="U3666" s="485"/>
      <c r="V3666" s="481"/>
      <c r="W3666" s="486"/>
      <c r="X3666" s="481"/>
      <c r="Y3666" s="481"/>
      <c r="AB3666" s="481">
        <v>0.5</v>
      </c>
      <c r="AC3666" s="481" t="s">
        <v>865</v>
      </c>
      <c r="AD3666" s="485" t="s">
        <v>5699</v>
      </c>
      <c r="AE3666" s="618">
        <f>V3672</f>
        <v>932</v>
      </c>
      <c r="AF3666" s="485" t="s">
        <v>865</v>
      </c>
      <c r="AG3666" s="481">
        <f>AE3666*AB3666</f>
        <v>466</v>
      </c>
    </row>
    <row r="3667" spans="6:33" ht="18.75" customHeight="1">
      <c r="H3667" s="296" t="s">
        <v>2152</v>
      </c>
      <c r="J3667" s="252"/>
      <c r="S3667" s="484"/>
      <c r="T3667" s="481"/>
      <c r="U3667" s="296" t="s">
        <v>4100</v>
      </c>
      <c r="W3667" s="486"/>
      <c r="X3667" s="481">
        <f>SUM(X3653:X3666)</f>
        <v>19278.7</v>
      </c>
      <c r="Y3667" s="481"/>
      <c r="AB3667" s="481"/>
      <c r="AC3667" s="481" t="s">
        <v>446</v>
      </c>
      <c r="AD3667" s="485"/>
      <c r="AE3667" s="618">
        <f>V3673</f>
        <v>0</v>
      </c>
      <c r="AF3667" s="485" t="s">
        <v>446</v>
      </c>
      <c r="AG3667" s="481"/>
    </row>
    <row r="3668" spans="6:33" ht="18.75" customHeight="1">
      <c r="H3668" s="296" t="s">
        <v>5541</v>
      </c>
      <c r="J3668" s="252"/>
      <c r="S3668" s="484"/>
      <c r="T3668" s="481"/>
      <c r="U3668" s="296" t="s">
        <v>549</v>
      </c>
      <c r="W3668" s="482"/>
      <c r="X3668" s="487">
        <f>X3667/3.15</f>
        <v>6120.22</v>
      </c>
      <c r="Y3668" s="487" t="s">
        <v>1393</v>
      </c>
      <c r="AB3668" s="481"/>
      <c r="AC3668" s="481"/>
      <c r="AD3668" s="481"/>
      <c r="AE3668" s="481"/>
      <c r="AF3668" s="485"/>
      <c r="AG3668" s="490" t="s">
        <v>1579</v>
      </c>
    </row>
    <row r="3669" spans="6:33" ht="18.75" customHeight="1">
      <c r="H3669" s="296"/>
      <c r="J3669" s="252"/>
      <c r="S3669" s="481"/>
      <c r="T3669" s="481"/>
      <c r="U3669" s="489"/>
      <c r="V3669" s="481"/>
      <c r="W3669" s="486"/>
      <c r="X3669" s="481"/>
      <c r="Y3669" s="481"/>
      <c r="AB3669" s="481"/>
      <c r="AC3669" s="481"/>
      <c r="AD3669" s="485" t="s">
        <v>3917</v>
      </c>
      <c r="AE3669" s="481"/>
      <c r="AF3669" s="485"/>
      <c r="AG3669" s="487">
        <f>SUM(AG3664:AG3668)</f>
        <v>1998</v>
      </c>
    </row>
    <row r="3670" spans="6:33" ht="18.75" customHeight="1">
      <c r="F3670" s="252">
        <v>5</v>
      </c>
      <c r="G3670" s="296" t="s">
        <v>766</v>
      </c>
      <c r="H3670" s="389" t="s">
        <v>5037</v>
      </c>
      <c r="I3670" s="362">
        <v>44.9</v>
      </c>
      <c r="J3670" s="296" t="s">
        <v>766</v>
      </c>
      <c r="K3670" s="252">
        <f>(F3670*I3670)</f>
        <v>224.5</v>
      </c>
      <c r="L3670" s="623">
        <v>35.6</v>
      </c>
      <c r="S3670" s="481">
        <v>1</v>
      </c>
      <c r="T3670" s="481" t="s">
        <v>865</v>
      </c>
      <c r="U3670" s="485" t="s">
        <v>5697</v>
      </c>
      <c r="V3670" s="481">
        <f>AE17</f>
        <v>881</v>
      </c>
      <c r="W3670" s="486" t="s">
        <v>865</v>
      </c>
      <c r="X3670" s="481">
        <f>V3670*S3670</f>
        <v>881</v>
      </c>
      <c r="Y3670" s="481"/>
      <c r="AB3670" s="481"/>
      <c r="AC3670" s="481"/>
      <c r="AD3670" s="481"/>
      <c r="AE3670" s="481"/>
      <c r="AF3670" s="485"/>
      <c r="AG3670" s="490" t="s">
        <v>1579</v>
      </c>
    </row>
    <row r="3671" spans="6:33" ht="18.75" customHeight="1">
      <c r="F3671" s="252">
        <v>1</v>
      </c>
      <c r="G3671" s="296" t="s">
        <v>446</v>
      </c>
      <c r="H3671" s="296" t="s">
        <v>1676</v>
      </c>
      <c r="I3671" s="252">
        <v>12.1</v>
      </c>
      <c r="J3671" s="296" t="s">
        <v>446</v>
      </c>
      <c r="K3671" s="252">
        <f>(F3671*I3671)</f>
        <v>12.1</v>
      </c>
      <c r="S3671" s="481">
        <v>1</v>
      </c>
      <c r="T3671" s="481" t="s">
        <v>865</v>
      </c>
      <c r="U3671" s="485" t="s">
        <v>5698</v>
      </c>
      <c r="V3671" s="481">
        <f>AE11</f>
        <v>651</v>
      </c>
      <c r="W3671" s="486" t="s">
        <v>865</v>
      </c>
      <c r="X3671" s="481">
        <f>V3671*S3671</f>
        <v>651</v>
      </c>
      <c r="Y3671" s="481"/>
    </row>
    <row r="3672" spans="6:33" ht="18.75" customHeight="1">
      <c r="G3672" s="296" t="s">
        <v>446</v>
      </c>
      <c r="H3672" s="296" t="s">
        <v>447</v>
      </c>
      <c r="J3672" s="296" t="s">
        <v>446</v>
      </c>
      <c r="K3672" s="252">
        <v>17.100000000000001</v>
      </c>
      <c r="S3672" s="481">
        <v>0.5</v>
      </c>
      <c r="T3672" s="481" t="s">
        <v>865</v>
      </c>
      <c r="U3672" s="485" t="s">
        <v>5699</v>
      </c>
      <c r="V3672" s="481">
        <f>AE20</f>
        <v>932</v>
      </c>
      <c r="W3672" s="486" t="s">
        <v>865</v>
      </c>
      <c r="X3672" s="481">
        <f>V3672*S3672</f>
        <v>466</v>
      </c>
      <c r="Y3672" s="481"/>
    </row>
    <row r="3673" spans="6:33" ht="18.75" customHeight="1">
      <c r="J3673" s="252"/>
      <c r="S3673" s="481"/>
      <c r="T3673" s="481" t="s">
        <v>446</v>
      </c>
      <c r="U3673" s="485"/>
      <c r="V3673" s="481"/>
      <c r="W3673" s="486" t="s">
        <v>446</v>
      </c>
      <c r="X3673" s="481"/>
      <c r="Y3673" s="481"/>
    </row>
    <row r="3674" spans="6:33" ht="18.75" customHeight="1">
      <c r="J3674" s="252"/>
      <c r="K3674" s="358" t="s">
        <v>1579</v>
      </c>
      <c r="S3674" s="481"/>
      <c r="T3674" s="481"/>
      <c r="U3674" s="481"/>
      <c r="V3674" s="481"/>
      <c r="W3674" s="486"/>
      <c r="X3674" s="490" t="s">
        <v>1579</v>
      </c>
      <c r="Y3674" s="481"/>
    </row>
    <row r="3675" spans="6:33" ht="18.75" customHeight="1">
      <c r="H3675" s="296" t="s">
        <v>1537</v>
      </c>
      <c r="J3675" s="252"/>
      <c r="K3675" s="252">
        <f>SUM(K3660:K3672)</f>
        <v>14427.83</v>
      </c>
      <c r="S3675" s="481"/>
      <c r="T3675" s="481"/>
      <c r="U3675" s="485" t="s">
        <v>3917</v>
      </c>
      <c r="V3675" s="481"/>
      <c r="W3675" s="486"/>
      <c r="X3675" s="487">
        <f>SUM(X3670:X3674)</f>
        <v>1998</v>
      </c>
      <c r="Y3675" s="481"/>
    </row>
    <row r="3676" spans="6:33" ht="18.75" customHeight="1">
      <c r="J3676" s="252"/>
      <c r="K3676" s="358" t="s">
        <v>1579</v>
      </c>
      <c r="S3676" s="481"/>
      <c r="T3676" s="481"/>
      <c r="U3676" s="481"/>
      <c r="V3676" s="481"/>
      <c r="W3676" s="486"/>
      <c r="X3676" s="490" t="s">
        <v>1579</v>
      </c>
      <c r="Y3676" s="481"/>
    </row>
    <row r="3677" spans="6:33" ht="18.75" customHeight="1">
      <c r="H3677" s="296" t="s">
        <v>1538</v>
      </c>
      <c r="J3677" s="252"/>
      <c r="K3677" s="274">
        <f>(K3675/30)</f>
        <v>480.93</v>
      </c>
      <c r="S3677" s="252"/>
      <c r="W3677" s="253"/>
    </row>
    <row r="3678" spans="6:33" ht="18.75" customHeight="1">
      <c r="J3678" s="252"/>
      <c r="K3678" s="358" t="s">
        <v>1579</v>
      </c>
      <c r="S3678" s="252"/>
      <c r="W3678" s="253"/>
    </row>
    <row r="3679" spans="6:33" ht="18.75" customHeight="1">
      <c r="G3679" s="296" t="s">
        <v>1548</v>
      </c>
      <c r="H3679" s="620" t="s">
        <v>3817</v>
      </c>
      <c r="J3679" s="252"/>
      <c r="S3679" s="624"/>
      <c r="T3679" s="624"/>
      <c r="U3679" s="624"/>
      <c r="V3679" s="624"/>
      <c r="W3679" s="625"/>
      <c r="X3679" s="624"/>
    </row>
    <row r="3680" spans="6:33" ht="18.75" customHeight="1">
      <c r="H3680" s="358" t="s">
        <v>1579</v>
      </c>
      <c r="J3680" s="252"/>
      <c r="S3680" s="1266" t="s">
        <v>4106</v>
      </c>
      <c r="T3680" s="1266"/>
      <c r="U3680" s="1266"/>
      <c r="V3680" s="1266"/>
      <c r="W3680" s="482"/>
      <c r="X3680" s="482"/>
    </row>
    <row r="3681" spans="6:25" ht="18.75" customHeight="1">
      <c r="F3681" s="252">
        <f>F3660</f>
        <v>18.899999999999999</v>
      </c>
      <c r="G3681" s="296" t="s">
        <v>866</v>
      </c>
      <c r="H3681" s="296" t="str">
        <f>H3660</f>
        <v>E.W EXCLUDING REFILLING</v>
      </c>
      <c r="I3681" s="252">
        <f>I3660</f>
        <v>224.1</v>
      </c>
      <c r="J3681" s="296" t="s">
        <v>866</v>
      </c>
      <c r="K3681" s="252">
        <f>(F3681*I3681)</f>
        <v>4235.49</v>
      </c>
      <c r="S3681" s="484"/>
      <c r="T3681" s="481"/>
      <c r="U3681" s="482"/>
      <c r="V3681" s="481"/>
      <c r="W3681" s="486"/>
      <c r="X3681" s="481"/>
    </row>
    <row r="3682" spans="6:25" ht="18.75" customHeight="1">
      <c r="F3682" s="252">
        <v>18.3</v>
      </c>
      <c r="G3682" s="296" t="s">
        <v>866</v>
      </c>
      <c r="H3682" s="296" t="str">
        <f>H3661</f>
        <v>REFILLING CHARGE</v>
      </c>
      <c r="I3682" s="252">
        <f>I3661</f>
        <v>38.950000000000003</v>
      </c>
      <c r="J3682" s="296" t="s">
        <v>866</v>
      </c>
      <c r="K3682" s="252">
        <f>(F3682*I3682)</f>
        <v>712.79</v>
      </c>
      <c r="S3682" s="484"/>
      <c r="T3682" s="481"/>
      <c r="U3682" s="485"/>
      <c r="V3682" s="481"/>
      <c r="W3682" s="486"/>
      <c r="X3682" s="481"/>
    </row>
    <row r="3683" spans="6:25" ht="18.75" customHeight="1">
      <c r="F3683" s="252">
        <f>F3662</f>
        <v>30</v>
      </c>
      <c r="G3683" s="296" t="s">
        <v>1763</v>
      </c>
      <c r="H3683" s="275" t="s">
        <v>5540</v>
      </c>
      <c r="I3683" s="274">
        <v>604.5</v>
      </c>
      <c r="J3683" s="296" t="s">
        <v>1763</v>
      </c>
      <c r="K3683" s="252">
        <f>(F3683*I3683)</f>
        <v>18135</v>
      </c>
      <c r="S3683" s="484">
        <v>29.06</v>
      </c>
      <c r="T3683" s="481" t="s">
        <v>909</v>
      </c>
      <c r="U3683" s="617" t="s">
        <v>4107</v>
      </c>
      <c r="V3683" s="481">
        <f>V3653</f>
        <v>325</v>
      </c>
      <c r="W3683" s="486" t="s">
        <v>909</v>
      </c>
      <c r="X3683" s="481">
        <f>V3683*S3683</f>
        <v>9444.5</v>
      </c>
    </row>
    <row r="3684" spans="6:25" ht="18.75" customHeight="1">
      <c r="H3684" s="296"/>
      <c r="J3684" s="252"/>
      <c r="S3684" s="619">
        <v>9.24</v>
      </c>
      <c r="T3684" s="481" t="s">
        <v>823</v>
      </c>
      <c r="U3684" s="485" t="s">
        <v>4026</v>
      </c>
      <c r="V3684" s="481">
        <f t="shared" ref="V3684:V3694" si="364">V3654</f>
        <v>38.25</v>
      </c>
      <c r="W3684" s="486" t="s">
        <v>823</v>
      </c>
      <c r="X3684" s="481">
        <f t="shared" ref="X3684:X3694" si="365">V3684*S3684</f>
        <v>353.43</v>
      </c>
    </row>
    <row r="3685" spans="6:25" ht="18.75" customHeight="1">
      <c r="F3685" s="252">
        <f>F3664</f>
        <v>30</v>
      </c>
      <c r="H3685" s="296" t="str">
        <f>H3664</f>
        <v>CONVEYING,LOWERING  ANDLAYING</v>
      </c>
      <c r="I3685" s="252">
        <v>27</v>
      </c>
      <c r="J3685" s="296" t="s">
        <v>1763</v>
      </c>
      <c r="K3685" s="252">
        <f>(F3685*I3685)</f>
        <v>810</v>
      </c>
      <c r="S3685" s="484">
        <v>1.49</v>
      </c>
      <c r="T3685" s="481" t="s">
        <v>230</v>
      </c>
      <c r="U3685" s="485" t="s">
        <v>4024</v>
      </c>
      <c r="V3685" s="481">
        <f t="shared" si="364"/>
        <v>362.5</v>
      </c>
      <c r="W3685" s="486" t="s">
        <v>230</v>
      </c>
      <c r="X3685" s="481">
        <f t="shared" si="365"/>
        <v>540.13</v>
      </c>
    </row>
    <row r="3686" spans="6:25" ht="18.75" customHeight="1">
      <c r="H3686" s="296" t="str">
        <f>H3665</f>
        <v>TO PROPER GRADEAND</v>
      </c>
      <c r="J3686" s="252"/>
      <c r="S3686" s="484">
        <v>0.75</v>
      </c>
      <c r="T3686" s="481" t="s">
        <v>230</v>
      </c>
      <c r="U3686" s="485" t="s">
        <v>4025</v>
      </c>
      <c r="V3686" s="481">
        <f t="shared" si="364"/>
        <v>695</v>
      </c>
      <c r="W3686" s="486" t="s">
        <v>766</v>
      </c>
      <c r="X3686" s="481">
        <f t="shared" si="365"/>
        <v>521.25</v>
      </c>
    </row>
    <row r="3687" spans="6:25" ht="18.75" customHeight="1">
      <c r="H3687" s="296" t="str">
        <f>H3666</f>
        <v>ALIGNMENT,JOINTING</v>
      </c>
      <c r="J3687" s="252"/>
      <c r="S3687" s="626">
        <v>2</v>
      </c>
      <c r="T3687" s="481" t="s">
        <v>221</v>
      </c>
      <c r="U3687" s="485" t="s">
        <v>4108</v>
      </c>
      <c r="V3687" s="481">
        <f t="shared" si="364"/>
        <v>11.9</v>
      </c>
      <c r="W3687" s="486" t="s">
        <v>221</v>
      </c>
      <c r="X3687" s="481">
        <f t="shared" si="365"/>
        <v>23.8</v>
      </c>
    </row>
    <row r="3688" spans="6:25" ht="18.75" customHeight="1">
      <c r="G3688" s="296"/>
      <c r="H3688" s="296" t="str">
        <f>H3667</f>
        <v>ETC BUT EXCLUDING  COST OF</v>
      </c>
      <c r="S3688" s="484">
        <v>7.08</v>
      </c>
      <c r="T3688" s="481" t="s">
        <v>1393</v>
      </c>
      <c r="U3688" s="485" t="s">
        <v>4094</v>
      </c>
      <c r="V3688" s="481">
        <f t="shared" si="364"/>
        <v>7.95</v>
      </c>
      <c r="W3688" s="486" t="s">
        <v>766</v>
      </c>
      <c r="X3688" s="481">
        <f t="shared" si="365"/>
        <v>56.29</v>
      </c>
    </row>
    <row r="3689" spans="6:25" ht="18.75" customHeight="1">
      <c r="G3689" s="296"/>
      <c r="H3689" s="296" t="s">
        <v>5541</v>
      </c>
      <c r="S3689" s="484">
        <v>2.1</v>
      </c>
      <c r="T3689" s="481" t="s">
        <v>2273</v>
      </c>
      <c r="U3689" s="485" t="s">
        <v>3908</v>
      </c>
      <c r="V3689" s="481">
        <f t="shared" si="364"/>
        <v>1998</v>
      </c>
      <c r="W3689" s="486" t="s">
        <v>2273</v>
      </c>
      <c r="X3689" s="481">
        <f t="shared" si="365"/>
        <v>4195.8</v>
      </c>
    </row>
    <row r="3690" spans="6:25" ht="18.75" customHeight="1">
      <c r="G3690" s="296"/>
      <c r="H3690" s="296"/>
      <c r="S3690" s="274">
        <v>1</v>
      </c>
      <c r="T3690" s="274" t="s">
        <v>1865</v>
      </c>
      <c r="U3690" s="274" t="s">
        <v>4095</v>
      </c>
      <c r="V3690" s="481">
        <f t="shared" si="364"/>
        <v>49.55</v>
      </c>
      <c r="W3690" s="255" t="s">
        <v>1393</v>
      </c>
      <c r="X3690" s="481">
        <f t="shared" si="365"/>
        <v>49.55</v>
      </c>
    </row>
    <row r="3691" spans="6:25" ht="18.75" customHeight="1">
      <c r="F3691" s="252">
        <f>F3670</f>
        <v>5</v>
      </c>
      <c r="G3691" s="296" t="s">
        <v>446</v>
      </c>
      <c r="H3691" s="296" t="str">
        <f>H3670</f>
        <v>CUTTING CHARGES ( P-32/141)</v>
      </c>
      <c r="I3691" s="362">
        <f>I3670</f>
        <v>44.9</v>
      </c>
      <c r="J3691" s="296" t="s">
        <v>766</v>
      </c>
      <c r="K3691" s="252">
        <f>(F3691*I3691)</f>
        <v>224.5</v>
      </c>
      <c r="S3691" s="274">
        <v>1</v>
      </c>
      <c r="T3691" s="274" t="s">
        <v>1865</v>
      </c>
      <c r="U3691" s="274" t="s">
        <v>4109</v>
      </c>
      <c r="V3691" s="481">
        <f t="shared" si="364"/>
        <v>1008</v>
      </c>
      <c r="W3691" s="255" t="s">
        <v>1393</v>
      </c>
      <c r="X3691" s="481">
        <f t="shared" si="365"/>
        <v>1008</v>
      </c>
    </row>
    <row r="3692" spans="6:25" ht="18.75" customHeight="1">
      <c r="F3692" s="252">
        <f>F3671</f>
        <v>1</v>
      </c>
      <c r="H3692" s="296" t="str">
        <f>H3671</f>
        <v>COST OF JOINTING  MATERIALS</v>
      </c>
      <c r="I3692" s="252">
        <f>I3671</f>
        <v>12.1</v>
      </c>
      <c r="J3692" s="296" t="s">
        <v>446</v>
      </c>
      <c r="K3692" s="252">
        <f>(F3692*I3692)</f>
        <v>12.1</v>
      </c>
      <c r="S3692" s="522">
        <v>6</v>
      </c>
      <c r="T3692" s="522" t="s">
        <v>1865</v>
      </c>
      <c r="U3692" s="522" t="s">
        <v>4103</v>
      </c>
      <c r="V3692" s="481">
        <f t="shared" si="364"/>
        <v>2.21</v>
      </c>
      <c r="W3692" s="530" t="s">
        <v>1389</v>
      </c>
      <c r="X3692" s="481">
        <f t="shared" si="365"/>
        <v>13.26</v>
      </c>
    </row>
    <row r="3693" spans="6:25" ht="18.75" customHeight="1">
      <c r="H3693" s="296" t="str">
        <f>H3672</f>
        <v>SUNDRIES</v>
      </c>
      <c r="J3693" s="296" t="s">
        <v>446</v>
      </c>
      <c r="K3693" s="252">
        <v>24.3</v>
      </c>
      <c r="S3693" s="522">
        <v>2</v>
      </c>
      <c r="T3693" s="522" t="s">
        <v>1865</v>
      </c>
      <c r="U3693" s="522" t="s">
        <v>4110</v>
      </c>
      <c r="V3693" s="481">
        <f t="shared" si="364"/>
        <v>130.5</v>
      </c>
      <c r="W3693" s="255" t="s">
        <v>1393</v>
      </c>
      <c r="X3693" s="481">
        <f t="shared" si="365"/>
        <v>261</v>
      </c>
    </row>
    <row r="3694" spans="6:25" ht="18.75" customHeight="1">
      <c r="J3694" s="252"/>
      <c r="S3694" s="522">
        <v>2</v>
      </c>
      <c r="T3694" s="522" t="s">
        <v>1865</v>
      </c>
      <c r="U3694" s="522" t="s">
        <v>4099</v>
      </c>
      <c r="V3694" s="481">
        <f t="shared" si="364"/>
        <v>64.8</v>
      </c>
      <c r="W3694" s="255" t="s">
        <v>1393</v>
      </c>
      <c r="X3694" s="481">
        <f t="shared" si="365"/>
        <v>129.6</v>
      </c>
    </row>
    <row r="3695" spans="6:25" ht="18.75" customHeight="1">
      <c r="H3695" s="296" t="s">
        <v>1537</v>
      </c>
      <c r="J3695" s="252"/>
      <c r="K3695" s="252">
        <f>SUM(K3681:K3694)</f>
        <v>24154.18</v>
      </c>
      <c r="S3695" s="252"/>
      <c r="U3695" s="296" t="s">
        <v>4111</v>
      </c>
      <c r="W3695" s="486"/>
      <c r="X3695" s="481">
        <f>SUM(X3683:X3694)</f>
        <v>16596.61</v>
      </c>
      <c r="Y3695" s="481"/>
    </row>
    <row r="3696" spans="6:25" ht="18.75" customHeight="1">
      <c r="J3696" s="252"/>
      <c r="K3696" s="358" t="s">
        <v>1579</v>
      </c>
      <c r="S3696" s="624"/>
      <c r="T3696" s="624"/>
      <c r="U3696" s="296" t="s">
        <v>549</v>
      </c>
      <c r="W3696" s="482"/>
      <c r="X3696" s="487">
        <f>X3695/2.1</f>
        <v>7903.15</v>
      </c>
      <c r="Y3696" s="487"/>
    </row>
    <row r="3697" spans="6:26" ht="18.75" customHeight="1">
      <c r="H3697" s="296" t="s">
        <v>1538</v>
      </c>
      <c r="J3697" s="252"/>
      <c r="K3697" s="274">
        <f>(K3695/30)</f>
        <v>805.14</v>
      </c>
      <c r="S3697" s="624"/>
      <c r="T3697" s="624"/>
      <c r="U3697" s="624"/>
      <c r="V3697" s="624"/>
      <c r="W3697" s="625"/>
      <c r="X3697" s="624"/>
    </row>
    <row r="3698" spans="6:26" ht="18.75" customHeight="1">
      <c r="J3698" s="252"/>
      <c r="S3698" s="252"/>
      <c r="U3698" s="274" t="s">
        <v>4207</v>
      </c>
      <c r="W3698" s="253"/>
    </row>
    <row r="3699" spans="6:26" ht="18.75" customHeight="1">
      <c r="S3699" s="487"/>
      <c r="T3699" s="487"/>
      <c r="U3699" s="627" t="s">
        <v>5729</v>
      </c>
      <c r="V3699" s="627"/>
      <c r="W3699" s="628"/>
      <c r="X3699" s="627"/>
      <c r="Y3699" s="627"/>
      <c r="Z3699" s="627"/>
    </row>
    <row r="3700" spans="6:26" ht="18.75" customHeight="1">
      <c r="S3700" s="487"/>
      <c r="T3700" s="487"/>
      <c r="U3700" s="627"/>
      <c r="V3700" s="627"/>
      <c r="W3700" s="628"/>
      <c r="X3700" s="627"/>
      <c r="Y3700" s="627"/>
      <c r="Z3700" s="627"/>
    </row>
    <row r="3701" spans="6:26" ht="18.75" customHeight="1">
      <c r="F3701" s="624"/>
      <c r="G3701" s="624"/>
      <c r="H3701" s="624"/>
      <c r="I3701" s="624"/>
      <c r="J3701" s="624"/>
      <c r="K3701" s="624"/>
      <c r="L3701" s="624"/>
      <c r="M3701" s="624"/>
      <c r="N3701" s="624"/>
      <c r="S3701" s="484">
        <v>17.440000000000001</v>
      </c>
      <c r="T3701" s="481" t="s">
        <v>909</v>
      </c>
      <c r="U3701" s="617" t="s">
        <v>4314</v>
      </c>
      <c r="V3701" s="481">
        <f>V3683</f>
        <v>325</v>
      </c>
      <c r="W3701" s="486" t="s">
        <v>909</v>
      </c>
      <c r="X3701" s="481">
        <f>V3701*S3701</f>
        <v>5668</v>
      </c>
      <c r="Y3701" s="481"/>
    </row>
    <row r="3702" spans="6:26" ht="18.75" customHeight="1">
      <c r="F3702" s="624"/>
      <c r="G3702" s="624"/>
      <c r="H3702" s="629" t="s">
        <v>4029</v>
      </c>
      <c r="I3702" s="629"/>
      <c r="J3702" s="629"/>
      <c r="K3702" s="629"/>
      <c r="L3702" s="624"/>
      <c r="M3702" s="624"/>
      <c r="N3702" s="624"/>
      <c r="S3702" s="619">
        <v>13.56</v>
      </c>
      <c r="T3702" s="481" t="s">
        <v>823</v>
      </c>
      <c r="U3702" s="485" t="s">
        <v>4934</v>
      </c>
      <c r="V3702" s="618">
        <v>38.25</v>
      </c>
      <c r="W3702" s="486" t="s">
        <v>823</v>
      </c>
      <c r="X3702" s="481">
        <v>501.66</v>
      </c>
      <c r="Y3702" s="481"/>
    </row>
    <row r="3703" spans="6:26" ht="18.75" customHeight="1">
      <c r="F3703" s="624">
        <v>11</v>
      </c>
      <c r="G3703" s="518" t="s">
        <v>2273</v>
      </c>
      <c r="H3703" s="624" t="s">
        <v>5038</v>
      </c>
      <c r="I3703" s="362">
        <v>434</v>
      </c>
      <c r="J3703" s="518" t="s">
        <v>2273</v>
      </c>
      <c r="K3703" s="563">
        <f>I3703*F3703</f>
        <v>4774</v>
      </c>
      <c r="L3703" s="624"/>
      <c r="M3703" s="624"/>
      <c r="N3703" s="624"/>
      <c r="S3703" s="484">
        <v>2.62</v>
      </c>
      <c r="T3703" s="481" t="s">
        <v>230</v>
      </c>
      <c r="U3703" s="485" t="s">
        <v>4935</v>
      </c>
      <c r="V3703" s="618">
        <v>306.89999999999998</v>
      </c>
      <c r="W3703" s="486" t="s">
        <v>230</v>
      </c>
      <c r="X3703" s="481">
        <f>V3703*S3703</f>
        <v>804.08</v>
      </c>
      <c r="Y3703" s="481"/>
    </row>
    <row r="3704" spans="6:26" ht="18.75" customHeight="1">
      <c r="F3704" s="624">
        <v>2.2000000000000002</v>
      </c>
      <c r="G3704" s="624" t="s">
        <v>1393</v>
      </c>
      <c r="H3704" s="624" t="s">
        <v>4045</v>
      </c>
      <c r="I3704" s="252">
        <f>AE17</f>
        <v>881</v>
      </c>
      <c r="J3704" s="624" t="s">
        <v>1393</v>
      </c>
      <c r="K3704" s="563">
        <f>I3704*F3704</f>
        <v>1938.2</v>
      </c>
      <c r="L3704" s="624"/>
      <c r="M3704" s="624"/>
      <c r="N3704" s="624"/>
      <c r="S3704" s="484">
        <v>8</v>
      </c>
      <c r="T3704" s="481" t="s">
        <v>1427</v>
      </c>
      <c r="U3704" s="485" t="s">
        <v>4936</v>
      </c>
      <c r="V3704" s="618">
        <v>14.6</v>
      </c>
      <c r="W3704" s="486" t="s">
        <v>1427</v>
      </c>
      <c r="X3704" s="481">
        <f>V3704*S3704</f>
        <v>116.8</v>
      </c>
      <c r="Y3704" s="481"/>
    </row>
    <row r="3705" spans="6:26" ht="18.75" customHeight="1">
      <c r="F3705" s="624">
        <v>1.1000000000000001</v>
      </c>
      <c r="G3705" s="624" t="s">
        <v>1393</v>
      </c>
      <c r="H3705" s="624" t="s">
        <v>4030</v>
      </c>
      <c r="I3705" s="252">
        <f>AE19</f>
        <v>976</v>
      </c>
      <c r="J3705" s="624" t="s">
        <v>1393</v>
      </c>
      <c r="K3705" s="563">
        <f>I3705*F3705</f>
        <v>1073.5999999999999</v>
      </c>
      <c r="L3705" s="624"/>
      <c r="M3705" s="624"/>
      <c r="N3705" s="624"/>
      <c r="S3705" s="484">
        <v>3</v>
      </c>
      <c r="T3705" s="481" t="s">
        <v>1427</v>
      </c>
      <c r="U3705" s="485" t="s">
        <v>4937</v>
      </c>
      <c r="V3705" s="618">
        <v>71.099999999999994</v>
      </c>
      <c r="W3705" s="486" t="s">
        <v>221</v>
      </c>
      <c r="X3705" s="481">
        <f>V3705*S3705</f>
        <v>213.3</v>
      </c>
      <c r="Y3705" s="481"/>
    </row>
    <row r="3706" spans="6:26" ht="18.75" customHeight="1">
      <c r="F3706" s="624">
        <v>3.2</v>
      </c>
      <c r="G3706" s="624" t="s">
        <v>1393</v>
      </c>
      <c r="H3706" s="577" t="s">
        <v>4031</v>
      </c>
      <c r="I3706" s="252">
        <f>AE11</f>
        <v>651</v>
      </c>
      <c r="J3706" s="624" t="s">
        <v>1393</v>
      </c>
      <c r="K3706" s="563">
        <f>I3706*F3706</f>
        <v>2083.1999999999998</v>
      </c>
      <c r="L3706" s="624"/>
      <c r="M3706" s="624"/>
      <c r="N3706" s="624"/>
      <c r="S3706" s="484">
        <v>4</v>
      </c>
      <c r="T3706" s="481" t="s">
        <v>1427</v>
      </c>
      <c r="U3706" s="485" t="s">
        <v>4938</v>
      </c>
      <c r="V3706" s="618">
        <v>35.299999999999997</v>
      </c>
      <c r="W3706" s="486" t="s">
        <v>766</v>
      </c>
      <c r="X3706" s="481">
        <f>V3706*S3706</f>
        <v>141.19999999999999</v>
      </c>
      <c r="Y3706" s="481"/>
    </row>
    <row r="3707" spans="6:26" ht="18.75" customHeight="1">
      <c r="F3707" s="624"/>
      <c r="G3707" s="624" t="s">
        <v>4032</v>
      </c>
      <c r="H3707" s="624" t="s">
        <v>4033</v>
      </c>
      <c r="I3707" s="624" t="s">
        <v>4032</v>
      </c>
      <c r="J3707" s="624"/>
      <c r="K3707" s="624">
        <v>107.11</v>
      </c>
      <c r="L3707" s="624"/>
      <c r="M3707" s="624"/>
      <c r="N3707" s="624"/>
      <c r="S3707" s="484">
        <v>2.4300000000000002</v>
      </c>
      <c r="T3707" s="481" t="s">
        <v>2273</v>
      </c>
      <c r="U3707" s="485" t="s">
        <v>3908</v>
      </c>
      <c r="V3707" s="481">
        <f>X3675</f>
        <v>1998</v>
      </c>
      <c r="W3707" s="486" t="s">
        <v>2273</v>
      </c>
      <c r="X3707" s="481">
        <f>V3707*S3707</f>
        <v>4855.1400000000003</v>
      </c>
      <c r="Y3707" s="481"/>
    </row>
    <row r="3708" spans="6:26" ht="18.75" customHeight="1">
      <c r="F3708" s="624"/>
      <c r="G3708" s="624"/>
      <c r="H3708" s="624" t="s">
        <v>4034</v>
      </c>
      <c r="I3708" s="624"/>
      <c r="J3708" s="624"/>
      <c r="K3708" s="563">
        <f>SUM(K3703:K3707)</f>
        <v>9976.11</v>
      </c>
      <c r="L3708" s="624"/>
      <c r="M3708" s="624"/>
      <c r="N3708" s="624"/>
      <c r="S3708" s="274"/>
      <c r="T3708" s="274" t="s">
        <v>654</v>
      </c>
      <c r="U3708" s="274" t="s">
        <v>4202</v>
      </c>
      <c r="V3708" s="274"/>
      <c r="W3708" s="255" t="s">
        <v>654</v>
      </c>
      <c r="X3708" s="274">
        <v>130</v>
      </c>
      <c r="Y3708" s="481"/>
    </row>
    <row r="3709" spans="6:26" ht="18.75" customHeight="1">
      <c r="F3709" s="624"/>
      <c r="G3709" s="624"/>
      <c r="H3709" s="624" t="s">
        <v>4035</v>
      </c>
      <c r="I3709" s="624"/>
      <c r="J3709" s="624"/>
      <c r="K3709" s="630">
        <f>K3708/10</f>
        <v>997.61</v>
      </c>
      <c r="L3709" s="624"/>
      <c r="M3709" s="624"/>
      <c r="N3709" s="624">
        <f>L3709</f>
        <v>0</v>
      </c>
      <c r="S3709" s="274"/>
      <c r="T3709" s="274"/>
      <c r="U3709" s="274"/>
      <c r="V3709" s="274"/>
      <c r="W3709" s="255"/>
      <c r="X3709" s="274">
        <f>SUM(X3701:X3708)</f>
        <v>12430.18</v>
      </c>
      <c r="Y3709" s="481"/>
    </row>
    <row r="3710" spans="6:26" ht="18.75" customHeight="1">
      <c r="F3710" s="624"/>
      <c r="G3710" s="624"/>
      <c r="H3710" s="624"/>
      <c r="I3710" s="624"/>
      <c r="J3710" s="624"/>
      <c r="K3710" s="624"/>
      <c r="L3710" s="624"/>
      <c r="M3710" s="624"/>
      <c r="N3710" s="624"/>
      <c r="W3710" s="253"/>
      <c r="X3710" s="274">
        <f>X3709/S3707</f>
        <v>5115.3</v>
      </c>
      <c r="Y3710" s="481" t="s">
        <v>2273</v>
      </c>
    </row>
    <row r="3711" spans="6:26" ht="18.75" customHeight="1">
      <c r="F3711" s="1272" t="s">
        <v>4046</v>
      </c>
      <c r="G3711" s="1272"/>
      <c r="H3711" s="1272"/>
      <c r="I3711" s="1272"/>
      <c r="J3711" s="1272"/>
      <c r="K3711" s="1272"/>
      <c r="L3711" s="624"/>
      <c r="M3711" s="624"/>
      <c r="N3711" s="624"/>
      <c r="O3711" s="1273" t="s">
        <v>4669</v>
      </c>
      <c r="P3711" s="1273"/>
      <c r="W3711" s="253" t="s">
        <v>4209</v>
      </c>
      <c r="X3711" s="252">
        <v>3584</v>
      </c>
      <c r="Y3711" s="481"/>
    </row>
    <row r="3712" spans="6:26" ht="18.75" customHeight="1">
      <c r="F3712" s="624"/>
      <c r="G3712" s="624"/>
      <c r="H3712" s="629" t="s">
        <v>4036</v>
      </c>
      <c r="I3712" s="629"/>
      <c r="J3712" s="629"/>
      <c r="K3712" s="629"/>
      <c r="L3712" s="624"/>
      <c r="M3712" s="518">
        <v>12.72</v>
      </c>
      <c r="N3712" s="624" t="s">
        <v>1637</v>
      </c>
      <c r="O3712" s="252" t="s">
        <v>4673</v>
      </c>
      <c r="P3712" s="252">
        <f>V3715</f>
        <v>325</v>
      </c>
      <c r="Q3712" s="624" t="s">
        <v>1637</v>
      </c>
      <c r="R3712" s="631">
        <f>P3712*M3712</f>
        <v>4134</v>
      </c>
      <c r="S3712" s="252"/>
      <c r="U3712" s="274" t="s">
        <v>4208</v>
      </c>
      <c r="W3712" s="253"/>
      <c r="Y3712" s="481"/>
    </row>
    <row r="3713" spans="6:25" ht="18.75" customHeight="1">
      <c r="F3713" s="518">
        <v>36</v>
      </c>
      <c r="G3713" s="624" t="s">
        <v>823</v>
      </c>
      <c r="H3713" s="577" t="s">
        <v>5482</v>
      </c>
      <c r="I3713" s="362">
        <v>34.6</v>
      </c>
      <c r="J3713" s="518" t="str">
        <f>G3713</f>
        <v>Rmt</v>
      </c>
      <c r="K3713" s="518">
        <f>I3713*F3713</f>
        <v>1245.5999999999999</v>
      </c>
      <c r="L3713" s="624"/>
      <c r="M3713" s="632">
        <v>9.4</v>
      </c>
      <c r="N3713" s="633" t="s">
        <v>2273</v>
      </c>
      <c r="O3713" s="634" t="s">
        <v>4671</v>
      </c>
      <c r="P3713" s="635">
        <v>807</v>
      </c>
      <c r="Q3713" s="633" t="s">
        <v>2273</v>
      </c>
      <c r="R3713" s="631">
        <f t="shared" ref="R3713:R3718" si="366">P3713*M3713</f>
        <v>7585.8</v>
      </c>
      <c r="S3713" s="487"/>
      <c r="T3713" s="487"/>
      <c r="U3713" s="627" t="s">
        <v>5730</v>
      </c>
      <c r="V3713" s="627"/>
      <c r="W3713" s="628"/>
      <c r="X3713" s="627"/>
      <c r="Y3713" s="481"/>
    </row>
    <row r="3714" spans="6:25" ht="18.75" customHeight="1">
      <c r="F3714" s="518">
        <v>9</v>
      </c>
      <c r="G3714" s="518" t="s">
        <v>2273</v>
      </c>
      <c r="H3714" s="636" t="s">
        <v>4037</v>
      </c>
      <c r="I3714" s="314">
        <v>350</v>
      </c>
      <c r="J3714" s="518" t="str">
        <f>G3714</f>
        <v>Sqm</v>
      </c>
      <c r="K3714" s="518">
        <f>I3714*F3714</f>
        <v>3150</v>
      </c>
      <c r="L3714" s="624"/>
      <c r="M3714" s="518">
        <v>9.4</v>
      </c>
      <c r="N3714" s="518" t="s">
        <v>2273</v>
      </c>
      <c r="O3714" s="636" t="s">
        <v>4939</v>
      </c>
      <c r="P3714" s="362">
        <v>412</v>
      </c>
      <c r="Q3714" s="518" t="s">
        <v>2273</v>
      </c>
      <c r="R3714" s="631">
        <f t="shared" si="366"/>
        <v>3872.8</v>
      </c>
      <c r="S3714" s="487"/>
      <c r="T3714" s="487"/>
      <c r="U3714" s="627"/>
      <c r="V3714" s="627"/>
      <c r="W3714" s="628"/>
      <c r="X3714" s="627"/>
      <c r="Y3714" s="481"/>
    </row>
    <row r="3715" spans="6:25" ht="18.75" customHeight="1">
      <c r="F3715" s="518">
        <v>9</v>
      </c>
      <c r="G3715" s="518" t="s">
        <v>2273</v>
      </c>
      <c r="H3715" s="636" t="s">
        <v>4038</v>
      </c>
      <c r="I3715" s="314">
        <v>860.8</v>
      </c>
      <c r="J3715" s="518" t="str">
        <f>G3715</f>
        <v>Sqm</v>
      </c>
      <c r="K3715" s="518">
        <f>I3715*F3715</f>
        <v>7747.2</v>
      </c>
      <c r="L3715" s="624"/>
      <c r="M3715" s="518">
        <v>40</v>
      </c>
      <c r="N3715" s="518" t="s">
        <v>255</v>
      </c>
      <c r="O3715" s="636" t="s">
        <v>4670</v>
      </c>
      <c r="P3715" s="314">
        <v>10</v>
      </c>
      <c r="Q3715" s="518" t="s">
        <v>255</v>
      </c>
      <c r="R3715" s="631">
        <f t="shared" si="366"/>
        <v>400</v>
      </c>
      <c r="S3715" s="484">
        <v>14.43</v>
      </c>
      <c r="T3715" s="481" t="s">
        <v>909</v>
      </c>
      <c r="U3715" s="617" t="s">
        <v>4107</v>
      </c>
      <c r="V3715" s="481">
        <f>V3701</f>
        <v>325</v>
      </c>
      <c r="W3715" s="486" t="s">
        <v>909</v>
      </c>
      <c r="X3715" s="481">
        <f>V3715*S3715</f>
        <v>4689.75</v>
      </c>
      <c r="Y3715" s="481"/>
    </row>
    <row r="3716" spans="6:25" ht="18.75" customHeight="1">
      <c r="F3716" s="518">
        <v>9</v>
      </c>
      <c r="G3716" s="518" t="s">
        <v>2273</v>
      </c>
      <c r="H3716" s="577" t="s">
        <v>4940</v>
      </c>
      <c r="I3716" s="362">
        <v>648</v>
      </c>
      <c r="J3716" s="518" t="str">
        <f>G3716</f>
        <v>Sqm</v>
      </c>
      <c r="K3716" s="518">
        <f>I3716*F3716</f>
        <v>5832</v>
      </c>
      <c r="L3716" s="624"/>
      <c r="M3716" s="518">
        <v>2.25</v>
      </c>
      <c r="N3716" s="518" t="s">
        <v>1637</v>
      </c>
      <c r="O3716" s="577" t="s">
        <v>4941</v>
      </c>
      <c r="P3716" s="362">
        <v>199.75</v>
      </c>
      <c r="Q3716" s="518" t="s">
        <v>1637</v>
      </c>
      <c r="R3716" s="631">
        <f t="shared" si="366"/>
        <v>449.44</v>
      </c>
      <c r="S3716" s="619">
        <v>10.433999999999999</v>
      </c>
      <c r="T3716" s="481" t="s">
        <v>823</v>
      </c>
      <c r="U3716" s="485" t="s">
        <v>4026</v>
      </c>
      <c r="V3716" s="481">
        <f t="shared" ref="V3716:V3721" si="367">V3702</f>
        <v>38.25</v>
      </c>
      <c r="W3716" s="486" t="s">
        <v>823</v>
      </c>
      <c r="X3716" s="481">
        <v>501.66</v>
      </c>
      <c r="Y3716" s="481"/>
    </row>
    <row r="3717" spans="6:25" ht="18.75" customHeight="1">
      <c r="F3717" s="518">
        <v>9</v>
      </c>
      <c r="G3717" s="518" t="s">
        <v>2273</v>
      </c>
      <c r="H3717" s="624" t="s">
        <v>4039</v>
      </c>
      <c r="I3717" s="518">
        <f>K3725</f>
        <v>1799</v>
      </c>
      <c r="J3717" s="518" t="str">
        <f>G3717</f>
        <v>Sqm</v>
      </c>
      <c r="K3717" s="518">
        <f>I3717*F3717</f>
        <v>16191</v>
      </c>
      <c r="L3717" s="624"/>
      <c r="M3717" s="518">
        <v>9.4</v>
      </c>
      <c r="N3717" s="518" t="s">
        <v>2273</v>
      </c>
      <c r="O3717" s="624" t="s">
        <v>4039</v>
      </c>
      <c r="P3717" s="518">
        <f>R3725</f>
        <v>2753.5</v>
      </c>
      <c r="Q3717" s="518" t="s">
        <v>2273</v>
      </c>
      <c r="R3717" s="631">
        <f t="shared" si="366"/>
        <v>25882.9</v>
      </c>
      <c r="S3717" s="484">
        <v>2.16</v>
      </c>
      <c r="T3717" s="481" t="s">
        <v>230</v>
      </c>
      <c r="U3717" s="485" t="s">
        <v>4203</v>
      </c>
      <c r="V3717" s="481">
        <f t="shared" si="367"/>
        <v>306.89999999999998</v>
      </c>
      <c r="W3717" s="486" t="s">
        <v>230</v>
      </c>
      <c r="X3717" s="481">
        <f>V3717*S3717</f>
        <v>662.9</v>
      </c>
      <c r="Y3717" s="481"/>
    </row>
    <row r="3718" spans="6:25" ht="18.75" customHeight="1">
      <c r="F3718" s="624"/>
      <c r="G3718" s="624"/>
      <c r="H3718" s="624"/>
      <c r="I3718" s="624"/>
      <c r="J3718" s="624"/>
      <c r="K3718" s="518">
        <f>SUM(K3713:K3717)</f>
        <v>34165.800000000003</v>
      </c>
      <c r="L3718" s="624"/>
      <c r="M3718" s="518">
        <v>0.25</v>
      </c>
      <c r="N3718" s="518" t="s">
        <v>1637</v>
      </c>
      <c r="O3718" s="624" t="s">
        <v>4942</v>
      </c>
      <c r="P3718" s="362">
        <v>64</v>
      </c>
      <c r="Q3718" s="518" t="s">
        <v>1637</v>
      </c>
      <c r="R3718" s="631">
        <f t="shared" si="366"/>
        <v>16</v>
      </c>
      <c r="S3718" s="484">
        <v>6</v>
      </c>
      <c r="T3718" s="481" t="s">
        <v>1427</v>
      </c>
      <c r="U3718" s="485" t="s">
        <v>4205</v>
      </c>
      <c r="V3718" s="481">
        <f t="shared" si="367"/>
        <v>14.6</v>
      </c>
      <c r="W3718" s="486" t="s">
        <v>1427</v>
      </c>
      <c r="X3718" s="481">
        <f>V3718*S3718</f>
        <v>87.6</v>
      </c>
      <c r="Y3718" s="487"/>
    </row>
    <row r="3719" spans="6:25" ht="18.75" customHeight="1">
      <c r="F3719" s="624"/>
      <c r="G3719" s="624"/>
      <c r="H3719" s="624" t="s">
        <v>4040</v>
      </c>
      <c r="I3719" s="624"/>
      <c r="J3719" s="518"/>
      <c r="K3719" s="518">
        <f>K3718/9</f>
        <v>3796.2</v>
      </c>
      <c r="L3719" s="624"/>
      <c r="M3719" s="624"/>
      <c r="N3719" s="624"/>
      <c r="O3719" s="624" t="s">
        <v>4672</v>
      </c>
      <c r="P3719" s="624"/>
      <c r="Q3719" s="518"/>
      <c r="R3719" s="518">
        <f>SUM(R3712:R3718)</f>
        <v>42340.94</v>
      </c>
      <c r="S3719" s="484">
        <v>2</v>
      </c>
      <c r="T3719" s="481" t="s">
        <v>1427</v>
      </c>
      <c r="U3719" s="485" t="s">
        <v>4204</v>
      </c>
      <c r="V3719" s="481">
        <f t="shared" si="367"/>
        <v>71.099999999999994</v>
      </c>
      <c r="W3719" s="486" t="s">
        <v>221</v>
      </c>
      <c r="X3719" s="481">
        <f>V3719*S3719</f>
        <v>142.19999999999999</v>
      </c>
      <c r="Y3719" s="481"/>
    </row>
    <row r="3720" spans="6:25" ht="18.75" customHeight="1">
      <c r="F3720" s="624"/>
      <c r="G3720" s="624"/>
      <c r="H3720" s="637" t="s">
        <v>4041</v>
      </c>
      <c r="I3720" s="629" t="s">
        <v>4042</v>
      </c>
      <c r="J3720" s="624"/>
      <c r="K3720" s="584">
        <v>3282</v>
      </c>
      <c r="L3720" s="624"/>
      <c r="M3720" s="624"/>
      <c r="N3720" s="624"/>
      <c r="O3720" s="637" t="s">
        <v>4041</v>
      </c>
      <c r="P3720" s="629" t="s">
        <v>4042</v>
      </c>
      <c r="Q3720" s="624"/>
      <c r="R3720" s="584">
        <f>R3719/M3717</f>
        <v>4504.3599999999997</v>
      </c>
      <c r="S3720" s="484">
        <v>3</v>
      </c>
      <c r="T3720" s="481" t="s">
        <v>1427</v>
      </c>
      <c r="U3720" s="485" t="s">
        <v>4206</v>
      </c>
      <c r="V3720" s="481">
        <f t="shared" si="367"/>
        <v>35.299999999999997</v>
      </c>
      <c r="W3720" s="486" t="s">
        <v>766</v>
      </c>
      <c r="X3720" s="481">
        <f>V3720*S3720</f>
        <v>105.9</v>
      </c>
      <c r="Y3720" s="481"/>
    </row>
    <row r="3721" spans="6:25" ht="18.75" customHeight="1">
      <c r="F3721" s="624"/>
      <c r="G3721" s="624"/>
      <c r="H3721" s="624" t="s">
        <v>4043</v>
      </c>
      <c r="I3721" s="624"/>
      <c r="J3721" s="624"/>
      <c r="K3721" s="624"/>
      <c r="L3721" s="624"/>
      <c r="M3721" s="624"/>
      <c r="N3721" s="624"/>
      <c r="O3721" s="624" t="s">
        <v>4043</v>
      </c>
      <c r="P3721" s="624"/>
      <c r="Q3721" s="624"/>
      <c r="R3721" s="624"/>
      <c r="S3721" s="484">
        <v>1.823</v>
      </c>
      <c r="T3721" s="481" t="s">
        <v>2273</v>
      </c>
      <c r="U3721" s="485" t="s">
        <v>3908</v>
      </c>
      <c r="V3721" s="481">
        <f t="shared" si="367"/>
        <v>1998</v>
      </c>
      <c r="W3721" s="486" t="s">
        <v>2273</v>
      </c>
      <c r="X3721" s="481">
        <f>V3721*S3721</f>
        <v>3642.35</v>
      </c>
      <c r="Y3721" s="481"/>
    </row>
    <row r="3722" spans="6:25" ht="18.75" customHeight="1">
      <c r="F3722" s="518">
        <v>1</v>
      </c>
      <c r="G3722" s="518" t="s">
        <v>255</v>
      </c>
      <c r="H3722" s="518" t="s">
        <v>4044</v>
      </c>
      <c r="I3722" s="518">
        <f>AE17</f>
        <v>881</v>
      </c>
      <c r="J3722" s="518" t="s">
        <v>255</v>
      </c>
      <c r="K3722" s="624">
        <f>I3722*F3722</f>
        <v>881</v>
      </c>
      <c r="L3722" s="624"/>
      <c r="M3722" s="518">
        <v>1</v>
      </c>
      <c r="N3722" s="518" t="s">
        <v>255</v>
      </c>
      <c r="O3722" s="518" t="s">
        <v>4061</v>
      </c>
      <c r="P3722" s="518">
        <f>AE19</f>
        <v>976</v>
      </c>
      <c r="Q3722" s="518" t="s">
        <v>255</v>
      </c>
      <c r="R3722" s="563">
        <f>P3722*M3722</f>
        <v>976</v>
      </c>
      <c r="S3722" s="274"/>
      <c r="T3722" s="274" t="s">
        <v>654</v>
      </c>
      <c r="U3722" s="274" t="s">
        <v>4202</v>
      </c>
      <c r="V3722" s="274"/>
      <c r="W3722" s="255" t="s">
        <v>654</v>
      </c>
      <c r="X3722" s="274">
        <v>110</v>
      </c>
      <c r="Y3722" s="481"/>
    </row>
    <row r="3723" spans="6:25" ht="18.75" customHeight="1">
      <c r="F3723" s="518">
        <v>1</v>
      </c>
      <c r="G3723" s="518" t="s">
        <v>255</v>
      </c>
      <c r="H3723" s="577" t="s">
        <v>1893</v>
      </c>
      <c r="I3723" s="518">
        <f>AE11</f>
        <v>651</v>
      </c>
      <c r="J3723" s="518" t="s">
        <v>255</v>
      </c>
      <c r="K3723" s="624">
        <f>I3723*F3723</f>
        <v>651</v>
      </c>
      <c r="L3723" s="624"/>
      <c r="M3723" s="518">
        <v>1.5</v>
      </c>
      <c r="N3723" s="518" t="s">
        <v>255</v>
      </c>
      <c r="O3723" s="577" t="s">
        <v>1893</v>
      </c>
      <c r="P3723" s="518">
        <f>I3723</f>
        <v>651</v>
      </c>
      <c r="Q3723" s="518" t="s">
        <v>255</v>
      </c>
      <c r="R3723" s="563">
        <f>P3723*M3723</f>
        <v>976.5</v>
      </c>
      <c r="S3723" s="274"/>
      <c r="T3723" s="274"/>
      <c r="U3723" s="274"/>
      <c r="V3723" s="274"/>
      <c r="W3723" s="255"/>
      <c r="X3723" s="274">
        <f>SUM(X3715:X3722)</f>
        <v>9942.36</v>
      </c>
      <c r="Y3723" s="481"/>
    </row>
    <row r="3724" spans="6:25" ht="18.75" customHeight="1">
      <c r="F3724" s="518">
        <v>0.5</v>
      </c>
      <c r="G3724" s="518" t="s">
        <v>255</v>
      </c>
      <c r="H3724" s="577" t="s">
        <v>317</v>
      </c>
      <c r="I3724" s="518">
        <f>AE12</f>
        <v>534</v>
      </c>
      <c r="J3724" s="518" t="s">
        <v>255</v>
      </c>
      <c r="K3724" s="624">
        <f>I3724*F3724</f>
        <v>267</v>
      </c>
      <c r="L3724" s="624"/>
      <c r="M3724" s="518">
        <v>1.5</v>
      </c>
      <c r="N3724" s="518" t="s">
        <v>255</v>
      </c>
      <c r="O3724" s="577" t="s">
        <v>317</v>
      </c>
      <c r="P3724" s="518">
        <f>I3724</f>
        <v>534</v>
      </c>
      <c r="Q3724" s="518" t="s">
        <v>255</v>
      </c>
      <c r="R3724" s="563">
        <f>P3724*M3724</f>
        <v>801</v>
      </c>
      <c r="W3724" s="253"/>
      <c r="X3724" s="274">
        <f>X3723/S3721</f>
        <v>5453.85</v>
      </c>
      <c r="Y3724" s="481"/>
    </row>
    <row r="3725" spans="6:25" ht="18.75" customHeight="1">
      <c r="F3725" s="624"/>
      <c r="G3725" s="624"/>
      <c r="H3725" s="624"/>
      <c r="I3725" s="624"/>
      <c r="J3725" s="624"/>
      <c r="K3725" s="624">
        <f>SUM(K3722:K3724)</f>
        <v>1799</v>
      </c>
      <c r="L3725" s="624"/>
      <c r="M3725" s="624"/>
      <c r="N3725" s="624"/>
      <c r="O3725" s="624"/>
      <c r="P3725" s="624"/>
      <c r="Q3725" s="624"/>
      <c r="R3725" s="563">
        <f>SUM(R3722:R3724)</f>
        <v>2753.5</v>
      </c>
      <c r="W3725" s="253"/>
      <c r="X3725" s="252">
        <v>3873</v>
      </c>
      <c r="Y3725" s="481"/>
    </row>
    <row r="3726" spans="6:25" ht="18.75" customHeight="1">
      <c r="F3726" s="624"/>
      <c r="G3726" s="624"/>
      <c r="H3726" s="624"/>
      <c r="I3726" s="624"/>
      <c r="J3726" s="624"/>
      <c r="K3726" s="624"/>
      <c r="L3726" s="624"/>
      <c r="M3726" s="624"/>
      <c r="N3726" s="624"/>
      <c r="O3726" s="624"/>
      <c r="P3726" s="624"/>
      <c r="Q3726" s="624"/>
      <c r="R3726" s="624"/>
      <c r="S3726" s="481"/>
      <c r="T3726" s="481"/>
      <c r="U3726" s="481"/>
      <c r="V3726" s="481"/>
      <c r="W3726" s="486"/>
      <c r="X3726" s="490"/>
      <c r="Y3726" s="481"/>
    </row>
    <row r="3727" spans="6:25" ht="18.75" customHeight="1">
      <c r="F3727" s="624"/>
      <c r="G3727" s="624"/>
      <c r="H3727" s="624"/>
      <c r="I3727" s="624"/>
      <c r="J3727" s="624"/>
      <c r="K3727" s="624"/>
      <c r="L3727" s="624"/>
      <c r="M3727" s="624"/>
      <c r="N3727" s="624"/>
      <c r="S3727" s="252"/>
      <c r="W3727" s="253"/>
    </row>
    <row r="3728" spans="6:25" ht="18.75" customHeight="1">
      <c r="H3728" s="407"/>
      <c r="J3728" s="252"/>
      <c r="K3728" s="624"/>
      <c r="L3728" s="624"/>
      <c r="M3728" s="624"/>
      <c r="N3728" s="624"/>
      <c r="W3728" s="253"/>
    </row>
    <row r="3729" spans="6:23" ht="18.75" customHeight="1">
      <c r="F3729" s="624"/>
      <c r="G3729" s="624"/>
      <c r="H3729" s="638" t="s">
        <v>4047</v>
      </c>
      <c r="I3729" s="629"/>
      <c r="J3729" s="624"/>
      <c r="K3729" s="624"/>
      <c r="L3729" s="624"/>
      <c r="M3729" s="624"/>
      <c r="N3729" s="624"/>
      <c r="W3729" s="253"/>
    </row>
    <row r="3730" spans="6:23" ht="18.75" customHeight="1">
      <c r="F3730" s="624"/>
      <c r="G3730" s="624"/>
      <c r="H3730" s="624"/>
      <c r="I3730" s="624"/>
      <c r="J3730" s="624"/>
      <c r="K3730" s="624"/>
      <c r="L3730" s="624"/>
      <c r="M3730" s="624"/>
      <c r="N3730" s="624"/>
      <c r="W3730" s="253"/>
    </row>
    <row r="3731" spans="6:23" ht="18.75" customHeight="1">
      <c r="F3731" s="518"/>
      <c r="G3731" s="518"/>
      <c r="H3731" s="639" t="s">
        <v>5731</v>
      </c>
      <c r="I3731" s="518"/>
      <c r="J3731" s="518"/>
      <c r="K3731" s="624"/>
      <c r="L3731" s="624"/>
      <c r="M3731" s="624"/>
      <c r="N3731" s="624"/>
      <c r="W3731" s="253"/>
    </row>
    <row r="3732" spans="6:23" ht="18.75" customHeight="1">
      <c r="F3732" s="518"/>
      <c r="G3732" s="518"/>
      <c r="H3732" s="577"/>
      <c r="I3732" s="518"/>
      <c r="J3732" s="518"/>
      <c r="K3732" s="624"/>
      <c r="L3732" s="624"/>
      <c r="M3732" s="624"/>
      <c r="N3732" s="624"/>
      <c r="W3732" s="253"/>
    </row>
    <row r="3733" spans="6:23" ht="18.75" customHeight="1">
      <c r="F3733" s="624"/>
      <c r="G3733" s="624"/>
      <c r="H3733" s="276" t="s">
        <v>4943</v>
      </c>
      <c r="I3733" s="518"/>
      <c r="J3733" s="624"/>
      <c r="K3733" s="624"/>
      <c r="L3733" s="624"/>
      <c r="M3733" s="624"/>
      <c r="N3733" s="624"/>
      <c r="W3733" s="253"/>
    </row>
    <row r="3734" spans="6:23" ht="18.75" customHeight="1">
      <c r="F3734" s="518">
        <v>5</v>
      </c>
      <c r="G3734" s="518" t="s">
        <v>1637</v>
      </c>
      <c r="H3734" s="518" t="s">
        <v>4944</v>
      </c>
      <c r="I3734" s="362">
        <v>27.45</v>
      </c>
      <c r="J3734" s="518" t="s">
        <v>1637</v>
      </c>
      <c r="K3734" s="518">
        <f>I3734*F3734</f>
        <v>137.25</v>
      </c>
      <c r="L3734" s="624"/>
      <c r="M3734" s="624"/>
      <c r="N3734" s="624"/>
      <c r="W3734" s="253"/>
    </row>
    <row r="3735" spans="6:23" ht="18.75" customHeight="1">
      <c r="F3735" s="518">
        <v>1</v>
      </c>
      <c r="G3735" s="518" t="s">
        <v>1389</v>
      </c>
      <c r="H3735" s="518" t="s">
        <v>4048</v>
      </c>
      <c r="I3735" s="518">
        <f>AE13</f>
        <v>797</v>
      </c>
      <c r="J3735" s="518" t="s">
        <v>1389</v>
      </c>
      <c r="K3735" s="518">
        <f>I3735*F3735</f>
        <v>797</v>
      </c>
      <c r="L3735" s="624"/>
      <c r="M3735" s="624"/>
      <c r="N3735" s="624"/>
      <c r="W3735" s="253"/>
    </row>
    <row r="3736" spans="6:23" ht="18.75" customHeight="1">
      <c r="F3736" s="518"/>
      <c r="G3736" s="577" t="s">
        <v>654</v>
      </c>
      <c r="H3736" s="577" t="s">
        <v>3029</v>
      </c>
      <c r="I3736" s="624"/>
      <c r="J3736" s="577" t="s">
        <v>654</v>
      </c>
      <c r="K3736" s="518">
        <f>(121.1+90.9)/12</f>
        <v>17.670000000000002</v>
      </c>
      <c r="L3736" s="624"/>
      <c r="M3736" s="624"/>
      <c r="N3736" s="624"/>
      <c r="W3736" s="253"/>
    </row>
    <row r="3737" spans="6:23" ht="18.75" customHeight="1">
      <c r="F3737" s="624"/>
      <c r="G3737" s="624"/>
      <c r="H3737" s="577" t="s">
        <v>1452</v>
      </c>
      <c r="I3737" s="624"/>
      <c r="J3737" s="624"/>
      <c r="K3737" s="640">
        <f>SUM(K3734:K3736)</f>
        <v>951.92</v>
      </c>
      <c r="L3737" s="624"/>
      <c r="M3737" s="624"/>
      <c r="N3737" s="624"/>
      <c r="W3737" s="253"/>
    </row>
    <row r="3738" spans="6:23" ht="18.75" customHeight="1">
      <c r="F3738" s="624"/>
      <c r="G3738" s="624"/>
      <c r="H3738" s="577" t="s">
        <v>3215</v>
      </c>
      <c r="I3738" s="624"/>
      <c r="J3738" s="624"/>
      <c r="K3738" s="641">
        <f>K3737/10</f>
        <v>95.19</v>
      </c>
      <c r="L3738" s="624"/>
      <c r="M3738" s="624"/>
      <c r="N3738" s="624"/>
      <c r="W3738" s="253"/>
    </row>
    <row r="3739" spans="6:23" ht="18.75" customHeight="1">
      <c r="W3739" s="253"/>
    </row>
    <row r="3740" spans="6:23" ht="18.75" customHeight="1">
      <c r="W3740" s="253"/>
    </row>
    <row r="3741" spans="6:23" ht="18.75" customHeight="1">
      <c r="F3741" s="624"/>
      <c r="G3741" s="624"/>
      <c r="H3741" s="624"/>
      <c r="I3741" s="624"/>
      <c r="J3741" s="624"/>
      <c r="K3741" s="624"/>
      <c r="L3741" s="624"/>
      <c r="M3741" s="624"/>
      <c r="N3741" s="624"/>
      <c r="W3741" s="253"/>
    </row>
    <row r="3742" spans="6:23" ht="18.75" customHeight="1">
      <c r="F3742" s="518"/>
      <c r="G3742" s="518"/>
      <c r="H3742" s="639" t="s">
        <v>4049</v>
      </c>
      <c r="I3742" s="518"/>
      <c r="J3742" s="518"/>
      <c r="K3742" s="624"/>
      <c r="L3742" s="624"/>
      <c r="M3742" s="624"/>
      <c r="N3742" s="624"/>
      <c r="W3742" s="253"/>
    </row>
    <row r="3743" spans="6:23" ht="18.75" customHeight="1">
      <c r="F3743" s="518" t="s">
        <v>1034</v>
      </c>
      <c r="G3743" s="518" t="s">
        <v>221</v>
      </c>
      <c r="H3743" s="577"/>
      <c r="I3743" s="518" t="s">
        <v>97</v>
      </c>
      <c r="J3743" s="518" t="s">
        <v>221</v>
      </c>
      <c r="K3743" s="518" t="s">
        <v>970</v>
      </c>
      <c r="L3743" s="624"/>
      <c r="M3743" s="624"/>
      <c r="N3743" s="624"/>
      <c r="W3743" s="253"/>
    </row>
    <row r="3744" spans="6:23" ht="18.75" customHeight="1">
      <c r="F3744" s="518"/>
      <c r="G3744" s="518"/>
      <c r="H3744" s="577"/>
      <c r="I3744" s="518"/>
      <c r="J3744" s="518"/>
      <c r="K3744" s="624"/>
      <c r="L3744" s="624"/>
      <c r="M3744" s="624"/>
      <c r="N3744" s="624"/>
      <c r="W3744" s="253"/>
    </row>
    <row r="3745" spans="6:23" ht="18.75" customHeight="1">
      <c r="F3745" s="518">
        <v>0.15</v>
      </c>
      <c r="G3745" s="518" t="s">
        <v>2142</v>
      </c>
      <c r="H3745" s="642" t="s">
        <v>4257</v>
      </c>
      <c r="I3745" s="362">
        <f>I3639</f>
        <v>2573.4499999999998</v>
      </c>
      <c r="J3745" s="518" t="s">
        <v>2142</v>
      </c>
      <c r="K3745" s="518">
        <f t="shared" ref="K3745:K3750" si="368">I3745*F3745</f>
        <v>386.02</v>
      </c>
      <c r="L3745" s="624"/>
      <c r="M3745" s="624"/>
      <c r="N3745" s="624"/>
      <c r="W3745" s="253"/>
    </row>
    <row r="3746" spans="6:23" ht="18.75" customHeight="1">
      <c r="F3746" s="643">
        <v>7.1999999999999995E-2</v>
      </c>
      <c r="G3746" s="518" t="s">
        <v>525</v>
      </c>
      <c r="H3746" s="577" t="s">
        <v>387</v>
      </c>
      <c r="I3746" s="518">
        <f>I9</f>
        <v>6040</v>
      </c>
      <c r="J3746" s="518" t="s">
        <v>525</v>
      </c>
      <c r="K3746" s="518">
        <f t="shared" si="368"/>
        <v>434.88</v>
      </c>
      <c r="L3746" s="624"/>
      <c r="M3746" s="624"/>
      <c r="N3746" s="624"/>
      <c r="W3746" s="253"/>
    </row>
    <row r="3747" spans="6:23" ht="18.75" customHeight="1">
      <c r="F3747" s="518">
        <v>14.5</v>
      </c>
      <c r="G3747" s="518" t="s">
        <v>909</v>
      </c>
      <c r="H3747" s="276" t="s">
        <v>3952</v>
      </c>
      <c r="I3747" s="362">
        <f>P2433</f>
        <v>24.93</v>
      </c>
      <c r="J3747" s="518" t="s">
        <v>909</v>
      </c>
      <c r="K3747" s="518">
        <f t="shared" si="368"/>
        <v>361.49</v>
      </c>
      <c r="L3747" s="624"/>
      <c r="M3747" s="624"/>
      <c r="N3747" s="624"/>
      <c r="W3747" s="253"/>
    </row>
    <row r="3748" spans="6:23" ht="18.75" customHeight="1">
      <c r="F3748" s="518">
        <v>1.6</v>
      </c>
      <c r="G3748" s="518" t="s">
        <v>255</v>
      </c>
      <c r="H3748" s="518" t="s">
        <v>4050</v>
      </c>
      <c r="I3748" s="518">
        <f>AE9</f>
        <v>999</v>
      </c>
      <c r="J3748" s="518" t="s">
        <v>255</v>
      </c>
      <c r="K3748" s="518">
        <f t="shared" si="368"/>
        <v>1598.4</v>
      </c>
      <c r="L3748" s="624"/>
      <c r="M3748" s="624"/>
      <c r="N3748" s="624"/>
      <c r="W3748" s="253"/>
    </row>
    <row r="3749" spans="6:23" ht="18.75" customHeight="1">
      <c r="F3749" s="518">
        <v>0.5</v>
      </c>
      <c r="G3749" s="518" t="s">
        <v>255</v>
      </c>
      <c r="H3749" s="577" t="s">
        <v>1893</v>
      </c>
      <c r="I3749" s="518">
        <f>AE11</f>
        <v>651</v>
      </c>
      <c r="J3749" s="518" t="s">
        <v>255</v>
      </c>
      <c r="K3749" s="518">
        <f t="shared" si="368"/>
        <v>325.5</v>
      </c>
      <c r="L3749" s="624"/>
      <c r="M3749" s="624"/>
      <c r="N3749" s="624"/>
      <c r="W3749" s="253"/>
    </row>
    <row r="3750" spans="6:23" ht="18.75" customHeight="1">
      <c r="F3750" s="518">
        <v>1.1000000000000001</v>
      </c>
      <c r="G3750" s="518" t="s">
        <v>255</v>
      </c>
      <c r="H3750" s="577" t="s">
        <v>317</v>
      </c>
      <c r="I3750" s="518">
        <f>AE12</f>
        <v>534</v>
      </c>
      <c r="J3750" s="518" t="s">
        <v>255</v>
      </c>
      <c r="K3750" s="518">
        <f t="shared" si="368"/>
        <v>587.4</v>
      </c>
      <c r="L3750" s="624"/>
      <c r="M3750" s="624"/>
      <c r="N3750" s="624"/>
      <c r="W3750" s="253"/>
    </row>
    <row r="3751" spans="6:23" ht="18.75" customHeight="1">
      <c r="F3751" s="518"/>
      <c r="G3751" s="518"/>
      <c r="H3751" s="577" t="s">
        <v>3029</v>
      </c>
      <c r="I3751" s="644" t="s">
        <v>654</v>
      </c>
      <c r="J3751" s="518"/>
      <c r="K3751" s="518">
        <v>52.63</v>
      </c>
      <c r="L3751" s="624"/>
      <c r="M3751" s="624"/>
      <c r="N3751" s="624"/>
      <c r="W3751" s="253"/>
    </row>
    <row r="3752" spans="6:23" ht="18.75" customHeight="1">
      <c r="F3752" s="518"/>
      <c r="G3752" s="518"/>
      <c r="H3752" s="577" t="s">
        <v>1452</v>
      </c>
      <c r="I3752" s="624"/>
      <c r="J3752" s="624"/>
      <c r="K3752" s="518">
        <f>SUM(K3745:K3751)</f>
        <v>3746.32</v>
      </c>
      <c r="L3752" s="624"/>
      <c r="M3752" s="624"/>
      <c r="N3752" s="624"/>
      <c r="W3752" s="253"/>
    </row>
    <row r="3753" spans="6:23" ht="18.75" customHeight="1">
      <c r="F3753" s="624"/>
      <c r="G3753" s="624"/>
      <c r="H3753" s="577" t="s">
        <v>3215</v>
      </c>
      <c r="I3753" s="624"/>
      <c r="J3753" s="624"/>
      <c r="K3753" s="584">
        <f>K3752/10</f>
        <v>374.63</v>
      </c>
      <c r="L3753" s="624"/>
      <c r="M3753" s="624"/>
      <c r="N3753" s="624"/>
      <c r="W3753" s="253"/>
    </row>
    <row r="3754" spans="6:23" ht="18.75" customHeight="1">
      <c r="F3754" s="624"/>
      <c r="G3754" s="624"/>
      <c r="H3754" s="624"/>
      <c r="I3754" s="624"/>
      <c r="J3754" s="624"/>
      <c r="K3754" s="624"/>
      <c r="L3754" s="624"/>
      <c r="M3754" s="624"/>
      <c r="N3754" s="624"/>
      <c r="W3754" s="253"/>
    </row>
    <row r="3755" spans="6:23" ht="18.75" customHeight="1">
      <c r="F3755" s="369"/>
      <c r="G3755" s="252" t="s">
        <v>2241</v>
      </c>
      <c r="I3755" s="645"/>
      <c r="J3755" s="646"/>
      <c r="W3755" s="253"/>
    </row>
    <row r="3756" spans="6:23" ht="18.75" customHeight="1">
      <c r="H3756" s="296"/>
      <c r="W3756" s="253"/>
    </row>
    <row r="3757" spans="6:23" ht="18.75" customHeight="1">
      <c r="H3757" s="646" t="s">
        <v>4051</v>
      </c>
      <c r="W3757" s="253"/>
    </row>
    <row r="3758" spans="6:23" ht="18.75" customHeight="1">
      <c r="H3758" s="358" t="s">
        <v>1579</v>
      </c>
      <c r="W3758" s="253"/>
    </row>
    <row r="3759" spans="6:23" ht="18.75" customHeight="1">
      <c r="F3759" s="252">
        <v>21.55</v>
      </c>
      <c r="G3759" s="252" t="s">
        <v>1637</v>
      </c>
      <c r="H3759" s="296" t="s">
        <v>4052</v>
      </c>
      <c r="I3759" s="252">
        <f>I3781</f>
        <v>325</v>
      </c>
      <c r="J3759" s="252" t="s">
        <v>1637</v>
      </c>
      <c r="K3759" s="252">
        <f>I3759*F3759</f>
        <v>7003.75</v>
      </c>
      <c r="W3759" s="253"/>
    </row>
    <row r="3760" spans="6:23" ht="18.75" customHeight="1">
      <c r="H3760" s="296" t="s">
        <v>4053</v>
      </c>
      <c r="J3760" s="252"/>
      <c r="K3760" s="252">
        <f>K3759*10/100</f>
        <v>700.38</v>
      </c>
      <c r="W3760" s="253"/>
    </row>
    <row r="3761" spans="6:23" ht="18.75" customHeight="1">
      <c r="F3761" s="252">
        <v>3.7</v>
      </c>
      <c r="G3761" s="252" t="s">
        <v>1637</v>
      </c>
      <c r="H3761" s="296" t="s">
        <v>4054</v>
      </c>
      <c r="I3761" s="252">
        <f>Y32</f>
        <v>58000</v>
      </c>
      <c r="J3761" s="252" t="s">
        <v>525</v>
      </c>
      <c r="K3761" s="252">
        <f>I3761*F3761/10000</f>
        <v>21.46</v>
      </c>
      <c r="W3761" s="253"/>
    </row>
    <row r="3762" spans="6:23" ht="18.75" customHeight="1">
      <c r="F3762" s="624"/>
      <c r="G3762" s="624"/>
      <c r="H3762" s="296" t="s">
        <v>4055</v>
      </c>
      <c r="K3762" s="252">
        <f>K3761*5/100</f>
        <v>1.07</v>
      </c>
      <c r="W3762" s="253"/>
    </row>
    <row r="3763" spans="6:23" ht="18.75" customHeight="1">
      <c r="F3763" s="252">
        <v>18</v>
      </c>
      <c r="G3763" s="252" t="s">
        <v>1865</v>
      </c>
      <c r="H3763" s="296" t="s">
        <v>4056</v>
      </c>
      <c r="I3763" s="436">
        <v>15</v>
      </c>
      <c r="J3763" s="252" t="s">
        <v>1427</v>
      </c>
      <c r="K3763" s="252">
        <f>I3763*F3763</f>
        <v>270</v>
      </c>
      <c r="W3763" s="253"/>
    </row>
    <row r="3764" spans="6:23" ht="18.75" customHeight="1">
      <c r="H3764" s="296" t="s">
        <v>4057</v>
      </c>
      <c r="K3764" s="252">
        <f>K3763*10/100</f>
        <v>27</v>
      </c>
      <c r="W3764" s="253"/>
    </row>
    <row r="3765" spans="6:23" ht="18.75" customHeight="1">
      <c r="F3765" s="252">
        <v>28</v>
      </c>
      <c r="G3765" s="252" t="s">
        <v>1865</v>
      </c>
      <c r="H3765" s="296" t="s">
        <v>4058</v>
      </c>
      <c r="I3765" s="436">
        <v>1</v>
      </c>
      <c r="J3765" s="252" t="s">
        <v>1865</v>
      </c>
      <c r="K3765" s="252">
        <f>I3765*F3765</f>
        <v>28</v>
      </c>
      <c r="W3765" s="253"/>
    </row>
    <row r="3766" spans="6:23" ht="18.75" customHeight="1">
      <c r="F3766" s="252">
        <v>28</v>
      </c>
      <c r="G3766" s="252" t="s">
        <v>1865</v>
      </c>
      <c r="H3766" s="296" t="s">
        <v>4059</v>
      </c>
      <c r="I3766" s="436">
        <v>2</v>
      </c>
      <c r="J3766" s="252" t="s">
        <v>1865</v>
      </c>
      <c r="K3766" s="252">
        <f>I3766*F3766</f>
        <v>56</v>
      </c>
      <c r="W3766" s="253"/>
    </row>
    <row r="3767" spans="6:23" ht="18.75" customHeight="1">
      <c r="F3767" s="252">
        <v>4</v>
      </c>
      <c r="G3767" s="252" t="s">
        <v>1865</v>
      </c>
      <c r="H3767" s="296" t="s">
        <v>4060</v>
      </c>
      <c r="I3767" s="252">
        <f>AE17</f>
        <v>881</v>
      </c>
      <c r="J3767" s="252" t="s">
        <v>1865</v>
      </c>
      <c r="K3767" s="252">
        <f>I3767*F3767</f>
        <v>3524</v>
      </c>
      <c r="W3767" s="253"/>
    </row>
    <row r="3768" spans="6:23" ht="18.75" customHeight="1">
      <c r="F3768" s="252">
        <v>2</v>
      </c>
      <c r="G3768" s="252" t="s">
        <v>1865</v>
      </c>
      <c r="H3768" s="261" t="s">
        <v>4061</v>
      </c>
      <c r="I3768" s="252">
        <f>AE19</f>
        <v>976</v>
      </c>
      <c r="J3768" s="252" t="s">
        <v>1865</v>
      </c>
      <c r="K3768" s="252">
        <f>I3768*F3768</f>
        <v>1952</v>
      </c>
      <c r="W3768" s="253"/>
    </row>
    <row r="3769" spans="6:23" ht="18.75" customHeight="1">
      <c r="F3769" s="252">
        <v>6</v>
      </c>
      <c r="G3769" s="252" t="s">
        <v>1865</v>
      </c>
      <c r="H3769" s="261" t="s">
        <v>4062</v>
      </c>
      <c r="I3769" s="252">
        <f>AE11</f>
        <v>651</v>
      </c>
      <c r="J3769" s="252" t="s">
        <v>1865</v>
      </c>
      <c r="K3769" s="252">
        <f>I3769*F3769</f>
        <v>3906</v>
      </c>
      <c r="W3769" s="253"/>
    </row>
    <row r="3770" spans="6:23" ht="18.75" customHeight="1">
      <c r="G3770" s="252" t="s">
        <v>446</v>
      </c>
      <c r="H3770" s="296" t="s">
        <v>3029</v>
      </c>
      <c r="I3770" s="296" t="s">
        <v>971</v>
      </c>
      <c r="J3770" s="296" t="s">
        <v>446</v>
      </c>
      <c r="K3770" s="252">
        <v>5.38</v>
      </c>
      <c r="W3770" s="253"/>
    </row>
    <row r="3771" spans="6:23" ht="18.75" customHeight="1">
      <c r="H3771" s="296"/>
      <c r="J3771" s="252"/>
      <c r="W3771" s="253"/>
    </row>
    <row r="3772" spans="6:23" ht="18.75" customHeight="1">
      <c r="H3772" s="296" t="s">
        <v>4063</v>
      </c>
      <c r="K3772" s="252">
        <f>SUM(K3759:K3771)</f>
        <v>17495.04</v>
      </c>
      <c r="W3772" s="253"/>
    </row>
    <row r="3773" spans="6:23" ht="18.75" customHeight="1">
      <c r="K3773" s="358" t="s">
        <v>1579</v>
      </c>
      <c r="W3773" s="253"/>
    </row>
    <row r="3774" spans="6:23" ht="18.75" customHeight="1">
      <c r="H3774" s="360" t="s">
        <v>4064</v>
      </c>
      <c r="I3774" s="274"/>
      <c r="J3774" s="360" t="s">
        <v>718</v>
      </c>
      <c r="K3774" s="274">
        <f>K3772/18</f>
        <v>971.95</v>
      </c>
      <c r="W3774" s="253"/>
    </row>
    <row r="3775" spans="6:23" ht="18.75" customHeight="1">
      <c r="H3775" s="360"/>
      <c r="I3775" s="274"/>
      <c r="J3775" s="360"/>
      <c r="K3775" s="358" t="s">
        <v>1579</v>
      </c>
      <c r="W3775" s="253"/>
    </row>
    <row r="3776" spans="6:23" ht="18.75" customHeight="1">
      <c r="H3776" s="360"/>
      <c r="I3776" s="274"/>
      <c r="J3776" s="360"/>
      <c r="K3776" s="274"/>
      <c r="W3776" s="253"/>
    </row>
    <row r="3777" spans="6:23" ht="18.75" customHeight="1">
      <c r="F3777" s="624"/>
      <c r="G3777" s="624"/>
      <c r="H3777" s="647" t="s">
        <v>4315</v>
      </c>
      <c r="I3777" s="624"/>
      <c r="J3777" s="624"/>
      <c r="K3777" s="624"/>
      <c r="L3777" s="624"/>
      <c r="W3777" s="253"/>
    </row>
    <row r="3778" spans="6:23" ht="18.75" customHeight="1">
      <c r="G3778" s="487" t="s">
        <v>4023</v>
      </c>
      <c r="H3778" s="487"/>
      <c r="I3778" s="487"/>
      <c r="J3778" s="487"/>
      <c r="K3778" s="482"/>
      <c r="L3778" s="482"/>
      <c r="W3778" s="253"/>
    </row>
    <row r="3779" spans="6:23" ht="18.75" customHeight="1">
      <c r="G3779" s="484"/>
      <c r="H3779" s="481"/>
      <c r="I3779" s="482"/>
      <c r="J3779" s="481"/>
      <c r="K3779" s="481"/>
      <c r="L3779" s="481"/>
      <c r="W3779" s="253"/>
    </row>
    <row r="3780" spans="6:23" ht="18.75" customHeight="1">
      <c r="G3780" s="484"/>
      <c r="H3780" s="481"/>
      <c r="I3780" s="485"/>
      <c r="J3780" s="481"/>
      <c r="K3780" s="481"/>
      <c r="L3780" s="481"/>
      <c r="W3780" s="253"/>
    </row>
    <row r="3781" spans="6:23" ht="18.75" customHeight="1">
      <c r="F3781" s="484">
        <v>38.86</v>
      </c>
      <c r="G3781" s="481" t="s">
        <v>909</v>
      </c>
      <c r="H3781" s="485" t="s">
        <v>4945</v>
      </c>
      <c r="I3781" s="618">
        <v>325</v>
      </c>
      <c r="J3781" s="481" t="s">
        <v>909</v>
      </c>
      <c r="K3781" s="481">
        <f t="shared" ref="K3781:K3788" si="369">I3781*F3781</f>
        <v>12629.5</v>
      </c>
      <c r="L3781" s="481"/>
      <c r="W3781" s="253"/>
    </row>
    <row r="3782" spans="6:23" ht="18.75" customHeight="1">
      <c r="F3782" s="484">
        <v>2.4300000000000002</v>
      </c>
      <c r="G3782" s="648" t="s">
        <v>230</v>
      </c>
      <c r="H3782" s="649" t="s">
        <v>4024</v>
      </c>
      <c r="I3782" s="618">
        <v>362.5</v>
      </c>
      <c r="J3782" s="481" t="s">
        <v>230</v>
      </c>
      <c r="K3782" s="481">
        <f t="shared" si="369"/>
        <v>880.88</v>
      </c>
      <c r="L3782" s="481"/>
      <c r="W3782" s="253"/>
    </row>
    <row r="3783" spans="6:23" ht="18.75" customHeight="1">
      <c r="F3783" s="484">
        <v>4.8499999999999996</v>
      </c>
      <c r="G3783" s="648" t="s">
        <v>230</v>
      </c>
      <c r="H3783" s="649" t="s">
        <v>4025</v>
      </c>
      <c r="I3783" s="616">
        <v>695</v>
      </c>
      <c r="J3783" s="481" t="s">
        <v>766</v>
      </c>
      <c r="K3783" s="481">
        <f t="shared" si="369"/>
        <v>3370.75</v>
      </c>
      <c r="L3783" s="481"/>
      <c r="W3783" s="253"/>
    </row>
    <row r="3784" spans="6:23" ht="18.75" customHeight="1">
      <c r="F3784" s="619">
        <v>34.65</v>
      </c>
      <c r="G3784" s="648" t="s">
        <v>823</v>
      </c>
      <c r="H3784" s="649" t="s">
        <v>5483</v>
      </c>
      <c r="I3784" s="618">
        <v>38.25</v>
      </c>
      <c r="J3784" s="481" t="s">
        <v>823</v>
      </c>
      <c r="K3784" s="481">
        <f t="shared" si="369"/>
        <v>1325.36</v>
      </c>
      <c r="L3784" s="481"/>
      <c r="W3784" s="253"/>
    </row>
    <row r="3785" spans="6:23" ht="18.75" customHeight="1">
      <c r="F3785" s="522">
        <v>144</v>
      </c>
      <c r="G3785" s="650" t="s">
        <v>1865</v>
      </c>
      <c r="H3785" s="650" t="s">
        <v>5484</v>
      </c>
      <c r="I3785" s="608">
        <v>2.41</v>
      </c>
      <c r="J3785" s="523" t="s">
        <v>1389</v>
      </c>
      <c r="K3785" s="481">
        <f t="shared" si="369"/>
        <v>347.04</v>
      </c>
      <c r="L3785" s="481"/>
      <c r="W3785" s="253"/>
    </row>
    <row r="3786" spans="6:23" ht="18.75" customHeight="1">
      <c r="F3786" s="522">
        <v>12</v>
      </c>
      <c r="G3786" s="650" t="s">
        <v>1865</v>
      </c>
      <c r="H3786" s="650" t="s">
        <v>5485</v>
      </c>
      <c r="I3786" s="608">
        <v>4.88</v>
      </c>
      <c r="J3786" s="523" t="s">
        <v>1389</v>
      </c>
      <c r="K3786" s="481">
        <f t="shared" si="369"/>
        <v>58.56</v>
      </c>
      <c r="L3786" s="481"/>
      <c r="W3786" s="253"/>
    </row>
    <row r="3787" spans="6:23" ht="18.75" customHeight="1">
      <c r="F3787" s="522">
        <v>12</v>
      </c>
      <c r="G3787" s="650" t="s">
        <v>1865</v>
      </c>
      <c r="H3787" s="650" t="s">
        <v>5486</v>
      </c>
      <c r="I3787" s="608">
        <v>1.08</v>
      </c>
      <c r="J3787" s="523" t="s">
        <v>1389</v>
      </c>
      <c r="K3787" s="481">
        <f t="shared" si="369"/>
        <v>12.96</v>
      </c>
      <c r="L3787" s="481"/>
      <c r="W3787" s="253"/>
    </row>
    <row r="3788" spans="6:23" ht="18.75" customHeight="1">
      <c r="F3788" s="484">
        <v>2</v>
      </c>
      <c r="G3788" s="648" t="s">
        <v>221</v>
      </c>
      <c r="H3788" s="649" t="s">
        <v>5487</v>
      </c>
      <c r="I3788" s="618">
        <v>11.9</v>
      </c>
      <c r="J3788" s="481" t="s">
        <v>221</v>
      </c>
      <c r="K3788" s="481">
        <f t="shared" si="369"/>
        <v>23.8</v>
      </c>
      <c r="L3788" s="481"/>
      <c r="W3788" s="253"/>
    </row>
    <row r="3789" spans="6:23" ht="18.75" customHeight="1">
      <c r="F3789" s="484">
        <v>6.6150000000000002</v>
      </c>
      <c r="G3789" s="648" t="s">
        <v>2273</v>
      </c>
      <c r="H3789" s="649" t="s">
        <v>3908</v>
      </c>
      <c r="I3789" s="481">
        <f>K3799</f>
        <v>1998</v>
      </c>
      <c r="J3789" s="481" t="s">
        <v>2273</v>
      </c>
      <c r="K3789" s="481">
        <f>1059.95*6.615</f>
        <v>7011.57</v>
      </c>
      <c r="L3789" s="481"/>
      <c r="W3789" s="253"/>
    </row>
    <row r="3790" spans="6:23" ht="18.75" customHeight="1">
      <c r="F3790" s="484"/>
      <c r="G3790" s="648"/>
      <c r="H3790" s="649"/>
      <c r="I3790" s="481"/>
      <c r="J3790" s="486"/>
      <c r="K3790" s="481"/>
      <c r="L3790" s="481"/>
      <c r="W3790" s="253"/>
    </row>
    <row r="3791" spans="6:23" ht="18.75" customHeight="1">
      <c r="F3791" s="484"/>
      <c r="G3791" s="648"/>
      <c r="H3791" s="401" t="s">
        <v>4028</v>
      </c>
      <c r="J3791" s="481"/>
      <c r="K3791" s="481">
        <f>SUM(K3781:K3790)</f>
        <v>25660.42</v>
      </c>
      <c r="L3791" s="481"/>
      <c r="W3791" s="253"/>
    </row>
    <row r="3792" spans="6:23" ht="18.75" customHeight="1">
      <c r="F3792" s="484"/>
      <c r="G3792" s="648"/>
      <c r="H3792" s="401" t="s">
        <v>549</v>
      </c>
      <c r="J3792" s="482"/>
      <c r="K3792" s="487">
        <f>K3791/6.615</f>
        <v>3879.13</v>
      </c>
      <c r="L3792" s="487" t="s">
        <v>1393</v>
      </c>
      <c r="W3792" s="253"/>
    </row>
    <row r="3793" spans="6:23" ht="18.75" customHeight="1">
      <c r="F3793" s="481"/>
      <c r="G3793" s="648"/>
      <c r="H3793" s="651"/>
      <c r="I3793" s="481"/>
      <c r="J3793" s="481"/>
      <c r="K3793" s="481"/>
      <c r="L3793" s="481"/>
      <c r="W3793" s="253"/>
    </row>
    <row r="3794" spans="6:23" ht="18.75" customHeight="1">
      <c r="F3794" s="481">
        <v>1</v>
      </c>
      <c r="G3794" s="481" t="s">
        <v>865</v>
      </c>
      <c r="H3794" s="485" t="s">
        <v>5697</v>
      </c>
      <c r="I3794" s="481">
        <f>AE17</f>
        <v>881</v>
      </c>
      <c r="J3794" s="485" t="s">
        <v>865</v>
      </c>
      <c r="K3794" s="481">
        <f>I3794*F3794</f>
        <v>881</v>
      </c>
      <c r="L3794" s="481"/>
      <c r="W3794" s="253"/>
    </row>
    <row r="3795" spans="6:23" ht="18.75" customHeight="1">
      <c r="F3795" s="481">
        <v>1</v>
      </c>
      <c r="G3795" s="481" t="s">
        <v>865</v>
      </c>
      <c r="H3795" s="485" t="s">
        <v>5698</v>
      </c>
      <c r="I3795" s="481">
        <f>AE11</f>
        <v>651</v>
      </c>
      <c r="J3795" s="485" t="s">
        <v>865</v>
      </c>
      <c r="K3795" s="481">
        <f>I3795*F3795</f>
        <v>651</v>
      </c>
      <c r="L3795" s="481"/>
      <c r="W3795" s="253"/>
    </row>
    <row r="3796" spans="6:23" ht="18.75" customHeight="1">
      <c r="F3796" s="481">
        <v>0.5</v>
      </c>
      <c r="G3796" s="481" t="s">
        <v>865</v>
      </c>
      <c r="H3796" s="485" t="s">
        <v>5699</v>
      </c>
      <c r="I3796" s="481">
        <f>AE20</f>
        <v>932</v>
      </c>
      <c r="J3796" s="485" t="s">
        <v>865</v>
      </c>
      <c r="K3796" s="481">
        <f>I3796*F3796</f>
        <v>466</v>
      </c>
      <c r="L3796" s="481"/>
      <c r="W3796" s="253"/>
    </row>
    <row r="3797" spans="6:23" ht="18.75" customHeight="1">
      <c r="F3797" s="481"/>
      <c r="G3797" s="481" t="s">
        <v>446</v>
      </c>
      <c r="H3797" s="485"/>
      <c r="I3797" s="481"/>
      <c r="J3797" s="485" t="s">
        <v>446</v>
      </c>
      <c r="K3797" s="481"/>
      <c r="L3797" s="481"/>
      <c r="W3797" s="253"/>
    </row>
    <row r="3798" spans="6:23" ht="18.75" customHeight="1">
      <c r="G3798" s="481"/>
      <c r="H3798" s="481"/>
      <c r="I3798" s="481"/>
      <c r="J3798" s="481"/>
      <c r="K3798" s="490" t="s">
        <v>1579</v>
      </c>
      <c r="L3798" s="624"/>
      <c r="W3798" s="253"/>
    </row>
    <row r="3799" spans="6:23" ht="18.75" customHeight="1">
      <c r="G3799" s="481"/>
      <c r="H3799" s="481"/>
      <c r="I3799" s="485" t="s">
        <v>3917</v>
      </c>
      <c r="J3799" s="481"/>
      <c r="K3799" s="487">
        <f>SUM(K3794:K3798)</f>
        <v>1998</v>
      </c>
      <c r="L3799" s="624"/>
      <c r="W3799" s="253"/>
    </row>
    <row r="3800" spans="6:23" ht="18.75" customHeight="1">
      <c r="G3800" s="481"/>
      <c r="H3800" s="481"/>
      <c r="I3800" s="481"/>
      <c r="J3800" s="481"/>
      <c r="K3800" s="490" t="s">
        <v>1579</v>
      </c>
      <c r="L3800" s="624"/>
      <c r="W3800" s="253"/>
    </row>
    <row r="3801" spans="6:23" ht="18.75" customHeight="1">
      <c r="J3801" s="252"/>
      <c r="K3801" s="356"/>
      <c r="W3801" s="253"/>
    </row>
    <row r="3802" spans="6:23" ht="18.75" customHeight="1">
      <c r="F3802" s="375"/>
      <c r="G3802" s="252" t="s">
        <v>2241</v>
      </c>
      <c r="H3802" s="296" t="s">
        <v>5686</v>
      </c>
      <c r="W3802" s="253"/>
    </row>
    <row r="3803" spans="6:23" ht="18.75" customHeight="1">
      <c r="H3803" s="296"/>
      <c r="W3803" s="253"/>
    </row>
    <row r="3804" spans="6:23" ht="18.75" customHeight="1">
      <c r="H3804" s="358" t="s">
        <v>1579</v>
      </c>
      <c r="W3804" s="253"/>
    </row>
    <row r="3805" spans="6:23" ht="18.75" customHeight="1">
      <c r="F3805" s="252">
        <v>1.86</v>
      </c>
      <c r="G3805" s="252" t="s">
        <v>606</v>
      </c>
      <c r="H3805" s="296" t="s">
        <v>3593</v>
      </c>
      <c r="I3805" s="314">
        <v>699.4</v>
      </c>
      <c r="J3805" s="296" t="s">
        <v>606</v>
      </c>
      <c r="K3805" s="252">
        <f>(F3805*I3805)</f>
        <v>1300.8800000000001</v>
      </c>
      <c r="W3805" s="253"/>
    </row>
    <row r="3806" spans="6:23" ht="18.75" customHeight="1">
      <c r="F3806" s="252">
        <v>0.4</v>
      </c>
      <c r="G3806" s="252" t="s">
        <v>1637</v>
      </c>
      <c r="H3806" s="296" t="s">
        <v>2072</v>
      </c>
      <c r="I3806" s="422">
        <f>I3462</f>
        <v>36.1</v>
      </c>
      <c r="J3806" s="296" t="s">
        <v>1637</v>
      </c>
      <c r="K3806" s="252">
        <f>(F3806*I3806)</f>
        <v>14.44</v>
      </c>
      <c r="W3806" s="253"/>
    </row>
    <row r="3807" spans="6:23" ht="18.75" customHeight="1">
      <c r="F3807" s="252">
        <v>0.02</v>
      </c>
      <c r="G3807" s="252" t="s">
        <v>866</v>
      </c>
      <c r="H3807" s="296" t="s">
        <v>414</v>
      </c>
      <c r="I3807" s="252">
        <f>K23</f>
        <v>6310.9</v>
      </c>
      <c r="J3807" s="296" t="s">
        <v>866</v>
      </c>
      <c r="K3807" s="252">
        <f>(F3807*I3807)</f>
        <v>126.22</v>
      </c>
      <c r="W3807" s="253"/>
    </row>
    <row r="3808" spans="6:23" ht="18.75" customHeight="1">
      <c r="F3808" s="252">
        <v>1</v>
      </c>
      <c r="G3808" s="252" t="s">
        <v>766</v>
      </c>
      <c r="H3808" s="296" t="s">
        <v>2000</v>
      </c>
      <c r="I3808" s="252">
        <f>I3748</f>
        <v>999</v>
      </c>
      <c r="J3808" s="296" t="s">
        <v>766</v>
      </c>
      <c r="K3808" s="252">
        <f>(F3808*I3808)</f>
        <v>999</v>
      </c>
      <c r="W3808" s="253"/>
    </row>
    <row r="3809" spans="6:23" ht="18.75" customHeight="1">
      <c r="F3809" s="252">
        <v>1</v>
      </c>
      <c r="G3809" s="252" t="s">
        <v>766</v>
      </c>
      <c r="H3809" s="296" t="s">
        <v>1680</v>
      </c>
      <c r="I3809" s="252">
        <f>I3795</f>
        <v>651</v>
      </c>
      <c r="J3809" s="296" t="s">
        <v>766</v>
      </c>
      <c r="K3809" s="252">
        <f>(F3809*I3809)</f>
        <v>651</v>
      </c>
      <c r="W3809" s="253"/>
    </row>
    <row r="3810" spans="6:23" ht="18.75" customHeight="1">
      <c r="G3810" s="252" t="s">
        <v>446</v>
      </c>
      <c r="H3810" s="296" t="s">
        <v>447</v>
      </c>
      <c r="J3810" s="296" t="s">
        <v>446</v>
      </c>
      <c r="W3810" s="253"/>
    </row>
    <row r="3811" spans="6:23" ht="18.75" customHeight="1">
      <c r="K3811" s="358" t="s">
        <v>1579</v>
      </c>
      <c r="W3811" s="253"/>
    </row>
    <row r="3812" spans="6:23" ht="18.75" customHeight="1">
      <c r="H3812" s="296" t="s">
        <v>1681</v>
      </c>
      <c r="K3812" s="252">
        <f>SUM(K3805:K3810)</f>
        <v>3091.54</v>
      </c>
      <c r="W3812" s="253"/>
    </row>
    <row r="3813" spans="6:23" ht="18.75" customHeight="1">
      <c r="K3813" s="358" t="s">
        <v>1579</v>
      </c>
      <c r="W3813" s="253"/>
    </row>
    <row r="3814" spans="6:23" ht="18.75" customHeight="1">
      <c r="H3814" s="255" t="s">
        <v>549</v>
      </c>
      <c r="K3814" s="274">
        <f>(K3812/1.86)</f>
        <v>1662.12</v>
      </c>
      <c r="W3814" s="253"/>
    </row>
    <row r="3815" spans="6:23" ht="18.75" customHeight="1">
      <c r="K3815" s="358" t="s">
        <v>2046</v>
      </c>
      <c r="W3815" s="253"/>
    </row>
    <row r="3816" spans="6:23" ht="18.75" customHeight="1">
      <c r="W3816" s="253"/>
    </row>
    <row r="3817" spans="6:23" ht="18.75" customHeight="1">
      <c r="F3817" s="375"/>
      <c r="G3817" s="252" t="s">
        <v>2241</v>
      </c>
      <c r="H3817" s="296" t="s">
        <v>5685</v>
      </c>
      <c r="W3817" s="253"/>
    </row>
    <row r="3818" spans="6:23" ht="18.75" customHeight="1">
      <c r="H3818" s="296"/>
      <c r="W3818" s="253"/>
    </row>
    <row r="3819" spans="6:23" ht="18.75" customHeight="1">
      <c r="H3819" s="296"/>
      <c r="W3819" s="253"/>
    </row>
    <row r="3820" spans="6:23" ht="18.75" customHeight="1">
      <c r="H3820" s="358" t="s">
        <v>1579</v>
      </c>
      <c r="I3820" s="358" t="s">
        <v>1579</v>
      </c>
      <c r="W3820" s="253"/>
    </row>
    <row r="3821" spans="6:23" ht="18.75" customHeight="1">
      <c r="F3821" s="252">
        <v>10</v>
      </c>
      <c r="G3821" s="252" t="s">
        <v>606</v>
      </c>
      <c r="H3821" s="260" t="s">
        <v>3592</v>
      </c>
      <c r="I3821" s="314">
        <v>538.21</v>
      </c>
      <c r="J3821" s="296" t="s">
        <v>606</v>
      </c>
      <c r="K3821" s="252">
        <f>(F3821*I3821)</f>
        <v>5382.1</v>
      </c>
      <c r="W3821" s="253"/>
    </row>
    <row r="3822" spans="6:23" ht="18.75" customHeight="1">
      <c r="F3822" s="252">
        <v>0.21</v>
      </c>
      <c r="G3822" s="252" t="s">
        <v>866</v>
      </c>
      <c r="H3822" s="296" t="s">
        <v>1868</v>
      </c>
      <c r="I3822" s="252">
        <f>I3455</f>
        <v>4861.3</v>
      </c>
      <c r="J3822" s="296" t="s">
        <v>866</v>
      </c>
      <c r="K3822" s="252">
        <f>(F3822*I3822)</f>
        <v>1020.87</v>
      </c>
      <c r="W3822" s="253"/>
    </row>
    <row r="3823" spans="6:23" ht="18.75" customHeight="1">
      <c r="H3823" s="296" t="s">
        <v>1869</v>
      </c>
      <c r="K3823" s="296" t="s">
        <v>971</v>
      </c>
      <c r="W3823" s="253"/>
    </row>
    <row r="3824" spans="6:23" ht="18.75" customHeight="1">
      <c r="F3824" s="252">
        <v>1.1000000000000001</v>
      </c>
      <c r="G3824" s="252" t="s">
        <v>766</v>
      </c>
      <c r="H3824" s="296" t="s">
        <v>2000</v>
      </c>
      <c r="I3824" s="252">
        <f>I3457</f>
        <v>999</v>
      </c>
      <c r="J3824" s="296" t="s">
        <v>766</v>
      </c>
      <c r="K3824" s="252">
        <f>(F3824*I3824)</f>
        <v>1098.9000000000001</v>
      </c>
      <c r="W3824" s="253"/>
    </row>
    <row r="3825" spans="6:23" ht="18.75" customHeight="1">
      <c r="F3825" s="252">
        <v>1.1000000000000001</v>
      </c>
      <c r="G3825" s="252" t="s">
        <v>766</v>
      </c>
      <c r="H3825" s="296" t="s">
        <v>1704</v>
      </c>
      <c r="I3825" s="252">
        <f t="shared" ref="I3825:I3832" si="370">I3458</f>
        <v>932</v>
      </c>
      <c r="J3825" s="296" t="s">
        <v>766</v>
      </c>
      <c r="K3825" s="252">
        <f>(F3825*I3825)</f>
        <v>1025.2</v>
      </c>
      <c r="W3825" s="253"/>
    </row>
    <row r="3826" spans="6:23" ht="18.75" customHeight="1">
      <c r="F3826" s="252">
        <v>2.2000000000000002</v>
      </c>
      <c r="G3826" s="252" t="s">
        <v>766</v>
      </c>
      <c r="H3826" s="296" t="s">
        <v>1893</v>
      </c>
      <c r="I3826" s="252">
        <f t="shared" si="370"/>
        <v>651</v>
      </c>
      <c r="J3826" s="296" t="s">
        <v>766</v>
      </c>
      <c r="K3826" s="252">
        <f>(F3826*I3826)</f>
        <v>1432.2</v>
      </c>
      <c r="W3826" s="253"/>
    </row>
    <row r="3827" spans="6:23" ht="18.75" customHeight="1">
      <c r="F3827" s="252">
        <v>2.2000000000000002</v>
      </c>
      <c r="G3827" s="252" t="s">
        <v>766</v>
      </c>
      <c r="H3827" s="296" t="s">
        <v>317</v>
      </c>
      <c r="I3827" s="252">
        <f t="shared" si="370"/>
        <v>534</v>
      </c>
      <c r="J3827" s="296" t="s">
        <v>766</v>
      </c>
      <c r="K3827" s="252">
        <f>(F3827*I3827)</f>
        <v>1174.8</v>
      </c>
      <c r="W3827" s="253"/>
    </row>
    <row r="3828" spans="6:23" ht="18.75" customHeight="1">
      <c r="F3828" s="356">
        <v>20</v>
      </c>
      <c r="G3828" s="252" t="s">
        <v>1637</v>
      </c>
      <c r="H3828" s="296" t="s">
        <v>859</v>
      </c>
      <c r="I3828" s="252">
        <f t="shared" si="370"/>
        <v>6040</v>
      </c>
      <c r="J3828" s="296" t="s">
        <v>858</v>
      </c>
      <c r="K3828" s="252">
        <f>(F3828*I3828)/1000</f>
        <v>120.8</v>
      </c>
      <c r="W3828" s="253"/>
    </row>
    <row r="3829" spans="6:23" ht="18.75" customHeight="1">
      <c r="F3829" s="356">
        <v>2</v>
      </c>
      <c r="G3829" s="252" t="s">
        <v>1637</v>
      </c>
      <c r="H3829" s="296" t="s">
        <v>2072</v>
      </c>
      <c r="I3829" s="252">
        <f t="shared" si="370"/>
        <v>36.1</v>
      </c>
      <c r="J3829" s="296" t="s">
        <v>1637</v>
      </c>
      <c r="K3829" s="252">
        <f>(F3829*I3829)</f>
        <v>72.2</v>
      </c>
      <c r="W3829" s="253"/>
    </row>
    <row r="3830" spans="6:23" ht="18.75" customHeight="1">
      <c r="F3830" s="252">
        <v>1.6</v>
      </c>
      <c r="G3830" s="252" t="s">
        <v>766</v>
      </c>
      <c r="H3830" s="296" t="s">
        <v>1704</v>
      </c>
      <c r="I3830" s="252">
        <f t="shared" si="370"/>
        <v>932</v>
      </c>
      <c r="J3830" s="296" t="s">
        <v>766</v>
      </c>
      <c r="K3830" s="252">
        <f>(F3830*I3830)</f>
        <v>1491.2</v>
      </c>
      <c r="W3830" s="253"/>
    </row>
    <row r="3831" spans="6:23" ht="18.75" customHeight="1">
      <c r="F3831" s="252">
        <v>0.5</v>
      </c>
      <c r="G3831" s="252" t="s">
        <v>766</v>
      </c>
      <c r="H3831" s="296" t="s">
        <v>1893</v>
      </c>
      <c r="I3831" s="252">
        <f t="shared" si="370"/>
        <v>651</v>
      </c>
      <c r="J3831" s="296" t="s">
        <v>766</v>
      </c>
      <c r="K3831" s="252">
        <f>(F3831*I3831)</f>
        <v>325.5</v>
      </c>
      <c r="W3831" s="253"/>
    </row>
    <row r="3832" spans="6:23" ht="18.75" customHeight="1">
      <c r="F3832" s="252">
        <v>1.1000000000000001</v>
      </c>
      <c r="G3832" s="252" t="s">
        <v>766</v>
      </c>
      <c r="H3832" s="296" t="s">
        <v>317</v>
      </c>
      <c r="I3832" s="252">
        <f t="shared" si="370"/>
        <v>534</v>
      </c>
      <c r="J3832" s="296" t="s">
        <v>766</v>
      </c>
      <c r="K3832" s="252">
        <f>(F3832*I3832)</f>
        <v>587.4</v>
      </c>
      <c r="W3832" s="253"/>
    </row>
    <row r="3833" spans="6:23" ht="18.75" customHeight="1">
      <c r="G3833" s="252" t="s">
        <v>446</v>
      </c>
      <c r="H3833" s="296" t="s">
        <v>447</v>
      </c>
      <c r="J3833" s="296" t="s">
        <v>446</v>
      </c>
      <c r="K3833" s="252">
        <v>0</v>
      </c>
      <c r="W3833" s="253"/>
    </row>
    <row r="3834" spans="6:23" ht="18.75" customHeight="1">
      <c r="K3834" s="358" t="s">
        <v>1579</v>
      </c>
      <c r="W3834" s="253"/>
    </row>
    <row r="3835" spans="6:23" ht="18.75" customHeight="1">
      <c r="H3835" s="296" t="s">
        <v>438</v>
      </c>
      <c r="K3835" s="252">
        <f>SUM(K3821:K3833)</f>
        <v>13731.17</v>
      </c>
      <c r="W3835" s="253"/>
    </row>
    <row r="3836" spans="6:23" ht="18.75" customHeight="1">
      <c r="K3836" s="358" t="s">
        <v>1579</v>
      </c>
      <c r="W3836" s="253"/>
    </row>
    <row r="3837" spans="6:23" ht="18.75" customHeight="1">
      <c r="F3837" s="356"/>
      <c r="H3837" s="255" t="s">
        <v>549</v>
      </c>
      <c r="K3837" s="274">
        <f>(K3835/10)</f>
        <v>1373.12</v>
      </c>
      <c r="W3837" s="253"/>
    </row>
    <row r="3838" spans="6:23" ht="18.75" customHeight="1">
      <c r="F3838" s="356"/>
      <c r="K3838" s="358" t="s">
        <v>2046</v>
      </c>
      <c r="W3838" s="253"/>
    </row>
    <row r="3839" spans="6:23" ht="18.75" customHeight="1">
      <c r="W3839" s="253"/>
    </row>
    <row r="3840" spans="6:23" ht="18.75" customHeight="1">
      <c r="G3840" s="274" t="s">
        <v>4080</v>
      </c>
      <c r="I3840" s="296">
        <f>1.2*0.8</f>
        <v>0.96</v>
      </c>
      <c r="J3840" s="252"/>
      <c r="K3840" s="356"/>
      <c r="W3840" s="253"/>
    </row>
    <row r="3841" spans="5:23" ht="18.75" customHeight="1">
      <c r="I3841" s="296"/>
      <c r="J3841" s="252"/>
      <c r="K3841" s="356"/>
      <c r="W3841" s="253"/>
    </row>
    <row r="3842" spans="5:23" ht="18.75" customHeight="1">
      <c r="E3842" s="296" t="s">
        <v>4081</v>
      </c>
      <c r="F3842" s="296"/>
      <c r="G3842" s="296"/>
      <c r="H3842" s="356">
        <f>4*3.9</f>
        <v>15.6</v>
      </c>
      <c r="I3842" s="296" t="s">
        <v>356</v>
      </c>
      <c r="K3842" s="356"/>
      <c r="W3842" s="253"/>
    </row>
    <row r="3843" spans="5:23" ht="18.75" customHeight="1">
      <c r="E3843" s="252" t="s">
        <v>4082</v>
      </c>
      <c r="H3843" s="252">
        <f>11*0.8*3.14</f>
        <v>27.63</v>
      </c>
      <c r="I3843" s="296" t="s">
        <v>356</v>
      </c>
      <c r="K3843" s="356"/>
      <c r="W3843" s="253"/>
    </row>
    <row r="3844" spans="5:23" ht="18.75" customHeight="1">
      <c r="E3844" s="252" t="s">
        <v>4083</v>
      </c>
      <c r="H3844" s="252">
        <f>2*1.2*1.2</f>
        <v>2.88</v>
      </c>
      <c r="I3844" s="296" t="s">
        <v>356</v>
      </c>
      <c r="K3844" s="356"/>
      <c r="W3844" s="253"/>
    </row>
    <row r="3845" spans="5:23" ht="18.75" customHeight="1">
      <c r="E3845" s="252" t="s">
        <v>4084</v>
      </c>
      <c r="H3845" s="252">
        <f>3*0.8*1.2</f>
        <v>2.88</v>
      </c>
      <c r="I3845" s="296" t="s">
        <v>356</v>
      </c>
      <c r="K3845" s="356"/>
      <c r="W3845" s="253"/>
    </row>
    <row r="3846" spans="5:23" ht="18.75" customHeight="1">
      <c r="E3846" s="252" t="s">
        <v>4085</v>
      </c>
      <c r="H3846" s="252">
        <v>5</v>
      </c>
      <c r="I3846" s="296"/>
      <c r="K3846" s="356"/>
      <c r="W3846" s="253"/>
    </row>
    <row r="3847" spans="5:23" ht="18.75" customHeight="1">
      <c r="H3847" s="377" t="s">
        <v>876</v>
      </c>
      <c r="I3847" s="296"/>
      <c r="K3847" s="356"/>
      <c r="W3847" s="253"/>
    </row>
    <row r="3848" spans="5:23" ht="18.75" customHeight="1">
      <c r="H3848" s="316">
        <f>SUM(H3842:H3846)</f>
        <v>53.99</v>
      </c>
      <c r="I3848" s="296" t="s">
        <v>356</v>
      </c>
      <c r="J3848" s="296">
        <f>H3848-51.7</f>
        <v>2.29</v>
      </c>
      <c r="K3848" s="356"/>
      <c r="W3848" s="253"/>
    </row>
    <row r="3849" spans="5:23" ht="18.75" customHeight="1">
      <c r="H3849" s="377" t="s">
        <v>876</v>
      </c>
      <c r="I3849" s="296"/>
      <c r="J3849" s="252"/>
      <c r="K3849" s="356"/>
      <c r="W3849" s="253"/>
    </row>
    <row r="3850" spans="5:23" ht="18.75" customHeight="1">
      <c r="I3850" s="296"/>
      <c r="J3850" s="252"/>
      <c r="K3850" s="356"/>
      <c r="W3850" s="253"/>
    </row>
    <row r="3851" spans="5:23" ht="18.75" customHeight="1">
      <c r="I3851" s="296"/>
      <c r="J3851" s="252"/>
      <c r="K3851" s="356"/>
      <c r="W3851" s="253"/>
    </row>
    <row r="3852" spans="5:23" ht="18.75" customHeight="1">
      <c r="E3852" s="356">
        <f>H3848</f>
        <v>53.99</v>
      </c>
      <c r="F3852" s="252" t="s">
        <v>1637</v>
      </c>
      <c r="G3852" s="252" t="s">
        <v>510</v>
      </c>
      <c r="H3852" s="252">
        <f>I2607</f>
        <v>70.150000000000006</v>
      </c>
      <c r="I3852" s="296" t="s">
        <v>1637</v>
      </c>
      <c r="J3852" s="252">
        <f>H3852*E3852</f>
        <v>3787.4</v>
      </c>
      <c r="K3852" s="356"/>
      <c r="W3852" s="253"/>
    </row>
    <row r="3853" spans="5:23" ht="18.75" customHeight="1">
      <c r="E3853" s="356">
        <v>0.96</v>
      </c>
      <c r="F3853" s="252" t="s">
        <v>2273</v>
      </c>
      <c r="G3853" s="252" t="s">
        <v>2113</v>
      </c>
      <c r="H3853" s="252">
        <f>I2608</f>
        <v>379.9</v>
      </c>
      <c r="I3853" s="296" t="s">
        <v>2273</v>
      </c>
      <c r="J3853" s="252">
        <f>H3853*E3853</f>
        <v>364.7</v>
      </c>
      <c r="K3853" s="356"/>
      <c r="W3853" s="253"/>
    </row>
    <row r="3854" spans="5:23" ht="18.75" customHeight="1">
      <c r="E3854" s="356">
        <v>0.96</v>
      </c>
      <c r="F3854" s="252" t="s">
        <v>2273</v>
      </c>
      <c r="G3854" s="252" t="s">
        <v>511</v>
      </c>
      <c r="H3854" s="252">
        <f>I2609</f>
        <v>40.65</v>
      </c>
      <c r="I3854" s="296" t="s">
        <v>2273</v>
      </c>
      <c r="J3854" s="252">
        <f>H3854*E3854</f>
        <v>39.020000000000003</v>
      </c>
      <c r="K3854" s="356"/>
      <c r="W3854" s="253"/>
    </row>
    <row r="3855" spans="5:23" ht="18.75" customHeight="1">
      <c r="G3855" s="252" t="s">
        <v>568</v>
      </c>
      <c r="H3855" s="252">
        <f>I2610</f>
        <v>266.81</v>
      </c>
      <c r="I3855" s="296" t="s">
        <v>446</v>
      </c>
      <c r="J3855" s="252">
        <f>H3855</f>
        <v>266.81</v>
      </c>
      <c r="K3855" s="356"/>
      <c r="W3855" s="253"/>
    </row>
    <row r="3856" spans="5:23" ht="18.75" customHeight="1">
      <c r="I3856" s="296"/>
      <c r="J3856" s="377" t="s">
        <v>146</v>
      </c>
      <c r="K3856" s="356"/>
      <c r="W3856" s="253"/>
    </row>
    <row r="3857" spans="5:23" ht="18.75" customHeight="1">
      <c r="G3857" s="274" t="s">
        <v>513</v>
      </c>
      <c r="I3857" s="296"/>
      <c r="J3857" s="274">
        <f>SUM(J3852:J3856)</f>
        <v>4457.93</v>
      </c>
      <c r="K3857" s="356"/>
      <c r="W3857" s="253"/>
    </row>
    <row r="3858" spans="5:23" ht="18.75" customHeight="1">
      <c r="I3858" s="296"/>
      <c r="J3858" s="377" t="s">
        <v>146</v>
      </c>
      <c r="K3858" s="356"/>
      <c r="W3858" s="253"/>
    </row>
    <row r="3859" spans="5:23" ht="18.75" customHeight="1">
      <c r="G3859" s="360" t="s">
        <v>2779</v>
      </c>
      <c r="I3859" s="296"/>
      <c r="J3859" s="274">
        <f>J3857/E3853</f>
        <v>4643.68</v>
      </c>
      <c r="K3859" s="356"/>
      <c r="W3859" s="253"/>
    </row>
    <row r="3860" spans="5:23" ht="18.75" customHeight="1">
      <c r="J3860" s="252"/>
      <c r="K3860" s="356"/>
      <c r="W3860" s="253"/>
    </row>
    <row r="3861" spans="5:23" ht="18.75" customHeight="1">
      <c r="G3861" s="274" t="s">
        <v>4086</v>
      </c>
      <c r="I3861" s="296">
        <f>1*0.8</f>
        <v>0.8</v>
      </c>
      <c r="J3861" s="252"/>
      <c r="K3861" s="356"/>
      <c r="W3861" s="253"/>
    </row>
    <row r="3862" spans="5:23" ht="18.75" customHeight="1">
      <c r="I3862" s="296"/>
      <c r="J3862" s="252"/>
      <c r="K3862" s="356"/>
      <c r="W3862" s="253"/>
    </row>
    <row r="3863" spans="5:23" ht="18.75" customHeight="1">
      <c r="E3863" s="296" t="s">
        <v>4087</v>
      </c>
      <c r="F3863" s="296"/>
      <c r="G3863" s="296"/>
      <c r="H3863" s="356">
        <f>3.6*3.9</f>
        <v>14.04</v>
      </c>
      <c r="I3863" s="296" t="s">
        <v>356</v>
      </c>
      <c r="K3863" s="356"/>
      <c r="W3863" s="253"/>
    </row>
    <row r="3864" spans="5:23" ht="18.75" customHeight="1">
      <c r="E3864" s="252" t="s">
        <v>4088</v>
      </c>
      <c r="H3864" s="252">
        <f>9*0.8*3.14</f>
        <v>22.61</v>
      </c>
      <c r="I3864" s="296" t="s">
        <v>356</v>
      </c>
      <c r="K3864" s="356"/>
      <c r="W3864" s="253"/>
    </row>
    <row r="3865" spans="5:23" ht="18.75" customHeight="1">
      <c r="E3865" s="252" t="s">
        <v>4089</v>
      </c>
      <c r="H3865" s="252">
        <f>2*1*1.2</f>
        <v>2.4</v>
      </c>
      <c r="I3865" s="296" t="s">
        <v>356</v>
      </c>
      <c r="K3865" s="356"/>
      <c r="W3865" s="253"/>
    </row>
    <row r="3866" spans="5:23" ht="18.75" customHeight="1">
      <c r="E3866" s="252" t="s">
        <v>4084</v>
      </c>
      <c r="H3866" s="252">
        <f>3*0.8*1.2</f>
        <v>2.88</v>
      </c>
      <c r="I3866" s="296" t="s">
        <v>356</v>
      </c>
      <c r="K3866" s="356"/>
      <c r="W3866" s="253"/>
    </row>
    <row r="3867" spans="5:23" ht="18.75" customHeight="1">
      <c r="E3867" s="252" t="s">
        <v>4085</v>
      </c>
      <c r="H3867" s="252">
        <v>5</v>
      </c>
      <c r="I3867" s="296"/>
      <c r="K3867" s="356"/>
      <c r="W3867" s="253"/>
    </row>
    <row r="3868" spans="5:23" ht="18.75" customHeight="1">
      <c r="H3868" s="377" t="s">
        <v>876</v>
      </c>
      <c r="I3868" s="296"/>
      <c r="K3868" s="356"/>
      <c r="W3868" s="253"/>
    </row>
    <row r="3869" spans="5:23" ht="18.75" customHeight="1">
      <c r="H3869" s="316">
        <f>SUM(H3863:H3867)</f>
        <v>46.93</v>
      </c>
      <c r="I3869" s="296" t="s">
        <v>356</v>
      </c>
      <c r="K3869" s="356"/>
      <c r="W3869" s="253"/>
    </row>
    <row r="3870" spans="5:23" ht="18.75" customHeight="1">
      <c r="H3870" s="377" t="s">
        <v>876</v>
      </c>
      <c r="I3870" s="296"/>
      <c r="J3870" s="252"/>
      <c r="K3870" s="356"/>
      <c r="W3870" s="253"/>
    </row>
    <row r="3871" spans="5:23" ht="18.75" customHeight="1">
      <c r="I3871" s="296"/>
      <c r="J3871" s="252"/>
      <c r="K3871" s="356"/>
      <c r="W3871" s="253"/>
    </row>
    <row r="3872" spans="5:23" ht="18.75" customHeight="1">
      <c r="I3872" s="296"/>
      <c r="J3872" s="252"/>
      <c r="K3872" s="356"/>
      <c r="W3872" s="253"/>
    </row>
    <row r="3873" spans="5:23" ht="18.75" customHeight="1">
      <c r="E3873" s="356">
        <f>H3869</f>
        <v>46.93</v>
      </c>
      <c r="F3873" s="252" t="s">
        <v>1637</v>
      </c>
      <c r="G3873" s="252" t="s">
        <v>510</v>
      </c>
      <c r="H3873" s="252">
        <f>H3852</f>
        <v>70.150000000000006</v>
      </c>
      <c r="I3873" s="296" t="s">
        <v>1637</v>
      </c>
      <c r="J3873" s="252">
        <f>H3873*E3873</f>
        <v>3292.14</v>
      </c>
      <c r="K3873" s="356"/>
      <c r="W3873" s="253"/>
    </row>
    <row r="3874" spans="5:23" ht="18.75" customHeight="1">
      <c r="E3874" s="252">
        <v>0.8</v>
      </c>
      <c r="F3874" s="252" t="s">
        <v>2273</v>
      </c>
      <c r="G3874" s="252" t="s">
        <v>2113</v>
      </c>
      <c r="H3874" s="252">
        <f>H3853</f>
        <v>379.9</v>
      </c>
      <c r="I3874" s="296" t="s">
        <v>2273</v>
      </c>
      <c r="J3874" s="252">
        <f>H3874*E3874</f>
        <v>303.92</v>
      </c>
      <c r="K3874" s="356"/>
      <c r="W3874" s="253"/>
    </row>
    <row r="3875" spans="5:23" ht="18.75" customHeight="1">
      <c r="E3875" s="252">
        <v>0.8</v>
      </c>
      <c r="F3875" s="252" t="s">
        <v>2273</v>
      </c>
      <c r="G3875" s="252" t="s">
        <v>511</v>
      </c>
      <c r="H3875" s="252">
        <f>H3854</f>
        <v>40.65</v>
      </c>
      <c r="I3875" s="296" t="s">
        <v>2273</v>
      </c>
      <c r="J3875" s="252">
        <f>H3875*E3875</f>
        <v>32.520000000000003</v>
      </c>
      <c r="K3875" s="356"/>
      <c r="W3875" s="253"/>
    </row>
    <row r="3876" spans="5:23" ht="18.75" customHeight="1">
      <c r="G3876" s="252" t="s">
        <v>568</v>
      </c>
      <c r="H3876" s="252">
        <f>H3855</f>
        <v>266.81</v>
      </c>
      <c r="I3876" s="296" t="s">
        <v>446</v>
      </c>
      <c r="J3876" s="252">
        <v>47.1</v>
      </c>
      <c r="K3876" s="356"/>
      <c r="W3876" s="253"/>
    </row>
    <row r="3877" spans="5:23" ht="18.75" customHeight="1">
      <c r="I3877" s="296"/>
      <c r="J3877" s="377" t="s">
        <v>146</v>
      </c>
      <c r="K3877" s="356"/>
      <c r="W3877" s="253"/>
    </row>
    <row r="3878" spans="5:23" ht="18.75" customHeight="1">
      <c r="G3878" s="274" t="s">
        <v>513</v>
      </c>
      <c r="I3878" s="296"/>
      <c r="J3878" s="274">
        <f>SUM(J3873:J3877)</f>
        <v>3675.68</v>
      </c>
      <c r="K3878" s="356"/>
      <c r="W3878" s="253"/>
    </row>
    <row r="3879" spans="5:23" ht="18.75" customHeight="1">
      <c r="I3879" s="296"/>
      <c r="J3879" s="377" t="s">
        <v>146</v>
      </c>
      <c r="K3879" s="356"/>
      <c r="W3879" s="253"/>
    </row>
    <row r="3880" spans="5:23" ht="18.75" customHeight="1">
      <c r="G3880" s="360" t="s">
        <v>2779</v>
      </c>
      <c r="I3880" s="296"/>
      <c r="J3880" s="274">
        <f>J3878/E3874</f>
        <v>4594.6000000000004</v>
      </c>
      <c r="K3880" s="356"/>
      <c r="W3880" s="253"/>
    </row>
    <row r="3881" spans="5:23" ht="18.75" customHeight="1">
      <c r="E3881" s="252" t="s">
        <v>508</v>
      </c>
      <c r="H3881" s="252">
        <v>3.24</v>
      </c>
      <c r="I3881" s="296" t="s">
        <v>356</v>
      </c>
      <c r="J3881" s="252"/>
      <c r="K3881" s="356"/>
      <c r="W3881" s="253"/>
    </row>
    <row r="3882" spans="5:23" ht="18.75" customHeight="1">
      <c r="E3882" s="252" t="s">
        <v>509</v>
      </c>
      <c r="H3882" s="252">
        <v>2.16</v>
      </c>
      <c r="I3882" s="296" t="s">
        <v>356</v>
      </c>
      <c r="J3882" s="252"/>
      <c r="K3882" s="356"/>
      <c r="W3882" s="253"/>
    </row>
    <row r="3883" spans="5:23" ht="18.75" customHeight="1">
      <c r="I3883" s="296"/>
      <c r="J3883" s="252"/>
      <c r="K3883" s="356"/>
      <c r="W3883" s="253"/>
    </row>
    <row r="3884" spans="5:23" ht="18.75" customHeight="1">
      <c r="H3884" s="377" t="s">
        <v>146</v>
      </c>
      <c r="I3884" s="296"/>
      <c r="J3884" s="252"/>
      <c r="K3884" s="356"/>
      <c r="W3884" s="253"/>
    </row>
    <row r="3885" spans="5:23" ht="18.75" customHeight="1">
      <c r="H3885" s="252">
        <f>SUM(H3879:H3883)</f>
        <v>5.4</v>
      </c>
      <c r="I3885" s="296"/>
      <c r="J3885" s="252"/>
      <c r="K3885" s="356"/>
      <c r="W3885" s="253"/>
    </row>
    <row r="3886" spans="5:23" ht="18.75" customHeight="1">
      <c r="H3886" s="252" t="s">
        <v>1677</v>
      </c>
      <c r="I3886" s="296"/>
      <c r="J3886" s="252"/>
      <c r="K3886" s="356"/>
      <c r="W3886" s="253"/>
    </row>
    <row r="3887" spans="5:23" ht="18.75" customHeight="1">
      <c r="I3887" s="296"/>
      <c r="J3887" s="252"/>
      <c r="K3887" s="356"/>
      <c r="W3887" s="253"/>
    </row>
    <row r="3888" spans="5:23" ht="18.75" customHeight="1">
      <c r="I3888" s="296"/>
      <c r="J3888" s="252"/>
      <c r="K3888" s="356"/>
      <c r="W3888" s="253"/>
    </row>
    <row r="3889" spans="5:23" ht="18.75" customHeight="1">
      <c r="E3889" s="252">
        <v>42.81</v>
      </c>
      <c r="F3889" s="252" t="s">
        <v>1637</v>
      </c>
      <c r="G3889" s="252" t="s">
        <v>510</v>
      </c>
      <c r="H3889" s="252">
        <f>H3873</f>
        <v>70.150000000000006</v>
      </c>
      <c r="I3889" s="296" t="s">
        <v>1637</v>
      </c>
      <c r="J3889" s="252">
        <f>H3889*E3889</f>
        <v>3003.12</v>
      </c>
      <c r="K3889" s="356"/>
      <c r="W3889" s="253"/>
    </row>
    <row r="3890" spans="5:23" ht="18.75" customHeight="1">
      <c r="E3890" s="252">
        <v>0.77</v>
      </c>
      <c r="F3890" s="252" t="s">
        <v>2273</v>
      </c>
      <c r="G3890" s="252" t="s">
        <v>2440</v>
      </c>
      <c r="H3890" s="252">
        <f>H3874</f>
        <v>379.9</v>
      </c>
      <c r="I3890" s="296" t="s">
        <v>2273</v>
      </c>
      <c r="J3890" s="252">
        <f>H3890*E3890</f>
        <v>292.52</v>
      </c>
      <c r="K3890" s="356"/>
      <c r="W3890" s="253"/>
    </row>
    <row r="3891" spans="5:23" ht="18.75" customHeight="1">
      <c r="E3891" s="252">
        <v>0.77</v>
      </c>
      <c r="F3891" s="252" t="s">
        <v>2273</v>
      </c>
      <c r="G3891" s="478" t="s">
        <v>1942</v>
      </c>
      <c r="H3891" s="252">
        <f>H3875</f>
        <v>40.65</v>
      </c>
      <c r="I3891" s="296" t="s">
        <v>2273</v>
      </c>
      <c r="J3891" s="252">
        <f>H3891*E3891</f>
        <v>31.3</v>
      </c>
      <c r="K3891" s="356"/>
      <c r="W3891" s="253"/>
    </row>
    <row r="3892" spans="5:23" ht="18.75" customHeight="1">
      <c r="G3892" s="252" t="s">
        <v>512</v>
      </c>
      <c r="H3892" s="252">
        <f>H3876</f>
        <v>266.81</v>
      </c>
      <c r="I3892" s="296" t="s">
        <v>446</v>
      </c>
      <c r="J3892" s="252">
        <f>H3892</f>
        <v>266.81</v>
      </c>
      <c r="K3892" s="356"/>
      <c r="W3892" s="253"/>
    </row>
    <row r="3893" spans="5:23" ht="18.75" customHeight="1">
      <c r="I3893" s="296"/>
      <c r="J3893" s="377" t="s">
        <v>146</v>
      </c>
      <c r="K3893" s="356"/>
      <c r="W3893" s="253"/>
    </row>
    <row r="3894" spans="5:23" ht="18.75" customHeight="1">
      <c r="G3894" s="274" t="s">
        <v>513</v>
      </c>
      <c r="I3894" s="296"/>
      <c r="J3894" s="274">
        <f>SUM(J3889:J3892)</f>
        <v>3593.75</v>
      </c>
      <c r="K3894" s="356"/>
      <c r="W3894" s="253"/>
    </row>
    <row r="3895" spans="5:23" ht="18.75" customHeight="1">
      <c r="I3895" s="296"/>
      <c r="J3895" s="377" t="s">
        <v>146</v>
      </c>
      <c r="K3895" s="356"/>
      <c r="W3895" s="253"/>
    </row>
    <row r="3896" spans="5:23" ht="18.75" customHeight="1">
      <c r="G3896" s="652">
        <f>1.285*0.6</f>
        <v>0.77</v>
      </c>
      <c r="I3896" s="296"/>
      <c r="J3896" s="252">
        <f>J3894/G3896</f>
        <v>4667.21</v>
      </c>
      <c r="K3896" s="356"/>
      <c r="W3896" s="253"/>
    </row>
    <row r="3897" spans="5:23" ht="18.75" customHeight="1">
      <c r="E3897" s="252">
        <f>C3890</f>
        <v>0</v>
      </c>
      <c r="G3897" s="296">
        <f>E3897*D3856</f>
        <v>0</v>
      </c>
      <c r="J3897" s="252"/>
      <c r="K3897" s="356"/>
      <c r="W3897" s="253"/>
    </row>
    <row r="3898" spans="5:23" ht="18.75" customHeight="1">
      <c r="G3898" s="296">
        <v>0.8</v>
      </c>
      <c r="J3898" s="252"/>
      <c r="K3898" s="356"/>
      <c r="W3898" s="253"/>
    </row>
    <row r="3899" spans="5:23" ht="18.75" customHeight="1">
      <c r="G3899" s="296">
        <f>SUM(G3895:G3898)</f>
        <v>1.57</v>
      </c>
      <c r="J3899" s="252"/>
      <c r="K3899" s="356"/>
      <c r="W3899" s="253"/>
    </row>
    <row r="3900" spans="5:23" ht="18.75" customHeight="1">
      <c r="G3900" s="296">
        <f>G3899/0.77</f>
        <v>2.04</v>
      </c>
      <c r="J3900" s="252"/>
      <c r="K3900" s="356"/>
      <c r="W3900" s="253"/>
    </row>
    <row r="3901" spans="5:23" ht="18.75" customHeight="1">
      <c r="H3901" s="274" t="s">
        <v>4295</v>
      </c>
      <c r="J3901" s="252"/>
      <c r="K3901" s="356"/>
      <c r="W3901" s="253"/>
    </row>
    <row r="3902" spans="5:23" ht="18.75" customHeight="1">
      <c r="F3902" s="253" t="s">
        <v>1318</v>
      </c>
      <c r="G3902" s="252" t="s">
        <v>2241</v>
      </c>
      <c r="H3902" s="296" t="s">
        <v>2022</v>
      </c>
      <c r="W3902" s="253"/>
    </row>
    <row r="3903" spans="5:23" ht="18.75" customHeight="1">
      <c r="H3903" s="296" t="s">
        <v>2023</v>
      </c>
      <c r="W3903" s="253"/>
    </row>
    <row r="3904" spans="5:23" ht="18.75" customHeight="1">
      <c r="H3904" s="296" t="s">
        <v>2024</v>
      </c>
      <c r="W3904" s="253"/>
    </row>
    <row r="3905" spans="6:23" ht="18.75" customHeight="1">
      <c r="H3905" s="296" t="s">
        <v>888</v>
      </c>
      <c r="W3905" s="253"/>
    </row>
    <row r="3906" spans="6:23" ht="18.75" customHeight="1">
      <c r="H3906" s="296" t="s">
        <v>889</v>
      </c>
      <c r="W3906" s="253"/>
    </row>
    <row r="3907" spans="6:23" ht="18.75" customHeight="1">
      <c r="H3907" s="296" t="s">
        <v>1713</v>
      </c>
      <c r="W3907" s="253"/>
    </row>
    <row r="3908" spans="6:23" ht="18.75" customHeight="1">
      <c r="H3908" s="296" t="s">
        <v>93</v>
      </c>
      <c r="W3908" s="253"/>
    </row>
    <row r="3909" spans="6:23" ht="18.75" customHeight="1">
      <c r="H3909" s="296" t="s">
        <v>94</v>
      </c>
      <c r="W3909" s="253"/>
    </row>
    <row r="3910" spans="6:23" ht="18.75" customHeight="1">
      <c r="H3910" s="296" t="s">
        <v>95</v>
      </c>
      <c r="W3910" s="253"/>
    </row>
    <row r="3911" spans="6:23" ht="18.75" customHeight="1">
      <c r="H3911" s="296" t="s">
        <v>96</v>
      </c>
      <c r="W3911" s="253"/>
    </row>
    <row r="3912" spans="6:23" ht="18.75" customHeight="1">
      <c r="H3912" s="296" t="s">
        <v>2044</v>
      </c>
      <c r="W3912" s="253"/>
    </row>
    <row r="3913" spans="6:23" ht="18.75" customHeight="1">
      <c r="H3913" s="296" t="s">
        <v>1024</v>
      </c>
      <c r="W3913" s="253"/>
    </row>
    <row r="3914" spans="6:23" ht="18.75" customHeight="1">
      <c r="H3914" s="296" t="s">
        <v>1770</v>
      </c>
      <c r="W3914" s="253"/>
    </row>
    <row r="3915" spans="6:23" ht="18.75" customHeight="1">
      <c r="H3915" s="296" t="s">
        <v>1771</v>
      </c>
      <c r="W3915" s="253"/>
    </row>
    <row r="3916" spans="6:23" ht="18.75" customHeight="1">
      <c r="W3916" s="253"/>
    </row>
    <row r="3917" spans="6:23" ht="18.75" customHeight="1">
      <c r="W3917" s="253"/>
    </row>
    <row r="3918" spans="6:23" ht="18.75" customHeight="1">
      <c r="G3918" s="252" t="s">
        <v>313</v>
      </c>
      <c r="H3918" s="253" t="s">
        <v>1768</v>
      </c>
      <c r="W3918" s="253"/>
    </row>
    <row r="3919" spans="6:23" ht="18.75" customHeight="1">
      <c r="H3919" s="253" t="s">
        <v>1773</v>
      </c>
      <c r="W3919" s="253"/>
    </row>
    <row r="3920" spans="6:23" ht="18.75" customHeight="1">
      <c r="F3920" s="400">
        <v>3.8100000000000002E-2</v>
      </c>
      <c r="G3920" s="252" t="s">
        <v>866</v>
      </c>
      <c r="H3920" s="296" t="s">
        <v>2064</v>
      </c>
      <c r="I3920" s="252">
        <f>K821</f>
        <v>8915.7099999999991</v>
      </c>
      <c r="J3920" s="296" t="s">
        <v>866</v>
      </c>
      <c r="K3920" s="252">
        <f>F3920*I3920</f>
        <v>339.69</v>
      </c>
      <c r="W3920" s="253"/>
    </row>
    <row r="3921" spans="6:23" ht="18.75" customHeight="1">
      <c r="F3921" s="377">
        <v>5.01</v>
      </c>
      <c r="G3921" s="252" t="s">
        <v>1637</v>
      </c>
      <c r="H3921" s="296" t="s">
        <v>2065</v>
      </c>
      <c r="I3921" s="252">
        <f>K1608</f>
        <v>88873.5</v>
      </c>
      <c r="J3921" s="296" t="s">
        <v>858</v>
      </c>
      <c r="K3921" s="252">
        <f>F3921*I3921/1000</f>
        <v>445.26</v>
      </c>
      <c r="W3921" s="253"/>
    </row>
    <row r="3922" spans="6:23" ht="18.75" customHeight="1">
      <c r="F3922" s="252">
        <v>3</v>
      </c>
      <c r="G3922" s="252" t="s">
        <v>865</v>
      </c>
      <c r="H3922" s="296" t="s">
        <v>1182</v>
      </c>
      <c r="I3922" s="399">
        <v>14.8</v>
      </c>
      <c r="J3922" s="296" t="s">
        <v>865</v>
      </c>
      <c r="K3922" s="252">
        <f t="shared" ref="K3922:K3929" si="371">F3922*I3922</f>
        <v>44.4</v>
      </c>
      <c r="W3922" s="253"/>
    </row>
    <row r="3923" spans="6:23" ht="18.75" customHeight="1">
      <c r="F3923" s="252">
        <v>12</v>
      </c>
      <c r="G3923" s="252" t="s">
        <v>865</v>
      </c>
      <c r="H3923" s="296" t="s">
        <v>1183</v>
      </c>
      <c r="I3923" s="399">
        <v>2</v>
      </c>
      <c r="J3923" s="296" t="s">
        <v>865</v>
      </c>
      <c r="K3923" s="252">
        <f t="shared" si="371"/>
        <v>24</v>
      </c>
      <c r="W3923" s="253"/>
    </row>
    <row r="3924" spans="6:23" ht="18.75" customHeight="1">
      <c r="F3924" s="252">
        <v>2</v>
      </c>
      <c r="G3924" s="252" t="s">
        <v>865</v>
      </c>
      <c r="H3924" s="296" t="s">
        <v>1184</v>
      </c>
      <c r="I3924" s="399">
        <v>4.9000000000000004</v>
      </c>
      <c r="J3924" s="296" t="s">
        <v>865</v>
      </c>
      <c r="K3924" s="252">
        <f t="shared" si="371"/>
        <v>9.8000000000000007</v>
      </c>
      <c r="W3924" s="253"/>
    </row>
    <row r="3925" spans="6:23" ht="18.75" customHeight="1">
      <c r="F3925" s="252">
        <v>6</v>
      </c>
      <c r="G3925" s="252" t="s">
        <v>865</v>
      </c>
      <c r="H3925" s="296" t="s">
        <v>2210</v>
      </c>
      <c r="I3925" s="399">
        <v>4.45</v>
      </c>
      <c r="J3925" s="296" t="s">
        <v>865</v>
      </c>
      <c r="K3925" s="252">
        <f t="shared" si="371"/>
        <v>26.7</v>
      </c>
      <c r="W3925" s="253"/>
    </row>
    <row r="3926" spans="6:23" ht="18.75" customHeight="1">
      <c r="F3926" s="252">
        <v>1</v>
      </c>
      <c r="G3926" s="252" t="s">
        <v>865</v>
      </c>
      <c r="H3926" s="296" t="s">
        <v>1188</v>
      </c>
      <c r="I3926" s="252">
        <f>I865</f>
        <v>999</v>
      </c>
      <c r="J3926" s="296" t="s">
        <v>865</v>
      </c>
      <c r="K3926" s="252">
        <f t="shared" si="371"/>
        <v>999</v>
      </c>
      <c r="W3926" s="253"/>
    </row>
    <row r="3927" spans="6:23" ht="18.75" customHeight="1">
      <c r="F3927" s="252">
        <v>1</v>
      </c>
      <c r="G3927" s="252" t="s">
        <v>865</v>
      </c>
      <c r="H3927" s="296" t="s">
        <v>1189</v>
      </c>
      <c r="I3927" s="252">
        <f>I866</f>
        <v>651</v>
      </c>
      <c r="J3927" s="296" t="s">
        <v>865</v>
      </c>
      <c r="K3927" s="252">
        <f t="shared" si="371"/>
        <v>651</v>
      </c>
      <c r="W3927" s="253"/>
    </row>
    <row r="3928" spans="6:23" ht="18.75" customHeight="1">
      <c r="F3928" s="252">
        <v>1</v>
      </c>
      <c r="G3928" s="252" t="s">
        <v>865</v>
      </c>
      <c r="H3928" s="296" t="s">
        <v>1190</v>
      </c>
      <c r="I3928" s="399">
        <v>25</v>
      </c>
      <c r="J3928" s="296" t="s">
        <v>865</v>
      </c>
      <c r="K3928" s="252">
        <f t="shared" si="371"/>
        <v>25</v>
      </c>
      <c r="W3928" s="253"/>
    </row>
    <row r="3929" spans="6:23" ht="18.75" customHeight="1">
      <c r="F3929" s="252">
        <v>0.5</v>
      </c>
      <c r="G3929" s="252" t="s">
        <v>865</v>
      </c>
      <c r="H3929" s="296" t="s">
        <v>1191</v>
      </c>
      <c r="I3929" s="252">
        <f>I868</f>
        <v>534</v>
      </c>
      <c r="J3929" s="296" t="s">
        <v>865</v>
      </c>
      <c r="K3929" s="252">
        <f t="shared" si="371"/>
        <v>267</v>
      </c>
      <c r="W3929" s="253"/>
    </row>
    <row r="3930" spans="6:23" ht="18.75" customHeight="1">
      <c r="G3930" s="252" t="s">
        <v>446</v>
      </c>
      <c r="H3930" s="296" t="s">
        <v>2130</v>
      </c>
      <c r="J3930" s="296" t="s">
        <v>446</v>
      </c>
      <c r="K3930" s="252">
        <v>1.1299999999999999</v>
      </c>
      <c r="W3930" s="253"/>
    </row>
    <row r="3931" spans="6:23" ht="18.75" customHeight="1">
      <c r="K3931" s="358" t="s">
        <v>1579</v>
      </c>
      <c r="W3931" s="253"/>
    </row>
    <row r="3932" spans="6:23" ht="18.75" customHeight="1">
      <c r="H3932" s="255" t="s">
        <v>280</v>
      </c>
      <c r="K3932" s="274">
        <f>SUM(K3920:K3930)</f>
        <v>2832.98</v>
      </c>
      <c r="W3932" s="253"/>
    </row>
    <row r="3933" spans="6:23" ht="18.75" customHeight="1">
      <c r="K3933" s="358" t="s">
        <v>1579</v>
      </c>
      <c r="W3933" s="253"/>
    </row>
    <row r="3934" spans="6:23" ht="18.75" customHeight="1">
      <c r="W3934" s="253"/>
    </row>
    <row r="3935" spans="6:23" ht="18.75" customHeight="1">
      <c r="W3935" s="253"/>
    </row>
    <row r="3936" spans="6:23" ht="18.75" customHeight="1">
      <c r="G3936" s="252" t="s">
        <v>1898</v>
      </c>
      <c r="H3936" s="253" t="s">
        <v>1772</v>
      </c>
      <c r="W3936" s="253"/>
    </row>
    <row r="3937" spans="6:23" ht="18.75" customHeight="1">
      <c r="H3937" s="253" t="s">
        <v>1773</v>
      </c>
      <c r="W3937" s="253"/>
    </row>
    <row r="3938" spans="6:23" ht="18.75" customHeight="1">
      <c r="F3938" s="400">
        <v>3.6799999999999999E-2</v>
      </c>
      <c r="G3938" s="252" t="s">
        <v>866</v>
      </c>
      <c r="H3938" s="389" t="s">
        <v>5732</v>
      </c>
      <c r="I3938" s="252">
        <f t="shared" ref="I3938:I3945" si="372">I3920</f>
        <v>8915.7099999999991</v>
      </c>
      <c r="J3938" s="296" t="s">
        <v>866</v>
      </c>
      <c r="K3938" s="252">
        <f>F3938*I3938</f>
        <v>328.1</v>
      </c>
      <c r="W3938" s="253"/>
    </row>
    <row r="3939" spans="6:23" ht="18.75" customHeight="1">
      <c r="F3939" s="252">
        <v>4.87</v>
      </c>
      <c r="G3939" s="252" t="s">
        <v>1637</v>
      </c>
      <c r="H3939" s="296" t="s">
        <v>2065</v>
      </c>
      <c r="I3939" s="252">
        <f t="shared" si="372"/>
        <v>88873.5</v>
      </c>
      <c r="J3939" s="296" t="s">
        <v>858</v>
      </c>
      <c r="K3939" s="252">
        <f>F3939*I3939/1000</f>
        <v>432.81</v>
      </c>
      <c r="W3939" s="253"/>
    </row>
    <row r="3940" spans="6:23" ht="18.75" customHeight="1">
      <c r="F3940" s="252">
        <v>3</v>
      </c>
      <c r="G3940" s="252" t="s">
        <v>865</v>
      </c>
      <c r="H3940" s="296" t="s">
        <v>1182</v>
      </c>
      <c r="I3940" s="434">
        <f t="shared" si="372"/>
        <v>14.8</v>
      </c>
      <c r="J3940" s="296" t="s">
        <v>865</v>
      </c>
      <c r="K3940" s="252">
        <f t="shared" ref="K3940:K3947" si="373">F3940*I3940</f>
        <v>44.4</v>
      </c>
      <c r="W3940" s="253"/>
    </row>
    <row r="3941" spans="6:23" ht="18.75" customHeight="1">
      <c r="F3941" s="252">
        <v>12</v>
      </c>
      <c r="G3941" s="252" t="s">
        <v>865</v>
      </c>
      <c r="H3941" s="296" t="s">
        <v>1183</v>
      </c>
      <c r="I3941" s="434">
        <f t="shared" si="372"/>
        <v>2</v>
      </c>
      <c r="J3941" s="296" t="s">
        <v>865</v>
      </c>
      <c r="K3941" s="252">
        <f t="shared" si="373"/>
        <v>24</v>
      </c>
      <c r="W3941" s="253"/>
    </row>
    <row r="3942" spans="6:23" ht="18.75" customHeight="1">
      <c r="F3942" s="252">
        <v>2</v>
      </c>
      <c r="G3942" s="252" t="s">
        <v>865</v>
      </c>
      <c r="H3942" s="296" t="s">
        <v>1184</v>
      </c>
      <c r="I3942" s="434">
        <f t="shared" si="372"/>
        <v>4.9000000000000004</v>
      </c>
      <c r="J3942" s="296" t="s">
        <v>865</v>
      </c>
      <c r="K3942" s="252">
        <f t="shared" si="373"/>
        <v>9.8000000000000007</v>
      </c>
      <c r="W3942" s="253"/>
    </row>
    <row r="3943" spans="6:23" ht="18.75" customHeight="1">
      <c r="F3943" s="252">
        <v>6</v>
      </c>
      <c r="G3943" s="252" t="s">
        <v>865</v>
      </c>
      <c r="H3943" s="296" t="s">
        <v>2210</v>
      </c>
      <c r="I3943" s="434">
        <f t="shared" si="372"/>
        <v>4.45</v>
      </c>
      <c r="J3943" s="296" t="s">
        <v>865</v>
      </c>
      <c r="K3943" s="252">
        <f t="shared" si="373"/>
        <v>26.7</v>
      </c>
      <c r="W3943" s="253"/>
    </row>
    <row r="3944" spans="6:23" ht="18.75" customHeight="1">
      <c r="F3944" s="252">
        <v>1</v>
      </c>
      <c r="G3944" s="252" t="s">
        <v>865</v>
      </c>
      <c r="H3944" s="296" t="s">
        <v>1188</v>
      </c>
      <c r="I3944" s="252">
        <f t="shared" si="372"/>
        <v>999</v>
      </c>
      <c r="J3944" s="296" t="s">
        <v>865</v>
      </c>
      <c r="K3944" s="252">
        <f t="shared" si="373"/>
        <v>999</v>
      </c>
      <c r="W3944" s="253"/>
    </row>
    <row r="3945" spans="6:23" ht="18.75" customHeight="1">
      <c r="F3945" s="252">
        <v>1</v>
      </c>
      <c r="G3945" s="252" t="s">
        <v>865</v>
      </c>
      <c r="H3945" s="296" t="s">
        <v>1189</v>
      </c>
      <c r="I3945" s="252">
        <f t="shared" si="372"/>
        <v>651</v>
      </c>
      <c r="J3945" s="296" t="s">
        <v>865</v>
      </c>
      <c r="K3945" s="252">
        <f t="shared" si="373"/>
        <v>651</v>
      </c>
      <c r="W3945" s="253"/>
    </row>
    <row r="3946" spans="6:23" ht="18.75" customHeight="1">
      <c r="F3946" s="252">
        <v>1</v>
      </c>
      <c r="G3946" s="252" t="s">
        <v>865</v>
      </c>
      <c r="H3946" s="296" t="s">
        <v>1190</v>
      </c>
      <c r="I3946" s="420">
        <v>25</v>
      </c>
      <c r="J3946" s="296" t="s">
        <v>865</v>
      </c>
      <c r="K3946" s="252">
        <f t="shared" si="373"/>
        <v>25</v>
      </c>
      <c r="W3946" s="253"/>
    </row>
    <row r="3947" spans="6:23" ht="18.75" customHeight="1">
      <c r="F3947" s="252">
        <v>0.5</v>
      </c>
      <c r="G3947" s="252" t="s">
        <v>865</v>
      </c>
      <c r="H3947" s="296" t="s">
        <v>1191</v>
      </c>
      <c r="I3947" s="252">
        <f>I3929</f>
        <v>534</v>
      </c>
      <c r="J3947" s="296" t="s">
        <v>865</v>
      </c>
      <c r="K3947" s="252">
        <f t="shared" si="373"/>
        <v>267</v>
      </c>
      <c r="W3947" s="253"/>
    </row>
    <row r="3948" spans="6:23" ht="18.75" customHeight="1">
      <c r="G3948" s="252" t="s">
        <v>446</v>
      </c>
      <c r="H3948" s="296" t="s">
        <v>2130</v>
      </c>
      <c r="J3948" s="296" t="s">
        <v>446</v>
      </c>
      <c r="K3948" s="252">
        <f>1.9+0.08</f>
        <v>1.98</v>
      </c>
      <c r="W3948" s="253"/>
    </row>
    <row r="3949" spans="6:23" ht="18.75" customHeight="1">
      <c r="K3949" s="358" t="s">
        <v>1579</v>
      </c>
      <c r="W3949" s="253"/>
    </row>
    <row r="3950" spans="6:23" ht="18.75" customHeight="1">
      <c r="H3950" s="255" t="s">
        <v>280</v>
      </c>
      <c r="K3950" s="274">
        <f>SUM(K3938:K3948)</f>
        <v>2809.79</v>
      </c>
      <c r="L3950" s="252">
        <f>K3950-1729</f>
        <v>1080.79</v>
      </c>
      <c r="W3950" s="253"/>
    </row>
    <row r="3951" spans="6:23" ht="18.75" customHeight="1">
      <c r="K3951" s="358" t="s">
        <v>1579</v>
      </c>
      <c r="W3951" s="253"/>
    </row>
    <row r="3952" spans="6:23" ht="18.75" customHeight="1">
      <c r="F3952" s="253"/>
      <c r="G3952" s="252" t="s">
        <v>517</v>
      </c>
      <c r="H3952" s="253" t="s">
        <v>560</v>
      </c>
      <c r="W3952" s="253"/>
    </row>
    <row r="3953" spans="6:23" ht="18.75" customHeight="1">
      <c r="H3953" s="253" t="s">
        <v>1773</v>
      </c>
      <c r="W3953" s="253"/>
    </row>
    <row r="3954" spans="6:23" ht="18.75" customHeight="1">
      <c r="F3954" s="400">
        <v>3.5299999999999998E-2</v>
      </c>
      <c r="G3954" s="252" t="s">
        <v>866</v>
      </c>
      <c r="H3954" s="296" t="s">
        <v>2064</v>
      </c>
      <c r="I3954" s="252">
        <f t="shared" ref="I3954:I3959" si="374">I3938</f>
        <v>8915.7099999999991</v>
      </c>
      <c r="J3954" s="296" t="s">
        <v>866</v>
      </c>
      <c r="K3954" s="252">
        <f>F3954*I3954</f>
        <v>314.72000000000003</v>
      </c>
      <c r="W3954" s="253"/>
    </row>
    <row r="3955" spans="6:23" ht="18.75" customHeight="1">
      <c r="F3955" s="252">
        <v>4.59</v>
      </c>
      <c r="G3955" s="252" t="s">
        <v>1637</v>
      </c>
      <c r="H3955" s="296" t="s">
        <v>2065</v>
      </c>
      <c r="I3955" s="252">
        <f t="shared" si="374"/>
        <v>88873.5</v>
      </c>
      <c r="J3955" s="296" t="s">
        <v>858</v>
      </c>
      <c r="K3955" s="252">
        <f>F3955*I3955/1000</f>
        <v>407.93</v>
      </c>
      <c r="W3955" s="253"/>
    </row>
    <row r="3956" spans="6:23" ht="18.75" customHeight="1">
      <c r="F3956" s="252">
        <v>3</v>
      </c>
      <c r="G3956" s="252" t="s">
        <v>865</v>
      </c>
      <c r="H3956" s="296" t="s">
        <v>1182</v>
      </c>
      <c r="I3956" s="434">
        <f t="shared" si="374"/>
        <v>14.8</v>
      </c>
      <c r="J3956" s="296" t="s">
        <v>865</v>
      </c>
      <c r="K3956" s="252">
        <f t="shared" ref="K3956:K3963" si="375">F3956*I3956</f>
        <v>44.4</v>
      </c>
      <c r="W3956" s="253"/>
    </row>
    <row r="3957" spans="6:23" ht="18.75" customHeight="1">
      <c r="F3957" s="252">
        <v>12</v>
      </c>
      <c r="G3957" s="252" t="s">
        <v>865</v>
      </c>
      <c r="H3957" s="296" t="s">
        <v>1183</v>
      </c>
      <c r="I3957" s="434">
        <f t="shared" si="374"/>
        <v>2</v>
      </c>
      <c r="J3957" s="296" t="s">
        <v>865</v>
      </c>
      <c r="K3957" s="252">
        <f t="shared" si="375"/>
        <v>24</v>
      </c>
      <c r="W3957" s="253"/>
    </row>
    <row r="3958" spans="6:23" ht="18.75" customHeight="1">
      <c r="F3958" s="252">
        <v>2</v>
      </c>
      <c r="G3958" s="252" t="s">
        <v>865</v>
      </c>
      <c r="H3958" s="252" t="str">
        <f>H3942</f>
        <v>TOWER BOLT RECEIVER</v>
      </c>
      <c r="I3958" s="434">
        <f t="shared" si="374"/>
        <v>4.9000000000000004</v>
      </c>
      <c r="J3958" s="296" t="s">
        <v>865</v>
      </c>
      <c r="K3958" s="252">
        <f t="shared" si="375"/>
        <v>9.8000000000000007</v>
      </c>
      <c r="W3958" s="253"/>
    </row>
    <row r="3959" spans="6:23" ht="18.75" customHeight="1">
      <c r="F3959" s="252">
        <v>6</v>
      </c>
      <c r="G3959" s="252" t="s">
        <v>865</v>
      </c>
      <c r="H3959" s="296" t="s">
        <v>2210</v>
      </c>
      <c r="I3959" s="434">
        <f t="shared" si="374"/>
        <v>4.45</v>
      </c>
      <c r="J3959" s="296" t="s">
        <v>865</v>
      </c>
      <c r="K3959" s="252">
        <f t="shared" si="375"/>
        <v>26.7</v>
      </c>
      <c r="W3959" s="253"/>
    </row>
    <row r="3960" spans="6:23" ht="18.75" customHeight="1">
      <c r="F3960" s="252">
        <v>1</v>
      </c>
      <c r="G3960" s="252" t="s">
        <v>865</v>
      </c>
      <c r="H3960" s="296" t="s">
        <v>1188</v>
      </c>
      <c r="I3960" s="252">
        <f>I3944</f>
        <v>999</v>
      </c>
      <c r="J3960" s="296" t="s">
        <v>865</v>
      </c>
      <c r="K3960" s="252">
        <f t="shared" si="375"/>
        <v>999</v>
      </c>
      <c r="W3960" s="253"/>
    </row>
    <row r="3961" spans="6:23" ht="18.75" customHeight="1">
      <c r="F3961" s="252">
        <v>1</v>
      </c>
      <c r="G3961" s="252" t="s">
        <v>865</v>
      </c>
      <c r="H3961" s="296" t="s">
        <v>1189</v>
      </c>
      <c r="I3961" s="252">
        <f>I3945</f>
        <v>651</v>
      </c>
      <c r="J3961" s="296" t="s">
        <v>865</v>
      </c>
      <c r="K3961" s="252">
        <f t="shared" si="375"/>
        <v>651</v>
      </c>
      <c r="W3961" s="253"/>
    </row>
    <row r="3962" spans="6:23" ht="18.75" customHeight="1">
      <c r="F3962" s="252">
        <v>1</v>
      </c>
      <c r="G3962" s="252" t="s">
        <v>865</v>
      </c>
      <c r="H3962" s="252" t="str">
        <f>H3946</f>
        <v>MOULDING CHARGES</v>
      </c>
      <c r="I3962" s="252">
        <f>I3946</f>
        <v>25</v>
      </c>
      <c r="J3962" s="296" t="s">
        <v>865</v>
      </c>
      <c r="K3962" s="252">
        <f t="shared" si="375"/>
        <v>25</v>
      </c>
      <c r="W3962" s="253"/>
    </row>
    <row r="3963" spans="6:23" ht="18.75" customHeight="1">
      <c r="F3963" s="252">
        <v>0.5</v>
      </c>
      <c r="G3963" s="252" t="s">
        <v>865</v>
      </c>
      <c r="H3963" s="296" t="s">
        <v>1191</v>
      </c>
      <c r="I3963" s="252">
        <f>I3947</f>
        <v>534</v>
      </c>
      <c r="J3963" s="296" t="s">
        <v>865</v>
      </c>
      <c r="K3963" s="252">
        <f t="shared" si="375"/>
        <v>267</v>
      </c>
      <c r="W3963" s="253"/>
    </row>
    <row r="3964" spans="6:23" ht="18.75" customHeight="1">
      <c r="G3964" s="252" t="s">
        <v>446</v>
      </c>
      <c r="H3964" s="296" t="s">
        <v>2130</v>
      </c>
      <c r="I3964" s="252">
        <f>I3948</f>
        <v>0</v>
      </c>
      <c r="J3964" s="296" t="s">
        <v>446</v>
      </c>
      <c r="K3964" s="252">
        <v>1.39</v>
      </c>
      <c r="W3964" s="253"/>
    </row>
    <row r="3965" spans="6:23" ht="18.75" customHeight="1">
      <c r="K3965" s="358" t="s">
        <v>1579</v>
      </c>
      <c r="W3965" s="253"/>
    </row>
    <row r="3966" spans="6:23" ht="18.75" customHeight="1">
      <c r="H3966" s="255" t="s">
        <v>280</v>
      </c>
      <c r="K3966" s="274">
        <f>SUM(K3954:K3964)</f>
        <v>2770.94</v>
      </c>
      <c r="W3966" s="253"/>
    </row>
    <row r="3967" spans="6:23" ht="18.75" customHeight="1">
      <c r="K3967" s="358" t="s">
        <v>1579</v>
      </c>
      <c r="W3967" s="253"/>
    </row>
    <row r="3968" spans="6:23" ht="18.75" customHeight="1">
      <c r="W3968" s="253"/>
    </row>
    <row r="3969" spans="6:23" ht="18.75" customHeight="1">
      <c r="H3969" s="253" t="s">
        <v>1735</v>
      </c>
      <c r="J3969" s="252"/>
      <c r="K3969" s="358"/>
      <c r="W3969" s="253"/>
    </row>
    <row r="3970" spans="6:23" ht="18.75" customHeight="1">
      <c r="J3970" s="252"/>
      <c r="K3970" s="358"/>
      <c r="W3970" s="253"/>
    </row>
    <row r="3971" spans="6:23" ht="18.75" customHeight="1">
      <c r="F3971" s="400">
        <v>6.5000000000000002E-2</v>
      </c>
      <c r="G3971" s="252" t="s">
        <v>866</v>
      </c>
      <c r="H3971" s="296" t="s">
        <v>2064</v>
      </c>
      <c r="I3971" s="252">
        <f>I3954</f>
        <v>8915.7099999999991</v>
      </c>
      <c r="J3971" s="296" t="s">
        <v>866</v>
      </c>
      <c r="K3971" s="252">
        <f>I3971*F3971</f>
        <v>579.52</v>
      </c>
      <c r="W3971" s="253"/>
    </row>
    <row r="3972" spans="6:23" ht="18.75" customHeight="1">
      <c r="F3972" s="438">
        <v>8.4499999999999993</v>
      </c>
      <c r="G3972" s="252" t="s">
        <v>1637</v>
      </c>
      <c r="H3972" s="296" t="s">
        <v>2065</v>
      </c>
      <c r="I3972" s="252">
        <f t="shared" ref="I3972:I3981" si="376">I3955</f>
        <v>88873.5</v>
      </c>
      <c r="J3972" s="296" t="s">
        <v>858</v>
      </c>
      <c r="K3972" s="252">
        <f>I3972*F3972/1000</f>
        <v>750.98</v>
      </c>
      <c r="W3972" s="253"/>
    </row>
    <row r="3973" spans="6:23" ht="18.75" customHeight="1">
      <c r="F3973" s="252">
        <v>3</v>
      </c>
      <c r="G3973" s="252" t="s">
        <v>865</v>
      </c>
      <c r="H3973" s="296" t="s">
        <v>1182</v>
      </c>
      <c r="I3973" s="252">
        <f t="shared" si="376"/>
        <v>14.8</v>
      </c>
      <c r="J3973" s="296" t="s">
        <v>865</v>
      </c>
      <c r="K3973" s="252">
        <f t="shared" ref="K3973:K3980" si="377">I3973*F3973</f>
        <v>44.4</v>
      </c>
      <c r="W3973" s="253"/>
    </row>
    <row r="3974" spans="6:23" ht="18.75" customHeight="1">
      <c r="F3974" s="252">
        <v>12</v>
      </c>
      <c r="G3974" s="252" t="s">
        <v>865</v>
      </c>
      <c r="H3974" s="296" t="s">
        <v>1183</v>
      </c>
      <c r="I3974" s="252">
        <f t="shared" si="376"/>
        <v>2</v>
      </c>
      <c r="J3974" s="296" t="s">
        <v>865</v>
      </c>
      <c r="K3974" s="252">
        <f t="shared" si="377"/>
        <v>24</v>
      </c>
      <c r="W3974" s="253"/>
    </row>
    <row r="3975" spans="6:23" ht="18.75" customHeight="1">
      <c r="F3975" s="252">
        <v>2</v>
      </c>
      <c r="G3975" s="252" t="s">
        <v>865</v>
      </c>
      <c r="H3975" s="296" t="s">
        <v>1184</v>
      </c>
      <c r="I3975" s="252">
        <f t="shared" si="376"/>
        <v>4.9000000000000004</v>
      </c>
      <c r="J3975" s="296" t="s">
        <v>865</v>
      </c>
      <c r="K3975" s="252">
        <f t="shared" si="377"/>
        <v>9.8000000000000007</v>
      </c>
      <c r="W3975" s="253"/>
    </row>
    <row r="3976" spans="6:23" ht="18.75" customHeight="1">
      <c r="F3976" s="252">
        <v>6</v>
      </c>
      <c r="G3976" s="252" t="s">
        <v>865</v>
      </c>
      <c r="H3976" s="296" t="s">
        <v>2210</v>
      </c>
      <c r="I3976" s="252">
        <f t="shared" si="376"/>
        <v>4.45</v>
      </c>
      <c r="J3976" s="296" t="s">
        <v>865</v>
      </c>
      <c r="K3976" s="252">
        <f t="shared" si="377"/>
        <v>26.7</v>
      </c>
      <c r="W3976" s="253"/>
    </row>
    <row r="3977" spans="6:23" ht="18.75" customHeight="1">
      <c r="F3977" s="252">
        <v>1</v>
      </c>
      <c r="G3977" s="252" t="s">
        <v>865</v>
      </c>
      <c r="H3977" s="296" t="s">
        <v>1188</v>
      </c>
      <c r="I3977" s="252">
        <f t="shared" si="376"/>
        <v>999</v>
      </c>
      <c r="J3977" s="296" t="s">
        <v>865</v>
      </c>
      <c r="K3977" s="252">
        <f t="shared" si="377"/>
        <v>999</v>
      </c>
      <c r="W3977" s="253"/>
    </row>
    <row r="3978" spans="6:23" ht="18.75" customHeight="1">
      <c r="F3978" s="252">
        <v>1</v>
      </c>
      <c r="G3978" s="252" t="s">
        <v>865</v>
      </c>
      <c r="H3978" s="296" t="s">
        <v>1189</v>
      </c>
      <c r="I3978" s="252">
        <f t="shared" si="376"/>
        <v>651</v>
      </c>
      <c r="J3978" s="296" t="s">
        <v>865</v>
      </c>
      <c r="K3978" s="252">
        <f t="shared" si="377"/>
        <v>651</v>
      </c>
      <c r="W3978" s="253"/>
    </row>
    <row r="3979" spans="6:23" ht="18.75" customHeight="1">
      <c r="F3979" s="252">
        <v>1</v>
      </c>
      <c r="G3979" s="252" t="s">
        <v>865</v>
      </c>
      <c r="H3979" s="296" t="s">
        <v>1190</v>
      </c>
      <c r="I3979" s="252">
        <f t="shared" si="376"/>
        <v>25</v>
      </c>
      <c r="J3979" s="296" t="s">
        <v>865</v>
      </c>
      <c r="K3979" s="252">
        <f t="shared" si="377"/>
        <v>25</v>
      </c>
      <c r="W3979" s="253"/>
    </row>
    <row r="3980" spans="6:23" ht="18.75" customHeight="1">
      <c r="F3980" s="252">
        <v>0.5</v>
      </c>
      <c r="G3980" s="252" t="s">
        <v>865</v>
      </c>
      <c r="H3980" s="296" t="s">
        <v>1191</v>
      </c>
      <c r="I3980" s="252">
        <f t="shared" si="376"/>
        <v>534</v>
      </c>
      <c r="J3980" s="296" t="s">
        <v>865</v>
      </c>
      <c r="K3980" s="252">
        <f t="shared" si="377"/>
        <v>267</v>
      </c>
      <c r="W3980" s="253"/>
    </row>
    <row r="3981" spans="6:23" ht="18.75" customHeight="1">
      <c r="G3981" s="252" t="s">
        <v>446</v>
      </c>
      <c r="H3981" s="296" t="s">
        <v>2130</v>
      </c>
      <c r="I3981" s="252">
        <f t="shared" si="376"/>
        <v>0</v>
      </c>
      <c r="J3981" s="296" t="s">
        <v>446</v>
      </c>
      <c r="K3981" s="252">
        <v>2.1</v>
      </c>
      <c r="W3981" s="253"/>
    </row>
    <row r="3982" spans="6:23" ht="18.75" customHeight="1">
      <c r="K3982" s="358" t="s">
        <v>1579</v>
      </c>
      <c r="W3982" s="253"/>
    </row>
    <row r="3983" spans="6:23" ht="18.75" customHeight="1">
      <c r="H3983" s="255" t="s">
        <v>280</v>
      </c>
      <c r="K3983" s="274">
        <f>SUM(K3971:K3981)</f>
        <v>3379.5</v>
      </c>
      <c r="W3983" s="253"/>
    </row>
    <row r="3984" spans="6:23" ht="18.75" customHeight="1">
      <c r="K3984" s="358" t="s">
        <v>1579</v>
      </c>
      <c r="W3984" s="253"/>
    </row>
    <row r="3985" spans="6:23" ht="18.75" customHeight="1">
      <c r="F3985" s="1270" t="s">
        <v>4297</v>
      </c>
      <c r="G3985" s="1270"/>
      <c r="H3985" s="1270"/>
      <c r="I3985" s="479"/>
      <c r="J3985" s="479"/>
      <c r="W3985" s="253"/>
    </row>
    <row r="3986" spans="6:23" ht="18.75" customHeight="1">
      <c r="F3986" s="356"/>
      <c r="H3986" s="461" t="s">
        <v>4298</v>
      </c>
      <c r="W3986" s="253"/>
    </row>
    <row r="3987" spans="6:23" ht="18.75" customHeight="1">
      <c r="F3987" s="356">
        <v>4.88</v>
      </c>
      <c r="G3987" s="252" t="s">
        <v>909</v>
      </c>
      <c r="H3987" s="296" t="s">
        <v>1846</v>
      </c>
      <c r="I3987" s="252">
        <f>AB1350</f>
        <v>325</v>
      </c>
      <c r="J3987" s="252" t="s">
        <v>909</v>
      </c>
      <c r="K3987" s="252">
        <f t="shared" ref="K3987:K3996" si="378">I3987*F3987</f>
        <v>1586</v>
      </c>
      <c r="W3987" s="253"/>
    </row>
    <row r="3988" spans="6:23" ht="18.75" customHeight="1">
      <c r="F3988" s="356">
        <v>7.76</v>
      </c>
      <c r="G3988" s="252" t="s">
        <v>909</v>
      </c>
      <c r="H3988" s="296" t="s">
        <v>1846</v>
      </c>
      <c r="I3988" s="252">
        <f>I3987</f>
        <v>325</v>
      </c>
      <c r="J3988" s="252" t="s">
        <v>909</v>
      </c>
      <c r="K3988" s="252">
        <f t="shared" si="378"/>
        <v>2522</v>
      </c>
      <c r="W3988" s="253"/>
    </row>
    <row r="3989" spans="6:23" ht="18.75" customHeight="1">
      <c r="F3989" s="356">
        <v>3.03</v>
      </c>
      <c r="G3989" s="252" t="s">
        <v>909</v>
      </c>
      <c r="H3989" s="296" t="s">
        <v>1846</v>
      </c>
      <c r="I3989" s="252">
        <f>I3988</f>
        <v>325</v>
      </c>
      <c r="J3989" s="252" t="s">
        <v>909</v>
      </c>
      <c r="K3989" s="252">
        <f t="shared" si="378"/>
        <v>984.75</v>
      </c>
      <c r="W3989" s="253"/>
    </row>
    <row r="3990" spans="6:23" ht="18.75" customHeight="1">
      <c r="F3990" s="356">
        <v>1.45</v>
      </c>
      <c r="G3990" s="252" t="s">
        <v>909</v>
      </c>
      <c r="H3990" s="296" t="s">
        <v>1846</v>
      </c>
      <c r="I3990" s="252">
        <f>I3989</f>
        <v>325</v>
      </c>
      <c r="J3990" s="252" t="s">
        <v>909</v>
      </c>
      <c r="K3990" s="252">
        <f t="shared" si="378"/>
        <v>471.25</v>
      </c>
      <c r="W3990" s="253"/>
    </row>
    <row r="3991" spans="6:23" ht="18.75" customHeight="1">
      <c r="F3991" s="356">
        <v>2.4300000000000002</v>
      </c>
      <c r="G3991" s="252" t="s">
        <v>230</v>
      </c>
      <c r="H3991" s="296" t="s">
        <v>1847</v>
      </c>
      <c r="I3991" s="252">
        <f>AB1354</f>
        <v>306.89999999999998</v>
      </c>
      <c r="J3991" s="252" t="s">
        <v>230</v>
      </c>
      <c r="K3991" s="252">
        <f t="shared" si="378"/>
        <v>745.77</v>
      </c>
      <c r="W3991" s="253"/>
    </row>
    <row r="3992" spans="6:23" ht="18.75" customHeight="1">
      <c r="F3992" s="356">
        <v>11.7</v>
      </c>
      <c r="G3992" s="252" t="s">
        <v>823</v>
      </c>
      <c r="H3992" s="296" t="s">
        <v>1848</v>
      </c>
      <c r="I3992" s="252">
        <f>AB1355</f>
        <v>29.05</v>
      </c>
      <c r="J3992" s="252" t="s">
        <v>823</v>
      </c>
      <c r="K3992" s="252">
        <f t="shared" si="378"/>
        <v>339.89</v>
      </c>
      <c r="W3992" s="253"/>
    </row>
    <row r="3993" spans="6:23" ht="18.75" customHeight="1">
      <c r="F3993" s="356">
        <v>3</v>
      </c>
      <c r="G3993" s="252" t="s">
        <v>766</v>
      </c>
      <c r="H3993" s="296" t="s">
        <v>4299</v>
      </c>
      <c r="I3993" s="252">
        <v>350</v>
      </c>
      <c r="J3993" s="252" t="s">
        <v>766</v>
      </c>
      <c r="K3993" s="252">
        <f t="shared" si="378"/>
        <v>1050</v>
      </c>
      <c r="W3993" s="253"/>
    </row>
    <row r="3994" spans="6:23" ht="18.75" customHeight="1">
      <c r="F3994" s="356">
        <v>3</v>
      </c>
      <c r="G3994" s="252" t="s">
        <v>766</v>
      </c>
      <c r="H3994" s="296" t="s">
        <v>1850</v>
      </c>
      <c r="I3994" s="252">
        <f>V1359</f>
        <v>57.65</v>
      </c>
      <c r="J3994" s="252" t="s">
        <v>766</v>
      </c>
      <c r="K3994" s="252">
        <f t="shared" si="378"/>
        <v>172.95</v>
      </c>
      <c r="W3994" s="253"/>
    </row>
    <row r="3995" spans="6:23" ht="18.75" customHeight="1">
      <c r="F3995" s="356">
        <v>4</v>
      </c>
      <c r="G3995" s="252" t="s">
        <v>766</v>
      </c>
      <c r="H3995" s="296" t="s">
        <v>1853</v>
      </c>
      <c r="I3995" s="252">
        <f>AB1360</f>
        <v>15</v>
      </c>
      <c r="J3995" s="252" t="s">
        <v>766</v>
      </c>
      <c r="K3995" s="252">
        <f t="shared" si="378"/>
        <v>60</v>
      </c>
      <c r="W3995" s="253"/>
    </row>
    <row r="3996" spans="6:23" ht="18.75" customHeight="1">
      <c r="F3996" s="356">
        <v>2.4300000000000002</v>
      </c>
      <c r="G3996" s="252" t="s">
        <v>2273</v>
      </c>
      <c r="H3996" s="296" t="s">
        <v>1854</v>
      </c>
      <c r="I3996" s="252">
        <f>AB1361</f>
        <v>1998</v>
      </c>
      <c r="J3996" s="252" t="s">
        <v>766</v>
      </c>
      <c r="K3996" s="252">
        <f t="shared" si="378"/>
        <v>4855.1400000000003</v>
      </c>
      <c r="W3996" s="253"/>
    </row>
    <row r="3997" spans="6:23" ht="18.75" customHeight="1">
      <c r="F3997" s="356"/>
      <c r="H3997" s="296" t="s">
        <v>1855</v>
      </c>
      <c r="J3997" s="252"/>
      <c r="W3997" s="253"/>
    </row>
    <row r="3998" spans="6:23" ht="18.75" customHeight="1">
      <c r="F3998" s="356"/>
      <c r="H3998" s="360" t="s">
        <v>3526</v>
      </c>
      <c r="J3998" s="252"/>
      <c r="K3998" s="252">
        <f>SUM(K3987:K3997)</f>
        <v>12787.75</v>
      </c>
      <c r="W3998" s="253"/>
    </row>
    <row r="3999" spans="6:23" ht="18.75" customHeight="1">
      <c r="F3999" s="356"/>
      <c r="H3999" s="360" t="s">
        <v>4300</v>
      </c>
      <c r="J3999" s="252" t="s">
        <v>2273</v>
      </c>
      <c r="K3999" s="252">
        <f>K3998/F3996</f>
        <v>5262.45</v>
      </c>
      <c r="W3999" s="253"/>
    </row>
    <row r="4000" spans="6:23" ht="18.75" customHeight="1">
      <c r="F4000" s="356"/>
      <c r="J4000" s="252"/>
      <c r="K4000" s="274"/>
      <c r="W4000" s="253"/>
    </row>
    <row r="4001" spans="6:23" ht="18.75" customHeight="1">
      <c r="F4001" s="356"/>
      <c r="J4001" s="252"/>
      <c r="W4001" s="253"/>
    </row>
    <row r="4002" spans="6:23" ht="18.75" customHeight="1">
      <c r="H4002" s="1270" t="s">
        <v>4301</v>
      </c>
      <c r="I4002" s="1270"/>
      <c r="J4002" s="1270"/>
      <c r="K4002" s="1270"/>
      <c r="W4002" s="253"/>
    </row>
    <row r="4003" spans="6:23" ht="18.75" customHeight="1">
      <c r="F4003" s="316"/>
      <c r="H4003" s="296"/>
      <c r="J4003" s="252"/>
      <c r="W4003" s="253"/>
    </row>
    <row r="4004" spans="6:23" ht="18.75" customHeight="1">
      <c r="F4004" s="316"/>
      <c r="H4004" s="296"/>
      <c r="J4004" s="252"/>
      <c r="W4004" s="253"/>
    </row>
    <row r="4005" spans="6:23" ht="18.75" customHeight="1">
      <c r="F4005" s="316"/>
      <c r="H4005" s="296"/>
      <c r="J4005" s="252"/>
      <c r="W4005" s="253"/>
    </row>
    <row r="4006" spans="6:23" ht="18.75" customHeight="1">
      <c r="F4006" s="316">
        <v>12.08</v>
      </c>
      <c r="G4006" s="252" t="s">
        <v>909</v>
      </c>
      <c r="H4006" s="296" t="s">
        <v>1846</v>
      </c>
      <c r="I4006" s="252">
        <f>I3987</f>
        <v>325</v>
      </c>
      <c r="J4006" s="252" t="s">
        <v>909</v>
      </c>
      <c r="K4006" s="252">
        <f>I4006*F4006</f>
        <v>3926</v>
      </c>
      <c r="W4006" s="253"/>
    </row>
    <row r="4007" spans="6:23" ht="18.75" customHeight="1">
      <c r="F4007" s="316">
        <v>1.823</v>
      </c>
      <c r="G4007" s="252" t="s">
        <v>230</v>
      </c>
      <c r="H4007" s="296" t="s">
        <v>1847</v>
      </c>
      <c r="I4007" s="252">
        <f>I3991</f>
        <v>306.89999999999998</v>
      </c>
      <c r="J4007" s="252" t="s">
        <v>230</v>
      </c>
      <c r="K4007" s="252">
        <f t="shared" ref="K4007:K4012" si="379">I4007*F4007</f>
        <v>559.48</v>
      </c>
      <c r="W4007" s="253"/>
    </row>
    <row r="4008" spans="6:23" ht="18.75" customHeight="1">
      <c r="F4008" s="316">
        <v>8.1</v>
      </c>
      <c r="G4008" s="252" t="s">
        <v>823</v>
      </c>
      <c r="H4008" s="296" t="s">
        <v>1848</v>
      </c>
      <c r="I4008" s="252">
        <f>I3992</f>
        <v>29.05</v>
      </c>
      <c r="J4008" s="252" t="s">
        <v>823</v>
      </c>
      <c r="K4008" s="252">
        <f t="shared" si="379"/>
        <v>235.31</v>
      </c>
      <c r="W4008" s="253"/>
    </row>
    <row r="4009" spans="6:23" ht="18.75" customHeight="1">
      <c r="F4009" s="316">
        <v>2</v>
      </c>
      <c r="G4009" s="252" t="s">
        <v>3912</v>
      </c>
      <c r="H4009" s="296" t="s">
        <v>4302</v>
      </c>
      <c r="I4009" s="252">
        <f>I3993</f>
        <v>350</v>
      </c>
      <c r="J4009" s="252" t="s">
        <v>766</v>
      </c>
      <c r="K4009" s="252">
        <f t="shared" si="379"/>
        <v>700</v>
      </c>
      <c r="W4009" s="253"/>
    </row>
    <row r="4010" spans="6:23" ht="18.75" customHeight="1">
      <c r="F4010" s="316">
        <v>2</v>
      </c>
      <c r="G4010" s="252" t="s">
        <v>766</v>
      </c>
      <c r="H4010" s="296" t="s">
        <v>1850</v>
      </c>
      <c r="I4010" s="252">
        <f>I3994</f>
        <v>57.65</v>
      </c>
      <c r="J4010" s="252" t="s">
        <v>766</v>
      </c>
      <c r="K4010" s="252">
        <f t="shared" si="379"/>
        <v>115.3</v>
      </c>
      <c r="W4010" s="253"/>
    </row>
    <row r="4011" spans="6:23" ht="18.75" customHeight="1">
      <c r="F4011" s="316">
        <v>4</v>
      </c>
      <c r="G4011" s="252" t="s">
        <v>766</v>
      </c>
      <c r="H4011" s="296" t="s">
        <v>1853</v>
      </c>
      <c r="I4011" s="314">
        <v>15</v>
      </c>
      <c r="J4011" s="252" t="s">
        <v>766</v>
      </c>
      <c r="K4011" s="252">
        <f t="shared" si="379"/>
        <v>60</v>
      </c>
      <c r="W4011" s="253"/>
    </row>
    <row r="4012" spans="6:23" ht="18.75" customHeight="1">
      <c r="F4012" s="316">
        <v>1.823</v>
      </c>
      <c r="G4012" s="252" t="s">
        <v>2273</v>
      </c>
      <c r="H4012" s="296" t="s">
        <v>1854</v>
      </c>
      <c r="I4012" s="252">
        <f>I3996</f>
        <v>1998</v>
      </c>
      <c r="J4012" s="252" t="s">
        <v>2273</v>
      </c>
      <c r="K4012" s="252">
        <f t="shared" si="379"/>
        <v>3642.35</v>
      </c>
      <c r="W4012" s="253"/>
    </row>
    <row r="4013" spans="6:23" ht="18.75" customHeight="1">
      <c r="H4013" s="296"/>
      <c r="J4013" s="253"/>
      <c r="W4013" s="253"/>
    </row>
    <row r="4014" spans="6:23" ht="18.75" customHeight="1">
      <c r="H4014" s="407" t="s">
        <v>4303</v>
      </c>
      <c r="J4014" s="252"/>
      <c r="K4014" s="252">
        <f>SUM(K4006:K4013)</f>
        <v>9238.44</v>
      </c>
      <c r="W4014" s="253"/>
    </row>
    <row r="4015" spans="6:23" ht="18.75" customHeight="1">
      <c r="H4015" s="407" t="s">
        <v>4304</v>
      </c>
      <c r="J4015" s="252"/>
      <c r="K4015" s="274">
        <f>K4014/F4012</f>
        <v>5067.71</v>
      </c>
      <c r="W4015" s="253"/>
    </row>
    <row r="4016" spans="6:23" ht="18.75" customHeight="1">
      <c r="H4016" s="407"/>
      <c r="J4016" s="252"/>
      <c r="W4016" s="253"/>
    </row>
    <row r="4017" spans="6:23" ht="18.75" customHeight="1">
      <c r="F4017" s="356"/>
      <c r="H4017" s="461" t="s">
        <v>4305</v>
      </c>
      <c r="W4017" s="253"/>
    </row>
    <row r="4018" spans="6:23" ht="18.75" customHeight="1">
      <c r="F4018" s="356">
        <v>3.72</v>
      </c>
      <c r="G4018" s="252" t="s">
        <v>909</v>
      </c>
      <c r="H4018" s="296" t="s">
        <v>1846</v>
      </c>
      <c r="I4018" s="252">
        <f>I3987</f>
        <v>325</v>
      </c>
      <c r="J4018" s="252" t="s">
        <v>909</v>
      </c>
      <c r="K4018" s="252">
        <f>I4018*F4018</f>
        <v>1209</v>
      </c>
      <c r="W4018" s="253"/>
    </row>
    <row r="4019" spans="6:23" ht="18.75" customHeight="1">
      <c r="F4019" s="356">
        <v>4.57</v>
      </c>
      <c r="G4019" s="252" t="s">
        <v>909</v>
      </c>
      <c r="H4019" s="296" t="s">
        <v>1846</v>
      </c>
      <c r="I4019" s="252">
        <f>I4018</f>
        <v>325</v>
      </c>
      <c r="J4019" s="252" t="s">
        <v>909</v>
      </c>
      <c r="K4019" s="252">
        <f t="shared" ref="K4019:K4025" si="380">I4019*F4019</f>
        <v>1485.25</v>
      </c>
      <c r="W4019" s="253"/>
    </row>
    <row r="4020" spans="6:23" ht="18.75" customHeight="1">
      <c r="F4020" s="356">
        <v>1.18</v>
      </c>
      <c r="G4020" s="252" t="s">
        <v>909</v>
      </c>
      <c r="H4020" s="296" t="s">
        <v>1846</v>
      </c>
      <c r="I4020" s="252">
        <f>I4019</f>
        <v>325</v>
      </c>
      <c r="J4020" s="252" t="s">
        <v>909</v>
      </c>
      <c r="K4020" s="252">
        <f t="shared" si="380"/>
        <v>383.5</v>
      </c>
      <c r="W4020" s="253"/>
    </row>
    <row r="4021" spans="6:23" ht="18.75" customHeight="1">
      <c r="F4021" s="356">
        <v>0.86</v>
      </c>
      <c r="G4021" s="252" t="s">
        <v>909</v>
      </c>
      <c r="H4021" s="296" t="s">
        <v>1846</v>
      </c>
      <c r="I4021" s="252">
        <f>I4020</f>
        <v>325</v>
      </c>
      <c r="J4021" s="252" t="s">
        <v>909</v>
      </c>
      <c r="K4021" s="252">
        <f t="shared" si="380"/>
        <v>279.5</v>
      </c>
      <c r="W4021" s="253"/>
    </row>
    <row r="4022" spans="6:23" ht="18.75" customHeight="1">
      <c r="F4022" s="356">
        <v>1.42</v>
      </c>
      <c r="G4022" s="252" t="s">
        <v>230</v>
      </c>
      <c r="H4022" s="296" t="s">
        <v>1847</v>
      </c>
      <c r="I4022" s="252">
        <f t="shared" ref="I4022:I4027" si="381">I4007</f>
        <v>306.89999999999998</v>
      </c>
      <c r="J4022" s="252" t="s">
        <v>230</v>
      </c>
      <c r="K4022" s="252">
        <f t="shared" si="380"/>
        <v>435.8</v>
      </c>
      <c r="W4022" s="253"/>
    </row>
    <row r="4023" spans="6:23" ht="18.75" customHeight="1">
      <c r="F4023" s="356">
        <v>6.9</v>
      </c>
      <c r="G4023" s="252" t="s">
        <v>823</v>
      </c>
      <c r="H4023" s="296" t="s">
        <v>1848</v>
      </c>
      <c r="I4023" s="252">
        <f t="shared" si="381"/>
        <v>29.05</v>
      </c>
      <c r="J4023" s="252" t="s">
        <v>823</v>
      </c>
      <c r="K4023" s="252">
        <f t="shared" si="380"/>
        <v>200.45</v>
      </c>
      <c r="W4023" s="253"/>
    </row>
    <row r="4024" spans="6:23" ht="18.75" customHeight="1">
      <c r="F4024" s="356">
        <v>2</v>
      </c>
      <c r="G4024" s="252" t="s">
        <v>766</v>
      </c>
      <c r="H4024" s="296" t="s">
        <v>4302</v>
      </c>
      <c r="I4024" s="252">
        <f t="shared" si="381"/>
        <v>350</v>
      </c>
      <c r="J4024" s="252" t="s">
        <v>766</v>
      </c>
      <c r="K4024" s="252">
        <f t="shared" si="380"/>
        <v>700</v>
      </c>
      <c r="W4024" s="253"/>
    </row>
    <row r="4025" spans="6:23" ht="18.75" customHeight="1">
      <c r="F4025" s="356">
        <v>2</v>
      </c>
      <c r="G4025" s="252" t="s">
        <v>766</v>
      </c>
      <c r="H4025" s="296" t="s">
        <v>1850</v>
      </c>
      <c r="I4025" s="252">
        <f t="shared" si="381"/>
        <v>57.65</v>
      </c>
      <c r="J4025" s="252" t="s">
        <v>766</v>
      </c>
      <c r="K4025" s="252">
        <f t="shared" si="380"/>
        <v>115.3</v>
      </c>
      <c r="W4025" s="253"/>
    </row>
    <row r="4026" spans="6:23" ht="18.75" customHeight="1">
      <c r="F4026" s="356">
        <v>4</v>
      </c>
      <c r="G4026" s="252" t="s">
        <v>766</v>
      </c>
      <c r="H4026" s="296" t="s">
        <v>1853</v>
      </c>
      <c r="I4026" s="252">
        <f t="shared" si="381"/>
        <v>15</v>
      </c>
      <c r="J4026" s="252" t="s">
        <v>766</v>
      </c>
      <c r="K4026" s="252">
        <f>I4026*F4026</f>
        <v>60</v>
      </c>
      <c r="W4026" s="253"/>
    </row>
    <row r="4027" spans="6:23" ht="18.75" customHeight="1">
      <c r="F4027" s="356">
        <v>1.42</v>
      </c>
      <c r="G4027" s="252" t="s">
        <v>2273</v>
      </c>
      <c r="H4027" s="296" t="s">
        <v>1854</v>
      </c>
      <c r="I4027" s="252">
        <f t="shared" si="381"/>
        <v>1998</v>
      </c>
      <c r="J4027" s="252" t="s">
        <v>2273</v>
      </c>
      <c r="K4027" s="252">
        <f>I4027*F4027</f>
        <v>2837.16</v>
      </c>
      <c r="W4027" s="253"/>
    </row>
    <row r="4028" spans="6:23" ht="18.75" customHeight="1">
      <c r="F4028" s="356"/>
      <c r="H4028" s="296" t="s">
        <v>1855</v>
      </c>
      <c r="J4028" s="253"/>
      <c r="W4028" s="253"/>
    </row>
    <row r="4029" spans="6:23" ht="18.75" customHeight="1">
      <c r="F4029" s="356"/>
      <c r="H4029" s="360" t="s">
        <v>3526</v>
      </c>
      <c r="J4029" s="252"/>
      <c r="K4029" s="252">
        <f>SUM(K4018:K4028)</f>
        <v>7705.96</v>
      </c>
      <c r="W4029" s="253"/>
    </row>
    <row r="4030" spans="6:23" ht="18.75" customHeight="1">
      <c r="F4030" s="356"/>
      <c r="H4030" s="407" t="s">
        <v>4304</v>
      </c>
      <c r="J4030" s="252"/>
      <c r="K4030" s="274">
        <f>K4029/F4027</f>
        <v>5426.73</v>
      </c>
      <c r="W4030" s="253"/>
    </row>
    <row r="4031" spans="6:23" ht="18.75" customHeight="1">
      <c r="F4031" s="356"/>
      <c r="J4031" s="252"/>
      <c r="K4031" s="274"/>
      <c r="W4031" s="253"/>
    </row>
    <row r="4032" spans="6:23" ht="18.75" customHeight="1">
      <c r="F4032" s="356"/>
      <c r="H4032" s="461" t="s">
        <v>4306</v>
      </c>
      <c r="W4032" s="253"/>
    </row>
    <row r="4033" spans="6:23" ht="18.75" customHeight="1">
      <c r="F4033" s="484">
        <v>11.61</v>
      </c>
      <c r="G4033" s="481" t="s">
        <v>909</v>
      </c>
      <c r="H4033" s="485" t="s">
        <v>1846</v>
      </c>
      <c r="I4033" s="481">
        <f>I4018</f>
        <v>325</v>
      </c>
      <c r="J4033" s="481" t="s">
        <v>909</v>
      </c>
      <c r="K4033" s="481">
        <f>I4033*F4033</f>
        <v>3773.25</v>
      </c>
      <c r="W4033" s="253"/>
    </row>
    <row r="4034" spans="6:23" ht="18.75" customHeight="1">
      <c r="F4034" s="484">
        <v>7.8</v>
      </c>
      <c r="G4034" s="481" t="s">
        <v>823</v>
      </c>
      <c r="H4034" s="485" t="s">
        <v>3903</v>
      </c>
      <c r="I4034" s="481">
        <f>I4023</f>
        <v>29.05</v>
      </c>
      <c r="J4034" s="481" t="s">
        <v>823</v>
      </c>
      <c r="K4034" s="481">
        <f t="shared" ref="K4034:K4039" si="382">I4034*F4034</f>
        <v>226.59</v>
      </c>
      <c r="W4034" s="253"/>
    </row>
    <row r="4035" spans="6:23" ht="18.75" customHeight="1">
      <c r="F4035" s="484">
        <v>1.62</v>
      </c>
      <c r="G4035" s="481" t="s">
        <v>230</v>
      </c>
      <c r="H4035" s="485" t="s">
        <v>3904</v>
      </c>
      <c r="I4035" s="481">
        <f>I4022</f>
        <v>306.89999999999998</v>
      </c>
      <c r="J4035" s="481" t="s">
        <v>230</v>
      </c>
      <c r="K4035" s="481">
        <f t="shared" si="382"/>
        <v>497.18</v>
      </c>
      <c r="W4035" s="253"/>
    </row>
    <row r="4036" spans="6:23" ht="18.75" customHeight="1">
      <c r="F4036" s="484">
        <v>2</v>
      </c>
      <c r="G4036" s="481" t="s">
        <v>766</v>
      </c>
      <c r="H4036" s="485" t="s">
        <v>3905</v>
      </c>
      <c r="I4036" s="481">
        <f>I4025</f>
        <v>57.65</v>
      </c>
      <c r="J4036" s="481" t="s">
        <v>766</v>
      </c>
      <c r="K4036" s="481">
        <f t="shared" si="382"/>
        <v>115.3</v>
      </c>
      <c r="W4036" s="253"/>
    </row>
    <row r="4037" spans="6:23" ht="18.75" customHeight="1">
      <c r="F4037" s="484">
        <v>2</v>
      </c>
      <c r="G4037" s="481" t="s">
        <v>766</v>
      </c>
      <c r="H4037" s="485" t="s">
        <v>4307</v>
      </c>
      <c r="I4037" s="481">
        <f>I4024</f>
        <v>350</v>
      </c>
      <c r="J4037" s="481" t="s">
        <v>766</v>
      </c>
      <c r="K4037" s="481">
        <f t="shared" si="382"/>
        <v>700</v>
      </c>
      <c r="W4037" s="253"/>
    </row>
    <row r="4038" spans="6:23" ht="18.75" customHeight="1">
      <c r="F4038" s="484">
        <v>4</v>
      </c>
      <c r="G4038" s="481" t="s">
        <v>766</v>
      </c>
      <c r="H4038" s="485" t="s">
        <v>3907</v>
      </c>
      <c r="I4038" s="481">
        <f>I4026</f>
        <v>15</v>
      </c>
      <c r="J4038" s="481" t="s">
        <v>766</v>
      </c>
      <c r="K4038" s="481">
        <f t="shared" si="382"/>
        <v>60</v>
      </c>
      <c r="W4038" s="253"/>
    </row>
    <row r="4039" spans="6:23" ht="18.75" customHeight="1">
      <c r="F4039" s="484">
        <v>1.62</v>
      </c>
      <c r="G4039" s="481" t="s">
        <v>2273</v>
      </c>
      <c r="H4039" s="485" t="s">
        <v>3908</v>
      </c>
      <c r="I4039" s="481">
        <f>I4027</f>
        <v>1998</v>
      </c>
      <c r="J4039" s="481" t="s">
        <v>2273</v>
      </c>
      <c r="K4039" s="481">
        <f t="shared" si="382"/>
        <v>3236.76</v>
      </c>
      <c r="W4039" s="253"/>
    </row>
    <row r="4040" spans="6:23" ht="18.75" customHeight="1">
      <c r="F4040" s="481"/>
      <c r="G4040" s="481"/>
      <c r="H4040" s="485" t="s">
        <v>2261</v>
      </c>
      <c r="I4040" s="481"/>
      <c r="J4040" s="486"/>
      <c r="K4040" s="481"/>
      <c r="W4040" s="253"/>
    </row>
    <row r="4041" spans="6:23" ht="18.75" customHeight="1">
      <c r="F4041" s="481"/>
      <c r="G4041" s="481"/>
      <c r="H4041" s="360" t="s">
        <v>3526</v>
      </c>
      <c r="J4041" s="252"/>
      <c r="K4041" s="252">
        <f>SUM(K4033:K4040)</f>
        <v>8609.08</v>
      </c>
      <c r="W4041" s="253"/>
    </row>
    <row r="4042" spans="6:23" ht="18.75" customHeight="1">
      <c r="F4042" s="356"/>
      <c r="H4042" s="407" t="s">
        <v>4304</v>
      </c>
      <c r="J4042" s="252"/>
      <c r="K4042" s="274">
        <f>K4041/F4039</f>
        <v>5314.25</v>
      </c>
      <c r="W4042" s="253"/>
    </row>
    <row r="4043" spans="6:23" ht="18.75" customHeight="1">
      <c r="F4043" s="356"/>
      <c r="J4043" s="252"/>
      <c r="W4043" s="253"/>
    </row>
    <row r="4044" spans="6:23" ht="18.75" customHeight="1">
      <c r="W4044" s="253"/>
    </row>
    <row r="4045" spans="6:23" ht="18.75" customHeight="1">
      <c r="H4045" s="296" t="s">
        <v>5733</v>
      </c>
      <c r="J4045" s="253"/>
      <c r="L4045" s="356"/>
      <c r="M4045" s="356"/>
      <c r="W4045" s="253"/>
    </row>
    <row r="4046" spans="6:23" ht="18.75" customHeight="1">
      <c r="H4046" s="525" t="s">
        <v>4342</v>
      </c>
      <c r="J4046" s="253"/>
      <c r="L4046" s="356"/>
      <c r="M4046" s="356"/>
      <c r="W4046" s="253"/>
    </row>
    <row r="4047" spans="6:23" ht="18.75" customHeight="1">
      <c r="H4047" s="358" t="s">
        <v>1579</v>
      </c>
      <c r="J4047" s="253"/>
      <c r="L4047" s="356"/>
      <c r="M4047" s="356"/>
      <c r="W4047" s="253"/>
    </row>
    <row r="4048" spans="6:23" ht="18.75" customHeight="1">
      <c r="H4048" s="276" t="s">
        <v>4343</v>
      </c>
      <c r="J4048" s="252"/>
      <c r="L4048" s="356"/>
      <c r="M4048" s="356"/>
      <c r="W4048" s="253"/>
    </row>
    <row r="4049" spans="6:23" ht="18.75" customHeight="1">
      <c r="H4049" s="443" t="s">
        <v>4344</v>
      </c>
      <c r="I4049" s="624"/>
      <c r="J4049" s="548">
        <f>3*2*1.9*0.075*0.0375</f>
        <v>3.2099999999999997E-2</v>
      </c>
      <c r="K4049" s="252" t="s">
        <v>2142</v>
      </c>
      <c r="L4049" s="356"/>
      <c r="M4049" s="356"/>
      <c r="W4049" s="253"/>
    </row>
    <row r="4050" spans="6:23" ht="18.75" customHeight="1">
      <c r="H4050" s="296" t="s">
        <v>4345</v>
      </c>
      <c r="I4050" s="624"/>
      <c r="J4050" s="548">
        <f>3*2*0.5*0.075*0.0375</f>
        <v>8.3999999999999995E-3</v>
      </c>
      <c r="K4050" s="252" t="s">
        <v>2142</v>
      </c>
      <c r="L4050" s="356"/>
      <c r="M4050" s="356"/>
      <c r="W4050" s="253"/>
    </row>
    <row r="4051" spans="6:23" ht="18.75" customHeight="1">
      <c r="H4051" s="296"/>
      <c r="I4051" s="407"/>
      <c r="J4051" s="358" t="s">
        <v>1579</v>
      </c>
      <c r="K4051" s="400"/>
      <c r="L4051" s="356"/>
      <c r="M4051" s="356"/>
      <c r="W4051" s="253"/>
    </row>
    <row r="4052" spans="6:23" ht="18.75" customHeight="1">
      <c r="J4052" s="653">
        <f>SUM(J4049:J4051)</f>
        <v>4.0500000000000001E-2</v>
      </c>
      <c r="K4052" s="252" t="s">
        <v>2142</v>
      </c>
      <c r="L4052" s="356"/>
      <c r="M4052" s="356"/>
      <c r="W4052" s="253"/>
    </row>
    <row r="4053" spans="6:23" ht="18.75" customHeight="1">
      <c r="J4053" s="358" t="s">
        <v>1579</v>
      </c>
      <c r="L4053" s="356"/>
      <c r="M4053" s="356"/>
      <c r="W4053" s="253"/>
    </row>
    <row r="4054" spans="6:23" ht="18.75" customHeight="1">
      <c r="H4054" s="296" t="s">
        <v>444</v>
      </c>
      <c r="I4054" s="624"/>
      <c r="J4054" s="624"/>
      <c r="K4054" s="624"/>
      <c r="L4054" s="356"/>
      <c r="M4054" s="356"/>
      <c r="W4054" s="253"/>
    </row>
    <row r="4055" spans="6:23" ht="18.75" customHeight="1">
      <c r="H4055" s="296" t="s">
        <v>4346</v>
      </c>
      <c r="I4055" s="588"/>
      <c r="J4055" s="462">
        <f>3*1.9*0.5</f>
        <v>2.85</v>
      </c>
      <c r="K4055" s="252" t="s">
        <v>606</v>
      </c>
      <c r="L4055" s="356"/>
      <c r="M4055" s="356"/>
      <c r="W4055" s="253"/>
    </row>
    <row r="4056" spans="6:23" ht="18.75" customHeight="1">
      <c r="H4056" s="296"/>
      <c r="I4056" s="588"/>
      <c r="J4056" s="462"/>
      <c r="K4056" s="400"/>
      <c r="L4056" s="356"/>
      <c r="M4056" s="356"/>
      <c r="W4056" s="253"/>
    </row>
    <row r="4057" spans="6:23" ht="18.75" customHeight="1">
      <c r="H4057" s="296" t="s">
        <v>4347</v>
      </c>
      <c r="I4057" s="588"/>
      <c r="J4057" s="462"/>
      <c r="K4057" s="400"/>
      <c r="L4057" s="356"/>
      <c r="M4057" s="356"/>
      <c r="W4057" s="253"/>
    </row>
    <row r="4058" spans="6:23" ht="18.75" customHeight="1">
      <c r="H4058" s="296" t="s">
        <v>4348</v>
      </c>
      <c r="I4058" s="588"/>
      <c r="J4058" s="548">
        <f>3*1.775*0.375</f>
        <v>1.9968999999999999</v>
      </c>
      <c r="K4058" s="400" t="str">
        <f>K4055</f>
        <v>SQM</v>
      </c>
      <c r="L4058" s="356"/>
      <c r="M4058" s="356"/>
      <c r="W4058" s="253"/>
    </row>
    <row r="4059" spans="6:23" ht="18.75" customHeight="1">
      <c r="H4059" s="296" t="s">
        <v>4349</v>
      </c>
      <c r="J4059" s="548"/>
      <c r="K4059" s="443"/>
      <c r="L4059" s="356"/>
      <c r="M4059" s="356"/>
      <c r="W4059" s="253"/>
    </row>
    <row r="4060" spans="6:23" ht="18.75" customHeight="1">
      <c r="F4060" s="316"/>
      <c r="H4060" s="296" t="s">
        <v>4350</v>
      </c>
      <c r="I4060" s="588"/>
      <c r="J4060" s="654">
        <f>1.775+0.375</f>
        <v>2.15</v>
      </c>
      <c r="K4060" s="400"/>
      <c r="M4060" s="356"/>
      <c r="W4060" s="253"/>
    </row>
    <row r="4061" spans="6:23" ht="18.75" customHeight="1">
      <c r="F4061" s="316"/>
      <c r="I4061" s="655"/>
      <c r="J4061" s="255">
        <f>J4060*6</f>
        <v>12.9</v>
      </c>
      <c r="K4061" s="252" t="s">
        <v>823</v>
      </c>
      <c r="M4061" s="356"/>
      <c r="W4061" s="253"/>
    </row>
    <row r="4062" spans="6:23" ht="18.75" customHeight="1">
      <c r="F4062" s="316"/>
      <c r="H4062" s="257" t="s">
        <v>4351</v>
      </c>
      <c r="I4062" s="655"/>
      <c r="J4062" s="253"/>
      <c r="M4062" s="356"/>
      <c r="W4062" s="253"/>
    </row>
    <row r="4063" spans="6:23" ht="18.75" customHeight="1">
      <c r="F4063" s="316"/>
      <c r="H4063" s="276" t="s">
        <v>4352</v>
      </c>
      <c r="I4063" s="624"/>
      <c r="J4063" s="252"/>
      <c r="K4063" s="253"/>
      <c r="M4063" s="356"/>
      <c r="W4063" s="253"/>
    </row>
    <row r="4064" spans="6:23" ht="18.75" customHeight="1">
      <c r="F4064" s="400">
        <f>J4052</f>
        <v>4.0500000000000001E-2</v>
      </c>
      <c r="G4064" s="296" t="s">
        <v>866</v>
      </c>
      <c r="H4064" s="296" t="s">
        <v>4353</v>
      </c>
      <c r="I4064" s="252">
        <f>V3114</f>
        <v>99400</v>
      </c>
      <c r="J4064" s="253" t="s">
        <v>866</v>
      </c>
      <c r="K4064" s="252">
        <f>(F4064*I4064)</f>
        <v>4025.7</v>
      </c>
      <c r="M4064" s="356"/>
      <c r="W4064" s="253"/>
    </row>
    <row r="4065" spans="6:23" ht="18.75" customHeight="1">
      <c r="F4065" s="400">
        <f>J4055</f>
        <v>2.85</v>
      </c>
      <c r="G4065" s="252" t="s">
        <v>606</v>
      </c>
      <c r="H4065" s="296" t="s">
        <v>444</v>
      </c>
      <c r="I4065" s="252">
        <f>V3116</f>
        <v>1436</v>
      </c>
      <c r="J4065" s="252" t="s">
        <v>606</v>
      </c>
      <c r="K4065" s="252">
        <f>(F4065*I4065)</f>
        <v>4092.6</v>
      </c>
      <c r="M4065" s="356"/>
      <c r="W4065" s="253"/>
    </row>
    <row r="4066" spans="6:23" ht="18.75" customHeight="1">
      <c r="F4066" s="400">
        <f>J4058</f>
        <v>1.9968999999999999</v>
      </c>
      <c r="G4066" s="252" t="s">
        <v>606</v>
      </c>
      <c r="H4066" s="296" t="s">
        <v>4347</v>
      </c>
      <c r="I4066" s="252">
        <f>V3115</f>
        <v>306.89999999999998</v>
      </c>
      <c r="J4066" s="252" t="s">
        <v>606</v>
      </c>
      <c r="K4066" s="252">
        <f t="shared" ref="K4066:K4072" si="383">(F4066*I4066)</f>
        <v>612.85</v>
      </c>
      <c r="M4066" s="356"/>
      <c r="W4066" s="253"/>
    </row>
    <row r="4067" spans="6:23" ht="18.75" customHeight="1">
      <c r="F4067" s="252">
        <f>J4061</f>
        <v>12.9</v>
      </c>
      <c r="G4067" s="252" t="s">
        <v>823</v>
      </c>
      <c r="H4067" s="276" t="s">
        <v>4354</v>
      </c>
      <c r="I4067" s="252">
        <f t="shared" ref="I4067:I4072" si="384">V3117</f>
        <v>15.45</v>
      </c>
      <c r="J4067" s="252" t="s">
        <v>823</v>
      </c>
      <c r="K4067" s="252">
        <f t="shared" si="383"/>
        <v>199.31</v>
      </c>
      <c r="M4067" s="356"/>
      <c r="W4067" s="253"/>
    </row>
    <row r="4068" spans="6:23" ht="18.75" customHeight="1">
      <c r="F4068" s="252">
        <v>9</v>
      </c>
      <c r="G4068" s="252" t="s">
        <v>865</v>
      </c>
      <c r="H4068" s="296" t="s">
        <v>1510</v>
      </c>
      <c r="I4068" s="252">
        <f t="shared" si="384"/>
        <v>89.6</v>
      </c>
      <c r="J4068" s="296" t="s">
        <v>865</v>
      </c>
      <c r="K4068" s="252">
        <f t="shared" si="383"/>
        <v>806.4</v>
      </c>
      <c r="M4068" s="356"/>
      <c r="W4068" s="253"/>
    </row>
    <row r="4069" spans="6:23" ht="18.75" customHeight="1">
      <c r="F4069" s="252">
        <v>6</v>
      </c>
      <c r="G4069" s="252" t="s">
        <v>865</v>
      </c>
      <c r="H4069" s="296" t="s">
        <v>3537</v>
      </c>
      <c r="I4069" s="252">
        <f t="shared" si="384"/>
        <v>82.25</v>
      </c>
      <c r="J4069" s="296" t="s">
        <v>865</v>
      </c>
      <c r="K4069" s="252">
        <f t="shared" si="383"/>
        <v>493.5</v>
      </c>
      <c r="M4069" s="356"/>
      <c r="W4069" s="253"/>
    </row>
    <row r="4070" spans="6:23" ht="18.75" customHeight="1">
      <c r="F4070" s="252">
        <v>3</v>
      </c>
      <c r="G4070" s="252" t="s">
        <v>865</v>
      </c>
      <c r="H4070" s="296" t="s">
        <v>3538</v>
      </c>
      <c r="I4070" s="252">
        <f t="shared" si="384"/>
        <v>57.65</v>
      </c>
      <c r="J4070" s="296" t="s">
        <v>865</v>
      </c>
      <c r="K4070" s="252">
        <f t="shared" si="383"/>
        <v>172.95</v>
      </c>
      <c r="M4070" s="356"/>
      <c r="W4070" s="253"/>
    </row>
    <row r="4071" spans="6:23" ht="18.75" customHeight="1">
      <c r="F4071" s="252">
        <v>3</v>
      </c>
      <c r="G4071" s="252" t="s">
        <v>865</v>
      </c>
      <c r="H4071" s="296" t="s">
        <v>1971</v>
      </c>
      <c r="I4071" s="252">
        <f t="shared" si="384"/>
        <v>7.3</v>
      </c>
      <c r="J4071" s="296" t="s">
        <v>865</v>
      </c>
      <c r="K4071" s="252">
        <f t="shared" si="383"/>
        <v>21.9</v>
      </c>
      <c r="M4071" s="356"/>
      <c r="W4071" s="253"/>
    </row>
    <row r="4072" spans="6:23" ht="18.75" customHeight="1">
      <c r="F4072" s="252">
        <v>120</v>
      </c>
      <c r="G4072" s="252" t="s">
        <v>865</v>
      </c>
      <c r="H4072" s="296" t="s">
        <v>4355</v>
      </c>
      <c r="I4072" s="252">
        <f t="shared" si="384"/>
        <v>2.41</v>
      </c>
      <c r="J4072" s="296" t="s">
        <v>865</v>
      </c>
      <c r="K4072" s="252">
        <f t="shared" si="383"/>
        <v>289.2</v>
      </c>
      <c r="M4072" s="356"/>
      <c r="W4072" s="253"/>
    </row>
    <row r="4073" spans="6:23" ht="18.75" customHeight="1">
      <c r="H4073" s="296"/>
      <c r="I4073" s="624"/>
      <c r="J4073" s="252"/>
      <c r="K4073" s="358" t="s">
        <v>1579</v>
      </c>
      <c r="M4073" s="356"/>
      <c r="W4073" s="253"/>
    </row>
    <row r="4074" spans="6:23" ht="18.75" customHeight="1">
      <c r="H4074" s="296" t="s">
        <v>4356</v>
      </c>
      <c r="I4074" s="624"/>
      <c r="J4074" s="253"/>
      <c r="K4074" s="407">
        <f>SUM(K4064:K4073)</f>
        <v>10714.41</v>
      </c>
      <c r="L4074" s="429"/>
      <c r="M4074" s="356"/>
      <c r="W4074" s="253"/>
    </row>
    <row r="4075" spans="6:23" ht="18.75" customHeight="1">
      <c r="H4075" s="624"/>
      <c r="J4075" s="253"/>
      <c r="K4075" s="358" t="s">
        <v>1579</v>
      </c>
      <c r="L4075" s="624"/>
      <c r="M4075" s="356"/>
      <c r="W4075" s="253"/>
    </row>
    <row r="4076" spans="6:23" ht="18.75" customHeight="1">
      <c r="H4076" s="407" t="s">
        <v>4035</v>
      </c>
      <c r="J4076" s="253"/>
      <c r="K4076" s="630">
        <f>K4074/F4065</f>
        <v>3759.44</v>
      </c>
      <c r="L4076" s="252">
        <f>SUM(L4060:L4075)</f>
        <v>0</v>
      </c>
      <c r="M4076" s="356"/>
      <c r="W4076" s="253"/>
    </row>
    <row r="4077" spans="6:23" ht="18.75" customHeight="1">
      <c r="J4077" s="253"/>
      <c r="K4077" s="624"/>
      <c r="L4077" s="624"/>
      <c r="M4077" s="356"/>
      <c r="W4077" s="253"/>
    </row>
    <row r="4078" spans="6:23" ht="18.75" customHeight="1">
      <c r="H4078" s="276"/>
      <c r="J4078" s="1269"/>
      <c r="K4078" s="1269"/>
      <c r="L4078" s="1269"/>
      <c r="M4078" s="1269"/>
      <c r="W4078" s="253"/>
    </row>
    <row r="4079" spans="6:23" ht="18.75" customHeight="1">
      <c r="J4079" s="252"/>
      <c r="L4079" s="356"/>
      <c r="M4079" s="356"/>
      <c r="W4079" s="253"/>
    </row>
    <row r="4080" spans="6:23" ht="18.75" customHeight="1">
      <c r="W4080" s="253"/>
    </row>
    <row r="4081" spans="23:23" ht="18.75" customHeight="1">
      <c r="W4081" s="253"/>
    </row>
    <row r="4082" spans="23:23" ht="18.75" customHeight="1">
      <c r="W4082" s="253"/>
    </row>
    <row r="4083" spans="23:23" ht="18.75" customHeight="1">
      <c r="W4083" s="253"/>
    </row>
    <row r="4084" spans="23:23" ht="18.75" customHeight="1">
      <c r="W4084" s="253"/>
    </row>
    <row r="4085" spans="23:23" ht="18.75" customHeight="1">
      <c r="W4085" s="253"/>
    </row>
    <row r="4086" spans="23:23" ht="18.75" customHeight="1">
      <c r="W4086" s="253"/>
    </row>
    <row r="4087" spans="23:23" ht="18.75" customHeight="1">
      <c r="W4087" s="253"/>
    </row>
    <row r="4088" spans="23:23" ht="18.75" customHeight="1">
      <c r="W4088" s="253"/>
    </row>
    <row r="4089" spans="23:23" ht="18.75" customHeight="1">
      <c r="W4089" s="253"/>
    </row>
    <row r="4090" spans="23:23" ht="18.75" customHeight="1">
      <c r="W4090" s="253"/>
    </row>
    <row r="4091" spans="23:23" ht="18.75" customHeight="1">
      <c r="W4091" s="253"/>
    </row>
    <row r="4092" spans="23:23" ht="18.75" customHeight="1">
      <c r="W4092" s="253"/>
    </row>
    <row r="4093" spans="23:23" ht="18.75" customHeight="1">
      <c r="W4093" s="253"/>
    </row>
    <row r="4094" spans="23:23" ht="18.75" customHeight="1">
      <c r="W4094" s="253"/>
    </row>
    <row r="4095" spans="23:23" ht="18.75" customHeight="1">
      <c r="W4095" s="253"/>
    </row>
    <row r="4096" spans="23:23" ht="18.75" customHeight="1">
      <c r="W4096" s="253"/>
    </row>
    <row r="4097" spans="23:23" ht="18.75" customHeight="1">
      <c r="W4097" s="253"/>
    </row>
    <row r="4098" spans="23:23" ht="18.75" customHeight="1">
      <c r="W4098" s="253"/>
    </row>
    <row r="4099" spans="23:23" ht="18.75" customHeight="1">
      <c r="W4099" s="253"/>
    </row>
    <row r="4100" spans="23:23" ht="18.75" customHeight="1">
      <c r="W4100" s="253"/>
    </row>
    <row r="4101" spans="23:23" ht="18.75" customHeight="1">
      <c r="W4101" s="253"/>
    </row>
    <row r="4102" spans="23:23" ht="18.75" customHeight="1">
      <c r="W4102" s="253"/>
    </row>
    <row r="4103" spans="23:23" ht="18.75" customHeight="1">
      <c r="W4103" s="253"/>
    </row>
    <row r="4104" spans="23:23" ht="18.75" customHeight="1">
      <c r="W4104" s="253"/>
    </row>
    <row r="4105" spans="23:23" ht="18.75" customHeight="1">
      <c r="W4105" s="253"/>
    </row>
    <row r="4106" spans="23:23" ht="18.75" customHeight="1">
      <c r="W4106" s="253"/>
    </row>
    <row r="4107" spans="23:23" ht="18.75" customHeight="1">
      <c r="W4107" s="253"/>
    </row>
    <row r="4108" spans="23:23" ht="18.75" customHeight="1">
      <c r="W4108" s="253"/>
    </row>
    <row r="4109" spans="23:23" ht="18.75" customHeight="1">
      <c r="W4109" s="253"/>
    </row>
    <row r="4110" spans="23:23" ht="18.75" customHeight="1">
      <c r="W4110" s="253"/>
    </row>
    <row r="4111" spans="23:23" ht="18.75" customHeight="1">
      <c r="W4111" s="253"/>
    </row>
    <row r="4112" spans="23:23" ht="18.75" customHeight="1">
      <c r="W4112" s="253"/>
    </row>
    <row r="4113" spans="23:23" ht="18.75" customHeight="1">
      <c r="W4113" s="253"/>
    </row>
    <row r="4114" spans="23:23" ht="18.75" customHeight="1">
      <c r="W4114" s="253"/>
    </row>
    <row r="4115" spans="23:23" ht="18.75" customHeight="1">
      <c r="W4115" s="253"/>
    </row>
    <row r="4116" spans="23:23" ht="18.75" customHeight="1">
      <c r="W4116" s="253"/>
    </row>
    <row r="4117" spans="23:23" ht="18.75" customHeight="1">
      <c r="W4117" s="253"/>
    </row>
    <row r="4118" spans="23:23" ht="18.75" customHeight="1">
      <c r="W4118" s="253"/>
    </row>
    <row r="4119" spans="23:23" ht="18.75" customHeight="1">
      <c r="W4119" s="253"/>
    </row>
    <row r="4120" spans="23:23" ht="18.75" customHeight="1">
      <c r="W4120" s="253"/>
    </row>
    <row r="4121" spans="23:23" ht="18.75" customHeight="1">
      <c r="W4121" s="253"/>
    </row>
    <row r="4122" spans="23:23" ht="18.75" customHeight="1">
      <c r="W4122" s="253"/>
    </row>
    <row r="4123" spans="23:23" ht="18.75" customHeight="1">
      <c r="W4123" s="253"/>
    </row>
    <row r="4124" spans="23:23" ht="18.75" customHeight="1">
      <c r="W4124" s="253"/>
    </row>
    <row r="4125" spans="23:23" ht="18.75" customHeight="1">
      <c r="W4125" s="253"/>
    </row>
    <row r="4126" spans="23:23" ht="18.75" customHeight="1">
      <c r="W4126" s="253"/>
    </row>
    <row r="4127" spans="23:23" ht="18.75" customHeight="1">
      <c r="W4127" s="253"/>
    </row>
    <row r="4128" spans="23:23" ht="18.75" customHeight="1">
      <c r="W4128" s="253"/>
    </row>
    <row r="4129" spans="23:23" ht="18.75" customHeight="1">
      <c r="W4129" s="253"/>
    </row>
    <row r="4130" spans="23:23" ht="18.75" customHeight="1">
      <c r="W4130" s="253"/>
    </row>
    <row r="4131" spans="23:23" ht="18.75" customHeight="1">
      <c r="W4131" s="253"/>
    </row>
    <row r="4132" spans="23:23" ht="18.75" customHeight="1">
      <c r="W4132" s="253"/>
    </row>
    <row r="4133" spans="23:23" ht="18.75" customHeight="1">
      <c r="W4133" s="253"/>
    </row>
    <row r="4134" spans="23:23" ht="18.75" customHeight="1">
      <c r="W4134" s="253"/>
    </row>
    <row r="4135" spans="23:23" ht="18.75" customHeight="1">
      <c r="W4135" s="253"/>
    </row>
    <row r="4136" spans="23:23" ht="18.75" customHeight="1">
      <c r="W4136" s="253"/>
    </row>
    <row r="4137" spans="23:23" ht="18.75" customHeight="1">
      <c r="W4137" s="253"/>
    </row>
    <row r="4138" spans="23:23" ht="18.75" customHeight="1">
      <c r="W4138" s="253"/>
    </row>
    <row r="4139" spans="23:23" ht="18.75" customHeight="1">
      <c r="W4139" s="253"/>
    </row>
    <row r="4140" spans="23:23" ht="18.75" customHeight="1">
      <c r="W4140" s="253"/>
    </row>
    <row r="4141" spans="23:23" ht="18.75" customHeight="1">
      <c r="W4141" s="253"/>
    </row>
    <row r="4142" spans="23:23" ht="18.75" customHeight="1">
      <c r="W4142" s="253"/>
    </row>
    <row r="4143" spans="23:23" ht="18.75" customHeight="1">
      <c r="W4143" s="253"/>
    </row>
    <row r="4144" spans="23:23" ht="18.75" customHeight="1">
      <c r="W4144" s="253"/>
    </row>
    <row r="4145" spans="23:23" ht="18.75" customHeight="1">
      <c r="W4145" s="253"/>
    </row>
    <row r="4146" spans="23:23" ht="18.75" customHeight="1">
      <c r="W4146" s="253"/>
    </row>
    <row r="4147" spans="23:23" ht="18.75" customHeight="1">
      <c r="W4147" s="253"/>
    </row>
    <row r="4148" spans="23:23" ht="18.75" customHeight="1">
      <c r="W4148" s="253"/>
    </row>
    <row r="4149" spans="23:23" ht="18.75" customHeight="1">
      <c r="W4149" s="253"/>
    </row>
    <row r="4150" spans="23:23" ht="18.75" customHeight="1">
      <c r="W4150" s="253"/>
    </row>
    <row r="4151" spans="23:23" ht="18.75" customHeight="1">
      <c r="W4151" s="253"/>
    </row>
    <row r="4152" spans="23:23" ht="18.75" customHeight="1">
      <c r="W4152" s="253"/>
    </row>
    <row r="4153" spans="23:23" ht="18.75" customHeight="1">
      <c r="W4153" s="253"/>
    </row>
    <row r="4154" spans="23:23" ht="18.75" customHeight="1">
      <c r="W4154" s="253"/>
    </row>
    <row r="4155" spans="23:23" ht="18.75" customHeight="1">
      <c r="W4155" s="253"/>
    </row>
    <row r="4156" spans="23:23" ht="18.75" customHeight="1">
      <c r="W4156" s="253"/>
    </row>
    <row r="4157" spans="23:23" ht="18.75" customHeight="1">
      <c r="W4157" s="253"/>
    </row>
    <row r="4158" spans="23:23" ht="18.75" customHeight="1">
      <c r="W4158" s="253"/>
    </row>
    <row r="4159" spans="23:23" ht="18.75" customHeight="1">
      <c r="W4159" s="253"/>
    </row>
    <row r="4160" spans="23:23" ht="18.75" customHeight="1">
      <c r="W4160" s="253"/>
    </row>
    <row r="4161" spans="23:23" ht="18.75" customHeight="1">
      <c r="W4161" s="253"/>
    </row>
    <row r="4162" spans="23:23" ht="18.75" customHeight="1">
      <c r="W4162" s="253"/>
    </row>
    <row r="4163" spans="23:23" ht="18.75" customHeight="1">
      <c r="W4163" s="253"/>
    </row>
    <row r="4164" spans="23:23" ht="18.75" customHeight="1">
      <c r="W4164" s="253"/>
    </row>
    <row r="4165" spans="23:23" ht="18.75" customHeight="1">
      <c r="W4165" s="253"/>
    </row>
    <row r="4166" spans="23:23" ht="18.75" customHeight="1">
      <c r="W4166" s="253"/>
    </row>
    <row r="4167" spans="23:23" ht="18.75" customHeight="1">
      <c r="W4167" s="253"/>
    </row>
    <row r="4168" spans="23:23" ht="18.75" customHeight="1">
      <c r="W4168" s="253"/>
    </row>
    <row r="4169" spans="23:23" ht="18.75" customHeight="1">
      <c r="W4169" s="253"/>
    </row>
    <row r="4170" spans="23:23" ht="18.75" customHeight="1">
      <c r="W4170" s="253"/>
    </row>
    <row r="4171" spans="23:23" ht="18.75" customHeight="1">
      <c r="W4171" s="253"/>
    </row>
    <row r="4172" spans="23:23" ht="18.75" customHeight="1">
      <c r="W4172" s="253"/>
    </row>
    <row r="4173" spans="23:23" ht="18.75" customHeight="1">
      <c r="W4173" s="253"/>
    </row>
    <row r="4174" spans="23:23" ht="18.75" customHeight="1">
      <c r="W4174" s="253"/>
    </row>
    <row r="4175" spans="23:23" ht="18.75" customHeight="1">
      <c r="W4175" s="253"/>
    </row>
    <row r="4176" spans="23:23" ht="18.75" customHeight="1">
      <c r="W4176" s="253"/>
    </row>
    <row r="4177" spans="23:23" ht="18.75" customHeight="1">
      <c r="W4177" s="253"/>
    </row>
    <row r="4178" spans="23:23" ht="18.75" customHeight="1">
      <c r="W4178" s="253"/>
    </row>
    <row r="4179" spans="23:23" ht="18.75" customHeight="1">
      <c r="W4179" s="253"/>
    </row>
    <row r="4180" spans="23:23" ht="18.75" customHeight="1">
      <c r="W4180" s="253"/>
    </row>
    <row r="4181" spans="23:23" ht="18.75" customHeight="1">
      <c r="W4181" s="253"/>
    </row>
    <row r="4182" spans="23:23" ht="18.75" customHeight="1">
      <c r="W4182" s="253"/>
    </row>
    <row r="4183" spans="23:23" ht="18.75" customHeight="1">
      <c r="W4183" s="253"/>
    </row>
    <row r="4184" spans="23:23" ht="18.75" customHeight="1">
      <c r="W4184" s="253"/>
    </row>
    <row r="4185" spans="23:23" ht="18.75" customHeight="1">
      <c r="W4185" s="253"/>
    </row>
    <row r="4186" spans="23:23" ht="18.75" customHeight="1">
      <c r="W4186" s="253"/>
    </row>
    <row r="4187" spans="23:23" ht="18.75" customHeight="1">
      <c r="W4187" s="253"/>
    </row>
    <row r="4188" spans="23:23" ht="18.75" customHeight="1">
      <c r="W4188" s="253"/>
    </row>
    <row r="4189" spans="23:23" ht="18.75" customHeight="1">
      <c r="W4189" s="253"/>
    </row>
    <row r="4190" spans="23:23" ht="18.75" customHeight="1">
      <c r="W4190" s="253"/>
    </row>
    <row r="4191" spans="23:23" ht="18.75" customHeight="1">
      <c r="W4191" s="253"/>
    </row>
    <row r="4192" spans="23:23" ht="18.75" customHeight="1">
      <c r="W4192" s="253"/>
    </row>
    <row r="4193" spans="23:23" ht="18.75" customHeight="1">
      <c r="W4193" s="253"/>
    </row>
    <row r="4194" spans="23:23" ht="18.75" customHeight="1">
      <c r="W4194" s="253"/>
    </row>
    <row r="4195" spans="23:23" ht="18.75" customHeight="1">
      <c r="W4195" s="253"/>
    </row>
    <row r="4196" spans="23:23" ht="18.75" customHeight="1">
      <c r="W4196" s="253"/>
    </row>
    <row r="4197" spans="23:23" ht="18.75" customHeight="1">
      <c r="W4197" s="253"/>
    </row>
    <row r="4198" spans="23:23" ht="18.75" customHeight="1">
      <c r="W4198" s="253"/>
    </row>
    <row r="4199" spans="23:23" ht="18.75" customHeight="1">
      <c r="W4199" s="253"/>
    </row>
    <row r="4200" spans="23:23" ht="18.75" customHeight="1">
      <c r="W4200" s="253"/>
    </row>
    <row r="4201" spans="23:23" ht="18.75" customHeight="1">
      <c r="W4201" s="253"/>
    </row>
    <row r="4202" spans="23:23" ht="18.75" customHeight="1">
      <c r="W4202" s="253"/>
    </row>
    <row r="4203" spans="23:23" ht="18.75" customHeight="1">
      <c r="W4203" s="253"/>
    </row>
    <row r="4204" spans="23:23" ht="18.75" customHeight="1">
      <c r="W4204" s="253"/>
    </row>
    <row r="4205" spans="23:23" ht="18.75" customHeight="1">
      <c r="W4205" s="253"/>
    </row>
    <row r="4206" spans="23:23" ht="18.75" customHeight="1">
      <c r="W4206" s="253"/>
    </row>
    <row r="4207" spans="23:23" ht="18.75" customHeight="1">
      <c r="W4207" s="253"/>
    </row>
    <row r="4208" spans="23:23" ht="18.75" customHeight="1">
      <c r="W4208" s="253"/>
    </row>
    <row r="4209" spans="23:23" ht="18.75" customHeight="1">
      <c r="W4209" s="253"/>
    </row>
    <row r="4210" spans="23:23" ht="18.75" customHeight="1">
      <c r="W4210" s="253"/>
    </row>
    <row r="4211" spans="23:23" ht="18.75" customHeight="1">
      <c r="W4211" s="253"/>
    </row>
    <row r="4212" spans="23:23" ht="18.75" customHeight="1">
      <c r="W4212" s="253"/>
    </row>
    <row r="4213" spans="23:23" ht="18.75" customHeight="1">
      <c r="W4213" s="253"/>
    </row>
    <row r="4214" spans="23:23" ht="18.75" customHeight="1">
      <c r="W4214" s="253"/>
    </row>
    <row r="4215" spans="23:23" ht="18.75" customHeight="1">
      <c r="W4215" s="253"/>
    </row>
    <row r="4216" spans="23:23" ht="18.75" customHeight="1">
      <c r="W4216" s="253"/>
    </row>
    <row r="4217" spans="23:23" ht="18.75" customHeight="1">
      <c r="W4217" s="253"/>
    </row>
    <row r="4218" spans="23:23" ht="18.75" customHeight="1">
      <c r="W4218" s="253"/>
    </row>
    <row r="4219" spans="23:23" ht="18.75" customHeight="1">
      <c r="W4219" s="253"/>
    </row>
    <row r="4220" spans="23:23" ht="18.75" customHeight="1">
      <c r="W4220" s="253"/>
    </row>
    <row r="4221" spans="23:23" ht="18.75" customHeight="1">
      <c r="W4221" s="253"/>
    </row>
    <row r="4222" spans="23:23" ht="18.75" customHeight="1">
      <c r="W4222" s="253"/>
    </row>
    <row r="4223" spans="23:23" ht="18.75" customHeight="1">
      <c r="W4223" s="253"/>
    </row>
    <row r="4224" spans="23:23" ht="18.75" customHeight="1">
      <c r="W4224" s="253"/>
    </row>
    <row r="4225" spans="23:23" ht="18.75" customHeight="1">
      <c r="W4225" s="253"/>
    </row>
    <row r="4226" spans="23:23" ht="18.75" customHeight="1">
      <c r="W4226" s="253"/>
    </row>
    <row r="4227" spans="23:23" ht="18.75" customHeight="1">
      <c r="W4227" s="253"/>
    </row>
    <row r="4228" spans="23:23" ht="18.75" customHeight="1">
      <c r="W4228" s="253"/>
    </row>
    <row r="4229" spans="23:23" ht="18.75" customHeight="1">
      <c r="W4229" s="253"/>
    </row>
    <row r="4230" spans="23:23" ht="18.75" customHeight="1">
      <c r="W4230" s="253"/>
    </row>
    <row r="4231" spans="23:23" ht="18.75" customHeight="1">
      <c r="W4231" s="253"/>
    </row>
    <row r="4232" spans="23:23" ht="18.75" customHeight="1">
      <c r="W4232" s="253"/>
    </row>
    <row r="4233" spans="23:23" ht="18.75" customHeight="1">
      <c r="W4233" s="253"/>
    </row>
    <row r="4234" spans="23:23" ht="18.75" customHeight="1">
      <c r="W4234" s="253"/>
    </row>
    <row r="4235" spans="23:23" ht="18.75" customHeight="1">
      <c r="W4235" s="253"/>
    </row>
    <row r="4236" spans="23:23" ht="18.75" customHeight="1">
      <c r="W4236" s="253"/>
    </row>
    <row r="4237" spans="23:23" ht="18.75" customHeight="1">
      <c r="W4237" s="253"/>
    </row>
    <row r="4238" spans="23:23" ht="18.75" customHeight="1">
      <c r="W4238" s="253"/>
    </row>
    <row r="4239" spans="23:23" ht="18.75" customHeight="1">
      <c r="W4239" s="253"/>
    </row>
    <row r="4240" spans="23:23" ht="18.75" customHeight="1">
      <c r="W4240" s="253"/>
    </row>
    <row r="4241" spans="23:23" ht="18.75" customHeight="1">
      <c r="W4241" s="253"/>
    </row>
    <row r="4242" spans="23:23" ht="18.75" customHeight="1">
      <c r="W4242" s="253"/>
    </row>
    <row r="4243" spans="23:23" ht="18.75" customHeight="1">
      <c r="W4243" s="253"/>
    </row>
    <row r="4244" spans="23:23" ht="18.75" customHeight="1">
      <c r="W4244" s="253"/>
    </row>
    <row r="4245" spans="23:23" ht="18.75" customHeight="1">
      <c r="W4245" s="253"/>
    </row>
    <row r="4246" spans="23:23" ht="18.75" customHeight="1">
      <c r="W4246" s="253"/>
    </row>
    <row r="4247" spans="23:23" ht="18.75" customHeight="1">
      <c r="W4247" s="253"/>
    </row>
    <row r="4248" spans="23:23" ht="18.75" customHeight="1">
      <c r="W4248" s="253"/>
    </row>
    <row r="4249" spans="23:23" ht="18.75" customHeight="1">
      <c r="W4249" s="253"/>
    </row>
    <row r="4250" spans="23:23" ht="18.75" customHeight="1">
      <c r="W4250" s="253"/>
    </row>
    <row r="4251" spans="23:23" ht="18.75" customHeight="1">
      <c r="W4251" s="253"/>
    </row>
    <row r="4252" spans="23:23" ht="18.75" customHeight="1">
      <c r="W4252" s="253"/>
    </row>
    <row r="4253" spans="23:23" ht="18.75" customHeight="1">
      <c r="W4253" s="253"/>
    </row>
    <row r="4254" spans="23:23" ht="18.75" customHeight="1">
      <c r="W4254" s="253"/>
    </row>
    <row r="4255" spans="23:23" ht="18.75" customHeight="1">
      <c r="W4255" s="253"/>
    </row>
    <row r="4256" spans="23:23" ht="18.75" customHeight="1">
      <c r="W4256" s="253"/>
    </row>
    <row r="4257" spans="23:23" ht="18.75" customHeight="1">
      <c r="W4257" s="253"/>
    </row>
    <row r="4258" spans="23:23" ht="18.75" customHeight="1">
      <c r="W4258" s="253"/>
    </row>
    <row r="4259" spans="23:23" ht="18.75" customHeight="1">
      <c r="W4259" s="253"/>
    </row>
    <row r="4260" spans="23:23" ht="18.75" customHeight="1">
      <c r="W4260" s="253"/>
    </row>
    <row r="4261" spans="23:23" ht="18.75" customHeight="1">
      <c r="W4261" s="253"/>
    </row>
    <row r="4262" spans="23:23" ht="18.75" customHeight="1">
      <c r="W4262" s="253"/>
    </row>
    <row r="4263" spans="23:23" ht="18.75" customHeight="1">
      <c r="W4263" s="253"/>
    </row>
    <row r="4264" spans="23:23" ht="18.75" customHeight="1">
      <c r="W4264" s="253"/>
    </row>
    <row r="4265" spans="23:23" ht="18.75" customHeight="1">
      <c r="W4265" s="253"/>
    </row>
    <row r="4266" spans="23:23" ht="18.75" customHeight="1">
      <c r="W4266" s="253"/>
    </row>
    <row r="4267" spans="23:23" ht="18.75" customHeight="1">
      <c r="W4267" s="253"/>
    </row>
    <row r="4268" spans="23:23" ht="18.75" customHeight="1">
      <c r="W4268" s="253"/>
    </row>
    <row r="4269" spans="23:23" ht="18.75" customHeight="1">
      <c r="W4269" s="253"/>
    </row>
    <row r="4270" spans="23:23" ht="18.75" customHeight="1">
      <c r="W4270" s="253"/>
    </row>
    <row r="4271" spans="23:23" ht="18.75" customHeight="1">
      <c r="W4271" s="253"/>
    </row>
    <row r="4272" spans="23:23" ht="18.75" customHeight="1">
      <c r="W4272" s="253"/>
    </row>
    <row r="4273" spans="23:23" ht="18.75" customHeight="1">
      <c r="W4273" s="253"/>
    </row>
    <row r="4274" spans="23:23" ht="18.75" customHeight="1">
      <c r="W4274" s="253"/>
    </row>
    <row r="4275" spans="23:23" ht="18.75" customHeight="1">
      <c r="W4275" s="253"/>
    </row>
    <row r="4276" spans="23:23" ht="18.75" customHeight="1">
      <c r="W4276" s="253"/>
    </row>
    <row r="4277" spans="23:23" ht="18.75" customHeight="1">
      <c r="W4277" s="253"/>
    </row>
    <row r="4278" spans="23:23" ht="18.75" customHeight="1">
      <c r="W4278" s="253"/>
    </row>
    <row r="4279" spans="23:23" ht="18.75" customHeight="1">
      <c r="W4279" s="253"/>
    </row>
    <row r="4280" spans="23:23" ht="18.75" customHeight="1">
      <c r="W4280" s="253"/>
    </row>
    <row r="4281" spans="23:23" ht="18.75" customHeight="1">
      <c r="W4281" s="253"/>
    </row>
    <row r="4282" spans="23:23" ht="18.75" customHeight="1">
      <c r="W4282" s="253"/>
    </row>
    <row r="4283" spans="23:23" ht="18.75" customHeight="1">
      <c r="W4283" s="253"/>
    </row>
    <row r="4284" spans="23:23" ht="18.75" customHeight="1">
      <c r="W4284" s="253"/>
    </row>
    <row r="4285" spans="23:23" ht="18.75" customHeight="1">
      <c r="W4285" s="253"/>
    </row>
    <row r="4286" spans="23:23" ht="18.75" customHeight="1">
      <c r="W4286" s="253"/>
    </row>
    <row r="4287" spans="23:23" ht="18.75" customHeight="1">
      <c r="W4287" s="253"/>
    </row>
    <row r="4288" spans="23:23" ht="18.75" customHeight="1">
      <c r="W4288" s="253"/>
    </row>
    <row r="4289" spans="23:23" ht="18.75" customHeight="1">
      <c r="W4289" s="253"/>
    </row>
    <row r="4290" spans="23:23" ht="18.75" customHeight="1">
      <c r="W4290" s="253"/>
    </row>
    <row r="4291" spans="23:23" ht="18.75" customHeight="1">
      <c r="W4291" s="253"/>
    </row>
    <row r="4292" spans="23:23" ht="18.75" customHeight="1">
      <c r="W4292" s="253"/>
    </row>
    <row r="4293" spans="23:23" ht="18.75" customHeight="1">
      <c r="W4293" s="253"/>
    </row>
    <row r="4294" spans="23:23" ht="18.75" customHeight="1">
      <c r="W4294" s="253"/>
    </row>
    <row r="4295" spans="23:23" ht="18.75" customHeight="1">
      <c r="W4295" s="253"/>
    </row>
    <row r="4296" spans="23:23" ht="18.75" customHeight="1">
      <c r="W4296" s="253"/>
    </row>
    <row r="4297" spans="23:23" ht="18.75" customHeight="1">
      <c r="W4297" s="253"/>
    </row>
    <row r="4298" spans="23:23" ht="18.75" customHeight="1">
      <c r="W4298" s="253"/>
    </row>
    <row r="4299" spans="23:23" ht="18.75" customHeight="1">
      <c r="W4299" s="253"/>
    </row>
    <row r="4300" spans="23:23" ht="18.75" customHeight="1">
      <c r="W4300" s="253"/>
    </row>
    <row r="4301" spans="23:23" ht="18.75" customHeight="1">
      <c r="W4301" s="253"/>
    </row>
    <row r="4302" spans="23:23" ht="18.75" customHeight="1">
      <c r="W4302" s="253"/>
    </row>
    <row r="4303" spans="23:23" ht="18.75" customHeight="1">
      <c r="W4303" s="253"/>
    </row>
    <row r="4304" spans="23:23" ht="18.75" customHeight="1">
      <c r="W4304" s="253"/>
    </row>
    <row r="4305" spans="23:23" ht="18.75" customHeight="1">
      <c r="W4305" s="253"/>
    </row>
    <row r="4306" spans="23:23" ht="18.75" customHeight="1">
      <c r="W4306" s="253"/>
    </row>
    <row r="4307" spans="23:23" ht="18.75" customHeight="1">
      <c r="W4307" s="253"/>
    </row>
    <row r="4308" spans="23:23" ht="18.75" customHeight="1">
      <c r="W4308" s="253"/>
    </row>
    <row r="4309" spans="23:23" ht="18.75" customHeight="1">
      <c r="W4309" s="253"/>
    </row>
    <row r="4310" spans="23:23" ht="18.75" customHeight="1">
      <c r="W4310" s="253"/>
    </row>
    <row r="4311" spans="23:23" ht="18.75" customHeight="1">
      <c r="W4311" s="253"/>
    </row>
    <row r="4312" spans="23:23" ht="18.75" customHeight="1">
      <c r="W4312" s="253"/>
    </row>
    <row r="4313" spans="23:23" ht="18.75" customHeight="1">
      <c r="W4313" s="253"/>
    </row>
    <row r="4314" spans="23:23" ht="18.75" customHeight="1">
      <c r="W4314" s="253"/>
    </row>
    <row r="4315" spans="23:23" ht="18.75" customHeight="1">
      <c r="W4315" s="253"/>
    </row>
    <row r="4316" spans="23:23" ht="18.75" customHeight="1">
      <c r="W4316" s="253"/>
    </row>
    <row r="4317" spans="23:23" ht="18.75" customHeight="1">
      <c r="W4317" s="253"/>
    </row>
    <row r="4318" spans="23:23" ht="18.75" customHeight="1">
      <c r="W4318" s="253"/>
    </row>
    <row r="4319" spans="23:23" ht="18.75" customHeight="1">
      <c r="W4319" s="253"/>
    </row>
    <row r="4320" spans="23:23" ht="18.75" customHeight="1">
      <c r="W4320" s="253"/>
    </row>
    <row r="4321" spans="23:23" ht="18.75" customHeight="1">
      <c r="W4321" s="253"/>
    </row>
    <row r="4322" spans="23:23" ht="18.75" customHeight="1">
      <c r="W4322" s="253"/>
    </row>
    <row r="4323" spans="23:23" ht="18.75" customHeight="1">
      <c r="W4323" s="253"/>
    </row>
    <row r="4324" spans="23:23" ht="18.75" customHeight="1">
      <c r="W4324" s="253"/>
    </row>
    <row r="4325" spans="23:23" ht="18.75" customHeight="1">
      <c r="W4325" s="253"/>
    </row>
    <row r="4326" spans="23:23" ht="18.75" customHeight="1">
      <c r="W4326" s="253"/>
    </row>
    <row r="4327" spans="23:23" ht="18.75" customHeight="1">
      <c r="W4327" s="253"/>
    </row>
    <row r="4328" spans="23:23" ht="18.75" customHeight="1">
      <c r="W4328" s="253"/>
    </row>
    <row r="4329" spans="23:23" ht="18.75" customHeight="1">
      <c r="W4329" s="253"/>
    </row>
    <row r="4330" spans="23:23" ht="18.75" customHeight="1">
      <c r="W4330" s="253"/>
    </row>
    <row r="4331" spans="23:23" ht="18.75" customHeight="1">
      <c r="W4331" s="253"/>
    </row>
    <row r="4332" spans="23:23" ht="18.75" customHeight="1">
      <c r="W4332" s="253"/>
    </row>
    <row r="4333" spans="23:23" ht="18.75" customHeight="1">
      <c r="W4333" s="253"/>
    </row>
    <row r="4334" spans="23:23" ht="18.75" customHeight="1">
      <c r="W4334" s="253"/>
    </row>
    <row r="4335" spans="23:23" ht="18.75" customHeight="1">
      <c r="W4335" s="253"/>
    </row>
    <row r="4336" spans="23:23" ht="18.75" customHeight="1">
      <c r="W4336" s="253"/>
    </row>
    <row r="4337" spans="23:23" ht="18.75" customHeight="1">
      <c r="W4337" s="253"/>
    </row>
    <row r="4338" spans="23:23" ht="18.75" customHeight="1">
      <c r="W4338" s="253"/>
    </row>
    <row r="4339" spans="23:23" ht="18.75" customHeight="1">
      <c r="W4339" s="253"/>
    </row>
    <row r="4340" spans="23:23" ht="18.75" customHeight="1">
      <c r="W4340" s="253"/>
    </row>
    <row r="4341" spans="23:23" ht="18.75" customHeight="1">
      <c r="W4341" s="253"/>
    </row>
    <row r="4342" spans="23:23" ht="18.75" customHeight="1">
      <c r="W4342" s="253"/>
    </row>
    <row r="4343" spans="23:23" ht="18.75" customHeight="1">
      <c r="W4343" s="253"/>
    </row>
    <row r="4344" spans="23:23" ht="18.75" customHeight="1">
      <c r="W4344" s="253"/>
    </row>
    <row r="4345" spans="23:23" ht="18.75" customHeight="1">
      <c r="W4345" s="253"/>
    </row>
    <row r="4346" spans="23:23" ht="18.75" customHeight="1">
      <c r="W4346" s="253"/>
    </row>
    <row r="4347" spans="23:23" ht="18.75" customHeight="1">
      <c r="W4347" s="253"/>
    </row>
    <row r="4348" spans="23:23" ht="18.75" customHeight="1">
      <c r="W4348" s="253"/>
    </row>
    <row r="4349" spans="23:23" ht="18.75" customHeight="1">
      <c r="W4349" s="253"/>
    </row>
    <row r="4350" spans="23:23" ht="18.75" customHeight="1">
      <c r="W4350" s="253"/>
    </row>
    <row r="4351" spans="23:23" ht="18.75" customHeight="1">
      <c r="W4351" s="253"/>
    </row>
    <row r="4352" spans="23:23" ht="18.75" customHeight="1">
      <c r="W4352" s="253"/>
    </row>
    <row r="4353" spans="23:23" ht="18.75" customHeight="1">
      <c r="W4353" s="253"/>
    </row>
    <row r="4354" spans="23:23" ht="18.75" customHeight="1">
      <c r="W4354" s="253"/>
    </row>
    <row r="4355" spans="23:23" ht="18.75" customHeight="1">
      <c r="W4355" s="253"/>
    </row>
    <row r="4356" spans="23:23" ht="18.75" customHeight="1">
      <c r="W4356" s="253"/>
    </row>
    <row r="4357" spans="23:23" ht="18.75" customHeight="1">
      <c r="W4357" s="253"/>
    </row>
    <row r="4358" spans="23:23" ht="18.75" customHeight="1">
      <c r="W4358" s="253"/>
    </row>
    <row r="4359" spans="23:23" ht="18.75" customHeight="1">
      <c r="W4359" s="253"/>
    </row>
    <row r="4360" spans="23:23" ht="18.75" customHeight="1">
      <c r="W4360" s="253"/>
    </row>
    <row r="4361" spans="23:23" ht="18.75" customHeight="1">
      <c r="W4361" s="253"/>
    </row>
    <row r="4362" spans="23:23" ht="18.75" customHeight="1">
      <c r="W4362" s="253"/>
    </row>
    <row r="4363" spans="23:23" ht="18.75" customHeight="1">
      <c r="W4363" s="253"/>
    </row>
    <row r="4364" spans="23:23" ht="18.75" customHeight="1">
      <c r="W4364" s="253"/>
    </row>
    <row r="4365" spans="23:23" ht="18.75" customHeight="1">
      <c r="W4365" s="253"/>
    </row>
    <row r="4366" spans="23:23" ht="18.75" customHeight="1">
      <c r="W4366" s="253"/>
    </row>
    <row r="4367" spans="23:23" ht="18.75" customHeight="1">
      <c r="W4367" s="253"/>
    </row>
    <row r="4368" spans="23:23" ht="18.75" customHeight="1">
      <c r="W4368" s="253"/>
    </row>
    <row r="4369" spans="23:23" ht="18.75" customHeight="1">
      <c r="W4369" s="253"/>
    </row>
    <row r="4370" spans="23:23" ht="18.75" customHeight="1">
      <c r="W4370" s="253"/>
    </row>
    <row r="4371" spans="23:23" ht="18.75" customHeight="1">
      <c r="W4371" s="253"/>
    </row>
    <row r="4372" spans="23:23" ht="18.75" customHeight="1">
      <c r="W4372" s="253"/>
    </row>
    <row r="4373" spans="23:23" ht="18.75" customHeight="1">
      <c r="W4373" s="253"/>
    </row>
    <row r="4374" spans="23:23" ht="18.75" customHeight="1">
      <c r="W4374" s="253"/>
    </row>
    <row r="4375" spans="23:23" ht="18.75" customHeight="1">
      <c r="W4375" s="253"/>
    </row>
    <row r="4376" spans="23:23" ht="18.75" customHeight="1">
      <c r="W4376" s="253"/>
    </row>
    <row r="4377" spans="23:23" ht="18.75" customHeight="1">
      <c r="W4377" s="253"/>
    </row>
    <row r="4378" spans="23:23" ht="18.75" customHeight="1">
      <c r="W4378" s="253"/>
    </row>
    <row r="4379" spans="23:23" ht="18.75" customHeight="1">
      <c r="W4379" s="253"/>
    </row>
    <row r="4380" spans="23:23" ht="18.75" customHeight="1">
      <c r="W4380" s="253"/>
    </row>
    <row r="4381" spans="23:23" ht="18.75" customHeight="1">
      <c r="W4381" s="253"/>
    </row>
    <row r="4382" spans="23:23" ht="18.75" customHeight="1">
      <c r="W4382" s="253"/>
    </row>
    <row r="4383" spans="23:23" ht="18.75" customHeight="1">
      <c r="W4383" s="253"/>
    </row>
    <row r="4384" spans="23:23" ht="18.75" customHeight="1">
      <c r="W4384" s="253"/>
    </row>
    <row r="4385" spans="23:23" ht="18.75" customHeight="1">
      <c r="W4385" s="253"/>
    </row>
    <row r="4386" spans="23:23" ht="18.75" customHeight="1">
      <c r="W4386" s="253"/>
    </row>
    <row r="4387" spans="23:23" ht="18.75" customHeight="1">
      <c r="W4387" s="253"/>
    </row>
    <row r="4388" spans="23:23" ht="18.75" customHeight="1">
      <c r="W4388" s="253"/>
    </row>
    <row r="4389" spans="23:23" ht="18.75" customHeight="1">
      <c r="W4389" s="253"/>
    </row>
    <row r="4390" spans="23:23" ht="18.75" customHeight="1">
      <c r="W4390" s="253"/>
    </row>
    <row r="4391" spans="23:23" ht="18.75" customHeight="1">
      <c r="W4391" s="253"/>
    </row>
    <row r="4392" spans="23:23" ht="18.75" customHeight="1">
      <c r="W4392" s="253"/>
    </row>
    <row r="4393" spans="23:23" ht="18.75" customHeight="1">
      <c r="W4393" s="253"/>
    </row>
    <row r="4394" spans="23:23" ht="18.75" customHeight="1">
      <c r="W4394" s="253"/>
    </row>
    <row r="4395" spans="23:23" ht="18.75" customHeight="1">
      <c r="W4395" s="253"/>
    </row>
    <row r="4396" spans="23:23" ht="18.75" customHeight="1">
      <c r="W4396" s="253"/>
    </row>
    <row r="4397" spans="23:23" ht="18.75" customHeight="1">
      <c r="W4397" s="253"/>
    </row>
    <row r="4398" spans="23:23" ht="18.75" customHeight="1">
      <c r="W4398" s="253"/>
    </row>
    <row r="4399" spans="23:23" ht="18.75" customHeight="1">
      <c r="W4399" s="253"/>
    </row>
    <row r="4400" spans="23:23" ht="18.75" customHeight="1">
      <c r="W4400" s="253"/>
    </row>
    <row r="4401" spans="23:23" ht="18.75" customHeight="1">
      <c r="W4401" s="253"/>
    </row>
    <row r="4402" spans="23:23" ht="18.75" customHeight="1">
      <c r="W4402" s="253"/>
    </row>
    <row r="4403" spans="23:23" ht="18.75" customHeight="1">
      <c r="W4403" s="253"/>
    </row>
    <row r="4404" spans="23:23" ht="18.75" customHeight="1">
      <c r="W4404" s="253"/>
    </row>
    <row r="4405" spans="23:23" ht="18.75" customHeight="1">
      <c r="W4405" s="253"/>
    </row>
    <row r="4406" spans="23:23" ht="18.75" customHeight="1">
      <c r="W4406" s="253"/>
    </row>
    <row r="4407" spans="23:23" ht="18.75" customHeight="1">
      <c r="W4407" s="253"/>
    </row>
    <row r="4408" spans="23:23" ht="18.75" customHeight="1">
      <c r="W4408" s="253"/>
    </row>
    <row r="4409" spans="23:23" ht="18.75" customHeight="1">
      <c r="W4409" s="253"/>
    </row>
    <row r="4410" spans="23:23" ht="18.75" customHeight="1">
      <c r="W4410" s="253"/>
    </row>
    <row r="4411" spans="23:23" ht="18.75" customHeight="1">
      <c r="W4411" s="253"/>
    </row>
    <row r="4412" spans="23:23" ht="18.75" customHeight="1">
      <c r="W4412" s="253"/>
    </row>
    <row r="4413" spans="23:23" ht="18.75" customHeight="1">
      <c r="W4413" s="253"/>
    </row>
    <row r="4414" spans="23:23" ht="18.75" customHeight="1">
      <c r="W4414" s="253"/>
    </row>
    <row r="4415" spans="23:23" ht="18.75" customHeight="1">
      <c r="W4415" s="253"/>
    </row>
    <row r="4416" spans="23:23" ht="18.75" customHeight="1">
      <c r="W4416" s="253"/>
    </row>
    <row r="4417" spans="23:23" ht="18.75" customHeight="1">
      <c r="W4417" s="253"/>
    </row>
    <row r="4418" spans="23:23" ht="18.75" customHeight="1">
      <c r="W4418" s="253"/>
    </row>
    <row r="4419" spans="23:23" ht="18.75" customHeight="1">
      <c r="W4419" s="253"/>
    </row>
    <row r="4420" spans="23:23" ht="18.75" customHeight="1">
      <c r="W4420" s="253"/>
    </row>
    <row r="4421" spans="23:23" ht="18.75" customHeight="1">
      <c r="W4421" s="253"/>
    </row>
    <row r="4422" spans="23:23" ht="18.75" customHeight="1">
      <c r="W4422" s="253"/>
    </row>
    <row r="4423" spans="23:23" ht="18.75" customHeight="1">
      <c r="W4423" s="253"/>
    </row>
    <row r="4424" spans="23:23" ht="18.75" customHeight="1">
      <c r="W4424" s="253"/>
    </row>
    <row r="4425" spans="23:23" ht="18.75" customHeight="1">
      <c r="W4425" s="253"/>
    </row>
    <row r="4426" spans="23:23" ht="18.75" customHeight="1">
      <c r="W4426" s="253"/>
    </row>
    <row r="4427" spans="23:23" ht="18.75" customHeight="1">
      <c r="W4427" s="253"/>
    </row>
    <row r="4428" spans="23:23" ht="18.75" customHeight="1">
      <c r="W4428" s="253"/>
    </row>
    <row r="4429" spans="23:23" ht="18.75" customHeight="1">
      <c r="W4429" s="253"/>
    </row>
    <row r="4430" spans="23:23" ht="18.75" customHeight="1">
      <c r="W4430" s="253"/>
    </row>
    <row r="4431" spans="23:23" ht="18.75" customHeight="1">
      <c r="W4431" s="253"/>
    </row>
    <row r="4432" spans="23:23" ht="18.75" customHeight="1">
      <c r="W4432" s="253"/>
    </row>
    <row r="4433" spans="23:23" ht="18.75" customHeight="1">
      <c r="W4433" s="253"/>
    </row>
    <row r="4434" spans="23:23" ht="18.75" customHeight="1">
      <c r="W4434" s="253"/>
    </row>
    <row r="4435" spans="23:23" ht="18.75" customHeight="1">
      <c r="W4435" s="253"/>
    </row>
    <row r="4436" spans="23:23" ht="18.75" customHeight="1">
      <c r="W4436" s="253"/>
    </row>
    <row r="4437" spans="23:23" ht="18.75" customHeight="1">
      <c r="W4437" s="253"/>
    </row>
    <row r="4438" spans="23:23" ht="18.75" customHeight="1">
      <c r="W4438" s="253"/>
    </row>
    <row r="4439" spans="23:23" ht="18.75" customHeight="1">
      <c r="W4439" s="253"/>
    </row>
    <row r="4440" spans="23:23" ht="18.75" customHeight="1">
      <c r="W4440" s="253"/>
    </row>
    <row r="4441" spans="23:23" ht="18.75" customHeight="1">
      <c r="W4441" s="253"/>
    </row>
    <row r="4442" spans="23:23" ht="18.75" customHeight="1">
      <c r="W4442" s="253"/>
    </row>
    <row r="4443" spans="23:23" ht="18.75" customHeight="1">
      <c r="W4443" s="253"/>
    </row>
    <row r="4444" spans="23:23" ht="18.75" customHeight="1">
      <c r="W4444" s="253"/>
    </row>
    <row r="4445" spans="23:23" ht="18.75" customHeight="1">
      <c r="W4445" s="253"/>
    </row>
    <row r="4446" spans="23:23" ht="18.75" customHeight="1">
      <c r="W4446" s="253"/>
    </row>
    <row r="4447" spans="23:23" ht="18.75" customHeight="1">
      <c r="W4447" s="253"/>
    </row>
    <row r="4448" spans="23:23" ht="18.75" customHeight="1">
      <c r="W4448" s="253"/>
    </row>
    <row r="4449" spans="23:23" ht="18.75" customHeight="1">
      <c r="W4449" s="253"/>
    </row>
    <row r="4450" spans="23:23" ht="18.75" customHeight="1">
      <c r="W4450" s="253"/>
    </row>
    <row r="4451" spans="23:23" ht="18.75" customHeight="1">
      <c r="W4451" s="253"/>
    </row>
    <row r="4452" spans="23:23" ht="18.75" customHeight="1">
      <c r="W4452" s="253"/>
    </row>
    <row r="4453" spans="23:23" ht="18.75" customHeight="1">
      <c r="W4453" s="253"/>
    </row>
    <row r="4454" spans="23:23" ht="18.75" customHeight="1">
      <c r="W4454" s="253"/>
    </row>
    <row r="4455" spans="23:23" ht="18.75" customHeight="1">
      <c r="W4455" s="253"/>
    </row>
    <row r="4456" spans="23:23" ht="18.75" customHeight="1">
      <c r="W4456" s="253"/>
    </row>
    <row r="4457" spans="23:23" ht="18.75" customHeight="1">
      <c r="W4457" s="253"/>
    </row>
    <row r="4458" spans="23:23" ht="18.75" customHeight="1">
      <c r="W4458" s="253"/>
    </row>
    <row r="4459" spans="23:23" ht="18.75" customHeight="1">
      <c r="W4459" s="253"/>
    </row>
    <row r="4460" spans="23:23" ht="18.75" customHeight="1">
      <c r="W4460" s="253"/>
    </row>
    <row r="4461" spans="23:23" ht="18.75" customHeight="1">
      <c r="W4461" s="253"/>
    </row>
    <row r="4462" spans="23:23" ht="18.75" customHeight="1">
      <c r="W4462" s="253"/>
    </row>
    <row r="4463" spans="23:23" ht="18.75" customHeight="1">
      <c r="W4463" s="253"/>
    </row>
    <row r="4464" spans="23:23" ht="18.75" customHeight="1">
      <c r="W4464" s="253"/>
    </row>
    <row r="4465" spans="23:23" ht="18.75" customHeight="1">
      <c r="W4465" s="253"/>
    </row>
    <row r="4466" spans="23:23" ht="18.75" customHeight="1">
      <c r="W4466" s="253"/>
    </row>
    <row r="4467" spans="23:23" ht="18.75" customHeight="1">
      <c r="W4467" s="253"/>
    </row>
    <row r="4468" spans="23:23" ht="18.75" customHeight="1">
      <c r="W4468" s="253"/>
    </row>
    <row r="4469" spans="23:23" ht="18.75" customHeight="1">
      <c r="W4469" s="253"/>
    </row>
    <row r="4470" spans="23:23" ht="18.75" customHeight="1">
      <c r="W4470" s="253"/>
    </row>
    <row r="4471" spans="23:23" ht="18.75" customHeight="1">
      <c r="W4471" s="253"/>
    </row>
    <row r="4472" spans="23:23" ht="18.75" customHeight="1">
      <c r="W4472" s="253"/>
    </row>
    <row r="4473" spans="23:23" ht="18.75" customHeight="1">
      <c r="W4473" s="253"/>
    </row>
    <row r="4474" spans="23:23" ht="18.75" customHeight="1">
      <c r="W4474" s="253"/>
    </row>
    <row r="4475" spans="23:23" ht="18.75" customHeight="1">
      <c r="W4475" s="253"/>
    </row>
    <row r="4476" spans="23:23" ht="18.75" customHeight="1">
      <c r="W4476" s="253"/>
    </row>
    <row r="4477" spans="23:23" ht="18.75" customHeight="1">
      <c r="W4477" s="253"/>
    </row>
    <row r="4478" spans="23:23" ht="18.75" customHeight="1">
      <c r="W4478" s="253"/>
    </row>
    <row r="4479" spans="23:23" ht="18.75" customHeight="1">
      <c r="W4479" s="253"/>
    </row>
    <row r="4480" spans="23:23" ht="18.75" customHeight="1">
      <c r="W4480" s="253"/>
    </row>
    <row r="4481" spans="23:23" ht="18.75" customHeight="1">
      <c r="W4481" s="253"/>
    </row>
    <row r="4482" spans="23:23" ht="18.75" customHeight="1">
      <c r="W4482" s="253"/>
    </row>
    <row r="4483" spans="23:23" ht="18.75" customHeight="1">
      <c r="W4483" s="253"/>
    </row>
    <row r="4484" spans="23:23" ht="18.75" customHeight="1">
      <c r="W4484" s="253"/>
    </row>
    <row r="4485" spans="23:23" ht="18.75" customHeight="1">
      <c r="W4485" s="253"/>
    </row>
    <row r="4486" spans="23:23" ht="18.75" customHeight="1">
      <c r="W4486" s="253"/>
    </row>
    <row r="4487" spans="23:23" ht="18.75" customHeight="1">
      <c r="W4487" s="253"/>
    </row>
    <row r="4488" spans="23:23" ht="18.75" customHeight="1">
      <c r="W4488" s="253"/>
    </row>
    <row r="4489" spans="23:23" ht="18.75" customHeight="1">
      <c r="W4489" s="253"/>
    </row>
    <row r="4490" spans="23:23" ht="18.75" customHeight="1">
      <c r="W4490" s="253"/>
    </row>
    <row r="4491" spans="23:23" ht="18.75" customHeight="1">
      <c r="W4491" s="253"/>
    </row>
    <row r="4492" spans="23:23" ht="18.75" customHeight="1">
      <c r="W4492" s="253"/>
    </row>
    <row r="4493" spans="23:23" ht="18.75" customHeight="1">
      <c r="W4493" s="253"/>
    </row>
    <row r="4494" spans="23:23" ht="18.75" customHeight="1">
      <c r="W4494" s="253"/>
    </row>
    <row r="4495" spans="23:23" ht="18.75" customHeight="1">
      <c r="W4495" s="253"/>
    </row>
    <row r="4496" spans="23:23" ht="18.75" customHeight="1">
      <c r="W4496" s="253"/>
    </row>
    <row r="4497" spans="23:23" ht="18.75" customHeight="1">
      <c r="W4497" s="253"/>
    </row>
    <row r="4498" spans="23:23" ht="18.75" customHeight="1">
      <c r="W4498" s="253"/>
    </row>
    <row r="4499" spans="23:23" ht="18.75" customHeight="1">
      <c r="W4499" s="253"/>
    </row>
    <row r="4500" spans="23:23" ht="18.75" customHeight="1">
      <c r="W4500" s="253"/>
    </row>
    <row r="4501" spans="23:23" ht="18.75" customHeight="1">
      <c r="W4501" s="253"/>
    </row>
    <row r="4502" spans="23:23" ht="18.75" customHeight="1">
      <c r="W4502" s="253"/>
    </row>
    <row r="4503" spans="23:23" ht="18.75" customHeight="1">
      <c r="W4503" s="253"/>
    </row>
    <row r="4504" spans="23:23" ht="18.75" customHeight="1">
      <c r="W4504" s="253"/>
    </row>
    <row r="4505" spans="23:23" ht="18.75" customHeight="1">
      <c r="W4505" s="253"/>
    </row>
    <row r="4506" spans="23:23" ht="18.75" customHeight="1">
      <c r="W4506" s="253"/>
    </row>
    <row r="4507" spans="23:23" ht="18.75" customHeight="1">
      <c r="W4507" s="253"/>
    </row>
    <row r="4508" spans="23:23" ht="18.75" customHeight="1">
      <c r="W4508" s="253"/>
    </row>
    <row r="4509" spans="23:23" ht="18.75" customHeight="1">
      <c r="W4509" s="253"/>
    </row>
    <row r="4510" spans="23:23" ht="18.75" customHeight="1">
      <c r="W4510" s="253"/>
    </row>
    <row r="4511" spans="23:23" ht="18.75" customHeight="1">
      <c r="W4511" s="253"/>
    </row>
    <row r="4512" spans="23:23" ht="18.75" customHeight="1">
      <c r="W4512" s="253"/>
    </row>
    <row r="4513" spans="23:23" ht="18.75" customHeight="1">
      <c r="W4513" s="253"/>
    </row>
    <row r="4514" spans="23:23" ht="18.75" customHeight="1">
      <c r="W4514" s="253"/>
    </row>
    <row r="4515" spans="23:23" ht="18.75" customHeight="1">
      <c r="W4515" s="253"/>
    </row>
    <row r="4516" spans="23:23" ht="18.75" customHeight="1">
      <c r="W4516" s="253"/>
    </row>
    <row r="4517" spans="23:23" ht="18.75" customHeight="1">
      <c r="W4517" s="253"/>
    </row>
    <row r="4518" spans="23:23" ht="18.75" customHeight="1">
      <c r="W4518" s="253"/>
    </row>
    <row r="4519" spans="23:23" ht="18.75" customHeight="1">
      <c r="W4519" s="253"/>
    </row>
    <row r="4520" spans="23:23" ht="18.75" customHeight="1">
      <c r="W4520" s="253"/>
    </row>
    <row r="4521" spans="23:23" ht="18.75" customHeight="1">
      <c r="W4521" s="253"/>
    </row>
    <row r="4522" spans="23:23" ht="18.75" customHeight="1">
      <c r="W4522" s="253"/>
    </row>
    <row r="4523" spans="23:23" ht="18.75" customHeight="1">
      <c r="W4523" s="253"/>
    </row>
    <row r="4524" spans="23:23" ht="18.75" customHeight="1">
      <c r="W4524" s="253"/>
    </row>
    <row r="4525" spans="23:23" ht="18.75" customHeight="1">
      <c r="W4525" s="253"/>
    </row>
    <row r="4526" spans="23:23" ht="18.75" customHeight="1">
      <c r="W4526" s="253"/>
    </row>
    <row r="4527" spans="23:23" ht="18.75" customHeight="1">
      <c r="W4527" s="253"/>
    </row>
    <row r="4528" spans="23:23" ht="18.75" customHeight="1">
      <c r="W4528" s="253"/>
    </row>
    <row r="4529" spans="23:23" ht="18.75" customHeight="1">
      <c r="W4529" s="253"/>
    </row>
    <row r="4530" spans="23:23" ht="18.75" customHeight="1">
      <c r="W4530" s="253"/>
    </row>
    <row r="4531" spans="23:23" ht="18.75" customHeight="1">
      <c r="W4531" s="253"/>
    </row>
    <row r="4532" spans="23:23" ht="18.75" customHeight="1">
      <c r="W4532" s="253"/>
    </row>
    <row r="4533" spans="23:23" ht="18.75" customHeight="1">
      <c r="W4533" s="253"/>
    </row>
    <row r="4534" spans="23:23" ht="18.75" customHeight="1">
      <c r="W4534" s="253"/>
    </row>
    <row r="4535" spans="23:23" ht="18.75" customHeight="1">
      <c r="W4535" s="253"/>
    </row>
    <row r="4536" spans="23:23" ht="18.75" customHeight="1">
      <c r="W4536" s="253"/>
    </row>
    <row r="4537" spans="23:23" ht="18.75" customHeight="1">
      <c r="W4537" s="253"/>
    </row>
    <row r="4538" spans="23:23" ht="18.75" customHeight="1">
      <c r="W4538" s="253"/>
    </row>
    <row r="4539" spans="23:23" ht="18.75" customHeight="1">
      <c r="W4539" s="253"/>
    </row>
    <row r="4540" spans="23:23" ht="18.75" customHeight="1">
      <c r="W4540" s="253"/>
    </row>
    <row r="4541" spans="23:23" ht="18.75" customHeight="1">
      <c r="W4541" s="253"/>
    </row>
    <row r="4542" spans="23:23" ht="18.75" customHeight="1">
      <c r="W4542" s="253"/>
    </row>
    <row r="4543" spans="23:23" ht="18.75" customHeight="1">
      <c r="W4543" s="253"/>
    </row>
    <row r="4544" spans="23:23" ht="18.75" customHeight="1">
      <c r="W4544" s="253"/>
    </row>
    <row r="4545" spans="23:23" ht="18.75" customHeight="1">
      <c r="W4545" s="253"/>
    </row>
    <row r="4546" spans="23:23" ht="18.75" customHeight="1">
      <c r="W4546" s="253"/>
    </row>
    <row r="4547" spans="23:23" ht="18.75" customHeight="1">
      <c r="W4547" s="253"/>
    </row>
    <row r="4548" spans="23:23" ht="18.75" customHeight="1">
      <c r="W4548" s="253"/>
    </row>
    <row r="4549" spans="23:23" ht="18.75" customHeight="1">
      <c r="W4549" s="253"/>
    </row>
    <row r="4550" spans="23:23" ht="18.75" customHeight="1">
      <c r="W4550" s="253"/>
    </row>
    <row r="4551" spans="23:23" ht="18.75" customHeight="1">
      <c r="W4551" s="253"/>
    </row>
    <row r="4552" spans="23:23" ht="18.75" customHeight="1">
      <c r="W4552" s="253"/>
    </row>
    <row r="4553" spans="23:23" ht="18.75" customHeight="1">
      <c r="W4553" s="253"/>
    </row>
    <row r="4554" spans="23:23" ht="18.75" customHeight="1">
      <c r="W4554" s="253"/>
    </row>
    <row r="4555" spans="23:23" ht="18.75" customHeight="1">
      <c r="W4555" s="253"/>
    </row>
    <row r="4556" spans="23:23" ht="18.75" customHeight="1">
      <c r="W4556" s="253"/>
    </row>
    <row r="4557" spans="23:23" ht="18.75" customHeight="1">
      <c r="W4557" s="253"/>
    </row>
    <row r="4558" spans="23:23" ht="18.75" customHeight="1">
      <c r="W4558" s="253"/>
    </row>
    <row r="4559" spans="23:23" ht="18.75" customHeight="1">
      <c r="W4559" s="253"/>
    </row>
    <row r="4560" spans="23:23" ht="18.75" customHeight="1">
      <c r="W4560" s="253"/>
    </row>
    <row r="4561" spans="23:23" ht="18.75" customHeight="1">
      <c r="W4561" s="253"/>
    </row>
    <row r="4562" spans="23:23" ht="18.75" customHeight="1">
      <c r="W4562" s="253"/>
    </row>
    <row r="4563" spans="23:23" ht="18.75" customHeight="1">
      <c r="W4563" s="253"/>
    </row>
    <row r="4564" spans="23:23" ht="18.75" customHeight="1">
      <c r="W4564" s="253"/>
    </row>
    <row r="4565" spans="23:23" ht="18.75" customHeight="1">
      <c r="W4565" s="253"/>
    </row>
    <row r="4566" spans="23:23" ht="18.75" customHeight="1">
      <c r="W4566" s="253"/>
    </row>
    <row r="4567" spans="23:23" ht="18.75" customHeight="1">
      <c r="W4567" s="253"/>
    </row>
    <row r="4568" spans="23:23" ht="18.75" customHeight="1">
      <c r="W4568" s="253"/>
    </row>
    <row r="4569" spans="23:23" ht="18.75" customHeight="1">
      <c r="W4569" s="253"/>
    </row>
    <row r="4570" spans="23:23" ht="18.75" customHeight="1">
      <c r="W4570" s="253"/>
    </row>
    <row r="4571" spans="23:23" ht="18.75" customHeight="1">
      <c r="W4571" s="253"/>
    </row>
    <row r="4572" spans="23:23" ht="18.75" customHeight="1">
      <c r="W4572" s="253"/>
    </row>
    <row r="4573" spans="23:23" ht="18.75" customHeight="1">
      <c r="W4573" s="253"/>
    </row>
    <row r="4574" spans="23:23" ht="18.75" customHeight="1">
      <c r="W4574" s="253"/>
    </row>
    <row r="4575" spans="23:23" ht="18.75" customHeight="1">
      <c r="W4575" s="253"/>
    </row>
    <row r="4576" spans="23:23" ht="18.75" customHeight="1">
      <c r="W4576" s="253"/>
    </row>
    <row r="4577" spans="23:23" ht="18.75" customHeight="1">
      <c r="W4577" s="253"/>
    </row>
    <row r="4578" spans="23:23" ht="18.75" customHeight="1">
      <c r="W4578" s="253"/>
    </row>
    <row r="4579" spans="23:23" ht="18.75" customHeight="1">
      <c r="W4579" s="253"/>
    </row>
    <row r="4580" spans="23:23" ht="18.75" customHeight="1">
      <c r="W4580" s="253"/>
    </row>
    <row r="4581" spans="23:23" ht="18.75" customHeight="1">
      <c r="W4581" s="253"/>
    </row>
    <row r="4582" spans="23:23" ht="18.75" customHeight="1">
      <c r="W4582" s="253"/>
    </row>
    <row r="4583" spans="23:23" ht="18.75" customHeight="1">
      <c r="W4583" s="253"/>
    </row>
    <row r="4584" spans="23:23" ht="18.75" customHeight="1">
      <c r="W4584" s="253"/>
    </row>
    <row r="4585" spans="23:23" ht="18.75" customHeight="1">
      <c r="W4585" s="253"/>
    </row>
    <row r="4586" spans="23:23" ht="18.75" customHeight="1">
      <c r="W4586" s="253"/>
    </row>
    <row r="4587" spans="23:23" ht="18.75" customHeight="1">
      <c r="W4587" s="253"/>
    </row>
    <row r="4588" spans="23:23" ht="18.75" customHeight="1">
      <c r="W4588" s="253"/>
    </row>
    <row r="4589" spans="23:23" ht="18.75" customHeight="1">
      <c r="W4589" s="253"/>
    </row>
    <row r="4590" spans="23:23" ht="18.75" customHeight="1">
      <c r="W4590" s="253"/>
    </row>
    <row r="4591" spans="23:23" ht="18.75" customHeight="1">
      <c r="W4591" s="253"/>
    </row>
    <row r="4592" spans="23:23" ht="18.75" customHeight="1">
      <c r="W4592" s="253"/>
    </row>
    <row r="4593" spans="23:23" ht="18.75" customHeight="1">
      <c r="W4593" s="253"/>
    </row>
    <row r="4594" spans="23:23" ht="18.75" customHeight="1">
      <c r="W4594" s="253"/>
    </row>
    <row r="4595" spans="23:23" ht="18.75" customHeight="1">
      <c r="W4595" s="253"/>
    </row>
    <row r="4596" spans="23:23" ht="18.75" customHeight="1">
      <c r="W4596" s="253"/>
    </row>
    <row r="4597" spans="23:23" ht="18.75" customHeight="1">
      <c r="W4597" s="253"/>
    </row>
    <row r="4598" spans="23:23" ht="18.75" customHeight="1">
      <c r="W4598" s="253"/>
    </row>
    <row r="4599" spans="23:23" ht="18.75" customHeight="1">
      <c r="W4599" s="253"/>
    </row>
    <row r="4600" spans="23:23" ht="18.75" customHeight="1">
      <c r="W4600" s="253"/>
    </row>
    <row r="4601" spans="23:23" ht="18.75" customHeight="1">
      <c r="W4601" s="253"/>
    </row>
    <row r="4602" spans="23:23" ht="18.75" customHeight="1">
      <c r="W4602" s="253"/>
    </row>
    <row r="4603" spans="23:23" ht="18.75" customHeight="1">
      <c r="W4603" s="253"/>
    </row>
    <row r="4604" spans="23:23" ht="18.75" customHeight="1">
      <c r="W4604" s="253"/>
    </row>
    <row r="4605" spans="23:23" ht="18.75" customHeight="1">
      <c r="W4605" s="253"/>
    </row>
    <row r="4606" spans="23:23" ht="18.75" customHeight="1">
      <c r="W4606" s="253"/>
    </row>
    <row r="4607" spans="23:23" ht="18.75" customHeight="1">
      <c r="W4607" s="253"/>
    </row>
    <row r="4608" spans="23:23" ht="18.75" customHeight="1">
      <c r="W4608" s="253"/>
    </row>
    <row r="4609" spans="23:23" ht="18.75" customHeight="1">
      <c r="W4609" s="253"/>
    </row>
    <row r="4610" spans="23:23" ht="18.75" customHeight="1">
      <c r="W4610" s="253"/>
    </row>
    <row r="4611" spans="23:23" ht="18.75" customHeight="1">
      <c r="W4611" s="253"/>
    </row>
    <row r="4612" spans="23:23" ht="18.75" customHeight="1">
      <c r="W4612" s="253"/>
    </row>
    <row r="4613" spans="23:23" ht="18.75" customHeight="1">
      <c r="W4613" s="253"/>
    </row>
    <row r="4614" spans="23:23" ht="18.75" customHeight="1">
      <c r="W4614" s="253"/>
    </row>
    <row r="4615" spans="23:23" ht="18.75" customHeight="1">
      <c r="W4615" s="253"/>
    </row>
    <row r="4616" spans="23:23" ht="18.75" customHeight="1">
      <c r="W4616" s="253"/>
    </row>
    <row r="4617" spans="23:23" ht="18.75" customHeight="1">
      <c r="W4617" s="253"/>
    </row>
    <row r="4618" spans="23:23" ht="18.75" customHeight="1">
      <c r="W4618" s="253"/>
    </row>
    <row r="4619" spans="23:23" ht="18.75" customHeight="1">
      <c r="W4619" s="253"/>
    </row>
    <row r="4620" spans="23:23" ht="18.75" customHeight="1">
      <c r="W4620" s="253"/>
    </row>
    <row r="4621" spans="23:23" ht="18.75" customHeight="1">
      <c r="W4621" s="253"/>
    </row>
    <row r="4622" spans="23:23" ht="18.75" customHeight="1">
      <c r="W4622" s="253"/>
    </row>
    <row r="4623" spans="23:23" ht="18.75" customHeight="1">
      <c r="W4623" s="253"/>
    </row>
    <row r="4624" spans="23:23" ht="18.75" customHeight="1">
      <c r="W4624" s="253"/>
    </row>
    <row r="4625" spans="23:23" ht="18.75" customHeight="1">
      <c r="W4625" s="253"/>
    </row>
    <row r="4626" spans="23:23" ht="18.75" customHeight="1">
      <c r="W4626" s="253"/>
    </row>
    <row r="4627" spans="23:23" ht="18.75" customHeight="1">
      <c r="W4627" s="253"/>
    </row>
    <row r="4628" spans="23:23" ht="18.75" customHeight="1">
      <c r="W4628" s="253"/>
    </row>
    <row r="4629" spans="23:23" ht="18.75" customHeight="1">
      <c r="W4629" s="253"/>
    </row>
    <row r="4630" spans="23:23" ht="18.75" customHeight="1">
      <c r="W4630" s="253"/>
    </row>
    <row r="4631" spans="23:23" ht="18.75" customHeight="1">
      <c r="W4631" s="253"/>
    </row>
    <row r="4632" spans="23:23" ht="18.75" customHeight="1">
      <c r="W4632" s="253"/>
    </row>
    <row r="4633" spans="23:23" ht="18.75" customHeight="1">
      <c r="W4633" s="253"/>
    </row>
    <row r="4634" spans="23:23" ht="18.75" customHeight="1">
      <c r="W4634" s="253"/>
    </row>
    <row r="4635" spans="23:23" ht="18.75" customHeight="1">
      <c r="W4635" s="253"/>
    </row>
    <row r="4636" spans="23:23" ht="18.75" customHeight="1">
      <c r="W4636" s="253"/>
    </row>
    <row r="4637" spans="23:23" ht="18.75" customHeight="1">
      <c r="W4637" s="253"/>
    </row>
    <row r="4638" spans="23:23" ht="18.75" customHeight="1">
      <c r="W4638" s="253"/>
    </row>
    <row r="4639" spans="23:23" ht="18.75" customHeight="1">
      <c r="W4639" s="253"/>
    </row>
    <row r="4640" spans="23:23" ht="18.75" customHeight="1">
      <c r="W4640" s="253"/>
    </row>
    <row r="4641" spans="23:23" ht="18.75" customHeight="1">
      <c r="W4641" s="253"/>
    </row>
    <row r="4642" spans="23:23" ht="18.75" customHeight="1">
      <c r="W4642" s="253"/>
    </row>
    <row r="4643" spans="23:23" ht="18.75" customHeight="1">
      <c r="W4643" s="253"/>
    </row>
    <row r="4644" spans="23:23" ht="18.75" customHeight="1">
      <c r="W4644" s="253"/>
    </row>
    <row r="4645" spans="23:23" ht="18.75" customHeight="1">
      <c r="W4645" s="253"/>
    </row>
    <row r="4646" spans="23:23" ht="18.75" customHeight="1">
      <c r="W4646" s="253"/>
    </row>
    <row r="4647" spans="23:23" ht="18.75" customHeight="1">
      <c r="W4647" s="253"/>
    </row>
    <row r="4648" spans="23:23" ht="18.75" customHeight="1">
      <c r="W4648" s="253"/>
    </row>
    <row r="4649" spans="23:23" ht="18.75" customHeight="1">
      <c r="W4649" s="253"/>
    </row>
    <row r="4650" spans="23:23" ht="18.75" customHeight="1">
      <c r="W4650" s="253"/>
    </row>
    <row r="4651" spans="23:23" ht="18.75" customHeight="1">
      <c r="W4651" s="253"/>
    </row>
    <row r="4652" spans="23:23" ht="18.75" customHeight="1">
      <c r="W4652" s="253"/>
    </row>
    <row r="4653" spans="23:23" ht="18.75" customHeight="1">
      <c r="W4653" s="253"/>
    </row>
    <row r="4654" spans="23:23" ht="18.75" customHeight="1">
      <c r="W4654" s="253"/>
    </row>
    <row r="4655" spans="23:23" ht="18.75" customHeight="1">
      <c r="W4655" s="253"/>
    </row>
    <row r="4656" spans="23:23" ht="18.75" customHeight="1">
      <c r="W4656" s="253"/>
    </row>
    <row r="4657" spans="23:23" ht="18.75" customHeight="1">
      <c r="W4657" s="253"/>
    </row>
    <row r="4658" spans="23:23" ht="18.75" customHeight="1">
      <c r="W4658" s="253"/>
    </row>
    <row r="4659" spans="23:23" ht="18.75" customHeight="1">
      <c r="W4659" s="253"/>
    </row>
    <row r="4660" spans="23:23" ht="18.75" customHeight="1">
      <c r="W4660" s="253"/>
    </row>
    <row r="4661" spans="23:23" ht="18.75" customHeight="1">
      <c r="W4661" s="253"/>
    </row>
    <row r="4662" spans="23:23" ht="18.75" customHeight="1">
      <c r="W4662" s="253"/>
    </row>
    <row r="4663" spans="23:23" ht="18.75" customHeight="1">
      <c r="W4663" s="253"/>
    </row>
    <row r="4664" spans="23:23" ht="18.75" customHeight="1">
      <c r="W4664" s="253"/>
    </row>
    <row r="4665" spans="23:23" ht="18.75" customHeight="1">
      <c r="W4665" s="253"/>
    </row>
    <row r="4666" spans="23:23" ht="18.75" customHeight="1">
      <c r="W4666" s="253"/>
    </row>
    <row r="4667" spans="23:23" ht="18.75" customHeight="1">
      <c r="W4667" s="253"/>
    </row>
    <row r="4668" spans="23:23" ht="18.75" customHeight="1">
      <c r="W4668" s="253"/>
    </row>
    <row r="4669" spans="23:23" ht="18.75" customHeight="1">
      <c r="W4669" s="253"/>
    </row>
    <row r="4670" spans="23:23" ht="18.75" customHeight="1">
      <c r="W4670" s="253"/>
    </row>
    <row r="4671" spans="23:23" ht="18.75" customHeight="1">
      <c r="W4671" s="253"/>
    </row>
    <row r="4672" spans="23:23" ht="18.75" customHeight="1">
      <c r="W4672" s="253"/>
    </row>
    <row r="4673" spans="23:23" ht="18.75" customHeight="1">
      <c r="W4673" s="253"/>
    </row>
    <row r="4674" spans="23:23" ht="18.75" customHeight="1">
      <c r="W4674" s="253"/>
    </row>
    <row r="4675" spans="23:23" ht="18.75" customHeight="1">
      <c r="W4675" s="253"/>
    </row>
    <row r="4676" spans="23:23" ht="18.75" customHeight="1">
      <c r="W4676" s="253"/>
    </row>
    <row r="4677" spans="23:23" ht="18.75" customHeight="1">
      <c r="W4677" s="253"/>
    </row>
    <row r="4678" spans="23:23" ht="18.75" customHeight="1">
      <c r="W4678" s="253"/>
    </row>
    <row r="4679" spans="23:23" ht="18.75" customHeight="1">
      <c r="W4679" s="253"/>
    </row>
    <row r="4680" spans="23:23" ht="18.75" customHeight="1">
      <c r="W4680" s="253"/>
    </row>
    <row r="4681" spans="23:23" ht="18.75" customHeight="1">
      <c r="W4681" s="253"/>
    </row>
    <row r="4682" spans="23:23" ht="18.75" customHeight="1">
      <c r="W4682" s="253"/>
    </row>
    <row r="4683" spans="23:23" ht="18.75" customHeight="1">
      <c r="W4683" s="253"/>
    </row>
    <row r="4684" spans="23:23" ht="18.75" customHeight="1">
      <c r="W4684" s="253"/>
    </row>
    <row r="4685" spans="23:23" ht="18.75" customHeight="1">
      <c r="W4685" s="253"/>
    </row>
    <row r="4686" spans="23:23" ht="18.75" customHeight="1">
      <c r="W4686" s="253"/>
    </row>
    <row r="4687" spans="23:23" ht="18.75" customHeight="1">
      <c r="W4687" s="253"/>
    </row>
    <row r="4688" spans="23:23" ht="18.75" customHeight="1">
      <c r="W4688" s="253"/>
    </row>
    <row r="4689" spans="23:23" ht="18.75" customHeight="1">
      <c r="W4689" s="253"/>
    </row>
    <row r="4690" spans="23:23" ht="18.75" customHeight="1">
      <c r="W4690" s="253"/>
    </row>
    <row r="4691" spans="23:23" ht="18.75" customHeight="1">
      <c r="W4691" s="253"/>
    </row>
    <row r="4692" spans="23:23" ht="18.75" customHeight="1">
      <c r="W4692" s="253"/>
    </row>
    <row r="4693" spans="23:23" ht="18.75" customHeight="1">
      <c r="W4693" s="253"/>
    </row>
    <row r="4694" spans="23:23" ht="18.75" customHeight="1">
      <c r="W4694" s="253"/>
    </row>
    <row r="4695" spans="23:23" ht="18.75" customHeight="1">
      <c r="W4695" s="253"/>
    </row>
    <row r="4696" spans="23:23" ht="18.75" customHeight="1">
      <c r="W4696" s="253"/>
    </row>
    <row r="4697" spans="23:23" ht="18.75" customHeight="1">
      <c r="W4697" s="253"/>
    </row>
    <row r="4698" spans="23:23" ht="18.75" customHeight="1">
      <c r="W4698" s="253"/>
    </row>
    <row r="4699" spans="23:23" ht="18.75" customHeight="1">
      <c r="W4699" s="253"/>
    </row>
    <row r="4700" spans="23:23" ht="18.75" customHeight="1">
      <c r="W4700" s="253"/>
    </row>
    <row r="4701" spans="23:23" ht="18.75" customHeight="1">
      <c r="W4701" s="253"/>
    </row>
    <row r="4702" spans="23:23" ht="18.75" customHeight="1">
      <c r="W4702" s="253"/>
    </row>
    <row r="4703" spans="23:23" ht="18.75" customHeight="1">
      <c r="W4703" s="253"/>
    </row>
    <row r="4704" spans="23:23" ht="18.75" customHeight="1">
      <c r="W4704" s="253"/>
    </row>
    <row r="4705" spans="23:23" ht="18.75" customHeight="1">
      <c r="W4705" s="253"/>
    </row>
    <row r="4706" spans="23:23" ht="18.75" customHeight="1">
      <c r="W4706" s="253"/>
    </row>
    <row r="4707" spans="23:23" ht="18.75" customHeight="1">
      <c r="W4707" s="253"/>
    </row>
    <row r="4708" spans="23:23" ht="18.75" customHeight="1">
      <c r="W4708" s="253"/>
    </row>
    <row r="4709" spans="23:23" ht="18.75" customHeight="1">
      <c r="W4709" s="253"/>
    </row>
    <row r="4710" spans="23:23" ht="18.75" customHeight="1">
      <c r="W4710" s="253"/>
    </row>
    <row r="4711" spans="23:23" ht="18.75" customHeight="1">
      <c r="W4711" s="253"/>
    </row>
    <row r="4712" spans="23:23" ht="18.75" customHeight="1">
      <c r="W4712" s="253"/>
    </row>
    <row r="4713" spans="23:23" ht="18.75" customHeight="1">
      <c r="W4713" s="253"/>
    </row>
    <row r="4714" spans="23:23" ht="18.75" customHeight="1">
      <c r="W4714" s="253"/>
    </row>
    <row r="4715" spans="23:23" ht="18.75" customHeight="1">
      <c r="W4715" s="253"/>
    </row>
    <row r="4716" spans="23:23" ht="18.75" customHeight="1">
      <c r="W4716" s="253"/>
    </row>
    <row r="4717" spans="23:23" ht="18.75" customHeight="1">
      <c r="W4717" s="253"/>
    </row>
    <row r="4718" spans="23:23" ht="18.75" customHeight="1">
      <c r="W4718" s="253"/>
    </row>
    <row r="4719" spans="23:23" ht="18.75" customHeight="1">
      <c r="W4719" s="253"/>
    </row>
    <row r="4720" spans="23:23" ht="18.75" customHeight="1">
      <c r="W4720" s="253"/>
    </row>
    <row r="4721" spans="23:23" ht="18.75" customHeight="1">
      <c r="W4721" s="253"/>
    </row>
    <row r="4722" spans="23:23" ht="18.75" customHeight="1">
      <c r="W4722" s="253"/>
    </row>
    <row r="4723" spans="23:23" ht="18.75" customHeight="1">
      <c r="W4723" s="253"/>
    </row>
    <row r="4724" spans="23:23" ht="18.75" customHeight="1">
      <c r="W4724" s="253"/>
    </row>
    <row r="4725" spans="23:23" ht="18.75" customHeight="1">
      <c r="W4725" s="253"/>
    </row>
    <row r="4726" spans="23:23" ht="18.75" customHeight="1">
      <c r="W4726" s="253"/>
    </row>
    <row r="4727" spans="23:23" ht="18.75" customHeight="1">
      <c r="W4727" s="253"/>
    </row>
    <row r="4728" spans="23:23" ht="18.75" customHeight="1">
      <c r="W4728" s="253"/>
    </row>
    <row r="4729" spans="23:23" ht="18.75" customHeight="1">
      <c r="W4729" s="253"/>
    </row>
    <row r="4730" spans="23:23" ht="18.75" customHeight="1">
      <c r="W4730" s="253"/>
    </row>
    <row r="4731" spans="23:23" ht="18.75" customHeight="1">
      <c r="W4731" s="253"/>
    </row>
    <row r="4732" spans="23:23" ht="18.75" customHeight="1">
      <c r="W4732" s="253"/>
    </row>
    <row r="4733" spans="23:23" ht="18.75" customHeight="1">
      <c r="W4733" s="253"/>
    </row>
    <row r="4734" spans="23:23" ht="18.75" customHeight="1">
      <c r="W4734" s="253"/>
    </row>
    <row r="4735" spans="23:23" ht="18.75" customHeight="1">
      <c r="W4735" s="253"/>
    </row>
    <row r="4736" spans="23:23" ht="18.75" customHeight="1">
      <c r="W4736" s="253"/>
    </row>
    <row r="4737" spans="23:23" ht="18.75" customHeight="1">
      <c r="W4737" s="253"/>
    </row>
    <row r="4738" spans="23:23" ht="18.75" customHeight="1">
      <c r="W4738" s="253"/>
    </row>
    <row r="4739" spans="23:23" ht="18.75" customHeight="1">
      <c r="W4739" s="253"/>
    </row>
    <row r="4740" spans="23:23" ht="18.75" customHeight="1">
      <c r="W4740" s="253"/>
    </row>
    <row r="4741" spans="23:23" ht="18.75" customHeight="1">
      <c r="W4741" s="253"/>
    </row>
    <row r="4742" spans="23:23" ht="18.75" customHeight="1">
      <c r="W4742" s="253"/>
    </row>
    <row r="4743" spans="23:23" ht="18.75" customHeight="1">
      <c r="W4743" s="253"/>
    </row>
    <row r="4744" spans="23:23" ht="18.75" customHeight="1">
      <c r="W4744" s="253"/>
    </row>
    <row r="4745" spans="23:23" ht="18.75" customHeight="1">
      <c r="W4745" s="253"/>
    </row>
    <row r="4746" spans="23:23" ht="18.75" customHeight="1">
      <c r="W4746" s="253"/>
    </row>
    <row r="4747" spans="23:23" ht="18.75" customHeight="1">
      <c r="W4747" s="253"/>
    </row>
    <row r="4748" spans="23:23" ht="18.75" customHeight="1">
      <c r="W4748" s="253"/>
    </row>
    <row r="4749" spans="23:23" ht="18.75" customHeight="1">
      <c r="W4749" s="253"/>
    </row>
    <row r="4750" spans="23:23" ht="18.75" customHeight="1">
      <c r="W4750" s="253"/>
    </row>
    <row r="4751" spans="23:23" ht="18.75" customHeight="1">
      <c r="W4751" s="253"/>
    </row>
    <row r="4752" spans="23:23" ht="18.75" customHeight="1">
      <c r="W4752" s="253"/>
    </row>
    <row r="4753" spans="23:23" ht="18.75" customHeight="1">
      <c r="W4753" s="253"/>
    </row>
    <row r="4754" spans="23:23" ht="18.75" customHeight="1">
      <c r="W4754" s="253"/>
    </row>
    <row r="4755" spans="23:23" ht="18.75" customHeight="1">
      <c r="W4755" s="253"/>
    </row>
    <row r="4756" spans="23:23" ht="18.75" customHeight="1">
      <c r="W4756" s="253"/>
    </row>
    <row r="4757" spans="23:23" ht="18.75" customHeight="1">
      <c r="W4757" s="253"/>
    </row>
    <row r="4758" spans="23:23" ht="18.75" customHeight="1">
      <c r="W4758" s="253"/>
    </row>
    <row r="4759" spans="23:23" ht="18.75" customHeight="1">
      <c r="W4759" s="253"/>
    </row>
    <row r="4760" spans="23:23" ht="18.75" customHeight="1">
      <c r="W4760" s="253"/>
    </row>
    <row r="4761" spans="23:23" ht="18.75" customHeight="1">
      <c r="W4761" s="253"/>
    </row>
    <row r="4762" spans="23:23" ht="18.75" customHeight="1">
      <c r="W4762" s="253"/>
    </row>
    <row r="4763" spans="23:23" ht="18.75" customHeight="1">
      <c r="W4763" s="253"/>
    </row>
    <row r="4764" spans="23:23" ht="18.75" customHeight="1">
      <c r="W4764" s="253"/>
    </row>
    <row r="4765" spans="23:23" ht="18.75" customHeight="1">
      <c r="W4765" s="253"/>
    </row>
    <row r="4766" spans="23:23" ht="18.75" customHeight="1">
      <c r="W4766" s="253"/>
    </row>
    <row r="4767" spans="23:23" ht="18.75" customHeight="1">
      <c r="W4767" s="253"/>
    </row>
    <row r="4768" spans="23:23" ht="18.75" customHeight="1">
      <c r="W4768" s="253"/>
    </row>
    <row r="4769" spans="23:23" ht="18.75" customHeight="1">
      <c r="W4769" s="253"/>
    </row>
    <row r="4770" spans="23:23" ht="18.75" customHeight="1">
      <c r="W4770" s="253"/>
    </row>
    <row r="4771" spans="23:23" ht="18.75" customHeight="1">
      <c r="W4771" s="253"/>
    </row>
    <row r="4772" spans="23:23" ht="18.75" customHeight="1">
      <c r="W4772" s="253"/>
    </row>
    <row r="4773" spans="23:23" ht="18.75" customHeight="1">
      <c r="W4773" s="253"/>
    </row>
    <row r="4774" spans="23:23" ht="18.75" customHeight="1">
      <c r="W4774" s="253"/>
    </row>
    <row r="4775" spans="23:23" ht="18.75" customHeight="1">
      <c r="W4775" s="253"/>
    </row>
    <row r="4776" spans="23:23" ht="18.75" customHeight="1">
      <c r="W4776" s="253"/>
    </row>
    <row r="4777" spans="23:23" ht="18.75" customHeight="1">
      <c r="W4777" s="253"/>
    </row>
    <row r="4778" spans="23:23" ht="18.75" customHeight="1">
      <c r="W4778" s="253"/>
    </row>
    <row r="4779" spans="23:23" ht="18.75" customHeight="1">
      <c r="W4779" s="253"/>
    </row>
    <row r="4780" spans="23:23" ht="18.75" customHeight="1">
      <c r="W4780" s="253"/>
    </row>
    <row r="4781" spans="23:23" ht="18.75" customHeight="1">
      <c r="W4781" s="253"/>
    </row>
    <row r="4782" spans="23:23" ht="18.75" customHeight="1">
      <c r="W4782" s="253"/>
    </row>
    <row r="4783" spans="23:23" ht="18.75" customHeight="1">
      <c r="W4783" s="253"/>
    </row>
    <row r="4784" spans="23:23" ht="18.75" customHeight="1">
      <c r="W4784" s="253"/>
    </row>
    <row r="4785" spans="23:23" ht="18.75" customHeight="1">
      <c r="W4785" s="253"/>
    </row>
    <row r="4786" spans="23:23" ht="18.75" customHeight="1">
      <c r="W4786" s="253"/>
    </row>
    <row r="4787" spans="23:23" ht="18.75" customHeight="1">
      <c r="W4787" s="253"/>
    </row>
    <row r="4788" spans="23:23" ht="18.75" customHeight="1">
      <c r="W4788" s="253"/>
    </row>
    <row r="4789" spans="23:23" ht="18.75" customHeight="1">
      <c r="W4789" s="253"/>
    </row>
    <row r="4790" spans="23:23" ht="18.75" customHeight="1">
      <c r="W4790" s="253"/>
    </row>
    <row r="4791" spans="23:23" ht="18.75" customHeight="1">
      <c r="W4791" s="253"/>
    </row>
    <row r="4792" spans="23:23" ht="18.75" customHeight="1">
      <c r="W4792" s="253"/>
    </row>
    <row r="4793" spans="23:23" ht="18.75" customHeight="1">
      <c r="W4793" s="253"/>
    </row>
    <row r="4794" spans="23:23" ht="18.75" customHeight="1">
      <c r="W4794" s="253"/>
    </row>
    <row r="4795" spans="23:23" ht="18.75" customHeight="1">
      <c r="W4795" s="253"/>
    </row>
    <row r="4796" spans="23:23" ht="18.75" customHeight="1">
      <c r="W4796" s="253"/>
    </row>
    <row r="4797" spans="23:23" ht="18.75" customHeight="1">
      <c r="W4797" s="253"/>
    </row>
    <row r="4798" spans="23:23" ht="18.75" customHeight="1">
      <c r="W4798" s="253"/>
    </row>
    <row r="4799" spans="23:23" ht="18.75" customHeight="1">
      <c r="W4799" s="253"/>
    </row>
    <row r="4800" spans="23:23" ht="18.75" customHeight="1">
      <c r="W4800" s="253"/>
    </row>
    <row r="4801" spans="23:23" ht="18.75" customHeight="1">
      <c r="W4801" s="253"/>
    </row>
    <row r="4802" spans="23:23" ht="18.75" customHeight="1">
      <c r="W4802" s="253"/>
    </row>
    <row r="4803" spans="23:23" ht="18.75" customHeight="1">
      <c r="W4803" s="253"/>
    </row>
    <row r="4804" spans="23:23" ht="18.75" customHeight="1">
      <c r="W4804" s="253"/>
    </row>
    <row r="4805" spans="23:23" ht="18.75" customHeight="1">
      <c r="W4805" s="253"/>
    </row>
    <row r="4806" spans="23:23" ht="18.75" customHeight="1">
      <c r="W4806" s="253"/>
    </row>
    <row r="4807" spans="23:23" ht="18.75" customHeight="1">
      <c r="W4807" s="253"/>
    </row>
    <row r="4808" spans="23:23" ht="18.75" customHeight="1">
      <c r="W4808" s="253"/>
    </row>
    <row r="4809" spans="23:23" ht="18.75" customHeight="1">
      <c r="W4809" s="253"/>
    </row>
    <row r="4810" spans="23:23" ht="18.75" customHeight="1">
      <c r="W4810" s="253"/>
    </row>
    <row r="4811" spans="23:23" ht="18.75" customHeight="1">
      <c r="W4811" s="253"/>
    </row>
    <row r="4812" spans="23:23" ht="18.75" customHeight="1">
      <c r="W4812" s="253"/>
    </row>
    <row r="4813" spans="23:23" ht="18.75" customHeight="1">
      <c r="W4813" s="253"/>
    </row>
    <row r="4814" spans="23:23" ht="18.75" customHeight="1">
      <c r="W4814" s="253"/>
    </row>
    <row r="4815" spans="23:23" ht="18.75" customHeight="1">
      <c r="W4815" s="253"/>
    </row>
    <row r="4816" spans="23:23" ht="18.75" customHeight="1">
      <c r="W4816" s="253"/>
    </row>
    <row r="4817" spans="23:23" ht="18.75" customHeight="1">
      <c r="W4817" s="253"/>
    </row>
    <row r="4818" spans="23:23" ht="18.75" customHeight="1">
      <c r="W4818" s="253"/>
    </row>
    <row r="4819" spans="23:23" ht="18.75" customHeight="1">
      <c r="W4819" s="253"/>
    </row>
    <row r="4820" spans="23:23" ht="18.75" customHeight="1">
      <c r="W4820" s="253"/>
    </row>
    <row r="4821" spans="23:23" ht="18.75" customHeight="1">
      <c r="W4821" s="253"/>
    </row>
    <row r="4822" spans="23:23" ht="18.75" customHeight="1">
      <c r="W4822" s="253"/>
    </row>
    <row r="4823" spans="23:23" ht="18.75" customHeight="1">
      <c r="W4823" s="253"/>
    </row>
    <row r="4824" spans="23:23" ht="18.75" customHeight="1">
      <c r="W4824" s="253"/>
    </row>
    <row r="4825" spans="23:23" ht="18.75" customHeight="1">
      <c r="W4825" s="253"/>
    </row>
    <row r="4826" spans="23:23" ht="18.75" customHeight="1">
      <c r="W4826" s="253"/>
    </row>
    <row r="4827" spans="23:23" ht="18.75" customHeight="1">
      <c r="W4827" s="253"/>
    </row>
    <row r="4828" spans="23:23" ht="18.75" customHeight="1">
      <c r="W4828" s="253"/>
    </row>
    <row r="4829" spans="23:23" ht="18.75" customHeight="1">
      <c r="W4829" s="253"/>
    </row>
    <row r="4830" spans="23:23" ht="18.75" customHeight="1">
      <c r="W4830" s="253"/>
    </row>
    <row r="4831" spans="23:23" ht="18.75" customHeight="1">
      <c r="W4831" s="253"/>
    </row>
    <row r="4832" spans="23:23" ht="18.75" customHeight="1">
      <c r="W4832" s="253"/>
    </row>
    <row r="4833" spans="23:23" ht="18.75" customHeight="1">
      <c r="W4833" s="253"/>
    </row>
    <row r="4834" spans="23:23" ht="18.75" customHeight="1">
      <c r="W4834" s="253"/>
    </row>
    <row r="4835" spans="23:23" ht="18.75" customHeight="1">
      <c r="W4835" s="253"/>
    </row>
    <row r="4836" spans="23:23" ht="18.75" customHeight="1">
      <c r="W4836" s="253"/>
    </row>
    <row r="4837" spans="23:23" ht="18.75" customHeight="1">
      <c r="W4837" s="253"/>
    </row>
    <row r="4838" spans="23:23" ht="18.75" customHeight="1">
      <c r="W4838" s="253"/>
    </row>
    <row r="4839" spans="23:23" ht="18.75" customHeight="1">
      <c r="W4839" s="253"/>
    </row>
    <row r="4840" spans="23:23" ht="18.75" customHeight="1">
      <c r="W4840" s="253"/>
    </row>
    <row r="4841" spans="23:23" ht="18.75" customHeight="1">
      <c r="W4841" s="253"/>
    </row>
    <row r="4842" spans="23:23" ht="18.75" customHeight="1">
      <c r="W4842" s="253"/>
    </row>
    <row r="4843" spans="23:23" ht="18.75" customHeight="1">
      <c r="W4843" s="253"/>
    </row>
    <row r="4844" spans="23:23" ht="18.75" customHeight="1">
      <c r="W4844" s="253"/>
    </row>
    <row r="4845" spans="23:23" ht="18.75" customHeight="1">
      <c r="W4845" s="253"/>
    </row>
    <row r="4846" spans="23:23" ht="18.75" customHeight="1">
      <c r="W4846" s="253"/>
    </row>
    <row r="4847" spans="23:23" ht="18.75" customHeight="1">
      <c r="W4847" s="253"/>
    </row>
    <row r="4848" spans="23:23" ht="18.75" customHeight="1">
      <c r="W4848" s="253"/>
    </row>
    <row r="4849" spans="23:23" ht="18.75" customHeight="1">
      <c r="W4849" s="253"/>
    </row>
    <row r="4850" spans="23:23" ht="18.75" customHeight="1">
      <c r="W4850" s="253"/>
    </row>
    <row r="4851" spans="23:23" ht="18.75" customHeight="1">
      <c r="W4851" s="253"/>
    </row>
    <row r="4852" spans="23:23" ht="18.75" customHeight="1">
      <c r="W4852" s="253"/>
    </row>
    <row r="4853" spans="23:23" ht="18.75" customHeight="1">
      <c r="W4853" s="253"/>
    </row>
    <row r="4854" spans="23:23" ht="18.75" customHeight="1">
      <c r="W4854" s="253"/>
    </row>
    <row r="4855" spans="23:23" ht="18.75" customHeight="1">
      <c r="W4855" s="253"/>
    </row>
    <row r="4856" spans="23:23" ht="18.75" customHeight="1">
      <c r="W4856" s="253"/>
    </row>
    <row r="4857" spans="23:23" ht="18.75" customHeight="1">
      <c r="W4857" s="253"/>
    </row>
    <row r="4858" spans="23:23" ht="18.75" customHeight="1">
      <c r="W4858" s="253"/>
    </row>
    <row r="4859" spans="23:23" ht="18.75" customHeight="1">
      <c r="W4859" s="253"/>
    </row>
    <row r="4860" spans="23:23" ht="18.75" customHeight="1">
      <c r="W4860" s="253"/>
    </row>
    <row r="4861" spans="23:23" ht="18.75" customHeight="1">
      <c r="W4861" s="253"/>
    </row>
    <row r="4862" spans="23:23" ht="18.75" customHeight="1">
      <c r="W4862" s="253"/>
    </row>
    <row r="4863" spans="23:23" ht="18.75" customHeight="1">
      <c r="W4863" s="253"/>
    </row>
    <row r="4864" spans="23:23" ht="18.75" customHeight="1">
      <c r="W4864" s="253"/>
    </row>
    <row r="4865" spans="23:23" ht="18.75" customHeight="1">
      <c r="W4865" s="253"/>
    </row>
    <row r="4866" spans="23:23" ht="18.75" customHeight="1">
      <c r="W4866" s="253"/>
    </row>
    <row r="4867" spans="23:23" ht="18.75" customHeight="1">
      <c r="W4867" s="253"/>
    </row>
    <row r="4868" spans="23:23" ht="18.75" customHeight="1">
      <c r="W4868" s="253"/>
    </row>
    <row r="4869" spans="23:23" ht="18.75" customHeight="1">
      <c r="W4869" s="253"/>
    </row>
    <row r="4870" spans="23:23" ht="18.75" customHeight="1">
      <c r="W4870" s="253"/>
    </row>
    <row r="4871" spans="23:23" ht="18.75" customHeight="1">
      <c r="W4871" s="253"/>
    </row>
    <row r="4872" spans="23:23" ht="18.75" customHeight="1">
      <c r="W4872" s="253"/>
    </row>
    <row r="4873" spans="23:23" ht="18.75" customHeight="1">
      <c r="W4873" s="253"/>
    </row>
    <row r="4874" spans="23:23" ht="18.75" customHeight="1">
      <c r="W4874" s="253"/>
    </row>
    <row r="4875" spans="23:23" ht="18.75" customHeight="1">
      <c r="W4875" s="253"/>
    </row>
    <row r="4876" spans="23:23" ht="18.75" customHeight="1">
      <c r="W4876" s="253"/>
    </row>
    <row r="4877" spans="23:23" ht="18.75" customHeight="1">
      <c r="W4877" s="253"/>
    </row>
    <row r="4878" spans="23:23" ht="18.75" customHeight="1">
      <c r="W4878" s="253"/>
    </row>
    <row r="4879" spans="23:23" ht="18.75" customHeight="1">
      <c r="W4879" s="253"/>
    </row>
    <row r="4880" spans="23:23" ht="18.75" customHeight="1">
      <c r="W4880" s="253"/>
    </row>
    <row r="4881" spans="23:23" ht="18.75" customHeight="1">
      <c r="W4881" s="253"/>
    </row>
    <row r="4882" spans="23:23" ht="18.75" customHeight="1">
      <c r="W4882" s="253"/>
    </row>
    <row r="4883" spans="23:23" ht="18.75" customHeight="1">
      <c r="W4883" s="253"/>
    </row>
    <row r="4884" spans="23:23" ht="18.75" customHeight="1">
      <c r="W4884" s="253"/>
    </row>
    <row r="4885" spans="23:23" ht="18.75" customHeight="1">
      <c r="W4885" s="253"/>
    </row>
    <row r="4886" spans="23:23" ht="18.75" customHeight="1">
      <c r="W4886" s="253"/>
    </row>
    <row r="4887" spans="23:23" ht="18.75" customHeight="1">
      <c r="W4887" s="253"/>
    </row>
    <row r="4888" spans="23:23" ht="18.75" customHeight="1">
      <c r="W4888" s="253"/>
    </row>
    <row r="4889" spans="23:23" ht="18.75" customHeight="1">
      <c r="W4889" s="253"/>
    </row>
    <row r="4890" spans="23:23" ht="18.75" customHeight="1">
      <c r="W4890" s="253"/>
    </row>
    <row r="4891" spans="23:23" ht="18.75" customHeight="1">
      <c r="W4891" s="253"/>
    </row>
    <row r="4892" spans="23:23" ht="18.75" customHeight="1">
      <c r="W4892" s="253"/>
    </row>
    <row r="4893" spans="23:23" ht="18.75" customHeight="1">
      <c r="W4893" s="253"/>
    </row>
    <row r="4894" spans="23:23" ht="18.75" customHeight="1">
      <c r="W4894" s="253"/>
    </row>
    <row r="4895" spans="23:23" ht="18.75" customHeight="1">
      <c r="W4895" s="253"/>
    </row>
    <row r="4896" spans="23:23" ht="18.75" customHeight="1">
      <c r="W4896" s="253"/>
    </row>
    <row r="4897" spans="23:23" ht="18.75" customHeight="1">
      <c r="W4897" s="253"/>
    </row>
    <row r="4898" spans="23:23" ht="18.75" customHeight="1">
      <c r="W4898" s="253"/>
    </row>
    <row r="4899" spans="23:23" ht="18.75" customHeight="1">
      <c r="W4899" s="253"/>
    </row>
    <row r="4900" spans="23:23" ht="18.75" customHeight="1">
      <c r="W4900" s="253"/>
    </row>
    <row r="4901" spans="23:23" ht="18.75" customHeight="1">
      <c r="W4901" s="253"/>
    </row>
    <row r="4902" spans="23:23" ht="18.75" customHeight="1">
      <c r="W4902" s="253"/>
    </row>
    <row r="4903" spans="23:23" ht="18.75" customHeight="1">
      <c r="W4903" s="253"/>
    </row>
    <row r="4904" spans="23:23" ht="18.75" customHeight="1">
      <c r="W4904" s="253"/>
    </row>
    <row r="4905" spans="23:23" ht="18.75" customHeight="1">
      <c r="W4905" s="253"/>
    </row>
    <row r="4906" spans="23:23" ht="18.75" customHeight="1">
      <c r="W4906" s="253"/>
    </row>
    <row r="4907" spans="23:23" ht="18.75" customHeight="1">
      <c r="W4907" s="253"/>
    </row>
    <row r="4908" spans="23:23" ht="18.75" customHeight="1">
      <c r="W4908" s="253"/>
    </row>
    <row r="4909" spans="23:23" ht="18.75" customHeight="1">
      <c r="W4909" s="253"/>
    </row>
    <row r="4910" spans="23:23" ht="18.75" customHeight="1">
      <c r="W4910" s="253"/>
    </row>
    <row r="4911" spans="23:23" ht="18.75" customHeight="1">
      <c r="W4911" s="253"/>
    </row>
    <row r="4912" spans="23:23" ht="18.75" customHeight="1">
      <c r="W4912" s="253"/>
    </row>
    <row r="4913" spans="23:23" ht="18.75" customHeight="1">
      <c r="W4913" s="253"/>
    </row>
    <row r="4914" spans="23:23" ht="18.75" customHeight="1">
      <c r="W4914" s="253"/>
    </row>
    <row r="4915" spans="23:23" ht="18.75" customHeight="1">
      <c r="W4915" s="253"/>
    </row>
    <row r="4916" spans="23:23" ht="18.75" customHeight="1">
      <c r="W4916" s="253"/>
    </row>
    <row r="4917" spans="23:23" ht="18.75" customHeight="1">
      <c r="W4917" s="253"/>
    </row>
    <row r="4918" spans="23:23" ht="18.75" customHeight="1">
      <c r="W4918" s="253"/>
    </row>
    <row r="4919" spans="23:23" ht="18.75" customHeight="1">
      <c r="W4919" s="253"/>
    </row>
    <row r="4920" spans="23:23" ht="18.75" customHeight="1">
      <c r="W4920" s="253"/>
    </row>
    <row r="4921" spans="23:23" ht="18.75" customHeight="1">
      <c r="W4921" s="253"/>
    </row>
    <row r="4922" spans="23:23" ht="18.75" customHeight="1">
      <c r="W4922" s="253"/>
    </row>
    <row r="4923" spans="23:23" ht="18.75" customHeight="1">
      <c r="W4923" s="253"/>
    </row>
    <row r="4924" spans="23:23" ht="18.75" customHeight="1">
      <c r="W4924" s="253"/>
    </row>
    <row r="4925" spans="23:23" ht="18.75" customHeight="1">
      <c r="W4925" s="253"/>
    </row>
    <row r="4926" spans="23:23" ht="18.75" customHeight="1">
      <c r="W4926" s="253"/>
    </row>
    <row r="4927" spans="23:23" ht="18.75" customHeight="1">
      <c r="W4927" s="253"/>
    </row>
    <row r="4928" spans="23:23" ht="18.75" customHeight="1">
      <c r="W4928" s="253"/>
    </row>
    <row r="4929" spans="23:23" ht="18.75" customHeight="1">
      <c r="W4929" s="253"/>
    </row>
    <row r="4930" spans="23:23" ht="18.75" customHeight="1">
      <c r="W4930" s="253"/>
    </row>
    <row r="4931" spans="23:23" ht="18.75" customHeight="1">
      <c r="W4931" s="253"/>
    </row>
    <row r="4932" spans="23:23" ht="18.75" customHeight="1">
      <c r="W4932" s="253"/>
    </row>
    <row r="4933" spans="23:23" ht="18.75" customHeight="1">
      <c r="W4933" s="253"/>
    </row>
    <row r="4934" spans="23:23" ht="18.75" customHeight="1">
      <c r="W4934" s="253"/>
    </row>
    <row r="4935" spans="23:23" ht="18.75" customHeight="1">
      <c r="W4935" s="253"/>
    </row>
    <row r="4936" spans="23:23" ht="18.75" customHeight="1">
      <c r="W4936" s="253"/>
    </row>
    <row r="4937" spans="23:23" ht="18.75" customHeight="1">
      <c r="W4937" s="253"/>
    </row>
    <row r="4938" spans="23:23" ht="18.75" customHeight="1">
      <c r="W4938" s="253"/>
    </row>
    <row r="4939" spans="23:23" ht="18.75" customHeight="1">
      <c r="W4939" s="253"/>
    </row>
    <row r="4940" spans="23:23" ht="18.75" customHeight="1">
      <c r="W4940" s="253"/>
    </row>
    <row r="4941" spans="23:23" ht="18.75" customHeight="1">
      <c r="W4941" s="253"/>
    </row>
    <row r="4942" spans="23:23" ht="18.75" customHeight="1">
      <c r="W4942" s="253"/>
    </row>
    <row r="4943" spans="23:23" ht="18.75" customHeight="1">
      <c r="W4943" s="253"/>
    </row>
    <row r="4944" spans="23:23" ht="18.75" customHeight="1">
      <c r="W4944" s="253"/>
    </row>
    <row r="4945" spans="23:23" ht="18.75" customHeight="1">
      <c r="W4945" s="253"/>
    </row>
    <row r="4946" spans="23:23" ht="18.75" customHeight="1">
      <c r="W4946" s="253"/>
    </row>
    <row r="4947" spans="23:23" ht="18.75" customHeight="1">
      <c r="W4947" s="253"/>
    </row>
    <row r="4948" spans="23:23" ht="18.75" customHeight="1">
      <c r="W4948" s="253"/>
    </row>
    <row r="4949" spans="23:23" ht="18.75" customHeight="1">
      <c r="W4949" s="253"/>
    </row>
    <row r="4950" spans="23:23" ht="18.75" customHeight="1">
      <c r="W4950" s="253"/>
    </row>
    <row r="4951" spans="23:23" ht="18.75" customHeight="1">
      <c r="W4951" s="253"/>
    </row>
    <row r="4952" spans="23:23" ht="18.75" customHeight="1">
      <c r="W4952" s="253"/>
    </row>
    <row r="4953" spans="23:23" ht="18.75" customHeight="1">
      <c r="W4953" s="253"/>
    </row>
    <row r="4954" spans="23:23" ht="18.75" customHeight="1">
      <c r="W4954" s="253"/>
    </row>
    <row r="4955" spans="23:23" ht="18.75" customHeight="1">
      <c r="W4955" s="253"/>
    </row>
    <row r="4956" spans="23:23" ht="18.75" customHeight="1">
      <c r="W4956" s="253"/>
    </row>
    <row r="4957" spans="23:23" ht="18.75" customHeight="1">
      <c r="W4957" s="253"/>
    </row>
    <row r="4958" spans="23:23" ht="18.75" customHeight="1">
      <c r="W4958" s="253"/>
    </row>
    <row r="4959" spans="23:23" ht="18.75" customHeight="1">
      <c r="W4959" s="253"/>
    </row>
    <row r="4960" spans="23:23" ht="18.75" customHeight="1">
      <c r="W4960" s="253"/>
    </row>
    <row r="4961" spans="23:23" ht="18.75" customHeight="1">
      <c r="W4961" s="253"/>
    </row>
    <row r="4962" spans="23:23" ht="18.75" customHeight="1">
      <c r="W4962" s="253"/>
    </row>
    <row r="4963" spans="23:23" ht="18.75" customHeight="1">
      <c r="W4963" s="253"/>
    </row>
    <row r="4964" spans="23:23" ht="18.75" customHeight="1">
      <c r="W4964" s="253"/>
    </row>
    <row r="4965" spans="23:23" ht="18.75" customHeight="1">
      <c r="W4965" s="253"/>
    </row>
    <row r="4966" spans="23:23" ht="18.75" customHeight="1">
      <c r="W4966" s="253"/>
    </row>
    <row r="4967" spans="23:23" ht="18.75" customHeight="1">
      <c r="W4967" s="253"/>
    </row>
    <row r="4968" spans="23:23" ht="18.75" customHeight="1">
      <c r="W4968" s="253"/>
    </row>
    <row r="4969" spans="23:23" ht="18.75" customHeight="1">
      <c r="W4969" s="253"/>
    </row>
    <row r="4970" spans="23:23" ht="18.75" customHeight="1">
      <c r="W4970" s="253"/>
    </row>
    <row r="4971" spans="23:23" ht="18.75" customHeight="1">
      <c r="W4971" s="253"/>
    </row>
    <row r="4972" spans="23:23" ht="18.75" customHeight="1">
      <c r="W4972" s="253"/>
    </row>
    <row r="4973" spans="23:23" ht="18.75" customHeight="1">
      <c r="W4973" s="253"/>
    </row>
    <row r="4974" spans="23:23" ht="18.75" customHeight="1">
      <c r="W4974" s="253"/>
    </row>
    <row r="4975" spans="23:23" ht="18.75" customHeight="1">
      <c r="W4975" s="253"/>
    </row>
    <row r="4976" spans="23:23" ht="18.75" customHeight="1">
      <c r="W4976" s="253"/>
    </row>
    <row r="4977" spans="23:23" ht="18.75" customHeight="1">
      <c r="W4977" s="253"/>
    </row>
    <row r="4978" spans="23:23" ht="18.75" customHeight="1">
      <c r="W4978" s="253"/>
    </row>
    <row r="4979" spans="23:23" ht="18.75" customHeight="1">
      <c r="W4979" s="253"/>
    </row>
    <row r="4980" spans="23:23" ht="18.75" customHeight="1">
      <c r="W4980" s="253"/>
    </row>
    <row r="4981" spans="23:23" ht="18.75" customHeight="1">
      <c r="W4981" s="253"/>
    </row>
    <row r="4982" spans="23:23" ht="18.75" customHeight="1">
      <c r="W4982" s="253"/>
    </row>
    <row r="4983" spans="23:23" ht="18.75" customHeight="1">
      <c r="W4983" s="253"/>
    </row>
    <row r="4984" spans="23:23" ht="18.75" customHeight="1">
      <c r="W4984" s="253"/>
    </row>
    <row r="4985" spans="23:23" ht="18.75" customHeight="1">
      <c r="W4985" s="253"/>
    </row>
    <row r="4986" spans="23:23" ht="18.75" customHeight="1">
      <c r="W4986" s="253"/>
    </row>
    <row r="4987" spans="23:23" ht="18.75" customHeight="1">
      <c r="W4987" s="253"/>
    </row>
    <row r="4988" spans="23:23" ht="18.75" customHeight="1">
      <c r="W4988" s="253"/>
    </row>
    <row r="4989" spans="23:23" ht="18.75" customHeight="1">
      <c r="W4989" s="253"/>
    </row>
    <row r="4990" spans="23:23" ht="18.75" customHeight="1">
      <c r="W4990" s="253"/>
    </row>
    <row r="4991" spans="23:23" ht="18.75" customHeight="1">
      <c r="W4991" s="253"/>
    </row>
    <row r="4992" spans="23:23" ht="18.75" customHeight="1">
      <c r="W4992" s="253"/>
    </row>
    <row r="4993" spans="23:23" ht="18.75" customHeight="1">
      <c r="W4993" s="253"/>
    </row>
    <row r="4994" spans="23:23" ht="18.75" customHeight="1">
      <c r="W4994" s="253"/>
    </row>
    <row r="4995" spans="23:23" ht="18.75" customHeight="1">
      <c r="W4995" s="253"/>
    </row>
    <row r="4996" spans="23:23" ht="18.75" customHeight="1">
      <c r="W4996" s="253"/>
    </row>
    <row r="4997" spans="23:23" ht="18.75" customHeight="1">
      <c r="W4997" s="253"/>
    </row>
    <row r="4998" spans="23:23" ht="18.75" customHeight="1">
      <c r="W4998" s="253"/>
    </row>
    <row r="4999" spans="23:23" ht="18.75" customHeight="1">
      <c r="W4999" s="253"/>
    </row>
    <row r="5000" spans="23:23" ht="18.75" customHeight="1">
      <c r="W5000" s="253"/>
    </row>
    <row r="5001" spans="23:23" ht="18.75" customHeight="1">
      <c r="W5001" s="253"/>
    </row>
    <row r="5002" spans="23:23" ht="18.75" customHeight="1">
      <c r="W5002" s="253"/>
    </row>
    <row r="5003" spans="23:23" ht="18.75" customHeight="1">
      <c r="W5003" s="253"/>
    </row>
    <row r="5004" spans="23:23" ht="18.75" customHeight="1">
      <c r="W5004" s="253"/>
    </row>
    <row r="5005" spans="23:23" ht="18.75" customHeight="1">
      <c r="W5005" s="253"/>
    </row>
    <row r="5006" spans="23:23" ht="18.75" customHeight="1">
      <c r="W5006" s="253"/>
    </row>
    <row r="5007" spans="23:23" ht="18.75" customHeight="1">
      <c r="W5007" s="253"/>
    </row>
    <row r="5008" spans="23:23" ht="18.75" customHeight="1">
      <c r="W5008" s="253"/>
    </row>
    <row r="5009" spans="23:23" ht="18.75" customHeight="1">
      <c r="W5009" s="253"/>
    </row>
    <row r="5010" spans="23:23" ht="18.75" customHeight="1">
      <c r="W5010" s="253"/>
    </row>
    <row r="5011" spans="23:23" ht="18.75" customHeight="1">
      <c r="W5011" s="253"/>
    </row>
    <row r="5012" spans="23:23" ht="18.75" customHeight="1">
      <c r="W5012" s="253"/>
    </row>
    <row r="5013" spans="23:23" ht="18.75" customHeight="1">
      <c r="W5013" s="253"/>
    </row>
    <row r="5014" spans="23:23" ht="18.75" customHeight="1">
      <c r="W5014" s="253"/>
    </row>
    <row r="5015" spans="23:23" ht="18.75" customHeight="1">
      <c r="W5015" s="253"/>
    </row>
    <row r="5016" spans="23:23" ht="18.75" customHeight="1">
      <c r="W5016" s="253"/>
    </row>
    <row r="5017" spans="23:23" ht="18.75" customHeight="1">
      <c r="W5017" s="253"/>
    </row>
    <row r="5018" spans="23:23" ht="18.75" customHeight="1">
      <c r="W5018" s="253"/>
    </row>
    <row r="5019" spans="23:23" ht="18.75" customHeight="1">
      <c r="W5019" s="253"/>
    </row>
    <row r="5020" spans="23:23" ht="18.75" customHeight="1">
      <c r="W5020" s="253"/>
    </row>
    <row r="5021" spans="23:23" ht="18.75" customHeight="1">
      <c r="W5021" s="253"/>
    </row>
    <row r="5022" spans="23:23" ht="18.75" customHeight="1">
      <c r="W5022" s="253"/>
    </row>
    <row r="5023" spans="23:23" ht="18.75" customHeight="1">
      <c r="W5023" s="253"/>
    </row>
    <row r="5024" spans="23:23" ht="18.75" customHeight="1">
      <c r="W5024" s="253"/>
    </row>
    <row r="5025" spans="23:23" ht="18.75" customHeight="1">
      <c r="W5025" s="253"/>
    </row>
    <row r="5026" spans="23:23" ht="18.75" customHeight="1">
      <c r="W5026" s="253"/>
    </row>
    <row r="5027" spans="23:23" ht="18.75" customHeight="1">
      <c r="W5027" s="253"/>
    </row>
    <row r="5028" spans="23:23" ht="18.75" customHeight="1">
      <c r="W5028" s="253"/>
    </row>
    <row r="5029" spans="23:23" ht="18.75" customHeight="1">
      <c r="W5029" s="253"/>
    </row>
    <row r="5030" spans="23:23" ht="18.75" customHeight="1">
      <c r="W5030" s="253"/>
    </row>
    <row r="5031" spans="23:23" ht="18.75" customHeight="1">
      <c r="W5031" s="253"/>
    </row>
    <row r="5032" spans="23:23" ht="18.75" customHeight="1">
      <c r="W5032" s="253"/>
    </row>
    <row r="5033" spans="23:23" ht="18.75" customHeight="1">
      <c r="W5033" s="253"/>
    </row>
    <row r="5034" spans="23:23" ht="18.75" customHeight="1">
      <c r="W5034" s="253"/>
    </row>
    <row r="5035" spans="23:23" ht="18.75" customHeight="1">
      <c r="W5035" s="253"/>
    </row>
    <row r="5036" spans="23:23" ht="18.75" customHeight="1">
      <c r="W5036" s="253"/>
    </row>
    <row r="5037" spans="23:23" ht="18.75" customHeight="1">
      <c r="W5037" s="253"/>
    </row>
    <row r="5038" spans="23:23" ht="18.75" customHeight="1">
      <c r="W5038" s="253"/>
    </row>
    <row r="5039" spans="23:23" ht="18.75" customHeight="1">
      <c r="W5039" s="253"/>
    </row>
    <row r="5040" spans="23:23" ht="18.75" customHeight="1">
      <c r="W5040" s="253"/>
    </row>
    <row r="5041" spans="23:23" ht="18.75" customHeight="1">
      <c r="W5041" s="253"/>
    </row>
    <row r="5042" spans="23:23" ht="18.75" customHeight="1">
      <c r="W5042" s="253"/>
    </row>
    <row r="5043" spans="23:23" ht="18.75" customHeight="1">
      <c r="W5043" s="253"/>
    </row>
    <row r="5044" spans="23:23" ht="18.75" customHeight="1">
      <c r="W5044" s="253"/>
    </row>
    <row r="5045" spans="23:23" ht="18.75" customHeight="1">
      <c r="W5045" s="253"/>
    </row>
    <row r="5046" spans="23:23" ht="18.75" customHeight="1">
      <c r="W5046" s="253"/>
    </row>
    <row r="5047" spans="23:23" ht="18.75" customHeight="1">
      <c r="W5047" s="253"/>
    </row>
    <row r="5048" spans="23:23" ht="18.75" customHeight="1">
      <c r="W5048" s="253"/>
    </row>
    <row r="5049" spans="23:23" ht="18.75" customHeight="1">
      <c r="W5049" s="253"/>
    </row>
    <row r="5050" spans="23:23" ht="18.75" customHeight="1">
      <c r="W5050" s="253"/>
    </row>
    <row r="5051" spans="23:23" ht="18.75" customHeight="1">
      <c r="W5051" s="253"/>
    </row>
    <row r="5052" spans="23:23" ht="18.75" customHeight="1">
      <c r="W5052" s="253"/>
    </row>
    <row r="5053" spans="23:23" ht="18.75" customHeight="1">
      <c r="W5053" s="253"/>
    </row>
    <row r="5054" spans="23:23" ht="18.75" customHeight="1">
      <c r="W5054" s="253"/>
    </row>
    <row r="5055" spans="23:23" ht="18.75" customHeight="1">
      <c r="W5055" s="253"/>
    </row>
    <row r="5056" spans="23:23" ht="18.75" customHeight="1">
      <c r="W5056" s="253"/>
    </row>
    <row r="5057" spans="23:23" ht="18.75" customHeight="1">
      <c r="W5057" s="253"/>
    </row>
    <row r="5058" spans="23:23" ht="18.75" customHeight="1">
      <c r="W5058" s="253"/>
    </row>
    <row r="5059" spans="23:23" ht="18.75" customHeight="1">
      <c r="W5059" s="253"/>
    </row>
    <row r="5060" spans="23:23" ht="18.75" customHeight="1">
      <c r="W5060" s="253"/>
    </row>
    <row r="5061" spans="23:23" ht="18.75" customHeight="1">
      <c r="W5061" s="253"/>
    </row>
    <row r="5062" spans="23:23" ht="18.75" customHeight="1">
      <c r="W5062" s="253"/>
    </row>
    <row r="5063" spans="23:23" ht="18.75" customHeight="1">
      <c r="W5063" s="253"/>
    </row>
    <row r="5064" spans="23:23" ht="18.75" customHeight="1">
      <c r="W5064" s="253"/>
    </row>
    <row r="5065" spans="23:23" ht="18.75" customHeight="1">
      <c r="W5065" s="253"/>
    </row>
    <row r="5066" spans="23:23" ht="18.75" customHeight="1">
      <c r="W5066" s="253"/>
    </row>
    <row r="5067" spans="23:23" ht="18.75" customHeight="1">
      <c r="W5067" s="253"/>
    </row>
    <row r="5068" spans="23:23" ht="18.75" customHeight="1">
      <c r="W5068" s="253"/>
    </row>
    <row r="5069" spans="23:23" ht="18.75" customHeight="1">
      <c r="W5069" s="253"/>
    </row>
    <row r="5070" spans="23:23" ht="18.75" customHeight="1">
      <c r="W5070" s="253"/>
    </row>
    <row r="5071" spans="23:23" ht="18.75" customHeight="1">
      <c r="W5071" s="253"/>
    </row>
    <row r="5072" spans="23:23" ht="18.75" customHeight="1">
      <c r="W5072" s="253"/>
    </row>
    <row r="5073" spans="23:23" ht="18.75" customHeight="1">
      <c r="W5073" s="253"/>
    </row>
    <row r="5074" spans="23:23" ht="18.75" customHeight="1">
      <c r="W5074" s="253"/>
    </row>
    <row r="5075" spans="23:23" ht="18.75" customHeight="1">
      <c r="W5075" s="253"/>
    </row>
    <row r="5076" spans="23:23" ht="18.75" customHeight="1">
      <c r="W5076" s="253"/>
    </row>
    <row r="5077" spans="23:23" ht="18.75" customHeight="1">
      <c r="W5077" s="253"/>
    </row>
    <row r="5078" spans="23:23" ht="18.75" customHeight="1">
      <c r="W5078" s="253"/>
    </row>
    <row r="5079" spans="23:23" ht="18.75" customHeight="1">
      <c r="W5079" s="253"/>
    </row>
    <row r="5080" spans="23:23" ht="18.75" customHeight="1">
      <c r="W5080" s="253"/>
    </row>
    <row r="5081" spans="23:23" ht="18.75" customHeight="1">
      <c r="W5081" s="253"/>
    </row>
    <row r="5082" spans="23:23" ht="18.75" customHeight="1">
      <c r="W5082" s="253"/>
    </row>
    <row r="5083" spans="23:23" ht="18.75" customHeight="1">
      <c r="W5083" s="253"/>
    </row>
    <row r="5084" spans="23:23" ht="18.75" customHeight="1">
      <c r="W5084" s="253"/>
    </row>
    <row r="5085" spans="23:23" ht="18.75" customHeight="1">
      <c r="W5085" s="253"/>
    </row>
    <row r="5086" spans="23:23" ht="18.75" customHeight="1">
      <c r="W5086" s="253"/>
    </row>
    <row r="5087" spans="23:23" ht="18.75" customHeight="1">
      <c r="W5087" s="253"/>
    </row>
    <row r="5088" spans="23:23" ht="18.75" customHeight="1">
      <c r="W5088" s="253"/>
    </row>
    <row r="5089" spans="23:23" ht="18.75" customHeight="1">
      <c r="W5089" s="253"/>
    </row>
    <row r="5090" spans="23:23" ht="18.75" customHeight="1">
      <c r="W5090" s="253"/>
    </row>
    <row r="5091" spans="23:23" ht="18.75" customHeight="1">
      <c r="W5091" s="253"/>
    </row>
    <row r="5092" spans="23:23" ht="18.75" customHeight="1">
      <c r="W5092" s="253"/>
    </row>
    <row r="5093" spans="23:23" ht="18.75" customHeight="1">
      <c r="W5093" s="253"/>
    </row>
    <row r="5094" spans="23:23" ht="18.75" customHeight="1">
      <c r="W5094" s="253"/>
    </row>
    <row r="5095" spans="23:23" ht="18.75" customHeight="1">
      <c r="W5095" s="253"/>
    </row>
    <row r="5096" spans="23:23" ht="18.75" customHeight="1">
      <c r="W5096" s="253"/>
    </row>
    <row r="5097" spans="23:23" ht="18.75" customHeight="1">
      <c r="W5097" s="253"/>
    </row>
    <row r="5098" spans="23:23" ht="18.75" customHeight="1">
      <c r="W5098" s="253"/>
    </row>
    <row r="5099" spans="23:23" ht="18.75" customHeight="1">
      <c r="W5099" s="253"/>
    </row>
    <row r="5100" spans="23:23" ht="18.75" customHeight="1">
      <c r="W5100" s="253"/>
    </row>
    <row r="5101" spans="23:23" ht="18.75" customHeight="1">
      <c r="W5101" s="253"/>
    </row>
    <row r="5102" spans="23:23" ht="18.75" customHeight="1">
      <c r="W5102" s="253"/>
    </row>
    <row r="5103" spans="23:23" ht="18.75" customHeight="1">
      <c r="W5103" s="253"/>
    </row>
    <row r="5104" spans="23:23" ht="18.75" customHeight="1">
      <c r="W5104" s="253"/>
    </row>
    <row r="5105" spans="23:23" ht="18.75" customHeight="1">
      <c r="W5105" s="253"/>
    </row>
    <row r="5106" spans="23:23" ht="18.75" customHeight="1">
      <c r="W5106" s="253"/>
    </row>
    <row r="5107" spans="23:23" ht="18.75" customHeight="1">
      <c r="W5107" s="253"/>
    </row>
    <row r="5108" spans="23:23" ht="18.75" customHeight="1">
      <c r="W5108" s="253"/>
    </row>
    <row r="5109" spans="23:23" ht="18.75" customHeight="1">
      <c r="W5109" s="253"/>
    </row>
    <row r="5110" spans="23:23" ht="18.75" customHeight="1">
      <c r="W5110" s="253"/>
    </row>
    <row r="5111" spans="23:23" ht="18.75" customHeight="1">
      <c r="W5111" s="253"/>
    </row>
    <row r="5112" spans="23:23" ht="18.75" customHeight="1">
      <c r="W5112" s="253"/>
    </row>
    <row r="5113" spans="23:23" ht="18.75" customHeight="1">
      <c r="W5113" s="253"/>
    </row>
    <row r="5114" spans="23:23" ht="18.75" customHeight="1">
      <c r="W5114" s="253"/>
    </row>
    <row r="5115" spans="23:23" ht="18.75" customHeight="1">
      <c r="W5115" s="253"/>
    </row>
    <row r="5116" spans="23:23" ht="18.75" customHeight="1">
      <c r="W5116" s="253"/>
    </row>
    <row r="5117" spans="23:23" ht="18.75" customHeight="1">
      <c r="W5117" s="253"/>
    </row>
    <row r="5118" spans="23:23" ht="18.75" customHeight="1">
      <c r="W5118" s="253"/>
    </row>
    <row r="5119" spans="23:23" ht="18.75" customHeight="1">
      <c r="W5119" s="253"/>
    </row>
    <row r="5120" spans="23:23" ht="18.75" customHeight="1">
      <c r="W5120" s="253"/>
    </row>
    <row r="5121" spans="23:23" ht="18.75" customHeight="1">
      <c r="W5121" s="253"/>
    </row>
    <row r="5122" spans="23:23" ht="18.75" customHeight="1">
      <c r="W5122" s="253"/>
    </row>
    <row r="5123" spans="23:23" ht="18.75" customHeight="1">
      <c r="W5123" s="253"/>
    </row>
    <row r="5124" spans="23:23" ht="18.75" customHeight="1">
      <c r="W5124" s="253"/>
    </row>
    <row r="5125" spans="23:23" ht="18.75" customHeight="1">
      <c r="W5125" s="253"/>
    </row>
    <row r="5126" spans="23:23" ht="18.75" customHeight="1">
      <c r="W5126" s="253"/>
    </row>
    <row r="5127" spans="23:23" ht="18.75" customHeight="1">
      <c r="W5127" s="253"/>
    </row>
    <row r="5128" spans="23:23" ht="18.75" customHeight="1">
      <c r="W5128" s="253"/>
    </row>
    <row r="5129" spans="23:23" ht="18.75" customHeight="1">
      <c r="W5129" s="253"/>
    </row>
    <row r="5130" spans="23:23" ht="18.75" customHeight="1">
      <c r="W5130" s="253"/>
    </row>
    <row r="5131" spans="23:23" ht="18.75" customHeight="1">
      <c r="W5131" s="253"/>
    </row>
    <row r="5132" spans="23:23" ht="18.75" customHeight="1">
      <c r="W5132" s="253"/>
    </row>
    <row r="5133" spans="23:23" ht="18.75" customHeight="1">
      <c r="W5133" s="253"/>
    </row>
    <row r="5134" spans="23:23" ht="18.75" customHeight="1">
      <c r="W5134" s="253"/>
    </row>
    <row r="5135" spans="23:23" ht="18.75" customHeight="1">
      <c r="W5135" s="253"/>
    </row>
    <row r="5136" spans="23:23" ht="18.75" customHeight="1">
      <c r="W5136" s="253"/>
    </row>
    <row r="5137" spans="23:23" ht="18.75" customHeight="1">
      <c r="W5137" s="253"/>
    </row>
    <row r="5138" spans="23:23" ht="18.75" customHeight="1">
      <c r="W5138" s="253"/>
    </row>
    <row r="5139" spans="23:23" ht="18.75" customHeight="1">
      <c r="W5139" s="253"/>
    </row>
    <row r="5140" spans="23:23" ht="18.75" customHeight="1">
      <c r="W5140" s="253"/>
    </row>
    <row r="5141" spans="23:23" ht="18.75" customHeight="1">
      <c r="W5141" s="253"/>
    </row>
    <row r="5142" spans="23:23" ht="18.75" customHeight="1">
      <c r="W5142" s="253"/>
    </row>
    <row r="5143" spans="23:23" ht="18.75" customHeight="1">
      <c r="W5143" s="253"/>
    </row>
    <row r="5144" spans="23:23" ht="18.75" customHeight="1">
      <c r="W5144" s="253"/>
    </row>
    <row r="5145" spans="23:23" ht="18.75" customHeight="1">
      <c r="W5145" s="253"/>
    </row>
    <row r="5146" spans="23:23" ht="18.75" customHeight="1">
      <c r="W5146" s="253"/>
    </row>
    <row r="5147" spans="23:23" ht="18.75" customHeight="1">
      <c r="W5147" s="253"/>
    </row>
    <row r="5148" spans="23:23" ht="18.75" customHeight="1">
      <c r="W5148" s="253"/>
    </row>
    <row r="5149" spans="23:23" ht="18.75" customHeight="1">
      <c r="W5149" s="253"/>
    </row>
    <row r="5150" spans="23:23" ht="18.75" customHeight="1">
      <c r="W5150" s="253"/>
    </row>
    <row r="5151" spans="23:23" ht="18.75" customHeight="1">
      <c r="W5151" s="253"/>
    </row>
    <row r="5152" spans="23:23" ht="18.75" customHeight="1">
      <c r="W5152" s="253"/>
    </row>
    <row r="5153" spans="23:23" ht="18.75" customHeight="1">
      <c r="W5153" s="253"/>
    </row>
    <row r="5154" spans="23:23" ht="18.75" customHeight="1">
      <c r="W5154" s="253"/>
    </row>
    <row r="5155" spans="23:23" ht="18.75" customHeight="1">
      <c r="W5155" s="253"/>
    </row>
    <row r="5156" spans="23:23" ht="18.75" customHeight="1">
      <c r="W5156" s="253"/>
    </row>
    <row r="5157" spans="23:23" ht="18.75" customHeight="1">
      <c r="W5157" s="253"/>
    </row>
    <row r="5158" spans="23:23" ht="18.75" customHeight="1">
      <c r="W5158" s="253"/>
    </row>
    <row r="5159" spans="23:23" ht="18.75" customHeight="1">
      <c r="W5159" s="253"/>
    </row>
    <row r="5160" spans="23:23" ht="18.75" customHeight="1">
      <c r="W5160" s="253"/>
    </row>
    <row r="5161" spans="23:23" ht="18.75" customHeight="1">
      <c r="W5161" s="253"/>
    </row>
    <row r="5162" spans="23:23" ht="18.75" customHeight="1">
      <c r="W5162" s="253"/>
    </row>
    <row r="5163" spans="23:23" ht="18.75" customHeight="1">
      <c r="W5163" s="253"/>
    </row>
    <row r="5164" spans="23:23" ht="18.75" customHeight="1">
      <c r="W5164" s="253"/>
    </row>
    <row r="5165" spans="23:23" ht="18.75" customHeight="1">
      <c r="W5165" s="253"/>
    </row>
    <row r="5166" spans="23:23" ht="18.75" customHeight="1">
      <c r="W5166" s="253"/>
    </row>
    <row r="5167" spans="23:23" ht="18.75" customHeight="1">
      <c r="W5167" s="253"/>
    </row>
    <row r="5168" spans="23:23" ht="18.75" customHeight="1">
      <c r="W5168" s="253"/>
    </row>
    <row r="5169" spans="23:23" ht="18.75" customHeight="1">
      <c r="W5169" s="253"/>
    </row>
    <row r="5170" spans="23:23" ht="18.75" customHeight="1">
      <c r="W5170" s="253"/>
    </row>
    <row r="5171" spans="23:23" ht="18.75" customHeight="1">
      <c r="W5171" s="253"/>
    </row>
    <row r="5172" spans="23:23" ht="18.75" customHeight="1">
      <c r="W5172" s="253"/>
    </row>
    <row r="5173" spans="23:23" ht="18.75" customHeight="1">
      <c r="W5173" s="253"/>
    </row>
    <row r="5174" spans="23:23" ht="18.75" customHeight="1">
      <c r="W5174" s="253"/>
    </row>
    <row r="5175" spans="23:23" ht="18.75" customHeight="1">
      <c r="W5175" s="253"/>
    </row>
    <row r="5176" spans="23:23" ht="18.75" customHeight="1">
      <c r="W5176" s="253"/>
    </row>
    <row r="5177" spans="23:23" ht="18.75" customHeight="1">
      <c r="W5177" s="253"/>
    </row>
    <row r="5178" spans="23:23" ht="18.75" customHeight="1">
      <c r="W5178" s="253"/>
    </row>
    <row r="5179" spans="23:23" ht="18.75" customHeight="1">
      <c r="W5179" s="253"/>
    </row>
    <row r="5180" spans="23:23" ht="18.75" customHeight="1">
      <c r="W5180" s="253"/>
    </row>
    <row r="5181" spans="23:23" ht="18.75" customHeight="1">
      <c r="W5181" s="253"/>
    </row>
    <row r="5182" spans="23:23" ht="18.75" customHeight="1">
      <c r="W5182" s="253"/>
    </row>
    <row r="5183" spans="23:23" ht="18.75" customHeight="1">
      <c r="W5183" s="253"/>
    </row>
    <row r="5184" spans="23:23" ht="18.75" customHeight="1">
      <c r="W5184" s="253"/>
    </row>
    <row r="5185" spans="23:23" ht="18.75" customHeight="1">
      <c r="W5185" s="253"/>
    </row>
    <row r="5186" spans="23:23" ht="18.75" customHeight="1">
      <c r="W5186" s="253"/>
    </row>
    <row r="5187" spans="23:23" ht="18.75" customHeight="1">
      <c r="W5187" s="253"/>
    </row>
    <row r="5188" spans="23:23" ht="18.75" customHeight="1">
      <c r="W5188" s="253"/>
    </row>
    <row r="5189" spans="23:23" ht="18.75" customHeight="1">
      <c r="W5189" s="253"/>
    </row>
    <row r="5190" spans="23:23" ht="18.75" customHeight="1">
      <c r="W5190" s="253"/>
    </row>
    <row r="5191" spans="23:23" ht="18.75" customHeight="1">
      <c r="W5191" s="253"/>
    </row>
    <row r="5192" spans="23:23" ht="18.75" customHeight="1">
      <c r="W5192" s="253"/>
    </row>
    <row r="5193" spans="23:23" ht="18.75" customHeight="1">
      <c r="W5193" s="253"/>
    </row>
    <row r="5194" spans="23:23" ht="18.75" customHeight="1">
      <c r="W5194" s="253"/>
    </row>
    <row r="5195" spans="23:23" ht="18.75" customHeight="1">
      <c r="W5195" s="253"/>
    </row>
    <row r="5196" spans="23:23" ht="18.75" customHeight="1">
      <c r="W5196" s="253"/>
    </row>
    <row r="5197" spans="23:23" ht="18.75" customHeight="1">
      <c r="W5197" s="253"/>
    </row>
    <row r="5198" spans="23:23" ht="18.75" customHeight="1">
      <c r="W5198" s="253"/>
    </row>
    <row r="5199" spans="23:23" ht="18.75" customHeight="1">
      <c r="W5199" s="253"/>
    </row>
    <row r="5200" spans="23:23" ht="18.75" customHeight="1">
      <c r="W5200" s="253"/>
    </row>
    <row r="5201" spans="23:23" ht="18.75" customHeight="1">
      <c r="W5201" s="253"/>
    </row>
    <row r="5202" spans="23:23" ht="18.75" customHeight="1">
      <c r="W5202" s="253"/>
    </row>
    <row r="5203" spans="23:23" ht="18.75" customHeight="1">
      <c r="W5203" s="253"/>
    </row>
    <row r="5204" spans="23:23" ht="18.75" customHeight="1">
      <c r="W5204" s="253"/>
    </row>
    <row r="5205" spans="23:23" ht="18.75" customHeight="1">
      <c r="W5205" s="253"/>
    </row>
    <row r="5206" spans="23:23" ht="18.75" customHeight="1">
      <c r="W5206" s="253"/>
    </row>
    <row r="5207" spans="23:23" ht="18.75" customHeight="1">
      <c r="W5207" s="253"/>
    </row>
    <row r="5208" spans="23:23" ht="18.75" customHeight="1">
      <c r="W5208" s="253"/>
    </row>
    <row r="5209" spans="23:23" ht="18.75" customHeight="1">
      <c r="W5209" s="253"/>
    </row>
    <row r="5210" spans="23:23" ht="18.75" customHeight="1">
      <c r="W5210" s="253"/>
    </row>
    <row r="5211" spans="23:23" ht="18.75" customHeight="1">
      <c r="W5211" s="253"/>
    </row>
    <row r="5212" spans="23:23" ht="18.75" customHeight="1">
      <c r="W5212" s="253"/>
    </row>
    <row r="5213" spans="23:23" ht="18.75" customHeight="1">
      <c r="W5213" s="253"/>
    </row>
    <row r="5214" spans="23:23" ht="18.75" customHeight="1">
      <c r="W5214" s="253"/>
    </row>
    <row r="5215" spans="23:23" ht="18.75" customHeight="1">
      <c r="W5215" s="253"/>
    </row>
    <row r="5216" spans="23:23" ht="18.75" customHeight="1">
      <c r="W5216" s="253"/>
    </row>
    <row r="5217" spans="23:23" ht="18.75" customHeight="1">
      <c r="W5217" s="253"/>
    </row>
    <row r="5218" spans="23:23" ht="18.75" customHeight="1">
      <c r="W5218" s="253"/>
    </row>
    <row r="5219" spans="23:23" ht="18.75" customHeight="1">
      <c r="W5219" s="253"/>
    </row>
    <row r="5220" spans="23:23" ht="18.75" customHeight="1">
      <c r="W5220" s="253"/>
    </row>
    <row r="5221" spans="23:23" ht="18.75" customHeight="1">
      <c r="W5221" s="253"/>
    </row>
    <row r="5222" spans="23:23" ht="18.75" customHeight="1">
      <c r="W5222" s="253"/>
    </row>
    <row r="5223" spans="23:23" ht="18.75" customHeight="1">
      <c r="W5223" s="253"/>
    </row>
    <row r="5224" spans="23:23" ht="18.75" customHeight="1">
      <c r="W5224" s="253"/>
    </row>
    <row r="5225" spans="23:23" ht="18.75" customHeight="1">
      <c r="W5225" s="253"/>
    </row>
    <row r="5226" spans="23:23" ht="18.75" customHeight="1">
      <c r="W5226" s="253"/>
    </row>
    <row r="5227" spans="23:23" ht="18.75" customHeight="1">
      <c r="W5227" s="253"/>
    </row>
    <row r="5228" spans="23:23" ht="18.75" customHeight="1">
      <c r="W5228" s="253"/>
    </row>
    <row r="5229" spans="23:23" ht="18.75" customHeight="1">
      <c r="W5229" s="253"/>
    </row>
    <row r="5230" spans="23:23" ht="18.75" customHeight="1">
      <c r="W5230" s="253"/>
    </row>
    <row r="5231" spans="23:23" ht="18.75" customHeight="1">
      <c r="W5231" s="253"/>
    </row>
    <row r="5232" spans="23:23" ht="18.75" customHeight="1">
      <c r="W5232" s="253"/>
    </row>
    <row r="5233" spans="23:23" ht="18.75" customHeight="1">
      <c r="W5233" s="253"/>
    </row>
    <row r="5234" spans="23:23" ht="18.75" customHeight="1">
      <c r="W5234" s="253"/>
    </row>
    <row r="5235" spans="23:23" ht="18.75" customHeight="1">
      <c r="W5235" s="253"/>
    </row>
    <row r="5236" spans="23:23" ht="18.75" customHeight="1">
      <c r="W5236" s="253"/>
    </row>
    <row r="5237" spans="23:23" ht="18.75" customHeight="1">
      <c r="W5237" s="253"/>
    </row>
    <row r="5238" spans="23:23" ht="18.75" customHeight="1">
      <c r="W5238" s="253"/>
    </row>
    <row r="5239" spans="23:23" ht="18.75" customHeight="1">
      <c r="W5239" s="253"/>
    </row>
    <row r="5240" spans="23:23" ht="18.75" customHeight="1">
      <c r="W5240" s="253"/>
    </row>
    <row r="5241" spans="23:23" ht="18.75" customHeight="1">
      <c r="W5241" s="253"/>
    </row>
    <row r="5242" spans="23:23" ht="18.75" customHeight="1">
      <c r="W5242" s="253"/>
    </row>
    <row r="5243" spans="23:23" ht="18.75" customHeight="1">
      <c r="W5243" s="253"/>
    </row>
    <row r="5244" spans="23:23" ht="18.75" customHeight="1">
      <c r="W5244" s="253"/>
    </row>
    <row r="5245" spans="23:23" ht="18.75" customHeight="1">
      <c r="W5245" s="253"/>
    </row>
    <row r="5246" spans="23:23" ht="18.75" customHeight="1">
      <c r="W5246" s="253"/>
    </row>
    <row r="5247" spans="23:23" ht="18.75" customHeight="1">
      <c r="W5247" s="253"/>
    </row>
    <row r="5248" spans="23:23" ht="18.75" customHeight="1">
      <c r="W5248" s="253"/>
    </row>
    <row r="5249" spans="23:23" ht="18.75" customHeight="1">
      <c r="W5249" s="253"/>
    </row>
    <row r="5250" spans="23:23" ht="18.75" customHeight="1">
      <c r="W5250" s="253"/>
    </row>
    <row r="5251" spans="23:23" ht="18.75" customHeight="1">
      <c r="W5251" s="253"/>
    </row>
    <row r="5252" spans="23:23" ht="18.75" customHeight="1">
      <c r="W5252" s="253"/>
    </row>
    <row r="5253" spans="23:23" ht="18.75" customHeight="1">
      <c r="W5253" s="253"/>
    </row>
    <row r="5254" spans="23:23" ht="18.75" customHeight="1">
      <c r="W5254" s="253"/>
    </row>
    <row r="5255" spans="23:23" ht="18.75" customHeight="1">
      <c r="W5255" s="253"/>
    </row>
    <row r="5256" spans="23:23" ht="18.75" customHeight="1">
      <c r="W5256" s="253"/>
    </row>
    <row r="5257" spans="23:23" ht="18.75" customHeight="1">
      <c r="W5257" s="253"/>
    </row>
    <row r="5258" spans="23:23" ht="18.75" customHeight="1">
      <c r="W5258" s="253"/>
    </row>
    <row r="5259" spans="23:23" ht="18.75" customHeight="1">
      <c r="W5259" s="253"/>
    </row>
    <row r="5260" spans="23:23" ht="18.75" customHeight="1">
      <c r="W5260" s="253"/>
    </row>
    <row r="5261" spans="23:23" ht="18.75" customHeight="1">
      <c r="W5261" s="253"/>
    </row>
    <row r="5262" spans="23:23" ht="18.75" customHeight="1">
      <c r="W5262" s="253"/>
    </row>
    <row r="5263" spans="23:23" ht="18.75" customHeight="1">
      <c r="W5263" s="253"/>
    </row>
    <row r="5264" spans="23:23" ht="18.75" customHeight="1">
      <c r="W5264" s="253"/>
    </row>
    <row r="5265" spans="23:23" ht="18.75" customHeight="1">
      <c r="W5265" s="253"/>
    </row>
    <row r="5266" spans="23:23" ht="18.75" customHeight="1">
      <c r="W5266" s="253"/>
    </row>
    <row r="5267" spans="23:23" ht="18.75" customHeight="1">
      <c r="W5267" s="253"/>
    </row>
    <row r="5268" spans="23:23" ht="18.75" customHeight="1">
      <c r="W5268" s="253"/>
    </row>
    <row r="5269" spans="23:23" ht="18.75" customHeight="1">
      <c r="W5269" s="253"/>
    </row>
    <row r="5270" spans="23:23" ht="18.75" customHeight="1">
      <c r="W5270" s="253"/>
    </row>
    <row r="5271" spans="23:23" ht="18.75" customHeight="1">
      <c r="W5271" s="253"/>
    </row>
    <row r="5272" spans="23:23" ht="18.75" customHeight="1">
      <c r="W5272" s="253"/>
    </row>
    <row r="5273" spans="23:23" ht="18.75" customHeight="1">
      <c r="W5273" s="253"/>
    </row>
    <row r="5274" spans="23:23" ht="18.75" customHeight="1">
      <c r="W5274" s="253"/>
    </row>
    <row r="5275" spans="23:23" ht="18.75" customHeight="1">
      <c r="W5275" s="253"/>
    </row>
    <row r="5276" spans="23:23" ht="18.75" customHeight="1">
      <c r="W5276" s="253"/>
    </row>
    <row r="5277" spans="23:23" ht="18.75" customHeight="1">
      <c r="W5277" s="253"/>
    </row>
    <row r="5278" spans="23:23" ht="18.75" customHeight="1">
      <c r="W5278" s="253"/>
    </row>
    <row r="5279" spans="23:23" ht="18.75" customHeight="1">
      <c r="W5279" s="253"/>
    </row>
    <row r="5280" spans="23:23" ht="18.75" customHeight="1">
      <c r="W5280" s="253"/>
    </row>
    <row r="5281" spans="23:23" ht="18.75" customHeight="1">
      <c r="W5281" s="253"/>
    </row>
    <row r="5282" spans="23:23" ht="18.75" customHeight="1">
      <c r="W5282" s="253"/>
    </row>
    <row r="5283" spans="23:23" ht="18.75" customHeight="1">
      <c r="W5283" s="253"/>
    </row>
    <row r="5284" spans="23:23" ht="18.75" customHeight="1">
      <c r="W5284" s="253"/>
    </row>
    <row r="5285" spans="23:23" ht="18.75" customHeight="1">
      <c r="W5285" s="253"/>
    </row>
    <row r="5286" spans="23:23" ht="18.75" customHeight="1">
      <c r="W5286" s="253"/>
    </row>
    <row r="5287" spans="23:23" ht="18.75" customHeight="1">
      <c r="W5287" s="253"/>
    </row>
    <row r="5288" spans="23:23" ht="18.75" customHeight="1">
      <c r="W5288" s="253"/>
    </row>
    <row r="5289" spans="23:23" ht="18.75" customHeight="1">
      <c r="W5289" s="253"/>
    </row>
    <row r="5290" spans="23:23" ht="18.75" customHeight="1">
      <c r="W5290" s="253"/>
    </row>
    <row r="5291" spans="23:23" ht="18.75" customHeight="1">
      <c r="W5291" s="253"/>
    </row>
    <row r="5292" spans="23:23" ht="18.75" customHeight="1">
      <c r="W5292" s="253"/>
    </row>
    <row r="5293" spans="23:23" ht="18.75" customHeight="1">
      <c r="W5293" s="253"/>
    </row>
    <row r="5294" spans="23:23" ht="18.75" customHeight="1">
      <c r="W5294" s="253"/>
    </row>
    <row r="5295" spans="23:23" ht="18.75" customHeight="1">
      <c r="W5295" s="253"/>
    </row>
    <row r="5296" spans="23:23" ht="18.75" customHeight="1">
      <c r="W5296" s="253"/>
    </row>
    <row r="5297" spans="23:23" ht="18.75" customHeight="1">
      <c r="W5297" s="253"/>
    </row>
    <row r="5298" spans="23:23" ht="18.75" customHeight="1">
      <c r="W5298" s="253"/>
    </row>
    <row r="5299" spans="23:23" ht="18.75" customHeight="1">
      <c r="W5299" s="253"/>
    </row>
    <row r="5300" spans="23:23" ht="18.75" customHeight="1">
      <c r="W5300" s="253"/>
    </row>
    <row r="5301" spans="23:23" ht="18.75" customHeight="1">
      <c r="W5301" s="253"/>
    </row>
    <row r="5302" spans="23:23" ht="18.75" customHeight="1">
      <c r="W5302" s="253"/>
    </row>
    <row r="5303" spans="23:23" ht="18.75" customHeight="1">
      <c r="W5303" s="253"/>
    </row>
    <row r="5304" spans="23:23" ht="18.75" customHeight="1">
      <c r="W5304" s="253"/>
    </row>
    <row r="5305" spans="23:23" ht="18.75" customHeight="1">
      <c r="W5305" s="253"/>
    </row>
    <row r="5306" spans="23:23" ht="18.75" customHeight="1">
      <c r="W5306" s="253"/>
    </row>
    <row r="5307" spans="23:23" ht="18.75" customHeight="1">
      <c r="W5307" s="253"/>
    </row>
    <row r="5308" spans="23:23" ht="18.75" customHeight="1">
      <c r="W5308" s="253"/>
    </row>
    <row r="5309" spans="23:23" ht="18.75" customHeight="1">
      <c r="W5309" s="253"/>
    </row>
    <row r="5310" spans="23:23" ht="18.75" customHeight="1">
      <c r="W5310" s="253"/>
    </row>
    <row r="5311" spans="23:23" ht="18.75" customHeight="1">
      <c r="W5311" s="253"/>
    </row>
    <row r="5312" spans="23:23" ht="18.75" customHeight="1">
      <c r="W5312" s="253"/>
    </row>
    <row r="5313" spans="23:23" ht="18.75" customHeight="1">
      <c r="W5313" s="253"/>
    </row>
    <row r="5314" spans="23:23" ht="18.75" customHeight="1">
      <c r="W5314" s="253"/>
    </row>
    <row r="5315" spans="23:23" ht="18.75" customHeight="1">
      <c r="W5315" s="253"/>
    </row>
    <row r="5316" spans="23:23" ht="18.75" customHeight="1">
      <c r="W5316" s="253"/>
    </row>
    <row r="5317" spans="23:23" ht="18.75" customHeight="1">
      <c r="W5317" s="253"/>
    </row>
    <row r="5318" spans="23:23" ht="18.75" customHeight="1">
      <c r="W5318" s="253"/>
    </row>
    <row r="5319" spans="23:23" ht="18.75" customHeight="1">
      <c r="W5319" s="253"/>
    </row>
    <row r="5320" spans="23:23" ht="18.75" customHeight="1">
      <c r="W5320" s="253"/>
    </row>
    <row r="5321" spans="23:23" ht="18.75" customHeight="1">
      <c r="W5321" s="253"/>
    </row>
    <row r="5322" spans="23:23" ht="18.75" customHeight="1">
      <c r="W5322" s="253"/>
    </row>
    <row r="5323" spans="23:23" ht="18.75" customHeight="1">
      <c r="W5323" s="253"/>
    </row>
    <row r="5324" spans="23:23" ht="18.75" customHeight="1">
      <c r="W5324" s="253"/>
    </row>
    <row r="5325" spans="23:23" ht="18.75" customHeight="1">
      <c r="W5325" s="253"/>
    </row>
    <row r="5326" spans="23:23" ht="18.75" customHeight="1">
      <c r="W5326" s="253"/>
    </row>
    <row r="5327" spans="23:23" ht="18.75" customHeight="1">
      <c r="W5327" s="253"/>
    </row>
    <row r="5328" spans="23:23" ht="18.75" customHeight="1">
      <c r="W5328" s="253"/>
    </row>
    <row r="5329" spans="23:23" ht="18.75" customHeight="1">
      <c r="W5329" s="253"/>
    </row>
    <row r="5330" spans="23:23" ht="18.75" customHeight="1">
      <c r="W5330" s="253"/>
    </row>
    <row r="5331" spans="23:23" ht="18.75" customHeight="1">
      <c r="W5331" s="253"/>
    </row>
    <row r="5332" spans="23:23" ht="18.75" customHeight="1">
      <c r="W5332" s="253"/>
    </row>
    <row r="5333" spans="23:23" ht="18.75" customHeight="1">
      <c r="W5333" s="253"/>
    </row>
    <row r="5334" spans="23:23" ht="18.75" customHeight="1">
      <c r="W5334" s="253"/>
    </row>
    <row r="5335" spans="23:23" ht="18.75" customHeight="1">
      <c r="W5335" s="253"/>
    </row>
    <row r="5336" spans="23:23" ht="18.75" customHeight="1">
      <c r="W5336" s="253"/>
    </row>
    <row r="5337" spans="23:23" ht="18.75" customHeight="1">
      <c r="W5337" s="253"/>
    </row>
    <row r="5338" spans="23:23" ht="18.75" customHeight="1">
      <c r="W5338" s="253"/>
    </row>
    <row r="5339" spans="23:23" ht="18.75" customHeight="1">
      <c r="W5339" s="253"/>
    </row>
    <row r="5340" spans="23:23" ht="18.75" customHeight="1">
      <c r="W5340" s="253"/>
    </row>
    <row r="5341" spans="23:23" ht="18.75" customHeight="1">
      <c r="W5341" s="253"/>
    </row>
    <row r="5342" spans="23:23" ht="18.75" customHeight="1">
      <c r="W5342" s="253"/>
    </row>
    <row r="5343" spans="23:23" ht="18.75" customHeight="1">
      <c r="W5343" s="253"/>
    </row>
    <row r="5344" spans="23:23" ht="18.75" customHeight="1">
      <c r="W5344" s="253"/>
    </row>
    <row r="5345" spans="23:23" ht="18.75" customHeight="1">
      <c r="W5345" s="253"/>
    </row>
    <row r="5346" spans="23:23" ht="18.75" customHeight="1">
      <c r="W5346" s="253"/>
    </row>
    <row r="5347" spans="23:23" ht="18.75" customHeight="1">
      <c r="W5347" s="253"/>
    </row>
    <row r="5348" spans="23:23" ht="18.75" customHeight="1">
      <c r="W5348" s="253"/>
    </row>
    <row r="5349" spans="23:23" ht="18.75" customHeight="1">
      <c r="W5349" s="253"/>
    </row>
    <row r="5350" spans="23:23" ht="18.75" customHeight="1">
      <c r="W5350" s="253"/>
    </row>
    <row r="5351" spans="23:23" ht="18.75" customHeight="1">
      <c r="W5351" s="253"/>
    </row>
    <row r="5352" spans="23:23" ht="18.75" customHeight="1">
      <c r="W5352" s="253"/>
    </row>
    <row r="5353" spans="23:23" ht="18.75" customHeight="1">
      <c r="W5353" s="253"/>
    </row>
    <row r="5354" spans="23:23" ht="18.75" customHeight="1">
      <c r="W5354" s="253"/>
    </row>
    <row r="5355" spans="23:23" ht="18.75" customHeight="1">
      <c r="W5355" s="253"/>
    </row>
    <row r="5356" spans="23:23" ht="18.75" customHeight="1">
      <c r="W5356" s="253"/>
    </row>
    <row r="5357" spans="23:23" ht="18.75" customHeight="1">
      <c r="W5357" s="253"/>
    </row>
    <row r="5358" spans="23:23" ht="18.75" customHeight="1">
      <c r="W5358" s="253"/>
    </row>
    <row r="5359" spans="23:23" ht="18.75" customHeight="1">
      <c r="W5359" s="253"/>
    </row>
    <row r="5360" spans="23:23" ht="18.75" customHeight="1">
      <c r="W5360" s="253"/>
    </row>
    <row r="5361" spans="23:23" ht="18.75" customHeight="1">
      <c r="W5361" s="253"/>
    </row>
    <row r="5362" spans="23:23" ht="18.75" customHeight="1">
      <c r="W5362" s="253"/>
    </row>
    <row r="5363" spans="23:23" ht="18.75" customHeight="1">
      <c r="W5363" s="253"/>
    </row>
    <row r="5364" spans="23:23" ht="18.75" customHeight="1">
      <c r="W5364" s="253"/>
    </row>
    <row r="5365" spans="23:23" ht="18.75" customHeight="1">
      <c r="W5365" s="253"/>
    </row>
    <row r="5366" spans="23:23" ht="18.75" customHeight="1">
      <c r="W5366" s="253"/>
    </row>
    <row r="5367" spans="23:23" ht="18.75" customHeight="1">
      <c r="W5367" s="253"/>
    </row>
    <row r="5368" spans="23:23" ht="18.75" customHeight="1">
      <c r="W5368" s="253"/>
    </row>
    <row r="5369" spans="23:23" ht="18.75" customHeight="1">
      <c r="W5369" s="253"/>
    </row>
    <row r="5370" spans="23:23" ht="18.75" customHeight="1">
      <c r="W5370" s="253"/>
    </row>
    <row r="5371" spans="23:23" ht="18.75" customHeight="1">
      <c r="W5371" s="253"/>
    </row>
    <row r="5372" spans="23:23" ht="18.75" customHeight="1">
      <c r="W5372" s="253"/>
    </row>
    <row r="5373" spans="23:23" ht="18.75" customHeight="1">
      <c r="W5373" s="253"/>
    </row>
    <row r="5374" spans="23:23" ht="18.75" customHeight="1">
      <c r="W5374" s="253"/>
    </row>
    <row r="5375" spans="23:23" ht="18.75" customHeight="1">
      <c r="W5375" s="253"/>
    </row>
    <row r="5376" spans="23:23" ht="18.75" customHeight="1">
      <c r="W5376" s="253"/>
    </row>
    <row r="5377" spans="23:23" ht="18.75" customHeight="1">
      <c r="W5377" s="253"/>
    </row>
    <row r="5378" spans="23:23" ht="18.75" customHeight="1">
      <c r="W5378" s="253"/>
    </row>
    <row r="5379" spans="23:23" ht="18.75" customHeight="1">
      <c r="W5379" s="253"/>
    </row>
    <row r="5380" spans="23:23" ht="18.75" customHeight="1">
      <c r="W5380" s="253"/>
    </row>
    <row r="5381" spans="23:23" ht="18.75" customHeight="1">
      <c r="W5381" s="253"/>
    </row>
    <row r="5382" spans="23:23" ht="18.75" customHeight="1">
      <c r="W5382" s="253"/>
    </row>
    <row r="5383" spans="23:23" ht="18.75" customHeight="1">
      <c r="W5383" s="253"/>
    </row>
    <row r="5384" spans="23:23" ht="18.75" customHeight="1">
      <c r="W5384" s="253"/>
    </row>
    <row r="5385" spans="23:23" ht="18.75" customHeight="1">
      <c r="W5385" s="253"/>
    </row>
    <row r="5386" spans="23:23" ht="18.75" customHeight="1">
      <c r="W5386" s="253"/>
    </row>
    <row r="5387" spans="23:23" ht="18.75" customHeight="1">
      <c r="W5387" s="253"/>
    </row>
    <row r="5388" spans="23:23" ht="18.75" customHeight="1">
      <c r="W5388" s="253"/>
    </row>
    <row r="5389" spans="23:23" ht="18.75" customHeight="1">
      <c r="W5389" s="253"/>
    </row>
    <row r="5390" spans="23:23" ht="18.75" customHeight="1">
      <c r="W5390" s="253"/>
    </row>
    <row r="5391" spans="23:23" ht="18.75" customHeight="1">
      <c r="W5391" s="253"/>
    </row>
    <row r="5392" spans="23:23" ht="18.75" customHeight="1">
      <c r="W5392" s="253"/>
    </row>
    <row r="5393" spans="23:23" ht="18.75" customHeight="1">
      <c r="W5393" s="253"/>
    </row>
    <row r="5394" spans="23:23" ht="18.75" customHeight="1">
      <c r="W5394" s="253"/>
    </row>
    <row r="5395" spans="23:23" ht="18.75" customHeight="1">
      <c r="W5395" s="253"/>
    </row>
    <row r="5396" spans="23:23" ht="18.75" customHeight="1">
      <c r="W5396" s="253"/>
    </row>
    <row r="5397" spans="23:23" ht="18.75" customHeight="1">
      <c r="W5397" s="253"/>
    </row>
    <row r="5398" spans="23:23" ht="18.75" customHeight="1">
      <c r="W5398" s="253"/>
    </row>
    <row r="5399" spans="23:23" ht="18.75" customHeight="1">
      <c r="W5399" s="253"/>
    </row>
    <row r="5400" spans="23:23" ht="18.75" customHeight="1">
      <c r="W5400" s="253"/>
    </row>
    <row r="5401" spans="23:23" ht="18.75" customHeight="1">
      <c r="W5401" s="253"/>
    </row>
    <row r="5402" spans="23:23" ht="18.75" customHeight="1">
      <c r="W5402" s="253"/>
    </row>
    <row r="5403" spans="23:23" ht="18.75" customHeight="1">
      <c r="W5403" s="253"/>
    </row>
    <row r="5404" spans="23:23" ht="18.75" customHeight="1">
      <c r="W5404" s="253"/>
    </row>
    <row r="5405" spans="23:23" ht="18.75" customHeight="1">
      <c r="W5405" s="253"/>
    </row>
    <row r="5406" spans="23:23" ht="18.75" customHeight="1">
      <c r="W5406" s="253"/>
    </row>
    <row r="5407" spans="23:23" ht="18.75" customHeight="1">
      <c r="W5407" s="253"/>
    </row>
    <row r="5408" spans="23:23" ht="18.75" customHeight="1">
      <c r="W5408" s="253"/>
    </row>
    <row r="5409" spans="23:23" ht="18.75" customHeight="1">
      <c r="W5409" s="253"/>
    </row>
    <row r="5410" spans="23:23" ht="18.75" customHeight="1">
      <c r="W5410" s="253"/>
    </row>
    <row r="5411" spans="23:23" ht="18.75" customHeight="1">
      <c r="W5411" s="253"/>
    </row>
    <row r="5412" spans="23:23" ht="18.75" customHeight="1">
      <c r="W5412" s="253"/>
    </row>
    <row r="5413" spans="23:23" ht="18.75" customHeight="1">
      <c r="W5413" s="253"/>
    </row>
    <row r="5414" spans="23:23" ht="18.75" customHeight="1">
      <c r="W5414" s="253"/>
    </row>
    <row r="5415" spans="23:23" ht="18.75" customHeight="1">
      <c r="W5415" s="253"/>
    </row>
    <row r="5416" spans="23:23" ht="18.75" customHeight="1">
      <c r="W5416" s="253"/>
    </row>
    <row r="5417" spans="23:23" ht="18.75" customHeight="1">
      <c r="W5417" s="253"/>
    </row>
    <row r="5418" spans="23:23" ht="18.75" customHeight="1">
      <c r="W5418" s="253"/>
    </row>
    <row r="5419" spans="23:23" ht="18.75" customHeight="1">
      <c r="W5419" s="253"/>
    </row>
    <row r="5420" spans="23:23" ht="18.75" customHeight="1">
      <c r="W5420" s="253"/>
    </row>
    <row r="5421" spans="23:23" ht="18.75" customHeight="1">
      <c r="W5421" s="253"/>
    </row>
    <row r="5422" spans="23:23" ht="18.75" customHeight="1">
      <c r="W5422" s="253"/>
    </row>
    <row r="5423" spans="23:23" ht="18.75" customHeight="1">
      <c r="W5423" s="253"/>
    </row>
    <row r="5424" spans="23:23" ht="18.75" customHeight="1">
      <c r="W5424" s="253"/>
    </row>
    <row r="5425" spans="23:23" ht="18.75" customHeight="1">
      <c r="W5425" s="253"/>
    </row>
    <row r="5426" spans="23:23" ht="18.75" customHeight="1">
      <c r="W5426" s="253"/>
    </row>
    <row r="5427" spans="23:23" ht="18.75" customHeight="1">
      <c r="W5427" s="253"/>
    </row>
    <row r="5428" spans="23:23" ht="18.75" customHeight="1">
      <c r="W5428" s="253"/>
    </row>
    <row r="5429" spans="23:23" ht="18.75" customHeight="1">
      <c r="W5429" s="253"/>
    </row>
    <row r="5430" spans="23:23" ht="18.75" customHeight="1">
      <c r="W5430" s="253"/>
    </row>
    <row r="5431" spans="23:23" ht="18.75" customHeight="1">
      <c r="W5431" s="253"/>
    </row>
    <row r="5432" spans="23:23" ht="18.75" customHeight="1">
      <c r="W5432" s="253"/>
    </row>
    <row r="5433" spans="23:23" ht="18.75" customHeight="1">
      <c r="W5433" s="253"/>
    </row>
    <row r="5434" spans="23:23" ht="18.75" customHeight="1">
      <c r="W5434" s="253"/>
    </row>
    <row r="5435" spans="23:23" ht="18.75" customHeight="1">
      <c r="W5435" s="253"/>
    </row>
    <row r="5436" spans="23:23" ht="18.75" customHeight="1">
      <c r="W5436" s="253"/>
    </row>
    <row r="5437" spans="23:23" ht="18.75" customHeight="1">
      <c r="W5437" s="253"/>
    </row>
    <row r="5438" spans="23:23" ht="18.75" customHeight="1">
      <c r="W5438" s="253"/>
    </row>
    <row r="5439" spans="23:23" ht="18.75" customHeight="1">
      <c r="W5439" s="253"/>
    </row>
    <row r="5440" spans="23:23" ht="18.75" customHeight="1">
      <c r="W5440" s="253"/>
    </row>
    <row r="5441" spans="23:23" ht="18.75" customHeight="1">
      <c r="W5441" s="253"/>
    </row>
    <row r="5442" spans="23:23" ht="18.75" customHeight="1">
      <c r="W5442" s="253"/>
    </row>
    <row r="5443" spans="23:23" ht="18.75" customHeight="1">
      <c r="W5443" s="253"/>
    </row>
    <row r="5444" spans="23:23" ht="18.75" customHeight="1">
      <c r="W5444" s="253"/>
    </row>
    <row r="5445" spans="23:23" ht="18.75" customHeight="1">
      <c r="W5445" s="253"/>
    </row>
    <row r="5446" spans="23:23" ht="18.75" customHeight="1">
      <c r="W5446" s="253"/>
    </row>
    <row r="5447" spans="23:23" ht="18.75" customHeight="1">
      <c r="W5447" s="253"/>
    </row>
    <row r="5448" spans="23:23" ht="18.75" customHeight="1">
      <c r="W5448" s="253"/>
    </row>
    <row r="5449" spans="23:23" ht="18.75" customHeight="1">
      <c r="W5449" s="253"/>
    </row>
    <row r="5450" spans="23:23" ht="18.75" customHeight="1">
      <c r="W5450" s="253"/>
    </row>
    <row r="5451" spans="23:23" ht="18.75" customHeight="1">
      <c r="W5451" s="253"/>
    </row>
    <row r="5452" spans="23:23" ht="18.75" customHeight="1">
      <c r="W5452" s="253"/>
    </row>
    <row r="5453" spans="23:23" ht="18.75" customHeight="1">
      <c r="W5453" s="253"/>
    </row>
    <row r="5454" spans="23:23" ht="18.75" customHeight="1">
      <c r="W5454" s="253"/>
    </row>
    <row r="5455" spans="23:23" ht="18.75" customHeight="1">
      <c r="W5455" s="253"/>
    </row>
    <row r="5456" spans="23:23" ht="18.75" customHeight="1">
      <c r="W5456" s="253"/>
    </row>
    <row r="5457" spans="23:23" ht="18.75" customHeight="1">
      <c r="W5457" s="253"/>
    </row>
    <row r="5458" spans="23:23" ht="18.75" customHeight="1">
      <c r="W5458" s="253"/>
    </row>
    <row r="5459" spans="23:23" ht="18.75" customHeight="1">
      <c r="W5459" s="253"/>
    </row>
    <row r="5460" spans="23:23" ht="18.75" customHeight="1">
      <c r="W5460" s="253"/>
    </row>
    <row r="5461" spans="23:23" ht="18.75" customHeight="1">
      <c r="W5461" s="253"/>
    </row>
    <row r="5462" spans="23:23" ht="18.75" customHeight="1">
      <c r="W5462" s="253"/>
    </row>
    <row r="5463" spans="23:23" ht="18.75" customHeight="1">
      <c r="W5463" s="253"/>
    </row>
    <row r="5464" spans="23:23" ht="18.75" customHeight="1">
      <c r="W5464" s="253"/>
    </row>
    <row r="5465" spans="23:23" ht="18.75" customHeight="1">
      <c r="W5465" s="253"/>
    </row>
    <row r="5466" spans="23:23" ht="18.75" customHeight="1">
      <c r="W5466" s="253"/>
    </row>
    <row r="5467" spans="23:23" ht="18.75" customHeight="1">
      <c r="W5467" s="253"/>
    </row>
    <row r="5468" spans="23:23" ht="18.75" customHeight="1">
      <c r="W5468" s="253"/>
    </row>
    <row r="5469" spans="23:23" ht="18.75" customHeight="1">
      <c r="W5469" s="253"/>
    </row>
    <row r="5470" spans="23:23" ht="18.75" customHeight="1">
      <c r="W5470" s="253"/>
    </row>
    <row r="5471" spans="23:23" ht="18.75" customHeight="1">
      <c r="W5471" s="253"/>
    </row>
    <row r="5472" spans="23:23" ht="18.75" customHeight="1">
      <c r="W5472" s="253"/>
    </row>
    <row r="5473" spans="23:23" ht="18.75" customHeight="1">
      <c r="W5473" s="253"/>
    </row>
    <row r="5474" spans="23:23" ht="18.75" customHeight="1">
      <c r="W5474" s="253"/>
    </row>
    <row r="5475" spans="23:23" ht="18.75" customHeight="1">
      <c r="W5475" s="253"/>
    </row>
    <row r="5476" spans="23:23" ht="18.75" customHeight="1">
      <c r="W5476" s="253"/>
    </row>
    <row r="5477" spans="23:23" ht="18.75" customHeight="1">
      <c r="W5477" s="253"/>
    </row>
    <row r="5478" spans="23:23" ht="18.75" customHeight="1">
      <c r="W5478" s="253"/>
    </row>
    <row r="5479" spans="23:23" ht="18.75" customHeight="1">
      <c r="W5479" s="253"/>
    </row>
    <row r="5480" spans="23:23" ht="18.75" customHeight="1">
      <c r="W5480" s="253"/>
    </row>
    <row r="5481" spans="23:23" ht="18.75" customHeight="1">
      <c r="W5481" s="253"/>
    </row>
    <row r="5482" spans="23:23" ht="18.75" customHeight="1">
      <c r="W5482" s="253"/>
    </row>
    <row r="5483" spans="23:23" ht="18.75" customHeight="1">
      <c r="W5483" s="253"/>
    </row>
    <row r="5484" spans="23:23" ht="18.75" customHeight="1">
      <c r="W5484" s="253"/>
    </row>
    <row r="5485" spans="23:23" ht="18.75" customHeight="1">
      <c r="W5485" s="253"/>
    </row>
    <row r="5486" spans="23:23" ht="18.75" customHeight="1">
      <c r="W5486" s="253"/>
    </row>
    <row r="5487" spans="23:23" ht="18.75" customHeight="1">
      <c r="W5487" s="253"/>
    </row>
    <row r="5488" spans="23:23" ht="18.75" customHeight="1">
      <c r="W5488" s="253"/>
    </row>
    <row r="5489" spans="23:23" ht="18.75" customHeight="1">
      <c r="W5489" s="253"/>
    </row>
    <row r="5490" spans="23:23" ht="18.75" customHeight="1">
      <c r="W5490" s="253"/>
    </row>
    <row r="5491" spans="23:23" ht="18.75" customHeight="1">
      <c r="W5491" s="253"/>
    </row>
    <row r="5492" spans="23:23" ht="18.75" customHeight="1">
      <c r="W5492" s="253"/>
    </row>
    <row r="5493" spans="23:23" ht="18.75" customHeight="1">
      <c r="W5493" s="253"/>
    </row>
    <row r="5494" spans="23:23" ht="18.75" customHeight="1">
      <c r="W5494" s="253"/>
    </row>
    <row r="5495" spans="23:23" ht="18.75" customHeight="1">
      <c r="W5495" s="253"/>
    </row>
    <row r="5496" spans="23:23" ht="18.75" customHeight="1">
      <c r="W5496" s="253"/>
    </row>
    <row r="5497" spans="23:23" ht="18.75" customHeight="1">
      <c r="W5497" s="253"/>
    </row>
    <row r="5498" spans="23:23" ht="18.75" customHeight="1">
      <c r="W5498" s="253"/>
    </row>
    <row r="5499" spans="23:23" ht="18.75" customHeight="1">
      <c r="W5499" s="253"/>
    </row>
    <row r="5500" spans="23:23" ht="18.75" customHeight="1">
      <c r="W5500" s="253"/>
    </row>
    <row r="5501" spans="23:23" ht="18.75" customHeight="1">
      <c r="W5501" s="253"/>
    </row>
    <row r="5502" spans="23:23" ht="18.75" customHeight="1">
      <c r="W5502" s="253"/>
    </row>
    <row r="5503" spans="23:23" ht="18.75" customHeight="1">
      <c r="W5503" s="253"/>
    </row>
    <row r="5504" spans="23:23" ht="18.75" customHeight="1">
      <c r="W5504" s="253"/>
    </row>
    <row r="5505" spans="23:23" ht="18.75" customHeight="1">
      <c r="W5505" s="253"/>
    </row>
    <row r="5506" spans="23:23" ht="18.75" customHeight="1">
      <c r="W5506" s="253"/>
    </row>
    <row r="5507" spans="23:23" ht="18.75" customHeight="1">
      <c r="W5507" s="253"/>
    </row>
    <row r="5508" spans="23:23" ht="18.75" customHeight="1">
      <c r="W5508" s="253"/>
    </row>
    <row r="5509" spans="23:23" ht="18.75" customHeight="1">
      <c r="W5509" s="253"/>
    </row>
    <row r="5510" spans="23:23" ht="18.75" customHeight="1">
      <c r="W5510" s="253"/>
    </row>
    <row r="5511" spans="23:23" ht="18.75" customHeight="1">
      <c r="W5511" s="253"/>
    </row>
    <row r="5512" spans="23:23" ht="18.75" customHeight="1">
      <c r="W5512" s="253"/>
    </row>
    <row r="5513" spans="23:23" ht="18.75" customHeight="1">
      <c r="W5513" s="253"/>
    </row>
    <row r="5514" spans="23:23" ht="18.75" customHeight="1">
      <c r="W5514" s="253"/>
    </row>
    <row r="5515" spans="23:23" ht="18.75" customHeight="1">
      <c r="W5515" s="253"/>
    </row>
    <row r="5516" spans="23:23" ht="18.75" customHeight="1">
      <c r="W5516" s="253"/>
    </row>
    <row r="5517" spans="23:23" ht="18.75" customHeight="1">
      <c r="W5517" s="253"/>
    </row>
    <row r="5518" spans="23:23" ht="18.75" customHeight="1">
      <c r="W5518" s="253"/>
    </row>
    <row r="5519" spans="23:23" ht="18.75" customHeight="1">
      <c r="W5519" s="253"/>
    </row>
    <row r="5520" spans="23:23" ht="18.75" customHeight="1">
      <c r="W5520" s="253"/>
    </row>
    <row r="5521" spans="23:23" ht="18.75" customHeight="1">
      <c r="W5521" s="253"/>
    </row>
    <row r="5522" spans="23:23" ht="18.75" customHeight="1">
      <c r="W5522" s="253"/>
    </row>
    <row r="5523" spans="23:23" ht="18.75" customHeight="1">
      <c r="W5523" s="253"/>
    </row>
    <row r="5524" spans="23:23" ht="18.75" customHeight="1">
      <c r="W5524" s="253"/>
    </row>
    <row r="5525" spans="23:23" ht="18.75" customHeight="1">
      <c r="W5525" s="253"/>
    </row>
    <row r="5526" spans="23:23" ht="18.75" customHeight="1">
      <c r="W5526" s="253"/>
    </row>
    <row r="5527" spans="23:23" ht="18.75" customHeight="1">
      <c r="W5527" s="253"/>
    </row>
    <row r="5528" spans="23:23" ht="18.75" customHeight="1">
      <c r="W5528" s="253"/>
    </row>
    <row r="5529" spans="23:23" ht="18.75" customHeight="1">
      <c r="W5529" s="253"/>
    </row>
    <row r="5530" spans="23:23" ht="18.75" customHeight="1">
      <c r="W5530" s="253"/>
    </row>
    <row r="5531" spans="23:23" ht="18.75" customHeight="1">
      <c r="W5531" s="253"/>
    </row>
    <row r="5532" spans="23:23" ht="18.75" customHeight="1">
      <c r="W5532" s="253"/>
    </row>
    <row r="5533" spans="23:23" ht="18.75" customHeight="1">
      <c r="W5533" s="253"/>
    </row>
    <row r="5534" spans="23:23" ht="18.75" customHeight="1">
      <c r="W5534" s="253"/>
    </row>
    <row r="5535" spans="23:23" ht="18.75" customHeight="1">
      <c r="W5535" s="253"/>
    </row>
    <row r="5536" spans="23:23" ht="18.75" customHeight="1">
      <c r="W5536" s="253"/>
    </row>
    <row r="5537" spans="23:23" ht="18.75" customHeight="1">
      <c r="W5537" s="253"/>
    </row>
    <row r="5538" spans="23:23" ht="18.75" customHeight="1">
      <c r="W5538" s="253"/>
    </row>
    <row r="5539" spans="23:23" ht="18.75" customHeight="1">
      <c r="W5539" s="253"/>
    </row>
    <row r="5540" spans="23:23" ht="18.75" customHeight="1">
      <c r="W5540" s="253"/>
    </row>
    <row r="5541" spans="23:23" ht="18.75" customHeight="1">
      <c r="W5541" s="253"/>
    </row>
    <row r="5542" spans="23:23" ht="18.75" customHeight="1">
      <c r="W5542" s="253"/>
    </row>
    <row r="5543" spans="23:23" ht="18.75" customHeight="1">
      <c r="W5543" s="253"/>
    </row>
    <row r="5544" spans="23:23" ht="18.75" customHeight="1">
      <c r="W5544" s="253"/>
    </row>
    <row r="5545" spans="23:23" ht="18.75" customHeight="1">
      <c r="W5545" s="253"/>
    </row>
    <row r="5546" spans="23:23" ht="18.75" customHeight="1">
      <c r="W5546" s="253"/>
    </row>
    <row r="5547" spans="23:23" ht="18.75" customHeight="1">
      <c r="W5547" s="253"/>
    </row>
    <row r="5548" spans="23:23" ht="18.75" customHeight="1">
      <c r="W5548" s="253"/>
    </row>
    <row r="5549" spans="23:23" ht="18.75" customHeight="1">
      <c r="W5549" s="253"/>
    </row>
    <row r="5550" spans="23:23" ht="18.75" customHeight="1">
      <c r="W5550" s="253"/>
    </row>
    <row r="5551" spans="23:23" ht="18.75" customHeight="1">
      <c r="W5551" s="253"/>
    </row>
    <row r="5552" spans="23:23" ht="18.75" customHeight="1">
      <c r="W5552" s="253"/>
    </row>
    <row r="5553" spans="23:23" ht="18.75" customHeight="1">
      <c r="W5553" s="253"/>
    </row>
    <row r="5554" spans="23:23" ht="18.75" customHeight="1">
      <c r="W5554" s="253"/>
    </row>
    <row r="5555" spans="23:23" ht="18.75" customHeight="1">
      <c r="W5555" s="253"/>
    </row>
    <row r="5556" spans="23:23" ht="18.75" customHeight="1">
      <c r="W5556" s="253"/>
    </row>
    <row r="5557" spans="23:23" ht="18.75" customHeight="1">
      <c r="W5557" s="253"/>
    </row>
    <row r="5558" spans="23:23" ht="18.75" customHeight="1">
      <c r="W5558" s="253"/>
    </row>
    <row r="5559" spans="23:23" ht="18.75" customHeight="1">
      <c r="W5559" s="253"/>
    </row>
    <row r="5560" spans="23:23" ht="18.75" customHeight="1">
      <c r="W5560" s="253"/>
    </row>
    <row r="5561" spans="23:23" ht="18.75" customHeight="1">
      <c r="W5561" s="253"/>
    </row>
    <row r="5562" spans="23:23" ht="18.75" customHeight="1">
      <c r="W5562" s="253"/>
    </row>
    <row r="5563" spans="23:23" ht="18.75" customHeight="1">
      <c r="W5563" s="253"/>
    </row>
    <row r="5564" spans="23:23" ht="18.75" customHeight="1">
      <c r="W5564" s="253"/>
    </row>
    <row r="5565" spans="23:23" ht="18.75" customHeight="1">
      <c r="W5565" s="253"/>
    </row>
    <row r="5566" spans="23:23" ht="18.75" customHeight="1">
      <c r="W5566" s="253"/>
    </row>
    <row r="5567" spans="23:23" ht="18.75" customHeight="1">
      <c r="W5567" s="253"/>
    </row>
    <row r="5568" spans="23:23" ht="18.75" customHeight="1">
      <c r="W5568" s="253"/>
    </row>
    <row r="5569" spans="23:23" ht="18.75" customHeight="1">
      <c r="W5569" s="253"/>
    </row>
    <row r="5570" spans="23:23" ht="18.75" customHeight="1">
      <c r="W5570" s="253"/>
    </row>
    <row r="5571" spans="23:23" ht="18.75" customHeight="1">
      <c r="W5571" s="253"/>
    </row>
    <row r="5572" spans="23:23" ht="18.75" customHeight="1">
      <c r="W5572" s="253"/>
    </row>
    <row r="5573" spans="23:23" ht="18.75" customHeight="1">
      <c r="W5573" s="253"/>
    </row>
    <row r="5574" spans="23:23" ht="18.75" customHeight="1">
      <c r="W5574" s="253"/>
    </row>
    <row r="5575" spans="23:23" ht="18.75" customHeight="1">
      <c r="W5575" s="253"/>
    </row>
    <row r="5576" spans="23:23" ht="18.75" customHeight="1">
      <c r="W5576" s="253"/>
    </row>
    <row r="5577" spans="23:23" ht="18.75" customHeight="1">
      <c r="W5577" s="253"/>
    </row>
    <row r="5578" spans="23:23" ht="18.75" customHeight="1">
      <c r="W5578" s="253"/>
    </row>
    <row r="5579" spans="23:23" ht="18.75" customHeight="1">
      <c r="W5579" s="253"/>
    </row>
    <row r="5580" spans="23:23" ht="18.75" customHeight="1">
      <c r="W5580" s="253"/>
    </row>
    <row r="5581" spans="23:23" ht="18.75" customHeight="1">
      <c r="W5581" s="253"/>
    </row>
    <row r="5582" spans="23:23" ht="18.75" customHeight="1">
      <c r="W5582" s="253"/>
    </row>
    <row r="5583" spans="23:23" ht="18.75" customHeight="1">
      <c r="W5583" s="253"/>
    </row>
    <row r="5584" spans="23:23" ht="18.75" customHeight="1">
      <c r="W5584" s="253"/>
    </row>
    <row r="5585" spans="23:23" ht="18.75" customHeight="1">
      <c r="W5585" s="253"/>
    </row>
    <row r="5586" spans="23:23" ht="18.75" customHeight="1">
      <c r="W5586" s="253"/>
    </row>
    <row r="5587" spans="23:23" ht="18.75" customHeight="1">
      <c r="W5587" s="253"/>
    </row>
    <row r="5588" spans="23:23" ht="18.75" customHeight="1">
      <c r="W5588" s="253"/>
    </row>
    <row r="5589" spans="23:23" ht="18.75" customHeight="1">
      <c r="W5589" s="253"/>
    </row>
    <row r="5590" spans="23:23" ht="18.75" customHeight="1">
      <c r="W5590" s="253"/>
    </row>
    <row r="5591" spans="23:23" ht="18.75" customHeight="1">
      <c r="W5591" s="253"/>
    </row>
    <row r="5592" spans="23:23" ht="18.75" customHeight="1">
      <c r="W5592" s="253"/>
    </row>
    <row r="5593" spans="23:23" ht="18.75" customHeight="1">
      <c r="W5593" s="253"/>
    </row>
    <row r="5594" spans="23:23" ht="18.75" customHeight="1">
      <c r="W5594" s="253"/>
    </row>
    <row r="5595" spans="23:23" ht="18.75" customHeight="1">
      <c r="W5595" s="253"/>
    </row>
    <row r="5596" spans="23:23" ht="18.75" customHeight="1">
      <c r="W5596" s="253"/>
    </row>
    <row r="5597" spans="23:23" ht="18.75" customHeight="1">
      <c r="W5597" s="253"/>
    </row>
    <row r="5598" spans="23:23" ht="18.75" customHeight="1">
      <c r="W5598" s="253"/>
    </row>
    <row r="5599" spans="23:23" ht="18.75" customHeight="1">
      <c r="W5599" s="253"/>
    </row>
    <row r="5600" spans="23:23" ht="18.75" customHeight="1">
      <c r="W5600" s="253"/>
    </row>
    <row r="5601" spans="23:23" ht="18.75" customHeight="1">
      <c r="W5601" s="253"/>
    </row>
    <row r="5602" spans="23:23" ht="18.75" customHeight="1">
      <c r="W5602" s="253"/>
    </row>
    <row r="5603" spans="23:23" ht="18.75" customHeight="1">
      <c r="W5603" s="253"/>
    </row>
    <row r="5604" spans="23:23" ht="18.75" customHeight="1">
      <c r="W5604" s="253"/>
    </row>
    <row r="5605" spans="23:23" ht="18.75" customHeight="1">
      <c r="W5605" s="253"/>
    </row>
    <row r="5606" spans="23:23" ht="18.75" customHeight="1">
      <c r="W5606" s="253"/>
    </row>
    <row r="5607" spans="23:23" ht="18.75" customHeight="1">
      <c r="W5607" s="253"/>
    </row>
    <row r="5608" spans="23:23" ht="18.75" customHeight="1">
      <c r="W5608" s="253"/>
    </row>
    <row r="5609" spans="23:23" ht="18.75" customHeight="1">
      <c r="W5609" s="253"/>
    </row>
    <row r="5610" spans="23:23" ht="18.75" customHeight="1">
      <c r="W5610" s="253"/>
    </row>
    <row r="5611" spans="23:23" ht="18.75" customHeight="1">
      <c r="W5611" s="253"/>
    </row>
    <row r="5612" spans="23:23" ht="18.75" customHeight="1">
      <c r="W5612" s="253"/>
    </row>
    <row r="5613" spans="23:23" ht="18.75" customHeight="1">
      <c r="W5613" s="253"/>
    </row>
    <row r="5614" spans="23:23" ht="18.75" customHeight="1">
      <c r="W5614" s="253"/>
    </row>
    <row r="5615" spans="23:23" ht="18.75" customHeight="1">
      <c r="W5615" s="253"/>
    </row>
    <row r="5616" spans="23:23" ht="18.75" customHeight="1">
      <c r="W5616" s="253"/>
    </row>
    <row r="5617" spans="23:23" ht="18.75" customHeight="1">
      <c r="W5617" s="253"/>
    </row>
    <row r="5618" spans="23:23" ht="18.75" customHeight="1">
      <c r="W5618" s="253"/>
    </row>
    <row r="5619" spans="23:23" ht="18.75" customHeight="1">
      <c r="W5619" s="253"/>
    </row>
    <row r="5620" spans="23:23" ht="18.75" customHeight="1">
      <c r="W5620" s="253"/>
    </row>
    <row r="5621" spans="23:23" ht="18.75" customHeight="1">
      <c r="W5621" s="253"/>
    </row>
    <row r="5622" spans="23:23" ht="18.75" customHeight="1">
      <c r="W5622" s="253"/>
    </row>
    <row r="5623" spans="23:23" ht="18.75" customHeight="1">
      <c r="W5623" s="253"/>
    </row>
    <row r="5624" spans="23:23" ht="18.75" customHeight="1">
      <c r="W5624" s="253"/>
    </row>
    <row r="5625" spans="23:23" ht="18.75" customHeight="1">
      <c r="W5625" s="253"/>
    </row>
    <row r="5626" spans="23:23" ht="18.75" customHeight="1">
      <c r="W5626" s="253"/>
    </row>
    <row r="5627" spans="23:23" ht="18.75" customHeight="1">
      <c r="W5627" s="253"/>
    </row>
    <row r="5628" spans="23:23" ht="18.75" customHeight="1">
      <c r="W5628" s="253"/>
    </row>
    <row r="5629" spans="23:23" ht="18.75" customHeight="1">
      <c r="W5629" s="253"/>
    </row>
    <row r="5630" spans="23:23" ht="18.75" customHeight="1">
      <c r="W5630" s="253"/>
    </row>
    <row r="5631" spans="23:23" ht="18.75" customHeight="1">
      <c r="W5631" s="253"/>
    </row>
    <row r="5632" spans="23:23" ht="18.75" customHeight="1">
      <c r="W5632" s="253"/>
    </row>
    <row r="5633" spans="23:23" ht="18.75" customHeight="1">
      <c r="W5633" s="253"/>
    </row>
    <row r="5634" spans="23:23" ht="18.75" customHeight="1">
      <c r="W5634" s="253"/>
    </row>
    <row r="5635" spans="23:23" ht="18.75" customHeight="1">
      <c r="W5635" s="253"/>
    </row>
    <row r="5636" spans="23:23" ht="18.75" customHeight="1">
      <c r="W5636" s="253"/>
    </row>
    <row r="5637" spans="23:23" ht="18.75" customHeight="1">
      <c r="W5637" s="253"/>
    </row>
    <row r="5638" spans="23:23" ht="18.75" customHeight="1">
      <c r="W5638" s="253"/>
    </row>
    <row r="5639" spans="23:23" ht="18.75" customHeight="1">
      <c r="W5639" s="253"/>
    </row>
    <row r="5640" spans="23:23" ht="18.75" customHeight="1">
      <c r="W5640" s="253"/>
    </row>
    <row r="5641" spans="23:23" ht="18.75" customHeight="1">
      <c r="W5641" s="253"/>
    </row>
    <row r="5642" spans="23:23" ht="18.75" customHeight="1">
      <c r="W5642" s="253"/>
    </row>
    <row r="5643" spans="23:23" ht="18.75" customHeight="1">
      <c r="W5643" s="253"/>
    </row>
    <row r="5644" spans="23:23" ht="18.75" customHeight="1">
      <c r="W5644" s="253"/>
    </row>
    <row r="5645" spans="23:23" ht="18.75" customHeight="1">
      <c r="W5645" s="253"/>
    </row>
    <row r="5646" spans="23:23" ht="18.75" customHeight="1">
      <c r="W5646" s="253"/>
    </row>
    <row r="5647" spans="23:23" ht="18.75" customHeight="1">
      <c r="W5647" s="253"/>
    </row>
    <row r="5648" spans="23:23" ht="18.75" customHeight="1">
      <c r="W5648" s="253"/>
    </row>
    <row r="5649" spans="23:23" ht="18.75" customHeight="1">
      <c r="W5649" s="253"/>
    </row>
    <row r="5650" spans="23:23" ht="18.75" customHeight="1">
      <c r="W5650" s="253"/>
    </row>
    <row r="5651" spans="23:23" ht="18.75" customHeight="1">
      <c r="W5651" s="253"/>
    </row>
    <row r="5652" spans="23:23" ht="18.75" customHeight="1">
      <c r="W5652" s="253"/>
    </row>
    <row r="5653" spans="23:23" ht="18.75" customHeight="1">
      <c r="W5653" s="253"/>
    </row>
    <row r="5654" spans="23:23" ht="18.75" customHeight="1">
      <c r="W5654" s="253"/>
    </row>
    <row r="5655" spans="23:23" ht="18.75" customHeight="1">
      <c r="W5655" s="253"/>
    </row>
    <row r="5656" spans="23:23" ht="18.75" customHeight="1">
      <c r="W5656" s="253"/>
    </row>
    <row r="5657" spans="23:23" ht="18.75" customHeight="1">
      <c r="W5657" s="253"/>
    </row>
    <row r="5658" spans="23:23" ht="18.75" customHeight="1">
      <c r="W5658" s="253"/>
    </row>
    <row r="5659" spans="23:23" ht="18.75" customHeight="1">
      <c r="W5659" s="253"/>
    </row>
    <row r="5660" spans="23:23" ht="18.75" customHeight="1">
      <c r="W5660" s="253"/>
    </row>
    <row r="5661" spans="23:23" ht="18.75" customHeight="1">
      <c r="W5661" s="253"/>
    </row>
    <row r="5662" spans="23:23" ht="18.75" customHeight="1">
      <c r="W5662" s="253"/>
    </row>
    <row r="5663" spans="23:23" ht="18.75" customHeight="1">
      <c r="W5663" s="253"/>
    </row>
    <row r="5664" spans="23:23" ht="18.75" customHeight="1">
      <c r="W5664" s="253"/>
    </row>
    <row r="5665" spans="23:23" ht="18.75" customHeight="1">
      <c r="W5665" s="253"/>
    </row>
    <row r="5666" spans="23:23" ht="18.75" customHeight="1">
      <c r="W5666" s="253"/>
    </row>
    <row r="5667" spans="23:23" ht="18.75" customHeight="1">
      <c r="W5667" s="253"/>
    </row>
    <row r="5668" spans="23:23" ht="18.75" customHeight="1">
      <c r="W5668" s="253"/>
    </row>
    <row r="5669" spans="23:23" ht="18.75" customHeight="1">
      <c r="W5669" s="253"/>
    </row>
    <row r="5670" spans="23:23" ht="18.75" customHeight="1">
      <c r="W5670" s="253"/>
    </row>
    <row r="5671" spans="23:23" ht="18.75" customHeight="1">
      <c r="W5671" s="253"/>
    </row>
    <row r="5672" spans="23:23" ht="18.75" customHeight="1">
      <c r="W5672" s="253"/>
    </row>
    <row r="5673" spans="23:23" ht="18.75" customHeight="1">
      <c r="W5673" s="253"/>
    </row>
    <row r="5674" spans="23:23" ht="18.75" customHeight="1">
      <c r="W5674" s="253"/>
    </row>
    <row r="5675" spans="23:23" ht="18.75" customHeight="1">
      <c r="W5675" s="253"/>
    </row>
    <row r="5676" spans="23:23" ht="18.75" customHeight="1">
      <c r="W5676" s="253"/>
    </row>
    <row r="5677" spans="23:23" ht="18.75" customHeight="1">
      <c r="W5677" s="253"/>
    </row>
    <row r="5678" spans="23:23" ht="18.75" customHeight="1">
      <c r="W5678" s="253"/>
    </row>
    <row r="5679" spans="23:23" ht="18.75" customHeight="1">
      <c r="W5679" s="253"/>
    </row>
    <row r="5680" spans="23:23" ht="18.75" customHeight="1">
      <c r="W5680" s="253"/>
    </row>
    <row r="5681" spans="23:23" ht="18.75" customHeight="1">
      <c r="W5681" s="253"/>
    </row>
    <row r="5682" spans="23:23" ht="18.75" customHeight="1">
      <c r="W5682" s="253"/>
    </row>
    <row r="5683" spans="23:23" ht="18.75" customHeight="1">
      <c r="W5683" s="253"/>
    </row>
    <row r="5684" spans="23:23" ht="18.75" customHeight="1">
      <c r="W5684" s="253"/>
    </row>
    <row r="5685" spans="23:23" ht="18.75" customHeight="1">
      <c r="W5685" s="253"/>
    </row>
    <row r="5686" spans="23:23" ht="18.75" customHeight="1">
      <c r="W5686" s="253"/>
    </row>
    <row r="5687" spans="23:23" ht="18.75" customHeight="1">
      <c r="W5687" s="253"/>
    </row>
    <row r="5688" spans="23:23" ht="18.75" customHeight="1">
      <c r="W5688" s="253"/>
    </row>
    <row r="5689" spans="23:23" ht="18.75" customHeight="1">
      <c r="W5689" s="253"/>
    </row>
    <row r="5690" spans="23:23" ht="18.75" customHeight="1">
      <c r="W5690" s="253"/>
    </row>
    <row r="5691" spans="23:23" ht="18.75" customHeight="1">
      <c r="W5691" s="253"/>
    </row>
    <row r="5692" spans="23:23" ht="18.75" customHeight="1">
      <c r="W5692" s="253"/>
    </row>
    <row r="5693" spans="23:23" ht="18.75" customHeight="1">
      <c r="W5693" s="253"/>
    </row>
    <row r="5694" spans="23:23" ht="18.75" customHeight="1">
      <c r="W5694" s="253"/>
    </row>
    <row r="5695" spans="23:23" ht="18.75" customHeight="1">
      <c r="W5695" s="253"/>
    </row>
    <row r="5696" spans="23:23" ht="18.75" customHeight="1">
      <c r="W5696" s="253"/>
    </row>
    <row r="5697" spans="23:23" ht="18.75" customHeight="1">
      <c r="W5697" s="253"/>
    </row>
    <row r="5698" spans="23:23" ht="18.75" customHeight="1">
      <c r="W5698" s="253"/>
    </row>
    <row r="5699" spans="23:23" ht="18.75" customHeight="1">
      <c r="W5699" s="253"/>
    </row>
    <row r="5700" spans="23:23" ht="18.75" customHeight="1">
      <c r="W5700" s="253"/>
    </row>
    <row r="5701" spans="23:23" ht="18.75" customHeight="1">
      <c r="W5701" s="253"/>
    </row>
    <row r="5702" spans="23:23" ht="18.75" customHeight="1">
      <c r="W5702" s="253"/>
    </row>
    <row r="5703" spans="23:23" ht="18.75" customHeight="1">
      <c r="W5703" s="253"/>
    </row>
    <row r="5704" spans="23:23" ht="18.75" customHeight="1">
      <c r="W5704" s="253"/>
    </row>
    <row r="5705" spans="23:23" ht="18.75" customHeight="1">
      <c r="W5705" s="253"/>
    </row>
    <row r="5706" spans="23:23" ht="18.75" customHeight="1">
      <c r="W5706" s="253"/>
    </row>
    <row r="5707" spans="23:23" ht="18.75" customHeight="1">
      <c r="W5707" s="253"/>
    </row>
    <row r="5708" spans="23:23" ht="18.75" customHeight="1">
      <c r="W5708" s="253"/>
    </row>
    <row r="5709" spans="23:23" ht="18.75" customHeight="1">
      <c r="W5709" s="253"/>
    </row>
    <row r="5710" spans="23:23" ht="18.75" customHeight="1">
      <c r="W5710" s="253"/>
    </row>
    <row r="5711" spans="23:23" ht="18.75" customHeight="1">
      <c r="W5711" s="253"/>
    </row>
    <row r="5712" spans="23:23" ht="18.75" customHeight="1">
      <c r="W5712" s="253"/>
    </row>
    <row r="5713" spans="23:23" ht="18.75" customHeight="1">
      <c r="W5713" s="253"/>
    </row>
    <row r="5714" spans="23:23" ht="18.75" customHeight="1">
      <c r="W5714" s="253"/>
    </row>
    <row r="5715" spans="23:23" ht="18.75" customHeight="1">
      <c r="W5715" s="253"/>
    </row>
    <row r="5716" spans="23:23" ht="18.75" customHeight="1">
      <c r="W5716" s="253"/>
    </row>
    <row r="5717" spans="23:23" ht="18.75" customHeight="1">
      <c r="W5717" s="253"/>
    </row>
    <row r="5718" spans="23:23" ht="18.75" customHeight="1">
      <c r="W5718" s="253"/>
    </row>
    <row r="5719" spans="23:23" ht="18.75" customHeight="1">
      <c r="W5719" s="253"/>
    </row>
    <row r="5720" spans="23:23" ht="18.75" customHeight="1">
      <c r="W5720" s="253"/>
    </row>
    <row r="5721" spans="23:23" ht="18.75" customHeight="1">
      <c r="W5721" s="253"/>
    </row>
    <row r="5722" spans="23:23" ht="18.75" customHeight="1">
      <c r="W5722" s="253"/>
    </row>
    <row r="5723" spans="23:23" ht="18.75" customHeight="1">
      <c r="W5723" s="253"/>
    </row>
    <row r="5724" spans="23:23" ht="18.75" customHeight="1">
      <c r="W5724" s="253"/>
    </row>
    <row r="5725" spans="23:23" ht="18.75" customHeight="1">
      <c r="W5725" s="253"/>
    </row>
    <row r="5726" spans="23:23" ht="18.75" customHeight="1">
      <c r="W5726" s="253"/>
    </row>
    <row r="5727" spans="23:23" ht="18.75" customHeight="1">
      <c r="W5727" s="253"/>
    </row>
    <row r="5728" spans="23:23" ht="18.75" customHeight="1">
      <c r="W5728" s="253"/>
    </row>
    <row r="5729" spans="23:23" ht="18.75" customHeight="1">
      <c r="W5729" s="253"/>
    </row>
    <row r="5730" spans="23:23" ht="18.75" customHeight="1">
      <c r="W5730" s="253"/>
    </row>
    <row r="5731" spans="23:23" ht="18.75" customHeight="1">
      <c r="W5731" s="253"/>
    </row>
    <row r="5732" spans="23:23" ht="18.75" customHeight="1">
      <c r="W5732" s="253"/>
    </row>
    <row r="5733" spans="23:23" ht="18.75" customHeight="1">
      <c r="W5733" s="253"/>
    </row>
    <row r="5734" spans="23:23" ht="18.75" customHeight="1">
      <c r="W5734" s="253"/>
    </row>
    <row r="5735" spans="23:23" ht="18.75" customHeight="1">
      <c r="W5735" s="253"/>
    </row>
    <row r="5736" spans="23:23" ht="18.75" customHeight="1">
      <c r="W5736" s="253"/>
    </row>
    <row r="5737" spans="23:23" ht="18.75" customHeight="1">
      <c r="W5737" s="253"/>
    </row>
    <row r="5738" spans="23:23" ht="18.75" customHeight="1">
      <c r="W5738" s="253"/>
    </row>
    <row r="5739" spans="23:23" ht="18.75" customHeight="1">
      <c r="W5739" s="253"/>
    </row>
    <row r="5740" spans="23:23" ht="18.75" customHeight="1">
      <c r="W5740" s="253"/>
    </row>
    <row r="5741" spans="23:23" ht="18.75" customHeight="1">
      <c r="W5741" s="253"/>
    </row>
    <row r="5742" spans="23:23" ht="18.75" customHeight="1">
      <c r="W5742" s="253"/>
    </row>
    <row r="5743" spans="23:23" ht="18.75" customHeight="1">
      <c r="W5743" s="253"/>
    </row>
    <row r="5744" spans="23:23" ht="18.75" customHeight="1">
      <c r="W5744" s="253"/>
    </row>
    <row r="5745" spans="23:23" ht="18.75" customHeight="1">
      <c r="W5745" s="253"/>
    </row>
    <row r="5746" spans="23:23" ht="18.75" customHeight="1">
      <c r="W5746" s="253"/>
    </row>
    <row r="5747" spans="23:23" ht="18.75" customHeight="1">
      <c r="W5747" s="253"/>
    </row>
    <row r="5748" spans="23:23" ht="18.75" customHeight="1">
      <c r="W5748" s="253"/>
    </row>
    <row r="5749" spans="23:23" ht="18.75" customHeight="1">
      <c r="W5749" s="253"/>
    </row>
    <row r="5750" spans="23:23" ht="18.75" customHeight="1">
      <c r="W5750" s="253"/>
    </row>
    <row r="5751" spans="23:23" ht="18.75" customHeight="1">
      <c r="W5751" s="253"/>
    </row>
    <row r="5752" spans="23:23" ht="18.75" customHeight="1">
      <c r="W5752" s="253"/>
    </row>
    <row r="5753" spans="23:23" ht="18.75" customHeight="1">
      <c r="W5753" s="253"/>
    </row>
    <row r="5754" spans="23:23" ht="18.75" customHeight="1">
      <c r="W5754" s="253"/>
    </row>
    <row r="5755" spans="23:23" ht="18.75" customHeight="1">
      <c r="W5755" s="253"/>
    </row>
    <row r="5756" spans="23:23" ht="18.75" customHeight="1">
      <c r="W5756" s="253"/>
    </row>
    <row r="5757" spans="23:23" ht="18.75" customHeight="1">
      <c r="W5757" s="253"/>
    </row>
    <row r="5758" spans="23:23" ht="18.75" customHeight="1">
      <c r="W5758" s="253"/>
    </row>
    <row r="5759" spans="23:23" ht="18.75" customHeight="1">
      <c r="W5759" s="253"/>
    </row>
    <row r="5760" spans="23:23" ht="18.75" customHeight="1">
      <c r="W5760" s="253"/>
    </row>
    <row r="5761" spans="23:23" ht="18.75" customHeight="1">
      <c r="W5761" s="253"/>
    </row>
    <row r="5762" spans="23:23" ht="18.75" customHeight="1">
      <c r="W5762" s="253"/>
    </row>
    <row r="5763" spans="23:23" ht="18.75" customHeight="1">
      <c r="W5763" s="253"/>
    </row>
    <row r="5764" spans="23:23" ht="18.75" customHeight="1">
      <c r="W5764" s="253"/>
    </row>
    <row r="5765" spans="23:23" ht="18.75" customHeight="1">
      <c r="W5765" s="253"/>
    </row>
    <row r="5766" spans="23:23" ht="18.75" customHeight="1">
      <c r="W5766" s="253"/>
    </row>
    <row r="5767" spans="23:23" ht="18.75" customHeight="1">
      <c r="W5767" s="253"/>
    </row>
    <row r="5768" spans="23:23" ht="18.75" customHeight="1">
      <c r="W5768" s="253"/>
    </row>
    <row r="5769" spans="23:23" ht="18.75" customHeight="1">
      <c r="W5769" s="253"/>
    </row>
    <row r="5770" spans="23:23" ht="18.75" customHeight="1">
      <c r="W5770" s="253"/>
    </row>
    <row r="5771" spans="23:23" ht="18.75" customHeight="1">
      <c r="W5771" s="253"/>
    </row>
    <row r="5772" spans="23:23" ht="18.75" customHeight="1">
      <c r="W5772" s="253"/>
    </row>
    <row r="5773" spans="23:23" ht="18.75" customHeight="1">
      <c r="W5773" s="253"/>
    </row>
    <row r="5774" spans="23:23" ht="18.75" customHeight="1">
      <c r="W5774" s="253"/>
    </row>
    <row r="5775" spans="23:23" ht="18.75" customHeight="1">
      <c r="W5775" s="253"/>
    </row>
    <row r="5776" spans="23:23" ht="18.75" customHeight="1">
      <c r="W5776" s="253"/>
    </row>
    <row r="5777" spans="23:23" ht="18.75" customHeight="1">
      <c r="W5777" s="253"/>
    </row>
    <row r="5778" spans="23:23" ht="18.75" customHeight="1">
      <c r="W5778" s="253"/>
    </row>
    <row r="5779" spans="23:23" ht="18.75" customHeight="1">
      <c r="W5779" s="253"/>
    </row>
    <row r="5780" spans="23:23" ht="18.75" customHeight="1">
      <c r="W5780" s="253"/>
    </row>
    <row r="5781" spans="23:23" ht="18.75" customHeight="1">
      <c r="W5781" s="253"/>
    </row>
    <row r="5782" spans="23:23" ht="18.75" customHeight="1">
      <c r="W5782" s="253"/>
    </row>
    <row r="5783" spans="23:23" ht="18.75" customHeight="1">
      <c r="W5783" s="253"/>
    </row>
    <row r="5784" spans="23:23" ht="18.75" customHeight="1">
      <c r="W5784" s="253"/>
    </row>
    <row r="5785" spans="23:23" ht="18.75" customHeight="1">
      <c r="W5785" s="253"/>
    </row>
    <row r="5786" spans="23:23" ht="18.75" customHeight="1">
      <c r="W5786" s="253"/>
    </row>
    <row r="5787" spans="23:23" ht="18.75" customHeight="1">
      <c r="W5787" s="253"/>
    </row>
    <row r="5788" spans="23:23" ht="18.75" customHeight="1">
      <c r="W5788" s="253"/>
    </row>
    <row r="5789" spans="23:23" ht="18.75" customHeight="1">
      <c r="W5789" s="253"/>
    </row>
    <row r="5790" spans="23:23" ht="18.75" customHeight="1">
      <c r="W5790" s="253"/>
    </row>
    <row r="5791" spans="23:23" ht="18.75" customHeight="1">
      <c r="W5791" s="253"/>
    </row>
    <row r="5792" spans="23:23" ht="18.75" customHeight="1">
      <c r="W5792" s="253"/>
    </row>
    <row r="5793" spans="23:23" ht="18.75" customHeight="1">
      <c r="W5793" s="253"/>
    </row>
    <row r="5794" spans="23:23" ht="18.75" customHeight="1">
      <c r="W5794" s="253"/>
    </row>
    <row r="5795" spans="23:23" ht="18.75" customHeight="1">
      <c r="W5795" s="253"/>
    </row>
    <row r="5796" spans="23:23" ht="18.75" customHeight="1">
      <c r="W5796" s="253"/>
    </row>
    <row r="5797" spans="23:23" ht="18.75" customHeight="1">
      <c r="W5797" s="253"/>
    </row>
    <row r="5798" spans="23:23" ht="18.75" customHeight="1">
      <c r="W5798" s="253"/>
    </row>
    <row r="5799" spans="23:23" ht="18.75" customHeight="1">
      <c r="W5799" s="253"/>
    </row>
    <row r="5800" spans="23:23" ht="18.75" customHeight="1">
      <c r="W5800" s="253"/>
    </row>
    <row r="5801" spans="23:23" ht="18.75" customHeight="1">
      <c r="W5801" s="253"/>
    </row>
    <row r="5802" spans="23:23" ht="18.75" customHeight="1">
      <c r="W5802" s="253"/>
    </row>
    <row r="5803" spans="23:23" ht="18.75" customHeight="1">
      <c r="W5803" s="253"/>
    </row>
    <row r="5804" spans="23:23" ht="18.75" customHeight="1">
      <c r="W5804" s="253"/>
    </row>
    <row r="5805" spans="23:23" ht="18.75" customHeight="1">
      <c r="W5805" s="253"/>
    </row>
    <row r="5806" spans="23:23" ht="18.75" customHeight="1">
      <c r="W5806" s="253"/>
    </row>
    <row r="5807" spans="23:23" ht="18.75" customHeight="1">
      <c r="W5807" s="253"/>
    </row>
    <row r="5808" spans="23:23" ht="18.75" customHeight="1">
      <c r="W5808" s="253"/>
    </row>
    <row r="5809" spans="23:23" ht="18.75" customHeight="1">
      <c r="W5809" s="253"/>
    </row>
    <row r="5810" spans="23:23" ht="18.75" customHeight="1">
      <c r="W5810" s="253"/>
    </row>
    <row r="5811" spans="23:23" ht="18.75" customHeight="1">
      <c r="W5811" s="253"/>
    </row>
    <row r="5812" spans="23:23" ht="18.75" customHeight="1">
      <c r="W5812" s="253"/>
    </row>
    <row r="5813" spans="23:23" ht="18.75" customHeight="1">
      <c r="W5813" s="253"/>
    </row>
    <row r="5814" spans="23:23" ht="18.75" customHeight="1">
      <c r="W5814" s="253"/>
    </row>
    <row r="5815" spans="23:23" ht="18.75" customHeight="1">
      <c r="W5815" s="253"/>
    </row>
    <row r="5816" spans="23:23" ht="18.75" customHeight="1">
      <c r="W5816" s="253"/>
    </row>
    <row r="5817" spans="23:23" ht="18.75" customHeight="1">
      <c r="W5817" s="253"/>
    </row>
    <row r="5818" spans="23:23" ht="18.75" customHeight="1">
      <c r="W5818" s="253"/>
    </row>
    <row r="5819" spans="23:23" ht="18.75" customHeight="1">
      <c r="W5819" s="253"/>
    </row>
    <row r="5820" spans="23:23" ht="18.75" customHeight="1">
      <c r="W5820" s="253"/>
    </row>
    <row r="5821" spans="23:23" ht="18.75" customHeight="1">
      <c r="W5821" s="253"/>
    </row>
    <row r="5822" spans="23:23" ht="18.75" customHeight="1">
      <c r="W5822" s="253"/>
    </row>
    <row r="5823" spans="23:23" ht="18.75" customHeight="1">
      <c r="W5823" s="253"/>
    </row>
    <row r="5824" spans="23:23" ht="18.75" customHeight="1">
      <c r="W5824" s="253"/>
    </row>
    <row r="5825" spans="23:23" ht="18.75" customHeight="1">
      <c r="W5825" s="253"/>
    </row>
    <row r="5826" spans="23:23" ht="18.75" customHeight="1">
      <c r="W5826" s="253"/>
    </row>
    <row r="5827" spans="23:23" ht="18.75" customHeight="1">
      <c r="W5827" s="253"/>
    </row>
    <row r="5828" spans="23:23" ht="18.75" customHeight="1">
      <c r="W5828" s="253"/>
    </row>
    <row r="5829" spans="23:23" ht="18.75" customHeight="1">
      <c r="W5829" s="253"/>
    </row>
    <row r="5830" spans="23:23" ht="18.75" customHeight="1">
      <c r="W5830" s="253"/>
    </row>
    <row r="5831" spans="23:23" ht="18.75" customHeight="1">
      <c r="W5831" s="253"/>
    </row>
    <row r="5832" spans="23:23" ht="18.75" customHeight="1">
      <c r="W5832" s="253"/>
    </row>
    <row r="5833" spans="23:23" ht="18.75" customHeight="1">
      <c r="W5833" s="253"/>
    </row>
    <row r="5834" spans="23:23" ht="18.75" customHeight="1">
      <c r="W5834" s="253"/>
    </row>
    <row r="5835" spans="23:23" ht="18.75" customHeight="1">
      <c r="W5835" s="253"/>
    </row>
    <row r="5836" spans="23:23" ht="18.75" customHeight="1">
      <c r="W5836" s="253"/>
    </row>
    <row r="5837" spans="23:23" ht="18.75" customHeight="1">
      <c r="W5837" s="253"/>
    </row>
    <row r="5838" spans="23:23" ht="18.75" customHeight="1">
      <c r="W5838" s="253"/>
    </row>
    <row r="5839" spans="23:23" ht="18.75" customHeight="1">
      <c r="W5839" s="253"/>
    </row>
    <row r="5840" spans="23:23" ht="18.75" customHeight="1">
      <c r="W5840" s="253"/>
    </row>
    <row r="5841" spans="23:23" ht="18.75" customHeight="1">
      <c r="W5841" s="253"/>
    </row>
    <row r="5842" spans="23:23" ht="18.75" customHeight="1">
      <c r="W5842" s="253"/>
    </row>
    <row r="5843" spans="23:23" ht="18.75" customHeight="1">
      <c r="W5843" s="253"/>
    </row>
    <row r="5844" spans="23:23" ht="18.75" customHeight="1">
      <c r="W5844" s="253"/>
    </row>
    <row r="5845" spans="23:23" ht="18.75" customHeight="1">
      <c r="W5845" s="253"/>
    </row>
    <row r="5846" spans="23:23" ht="18.75" customHeight="1">
      <c r="W5846" s="253"/>
    </row>
    <row r="5847" spans="23:23" ht="18.75" customHeight="1">
      <c r="W5847" s="253"/>
    </row>
    <row r="5848" spans="23:23" ht="18.75" customHeight="1">
      <c r="W5848" s="253"/>
    </row>
    <row r="5849" spans="23:23" ht="18.75" customHeight="1">
      <c r="W5849" s="253"/>
    </row>
    <row r="5850" spans="23:23" ht="18.75" customHeight="1">
      <c r="W5850" s="253"/>
    </row>
    <row r="5851" spans="23:23" ht="18.75" customHeight="1">
      <c r="W5851" s="253"/>
    </row>
    <row r="5852" spans="23:23" ht="18.75" customHeight="1">
      <c r="W5852" s="253"/>
    </row>
    <row r="5853" spans="23:23" ht="18.75" customHeight="1">
      <c r="W5853" s="253"/>
    </row>
    <row r="5854" spans="23:23" ht="18.75" customHeight="1">
      <c r="W5854" s="253"/>
    </row>
    <row r="5855" spans="23:23" ht="18.75" customHeight="1">
      <c r="W5855" s="253"/>
    </row>
    <row r="5856" spans="23:23" ht="18.75" customHeight="1">
      <c r="W5856" s="253"/>
    </row>
    <row r="5857" spans="23:23" ht="18.75" customHeight="1">
      <c r="W5857" s="253"/>
    </row>
    <row r="5858" spans="23:23" ht="18.75" customHeight="1">
      <c r="W5858" s="253"/>
    </row>
    <row r="5859" spans="23:23" ht="18.75" customHeight="1">
      <c r="W5859" s="253"/>
    </row>
    <row r="5860" spans="23:23" ht="18.75" customHeight="1">
      <c r="W5860" s="253"/>
    </row>
    <row r="5861" spans="23:23" ht="18.75" customHeight="1">
      <c r="W5861" s="253"/>
    </row>
    <row r="5862" spans="23:23" ht="18.75" customHeight="1">
      <c r="W5862" s="253"/>
    </row>
    <row r="5863" spans="23:23" ht="18.75" customHeight="1">
      <c r="W5863" s="253"/>
    </row>
    <row r="5864" spans="23:23" ht="18.75" customHeight="1">
      <c r="W5864" s="253"/>
    </row>
    <row r="5865" spans="23:23" ht="18.75" customHeight="1">
      <c r="W5865" s="253"/>
    </row>
    <row r="5866" spans="23:23" ht="18.75" customHeight="1">
      <c r="W5866" s="253"/>
    </row>
    <row r="5867" spans="23:23" ht="18.75" customHeight="1">
      <c r="W5867" s="253"/>
    </row>
    <row r="5868" spans="23:23" ht="18.75" customHeight="1">
      <c r="W5868" s="253"/>
    </row>
    <row r="5869" spans="23:23" ht="18.75" customHeight="1">
      <c r="W5869" s="253"/>
    </row>
    <row r="5870" spans="23:23" ht="18.75" customHeight="1">
      <c r="W5870" s="253"/>
    </row>
    <row r="5871" spans="23:23" ht="18.75" customHeight="1">
      <c r="W5871" s="253"/>
    </row>
    <row r="5872" spans="23:23" ht="18.75" customHeight="1">
      <c r="W5872" s="253"/>
    </row>
    <row r="5873" spans="23:23" ht="18.75" customHeight="1">
      <c r="W5873" s="253"/>
    </row>
    <row r="5874" spans="23:23" ht="18.75" customHeight="1">
      <c r="W5874" s="253"/>
    </row>
    <row r="5875" spans="23:23" ht="18.75" customHeight="1">
      <c r="W5875" s="253"/>
    </row>
    <row r="5876" spans="23:23" ht="18.75" customHeight="1">
      <c r="W5876" s="253"/>
    </row>
    <row r="5877" spans="23:23" ht="18.75" customHeight="1">
      <c r="W5877" s="253"/>
    </row>
    <row r="5878" spans="23:23" ht="18.75" customHeight="1">
      <c r="W5878" s="253"/>
    </row>
    <row r="5879" spans="23:23" ht="18.75" customHeight="1">
      <c r="W5879" s="253"/>
    </row>
    <row r="5880" spans="23:23" ht="18.75" customHeight="1">
      <c r="W5880" s="253"/>
    </row>
    <row r="5881" spans="23:23" ht="18.75" customHeight="1">
      <c r="W5881" s="253"/>
    </row>
    <row r="5882" spans="23:23" ht="18.75" customHeight="1">
      <c r="W5882" s="253"/>
    </row>
    <row r="5883" spans="23:23" ht="18.75" customHeight="1">
      <c r="W5883" s="253"/>
    </row>
    <row r="5884" spans="23:23" ht="18.75" customHeight="1">
      <c r="W5884" s="253"/>
    </row>
    <row r="5885" spans="23:23" ht="18.75" customHeight="1">
      <c r="W5885" s="253"/>
    </row>
    <row r="5886" spans="23:23" ht="18.75" customHeight="1">
      <c r="W5886" s="253"/>
    </row>
    <row r="5887" spans="23:23" ht="18.75" customHeight="1">
      <c r="W5887" s="253"/>
    </row>
    <row r="5888" spans="23:23" ht="18.75" customHeight="1">
      <c r="W5888" s="253"/>
    </row>
    <row r="5889" spans="23:23" ht="18.75" customHeight="1">
      <c r="W5889" s="253"/>
    </row>
    <row r="5890" spans="23:23" ht="18.75" customHeight="1">
      <c r="W5890" s="253"/>
    </row>
    <row r="5891" spans="23:23" ht="18.75" customHeight="1">
      <c r="W5891" s="253"/>
    </row>
    <row r="5892" spans="23:23" ht="18.75" customHeight="1">
      <c r="W5892" s="253"/>
    </row>
    <row r="5893" spans="23:23" ht="18.75" customHeight="1">
      <c r="W5893" s="253"/>
    </row>
    <row r="5894" spans="23:23" ht="18.75" customHeight="1">
      <c r="W5894" s="253"/>
    </row>
    <row r="5895" spans="23:23" ht="18.75" customHeight="1">
      <c r="W5895" s="253"/>
    </row>
    <row r="5896" spans="23:23" ht="18.75" customHeight="1">
      <c r="W5896" s="253"/>
    </row>
    <row r="5897" spans="23:23" ht="18.75" customHeight="1">
      <c r="W5897" s="253"/>
    </row>
    <row r="5898" spans="23:23" ht="18.75" customHeight="1">
      <c r="W5898" s="253"/>
    </row>
    <row r="5899" spans="23:23" ht="18.75" customHeight="1">
      <c r="W5899" s="253"/>
    </row>
    <row r="5900" spans="23:23" ht="18.75" customHeight="1">
      <c r="W5900" s="253"/>
    </row>
    <row r="5901" spans="23:23" ht="18.75" customHeight="1">
      <c r="W5901" s="253"/>
    </row>
    <row r="5902" spans="23:23" ht="18.75" customHeight="1">
      <c r="W5902" s="253"/>
    </row>
    <row r="5903" spans="23:23" ht="18.75" customHeight="1">
      <c r="W5903" s="253"/>
    </row>
    <row r="5904" spans="23:23" ht="18.75" customHeight="1">
      <c r="W5904" s="253"/>
    </row>
    <row r="5905" spans="23:23" ht="18.75" customHeight="1">
      <c r="W5905" s="253"/>
    </row>
    <row r="5906" spans="23:23" ht="18.75" customHeight="1">
      <c r="W5906" s="253"/>
    </row>
    <row r="5907" spans="23:23" ht="18.75" customHeight="1">
      <c r="W5907" s="253"/>
    </row>
    <row r="5908" spans="23:23" ht="18.75" customHeight="1">
      <c r="W5908" s="253"/>
    </row>
    <row r="5909" spans="23:23" ht="18.75" customHeight="1">
      <c r="W5909" s="253"/>
    </row>
    <row r="5910" spans="23:23" ht="18.75" customHeight="1">
      <c r="W5910" s="253"/>
    </row>
    <row r="5911" spans="23:23" ht="18.75" customHeight="1">
      <c r="W5911" s="253"/>
    </row>
    <row r="5912" spans="23:23" ht="18.75" customHeight="1">
      <c r="W5912" s="253"/>
    </row>
    <row r="5913" spans="23:23" ht="18.75" customHeight="1">
      <c r="W5913" s="253"/>
    </row>
    <row r="5914" spans="23:23" ht="18.75" customHeight="1">
      <c r="W5914" s="253"/>
    </row>
    <row r="5915" spans="23:23" ht="18.75" customHeight="1">
      <c r="W5915" s="253"/>
    </row>
    <row r="5916" spans="23:23" ht="18.75" customHeight="1">
      <c r="W5916" s="253"/>
    </row>
    <row r="5917" spans="23:23" ht="18.75" customHeight="1">
      <c r="W5917" s="253"/>
    </row>
    <row r="5918" spans="23:23" ht="18.75" customHeight="1">
      <c r="W5918" s="253"/>
    </row>
    <row r="5919" spans="23:23" ht="18.75" customHeight="1">
      <c r="W5919" s="253"/>
    </row>
    <row r="5920" spans="23:23" ht="18.75" customHeight="1">
      <c r="W5920" s="253"/>
    </row>
    <row r="5921" spans="23:23" ht="18.75" customHeight="1">
      <c r="W5921" s="253"/>
    </row>
    <row r="5922" spans="23:23" ht="18.75" customHeight="1">
      <c r="W5922" s="253"/>
    </row>
    <row r="5923" spans="23:23" ht="18.75" customHeight="1">
      <c r="W5923" s="253"/>
    </row>
    <row r="5924" spans="23:23" ht="18.75" customHeight="1">
      <c r="W5924" s="253"/>
    </row>
    <row r="5925" spans="23:23" ht="18.75" customHeight="1">
      <c r="W5925" s="253"/>
    </row>
    <row r="5926" spans="23:23" ht="18.75" customHeight="1">
      <c r="W5926" s="253"/>
    </row>
    <row r="5927" spans="23:23" ht="18.75" customHeight="1">
      <c r="W5927" s="253"/>
    </row>
    <row r="5928" spans="23:23" ht="18.75" customHeight="1">
      <c r="W5928" s="253"/>
    </row>
    <row r="5929" spans="23:23" ht="18.75" customHeight="1">
      <c r="W5929" s="253"/>
    </row>
    <row r="5930" spans="23:23" ht="18.75" customHeight="1">
      <c r="W5930" s="253"/>
    </row>
    <row r="5931" spans="23:23" ht="18.75" customHeight="1">
      <c r="W5931" s="253"/>
    </row>
    <row r="5932" spans="23:23" ht="18.75" customHeight="1">
      <c r="W5932" s="253"/>
    </row>
    <row r="5933" spans="23:23" ht="18.75" customHeight="1">
      <c r="W5933" s="253"/>
    </row>
    <row r="5934" spans="23:23" ht="18.75" customHeight="1">
      <c r="W5934" s="253"/>
    </row>
    <row r="5935" spans="23:23" ht="18.75" customHeight="1">
      <c r="W5935" s="253"/>
    </row>
    <row r="5936" spans="23:23" ht="18.75" customHeight="1">
      <c r="W5936" s="253"/>
    </row>
    <row r="5937" spans="23:23" ht="18.75" customHeight="1">
      <c r="W5937" s="253"/>
    </row>
    <row r="5938" spans="23:23" ht="18.75" customHeight="1">
      <c r="W5938" s="253"/>
    </row>
    <row r="5939" spans="23:23" ht="18.75" customHeight="1">
      <c r="W5939" s="253"/>
    </row>
    <row r="5940" spans="23:23" ht="18.75" customHeight="1">
      <c r="W5940" s="253"/>
    </row>
    <row r="5941" spans="23:23" ht="18.75" customHeight="1">
      <c r="W5941" s="253"/>
    </row>
    <row r="5942" spans="23:23" ht="18.75" customHeight="1">
      <c r="W5942" s="253"/>
    </row>
    <row r="5943" spans="23:23" ht="18.75" customHeight="1">
      <c r="W5943" s="253"/>
    </row>
    <row r="5944" spans="23:23" ht="18.75" customHeight="1">
      <c r="W5944" s="253"/>
    </row>
    <row r="5945" spans="23:23" ht="18.75" customHeight="1">
      <c r="W5945" s="253"/>
    </row>
    <row r="5946" spans="23:23" ht="18.75" customHeight="1">
      <c r="W5946" s="253"/>
    </row>
    <row r="5947" spans="23:23" ht="18.75" customHeight="1">
      <c r="W5947" s="253"/>
    </row>
    <row r="5948" spans="23:23" ht="18.75" customHeight="1">
      <c r="W5948" s="253"/>
    </row>
    <row r="5949" spans="23:23" ht="18.75" customHeight="1">
      <c r="W5949" s="253"/>
    </row>
    <row r="5950" spans="23:23" ht="18.75" customHeight="1">
      <c r="W5950" s="253"/>
    </row>
    <row r="5951" spans="23:23" ht="18.75" customHeight="1">
      <c r="W5951" s="253"/>
    </row>
    <row r="5952" spans="23:23" ht="18.75" customHeight="1">
      <c r="W5952" s="253"/>
    </row>
    <row r="5953" spans="23:23" ht="18.75" customHeight="1">
      <c r="W5953" s="253"/>
    </row>
    <row r="5954" spans="23:23" ht="18.75" customHeight="1">
      <c r="W5954" s="253"/>
    </row>
    <row r="5955" spans="23:23" ht="18.75" customHeight="1">
      <c r="W5955" s="253"/>
    </row>
    <row r="5956" spans="23:23" ht="18.75" customHeight="1">
      <c r="W5956" s="253"/>
    </row>
    <row r="5957" spans="23:23" ht="18.75" customHeight="1">
      <c r="W5957" s="253"/>
    </row>
    <row r="5958" spans="23:23" ht="18.75" customHeight="1">
      <c r="W5958" s="253"/>
    </row>
    <row r="5959" spans="23:23" ht="18.75" customHeight="1">
      <c r="W5959" s="253"/>
    </row>
    <row r="5960" spans="23:23" ht="18.75" customHeight="1">
      <c r="W5960" s="253"/>
    </row>
    <row r="5961" spans="23:23" ht="18.75" customHeight="1">
      <c r="W5961" s="253"/>
    </row>
    <row r="5962" spans="23:23" ht="18.75" customHeight="1">
      <c r="W5962" s="253"/>
    </row>
    <row r="5963" spans="23:23" ht="18.75" customHeight="1">
      <c r="W5963" s="253"/>
    </row>
    <row r="5964" spans="23:23" ht="18.75" customHeight="1">
      <c r="W5964" s="253"/>
    </row>
    <row r="5965" spans="23:23" ht="18.75" customHeight="1">
      <c r="W5965" s="253"/>
    </row>
    <row r="5966" spans="23:23" ht="18.75" customHeight="1">
      <c r="W5966" s="253"/>
    </row>
    <row r="5967" spans="23:23" ht="18.75" customHeight="1">
      <c r="W5967" s="253"/>
    </row>
    <row r="5968" spans="23:23" ht="18.75" customHeight="1">
      <c r="W5968" s="253"/>
    </row>
    <row r="5969" spans="23:23" ht="18.75" customHeight="1">
      <c r="W5969" s="253"/>
    </row>
    <row r="5970" spans="23:23" ht="18.75" customHeight="1">
      <c r="W5970" s="253"/>
    </row>
    <row r="5971" spans="23:23" ht="18.75" customHeight="1">
      <c r="W5971" s="253"/>
    </row>
    <row r="5972" spans="23:23" ht="18.75" customHeight="1">
      <c r="W5972" s="253"/>
    </row>
    <row r="5973" spans="23:23" ht="18.75" customHeight="1">
      <c r="W5973" s="253"/>
    </row>
    <row r="5974" spans="23:23" ht="18.75" customHeight="1">
      <c r="W5974" s="253"/>
    </row>
    <row r="5975" spans="23:23" ht="18.75" customHeight="1">
      <c r="W5975" s="253"/>
    </row>
    <row r="5976" spans="23:23" ht="18.75" customHeight="1">
      <c r="W5976" s="253"/>
    </row>
    <row r="5977" spans="23:23" ht="18.75" customHeight="1">
      <c r="W5977" s="253"/>
    </row>
    <row r="5978" spans="23:23" ht="18.75" customHeight="1">
      <c r="W5978" s="253"/>
    </row>
    <row r="5979" spans="23:23" ht="18.75" customHeight="1">
      <c r="W5979" s="253"/>
    </row>
    <row r="5980" spans="23:23" ht="18.75" customHeight="1">
      <c r="W5980" s="253"/>
    </row>
    <row r="5981" spans="23:23" ht="18.75" customHeight="1">
      <c r="W5981" s="253"/>
    </row>
    <row r="5982" spans="23:23" ht="18.75" customHeight="1">
      <c r="W5982" s="253"/>
    </row>
    <row r="5983" spans="23:23" ht="18.75" customHeight="1">
      <c r="W5983" s="253"/>
    </row>
    <row r="5984" spans="23:23" ht="18.75" customHeight="1">
      <c r="W5984" s="253"/>
    </row>
    <row r="5985" spans="23:23" ht="18.75" customHeight="1">
      <c r="W5985" s="253"/>
    </row>
    <row r="5986" spans="23:23" ht="18.75" customHeight="1">
      <c r="W5986" s="253"/>
    </row>
    <row r="5987" spans="23:23" ht="18.75" customHeight="1">
      <c r="W5987" s="253"/>
    </row>
    <row r="5988" spans="23:23" ht="18.75" customHeight="1">
      <c r="W5988" s="253"/>
    </row>
    <row r="5989" spans="23:23" ht="18.75" customHeight="1">
      <c r="W5989" s="253"/>
    </row>
    <row r="5990" spans="23:23" ht="18.75" customHeight="1">
      <c r="W5990" s="253"/>
    </row>
    <row r="5991" spans="23:23" ht="18.75" customHeight="1">
      <c r="W5991" s="253"/>
    </row>
    <row r="5992" spans="23:23" ht="18.75" customHeight="1">
      <c r="W5992" s="253"/>
    </row>
    <row r="5993" spans="23:23" ht="18.75" customHeight="1">
      <c r="W5993" s="253"/>
    </row>
    <row r="5994" spans="23:23" ht="18.75" customHeight="1">
      <c r="W5994" s="253"/>
    </row>
    <row r="5995" spans="23:23" ht="18.75" customHeight="1">
      <c r="W5995" s="253"/>
    </row>
    <row r="5996" spans="23:23" ht="18.75" customHeight="1">
      <c r="W5996" s="253"/>
    </row>
    <row r="5997" spans="23:23" ht="18.75" customHeight="1">
      <c r="W5997" s="253"/>
    </row>
    <row r="5998" spans="23:23" ht="18.75" customHeight="1">
      <c r="W5998" s="253"/>
    </row>
    <row r="5999" spans="23:23" ht="18.75" customHeight="1">
      <c r="W5999" s="253"/>
    </row>
    <row r="6000" spans="23:23" ht="18.75" customHeight="1">
      <c r="W6000" s="253"/>
    </row>
    <row r="6001" spans="23:23" ht="18.75" customHeight="1">
      <c r="W6001" s="253"/>
    </row>
    <row r="6002" spans="23:23" ht="18.75" customHeight="1">
      <c r="W6002" s="253"/>
    </row>
    <row r="6003" spans="23:23" ht="18.75" customHeight="1">
      <c r="W6003" s="253"/>
    </row>
    <row r="6004" spans="23:23" ht="18.75" customHeight="1">
      <c r="W6004" s="253"/>
    </row>
    <row r="6005" spans="23:23" ht="18.75" customHeight="1">
      <c r="W6005" s="253"/>
    </row>
    <row r="6006" spans="23:23" ht="18.75" customHeight="1">
      <c r="W6006" s="253"/>
    </row>
    <row r="6007" spans="23:23" ht="18.75" customHeight="1">
      <c r="W6007" s="253"/>
    </row>
    <row r="6008" spans="23:23" ht="18.75" customHeight="1">
      <c r="W6008" s="253"/>
    </row>
    <row r="6009" spans="23:23" ht="18.75" customHeight="1">
      <c r="W6009" s="253"/>
    </row>
    <row r="6010" spans="23:23" ht="18.75" customHeight="1">
      <c r="W6010" s="253"/>
    </row>
    <row r="6011" spans="23:23" ht="18.75" customHeight="1">
      <c r="W6011" s="253"/>
    </row>
    <row r="6012" spans="23:23" ht="18.75" customHeight="1">
      <c r="W6012" s="253"/>
    </row>
    <row r="6013" spans="23:23" ht="18.75" customHeight="1">
      <c r="W6013" s="253"/>
    </row>
    <row r="6014" spans="23:23" ht="18.75" customHeight="1">
      <c r="W6014" s="253"/>
    </row>
    <row r="6015" spans="23:23" ht="18.75" customHeight="1">
      <c r="W6015" s="253"/>
    </row>
    <row r="6016" spans="23:23" ht="18.75" customHeight="1">
      <c r="W6016" s="253"/>
    </row>
    <row r="6017" spans="23:23" ht="18.75" customHeight="1">
      <c r="W6017" s="253"/>
    </row>
    <row r="6018" spans="23:23" ht="18.75" customHeight="1">
      <c r="W6018" s="253"/>
    </row>
    <row r="6019" spans="23:23" ht="18.75" customHeight="1">
      <c r="W6019" s="253"/>
    </row>
    <row r="6020" spans="23:23" ht="18.75" customHeight="1">
      <c r="W6020" s="253"/>
    </row>
    <row r="6021" spans="23:23" ht="18.75" customHeight="1">
      <c r="W6021" s="253"/>
    </row>
    <row r="6022" spans="23:23" ht="18.75" customHeight="1">
      <c r="W6022" s="253"/>
    </row>
    <row r="6023" spans="23:23" ht="18.75" customHeight="1">
      <c r="W6023" s="253"/>
    </row>
    <row r="6024" spans="23:23" ht="18.75" customHeight="1">
      <c r="W6024" s="253"/>
    </row>
    <row r="6025" spans="23:23" ht="18.75" customHeight="1">
      <c r="W6025" s="253"/>
    </row>
    <row r="6026" spans="23:23" ht="18.75" customHeight="1">
      <c r="W6026" s="253"/>
    </row>
    <row r="6027" spans="23:23" ht="18.75" customHeight="1">
      <c r="W6027" s="253"/>
    </row>
    <row r="6028" spans="23:23" ht="18.75" customHeight="1">
      <c r="W6028" s="253"/>
    </row>
    <row r="6029" spans="23:23" ht="18.75" customHeight="1">
      <c r="W6029" s="253"/>
    </row>
    <row r="6030" spans="23:23" ht="18.75" customHeight="1">
      <c r="W6030" s="253"/>
    </row>
    <row r="6031" spans="23:23" ht="18.75" customHeight="1">
      <c r="W6031" s="253"/>
    </row>
    <row r="6032" spans="23:23" ht="18.75" customHeight="1">
      <c r="W6032" s="253"/>
    </row>
    <row r="6033" spans="23:23" ht="18.75" customHeight="1">
      <c r="W6033" s="253"/>
    </row>
    <row r="6034" spans="23:23" ht="18.75" customHeight="1">
      <c r="W6034" s="253"/>
    </row>
    <row r="6035" spans="23:23" ht="18.75" customHeight="1">
      <c r="W6035" s="253"/>
    </row>
    <row r="6036" spans="23:23" ht="18.75" customHeight="1">
      <c r="W6036" s="253"/>
    </row>
    <row r="6037" spans="23:23" ht="18.75" customHeight="1">
      <c r="W6037" s="253"/>
    </row>
    <row r="6038" spans="23:23" ht="18.75" customHeight="1">
      <c r="W6038" s="253"/>
    </row>
    <row r="6039" spans="23:23" ht="18.75" customHeight="1">
      <c r="W6039" s="253"/>
    </row>
    <row r="6040" spans="23:23" ht="18.75" customHeight="1">
      <c r="W6040" s="253"/>
    </row>
    <row r="6041" spans="23:23" ht="18.75" customHeight="1">
      <c r="W6041" s="253"/>
    </row>
    <row r="6042" spans="23:23" ht="18.75" customHeight="1">
      <c r="W6042" s="253"/>
    </row>
    <row r="6043" spans="23:23" ht="18.75" customHeight="1">
      <c r="W6043" s="253"/>
    </row>
    <row r="6044" spans="23:23" ht="18.75" customHeight="1">
      <c r="W6044" s="253"/>
    </row>
    <row r="6045" spans="23:23" ht="18.75" customHeight="1">
      <c r="W6045" s="253"/>
    </row>
    <row r="6046" spans="23:23" ht="18.75" customHeight="1">
      <c r="W6046" s="253"/>
    </row>
    <row r="6047" spans="23:23" ht="18.75" customHeight="1">
      <c r="W6047" s="253"/>
    </row>
    <row r="6048" spans="23:23" ht="18.75" customHeight="1">
      <c r="W6048" s="253"/>
    </row>
    <row r="6049" spans="23:23" ht="18.75" customHeight="1">
      <c r="W6049" s="253"/>
    </row>
    <row r="6050" spans="23:23" ht="18.75" customHeight="1">
      <c r="W6050" s="253"/>
    </row>
    <row r="6051" spans="23:23" ht="18.75" customHeight="1">
      <c r="W6051" s="253"/>
    </row>
    <row r="6052" spans="23:23" ht="18.75" customHeight="1">
      <c r="W6052" s="253"/>
    </row>
    <row r="6053" spans="23:23" ht="18.75" customHeight="1">
      <c r="W6053" s="253"/>
    </row>
    <row r="6054" spans="23:23" ht="18.75" customHeight="1">
      <c r="W6054" s="253"/>
    </row>
    <row r="6055" spans="23:23" ht="18.75" customHeight="1">
      <c r="W6055" s="253"/>
    </row>
    <row r="6056" spans="23:23" ht="18.75" customHeight="1">
      <c r="W6056" s="253"/>
    </row>
    <row r="6057" spans="23:23" ht="18.75" customHeight="1">
      <c r="W6057" s="253"/>
    </row>
    <row r="6058" spans="23:23" ht="18.75" customHeight="1">
      <c r="W6058" s="253"/>
    </row>
    <row r="6059" spans="23:23" ht="18.75" customHeight="1">
      <c r="W6059" s="253"/>
    </row>
    <row r="6060" spans="23:23" ht="18.75" customHeight="1">
      <c r="W6060" s="253"/>
    </row>
    <row r="6061" spans="23:23" ht="18.75" customHeight="1">
      <c r="W6061" s="253"/>
    </row>
    <row r="6062" spans="23:23" ht="18.75" customHeight="1">
      <c r="W6062" s="253"/>
    </row>
    <row r="6063" spans="23:23" ht="18.75" customHeight="1">
      <c r="W6063" s="253"/>
    </row>
    <row r="6064" spans="23:23" ht="18.75" customHeight="1">
      <c r="W6064" s="253"/>
    </row>
    <row r="6065" spans="23:23" ht="18.75" customHeight="1">
      <c r="W6065" s="253"/>
    </row>
    <row r="6066" spans="23:23" ht="18.75" customHeight="1">
      <c r="W6066" s="253"/>
    </row>
    <row r="6067" spans="23:23" ht="18.75" customHeight="1">
      <c r="W6067" s="253"/>
    </row>
    <row r="6068" spans="23:23" ht="18.75" customHeight="1">
      <c r="W6068" s="253"/>
    </row>
    <row r="6069" spans="23:23" ht="18.75" customHeight="1">
      <c r="W6069" s="253"/>
    </row>
    <row r="6070" spans="23:23" ht="18.75" customHeight="1">
      <c r="W6070" s="253"/>
    </row>
    <row r="6071" spans="23:23" ht="18.75" customHeight="1">
      <c r="W6071" s="253"/>
    </row>
    <row r="6072" spans="23:23" ht="18.75" customHeight="1">
      <c r="W6072" s="253"/>
    </row>
    <row r="6073" spans="23:23" ht="18.75" customHeight="1">
      <c r="W6073" s="253"/>
    </row>
    <row r="6074" spans="23:23" ht="18.75" customHeight="1">
      <c r="W6074" s="253"/>
    </row>
    <row r="6075" spans="23:23" ht="18.75" customHeight="1">
      <c r="W6075" s="253"/>
    </row>
    <row r="6076" spans="23:23" ht="18.75" customHeight="1">
      <c r="W6076" s="253"/>
    </row>
    <row r="6077" spans="23:23" ht="18.75" customHeight="1">
      <c r="W6077" s="253"/>
    </row>
    <row r="6078" spans="23:23" ht="18.75" customHeight="1">
      <c r="W6078" s="253"/>
    </row>
    <row r="6079" spans="23:23" ht="18.75" customHeight="1">
      <c r="W6079" s="253"/>
    </row>
    <row r="6080" spans="23:23" ht="18.75" customHeight="1">
      <c r="W6080" s="253"/>
    </row>
    <row r="6081" spans="23:23" ht="18.75" customHeight="1">
      <c r="W6081" s="253"/>
    </row>
    <row r="6082" spans="23:23" ht="18.75" customHeight="1">
      <c r="W6082" s="253"/>
    </row>
    <row r="6083" spans="23:23" ht="18.75" customHeight="1">
      <c r="W6083" s="253"/>
    </row>
    <row r="6084" spans="23:23" ht="18.75" customHeight="1">
      <c r="W6084" s="253"/>
    </row>
    <row r="6085" spans="23:23" ht="18.75" customHeight="1">
      <c r="W6085" s="253"/>
    </row>
    <row r="6086" spans="23:23" ht="18.75" customHeight="1">
      <c r="W6086" s="253"/>
    </row>
    <row r="6087" spans="23:23" ht="18.75" customHeight="1">
      <c r="W6087" s="253"/>
    </row>
    <row r="6088" spans="23:23" ht="18.75" customHeight="1">
      <c r="W6088" s="253"/>
    </row>
    <row r="6089" spans="23:23" ht="18.75" customHeight="1">
      <c r="W6089" s="253"/>
    </row>
    <row r="6090" spans="23:23" ht="18.75" customHeight="1">
      <c r="W6090" s="253"/>
    </row>
    <row r="6091" spans="23:23" ht="18.75" customHeight="1">
      <c r="W6091" s="253"/>
    </row>
    <row r="6092" spans="23:23" ht="18.75" customHeight="1">
      <c r="W6092" s="253"/>
    </row>
    <row r="6093" spans="23:23" ht="18.75" customHeight="1">
      <c r="W6093" s="253"/>
    </row>
    <row r="6094" spans="23:23" ht="18.75" customHeight="1">
      <c r="W6094" s="253"/>
    </row>
    <row r="6095" spans="23:23" ht="18.75" customHeight="1">
      <c r="W6095" s="253"/>
    </row>
    <row r="6096" spans="23:23" ht="18.75" customHeight="1">
      <c r="W6096" s="253"/>
    </row>
    <row r="6097" spans="23:23" ht="18.75" customHeight="1">
      <c r="W6097" s="253"/>
    </row>
    <row r="6098" spans="23:23" ht="18.75" customHeight="1">
      <c r="W6098" s="253"/>
    </row>
    <row r="6099" spans="23:23" ht="18.75" customHeight="1">
      <c r="W6099" s="253"/>
    </row>
    <row r="6100" spans="23:23" ht="18.75" customHeight="1">
      <c r="W6100" s="253"/>
    </row>
    <row r="6101" spans="23:23" ht="18.75" customHeight="1">
      <c r="W6101" s="253"/>
    </row>
    <row r="6102" spans="23:23" ht="18.75" customHeight="1">
      <c r="W6102" s="253"/>
    </row>
    <row r="6103" spans="23:23" ht="18.75" customHeight="1">
      <c r="W6103" s="253"/>
    </row>
    <row r="6104" spans="23:23" ht="18.75" customHeight="1">
      <c r="W6104" s="253"/>
    </row>
    <row r="6105" spans="23:23" ht="18.75" customHeight="1">
      <c r="W6105" s="253"/>
    </row>
    <row r="6106" spans="23:23" ht="18.75" customHeight="1">
      <c r="W6106" s="253"/>
    </row>
    <row r="6107" spans="23:23" ht="18.75" customHeight="1">
      <c r="W6107" s="253"/>
    </row>
    <row r="6108" spans="23:23" ht="18.75" customHeight="1">
      <c r="W6108" s="253"/>
    </row>
    <row r="6109" spans="23:23" ht="18.75" customHeight="1">
      <c r="W6109" s="253"/>
    </row>
    <row r="6110" spans="23:23" ht="18.75" customHeight="1">
      <c r="W6110" s="253"/>
    </row>
    <row r="6111" spans="23:23" ht="18.75" customHeight="1">
      <c r="W6111" s="253"/>
    </row>
    <row r="6112" spans="23:23" ht="18.75" customHeight="1">
      <c r="W6112" s="253"/>
    </row>
    <row r="6113" spans="23:23" ht="18.75" customHeight="1">
      <c r="W6113" s="253"/>
    </row>
    <row r="6114" spans="23:23" ht="18.75" customHeight="1">
      <c r="W6114" s="253"/>
    </row>
    <row r="6115" spans="23:23" ht="18.75" customHeight="1">
      <c r="W6115" s="253"/>
    </row>
    <row r="6116" spans="23:23" ht="18.75" customHeight="1">
      <c r="W6116" s="253"/>
    </row>
    <row r="6117" spans="23:23" ht="18.75" customHeight="1">
      <c r="W6117" s="253"/>
    </row>
    <row r="6118" spans="23:23" ht="18.75" customHeight="1">
      <c r="W6118" s="253"/>
    </row>
    <row r="6119" spans="23:23" ht="18.75" customHeight="1">
      <c r="W6119" s="253"/>
    </row>
    <row r="6120" spans="23:23" ht="18.75" customHeight="1">
      <c r="W6120" s="253"/>
    </row>
    <row r="6121" spans="23:23" ht="18.75" customHeight="1">
      <c r="W6121" s="253"/>
    </row>
    <row r="6122" spans="23:23" ht="18.75" customHeight="1">
      <c r="W6122" s="253"/>
    </row>
    <row r="6123" spans="23:23" ht="18.75" customHeight="1">
      <c r="W6123" s="253"/>
    </row>
    <row r="6124" spans="23:23" ht="18.75" customHeight="1">
      <c r="W6124" s="253"/>
    </row>
    <row r="6125" spans="23:23" ht="18.75" customHeight="1">
      <c r="W6125" s="253"/>
    </row>
    <row r="6126" spans="23:23" ht="18.75" customHeight="1">
      <c r="W6126" s="253"/>
    </row>
    <row r="6127" spans="23:23" ht="18.75" customHeight="1">
      <c r="W6127" s="253"/>
    </row>
    <row r="6128" spans="23:23" ht="18.75" customHeight="1">
      <c r="W6128" s="253"/>
    </row>
    <row r="6129" spans="23:23" ht="18.75" customHeight="1">
      <c r="W6129" s="253"/>
    </row>
    <row r="6130" spans="23:23" ht="18.75" customHeight="1">
      <c r="W6130" s="253"/>
    </row>
    <row r="6131" spans="23:23" ht="18.75" customHeight="1">
      <c r="W6131" s="253"/>
    </row>
    <row r="6132" spans="23:23" ht="18.75" customHeight="1">
      <c r="W6132" s="253"/>
    </row>
    <row r="6133" spans="23:23" ht="18.75" customHeight="1">
      <c r="W6133" s="253"/>
    </row>
    <row r="6134" spans="23:23" ht="18.75" customHeight="1">
      <c r="W6134" s="253"/>
    </row>
    <row r="6135" spans="23:23" ht="18.75" customHeight="1">
      <c r="W6135" s="253"/>
    </row>
    <row r="6136" spans="23:23" ht="18.75" customHeight="1">
      <c r="W6136" s="253"/>
    </row>
    <row r="6137" spans="23:23" ht="18.75" customHeight="1">
      <c r="W6137" s="253"/>
    </row>
    <row r="6138" spans="23:23" ht="18.75" customHeight="1">
      <c r="W6138" s="253"/>
    </row>
    <row r="6139" spans="23:23" ht="18.75" customHeight="1">
      <c r="W6139" s="253"/>
    </row>
    <row r="6140" spans="23:23" ht="18.75" customHeight="1">
      <c r="W6140" s="253"/>
    </row>
    <row r="6141" spans="23:23" ht="18.75" customHeight="1">
      <c r="W6141" s="253"/>
    </row>
    <row r="6142" spans="23:23" ht="18.75" customHeight="1">
      <c r="W6142" s="253"/>
    </row>
    <row r="6143" spans="23:23" ht="18.75" customHeight="1">
      <c r="W6143" s="253"/>
    </row>
    <row r="6144" spans="23:23" ht="18.75" customHeight="1">
      <c r="W6144" s="253"/>
    </row>
    <row r="6145" spans="23:23" ht="18.75" customHeight="1">
      <c r="W6145" s="253"/>
    </row>
    <row r="6146" spans="23:23" ht="18.75" customHeight="1">
      <c r="W6146" s="253"/>
    </row>
    <row r="6147" spans="23:23" ht="18.75" customHeight="1">
      <c r="W6147" s="253"/>
    </row>
    <row r="6148" spans="23:23" ht="18.75" customHeight="1">
      <c r="W6148" s="253"/>
    </row>
    <row r="6149" spans="23:23" ht="18.75" customHeight="1">
      <c r="W6149" s="253"/>
    </row>
    <row r="6150" spans="23:23" ht="18.75" customHeight="1">
      <c r="W6150" s="253"/>
    </row>
    <row r="6151" spans="23:23" ht="18.75" customHeight="1">
      <c r="W6151" s="253"/>
    </row>
    <row r="6152" spans="23:23" ht="18.75" customHeight="1">
      <c r="W6152" s="253"/>
    </row>
    <row r="6153" spans="23:23" ht="18.75" customHeight="1">
      <c r="W6153" s="253"/>
    </row>
    <row r="6154" spans="23:23" ht="18.75" customHeight="1">
      <c r="W6154" s="253"/>
    </row>
    <row r="6155" spans="23:23" ht="18.75" customHeight="1">
      <c r="W6155" s="253"/>
    </row>
    <row r="6156" spans="23:23" ht="18.75" customHeight="1">
      <c r="W6156" s="253"/>
    </row>
    <row r="6157" spans="23:23" ht="18.75" customHeight="1">
      <c r="W6157" s="253"/>
    </row>
    <row r="6158" spans="23:23" ht="18.75" customHeight="1">
      <c r="W6158" s="253"/>
    </row>
    <row r="6159" spans="23:23" ht="18.75" customHeight="1">
      <c r="W6159" s="253"/>
    </row>
    <row r="6160" spans="23:23" ht="18.75" customHeight="1">
      <c r="W6160" s="253"/>
    </row>
    <row r="6161" spans="23:23" ht="18.75" customHeight="1">
      <c r="W6161" s="253"/>
    </row>
    <row r="6162" spans="23:23" ht="18.75" customHeight="1">
      <c r="W6162" s="253"/>
    </row>
    <row r="6163" spans="23:23" ht="18.75" customHeight="1">
      <c r="W6163" s="253"/>
    </row>
    <row r="6164" spans="23:23" ht="18.75" customHeight="1">
      <c r="W6164" s="253"/>
    </row>
    <row r="6165" spans="23:23" ht="18.75" customHeight="1">
      <c r="W6165" s="253"/>
    </row>
    <row r="6166" spans="23:23" ht="18.75" customHeight="1">
      <c r="W6166" s="253"/>
    </row>
    <row r="6167" spans="23:23" ht="18.75" customHeight="1">
      <c r="W6167" s="253"/>
    </row>
    <row r="6168" spans="23:23" ht="18.75" customHeight="1">
      <c r="W6168" s="253"/>
    </row>
    <row r="6169" spans="23:23" ht="18.75" customHeight="1">
      <c r="W6169" s="253"/>
    </row>
    <row r="6170" spans="23:23" ht="18.75" customHeight="1">
      <c r="W6170" s="253"/>
    </row>
    <row r="6171" spans="23:23" ht="18.75" customHeight="1">
      <c r="W6171" s="253"/>
    </row>
    <row r="6172" spans="23:23" ht="18.75" customHeight="1">
      <c r="W6172" s="253"/>
    </row>
    <row r="6173" spans="23:23" ht="18.75" customHeight="1">
      <c r="W6173" s="253"/>
    </row>
    <row r="6174" spans="23:23" ht="18.75" customHeight="1">
      <c r="W6174" s="253"/>
    </row>
    <row r="6175" spans="23:23" ht="18.75" customHeight="1">
      <c r="W6175" s="253"/>
    </row>
    <row r="6176" spans="23:23" ht="18.75" customHeight="1">
      <c r="W6176" s="253"/>
    </row>
    <row r="6177" spans="23:23" ht="18.75" customHeight="1">
      <c r="W6177" s="253"/>
    </row>
    <row r="6178" spans="23:23" ht="18.75" customHeight="1">
      <c r="W6178" s="253"/>
    </row>
    <row r="6179" spans="23:23" ht="18.75" customHeight="1">
      <c r="W6179" s="253"/>
    </row>
    <row r="6180" spans="23:23" ht="18.75" customHeight="1">
      <c r="W6180" s="253"/>
    </row>
    <row r="6181" spans="23:23" ht="18.75" customHeight="1">
      <c r="W6181" s="253"/>
    </row>
    <row r="6182" spans="23:23" ht="18.75" customHeight="1">
      <c r="W6182" s="253"/>
    </row>
    <row r="6183" spans="23:23" ht="18.75" customHeight="1">
      <c r="W6183" s="253"/>
    </row>
    <row r="6184" spans="23:23" ht="18.75" customHeight="1">
      <c r="W6184" s="253"/>
    </row>
    <row r="6185" spans="23:23" ht="18.75" customHeight="1">
      <c r="W6185" s="253"/>
    </row>
    <row r="6186" spans="23:23" ht="18.75" customHeight="1">
      <c r="W6186" s="253"/>
    </row>
    <row r="6187" spans="23:23" ht="18.75" customHeight="1">
      <c r="W6187" s="253"/>
    </row>
    <row r="6188" spans="23:23" ht="18.75" customHeight="1">
      <c r="W6188" s="253"/>
    </row>
    <row r="6189" spans="23:23" ht="18.75" customHeight="1">
      <c r="W6189" s="253"/>
    </row>
    <row r="6190" spans="23:23" ht="18.75" customHeight="1">
      <c r="W6190" s="253"/>
    </row>
    <row r="6191" spans="23:23" ht="18.75" customHeight="1">
      <c r="W6191" s="253"/>
    </row>
    <row r="6192" spans="23:23" ht="18.75" customHeight="1">
      <c r="W6192" s="253"/>
    </row>
    <row r="6193" spans="23:23" ht="18.75" customHeight="1">
      <c r="W6193" s="253"/>
    </row>
    <row r="6194" spans="23:23" ht="18.75" customHeight="1">
      <c r="W6194" s="253"/>
    </row>
    <row r="6195" spans="23:23" ht="18.75" customHeight="1">
      <c r="W6195" s="253"/>
    </row>
    <row r="6196" spans="23:23" ht="18.75" customHeight="1">
      <c r="W6196" s="253"/>
    </row>
    <row r="6197" spans="23:23" ht="18.75" customHeight="1">
      <c r="W6197" s="253"/>
    </row>
    <row r="6198" spans="23:23" ht="18.75" customHeight="1">
      <c r="W6198" s="253"/>
    </row>
    <row r="6199" spans="23:23" ht="18.75" customHeight="1">
      <c r="W6199" s="253"/>
    </row>
    <row r="6200" spans="23:23" ht="18.75" customHeight="1">
      <c r="W6200" s="253"/>
    </row>
    <row r="6201" spans="23:23" ht="18.75" customHeight="1">
      <c r="W6201" s="253"/>
    </row>
    <row r="6202" spans="23:23" ht="18.75" customHeight="1">
      <c r="W6202" s="253"/>
    </row>
    <row r="6203" spans="23:23" ht="18.75" customHeight="1">
      <c r="W6203" s="253"/>
    </row>
    <row r="6204" spans="23:23" ht="18.75" customHeight="1">
      <c r="W6204" s="253"/>
    </row>
    <row r="6205" spans="23:23" ht="18.75" customHeight="1">
      <c r="W6205" s="253"/>
    </row>
    <row r="6206" spans="23:23" ht="18.75" customHeight="1">
      <c r="W6206" s="253"/>
    </row>
    <row r="6207" spans="23:23" ht="18.75" customHeight="1">
      <c r="W6207" s="253"/>
    </row>
    <row r="6208" spans="23:23" ht="18.75" customHeight="1">
      <c r="W6208" s="253"/>
    </row>
    <row r="6209" spans="23:23" ht="18.75" customHeight="1">
      <c r="W6209" s="253"/>
    </row>
    <row r="6210" spans="23:23" ht="18.75" customHeight="1">
      <c r="W6210" s="253"/>
    </row>
    <row r="6211" spans="23:23" ht="18.75" customHeight="1">
      <c r="W6211" s="253"/>
    </row>
    <row r="6212" spans="23:23" ht="18.75" customHeight="1">
      <c r="W6212" s="253"/>
    </row>
    <row r="6213" spans="23:23" ht="18.75" customHeight="1">
      <c r="W6213" s="253"/>
    </row>
    <row r="6214" spans="23:23" ht="18.75" customHeight="1">
      <c r="W6214" s="253"/>
    </row>
    <row r="6215" spans="23:23" ht="18.75" customHeight="1">
      <c r="W6215" s="253"/>
    </row>
    <row r="6216" spans="23:23" ht="18.75" customHeight="1">
      <c r="W6216" s="253"/>
    </row>
    <row r="6217" spans="23:23" ht="18.75" customHeight="1">
      <c r="W6217" s="253"/>
    </row>
    <row r="6218" spans="23:23" ht="18.75" customHeight="1">
      <c r="W6218" s="253"/>
    </row>
    <row r="6219" spans="23:23" ht="18.75" customHeight="1">
      <c r="W6219" s="253"/>
    </row>
    <row r="6220" spans="23:23" ht="18.75" customHeight="1">
      <c r="W6220" s="253"/>
    </row>
    <row r="6221" spans="23:23" ht="18.75" customHeight="1">
      <c r="W6221" s="253"/>
    </row>
    <row r="6222" spans="23:23" ht="18.75" customHeight="1">
      <c r="W6222" s="253"/>
    </row>
    <row r="6223" spans="23:23" ht="18.75" customHeight="1">
      <c r="W6223" s="253"/>
    </row>
    <row r="6224" spans="23:23" ht="18.75" customHeight="1">
      <c r="W6224" s="253"/>
    </row>
    <row r="6225" spans="23:23" ht="18.75" customHeight="1">
      <c r="W6225" s="253"/>
    </row>
    <row r="6226" spans="23:23" ht="18.75" customHeight="1">
      <c r="W6226" s="253"/>
    </row>
    <row r="6227" spans="23:23" ht="18.75" customHeight="1">
      <c r="W6227" s="253"/>
    </row>
    <row r="6228" spans="23:23" ht="18.75" customHeight="1">
      <c r="W6228" s="253"/>
    </row>
    <row r="6229" spans="23:23" ht="18.75" customHeight="1">
      <c r="W6229" s="253"/>
    </row>
    <row r="6230" spans="23:23" ht="18.75" customHeight="1">
      <c r="W6230" s="253"/>
    </row>
    <row r="6231" spans="23:23" ht="18.75" customHeight="1">
      <c r="W6231" s="253"/>
    </row>
    <row r="6232" spans="23:23" ht="18.75" customHeight="1">
      <c r="W6232" s="253"/>
    </row>
    <row r="6233" spans="23:23" ht="18.75" customHeight="1">
      <c r="W6233" s="253"/>
    </row>
    <row r="6234" spans="23:23" ht="18.75" customHeight="1">
      <c r="W6234" s="253"/>
    </row>
    <row r="6235" spans="23:23" ht="18.75" customHeight="1">
      <c r="W6235" s="253"/>
    </row>
    <row r="6236" spans="23:23" ht="18.75" customHeight="1">
      <c r="W6236" s="253"/>
    </row>
    <row r="6237" spans="23:23" ht="18.75" customHeight="1">
      <c r="W6237" s="253"/>
    </row>
    <row r="6238" spans="23:23" ht="18.75" customHeight="1">
      <c r="W6238" s="253"/>
    </row>
    <row r="6239" spans="23:23" ht="18.75" customHeight="1">
      <c r="W6239" s="253"/>
    </row>
    <row r="6240" spans="23:23" ht="18.75" customHeight="1">
      <c r="W6240" s="253"/>
    </row>
    <row r="6241" spans="23:23" ht="18.75" customHeight="1">
      <c r="W6241" s="253"/>
    </row>
    <row r="6242" spans="23:23" ht="18.75" customHeight="1">
      <c r="W6242" s="253"/>
    </row>
    <row r="6243" spans="23:23" ht="18.75" customHeight="1">
      <c r="W6243" s="253"/>
    </row>
    <row r="6244" spans="23:23" ht="18.75" customHeight="1">
      <c r="W6244" s="253"/>
    </row>
    <row r="6245" spans="23:23" ht="18.75" customHeight="1">
      <c r="W6245" s="253"/>
    </row>
    <row r="6246" spans="23:23" ht="18.75" customHeight="1">
      <c r="W6246" s="253"/>
    </row>
    <row r="6247" spans="23:23" ht="18.75" customHeight="1">
      <c r="W6247" s="253"/>
    </row>
    <row r="6248" spans="23:23" ht="18.75" customHeight="1">
      <c r="W6248" s="253"/>
    </row>
    <row r="6249" spans="23:23" ht="18.75" customHeight="1">
      <c r="W6249" s="253"/>
    </row>
    <row r="6250" spans="23:23" ht="18.75" customHeight="1">
      <c r="W6250" s="253"/>
    </row>
    <row r="6251" spans="23:23" ht="18.75" customHeight="1">
      <c r="W6251" s="253"/>
    </row>
    <row r="6252" spans="23:23" ht="18.75" customHeight="1">
      <c r="W6252" s="253"/>
    </row>
    <row r="6253" spans="23:23" ht="18.75" customHeight="1">
      <c r="W6253" s="253"/>
    </row>
    <row r="6254" spans="23:23" ht="18.75" customHeight="1">
      <c r="W6254" s="253"/>
    </row>
    <row r="6255" spans="23:23" ht="18.75" customHeight="1">
      <c r="W6255" s="253"/>
    </row>
    <row r="6256" spans="23:23" ht="18.75" customHeight="1">
      <c r="W6256" s="253"/>
    </row>
    <row r="6257" spans="23:23" ht="18.75" customHeight="1">
      <c r="W6257" s="253"/>
    </row>
    <row r="6258" spans="23:23" ht="18.75" customHeight="1">
      <c r="W6258" s="253"/>
    </row>
    <row r="6259" spans="23:23" ht="18.75" customHeight="1">
      <c r="W6259" s="253"/>
    </row>
    <row r="6260" spans="23:23" ht="18.75" customHeight="1">
      <c r="W6260" s="253"/>
    </row>
    <row r="6261" spans="23:23" ht="18.75" customHeight="1">
      <c r="W6261" s="253"/>
    </row>
    <row r="6262" spans="23:23" ht="18.75" customHeight="1">
      <c r="W6262" s="253"/>
    </row>
    <row r="6263" spans="23:23" ht="18.75" customHeight="1">
      <c r="W6263" s="253"/>
    </row>
    <row r="6264" spans="23:23" ht="18.75" customHeight="1">
      <c r="W6264" s="253"/>
    </row>
    <row r="6265" spans="23:23" ht="18.75" customHeight="1">
      <c r="W6265" s="253"/>
    </row>
    <row r="6266" spans="23:23" ht="18.75" customHeight="1">
      <c r="W6266" s="253"/>
    </row>
    <row r="6267" spans="23:23" ht="18.75" customHeight="1">
      <c r="W6267" s="253"/>
    </row>
    <row r="6268" spans="23:23" ht="18.75" customHeight="1">
      <c r="W6268" s="253"/>
    </row>
    <row r="6269" spans="23:23" ht="18.75" customHeight="1">
      <c r="W6269" s="253"/>
    </row>
    <row r="6270" spans="23:23" ht="18.75" customHeight="1">
      <c r="W6270" s="253"/>
    </row>
    <row r="6271" spans="23:23" ht="18.75" customHeight="1">
      <c r="W6271" s="253"/>
    </row>
    <row r="6272" spans="23:23" ht="18.75" customHeight="1">
      <c r="W6272" s="253"/>
    </row>
    <row r="6273" spans="23:23" ht="18.75" customHeight="1">
      <c r="W6273" s="253"/>
    </row>
    <row r="6274" spans="23:23" ht="18.75" customHeight="1">
      <c r="W6274" s="253"/>
    </row>
    <row r="6275" spans="23:23" ht="18.75" customHeight="1">
      <c r="W6275" s="253"/>
    </row>
    <row r="6276" spans="23:23" ht="18.75" customHeight="1">
      <c r="W6276" s="253"/>
    </row>
    <row r="6277" spans="23:23" ht="18.75" customHeight="1">
      <c r="W6277" s="253"/>
    </row>
    <row r="6278" spans="23:23" ht="18.75" customHeight="1">
      <c r="W6278" s="253"/>
    </row>
    <row r="6279" spans="23:23" ht="18.75" customHeight="1">
      <c r="W6279" s="253"/>
    </row>
    <row r="6280" spans="23:23" ht="18.75" customHeight="1">
      <c r="W6280" s="253"/>
    </row>
    <row r="6281" spans="23:23" ht="18.75" customHeight="1">
      <c r="W6281" s="253"/>
    </row>
    <row r="6282" spans="23:23" ht="18.75" customHeight="1">
      <c r="W6282" s="253"/>
    </row>
    <row r="6283" spans="23:23" ht="18.75" customHeight="1">
      <c r="W6283" s="253"/>
    </row>
    <row r="6284" spans="23:23" ht="18.75" customHeight="1">
      <c r="W6284" s="253"/>
    </row>
    <row r="6285" spans="23:23" ht="18.75" customHeight="1">
      <c r="W6285" s="253"/>
    </row>
    <row r="6286" spans="23:23" ht="18.75" customHeight="1">
      <c r="W6286" s="253"/>
    </row>
    <row r="6287" spans="23:23" ht="18.75" customHeight="1">
      <c r="W6287" s="253"/>
    </row>
    <row r="6288" spans="23:23" ht="18.75" customHeight="1">
      <c r="W6288" s="253"/>
    </row>
    <row r="6289" spans="23:23" ht="18.75" customHeight="1">
      <c r="W6289" s="253"/>
    </row>
    <row r="6290" spans="23:23" ht="18.75" customHeight="1">
      <c r="W6290" s="253"/>
    </row>
    <row r="6291" spans="23:23" ht="18.75" customHeight="1">
      <c r="W6291" s="253"/>
    </row>
    <row r="6292" spans="23:23" ht="18.75" customHeight="1">
      <c r="W6292" s="253"/>
    </row>
    <row r="6293" spans="23:23" ht="18.75" customHeight="1">
      <c r="W6293" s="253"/>
    </row>
    <row r="6294" spans="23:23" ht="18.75" customHeight="1">
      <c r="W6294" s="253"/>
    </row>
    <row r="6295" spans="23:23" ht="18.75" customHeight="1">
      <c r="W6295" s="253"/>
    </row>
    <row r="6296" spans="23:23" ht="18.75" customHeight="1">
      <c r="W6296" s="253"/>
    </row>
    <row r="6297" spans="23:23" ht="18.75" customHeight="1">
      <c r="W6297" s="253"/>
    </row>
    <row r="6298" spans="23:23" ht="18.75" customHeight="1">
      <c r="W6298" s="253"/>
    </row>
    <row r="6299" spans="23:23" ht="18.75" customHeight="1">
      <c r="W6299" s="253"/>
    </row>
    <row r="6300" spans="23:23" ht="18.75" customHeight="1">
      <c r="W6300" s="253"/>
    </row>
    <row r="6301" spans="23:23" ht="18.75" customHeight="1">
      <c r="W6301" s="253"/>
    </row>
    <row r="6302" spans="23:23" ht="18.75" customHeight="1">
      <c r="W6302" s="253"/>
    </row>
    <row r="6303" spans="23:23" ht="18.75" customHeight="1">
      <c r="W6303" s="253"/>
    </row>
    <row r="6304" spans="23:23" ht="18.75" customHeight="1">
      <c r="W6304" s="253"/>
    </row>
    <row r="6305" spans="23:23" ht="18.75" customHeight="1">
      <c r="W6305" s="253"/>
    </row>
    <row r="6306" spans="23:23" ht="18.75" customHeight="1">
      <c r="W6306" s="253"/>
    </row>
    <row r="6307" spans="23:23" ht="18.75" customHeight="1">
      <c r="W6307" s="253"/>
    </row>
    <row r="6308" spans="23:23" ht="18.75" customHeight="1">
      <c r="W6308" s="253"/>
    </row>
    <row r="6309" spans="23:23" ht="18.75" customHeight="1">
      <c r="W6309" s="253"/>
    </row>
    <row r="6310" spans="23:23" ht="18.75" customHeight="1">
      <c r="W6310" s="253"/>
    </row>
    <row r="6311" spans="23:23" ht="18.75" customHeight="1">
      <c r="W6311" s="253"/>
    </row>
    <row r="6312" spans="23:23" ht="18.75" customHeight="1">
      <c r="W6312" s="253"/>
    </row>
    <row r="6313" spans="23:23" ht="18.75" customHeight="1">
      <c r="W6313" s="253"/>
    </row>
    <row r="6314" spans="23:23" ht="18.75" customHeight="1">
      <c r="W6314" s="253"/>
    </row>
    <row r="6315" spans="23:23" ht="18.75" customHeight="1">
      <c r="W6315" s="253"/>
    </row>
    <row r="6316" spans="23:23" ht="18.75" customHeight="1">
      <c r="W6316" s="253"/>
    </row>
    <row r="6317" spans="23:23" ht="18.75" customHeight="1">
      <c r="W6317" s="253"/>
    </row>
    <row r="6318" spans="23:23" ht="18.75" customHeight="1">
      <c r="W6318" s="253"/>
    </row>
    <row r="6319" spans="23:23" ht="18.75" customHeight="1">
      <c r="W6319" s="253"/>
    </row>
    <row r="6320" spans="23:23" ht="18.75" customHeight="1">
      <c r="W6320" s="253"/>
    </row>
    <row r="6321" spans="23:23" ht="18.75" customHeight="1">
      <c r="W6321" s="253"/>
    </row>
    <row r="6322" spans="23:23" ht="18.75" customHeight="1">
      <c r="W6322" s="253"/>
    </row>
    <row r="6323" spans="23:23" ht="18.75" customHeight="1">
      <c r="W6323" s="253"/>
    </row>
    <row r="6324" spans="23:23" ht="18.75" customHeight="1">
      <c r="W6324" s="253"/>
    </row>
    <row r="6325" spans="23:23" ht="18.75" customHeight="1">
      <c r="W6325" s="253"/>
    </row>
    <row r="6326" spans="23:23" ht="18.75" customHeight="1">
      <c r="W6326" s="253"/>
    </row>
    <row r="6327" spans="23:23" ht="18.75" customHeight="1">
      <c r="W6327" s="253"/>
    </row>
    <row r="6328" spans="23:23" ht="18.75" customHeight="1">
      <c r="W6328" s="253"/>
    </row>
    <row r="6329" spans="23:23" ht="18.75" customHeight="1">
      <c r="W6329" s="253"/>
    </row>
    <row r="6330" spans="23:23" ht="18.75" customHeight="1">
      <c r="W6330" s="253"/>
    </row>
    <row r="6331" spans="23:23" ht="18.75" customHeight="1">
      <c r="W6331" s="253"/>
    </row>
    <row r="6332" spans="23:23" ht="18.75" customHeight="1">
      <c r="W6332" s="253"/>
    </row>
    <row r="6333" spans="23:23" ht="18.75" customHeight="1">
      <c r="W6333" s="253"/>
    </row>
    <row r="6334" spans="23:23" ht="18.75" customHeight="1">
      <c r="W6334" s="253"/>
    </row>
    <row r="6335" spans="23:23" ht="18.75" customHeight="1">
      <c r="W6335" s="253"/>
    </row>
    <row r="6336" spans="23:23" ht="18.75" customHeight="1">
      <c r="W6336" s="253"/>
    </row>
    <row r="6337" spans="23:23" ht="18.75" customHeight="1">
      <c r="W6337" s="253"/>
    </row>
    <row r="6338" spans="23:23" ht="18.75" customHeight="1">
      <c r="W6338" s="253"/>
    </row>
    <row r="6339" spans="23:23" ht="18.75" customHeight="1">
      <c r="W6339" s="253"/>
    </row>
    <row r="6340" spans="23:23" ht="18.75" customHeight="1">
      <c r="W6340" s="253"/>
    </row>
    <row r="6341" spans="23:23" ht="18.75" customHeight="1">
      <c r="W6341" s="253"/>
    </row>
    <row r="6342" spans="23:23" ht="18.75" customHeight="1">
      <c r="W6342" s="253"/>
    </row>
    <row r="6343" spans="23:23" ht="18.75" customHeight="1">
      <c r="W6343" s="253"/>
    </row>
    <row r="6344" spans="23:23" ht="18.75" customHeight="1">
      <c r="W6344" s="253"/>
    </row>
    <row r="6345" spans="23:23" ht="18.75" customHeight="1">
      <c r="W6345" s="253"/>
    </row>
    <row r="6346" spans="23:23" ht="18.75" customHeight="1">
      <c r="W6346" s="253"/>
    </row>
    <row r="6347" spans="23:23" ht="18.75" customHeight="1">
      <c r="W6347" s="253"/>
    </row>
    <row r="6348" spans="23:23" ht="18.75" customHeight="1">
      <c r="W6348" s="253"/>
    </row>
    <row r="6349" spans="23:23" ht="18.75" customHeight="1">
      <c r="W6349" s="253"/>
    </row>
    <row r="6350" spans="23:23" ht="18.75" customHeight="1">
      <c r="W6350" s="253"/>
    </row>
    <row r="6351" spans="23:23" ht="18.75" customHeight="1">
      <c r="W6351" s="253"/>
    </row>
    <row r="6352" spans="23:23" ht="18.75" customHeight="1">
      <c r="W6352" s="253"/>
    </row>
    <row r="6353" spans="23:23" ht="18.75" customHeight="1">
      <c r="W6353" s="253"/>
    </row>
    <row r="6354" spans="23:23" ht="18.75" customHeight="1">
      <c r="W6354" s="253"/>
    </row>
    <row r="6355" spans="23:23" ht="18.75" customHeight="1">
      <c r="W6355" s="253"/>
    </row>
    <row r="6356" spans="23:23" ht="18.75" customHeight="1">
      <c r="W6356" s="253"/>
    </row>
    <row r="6357" spans="23:23" ht="18.75" customHeight="1">
      <c r="W6357" s="253"/>
    </row>
    <row r="6358" spans="23:23" ht="18.75" customHeight="1">
      <c r="W6358" s="253"/>
    </row>
    <row r="6359" spans="23:23" ht="18.75" customHeight="1">
      <c r="W6359" s="253"/>
    </row>
    <row r="6360" spans="23:23" ht="18.75" customHeight="1">
      <c r="W6360" s="253"/>
    </row>
    <row r="6361" spans="23:23" ht="18.75" customHeight="1">
      <c r="W6361" s="253"/>
    </row>
    <row r="6362" spans="23:23" ht="18.75" customHeight="1">
      <c r="W6362" s="253"/>
    </row>
    <row r="6363" spans="23:23" ht="18.75" customHeight="1">
      <c r="W6363" s="253"/>
    </row>
    <row r="6364" spans="23:23" ht="18.75" customHeight="1">
      <c r="W6364" s="253"/>
    </row>
    <row r="6365" spans="23:23" ht="18.75" customHeight="1">
      <c r="W6365" s="253"/>
    </row>
    <row r="6366" spans="23:23" ht="18.75" customHeight="1">
      <c r="W6366" s="253"/>
    </row>
    <row r="6367" spans="23:23" ht="18.75" customHeight="1">
      <c r="W6367" s="253"/>
    </row>
    <row r="6368" spans="23:23" ht="18.75" customHeight="1">
      <c r="W6368" s="253"/>
    </row>
    <row r="6369" spans="23:23" ht="18.75" customHeight="1">
      <c r="W6369" s="253"/>
    </row>
    <row r="6370" spans="23:23" ht="18.75" customHeight="1">
      <c r="W6370" s="253"/>
    </row>
    <row r="6371" spans="23:23" ht="18.75" customHeight="1">
      <c r="W6371" s="253"/>
    </row>
    <row r="6372" spans="23:23" ht="18.75" customHeight="1">
      <c r="W6372" s="253"/>
    </row>
    <row r="6373" spans="23:23" ht="18.75" customHeight="1">
      <c r="W6373" s="253"/>
    </row>
    <row r="6374" spans="23:23" ht="18.75" customHeight="1">
      <c r="W6374" s="253"/>
    </row>
    <row r="6375" spans="23:23" ht="18.75" customHeight="1">
      <c r="W6375" s="253"/>
    </row>
    <row r="6376" spans="23:23" ht="18.75" customHeight="1">
      <c r="W6376" s="253"/>
    </row>
    <row r="6377" spans="23:23" ht="18.75" customHeight="1">
      <c r="W6377" s="253"/>
    </row>
    <row r="6378" spans="23:23" ht="18.75" customHeight="1">
      <c r="W6378" s="253"/>
    </row>
    <row r="6379" spans="23:23" ht="18.75" customHeight="1">
      <c r="W6379" s="253"/>
    </row>
    <row r="6380" spans="23:23" ht="18.75" customHeight="1">
      <c r="W6380" s="253"/>
    </row>
    <row r="6381" spans="23:23" ht="18.75" customHeight="1">
      <c r="W6381" s="253"/>
    </row>
    <row r="6382" spans="23:23" ht="18.75" customHeight="1">
      <c r="W6382" s="253"/>
    </row>
    <row r="6383" spans="23:23" ht="18.75" customHeight="1">
      <c r="W6383" s="253"/>
    </row>
    <row r="6384" spans="23:23" ht="18.75" customHeight="1">
      <c r="W6384" s="253"/>
    </row>
    <row r="6385" spans="23:23" ht="18.75" customHeight="1">
      <c r="W6385" s="253"/>
    </row>
    <row r="6386" spans="23:23" ht="18.75" customHeight="1">
      <c r="W6386" s="253"/>
    </row>
    <row r="6387" spans="23:23" ht="18.75" customHeight="1">
      <c r="W6387" s="253"/>
    </row>
    <row r="6388" spans="23:23" ht="18.75" customHeight="1">
      <c r="W6388" s="253"/>
    </row>
    <row r="6389" spans="23:23" ht="18.75" customHeight="1">
      <c r="W6389" s="253"/>
    </row>
    <row r="6390" spans="23:23" ht="18.75" customHeight="1">
      <c r="W6390" s="253"/>
    </row>
    <row r="6391" spans="23:23" ht="18.75" customHeight="1">
      <c r="W6391" s="253"/>
    </row>
    <row r="6392" spans="23:23" ht="18.75" customHeight="1">
      <c r="W6392" s="253"/>
    </row>
    <row r="6393" spans="23:23" ht="18.75" customHeight="1">
      <c r="W6393" s="253"/>
    </row>
    <row r="6394" spans="23:23" ht="18.75" customHeight="1">
      <c r="W6394" s="253"/>
    </row>
    <row r="6395" spans="23:23" ht="18.75" customHeight="1">
      <c r="W6395" s="253"/>
    </row>
    <row r="6396" spans="23:23" ht="18.75" customHeight="1">
      <c r="W6396" s="253"/>
    </row>
    <row r="6397" spans="23:23" ht="18.75" customHeight="1">
      <c r="W6397" s="253"/>
    </row>
    <row r="6398" spans="23:23" ht="18.75" customHeight="1">
      <c r="W6398" s="253"/>
    </row>
    <row r="6399" spans="23:23" ht="18.75" customHeight="1">
      <c r="W6399" s="253"/>
    </row>
    <row r="6400" spans="23:23" ht="18.75" customHeight="1">
      <c r="W6400" s="253"/>
    </row>
    <row r="6401" spans="23:23" ht="18.75" customHeight="1">
      <c r="W6401" s="253"/>
    </row>
    <row r="6402" spans="23:23" ht="18.75" customHeight="1">
      <c r="W6402" s="253"/>
    </row>
    <row r="6403" spans="23:23" ht="18.75" customHeight="1">
      <c r="W6403" s="253"/>
    </row>
    <row r="6404" spans="23:23" ht="18.75" customHeight="1">
      <c r="W6404" s="253"/>
    </row>
    <row r="6405" spans="23:23" ht="18.75" customHeight="1">
      <c r="W6405" s="253"/>
    </row>
    <row r="6406" spans="23:23" ht="18.75" customHeight="1">
      <c r="W6406" s="253"/>
    </row>
    <row r="6407" spans="23:23" ht="18.75" customHeight="1">
      <c r="W6407" s="253"/>
    </row>
    <row r="6408" spans="23:23" ht="18.75" customHeight="1">
      <c r="W6408" s="253"/>
    </row>
    <row r="6409" spans="23:23" ht="18.75" customHeight="1">
      <c r="W6409" s="253"/>
    </row>
    <row r="6410" spans="23:23" ht="18.75" customHeight="1">
      <c r="W6410" s="253"/>
    </row>
    <row r="6411" spans="23:23" ht="18.75" customHeight="1">
      <c r="W6411" s="253"/>
    </row>
    <row r="6412" spans="23:23" ht="18.75" customHeight="1">
      <c r="W6412" s="253"/>
    </row>
    <row r="6413" spans="23:23" ht="18.75" customHeight="1">
      <c r="W6413" s="253"/>
    </row>
    <row r="6414" spans="23:23" ht="18.75" customHeight="1">
      <c r="W6414" s="253"/>
    </row>
    <row r="6415" spans="23:23" ht="18.75" customHeight="1">
      <c r="W6415" s="253"/>
    </row>
    <row r="6416" spans="23:23" ht="18.75" customHeight="1">
      <c r="W6416" s="253"/>
    </row>
    <row r="6417" spans="23:23" ht="18.75" customHeight="1">
      <c r="W6417" s="253"/>
    </row>
    <row r="6418" spans="23:23" ht="18.75" customHeight="1">
      <c r="W6418" s="253"/>
    </row>
    <row r="6419" spans="23:23" ht="18.75" customHeight="1">
      <c r="W6419" s="253"/>
    </row>
    <row r="6420" spans="23:23" ht="18.75" customHeight="1">
      <c r="W6420" s="253"/>
    </row>
    <row r="6421" spans="23:23" ht="18.75" customHeight="1">
      <c r="W6421" s="253"/>
    </row>
    <row r="6422" spans="23:23" ht="18.75" customHeight="1">
      <c r="W6422" s="253"/>
    </row>
    <row r="6423" spans="23:23" ht="18.75" customHeight="1">
      <c r="W6423" s="253"/>
    </row>
    <row r="6424" spans="23:23" ht="18.75" customHeight="1">
      <c r="W6424" s="253"/>
    </row>
    <row r="6425" spans="23:23" ht="18.75" customHeight="1">
      <c r="W6425" s="253"/>
    </row>
    <row r="6426" spans="23:23" ht="18.75" customHeight="1">
      <c r="W6426" s="253"/>
    </row>
    <row r="6427" spans="23:23" ht="18.75" customHeight="1">
      <c r="W6427" s="253"/>
    </row>
    <row r="6428" spans="23:23" ht="18.75" customHeight="1">
      <c r="W6428" s="253"/>
    </row>
    <row r="6429" spans="23:23" ht="18.75" customHeight="1">
      <c r="W6429" s="253"/>
    </row>
    <row r="6430" spans="23:23" ht="18.75" customHeight="1">
      <c r="W6430" s="253"/>
    </row>
    <row r="6431" spans="23:23" ht="18.75" customHeight="1">
      <c r="W6431" s="253"/>
    </row>
    <row r="6432" spans="23:23" ht="18.75" customHeight="1">
      <c r="W6432" s="253"/>
    </row>
    <row r="6433" spans="23:23" ht="18.75" customHeight="1">
      <c r="W6433" s="253"/>
    </row>
    <row r="6434" spans="23:23" ht="18.75" customHeight="1">
      <c r="W6434" s="253"/>
    </row>
    <row r="6435" spans="23:23" ht="18.75" customHeight="1">
      <c r="W6435" s="253"/>
    </row>
    <row r="6436" spans="23:23" ht="18.75" customHeight="1">
      <c r="W6436" s="253"/>
    </row>
    <row r="6437" spans="23:23" ht="18.75" customHeight="1">
      <c r="W6437" s="253"/>
    </row>
    <row r="6438" spans="23:23" ht="18.75" customHeight="1">
      <c r="W6438" s="253"/>
    </row>
    <row r="6439" spans="23:23" ht="18.75" customHeight="1">
      <c r="W6439" s="253"/>
    </row>
    <row r="6440" spans="23:23" ht="18.75" customHeight="1">
      <c r="W6440" s="253"/>
    </row>
    <row r="6441" spans="23:23" ht="18.75" customHeight="1">
      <c r="W6441" s="253"/>
    </row>
    <row r="6442" spans="23:23" ht="18.75" customHeight="1">
      <c r="W6442" s="253"/>
    </row>
    <row r="6443" spans="23:23" ht="18.75" customHeight="1">
      <c r="W6443" s="253"/>
    </row>
    <row r="6444" spans="23:23" ht="18.75" customHeight="1">
      <c r="W6444" s="253"/>
    </row>
    <row r="6445" spans="23:23" ht="18.75" customHeight="1">
      <c r="W6445" s="253"/>
    </row>
    <row r="6446" spans="23:23" ht="18.75" customHeight="1">
      <c r="W6446" s="253"/>
    </row>
    <row r="6447" spans="23:23" ht="18.75" customHeight="1">
      <c r="W6447" s="253"/>
    </row>
    <row r="6448" spans="23:23" ht="18.75" customHeight="1">
      <c r="W6448" s="253"/>
    </row>
    <row r="6449" spans="23:23" ht="18.75" customHeight="1">
      <c r="W6449" s="253"/>
    </row>
    <row r="6450" spans="23:23" ht="18.75" customHeight="1">
      <c r="W6450" s="253"/>
    </row>
    <row r="6451" spans="23:23" ht="18.75" customHeight="1">
      <c r="W6451" s="253"/>
    </row>
    <row r="6452" spans="23:23" ht="18.75" customHeight="1">
      <c r="W6452" s="253"/>
    </row>
    <row r="6453" spans="23:23" ht="18.75" customHeight="1">
      <c r="W6453" s="253"/>
    </row>
    <row r="6454" spans="23:23" ht="18.75" customHeight="1">
      <c r="W6454" s="253"/>
    </row>
    <row r="6455" spans="23:23" ht="18.75" customHeight="1">
      <c r="W6455" s="253"/>
    </row>
    <row r="6456" spans="23:23" ht="18.75" customHeight="1">
      <c r="W6456" s="253"/>
    </row>
    <row r="6457" spans="23:23" ht="18.75" customHeight="1">
      <c r="W6457" s="253"/>
    </row>
    <row r="6458" spans="23:23" ht="18.75" customHeight="1">
      <c r="W6458" s="253"/>
    </row>
    <row r="6459" spans="23:23" ht="18.75" customHeight="1">
      <c r="W6459" s="253"/>
    </row>
    <row r="6460" spans="23:23" ht="18.75" customHeight="1">
      <c r="W6460" s="253"/>
    </row>
    <row r="6461" spans="23:23" ht="18.75" customHeight="1">
      <c r="W6461" s="253"/>
    </row>
    <row r="6462" spans="23:23" ht="18.75" customHeight="1">
      <c r="W6462" s="253"/>
    </row>
    <row r="6463" spans="23:23" ht="18.75" customHeight="1">
      <c r="W6463" s="253"/>
    </row>
    <row r="6464" spans="23:23" ht="18.75" customHeight="1">
      <c r="W6464" s="253"/>
    </row>
    <row r="6465" spans="23:23" ht="18.75" customHeight="1">
      <c r="W6465" s="253"/>
    </row>
    <row r="6466" spans="23:23" ht="18.75" customHeight="1">
      <c r="W6466" s="253"/>
    </row>
    <row r="6467" spans="23:23" ht="18.75" customHeight="1">
      <c r="W6467" s="253"/>
    </row>
    <row r="6468" spans="23:23" ht="18.75" customHeight="1">
      <c r="W6468" s="253"/>
    </row>
    <row r="6469" spans="23:23" ht="18.75" customHeight="1">
      <c r="W6469" s="253"/>
    </row>
    <row r="6470" spans="23:23" ht="18.75" customHeight="1">
      <c r="W6470" s="253"/>
    </row>
    <row r="6471" spans="23:23" ht="18.75" customHeight="1">
      <c r="W6471" s="253"/>
    </row>
    <row r="6472" spans="23:23" ht="18.75" customHeight="1">
      <c r="W6472" s="253"/>
    </row>
    <row r="6473" spans="23:23" ht="18.75" customHeight="1">
      <c r="W6473" s="253"/>
    </row>
    <row r="6474" spans="23:23" ht="18.75" customHeight="1">
      <c r="W6474" s="253"/>
    </row>
    <row r="6475" spans="23:23" ht="18.75" customHeight="1">
      <c r="W6475" s="253"/>
    </row>
    <row r="6476" spans="23:23" ht="18.75" customHeight="1">
      <c r="W6476" s="253"/>
    </row>
    <row r="6477" spans="23:23" ht="18.75" customHeight="1">
      <c r="W6477" s="253"/>
    </row>
    <row r="6478" spans="23:23" ht="18.75" customHeight="1">
      <c r="W6478" s="253"/>
    </row>
    <row r="6479" spans="23:23" ht="18.75" customHeight="1">
      <c r="W6479" s="253"/>
    </row>
    <row r="6480" spans="23:23" ht="18.75" customHeight="1">
      <c r="W6480" s="253"/>
    </row>
    <row r="6481" spans="23:23" ht="18.75" customHeight="1">
      <c r="W6481" s="253"/>
    </row>
    <row r="6482" spans="23:23" ht="18.75" customHeight="1">
      <c r="W6482" s="253"/>
    </row>
    <row r="6483" spans="23:23" ht="18.75" customHeight="1">
      <c r="W6483" s="253"/>
    </row>
    <row r="6484" spans="23:23" ht="18.75" customHeight="1">
      <c r="W6484" s="253"/>
    </row>
    <row r="6485" spans="23:23" ht="18.75" customHeight="1">
      <c r="W6485" s="253"/>
    </row>
    <row r="6486" spans="23:23" ht="18.75" customHeight="1">
      <c r="W6486" s="253"/>
    </row>
    <row r="6487" spans="23:23" ht="18.75" customHeight="1">
      <c r="W6487" s="253"/>
    </row>
    <row r="6488" spans="23:23" ht="18.75" customHeight="1">
      <c r="W6488" s="253"/>
    </row>
    <row r="6489" spans="23:23" ht="18.75" customHeight="1">
      <c r="W6489" s="253"/>
    </row>
    <row r="6490" spans="23:23" ht="18.75" customHeight="1">
      <c r="W6490" s="253"/>
    </row>
    <row r="6491" spans="23:23" ht="18.75" customHeight="1">
      <c r="W6491" s="253"/>
    </row>
    <row r="6492" spans="23:23" ht="18.75" customHeight="1">
      <c r="W6492" s="253"/>
    </row>
    <row r="6493" spans="23:23" ht="18.75" customHeight="1">
      <c r="W6493" s="253"/>
    </row>
    <row r="6494" spans="23:23" ht="18.75" customHeight="1">
      <c r="W6494" s="253"/>
    </row>
    <row r="6495" spans="23:23" ht="18.75" customHeight="1">
      <c r="W6495" s="253"/>
    </row>
    <row r="6496" spans="23:23" ht="18.75" customHeight="1">
      <c r="W6496" s="253"/>
    </row>
    <row r="6497" spans="23:23" ht="18.75" customHeight="1">
      <c r="W6497" s="253"/>
    </row>
    <row r="6498" spans="23:23" ht="18.75" customHeight="1">
      <c r="W6498" s="253"/>
    </row>
    <row r="6499" spans="23:23" ht="18.75" customHeight="1">
      <c r="W6499" s="253"/>
    </row>
    <row r="6500" spans="23:23" ht="18.75" customHeight="1">
      <c r="W6500" s="253"/>
    </row>
    <row r="6501" spans="23:23" ht="18.75" customHeight="1">
      <c r="W6501" s="253"/>
    </row>
    <row r="6502" spans="23:23" ht="18.75" customHeight="1">
      <c r="W6502" s="253"/>
    </row>
    <row r="6503" spans="23:23" ht="18.75" customHeight="1">
      <c r="W6503" s="253"/>
    </row>
    <row r="6504" spans="23:23" ht="18.75" customHeight="1">
      <c r="W6504" s="253"/>
    </row>
    <row r="6505" spans="23:23" ht="18.75" customHeight="1">
      <c r="W6505" s="253"/>
    </row>
    <row r="6506" spans="23:23" ht="18.75" customHeight="1">
      <c r="W6506" s="253"/>
    </row>
    <row r="6507" spans="23:23" ht="18.75" customHeight="1">
      <c r="W6507" s="253"/>
    </row>
    <row r="6508" spans="23:23" ht="18.75" customHeight="1">
      <c r="W6508" s="253"/>
    </row>
    <row r="6509" spans="23:23" ht="18.75" customHeight="1">
      <c r="W6509" s="253"/>
    </row>
    <row r="6510" spans="23:23" ht="18.75" customHeight="1">
      <c r="W6510" s="253"/>
    </row>
    <row r="6511" spans="23:23" ht="18.75" customHeight="1">
      <c r="W6511" s="253"/>
    </row>
    <row r="6512" spans="23:23" ht="18.75" customHeight="1">
      <c r="W6512" s="253"/>
    </row>
    <row r="6513" spans="23:23" ht="18.75" customHeight="1">
      <c r="W6513" s="253"/>
    </row>
    <row r="6514" spans="23:23" ht="18.75" customHeight="1">
      <c r="W6514" s="253"/>
    </row>
    <row r="6515" spans="23:23" ht="18.75" customHeight="1">
      <c r="W6515" s="253"/>
    </row>
    <row r="6516" spans="23:23" ht="18.75" customHeight="1">
      <c r="W6516" s="253"/>
    </row>
    <row r="6517" spans="23:23" ht="18.75" customHeight="1">
      <c r="W6517" s="253"/>
    </row>
    <row r="6518" spans="23:23" ht="18.75" customHeight="1">
      <c r="W6518" s="253"/>
    </row>
    <row r="6519" spans="23:23" ht="18.75" customHeight="1">
      <c r="W6519" s="253"/>
    </row>
    <row r="6520" spans="23:23" ht="18.75" customHeight="1">
      <c r="W6520" s="253"/>
    </row>
    <row r="6521" spans="23:23" ht="18.75" customHeight="1">
      <c r="W6521" s="253"/>
    </row>
    <row r="6522" spans="23:23" ht="18.75" customHeight="1">
      <c r="W6522" s="253"/>
    </row>
    <row r="6523" spans="23:23" ht="18.75" customHeight="1">
      <c r="W6523" s="253"/>
    </row>
    <row r="6524" spans="23:23" ht="18.75" customHeight="1">
      <c r="W6524" s="253"/>
    </row>
    <row r="6525" spans="23:23" ht="18.75" customHeight="1">
      <c r="W6525" s="253"/>
    </row>
    <row r="6526" spans="23:23" ht="18.75" customHeight="1">
      <c r="W6526" s="253"/>
    </row>
    <row r="6527" spans="23:23" ht="18.75" customHeight="1">
      <c r="W6527" s="253"/>
    </row>
    <row r="6528" spans="23:23" ht="18.75" customHeight="1">
      <c r="W6528" s="253"/>
    </row>
    <row r="6529" spans="23:23" ht="18.75" customHeight="1">
      <c r="W6529" s="253"/>
    </row>
    <row r="6530" spans="23:23" ht="18.75" customHeight="1">
      <c r="W6530" s="253"/>
    </row>
    <row r="6531" spans="23:23" ht="18.75" customHeight="1">
      <c r="W6531" s="253"/>
    </row>
    <row r="6532" spans="23:23" ht="18.75" customHeight="1">
      <c r="W6532" s="253"/>
    </row>
    <row r="6533" spans="23:23" ht="18.75" customHeight="1">
      <c r="W6533" s="253"/>
    </row>
    <row r="6534" spans="23:23" ht="18.75" customHeight="1">
      <c r="W6534" s="253"/>
    </row>
    <row r="6535" spans="23:23" ht="18.75" customHeight="1">
      <c r="W6535" s="253"/>
    </row>
    <row r="6536" spans="23:23" ht="18.75" customHeight="1">
      <c r="W6536" s="253"/>
    </row>
    <row r="6537" spans="23:23" ht="18.75" customHeight="1">
      <c r="W6537" s="253"/>
    </row>
    <row r="6538" spans="23:23" ht="18.75" customHeight="1">
      <c r="W6538" s="253"/>
    </row>
    <row r="6539" spans="23:23" ht="18.75" customHeight="1">
      <c r="W6539" s="253"/>
    </row>
    <row r="6540" spans="23:23" ht="18.75" customHeight="1">
      <c r="W6540" s="253"/>
    </row>
    <row r="6541" spans="23:23" ht="18.75" customHeight="1">
      <c r="W6541" s="253"/>
    </row>
    <row r="6542" spans="23:23" ht="18.75" customHeight="1">
      <c r="W6542" s="253"/>
    </row>
    <row r="6543" spans="23:23" ht="18.75" customHeight="1">
      <c r="W6543" s="253"/>
    </row>
    <row r="6544" spans="23:23" ht="18.75" customHeight="1">
      <c r="W6544" s="253"/>
    </row>
    <row r="6545" spans="23:23" ht="18.75" customHeight="1">
      <c r="W6545" s="253"/>
    </row>
    <row r="6546" spans="23:23" ht="18.75" customHeight="1">
      <c r="W6546" s="253"/>
    </row>
    <row r="6547" spans="23:23" ht="18.75" customHeight="1">
      <c r="W6547" s="253"/>
    </row>
    <row r="6548" spans="23:23" ht="18.75" customHeight="1">
      <c r="W6548" s="253"/>
    </row>
    <row r="6549" spans="23:23" ht="18.75" customHeight="1">
      <c r="W6549" s="253"/>
    </row>
    <row r="6550" spans="23:23" ht="18.75" customHeight="1">
      <c r="W6550" s="253"/>
    </row>
    <row r="6551" spans="23:23" ht="18.75" customHeight="1">
      <c r="W6551" s="253"/>
    </row>
    <row r="6552" spans="23:23" ht="18.75" customHeight="1">
      <c r="W6552" s="253"/>
    </row>
    <row r="6553" spans="23:23" ht="18.75" customHeight="1">
      <c r="W6553" s="253"/>
    </row>
    <row r="6554" spans="23:23" ht="18.75" customHeight="1">
      <c r="W6554" s="253"/>
    </row>
    <row r="6555" spans="23:23" ht="18.75" customHeight="1">
      <c r="W6555" s="253"/>
    </row>
    <row r="6556" spans="23:23" ht="18.75" customHeight="1">
      <c r="W6556" s="253"/>
    </row>
    <row r="6557" spans="23:23" ht="18.75" customHeight="1">
      <c r="W6557" s="253"/>
    </row>
    <row r="6558" spans="23:23" ht="18.75" customHeight="1">
      <c r="W6558" s="253"/>
    </row>
    <row r="6559" spans="23:23" ht="18.75" customHeight="1">
      <c r="W6559" s="253"/>
    </row>
    <row r="6560" spans="23:23" ht="18.75" customHeight="1">
      <c r="W6560" s="253"/>
    </row>
    <row r="6561" spans="23:23" ht="18.75" customHeight="1">
      <c r="W6561" s="253"/>
    </row>
    <row r="6562" spans="23:23" ht="18.75" customHeight="1">
      <c r="W6562" s="253"/>
    </row>
    <row r="6563" spans="23:23" ht="18.75" customHeight="1">
      <c r="W6563" s="253"/>
    </row>
    <row r="6564" spans="23:23" ht="18.75" customHeight="1">
      <c r="W6564" s="253"/>
    </row>
    <row r="6565" spans="23:23" ht="18.75" customHeight="1">
      <c r="W6565" s="253"/>
    </row>
    <row r="6566" spans="23:23" ht="18.75" customHeight="1">
      <c r="W6566" s="253"/>
    </row>
    <row r="6567" spans="23:23" ht="18.75" customHeight="1">
      <c r="W6567" s="253"/>
    </row>
    <row r="6568" spans="23:23" ht="18.75" customHeight="1">
      <c r="W6568" s="253"/>
    </row>
    <row r="6569" spans="23:23" ht="18.75" customHeight="1">
      <c r="W6569" s="253"/>
    </row>
    <row r="6570" spans="23:23" ht="18.75" customHeight="1">
      <c r="W6570" s="253"/>
    </row>
    <row r="6571" spans="23:23" ht="18.75" customHeight="1">
      <c r="W6571" s="253"/>
    </row>
    <row r="6572" spans="23:23" ht="18.75" customHeight="1">
      <c r="W6572" s="253"/>
    </row>
    <row r="6573" spans="23:23" ht="18.75" customHeight="1">
      <c r="W6573" s="253"/>
    </row>
    <row r="6574" spans="23:23" ht="18.75" customHeight="1">
      <c r="W6574" s="253"/>
    </row>
    <row r="6575" spans="23:23" ht="18.75" customHeight="1">
      <c r="W6575" s="253"/>
    </row>
    <row r="6576" spans="23:23" ht="18.75" customHeight="1">
      <c r="W6576" s="253"/>
    </row>
    <row r="6577" spans="23:23" ht="18.75" customHeight="1">
      <c r="W6577" s="253"/>
    </row>
    <row r="6578" spans="23:23" ht="18.75" customHeight="1">
      <c r="W6578" s="253"/>
    </row>
    <row r="6579" spans="23:23" ht="18.75" customHeight="1">
      <c r="W6579" s="253"/>
    </row>
    <row r="6580" spans="23:23" ht="18.75" customHeight="1">
      <c r="W6580" s="253"/>
    </row>
    <row r="6581" spans="23:23" ht="18.75" customHeight="1">
      <c r="W6581" s="253"/>
    </row>
    <row r="6582" spans="23:23" ht="18.75" customHeight="1">
      <c r="W6582" s="253"/>
    </row>
    <row r="6583" spans="23:23" ht="18.75" customHeight="1">
      <c r="W6583" s="253"/>
    </row>
    <row r="6584" spans="23:23" ht="18.75" customHeight="1">
      <c r="W6584" s="253"/>
    </row>
    <row r="6585" spans="23:23" ht="18.75" customHeight="1">
      <c r="W6585" s="253"/>
    </row>
    <row r="6586" spans="23:23" ht="18.75" customHeight="1">
      <c r="W6586" s="253"/>
    </row>
    <row r="6587" spans="23:23" ht="18.75" customHeight="1">
      <c r="W6587" s="253"/>
    </row>
    <row r="6588" spans="23:23" ht="18.75" customHeight="1">
      <c r="W6588" s="253"/>
    </row>
    <row r="6589" spans="23:23" ht="18.75" customHeight="1">
      <c r="W6589" s="253"/>
    </row>
    <row r="6590" spans="23:23" ht="18.75" customHeight="1">
      <c r="W6590" s="253"/>
    </row>
    <row r="6591" spans="23:23" ht="18.75" customHeight="1">
      <c r="W6591" s="253"/>
    </row>
    <row r="6592" spans="23:23" ht="18.75" customHeight="1">
      <c r="W6592" s="253"/>
    </row>
    <row r="6593" spans="23:23" ht="18.75" customHeight="1">
      <c r="W6593" s="253"/>
    </row>
    <row r="6594" spans="23:23" ht="18.75" customHeight="1">
      <c r="W6594" s="253"/>
    </row>
    <row r="6595" spans="23:23" ht="18.75" customHeight="1">
      <c r="W6595" s="253"/>
    </row>
    <row r="6596" spans="23:23" ht="18.75" customHeight="1">
      <c r="W6596" s="253"/>
    </row>
    <row r="6597" spans="23:23" ht="18.75" customHeight="1">
      <c r="W6597" s="253"/>
    </row>
    <row r="6598" spans="23:23" ht="18.75" customHeight="1">
      <c r="W6598" s="253"/>
    </row>
    <row r="6599" spans="23:23" ht="18.75" customHeight="1">
      <c r="W6599" s="253"/>
    </row>
    <row r="6600" spans="23:23" ht="18.75" customHeight="1">
      <c r="W6600" s="253"/>
    </row>
    <row r="6601" spans="23:23" ht="18.75" customHeight="1">
      <c r="W6601" s="253"/>
    </row>
    <row r="6602" spans="23:23" ht="18.75" customHeight="1">
      <c r="W6602" s="253"/>
    </row>
    <row r="6603" spans="23:23" ht="18.75" customHeight="1">
      <c r="W6603" s="253"/>
    </row>
    <row r="6604" spans="23:23" ht="18.75" customHeight="1">
      <c r="W6604" s="253"/>
    </row>
    <row r="6605" spans="23:23" ht="18.75" customHeight="1">
      <c r="W6605" s="253"/>
    </row>
    <row r="6606" spans="23:23" ht="18.75" customHeight="1">
      <c r="W6606" s="253"/>
    </row>
    <row r="6607" spans="23:23" ht="18.75" customHeight="1">
      <c r="W6607" s="253"/>
    </row>
    <row r="6608" spans="23:23" ht="18.75" customHeight="1">
      <c r="W6608" s="253"/>
    </row>
    <row r="6609" spans="23:23" ht="18.75" customHeight="1">
      <c r="W6609" s="253"/>
    </row>
    <row r="6610" spans="23:23" ht="18.75" customHeight="1">
      <c r="W6610" s="253"/>
    </row>
    <row r="6611" spans="23:23" ht="18.75" customHeight="1">
      <c r="W6611" s="253"/>
    </row>
    <row r="6612" spans="23:23" ht="18.75" customHeight="1">
      <c r="W6612" s="253"/>
    </row>
    <row r="6613" spans="23:23" ht="18.75" customHeight="1">
      <c r="W6613" s="253"/>
    </row>
    <row r="6614" spans="23:23" ht="18.75" customHeight="1">
      <c r="W6614" s="253"/>
    </row>
    <row r="6615" spans="23:23" ht="18.75" customHeight="1">
      <c r="W6615" s="253"/>
    </row>
    <row r="6616" spans="23:23" ht="18.75" customHeight="1">
      <c r="W6616" s="253"/>
    </row>
    <row r="6617" spans="23:23" ht="18.75" customHeight="1">
      <c r="W6617" s="253"/>
    </row>
    <row r="6618" spans="23:23" ht="18.75" customHeight="1">
      <c r="W6618" s="253"/>
    </row>
    <row r="6619" spans="23:23" ht="18.75" customHeight="1">
      <c r="W6619" s="253"/>
    </row>
    <row r="6620" spans="23:23" ht="18.75" customHeight="1">
      <c r="W6620" s="253"/>
    </row>
    <row r="6621" spans="23:23" ht="18.75" customHeight="1">
      <c r="W6621" s="253"/>
    </row>
    <row r="6622" spans="23:23" ht="18.75" customHeight="1">
      <c r="W6622" s="253"/>
    </row>
    <row r="6623" spans="23:23" ht="18.75" customHeight="1">
      <c r="W6623" s="253"/>
    </row>
    <row r="6624" spans="23:23" ht="18.75" customHeight="1">
      <c r="W6624" s="253"/>
    </row>
    <row r="6625" spans="23:23" ht="18.75" customHeight="1">
      <c r="W6625" s="253"/>
    </row>
    <row r="6626" spans="23:23" ht="18.75" customHeight="1">
      <c r="W6626" s="253"/>
    </row>
    <row r="6627" spans="23:23" ht="18.75" customHeight="1">
      <c r="W6627" s="253"/>
    </row>
    <row r="6628" spans="23:23" ht="18.75" customHeight="1">
      <c r="W6628" s="253"/>
    </row>
    <row r="6629" spans="23:23" ht="18.75" customHeight="1">
      <c r="W6629" s="253"/>
    </row>
    <row r="6630" spans="23:23" ht="18.75" customHeight="1">
      <c r="W6630" s="253"/>
    </row>
    <row r="6631" spans="23:23" ht="18.75" customHeight="1">
      <c r="W6631" s="253"/>
    </row>
    <row r="6632" spans="23:23" ht="18.75" customHeight="1">
      <c r="W6632" s="253"/>
    </row>
    <row r="6633" spans="23:23" ht="18.75" customHeight="1">
      <c r="W6633" s="253"/>
    </row>
    <row r="6634" spans="23:23" ht="18.75" customHeight="1">
      <c r="W6634" s="253"/>
    </row>
    <row r="6635" spans="23:23" ht="18.75" customHeight="1">
      <c r="W6635" s="253"/>
    </row>
    <row r="6636" spans="23:23" ht="18.75" customHeight="1">
      <c r="W6636" s="253"/>
    </row>
    <row r="6637" spans="23:23" ht="18.75" customHeight="1">
      <c r="W6637" s="253"/>
    </row>
    <row r="6638" spans="23:23" ht="18.75" customHeight="1">
      <c r="W6638" s="253"/>
    </row>
    <row r="6639" spans="23:23" ht="18.75" customHeight="1">
      <c r="W6639" s="253"/>
    </row>
    <row r="6640" spans="23:23" ht="18.75" customHeight="1">
      <c r="W6640" s="253"/>
    </row>
    <row r="6641" spans="23:23" ht="18.75" customHeight="1">
      <c r="W6641" s="253"/>
    </row>
    <row r="6642" spans="23:23" ht="18.75" customHeight="1">
      <c r="W6642" s="253"/>
    </row>
    <row r="6643" spans="23:23" ht="18.75" customHeight="1">
      <c r="W6643" s="253"/>
    </row>
    <row r="6644" spans="23:23" ht="18.75" customHeight="1">
      <c r="W6644" s="253"/>
    </row>
    <row r="6645" spans="23:23" ht="18.75" customHeight="1">
      <c r="W6645" s="253"/>
    </row>
    <row r="6646" spans="23:23" ht="18.75" customHeight="1">
      <c r="W6646" s="253"/>
    </row>
    <row r="6647" spans="23:23" ht="18.75" customHeight="1">
      <c r="W6647" s="253"/>
    </row>
    <row r="6648" spans="23:23" ht="18.75" customHeight="1">
      <c r="W6648" s="253"/>
    </row>
    <row r="6649" spans="23:23" ht="18.75" customHeight="1">
      <c r="W6649" s="253"/>
    </row>
    <row r="6650" spans="23:23" ht="18.75" customHeight="1">
      <c r="W6650" s="253"/>
    </row>
    <row r="6651" spans="23:23" ht="18.75" customHeight="1">
      <c r="W6651" s="253"/>
    </row>
    <row r="6652" spans="23:23" ht="18.75" customHeight="1">
      <c r="W6652" s="253"/>
    </row>
    <row r="6653" spans="23:23" ht="18.75" customHeight="1">
      <c r="W6653" s="253"/>
    </row>
    <row r="6654" spans="23:23" ht="18.75" customHeight="1">
      <c r="W6654" s="253"/>
    </row>
    <row r="6655" spans="23:23" ht="18.75" customHeight="1">
      <c r="W6655" s="253"/>
    </row>
    <row r="6656" spans="23:23" ht="18.75" customHeight="1">
      <c r="W6656" s="253"/>
    </row>
    <row r="6657" spans="23:23" ht="18.75" customHeight="1">
      <c r="W6657" s="253"/>
    </row>
    <row r="6658" spans="23:23" ht="18.75" customHeight="1">
      <c r="W6658" s="253"/>
    </row>
    <row r="6659" spans="23:23" ht="18.75" customHeight="1">
      <c r="W6659" s="253"/>
    </row>
    <row r="6660" spans="23:23" ht="18.75" customHeight="1">
      <c r="W6660" s="253"/>
    </row>
    <row r="6661" spans="23:23" ht="18.75" customHeight="1">
      <c r="W6661" s="253"/>
    </row>
    <row r="6662" spans="23:23" ht="18.75" customHeight="1">
      <c r="W6662" s="253"/>
    </row>
    <row r="6663" spans="23:23" ht="18.75" customHeight="1">
      <c r="W6663" s="253"/>
    </row>
    <row r="6664" spans="23:23" ht="18.75" customHeight="1">
      <c r="W6664" s="253"/>
    </row>
    <row r="6665" spans="23:23" ht="18.75" customHeight="1">
      <c r="W6665" s="253"/>
    </row>
    <row r="6666" spans="23:23" ht="18.75" customHeight="1">
      <c r="W6666" s="253"/>
    </row>
    <row r="6667" spans="23:23" ht="18.75" customHeight="1">
      <c r="W6667" s="253"/>
    </row>
    <row r="6668" spans="23:23" ht="18.75" customHeight="1">
      <c r="W6668" s="253"/>
    </row>
    <row r="6669" spans="23:23" ht="18.75" customHeight="1">
      <c r="W6669" s="253"/>
    </row>
    <row r="6670" spans="23:23" ht="18.75" customHeight="1">
      <c r="W6670" s="253"/>
    </row>
    <row r="6671" spans="23:23" ht="18.75" customHeight="1">
      <c r="W6671" s="253"/>
    </row>
    <row r="6672" spans="23:23" ht="18.75" customHeight="1">
      <c r="W6672" s="253"/>
    </row>
    <row r="6673" spans="23:23" ht="18.75" customHeight="1">
      <c r="W6673" s="253"/>
    </row>
    <row r="6674" spans="23:23" ht="18.75" customHeight="1">
      <c r="W6674" s="253"/>
    </row>
    <row r="6675" spans="23:23" ht="18.75" customHeight="1">
      <c r="W6675" s="253"/>
    </row>
    <row r="6676" spans="23:23" ht="18.75" customHeight="1">
      <c r="W6676" s="253"/>
    </row>
    <row r="6677" spans="23:23" ht="18.75" customHeight="1">
      <c r="W6677" s="253"/>
    </row>
    <row r="6678" spans="23:23" ht="18.75" customHeight="1">
      <c r="W6678" s="253"/>
    </row>
    <row r="6679" spans="23:23" ht="18.75" customHeight="1">
      <c r="W6679" s="253"/>
    </row>
    <row r="6680" spans="23:23" ht="18.75" customHeight="1">
      <c r="W6680" s="253"/>
    </row>
    <row r="6681" spans="23:23" ht="18.75" customHeight="1">
      <c r="W6681" s="253"/>
    </row>
    <row r="6682" spans="23:23" ht="18.75" customHeight="1">
      <c r="W6682" s="253"/>
    </row>
    <row r="6683" spans="23:23" ht="18.75" customHeight="1">
      <c r="W6683" s="253"/>
    </row>
    <row r="6684" spans="23:23" ht="18.75" customHeight="1">
      <c r="W6684" s="253"/>
    </row>
    <row r="6685" spans="23:23" ht="18.75" customHeight="1">
      <c r="W6685" s="253"/>
    </row>
    <row r="6686" spans="23:23" ht="18.75" customHeight="1">
      <c r="W6686" s="253"/>
    </row>
    <row r="6687" spans="23:23" ht="18.75" customHeight="1">
      <c r="W6687" s="253"/>
    </row>
    <row r="6688" spans="23:23" ht="18.75" customHeight="1">
      <c r="W6688" s="253"/>
    </row>
    <row r="6689" spans="23:23" ht="18.75" customHeight="1">
      <c r="W6689" s="253"/>
    </row>
    <row r="6690" spans="23:23" ht="18.75" customHeight="1">
      <c r="W6690" s="253"/>
    </row>
    <row r="6691" spans="23:23" ht="18.75" customHeight="1">
      <c r="W6691" s="253"/>
    </row>
    <row r="6692" spans="23:23" ht="18.75" customHeight="1">
      <c r="W6692" s="253"/>
    </row>
    <row r="6693" spans="23:23" ht="18.75" customHeight="1">
      <c r="W6693" s="253"/>
    </row>
    <row r="6694" spans="23:23" ht="18.75" customHeight="1">
      <c r="W6694" s="253"/>
    </row>
    <row r="6695" spans="23:23" ht="18.75" customHeight="1">
      <c r="W6695" s="253"/>
    </row>
    <row r="6696" spans="23:23" ht="18.75" customHeight="1">
      <c r="W6696" s="253"/>
    </row>
    <row r="6697" spans="23:23" ht="18.75" customHeight="1">
      <c r="W6697" s="253"/>
    </row>
    <row r="6698" spans="23:23" ht="18.75" customHeight="1">
      <c r="W6698" s="253"/>
    </row>
    <row r="6699" spans="23:23" ht="18.75" customHeight="1">
      <c r="W6699" s="253"/>
    </row>
    <row r="6700" spans="23:23" ht="18.75" customHeight="1">
      <c r="W6700" s="253"/>
    </row>
    <row r="6701" spans="23:23" ht="18.75" customHeight="1">
      <c r="W6701" s="253"/>
    </row>
    <row r="6702" spans="23:23" ht="18.75" customHeight="1">
      <c r="W6702" s="253"/>
    </row>
    <row r="6703" spans="23:23" ht="18.75" customHeight="1">
      <c r="W6703" s="253"/>
    </row>
    <row r="6704" spans="23:23" ht="18.75" customHeight="1">
      <c r="W6704" s="253"/>
    </row>
    <row r="6705" spans="23:23" ht="18.75" customHeight="1">
      <c r="W6705" s="253"/>
    </row>
    <row r="6706" spans="23:23" ht="18.75" customHeight="1">
      <c r="W6706" s="253"/>
    </row>
    <row r="6707" spans="23:23" ht="18.75" customHeight="1">
      <c r="W6707" s="253"/>
    </row>
    <row r="6708" spans="23:23" ht="18.75" customHeight="1">
      <c r="W6708" s="253"/>
    </row>
    <row r="6709" spans="23:23" ht="18.75" customHeight="1">
      <c r="W6709" s="253"/>
    </row>
    <row r="6710" spans="23:23" ht="18.75" customHeight="1">
      <c r="W6710" s="253"/>
    </row>
    <row r="6711" spans="23:23" ht="18.75" customHeight="1">
      <c r="W6711" s="253"/>
    </row>
    <row r="6712" spans="23:23" ht="18.75" customHeight="1">
      <c r="W6712" s="253"/>
    </row>
    <row r="6713" spans="23:23" ht="18.75" customHeight="1">
      <c r="W6713" s="253"/>
    </row>
    <row r="6714" spans="23:23" ht="18.75" customHeight="1">
      <c r="W6714" s="253"/>
    </row>
    <row r="6715" spans="23:23" ht="18.75" customHeight="1">
      <c r="W6715" s="253"/>
    </row>
    <row r="6716" spans="23:23" ht="18.75" customHeight="1">
      <c r="W6716" s="253"/>
    </row>
    <row r="6717" spans="23:23" ht="18.75" customHeight="1">
      <c r="W6717" s="253"/>
    </row>
    <row r="6718" spans="23:23" ht="18.75" customHeight="1">
      <c r="W6718" s="253"/>
    </row>
    <row r="6719" spans="23:23" ht="18.75" customHeight="1">
      <c r="W6719" s="253"/>
    </row>
    <row r="6720" spans="23:23" ht="18.75" customHeight="1">
      <c r="W6720" s="253"/>
    </row>
    <row r="6721" spans="23:23" ht="18.75" customHeight="1">
      <c r="W6721" s="253"/>
    </row>
    <row r="6722" spans="23:23" ht="18.75" customHeight="1">
      <c r="W6722" s="253"/>
    </row>
    <row r="6723" spans="23:23" ht="18.75" customHeight="1">
      <c r="W6723" s="253"/>
    </row>
    <row r="6724" spans="23:23" ht="18.75" customHeight="1">
      <c r="W6724" s="253"/>
    </row>
    <row r="6725" spans="23:23" ht="18.75" customHeight="1">
      <c r="W6725" s="253"/>
    </row>
    <row r="6726" spans="23:23" ht="18.75" customHeight="1">
      <c r="W6726" s="253"/>
    </row>
    <row r="6727" spans="23:23" ht="18.75" customHeight="1">
      <c r="W6727" s="253"/>
    </row>
    <row r="6728" spans="23:23" ht="18.75" customHeight="1">
      <c r="W6728" s="253"/>
    </row>
    <row r="6729" spans="23:23" ht="18.75" customHeight="1">
      <c r="W6729" s="253"/>
    </row>
    <row r="6730" spans="23:23" ht="18.75" customHeight="1">
      <c r="W6730" s="253"/>
    </row>
    <row r="6731" spans="23:23" ht="18.75" customHeight="1">
      <c r="W6731" s="253"/>
    </row>
    <row r="6732" spans="23:23" ht="18.75" customHeight="1">
      <c r="W6732" s="253"/>
    </row>
    <row r="6733" spans="23:23" ht="18.75" customHeight="1">
      <c r="W6733" s="253"/>
    </row>
    <row r="6734" spans="23:23" ht="18.75" customHeight="1">
      <c r="W6734" s="253"/>
    </row>
    <row r="6735" spans="23:23" ht="18.75" customHeight="1">
      <c r="W6735" s="253"/>
    </row>
    <row r="6736" spans="23:23" ht="18.75" customHeight="1">
      <c r="W6736" s="253"/>
    </row>
    <row r="6737" spans="23:23" ht="18.75" customHeight="1">
      <c r="W6737" s="253"/>
    </row>
    <row r="6738" spans="23:23" ht="18.75" customHeight="1">
      <c r="W6738" s="253"/>
    </row>
    <row r="6739" spans="23:23" ht="18.75" customHeight="1">
      <c r="W6739" s="253"/>
    </row>
    <row r="6740" spans="23:23" ht="18.75" customHeight="1">
      <c r="W6740" s="253"/>
    </row>
    <row r="6741" spans="23:23" ht="18.75" customHeight="1">
      <c r="W6741" s="253"/>
    </row>
    <row r="6742" spans="23:23" ht="18.75" customHeight="1">
      <c r="W6742" s="253"/>
    </row>
    <row r="6743" spans="23:23" ht="18.75" customHeight="1">
      <c r="W6743" s="253"/>
    </row>
    <row r="6744" spans="23:23" ht="18.75" customHeight="1">
      <c r="W6744" s="253"/>
    </row>
    <row r="6745" spans="23:23" ht="18.75" customHeight="1">
      <c r="W6745" s="253"/>
    </row>
    <row r="6746" spans="23:23" ht="18.75" customHeight="1">
      <c r="W6746" s="253"/>
    </row>
    <row r="6747" spans="23:23" ht="18.75" customHeight="1">
      <c r="W6747" s="253"/>
    </row>
    <row r="6748" spans="23:23" ht="18.75" customHeight="1">
      <c r="W6748" s="253"/>
    </row>
    <row r="6749" spans="23:23" ht="18.75" customHeight="1">
      <c r="W6749" s="253"/>
    </row>
    <row r="6750" spans="23:23" ht="18.75" customHeight="1">
      <c r="W6750" s="253"/>
    </row>
    <row r="6751" spans="23:23" ht="18.75" customHeight="1">
      <c r="W6751" s="253"/>
    </row>
    <row r="6752" spans="23:23" ht="18.75" customHeight="1">
      <c r="W6752" s="253"/>
    </row>
    <row r="6753" spans="23:23" ht="18.75" customHeight="1">
      <c r="W6753" s="253"/>
    </row>
    <row r="6754" spans="23:23" ht="18.75" customHeight="1">
      <c r="W6754" s="253"/>
    </row>
    <row r="6755" spans="23:23" ht="18.75" customHeight="1">
      <c r="W6755" s="253"/>
    </row>
    <row r="6756" spans="23:23" ht="18.75" customHeight="1">
      <c r="W6756" s="253"/>
    </row>
    <row r="6757" spans="23:23" ht="18.75" customHeight="1">
      <c r="W6757" s="253"/>
    </row>
    <row r="6758" spans="23:23" ht="18.75" customHeight="1">
      <c r="W6758" s="253"/>
    </row>
    <row r="6759" spans="23:23" ht="18.75" customHeight="1">
      <c r="W6759" s="253"/>
    </row>
    <row r="6760" spans="23:23" ht="18.75" customHeight="1">
      <c r="W6760" s="253"/>
    </row>
    <row r="6761" spans="23:23" ht="18.75" customHeight="1">
      <c r="W6761" s="253"/>
    </row>
    <row r="6762" spans="23:23" ht="18.75" customHeight="1">
      <c r="W6762" s="253"/>
    </row>
    <row r="6763" spans="23:23" ht="18.75" customHeight="1">
      <c r="W6763" s="253"/>
    </row>
    <row r="6764" spans="23:23" ht="18.75" customHeight="1">
      <c r="W6764" s="253"/>
    </row>
    <row r="6765" spans="23:23" ht="18.75" customHeight="1">
      <c r="W6765" s="253"/>
    </row>
    <row r="6766" spans="23:23" ht="18.75" customHeight="1">
      <c r="W6766" s="253"/>
    </row>
    <row r="6767" spans="23:23" ht="18.75" customHeight="1">
      <c r="W6767" s="253"/>
    </row>
    <row r="6768" spans="23:23" ht="18.75" customHeight="1">
      <c r="W6768" s="253"/>
    </row>
    <row r="6769" spans="23:23" ht="18.75" customHeight="1">
      <c r="W6769" s="253"/>
    </row>
    <row r="6770" spans="23:23" ht="18.75" customHeight="1">
      <c r="W6770" s="253"/>
    </row>
    <row r="6771" spans="23:23" ht="18.75" customHeight="1">
      <c r="W6771" s="253"/>
    </row>
    <row r="6772" spans="23:23" ht="18.75" customHeight="1">
      <c r="W6772" s="253"/>
    </row>
    <row r="6773" spans="23:23" ht="18.75" customHeight="1">
      <c r="W6773" s="253"/>
    </row>
    <row r="6774" spans="23:23" ht="18.75" customHeight="1">
      <c r="W6774" s="253"/>
    </row>
    <row r="6775" spans="23:23" ht="18.75" customHeight="1">
      <c r="W6775" s="253"/>
    </row>
    <row r="6776" spans="23:23" ht="18.75" customHeight="1">
      <c r="W6776" s="253"/>
    </row>
    <row r="6777" spans="23:23" ht="18.75" customHeight="1">
      <c r="W6777" s="253"/>
    </row>
    <row r="6778" spans="23:23" ht="18.75" customHeight="1">
      <c r="W6778" s="253"/>
    </row>
    <row r="6779" spans="23:23" ht="18.75" customHeight="1">
      <c r="W6779" s="253"/>
    </row>
    <row r="6780" spans="23:23" ht="18.75" customHeight="1">
      <c r="W6780" s="253"/>
    </row>
    <row r="6781" spans="23:23" ht="18.75" customHeight="1">
      <c r="W6781" s="253"/>
    </row>
    <row r="6782" spans="23:23" ht="18.75" customHeight="1">
      <c r="W6782" s="253"/>
    </row>
    <row r="6783" spans="23:23" ht="18.75" customHeight="1">
      <c r="W6783" s="253"/>
    </row>
    <row r="6784" spans="23:23" ht="18.75" customHeight="1">
      <c r="W6784" s="253"/>
    </row>
    <row r="6785" spans="23:23" ht="18.75" customHeight="1">
      <c r="W6785" s="253"/>
    </row>
    <row r="6786" spans="23:23" ht="18.75" customHeight="1">
      <c r="W6786" s="253"/>
    </row>
    <row r="6787" spans="23:23" ht="18.75" customHeight="1">
      <c r="W6787" s="253"/>
    </row>
    <row r="6788" spans="23:23" ht="18.75" customHeight="1">
      <c r="W6788" s="253"/>
    </row>
    <row r="6789" spans="23:23" ht="18.75" customHeight="1">
      <c r="W6789" s="253"/>
    </row>
    <row r="6790" spans="23:23" ht="18.75" customHeight="1">
      <c r="W6790" s="253"/>
    </row>
    <row r="6791" spans="23:23" ht="18.75" customHeight="1">
      <c r="W6791" s="253"/>
    </row>
    <row r="6792" spans="23:23" ht="18.75" customHeight="1">
      <c r="W6792" s="253"/>
    </row>
    <row r="6793" spans="23:23" ht="18.75" customHeight="1">
      <c r="W6793" s="253"/>
    </row>
    <row r="6794" spans="23:23" ht="18.75" customHeight="1">
      <c r="W6794" s="253"/>
    </row>
    <row r="6795" spans="23:23" ht="18.75" customHeight="1">
      <c r="W6795" s="253"/>
    </row>
    <row r="6796" spans="23:23" ht="18.75" customHeight="1">
      <c r="W6796" s="253"/>
    </row>
    <row r="6797" spans="23:23" ht="18.75" customHeight="1">
      <c r="W6797" s="253"/>
    </row>
    <row r="6798" spans="23:23" ht="18.75" customHeight="1">
      <c r="W6798" s="253"/>
    </row>
    <row r="6799" spans="23:23" ht="18.75" customHeight="1">
      <c r="W6799" s="253"/>
    </row>
    <row r="6800" spans="23:23" ht="18.75" customHeight="1">
      <c r="W6800" s="253"/>
    </row>
    <row r="6801" spans="23:23" ht="18.75" customHeight="1">
      <c r="W6801" s="253"/>
    </row>
    <row r="6802" spans="23:23" ht="18.75" customHeight="1">
      <c r="W6802" s="253"/>
    </row>
    <row r="6803" spans="23:23" ht="18.75" customHeight="1">
      <c r="W6803" s="253"/>
    </row>
    <row r="6804" spans="23:23" ht="18.75" customHeight="1">
      <c r="W6804" s="253"/>
    </row>
    <row r="6805" spans="23:23" ht="18.75" customHeight="1">
      <c r="W6805" s="253"/>
    </row>
    <row r="6806" spans="23:23" ht="18.75" customHeight="1">
      <c r="W6806" s="253"/>
    </row>
    <row r="6807" spans="23:23" ht="18.75" customHeight="1">
      <c r="W6807" s="253"/>
    </row>
    <row r="6808" spans="23:23" ht="18.75" customHeight="1">
      <c r="W6808" s="253"/>
    </row>
    <row r="6809" spans="23:23" ht="18.75" customHeight="1">
      <c r="W6809" s="253"/>
    </row>
    <row r="6810" spans="23:23" ht="18.75" customHeight="1">
      <c r="W6810" s="253"/>
    </row>
    <row r="6811" spans="23:23" ht="18.75" customHeight="1">
      <c r="W6811" s="253"/>
    </row>
    <row r="6812" spans="23:23" ht="18.75" customHeight="1">
      <c r="W6812" s="253"/>
    </row>
    <row r="6813" spans="23:23" ht="18.75" customHeight="1">
      <c r="W6813" s="253"/>
    </row>
    <row r="6814" spans="23:23" ht="18.75" customHeight="1">
      <c r="W6814" s="253"/>
    </row>
    <row r="6815" spans="23:23" ht="18.75" customHeight="1">
      <c r="W6815" s="253"/>
    </row>
    <row r="6816" spans="23:23" ht="18.75" customHeight="1">
      <c r="W6816" s="253"/>
    </row>
    <row r="6817" spans="23:23" ht="18.75" customHeight="1">
      <c r="W6817" s="253"/>
    </row>
    <row r="6818" spans="23:23" ht="18.75" customHeight="1">
      <c r="W6818" s="253"/>
    </row>
    <row r="6819" spans="23:23" ht="18.75" customHeight="1">
      <c r="W6819" s="253"/>
    </row>
    <row r="6820" spans="23:23" ht="18.75" customHeight="1">
      <c r="W6820" s="253"/>
    </row>
    <row r="6821" spans="23:23" ht="18.75" customHeight="1">
      <c r="W6821" s="253"/>
    </row>
    <row r="6822" spans="23:23" ht="18.75" customHeight="1">
      <c r="W6822" s="253"/>
    </row>
    <row r="6823" spans="23:23" ht="18.75" customHeight="1">
      <c r="W6823" s="253"/>
    </row>
    <row r="6824" spans="23:23" ht="18.75" customHeight="1">
      <c r="W6824" s="253"/>
    </row>
    <row r="6825" spans="23:23" ht="18.75" customHeight="1">
      <c r="W6825" s="253"/>
    </row>
    <row r="6826" spans="23:23" ht="18.75" customHeight="1">
      <c r="W6826" s="253"/>
    </row>
    <row r="6827" spans="23:23" ht="18.75" customHeight="1">
      <c r="W6827" s="253"/>
    </row>
    <row r="6828" spans="23:23" ht="18.75" customHeight="1">
      <c r="W6828" s="253"/>
    </row>
    <row r="6829" spans="23:23" ht="18.75" customHeight="1">
      <c r="W6829" s="253"/>
    </row>
    <row r="6830" spans="23:23" ht="18.75" customHeight="1">
      <c r="W6830" s="253"/>
    </row>
    <row r="6831" spans="23:23" ht="18.75" customHeight="1">
      <c r="W6831" s="253"/>
    </row>
    <row r="6832" spans="23:23" ht="18.75" customHeight="1">
      <c r="W6832" s="253"/>
    </row>
    <row r="6833" spans="23:23" ht="18.75" customHeight="1">
      <c r="W6833" s="253"/>
    </row>
    <row r="6834" spans="23:23" ht="18.75" customHeight="1">
      <c r="W6834" s="253"/>
    </row>
    <row r="6835" spans="23:23" ht="18.75" customHeight="1">
      <c r="W6835" s="253"/>
    </row>
    <row r="6836" spans="23:23" ht="18.75" customHeight="1">
      <c r="W6836" s="253"/>
    </row>
    <row r="6837" spans="23:23" ht="18.75" customHeight="1">
      <c r="W6837" s="253"/>
    </row>
    <row r="6838" spans="23:23" ht="18.75" customHeight="1">
      <c r="W6838" s="253"/>
    </row>
    <row r="6839" spans="23:23" ht="18.75" customHeight="1">
      <c r="W6839" s="253"/>
    </row>
    <row r="6840" spans="23:23" ht="18.75" customHeight="1">
      <c r="W6840" s="253"/>
    </row>
    <row r="6841" spans="23:23" ht="18.75" customHeight="1">
      <c r="W6841" s="253"/>
    </row>
    <row r="6842" spans="23:23" ht="18.75" customHeight="1">
      <c r="W6842" s="253"/>
    </row>
    <row r="6843" spans="23:23" ht="18.75" customHeight="1">
      <c r="W6843" s="253"/>
    </row>
    <row r="6844" spans="23:23" ht="18.75" customHeight="1">
      <c r="W6844" s="253"/>
    </row>
    <row r="6845" spans="23:23" ht="18.75" customHeight="1">
      <c r="W6845" s="253"/>
    </row>
    <row r="6846" spans="23:23" ht="18.75" customHeight="1">
      <c r="W6846" s="253"/>
    </row>
    <row r="6847" spans="23:23" ht="18.75" customHeight="1">
      <c r="W6847" s="253"/>
    </row>
    <row r="6848" spans="23:23" ht="18.75" customHeight="1">
      <c r="W6848" s="253"/>
    </row>
    <row r="6849" spans="23:23" ht="18.75" customHeight="1">
      <c r="W6849" s="253"/>
    </row>
    <row r="6850" spans="23:23" ht="18.75" customHeight="1">
      <c r="W6850" s="253"/>
    </row>
    <row r="6851" spans="23:23" ht="18.75" customHeight="1">
      <c r="W6851" s="253"/>
    </row>
    <row r="6852" spans="23:23" ht="18.75" customHeight="1">
      <c r="W6852" s="253"/>
    </row>
    <row r="6853" spans="23:23" ht="18.75" customHeight="1">
      <c r="W6853" s="253"/>
    </row>
    <row r="6854" spans="23:23" ht="18.75" customHeight="1">
      <c r="W6854" s="253"/>
    </row>
    <row r="6855" spans="23:23" ht="18.75" customHeight="1">
      <c r="W6855" s="253"/>
    </row>
    <row r="6856" spans="23:23" ht="18.75" customHeight="1">
      <c r="W6856" s="253"/>
    </row>
    <row r="6857" spans="23:23" ht="18.75" customHeight="1">
      <c r="W6857" s="253"/>
    </row>
    <row r="6858" spans="23:23" ht="18.75" customHeight="1">
      <c r="W6858" s="253"/>
    </row>
    <row r="6859" spans="23:23" ht="18.75" customHeight="1">
      <c r="W6859" s="253"/>
    </row>
    <row r="6860" spans="23:23" ht="18.75" customHeight="1">
      <c r="W6860" s="253"/>
    </row>
    <row r="6861" spans="23:23" ht="18.75" customHeight="1">
      <c r="W6861" s="253"/>
    </row>
    <row r="6862" spans="23:23" ht="18.75" customHeight="1">
      <c r="W6862" s="253"/>
    </row>
    <row r="6863" spans="23:23" ht="18.75" customHeight="1">
      <c r="W6863" s="253"/>
    </row>
    <row r="6864" spans="23:23" ht="18.75" customHeight="1">
      <c r="W6864" s="253"/>
    </row>
    <row r="6865" spans="23:23" ht="18.75" customHeight="1">
      <c r="W6865" s="253"/>
    </row>
    <row r="6866" spans="23:23" ht="18.75" customHeight="1">
      <c r="W6866" s="253"/>
    </row>
    <row r="6867" spans="23:23" ht="18.75" customHeight="1">
      <c r="W6867" s="253"/>
    </row>
    <row r="6868" spans="23:23" ht="18.75" customHeight="1">
      <c r="W6868" s="253"/>
    </row>
    <row r="6869" spans="23:23" ht="18.75" customHeight="1">
      <c r="W6869" s="253"/>
    </row>
    <row r="6870" spans="23:23" ht="18.75" customHeight="1">
      <c r="W6870" s="253"/>
    </row>
    <row r="6871" spans="23:23" ht="18.75" customHeight="1">
      <c r="W6871" s="253"/>
    </row>
    <row r="6872" spans="23:23" ht="18.75" customHeight="1">
      <c r="W6872" s="253"/>
    </row>
    <row r="6873" spans="23:23" ht="18.75" customHeight="1">
      <c r="W6873" s="253"/>
    </row>
    <row r="6874" spans="23:23" ht="18.75" customHeight="1">
      <c r="W6874" s="253"/>
    </row>
    <row r="6875" spans="23:23" ht="18.75" customHeight="1">
      <c r="W6875" s="253"/>
    </row>
    <row r="6876" spans="23:23" ht="18.75" customHeight="1">
      <c r="W6876" s="253"/>
    </row>
    <row r="6877" spans="23:23" ht="18.75" customHeight="1">
      <c r="W6877" s="253"/>
    </row>
    <row r="6878" spans="23:23" ht="18.75" customHeight="1">
      <c r="W6878" s="253"/>
    </row>
    <row r="6879" spans="23:23" ht="18.75" customHeight="1">
      <c r="W6879" s="253"/>
    </row>
    <row r="6880" spans="23:23" ht="18.75" customHeight="1">
      <c r="W6880" s="253"/>
    </row>
    <row r="6881" spans="23:23" ht="18.75" customHeight="1">
      <c r="W6881" s="253"/>
    </row>
    <row r="6882" spans="23:23" ht="18.75" customHeight="1">
      <c r="W6882" s="253"/>
    </row>
    <row r="6883" spans="23:23" ht="18.75" customHeight="1">
      <c r="W6883" s="253"/>
    </row>
    <row r="6884" spans="23:23" ht="18.75" customHeight="1">
      <c r="W6884" s="253"/>
    </row>
    <row r="6885" spans="23:23" ht="18.75" customHeight="1">
      <c r="W6885" s="253"/>
    </row>
    <row r="6886" spans="23:23" ht="18.75" customHeight="1">
      <c r="W6886" s="253"/>
    </row>
    <row r="6887" spans="23:23" ht="18.75" customHeight="1">
      <c r="W6887" s="253"/>
    </row>
    <row r="6888" spans="23:23" ht="18.75" customHeight="1">
      <c r="W6888" s="253"/>
    </row>
    <row r="6889" spans="23:23" ht="18.75" customHeight="1">
      <c r="W6889" s="253"/>
    </row>
    <row r="6890" spans="23:23" ht="18.75" customHeight="1">
      <c r="W6890" s="253"/>
    </row>
    <row r="6891" spans="23:23" ht="18.75" customHeight="1">
      <c r="W6891" s="253"/>
    </row>
    <row r="6892" spans="23:23" ht="18.75" customHeight="1">
      <c r="W6892" s="253"/>
    </row>
    <row r="6893" spans="23:23" ht="18.75" customHeight="1">
      <c r="W6893" s="253"/>
    </row>
    <row r="6894" spans="23:23" ht="18.75" customHeight="1">
      <c r="W6894" s="253"/>
    </row>
    <row r="6895" spans="23:23" ht="18.75" customHeight="1">
      <c r="W6895" s="253"/>
    </row>
    <row r="6896" spans="23:23" ht="18.75" customHeight="1">
      <c r="W6896" s="253"/>
    </row>
    <row r="6897" spans="23:23" ht="18.75" customHeight="1">
      <c r="W6897" s="253"/>
    </row>
    <row r="6898" spans="23:23" ht="18.75" customHeight="1">
      <c r="W6898" s="253"/>
    </row>
    <row r="6899" spans="23:23" ht="18.75" customHeight="1">
      <c r="W6899" s="253"/>
    </row>
    <row r="6900" spans="23:23" ht="18.75" customHeight="1">
      <c r="W6900" s="253"/>
    </row>
    <row r="6901" spans="23:23" ht="18.75" customHeight="1">
      <c r="W6901" s="253"/>
    </row>
    <row r="6902" spans="23:23" ht="18.75" customHeight="1">
      <c r="W6902" s="253"/>
    </row>
    <row r="6903" spans="23:23" ht="18.75" customHeight="1">
      <c r="W6903" s="253"/>
    </row>
    <row r="6904" spans="23:23" ht="18.75" customHeight="1">
      <c r="W6904" s="253"/>
    </row>
    <row r="6905" spans="23:23" ht="18.75" customHeight="1">
      <c r="W6905" s="253"/>
    </row>
    <row r="6906" spans="23:23" ht="18.75" customHeight="1">
      <c r="W6906" s="253"/>
    </row>
    <row r="6907" spans="23:23" ht="18.75" customHeight="1">
      <c r="W6907" s="253"/>
    </row>
    <row r="6908" spans="23:23" ht="18.75" customHeight="1">
      <c r="W6908" s="253"/>
    </row>
    <row r="6909" spans="23:23" ht="18.75" customHeight="1">
      <c r="W6909" s="253"/>
    </row>
    <row r="6910" spans="23:23" ht="18.75" customHeight="1">
      <c r="W6910" s="253"/>
    </row>
    <row r="6911" spans="23:23" ht="18.75" customHeight="1">
      <c r="W6911" s="253"/>
    </row>
    <row r="6912" spans="23:23" ht="18.75" customHeight="1">
      <c r="W6912" s="253"/>
    </row>
    <row r="6913" spans="23:23" ht="18.75" customHeight="1">
      <c r="W6913" s="253"/>
    </row>
    <row r="6914" spans="23:23" ht="18.75" customHeight="1">
      <c r="W6914" s="253"/>
    </row>
    <row r="6915" spans="23:23" ht="18.75" customHeight="1">
      <c r="W6915" s="253"/>
    </row>
    <row r="6916" spans="23:23" ht="18.75" customHeight="1">
      <c r="W6916" s="253"/>
    </row>
    <row r="6917" spans="23:23" ht="18.75" customHeight="1">
      <c r="W6917" s="253"/>
    </row>
    <row r="6918" spans="23:23" ht="18.75" customHeight="1">
      <c r="W6918" s="253"/>
    </row>
    <row r="6919" spans="23:23" ht="18.75" customHeight="1">
      <c r="W6919" s="253"/>
    </row>
    <row r="6920" spans="23:23" ht="18.75" customHeight="1">
      <c r="W6920" s="253"/>
    </row>
    <row r="6921" spans="23:23" ht="18.75" customHeight="1">
      <c r="W6921" s="253"/>
    </row>
    <row r="6922" spans="23:23" ht="18.75" customHeight="1">
      <c r="W6922" s="253"/>
    </row>
    <row r="6923" spans="23:23" ht="18.75" customHeight="1">
      <c r="W6923" s="253"/>
    </row>
    <row r="6924" spans="23:23" ht="18.75" customHeight="1">
      <c r="W6924" s="253"/>
    </row>
    <row r="6925" spans="23:23" ht="18.75" customHeight="1">
      <c r="W6925" s="253"/>
    </row>
    <row r="6926" spans="23:23" ht="18.75" customHeight="1">
      <c r="W6926" s="253"/>
    </row>
    <row r="6927" spans="23:23" ht="18.75" customHeight="1">
      <c r="W6927" s="253"/>
    </row>
    <row r="6928" spans="23:23" ht="18.75" customHeight="1">
      <c r="W6928" s="253"/>
    </row>
    <row r="6929" spans="23:23" ht="18.75" customHeight="1">
      <c r="W6929" s="253"/>
    </row>
    <row r="6930" spans="23:23" ht="18.75" customHeight="1">
      <c r="W6930" s="253"/>
    </row>
    <row r="6931" spans="23:23" ht="18.75" customHeight="1">
      <c r="W6931" s="253"/>
    </row>
    <row r="6932" spans="23:23" ht="18.75" customHeight="1">
      <c r="W6932" s="253"/>
    </row>
    <row r="6933" spans="23:23" ht="18.75" customHeight="1">
      <c r="W6933" s="253"/>
    </row>
    <row r="6934" spans="23:23" ht="18.75" customHeight="1">
      <c r="W6934" s="253"/>
    </row>
    <row r="6935" spans="23:23" ht="18.75" customHeight="1">
      <c r="W6935" s="253"/>
    </row>
    <row r="6936" spans="23:23" ht="18.75" customHeight="1">
      <c r="W6936" s="253"/>
    </row>
    <row r="6937" spans="23:23" ht="18.75" customHeight="1">
      <c r="W6937" s="253"/>
    </row>
    <row r="6938" spans="23:23" ht="18.75" customHeight="1">
      <c r="W6938" s="253"/>
    </row>
    <row r="6939" spans="23:23" ht="18.75" customHeight="1">
      <c r="W6939" s="253"/>
    </row>
    <row r="6940" spans="23:23" ht="18.75" customHeight="1">
      <c r="W6940" s="253"/>
    </row>
    <row r="6941" spans="23:23" ht="18.75" customHeight="1">
      <c r="W6941" s="253"/>
    </row>
    <row r="6942" spans="23:23" ht="18.75" customHeight="1">
      <c r="W6942" s="253"/>
    </row>
    <row r="6943" spans="23:23" ht="18.75" customHeight="1">
      <c r="W6943" s="253"/>
    </row>
    <row r="6944" spans="23:23" ht="18.75" customHeight="1">
      <c r="W6944" s="253"/>
    </row>
    <row r="6945" spans="23:23" ht="18.75" customHeight="1">
      <c r="W6945" s="253"/>
    </row>
    <row r="6946" spans="23:23" ht="18.75" customHeight="1">
      <c r="W6946" s="253"/>
    </row>
    <row r="6947" spans="23:23" ht="18.75" customHeight="1">
      <c r="W6947" s="253"/>
    </row>
    <row r="6948" spans="23:23" ht="18.75" customHeight="1">
      <c r="W6948" s="253"/>
    </row>
    <row r="6949" spans="23:23" ht="18.75" customHeight="1">
      <c r="W6949" s="253"/>
    </row>
    <row r="6950" spans="23:23" ht="18.75" customHeight="1">
      <c r="W6950" s="253"/>
    </row>
    <row r="6951" spans="23:23" ht="18.75" customHeight="1">
      <c r="W6951" s="253"/>
    </row>
    <row r="6952" spans="23:23" ht="18.75" customHeight="1">
      <c r="W6952" s="253"/>
    </row>
    <row r="6953" spans="23:23" ht="18.75" customHeight="1">
      <c r="W6953" s="253"/>
    </row>
    <row r="6954" spans="23:23" ht="18.75" customHeight="1">
      <c r="W6954" s="253"/>
    </row>
    <row r="6955" spans="23:23" ht="18.75" customHeight="1">
      <c r="W6955" s="253"/>
    </row>
    <row r="6956" spans="23:23" ht="18.75" customHeight="1">
      <c r="W6956" s="253"/>
    </row>
    <row r="6957" spans="23:23" ht="18.75" customHeight="1">
      <c r="W6957" s="253"/>
    </row>
    <row r="6958" spans="23:23" ht="18.75" customHeight="1">
      <c r="W6958" s="253"/>
    </row>
    <row r="6959" spans="23:23" ht="18.75" customHeight="1">
      <c r="W6959" s="253"/>
    </row>
    <row r="6960" spans="23:23" ht="18.75" customHeight="1">
      <c r="W6960" s="253"/>
    </row>
    <row r="6961" spans="23:23" ht="18.75" customHeight="1">
      <c r="W6961" s="253"/>
    </row>
    <row r="6962" spans="23:23" ht="18.75" customHeight="1">
      <c r="W6962" s="253"/>
    </row>
    <row r="6963" spans="23:23" ht="18.75" customHeight="1">
      <c r="W6963" s="253"/>
    </row>
    <row r="6964" spans="23:23" ht="18.75" customHeight="1">
      <c r="W6964" s="253"/>
    </row>
    <row r="6965" spans="23:23" ht="18.75" customHeight="1">
      <c r="W6965" s="253"/>
    </row>
    <row r="6966" spans="23:23" ht="18.75" customHeight="1">
      <c r="W6966" s="253"/>
    </row>
    <row r="6967" spans="23:23" ht="18.75" customHeight="1">
      <c r="W6967" s="253"/>
    </row>
    <row r="6968" spans="23:23" ht="18.75" customHeight="1">
      <c r="W6968" s="253"/>
    </row>
    <row r="6969" spans="23:23" ht="18.75" customHeight="1">
      <c r="W6969" s="253"/>
    </row>
    <row r="6970" spans="23:23" ht="18.75" customHeight="1">
      <c r="W6970" s="253"/>
    </row>
    <row r="6971" spans="23:23" ht="18.75" customHeight="1">
      <c r="W6971" s="253"/>
    </row>
    <row r="6972" spans="23:23" ht="18.75" customHeight="1">
      <c r="W6972" s="253"/>
    </row>
    <row r="6973" spans="23:23" ht="18.75" customHeight="1">
      <c r="W6973" s="253"/>
    </row>
    <row r="6974" spans="23:23" ht="18.75" customHeight="1">
      <c r="W6974" s="253"/>
    </row>
    <row r="6975" spans="23:23" ht="18.75" customHeight="1">
      <c r="W6975" s="253"/>
    </row>
    <row r="6976" spans="23:23" ht="18.75" customHeight="1">
      <c r="W6976" s="253"/>
    </row>
    <row r="6977" spans="23:23" ht="18.75" customHeight="1">
      <c r="W6977" s="253"/>
    </row>
    <row r="6978" spans="23:23" ht="18.75" customHeight="1">
      <c r="W6978" s="253"/>
    </row>
    <row r="6979" spans="23:23" ht="18.75" customHeight="1">
      <c r="W6979" s="253"/>
    </row>
    <row r="6980" spans="23:23" ht="18.75" customHeight="1">
      <c r="W6980" s="253"/>
    </row>
    <row r="6981" spans="23:23" ht="18.75" customHeight="1">
      <c r="W6981" s="253"/>
    </row>
    <row r="6982" spans="23:23" ht="18.75" customHeight="1">
      <c r="W6982" s="253"/>
    </row>
    <row r="6983" spans="23:23" ht="18.75" customHeight="1">
      <c r="W6983" s="253"/>
    </row>
    <row r="6984" spans="23:23" ht="18.75" customHeight="1">
      <c r="W6984" s="253"/>
    </row>
    <row r="6985" spans="23:23" ht="18.75" customHeight="1">
      <c r="W6985" s="253"/>
    </row>
    <row r="6986" spans="23:23" ht="18.75" customHeight="1">
      <c r="W6986" s="253"/>
    </row>
    <row r="6987" spans="23:23" ht="18.75" customHeight="1">
      <c r="W6987" s="253"/>
    </row>
    <row r="6988" spans="23:23" ht="18.75" customHeight="1">
      <c r="W6988" s="253"/>
    </row>
    <row r="6989" spans="23:23" ht="18.75" customHeight="1">
      <c r="W6989" s="253"/>
    </row>
    <row r="6990" spans="23:23" ht="18.75" customHeight="1">
      <c r="W6990" s="253"/>
    </row>
    <row r="6991" spans="23:23" ht="18.75" customHeight="1">
      <c r="W6991" s="253"/>
    </row>
    <row r="6992" spans="23:23" ht="18.75" customHeight="1">
      <c r="W6992" s="253"/>
    </row>
    <row r="6993" spans="23:23" ht="18.75" customHeight="1">
      <c r="W6993" s="253"/>
    </row>
    <row r="6994" spans="23:23" ht="18.75" customHeight="1">
      <c r="W6994" s="253"/>
    </row>
    <row r="6995" spans="23:23" ht="18.75" customHeight="1">
      <c r="W6995" s="253"/>
    </row>
    <row r="6996" spans="23:23" ht="18.75" customHeight="1">
      <c r="W6996" s="253"/>
    </row>
    <row r="6997" spans="23:23" ht="18.75" customHeight="1">
      <c r="W6997" s="253"/>
    </row>
    <row r="6998" spans="23:23" ht="18.75" customHeight="1">
      <c r="W6998" s="253"/>
    </row>
    <row r="6999" spans="23:23" ht="18.75" customHeight="1">
      <c r="W6999" s="253"/>
    </row>
    <row r="7000" spans="23:23" ht="18.75" customHeight="1">
      <c r="W7000" s="253"/>
    </row>
    <row r="7001" spans="23:23" ht="18.75" customHeight="1">
      <c r="W7001" s="253"/>
    </row>
    <row r="7002" spans="23:23" ht="18.75" customHeight="1">
      <c r="W7002" s="253"/>
    </row>
    <row r="7003" spans="23:23" ht="18.75" customHeight="1">
      <c r="W7003" s="253"/>
    </row>
    <row r="7004" spans="23:23" ht="18.75" customHeight="1">
      <c r="W7004" s="253"/>
    </row>
    <row r="7005" spans="23:23" ht="18.75" customHeight="1">
      <c r="W7005" s="253"/>
    </row>
    <row r="7006" spans="23:23" ht="18.75" customHeight="1">
      <c r="W7006" s="253"/>
    </row>
    <row r="7007" spans="23:23" ht="18.75" customHeight="1">
      <c r="W7007" s="253"/>
    </row>
    <row r="7008" spans="23:23" ht="18.75" customHeight="1">
      <c r="W7008" s="253"/>
    </row>
    <row r="7009" spans="23:23" ht="18.75" customHeight="1">
      <c r="W7009" s="253"/>
    </row>
    <row r="7010" spans="23:23" ht="18.75" customHeight="1">
      <c r="W7010" s="253"/>
    </row>
    <row r="7011" spans="23:23" ht="18.75" customHeight="1">
      <c r="W7011" s="253"/>
    </row>
    <row r="7012" spans="23:23" ht="18.75" customHeight="1">
      <c r="W7012" s="253"/>
    </row>
    <row r="7013" spans="23:23" ht="18.75" customHeight="1">
      <c r="W7013" s="253"/>
    </row>
    <row r="7014" spans="23:23" ht="18.75" customHeight="1">
      <c r="W7014" s="253"/>
    </row>
    <row r="7015" spans="23:23" ht="18.75" customHeight="1">
      <c r="W7015" s="253"/>
    </row>
    <row r="7016" spans="23:23" ht="18.75" customHeight="1">
      <c r="W7016" s="253"/>
    </row>
    <row r="7017" spans="23:23" ht="18.75" customHeight="1">
      <c r="W7017" s="253"/>
    </row>
    <row r="7018" spans="23:23" ht="18.75" customHeight="1">
      <c r="W7018" s="253"/>
    </row>
    <row r="7019" spans="23:23" ht="18.75" customHeight="1">
      <c r="W7019" s="253"/>
    </row>
    <row r="7020" spans="23:23" ht="18.75" customHeight="1">
      <c r="W7020" s="253"/>
    </row>
    <row r="7021" spans="23:23" ht="18.75" customHeight="1">
      <c r="W7021" s="253"/>
    </row>
    <row r="7022" spans="23:23" ht="18.75" customHeight="1">
      <c r="W7022" s="253"/>
    </row>
    <row r="7023" spans="23:23" ht="18.75" customHeight="1">
      <c r="W7023" s="253"/>
    </row>
    <row r="7024" spans="23:23" ht="18.75" customHeight="1">
      <c r="W7024" s="253"/>
    </row>
    <row r="7025" spans="23:23" ht="18.75" customHeight="1">
      <c r="W7025" s="253"/>
    </row>
    <row r="7026" spans="23:23" ht="18.75" customHeight="1">
      <c r="W7026" s="253"/>
    </row>
    <row r="7027" spans="23:23" ht="18.75" customHeight="1">
      <c r="W7027" s="253"/>
    </row>
    <row r="7028" spans="23:23" ht="18.75" customHeight="1">
      <c r="W7028" s="253"/>
    </row>
    <row r="7029" spans="23:23" ht="18.75" customHeight="1">
      <c r="W7029" s="253"/>
    </row>
    <row r="7030" spans="23:23" ht="18.75" customHeight="1">
      <c r="W7030" s="253"/>
    </row>
    <row r="7031" spans="23:23" ht="18.75" customHeight="1">
      <c r="W7031" s="253"/>
    </row>
    <row r="7032" spans="23:23" ht="18.75" customHeight="1">
      <c r="W7032" s="253"/>
    </row>
    <row r="7033" spans="23:23" ht="18.75" customHeight="1">
      <c r="W7033" s="253"/>
    </row>
    <row r="7034" spans="23:23" ht="18.75" customHeight="1">
      <c r="W7034" s="253"/>
    </row>
    <row r="7035" spans="23:23" ht="18.75" customHeight="1">
      <c r="W7035" s="253"/>
    </row>
    <row r="7036" spans="23:23" ht="18.75" customHeight="1">
      <c r="W7036" s="253"/>
    </row>
    <row r="7037" spans="23:23" ht="18.75" customHeight="1">
      <c r="W7037" s="253"/>
    </row>
    <row r="7038" spans="23:23" ht="18.75" customHeight="1">
      <c r="W7038" s="253"/>
    </row>
    <row r="7039" spans="23:23" ht="18.75" customHeight="1">
      <c r="W7039" s="253"/>
    </row>
    <row r="7040" spans="23:23" ht="18.75" customHeight="1">
      <c r="W7040" s="253"/>
    </row>
    <row r="7041" spans="23:23" ht="18.75" customHeight="1">
      <c r="W7041" s="253"/>
    </row>
    <row r="7042" spans="23:23" ht="18.75" customHeight="1">
      <c r="W7042" s="253"/>
    </row>
    <row r="7043" spans="23:23" ht="18.75" customHeight="1">
      <c r="W7043" s="253"/>
    </row>
    <row r="7044" spans="23:23" ht="18.75" customHeight="1">
      <c r="W7044" s="253"/>
    </row>
    <row r="7045" spans="23:23" ht="18.75" customHeight="1">
      <c r="W7045" s="253"/>
    </row>
    <row r="7046" spans="23:23" ht="18.75" customHeight="1">
      <c r="W7046" s="253"/>
    </row>
    <row r="7047" spans="23:23" ht="18.75" customHeight="1">
      <c r="W7047" s="253"/>
    </row>
    <row r="7048" spans="23:23" ht="18.75" customHeight="1">
      <c r="W7048" s="253"/>
    </row>
    <row r="7049" spans="23:23" ht="18.75" customHeight="1">
      <c r="W7049" s="253"/>
    </row>
    <row r="7050" spans="23:23" ht="18.75" customHeight="1">
      <c r="W7050" s="253"/>
    </row>
    <row r="7051" spans="23:23" ht="18.75" customHeight="1">
      <c r="W7051" s="253"/>
    </row>
    <row r="7052" spans="23:23" ht="18.75" customHeight="1">
      <c r="W7052" s="253"/>
    </row>
    <row r="7053" spans="23:23" ht="18.75" customHeight="1">
      <c r="W7053" s="253"/>
    </row>
    <row r="7054" spans="23:23" ht="18.75" customHeight="1">
      <c r="W7054" s="253"/>
    </row>
    <row r="7055" spans="23:23" ht="18.75" customHeight="1">
      <c r="W7055" s="253"/>
    </row>
    <row r="7056" spans="23:23" ht="18.75" customHeight="1">
      <c r="W7056" s="253"/>
    </row>
    <row r="7057" spans="23:23" ht="18.75" customHeight="1">
      <c r="W7057" s="253"/>
    </row>
    <row r="7058" spans="23:23" ht="18.75" customHeight="1">
      <c r="W7058" s="253"/>
    </row>
    <row r="7059" spans="23:23" ht="18.75" customHeight="1">
      <c r="W7059" s="253"/>
    </row>
    <row r="7060" spans="23:23" ht="18.75" customHeight="1">
      <c r="W7060" s="253"/>
    </row>
    <row r="7061" spans="23:23" ht="18.75" customHeight="1">
      <c r="W7061" s="253"/>
    </row>
    <row r="7062" spans="23:23" ht="18.75" customHeight="1">
      <c r="W7062" s="253"/>
    </row>
    <row r="7063" spans="23:23" ht="18.75" customHeight="1">
      <c r="W7063" s="253"/>
    </row>
    <row r="7064" spans="23:23" ht="18.75" customHeight="1">
      <c r="W7064" s="253"/>
    </row>
    <row r="7065" spans="23:23" ht="18.75" customHeight="1">
      <c r="W7065" s="253"/>
    </row>
    <row r="7066" spans="23:23" ht="18.75" customHeight="1">
      <c r="W7066" s="253"/>
    </row>
    <row r="7067" spans="23:23" ht="18.75" customHeight="1">
      <c r="W7067" s="253"/>
    </row>
    <row r="7068" spans="23:23" ht="18.75" customHeight="1">
      <c r="W7068" s="253"/>
    </row>
    <row r="7069" spans="23:23" ht="18.75" customHeight="1">
      <c r="W7069" s="253"/>
    </row>
    <row r="7070" spans="23:23" ht="18.75" customHeight="1">
      <c r="W7070" s="253"/>
    </row>
    <row r="7071" spans="23:23" ht="18.75" customHeight="1">
      <c r="W7071" s="253"/>
    </row>
    <row r="7072" spans="23:23" ht="18.75" customHeight="1">
      <c r="W7072" s="253"/>
    </row>
    <row r="7073" spans="23:23" ht="18.75" customHeight="1">
      <c r="W7073" s="253"/>
    </row>
    <row r="7074" spans="23:23" ht="18.75" customHeight="1">
      <c r="W7074" s="253"/>
    </row>
    <row r="7075" spans="23:23" ht="18.75" customHeight="1">
      <c r="W7075" s="253"/>
    </row>
    <row r="7076" spans="23:23" ht="18.75" customHeight="1">
      <c r="W7076" s="253"/>
    </row>
    <row r="7077" spans="23:23" ht="18.75" customHeight="1">
      <c r="W7077" s="253"/>
    </row>
    <row r="7078" spans="23:23" ht="18.75" customHeight="1">
      <c r="W7078" s="253"/>
    </row>
    <row r="7079" spans="23:23" ht="18.75" customHeight="1">
      <c r="W7079" s="253"/>
    </row>
    <row r="7080" spans="23:23" ht="18.75" customHeight="1">
      <c r="W7080" s="253"/>
    </row>
    <row r="7081" spans="23:23" ht="18.75" customHeight="1">
      <c r="W7081" s="253"/>
    </row>
    <row r="7082" spans="23:23" ht="18.75" customHeight="1">
      <c r="W7082" s="253"/>
    </row>
    <row r="7083" spans="23:23" ht="18.75" customHeight="1">
      <c r="W7083" s="253"/>
    </row>
    <row r="7084" spans="23:23" ht="18.75" customHeight="1">
      <c r="W7084" s="253"/>
    </row>
    <row r="7085" spans="23:23" ht="18.75" customHeight="1">
      <c r="W7085" s="253"/>
    </row>
    <row r="7086" spans="23:23" ht="18.75" customHeight="1">
      <c r="W7086" s="253"/>
    </row>
    <row r="7087" spans="23:23" ht="18.75" customHeight="1">
      <c r="W7087" s="253"/>
    </row>
    <row r="7088" spans="23:23" ht="18.75" customHeight="1">
      <c r="W7088" s="253"/>
    </row>
    <row r="7089" spans="23:23" ht="18.75" customHeight="1">
      <c r="W7089" s="253"/>
    </row>
    <row r="7090" spans="23:23" ht="18.75" customHeight="1">
      <c r="W7090" s="253"/>
    </row>
    <row r="7091" spans="23:23" ht="18.75" customHeight="1">
      <c r="W7091" s="253"/>
    </row>
    <row r="7092" spans="23:23" ht="18.75" customHeight="1">
      <c r="W7092" s="253"/>
    </row>
    <row r="7093" spans="23:23" ht="18.75" customHeight="1">
      <c r="W7093" s="253"/>
    </row>
    <row r="7094" spans="23:23" ht="18.75" customHeight="1">
      <c r="W7094" s="253"/>
    </row>
    <row r="7095" spans="23:23" ht="18.75" customHeight="1">
      <c r="W7095" s="253"/>
    </row>
    <row r="7096" spans="23:23" ht="18.75" customHeight="1">
      <c r="W7096" s="253"/>
    </row>
    <row r="7097" spans="23:23" ht="18.75" customHeight="1">
      <c r="W7097" s="253"/>
    </row>
    <row r="7098" spans="23:23" ht="18.75" customHeight="1">
      <c r="W7098" s="253"/>
    </row>
    <row r="7099" spans="23:23" ht="18.75" customHeight="1">
      <c r="W7099" s="253"/>
    </row>
    <row r="7100" spans="23:23" ht="18.75" customHeight="1">
      <c r="W7100" s="253"/>
    </row>
    <row r="7101" spans="23:23" ht="18.75" customHeight="1">
      <c r="W7101" s="253"/>
    </row>
    <row r="7102" spans="23:23" ht="18.75" customHeight="1">
      <c r="W7102" s="253"/>
    </row>
    <row r="7103" spans="23:23" ht="18.75" customHeight="1">
      <c r="W7103" s="253"/>
    </row>
    <row r="7104" spans="23:23" ht="18.75" customHeight="1">
      <c r="W7104" s="253"/>
    </row>
    <row r="7105" spans="23:23" ht="18.75" customHeight="1">
      <c r="W7105" s="253"/>
    </row>
    <row r="7106" spans="23:23" ht="18.75" customHeight="1">
      <c r="W7106" s="253"/>
    </row>
    <row r="7107" spans="23:23" ht="18.75" customHeight="1">
      <c r="W7107" s="253"/>
    </row>
    <row r="7108" spans="23:23" ht="18.75" customHeight="1">
      <c r="W7108" s="253"/>
    </row>
    <row r="7109" spans="23:23" ht="18.75" customHeight="1">
      <c r="W7109" s="253"/>
    </row>
    <row r="7110" spans="23:23" ht="18.75" customHeight="1">
      <c r="W7110" s="253"/>
    </row>
    <row r="7111" spans="23:23" ht="18.75" customHeight="1">
      <c r="W7111" s="253"/>
    </row>
    <row r="7112" spans="23:23" ht="18.75" customHeight="1">
      <c r="W7112" s="253"/>
    </row>
    <row r="7113" spans="23:23" ht="18.75" customHeight="1">
      <c r="W7113" s="253"/>
    </row>
    <row r="7114" spans="23:23" ht="18.75" customHeight="1">
      <c r="W7114" s="253"/>
    </row>
    <row r="7115" spans="23:23" ht="18.75" customHeight="1">
      <c r="W7115" s="253"/>
    </row>
    <row r="7116" spans="23:23" ht="18.75" customHeight="1">
      <c r="W7116" s="253"/>
    </row>
    <row r="7117" spans="23:23" ht="18.75" customHeight="1">
      <c r="W7117" s="253"/>
    </row>
    <row r="7118" spans="23:23" ht="18.75" customHeight="1">
      <c r="W7118" s="253"/>
    </row>
    <row r="7119" spans="23:23" ht="18.75" customHeight="1">
      <c r="W7119" s="253"/>
    </row>
    <row r="7120" spans="23:23" ht="18.75" customHeight="1">
      <c r="W7120" s="253"/>
    </row>
    <row r="7121" spans="23:23" ht="18.75" customHeight="1">
      <c r="W7121" s="253"/>
    </row>
    <row r="7122" spans="23:23" ht="18.75" customHeight="1">
      <c r="W7122" s="253"/>
    </row>
    <row r="7123" spans="23:23" ht="18.75" customHeight="1">
      <c r="W7123" s="253"/>
    </row>
    <row r="7124" spans="23:23" ht="18.75" customHeight="1">
      <c r="W7124" s="253"/>
    </row>
    <row r="7125" spans="23:23" ht="18.75" customHeight="1">
      <c r="W7125" s="253"/>
    </row>
    <row r="7126" spans="23:23" ht="18.75" customHeight="1">
      <c r="W7126" s="253"/>
    </row>
    <row r="7127" spans="23:23" ht="18.75" customHeight="1">
      <c r="W7127" s="253"/>
    </row>
    <row r="7128" spans="23:23" ht="18.75" customHeight="1">
      <c r="W7128" s="253"/>
    </row>
    <row r="7129" spans="23:23" ht="18.75" customHeight="1">
      <c r="W7129" s="253"/>
    </row>
    <row r="7130" spans="23:23" ht="18.75" customHeight="1">
      <c r="W7130" s="253"/>
    </row>
    <row r="7131" spans="23:23" ht="18.75" customHeight="1">
      <c r="W7131" s="253"/>
    </row>
    <row r="7132" spans="23:23" ht="18.75" customHeight="1">
      <c r="W7132" s="253"/>
    </row>
    <row r="7133" spans="23:23" ht="18.75" customHeight="1">
      <c r="W7133" s="253"/>
    </row>
    <row r="7134" spans="23:23" ht="18.75" customHeight="1">
      <c r="W7134" s="253"/>
    </row>
    <row r="7135" spans="23:23" ht="18.75" customHeight="1">
      <c r="W7135" s="253"/>
    </row>
    <row r="7136" spans="23:23" ht="18.75" customHeight="1">
      <c r="W7136" s="253"/>
    </row>
    <row r="7137" spans="23:23" ht="18.75" customHeight="1">
      <c r="W7137" s="253"/>
    </row>
    <row r="7138" spans="23:23" ht="18.75" customHeight="1">
      <c r="W7138" s="253"/>
    </row>
    <row r="7139" spans="23:23" ht="18.75" customHeight="1">
      <c r="W7139" s="253"/>
    </row>
    <row r="7140" spans="23:23" ht="18.75" customHeight="1">
      <c r="W7140" s="253"/>
    </row>
    <row r="7141" spans="23:23" ht="18.75" customHeight="1">
      <c r="W7141" s="253"/>
    </row>
    <row r="7142" spans="23:23" ht="18.75" customHeight="1">
      <c r="W7142" s="253"/>
    </row>
    <row r="7143" spans="23:23" ht="18.75" customHeight="1">
      <c r="W7143" s="253"/>
    </row>
    <row r="7144" spans="23:23" ht="18.75" customHeight="1">
      <c r="W7144" s="253"/>
    </row>
    <row r="7145" spans="23:23" ht="18.75" customHeight="1">
      <c r="W7145" s="253"/>
    </row>
    <row r="7146" spans="23:23" ht="18.75" customHeight="1">
      <c r="W7146" s="253"/>
    </row>
    <row r="7147" spans="23:23" ht="18.75" customHeight="1">
      <c r="W7147" s="253"/>
    </row>
    <row r="7148" spans="23:23" ht="18.75" customHeight="1">
      <c r="W7148" s="253"/>
    </row>
    <row r="7149" spans="23:23" ht="18.75" customHeight="1">
      <c r="W7149" s="253"/>
    </row>
    <row r="7150" spans="23:23" ht="18.75" customHeight="1">
      <c r="W7150" s="253"/>
    </row>
    <row r="7151" spans="23:23" ht="18.75" customHeight="1">
      <c r="W7151" s="253"/>
    </row>
    <row r="7152" spans="23:23" ht="18.75" customHeight="1">
      <c r="W7152" s="253"/>
    </row>
    <row r="7153" spans="23:23" ht="18.75" customHeight="1">
      <c r="W7153" s="253"/>
    </row>
    <row r="7154" spans="23:23" ht="18.75" customHeight="1">
      <c r="W7154" s="253"/>
    </row>
    <row r="7155" spans="23:23" ht="18.75" customHeight="1">
      <c r="W7155" s="253"/>
    </row>
    <row r="7156" spans="23:23" ht="18.75" customHeight="1">
      <c r="W7156" s="253"/>
    </row>
    <row r="7157" spans="23:23" ht="18.75" customHeight="1">
      <c r="W7157" s="253"/>
    </row>
    <row r="7158" spans="23:23" ht="18.75" customHeight="1">
      <c r="W7158" s="253"/>
    </row>
    <row r="7159" spans="23:23" ht="18.75" customHeight="1">
      <c r="W7159" s="253"/>
    </row>
    <row r="7160" spans="23:23" ht="18.75" customHeight="1">
      <c r="W7160" s="253"/>
    </row>
    <row r="7161" spans="23:23" ht="18.75" customHeight="1">
      <c r="W7161" s="253"/>
    </row>
    <row r="7162" spans="23:23" ht="18.75" customHeight="1">
      <c r="W7162" s="253"/>
    </row>
    <row r="7163" spans="23:23" ht="18.75" customHeight="1">
      <c r="W7163" s="253"/>
    </row>
    <row r="7164" spans="23:23" ht="18.75" customHeight="1">
      <c r="W7164" s="253"/>
    </row>
    <row r="7165" spans="23:23" ht="18.75" customHeight="1">
      <c r="W7165" s="253"/>
    </row>
    <row r="7166" spans="23:23" ht="18.75" customHeight="1">
      <c r="W7166" s="253"/>
    </row>
    <row r="7167" spans="23:23" ht="18.75" customHeight="1">
      <c r="W7167" s="253"/>
    </row>
    <row r="7168" spans="23:23" ht="18.75" customHeight="1">
      <c r="W7168" s="253"/>
    </row>
    <row r="7169" spans="23:23" ht="18.75" customHeight="1">
      <c r="W7169" s="253"/>
    </row>
    <row r="7170" spans="23:23" ht="18.75" customHeight="1">
      <c r="W7170" s="253"/>
    </row>
    <row r="7171" spans="23:23" ht="18.75" customHeight="1">
      <c r="W7171" s="253"/>
    </row>
    <row r="7172" spans="23:23" ht="18.75" customHeight="1">
      <c r="W7172" s="253"/>
    </row>
    <row r="7173" spans="23:23" ht="18.75" customHeight="1">
      <c r="W7173" s="253"/>
    </row>
    <row r="7174" spans="23:23" ht="18.75" customHeight="1">
      <c r="W7174" s="253"/>
    </row>
    <row r="7175" spans="23:23" ht="18.75" customHeight="1">
      <c r="W7175" s="253"/>
    </row>
    <row r="7176" spans="23:23" ht="18.75" customHeight="1">
      <c r="W7176" s="253"/>
    </row>
    <row r="7177" spans="23:23" ht="18.75" customHeight="1">
      <c r="W7177" s="253"/>
    </row>
    <row r="7178" spans="23:23" ht="18.75" customHeight="1">
      <c r="W7178" s="253"/>
    </row>
    <row r="7179" spans="23:23" ht="18.75" customHeight="1">
      <c r="W7179" s="253"/>
    </row>
    <row r="7180" spans="23:23" ht="18.75" customHeight="1">
      <c r="W7180" s="253"/>
    </row>
    <row r="7181" spans="23:23" ht="18.75" customHeight="1">
      <c r="W7181" s="253"/>
    </row>
    <row r="7182" spans="23:23" ht="18.75" customHeight="1">
      <c r="W7182" s="253"/>
    </row>
    <row r="7183" spans="23:23" ht="18.75" customHeight="1">
      <c r="W7183" s="253"/>
    </row>
    <row r="7184" spans="23:23" ht="18.75" customHeight="1">
      <c r="W7184" s="253"/>
    </row>
    <row r="7185" spans="23:23" ht="18.75" customHeight="1">
      <c r="W7185" s="253"/>
    </row>
    <row r="7186" spans="23:23" ht="18.75" customHeight="1">
      <c r="W7186" s="253"/>
    </row>
    <row r="7187" spans="23:23" ht="18.75" customHeight="1">
      <c r="W7187" s="253"/>
    </row>
    <row r="7188" spans="23:23" ht="18.75" customHeight="1">
      <c r="W7188" s="253"/>
    </row>
    <row r="7189" spans="23:23" ht="18.75" customHeight="1">
      <c r="W7189" s="253"/>
    </row>
    <row r="7190" spans="23:23" ht="18.75" customHeight="1">
      <c r="W7190" s="253"/>
    </row>
    <row r="7191" spans="23:23" ht="18.75" customHeight="1">
      <c r="W7191" s="253"/>
    </row>
    <row r="7192" spans="23:23" ht="18.75" customHeight="1">
      <c r="W7192" s="253"/>
    </row>
    <row r="7193" spans="23:23" ht="18.75" customHeight="1">
      <c r="W7193" s="253"/>
    </row>
    <row r="7194" spans="23:23" ht="18.75" customHeight="1">
      <c r="W7194" s="253"/>
    </row>
    <row r="7195" spans="23:23" ht="18.75" customHeight="1">
      <c r="W7195" s="253"/>
    </row>
    <row r="7196" spans="23:23" ht="18.75" customHeight="1">
      <c r="W7196" s="253"/>
    </row>
    <row r="7197" spans="23:23" ht="18.75" customHeight="1">
      <c r="W7197" s="253"/>
    </row>
    <row r="7198" spans="23:23" ht="18.75" customHeight="1">
      <c r="W7198" s="253"/>
    </row>
    <row r="7199" spans="23:23" ht="18.75" customHeight="1">
      <c r="W7199" s="253"/>
    </row>
    <row r="7200" spans="23:23" ht="18.75" customHeight="1">
      <c r="W7200" s="253"/>
    </row>
    <row r="7201" spans="23:23" ht="18.75" customHeight="1">
      <c r="W7201" s="253"/>
    </row>
    <row r="7202" spans="23:23" ht="18.75" customHeight="1">
      <c r="W7202" s="253"/>
    </row>
    <row r="7203" spans="23:23" ht="18.75" customHeight="1">
      <c r="W7203" s="253"/>
    </row>
    <row r="7204" spans="23:23" ht="18.75" customHeight="1">
      <c r="W7204" s="253"/>
    </row>
    <row r="7205" spans="23:23" ht="18.75" customHeight="1">
      <c r="W7205" s="253"/>
    </row>
    <row r="7206" spans="23:23" ht="18.75" customHeight="1">
      <c r="W7206" s="253"/>
    </row>
    <row r="7207" spans="23:23" ht="18.75" customHeight="1">
      <c r="W7207" s="253"/>
    </row>
    <row r="7208" spans="23:23" ht="18.75" customHeight="1">
      <c r="W7208" s="253"/>
    </row>
    <row r="7209" spans="23:23" ht="18.75" customHeight="1">
      <c r="W7209" s="253"/>
    </row>
    <row r="7210" spans="23:23" ht="18.75" customHeight="1">
      <c r="W7210" s="253"/>
    </row>
    <row r="7211" spans="23:23" ht="18.75" customHeight="1">
      <c r="W7211" s="253"/>
    </row>
    <row r="7212" spans="23:23" ht="18.75" customHeight="1">
      <c r="W7212" s="253"/>
    </row>
    <row r="7213" spans="23:23" ht="18.75" customHeight="1">
      <c r="W7213" s="253"/>
    </row>
    <row r="7214" spans="23:23" ht="18.75" customHeight="1">
      <c r="W7214" s="253"/>
    </row>
    <row r="7215" spans="23:23" ht="18.75" customHeight="1">
      <c r="W7215" s="253"/>
    </row>
    <row r="7216" spans="23:23" ht="18.75" customHeight="1">
      <c r="W7216" s="253"/>
    </row>
    <row r="7217" spans="23:23" ht="18.75" customHeight="1">
      <c r="W7217" s="253"/>
    </row>
    <row r="7218" spans="23:23" ht="18.75" customHeight="1">
      <c r="W7218" s="253"/>
    </row>
    <row r="7219" spans="23:23" ht="18.75" customHeight="1">
      <c r="W7219" s="253"/>
    </row>
    <row r="7220" spans="23:23" ht="18.75" customHeight="1">
      <c r="W7220" s="253"/>
    </row>
    <row r="7221" spans="23:23" ht="18.75" customHeight="1">
      <c r="W7221" s="253"/>
    </row>
    <row r="7222" spans="23:23" ht="18.75" customHeight="1">
      <c r="W7222" s="253"/>
    </row>
    <row r="7223" spans="23:23" ht="18.75" customHeight="1">
      <c r="W7223" s="253"/>
    </row>
    <row r="7224" spans="23:23" ht="18.75" customHeight="1">
      <c r="W7224" s="253"/>
    </row>
    <row r="7225" spans="23:23" ht="18.75" customHeight="1">
      <c r="W7225" s="253"/>
    </row>
    <row r="7226" spans="23:23" ht="18.75" customHeight="1">
      <c r="W7226" s="253"/>
    </row>
    <row r="7227" spans="23:23" ht="18.75" customHeight="1">
      <c r="W7227" s="253"/>
    </row>
    <row r="7228" spans="23:23" ht="18.75" customHeight="1">
      <c r="W7228" s="253"/>
    </row>
    <row r="7229" spans="23:23" ht="18.75" customHeight="1">
      <c r="W7229" s="253"/>
    </row>
    <row r="7230" spans="23:23" ht="18.75" customHeight="1">
      <c r="W7230" s="253"/>
    </row>
    <row r="7231" spans="23:23" ht="18.75" customHeight="1">
      <c r="W7231" s="253"/>
    </row>
    <row r="7232" spans="23:23" ht="18.75" customHeight="1">
      <c r="W7232" s="253"/>
    </row>
    <row r="7233" spans="23:23" ht="18.75" customHeight="1">
      <c r="W7233" s="253"/>
    </row>
    <row r="7234" spans="23:23" ht="18.75" customHeight="1">
      <c r="W7234" s="253"/>
    </row>
    <row r="7235" spans="23:23" ht="18.75" customHeight="1">
      <c r="W7235" s="253"/>
    </row>
    <row r="7236" spans="23:23" ht="18.75" customHeight="1">
      <c r="W7236" s="253"/>
    </row>
    <row r="7237" spans="23:23" ht="18.75" customHeight="1">
      <c r="W7237" s="253"/>
    </row>
    <row r="7238" spans="23:23" ht="18.75" customHeight="1">
      <c r="W7238" s="253"/>
    </row>
    <row r="7239" spans="23:23" ht="18.75" customHeight="1">
      <c r="W7239" s="253"/>
    </row>
    <row r="7240" spans="23:23" ht="18.75" customHeight="1">
      <c r="W7240" s="253"/>
    </row>
    <row r="7241" spans="23:23" ht="18.75" customHeight="1">
      <c r="W7241" s="253"/>
    </row>
    <row r="7242" spans="23:23" ht="18.75" customHeight="1">
      <c r="W7242" s="253"/>
    </row>
    <row r="7243" spans="23:23" ht="18.75" customHeight="1">
      <c r="W7243" s="253"/>
    </row>
    <row r="7244" spans="23:23" ht="18.75" customHeight="1">
      <c r="W7244" s="253"/>
    </row>
    <row r="7245" spans="23:23" ht="18.75" customHeight="1">
      <c r="W7245" s="253"/>
    </row>
    <row r="7246" spans="23:23" ht="18.75" customHeight="1">
      <c r="W7246" s="253"/>
    </row>
    <row r="7247" spans="23:23" ht="18.75" customHeight="1">
      <c r="W7247" s="253"/>
    </row>
    <row r="7248" spans="23:23" ht="18.75" customHeight="1">
      <c r="W7248" s="253"/>
    </row>
    <row r="7249" spans="23:23" ht="18.75" customHeight="1">
      <c r="W7249" s="253"/>
    </row>
    <row r="7250" spans="23:23" ht="18.75" customHeight="1">
      <c r="W7250" s="253"/>
    </row>
    <row r="7251" spans="23:23" ht="18.75" customHeight="1">
      <c r="W7251" s="253"/>
    </row>
    <row r="7252" spans="23:23" ht="18.75" customHeight="1">
      <c r="W7252" s="253"/>
    </row>
    <row r="7253" spans="23:23" ht="18.75" customHeight="1">
      <c r="W7253" s="253"/>
    </row>
    <row r="7254" spans="23:23" ht="18.75" customHeight="1">
      <c r="W7254" s="253"/>
    </row>
    <row r="7255" spans="23:23" ht="18.75" customHeight="1">
      <c r="W7255" s="253"/>
    </row>
    <row r="7256" spans="23:23" ht="18.75" customHeight="1">
      <c r="W7256" s="253"/>
    </row>
    <row r="7257" spans="23:23" ht="18.75" customHeight="1">
      <c r="W7257" s="253"/>
    </row>
    <row r="7258" spans="23:23" ht="18.75" customHeight="1">
      <c r="W7258" s="253"/>
    </row>
    <row r="7259" spans="23:23" ht="18.75" customHeight="1">
      <c r="W7259" s="253"/>
    </row>
    <row r="7260" spans="23:23" ht="18.75" customHeight="1">
      <c r="W7260" s="253"/>
    </row>
    <row r="7261" spans="23:23" ht="18.75" customHeight="1">
      <c r="W7261" s="253"/>
    </row>
    <row r="7262" spans="23:23" ht="18.75" customHeight="1">
      <c r="W7262" s="253"/>
    </row>
    <row r="7263" spans="23:23" ht="18.75" customHeight="1">
      <c r="W7263" s="253"/>
    </row>
    <row r="7264" spans="23:23" ht="18.75" customHeight="1">
      <c r="W7264" s="253"/>
    </row>
    <row r="7265" spans="23:23" ht="18.75" customHeight="1">
      <c r="W7265" s="253"/>
    </row>
    <row r="7266" spans="23:23" ht="18.75" customHeight="1">
      <c r="W7266" s="253"/>
    </row>
    <row r="7267" spans="23:23" ht="18.75" customHeight="1">
      <c r="W7267" s="253"/>
    </row>
    <row r="7268" spans="23:23" ht="18.75" customHeight="1">
      <c r="W7268" s="253"/>
    </row>
    <row r="7269" spans="23:23" ht="18.75" customHeight="1">
      <c r="W7269" s="253"/>
    </row>
    <row r="7270" spans="23:23" ht="18.75" customHeight="1">
      <c r="W7270" s="253"/>
    </row>
    <row r="7271" spans="23:23" ht="18.75" customHeight="1">
      <c r="W7271" s="253"/>
    </row>
    <row r="7272" spans="23:23" ht="18.75" customHeight="1">
      <c r="W7272" s="253"/>
    </row>
    <row r="7273" spans="23:23" ht="18.75" customHeight="1">
      <c r="W7273" s="253"/>
    </row>
    <row r="7274" spans="23:23" ht="18.75" customHeight="1">
      <c r="W7274" s="253"/>
    </row>
    <row r="7275" spans="23:23" ht="18.75" customHeight="1">
      <c r="W7275" s="253"/>
    </row>
    <row r="7276" spans="23:23" ht="18.75" customHeight="1">
      <c r="W7276" s="253"/>
    </row>
    <row r="7277" spans="23:23" ht="18.75" customHeight="1">
      <c r="W7277" s="253"/>
    </row>
    <row r="7278" spans="23:23" ht="18.75" customHeight="1">
      <c r="W7278" s="253"/>
    </row>
    <row r="7279" spans="23:23" ht="18.75" customHeight="1">
      <c r="W7279" s="253"/>
    </row>
    <row r="7280" spans="23:23" ht="18.75" customHeight="1">
      <c r="W7280" s="253"/>
    </row>
    <row r="7281" spans="23:23" ht="18.75" customHeight="1">
      <c r="W7281" s="253"/>
    </row>
    <row r="7282" spans="23:23" ht="18.75" customHeight="1">
      <c r="W7282" s="253"/>
    </row>
    <row r="7283" spans="23:23" ht="18.75" customHeight="1">
      <c r="W7283" s="253"/>
    </row>
    <row r="7284" spans="23:23" ht="18.75" customHeight="1">
      <c r="W7284" s="253"/>
    </row>
    <row r="7285" spans="23:23" ht="18.75" customHeight="1">
      <c r="W7285" s="253"/>
    </row>
    <row r="7286" spans="23:23" ht="18.75" customHeight="1">
      <c r="W7286" s="253"/>
    </row>
    <row r="7287" spans="23:23" ht="18.75" customHeight="1">
      <c r="W7287" s="253"/>
    </row>
    <row r="7288" spans="23:23" ht="18.75" customHeight="1">
      <c r="W7288" s="253"/>
    </row>
    <row r="7289" spans="23:23" ht="18.75" customHeight="1">
      <c r="W7289" s="253"/>
    </row>
    <row r="7290" spans="23:23" ht="18.75" customHeight="1">
      <c r="W7290" s="253"/>
    </row>
    <row r="7291" spans="23:23" ht="18.75" customHeight="1">
      <c r="W7291" s="253"/>
    </row>
    <row r="7292" spans="23:23" ht="18.75" customHeight="1">
      <c r="W7292" s="253"/>
    </row>
    <row r="7293" spans="23:23" ht="18.75" customHeight="1">
      <c r="W7293" s="253"/>
    </row>
    <row r="7294" spans="23:23" ht="18.75" customHeight="1">
      <c r="W7294" s="253"/>
    </row>
    <row r="7295" spans="23:23" ht="18.75" customHeight="1">
      <c r="W7295" s="253"/>
    </row>
    <row r="7296" spans="23:23" ht="18.75" customHeight="1">
      <c r="W7296" s="253"/>
    </row>
    <row r="7297" spans="23:23" ht="18.75" customHeight="1">
      <c r="W7297" s="253"/>
    </row>
    <row r="7298" spans="23:23" ht="18.75" customHeight="1">
      <c r="W7298" s="253"/>
    </row>
    <row r="7299" spans="23:23" ht="18.75" customHeight="1">
      <c r="W7299" s="253"/>
    </row>
    <row r="7300" spans="23:23" ht="18.75" customHeight="1">
      <c r="W7300" s="253"/>
    </row>
    <row r="7301" spans="23:23" ht="18.75" customHeight="1">
      <c r="W7301" s="253"/>
    </row>
    <row r="7302" spans="23:23" ht="18.75" customHeight="1">
      <c r="W7302" s="253"/>
    </row>
    <row r="7303" spans="23:23" ht="18.75" customHeight="1">
      <c r="W7303" s="253"/>
    </row>
    <row r="7304" spans="23:23" ht="18.75" customHeight="1">
      <c r="W7304" s="253"/>
    </row>
    <row r="7305" spans="23:23" ht="18.75" customHeight="1">
      <c r="W7305" s="253"/>
    </row>
    <row r="7306" spans="23:23" ht="18.75" customHeight="1">
      <c r="W7306" s="253"/>
    </row>
    <row r="7307" spans="23:23" ht="18.75" customHeight="1">
      <c r="W7307" s="253"/>
    </row>
    <row r="7308" spans="23:23" ht="18.75" customHeight="1">
      <c r="W7308" s="253"/>
    </row>
    <row r="7309" spans="23:23" ht="18.75" customHeight="1">
      <c r="W7309" s="253"/>
    </row>
    <row r="7310" spans="23:23" ht="18.75" customHeight="1">
      <c r="W7310" s="253"/>
    </row>
    <row r="7311" spans="23:23" ht="18.75" customHeight="1">
      <c r="W7311" s="253"/>
    </row>
    <row r="7312" spans="23:23" ht="18.75" customHeight="1">
      <c r="W7312" s="253"/>
    </row>
    <row r="7313" spans="23:23" ht="18.75" customHeight="1">
      <c r="W7313" s="253"/>
    </row>
    <row r="7314" spans="23:23" ht="18.75" customHeight="1">
      <c r="W7314" s="253"/>
    </row>
    <row r="7315" spans="23:23" ht="18.75" customHeight="1">
      <c r="W7315" s="253"/>
    </row>
    <row r="7316" spans="23:23" ht="18.75" customHeight="1">
      <c r="W7316" s="253"/>
    </row>
    <row r="7317" spans="23:23" ht="18.75" customHeight="1">
      <c r="W7317" s="253"/>
    </row>
    <row r="7318" spans="23:23" ht="18.75" customHeight="1">
      <c r="W7318" s="253"/>
    </row>
    <row r="7319" spans="23:23" ht="18.75" customHeight="1">
      <c r="W7319" s="253"/>
    </row>
    <row r="7320" spans="23:23" ht="18.75" customHeight="1">
      <c r="W7320" s="253"/>
    </row>
    <row r="7321" spans="23:23" ht="18.75" customHeight="1">
      <c r="W7321" s="253"/>
    </row>
    <row r="7322" spans="23:23" ht="18.75" customHeight="1">
      <c r="W7322" s="253"/>
    </row>
    <row r="7323" spans="23:23" ht="18.75" customHeight="1">
      <c r="W7323" s="253"/>
    </row>
    <row r="7324" spans="23:23" ht="18.75" customHeight="1">
      <c r="W7324" s="253"/>
    </row>
    <row r="7325" spans="23:23" ht="18.75" customHeight="1">
      <c r="W7325" s="253"/>
    </row>
    <row r="7326" spans="23:23" ht="18.75" customHeight="1">
      <c r="W7326" s="253"/>
    </row>
    <row r="7327" spans="23:23" ht="18.75" customHeight="1">
      <c r="W7327" s="253"/>
    </row>
    <row r="7328" spans="23:23" ht="18.75" customHeight="1">
      <c r="W7328" s="253"/>
    </row>
    <row r="7329" spans="23:23" ht="18.75" customHeight="1">
      <c r="W7329" s="253"/>
    </row>
    <row r="7330" spans="23:23" ht="18.75" customHeight="1">
      <c r="W7330" s="253"/>
    </row>
    <row r="7331" spans="23:23" ht="18.75" customHeight="1">
      <c r="W7331" s="253"/>
    </row>
    <row r="7332" spans="23:23" ht="18.75" customHeight="1">
      <c r="W7332" s="253"/>
    </row>
    <row r="7333" spans="23:23" ht="18.75" customHeight="1">
      <c r="W7333" s="253"/>
    </row>
    <row r="7334" spans="23:23" ht="18.75" customHeight="1">
      <c r="W7334" s="253"/>
    </row>
    <row r="7335" spans="23:23" ht="18.75" customHeight="1">
      <c r="W7335" s="253"/>
    </row>
    <row r="7336" spans="23:23" ht="18.75" customHeight="1">
      <c r="W7336" s="253"/>
    </row>
    <row r="7337" spans="23:23" ht="18.75" customHeight="1">
      <c r="W7337" s="253"/>
    </row>
    <row r="7338" spans="23:23" ht="18.75" customHeight="1">
      <c r="W7338" s="253"/>
    </row>
    <row r="7339" spans="23:23" ht="18.75" customHeight="1">
      <c r="W7339" s="253"/>
    </row>
    <row r="7340" spans="23:23" ht="18.75" customHeight="1">
      <c r="W7340" s="253"/>
    </row>
    <row r="7341" spans="23:23" ht="18.75" customHeight="1">
      <c r="W7341" s="253"/>
    </row>
    <row r="7342" spans="23:23" ht="18.75" customHeight="1">
      <c r="W7342" s="253"/>
    </row>
    <row r="7343" spans="23:23" ht="18.75" customHeight="1">
      <c r="W7343" s="253"/>
    </row>
    <row r="7344" spans="23:23" ht="18.75" customHeight="1">
      <c r="W7344" s="253"/>
    </row>
    <row r="7345" spans="23:23" ht="18.75" customHeight="1">
      <c r="W7345" s="253"/>
    </row>
    <row r="7346" spans="23:23" ht="18.75" customHeight="1">
      <c r="W7346" s="253"/>
    </row>
    <row r="7347" spans="23:23" ht="18.75" customHeight="1">
      <c r="W7347" s="253"/>
    </row>
    <row r="7348" spans="23:23" ht="18.75" customHeight="1">
      <c r="W7348" s="253"/>
    </row>
    <row r="7349" spans="23:23" ht="18.75" customHeight="1">
      <c r="W7349" s="253"/>
    </row>
    <row r="7350" spans="23:23" ht="18.75" customHeight="1">
      <c r="W7350" s="253"/>
    </row>
    <row r="7351" spans="23:23" ht="18.75" customHeight="1">
      <c r="W7351" s="253"/>
    </row>
    <row r="7352" spans="23:23" ht="18.75" customHeight="1">
      <c r="W7352" s="253"/>
    </row>
    <row r="7353" spans="23:23" ht="18.75" customHeight="1">
      <c r="W7353" s="253"/>
    </row>
    <row r="7354" spans="23:23" ht="18.75" customHeight="1">
      <c r="W7354" s="253"/>
    </row>
    <row r="7355" spans="23:23" ht="18.75" customHeight="1">
      <c r="W7355" s="253"/>
    </row>
    <row r="7356" spans="23:23" ht="18.75" customHeight="1">
      <c r="W7356" s="253"/>
    </row>
    <row r="7357" spans="23:23" ht="18.75" customHeight="1">
      <c r="W7357" s="253"/>
    </row>
    <row r="7358" spans="23:23" ht="18.75" customHeight="1">
      <c r="W7358" s="253"/>
    </row>
    <row r="7359" spans="23:23" ht="18.75" customHeight="1">
      <c r="W7359" s="253"/>
    </row>
    <row r="7360" spans="23:23" ht="18.75" customHeight="1">
      <c r="W7360" s="253"/>
    </row>
    <row r="7361" spans="23:23" ht="18.75" customHeight="1">
      <c r="W7361" s="253"/>
    </row>
    <row r="7362" spans="23:23" ht="18.75" customHeight="1">
      <c r="W7362" s="253"/>
    </row>
    <row r="7363" spans="23:23" ht="18.75" customHeight="1">
      <c r="W7363" s="253"/>
    </row>
    <row r="7364" spans="23:23" ht="18.75" customHeight="1">
      <c r="W7364" s="253"/>
    </row>
    <row r="7365" spans="23:23" ht="18.75" customHeight="1">
      <c r="W7365" s="253"/>
    </row>
    <row r="7366" spans="23:23" ht="18.75" customHeight="1">
      <c r="W7366" s="253"/>
    </row>
    <row r="7367" spans="23:23" ht="18.75" customHeight="1">
      <c r="W7367" s="253"/>
    </row>
    <row r="7368" spans="23:23" ht="18.75" customHeight="1">
      <c r="W7368" s="253"/>
    </row>
    <row r="7369" spans="23:23" ht="18.75" customHeight="1">
      <c r="W7369" s="253"/>
    </row>
    <row r="7370" spans="23:23" ht="18.75" customHeight="1">
      <c r="W7370" s="253"/>
    </row>
    <row r="7371" spans="23:23" ht="18.75" customHeight="1">
      <c r="W7371" s="253"/>
    </row>
    <row r="7372" spans="23:23" ht="18.75" customHeight="1">
      <c r="W7372" s="253"/>
    </row>
    <row r="7373" spans="23:23" ht="18.75" customHeight="1">
      <c r="W7373" s="253"/>
    </row>
    <row r="7374" spans="23:23" ht="18.75" customHeight="1">
      <c r="W7374" s="253"/>
    </row>
    <row r="7375" spans="23:23" ht="18.75" customHeight="1">
      <c r="W7375" s="253"/>
    </row>
    <row r="7376" spans="23:23" ht="18.75" customHeight="1">
      <c r="W7376" s="253"/>
    </row>
    <row r="7377" spans="23:23" ht="18.75" customHeight="1">
      <c r="W7377" s="253"/>
    </row>
    <row r="7378" spans="23:23" ht="18.75" customHeight="1">
      <c r="W7378" s="253"/>
    </row>
    <row r="7379" spans="23:23" ht="18.75" customHeight="1">
      <c r="W7379" s="253"/>
    </row>
    <row r="7380" spans="23:23" ht="18.75" customHeight="1">
      <c r="W7380" s="253"/>
    </row>
    <row r="7381" spans="23:23" ht="18.75" customHeight="1">
      <c r="W7381" s="253"/>
    </row>
    <row r="7382" spans="23:23" ht="18.75" customHeight="1">
      <c r="W7382" s="253"/>
    </row>
    <row r="7383" spans="23:23" ht="18.75" customHeight="1">
      <c r="W7383" s="253"/>
    </row>
    <row r="7384" spans="23:23" ht="18.75" customHeight="1">
      <c r="W7384" s="253"/>
    </row>
    <row r="7385" spans="23:23" ht="18.75" customHeight="1">
      <c r="W7385" s="253"/>
    </row>
    <row r="7386" spans="23:23" ht="18.75" customHeight="1">
      <c r="W7386" s="253"/>
    </row>
    <row r="7387" spans="23:23" ht="18.75" customHeight="1">
      <c r="W7387" s="253"/>
    </row>
    <row r="7388" spans="23:23" ht="18.75" customHeight="1">
      <c r="W7388" s="253"/>
    </row>
    <row r="7389" spans="23:23" ht="18.75" customHeight="1">
      <c r="W7389" s="253"/>
    </row>
    <row r="7390" spans="23:23" ht="18.75" customHeight="1">
      <c r="W7390" s="253"/>
    </row>
    <row r="7391" spans="23:23" ht="18.75" customHeight="1">
      <c r="W7391" s="253"/>
    </row>
    <row r="7392" spans="23:23" ht="18.75" customHeight="1">
      <c r="W7392" s="253"/>
    </row>
    <row r="7393" spans="23:23" ht="18.75" customHeight="1">
      <c r="W7393" s="253"/>
    </row>
    <row r="7394" spans="23:23" ht="18.75" customHeight="1">
      <c r="W7394" s="253"/>
    </row>
    <row r="7395" spans="23:23" ht="18.75" customHeight="1">
      <c r="W7395" s="253"/>
    </row>
    <row r="7396" spans="23:23" ht="18.75" customHeight="1">
      <c r="W7396" s="253"/>
    </row>
    <row r="7397" spans="23:23" ht="18.75" customHeight="1">
      <c r="W7397" s="253"/>
    </row>
    <row r="7398" spans="23:23" ht="18.75" customHeight="1">
      <c r="W7398" s="253"/>
    </row>
    <row r="7399" spans="23:23" ht="18.75" customHeight="1">
      <c r="W7399" s="253"/>
    </row>
    <row r="7400" spans="23:23" ht="18.75" customHeight="1">
      <c r="W7400" s="253"/>
    </row>
    <row r="7401" spans="23:23" ht="18.75" customHeight="1">
      <c r="W7401" s="253"/>
    </row>
    <row r="7402" spans="23:23" ht="18.75" customHeight="1">
      <c r="W7402" s="253"/>
    </row>
    <row r="7403" spans="23:23" ht="18.75" customHeight="1">
      <c r="W7403" s="253"/>
    </row>
    <row r="7404" spans="23:23" ht="18.75" customHeight="1">
      <c r="W7404" s="253"/>
    </row>
    <row r="7405" spans="23:23" ht="18.75" customHeight="1">
      <c r="W7405" s="253"/>
    </row>
    <row r="7406" spans="23:23" ht="18.75" customHeight="1">
      <c r="W7406" s="253"/>
    </row>
    <row r="7407" spans="23:23" ht="18.75" customHeight="1">
      <c r="W7407" s="253"/>
    </row>
    <row r="7408" spans="23:23" ht="18.75" customHeight="1">
      <c r="W7408" s="253"/>
    </row>
    <row r="7409" spans="23:23" ht="18.75" customHeight="1">
      <c r="W7409" s="253"/>
    </row>
    <row r="7410" spans="23:23" ht="18.75" customHeight="1">
      <c r="W7410" s="253"/>
    </row>
    <row r="7411" spans="23:23" ht="18.75" customHeight="1">
      <c r="W7411" s="253"/>
    </row>
    <row r="7412" spans="23:23" ht="18.75" customHeight="1">
      <c r="W7412" s="253"/>
    </row>
    <row r="7413" spans="23:23" ht="18.75" customHeight="1">
      <c r="W7413" s="253"/>
    </row>
    <row r="7414" spans="23:23" ht="18.75" customHeight="1">
      <c r="W7414" s="253"/>
    </row>
    <row r="7415" spans="23:23" ht="18.75" customHeight="1">
      <c r="W7415" s="253"/>
    </row>
    <row r="7416" spans="23:23" ht="18.75" customHeight="1">
      <c r="W7416" s="253"/>
    </row>
    <row r="7417" spans="23:23" ht="18.75" customHeight="1">
      <c r="W7417" s="253"/>
    </row>
    <row r="7418" spans="23:23" ht="18.75" customHeight="1">
      <c r="W7418" s="253"/>
    </row>
    <row r="7419" spans="23:23" ht="18.75" customHeight="1">
      <c r="W7419" s="253"/>
    </row>
    <row r="7420" spans="23:23" ht="18.75" customHeight="1">
      <c r="W7420" s="253"/>
    </row>
    <row r="7421" spans="23:23" ht="18.75" customHeight="1">
      <c r="W7421" s="253"/>
    </row>
    <row r="7422" spans="23:23" ht="18.75" customHeight="1">
      <c r="W7422" s="253"/>
    </row>
    <row r="7423" spans="23:23" ht="18.75" customHeight="1">
      <c r="W7423" s="253"/>
    </row>
    <row r="7424" spans="23:23" ht="18.75" customHeight="1">
      <c r="W7424" s="253"/>
    </row>
    <row r="7425" spans="23:23" ht="18.75" customHeight="1">
      <c r="W7425" s="253"/>
    </row>
    <row r="7426" spans="23:23" ht="18.75" customHeight="1">
      <c r="W7426" s="253"/>
    </row>
    <row r="7427" spans="23:23" ht="18.75" customHeight="1">
      <c r="W7427" s="253"/>
    </row>
    <row r="7428" spans="23:23" ht="18.75" customHeight="1">
      <c r="W7428" s="253"/>
    </row>
    <row r="7429" spans="23:23" ht="18.75" customHeight="1">
      <c r="W7429" s="253"/>
    </row>
    <row r="7430" spans="23:23" ht="18.75" customHeight="1">
      <c r="W7430" s="253"/>
    </row>
    <row r="7431" spans="23:23" ht="18.75" customHeight="1">
      <c r="W7431" s="253"/>
    </row>
    <row r="7432" spans="23:23" ht="18.75" customHeight="1">
      <c r="W7432" s="253"/>
    </row>
    <row r="7433" spans="23:23" ht="18.75" customHeight="1">
      <c r="W7433" s="253"/>
    </row>
    <row r="7434" spans="23:23" ht="18.75" customHeight="1">
      <c r="W7434" s="253"/>
    </row>
    <row r="7435" spans="23:23" ht="18.75" customHeight="1">
      <c r="W7435" s="253"/>
    </row>
    <row r="7436" spans="23:23" ht="18.75" customHeight="1">
      <c r="W7436" s="253"/>
    </row>
    <row r="7437" spans="23:23" ht="18.75" customHeight="1">
      <c r="W7437" s="253"/>
    </row>
    <row r="7438" spans="23:23" ht="18.75" customHeight="1">
      <c r="W7438" s="253"/>
    </row>
    <row r="7439" spans="23:23" ht="18.75" customHeight="1">
      <c r="W7439" s="253"/>
    </row>
    <row r="7440" spans="23:23" ht="18.75" customHeight="1">
      <c r="W7440" s="253"/>
    </row>
    <row r="7441" spans="23:23" ht="18.75" customHeight="1">
      <c r="W7441" s="253"/>
    </row>
    <row r="7442" spans="23:23" ht="18.75" customHeight="1">
      <c r="W7442" s="253"/>
    </row>
    <row r="7443" spans="23:23" ht="18.75" customHeight="1">
      <c r="W7443" s="253"/>
    </row>
    <row r="7444" spans="23:23" ht="18.75" customHeight="1">
      <c r="W7444" s="253"/>
    </row>
    <row r="7445" spans="23:23" ht="18.75" customHeight="1">
      <c r="W7445" s="253"/>
    </row>
    <row r="7446" spans="23:23" ht="18.75" customHeight="1">
      <c r="W7446" s="253"/>
    </row>
    <row r="7447" spans="23:23" ht="18.75" customHeight="1">
      <c r="W7447" s="253"/>
    </row>
    <row r="7448" spans="23:23" ht="18.75" customHeight="1">
      <c r="W7448" s="253"/>
    </row>
    <row r="7449" spans="23:23" ht="18.75" customHeight="1">
      <c r="W7449" s="253"/>
    </row>
    <row r="7450" spans="23:23" ht="18.75" customHeight="1">
      <c r="W7450" s="253"/>
    </row>
    <row r="7451" spans="23:23" ht="18.75" customHeight="1">
      <c r="W7451" s="253"/>
    </row>
    <row r="7452" spans="23:23" ht="18.75" customHeight="1">
      <c r="W7452" s="253"/>
    </row>
    <row r="7453" spans="23:23" ht="18.75" customHeight="1">
      <c r="W7453" s="253"/>
    </row>
    <row r="7454" spans="23:23" ht="18.75" customHeight="1">
      <c r="W7454" s="253"/>
    </row>
    <row r="7455" spans="23:23" ht="18.75" customHeight="1">
      <c r="W7455" s="253"/>
    </row>
    <row r="7456" spans="23:23" ht="18.75" customHeight="1">
      <c r="W7456" s="253"/>
    </row>
    <row r="7457" spans="23:23" ht="18.75" customHeight="1">
      <c r="W7457" s="253"/>
    </row>
    <row r="7458" spans="23:23" ht="18.75" customHeight="1">
      <c r="W7458" s="253"/>
    </row>
    <row r="7459" spans="23:23" ht="18.75" customHeight="1">
      <c r="W7459" s="253"/>
    </row>
    <row r="7460" spans="23:23" ht="18.75" customHeight="1">
      <c r="W7460" s="253"/>
    </row>
    <row r="7461" spans="23:23" ht="18.75" customHeight="1">
      <c r="W7461" s="253"/>
    </row>
    <row r="7462" spans="23:23" ht="18.75" customHeight="1">
      <c r="W7462" s="253"/>
    </row>
    <row r="7463" spans="23:23" ht="18.75" customHeight="1">
      <c r="W7463" s="253"/>
    </row>
    <row r="7464" spans="23:23" ht="18.75" customHeight="1">
      <c r="W7464" s="253"/>
    </row>
    <row r="7465" spans="23:23" ht="18.75" customHeight="1">
      <c r="W7465" s="253"/>
    </row>
    <row r="7466" spans="23:23" ht="18.75" customHeight="1">
      <c r="W7466" s="253"/>
    </row>
    <row r="7467" spans="23:23" ht="18.75" customHeight="1">
      <c r="W7467" s="253"/>
    </row>
    <row r="7468" spans="23:23" ht="18.75" customHeight="1">
      <c r="W7468" s="253"/>
    </row>
    <row r="7469" spans="23:23" ht="18.75" customHeight="1">
      <c r="W7469" s="253"/>
    </row>
    <row r="7470" spans="23:23" ht="18.75" customHeight="1">
      <c r="W7470" s="253"/>
    </row>
    <row r="7471" spans="23:23" ht="18.75" customHeight="1">
      <c r="W7471" s="253"/>
    </row>
    <row r="7472" spans="23:23" ht="18.75" customHeight="1">
      <c r="W7472" s="253"/>
    </row>
    <row r="7473" spans="23:23" ht="18.75" customHeight="1">
      <c r="W7473" s="253"/>
    </row>
    <row r="7474" spans="23:23" ht="18.75" customHeight="1">
      <c r="W7474" s="253"/>
    </row>
    <row r="7475" spans="23:23" ht="18.75" customHeight="1">
      <c r="W7475" s="253"/>
    </row>
    <row r="7476" spans="23:23" ht="18.75" customHeight="1">
      <c r="W7476" s="253"/>
    </row>
    <row r="7477" spans="23:23" ht="18.75" customHeight="1">
      <c r="W7477" s="253"/>
    </row>
    <row r="7478" spans="23:23" ht="18.75" customHeight="1">
      <c r="W7478" s="253"/>
    </row>
    <row r="7479" spans="23:23" ht="18.75" customHeight="1">
      <c r="W7479" s="253"/>
    </row>
    <row r="7480" spans="23:23" ht="18.75" customHeight="1">
      <c r="W7480" s="253"/>
    </row>
    <row r="7481" spans="23:23" ht="18.75" customHeight="1">
      <c r="W7481" s="253"/>
    </row>
    <row r="7482" spans="23:23" ht="18.75" customHeight="1">
      <c r="W7482" s="253"/>
    </row>
    <row r="7483" spans="23:23" ht="18.75" customHeight="1">
      <c r="W7483" s="253"/>
    </row>
    <row r="7484" spans="23:23" ht="18.75" customHeight="1">
      <c r="W7484" s="253"/>
    </row>
    <row r="7485" spans="23:23" ht="18.75" customHeight="1">
      <c r="W7485" s="253"/>
    </row>
    <row r="7486" spans="23:23" ht="18.75" customHeight="1">
      <c r="W7486" s="253"/>
    </row>
    <row r="7487" spans="23:23" ht="18.75" customHeight="1">
      <c r="W7487" s="253"/>
    </row>
    <row r="7488" spans="23:23" ht="18.75" customHeight="1">
      <c r="W7488" s="253"/>
    </row>
    <row r="7489" spans="23:23" ht="18.75" customHeight="1">
      <c r="W7489" s="253"/>
    </row>
    <row r="7490" spans="23:23" ht="18.75" customHeight="1">
      <c r="W7490" s="253"/>
    </row>
    <row r="7491" spans="23:23" ht="18.75" customHeight="1">
      <c r="W7491" s="253"/>
    </row>
    <row r="7492" spans="23:23" ht="18.75" customHeight="1">
      <c r="W7492" s="253"/>
    </row>
    <row r="7493" spans="23:23" ht="18.75" customHeight="1">
      <c r="W7493" s="253"/>
    </row>
    <row r="7494" spans="23:23" ht="18.75" customHeight="1">
      <c r="W7494" s="253"/>
    </row>
    <row r="7495" spans="23:23" ht="18.75" customHeight="1">
      <c r="W7495" s="253"/>
    </row>
    <row r="7496" spans="23:23" ht="18.75" customHeight="1">
      <c r="W7496" s="253"/>
    </row>
    <row r="7497" spans="23:23" ht="18.75" customHeight="1">
      <c r="W7497" s="253"/>
    </row>
    <row r="7498" spans="23:23" ht="18.75" customHeight="1">
      <c r="W7498" s="253"/>
    </row>
    <row r="7499" spans="23:23" ht="18.75" customHeight="1">
      <c r="W7499" s="253"/>
    </row>
    <row r="7500" spans="23:23" ht="18.75" customHeight="1">
      <c r="W7500" s="253"/>
    </row>
    <row r="7501" spans="23:23" ht="18.75" customHeight="1">
      <c r="W7501" s="253"/>
    </row>
    <row r="7502" spans="23:23" ht="18.75" customHeight="1">
      <c r="W7502" s="253"/>
    </row>
    <row r="7503" spans="23:23" ht="18.75" customHeight="1">
      <c r="W7503" s="253"/>
    </row>
    <row r="7504" spans="23:23" ht="18.75" customHeight="1">
      <c r="W7504" s="253"/>
    </row>
    <row r="7505" spans="23:23" ht="18.75" customHeight="1">
      <c r="W7505" s="253"/>
    </row>
    <row r="7506" spans="23:23" ht="18.75" customHeight="1">
      <c r="W7506" s="253"/>
    </row>
    <row r="7507" spans="23:23" ht="18.75" customHeight="1">
      <c r="W7507" s="253"/>
    </row>
    <row r="7508" spans="23:23" ht="18.75" customHeight="1">
      <c r="W7508" s="253"/>
    </row>
    <row r="7509" spans="23:23" ht="18.75" customHeight="1">
      <c r="W7509" s="253"/>
    </row>
    <row r="7510" spans="23:23" ht="18.75" customHeight="1">
      <c r="W7510" s="253"/>
    </row>
    <row r="7511" spans="23:23" ht="18.75" customHeight="1">
      <c r="W7511" s="253"/>
    </row>
    <row r="7512" spans="23:23" ht="18.75" customHeight="1">
      <c r="W7512" s="253"/>
    </row>
    <row r="7513" spans="23:23" ht="18.75" customHeight="1">
      <c r="W7513" s="253"/>
    </row>
    <row r="7514" spans="23:23" ht="18.75" customHeight="1">
      <c r="W7514" s="253"/>
    </row>
    <row r="7515" spans="23:23" ht="18.75" customHeight="1">
      <c r="W7515" s="253"/>
    </row>
    <row r="7516" spans="23:23" ht="18.75" customHeight="1">
      <c r="W7516" s="253"/>
    </row>
    <row r="7517" spans="23:23" ht="18.75" customHeight="1">
      <c r="W7517" s="253"/>
    </row>
    <row r="7518" spans="23:23" ht="18.75" customHeight="1">
      <c r="W7518" s="253"/>
    </row>
    <row r="7519" spans="23:23" ht="18.75" customHeight="1">
      <c r="W7519" s="253"/>
    </row>
    <row r="7520" spans="23:23" ht="18.75" customHeight="1">
      <c r="W7520" s="253"/>
    </row>
    <row r="7521" spans="23:23" ht="18.75" customHeight="1">
      <c r="W7521" s="253"/>
    </row>
    <row r="7522" spans="23:23" ht="18.75" customHeight="1">
      <c r="W7522" s="253"/>
    </row>
    <row r="7523" spans="23:23" ht="18.75" customHeight="1">
      <c r="W7523" s="253"/>
    </row>
    <row r="7524" spans="23:23" ht="18.75" customHeight="1">
      <c r="W7524" s="253"/>
    </row>
    <row r="7525" spans="23:23" ht="18.75" customHeight="1">
      <c r="W7525" s="253"/>
    </row>
    <row r="7526" spans="23:23" ht="18.75" customHeight="1">
      <c r="W7526" s="253"/>
    </row>
    <row r="7527" spans="23:23" ht="18.75" customHeight="1">
      <c r="W7527" s="253"/>
    </row>
    <row r="7528" spans="23:23" ht="18.75" customHeight="1">
      <c r="W7528" s="253"/>
    </row>
    <row r="7529" spans="23:23" ht="18.75" customHeight="1">
      <c r="W7529" s="253"/>
    </row>
    <row r="7530" spans="23:23" ht="18.75" customHeight="1">
      <c r="W7530" s="253"/>
    </row>
    <row r="7531" spans="23:23" ht="18.75" customHeight="1">
      <c r="W7531" s="253"/>
    </row>
    <row r="7532" spans="23:23" ht="18.75" customHeight="1">
      <c r="W7532" s="253"/>
    </row>
    <row r="7533" spans="23:23" ht="18.75" customHeight="1">
      <c r="W7533" s="253"/>
    </row>
    <row r="7534" spans="23:23" ht="18.75" customHeight="1">
      <c r="W7534" s="253"/>
    </row>
    <row r="7535" spans="23:23" ht="18.75" customHeight="1">
      <c r="W7535" s="253"/>
    </row>
    <row r="7536" spans="23:23" ht="18.75" customHeight="1">
      <c r="W7536" s="253"/>
    </row>
    <row r="7537" spans="23:23" ht="18.75" customHeight="1">
      <c r="W7537" s="253"/>
    </row>
    <row r="7538" spans="23:23" ht="18.75" customHeight="1">
      <c r="W7538" s="253"/>
    </row>
    <row r="7539" spans="23:23" ht="18.75" customHeight="1">
      <c r="W7539" s="253"/>
    </row>
    <row r="7540" spans="23:23" ht="18.75" customHeight="1">
      <c r="W7540" s="253"/>
    </row>
    <row r="7541" spans="23:23" ht="18.75" customHeight="1">
      <c r="W7541" s="253"/>
    </row>
    <row r="7542" spans="23:23" ht="18.75" customHeight="1">
      <c r="W7542" s="253"/>
    </row>
    <row r="7543" spans="23:23" ht="18.75" customHeight="1">
      <c r="W7543" s="253"/>
    </row>
    <row r="7544" spans="23:23" ht="18.75" customHeight="1">
      <c r="W7544" s="253"/>
    </row>
    <row r="7545" spans="23:23" ht="18.75" customHeight="1">
      <c r="W7545" s="253"/>
    </row>
    <row r="7546" spans="23:23" ht="18.75" customHeight="1">
      <c r="W7546" s="253"/>
    </row>
    <row r="7547" spans="23:23" ht="18.75" customHeight="1">
      <c r="W7547" s="253"/>
    </row>
    <row r="7548" spans="23:23" ht="18.75" customHeight="1">
      <c r="W7548" s="253"/>
    </row>
    <row r="7549" spans="23:23" ht="18.75" customHeight="1">
      <c r="W7549" s="253"/>
    </row>
    <row r="7550" spans="23:23" ht="18.75" customHeight="1">
      <c r="W7550" s="253"/>
    </row>
    <row r="7551" spans="23:23" ht="18.75" customHeight="1">
      <c r="W7551" s="253"/>
    </row>
    <row r="7552" spans="23:23" ht="18.75" customHeight="1">
      <c r="W7552" s="253"/>
    </row>
    <row r="7553" spans="23:23" ht="18.75" customHeight="1">
      <c r="W7553" s="253"/>
    </row>
    <row r="7554" spans="23:23" ht="18.75" customHeight="1">
      <c r="W7554" s="253"/>
    </row>
    <row r="7555" spans="23:23" ht="18.75" customHeight="1">
      <c r="W7555" s="253"/>
    </row>
    <row r="7556" spans="23:23" ht="18.75" customHeight="1">
      <c r="W7556" s="253"/>
    </row>
    <row r="7557" spans="23:23" ht="18.75" customHeight="1">
      <c r="W7557" s="253"/>
    </row>
    <row r="7558" spans="23:23" ht="18.75" customHeight="1">
      <c r="W7558" s="253"/>
    </row>
    <row r="7559" spans="23:23" ht="18.75" customHeight="1">
      <c r="W7559" s="253"/>
    </row>
    <row r="7560" spans="23:23" ht="18.75" customHeight="1">
      <c r="W7560" s="253"/>
    </row>
    <row r="7561" spans="23:23" ht="18.75" customHeight="1">
      <c r="W7561" s="253"/>
    </row>
    <row r="7562" spans="23:23" ht="18.75" customHeight="1">
      <c r="W7562" s="253"/>
    </row>
    <row r="7563" spans="23:23" ht="18.75" customHeight="1">
      <c r="W7563" s="253"/>
    </row>
    <row r="7564" spans="23:23" ht="18.75" customHeight="1">
      <c r="W7564" s="253"/>
    </row>
    <row r="7565" spans="23:23" ht="18.75" customHeight="1">
      <c r="W7565" s="253"/>
    </row>
    <row r="7566" spans="23:23" ht="18.75" customHeight="1">
      <c r="W7566" s="253"/>
    </row>
    <row r="7567" spans="23:23" ht="18.75" customHeight="1">
      <c r="W7567" s="253"/>
    </row>
    <row r="7568" spans="23:23" ht="18.75" customHeight="1">
      <c r="W7568" s="253"/>
    </row>
    <row r="7569" spans="23:23" ht="18.75" customHeight="1">
      <c r="W7569" s="253"/>
    </row>
    <row r="7570" spans="23:23" ht="18.75" customHeight="1">
      <c r="W7570" s="253"/>
    </row>
    <row r="7571" spans="23:23" ht="18.75" customHeight="1">
      <c r="W7571" s="253"/>
    </row>
    <row r="7572" spans="23:23" ht="18.75" customHeight="1">
      <c r="W7572" s="253"/>
    </row>
    <row r="7573" spans="23:23" ht="18.75" customHeight="1">
      <c r="W7573" s="253"/>
    </row>
    <row r="7574" spans="23:23" ht="18.75" customHeight="1">
      <c r="W7574" s="253"/>
    </row>
    <row r="7575" spans="23:23" ht="18.75" customHeight="1">
      <c r="W7575" s="253"/>
    </row>
    <row r="7576" spans="23:23" ht="18.75" customHeight="1">
      <c r="W7576" s="253"/>
    </row>
    <row r="7577" spans="23:23" ht="18.75" customHeight="1">
      <c r="W7577" s="253"/>
    </row>
    <row r="7578" spans="23:23" ht="18.75" customHeight="1">
      <c r="W7578" s="253"/>
    </row>
    <row r="7579" spans="23:23" ht="18.75" customHeight="1">
      <c r="W7579" s="253"/>
    </row>
    <row r="7580" spans="23:23" ht="18.75" customHeight="1">
      <c r="W7580" s="253"/>
    </row>
    <row r="7581" spans="23:23" ht="18.75" customHeight="1">
      <c r="W7581" s="253"/>
    </row>
    <row r="7582" spans="23:23" ht="18.75" customHeight="1">
      <c r="W7582" s="253"/>
    </row>
    <row r="7583" spans="23:23" ht="18.75" customHeight="1">
      <c r="W7583" s="253"/>
    </row>
    <row r="7584" spans="23:23" ht="18.75" customHeight="1">
      <c r="W7584" s="253"/>
    </row>
    <row r="7585" spans="23:23" ht="18.75" customHeight="1">
      <c r="W7585" s="253"/>
    </row>
    <row r="7586" spans="23:23" ht="18.75" customHeight="1">
      <c r="W7586" s="253"/>
    </row>
    <row r="7587" spans="23:23" ht="18.75" customHeight="1">
      <c r="W7587" s="253"/>
    </row>
    <row r="7588" spans="23:23" ht="18.75" customHeight="1">
      <c r="W7588" s="253"/>
    </row>
    <row r="7589" spans="23:23" ht="18.75" customHeight="1">
      <c r="W7589" s="253"/>
    </row>
    <row r="7590" spans="23:23" ht="18.75" customHeight="1">
      <c r="W7590" s="253"/>
    </row>
    <row r="7591" spans="23:23" ht="18.75" customHeight="1">
      <c r="W7591" s="253"/>
    </row>
    <row r="7592" spans="23:23" ht="18.75" customHeight="1">
      <c r="W7592" s="253"/>
    </row>
    <row r="7593" spans="23:23" ht="18.75" customHeight="1">
      <c r="W7593" s="253"/>
    </row>
    <row r="7594" spans="23:23" ht="18.75" customHeight="1">
      <c r="W7594" s="253"/>
    </row>
    <row r="7595" spans="23:23" ht="18.75" customHeight="1">
      <c r="W7595" s="253"/>
    </row>
    <row r="7596" spans="23:23" ht="18.75" customHeight="1">
      <c r="W7596" s="253"/>
    </row>
    <row r="7597" spans="23:23" ht="18.75" customHeight="1">
      <c r="W7597" s="253"/>
    </row>
    <row r="7598" spans="23:23" ht="18.75" customHeight="1">
      <c r="W7598" s="253"/>
    </row>
    <row r="7599" spans="23:23" ht="18.75" customHeight="1">
      <c r="W7599" s="253"/>
    </row>
    <row r="7600" spans="23:23" ht="18.75" customHeight="1">
      <c r="W7600" s="253"/>
    </row>
    <row r="7601" spans="23:23" ht="18.75" customHeight="1">
      <c r="W7601" s="253"/>
    </row>
    <row r="7602" spans="23:23" ht="18.75" customHeight="1">
      <c r="W7602" s="253"/>
    </row>
    <row r="7603" spans="23:23" ht="18.75" customHeight="1">
      <c r="W7603" s="253"/>
    </row>
    <row r="7604" spans="23:23" ht="18.75" customHeight="1">
      <c r="W7604" s="253"/>
    </row>
    <row r="7605" spans="23:23" ht="18.75" customHeight="1">
      <c r="W7605" s="253"/>
    </row>
    <row r="7606" spans="23:23" ht="18.75" customHeight="1">
      <c r="W7606" s="253"/>
    </row>
    <row r="7607" spans="23:23" ht="18.75" customHeight="1">
      <c r="W7607" s="253"/>
    </row>
    <row r="7608" spans="23:23" ht="18.75" customHeight="1">
      <c r="W7608" s="253"/>
    </row>
    <row r="7609" spans="23:23" ht="18.75" customHeight="1">
      <c r="W7609" s="253"/>
    </row>
    <row r="7610" spans="23:23" ht="18.75" customHeight="1">
      <c r="W7610" s="253"/>
    </row>
    <row r="7611" spans="23:23" ht="18.75" customHeight="1">
      <c r="W7611" s="253"/>
    </row>
    <row r="7612" spans="23:23" ht="18.75" customHeight="1">
      <c r="W7612" s="253"/>
    </row>
    <row r="7613" spans="23:23" ht="18.75" customHeight="1">
      <c r="W7613" s="253"/>
    </row>
    <row r="7614" spans="23:23" ht="18.75" customHeight="1">
      <c r="W7614" s="253"/>
    </row>
    <row r="7615" spans="23:23" ht="18.75" customHeight="1">
      <c r="W7615" s="253"/>
    </row>
    <row r="7616" spans="23:23" ht="18.75" customHeight="1">
      <c r="W7616" s="253"/>
    </row>
    <row r="7617" spans="23:23" ht="18.75" customHeight="1">
      <c r="W7617" s="253"/>
    </row>
    <row r="7618" spans="23:23" ht="18.75" customHeight="1">
      <c r="W7618" s="253"/>
    </row>
    <row r="7619" spans="23:23" ht="18.75" customHeight="1">
      <c r="W7619" s="253"/>
    </row>
    <row r="7620" spans="23:23" ht="18.75" customHeight="1">
      <c r="W7620" s="253"/>
    </row>
    <row r="7621" spans="23:23" ht="18.75" customHeight="1">
      <c r="W7621" s="253"/>
    </row>
    <row r="7622" spans="23:23" ht="18.75" customHeight="1">
      <c r="W7622" s="253"/>
    </row>
    <row r="7623" spans="23:23" ht="18.75" customHeight="1">
      <c r="W7623" s="253"/>
    </row>
    <row r="7624" spans="23:23" ht="18.75" customHeight="1">
      <c r="W7624" s="253"/>
    </row>
    <row r="7625" spans="23:23" ht="18.75" customHeight="1">
      <c r="W7625" s="253"/>
    </row>
    <row r="7626" spans="23:23" ht="18.75" customHeight="1">
      <c r="W7626" s="253"/>
    </row>
    <row r="7627" spans="23:23" ht="18.75" customHeight="1">
      <c r="W7627" s="253"/>
    </row>
    <row r="7628" spans="23:23" ht="18.75" customHeight="1">
      <c r="W7628" s="253"/>
    </row>
    <row r="7629" spans="23:23" ht="18.75" customHeight="1">
      <c r="W7629" s="253"/>
    </row>
    <row r="7630" spans="23:23" ht="18.75" customHeight="1">
      <c r="W7630" s="253"/>
    </row>
    <row r="7631" spans="23:23" ht="18.75" customHeight="1">
      <c r="W7631" s="253"/>
    </row>
    <row r="7632" spans="23:23" ht="18.75" customHeight="1">
      <c r="W7632" s="253"/>
    </row>
    <row r="7633" spans="23:23" ht="18.75" customHeight="1">
      <c r="W7633" s="253"/>
    </row>
    <row r="7634" spans="23:23" ht="18.75" customHeight="1">
      <c r="W7634" s="253"/>
    </row>
    <row r="7635" spans="23:23" ht="18.75" customHeight="1">
      <c r="W7635" s="253"/>
    </row>
    <row r="7636" spans="23:23" ht="18.75" customHeight="1">
      <c r="W7636" s="253"/>
    </row>
    <row r="7637" spans="23:23" ht="18.75" customHeight="1">
      <c r="W7637" s="253"/>
    </row>
    <row r="7638" spans="23:23" ht="18.75" customHeight="1">
      <c r="W7638" s="253"/>
    </row>
    <row r="7639" spans="23:23" ht="18.75" customHeight="1">
      <c r="W7639" s="253"/>
    </row>
    <row r="7640" spans="23:23" ht="18.75" customHeight="1">
      <c r="W7640" s="253"/>
    </row>
    <row r="7641" spans="23:23" ht="18.75" customHeight="1">
      <c r="W7641" s="253"/>
    </row>
    <row r="7642" spans="23:23" ht="18.75" customHeight="1">
      <c r="W7642" s="253"/>
    </row>
    <row r="7643" spans="23:23" ht="18.75" customHeight="1">
      <c r="W7643" s="253"/>
    </row>
    <row r="7644" spans="23:23" ht="18.75" customHeight="1">
      <c r="W7644" s="253"/>
    </row>
    <row r="7645" spans="23:23" ht="18.75" customHeight="1">
      <c r="W7645" s="253"/>
    </row>
    <row r="7646" spans="23:23" ht="18.75" customHeight="1">
      <c r="W7646" s="253"/>
    </row>
    <row r="7647" spans="23:23" ht="18.75" customHeight="1">
      <c r="W7647" s="253"/>
    </row>
    <row r="7648" spans="23:23" ht="18.75" customHeight="1">
      <c r="W7648" s="253"/>
    </row>
    <row r="7649" spans="23:23" ht="18.75" customHeight="1">
      <c r="W7649" s="253"/>
    </row>
    <row r="7650" spans="23:23" ht="18.75" customHeight="1">
      <c r="W7650" s="253"/>
    </row>
    <row r="7651" spans="23:23" ht="18.75" customHeight="1">
      <c r="W7651" s="253"/>
    </row>
    <row r="7652" spans="23:23" ht="18.75" customHeight="1">
      <c r="W7652" s="253"/>
    </row>
    <row r="7653" spans="23:23" ht="18.75" customHeight="1">
      <c r="W7653" s="253"/>
    </row>
    <row r="7654" spans="23:23" ht="18.75" customHeight="1">
      <c r="W7654" s="253"/>
    </row>
    <row r="7655" spans="23:23" ht="18.75" customHeight="1">
      <c r="W7655" s="253"/>
    </row>
    <row r="7656" spans="23:23" ht="18.75" customHeight="1">
      <c r="W7656" s="253"/>
    </row>
    <row r="7657" spans="23:23" ht="18.75" customHeight="1">
      <c r="W7657" s="253"/>
    </row>
    <row r="7658" spans="23:23" ht="18.75" customHeight="1">
      <c r="W7658" s="253"/>
    </row>
    <row r="7659" spans="23:23" ht="18.75" customHeight="1">
      <c r="W7659" s="253"/>
    </row>
    <row r="7660" spans="23:23" ht="18.75" customHeight="1">
      <c r="W7660" s="253"/>
    </row>
    <row r="7661" spans="23:23" ht="18.75" customHeight="1">
      <c r="W7661" s="253"/>
    </row>
    <row r="7662" spans="23:23" ht="18.75" customHeight="1">
      <c r="W7662" s="253"/>
    </row>
    <row r="7663" spans="23:23" ht="18.75" customHeight="1">
      <c r="W7663" s="253"/>
    </row>
    <row r="7664" spans="23:23" ht="18.75" customHeight="1">
      <c r="W7664" s="253"/>
    </row>
    <row r="7665" spans="23:23" ht="18.75" customHeight="1">
      <c r="W7665" s="253"/>
    </row>
    <row r="7666" spans="23:23" ht="18.75" customHeight="1">
      <c r="W7666" s="253"/>
    </row>
    <row r="7667" spans="23:23" ht="18.75" customHeight="1">
      <c r="W7667" s="253"/>
    </row>
    <row r="7668" spans="23:23" ht="18.75" customHeight="1">
      <c r="W7668" s="253"/>
    </row>
    <row r="7669" spans="23:23" ht="18.75" customHeight="1">
      <c r="W7669" s="253"/>
    </row>
    <row r="7670" spans="23:23" ht="18.75" customHeight="1">
      <c r="W7670" s="253"/>
    </row>
    <row r="7671" spans="23:23" ht="18.75" customHeight="1">
      <c r="W7671" s="253"/>
    </row>
    <row r="7672" spans="23:23" ht="18.75" customHeight="1">
      <c r="W7672" s="253"/>
    </row>
    <row r="7673" spans="23:23" ht="18.75" customHeight="1">
      <c r="W7673" s="253"/>
    </row>
    <row r="7674" spans="23:23" ht="18.75" customHeight="1">
      <c r="W7674" s="253"/>
    </row>
    <row r="7675" spans="23:23" ht="18.75" customHeight="1">
      <c r="W7675" s="253"/>
    </row>
    <row r="7676" spans="23:23" ht="18.75" customHeight="1">
      <c r="W7676" s="253"/>
    </row>
    <row r="7677" spans="23:23" ht="18.75" customHeight="1">
      <c r="W7677" s="253"/>
    </row>
    <row r="7678" spans="23:23" ht="18.75" customHeight="1">
      <c r="W7678" s="253"/>
    </row>
    <row r="7679" spans="23:23" ht="18.75" customHeight="1">
      <c r="W7679" s="253"/>
    </row>
    <row r="7680" spans="23:23" ht="18.75" customHeight="1">
      <c r="W7680" s="253"/>
    </row>
    <row r="7681" spans="23:23" ht="18.75" customHeight="1">
      <c r="W7681" s="253"/>
    </row>
    <row r="7682" spans="23:23" ht="18.75" customHeight="1">
      <c r="W7682" s="253"/>
    </row>
    <row r="7683" spans="23:23" ht="18.75" customHeight="1">
      <c r="W7683" s="253"/>
    </row>
    <row r="7684" spans="23:23" ht="18.75" customHeight="1">
      <c r="W7684" s="253"/>
    </row>
    <row r="7685" spans="23:23" ht="18.75" customHeight="1">
      <c r="W7685" s="253"/>
    </row>
    <row r="7686" spans="23:23" ht="18.75" customHeight="1">
      <c r="W7686" s="253"/>
    </row>
    <row r="7687" spans="23:23" ht="18.75" customHeight="1">
      <c r="W7687" s="253"/>
    </row>
    <row r="7688" spans="23:23" ht="18.75" customHeight="1">
      <c r="W7688" s="253"/>
    </row>
    <row r="7689" spans="23:23" ht="18.75" customHeight="1">
      <c r="W7689" s="253"/>
    </row>
    <row r="7690" spans="23:23" ht="18.75" customHeight="1">
      <c r="W7690" s="253"/>
    </row>
    <row r="7691" spans="23:23" ht="18.75" customHeight="1">
      <c r="W7691" s="253"/>
    </row>
    <row r="7692" spans="23:23" ht="18.75" customHeight="1">
      <c r="W7692" s="253"/>
    </row>
    <row r="7693" spans="23:23" ht="18.75" customHeight="1">
      <c r="W7693" s="253"/>
    </row>
    <row r="7694" spans="23:23" ht="18.75" customHeight="1">
      <c r="W7694" s="253"/>
    </row>
    <row r="7695" spans="23:23" ht="18.75" customHeight="1">
      <c r="W7695" s="253"/>
    </row>
    <row r="7696" spans="23:23" ht="18.75" customHeight="1">
      <c r="W7696" s="253"/>
    </row>
    <row r="7697" spans="23:23" ht="18.75" customHeight="1">
      <c r="W7697" s="253"/>
    </row>
    <row r="7698" spans="23:23" ht="18.75" customHeight="1">
      <c r="W7698" s="253"/>
    </row>
    <row r="7699" spans="23:23" ht="18.75" customHeight="1">
      <c r="W7699" s="253"/>
    </row>
    <row r="7700" spans="23:23" ht="18.75" customHeight="1">
      <c r="W7700" s="253"/>
    </row>
    <row r="7701" spans="23:23" ht="18.75" customHeight="1">
      <c r="W7701" s="253"/>
    </row>
    <row r="7702" spans="23:23" ht="18.75" customHeight="1">
      <c r="W7702" s="253"/>
    </row>
    <row r="7703" spans="23:23" ht="18.75" customHeight="1">
      <c r="W7703" s="253"/>
    </row>
    <row r="7704" spans="23:23" ht="18.75" customHeight="1">
      <c r="W7704" s="253"/>
    </row>
    <row r="7705" spans="23:23" ht="18.75" customHeight="1">
      <c r="W7705" s="253"/>
    </row>
    <row r="7706" spans="23:23" ht="18.75" customHeight="1">
      <c r="W7706" s="253"/>
    </row>
    <row r="7707" spans="23:23" ht="18.75" customHeight="1">
      <c r="W7707" s="253"/>
    </row>
    <row r="7708" spans="23:23" ht="18.75" customHeight="1">
      <c r="W7708" s="253"/>
    </row>
    <row r="7709" spans="23:23" ht="18.75" customHeight="1">
      <c r="W7709" s="253"/>
    </row>
    <row r="7710" spans="23:23" ht="18.75" customHeight="1">
      <c r="W7710" s="253"/>
    </row>
    <row r="7711" spans="23:23" ht="18.75" customHeight="1">
      <c r="W7711" s="253"/>
    </row>
    <row r="7712" spans="23:23" ht="18.75" customHeight="1">
      <c r="W7712" s="253"/>
    </row>
    <row r="7713" spans="23:23" ht="18.75" customHeight="1">
      <c r="W7713" s="253"/>
    </row>
    <row r="7714" spans="23:23" ht="18.75" customHeight="1">
      <c r="W7714" s="253"/>
    </row>
    <row r="7715" spans="23:23" ht="18.75" customHeight="1">
      <c r="W7715" s="253"/>
    </row>
    <row r="7716" spans="23:23" ht="18.75" customHeight="1">
      <c r="W7716" s="253"/>
    </row>
    <row r="7717" spans="23:23" ht="18.75" customHeight="1">
      <c r="W7717" s="253"/>
    </row>
    <row r="7718" spans="23:23" ht="18.75" customHeight="1">
      <c r="W7718" s="253"/>
    </row>
    <row r="7719" spans="23:23" ht="18.75" customHeight="1">
      <c r="W7719" s="253"/>
    </row>
    <row r="7720" spans="23:23" ht="18.75" customHeight="1">
      <c r="W7720" s="253"/>
    </row>
    <row r="7721" spans="23:23" ht="18.75" customHeight="1">
      <c r="W7721" s="253"/>
    </row>
    <row r="7722" spans="23:23" ht="18.75" customHeight="1">
      <c r="W7722" s="253"/>
    </row>
    <row r="7723" spans="23:23" ht="18.75" customHeight="1">
      <c r="W7723" s="253"/>
    </row>
    <row r="7724" spans="23:23" ht="18.75" customHeight="1">
      <c r="W7724" s="253"/>
    </row>
    <row r="7725" spans="23:23" ht="18.75" customHeight="1">
      <c r="W7725" s="253"/>
    </row>
    <row r="7726" spans="23:23" ht="18.75" customHeight="1">
      <c r="W7726" s="253"/>
    </row>
    <row r="7727" spans="23:23" ht="18.75" customHeight="1">
      <c r="W7727" s="253"/>
    </row>
    <row r="7728" spans="23:23" ht="18.75" customHeight="1">
      <c r="W7728" s="253"/>
    </row>
    <row r="7729" spans="23:23" ht="18.75" customHeight="1">
      <c r="W7729" s="253"/>
    </row>
    <row r="7730" spans="23:23" ht="18.75" customHeight="1">
      <c r="W7730" s="253"/>
    </row>
    <row r="7731" spans="23:23" ht="18.75" customHeight="1">
      <c r="W7731" s="253"/>
    </row>
    <row r="7732" spans="23:23" ht="18.75" customHeight="1">
      <c r="W7732" s="253"/>
    </row>
    <row r="7733" spans="23:23" ht="18.75" customHeight="1">
      <c r="W7733" s="253"/>
    </row>
    <row r="7734" spans="23:23" ht="18.75" customHeight="1">
      <c r="W7734" s="253"/>
    </row>
    <row r="7735" spans="23:23" ht="18.75" customHeight="1">
      <c r="W7735" s="253"/>
    </row>
    <row r="7736" spans="23:23" ht="18.75" customHeight="1">
      <c r="W7736" s="253"/>
    </row>
    <row r="7737" spans="23:23" ht="18.75" customHeight="1">
      <c r="W7737" s="253"/>
    </row>
    <row r="7738" spans="23:23" ht="18.75" customHeight="1">
      <c r="W7738" s="253"/>
    </row>
    <row r="7739" spans="23:23" ht="18.75" customHeight="1">
      <c r="W7739" s="253"/>
    </row>
    <row r="7740" spans="23:23" ht="18.75" customHeight="1">
      <c r="W7740" s="253"/>
    </row>
    <row r="7741" spans="23:23" ht="18.75" customHeight="1">
      <c r="W7741" s="253"/>
    </row>
    <row r="7742" spans="23:23" ht="18.75" customHeight="1">
      <c r="W7742" s="253"/>
    </row>
    <row r="7743" spans="23:23" ht="18.75" customHeight="1">
      <c r="W7743" s="253"/>
    </row>
    <row r="7744" spans="23:23" ht="18.75" customHeight="1">
      <c r="W7744" s="253"/>
    </row>
    <row r="7745" spans="23:23" ht="18.75" customHeight="1">
      <c r="W7745" s="253"/>
    </row>
    <row r="7746" spans="23:23" ht="18.75" customHeight="1">
      <c r="W7746" s="253"/>
    </row>
    <row r="7747" spans="23:23" ht="18.75" customHeight="1">
      <c r="W7747" s="253"/>
    </row>
    <row r="7748" spans="23:23" ht="18.75" customHeight="1">
      <c r="W7748" s="253"/>
    </row>
    <row r="7749" spans="23:23" ht="18.75" customHeight="1">
      <c r="W7749" s="253"/>
    </row>
    <row r="7750" spans="23:23" ht="18.75" customHeight="1">
      <c r="W7750" s="253"/>
    </row>
    <row r="7751" spans="23:23" ht="18.75" customHeight="1">
      <c r="W7751" s="253"/>
    </row>
    <row r="7752" spans="23:23" ht="18.75" customHeight="1">
      <c r="W7752" s="253"/>
    </row>
    <row r="7753" spans="23:23" ht="18.75" customHeight="1">
      <c r="W7753" s="253"/>
    </row>
    <row r="7754" spans="23:23" ht="18.75" customHeight="1">
      <c r="W7754" s="253"/>
    </row>
    <row r="7755" spans="23:23" ht="18.75" customHeight="1">
      <c r="W7755" s="253"/>
    </row>
    <row r="7756" spans="23:23" ht="18.75" customHeight="1">
      <c r="W7756" s="253"/>
    </row>
    <row r="7757" spans="23:23" ht="18.75" customHeight="1">
      <c r="W7757" s="253"/>
    </row>
    <row r="7758" spans="23:23" ht="18.75" customHeight="1">
      <c r="W7758" s="253"/>
    </row>
    <row r="7759" spans="23:23" ht="18.75" customHeight="1">
      <c r="W7759" s="253"/>
    </row>
    <row r="7760" spans="23:23" ht="18.75" customHeight="1">
      <c r="W7760" s="253"/>
    </row>
    <row r="7761" spans="23:23" ht="18.75" customHeight="1">
      <c r="W7761" s="253"/>
    </row>
    <row r="7762" spans="23:23" ht="18.75" customHeight="1">
      <c r="W7762" s="253"/>
    </row>
    <row r="7763" spans="23:23" ht="18.75" customHeight="1">
      <c r="W7763" s="253"/>
    </row>
    <row r="7764" spans="23:23" ht="18.75" customHeight="1">
      <c r="W7764" s="253"/>
    </row>
    <row r="7765" spans="23:23" ht="18.75" customHeight="1">
      <c r="W7765" s="253"/>
    </row>
    <row r="7766" spans="23:23" ht="18.75" customHeight="1">
      <c r="W7766" s="253"/>
    </row>
    <row r="7767" spans="23:23" ht="18.75" customHeight="1">
      <c r="W7767" s="253"/>
    </row>
    <row r="7768" spans="23:23" ht="18.75" customHeight="1">
      <c r="W7768" s="253"/>
    </row>
    <row r="7769" spans="23:23" ht="18.75" customHeight="1">
      <c r="W7769" s="253"/>
    </row>
    <row r="7770" spans="23:23" ht="18.75" customHeight="1">
      <c r="W7770" s="253"/>
    </row>
    <row r="7771" spans="23:23" ht="18.75" customHeight="1">
      <c r="W7771" s="253"/>
    </row>
    <row r="7772" spans="23:23" ht="18.75" customHeight="1">
      <c r="W7772" s="253"/>
    </row>
    <row r="7773" spans="23:23" ht="18.75" customHeight="1">
      <c r="W7773" s="253"/>
    </row>
    <row r="7774" spans="23:23" ht="18.75" customHeight="1">
      <c r="W7774" s="253"/>
    </row>
    <row r="7775" spans="23:23" ht="18.75" customHeight="1">
      <c r="W7775" s="253"/>
    </row>
    <row r="7776" spans="23:23" ht="18.75" customHeight="1">
      <c r="W7776" s="253"/>
    </row>
    <row r="7777" spans="23:23" ht="18.75" customHeight="1">
      <c r="W7777" s="253"/>
    </row>
    <row r="7778" spans="23:23" ht="18.75" customHeight="1">
      <c r="W7778" s="253"/>
    </row>
    <row r="7779" spans="23:23" ht="18.75" customHeight="1">
      <c r="W7779" s="253"/>
    </row>
    <row r="7780" spans="23:23" ht="18.75" customHeight="1">
      <c r="W7780" s="253"/>
    </row>
    <row r="7781" spans="23:23" ht="18.75" customHeight="1">
      <c r="W7781" s="253"/>
    </row>
    <row r="7782" spans="23:23" ht="18.75" customHeight="1">
      <c r="W7782" s="253"/>
    </row>
    <row r="7783" spans="23:23" ht="18.75" customHeight="1">
      <c r="W7783" s="253"/>
    </row>
    <row r="7784" spans="23:23" ht="18.75" customHeight="1">
      <c r="W7784" s="253"/>
    </row>
    <row r="7785" spans="23:23" ht="18.75" customHeight="1">
      <c r="W7785" s="253"/>
    </row>
    <row r="7786" spans="23:23" ht="18.75" customHeight="1">
      <c r="W7786" s="253"/>
    </row>
    <row r="7787" spans="23:23" ht="18.75" customHeight="1">
      <c r="W7787" s="253"/>
    </row>
    <row r="7788" spans="23:23" ht="18.75" customHeight="1">
      <c r="W7788" s="253"/>
    </row>
    <row r="7789" spans="23:23" ht="18.75" customHeight="1">
      <c r="W7789" s="253"/>
    </row>
    <row r="7790" spans="23:23" ht="18.75" customHeight="1">
      <c r="W7790" s="253"/>
    </row>
    <row r="7791" spans="23:23" ht="18.75" customHeight="1">
      <c r="W7791" s="253"/>
    </row>
    <row r="7792" spans="23:23" ht="18.75" customHeight="1">
      <c r="W7792" s="253"/>
    </row>
    <row r="7793" spans="23:23" ht="18.75" customHeight="1">
      <c r="W7793" s="253"/>
    </row>
    <row r="7794" spans="23:23" ht="18.75" customHeight="1">
      <c r="W7794" s="253"/>
    </row>
    <row r="7795" spans="23:23" ht="18.75" customHeight="1">
      <c r="W7795" s="253"/>
    </row>
    <row r="7796" spans="23:23" ht="18.75" customHeight="1">
      <c r="W7796" s="253"/>
    </row>
    <row r="7797" spans="23:23" ht="18.75" customHeight="1">
      <c r="W7797" s="253"/>
    </row>
    <row r="7798" spans="23:23" ht="18.75" customHeight="1">
      <c r="W7798" s="253"/>
    </row>
    <row r="7799" spans="23:23" ht="18.75" customHeight="1">
      <c r="W7799" s="253"/>
    </row>
    <row r="7800" spans="23:23" ht="18.75" customHeight="1">
      <c r="W7800" s="253"/>
    </row>
    <row r="7801" spans="23:23" ht="18.75" customHeight="1">
      <c r="W7801" s="253"/>
    </row>
    <row r="7802" spans="23:23" ht="18.75" customHeight="1">
      <c r="W7802" s="253"/>
    </row>
    <row r="7803" spans="23:23" ht="18.75" customHeight="1">
      <c r="W7803" s="253"/>
    </row>
    <row r="7804" spans="23:23" ht="18.75" customHeight="1">
      <c r="W7804" s="253"/>
    </row>
    <row r="7805" spans="23:23" ht="18.75" customHeight="1">
      <c r="W7805" s="253"/>
    </row>
    <row r="7806" spans="23:23" ht="18.75" customHeight="1">
      <c r="W7806" s="253"/>
    </row>
    <row r="7807" spans="23:23" ht="18.75" customHeight="1">
      <c r="W7807" s="253"/>
    </row>
    <row r="7808" spans="23:23" ht="18.75" customHeight="1">
      <c r="W7808" s="253"/>
    </row>
    <row r="7809" spans="23:23" ht="18.75" customHeight="1">
      <c r="W7809" s="253"/>
    </row>
    <row r="7810" spans="23:23" ht="18.75" customHeight="1">
      <c r="W7810" s="253"/>
    </row>
    <row r="7811" spans="23:23" ht="18.75" customHeight="1">
      <c r="W7811" s="253"/>
    </row>
    <row r="7812" spans="23:23" ht="18.75" customHeight="1">
      <c r="W7812" s="253"/>
    </row>
    <row r="7813" spans="23:23" ht="18.75" customHeight="1">
      <c r="W7813" s="253"/>
    </row>
    <row r="7814" spans="23:23" ht="18.75" customHeight="1">
      <c r="W7814" s="253"/>
    </row>
    <row r="7815" spans="23:23" ht="18.75" customHeight="1">
      <c r="W7815" s="253"/>
    </row>
    <row r="7816" spans="23:23" ht="18.75" customHeight="1">
      <c r="W7816" s="253"/>
    </row>
    <row r="7817" spans="23:23" ht="18.75" customHeight="1">
      <c r="W7817" s="253"/>
    </row>
    <row r="7818" spans="23:23" ht="18.75" customHeight="1">
      <c r="W7818" s="253"/>
    </row>
    <row r="7819" spans="23:23" ht="18.75" customHeight="1">
      <c r="W7819" s="253"/>
    </row>
    <row r="7820" spans="23:23" ht="18.75" customHeight="1">
      <c r="W7820" s="253"/>
    </row>
    <row r="7821" spans="23:23" ht="18.75" customHeight="1">
      <c r="W7821" s="253"/>
    </row>
    <row r="7822" spans="23:23" ht="18.75" customHeight="1">
      <c r="W7822" s="253"/>
    </row>
    <row r="7823" spans="23:23" ht="18.75" customHeight="1">
      <c r="W7823" s="253"/>
    </row>
    <row r="7824" spans="23:23" ht="18.75" customHeight="1">
      <c r="W7824" s="253"/>
    </row>
    <row r="7825" spans="23:23" ht="18.75" customHeight="1">
      <c r="W7825" s="253"/>
    </row>
    <row r="7826" spans="23:23" ht="18.75" customHeight="1">
      <c r="W7826" s="253"/>
    </row>
    <row r="7827" spans="23:23" ht="18.75" customHeight="1">
      <c r="W7827" s="253"/>
    </row>
    <row r="7828" spans="23:23" ht="18.75" customHeight="1">
      <c r="W7828" s="253"/>
    </row>
    <row r="7829" spans="23:23" ht="18.75" customHeight="1">
      <c r="W7829" s="253"/>
    </row>
    <row r="7830" spans="23:23" ht="18.75" customHeight="1">
      <c r="W7830" s="253"/>
    </row>
    <row r="7831" spans="23:23" ht="18.75" customHeight="1">
      <c r="W7831" s="253"/>
    </row>
    <row r="7832" spans="23:23" ht="18.75" customHeight="1">
      <c r="W7832" s="253"/>
    </row>
    <row r="7833" spans="23:23" ht="18.75" customHeight="1">
      <c r="W7833" s="253"/>
    </row>
    <row r="7834" spans="23:23" ht="18.75" customHeight="1">
      <c r="W7834" s="253"/>
    </row>
    <row r="7835" spans="23:23" ht="18.75" customHeight="1">
      <c r="W7835" s="253"/>
    </row>
    <row r="7836" spans="23:23" ht="18.75" customHeight="1">
      <c r="W7836" s="253"/>
    </row>
    <row r="7837" spans="23:23" ht="18.75" customHeight="1">
      <c r="W7837" s="253"/>
    </row>
    <row r="7838" spans="23:23" ht="18.75" customHeight="1">
      <c r="W7838" s="253"/>
    </row>
    <row r="7839" spans="23:23" ht="18.75" customHeight="1">
      <c r="W7839" s="253"/>
    </row>
    <row r="7840" spans="23:23" ht="18.75" customHeight="1">
      <c r="W7840" s="253"/>
    </row>
    <row r="7841" spans="23:23" ht="18.75" customHeight="1">
      <c r="W7841" s="253"/>
    </row>
    <row r="7842" spans="23:23" ht="18.75" customHeight="1">
      <c r="W7842" s="253"/>
    </row>
    <row r="7843" spans="23:23" ht="18.75" customHeight="1">
      <c r="W7843" s="253"/>
    </row>
    <row r="7844" spans="23:23" ht="18.75" customHeight="1">
      <c r="W7844" s="253"/>
    </row>
    <row r="7845" spans="23:23" ht="18.75" customHeight="1">
      <c r="W7845" s="253"/>
    </row>
    <row r="7846" spans="23:23" ht="18.75" customHeight="1">
      <c r="W7846" s="253"/>
    </row>
    <row r="7847" spans="23:23" ht="18.75" customHeight="1">
      <c r="W7847" s="253"/>
    </row>
    <row r="7848" spans="23:23" ht="18.75" customHeight="1">
      <c r="W7848" s="253"/>
    </row>
    <row r="7849" spans="23:23" ht="18.75" customHeight="1">
      <c r="W7849" s="253"/>
    </row>
    <row r="7850" spans="23:23" ht="18.75" customHeight="1">
      <c r="W7850" s="253"/>
    </row>
    <row r="7851" spans="23:23" ht="18.75" customHeight="1">
      <c r="W7851" s="253"/>
    </row>
    <row r="7852" spans="23:23" ht="18.75" customHeight="1">
      <c r="W7852" s="253"/>
    </row>
    <row r="7853" spans="23:23" ht="18.75" customHeight="1">
      <c r="W7853" s="253"/>
    </row>
    <row r="7854" spans="23:23" ht="18.75" customHeight="1">
      <c r="W7854" s="253"/>
    </row>
    <row r="7855" spans="23:23" ht="18.75" customHeight="1">
      <c r="W7855" s="253"/>
    </row>
    <row r="7856" spans="23:23" ht="18.75" customHeight="1">
      <c r="W7856" s="253"/>
    </row>
    <row r="7857" spans="23:23" ht="18.75" customHeight="1">
      <c r="W7857" s="253"/>
    </row>
    <row r="7858" spans="23:23" ht="18.75" customHeight="1">
      <c r="W7858" s="253"/>
    </row>
    <row r="7859" spans="23:23" ht="18.75" customHeight="1">
      <c r="W7859" s="253"/>
    </row>
    <row r="7860" spans="23:23" ht="18.75" customHeight="1">
      <c r="W7860" s="253"/>
    </row>
    <row r="7861" spans="23:23" ht="18.75" customHeight="1">
      <c r="W7861" s="253"/>
    </row>
    <row r="7862" spans="23:23" ht="18.75" customHeight="1">
      <c r="W7862" s="253"/>
    </row>
    <row r="7863" spans="23:23" ht="18.75" customHeight="1">
      <c r="W7863" s="253"/>
    </row>
    <row r="7864" spans="23:23" ht="18.75" customHeight="1">
      <c r="W7864" s="253"/>
    </row>
    <row r="7865" spans="23:23" ht="18.75" customHeight="1">
      <c r="W7865" s="253"/>
    </row>
    <row r="7866" spans="23:23" ht="18.75" customHeight="1">
      <c r="W7866" s="253"/>
    </row>
    <row r="7867" spans="23:23" ht="18.75" customHeight="1">
      <c r="W7867" s="253"/>
    </row>
    <row r="7868" spans="23:23" ht="18.75" customHeight="1">
      <c r="W7868" s="253"/>
    </row>
    <row r="7869" spans="23:23" ht="18.75" customHeight="1">
      <c r="W7869" s="253"/>
    </row>
    <row r="7870" spans="23:23" ht="18.75" customHeight="1">
      <c r="W7870" s="253"/>
    </row>
    <row r="7871" spans="23:23" ht="18.75" customHeight="1">
      <c r="W7871" s="253"/>
    </row>
    <row r="7872" spans="23:23" ht="18.75" customHeight="1">
      <c r="W7872" s="253"/>
    </row>
    <row r="7873" spans="23:23" ht="18.75" customHeight="1">
      <c r="W7873" s="253"/>
    </row>
    <row r="7874" spans="23:23" ht="18.75" customHeight="1">
      <c r="W7874" s="253"/>
    </row>
    <row r="7875" spans="23:23" ht="18.75" customHeight="1">
      <c r="W7875" s="253"/>
    </row>
    <row r="7876" spans="23:23" ht="18.75" customHeight="1">
      <c r="W7876" s="253"/>
    </row>
    <row r="7877" spans="23:23" ht="18.75" customHeight="1">
      <c r="W7877" s="253"/>
    </row>
    <row r="7878" spans="23:23" ht="18.75" customHeight="1">
      <c r="W7878" s="253"/>
    </row>
    <row r="7879" spans="23:23" ht="18.75" customHeight="1">
      <c r="W7879" s="253"/>
    </row>
    <row r="7880" spans="23:23" ht="18.75" customHeight="1">
      <c r="W7880" s="253"/>
    </row>
    <row r="7881" spans="23:23" ht="18.75" customHeight="1">
      <c r="W7881" s="253"/>
    </row>
    <row r="7882" spans="23:23" ht="18.75" customHeight="1">
      <c r="W7882" s="253"/>
    </row>
    <row r="7883" spans="23:23" ht="18.75" customHeight="1">
      <c r="W7883" s="253"/>
    </row>
    <row r="7884" spans="23:23" ht="18.75" customHeight="1">
      <c r="W7884" s="253"/>
    </row>
    <row r="7885" spans="23:23" ht="18.75" customHeight="1">
      <c r="W7885" s="253"/>
    </row>
    <row r="7886" spans="23:23" ht="18.75" customHeight="1">
      <c r="W7886" s="253"/>
    </row>
    <row r="7887" spans="23:23" ht="18.75" customHeight="1">
      <c r="W7887" s="253"/>
    </row>
    <row r="7888" spans="23:23" ht="18.75" customHeight="1">
      <c r="W7888" s="253"/>
    </row>
    <row r="7889" spans="23:23" ht="18.75" customHeight="1">
      <c r="W7889" s="253"/>
    </row>
    <row r="7890" spans="23:23" ht="18.75" customHeight="1">
      <c r="W7890" s="253"/>
    </row>
    <row r="7891" spans="23:23" ht="18.75" customHeight="1">
      <c r="W7891" s="253"/>
    </row>
    <row r="7892" spans="23:23" ht="18.75" customHeight="1">
      <c r="W7892" s="253"/>
    </row>
    <row r="7893" spans="23:23" ht="18.75" customHeight="1">
      <c r="W7893" s="253"/>
    </row>
    <row r="7894" spans="23:23" ht="18.75" customHeight="1">
      <c r="W7894" s="253"/>
    </row>
    <row r="7895" spans="23:23" ht="18.75" customHeight="1">
      <c r="W7895" s="253"/>
    </row>
    <row r="7896" spans="23:23" ht="18.75" customHeight="1">
      <c r="W7896" s="253"/>
    </row>
    <row r="7897" spans="23:23" ht="18.75" customHeight="1">
      <c r="W7897" s="253"/>
    </row>
    <row r="7898" spans="23:23" ht="18.75" customHeight="1">
      <c r="W7898" s="253"/>
    </row>
    <row r="7899" spans="23:23" ht="18.75" customHeight="1">
      <c r="W7899" s="253"/>
    </row>
    <row r="7900" spans="23:23" ht="18.75" customHeight="1">
      <c r="W7900" s="253"/>
    </row>
    <row r="7901" spans="23:23" ht="18.75" customHeight="1">
      <c r="W7901" s="253"/>
    </row>
    <row r="7902" spans="23:23" ht="18.75" customHeight="1">
      <c r="W7902" s="253"/>
    </row>
    <row r="7903" spans="23:23" ht="18.75" customHeight="1">
      <c r="W7903" s="253"/>
    </row>
    <row r="7904" spans="23:23" ht="18.75" customHeight="1">
      <c r="W7904" s="253"/>
    </row>
    <row r="7905" spans="23:23" ht="18.75" customHeight="1">
      <c r="W7905" s="253"/>
    </row>
    <row r="7906" spans="23:23" ht="18.75" customHeight="1">
      <c r="W7906" s="253"/>
    </row>
    <row r="7907" spans="23:23" ht="18.75" customHeight="1">
      <c r="W7907" s="253"/>
    </row>
    <row r="7908" spans="23:23" ht="18.75" customHeight="1">
      <c r="W7908" s="253"/>
    </row>
    <row r="7909" spans="23:23" ht="18.75" customHeight="1">
      <c r="W7909" s="253"/>
    </row>
    <row r="7910" spans="23:23" ht="18.75" customHeight="1">
      <c r="W7910" s="253"/>
    </row>
    <row r="7911" spans="23:23" ht="18.75" customHeight="1">
      <c r="W7911" s="253"/>
    </row>
    <row r="7912" spans="23:23" ht="18.75" customHeight="1">
      <c r="W7912" s="253"/>
    </row>
    <row r="7913" spans="23:23" ht="18.75" customHeight="1">
      <c r="W7913" s="253"/>
    </row>
    <row r="7914" spans="23:23" ht="18.75" customHeight="1">
      <c r="W7914" s="253"/>
    </row>
    <row r="7915" spans="23:23" ht="18.75" customHeight="1">
      <c r="W7915" s="253"/>
    </row>
    <row r="7916" spans="23:23" ht="18.75" customHeight="1">
      <c r="W7916" s="253"/>
    </row>
    <row r="7917" spans="23:23" ht="18.75" customHeight="1">
      <c r="W7917" s="253"/>
    </row>
    <row r="7918" spans="23:23" ht="18.75" customHeight="1">
      <c r="W7918" s="253"/>
    </row>
    <row r="7919" spans="23:23" ht="18.75" customHeight="1">
      <c r="W7919" s="253"/>
    </row>
    <row r="7920" spans="23:23" ht="18.75" customHeight="1">
      <c r="W7920" s="253"/>
    </row>
    <row r="7921" spans="23:23" ht="18.75" customHeight="1">
      <c r="W7921" s="253"/>
    </row>
    <row r="7922" spans="23:23" ht="18.75" customHeight="1">
      <c r="W7922" s="253"/>
    </row>
    <row r="7923" spans="23:23" ht="18.75" customHeight="1">
      <c r="W7923" s="253"/>
    </row>
    <row r="7924" spans="23:23" ht="18.75" customHeight="1">
      <c r="W7924" s="253"/>
    </row>
    <row r="7925" spans="23:23" ht="18.75" customHeight="1">
      <c r="W7925" s="253"/>
    </row>
    <row r="7926" spans="23:23" ht="18.75" customHeight="1">
      <c r="W7926" s="253"/>
    </row>
    <row r="7927" spans="23:23" ht="18.75" customHeight="1">
      <c r="W7927" s="253"/>
    </row>
    <row r="7928" spans="23:23" ht="18.75" customHeight="1">
      <c r="W7928" s="253"/>
    </row>
    <row r="7929" spans="23:23" ht="18.75" customHeight="1">
      <c r="W7929" s="253"/>
    </row>
    <row r="7930" spans="23:23" ht="18.75" customHeight="1">
      <c r="W7930" s="253"/>
    </row>
    <row r="7931" spans="23:23" ht="18.75" customHeight="1">
      <c r="W7931" s="253"/>
    </row>
    <row r="7932" spans="23:23" ht="18.75" customHeight="1">
      <c r="W7932" s="253"/>
    </row>
    <row r="7933" spans="23:23" ht="18.75" customHeight="1">
      <c r="W7933" s="253"/>
    </row>
    <row r="7934" spans="23:23" ht="18.75" customHeight="1">
      <c r="W7934" s="253"/>
    </row>
    <row r="7935" spans="23:23" ht="18.75" customHeight="1">
      <c r="W7935" s="253"/>
    </row>
    <row r="7936" spans="23:23" ht="18.75" customHeight="1">
      <c r="W7936" s="253"/>
    </row>
    <row r="7937" spans="23:23" ht="18.75" customHeight="1">
      <c r="W7937" s="253"/>
    </row>
    <row r="7938" spans="23:23" ht="18.75" customHeight="1">
      <c r="W7938" s="253"/>
    </row>
    <row r="7939" spans="23:23" ht="18.75" customHeight="1">
      <c r="W7939" s="253"/>
    </row>
    <row r="7940" spans="23:23" ht="18.75" customHeight="1">
      <c r="W7940" s="253"/>
    </row>
    <row r="7941" spans="23:23" ht="18.75" customHeight="1">
      <c r="W7941" s="253"/>
    </row>
    <row r="7942" spans="23:23" ht="18.75" customHeight="1">
      <c r="W7942" s="253"/>
    </row>
    <row r="7943" spans="23:23" ht="18.75" customHeight="1">
      <c r="W7943" s="253"/>
    </row>
    <row r="7944" spans="23:23" ht="18.75" customHeight="1">
      <c r="W7944" s="253"/>
    </row>
    <row r="7945" spans="23:23" ht="18.75" customHeight="1">
      <c r="W7945" s="253"/>
    </row>
    <row r="7946" spans="23:23" ht="18.75" customHeight="1">
      <c r="W7946" s="253"/>
    </row>
    <row r="7947" spans="23:23" ht="18.75" customHeight="1">
      <c r="W7947" s="253"/>
    </row>
    <row r="7948" spans="23:23" ht="18.75" customHeight="1">
      <c r="W7948" s="253"/>
    </row>
    <row r="7949" spans="23:23" ht="18.75" customHeight="1">
      <c r="W7949" s="253"/>
    </row>
    <row r="7950" spans="23:23" ht="18.75" customHeight="1">
      <c r="W7950" s="253"/>
    </row>
    <row r="7951" spans="23:23" ht="18.75" customHeight="1">
      <c r="W7951" s="253"/>
    </row>
    <row r="7952" spans="23:23" ht="18.75" customHeight="1">
      <c r="W7952" s="253"/>
    </row>
    <row r="7953" spans="23:23" ht="18.75" customHeight="1">
      <c r="W7953" s="253"/>
    </row>
    <row r="7954" spans="23:23" ht="18.75" customHeight="1">
      <c r="W7954" s="253"/>
    </row>
    <row r="7955" spans="23:23" ht="18.75" customHeight="1">
      <c r="W7955" s="253"/>
    </row>
    <row r="7956" spans="23:23" ht="18.75" customHeight="1">
      <c r="W7956" s="253"/>
    </row>
    <row r="7957" spans="23:23" ht="18.75" customHeight="1">
      <c r="W7957" s="253"/>
    </row>
    <row r="7958" spans="23:23" ht="18.75" customHeight="1">
      <c r="W7958" s="253"/>
    </row>
    <row r="7959" spans="23:23" ht="18.75" customHeight="1">
      <c r="W7959" s="253"/>
    </row>
    <row r="7960" spans="23:23" ht="18.75" customHeight="1">
      <c r="W7960" s="253"/>
    </row>
    <row r="7961" spans="23:23" ht="18.75" customHeight="1">
      <c r="W7961" s="253"/>
    </row>
    <row r="7962" spans="23:23" ht="18.75" customHeight="1">
      <c r="W7962" s="253"/>
    </row>
    <row r="7963" spans="23:23" ht="18.75" customHeight="1">
      <c r="W7963" s="253"/>
    </row>
    <row r="7964" spans="23:23" ht="18.75" customHeight="1">
      <c r="W7964" s="253"/>
    </row>
    <row r="7965" spans="23:23" ht="18.75" customHeight="1">
      <c r="W7965" s="253"/>
    </row>
    <row r="7966" spans="23:23" ht="18.75" customHeight="1">
      <c r="W7966" s="253"/>
    </row>
    <row r="7967" spans="23:23" ht="18.75" customHeight="1">
      <c r="W7967" s="253"/>
    </row>
    <row r="7968" spans="23:23" ht="18.75" customHeight="1">
      <c r="W7968" s="253"/>
    </row>
    <row r="7969" spans="23:23" ht="18.75" customHeight="1">
      <c r="W7969" s="253"/>
    </row>
    <row r="7970" spans="23:23" ht="18.75" customHeight="1">
      <c r="W7970" s="253"/>
    </row>
    <row r="7971" spans="23:23" ht="18.75" customHeight="1">
      <c r="W7971" s="253"/>
    </row>
    <row r="7972" spans="23:23" ht="18.75" customHeight="1">
      <c r="W7972" s="253"/>
    </row>
    <row r="7973" spans="23:23" ht="18.75" customHeight="1">
      <c r="W7973" s="253"/>
    </row>
    <row r="7974" spans="23:23" ht="18.75" customHeight="1">
      <c r="W7974" s="253"/>
    </row>
    <row r="7975" spans="23:23" ht="18.75" customHeight="1">
      <c r="W7975" s="253"/>
    </row>
    <row r="7976" spans="23:23" ht="18.75" customHeight="1">
      <c r="W7976" s="253"/>
    </row>
    <row r="7977" spans="23:23" ht="18.75" customHeight="1">
      <c r="W7977" s="253"/>
    </row>
    <row r="7978" spans="23:23" ht="18.75" customHeight="1">
      <c r="W7978" s="253"/>
    </row>
    <row r="7979" spans="23:23" ht="18.75" customHeight="1">
      <c r="W7979" s="253"/>
    </row>
    <row r="7980" spans="23:23" ht="18.75" customHeight="1">
      <c r="W7980" s="253"/>
    </row>
    <row r="7981" spans="23:23" ht="18.75" customHeight="1">
      <c r="W7981" s="253"/>
    </row>
    <row r="7982" spans="23:23" ht="18.75" customHeight="1">
      <c r="W7982" s="253"/>
    </row>
    <row r="7983" spans="23:23" ht="18.75" customHeight="1">
      <c r="W7983" s="253"/>
    </row>
    <row r="7984" spans="23:23" ht="18.75" customHeight="1">
      <c r="W7984" s="253"/>
    </row>
    <row r="7985" spans="23:23" ht="18.75" customHeight="1">
      <c r="W7985" s="253"/>
    </row>
    <row r="7986" spans="23:23" ht="18.75" customHeight="1">
      <c r="W7986" s="253"/>
    </row>
    <row r="7987" spans="23:23" ht="18.75" customHeight="1">
      <c r="W7987" s="253"/>
    </row>
    <row r="7988" spans="23:23" ht="18.75" customHeight="1">
      <c r="W7988" s="253"/>
    </row>
    <row r="7989" spans="23:23" ht="18.75" customHeight="1">
      <c r="W7989" s="253"/>
    </row>
    <row r="7990" spans="23:23" ht="18.75" customHeight="1">
      <c r="W7990" s="253"/>
    </row>
    <row r="7991" spans="23:23" ht="18.75" customHeight="1">
      <c r="W7991" s="253"/>
    </row>
    <row r="7992" spans="23:23" ht="18.75" customHeight="1">
      <c r="W7992" s="253"/>
    </row>
    <row r="7993" spans="23:23" ht="18.75" customHeight="1">
      <c r="W7993" s="253"/>
    </row>
    <row r="7994" spans="23:23" ht="18.75" customHeight="1">
      <c r="W7994" s="253"/>
    </row>
    <row r="7995" spans="23:23" ht="18.75" customHeight="1">
      <c r="W7995" s="253"/>
    </row>
    <row r="7996" spans="23:23" ht="18.75" customHeight="1">
      <c r="W7996" s="253"/>
    </row>
    <row r="7997" spans="23:23" ht="18.75" customHeight="1">
      <c r="W7997" s="253"/>
    </row>
    <row r="7998" spans="23:23" ht="18.75" customHeight="1">
      <c r="W7998" s="253"/>
    </row>
    <row r="7999" spans="23:23" ht="18.75" customHeight="1">
      <c r="W7999" s="253"/>
    </row>
    <row r="8000" spans="23:23" ht="18.75" customHeight="1">
      <c r="W8000" s="253"/>
    </row>
    <row r="8001" spans="23:23" ht="18.75" customHeight="1">
      <c r="W8001" s="253"/>
    </row>
    <row r="8002" spans="23:23" ht="18.75" customHeight="1">
      <c r="W8002" s="253"/>
    </row>
    <row r="8003" spans="23:23" ht="18.75" customHeight="1">
      <c r="W8003" s="253"/>
    </row>
    <row r="8004" spans="23:23" ht="18.75" customHeight="1">
      <c r="W8004" s="253"/>
    </row>
    <row r="8005" spans="23:23" ht="18.75" customHeight="1">
      <c r="W8005" s="253"/>
    </row>
    <row r="8006" spans="23:23" ht="18.75" customHeight="1">
      <c r="W8006" s="253"/>
    </row>
    <row r="8007" spans="23:23" ht="18.75" customHeight="1">
      <c r="W8007" s="253"/>
    </row>
    <row r="8008" spans="23:23" ht="18.75" customHeight="1">
      <c r="W8008" s="253"/>
    </row>
    <row r="8009" spans="23:23" ht="18.75" customHeight="1">
      <c r="W8009" s="253"/>
    </row>
    <row r="8010" spans="23:23" ht="18.75" customHeight="1">
      <c r="W8010" s="253"/>
    </row>
    <row r="8011" spans="23:23" ht="18.75" customHeight="1">
      <c r="W8011" s="253"/>
    </row>
    <row r="8012" spans="23:23" ht="18.75" customHeight="1">
      <c r="W8012" s="253"/>
    </row>
    <row r="8013" spans="23:23" ht="18.75" customHeight="1">
      <c r="W8013" s="253"/>
    </row>
    <row r="8014" spans="23:23" ht="18.75" customHeight="1">
      <c r="W8014" s="253"/>
    </row>
    <row r="8015" spans="23:23" ht="18.75" customHeight="1">
      <c r="W8015" s="253"/>
    </row>
    <row r="8016" spans="23:23" ht="18.75" customHeight="1">
      <c r="W8016" s="253"/>
    </row>
    <row r="8017" spans="23:23" ht="18.75" customHeight="1">
      <c r="W8017" s="253"/>
    </row>
    <row r="8018" spans="23:23" ht="18.75" customHeight="1">
      <c r="W8018" s="253"/>
    </row>
    <row r="8019" spans="23:23" ht="18.75" customHeight="1">
      <c r="W8019" s="253"/>
    </row>
    <row r="8020" spans="23:23" ht="18.75" customHeight="1">
      <c r="W8020" s="253"/>
    </row>
    <row r="8021" spans="23:23" ht="18.75" customHeight="1">
      <c r="W8021" s="253"/>
    </row>
    <row r="8022" spans="23:23" ht="18.75" customHeight="1">
      <c r="W8022" s="253"/>
    </row>
    <row r="8023" spans="23:23" ht="18.75" customHeight="1">
      <c r="W8023" s="253"/>
    </row>
    <row r="8024" spans="23:23" ht="18.75" customHeight="1">
      <c r="W8024" s="253"/>
    </row>
    <row r="8025" spans="23:23" ht="18.75" customHeight="1">
      <c r="W8025" s="253"/>
    </row>
    <row r="8026" spans="23:23" ht="18.75" customHeight="1">
      <c r="W8026" s="253"/>
    </row>
    <row r="8027" spans="23:23" ht="18.75" customHeight="1">
      <c r="W8027" s="253"/>
    </row>
    <row r="8028" spans="23:23" ht="18.75" customHeight="1">
      <c r="W8028" s="253"/>
    </row>
    <row r="8029" spans="23:23" ht="18.75" customHeight="1">
      <c r="W8029" s="253"/>
    </row>
    <row r="8030" spans="23:23" ht="18.75" customHeight="1">
      <c r="W8030" s="253"/>
    </row>
    <row r="8031" spans="23:23" ht="18.75" customHeight="1">
      <c r="W8031" s="253"/>
    </row>
    <row r="8032" spans="23:23" ht="18.75" customHeight="1">
      <c r="W8032" s="253"/>
    </row>
    <row r="8033" spans="23:23" ht="18.75" customHeight="1">
      <c r="W8033" s="253"/>
    </row>
    <row r="8034" spans="23:23" ht="18.75" customHeight="1">
      <c r="W8034" s="253"/>
    </row>
    <row r="8035" spans="23:23" ht="18.75" customHeight="1">
      <c r="W8035" s="253"/>
    </row>
    <row r="8036" spans="23:23" ht="18.75" customHeight="1">
      <c r="W8036" s="253"/>
    </row>
    <row r="8037" spans="23:23" ht="18.75" customHeight="1">
      <c r="W8037" s="253"/>
    </row>
    <row r="8038" spans="23:23" ht="18.75" customHeight="1">
      <c r="W8038" s="253"/>
    </row>
    <row r="8039" spans="23:23" ht="18.75" customHeight="1">
      <c r="W8039" s="253"/>
    </row>
    <row r="8040" spans="23:23" ht="18.75" customHeight="1">
      <c r="W8040" s="253"/>
    </row>
    <row r="8041" spans="23:23" ht="18.75" customHeight="1">
      <c r="W8041" s="253"/>
    </row>
    <row r="8042" spans="23:23" ht="18.75" customHeight="1">
      <c r="W8042" s="253"/>
    </row>
    <row r="8043" spans="23:23" ht="18.75" customHeight="1">
      <c r="W8043" s="253"/>
    </row>
    <row r="8044" spans="23:23" ht="18.75" customHeight="1">
      <c r="W8044" s="253"/>
    </row>
    <row r="8045" spans="23:23" ht="18.75" customHeight="1">
      <c r="W8045" s="253"/>
    </row>
    <row r="8046" spans="23:23" ht="18.75" customHeight="1">
      <c r="W8046" s="253"/>
    </row>
    <row r="8047" spans="23:23" ht="18.75" customHeight="1">
      <c r="W8047" s="253"/>
    </row>
    <row r="8048" spans="23:23" ht="18.75" customHeight="1">
      <c r="W8048" s="253"/>
    </row>
    <row r="8049" spans="23:23" ht="18.75" customHeight="1">
      <c r="W8049" s="253"/>
    </row>
    <row r="8050" spans="23:23" ht="18.75" customHeight="1">
      <c r="W8050" s="253"/>
    </row>
    <row r="8051" spans="23:23" ht="18.75" customHeight="1">
      <c r="W8051" s="253"/>
    </row>
    <row r="8052" spans="23:23" ht="18.75" customHeight="1">
      <c r="W8052" s="253"/>
    </row>
    <row r="8053" spans="23:23" ht="18.75" customHeight="1">
      <c r="W8053" s="253"/>
    </row>
    <row r="8054" spans="23:23" ht="18.75" customHeight="1">
      <c r="W8054" s="253"/>
    </row>
    <row r="8055" spans="23:23" ht="18.75" customHeight="1">
      <c r="W8055" s="253"/>
    </row>
    <row r="8056" spans="23:23" ht="18.75" customHeight="1">
      <c r="W8056" s="253"/>
    </row>
    <row r="8057" spans="23:23" ht="18.75" customHeight="1">
      <c r="W8057" s="253"/>
    </row>
    <row r="8058" spans="23:23" ht="18.75" customHeight="1">
      <c r="W8058" s="253"/>
    </row>
    <row r="8059" spans="23:23" ht="18.75" customHeight="1">
      <c r="W8059" s="253"/>
    </row>
    <row r="8060" spans="23:23" ht="18.75" customHeight="1">
      <c r="W8060" s="253"/>
    </row>
    <row r="8061" spans="23:23" ht="18.75" customHeight="1">
      <c r="W8061" s="253"/>
    </row>
    <row r="8062" spans="23:23" ht="18.75" customHeight="1">
      <c r="W8062" s="253"/>
    </row>
    <row r="8063" spans="23:23" ht="18.75" customHeight="1">
      <c r="W8063" s="253"/>
    </row>
    <row r="8064" spans="23:23" ht="18.75" customHeight="1">
      <c r="W8064" s="253"/>
    </row>
    <row r="8065" spans="23:23" ht="18.75" customHeight="1">
      <c r="W8065" s="253"/>
    </row>
    <row r="8066" spans="23:23" ht="18.75" customHeight="1">
      <c r="W8066" s="253"/>
    </row>
    <row r="8067" spans="23:23" ht="18.75" customHeight="1">
      <c r="W8067" s="253"/>
    </row>
    <row r="8068" spans="23:23" ht="18.75" customHeight="1">
      <c r="W8068" s="253"/>
    </row>
    <row r="8069" spans="23:23" ht="18.75" customHeight="1">
      <c r="W8069" s="253"/>
    </row>
    <row r="8070" spans="23:23" ht="18.75" customHeight="1">
      <c r="W8070" s="253"/>
    </row>
    <row r="8071" spans="23:23" ht="18.75" customHeight="1">
      <c r="W8071" s="253"/>
    </row>
    <row r="8072" spans="23:23" ht="18.75" customHeight="1">
      <c r="W8072" s="253"/>
    </row>
    <row r="8073" spans="23:23" ht="18.75" customHeight="1">
      <c r="W8073" s="253"/>
    </row>
    <row r="8074" spans="23:23" ht="18.75" customHeight="1">
      <c r="W8074" s="253"/>
    </row>
    <row r="8075" spans="23:23" ht="18.75" customHeight="1">
      <c r="W8075" s="253"/>
    </row>
    <row r="8076" spans="23:23" ht="18.75" customHeight="1">
      <c r="W8076" s="253"/>
    </row>
    <row r="8077" spans="23:23" ht="18.75" customHeight="1">
      <c r="W8077" s="253"/>
    </row>
    <row r="8078" spans="23:23" ht="18.75" customHeight="1">
      <c r="W8078" s="253"/>
    </row>
    <row r="8079" spans="23:23" ht="18.75" customHeight="1">
      <c r="W8079" s="253"/>
    </row>
    <row r="8080" spans="23:23" ht="18.75" customHeight="1">
      <c r="W8080" s="253"/>
    </row>
    <row r="8081" spans="23:23" ht="18.75" customHeight="1">
      <c r="W8081" s="253"/>
    </row>
    <row r="8082" spans="23:23" ht="18.75" customHeight="1">
      <c r="W8082" s="253"/>
    </row>
    <row r="8083" spans="23:23" ht="18.75" customHeight="1">
      <c r="W8083" s="253"/>
    </row>
    <row r="8084" spans="23:23" ht="18.75" customHeight="1">
      <c r="W8084" s="253"/>
    </row>
    <row r="8085" spans="23:23" ht="18.75" customHeight="1">
      <c r="W8085" s="253"/>
    </row>
    <row r="8086" spans="23:23" ht="18.75" customHeight="1">
      <c r="W8086" s="253"/>
    </row>
    <row r="8087" spans="23:23" ht="18.75" customHeight="1">
      <c r="W8087" s="253"/>
    </row>
    <row r="8088" spans="23:23" ht="18.75" customHeight="1">
      <c r="W8088" s="253"/>
    </row>
    <row r="8089" spans="23:23" ht="18.75" customHeight="1">
      <c r="W8089" s="253"/>
    </row>
    <row r="8090" spans="23:23" ht="18.75" customHeight="1">
      <c r="W8090" s="253"/>
    </row>
    <row r="8091" spans="23:23" ht="18.75" customHeight="1">
      <c r="W8091" s="253"/>
    </row>
    <row r="8092" spans="23:23" ht="18.75" customHeight="1">
      <c r="W8092" s="253"/>
    </row>
    <row r="8093" spans="23:23" ht="18.75" customHeight="1">
      <c r="W8093" s="253"/>
    </row>
    <row r="8094" spans="23:23" ht="18.75" customHeight="1">
      <c r="W8094" s="253"/>
    </row>
    <row r="8095" spans="23:23" ht="18.75" customHeight="1">
      <c r="W8095" s="253"/>
    </row>
    <row r="8096" spans="23:23" ht="18.75" customHeight="1">
      <c r="W8096" s="253"/>
    </row>
    <row r="8097" spans="23:23" ht="18.75" customHeight="1">
      <c r="W8097" s="253"/>
    </row>
    <row r="8098" spans="23:23" ht="18.75" customHeight="1">
      <c r="W8098" s="253"/>
    </row>
    <row r="8099" spans="23:23" ht="18.75" customHeight="1">
      <c r="W8099" s="253"/>
    </row>
    <row r="8100" spans="23:23" ht="18.75" customHeight="1">
      <c r="W8100" s="253"/>
    </row>
    <row r="8101" spans="23:23" ht="18.75" customHeight="1">
      <c r="W8101" s="253"/>
    </row>
    <row r="8102" spans="23:23" ht="18.75" customHeight="1">
      <c r="W8102" s="253"/>
    </row>
    <row r="8103" spans="23:23" ht="18.75" customHeight="1">
      <c r="W8103" s="253"/>
    </row>
    <row r="8104" spans="23:23" ht="18.75" customHeight="1">
      <c r="W8104" s="253"/>
    </row>
    <row r="8105" spans="23:23" ht="18.75" customHeight="1">
      <c r="W8105" s="253"/>
    </row>
    <row r="8106" spans="23:23" ht="18.75" customHeight="1">
      <c r="W8106" s="253"/>
    </row>
    <row r="8107" spans="23:23" ht="18.75" customHeight="1">
      <c r="W8107" s="253"/>
    </row>
    <row r="8108" spans="23:23" ht="18.75" customHeight="1">
      <c r="W8108" s="253"/>
    </row>
    <row r="8109" spans="23:23" ht="18.75" customHeight="1">
      <c r="W8109" s="253"/>
    </row>
    <row r="8110" spans="23:23" ht="18.75" customHeight="1">
      <c r="W8110" s="253"/>
    </row>
    <row r="8111" spans="23:23" ht="18.75" customHeight="1">
      <c r="W8111" s="253"/>
    </row>
    <row r="8112" spans="23:23" ht="18.75" customHeight="1">
      <c r="W8112" s="253"/>
    </row>
    <row r="8113" spans="23:23" ht="18.75" customHeight="1">
      <c r="W8113" s="253"/>
    </row>
    <row r="8114" spans="23:23" ht="18.75" customHeight="1">
      <c r="W8114" s="253"/>
    </row>
    <row r="8115" spans="23:23" ht="18.75" customHeight="1">
      <c r="W8115" s="253"/>
    </row>
    <row r="8116" spans="23:23" ht="18.75" customHeight="1">
      <c r="W8116" s="253"/>
    </row>
    <row r="8117" spans="23:23" ht="18.75" customHeight="1">
      <c r="W8117" s="253"/>
    </row>
    <row r="8118" spans="23:23" ht="18.75" customHeight="1">
      <c r="W8118" s="253"/>
    </row>
    <row r="8119" spans="23:23" ht="18.75" customHeight="1">
      <c r="W8119" s="253"/>
    </row>
    <row r="8120" spans="23:23" ht="18.75" customHeight="1">
      <c r="W8120" s="253"/>
    </row>
    <row r="8121" spans="23:23" ht="18.75" customHeight="1">
      <c r="W8121" s="253"/>
    </row>
    <row r="8122" spans="23:23" ht="18.75" customHeight="1">
      <c r="W8122" s="253"/>
    </row>
    <row r="8123" spans="23:23" ht="18.75" customHeight="1">
      <c r="W8123" s="253"/>
    </row>
    <row r="8124" spans="23:23" ht="18.75" customHeight="1">
      <c r="W8124" s="253"/>
    </row>
    <row r="8125" spans="23:23" ht="18.75" customHeight="1">
      <c r="W8125" s="253"/>
    </row>
    <row r="8126" spans="23:23" ht="18.75" customHeight="1">
      <c r="W8126" s="253"/>
    </row>
    <row r="8127" spans="23:23" ht="18.75" customHeight="1">
      <c r="W8127" s="253"/>
    </row>
    <row r="8128" spans="23:23" ht="18.75" customHeight="1">
      <c r="W8128" s="253"/>
    </row>
    <row r="8129" spans="23:23" ht="18.75" customHeight="1">
      <c r="W8129" s="253"/>
    </row>
    <row r="8130" spans="23:23" ht="18.75" customHeight="1">
      <c r="W8130" s="253"/>
    </row>
    <row r="8131" spans="23:23" ht="18.75" customHeight="1">
      <c r="W8131" s="253"/>
    </row>
    <row r="8132" spans="23:23" ht="18.75" customHeight="1">
      <c r="W8132" s="253"/>
    </row>
    <row r="8133" spans="23:23" ht="18.75" customHeight="1">
      <c r="W8133" s="253"/>
    </row>
    <row r="8134" spans="23:23" ht="18.75" customHeight="1">
      <c r="W8134" s="253"/>
    </row>
    <row r="8135" spans="23:23" ht="18.75" customHeight="1">
      <c r="W8135" s="253"/>
    </row>
    <row r="8136" spans="23:23" ht="18.75" customHeight="1">
      <c r="W8136" s="253"/>
    </row>
    <row r="8137" spans="23:23" ht="18.75" customHeight="1">
      <c r="W8137" s="253"/>
    </row>
    <row r="8138" spans="23:23" ht="18.75" customHeight="1">
      <c r="W8138" s="253"/>
    </row>
    <row r="8139" spans="23:23" ht="18.75" customHeight="1">
      <c r="W8139" s="253"/>
    </row>
    <row r="8140" spans="23:23" ht="18.75" customHeight="1">
      <c r="W8140" s="253"/>
    </row>
    <row r="8141" spans="23:23" ht="18.75" customHeight="1">
      <c r="W8141" s="253"/>
    </row>
    <row r="8142" spans="23:23" ht="18.75" customHeight="1">
      <c r="W8142" s="253"/>
    </row>
    <row r="8143" spans="23:23" ht="18.75" customHeight="1">
      <c r="W8143" s="253"/>
    </row>
    <row r="8144" spans="23:23" ht="18.75" customHeight="1">
      <c r="W8144" s="253"/>
    </row>
    <row r="8145" spans="23:23" ht="18.75" customHeight="1">
      <c r="W8145" s="253"/>
    </row>
    <row r="8146" spans="23:23" ht="18.75" customHeight="1">
      <c r="W8146" s="253"/>
    </row>
    <row r="8147" spans="23:23" ht="18.75" customHeight="1">
      <c r="W8147" s="253"/>
    </row>
    <row r="8148" spans="23:23" ht="18.75" customHeight="1">
      <c r="W8148" s="253"/>
    </row>
    <row r="8149" spans="23:23" ht="18.75" customHeight="1">
      <c r="W8149" s="253"/>
    </row>
    <row r="8150" spans="23:23" ht="18.75" customHeight="1">
      <c r="W8150" s="253"/>
    </row>
    <row r="8151" spans="23:23" ht="18.75" customHeight="1">
      <c r="W8151" s="253"/>
    </row>
    <row r="8152" spans="23:23" ht="18.75" customHeight="1">
      <c r="W8152" s="253"/>
    </row>
    <row r="8153" spans="23:23" ht="18.75" customHeight="1">
      <c r="W8153" s="253"/>
    </row>
    <row r="8154" spans="23:23" ht="18.75" customHeight="1">
      <c r="W8154" s="253"/>
    </row>
    <row r="8155" spans="23:23" ht="18.75" customHeight="1">
      <c r="W8155" s="253"/>
    </row>
    <row r="8156" spans="23:23" ht="18.75" customHeight="1">
      <c r="W8156" s="253"/>
    </row>
    <row r="8157" spans="23:23" ht="18.75" customHeight="1">
      <c r="W8157" s="253"/>
    </row>
    <row r="8158" spans="23:23" ht="18.75" customHeight="1">
      <c r="W8158" s="253"/>
    </row>
    <row r="8159" spans="23:23" ht="18.75" customHeight="1">
      <c r="W8159" s="253"/>
    </row>
    <row r="8160" spans="23:23" ht="18.75" customHeight="1">
      <c r="W8160" s="253"/>
    </row>
    <row r="8161" spans="23:23" ht="18.75" customHeight="1">
      <c r="W8161" s="253"/>
    </row>
    <row r="8162" spans="23:23" ht="18.75" customHeight="1">
      <c r="W8162" s="253"/>
    </row>
    <row r="8163" spans="23:23" ht="18.75" customHeight="1">
      <c r="W8163" s="253"/>
    </row>
    <row r="8164" spans="23:23" ht="18.75" customHeight="1">
      <c r="W8164" s="253"/>
    </row>
    <row r="8165" spans="23:23" ht="18.75" customHeight="1">
      <c r="W8165" s="253"/>
    </row>
    <row r="8166" spans="23:23" ht="18.75" customHeight="1">
      <c r="W8166" s="253"/>
    </row>
    <row r="8167" spans="23:23" ht="18.75" customHeight="1">
      <c r="W8167" s="253"/>
    </row>
    <row r="8168" spans="23:23" ht="18.75" customHeight="1">
      <c r="W8168" s="253"/>
    </row>
    <row r="8169" spans="23:23" ht="18.75" customHeight="1">
      <c r="W8169" s="253"/>
    </row>
    <row r="8170" spans="23:23" ht="18.75" customHeight="1">
      <c r="W8170" s="253"/>
    </row>
    <row r="8171" spans="23:23" ht="18.75" customHeight="1">
      <c r="W8171" s="253"/>
    </row>
    <row r="8172" spans="23:23" ht="18.75" customHeight="1">
      <c r="W8172" s="253"/>
    </row>
    <row r="8173" spans="23:23" ht="18.75" customHeight="1">
      <c r="W8173" s="253"/>
    </row>
    <row r="8174" spans="23:23" ht="18.75" customHeight="1">
      <c r="W8174" s="253"/>
    </row>
    <row r="8175" spans="23:23" ht="18.75" customHeight="1">
      <c r="W8175" s="253"/>
    </row>
    <row r="8176" spans="23:23" ht="18.75" customHeight="1">
      <c r="W8176" s="253"/>
    </row>
    <row r="8177" spans="23:23" ht="18.75" customHeight="1">
      <c r="W8177" s="253"/>
    </row>
    <row r="8178" spans="23:23" ht="18.75" customHeight="1">
      <c r="W8178" s="253"/>
    </row>
    <row r="8179" spans="23:23" ht="18.75" customHeight="1">
      <c r="W8179" s="253"/>
    </row>
    <row r="8180" spans="23:23" ht="18.75" customHeight="1">
      <c r="W8180" s="253"/>
    </row>
    <row r="8181" spans="23:23" ht="18.75" customHeight="1">
      <c r="W8181" s="253"/>
    </row>
    <row r="8182" spans="23:23" ht="18.75" customHeight="1">
      <c r="W8182" s="253"/>
    </row>
    <row r="8183" spans="23:23" ht="18.75" customHeight="1">
      <c r="W8183" s="253"/>
    </row>
    <row r="8184" spans="23:23" ht="18.75" customHeight="1">
      <c r="W8184" s="253"/>
    </row>
    <row r="8185" spans="23:23" ht="18.75" customHeight="1">
      <c r="W8185" s="253"/>
    </row>
    <row r="8186" spans="23:23" ht="18.75" customHeight="1">
      <c r="W8186" s="253"/>
    </row>
    <row r="8187" spans="23:23" ht="18.75" customHeight="1">
      <c r="W8187" s="253"/>
    </row>
    <row r="8188" spans="23:23" ht="18.75" customHeight="1">
      <c r="W8188" s="253"/>
    </row>
    <row r="8189" spans="23:23" ht="18.75" customHeight="1">
      <c r="W8189" s="253"/>
    </row>
    <row r="8190" spans="23:23" ht="18.75" customHeight="1">
      <c r="W8190" s="253"/>
    </row>
    <row r="8191" spans="23:23" ht="18.75" customHeight="1">
      <c r="W8191" s="253"/>
    </row>
    <row r="8192" spans="23:23" ht="18.75" customHeight="1">
      <c r="W8192" s="253"/>
    </row>
    <row r="8193" spans="23:23" ht="18.75" customHeight="1">
      <c r="W8193" s="253"/>
    </row>
    <row r="8194" spans="23:23" ht="18.75" customHeight="1">
      <c r="W8194" s="253"/>
    </row>
    <row r="8195" spans="23:23" ht="18.75" customHeight="1">
      <c r="W8195" s="253"/>
    </row>
    <row r="8196" spans="23:23" ht="18.75" customHeight="1">
      <c r="W8196" s="253"/>
    </row>
    <row r="8197" spans="23:23" ht="18.75" customHeight="1">
      <c r="W8197" s="253"/>
    </row>
    <row r="8198" spans="23:23" ht="18.75" customHeight="1">
      <c r="W8198" s="253"/>
    </row>
    <row r="8199" spans="23:23" ht="18.75" customHeight="1">
      <c r="W8199" s="253"/>
    </row>
    <row r="8200" spans="23:23" ht="18.75" customHeight="1">
      <c r="W8200" s="253"/>
    </row>
    <row r="8201" spans="23:23" ht="18.75" customHeight="1">
      <c r="W8201" s="253"/>
    </row>
    <row r="8202" spans="23:23" ht="18.75" customHeight="1">
      <c r="W8202" s="253"/>
    </row>
    <row r="8203" spans="23:23" ht="18.75" customHeight="1">
      <c r="W8203" s="253"/>
    </row>
    <row r="8204" spans="23:23" ht="18.75" customHeight="1">
      <c r="W8204" s="253"/>
    </row>
    <row r="8205" spans="23:23" ht="18.75" customHeight="1">
      <c r="W8205" s="253"/>
    </row>
    <row r="8206" spans="23:23" ht="18.75" customHeight="1">
      <c r="W8206" s="253"/>
    </row>
    <row r="8207" spans="23:23" ht="18.75" customHeight="1">
      <c r="W8207" s="253"/>
    </row>
    <row r="8208" spans="23:23" ht="18.75" customHeight="1">
      <c r="W8208" s="253"/>
    </row>
    <row r="8209" spans="23:23" ht="18.75" customHeight="1">
      <c r="W8209" s="253"/>
    </row>
    <row r="8210" spans="23:23" ht="18.75" customHeight="1">
      <c r="W8210" s="253"/>
    </row>
    <row r="8211" spans="23:23" ht="18.75" customHeight="1">
      <c r="W8211" s="253"/>
    </row>
    <row r="8212" spans="23:23" ht="18.75" customHeight="1">
      <c r="W8212" s="253"/>
    </row>
    <row r="8213" spans="23:23" ht="18.75" customHeight="1">
      <c r="W8213" s="253"/>
    </row>
    <row r="8214" spans="23:23" ht="18.75" customHeight="1">
      <c r="W8214" s="253"/>
    </row>
    <row r="8215" spans="23:23" ht="18.75" customHeight="1">
      <c r="W8215" s="253"/>
    </row>
    <row r="8216" spans="23:23" ht="18.75" customHeight="1">
      <c r="W8216" s="253"/>
    </row>
    <row r="8217" spans="23:23" ht="18.75" customHeight="1">
      <c r="W8217" s="253"/>
    </row>
    <row r="8218" spans="23:23" ht="18.75" customHeight="1">
      <c r="W8218" s="253"/>
    </row>
    <row r="8219" spans="23:23" ht="18.75" customHeight="1">
      <c r="W8219" s="253"/>
    </row>
    <row r="8220" spans="23:23" ht="18.75" customHeight="1">
      <c r="W8220" s="253"/>
    </row>
    <row r="8221" spans="23:23" ht="18.75" customHeight="1">
      <c r="W8221" s="253"/>
    </row>
    <row r="8222" spans="23:23" ht="18.75" customHeight="1">
      <c r="W8222" s="253"/>
    </row>
    <row r="8223" spans="23:23" ht="18.75" customHeight="1">
      <c r="W8223" s="253"/>
    </row>
    <row r="8224" spans="23:23" ht="18.75" customHeight="1">
      <c r="W8224" s="253"/>
    </row>
    <row r="8225" spans="23:23" ht="18.75" customHeight="1">
      <c r="W8225" s="253"/>
    </row>
    <row r="8226" spans="23:23" ht="18.75" customHeight="1">
      <c r="W8226" s="253"/>
    </row>
    <row r="8227" spans="23:23" ht="18.75" customHeight="1">
      <c r="W8227" s="253"/>
    </row>
    <row r="8228" spans="23:23" ht="18.75" customHeight="1">
      <c r="W8228" s="253"/>
    </row>
    <row r="8229" spans="23:23" ht="18.75" customHeight="1">
      <c r="W8229" s="253"/>
    </row>
    <row r="8230" spans="23:23" ht="18.75" customHeight="1">
      <c r="W8230" s="253"/>
    </row>
    <row r="8231" spans="23:23" ht="18.75" customHeight="1">
      <c r="W8231" s="253"/>
    </row>
    <row r="8232" spans="23:23" ht="18.75" customHeight="1">
      <c r="W8232" s="253"/>
    </row>
    <row r="8233" spans="23:23" ht="18.75" customHeight="1">
      <c r="W8233" s="253"/>
    </row>
    <row r="8234" spans="23:23" ht="18.75" customHeight="1">
      <c r="W8234" s="253"/>
    </row>
    <row r="8235" spans="23:23" ht="18.75" customHeight="1">
      <c r="W8235" s="253"/>
    </row>
    <row r="8236" spans="23:23" ht="18.75" customHeight="1">
      <c r="W8236" s="253"/>
    </row>
    <row r="8237" spans="23:23" ht="18.75" customHeight="1">
      <c r="W8237" s="253"/>
    </row>
    <row r="8238" spans="23:23" ht="18.75" customHeight="1">
      <c r="W8238" s="253"/>
    </row>
    <row r="8239" spans="23:23" ht="18.75" customHeight="1">
      <c r="W8239" s="253"/>
    </row>
    <row r="8240" spans="23:23" ht="18.75" customHeight="1">
      <c r="W8240" s="253"/>
    </row>
    <row r="8241" spans="23:23" ht="18.75" customHeight="1">
      <c r="W8241" s="253"/>
    </row>
    <row r="8242" spans="23:23" ht="18.75" customHeight="1">
      <c r="W8242" s="253"/>
    </row>
    <row r="8243" spans="23:23" ht="18.75" customHeight="1">
      <c r="W8243" s="253"/>
    </row>
    <row r="8244" spans="23:23" ht="18.75" customHeight="1">
      <c r="W8244" s="253"/>
    </row>
    <row r="8245" spans="23:23" ht="18.75" customHeight="1">
      <c r="W8245" s="253"/>
    </row>
    <row r="8246" spans="23:23" ht="18.75" customHeight="1">
      <c r="W8246" s="253"/>
    </row>
    <row r="8247" spans="23:23" ht="18.75" customHeight="1">
      <c r="W8247" s="253"/>
    </row>
    <row r="8248" spans="23:23" ht="18.75" customHeight="1">
      <c r="W8248" s="253"/>
    </row>
    <row r="8249" spans="23:23" ht="18.75" customHeight="1">
      <c r="W8249" s="253"/>
    </row>
    <row r="8250" spans="23:23" ht="18.75" customHeight="1">
      <c r="W8250" s="253"/>
    </row>
    <row r="8251" spans="23:23" ht="18.75" customHeight="1">
      <c r="W8251" s="253"/>
    </row>
    <row r="8252" spans="23:23" ht="18.75" customHeight="1">
      <c r="W8252" s="253"/>
    </row>
    <row r="8253" spans="23:23" ht="18.75" customHeight="1">
      <c r="W8253" s="253"/>
    </row>
    <row r="8254" spans="23:23" ht="18.75" customHeight="1">
      <c r="W8254" s="253"/>
    </row>
    <row r="8255" spans="23:23" ht="18.75" customHeight="1">
      <c r="W8255" s="253"/>
    </row>
    <row r="8256" spans="23:23" ht="18.75" customHeight="1">
      <c r="W8256" s="253"/>
    </row>
    <row r="8257" spans="23:23" ht="18.75" customHeight="1">
      <c r="W8257" s="253"/>
    </row>
    <row r="8258" spans="23:23" ht="18.75" customHeight="1">
      <c r="W8258" s="253"/>
    </row>
    <row r="8259" spans="23:23" ht="18.75" customHeight="1">
      <c r="W8259" s="253"/>
    </row>
    <row r="8260" spans="23:23" ht="18.75" customHeight="1">
      <c r="W8260" s="253"/>
    </row>
    <row r="8261" spans="23:23" ht="18.75" customHeight="1">
      <c r="W8261" s="253"/>
    </row>
    <row r="8262" spans="23:23" ht="18.75" customHeight="1">
      <c r="W8262" s="253"/>
    </row>
    <row r="8263" spans="23:23" ht="18.75" customHeight="1">
      <c r="W8263" s="253"/>
    </row>
    <row r="8264" spans="23:23" ht="18.75" customHeight="1">
      <c r="W8264" s="253"/>
    </row>
    <row r="8265" spans="23:23" ht="18.75" customHeight="1">
      <c r="W8265" s="253"/>
    </row>
    <row r="8266" spans="23:23" ht="18.75" customHeight="1">
      <c r="W8266" s="253"/>
    </row>
    <row r="8267" spans="23:23" ht="18.75" customHeight="1">
      <c r="W8267" s="253"/>
    </row>
    <row r="8268" spans="23:23" ht="18.75" customHeight="1">
      <c r="W8268" s="253"/>
    </row>
    <row r="8269" spans="23:23" ht="18.75" customHeight="1">
      <c r="W8269" s="253"/>
    </row>
    <row r="8270" spans="23:23" ht="18.75" customHeight="1">
      <c r="W8270" s="253"/>
    </row>
    <row r="8271" spans="23:23" ht="18.75" customHeight="1">
      <c r="W8271" s="253"/>
    </row>
    <row r="8272" spans="23:23" ht="18.75" customHeight="1">
      <c r="W8272" s="253"/>
    </row>
    <row r="8273" spans="23:23" ht="18.75" customHeight="1">
      <c r="W8273" s="253"/>
    </row>
    <row r="8274" spans="23:23" ht="18.75" customHeight="1">
      <c r="W8274" s="253"/>
    </row>
    <row r="8275" spans="23:23" ht="18.75" customHeight="1">
      <c r="W8275" s="253"/>
    </row>
    <row r="8276" spans="23:23" ht="18.75" customHeight="1">
      <c r="W8276" s="253"/>
    </row>
    <row r="8277" spans="23:23" ht="18.75" customHeight="1">
      <c r="W8277" s="253"/>
    </row>
    <row r="8278" spans="23:23" ht="18.75" customHeight="1">
      <c r="W8278" s="253"/>
    </row>
    <row r="8279" spans="23:23" ht="18.75" customHeight="1">
      <c r="W8279" s="253"/>
    </row>
    <row r="8280" spans="23:23" ht="18.75" customHeight="1">
      <c r="W8280" s="253"/>
    </row>
    <row r="8281" spans="23:23" ht="18.75" customHeight="1">
      <c r="W8281" s="253"/>
    </row>
    <row r="8282" spans="23:23" ht="18.75" customHeight="1">
      <c r="W8282" s="253"/>
    </row>
    <row r="8283" spans="23:23" ht="18.75" customHeight="1">
      <c r="W8283" s="253"/>
    </row>
    <row r="8284" spans="23:23" ht="18.75" customHeight="1">
      <c r="W8284" s="253"/>
    </row>
    <row r="8285" spans="23:23" ht="18.75" customHeight="1">
      <c r="W8285" s="253"/>
    </row>
    <row r="8286" spans="23:23" ht="18.75" customHeight="1">
      <c r="W8286" s="253"/>
    </row>
    <row r="8287" spans="23:23" ht="18.75" customHeight="1">
      <c r="W8287" s="253"/>
    </row>
    <row r="8288" spans="23:23" ht="18.75" customHeight="1">
      <c r="W8288" s="253"/>
    </row>
    <row r="8289" spans="23:23" ht="18.75" customHeight="1">
      <c r="W8289" s="253"/>
    </row>
    <row r="8290" spans="23:23" ht="18.75" customHeight="1">
      <c r="W8290" s="253"/>
    </row>
    <row r="8291" spans="23:23" ht="18.75" customHeight="1">
      <c r="W8291" s="253"/>
    </row>
    <row r="8292" spans="23:23" ht="18.75" customHeight="1">
      <c r="W8292" s="253"/>
    </row>
    <row r="8293" spans="23:23" ht="18.75" customHeight="1">
      <c r="W8293" s="253"/>
    </row>
    <row r="8294" spans="23:23" ht="18.75" customHeight="1">
      <c r="W8294" s="253"/>
    </row>
    <row r="8295" spans="23:23" ht="18.75" customHeight="1">
      <c r="W8295" s="253"/>
    </row>
    <row r="8296" spans="23:23" ht="18.75" customHeight="1">
      <c r="W8296" s="253"/>
    </row>
    <row r="8297" spans="23:23" ht="18.75" customHeight="1">
      <c r="W8297" s="253"/>
    </row>
    <row r="8298" spans="23:23" ht="18.75" customHeight="1">
      <c r="W8298" s="253"/>
    </row>
    <row r="8299" spans="23:23" ht="18.75" customHeight="1">
      <c r="W8299" s="253"/>
    </row>
    <row r="8300" spans="23:23" ht="18.75" customHeight="1">
      <c r="W8300" s="253"/>
    </row>
    <row r="8301" spans="23:23" ht="18.75" customHeight="1">
      <c r="W8301" s="253"/>
    </row>
    <row r="8302" spans="23:23" ht="18.75" customHeight="1">
      <c r="W8302" s="253"/>
    </row>
    <row r="8303" spans="23:23" ht="18.75" customHeight="1">
      <c r="W8303" s="253"/>
    </row>
    <row r="8304" spans="23:23" ht="18.75" customHeight="1">
      <c r="W8304" s="253"/>
    </row>
    <row r="8305" spans="23:23" ht="18.75" customHeight="1">
      <c r="W8305" s="253"/>
    </row>
    <row r="8306" spans="23:23" ht="18.75" customHeight="1">
      <c r="W8306" s="253"/>
    </row>
    <row r="8307" spans="23:23" ht="18.75" customHeight="1">
      <c r="W8307" s="253"/>
    </row>
    <row r="8308" spans="23:23" ht="18.75" customHeight="1">
      <c r="W8308" s="253"/>
    </row>
    <row r="8309" spans="23:23" ht="18.75" customHeight="1">
      <c r="W8309" s="253"/>
    </row>
    <row r="8310" spans="23:23" ht="18.75" customHeight="1">
      <c r="W8310" s="253"/>
    </row>
    <row r="8311" spans="23:23" ht="18.75" customHeight="1">
      <c r="W8311" s="253"/>
    </row>
    <row r="8312" spans="23:23" ht="18.75" customHeight="1">
      <c r="W8312" s="253"/>
    </row>
    <row r="8313" spans="23:23" ht="18.75" customHeight="1">
      <c r="W8313" s="253"/>
    </row>
    <row r="8314" spans="23:23" ht="18.75" customHeight="1">
      <c r="W8314" s="253"/>
    </row>
    <row r="8315" spans="23:23" ht="18.75" customHeight="1">
      <c r="W8315" s="253"/>
    </row>
    <row r="8316" spans="23:23" ht="18.75" customHeight="1">
      <c r="W8316" s="253"/>
    </row>
    <row r="8317" spans="23:23" ht="18.75" customHeight="1">
      <c r="W8317" s="253"/>
    </row>
    <row r="8318" spans="23:23" ht="18.75" customHeight="1">
      <c r="W8318" s="253"/>
    </row>
    <row r="8319" spans="23:23" ht="18.75" customHeight="1">
      <c r="W8319" s="253"/>
    </row>
    <row r="8320" spans="23:23" ht="18.75" customHeight="1">
      <c r="W8320" s="253"/>
    </row>
    <row r="8321" spans="23:23" ht="18.75" customHeight="1">
      <c r="W8321" s="253"/>
    </row>
    <row r="8322" spans="23:23" ht="18.75" customHeight="1">
      <c r="W8322" s="253"/>
    </row>
    <row r="8323" spans="23:23" ht="18.75" customHeight="1">
      <c r="W8323" s="253"/>
    </row>
    <row r="8324" spans="23:23" ht="18.75" customHeight="1">
      <c r="W8324" s="253"/>
    </row>
    <row r="8325" spans="23:23" ht="18.75" customHeight="1">
      <c r="W8325" s="253"/>
    </row>
    <row r="8326" spans="23:23" ht="18.75" customHeight="1">
      <c r="W8326" s="253"/>
    </row>
    <row r="8327" spans="23:23" ht="18.75" customHeight="1">
      <c r="W8327" s="253"/>
    </row>
    <row r="8328" spans="23:23" ht="18.75" customHeight="1">
      <c r="W8328" s="253"/>
    </row>
    <row r="8329" spans="23:23" ht="18.75" customHeight="1">
      <c r="W8329" s="253"/>
    </row>
    <row r="8330" spans="23:23" ht="18.75" customHeight="1">
      <c r="W8330" s="253"/>
    </row>
    <row r="8331" spans="23:23" ht="18.75" customHeight="1">
      <c r="W8331" s="253"/>
    </row>
    <row r="8332" spans="23:23" ht="18.75" customHeight="1">
      <c r="W8332" s="253"/>
    </row>
    <row r="8333" spans="23:23" ht="18.75" customHeight="1">
      <c r="W8333" s="253"/>
    </row>
    <row r="8334" spans="23:23" ht="18.75" customHeight="1">
      <c r="W8334" s="253"/>
    </row>
    <row r="8335" spans="23:23" ht="18.75" customHeight="1">
      <c r="W8335" s="253"/>
    </row>
    <row r="8336" spans="23:23" ht="18.75" customHeight="1">
      <c r="W8336" s="253"/>
    </row>
    <row r="8337" spans="23:23" ht="18.75" customHeight="1">
      <c r="W8337" s="253"/>
    </row>
    <row r="8338" spans="23:23" ht="18.75" customHeight="1">
      <c r="W8338" s="253"/>
    </row>
    <row r="8339" spans="23:23" ht="18.75" customHeight="1">
      <c r="W8339" s="253"/>
    </row>
    <row r="8340" spans="23:23" ht="18.75" customHeight="1">
      <c r="W8340" s="253"/>
    </row>
    <row r="8341" spans="23:23" ht="18.75" customHeight="1">
      <c r="W8341" s="253"/>
    </row>
    <row r="8342" spans="23:23" ht="18.75" customHeight="1">
      <c r="W8342" s="253"/>
    </row>
    <row r="8343" spans="23:23" ht="18.75" customHeight="1">
      <c r="W8343" s="253"/>
    </row>
    <row r="8344" spans="23:23" ht="18.75" customHeight="1">
      <c r="W8344" s="253"/>
    </row>
    <row r="8345" spans="23:23" ht="18.75" customHeight="1">
      <c r="W8345" s="253"/>
    </row>
    <row r="8346" spans="23:23" ht="18.75" customHeight="1">
      <c r="W8346" s="253"/>
    </row>
    <row r="8347" spans="23:23" ht="18.75" customHeight="1">
      <c r="W8347" s="253"/>
    </row>
    <row r="8348" spans="23:23" ht="18.75" customHeight="1">
      <c r="W8348" s="253"/>
    </row>
    <row r="8349" spans="23:23" ht="18.75" customHeight="1">
      <c r="W8349" s="253"/>
    </row>
    <row r="8350" spans="23:23" ht="18.75" customHeight="1">
      <c r="W8350" s="253"/>
    </row>
    <row r="8351" spans="23:23" ht="18.75" customHeight="1">
      <c r="W8351" s="253"/>
    </row>
    <row r="8352" spans="23:23" ht="18.75" customHeight="1">
      <c r="W8352" s="253"/>
    </row>
    <row r="8353" spans="23:23" ht="18.75" customHeight="1">
      <c r="W8353" s="253"/>
    </row>
    <row r="8354" spans="23:23" ht="18.75" customHeight="1">
      <c r="W8354" s="253"/>
    </row>
    <row r="8355" spans="23:23" ht="18.75" customHeight="1">
      <c r="W8355" s="253"/>
    </row>
    <row r="8356" spans="23:23" ht="18.75" customHeight="1">
      <c r="W8356" s="253"/>
    </row>
    <row r="8357" spans="23:23" ht="18.75" customHeight="1">
      <c r="W8357" s="253"/>
    </row>
    <row r="8358" spans="23:23" ht="18.75" customHeight="1">
      <c r="W8358" s="253"/>
    </row>
    <row r="8359" spans="23:23" ht="18.75" customHeight="1">
      <c r="W8359" s="253"/>
    </row>
    <row r="8360" spans="23:23" ht="18.75" customHeight="1">
      <c r="W8360" s="253"/>
    </row>
    <row r="8361" spans="23:23" ht="18.75" customHeight="1">
      <c r="W8361" s="253"/>
    </row>
    <row r="8362" spans="23:23" ht="18.75" customHeight="1">
      <c r="W8362" s="253"/>
    </row>
    <row r="8363" spans="23:23" ht="18.75" customHeight="1">
      <c r="W8363" s="253"/>
    </row>
    <row r="8364" spans="23:23" ht="18.75" customHeight="1">
      <c r="W8364" s="253"/>
    </row>
    <row r="8365" spans="23:23" ht="18.75" customHeight="1">
      <c r="W8365" s="253"/>
    </row>
    <row r="8366" spans="23:23" ht="18.75" customHeight="1">
      <c r="W8366" s="253"/>
    </row>
    <row r="8367" spans="23:23" ht="18.75" customHeight="1">
      <c r="W8367" s="253"/>
    </row>
    <row r="8368" spans="23:23" ht="18.75" customHeight="1">
      <c r="W8368" s="253"/>
    </row>
    <row r="8369" spans="23:23" ht="18.75" customHeight="1">
      <c r="W8369" s="253"/>
    </row>
    <row r="8370" spans="23:23" ht="18.75" customHeight="1">
      <c r="W8370" s="253"/>
    </row>
    <row r="8371" spans="23:23" ht="18.75" customHeight="1">
      <c r="W8371" s="253"/>
    </row>
    <row r="8372" spans="23:23" ht="18.75" customHeight="1">
      <c r="W8372" s="253"/>
    </row>
    <row r="8373" spans="23:23" ht="18.75" customHeight="1">
      <c r="W8373" s="253"/>
    </row>
    <row r="8374" spans="23:23" ht="18.75" customHeight="1">
      <c r="W8374" s="253"/>
    </row>
    <row r="8375" spans="23:23" ht="18.75" customHeight="1">
      <c r="W8375" s="253"/>
    </row>
    <row r="8376" spans="23:23" ht="18.75" customHeight="1">
      <c r="W8376" s="253"/>
    </row>
    <row r="8377" spans="23:23" ht="18.75" customHeight="1">
      <c r="W8377" s="253"/>
    </row>
    <row r="8378" spans="23:23" ht="18.75" customHeight="1">
      <c r="W8378" s="253"/>
    </row>
    <row r="8379" spans="23:23" ht="18.75" customHeight="1">
      <c r="W8379" s="253"/>
    </row>
    <row r="8380" spans="23:23" ht="18.75" customHeight="1">
      <c r="W8380" s="253"/>
    </row>
    <row r="8381" spans="23:23" ht="18.75" customHeight="1">
      <c r="W8381" s="253"/>
    </row>
    <row r="8382" spans="23:23" ht="18.75" customHeight="1">
      <c r="W8382" s="253"/>
    </row>
    <row r="8383" spans="23:23" ht="18.75" customHeight="1">
      <c r="W8383" s="253"/>
    </row>
    <row r="8384" spans="23:23" ht="18.75" customHeight="1">
      <c r="W8384" s="253"/>
    </row>
    <row r="8385" spans="23:23" ht="18.75" customHeight="1">
      <c r="W8385" s="253"/>
    </row>
    <row r="8386" spans="23:23" ht="18.75" customHeight="1">
      <c r="W8386" s="253"/>
    </row>
    <row r="8387" spans="23:23" ht="18.75" customHeight="1">
      <c r="W8387" s="253"/>
    </row>
    <row r="8388" spans="23:23" ht="18.75" customHeight="1">
      <c r="W8388" s="253"/>
    </row>
    <row r="8389" spans="23:23" ht="18.75" customHeight="1">
      <c r="W8389" s="253"/>
    </row>
    <row r="8390" spans="23:23" ht="18.75" customHeight="1">
      <c r="W8390" s="253"/>
    </row>
    <row r="8391" spans="23:23" ht="18.75" customHeight="1">
      <c r="W8391" s="253"/>
    </row>
    <row r="8392" spans="23:23" ht="18.75" customHeight="1">
      <c r="W8392" s="253"/>
    </row>
    <row r="8393" spans="23:23" ht="18.75" customHeight="1">
      <c r="W8393" s="253"/>
    </row>
    <row r="8394" spans="23:23" ht="18.75" customHeight="1">
      <c r="W8394" s="253"/>
    </row>
    <row r="8395" spans="23:23" ht="18.75" customHeight="1">
      <c r="W8395" s="253"/>
    </row>
    <row r="8396" spans="23:23" ht="18.75" customHeight="1">
      <c r="W8396" s="253"/>
    </row>
    <row r="8397" spans="23:23" ht="18.75" customHeight="1">
      <c r="W8397" s="253"/>
    </row>
    <row r="8398" spans="23:23" ht="18.75" customHeight="1">
      <c r="W8398" s="253"/>
    </row>
    <row r="8399" spans="23:23" ht="18.75" customHeight="1">
      <c r="W8399" s="253"/>
    </row>
    <row r="8400" spans="23:23" ht="18.75" customHeight="1">
      <c r="W8400" s="253"/>
    </row>
    <row r="8401" spans="23:23" ht="18.75" customHeight="1">
      <c r="W8401" s="253"/>
    </row>
    <row r="8402" spans="23:23" ht="18.75" customHeight="1">
      <c r="W8402" s="253"/>
    </row>
    <row r="8403" spans="23:23" ht="18.75" customHeight="1">
      <c r="W8403" s="253"/>
    </row>
    <row r="8404" spans="23:23" ht="18.75" customHeight="1">
      <c r="W8404" s="253"/>
    </row>
    <row r="8405" spans="23:23" ht="18.75" customHeight="1">
      <c r="W8405" s="253"/>
    </row>
    <row r="8406" spans="23:23" ht="18.75" customHeight="1">
      <c r="W8406" s="253"/>
    </row>
    <row r="8407" spans="23:23" ht="18.75" customHeight="1">
      <c r="W8407" s="253"/>
    </row>
    <row r="8408" spans="23:23" ht="18.75" customHeight="1">
      <c r="W8408" s="253"/>
    </row>
    <row r="8409" spans="23:23" ht="18.75" customHeight="1">
      <c r="W8409" s="253"/>
    </row>
    <row r="8410" spans="23:23" ht="18.75" customHeight="1">
      <c r="W8410" s="253"/>
    </row>
    <row r="8411" spans="23:23" ht="18.75" customHeight="1">
      <c r="W8411" s="253"/>
    </row>
    <row r="8412" spans="23:23" ht="18.75" customHeight="1">
      <c r="W8412" s="253"/>
    </row>
    <row r="8413" spans="23:23" ht="18.75" customHeight="1">
      <c r="W8413" s="253"/>
    </row>
    <row r="8414" spans="23:23" ht="18.75" customHeight="1">
      <c r="W8414" s="253"/>
    </row>
    <row r="8415" spans="23:23" ht="18.75" customHeight="1">
      <c r="W8415" s="253"/>
    </row>
    <row r="8416" spans="23:23" ht="18.75" customHeight="1">
      <c r="W8416" s="253"/>
    </row>
    <row r="8417" spans="23:23" ht="18.75" customHeight="1">
      <c r="W8417" s="253"/>
    </row>
    <row r="8418" spans="23:23" ht="18.75" customHeight="1">
      <c r="W8418" s="253"/>
    </row>
    <row r="8419" spans="23:23" ht="18.75" customHeight="1">
      <c r="W8419" s="253"/>
    </row>
    <row r="8420" spans="23:23" ht="18.75" customHeight="1">
      <c r="W8420" s="253"/>
    </row>
    <row r="8421" spans="23:23" ht="18.75" customHeight="1">
      <c r="W8421" s="253"/>
    </row>
    <row r="8422" spans="23:23" ht="18.75" customHeight="1">
      <c r="W8422" s="253"/>
    </row>
    <row r="8423" spans="23:23" ht="18.75" customHeight="1">
      <c r="W8423" s="253"/>
    </row>
    <row r="8424" spans="23:23" ht="18.75" customHeight="1">
      <c r="W8424" s="253"/>
    </row>
    <row r="8425" spans="23:23" ht="18.75" customHeight="1">
      <c r="W8425" s="253"/>
    </row>
    <row r="8426" spans="23:23" ht="18.75" customHeight="1">
      <c r="W8426" s="253"/>
    </row>
    <row r="8427" spans="23:23" ht="18.75" customHeight="1">
      <c r="W8427" s="253"/>
    </row>
    <row r="8428" spans="23:23" ht="18.75" customHeight="1">
      <c r="W8428" s="253"/>
    </row>
    <row r="8429" spans="23:23" ht="18.75" customHeight="1">
      <c r="W8429" s="253"/>
    </row>
    <row r="8430" spans="23:23" ht="18.75" customHeight="1">
      <c r="W8430" s="253"/>
    </row>
    <row r="8431" spans="23:23" ht="18.75" customHeight="1">
      <c r="W8431" s="253"/>
    </row>
    <row r="8432" spans="23:23" ht="18.75" customHeight="1">
      <c r="W8432" s="253"/>
    </row>
    <row r="8433" spans="23:23" ht="18.75" customHeight="1">
      <c r="W8433" s="253"/>
    </row>
    <row r="8434" spans="23:23" ht="18.75" customHeight="1">
      <c r="W8434" s="253"/>
    </row>
    <row r="8435" spans="23:23" ht="18.75" customHeight="1">
      <c r="W8435" s="253"/>
    </row>
    <row r="8436" spans="23:23" ht="18.75" customHeight="1">
      <c r="W8436" s="253"/>
    </row>
    <row r="8437" spans="23:23" ht="18.75" customHeight="1">
      <c r="W8437" s="253"/>
    </row>
    <row r="8438" spans="23:23" ht="18.75" customHeight="1">
      <c r="W8438" s="253"/>
    </row>
    <row r="8439" spans="23:23" ht="18.75" customHeight="1">
      <c r="W8439" s="253"/>
    </row>
    <row r="8440" spans="23:23" ht="18.75" customHeight="1">
      <c r="W8440" s="253"/>
    </row>
    <row r="8441" spans="23:23" ht="18.75" customHeight="1">
      <c r="W8441" s="253"/>
    </row>
    <row r="8442" spans="23:23" ht="18.75" customHeight="1">
      <c r="W8442" s="253"/>
    </row>
    <row r="8443" spans="23:23" ht="18.75" customHeight="1">
      <c r="W8443" s="253"/>
    </row>
    <row r="8444" spans="23:23" ht="18.75" customHeight="1">
      <c r="W8444" s="253"/>
    </row>
    <row r="8445" spans="23:23" ht="18.75" customHeight="1">
      <c r="W8445" s="253"/>
    </row>
    <row r="8446" spans="23:23" ht="18.75" customHeight="1">
      <c r="W8446" s="253"/>
    </row>
    <row r="8447" spans="23:23" ht="18.75" customHeight="1">
      <c r="W8447" s="253"/>
    </row>
    <row r="8448" spans="23:23" ht="18.75" customHeight="1">
      <c r="W8448" s="253"/>
    </row>
    <row r="8449" spans="23:23" ht="18.75" customHeight="1">
      <c r="W8449" s="253"/>
    </row>
    <row r="8450" spans="23:23" ht="18.75" customHeight="1">
      <c r="W8450" s="253"/>
    </row>
    <row r="8451" spans="23:23" ht="18.75" customHeight="1">
      <c r="W8451" s="253"/>
    </row>
    <row r="8452" spans="23:23" ht="18.75" customHeight="1">
      <c r="W8452" s="253"/>
    </row>
    <row r="8453" spans="23:23" ht="18.75" customHeight="1">
      <c r="W8453" s="253"/>
    </row>
    <row r="8454" spans="23:23" ht="18.75" customHeight="1">
      <c r="W8454" s="253"/>
    </row>
    <row r="8455" spans="23:23" ht="18.75" customHeight="1">
      <c r="W8455" s="253"/>
    </row>
    <row r="8456" spans="23:23" ht="18.75" customHeight="1">
      <c r="W8456" s="253"/>
    </row>
    <row r="8457" spans="23:23" ht="18.75" customHeight="1">
      <c r="W8457" s="253"/>
    </row>
    <row r="8458" spans="23:23" ht="18.75" customHeight="1">
      <c r="W8458" s="253"/>
    </row>
    <row r="8459" spans="23:23" ht="18.75" customHeight="1">
      <c r="W8459" s="253"/>
    </row>
    <row r="8460" spans="23:23" ht="18.75" customHeight="1">
      <c r="W8460" s="253"/>
    </row>
    <row r="8461" spans="23:23" ht="18.75" customHeight="1">
      <c r="W8461" s="253"/>
    </row>
    <row r="8462" spans="23:23" ht="18.75" customHeight="1">
      <c r="W8462" s="253"/>
    </row>
    <row r="8463" spans="23:23" ht="18.75" customHeight="1">
      <c r="W8463" s="253"/>
    </row>
    <row r="8464" spans="23:23" ht="18.75" customHeight="1">
      <c r="W8464" s="253"/>
    </row>
    <row r="8465" spans="23:23" ht="18.75" customHeight="1">
      <c r="W8465" s="253"/>
    </row>
    <row r="8466" spans="23:23" ht="18.75" customHeight="1">
      <c r="W8466" s="253"/>
    </row>
    <row r="8467" spans="23:23" ht="18.75" customHeight="1">
      <c r="W8467" s="253"/>
    </row>
    <row r="8468" spans="23:23" ht="18.75" customHeight="1">
      <c r="W8468" s="253"/>
    </row>
    <row r="8469" spans="23:23" ht="18.75" customHeight="1">
      <c r="W8469" s="253"/>
    </row>
    <row r="8470" spans="23:23" ht="18.75" customHeight="1">
      <c r="W8470" s="253"/>
    </row>
    <row r="8471" spans="23:23" ht="18.75" customHeight="1">
      <c r="W8471" s="253"/>
    </row>
    <row r="8472" spans="23:23" ht="18.75" customHeight="1">
      <c r="W8472" s="253"/>
    </row>
    <row r="8473" spans="23:23" ht="18.75" customHeight="1">
      <c r="W8473" s="253"/>
    </row>
    <row r="8474" spans="23:23" ht="18.75" customHeight="1">
      <c r="W8474" s="253"/>
    </row>
    <row r="8475" spans="23:23" ht="18.75" customHeight="1">
      <c r="W8475" s="253"/>
    </row>
    <row r="8476" spans="23:23" ht="18.75" customHeight="1">
      <c r="W8476" s="253"/>
    </row>
    <row r="8477" spans="23:23" ht="18.75" customHeight="1">
      <c r="W8477" s="253"/>
    </row>
    <row r="8478" spans="23:23" ht="18.75" customHeight="1">
      <c r="W8478" s="253"/>
    </row>
    <row r="8479" spans="23:23" ht="18.75" customHeight="1">
      <c r="W8479" s="253"/>
    </row>
    <row r="8480" spans="23:23" ht="18.75" customHeight="1">
      <c r="W8480" s="253"/>
    </row>
    <row r="8481" spans="23:23" ht="18.75" customHeight="1">
      <c r="W8481" s="253"/>
    </row>
    <row r="8482" spans="23:23" ht="18.75" customHeight="1">
      <c r="W8482" s="253"/>
    </row>
    <row r="8483" spans="23:23" ht="18.75" customHeight="1">
      <c r="W8483" s="253"/>
    </row>
    <row r="8484" spans="23:23" ht="18.75" customHeight="1">
      <c r="W8484" s="253"/>
    </row>
    <row r="8485" spans="23:23" ht="18.75" customHeight="1">
      <c r="W8485" s="253"/>
    </row>
    <row r="8486" spans="23:23" ht="18.75" customHeight="1">
      <c r="W8486" s="253"/>
    </row>
    <row r="8487" spans="23:23" ht="18.75" customHeight="1">
      <c r="W8487" s="253"/>
    </row>
    <row r="8488" spans="23:23" ht="18.75" customHeight="1">
      <c r="W8488" s="253"/>
    </row>
    <row r="8489" spans="23:23" ht="18.75" customHeight="1">
      <c r="W8489" s="253"/>
    </row>
    <row r="8490" spans="23:23" ht="18.75" customHeight="1">
      <c r="W8490" s="253"/>
    </row>
    <row r="8491" spans="23:23" ht="18.75" customHeight="1">
      <c r="W8491" s="253"/>
    </row>
    <row r="8492" spans="23:23" ht="18.75" customHeight="1">
      <c r="W8492" s="253"/>
    </row>
    <row r="8493" spans="23:23" ht="18.75" customHeight="1">
      <c r="W8493" s="253"/>
    </row>
    <row r="8494" spans="23:23" ht="18.75" customHeight="1">
      <c r="W8494" s="253"/>
    </row>
    <row r="8495" spans="23:23" ht="18.75" customHeight="1">
      <c r="W8495" s="253"/>
    </row>
    <row r="8496" spans="23:23" ht="18.75" customHeight="1">
      <c r="W8496" s="253"/>
    </row>
    <row r="8497" spans="23:23" ht="18.75" customHeight="1">
      <c r="W8497" s="253"/>
    </row>
    <row r="8498" spans="23:23" ht="18.75" customHeight="1">
      <c r="W8498" s="253"/>
    </row>
    <row r="8499" spans="23:23" ht="18.75" customHeight="1">
      <c r="W8499" s="253"/>
    </row>
    <row r="8500" spans="23:23" ht="18.75" customHeight="1">
      <c r="W8500" s="253"/>
    </row>
    <row r="8501" spans="23:23" ht="18.75" customHeight="1">
      <c r="W8501" s="253"/>
    </row>
    <row r="8502" spans="23:23" ht="18.75" customHeight="1">
      <c r="W8502" s="253"/>
    </row>
    <row r="8503" spans="23:23" ht="18.75" customHeight="1">
      <c r="W8503" s="253"/>
    </row>
    <row r="8504" spans="23:23" ht="18.75" customHeight="1">
      <c r="W8504" s="253"/>
    </row>
    <row r="8505" spans="23:23" ht="18.75" customHeight="1">
      <c r="W8505" s="253"/>
    </row>
    <row r="8506" spans="23:23" ht="18.75" customHeight="1">
      <c r="W8506" s="253"/>
    </row>
    <row r="8507" spans="23:23" ht="18.75" customHeight="1">
      <c r="W8507" s="253"/>
    </row>
    <row r="8508" spans="23:23" ht="18.75" customHeight="1">
      <c r="W8508" s="253"/>
    </row>
    <row r="8509" spans="23:23" ht="18.75" customHeight="1">
      <c r="W8509" s="253"/>
    </row>
    <row r="8510" spans="23:23" ht="18.75" customHeight="1">
      <c r="W8510" s="253"/>
    </row>
    <row r="8511" spans="23:23" ht="18.75" customHeight="1">
      <c r="W8511" s="253"/>
    </row>
    <row r="8512" spans="23:23" ht="18.75" customHeight="1">
      <c r="W8512" s="253"/>
    </row>
    <row r="8513" spans="23:23" ht="18.75" customHeight="1">
      <c r="W8513" s="253"/>
    </row>
    <row r="8514" spans="23:23" ht="18.75" customHeight="1">
      <c r="W8514" s="253"/>
    </row>
    <row r="8515" spans="23:23" ht="18.75" customHeight="1">
      <c r="W8515" s="253"/>
    </row>
    <row r="8516" spans="23:23" ht="18.75" customHeight="1">
      <c r="W8516" s="253"/>
    </row>
    <row r="8517" spans="23:23" ht="18.75" customHeight="1">
      <c r="W8517" s="253"/>
    </row>
    <row r="8518" spans="23:23" ht="18.75" customHeight="1">
      <c r="W8518" s="253"/>
    </row>
    <row r="8519" spans="23:23" ht="18.75" customHeight="1">
      <c r="W8519" s="253"/>
    </row>
    <row r="8520" spans="23:23" ht="18.75" customHeight="1">
      <c r="W8520" s="253"/>
    </row>
    <row r="8521" spans="23:23" ht="18.75" customHeight="1">
      <c r="W8521" s="253"/>
    </row>
    <row r="8522" spans="23:23" ht="18.75" customHeight="1">
      <c r="W8522" s="253"/>
    </row>
    <row r="8523" spans="23:23" ht="18.75" customHeight="1">
      <c r="W8523" s="253"/>
    </row>
    <row r="8524" spans="23:23" ht="18.75" customHeight="1">
      <c r="W8524" s="253"/>
    </row>
    <row r="8525" spans="23:23" ht="18.75" customHeight="1">
      <c r="W8525" s="253"/>
    </row>
    <row r="8526" spans="23:23" ht="18.75" customHeight="1">
      <c r="W8526" s="253"/>
    </row>
    <row r="8527" spans="23:23" ht="18.75" customHeight="1">
      <c r="W8527" s="253"/>
    </row>
    <row r="8528" spans="23:23" ht="18.75" customHeight="1">
      <c r="W8528" s="253"/>
    </row>
    <row r="8529" spans="23:23" ht="18.75" customHeight="1">
      <c r="W8529" s="253"/>
    </row>
    <row r="8530" spans="23:23" ht="18.75" customHeight="1">
      <c r="W8530" s="253"/>
    </row>
    <row r="8531" spans="23:23" ht="18.75" customHeight="1">
      <c r="W8531" s="253"/>
    </row>
    <row r="8532" spans="23:23" ht="18.75" customHeight="1">
      <c r="W8532" s="253"/>
    </row>
    <row r="8533" spans="23:23" ht="18.75" customHeight="1">
      <c r="W8533" s="253"/>
    </row>
    <row r="8534" spans="23:23" ht="18.75" customHeight="1">
      <c r="W8534" s="253"/>
    </row>
    <row r="8535" spans="23:23" ht="18.75" customHeight="1">
      <c r="W8535" s="253"/>
    </row>
    <row r="8536" spans="23:23" ht="18.75" customHeight="1">
      <c r="W8536" s="253"/>
    </row>
    <row r="8537" spans="23:23" ht="18.75" customHeight="1">
      <c r="W8537" s="253"/>
    </row>
    <row r="8538" spans="23:23" ht="18.75" customHeight="1">
      <c r="W8538" s="253"/>
    </row>
    <row r="8539" spans="23:23" ht="18.75" customHeight="1">
      <c r="W8539" s="253"/>
    </row>
    <row r="8540" spans="23:23" ht="18.75" customHeight="1">
      <c r="W8540" s="253"/>
    </row>
    <row r="8541" spans="23:23" ht="18.75" customHeight="1">
      <c r="W8541" s="253"/>
    </row>
    <row r="8542" spans="23:23" ht="18.75" customHeight="1">
      <c r="W8542" s="253"/>
    </row>
    <row r="8543" spans="23:23" ht="18.75" customHeight="1">
      <c r="W8543" s="253"/>
    </row>
    <row r="8544" spans="23:23" ht="18.75" customHeight="1">
      <c r="W8544" s="253"/>
    </row>
    <row r="8545" spans="23:23" ht="18.75" customHeight="1">
      <c r="W8545" s="253"/>
    </row>
    <row r="8546" spans="23:23" ht="18.75" customHeight="1">
      <c r="W8546" s="253"/>
    </row>
    <row r="8547" spans="23:23" ht="18.75" customHeight="1">
      <c r="W8547" s="253"/>
    </row>
    <row r="8548" spans="23:23" ht="18.75" customHeight="1">
      <c r="W8548" s="253"/>
    </row>
    <row r="8549" spans="23:23" ht="18.75" customHeight="1">
      <c r="W8549" s="253"/>
    </row>
    <row r="8550" spans="23:23" ht="18.75" customHeight="1">
      <c r="W8550" s="253"/>
    </row>
    <row r="8551" spans="23:23" ht="18.75" customHeight="1">
      <c r="W8551" s="253"/>
    </row>
    <row r="8552" spans="23:23" ht="18.75" customHeight="1">
      <c r="W8552" s="253"/>
    </row>
    <row r="8553" spans="23:23" ht="18.75" customHeight="1">
      <c r="W8553" s="253"/>
    </row>
    <row r="8554" spans="23:23" ht="18.75" customHeight="1">
      <c r="W8554" s="253"/>
    </row>
    <row r="8555" spans="23:23" ht="18.75" customHeight="1">
      <c r="W8555" s="253"/>
    </row>
    <row r="8556" spans="23:23" ht="18.75" customHeight="1">
      <c r="W8556" s="253"/>
    </row>
    <row r="8557" spans="23:23" ht="18.75" customHeight="1">
      <c r="W8557" s="253"/>
    </row>
    <row r="8558" spans="23:23" ht="18.75" customHeight="1">
      <c r="W8558" s="253"/>
    </row>
  </sheetData>
  <mergeCells count="23">
    <mergeCell ref="S3680:V3680"/>
    <mergeCell ref="F3711:K3711"/>
    <mergeCell ref="F3985:H3985"/>
    <mergeCell ref="O3711:P3711"/>
    <mergeCell ref="J4078:M4078"/>
    <mergeCell ref="H4002:K4002"/>
    <mergeCell ref="H2422:H2423"/>
    <mergeCell ref="H2420:K2420"/>
    <mergeCell ref="P1474:R1474"/>
    <mergeCell ref="S1474:U1474"/>
    <mergeCell ref="AB3648:AG3649"/>
    <mergeCell ref="U2:X2"/>
    <mergeCell ref="O2343:Q2343"/>
    <mergeCell ref="O2353:Q2353"/>
    <mergeCell ref="O2427:R2427"/>
    <mergeCell ref="O2429:O2430"/>
    <mergeCell ref="N1531:R1531"/>
    <mergeCell ref="AH550:AI550"/>
    <mergeCell ref="AD2601:AG2601"/>
    <mergeCell ref="I3046:J3046"/>
    <mergeCell ref="S3148:T3148"/>
    <mergeCell ref="I3492:J3492"/>
    <mergeCell ref="AA550:AB550"/>
  </mergeCells>
  <phoneticPr fontId="0" type="noConversion"/>
  <hyperlinks>
    <hyperlink ref="J270" r:id="rId1" display="G:\2273"/>
    <hyperlink ref="C270" r:id="rId2" display="G:\2273"/>
  </hyperlinks>
  <printOptions horizontalCentered="1"/>
  <pageMargins left="0.37" right="0.24" top="0.47244094488188998" bottom="0.35433070866141703" header="0.27559055118110198" footer="0.196850393700787"/>
  <pageSetup paperSize="9" scale="62" orientation="landscape" r:id="rId3"/>
  <headerFooter alignWithMargins="0">
    <oddHeader>&amp;R&amp;P</oddHeader>
  </headerFooter>
  <drawing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73"/>
  <sheetViews>
    <sheetView view="pageBreakPreview" zoomScale="82" zoomScaleSheetLayoutView="82" workbookViewId="0">
      <selection sqref="A1:F1"/>
    </sheetView>
  </sheetViews>
  <sheetFormatPr defaultRowHeight="19.5"/>
  <cols>
    <col min="1" max="1" width="6.88671875" style="1133" customWidth="1"/>
    <col min="2" max="2" width="10.5546875" style="1134" customWidth="1"/>
    <col min="3" max="3" width="53.109375" style="1135" customWidth="1"/>
    <col min="4" max="4" width="14.33203125" style="1134" customWidth="1"/>
    <col min="5" max="5" width="7.21875" style="1134" customWidth="1"/>
    <col min="6" max="6" width="15.33203125" style="1136" customWidth="1"/>
    <col min="7" max="7" width="19.88671875" style="1118" customWidth="1"/>
    <col min="8" max="8" width="18.44140625" style="1118" customWidth="1"/>
    <col min="9" max="9" width="24.88671875" style="1118" customWidth="1"/>
    <col min="10" max="10" width="18.44140625" style="1118" customWidth="1"/>
    <col min="11" max="256" width="8.88671875" style="1118"/>
    <col min="257" max="257" width="6.88671875" style="1118" customWidth="1"/>
    <col min="258" max="258" width="10.5546875" style="1118" customWidth="1"/>
    <col min="259" max="259" width="59.21875" style="1118" customWidth="1"/>
    <col min="260" max="260" width="14.33203125" style="1118" customWidth="1"/>
    <col min="261" max="261" width="7.21875" style="1118" customWidth="1"/>
    <col min="262" max="262" width="15.33203125" style="1118" customWidth="1"/>
    <col min="263" max="263" width="19.88671875" style="1118" customWidth="1"/>
    <col min="264" max="264" width="11.6640625" style="1118" customWidth="1"/>
    <col min="265" max="265" width="24.88671875" style="1118" customWidth="1"/>
    <col min="266" max="266" width="18.44140625" style="1118" customWidth="1"/>
    <col min="267" max="512" width="8.88671875" style="1118"/>
    <col min="513" max="513" width="6.88671875" style="1118" customWidth="1"/>
    <col min="514" max="514" width="10.5546875" style="1118" customWidth="1"/>
    <col min="515" max="515" width="59.21875" style="1118" customWidth="1"/>
    <col min="516" max="516" width="14.33203125" style="1118" customWidth="1"/>
    <col min="517" max="517" width="7.21875" style="1118" customWidth="1"/>
    <col min="518" max="518" width="15.33203125" style="1118" customWidth="1"/>
    <col min="519" max="519" width="19.88671875" style="1118" customWidth="1"/>
    <col min="520" max="520" width="11.6640625" style="1118" customWidth="1"/>
    <col min="521" max="521" width="24.88671875" style="1118" customWidth="1"/>
    <col min="522" max="522" width="18.44140625" style="1118" customWidth="1"/>
    <col min="523" max="768" width="8.88671875" style="1118"/>
    <col min="769" max="769" width="6.88671875" style="1118" customWidth="1"/>
    <col min="770" max="770" width="10.5546875" style="1118" customWidth="1"/>
    <col min="771" max="771" width="59.21875" style="1118" customWidth="1"/>
    <col min="772" max="772" width="14.33203125" style="1118" customWidth="1"/>
    <col min="773" max="773" width="7.21875" style="1118" customWidth="1"/>
    <col min="774" max="774" width="15.33203125" style="1118" customWidth="1"/>
    <col min="775" max="775" width="19.88671875" style="1118" customWidth="1"/>
    <col min="776" max="776" width="11.6640625" style="1118" customWidth="1"/>
    <col min="777" max="777" width="24.88671875" style="1118" customWidth="1"/>
    <col min="778" max="778" width="18.44140625" style="1118" customWidth="1"/>
    <col min="779" max="1024" width="8.88671875" style="1118"/>
    <col min="1025" max="1025" width="6.88671875" style="1118" customWidth="1"/>
    <col min="1026" max="1026" width="10.5546875" style="1118" customWidth="1"/>
    <col min="1027" max="1027" width="59.21875" style="1118" customWidth="1"/>
    <col min="1028" max="1028" width="14.33203125" style="1118" customWidth="1"/>
    <col min="1029" max="1029" width="7.21875" style="1118" customWidth="1"/>
    <col min="1030" max="1030" width="15.33203125" style="1118" customWidth="1"/>
    <col min="1031" max="1031" width="19.88671875" style="1118" customWidth="1"/>
    <col min="1032" max="1032" width="11.6640625" style="1118" customWidth="1"/>
    <col min="1033" max="1033" width="24.88671875" style="1118" customWidth="1"/>
    <col min="1034" max="1034" width="18.44140625" style="1118" customWidth="1"/>
    <col min="1035" max="1280" width="8.88671875" style="1118"/>
    <col min="1281" max="1281" width="6.88671875" style="1118" customWidth="1"/>
    <col min="1282" max="1282" width="10.5546875" style="1118" customWidth="1"/>
    <col min="1283" max="1283" width="59.21875" style="1118" customWidth="1"/>
    <col min="1284" max="1284" width="14.33203125" style="1118" customWidth="1"/>
    <col min="1285" max="1285" width="7.21875" style="1118" customWidth="1"/>
    <col min="1286" max="1286" width="15.33203125" style="1118" customWidth="1"/>
    <col min="1287" max="1287" width="19.88671875" style="1118" customWidth="1"/>
    <col min="1288" max="1288" width="11.6640625" style="1118" customWidth="1"/>
    <col min="1289" max="1289" width="24.88671875" style="1118" customWidth="1"/>
    <col min="1290" max="1290" width="18.44140625" style="1118" customWidth="1"/>
    <col min="1291" max="1536" width="8.88671875" style="1118"/>
    <col min="1537" max="1537" width="6.88671875" style="1118" customWidth="1"/>
    <col min="1538" max="1538" width="10.5546875" style="1118" customWidth="1"/>
    <col min="1539" max="1539" width="59.21875" style="1118" customWidth="1"/>
    <col min="1540" max="1540" width="14.33203125" style="1118" customWidth="1"/>
    <col min="1541" max="1541" width="7.21875" style="1118" customWidth="1"/>
    <col min="1542" max="1542" width="15.33203125" style="1118" customWidth="1"/>
    <col min="1543" max="1543" width="19.88671875" style="1118" customWidth="1"/>
    <col min="1544" max="1544" width="11.6640625" style="1118" customWidth="1"/>
    <col min="1545" max="1545" width="24.88671875" style="1118" customWidth="1"/>
    <col min="1546" max="1546" width="18.44140625" style="1118" customWidth="1"/>
    <col min="1547" max="1792" width="8.88671875" style="1118"/>
    <col min="1793" max="1793" width="6.88671875" style="1118" customWidth="1"/>
    <col min="1794" max="1794" width="10.5546875" style="1118" customWidth="1"/>
    <col min="1795" max="1795" width="59.21875" style="1118" customWidth="1"/>
    <col min="1796" max="1796" width="14.33203125" style="1118" customWidth="1"/>
    <col min="1797" max="1797" width="7.21875" style="1118" customWidth="1"/>
    <col min="1798" max="1798" width="15.33203125" style="1118" customWidth="1"/>
    <col min="1799" max="1799" width="19.88671875" style="1118" customWidth="1"/>
    <col min="1800" max="1800" width="11.6640625" style="1118" customWidth="1"/>
    <col min="1801" max="1801" width="24.88671875" style="1118" customWidth="1"/>
    <col min="1802" max="1802" width="18.44140625" style="1118" customWidth="1"/>
    <col min="1803" max="2048" width="8.88671875" style="1118"/>
    <col min="2049" max="2049" width="6.88671875" style="1118" customWidth="1"/>
    <col min="2050" max="2050" width="10.5546875" style="1118" customWidth="1"/>
    <col min="2051" max="2051" width="59.21875" style="1118" customWidth="1"/>
    <col min="2052" max="2052" width="14.33203125" style="1118" customWidth="1"/>
    <col min="2053" max="2053" width="7.21875" style="1118" customWidth="1"/>
    <col min="2054" max="2054" width="15.33203125" style="1118" customWidth="1"/>
    <col min="2055" max="2055" width="19.88671875" style="1118" customWidth="1"/>
    <col min="2056" max="2056" width="11.6640625" style="1118" customWidth="1"/>
    <col min="2057" max="2057" width="24.88671875" style="1118" customWidth="1"/>
    <col min="2058" max="2058" width="18.44140625" style="1118" customWidth="1"/>
    <col min="2059" max="2304" width="8.88671875" style="1118"/>
    <col min="2305" max="2305" width="6.88671875" style="1118" customWidth="1"/>
    <col min="2306" max="2306" width="10.5546875" style="1118" customWidth="1"/>
    <col min="2307" max="2307" width="59.21875" style="1118" customWidth="1"/>
    <col min="2308" max="2308" width="14.33203125" style="1118" customWidth="1"/>
    <col min="2309" max="2309" width="7.21875" style="1118" customWidth="1"/>
    <col min="2310" max="2310" width="15.33203125" style="1118" customWidth="1"/>
    <col min="2311" max="2311" width="19.88671875" style="1118" customWidth="1"/>
    <col min="2312" max="2312" width="11.6640625" style="1118" customWidth="1"/>
    <col min="2313" max="2313" width="24.88671875" style="1118" customWidth="1"/>
    <col min="2314" max="2314" width="18.44140625" style="1118" customWidth="1"/>
    <col min="2315" max="2560" width="8.88671875" style="1118"/>
    <col min="2561" max="2561" width="6.88671875" style="1118" customWidth="1"/>
    <col min="2562" max="2562" width="10.5546875" style="1118" customWidth="1"/>
    <col min="2563" max="2563" width="59.21875" style="1118" customWidth="1"/>
    <col min="2564" max="2564" width="14.33203125" style="1118" customWidth="1"/>
    <col min="2565" max="2565" width="7.21875" style="1118" customWidth="1"/>
    <col min="2566" max="2566" width="15.33203125" style="1118" customWidth="1"/>
    <col min="2567" max="2567" width="19.88671875" style="1118" customWidth="1"/>
    <col min="2568" max="2568" width="11.6640625" style="1118" customWidth="1"/>
    <col min="2569" max="2569" width="24.88671875" style="1118" customWidth="1"/>
    <col min="2570" max="2570" width="18.44140625" style="1118" customWidth="1"/>
    <col min="2571" max="2816" width="8.88671875" style="1118"/>
    <col min="2817" max="2817" width="6.88671875" style="1118" customWidth="1"/>
    <col min="2818" max="2818" width="10.5546875" style="1118" customWidth="1"/>
    <col min="2819" max="2819" width="59.21875" style="1118" customWidth="1"/>
    <col min="2820" max="2820" width="14.33203125" style="1118" customWidth="1"/>
    <col min="2821" max="2821" width="7.21875" style="1118" customWidth="1"/>
    <col min="2822" max="2822" width="15.33203125" style="1118" customWidth="1"/>
    <col min="2823" max="2823" width="19.88671875" style="1118" customWidth="1"/>
    <col min="2824" max="2824" width="11.6640625" style="1118" customWidth="1"/>
    <col min="2825" max="2825" width="24.88671875" style="1118" customWidth="1"/>
    <col min="2826" max="2826" width="18.44140625" style="1118" customWidth="1"/>
    <col min="2827" max="3072" width="8.88671875" style="1118"/>
    <col min="3073" max="3073" width="6.88671875" style="1118" customWidth="1"/>
    <col min="3074" max="3074" width="10.5546875" style="1118" customWidth="1"/>
    <col min="3075" max="3075" width="59.21875" style="1118" customWidth="1"/>
    <col min="3076" max="3076" width="14.33203125" style="1118" customWidth="1"/>
    <col min="3077" max="3077" width="7.21875" style="1118" customWidth="1"/>
    <col min="3078" max="3078" width="15.33203125" style="1118" customWidth="1"/>
    <col min="3079" max="3079" width="19.88671875" style="1118" customWidth="1"/>
    <col min="3080" max="3080" width="11.6640625" style="1118" customWidth="1"/>
    <col min="3081" max="3081" width="24.88671875" style="1118" customWidth="1"/>
    <col min="3082" max="3082" width="18.44140625" style="1118" customWidth="1"/>
    <col min="3083" max="3328" width="8.88671875" style="1118"/>
    <col min="3329" max="3329" width="6.88671875" style="1118" customWidth="1"/>
    <col min="3330" max="3330" width="10.5546875" style="1118" customWidth="1"/>
    <col min="3331" max="3331" width="59.21875" style="1118" customWidth="1"/>
    <col min="3332" max="3332" width="14.33203125" style="1118" customWidth="1"/>
    <col min="3333" max="3333" width="7.21875" style="1118" customWidth="1"/>
    <col min="3334" max="3334" width="15.33203125" style="1118" customWidth="1"/>
    <col min="3335" max="3335" width="19.88671875" style="1118" customWidth="1"/>
    <col min="3336" max="3336" width="11.6640625" style="1118" customWidth="1"/>
    <col min="3337" max="3337" width="24.88671875" style="1118" customWidth="1"/>
    <col min="3338" max="3338" width="18.44140625" style="1118" customWidth="1"/>
    <col min="3339" max="3584" width="8.88671875" style="1118"/>
    <col min="3585" max="3585" width="6.88671875" style="1118" customWidth="1"/>
    <col min="3586" max="3586" width="10.5546875" style="1118" customWidth="1"/>
    <col min="3587" max="3587" width="59.21875" style="1118" customWidth="1"/>
    <col min="3588" max="3588" width="14.33203125" style="1118" customWidth="1"/>
    <col min="3589" max="3589" width="7.21875" style="1118" customWidth="1"/>
    <col min="3590" max="3590" width="15.33203125" style="1118" customWidth="1"/>
    <col min="3591" max="3591" width="19.88671875" style="1118" customWidth="1"/>
    <col min="3592" max="3592" width="11.6640625" style="1118" customWidth="1"/>
    <col min="3593" max="3593" width="24.88671875" style="1118" customWidth="1"/>
    <col min="3594" max="3594" width="18.44140625" style="1118" customWidth="1"/>
    <col min="3595" max="3840" width="8.88671875" style="1118"/>
    <col min="3841" max="3841" width="6.88671875" style="1118" customWidth="1"/>
    <col min="3842" max="3842" width="10.5546875" style="1118" customWidth="1"/>
    <col min="3843" max="3843" width="59.21875" style="1118" customWidth="1"/>
    <col min="3844" max="3844" width="14.33203125" style="1118" customWidth="1"/>
    <col min="3845" max="3845" width="7.21875" style="1118" customWidth="1"/>
    <col min="3846" max="3846" width="15.33203125" style="1118" customWidth="1"/>
    <col min="3847" max="3847" width="19.88671875" style="1118" customWidth="1"/>
    <col min="3848" max="3848" width="11.6640625" style="1118" customWidth="1"/>
    <col min="3849" max="3849" width="24.88671875" style="1118" customWidth="1"/>
    <col min="3850" max="3850" width="18.44140625" style="1118" customWidth="1"/>
    <col min="3851" max="4096" width="8.88671875" style="1118"/>
    <col min="4097" max="4097" width="6.88671875" style="1118" customWidth="1"/>
    <col min="4098" max="4098" width="10.5546875" style="1118" customWidth="1"/>
    <col min="4099" max="4099" width="59.21875" style="1118" customWidth="1"/>
    <col min="4100" max="4100" width="14.33203125" style="1118" customWidth="1"/>
    <col min="4101" max="4101" width="7.21875" style="1118" customWidth="1"/>
    <col min="4102" max="4102" width="15.33203125" style="1118" customWidth="1"/>
    <col min="4103" max="4103" width="19.88671875" style="1118" customWidth="1"/>
    <col min="4104" max="4104" width="11.6640625" style="1118" customWidth="1"/>
    <col min="4105" max="4105" width="24.88671875" style="1118" customWidth="1"/>
    <col min="4106" max="4106" width="18.44140625" style="1118" customWidth="1"/>
    <col min="4107" max="4352" width="8.88671875" style="1118"/>
    <col min="4353" max="4353" width="6.88671875" style="1118" customWidth="1"/>
    <col min="4354" max="4354" width="10.5546875" style="1118" customWidth="1"/>
    <col min="4355" max="4355" width="59.21875" style="1118" customWidth="1"/>
    <col min="4356" max="4356" width="14.33203125" style="1118" customWidth="1"/>
    <col min="4357" max="4357" width="7.21875" style="1118" customWidth="1"/>
    <col min="4358" max="4358" width="15.33203125" style="1118" customWidth="1"/>
    <col min="4359" max="4359" width="19.88671875" style="1118" customWidth="1"/>
    <col min="4360" max="4360" width="11.6640625" style="1118" customWidth="1"/>
    <col min="4361" max="4361" width="24.88671875" style="1118" customWidth="1"/>
    <col min="4362" max="4362" width="18.44140625" style="1118" customWidth="1"/>
    <col min="4363" max="4608" width="8.88671875" style="1118"/>
    <col min="4609" max="4609" width="6.88671875" style="1118" customWidth="1"/>
    <col min="4610" max="4610" width="10.5546875" style="1118" customWidth="1"/>
    <col min="4611" max="4611" width="59.21875" style="1118" customWidth="1"/>
    <col min="4612" max="4612" width="14.33203125" style="1118" customWidth="1"/>
    <col min="4613" max="4613" width="7.21875" style="1118" customWidth="1"/>
    <col min="4614" max="4614" width="15.33203125" style="1118" customWidth="1"/>
    <col min="4615" max="4615" width="19.88671875" style="1118" customWidth="1"/>
    <col min="4616" max="4616" width="11.6640625" style="1118" customWidth="1"/>
    <col min="4617" max="4617" width="24.88671875" style="1118" customWidth="1"/>
    <col min="4618" max="4618" width="18.44140625" style="1118" customWidth="1"/>
    <col min="4619" max="4864" width="8.88671875" style="1118"/>
    <col min="4865" max="4865" width="6.88671875" style="1118" customWidth="1"/>
    <col min="4866" max="4866" width="10.5546875" style="1118" customWidth="1"/>
    <col min="4867" max="4867" width="59.21875" style="1118" customWidth="1"/>
    <col min="4868" max="4868" width="14.33203125" style="1118" customWidth="1"/>
    <col min="4869" max="4869" width="7.21875" style="1118" customWidth="1"/>
    <col min="4870" max="4870" width="15.33203125" style="1118" customWidth="1"/>
    <col min="4871" max="4871" width="19.88671875" style="1118" customWidth="1"/>
    <col min="4872" max="4872" width="11.6640625" style="1118" customWidth="1"/>
    <col min="4873" max="4873" width="24.88671875" style="1118" customWidth="1"/>
    <col min="4874" max="4874" width="18.44140625" style="1118" customWidth="1"/>
    <col min="4875" max="5120" width="8.88671875" style="1118"/>
    <col min="5121" max="5121" width="6.88671875" style="1118" customWidth="1"/>
    <col min="5122" max="5122" width="10.5546875" style="1118" customWidth="1"/>
    <col min="5123" max="5123" width="59.21875" style="1118" customWidth="1"/>
    <col min="5124" max="5124" width="14.33203125" style="1118" customWidth="1"/>
    <col min="5125" max="5125" width="7.21875" style="1118" customWidth="1"/>
    <col min="5126" max="5126" width="15.33203125" style="1118" customWidth="1"/>
    <col min="5127" max="5127" width="19.88671875" style="1118" customWidth="1"/>
    <col min="5128" max="5128" width="11.6640625" style="1118" customWidth="1"/>
    <col min="5129" max="5129" width="24.88671875" style="1118" customWidth="1"/>
    <col min="5130" max="5130" width="18.44140625" style="1118" customWidth="1"/>
    <col min="5131" max="5376" width="8.88671875" style="1118"/>
    <col min="5377" max="5377" width="6.88671875" style="1118" customWidth="1"/>
    <col min="5378" max="5378" width="10.5546875" style="1118" customWidth="1"/>
    <col min="5379" max="5379" width="59.21875" style="1118" customWidth="1"/>
    <col min="5380" max="5380" width="14.33203125" style="1118" customWidth="1"/>
    <col min="5381" max="5381" width="7.21875" style="1118" customWidth="1"/>
    <col min="5382" max="5382" width="15.33203125" style="1118" customWidth="1"/>
    <col min="5383" max="5383" width="19.88671875" style="1118" customWidth="1"/>
    <col min="5384" max="5384" width="11.6640625" style="1118" customWidth="1"/>
    <col min="5385" max="5385" width="24.88671875" style="1118" customWidth="1"/>
    <col min="5386" max="5386" width="18.44140625" style="1118" customWidth="1"/>
    <col min="5387" max="5632" width="8.88671875" style="1118"/>
    <col min="5633" max="5633" width="6.88671875" style="1118" customWidth="1"/>
    <col min="5634" max="5634" width="10.5546875" style="1118" customWidth="1"/>
    <col min="5635" max="5635" width="59.21875" style="1118" customWidth="1"/>
    <col min="5636" max="5636" width="14.33203125" style="1118" customWidth="1"/>
    <col min="5637" max="5637" width="7.21875" style="1118" customWidth="1"/>
    <col min="5638" max="5638" width="15.33203125" style="1118" customWidth="1"/>
    <col min="5639" max="5639" width="19.88671875" style="1118" customWidth="1"/>
    <col min="5640" max="5640" width="11.6640625" style="1118" customWidth="1"/>
    <col min="5641" max="5641" width="24.88671875" style="1118" customWidth="1"/>
    <col min="5642" max="5642" width="18.44140625" style="1118" customWidth="1"/>
    <col min="5643" max="5888" width="8.88671875" style="1118"/>
    <col min="5889" max="5889" width="6.88671875" style="1118" customWidth="1"/>
    <col min="5890" max="5890" width="10.5546875" style="1118" customWidth="1"/>
    <col min="5891" max="5891" width="59.21875" style="1118" customWidth="1"/>
    <col min="5892" max="5892" width="14.33203125" style="1118" customWidth="1"/>
    <col min="5893" max="5893" width="7.21875" style="1118" customWidth="1"/>
    <col min="5894" max="5894" width="15.33203125" style="1118" customWidth="1"/>
    <col min="5895" max="5895" width="19.88671875" style="1118" customWidth="1"/>
    <col min="5896" max="5896" width="11.6640625" style="1118" customWidth="1"/>
    <col min="5897" max="5897" width="24.88671875" style="1118" customWidth="1"/>
    <col min="5898" max="5898" width="18.44140625" style="1118" customWidth="1"/>
    <col min="5899" max="6144" width="8.88671875" style="1118"/>
    <col min="6145" max="6145" width="6.88671875" style="1118" customWidth="1"/>
    <col min="6146" max="6146" width="10.5546875" style="1118" customWidth="1"/>
    <col min="6147" max="6147" width="59.21875" style="1118" customWidth="1"/>
    <col min="6148" max="6148" width="14.33203125" style="1118" customWidth="1"/>
    <col min="6149" max="6149" width="7.21875" style="1118" customWidth="1"/>
    <col min="6150" max="6150" width="15.33203125" style="1118" customWidth="1"/>
    <col min="6151" max="6151" width="19.88671875" style="1118" customWidth="1"/>
    <col min="6152" max="6152" width="11.6640625" style="1118" customWidth="1"/>
    <col min="6153" max="6153" width="24.88671875" style="1118" customWidth="1"/>
    <col min="6154" max="6154" width="18.44140625" style="1118" customWidth="1"/>
    <col min="6155" max="6400" width="8.88671875" style="1118"/>
    <col min="6401" max="6401" width="6.88671875" style="1118" customWidth="1"/>
    <col min="6402" max="6402" width="10.5546875" style="1118" customWidth="1"/>
    <col min="6403" max="6403" width="59.21875" style="1118" customWidth="1"/>
    <col min="6404" max="6404" width="14.33203125" style="1118" customWidth="1"/>
    <col min="6405" max="6405" width="7.21875" style="1118" customWidth="1"/>
    <col min="6406" max="6406" width="15.33203125" style="1118" customWidth="1"/>
    <col min="6407" max="6407" width="19.88671875" style="1118" customWidth="1"/>
    <col min="6408" max="6408" width="11.6640625" style="1118" customWidth="1"/>
    <col min="6409" max="6409" width="24.88671875" style="1118" customWidth="1"/>
    <col min="6410" max="6410" width="18.44140625" style="1118" customWidth="1"/>
    <col min="6411" max="6656" width="8.88671875" style="1118"/>
    <col min="6657" max="6657" width="6.88671875" style="1118" customWidth="1"/>
    <col min="6658" max="6658" width="10.5546875" style="1118" customWidth="1"/>
    <col min="6659" max="6659" width="59.21875" style="1118" customWidth="1"/>
    <col min="6660" max="6660" width="14.33203125" style="1118" customWidth="1"/>
    <col min="6661" max="6661" width="7.21875" style="1118" customWidth="1"/>
    <col min="6662" max="6662" width="15.33203125" style="1118" customWidth="1"/>
    <col min="6663" max="6663" width="19.88671875" style="1118" customWidth="1"/>
    <col min="6664" max="6664" width="11.6640625" style="1118" customWidth="1"/>
    <col min="6665" max="6665" width="24.88671875" style="1118" customWidth="1"/>
    <col min="6666" max="6666" width="18.44140625" style="1118" customWidth="1"/>
    <col min="6667" max="6912" width="8.88671875" style="1118"/>
    <col min="6913" max="6913" width="6.88671875" style="1118" customWidth="1"/>
    <col min="6914" max="6914" width="10.5546875" style="1118" customWidth="1"/>
    <col min="6915" max="6915" width="59.21875" style="1118" customWidth="1"/>
    <col min="6916" max="6916" width="14.33203125" style="1118" customWidth="1"/>
    <col min="6917" max="6917" width="7.21875" style="1118" customWidth="1"/>
    <col min="6918" max="6918" width="15.33203125" style="1118" customWidth="1"/>
    <col min="6919" max="6919" width="19.88671875" style="1118" customWidth="1"/>
    <col min="6920" max="6920" width="11.6640625" style="1118" customWidth="1"/>
    <col min="6921" max="6921" width="24.88671875" style="1118" customWidth="1"/>
    <col min="6922" max="6922" width="18.44140625" style="1118" customWidth="1"/>
    <col min="6923" max="7168" width="8.88671875" style="1118"/>
    <col min="7169" max="7169" width="6.88671875" style="1118" customWidth="1"/>
    <col min="7170" max="7170" width="10.5546875" style="1118" customWidth="1"/>
    <col min="7171" max="7171" width="59.21875" style="1118" customWidth="1"/>
    <col min="7172" max="7172" width="14.33203125" style="1118" customWidth="1"/>
    <col min="7173" max="7173" width="7.21875" style="1118" customWidth="1"/>
    <col min="7174" max="7174" width="15.33203125" style="1118" customWidth="1"/>
    <col min="7175" max="7175" width="19.88671875" style="1118" customWidth="1"/>
    <col min="7176" max="7176" width="11.6640625" style="1118" customWidth="1"/>
    <col min="7177" max="7177" width="24.88671875" style="1118" customWidth="1"/>
    <col min="7178" max="7178" width="18.44140625" style="1118" customWidth="1"/>
    <col min="7179" max="7424" width="8.88671875" style="1118"/>
    <col min="7425" max="7425" width="6.88671875" style="1118" customWidth="1"/>
    <col min="7426" max="7426" width="10.5546875" style="1118" customWidth="1"/>
    <col min="7427" max="7427" width="59.21875" style="1118" customWidth="1"/>
    <col min="7428" max="7428" width="14.33203125" style="1118" customWidth="1"/>
    <col min="7429" max="7429" width="7.21875" style="1118" customWidth="1"/>
    <col min="7430" max="7430" width="15.33203125" style="1118" customWidth="1"/>
    <col min="7431" max="7431" width="19.88671875" style="1118" customWidth="1"/>
    <col min="7432" max="7432" width="11.6640625" style="1118" customWidth="1"/>
    <col min="7433" max="7433" width="24.88671875" style="1118" customWidth="1"/>
    <col min="7434" max="7434" width="18.44140625" style="1118" customWidth="1"/>
    <col min="7435" max="7680" width="8.88671875" style="1118"/>
    <col min="7681" max="7681" width="6.88671875" style="1118" customWidth="1"/>
    <col min="7682" max="7682" width="10.5546875" style="1118" customWidth="1"/>
    <col min="7683" max="7683" width="59.21875" style="1118" customWidth="1"/>
    <col min="7684" max="7684" width="14.33203125" style="1118" customWidth="1"/>
    <col min="7685" max="7685" width="7.21875" style="1118" customWidth="1"/>
    <col min="7686" max="7686" width="15.33203125" style="1118" customWidth="1"/>
    <col min="7687" max="7687" width="19.88671875" style="1118" customWidth="1"/>
    <col min="7688" max="7688" width="11.6640625" style="1118" customWidth="1"/>
    <col min="7689" max="7689" width="24.88671875" style="1118" customWidth="1"/>
    <col min="7690" max="7690" width="18.44140625" style="1118" customWidth="1"/>
    <col min="7691" max="7936" width="8.88671875" style="1118"/>
    <col min="7937" max="7937" width="6.88671875" style="1118" customWidth="1"/>
    <col min="7938" max="7938" width="10.5546875" style="1118" customWidth="1"/>
    <col min="7939" max="7939" width="59.21875" style="1118" customWidth="1"/>
    <col min="7940" max="7940" width="14.33203125" style="1118" customWidth="1"/>
    <col min="7941" max="7941" width="7.21875" style="1118" customWidth="1"/>
    <col min="7942" max="7942" width="15.33203125" style="1118" customWidth="1"/>
    <col min="7943" max="7943" width="19.88671875" style="1118" customWidth="1"/>
    <col min="7944" max="7944" width="11.6640625" style="1118" customWidth="1"/>
    <col min="7945" max="7945" width="24.88671875" style="1118" customWidth="1"/>
    <col min="7946" max="7946" width="18.44140625" style="1118" customWidth="1"/>
    <col min="7947" max="8192" width="8.88671875" style="1118"/>
    <col min="8193" max="8193" width="6.88671875" style="1118" customWidth="1"/>
    <col min="8194" max="8194" width="10.5546875" style="1118" customWidth="1"/>
    <col min="8195" max="8195" width="59.21875" style="1118" customWidth="1"/>
    <col min="8196" max="8196" width="14.33203125" style="1118" customWidth="1"/>
    <col min="8197" max="8197" width="7.21875" style="1118" customWidth="1"/>
    <col min="8198" max="8198" width="15.33203125" style="1118" customWidth="1"/>
    <col min="8199" max="8199" width="19.88671875" style="1118" customWidth="1"/>
    <col min="8200" max="8200" width="11.6640625" style="1118" customWidth="1"/>
    <col min="8201" max="8201" width="24.88671875" style="1118" customWidth="1"/>
    <col min="8202" max="8202" width="18.44140625" style="1118" customWidth="1"/>
    <col min="8203" max="8448" width="8.88671875" style="1118"/>
    <col min="8449" max="8449" width="6.88671875" style="1118" customWidth="1"/>
    <col min="8450" max="8450" width="10.5546875" style="1118" customWidth="1"/>
    <col min="8451" max="8451" width="59.21875" style="1118" customWidth="1"/>
    <col min="8452" max="8452" width="14.33203125" style="1118" customWidth="1"/>
    <col min="8453" max="8453" width="7.21875" style="1118" customWidth="1"/>
    <col min="8454" max="8454" width="15.33203125" style="1118" customWidth="1"/>
    <col min="8455" max="8455" width="19.88671875" style="1118" customWidth="1"/>
    <col min="8456" max="8456" width="11.6640625" style="1118" customWidth="1"/>
    <col min="8457" max="8457" width="24.88671875" style="1118" customWidth="1"/>
    <col min="8458" max="8458" width="18.44140625" style="1118" customWidth="1"/>
    <col min="8459" max="8704" width="8.88671875" style="1118"/>
    <col min="8705" max="8705" width="6.88671875" style="1118" customWidth="1"/>
    <col min="8706" max="8706" width="10.5546875" style="1118" customWidth="1"/>
    <col min="8707" max="8707" width="59.21875" style="1118" customWidth="1"/>
    <col min="8708" max="8708" width="14.33203125" style="1118" customWidth="1"/>
    <col min="8709" max="8709" width="7.21875" style="1118" customWidth="1"/>
    <col min="8710" max="8710" width="15.33203125" style="1118" customWidth="1"/>
    <col min="8711" max="8711" width="19.88671875" style="1118" customWidth="1"/>
    <col min="8712" max="8712" width="11.6640625" style="1118" customWidth="1"/>
    <col min="8713" max="8713" width="24.88671875" style="1118" customWidth="1"/>
    <col min="8714" max="8714" width="18.44140625" style="1118" customWidth="1"/>
    <col min="8715" max="8960" width="8.88671875" style="1118"/>
    <col min="8961" max="8961" width="6.88671875" style="1118" customWidth="1"/>
    <col min="8962" max="8962" width="10.5546875" style="1118" customWidth="1"/>
    <col min="8963" max="8963" width="59.21875" style="1118" customWidth="1"/>
    <col min="8964" max="8964" width="14.33203125" style="1118" customWidth="1"/>
    <col min="8965" max="8965" width="7.21875" style="1118" customWidth="1"/>
    <col min="8966" max="8966" width="15.33203125" style="1118" customWidth="1"/>
    <col min="8967" max="8967" width="19.88671875" style="1118" customWidth="1"/>
    <col min="8968" max="8968" width="11.6640625" style="1118" customWidth="1"/>
    <col min="8969" max="8969" width="24.88671875" style="1118" customWidth="1"/>
    <col min="8970" max="8970" width="18.44140625" style="1118" customWidth="1"/>
    <col min="8971" max="9216" width="8.88671875" style="1118"/>
    <col min="9217" max="9217" width="6.88671875" style="1118" customWidth="1"/>
    <col min="9218" max="9218" width="10.5546875" style="1118" customWidth="1"/>
    <col min="9219" max="9219" width="59.21875" style="1118" customWidth="1"/>
    <col min="9220" max="9220" width="14.33203125" style="1118" customWidth="1"/>
    <col min="9221" max="9221" width="7.21875" style="1118" customWidth="1"/>
    <col min="9222" max="9222" width="15.33203125" style="1118" customWidth="1"/>
    <col min="9223" max="9223" width="19.88671875" style="1118" customWidth="1"/>
    <col min="9224" max="9224" width="11.6640625" style="1118" customWidth="1"/>
    <col min="9225" max="9225" width="24.88671875" style="1118" customWidth="1"/>
    <col min="9226" max="9226" width="18.44140625" style="1118" customWidth="1"/>
    <col min="9227" max="9472" width="8.88671875" style="1118"/>
    <col min="9473" max="9473" width="6.88671875" style="1118" customWidth="1"/>
    <col min="9474" max="9474" width="10.5546875" style="1118" customWidth="1"/>
    <col min="9475" max="9475" width="59.21875" style="1118" customWidth="1"/>
    <col min="9476" max="9476" width="14.33203125" style="1118" customWidth="1"/>
    <col min="9477" max="9477" width="7.21875" style="1118" customWidth="1"/>
    <col min="9478" max="9478" width="15.33203125" style="1118" customWidth="1"/>
    <col min="9479" max="9479" width="19.88671875" style="1118" customWidth="1"/>
    <col min="9480" max="9480" width="11.6640625" style="1118" customWidth="1"/>
    <col min="9481" max="9481" width="24.88671875" style="1118" customWidth="1"/>
    <col min="9482" max="9482" width="18.44140625" style="1118" customWidth="1"/>
    <col min="9483" max="9728" width="8.88671875" style="1118"/>
    <col min="9729" max="9729" width="6.88671875" style="1118" customWidth="1"/>
    <col min="9730" max="9730" width="10.5546875" style="1118" customWidth="1"/>
    <col min="9731" max="9731" width="59.21875" style="1118" customWidth="1"/>
    <col min="9732" max="9732" width="14.33203125" style="1118" customWidth="1"/>
    <col min="9733" max="9733" width="7.21875" style="1118" customWidth="1"/>
    <col min="9734" max="9734" width="15.33203125" style="1118" customWidth="1"/>
    <col min="9735" max="9735" width="19.88671875" style="1118" customWidth="1"/>
    <col min="9736" max="9736" width="11.6640625" style="1118" customWidth="1"/>
    <col min="9737" max="9737" width="24.88671875" style="1118" customWidth="1"/>
    <col min="9738" max="9738" width="18.44140625" style="1118" customWidth="1"/>
    <col min="9739" max="9984" width="8.88671875" style="1118"/>
    <col min="9985" max="9985" width="6.88671875" style="1118" customWidth="1"/>
    <col min="9986" max="9986" width="10.5546875" style="1118" customWidth="1"/>
    <col min="9987" max="9987" width="59.21875" style="1118" customWidth="1"/>
    <col min="9988" max="9988" width="14.33203125" style="1118" customWidth="1"/>
    <col min="9989" max="9989" width="7.21875" style="1118" customWidth="1"/>
    <col min="9990" max="9990" width="15.33203125" style="1118" customWidth="1"/>
    <col min="9991" max="9991" width="19.88671875" style="1118" customWidth="1"/>
    <col min="9992" max="9992" width="11.6640625" style="1118" customWidth="1"/>
    <col min="9993" max="9993" width="24.88671875" style="1118" customWidth="1"/>
    <col min="9994" max="9994" width="18.44140625" style="1118" customWidth="1"/>
    <col min="9995" max="10240" width="8.88671875" style="1118"/>
    <col min="10241" max="10241" width="6.88671875" style="1118" customWidth="1"/>
    <col min="10242" max="10242" width="10.5546875" style="1118" customWidth="1"/>
    <col min="10243" max="10243" width="59.21875" style="1118" customWidth="1"/>
    <col min="10244" max="10244" width="14.33203125" style="1118" customWidth="1"/>
    <col min="10245" max="10245" width="7.21875" style="1118" customWidth="1"/>
    <col min="10246" max="10246" width="15.33203125" style="1118" customWidth="1"/>
    <col min="10247" max="10247" width="19.88671875" style="1118" customWidth="1"/>
    <col min="10248" max="10248" width="11.6640625" style="1118" customWidth="1"/>
    <col min="10249" max="10249" width="24.88671875" style="1118" customWidth="1"/>
    <col min="10250" max="10250" width="18.44140625" style="1118" customWidth="1"/>
    <col min="10251" max="10496" width="8.88671875" style="1118"/>
    <col min="10497" max="10497" width="6.88671875" style="1118" customWidth="1"/>
    <col min="10498" max="10498" width="10.5546875" style="1118" customWidth="1"/>
    <col min="10499" max="10499" width="59.21875" style="1118" customWidth="1"/>
    <col min="10500" max="10500" width="14.33203125" style="1118" customWidth="1"/>
    <col min="10501" max="10501" width="7.21875" style="1118" customWidth="1"/>
    <col min="10502" max="10502" width="15.33203125" style="1118" customWidth="1"/>
    <col min="10503" max="10503" width="19.88671875" style="1118" customWidth="1"/>
    <col min="10504" max="10504" width="11.6640625" style="1118" customWidth="1"/>
    <col min="10505" max="10505" width="24.88671875" style="1118" customWidth="1"/>
    <col min="10506" max="10506" width="18.44140625" style="1118" customWidth="1"/>
    <col min="10507" max="10752" width="8.88671875" style="1118"/>
    <col min="10753" max="10753" width="6.88671875" style="1118" customWidth="1"/>
    <col min="10754" max="10754" width="10.5546875" style="1118" customWidth="1"/>
    <col min="10755" max="10755" width="59.21875" style="1118" customWidth="1"/>
    <col min="10756" max="10756" width="14.33203125" style="1118" customWidth="1"/>
    <col min="10757" max="10757" width="7.21875" style="1118" customWidth="1"/>
    <col min="10758" max="10758" width="15.33203125" style="1118" customWidth="1"/>
    <col min="10759" max="10759" width="19.88671875" style="1118" customWidth="1"/>
    <col min="10760" max="10760" width="11.6640625" style="1118" customWidth="1"/>
    <col min="10761" max="10761" width="24.88671875" style="1118" customWidth="1"/>
    <col min="10762" max="10762" width="18.44140625" style="1118" customWidth="1"/>
    <col min="10763" max="11008" width="8.88671875" style="1118"/>
    <col min="11009" max="11009" width="6.88671875" style="1118" customWidth="1"/>
    <col min="11010" max="11010" width="10.5546875" style="1118" customWidth="1"/>
    <col min="11011" max="11011" width="59.21875" style="1118" customWidth="1"/>
    <col min="11012" max="11012" width="14.33203125" style="1118" customWidth="1"/>
    <col min="11013" max="11013" width="7.21875" style="1118" customWidth="1"/>
    <col min="11014" max="11014" width="15.33203125" style="1118" customWidth="1"/>
    <col min="11015" max="11015" width="19.88671875" style="1118" customWidth="1"/>
    <col min="11016" max="11016" width="11.6640625" style="1118" customWidth="1"/>
    <col min="11017" max="11017" width="24.88671875" style="1118" customWidth="1"/>
    <col min="11018" max="11018" width="18.44140625" style="1118" customWidth="1"/>
    <col min="11019" max="11264" width="8.88671875" style="1118"/>
    <col min="11265" max="11265" width="6.88671875" style="1118" customWidth="1"/>
    <col min="11266" max="11266" width="10.5546875" style="1118" customWidth="1"/>
    <col min="11267" max="11267" width="59.21875" style="1118" customWidth="1"/>
    <col min="11268" max="11268" width="14.33203125" style="1118" customWidth="1"/>
    <col min="11269" max="11269" width="7.21875" style="1118" customWidth="1"/>
    <col min="11270" max="11270" width="15.33203125" style="1118" customWidth="1"/>
    <col min="11271" max="11271" width="19.88671875" style="1118" customWidth="1"/>
    <col min="11272" max="11272" width="11.6640625" style="1118" customWidth="1"/>
    <col min="11273" max="11273" width="24.88671875" style="1118" customWidth="1"/>
    <col min="11274" max="11274" width="18.44140625" style="1118" customWidth="1"/>
    <col min="11275" max="11520" width="8.88671875" style="1118"/>
    <col min="11521" max="11521" width="6.88671875" style="1118" customWidth="1"/>
    <col min="11522" max="11522" width="10.5546875" style="1118" customWidth="1"/>
    <col min="11523" max="11523" width="59.21875" style="1118" customWidth="1"/>
    <col min="11524" max="11524" width="14.33203125" style="1118" customWidth="1"/>
    <col min="11525" max="11525" width="7.21875" style="1118" customWidth="1"/>
    <col min="11526" max="11526" width="15.33203125" style="1118" customWidth="1"/>
    <col min="11527" max="11527" width="19.88671875" style="1118" customWidth="1"/>
    <col min="11528" max="11528" width="11.6640625" style="1118" customWidth="1"/>
    <col min="11529" max="11529" width="24.88671875" style="1118" customWidth="1"/>
    <col min="11530" max="11530" width="18.44140625" style="1118" customWidth="1"/>
    <col min="11531" max="11776" width="8.88671875" style="1118"/>
    <col min="11777" max="11777" width="6.88671875" style="1118" customWidth="1"/>
    <col min="11778" max="11778" width="10.5546875" style="1118" customWidth="1"/>
    <col min="11779" max="11779" width="59.21875" style="1118" customWidth="1"/>
    <col min="11780" max="11780" width="14.33203125" style="1118" customWidth="1"/>
    <col min="11781" max="11781" width="7.21875" style="1118" customWidth="1"/>
    <col min="11782" max="11782" width="15.33203125" style="1118" customWidth="1"/>
    <col min="11783" max="11783" width="19.88671875" style="1118" customWidth="1"/>
    <col min="11784" max="11784" width="11.6640625" style="1118" customWidth="1"/>
    <col min="11785" max="11785" width="24.88671875" style="1118" customWidth="1"/>
    <col min="11786" max="11786" width="18.44140625" style="1118" customWidth="1"/>
    <col min="11787" max="12032" width="8.88671875" style="1118"/>
    <col min="12033" max="12033" width="6.88671875" style="1118" customWidth="1"/>
    <col min="12034" max="12034" width="10.5546875" style="1118" customWidth="1"/>
    <col min="12035" max="12035" width="59.21875" style="1118" customWidth="1"/>
    <col min="12036" max="12036" width="14.33203125" style="1118" customWidth="1"/>
    <col min="12037" max="12037" width="7.21875" style="1118" customWidth="1"/>
    <col min="12038" max="12038" width="15.33203125" style="1118" customWidth="1"/>
    <col min="12039" max="12039" width="19.88671875" style="1118" customWidth="1"/>
    <col min="12040" max="12040" width="11.6640625" style="1118" customWidth="1"/>
    <col min="12041" max="12041" width="24.88671875" style="1118" customWidth="1"/>
    <col min="12042" max="12042" width="18.44140625" style="1118" customWidth="1"/>
    <col min="12043" max="12288" width="8.88671875" style="1118"/>
    <col min="12289" max="12289" width="6.88671875" style="1118" customWidth="1"/>
    <col min="12290" max="12290" width="10.5546875" style="1118" customWidth="1"/>
    <col min="12291" max="12291" width="59.21875" style="1118" customWidth="1"/>
    <col min="12292" max="12292" width="14.33203125" style="1118" customWidth="1"/>
    <col min="12293" max="12293" width="7.21875" style="1118" customWidth="1"/>
    <col min="12294" max="12294" width="15.33203125" style="1118" customWidth="1"/>
    <col min="12295" max="12295" width="19.88671875" style="1118" customWidth="1"/>
    <col min="12296" max="12296" width="11.6640625" style="1118" customWidth="1"/>
    <col min="12297" max="12297" width="24.88671875" style="1118" customWidth="1"/>
    <col min="12298" max="12298" width="18.44140625" style="1118" customWidth="1"/>
    <col min="12299" max="12544" width="8.88671875" style="1118"/>
    <col min="12545" max="12545" width="6.88671875" style="1118" customWidth="1"/>
    <col min="12546" max="12546" width="10.5546875" style="1118" customWidth="1"/>
    <col min="12547" max="12547" width="59.21875" style="1118" customWidth="1"/>
    <col min="12548" max="12548" width="14.33203125" style="1118" customWidth="1"/>
    <col min="12549" max="12549" width="7.21875" style="1118" customWidth="1"/>
    <col min="12550" max="12550" width="15.33203125" style="1118" customWidth="1"/>
    <col min="12551" max="12551" width="19.88671875" style="1118" customWidth="1"/>
    <col min="12552" max="12552" width="11.6640625" style="1118" customWidth="1"/>
    <col min="12553" max="12553" width="24.88671875" style="1118" customWidth="1"/>
    <col min="12554" max="12554" width="18.44140625" style="1118" customWidth="1"/>
    <col min="12555" max="12800" width="8.88671875" style="1118"/>
    <col min="12801" max="12801" width="6.88671875" style="1118" customWidth="1"/>
    <col min="12802" max="12802" width="10.5546875" style="1118" customWidth="1"/>
    <col min="12803" max="12803" width="59.21875" style="1118" customWidth="1"/>
    <col min="12804" max="12804" width="14.33203125" style="1118" customWidth="1"/>
    <col min="12805" max="12805" width="7.21875" style="1118" customWidth="1"/>
    <col min="12806" max="12806" width="15.33203125" style="1118" customWidth="1"/>
    <col min="12807" max="12807" width="19.88671875" style="1118" customWidth="1"/>
    <col min="12808" max="12808" width="11.6640625" style="1118" customWidth="1"/>
    <col min="12809" max="12809" width="24.88671875" style="1118" customWidth="1"/>
    <col min="12810" max="12810" width="18.44140625" style="1118" customWidth="1"/>
    <col min="12811" max="13056" width="8.88671875" style="1118"/>
    <col min="13057" max="13057" width="6.88671875" style="1118" customWidth="1"/>
    <col min="13058" max="13058" width="10.5546875" style="1118" customWidth="1"/>
    <col min="13059" max="13059" width="59.21875" style="1118" customWidth="1"/>
    <col min="13060" max="13060" width="14.33203125" style="1118" customWidth="1"/>
    <col min="13061" max="13061" width="7.21875" style="1118" customWidth="1"/>
    <col min="13062" max="13062" width="15.33203125" style="1118" customWidth="1"/>
    <col min="13063" max="13063" width="19.88671875" style="1118" customWidth="1"/>
    <col min="13064" max="13064" width="11.6640625" style="1118" customWidth="1"/>
    <col min="13065" max="13065" width="24.88671875" style="1118" customWidth="1"/>
    <col min="13066" max="13066" width="18.44140625" style="1118" customWidth="1"/>
    <col min="13067" max="13312" width="8.88671875" style="1118"/>
    <col min="13313" max="13313" width="6.88671875" style="1118" customWidth="1"/>
    <col min="13314" max="13314" width="10.5546875" style="1118" customWidth="1"/>
    <col min="13315" max="13315" width="59.21875" style="1118" customWidth="1"/>
    <col min="13316" max="13316" width="14.33203125" style="1118" customWidth="1"/>
    <col min="13317" max="13317" width="7.21875" style="1118" customWidth="1"/>
    <col min="13318" max="13318" width="15.33203125" style="1118" customWidth="1"/>
    <col min="13319" max="13319" width="19.88671875" style="1118" customWidth="1"/>
    <col min="13320" max="13320" width="11.6640625" style="1118" customWidth="1"/>
    <col min="13321" max="13321" width="24.88671875" style="1118" customWidth="1"/>
    <col min="13322" max="13322" width="18.44140625" style="1118" customWidth="1"/>
    <col min="13323" max="13568" width="8.88671875" style="1118"/>
    <col min="13569" max="13569" width="6.88671875" style="1118" customWidth="1"/>
    <col min="13570" max="13570" width="10.5546875" style="1118" customWidth="1"/>
    <col min="13571" max="13571" width="59.21875" style="1118" customWidth="1"/>
    <col min="13572" max="13572" width="14.33203125" style="1118" customWidth="1"/>
    <col min="13573" max="13573" width="7.21875" style="1118" customWidth="1"/>
    <col min="13574" max="13574" width="15.33203125" style="1118" customWidth="1"/>
    <col min="13575" max="13575" width="19.88671875" style="1118" customWidth="1"/>
    <col min="13576" max="13576" width="11.6640625" style="1118" customWidth="1"/>
    <col min="13577" max="13577" width="24.88671875" style="1118" customWidth="1"/>
    <col min="13578" max="13578" width="18.44140625" style="1118" customWidth="1"/>
    <col min="13579" max="13824" width="8.88671875" style="1118"/>
    <col min="13825" max="13825" width="6.88671875" style="1118" customWidth="1"/>
    <col min="13826" max="13826" width="10.5546875" style="1118" customWidth="1"/>
    <col min="13827" max="13827" width="59.21875" style="1118" customWidth="1"/>
    <col min="13828" max="13828" width="14.33203125" style="1118" customWidth="1"/>
    <col min="13829" max="13829" width="7.21875" style="1118" customWidth="1"/>
    <col min="13830" max="13830" width="15.33203125" style="1118" customWidth="1"/>
    <col min="13831" max="13831" width="19.88671875" style="1118" customWidth="1"/>
    <col min="13832" max="13832" width="11.6640625" style="1118" customWidth="1"/>
    <col min="13833" max="13833" width="24.88671875" style="1118" customWidth="1"/>
    <col min="13834" max="13834" width="18.44140625" style="1118" customWidth="1"/>
    <col min="13835" max="14080" width="8.88671875" style="1118"/>
    <col min="14081" max="14081" width="6.88671875" style="1118" customWidth="1"/>
    <col min="14082" max="14082" width="10.5546875" style="1118" customWidth="1"/>
    <col min="14083" max="14083" width="59.21875" style="1118" customWidth="1"/>
    <col min="14084" max="14084" width="14.33203125" style="1118" customWidth="1"/>
    <col min="14085" max="14085" width="7.21875" style="1118" customWidth="1"/>
    <col min="14086" max="14086" width="15.33203125" style="1118" customWidth="1"/>
    <col min="14087" max="14087" width="19.88671875" style="1118" customWidth="1"/>
    <col min="14088" max="14088" width="11.6640625" style="1118" customWidth="1"/>
    <col min="14089" max="14089" width="24.88671875" style="1118" customWidth="1"/>
    <col min="14090" max="14090" width="18.44140625" style="1118" customWidth="1"/>
    <col min="14091" max="14336" width="8.88671875" style="1118"/>
    <col min="14337" max="14337" width="6.88671875" style="1118" customWidth="1"/>
    <col min="14338" max="14338" width="10.5546875" style="1118" customWidth="1"/>
    <col min="14339" max="14339" width="59.21875" style="1118" customWidth="1"/>
    <col min="14340" max="14340" width="14.33203125" style="1118" customWidth="1"/>
    <col min="14341" max="14341" width="7.21875" style="1118" customWidth="1"/>
    <col min="14342" max="14342" width="15.33203125" style="1118" customWidth="1"/>
    <col min="14343" max="14343" width="19.88671875" style="1118" customWidth="1"/>
    <col min="14344" max="14344" width="11.6640625" style="1118" customWidth="1"/>
    <col min="14345" max="14345" width="24.88671875" style="1118" customWidth="1"/>
    <col min="14346" max="14346" width="18.44140625" style="1118" customWidth="1"/>
    <col min="14347" max="14592" width="8.88671875" style="1118"/>
    <col min="14593" max="14593" width="6.88671875" style="1118" customWidth="1"/>
    <col min="14594" max="14594" width="10.5546875" style="1118" customWidth="1"/>
    <col min="14595" max="14595" width="59.21875" style="1118" customWidth="1"/>
    <col min="14596" max="14596" width="14.33203125" style="1118" customWidth="1"/>
    <col min="14597" max="14597" width="7.21875" style="1118" customWidth="1"/>
    <col min="14598" max="14598" width="15.33203125" style="1118" customWidth="1"/>
    <col min="14599" max="14599" width="19.88671875" style="1118" customWidth="1"/>
    <col min="14600" max="14600" width="11.6640625" style="1118" customWidth="1"/>
    <col min="14601" max="14601" width="24.88671875" style="1118" customWidth="1"/>
    <col min="14602" max="14602" width="18.44140625" style="1118" customWidth="1"/>
    <col min="14603" max="14848" width="8.88671875" style="1118"/>
    <col min="14849" max="14849" width="6.88671875" style="1118" customWidth="1"/>
    <col min="14850" max="14850" width="10.5546875" style="1118" customWidth="1"/>
    <col min="14851" max="14851" width="59.21875" style="1118" customWidth="1"/>
    <col min="14852" max="14852" width="14.33203125" style="1118" customWidth="1"/>
    <col min="14853" max="14853" width="7.21875" style="1118" customWidth="1"/>
    <col min="14854" max="14854" width="15.33203125" style="1118" customWidth="1"/>
    <col min="14855" max="14855" width="19.88671875" style="1118" customWidth="1"/>
    <col min="14856" max="14856" width="11.6640625" style="1118" customWidth="1"/>
    <col min="14857" max="14857" width="24.88671875" style="1118" customWidth="1"/>
    <col min="14858" max="14858" width="18.44140625" style="1118" customWidth="1"/>
    <col min="14859" max="15104" width="8.88671875" style="1118"/>
    <col min="15105" max="15105" width="6.88671875" style="1118" customWidth="1"/>
    <col min="15106" max="15106" width="10.5546875" style="1118" customWidth="1"/>
    <col min="15107" max="15107" width="59.21875" style="1118" customWidth="1"/>
    <col min="15108" max="15108" width="14.33203125" style="1118" customWidth="1"/>
    <col min="15109" max="15109" width="7.21875" style="1118" customWidth="1"/>
    <col min="15110" max="15110" width="15.33203125" style="1118" customWidth="1"/>
    <col min="15111" max="15111" width="19.88671875" style="1118" customWidth="1"/>
    <col min="15112" max="15112" width="11.6640625" style="1118" customWidth="1"/>
    <col min="15113" max="15113" width="24.88671875" style="1118" customWidth="1"/>
    <col min="15114" max="15114" width="18.44140625" style="1118" customWidth="1"/>
    <col min="15115" max="15360" width="8.88671875" style="1118"/>
    <col min="15361" max="15361" width="6.88671875" style="1118" customWidth="1"/>
    <col min="15362" max="15362" width="10.5546875" style="1118" customWidth="1"/>
    <col min="15363" max="15363" width="59.21875" style="1118" customWidth="1"/>
    <col min="15364" max="15364" width="14.33203125" style="1118" customWidth="1"/>
    <col min="15365" max="15365" width="7.21875" style="1118" customWidth="1"/>
    <col min="15366" max="15366" width="15.33203125" style="1118" customWidth="1"/>
    <col min="15367" max="15367" width="19.88671875" style="1118" customWidth="1"/>
    <col min="15368" max="15368" width="11.6640625" style="1118" customWidth="1"/>
    <col min="15369" max="15369" width="24.88671875" style="1118" customWidth="1"/>
    <col min="15370" max="15370" width="18.44140625" style="1118" customWidth="1"/>
    <col min="15371" max="15616" width="8.88671875" style="1118"/>
    <col min="15617" max="15617" width="6.88671875" style="1118" customWidth="1"/>
    <col min="15618" max="15618" width="10.5546875" style="1118" customWidth="1"/>
    <col min="15619" max="15619" width="59.21875" style="1118" customWidth="1"/>
    <col min="15620" max="15620" width="14.33203125" style="1118" customWidth="1"/>
    <col min="15621" max="15621" width="7.21875" style="1118" customWidth="1"/>
    <col min="15622" max="15622" width="15.33203125" style="1118" customWidth="1"/>
    <col min="15623" max="15623" width="19.88671875" style="1118" customWidth="1"/>
    <col min="15624" max="15624" width="11.6640625" style="1118" customWidth="1"/>
    <col min="15625" max="15625" width="24.88671875" style="1118" customWidth="1"/>
    <col min="15626" max="15626" width="18.44140625" style="1118" customWidth="1"/>
    <col min="15627" max="15872" width="8.88671875" style="1118"/>
    <col min="15873" max="15873" width="6.88671875" style="1118" customWidth="1"/>
    <col min="15874" max="15874" width="10.5546875" style="1118" customWidth="1"/>
    <col min="15875" max="15875" width="59.21875" style="1118" customWidth="1"/>
    <col min="15876" max="15876" width="14.33203125" style="1118" customWidth="1"/>
    <col min="15877" max="15877" width="7.21875" style="1118" customWidth="1"/>
    <col min="15878" max="15878" width="15.33203125" style="1118" customWidth="1"/>
    <col min="15879" max="15879" width="19.88671875" style="1118" customWidth="1"/>
    <col min="15880" max="15880" width="11.6640625" style="1118" customWidth="1"/>
    <col min="15881" max="15881" width="24.88671875" style="1118" customWidth="1"/>
    <col min="15882" max="15882" width="18.44140625" style="1118" customWidth="1"/>
    <col min="15883" max="16128" width="8.88671875" style="1118"/>
    <col min="16129" max="16129" width="6.88671875" style="1118" customWidth="1"/>
    <col min="16130" max="16130" width="10.5546875" style="1118" customWidth="1"/>
    <col min="16131" max="16131" width="59.21875" style="1118" customWidth="1"/>
    <col min="16132" max="16132" width="14.33203125" style="1118" customWidth="1"/>
    <col min="16133" max="16133" width="7.21875" style="1118" customWidth="1"/>
    <col min="16134" max="16134" width="15.33203125" style="1118" customWidth="1"/>
    <col min="16135" max="16135" width="19.88671875" style="1118" customWidth="1"/>
    <col min="16136" max="16136" width="11.6640625" style="1118" customWidth="1"/>
    <col min="16137" max="16137" width="24.88671875" style="1118" customWidth="1"/>
    <col min="16138" max="16138" width="18.44140625" style="1118" customWidth="1"/>
    <col min="16139" max="16384" width="8.88671875" style="1118"/>
  </cols>
  <sheetData>
    <row r="1" spans="1:6" ht="73.5" customHeight="1">
      <c r="A1" s="1274" t="str">
        <f>'G. Abstract'!A2:F2</f>
        <v>Name of Work: Construction of DSP camp office cum Residence with development works at Cuddalore New town in Cuddalore District</v>
      </c>
      <c r="B1" s="1274"/>
      <c r="C1" s="1274"/>
      <c r="D1" s="1274"/>
      <c r="E1" s="1274"/>
      <c r="F1" s="1274"/>
    </row>
    <row r="2" spans="1:6" ht="32.25" customHeight="1">
      <c r="A2" s="1275" t="s">
        <v>6854</v>
      </c>
      <c r="B2" s="1275"/>
      <c r="C2" s="1275"/>
      <c r="D2" s="1275"/>
      <c r="E2" s="1275"/>
      <c r="F2" s="1275"/>
    </row>
    <row r="3" spans="1:6" s="1122" customFormat="1" ht="33" customHeight="1">
      <c r="A3" s="1119" t="s">
        <v>6855</v>
      </c>
      <c r="B3" s="1120" t="s">
        <v>2103</v>
      </c>
      <c r="C3" s="1121" t="s">
        <v>1769</v>
      </c>
      <c r="D3" s="1120" t="s">
        <v>97</v>
      </c>
      <c r="E3" s="1120" t="s">
        <v>221</v>
      </c>
      <c r="F3" s="1120" t="s">
        <v>970</v>
      </c>
    </row>
    <row r="4" spans="1:6" ht="218.25" customHeight="1">
      <c r="A4" s="1123">
        <v>1</v>
      </c>
      <c r="B4" s="1124"/>
      <c r="C4" s="1125" t="s">
        <v>6791</v>
      </c>
      <c r="D4" s="1124"/>
      <c r="E4" s="1124" t="s">
        <v>971</v>
      </c>
      <c r="F4" s="1126"/>
    </row>
    <row r="5" spans="1:6" ht="33.75" customHeight="1">
      <c r="A5" s="1123"/>
      <c r="B5" s="1124">
        <f>building!S6</f>
        <v>236.6</v>
      </c>
      <c r="C5" s="1125" t="s">
        <v>1969</v>
      </c>
      <c r="D5" s="1124">
        <f>building!C6</f>
        <v>237.08</v>
      </c>
      <c r="E5" s="1124" t="s">
        <v>1192</v>
      </c>
      <c r="F5" s="1126">
        <f>D5*B5</f>
        <v>56093.13</v>
      </c>
    </row>
    <row r="6" spans="1:6" ht="33.75" hidden="1" customHeight="1">
      <c r="A6" s="1123"/>
      <c r="B6" s="1124"/>
      <c r="C6" s="1125" t="s">
        <v>719</v>
      </c>
      <c r="D6" s="1124">
        <f>building!C7</f>
        <v>247.63</v>
      </c>
      <c r="E6" s="1124" t="s">
        <v>1192</v>
      </c>
      <c r="F6" s="1126"/>
    </row>
    <row r="7" spans="1:6" ht="160.5" customHeight="1">
      <c r="A7" s="1123">
        <v>2</v>
      </c>
      <c r="B7" s="1124"/>
      <c r="C7" s="1125" t="s">
        <v>6792</v>
      </c>
      <c r="D7" s="1124"/>
      <c r="E7" s="1124" t="s">
        <v>971</v>
      </c>
      <c r="F7" s="1126"/>
    </row>
    <row r="8" spans="1:6" ht="31.5" customHeight="1">
      <c r="A8" s="1123"/>
      <c r="B8" s="1124">
        <f>building!S18</f>
        <v>197.48</v>
      </c>
      <c r="C8" s="1125" t="s">
        <v>1969</v>
      </c>
      <c r="D8" s="1124">
        <f>building!C18</f>
        <v>112.05</v>
      </c>
      <c r="E8" s="1124" t="s">
        <v>1192</v>
      </c>
      <c r="F8" s="1126">
        <f>D8*B8</f>
        <v>22127.63</v>
      </c>
    </row>
    <row r="9" spans="1:6" ht="31.5" hidden="1" customHeight="1">
      <c r="A9" s="1123"/>
      <c r="B9" s="1124"/>
      <c r="C9" s="1125" t="s">
        <v>719</v>
      </c>
      <c r="D9" s="1124">
        <f>building!S19</f>
        <v>0</v>
      </c>
      <c r="E9" s="1124" t="s">
        <v>1192</v>
      </c>
      <c r="F9" s="1126">
        <f>D9*B9</f>
        <v>0</v>
      </c>
    </row>
    <row r="10" spans="1:6" ht="60" customHeight="1">
      <c r="A10" s="1123">
        <v>3</v>
      </c>
      <c r="B10" s="1124"/>
      <c r="C10" s="1125" t="str">
        <f>building!B22</f>
        <v>Earth work excavation for Open foundation  for drains (excluding refilling) width  upto 1.25 m</v>
      </c>
      <c r="D10" s="1124"/>
      <c r="E10" s="1124"/>
      <c r="F10" s="1126"/>
    </row>
    <row r="11" spans="1:6" ht="31.5" customHeight="1">
      <c r="A11" s="1123"/>
      <c r="B11" s="1124">
        <f>building!S23</f>
        <v>18</v>
      </c>
      <c r="C11" s="1125" t="str">
        <f>C8</f>
        <v>a. 0 to 2 mt.</v>
      </c>
      <c r="D11" s="1124">
        <f>building!C23</f>
        <v>168.08</v>
      </c>
      <c r="E11" s="1124"/>
      <c r="F11" s="1126">
        <f>D11*B11</f>
        <v>3025.44</v>
      </c>
    </row>
    <row r="12" spans="1:6" ht="117" customHeight="1">
      <c r="A12" s="1123">
        <f>A10+1</f>
        <v>4</v>
      </c>
      <c r="B12" s="1124">
        <f>building!S38</f>
        <v>136.4</v>
      </c>
      <c r="C12" s="1125" t="s">
        <v>6856</v>
      </c>
      <c r="D12" s="1124">
        <f>building!C38</f>
        <v>1880.3</v>
      </c>
      <c r="E12" s="1124" t="s">
        <v>1192</v>
      </c>
      <c r="F12" s="1126">
        <f t="shared" ref="F12:F16" si="0">D12*B12</f>
        <v>256472.92</v>
      </c>
    </row>
    <row r="13" spans="1:6" ht="147.75" customHeight="1">
      <c r="A13" s="1123">
        <f>A12+1</f>
        <v>5</v>
      </c>
      <c r="B13" s="1124">
        <f>building!S45</f>
        <v>109.08</v>
      </c>
      <c r="C13" s="1125" t="s">
        <v>6793</v>
      </c>
      <c r="D13" s="1124">
        <f>building!C45</f>
        <v>5158.8100000000004</v>
      </c>
      <c r="E13" s="1124" t="s">
        <v>1192</v>
      </c>
      <c r="F13" s="1126">
        <f t="shared" si="0"/>
        <v>562722.99</v>
      </c>
    </row>
    <row r="14" spans="1:6" ht="150.75" customHeight="1">
      <c r="A14" s="1123">
        <f t="shared" ref="A14:A17" si="1">A13+1</f>
        <v>6</v>
      </c>
      <c r="B14" s="1124">
        <f>building!S46</f>
        <v>36.36</v>
      </c>
      <c r="C14" s="1125" t="s">
        <v>6794</v>
      </c>
      <c r="D14" s="1124">
        <f>building!C46</f>
        <v>6710.27</v>
      </c>
      <c r="E14" s="1124" t="s">
        <v>1192</v>
      </c>
      <c r="F14" s="1126">
        <f t="shared" si="0"/>
        <v>243985.42</v>
      </c>
    </row>
    <row r="15" spans="1:6" ht="150" customHeight="1">
      <c r="A15" s="1123">
        <f>A14+1</f>
        <v>7</v>
      </c>
      <c r="B15" s="1124">
        <f>building!S534</f>
        <v>57.05</v>
      </c>
      <c r="C15" s="1125" t="s">
        <v>6825</v>
      </c>
      <c r="D15" s="1124">
        <f>building!C534</f>
        <v>7053.64</v>
      </c>
      <c r="E15" s="1124" t="s">
        <v>1192</v>
      </c>
      <c r="F15" s="1126">
        <f t="shared" si="0"/>
        <v>402410.16</v>
      </c>
    </row>
    <row r="16" spans="1:6" ht="140.25" customHeight="1">
      <c r="A16" s="1123">
        <f t="shared" si="1"/>
        <v>8</v>
      </c>
      <c r="B16" s="1124">
        <f>building!S62</f>
        <v>34.07</v>
      </c>
      <c r="C16" s="1125" t="s">
        <v>6564</v>
      </c>
      <c r="D16" s="1124">
        <f>building!C62</f>
        <v>719</v>
      </c>
      <c r="E16" s="1124" t="s">
        <v>1834</v>
      </c>
      <c r="F16" s="1126">
        <f t="shared" si="0"/>
        <v>24496.33</v>
      </c>
    </row>
    <row r="17" spans="1:6" ht="171" customHeight="1">
      <c r="A17" s="1123">
        <f t="shared" si="1"/>
        <v>9</v>
      </c>
      <c r="B17" s="1124"/>
      <c r="C17" s="1125" t="s">
        <v>6826</v>
      </c>
      <c r="D17" s="1124"/>
      <c r="E17" s="1124"/>
      <c r="F17" s="1126"/>
    </row>
    <row r="18" spans="1:6" ht="35.25" customHeight="1">
      <c r="A18" s="1123"/>
      <c r="B18" s="1124">
        <f>building!S536</f>
        <v>44.33</v>
      </c>
      <c r="C18" s="1125" t="s">
        <v>201</v>
      </c>
      <c r="D18" s="1124">
        <f>building!C536</f>
        <v>7060.05</v>
      </c>
      <c r="E18" s="1124" t="s">
        <v>1192</v>
      </c>
      <c r="F18" s="1126">
        <f>D18*B18</f>
        <v>312972.02</v>
      </c>
    </row>
    <row r="19" spans="1:6" ht="35.25" customHeight="1">
      <c r="A19" s="1123"/>
      <c r="B19" s="1124">
        <f>building!S537</f>
        <v>41.4</v>
      </c>
      <c r="C19" s="1125" t="s">
        <v>202</v>
      </c>
      <c r="D19" s="1124">
        <f>building!C537</f>
        <v>7219.25</v>
      </c>
      <c r="E19" s="1124" t="s">
        <v>1192</v>
      </c>
      <c r="F19" s="1126">
        <f>D19*B19</f>
        <v>298876.95</v>
      </c>
    </row>
    <row r="20" spans="1:6" ht="35.25" customHeight="1">
      <c r="A20" s="1123"/>
      <c r="B20" s="1124">
        <f>building!S538</f>
        <v>18.2</v>
      </c>
      <c r="C20" s="1125" t="s">
        <v>203</v>
      </c>
      <c r="D20" s="1124">
        <f>building!C538</f>
        <v>7378.45</v>
      </c>
      <c r="E20" s="1124" t="s">
        <v>1192</v>
      </c>
      <c r="F20" s="1126">
        <f>D20*B20</f>
        <v>134287.79</v>
      </c>
    </row>
    <row r="21" spans="1:6" ht="35.25" hidden="1" customHeight="1">
      <c r="A21" s="1123"/>
      <c r="B21" s="1124">
        <f>building!S539</f>
        <v>0</v>
      </c>
      <c r="C21" s="1125" t="s">
        <v>204</v>
      </c>
      <c r="D21" s="1124">
        <f>building!C539</f>
        <v>7537.65</v>
      </c>
      <c r="E21" s="1124" t="s">
        <v>1192</v>
      </c>
      <c r="F21" s="1126">
        <f>D21*B21</f>
        <v>0</v>
      </c>
    </row>
    <row r="22" spans="1:6" ht="153.75" customHeight="1">
      <c r="A22" s="1123">
        <f>A17+1</f>
        <v>10</v>
      </c>
      <c r="B22" s="1124"/>
      <c r="C22" s="1125" t="s">
        <v>6857</v>
      </c>
      <c r="D22" s="1124"/>
      <c r="E22" s="1124"/>
      <c r="F22" s="1126"/>
    </row>
    <row r="23" spans="1:6" ht="35.25" customHeight="1">
      <c r="A23" s="1123"/>
      <c r="B23" s="1124">
        <f>building!S543</f>
        <v>46.75</v>
      </c>
      <c r="C23" s="1125" t="s">
        <v>541</v>
      </c>
      <c r="D23" s="1124">
        <f>building!C543</f>
        <v>887.76</v>
      </c>
      <c r="E23" s="1124" t="s">
        <v>1834</v>
      </c>
      <c r="F23" s="1126">
        <f t="shared" ref="F23:F28" si="2">D23*B23</f>
        <v>41502.78</v>
      </c>
    </row>
    <row r="24" spans="1:6" ht="35.25" customHeight="1">
      <c r="A24" s="1123"/>
      <c r="B24" s="1124">
        <f>building!S544</f>
        <v>182.78</v>
      </c>
      <c r="C24" s="1125" t="s">
        <v>542</v>
      </c>
      <c r="D24" s="1124">
        <f>building!C544</f>
        <v>896.44</v>
      </c>
      <c r="E24" s="1124" t="s">
        <v>1834</v>
      </c>
      <c r="F24" s="1126">
        <f t="shared" si="2"/>
        <v>163851.29999999999</v>
      </c>
    </row>
    <row r="25" spans="1:6" ht="35.25" customHeight="1">
      <c r="A25" s="1123"/>
      <c r="B25" s="1124">
        <f>building!S545</f>
        <v>107.5</v>
      </c>
      <c r="C25" s="1125" t="s">
        <v>544</v>
      </c>
      <c r="D25" s="1124">
        <f>building!C545</f>
        <v>913.95</v>
      </c>
      <c r="E25" s="1124" t="s">
        <v>1834</v>
      </c>
      <c r="F25" s="1126">
        <f t="shared" si="2"/>
        <v>98249.63</v>
      </c>
    </row>
    <row r="26" spans="1:6" ht="35.25" customHeight="1">
      <c r="A26" s="1123"/>
      <c r="B26" s="1124">
        <f>building!S546</f>
        <v>7.4</v>
      </c>
      <c r="C26" s="1125" t="s">
        <v>1798</v>
      </c>
      <c r="D26" s="1124">
        <f>building!C546</f>
        <v>931.46</v>
      </c>
      <c r="E26" s="1124" t="s">
        <v>1834</v>
      </c>
      <c r="F26" s="1126">
        <f t="shared" si="2"/>
        <v>6892.8</v>
      </c>
    </row>
    <row r="27" spans="1:6" ht="33.75" hidden="1" customHeight="1">
      <c r="A27" s="1123"/>
      <c r="B27" s="1124">
        <f>building!S547</f>
        <v>0</v>
      </c>
      <c r="C27" s="1125" t="s">
        <v>2205</v>
      </c>
      <c r="D27" s="1124">
        <f>building!C547</f>
        <v>948.97</v>
      </c>
      <c r="E27" s="1124" t="s">
        <v>1834</v>
      </c>
      <c r="F27" s="1126">
        <f t="shared" si="2"/>
        <v>0</v>
      </c>
    </row>
    <row r="28" spans="1:6" ht="33.75" hidden="1" customHeight="1">
      <c r="A28" s="1123"/>
      <c r="B28" s="1124">
        <f>building!S548</f>
        <v>0</v>
      </c>
      <c r="C28" s="1125" t="s">
        <v>1060</v>
      </c>
      <c r="D28" s="1124">
        <f>building!C548</f>
        <v>966.48</v>
      </c>
      <c r="E28" s="1124" t="s">
        <v>1834</v>
      </c>
      <c r="F28" s="1126">
        <f t="shared" si="2"/>
        <v>0</v>
      </c>
    </row>
    <row r="29" spans="1:6" ht="166.5" customHeight="1">
      <c r="A29" s="1123">
        <f>A22+1</f>
        <v>11</v>
      </c>
      <c r="B29" s="1124"/>
      <c r="C29" s="1125" t="s">
        <v>6827</v>
      </c>
      <c r="D29" s="1124"/>
      <c r="E29" s="1124"/>
      <c r="F29" s="1126"/>
    </row>
    <row r="30" spans="1:6" ht="36.75" customHeight="1">
      <c r="A30" s="1123"/>
      <c r="B30" s="1124">
        <f>building!S551</f>
        <v>12.3</v>
      </c>
      <c r="C30" s="1125" t="s">
        <v>201</v>
      </c>
      <c r="D30" s="1124">
        <f>building!C551</f>
        <v>606.79</v>
      </c>
      <c r="E30" s="1124" t="s">
        <v>1834</v>
      </c>
      <c r="F30" s="1126">
        <f>D30*B30</f>
        <v>7463.52</v>
      </c>
    </row>
    <row r="31" spans="1:6" ht="30.75" customHeight="1">
      <c r="A31" s="1123"/>
      <c r="B31" s="1124">
        <f>building!S552</f>
        <v>13.4</v>
      </c>
      <c r="C31" s="1125" t="s">
        <v>202</v>
      </c>
      <c r="D31" s="1124">
        <f>building!C552</f>
        <v>617.92999999999995</v>
      </c>
      <c r="E31" s="1124" t="s">
        <v>1834</v>
      </c>
      <c r="F31" s="1126">
        <f>D31*B31</f>
        <v>8280.26</v>
      </c>
    </row>
    <row r="32" spans="1:6" ht="30.75" hidden="1" customHeight="1">
      <c r="A32" s="1123"/>
      <c r="B32" s="1124">
        <f>building!S553</f>
        <v>0</v>
      </c>
      <c r="C32" s="1125" t="s">
        <v>203</v>
      </c>
      <c r="D32" s="1124">
        <f>building!C553</f>
        <v>629.07000000000005</v>
      </c>
      <c r="E32" s="1124" t="s">
        <v>1834</v>
      </c>
      <c r="F32" s="1126">
        <f>D32*B32</f>
        <v>0</v>
      </c>
    </row>
    <row r="33" spans="1:6" ht="108" customHeight="1">
      <c r="A33" s="1123">
        <f>A29+1</f>
        <v>12</v>
      </c>
      <c r="B33" s="1124">
        <f>building!S229</f>
        <v>50.4</v>
      </c>
      <c r="C33" s="1125" t="s">
        <v>6795</v>
      </c>
      <c r="D33" s="1124">
        <f>building!C229</f>
        <v>38.950000000000003</v>
      </c>
      <c r="E33" s="1124" t="s">
        <v>1192</v>
      </c>
      <c r="F33" s="1126">
        <f>D33*B33</f>
        <v>1963.08</v>
      </c>
    </row>
    <row r="34" spans="1:6" ht="138.75" customHeight="1">
      <c r="A34" s="1123">
        <f>A33+1</f>
        <v>13</v>
      </c>
      <c r="B34" s="1124"/>
      <c r="C34" s="1125" t="s">
        <v>6796</v>
      </c>
      <c r="D34" s="1124"/>
      <c r="E34" s="1124"/>
      <c r="F34" s="1126"/>
    </row>
    <row r="35" spans="1:6" ht="36" customHeight="1">
      <c r="A35" s="1123"/>
      <c r="B35" s="1127">
        <f>building!S290</f>
        <v>0.505</v>
      </c>
      <c r="C35" s="1125" t="s">
        <v>1775</v>
      </c>
      <c r="D35" s="1124">
        <f>building!C290</f>
        <v>125290</v>
      </c>
      <c r="E35" s="1124" t="s">
        <v>1192</v>
      </c>
      <c r="F35" s="1126">
        <f>D35*B35</f>
        <v>63271.45</v>
      </c>
    </row>
    <row r="36" spans="1:6" ht="36" customHeight="1">
      <c r="A36" s="1123"/>
      <c r="B36" s="1127">
        <f>building!S291</f>
        <v>0.28399999999999997</v>
      </c>
      <c r="C36" s="1125" t="s">
        <v>1776</v>
      </c>
      <c r="D36" s="1124">
        <f>building!C291</f>
        <v>113090</v>
      </c>
      <c r="E36" s="1124" t="s">
        <v>1192</v>
      </c>
      <c r="F36" s="1126">
        <f>D36*B36</f>
        <v>32117.56</v>
      </c>
    </row>
    <row r="37" spans="1:6" ht="36" customHeight="1">
      <c r="A37" s="1123">
        <f>A34+1</f>
        <v>14</v>
      </c>
      <c r="B37" s="1127">
        <f>building!S307</f>
        <v>14</v>
      </c>
      <c r="C37" s="1125" t="str">
        <f>building!B307</f>
        <v>S&amp;F of Magnetic door catches</v>
      </c>
      <c r="D37" s="1124">
        <f>building!C307</f>
        <v>52</v>
      </c>
      <c r="E37" s="1124" t="s">
        <v>766</v>
      </c>
      <c r="F37" s="1126">
        <f>D37*B37</f>
        <v>728</v>
      </c>
    </row>
    <row r="38" spans="1:6" ht="69" customHeight="1">
      <c r="A38" s="1123">
        <f>A37+1</f>
        <v>15</v>
      </c>
      <c r="B38" s="1124">
        <f>building!S322</f>
        <v>84</v>
      </c>
      <c r="C38" s="1125" t="s">
        <v>6797</v>
      </c>
      <c r="D38" s="1124">
        <f>building!C322</f>
        <v>9.6</v>
      </c>
      <c r="E38" s="1124" t="s">
        <v>1393</v>
      </c>
      <c r="F38" s="1126">
        <f t="shared" ref="F38:F47" si="3">D38*B38</f>
        <v>806.4</v>
      </c>
    </row>
    <row r="39" spans="1:6" ht="130.5" customHeight="1">
      <c r="A39" s="1123">
        <f>A38+1</f>
        <v>16</v>
      </c>
      <c r="B39" s="1124">
        <f>building!S323</f>
        <v>13.7</v>
      </c>
      <c r="C39" s="1125" t="s">
        <v>6798</v>
      </c>
      <c r="D39" s="1124">
        <f>building!C323</f>
        <v>5158.8100000000004</v>
      </c>
      <c r="E39" s="1124" t="s">
        <v>1192</v>
      </c>
      <c r="F39" s="1126">
        <f t="shared" si="3"/>
        <v>70675.7</v>
      </c>
    </row>
    <row r="40" spans="1:6" ht="135.75" customHeight="1">
      <c r="A40" s="1123">
        <f>A39+1</f>
        <v>17</v>
      </c>
      <c r="B40" s="1124">
        <f>building!S330</f>
        <v>34.479999999999997</v>
      </c>
      <c r="C40" s="1125" t="s">
        <v>6799</v>
      </c>
      <c r="D40" s="1124">
        <f>building!C330</f>
        <v>514.71</v>
      </c>
      <c r="E40" s="1124" t="s">
        <v>1834</v>
      </c>
      <c r="F40" s="1126">
        <f t="shared" si="3"/>
        <v>17747.2</v>
      </c>
    </row>
    <row r="41" spans="1:6" ht="136.5">
      <c r="A41" s="1123">
        <f t="shared" ref="A41:A48" si="4">A40+1</f>
        <v>18</v>
      </c>
      <c r="B41" s="1124">
        <f>building!S336</f>
        <v>22.8</v>
      </c>
      <c r="C41" s="1125" t="s">
        <v>6800</v>
      </c>
      <c r="D41" s="1124">
        <f>building!C336</f>
        <v>452.61</v>
      </c>
      <c r="E41" s="1124" t="s">
        <v>1834</v>
      </c>
      <c r="F41" s="1126">
        <f t="shared" si="3"/>
        <v>10319.51</v>
      </c>
    </row>
    <row r="42" spans="1:6" ht="162.75" customHeight="1">
      <c r="A42" s="1123">
        <f t="shared" si="4"/>
        <v>19</v>
      </c>
      <c r="B42" s="1124">
        <f>building!S337</f>
        <v>17</v>
      </c>
      <c r="C42" s="1125" t="s">
        <v>6801</v>
      </c>
      <c r="D42" s="1124">
        <f>building!C337</f>
        <v>3696.96</v>
      </c>
      <c r="E42" s="1124" t="s">
        <v>1192</v>
      </c>
      <c r="F42" s="1126">
        <f t="shared" si="3"/>
        <v>62848.32</v>
      </c>
    </row>
    <row r="43" spans="1:6" ht="171.75" customHeight="1">
      <c r="A43" s="1123">
        <f t="shared" si="4"/>
        <v>20</v>
      </c>
      <c r="B43" s="1124">
        <f>building!S339</f>
        <v>211.6</v>
      </c>
      <c r="C43" s="1125" t="s">
        <v>6863</v>
      </c>
      <c r="D43" s="1124">
        <f>building!C339</f>
        <v>1194.28</v>
      </c>
      <c r="E43" s="1124" t="s">
        <v>1834</v>
      </c>
      <c r="F43" s="1126">
        <f>D43*B43</f>
        <v>252709.65</v>
      </c>
    </row>
    <row r="44" spans="1:6" ht="107.25" customHeight="1">
      <c r="A44" s="1123">
        <f t="shared" si="4"/>
        <v>21</v>
      </c>
      <c r="B44" s="1124">
        <f>building!S341</f>
        <v>2205.98</v>
      </c>
      <c r="C44" s="1125" t="s">
        <v>6802</v>
      </c>
      <c r="D44" s="1124">
        <f>building!C341</f>
        <v>253.5</v>
      </c>
      <c r="E44" s="1124" t="s">
        <v>1834</v>
      </c>
      <c r="F44" s="1126">
        <f t="shared" si="3"/>
        <v>559215.93000000005</v>
      </c>
    </row>
    <row r="45" spans="1:6" ht="107.25" customHeight="1">
      <c r="A45" s="1123">
        <f t="shared" si="4"/>
        <v>22</v>
      </c>
      <c r="B45" s="1124">
        <f>building!S342</f>
        <v>54.6</v>
      </c>
      <c r="C45" s="1125" t="s">
        <v>6803</v>
      </c>
      <c r="D45" s="1124">
        <f>building!C342</f>
        <v>259.58999999999997</v>
      </c>
      <c r="E45" s="1124" t="s">
        <v>1834</v>
      </c>
      <c r="F45" s="1126">
        <f t="shared" si="3"/>
        <v>14173.61</v>
      </c>
    </row>
    <row r="46" spans="1:6" ht="361.5" customHeight="1">
      <c r="A46" s="1123">
        <f t="shared" si="4"/>
        <v>23</v>
      </c>
      <c r="B46" s="1124">
        <f>building!S343</f>
        <v>347.9</v>
      </c>
      <c r="C46" s="1125" t="s">
        <v>7021</v>
      </c>
      <c r="D46" s="1124">
        <f>building!C343</f>
        <v>273.10000000000002</v>
      </c>
      <c r="E46" s="1124" t="s">
        <v>1834</v>
      </c>
      <c r="F46" s="1126">
        <f t="shared" ref="F46" si="5">D46*B46</f>
        <v>95011.49</v>
      </c>
    </row>
    <row r="47" spans="1:6" ht="129.75" customHeight="1">
      <c r="A47" s="1123">
        <f t="shared" si="4"/>
        <v>24</v>
      </c>
      <c r="B47" s="1124">
        <f>building!S344</f>
        <v>47.3</v>
      </c>
      <c r="C47" s="1125" t="s">
        <v>6804</v>
      </c>
      <c r="D47" s="1124">
        <f>building!C344</f>
        <v>289.35000000000002</v>
      </c>
      <c r="E47" s="1124" t="s">
        <v>1834</v>
      </c>
      <c r="F47" s="1126">
        <f t="shared" si="3"/>
        <v>13686.26</v>
      </c>
    </row>
    <row r="48" spans="1:6" ht="85.5" customHeight="1">
      <c r="A48" s="1123">
        <f t="shared" si="4"/>
        <v>25</v>
      </c>
      <c r="B48" s="1124"/>
      <c r="C48" s="1125" t="s">
        <v>6805</v>
      </c>
      <c r="D48" s="1124"/>
      <c r="E48" s="1124"/>
      <c r="F48" s="1126"/>
    </row>
    <row r="49" spans="1:8" ht="31.5" customHeight="1">
      <c r="A49" s="1123" t="str">
        <f>'[14]Building+Develop'!A49</f>
        <v xml:space="preserve"> </v>
      </c>
      <c r="B49" s="1124">
        <f>building!S346</f>
        <v>121.7</v>
      </c>
      <c r="C49" s="1125" t="s">
        <v>1455</v>
      </c>
      <c r="D49" s="1124">
        <f>building!C346</f>
        <v>80.77</v>
      </c>
      <c r="E49" s="1124" t="s">
        <v>823</v>
      </c>
      <c r="F49" s="1126">
        <f t="shared" ref="F49:F60" si="6">D49*B49</f>
        <v>9829.7099999999991</v>
      </c>
    </row>
    <row r="50" spans="1:8" ht="31.5" customHeight="1">
      <c r="A50" s="1123"/>
      <c r="B50" s="1124">
        <f>building!S347</f>
        <v>289.22000000000003</v>
      </c>
      <c r="C50" s="1125" t="s">
        <v>1935</v>
      </c>
      <c r="D50" s="1124">
        <f>building!C347</f>
        <v>52.57</v>
      </c>
      <c r="E50" s="1124" t="s">
        <v>823</v>
      </c>
      <c r="F50" s="1126">
        <f t="shared" si="6"/>
        <v>15204.3</v>
      </c>
    </row>
    <row r="51" spans="1:8" ht="31.5" customHeight="1">
      <c r="A51" s="1123"/>
      <c r="B51" s="1124">
        <f>building!S348</f>
        <v>139.4</v>
      </c>
      <c r="C51" s="1125" t="s">
        <v>1936</v>
      </c>
      <c r="D51" s="1124">
        <f>building!C348</f>
        <v>39.130000000000003</v>
      </c>
      <c r="E51" s="1124" t="s">
        <v>823</v>
      </c>
      <c r="F51" s="1126">
        <f t="shared" si="6"/>
        <v>5454.72</v>
      </c>
    </row>
    <row r="52" spans="1:8" ht="90.75" customHeight="1">
      <c r="A52" s="1123">
        <f>A48+1</f>
        <v>26</v>
      </c>
      <c r="B52" s="1124">
        <f>building!S349</f>
        <v>0</v>
      </c>
      <c r="C52" s="1125" t="s">
        <v>6806</v>
      </c>
      <c r="D52" s="1124">
        <f>building!C349</f>
        <v>45.28</v>
      </c>
      <c r="E52" s="1124" t="s">
        <v>1834</v>
      </c>
      <c r="F52" s="1126">
        <f t="shared" si="6"/>
        <v>0</v>
      </c>
    </row>
    <row r="53" spans="1:8" ht="102.75" customHeight="1">
      <c r="A53" s="1123">
        <f t="shared" ref="A53:A64" si="7">A52+1</f>
        <v>27</v>
      </c>
      <c r="B53" s="1124">
        <f>building!S353</f>
        <v>3431.5</v>
      </c>
      <c r="C53" s="1125" t="s">
        <v>6807</v>
      </c>
      <c r="D53" s="1124">
        <f>building!C353</f>
        <v>70.150000000000006</v>
      </c>
      <c r="E53" s="1124" t="s">
        <v>265</v>
      </c>
      <c r="F53" s="1126">
        <f t="shared" si="6"/>
        <v>240719.73</v>
      </c>
    </row>
    <row r="54" spans="1:8" ht="153.75" customHeight="1">
      <c r="A54" s="1123">
        <f t="shared" si="7"/>
        <v>28</v>
      </c>
      <c r="B54" s="1124">
        <f>building!S354</f>
        <v>47.5</v>
      </c>
      <c r="C54" s="1125" t="s">
        <v>6808</v>
      </c>
      <c r="D54" s="1124">
        <f>building!C354</f>
        <v>233.74</v>
      </c>
      <c r="E54" s="1124" t="s">
        <v>1834</v>
      </c>
      <c r="F54" s="1126">
        <f t="shared" si="6"/>
        <v>11102.65</v>
      </c>
    </row>
    <row r="55" spans="1:8" ht="168" customHeight="1">
      <c r="A55" s="1123">
        <f t="shared" si="7"/>
        <v>29</v>
      </c>
      <c r="B55" s="1124">
        <f>building!S355</f>
        <v>282.37</v>
      </c>
      <c r="C55" s="1125" t="s">
        <v>6809</v>
      </c>
      <c r="D55" s="1124">
        <f>building!C355</f>
        <v>138.35</v>
      </c>
      <c r="E55" s="1124" t="s">
        <v>1834</v>
      </c>
      <c r="F55" s="1126">
        <f t="shared" si="6"/>
        <v>39065.89</v>
      </c>
    </row>
    <row r="56" spans="1:8" ht="123.75" customHeight="1">
      <c r="A56" s="1123">
        <f t="shared" si="7"/>
        <v>30</v>
      </c>
      <c r="B56" s="1124">
        <f>building!S365</f>
        <v>4.8</v>
      </c>
      <c r="C56" s="1125" t="s">
        <v>6810</v>
      </c>
      <c r="D56" s="1124">
        <f>building!C365</f>
        <v>58</v>
      </c>
      <c r="E56" s="1124" t="s">
        <v>823</v>
      </c>
      <c r="F56" s="1126">
        <f t="shared" si="6"/>
        <v>278.39999999999998</v>
      </c>
    </row>
    <row r="57" spans="1:8" ht="105" customHeight="1">
      <c r="A57" s="1123">
        <f t="shared" si="7"/>
        <v>31</v>
      </c>
      <c r="B57" s="1124">
        <f>building!S366</f>
        <v>7</v>
      </c>
      <c r="C57" s="1125" t="s">
        <v>6811</v>
      </c>
      <c r="D57" s="1124">
        <f>building!C366</f>
        <v>95</v>
      </c>
      <c r="E57" s="1124" t="s">
        <v>1393</v>
      </c>
      <c r="F57" s="1126">
        <f t="shared" si="6"/>
        <v>665</v>
      </c>
    </row>
    <row r="58" spans="1:8" ht="42.75" customHeight="1">
      <c r="A58" s="1123">
        <f t="shared" si="7"/>
        <v>32</v>
      </c>
      <c r="B58" s="1124">
        <f>building!S367</f>
        <v>8</v>
      </c>
      <c r="C58" s="1125" t="str">
        <f>building!B367</f>
        <v>S &amp; F 5 pin Coat stand</v>
      </c>
      <c r="D58" s="1124">
        <f>building!C367</f>
        <v>55</v>
      </c>
      <c r="E58" s="1124" t="s">
        <v>823</v>
      </c>
      <c r="F58" s="1126">
        <f t="shared" ref="F58:F59" si="8">D58*B58</f>
        <v>440</v>
      </c>
    </row>
    <row r="59" spans="1:8" ht="42.75" customHeight="1">
      <c r="A59" s="1123">
        <f t="shared" si="7"/>
        <v>33</v>
      </c>
      <c r="B59" s="1124">
        <f>building!S368</f>
        <v>62</v>
      </c>
      <c r="C59" s="1125" t="str">
        <f>building!B368</f>
        <v>S &amp; F chromium plated 8 guage Picture Hook</v>
      </c>
      <c r="D59" s="1124">
        <f>building!C368</f>
        <v>1.5</v>
      </c>
      <c r="E59" s="1124" t="s">
        <v>766</v>
      </c>
      <c r="F59" s="1126">
        <f t="shared" si="8"/>
        <v>93</v>
      </c>
    </row>
    <row r="60" spans="1:8" ht="159.75" customHeight="1">
      <c r="A60" s="1123">
        <f t="shared" si="7"/>
        <v>34</v>
      </c>
      <c r="B60" s="1124">
        <f>building!S370</f>
        <v>110</v>
      </c>
      <c r="C60" s="1125" t="s">
        <v>6812</v>
      </c>
      <c r="D60" s="1124">
        <f>building!C370</f>
        <v>278.01</v>
      </c>
      <c r="E60" s="1124" t="s">
        <v>823</v>
      </c>
      <c r="F60" s="1126">
        <f t="shared" si="6"/>
        <v>30581.1</v>
      </c>
    </row>
    <row r="61" spans="1:8" s="1128" customFormat="1" ht="213" customHeight="1">
      <c r="A61" s="1123">
        <f t="shared" si="7"/>
        <v>35</v>
      </c>
      <c r="B61" s="1124">
        <f>building!S371</f>
        <v>5</v>
      </c>
      <c r="C61" s="1125" t="s">
        <v>6813</v>
      </c>
      <c r="D61" s="1124">
        <f>building!C371</f>
        <v>382.81</v>
      </c>
      <c r="E61" s="1124" t="s">
        <v>1389</v>
      </c>
      <c r="F61" s="1126">
        <f>D61*B61</f>
        <v>1914.05</v>
      </c>
      <c r="G61" s="1118"/>
      <c r="H61" s="1118"/>
    </row>
    <row r="62" spans="1:8" s="1128" customFormat="1" ht="125.25" customHeight="1">
      <c r="A62" s="1123">
        <f t="shared" si="7"/>
        <v>36</v>
      </c>
      <c r="B62" s="1124">
        <f>building!S372</f>
        <v>5</v>
      </c>
      <c r="C62" s="1125" t="s">
        <v>6814</v>
      </c>
      <c r="D62" s="1124">
        <f>building!C372</f>
        <v>884.89</v>
      </c>
      <c r="E62" s="1124" t="s">
        <v>1389</v>
      </c>
      <c r="F62" s="1126">
        <f>D62*B62</f>
        <v>4424.45</v>
      </c>
      <c r="G62" s="1118"/>
      <c r="H62" s="1118"/>
    </row>
    <row r="63" spans="1:8" s="1128" customFormat="1" ht="302.25" customHeight="1">
      <c r="A63" s="1123">
        <f t="shared" si="7"/>
        <v>37</v>
      </c>
      <c r="B63" s="1124">
        <f>building!S373</f>
        <v>1</v>
      </c>
      <c r="C63" s="1125" t="s">
        <v>6876</v>
      </c>
      <c r="D63" s="1124">
        <f>building!C373</f>
        <v>19336.57</v>
      </c>
      <c r="E63" s="1124" t="s">
        <v>1389</v>
      </c>
      <c r="F63" s="1126">
        <f>D63*B63</f>
        <v>19336.57</v>
      </c>
      <c r="G63" s="1118"/>
      <c r="H63" s="1118"/>
    </row>
    <row r="64" spans="1:8" ht="224.25" customHeight="1">
      <c r="A64" s="1123">
        <f t="shared" si="7"/>
        <v>38</v>
      </c>
      <c r="B64" s="1124"/>
      <c r="C64" s="1125" t="s">
        <v>6850</v>
      </c>
      <c r="D64" s="1124"/>
      <c r="E64" s="1124"/>
      <c r="F64" s="1126"/>
    </row>
    <row r="65" spans="1:6" ht="37.5" customHeight="1">
      <c r="A65" s="1123"/>
      <c r="B65" s="1124">
        <f>building!S376</f>
        <v>12.5</v>
      </c>
      <c r="C65" s="1125" t="s">
        <v>46</v>
      </c>
      <c r="D65" s="1124">
        <f>building!C376</f>
        <v>252.72</v>
      </c>
      <c r="E65" s="1124" t="s">
        <v>823</v>
      </c>
      <c r="F65" s="1126">
        <f t="shared" ref="F65:F81" si="9">D65*B65</f>
        <v>3159</v>
      </c>
    </row>
    <row r="66" spans="1:6" ht="37.5" customHeight="1">
      <c r="A66" s="1123"/>
      <c r="B66" s="1124">
        <f>building!S377</f>
        <v>102.9</v>
      </c>
      <c r="C66" s="1125" t="s">
        <v>47</v>
      </c>
      <c r="D66" s="1124">
        <f>building!C377</f>
        <v>234.47</v>
      </c>
      <c r="E66" s="1124" t="s">
        <v>823</v>
      </c>
      <c r="F66" s="1126">
        <f t="shared" si="9"/>
        <v>24126.959999999999</v>
      </c>
    </row>
    <row r="67" spans="1:6" ht="37.5" hidden="1" customHeight="1">
      <c r="A67" s="1123"/>
      <c r="B67" s="1124">
        <f>building!S378</f>
        <v>0</v>
      </c>
      <c r="C67" s="1125" t="s">
        <v>48</v>
      </c>
      <c r="D67" s="1124">
        <f>building!C378</f>
        <v>229.61</v>
      </c>
      <c r="E67" s="1124" t="s">
        <v>823</v>
      </c>
      <c r="F67" s="1126">
        <f t="shared" si="9"/>
        <v>0</v>
      </c>
    </row>
    <row r="68" spans="1:6" ht="37.5" customHeight="1">
      <c r="A68" s="1123">
        <f>A64+1</f>
        <v>39</v>
      </c>
      <c r="B68" s="1124">
        <f>building!S379</f>
        <v>18.5</v>
      </c>
      <c r="C68" s="1125" t="str">
        <f>building!B379</f>
        <v>G.I Pipe 20mm dia for Hot water line (Fully Concealed in walls)</v>
      </c>
      <c r="D68" s="1124">
        <f>building!C379</f>
        <v>311.44</v>
      </c>
      <c r="E68" s="1124" t="s">
        <v>823</v>
      </c>
      <c r="F68" s="1126">
        <f t="shared" si="9"/>
        <v>5761.64</v>
      </c>
    </row>
    <row r="69" spans="1:6" ht="189.75" customHeight="1">
      <c r="A69" s="1123">
        <f>A64</f>
        <v>38</v>
      </c>
      <c r="B69" s="1124">
        <f>building!S677</f>
        <v>7</v>
      </c>
      <c r="C69" s="1125" t="s">
        <v>6830</v>
      </c>
      <c r="D69" s="1124">
        <f>building!C677</f>
        <v>3337.32</v>
      </c>
      <c r="E69" s="1124" t="s">
        <v>1393</v>
      </c>
      <c r="F69" s="1126">
        <f t="shared" si="9"/>
        <v>23361.24</v>
      </c>
    </row>
    <row r="70" spans="1:6" ht="202.5" customHeight="1">
      <c r="A70" s="1123">
        <f>A69+1</f>
        <v>39</v>
      </c>
      <c r="B70" s="1124">
        <f>building!S400</f>
        <v>6</v>
      </c>
      <c r="C70" s="1125" t="s">
        <v>6815</v>
      </c>
      <c r="D70" s="1124">
        <f>building!C400</f>
        <v>1993.59</v>
      </c>
      <c r="E70" s="1124" t="s">
        <v>1393</v>
      </c>
      <c r="F70" s="1126">
        <f t="shared" si="9"/>
        <v>11961.54</v>
      </c>
    </row>
    <row r="71" spans="1:6" ht="185.25" customHeight="1">
      <c r="A71" s="1123">
        <f>A70+1</f>
        <v>40</v>
      </c>
      <c r="B71" s="1124">
        <f>building!S402</f>
        <v>16</v>
      </c>
      <c r="C71" s="1125" t="s">
        <v>6816</v>
      </c>
      <c r="D71" s="1124">
        <f>building!C402</f>
        <v>160</v>
      </c>
      <c r="E71" s="1124" t="s">
        <v>1393</v>
      </c>
      <c r="F71" s="1126">
        <f t="shared" si="9"/>
        <v>2560</v>
      </c>
    </row>
    <row r="72" spans="1:6" ht="36.75" customHeight="1">
      <c r="A72" s="1123"/>
      <c r="B72" s="1124"/>
      <c r="C72" s="1125" t="s">
        <v>2132</v>
      </c>
      <c r="D72" s="1124"/>
      <c r="E72" s="1124"/>
      <c r="F72" s="1126"/>
    </row>
    <row r="73" spans="1:6" ht="102.75" customHeight="1">
      <c r="A73" s="1123">
        <f>A71+1</f>
        <v>41</v>
      </c>
      <c r="B73" s="1124">
        <f>building!S876</f>
        <v>15</v>
      </c>
      <c r="C73" s="1125" t="s">
        <v>6858</v>
      </c>
      <c r="D73" s="1124">
        <f>building!C876</f>
        <v>135</v>
      </c>
      <c r="E73" s="1124" t="s">
        <v>1393</v>
      </c>
      <c r="F73" s="1126">
        <f t="shared" si="9"/>
        <v>2025</v>
      </c>
    </row>
    <row r="74" spans="1:6" ht="135" customHeight="1">
      <c r="A74" s="1123">
        <f>A73+1</f>
        <v>42</v>
      </c>
      <c r="B74" s="1124">
        <f>building!S430</f>
        <v>26</v>
      </c>
      <c r="C74" s="1125" t="s">
        <v>6817</v>
      </c>
      <c r="D74" s="1124">
        <f>building!C430</f>
        <v>34</v>
      </c>
      <c r="E74" s="1124" t="s">
        <v>1393</v>
      </c>
      <c r="F74" s="1126">
        <f t="shared" si="9"/>
        <v>884</v>
      </c>
    </row>
    <row r="75" spans="1:6" ht="84" customHeight="1">
      <c r="A75" s="1123">
        <f t="shared" ref="A75:A80" si="10">A74+1</f>
        <v>43</v>
      </c>
      <c r="B75" s="1124">
        <f>building!S433</f>
        <v>23</v>
      </c>
      <c r="C75" s="1125" t="s">
        <v>6818</v>
      </c>
      <c r="D75" s="1124">
        <f>building!C433</f>
        <v>601.20000000000005</v>
      </c>
      <c r="E75" s="1124" t="s">
        <v>1393</v>
      </c>
      <c r="F75" s="1126">
        <f t="shared" si="9"/>
        <v>13827.6</v>
      </c>
    </row>
    <row r="76" spans="1:6" ht="39" customHeight="1">
      <c r="A76" s="1123">
        <f t="shared" si="10"/>
        <v>44</v>
      </c>
      <c r="B76" s="1124">
        <f>building!S452</f>
        <v>2</v>
      </c>
      <c r="C76" s="1125" t="str">
        <f>building!B452</f>
        <v>ELCB THREE phase</v>
      </c>
      <c r="D76" s="1124">
        <f>building!C452</f>
        <v>3091.3</v>
      </c>
      <c r="E76" s="1124" t="s">
        <v>1393</v>
      </c>
      <c r="F76" s="1126">
        <f t="shared" si="9"/>
        <v>6182.6</v>
      </c>
    </row>
    <row r="77" spans="1:6" ht="103.5" customHeight="1">
      <c r="A77" s="1123">
        <f t="shared" si="10"/>
        <v>45</v>
      </c>
      <c r="B77" s="1124">
        <f>building!S437</f>
        <v>30</v>
      </c>
      <c r="C77" s="1125" t="s">
        <v>6982</v>
      </c>
      <c r="D77" s="1124">
        <f>building!C437</f>
        <v>81.34</v>
      </c>
      <c r="E77" s="1124" t="s">
        <v>823</v>
      </c>
      <c r="F77" s="1126">
        <f t="shared" si="9"/>
        <v>2440.1999999999998</v>
      </c>
    </row>
    <row r="78" spans="1:6" ht="96" customHeight="1">
      <c r="A78" s="1123">
        <f t="shared" si="10"/>
        <v>46</v>
      </c>
      <c r="B78" s="1124">
        <f>building!S441</f>
        <v>9</v>
      </c>
      <c r="C78" s="1125" t="s">
        <v>6819</v>
      </c>
      <c r="D78" s="1124">
        <f>building!C441</f>
        <v>77.010000000000005</v>
      </c>
      <c r="E78" s="1124" t="s">
        <v>1393</v>
      </c>
      <c r="F78" s="1126">
        <f t="shared" si="9"/>
        <v>693.09</v>
      </c>
    </row>
    <row r="79" spans="1:6" ht="100.5" customHeight="1">
      <c r="A79" s="1123">
        <f t="shared" si="10"/>
        <v>47</v>
      </c>
      <c r="B79" s="1124">
        <f>building!S442</f>
        <v>85.7</v>
      </c>
      <c r="C79" s="1125" t="s">
        <v>6820</v>
      </c>
      <c r="D79" s="1124">
        <f>building!C442</f>
        <v>88.71</v>
      </c>
      <c r="E79" s="1124" t="s">
        <v>823</v>
      </c>
      <c r="F79" s="1126">
        <f t="shared" si="9"/>
        <v>7602.45</v>
      </c>
    </row>
    <row r="80" spans="1:6" ht="137.25" customHeight="1">
      <c r="A80" s="1123">
        <f t="shared" si="10"/>
        <v>48</v>
      </c>
      <c r="B80" s="1124">
        <f>building!S443</f>
        <v>3</v>
      </c>
      <c r="C80" s="1125" t="s">
        <v>6821</v>
      </c>
      <c r="D80" s="1124">
        <f>building!C443</f>
        <v>2997.6</v>
      </c>
      <c r="E80" s="1124" t="s">
        <v>1393</v>
      </c>
      <c r="F80" s="1126">
        <f t="shared" si="9"/>
        <v>8992.7999999999993</v>
      </c>
    </row>
    <row r="81" spans="1:6" ht="280.5" customHeight="1">
      <c r="A81" s="1123">
        <f>A80+1</f>
        <v>49</v>
      </c>
      <c r="B81" s="1124">
        <f>building!S451</f>
        <v>181.5</v>
      </c>
      <c r="C81" s="1125" t="s">
        <v>6822</v>
      </c>
      <c r="D81" s="1124">
        <f>building!C451</f>
        <v>34</v>
      </c>
      <c r="E81" s="1124" t="s">
        <v>1834</v>
      </c>
      <c r="F81" s="1126">
        <f t="shared" si="9"/>
        <v>6171</v>
      </c>
    </row>
    <row r="82" spans="1:6" ht="202.5" customHeight="1">
      <c r="A82" s="1123">
        <f>A81+1</f>
        <v>50</v>
      </c>
      <c r="B82" s="1127">
        <f>building!S454</f>
        <v>20.934000000000001</v>
      </c>
      <c r="C82" s="1125" t="s">
        <v>6823</v>
      </c>
      <c r="D82" s="1124">
        <f>building!C454</f>
        <v>4672.5</v>
      </c>
      <c r="E82" s="1124" t="s">
        <v>525</v>
      </c>
      <c r="F82" s="1126">
        <f>D82*B82</f>
        <v>97814.12</v>
      </c>
    </row>
    <row r="83" spans="1:6" ht="34.5" customHeight="1">
      <c r="A83" s="1123"/>
      <c r="B83" s="1124"/>
      <c r="C83" s="1125" t="s">
        <v>2879</v>
      </c>
      <c r="D83" s="1124"/>
      <c r="E83" s="1124"/>
      <c r="F83" s="1126"/>
    </row>
    <row r="84" spans="1:6" ht="116.25" customHeight="1">
      <c r="A84" s="1123">
        <f>A82+1</f>
        <v>51</v>
      </c>
      <c r="B84" s="1124">
        <f>building!S558</f>
        <v>115.2</v>
      </c>
      <c r="C84" s="1125" t="s">
        <v>6565</v>
      </c>
      <c r="D84" s="1124">
        <f>building!C558</f>
        <v>427.95</v>
      </c>
      <c r="E84" s="1124" t="s">
        <v>2142</v>
      </c>
      <c r="F84" s="1126">
        <f>D84*B84</f>
        <v>49299.839999999997</v>
      </c>
    </row>
    <row r="85" spans="1:6" ht="45.75" customHeight="1">
      <c r="A85" s="1123">
        <f>A84+1</f>
        <v>52</v>
      </c>
      <c r="B85" s="1124">
        <f>building!S588</f>
        <v>7.49</v>
      </c>
      <c r="C85" s="1125" t="str">
        <f>building!B588</f>
        <v>P. C.C. 1:3:6 for foundation &amp; basement using 40mm metal</v>
      </c>
      <c r="D85" s="1124">
        <f>building!C588</f>
        <v>5680.67</v>
      </c>
      <c r="E85" s="1124" t="s">
        <v>866</v>
      </c>
      <c r="F85" s="1126">
        <f>D85*B85</f>
        <v>42548.22</v>
      </c>
    </row>
    <row r="86" spans="1:6" ht="409.6" customHeight="1">
      <c r="A86" s="1123">
        <f>A85+1</f>
        <v>53</v>
      </c>
      <c r="B86" s="1124"/>
      <c r="C86" s="1125" t="s">
        <v>6824</v>
      </c>
      <c r="D86" s="1124"/>
      <c r="E86" s="1124"/>
      <c r="F86" s="1126"/>
    </row>
    <row r="87" spans="1:6" ht="26.25" customHeight="1">
      <c r="A87" s="1123"/>
      <c r="B87" s="1124">
        <f>building!S510</f>
        <v>78.64</v>
      </c>
      <c r="C87" s="1125" t="s">
        <v>541</v>
      </c>
      <c r="D87" s="1124">
        <f>building!C510</f>
        <v>8764.1200000000008</v>
      </c>
      <c r="E87" s="1124" t="s">
        <v>2142</v>
      </c>
      <c r="F87" s="1126">
        <f>D87*B87</f>
        <v>689210.4</v>
      </c>
    </row>
    <row r="88" spans="1:6" ht="30.75" customHeight="1">
      <c r="A88" s="1123"/>
      <c r="B88" s="1124">
        <f>building!S511</f>
        <v>40.32</v>
      </c>
      <c r="C88" s="1125" t="s">
        <v>2120</v>
      </c>
      <c r="D88" s="1124">
        <f>building!C511</f>
        <v>8883.9699999999993</v>
      </c>
      <c r="E88" s="1124" t="s">
        <v>2142</v>
      </c>
      <c r="F88" s="1126">
        <f>D88*B88</f>
        <v>358201.67</v>
      </c>
    </row>
    <row r="89" spans="1:6" ht="30.75" customHeight="1">
      <c r="A89" s="1123"/>
      <c r="B89" s="1124">
        <f>building!S512</f>
        <v>37.700000000000003</v>
      </c>
      <c r="C89" s="1125" t="s">
        <v>544</v>
      </c>
      <c r="D89" s="1124">
        <f>building!C512</f>
        <v>9120.07</v>
      </c>
      <c r="E89" s="1124" t="s">
        <v>2142</v>
      </c>
      <c r="F89" s="1126">
        <f>D89*B89</f>
        <v>343826.64</v>
      </c>
    </row>
    <row r="90" spans="1:6" ht="30" customHeight="1">
      <c r="A90" s="1123"/>
      <c r="B90" s="1124">
        <f>building!S513</f>
        <v>10</v>
      </c>
      <c r="C90" s="1125" t="s">
        <v>1798</v>
      </c>
      <c r="D90" s="1124">
        <f>building!C513</f>
        <v>9356.17</v>
      </c>
      <c r="E90" s="1124" t="s">
        <v>2142</v>
      </c>
      <c r="F90" s="1126">
        <f>D90*B90</f>
        <v>93561.7</v>
      </c>
    </row>
    <row r="91" spans="1:6" ht="30" hidden="1" customHeight="1">
      <c r="A91" s="1123"/>
      <c r="B91" s="1124">
        <f>building!S514</f>
        <v>0</v>
      </c>
      <c r="C91" s="1125" t="s">
        <v>2205</v>
      </c>
      <c r="D91" s="1124">
        <f>building!C514</f>
        <v>9592.27</v>
      </c>
      <c r="E91" s="1124" t="s">
        <v>2142</v>
      </c>
      <c r="F91" s="1126">
        <f>D91*B91</f>
        <v>0</v>
      </c>
    </row>
    <row r="92" spans="1:6" ht="181.5" customHeight="1">
      <c r="A92" s="1123">
        <f>A86+1</f>
        <v>54</v>
      </c>
      <c r="B92" s="1124"/>
      <c r="C92" s="1125" t="s">
        <v>6859</v>
      </c>
      <c r="D92" s="1124"/>
      <c r="E92" s="1124"/>
      <c r="F92" s="1126"/>
    </row>
    <row r="93" spans="1:6" ht="30" customHeight="1">
      <c r="A93" s="1123"/>
      <c r="B93" s="1124">
        <f>building!S252</f>
        <v>16.100000000000001</v>
      </c>
      <c r="C93" s="1125" t="s">
        <v>617</v>
      </c>
      <c r="D93" s="1124">
        <f>building!C252</f>
        <v>556.1</v>
      </c>
      <c r="E93" s="1124" t="s">
        <v>1834</v>
      </c>
      <c r="F93" s="1126">
        <f>D93*B93</f>
        <v>8953.2099999999991</v>
      </c>
    </row>
    <row r="94" spans="1:6" ht="30" customHeight="1">
      <c r="A94" s="1123"/>
      <c r="B94" s="1124">
        <f>building!S253</f>
        <v>18.7</v>
      </c>
      <c r="C94" s="1125" t="s">
        <v>1241</v>
      </c>
      <c r="D94" s="1124">
        <f>building!C253</f>
        <v>560.82000000000005</v>
      </c>
      <c r="E94" s="1124" t="s">
        <v>1834</v>
      </c>
      <c r="F94" s="1126">
        <f>D94*B94</f>
        <v>10487.33</v>
      </c>
    </row>
    <row r="95" spans="1:6" ht="40.5" hidden="1" customHeight="1">
      <c r="A95" s="1123"/>
      <c r="B95" s="1124">
        <f>building!S254</f>
        <v>0</v>
      </c>
      <c r="C95" s="1125" t="s">
        <v>677</v>
      </c>
      <c r="D95" s="1124">
        <f>building!C254</f>
        <v>565.54</v>
      </c>
      <c r="E95" s="1124" t="s">
        <v>1834</v>
      </c>
      <c r="F95" s="1126">
        <f>D95*B95</f>
        <v>0</v>
      </c>
    </row>
    <row r="96" spans="1:6" ht="261" customHeight="1">
      <c r="A96" s="1123">
        <f>A92+1</f>
        <v>55</v>
      </c>
      <c r="B96" s="1124"/>
      <c r="C96" s="1125" t="s">
        <v>6828</v>
      </c>
      <c r="D96" s="1124"/>
      <c r="E96" s="1124"/>
      <c r="F96" s="1126"/>
    </row>
    <row r="97" spans="1:6" ht="56.25" customHeight="1">
      <c r="A97" s="1123"/>
      <c r="B97" s="1124">
        <f>building!S590</f>
        <v>326.54000000000002</v>
      </c>
      <c r="C97" s="1125" t="s">
        <v>1819</v>
      </c>
      <c r="D97" s="1124">
        <f>building!C590</f>
        <v>848.08</v>
      </c>
      <c r="E97" s="1124" t="s">
        <v>2273</v>
      </c>
      <c r="F97" s="1126">
        <f t="shared" ref="F97:F114" si="11">D97*B97</f>
        <v>276932.03999999998</v>
      </c>
    </row>
    <row r="98" spans="1:6" ht="75" customHeight="1">
      <c r="A98" s="1123"/>
      <c r="B98" s="1124">
        <f>building!S591</f>
        <v>645.54</v>
      </c>
      <c r="C98" s="1125" t="s">
        <v>1071</v>
      </c>
      <c r="D98" s="1124">
        <f>building!C591</f>
        <v>946.62</v>
      </c>
      <c r="E98" s="1124" t="s">
        <v>2273</v>
      </c>
      <c r="F98" s="1126">
        <f t="shared" si="11"/>
        <v>611081.06999999995</v>
      </c>
    </row>
    <row r="99" spans="1:6" ht="33" customHeight="1">
      <c r="A99" s="1123"/>
      <c r="B99" s="1124">
        <f>building!S592</f>
        <v>297.56</v>
      </c>
      <c r="C99" s="1125" t="s">
        <v>1647</v>
      </c>
      <c r="D99" s="1124">
        <f>building!C592</f>
        <v>1135.94</v>
      </c>
      <c r="E99" s="1124" t="s">
        <v>2273</v>
      </c>
      <c r="F99" s="1126">
        <f t="shared" si="11"/>
        <v>338010.31</v>
      </c>
    </row>
    <row r="100" spans="1:6" ht="33.75" hidden="1" customHeight="1">
      <c r="A100" s="1123"/>
      <c r="B100" s="1124">
        <f>building!S593</f>
        <v>0</v>
      </c>
      <c r="C100" s="1125" t="s">
        <v>3976</v>
      </c>
      <c r="D100" s="1124">
        <f>building!C593</f>
        <v>1041.28</v>
      </c>
      <c r="E100" s="1124" t="s">
        <v>2273</v>
      </c>
      <c r="F100" s="1126">
        <f t="shared" si="11"/>
        <v>0</v>
      </c>
    </row>
    <row r="101" spans="1:6" ht="33.75" hidden="1" customHeight="1">
      <c r="A101" s="1123"/>
      <c r="B101" s="1124">
        <f>building!S594</f>
        <v>0</v>
      </c>
      <c r="C101" s="1125" t="s">
        <v>3794</v>
      </c>
      <c r="D101" s="1124">
        <f>building!C594</f>
        <v>2271.88</v>
      </c>
      <c r="E101" s="1124" t="s">
        <v>2273</v>
      </c>
      <c r="F101" s="1126">
        <f t="shared" si="11"/>
        <v>0</v>
      </c>
    </row>
    <row r="102" spans="1:6" ht="33.75" customHeight="1">
      <c r="A102" s="1123"/>
      <c r="B102" s="1124">
        <f>building!S595</f>
        <v>29.45</v>
      </c>
      <c r="C102" s="1125" t="s">
        <v>3797</v>
      </c>
      <c r="D102" s="1124">
        <f>building!C595</f>
        <v>1419.93</v>
      </c>
      <c r="E102" s="1124" t="s">
        <v>2273</v>
      </c>
      <c r="F102" s="1126">
        <f t="shared" si="11"/>
        <v>41816.94</v>
      </c>
    </row>
    <row r="103" spans="1:6" ht="84" customHeight="1">
      <c r="A103" s="1123">
        <f>A96+1</f>
        <v>56</v>
      </c>
      <c r="B103" s="1124">
        <f>building!S609</f>
        <v>19</v>
      </c>
      <c r="C103" s="1125" t="str">
        <f>building!B609</f>
        <v>T.W. frame &amp; TW styles &amp; rails with BWR double leaf shutters for cup board/ ward robes including two coat enamel paint &amp; one coat primer.</v>
      </c>
      <c r="D103" s="1124">
        <f>building!C609</f>
        <v>4253.0600000000004</v>
      </c>
      <c r="E103" s="1124" t="s">
        <v>2273</v>
      </c>
      <c r="F103" s="1126">
        <f t="shared" si="11"/>
        <v>80808.14</v>
      </c>
    </row>
    <row r="104" spans="1:6" ht="380.25" customHeight="1">
      <c r="A104" s="1123">
        <f>A103+1</f>
        <v>57</v>
      </c>
      <c r="B104" s="1124">
        <f>building!S636</f>
        <v>12.1</v>
      </c>
      <c r="C104" s="814" t="s">
        <v>6829</v>
      </c>
      <c r="D104" s="1124">
        <f>building!C636</f>
        <v>3325</v>
      </c>
      <c r="E104" s="1124" t="s">
        <v>2273</v>
      </c>
      <c r="F104" s="1126">
        <f t="shared" si="11"/>
        <v>40232.5</v>
      </c>
    </row>
    <row r="105" spans="1:6" ht="390">
      <c r="A105" s="1123">
        <f>A104+1</f>
        <v>58</v>
      </c>
      <c r="B105" s="1124"/>
      <c r="C105" s="1125" t="s">
        <v>6860</v>
      </c>
      <c r="D105" s="1124"/>
      <c r="E105" s="1124"/>
      <c r="F105" s="1126"/>
    </row>
    <row r="106" spans="1:6" ht="37.5" customHeight="1">
      <c r="A106" s="1123"/>
      <c r="B106" s="1124">
        <f>building!S811</f>
        <v>1.9</v>
      </c>
      <c r="C106" s="1125" t="s">
        <v>6894</v>
      </c>
      <c r="D106" s="1124">
        <f>building!C811</f>
        <v>3012.54</v>
      </c>
      <c r="E106" s="1124" t="s">
        <v>2273</v>
      </c>
      <c r="F106" s="1126">
        <f>D106*B106</f>
        <v>5723.83</v>
      </c>
    </row>
    <row r="107" spans="1:6" ht="37.5" customHeight="1">
      <c r="A107" s="1123"/>
      <c r="B107" s="1124">
        <f>building!S813</f>
        <v>8.1999999999999993</v>
      </c>
      <c r="C107" s="1125" t="s">
        <v>6895</v>
      </c>
      <c r="D107" s="1124">
        <f>building!C813</f>
        <v>3079.64</v>
      </c>
      <c r="E107" s="1124" t="s">
        <v>2273</v>
      </c>
      <c r="F107" s="1126">
        <f>D107*B107</f>
        <v>25253.05</v>
      </c>
    </row>
    <row r="108" spans="1:6" ht="185.25" customHeight="1">
      <c r="A108" s="1123">
        <f>A105+1</f>
        <v>59</v>
      </c>
      <c r="B108" s="1124">
        <f>building!S662</f>
        <v>109.4</v>
      </c>
      <c r="C108" s="1125" t="s">
        <v>6861</v>
      </c>
      <c r="D108" s="1124">
        <f>building!C662</f>
        <v>1377.72</v>
      </c>
      <c r="E108" s="1124" t="s">
        <v>2273</v>
      </c>
      <c r="F108" s="1126">
        <f t="shared" si="11"/>
        <v>150722.57</v>
      </c>
    </row>
    <row r="109" spans="1:6" ht="196.5" customHeight="1">
      <c r="A109" s="1123">
        <f>A108+1</f>
        <v>60</v>
      </c>
      <c r="B109" s="1124">
        <f>building!S664</f>
        <v>22.9</v>
      </c>
      <c r="C109" s="1125" t="s">
        <v>6862</v>
      </c>
      <c r="D109" s="1124">
        <f>building!C664</f>
        <v>1212.77</v>
      </c>
      <c r="E109" s="1124" t="s">
        <v>2273</v>
      </c>
      <c r="F109" s="1126">
        <f t="shared" si="11"/>
        <v>27772.43</v>
      </c>
    </row>
    <row r="110" spans="1:6" ht="107.25" customHeight="1">
      <c r="A110" s="1123">
        <f t="shared" ref="A110:A115" si="12">A109+1</f>
        <v>61</v>
      </c>
      <c r="B110" s="1124">
        <f>building!S557</f>
        <v>46.65</v>
      </c>
      <c r="C110" s="1125" t="s">
        <v>6864</v>
      </c>
      <c r="D110" s="1124">
        <f>building!C557</f>
        <v>278.27999999999997</v>
      </c>
      <c r="E110" s="1124" t="s">
        <v>2273</v>
      </c>
      <c r="F110" s="1126">
        <f t="shared" si="11"/>
        <v>12981.76</v>
      </c>
    </row>
    <row r="111" spans="1:6" ht="153.75" customHeight="1">
      <c r="A111" s="1123">
        <f t="shared" si="12"/>
        <v>62</v>
      </c>
      <c r="B111" s="1124">
        <f>building!S930</f>
        <v>1081.5999999999999</v>
      </c>
      <c r="C111" s="1125" t="s">
        <v>6521</v>
      </c>
      <c r="D111" s="1124">
        <f>building!C930</f>
        <v>95.19</v>
      </c>
      <c r="E111" s="1124" t="s">
        <v>2273</v>
      </c>
      <c r="F111" s="1126">
        <f>D111*B111</f>
        <v>102957.5</v>
      </c>
    </row>
    <row r="112" spans="1:6" ht="207.75" customHeight="1">
      <c r="A112" s="1123">
        <f t="shared" si="12"/>
        <v>63</v>
      </c>
      <c r="B112" s="1124">
        <f>building!S719</f>
        <v>1376.6</v>
      </c>
      <c r="C112" s="1125" t="s">
        <v>6917</v>
      </c>
      <c r="D112" s="1124">
        <f>building!C719</f>
        <v>231.43</v>
      </c>
      <c r="E112" s="1124" t="s">
        <v>2273</v>
      </c>
      <c r="F112" s="1126">
        <f t="shared" si="11"/>
        <v>318586.53999999998</v>
      </c>
    </row>
    <row r="113" spans="1:6" ht="200.25" customHeight="1">
      <c r="A113" s="1123">
        <f t="shared" si="12"/>
        <v>64</v>
      </c>
      <c r="B113" s="1124">
        <f>building!S720</f>
        <v>1125.06</v>
      </c>
      <c r="C113" s="1125" t="s">
        <v>6918</v>
      </c>
      <c r="D113" s="1124">
        <f>building!C720</f>
        <v>232.95</v>
      </c>
      <c r="E113" s="1124" t="s">
        <v>2273</v>
      </c>
      <c r="F113" s="1126">
        <f t="shared" si="11"/>
        <v>262082.73</v>
      </c>
    </row>
    <row r="114" spans="1:6" ht="115.5" customHeight="1">
      <c r="A114" s="1123">
        <f t="shared" si="12"/>
        <v>65</v>
      </c>
      <c r="B114" s="1127">
        <f>building!S877</f>
        <v>20.934000000000001</v>
      </c>
      <c r="C114" s="1125" t="s">
        <v>6849</v>
      </c>
      <c r="D114" s="1124">
        <f>building!C877</f>
        <v>89024.3</v>
      </c>
      <c r="E114" s="1124" t="s">
        <v>525</v>
      </c>
      <c r="F114" s="1126">
        <f t="shared" si="11"/>
        <v>1863634.7</v>
      </c>
    </row>
    <row r="115" spans="1:6" ht="192.75" customHeight="1">
      <c r="A115" s="1123">
        <f t="shared" si="12"/>
        <v>66</v>
      </c>
      <c r="B115" s="1124"/>
      <c r="C115" s="1125" t="s">
        <v>6838</v>
      </c>
      <c r="D115" s="1124"/>
      <c r="E115" s="1124"/>
      <c r="F115" s="1126"/>
    </row>
    <row r="116" spans="1:6" ht="39" customHeight="1">
      <c r="A116" s="1123"/>
      <c r="B116" s="1124">
        <f>building!S704</f>
        <v>6</v>
      </c>
      <c r="C116" s="1125" t="s">
        <v>6896</v>
      </c>
      <c r="D116" s="1124">
        <f>building!C704</f>
        <v>2237.9</v>
      </c>
      <c r="E116" s="1124" t="s">
        <v>1393</v>
      </c>
      <c r="F116" s="1126">
        <f t="shared" ref="F116:F129" si="13">D116*B116</f>
        <v>13427.4</v>
      </c>
    </row>
    <row r="117" spans="1:6" ht="123" customHeight="1">
      <c r="A117" s="1123"/>
      <c r="B117" s="1124">
        <f>building!S705</f>
        <v>18</v>
      </c>
      <c r="C117" s="1125" t="s">
        <v>6839</v>
      </c>
      <c r="D117" s="1124">
        <f>building!C705</f>
        <v>510.55</v>
      </c>
      <c r="E117" s="1124" t="s">
        <v>823</v>
      </c>
      <c r="F117" s="1126">
        <f t="shared" si="13"/>
        <v>9189.9</v>
      </c>
    </row>
    <row r="118" spans="1:6" ht="228" customHeight="1">
      <c r="A118" s="1123">
        <f>A115+1</f>
        <v>67</v>
      </c>
      <c r="B118" s="1124">
        <f>building!S878</f>
        <v>69.7</v>
      </c>
      <c r="C118" s="1125" t="s">
        <v>6865</v>
      </c>
      <c r="D118" s="1124">
        <f>building!C878</f>
        <v>343.11</v>
      </c>
      <c r="E118" s="1124" t="s">
        <v>823</v>
      </c>
      <c r="F118" s="1126">
        <f t="shared" si="13"/>
        <v>23914.77</v>
      </c>
    </row>
    <row r="119" spans="1:6" ht="271.5" customHeight="1">
      <c r="A119" s="1123">
        <f>A118+1</f>
        <v>68</v>
      </c>
      <c r="B119" s="1124">
        <f>building!S671</f>
        <v>53.93</v>
      </c>
      <c r="C119" s="1125" t="s">
        <v>6866</v>
      </c>
      <c r="D119" s="1124">
        <f>building!C671</f>
        <v>422.18</v>
      </c>
      <c r="E119" s="1124" t="s">
        <v>2273</v>
      </c>
      <c r="F119" s="1126">
        <f t="shared" si="13"/>
        <v>22768.17</v>
      </c>
    </row>
    <row r="120" spans="1:6" ht="223.5" customHeight="1">
      <c r="A120" s="1123">
        <f>A119+1</f>
        <v>69</v>
      </c>
      <c r="B120" s="1124">
        <f>building!S672</f>
        <v>38.200000000000003</v>
      </c>
      <c r="C120" s="1125" t="s">
        <v>7075</v>
      </c>
      <c r="D120" s="1124">
        <f>building!C672</f>
        <v>231.61</v>
      </c>
      <c r="E120" s="1124" t="s">
        <v>823</v>
      </c>
      <c r="F120" s="1126">
        <f t="shared" si="13"/>
        <v>8847.5</v>
      </c>
    </row>
    <row r="121" spans="1:6" ht="122.25" customHeight="1">
      <c r="A121" s="1123">
        <f>A120+1</f>
        <v>70</v>
      </c>
      <c r="B121" s="1124">
        <f>building!S673</f>
        <v>1</v>
      </c>
      <c r="C121" s="1125" t="s">
        <v>6867</v>
      </c>
      <c r="D121" s="1124">
        <f>building!C673</f>
        <v>1864</v>
      </c>
      <c r="E121" s="1124" t="s">
        <v>1393</v>
      </c>
      <c r="F121" s="1126">
        <f>D121*B121</f>
        <v>1864</v>
      </c>
    </row>
    <row r="122" spans="1:6" ht="258" customHeight="1">
      <c r="A122" s="1123">
        <f>A121+1</f>
        <v>71</v>
      </c>
      <c r="B122" s="1124"/>
      <c r="C122" s="1125" t="s">
        <v>6993</v>
      </c>
      <c r="D122" s="1124"/>
      <c r="E122" s="1124"/>
      <c r="F122" s="1126"/>
    </row>
    <row r="123" spans="1:6" ht="36.75" customHeight="1">
      <c r="A123" s="1123"/>
      <c r="B123" s="1124">
        <f>building!S675</f>
        <v>1</v>
      </c>
      <c r="C123" s="1125" t="str">
        <f>building!B675</f>
        <v>1000Liters</v>
      </c>
      <c r="D123" s="1124">
        <f>building!C675</f>
        <v>10050</v>
      </c>
      <c r="E123" s="1124" t="s">
        <v>1393</v>
      </c>
      <c r="F123" s="1126">
        <f t="shared" ref="F123:F124" si="14">D123*B123</f>
        <v>10050</v>
      </c>
    </row>
    <row r="124" spans="1:6" ht="36.75" customHeight="1">
      <c r="A124" s="1123"/>
      <c r="B124" s="1124">
        <f>building!S676</f>
        <v>1</v>
      </c>
      <c r="C124" s="1125" t="str">
        <f>building!B676</f>
        <v>2000Liters</v>
      </c>
      <c r="D124" s="1124">
        <f>building!C676</f>
        <v>20100</v>
      </c>
      <c r="E124" s="1124" t="s">
        <v>1393</v>
      </c>
      <c r="F124" s="1126">
        <f t="shared" si="14"/>
        <v>20100</v>
      </c>
    </row>
    <row r="125" spans="1:6" ht="97.5" customHeight="1">
      <c r="A125" s="1123">
        <f>A122+1</f>
        <v>72</v>
      </c>
      <c r="B125" s="1124">
        <f>building!S751</f>
        <v>4</v>
      </c>
      <c r="C125" s="1125" t="str">
        <f>building!B751</f>
        <v>Supplying and fixing of CP shower arm with over head rose including cost of all materials and all labour charges etc. complete  
PWD SR P-53/2023-24</v>
      </c>
      <c r="D125" s="1124">
        <f>building!C751</f>
        <v>1181</v>
      </c>
      <c r="E125" s="1124" t="s">
        <v>1389</v>
      </c>
      <c r="F125" s="1126">
        <f t="shared" ref="F125:F127" si="15">D125*B125</f>
        <v>4724</v>
      </c>
    </row>
    <row r="126" spans="1:6" ht="64.5" customHeight="1">
      <c r="A126" s="1123">
        <f t="shared" ref="A126:A129" si="16">A125+1</f>
        <v>73</v>
      </c>
      <c r="B126" s="1124">
        <f>building!S781</f>
        <v>5</v>
      </c>
      <c r="C126" s="1125" t="str">
        <f>building!B781</f>
        <v>Supplying and fixing of  SS Soap Tray  including cost of all materials and all labour charges etc complete  Qtn</v>
      </c>
      <c r="D126" s="1178">
        <f>building!C781</f>
        <v>710</v>
      </c>
      <c r="E126" s="1124" t="s">
        <v>1389</v>
      </c>
      <c r="F126" s="1126">
        <f t="shared" si="15"/>
        <v>3550</v>
      </c>
    </row>
    <row r="127" spans="1:6" ht="66.75" customHeight="1">
      <c r="A127" s="1123">
        <f t="shared" si="16"/>
        <v>74</v>
      </c>
      <c r="B127" s="1124">
        <f>building!S782</f>
        <v>7</v>
      </c>
      <c r="C127" s="1125" t="str">
        <f>building!B782</f>
        <v>Supplying and fixing of CP Angle valve Stop cock  including cost of all materials and all labour charges etc complete  Qtn</v>
      </c>
      <c r="D127" s="1178">
        <f>building!C782</f>
        <v>520</v>
      </c>
      <c r="E127" s="1124" t="s">
        <v>1389</v>
      </c>
      <c r="F127" s="1126">
        <f t="shared" si="15"/>
        <v>3640</v>
      </c>
    </row>
    <row r="128" spans="1:6" ht="126" customHeight="1">
      <c r="A128" s="1123">
        <f t="shared" si="16"/>
        <v>75</v>
      </c>
      <c r="B128" s="1124">
        <f>building!S885</f>
        <v>13</v>
      </c>
      <c r="C128" s="1125" t="s">
        <v>6926</v>
      </c>
      <c r="D128" s="1124">
        <f>building!C885</f>
        <v>488</v>
      </c>
      <c r="E128" s="1124" t="s">
        <v>1393</v>
      </c>
      <c r="F128" s="1126">
        <f t="shared" si="13"/>
        <v>6344</v>
      </c>
    </row>
    <row r="129" spans="1:6" ht="130.5" customHeight="1">
      <c r="A129" s="1123">
        <f t="shared" si="16"/>
        <v>76</v>
      </c>
      <c r="B129" s="1124">
        <f>building!S886</f>
        <v>5</v>
      </c>
      <c r="C129" s="1125" t="s">
        <v>6851</v>
      </c>
      <c r="D129" s="1124">
        <f>building!C886</f>
        <v>440</v>
      </c>
      <c r="E129" s="1124" t="s">
        <v>1393</v>
      </c>
      <c r="F129" s="1126">
        <f t="shared" si="13"/>
        <v>2200</v>
      </c>
    </row>
    <row r="130" spans="1:6" ht="204.75" customHeight="1">
      <c r="A130" s="1123">
        <f t="shared" ref="A130:A133" si="17">A129+1</f>
        <v>77</v>
      </c>
      <c r="B130" s="1124">
        <f>building!S865</f>
        <v>1</v>
      </c>
      <c r="C130" s="1125" t="s">
        <v>6868</v>
      </c>
      <c r="D130" s="1124">
        <f>building!C865</f>
        <v>3328.41</v>
      </c>
      <c r="E130" s="1124" t="s">
        <v>1393</v>
      </c>
      <c r="F130" s="1126">
        <f>D130*B130</f>
        <v>3328.41</v>
      </c>
    </row>
    <row r="131" spans="1:6" ht="330.75" customHeight="1">
      <c r="A131" s="1123">
        <f t="shared" si="17"/>
        <v>78</v>
      </c>
      <c r="B131" s="1124">
        <f>building!S866</f>
        <v>1</v>
      </c>
      <c r="C131" s="1125" t="s">
        <v>6846</v>
      </c>
      <c r="D131" s="1124">
        <f>building!C866</f>
        <v>5183.91</v>
      </c>
      <c r="E131" s="1124" t="s">
        <v>1393</v>
      </c>
      <c r="F131" s="1126">
        <f>D131*B131</f>
        <v>5183.91</v>
      </c>
    </row>
    <row r="132" spans="1:6" ht="185.25" customHeight="1">
      <c r="A132" s="1123">
        <f t="shared" si="17"/>
        <v>79</v>
      </c>
      <c r="B132" s="1124">
        <f>building!S867</f>
        <v>5</v>
      </c>
      <c r="C132" s="1125" t="s">
        <v>6847</v>
      </c>
      <c r="D132" s="1124">
        <f>building!C867</f>
        <v>7084.3</v>
      </c>
      <c r="E132" s="1124" t="s">
        <v>1393</v>
      </c>
      <c r="F132" s="1126">
        <f>D132*B132</f>
        <v>35421.5</v>
      </c>
    </row>
    <row r="133" spans="1:6" ht="178.5" customHeight="1">
      <c r="A133" s="1123">
        <f t="shared" si="17"/>
        <v>80</v>
      </c>
      <c r="B133" s="1124"/>
      <c r="C133" s="1125" t="s">
        <v>6831</v>
      </c>
      <c r="D133" s="1124"/>
      <c r="E133" s="1124"/>
      <c r="F133" s="1126"/>
    </row>
    <row r="134" spans="1:6" ht="30.75" customHeight="1">
      <c r="A134" s="1123"/>
      <c r="B134" s="1124">
        <f>building!S682</f>
        <v>41.2</v>
      </c>
      <c r="C134" s="1125" t="s">
        <v>35</v>
      </c>
      <c r="D134" s="1124">
        <f>building!C682</f>
        <v>717.55</v>
      </c>
      <c r="E134" s="1124" t="s">
        <v>823</v>
      </c>
      <c r="F134" s="1126">
        <f>D134*B134</f>
        <v>29563.06</v>
      </c>
    </row>
    <row r="135" spans="1:6" ht="30.75" customHeight="1">
      <c r="A135" s="1123"/>
      <c r="B135" s="1124">
        <f>building!S683</f>
        <v>58.5</v>
      </c>
      <c r="C135" s="1125" t="s">
        <v>36</v>
      </c>
      <c r="D135" s="1124">
        <f>building!C683</f>
        <v>600.25</v>
      </c>
      <c r="E135" s="1124" t="s">
        <v>823</v>
      </c>
      <c r="F135" s="1126">
        <f>D135*B135</f>
        <v>35114.629999999997</v>
      </c>
    </row>
    <row r="136" spans="1:6" ht="150.75" customHeight="1">
      <c r="A136" s="1123">
        <f>A133+1</f>
        <v>81</v>
      </c>
      <c r="B136" s="1124">
        <f>building!S684</f>
        <v>12</v>
      </c>
      <c r="C136" s="1125" t="s">
        <v>6832</v>
      </c>
      <c r="D136" s="1124">
        <f>building!C684</f>
        <v>114.45</v>
      </c>
      <c r="E136" s="1124" t="s">
        <v>823</v>
      </c>
      <c r="F136" s="1126">
        <f>D136*B136</f>
        <v>1373.4</v>
      </c>
    </row>
    <row r="137" spans="1:6" ht="192" customHeight="1">
      <c r="A137" s="1123">
        <f>A136+1</f>
        <v>82</v>
      </c>
      <c r="B137" s="1124"/>
      <c r="C137" s="1125" t="s">
        <v>6869</v>
      </c>
      <c r="D137" s="1124"/>
      <c r="E137" s="1124"/>
      <c r="F137" s="1126"/>
    </row>
    <row r="138" spans="1:6" ht="37.5" customHeight="1">
      <c r="A138" s="1123"/>
      <c r="B138" s="1124">
        <f>building!S857</f>
        <v>10</v>
      </c>
      <c r="C138" s="1125" t="s">
        <v>3810</v>
      </c>
      <c r="D138" s="1124">
        <f>building!C857</f>
        <v>482.86</v>
      </c>
      <c r="E138" s="1124" t="s">
        <v>823</v>
      </c>
      <c r="F138" s="1126">
        <f>D138*B138</f>
        <v>4828.6000000000004</v>
      </c>
    </row>
    <row r="139" spans="1:6" ht="37.5" customHeight="1">
      <c r="A139" s="1123"/>
      <c r="B139" s="1124">
        <f>building!S858</f>
        <v>60</v>
      </c>
      <c r="C139" s="1125" t="s">
        <v>3972</v>
      </c>
      <c r="D139" s="1124">
        <f>building!C858</f>
        <v>807.13</v>
      </c>
      <c r="E139" s="1124" t="s">
        <v>823</v>
      </c>
      <c r="F139" s="1126">
        <f>D139*B139</f>
        <v>48427.8</v>
      </c>
    </row>
    <row r="140" spans="1:6" ht="79.5" customHeight="1">
      <c r="A140" s="1123">
        <f>A137+1</f>
        <v>83</v>
      </c>
      <c r="B140" s="1124"/>
      <c r="C140" s="1125" t="s">
        <v>6845</v>
      </c>
      <c r="D140" s="1124"/>
      <c r="E140" s="1124"/>
      <c r="F140" s="1126"/>
    </row>
    <row r="141" spans="1:6" ht="37.5" customHeight="1">
      <c r="A141" s="1123"/>
      <c r="B141" s="1124">
        <f>building!S860</f>
        <v>3</v>
      </c>
      <c r="C141" s="1125" t="s">
        <v>6897</v>
      </c>
      <c r="D141" s="1124">
        <f>building!C860</f>
        <v>175.2</v>
      </c>
      <c r="E141" s="1124" t="s">
        <v>1393</v>
      </c>
      <c r="F141" s="1126">
        <f>D141*B141</f>
        <v>525.6</v>
      </c>
    </row>
    <row r="142" spans="1:6" ht="80.25" customHeight="1">
      <c r="A142" s="1123">
        <f>A140+1</f>
        <v>84</v>
      </c>
      <c r="B142" s="1124"/>
      <c r="C142" s="1125" t="s">
        <v>6845</v>
      </c>
      <c r="D142" s="1124"/>
      <c r="E142" s="1124"/>
      <c r="F142" s="1126"/>
    </row>
    <row r="143" spans="1:6" ht="56.25" customHeight="1">
      <c r="A143" s="1123"/>
      <c r="B143" s="1124">
        <f>building!S863</f>
        <v>2</v>
      </c>
      <c r="C143" s="1125" t="s">
        <v>6898</v>
      </c>
      <c r="D143" s="1124">
        <f>building!C863</f>
        <v>197.5</v>
      </c>
      <c r="E143" s="1124" t="s">
        <v>1393</v>
      </c>
      <c r="F143" s="1126">
        <f>D143*B143</f>
        <v>395</v>
      </c>
    </row>
    <row r="144" spans="1:6" ht="217.5" customHeight="1">
      <c r="A144" s="1123">
        <f>A142+1</f>
        <v>85</v>
      </c>
      <c r="B144" s="1124"/>
      <c r="C144" s="1125" t="s">
        <v>7056</v>
      </c>
      <c r="D144" s="1124"/>
      <c r="E144" s="1124"/>
      <c r="F144" s="1126"/>
    </row>
    <row r="145" spans="1:6" ht="38.25" customHeight="1">
      <c r="A145" s="1123"/>
      <c r="B145" s="1124">
        <f>building!S869</f>
        <v>63</v>
      </c>
      <c r="C145" s="1125" t="s">
        <v>2133</v>
      </c>
      <c r="D145" s="1124">
        <f>building!C869</f>
        <v>1678.69</v>
      </c>
      <c r="E145" s="1124" t="s">
        <v>1393</v>
      </c>
      <c r="F145" s="1126">
        <f t="shared" ref="F145:F162" si="18">D145*B145</f>
        <v>105757.47</v>
      </c>
    </row>
    <row r="146" spans="1:6" ht="38.25" customHeight="1">
      <c r="A146" s="1123"/>
      <c r="B146" s="1124">
        <f>building!S870</f>
        <v>33</v>
      </c>
      <c r="C146" s="1125" t="s">
        <v>1265</v>
      </c>
      <c r="D146" s="1124">
        <f>building!C870</f>
        <v>1681.79</v>
      </c>
      <c r="E146" s="1124" t="s">
        <v>1393</v>
      </c>
      <c r="F146" s="1126">
        <f t="shared" si="18"/>
        <v>55499.07</v>
      </c>
    </row>
    <row r="147" spans="1:6" ht="36" customHeight="1">
      <c r="A147" s="1123"/>
      <c r="B147" s="1124">
        <f>building!S871</f>
        <v>3</v>
      </c>
      <c r="C147" s="1125" t="s">
        <v>296</v>
      </c>
      <c r="D147" s="1124">
        <f>building!C871</f>
        <v>1711.44</v>
      </c>
      <c r="E147" s="1124" t="s">
        <v>1393</v>
      </c>
      <c r="F147" s="1126">
        <f t="shared" si="18"/>
        <v>5134.32</v>
      </c>
    </row>
    <row r="148" spans="1:6" ht="215.25" customHeight="1">
      <c r="A148" s="1123">
        <f>A144+1</f>
        <v>86</v>
      </c>
      <c r="B148" s="1124">
        <f>building!S872</f>
        <v>25</v>
      </c>
      <c r="C148" s="1125" t="s">
        <v>6924</v>
      </c>
      <c r="D148" s="1124">
        <f>building!C872</f>
        <v>1734.1</v>
      </c>
      <c r="E148" s="1124" t="s">
        <v>1393</v>
      </c>
      <c r="F148" s="1126">
        <f t="shared" si="18"/>
        <v>43352.5</v>
      </c>
    </row>
    <row r="149" spans="1:6" ht="253.5" customHeight="1">
      <c r="A149" s="1123">
        <f>A148+1</f>
        <v>87</v>
      </c>
      <c r="B149" s="1124">
        <f>building!S873</f>
        <v>3</v>
      </c>
      <c r="C149" s="1125" t="s">
        <v>6925</v>
      </c>
      <c r="D149" s="1124">
        <f>building!C873</f>
        <v>3158.59</v>
      </c>
      <c r="E149" s="1124" t="s">
        <v>1393</v>
      </c>
      <c r="F149" s="1126">
        <f t="shared" si="18"/>
        <v>9475.77</v>
      </c>
    </row>
    <row r="150" spans="1:6" ht="235.5" customHeight="1">
      <c r="A150" s="1123">
        <f>A149+1</f>
        <v>88</v>
      </c>
      <c r="B150" s="1124">
        <f>building!S874</f>
        <v>19</v>
      </c>
      <c r="C150" s="1125" t="s">
        <v>6848</v>
      </c>
      <c r="D150" s="1124">
        <f>building!C874</f>
        <v>864.66</v>
      </c>
      <c r="E150" s="1124" t="s">
        <v>1393</v>
      </c>
      <c r="F150" s="1126">
        <f t="shared" si="18"/>
        <v>16428.54</v>
      </c>
    </row>
    <row r="151" spans="1:6" ht="222" customHeight="1">
      <c r="A151" s="1123">
        <f>A150+1</f>
        <v>89</v>
      </c>
      <c r="B151" s="1124">
        <f>building!S875</f>
        <v>26</v>
      </c>
      <c r="C151" s="1125" t="s">
        <v>6870</v>
      </c>
      <c r="D151" s="1124">
        <f>building!C875</f>
        <v>1161.3</v>
      </c>
      <c r="E151" s="1124" t="s">
        <v>1393</v>
      </c>
      <c r="F151" s="1126">
        <f t="shared" si="18"/>
        <v>30193.8</v>
      </c>
    </row>
    <row r="152" spans="1:6" ht="84.75" customHeight="1">
      <c r="A152" s="1123">
        <f>A151+1</f>
        <v>90</v>
      </c>
      <c r="B152" s="1124">
        <f>building!S924</f>
        <v>12</v>
      </c>
      <c r="C152" s="1125" t="s">
        <v>6852</v>
      </c>
      <c r="D152" s="1124">
        <f>building!C924</f>
        <v>529.20000000000005</v>
      </c>
      <c r="E152" s="1124" t="s">
        <v>1393</v>
      </c>
      <c r="F152" s="1126">
        <f t="shared" si="18"/>
        <v>6350.4</v>
      </c>
    </row>
    <row r="153" spans="1:6" ht="163.5" customHeight="1">
      <c r="A153" s="1123">
        <f t="shared" ref="A153:A154" si="19">A152+1</f>
        <v>91</v>
      </c>
      <c r="B153" s="1124">
        <f>building!S925</f>
        <v>4</v>
      </c>
      <c r="C153" s="1125" t="s">
        <v>6853</v>
      </c>
      <c r="D153" s="1124">
        <f>building!C925</f>
        <v>3460</v>
      </c>
      <c r="E153" s="1124" t="s">
        <v>1393</v>
      </c>
      <c r="F153" s="1126">
        <f t="shared" si="18"/>
        <v>13840</v>
      </c>
    </row>
    <row r="154" spans="1:6" ht="161.25" customHeight="1">
      <c r="A154" s="1123">
        <f t="shared" si="19"/>
        <v>92</v>
      </c>
      <c r="B154" s="1124">
        <f>building!S923</f>
        <v>36</v>
      </c>
      <c r="C154" s="1125" t="s">
        <v>6928</v>
      </c>
      <c r="D154" s="1124">
        <f>building!C923</f>
        <v>705</v>
      </c>
      <c r="E154" s="1124" t="s">
        <v>1393</v>
      </c>
      <c r="F154" s="1126">
        <f t="shared" si="18"/>
        <v>25380</v>
      </c>
    </row>
    <row r="155" spans="1:6" ht="83.25" customHeight="1">
      <c r="A155" s="1123">
        <f>A154+1</f>
        <v>93</v>
      </c>
      <c r="B155" s="1124"/>
      <c r="C155" s="1125" t="s">
        <v>6871</v>
      </c>
      <c r="D155" s="1124"/>
      <c r="E155" s="1124"/>
      <c r="F155" s="1126"/>
    </row>
    <row r="156" spans="1:6" ht="33.75" customHeight="1">
      <c r="A156" s="1123"/>
      <c r="B156" s="1124">
        <f>building!S927</f>
        <v>12</v>
      </c>
      <c r="C156" s="1125" t="s">
        <v>7058</v>
      </c>
      <c r="D156" s="1124">
        <f>building!C927</f>
        <v>170</v>
      </c>
      <c r="E156" s="1124" t="s">
        <v>1393</v>
      </c>
      <c r="F156" s="1126">
        <f>D156*B156</f>
        <v>2040</v>
      </c>
    </row>
    <row r="157" spans="1:6" ht="33.75" customHeight="1">
      <c r="A157" s="1123"/>
      <c r="B157" s="1124">
        <f>building!S926</f>
        <v>33</v>
      </c>
      <c r="C157" s="1125" t="s">
        <v>6927</v>
      </c>
      <c r="D157" s="1124">
        <f>building!C926</f>
        <v>135</v>
      </c>
      <c r="E157" s="1124" t="s">
        <v>1393</v>
      </c>
      <c r="F157" s="1126">
        <f>D157*B157</f>
        <v>4455</v>
      </c>
    </row>
    <row r="158" spans="1:6" ht="87.75" customHeight="1">
      <c r="A158" s="1123">
        <f>A155+1</f>
        <v>94</v>
      </c>
      <c r="B158" s="1124">
        <f>building!S928</f>
        <v>2</v>
      </c>
      <c r="C158" s="1125" t="s">
        <v>6997</v>
      </c>
      <c r="D158" s="1124">
        <f>building!C928</f>
        <v>3508.67</v>
      </c>
      <c r="E158" s="1124" t="s">
        <v>1393</v>
      </c>
      <c r="F158" s="1126">
        <f>D158*B158</f>
        <v>7017.34</v>
      </c>
    </row>
    <row r="159" spans="1:6" ht="157.5" customHeight="1">
      <c r="A159" s="1123">
        <f>A158+1</f>
        <v>95</v>
      </c>
      <c r="B159" s="1124">
        <f>building!S695</f>
        <v>25</v>
      </c>
      <c r="C159" s="1125" t="s">
        <v>6833</v>
      </c>
      <c r="D159" s="1124">
        <f>building!C695</f>
        <v>1552.7</v>
      </c>
      <c r="E159" s="1124" t="s">
        <v>1393</v>
      </c>
      <c r="F159" s="1126">
        <f t="shared" si="18"/>
        <v>38817.5</v>
      </c>
    </row>
    <row r="160" spans="1:6" ht="199.5" customHeight="1">
      <c r="A160" s="1123">
        <f>A159+1</f>
        <v>96</v>
      </c>
      <c r="B160" s="1124">
        <f>building!S698</f>
        <v>210.5</v>
      </c>
      <c r="C160" s="1125" t="s">
        <v>6835</v>
      </c>
      <c r="D160" s="1124">
        <f>building!C698</f>
        <v>232.9</v>
      </c>
      <c r="E160" s="1124" t="s">
        <v>823</v>
      </c>
      <c r="F160" s="1126">
        <f t="shared" si="18"/>
        <v>49025.45</v>
      </c>
    </row>
    <row r="161" spans="1:6" ht="206.25" customHeight="1">
      <c r="A161" s="1123">
        <f>A160+1</f>
        <v>97</v>
      </c>
      <c r="B161" s="1124">
        <f>building!S696</f>
        <v>149</v>
      </c>
      <c r="C161" s="1125" t="s">
        <v>6834</v>
      </c>
      <c r="D161" s="1124">
        <f>building!C696</f>
        <v>272.89999999999998</v>
      </c>
      <c r="E161" s="1124" t="s">
        <v>823</v>
      </c>
      <c r="F161" s="1126">
        <f t="shared" si="18"/>
        <v>40662.1</v>
      </c>
    </row>
    <row r="162" spans="1:6" ht="204" customHeight="1">
      <c r="A162" s="1123">
        <f t="shared" ref="A162:A163" si="20">A159+1</f>
        <v>96</v>
      </c>
      <c r="B162" s="1124">
        <f>building!S699</f>
        <v>60</v>
      </c>
      <c r="C162" s="1125" t="s">
        <v>6836</v>
      </c>
      <c r="D162" s="1124">
        <f>building!C699</f>
        <v>275.3</v>
      </c>
      <c r="E162" s="1124" t="s">
        <v>823</v>
      </c>
      <c r="F162" s="1126">
        <f t="shared" si="18"/>
        <v>16518</v>
      </c>
    </row>
    <row r="163" spans="1:6" ht="310.5" customHeight="1">
      <c r="A163" s="1123">
        <f t="shared" si="20"/>
        <v>97</v>
      </c>
      <c r="B163" s="1124"/>
      <c r="C163" s="1125" t="s">
        <v>6872</v>
      </c>
      <c r="D163" s="1124"/>
      <c r="E163" s="1124"/>
      <c r="F163" s="1126"/>
    </row>
    <row r="164" spans="1:6" ht="39.75" customHeight="1">
      <c r="A164" s="1123"/>
      <c r="B164" s="1124">
        <f>building!S626</f>
        <v>2.9</v>
      </c>
      <c r="C164" s="1125" t="s">
        <v>6915</v>
      </c>
      <c r="D164" s="1124">
        <f>building!C626</f>
        <v>6538.42</v>
      </c>
      <c r="E164" s="1124" t="s">
        <v>2273</v>
      </c>
      <c r="F164" s="1126">
        <f>D164*B164</f>
        <v>18961.419999999998</v>
      </c>
    </row>
    <row r="165" spans="1:6" ht="39.75" customHeight="1">
      <c r="A165" s="1123"/>
      <c r="B165" s="1124">
        <f>building!S627</f>
        <v>6.8</v>
      </c>
      <c r="C165" s="1125" t="s">
        <v>6999</v>
      </c>
      <c r="D165" s="1124">
        <f>building!C627</f>
        <v>7153.15</v>
      </c>
      <c r="E165" s="1124" t="s">
        <v>2273</v>
      </c>
      <c r="F165" s="1126">
        <f>D165*B165</f>
        <v>48641.42</v>
      </c>
    </row>
    <row r="166" spans="1:6" ht="39.75" customHeight="1">
      <c r="A166" s="1123"/>
      <c r="B166" s="1124">
        <f>building!S628</f>
        <v>2</v>
      </c>
      <c r="C166" s="1125" t="s">
        <v>7000</v>
      </c>
      <c r="D166" s="1124">
        <f>building!C628</f>
        <v>6293.58</v>
      </c>
      <c r="E166" s="1124" t="s">
        <v>2273</v>
      </c>
      <c r="F166" s="1126">
        <f>D166*B166</f>
        <v>12587.16</v>
      </c>
    </row>
    <row r="167" spans="1:6" ht="39.75" customHeight="1">
      <c r="A167" s="1123">
        <f>A163+1</f>
        <v>98</v>
      </c>
      <c r="B167" s="1124"/>
      <c r="C167" s="1125" t="s">
        <v>4731</v>
      </c>
      <c r="D167" s="1124"/>
      <c r="E167" s="1124"/>
      <c r="F167" s="1126"/>
    </row>
    <row r="168" spans="1:6" ht="40.5" customHeight="1">
      <c r="A168" s="1123"/>
      <c r="B168" s="1124">
        <f>building!S619</f>
        <v>0</v>
      </c>
      <c r="C168" s="1125" t="s">
        <v>4655</v>
      </c>
      <c r="D168" s="1124">
        <f>building!C619</f>
        <v>5030.8599999999997</v>
      </c>
      <c r="E168" s="1124" t="s">
        <v>2273</v>
      </c>
      <c r="F168" s="1126">
        <f>B168*D168</f>
        <v>0</v>
      </c>
    </row>
    <row r="169" spans="1:6" ht="40.5" customHeight="1">
      <c r="A169" s="1123"/>
      <c r="B169" s="1124">
        <f>building!S620</f>
        <v>3.5</v>
      </c>
      <c r="C169" s="1125" t="s">
        <v>4730</v>
      </c>
      <c r="D169" s="1124">
        <f>building!C620</f>
        <v>5046.57</v>
      </c>
      <c r="E169" s="1124" t="s">
        <v>2273</v>
      </c>
      <c r="F169" s="1126">
        <f>B169*D169</f>
        <v>17663</v>
      </c>
    </row>
    <row r="170" spans="1:6" ht="139.5" customHeight="1">
      <c r="A170" s="1123">
        <f>A167+1</f>
        <v>99</v>
      </c>
      <c r="B170" s="1124">
        <f>building!S702</f>
        <v>1</v>
      </c>
      <c r="C170" s="1125" t="s">
        <v>6837</v>
      </c>
      <c r="D170" s="1124">
        <f>building!C702</f>
        <v>2176.4</v>
      </c>
      <c r="E170" s="1124" t="s">
        <v>1393</v>
      </c>
      <c r="F170" s="1126">
        <f>D170*B170</f>
        <v>2176.4</v>
      </c>
    </row>
    <row r="171" spans="1:6" ht="179.25" customHeight="1">
      <c r="A171" s="1123">
        <f>A170+1</f>
        <v>100</v>
      </c>
      <c r="B171" s="1127">
        <f>building!S712</f>
        <v>2.5150000000000001</v>
      </c>
      <c r="C171" s="1125" t="s">
        <v>6841</v>
      </c>
      <c r="D171" s="1124">
        <f>building!C712</f>
        <v>2867.75</v>
      </c>
      <c r="E171" s="1124" t="s">
        <v>525</v>
      </c>
      <c r="F171" s="1126">
        <f>D171*B171</f>
        <v>7212.39</v>
      </c>
    </row>
    <row r="172" spans="1:6" ht="129.75" customHeight="1">
      <c r="A172" s="1123">
        <f t="shared" ref="A172:A196" si="21">A171+1</f>
        <v>101</v>
      </c>
      <c r="B172" s="1124">
        <f>building!S707</f>
        <v>7</v>
      </c>
      <c r="C172" s="1125" t="s">
        <v>6840</v>
      </c>
      <c r="D172" s="1124">
        <f>building!C707</f>
        <v>398.3</v>
      </c>
      <c r="E172" s="1124" t="s">
        <v>1393</v>
      </c>
      <c r="F172" s="1126">
        <f t="shared" ref="F172:F196" si="22">D172*B172</f>
        <v>2788.1</v>
      </c>
    </row>
    <row r="173" spans="1:6" ht="77.25" customHeight="1">
      <c r="A173" s="1123">
        <f t="shared" si="21"/>
        <v>102</v>
      </c>
      <c r="B173" s="1124">
        <f>building!S708</f>
        <v>1</v>
      </c>
      <c r="C173" s="1125" t="str">
        <f>building!B708</f>
        <v>S&amp;F of stainless steel sink including labour for fixing in position etc., complete and as directed by the departmental officers PWD SR P-55/2023-24</v>
      </c>
      <c r="D173" s="1124">
        <f>building!C708</f>
        <v>7140</v>
      </c>
      <c r="E173" s="1124" t="s">
        <v>1389</v>
      </c>
      <c r="F173" s="1126">
        <f t="shared" si="22"/>
        <v>7140</v>
      </c>
    </row>
    <row r="174" spans="1:6" ht="112.5" customHeight="1">
      <c r="A174" s="1123">
        <f t="shared" si="21"/>
        <v>103</v>
      </c>
      <c r="B174" s="1124">
        <f>building!S714</f>
        <v>2</v>
      </c>
      <c r="C174" s="1125" t="s">
        <v>6900</v>
      </c>
      <c r="D174" s="1124">
        <f>building!C714</f>
        <v>1345.34</v>
      </c>
      <c r="E174" s="1124" t="s">
        <v>1389</v>
      </c>
      <c r="F174" s="1126">
        <f>D174*B174</f>
        <v>2690.68</v>
      </c>
    </row>
    <row r="175" spans="1:6" ht="126" customHeight="1">
      <c r="A175" s="1123">
        <f t="shared" si="21"/>
        <v>104</v>
      </c>
      <c r="B175" s="1124">
        <f>building!S913</f>
        <v>9</v>
      </c>
      <c r="C175" s="1125" t="s">
        <v>7003</v>
      </c>
      <c r="D175" s="1124">
        <f>building!C913</f>
        <v>1858</v>
      </c>
      <c r="E175" s="1124" t="s">
        <v>1389</v>
      </c>
      <c r="F175" s="1126">
        <f>D175*B175</f>
        <v>16722</v>
      </c>
    </row>
    <row r="176" spans="1:6" ht="47.25" customHeight="1">
      <c r="A176" s="1123">
        <f t="shared" si="21"/>
        <v>105</v>
      </c>
      <c r="B176" s="1124">
        <f>building!S718</f>
        <v>6</v>
      </c>
      <c r="C176" s="1125" t="str">
        <f>building!B718</f>
        <v>Supply of G.I pipe 40mm dia 'B' Class</v>
      </c>
      <c r="D176" s="1124">
        <f>building!C718</f>
        <v>165</v>
      </c>
      <c r="E176" s="1124" t="s">
        <v>823</v>
      </c>
      <c r="F176" s="1126">
        <f>D176*B176</f>
        <v>990</v>
      </c>
    </row>
    <row r="177" spans="1:6" ht="372" customHeight="1">
      <c r="A177" s="1123">
        <f t="shared" si="21"/>
        <v>106</v>
      </c>
      <c r="B177" s="1124">
        <f>building!S731</f>
        <v>49</v>
      </c>
      <c r="C177" s="1220" t="s">
        <v>6843</v>
      </c>
      <c r="D177" s="1124">
        <f>building!C731</f>
        <v>1438.54</v>
      </c>
      <c r="E177" s="1124" t="s">
        <v>2273</v>
      </c>
      <c r="F177" s="1126">
        <f t="shared" si="22"/>
        <v>70488.460000000006</v>
      </c>
    </row>
    <row r="178" spans="1:6" ht="87" customHeight="1">
      <c r="A178" s="1123">
        <f t="shared" si="21"/>
        <v>107</v>
      </c>
      <c r="B178" s="1124">
        <f>building!S711</f>
        <v>2</v>
      </c>
      <c r="C178" s="1125" t="s">
        <v>6873</v>
      </c>
      <c r="D178" s="1124">
        <f>building!C711</f>
        <v>1753.5</v>
      </c>
      <c r="E178" s="1124" t="s">
        <v>1393</v>
      </c>
      <c r="F178" s="1126">
        <f t="shared" si="22"/>
        <v>3507</v>
      </c>
    </row>
    <row r="179" spans="1:6" ht="97.5" customHeight="1">
      <c r="A179" s="1123">
        <f t="shared" si="21"/>
        <v>108</v>
      </c>
      <c r="B179" s="1124">
        <f>building!S735</f>
        <v>221</v>
      </c>
      <c r="C179" s="1125" t="str">
        <f>building!B735</f>
        <v>Supply and Laying of Nano Polish Virtified tile Flooring with 1st Quality homogeneous tiles in C.M 1:3 20mm Thick incl. pointing with Latricrete or Equivalent make Epoxy Stain Free (SP-100) grout</v>
      </c>
      <c r="D179" s="1124">
        <f>building!C735</f>
        <v>1256.21</v>
      </c>
      <c r="E179" s="1124" t="s">
        <v>2273</v>
      </c>
      <c r="F179" s="1126">
        <f t="shared" si="22"/>
        <v>277622.40999999997</v>
      </c>
    </row>
    <row r="180" spans="1:6" ht="154.5" customHeight="1">
      <c r="A180" s="1123">
        <f t="shared" si="21"/>
        <v>109</v>
      </c>
      <c r="B180" s="1124">
        <f>building!S736</f>
        <v>44.1</v>
      </c>
      <c r="C180" s="1125" t="s">
        <v>6984</v>
      </c>
      <c r="D180" s="1124">
        <f>building!C736</f>
        <v>1486.13</v>
      </c>
      <c r="E180" s="1124" t="s">
        <v>2273</v>
      </c>
      <c r="F180" s="1126">
        <f t="shared" si="22"/>
        <v>65538.33</v>
      </c>
    </row>
    <row r="181" spans="1:6" ht="180.75" customHeight="1">
      <c r="A181" s="1123">
        <f t="shared" si="21"/>
        <v>110</v>
      </c>
      <c r="B181" s="1124">
        <f>building!S823</f>
        <v>4.1900000000000004</v>
      </c>
      <c r="C181" s="1125" t="s">
        <v>6983</v>
      </c>
      <c r="D181" s="1124">
        <f>building!C823</f>
        <v>1112.93</v>
      </c>
      <c r="E181" s="1124" t="s">
        <v>2273</v>
      </c>
      <c r="F181" s="1126">
        <f t="shared" ref="F181" si="23">D181*B181</f>
        <v>4663.18</v>
      </c>
    </row>
    <row r="182" spans="1:6" ht="202.5" customHeight="1">
      <c r="A182" s="1123">
        <f t="shared" si="21"/>
        <v>111</v>
      </c>
      <c r="B182" s="1124">
        <f>building!S888</f>
        <v>63</v>
      </c>
      <c r="C182" s="1125" t="s">
        <v>6844</v>
      </c>
      <c r="D182" s="1124">
        <f>building!C888</f>
        <v>2296.91</v>
      </c>
      <c r="E182" s="1124" t="s">
        <v>2273</v>
      </c>
      <c r="F182" s="1126">
        <f t="shared" si="22"/>
        <v>144705.32999999999</v>
      </c>
    </row>
    <row r="183" spans="1:6" ht="107.25" customHeight="1">
      <c r="A183" s="1123">
        <f t="shared" si="21"/>
        <v>112</v>
      </c>
      <c r="B183" s="1124">
        <f>building!S709</f>
        <v>6.2</v>
      </c>
      <c r="C183" s="1125" t="s">
        <v>6874</v>
      </c>
      <c r="D183" s="1124">
        <f>building!C709</f>
        <v>370.25</v>
      </c>
      <c r="E183" s="1124" t="s">
        <v>823</v>
      </c>
      <c r="F183" s="1126">
        <f t="shared" si="22"/>
        <v>2295.5500000000002</v>
      </c>
    </row>
    <row r="184" spans="1:6" ht="120.75" customHeight="1">
      <c r="A184" s="1123">
        <f t="shared" si="21"/>
        <v>113</v>
      </c>
      <c r="B184" s="1124">
        <f>building!S726</f>
        <v>6</v>
      </c>
      <c r="C184" s="1125" t="s">
        <v>6842</v>
      </c>
      <c r="D184" s="1124">
        <f>building!C726</f>
        <v>138.32</v>
      </c>
      <c r="E184" s="1124" t="s">
        <v>1393</v>
      </c>
      <c r="F184" s="1126">
        <f t="shared" si="22"/>
        <v>829.92</v>
      </c>
    </row>
    <row r="185" spans="1:6" ht="330.75" customHeight="1">
      <c r="A185" s="1123">
        <f t="shared" si="21"/>
        <v>114</v>
      </c>
      <c r="B185" s="1124">
        <f>building!S801</f>
        <v>59.7</v>
      </c>
      <c r="C185" s="1220" t="s">
        <v>7076</v>
      </c>
      <c r="D185" s="1124">
        <f>building!C801</f>
        <v>7482</v>
      </c>
      <c r="E185" s="1124" t="s">
        <v>2273</v>
      </c>
      <c r="F185" s="1126">
        <f t="shared" si="22"/>
        <v>446675.4</v>
      </c>
    </row>
    <row r="186" spans="1:6" ht="265.5" customHeight="1">
      <c r="A186" s="1123">
        <f t="shared" si="21"/>
        <v>115</v>
      </c>
      <c r="B186" s="1124">
        <f>building!S800</f>
        <v>4.3</v>
      </c>
      <c r="C186" s="1125" t="s">
        <v>6922</v>
      </c>
      <c r="D186" s="1124">
        <f>building!C800</f>
        <v>8106</v>
      </c>
      <c r="E186" s="1124" t="s">
        <v>2273</v>
      </c>
      <c r="F186" s="1126">
        <f t="shared" si="22"/>
        <v>34855.800000000003</v>
      </c>
    </row>
    <row r="187" spans="1:6" ht="293.25" customHeight="1">
      <c r="A187" s="1123">
        <f t="shared" si="21"/>
        <v>116</v>
      </c>
      <c r="B187" s="1124">
        <f>building!S725</f>
        <v>37.200000000000003</v>
      </c>
      <c r="C187" s="1125" t="s">
        <v>6923</v>
      </c>
      <c r="D187" s="1124">
        <f>building!C725</f>
        <v>5536</v>
      </c>
      <c r="E187" s="1124" t="s">
        <v>2273</v>
      </c>
      <c r="F187" s="1126">
        <f t="shared" si="22"/>
        <v>205939.20000000001</v>
      </c>
    </row>
    <row r="188" spans="1:6" ht="98.25" customHeight="1">
      <c r="A188" s="1123">
        <f t="shared" si="21"/>
        <v>117</v>
      </c>
      <c r="B188" s="1124">
        <f>building!S936</f>
        <v>12</v>
      </c>
      <c r="C188" s="1125" t="s">
        <v>6929</v>
      </c>
      <c r="D188" s="1124">
        <f>building!C936</f>
        <v>2701</v>
      </c>
      <c r="E188" s="1124" t="s">
        <v>1389</v>
      </c>
      <c r="F188" s="1126">
        <f t="shared" si="22"/>
        <v>32412</v>
      </c>
    </row>
    <row r="189" spans="1:6" ht="93.75" customHeight="1">
      <c r="A189" s="1123">
        <f t="shared" si="21"/>
        <v>118</v>
      </c>
      <c r="B189" s="1124">
        <f>building!S937</f>
        <v>7</v>
      </c>
      <c r="C189" s="1125" t="s">
        <v>6875</v>
      </c>
      <c r="D189" s="1178">
        <f>building!C937</f>
        <v>990</v>
      </c>
      <c r="E189" s="1124" t="s">
        <v>1393</v>
      </c>
      <c r="F189" s="1126">
        <f t="shared" si="22"/>
        <v>6930</v>
      </c>
    </row>
    <row r="190" spans="1:6" ht="59.25" customHeight="1">
      <c r="A190" s="1123">
        <f t="shared" si="21"/>
        <v>119</v>
      </c>
      <c r="B190" s="1124">
        <f>building!S938</f>
        <v>2</v>
      </c>
      <c r="C190" s="1125" t="str">
        <f>building!B938</f>
        <v>Supply and fixing of Hydraulic Door Closer of various sizes of approved quality PWD SR P-44/2023-24</v>
      </c>
      <c r="D190" s="1124">
        <f>building!C938</f>
        <v>1008</v>
      </c>
      <c r="E190" s="1124" t="s">
        <v>1393</v>
      </c>
      <c r="F190" s="1126">
        <f t="shared" ref="F190:F191" si="24">D190*B190</f>
        <v>2016</v>
      </c>
    </row>
    <row r="191" spans="1:6" ht="70.5" customHeight="1">
      <c r="A191" s="1123">
        <f t="shared" si="21"/>
        <v>120</v>
      </c>
      <c r="B191" s="1124">
        <f>building!S750</f>
        <v>2</v>
      </c>
      <c r="C191" s="1125" t="s">
        <v>7005</v>
      </c>
      <c r="D191" s="1124">
        <f>building!C750</f>
        <v>4146</v>
      </c>
      <c r="E191" s="1124" t="s">
        <v>1393</v>
      </c>
      <c r="F191" s="1126">
        <f t="shared" si="24"/>
        <v>8292</v>
      </c>
    </row>
    <row r="192" spans="1:6" ht="81" customHeight="1">
      <c r="A192" s="1123">
        <f>A191+1</f>
        <v>121</v>
      </c>
      <c r="B192" s="1124">
        <f>building!S784</f>
        <v>5</v>
      </c>
      <c r="C192" s="1125" t="s">
        <v>7006</v>
      </c>
      <c r="D192" s="1124">
        <f>building!C784</f>
        <v>1013</v>
      </c>
      <c r="E192" s="1124" t="s">
        <v>1393</v>
      </c>
      <c r="F192" s="1126">
        <f t="shared" si="22"/>
        <v>5065</v>
      </c>
    </row>
    <row r="193" spans="1:8" ht="144.75" customHeight="1">
      <c r="A193" s="1123">
        <f t="shared" si="21"/>
        <v>122</v>
      </c>
      <c r="B193" s="1124">
        <f>building!S730</f>
        <v>7</v>
      </c>
      <c r="C193" s="1125" t="s">
        <v>6989</v>
      </c>
      <c r="D193" s="1178">
        <f>building!C730</f>
        <v>2500</v>
      </c>
      <c r="E193" s="1124" t="s">
        <v>1393</v>
      </c>
      <c r="F193" s="1126">
        <f t="shared" si="22"/>
        <v>17500</v>
      </c>
    </row>
    <row r="194" spans="1:8" s="1128" customFormat="1" ht="38.25" customHeight="1">
      <c r="A194" s="1123">
        <f t="shared" si="21"/>
        <v>123</v>
      </c>
      <c r="B194" s="1124">
        <f>building!S729</f>
        <v>20.7</v>
      </c>
      <c r="C194" s="1125" t="s">
        <v>7059</v>
      </c>
      <c r="D194" s="1124">
        <f>building!C729</f>
        <v>725</v>
      </c>
      <c r="E194" s="1124" t="s">
        <v>2273</v>
      </c>
      <c r="F194" s="1126">
        <f t="shared" si="22"/>
        <v>15007.5</v>
      </c>
      <c r="G194" s="1118"/>
      <c r="H194" s="1118"/>
    </row>
    <row r="195" spans="1:8" ht="155.25" customHeight="1">
      <c r="A195" s="1123">
        <f t="shared" si="21"/>
        <v>124</v>
      </c>
      <c r="B195" s="1124">
        <f>building!S431</f>
        <v>2</v>
      </c>
      <c r="C195" s="1125" t="s">
        <v>7067</v>
      </c>
      <c r="D195" s="1124">
        <f>building!C431</f>
        <v>13800</v>
      </c>
      <c r="E195" s="1124" t="s">
        <v>1389</v>
      </c>
      <c r="F195" s="1126">
        <f>D195*B195</f>
        <v>27600</v>
      </c>
    </row>
    <row r="196" spans="1:8" s="1128" customFormat="1" ht="94.5" customHeight="1">
      <c r="A196" s="1123">
        <f t="shared" si="21"/>
        <v>125</v>
      </c>
      <c r="B196" s="1124">
        <f>building!S728</f>
        <v>14.7</v>
      </c>
      <c r="C196" s="1125" t="s">
        <v>6919</v>
      </c>
      <c r="D196" s="1124">
        <f>building!C728</f>
        <v>95.4</v>
      </c>
      <c r="E196" s="1124" t="s">
        <v>823</v>
      </c>
      <c r="F196" s="1126">
        <f t="shared" si="22"/>
        <v>1402.38</v>
      </c>
      <c r="G196" s="1118"/>
      <c r="H196" s="1118"/>
    </row>
    <row r="197" spans="1:8" s="1128" customFormat="1" ht="31.5" customHeight="1">
      <c r="A197" s="1123"/>
      <c r="B197" s="1124"/>
      <c r="C197" s="1129" t="s">
        <v>6721</v>
      </c>
      <c r="D197" s="1124"/>
      <c r="E197" s="1124"/>
      <c r="F197" s="1126"/>
      <c r="G197" s="1118"/>
      <c r="H197" s="1118"/>
    </row>
    <row r="198" spans="1:8" ht="105" customHeight="1">
      <c r="A198" s="1123">
        <f>A196+1</f>
        <v>126</v>
      </c>
      <c r="B198" s="1124"/>
      <c r="C198" s="1125" t="s">
        <v>6880</v>
      </c>
      <c r="D198" s="1124"/>
      <c r="E198" s="1124"/>
      <c r="F198" s="1126"/>
    </row>
    <row r="199" spans="1:8" ht="33.75" customHeight="1">
      <c r="A199" s="1123"/>
      <c r="B199" s="1124">
        <f>building!S940</f>
        <v>50</v>
      </c>
      <c r="C199" s="1125" t="s">
        <v>6932</v>
      </c>
      <c r="D199" s="1124">
        <f>building!C940</f>
        <v>561</v>
      </c>
      <c r="E199" s="1124" t="s">
        <v>823</v>
      </c>
      <c r="F199" s="1126">
        <f>D199*B199</f>
        <v>28050</v>
      </c>
    </row>
    <row r="200" spans="1:8" ht="77.25" customHeight="1">
      <c r="A200" s="1123">
        <f>A198+1</f>
        <v>127</v>
      </c>
      <c r="B200" s="1124">
        <f>building!S941</f>
        <v>2</v>
      </c>
      <c r="C200" s="1125" t="str">
        <f>building!B941</f>
        <v>Supplying and providing cable end termination of following sizes of XLPE armoured LTUG cable 3.5core 50sqmm LTUG cable SD-237</v>
      </c>
      <c r="D200" s="1124">
        <f>building!C941</f>
        <v>346</v>
      </c>
      <c r="E200" s="1124" t="s">
        <v>1389</v>
      </c>
      <c r="F200" s="1126">
        <f>D200*B200</f>
        <v>692</v>
      </c>
    </row>
    <row r="201" spans="1:8" ht="75.75" customHeight="1">
      <c r="A201" s="1123">
        <f>A200+1</f>
        <v>128</v>
      </c>
      <c r="B201" s="1124">
        <f>building!S942</f>
        <v>2</v>
      </c>
      <c r="C201" s="1125" t="str">
        <f>building!B942</f>
        <v>Supply &amp; fixing of cable gland suitable for following PVC armoured LTUG cable etc., complete  3.5core 50sqmm LTUG cable SD-188</v>
      </c>
      <c r="D201" s="1124">
        <f>building!C942</f>
        <v>439</v>
      </c>
      <c r="E201" s="1124" t="s">
        <v>1389</v>
      </c>
      <c r="F201" s="1126">
        <f>D201*B201</f>
        <v>878</v>
      </c>
    </row>
    <row r="202" spans="1:8" ht="97.5" customHeight="1">
      <c r="A202" s="1123">
        <f>A201+1</f>
        <v>129</v>
      </c>
      <c r="B202" s="1124"/>
      <c r="C202" s="1125" t="s">
        <v>6877</v>
      </c>
      <c r="D202" s="1124"/>
      <c r="E202" s="1124"/>
      <c r="F202" s="1126"/>
    </row>
    <row r="203" spans="1:8" ht="36.75" customHeight="1">
      <c r="A203" s="1123"/>
      <c r="B203" s="1124">
        <f>building!S943</f>
        <v>17.5</v>
      </c>
      <c r="C203" s="1125" t="s">
        <v>6899</v>
      </c>
      <c r="D203" s="1124">
        <f>building!C943</f>
        <v>896.26</v>
      </c>
      <c r="E203" s="1124" t="s">
        <v>823</v>
      </c>
      <c r="F203" s="1126">
        <f>D203*B203</f>
        <v>15684.55</v>
      </c>
    </row>
    <row r="204" spans="1:8" ht="102" customHeight="1">
      <c r="A204" s="1123">
        <f>A202+1</f>
        <v>130</v>
      </c>
      <c r="B204" s="1124"/>
      <c r="C204" s="1125" t="s">
        <v>6878</v>
      </c>
      <c r="D204" s="1124"/>
      <c r="E204" s="1124"/>
      <c r="F204" s="1126"/>
    </row>
    <row r="205" spans="1:8" ht="31.5" customHeight="1">
      <c r="A205" s="1123"/>
      <c r="B205" s="1124">
        <f>building!S944</f>
        <v>50</v>
      </c>
      <c r="C205" s="1125" t="s">
        <v>6899</v>
      </c>
      <c r="D205" s="1124">
        <f>building!C944</f>
        <v>798.92</v>
      </c>
      <c r="E205" s="1124" t="s">
        <v>823</v>
      </c>
      <c r="F205" s="1126">
        <f>D205*B205</f>
        <v>39946</v>
      </c>
    </row>
    <row r="206" spans="1:8" ht="86.25" customHeight="1">
      <c r="A206" s="1123">
        <f>A204+1</f>
        <v>131</v>
      </c>
      <c r="B206" s="1124"/>
      <c r="C206" s="1125" t="s">
        <v>6879</v>
      </c>
      <c r="D206" s="1124"/>
      <c r="E206" s="1124"/>
      <c r="F206" s="1126"/>
    </row>
    <row r="207" spans="1:8" ht="31.5" customHeight="1">
      <c r="A207" s="1123"/>
      <c r="B207" s="1124">
        <f>building!S946</f>
        <v>2</v>
      </c>
      <c r="C207" s="1125" t="s">
        <v>6718</v>
      </c>
      <c r="D207" s="1124">
        <f>building!C946</f>
        <v>419.6</v>
      </c>
      <c r="E207" s="1124" t="s">
        <v>1389</v>
      </c>
      <c r="F207" s="1126">
        <f>D207*B207</f>
        <v>839.2</v>
      </c>
    </row>
    <row r="208" spans="1:8" ht="83.25" customHeight="1">
      <c r="A208" s="1123">
        <f>A201+1</f>
        <v>129</v>
      </c>
      <c r="B208" s="1124">
        <f>building!S947</f>
        <v>1</v>
      </c>
      <c r="C208" s="1125" t="s">
        <v>7071</v>
      </c>
      <c r="D208" s="1124">
        <f>building!C947</f>
        <v>1627.62</v>
      </c>
      <c r="E208" s="1124" t="s">
        <v>1389</v>
      </c>
      <c r="F208" s="1126">
        <f t="shared" ref="F208:F214" si="25">D208*B208</f>
        <v>1627.62</v>
      </c>
    </row>
    <row r="209" spans="1:8" ht="78.75" customHeight="1">
      <c r="A209" s="1123">
        <f>A208+1</f>
        <v>130</v>
      </c>
      <c r="B209" s="1124">
        <f>building!S948</f>
        <v>1</v>
      </c>
      <c r="C209" s="1125" t="s">
        <v>6953</v>
      </c>
      <c r="D209" s="1124">
        <f>building!C948</f>
        <v>6523.34</v>
      </c>
      <c r="E209" s="1124" t="s">
        <v>1389</v>
      </c>
      <c r="F209" s="1126">
        <f t="shared" si="25"/>
        <v>6523.34</v>
      </c>
    </row>
    <row r="210" spans="1:8" ht="175.5">
      <c r="A210" s="1123">
        <f>A209+1</f>
        <v>131</v>
      </c>
      <c r="B210" s="1124">
        <f>building!S949</f>
        <v>1</v>
      </c>
      <c r="C210" s="1125" t="s">
        <v>6884</v>
      </c>
      <c r="D210" s="1178">
        <f>building!C949</f>
        <v>18342</v>
      </c>
      <c r="E210" s="1124" t="s">
        <v>1389</v>
      </c>
      <c r="F210" s="1126">
        <f>D210*B210</f>
        <v>18342</v>
      </c>
    </row>
    <row r="211" spans="1:8" s="1128" customFormat="1" ht="409.5" customHeight="1">
      <c r="A211" s="1123">
        <f>A210+1</f>
        <v>132</v>
      </c>
      <c r="B211" s="1124"/>
      <c r="C211" s="1220" t="s">
        <v>6881</v>
      </c>
      <c r="D211" s="1124"/>
      <c r="E211" s="1124"/>
      <c r="F211" s="1126"/>
      <c r="G211" s="1118"/>
      <c r="H211" s="1118"/>
    </row>
    <row r="212" spans="1:8" s="1128" customFormat="1" ht="233.25" customHeight="1">
      <c r="A212" s="1123"/>
      <c r="B212" s="1124"/>
      <c r="C212" s="1220" t="s">
        <v>6882</v>
      </c>
      <c r="D212" s="1124"/>
      <c r="E212" s="1124"/>
      <c r="F212" s="1126"/>
      <c r="H212" s="1118"/>
    </row>
    <row r="213" spans="1:8" ht="30.75" customHeight="1">
      <c r="A213" s="1123"/>
      <c r="B213" s="1124">
        <f>building!S951</f>
        <v>1</v>
      </c>
      <c r="C213" s="1125" t="s">
        <v>6883</v>
      </c>
      <c r="D213" s="1124">
        <f>building!C951</f>
        <v>28000</v>
      </c>
      <c r="E213" s="1124" t="s">
        <v>1389</v>
      </c>
      <c r="F213" s="1126">
        <f t="shared" si="25"/>
        <v>28000</v>
      </c>
    </row>
    <row r="214" spans="1:8" ht="96.75" customHeight="1">
      <c r="A214" s="1123">
        <f>A195+1</f>
        <v>125</v>
      </c>
      <c r="B214" s="1124">
        <f>building!S952</f>
        <v>24</v>
      </c>
      <c r="C214" s="1125" t="s">
        <v>6933</v>
      </c>
      <c r="D214" s="1124">
        <f>building!C952</f>
        <v>128</v>
      </c>
      <c r="E214" s="1124" t="s">
        <v>1389</v>
      </c>
      <c r="F214" s="1126">
        <f t="shared" si="25"/>
        <v>3072</v>
      </c>
    </row>
    <row r="215" spans="1:8" ht="37.5" customHeight="1">
      <c r="A215" s="1123"/>
      <c r="B215" s="1124"/>
      <c r="C215" s="1129" t="s">
        <v>6934</v>
      </c>
      <c r="D215" s="1124"/>
      <c r="E215" s="1124"/>
      <c r="F215" s="1126"/>
    </row>
    <row r="216" spans="1:8" ht="295.5" customHeight="1">
      <c r="A216" s="1123">
        <f>A214+1</f>
        <v>126</v>
      </c>
      <c r="B216" s="1124">
        <f>building!S954</f>
        <v>2</v>
      </c>
      <c r="C216" s="1130" t="s">
        <v>6885</v>
      </c>
      <c r="D216" s="1124">
        <f>building!C954</f>
        <v>35300</v>
      </c>
      <c r="E216" s="1124" t="s">
        <v>1389</v>
      </c>
      <c r="F216" s="1126">
        <f>D216*B216</f>
        <v>70600</v>
      </c>
    </row>
    <row r="217" spans="1:8" ht="177.75" customHeight="1">
      <c r="A217" s="1123">
        <f>A216+1</f>
        <v>127</v>
      </c>
      <c r="B217" s="1124">
        <f>building!S955</f>
        <v>2</v>
      </c>
      <c r="C217" s="1130" t="s">
        <v>6886</v>
      </c>
      <c r="D217" s="1124">
        <f>building!C955</f>
        <v>15147</v>
      </c>
      <c r="E217" s="1124" t="s">
        <v>1427</v>
      </c>
      <c r="F217" s="1126">
        <f>D217*B217</f>
        <v>30294</v>
      </c>
    </row>
    <row r="218" spans="1:8" ht="248.25" customHeight="1">
      <c r="A218" s="1123">
        <f>A217+1</f>
        <v>128</v>
      </c>
      <c r="B218" s="1124">
        <f>building!S956</f>
        <v>2</v>
      </c>
      <c r="C218" s="1130" t="s">
        <v>6887</v>
      </c>
      <c r="D218" s="1124">
        <f>building!C956</f>
        <v>11056.1</v>
      </c>
      <c r="E218" s="1124" t="s">
        <v>1389</v>
      </c>
      <c r="F218" s="1126">
        <f>D218*B218</f>
        <v>22112.2</v>
      </c>
    </row>
    <row r="219" spans="1:8" ht="60.75" customHeight="1">
      <c r="A219" s="1123">
        <f t="shared" ref="A219:A220" si="26">A218+1</f>
        <v>129</v>
      </c>
      <c r="B219" s="1124">
        <f>building!S957</f>
        <v>10.5</v>
      </c>
      <c r="C219" s="1130" t="str">
        <f>building!B957</f>
        <v>Supplying and laying of following GI pipe B class with ISI mark .(Above Ground Level) 50mm dia</v>
      </c>
      <c r="D219" s="1124">
        <f>building!C957</f>
        <v>630.97</v>
      </c>
      <c r="E219" s="1124" t="s">
        <v>823</v>
      </c>
      <c r="F219" s="1126">
        <f>D219*B219</f>
        <v>6625.19</v>
      </c>
    </row>
    <row r="220" spans="1:8" ht="169.5" customHeight="1">
      <c r="A220" s="1123">
        <f t="shared" si="26"/>
        <v>130</v>
      </c>
      <c r="B220" s="1124"/>
      <c r="C220" s="1130" t="s">
        <v>6888</v>
      </c>
      <c r="D220" s="1124"/>
      <c r="E220" s="1124"/>
      <c r="F220" s="1126"/>
    </row>
    <row r="221" spans="1:8" ht="37.5" customHeight="1">
      <c r="A221" s="1123"/>
      <c r="B221" s="1124">
        <f>building!S959</f>
        <v>2</v>
      </c>
      <c r="C221" s="1130" t="s">
        <v>6567</v>
      </c>
      <c r="D221" s="1124">
        <f>building!C959</f>
        <v>474</v>
      </c>
      <c r="E221" s="1124" t="s">
        <v>1389</v>
      </c>
      <c r="F221" s="1126">
        <f>D221*B221</f>
        <v>948</v>
      </c>
    </row>
    <row r="222" spans="1:8" ht="37.5" customHeight="1">
      <c r="A222" s="1123"/>
      <c r="B222" s="1124">
        <f>building!S960</f>
        <v>3</v>
      </c>
      <c r="C222" s="1130" t="s">
        <v>6568</v>
      </c>
      <c r="D222" s="1124">
        <f>building!C960</f>
        <v>291</v>
      </c>
      <c r="E222" s="1124" t="s">
        <v>1389</v>
      </c>
      <c r="F222" s="1126">
        <f t="shared" ref="F222:F235" si="27">D222*B222</f>
        <v>873</v>
      </c>
    </row>
    <row r="223" spans="1:8" ht="37.5" customHeight="1">
      <c r="A223" s="1123"/>
      <c r="B223" s="1124">
        <f>building!S961</f>
        <v>2</v>
      </c>
      <c r="C223" s="1130" t="s">
        <v>6569</v>
      </c>
      <c r="D223" s="1124">
        <f>building!C961</f>
        <v>881.7</v>
      </c>
      <c r="E223" s="1124" t="s">
        <v>1389</v>
      </c>
      <c r="F223" s="1126">
        <f t="shared" si="27"/>
        <v>1763.4</v>
      </c>
    </row>
    <row r="224" spans="1:8" ht="37.5" customHeight="1">
      <c r="A224" s="1123"/>
      <c r="B224" s="1124">
        <f>building!S962</f>
        <v>2</v>
      </c>
      <c r="C224" s="1130" t="s">
        <v>6570</v>
      </c>
      <c r="D224" s="1124">
        <f>building!C962</f>
        <v>4013</v>
      </c>
      <c r="E224" s="1124" t="s">
        <v>1389</v>
      </c>
      <c r="F224" s="1126">
        <f t="shared" si="27"/>
        <v>8026</v>
      </c>
    </row>
    <row r="225" spans="1:6" ht="37.5" customHeight="1">
      <c r="A225" s="1123"/>
      <c r="B225" s="1124">
        <f>building!S963</f>
        <v>2</v>
      </c>
      <c r="C225" s="1130" t="s">
        <v>6571</v>
      </c>
      <c r="D225" s="1124">
        <f>building!C963</f>
        <v>119</v>
      </c>
      <c r="E225" s="1124" t="s">
        <v>1389</v>
      </c>
      <c r="F225" s="1126">
        <f t="shared" si="27"/>
        <v>238</v>
      </c>
    </row>
    <row r="226" spans="1:6" ht="37.5" customHeight="1">
      <c r="A226" s="1123"/>
      <c r="B226" s="1124">
        <f>building!S964</f>
        <v>1</v>
      </c>
      <c r="C226" s="1130" t="s">
        <v>6726</v>
      </c>
      <c r="D226" s="1124">
        <f>building!C964</f>
        <v>374</v>
      </c>
      <c r="E226" s="1124" t="s">
        <v>1389</v>
      </c>
      <c r="F226" s="1126">
        <f t="shared" si="27"/>
        <v>374</v>
      </c>
    </row>
    <row r="227" spans="1:6" ht="37.5" customHeight="1">
      <c r="A227" s="1123"/>
      <c r="B227" s="1124">
        <f>building!S965</f>
        <v>2</v>
      </c>
      <c r="C227" s="1130" t="str">
        <f>building!B965</f>
        <v>g) 50mm dia Elbow PWD SR P-51/2023-24</v>
      </c>
      <c r="D227" s="1124">
        <f>building!C965</f>
        <v>128</v>
      </c>
      <c r="E227" s="1124" t="s">
        <v>1389</v>
      </c>
      <c r="F227" s="1126">
        <f t="shared" si="27"/>
        <v>256</v>
      </c>
    </row>
    <row r="228" spans="1:6" ht="37.5" customHeight="1">
      <c r="A228" s="1123"/>
      <c r="B228" s="1124">
        <f>building!S966</f>
        <v>3</v>
      </c>
      <c r="C228" s="1130" t="str">
        <f>building!B966</f>
        <v>h)50mmm dia GI union   PWD SR P-51/2023-24</v>
      </c>
      <c r="D228" s="1124">
        <f>building!C966</f>
        <v>266.3</v>
      </c>
      <c r="E228" s="1124" t="s">
        <v>1389</v>
      </c>
      <c r="F228" s="1126">
        <f t="shared" si="27"/>
        <v>798.9</v>
      </c>
    </row>
    <row r="229" spans="1:6" ht="37.5" customHeight="1">
      <c r="A229" s="1123"/>
      <c r="B229" s="1124">
        <f>building!S967</f>
        <v>2</v>
      </c>
      <c r="C229" s="1130" t="str">
        <f>building!B967</f>
        <v>i) 50mm dia  GI bend    PWD SR P-51/2023-24</v>
      </c>
      <c r="D229" s="1124">
        <f>building!C967</f>
        <v>116.3</v>
      </c>
      <c r="E229" s="1124" t="s">
        <v>1389</v>
      </c>
      <c r="F229" s="1126">
        <f t="shared" si="27"/>
        <v>232.6</v>
      </c>
    </row>
    <row r="230" spans="1:6" ht="37.5" customHeight="1">
      <c r="A230" s="1123"/>
      <c r="B230" s="1124">
        <f>building!S968</f>
        <v>1</v>
      </c>
      <c r="C230" s="1130" t="str">
        <f>building!B968</f>
        <v>j) 50mm GI Tee   PWD SR P-51/2023-24</v>
      </c>
      <c r="D230" s="1124">
        <f>building!C968</f>
        <v>139.80000000000001</v>
      </c>
      <c r="E230" s="1124" t="s">
        <v>1389</v>
      </c>
      <c r="F230" s="1126">
        <f t="shared" si="27"/>
        <v>139.80000000000001</v>
      </c>
    </row>
    <row r="231" spans="1:6" ht="37.5" customHeight="1">
      <c r="A231" s="1123"/>
      <c r="B231" s="1124">
        <f>building!S969</f>
        <v>3</v>
      </c>
      <c r="C231" s="1130" t="str">
        <f>building!B969</f>
        <v>k)50mm diaGI  coupling  PWD SR P-52/2023-24</v>
      </c>
      <c r="D231" s="1124">
        <f>building!C969</f>
        <v>69.8</v>
      </c>
      <c r="E231" s="1124" t="s">
        <v>1389</v>
      </c>
      <c r="F231" s="1126">
        <f t="shared" si="27"/>
        <v>209.4</v>
      </c>
    </row>
    <row r="232" spans="1:6" ht="37.5" customHeight="1">
      <c r="A232" s="1123"/>
      <c r="B232" s="1124">
        <f>building!S970</f>
        <v>2</v>
      </c>
      <c r="C232" s="1130" t="str">
        <f>building!B970</f>
        <v>l)50mm dia GI MTA Qtn</v>
      </c>
      <c r="D232" s="1124">
        <f>building!C970</f>
        <v>205</v>
      </c>
      <c r="E232" s="1124" t="s">
        <v>1389</v>
      </c>
      <c r="F232" s="1126">
        <f t="shared" si="27"/>
        <v>410</v>
      </c>
    </row>
    <row r="233" spans="1:6" ht="37.5" customHeight="1">
      <c r="A233" s="1123"/>
      <c r="B233" s="1124">
        <f>building!S971</f>
        <v>2</v>
      </c>
      <c r="C233" s="1130" t="str">
        <f>building!B971</f>
        <v>m) 50mm dia Hex Nipple   PWD SR P-53/2023-24</v>
      </c>
      <c r="D233" s="1124">
        <f>building!C971</f>
        <v>87</v>
      </c>
      <c r="E233" s="1124" t="s">
        <v>1389</v>
      </c>
      <c r="F233" s="1126">
        <f t="shared" si="27"/>
        <v>174</v>
      </c>
    </row>
    <row r="234" spans="1:6" ht="37.5" customHeight="1">
      <c r="A234" s="1123"/>
      <c r="B234" s="1124">
        <f>building!S972</f>
        <v>1</v>
      </c>
      <c r="C234" s="1130" t="str">
        <f>building!B972</f>
        <v>n) 50mm dia Gun Metal Gate valve  PWD SR P-53/2023-24</v>
      </c>
      <c r="D234" s="1124">
        <f>building!C972</f>
        <v>1241</v>
      </c>
      <c r="E234" s="1124" t="s">
        <v>1389</v>
      </c>
      <c r="F234" s="1126">
        <f t="shared" si="27"/>
        <v>1241</v>
      </c>
    </row>
    <row r="235" spans="1:6" ht="37.5" customHeight="1">
      <c r="A235" s="1123"/>
      <c r="B235" s="1124">
        <f>building!S973</f>
        <v>1</v>
      </c>
      <c r="C235" s="1130" t="str">
        <f>building!B973</f>
        <v>o) 32mm dia Gun Metal Gate valve PWD SR P-53/2023-24</v>
      </c>
      <c r="D235" s="1124">
        <f>building!C973</f>
        <v>760</v>
      </c>
      <c r="E235" s="1124" t="s">
        <v>1389</v>
      </c>
      <c r="F235" s="1126">
        <f t="shared" si="27"/>
        <v>760</v>
      </c>
    </row>
    <row r="236" spans="1:6" ht="117" customHeight="1">
      <c r="A236" s="1123">
        <f>A220+1</f>
        <v>131</v>
      </c>
      <c r="B236" s="1124"/>
      <c r="C236" s="1125" t="s">
        <v>6889</v>
      </c>
      <c r="D236" s="1124"/>
      <c r="E236" s="1124"/>
      <c r="F236" s="1126"/>
    </row>
    <row r="237" spans="1:6" ht="36" customHeight="1">
      <c r="A237" s="1123"/>
      <c r="B237" s="1124">
        <f>building!S975</f>
        <v>30</v>
      </c>
      <c r="C237" s="1125" t="s">
        <v>6728</v>
      </c>
      <c r="D237" s="1124">
        <f>building!C975</f>
        <v>226.38</v>
      </c>
      <c r="E237" s="1124" t="s">
        <v>823</v>
      </c>
      <c r="F237" s="1126">
        <f>D237*B237</f>
        <v>6791.4</v>
      </c>
    </row>
    <row r="238" spans="1:6" ht="107.25" customHeight="1">
      <c r="A238" s="1123">
        <f>A236+1</f>
        <v>132</v>
      </c>
      <c r="B238" s="1124"/>
      <c r="C238" s="1130" t="s">
        <v>6890</v>
      </c>
      <c r="D238" s="1124"/>
      <c r="E238" s="1124"/>
      <c r="F238" s="1126"/>
    </row>
    <row r="239" spans="1:6" ht="40.5" customHeight="1">
      <c r="A239" s="1123"/>
      <c r="B239" s="1124">
        <f>building!S977</f>
        <v>1</v>
      </c>
      <c r="C239" s="1130" t="str">
        <f>building!B977</f>
        <v>a) 40 mm dia UPVC Ball valve  (Qtn)</v>
      </c>
      <c r="D239" s="1124">
        <f>building!C977</f>
        <v>350</v>
      </c>
      <c r="E239" s="1124" t="s">
        <v>1389</v>
      </c>
      <c r="F239" s="1126">
        <f>D239*B239</f>
        <v>350</v>
      </c>
    </row>
    <row r="240" spans="1:6" ht="40.5" customHeight="1">
      <c r="A240" s="1123"/>
      <c r="B240" s="1124">
        <f>building!S978</f>
        <v>1</v>
      </c>
      <c r="C240" s="1130" t="str">
        <f>building!B978</f>
        <v xml:space="preserve">b) 32mm dia UPVC Ball valve TWAD SR Pg.54 / 2022 -23 </v>
      </c>
      <c r="D240" s="1124">
        <f>building!C978</f>
        <v>201</v>
      </c>
      <c r="E240" s="1124" t="s">
        <v>1389</v>
      </c>
      <c r="F240" s="1126">
        <f>D240*B240</f>
        <v>201</v>
      </c>
    </row>
    <row r="241" spans="1:6" ht="40.5" customHeight="1">
      <c r="A241" s="1123"/>
      <c r="B241" s="1124">
        <f>building!S979</f>
        <v>4</v>
      </c>
      <c r="C241" s="1130" t="str">
        <f>building!B979</f>
        <v xml:space="preserve">c) 25mm dia UPVC Ball valve TWAD SR Pg.54 / 2022 -23 </v>
      </c>
      <c r="D241" s="1124">
        <f>building!C979</f>
        <v>169</v>
      </c>
      <c r="E241" s="1124" t="s">
        <v>1389</v>
      </c>
      <c r="F241" s="1126">
        <f>D241*B241</f>
        <v>676</v>
      </c>
    </row>
    <row r="242" spans="1:6" ht="57" customHeight="1">
      <c r="A242" s="1123"/>
      <c r="B242" s="1124">
        <f>building!S980</f>
        <v>1</v>
      </c>
      <c r="C242" s="1130" t="str">
        <f>building!B980</f>
        <v>d) 40 mm x 32 mm dia reducer (As per PWD SR Pg.115 / 2023-24 )</v>
      </c>
      <c r="D242" s="1124">
        <f>building!C980</f>
        <v>89.4</v>
      </c>
      <c r="E242" s="1124" t="s">
        <v>1389</v>
      </c>
      <c r="F242" s="1126">
        <f>D242*B242</f>
        <v>89.4</v>
      </c>
    </row>
    <row r="243" spans="1:6" ht="57.75" customHeight="1">
      <c r="A243" s="1123"/>
      <c r="B243" s="1124">
        <f>building!S981</f>
        <v>1</v>
      </c>
      <c r="C243" s="1130" t="str">
        <f>building!B981</f>
        <v>e) 32 mm x 25 mm dia reducer (As per PWD SR Pg.115 / 2023-24 )</v>
      </c>
      <c r="D243" s="1124">
        <f>building!C981</f>
        <v>64.7</v>
      </c>
      <c r="E243" s="1124" t="s">
        <v>1389</v>
      </c>
      <c r="F243" s="1126">
        <f>D243*B243</f>
        <v>64.7</v>
      </c>
    </row>
    <row r="244" spans="1:6" ht="42" customHeight="1">
      <c r="A244" s="1123"/>
      <c r="B244" s="1124"/>
      <c r="C244" s="1129" t="s">
        <v>6935</v>
      </c>
      <c r="D244" s="1124"/>
      <c r="E244" s="1124"/>
      <c r="F244" s="1126"/>
    </row>
    <row r="245" spans="1:6" ht="57" customHeight="1">
      <c r="A245" s="1123">
        <f>A238+1</f>
        <v>133</v>
      </c>
      <c r="B245" s="1124"/>
      <c r="C245" s="1125" t="s">
        <v>6734</v>
      </c>
      <c r="D245" s="1124"/>
      <c r="E245" s="1124"/>
      <c r="F245" s="1126"/>
    </row>
    <row r="246" spans="1:6" ht="56.25" customHeight="1">
      <c r="A246" s="1123"/>
      <c r="B246" s="1124">
        <f>building!S984</f>
        <v>39</v>
      </c>
      <c r="C246" s="1125" t="str">
        <f>building!B984</f>
        <v>a) 9" dia Aluminium Dye casting letters (As per PWD SR Pg.72 / 2023 -24 )</v>
      </c>
      <c r="D246" s="1124">
        <f>building!C984</f>
        <v>1179</v>
      </c>
      <c r="E246" s="1124" t="s">
        <v>1389</v>
      </c>
      <c r="F246" s="1126">
        <f>D246*B246</f>
        <v>45981</v>
      </c>
    </row>
    <row r="247" spans="1:6" ht="81" customHeight="1">
      <c r="A247" s="1123">
        <f>A245+1</f>
        <v>134</v>
      </c>
      <c r="B247" s="1124">
        <f>building!S985</f>
        <v>12</v>
      </c>
      <c r="C247" s="1125" t="s">
        <v>6738</v>
      </c>
      <c r="D247" s="1124">
        <f>building!C985</f>
        <v>450</v>
      </c>
      <c r="E247" s="1124" t="s">
        <v>1389</v>
      </c>
      <c r="F247" s="1126">
        <f>D247*B247</f>
        <v>5400</v>
      </c>
    </row>
    <row r="248" spans="1:6" ht="86.25" customHeight="1">
      <c r="A248" s="1123">
        <f>A247+1</f>
        <v>135</v>
      </c>
      <c r="B248" s="1124">
        <f>building!S986</f>
        <v>1</v>
      </c>
      <c r="C248" s="1125" t="s">
        <v>6735</v>
      </c>
      <c r="D248" s="1124">
        <f>building!C986</f>
        <v>500</v>
      </c>
      <c r="E248" s="1124" t="s">
        <v>1389</v>
      </c>
      <c r="F248" s="1126">
        <f>D248*B248</f>
        <v>500</v>
      </c>
    </row>
    <row r="249" spans="1:6" ht="87" customHeight="1">
      <c r="A249" s="1123"/>
      <c r="B249" s="1124"/>
      <c r="C249" s="1125" t="s">
        <v>6736</v>
      </c>
      <c r="D249" s="1124"/>
      <c r="E249" s="1124"/>
      <c r="F249" s="1126"/>
    </row>
    <row r="250" spans="1:6" ht="58.5" customHeight="1">
      <c r="A250" s="1123">
        <f>A248+1</f>
        <v>136</v>
      </c>
      <c r="B250" s="1124">
        <f>building!S988</f>
        <v>1</v>
      </c>
      <c r="C250" s="1125" t="str">
        <f>building!B988</f>
        <v>a) 15" Height TNPHC Emblem (As per PWD SR Pg.73 / 2023-24 )</v>
      </c>
      <c r="D250" s="1124">
        <f>building!C988</f>
        <v>12975</v>
      </c>
      <c r="E250" s="1124" t="s">
        <v>1389</v>
      </c>
      <c r="F250" s="1126">
        <f>D250*B250</f>
        <v>12975</v>
      </c>
    </row>
    <row r="251" spans="1:6" ht="77.25" customHeight="1">
      <c r="A251" s="1123">
        <f>A250+1</f>
        <v>137</v>
      </c>
      <c r="B251" s="1124">
        <f>building!S989</f>
        <v>20</v>
      </c>
      <c r="C251" s="1125" t="s">
        <v>6891</v>
      </c>
      <c r="D251" s="1124">
        <f>building!C989</f>
        <v>550</v>
      </c>
      <c r="E251" s="1124" t="s">
        <v>1389</v>
      </c>
      <c r="F251" s="1126">
        <f>D251*B251</f>
        <v>11000</v>
      </c>
    </row>
    <row r="252" spans="1:6" ht="66.75" customHeight="1">
      <c r="A252" s="1123">
        <f>A251+1</f>
        <v>138</v>
      </c>
      <c r="B252" s="1124">
        <f>building!S990</f>
        <v>2</v>
      </c>
      <c r="C252" s="1125" t="str">
        <f>building!B990</f>
        <v>Supply and Installation of Carbon dioxide gas type 2kg fire extinguishers     PWD SR Pg.102 / 2023-24)</v>
      </c>
      <c r="D252" s="1124">
        <f>building!C990</f>
        <v>8748</v>
      </c>
      <c r="E252" s="1124" t="s">
        <v>1389</v>
      </c>
      <c r="F252" s="1126">
        <f>D252*B252</f>
        <v>17496</v>
      </c>
    </row>
    <row r="253" spans="1:6" ht="181.5" customHeight="1">
      <c r="A253" s="1123">
        <f>A252+1</f>
        <v>139</v>
      </c>
      <c r="B253" s="1124">
        <f>building!S991</f>
        <v>7.2</v>
      </c>
      <c r="C253" s="1125" t="str">
        <f>building!B991</f>
        <v>Supplying and fixing of Teak Wood wrought and put up for frames  of doors,including cost of 8mm Thk Sand blasted Glass, Ornamental Design beadings,6" Brass Hinges, 8" Brass Handle,8" Tower Bolt, Brass aldrop, Brass Door  topper including the cost of Melamine polish with necessary plugs, rebates for shutters, plaster grooves on all faces etc. , including labour charges for fixing hold fasts, complying with relevant standard specifications etc., in all respects</v>
      </c>
      <c r="D253" s="1124">
        <f>building!C991</f>
        <v>7945</v>
      </c>
      <c r="E253" s="1124" t="s">
        <v>230</v>
      </c>
      <c r="F253" s="1126">
        <f>D253*B253</f>
        <v>57204</v>
      </c>
    </row>
    <row r="254" spans="1:6" ht="391.5" customHeight="1">
      <c r="A254" s="1123">
        <f>A253+1</f>
        <v>140</v>
      </c>
      <c r="B254" s="1124">
        <f>building!S992</f>
        <v>59.29</v>
      </c>
      <c r="C254" s="1220" t="s">
        <v>6936</v>
      </c>
      <c r="D254" s="1124">
        <f>building!C992</f>
        <v>1545</v>
      </c>
      <c r="E254" s="1124" t="s">
        <v>2273</v>
      </c>
      <c r="F254" s="1126">
        <f t="shared" ref="F254:F267" si="28">D254*B254</f>
        <v>91603.05</v>
      </c>
    </row>
    <row r="255" spans="1:6" ht="80.25" customHeight="1">
      <c r="A255" s="1123">
        <f t="shared" ref="A255:A267" si="29">A254+1</f>
        <v>141</v>
      </c>
      <c r="B255" s="1124">
        <f>building!S993</f>
        <v>32.22</v>
      </c>
      <c r="C255" s="1125" t="s">
        <v>6937</v>
      </c>
      <c r="D255" s="1124">
        <f>building!C993</f>
        <v>190.4</v>
      </c>
      <c r="E255" s="1124" t="s">
        <v>823</v>
      </c>
      <c r="F255" s="1126">
        <f t="shared" si="28"/>
        <v>6134.69</v>
      </c>
    </row>
    <row r="256" spans="1:6" ht="136.5" customHeight="1">
      <c r="A256" s="1123">
        <f t="shared" si="29"/>
        <v>142</v>
      </c>
      <c r="B256" s="1124">
        <f>building!S994</f>
        <v>5</v>
      </c>
      <c r="C256" s="1125" t="s">
        <v>7073</v>
      </c>
      <c r="D256" s="1124">
        <f>building!C994</f>
        <v>61310</v>
      </c>
      <c r="E256" s="1124" t="s">
        <v>1026</v>
      </c>
      <c r="F256" s="1126">
        <f t="shared" si="28"/>
        <v>306550</v>
      </c>
    </row>
    <row r="257" spans="1:8" ht="104.25" customHeight="1">
      <c r="A257" s="1123">
        <f t="shared" si="29"/>
        <v>143</v>
      </c>
      <c r="B257" s="1124">
        <f>building!S995</f>
        <v>5</v>
      </c>
      <c r="C257" s="1125" t="s">
        <v>6938</v>
      </c>
      <c r="D257" s="1124">
        <f>building!C995</f>
        <v>6230</v>
      </c>
      <c r="E257" s="1124" t="s">
        <v>1389</v>
      </c>
      <c r="F257" s="1126">
        <f t="shared" si="28"/>
        <v>31150</v>
      </c>
    </row>
    <row r="258" spans="1:8" ht="140.25" customHeight="1">
      <c r="A258" s="1123">
        <f t="shared" si="29"/>
        <v>144</v>
      </c>
      <c r="B258" s="1124">
        <f>building!S996</f>
        <v>8</v>
      </c>
      <c r="C258" s="1125" t="s">
        <v>6939</v>
      </c>
      <c r="D258" s="1124">
        <f>building!C996</f>
        <v>2511</v>
      </c>
      <c r="E258" s="1124" t="s">
        <v>1389</v>
      </c>
      <c r="F258" s="1126">
        <f t="shared" si="28"/>
        <v>20088</v>
      </c>
    </row>
    <row r="259" spans="1:8" s="1128" customFormat="1" ht="127.5" customHeight="1">
      <c r="A259" s="1123">
        <f t="shared" si="29"/>
        <v>145</v>
      </c>
      <c r="B259" s="1124">
        <f>building!S997</f>
        <v>26.46</v>
      </c>
      <c r="C259" s="1130" t="s">
        <v>6940</v>
      </c>
      <c r="D259" s="1124">
        <f>building!C997</f>
        <v>922</v>
      </c>
      <c r="E259" s="1124" t="s">
        <v>230</v>
      </c>
      <c r="F259" s="1126">
        <f t="shared" si="28"/>
        <v>24396.12</v>
      </c>
      <c r="G259" s="1118"/>
      <c r="H259" s="1118"/>
    </row>
    <row r="260" spans="1:8" s="1128" customFormat="1" ht="33.75" customHeight="1">
      <c r="A260" s="1123"/>
      <c r="B260" s="1124"/>
      <c r="C260" s="1129" t="s">
        <v>6760</v>
      </c>
      <c r="D260" s="1124"/>
      <c r="E260" s="1124"/>
      <c r="F260" s="1126">
        <f t="shared" si="28"/>
        <v>0</v>
      </c>
      <c r="G260" s="1118"/>
      <c r="H260" s="1118"/>
    </row>
    <row r="261" spans="1:8" s="1128" customFormat="1" ht="111" customHeight="1">
      <c r="A261" s="1123">
        <f>A259+1</f>
        <v>146</v>
      </c>
      <c r="B261" s="1124">
        <f>building!S999</f>
        <v>1</v>
      </c>
      <c r="C261" s="1130" t="str">
        <f>building!B999</f>
        <v>Supply, erection, Testing and commissioning of 62.5 KVA AMP Panel generator set.Insulation for the residential silencer (supply of residential silencer to be included under item for DG Sets) (As per PWD SR Pg.157 / 2023-24)</v>
      </c>
      <c r="D261" s="1124">
        <f>building!C999</f>
        <v>671200</v>
      </c>
      <c r="E261" s="1124" t="str">
        <f>building!D999</f>
        <v>Set</v>
      </c>
      <c r="F261" s="1126">
        <f t="shared" si="28"/>
        <v>671200</v>
      </c>
      <c r="G261" s="1118"/>
      <c r="H261" s="1118"/>
    </row>
    <row r="262" spans="1:8" s="1128" customFormat="1" ht="62.25" customHeight="1">
      <c r="A262" s="1123">
        <f t="shared" si="29"/>
        <v>147</v>
      </c>
      <c r="B262" s="1124">
        <f>building!S1000</f>
        <v>50</v>
      </c>
      <c r="C262" s="1130" t="str">
        <f>building!B1000</f>
        <v>Supplying and laying of 3.5 core 25 sqmm LT UG Cable SD 222</v>
      </c>
      <c r="D262" s="1124">
        <f>building!C1000</f>
        <v>443</v>
      </c>
      <c r="E262" s="1124" t="str">
        <f>building!D1000</f>
        <v>Rmt</v>
      </c>
      <c r="F262" s="1126">
        <f t="shared" si="28"/>
        <v>22150</v>
      </c>
      <c r="G262" s="1118"/>
      <c r="H262" s="1118"/>
    </row>
    <row r="263" spans="1:8" s="1128" customFormat="1" ht="75" customHeight="1">
      <c r="A263" s="1123">
        <f t="shared" si="29"/>
        <v>148</v>
      </c>
      <c r="B263" s="1124">
        <f>building!S1001</f>
        <v>6</v>
      </c>
      <c r="C263" s="1130" t="str">
        <f>building!B1001</f>
        <v>Supplying and providing cable end termination of following sizes of XLPE armoured LTUG cable 3.5core 25sqmm LTUG cable SD-235</v>
      </c>
      <c r="D263" s="1124">
        <f>building!C1001</f>
        <v>335</v>
      </c>
      <c r="E263" s="1124" t="str">
        <f>building!D1001</f>
        <v>no</v>
      </c>
      <c r="F263" s="1126">
        <f t="shared" si="28"/>
        <v>2010</v>
      </c>
      <c r="G263" s="1118"/>
      <c r="H263" s="1118"/>
    </row>
    <row r="264" spans="1:8" s="1128" customFormat="1" ht="78.75" customHeight="1">
      <c r="A264" s="1123">
        <f t="shared" si="29"/>
        <v>149</v>
      </c>
      <c r="B264" s="1124">
        <f>building!S1002</f>
        <v>6</v>
      </c>
      <c r="C264" s="1130" t="str">
        <f>building!B1002</f>
        <v>Supply &amp; fixing of cable gland suitable for following PVC armoured LTUG cable etc., complete  3.5core 25sqmm LTUG cable SD-186</v>
      </c>
      <c r="D264" s="1124">
        <f>building!C1002</f>
        <v>426</v>
      </c>
      <c r="E264" s="1124" t="str">
        <f>building!D1002</f>
        <v>no</v>
      </c>
      <c r="F264" s="1126">
        <f t="shared" si="28"/>
        <v>2556</v>
      </c>
      <c r="G264" s="1118"/>
      <c r="H264" s="1118"/>
    </row>
    <row r="265" spans="1:8" s="1128" customFormat="1" ht="54.75" customHeight="1">
      <c r="A265" s="1123">
        <f t="shared" si="29"/>
        <v>150</v>
      </c>
      <c r="B265" s="1124">
        <f>building!S1003</f>
        <v>12</v>
      </c>
      <c r="C265" s="1130" t="str">
        <f>building!B1003</f>
        <v>Supplying and laying of following GI pipe B class with ISI mark (Below Ground Level) 50mm dia</v>
      </c>
      <c r="D265" s="1124">
        <f>building!C1003</f>
        <v>533.63</v>
      </c>
      <c r="E265" s="1124" t="str">
        <f>building!D1003</f>
        <v>Rmt</v>
      </c>
      <c r="F265" s="1126">
        <f t="shared" si="28"/>
        <v>6403.56</v>
      </c>
      <c r="G265" s="1118"/>
      <c r="H265" s="1118"/>
    </row>
    <row r="266" spans="1:8" s="1128" customFormat="1" ht="96" customHeight="1">
      <c r="A266" s="1123">
        <f t="shared" si="29"/>
        <v>151</v>
      </c>
      <c r="B266" s="1124">
        <f>building!S1004</f>
        <v>15</v>
      </c>
      <c r="C266" s="1130" t="str">
        <f>building!B1004</f>
        <v>Fabricating Supplying sectioning of PPGI sheet for the specifications.  The materials should be PPGI file profile with a blue colour or any other approved design 0.56mm thick 24 gauge having width 1050mm SER. No. 13 / 2022-23</v>
      </c>
      <c r="D266" s="1124">
        <f>building!C1004</f>
        <v>1117.1600000000001</v>
      </c>
      <c r="E266" s="1124" t="str">
        <f>building!D1004</f>
        <v>sqm</v>
      </c>
      <c r="F266" s="1126">
        <f t="shared" si="28"/>
        <v>16757.400000000001</v>
      </c>
      <c r="G266" s="1118"/>
      <c r="H266" s="1118"/>
    </row>
    <row r="267" spans="1:8" s="1128" customFormat="1" ht="111.75" customHeight="1">
      <c r="A267" s="1123">
        <f t="shared" si="29"/>
        <v>152</v>
      </c>
      <c r="B267" s="1124">
        <f>building!S1005</f>
        <v>50</v>
      </c>
      <c r="C267" s="1130" t="str">
        <f>building!B1005</f>
        <v>Supplying of 4 core 1.5Sq.mm Copper sensor cable  including the cost of material and loading unloding &amp; transportation charges etc, all  complete and as directed by the departmental officers Qtn</v>
      </c>
      <c r="D267" s="1124">
        <f>building!C1005</f>
        <v>162</v>
      </c>
      <c r="E267" s="1124" t="str">
        <f>building!D1005</f>
        <v>Rmt</v>
      </c>
      <c r="F267" s="1126">
        <f t="shared" si="28"/>
        <v>8100</v>
      </c>
      <c r="G267" s="1118"/>
    </row>
    <row r="268" spans="1:8" ht="36.75" customHeight="1">
      <c r="A268" s="1123"/>
      <c r="B268" s="1124"/>
      <c r="C268" s="1131" t="s">
        <v>6892</v>
      </c>
      <c r="D268" s="1124"/>
      <c r="E268" s="1124"/>
      <c r="F268" s="1132">
        <f>SUM(F4:F267)</f>
        <v>14123547.619999999</v>
      </c>
      <c r="G268" s="1118">
        <f>building!T1006</f>
        <v>14123547.619999999</v>
      </c>
    </row>
    <row r="269" spans="1:8" ht="20.25" customHeight="1"/>
    <row r="270" spans="1:8" ht="20.25" customHeight="1"/>
    <row r="271" spans="1:8" ht="20.25" customHeight="1"/>
    <row r="272" spans="1:8" ht="20.25" customHeight="1">
      <c r="G272" s="1118">
        <f>G268-F268</f>
        <v>0</v>
      </c>
    </row>
    <row r="273" spans="1:6" s="1137" customFormat="1" ht="23.25" customHeight="1">
      <c r="A273" s="1276" t="s">
        <v>6950</v>
      </c>
      <c r="B273" s="1276"/>
      <c r="C273" s="1276"/>
      <c r="D273" s="1276"/>
      <c r="E273" s="1276"/>
      <c r="F273" s="1276"/>
    </row>
  </sheetData>
  <mergeCells count="3">
    <mergeCell ref="A1:F1"/>
    <mergeCell ref="A2:F2"/>
    <mergeCell ref="A273:F273"/>
  </mergeCells>
  <pageMargins left="0.67" right="0.5" top="0.62" bottom="0.31" header="0.26" footer="0.44"/>
  <pageSetup paperSize="9" scale="68" orientation="portrait" verticalDpi="300" r:id="rId1"/>
  <headerFooter>
    <oddHeader>Page &amp;P</oddHead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DJ1109"/>
  <sheetViews>
    <sheetView showZeros="0" view="pageBreakPreview" topLeftCell="A986" zoomScale="20" zoomScaleNormal="40" zoomScaleSheetLayoutView="20" workbookViewId="0">
      <selection activeCell="B991" sqref="B991"/>
    </sheetView>
  </sheetViews>
  <sheetFormatPr defaultRowHeight="250.5" customHeight="1"/>
  <cols>
    <col min="1" max="1" width="24.21875" style="1047" customWidth="1"/>
    <col min="2" max="2" width="99.6640625" style="899" customWidth="1"/>
    <col min="3" max="3" width="39.21875" style="1048" customWidth="1"/>
    <col min="4" max="4" width="23.33203125" style="900" customWidth="1"/>
    <col min="5" max="5" width="34.21875" style="1049" customWidth="1"/>
    <col min="6" max="6" width="53.109375" style="1056" customWidth="1"/>
    <col min="7" max="7" width="31.6640625" style="1050" customWidth="1"/>
    <col min="8" max="8" width="45.33203125" style="1050" customWidth="1"/>
    <col min="9" max="9" width="32.77734375" style="1050" hidden="1" customWidth="1"/>
    <col min="10" max="10" width="49" style="1050" hidden="1" customWidth="1"/>
    <col min="11" max="11" width="30.44140625" style="1050" customWidth="1"/>
    <col min="12" max="12" width="47.44140625" style="1050" customWidth="1"/>
    <col min="13" max="13" width="30.77734375" style="1050" customWidth="1"/>
    <col min="14" max="14" width="45.5546875" style="1050" customWidth="1"/>
    <col min="15" max="15" width="35.6640625" style="1050" customWidth="1"/>
    <col min="16" max="16" width="50.109375" style="1050" customWidth="1"/>
    <col min="17" max="17" width="46.77734375" style="1050" customWidth="1"/>
    <col min="18" max="18" width="49" style="1050" customWidth="1"/>
    <col min="19" max="19" width="41.44140625" style="1051" customWidth="1"/>
    <col min="20" max="20" width="53.5546875" style="1050" customWidth="1"/>
    <col min="21" max="114" width="8.88671875" style="1170"/>
    <col min="115" max="16384" width="8.88671875" style="899"/>
  </cols>
  <sheetData>
    <row r="1" spans="1:114" ht="250.5" customHeight="1">
      <c r="A1" s="1277" t="s">
        <v>5791</v>
      </c>
      <c r="B1" s="1277"/>
      <c r="C1" s="1277"/>
      <c r="D1" s="1277"/>
      <c r="E1" s="1277"/>
      <c r="F1" s="1277"/>
      <c r="G1" s="1277"/>
      <c r="H1" s="1277"/>
      <c r="I1" s="1277"/>
      <c r="J1" s="1277"/>
      <c r="K1" s="1277"/>
      <c r="L1" s="1277"/>
      <c r="M1" s="1277"/>
      <c r="N1" s="1277"/>
      <c r="O1" s="1277"/>
      <c r="P1" s="1277"/>
      <c r="Q1" s="1277"/>
      <c r="R1" s="1277"/>
      <c r="S1" s="1277"/>
      <c r="T1" s="1277"/>
    </row>
    <row r="2" spans="1:114" s="900" customFormat="1" ht="250.5" customHeight="1">
      <c r="A2" s="1278" t="s">
        <v>223</v>
      </c>
      <c r="B2" s="1277" t="s">
        <v>1769</v>
      </c>
      <c r="C2" s="1277" t="s">
        <v>4705</v>
      </c>
      <c r="D2" s="1277" t="s">
        <v>221</v>
      </c>
      <c r="E2" s="1279" t="s">
        <v>4685</v>
      </c>
      <c r="F2" s="1279"/>
      <c r="G2" s="1279" t="s">
        <v>6573</v>
      </c>
      <c r="H2" s="1279"/>
      <c r="I2" s="1279" t="s">
        <v>6575</v>
      </c>
      <c r="J2" s="1279"/>
      <c r="K2" s="1279" t="s">
        <v>4686</v>
      </c>
      <c r="L2" s="1279"/>
      <c r="M2" s="1279" t="s">
        <v>6576</v>
      </c>
      <c r="N2" s="1279"/>
      <c r="O2" s="1279" t="s">
        <v>6790</v>
      </c>
      <c r="P2" s="1279"/>
      <c r="Q2" s="1279" t="s">
        <v>6893</v>
      </c>
      <c r="R2" s="1279"/>
      <c r="S2" s="1279" t="s">
        <v>6586</v>
      </c>
      <c r="T2" s="1279"/>
      <c r="U2" s="1171"/>
      <c r="V2" s="1171"/>
      <c r="W2" s="1171"/>
      <c r="X2" s="1171"/>
      <c r="Y2" s="1171"/>
      <c r="Z2" s="1171"/>
      <c r="AA2" s="1171"/>
      <c r="AB2" s="1171"/>
      <c r="AC2" s="1171"/>
      <c r="AD2" s="1171"/>
      <c r="AE2" s="1171"/>
      <c r="AF2" s="1171"/>
      <c r="AG2" s="1171"/>
      <c r="AH2" s="1171"/>
      <c r="AI2" s="1171"/>
      <c r="AJ2" s="1171"/>
      <c r="AK2" s="1171"/>
      <c r="AL2" s="1171"/>
      <c r="AM2" s="1171"/>
      <c r="AN2" s="1171"/>
      <c r="AO2" s="1171"/>
      <c r="AP2" s="1171"/>
      <c r="AQ2" s="1171"/>
      <c r="AR2" s="1171"/>
      <c r="AS2" s="1171"/>
      <c r="AT2" s="1171"/>
      <c r="AU2" s="1171"/>
      <c r="AV2" s="1171"/>
      <c r="AW2" s="1171"/>
      <c r="AX2" s="1171"/>
      <c r="AY2" s="1171"/>
      <c r="AZ2" s="1171"/>
      <c r="BA2" s="1171"/>
      <c r="BB2" s="1171"/>
      <c r="BC2" s="1171"/>
      <c r="BD2" s="1171"/>
      <c r="BE2" s="1171"/>
      <c r="BF2" s="1171"/>
      <c r="BG2" s="1171"/>
      <c r="BH2" s="1171"/>
      <c r="BI2" s="1171"/>
      <c r="BJ2" s="1171"/>
      <c r="BK2" s="1171"/>
      <c r="BL2" s="1171"/>
      <c r="BM2" s="1171"/>
      <c r="BN2" s="1171"/>
      <c r="BO2" s="1171"/>
      <c r="BP2" s="1171"/>
      <c r="BQ2" s="1171"/>
      <c r="BR2" s="1171"/>
      <c r="BS2" s="1171"/>
      <c r="BT2" s="1171"/>
      <c r="BU2" s="1171"/>
      <c r="BV2" s="1171"/>
      <c r="BW2" s="1171"/>
      <c r="BX2" s="1171"/>
      <c r="BY2" s="1171"/>
      <c r="BZ2" s="1171"/>
      <c r="CA2" s="1171"/>
      <c r="CB2" s="1171"/>
      <c r="CC2" s="1171"/>
      <c r="CD2" s="1171"/>
      <c r="CE2" s="1171"/>
      <c r="CF2" s="1171"/>
      <c r="CG2" s="1171"/>
      <c r="CH2" s="1171"/>
      <c r="CI2" s="1171"/>
      <c r="CJ2" s="1171"/>
      <c r="CK2" s="1171"/>
      <c r="CL2" s="1171"/>
      <c r="CM2" s="1171"/>
      <c r="CN2" s="1171"/>
      <c r="CO2" s="1171"/>
      <c r="CP2" s="1171"/>
      <c r="CQ2" s="1171"/>
      <c r="CR2" s="1171"/>
      <c r="CS2" s="1171"/>
      <c r="CT2" s="1171"/>
      <c r="CU2" s="1171"/>
      <c r="CV2" s="1171"/>
      <c r="CW2" s="1171"/>
      <c r="CX2" s="1171"/>
      <c r="CY2" s="1171"/>
      <c r="CZ2" s="1171"/>
      <c r="DA2" s="1171"/>
      <c r="DB2" s="1171"/>
      <c r="DC2" s="1171"/>
      <c r="DD2" s="1171"/>
      <c r="DE2" s="1171"/>
      <c r="DF2" s="1171"/>
      <c r="DG2" s="1171"/>
      <c r="DH2" s="1171"/>
      <c r="DI2" s="1171"/>
      <c r="DJ2" s="1171"/>
    </row>
    <row r="3" spans="1:114" s="900" customFormat="1" ht="250.5" customHeight="1">
      <c r="A3" s="1278"/>
      <c r="B3" s="1277"/>
      <c r="C3" s="1277"/>
      <c r="D3" s="1277"/>
      <c r="E3" s="901" t="s">
        <v>1034</v>
      </c>
      <c r="F3" s="1052" t="s">
        <v>970</v>
      </c>
      <c r="G3" s="901" t="s">
        <v>1034</v>
      </c>
      <c r="H3" s="1215" t="s">
        <v>970</v>
      </c>
      <c r="I3" s="901" t="s">
        <v>1034</v>
      </c>
      <c r="J3" s="1215" t="s">
        <v>970</v>
      </c>
      <c r="K3" s="901" t="s">
        <v>1034</v>
      </c>
      <c r="L3" s="1215" t="s">
        <v>970</v>
      </c>
      <c r="M3" s="901" t="s">
        <v>1034</v>
      </c>
      <c r="N3" s="1215" t="s">
        <v>970</v>
      </c>
      <c r="O3" s="901" t="s">
        <v>1034</v>
      </c>
      <c r="P3" s="1215" t="s">
        <v>970</v>
      </c>
      <c r="Q3" s="901" t="s">
        <v>1034</v>
      </c>
      <c r="R3" s="1215" t="s">
        <v>970</v>
      </c>
      <c r="S3" s="901" t="s">
        <v>1034</v>
      </c>
      <c r="T3" s="1222" t="s">
        <v>970</v>
      </c>
      <c r="U3" s="1171"/>
      <c r="V3" s="1171"/>
      <c r="W3" s="1171"/>
      <c r="X3" s="1171"/>
      <c r="Y3" s="1171"/>
      <c r="Z3" s="1171"/>
      <c r="AA3" s="1171"/>
      <c r="AB3" s="1171"/>
      <c r="AC3" s="1171"/>
      <c r="AD3" s="1171"/>
      <c r="AE3" s="1171"/>
      <c r="AF3" s="1171"/>
      <c r="AG3" s="1171"/>
      <c r="AH3" s="1171"/>
      <c r="AI3" s="1171"/>
      <c r="AJ3" s="1171"/>
      <c r="AK3" s="1171"/>
      <c r="AL3" s="1171"/>
      <c r="AM3" s="1171"/>
      <c r="AN3" s="1171"/>
      <c r="AO3" s="1171"/>
      <c r="AP3" s="1171"/>
      <c r="AQ3" s="1171"/>
      <c r="AR3" s="1171"/>
      <c r="AS3" s="1171"/>
      <c r="AT3" s="1171"/>
      <c r="AU3" s="1171"/>
      <c r="AV3" s="1171"/>
      <c r="AW3" s="1171"/>
      <c r="AX3" s="1171"/>
      <c r="AY3" s="1171"/>
      <c r="AZ3" s="1171"/>
      <c r="BA3" s="1171"/>
      <c r="BB3" s="1171"/>
      <c r="BC3" s="1171"/>
      <c r="BD3" s="1171"/>
      <c r="BE3" s="1171"/>
      <c r="BF3" s="1171"/>
      <c r="BG3" s="1171"/>
      <c r="BH3" s="1171"/>
      <c r="BI3" s="1171"/>
      <c r="BJ3" s="1171"/>
      <c r="BK3" s="1171"/>
      <c r="BL3" s="1171"/>
      <c r="BM3" s="1171"/>
      <c r="BN3" s="1171"/>
      <c r="BO3" s="1171"/>
      <c r="BP3" s="1171"/>
      <c r="BQ3" s="1171"/>
      <c r="BR3" s="1171"/>
      <c r="BS3" s="1171"/>
      <c r="BT3" s="1171"/>
      <c r="BU3" s="1171"/>
      <c r="BV3" s="1171"/>
      <c r="BW3" s="1171"/>
      <c r="BX3" s="1171"/>
      <c r="BY3" s="1171"/>
      <c r="BZ3" s="1171"/>
      <c r="CA3" s="1171"/>
      <c r="CB3" s="1171"/>
      <c r="CC3" s="1171"/>
      <c r="CD3" s="1171"/>
      <c r="CE3" s="1171"/>
      <c r="CF3" s="1171"/>
      <c r="CG3" s="1171"/>
      <c r="CH3" s="1171"/>
      <c r="CI3" s="1171"/>
      <c r="CJ3" s="1171"/>
      <c r="CK3" s="1171"/>
      <c r="CL3" s="1171"/>
      <c r="CM3" s="1171"/>
      <c r="CN3" s="1171"/>
      <c r="CO3" s="1171"/>
      <c r="CP3" s="1171"/>
      <c r="CQ3" s="1171"/>
      <c r="CR3" s="1171"/>
      <c r="CS3" s="1171"/>
      <c r="CT3" s="1171"/>
      <c r="CU3" s="1171"/>
      <c r="CV3" s="1171"/>
      <c r="CW3" s="1171"/>
      <c r="CX3" s="1171"/>
      <c r="CY3" s="1171"/>
      <c r="CZ3" s="1171"/>
      <c r="DA3" s="1171"/>
      <c r="DB3" s="1171"/>
      <c r="DC3" s="1171"/>
      <c r="DD3" s="1171"/>
      <c r="DE3" s="1171"/>
      <c r="DF3" s="1171"/>
      <c r="DG3" s="1171"/>
      <c r="DH3" s="1171"/>
      <c r="DI3" s="1171"/>
      <c r="DJ3" s="1171"/>
    </row>
    <row r="4" spans="1:114" s="900" customFormat="1" ht="135" customHeight="1">
      <c r="A4" s="1214"/>
      <c r="B4" s="1213"/>
      <c r="C4" s="1213"/>
      <c r="D4" s="1213"/>
      <c r="E4" s="1215"/>
      <c r="F4" s="1052"/>
      <c r="G4" s="1215"/>
      <c r="H4" s="1215"/>
      <c r="I4" s="1215"/>
      <c r="J4" s="1215"/>
      <c r="K4" s="1215"/>
      <c r="L4" s="1215"/>
      <c r="M4" s="1215"/>
      <c r="N4" s="1215"/>
      <c r="O4" s="1215"/>
      <c r="P4" s="1215"/>
      <c r="Q4" s="1215"/>
      <c r="R4" s="1215"/>
      <c r="S4" s="901"/>
      <c r="T4" s="1222"/>
      <c r="U4" s="1171"/>
      <c r="V4" s="1171"/>
      <c r="W4" s="1171"/>
      <c r="X4" s="1171"/>
      <c r="Y4" s="1171"/>
      <c r="Z4" s="1171"/>
      <c r="AA4" s="1171"/>
      <c r="AB4" s="1171"/>
      <c r="AC4" s="1171"/>
      <c r="AD4" s="1171"/>
      <c r="AE4" s="1171"/>
      <c r="AF4" s="1171"/>
      <c r="AG4" s="1171"/>
      <c r="AH4" s="1171"/>
      <c r="AI4" s="1171"/>
      <c r="AJ4" s="1171"/>
      <c r="AK4" s="1171"/>
      <c r="AL4" s="1171"/>
      <c r="AM4" s="1171"/>
      <c r="AN4" s="1171"/>
      <c r="AO4" s="1171"/>
      <c r="AP4" s="1171"/>
      <c r="AQ4" s="1171"/>
      <c r="AR4" s="1171"/>
      <c r="AS4" s="1171"/>
      <c r="AT4" s="1171"/>
      <c r="AU4" s="1171"/>
      <c r="AV4" s="1171"/>
      <c r="AW4" s="1171"/>
      <c r="AX4" s="1171"/>
      <c r="AY4" s="1171"/>
      <c r="AZ4" s="1171"/>
      <c r="BA4" s="1171"/>
      <c r="BB4" s="1171"/>
      <c r="BC4" s="1171"/>
      <c r="BD4" s="1171"/>
      <c r="BE4" s="1171"/>
      <c r="BF4" s="1171"/>
      <c r="BG4" s="1171"/>
      <c r="BH4" s="1171"/>
      <c r="BI4" s="1171"/>
      <c r="BJ4" s="1171"/>
      <c r="BK4" s="1171"/>
      <c r="BL4" s="1171"/>
      <c r="BM4" s="1171"/>
      <c r="BN4" s="1171"/>
      <c r="BO4" s="1171"/>
      <c r="BP4" s="1171"/>
      <c r="BQ4" s="1171"/>
      <c r="BR4" s="1171"/>
      <c r="BS4" s="1171"/>
      <c r="BT4" s="1171"/>
      <c r="BU4" s="1171"/>
      <c r="BV4" s="1171"/>
      <c r="BW4" s="1171"/>
      <c r="BX4" s="1171"/>
      <c r="BY4" s="1171"/>
      <c r="BZ4" s="1171"/>
      <c r="CA4" s="1171"/>
      <c r="CB4" s="1171"/>
      <c r="CC4" s="1171"/>
      <c r="CD4" s="1171"/>
      <c r="CE4" s="1171"/>
      <c r="CF4" s="1171"/>
      <c r="CG4" s="1171"/>
      <c r="CH4" s="1171"/>
      <c r="CI4" s="1171"/>
      <c r="CJ4" s="1171"/>
      <c r="CK4" s="1171"/>
      <c r="CL4" s="1171"/>
      <c r="CM4" s="1171"/>
      <c r="CN4" s="1171"/>
      <c r="CO4" s="1171"/>
      <c r="CP4" s="1171"/>
      <c r="CQ4" s="1171"/>
      <c r="CR4" s="1171"/>
      <c r="CS4" s="1171"/>
      <c r="CT4" s="1171"/>
      <c r="CU4" s="1171"/>
      <c r="CV4" s="1171"/>
      <c r="CW4" s="1171"/>
      <c r="CX4" s="1171"/>
      <c r="CY4" s="1171"/>
      <c r="CZ4" s="1171"/>
      <c r="DA4" s="1171"/>
      <c r="DB4" s="1171"/>
      <c r="DC4" s="1171"/>
      <c r="DD4" s="1171"/>
      <c r="DE4" s="1171"/>
      <c r="DF4" s="1171"/>
      <c r="DG4" s="1171"/>
      <c r="DH4" s="1171"/>
      <c r="DI4" s="1171"/>
      <c r="DJ4" s="1171"/>
    </row>
    <row r="5" spans="1:114" ht="250.5" customHeight="1">
      <c r="A5" s="905">
        <v>1.1000000000000001</v>
      </c>
      <c r="B5" s="906" t="s">
        <v>6587</v>
      </c>
      <c r="C5" s="907"/>
      <c r="D5" s="908" t="s">
        <v>971</v>
      </c>
      <c r="E5" s="909"/>
      <c r="F5" s="1053"/>
      <c r="G5" s="911"/>
      <c r="H5" s="911"/>
      <c r="I5" s="911"/>
      <c r="J5" s="911"/>
      <c r="K5" s="911"/>
      <c r="L5" s="911"/>
      <c r="M5" s="911"/>
      <c r="N5" s="911"/>
      <c r="O5" s="911"/>
      <c r="P5" s="911"/>
      <c r="Q5" s="911"/>
      <c r="R5" s="911"/>
      <c r="S5" s="912"/>
      <c r="T5" s="911"/>
    </row>
    <row r="6" spans="1:114" ht="149.25" customHeight="1">
      <c r="A6" s="905"/>
      <c r="B6" s="906" t="s">
        <v>1969</v>
      </c>
      <c r="C6" s="913">
        <f>ROUND(DATA!K88,2)</f>
        <v>237.08</v>
      </c>
      <c r="D6" s="908" t="s">
        <v>1192</v>
      </c>
      <c r="E6" s="914">
        <f>DSP!H46</f>
        <v>183.4</v>
      </c>
      <c r="F6" s="1053">
        <f>E6*C6</f>
        <v>43480.47</v>
      </c>
      <c r="G6" s="914"/>
      <c r="H6" s="914">
        <f>G6*C6</f>
        <v>0</v>
      </c>
      <c r="I6" s="914"/>
      <c r="J6" s="914">
        <f>I6*C6</f>
        <v>0</v>
      </c>
      <c r="K6" s="914"/>
      <c r="L6" s="914">
        <f>K6*C6</f>
        <v>0</v>
      </c>
      <c r="M6" s="914">
        <v>6.03</v>
      </c>
      <c r="N6" s="914">
        <f t="shared" ref="N6:N69" si="0">M6*C6</f>
        <v>1429.59</v>
      </c>
      <c r="O6" s="914">
        <v>47.17</v>
      </c>
      <c r="P6" s="914">
        <f t="shared" ref="P6:P69" si="1">O6*C6</f>
        <v>11183.06</v>
      </c>
      <c r="Q6" s="914"/>
      <c r="R6" s="914">
        <f>Q6*C6</f>
        <v>0</v>
      </c>
      <c r="S6" s="915">
        <f>G6+I6+K6+M6+E6+O6+Q6</f>
        <v>236.6</v>
      </c>
      <c r="T6" s="911">
        <f>S6*C6</f>
        <v>56093.13</v>
      </c>
    </row>
    <row r="7" spans="1:114" s="920" customFormat="1" ht="149.25" customHeight="1">
      <c r="A7" s="916"/>
      <c r="B7" s="917" t="s">
        <v>719</v>
      </c>
      <c r="C7" s="918">
        <f>ROUND(DATA!K89,2)</f>
        <v>247.63</v>
      </c>
      <c r="D7" s="898" t="s">
        <v>1192</v>
      </c>
      <c r="E7" s="919"/>
      <c r="F7" s="1053">
        <f t="shared" ref="F7:F70" si="2">E7*C7</f>
        <v>0</v>
      </c>
      <c r="G7" s="919"/>
      <c r="H7" s="914">
        <f t="shared" ref="H7:H70" si="3">G7*C7</f>
        <v>0</v>
      </c>
      <c r="I7" s="919"/>
      <c r="J7" s="914">
        <f t="shared" ref="J7:J70" si="4">I7*C7</f>
        <v>0</v>
      </c>
      <c r="K7" s="919"/>
      <c r="L7" s="914">
        <f t="shared" ref="L7:L70" si="5">K7*C7</f>
        <v>0</v>
      </c>
      <c r="M7" s="919"/>
      <c r="N7" s="914">
        <f t="shared" si="0"/>
        <v>0</v>
      </c>
      <c r="O7" s="914"/>
      <c r="P7" s="914">
        <f t="shared" si="1"/>
        <v>0</v>
      </c>
      <c r="Q7" s="914"/>
      <c r="R7" s="914">
        <f t="shared" ref="R7:R70" si="6">Q7*C7</f>
        <v>0</v>
      </c>
      <c r="S7" s="915">
        <f t="shared" ref="S7:S70" si="7">G7+I7+K7+M7+E7+O7+Q7</f>
        <v>0</v>
      </c>
      <c r="T7" s="911">
        <f t="shared" ref="T7:T70" si="8">S7*C7</f>
        <v>0</v>
      </c>
      <c r="U7" s="1172"/>
      <c r="V7" s="1172"/>
      <c r="W7" s="1172"/>
      <c r="X7" s="1172"/>
      <c r="Y7" s="1172"/>
      <c r="Z7" s="1172"/>
      <c r="AA7" s="1172"/>
      <c r="AB7" s="1172"/>
      <c r="AC7" s="1172"/>
      <c r="AD7" s="1172"/>
      <c r="AE7" s="1172"/>
      <c r="AF7" s="1172"/>
      <c r="AG7" s="1172"/>
      <c r="AH7" s="1172"/>
      <c r="AI7" s="1172"/>
      <c r="AJ7" s="1172"/>
      <c r="AK7" s="1172"/>
      <c r="AL7" s="1172"/>
      <c r="AM7" s="1172"/>
      <c r="AN7" s="1172"/>
      <c r="AO7" s="1172"/>
      <c r="AP7" s="1172"/>
      <c r="AQ7" s="1172"/>
      <c r="AR7" s="1172"/>
      <c r="AS7" s="1172"/>
      <c r="AT7" s="1172"/>
      <c r="AU7" s="1172"/>
      <c r="AV7" s="1172"/>
      <c r="AW7" s="1172"/>
      <c r="AX7" s="1172"/>
      <c r="AY7" s="1172"/>
      <c r="AZ7" s="1172"/>
      <c r="BA7" s="1172"/>
      <c r="BB7" s="1172"/>
      <c r="BC7" s="1172"/>
      <c r="BD7" s="1172"/>
      <c r="BE7" s="1172"/>
      <c r="BF7" s="1172"/>
      <c r="BG7" s="1172"/>
      <c r="BH7" s="1172"/>
      <c r="BI7" s="1172"/>
      <c r="BJ7" s="1172"/>
      <c r="BK7" s="1172"/>
      <c r="BL7" s="1172"/>
      <c r="BM7" s="1172"/>
      <c r="BN7" s="1172"/>
      <c r="BO7" s="1172"/>
      <c r="BP7" s="1172"/>
      <c r="BQ7" s="1172"/>
      <c r="BR7" s="1172"/>
      <c r="BS7" s="1172"/>
      <c r="BT7" s="1172"/>
      <c r="BU7" s="1172"/>
      <c r="BV7" s="1172"/>
      <c r="BW7" s="1172"/>
      <c r="BX7" s="1172"/>
      <c r="BY7" s="1172"/>
      <c r="BZ7" s="1172"/>
      <c r="CA7" s="1172"/>
      <c r="CB7" s="1172"/>
      <c r="CC7" s="1172"/>
      <c r="CD7" s="1172"/>
      <c r="CE7" s="1172"/>
      <c r="CF7" s="1172"/>
      <c r="CG7" s="1172"/>
      <c r="CH7" s="1172"/>
      <c r="CI7" s="1172"/>
      <c r="CJ7" s="1172"/>
      <c r="CK7" s="1172"/>
      <c r="CL7" s="1172"/>
      <c r="CM7" s="1172"/>
      <c r="CN7" s="1172"/>
      <c r="CO7" s="1172"/>
      <c r="CP7" s="1172"/>
      <c r="CQ7" s="1172"/>
      <c r="CR7" s="1172"/>
      <c r="CS7" s="1172"/>
      <c r="CT7" s="1172"/>
      <c r="CU7" s="1172"/>
      <c r="CV7" s="1172"/>
      <c r="CW7" s="1172"/>
      <c r="CX7" s="1172"/>
      <c r="CY7" s="1172"/>
      <c r="CZ7" s="1172"/>
      <c r="DA7" s="1172"/>
      <c r="DB7" s="1172"/>
      <c r="DC7" s="1172"/>
      <c r="DD7" s="1172"/>
      <c r="DE7" s="1172"/>
      <c r="DF7" s="1172"/>
      <c r="DG7" s="1172"/>
      <c r="DH7" s="1172"/>
      <c r="DI7" s="1172"/>
      <c r="DJ7" s="1172"/>
    </row>
    <row r="8" spans="1:114" ht="250.5" hidden="1" customHeight="1">
      <c r="A8" s="905">
        <v>1.2</v>
      </c>
      <c r="B8" s="906" t="s">
        <v>6588</v>
      </c>
      <c r="C8" s="921"/>
      <c r="D8" s="908"/>
      <c r="E8" s="919"/>
      <c r="F8" s="1053">
        <f t="shared" si="2"/>
        <v>0</v>
      </c>
      <c r="G8" s="919"/>
      <c r="H8" s="914">
        <f t="shared" si="3"/>
        <v>0</v>
      </c>
      <c r="I8" s="919"/>
      <c r="J8" s="914">
        <f t="shared" si="4"/>
        <v>0</v>
      </c>
      <c r="K8" s="919"/>
      <c r="L8" s="914">
        <f t="shared" si="5"/>
        <v>0</v>
      </c>
      <c r="M8" s="919"/>
      <c r="N8" s="914">
        <f t="shared" si="0"/>
        <v>0</v>
      </c>
      <c r="O8" s="914"/>
      <c r="P8" s="914">
        <f t="shared" si="1"/>
        <v>0</v>
      </c>
      <c r="Q8" s="914"/>
      <c r="R8" s="914">
        <f t="shared" si="6"/>
        <v>0</v>
      </c>
      <c r="S8" s="915">
        <f t="shared" si="7"/>
        <v>0</v>
      </c>
      <c r="T8" s="911">
        <f t="shared" si="8"/>
        <v>0</v>
      </c>
    </row>
    <row r="9" spans="1:114" ht="147" hidden="1" customHeight="1">
      <c r="A9" s="905"/>
      <c r="B9" s="906" t="s">
        <v>1969</v>
      </c>
      <c r="C9" s="921">
        <f>ROUND(DATA!K90,2)</f>
        <v>224.1</v>
      </c>
      <c r="D9" s="908" t="s">
        <v>1192</v>
      </c>
      <c r="E9" s="919"/>
      <c r="F9" s="1053">
        <f t="shared" si="2"/>
        <v>0</v>
      </c>
      <c r="G9" s="919"/>
      <c r="H9" s="914">
        <f t="shared" si="3"/>
        <v>0</v>
      </c>
      <c r="I9" s="919"/>
      <c r="J9" s="914">
        <f t="shared" si="4"/>
        <v>0</v>
      </c>
      <c r="K9" s="919"/>
      <c r="L9" s="914">
        <f t="shared" si="5"/>
        <v>0</v>
      </c>
      <c r="M9" s="919"/>
      <c r="N9" s="914">
        <f t="shared" si="0"/>
        <v>0</v>
      </c>
      <c r="O9" s="914"/>
      <c r="P9" s="914">
        <f t="shared" si="1"/>
        <v>0</v>
      </c>
      <c r="Q9" s="914"/>
      <c r="R9" s="914">
        <f t="shared" si="6"/>
        <v>0</v>
      </c>
      <c r="S9" s="915">
        <f t="shared" si="7"/>
        <v>0</v>
      </c>
      <c r="T9" s="911">
        <f t="shared" si="8"/>
        <v>0</v>
      </c>
    </row>
    <row r="10" spans="1:114" ht="147" hidden="1" customHeight="1">
      <c r="A10" s="905"/>
      <c r="B10" s="906" t="s">
        <v>719</v>
      </c>
      <c r="C10" s="921">
        <f>ROUND(DATA!K91,2)</f>
        <v>234.65</v>
      </c>
      <c r="D10" s="908" t="s">
        <v>1192</v>
      </c>
      <c r="E10" s="919"/>
      <c r="F10" s="1053">
        <f t="shared" si="2"/>
        <v>0</v>
      </c>
      <c r="G10" s="919"/>
      <c r="H10" s="914">
        <f t="shared" si="3"/>
        <v>0</v>
      </c>
      <c r="I10" s="919"/>
      <c r="J10" s="914">
        <f t="shared" si="4"/>
        <v>0</v>
      </c>
      <c r="K10" s="919"/>
      <c r="L10" s="914">
        <f t="shared" si="5"/>
        <v>0</v>
      </c>
      <c r="M10" s="919"/>
      <c r="N10" s="914">
        <f t="shared" si="0"/>
        <v>0</v>
      </c>
      <c r="O10" s="914"/>
      <c r="P10" s="914">
        <f t="shared" si="1"/>
        <v>0</v>
      </c>
      <c r="Q10" s="914"/>
      <c r="R10" s="914">
        <f t="shared" si="6"/>
        <v>0</v>
      </c>
      <c r="S10" s="915">
        <f t="shared" si="7"/>
        <v>0</v>
      </c>
      <c r="T10" s="911">
        <f t="shared" si="8"/>
        <v>0</v>
      </c>
    </row>
    <row r="11" spans="1:114" s="920" customFormat="1" ht="250.5" hidden="1" customHeight="1">
      <c r="A11" s="916">
        <v>1.3</v>
      </c>
      <c r="B11" s="917" t="s">
        <v>6589</v>
      </c>
      <c r="C11" s="918"/>
      <c r="D11" s="898" t="s">
        <v>971</v>
      </c>
      <c r="E11" s="919"/>
      <c r="F11" s="1053">
        <f t="shared" si="2"/>
        <v>0</v>
      </c>
      <c r="G11" s="919"/>
      <c r="H11" s="914">
        <f t="shared" si="3"/>
        <v>0</v>
      </c>
      <c r="I11" s="919"/>
      <c r="J11" s="914">
        <f t="shared" si="4"/>
        <v>0</v>
      </c>
      <c r="K11" s="919"/>
      <c r="L11" s="914">
        <f t="shared" si="5"/>
        <v>0</v>
      </c>
      <c r="M11" s="919"/>
      <c r="N11" s="914">
        <f t="shared" si="0"/>
        <v>0</v>
      </c>
      <c r="O11" s="914"/>
      <c r="P11" s="914">
        <f t="shared" si="1"/>
        <v>0</v>
      </c>
      <c r="Q11" s="914"/>
      <c r="R11" s="914">
        <f t="shared" si="6"/>
        <v>0</v>
      </c>
      <c r="S11" s="915">
        <f t="shared" si="7"/>
        <v>0</v>
      </c>
      <c r="T11" s="911">
        <f t="shared" si="8"/>
        <v>0</v>
      </c>
      <c r="U11" s="1172"/>
      <c r="V11" s="1172"/>
      <c r="W11" s="1172"/>
      <c r="X11" s="1172"/>
      <c r="Y11" s="1172"/>
      <c r="Z11" s="1172"/>
      <c r="AA11" s="1172"/>
      <c r="AB11" s="1172"/>
      <c r="AC11" s="1172"/>
      <c r="AD11" s="1172"/>
      <c r="AE11" s="1172"/>
      <c r="AF11" s="1172"/>
      <c r="AG11" s="1172"/>
      <c r="AH11" s="1172"/>
      <c r="AI11" s="1172"/>
      <c r="AJ11" s="1172"/>
      <c r="AK11" s="1172"/>
      <c r="AL11" s="1172"/>
      <c r="AM11" s="1172"/>
      <c r="AN11" s="1172"/>
      <c r="AO11" s="1172"/>
      <c r="AP11" s="1172"/>
      <c r="AQ11" s="1172"/>
      <c r="AR11" s="1172"/>
      <c r="AS11" s="1172"/>
      <c r="AT11" s="1172"/>
      <c r="AU11" s="1172"/>
      <c r="AV11" s="1172"/>
      <c r="AW11" s="1172"/>
      <c r="AX11" s="1172"/>
      <c r="AY11" s="1172"/>
      <c r="AZ11" s="1172"/>
      <c r="BA11" s="1172"/>
      <c r="BB11" s="1172"/>
      <c r="BC11" s="1172"/>
      <c r="BD11" s="1172"/>
      <c r="BE11" s="1172"/>
      <c r="BF11" s="1172"/>
      <c r="BG11" s="1172"/>
      <c r="BH11" s="1172"/>
      <c r="BI11" s="1172"/>
      <c r="BJ11" s="1172"/>
      <c r="BK11" s="1172"/>
      <c r="BL11" s="1172"/>
      <c r="BM11" s="1172"/>
      <c r="BN11" s="1172"/>
      <c r="BO11" s="1172"/>
      <c r="BP11" s="1172"/>
      <c r="BQ11" s="1172"/>
      <c r="BR11" s="1172"/>
      <c r="BS11" s="1172"/>
      <c r="BT11" s="1172"/>
      <c r="BU11" s="1172"/>
      <c r="BV11" s="1172"/>
      <c r="BW11" s="1172"/>
      <c r="BX11" s="1172"/>
      <c r="BY11" s="1172"/>
      <c r="BZ11" s="1172"/>
      <c r="CA11" s="1172"/>
      <c r="CB11" s="1172"/>
      <c r="CC11" s="1172"/>
      <c r="CD11" s="1172"/>
      <c r="CE11" s="1172"/>
      <c r="CF11" s="1172"/>
      <c r="CG11" s="1172"/>
      <c r="CH11" s="1172"/>
      <c r="CI11" s="1172"/>
      <c r="CJ11" s="1172"/>
      <c r="CK11" s="1172"/>
      <c r="CL11" s="1172"/>
      <c r="CM11" s="1172"/>
      <c r="CN11" s="1172"/>
      <c r="CO11" s="1172"/>
      <c r="CP11" s="1172"/>
      <c r="CQ11" s="1172"/>
      <c r="CR11" s="1172"/>
      <c r="CS11" s="1172"/>
      <c r="CT11" s="1172"/>
      <c r="CU11" s="1172"/>
      <c r="CV11" s="1172"/>
      <c r="CW11" s="1172"/>
      <c r="CX11" s="1172"/>
      <c r="CY11" s="1172"/>
      <c r="CZ11" s="1172"/>
      <c r="DA11" s="1172"/>
      <c r="DB11" s="1172"/>
      <c r="DC11" s="1172"/>
      <c r="DD11" s="1172"/>
      <c r="DE11" s="1172"/>
      <c r="DF11" s="1172"/>
      <c r="DG11" s="1172"/>
      <c r="DH11" s="1172"/>
      <c r="DI11" s="1172"/>
      <c r="DJ11" s="1172"/>
    </row>
    <row r="12" spans="1:114" s="920" customFormat="1" ht="175.5" hidden="1" customHeight="1">
      <c r="A12" s="916"/>
      <c r="B12" s="917" t="s">
        <v>1969</v>
      </c>
      <c r="C12" s="922">
        <f>ROUND(DATA!K101,2)</f>
        <v>346.78</v>
      </c>
      <c r="D12" s="898" t="s">
        <v>1192</v>
      </c>
      <c r="E12" s="919"/>
      <c r="F12" s="1053">
        <f t="shared" si="2"/>
        <v>0</v>
      </c>
      <c r="G12" s="919"/>
      <c r="H12" s="914">
        <f t="shared" si="3"/>
        <v>0</v>
      </c>
      <c r="I12" s="919"/>
      <c r="J12" s="914">
        <f t="shared" si="4"/>
        <v>0</v>
      </c>
      <c r="K12" s="919"/>
      <c r="L12" s="914">
        <f t="shared" si="5"/>
        <v>0</v>
      </c>
      <c r="M12" s="919"/>
      <c r="N12" s="914">
        <f t="shared" si="0"/>
        <v>0</v>
      </c>
      <c r="O12" s="914"/>
      <c r="P12" s="914">
        <f t="shared" si="1"/>
        <v>0</v>
      </c>
      <c r="Q12" s="914"/>
      <c r="R12" s="914">
        <f t="shared" si="6"/>
        <v>0</v>
      </c>
      <c r="S12" s="915">
        <f t="shared" si="7"/>
        <v>0</v>
      </c>
      <c r="T12" s="911">
        <f t="shared" si="8"/>
        <v>0</v>
      </c>
      <c r="U12" s="1172"/>
      <c r="V12" s="1172"/>
      <c r="W12" s="1172"/>
      <c r="X12" s="1172"/>
      <c r="Y12" s="1172"/>
      <c r="Z12" s="1172"/>
      <c r="AA12" s="1172"/>
      <c r="AB12" s="1172"/>
      <c r="AC12" s="1172"/>
      <c r="AD12" s="1172"/>
      <c r="AE12" s="1172"/>
      <c r="AF12" s="1172"/>
      <c r="AG12" s="1172"/>
      <c r="AH12" s="1172"/>
      <c r="AI12" s="1172"/>
      <c r="AJ12" s="1172"/>
      <c r="AK12" s="1172"/>
      <c r="AL12" s="1172"/>
      <c r="AM12" s="1172"/>
      <c r="AN12" s="1172"/>
      <c r="AO12" s="1172"/>
      <c r="AP12" s="1172"/>
      <c r="AQ12" s="1172"/>
      <c r="AR12" s="1172"/>
      <c r="AS12" s="1172"/>
      <c r="AT12" s="1172"/>
      <c r="AU12" s="1172"/>
      <c r="AV12" s="1172"/>
      <c r="AW12" s="1172"/>
      <c r="AX12" s="1172"/>
      <c r="AY12" s="1172"/>
      <c r="AZ12" s="1172"/>
      <c r="BA12" s="1172"/>
      <c r="BB12" s="1172"/>
      <c r="BC12" s="1172"/>
      <c r="BD12" s="1172"/>
      <c r="BE12" s="1172"/>
      <c r="BF12" s="1172"/>
      <c r="BG12" s="1172"/>
      <c r="BH12" s="1172"/>
      <c r="BI12" s="1172"/>
      <c r="BJ12" s="1172"/>
      <c r="BK12" s="1172"/>
      <c r="BL12" s="1172"/>
      <c r="BM12" s="1172"/>
      <c r="BN12" s="1172"/>
      <c r="BO12" s="1172"/>
      <c r="BP12" s="1172"/>
      <c r="BQ12" s="1172"/>
      <c r="BR12" s="1172"/>
      <c r="BS12" s="1172"/>
      <c r="BT12" s="1172"/>
      <c r="BU12" s="1172"/>
      <c r="BV12" s="1172"/>
      <c r="BW12" s="1172"/>
      <c r="BX12" s="1172"/>
      <c r="BY12" s="1172"/>
      <c r="BZ12" s="1172"/>
      <c r="CA12" s="1172"/>
      <c r="CB12" s="1172"/>
      <c r="CC12" s="1172"/>
      <c r="CD12" s="1172"/>
      <c r="CE12" s="1172"/>
      <c r="CF12" s="1172"/>
      <c r="CG12" s="1172"/>
      <c r="CH12" s="1172"/>
      <c r="CI12" s="1172"/>
      <c r="CJ12" s="1172"/>
      <c r="CK12" s="1172"/>
      <c r="CL12" s="1172"/>
      <c r="CM12" s="1172"/>
      <c r="CN12" s="1172"/>
      <c r="CO12" s="1172"/>
      <c r="CP12" s="1172"/>
      <c r="CQ12" s="1172"/>
      <c r="CR12" s="1172"/>
      <c r="CS12" s="1172"/>
      <c r="CT12" s="1172"/>
      <c r="CU12" s="1172"/>
      <c r="CV12" s="1172"/>
      <c r="CW12" s="1172"/>
      <c r="CX12" s="1172"/>
      <c r="CY12" s="1172"/>
      <c r="CZ12" s="1172"/>
      <c r="DA12" s="1172"/>
      <c r="DB12" s="1172"/>
      <c r="DC12" s="1172"/>
      <c r="DD12" s="1172"/>
      <c r="DE12" s="1172"/>
      <c r="DF12" s="1172"/>
      <c r="DG12" s="1172"/>
      <c r="DH12" s="1172"/>
      <c r="DI12" s="1172"/>
      <c r="DJ12" s="1172"/>
    </row>
    <row r="13" spans="1:114" ht="175.5" hidden="1" customHeight="1">
      <c r="A13" s="905"/>
      <c r="B13" s="906" t="s">
        <v>719</v>
      </c>
      <c r="C13" s="913">
        <f>ROUND(DATA!K102,2)</f>
        <v>357.33</v>
      </c>
      <c r="D13" s="908" t="s">
        <v>1192</v>
      </c>
      <c r="E13" s="919"/>
      <c r="F13" s="1053">
        <f t="shared" si="2"/>
        <v>0</v>
      </c>
      <c r="G13" s="919"/>
      <c r="H13" s="914">
        <f t="shared" si="3"/>
        <v>0</v>
      </c>
      <c r="I13" s="919"/>
      <c r="J13" s="914">
        <f t="shared" si="4"/>
        <v>0</v>
      </c>
      <c r="K13" s="919"/>
      <c r="L13" s="914">
        <f t="shared" si="5"/>
        <v>0</v>
      </c>
      <c r="M13" s="919"/>
      <c r="N13" s="914">
        <f t="shared" si="0"/>
        <v>0</v>
      </c>
      <c r="O13" s="914"/>
      <c r="P13" s="914">
        <f t="shared" si="1"/>
        <v>0</v>
      </c>
      <c r="Q13" s="914"/>
      <c r="R13" s="914">
        <f t="shared" si="6"/>
        <v>0</v>
      </c>
      <c r="S13" s="915">
        <f t="shared" si="7"/>
        <v>0</v>
      </c>
      <c r="T13" s="911">
        <f t="shared" si="8"/>
        <v>0</v>
      </c>
    </row>
    <row r="14" spans="1:114" ht="250.5" hidden="1" customHeight="1">
      <c r="A14" s="905">
        <v>1.4</v>
      </c>
      <c r="B14" s="906" t="s">
        <v>6590</v>
      </c>
      <c r="C14" s="921"/>
      <c r="D14" s="908"/>
      <c r="E14" s="919"/>
      <c r="F14" s="1053">
        <f t="shared" si="2"/>
        <v>0</v>
      </c>
      <c r="G14" s="919"/>
      <c r="H14" s="914">
        <f t="shared" si="3"/>
        <v>0</v>
      </c>
      <c r="I14" s="919"/>
      <c r="J14" s="914">
        <f t="shared" si="4"/>
        <v>0</v>
      </c>
      <c r="K14" s="919"/>
      <c r="L14" s="914">
        <f t="shared" si="5"/>
        <v>0</v>
      </c>
      <c r="M14" s="919"/>
      <c r="N14" s="914">
        <f t="shared" si="0"/>
        <v>0</v>
      </c>
      <c r="O14" s="914"/>
      <c r="P14" s="914">
        <f t="shared" si="1"/>
        <v>0</v>
      </c>
      <c r="Q14" s="914"/>
      <c r="R14" s="914">
        <f t="shared" si="6"/>
        <v>0</v>
      </c>
      <c r="S14" s="915">
        <f t="shared" si="7"/>
        <v>0</v>
      </c>
      <c r="T14" s="911">
        <f t="shared" si="8"/>
        <v>0</v>
      </c>
    </row>
    <row r="15" spans="1:114" ht="250.5" hidden="1" customHeight="1">
      <c r="A15" s="905"/>
      <c r="B15" s="906" t="s">
        <v>1969</v>
      </c>
      <c r="C15" s="921">
        <f>ROUND(DATA!K116,2)</f>
        <v>125.03</v>
      </c>
      <c r="D15" s="908" t="s">
        <v>1192</v>
      </c>
      <c r="E15" s="919"/>
      <c r="F15" s="1053">
        <f t="shared" si="2"/>
        <v>0</v>
      </c>
      <c r="G15" s="919"/>
      <c r="H15" s="914">
        <f t="shared" si="3"/>
        <v>0</v>
      </c>
      <c r="I15" s="919"/>
      <c r="J15" s="914">
        <f t="shared" si="4"/>
        <v>0</v>
      </c>
      <c r="K15" s="919"/>
      <c r="L15" s="914">
        <f t="shared" si="5"/>
        <v>0</v>
      </c>
      <c r="M15" s="919"/>
      <c r="N15" s="914">
        <f t="shared" si="0"/>
        <v>0</v>
      </c>
      <c r="O15" s="914"/>
      <c r="P15" s="914">
        <f t="shared" si="1"/>
        <v>0</v>
      </c>
      <c r="Q15" s="914"/>
      <c r="R15" s="914">
        <f t="shared" si="6"/>
        <v>0</v>
      </c>
      <c r="S15" s="915">
        <f t="shared" si="7"/>
        <v>0</v>
      </c>
      <c r="T15" s="911">
        <f t="shared" si="8"/>
        <v>0</v>
      </c>
    </row>
    <row r="16" spans="1:114" ht="250.5" hidden="1" customHeight="1">
      <c r="A16" s="905"/>
      <c r="B16" s="906" t="s">
        <v>719</v>
      </c>
      <c r="C16" s="921">
        <f>ROUND(DATA!L116,2)</f>
        <v>135.58000000000001</v>
      </c>
      <c r="D16" s="908" t="s">
        <v>1192</v>
      </c>
      <c r="E16" s="919"/>
      <c r="F16" s="1053">
        <f t="shared" si="2"/>
        <v>0</v>
      </c>
      <c r="G16" s="919"/>
      <c r="H16" s="914">
        <f t="shared" si="3"/>
        <v>0</v>
      </c>
      <c r="I16" s="919"/>
      <c r="J16" s="914">
        <f t="shared" si="4"/>
        <v>0</v>
      </c>
      <c r="K16" s="919"/>
      <c r="L16" s="914">
        <f t="shared" si="5"/>
        <v>0</v>
      </c>
      <c r="M16" s="919"/>
      <c r="N16" s="914">
        <f t="shared" si="0"/>
        <v>0</v>
      </c>
      <c r="O16" s="914"/>
      <c r="P16" s="914">
        <f t="shared" si="1"/>
        <v>0</v>
      </c>
      <c r="Q16" s="914"/>
      <c r="R16" s="914">
        <f t="shared" si="6"/>
        <v>0</v>
      </c>
      <c r="S16" s="915">
        <f t="shared" si="7"/>
        <v>0</v>
      </c>
      <c r="T16" s="911">
        <f t="shared" si="8"/>
        <v>0</v>
      </c>
    </row>
    <row r="17" spans="1:114" ht="250.5" customHeight="1">
      <c r="A17" s="905">
        <v>1.5</v>
      </c>
      <c r="B17" s="906" t="s">
        <v>6591</v>
      </c>
      <c r="C17" s="913"/>
      <c r="D17" s="908" t="s">
        <v>971</v>
      </c>
      <c r="E17" s="911"/>
      <c r="F17" s="1053">
        <f t="shared" si="2"/>
        <v>0</v>
      </c>
      <c r="G17" s="914"/>
      <c r="H17" s="914">
        <f t="shared" si="3"/>
        <v>0</v>
      </c>
      <c r="I17" s="914"/>
      <c r="J17" s="914">
        <f t="shared" si="4"/>
        <v>0</v>
      </c>
      <c r="K17" s="914"/>
      <c r="L17" s="914">
        <f t="shared" si="5"/>
        <v>0</v>
      </c>
      <c r="M17" s="914"/>
      <c r="N17" s="914">
        <f t="shared" si="0"/>
        <v>0</v>
      </c>
      <c r="O17" s="914"/>
      <c r="P17" s="914">
        <f t="shared" si="1"/>
        <v>0</v>
      </c>
      <c r="Q17" s="914"/>
      <c r="R17" s="914">
        <f t="shared" si="6"/>
        <v>0</v>
      </c>
      <c r="S17" s="915">
        <f t="shared" si="7"/>
        <v>0</v>
      </c>
      <c r="T17" s="911">
        <f t="shared" si="8"/>
        <v>0</v>
      </c>
    </row>
    <row r="18" spans="1:114" ht="138" customHeight="1">
      <c r="A18" s="905"/>
      <c r="B18" s="906" t="s">
        <v>1969</v>
      </c>
      <c r="C18" s="913">
        <f>ROUND(DATA!K118,2)</f>
        <v>112.05</v>
      </c>
      <c r="D18" s="908" t="s">
        <v>1192</v>
      </c>
      <c r="E18" s="914"/>
      <c r="F18" s="1053">
        <f t="shared" si="2"/>
        <v>0</v>
      </c>
      <c r="G18" s="914"/>
      <c r="H18" s="914">
        <f t="shared" si="3"/>
        <v>0</v>
      </c>
      <c r="I18" s="914"/>
      <c r="J18" s="914">
        <f t="shared" si="4"/>
        <v>0</v>
      </c>
      <c r="K18" s="914">
        <v>142.5</v>
      </c>
      <c r="L18" s="914">
        <f t="shared" si="5"/>
        <v>15967.13</v>
      </c>
      <c r="M18" s="914"/>
      <c r="N18" s="914">
        <f t="shared" si="0"/>
        <v>0</v>
      </c>
      <c r="O18" s="914"/>
      <c r="P18" s="914">
        <f t="shared" si="1"/>
        <v>0</v>
      </c>
      <c r="Q18" s="914">
        <f>'DEV-2'!U18</f>
        <v>54.98</v>
      </c>
      <c r="R18" s="914">
        <f t="shared" si="6"/>
        <v>6160.51</v>
      </c>
      <c r="S18" s="915">
        <f t="shared" si="7"/>
        <v>197.48</v>
      </c>
      <c r="T18" s="911">
        <f t="shared" si="8"/>
        <v>22127.63</v>
      </c>
    </row>
    <row r="19" spans="1:114" ht="138" customHeight="1">
      <c r="A19" s="905"/>
      <c r="B19" s="906" t="s">
        <v>719</v>
      </c>
      <c r="C19" s="921">
        <f>ROUND(DATA!K119,2)</f>
        <v>122.6</v>
      </c>
      <c r="D19" s="908" t="s">
        <v>1192</v>
      </c>
      <c r="E19" s="914"/>
      <c r="F19" s="1053">
        <f t="shared" si="2"/>
        <v>0</v>
      </c>
      <c r="G19" s="914"/>
      <c r="H19" s="914">
        <f t="shared" si="3"/>
        <v>0</v>
      </c>
      <c r="I19" s="914"/>
      <c r="J19" s="914">
        <f t="shared" si="4"/>
        <v>0</v>
      </c>
      <c r="K19" s="914"/>
      <c r="L19" s="914">
        <f t="shared" si="5"/>
        <v>0</v>
      </c>
      <c r="M19" s="914"/>
      <c r="N19" s="914">
        <f t="shared" si="0"/>
        <v>0</v>
      </c>
      <c r="O19" s="914"/>
      <c r="P19" s="914">
        <f t="shared" si="1"/>
        <v>0</v>
      </c>
      <c r="Q19" s="914"/>
      <c r="R19" s="914">
        <f t="shared" si="6"/>
        <v>0</v>
      </c>
      <c r="S19" s="915">
        <f t="shared" si="7"/>
        <v>0</v>
      </c>
      <c r="T19" s="911">
        <f t="shared" si="8"/>
        <v>0</v>
      </c>
    </row>
    <row r="20" spans="1:114" ht="138" hidden="1" customHeight="1">
      <c r="A20" s="905"/>
      <c r="B20" s="906" t="s">
        <v>3775</v>
      </c>
      <c r="C20" s="921">
        <f>ROUND(DATA!K120,2)</f>
        <v>133.15</v>
      </c>
      <c r="D20" s="908" t="s">
        <v>1192</v>
      </c>
      <c r="E20" s="919"/>
      <c r="F20" s="1053">
        <f t="shared" si="2"/>
        <v>0</v>
      </c>
      <c r="G20" s="919"/>
      <c r="H20" s="914">
        <f t="shared" si="3"/>
        <v>0</v>
      </c>
      <c r="I20" s="919"/>
      <c r="J20" s="914">
        <f t="shared" si="4"/>
        <v>0</v>
      </c>
      <c r="K20" s="919"/>
      <c r="L20" s="914">
        <f t="shared" si="5"/>
        <v>0</v>
      </c>
      <c r="M20" s="919"/>
      <c r="N20" s="914">
        <f t="shared" si="0"/>
        <v>0</v>
      </c>
      <c r="O20" s="914"/>
      <c r="P20" s="914">
        <f t="shared" si="1"/>
        <v>0</v>
      </c>
      <c r="Q20" s="914"/>
      <c r="R20" s="914">
        <f t="shared" si="6"/>
        <v>0</v>
      </c>
      <c r="S20" s="915">
        <f t="shared" si="7"/>
        <v>0</v>
      </c>
      <c r="T20" s="911">
        <f t="shared" si="8"/>
        <v>0</v>
      </c>
    </row>
    <row r="21" spans="1:114" ht="138" hidden="1" customHeight="1">
      <c r="A21" s="905"/>
      <c r="B21" s="906" t="s">
        <v>3776</v>
      </c>
      <c r="C21" s="921">
        <f>ROUND(DATA!K121,2)</f>
        <v>143.69999999999999</v>
      </c>
      <c r="D21" s="908" t="s">
        <v>1192</v>
      </c>
      <c r="E21" s="919"/>
      <c r="F21" s="1053">
        <f t="shared" si="2"/>
        <v>0</v>
      </c>
      <c r="G21" s="919"/>
      <c r="H21" s="914">
        <f t="shared" si="3"/>
        <v>0</v>
      </c>
      <c r="I21" s="919"/>
      <c r="J21" s="914">
        <f t="shared" si="4"/>
        <v>0</v>
      </c>
      <c r="K21" s="919"/>
      <c r="L21" s="914">
        <f t="shared" si="5"/>
        <v>0</v>
      </c>
      <c r="M21" s="919"/>
      <c r="N21" s="914">
        <f t="shared" si="0"/>
        <v>0</v>
      </c>
      <c r="O21" s="914"/>
      <c r="P21" s="914">
        <f t="shared" si="1"/>
        <v>0</v>
      </c>
      <c r="Q21" s="914"/>
      <c r="R21" s="914">
        <f t="shared" si="6"/>
        <v>0</v>
      </c>
      <c r="S21" s="915">
        <f t="shared" si="7"/>
        <v>0</v>
      </c>
      <c r="T21" s="911">
        <f t="shared" si="8"/>
        <v>0</v>
      </c>
    </row>
    <row r="22" spans="1:114" ht="250.5" customHeight="1">
      <c r="A22" s="905">
        <v>1.6</v>
      </c>
      <c r="B22" s="906" t="s">
        <v>6592</v>
      </c>
      <c r="C22" s="913"/>
      <c r="D22" s="908"/>
      <c r="E22" s="919"/>
      <c r="F22" s="1053">
        <f t="shared" si="2"/>
        <v>0</v>
      </c>
      <c r="G22" s="919"/>
      <c r="H22" s="914">
        <f t="shared" si="3"/>
        <v>0</v>
      </c>
      <c r="I22" s="919"/>
      <c r="J22" s="914">
        <f t="shared" si="4"/>
        <v>0</v>
      </c>
      <c r="K22" s="919"/>
      <c r="L22" s="914">
        <f t="shared" si="5"/>
        <v>0</v>
      </c>
      <c r="M22" s="919"/>
      <c r="N22" s="914">
        <f t="shared" si="0"/>
        <v>0</v>
      </c>
      <c r="O22" s="914"/>
      <c r="P22" s="914">
        <f t="shared" si="1"/>
        <v>0</v>
      </c>
      <c r="Q22" s="914"/>
      <c r="R22" s="914">
        <f t="shared" si="6"/>
        <v>0</v>
      </c>
      <c r="S22" s="915">
        <f t="shared" si="7"/>
        <v>0</v>
      </c>
      <c r="T22" s="911">
        <f t="shared" si="8"/>
        <v>0</v>
      </c>
    </row>
    <row r="23" spans="1:114" ht="126.75" customHeight="1">
      <c r="A23" s="905"/>
      <c r="B23" s="906" t="s">
        <v>1969</v>
      </c>
      <c r="C23" s="913">
        <f>ROUND(DATA!K133,2)</f>
        <v>168.08</v>
      </c>
      <c r="D23" s="908" t="s">
        <v>1192</v>
      </c>
      <c r="E23" s="919"/>
      <c r="F23" s="1053">
        <f t="shared" si="2"/>
        <v>0</v>
      </c>
      <c r="G23" s="919"/>
      <c r="H23" s="914">
        <f t="shared" si="3"/>
        <v>0</v>
      </c>
      <c r="I23" s="919"/>
      <c r="J23" s="914">
        <f t="shared" si="4"/>
        <v>0</v>
      </c>
      <c r="K23" s="919"/>
      <c r="L23" s="914">
        <f t="shared" si="5"/>
        <v>0</v>
      </c>
      <c r="M23" s="919"/>
      <c r="N23" s="914">
        <f t="shared" si="0"/>
        <v>0</v>
      </c>
      <c r="O23" s="914"/>
      <c r="P23" s="914">
        <f t="shared" si="1"/>
        <v>0</v>
      </c>
      <c r="Q23" s="914">
        <f>'DEV-2'!U23</f>
        <v>18</v>
      </c>
      <c r="R23" s="914">
        <f t="shared" si="6"/>
        <v>3025.44</v>
      </c>
      <c r="S23" s="915">
        <f t="shared" si="7"/>
        <v>18</v>
      </c>
      <c r="T23" s="911">
        <f t="shared" si="8"/>
        <v>3025.44</v>
      </c>
    </row>
    <row r="24" spans="1:114" ht="126.75" customHeight="1">
      <c r="A24" s="905"/>
      <c r="B24" s="906" t="s">
        <v>719</v>
      </c>
      <c r="C24" s="921">
        <f>ROUND(DATA!K134,2)</f>
        <v>178.63</v>
      </c>
      <c r="D24" s="908" t="s">
        <v>1192</v>
      </c>
      <c r="E24" s="919"/>
      <c r="F24" s="1053">
        <f t="shared" si="2"/>
        <v>0</v>
      </c>
      <c r="G24" s="919"/>
      <c r="H24" s="914">
        <f t="shared" si="3"/>
        <v>0</v>
      </c>
      <c r="I24" s="919"/>
      <c r="J24" s="914">
        <f t="shared" si="4"/>
        <v>0</v>
      </c>
      <c r="K24" s="919"/>
      <c r="L24" s="914">
        <f t="shared" si="5"/>
        <v>0</v>
      </c>
      <c r="M24" s="919"/>
      <c r="N24" s="914">
        <f t="shared" si="0"/>
        <v>0</v>
      </c>
      <c r="O24" s="914"/>
      <c r="P24" s="914">
        <f t="shared" si="1"/>
        <v>0</v>
      </c>
      <c r="Q24" s="914"/>
      <c r="R24" s="914">
        <f t="shared" si="6"/>
        <v>0</v>
      </c>
      <c r="S24" s="915">
        <f t="shared" si="7"/>
        <v>0</v>
      </c>
      <c r="T24" s="911">
        <f t="shared" si="8"/>
        <v>0</v>
      </c>
    </row>
    <row r="25" spans="1:114" ht="250.5" hidden="1" customHeight="1">
      <c r="A25" s="905">
        <v>1.7</v>
      </c>
      <c r="B25" s="906" t="s">
        <v>6593</v>
      </c>
      <c r="C25" s="921"/>
      <c r="D25" s="908" t="s">
        <v>971</v>
      </c>
      <c r="E25" s="919"/>
      <c r="F25" s="1053">
        <f t="shared" si="2"/>
        <v>0</v>
      </c>
      <c r="G25" s="919"/>
      <c r="H25" s="914">
        <f t="shared" si="3"/>
        <v>0</v>
      </c>
      <c r="I25" s="919"/>
      <c r="J25" s="914">
        <f t="shared" si="4"/>
        <v>0</v>
      </c>
      <c r="K25" s="919"/>
      <c r="L25" s="914">
        <f t="shared" si="5"/>
        <v>0</v>
      </c>
      <c r="M25" s="919"/>
      <c r="N25" s="914">
        <f t="shared" si="0"/>
        <v>0</v>
      </c>
      <c r="O25" s="914"/>
      <c r="P25" s="914">
        <f t="shared" si="1"/>
        <v>0</v>
      </c>
      <c r="Q25" s="914"/>
      <c r="R25" s="914">
        <f t="shared" si="6"/>
        <v>0</v>
      </c>
      <c r="S25" s="915">
        <f t="shared" si="7"/>
        <v>0</v>
      </c>
      <c r="T25" s="911">
        <f t="shared" si="8"/>
        <v>0</v>
      </c>
    </row>
    <row r="26" spans="1:114" ht="123.75" hidden="1" customHeight="1">
      <c r="A26" s="905"/>
      <c r="B26" s="906" t="s">
        <v>1969</v>
      </c>
      <c r="C26" s="921">
        <f>ROUND(DATA!K104,2)</f>
        <v>333.8</v>
      </c>
      <c r="D26" s="908" t="s">
        <v>1192</v>
      </c>
      <c r="E26" s="919"/>
      <c r="F26" s="1053">
        <f t="shared" si="2"/>
        <v>0</v>
      </c>
      <c r="G26" s="919"/>
      <c r="H26" s="914">
        <f t="shared" si="3"/>
        <v>0</v>
      </c>
      <c r="I26" s="919"/>
      <c r="J26" s="914">
        <f t="shared" si="4"/>
        <v>0</v>
      </c>
      <c r="K26" s="919"/>
      <c r="L26" s="914">
        <f t="shared" si="5"/>
        <v>0</v>
      </c>
      <c r="M26" s="919"/>
      <c r="N26" s="914">
        <f t="shared" si="0"/>
        <v>0</v>
      </c>
      <c r="O26" s="914"/>
      <c r="P26" s="914">
        <f t="shared" si="1"/>
        <v>0</v>
      </c>
      <c r="Q26" s="914"/>
      <c r="R26" s="914">
        <f t="shared" si="6"/>
        <v>0</v>
      </c>
      <c r="S26" s="915">
        <f t="shared" si="7"/>
        <v>0</v>
      </c>
      <c r="T26" s="911">
        <f t="shared" si="8"/>
        <v>0</v>
      </c>
    </row>
    <row r="27" spans="1:114" ht="123.75" hidden="1" customHeight="1">
      <c r="A27" s="905"/>
      <c r="B27" s="906" t="s">
        <v>719</v>
      </c>
      <c r="C27" s="921">
        <f>ROUND(DATA!K105,2)</f>
        <v>344.35</v>
      </c>
      <c r="D27" s="908" t="s">
        <v>1192</v>
      </c>
      <c r="E27" s="919"/>
      <c r="F27" s="1053">
        <f t="shared" si="2"/>
        <v>0</v>
      </c>
      <c r="G27" s="919"/>
      <c r="H27" s="914">
        <f t="shared" si="3"/>
        <v>0</v>
      </c>
      <c r="I27" s="919"/>
      <c r="J27" s="914">
        <f t="shared" si="4"/>
        <v>0</v>
      </c>
      <c r="K27" s="919"/>
      <c r="L27" s="914">
        <f t="shared" si="5"/>
        <v>0</v>
      </c>
      <c r="M27" s="919"/>
      <c r="N27" s="914">
        <f t="shared" si="0"/>
        <v>0</v>
      </c>
      <c r="O27" s="914"/>
      <c r="P27" s="914">
        <f t="shared" si="1"/>
        <v>0</v>
      </c>
      <c r="Q27" s="914"/>
      <c r="R27" s="914">
        <f t="shared" si="6"/>
        <v>0</v>
      </c>
      <c r="S27" s="915">
        <f t="shared" si="7"/>
        <v>0</v>
      </c>
      <c r="T27" s="911">
        <f t="shared" si="8"/>
        <v>0</v>
      </c>
    </row>
    <row r="28" spans="1:114" ht="250.5" hidden="1" customHeight="1">
      <c r="A28" s="905">
        <v>1.8</v>
      </c>
      <c r="B28" s="906" t="s">
        <v>6594</v>
      </c>
      <c r="C28" s="913"/>
      <c r="D28" s="908" t="s">
        <v>971</v>
      </c>
      <c r="E28" s="919"/>
      <c r="F28" s="1053">
        <f t="shared" si="2"/>
        <v>0</v>
      </c>
      <c r="G28" s="919"/>
      <c r="H28" s="914">
        <f t="shared" si="3"/>
        <v>0</v>
      </c>
      <c r="I28" s="919"/>
      <c r="J28" s="914">
        <f t="shared" si="4"/>
        <v>0</v>
      </c>
      <c r="K28" s="919"/>
      <c r="L28" s="914">
        <f t="shared" si="5"/>
        <v>0</v>
      </c>
      <c r="M28" s="919"/>
      <c r="N28" s="914">
        <f t="shared" si="0"/>
        <v>0</v>
      </c>
      <c r="O28" s="914"/>
      <c r="P28" s="914">
        <f t="shared" si="1"/>
        <v>0</v>
      </c>
      <c r="Q28" s="914"/>
      <c r="R28" s="914">
        <f t="shared" si="6"/>
        <v>0</v>
      </c>
      <c r="S28" s="915">
        <f t="shared" si="7"/>
        <v>0</v>
      </c>
      <c r="T28" s="911">
        <f t="shared" si="8"/>
        <v>0</v>
      </c>
    </row>
    <row r="29" spans="1:114" s="923" customFormat="1" ht="250.5" hidden="1" customHeight="1">
      <c r="A29" s="905"/>
      <c r="B29" s="906" t="s">
        <v>1969</v>
      </c>
      <c r="C29" s="921">
        <f>ROUND(DATA!K129,2)</f>
        <v>166.9</v>
      </c>
      <c r="D29" s="908" t="s">
        <v>1192</v>
      </c>
      <c r="E29" s="919"/>
      <c r="F29" s="1053">
        <f t="shared" si="2"/>
        <v>0</v>
      </c>
      <c r="G29" s="919"/>
      <c r="H29" s="914">
        <f t="shared" si="3"/>
        <v>0</v>
      </c>
      <c r="I29" s="919"/>
      <c r="J29" s="914">
        <f t="shared" si="4"/>
        <v>0</v>
      </c>
      <c r="K29" s="919"/>
      <c r="L29" s="914">
        <f t="shared" si="5"/>
        <v>0</v>
      </c>
      <c r="M29" s="919"/>
      <c r="N29" s="914">
        <f t="shared" si="0"/>
        <v>0</v>
      </c>
      <c r="O29" s="914"/>
      <c r="P29" s="914">
        <f t="shared" si="1"/>
        <v>0</v>
      </c>
      <c r="Q29" s="914"/>
      <c r="R29" s="914">
        <f t="shared" si="6"/>
        <v>0</v>
      </c>
      <c r="S29" s="915">
        <f t="shared" si="7"/>
        <v>0</v>
      </c>
      <c r="T29" s="911">
        <f t="shared" si="8"/>
        <v>0</v>
      </c>
      <c r="U29" s="1170"/>
      <c r="V29" s="1170"/>
      <c r="W29" s="1170"/>
      <c r="X29" s="1170"/>
      <c r="Y29" s="1170"/>
      <c r="Z29" s="1170"/>
      <c r="AA29" s="1170"/>
      <c r="AB29" s="1170"/>
      <c r="AC29" s="1170"/>
      <c r="AD29" s="1170"/>
      <c r="AE29" s="1170"/>
      <c r="AF29" s="1170"/>
      <c r="AG29" s="1170"/>
      <c r="AH29" s="1170"/>
      <c r="AI29" s="1170"/>
      <c r="AJ29" s="1170"/>
      <c r="AK29" s="1170"/>
      <c r="AL29" s="1170"/>
      <c r="AM29" s="1170"/>
      <c r="AN29" s="1170"/>
      <c r="AO29" s="1170"/>
      <c r="AP29" s="1170"/>
      <c r="AQ29" s="1170"/>
      <c r="AR29" s="1170"/>
      <c r="AS29" s="1170"/>
      <c r="AT29" s="1170"/>
      <c r="AU29" s="1170"/>
      <c r="AV29" s="1170"/>
      <c r="AW29" s="1170"/>
      <c r="AX29" s="1170"/>
      <c r="AY29" s="1170"/>
      <c r="AZ29" s="1170"/>
      <c r="BA29" s="1170"/>
      <c r="BB29" s="1170"/>
      <c r="BC29" s="1170"/>
      <c r="BD29" s="1170"/>
      <c r="BE29" s="1170"/>
      <c r="BF29" s="1170"/>
      <c r="BG29" s="1170"/>
      <c r="BH29" s="1170"/>
      <c r="BI29" s="1170"/>
      <c r="BJ29" s="1170"/>
      <c r="BK29" s="1170"/>
      <c r="BL29" s="1170"/>
      <c r="BM29" s="1170"/>
      <c r="BN29" s="1170"/>
      <c r="BO29" s="1170"/>
      <c r="BP29" s="1170"/>
      <c r="BQ29" s="1170"/>
      <c r="BR29" s="1170"/>
      <c r="BS29" s="1170"/>
      <c r="BT29" s="1170"/>
      <c r="BU29" s="1170"/>
      <c r="BV29" s="1170"/>
      <c r="BW29" s="1170"/>
      <c r="BX29" s="1170"/>
      <c r="BY29" s="1170"/>
      <c r="BZ29" s="1170"/>
      <c r="CA29" s="1170"/>
      <c r="CB29" s="1170"/>
      <c r="CC29" s="1170"/>
      <c r="CD29" s="1170"/>
      <c r="CE29" s="1170"/>
      <c r="CF29" s="1170"/>
      <c r="CG29" s="1170"/>
      <c r="CH29" s="1170"/>
      <c r="CI29" s="1170"/>
      <c r="CJ29" s="1170"/>
      <c r="CK29" s="1170"/>
      <c r="CL29" s="1170"/>
      <c r="CM29" s="1170"/>
      <c r="CN29" s="1170"/>
      <c r="CO29" s="1170"/>
      <c r="CP29" s="1170"/>
      <c r="CQ29" s="1170"/>
      <c r="CR29" s="1170"/>
      <c r="CS29" s="1170"/>
      <c r="CT29" s="1170"/>
      <c r="CU29" s="1170"/>
      <c r="CV29" s="1170"/>
      <c r="CW29" s="1170"/>
      <c r="CX29" s="1170"/>
      <c r="CY29" s="1170"/>
      <c r="CZ29" s="1170"/>
      <c r="DA29" s="1170"/>
      <c r="DB29" s="1170"/>
      <c r="DC29" s="1170"/>
      <c r="DD29" s="1170"/>
      <c r="DE29" s="1170"/>
      <c r="DF29" s="1170"/>
      <c r="DG29" s="1170"/>
      <c r="DH29" s="1170"/>
      <c r="DI29" s="1170"/>
      <c r="DJ29" s="1170"/>
    </row>
    <row r="30" spans="1:114" ht="250.5" hidden="1" customHeight="1">
      <c r="A30" s="905"/>
      <c r="B30" s="906" t="s">
        <v>719</v>
      </c>
      <c r="C30" s="921">
        <f>ROUND(DATA!K130,2)</f>
        <v>177.45</v>
      </c>
      <c r="D30" s="908" t="s">
        <v>1192</v>
      </c>
      <c r="E30" s="919"/>
      <c r="F30" s="1053">
        <f t="shared" si="2"/>
        <v>0</v>
      </c>
      <c r="G30" s="919"/>
      <c r="H30" s="914">
        <f t="shared" si="3"/>
        <v>0</v>
      </c>
      <c r="I30" s="919"/>
      <c r="J30" s="914">
        <f t="shared" si="4"/>
        <v>0</v>
      </c>
      <c r="K30" s="919"/>
      <c r="L30" s="914">
        <f t="shared" si="5"/>
        <v>0</v>
      </c>
      <c r="M30" s="919"/>
      <c r="N30" s="914">
        <f t="shared" si="0"/>
        <v>0</v>
      </c>
      <c r="O30" s="914"/>
      <c r="P30" s="914">
        <f t="shared" si="1"/>
        <v>0</v>
      </c>
      <c r="Q30" s="914"/>
      <c r="R30" s="914">
        <f t="shared" si="6"/>
        <v>0</v>
      </c>
      <c r="S30" s="915">
        <f t="shared" si="7"/>
        <v>0</v>
      </c>
      <c r="T30" s="911">
        <f t="shared" si="8"/>
        <v>0</v>
      </c>
    </row>
    <row r="31" spans="1:114" ht="250.5" hidden="1" customHeight="1">
      <c r="A31" s="905">
        <v>1.9</v>
      </c>
      <c r="B31" s="906" t="s">
        <v>472</v>
      </c>
      <c r="C31" s="921"/>
      <c r="D31" s="908"/>
      <c r="E31" s="919"/>
      <c r="F31" s="1053">
        <f t="shared" si="2"/>
        <v>0</v>
      </c>
      <c r="G31" s="919"/>
      <c r="H31" s="914">
        <f t="shared" si="3"/>
        <v>0</v>
      </c>
      <c r="I31" s="919"/>
      <c r="J31" s="914">
        <f t="shared" si="4"/>
        <v>0</v>
      </c>
      <c r="K31" s="919"/>
      <c r="L31" s="914">
        <f t="shared" si="5"/>
        <v>0</v>
      </c>
      <c r="M31" s="919"/>
      <c r="N31" s="914">
        <f t="shared" si="0"/>
        <v>0</v>
      </c>
      <c r="O31" s="914"/>
      <c r="P31" s="914">
        <f t="shared" si="1"/>
        <v>0</v>
      </c>
      <c r="Q31" s="914"/>
      <c r="R31" s="914">
        <f t="shared" si="6"/>
        <v>0</v>
      </c>
      <c r="S31" s="915">
        <f t="shared" si="7"/>
        <v>0</v>
      </c>
      <c r="T31" s="911">
        <f t="shared" si="8"/>
        <v>0</v>
      </c>
    </row>
    <row r="32" spans="1:114" ht="250.5" hidden="1" customHeight="1">
      <c r="A32" s="905"/>
      <c r="B32" s="906" t="s">
        <v>473</v>
      </c>
      <c r="C32" s="921"/>
      <c r="D32" s="908" t="s">
        <v>823</v>
      </c>
      <c r="E32" s="919"/>
      <c r="F32" s="1053">
        <f t="shared" si="2"/>
        <v>0</v>
      </c>
      <c r="G32" s="919"/>
      <c r="H32" s="914">
        <f t="shared" si="3"/>
        <v>0</v>
      </c>
      <c r="I32" s="919"/>
      <c r="J32" s="914">
        <f t="shared" si="4"/>
        <v>0</v>
      </c>
      <c r="K32" s="919"/>
      <c r="L32" s="914">
        <f t="shared" si="5"/>
        <v>0</v>
      </c>
      <c r="M32" s="919"/>
      <c r="N32" s="914">
        <f t="shared" si="0"/>
        <v>0</v>
      </c>
      <c r="O32" s="914"/>
      <c r="P32" s="914">
        <f t="shared" si="1"/>
        <v>0</v>
      </c>
      <c r="Q32" s="914"/>
      <c r="R32" s="914">
        <f t="shared" si="6"/>
        <v>0</v>
      </c>
      <c r="S32" s="915">
        <f t="shared" si="7"/>
        <v>0</v>
      </c>
      <c r="T32" s="911">
        <f t="shared" si="8"/>
        <v>0</v>
      </c>
    </row>
    <row r="33" spans="1:114" ht="250.5" hidden="1" customHeight="1">
      <c r="A33" s="905"/>
      <c r="B33" s="906" t="s">
        <v>474</v>
      </c>
      <c r="C33" s="921"/>
      <c r="D33" s="908" t="s">
        <v>823</v>
      </c>
      <c r="E33" s="919"/>
      <c r="F33" s="1053">
        <f t="shared" si="2"/>
        <v>0</v>
      </c>
      <c r="G33" s="919"/>
      <c r="H33" s="914">
        <f t="shared" si="3"/>
        <v>0</v>
      </c>
      <c r="I33" s="919"/>
      <c r="J33" s="914">
        <f t="shared" si="4"/>
        <v>0</v>
      </c>
      <c r="K33" s="919"/>
      <c r="L33" s="914">
        <f t="shared" si="5"/>
        <v>0</v>
      </c>
      <c r="M33" s="919"/>
      <c r="N33" s="914">
        <f t="shared" si="0"/>
        <v>0</v>
      </c>
      <c r="O33" s="914"/>
      <c r="P33" s="914">
        <f t="shared" si="1"/>
        <v>0</v>
      </c>
      <c r="Q33" s="914"/>
      <c r="R33" s="914">
        <f t="shared" si="6"/>
        <v>0</v>
      </c>
      <c r="S33" s="915">
        <f t="shared" si="7"/>
        <v>0</v>
      </c>
      <c r="T33" s="911">
        <f t="shared" si="8"/>
        <v>0</v>
      </c>
    </row>
    <row r="34" spans="1:114" ht="250.5" hidden="1" customHeight="1">
      <c r="A34" s="905"/>
      <c r="B34" s="906" t="s">
        <v>475</v>
      </c>
      <c r="C34" s="921"/>
      <c r="D34" s="908" t="s">
        <v>823</v>
      </c>
      <c r="E34" s="919"/>
      <c r="F34" s="1053">
        <f t="shared" si="2"/>
        <v>0</v>
      </c>
      <c r="G34" s="919"/>
      <c r="H34" s="914">
        <f t="shared" si="3"/>
        <v>0</v>
      </c>
      <c r="I34" s="919"/>
      <c r="J34" s="914">
        <f t="shared" si="4"/>
        <v>0</v>
      </c>
      <c r="K34" s="919"/>
      <c r="L34" s="914">
        <f t="shared" si="5"/>
        <v>0</v>
      </c>
      <c r="M34" s="919"/>
      <c r="N34" s="914">
        <f t="shared" si="0"/>
        <v>0</v>
      </c>
      <c r="O34" s="914"/>
      <c r="P34" s="914">
        <f t="shared" si="1"/>
        <v>0</v>
      </c>
      <c r="Q34" s="914"/>
      <c r="R34" s="914">
        <f t="shared" si="6"/>
        <v>0</v>
      </c>
      <c r="S34" s="915">
        <f t="shared" si="7"/>
        <v>0</v>
      </c>
      <c r="T34" s="911">
        <f t="shared" si="8"/>
        <v>0</v>
      </c>
    </row>
    <row r="35" spans="1:114" ht="250.5" hidden="1" customHeight="1">
      <c r="A35" s="905"/>
      <c r="B35" s="906" t="s">
        <v>2057</v>
      </c>
      <c r="C35" s="921"/>
      <c r="D35" s="908" t="s">
        <v>823</v>
      </c>
      <c r="E35" s="919"/>
      <c r="F35" s="1053">
        <f t="shared" si="2"/>
        <v>0</v>
      </c>
      <c r="G35" s="919"/>
      <c r="H35" s="914">
        <f t="shared" si="3"/>
        <v>0</v>
      </c>
      <c r="I35" s="919"/>
      <c r="J35" s="914">
        <f t="shared" si="4"/>
        <v>0</v>
      </c>
      <c r="K35" s="919"/>
      <c r="L35" s="914">
        <f t="shared" si="5"/>
        <v>0</v>
      </c>
      <c r="M35" s="919"/>
      <c r="N35" s="914">
        <f t="shared" si="0"/>
        <v>0</v>
      </c>
      <c r="O35" s="914"/>
      <c r="P35" s="914">
        <f t="shared" si="1"/>
        <v>0</v>
      </c>
      <c r="Q35" s="914"/>
      <c r="R35" s="914">
        <f t="shared" si="6"/>
        <v>0</v>
      </c>
      <c r="S35" s="915">
        <f t="shared" si="7"/>
        <v>0</v>
      </c>
      <c r="T35" s="911">
        <f t="shared" si="8"/>
        <v>0</v>
      </c>
    </row>
    <row r="36" spans="1:114" ht="250.5" hidden="1" customHeight="1">
      <c r="A36" s="905"/>
      <c r="B36" s="906" t="s">
        <v>2058</v>
      </c>
      <c r="C36" s="921"/>
      <c r="D36" s="908" t="s">
        <v>823</v>
      </c>
      <c r="E36" s="919"/>
      <c r="F36" s="1053">
        <f t="shared" si="2"/>
        <v>0</v>
      </c>
      <c r="G36" s="919"/>
      <c r="H36" s="914">
        <f t="shared" si="3"/>
        <v>0</v>
      </c>
      <c r="I36" s="919"/>
      <c r="J36" s="914">
        <f t="shared" si="4"/>
        <v>0</v>
      </c>
      <c r="K36" s="919"/>
      <c r="L36" s="914">
        <f t="shared" si="5"/>
        <v>0</v>
      </c>
      <c r="M36" s="919"/>
      <c r="N36" s="914">
        <f t="shared" si="0"/>
        <v>0</v>
      </c>
      <c r="O36" s="914"/>
      <c r="P36" s="914">
        <f t="shared" si="1"/>
        <v>0</v>
      </c>
      <c r="Q36" s="914"/>
      <c r="R36" s="914">
        <f t="shared" si="6"/>
        <v>0</v>
      </c>
      <c r="S36" s="915">
        <f t="shared" si="7"/>
        <v>0</v>
      </c>
      <c r="T36" s="911">
        <f t="shared" si="8"/>
        <v>0</v>
      </c>
    </row>
    <row r="37" spans="1:114" ht="250.5" hidden="1" customHeight="1">
      <c r="A37" s="905"/>
      <c r="B37" s="906" t="s">
        <v>228</v>
      </c>
      <c r="C37" s="921"/>
      <c r="D37" s="908" t="s">
        <v>823</v>
      </c>
      <c r="E37" s="919"/>
      <c r="F37" s="1053">
        <f t="shared" si="2"/>
        <v>0</v>
      </c>
      <c r="G37" s="919"/>
      <c r="H37" s="914">
        <f t="shared" si="3"/>
        <v>0</v>
      </c>
      <c r="I37" s="919"/>
      <c r="J37" s="914">
        <f t="shared" si="4"/>
        <v>0</v>
      </c>
      <c r="K37" s="919"/>
      <c r="L37" s="914">
        <f t="shared" si="5"/>
        <v>0</v>
      </c>
      <c r="M37" s="919"/>
      <c r="N37" s="914">
        <f t="shared" si="0"/>
        <v>0</v>
      </c>
      <c r="O37" s="914"/>
      <c r="P37" s="914">
        <f t="shared" si="1"/>
        <v>0</v>
      </c>
      <c r="Q37" s="914"/>
      <c r="R37" s="914">
        <f t="shared" si="6"/>
        <v>0</v>
      </c>
      <c r="S37" s="915">
        <f t="shared" si="7"/>
        <v>0</v>
      </c>
      <c r="T37" s="911">
        <f t="shared" si="8"/>
        <v>0</v>
      </c>
    </row>
    <row r="38" spans="1:114" s="923" customFormat="1" ht="164.25" customHeight="1">
      <c r="A38" s="905">
        <v>2.1</v>
      </c>
      <c r="B38" s="906" t="s">
        <v>4706</v>
      </c>
      <c r="C38" s="913">
        <f>ROUND(DATA!K144,2)</f>
        <v>1880.3</v>
      </c>
      <c r="D38" s="908" t="s">
        <v>1192</v>
      </c>
      <c r="E38" s="914">
        <f>DSP!H106</f>
        <v>41.9</v>
      </c>
      <c r="F38" s="1053">
        <f t="shared" si="2"/>
        <v>78784.570000000007</v>
      </c>
      <c r="G38" s="914"/>
      <c r="H38" s="914">
        <f t="shared" si="3"/>
        <v>0</v>
      </c>
      <c r="I38" s="914"/>
      <c r="J38" s="914">
        <f t="shared" si="4"/>
        <v>0</v>
      </c>
      <c r="K38" s="914">
        <v>71.25</v>
      </c>
      <c r="L38" s="914">
        <f t="shared" si="5"/>
        <v>133971.38</v>
      </c>
      <c r="M38" s="914">
        <v>6.77</v>
      </c>
      <c r="N38" s="914">
        <f t="shared" si="0"/>
        <v>12729.63</v>
      </c>
      <c r="O38" s="914">
        <v>6.49</v>
      </c>
      <c r="P38" s="914">
        <f t="shared" si="1"/>
        <v>12203.15</v>
      </c>
      <c r="Q38" s="914">
        <f>'DEV-2'!U38</f>
        <v>9.99</v>
      </c>
      <c r="R38" s="914">
        <f t="shared" si="6"/>
        <v>18784.2</v>
      </c>
      <c r="S38" s="915">
        <f t="shared" si="7"/>
        <v>136.4</v>
      </c>
      <c r="T38" s="911">
        <f t="shared" si="8"/>
        <v>256472.92</v>
      </c>
      <c r="U38" s="1170"/>
      <c r="V38" s="1170"/>
      <c r="W38" s="1170"/>
      <c r="X38" s="1170"/>
      <c r="Y38" s="1170"/>
      <c r="Z38" s="1170"/>
      <c r="AA38" s="1170"/>
      <c r="AB38" s="1170"/>
      <c r="AC38" s="1170"/>
      <c r="AD38" s="1170"/>
      <c r="AE38" s="1170"/>
      <c r="AF38" s="1170"/>
      <c r="AG38" s="1170"/>
      <c r="AH38" s="1170"/>
      <c r="AI38" s="1170"/>
      <c r="AJ38" s="1170"/>
      <c r="AK38" s="1170"/>
      <c r="AL38" s="1170"/>
      <c r="AM38" s="1170"/>
      <c r="AN38" s="1170"/>
      <c r="AO38" s="1170"/>
      <c r="AP38" s="1170"/>
      <c r="AQ38" s="1170"/>
      <c r="AR38" s="1170"/>
      <c r="AS38" s="1170"/>
      <c r="AT38" s="1170"/>
      <c r="AU38" s="1170"/>
      <c r="AV38" s="1170"/>
      <c r="AW38" s="1170"/>
      <c r="AX38" s="1170"/>
      <c r="AY38" s="1170"/>
      <c r="AZ38" s="1170"/>
      <c r="BA38" s="1170"/>
      <c r="BB38" s="1170"/>
      <c r="BC38" s="1170"/>
      <c r="BD38" s="1170"/>
      <c r="BE38" s="1170"/>
      <c r="BF38" s="1170"/>
      <c r="BG38" s="1170"/>
      <c r="BH38" s="1170"/>
      <c r="BI38" s="1170"/>
      <c r="BJ38" s="1170"/>
      <c r="BK38" s="1170"/>
      <c r="BL38" s="1170"/>
      <c r="BM38" s="1170"/>
      <c r="BN38" s="1170"/>
      <c r="BO38" s="1170"/>
      <c r="BP38" s="1170"/>
      <c r="BQ38" s="1170"/>
      <c r="BR38" s="1170"/>
      <c r="BS38" s="1170"/>
      <c r="BT38" s="1170"/>
      <c r="BU38" s="1170"/>
      <c r="BV38" s="1170"/>
      <c r="BW38" s="1170"/>
      <c r="BX38" s="1170"/>
      <c r="BY38" s="1170"/>
      <c r="BZ38" s="1170"/>
      <c r="CA38" s="1170"/>
      <c r="CB38" s="1170"/>
      <c r="CC38" s="1170"/>
      <c r="CD38" s="1170"/>
      <c r="CE38" s="1170"/>
      <c r="CF38" s="1170"/>
      <c r="CG38" s="1170"/>
      <c r="CH38" s="1170"/>
      <c r="CI38" s="1170"/>
      <c r="CJ38" s="1170"/>
      <c r="CK38" s="1170"/>
      <c r="CL38" s="1170"/>
      <c r="CM38" s="1170"/>
      <c r="CN38" s="1170"/>
      <c r="CO38" s="1170"/>
      <c r="CP38" s="1170"/>
      <c r="CQ38" s="1170"/>
      <c r="CR38" s="1170"/>
      <c r="CS38" s="1170"/>
      <c r="CT38" s="1170"/>
      <c r="CU38" s="1170"/>
      <c r="CV38" s="1170"/>
      <c r="CW38" s="1170"/>
      <c r="CX38" s="1170"/>
      <c r="CY38" s="1170"/>
      <c r="CZ38" s="1170"/>
      <c r="DA38" s="1170"/>
      <c r="DB38" s="1170"/>
      <c r="DC38" s="1170"/>
      <c r="DD38" s="1170"/>
      <c r="DE38" s="1170"/>
      <c r="DF38" s="1170"/>
      <c r="DG38" s="1170"/>
      <c r="DH38" s="1170"/>
      <c r="DI38" s="1170"/>
      <c r="DJ38" s="1170"/>
    </row>
    <row r="39" spans="1:114" ht="149.25" hidden="1" customHeight="1">
      <c r="A39" s="905">
        <v>2.2000000000000002</v>
      </c>
      <c r="B39" s="906" t="s">
        <v>229</v>
      </c>
      <c r="C39" s="921">
        <f>ROUND(DATA!K161,2)</f>
        <v>1708.33</v>
      </c>
      <c r="D39" s="908" t="s">
        <v>1192</v>
      </c>
      <c r="E39" s="919"/>
      <c r="F39" s="1053">
        <f t="shared" si="2"/>
        <v>0</v>
      </c>
      <c r="G39" s="919"/>
      <c r="H39" s="914">
        <f t="shared" si="3"/>
        <v>0</v>
      </c>
      <c r="I39" s="919"/>
      <c r="J39" s="914">
        <f t="shared" si="4"/>
        <v>0</v>
      </c>
      <c r="K39" s="919"/>
      <c r="L39" s="914">
        <f t="shared" si="5"/>
        <v>0</v>
      </c>
      <c r="M39" s="919"/>
      <c r="N39" s="914">
        <f t="shared" si="0"/>
        <v>0</v>
      </c>
      <c r="O39" s="914"/>
      <c r="P39" s="914">
        <f t="shared" si="1"/>
        <v>0</v>
      </c>
      <c r="Q39" s="914"/>
      <c r="R39" s="914">
        <f t="shared" si="6"/>
        <v>0</v>
      </c>
      <c r="S39" s="915">
        <f t="shared" si="7"/>
        <v>0</v>
      </c>
      <c r="T39" s="911">
        <f t="shared" si="8"/>
        <v>0</v>
      </c>
    </row>
    <row r="40" spans="1:114" s="920" customFormat="1" ht="149.25" hidden="1" customHeight="1">
      <c r="A40" s="916">
        <v>2.2999999999999998</v>
      </c>
      <c r="B40" s="917" t="s">
        <v>1983</v>
      </c>
      <c r="C40" s="922">
        <f>ROUND(DATA!C165,2)</f>
        <v>759.93</v>
      </c>
      <c r="D40" s="898" t="s">
        <v>1192</v>
      </c>
      <c r="E40" s="919"/>
      <c r="F40" s="1053">
        <f t="shared" si="2"/>
        <v>0</v>
      </c>
      <c r="G40" s="919"/>
      <c r="H40" s="914">
        <f t="shared" si="3"/>
        <v>0</v>
      </c>
      <c r="I40" s="919"/>
      <c r="J40" s="914">
        <f t="shared" si="4"/>
        <v>0</v>
      </c>
      <c r="K40" s="919"/>
      <c r="L40" s="914">
        <f t="shared" si="5"/>
        <v>0</v>
      </c>
      <c r="M40" s="919"/>
      <c r="N40" s="914">
        <f t="shared" si="0"/>
        <v>0</v>
      </c>
      <c r="O40" s="914"/>
      <c r="P40" s="914">
        <f t="shared" si="1"/>
        <v>0</v>
      </c>
      <c r="Q40" s="914"/>
      <c r="R40" s="914">
        <f t="shared" si="6"/>
        <v>0</v>
      </c>
      <c r="S40" s="915">
        <f t="shared" si="7"/>
        <v>0</v>
      </c>
      <c r="T40" s="911">
        <f t="shared" si="8"/>
        <v>0</v>
      </c>
      <c r="U40" s="1172"/>
      <c r="V40" s="1172"/>
      <c r="W40" s="1172"/>
      <c r="X40" s="1172"/>
      <c r="Y40" s="1172"/>
      <c r="Z40" s="1172"/>
      <c r="AA40" s="1172"/>
      <c r="AB40" s="1172"/>
      <c r="AC40" s="1172"/>
      <c r="AD40" s="1172"/>
      <c r="AE40" s="1172"/>
      <c r="AF40" s="1172"/>
      <c r="AG40" s="1172"/>
      <c r="AH40" s="1172"/>
      <c r="AI40" s="1172"/>
      <c r="AJ40" s="1172"/>
      <c r="AK40" s="1172"/>
      <c r="AL40" s="1172"/>
      <c r="AM40" s="1172"/>
      <c r="AN40" s="1172"/>
      <c r="AO40" s="1172"/>
      <c r="AP40" s="1172"/>
      <c r="AQ40" s="1172"/>
      <c r="AR40" s="1172"/>
      <c r="AS40" s="1172"/>
      <c r="AT40" s="1172"/>
      <c r="AU40" s="1172"/>
      <c r="AV40" s="1172"/>
      <c r="AW40" s="1172"/>
      <c r="AX40" s="1172"/>
      <c r="AY40" s="1172"/>
      <c r="AZ40" s="1172"/>
      <c r="BA40" s="1172"/>
      <c r="BB40" s="1172"/>
      <c r="BC40" s="1172"/>
      <c r="BD40" s="1172"/>
      <c r="BE40" s="1172"/>
      <c r="BF40" s="1172"/>
      <c r="BG40" s="1172"/>
      <c r="BH40" s="1172"/>
      <c r="BI40" s="1172"/>
      <c r="BJ40" s="1172"/>
      <c r="BK40" s="1172"/>
      <c r="BL40" s="1172"/>
      <c r="BM40" s="1172"/>
      <c r="BN40" s="1172"/>
      <c r="BO40" s="1172"/>
      <c r="BP40" s="1172"/>
      <c r="BQ40" s="1172"/>
      <c r="BR40" s="1172"/>
      <c r="BS40" s="1172"/>
      <c r="BT40" s="1172"/>
      <c r="BU40" s="1172"/>
      <c r="BV40" s="1172"/>
      <c r="BW40" s="1172"/>
      <c r="BX40" s="1172"/>
      <c r="BY40" s="1172"/>
      <c r="BZ40" s="1172"/>
      <c r="CA40" s="1172"/>
      <c r="CB40" s="1172"/>
      <c r="CC40" s="1172"/>
      <c r="CD40" s="1172"/>
      <c r="CE40" s="1172"/>
      <c r="CF40" s="1172"/>
      <c r="CG40" s="1172"/>
      <c r="CH40" s="1172"/>
      <c r="CI40" s="1172"/>
      <c r="CJ40" s="1172"/>
      <c r="CK40" s="1172"/>
      <c r="CL40" s="1172"/>
      <c r="CM40" s="1172"/>
      <c r="CN40" s="1172"/>
      <c r="CO40" s="1172"/>
      <c r="CP40" s="1172"/>
      <c r="CQ40" s="1172"/>
      <c r="CR40" s="1172"/>
      <c r="CS40" s="1172"/>
      <c r="CT40" s="1172"/>
      <c r="CU40" s="1172"/>
      <c r="CV40" s="1172"/>
      <c r="CW40" s="1172"/>
      <c r="CX40" s="1172"/>
      <c r="CY40" s="1172"/>
      <c r="CZ40" s="1172"/>
      <c r="DA40" s="1172"/>
      <c r="DB40" s="1172"/>
      <c r="DC40" s="1172"/>
      <c r="DD40" s="1172"/>
      <c r="DE40" s="1172"/>
      <c r="DF40" s="1172"/>
      <c r="DG40" s="1172"/>
      <c r="DH40" s="1172"/>
      <c r="DI40" s="1172"/>
      <c r="DJ40" s="1172"/>
    </row>
    <row r="41" spans="1:114" s="920" customFormat="1" ht="149.25" hidden="1" customHeight="1">
      <c r="A41" s="916">
        <v>2.4</v>
      </c>
      <c r="B41" s="917" t="s">
        <v>359</v>
      </c>
      <c r="C41" s="922">
        <f>ROUND(DATA!C166,2)</f>
        <v>840.93</v>
      </c>
      <c r="D41" s="898" t="s">
        <v>1192</v>
      </c>
      <c r="E41" s="919"/>
      <c r="F41" s="1053">
        <f t="shared" si="2"/>
        <v>0</v>
      </c>
      <c r="G41" s="919"/>
      <c r="H41" s="914">
        <f t="shared" si="3"/>
        <v>0</v>
      </c>
      <c r="I41" s="919"/>
      <c r="J41" s="914">
        <f t="shared" si="4"/>
        <v>0</v>
      </c>
      <c r="K41" s="919"/>
      <c r="L41" s="914">
        <f t="shared" si="5"/>
        <v>0</v>
      </c>
      <c r="M41" s="919"/>
      <c r="N41" s="914">
        <f t="shared" si="0"/>
        <v>0</v>
      </c>
      <c r="O41" s="914"/>
      <c r="P41" s="914">
        <f t="shared" si="1"/>
        <v>0</v>
      </c>
      <c r="Q41" s="914"/>
      <c r="R41" s="914">
        <f t="shared" si="6"/>
        <v>0</v>
      </c>
      <c r="S41" s="915">
        <f t="shared" si="7"/>
        <v>0</v>
      </c>
      <c r="T41" s="911">
        <f t="shared" si="8"/>
        <v>0</v>
      </c>
      <c r="U41" s="1172"/>
      <c r="V41" s="1172"/>
      <c r="W41" s="1172"/>
      <c r="X41" s="1172"/>
      <c r="Y41" s="1172"/>
      <c r="Z41" s="1172"/>
      <c r="AA41" s="1172"/>
      <c r="AB41" s="1172"/>
      <c r="AC41" s="1172"/>
      <c r="AD41" s="1172"/>
      <c r="AE41" s="1172"/>
      <c r="AF41" s="1172"/>
      <c r="AG41" s="1172"/>
      <c r="AH41" s="1172"/>
      <c r="AI41" s="1172"/>
      <c r="AJ41" s="1172"/>
      <c r="AK41" s="1172"/>
      <c r="AL41" s="1172"/>
      <c r="AM41" s="1172"/>
      <c r="AN41" s="1172"/>
      <c r="AO41" s="1172"/>
      <c r="AP41" s="1172"/>
      <c r="AQ41" s="1172"/>
      <c r="AR41" s="1172"/>
      <c r="AS41" s="1172"/>
      <c r="AT41" s="1172"/>
      <c r="AU41" s="1172"/>
      <c r="AV41" s="1172"/>
      <c r="AW41" s="1172"/>
      <c r="AX41" s="1172"/>
      <c r="AY41" s="1172"/>
      <c r="AZ41" s="1172"/>
      <c r="BA41" s="1172"/>
      <c r="BB41" s="1172"/>
      <c r="BC41" s="1172"/>
      <c r="BD41" s="1172"/>
      <c r="BE41" s="1172"/>
      <c r="BF41" s="1172"/>
      <c r="BG41" s="1172"/>
      <c r="BH41" s="1172"/>
      <c r="BI41" s="1172"/>
      <c r="BJ41" s="1172"/>
      <c r="BK41" s="1172"/>
      <c r="BL41" s="1172"/>
      <c r="BM41" s="1172"/>
      <c r="BN41" s="1172"/>
      <c r="BO41" s="1172"/>
      <c r="BP41" s="1172"/>
      <c r="BQ41" s="1172"/>
      <c r="BR41" s="1172"/>
      <c r="BS41" s="1172"/>
      <c r="BT41" s="1172"/>
      <c r="BU41" s="1172"/>
      <c r="BV41" s="1172"/>
      <c r="BW41" s="1172"/>
      <c r="BX41" s="1172"/>
      <c r="BY41" s="1172"/>
      <c r="BZ41" s="1172"/>
      <c r="CA41" s="1172"/>
      <c r="CB41" s="1172"/>
      <c r="CC41" s="1172"/>
      <c r="CD41" s="1172"/>
      <c r="CE41" s="1172"/>
      <c r="CF41" s="1172"/>
      <c r="CG41" s="1172"/>
      <c r="CH41" s="1172"/>
      <c r="CI41" s="1172"/>
      <c r="CJ41" s="1172"/>
      <c r="CK41" s="1172"/>
      <c r="CL41" s="1172"/>
      <c r="CM41" s="1172"/>
      <c r="CN41" s="1172"/>
      <c r="CO41" s="1172"/>
      <c r="CP41" s="1172"/>
      <c r="CQ41" s="1172"/>
      <c r="CR41" s="1172"/>
      <c r="CS41" s="1172"/>
      <c r="CT41" s="1172"/>
      <c r="CU41" s="1172"/>
      <c r="CV41" s="1172"/>
      <c r="CW41" s="1172"/>
      <c r="CX41" s="1172"/>
      <c r="CY41" s="1172"/>
      <c r="CZ41" s="1172"/>
      <c r="DA41" s="1172"/>
      <c r="DB41" s="1172"/>
      <c r="DC41" s="1172"/>
      <c r="DD41" s="1172"/>
      <c r="DE41" s="1172"/>
      <c r="DF41" s="1172"/>
      <c r="DG41" s="1172"/>
      <c r="DH41" s="1172"/>
      <c r="DI41" s="1172"/>
      <c r="DJ41" s="1172"/>
    </row>
    <row r="42" spans="1:114" ht="149.25" hidden="1" customHeight="1">
      <c r="A42" s="905">
        <v>2.5</v>
      </c>
      <c r="B42" s="906" t="s">
        <v>363</v>
      </c>
      <c r="C42" s="921">
        <f>ROUND(DATA!K189,2)</f>
        <v>407.65</v>
      </c>
      <c r="D42" s="908" t="s">
        <v>1192</v>
      </c>
      <c r="E42" s="919"/>
      <c r="F42" s="1053">
        <f t="shared" si="2"/>
        <v>0</v>
      </c>
      <c r="G42" s="919"/>
      <c r="H42" s="914">
        <f t="shared" si="3"/>
        <v>0</v>
      </c>
      <c r="I42" s="919"/>
      <c r="J42" s="914">
        <f t="shared" si="4"/>
        <v>0</v>
      </c>
      <c r="K42" s="919"/>
      <c r="L42" s="914">
        <f t="shared" si="5"/>
        <v>0</v>
      </c>
      <c r="M42" s="919"/>
      <c r="N42" s="914">
        <f t="shared" si="0"/>
        <v>0</v>
      </c>
      <c r="O42" s="914"/>
      <c r="P42" s="914">
        <f t="shared" si="1"/>
        <v>0</v>
      </c>
      <c r="Q42" s="914"/>
      <c r="R42" s="914">
        <f t="shared" si="6"/>
        <v>0</v>
      </c>
      <c r="S42" s="915">
        <f t="shared" si="7"/>
        <v>0</v>
      </c>
      <c r="T42" s="911">
        <f t="shared" si="8"/>
        <v>0</v>
      </c>
    </row>
    <row r="43" spans="1:114" ht="140.25" customHeight="1">
      <c r="A43" s="905">
        <v>2.6</v>
      </c>
      <c r="B43" s="906" t="s">
        <v>477</v>
      </c>
      <c r="C43" s="913">
        <f>ROUND(DATA!K171,2)</f>
        <v>1616.85</v>
      </c>
      <c r="D43" s="908" t="s">
        <v>1192</v>
      </c>
      <c r="E43" s="919"/>
      <c r="F43" s="1053">
        <f t="shared" si="2"/>
        <v>0</v>
      </c>
      <c r="G43" s="919"/>
      <c r="H43" s="914">
        <f t="shared" si="3"/>
        <v>0</v>
      </c>
      <c r="I43" s="919"/>
      <c r="J43" s="914">
        <f t="shared" si="4"/>
        <v>0</v>
      </c>
      <c r="K43" s="919"/>
      <c r="L43" s="914">
        <f t="shared" si="5"/>
        <v>0</v>
      </c>
      <c r="M43" s="919"/>
      <c r="N43" s="914">
        <f t="shared" si="0"/>
        <v>0</v>
      </c>
      <c r="O43" s="914"/>
      <c r="P43" s="914">
        <f t="shared" si="1"/>
        <v>0</v>
      </c>
      <c r="Q43" s="914"/>
      <c r="R43" s="914">
        <f t="shared" si="6"/>
        <v>0</v>
      </c>
      <c r="S43" s="915">
        <f t="shared" si="7"/>
        <v>0</v>
      </c>
      <c r="T43" s="911">
        <f t="shared" si="8"/>
        <v>0</v>
      </c>
    </row>
    <row r="44" spans="1:114" ht="140.25" customHeight="1">
      <c r="A44" s="905">
        <v>2.7</v>
      </c>
      <c r="B44" s="906" t="s">
        <v>299</v>
      </c>
      <c r="C44" s="913">
        <f>ROUND(DATA!K179,2)</f>
        <v>2036.05</v>
      </c>
      <c r="D44" s="908" t="s">
        <v>1192</v>
      </c>
      <c r="E44" s="919"/>
      <c r="F44" s="1053">
        <f t="shared" si="2"/>
        <v>0</v>
      </c>
      <c r="G44" s="919"/>
      <c r="H44" s="914">
        <f t="shared" si="3"/>
        <v>0</v>
      </c>
      <c r="I44" s="919"/>
      <c r="J44" s="914">
        <f t="shared" si="4"/>
        <v>0</v>
      </c>
      <c r="K44" s="919"/>
      <c r="L44" s="914">
        <f t="shared" si="5"/>
        <v>0</v>
      </c>
      <c r="M44" s="919"/>
      <c r="N44" s="914">
        <f t="shared" si="0"/>
        <v>0</v>
      </c>
      <c r="O44" s="914"/>
      <c r="P44" s="914">
        <f t="shared" si="1"/>
        <v>0</v>
      </c>
      <c r="Q44" s="914"/>
      <c r="R44" s="914">
        <f t="shared" si="6"/>
        <v>0</v>
      </c>
      <c r="S44" s="915">
        <f t="shared" si="7"/>
        <v>0</v>
      </c>
      <c r="T44" s="911">
        <f t="shared" si="8"/>
        <v>0</v>
      </c>
    </row>
    <row r="45" spans="1:114" s="923" customFormat="1" ht="166.5" customHeight="1">
      <c r="A45" s="905">
        <v>3.1</v>
      </c>
      <c r="B45" s="906" t="s">
        <v>1876</v>
      </c>
      <c r="C45" s="913">
        <f>ROUND(DATA!K204,2)</f>
        <v>5158.8100000000004</v>
      </c>
      <c r="D45" s="908" t="s">
        <v>1192</v>
      </c>
      <c r="E45" s="914">
        <f>DSP!H149</f>
        <v>17</v>
      </c>
      <c r="F45" s="1053">
        <f t="shared" si="2"/>
        <v>87699.77</v>
      </c>
      <c r="G45" s="914"/>
      <c r="H45" s="914">
        <f t="shared" si="3"/>
        <v>0</v>
      </c>
      <c r="I45" s="914"/>
      <c r="J45" s="914">
        <f t="shared" si="4"/>
        <v>0</v>
      </c>
      <c r="K45" s="914">
        <v>71.25</v>
      </c>
      <c r="L45" s="914">
        <f t="shared" si="5"/>
        <v>367565.21</v>
      </c>
      <c r="M45" s="914">
        <v>2.0099999999999998</v>
      </c>
      <c r="N45" s="914">
        <f t="shared" si="0"/>
        <v>10369.209999999999</v>
      </c>
      <c r="O45" s="914">
        <v>8.11</v>
      </c>
      <c r="P45" s="914">
        <f t="shared" si="1"/>
        <v>41837.949999999997</v>
      </c>
      <c r="Q45" s="914">
        <f>'DEV-2'!U45</f>
        <v>10.71</v>
      </c>
      <c r="R45" s="914">
        <f t="shared" si="6"/>
        <v>55250.86</v>
      </c>
      <c r="S45" s="915">
        <f>G45+I45+K45+M45+E45+O45+Q45</f>
        <v>109.08</v>
      </c>
      <c r="T45" s="911">
        <f t="shared" si="8"/>
        <v>562722.99</v>
      </c>
      <c r="U45" s="1170"/>
      <c r="V45" s="1170"/>
      <c r="W45" s="1170"/>
      <c r="X45" s="1170"/>
      <c r="Y45" s="1170"/>
      <c r="Z45" s="1170"/>
      <c r="AA45" s="1170"/>
      <c r="AB45" s="1170"/>
      <c r="AC45" s="1170"/>
      <c r="AD45" s="1170"/>
      <c r="AE45" s="1170"/>
      <c r="AF45" s="1170"/>
      <c r="AG45" s="1170"/>
      <c r="AH45" s="1170"/>
      <c r="AI45" s="1170"/>
      <c r="AJ45" s="1170"/>
      <c r="AK45" s="1170"/>
      <c r="AL45" s="1170"/>
      <c r="AM45" s="1170"/>
      <c r="AN45" s="1170"/>
      <c r="AO45" s="1170"/>
      <c r="AP45" s="1170"/>
      <c r="AQ45" s="1170"/>
      <c r="AR45" s="1170"/>
      <c r="AS45" s="1170"/>
      <c r="AT45" s="1170"/>
      <c r="AU45" s="1170"/>
      <c r="AV45" s="1170"/>
      <c r="AW45" s="1170"/>
      <c r="AX45" s="1170"/>
      <c r="AY45" s="1170"/>
      <c r="AZ45" s="1170"/>
      <c r="BA45" s="1170"/>
      <c r="BB45" s="1170"/>
      <c r="BC45" s="1170"/>
      <c r="BD45" s="1170"/>
      <c r="BE45" s="1170"/>
      <c r="BF45" s="1170"/>
      <c r="BG45" s="1170"/>
      <c r="BH45" s="1170"/>
      <c r="BI45" s="1170"/>
      <c r="BJ45" s="1170"/>
      <c r="BK45" s="1170"/>
      <c r="BL45" s="1170"/>
      <c r="BM45" s="1170"/>
      <c r="BN45" s="1170"/>
      <c r="BO45" s="1170"/>
      <c r="BP45" s="1170"/>
      <c r="BQ45" s="1170"/>
      <c r="BR45" s="1170"/>
      <c r="BS45" s="1170"/>
      <c r="BT45" s="1170"/>
      <c r="BU45" s="1170"/>
      <c r="BV45" s="1170"/>
      <c r="BW45" s="1170"/>
      <c r="BX45" s="1170"/>
      <c r="BY45" s="1170"/>
      <c r="BZ45" s="1170"/>
      <c r="CA45" s="1170"/>
      <c r="CB45" s="1170"/>
      <c r="CC45" s="1170"/>
      <c r="CD45" s="1170"/>
      <c r="CE45" s="1170"/>
      <c r="CF45" s="1170"/>
      <c r="CG45" s="1170"/>
      <c r="CH45" s="1170"/>
      <c r="CI45" s="1170"/>
      <c r="CJ45" s="1170"/>
      <c r="CK45" s="1170"/>
      <c r="CL45" s="1170"/>
      <c r="CM45" s="1170"/>
      <c r="CN45" s="1170"/>
      <c r="CO45" s="1170"/>
      <c r="CP45" s="1170"/>
      <c r="CQ45" s="1170"/>
      <c r="CR45" s="1170"/>
      <c r="CS45" s="1170"/>
      <c r="CT45" s="1170"/>
      <c r="CU45" s="1170"/>
      <c r="CV45" s="1170"/>
      <c r="CW45" s="1170"/>
      <c r="CX45" s="1170"/>
      <c r="CY45" s="1170"/>
      <c r="CZ45" s="1170"/>
      <c r="DA45" s="1170"/>
      <c r="DB45" s="1170"/>
      <c r="DC45" s="1170"/>
      <c r="DD45" s="1170"/>
      <c r="DE45" s="1170"/>
      <c r="DF45" s="1170"/>
      <c r="DG45" s="1170"/>
      <c r="DH45" s="1170"/>
      <c r="DI45" s="1170"/>
      <c r="DJ45" s="1170"/>
    </row>
    <row r="46" spans="1:114" ht="217.5" customHeight="1">
      <c r="A46" s="905">
        <v>3.2</v>
      </c>
      <c r="B46" s="906" t="s">
        <v>1925</v>
      </c>
      <c r="C46" s="913">
        <f>ROUND(DATA!K219,2)</f>
        <v>6710.27</v>
      </c>
      <c r="D46" s="908" t="s">
        <v>1192</v>
      </c>
      <c r="E46" s="914"/>
      <c r="F46" s="1053">
        <f t="shared" si="2"/>
        <v>0</v>
      </c>
      <c r="G46" s="914"/>
      <c r="H46" s="914">
        <f t="shared" si="3"/>
        <v>0</v>
      </c>
      <c r="I46" s="914"/>
      <c r="J46" s="914">
        <f t="shared" si="4"/>
        <v>0</v>
      </c>
      <c r="K46" s="914">
        <v>35.630000000000003</v>
      </c>
      <c r="L46" s="914">
        <f t="shared" si="5"/>
        <v>239086.92</v>
      </c>
      <c r="M46" s="914"/>
      <c r="N46" s="914">
        <f t="shared" si="0"/>
        <v>0</v>
      </c>
      <c r="O46" s="914"/>
      <c r="P46" s="914">
        <f t="shared" si="1"/>
        <v>0</v>
      </c>
      <c r="Q46" s="914">
        <f>'DEV-2'!U46</f>
        <v>0.73</v>
      </c>
      <c r="R46" s="914">
        <f t="shared" si="6"/>
        <v>4898.5</v>
      </c>
      <c r="S46" s="915">
        <f t="shared" si="7"/>
        <v>36.36</v>
      </c>
      <c r="T46" s="911">
        <f t="shared" si="8"/>
        <v>243985.42</v>
      </c>
    </row>
    <row r="47" spans="1:114" ht="184.5" customHeight="1">
      <c r="A47" s="905">
        <v>3.3</v>
      </c>
      <c r="B47" s="906" t="s">
        <v>1926</v>
      </c>
      <c r="C47" s="913">
        <f>ROUND(DATA!K234,2)</f>
        <v>4166.9399999999996</v>
      </c>
      <c r="D47" s="908" t="s">
        <v>1192</v>
      </c>
      <c r="E47" s="919"/>
      <c r="F47" s="1053">
        <f t="shared" si="2"/>
        <v>0</v>
      </c>
      <c r="G47" s="919"/>
      <c r="H47" s="914">
        <f t="shared" si="3"/>
        <v>0</v>
      </c>
      <c r="I47" s="919"/>
      <c r="J47" s="914">
        <f t="shared" si="4"/>
        <v>0</v>
      </c>
      <c r="K47" s="919"/>
      <c r="L47" s="914">
        <f t="shared" si="5"/>
        <v>0</v>
      </c>
      <c r="M47" s="919"/>
      <c r="N47" s="914">
        <f t="shared" si="0"/>
        <v>0</v>
      </c>
      <c r="O47" s="914"/>
      <c r="P47" s="914">
        <f t="shared" si="1"/>
        <v>0</v>
      </c>
      <c r="Q47" s="914"/>
      <c r="R47" s="914">
        <f t="shared" si="6"/>
        <v>0</v>
      </c>
      <c r="S47" s="915">
        <f t="shared" si="7"/>
        <v>0</v>
      </c>
      <c r="T47" s="911">
        <f t="shared" si="8"/>
        <v>0</v>
      </c>
    </row>
    <row r="48" spans="1:114" ht="250.5" hidden="1" customHeight="1">
      <c r="A48" s="905">
        <v>3.4</v>
      </c>
      <c r="B48" s="906" t="s">
        <v>592</v>
      </c>
      <c r="C48" s="921"/>
      <c r="D48" s="908" t="s">
        <v>1834</v>
      </c>
      <c r="E48" s="919"/>
      <c r="F48" s="1053">
        <f t="shared" si="2"/>
        <v>0</v>
      </c>
      <c r="G48" s="919"/>
      <c r="H48" s="914">
        <f t="shared" si="3"/>
        <v>0</v>
      </c>
      <c r="I48" s="919"/>
      <c r="J48" s="914">
        <f t="shared" si="4"/>
        <v>0</v>
      </c>
      <c r="K48" s="919"/>
      <c r="L48" s="914">
        <f t="shared" si="5"/>
        <v>0</v>
      </c>
      <c r="M48" s="919"/>
      <c r="N48" s="914">
        <f t="shared" si="0"/>
        <v>0</v>
      </c>
      <c r="O48" s="914"/>
      <c r="P48" s="914">
        <f t="shared" si="1"/>
        <v>0</v>
      </c>
      <c r="Q48" s="914"/>
      <c r="R48" s="914">
        <f t="shared" si="6"/>
        <v>0</v>
      </c>
      <c r="S48" s="915">
        <f t="shared" si="7"/>
        <v>0</v>
      </c>
      <c r="T48" s="911">
        <f t="shared" si="8"/>
        <v>0</v>
      </c>
    </row>
    <row r="49" spans="1:114" ht="250.5" hidden="1" customHeight="1">
      <c r="A49" s="905">
        <v>3.5</v>
      </c>
      <c r="B49" s="906" t="s">
        <v>593</v>
      </c>
      <c r="C49" s="921"/>
      <c r="D49" s="908" t="s">
        <v>1834</v>
      </c>
      <c r="E49" s="919"/>
      <c r="F49" s="1053">
        <f t="shared" si="2"/>
        <v>0</v>
      </c>
      <c r="G49" s="919"/>
      <c r="H49" s="914">
        <f t="shared" si="3"/>
        <v>0</v>
      </c>
      <c r="I49" s="919"/>
      <c r="J49" s="914">
        <f t="shared" si="4"/>
        <v>0</v>
      </c>
      <c r="K49" s="919"/>
      <c r="L49" s="914">
        <f t="shared" si="5"/>
        <v>0</v>
      </c>
      <c r="M49" s="919"/>
      <c r="N49" s="914">
        <f t="shared" si="0"/>
        <v>0</v>
      </c>
      <c r="O49" s="914"/>
      <c r="P49" s="914">
        <f t="shared" si="1"/>
        <v>0</v>
      </c>
      <c r="Q49" s="914"/>
      <c r="R49" s="914">
        <f t="shared" si="6"/>
        <v>0</v>
      </c>
      <c r="S49" s="915">
        <f t="shared" si="7"/>
        <v>0</v>
      </c>
      <c r="T49" s="911">
        <f t="shared" si="8"/>
        <v>0</v>
      </c>
    </row>
    <row r="50" spans="1:114" ht="250.5" hidden="1" customHeight="1">
      <c r="A50" s="905">
        <v>3.6</v>
      </c>
      <c r="B50" s="906" t="s">
        <v>818</v>
      </c>
      <c r="C50" s="921">
        <f>ROUND(DATA!K249,2)</f>
        <v>222.02</v>
      </c>
      <c r="D50" s="908" t="s">
        <v>1834</v>
      </c>
      <c r="E50" s="919"/>
      <c r="F50" s="1053">
        <f t="shared" si="2"/>
        <v>0</v>
      </c>
      <c r="G50" s="919"/>
      <c r="H50" s="914">
        <f t="shared" si="3"/>
        <v>0</v>
      </c>
      <c r="I50" s="919"/>
      <c r="J50" s="914">
        <f t="shared" si="4"/>
        <v>0</v>
      </c>
      <c r="K50" s="919"/>
      <c r="L50" s="914">
        <f t="shared" si="5"/>
        <v>0</v>
      </c>
      <c r="M50" s="919"/>
      <c r="N50" s="914">
        <f t="shared" si="0"/>
        <v>0</v>
      </c>
      <c r="O50" s="914"/>
      <c r="P50" s="914">
        <f t="shared" si="1"/>
        <v>0</v>
      </c>
      <c r="Q50" s="914"/>
      <c r="R50" s="914">
        <f t="shared" si="6"/>
        <v>0</v>
      </c>
      <c r="S50" s="915">
        <f t="shared" si="7"/>
        <v>0</v>
      </c>
      <c r="T50" s="911">
        <f t="shared" si="8"/>
        <v>0</v>
      </c>
    </row>
    <row r="51" spans="1:114" ht="250.5" hidden="1" customHeight="1">
      <c r="A51" s="905">
        <v>3.7</v>
      </c>
      <c r="B51" s="906" t="s">
        <v>1877</v>
      </c>
      <c r="C51" s="921">
        <f>ROUND(DATA!K261,2)</f>
        <v>151.96</v>
      </c>
      <c r="D51" s="908" t="s">
        <v>1834</v>
      </c>
      <c r="E51" s="919"/>
      <c r="F51" s="1053">
        <f t="shared" si="2"/>
        <v>0</v>
      </c>
      <c r="G51" s="919"/>
      <c r="H51" s="914">
        <f t="shared" si="3"/>
        <v>0</v>
      </c>
      <c r="I51" s="919"/>
      <c r="J51" s="914">
        <f t="shared" si="4"/>
        <v>0</v>
      </c>
      <c r="K51" s="919"/>
      <c r="L51" s="914">
        <f t="shared" si="5"/>
        <v>0</v>
      </c>
      <c r="M51" s="919"/>
      <c r="N51" s="914">
        <f t="shared" si="0"/>
        <v>0</v>
      </c>
      <c r="O51" s="914"/>
      <c r="P51" s="914">
        <f t="shared" si="1"/>
        <v>0</v>
      </c>
      <c r="Q51" s="914"/>
      <c r="R51" s="914">
        <f t="shared" si="6"/>
        <v>0</v>
      </c>
      <c r="S51" s="915">
        <f t="shared" si="7"/>
        <v>0</v>
      </c>
      <c r="T51" s="911">
        <f t="shared" si="8"/>
        <v>0</v>
      </c>
    </row>
    <row r="52" spans="1:114" ht="250.5" hidden="1" customHeight="1">
      <c r="A52" s="905">
        <v>4.0999999999999996</v>
      </c>
      <c r="B52" s="924" t="s">
        <v>6595</v>
      </c>
      <c r="C52" s="913">
        <f>ROUND(DATA!K285,2)</f>
        <v>8265.2000000000007</v>
      </c>
      <c r="D52" s="908" t="s">
        <v>1192</v>
      </c>
      <c r="E52" s="919"/>
      <c r="F52" s="1053">
        <f t="shared" si="2"/>
        <v>0</v>
      </c>
      <c r="G52" s="919"/>
      <c r="H52" s="914">
        <f t="shared" si="3"/>
        <v>0</v>
      </c>
      <c r="I52" s="919"/>
      <c r="J52" s="914">
        <f t="shared" si="4"/>
        <v>0</v>
      </c>
      <c r="K52" s="919"/>
      <c r="L52" s="914">
        <f t="shared" si="5"/>
        <v>0</v>
      </c>
      <c r="M52" s="919"/>
      <c r="N52" s="914">
        <f t="shared" si="0"/>
        <v>0</v>
      </c>
      <c r="O52" s="914"/>
      <c r="P52" s="914">
        <f t="shared" si="1"/>
        <v>0</v>
      </c>
      <c r="Q52" s="914"/>
      <c r="R52" s="914">
        <f t="shared" si="6"/>
        <v>0</v>
      </c>
      <c r="S52" s="915">
        <f t="shared" si="7"/>
        <v>0</v>
      </c>
      <c r="T52" s="911">
        <f t="shared" si="8"/>
        <v>0</v>
      </c>
    </row>
    <row r="53" spans="1:114" ht="250.5" hidden="1" customHeight="1">
      <c r="A53" s="905">
        <v>4.2</v>
      </c>
      <c r="B53" s="924" t="s">
        <v>6596</v>
      </c>
      <c r="C53" s="913">
        <f>DATA!K821</f>
        <v>8915.7099999999991</v>
      </c>
      <c r="D53" s="908" t="s">
        <v>1192</v>
      </c>
      <c r="E53" s="919"/>
      <c r="F53" s="1053">
        <f t="shared" si="2"/>
        <v>0</v>
      </c>
      <c r="G53" s="919"/>
      <c r="H53" s="914">
        <f t="shared" si="3"/>
        <v>0</v>
      </c>
      <c r="I53" s="919"/>
      <c r="J53" s="914">
        <f t="shared" si="4"/>
        <v>0</v>
      </c>
      <c r="K53" s="919"/>
      <c r="L53" s="914">
        <f t="shared" si="5"/>
        <v>0</v>
      </c>
      <c r="M53" s="919"/>
      <c r="N53" s="914">
        <f t="shared" si="0"/>
        <v>0</v>
      </c>
      <c r="O53" s="914"/>
      <c r="P53" s="914">
        <f t="shared" si="1"/>
        <v>0</v>
      </c>
      <c r="Q53" s="914"/>
      <c r="R53" s="914">
        <f t="shared" si="6"/>
        <v>0</v>
      </c>
      <c r="S53" s="915">
        <f t="shared" si="7"/>
        <v>0</v>
      </c>
      <c r="T53" s="911">
        <f t="shared" si="8"/>
        <v>0</v>
      </c>
    </row>
    <row r="54" spans="1:114" s="920" customFormat="1" ht="250.5" hidden="1" customHeight="1">
      <c r="A54" s="916">
        <v>5</v>
      </c>
      <c r="B54" s="917" t="s">
        <v>885</v>
      </c>
      <c r="C54" s="918">
        <f>ROUND(DATA!K306,2)</f>
        <v>5699.76</v>
      </c>
      <c r="D54" s="898" t="s">
        <v>1192</v>
      </c>
      <c r="E54" s="919"/>
      <c r="F54" s="1053">
        <f t="shared" si="2"/>
        <v>0</v>
      </c>
      <c r="G54" s="919"/>
      <c r="H54" s="914">
        <f t="shared" si="3"/>
        <v>0</v>
      </c>
      <c r="I54" s="919"/>
      <c r="J54" s="914">
        <f t="shared" si="4"/>
        <v>0</v>
      </c>
      <c r="K54" s="919"/>
      <c r="L54" s="914">
        <f t="shared" si="5"/>
        <v>0</v>
      </c>
      <c r="M54" s="919"/>
      <c r="N54" s="914">
        <f t="shared" si="0"/>
        <v>0</v>
      </c>
      <c r="O54" s="914"/>
      <c r="P54" s="914">
        <f t="shared" si="1"/>
        <v>0</v>
      </c>
      <c r="Q54" s="914"/>
      <c r="R54" s="914">
        <f t="shared" si="6"/>
        <v>0</v>
      </c>
      <c r="S54" s="915">
        <f t="shared" si="7"/>
        <v>0</v>
      </c>
      <c r="T54" s="911">
        <f t="shared" si="8"/>
        <v>0</v>
      </c>
      <c r="U54" s="1172"/>
      <c r="V54" s="1172"/>
      <c r="W54" s="1172"/>
      <c r="X54" s="1172"/>
      <c r="Y54" s="1172"/>
      <c r="Z54" s="1172"/>
      <c r="AA54" s="1172"/>
      <c r="AB54" s="1172"/>
      <c r="AC54" s="1172"/>
      <c r="AD54" s="1172"/>
      <c r="AE54" s="1172"/>
      <c r="AF54" s="1172"/>
      <c r="AG54" s="1172"/>
      <c r="AH54" s="1172"/>
      <c r="AI54" s="1172"/>
      <c r="AJ54" s="1172"/>
      <c r="AK54" s="1172"/>
      <c r="AL54" s="1172"/>
      <c r="AM54" s="1172"/>
      <c r="AN54" s="1172"/>
      <c r="AO54" s="1172"/>
      <c r="AP54" s="1172"/>
      <c r="AQ54" s="1172"/>
      <c r="AR54" s="1172"/>
      <c r="AS54" s="1172"/>
      <c r="AT54" s="1172"/>
      <c r="AU54" s="1172"/>
      <c r="AV54" s="1172"/>
      <c r="AW54" s="1172"/>
      <c r="AX54" s="1172"/>
      <c r="AY54" s="1172"/>
      <c r="AZ54" s="1172"/>
      <c r="BA54" s="1172"/>
      <c r="BB54" s="1172"/>
      <c r="BC54" s="1172"/>
      <c r="BD54" s="1172"/>
      <c r="BE54" s="1172"/>
      <c r="BF54" s="1172"/>
      <c r="BG54" s="1172"/>
      <c r="BH54" s="1172"/>
      <c r="BI54" s="1172"/>
      <c r="BJ54" s="1172"/>
      <c r="BK54" s="1172"/>
      <c r="BL54" s="1172"/>
      <c r="BM54" s="1172"/>
      <c r="BN54" s="1172"/>
      <c r="BO54" s="1172"/>
      <c r="BP54" s="1172"/>
      <c r="BQ54" s="1172"/>
      <c r="BR54" s="1172"/>
      <c r="BS54" s="1172"/>
      <c r="BT54" s="1172"/>
      <c r="BU54" s="1172"/>
      <c r="BV54" s="1172"/>
      <c r="BW54" s="1172"/>
      <c r="BX54" s="1172"/>
      <c r="BY54" s="1172"/>
      <c r="BZ54" s="1172"/>
      <c r="CA54" s="1172"/>
      <c r="CB54" s="1172"/>
      <c r="CC54" s="1172"/>
      <c r="CD54" s="1172"/>
      <c r="CE54" s="1172"/>
      <c r="CF54" s="1172"/>
      <c r="CG54" s="1172"/>
      <c r="CH54" s="1172"/>
      <c r="CI54" s="1172"/>
      <c r="CJ54" s="1172"/>
      <c r="CK54" s="1172"/>
      <c r="CL54" s="1172"/>
      <c r="CM54" s="1172"/>
      <c r="CN54" s="1172"/>
      <c r="CO54" s="1172"/>
      <c r="CP54" s="1172"/>
      <c r="CQ54" s="1172"/>
      <c r="CR54" s="1172"/>
      <c r="CS54" s="1172"/>
      <c r="CT54" s="1172"/>
      <c r="CU54" s="1172"/>
      <c r="CV54" s="1172"/>
      <c r="CW54" s="1172"/>
      <c r="CX54" s="1172"/>
      <c r="CY54" s="1172"/>
      <c r="CZ54" s="1172"/>
      <c r="DA54" s="1172"/>
      <c r="DB54" s="1172"/>
      <c r="DC54" s="1172"/>
      <c r="DD54" s="1172"/>
      <c r="DE54" s="1172"/>
      <c r="DF54" s="1172"/>
      <c r="DG54" s="1172"/>
      <c r="DH54" s="1172"/>
      <c r="DI54" s="1172"/>
      <c r="DJ54" s="1172"/>
    </row>
    <row r="55" spans="1:114" ht="250.5" hidden="1" customHeight="1">
      <c r="A55" s="905">
        <v>6.1</v>
      </c>
      <c r="B55" s="924" t="s">
        <v>6597</v>
      </c>
      <c r="C55" s="921">
        <f>DATA!X321</f>
        <v>7058.47</v>
      </c>
      <c r="D55" s="908" t="s">
        <v>1192</v>
      </c>
      <c r="E55" s="919"/>
      <c r="F55" s="1053">
        <f t="shared" si="2"/>
        <v>0</v>
      </c>
      <c r="G55" s="919"/>
      <c r="H55" s="914">
        <f t="shared" si="3"/>
        <v>0</v>
      </c>
      <c r="I55" s="919"/>
      <c r="J55" s="914">
        <f t="shared" si="4"/>
        <v>0</v>
      </c>
      <c r="K55" s="919"/>
      <c r="L55" s="914">
        <f t="shared" si="5"/>
        <v>0</v>
      </c>
      <c r="M55" s="919"/>
      <c r="N55" s="914">
        <f t="shared" si="0"/>
        <v>0</v>
      </c>
      <c r="O55" s="914"/>
      <c r="P55" s="914">
        <f t="shared" si="1"/>
        <v>0</v>
      </c>
      <c r="Q55" s="914"/>
      <c r="R55" s="914">
        <f t="shared" si="6"/>
        <v>0</v>
      </c>
      <c r="S55" s="915">
        <f t="shared" si="7"/>
        <v>0</v>
      </c>
      <c r="T55" s="911">
        <f t="shared" si="8"/>
        <v>0</v>
      </c>
    </row>
    <row r="56" spans="1:114" ht="250.5" hidden="1" customHeight="1">
      <c r="A56" s="905">
        <v>6.2</v>
      </c>
      <c r="B56" s="924" t="s">
        <v>6598</v>
      </c>
      <c r="C56" s="913">
        <f>ROUND(DATA!AG321,2)</f>
        <v>6707.66</v>
      </c>
      <c r="D56" s="908" t="s">
        <v>1192</v>
      </c>
      <c r="E56" s="914"/>
      <c r="F56" s="1053">
        <f t="shared" si="2"/>
        <v>0</v>
      </c>
      <c r="G56" s="914"/>
      <c r="H56" s="914">
        <f t="shared" si="3"/>
        <v>0</v>
      </c>
      <c r="I56" s="914"/>
      <c r="J56" s="914">
        <f t="shared" si="4"/>
        <v>0</v>
      </c>
      <c r="K56" s="914"/>
      <c r="L56" s="914">
        <f t="shared" si="5"/>
        <v>0</v>
      </c>
      <c r="M56" s="914"/>
      <c r="N56" s="914">
        <f t="shared" si="0"/>
        <v>0</v>
      </c>
      <c r="O56" s="914"/>
      <c r="P56" s="914">
        <f t="shared" si="1"/>
        <v>0</v>
      </c>
      <c r="Q56" s="914"/>
      <c r="R56" s="914">
        <f t="shared" si="6"/>
        <v>0</v>
      </c>
      <c r="S56" s="915">
        <f t="shared" si="7"/>
        <v>0</v>
      </c>
      <c r="T56" s="911">
        <f t="shared" si="8"/>
        <v>0</v>
      </c>
    </row>
    <row r="57" spans="1:114" ht="250.5" hidden="1" customHeight="1">
      <c r="A57" s="905">
        <v>6.3</v>
      </c>
      <c r="B57" s="924" t="s">
        <v>6599</v>
      </c>
      <c r="C57" s="921"/>
      <c r="D57" s="908" t="s">
        <v>1192</v>
      </c>
      <c r="E57" s="919"/>
      <c r="F57" s="1053">
        <f t="shared" si="2"/>
        <v>0</v>
      </c>
      <c r="G57" s="919"/>
      <c r="H57" s="914">
        <f t="shared" si="3"/>
        <v>0</v>
      </c>
      <c r="I57" s="919"/>
      <c r="J57" s="914">
        <f t="shared" si="4"/>
        <v>0</v>
      </c>
      <c r="K57" s="919"/>
      <c r="L57" s="914">
        <f t="shared" si="5"/>
        <v>0</v>
      </c>
      <c r="M57" s="919"/>
      <c r="N57" s="914">
        <f t="shared" si="0"/>
        <v>0</v>
      </c>
      <c r="O57" s="914"/>
      <c r="P57" s="914">
        <f t="shared" si="1"/>
        <v>0</v>
      </c>
      <c r="Q57" s="914"/>
      <c r="R57" s="914">
        <f t="shared" si="6"/>
        <v>0</v>
      </c>
      <c r="S57" s="915">
        <f t="shared" si="7"/>
        <v>0</v>
      </c>
      <c r="T57" s="911">
        <f t="shared" si="8"/>
        <v>0</v>
      </c>
    </row>
    <row r="58" spans="1:114" ht="250.5" hidden="1" customHeight="1">
      <c r="A58" s="905">
        <v>6.4</v>
      </c>
      <c r="B58" s="924" t="s">
        <v>6600</v>
      </c>
      <c r="C58" s="921"/>
      <c r="D58" s="908" t="s">
        <v>1192</v>
      </c>
      <c r="E58" s="919"/>
      <c r="F58" s="1053">
        <f t="shared" si="2"/>
        <v>0</v>
      </c>
      <c r="G58" s="919"/>
      <c r="H58" s="914">
        <f t="shared" si="3"/>
        <v>0</v>
      </c>
      <c r="I58" s="919"/>
      <c r="J58" s="914">
        <f t="shared" si="4"/>
        <v>0</v>
      </c>
      <c r="K58" s="919"/>
      <c r="L58" s="914">
        <f t="shared" si="5"/>
        <v>0</v>
      </c>
      <c r="M58" s="919"/>
      <c r="N58" s="914">
        <f t="shared" si="0"/>
        <v>0</v>
      </c>
      <c r="O58" s="914"/>
      <c r="P58" s="914">
        <f t="shared" si="1"/>
        <v>0</v>
      </c>
      <c r="Q58" s="914"/>
      <c r="R58" s="914">
        <f t="shared" si="6"/>
        <v>0</v>
      </c>
      <c r="S58" s="915">
        <f t="shared" si="7"/>
        <v>0</v>
      </c>
      <c r="T58" s="911">
        <f t="shared" si="8"/>
        <v>0</v>
      </c>
    </row>
    <row r="59" spans="1:114" s="920" customFormat="1" ht="250.5" hidden="1" customHeight="1">
      <c r="A59" s="916">
        <v>6.5</v>
      </c>
      <c r="B59" s="925" t="s">
        <v>6601</v>
      </c>
      <c r="C59" s="918">
        <f>DATA!K321</f>
        <v>6607.51</v>
      </c>
      <c r="D59" s="898" t="s">
        <v>1192</v>
      </c>
      <c r="E59" s="919"/>
      <c r="F59" s="1053">
        <f t="shared" si="2"/>
        <v>0</v>
      </c>
      <c r="G59" s="919"/>
      <c r="H59" s="914">
        <f t="shared" si="3"/>
        <v>0</v>
      </c>
      <c r="I59" s="919"/>
      <c r="J59" s="914">
        <f t="shared" si="4"/>
        <v>0</v>
      </c>
      <c r="K59" s="919"/>
      <c r="L59" s="914">
        <f t="shared" si="5"/>
        <v>0</v>
      </c>
      <c r="M59" s="919"/>
      <c r="N59" s="914">
        <f t="shared" si="0"/>
        <v>0</v>
      </c>
      <c r="O59" s="914"/>
      <c r="P59" s="914">
        <f t="shared" si="1"/>
        <v>0</v>
      </c>
      <c r="Q59" s="914"/>
      <c r="R59" s="914">
        <f t="shared" si="6"/>
        <v>0</v>
      </c>
      <c r="S59" s="915">
        <f t="shared" si="7"/>
        <v>0</v>
      </c>
      <c r="T59" s="911">
        <f t="shared" si="8"/>
        <v>0</v>
      </c>
      <c r="U59" s="1172"/>
      <c r="V59" s="1172"/>
      <c r="W59" s="1172"/>
      <c r="X59" s="1172"/>
      <c r="Y59" s="1172"/>
      <c r="Z59" s="1172"/>
      <c r="AA59" s="1172"/>
      <c r="AB59" s="1172"/>
      <c r="AC59" s="1172"/>
      <c r="AD59" s="1172"/>
      <c r="AE59" s="1172"/>
      <c r="AF59" s="1172"/>
      <c r="AG59" s="1172"/>
      <c r="AH59" s="1172"/>
      <c r="AI59" s="1172"/>
      <c r="AJ59" s="1172"/>
      <c r="AK59" s="1172"/>
      <c r="AL59" s="1172"/>
      <c r="AM59" s="1172"/>
      <c r="AN59" s="1172"/>
      <c r="AO59" s="1172"/>
      <c r="AP59" s="1172"/>
      <c r="AQ59" s="1172"/>
      <c r="AR59" s="1172"/>
      <c r="AS59" s="1172"/>
      <c r="AT59" s="1172"/>
      <c r="AU59" s="1172"/>
      <c r="AV59" s="1172"/>
      <c r="AW59" s="1172"/>
      <c r="AX59" s="1172"/>
      <c r="AY59" s="1172"/>
      <c r="AZ59" s="1172"/>
      <c r="BA59" s="1172"/>
      <c r="BB59" s="1172"/>
      <c r="BC59" s="1172"/>
      <c r="BD59" s="1172"/>
      <c r="BE59" s="1172"/>
      <c r="BF59" s="1172"/>
      <c r="BG59" s="1172"/>
      <c r="BH59" s="1172"/>
      <c r="BI59" s="1172"/>
      <c r="BJ59" s="1172"/>
      <c r="BK59" s="1172"/>
      <c r="BL59" s="1172"/>
      <c r="BM59" s="1172"/>
      <c r="BN59" s="1172"/>
      <c r="BO59" s="1172"/>
      <c r="BP59" s="1172"/>
      <c r="BQ59" s="1172"/>
      <c r="BR59" s="1172"/>
      <c r="BS59" s="1172"/>
      <c r="BT59" s="1172"/>
      <c r="BU59" s="1172"/>
      <c r="BV59" s="1172"/>
      <c r="BW59" s="1172"/>
      <c r="BX59" s="1172"/>
      <c r="BY59" s="1172"/>
      <c r="BZ59" s="1172"/>
      <c r="CA59" s="1172"/>
      <c r="CB59" s="1172"/>
      <c r="CC59" s="1172"/>
      <c r="CD59" s="1172"/>
      <c r="CE59" s="1172"/>
      <c r="CF59" s="1172"/>
      <c r="CG59" s="1172"/>
      <c r="CH59" s="1172"/>
      <c r="CI59" s="1172"/>
      <c r="CJ59" s="1172"/>
      <c r="CK59" s="1172"/>
      <c r="CL59" s="1172"/>
      <c r="CM59" s="1172"/>
      <c r="CN59" s="1172"/>
      <c r="CO59" s="1172"/>
      <c r="CP59" s="1172"/>
      <c r="CQ59" s="1172"/>
      <c r="CR59" s="1172"/>
      <c r="CS59" s="1172"/>
      <c r="CT59" s="1172"/>
      <c r="CU59" s="1172"/>
      <c r="CV59" s="1172"/>
      <c r="CW59" s="1172"/>
      <c r="CX59" s="1172"/>
      <c r="CY59" s="1172"/>
      <c r="CZ59" s="1172"/>
      <c r="DA59" s="1172"/>
      <c r="DB59" s="1172"/>
      <c r="DC59" s="1172"/>
      <c r="DD59" s="1172"/>
      <c r="DE59" s="1172"/>
      <c r="DF59" s="1172"/>
      <c r="DG59" s="1172"/>
      <c r="DH59" s="1172"/>
      <c r="DI59" s="1172"/>
      <c r="DJ59" s="1172"/>
    </row>
    <row r="60" spans="1:114" ht="250.5" hidden="1" customHeight="1">
      <c r="A60" s="905">
        <v>6.6</v>
      </c>
      <c r="B60" s="924" t="s">
        <v>6602</v>
      </c>
      <c r="C60" s="921"/>
      <c r="D60" s="908" t="s">
        <v>1192</v>
      </c>
      <c r="E60" s="919"/>
      <c r="F60" s="1053">
        <f t="shared" si="2"/>
        <v>0</v>
      </c>
      <c r="G60" s="919"/>
      <c r="H60" s="914">
        <f t="shared" si="3"/>
        <v>0</v>
      </c>
      <c r="I60" s="919"/>
      <c r="J60" s="914">
        <f t="shared" si="4"/>
        <v>0</v>
      </c>
      <c r="K60" s="919"/>
      <c r="L60" s="914">
        <f t="shared" si="5"/>
        <v>0</v>
      </c>
      <c r="M60" s="919"/>
      <c r="N60" s="914">
        <f t="shared" si="0"/>
        <v>0</v>
      </c>
      <c r="O60" s="914"/>
      <c r="P60" s="914">
        <f t="shared" si="1"/>
        <v>0</v>
      </c>
      <c r="Q60" s="914"/>
      <c r="R60" s="914">
        <f t="shared" si="6"/>
        <v>0</v>
      </c>
      <c r="S60" s="915">
        <f t="shared" si="7"/>
        <v>0</v>
      </c>
      <c r="T60" s="911">
        <f t="shared" si="8"/>
        <v>0</v>
      </c>
    </row>
    <row r="61" spans="1:114" ht="250.5" hidden="1" customHeight="1">
      <c r="A61" s="905">
        <v>7.1</v>
      </c>
      <c r="B61" s="924" t="s">
        <v>6603</v>
      </c>
      <c r="C61" s="921"/>
      <c r="D61" s="908" t="s">
        <v>1834</v>
      </c>
      <c r="E61" s="919"/>
      <c r="F61" s="1053">
        <f t="shared" si="2"/>
        <v>0</v>
      </c>
      <c r="G61" s="919"/>
      <c r="H61" s="914">
        <f t="shared" si="3"/>
        <v>0</v>
      </c>
      <c r="I61" s="919"/>
      <c r="J61" s="914">
        <f t="shared" si="4"/>
        <v>0</v>
      </c>
      <c r="K61" s="919"/>
      <c r="L61" s="914">
        <f t="shared" si="5"/>
        <v>0</v>
      </c>
      <c r="M61" s="919"/>
      <c r="N61" s="914">
        <f t="shared" si="0"/>
        <v>0</v>
      </c>
      <c r="O61" s="914"/>
      <c r="P61" s="914">
        <f t="shared" si="1"/>
        <v>0</v>
      </c>
      <c r="Q61" s="914"/>
      <c r="R61" s="914">
        <f t="shared" si="6"/>
        <v>0</v>
      </c>
      <c r="S61" s="915">
        <f t="shared" si="7"/>
        <v>0</v>
      </c>
      <c r="T61" s="911">
        <f t="shared" si="8"/>
        <v>0</v>
      </c>
    </row>
    <row r="62" spans="1:114" ht="231.75" customHeight="1">
      <c r="A62" s="905">
        <v>7.2</v>
      </c>
      <c r="B62" s="906" t="s">
        <v>6604</v>
      </c>
      <c r="C62" s="913">
        <f>ROUND(DATA!K329,2)</f>
        <v>719</v>
      </c>
      <c r="D62" s="908" t="s">
        <v>1834</v>
      </c>
      <c r="E62" s="914"/>
      <c r="F62" s="1053">
        <f t="shared" si="2"/>
        <v>0</v>
      </c>
      <c r="G62" s="914"/>
      <c r="H62" s="914">
        <f t="shared" si="3"/>
        <v>0</v>
      </c>
      <c r="I62" s="914"/>
      <c r="J62" s="914">
        <f t="shared" si="4"/>
        <v>0</v>
      </c>
      <c r="K62" s="914">
        <v>30</v>
      </c>
      <c r="L62" s="914">
        <f t="shared" si="5"/>
        <v>21570</v>
      </c>
      <c r="M62" s="914"/>
      <c r="N62" s="914">
        <f t="shared" si="0"/>
        <v>0</v>
      </c>
      <c r="O62" s="914">
        <v>4.07</v>
      </c>
      <c r="P62" s="914">
        <f t="shared" si="1"/>
        <v>2926.33</v>
      </c>
      <c r="Q62" s="914"/>
      <c r="R62" s="914">
        <f t="shared" si="6"/>
        <v>0</v>
      </c>
      <c r="S62" s="915">
        <f t="shared" si="7"/>
        <v>34.07</v>
      </c>
      <c r="T62" s="911">
        <f t="shared" si="8"/>
        <v>24496.33</v>
      </c>
    </row>
    <row r="63" spans="1:114" ht="250.5" hidden="1" customHeight="1">
      <c r="A63" s="905">
        <v>7.3</v>
      </c>
      <c r="B63" s="924" t="s">
        <v>6605</v>
      </c>
      <c r="C63" s="921">
        <f>ROUND(DATA!K497,2)</f>
        <v>317.31</v>
      </c>
      <c r="D63" s="908" t="s">
        <v>1834</v>
      </c>
      <c r="E63" s="919"/>
      <c r="F63" s="1053">
        <f t="shared" si="2"/>
        <v>0</v>
      </c>
      <c r="G63" s="919"/>
      <c r="H63" s="914">
        <f t="shared" si="3"/>
        <v>0</v>
      </c>
      <c r="I63" s="919"/>
      <c r="J63" s="914">
        <f t="shared" si="4"/>
        <v>0</v>
      </c>
      <c r="K63" s="919"/>
      <c r="L63" s="914">
        <f t="shared" si="5"/>
        <v>0</v>
      </c>
      <c r="M63" s="919"/>
      <c r="N63" s="914">
        <f t="shared" si="0"/>
        <v>0</v>
      </c>
      <c r="O63" s="914"/>
      <c r="P63" s="914">
        <f t="shared" si="1"/>
        <v>0</v>
      </c>
      <c r="Q63" s="914"/>
      <c r="R63" s="914">
        <f t="shared" si="6"/>
        <v>0</v>
      </c>
      <c r="S63" s="915">
        <f t="shared" si="7"/>
        <v>0</v>
      </c>
      <c r="T63" s="911">
        <f t="shared" si="8"/>
        <v>0</v>
      </c>
    </row>
    <row r="64" spans="1:114" s="923" customFormat="1" ht="250.5" hidden="1" customHeight="1">
      <c r="A64" s="905">
        <v>8.1</v>
      </c>
      <c r="B64" s="924" t="s">
        <v>594</v>
      </c>
      <c r="C64" s="913"/>
      <c r="D64" s="908"/>
      <c r="E64" s="919"/>
      <c r="F64" s="1053">
        <f t="shared" si="2"/>
        <v>0</v>
      </c>
      <c r="G64" s="919"/>
      <c r="H64" s="914">
        <f t="shared" si="3"/>
        <v>0</v>
      </c>
      <c r="I64" s="919"/>
      <c r="J64" s="914">
        <f t="shared" si="4"/>
        <v>0</v>
      </c>
      <c r="K64" s="919"/>
      <c r="L64" s="914">
        <f t="shared" si="5"/>
        <v>0</v>
      </c>
      <c r="M64" s="919"/>
      <c r="N64" s="914">
        <f t="shared" si="0"/>
        <v>0</v>
      </c>
      <c r="O64" s="914"/>
      <c r="P64" s="914">
        <f t="shared" si="1"/>
        <v>0</v>
      </c>
      <c r="Q64" s="914"/>
      <c r="R64" s="914">
        <f t="shared" si="6"/>
        <v>0</v>
      </c>
      <c r="S64" s="915">
        <f t="shared" si="7"/>
        <v>0</v>
      </c>
      <c r="T64" s="911">
        <f t="shared" si="8"/>
        <v>0</v>
      </c>
      <c r="U64" s="1170"/>
      <c r="V64" s="1170"/>
      <c r="W64" s="1170"/>
      <c r="X64" s="1170"/>
      <c r="Y64" s="1170"/>
      <c r="Z64" s="1170"/>
      <c r="AA64" s="1170"/>
      <c r="AB64" s="1170"/>
      <c r="AC64" s="1170"/>
      <c r="AD64" s="1170"/>
      <c r="AE64" s="1170"/>
      <c r="AF64" s="1170"/>
      <c r="AG64" s="1170"/>
      <c r="AH64" s="1170"/>
      <c r="AI64" s="1170"/>
      <c r="AJ64" s="1170"/>
      <c r="AK64" s="1170"/>
      <c r="AL64" s="1170"/>
      <c r="AM64" s="1170"/>
      <c r="AN64" s="1170"/>
      <c r="AO64" s="1170"/>
      <c r="AP64" s="1170"/>
      <c r="AQ64" s="1170"/>
      <c r="AR64" s="1170"/>
      <c r="AS64" s="1170"/>
      <c r="AT64" s="1170"/>
      <c r="AU64" s="1170"/>
      <c r="AV64" s="1170"/>
      <c r="AW64" s="1170"/>
      <c r="AX64" s="1170"/>
      <c r="AY64" s="1170"/>
      <c r="AZ64" s="1170"/>
      <c r="BA64" s="1170"/>
      <c r="BB64" s="1170"/>
      <c r="BC64" s="1170"/>
      <c r="BD64" s="1170"/>
      <c r="BE64" s="1170"/>
      <c r="BF64" s="1170"/>
      <c r="BG64" s="1170"/>
      <c r="BH64" s="1170"/>
      <c r="BI64" s="1170"/>
      <c r="BJ64" s="1170"/>
      <c r="BK64" s="1170"/>
      <c r="BL64" s="1170"/>
      <c r="BM64" s="1170"/>
      <c r="BN64" s="1170"/>
      <c r="BO64" s="1170"/>
      <c r="BP64" s="1170"/>
      <c r="BQ64" s="1170"/>
      <c r="BR64" s="1170"/>
      <c r="BS64" s="1170"/>
      <c r="BT64" s="1170"/>
      <c r="BU64" s="1170"/>
      <c r="BV64" s="1170"/>
      <c r="BW64" s="1170"/>
      <c r="BX64" s="1170"/>
      <c r="BY64" s="1170"/>
      <c r="BZ64" s="1170"/>
      <c r="CA64" s="1170"/>
      <c r="CB64" s="1170"/>
      <c r="CC64" s="1170"/>
      <c r="CD64" s="1170"/>
      <c r="CE64" s="1170"/>
      <c r="CF64" s="1170"/>
      <c r="CG64" s="1170"/>
      <c r="CH64" s="1170"/>
      <c r="CI64" s="1170"/>
      <c r="CJ64" s="1170"/>
      <c r="CK64" s="1170"/>
      <c r="CL64" s="1170"/>
      <c r="CM64" s="1170"/>
      <c r="CN64" s="1170"/>
      <c r="CO64" s="1170"/>
      <c r="CP64" s="1170"/>
      <c r="CQ64" s="1170"/>
      <c r="CR64" s="1170"/>
      <c r="CS64" s="1170"/>
      <c r="CT64" s="1170"/>
      <c r="CU64" s="1170"/>
      <c r="CV64" s="1170"/>
      <c r="CW64" s="1170"/>
      <c r="CX64" s="1170"/>
      <c r="CY64" s="1170"/>
      <c r="CZ64" s="1170"/>
      <c r="DA64" s="1170"/>
      <c r="DB64" s="1170"/>
      <c r="DC64" s="1170"/>
      <c r="DD64" s="1170"/>
      <c r="DE64" s="1170"/>
      <c r="DF64" s="1170"/>
      <c r="DG64" s="1170"/>
      <c r="DH64" s="1170"/>
      <c r="DI64" s="1170"/>
      <c r="DJ64" s="1170"/>
    </row>
    <row r="65" spans="1:114" s="923" customFormat="1" ht="250.5" hidden="1" customHeight="1">
      <c r="A65" s="905"/>
      <c r="B65" s="906" t="s">
        <v>1247</v>
      </c>
      <c r="C65" s="913">
        <f>ROUND(DATA!K287,2)</f>
        <v>8385.0499999999993</v>
      </c>
      <c r="D65" s="908" t="s">
        <v>1192</v>
      </c>
      <c r="E65" s="919"/>
      <c r="F65" s="1053">
        <f t="shared" si="2"/>
        <v>0</v>
      </c>
      <c r="G65" s="919"/>
      <c r="H65" s="914">
        <f t="shared" si="3"/>
        <v>0</v>
      </c>
      <c r="I65" s="919"/>
      <c r="J65" s="914">
        <f t="shared" si="4"/>
        <v>0</v>
      </c>
      <c r="K65" s="919"/>
      <c r="L65" s="914">
        <f t="shared" si="5"/>
        <v>0</v>
      </c>
      <c r="M65" s="919"/>
      <c r="N65" s="914">
        <f t="shared" si="0"/>
        <v>0</v>
      </c>
      <c r="O65" s="914"/>
      <c r="P65" s="914">
        <f t="shared" si="1"/>
        <v>0</v>
      </c>
      <c r="Q65" s="914"/>
      <c r="R65" s="914">
        <f t="shared" si="6"/>
        <v>0</v>
      </c>
      <c r="S65" s="915">
        <f t="shared" si="7"/>
        <v>0</v>
      </c>
      <c r="T65" s="911">
        <f t="shared" si="8"/>
        <v>0</v>
      </c>
      <c r="U65" s="1170"/>
      <c r="V65" s="1170"/>
      <c r="W65" s="1170"/>
      <c r="X65" s="1170"/>
      <c r="Y65" s="1170"/>
      <c r="Z65" s="1170"/>
      <c r="AA65" s="1170"/>
      <c r="AB65" s="1170"/>
      <c r="AC65" s="1170"/>
      <c r="AD65" s="1170"/>
      <c r="AE65" s="1170"/>
      <c r="AF65" s="1170"/>
      <c r="AG65" s="1170"/>
      <c r="AH65" s="1170"/>
      <c r="AI65" s="1170"/>
      <c r="AJ65" s="1170"/>
      <c r="AK65" s="1170"/>
      <c r="AL65" s="1170"/>
      <c r="AM65" s="1170"/>
      <c r="AN65" s="1170"/>
      <c r="AO65" s="1170"/>
      <c r="AP65" s="1170"/>
      <c r="AQ65" s="1170"/>
      <c r="AR65" s="1170"/>
      <c r="AS65" s="1170"/>
      <c r="AT65" s="1170"/>
      <c r="AU65" s="1170"/>
      <c r="AV65" s="1170"/>
      <c r="AW65" s="1170"/>
      <c r="AX65" s="1170"/>
      <c r="AY65" s="1170"/>
      <c r="AZ65" s="1170"/>
      <c r="BA65" s="1170"/>
      <c r="BB65" s="1170"/>
      <c r="BC65" s="1170"/>
      <c r="BD65" s="1170"/>
      <c r="BE65" s="1170"/>
      <c r="BF65" s="1170"/>
      <c r="BG65" s="1170"/>
      <c r="BH65" s="1170"/>
      <c r="BI65" s="1170"/>
      <c r="BJ65" s="1170"/>
      <c r="BK65" s="1170"/>
      <c r="BL65" s="1170"/>
      <c r="BM65" s="1170"/>
      <c r="BN65" s="1170"/>
      <c r="BO65" s="1170"/>
      <c r="BP65" s="1170"/>
      <c r="BQ65" s="1170"/>
      <c r="BR65" s="1170"/>
      <c r="BS65" s="1170"/>
      <c r="BT65" s="1170"/>
      <c r="BU65" s="1170"/>
      <c r="BV65" s="1170"/>
      <c r="BW65" s="1170"/>
      <c r="BX65" s="1170"/>
      <c r="BY65" s="1170"/>
      <c r="BZ65" s="1170"/>
      <c r="CA65" s="1170"/>
      <c r="CB65" s="1170"/>
      <c r="CC65" s="1170"/>
      <c r="CD65" s="1170"/>
      <c r="CE65" s="1170"/>
      <c r="CF65" s="1170"/>
      <c r="CG65" s="1170"/>
      <c r="CH65" s="1170"/>
      <c r="CI65" s="1170"/>
      <c r="CJ65" s="1170"/>
      <c r="CK65" s="1170"/>
      <c r="CL65" s="1170"/>
      <c r="CM65" s="1170"/>
      <c r="CN65" s="1170"/>
      <c r="CO65" s="1170"/>
      <c r="CP65" s="1170"/>
      <c r="CQ65" s="1170"/>
      <c r="CR65" s="1170"/>
      <c r="CS65" s="1170"/>
      <c r="CT65" s="1170"/>
      <c r="CU65" s="1170"/>
      <c r="CV65" s="1170"/>
      <c r="CW65" s="1170"/>
      <c r="CX65" s="1170"/>
      <c r="CY65" s="1170"/>
      <c r="CZ65" s="1170"/>
      <c r="DA65" s="1170"/>
      <c r="DB65" s="1170"/>
      <c r="DC65" s="1170"/>
      <c r="DD65" s="1170"/>
      <c r="DE65" s="1170"/>
      <c r="DF65" s="1170"/>
      <c r="DG65" s="1170"/>
      <c r="DH65" s="1170"/>
      <c r="DI65" s="1170"/>
      <c r="DJ65" s="1170"/>
    </row>
    <row r="66" spans="1:114" s="923" customFormat="1" ht="250.5" hidden="1" customHeight="1">
      <c r="A66" s="905"/>
      <c r="B66" s="906" t="s">
        <v>1381</v>
      </c>
      <c r="C66" s="913">
        <f>ROUND(DATA!K288,2)</f>
        <v>8621.15</v>
      </c>
      <c r="D66" s="908" t="s">
        <v>1192</v>
      </c>
      <c r="E66" s="919"/>
      <c r="F66" s="1053">
        <f t="shared" si="2"/>
        <v>0</v>
      </c>
      <c r="G66" s="919"/>
      <c r="H66" s="914">
        <f t="shared" si="3"/>
        <v>0</v>
      </c>
      <c r="I66" s="919"/>
      <c r="J66" s="914">
        <f t="shared" si="4"/>
        <v>0</v>
      </c>
      <c r="K66" s="919"/>
      <c r="L66" s="914">
        <f t="shared" si="5"/>
        <v>0</v>
      </c>
      <c r="M66" s="919"/>
      <c r="N66" s="914">
        <f t="shared" si="0"/>
        <v>0</v>
      </c>
      <c r="O66" s="914"/>
      <c r="P66" s="914">
        <f t="shared" si="1"/>
        <v>0</v>
      </c>
      <c r="Q66" s="914"/>
      <c r="R66" s="914">
        <f t="shared" si="6"/>
        <v>0</v>
      </c>
      <c r="S66" s="915">
        <f t="shared" si="7"/>
        <v>0</v>
      </c>
      <c r="T66" s="911">
        <f t="shared" si="8"/>
        <v>0</v>
      </c>
      <c r="U66" s="1170"/>
      <c r="V66" s="1170"/>
      <c r="W66" s="1170"/>
      <c r="X66" s="1170"/>
      <c r="Y66" s="1170"/>
      <c r="Z66" s="1170"/>
      <c r="AA66" s="1170"/>
      <c r="AB66" s="1170"/>
      <c r="AC66" s="1170"/>
      <c r="AD66" s="1170"/>
      <c r="AE66" s="1170"/>
      <c r="AF66" s="1170"/>
      <c r="AG66" s="1170"/>
      <c r="AH66" s="1170"/>
      <c r="AI66" s="1170"/>
      <c r="AJ66" s="1170"/>
      <c r="AK66" s="1170"/>
      <c r="AL66" s="1170"/>
      <c r="AM66" s="1170"/>
      <c r="AN66" s="1170"/>
      <c r="AO66" s="1170"/>
      <c r="AP66" s="1170"/>
      <c r="AQ66" s="1170"/>
      <c r="AR66" s="1170"/>
      <c r="AS66" s="1170"/>
      <c r="AT66" s="1170"/>
      <c r="AU66" s="1170"/>
      <c r="AV66" s="1170"/>
      <c r="AW66" s="1170"/>
      <c r="AX66" s="1170"/>
      <c r="AY66" s="1170"/>
      <c r="AZ66" s="1170"/>
      <c r="BA66" s="1170"/>
      <c r="BB66" s="1170"/>
      <c r="BC66" s="1170"/>
      <c r="BD66" s="1170"/>
      <c r="BE66" s="1170"/>
      <c r="BF66" s="1170"/>
      <c r="BG66" s="1170"/>
      <c r="BH66" s="1170"/>
      <c r="BI66" s="1170"/>
      <c r="BJ66" s="1170"/>
      <c r="BK66" s="1170"/>
      <c r="BL66" s="1170"/>
      <c r="BM66" s="1170"/>
      <c r="BN66" s="1170"/>
      <c r="BO66" s="1170"/>
      <c r="BP66" s="1170"/>
      <c r="BQ66" s="1170"/>
      <c r="BR66" s="1170"/>
      <c r="BS66" s="1170"/>
      <c r="BT66" s="1170"/>
      <c r="BU66" s="1170"/>
      <c r="BV66" s="1170"/>
      <c r="BW66" s="1170"/>
      <c r="BX66" s="1170"/>
      <c r="BY66" s="1170"/>
      <c r="BZ66" s="1170"/>
      <c r="CA66" s="1170"/>
      <c r="CB66" s="1170"/>
      <c r="CC66" s="1170"/>
      <c r="CD66" s="1170"/>
      <c r="CE66" s="1170"/>
      <c r="CF66" s="1170"/>
      <c r="CG66" s="1170"/>
      <c r="CH66" s="1170"/>
      <c r="CI66" s="1170"/>
      <c r="CJ66" s="1170"/>
      <c r="CK66" s="1170"/>
      <c r="CL66" s="1170"/>
      <c r="CM66" s="1170"/>
      <c r="CN66" s="1170"/>
      <c r="CO66" s="1170"/>
      <c r="CP66" s="1170"/>
      <c r="CQ66" s="1170"/>
      <c r="CR66" s="1170"/>
      <c r="CS66" s="1170"/>
      <c r="CT66" s="1170"/>
      <c r="CU66" s="1170"/>
      <c r="CV66" s="1170"/>
      <c r="CW66" s="1170"/>
      <c r="CX66" s="1170"/>
      <c r="CY66" s="1170"/>
      <c r="CZ66" s="1170"/>
      <c r="DA66" s="1170"/>
      <c r="DB66" s="1170"/>
      <c r="DC66" s="1170"/>
      <c r="DD66" s="1170"/>
      <c r="DE66" s="1170"/>
      <c r="DF66" s="1170"/>
      <c r="DG66" s="1170"/>
      <c r="DH66" s="1170"/>
      <c r="DI66" s="1170"/>
      <c r="DJ66" s="1170"/>
    </row>
    <row r="67" spans="1:114" s="923" customFormat="1" ht="250.5" hidden="1" customHeight="1">
      <c r="A67" s="905"/>
      <c r="B67" s="906" t="s">
        <v>1429</v>
      </c>
      <c r="C67" s="913">
        <f>ROUND(DATA!K289,2)</f>
        <v>8857.25</v>
      </c>
      <c r="D67" s="908" t="s">
        <v>1192</v>
      </c>
      <c r="E67" s="919"/>
      <c r="F67" s="1053">
        <f t="shared" si="2"/>
        <v>0</v>
      </c>
      <c r="G67" s="919"/>
      <c r="H67" s="914">
        <f t="shared" si="3"/>
        <v>0</v>
      </c>
      <c r="I67" s="919"/>
      <c r="J67" s="914">
        <f t="shared" si="4"/>
        <v>0</v>
      </c>
      <c r="K67" s="919"/>
      <c r="L67" s="914">
        <f t="shared" si="5"/>
        <v>0</v>
      </c>
      <c r="M67" s="919"/>
      <c r="N67" s="914">
        <f t="shared" si="0"/>
        <v>0</v>
      </c>
      <c r="O67" s="914"/>
      <c r="P67" s="914">
        <f t="shared" si="1"/>
        <v>0</v>
      </c>
      <c r="Q67" s="914"/>
      <c r="R67" s="914">
        <f t="shared" si="6"/>
        <v>0</v>
      </c>
      <c r="S67" s="915">
        <f t="shared" si="7"/>
        <v>0</v>
      </c>
      <c r="T67" s="911">
        <f t="shared" si="8"/>
        <v>0</v>
      </c>
      <c r="U67" s="1170"/>
      <c r="V67" s="1170"/>
      <c r="W67" s="1170"/>
      <c r="X67" s="1170"/>
      <c r="Y67" s="1170"/>
      <c r="Z67" s="1170"/>
      <c r="AA67" s="1170"/>
      <c r="AB67" s="1170"/>
      <c r="AC67" s="1170"/>
      <c r="AD67" s="1170"/>
      <c r="AE67" s="1170"/>
      <c r="AF67" s="1170"/>
      <c r="AG67" s="1170"/>
      <c r="AH67" s="1170"/>
      <c r="AI67" s="1170"/>
      <c r="AJ67" s="1170"/>
      <c r="AK67" s="1170"/>
      <c r="AL67" s="1170"/>
      <c r="AM67" s="1170"/>
      <c r="AN67" s="1170"/>
      <c r="AO67" s="1170"/>
      <c r="AP67" s="1170"/>
      <c r="AQ67" s="1170"/>
      <c r="AR67" s="1170"/>
      <c r="AS67" s="1170"/>
      <c r="AT67" s="1170"/>
      <c r="AU67" s="1170"/>
      <c r="AV67" s="1170"/>
      <c r="AW67" s="1170"/>
      <c r="AX67" s="1170"/>
      <c r="AY67" s="1170"/>
      <c r="AZ67" s="1170"/>
      <c r="BA67" s="1170"/>
      <c r="BB67" s="1170"/>
      <c r="BC67" s="1170"/>
      <c r="BD67" s="1170"/>
      <c r="BE67" s="1170"/>
      <c r="BF67" s="1170"/>
      <c r="BG67" s="1170"/>
      <c r="BH67" s="1170"/>
      <c r="BI67" s="1170"/>
      <c r="BJ67" s="1170"/>
      <c r="BK67" s="1170"/>
      <c r="BL67" s="1170"/>
      <c r="BM67" s="1170"/>
      <c r="BN67" s="1170"/>
      <c r="BO67" s="1170"/>
      <c r="BP67" s="1170"/>
      <c r="BQ67" s="1170"/>
      <c r="BR67" s="1170"/>
      <c r="BS67" s="1170"/>
      <c r="BT67" s="1170"/>
      <c r="BU67" s="1170"/>
      <c r="BV67" s="1170"/>
      <c r="BW67" s="1170"/>
      <c r="BX67" s="1170"/>
      <c r="BY67" s="1170"/>
      <c r="BZ67" s="1170"/>
      <c r="CA67" s="1170"/>
      <c r="CB67" s="1170"/>
      <c r="CC67" s="1170"/>
      <c r="CD67" s="1170"/>
      <c r="CE67" s="1170"/>
      <c r="CF67" s="1170"/>
      <c r="CG67" s="1170"/>
      <c r="CH67" s="1170"/>
      <c r="CI67" s="1170"/>
      <c r="CJ67" s="1170"/>
      <c r="CK67" s="1170"/>
      <c r="CL67" s="1170"/>
      <c r="CM67" s="1170"/>
      <c r="CN67" s="1170"/>
      <c r="CO67" s="1170"/>
      <c r="CP67" s="1170"/>
      <c r="CQ67" s="1170"/>
      <c r="CR67" s="1170"/>
      <c r="CS67" s="1170"/>
      <c r="CT67" s="1170"/>
      <c r="CU67" s="1170"/>
      <c r="CV67" s="1170"/>
      <c r="CW67" s="1170"/>
      <c r="CX67" s="1170"/>
      <c r="CY67" s="1170"/>
      <c r="CZ67" s="1170"/>
      <c r="DA67" s="1170"/>
      <c r="DB67" s="1170"/>
      <c r="DC67" s="1170"/>
      <c r="DD67" s="1170"/>
      <c r="DE67" s="1170"/>
      <c r="DF67" s="1170"/>
      <c r="DG67" s="1170"/>
      <c r="DH67" s="1170"/>
      <c r="DI67" s="1170"/>
      <c r="DJ67" s="1170"/>
    </row>
    <row r="68" spans="1:114" s="923" customFormat="1" ht="250.5" hidden="1" customHeight="1">
      <c r="A68" s="905"/>
      <c r="B68" s="906" t="s">
        <v>1319</v>
      </c>
      <c r="C68" s="913">
        <f>ROUND(DATA!K290,2)</f>
        <v>9093.35</v>
      </c>
      <c r="D68" s="908" t="s">
        <v>1192</v>
      </c>
      <c r="E68" s="919"/>
      <c r="F68" s="1053">
        <f t="shared" si="2"/>
        <v>0</v>
      </c>
      <c r="G68" s="919"/>
      <c r="H68" s="914">
        <f t="shared" si="3"/>
        <v>0</v>
      </c>
      <c r="I68" s="919"/>
      <c r="J68" s="914">
        <f t="shared" si="4"/>
        <v>0</v>
      </c>
      <c r="K68" s="919"/>
      <c r="L68" s="914">
        <f t="shared" si="5"/>
        <v>0</v>
      </c>
      <c r="M68" s="919"/>
      <c r="N68" s="914">
        <f t="shared" si="0"/>
        <v>0</v>
      </c>
      <c r="O68" s="914"/>
      <c r="P68" s="914">
        <f t="shared" si="1"/>
        <v>0</v>
      </c>
      <c r="Q68" s="914"/>
      <c r="R68" s="914">
        <f t="shared" si="6"/>
        <v>0</v>
      </c>
      <c r="S68" s="915">
        <f t="shared" si="7"/>
        <v>0</v>
      </c>
      <c r="T68" s="911">
        <f t="shared" si="8"/>
        <v>0</v>
      </c>
      <c r="U68" s="1170"/>
      <c r="V68" s="1170"/>
      <c r="W68" s="1170"/>
      <c r="X68" s="1170"/>
      <c r="Y68" s="1170"/>
      <c r="Z68" s="1170"/>
      <c r="AA68" s="1170"/>
      <c r="AB68" s="1170"/>
      <c r="AC68" s="1170"/>
      <c r="AD68" s="1170"/>
      <c r="AE68" s="1170"/>
      <c r="AF68" s="1170"/>
      <c r="AG68" s="1170"/>
      <c r="AH68" s="1170"/>
      <c r="AI68" s="1170"/>
      <c r="AJ68" s="1170"/>
      <c r="AK68" s="1170"/>
      <c r="AL68" s="1170"/>
      <c r="AM68" s="1170"/>
      <c r="AN68" s="1170"/>
      <c r="AO68" s="1170"/>
      <c r="AP68" s="1170"/>
      <c r="AQ68" s="1170"/>
      <c r="AR68" s="1170"/>
      <c r="AS68" s="1170"/>
      <c r="AT68" s="1170"/>
      <c r="AU68" s="1170"/>
      <c r="AV68" s="1170"/>
      <c r="AW68" s="1170"/>
      <c r="AX68" s="1170"/>
      <c r="AY68" s="1170"/>
      <c r="AZ68" s="1170"/>
      <c r="BA68" s="1170"/>
      <c r="BB68" s="1170"/>
      <c r="BC68" s="1170"/>
      <c r="BD68" s="1170"/>
      <c r="BE68" s="1170"/>
      <c r="BF68" s="1170"/>
      <c r="BG68" s="1170"/>
      <c r="BH68" s="1170"/>
      <c r="BI68" s="1170"/>
      <c r="BJ68" s="1170"/>
      <c r="BK68" s="1170"/>
      <c r="BL68" s="1170"/>
      <c r="BM68" s="1170"/>
      <c r="BN68" s="1170"/>
      <c r="BO68" s="1170"/>
      <c r="BP68" s="1170"/>
      <c r="BQ68" s="1170"/>
      <c r="BR68" s="1170"/>
      <c r="BS68" s="1170"/>
      <c r="BT68" s="1170"/>
      <c r="BU68" s="1170"/>
      <c r="BV68" s="1170"/>
      <c r="BW68" s="1170"/>
      <c r="BX68" s="1170"/>
      <c r="BY68" s="1170"/>
      <c r="BZ68" s="1170"/>
      <c r="CA68" s="1170"/>
      <c r="CB68" s="1170"/>
      <c r="CC68" s="1170"/>
      <c r="CD68" s="1170"/>
      <c r="CE68" s="1170"/>
      <c r="CF68" s="1170"/>
      <c r="CG68" s="1170"/>
      <c r="CH68" s="1170"/>
      <c r="CI68" s="1170"/>
      <c r="CJ68" s="1170"/>
      <c r="CK68" s="1170"/>
      <c r="CL68" s="1170"/>
      <c r="CM68" s="1170"/>
      <c r="CN68" s="1170"/>
      <c r="CO68" s="1170"/>
      <c r="CP68" s="1170"/>
      <c r="CQ68" s="1170"/>
      <c r="CR68" s="1170"/>
      <c r="CS68" s="1170"/>
      <c r="CT68" s="1170"/>
      <c r="CU68" s="1170"/>
      <c r="CV68" s="1170"/>
      <c r="CW68" s="1170"/>
      <c r="CX68" s="1170"/>
      <c r="CY68" s="1170"/>
      <c r="CZ68" s="1170"/>
      <c r="DA68" s="1170"/>
      <c r="DB68" s="1170"/>
      <c r="DC68" s="1170"/>
      <c r="DD68" s="1170"/>
      <c r="DE68" s="1170"/>
      <c r="DF68" s="1170"/>
      <c r="DG68" s="1170"/>
      <c r="DH68" s="1170"/>
      <c r="DI68" s="1170"/>
      <c r="DJ68" s="1170"/>
    </row>
    <row r="69" spans="1:114" s="923" customFormat="1" ht="250.5" hidden="1" customHeight="1">
      <c r="A69" s="926"/>
      <c r="B69" s="906" t="s">
        <v>1074</v>
      </c>
      <c r="C69" s="913">
        <f>ROUND(DATA!K291,2)</f>
        <v>9329.4500000000007</v>
      </c>
      <c r="D69" s="908" t="s">
        <v>1192</v>
      </c>
      <c r="E69" s="919"/>
      <c r="F69" s="1053">
        <f t="shared" si="2"/>
        <v>0</v>
      </c>
      <c r="G69" s="919"/>
      <c r="H69" s="914">
        <f t="shared" si="3"/>
        <v>0</v>
      </c>
      <c r="I69" s="919"/>
      <c r="J69" s="914">
        <f t="shared" si="4"/>
        <v>0</v>
      </c>
      <c r="K69" s="919"/>
      <c r="L69" s="914">
        <f t="shared" si="5"/>
        <v>0</v>
      </c>
      <c r="M69" s="919"/>
      <c r="N69" s="914">
        <f t="shared" si="0"/>
        <v>0</v>
      </c>
      <c r="O69" s="914"/>
      <c r="P69" s="914">
        <f t="shared" si="1"/>
        <v>0</v>
      </c>
      <c r="Q69" s="914"/>
      <c r="R69" s="914">
        <f t="shared" si="6"/>
        <v>0</v>
      </c>
      <c r="S69" s="915">
        <f t="shared" si="7"/>
        <v>0</v>
      </c>
      <c r="T69" s="911">
        <f t="shared" si="8"/>
        <v>0</v>
      </c>
      <c r="U69" s="1170"/>
      <c r="V69" s="1170"/>
      <c r="W69" s="1170"/>
      <c r="X69" s="1170"/>
      <c r="Y69" s="1170"/>
      <c r="Z69" s="1170"/>
      <c r="AA69" s="1170"/>
      <c r="AB69" s="1170"/>
      <c r="AC69" s="1170"/>
      <c r="AD69" s="1170"/>
      <c r="AE69" s="1170"/>
      <c r="AF69" s="1170"/>
      <c r="AG69" s="1170"/>
      <c r="AH69" s="1170"/>
      <c r="AI69" s="1170"/>
      <c r="AJ69" s="1170"/>
      <c r="AK69" s="1170"/>
      <c r="AL69" s="1170"/>
      <c r="AM69" s="1170"/>
      <c r="AN69" s="1170"/>
      <c r="AO69" s="1170"/>
      <c r="AP69" s="1170"/>
      <c r="AQ69" s="1170"/>
      <c r="AR69" s="1170"/>
      <c r="AS69" s="1170"/>
      <c r="AT69" s="1170"/>
      <c r="AU69" s="1170"/>
      <c r="AV69" s="1170"/>
      <c r="AW69" s="1170"/>
      <c r="AX69" s="1170"/>
      <c r="AY69" s="1170"/>
      <c r="AZ69" s="1170"/>
      <c r="BA69" s="1170"/>
      <c r="BB69" s="1170"/>
      <c r="BC69" s="1170"/>
      <c r="BD69" s="1170"/>
      <c r="BE69" s="1170"/>
      <c r="BF69" s="1170"/>
      <c r="BG69" s="1170"/>
      <c r="BH69" s="1170"/>
      <c r="BI69" s="1170"/>
      <c r="BJ69" s="1170"/>
      <c r="BK69" s="1170"/>
      <c r="BL69" s="1170"/>
      <c r="BM69" s="1170"/>
      <c r="BN69" s="1170"/>
      <c r="BO69" s="1170"/>
      <c r="BP69" s="1170"/>
      <c r="BQ69" s="1170"/>
      <c r="BR69" s="1170"/>
      <c r="BS69" s="1170"/>
      <c r="BT69" s="1170"/>
      <c r="BU69" s="1170"/>
      <c r="BV69" s="1170"/>
      <c r="BW69" s="1170"/>
      <c r="BX69" s="1170"/>
      <c r="BY69" s="1170"/>
      <c r="BZ69" s="1170"/>
      <c r="CA69" s="1170"/>
      <c r="CB69" s="1170"/>
      <c r="CC69" s="1170"/>
      <c r="CD69" s="1170"/>
      <c r="CE69" s="1170"/>
      <c r="CF69" s="1170"/>
      <c r="CG69" s="1170"/>
      <c r="CH69" s="1170"/>
      <c r="CI69" s="1170"/>
      <c r="CJ69" s="1170"/>
      <c r="CK69" s="1170"/>
      <c r="CL69" s="1170"/>
      <c r="CM69" s="1170"/>
      <c r="CN69" s="1170"/>
      <c r="CO69" s="1170"/>
      <c r="CP69" s="1170"/>
      <c r="CQ69" s="1170"/>
      <c r="CR69" s="1170"/>
      <c r="CS69" s="1170"/>
      <c r="CT69" s="1170"/>
      <c r="CU69" s="1170"/>
      <c r="CV69" s="1170"/>
      <c r="CW69" s="1170"/>
      <c r="CX69" s="1170"/>
      <c r="CY69" s="1170"/>
      <c r="CZ69" s="1170"/>
      <c r="DA69" s="1170"/>
      <c r="DB69" s="1170"/>
      <c r="DC69" s="1170"/>
      <c r="DD69" s="1170"/>
      <c r="DE69" s="1170"/>
      <c r="DF69" s="1170"/>
      <c r="DG69" s="1170"/>
      <c r="DH69" s="1170"/>
      <c r="DI69" s="1170"/>
      <c r="DJ69" s="1170"/>
    </row>
    <row r="70" spans="1:114" ht="250.5" hidden="1" customHeight="1">
      <c r="A70" s="905">
        <v>8.1999999999999993</v>
      </c>
      <c r="B70" s="924" t="s">
        <v>1075</v>
      </c>
      <c r="C70" s="921"/>
      <c r="D70" s="908"/>
      <c r="E70" s="919"/>
      <c r="F70" s="1053">
        <f t="shared" si="2"/>
        <v>0</v>
      </c>
      <c r="G70" s="919"/>
      <c r="H70" s="914">
        <f t="shared" si="3"/>
        <v>0</v>
      </c>
      <c r="I70" s="919"/>
      <c r="J70" s="914">
        <f t="shared" si="4"/>
        <v>0</v>
      </c>
      <c r="K70" s="919"/>
      <c r="L70" s="914">
        <f t="shared" si="5"/>
        <v>0</v>
      </c>
      <c r="M70" s="919"/>
      <c r="N70" s="914">
        <f t="shared" ref="N70:N133" si="9">M70*C70</f>
        <v>0</v>
      </c>
      <c r="O70" s="914"/>
      <c r="P70" s="914">
        <f t="shared" ref="P70:P133" si="10">O70*C70</f>
        <v>0</v>
      </c>
      <c r="Q70" s="914"/>
      <c r="R70" s="914">
        <f t="shared" si="6"/>
        <v>0</v>
      </c>
      <c r="S70" s="915">
        <f t="shared" si="7"/>
        <v>0</v>
      </c>
      <c r="T70" s="911">
        <f t="shared" si="8"/>
        <v>0</v>
      </c>
    </row>
    <row r="71" spans="1:114" ht="250.5" hidden="1" customHeight="1">
      <c r="A71" s="927"/>
      <c r="B71" s="906" t="s">
        <v>1247</v>
      </c>
      <c r="C71" s="921">
        <f>ROUND(DATA!K823,2)</f>
        <v>9035.56</v>
      </c>
      <c r="D71" s="908" t="s">
        <v>1192</v>
      </c>
      <c r="E71" s="919"/>
      <c r="F71" s="1053">
        <f t="shared" ref="F71:F134" si="11">E71*C71</f>
        <v>0</v>
      </c>
      <c r="G71" s="919"/>
      <c r="H71" s="914">
        <f t="shared" ref="H71:H134" si="12">G71*C71</f>
        <v>0</v>
      </c>
      <c r="I71" s="919"/>
      <c r="J71" s="914">
        <f t="shared" ref="J71:J134" si="13">I71*C71</f>
        <v>0</v>
      </c>
      <c r="K71" s="919"/>
      <c r="L71" s="914">
        <f t="shared" ref="L71:L134" si="14">K71*C71</f>
        <v>0</v>
      </c>
      <c r="M71" s="919"/>
      <c r="N71" s="914">
        <f t="shared" si="9"/>
        <v>0</v>
      </c>
      <c r="O71" s="914"/>
      <c r="P71" s="914">
        <f t="shared" si="10"/>
        <v>0</v>
      </c>
      <c r="Q71" s="914"/>
      <c r="R71" s="914">
        <f t="shared" ref="R71:R134" si="15">Q71*C71</f>
        <v>0</v>
      </c>
      <c r="S71" s="915">
        <f t="shared" ref="S71:S134" si="16">G71+I71+K71+M71+E71+O71+Q71</f>
        <v>0</v>
      </c>
      <c r="T71" s="911">
        <f t="shared" ref="T71:T134" si="17">S71*C71</f>
        <v>0</v>
      </c>
    </row>
    <row r="72" spans="1:114" ht="250.5" hidden="1" customHeight="1">
      <c r="A72" s="927"/>
      <c r="B72" s="906" t="s">
        <v>1381</v>
      </c>
      <c r="C72" s="921">
        <f>ROUND(DATA!K824,2)</f>
        <v>9271.66</v>
      </c>
      <c r="D72" s="908" t="s">
        <v>1192</v>
      </c>
      <c r="E72" s="919"/>
      <c r="F72" s="1053">
        <f t="shared" si="11"/>
        <v>0</v>
      </c>
      <c r="G72" s="919"/>
      <c r="H72" s="914">
        <f t="shared" si="12"/>
        <v>0</v>
      </c>
      <c r="I72" s="919"/>
      <c r="J72" s="914">
        <f t="shared" si="13"/>
        <v>0</v>
      </c>
      <c r="K72" s="919"/>
      <c r="L72" s="914">
        <f t="shared" si="14"/>
        <v>0</v>
      </c>
      <c r="M72" s="919"/>
      <c r="N72" s="914">
        <f t="shared" si="9"/>
        <v>0</v>
      </c>
      <c r="O72" s="914"/>
      <c r="P72" s="914">
        <f t="shared" si="10"/>
        <v>0</v>
      </c>
      <c r="Q72" s="914"/>
      <c r="R72" s="914">
        <f t="shared" si="15"/>
        <v>0</v>
      </c>
      <c r="S72" s="915">
        <f t="shared" si="16"/>
        <v>0</v>
      </c>
      <c r="T72" s="911">
        <f t="shared" si="17"/>
        <v>0</v>
      </c>
    </row>
    <row r="73" spans="1:114" ht="250.5" hidden="1" customHeight="1">
      <c r="A73" s="927"/>
      <c r="B73" s="906" t="s">
        <v>1429</v>
      </c>
      <c r="C73" s="921">
        <f>ROUND(DATA!K825,2)</f>
        <v>9507.76</v>
      </c>
      <c r="D73" s="908" t="s">
        <v>1192</v>
      </c>
      <c r="E73" s="919"/>
      <c r="F73" s="1053">
        <f t="shared" si="11"/>
        <v>0</v>
      </c>
      <c r="G73" s="919"/>
      <c r="H73" s="914">
        <f t="shared" si="12"/>
        <v>0</v>
      </c>
      <c r="I73" s="919"/>
      <c r="J73" s="914">
        <f t="shared" si="13"/>
        <v>0</v>
      </c>
      <c r="K73" s="919"/>
      <c r="L73" s="914">
        <f t="shared" si="14"/>
        <v>0</v>
      </c>
      <c r="M73" s="919"/>
      <c r="N73" s="914">
        <f t="shared" si="9"/>
        <v>0</v>
      </c>
      <c r="O73" s="914"/>
      <c r="P73" s="914">
        <f t="shared" si="10"/>
        <v>0</v>
      </c>
      <c r="Q73" s="914"/>
      <c r="R73" s="914">
        <f t="shared" si="15"/>
        <v>0</v>
      </c>
      <c r="S73" s="915">
        <f t="shared" si="16"/>
        <v>0</v>
      </c>
      <c r="T73" s="911">
        <f t="shared" si="17"/>
        <v>0</v>
      </c>
    </row>
    <row r="74" spans="1:114" ht="250.5" hidden="1" customHeight="1">
      <c r="A74" s="927"/>
      <c r="B74" s="906" t="s">
        <v>1319</v>
      </c>
      <c r="C74" s="921">
        <f>ROUND(DATA!K826,2)</f>
        <v>9743.86</v>
      </c>
      <c r="D74" s="908" t="s">
        <v>1192</v>
      </c>
      <c r="E74" s="919"/>
      <c r="F74" s="1053">
        <f t="shared" si="11"/>
        <v>0</v>
      </c>
      <c r="G74" s="919"/>
      <c r="H74" s="914">
        <f t="shared" si="12"/>
        <v>0</v>
      </c>
      <c r="I74" s="919"/>
      <c r="J74" s="914">
        <f t="shared" si="13"/>
        <v>0</v>
      </c>
      <c r="K74" s="919"/>
      <c r="L74" s="914">
        <f t="shared" si="14"/>
        <v>0</v>
      </c>
      <c r="M74" s="919"/>
      <c r="N74" s="914">
        <f t="shared" si="9"/>
        <v>0</v>
      </c>
      <c r="O74" s="914"/>
      <c r="P74" s="914">
        <f t="shared" si="10"/>
        <v>0</v>
      </c>
      <c r="Q74" s="914"/>
      <c r="R74" s="914">
        <f t="shared" si="15"/>
        <v>0</v>
      </c>
      <c r="S74" s="915">
        <f t="shared" si="16"/>
        <v>0</v>
      </c>
      <c r="T74" s="911">
        <f t="shared" si="17"/>
        <v>0</v>
      </c>
    </row>
    <row r="75" spans="1:114" ht="250.5" hidden="1" customHeight="1">
      <c r="A75" s="905"/>
      <c r="B75" s="906" t="s">
        <v>1074</v>
      </c>
      <c r="C75" s="921">
        <f>ROUND(DATA!K827,2)</f>
        <v>9979.9599999999991</v>
      </c>
      <c r="D75" s="908" t="s">
        <v>1192</v>
      </c>
      <c r="E75" s="919"/>
      <c r="F75" s="1053">
        <f t="shared" si="11"/>
        <v>0</v>
      </c>
      <c r="G75" s="919"/>
      <c r="H75" s="914">
        <f t="shared" si="12"/>
        <v>0</v>
      </c>
      <c r="I75" s="919"/>
      <c r="J75" s="914">
        <f t="shared" si="13"/>
        <v>0</v>
      </c>
      <c r="K75" s="919"/>
      <c r="L75" s="914">
        <f t="shared" si="14"/>
        <v>0</v>
      </c>
      <c r="M75" s="919"/>
      <c r="N75" s="914">
        <f t="shared" si="9"/>
        <v>0</v>
      </c>
      <c r="O75" s="914"/>
      <c r="P75" s="914">
        <f t="shared" si="10"/>
        <v>0</v>
      </c>
      <c r="Q75" s="914"/>
      <c r="R75" s="914">
        <f t="shared" si="15"/>
        <v>0</v>
      </c>
      <c r="S75" s="915">
        <f t="shared" si="16"/>
        <v>0</v>
      </c>
      <c r="T75" s="911">
        <f t="shared" si="17"/>
        <v>0</v>
      </c>
    </row>
    <row r="76" spans="1:114" ht="250.5" hidden="1" customHeight="1">
      <c r="A76" s="905"/>
      <c r="B76" s="906" t="s">
        <v>3761</v>
      </c>
      <c r="C76" s="921">
        <f>ROUND(DATA!K828,2)</f>
        <v>10216.06</v>
      </c>
      <c r="D76" s="908" t="s">
        <v>1192</v>
      </c>
      <c r="E76" s="919"/>
      <c r="F76" s="1053">
        <f t="shared" si="11"/>
        <v>0</v>
      </c>
      <c r="G76" s="919"/>
      <c r="H76" s="914">
        <f t="shared" si="12"/>
        <v>0</v>
      </c>
      <c r="I76" s="919"/>
      <c r="J76" s="914">
        <f t="shared" si="13"/>
        <v>0</v>
      </c>
      <c r="K76" s="919"/>
      <c r="L76" s="914">
        <f t="shared" si="14"/>
        <v>0</v>
      </c>
      <c r="M76" s="919"/>
      <c r="N76" s="914">
        <f t="shared" si="9"/>
        <v>0</v>
      </c>
      <c r="O76" s="914"/>
      <c r="P76" s="914">
        <f t="shared" si="10"/>
        <v>0</v>
      </c>
      <c r="Q76" s="914"/>
      <c r="R76" s="914">
        <f t="shared" si="15"/>
        <v>0</v>
      </c>
      <c r="S76" s="915">
        <f t="shared" si="16"/>
        <v>0</v>
      </c>
      <c r="T76" s="911">
        <f t="shared" si="17"/>
        <v>0</v>
      </c>
    </row>
    <row r="77" spans="1:114" ht="250.5" hidden="1" customHeight="1">
      <c r="A77" s="905"/>
      <c r="B77" s="906" t="s">
        <v>3762</v>
      </c>
      <c r="C77" s="921">
        <f>ROUND(DATA!K829,2)</f>
        <v>10452.16</v>
      </c>
      <c r="D77" s="908" t="s">
        <v>1192</v>
      </c>
      <c r="E77" s="919"/>
      <c r="F77" s="1053">
        <f t="shared" si="11"/>
        <v>0</v>
      </c>
      <c r="G77" s="919"/>
      <c r="H77" s="914">
        <f t="shared" si="12"/>
        <v>0</v>
      </c>
      <c r="I77" s="919"/>
      <c r="J77" s="914">
        <f t="shared" si="13"/>
        <v>0</v>
      </c>
      <c r="K77" s="919"/>
      <c r="L77" s="914">
        <f t="shared" si="14"/>
        <v>0</v>
      </c>
      <c r="M77" s="919"/>
      <c r="N77" s="914">
        <f t="shared" si="9"/>
        <v>0</v>
      </c>
      <c r="O77" s="914"/>
      <c r="P77" s="914">
        <f t="shared" si="10"/>
        <v>0</v>
      </c>
      <c r="Q77" s="914"/>
      <c r="R77" s="914">
        <f t="shared" si="15"/>
        <v>0</v>
      </c>
      <c r="S77" s="915">
        <f t="shared" si="16"/>
        <v>0</v>
      </c>
      <c r="T77" s="911">
        <f t="shared" si="17"/>
        <v>0</v>
      </c>
    </row>
    <row r="78" spans="1:114" ht="250.5" hidden="1" customHeight="1">
      <c r="A78" s="905"/>
      <c r="B78" s="906" t="s">
        <v>3763</v>
      </c>
      <c r="C78" s="921">
        <f>ROUND(DATA!K830,2)</f>
        <v>10688.26</v>
      </c>
      <c r="D78" s="908" t="s">
        <v>1192</v>
      </c>
      <c r="E78" s="919"/>
      <c r="F78" s="1053">
        <f t="shared" si="11"/>
        <v>0</v>
      </c>
      <c r="G78" s="919"/>
      <c r="H78" s="914">
        <f t="shared" si="12"/>
        <v>0</v>
      </c>
      <c r="I78" s="919"/>
      <c r="J78" s="914">
        <f t="shared" si="13"/>
        <v>0</v>
      </c>
      <c r="K78" s="919"/>
      <c r="L78" s="914">
        <f t="shared" si="14"/>
        <v>0</v>
      </c>
      <c r="M78" s="919"/>
      <c r="N78" s="914">
        <f t="shared" si="9"/>
        <v>0</v>
      </c>
      <c r="O78" s="914"/>
      <c r="P78" s="914">
        <f t="shared" si="10"/>
        <v>0</v>
      </c>
      <c r="Q78" s="914"/>
      <c r="R78" s="914">
        <f t="shared" si="15"/>
        <v>0</v>
      </c>
      <c r="S78" s="915">
        <f t="shared" si="16"/>
        <v>0</v>
      </c>
      <c r="T78" s="911">
        <f t="shared" si="17"/>
        <v>0</v>
      </c>
    </row>
    <row r="79" spans="1:114" ht="250.5" hidden="1" customHeight="1">
      <c r="A79" s="905"/>
      <c r="B79" s="906" t="s">
        <v>3764</v>
      </c>
      <c r="C79" s="921">
        <f>ROUND(DATA!K831,2)</f>
        <v>10924.36</v>
      </c>
      <c r="D79" s="908" t="s">
        <v>1192</v>
      </c>
      <c r="E79" s="919"/>
      <c r="F79" s="1053">
        <f t="shared" si="11"/>
        <v>0</v>
      </c>
      <c r="G79" s="919"/>
      <c r="H79" s="914">
        <f t="shared" si="12"/>
        <v>0</v>
      </c>
      <c r="I79" s="919"/>
      <c r="J79" s="914">
        <f t="shared" si="13"/>
        <v>0</v>
      </c>
      <c r="K79" s="919"/>
      <c r="L79" s="914">
        <f t="shared" si="14"/>
        <v>0</v>
      </c>
      <c r="M79" s="919"/>
      <c r="N79" s="914">
        <f t="shared" si="9"/>
        <v>0</v>
      </c>
      <c r="O79" s="914"/>
      <c r="P79" s="914">
        <f t="shared" si="10"/>
        <v>0</v>
      </c>
      <c r="Q79" s="914"/>
      <c r="R79" s="914">
        <f t="shared" si="15"/>
        <v>0</v>
      </c>
      <c r="S79" s="915">
        <f t="shared" si="16"/>
        <v>0</v>
      </c>
      <c r="T79" s="911">
        <f t="shared" si="17"/>
        <v>0</v>
      </c>
    </row>
    <row r="80" spans="1:114" ht="250.5" hidden="1" customHeight="1">
      <c r="A80" s="905"/>
      <c r="B80" s="906" t="s">
        <v>3765</v>
      </c>
      <c r="C80" s="921">
        <f>ROUND(DATA!K832,2)</f>
        <v>11160.46</v>
      </c>
      <c r="D80" s="908" t="s">
        <v>1192</v>
      </c>
      <c r="E80" s="919"/>
      <c r="F80" s="1053">
        <f t="shared" si="11"/>
        <v>0</v>
      </c>
      <c r="G80" s="919"/>
      <c r="H80" s="914">
        <f t="shared" si="12"/>
        <v>0</v>
      </c>
      <c r="I80" s="919"/>
      <c r="J80" s="914">
        <f t="shared" si="13"/>
        <v>0</v>
      </c>
      <c r="K80" s="919"/>
      <c r="L80" s="914">
        <f t="shared" si="14"/>
        <v>0</v>
      </c>
      <c r="M80" s="919"/>
      <c r="N80" s="914">
        <f t="shared" si="9"/>
        <v>0</v>
      </c>
      <c r="O80" s="914"/>
      <c r="P80" s="914">
        <f t="shared" si="10"/>
        <v>0</v>
      </c>
      <c r="Q80" s="914"/>
      <c r="R80" s="914">
        <f t="shared" si="15"/>
        <v>0</v>
      </c>
      <c r="S80" s="915">
        <f t="shared" si="16"/>
        <v>0</v>
      </c>
      <c r="T80" s="911">
        <f t="shared" si="17"/>
        <v>0</v>
      </c>
    </row>
    <row r="81" spans="1:20" ht="250.5" hidden="1" customHeight="1">
      <c r="A81" s="905"/>
      <c r="B81" s="906" t="s">
        <v>3766</v>
      </c>
      <c r="C81" s="921">
        <f>ROUND(DATA!K833,2)</f>
        <v>11396.56</v>
      </c>
      <c r="D81" s="908" t="s">
        <v>1192</v>
      </c>
      <c r="E81" s="919"/>
      <c r="F81" s="1053">
        <f t="shared" si="11"/>
        <v>0</v>
      </c>
      <c r="G81" s="919"/>
      <c r="H81" s="914">
        <f t="shared" si="12"/>
        <v>0</v>
      </c>
      <c r="I81" s="919"/>
      <c r="J81" s="914">
        <f t="shared" si="13"/>
        <v>0</v>
      </c>
      <c r="K81" s="919"/>
      <c r="L81" s="914">
        <f t="shared" si="14"/>
        <v>0</v>
      </c>
      <c r="M81" s="919"/>
      <c r="N81" s="914">
        <f t="shared" si="9"/>
        <v>0</v>
      </c>
      <c r="O81" s="914"/>
      <c r="P81" s="914">
        <f t="shared" si="10"/>
        <v>0</v>
      </c>
      <c r="Q81" s="914"/>
      <c r="R81" s="914">
        <f t="shared" si="15"/>
        <v>0</v>
      </c>
      <c r="S81" s="915">
        <f t="shared" si="16"/>
        <v>0</v>
      </c>
      <c r="T81" s="911">
        <f t="shared" si="17"/>
        <v>0</v>
      </c>
    </row>
    <row r="82" spans="1:20" ht="250.5" hidden="1" customHeight="1">
      <c r="A82" s="905"/>
      <c r="B82" s="906" t="s">
        <v>3767</v>
      </c>
      <c r="C82" s="921">
        <f>ROUND(DATA!K834,2)</f>
        <v>11632.66</v>
      </c>
      <c r="D82" s="908" t="s">
        <v>1192</v>
      </c>
      <c r="E82" s="919"/>
      <c r="F82" s="1053">
        <f t="shared" si="11"/>
        <v>0</v>
      </c>
      <c r="G82" s="919"/>
      <c r="H82" s="914">
        <f t="shared" si="12"/>
        <v>0</v>
      </c>
      <c r="I82" s="919"/>
      <c r="J82" s="914">
        <f t="shared" si="13"/>
        <v>0</v>
      </c>
      <c r="K82" s="919"/>
      <c r="L82" s="914">
        <f t="shared" si="14"/>
        <v>0</v>
      </c>
      <c r="M82" s="919"/>
      <c r="N82" s="914">
        <f t="shared" si="9"/>
        <v>0</v>
      </c>
      <c r="O82" s="914"/>
      <c r="P82" s="914">
        <f t="shared" si="10"/>
        <v>0</v>
      </c>
      <c r="Q82" s="914"/>
      <c r="R82" s="914">
        <f t="shared" si="15"/>
        <v>0</v>
      </c>
      <c r="S82" s="915">
        <f t="shared" si="16"/>
        <v>0</v>
      </c>
      <c r="T82" s="911">
        <f t="shared" si="17"/>
        <v>0</v>
      </c>
    </row>
    <row r="83" spans="1:20" ht="250.5" hidden="1" customHeight="1">
      <c r="A83" s="905"/>
      <c r="B83" s="906" t="s">
        <v>3768</v>
      </c>
      <c r="C83" s="921">
        <f>ROUND(DATA!K835,2)</f>
        <v>11868.76</v>
      </c>
      <c r="D83" s="908" t="s">
        <v>1192</v>
      </c>
      <c r="E83" s="919"/>
      <c r="F83" s="1053">
        <f t="shared" si="11"/>
        <v>0</v>
      </c>
      <c r="G83" s="919"/>
      <c r="H83" s="914">
        <f t="shared" si="12"/>
        <v>0</v>
      </c>
      <c r="I83" s="919"/>
      <c r="J83" s="914">
        <f t="shared" si="13"/>
        <v>0</v>
      </c>
      <c r="K83" s="919"/>
      <c r="L83" s="914">
        <f t="shared" si="14"/>
        <v>0</v>
      </c>
      <c r="M83" s="919"/>
      <c r="N83" s="914">
        <f t="shared" si="9"/>
        <v>0</v>
      </c>
      <c r="O83" s="914"/>
      <c r="P83" s="914">
        <f t="shared" si="10"/>
        <v>0</v>
      </c>
      <c r="Q83" s="914"/>
      <c r="R83" s="914">
        <f t="shared" si="15"/>
        <v>0</v>
      </c>
      <c r="S83" s="915">
        <f t="shared" si="16"/>
        <v>0</v>
      </c>
      <c r="T83" s="911">
        <f t="shared" si="17"/>
        <v>0</v>
      </c>
    </row>
    <row r="84" spans="1:20" ht="250.5" hidden="1" customHeight="1">
      <c r="A84" s="905">
        <v>9.1</v>
      </c>
      <c r="B84" s="906" t="s">
        <v>2227</v>
      </c>
      <c r="C84" s="921"/>
      <c r="D84" s="908"/>
      <c r="E84" s="919"/>
      <c r="F84" s="1053">
        <f t="shared" si="11"/>
        <v>0</v>
      </c>
      <c r="G84" s="919"/>
      <c r="H84" s="914">
        <f t="shared" si="12"/>
        <v>0</v>
      </c>
      <c r="I84" s="919"/>
      <c r="J84" s="914">
        <f t="shared" si="13"/>
        <v>0</v>
      </c>
      <c r="K84" s="919"/>
      <c r="L84" s="914">
        <f t="shared" si="14"/>
        <v>0</v>
      </c>
      <c r="M84" s="919"/>
      <c r="N84" s="914">
        <f t="shared" si="9"/>
        <v>0</v>
      </c>
      <c r="O84" s="914"/>
      <c r="P84" s="914">
        <f t="shared" si="10"/>
        <v>0</v>
      </c>
      <c r="Q84" s="914"/>
      <c r="R84" s="914">
        <f t="shared" si="15"/>
        <v>0</v>
      </c>
      <c r="S84" s="915">
        <f t="shared" si="16"/>
        <v>0</v>
      </c>
      <c r="T84" s="911">
        <f t="shared" si="17"/>
        <v>0</v>
      </c>
    </row>
    <row r="85" spans="1:20" ht="250.5" hidden="1" customHeight="1">
      <c r="A85" s="905"/>
      <c r="B85" s="906" t="s">
        <v>201</v>
      </c>
      <c r="C85" s="921">
        <f>DATA!X347</f>
        <v>7064.89</v>
      </c>
      <c r="D85" s="908" t="s">
        <v>1192</v>
      </c>
      <c r="E85" s="919"/>
      <c r="F85" s="1053">
        <f t="shared" si="11"/>
        <v>0</v>
      </c>
      <c r="G85" s="919"/>
      <c r="H85" s="914">
        <f t="shared" si="12"/>
        <v>0</v>
      </c>
      <c r="I85" s="919"/>
      <c r="J85" s="914">
        <f t="shared" si="13"/>
        <v>0</v>
      </c>
      <c r="K85" s="919"/>
      <c r="L85" s="914">
        <f t="shared" si="14"/>
        <v>0</v>
      </c>
      <c r="M85" s="919"/>
      <c r="N85" s="914">
        <f t="shared" si="9"/>
        <v>0</v>
      </c>
      <c r="O85" s="914"/>
      <c r="P85" s="914">
        <f t="shared" si="10"/>
        <v>0</v>
      </c>
      <c r="Q85" s="914"/>
      <c r="R85" s="914">
        <f t="shared" si="15"/>
        <v>0</v>
      </c>
      <c r="S85" s="915">
        <f t="shared" si="16"/>
        <v>0</v>
      </c>
      <c r="T85" s="911">
        <f t="shared" si="17"/>
        <v>0</v>
      </c>
    </row>
    <row r="86" spans="1:20" ht="250.5" hidden="1" customHeight="1">
      <c r="A86" s="905"/>
      <c r="B86" s="906" t="s">
        <v>202</v>
      </c>
      <c r="C86" s="921">
        <f>DATA!X348</f>
        <v>7224.09</v>
      </c>
      <c r="D86" s="908" t="s">
        <v>1192</v>
      </c>
      <c r="E86" s="919"/>
      <c r="F86" s="1053">
        <f t="shared" si="11"/>
        <v>0</v>
      </c>
      <c r="G86" s="919"/>
      <c r="H86" s="914">
        <f t="shared" si="12"/>
        <v>0</v>
      </c>
      <c r="I86" s="919"/>
      <c r="J86" s="914">
        <f t="shared" si="13"/>
        <v>0</v>
      </c>
      <c r="K86" s="919"/>
      <c r="L86" s="914">
        <f t="shared" si="14"/>
        <v>0</v>
      </c>
      <c r="M86" s="919"/>
      <c r="N86" s="914">
        <f t="shared" si="9"/>
        <v>0</v>
      </c>
      <c r="O86" s="914"/>
      <c r="P86" s="914">
        <f t="shared" si="10"/>
        <v>0</v>
      </c>
      <c r="Q86" s="914"/>
      <c r="R86" s="914">
        <f t="shared" si="15"/>
        <v>0</v>
      </c>
      <c r="S86" s="915">
        <f t="shared" si="16"/>
        <v>0</v>
      </c>
      <c r="T86" s="911">
        <f t="shared" si="17"/>
        <v>0</v>
      </c>
    </row>
    <row r="87" spans="1:20" ht="250.5" hidden="1" customHeight="1">
      <c r="A87" s="905"/>
      <c r="B87" s="906" t="s">
        <v>203</v>
      </c>
      <c r="C87" s="921">
        <f>DATA!X349</f>
        <v>7383.29</v>
      </c>
      <c r="D87" s="908" t="s">
        <v>1192</v>
      </c>
      <c r="E87" s="919"/>
      <c r="F87" s="1053">
        <f t="shared" si="11"/>
        <v>0</v>
      </c>
      <c r="G87" s="919"/>
      <c r="H87" s="914">
        <f t="shared" si="12"/>
        <v>0</v>
      </c>
      <c r="I87" s="919"/>
      <c r="J87" s="914">
        <f t="shared" si="13"/>
        <v>0</v>
      </c>
      <c r="K87" s="919"/>
      <c r="L87" s="914">
        <f t="shared" si="14"/>
        <v>0</v>
      </c>
      <c r="M87" s="919"/>
      <c r="N87" s="914">
        <f t="shared" si="9"/>
        <v>0</v>
      </c>
      <c r="O87" s="914"/>
      <c r="P87" s="914">
        <f t="shared" si="10"/>
        <v>0</v>
      </c>
      <c r="Q87" s="914"/>
      <c r="R87" s="914">
        <f t="shared" si="15"/>
        <v>0</v>
      </c>
      <c r="S87" s="915">
        <f t="shared" si="16"/>
        <v>0</v>
      </c>
      <c r="T87" s="911">
        <f t="shared" si="17"/>
        <v>0</v>
      </c>
    </row>
    <row r="88" spans="1:20" ht="250.5" hidden="1" customHeight="1">
      <c r="A88" s="905"/>
      <c r="B88" s="906" t="s">
        <v>204</v>
      </c>
      <c r="C88" s="921">
        <f>DATA!X350</f>
        <v>7542.49</v>
      </c>
      <c r="D88" s="908" t="s">
        <v>1192</v>
      </c>
      <c r="E88" s="919"/>
      <c r="F88" s="1053">
        <f t="shared" si="11"/>
        <v>0</v>
      </c>
      <c r="G88" s="919"/>
      <c r="H88" s="914">
        <f t="shared" si="12"/>
        <v>0</v>
      </c>
      <c r="I88" s="919"/>
      <c r="J88" s="914">
        <f t="shared" si="13"/>
        <v>0</v>
      </c>
      <c r="K88" s="919"/>
      <c r="L88" s="914">
        <f t="shared" si="14"/>
        <v>0</v>
      </c>
      <c r="M88" s="919"/>
      <c r="N88" s="914">
        <f t="shared" si="9"/>
        <v>0</v>
      </c>
      <c r="O88" s="914"/>
      <c r="P88" s="914">
        <f t="shared" si="10"/>
        <v>0</v>
      </c>
      <c r="Q88" s="914"/>
      <c r="R88" s="914">
        <f t="shared" si="15"/>
        <v>0</v>
      </c>
      <c r="S88" s="915">
        <f t="shared" si="16"/>
        <v>0</v>
      </c>
      <c r="T88" s="911">
        <f t="shared" si="17"/>
        <v>0</v>
      </c>
    </row>
    <row r="89" spans="1:20" ht="250.5" hidden="1" customHeight="1">
      <c r="A89" s="905"/>
      <c r="B89" s="906" t="s">
        <v>603</v>
      </c>
      <c r="C89" s="921">
        <f>DATA!X351</f>
        <v>7701.69</v>
      </c>
      <c r="D89" s="908" t="s">
        <v>1192</v>
      </c>
      <c r="E89" s="919"/>
      <c r="F89" s="1053">
        <f t="shared" si="11"/>
        <v>0</v>
      </c>
      <c r="G89" s="919"/>
      <c r="H89" s="914">
        <f t="shared" si="12"/>
        <v>0</v>
      </c>
      <c r="I89" s="919"/>
      <c r="J89" s="914">
        <f t="shared" si="13"/>
        <v>0</v>
      </c>
      <c r="K89" s="919"/>
      <c r="L89" s="914">
        <f t="shared" si="14"/>
        <v>0</v>
      </c>
      <c r="M89" s="919"/>
      <c r="N89" s="914">
        <f t="shared" si="9"/>
        <v>0</v>
      </c>
      <c r="O89" s="914"/>
      <c r="P89" s="914">
        <f t="shared" si="10"/>
        <v>0</v>
      </c>
      <c r="Q89" s="914"/>
      <c r="R89" s="914">
        <f t="shared" si="15"/>
        <v>0</v>
      </c>
      <c r="S89" s="915">
        <f t="shared" si="16"/>
        <v>0</v>
      </c>
      <c r="T89" s="911">
        <f t="shared" si="17"/>
        <v>0</v>
      </c>
    </row>
    <row r="90" spans="1:20" ht="250.5" hidden="1" customHeight="1">
      <c r="A90" s="905">
        <v>9.1999999999999993</v>
      </c>
      <c r="B90" s="924" t="s">
        <v>6606</v>
      </c>
      <c r="C90" s="921"/>
      <c r="D90" s="908"/>
      <c r="E90" s="911"/>
      <c r="F90" s="1053">
        <f t="shared" si="11"/>
        <v>0</v>
      </c>
      <c r="G90" s="914"/>
      <c r="H90" s="914">
        <f t="shared" si="12"/>
        <v>0</v>
      </c>
      <c r="I90" s="914"/>
      <c r="J90" s="914">
        <f t="shared" si="13"/>
        <v>0</v>
      </c>
      <c r="K90" s="914"/>
      <c r="L90" s="914">
        <f t="shared" si="14"/>
        <v>0</v>
      </c>
      <c r="M90" s="914"/>
      <c r="N90" s="914">
        <f t="shared" si="9"/>
        <v>0</v>
      </c>
      <c r="O90" s="914"/>
      <c r="P90" s="914">
        <f t="shared" si="10"/>
        <v>0</v>
      </c>
      <c r="Q90" s="914"/>
      <c r="R90" s="914">
        <f t="shared" si="15"/>
        <v>0</v>
      </c>
      <c r="S90" s="915">
        <f t="shared" si="16"/>
        <v>0</v>
      </c>
      <c r="T90" s="911">
        <f t="shared" si="17"/>
        <v>0</v>
      </c>
    </row>
    <row r="91" spans="1:20" ht="250.5" hidden="1" customHeight="1">
      <c r="A91" s="905"/>
      <c r="B91" s="906" t="s">
        <v>3779</v>
      </c>
      <c r="C91" s="921">
        <f>ROUND(DATA!AG347,2)</f>
        <v>6728.58</v>
      </c>
      <c r="D91" s="908" t="s">
        <v>1192</v>
      </c>
      <c r="E91" s="914"/>
      <c r="F91" s="1053">
        <f t="shared" si="11"/>
        <v>0</v>
      </c>
      <c r="G91" s="914"/>
      <c r="H91" s="914">
        <f t="shared" si="12"/>
        <v>0</v>
      </c>
      <c r="I91" s="914"/>
      <c r="J91" s="914">
        <f t="shared" si="13"/>
        <v>0</v>
      </c>
      <c r="K91" s="914"/>
      <c r="L91" s="914">
        <f t="shared" si="14"/>
        <v>0</v>
      </c>
      <c r="M91" s="914"/>
      <c r="N91" s="914">
        <f t="shared" si="9"/>
        <v>0</v>
      </c>
      <c r="O91" s="914"/>
      <c r="P91" s="914">
        <f t="shared" si="10"/>
        <v>0</v>
      </c>
      <c r="Q91" s="914"/>
      <c r="R91" s="914">
        <f t="shared" si="15"/>
        <v>0</v>
      </c>
      <c r="S91" s="915">
        <f t="shared" si="16"/>
        <v>0</v>
      </c>
      <c r="T91" s="911">
        <f t="shared" si="17"/>
        <v>0</v>
      </c>
    </row>
    <row r="92" spans="1:20" ht="250.5" hidden="1" customHeight="1">
      <c r="A92" s="905"/>
      <c r="B92" s="906" t="s">
        <v>202</v>
      </c>
      <c r="C92" s="921">
        <f>ROUND(DATA!AG348,2)</f>
        <v>6887.78</v>
      </c>
      <c r="D92" s="908" t="s">
        <v>1192</v>
      </c>
      <c r="E92" s="914"/>
      <c r="F92" s="1053">
        <f t="shared" si="11"/>
        <v>0</v>
      </c>
      <c r="G92" s="914"/>
      <c r="H92" s="914">
        <f t="shared" si="12"/>
        <v>0</v>
      </c>
      <c r="I92" s="914"/>
      <c r="J92" s="914">
        <f t="shared" si="13"/>
        <v>0</v>
      </c>
      <c r="K92" s="914"/>
      <c r="L92" s="914">
        <f t="shared" si="14"/>
        <v>0</v>
      </c>
      <c r="M92" s="914"/>
      <c r="N92" s="914">
        <f t="shared" si="9"/>
        <v>0</v>
      </c>
      <c r="O92" s="914"/>
      <c r="P92" s="914">
        <f t="shared" si="10"/>
        <v>0</v>
      </c>
      <c r="Q92" s="914"/>
      <c r="R92" s="914">
        <f t="shared" si="15"/>
        <v>0</v>
      </c>
      <c r="S92" s="915">
        <f t="shared" si="16"/>
        <v>0</v>
      </c>
      <c r="T92" s="911">
        <f t="shared" si="17"/>
        <v>0</v>
      </c>
    </row>
    <row r="93" spans="1:20" ht="250.5" hidden="1" customHeight="1">
      <c r="A93" s="905"/>
      <c r="B93" s="906" t="s">
        <v>203</v>
      </c>
      <c r="C93" s="921">
        <f>ROUND(DATA!AG349,2)</f>
        <v>7046.98</v>
      </c>
      <c r="D93" s="908" t="s">
        <v>1192</v>
      </c>
      <c r="E93" s="914"/>
      <c r="F93" s="1053">
        <f t="shared" si="11"/>
        <v>0</v>
      </c>
      <c r="G93" s="914"/>
      <c r="H93" s="914">
        <f t="shared" si="12"/>
        <v>0</v>
      </c>
      <c r="I93" s="914"/>
      <c r="J93" s="914">
        <f t="shared" si="13"/>
        <v>0</v>
      </c>
      <c r="K93" s="914"/>
      <c r="L93" s="914">
        <f t="shared" si="14"/>
        <v>0</v>
      </c>
      <c r="M93" s="914"/>
      <c r="N93" s="914">
        <f t="shared" si="9"/>
        <v>0</v>
      </c>
      <c r="O93" s="914"/>
      <c r="P93" s="914">
        <f t="shared" si="10"/>
        <v>0</v>
      </c>
      <c r="Q93" s="914"/>
      <c r="R93" s="914">
        <f t="shared" si="15"/>
        <v>0</v>
      </c>
      <c r="S93" s="915">
        <f t="shared" si="16"/>
        <v>0</v>
      </c>
      <c r="T93" s="911">
        <f t="shared" si="17"/>
        <v>0</v>
      </c>
    </row>
    <row r="94" spans="1:20" ht="250.5" hidden="1" customHeight="1">
      <c r="A94" s="905"/>
      <c r="B94" s="906" t="s">
        <v>204</v>
      </c>
      <c r="C94" s="921">
        <f>ROUND(DATA!AG350,2)</f>
        <v>7206.18</v>
      </c>
      <c r="D94" s="908" t="s">
        <v>1192</v>
      </c>
      <c r="E94" s="919"/>
      <c r="F94" s="1053">
        <f t="shared" si="11"/>
        <v>0</v>
      </c>
      <c r="G94" s="919"/>
      <c r="H94" s="914">
        <f t="shared" si="12"/>
        <v>0</v>
      </c>
      <c r="I94" s="919"/>
      <c r="J94" s="914">
        <f t="shared" si="13"/>
        <v>0</v>
      </c>
      <c r="K94" s="919"/>
      <c r="L94" s="914">
        <f t="shared" si="14"/>
        <v>0</v>
      </c>
      <c r="M94" s="919"/>
      <c r="N94" s="914">
        <f t="shared" si="9"/>
        <v>0</v>
      </c>
      <c r="O94" s="914"/>
      <c r="P94" s="914">
        <f t="shared" si="10"/>
        <v>0</v>
      </c>
      <c r="Q94" s="914"/>
      <c r="R94" s="914">
        <f t="shared" si="15"/>
        <v>0</v>
      </c>
      <c r="S94" s="915">
        <f t="shared" si="16"/>
        <v>0</v>
      </c>
      <c r="T94" s="911">
        <f t="shared" si="17"/>
        <v>0</v>
      </c>
    </row>
    <row r="95" spans="1:20" ht="250.5" hidden="1" customHeight="1">
      <c r="A95" s="905"/>
      <c r="B95" s="906" t="s">
        <v>603</v>
      </c>
      <c r="C95" s="921">
        <f>ROUND(DATA!AG351,2)</f>
        <v>7365.38</v>
      </c>
      <c r="D95" s="908" t="s">
        <v>1192</v>
      </c>
      <c r="E95" s="919"/>
      <c r="F95" s="1053">
        <f t="shared" si="11"/>
        <v>0</v>
      </c>
      <c r="G95" s="919"/>
      <c r="H95" s="914">
        <f t="shared" si="12"/>
        <v>0</v>
      </c>
      <c r="I95" s="919"/>
      <c r="J95" s="914">
        <f t="shared" si="13"/>
        <v>0</v>
      </c>
      <c r="K95" s="919"/>
      <c r="L95" s="914">
        <f t="shared" si="14"/>
        <v>0</v>
      </c>
      <c r="M95" s="919"/>
      <c r="N95" s="914">
        <f t="shared" si="9"/>
        <v>0</v>
      </c>
      <c r="O95" s="914"/>
      <c r="P95" s="914">
        <f t="shared" si="10"/>
        <v>0</v>
      </c>
      <c r="Q95" s="914"/>
      <c r="R95" s="914">
        <f t="shared" si="15"/>
        <v>0</v>
      </c>
      <c r="S95" s="915">
        <f t="shared" si="16"/>
        <v>0</v>
      </c>
      <c r="T95" s="911">
        <f t="shared" si="17"/>
        <v>0</v>
      </c>
    </row>
    <row r="96" spans="1:20" ht="250.5" hidden="1" customHeight="1">
      <c r="A96" s="905"/>
      <c r="B96" s="906" t="s">
        <v>3761</v>
      </c>
      <c r="C96" s="921">
        <f>ROUND(DATA!AG352,2)</f>
        <v>7524.58</v>
      </c>
      <c r="D96" s="908" t="s">
        <v>1192</v>
      </c>
      <c r="E96" s="919"/>
      <c r="F96" s="1053">
        <f t="shared" si="11"/>
        <v>0</v>
      </c>
      <c r="G96" s="919"/>
      <c r="H96" s="914">
        <f t="shared" si="12"/>
        <v>0</v>
      </c>
      <c r="I96" s="919"/>
      <c r="J96" s="914">
        <f t="shared" si="13"/>
        <v>0</v>
      </c>
      <c r="K96" s="919"/>
      <c r="L96" s="914">
        <f t="shared" si="14"/>
        <v>0</v>
      </c>
      <c r="M96" s="919"/>
      <c r="N96" s="914">
        <f t="shared" si="9"/>
        <v>0</v>
      </c>
      <c r="O96" s="914"/>
      <c r="P96" s="914">
        <f t="shared" si="10"/>
        <v>0</v>
      </c>
      <c r="Q96" s="914"/>
      <c r="R96" s="914">
        <f t="shared" si="15"/>
        <v>0</v>
      </c>
      <c r="S96" s="915">
        <f t="shared" si="16"/>
        <v>0</v>
      </c>
      <c r="T96" s="911">
        <f t="shared" si="17"/>
        <v>0</v>
      </c>
    </row>
    <row r="97" spans="1:20" ht="250.5" hidden="1" customHeight="1">
      <c r="A97" s="905"/>
      <c r="B97" s="906" t="s">
        <v>3762</v>
      </c>
      <c r="C97" s="921">
        <f>ROUND(DATA!AG353,2)</f>
        <v>7683.78</v>
      </c>
      <c r="D97" s="908" t="s">
        <v>1192</v>
      </c>
      <c r="E97" s="919"/>
      <c r="F97" s="1053">
        <f t="shared" si="11"/>
        <v>0</v>
      </c>
      <c r="G97" s="919"/>
      <c r="H97" s="914">
        <f t="shared" si="12"/>
        <v>0</v>
      </c>
      <c r="I97" s="919"/>
      <c r="J97" s="914">
        <f t="shared" si="13"/>
        <v>0</v>
      </c>
      <c r="K97" s="919"/>
      <c r="L97" s="914">
        <f t="shared" si="14"/>
        <v>0</v>
      </c>
      <c r="M97" s="919"/>
      <c r="N97" s="914">
        <f t="shared" si="9"/>
        <v>0</v>
      </c>
      <c r="O97" s="914"/>
      <c r="P97" s="914">
        <f t="shared" si="10"/>
        <v>0</v>
      </c>
      <c r="Q97" s="914"/>
      <c r="R97" s="914">
        <f t="shared" si="15"/>
        <v>0</v>
      </c>
      <c r="S97" s="915">
        <f t="shared" si="16"/>
        <v>0</v>
      </c>
      <c r="T97" s="911">
        <f t="shared" si="17"/>
        <v>0</v>
      </c>
    </row>
    <row r="98" spans="1:20" ht="250.5" hidden="1" customHeight="1">
      <c r="A98" s="905"/>
      <c r="B98" s="906" t="s">
        <v>3763</v>
      </c>
      <c r="C98" s="921">
        <f>ROUND(DATA!AG354,2)</f>
        <v>7842.98</v>
      </c>
      <c r="D98" s="908" t="s">
        <v>1192</v>
      </c>
      <c r="E98" s="919"/>
      <c r="F98" s="1053">
        <f t="shared" si="11"/>
        <v>0</v>
      </c>
      <c r="G98" s="919"/>
      <c r="H98" s="914">
        <f t="shared" si="12"/>
        <v>0</v>
      </c>
      <c r="I98" s="919"/>
      <c r="J98" s="914">
        <f t="shared" si="13"/>
        <v>0</v>
      </c>
      <c r="K98" s="919"/>
      <c r="L98" s="914">
        <f t="shared" si="14"/>
        <v>0</v>
      </c>
      <c r="M98" s="919"/>
      <c r="N98" s="914">
        <f t="shared" si="9"/>
        <v>0</v>
      </c>
      <c r="O98" s="914"/>
      <c r="P98" s="914">
        <f t="shared" si="10"/>
        <v>0</v>
      </c>
      <c r="Q98" s="914"/>
      <c r="R98" s="914">
        <f t="shared" si="15"/>
        <v>0</v>
      </c>
      <c r="S98" s="915">
        <f t="shared" si="16"/>
        <v>0</v>
      </c>
      <c r="T98" s="911">
        <f t="shared" si="17"/>
        <v>0</v>
      </c>
    </row>
    <row r="99" spans="1:20" ht="250.5" hidden="1" customHeight="1">
      <c r="A99" s="905"/>
      <c r="B99" s="906" t="s">
        <v>3764</v>
      </c>
      <c r="C99" s="921">
        <f>ROUND(DATA!AG355,2)</f>
        <v>8002.18</v>
      </c>
      <c r="D99" s="908" t="s">
        <v>1192</v>
      </c>
      <c r="E99" s="919"/>
      <c r="F99" s="1053">
        <f t="shared" si="11"/>
        <v>0</v>
      </c>
      <c r="G99" s="919"/>
      <c r="H99" s="914">
        <f t="shared" si="12"/>
        <v>0</v>
      </c>
      <c r="I99" s="919"/>
      <c r="J99" s="914">
        <f t="shared" si="13"/>
        <v>0</v>
      </c>
      <c r="K99" s="919"/>
      <c r="L99" s="914">
        <f t="shared" si="14"/>
        <v>0</v>
      </c>
      <c r="M99" s="919"/>
      <c r="N99" s="914">
        <f t="shared" si="9"/>
        <v>0</v>
      </c>
      <c r="O99" s="914"/>
      <c r="P99" s="914">
        <f t="shared" si="10"/>
        <v>0</v>
      </c>
      <c r="Q99" s="914"/>
      <c r="R99" s="914">
        <f t="shared" si="15"/>
        <v>0</v>
      </c>
      <c r="S99" s="915">
        <f t="shared" si="16"/>
        <v>0</v>
      </c>
      <c r="T99" s="911">
        <f t="shared" si="17"/>
        <v>0</v>
      </c>
    </row>
    <row r="100" spans="1:20" ht="250.5" hidden="1" customHeight="1">
      <c r="A100" s="905"/>
      <c r="B100" s="906" t="s">
        <v>3765</v>
      </c>
      <c r="C100" s="921">
        <f>ROUND(DATA!AG356,2)</f>
        <v>8161.38</v>
      </c>
      <c r="D100" s="908" t="s">
        <v>1192</v>
      </c>
      <c r="E100" s="919"/>
      <c r="F100" s="1053">
        <f t="shared" si="11"/>
        <v>0</v>
      </c>
      <c r="G100" s="919"/>
      <c r="H100" s="914">
        <f t="shared" si="12"/>
        <v>0</v>
      </c>
      <c r="I100" s="919"/>
      <c r="J100" s="914">
        <f t="shared" si="13"/>
        <v>0</v>
      </c>
      <c r="K100" s="919"/>
      <c r="L100" s="914">
        <f t="shared" si="14"/>
        <v>0</v>
      </c>
      <c r="M100" s="919"/>
      <c r="N100" s="914">
        <f t="shared" si="9"/>
        <v>0</v>
      </c>
      <c r="O100" s="914"/>
      <c r="P100" s="914">
        <f t="shared" si="10"/>
        <v>0</v>
      </c>
      <c r="Q100" s="914"/>
      <c r="R100" s="914">
        <f t="shared" si="15"/>
        <v>0</v>
      </c>
      <c r="S100" s="915">
        <f t="shared" si="16"/>
        <v>0</v>
      </c>
      <c r="T100" s="911">
        <f t="shared" si="17"/>
        <v>0</v>
      </c>
    </row>
    <row r="101" spans="1:20" ht="250.5" hidden="1" customHeight="1">
      <c r="A101" s="905"/>
      <c r="B101" s="906" t="s">
        <v>3766</v>
      </c>
      <c r="C101" s="921">
        <f>ROUND(DATA!AG357,2)</f>
        <v>8320.58</v>
      </c>
      <c r="D101" s="908" t="s">
        <v>1192</v>
      </c>
      <c r="E101" s="919"/>
      <c r="F101" s="1053">
        <f t="shared" si="11"/>
        <v>0</v>
      </c>
      <c r="G101" s="919"/>
      <c r="H101" s="914">
        <f t="shared" si="12"/>
        <v>0</v>
      </c>
      <c r="I101" s="919"/>
      <c r="J101" s="914">
        <f t="shared" si="13"/>
        <v>0</v>
      </c>
      <c r="K101" s="919"/>
      <c r="L101" s="914">
        <f t="shared" si="14"/>
        <v>0</v>
      </c>
      <c r="M101" s="919"/>
      <c r="N101" s="914">
        <f t="shared" si="9"/>
        <v>0</v>
      </c>
      <c r="O101" s="914"/>
      <c r="P101" s="914">
        <f t="shared" si="10"/>
        <v>0</v>
      </c>
      <c r="Q101" s="914"/>
      <c r="R101" s="914">
        <f t="shared" si="15"/>
        <v>0</v>
      </c>
      <c r="S101" s="915">
        <f t="shared" si="16"/>
        <v>0</v>
      </c>
      <c r="T101" s="911">
        <f t="shared" si="17"/>
        <v>0</v>
      </c>
    </row>
    <row r="102" spans="1:20" ht="250.5" hidden="1" customHeight="1">
      <c r="A102" s="905"/>
      <c r="B102" s="906" t="s">
        <v>3767</v>
      </c>
      <c r="C102" s="921">
        <f>ROUND(DATA!AG358,2)</f>
        <v>8479.7800000000007</v>
      </c>
      <c r="D102" s="908" t="s">
        <v>1192</v>
      </c>
      <c r="E102" s="919"/>
      <c r="F102" s="1053">
        <f t="shared" si="11"/>
        <v>0</v>
      </c>
      <c r="G102" s="919"/>
      <c r="H102" s="914">
        <f t="shared" si="12"/>
        <v>0</v>
      </c>
      <c r="I102" s="919"/>
      <c r="J102" s="914">
        <f t="shared" si="13"/>
        <v>0</v>
      </c>
      <c r="K102" s="919"/>
      <c r="L102" s="914">
        <f t="shared" si="14"/>
        <v>0</v>
      </c>
      <c r="M102" s="919"/>
      <c r="N102" s="914">
        <f t="shared" si="9"/>
        <v>0</v>
      </c>
      <c r="O102" s="914"/>
      <c r="P102" s="914">
        <f t="shared" si="10"/>
        <v>0</v>
      </c>
      <c r="Q102" s="914"/>
      <c r="R102" s="914">
        <f t="shared" si="15"/>
        <v>0</v>
      </c>
      <c r="S102" s="915">
        <f t="shared" si="16"/>
        <v>0</v>
      </c>
      <c r="T102" s="911">
        <f t="shared" si="17"/>
        <v>0</v>
      </c>
    </row>
    <row r="103" spans="1:20" ht="250.5" hidden="1" customHeight="1">
      <c r="A103" s="905"/>
      <c r="B103" s="906" t="s">
        <v>3768</v>
      </c>
      <c r="C103" s="921">
        <f>ROUND(DATA!AG359,2)</f>
        <v>8638.98</v>
      </c>
      <c r="D103" s="908" t="s">
        <v>1192</v>
      </c>
      <c r="E103" s="919"/>
      <c r="F103" s="1053">
        <f t="shared" si="11"/>
        <v>0</v>
      </c>
      <c r="G103" s="919"/>
      <c r="H103" s="914">
        <f t="shared" si="12"/>
        <v>0</v>
      </c>
      <c r="I103" s="919"/>
      <c r="J103" s="914">
        <f t="shared" si="13"/>
        <v>0</v>
      </c>
      <c r="K103" s="919"/>
      <c r="L103" s="914">
        <f t="shared" si="14"/>
        <v>0</v>
      </c>
      <c r="M103" s="919"/>
      <c r="N103" s="914">
        <f t="shared" si="9"/>
        <v>0</v>
      </c>
      <c r="O103" s="914"/>
      <c r="P103" s="914">
        <f t="shared" si="10"/>
        <v>0</v>
      </c>
      <c r="Q103" s="914"/>
      <c r="R103" s="914">
        <f t="shared" si="15"/>
        <v>0</v>
      </c>
      <c r="S103" s="915">
        <f t="shared" si="16"/>
        <v>0</v>
      </c>
      <c r="T103" s="911">
        <f t="shared" si="17"/>
        <v>0</v>
      </c>
    </row>
    <row r="104" spans="1:20" ht="250.5" hidden="1" customHeight="1">
      <c r="A104" s="905"/>
      <c r="B104" s="906" t="s">
        <v>3773</v>
      </c>
      <c r="C104" s="921">
        <f>ROUND(DATA!AG360,2)</f>
        <v>8798.18</v>
      </c>
      <c r="D104" s="908" t="s">
        <v>1192</v>
      </c>
      <c r="E104" s="919"/>
      <c r="F104" s="1053">
        <f t="shared" si="11"/>
        <v>0</v>
      </c>
      <c r="G104" s="919"/>
      <c r="H104" s="914">
        <f t="shared" si="12"/>
        <v>0</v>
      </c>
      <c r="I104" s="919"/>
      <c r="J104" s="914">
        <f t="shared" si="13"/>
        <v>0</v>
      </c>
      <c r="K104" s="919"/>
      <c r="L104" s="914">
        <f t="shared" si="14"/>
        <v>0</v>
      </c>
      <c r="M104" s="919"/>
      <c r="N104" s="914">
        <f t="shared" si="9"/>
        <v>0</v>
      </c>
      <c r="O104" s="914"/>
      <c r="P104" s="914">
        <f t="shared" si="10"/>
        <v>0</v>
      </c>
      <c r="Q104" s="914"/>
      <c r="R104" s="914">
        <f t="shared" si="15"/>
        <v>0</v>
      </c>
      <c r="S104" s="915">
        <f t="shared" si="16"/>
        <v>0</v>
      </c>
      <c r="T104" s="911">
        <f t="shared" si="17"/>
        <v>0</v>
      </c>
    </row>
    <row r="105" spans="1:20" ht="250.5" hidden="1" customHeight="1">
      <c r="A105" s="905">
        <v>9.3000000000000007</v>
      </c>
      <c r="B105" s="906" t="s">
        <v>1801</v>
      </c>
      <c r="C105" s="921"/>
      <c r="D105" s="908"/>
      <c r="E105" s="919"/>
      <c r="F105" s="1053">
        <f t="shared" si="11"/>
        <v>0</v>
      </c>
      <c r="G105" s="919"/>
      <c r="H105" s="914">
        <f t="shared" si="12"/>
        <v>0</v>
      </c>
      <c r="I105" s="919"/>
      <c r="J105" s="914">
        <f t="shared" si="13"/>
        <v>0</v>
      </c>
      <c r="K105" s="919"/>
      <c r="L105" s="914">
        <f t="shared" si="14"/>
        <v>0</v>
      </c>
      <c r="M105" s="919"/>
      <c r="N105" s="914">
        <f t="shared" si="9"/>
        <v>0</v>
      </c>
      <c r="O105" s="914"/>
      <c r="P105" s="914">
        <f t="shared" si="10"/>
        <v>0</v>
      </c>
      <c r="Q105" s="914"/>
      <c r="R105" s="914">
        <f t="shared" si="15"/>
        <v>0</v>
      </c>
      <c r="S105" s="915">
        <f t="shared" si="16"/>
        <v>0</v>
      </c>
      <c r="T105" s="911">
        <f t="shared" si="17"/>
        <v>0</v>
      </c>
    </row>
    <row r="106" spans="1:20" ht="250.5" hidden="1" customHeight="1">
      <c r="A106" s="905"/>
      <c r="B106" s="906" t="s">
        <v>201</v>
      </c>
      <c r="C106" s="921"/>
      <c r="D106" s="908" t="s">
        <v>1192</v>
      </c>
      <c r="E106" s="919"/>
      <c r="F106" s="1053">
        <f t="shared" si="11"/>
        <v>0</v>
      </c>
      <c r="G106" s="919"/>
      <c r="H106" s="914">
        <f t="shared" si="12"/>
        <v>0</v>
      </c>
      <c r="I106" s="919"/>
      <c r="J106" s="914">
        <f t="shared" si="13"/>
        <v>0</v>
      </c>
      <c r="K106" s="919"/>
      <c r="L106" s="914">
        <f t="shared" si="14"/>
        <v>0</v>
      </c>
      <c r="M106" s="919"/>
      <c r="N106" s="914">
        <f t="shared" si="9"/>
        <v>0</v>
      </c>
      <c r="O106" s="914"/>
      <c r="P106" s="914">
        <f t="shared" si="10"/>
        <v>0</v>
      </c>
      <c r="Q106" s="914"/>
      <c r="R106" s="914">
        <f t="shared" si="15"/>
        <v>0</v>
      </c>
      <c r="S106" s="915">
        <f t="shared" si="16"/>
        <v>0</v>
      </c>
      <c r="T106" s="911">
        <f t="shared" si="17"/>
        <v>0</v>
      </c>
    </row>
    <row r="107" spans="1:20" ht="250.5" hidden="1" customHeight="1">
      <c r="A107" s="905"/>
      <c r="B107" s="906" t="s">
        <v>202</v>
      </c>
      <c r="C107" s="921"/>
      <c r="D107" s="908" t="s">
        <v>1192</v>
      </c>
      <c r="E107" s="919"/>
      <c r="F107" s="1053">
        <f t="shared" si="11"/>
        <v>0</v>
      </c>
      <c r="G107" s="919"/>
      <c r="H107" s="914">
        <f t="shared" si="12"/>
        <v>0</v>
      </c>
      <c r="I107" s="919"/>
      <c r="J107" s="914">
        <f t="shared" si="13"/>
        <v>0</v>
      </c>
      <c r="K107" s="919"/>
      <c r="L107" s="914">
        <f t="shared" si="14"/>
        <v>0</v>
      </c>
      <c r="M107" s="919"/>
      <c r="N107" s="914">
        <f t="shared" si="9"/>
        <v>0</v>
      </c>
      <c r="O107" s="914"/>
      <c r="P107" s="914">
        <f t="shared" si="10"/>
        <v>0</v>
      </c>
      <c r="Q107" s="914"/>
      <c r="R107" s="914">
        <f t="shared" si="15"/>
        <v>0</v>
      </c>
      <c r="S107" s="915">
        <f t="shared" si="16"/>
        <v>0</v>
      </c>
      <c r="T107" s="911">
        <f t="shared" si="17"/>
        <v>0</v>
      </c>
    </row>
    <row r="108" spans="1:20" ht="250.5" hidden="1" customHeight="1">
      <c r="A108" s="905"/>
      <c r="B108" s="906" t="s">
        <v>203</v>
      </c>
      <c r="C108" s="921"/>
      <c r="D108" s="908" t="s">
        <v>1192</v>
      </c>
      <c r="E108" s="919"/>
      <c r="F108" s="1053">
        <f t="shared" si="11"/>
        <v>0</v>
      </c>
      <c r="G108" s="919"/>
      <c r="H108" s="914">
        <f t="shared" si="12"/>
        <v>0</v>
      </c>
      <c r="I108" s="919"/>
      <c r="J108" s="914">
        <f t="shared" si="13"/>
        <v>0</v>
      </c>
      <c r="K108" s="919"/>
      <c r="L108" s="914">
        <f t="shared" si="14"/>
        <v>0</v>
      </c>
      <c r="M108" s="919"/>
      <c r="N108" s="914">
        <f t="shared" si="9"/>
        <v>0</v>
      </c>
      <c r="O108" s="914"/>
      <c r="P108" s="914">
        <f t="shared" si="10"/>
        <v>0</v>
      </c>
      <c r="Q108" s="914"/>
      <c r="R108" s="914">
        <f t="shared" si="15"/>
        <v>0</v>
      </c>
      <c r="S108" s="915">
        <f t="shared" si="16"/>
        <v>0</v>
      </c>
      <c r="T108" s="911">
        <f t="shared" si="17"/>
        <v>0</v>
      </c>
    </row>
    <row r="109" spans="1:20" ht="250.5" hidden="1" customHeight="1">
      <c r="A109" s="905"/>
      <c r="B109" s="906" t="s">
        <v>204</v>
      </c>
      <c r="C109" s="921"/>
      <c r="D109" s="908" t="s">
        <v>1192</v>
      </c>
      <c r="E109" s="919"/>
      <c r="F109" s="1053">
        <f t="shared" si="11"/>
        <v>0</v>
      </c>
      <c r="G109" s="919"/>
      <c r="H109" s="914">
        <f t="shared" si="12"/>
        <v>0</v>
      </c>
      <c r="I109" s="919"/>
      <c r="J109" s="914">
        <f t="shared" si="13"/>
        <v>0</v>
      </c>
      <c r="K109" s="919"/>
      <c r="L109" s="914">
        <f t="shared" si="14"/>
        <v>0</v>
      </c>
      <c r="M109" s="919"/>
      <c r="N109" s="914">
        <f t="shared" si="9"/>
        <v>0</v>
      </c>
      <c r="O109" s="914"/>
      <c r="P109" s="914">
        <f t="shared" si="10"/>
        <v>0</v>
      </c>
      <c r="Q109" s="914"/>
      <c r="R109" s="914">
        <f t="shared" si="15"/>
        <v>0</v>
      </c>
      <c r="S109" s="915">
        <f t="shared" si="16"/>
        <v>0</v>
      </c>
      <c r="T109" s="911">
        <f t="shared" si="17"/>
        <v>0</v>
      </c>
    </row>
    <row r="110" spans="1:20" ht="250.5" hidden="1" customHeight="1">
      <c r="A110" s="928"/>
      <c r="B110" s="906" t="s">
        <v>603</v>
      </c>
      <c r="C110" s="921"/>
      <c r="D110" s="908" t="s">
        <v>1192</v>
      </c>
      <c r="E110" s="919"/>
      <c r="F110" s="1053">
        <f t="shared" si="11"/>
        <v>0</v>
      </c>
      <c r="G110" s="919"/>
      <c r="H110" s="914">
        <f t="shared" si="12"/>
        <v>0</v>
      </c>
      <c r="I110" s="919"/>
      <c r="J110" s="914">
        <f t="shared" si="13"/>
        <v>0</v>
      </c>
      <c r="K110" s="919"/>
      <c r="L110" s="914">
        <f t="shared" si="14"/>
        <v>0</v>
      </c>
      <c r="M110" s="919"/>
      <c r="N110" s="914">
        <f t="shared" si="9"/>
        <v>0</v>
      </c>
      <c r="O110" s="914"/>
      <c r="P110" s="914">
        <f t="shared" si="10"/>
        <v>0</v>
      </c>
      <c r="Q110" s="914"/>
      <c r="R110" s="914">
        <f t="shared" si="15"/>
        <v>0</v>
      </c>
      <c r="S110" s="915">
        <f t="shared" si="16"/>
        <v>0</v>
      </c>
      <c r="T110" s="911">
        <f t="shared" si="17"/>
        <v>0</v>
      </c>
    </row>
    <row r="111" spans="1:20" ht="250.5" hidden="1" customHeight="1">
      <c r="A111" s="905">
        <v>9.4</v>
      </c>
      <c r="B111" s="906" t="s">
        <v>6607</v>
      </c>
      <c r="C111" s="921"/>
      <c r="D111" s="908"/>
      <c r="E111" s="919"/>
      <c r="F111" s="1053">
        <f t="shared" si="11"/>
        <v>0</v>
      </c>
      <c r="G111" s="919"/>
      <c r="H111" s="914">
        <f t="shared" si="12"/>
        <v>0</v>
      </c>
      <c r="I111" s="919"/>
      <c r="J111" s="914">
        <f t="shared" si="13"/>
        <v>0</v>
      </c>
      <c r="K111" s="919"/>
      <c r="L111" s="914">
        <f t="shared" si="14"/>
        <v>0</v>
      </c>
      <c r="M111" s="919"/>
      <c r="N111" s="914">
        <f t="shared" si="9"/>
        <v>0</v>
      </c>
      <c r="O111" s="914"/>
      <c r="P111" s="914">
        <f t="shared" si="10"/>
        <v>0</v>
      </c>
      <c r="Q111" s="914"/>
      <c r="R111" s="914">
        <f t="shared" si="15"/>
        <v>0</v>
      </c>
      <c r="S111" s="915">
        <f t="shared" si="16"/>
        <v>0</v>
      </c>
      <c r="T111" s="911">
        <f t="shared" si="17"/>
        <v>0</v>
      </c>
    </row>
    <row r="112" spans="1:20" ht="250.5" hidden="1" customHeight="1">
      <c r="A112" s="905"/>
      <c r="B112" s="906" t="s">
        <v>201</v>
      </c>
      <c r="C112" s="921"/>
      <c r="D112" s="908" t="s">
        <v>1192</v>
      </c>
      <c r="E112" s="919"/>
      <c r="F112" s="1053">
        <f t="shared" si="11"/>
        <v>0</v>
      </c>
      <c r="G112" s="919"/>
      <c r="H112" s="914">
        <f t="shared" si="12"/>
        <v>0</v>
      </c>
      <c r="I112" s="919"/>
      <c r="J112" s="914">
        <f t="shared" si="13"/>
        <v>0</v>
      </c>
      <c r="K112" s="919"/>
      <c r="L112" s="914">
        <f t="shared" si="14"/>
        <v>0</v>
      </c>
      <c r="M112" s="919"/>
      <c r="N112" s="914">
        <f t="shared" si="9"/>
        <v>0</v>
      </c>
      <c r="O112" s="914"/>
      <c r="P112" s="914">
        <f t="shared" si="10"/>
        <v>0</v>
      </c>
      <c r="Q112" s="914"/>
      <c r="R112" s="914">
        <f t="shared" si="15"/>
        <v>0</v>
      </c>
      <c r="S112" s="915">
        <f t="shared" si="16"/>
        <v>0</v>
      </c>
      <c r="T112" s="911">
        <f t="shared" si="17"/>
        <v>0</v>
      </c>
    </row>
    <row r="113" spans="1:114" ht="250.5" hidden="1" customHeight="1">
      <c r="A113" s="905"/>
      <c r="B113" s="906" t="s">
        <v>202</v>
      </c>
      <c r="C113" s="921"/>
      <c r="D113" s="908" t="s">
        <v>1192</v>
      </c>
      <c r="E113" s="919"/>
      <c r="F113" s="1053">
        <f t="shared" si="11"/>
        <v>0</v>
      </c>
      <c r="G113" s="919"/>
      <c r="H113" s="914">
        <f t="shared" si="12"/>
        <v>0</v>
      </c>
      <c r="I113" s="919"/>
      <c r="J113" s="914">
        <f t="shared" si="13"/>
        <v>0</v>
      </c>
      <c r="K113" s="919"/>
      <c r="L113" s="914">
        <f t="shared" si="14"/>
        <v>0</v>
      </c>
      <c r="M113" s="919"/>
      <c r="N113" s="914">
        <f t="shared" si="9"/>
        <v>0</v>
      </c>
      <c r="O113" s="914"/>
      <c r="P113" s="914">
        <f t="shared" si="10"/>
        <v>0</v>
      </c>
      <c r="Q113" s="914"/>
      <c r="R113" s="914">
        <f t="shared" si="15"/>
        <v>0</v>
      </c>
      <c r="S113" s="915">
        <f t="shared" si="16"/>
        <v>0</v>
      </c>
      <c r="T113" s="911">
        <f t="shared" si="17"/>
        <v>0</v>
      </c>
    </row>
    <row r="114" spans="1:114" ht="250.5" hidden="1" customHeight="1">
      <c r="A114" s="905"/>
      <c r="B114" s="906" t="s">
        <v>203</v>
      </c>
      <c r="C114" s="921"/>
      <c r="D114" s="908" t="s">
        <v>1192</v>
      </c>
      <c r="E114" s="919"/>
      <c r="F114" s="1053">
        <f t="shared" si="11"/>
        <v>0</v>
      </c>
      <c r="G114" s="919"/>
      <c r="H114" s="914">
        <f t="shared" si="12"/>
        <v>0</v>
      </c>
      <c r="I114" s="919"/>
      <c r="J114" s="914">
        <f t="shared" si="13"/>
        <v>0</v>
      </c>
      <c r="K114" s="919"/>
      <c r="L114" s="914">
        <f t="shared" si="14"/>
        <v>0</v>
      </c>
      <c r="M114" s="919"/>
      <c r="N114" s="914">
        <f t="shared" si="9"/>
        <v>0</v>
      </c>
      <c r="O114" s="914"/>
      <c r="P114" s="914">
        <f t="shared" si="10"/>
        <v>0</v>
      </c>
      <c r="Q114" s="914"/>
      <c r="R114" s="914">
        <f t="shared" si="15"/>
        <v>0</v>
      </c>
      <c r="S114" s="915">
        <f t="shared" si="16"/>
        <v>0</v>
      </c>
      <c r="T114" s="911">
        <f t="shared" si="17"/>
        <v>0</v>
      </c>
    </row>
    <row r="115" spans="1:114" ht="250.5" hidden="1" customHeight="1">
      <c r="A115" s="905"/>
      <c r="B115" s="906" t="s">
        <v>204</v>
      </c>
      <c r="C115" s="921"/>
      <c r="D115" s="908" t="s">
        <v>1192</v>
      </c>
      <c r="E115" s="919"/>
      <c r="F115" s="1053">
        <f t="shared" si="11"/>
        <v>0</v>
      </c>
      <c r="G115" s="919"/>
      <c r="H115" s="914">
        <f t="shared" si="12"/>
        <v>0</v>
      </c>
      <c r="I115" s="919"/>
      <c r="J115" s="914">
        <f t="shared" si="13"/>
        <v>0</v>
      </c>
      <c r="K115" s="919"/>
      <c r="L115" s="914">
        <f t="shared" si="14"/>
        <v>0</v>
      </c>
      <c r="M115" s="919"/>
      <c r="N115" s="914">
        <f t="shared" si="9"/>
        <v>0</v>
      </c>
      <c r="O115" s="914"/>
      <c r="P115" s="914">
        <f t="shared" si="10"/>
        <v>0</v>
      </c>
      <c r="Q115" s="914"/>
      <c r="R115" s="914">
        <f t="shared" si="15"/>
        <v>0</v>
      </c>
      <c r="S115" s="915">
        <f t="shared" si="16"/>
        <v>0</v>
      </c>
      <c r="T115" s="911">
        <f t="shared" si="17"/>
        <v>0</v>
      </c>
    </row>
    <row r="116" spans="1:114" ht="250.5" hidden="1" customHeight="1">
      <c r="A116" s="928"/>
      <c r="B116" s="906" t="s">
        <v>603</v>
      </c>
      <c r="C116" s="921"/>
      <c r="D116" s="908" t="s">
        <v>1192</v>
      </c>
      <c r="E116" s="919"/>
      <c r="F116" s="1053">
        <f t="shared" si="11"/>
        <v>0</v>
      </c>
      <c r="G116" s="919"/>
      <c r="H116" s="914">
        <f t="shared" si="12"/>
        <v>0</v>
      </c>
      <c r="I116" s="919"/>
      <c r="J116" s="914">
        <f t="shared" si="13"/>
        <v>0</v>
      </c>
      <c r="K116" s="919"/>
      <c r="L116" s="914">
        <f t="shared" si="14"/>
        <v>0</v>
      </c>
      <c r="M116" s="919"/>
      <c r="N116" s="914">
        <f t="shared" si="9"/>
        <v>0</v>
      </c>
      <c r="O116" s="914"/>
      <c r="P116" s="914">
        <f t="shared" si="10"/>
        <v>0</v>
      </c>
      <c r="Q116" s="914"/>
      <c r="R116" s="914">
        <f t="shared" si="15"/>
        <v>0</v>
      </c>
      <c r="S116" s="915">
        <f t="shared" si="16"/>
        <v>0</v>
      </c>
      <c r="T116" s="911">
        <f t="shared" si="17"/>
        <v>0</v>
      </c>
    </row>
    <row r="117" spans="1:114" s="920" customFormat="1" ht="250.5" hidden="1" customHeight="1">
      <c r="A117" s="916">
        <v>9.5</v>
      </c>
      <c r="B117" s="925" t="s">
        <v>54</v>
      </c>
      <c r="C117" s="918"/>
      <c r="D117" s="898"/>
      <c r="E117" s="919"/>
      <c r="F117" s="1053">
        <f t="shared" si="11"/>
        <v>0</v>
      </c>
      <c r="G117" s="919"/>
      <c r="H117" s="914">
        <f t="shared" si="12"/>
        <v>0</v>
      </c>
      <c r="I117" s="919"/>
      <c r="J117" s="914">
        <f t="shared" si="13"/>
        <v>0</v>
      </c>
      <c r="K117" s="919"/>
      <c r="L117" s="914">
        <f t="shared" si="14"/>
        <v>0</v>
      </c>
      <c r="M117" s="919"/>
      <c r="N117" s="914">
        <f t="shared" si="9"/>
        <v>0</v>
      </c>
      <c r="O117" s="914"/>
      <c r="P117" s="914">
        <f t="shared" si="10"/>
        <v>0</v>
      </c>
      <c r="Q117" s="914"/>
      <c r="R117" s="914">
        <f t="shared" si="15"/>
        <v>0</v>
      </c>
      <c r="S117" s="915">
        <f t="shared" si="16"/>
        <v>0</v>
      </c>
      <c r="T117" s="911">
        <f t="shared" si="17"/>
        <v>0</v>
      </c>
      <c r="U117" s="1172"/>
      <c r="V117" s="1172"/>
      <c r="W117" s="1172"/>
      <c r="X117" s="1172"/>
      <c r="Y117" s="1172"/>
      <c r="Z117" s="1172"/>
      <c r="AA117" s="1172"/>
      <c r="AB117" s="1172"/>
      <c r="AC117" s="1172"/>
      <c r="AD117" s="1172"/>
      <c r="AE117" s="1172"/>
      <c r="AF117" s="1172"/>
      <c r="AG117" s="1172"/>
      <c r="AH117" s="1172"/>
      <c r="AI117" s="1172"/>
      <c r="AJ117" s="1172"/>
      <c r="AK117" s="1172"/>
      <c r="AL117" s="1172"/>
      <c r="AM117" s="1172"/>
      <c r="AN117" s="1172"/>
      <c r="AO117" s="1172"/>
      <c r="AP117" s="1172"/>
      <c r="AQ117" s="1172"/>
      <c r="AR117" s="1172"/>
      <c r="AS117" s="1172"/>
      <c r="AT117" s="1172"/>
      <c r="AU117" s="1172"/>
      <c r="AV117" s="1172"/>
      <c r="AW117" s="1172"/>
      <c r="AX117" s="1172"/>
      <c r="AY117" s="1172"/>
      <c r="AZ117" s="1172"/>
      <c r="BA117" s="1172"/>
      <c r="BB117" s="1172"/>
      <c r="BC117" s="1172"/>
      <c r="BD117" s="1172"/>
      <c r="BE117" s="1172"/>
      <c r="BF117" s="1172"/>
      <c r="BG117" s="1172"/>
      <c r="BH117" s="1172"/>
      <c r="BI117" s="1172"/>
      <c r="BJ117" s="1172"/>
      <c r="BK117" s="1172"/>
      <c r="BL117" s="1172"/>
      <c r="BM117" s="1172"/>
      <c r="BN117" s="1172"/>
      <c r="BO117" s="1172"/>
      <c r="BP117" s="1172"/>
      <c r="BQ117" s="1172"/>
      <c r="BR117" s="1172"/>
      <c r="BS117" s="1172"/>
      <c r="BT117" s="1172"/>
      <c r="BU117" s="1172"/>
      <c r="BV117" s="1172"/>
      <c r="BW117" s="1172"/>
      <c r="BX117" s="1172"/>
      <c r="BY117" s="1172"/>
      <c r="BZ117" s="1172"/>
      <c r="CA117" s="1172"/>
      <c r="CB117" s="1172"/>
      <c r="CC117" s="1172"/>
      <c r="CD117" s="1172"/>
      <c r="CE117" s="1172"/>
      <c r="CF117" s="1172"/>
      <c r="CG117" s="1172"/>
      <c r="CH117" s="1172"/>
      <c r="CI117" s="1172"/>
      <c r="CJ117" s="1172"/>
      <c r="CK117" s="1172"/>
      <c r="CL117" s="1172"/>
      <c r="CM117" s="1172"/>
      <c r="CN117" s="1172"/>
      <c r="CO117" s="1172"/>
      <c r="CP117" s="1172"/>
      <c r="CQ117" s="1172"/>
      <c r="CR117" s="1172"/>
      <c r="CS117" s="1172"/>
      <c r="CT117" s="1172"/>
      <c r="CU117" s="1172"/>
      <c r="CV117" s="1172"/>
      <c r="CW117" s="1172"/>
      <c r="CX117" s="1172"/>
      <c r="CY117" s="1172"/>
      <c r="CZ117" s="1172"/>
      <c r="DA117" s="1172"/>
      <c r="DB117" s="1172"/>
      <c r="DC117" s="1172"/>
      <c r="DD117" s="1172"/>
      <c r="DE117" s="1172"/>
      <c r="DF117" s="1172"/>
      <c r="DG117" s="1172"/>
      <c r="DH117" s="1172"/>
      <c r="DI117" s="1172"/>
      <c r="DJ117" s="1172"/>
    </row>
    <row r="118" spans="1:114" s="920" customFormat="1" ht="250.5" hidden="1" customHeight="1">
      <c r="A118" s="916"/>
      <c r="B118" s="917" t="s">
        <v>201</v>
      </c>
      <c r="C118" s="918">
        <f>ROUND(DATA!K347,2)</f>
        <v>6613.43</v>
      </c>
      <c r="D118" s="898" t="s">
        <v>1192</v>
      </c>
      <c r="E118" s="919"/>
      <c r="F118" s="1053">
        <f t="shared" si="11"/>
        <v>0</v>
      </c>
      <c r="G118" s="919"/>
      <c r="H118" s="914">
        <f t="shared" si="12"/>
        <v>0</v>
      </c>
      <c r="I118" s="919"/>
      <c r="J118" s="914">
        <f t="shared" si="13"/>
        <v>0</v>
      </c>
      <c r="K118" s="919"/>
      <c r="L118" s="914">
        <f t="shared" si="14"/>
        <v>0</v>
      </c>
      <c r="M118" s="919"/>
      <c r="N118" s="914">
        <f t="shared" si="9"/>
        <v>0</v>
      </c>
      <c r="O118" s="914"/>
      <c r="P118" s="914">
        <f t="shared" si="10"/>
        <v>0</v>
      </c>
      <c r="Q118" s="914"/>
      <c r="R118" s="914">
        <f t="shared" si="15"/>
        <v>0</v>
      </c>
      <c r="S118" s="915">
        <f t="shared" si="16"/>
        <v>0</v>
      </c>
      <c r="T118" s="911">
        <f t="shared" si="17"/>
        <v>0</v>
      </c>
      <c r="U118" s="1172"/>
      <c r="V118" s="1172"/>
      <c r="W118" s="1172"/>
      <c r="X118" s="1172"/>
      <c r="Y118" s="1172"/>
      <c r="Z118" s="1172"/>
      <c r="AA118" s="1172"/>
      <c r="AB118" s="1172"/>
      <c r="AC118" s="1172"/>
      <c r="AD118" s="1172"/>
      <c r="AE118" s="1172"/>
      <c r="AF118" s="1172"/>
      <c r="AG118" s="1172"/>
      <c r="AH118" s="1172"/>
      <c r="AI118" s="1172"/>
      <c r="AJ118" s="1172"/>
      <c r="AK118" s="1172"/>
      <c r="AL118" s="1172"/>
      <c r="AM118" s="1172"/>
      <c r="AN118" s="1172"/>
      <c r="AO118" s="1172"/>
      <c r="AP118" s="1172"/>
      <c r="AQ118" s="1172"/>
      <c r="AR118" s="1172"/>
      <c r="AS118" s="1172"/>
      <c r="AT118" s="1172"/>
      <c r="AU118" s="1172"/>
      <c r="AV118" s="1172"/>
      <c r="AW118" s="1172"/>
      <c r="AX118" s="1172"/>
      <c r="AY118" s="1172"/>
      <c r="AZ118" s="1172"/>
      <c r="BA118" s="1172"/>
      <c r="BB118" s="1172"/>
      <c r="BC118" s="1172"/>
      <c r="BD118" s="1172"/>
      <c r="BE118" s="1172"/>
      <c r="BF118" s="1172"/>
      <c r="BG118" s="1172"/>
      <c r="BH118" s="1172"/>
      <c r="BI118" s="1172"/>
      <c r="BJ118" s="1172"/>
      <c r="BK118" s="1172"/>
      <c r="BL118" s="1172"/>
      <c r="BM118" s="1172"/>
      <c r="BN118" s="1172"/>
      <c r="BO118" s="1172"/>
      <c r="BP118" s="1172"/>
      <c r="BQ118" s="1172"/>
      <c r="BR118" s="1172"/>
      <c r="BS118" s="1172"/>
      <c r="BT118" s="1172"/>
      <c r="BU118" s="1172"/>
      <c r="BV118" s="1172"/>
      <c r="BW118" s="1172"/>
      <c r="BX118" s="1172"/>
      <c r="BY118" s="1172"/>
      <c r="BZ118" s="1172"/>
      <c r="CA118" s="1172"/>
      <c r="CB118" s="1172"/>
      <c r="CC118" s="1172"/>
      <c r="CD118" s="1172"/>
      <c r="CE118" s="1172"/>
      <c r="CF118" s="1172"/>
      <c r="CG118" s="1172"/>
      <c r="CH118" s="1172"/>
      <c r="CI118" s="1172"/>
      <c r="CJ118" s="1172"/>
      <c r="CK118" s="1172"/>
      <c r="CL118" s="1172"/>
      <c r="CM118" s="1172"/>
      <c r="CN118" s="1172"/>
      <c r="CO118" s="1172"/>
      <c r="CP118" s="1172"/>
      <c r="CQ118" s="1172"/>
      <c r="CR118" s="1172"/>
      <c r="CS118" s="1172"/>
      <c r="CT118" s="1172"/>
      <c r="CU118" s="1172"/>
      <c r="CV118" s="1172"/>
      <c r="CW118" s="1172"/>
      <c r="CX118" s="1172"/>
      <c r="CY118" s="1172"/>
      <c r="CZ118" s="1172"/>
      <c r="DA118" s="1172"/>
      <c r="DB118" s="1172"/>
      <c r="DC118" s="1172"/>
      <c r="DD118" s="1172"/>
      <c r="DE118" s="1172"/>
      <c r="DF118" s="1172"/>
      <c r="DG118" s="1172"/>
      <c r="DH118" s="1172"/>
      <c r="DI118" s="1172"/>
      <c r="DJ118" s="1172"/>
    </row>
    <row r="119" spans="1:114" s="920" customFormat="1" ht="250.5" hidden="1" customHeight="1">
      <c r="A119" s="916"/>
      <c r="B119" s="917" t="s">
        <v>202</v>
      </c>
      <c r="C119" s="918">
        <f>ROUND(DATA!K348,2)</f>
        <v>6772.63</v>
      </c>
      <c r="D119" s="898" t="s">
        <v>1192</v>
      </c>
      <c r="E119" s="919"/>
      <c r="F119" s="1053">
        <f t="shared" si="11"/>
        <v>0</v>
      </c>
      <c r="G119" s="919"/>
      <c r="H119" s="914">
        <f t="shared" si="12"/>
        <v>0</v>
      </c>
      <c r="I119" s="919"/>
      <c r="J119" s="914">
        <f t="shared" si="13"/>
        <v>0</v>
      </c>
      <c r="K119" s="919"/>
      <c r="L119" s="914">
        <f t="shared" si="14"/>
        <v>0</v>
      </c>
      <c r="M119" s="919"/>
      <c r="N119" s="914">
        <f t="shared" si="9"/>
        <v>0</v>
      </c>
      <c r="O119" s="914"/>
      <c r="P119" s="914">
        <f t="shared" si="10"/>
        <v>0</v>
      </c>
      <c r="Q119" s="914"/>
      <c r="R119" s="914">
        <f t="shared" si="15"/>
        <v>0</v>
      </c>
      <c r="S119" s="915">
        <f t="shared" si="16"/>
        <v>0</v>
      </c>
      <c r="T119" s="911">
        <f t="shared" si="17"/>
        <v>0</v>
      </c>
      <c r="U119" s="1172"/>
      <c r="V119" s="1172"/>
      <c r="W119" s="1172"/>
      <c r="X119" s="1172"/>
      <c r="Y119" s="1172"/>
      <c r="Z119" s="1172"/>
      <c r="AA119" s="1172"/>
      <c r="AB119" s="1172"/>
      <c r="AC119" s="1172"/>
      <c r="AD119" s="1172"/>
      <c r="AE119" s="1172"/>
      <c r="AF119" s="1172"/>
      <c r="AG119" s="1172"/>
      <c r="AH119" s="1172"/>
      <c r="AI119" s="1172"/>
      <c r="AJ119" s="1172"/>
      <c r="AK119" s="1172"/>
      <c r="AL119" s="1172"/>
      <c r="AM119" s="1172"/>
      <c r="AN119" s="1172"/>
      <c r="AO119" s="1172"/>
      <c r="AP119" s="1172"/>
      <c r="AQ119" s="1172"/>
      <c r="AR119" s="1172"/>
      <c r="AS119" s="1172"/>
      <c r="AT119" s="1172"/>
      <c r="AU119" s="1172"/>
      <c r="AV119" s="1172"/>
      <c r="AW119" s="1172"/>
      <c r="AX119" s="1172"/>
      <c r="AY119" s="1172"/>
      <c r="AZ119" s="1172"/>
      <c r="BA119" s="1172"/>
      <c r="BB119" s="1172"/>
      <c r="BC119" s="1172"/>
      <c r="BD119" s="1172"/>
      <c r="BE119" s="1172"/>
      <c r="BF119" s="1172"/>
      <c r="BG119" s="1172"/>
      <c r="BH119" s="1172"/>
      <c r="BI119" s="1172"/>
      <c r="BJ119" s="1172"/>
      <c r="BK119" s="1172"/>
      <c r="BL119" s="1172"/>
      <c r="BM119" s="1172"/>
      <c r="BN119" s="1172"/>
      <c r="BO119" s="1172"/>
      <c r="BP119" s="1172"/>
      <c r="BQ119" s="1172"/>
      <c r="BR119" s="1172"/>
      <c r="BS119" s="1172"/>
      <c r="BT119" s="1172"/>
      <c r="BU119" s="1172"/>
      <c r="BV119" s="1172"/>
      <c r="BW119" s="1172"/>
      <c r="BX119" s="1172"/>
      <c r="BY119" s="1172"/>
      <c r="BZ119" s="1172"/>
      <c r="CA119" s="1172"/>
      <c r="CB119" s="1172"/>
      <c r="CC119" s="1172"/>
      <c r="CD119" s="1172"/>
      <c r="CE119" s="1172"/>
      <c r="CF119" s="1172"/>
      <c r="CG119" s="1172"/>
      <c r="CH119" s="1172"/>
      <c r="CI119" s="1172"/>
      <c r="CJ119" s="1172"/>
      <c r="CK119" s="1172"/>
      <c r="CL119" s="1172"/>
      <c r="CM119" s="1172"/>
      <c r="CN119" s="1172"/>
      <c r="CO119" s="1172"/>
      <c r="CP119" s="1172"/>
      <c r="CQ119" s="1172"/>
      <c r="CR119" s="1172"/>
      <c r="CS119" s="1172"/>
      <c r="CT119" s="1172"/>
      <c r="CU119" s="1172"/>
      <c r="CV119" s="1172"/>
      <c r="CW119" s="1172"/>
      <c r="CX119" s="1172"/>
      <c r="CY119" s="1172"/>
      <c r="CZ119" s="1172"/>
      <c r="DA119" s="1172"/>
      <c r="DB119" s="1172"/>
      <c r="DC119" s="1172"/>
      <c r="DD119" s="1172"/>
      <c r="DE119" s="1172"/>
      <c r="DF119" s="1172"/>
      <c r="DG119" s="1172"/>
      <c r="DH119" s="1172"/>
      <c r="DI119" s="1172"/>
      <c r="DJ119" s="1172"/>
    </row>
    <row r="120" spans="1:114" s="920" customFormat="1" ht="250.5" hidden="1" customHeight="1">
      <c r="A120" s="916"/>
      <c r="B120" s="917" t="s">
        <v>203</v>
      </c>
      <c r="C120" s="918">
        <f>ROUND(DATA!K349,2)</f>
        <v>6931.83</v>
      </c>
      <c r="D120" s="898" t="s">
        <v>1192</v>
      </c>
      <c r="E120" s="919"/>
      <c r="F120" s="1053">
        <f t="shared" si="11"/>
        <v>0</v>
      </c>
      <c r="G120" s="919"/>
      <c r="H120" s="914">
        <f t="shared" si="12"/>
        <v>0</v>
      </c>
      <c r="I120" s="919"/>
      <c r="J120" s="914">
        <f t="shared" si="13"/>
        <v>0</v>
      </c>
      <c r="K120" s="919"/>
      <c r="L120" s="914">
        <f t="shared" si="14"/>
        <v>0</v>
      </c>
      <c r="M120" s="919"/>
      <c r="N120" s="914">
        <f t="shared" si="9"/>
        <v>0</v>
      </c>
      <c r="O120" s="914"/>
      <c r="P120" s="914">
        <f t="shared" si="10"/>
        <v>0</v>
      </c>
      <c r="Q120" s="914"/>
      <c r="R120" s="914">
        <f t="shared" si="15"/>
        <v>0</v>
      </c>
      <c r="S120" s="915">
        <f t="shared" si="16"/>
        <v>0</v>
      </c>
      <c r="T120" s="911">
        <f t="shared" si="17"/>
        <v>0</v>
      </c>
      <c r="U120" s="1172"/>
      <c r="V120" s="1172"/>
      <c r="W120" s="1172"/>
      <c r="X120" s="1172"/>
      <c r="Y120" s="1172"/>
      <c r="Z120" s="1172"/>
      <c r="AA120" s="1172"/>
      <c r="AB120" s="1172"/>
      <c r="AC120" s="1172"/>
      <c r="AD120" s="1172"/>
      <c r="AE120" s="1172"/>
      <c r="AF120" s="1172"/>
      <c r="AG120" s="1172"/>
      <c r="AH120" s="1172"/>
      <c r="AI120" s="1172"/>
      <c r="AJ120" s="1172"/>
      <c r="AK120" s="1172"/>
      <c r="AL120" s="1172"/>
      <c r="AM120" s="1172"/>
      <c r="AN120" s="1172"/>
      <c r="AO120" s="1172"/>
      <c r="AP120" s="1172"/>
      <c r="AQ120" s="1172"/>
      <c r="AR120" s="1172"/>
      <c r="AS120" s="1172"/>
      <c r="AT120" s="1172"/>
      <c r="AU120" s="1172"/>
      <c r="AV120" s="1172"/>
      <c r="AW120" s="1172"/>
      <c r="AX120" s="1172"/>
      <c r="AY120" s="1172"/>
      <c r="AZ120" s="1172"/>
      <c r="BA120" s="1172"/>
      <c r="BB120" s="1172"/>
      <c r="BC120" s="1172"/>
      <c r="BD120" s="1172"/>
      <c r="BE120" s="1172"/>
      <c r="BF120" s="1172"/>
      <c r="BG120" s="1172"/>
      <c r="BH120" s="1172"/>
      <c r="BI120" s="1172"/>
      <c r="BJ120" s="1172"/>
      <c r="BK120" s="1172"/>
      <c r="BL120" s="1172"/>
      <c r="BM120" s="1172"/>
      <c r="BN120" s="1172"/>
      <c r="BO120" s="1172"/>
      <c r="BP120" s="1172"/>
      <c r="BQ120" s="1172"/>
      <c r="BR120" s="1172"/>
      <c r="BS120" s="1172"/>
      <c r="BT120" s="1172"/>
      <c r="BU120" s="1172"/>
      <c r="BV120" s="1172"/>
      <c r="BW120" s="1172"/>
      <c r="BX120" s="1172"/>
      <c r="BY120" s="1172"/>
      <c r="BZ120" s="1172"/>
      <c r="CA120" s="1172"/>
      <c r="CB120" s="1172"/>
      <c r="CC120" s="1172"/>
      <c r="CD120" s="1172"/>
      <c r="CE120" s="1172"/>
      <c r="CF120" s="1172"/>
      <c r="CG120" s="1172"/>
      <c r="CH120" s="1172"/>
      <c r="CI120" s="1172"/>
      <c r="CJ120" s="1172"/>
      <c r="CK120" s="1172"/>
      <c r="CL120" s="1172"/>
      <c r="CM120" s="1172"/>
      <c r="CN120" s="1172"/>
      <c r="CO120" s="1172"/>
      <c r="CP120" s="1172"/>
      <c r="CQ120" s="1172"/>
      <c r="CR120" s="1172"/>
      <c r="CS120" s="1172"/>
      <c r="CT120" s="1172"/>
      <c r="CU120" s="1172"/>
      <c r="CV120" s="1172"/>
      <c r="CW120" s="1172"/>
      <c r="CX120" s="1172"/>
      <c r="CY120" s="1172"/>
      <c r="CZ120" s="1172"/>
      <c r="DA120" s="1172"/>
      <c r="DB120" s="1172"/>
      <c r="DC120" s="1172"/>
      <c r="DD120" s="1172"/>
      <c r="DE120" s="1172"/>
      <c r="DF120" s="1172"/>
      <c r="DG120" s="1172"/>
      <c r="DH120" s="1172"/>
      <c r="DI120" s="1172"/>
      <c r="DJ120" s="1172"/>
    </row>
    <row r="121" spans="1:114" s="920" customFormat="1" ht="250.5" hidden="1" customHeight="1">
      <c r="A121" s="916"/>
      <c r="B121" s="917" t="s">
        <v>204</v>
      </c>
      <c r="C121" s="918">
        <f>ROUND(DATA!K350,2)</f>
        <v>7091.03</v>
      </c>
      <c r="D121" s="898" t="s">
        <v>1192</v>
      </c>
      <c r="E121" s="919"/>
      <c r="F121" s="1053">
        <f t="shared" si="11"/>
        <v>0</v>
      </c>
      <c r="G121" s="919"/>
      <c r="H121" s="914">
        <f t="shared" si="12"/>
        <v>0</v>
      </c>
      <c r="I121" s="919"/>
      <c r="J121" s="914">
        <f t="shared" si="13"/>
        <v>0</v>
      </c>
      <c r="K121" s="919"/>
      <c r="L121" s="914">
        <f t="shared" si="14"/>
        <v>0</v>
      </c>
      <c r="M121" s="919"/>
      <c r="N121" s="914">
        <f t="shared" si="9"/>
        <v>0</v>
      </c>
      <c r="O121" s="914"/>
      <c r="P121" s="914">
        <f t="shared" si="10"/>
        <v>0</v>
      </c>
      <c r="Q121" s="914"/>
      <c r="R121" s="914">
        <f t="shared" si="15"/>
        <v>0</v>
      </c>
      <c r="S121" s="915">
        <f t="shared" si="16"/>
        <v>0</v>
      </c>
      <c r="T121" s="911">
        <f t="shared" si="17"/>
        <v>0</v>
      </c>
      <c r="U121" s="1172"/>
      <c r="V121" s="1172"/>
      <c r="W121" s="1172"/>
      <c r="X121" s="1172"/>
      <c r="Y121" s="1172"/>
      <c r="Z121" s="1172"/>
      <c r="AA121" s="1172"/>
      <c r="AB121" s="1172"/>
      <c r="AC121" s="1172"/>
      <c r="AD121" s="1172"/>
      <c r="AE121" s="1172"/>
      <c r="AF121" s="1172"/>
      <c r="AG121" s="1172"/>
      <c r="AH121" s="1172"/>
      <c r="AI121" s="1172"/>
      <c r="AJ121" s="1172"/>
      <c r="AK121" s="1172"/>
      <c r="AL121" s="1172"/>
      <c r="AM121" s="1172"/>
      <c r="AN121" s="1172"/>
      <c r="AO121" s="1172"/>
      <c r="AP121" s="1172"/>
      <c r="AQ121" s="1172"/>
      <c r="AR121" s="1172"/>
      <c r="AS121" s="1172"/>
      <c r="AT121" s="1172"/>
      <c r="AU121" s="1172"/>
      <c r="AV121" s="1172"/>
      <c r="AW121" s="1172"/>
      <c r="AX121" s="1172"/>
      <c r="AY121" s="1172"/>
      <c r="AZ121" s="1172"/>
      <c r="BA121" s="1172"/>
      <c r="BB121" s="1172"/>
      <c r="BC121" s="1172"/>
      <c r="BD121" s="1172"/>
      <c r="BE121" s="1172"/>
      <c r="BF121" s="1172"/>
      <c r="BG121" s="1172"/>
      <c r="BH121" s="1172"/>
      <c r="BI121" s="1172"/>
      <c r="BJ121" s="1172"/>
      <c r="BK121" s="1172"/>
      <c r="BL121" s="1172"/>
      <c r="BM121" s="1172"/>
      <c r="BN121" s="1172"/>
      <c r="BO121" s="1172"/>
      <c r="BP121" s="1172"/>
      <c r="BQ121" s="1172"/>
      <c r="BR121" s="1172"/>
      <c r="BS121" s="1172"/>
      <c r="BT121" s="1172"/>
      <c r="BU121" s="1172"/>
      <c r="BV121" s="1172"/>
      <c r="BW121" s="1172"/>
      <c r="BX121" s="1172"/>
      <c r="BY121" s="1172"/>
      <c r="BZ121" s="1172"/>
      <c r="CA121" s="1172"/>
      <c r="CB121" s="1172"/>
      <c r="CC121" s="1172"/>
      <c r="CD121" s="1172"/>
      <c r="CE121" s="1172"/>
      <c r="CF121" s="1172"/>
      <c r="CG121" s="1172"/>
      <c r="CH121" s="1172"/>
      <c r="CI121" s="1172"/>
      <c r="CJ121" s="1172"/>
      <c r="CK121" s="1172"/>
      <c r="CL121" s="1172"/>
      <c r="CM121" s="1172"/>
      <c r="CN121" s="1172"/>
      <c r="CO121" s="1172"/>
      <c r="CP121" s="1172"/>
      <c r="CQ121" s="1172"/>
      <c r="CR121" s="1172"/>
      <c r="CS121" s="1172"/>
      <c r="CT121" s="1172"/>
      <c r="CU121" s="1172"/>
      <c r="CV121" s="1172"/>
      <c r="CW121" s="1172"/>
      <c r="CX121" s="1172"/>
      <c r="CY121" s="1172"/>
      <c r="CZ121" s="1172"/>
      <c r="DA121" s="1172"/>
      <c r="DB121" s="1172"/>
      <c r="DC121" s="1172"/>
      <c r="DD121" s="1172"/>
      <c r="DE121" s="1172"/>
      <c r="DF121" s="1172"/>
      <c r="DG121" s="1172"/>
      <c r="DH121" s="1172"/>
      <c r="DI121" s="1172"/>
      <c r="DJ121" s="1172"/>
    </row>
    <row r="122" spans="1:114" s="920" customFormat="1" ht="250.5" hidden="1" customHeight="1">
      <c r="A122" s="929"/>
      <c r="B122" s="917" t="s">
        <v>603</v>
      </c>
      <c r="C122" s="918">
        <f>ROUND(DATA!K351,2)</f>
        <v>7250.23</v>
      </c>
      <c r="D122" s="898" t="s">
        <v>1192</v>
      </c>
      <c r="E122" s="919"/>
      <c r="F122" s="1053">
        <f t="shared" si="11"/>
        <v>0</v>
      </c>
      <c r="G122" s="919"/>
      <c r="H122" s="914">
        <f t="shared" si="12"/>
        <v>0</v>
      </c>
      <c r="I122" s="919"/>
      <c r="J122" s="914">
        <f t="shared" si="13"/>
        <v>0</v>
      </c>
      <c r="K122" s="919"/>
      <c r="L122" s="914">
        <f t="shared" si="14"/>
        <v>0</v>
      </c>
      <c r="M122" s="919"/>
      <c r="N122" s="914">
        <f t="shared" si="9"/>
        <v>0</v>
      </c>
      <c r="O122" s="914"/>
      <c r="P122" s="914">
        <f t="shared" si="10"/>
        <v>0</v>
      </c>
      <c r="Q122" s="914"/>
      <c r="R122" s="914">
        <f t="shared" si="15"/>
        <v>0</v>
      </c>
      <c r="S122" s="915">
        <f t="shared" si="16"/>
        <v>0</v>
      </c>
      <c r="T122" s="911">
        <f t="shared" si="17"/>
        <v>0</v>
      </c>
      <c r="U122" s="1172"/>
      <c r="V122" s="1172"/>
      <c r="W122" s="1172"/>
      <c r="X122" s="1172"/>
      <c r="Y122" s="1172"/>
      <c r="Z122" s="1172"/>
      <c r="AA122" s="1172"/>
      <c r="AB122" s="1172"/>
      <c r="AC122" s="1172"/>
      <c r="AD122" s="1172"/>
      <c r="AE122" s="1172"/>
      <c r="AF122" s="1172"/>
      <c r="AG122" s="1172"/>
      <c r="AH122" s="1172"/>
      <c r="AI122" s="1172"/>
      <c r="AJ122" s="1172"/>
      <c r="AK122" s="1172"/>
      <c r="AL122" s="1172"/>
      <c r="AM122" s="1172"/>
      <c r="AN122" s="1172"/>
      <c r="AO122" s="1172"/>
      <c r="AP122" s="1172"/>
      <c r="AQ122" s="1172"/>
      <c r="AR122" s="1172"/>
      <c r="AS122" s="1172"/>
      <c r="AT122" s="1172"/>
      <c r="AU122" s="1172"/>
      <c r="AV122" s="1172"/>
      <c r="AW122" s="1172"/>
      <c r="AX122" s="1172"/>
      <c r="AY122" s="1172"/>
      <c r="AZ122" s="1172"/>
      <c r="BA122" s="1172"/>
      <c r="BB122" s="1172"/>
      <c r="BC122" s="1172"/>
      <c r="BD122" s="1172"/>
      <c r="BE122" s="1172"/>
      <c r="BF122" s="1172"/>
      <c r="BG122" s="1172"/>
      <c r="BH122" s="1172"/>
      <c r="BI122" s="1172"/>
      <c r="BJ122" s="1172"/>
      <c r="BK122" s="1172"/>
      <c r="BL122" s="1172"/>
      <c r="BM122" s="1172"/>
      <c r="BN122" s="1172"/>
      <c r="BO122" s="1172"/>
      <c r="BP122" s="1172"/>
      <c r="BQ122" s="1172"/>
      <c r="BR122" s="1172"/>
      <c r="BS122" s="1172"/>
      <c r="BT122" s="1172"/>
      <c r="BU122" s="1172"/>
      <c r="BV122" s="1172"/>
      <c r="BW122" s="1172"/>
      <c r="BX122" s="1172"/>
      <c r="BY122" s="1172"/>
      <c r="BZ122" s="1172"/>
      <c r="CA122" s="1172"/>
      <c r="CB122" s="1172"/>
      <c r="CC122" s="1172"/>
      <c r="CD122" s="1172"/>
      <c r="CE122" s="1172"/>
      <c r="CF122" s="1172"/>
      <c r="CG122" s="1172"/>
      <c r="CH122" s="1172"/>
      <c r="CI122" s="1172"/>
      <c r="CJ122" s="1172"/>
      <c r="CK122" s="1172"/>
      <c r="CL122" s="1172"/>
      <c r="CM122" s="1172"/>
      <c r="CN122" s="1172"/>
      <c r="CO122" s="1172"/>
      <c r="CP122" s="1172"/>
      <c r="CQ122" s="1172"/>
      <c r="CR122" s="1172"/>
      <c r="CS122" s="1172"/>
      <c r="CT122" s="1172"/>
      <c r="CU122" s="1172"/>
      <c r="CV122" s="1172"/>
      <c r="CW122" s="1172"/>
      <c r="CX122" s="1172"/>
      <c r="CY122" s="1172"/>
      <c r="CZ122" s="1172"/>
      <c r="DA122" s="1172"/>
      <c r="DB122" s="1172"/>
      <c r="DC122" s="1172"/>
      <c r="DD122" s="1172"/>
      <c r="DE122" s="1172"/>
      <c r="DF122" s="1172"/>
      <c r="DG122" s="1172"/>
      <c r="DH122" s="1172"/>
      <c r="DI122" s="1172"/>
      <c r="DJ122" s="1172"/>
    </row>
    <row r="123" spans="1:114" ht="250.5" hidden="1" customHeight="1">
      <c r="A123" s="905">
        <v>9.6</v>
      </c>
      <c r="B123" s="906" t="s">
        <v>1566</v>
      </c>
      <c r="C123" s="921"/>
      <c r="D123" s="908"/>
      <c r="E123" s="919"/>
      <c r="F123" s="1053">
        <f t="shared" si="11"/>
        <v>0</v>
      </c>
      <c r="G123" s="919"/>
      <c r="H123" s="914">
        <f t="shared" si="12"/>
        <v>0</v>
      </c>
      <c r="I123" s="919"/>
      <c r="J123" s="914">
        <f t="shared" si="13"/>
        <v>0</v>
      </c>
      <c r="K123" s="919"/>
      <c r="L123" s="914">
        <f t="shared" si="14"/>
        <v>0</v>
      </c>
      <c r="M123" s="919"/>
      <c r="N123" s="914">
        <f t="shared" si="9"/>
        <v>0</v>
      </c>
      <c r="O123" s="914"/>
      <c r="P123" s="914">
        <f t="shared" si="10"/>
        <v>0</v>
      </c>
      <c r="Q123" s="914"/>
      <c r="R123" s="914">
        <f t="shared" si="15"/>
        <v>0</v>
      </c>
      <c r="S123" s="915">
        <f t="shared" si="16"/>
        <v>0</v>
      </c>
      <c r="T123" s="911">
        <f t="shared" si="17"/>
        <v>0</v>
      </c>
    </row>
    <row r="124" spans="1:114" ht="250.5" hidden="1" customHeight="1">
      <c r="A124" s="905"/>
      <c r="B124" s="906" t="s">
        <v>201</v>
      </c>
      <c r="C124" s="921"/>
      <c r="D124" s="908" t="s">
        <v>1192</v>
      </c>
      <c r="E124" s="919"/>
      <c r="F124" s="1053">
        <f t="shared" si="11"/>
        <v>0</v>
      </c>
      <c r="G124" s="919"/>
      <c r="H124" s="914">
        <f t="shared" si="12"/>
        <v>0</v>
      </c>
      <c r="I124" s="919"/>
      <c r="J124" s="914">
        <f t="shared" si="13"/>
        <v>0</v>
      </c>
      <c r="K124" s="919"/>
      <c r="L124" s="914">
        <f t="shared" si="14"/>
        <v>0</v>
      </c>
      <c r="M124" s="919"/>
      <c r="N124" s="914">
        <f t="shared" si="9"/>
        <v>0</v>
      </c>
      <c r="O124" s="914"/>
      <c r="P124" s="914">
        <f t="shared" si="10"/>
        <v>0</v>
      </c>
      <c r="Q124" s="914"/>
      <c r="R124" s="914">
        <f t="shared" si="15"/>
        <v>0</v>
      </c>
      <c r="S124" s="915">
        <f t="shared" si="16"/>
        <v>0</v>
      </c>
      <c r="T124" s="911">
        <f t="shared" si="17"/>
        <v>0</v>
      </c>
    </row>
    <row r="125" spans="1:114" ht="250.5" hidden="1" customHeight="1">
      <c r="A125" s="905"/>
      <c r="B125" s="906" t="s">
        <v>202</v>
      </c>
      <c r="C125" s="921"/>
      <c r="D125" s="908" t="s">
        <v>1192</v>
      </c>
      <c r="E125" s="919"/>
      <c r="F125" s="1053">
        <f t="shared" si="11"/>
        <v>0</v>
      </c>
      <c r="G125" s="919"/>
      <c r="H125" s="914">
        <f t="shared" si="12"/>
        <v>0</v>
      </c>
      <c r="I125" s="919"/>
      <c r="J125" s="914">
        <f t="shared" si="13"/>
        <v>0</v>
      </c>
      <c r="K125" s="919"/>
      <c r="L125" s="914">
        <f t="shared" si="14"/>
        <v>0</v>
      </c>
      <c r="M125" s="919"/>
      <c r="N125" s="914">
        <f t="shared" si="9"/>
        <v>0</v>
      </c>
      <c r="O125" s="914"/>
      <c r="P125" s="914">
        <f t="shared" si="10"/>
        <v>0</v>
      </c>
      <c r="Q125" s="914"/>
      <c r="R125" s="914">
        <f t="shared" si="15"/>
        <v>0</v>
      </c>
      <c r="S125" s="915">
        <f t="shared" si="16"/>
        <v>0</v>
      </c>
      <c r="T125" s="911">
        <f t="shared" si="17"/>
        <v>0</v>
      </c>
    </row>
    <row r="126" spans="1:114" ht="250.5" hidden="1" customHeight="1">
      <c r="A126" s="905"/>
      <c r="B126" s="906" t="s">
        <v>203</v>
      </c>
      <c r="C126" s="921"/>
      <c r="D126" s="908" t="s">
        <v>1192</v>
      </c>
      <c r="E126" s="919"/>
      <c r="F126" s="1053">
        <f t="shared" si="11"/>
        <v>0</v>
      </c>
      <c r="G126" s="919"/>
      <c r="H126" s="914">
        <f t="shared" si="12"/>
        <v>0</v>
      </c>
      <c r="I126" s="919"/>
      <c r="J126" s="914">
        <f t="shared" si="13"/>
        <v>0</v>
      </c>
      <c r="K126" s="919"/>
      <c r="L126" s="914">
        <f t="shared" si="14"/>
        <v>0</v>
      </c>
      <c r="M126" s="919"/>
      <c r="N126" s="914">
        <f t="shared" si="9"/>
        <v>0</v>
      </c>
      <c r="O126" s="914"/>
      <c r="P126" s="914">
        <f t="shared" si="10"/>
        <v>0</v>
      </c>
      <c r="Q126" s="914"/>
      <c r="R126" s="914">
        <f t="shared" si="15"/>
        <v>0</v>
      </c>
      <c r="S126" s="915">
        <f t="shared" si="16"/>
        <v>0</v>
      </c>
      <c r="T126" s="911">
        <f t="shared" si="17"/>
        <v>0</v>
      </c>
    </row>
    <row r="127" spans="1:114" ht="250.5" hidden="1" customHeight="1">
      <c r="A127" s="905"/>
      <c r="B127" s="906" t="s">
        <v>204</v>
      </c>
      <c r="C127" s="921"/>
      <c r="D127" s="908" t="s">
        <v>1192</v>
      </c>
      <c r="E127" s="919"/>
      <c r="F127" s="1053">
        <f t="shared" si="11"/>
        <v>0</v>
      </c>
      <c r="G127" s="919"/>
      <c r="H127" s="914">
        <f t="shared" si="12"/>
        <v>0</v>
      </c>
      <c r="I127" s="919"/>
      <c r="J127" s="914">
        <f t="shared" si="13"/>
        <v>0</v>
      </c>
      <c r="K127" s="919"/>
      <c r="L127" s="914">
        <f t="shared" si="14"/>
        <v>0</v>
      </c>
      <c r="M127" s="919"/>
      <c r="N127" s="914">
        <f t="shared" si="9"/>
        <v>0</v>
      </c>
      <c r="O127" s="914"/>
      <c r="P127" s="914">
        <f t="shared" si="10"/>
        <v>0</v>
      </c>
      <c r="Q127" s="914"/>
      <c r="R127" s="914">
        <f t="shared" si="15"/>
        <v>0</v>
      </c>
      <c r="S127" s="915">
        <f t="shared" si="16"/>
        <v>0</v>
      </c>
      <c r="T127" s="911">
        <f t="shared" si="17"/>
        <v>0</v>
      </c>
    </row>
    <row r="128" spans="1:114" ht="250.5" hidden="1" customHeight="1">
      <c r="A128" s="928"/>
      <c r="B128" s="906" t="s">
        <v>603</v>
      </c>
      <c r="C128" s="921"/>
      <c r="D128" s="908" t="s">
        <v>1192</v>
      </c>
      <c r="E128" s="919"/>
      <c r="F128" s="1053">
        <f t="shared" si="11"/>
        <v>0</v>
      </c>
      <c r="G128" s="919"/>
      <c r="H128" s="914">
        <f t="shared" si="12"/>
        <v>0</v>
      </c>
      <c r="I128" s="919"/>
      <c r="J128" s="914">
        <f t="shared" si="13"/>
        <v>0</v>
      </c>
      <c r="K128" s="919"/>
      <c r="L128" s="914">
        <f t="shared" si="14"/>
        <v>0</v>
      </c>
      <c r="M128" s="919"/>
      <c r="N128" s="914">
        <f t="shared" si="9"/>
        <v>0</v>
      </c>
      <c r="O128" s="914"/>
      <c r="P128" s="914">
        <f t="shared" si="10"/>
        <v>0</v>
      </c>
      <c r="Q128" s="914"/>
      <c r="R128" s="914">
        <f t="shared" si="15"/>
        <v>0</v>
      </c>
      <c r="S128" s="915">
        <f t="shared" si="16"/>
        <v>0</v>
      </c>
      <c r="T128" s="911">
        <f t="shared" si="17"/>
        <v>0</v>
      </c>
    </row>
    <row r="129" spans="1:20" ht="250.5" hidden="1" customHeight="1">
      <c r="A129" s="905">
        <v>10.1</v>
      </c>
      <c r="B129" s="924" t="s">
        <v>6608</v>
      </c>
      <c r="C129" s="921"/>
      <c r="D129" s="908"/>
      <c r="E129" s="919"/>
      <c r="F129" s="1053">
        <f t="shared" si="11"/>
        <v>0</v>
      </c>
      <c r="G129" s="919"/>
      <c r="H129" s="914">
        <f t="shared" si="12"/>
        <v>0</v>
      </c>
      <c r="I129" s="919"/>
      <c r="J129" s="914">
        <f t="shared" si="13"/>
        <v>0</v>
      </c>
      <c r="K129" s="919"/>
      <c r="L129" s="914">
        <f t="shared" si="14"/>
        <v>0</v>
      </c>
      <c r="M129" s="919"/>
      <c r="N129" s="914">
        <f t="shared" si="9"/>
        <v>0</v>
      </c>
      <c r="O129" s="914"/>
      <c r="P129" s="914">
        <f t="shared" si="10"/>
        <v>0</v>
      </c>
      <c r="Q129" s="914"/>
      <c r="R129" s="914">
        <f t="shared" si="15"/>
        <v>0</v>
      </c>
      <c r="S129" s="915">
        <f t="shared" si="16"/>
        <v>0</v>
      </c>
      <c r="T129" s="911">
        <f t="shared" si="17"/>
        <v>0</v>
      </c>
    </row>
    <row r="130" spans="1:20" ht="250.5" hidden="1" customHeight="1">
      <c r="A130" s="905"/>
      <c r="B130" s="906" t="s">
        <v>541</v>
      </c>
      <c r="C130" s="921">
        <f>ROUND(DATA!X400,2)</f>
        <v>863.09</v>
      </c>
      <c r="D130" s="908" t="s">
        <v>1834</v>
      </c>
      <c r="E130" s="919"/>
      <c r="F130" s="1053">
        <f t="shared" si="11"/>
        <v>0</v>
      </c>
      <c r="G130" s="919"/>
      <c r="H130" s="914">
        <f t="shared" si="12"/>
        <v>0</v>
      </c>
      <c r="I130" s="919"/>
      <c r="J130" s="914">
        <f t="shared" si="13"/>
        <v>0</v>
      </c>
      <c r="K130" s="919"/>
      <c r="L130" s="914">
        <f t="shared" si="14"/>
        <v>0</v>
      </c>
      <c r="M130" s="919"/>
      <c r="N130" s="914">
        <f t="shared" si="9"/>
        <v>0</v>
      </c>
      <c r="O130" s="914"/>
      <c r="P130" s="914">
        <f t="shared" si="10"/>
        <v>0</v>
      </c>
      <c r="Q130" s="914"/>
      <c r="R130" s="914">
        <f t="shared" si="15"/>
        <v>0</v>
      </c>
      <c r="S130" s="915">
        <f t="shared" si="16"/>
        <v>0</v>
      </c>
      <c r="T130" s="911">
        <f t="shared" si="17"/>
        <v>0</v>
      </c>
    </row>
    <row r="131" spans="1:20" ht="250.5" hidden="1" customHeight="1">
      <c r="A131" s="905"/>
      <c r="B131" s="906" t="s">
        <v>542</v>
      </c>
      <c r="C131" s="921">
        <f>ROUND(DATA!X402,2)</f>
        <v>871.93</v>
      </c>
      <c r="D131" s="908" t="s">
        <v>1834</v>
      </c>
      <c r="E131" s="919"/>
      <c r="F131" s="1053">
        <f t="shared" si="11"/>
        <v>0</v>
      </c>
      <c r="G131" s="919"/>
      <c r="H131" s="914">
        <f t="shared" si="12"/>
        <v>0</v>
      </c>
      <c r="I131" s="919"/>
      <c r="J131" s="914">
        <f t="shared" si="13"/>
        <v>0</v>
      </c>
      <c r="K131" s="919"/>
      <c r="L131" s="914">
        <f t="shared" si="14"/>
        <v>0</v>
      </c>
      <c r="M131" s="919"/>
      <c r="N131" s="914">
        <f t="shared" si="9"/>
        <v>0</v>
      </c>
      <c r="O131" s="914"/>
      <c r="P131" s="914">
        <f t="shared" si="10"/>
        <v>0</v>
      </c>
      <c r="Q131" s="914"/>
      <c r="R131" s="914">
        <f t="shared" si="15"/>
        <v>0</v>
      </c>
      <c r="S131" s="915">
        <f t="shared" si="16"/>
        <v>0</v>
      </c>
      <c r="T131" s="911">
        <f t="shared" si="17"/>
        <v>0</v>
      </c>
    </row>
    <row r="132" spans="1:20" ht="250.5" hidden="1" customHeight="1">
      <c r="A132" s="905"/>
      <c r="B132" s="906" t="s">
        <v>544</v>
      </c>
      <c r="C132" s="921">
        <f>ROUND(DATA!X403,2)</f>
        <v>889.76</v>
      </c>
      <c r="D132" s="908" t="s">
        <v>1834</v>
      </c>
      <c r="E132" s="919"/>
      <c r="F132" s="1053">
        <f t="shared" si="11"/>
        <v>0</v>
      </c>
      <c r="G132" s="919"/>
      <c r="H132" s="914">
        <f t="shared" si="12"/>
        <v>0</v>
      </c>
      <c r="I132" s="919"/>
      <c r="J132" s="914">
        <f t="shared" si="13"/>
        <v>0</v>
      </c>
      <c r="K132" s="919"/>
      <c r="L132" s="914">
        <f t="shared" si="14"/>
        <v>0</v>
      </c>
      <c r="M132" s="919"/>
      <c r="N132" s="914">
        <f t="shared" si="9"/>
        <v>0</v>
      </c>
      <c r="O132" s="914"/>
      <c r="P132" s="914">
        <f t="shared" si="10"/>
        <v>0</v>
      </c>
      <c r="Q132" s="914"/>
      <c r="R132" s="914">
        <f t="shared" si="15"/>
        <v>0</v>
      </c>
      <c r="S132" s="915">
        <f t="shared" si="16"/>
        <v>0</v>
      </c>
      <c r="T132" s="911">
        <f t="shared" si="17"/>
        <v>0</v>
      </c>
    </row>
    <row r="133" spans="1:20" ht="250.5" hidden="1" customHeight="1">
      <c r="A133" s="905"/>
      <c r="B133" s="906" t="s">
        <v>1798</v>
      </c>
      <c r="C133" s="921">
        <f>ROUND(DATA!X404,2)</f>
        <v>907.59</v>
      </c>
      <c r="D133" s="908" t="s">
        <v>1834</v>
      </c>
      <c r="E133" s="919"/>
      <c r="F133" s="1053">
        <f t="shared" si="11"/>
        <v>0</v>
      </c>
      <c r="G133" s="919"/>
      <c r="H133" s="914">
        <f t="shared" si="12"/>
        <v>0</v>
      </c>
      <c r="I133" s="919"/>
      <c r="J133" s="914">
        <f t="shared" si="13"/>
        <v>0</v>
      </c>
      <c r="K133" s="919"/>
      <c r="L133" s="914">
        <f t="shared" si="14"/>
        <v>0</v>
      </c>
      <c r="M133" s="919"/>
      <c r="N133" s="914">
        <f t="shared" si="9"/>
        <v>0</v>
      </c>
      <c r="O133" s="914"/>
      <c r="P133" s="914">
        <f t="shared" si="10"/>
        <v>0</v>
      </c>
      <c r="Q133" s="914"/>
      <c r="R133" s="914">
        <f t="shared" si="15"/>
        <v>0</v>
      </c>
      <c r="S133" s="915">
        <f t="shared" si="16"/>
        <v>0</v>
      </c>
      <c r="T133" s="911">
        <f t="shared" si="17"/>
        <v>0</v>
      </c>
    </row>
    <row r="134" spans="1:20" ht="250.5" hidden="1" customHeight="1">
      <c r="A134" s="905"/>
      <c r="B134" s="906" t="s">
        <v>2205</v>
      </c>
      <c r="C134" s="921">
        <f>ROUND(DATA!X405,2)</f>
        <v>925.42</v>
      </c>
      <c r="D134" s="908" t="s">
        <v>1834</v>
      </c>
      <c r="E134" s="919"/>
      <c r="F134" s="1053">
        <f t="shared" si="11"/>
        <v>0</v>
      </c>
      <c r="G134" s="919"/>
      <c r="H134" s="914">
        <f t="shared" si="12"/>
        <v>0</v>
      </c>
      <c r="I134" s="919"/>
      <c r="J134" s="914">
        <f t="shared" si="13"/>
        <v>0</v>
      </c>
      <c r="K134" s="919"/>
      <c r="L134" s="914">
        <f t="shared" si="14"/>
        <v>0</v>
      </c>
      <c r="M134" s="919"/>
      <c r="N134" s="914">
        <f t="shared" ref="N134:N197" si="18">M134*C134</f>
        <v>0</v>
      </c>
      <c r="O134" s="914"/>
      <c r="P134" s="914">
        <f t="shared" ref="P134:P197" si="19">O134*C134</f>
        <v>0</v>
      </c>
      <c r="Q134" s="914"/>
      <c r="R134" s="914">
        <f t="shared" si="15"/>
        <v>0</v>
      </c>
      <c r="S134" s="915">
        <f t="shared" si="16"/>
        <v>0</v>
      </c>
      <c r="T134" s="911">
        <f t="shared" si="17"/>
        <v>0</v>
      </c>
    </row>
    <row r="135" spans="1:20" ht="250.5" hidden="1" customHeight="1">
      <c r="A135" s="928"/>
      <c r="B135" s="906" t="s">
        <v>1060</v>
      </c>
      <c r="C135" s="921">
        <f>ROUND(DATA!X406,2)</f>
        <v>943.25</v>
      </c>
      <c r="D135" s="908" t="s">
        <v>1834</v>
      </c>
      <c r="E135" s="919"/>
      <c r="F135" s="1053">
        <f t="shared" ref="F135:F198" si="20">E135*C135</f>
        <v>0</v>
      </c>
      <c r="G135" s="919"/>
      <c r="H135" s="914">
        <f t="shared" ref="H135:H198" si="21">G135*C135</f>
        <v>0</v>
      </c>
      <c r="I135" s="919"/>
      <c r="J135" s="914">
        <f t="shared" ref="J135:J198" si="22">I135*C135</f>
        <v>0</v>
      </c>
      <c r="K135" s="919"/>
      <c r="L135" s="914">
        <f t="shared" ref="L135:L198" si="23">K135*C135</f>
        <v>0</v>
      </c>
      <c r="M135" s="919"/>
      <c r="N135" s="914">
        <f t="shared" si="18"/>
        <v>0</v>
      </c>
      <c r="O135" s="914"/>
      <c r="P135" s="914">
        <f t="shared" si="19"/>
        <v>0</v>
      </c>
      <c r="Q135" s="914"/>
      <c r="R135" s="914">
        <f t="shared" ref="R135:R198" si="24">Q135*C135</f>
        <v>0</v>
      </c>
      <c r="S135" s="915">
        <f t="shared" ref="S135:S198" si="25">G135+I135+K135+M135+E135+O135+Q135</f>
        <v>0</v>
      </c>
      <c r="T135" s="911">
        <f t="shared" ref="T135:T198" si="26">S135*C135</f>
        <v>0</v>
      </c>
    </row>
    <row r="136" spans="1:20" ht="250.5" hidden="1" customHeight="1">
      <c r="A136" s="905">
        <v>10.199999999999999</v>
      </c>
      <c r="B136" s="924" t="s">
        <v>6609</v>
      </c>
      <c r="C136" s="921"/>
      <c r="D136" s="908"/>
      <c r="E136" s="911"/>
      <c r="F136" s="1053">
        <f t="shared" si="20"/>
        <v>0</v>
      </c>
      <c r="G136" s="914"/>
      <c r="H136" s="914">
        <f t="shared" si="21"/>
        <v>0</v>
      </c>
      <c r="I136" s="914"/>
      <c r="J136" s="914">
        <f t="shared" si="22"/>
        <v>0</v>
      </c>
      <c r="K136" s="914"/>
      <c r="L136" s="914">
        <f t="shared" si="23"/>
        <v>0</v>
      </c>
      <c r="M136" s="914"/>
      <c r="N136" s="914">
        <f t="shared" si="18"/>
        <v>0</v>
      </c>
      <c r="O136" s="914"/>
      <c r="P136" s="914">
        <f t="shared" si="19"/>
        <v>0</v>
      </c>
      <c r="Q136" s="914"/>
      <c r="R136" s="914">
        <f t="shared" si="24"/>
        <v>0</v>
      </c>
      <c r="S136" s="915">
        <f t="shared" si="25"/>
        <v>0</v>
      </c>
      <c r="T136" s="911">
        <f t="shared" si="26"/>
        <v>0</v>
      </c>
    </row>
    <row r="137" spans="1:20" ht="250.5" hidden="1" customHeight="1">
      <c r="A137" s="905"/>
      <c r="B137" s="906" t="s">
        <v>541</v>
      </c>
      <c r="C137" s="921">
        <f>ROUND(DATA!AG409,2)</f>
        <v>842.74</v>
      </c>
      <c r="D137" s="908" t="s">
        <v>1834</v>
      </c>
      <c r="E137" s="914"/>
      <c r="F137" s="1053">
        <f t="shared" si="20"/>
        <v>0</v>
      </c>
      <c r="G137" s="914"/>
      <c r="H137" s="914">
        <f t="shared" si="21"/>
        <v>0</v>
      </c>
      <c r="I137" s="914"/>
      <c r="J137" s="914">
        <f t="shared" si="22"/>
        <v>0</v>
      </c>
      <c r="K137" s="914"/>
      <c r="L137" s="914">
        <f t="shared" si="23"/>
        <v>0</v>
      </c>
      <c r="M137" s="914"/>
      <c r="N137" s="914">
        <f t="shared" si="18"/>
        <v>0</v>
      </c>
      <c r="O137" s="914"/>
      <c r="P137" s="914">
        <f t="shared" si="19"/>
        <v>0</v>
      </c>
      <c r="Q137" s="914"/>
      <c r="R137" s="914">
        <f t="shared" si="24"/>
        <v>0</v>
      </c>
      <c r="S137" s="915">
        <f t="shared" si="25"/>
        <v>0</v>
      </c>
      <c r="T137" s="911">
        <f t="shared" si="26"/>
        <v>0</v>
      </c>
    </row>
    <row r="138" spans="1:20" ht="250.5" hidden="1" customHeight="1">
      <c r="A138" s="905"/>
      <c r="B138" s="906" t="s">
        <v>3784</v>
      </c>
      <c r="C138" s="921">
        <f>ROUND(DATA!AG411,2)</f>
        <v>851.73</v>
      </c>
      <c r="D138" s="908" t="s">
        <v>1834</v>
      </c>
      <c r="E138" s="930"/>
      <c r="F138" s="1053">
        <f t="shared" si="20"/>
        <v>0</v>
      </c>
      <c r="G138" s="914"/>
      <c r="H138" s="914">
        <f t="shared" si="21"/>
        <v>0</v>
      </c>
      <c r="I138" s="914"/>
      <c r="J138" s="914">
        <f t="shared" si="22"/>
        <v>0</v>
      </c>
      <c r="K138" s="914"/>
      <c r="L138" s="914">
        <f t="shared" si="23"/>
        <v>0</v>
      </c>
      <c r="M138" s="914"/>
      <c r="N138" s="914">
        <f t="shared" si="18"/>
        <v>0</v>
      </c>
      <c r="O138" s="914"/>
      <c r="P138" s="914">
        <f t="shared" si="19"/>
        <v>0</v>
      </c>
      <c r="Q138" s="914"/>
      <c r="R138" s="914">
        <f t="shared" si="24"/>
        <v>0</v>
      </c>
      <c r="S138" s="915">
        <f t="shared" si="25"/>
        <v>0</v>
      </c>
      <c r="T138" s="911">
        <f t="shared" si="26"/>
        <v>0</v>
      </c>
    </row>
    <row r="139" spans="1:20" ht="250.5" hidden="1" customHeight="1">
      <c r="A139" s="905"/>
      <c r="B139" s="906" t="s">
        <v>544</v>
      </c>
      <c r="C139" s="921">
        <f>ROUND(DATA!AG412,2)</f>
        <v>869.88</v>
      </c>
      <c r="D139" s="908" t="s">
        <v>1834</v>
      </c>
      <c r="E139" s="914"/>
      <c r="F139" s="1053">
        <f t="shared" si="20"/>
        <v>0</v>
      </c>
      <c r="G139" s="914"/>
      <c r="H139" s="914">
        <f t="shared" si="21"/>
        <v>0</v>
      </c>
      <c r="I139" s="914"/>
      <c r="J139" s="914">
        <f t="shared" si="22"/>
        <v>0</v>
      </c>
      <c r="K139" s="914"/>
      <c r="L139" s="914">
        <f t="shared" si="23"/>
        <v>0</v>
      </c>
      <c r="M139" s="914"/>
      <c r="N139" s="914">
        <f t="shared" si="18"/>
        <v>0</v>
      </c>
      <c r="O139" s="914"/>
      <c r="P139" s="914">
        <f t="shared" si="19"/>
        <v>0</v>
      </c>
      <c r="Q139" s="914"/>
      <c r="R139" s="914">
        <f t="shared" si="24"/>
        <v>0</v>
      </c>
      <c r="S139" s="915">
        <f t="shared" si="25"/>
        <v>0</v>
      </c>
      <c r="T139" s="911">
        <f t="shared" si="26"/>
        <v>0</v>
      </c>
    </row>
    <row r="140" spans="1:20" ht="250.5" hidden="1" customHeight="1">
      <c r="A140" s="905"/>
      <c r="B140" s="906" t="s">
        <v>1798</v>
      </c>
      <c r="C140" s="921">
        <f>ROUND(DATA!AG413,2)</f>
        <v>888.03</v>
      </c>
      <c r="D140" s="908" t="s">
        <v>1834</v>
      </c>
      <c r="E140" s="919"/>
      <c r="F140" s="1053">
        <f t="shared" si="20"/>
        <v>0</v>
      </c>
      <c r="G140" s="919"/>
      <c r="H140" s="914">
        <f t="shared" si="21"/>
        <v>0</v>
      </c>
      <c r="I140" s="919"/>
      <c r="J140" s="914">
        <f t="shared" si="22"/>
        <v>0</v>
      </c>
      <c r="K140" s="919"/>
      <c r="L140" s="914">
        <f t="shared" si="23"/>
        <v>0</v>
      </c>
      <c r="M140" s="919"/>
      <c r="N140" s="914">
        <f t="shared" si="18"/>
        <v>0</v>
      </c>
      <c r="O140" s="914"/>
      <c r="P140" s="914">
        <f t="shared" si="19"/>
        <v>0</v>
      </c>
      <c r="Q140" s="914"/>
      <c r="R140" s="914">
        <f t="shared" si="24"/>
        <v>0</v>
      </c>
      <c r="S140" s="915">
        <f t="shared" si="25"/>
        <v>0</v>
      </c>
      <c r="T140" s="911">
        <f t="shared" si="26"/>
        <v>0</v>
      </c>
    </row>
    <row r="141" spans="1:20" ht="250.5" hidden="1" customHeight="1">
      <c r="A141" s="905"/>
      <c r="B141" s="906" t="s">
        <v>2205</v>
      </c>
      <c r="C141" s="921">
        <f>ROUND(DATA!AG414,2)</f>
        <v>906.18</v>
      </c>
      <c r="D141" s="908" t="s">
        <v>1834</v>
      </c>
      <c r="E141" s="919"/>
      <c r="F141" s="1053">
        <f t="shared" si="20"/>
        <v>0</v>
      </c>
      <c r="G141" s="919"/>
      <c r="H141" s="914">
        <f t="shared" si="21"/>
        <v>0</v>
      </c>
      <c r="I141" s="919"/>
      <c r="J141" s="914">
        <f t="shared" si="22"/>
        <v>0</v>
      </c>
      <c r="K141" s="919"/>
      <c r="L141" s="914">
        <f t="shared" si="23"/>
        <v>0</v>
      </c>
      <c r="M141" s="919"/>
      <c r="N141" s="914">
        <f t="shared" si="18"/>
        <v>0</v>
      </c>
      <c r="O141" s="914"/>
      <c r="P141" s="914">
        <f t="shared" si="19"/>
        <v>0</v>
      </c>
      <c r="Q141" s="914"/>
      <c r="R141" s="914">
        <f t="shared" si="24"/>
        <v>0</v>
      </c>
      <c r="S141" s="915">
        <f t="shared" si="25"/>
        <v>0</v>
      </c>
      <c r="T141" s="911">
        <f t="shared" si="26"/>
        <v>0</v>
      </c>
    </row>
    <row r="142" spans="1:20" ht="250.5" hidden="1" customHeight="1">
      <c r="A142" s="928"/>
      <c r="B142" s="906" t="s">
        <v>1060</v>
      </c>
      <c r="C142" s="921">
        <f>ROUND(DATA!AG415,2)</f>
        <v>924.33</v>
      </c>
      <c r="D142" s="908" t="s">
        <v>1834</v>
      </c>
      <c r="E142" s="919"/>
      <c r="F142" s="1053">
        <f t="shared" si="20"/>
        <v>0</v>
      </c>
      <c r="G142" s="919"/>
      <c r="H142" s="914">
        <f t="shared" si="21"/>
        <v>0</v>
      </c>
      <c r="I142" s="919"/>
      <c r="J142" s="914">
        <f t="shared" si="22"/>
        <v>0</v>
      </c>
      <c r="K142" s="919"/>
      <c r="L142" s="914">
        <f t="shared" si="23"/>
        <v>0</v>
      </c>
      <c r="M142" s="919"/>
      <c r="N142" s="914">
        <f t="shared" si="18"/>
        <v>0</v>
      </c>
      <c r="O142" s="914"/>
      <c r="P142" s="914">
        <f t="shared" si="19"/>
        <v>0</v>
      </c>
      <c r="Q142" s="914"/>
      <c r="R142" s="914">
        <f t="shared" si="24"/>
        <v>0</v>
      </c>
      <c r="S142" s="915">
        <f t="shared" si="25"/>
        <v>0</v>
      </c>
      <c r="T142" s="911">
        <f t="shared" si="26"/>
        <v>0</v>
      </c>
    </row>
    <row r="143" spans="1:20" ht="250.5" hidden="1" customHeight="1">
      <c r="A143" s="928"/>
      <c r="B143" s="906" t="s">
        <v>3761</v>
      </c>
      <c r="C143" s="921">
        <f>ROUND(DATA!AG416,2)</f>
        <v>942.48</v>
      </c>
      <c r="D143" s="908" t="s">
        <v>1834</v>
      </c>
      <c r="E143" s="919"/>
      <c r="F143" s="1053">
        <f t="shared" si="20"/>
        <v>0</v>
      </c>
      <c r="G143" s="919"/>
      <c r="H143" s="914">
        <f t="shared" si="21"/>
        <v>0</v>
      </c>
      <c r="I143" s="919"/>
      <c r="J143" s="914">
        <f t="shared" si="22"/>
        <v>0</v>
      </c>
      <c r="K143" s="919"/>
      <c r="L143" s="914">
        <f t="shared" si="23"/>
        <v>0</v>
      </c>
      <c r="M143" s="919"/>
      <c r="N143" s="914">
        <f t="shared" si="18"/>
        <v>0</v>
      </c>
      <c r="O143" s="914"/>
      <c r="P143" s="914">
        <f t="shared" si="19"/>
        <v>0</v>
      </c>
      <c r="Q143" s="914"/>
      <c r="R143" s="914">
        <f t="shared" si="24"/>
        <v>0</v>
      </c>
      <c r="S143" s="915">
        <f t="shared" si="25"/>
        <v>0</v>
      </c>
      <c r="T143" s="911">
        <f t="shared" si="26"/>
        <v>0</v>
      </c>
    </row>
    <row r="144" spans="1:20" ht="250.5" hidden="1" customHeight="1">
      <c r="A144" s="928"/>
      <c r="B144" s="906" t="s">
        <v>3762</v>
      </c>
      <c r="C144" s="921">
        <f>ROUND(DATA!AG417,2)</f>
        <v>960.63</v>
      </c>
      <c r="D144" s="908" t="s">
        <v>1834</v>
      </c>
      <c r="E144" s="919"/>
      <c r="F144" s="1053">
        <f t="shared" si="20"/>
        <v>0</v>
      </c>
      <c r="G144" s="919"/>
      <c r="H144" s="914">
        <f t="shared" si="21"/>
        <v>0</v>
      </c>
      <c r="I144" s="919"/>
      <c r="J144" s="914">
        <f t="shared" si="22"/>
        <v>0</v>
      </c>
      <c r="K144" s="919"/>
      <c r="L144" s="914">
        <f t="shared" si="23"/>
        <v>0</v>
      </c>
      <c r="M144" s="919"/>
      <c r="N144" s="914">
        <f t="shared" si="18"/>
        <v>0</v>
      </c>
      <c r="O144" s="914"/>
      <c r="P144" s="914">
        <f t="shared" si="19"/>
        <v>0</v>
      </c>
      <c r="Q144" s="914"/>
      <c r="R144" s="914">
        <f t="shared" si="24"/>
        <v>0</v>
      </c>
      <c r="S144" s="915">
        <f t="shared" si="25"/>
        <v>0</v>
      </c>
      <c r="T144" s="911">
        <f t="shared" si="26"/>
        <v>0</v>
      </c>
    </row>
    <row r="145" spans="1:20" ht="250.5" hidden="1" customHeight="1">
      <c r="A145" s="928"/>
      <c r="B145" s="906" t="s">
        <v>3763</v>
      </c>
      <c r="C145" s="921">
        <f>ROUND(DATA!AG418,2)</f>
        <v>978.78</v>
      </c>
      <c r="D145" s="908" t="s">
        <v>1834</v>
      </c>
      <c r="E145" s="919"/>
      <c r="F145" s="1053">
        <f t="shared" si="20"/>
        <v>0</v>
      </c>
      <c r="G145" s="919"/>
      <c r="H145" s="914">
        <f t="shared" si="21"/>
        <v>0</v>
      </c>
      <c r="I145" s="919"/>
      <c r="J145" s="914">
        <f t="shared" si="22"/>
        <v>0</v>
      </c>
      <c r="K145" s="919"/>
      <c r="L145" s="914">
        <f t="shared" si="23"/>
        <v>0</v>
      </c>
      <c r="M145" s="919"/>
      <c r="N145" s="914">
        <f t="shared" si="18"/>
        <v>0</v>
      </c>
      <c r="O145" s="914"/>
      <c r="P145" s="914">
        <f t="shared" si="19"/>
        <v>0</v>
      </c>
      <c r="Q145" s="914"/>
      <c r="R145" s="914">
        <f t="shared" si="24"/>
        <v>0</v>
      </c>
      <c r="S145" s="915">
        <f t="shared" si="25"/>
        <v>0</v>
      </c>
      <c r="T145" s="911">
        <f t="shared" si="26"/>
        <v>0</v>
      </c>
    </row>
    <row r="146" spans="1:20" ht="250.5" hidden="1" customHeight="1">
      <c r="A146" s="928"/>
      <c r="B146" s="906" t="s">
        <v>3764</v>
      </c>
      <c r="C146" s="921">
        <f>ROUND(DATA!AG419,2)</f>
        <v>996.93</v>
      </c>
      <c r="D146" s="908" t="s">
        <v>1834</v>
      </c>
      <c r="E146" s="919"/>
      <c r="F146" s="1053">
        <f t="shared" si="20"/>
        <v>0</v>
      </c>
      <c r="G146" s="919"/>
      <c r="H146" s="914">
        <f t="shared" si="21"/>
        <v>0</v>
      </c>
      <c r="I146" s="919"/>
      <c r="J146" s="914">
        <f t="shared" si="22"/>
        <v>0</v>
      </c>
      <c r="K146" s="919"/>
      <c r="L146" s="914">
        <f t="shared" si="23"/>
        <v>0</v>
      </c>
      <c r="M146" s="919"/>
      <c r="N146" s="914">
        <f t="shared" si="18"/>
        <v>0</v>
      </c>
      <c r="O146" s="914"/>
      <c r="P146" s="914">
        <f t="shared" si="19"/>
        <v>0</v>
      </c>
      <c r="Q146" s="914"/>
      <c r="R146" s="914">
        <f t="shared" si="24"/>
        <v>0</v>
      </c>
      <c r="S146" s="915">
        <f t="shared" si="25"/>
        <v>0</v>
      </c>
      <c r="T146" s="911">
        <f t="shared" si="26"/>
        <v>0</v>
      </c>
    </row>
    <row r="147" spans="1:20" ht="250.5" hidden="1" customHeight="1">
      <c r="A147" s="928"/>
      <c r="B147" s="906" t="s">
        <v>3765</v>
      </c>
      <c r="C147" s="921">
        <f>ROUND(DATA!AG420,2)</f>
        <v>1015.08</v>
      </c>
      <c r="D147" s="908" t="s">
        <v>1834</v>
      </c>
      <c r="E147" s="919"/>
      <c r="F147" s="1053">
        <f t="shared" si="20"/>
        <v>0</v>
      </c>
      <c r="G147" s="919"/>
      <c r="H147" s="914">
        <f t="shared" si="21"/>
        <v>0</v>
      </c>
      <c r="I147" s="919"/>
      <c r="J147" s="914">
        <f t="shared" si="22"/>
        <v>0</v>
      </c>
      <c r="K147" s="919"/>
      <c r="L147" s="914">
        <f t="shared" si="23"/>
        <v>0</v>
      </c>
      <c r="M147" s="919"/>
      <c r="N147" s="914">
        <f t="shared" si="18"/>
        <v>0</v>
      </c>
      <c r="O147" s="914"/>
      <c r="P147" s="914">
        <f t="shared" si="19"/>
        <v>0</v>
      </c>
      <c r="Q147" s="914"/>
      <c r="R147" s="914">
        <f t="shared" si="24"/>
        <v>0</v>
      </c>
      <c r="S147" s="915">
        <f t="shared" si="25"/>
        <v>0</v>
      </c>
      <c r="T147" s="911">
        <f t="shared" si="26"/>
        <v>0</v>
      </c>
    </row>
    <row r="148" spans="1:20" ht="250.5" hidden="1" customHeight="1">
      <c r="A148" s="928"/>
      <c r="B148" s="906" t="s">
        <v>3766</v>
      </c>
      <c r="C148" s="921">
        <f>ROUND(DATA!AG421,2)</f>
        <v>1033.23</v>
      </c>
      <c r="D148" s="908" t="s">
        <v>1834</v>
      </c>
      <c r="E148" s="919"/>
      <c r="F148" s="1053">
        <f t="shared" si="20"/>
        <v>0</v>
      </c>
      <c r="G148" s="919"/>
      <c r="H148" s="914">
        <f t="shared" si="21"/>
        <v>0</v>
      </c>
      <c r="I148" s="919"/>
      <c r="J148" s="914">
        <f t="shared" si="22"/>
        <v>0</v>
      </c>
      <c r="K148" s="919"/>
      <c r="L148" s="914">
        <f t="shared" si="23"/>
        <v>0</v>
      </c>
      <c r="M148" s="919"/>
      <c r="N148" s="914">
        <f t="shared" si="18"/>
        <v>0</v>
      </c>
      <c r="O148" s="914"/>
      <c r="P148" s="914">
        <f t="shared" si="19"/>
        <v>0</v>
      </c>
      <c r="Q148" s="914"/>
      <c r="R148" s="914">
        <f t="shared" si="24"/>
        <v>0</v>
      </c>
      <c r="S148" s="915">
        <f t="shared" si="25"/>
        <v>0</v>
      </c>
      <c r="T148" s="911">
        <f t="shared" si="26"/>
        <v>0</v>
      </c>
    </row>
    <row r="149" spans="1:20" ht="250.5" hidden="1" customHeight="1">
      <c r="A149" s="928"/>
      <c r="B149" s="906" t="s">
        <v>3767</v>
      </c>
      <c r="C149" s="921">
        <f>ROUND(DATA!AG422,2)</f>
        <v>1051.3800000000001</v>
      </c>
      <c r="D149" s="908" t="s">
        <v>1834</v>
      </c>
      <c r="E149" s="919"/>
      <c r="F149" s="1053">
        <f t="shared" si="20"/>
        <v>0</v>
      </c>
      <c r="G149" s="919"/>
      <c r="H149" s="914">
        <f t="shared" si="21"/>
        <v>0</v>
      </c>
      <c r="I149" s="919"/>
      <c r="J149" s="914">
        <f t="shared" si="22"/>
        <v>0</v>
      </c>
      <c r="K149" s="919"/>
      <c r="L149" s="914">
        <f t="shared" si="23"/>
        <v>0</v>
      </c>
      <c r="M149" s="919"/>
      <c r="N149" s="914">
        <f t="shared" si="18"/>
        <v>0</v>
      </c>
      <c r="O149" s="914"/>
      <c r="P149" s="914">
        <f t="shared" si="19"/>
        <v>0</v>
      </c>
      <c r="Q149" s="914"/>
      <c r="R149" s="914">
        <f t="shared" si="24"/>
        <v>0</v>
      </c>
      <c r="S149" s="915">
        <f t="shared" si="25"/>
        <v>0</v>
      </c>
      <c r="T149" s="911">
        <f t="shared" si="26"/>
        <v>0</v>
      </c>
    </row>
    <row r="150" spans="1:20" ht="250.5" hidden="1" customHeight="1">
      <c r="A150" s="928"/>
      <c r="B150" s="906" t="s">
        <v>3768</v>
      </c>
      <c r="C150" s="921">
        <f>DATA!AI422</f>
        <v>1069.53</v>
      </c>
      <c r="D150" s="908" t="s">
        <v>1834</v>
      </c>
      <c r="E150" s="919"/>
      <c r="F150" s="1053">
        <f t="shared" si="20"/>
        <v>0</v>
      </c>
      <c r="G150" s="919"/>
      <c r="H150" s="914">
        <f t="shared" si="21"/>
        <v>0</v>
      </c>
      <c r="I150" s="919"/>
      <c r="J150" s="914">
        <f t="shared" si="22"/>
        <v>0</v>
      </c>
      <c r="K150" s="919"/>
      <c r="L150" s="914">
        <f t="shared" si="23"/>
        <v>0</v>
      </c>
      <c r="M150" s="919"/>
      <c r="N150" s="914">
        <f t="shared" si="18"/>
        <v>0</v>
      </c>
      <c r="O150" s="914"/>
      <c r="P150" s="914">
        <f t="shared" si="19"/>
        <v>0</v>
      </c>
      <c r="Q150" s="914"/>
      <c r="R150" s="914">
        <f t="shared" si="24"/>
        <v>0</v>
      </c>
      <c r="S150" s="915">
        <f t="shared" si="25"/>
        <v>0</v>
      </c>
      <c r="T150" s="911">
        <f t="shared" si="26"/>
        <v>0</v>
      </c>
    </row>
    <row r="151" spans="1:20" ht="250.5" hidden="1" customHeight="1">
      <c r="A151" s="928"/>
      <c r="B151" s="906" t="s">
        <v>3773</v>
      </c>
      <c r="C151" s="921">
        <f>DATA!AI423</f>
        <v>1087.68</v>
      </c>
      <c r="D151" s="908" t="s">
        <v>1834</v>
      </c>
      <c r="E151" s="919"/>
      <c r="F151" s="1053">
        <f t="shared" si="20"/>
        <v>0</v>
      </c>
      <c r="G151" s="919"/>
      <c r="H151" s="914">
        <f t="shared" si="21"/>
        <v>0</v>
      </c>
      <c r="I151" s="919"/>
      <c r="J151" s="914">
        <f t="shared" si="22"/>
        <v>0</v>
      </c>
      <c r="K151" s="919"/>
      <c r="L151" s="914">
        <f t="shared" si="23"/>
        <v>0</v>
      </c>
      <c r="M151" s="919"/>
      <c r="N151" s="914">
        <f t="shared" si="18"/>
        <v>0</v>
      </c>
      <c r="O151" s="914"/>
      <c r="P151" s="914">
        <f t="shared" si="19"/>
        <v>0</v>
      </c>
      <c r="Q151" s="914"/>
      <c r="R151" s="914">
        <f t="shared" si="24"/>
        <v>0</v>
      </c>
      <c r="S151" s="915">
        <f t="shared" si="25"/>
        <v>0</v>
      </c>
      <c r="T151" s="911">
        <f t="shared" si="26"/>
        <v>0</v>
      </c>
    </row>
    <row r="152" spans="1:20" ht="250.5" hidden="1" customHeight="1">
      <c r="A152" s="905">
        <v>10.3</v>
      </c>
      <c r="B152" s="924" t="s">
        <v>6610</v>
      </c>
      <c r="C152" s="921"/>
      <c r="D152" s="908"/>
      <c r="E152" s="919"/>
      <c r="F152" s="1053">
        <f t="shared" si="20"/>
        <v>0</v>
      </c>
      <c r="G152" s="919"/>
      <c r="H152" s="914">
        <f t="shared" si="21"/>
        <v>0</v>
      </c>
      <c r="I152" s="919"/>
      <c r="J152" s="914">
        <f t="shared" si="22"/>
        <v>0</v>
      </c>
      <c r="K152" s="919"/>
      <c r="L152" s="914">
        <f t="shared" si="23"/>
        <v>0</v>
      </c>
      <c r="M152" s="919"/>
      <c r="N152" s="914">
        <f t="shared" si="18"/>
        <v>0</v>
      </c>
      <c r="O152" s="914"/>
      <c r="P152" s="914">
        <f t="shared" si="19"/>
        <v>0</v>
      </c>
      <c r="Q152" s="914"/>
      <c r="R152" s="914">
        <f t="shared" si="24"/>
        <v>0</v>
      </c>
      <c r="S152" s="915">
        <f t="shared" si="25"/>
        <v>0</v>
      </c>
      <c r="T152" s="911">
        <f t="shared" si="26"/>
        <v>0</v>
      </c>
    </row>
    <row r="153" spans="1:20" ht="250.5" hidden="1" customHeight="1">
      <c r="A153" s="905"/>
      <c r="B153" s="906" t="s">
        <v>541</v>
      </c>
      <c r="C153" s="921"/>
      <c r="D153" s="908" t="s">
        <v>1834</v>
      </c>
      <c r="E153" s="919"/>
      <c r="F153" s="1053">
        <f t="shared" si="20"/>
        <v>0</v>
      </c>
      <c r="G153" s="919"/>
      <c r="H153" s="914">
        <f t="shared" si="21"/>
        <v>0</v>
      </c>
      <c r="I153" s="919"/>
      <c r="J153" s="914">
        <f t="shared" si="22"/>
        <v>0</v>
      </c>
      <c r="K153" s="919"/>
      <c r="L153" s="914">
        <f t="shared" si="23"/>
        <v>0</v>
      </c>
      <c r="M153" s="919"/>
      <c r="N153" s="914">
        <f t="shared" si="18"/>
        <v>0</v>
      </c>
      <c r="O153" s="914"/>
      <c r="P153" s="914">
        <f t="shared" si="19"/>
        <v>0</v>
      </c>
      <c r="Q153" s="914"/>
      <c r="R153" s="914">
        <f t="shared" si="24"/>
        <v>0</v>
      </c>
      <c r="S153" s="915">
        <f t="shared" si="25"/>
        <v>0</v>
      </c>
      <c r="T153" s="911">
        <f t="shared" si="26"/>
        <v>0</v>
      </c>
    </row>
    <row r="154" spans="1:20" ht="250.5" hidden="1" customHeight="1">
      <c r="A154" s="905"/>
      <c r="B154" s="906" t="s">
        <v>542</v>
      </c>
      <c r="C154" s="921"/>
      <c r="D154" s="908" t="s">
        <v>1834</v>
      </c>
      <c r="E154" s="919"/>
      <c r="F154" s="1053">
        <f t="shared" si="20"/>
        <v>0</v>
      </c>
      <c r="G154" s="919"/>
      <c r="H154" s="914">
        <f t="shared" si="21"/>
        <v>0</v>
      </c>
      <c r="I154" s="919"/>
      <c r="J154" s="914">
        <f t="shared" si="22"/>
        <v>0</v>
      </c>
      <c r="K154" s="919"/>
      <c r="L154" s="914">
        <f t="shared" si="23"/>
        <v>0</v>
      </c>
      <c r="M154" s="919"/>
      <c r="N154" s="914">
        <f t="shared" si="18"/>
        <v>0</v>
      </c>
      <c r="O154" s="914"/>
      <c r="P154" s="914">
        <f t="shared" si="19"/>
        <v>0</v>
      </c>
      <c r="Q154" s="914"/>
      <c r="R154" s="914">
        <f t="shared" si="24"/>
        <v>0</v>
      </c>
      <c r="S154" s="915">
        <f t="shared" si="25"/>
        <v>0</v>
      </c>
      <c r="T154" s="911">
        <f t="shared" si="26"/>
        <v>0</v>
      </c>
    </row>
    <row r="155" spans="1:20" ht="250.5" hidden="1" customHeight="1">
      <c r="A155" s="905"/>
      <c r="B155" s="906" t="s">
        <v>544</v>
      </c>
      <c r="C155" s="921"/>
      <c r="D155" s="908" t="s">
        <v>1834</v>
      </c>
      <c r="E155" s="919"/>
      <c r="F155" s="1053">
        <f t="shared" si="20"/>
        <v>0</v>
      </c>
      <c r="G155" s="919"/>
      <c r="H155" s="914">
        <f t="shared" si="21"/>
        <v>0</v>
      </c>
      <c r="I155" s="919"/>
      <c r="J155" s="914">
        <f t="shared" si="22"/>
        <v>0</v>
      </c>
      <c r="K155" s="919"/>
      <c r="L155" s="914">
        <f t="shared" si="23"/>
        <v>0</v>
      </c>
      <c r="M155" s="919"/>
      <c r="N155" s="914">
        <f t="shared" si="18"/>
        <v>0</v>
      </c>
      <c r="O155" s="914"/>
      <c r="P155" s="914">
        <f t="shared" si="19"/>
        <v>0</v>
      </c>
      <c r="Q155" s="914"/>
      <c r="R155" s="914">
        <f t="shared" si="24"/>
        <v>0</v>
      </c>
      <c r="S155" s="915">
        <f t="shared" si="25"/>
        <v>0</v>
      </c>
      <c r="T155" s="911">
        <f t="shared" si="26"/>
        <v>0</v>
      </c>
    </row>
    <row r="156" spans="1:20" ht="250.5" hidden="1" customHeight="1">
      <c r="A156" s="905"/>
      <c r="B156" s="906" t="s">
        <v>1798</v>
      </c>
      <c r="C156" s="921"/>
      <c r="D156" s="908" t="s">
        <v>1834</v>
      </c>
      <c r="E156" s="919"/>
      <c r="F156" s="1053">
        <f t="shared" si="20"/>
        <v>0</v>
      </c>
      <c r="G156" s="919"/>
      <c r="H156" s="914">
        <f t="shared" si="21"/>
        <v>0</v>
      </c>
      <c r="I156" s="919"/>
      <c r="J156" s="914">
        <f t="shared" si="22"/>
        <v>0</v>
      </c>
      <c r="K156" s="919"/>
      <c r="L156" s="914">
        <f t="shared" si="23"/>
        <v>0</v>
      </c>
      <c r="M156" s="919"/>
      <c r="N156" s="914">
        <f t="shared" si="18"/>
        <v>0</v>
      </c>
      <c r="O156" s="914"/>
      <c r="P156" s="914">
        <f t="shared" si="19"/>
        <v>0</v>
      </c>
      <c r="Q156" s="914"/>
      <c r="R156" s="914">
        <f t="shared" si="24"/>
        <v>0</v>
      </c>
      <c r="S156" s="915">
        <f t="shared" si="25"/>
        <v>0</v>
      </c>
      <c r="T156" s="911">
        <f t="shared" si="26"/>
        <v>0</v>
      </c>
    </row>
    <row r="157" spans="1:20" ht="250.5" hidden="1" customHeight="1">
      <c r="A157" s="905"/>
      <c r="B157" s="906" t="s">
        <v>2205</v>
      </c>
      <c r="C157" s="921"/>
      <c r="D157" s="908" t="s">
        <v>1834</v>
      </c>
      <c r="E157" s="919"/>
      <c r="F157" s="1053">
        <f t="shared" si="20"/>
        <v>0</v>
      </c>
      <c r="G157" s="919"/>
      <c r="H157" s="914">
        <f t="shared" si="21"/>
        <v>0</v>
      </c>
      <c r="I157" s="919"/>
      <c r="J157" s="914">
        <f t="shared" si="22"/>
        <v>0</v>
      </c>
      <c r="K157" s="919"/>
      <c r="L157" s="914">
        <f t="shared" si="23"/>
        <v>0</v>
      </c>
      <c r="M157" s="919"/>
      <c r="N157" s="914">
        <f t="shared" si="18"/>
        <v>0</v>
      </c>
      <c r="O157" s="914"/>
      <c r="P157" s="914">
        <f t="shared" si="19"/>
        <v>0</v>
      </c>
      <c r="Q157" s="914"/>
      <c r="R157" s="914">
        <f t="shared" si="24"/>
        <v>0</v>
      </c>
      <c r="S157" s="915">
        <f t="shared" si="25"/>
        <v>0</v>
      </c>
      <c r="T157" s="911">
        <f t="shared" si="26"/>
        <v>0</v>
      </c>
    </row>
    <row r="158" spans="1:20" ht="250.5" hidden="1" customHeight="1">
      <c r="A158" s="928"/>
      <c r="B158" s="906" t="s">
        <v>1060</v>
      </c>
      <c r="C158" s="921"/>
      <c r="D158" s="908" t="s">
        <v>1834</v>
      </c>
      <c r="E158" s="919"/>
      <c r="F158" s="1053">
        <f t="shared" si="20"/>
        <v>0</v>
      </c>
      <c r="G158" s="919"/>
      <c r="H158" s="914">
        <f t="shared" si="21"/>
        <v>0</v>
      </c>
      <c r="I158" s="919"/>
      <c r="J158" s="914">
        <f t="shared" si="22"/>
        <v>0</v>
      </c>
      <c r="K158" s="919"/>
      <c r="L158" s="914">
        <f t="shared" si="23"/>
        <v>0</v>
      </c>
      <c r="M158" s="919"/>
      <c r="N158" s="914">
        <f t="shared" si="18"/>
        <v>0</v>
      </c>
      <c r="O158" s="914"/>
      <c r="P158" s="914">
        <f t="shared" si="19"/>
        <v>0</v>
      </c>
      <c r="Q158" s="914"/>
      <c r="R158" s="914">
        <f t="shared" si="24"/>
        <v>0</v>
      </c>
      <c r="S158" s="915">
        <f t="shared" si="25"/>
        <v>0</v>
      </c>
      <c r="T158" s="911">
        <f t="shared" si="26"/>
        <v>0</v>
      </c>
    </row>
    <row r="159" spans="1:20" ht="250.5" hidden="1" customHeight="1">
      <c r="A159" s="905">
        <v>10.4</v>
      </c>
      <c r="B159" s="924" t="s">
        <v>6611</v>
      </c>
      <c r="C159" s="921"/>
      <c r="D159" s="908"/>
      <c r="E159" s="919"/>
      <c r="F159" s="1053">
        <f t="shared" si="20"/>
        <v>0</v>
      </c>
      <c r="G159" s="919"/>
      <c r="H159" s="914">
        <f t="shared" si="21"/>
        <v>0</v>
      </c>
      <c r="I159" s="919"/>
      <c r="J159" s="914">
        <f t="shared" si="22"/>
        <v>0</v>
      </c>
      <c r="K159" s="919"/>
      <c r="L159" s="914">
        <f t="shared" si="23"/>
        <v>0</v>
      </c>
      <c r="M159" s="919"/>
      <c r="N159" s="914">
        <f t="shared" si="18"/>
        <v>0</v>
      </c>
      <c r="O159" s="914"/>
      <c r="P159" s="914">
        <f t="shared" si="19"/>
        <v>0</v>
      </c>
      <c r="Q159" s="914"/>
      <c r="R159" s="914">
        <f t="shared" si="24"/>
        <v>0</v>
      </c>
      <c r="S159" s="915">
        <f t="shared" si="25"/>
        <v>0</v>
      </c>
      <c r="T159" s="911">
        <f t="shared" si="26"/>
        <v>0</v>
      </c>
    </row>
    <row r="160" spans="1:20" ht="250.5" hidden="1" customHeight="1">
      <c r="A160" s="905"/>
      <c r="B160" s="906" t="s">
        <v>541</v>
      </c>
      <c r="C160" s="921"/>
      <c r="D160" s="908" t="s">
        <v>1834</v>
      </c>
      <c r="E160" s="919"/>
      <c r="F160" s="1053">
        <f t="shared" si="20"/>
        <v>0</v>
      </c>
      <c r="G160" s="919"/>
      <c r="H160" s="914">
        <f t="shared" si="21"/>
        <v>0</v>
      </c>
      <c r="I160" s="919"/>
      <c r="J160" s="914">
        <f t="shared" si="22"/>
        <v>0</v>
      </c>
      <c r="K160" s="919"/>
      <c r="L160" s="914">
        <f t="shared" si="23"/>
        <v>0</v>
      </c>
      <c r="M160" s="919"/>
      <c r="N160" s="914">
        <f t="shared" si="18"/>
        <v>0</v>
      </c>
      <c r="O160" s="914"/>
      <c r="P160" s="914">
        <f t="shared" si="19"/>
        <v>0</v>
      </c>
      <c r="Q160" s="914"/>
      <c r="R160" s="914">
        <f t="shared" si="24"/>
        <v>0</v>
      </c>
      <c r="S160" s="915">
        <f t="shared" si="25"/>
        <v>0</v>
      </c>
      <c r="T160" s="911">
        <f t="shared" si="26"/>
        <v>0</v>
      </c>
    </row>
    <row r="161" spans="1:114" ht="250.5" hidden="1" customHeight="1">
      <c r="A161" s="905"/>
      <c r="B161" s="906" t="s">
        <v>542</v>
      </c>
      <c r="C161" s="921"/>
      <c r="D161" s="908" t="s">
        <v>1834</v>
      </c>
      <c r="E161" s="919"/>
      <c r="F161" s="1053">
        <f t="shared" si="20"/>
        <v>0</v>
      </c>
      <c r="G161" s="919"/>
      <c r="H161" s="914">
        <f t="shared" si="21"/>
        <v>0</v>
      </c>
      <c r="I161" s="919"/>
      <c r="J161" s="914">
        <f t="shared" si="22"/>
        <v>0</v>
      </c>
      <c r="K161" s="919"/>
      <c r="L161" s="914">
        <f t="shared" si="23"/>
        <v>0</v>
      </c>
      <c r="M161" s="919"/>
      <c r="N161" s="914">
        <f t="shared" si="18"/>
        <v>0</v>
      </c>
      <c r="O161" s="914"/>
      <c r="P161" s="914">
        <f t="shared" si="19"/>
        <v>0</v>
      </c>
      <c r="Q161" s="914"/>
      <c r="R161" s="914">
        <f t="shared" si="24"/>
        <v>0</v>
      </c>
      <c r="S161" s="915">
        <f t="shared" si="25"/>
        <v>0</v>
      </c>
      <c r="T161" s="911">
        <f t="shared" si="26"/>
        <v>0</v>
      </c>
    </row>
    <row r="162" spans="1:114" ht="250.5" hidden="1" customHeight="1">
      <c r="A162" s="905"/>
      <c r="B162" s="906" t="s">
        <v>544</v>
      </c>
      <c r="C162" s="921"/>
      <c r="D162" s="908" t="s">
        <v>1834</v>
      </c>
      <c r="E162" s="919"/>
      <c r="F162" s="1053">
        <f t="shared" si="20"/>
        <v>0</v>
      </c>
      <c r="G162" s="919"/>
      <c r="H162" s="914">
        <f t="shared" si="21"/>
        <v>0</v>
      </c>
      <c r="I162" s="919"/>
      <c r="J162" s="914">
        <f t="shared" si="22"/>
        <v>0</v>
      </c>
      <c r="K162" s="919"/>
      <c r="L162" s="914">
        <f t="shared" si="23"/>
        <v>0</v>
      </c>
      <c r="M162" s="919"/>
      <c r="N162" s="914">
        <f t="shared" si="18"/>
        <v>0</v>
      </c>
      <c r="O162" s="914"/>
      <c r="P162" s="914">
        <f t="shared" si="19"/>
        <v>0</v>
      </c>
      <c r="Q162" s="914"/>
      <c r="R162" s="914">
        <f t="shared" si="24"/>
        <v>0</v>
      </c>
      <c r="S162" s="915">
        <f t="shared" si="25"/>
        <v>0</v>
      </c>
      <c r="T162" s="911">
        <f t="shared" si="26"/>
        <v>0</v>
      </c>
    </row>
    <row r="163" spans="1:114" ht="250.5" hidden="1" customHeight="1">
      <c r="A163" s="905"/>
      <c r="B163" s="906" t="s">
        <v>1798</v>
      </c>
      <c r="C163" s="921"/>
      <c r="D163" s="908" t="s">
        <v>1834</v>
      </c>
      <c r="E163" s="919"/>
      <c r="F163" s="1053">
        <f t="shared" si="20"/>
        <v>0</v>
      </c>
      <c r="G163" s="919"/>
      <c r="H163" s="914">
        <f t="shared" si="21"/>
        <v>0</v>
      </c>
      <c r="I163" s="919"/>
      <c r="J163" s="914">
        <f t="shared" si="22"/>
        <v>0</v>
      </c>
      <c r="K163" s="919"/>
      <c r="L163" s="914">
        <f t="shared" si="23"/>
        <v>0</v>
      </c>
      <c r="M163" s="919"/>
      <c r="N163" s="914">
        <f t="shared" si="18"/>
        <v>0</v>
      </c>
      <c r="O163" s="914"/>
      <c r="P163" s="914">
        <f t="shared" si="19"/>
        <v>0</v>
      </c>
      <c r="Q163" s="914"/>
      <c r="R163" s="914">
        <f t="shared" si="24"/>
        <v>0</v>
      </c>
      <c r="S163" s="915">
        <f t="shared" si="25"/>
        <v>0</v>
      </c>
      <c r="T163" s="911">
        <f t="shared" si="26"/>
        <v>0</v>
      </c>
    </row>
    <row r="164" spans="1:114" ht="250.5" hidden="1" customHeight="1">
      <c r="A164" s="905"/>
      <c r="B164" s="906" t="s">
        <v>2205</v>
      </c>
      <c r="C164" s="921"/>
      <c r="D164" s="908" t="s">
        <v>1834</v>
      </c>
      <c r="E164" s="919"/>
      <c r="F164" s="1053">
        <f t="shared" si="20"/>
        <v>0</v>
      </c>
      <c r="G164" s="919"/>
      <c r="H164" s="914">
        <f t="shared" si="21"/>
        <v>0</v>
      </c>
      <c r="I164" s="919"/>
      <c r="J164" s="914">
        <f t="shared" si="22"/>
        <v>0</v>
      </c>
      <c r="K164" s="919"/>
      <c r="L164" s="914">
        <f t="shared" si="23"/>
        <v>0</v>
      </c>
      <c r="M164" s="919"/>
      <c r="N164" s="914">
        <f t="shared" si="18"/>
        <v>0</v>
      </c>
      <c r="O164" s="914"/>
      <c r="P164" s="914">
        <f t="shared" si="19"/>
        <v>0</v>
      </c>
      <c r="Q164" s="914"/>
      <c r="R164" s="914">
        <f t="shared" si="24"/>
        <v>0</v>
      </c>
      <c r="S164" s="915">
        <f t="shared" si="25"/>
        <v>0</v>
      </c>
      <c r="T164" s="911">
        <f t="shared" si="26"/>
        <v>0</v>
      </c>
    </row>
    <row r="165" spans="1:114" ht="250.5" hidden="1" customHeight="1">
      <c r="A165" s="928"/>
      <c r="B165" s="906" t="s">
        <v>1060</v>
      </c>
      <c r="C165" s="921"/>
      <c r="D165" s="908" t="s">
        <v>1834</v>
      </c>
      <c r="E165" s="919"/>
      <c r="F165" s="1053">
        <f t="shared" si="20"/>
        <v>0</v>
      </c>
      <c r="G165" s="919"/>
      <c r="H165" s="914">
        <f t="shared" si="21"/>
        <v>0</v>
      </c>
      <c r="I165" s="919"/>
      <c r="J165" s="914">
        <f t="shared" si="22"/>
        <v>0</v>
      </c>
      <c r="K165" s="919"/>
      <c r="L165" s="914">
        <f t="shared" si="23"/>
        <v>0</v>
      </c>
      <c r="M165" s="919"/>
      <c r="N165" s="914">
        <f t="shared" si="18"/>
        <v>0</v>
      </c>
      <c r="O165" s="914"/>
      <c r="P165" s="914">
        <f t="shared" si="19"/>
        <v>0</v>
      </c>
      <c r="Q165" s="914"/>
      <c r="R165" s="914">
        <f t="shared" si="24"/>
        <v>0</v>
      </c>
      <c r="S165" s="915">
        <f t="shared" si="25"/>
        <v>0</v>
      </c>
      <c r="T165" s="911">
        <f t="shared" si="26"/>
        <v>0</v>
      </c>
    </row>
    <row r="166" spans="1:114" s="920" customFormat="1" ht="250.5" hidden="1" customHeight="1">
      <c r="A166" s="916">
        <v>10.5</v>
      </c>
      <c r="B166" s="925" t="s">
        <v>6612</v>
      </c>
      <c r="C166" s="918"/>
      <c r="D166" s="898"/>
      <c r="E166" s="919"/>
      <c r="F166" s="1053">
        <f t="shared" si="20"/>
        <v>0</v>
      </c>
      <c r="G166" s="919"/>
      <c r="H166" s="914">
        <f t="shared" si="21"/>
        <v>0</v>
      </c>
      <c r="I166" s="919"/>
      <c r="J166" s="914">
        <f t="shared" si="22"/>
        <v>0</v>
      </c>
      <c r="K166" s="919"/>
      <c r="L166" s="914">
        <f t="shared" si="23"/>
        <v>0</v>
      </c>
      <c r="M166" s="919"/>
      <c r="N166" s="914">
        <f t="shared" si="18"/>
        <v>0</v>
      </c>
      <c r="O166" s="914"/>
      <c r="P166" s="914">
        <f t="shared" si="19"/>
        <v>0</v>
      </c>
      <c r="Q166" s="914"/>
      <c r="R166" s="914">
        <f t="shared" si="24"/>
        <v>0</v>
      </c>
      <c r="S166" s="915">
        <f t="shared" si="25"/>
        <v>0</v>
      </c>
      <c r="T166" s="911">
        <f t="shared" si="26"/>
        <v>0</v>
      </c>
      <c r="U166" s="1172"/>
      <c r="V166" s="1172"/>
      <c r="W166" s="1172"/>
      <c r="X166" s="1172"/>
      <c r="Y166" s="1172"/>
      <c r="Z166" s="1172"/>
      <c r="AA166" s="1172"/>
      <c r="AB166" s="1172"/>
      <c r="AC166" s="1172"/>
      <c r="AD166" s="1172"/>
      <c r="AE166" s="1172"/>
      <c r="AF166" s="1172"/>
      <c r="AG166" s="1172"/>
      <c r="AH166" s="1172"/>
      <c r="AI166" s="1172"/>
      <c r="AJ166" s="1172"/>
      <c r="AK166" s="1172"/>
      <c r="AL166" s="1172"/>
      <c r="AM166" s="1172"/>
      <c r="AN166" s="1172"/>
      <c r="AO166" s="1172"/>
      <c r="AP166" s="1172"/>
      <c r="AQ166" s="1172"/>
      <c r="AR166" s="1172"/>
      <c r="AS166" s="1172"/>
      <c r="AT166" s="1172"/>
      <c r="AU166" s="1172"/>
      <c r="AV166" s="1172"/>
      <c r="AW166" s="1172"/>
      <c r="AX166" s="1172"/>
      <c r="AY166" s="1172"/>
      <c r="AZ166" s="1172"/>
      <c r="BA166" s="1172"/>
      <c r="BB166" s="1172"/>
      <c r="BC166" s="1172"/>
      <c r="BD166" s="1172"/>
      <c r="BE166" s="1172"/>
      <c r="BF166" s="1172"/>
      <c r="BG166" s="1172"/>
      <c r="BH166" s="1172"/>
      <c r="BI166" s="1172"/>
      <c r="BJ166" s="1172"/>
      <c r="BK166" s="1172"/>
      <c r="BL166" s="1172"/>
      <c r="BM166" s="1172"/>
      <c r="BN166" s="1172"/>
      <c r="BO166" s="1172"/>
      <c r="BP166" s="1172"/>
      <c r="BQ166" s="1172"/>
      <c r="BR166" s="1172"/>
      <c r="BS166" s="1172"/>
      <c r="BT166" s="1172"/>
      <c r="BU166" s="1172"/>
      <c r="BV166" s="1172"/>
      <c r="BW166" s="1172"/>
      <c r="BX166" s="1172"/>
      <c r="BY166" s="1172"/>
      <c r="BZ166" s="1172"/>
      <c r="CA166" s="1172"/>
      <c r="CB166" s="1172"/>
      <c r="CC166" s="1172"/>
      <c r="CD166" s="1172"/>
      <c r="CE166" s="1172"/>
      <c r="CF166" s="1172"/>
      <c r="CG166" s="1172"/>
      <c r="CH166" s="1172"/>
      <c r="CI166" s="1172"/>
      <c r="CJ166" s="1172"/>
      <c r="CK166" s="1172"/>
      <c r="CL166" s="1172"/>
      <c r="CM166" s="1172"/>
      <c r="CN166" s="1172"/>
      <c r="CO166" s="1172"/>
      <c r="CP166" s="1172"/>
      <c r="CQ166" s="1172"/>
      <c r="CR166" s="1172"/>
      <c r="CS166" s="1172"/>
      <c r="CT166" s="1172"/>
      <c r="CU166" s="1172"/>
      <c r="CV166" s="1172"/>
      <c r="CW166" s="1172"/>
      <c r="CX166" s="1172"/>
      <c r="CY166" s="1172"/>
      <c r="CZ166" s="1172"/>
      <c r="DA166" s="1172"/>
      <c r="DB166" s="1172"/>
      <c r="DC166" s="1172"/>
      <c r="DD166" s="1172"/>
      <c r="DE166" s="1172"/>
      <c r="DF166" s="1172"/>
      <c r="DG166" s="1172"/>
      <c r="DH166" s="1172"/>
      <c r="DI166" s="1172"/>
      <c r="DJ166" s="1172"/>
    </row>
    <row r="167" spans="1:114" s="920" customFormat="1" ht="250.5" hidden="1" customHeight="1">
      <c r="A167" s="916"/>
      <c r="B167" s="917" t="s">
        <v>541</v>
      </c>
      <c r="C167" s="918">
        <f>ROUND(DATA!K400,2)</f>
        <v>799.8</v>
      </c>
      <c r="D167" s="898" t="s">
        <v>1834</v>
      </c>
      <c r="E167" s="919"/>
      <c r="F167" s="1053">
        <f t="shared" si="20"/>
        <v>0</v>
      </c>
      <c r="G167" s="919"/>
      <c r="H167" s="914">
        <f t="shared" si="21"/>
        <v>0</v>
      </c>
      <c r="I167" s="919"/>
      <c r="J167" s="914">
        <f t="shared" si="22"/>
        <v>0</v>
      </c>
      <c r="K167" s="919"/>
      <c r="L167" s="914">
        <f t="shared" si="23"/>
        <v>0</v>
      </c>
      <c r="M167" s="919"/>
      <c r="N167" s="914">
        <f t="shared" si="18"/>
        <v>0</v>
      </c>
      <c r="O167" s="914"/>
      <c r="P167" s="914">
        <f t="shared" si="19"/>
        <v>0</v>
      </c>
      <c r="Q167" s="914"/>
      <c r="R167" s="914">
        <f t="shared" si="24"/>
        <v>0</v>
      </c>
      <c r="S167" s="915">
        <f t="shared" si="25"/>
        <v>0</v>
      </c>
      <c r="T167" s="911">
        <f t="shared" si="26"/>
        <v>0</v>
      </c>
      <c r="U167" s="1172"/>
      <c r="V167" s="1172"/>
      <c r="W167" s="1172"/>
      <c r="X167" s="1172"/>
      <c r="Y167" s="1172"/>
      <c r="Z167" s="1172"/>
      <c r="AA167" s="1172"/>
      <c r="AB167" s="1172"/>
      <c r="AC167" s="1172"/>
      <c r="AD167" s="1172"/>
      <c r="AE167" s="1172"/>
      <c r="AF167" s="1172"/>
      <c r="AG167" s="1172"/>
      <c r="AH167" s="1172"/>
      <c r="AI167" s="1172"/>
      <c r="AJ167" s="1172"/>
      <c r="AK167" s="1172"/>
      <c r="AL167" s="1172"/>
      <c r="AM167" s="1172"/>
      <c r="AN167" s="1172"/>
      <c r="AO167" s="1172"/>
      <c r="AP167" s="1172"/>
      <c r="AQ167" s="1172"/>
      <c r="AR167" s="1172"/>
      <c r="AS167" s="1172"/>
      <c r="AT167" s="1172"/>
      <c r="AU167" s="1172"/>
      <c r="AV167" s="1172"/>
      <c r="AW167" s="1172"/>
      <c r="AX167" s="1172"/>
      <c r="AY167" s="1172"/>
      <c r="AZ167" s="1172"/>
      <c r="BA167" s="1172"/>
      <c r="BB167" s="1172"/>
      <c r="BC167" s="1172"/>
      <c r="BD167" s="1172"/>
      <c r="BE167" s="1172"/>
      <c r="BF167" s="1172"/>
      <c r="BG167" s="1172"/>
      <c r="BH167" s="1172"/>
      <c r="BI167" s="1172"/>
      <c r="BJ167" s="1172"/>
      <c r="BK167" s="1172"/>
      <c r="BL167" s="1172"/>
      <c r="BM167" s="1172"/>
      <c r="BN167" s="1172"/>
      <c r="BO167" s="1172"/>
      <c r="BP167" s="1172"/>
      <c r="BQ167" s="1172"/>
      <c r="BR167" s="1172"/>
      <c r="BS167" s="1172"/>
      <c r="BT167" s="1172"/>
      <c r="BU167" s="1172"/>
      <c r="BV167" s="1172"/>
      <c r="BW167" s="1172"/>
      <c r="BX167" s="1172"/>
      <c r="BY167" s="1172"/>
      <c r="BZ167" s="1172"/>
      <c r="CA167" s="1172"/>
      <c r="CB167" s="1172"/>
      <c r="CC167" s="1172"/>
      <c r="CD167" s="1172"/>
      <c r="CE167" s="1172"/>
      <c r="CF167" s="1172"/>
      <c r="CG167" s="1172"/>
      <c r="CH167" s="1172"/>
      <c r="CI167" s="1172"/>
      <c r="CJ167" s="1172"/>
      <c r="CK167" s="1172"/>
      <c r="CL167" s="1172"/>
      <c r="CM167" s="1172"/>
      <c r="CN167" s="1172"/>
      <c r="CO167" s="1172"/>
      <c r="CP167" s="1172"/>
      <c r="CQ167" s="1172"/>
      <c r="CR167" s="1172"/>
      <c r="CS167" s="1172"/>
      <c r="CT167" s="1172"/>
      <c r="CU167" s="1172"/>
      <c r="CV167" s="1172"/>
      <c r="CW167" s="1172"/>
      <c r="CX167" s="1172"/>
      <c r="CY167" s="1172"/>
      <c r="CZ167" s="1172"/>
      <c r="DA167" s="1172"/>
      <c r="DB167" s="1172"/>
      <c r="DC167" s="1172"/>
      <c r="DD167" s="1172"/>
      <c r="DE167" s="1172"/>
      <c r="DF167" s="1172"/>
      <c r="DG167" s="1172"/>
      <c r="DH167" s="1172"/>
      <c r="DI167" s="1172"/>
      <c r="DJ167" s="1172"/>
    </row>
    <row r="168" spans="1:114" s="920" customFormat="1" ht="250.5" hidden="1" customHeight="1">
      <c r="A168" s="916"/>
      <c r="B168" s="917" t="s">
        <v>542</v>
      </c>
      <c r="C168" s="918">
        <f>ROUND(DATA!K402,2)</f>
        <v>808.48</v>
      </c>
      <c r="D168" s="898" t="s">
        <v>1834</v>
      </c>
      <c r="E168" s="919"/>
      <c r="F168" s="1053">
        <f t="shared" si="20"/>
        <v>0</v>
      </c>
      <c r="G168" s="919"/>
      <c r="H168" s="914">
        <f t="shared" si="21"/>
        <v>0</v>
      </c>
      <c r="I168" s="919"/>
      <c r="J168" s="914">
        <f t="shared" si="22"/>
        <v>0</v>
      </c>
      <c r="K168" s="919"/>
      <c r="L168" s="914">
        <f t="shared" si="23"/>
        <v>0</v>
      </c>
      <c r="M168" s="919"/>
      <c r="N168" s="914">
        <f t="shared" si="18"/>
        <v>0</v>
      </c>
      <c r="O168" s="914"/>
      <c r="P168" s="914">
        <f t="shared" si="19"/>
        <v>0</v>
      </c>
      <c r="Q168" s="914"/>
      <c r="R168" s="914">
        <f t="shared" si="24"/>
        <v>0</v>
      </c>
      <c r="S168" s="915">
        <f t="shared" si="25"/>
        <v>0</v>
      </c>
      <c r="T168" s="911">
        <f t="shared" si="26"/>
        <v>0</v>
      </c>
      <c r="U168" s="1172"/>
      <c r="V168" s="1172"/>
      <c r="W168" s="1172"/>
      <c r="X168" s="1172"/>
      <c r="Y168" s="1172"/>
      <c r="Z168" s="1172"/>
      <c r="AA168" s="1172"/>
      <c r="AB168" s="1172"/>
      <c r="AC168" s="1172"/>
      <c r="AD168" s="1172"/>
      <c r="AE168" s="1172"/>
      <c r="AF168" s="1172"/>
      <c r="AG168" s="1172"/>
      <c r="AH168" s="1172"/>
      <c r="AI168" s="1172"/>
      <c r="AJ168" s="1172"/>
      <c r="AK168" s="1172"/>
      <c r="AL168" s="1172"/>
      <c r="AM168" s="1172"/>
      <c r="AN168" s="1172"/>
      <c r="AO168" s="1172"/>
      <c r="AP168" s="1172"/>
      <c r="AQ168" s="1172"/>
      <c r="AR168" s="1172"/>
      <c r="AS168" s="1172"/>
      <c r="AT168" s="1172"/>
      <c r="AU168" s="1172"/>
      <c r="AV168" s="1172"/>
      <c r="AW168" s="1172"/>
      <c r="AX168" s="1172"/>
      <c r="AY168" s="1172"/>
      <c r="AZ168" s="1172"/>
      <c r="BA168" s="1172"/>
      <c r="BB168" s="1172"/>
      <c r="BC168" s="1172"/>
      <c r="BD168" s="1172"/>
      <c r="BE168" s="1172"/>
      <c r="BF168" s="1172"/>
      <c r="BG168" s="1172"/>
      <c r="BH168" s="1172"/>
      <c r="BI168" s="1172"/>
      <c r="BJ168" s="1172"/>
      <c r="BK168" s="1172"/>
      <c r="BL168" s="1172"/>
      <c r="BM168" s="1172"/>
      <c r="BN168" s="1172"/>
      <c r="BO168" s="1172"/>
      <c r="BP168" s="1172"/>
      <c r="BQ168" s="1172"/>
      <c r="BR168" s="1172"/>
      <c r="BS168" s="1172"/>
      <c r="BT168" s="1172"/>
      <c r="BU168" s="1172"/>
      <c r="BV168" s="1172"/>
      <c r="BW168" s="1172"/>
      <c r="BX168" s="1172"/>
      <c r="BY168" s="1172"/>
      <c r="BZ168" s="1172"/>
      <c r="CA168" s="1172"/>
      <c r="CB168" s="1172"/>
      <c r="CC168" s="1172"/>
      <c r="CD168" s="1172"/>
      <c r="CE168" s="1172"/>
      <c r="CF168" s="1172"/>
      <c r="CG168" s="1172"/>
      <c r="CH168" s="1172"/>
      <c r="CI168" s="1172"/>
      <c r="CJ168" s="1172"/>
      <c r="CK168" s="1172"/>
      <c r="CL168" s="1172"/>
      <c r="CM168" s="1172"/>
      <c r="CN168" s="1172"/>
      <c r="CO168" s="1172"/>
      <c r="CP168" s="1172"/>
      <c r="CQ168" s="1172"/>
      <c r="CR168" s="1172"/>
      <c r="CS168" s="1172"/>
      <c r="CT168" s="1172"/>
      <c r="CU168" s="1172"/>
      <c r="CV168" s="1172"/>
      <c r="CW168" s="1172"/>
      <c r="CX168" s="1172"/>
      <c r="CY168" s="1172"/>
      <c r="CZ168" s="1172"/>
      <c r="DA168" s="1172"/>
      <c r="DB168" s="1172"/>
      <c r="DC168" s="1172"/>
      <c r="DD168" s="1172"/>
      <c r="DE168" s="1172"/>
      <c r="DF168" s="1172"/>
      <c r="DG168" s="1172"/>
      <c r="DH168" s="1172"/>
      <c r="DI168" s="1172"/>
      <c r="DJ168" s="1172"/>
    </row>
    <row r="169" spans="1:114" s="920" customFormat="1" ht="250.5" hidden="1" customHeight="1">
      <c r="A169" s="916"/>
      <c r="B169" s="917" t="s">
        <v>544</v>
      </c>
      <c r="C169" s="918">
        <f>ROUND(DATA!K403,2)</f>
        <v>825.99</v>
      </c>
      <c r="D169" s="898" t="s">
        <v>1834</v>
      </c>
      <c r="E169" s="919"/>
      <c r="F169" s="1053">
        <f t="shared" si="20"/>
        <v>0</v>
      </c>
      <c r="G169" s="919"/>
      <c r="H169" s="914">
        <f t="shared" si="21"/>
        <v>0</v>
      </c>
      <c r="I169" s="919"/>
      <c r="J169" s="914">
        <f t="shared" si="22"/>
        <v>0</v>
      </c>
      <c r="K169" s="919"/>
      <c r="L169" s="914">
        <f t="shared" si="23"/>
        <v>0</v>
      </c>
      <c r="M169" s="919"/>
      <c r="N169" s="914">
        <f t="shared" si="18"/>
        <v>0</v>
      </c>
      <c r="O169" s="914"/>
      <c r="P169" s="914">
        <f t="shared" si="19"/>
        <v>0</v>
      </c>
      <c r="Q169" s="914"/>
      <c r="R169" s="914">
        <f t="shared" si="24"/>
        <v>0</v>
      </c>
      <c r="S169" s="915">
        <f t="shared" si="25"/>
        <v>0</v>
      </c>
      <c r="T169" s="911">
        <f t="shared" si="26"/>
        <v>0</v>
      </c>
      <c r="U169" s="1172"/>
      <c r="V169" s="1172"/>
      <c r="W169" s="1172"/>
      <c r="X169" s="1172"/>
      <c r="Y169" s="1172"/>
      <c r="Z169" s="1172"/>
      <c r="AA169" s="1172"/>
      <c r="AB169" s="1172"/>
      <c r="AC169" s="1172"/>
      <c r="AD169" s="1172"/>
      <c r="AE169" s="1172"/>
      <c r="AF169" s="1172"/>
      <c r="AG169" s="1172"/>
      <c r="AH169" s="1172"/>
      <c r="AI169" s="1172"/>
      <c r="AJ169" s="1172"/>
      <c r="AK169" s="1172"/>
      <c r="AL169" s="1172"/>
      <c r="AM169" s="1172"/>
      <c r="AN169" s="1172"/>
      <c r="AO169" s="1172"/>
      <c r="AP169" s="1172"/>
      <c r="AQ169" s="1172"/>
      <c r="AR169" s="1172"/>
      <c r="AS169" s="1172"/>
      <c r="AT169" s="1172"/>
      <c r="AU169" s="1172"/>
      <c r="AV169" s="1172"/>
      <c r="AW169" s="1172"/>
      <c r="AX169" s="1172"/>
      <c r="AY169" s="1172"/>
      <c r="AZ169" s="1172"/>
      <c r="BA169" s="1172"/>
      <c r="BB169" s="1172"/>
      <c r="BC169" s="1172"/>
      <c r="BD169" s="1172"/>
      <c r="BE169" s="1172"/>
      <c r="BF169" s="1172"/>
      <c r="BG169" s="1172"/>
      <c r="BH169" s="1172"/>
      <c r="BI169" s="1172"/>
      <c r="BJ169" s="1172"/>
      <c r="BK169" s="1172"/>
      <c r="BL169" s="1172"/>
      <c r="BM169" s="1172"/>
      <c r="BN169" s="1172"/>
      <c r="BO169" s="1172"/>
      <c r="BP169" s="1172"/>
      <c r="BQ169" s="1172"/>
      <c r="BR169" s="1172"/>
      <c r="BS169" s="1172"/>
      <c r="BT169" s="1172"/>
      <c r="BU169" s="1172"/>
      <c r="BV169" s="1172"/>
      <c r="BW169" s="1172"/>
      <c r="BX169" s="1172"/>
      <c r="BY169" s="1172"/>
      <c r="BZ169" s="1172"/>
      <c r="CA169" s="1172"/>
      <c r="CB169" s="1172"/>
      <c r="CC169" s="1172"/>
      <c r="CD169" s="1172"/>
      <c r="CE169" s="1172"/>
      <c r="CF169" s="1172"/>
      <c r="CG169" s="1172"/>
      <c r="CH169" s="1172"/>
      <c r="CI169" s="1172"/>
      <c r="CJ169" s="1172"/>
      <c r="CK169" s="1172"/>
      <c r="CL169" s="1172"/>
      <c r="CM169" s="1172"/>
      <c r="CN169" s="1172"/>
      <c r="CO169" s="1172"/>
      <c r="CP169" s="1172"/>
      <c r="CQ169" s="1172"/>
      <c r="CR169" s="1172"/>
      <c r="CS169" s="1172"/>
      <c r="CT169" s="1172"/>
      <c r="CU169" s="1172"/>
      <c r="CV169" s="1172"/>
      <c r="CW169" s="1172"/>
      <c r="CX169" s="1172"/>
      <c r="CY169" s="1172"/>
      <c r="CZ169" s="1172"/>
      <c r="DA169" s="1172"/>
      <c r="DB169" s="1172"/>
      <c r="DC169" s="1172"/>
      <c r="DD169" s="1172"/>
      <c r="DE169" s="1172"/>
      <c r="DF169" s="1172"/>
      <c r="DG169" s="1172"/>
      <c r="DH169" s="1172"/>
      <c r="DI169" s="1172"/>
      <c r="DJ169" s="1172"/>
    </row>
    <row r="170" spans="1:114" s="920" customFormat="1" ht="250.5" hidden="1" customHeight="1">
      <c r="A170" s="916"/>
      <c r="B170" s="917" t="s">
        <v>1798</v>
      </c>
      <c r="C170" s="918">
        <f>ROUND(DATA!K404,2)</f>
        <v>843.5</v>
      </c>
      <c r="D170" s="898" t="s">
        <v>1834</v>
      </c>
      <c r="E170" s="919"/>
      <c r="F170" s="1053">
        <f t="shared" si="20"/>
        <v>0</v>
      </c>
      <c r="G170" s="919"/>
      <c r="H170" s="914">
        <f t="shared" si="21"/>
        <v>0</v>
      </c>
      <c r="I170" s="919"/>
      <c r="J170" s="914">
        <f t="shared" si="22"/>
        <v>0</v>
      </c>
      <c r="K170" s="919"/>
      <c r="L170" s="914">
        <f t="shared" si="23"/>
        <v>0</v>
      </c>
      <c r="M170" s="919"/>
      <c r="N170" s="914">
        <f t="shared" si="18"/>
        <v>0</v>
      </c>
      <c r="O170" s="914"/>
      <c r="P170" s="914">
        <f t="shared" si="19"/>
        <v>0</v>
      </c>
      <c r="Q170" s="914"/>
      <c r="R170" s="914">
        <f t="shared" si="24"/>
        <v>0</v>
      </c>
      <c r="S170" s="915">
        <f t="shared" si="25"/>
        <v>0</v>
      </c>
      <c r="T170" s="911">
        <f t="shared" si="26"/>
        <v>0</v>
      </c>
      <c r="U170" s="1172"/>
      <c r="V170" s="1172"/>
      <c r="W170" s="1172"/>
      <c r="X170" s="1172"/>
      <c r="Y170" s="1172"/>
      <c r="Z170" s="1172"/>
      <c r="AA170" s="1172"/>
      <c r="AB170" s="1172"/>
      <c r="AC170" s="1172"/>
      <c r="AD170" s="1172"/>
      <c r="AE170" s="1172"/>
      <c r="AF170" s="1172"/>
      <c r="AG170" s="1172"/>
      <c r="AH170" s="1172"/>
      <c r="AI170" s="1172"/>
      <c r="AJ170" s="1172"/>
      <c r="AK170" s="1172"/>
      <c r="AL170" s="1172"/>
      <c r="AM170" s="1172"/>
      <c r="AN170" s="1172"/>
      <c r="AO170" s="1172"/>
      <c r="AP170" s="1172"/>
      <c r="AQ170" s="1172"/>
      <c r="AR170" s="1172"/>
      <c r="AS170" s="1172"/>
      <c r="AT170" s="1172"/>
      <c r="AU170" s="1172"/>
      <c r="AV170" s="1172"/>
      <c r="AW170" s="1172"/>
      <c r="AX170" s="1172"/>
      <c r="AY170" s="1172"/>
      <c r="AZ170" s="1172"/>
      <c r="BA170" s="1172"/>
      <c r="BB170" s="1172"/>
      <c r="BC170" s="1172"/>
      <c r="BD170" s="1172"/>
      <c r="BE170" s="1172"/>
      <c r="BF170" s="1172"/>
      <c r="BG170" s="1172"/>
      <c r="BH170" s="1172"/>
      <c r="BI170" s="1172"/>
      <c r="BJ170" s="1172"/>
      <c r="BK170" s="1172"/>
      <c r="BL170" s="1172"/>
      <c r="BM170" s="1172"/>
      <c r="BN170" s="1172"/>
      <c r="BO170" s="1172"/>
      <c r="BP170" s="1172"/>
      <c r="BQ170" s="1172"/>
      <c r="BR170" s="1172"/>
      <c r="BS170" s="1172"/>
      <c r="BT170" s="1172"/>
      <c r="BU170" s="1172"/>
      <c r="BV170" s="1172"/>
      <c r="BW170" s="1172"/>
      <c r="BX170" s="1172"/>
      <c r="BY170" s="1172"/>
      <c r="BZ170" s="1172"/>
      <c r="CA170" s="1172"/>
      <c r="CB170" s="1172"/>
      <c r="CC170" s="1172"/>
      <c r="CD170" s="1172"/>
      <c r="CE170" s="1172"/>
      <c r="CF170" s="1172"/>
      <c r="CG170" s="1172"/>
      <c r="CH170" s="1172"/>
      <c r="CI170" s="1172"/>
      <c r="CJ170" s="1172"/>
      <c r="CK170" s="1172"/>
      <c r="CL170" s="1172"/>
      <c r="CM170" s="1172"/>
      <c r="CN170" s="1172"/>
      <c r="CO170" s="1172"/>
      <c r="CP170" s="1172"/>
      <c r="CQ170" s="1172"/>
      <c r="CR170" s="1172"/>
      <c r="CS170" s="1172"/>
      <c r="CT170" s="1172"/>
      <c r="CU170" s="1172"/>
      <c r="CV170" s="1172"/>
      <c r="CW170" s="1172"/>
      <c r="CX170" s="1172"/>
      <c r="CY170" s="1172"/>
      <c r="CZ170" s="1172"/>
      <c r="DA170" s="1172"/>
      <c r="DB170" s="1172"/>
      <c r="DC170" s="1172"/>
      <c r="DD170" s="1172"/>
      <c r="DE170" s="1172"/>
      <c r="DF170" s="1172"/>
      <c r="DG170" s="1172"/>
      <c r="DH170" s="1172"/>
      <c r="DI170" s="1172"/>
      <c r="DJ170" s="1172"/>
    </row>
    <row r="171" spans="1:114" s="920" customFormat="1" ht="250.5" hidden="1" customHeight="1">
      <c r="A171" s="916"/>
      <c r="B171" s="917" t="s">
        <v>2205</v>
      </c>
      <c r="C171" s="918">
        <f>ROUND(DATA!K405,2)</f>
        <v>861.01</v>
      </c>
      <c r="D171" s="898" t="s">
        <v>1834</v>
      </c>
      <c r="E171" s="919"/>
      <c r="F171" s="1053">
        <f t="shared" si="20"/>
        <v>0</v>
      </c>
      <c r="G171" s="919"/>
      <c r="H171" s="914">
        <f t="shared" si="21"/>
        <v>0</v>
      </c>
      <c r="I171" s="919"/>
      <c r="J171" s="914">
        <f t="shared" si="22"/>
        <v>0</v>
      </c>
      <c r="K171" s="919"/>
      <c r="L171" s="914">
        <f t="shared" si="23"/>
        <v>0</v>
      </c>
      <c r="M171" s="919"/>
      <c r="N171" s="914">
        <f t="shared" si="18"/>
        <v>0</v>
      </c>
      <c r="O171" s="914"/>
      <c r="P171" s="914">
        <f t="shared" si="19"/>
        <v>0</v>
      </c>
      <c r="Q171" s="914"/>
      <c r="R171" s="914">
        <f t="shared" si="24"/>
        <v>0</v>
      </c>
      <c r="S171" s="915">
        <f t="shared" si="25"/>
        <v>0</v>
      </c>
      <c r="T171" s="911">
        <f t="shared" si="26"/>
        <v>0</v>
      </c>
      <c r="U171" s="1172"/>
      <c r="V171" s="1172"/>
      <c r="W171" s="1172"/>
      <c r="X171" s="1172"/>
      <c r="Y171" s="1172"/>
      <c r="Z171" s="1172"/>
      <c r="AA171" s="1172"/>
      <c r="AB171" s="1172"/>
      <c r="AC171" s="1172"/>
      <c r="AD171" s="1172"/>
      <c r="AE171" s="1172"/>
      <c r="AF171" s="1172"/>
      <c r="AG171" s="1172"/>
      <c r="AH171" s="1172"/>
      <c r="AI171" s="1172"/>
      <c r="AJ171" s="1172"/>
      <c r="AK171" s="1172"/>
      <c r="AL171" s="1172"/>
      <c r="AM171" s="1172"/>
      <c r="AN171" s="1172"/>
      <c r="AO171" s="1172"/>
      <c r="AP171" s="1172"/>
      <c r="AQ171" s="1172"/>
      <c r="AR171" s="1172"/>
      <c r="AS171" s="1172"/>
      <c r="AT171" s="1172"/>
      <c r="AU171" s="1172"/>
      <c r="AV171" s="1172"/>
      <c r="AW171" s="1172"/>
      <c r="AX171" s="1172"/>
      <c r="AY171" s="1172"/>
      <c r="AZ171" s="1172"/>
      <c r="BA171" s="1172"/>
      <c r="BB171" s="1172"/>
      <c r="BC171" s="1172"/>
      <c r="BD171" s="1172"/>
      <c r="BE171" s="1172"/>
      <c r="BF171" s="1172"/>
      <c r="BG171" s="1172"/>
      <c r="BH171" s="1172"/>
      <c r="BI171" s="1172"/>
      <c r="BJ171" s="1172"/>
      <c r="BK171" s="1172"/>
      <c r="BL171" s="1172"/>
      <c r="BM171" s="1172"/>
      <c r="BN171" s="1172"/>
      <c r="BO171" s="1172"/>
      <c r="BP171" s="1172"/>
      <c r="BQ171" s="1172"/>
      <c r="BR171" s="1172"/>
      <c r="BS171" s="1172"/>
      <c r="BT171" s="1172"/>
      <c r="BU171" s="1172"/>
      <c r="BV171" s="1172"/>
      <c r="BW171" s="1172"/>
      <c r="BX171" s="1172"/>
      <c r="BY171" s="1172"/>
      <c r="BZ171" s="1172"/>
      <c r="CA171" s="1172"/>
      <c r="CB171" s="1172"/>
      <c r="CC171" s="1172"/>
      <c r="CD171" s="1172"/>
      <c r="CE171" s="1172"/>
      <c r="CF171" s="1172"/>
      <c r="CG171" s="1172"/>
      <c r="CH171" s="1172"/>
      <c r="CI171" s="1172"/>
      <c r="CJ171" s="1172"/>
      <c r="CK171" s="1172"/>
      <c r="CL171" s="1172"/>
      <c r="CM171" s="1172"/>
      <c r="CN171" s="1172"/>
      <c r="CO171" s="1172"/>
      <c r="CP171" s="1172"/>
      <c r="CQ171" s="1172"/>
      <c r="CR171" s="1172"/>
      <c r="CS171" s="1172"/>
      <c r="CT171" s="1172"/>
      <c r="CU171" s="1172"/>
      <c r="CV171" s="1172"/>
      <c r="CW171" s="1172"/>
      <c r="CX171" s="1172"/>
      <c r="CY171" s="1172"/>
      <c r="CZ171" s="1172"/>
      <c r="DA171" s="1172"/>
      <c r="DB171" s="1172"/>
      <c r="DC171" s="1172"/>
      <c r="DD171" s="1172"/>
      <c r="DE171" s="1172"/>
      <c r="DF171" s="1172"/>
      <c r="DG171" s="1172"/>
      <c r="DH171" s="1172"/>
      <c r="DI171" s="1172"/>
      <c r="DJ171" s="1172"/>
    </row>
    <row r="172" spans="1:114" ht="250.5" hidden="1" customHeight="1">
      <c r="A172" s="926"/>
      <c r="B172" s="906" t="s">
        <v>1060</v>
      </c>
      <c r="C172" s="913">
        <f>ROUND(DATA!K406,2)</f>
        <v>878.52</v>
      </c>
      <c r="D172" s="908" t="s">
        <v>1834</v>
      </c>
      <c r="E172" s="919"/>
      <c r="F172" s="1053">
        <f t="shared" si="20"/>
        <v>0</v>
      </c>
      <c r="G172" s="919"/>
      <c r="H172" s="914">
        <f t="shared" si="21"/>
        <v>0</v>
      </c>
      <c r="I172" s="919"/>
      <c r="J172" s="914">
        <f t="shared" si="22"/>
        <v>0</v>
      </c>
      <c r="K172" s="919"/>
      <c r="L172" s="914">
        <f t="shared" si="23"/>
        <v>0</v>
      </c>
      <c r="M172" s="919"/>
      <c r="N172" s="914">
        <f t="shared" si="18"/>
        <v>0</v>
      </c>
      <c r="O172" s="914"/>
      <c r="P172" s="914">
        <f t="shared" si="19"/>
        <v>0</v>
      </c>
      <c r="Q172" s="914"/>
      <c r="R172" s="914">
        <f t="shared" si="24"/>
        <v>0</v>
      </c>
      <c r="S172" s="915">
        <f t="shared" si="25"/>
        <v>0</v>
      </c>
      <c r="T172" s="911">
        <f t="shared" si="26"/>
        <v>0</v>
      </c>
    </row>
    <row r="173" spans="1:114" ht="250.5" hidden="1" customHeight="1">
      <c r="A173" s="905">
        <v>10.6</v>
      </c>
      <c r="B173" s="924" t="s">
        <v>6613</v>
      </c>
      <c r="C173" s="921"/>
      <c r="D173" s="908"/>
      <c r="E173" s="919"/>
      <c r="F173" s="1053">
        <f t="shared" si="20"/>
        <v>0</v>
      </c>
      <c r="G173" s="919"/>
      <c r="H173" s="914">
        <f t="shared" si="21"/>
        <v>0</v>
      </c>
      <c r="I173" s="919"/>
      <c r="J173" s="914">
        <f t="shared" si="22"/>
        <v>0</v>
      </c>
      <c r="K173" s="919"/>
      <c r="L173" s="914">
        <f t="shared" si="23"/>
        <v>0</v>
      </c>
      <c r="M173" s="919"/>
      <c r="N173" s="914">
        <f t="shared" si="18"/>
        <v>0</v>
      </c>
      <c r="O173" s="914"/>
      <c r="P173" s="914">
        <f t="shared" si="19"/>
        <v>0</v>
      </c>
      <c r="Q173" s="914"/>
      <c r="R173" s="914">
        <f t="shared" si="24"/>
        <v>0</v>
      </c>
      <c r="S173" s="915">
        <f t="shared" si="25"/>
        <v>0</v>
      </c>
      <c r="T173" s="911">
        <f t="shared" si="26"/>
        <v>0</v>
      </c>
    </row>
    <row r="174" spans="1:114" ht="250.5" hidden="1" customHeight="1">
      <c r="A174" s="905"/>
      <c r="B174" s="906" t="s">
        <v>541</v>
      </c>
      <c r="C174" s="921"/>
      <c r="D174" s="908" t="s">
        <v>1834</v>
      </c>
      <c r="E174" s="919"/>
      <c r="F174" s="1053">
        <f t="shared" si="20"/>
        <v>0</v>
      </c>
      <c r="G174" s="919"/>
      <c r="H174" s="914">
        <f t="shared" si="21"/>
        <v>0</v>
      </c>
      <c r="I174" s="919"/>
      <c r="J174" s="914">
        <f t="shared" si="22"/>
        <v>0</v>
      </c>
      <c r="K174" s="919"/>
      <c r="L174" s="914">
        <f t="shared" si="23"/>
        <v>0</v>
      </c>
      <c r="M174" s="919"/>
      <c r="N174" s="914">
        <f t="shared" si="18"/>
        <v>0</v>
      </c>
      <c r="O174" s="914"/>
      <c r="P174" s="914">
        <f t="shared" si="19"/>
        <v>0</v>
      </c>
      <c r="Q174" s="914"/>
      <c r="R174" s="914">
        <f t="shared" si="24"/>
        <v>0</v>
      </c>
      <c r="S174" s="915">
        <f t="shared" si="25"/>
        <v>0</v>
      </c>
      <c r="T174" s="911">
        <f t="shared" si="26"/>
        <v>0</v>
      </c>
    </row>
    <row r="175" spans="1:114" ht="250.5" hidden="1" customHeight="1">
      <c r="A175" s="905"/>
      <c r="B175" s="906" t="s">
        <v>542</v>
      </c>
      <c r="C175" s="921"/>
      <c r="D175" s="908" t="s">
        <v>1834</v>
      </c>
      <c r="E175" s="919"/>
      <c r="F175" s="1053">
        <f t="shared" si="20"/>
        <v>0</v>
      </c>
      <c r="G175" s="919"/>
      <c r="H175" s="914">
        <f t="shared" si="21"/>
        <v>0</v>
      </c>
      <c r="I175" s="919"/>
      <c r="J175" s="914">
        <f t="shared" si="22"/>
        <v>0</v>
      </c>
      <c r="K175" s="919"/>
      <c r="L175" s="914">
        <f t="shared" si="23"/>
        <v>0</v>
      </c>
      <c r="M175" s="919"/>
      <c r="N175" s="914">
        <f t="shared" si="18"/>
        <v>0</v>
      </c>
      <c r="O175" s="914"/>
      <c r="P175" s="914">
        <f t="shared" si="19"/>
        <v>0</v>
      </c>
      <c r="Q175" s="914"/>
      <c r="R175" s="914">
        <f t="shared" si="24"/>
        <v>0</v>
      </c>
      <c r="S175" s="915">
        <f t="shared" si="25"/>
        <v>0</v>
      </c>
      <c r="T175" s="911">
        <f t="shared" si="26"/>
        <v>0</v>
      </c>
    </row>
    <row r="176" spans="1:114" ht="250.5" hidden="1" customHeight="1">
      <c r="A176" s="905"/>
      <c r="B176" s="906" t="s">
        <v>544</v>
      </c>
      <c r="C176" s="921"/>
      <c r="D176" s="908" t="s">
        <v>1834</v>
      </c>
      <c r="E176" s="919"/>
      <c r="F176" s="1053">
        <f t="shared" si="20"/>
        <v>0</v>
      </c>
      <c r="G176" s="919"/>
      <c r="H176" s="914">
        <f t="shared" si="21"/>
        <v>0</v>
      </c>
      <c r="I176" s="919"/>
      <c r="J176" s="914">
        <f t="shared" si="22"/>
        <v>0</v>
      </c>
      <c r="K176" s="919"/>
      <c r="L176" s="914">
        <f t="shared" si="23"/>
        <v>0</v>
      </c>
      <c r="M176" s="919"/>
      <c r="N176" s="914">
        <f t="shared" si="18"/>
        <v>0</v>
      </c>
      <c r="O176" s="914"/>
      <c r="P176" s="914">
        <f t="shared" si="19"/>
        <v>0</v>
      </c>
      <c r="Q176" s="914"/>
      <c r="R176" s="914">
        <f t="shared" si="24"/>
        <v>0</v>
      </c>
      <c r="S176" s="915">
        <f t="shared" si="25"/>
        <v>0</v>
      </c>
      <c r="T176" s="911">
        <f t="shared" si="26"/>
        <v>0</v>
      </c>
    </row>
    <row r="177" spans="1:20" ht="250.5" hidden="1" customHeight="1">
      <c r="A177" s="905"/>
      <c r="B177" s="906" t="s">
        <v>1798</v>
      </c>
      <c r="C177" s="921"/>
      <c r="D177" s="908" t="s">
        <v>1834</v>
      </c>
      <c r="E177" s="919"/>
      <c r="F177" s="1053">
        <f t="shared" si="20"/>
        <v>0</v>
      </c>
      <c r="G177" s="919"/>
      <c r="H177" s="914">
        <f t="shared" si="21"/>
        <v>0</v>
      </c>
      <c r="I177" s="919"/>
      <c r="J177" s="914">
        <f t="shared" si="22"/>
        <v>0</v>
      </c>
      <c r="K177" s="919"/>
      <c r="L177" s="914">
        <f t="shared" si="23"/>
        <v>0</v>
      </c>
      <c r="M177" s="919"/>
      <c r="N177" s="914">
        <f t="shared" si="18"/>
        <v>0</v>
      </c>
      <c r="O177" s="914"/>
      <c r="P177" s="914">
        <f t="shared" si="19"/>
        <v>0</v>
      </c>
      <c r="Q177" s="914"/>
      <c r="R177" s="914">
        <f t="shared" si="24"/>
        <v>0</v>
      </c>
      <c r="S177" s="915">
        <f t="shared" si="25"/>
        <v>0</v>
      </c>
      <c r="T177" s="911">
        <f t="shared" si="26"/>
        <v>0</v>
      </c>
    </row>
    <row r="178" spans="1:20" ht="250.5" hidden="1" customHeight="1">
      <c r="A178" s="905"/>
      <c r="B178" s="906" t="s">
        <v>2205</v>
      </c>
      <c r="C178" s="921"/>
      <c r="D178" s="908" t="s">
        <v>1834</v>
      </c>
      <c r="E178" s="919"/>
      <c r="F178" s="1053">
        <f t="shared" si="20"/>
        <v>0</v>
      </c>
      <c r="G178" s="919"/>
      <c r="H178" s="914">
        <f t="shared" si="21"/>
        <v>0</v>
      </c>
      <c r="I178" s="919"/>
      <c r="J178" s="914">
        <f t="shared" si="22"/>
        <v>0</v>
      </c>
      <c r="K178" s="919"/>
      <c r="L178" s="914">
        <f t="shared" si="23"/>
        <v>0</v>
      </c>
      <c r="M178" s="919"/>
      <c r="N178" s="914">
        <f t="shared" si="18"/>
        <v>0</v>
      </c>
      <c r="O178" s="914"/>
      <c r="P178" s="914">
        <f t="shared" si="19"/>
        <v>0</v>
      </c>
      <c r="Q178" s="914"/>
      <c r="R178" s="914">
        <f t="shared" si="24"/>
        <v>0</v>
      </c>
      <c r="S178" s="915">
        <f t="shared" si="25"/>
        <v>0</v>
      </c>
      <c r="T178" s="911">
        <f t="shared" si="26"/>
        <v>0</v>
      </c>
    </row>
    <row r="179" spans="1:20" ht="250.5" hidden="1" customHeight="1">
      <c r="A179" s="928"/>
      <c r="B179" s="906" t="s">
        <v>1060</v>
      </c>
      <c r="C179" s="921"/>
      <c r="D179" s="908" t="s">
        <v>1834</v>
      </c>
      <c r="E179" s="919"/>
      <c r="F179" s="1053">
        <f t="shared" si="20"/>
        <v>0</v>
      </c>
      <c r="G179" s="919"/>
      <c r="H179" s="914">
        <f t="shared" si="21"/>
        <v>0</v>
      </c>
      <c r="I179" s="919"/>
      <c r="J179" s="914">
        <f t="shared" si="22"/>
        <v>0</v>
      </c>
      <c r="K179" s="919"/>
      <c r="L179" s="914">
        <f t="shared" si="23"/>
        <v>0</v>
      </c>
      <c r="M179" s="919"/>
      <c r="N179" s="914">
        <f t="shared" si="18"/>
        <v>0</v>
      </c>
      <c r="O179" s="914"/>
      <c r="P179" s="914">
        <f t="shared" si="19"/>
        <v>0</v>
      </c>
      <c r="Q179" s="914"/>
      <c r="R179" s="914">
        <f t="shared" si="24"/>
        <v>0</v>
      </c>
      <c r="S179" s="915">
        <f t="shared" si="25"/>
        <v>0</v>
      </c>
      <c r="T179" s="911">
        <f t="shared" si="26"/>
        <v>0</v>
      </c>
    </row>
    <row r="180" spans="1:20" ht="250.5" hidden="1" customHeight="1">
      <c r="A180" s="905">
        <v>11.1</v>
      </c>
      <c r="B180" s="924" t="s">
        <v>6614</v>
      </c>
      <c r="C180" s="921"/>
      <c r="D180" s="908"/>
      <c r="E180" s="919"/>
      <c r="F180" s="1053">
        <f t="shared" si="20"/>
        <v>0</v>
      </c>
      <c r="G180" s="919"/>
      <c r="H180" s="914">
        <f t="shared" si="21"/>
        <v>0</v>
      </c>
      <c r="I180" s="919"/>
      <c r="J180" s="914">
        <f t="shared" si="22"/>
        <v>0</v>
      </c>
      <c r="K180" s="919"/>
      <c r="L180" s="914">
        <f t="shared" si="23"/>
        <v>0</v>
      </c>
      <c r="M180" s="919"/>
      <c r="N180" s="914">
        <f t="shared" si="18"/>
        <v>0</v>
      </c>
      <c r="O180" s="914"/>
      <c r="P180" s="914">
        <f t="shared" si="19"/>
        <v>0</v>
      </c>
      <c r="Q180" s="914"/>
      <c r="R180" s="914">
        <f t="shared" si="24"/>
        <v>0</v>
      </c>
      <c r="S180" s="915">
        <f t="shared" si="25"/>
        <v>0</v>
      </c>
      <c r="T180" s="911">
        <f t="shared" si="26"/>
        <v>0</v>
      </c>
    </row>
    <row r="181" spans="1:20" ht="250.5" hidden="1" customHeight="1">
      <c r="A181" s="905"/>
      <c r="B181" s="906" t="s">
        <v>201</v>
      </c>
      <c r="C181" s="921">
        <f>ROUND(DATA!X434,2)</f>
        <v>582.41999999999996</v>
      </c>
      <c r="D181" s="908" t="s">
        <v>1834</v>
      </c>
      <c r="E181" s="919"/>
      <c r="F181" s="1053">
        <f t="shared" si="20"/>
        <v>0</v>
      </c>
      <c r="G181" s="919"/>
      <c r="H181" s="914">
        <f t="shared" si="21"/>
        <v>0</v>
      </c>
      <c r="I181" s="919"/>
      <c r="J181" s="914">
        <f t="shared" si="22"/>
        <v>0</v>
      </c>
      <c r="K181" s="919"/>
      <c r="L181" s="914">
        <f t="shared" si="23"/>
        <v>0</v>
      </c>
      <c r="M181" s="919"/>
      <c r="N181" s="914">
        <f t="shared" si="18"/>
        <v>0</v>
      </c>
      <c r="O181" s="914"/>
      <c r="P181" s="914">
        <f t="shared" si="19"/>
        <v>0</v>
      </c>
      <c r="Q181" s="914"/>
      <c r="R181" s="914">
        <f t="shared" si="24"/>
        <v>0</v>
      </c>
      <c r="S181" s="915">
        <f t="shared" si="25"/>
        <v>0</v>
      </c>
      <c r="T181" s="911">
        <f t="shared" si="26"/>
        <v>0</v>
      </c>
    </row>
    <row r="182" spans="1:20" ht="250.5" hidden="1" customHeight="1">
      <c r="A182" s="905"/>
      <c r="B182" s="906" t="s">
        <v>202</v>
      </c>
      <c r="C182" s="921">
        <f>ROUND(DATA!X435,2)</f>
        <v>593.55999999999995</v>
      </c>
      <c r="D182" s="908" t="s">
        <v>1834</v>
      </c>
      <c r="E182" s="919"/>
      <c r="F182" s="1053">
        <f t="shared" si="20"/>
        <v>0</v>
      </c>
      <c r="G182" s="919"/>
      <c r="H182" s="914">
        <f t="shared" si="21"/>
        <v>0</v>
      </c>
      <c r="I182" s="919"/>
      <c r="J182" s="914">
        <f t="shared" si="22"/>
        <v>0</v>
      </c>
      <c r="K182" s="919"/>
      <c r="L182" s="914">
        <f t="shared" si="23"/>
        <v>0</v>
      </c>
      <c r="M182" s="919"/>
      <c r="N182" s="914">
        <f t="shared" si="18"/>
        <v>0</v>
      </c>
      <c r="O182" s="914"/>
      <c r="P182" s="914">
        <f t="shared" si="19"/>
        <v>0</v>
      </c>
      <c r="Q182" s="914"/>
      <c r="R182" s="914">
        <f t="shared" si="24"/>
        <v>0</v>
      </c>
      <c r="S182" s="915">
        <f t="shared" si="25"/>
        <v>0</v>
      </c>
      <c r="T182" s="911">
        <f t="shared" si="26"/>
        <v>0</v>
      </c>
    </row>
    <row r="183" spans="1:20" ht="250.5" hidden="1" customHeight="1">
      <c r="A183" s="905"/>
      <c r="B183" s="906" t="s">
        <v>203</v>
      </c>
      <c r="C183" s="921">
        <f>ROUND(DATA!X436,2)</f>
        <v>604.70000000000005</v>
      </c>
      <c r="D183" s="908" t="s">
        <v>1834</v>
      </c>
      <c r="E183" s="919"/>
      <c r="F183" s="1053">
        <f t="shared" si="20"/>
        <v>0</v>
      </c>
      <c r="G183" s="919"/>
      <c r="H183" s="914">
        <f t="shared" si="21"/>
        <v>0</v>
      </c>
      <c r="I183" s="919"/>
      <c r="J183" s="914">
        <f t="shared" si="22"/>
        <v>0</v>
      </c>
      <c r="K183" s="919"/>
      <c r="L183" s="914">
        <f t="shared" si="23"/>
        <v>0</v>
      </c>
      <c r="M183" s="919"/>
      <c r="N183" s="914">
        <f t="shared" si="18"/>
        <v>0</v>
      </c>
      <c r="O183" s="914"/>
      <c r="P183" s="914">
        <f t="shared" si="19"/>
        <v>0</v>
      </c>
      <c r="Q183" s="914"/>
      <c r="R183" s="914">
        <f t="shared" si="24"/>
        <v>0</v>
      </c>
      <c r="S183" s="915">
        <f t="shared" si="25"/>
        <v>0</v>
      </c>
      <c r="T183" s="911">
        <f t="shared" si="26"/>
        <v>0</v>
      </c>
    </row>
    <row r="184" spans="1:20" ht="250.5" hidden="1" customHeight="1">
      <c r="A184" s="905"/>
      <c r="B184" s="906" t="s">
        <v>204</v>
      </c>
      <c r="C184" s="921">
        <f>ROUND(DATA!X437,2)</f>
        <v>615.84</v>
      </c>
      <c r="D184" s="908" t="s">
        <v>1834</v>
      </c>
      <c r="E184" s="919"/>
      <c r="F184" s="1053">
        <f t="shared" si="20"/>
        <v>0</v>
      </c>
      <c r="G184" s="919"/>
      <c r="H184" s="914">
        <f t="shared" si="21"/>
        <v>0</v>
      </c>
      <c r="I184" s="919"/>
      <c r="J184" s="914">
        <f t="shared" si="22"/>
        <v>0</v>
      </c>
      <c r="K184" s="919"/>
      <c r="L184" s="914">
        <f t="shared" si="23"/>
        <v>0</v>
      </c>
      <c r="M184" s="919"/>
      <c r="N184" s="914">
        <f t="shared" si="18"/>
        <v>0</v>
      </c>
      <c r="O184" s="914"/>
      <c r="P184" s="914">
        <f t="shared" si="19"/>
        <v>0</v>
      </c>
      <c r="Q184" s="914"/>
      <c r="R184" s="914">
        <f t="shared" si="24"/>
        <v>0</v>
      </c>
      <c r="S184" s="915">
        <f t="shared" si="25"/>
        <v>0</v>
      </c>
      <c r="T184" s="911">
        <f t="shared" si="26"/>
        <v>0</v>
      </c>
    </row>
    <row r="185" spans="1:20" ht="250.5" hidden="1" customHeight="1">
      <c r="A185" s="928"/>
      <c r="B185" s="906" t="s">
        <v>603</v>
      </c>
      <c r="C185" s="921">
        <f>ROUND(DATA!X438,2)</f>
        <v>626.98</v>
      </c>
      <c r="D185" s="908" t="s">
        <v>1834</v>
      </c>
      <c r="E185" s="919"/>
      <c r="F185" s="1053">
        <f t="shared" si="20"/>
        <v>0</v>
      </c>
      <c r="G185" s="919"/>
      <c r="H185" s="914">
        <f t="shared" si="21"/>
        <v>0</v>
      </c>
      <c r="I185" s="919"/>
      <c r="J185" s="914">
        <f t="shared" si="22"/>
        <v>0</v>
      </c>
      <c r="K185" s="919"/>
      <c r="L185" s="914">
        <f t="shared" si="23"/>
        <v>0</v>
      </c>
      <c r="M185" s="919"/>
      <c r="N185" s="914">
        <f t="shared" si="18"/>
        <v>0</v>
      </c>
      <c r="O185" s="914"/>
      <c r="P185" s="914">
        <f t="shared" si="19"/>
        <v>0</v>
      </c>
      <c r="Q185" s="914"/>
      <c r="R185" s="914">
        <f t="shared" si="24"/>
        <v>0</v>
      </c>
      <c r="S185" s="915">
        <f t="shared" si="25"/>
        <v>0</v>
      </c>
      <c r="T185" s="911">
        <f t="shared" si="26"/>
        <v>0</v>
      </c>
    </row>
    <row r="186" spans="1:20" ht="250.5" hidden="1" customHeight="1">
      <c r="A186" s="905">
        <v>11.2</v>
      </c>
      <c r="B186" s="924" t="s">
        <v>6615</v>
      </c>
      <c r="C186" s="921"/>
      <c r="D186" s="908"/>
      <c r="E186" s="911"/>
      <c r="F186" s="1053">
        <f t="shared" si="20"/>
        <v>0</v>
      </c>
      <c r="G186" s="914"/>
      <c r="H186" s="914">
        <f t="shared" si="21"/>
        <v>0</v>
      </c>
      <c r="I186" s="914"/>
      <c r="J186" s="914">
        <f t="shared" si="22"/>
        <v>0</v>
      </c>
      <c r="K186" s="914"/>
      <c r="L186" s="914">
        <f t="shared" si="23"/>
        <v>0</v>
      </c>
      <c r="M186" s="914"/>
      <c r="N186" s="914">
        <f t="shared" si="18"/>
        <v>0</v>
      </c>
      <c r="O186" s="914"/>
      <c r="P186" s="914">
        <f t="shared" si="19"/>
        <v>0</v>
      </c>
      <c r="Q186" s="914"/>
      <c r="R186" s="914">
        <f t="shared" si="24"/>
        <v>0</v>
      </c>
      <c r="S186" s="915">
        <f t="shared" si="25"/>
        <v>0</v>
      </c>
      <c r="T186" s="911">
        <f t="shared" si="26"/>
        <v>0</v>
      </c>
    </row>
    <row r="187" spans="1:20" ht="250.5" hidden="1" customHeight="1">
      <c r="A187" s="905"/>
      <c r="B187" s="906" t="s">
        <v>201</v>
      </c>
      <c r="C187" s="921">
        <f>ROUND(DATA!AG448,2)</f>
        <v>594.53</v>
      </c>
      <c r="D187" s="908" t="s">
        <v>1834</v>
      </c>
      <c r="E187" s="914"/>
      <c r="F187" s="1053">
        <f t="shared" si="20"/>
        <v>0</v>
      </c>
      <c r="G187" s="914"/>
      <c r="H187" s="914">
        <f t="shared" si="21"/>
        <v>0</v>
      </c>
      <c r="I187" s="914"/>
      <c r="J187" s="914">
        <f t="shared" si="22"/>
        <v>0</v>
      </c>
      <c r="K187" s="914"/>
      <c r="L187" s="914">
        <f t="shared" si="23"/>
        <v>0</v>
      </c>
      <c r="M187" s="914"/>
      <c r="N187" s="914">
        <f t="shared" si="18"/>
        <v>0</v>
      </c>
      <c r="O187" s="914"/>
      <c r="P187" s="914">
        <f t="shared" si="19"/>
        <v>0</v>
      </c>
      <c r="Q187" s="914"/>
      <c r="R187" s="914">
        <f t="shared" si="24"/>
        <v>0</v>
      </c>
      <c r="S187" s="915">
        <f t="shared" si="25"/>
        <v>0</v>
      </c>
      <c r="T187" s="911">
        <f t="shared" si="26"/>
        <v>0</v>
      </c>
    </row>
    <row r="188" spans="1:20" ht="250.5" hidden="1" customHeight="1">
      <c r="A188" s="905"/>
      <c r="B188" s="906" t="s">
        <v>202</v>
      </c>
      <c r="C188" s="921">
        <f>ROUND(DATA!AG449,2)</f>
        <v>606.47</v>
      </c>
      <c r="D188" s="908" t="s">
        <v>1834</v>
      </c>
      <c r="E188" s="914"/>
      <c r="F188" s="1053">
        <f t="shared" si="20"/>
        <v>0</v>
      </c>
      <c r="G188" s="914"/>
      <c r="H188" s="914">
        <f t="shared" si="21"/>
        <v>0</v>
      </c>
      <c r="I188" s="914"/>
      <c r="J188" s="914">
        <f t="shared" si="22"/>
        <v>0</v>
      </c>
      <c r="K188" s="914"/>
      <c r="L188" s="914">
        <f t="shared" si="23"/>
        <v>0</v>
      </c>
      <c r="M188" s="914"/>
      <c r="N188" s="914">
        <f t="shared" si="18"/>
        <v>0</v>
      </c>
      <c r="O188" s="914"/>
      <c r="P188" s="914">
        <f t="shared" si="19"/>
        <v>0</v>
      </c>
      <c r="Q188" s="914"/>
      <c r="R188" s="914">
        <f t="shared" si="24"/>
        <v>0</v>
      </c>
      <c r="S188" s="915">
        <f t="shared" si="25"/>
        <v>0</v>
      </c>
      <c r="T188" s="911">
        <f t="shared" si="26"/>
        <v>0</v>
      </c>
    </row>
    <row r="189" spans="1:20" ht="250.5" hidden="1" customHeight="1">
      <c r="A189" s="905"/>
      <c r="B189" s="906" t="s">
        <v>203</v>
      </c>
      <c r="C189" s="921">
        <f>ROUND(DATA!AG450,2)</f>
        <v>618.41</v>
      </c>
      <c r="D189" s="908" t="s">
        <v>1834</v>
      </c>
      <c r="E189" s="919"/>
      <c r="F189" s="1053">
        <f t="shared" si="20"/>
        <v>0</v>
      </c>
      <c r="G189" s="919"/>
      <c r="H189" s="914">
        <f t="shared" si="21"/>
        <v>0</v>
      </c>
      <c r="I189" s="919"/>
      <c r="J189" s="914">
        <f t="shared" si="22"/>
        <v>0</v>
      </c>
      <c r="K189" s="919"/>
      <c r="L189" s="914">
        <f t="shared" si="23"/>
        <v>0</v>
      </c>
      <c r="M189" s="919"/>
      <c r="N189" s="914">
        <f t="shared" si="18"/>
        <v>0</v>
      </c>
      <c r="O189" s="914"/>
      <c r="P189" s="914">
        <f t="shared" si="19"/>
        <v>0</v>
      </c>
      <c r="Q189" s="914"/>
      <c r="R189" s="914">
        <f t="shared" si="24"/>
        <v>0</v>
      </c>
      <c r="S189" s="915">
        <f t="shared" si="25"/>
        <v>0</v>
      </c>
      <c r="T189" s="911">
        <f t="shared" si="26"/>
        <v>0</v>
      </c>
    </row>
    <row r="190" spans="1:20" ht="250.5" hidden="1" customHeight="1">
      <c r="A190" s="905"/>
      <c r="B190" s="906" t="s">
        <v>204</v>
      </c>
      <c r="C190" s="921">
        <f>ROUND(DATA!AG451,2)</f>
        <v>630.35</v>
      </c>
      <c r="D190" s="908" t="s">
        <v>1834</v>
      </c>
      <c r="E190" s="919"/>
      <c r="F190" s="1053">
        <f t="shared" si="20"/>
        <v>0</v>
      </c>
      <c r="G190" s="919"/>
      <c r="H190" s="914">
        <f t="shared" si="21"/>
        <v>0</v>
      </c>
      <c r="I190" s="919"/>
      <c r="J190" s="914">
        <f t="shared" si="22"/>
        <v>0</v>
      </c>
      <c r="K190" s="919"/>
      <c r="L190" s="914">
        <f t="shared" si="23"/>
        <v>0</v>
      </c>
      <c r="M190" s="919"/>
      <c r="N190" s="914">
        <f t="shared" si="18"/>
        <v>0</v>
      </c>
      <c r="O190" s="914"/>
      <c r="P190" s="914">
        <f t="shared" si="19"/>
        <v>0</v>
      </c>
      <c r="Q190" s="914"/>
      <c r="R190" s="914">
        <f t="shared" si="24"/>
        <v>0</v>
      </c>
      <c r="S190" s="915">
        <f t="shared" si="25"/>
        <v>0</v>
      </c>
      <c r="T190" s="911">
        <f t="shared" si="26"/>
        <v>0</v>
      </c>
    </row>
    <row r="191" spans="1:20" ht="250.5" hidden="1" customHeight="1">
      <c r="A191" s="928"/>
      <c r="B191" s="906" t="s">
        <v>603</v>
      </c>
      <c r="C191" s="921">
        <f>ROUND(DATA!AG452,2)</f>
        <v>642.29</v>
      </c>
      <c r="D191" s="908" t="s">
        <v>1834</v>
      </c>
      <c r="E191" s="919"/>
      <c r="F191" s="1053">
        <f t="shared" si="20"/>
        <v>0</v>
      </c>
      <c r="G191" s="919"/>
      <c r="H191" s="914">
        <f t="shared" si="21"/>
        <v>0</v>
      </c>
      <c r="I191" s="919"/>
      <c r="J191" s="914">
        <f t="shared" si="22"/>
        <v>0</v>
      </c>
      <c r="K191" s="919"/>
      <c r="L191" s="914">
        <f t="shared" si="23"/>
        <v>0</v>
      </c>
      <c r="M191" s="919"/>
      <c r="N191" s="914">
        <f t="shared" si="18"/>
        <v>0</v>
      </c>
      <c r="O191" s="914"/>
      <c r="P191" s="914">
        <f t="shared" si="19"/>
        <v>0</v>
      </c>
      <c r="Q191" s="914"/>
      <c r="R191" s="914">
        <f t="shared" si="24"/>
        <v>0</v>
      </c>
      <c r="S191" s="915">
        <f t="shared" si="25"/>
        <v>0</v>
      </c>
      <c r="T191" s="911">
        <f t="shared" si="26"/>
        <v>0</v>
      </c>
    </row>
    <row r="192" spans="1:20" ht="250.5" hidden="1" customHeight="1">
      <c r="A192" s="905">
        <v>11.3</v>
      </c>
      <c r="B192" s="924" t="s">
        <v>6616</v>
      </c>
      <c r="C192" s="921"/>
      <c r="D192" s="908"/>
      <c r="E192" s="919"/>
      <c r="F192" s="1053">
        <f t="shared" si="20"/>
        <v>0</v>
      </c>
      <c r="G192" s="919"/>
      <c r="H192" s="914">
        <f t="shared" si="21"/>
        <v>0</v>
      </c>
      <c r="I192" s="919"/>
      <c r="J192" s="914">
        <f t="shared" si="22"/>
        <v>0</v>
      </c>
      <c r="K192" s="919"/>
      <c r="L192" s="914">
        <f t="shared" si="23"/>
        <v>0</v>
      </c>
      <c r="M192" s="919"/>
      <c r="N192" s="914">
        <f t="shared" si="18"/>
        <v>0</v>
      </c>
      <c r="O192" s="914"/>
      <c r="P192" s="914">
        <f t="shared" si="19"/>
        <v>0</v>
      </c>
      <c r="Q192" s="914"/>
      <c r="R192" s="914">
        <f t="shared" si="24"/>
        <v>0</v>
      </c>
      <c r="S192" s="915">
        <f t="shared" si="25"/>
        <v>0</v>
      </c>
      <c r="T192" s="911">
        <f t="shared" si="26"/>
        <v>0</v>
      </c>
    </row>
    <row r="193" spans="1:114" ht="250.5" hidden="1" customHeight="1">
      <c r="A193" s="905"/>
      <c r="B193" s="906" t="s">
        <v>201</v>
      </c>
      <c r="C193" s="921"/>
      <c r="D193" s="908" t="s">
        <v>1834</v>
      </c>
      <c r="E193" s="919"/>
      <c r="F193" s="1053">
        <f t="shared" si="20"/>
        <v>0</v>
      </c>
      <c r="G193" s="919"/>
      <c r="H193" s="914">
        <f t="shared" si="21"/>
        <v>0</v>
      </c>
      <c r="I193" s="919"/>
      <c r="J193" s="914">
        <f t="shared" si="22"/>
        <v>0</v>
      </c>
      <c r="K193" s="919"/>
      <c r="L193" s="914">
        <f t="shared" si="23"/>
        <v>0</v>
      </c>
      <c r="M193" s="919"/>
      <c r="N193" s="914">
        <f t="shared" si="18"/>
        <v>0</v>
      </c>
      <c r="O193" s="914"/>
      <c r="P193" s="914">
        <f t="shared" si="19"/>
        <v>0</v>
      </c>
      <c r="Q193" s="914"/>
      <c r="R193" s="914">
        <f t="shared" si="24"/>
        <v>0</v>
      </c>
      <c r="S193" s="915">
        <f t="shared" si="25"/>
        <v>0</v>
      </c>
      <c r="T193" s="911">
        <f t="shared" si="26"/>
        <v>0</v>
      </c>
    </row>
    <row r="194" spans="1:114" ht="250.5" hidden="1" customHeight="1">
      <c r="A194" s="905"/>
      <c r="B194" s="906" t="s">
        <v>202</v>
      </c>
      <c r="C194" s="921"/>
      <c r="D194" s="908" t="s">
        <v>1834</v>
      </c>
      <c r="E194" s="919"/>
      <c r="F194" s="1053">
        <f t="shared" si="20"/>
        <v>0</v>
      </c>
      <c r="G194" s="919"/>
      <c r="H194" s="914">
        <f t="shared" si="21"/>
        <v>0</v>
      </c>
      <c r="I194" s="919"/>
      <c r="J194" s="914">
        <f t="shared" si="22"/>
        <v>0</v>
      </c>
      <c r="K194" s="919"/>
      <c r="L194" s="914">
        <f t="shared" si="23"/>
        <v>0</v>
      </c>
      <c r="M194" s="919"/>
      <c r="N194" s="914">
        <f t="shared" si="18"/>
        <v>0</v>
      </c>
      <c r="O194" s="914"/>
      <c r="P194" s="914">
        <f t="shared" si="19"/>
        <v>0</v>
      </c>
      <c r="Q194" s="914"/>
      <c r="R194" s="914">
        <f t="shared" si="24"/>
        <v>0</v>
      </c>
      <c r="S194" s="915">
        <f t="shared" si="25"/>
        <v>0</v>
      </c>
      <c r="T194" s="911">
        <f t="shared" si="26"/>
        <v>0</v>
      </c>
    </row>
    <row r="195" spans="1:114" ht="250.5" hidden="1" customHeight="1">
      <c r="A195" s="905"/>
      <c r="B195" s="906" t="s">
        <v>203</v>
      </c>
      <c r="C195" s="921"/>
      <c r="D195" s="908" t="s">
        <v>1834</v>
      </c>
      <c r="E195" s="919"/>
      <c r="F195" s="1053">
        <f t="shared" si="20"/>
        <v>0</v>
      </c>
      <c r="G195" s="919"/>
      <c r="H195" s="914">
        <f t="shared" si="21"/>
        <v>0</v>
      </c>
      <c r="I195" s="919"/>
      <c r="J195" s="914">
        <f t="shared" si="22"/>
        <v>0</v>
      </c>
      <c r="K195" s="919"/>
      <c r="L195" s="914">
        <f t="shared" si="23"/>
        <v>0</v>
      </c>
      <c r="M195" s="919"/>
      <c r="N195" s="914">
        <f t="shared" si="18"/>
        <v>0</v>
      </c>
      <c r="O195" s="914"/>
      <c r="P195" s="914">
        <f t="shared" si="19"/>
        <v>0</v>
      </c>
      <c r="Q195" s="914"/>
      <c r="R195" s="914">
        <f t="shared" si="24"/>
        <v>0</v>
      </c>
      <c r="S195" s="915">
        <f t="shared" si="25"/>
        <v>0</v>
      </c>
      <c r="T195" s="911">
        <f t="shared" si="26"/>
        <v>0</v>
      </c>
    </row>
    <row r="196" spans="1:114" ht="250.5" hidden="1" customHeight="1">
      <c r="A196" s="905"/>
      <c r="B196" s="906" t="s">
        <v>204</v>
      </c>
      <c r="C196" s="921"/>
      <c r="D196" s="908" t="s">
        <v>1834</v>
      </c>
      <c r="E196" s="919"/>
      <c r="F196" s="1053">
        <f t="shared" si="20"/>
        <v>0</v>
      </c>
      <c r="G196" s="919"/>
      <c r="H196" s="914">
        <f t="shared" si="21"/>
        <v>0</v>
      </c>
      <c r="I196" s="919"/>
      <c r="J196" s="914">
        <f t="shared" si="22"/>
        <v>0</v>
      </c>
      <c r="K196" s="919"/>
      <c r="L196" s="914">
        <f t="shared" si="23"/>
        <v>0</v>
      </c>
      <c r="M196" s="919"/>
      <c r="N196" s="914">
        <f t="shared" si="18"/>
        <v>0</v>
      </c>
      <c r="O196" s="914"/>
      <c r="P196" s="914">
        <f t="shared" si="19"/>
        <v>0</v>
      </c>
      <c r="Q196" s="914"/>
      <c r="R196" s="914">
        <f t="shared" si="24"/>
        <v>0</v>
      </c>
      <c r="S196" s="915">
        <f t="shared" si="25"/>
        <v>0</v>
      </c>
      <c r="T196" s="911">
        <f t="shared" si="26"/>
        <v>0</v>
      </c>
    </row>
    <row r="197" spans="1:114" ht="250.5" hidden="1" customHeight="1">
      <c r="A197" s="928"/>
      <c r="B197" s="906" t="s">
        <v>603</v>
      </c>
      <c r="C197" s="921"/>
      <c r="D197" s="908" t="s">
        <v>1834</v>
      </c>
      <c r="E197" s="919"/>
      <c r="F197" s="1053">
        <f t="shared" si="20"/>
        <v>0</v>
      </c>
      <c r="G197" s="919"/>
      <c r="H197" s="914">
        <f t="shared" si="21"/>
        <v>0</v>
      </c>
      <c r="I197" s="919"/>
      <c r="J197" s="914">
        <f t="shared" si="22"/>
        <v>0</v>
      </c>
      <c r="K197" s="919"/>
      <c r="L197" s="914">
        <f t="shared" si="23"/>
        <v>0</v>
      </c>
      <c r="M197" s="919"/>
      <c r="N197" s="914">
        <f t="shared" si="18"/>
        <v>0</v>
      </c>
      <c r="O197" s="914"/>
      <c r="P197" s="914">
        <f t="shared" si="19"/>
        <v>0</v>
      </c>
      <c r="Q197" s="914"/>
      <c r="R197" s="914">
        <f t="shared" si="24"/>
        <v>0</v>
      </c>
      <c r="S197" s="915">
        <f t="shared" si="25"/>
        <v>0</v>
      </c>
      <c r="T197" s="911">
        <f t="shared" si="26"/>
        <v>0</v>
      </c>
    </row>
    <row r="198" spans="1:114" ht="250.5" hidden="1" customHeight="1">
      <c r="A198" s="905">
        <v>11.4</v>
      </c>
      <c r="B198" s="924" t="s">
        <v>6617</v>
      </c>
      <c r="C198" s="921"/>
      <c r="D198" s="908"/>
      <c r="E198" s="919"/>
      <c r="F198" s="1053">
        <f t="shared" si="20"/>
        <v>0</v>
      </c>
      <c r="G198" s="919"/>
      <c r="H198" s="914">
        <f t="shared" si="21"/>
        <v>0</v>
      </c>
      <c r="I198" s="919"/>
      <c r="J198" s="914">
        <f t="shared" si="22"/>
        <v>0</v>
      </c>
      <c r="K198" s="919"/>
      <c r="L198" s="914">
        <f t="shared" si="23"/>
        <v>0</v>
      </c>
      <c r="M198" s="919"/>
      <c r="N198" s="914">
        <f t="shared" ref="N198:N261" si="27">M198*C198</f>
        <v>0</v>
      </c>
      <c r="O198" s="914"/>
      <c r="P198" s="914">
        <f t="shared" ref="P198:P261" si="28">O198*C198</f>
        <v>0</v>
      </c>
      <c r="Q198" s="914"/>
      <c r="R198" s="914">
        <f t="shared" si="24"/>
        <v>0</v>
      </c>
      <c r="S198" s="915">
        <f t="shared" si="25"/>
        <v>0</v>
      </c>
      <c r="T198" s="911">
        <f t="shared" si="26"/>
        <v>0</v>
      </c>
    </row>
    <row r="199" spans="1:114" ht="250.5" hidden="1" customHeight="1">
      <c r="A199" s="927"/>
      <c r="B199" s="906" t="s">
        <v>201</v>
      </c>
      <c r="C199" s="921"/>
      <c r="D199" s="908" t="s">
        <v>1834</v>
      </c>
      <c r="E199" s="919"/>
      <c r="F199" s="1053">
        <f t="shared" ref="F199:F262" si="29">E199*C199</f>
        <v>0</v>
      </c>
      <c r="G199" s="919"/>
      <c r="H199" s="914">
        <f t="shared" ref="H199:H262" si="30">G199*C199</f>
        <v>0</v>
      </c>
      <c r="I199" s="919"/>
      <c r="J199" s="914">
        <f t="shared" ref="J199:J262" si="31">I199*C199</f>
        <v>0</v>
      </c>
      <c r="K199" s="919"/>
      <c r="L199" s="914">
        <f t="shared" ref="L199:L262" si="32">K199*C199</f>
        <v>0</v>
      </c>
      <c r="M199" s="919"/>
      <c r="N199" s="914">
        <f t="shared" si="27"/>
        <v>0</v>
      </c>
      <c r="O199" s="914"/>
      <c r="P199" s="914">
        <f t="shared" si="28"/>
        <v>0</v>
      </c>
      <c r="Q199" s="914"/>
      <c r="R199" s="914">
        <f t="shared" ref="R199:R262" si="33">Q199*C199</f>
        <v>0</v>
      </c>
      <c r="S199" s="915">
        <f t="shared" ref="S199:S262" si="34">G199+I199+K199+M199+E199+O199+Q199</f>
        <v>0</v>
      </c>
      <c r="T199" s="911">
        <f t="shared" ref="T199:T262" si="35">S199*C199</f>
        <v>0</v>
      </c>
    </row>
    <row r="200" spans="1:114" ht="250.5" hidden="1" customHeight="1">
      <c r="A200" s="927"/>
      <c r="B200" s="906" t="s">
        <v>202</v>
      </c>
      <c r="C200" s="921"/>
      <c r="D200" s="908" t="s">
        <v>1834</v>
      </c>
      <c r="E200" s="919"/>
      <c r="F200" s="1053">
        <f t="shared" si="29"/>
        <v>0</v>
      </c>
      <c r="G200" s="919"/>
      <c r="H200" s="914">
        <f t="shared" si="30"/>
        <v>0</v>
      </c>
      <c r="I200" s="919"/>
      <c r="J200" s="914">
        <f t="shared" si="31"/>
        <v>0</v>
      </c>
      <c r="K200" s="919"/>
      <c r="L200" s="914">
        <f t="shared" si="32"/>
        <v>0</v>
      </c>
      <c r="M200" s="919"/>
      <c r="N200" s="914">
        <f t="shared" si="27"/>
        <v>0</v>
      </c>
      <c r="O200" s="914"/>
      <c r="P200" s="914">
        <f t="shared" si="28"/>
        <v>0</v>
      </c>
      <c r="Q200" s="914"/>
      <c r="R200" s="914">
        <f t="shared" si="33"/>
        <v>0</v>
      </c>
      <c r="S200" s="915">
        <f t="shared" si="34"/>
        <v>0</v>
      </c>
      <c r="T200" s="911">
        <f t="shared" si="35"/>
        <v>0</v>
      </c>
    </row>
    <row r="201" spans="1:114" ht="250.5" hidden="1" customHeight="1">
      <c r="A201" s="927"/>
      <c r="B201" s="906" t="s">
        <v>203</v>
      </c>
      <c r="C201" s="921"/>
      <c r="D201" s="908" t="s">
        <v>1834</v>
      </c>
      <c r="E201" s="919"/>
      <c r="F201" s="1053">
        <f t="shared" si="29"/>
        <v>0</v>
      </c>
      <c r="G201" s="919"/>
      <c r="H201" s="914">
        <f t="shared" si="30"/>
        <v>0</v>
      </c>
      <c r="I201" s="919"/>
      <c r="J201" s="914">
        <f t="shared" si="31"/>
        <v>0</v>
      </c>
      <c r="K201" s="919"/>
      <c r="L201" s="914">
        <f t="shared" si="32"/>
        <v>0</v>
      </c>
      <c r="M201" s="919"/>
      <c r="N201" s="914">
        <f t="shared" si="27"/>
        <v>0</v>
      </c>
      <c r="O201" s="914"/>
      <c r="P201" s="914">
        <f t="shared" si="28"/>
        <v>0</v>
      </c>
      <c r="Q201" s="914"/>
      <c r="R201" s="914">
        <f t="shared" si="33"/>
        <v>0</v>
      </c>
      <c r="S201" s="915">
        <f t="shared" si="34"/>
        <v>0</v>
      </c>
      <c r="T201" s="911">
        <f t="shared" si="35"/>
        <v>0</v>
      </c>
    </row>
    <row r="202" spans="1:114" ht="250.5" hidden="1" customHeight="1">
      <c r="A202" s="927"/>
      <c r="B202" s="906" t="s">
        <v>204</v>
      </c>
      <c r="C202" s="921"/>
      <c r="D202" s="908" t="s">
        <v>1834</v>
      </c>
      <c r="E202" s="919"/>
      <c r="F202" s="1053">
        <f t="shared" si="29"/>
        <v>0</v>
      </c>
      <c r="G202" s="919"/>
      <c r="H202" s="914">
        <f t="shared" si="30"/>
        <v>0</v>
      </c>
      <c r="I202" s="919"/>
      <c r="J202" s="914">
        <f t="shared" si="31"/>
        <v>0</v>
      </c>
      <c r="K202" s="919"/>
      <c r="L202" s="914">
        <f t="shared" si="32"/>
        <v>0</v>
      </c>
      <c r="M202" s="919"/>
      <c r="N202" s="914">
        <f t="shared" si="27"/>
        <v>0</v>
      </c>
      <c r="O202" s="914"/>
      <c r="P202" s="914">
        <f t="shared" si="28"/>
        <v>0</v>
      </c>
      <c r="Q202" s="914"/>
      <c r="R202" s="914">
        <f t="shared" si="33"/>
        <v>0</v>
      </c>
      <c r="S202" s="915">
        <f t="shared" si="34"/>
        <v>0</v>
      </c>
      <c r="T202" s="911">
        <f t="shared" si="35"/>
        <v>0</v>
      </c>
    </row>
    <row r="203" spans="1:114" ht="250.5" hidden="1" customHeight="1">
      <c r="A203" s="931"/>
      <c r="B203" s="906" t="s">
        <v>603</v>
      </c>
      <c r="C203" s="921"/>
      <c r="D203" s="908" t="s">
        <v>1834</v>
      </c>
      <c r="E203" s="919"/>
      <c r="F203" s="1053">
        <f t="shared" si="29"/>
        <v>0</v>
      </c>
      <c r="G203" s="919"/>
      <c r="H203" s="914">
        <f t="shared" si="30"/>
        <v>0</v>
      </c>
      <c r="I203" s="919"/>
      <c r="J203" s="914">
        <f t="shared" si="31"/>
        <v>0</v>
      </c>
      <c r="K203" s="919"/>
      <c r="L203" s="914">
        <f t="shared" si="32"/>
        <v>0</v>
      </c>
      <c r="M203" s="919"/>
      <c r="N203" s="914">
        <f t="shared" si="27"/>
        <v>0</v>
      </c>
      <c r="O203" s="914"/>
      <c r="P203" s="914">
        <f t="shared" si="28"/>
        <v>0</v>
      </c>
      <c r="Q203" s="914"/>
      <c r="R203" s="914">
        <f t="shared" si="33"/>
        <v>0</v>
      </c>
      <c r="S203" s="915">
        <f t="shared" si="34"/>
        <v>0</v>
      </c>
      <c r="T203" s="911">
        <f t="shared" si="35"/>
        <v>0</v>
      </c>
    </row>
    <row r="204" spans="1:114" s="920" customFormat="1" ht="250.5" hidden="1" customHeight="1">
      <c r="A204" s="932">
        <v>11.5</v>
      </c>
      <c r="B204" s="925" t="s">
        <v>6618</v>
      </c>
      <c r="C204" s="918"/>
      <c r="D204" s="898"/>
      <c r="E204" s="919"/>
      <c r="F204" s="1053">
        <f t="shared" si="29"/>
        <v>0</v>
      </c>
      <c r="G204" s="919"/>
      <c r="H204" s="914">
        <f t="shared" si="30"/>
        <v>0</v>
      </c>
      <c r="I204" s="919"/>
      <c r="J204" s="914">
        <f t="shared" si="31"/>
        <v>0</v>
      </c>
      <c r="K204" s="919"/>
      <c r="L204" s="914">
        <f t="shared" si="32"/>
        <v>0</v>
      </c>
      <c r="M204" s="919"/>
      <c r="N204" s="914">
        <f t="shared" si="27"/>
        <v>0</v>
      </c>
      <c r="O204" s="914"/>
      <c r="P204" s="914">
        <f t="shared" si="28"/>
        <v>0</v>
      </c>
      <c r="Q204" s="914"/>
      <c r="R204" s="914">
        <f t="shared" si="33"/>
        <v>0</v>
      </c>
      <c r="S204" s="915">
        <f t="shared" si="34"/>
        <v>0</v>
      </c>
      <c r="T204" s="911">
        <f t="shared" si="35"/>
        <v>0</v>
      </c>
      <c r="U204" s="1172"/>
      <c r="V204" s="1172"/>
      <c r="W204" s="1172"/>
      <c r="X204" s="1172"/>
      <c r="Y204" s="1172"/>
      <c r="Z204" s="1172"/>
      <c r="AA204" s="1172"/>
      <c r="AB204" s="1172"/>
      <c r="AC204" s="1172"/>
      <c r="AD204" s="1172"/>
      <c r="AE204" s="1172"/>
      <c r="AF204" s="1172"/>
      <c r="AG204" s="1172"/>
      <c r="AH204" s="1172"/>
      <c r="AI204" s="1172"/>
      <c r="AJ204" s="1172"/>
      <c r="AK204" s="1172"/>
      <c r="AL204" s="1172"/>
      <c r="AM204" s="1172"/>
      <c r="AN204" s="1172"/>
      <c r="AO204" s="1172"/>
      <c r="AP204" s="1172"/>
      <c r="AQ204" s="1172"/>
      <c r="AR204" s="1172"/>
      <c r="AS204" s="1172"/>
      <c r="AT204" s="1172"/>
      <c r="AU204" s="1172"/>
      <c r="AV204" s="1172"/>
      <c r="AW204" s="1172"/>
      <c r="AX204" s="1172"/>
      <c r="AY204" s="1172"/>
      <c r="AZ204" s="1172"/>
      <c r="BA204" s="1172"/>
      <c r="BB204" s="1172"/>
      <c r="BC204" s="1172"/>
      <c r="BD204" s="1172"/>
      <c r="BE204" s="1172"/>
      <c r="BF204" s="1172"/>
      <c r="BG204" s="1172"/>
      <c r="BH204" s="1172"/>
      <c r="BI204" s="1172"/>
      <c r="BJ204" s="1172"/>
      <c r="BK204" s="1172"/>
      <c r="BL204" s="1172"/>
      <c r="BM204" s="1172"/>
      <c r="BN204" s="1172"/>
      <c r="BO204" s="1172"/>
      <c r="BP204" s="1172"/>
      <c r="BQ204" s="1172"/>
      <c r="BR204" s="1172"/>
      <c r="BS204" s="1172"/>
      <c r="BT204" s="1172"/>
      <c r="BU204" s="1172"/>
      <c r="BV204" s="1172"/>
      <c r="BW204" s="1172"/>
      <c r="BX204" s="1172"/>
      <c r="BY204" s="1172"/>
      <c r="BZ204" s="1172"/>
      <c r="CA204" s="1172"/>
      <c r="CB204" s="1172"/>
      <c r="CC204" s="1172"/>
      <c r="CD204" s="1172"/>
      <c r="CE204" s="1172"/>
      <c r="CF204" s="1172"/>
      <c r="CG204" s="1172"/>
      <c r="CH204" s="1172"/>
      <c r="CI204" s="1172"/>
      <c r="CJ204" s="1172"/>
      <c r="CK204" s="1172"/>
      <c r="CL204" s="1172"/>
      <c r="CM204" s="1172"/>
      <c r="CN204" s="1172"/>
      <c r="CO204" s="1172"/>
      <c r="CP204" s="1172"/>
      <c r="CQ204" s="1172"/>
      <c r="CR204" s="1172"/>
      <c r="CS204" s="1172"/>
      <c r="CT204" s="1172"/>
      <c r="CU204" s="1172"/>
      <c r="CV204" s="1172"/>
      <c r="CW204" s="1172"/>
      <c r="CX204" s="1172"/>
      <c r="CY204" s="1172"/>
      <c r="CZ204" s="1172"/>
      <c r="DA204" s="1172"/>
      <c r="DB204" s="1172"/>
      <c r="DC204" s="1172"/>
      <c r="DD204" s="1172"/>
      <c r="DE204" s="1172"/>
      <c r="DF204" s="1172"/>
      <c r="DG204" s="1172"/>
      <c r="DH204" s="1172"/>
      <c r="DI204" s="1172"/>
      <c r="DJ204" s="1172"/>
    </row>
    <row r="205" spans="1:114" s="920" customFormat="1" ht="250.5" hidden="1" customHeight="1">
      <c r="A205" s="932"/>
      <c r="B205" s="917" t="s">
        <v>201</v>
      </c>
      <c r="C205" s="918">
        <f>ROUND(DATA!K434,2)</f>
        <v>550.80999999999995</v>
      </c>
      <c r="D205" s="898" t="s">
        <v>1834</v>
      </c>
      <c r="E205" s="919"/>
      <c r="F205" s="1053">
        <f t="shared" si="29"/>
        <v>0</v>
      </c>
      <c r="G205" s="919"/>
      <c r="H205" s="914">
        <f t="shared" si="30"/>
        <v>0</v>
      </c>
      <c r="I205" s="919"/>
      <c r="J205" s="914">
        <f t="shared" si="31"/>
        <v>0</v>
      </c>
      <c r="K205" s="919"/>
      <c r="L205" s="914">
        <f t="shared" si="32"/>
        <v>0</v>
      </c>
      <c r="M205" s="919"/>
      <c r="N205" s="914">
        <f t="shared" si="27"/>
        <v>0</v>
      </c>
      <c r="O205" s="914"/>
      <c r="P205" s="914">
        <f t="shared" si="28"/>
        <v>0</v>
      </c>
      <c r="Q205" s="914"/>
      <c r="R205" s="914">
        <f t="shared" si="33"/>
        <v>0</v>
      </c>
      <c r="S205" s="915">
        <f t="shared" si="34"/>
        <v>0</v>
      </c>
      <c r="T205" s="911">
        <f t="shared" si="35"/>
        <v>0</v>
      </c>
      <c r="U205" s="1172"/>
      <c r="V205" s="1172"/>
      <c r="W205" s="1172"/>
      <c r="X205" s="1172"/>
      <c r="Y205" s="1172"/>
      <c r="Z205" s="1172"/>
      <c r="AA205" s="1172"/>
      <c r="AB205" s="1172"/>
      <c r="AC205" s="1172"/>
      <c r="AD205" s="1172"/>
      <c r="AE205" s="1172"/>
      <c r="AF205" s="1172"/>
      <c r="AG205" s="1172"/>
      <c r="AH205" s="1172"/>
      <c r="AI205" s="1172"/>
      <c r="AJ205" s="1172"/>
      <c r="AK205" s="1172"/>
      <c r="AL205" s="1172"/>
      <c r="AM205" s="1172"/>
      <c r="AN205" s="1172"/>
      <c r="AO205" s="1172"/>
      <c r="AP205" s="1172"/>
      <c r="AQ205" s="1172"/>
      <c r="AR205" s="1172"/>
      <c r="AS205" s="1172"/>
      <c r="AT205" s="1172"/>
      <c r="AU205" s="1172"/>
      <c r="AV205" s="1172"/>
      <c r="AW205" s="1172"/>
      <c r="AX205" s="1172"/>
      <c r="AY205" s="1172"/>
      <c r="AZ205" s="1172"/>
      <c r="BA205" s="1172"/>
      <c r="BB205" s="1172"/>
      <c r="BC205" s="1172"/>
      <c r="BD205" s="1172"/>
      <c r="BE205" s="1172"/>
      <c r="BF205" s="1172"/>
      <c r="BG205" s="1172"/>
      <c r="BH205" s="1172"/>
      <c r="BI205" s="1172"/>
      <c r="BJ205" s="1172"/>
      <c r="BK205" s="1172"/>
      <c r="BL205" s="1172"/>
      <c r="BM205" s="1172"/>
      <c r="BN205" s="1172"/>
      <c r="BO205" s="1172"/>
      <c r="BP205" s="1172"/>
      <c r="BQ205" s="1172"/>
      <c r="BR205" s="1172"/>
      <c r="BS205" s="1172"/>
      <c r="BT205" s="1172"/>
      <c r="BU205" s="1172"/>
      <c r="BV205" s="1172"/>
      <c r="BW205" s="1172"/>
      <c r="BX205" s="1172"/>
      <c r="BY205" s="1172"/>
      <c r="BZ205" s="1172"/>
      <c r="CA205" s="1172"/>
      <c r="CB205" s="1172"/>
      <c r="CC205" s="1172"/>
      <c r="CD205" s="1172"/>
      <c r="CE205" s="1172"/>
      <c r="CF205" s="1172"/>
      <c r="CG205" s="1172"/>
      <c r="CH205" s="1172"/>
      <c r="CI205" s="1172"/>
      <c r="CJ205" s="1172"/>
      <c r="CK205" s="1172"/>
      <c r="CL205" s="1172"/>
      <c r="CM205" s="1172"/>
      <c r="CN205" s="1172"/>
      <c r="CO205" s="1172"/>
      <c r="CP205" s="1172"/>
      <c r="CQ205" s="1172"/>
      <c r="CR205" s="1172"/>
      <c r="CS205" s="1172"/>
      <c r="CT205" s="1172"/>
      <c r="CU205" s="1172"/>
      <c r="CV205" s="1172"/>
      <c r="CW205" s="1172"/>
      <c r="CX205" s="1172"/>
      <c r="CY205" s="1172"/>
      <c r="CZ205" s="1172"/>
      <c r="DA205" s="1172"/>
      <c r="DB205" s="1172"/>
      <c r="DC205" s="1172"/>
      <c r="DD205" s="1172"/>
      <c r="DE205" s="1172"/>
      <c r="DF205" s="1172"/>
      <c r="DG205" s="1172"/>
      <c r="DH205" s="1172"/>
      <c r="DI205" s="1172"/>
      <c r="DJ205" s="1172"/>
    </row>
    <row r="206" spans="1:114" s="920" customFormat="1" ht="250.5" hidden="1" customHeight="1">
      <c r="A206" s="932"/>
      <c r="B206" s="917" t="s">
        <v>202</v>
      </c>
      <c r="C206" s="918">
        <f>ROUND(DATA!K435,2)</f>
        <v>561.95000000000005</v>
      </c>
      <c r="D206" s="898" t="s">
        <v>1834</v>
      </c>
      <c r="E206" s="919"/>
      <c r="F206" s="1053">
        <f t="shared" si="29"/>
        <v>0</v>
      </c>
      <c r="G206" s="919"/>
      <c r="H206" s="914">
        <f t="shared" si="30"/>
        <v>0</v>
      </c>
      <c r="I206" s="919"/>
      <c r="J206" s="914">
        <f t="shared" si="31"/>
        <v>0</v>
      </c>
      <c r="K206" s="919"/>
      <c r="L206" s="914">
        <f t="shared" si="32"/>
        <v>0</v>
      </c>
      <c r="M206" s="919"/>
      <c r="N206" s="914">
        <f t="shared" si="27"/>
        <v>0</v>
      </c>
      <c r="O206" s="914"/>
      <c r="P206" s="914">
        <f t="shared" si="28"/>
        <v>0</v>
      </c>
      <c r="Q206" s="914"/>
      <c r="R206" s="914">
        <f t="shared" si="33"/>
        <v>0</v>
      </c>
      <c r="S206" s="915">
        <f t="shared" si="34"/>
        <v>0</v>
      </c>
      <c r="T206" s="911">
        <f t="shared" si="35"/>
        <v>0</v>
      </c>
      <c r="U206" s="1172"/>
      <c r="V206" s="1172"/>
      <c r="W206" s="1172"/>
      <c r="X206" s="1172"/>
      <c r="Y206" s="1172"/>
      <c r="Z206" s="1172"/>
      <c r="AA206" s="1172"/>
      <c r="AB206" s="1172"/>
      <c r="AC206" s="1172"/>
      <c r="AD206" s="1172"/>
      <c r="AE206" s="1172"/>
      <c r="AF206" s="1172"/>
      <c r="AG206" s="1172"/>
      <c r="AH206" s="1172"/>
      <c r="AI206" s="1172"/>
      <c r="AJ206" s="1172"/>
      <c r="AK206" s="1172"/>
      <c r="AL206" s="1172"/>
      <c r="AM206" s="1172"/>
      <c r="AN206" s="1172"/>
      <c r="AO206" s="1172"/>
      <c r="AP206" s="1172"/>
      <c r="AQ206" s="1172"/>
      <c r="AR206" s="1172"/>
      <c r="AS206" s="1172"/>
      <c r="AT206" s="1172"/>
      <c r="AU206" s="1172"/>
      <c r="AV206" s="1172"/>
      <c r="AW206" s="1172"/>
      <c r="AX206" s="1172"/>
      <c r="AY206" s="1172"/>
      <c r="AZ206" s="1172"/>
      <c r="BA206" s="1172"/>
      <c r="BB206" s="1172"/>
      <c r="BC206" s="1172"/>
      <c r="BD206" s="1172"/>
      <c r="BE206" s="1172"/>
      <c r="BF206" s="1172"/>
      <c r="BG206" s="1172"/>
      <c r="BH206" s="1172"/>
      <c r="BI206" s="1172"/>
      <c r="BJ206" s="1172"/>
      <c r="BK206" s="1172"/>
      <c r="BL206" s="1172"/>
      <c r="BM206" s="1172"/>
      <c r="BN206" s="1172"/>
      <c r="BO206" s="1172"/>
      <c r="BP206" s="1172"/>
      <c r="BQ206" s="1172"/>
      <c r="BR206" s="1172"/>
      <c r="BS206" s="1172"/>
      <c r="BT206" s="1172"/>
      <c r="BU206" s="1172"/>
      <c r="BV206" s="1172"/>
      <c r="BW206" s="1172"/>
      <c r="BX206" s="1172"/>
      <c r="BY206" s="1172"/>
      <c r="BZ206" s="1172"/>
      <c r="CA206" s="1172"/>
      <c r="CB206" s="1172"/>
      <c r="CC206" s="1172"/>
      <c r="CD206" s="1172"/>
      <c r="CE206" s="1172"/>
      <c r="CF206" s="1172"/>
      <c r="CG206" s="1172"/>
      <c r="CH206" s="1172"/>
      <c r="CI206" s="1172"/>
      <c r="CJ206" s="1172"/>
      <c r="CK206" s="1172"/>
      <c r="CL206" s="1172"/>
      <c r="CM206" s="1172"/>
      <c r="CN206" s="1172"/>
      <c r="CO206" s="1172"/>
      <c r="CP206" s="1172"/>
      <c r="CQ206" s="1172"/>
      <c r="CR206" s="1172"/>
      <c r="CS206" s="1172"/>
      <c r="CT206" s="1172"/>
      <c r="CU206" s="1172"/>
      <c r="CV206" s="1172"/>
      <c r="CW206" s="1172"/>
      <c r="CX206" s="1172"/>
      <c r="CY206" s="1172"/>
      <c r="CZ206" s="1172"/>
      <c r="DA206" s="1172"/>
      <c r="DB206" s="1172"/>
      <c r="DC206" s="1172"/>
      <c r="DD206" s="1172"/>
      <c r="DE206" s="1172"/>
      <c r="DF206" s="1172"/>
      <c r="DG206" s="1172"/>
      <c r="DH206" s="1172"/>
      <c r="DI206" s="1172"/>
      <c r="DJ206" s="1172"/>
    </row>
    <row r="207" spans="1:114" s="920" customFormat="1" ht="250.5" hidden="1" customHeight="1">
      <c r="A207" s="932"/>
      <c r="B207" s="917" t="s">
        <v>203</v>
      </c>
      <c r="C207" s="918">
        <f>ROUND(DATA!K436,2)</f>
        <v>573.09</v>
      </c>
      <c r="D207" s="898" t="s">
        <v>1834</v>
      </c>
      <c r="E207" s="919"/>
      <c r="F207" s="1053">
        <f t="shared" si="29"/>
        <v>0</v>
      </c>
      <c r="G207" s="919"/>
      <c r="H207" s="914">
        <f t="shared" si="30"/>
        <v>0</v>
      </c>
      <c r="I207" s="919"/>
      <c r="J207" s="914">
        <f t="shared" si="31"/>
        <v>0</v>
      </c>
      <c r="K207" s="919"/>
      <c r="L207" s="914">
        <f t="shared" si="32"/>
        <v>0</v>
      </c>
      <c r="M207" s="919"/>
      <c r="N207" s="914">
        <f t="shared" si="27"/>
        <v>0</v>
      </c>
      <c r="O207" s="914"/>
      <c r="P207" s="914">
        <f t="shared" si="28"/>
        <v>0</v>
      </c>
      <c r="Q207" s="914"/>
      <c r="R207" s="914">
        <f t="shared" si="33"/>
        <v>0</v>
      </c>
      <c r="S207" s="915">
        <f t="shared" si="34"/>
        <v>0</v>
      </c>
      <c r="T207" s="911">
        <f t="shared" si="35"/>
        <v>0</v>
      </c>
      <c r="U207" s="1172"/>
      <c r="V207" s="1172"/>
      <c r="W207" s="1172"/>
      <c r="X207" s="1172"/>
      <c r="Y207" s="1172"/>
      <c r="Z207" s="1172"/>
      <c r="AA207" s="1172"/>
      <c r="AB207" s="1172"/>
      <c r="AC207" s="1172"/>
      <c r="AD207" s="1172"/>
      <c r="AE207" s="1172"/>
      <c r="AF207" s="1172"/>
      <c r="AG207" s="1172"/>
      <c r="AH207" s="1172"/>
      <c r="AI207" s="1172"/>
      <c r="AJ207" s="1172"/>
      <c r="AK207" s="1172"/>
      <c r="AL207" s="1172"/>
      <c r="AM207" s="1172"/>
      <c r="AN207" s="1172"/>
      <c r="AO207" s="1172"/>
      <c r="AP207" s="1172"/>
      <c r="AQ207" s="1172"/>
      <c r="AR207" s="1172"/>
      <c r="AS207" s="1172"/>
      <c r="AT207" s="1172"/>
      <c r="AU207" s="1172"/>
      <c r="AV207" s="1172"/>
      <c r="AW207" s="1172"/>
      <c r="AX207" s="1172"/>
      <c r="AY207" s="1172"/>
      <c r="AZ207" s="1172"/>
      <c r="BA207" s="1172"/>
      <c r="BB207" s="1172"/>
      <c r="BC207" s="1172"/>
      <c r="BD207" s="1172"/>
      <c r="BE207" s="1172"/>
      <c r="BF207" s="1172"/>
      <c r="BG207" s="1172"/>
      <c r="BH207" s="1172"/>
      <c r="BI207" s="1172"/>
      <c r="BJ207" s="1172"/>
      <c r="BK207" s="1172"/>
      <c r="BL207" s="1172"/>
      <c r="BM207" s="1172"/>
      <c r="BN207" s="1172"/>
      <c r="BO207" s="1172"/>
      <c r="BP207" s="1172"/>
      <c r="BQ207" s="1172"/>
      <c r="BR207" s="1172"/>
      <c r="BS207" s="1172"/>
      <c r="BT207" s="1172"/>
      <c r="BU207" s="1172"/>
      <c r="BV207" s="1172"/>
      <c r="BW207" s="1172"/>
      <c r="BX207" s="1172"/>
      <c r="BY207" s="1172"/>
      <c r="BZ207" s="1172"/>
      <c r="CA207" s="1172"/>
      <c r="CB207" s="1172"/>
      <c r="CC207" s="1172"/>
      <c r="CD207" s="1172"/>
      <c r="CE207" s="1172"/>
      <c r="CF207" s="1172"/>
      <c r="CG207" s="1172"/>
      <c r="CH207" s="1172"/>
      <c r="CI207" s="1172"/>
      <c r="CJ207" s="1172"/>
      <c r="CK207" s="1172"/>
      <c r="CL207" s="1172"/>
      <c r="CM207" s="1172"/>
      <c r="CN207" s="1172"/>
      <c r="CO207" s="1172"/>
      <c r="CP207" s="1172"/>
      <c r="CQ207" s="1172"/>
      <c r="CR207" s="1172"/>
      <c r="CS207" s="1172"/>
      <c r="CT207" s="1172"/>
      <c r="CU207" s="1172"/>
      <c r="CV207" s="1172"/>
      <c r="CW207" s="1172"/>
      <c r="CX207" s="1172"/>
      <c r="CY207" s="1172"/>
      <c r="CZ207" s="1172"/>
      <c r="DA207" s="1172"/>
      <c r="DB207" s="1172"/>
      <c r="DC207" s="1172"/>
      <c r="DD207" s="1172"/>
      <c r="DE207" s="1172"/>
      <c r="DF207" s="1172"/>
      <c r="DG207" s="1172"/>
      <c r="DH207" s="1172"/>
      <c r="DI207" s="1172"/>
      <c r="DJ207" s="1172"/>
    </row>
    <row r="208" spans="1:114" s="920" customFormat="1" ht="250.5" hidden="1" customHeight="1">
      <c r="A208" s="932"/>
      <c r="B208" s="917" t="s">
        <v>204</v>
      </c>
      <c r="C208" s="918">
        <f>ROUND(DATA!K437,2)</f>
        <v>584.23</v>
      </c>
      <c r="D208" s="898" t="s">
        <v>1834</v>
      </c>
      <c r="E208" s="919"/>
      <c r="F208" s="1053">
        <f t="shared" si="29"/>
        <v>0</v>
      </c>
      <c r="G208" s="919"/>
      <c r="H208" s="914">
        <f t="shared" si="30"/>
        <v>0</v>
      </c>
      <c r="I208" s="919"/>
      <c r="J208" s="914">
        <f t="shared" si="31"/>
        <v>0</v>
      </c>
      <c r="K208" s="919"/>
      <c r="L208" s="914">
        <f t="shared" si="32"/>
        <v>0</v>
      </c>
      <c r="M208" s="919"/>
      <c r="N208" s="914">
        <f t="shared" si="27"/>
        <v>0</v>
      </c>
      <c r="O208" s="914"/>
      <c r="P208" s="914">
        <f t="shared" si="28"/>
        <v>0</v>
      </c>
      <c r="Q208" s="914"/>
      <c r="R208" s="914">
        <f t="shared" si="33"/>
        <v>0</v>
      </c>
      <c r="S208" s="915">
        <f t="shared" si="34"/>
        <v>0</v>
      </c>
      <c r="T208" s="911">
        <f t="shared" si="35"/>
        <v>0</v>
      </c>
      <c r="U208" s="1172"/>
      <c r="V208" s="1172"/>
      <c r="W208" s="1172"/>
      <c r="X208" s="1172"/>
      <c r="Y208" s="1172"/>
      <c r="Z208" s="1172"/>
      <c r="AA208" s="1172"/>
      <c r="AB208" s="1172"/>
      <c r="AC208" s="1172"/>
      <c r="AD208" s="1172"/>
      <c r="AE208" s="1172"/>
      <c r="AF208" s="1172"/>
      <c r="AG208" s="1172"/>
      <c r="AH208" s="1172"/>
      <c r="AI208" s="1172"/>
      <c r="AJ208" s="1172"/>
      <c r="AK208" s="1172"/>
      <c r="AL208" s="1172"/>
      <c r="AM208" s="1172"/>
      <c r="AN208" s="1172"/>
      <c r="AO208" s="1172"/>
      <c r="AP208" s="1172"/>
      <c r="AQ208" s="1172"/>
      <c r="AR208" s="1172"/>
      <c r="AS208" s="1172"/>
      <c r="AT208" s="1172"/>
      <c r="AU208" s="1172"/>
      <c r="AV208" s="1172"/>
      <c r="AW208" s="1172"/>
      <c r="AX208" s="1172"/>
      <c r="AY208" s="1172"/>
      <c r="AZ208" s="1172"/>
      <c r="BA208" s="1172"/>
      <c r="BB208" s="1172"/>
      <c r="BC208" s="1172"/>
      <c r="BD208" s="1172"/>
      <c r="BE208" s="1172"/>
      <c r="BF208" s="1172"/>
      <c r="BG208" s="1172"/>
      <c r="BH208" s="1172"/>
      <c r="BI208" s="1172"/>
      <c r="BJ208" s="1172"/>
      <c r="BK208" s="1172"/>
      <c r="BL208" s="1172"/>
      <c r="BM208" s="1172"/>
      <c r="BN208" s="1172"/>
      <c r="BO208" s="1172"/>
      <c r="BP208" s="1172"/>
      <c r="BQ208" s="1172"/>
      <c r="BR208" s="1172"/>
      <c r="BS208" s="1172"/>
      <c r="BT208" s="1172"/>
      <c r="BU208" s="1172"/>
      <c r="BV208" s="1172"/>
      <c r="BW208" s="1172"/>
      <c r="BX208" s="1172"/>
      <c r="BY208" s="1172"/>
      <c r="BZ208" s="1172"/>
      <c r="CA208" s="1172"/>
      <c r="CB208" s="1172"/>
      <c r="CC208" s="1172"/>
      <c r="CD208" s="1172"/>
      <c r="CE208" s="1172"/>
      <c r="CF208" s="1172"/>
      <c r="CG208" s="1172"/>
      <c r="CH208" s="1172"/>
      <c r="CI208" s="1172"/>
      <c r="CJ208" s="1172"/>
      <c r="CK208" s="1172"/>
      <c r="CL208" s="1172"/>
      <c r="CM208" s="1172"/>
      <c r="CN208" s="1172"/>
      <c r="CO208" s="1172"/>
      <c r="CP208" s="1172"/>
      <c r="CQ208" s="1172"/>
      <c r="CR208" s="1172"/>
      <c r="CS208" s="1172"/>
      <c r="CT208" s="1172"/>
      <c r="CU208" s="1172"/>
      <c r="CV208" s="1172"/>
      <c r="CW208" s="1172"/>
      <c r="CX208" s="1172"/>
      <c r="CY208" s="1172"/>
      <c r="CZ208" s="1172"/>
      <c r="DA208" s="1172"/>
      <c r="DB208" s="1172"/>
      <c r="DC208" s="1172"/>
      <c r="DD208" s="1172"/>
      <c r="DE208" s="1172"/>
      <c r="DF208" s="1172"/>
      <c r="DG208" s="1172"/>
      <c r="DH208" s="1172"/>
      <c r="DI208" s="1172"/>
      <c r="DJ208" s="1172"/>
    </row>
    <row r="209" spans="1:114" ht="250.5" hidden="1" customHeight="1">
      <c r="A209" s="933"/>
      <c r="B209" s="906" t="s">
        <v>603</v>
      </c>
      <c r="C209" s="921">
        <f>ROUND(DATA!K438,2)</f>
        <v>595.37</v>
      </c>
      <c r="D209" s="908" t="s">
        <v>1834</v>
      </c>
      <c r="E209" s="919"/>
      <c r="F209" s="1053">
        <f t="shared" si="29"/>
        <v>0</v>
      </c>
      <c r="G209" s="919"/>
      <c r="H209" s="914">
        <f t="shared" si="30"/>
        <v>0</v>
      </c>
      <c r="I209" s="919"/>
      <c r="J209" s="914">
        <f t="shared" si="31"/>
        <v>0</v>
      </c>
      <c r="K209" s="919"/>
      <c r="L209" s="914">
        <f t="shared" si="32"/>
        <v>0</v>
      </c>
      <c r="M209" s="919"/>
      <c r="N209" s="914">
        <f t="shared" si="27"/>
        <v>0</v>
      </c>
      <c r="O209" s="914"/>
      <c r="P209" s="914">
        <f t="shared" si="28"/>
        <v>0</v>
      </c>
      <c r="Q209" s="914"/>
      <c r="R209" s="914">
        <f t="shared" si="33"/>
        <v>0</v>
      </c>
      <c r="S209" s="915">
        <f t="shared" si="34"/>
        <v>0</v>
      </c>
      <c r="T209" s="911">
        <f t="shared" si="35"/>
        <v>0</v>
      </c>
    </row>
    <row r="210" spans="1:114" ht="250.5" hidden="1" customHeight="1">
      <c r="A210" s="934">
        <v>11.6</v>
      </c>
      <c r="B210" s="924" t="s">
        <v>6619</v>
      </c>
      <c r="C210" s="921"/>
      <c r="D210" s="908"/>
      <c r="E210" s="919"/>
      <c r="F210" s="1053">
        <f t="shared" si="29"/>
        <v>0</v>
      </c>
      <c r="G210" s="919"/>
      <c r="H210" s="914">
        <f t="shared" si="30"/>
        <v>0</v>
      </c>
      <c r="I210" s="919"/>
      <c r="J210" s="914">
        <f t="shared" si="31"/>
        <v>0</v>
      </c>
      <c r="K210" s="919"/>
      <c r="L210" s="914">
        <f t="shared" si="32"/>
        <v>0</v>
      </c>
      <c r="M210" s="919"/>
      <c r="N210" s="914">
        <f t="shared" si="27"/>
        <v>0</v>
      </c>
      <c r="O210" s="914"/>
      <c r="P210" s="914">
        <f t="shared" si="28"/>
        <v>0</v>
      </c>
      <c r="Q210" s="914"/>
      <c r="R210" s="914">
        <f t="shared" si="33"/>
        <v>0</v>
      </c>
      <c r="S210" s="915">
        <f t="shared" si="34"/>
        <v>0</v>
      </c>
      <c r="T210" s="911">
        <f t="shared" si="35"/>
        <v>0</v>
      </c>
    </row>
    <row r="211" spans="1:114" ht="250.5" hidden="1" customHeight="1">
      <c r="A211" s="934"/>
      <c r="B211" s="906" t="s">
        <v>201</v>
      </c>
      <c r="C211" s="921"/>
      <c r="D211" s="908" t="s">
        <v>1834</v>
      </c>
      <c r="E211" s="919"/>
      <c r="F211" s="1053">
        <f t="shared" si="29"/>
        <v>0</v>
      </c>
      <c r="G211" s="919"/>
      <c r="H211" s="914">
        <f t="shared" si="30"/>
        <v>0</v>
      </c>
      <c r="I211" s="919"/>
      <c r="J211" s="914">
        <f t="shared" si="31"/>
        <v>0</v>
      </c>
      <c r="K211" s="919"/>
      <c r="L211" s="914">
        <f t="shared" si="32"/>
        <v>0</v>
      </c>
      <c r="M211" s="919"/>
      <c r="N211" s="914">
        <f t="shared" si="27"/>
        <v>0</v>
      </c>
      <c r="O211" s="914"/>
      <c r="P211" s="914">
        <f t="shared" si="28"/>
        <v>0</v>
      </c>
      <c r="Q211" s="914"/>
      <c r="R211" s="914">
        <f t="shared" si="33"/>
        <v>0</v>
      </c>
      <c r="S211" s="915">
        <f t="shared" si="34"/>
        <v>0</v>
      </c>
      <c r="T211" s="911">
        <f t="shared" si="35"/>
        <v>0</v>
      </c>
    </row>
    <row r="212" spans="1:114" ht="250.5" hidden="1" customHeight="1">
      <c r="A212" s="934"/>
      <c r="B212" s="906" t="s">
        <v>202</v>
      </c>
      <c r="C212" s="921"/>
      <c r="D212" s="908" t="s">
        <v>1834</v>
      </c>
      <c r="E212" s="919"/>
      <c r="F212" s="1053">
        <f t="shared" si="29"/>
        <v>0</v>
      </c>
      <c r="G212" s="919"/>
      <c r="H212" s="914">
        <f t="shared" si="30"/>
        <v>0</v>
      </c>
      <c r="I212" s="919"/>
      <c r="J212" s="914">
        <f t="shared" si="31"/>
        <v>0</v>
      </c>
      <c r="K212" s="919"/>
      <c r="L212" s="914">
        <f t="shared" si="32"/>
        <v>0</v>
      </c>
      <c r="M212" s="919"/>
      <c r="N212" s="914">
        <f t="shared" si="27"/>
        <v>0</v>
      </c>
      <c r="O212" s="914"/>
      <c r="P212" s="914">
        <f t="shared" si="28"/>
        <v>0</v>
      </c>
      <c r="Q212" s="914"/>
      <c r="R212" s="914">
        <f t="shared" si="33"/>
        <v>0</v>
      </c>
      <c r="S212" s="915">
        <f t="shared" si="34"/>
        <v>0</v>
      </c>
      <c r="T212" s="911">
        <f t="shared" si="35"/>
        <v>0</v>
      </c>
    </row>
    <row r="213" spans="1:114" ht="250.5" hidden="1" customHeight="1">
      <c r="A213" s="934"/>
      <c r="B213" s="906" t="s">
        <v>203</v>
      </c>
      <c r="C213" s="921"/>
      <c r="D213" s="908" t="s">
        <v>1834</v>
      </c>
      <c r="E213" s="919"/>
      <c r="F213" s="1053">
        <f t="shared" si="29"/>
        <v>0</v>
      </c>
      <c r="G213" s="919"/>
      <c r="H213" s="914">
        <f t="shared" si="30"/>
        <v>0</v>
      </c>
      <c r="I213" s="919"/>
      <c r="J213" s="914">
        <f t="shared" si="31"/>
        <v>0</v>
      </c>
      <c r="K213" s="919"/>
      <c r="L213" s="914">
        <f t="shared" si="32"/>
        <v>0</v>
      </c>
      <c r="M213" s="919"/>
      <c r="N213" s="914">
        <f t="shared" si="27"/>
        <v>0</v>
      </c>
      <c r="O213" s="914"/>
      <c r="P213" s="914">
        <f t="shared" si="28"/>
        <v>0</v>
      </c>
      <c r="Q213" s="914"/>
      <c r="R213" s="914">
        <f t="shared" si="33"/>
        <v>0</v>
      </c>
      <c r="S213" s="915">
        <f t="shared" si="34"/>
        <v>0</v>
      </c>
      <c r="T213" s="911">
        <f t="shared" si="35"/>
        <v>0</v>
      </c>
    </row>
    <row r="214" spans="1:114" ht="250.5" hidden="1" customHeight="1">
      <c r="A214" s="934"/>
      <c r="B214" s="906" t="s">
        <v>204</v>
      </c>
      <c r="C214" s="921"/>
      <c r="D214" s="908" t="s">
        <v>1834</v>
      </c>
      <c r="E214" s="919"/>
      <c r="F214" s="1053">
        <f t="shared" si="29"/>
        <v>0</v>
      </c>
      <c r="G214" s="919"/>
      <c r="H214" s="914">
        <f t="shared" si="30"/>
        <v>0</v>
      </c>
      <c r="I214" s="919"/>
      <c r="J214" s="914">
        <f t="shared" si="31"/>
        <v>0</v>
      </c>
      <c r="K214" s="919"/>
      <c r="L214" s="914">
        <f t="shared" si="32"/>
        <v>0</v>
      </c>
      <c r="M214" s="919"/>
      <c r="N214" s="914">
        <f t="shared" si="27"/>
        <v>0</v>
      </c>
      <c r="O214" s="914"/>
      <c r="P214" s="914">
        <f t="shared" si="28"/>
        <v>0</v>
      </c>
      <c r="Q214" s="914"/>
      <c r="R214" s="914">
        <f t="shared" si="33"/>
        <v>0</v>
      </c>
      <c r="S214" s="915">
        <f t="shared" si="34"/>
        <v>0</v>
      </c>
      <c r="T214" s="911">
        <f t="shared" si="35"/>
        <v>0</v>
      </c>
    </row>
    <row r="215" spans="1:114" ht="250.5" hidden="1" customHeight="1">
      <c r="A215" s="933"/>
      <c r="B215" s="906" t="s">
        <v>603</v>
      </c>
      <c r="C215" s="921"/>
      <c r="D215" s="908" t="s">
        <v>1834</v>
      </c>
      <c r="E215" s="919"/>
      <c r="F215" s="1053">
        <f t="shared" si="29"/>
        <v>0</v>
      </c>
      <c r="G215" s="919"/>
      <c r="H215" s="914">
        <f t="shared" si="30"/>
        <v>0</v>
      </c>
      <c r="I215" s="919"/>
      <c r="J215" s="914">
        <f t="shared" si="31"/>
        <v>0</v>
      </c>
      <c r="K215" s="919"/>
      <c r="L215" s="914">
        <f t="shared" si="32"/>
        <v>0</v>
      </c>
      <c r="M215" s="919"/>
      <c r="N215" s="914">
        <f t="shared" si="27"/>
        <v>0</v>
      </c>
      <c r="O215" s="914"/>
      <c r="P215" s="914">
        <f t="shared" si="28"/>
        <v>0</v>
      </c>
      <c r="Q215" s="914"/>
      <c r="R215" s="914">
        <f t="shared" si="33"/>
        <v>0</v>
      </c>
      <c r="S215" s="915">
        <f t="shared" si="34"/>
        <v>0</v>
      </c>
      <c r="T215" s="911">
        <f t="shared" si="35"/>
        <v>0</v>
      </c>
    </row>
    <row r="216" spans="1:114" ht="250.5" hidden="1" customHeight="1">
      <c r="A216" s="905">
        <v>12.1</v>
      </c>
      <c r="B216" s="924" t="s">
        <v>4332</v>
      </c>
      <c r="C216" s="913"/>
      <c r="D216" s="935"/>
      <c r="E216" s="911"/>
      <c r="F216" s="1053">
        <f t="shared" si="29"/>
        <v>0</v>
      </c>
      <c r="G216" s="914"/>
      <c r="H216" s="914">
        <f t="shared" si="30"/>
        <v>0</v>
      </c>
      <c r="I216" s="914"/>
      <c r="J216" s="914">
        <f t="shared" si="31"/>
        <v>0</v>
      </c>
      <c r="K216" s="914"/>
      <c r="L216" s="914">
        <f t="shared" si="32"/>
        <v>0</v>
      </c>
      <c r="M216" s="914"/>
      <c r="N216" s="914">
        <f t="shared" si="27"/>
        <v>0</v>
      </c>
      <c r="O216" s="914"/>
      <c r="P216" s="914">
        <f t="shared" si="28"/>
        <v>0</v>
      </c>
      <c r="Q216" s="914"/>
      <c r="R216" s="914">
        <f t="shared" si="33"/>
        <v>0</v>
      </c>
      <c r="S216" s="915">
        <f t="shared" si="34"/>
        <v>0</v>
      </c>
      <c r="T216" s="911">
        <f t="shared" si="35"/>
        <v>0</v>
      </c>
    </row>
    <row r="217" spans="1:114" s="923" customFormat="1" ht="250.5" hidden="1" customHeight="1">
      <c r="A217" s="927"/>
      <c r="B217" s="906" t="s">
        <v>201</v>
      </c>
      <c r="C217" s="913">
        <f>ROUND(DATA!K467,2)</f>
        <v>397.72</v>
      </c>
      <c r="D217" s="908" t="s">
        <v>1834</v>
      </c>
      <c r="E217" s="914"/>
      <c r="F217" s="1053">
        <f t="shared" si="29"/>
        <v>0</v>
      </c>
      <c r="G217" s="914"/>
      <c r="H217" s="914">
        <f t="shared" si="30"/>
        <v>0</v>
      </c>
      <c r="I217" s="914"/>
      <c r="J217" s="914">
        <f t="shared" si="31"/>
        <v>0</v>
      </c>
      <c r="K217" s="914"/>
      <c r="L217" s="914">
        <f t="shared" si="32"/>
        <v>0</v>
      </c>
      <c r="M217" s="914"/>
      <c r="N217" s="914">
        <f t="shared" si="27"/>
        <v>0</v>
      </c>
      <c r="O217" s="914"/>
      <c r="P217" s="914">
        <f t="shared" si="28"/>
        <v>0</v>
      </c>
      <c r="Q217" s="914"/>
      <c r="R217" s="914">
        <f t="shared" si="33"/>
        <v>0</v>
      </c>
      <c r="S217" s="915">
        <f t="shared" si="34"/>
        <v>0</v>
      </c>
      <c r="T217" s="911">
        <f t="shared" si="35"/>
        <v>0</v>
      </c>
      <c r="U217" s="1170"/>
      <c r="V217" s="1170"/>
      <c r="W217" s="1170"/>
      <c r="X217" s="1170"/>
      <c r="Y217" s="1170"/>
      <c r="Z217" s="1170"/>
      <c r="AA217" s="1170"/>
      <c r="AB217" s="1170"/>
      <c r="AC217" s="1170"/>
      <c r="AD217" s="1170"/>
      <c r="AE217" s="1170"/>
      <c r="AF217" s="1170"/>
      <c r="AG217" s="1170"/>
      <c r="AH217" s="1170"/>
      <c r="AI217" s="1170"/>
      <c r="AJ217" s="1170"/>
      <c r="AK217" s="1170"/>
      <c r="AL217" s="1170"/>
      <c r="AM217" s="1170"/>
      <c r="AN217" s="1170"/>
      <c r="AO217" s="1170"/>
      <c r="AP217" s="1170"/>
      <c r="AQ217" s="1170"/>
      <c r="AR217" s="1170"/>
      <c r="AS217" s="1170"/>
      <c r="AT217" s="1170"/>
      <c r="AU217" s="1170"/>
      <c r="AV217" s="1170"/>
      <c r="AW217" s="1170"/>
      <c r="AX217" s="1170"/>
      <c r="AY217" s="1170"/>
      <c r="AZ217" s="1170"/>
      <c r="BA217" s="1170"/>
      <c r="BB217" s="1170"/>
      <c r="BC217" s="1170"/>
      <c r="BD217" s="1170"/>
      <c r="BE217" s="1170"/>
      <c r="BF217" s="1170"/>
      <c r="BG217" s="1170"/>
      <c r="BH217" s="1170"/>
      <c r="BI217" s="1170"/>
      <c r="BJ217" s="1170"/>
      <c r="BK217" s="1170"/>
      <c r="BL217" s="1170"/>
      <c r="BM217" s="1170"/>
      <c r="BN217" s="1170"/>
      <c r="BO217" s="1170"/>
      <c r="BP217" s="1170"/>
      <c r="BQ217" s="1170"/>
      <c r="BR217" s="1170"/>
      <c r="BS217" s="1170"/>
      <c r="BT217" s="1170"/>
      <c r="BU217" s="1170"/>
      <c r="BV217" s="1170"/>
      <c r="BW217" s="1170"/>
      <c r="BX217" s="1170"/>
      <c r="BY217" s="1170"/>
      <c r="BZ217" s="1170"/>
      <c r="CA217" s="1170"/>
      <c r="CB217" s="1170"/>
      <c r="CC217" s="1170"/>
      <c r="CD217" s="1170"/>
      <c r="CE217" s="1170"/>
      <c r="CF217" s="1170"/>
      <c r="CG217" s="1170"/>
      <c r="CH217" s="1170"/>
      <c r="CI217" s="1170"/>
      <c r="CJ217" s="1170"/>
      <c r="CK217" s="1170"/>
      <c r="CL217" s="1170"/>
      <c r="CM217" s="1170"/>
      <c r="CN217" s="1170"/>
      <c r="CO217" s="1170"/>
      <c r="CP217" s="1170"/>
      <c r="CQ217" s="1170"/>
      <c r="CR217" s="1170"/>
      <c r="CS217" s="1170"/>
      <c r="CT217" s="1170"/>
      <c r="CU217" s="1170"/>
      <c r="CV217" s="1170"/>
      <c r="CW217" s="1170"/>
      <c r="CX217" s="1170"/>
      <c r="CY217" s="1170"/>
      <c r="CZ217" s="1170"/>
      <c r="DA217" s="1170"/>
      <c r="DB217" s="1170"/>
      <c r="DC217" s="1170"/>
      <c r="DD217" s="1170"/>
      <c r="DE217" s="1170"/>
      <c r="DF217" s="1170"/>
      <c r="DG217" s="1170"/>
      <c r="DH217" s="1170"/>
      <c r="DI217" s="1170"/>
      <c r="DJ217" s="1170"/>
    </row>
    <row r="218" spans="1:114" s="923" customFormat="1" ht="250.5" hidden="1" customHeight="1">
      <c r="A218" s="927"/>
      <c r="B218" s="906" t="s">
        <v>202</v>
      </c>
      <c r="C218" s="913">
        <f>ROUND(DATA!K468,2)</f>
        <v>405.68</v>
      </c>
      <c r="D218" s="908" t="s">
        <v>1834</v>
      </c>
      <c r="E218" s="914"/>
      <c r="F218" s="1053">
        <f t="shared" si="29"/>
        <v>0</v>
      </c>
      <c r="G218" s="914"/>
      <c r="H218" s="914">
        <f t="shared" si="30"/>
        <v>0</v>
      </c>
      <c r="I218" s="914"/>
      <c r="J218" s="914">
        <f t="shared" si="31"/>
        <v>0</v>
      </c>
      <c r="K218" s="914"/>
      <c r="L218" s="914">
        <f t="shared" si="32"/>
        <v>0</v>
      </c>
      <c r="M218" s="914"/>
      <c r="N218" s="914">
        <f t="shared" si="27"/>
        <v>0</v>
      </c>
      <c r="O218" s="914"/>
      <c r="P218" s="914">
        <f t="shared" si="28"/>
        <v>0</v>
      </c>
      <c r="Q218" s="914"/>
      <c r="R218" s="914">
        <f t="shared" si="33"/>
        <v>0</v>
      </c>
      <c r="S218" s="915">
        <f t="shared" si="34"/>
        <v>0</v>
      </c>
      <c r="T218" s="911">
        <f t="shared" si="35"/>
        <v>0</v>
      </c>
      <c r="U218" s="1170"/>
      <c r="V218" s="1170"/>
      <c r="W218" s="1170"/>
      <c r="X218" s="1170"/>
      <c r="Y218" s="1170"/>
      <c r="Z218" s="1170"/>
      <c r="AA218" s="1170"/>
      <c r="AB218" s="1170"/>
      <c r="AC218" s="1170"/>
      <c r="AD218" s="1170"/>
      <c r="AE218" s="1170"/>
      <c r="AF218" s="1170"/>
      <c r="AG218" s="1170"/>
      <c r="AH218" s="1170"/>
      <c r="AI218" s="1170"/>
      <c r="AJ218" s="1170"/>
      <c r="AK218" s="1170"/>
      <c r="AL218" s="1170"/>
      <c r="AM218" s="1170"/>
      <c r="AN218" s="1170"/>
      <c r="AO218" s="1170"/>
      <c r="AP218" s="1170"/>
      <c r="AQ218" s="1170"/>
      <c r="AR218" s="1170"/>
      <c r="AS218" s="1170"/>
      <c r="AT218" s="1170"/>
      <c r="AU218" s="1170"/>
      <c r="AV218" s="1170"/>
      <c r="AW218" s="1170"/>
      <c r="AX218" s="1170"/>
      <c r="AY218" s="1170"/>
      <c r="AZ218" s="1170"/>
      <c r="BA218" s="1170"/>
      <c r="BB218" s="1170"/>
      <c r="BC218" s="1170"/>
      <c r="BD218" s="1170"/>
      <c r="BE218" s="1170"/>
      <c r="BF218" s="1170"/>
      <c r="BG218" s="1170"/>
      <c r="BH218" s="1170"/>
      <c r="BI218" s="1170"/>
      <c r="BJ218" s="1170"/>
      <c r="BK218" s="1170"/>
      <c r="BL218" s="1170"/>
      <c r="BM218" s="1170"/>
      <c r="BN218" s="1170"/>
      <c r="BO218" s="1170"/>
      <c r="BP218" s="1170"/>
      <c r="BQ218" s="1170"/>
      <c r="BR218" s="1170"/>
      <c r="BS218" s="1170"/>
      <c r="BT218" s="1170"/>
      <c r="BU218" s="1170"/>
      <c r="BV218" s="1170"/>
      <c r="BW218" s="1170"/>
      <c r="BX218" s="1170"/>
      <c r="BY218" s="1170"/>
      <c r="BZ218" s="1170"/>
      <c r="CA218" s="1170"/>
      <c r="CB218" s="1170"/>
      <c r="CC218" s="1170"/>
      <c r="CD218" s="1170"/>
      <c r="CE218" s="1170"/>
      <c r="CF218" s="1170"/>
      <c r="CG218" s="1170"/>
      <c r="CH218" s="1170"/>
      <c r="CI218" s="1170"/>
      <c r="CJ218" s="1170"/>
      <c r="CK218" s="1170"/>
      <c r="CL218" s="1170"/>
      <c r="CM218" s="1170"/>
      <c r="CN218" s="1170"/>
      <c r="CO218" s="1170"/>
      <c r="CP218" s="1170"/>
      <c r="CQ218" s="1170"/>
      <c r="CR218" s="1170"/>
      <c r="CS218" s="1170"/>
      <c r="CT218" s="1170"/>
      <c r="CU218" s="1170"/>
      <c r="CV218" s="1170"/>
      <c r="CW218" s="1170"/>
      <c r="CX218" s="1170"/>
      <c r="CY218" s="1170"/>
      <c r="CZ218" s="1170"/>
      <c r="DA218" s="1170"/>
      <c r="DB218" s="1170"/>
      <c r="DC218" s="1170"/>
      <c r="DD218" s="1170"/>
      <c r="DE218" s="1170"/>
      <c r="DF218" s="1170"/>
      <c r="DG218" s="1170"/>
      <c r="DH218" s="1170"/>
      <c r="DI218" s="1170"/>
      <c r="DJ218" s="1170"/>
    </row>
    <row r="219" spans="1:114" s="937" customFormat="1" ht="250.5" hidden="1" customHeight="1">
      <c r="A219" s="936"/>
      <c r="B219" s="917" t="s">
        <v>203</v>
      </c>
      <c r="C219" s="918">
        <f>ROUND(DATA!K469,2)</f>
        <v>413.64</v>
      </c>
      <c r="D219" s="898" t="s">
        <v>1834</v>
      </c>
      <c r="E219" s="919"/>
      <c r="F219" s="1053">
        <f t="shared" si="29"/>
        <v>0</v>
      </c>
      <c r="G219" s="919"/>
      <c r="H219" s="914">
        <f t="shared" si="30"/>
        <v>0</v>
      </c>
      <c r="I219" s="919"/>
      <c r="J219" s="914">
        <f t="shared" si="31"/>
        <v>0</v>
      </c>
      <c r="K219" s="919"/>
      <c r="L219" s="914">
        <f t="shared" si="32"/>
        <v>0</v>
      </c>
      <c r="M219" s="919"/>
      <c r="N219" s="914">
        <f t="shared" si="27"/>
        <v>0</v>
      </c>
      <c r="O219" s="914"/>
      <c r="P219" s="914">
        <f t="shared" si="28"/>
        <v>0</v>
      </c>
      <c r="Q219" s="914"/>
      <c r="R219" s="914">
        <f t="shared" si="33"/>
        <v>0</v>
      </c>
      <c r="S219" s="915">
        <f t="shared" si="34"/>
        <v>0</v>
      </c>
      <c r="T219" s="911">
        <f t="shared" si="35"/>
        <v>0</v>
      </c>
      <c r="U219" s="1172"/>
      <c r="V219" s="1172"/>
      <c r="W219" s="1172"/>
      <c r="X219" s="1172"/>
      <c r="Y219" s="1172"/>
      <c r="Z219" s="1172"/>
      <c r="AA219" s="1172"/>
      <c r="AB219" s="1172"/>
      <c r="AC219" s="1172"/>
      <c r="AD219" s="1172"/>
      <c r="AE219" s="1172"/>
      <c r="AF219" s="1172"/>
      <c r="AG219" s="1172"/>
      <c r="AH219" s="1172"/>
      <c r="AI219" s="1172"/>
      <c r="AJ219" s="1172"/>
      <c r="AK219" s="1172"/>
      <c r="AL219" s="1172"/>
      <c r="AM219" s="1172"/>
      <c r="AN219" s="1172"/>
      <c r="AO219" s="1172"/>
      <c r="AP219" s="1172"/>
      <c r="AQ219" s="1172"/>
      <c r="AR219" s="1172"/>
      <c r="AS219" s="1172"/>
      <c r="AT219" s="1172"/>
      <c r="AU219" s="1172"/>
      <c r="AV219" s="1172"/>
      <c r="AW219" s="1172"/>
      <c r="AX219" s="1172"/>
      <c r="AY219" s="1172"/>
      <c r="AZ219" s="1172"/>
      <c r="BA219" s="1172"/>
      <c r="BB219" s="1172"/>
      <c r="BC219" s="1172"/>
      <c r="BD219" s="1172"/>
      <c r="BE219" s="1172"/>
      <c r="BF219" s="1172"/>
      <c r="BG219" s="1172"/>
      <c r="BH219" s="1172"/>
      <c r="BI219" s="1172"/>
      <c r="BJ219" s="1172"/>
      <c r="BK219" s="1172"/>
      <c r="BL219" s="1172"/>
      <c r="BM219" s="1172"/>
      <c r="BN219" s="1172"/>
      <c r="BO219" s="1172"/>
      <c r="BP219" s="1172"/>
      <c r="BQ219" s="1172"/>
      <c r="BR219" s="1172"/>
      <c r="BS219" s="1172"/>
      <c r="BT219" s="1172"/>
      <c r="BU219" s="1172"/>
      <c r="BV219" s="1172"/>
      <c r="BW219" s="1172"/>
      <c r="BX219" s="1172"/>
      <c r="BY219" s="1172"/>
      <c r="BZ219" s="1172"/>
      <c r="CA219" s="1172"/>
      <c r="CB219" s="1172"/>
      <c r="CC219" s="1172"/>
      <c r="CD219" s="1172"/>
      <c r="CE219" s="1172"/>
      <c r="CF219" s="1172"/>
      <c r="CG219" s="1172"/>
      <c r="CH219" s="1172"/>
      <c r="CI219" s="1172"/>
      <c r="CJ219" s="1172"/>
      <c r="CK219" s="1172"/>
      <c r="CL219" s="1172"/>
      <c r="CM219" s="1172"/>
      <c r="CN219" s="1172"/>
      <c r="CO219" s="1172"/>
      <c r="CP219" s="1172"/>
      <c r="CQ219" s="1172"/>
      <c r="CR219" s="1172"/>
      <c r="CS219" s="1172"/>
      <c r="CT219" s="1172"/>
      <c r="CU219" s="1172"/>
      <c r="CV219" s="1172"/>
      <c r="CW219" s="1172"/>
      <c r="CX219" s="1172"/>
      <c r="CY219" s="1172"/>
      <c r="CZ219" s="1172"/>
      <c r="DA219" s="1172"/>
      <c r="DB219" s="1172"/>
      <c r="DC219" s="1172"/>
      <c r="DD219" s="1172"/>
      <c r="DE219" s="1172"/>
      <c r="DF219" s="1172"/>
      <c r="DG219" s="1172"/>
      <c r="DH219" s="1172"/>
      <c r="DI219" s="1172"/>
      <c r="DJ219" s="1172"/>
    </row>
    <row r="220" spans="1:114" s="937" customFormat="1" ht="250.5" hidden="1" customHeight="1">
      <c r="A220" s="936"/>
      <c r="B220" s="917" t="s">
        <v>204</v>
      </c>
      <c r="C220" s="918">
        <f>ROUND(DATA!K470,2)</f>
        <v>421.6</v>
      </c>
      <c r="D220" s="898" t="s">
        <v>1834</v>
      </c>
      <c r="E220" s="919"/>
      <c r="F220" s="1053">
        <f t="shared" si="29"/>
        <v>0</v>
      </c>
      <c r="G220" s="919"/>
      <c r="H220" s="914">
        <f t="shared" si="30"/>
        <v>0</v>
      </c>
      <c r="I220" s="919"/>
      <c r="J220" s="914">
        <f t="shared" si="31"/>
        <v>0</v>
      </c>
      <c r="K220" s="919"/>
      <c r="L220" s="914">
        <f t="shared" si="32"/>
        <v>0</v>
      </c>
      <c r="M220" s="919"/>
      <c r="N220" s="914">
        <f t="shared" si="27"/>
        <v>0</v>
      </c>
      <c r="O220" s="914"/>
      <c r="P220" s="914">
        <f t="shared" si="28"/>
        <v>0</v>
      </c>
      <c r="Q220" s="914"/>
      <c r="R220" s="914">
        <f t="shared" si="33"/>
        <v>0</v>
      </c>
      <c r="S220" s="915">
        <f t="shared" si="34"/>
        <v>0</v>
      </c>
      <c r="T220" s="911">
        <f t="shared" si="35"/>
        <v>0</v>
      </c>
      <c r="U220" s="1172"/>
      <c r="V220" s="1172"/>
      <c r="W220" s="1172"/>
      <c r="X220" s="1172"/>
      <c r="Y220" s="1172"/>
      <c r="Z220" s="1172"/>
      <c r="AA220" s="1172"/>
      <c r="AB220" s="1172"/>
      <c r="AC220" s="1172"/>
      <c r="AD220" s="1172"/>
      <c r="AE220" s="1172"/>
      <c r="AF220" s="1172"/>
      <c r="AG220" s="1172"/>
      <c r="AH220" s="1172"/>
      <c r="AI220" s="1172"/>
      <c r="AJ220" s="1172"/>
      <c r="AK220" s="1172"/>
      <c r="AL220" s="1172"/>
      <c r="AM220" s="1172"/>
      <c r="AN220" s="1172"/>
      <c r="AO220" s="1172"/>
      <c r="AP220" s="1172"/>
      <c r="AQ220" s="1172"/>
      <c r="AR220" s="1172"/>
      <c r="AS220" s="1172"/>
      <c r="AT220" s="1172"/>
      <c r="AU220" s="1172"/>
      <c r="AV220" s="1172"/>
      <c r="AW220" s="1172"/>
      <c r="AX220" s="1172"/>
      <c r="AY220" s="1172"/>
      <c r="AZ220" s="1172"/>
      <c r="BA220" s="1172"/>
      <c r="BB220" s="1172"/>
      <c r="BC220" s="1172"/>
      <c r="BD220" s="1172"/>
      <c r="BE220" s="1172"/>
      <c r="BF220" s="1172"/>
      <c r="BG220" s="1172"/>
      <c r="BH220" s="1172"/>
      <c r="BI220" s="1172"/>
      <c r="BJ220" s="1172"/>
      <c r="BK220" s="1172"/>
      <c r="BL220" s="1172"/>
      <c r="BM220" s="1172"/>
      <c r="BN220" s="1172"/>
      <c r="BO220" s="1172"/>
      <c r="BP220" s="1172"/>
      <c r="BQ220" s="1172"/>
      <c r="BR220" s="1172"/>
      <c r="BS220" s="1172"/>
      <c r="BT220" s="1172"/>
      <c r="BU220" s="1172"/>
      <c r="BV220" s="1172"/>
      <c r="BW220" s="1172"/>
      <c r="BX220" s="1172"/>
      <c r="BY220" s="1172"/>
      <c r="BZ220" s="1172"/>
      <c r="CA220" s="1172"/>
      <c r="CB220" s="1172"/>
      <c r="CC220" s="1172"/>
      <c r="CD220" s="1172"/>
      <c r="CE220" s="1172"/>
      <c r="CF220" s="1172"/>
      <c r="CG220" s="1172"/>
      <c r="CH220" s="1172"/>
      <c r="CI220" s="1172"/>
      <c r="CJ220" s="1172"/>
      <c r="CK220" s="1172"/>
      <c r="CL220" s="1172"/>
      <c r="CM220" s="1172"/>
      <c r="CN220" s="1172"/>
      <c r="CO220" s="1172"/>
      <c r="CP220" s="1172"/>
      <c r="CQ220" s="1172"/>
      <c r="CR220" s="1172"/>
      <c r="CS220" s="1172"/>
      <c r="CT220" s="1172"/>
      <c r="CU220" s="1172"/>
      <c r="CV220" s="1172"/>
      <c r="CW220" s="1172"/>
      <c r="CX220" s="1172"/>
      <c r="CY220" s="1172"/>
      <c r="CZ220" s="1172"/>
      <c r="DA220" s="1172"/>
      <c r="DB220" s="1172"/>
      <c r="DC220" s="1172"/>
      <c r="DD220" s="1172"/>
      <c r="DE220" s="1172"/>
      <c r="DF220" s="1172"/>
      <c r="DG220" s="1172"/>
      <c r="DH220" s="1172"/>
      <c r="DI220" s="1172"/>
      <c r="DJ220" s="1172"/>
    </row>
    <row r="221" spans="1:114" ht="250.5" hidden="1" customHeight="1">
      <c r="A221" s="931"/>
      <c r="B221" s="906" t="s">
        <v>603</v>
      </c>
      <c r="C221" s="921">
        <f>ROUND(DATA!K471,2)</f>
        <v>429.56</v>
      </c>
      <c r="D221" s="908" t="s">
        <v>1834</v>
      </c>
      <c r="E221" s="919"/>
      <c r="F221" s="1053">
        <f t="shared" si="29"/>
        <v>0</v>
      </c>
      <c r="G221" s="919"/>
      <c r="H221" s="914">
        <f t="shared" si="30"/>
        <v>0</v>
      </c>
      <c r="I221" s="919"/>
      <c r="J221" s="914">
        <f t="shared" si="31"/>
        <v>0</v>
      </c>
      <c r="K221" s="919"/>
      <c r="L221" s="914">
        <f t="shared" si="32"/>
        <v>0</v>
      </c>
      <c r="M221" s="919"/>
      <c r="N221" s="914">
        <f t="shared" si="27"/>
        <v>0</v>
      </c>
      <c r="O221" s="914"/>
      <c r="P221" s="914">
        <f t="shared" si="28"/>
        <v>0</v>
      </c>
      <c r="Q221" s="914"/>
      <c r="R221" s="914">
        <f t="shared" si="33"/>
        <v>0</v>
      </c>
      <c r="S221" s="915">
        <f t="shared" si="34"/>
        <v>0</v>
      </c>
      <c r="T221" s="911">
        <f t="shared" si="35"/>
        <v>0</v>
      </c>
    </row>
    <row r="222" spans="1:114" ht="250.5" hidden="1" customHeight="1">
      <c r="A222" s="905">
        <v>12.2</v>
      </c>
      <c r="B222" s="906" t="s">
        <v>1795</v>
      </c>
      <c r="C222" s="921"/>
      <c r="D222" s="935"/>
      <c r="E222" s="919"/>
      <c r="F222" s="1053">
        <f t="shared" si="29"/>
        <v>0</v>
      </c>
      <c r="G222" s="919"/>
      <c r="H222" s="914">
        <f t="shared" si="30"/>
        <v>0</v>
      </c>
      <c r="I222" s="919"/>
      <c r="J222" s="914">
        <f t="shared" si="31"/>
        <v>0</v>
      </c>
      <c r="K222" s="919"/>
      <c r="L222" s="914">
        <f t="shared" si="32"/>
        <v>0</v>
      </c>
      <c r="M222" s="919"/>
      <c r="N222" s="914">
        <f t="shared" si="27"/>
        <v>0</v>
      </c>
      <c r="O222" s="914"/>
      <c r="P222" s="914">
        <f t="shared" si="28"/>
        <v>0</v>
      </c>
      <c r="Q222" s="914"/>
      <c r="R222" s="914">
        <f t="shared" si="33"/>
        <v>0</v>
      </c>
      <c r="S222" s="915">
        <f t="shared" si="34"/>
        <v>0</v>
      </c>
      <c r="T222" s="911">
        <f t="shared" si="35"/>
        <v>0</v>
      </c>
    </row>
    <row r="223" spans="1:114" ht="250.5" hidden="1" customHeight="1">
      <c r="A223" s="927"/>
      <c r="B223" s="906" t="s">
        <v>201</v>
      </c>
      <c r="C223" s="921"/>
      <c r="D223" s="908" t="s">
        <v>1834</v>
      </c>
      <c r="E223" s="919"/>
      <c r="F223" s="1053">
        <f t="shared" si="29"/>
        <v>0</v>
      </c>
      <c r="G223" s="919"/>
      <c r="H223" s="914">
        <f t="shared" si="30"/>
        <v>0</v>
      </c>
      <c r="I223" s="919"/>
      <c r="J223" s="914">
        <f t="shared" si="31"/>
        <v>0</v>
      </c>
      <c r="K223" s="919"/>
      <c r="L223" s="914">
        <f t="shared" si="32"/>
        <v>0</v>
      </c>
      <c r="M223" s="919"/>
      <c r="N223" s="914">
        <f t="shared" si="27"/>
        <v>0</v>
      </c>
      <c r="O223" s="914"/>
      <c r="P223" s="914">
        <f t="shared" si="28"/>
        <v>0</v>
      </c>
      <c r="Q223" s="914"/>
      <c r="R223" s="914">
        <f t="shared" si="33"/>
        <v>0</v>
      </c>
      <c r="S223" s="915">
        <f t="shared" si="34"/>
        <v>0</v>
      </c>
      <c r="T223" s="911">
        <f t="shared" si="35"/>
        <v>0</v>
      </c>
    </row>
    <row r="224" spans="1:114" ht="250.5" hidden="1" customHeight="1">
      <c r="A224" s="927"/>
      <c r="B224" s="906" t="s">
        <v>202</v>
      </c>
      <c r="C224" s="921"/>
      <c r="D224" s="908" t="s">
        <v>1834</v>
      </c>
      <c r="E224" s="919"/>
      <c r="F224" s="1053">
        <f t="shared" si="29"/>
        <v>0</v>
      </c>
      <c r="G224" s="919"/>
      <c r="H224" s="914">
        <f t="shared" si="30"/>
        <v>0</v>
      </c>
      <c r="I224" s="919"/>
      <c r="J224" s="914">
        <f t="shared" si="31"/>
        <v>0</v>
      </c>
      <c r="K224" s="919"/>
      <c r="L224" s="914">
        <f t="shared" si="32"/>
        <v>0</v>
      </c>
      <c r="M224" s="919"/>
      <c r="N224" s="914">
        <f t="shared" si="27"/>
        <v>0</v>
      </c>
      <c r="O224" s="914"/>
      <c r="P224" s="914">
        <f t="shared" si="28"/>
        <v>0</v>
      </c>
      <c r="Q224" s="914"/>
      <c r="R224" s="914">
        <f t="shared" si="33"/>
        <v>0</v>
      </c>
      <c r="S224" s="915">
        <f t="shared" si="34"/>
        <v>0</v>
      </c>
      <c r="T224" s="911">
        <f t="shared" si="35"/>
        <v>0</v>
      </c>
    </row>
    <row r="225" spans="1:114" ht="250.5" hidden="1" customHeight="1">
      <c r="A225" s="927"/>
      <c r="B225" s="906" t="s">
        <v>203</v>
      </c>
      <c r="C225" s="921"/>
      <c r="D225" s="908" t="s">
        <v>1834</v>
      </c>
      <c r="E225" s="919"/>
      <c r="F225" s="1053">
        <f t="shared" si="29"/>
        <v>0</v>
      </c>
      <c r="G225" s="919"/>
      <c r="H225" s="914">
        <f t="shared" si="30"/>
        <v>0</v>
      </c>
      <c r="I225" s="919"/>
      <c r="J225" s="914">
        <f t="shared" si="31"/>
        <v>0</v>
      </c>
      <c r="K225" s="919"/>
      <c r="L225" s="914">
        <f t="shared" si="32"/>
        <v>0</v>
      </c>
      <c r="M225" s="919"/>
      <c r="N225" s="914">
        <f t="shared" si="27"/>
        <v>0</v>
      </c>
      <c r="O225" s="914"/>
      <c r="P225" s="914">
        <f t="shared" si="28"/>
        <v>0</v>
      </c>
      <c r="Q225" s="914"/>
      <c r="R225" s="914">
        <f t="shared" si="33"/>
        <v>0</v>
      </c>
      <c r="S225" s="915">
        <f t="shared" si="34"/>
        <v>0</v>
      </c>
      <c r="T225" s="911">
        <f t="shared" si="35"/>
        <v>0</v>
      </c>
    </row>
    <row r="226" spans="1:114" ht="250.5" hidden="1" customHeight="1">
      <c r="A226" s="927"/>
      <c r="B226" s="906" t="s">
        <v>204</v>
      </c>
      <c r="C226" s="921"/>
      <c r="D226" s="908" t="s">
        <v>1834</v>
      </c>
      <c r="E226" s="919"/>
      <c r="F226" s="1053">
        <f t="shared" si="29"/>
        <v>0</v>
      </c>
      <c r="G226" s="919"/>
      <c r="H226" s="914">
        <f t="shared" si="30"/>
        <v>0</v>
      </c>
      <c r="I226" s="919"/>
      <c r="J226" s="914">
        <f t="shared" si="31"/>
        <v>0</v>
      </c>
      <c r="K226" s="919"/>
      <c r="L226" s="914">
        <f t="shared" si="32"/>
        <v>0</v>
      </c>
      <c r="M226" s="919"/>
      <c r="N226" s="914">
        <f t="shared" si="27"/>
        <v>0</v>
      </c>
      <c r="O226" s="914"/>
      <c r="P226" s="914">
        <f t="shared" si="28"/>
        <v>0</v>
      </c>
      <c r="Q226" s="914"/>
      <c r="R226" s="914">
        <f t="shared" si="33"/>
        <v>0</v>
      </c>
      <c r="S226" s="915">
        <f t="shared" si="34"/>
        <v>0</v>
      </c>
      <c r="T226" s="911">
        <f t="shared" si="35"/>
        <v>0</v>
      </c>
    </row>
    <row r="227" spans="1:114" ht="250.5" hidden="1" customHeight="1">
      <c r="A227" s="931"/>
      <c r="B227" s="906" t="s">
        <v>603</v>
      </c>
      <c r="C227" s="921"/>
      <c r="D227" s="908" t="s">
        <v>1834</v>
      </c>
      <c r="E227" s="919"/>
      <c r="F227" s="1053">
        <f t="shared" si="29"/>
        <v>0</v>
      </c>
      <c r="G227" s="919"/>
      <c r="H227" s="914">
        <f t="shared" si="30"/>
        <v>0</v>
      </c>
      <c r="I227" s="919"/>
      <c r="J227" s="914">
        <f t="shared" si="31"/>
        <v>0</v>
      </c>
      <c r="K227" s="919"/>
      <c r="L227" s="914">
        <f t="shared" si="32"/>
        <v>0</v>
      </c>
      <c r="M227" s="919"/>
      <c r="N227" s="914">
        <f t="shared" si="27"/>
        <v>0</v>
      </c>
      <c r="O227" s="914"/>
      <c r="P227" s="914">
        <f t="shared" si="28"/>
        <v>0</v>
      </c>
      <c r="Q227" s="914"/>
      <c r="R227" s="914">
        <f t="shared" si="33"/>
        <v>0</v>
      </c>
      <c r="S227" s="915">
        <f t="shared" si="34"/>
        <v>0</v>
      </c>
      <c r="T227" s="911">
        <f t="shared" si="35"/>
        <v>0</v>
      </c>
    </row>
    <row r="228" spans="1:114" ht="250.5" hidden="1" customHeight="1">
      <c r="A228" s="931"/>
      <c r="B228" s="906"/>
      <c r="C228" s="921"/>
      <c r="D228" s="908"/>
      <c r="E228" s="919"/>
      <c r="F228" s="1053">
        <f t="shared" si="29"/>
        <v>0</v>
      </c>
      <c r="G228" s="919"/>
      <c r="H228" s="914">
        <f t="shared" si="30"/>
        <v>0</v>
      </c>
      <c r="I228" s="919"/>
      <c r="J228" s="914">
        <f t="shared" si="31"/>
        <v>0</v>
      </c>
      <c r="K228" s="919"/>
      <c r="L228" s="914">
        <f t="shared" si="32"/>
        <v>0</v>
      </c>
      <c r="M228" s="919"/>
      <c r="N228" s="914">
        <f t="shared" si="27"/>
        <v>0</v>
      </c>
      <c r="O228" s="914"/>
      <c r="P228" s="914">
        <f t="shared" si="28"/>
        <v>0</v>
      </c>
      <c r="Q228" s="914"/>
      <c r="R228" s="914">
        <f t="shared" si="33"/>
        <v>0</v>
      </c>
      <c r="S228" s="915">
        <f t="shared" si="34"/>
        <v>0</v>
      </c>
      <c r="T228" s="911">
        <f t="shared" si="35"/>
        <v>0</v>
      </c>
    </row>
    <row r="229" spans="1:114" s="940" customFormat="1" ht="194.25" customHeight="1">
      <c r="A229" s="938">
        <v>13.1</v>
      </c>
      <c r="B229" s="939" t="s">
        <v>1059</v>
      </c>
      <c r="C229" s="911">
        <f>ROUND(DATA!K482,2)</f>
        <v>38.950000000000003</v>
      </c>
      <c r="D229" s="909" t="s">
        <v>1192</v>
      </c>
      <c r="E229" s="914">
        <f>DSP!H457</f>
        <v>50.4</v>
      </c>
      <c r="F229" s="1053">
        <f t="shared" si="29"/>
        <v>1963.08</v>
      </c>
      <c r="G229" s="914"/>
      <c r="H229" s="914">
        <f t="shared" si="30"/>
        <v>0</v>
      </c>
      <c r="I229" s="914"/>
      <c r="J229" s="914">
        <f t="shared" si="31"/>
        <v>0</v>
      </c>
      <c r="K229" s="914"/>
      <c r="L229" s="914">
        <f t="shared" si="32"/>
        <v>0</v>
      </c>
      <c r="M229" s="914"/>
      <c r="N229" s="914">
        <f t="shared" si="27"/>
        <v>0</v>
      </c>
      <c r="O229" s="914"/>
      <c r="P229" s="914">
        <f t="shared" si="28"/>
        <v>0</v>
      </c>
      <c r="Q229" s="914"/>
      <c r="R229" s="914">
        <f t="shared" si="33"/>
        <v>0</v>
      </c>
      <c r="S229" s="915">
        <f t="shared" si="34"/>
        <v>50.4</v>
      </c>
      <c r="T229" s="911">
        <f t="shared" si="35"/>
        <v>1963.08</v>
      </c>
      <c r="U229" s="1173"/>
      <c r="V229" s="1173"/>
      <c r="W229" s="1173"/>
      <c r="X229" s="1173"/>
      <c r="Y229" s="1173"/>
      <c r="Z229" s="1173"/>
      <c r="AA229" s="1173"/>
      <c r="AB229" s="1173"/>
      <c r="AC229" s="1173"/>
      <c r="AD229" s="1173"/>
      <c r="AE229" s="1173"/>
      <c r="AF229" s="1173"/>
      <c r="AG229" s="1173"/>
      <c r="AH229" s="1173"/>
      <c r="AI229" s="1173"/>
      <c r="AJ229" s="1173"/>
      <c r="AK229" s="1173"/>
      <c r="AL229" s="1173"/>
      <c r="AM229" s="1173"/>
      <c r="AN229" s="1173"/>
      <c r="AO229" s="1173"/>
      <c r="AP229" s="1173"/>
      <c r="AQ229" s="1173"/>
      <c r="AR229" s="1173"/>
      <c r="AS229" s="1173"/>
      <c r="AT229" s="1173"/>
      <c r="AU229" s="1173"/>
      <c r="AV229" s="1173"/>
      <c r="AW229" s="1173"/>
      <c r="AX229" s="1173"/>
      <c r="AY229" s="1173"/>
      <c r="AZ229" s="1173"/>
      <c r="BA229" s="1173"/>
      <c r="BB229" s="1173"/>
      <c r="BC229" s="1173"/>
      <c r="BD229" s="1173"/>
      <c r="BE229" s="1173"/>
      <c r="BF229" s="1173"/>
      <c r="BG229" s="1173"/>
      <c r="BH229" s="1173"/>
      <c r="BI229" s="1173"/>
      <c r="BJ229" s="1173"/>
      <c r="BK229" s="1173"/>
      <c r="BL229" s="1173"/>
      <c r="BM229" s="1173"/>
      <c r="BN229" s="1173"/>
      <c r="BO229" s="1173"/>
      <c r="BP229" s="1173"/>
      <c r="BQ229" s="1173"/>
      <c r="BR229" s="1173"/>
      <c r="BS229" s="1173"/>
      <c r="BT229" s="1173"/>
      <c r="BU229" s="1173"/>
      <c r="BV229" s="1173"/>
      <c r="BW229" s="1173"/>
      <c r="BX229" s="1173"/>
      <c r="BY229" s="1173"/>
      <c r="BZ229" s="1173"/>
      <c r="CA229" s="1173"/>
      <c r="CB229" s="1173"/>
      <c r="CC229" s="1173"/>
      <c r="CD229" s="1173"/>
      <c r="CE229" s="1173"/>
      <c r="CF229" s="1173"/>
      <c r="CG229" s="1173"/>
      <c r="CH229" s="1173"/>
      <c r="CI229" s="1173"/>
      <c r="CJ229" s="1173"/>
      <c r="CK229" s="1173"/>
      <c r="CL229" s="1173"/>
      <c r="CM229" s="1173"/>
      <c r="CN229" s="1173"/>
      <c r="CO229" s="1173"/>
      <c r="CP229" s="1173"/>
      <c r="CQ229" s="1173"/>
      <c r="CR229" s="1173"/>
      <c r="CS229" s="1173"/>
      <c r="CT229" s="1173"/>
      <c r="CU229" s="1173"/>
      <c r="CV229" s="1173"/>
      <c r="CW229" s="1173"/>
      <c r="CX229" s="1173"/>
      <c r="CY229" s="1173"/>
      <c r="CZ229" s="1173"/>
      <c r="DA229" s="1173"/>
      <c r="DB229" s="1173"/>
      <c r="DC229" s="1173"/>
      <c r="DD229" s="1173"/>
      <c r="DE229" s="1173"/>
      <c r="DF229" s="1173"/>
      <c r="DG229" s="1173"/>
      <c r="DH229" s="1173"/>
      <c r="DI229" s="1173"/>
      <c r="DJ229" s="1173"/>
    </row>
    <row r="230" spans="1:114" ht="250.5" hidden="1" customHeight="1">
      <c r="A230" s="938">
        <v>13.2</v>
      </c>
      <c r="B230" s="939" t="s">
        <v>1712</v>
      </c>
      <c r="C230" s="914"/>
      <c r="D230" s="909" t="s">
        <v>1192</v>
      </c>
      <c r="E230" s="919"/>
      <c r="F230" s="1053">
        <f t="shared" si="29"/>
        <v>0</v>
      </c>
      <c r="G230" s="919"/>
      <c r="H230" s="914">
        <f t="shared" si="30"/>
        <v>0</v>
      </c>
      <c r="I230" s="919"/>
      <c r="J230" s="914">
        <f t="shared" si="31"/>
        <v>0</v>
      </c>
      <c r="K230" s="919"/>
      <c r="L230" s="914">
        <f t="shared" si="32"/>
        <v>0</v>
      </c>
      <c r="M230" s="919"/>
      <c r="N230" s="914">
        <f t="shared" si="27"/>
        <v>0</v>
      </c>
      <c r="O230" s="914"/>
      <c r="P230" s="914">
        <f t="shared" si="28"/>
        <v>0</v>
      </c>
      <c r="Q230" s="914"/>
      <c r="R230" s="914">
        <f t="shared" si="33"/>
        <v>0</v>
      </c>
      <c r="S230" s="915">
        <f t="shared" si="34"/>
        <v>0</v>
      </c>
      <c r="T230" s="911">
        <f t="shared" si="35"/>
        <v>0</v>
      </c>
    </row>
    <row r="231" spans="1:114" s="923" customFormat="1" ht="250.5" hidden="1" customHeight="1">
      <c r="A231" s="941" t="s">
        <v>991</v>
      </c>
      <c r="B231" s="942" t="s">
        <v>88</v>
      </c>
      <c r="C231" s="911"/>
      <c r="D231" s="909"/>
      <c r="E231" s="919"/>
      <c r="F231" s="1053">
        <f t="shared" si="29"/>
        <v>0</v>
      </c>
      <c r="G231" s="919"/>
      <c r="H231" s="914">
        <f t="shared" si="30"/>
        <v>0</v>
      </c>
      <c r="I231" s="919"/>
      <c r="J231" s="914">
        <f t="shared" si="31"/>
        <v>0</v>
      </c>
      <c r="K231" s="919"/>
      <c r="L231" s="914">
        <f t="shared" si="32"/>
        <v>0</v>
      </c>
      <c r="M231" s="919"/>
      <c r="N231" s="914">
        <f t="shared" si="27"/>
        <v>0</v>
      </c>
      <c r="O231" s="914"/>
      <c r="P231" s="914">
        <f t="shared" si="28"/>
        <v>0</v>
      </c>
      <c r="Q231" s="914"/>
      <c r="R231" s="914">
        <f t="shared" si="33"/>
        <v>0</v>
      </c>
      <c r="S231" s="915">
        <f t="shared" si="34"/>
        <v>0</v>
      </c>
      <c r="T231" s="911">
        <f t="shared" si="35"/>
        <v>0</v>
      </c>
      <c r="U231" s="1170"/>
      <c r="V231" s="1170"/>
      <c r="W231" s="1170"/>
      <c r="X231" s="1170"/>
      <c r="Y231" s="1170"/>
      <c r="Z231" s="1170"/>
      <c r="AA231" s="1170"/>
      <c r="AB231" s="1170"/>
      <c r="AC231" s="1170"/>
      <c r="AD231" s="1170"/>
      <c r="AE231" s="1170"/>
      <c r="AF231" s="1170"/>
      <c r="AG231" s="1170"/>
      <c r="AH231" s="1170"/>
      <c r="AI231" s="1170"/>
      <c r="AJ231" s="1170"/>
      <c r="AK231" s="1170"/>
      <c r="AL231" s="1170"/>
      <c r="AM231" s="1170"/>
      <c r="AN231" s="1170"/>
      <c r="AO231" s="1170"/>
      <c r="AP231" s="1170"/>
      <c r="AQ231" s="1170"/>
      <c r="AR231" s="1170"/>
      <c r="AS231" s="1170"/>
      <c r="AT231" s="1170"/>
      <c r="AU231" s="1170"/>
      <c r="AV231" s="1170"/>
      <c r="AW231" s="1170"/>
      <c r="AX231" s="1170"/>
      <c r="AY231" s="1170"/>
      <c r="AZ231" s="1170"/>
      <c r="BA231" s="1170"/>
      <c r="BB231" s="1170"/>
      <c r="BC231" s="1170"/>
      <c r="BD231" s="1170"/>
      <c r="BE231" s="1170"/>
      <c r="BF231" s="1170"/>
      <c r="BG231" s="1170"/>
      <c r="BH231" s="1170"/>
      <c r="BI231" s="1170"/>
      <c r="BJ231" s="1170"/>
      <c r="BK231" s="1170"/>
      <c r="BL231" s="1170"/>
      <c r="BM231" s="1170"/>
      <c r="BN231" s="1170"/>
      <c r="BO231" s="1170"/>
      <c r="BP231" s="1170"/>
      <c r="BQ231" s="1170"/>
      <c r="BR231" s="1170"/>
      <c r="BS231" s="1170"/>
      <c r="BT231" s="1170"/>
      <c r="BU231" s="1170"/>
      <c r="BV231" s="1170"/>
      <c r="BW231" s="1170"/>
      <c r="BX231" s="1170"/>
      <c r="BY231" s="1170"/>
      <c r="BZ231" s="1170"/>
      <c r="CA231" s="1170"/>
      <c r="CB231" s="1170"/>
      <c r="CC231" s="1170"/>
      <c r="CD231" s="1170"/>
      <c r="CE231" s="1170"/>
      <c r="CF231" s="1170"/>
      <c r="CG231" s="1170"/>
      <c r="CH231" s="1170"/>
      <c r="CI231" s="1170"/>
      <c r="CJ231" s="1170"/>
      <c r="CK231" s="1170"/>
      <c r="CL231" s="1170"/>
      <c r="CM231" s="1170"/>
      <c r="CN231" s="1170"/>
      <c r="CO231" s="1170"/>
      <c r="CP231" s="1170"/>
      <c r="CQ231" s="1170"/>
      <c r="CR231" s="1170"/>
      <c r="CS231" s="1170"/>
      <c r="CT231" s="1170"/>
      <c r="CU231" s="1170"/>
      <c r="CV231" s="1170"/>
      <c r="CW231" s="1170"/>
      <c r="CX231" s="1170"/>
      <c r="CY231" s="1170"/>
      <c r="CZ231" s="1170"/>
      <c r="DA231" s="1170"/>
      <c r="DB231" s="1170"/>
      <c r="DC231" s="1170"/>
      <c r="DD231" s="1170"/>
      <c r="DE231" s="1170"/>
      <c r="DF231" s="1170"/>
      <c r="DG231" s="1170"/>
      <c r="DH231" s="1170"/>
      <c r="DI231" s="1170"/>
      <c r="DJ231" s="1170"/>
    </row>
    <row r="232" spans="1:114" s="923" customFormat="1" ht="250.5" hidden="1" customHeight="1">
      <c r="A232" s="941"/>
      <c r="B232" s="939" t="s">
        <v>1247</v>
      </c>
      <c r="C232" s="911">
        <f>ROUND(DATA!K535,2)</f>
        <v>1483.79</v>
      </c>
      <c r="D232" s="909" t="s">
        <v>1834</v>
      </c>
      <c r="E232" s="919"/>
      <c r="F232" s="1053">
        <f t="shared" si="29"/>
        <v>0</v>
      </c>
      <c r="G232" s="919"/>
      <c r="H232" s="914">
        <f t="shared" si="30"/>
        <v>0</v>
      </c>
      <c r="I232" s="919"/>
      <c r="J232" s="914">
        <f t="shared" si="31"/>
        <v>0</v>
      </c>
      <c r="K232" s="919"/>
      <c r="L232" s="914">
        <f t="shared" si="32"/>
        <v>0</v>
      </c>
      <c r="M232" s="919"/>
      <c r="N232" s="914">
        <f t="shared" si="27"/>
        <v>0</v>
      </c>
      <c r="O232" s="914"/>
      <c r="P232" s="914">
        <f t="shared" si="28"/>
        <v>0</v>
      </c>
      <c r="Q232" s="914"/>
      <c r="R232" s="914">
        <f t="shared" si="33"/>
        <v>0</v>
      </c>
      <c r="S232" s="915">
        <f t="shared" si="34"/>
        <v>0</v>
      </c>
      <c r="T232" s="911">
        <f t="shared" si="35"/>
        <v>0</v>
      </c>
      <c r="U232" s="1170"/>
      <c r="V232" s="1170"/>
      <c r="W232" s="1170"/>
      <c r="X232" s="1170"/>
      <c r="Y232" s="1170"/>
      <c r="Z232" s="1170"/>
      <c r="AA232" s="1170"/>
      <c r="AB232" s="1170"/>
      <c r="AC232" s="1170"/>
      <c r="AD232" s="1170"/>
      <c r="AE232" s="1170"/>
      <c r="AF232" s="1170"/>
      <c r="AG232" s="1170"/>
      <c r="AH232" s="1170"/>
      <c r="AI232" s="1170"/>
      <c r="AJ232" s="1170"/>
      <c r="AK232" s="1170"/>
      <c r="AL232" s="1170"/>
      <c r="AM232" s="1170"/>
      <c r="AN232" s="1170"/>
      <c r="AO232" s="1170"/>
      <c r="AP232" s="1170"/>
      <c r="AQ232" s="1170"/>
      <c r="AR232" s="1170"/>
      <c r="AS232" s="1170"/>
      <c r="AT232" s="1170"/>
      <c r="AU232" s="1170"/>
      <c r="AV232" s="1170"/>
      <c r="AW232" s="1170"/>
      <c r="AX232" s="1170"/>
      <c r="AY232" s="1170"/>
      <c r="AZ232" s="1170"/>
      <c r="BA232" s="1170"/>
      <c r="BB232" s="1170"/>
      <c r="BC232" s="1170"/>
      <c r="BD232" s="1170"/>
      <c r="BE232" s="1170"/>
      <c r="BF232" s="1170"/>
      <c r="BG232" s="1170"/>
      <c r="BH232" s="1170"/>
      <c r="BI232" s="1170"/>
      <c r="BJ232" s="1170"/>
      <c r="BK232" s="1170"/>
      <c r="BL232" s="1170"/>
      <c r="BM232" s="1170"/>
      <c r="BN232" s="1170"/>
      <c r="BO232" s="1170"/>
      <c r="BP232" s="1170"/>
      <c r="BQ232" s="1170"/>
      <c r="BR232" s="1170"/>
      <c r="BS232" s="1170"/>
      <c r="BT232" s="1170"/>
      <c r="BU232" s="1170"/>
      <c r="BV232" s="1170"/>
      <c r="BW232" s="1170"/>
      <c r="BX232" s="1170"/>
      <c r="BY232" s="1170"/>
      <c r="BZ232" s="1170"/>
      <c r="CA232" s="1170"/>
      <c r="CB232" s="1170"/>
      <c r="CC232" s="1170"/>
      <c r="CD232" s="1170"/>
      <c r="CE232" s="1170"/>
      <c r="CF232" s="1170"/>
      <c r="CG232" s="1170"/>
      <c r="CH232" s="1170"/>
      <c r="CI232" s="1170"/>
      <c r="CJ232" s="1170"/>
      <c r="CK232" s="1170"/>
      <c r="CL232" s="1170"/>
      <c r="CM232" s="1170"/>
      <c r="CN232" s="1170"/>
      <c r="CO232" s="1170"/>
      <c r="CP232" s="1170"/>
      <c r="CQ232" s="1170"/>
      <c r="CR232" s="1170"/>
      <c r="CS232" s="1170"/>
      <c r="CT232" s="1170"/>
      <c r="CU232" s="1170"/>
      <c r="CV232" s="1170"/>
      <c r="CW232" s="1170"/>
      <c r="CX232" s="1170"/>
      <c r="CY232" s="1170"/>
      <c r="CZ232" s="1170"/>
      <c r="DA232" s="1170"/>
      <c r="DB232" s="1170"/>
      <c r="DC232" s="1170"/>
      <c r="DD232" s="1170"/>
      <c r="DE232" s="1170"/>
      <c r="DF232" s="1170"/>
      <c r="DG232" s="1170"/>
      <c r="DH232" s="1170"/>
      <c r="DI232" s="1170"/>
      <c r="DJ232" s="1170"/>
    </row>
    <row r="233" spans="1:114" s="923" customFormat="1" ht="250.5" hidden="1" customHeight="1">
      <c r="A233" s="927"/>
      <c r="B233" s="906" t="s">
        <v>1381</v>
      </c>
      <c r="C233" s="913">
        <f>ROUND(DATA!K536,2)</f>
        <v>1488.56</v>
      </c>
      <c r="D233" s="908" t="s">
        <v>1834</v>
      </c>
      <c r="E233" s="919"/>
      <c r="F233" s="1053">
        <f t="shared" si="29"/>
        <v>0</v>
      </c>
      <c r="G233" s="919"/>
      <c r="H233" s="914">
        <f t="shared" si="30"/>
        <v>0</v>
      </c>
      <c r="I233" s="919"/>
      <c r="J233" s="914">
        <f t="shared" si="31"/>
        <v>0</v>
      </c>
      <c r="K233" s="919"/>
      <c r="L233" s="914">
        <f t="shared" si="32"/>
        <v>0</v>
      </c>
      <c r="M233" s="919"/>
      <c r="N233" s="914">
        <f t="shared" si="27"/>
        <v>0</v>
      </c>
      <c r="O233" s="914"/>
      <c r="P233" s="914">
        <f t="shared" si="28"/>
        <v>0</v>
      </c>
      <c r="Q233" s="914"/>
      <c r="R233" s="914">
        <f t="shared" si="33"/>
        <v>0</v>
      </c>
      <c r="S233" s="915">
        <f t="shared" si="34"/>
        <v>0</v>
      </c>
      <c r="T233" s="911">
        <f t="shared" si="35"/>
        <v>0</v>
      </c>
      <c r="U233" s="1170"/>
      <c r="V233" s="1170"/>
      <c r="W233" s="1170"/>
      <c r="X233" s="1170"/>
      <c r="Y233" s="1170"/>
      <c r="Z233" s="1170"/>
      <c r="AA233" s="1170"/>
      <c r="AB233" s="1170"/>
      <c r="AC233" s="1170"/>
      <c r="AD233" s="1170"/>
      <c r="AE233" s="1170"/>
      <c r="AF233" s="1170"/>
      <c r="AG233" s="1170"/>
      <c r="AH233" s="1170"/>
      <c r="AI233" s="1170"/>
      <c r="AJ233" s="1170"/>
      <c r="AK233" s="1170"/>
      <c r="AL233" s="1170"/>
      <c r="AM233" s="1170"/>
      <c r="AN233" s="1170"/>
      <c r="AO233" s="1170"/>
      <c r="AP233" s="1170"/>
      <c r="AQ233" s="1170"/>
      <c r="AR233" s="1170"/>
      <c r="AS233" s="1170"/>
      <c r="AT233" s="1170"/>
      <c r="AU233" s="1170"/>
      <c r="AV233" s="1170"/>
      <c r="AW233" s="1170"/>
      <c r="AX233" s="1170"/>
      <c r="AY233" s="1170"/>
      <c r="AZ233" s="1170"/>
      <c r="BA233" s="1170"/>
      <c r="BB233" s="1170"/>
      <c r="BC233" s="1170"/>
      <c r="BD233" s="1170"/>
      <c r="BE233" s="1170"/>
      <c r="BF233" s="1170"/>
      <c r="BG233" s="1170"/>
      <c r="BH233" s="1170"/>
      <c r="BI233" s="1170"/>
      <c r="BJ233" s="1170"/>
      <c r="BK233" s="1170"/>
      <c r="BL233" s="1170"/>
      <c r="BM233" s="1170"/>
      <c r="BN233" s="1170"/>
      <c r="BO233" s="1170"/>
      <c r="BP233" s="1170"/>
      <c r="BQ233" s="1170"/>
      <c r="BR233" s="1170"/>
      <c r="BS233" s="1170"/>
      <c r="BT233" s="1170"/>
      <c r="BU233" s="1170"/>
      <c r="BV233" s="1170"/>
      <c r="BW233" s="1170"/>
      <c r="BX233" s="1170"/>
      <c r="BY233" s="1170"/>
      <c r="BZ233" s="1170"/>
      <c r="CA233" s="1170"/>
      <c r="CB233" s="1170"/>
      <c r="CC233" s="1170"/>
      <c r="CD233" s="1170"/>
      <c r="CE233" s="1170"/>
      <c r="CF233" s="1170"/>
      <c r="CG233" s="1170"/>
      <c r="CH233" s="1170"/>
      <c r="CI233" s="1170"/>
      <c r="CJ233" s="1170"/>
      <c r="CK233" s="1170"/>
      <c r="CL233" s="1170"/>
      <c r="CM233" s="1170"/>
      <c r="CN233" s="1170"/>
      <c r="CO233" s="1170"/>
      <c r="CP233" s="1170"/>
      <c r="CQ233" s="1170"/>
      <c r="CR233" s="1170"/>
      <c r="CS233" s="1170"/>
      <c r="CT233" s="1170"/>
      <c r="CU233" s="1170"/>
      <c r="CV233" s="1170"/>
      <c r="CW233" s="1170"/>
      <c r="CX233" s="1170"/>
      <c r="CY233" s="1170"/>
      <c r="CZ233" s="1170"/>
      <c r="DA233" s="1170"/>
      <c r="DB233" s="1170"/>
      <c r="DC233" s="1170"/>
      <c r="DD233" s="1170"/>
      <c r="DE233" s="1170"/>
      <c r="DF233" s="1170"/>
      <c r="DG233" s="1170"/>
      <c r="DH233" s="1170"/>
      <c r="DI233" s="1170"/>
      <c r="DJ233" s="1170"/>
    </row>
    <row r="234" spans="1:114" s="923" customFormat="1" ht="250.5" hidden="1" customHeight="1">
      <c r="A234" s="927"/>
      <c r="B234" s="906" t="s">
        <v>1429</v>
      </c>
      <c r="C234" s="913">
        <f>ROUND(DATA!K537,2)</f>
        <v>1493.33</v>
      </c>
      <c r="D234" s="908" t="s">
        <v>1834</v>
      </c>
      <c r="E234" s="919"/>
      <c r="F234" s="1053">
        <f t="shared" si="29"/>
        <v>0</v>
      </c>
      <c r="G234" s="919"/>
      <c r="H234" s="914">
        <f t="shared" si="30"/>
        <v>0</v>
      </c>
      <c r="I234" s="919"/>
      <c r="J234" s="914">
        <f t="shared" si="31"/>
        <v>0</v>
      </c>
      <c r="K234" s="919"/>
      <c r="L234" s="914">
        <f t="shared" si="32"/>
        <v>0</v>
      </c>
      <c r="M234" s="919"/>
      <c r="N234" s="914">
        <f t="shared" si="27"/>
        <v>0</v>
      </c>
      <c r="O234" s="914"/>
      <c r="P234" s="914">
        <f t="shared" si="28"/>
        <v>0</v>
      </c>
      <c r="Q234" s="914"/>
      <c r="R234" s="914">
        <f t="shared" si="33"/>
        <v>0</v>
      </c>
      <c r="S234" s="915">
        <f t="shared" si="34"/>
        <v>0</v>
      </c>
      <c r="T234" s="911">
        <f t="shared" si="35"/>
        <v>0</v>
      </c>
      <c r="U234" s="1170"/>
      <c r="V234" s="1170"/>
      <c r="W234" s="1170"/>
      <c r="X234" s="1170"/>
      <c r="Y234" s="1170"/>
      <c r="Z234" s="1170"/>
      <c r="AA234" s="1170"/>
      <c r="AB234" s="1170"/>
      <c r="AC234" s="1170"/>
      <c r="AD234" s="1170"/>
      <c r="AE234" s="1170"/>
      <c r="AF234" s="1170"/>
      <c r="AG234" s="1170"/>
      <c r="AH234" s="1170"/>
      <c r="AI234" s="1170"/>
      <c r="AJ234" s="1170"/>
      <c r="AK234" s="1170"/>
      <c r="AL234" s="1170"/>
      <c r="AM234" s="1170"/>
      <c r="AN234" s="1170"/>
      <c r="AO234" s="1170"/>
      <c r="AP234" s="1170"/>
      <c r="AQ234" s="1170"/>
      <c r="AR234" s="1170"/>
      <c r="AS234" s="1170"/>
      <c r="AT234" s="1170"/>
      <c r="AU234" s="1170"/>
      <c r="AV234" s="1170"/>
      <c r="AW234" s="1170"/>
      <c r="AX234" s="1170"/>
      <c r="AY234" s="1170"/>
      <c r="AZ234" s="1170"/>
      <c r="BA234" s="1170"/>
      <c r="BB234" s="1170"/>
      <c r="BC234" s="1170"/>
      <c r="BD234" s="1170"/>
      <c r="BE234" s="1170"/>
      <c r="BF234" s="1170"/>
      <c r="BG234" s="1170"/>
      <c r="BH234" s="1170"/>
      <c r="BI234" s="1170"/>
      <c r="BJ234" s="1170"/>
      <c r="BK234" s="1170"/>
      <c r="BL234" s="1170"/>
      <c r="BM234" s="1170"/>
      <c r="BN234" s="1170"/>
      <c r="BO234" s="1170"/>
      <c r="BP234" s="1170"/>
      <c r="BQ234" s="1170"/>
      <c r="BR234" s="1170"/>
      <c r="BS234" s="1170"/>
      <c r="BT234" s="1170"/>
      <c r="BU234" s="1170"/>
      <c r="BV234" s="1170"/>
      <c r="BW234" s="1170"/>
      <c r="BX234" s="1170"/>
      <c r="BY234" s="1170"/>
      <c r="BZ234" s="1170"/>
      <c r="CA234" s="1170"/>
      <c r="CB234" s="1170"/>
      <c r="CC234" s="1170"/>
      <c r="CD234" s="1170"/>
      <c r="CE234" s="1170"/>
      <c r="CF234" s="1170"/>
      <c r="CG234" s="1170"/>
      <c r="CH234" s="1170"/>
      <c r="CI234" s="1170"/>
      <c r="CJ234" s="1170"/>
      <c r="CK234" s="1170"/>
      <c r="CL234" s="1170"/>
      <c r="CM234" s="1170"/>
      <c r="CN234" s="1170"/>
      <c r="CO234" s="1170"/>
      <c r="CP234" s="1170"/>
      <c r="CQ234" s="1170"/>
      <c r="CR234" s="1170"/>
      <c r="CS234" s="1170"/>
      <c r="CT234" s="1170"/>
      <c r="CU234" s="1170"/>
      <c r="CV234" s="1170"/>
      <c r="CW234" s="1170"/>
      <c r="CX234" s="1170"/>
      <c r="CY234" s="1170"/>
      <c r="CZ234" s="1170"/>
      <c r="DA234" s="1170"/>
      <c r="DB234" s="1170"/>
      <c r="DC234" s="1170"/>
      <c r="DD234" s="1170"/>
      <c r="DE234" s="1170"/>
      <c r="DF234" s="1170"/>
      <c r="DG234" s="1170"/>
      <c r="DH234" s="1170"/>
      <c r="DI234" s="1170"/>
      <c r="DJ234" s="1170"/>
    </row>
    <row r="235" spans="1:114" s="923" customFormat="1" ht="250.5" hidden="1" customHeight="1">
      <c r="A235" s="927"/>
      <c r="B235" s="906" t="s">
        <v>1319</v>
      </c>
      <c r="C235" s="913">
        <f>ROUND(DATA!K538,2)</f>
        <v>1498.1</v>
      </c>
      <c r="D235" s="908" t="s">
        <v>1834</v>
      </c>
      <c r="E235" s="919"/>
      <c r="F235" s="1053">
        <f t="shared" si="29"/>
        <v>0</v>
      </c>
      <c r="G235" s="919"/>
      <c r="H235" s="914">
        <f t="shared" si="30"/>
        <v>0</v>
      </c>
      <c r="I235" s="919"/>
      <c r="J235" s="914">
        <f t="shared" si="31"/>
        <v>0</v>
      </c>
      <c r="K235" s="919"/>
      <c r="L235" s="914">
        <f t="shared" si="32"/>
        <v>0</v>
      </c>
      <c r="M235" s="919"/>
      <c r="N235" s="914">
        <f t="shared" si="27"/>
        <v>0</v>
      </c>
      <c r="O235" s="914"/>
      <c r="P235" s="914">
        <f t="shared" si="28"/>
        <v>0</v>
      </c>
      <c r="Q235" s="914"/>
      <c r="R235" s="914">
        <f t="shared" si="33"/>
        <v>0</v>
      </c>
      <c r="S235" s="915">
        <f t="shared" si="34"/>
        <v>0</v>
      </c>
      <c r="T235" s="911">
        <f t="shared" si="35"/>
        <v>0</v>
      </c>
      <c r="U235" s="1170"/>
      <c r="V235" s="1170"/>
      <c r="W235" s="1170"/>
      <c r="X235" s="1170"/>
      <c r="Y235" s="1170"/>
      <c r="Z235" s="1170"/>
      <c r="AA235" s="1170"/>
      <c r="AB235" s="1170"/>
      <c r="AC235" s="1170"/>
      <c r="AD235" s="1170"/>
      <c r="AE235" s="1170"/>
      <c r="AF235" s="1170"/>
      <c r="AG235" s="1170"/>
      <c r="AH235" s="1170"/>
      <c r="AI235" s="1170"/>
      <c r="AJ235" s="1170"/>
      <c r="AK235" s="1170"/>
      <c r="AL235" s="1170"/>
      <c r="AM235" s="1170"/>
      <c r="AN235" s="1170"/>
      <c r="AO235" s="1170"/>
      <c r="AP235" s="1170"/>
      <c r="AQ235" s="1170"/>
      <c r="AR235" s="1170"/>
      <c r="AS235" s="1170"/>
      <c r="AT235" s="1170"/>
      <c r="AU235" s="1170"/>
      <c r="AV235" s="1170"/>
      <c r="AW235" s="1170"/>
      <c r="AX235" s="1170"/>
      <c r="AY235" s="1170"/>
      <c r="AZ235" s="1170"/>
      <c r="BA235" s="1170"/>
      <c r="BB235" s="1170"/>
      <c r="BC235" s="1170"/>
      <c r="BD235" s="1170"/>
      <c r="BE235" s="1170"/>
      <c r="BF235" s="1170"/>
      <c r="BG235" s="1170"/>
      <c r="BH235" s="1170"/>
      <c r="BI235" s="1170"/>
      <c r="BJ235" s="1170"/>
      <c r="BK235" s="1170"/>
      <c r="BL235" s="1170"/>
      <c r="BM235" s="1170"/>
      <c r="BN235" s="1170"/>
      <c r="BO235" s="1170"/>
      <c r="BP235" s="1170"/>
      <c r="BQ235" s="1170"/>
      <c r="BR235" s="1170"/>
      <c r="BS235" s="1170"/>
      <c r="BT235" s="1170"/>
      <c r="BU235" s="1170"/>
      <c r="BV235" s="1170"/>
      <c r="BW235" s="1170"/>
      <c r="BX235" s="1170"/>
      <c r="BY235" s="1170"/>
      <c r="BZ235" s="1170"/>
      <c r="CA235" s="1170"/>
      <c r="CB235" s="1170"/>
      <c r="CC235" s="1170"/>
      <c r="CD235" s="1170"/>
      <c r="CE235" s="1170"/>
      <c r="CF235" s="1170"/>
      <c r="CG235" s="1170"/>
      <c r="CH235" s="1170"/>
      <c r="CI235" s="1170"/>
      <c r="CJ235" s="1170"/>
      <c r="CK235" s="1170"/>
      <c r="CL235" s="1170"/>
      <c r="CM235" s="1170"/>
      <c r="CN235" s="1170"/>
      <c r="CO235" s="1170"/>
      <c r="CP235" s="1170"/>
      <c r="CQ235" s="1170"/>
      <c r="CR235" s="1170"/>
      <c r="CS235" s="1170"/>
      <c r="CT235" s="1170"/>
      <c r="CU235" s="1170"/>
      <c r="CV235" s="1170"/>
      <c r="CW235" s="1170"/>
      <c r="CX235" s="1170"/>
      <c r="CY235" s="1170"/>
      <c r="CZ235" s="1170"/>
      <c r="DA235" s="1170"/>
      <c r="DB235" s="1170"/>
      <c r="DC235" s="1170"/>
      <c r="DD235" s="1170"/>
      <c r="DE235" s="1170"/>
      <c r="DF235" s="1170"/>
      <c r="DG235" s="1170"/>
      <c r="DH235" s="1170"/>
      <c r="DI235" s="1170"/>
      <c r="DJ235" s="1170"/>
    </row>
    <row r="236" spans="1:114" ht="250.5" hidden="1" customHeight="1">
      <c r="A236" s="931"/>
      <c r="B236" s="906" t="s">
        <v>1074</v>
      </c>
      <c r="C236" s="921">
        <f>ROUND(DATA!K539,2)</f>
        <v>1502.87</v>
      </c>
      <c r="D236" s="908" t="s">
        <v>1834</v>
      </c>
      <c r="E236" s="919"/>
      <c r="F236" s="1053">
        <f t="shared" si="29"/>
        <v>0</v>
      </c>
      <c r="G236" s="919"/>
      <c r="H236" s="914">
        <f t="shared" si="30"/>
        <v>0</v>
      </c>
      <c r="I236" s="919"/>
      <c r="J236" s="914">
        <f t="shared" si="31"/>
        <v>0</v>
      </c>
      <c r="K236" s="919"/>
      <c r="L236" s="914">
        <f t="shared" si="32"/>
        <v>0</v>
      </c>
      <c r="M236" s="919"/>
      <c r="N236" s="914">
        <f t="shared" si="27"/>
        <v>0</v>
      </c>
      <c r="O236" s="914"/>
      <c r="P236" s="914">
        <f t="shared" si="28"/>
        <v>0</v>
      </c>
      <c r="Q236" s="914"/>
      <c r="R236" s="914">
        <f t="shared" si="33"/>
        <v>0</v>
      </c>
      <c r="S236" s="915">
        <f t="shared" si="34"/>
        <v>0</v>
      </c>
      <c r="T236" s="911">
        <f t="shared" si="35"/>
        <v>0</v>
      </c>
    </row>
    <row r="237" spans="1:114" ht="250.5" hidden="1" customHeight="1">
      <c r="A237" s="931"/>
      <c r="B237" s="906" t="s">
        <v>3761</v>
      </c>
      <c r="C237" s="921">
        <f>ROUND(DATA!K540,2)</f>
        <v>1507.64</v>
      </c>
      <c r="D237" s="908" t="s">
        <v>1834</v>
      </c>
      <c r="E237" s="919"/>
      <c r="F237" s="1053">
        <f t="shared" si="29"/>
        <v>0</v>
      </c>
      <c r="G237" s="919"/>
      <c r="H237" s="914">
        <f t="shared" si="30"/>
        <v>0</v>
      </c>
      <c r="I237" s="919"/>
      <c r="J237" s="914">
        <f t="shared" si="31"/>
        <v>0</v>
      </c>
      <c r="K237" s="919"/>
      <c r="L237" s="914">
        <f t="shared" si="32"/>
        <v>0</v>
      </c>
      <c r="M237" s="919"/>
      <c r="N237" s="914">
        <f t="shared" si="27"/>
        <v>0</v>
      </c>
      <c r="O237" s="914"/>
      <c r="P237" s="914">
        <f t="shared" si="28"/>
        <v>0</v>
      </c>
      <c r="Q237" s="914"/>
      <c r="R237" s="914">
        <f t="shared" si="33"/>
        <v>0</v>
      </c>
      <c r="S237" s="915">
        <f t="shared" si="34"/>
        <v>0</v>
      </c>
      <c r="T237" s="911">
        <f t="shared" si="35"/>
        <v>0</v>
      </c>
    </row>
    <row r="238" spans="1:114" ht="250.5" hidden="1" customHeight="1">
      <c r="A238" s="931"/>
      <c r="B238" s="906" t="s">
        <v>3762</v>
      </c>
      <c r="C238" s="921">
        <f>ROUND(DATA!K541,2)</f>
        <v>1512.41</v>
      </c>
      <c r="D238" s="908" t="s">
        <v>1834</v>
      </c>
      <c r="E238" s="919"/>
      <c r="F238" s="1053">
        <f t="shared" si="29"/>
        <v>0</v>
      </c>
      <c r="G238" s="919"/>
      <c r="H238" s="914">
        <f t="shared" si="30"/>
        <v>0</v>
      </c>
      <c r="I238" s="919"/>
      <c r="J238" s="914">
        <f t="shared" si="31"/>
        <v>0</v>
      </c>
      <c r="K238" s="919"/>
      <c r="L238" s="914">
        <f t="shared" si="32"/>
        <v>0</v>
      </c>
      <c r="M238" s="919"/>
      <c r="N238" s="914">
        <f t="shared" si="27"/>
        <v>0</v>
      </c>
      <c r="O238" s="914"/>
      <c r="P238" s="914">
        <f t="shared" si="28"/>
        <v>0</v>
      </c>
      <c r="Q238" s="914"/>
      <c r="R238" s="914">
        <f t="shared" si="33"/>
        <v>0</v>
      </c>
      <c r="S238" s="915">
        <f t="shared" si="34"/>
        <v>0</v>
      </c>
      <c r="T238" s="911">
        <f t="shared" si="35"/>
        <v>0</v>
      </c>
    </row>
    <row r="239" spans="1:114" ht="250.5" hidden="1" customHeight="1">
      <c r="A239" s="931"/>
      <c r="B239" s="906" t="s">
        <v>3763</v>
      </c>
      <c r="C239" s="921">
        <f>ROUND(DATA!K542,2)</f>
        <v>1517.18</v>
      </c>
      <c r="D239" s="908" t="s">
        <v>1834</v>
      </c>
      <c r="E239" s="919"/>
      <c r="F239" s="1053">
        <f t="shared" si="29"/>
        <v>0</v>
      </c>
      <c r="G239" s="919"/>
      <c r="H239" s="914">
        <f t="shared" si="30"/>
        <v>0</v>
      </c>
      <c r="I239" s="919"/>
      <c r="J239" s="914">
        <f t="shared" si="31"/>
        <v>0</v>
      </c>
      <c r="K239" s="919"/>
      <c r="L239" s="914">
        <f t="shared" si="32"/>
        <v>0</v>
      </c>
      <c r="M239" s="919"/>
      <c r="N239" s="914">
        <f t="shared" si="27"/>
        <v>0</v>
      </c>
      <c r="O239" s="914"/>
      <c r="P239" s="914">
        <f t="shared" si="28"/>
        <v>0</v>
      </c>
      <c r="Q239" s="914"/>
      <c r="R239" s="914">
        <f t="shared" si="33"/>
        <v>0</v>
      </c>
      <c r="S239" s="915">
        <f t="shared" si="34"/>
        <v>0</v>
      </c>
      <c r="T239" s="911">
        <f t="shared" si="35"/>
        <v>0</v>
      </c>
    </row>
    <row r="240" spans="1:114" ht="250.5" hidden="1" customHeight="1">
      <c r="A240" s="931"/>
      <c r="B240" s="906" t="s">
        <v>3764</v>
      </c>
      <c r="C240" s="921">
        <f>ROUND(DATA!K543,2)</f>
        <v>1521.95</v>
      </c>
      <c r="D240" s="908" t="s">
        <v>1834</v>
      </c>
      <c r="E240" s="919"/>
      <c r="F240" s="1053">
        <f t="shared" si="29"/>
        <v>0</v>
      </c>
      <c r="G240" s="919"/>
      <c r="H240" s="914">
        <f t="shared" si="30"/>
        <v>0</v>
      </c>
      <c r="I240" s="919"/>
      <c r="J240" s="914">
        <f t="shared" si="31"/>
        <v>0</v>
      </c>
      <c r="K240" s="919"/>
      <c r="L240" s="914">
        <f t="shared" si="32"/>
        <v>0</v>
      </c>
      <c r="M240" s="919"/>
      <c r="N240" s="914">
        <f t="shared" si="27"/>
        <v>0</v>
      </c>
      <c r="O240" s="914"/>
      <c r="P240" s="914">
        <f t="shared" si="28"/>
        <v>0</v>
      </c>
      <c r="Q240" s="914"/>
      <c r="R240" s="914">
        <f t="shared" si="33"/>
        <v>0</v>
      </c>
      <c r="S240" s="915">
        <f t="shared" si="34"/>
        <v>0</v>
      </c>
      <c r="T240" s="911">
        <f t="shared" si="35"/>
        <v>0</v>
      </c>
    </row>
    <row r="241" spans="1:114" ht="250.5" hidden="1" customHeight="1">
      <c r="A241" s="931"/>
      <c r="B241" s="906" t="s">
        <v>3765</v>
      </c>
      <c r="C241" s="921">
        <f>ROUND(DATA!K544,2)</f>
        <v>1526.72</v>
      </c>
      <c r="D241" s="908" t="s">
        <v>1834</v>
      </c>
      <c r="E241" s="919"/>
      <c r="F241" s="1053">
        <f t="shared" si="29"/>
        <v>0</v>
      </c>
      <c r="G241" s="919"/>
      <c r="H241" s="914">
        <f t="shared" si="30"/>
        <v>0</v>
      </c>
      <c r="I241" s="919"/>
      <c r="J241" s="914">
        <f t="shared" si="31"/>
        <v>0</v>
      </c>
      <c r="K241" s="919"/>
      <c r="L241" s="914">
        <f t="shared" si="32"/>
        <v>0</v>
      </c>
      <c r="M241" s="919"/>
      <c r="N241" s="914">
        <f t="shared" si="27"/>
        <v>0</v>
      </c>
      <c r="O241" s="914"/>
      <c r="P241" s="914">
        <f t="shared" si="28"/>
        <v>0</v>
      </c>
      <c r="Q241" s="914"/>
      <c r="R241" s="914">
        <f t="shared" si="33"/>
        <v>0</v>
      </c>
      <c r="S241" s="915">
        <f t="shared" si="34"/>
        <v>0</v>
      </c>
      <c r="T241" s="911">
        <f t="shared" si="35"/>
        <v>0</v>
      </c>
    </row>
    <row r="242" spans="1:114" ht="250.5" hidden="1" customHeight="1">
      <c r="A242" s="931"/>
      <c r="B242" s="906" t="s">
        <v>3766</v>
      </c>
      <c r="C242" s="921">
        <f>ROUND(DATA!K545,2)</f>
        <v>1531.49</v>
      </c>
      <c r="D242" s="908" t="s">
        <v>1834</v>
      </c>
      <c r="E242" s="919"/>
      <c r="F242" s="1053">
        <f t="shared" si="29"/>
        <v>0</v>
      </c>
      <c r="G242" s="919"/>
      <c r="H242" s="914">
        <f t="shared" si="30"/>
        <v>0</v>
      </c>
      <c r="I242" s="919"/>
      <c r="J242" s="914">
        <f t="shared" si="31"/>
        <v>0</v>
      </c>
      <c r="K242" s="919"/>
      <c r="L242" s="914">
        <f t="shared" si="32"/>
        <v>0</v>
      </c>
      <c r="M242" s="919"/>
      <c r="N242" s="914">
        <f t="shared" si="27"/>
        <v>0</v>
      </c>
      <c r="O242" s="914"/>
      <c r="P242" s="914">
        <f t="shared" si="28"/>
        <v>0</v>
      </c>
      <c r="Q242" s="914"/>
      <c r="R242" s="914">
        <f t="shared" si="33"/>
        <v>0</v>
      </c>
      <c r="S242" s="915">
        <f t="shared" si="34"/>
        <v>0</v>
      </c>
      <c r="T242" s="911">
        <f t="shared" si="35"/>
        <v>0</v>
      </c>
    </row>
    <row r="243" spans="1:114" ht="250.5" hidden="1" customHeight="1">
      <c r="A243" s="931"/>
      <c r="B243" s="906" t="s">
        <v>3767</v>
      </c>
      <c r="C243" s="921">
        <f>ROUND(DATA!K546,2)</f>
        <v>1536.26</v>
      </c>
      <c r="D243" s="908" t="s">
        <v>1834</v>
      </c>
      <c r="E243" s="919"/>
      <c r="F243" s="1053">
        <f t="shared" si="29"/>
        <v>0</v>
      </c>
      <c r="G243" s="919"/>
      <c r="H243" s="914">
        <f t="shared" si="30"/>
        <v>0</v>
      </c>
      <c r="I243" s="919"/>
      <c r="J243" s="914">
        <f t="shared" si="31"/>
        <v>0</v>
      </c>
      <c r="K243" s="919"/>
      <c r="L243" s="914">
        <f t="shared" si="32"/>
        <v>0</v>
      </c>
      <c r="M243" s="919"/>
      <c r="N243" s="914">
        <f t="shared" si="27"/>
        <v>0</v>
      </c>
      <c r="O243" s="914"/>
      <c r="P243" s="914">
        <f t="shared" si="28"/>
        <v>0</v>
      </c>
      <c r="Q243" s="914"/>
      <c r="R243" s="914">
        <f t="shared" si="33"/>
        <v>0</v>
      </c>
      <c r="S243" s="915">
        <f t="shared" si="34"/>
        <v>0</v>
      </c>
      <c r="T243" s="911">
        <f t="shared" si="35"/>
        <v>0</v>
      </c>
    </row>
    <row r="244" spans="1:114" s="923" customFormat="1" ht="250.5" hidden="1" customHeight="1">
      <c r="A244" s="927" t="s">
        <v>1124</v>
      </c>
      <c r="B244" s="924" t="s">
        <v>196</v>
      </c>
      <c r="C244" s="913"/>
      <c r="D244" s="908"/>
      <c r="E244" s="919"/>
      <c r="F244" s="1053">
        <f t="shared" si="29"/>
        <v>0</v>
      </c>
      <c r="G244" s="919"/>
      <c r="H244" s="914">
        <f t="shared" si="30"/>
        <v>0</v>
      </c>
      <c r="I244" s="919"/>
      <c r="J244" s="914">
        <f t="shared" si="31"/>
        <v>0</v>
      </c>
      <c r="K244" s="919"/>
      <c r="L244" s="914">
        <f t="shared" si="32"/>
        <v>0</v>
      </c>
      <c r="M244" s="919"/>
      <c r="N244" s="914">
        <f t="shared" si="27"/>
        <v>0</v>
      </c>
      <c r="O244" s="914"/>
      <c r="P244" s="914">
        <f t="shared" si="28"/>
        <v>0</v>
      </c>
      <c r="Q244" s="914"/>
      <c r="R244" s="914">
        <f t="shared" si="33"/>
        <v>0</v>
      </c>
      <c r="S244" s="915">
        <f t="shared" si="34"/>
        <v>0</v>
      </c>
      <c r="T244" s="911">
        <f t="shared" si="35"/>
        <v>0</v>
      </c>
      <c r="U244" s="1170"/>
      <c r="V244" s="1170"/>
      <c r="W244" s="1170"/>
      <c r="X244" s="1170"/>
      <c r="Y244" s="1170"/>
      <c r="Z244" s="1170"/>
      <c r="AA244" s="1170"/>
      <c r="AB244" s="1170"/>
      <c r="AC244" s="1170"/>
      <c r="AD244" s="1170"/>
      <c r="AE244" s="1170"/>
      <c r="AF244" s="1170"/>
      <c r="AG244" s="1170"/>
      <c r="AH244" s="1170"/>
      <c r="AI244" s="1170"/>
      <c r="AJ244" s="1170"/>
      <c r="AK244" s="1170"/>
      <c r="AL244" s="1170"/>
      <c r="AM244" s="1170"/>
      <c r="AN244" s="1170"/>
      <c r="AO244" s="1170"/>
      <c r="AP244" s="1170"/>
      <c r="AQ244" s="1170"/>
      <c r="AR244" s="1170"/>
      <c r="AS244" s="1170"/>
      <c r="AT244" s="1170"/>
      <c r="AU244" s="1170"/>
      <c r="AV244" s="1170"/>
      <c r="AW244" s="1170"/>
      <c r="AX244" s="1170"/>
      <c r="AY244" s="1170"/>
      <c r="AZ244" s="1170"/>
      <c r="BA244" s="1170"/>
      <c r="BB244" s="1170"/>
      <c r="BC244" s="1170"/>
      <c r="BD244" s="1170"/>
      <c r="BE244" s="1170"/>
      <c r="BF244" s="1170"/>
      <c r="BG244" s="1170"/>
      <c r="BH244" s="1170"/>
      <c r="BI244" s="1170"/>
      <c r="BJ244" s="1170"/>
      <c r="BK244" s="1170"/>
      <c r="BL244" s="1170"/>
      <c r="BM244" s="1170"/>
      <c r="BN244" s="1170"/>
      <c r="BO244" s="1170"/>
      <c r="BP244" s="1170"/>
      <c r="BQ244" s="1170"/>
      <c r="BR244" s="1170"/>
      <c r="BS244" s="1170"/>
      <c r="BT244" s="1170"/>
      <c r="BU244" s="1170"/>
      <c r="BV244" s="1170"/>
      <c r="BW244" s="1170"/>
      <c r="BX244" s="1170"/>
      <c r="BY244" s="1170"/>
      <c r="BZ244" s="1170"/>
      <c r="CA244" s="1170"/>
      <c r="CB244" s="1170"/>
      <c r="CC244" s="1170"/>
      <c r="CD244" s="1170"/>
      <c r="CE244" s="1170"/>
      <c r="CF244" s="1170"/>
      <c r="CG244" s="1170"/>
      <c r="CH244" s="1170"/>
      <c r="CI244" s="1170"/>
      <c r="CJ244" s="1170"/>
      <c r="CK244" s="1170"/>
      <c r="CL244" s="1170"/>
      <c r="CM244" s="1170"/>
      <c r="CN244" s="1170"/>
      <c r="CO244" s="1170"/>
      <c r="CP244" s="1170"/>
      <c r="CQ244" s="1170"/>
      <c r="CR244" s="1170"/>
      <c r="CS244" s="1170"/>
      <c r="CT244" s="1170"/>
      <c r="CU244" s="1170"/>
      <c r="CV244" s="1170"/>
      <c r="CW244" s="1170"/>
      <c r="CX244" s="1170"/>
      <c r="CY244" s="1170"/>
      <c r="CZ244" s="1170"/>
      <c r="DA244" s="1170"/>
      <c r="DB244" s="1170"/>
      <c r="DC244" s="1170"/>
      <c r="DD244" s="1170"/>
      <c r="DE244" s="1170"/>
      <c r="DF244" s="1170"/>
      <c r="DG244" s="1170"/>
      <c r="DH244" s="1170"/>
      <c r="DI244" s="1170"/>
      <c r="DJ244" s="1170"/>
    </row>
    <row r="245" spans="1:114" s="923" customFormat="1" ht="250.5" hidden="1" customHeight="1">
      <c r="A245" s="927"/>
      <c r="B245" s="906" t="s">
        <v>616</v>
      </c>
      <c r="C245" s="913">
        <f>ROUND(DATA!K557,2)</f>
        <v>1633.34</v>
      </c>
      <c r="D245" s="908" t="s">
        <v>1834</v>
      </c>
      <c r="E245" s="919"/>
      <c r="F245" s="1053">
        <f t="shared" si="29"/>
        <v>0</v>
      </c>
      <c r="G245" s="919"/>
      <c r="H245" s="914">
        <f t="shared" si="30"/>
        <v>0</v>
      </c>
      <c r="I245" s="919"/>
      <c r="J245" s="914">
        <f t="shared" si="31"/>
        <v>0</v>
      </c>
      <c r="K245" s="919"/>
      <c r="L245" s="914">
        <f t="shared" si="32"/>
        <v>0</v>
      </c>
      <c r="M245" s="919"/>
      <c r="N245" s="914">
        <f t="shared" si="27"/>
        <v>0</v>
      </c>
      <c r="O245" s="914"/>
      <c r="P245" s="914">
        <f t="shared" si="28"/>
        <v>0</v>
      </c>
      <c r="Q245" s="914"/>
      <c r="R245" s="914">
        <f t="shared" si="33"/>
        <v>0</v>
      </c>
      <c r="S245" s="915">
        <f t="shared" si="34"/>
        <v>0</v>
      </c>
      <c r="T245" s="911">
        <f t="shared" si="35"/>
        <v>0</v>
      </c>
      <c r="U245" s="1170"/>
      <c r="V245" s="1170"/>
      <c r="W245" s="1170"/>
      <c r="X245" s="1170"/>
      <c r="Y245" s="1170"/>
      <c r="Z245" s="1170"/>
      <c r="AA245" s="1170"/>
      <c r="AB245" s="1170"/>
      <c r="AC245" s="1170"/>
      <c r="AD245" s="1170"/>
      <c r="AE245" s="1170"/>
      <c r="AF245" s="1170"/>
      <c r="AG245" s="1170"/>
      <c r="AH245" s="1170"/>
      <c r="AI245" s="1170"/>
      <c r="AJ245" s="1170"/>
      <c r="AK245" s="1170"/>
      <c r="AL245" s="1170"/>
      <c r="AM245" s="1170"/>
      <c r="AN245" s="1170"/>
      <c r="AO245" s="1170"/>
      <c r="AP245" s="1170"/>
      <c r="AQ245" s="1170"/>
      <c r="AR245" s="1170"/>
      <c r="AS245" s="1170"/>
      <c r="AT245" s="1170"/>
      <c r="AU245" s="1170"/>
      <c r="AV245" s="1170"/>
      <c r="AW245" s="1170"/>
      <c r="AX245" s="1170"/>
      <c r="AY245" s="1170"/>
      <c r="AZ245" s="1170"/>
      <c r="BA245" s="1170"/>
      <c r="BB245" s="1170"/>
      <c r="BC245" s="1170"/>
      <c r="BD245" s="1170"/>
      <c r="BE245" s="1170"/>
      <c r="BF245" s="1170"/>
      <c r="BG245" s="1170"/>
      <c r="BH245" s="1170"/>
      <c r="BI245" s="1170"/>
      <c r="BJ245" s="1170"/>
      <c r="BK245" s="1170"/>
      <c r="BL245" s="1170"/>
      <c r="BM245" s="1170"/>
      <c r="BN245" s="1170"/>
      <c r="BO245" s="1170"/>
      <c r="BP245" s="1170"/>
      <c r="BQ245" s="1170"/>
      <c r="BR245" s="1170"/>
      <c r="BS245" s="1170"/>
      <c r="BT245" s="1170"/>
      <c r="BU245" s="1170"/>
      <c r="BV245" s="1170"/>
      <c r="BW245" s="1170"/>
      <c r="BX245" s="1170"/>
      <c r="BY245" s="1170"/>
      <c r="BZ245" s="1170"/>
      <c r="CA245" s="1170"/>
      <c r="CB245" s="1170"/>
      <c r="CC245" s="1170"/>
      <c r="CD245" s="1170"/>
      <c r="CE245" s="1170"/>
      <c r="CF245" s="1170"/>
      <c r="CG245" s="1170"/>
      <c r="CH245" s="1170"/>
      <c r="CI245" s="1170"/>
      <c r="CJ245" s="1170"/>
      <c r="CK245" s="1170"/>
      <c r="CL245" s="1170"/>
      <c r="CM245" s="1170"/>
      <c r="CN245" s="1170"/>
      <c r="CO245" s="1170"/>
      <c r="CP245" s="1170"/>
      <c r="CQ245" s="1170"/>
      <c r="CR245" s="1170"/>
      <c r="CS245" s="1170"/>
      <c r="CT245" s="1170"/>
      <c r="CU245" s="1170"/>
      <c r="CV245" s="1170"/>
      <c r="CW245" s="1170"/>
      <c r="CX245" s="1170"/>
      <c r="CY245" s="1170"/>
      <c r="CZ245" s="1170"/>
      <c r="DA245" s="1170"/>
      <c r="DB245" s="1170"/>
      <c r="DC245" s="1170"/>
      <c r="DD245" s="1170"/>
      <c r="DE245" s="1170"/>
      <c r="DF245" s="1170"/>
      <c r="DG245" s="1170"/>
      <c r="DH245" s="1170"/>
      <c r="DI245" s="1170"/>
      <c r="DJ245" s="1170"/>
    </row>
    <row r="246" spans="1:114" s="923" customFormat="1" ht="250.5" hidden="1" customHeight="1">
      <c r="A246" s="927"/>
      <c r="B246" s="906" t="s">
        <v>617</v>
      </c>
      <c r="C246" s="913">
        <f>ROUND(DATA!K559,2)</f>
        <v>1638.18</v>
      </c>
      <c r="D246" s="908" t="s">
        <v>1834</v>
      </c>
      <c r="E246" s="919"/>
      <c r="F246" s="1053">
        <f t="shared" si="29"/>
        <v>0</v>
      </c>
      <c r="G246" s="919"/>
      <c r="H246" s="914">
        <f t="shared" si="30"/>
        <v>0</v>
      </c>
      <c r="I246" s="919"/>
      <c r="J246" s="914">
        <f t="shared" si="31"/>
        <v>0</v>
      </c>
      <c r="K246" s="919"/>
      <c r="L246" s="914">
        <f t="shared" si="32"/>
        <v>0</v>
      </c>
      <c r="M246" s="919"/>
      <c r="N246" s="914">
        <f t="shared" si="27"/>
        <v>0</v>
      </c>
      <c r="O246" s="914"/>
      <c r="P246" s="914">
        <f t="shared" si="28"/>
        <v>0</v>
      </c>
      <c r="Q246" s="914"/>
      <c r="R246" s="914">
        <f t="shared" si="33"/>
        <v>0</v>
      </c>
      <c r="S246" s="915">
        <f t="shared" si="34"/>
        <v>0</v>
      </c>
      <c r="T246" s="911">
        <f t="shared" si="35"/>
        <v>0</v>
      </c>
      <c r="U246" s="1170"/>
      <c r="V246" s="1170"/>
      <c r="W246" s="1170"/>
      <c r="X246" s="1170"/>
      <c r="Y246" s="1170"/>
      <c r="Z246" s="1170"/>
      <c r="AA246" s="1170"/>
      <c r="AB246" s="1170"/>
      <c r="AC246" s="1170"/>
      <c r="AD246" s="1170"/>
      <c r="AE246" s="1170"/>
      <c r="AF246" s="1170"/>
      <c r="AG246" s="1170"/>
      <c r="AH246" s="1170"/>
      <c r="AI246" s="1170"/>
      <c r="AJ246" s="1170"/>
      <c r="AK246" s="1170"/>
      <c r="AL246" s="1170"/>
      <c r="AM246" s="1170"/>
      <c r="AN246" s="1170"/>
      <c r="AO246" s="1170"/>
      <c r="AP246" s="1170"/>
      <c r="AQ246" s="1170"/>
      <c r="AR246" s="1170"/>
      <c r="AS246" s="1170"/>
      <c r="AT246" s="1170"/>
      <c r="AU246" s="1170"/>
      <c r="AV246" s="1170"/>
      <c r="AW246" s="1170"/>
      <c r="AX246" s="1170"/>
      <c r="AY246" s="1170"/>
      <c r="AZ246" s="1170"/>
      <c r="BA246" s="1170"/>
      <c r="BB246" s="1170"/>
      <c r="BC246" s="1170"/>
      <c r="BD246" s="1170"/>
      <c r="BE246" s="1170"/>
      <c r="BF246" s="1170"/>
      <c r="BG246" s="1170"/>
      <c r="BH246" s="1170"/>
      <c r="BI246" s="1170"/>
      <c r="BJ246" s="1170"/>
      <c r="BK246" s="1170"/>
      <c r="BL246" s="1170"/>
      <c r="BM246" s="1170"/>
      <c r="BN246" s="1170"/>
      <c r="BO246" s="1170"/>
      <c r="BP246" s="1170"/>
      <c r="BQ246" s="1170"/>
      <c r="BR246" s="1170"/>
      <c r="BS246" s="1170"/>
      <c r="BT246" s="1170"/>
      <c r="BU246" s="1170"/>
      <c r="BV246" s="1170"/>
      <c r="BW246" s="1170"/>
      <c r="BX246" s="1170"/>
      <c r="BY246" s="1170"/>
      <c r="BZ246" s="1170"/>
      <c r="CA246" s="1170"/>
      <c r="CB246" s="1170"/>
      <c r="CC246" s="1170"/>
      <c r="CD246" s="1170"/>
      <c r="CE246" s="1170"/>
      <c r="CF246" s="1170"/>
      <c r="CG246" s="1170"/>
      <c r="CH246" s="1170"/>
      <c r="CI246" s="1170"/>
      <c r="CJ246" s="1170"/>
      <c r="CK246" s="1170"/>
      <c r="CL246" s="1170"/>
      <c r="CM246" s="1170"/>
      <c r="CN246" s="1170"/>
      <c r="CO246" s="1170"/>
      <c r="CP246" s="1170"/>
      <c r="CQ246" s="1170"/>
      <c r="CR246" s="1170"/>
      <c r="CS246" s="1170"/>
      <c r="CT246" s="1170"/>
      <c r="CU246" s="1170"/>
      <c r="CV246" s="1170"/>
      <c r="CW246" s="1170"/>
      <c r="CX246" s="1170"/>
      <c r="CY246" s="1170"/>
      <c r="CZ246" s="1170"/>
      <c r="DA246" s="1170"/>
      <c r="DB246" s="1170"/>
      <c r="DC246" s="1170"/>
      <c r="DD246" s="1170"/>
      <c r="DE246" s="1170"/>
      <c r="DF246" s="1170"/>
      <c r="DG246" s="1170"/>
      <c r="DH246" s="1170"/>
      <c r="DI246" s="1170"/>
      <c r="DJ246" s="1170"/>
    </row>
    <row r="247" spans="1:114" s="923" customFormat="1" ht="250.5" hidden="1" customHeight="1">
      <c r="A247" s="927"/>
      <c r="B247" s="906" t="s">
        <v>1241</v>
      </c>
      <c r="C247" s="913">
        <f>ROUND(DATA!K560,2)</f>
        <v>1647.71</v>
      </c>
      <c r="D247" s="908" t="s">
        <v>1834</v>
      </c>
      <c r="E247" s="919"/>
      <c r="F247" s="1053">
        <f t="shared" si="29"/>
        <v>0</v>
      </c>
      <c r="G247" s="919"/>
      <c r="H247" s="914">
        <f t="shared" si="30"/>
        <v>0</v>
      </c>
      <c r="I247" s="919"/>
      <c r="J247" s="914">
        <f t="shared" si="31"/>
        <v>0</v>
      </c>
      <c r="K247" s="919"/>
      <c r="L247" s="914">
        <f t="shared" si="32"/>
        <v>0</v>
      </c>
      <c r="M247" s="919"/>
      <c r="N247" s="914">
        <f t="shared" si="27"/>
        <v>0</v>
      </c>
      <c r="O247" s="914"/>
      <c r="P247" s="914">
        <f t="shared" si="28"/>
        <v>0</v>
      </c>
      <c r="Q247" s="914"/>
      <c r="R247" s="914">
        <f t="shared" si="33"/>
        <v>0</v>
      </c>
      <c r="S247" s="915">
        <f t="shared" si="34"/>
        <v>0</v>
      </c>
      <c r="T247" s="911">
        <f t="shared" si="35"/>
        <v>0</v>
      </c>
      <c r="U247" s="1170"/>
      <c r="V247" s="1170"/>
      <c r="W247" s="1170"/>
      <c r="X247" s="1170"/>
      <c r="Y247" s="1170"/>
      <c r="Z247" s="1170"/>
      <c r="AA247" s="1170"/>
      <c r="AB247" s="1170"/>
      <c r="AC247" s="1170"/>
      <c r="AD247" s="1170"/>
      <c r="AE247" s="1170"/>
      <c r="AF247" s="1170"/>
      <c r="AG247" s="1170"/>
      <c r="AH247" s="1170"/>
      <c r="AI247" s="1170"/>
      <c r="AJ247" s="1170"/>
      <c r="AK247" s="1170"/>
      <c r="AL247" s="1170"/>
      <c r="AM247" s="1170"/>
      <c r="AN247" s="1170"/>
      <c r="AO247" s="1170"/>
      <c r="AP247" s="1170"/>
      <c r="AQ247" s="1170"/>
      <c r="AR247" s="1170"/>
      <c r="AS247" s="1170"/>
      <c r="AT247" s="1170"/>
      <c r="AU247" s="1170"/>
      <c r="AV247" s="1170"/>
      <c r="AW247" s="1170"/>
      <c r="AX247" s="1170"/>
      <c r="AY247" s="1170"/>
      <c r="AZ247" s="1170"/>
      <c r="BA247" s="1170"/>
      <c r="BB247" s="1170"/>
      <c r="BC247" s="1170"/>
      <c r="BD247" s="1170"/>
      <c r="BE247" s="1170"/>
      <c r="BF247" s="1170"/>
      <c r="BG247" s="1170"/>
      <c r="BH247" s="1170"/>
      <c r="BI247" s="1170"/>
      <c r="BJ247" s="1170"/>
      <c r="BK247" s="1170"/>
      <c r="BL247" s="1170"/>
      <c r="BM247" s="1170"/>
      <c r="BN247" s="1170"/>
      <c r="BO247" s="1170"/>
      <c r="BP247" s="1170"/>
      <c r="BQ247" s="1170"/>
      <c r="BR247" s="1170"/>
      <c r="BS247" s="1170"/>
      <c r="BT247" s="1170"/>
      <c r="BU247" s="1170"/>
      <c r="BV247" s="1170"/>
      <c r="BW247" s="1170"/>
      <c r="BX247" s="1170"/>
      <c r="BY247" s="1170"/>
      <c r="BZ247" s="1170"/>
      <c r="CA247" s="1170"/>
      <c r="CB247" s="1170"/>
      <c r="CC247" s="1170"/>
      <c r="CD247" s="1170"/>
      <c r="CE247" s="1170"/>
      <c r="CF247" s="1170"/>
      <c r="CG247" s="1170"/>
      <c r="CH247" s="1170"/>
      <c r="CI247" s="1170"/>
      <c r="CJ247" s="1170"/>
      <c r="CK247" s="1170"/>
      <c r="CL247" s="1170"/>
      <c r="CM247" s="1170"/>
      <c r="CN247" s="1170"/>
      <c r="CO247" s="1170"/>
      <c r="CP247" s="1170"/>
      <c r="CQ247" s="1170"/>
      <c r="CR247" s="1170"/>
      <c r="CS247" s="1170"/>
      <c r="CT247" s="1170"/>
      <c r="CU247" s="1170"/>
      <c r="CV247" s="1170"/>
      <c r="CW247" s="1170"/>
      <c r="CX247" s="1170"/>
      <c r="CY247" s="1170"/>
      <c r="CZ247" s="1170"/>
      <c r="DA247" s="1170"/>
      <c r="DB247" s="1170"/>
      <c r="DC247" s="1170"/>
      <c r="DD247" s="1170"/>
      <c r="DE247" s="1170"/>
      <c r="DF247" s="1170"/>
      <c r="DG247" s="1170"/>
      <c r="DH247" s="1170"/>
      <c r="DI247" s="1170"/>
      <c r="DJ247" s="1170"/>
    </row>
    <row r="248" spans="1:114" s="923" customFormat="1" ht="250.5" hidden="1" customHeight="1">
      <c r="A248" s="927"/>
      <c r="B248" s="906" t="s">
        <v>677</v>
      </c>
      <c r="C248" s="913">
        <f>ROUND(DATA!K561,2)</f>
        <v>1657.24</v>
      </c>
      <c r="D248" s="908" t="s">
        <v>1834</v>
      </c>
      <c r="E248" s="919"/>
      <c r="F248" s="1053">
        <f t="shared" si="29"/>
        <v>0</v>
      </c>
      <c r="G248" s="919"/>
      <c r="H248" s="914">
        <f t="shared" si="30"/>
        <v>0</v>
      </c>
      <c r="I248" s="919"/>
      <c r="J248" s="914">
        <f t="shared" si="31"/>
        <v>0</v>
      </c>
      <c r="K248" s="919"/>
      <c r="L248" s="914">
        <f t="shared" si="32"/>
        <v>0</v>
      </c>
      <c r="M248" s="919"/>
      <c r="N248" s="914">
        <f t="shared" si="27"/>
        <v>0</v>
      </c>
      <c r="O248" s="914"/>
      <c r="P248" s="914">
        <f t="shared" si="28"/>
        <v>0</v>
      </c>
      <c r="Q248" s="914"/>
      <c r="R248" s="914">
        <f t="shared" si="33"/>
        <v>0</v>
      </c>
      <c r="S248" s="915">
        <f t="shared" si="34"/>
        <v>0</v>
      </c>
      <c r="T248" s="911">
        <f t="shared" si="35"/>
        <v>0</v>
      </c>
      <c r="U248" s="1170"/>
      <c r="V248" s="1170"/>
      <c r="W248" s="1170"/>
      <c r="X248" s="1170"/>
      <c r="Y248" s="1170"/>
      <c r="Z248" s="1170"/>
      <c r="AA248" s="1170"/>
      <c r="AB248" s="1170"/>
      <c r="AC248" s="1170"/>
      <c r="AD248" s="1170"/>
      <c r="AE248" s="1170"/>
      <c r="AF248" s="1170"/>
      <c r="AG248" s="1170"/>
      <c r="AH248" s="1170"/>
      <c r="AI248" s="1170"/>
      <c r="AJ248" s="1170"/>
      <c r="AK248" s="1170"/>
      <c r="AL248" s="1170"/>
      <c r="AM248" s="1170"/>
      <c r="AN248" s="1170"/>
      <c r="AO248" s="1170"/>
      <c r="AP248" s="1170"/>
      <c r="AQ248" s="1170"/>
      <c r="AR248" s="1170"/>
      <c r="AS248" s="1170"/>
      <c r="AT248" s="1170"/>
      <c r="AU248" s="1170"/>
      <c r="AV248" s="1170"/>
      <c r="AW248" s="1170"/>
      <c r="AX248" s="1170"/>
      <c r="AY248" s="1170"/>
      <c r="AZ248" s="1170"/>
      <c r="BA248" s="1170"/>
      <c r="BB248" s="1170"/>
      <c r="BC248" s="1170"/>
      <c r="BD248" s="1170"/>
      <c r="BE248" s="1170"/>
      <c r="BF248" s="1170"/>
      <c r="BG248" s="1170"/>
      <c r="BH248" s="1170"/>
      <c r="BI248" s="1170"/>
      <c r="BJ248" s="1170"/>
      <c r="BK248" s="1170"/>
      <c r="BL248" s="1170"/>
      <c r="BM248" s="1170"/>
      <c r="BN248" s="1170"/>
      <c r="BO248" s="1170"/>
      <c r="BP248" s="1170"/>
      <c r="BQ248" s="1170"/>
      <c r="BR248" s="1170"/>
      <c r="BS248" s="1170"/>
      <c r="BT248" s="1170"/>
      <c r="BU248" s="1170"/>
      <c r="BV248" s="1170"/>
      <c r="BW248" s="1170"/>
      <c r="BX248" s="1170"/>
      <c r="BY248" s="1170"/>
      <c r="BZ248" s="1170"/>
      <c r="CA248" s="1170"/>
      <c r="CB248" s="1170"/>
      <c r="CC248" s="1170"/>
      <c r="CD248" s="1170"/>
      <c r="CE248" s="1170"/>
      <c r="CF248" s="1170"/>
      <c r="CG248" s="1170"/>
      <c r="CH248" s="1170"/>
      <c r="CI248" s="1170"/>
      <c r="CJ248" s="1170"/>
      <c r="CK248" s="1170"/>
      <c r="CL248" s="1170"/>
      <c r="CM248" s="1170"/>
      <c r="CN248" s="1170"/>
      <c r="CO248" s="1170"/>
      <c r="CP248" s="1170"/>
      <c r="CQ248" s="1170"/>
      <c r="CR248" s="1170"/>
      <c r="CS248" s="1170"/>
      <c r="CT248" s="1170"/>
      <c r="CU248" s="1170"/>
      <c r="CV248" s="1170"/>
      <c r="CW248" s="1170"/>
      <c r="CX248" s="1170"/>
      <c r="CY248" s="1170"/>
      <c r="CZ248" s="1170"/>
      <c r="DA248" s="1170"/>
      <c r="DB248" s="1170"/>
      <c r="DC248" s="1170"/>
      <c r="DD248" s="1170"/>
      <c r="DE248" s="1170"/>
      <c r="DF248" s="1170"/>
      <c r="DG248" s="1170"/>
      <c r="DH248" s="1170"/>
      <c r="DI248" s="1170"/>
      <c r="DJ248" s="1170"/>
    </row>
    <row r="249" spans="1:114" s="923" customFormat="1" ht="250.5" hidden="1" customHeight="1">
      <c r="A249" s="927"/>
      <c r="B249" s="906" t="s">
        <v>678</v>
      </c>
      <c r="C249" s="913">
        <f>ROUND(DATA!K562,2)</f>
        <v>1666.77</v>
      </c>
      <c r="D249" s="908" t="s">
        <v>1834</v>
      </c>
      <c r="E249" s="919"/>
      <c r="F249" s="1053">
        <f t="shared" si="29"/>
        <v>0</v>
      </c>
      <c r="G249" s="919"/>
      <c r="H249" s="914">
        <f t="shared" si="30"/>
        <v>0</v>
      </c>
      <c r="I249" s="919"/>
      <c r="J249" s="914">
        <f t="shared" si="31"/>
        <v>0</v>
      </c>
      <c r="K249" s="919"/>
      <c r="L249" s="914">
        <f t="shared" si="32"/>
        <v>0</v>
      </c>
      <c r="M249" s="919"/>
      <c r="N249" s="914">
        <f t="shared" si="27"/>
        <v>0</v>
      </c>
      <c r="O249" s="914"/>
      <c r="P249" s="914">
        <f t="shared" si="28"/>
        <v>0</v>
      </c>
      <c r="Q249" s="914"/>
      <c r="R249" s="914">
        <f t="shared" si="33"/>
        <v>0</v>
      </c>
      <c r="S249" s="915">
        <f t="shared" si="34"/>
        <v>0</v>
      </c>
      <c r="T249" s="911">
        <f t="shared" si="35"/>
        <v>0</v>
      </c>
      <c r="U249" s="1170"/>
      <c r="V249" s="1170"/>
      <c r="W249" s="1170"/>
      <c r="X249" s="1170"/>
      <c r="Y249" s="1170"/>
      <c r="Z249" s="1170"/>
      <c r="AA249" s="1170"/>
      <c r="AB249" s="1170"/>
      <c r="AC249" s="1170"/>
      <c r="AD249" s="1170"/>
      <c r="AE249" s="1170"/>
      <c r="AF249" s="1170"/>
      <c r="AG249" s="1170"/>
      <c r="AH249" s="1170"/>
      <c r="AI249" s="1170"/>
      <c r="AJ249" s="1170"/>
      <c r="AK249" s="1170"/>
      <c r="AL249" s="1170"/>
      <c r="AM249" s="1170"/>
      <c r="AN249" s="1170"/>
      <c r="AO249" s="1170"/>
      <c r="AP249" s="1170"/>
      <c r="AQ249" s="1170"/>
      <c r="AR249" s="1170"/>
      <c r="AS249" s="1170"/>
      <c r="AT249" s="1170"/>
      <c r="AU249" s="1170"/>
      <c r="AV249" s="1170"/>
      <c r="AW249" s="1170"/>
      <c r="AX249" s="1170"/>
      <c r="AY249" s="1170"/>
      <c r="AZ249" s="1170"/>
      <c r="BA249" s="1170"/>
      <c r="BB249" s="1170"/>
      <c r="BC249" s="1170"/>
      <c r="BD249" s="1170"/>
      <c r="BE249" s="1170"/>
      <c r="BF249" s="1170"/>
      <c r="BG249" s="1170"/>
      <c r="BH249" s="1170"/>
      <c r="BI249" s="1170"/>
      <c r="BJ249" s="1170"/>
      <c r="BK249" s="1170"/>
      <c r="BL249" s="1170"/>
      <c r="BM249" s="1170"/>
      <c r="BN249" s="1170"/>
      <c r="BO249" s="1170"/>
      <c r="BP249" s="1170"/>
      <c r="BQ249" s="1170"/>
      <c r="BR249" s="1170"/>
      <c r="BS249" s="1170"/>
      <c r="BT249" s="1170"/>
      <c r="BU249" s="1170"/>
      <c r="BV249" s="1170"/>
      <c r="BW249" s="1170"/>
      <c r="BX249" s="1170"/>
      <c r="BY249" s="1170"/>
      <c r="BZ249" s="1170"/>
      <c r="CA249" s="1170"/>
      <c r="CB249" s="1170"/>
      <c r="CC249" s="1170"/>
      <c r="CD249" s="1170"/>
      <c r="CE249" s="1170"/>
      <c r="CF249" s="1170"/>
      <c r="CG249" s="1170"/>
      <c r="CH249" s="1170"/>
      <c r="CI249" s="1170"/>
      <c r="CJ249" s="1170"/>
      <c r="CK249" s="1170"/>
      <c r="CL249" s="1170"/>
      <c r="CM249" s="1170"/>
      <c r="CN249" s="1170"/>
      <c r="CO249" s="1170"/>
      <c r="CP249" s="1170"/>
      <c r="CQ249" s="1170"/>
      <c r="CR249" s="1170"/>
      <c r="CS249" s="1170"/>
      <c r="CT249" s="1170"/>
      <c r="CU249" s="1170"/>
      <c r="CV249" s="1170"/>
      <c r="CW249" s="1170"/>
      <c r="CX249" s="1170"/>
      <c r="CY249" s="1170"/>
      <c r="CZ249" s="1170"/>
      <c r="DA249" s="1170"/>
      <c r="DB249" s="1170"/>
      <c r="DC249" s="1170"/>
      <c r="DD249" s="1170"/>
      <c r="DE249" s="1170"/>
      <c r="DF249" s="1170"/>
      <c r="DG249" s="1170"/>
      <c r="DH249" s="1170"/>
      <c r="DI249" s="1170"/>
      <c r="DJ249" s="1170"/>
    </row>
    <row r="250" spans="1:114" ht="250.5" hidden="1" customHeight="1">
      <c r="A250" s="931"/>
      <c r="B250" s="906" t="s">
        <v>1268</v>
      </c>
      <c r="C250" s="913">
        <f>ROUND(DATA!K563,2)</f>
        <v>1676.3</v>
      </c>
      <c r="D250" s="908" t="s">
        <v>1834</v>
      </c>
      <c r="E250" s="919"/>
      <c r="F250" s="1053">
        <f t="shared" si="29"/>
        <v>0</v>
      </c>
      <c r="G250" s="919"/>
      <c r="H250" s="914">
        <f t="shared" si="30"/>
        <v>0</v>
      </c>
      <c r="I250" s="919"/>
      <c r="J250" s="914">
        <f t="shared" si="31"/>
        <v>0</v>
      </c>
      <c r="K250" s="919"/>
      <c r="L250" s="914">
        <f t="shared" si="32"/>
        <v>0</v>
      </c>
      <c r="M250" s="919"/>
      <c r="N250" s="914">
        <f t="shared" si="27"/>
        <v>0</v>
      </c>
      <c r="O250" s="914"/>
      <c r="P250" s="914">
        <f t="shared" si="28"/>
        <v>0</v>
      </c>
      <c r="Q250" s="914"/>
      <c r="R250" s="914">
        <f t="shared" si="33"/>
        <v>0</v>
      </c>
      <c r="S250" s="915">
        <f t="shared" si="34"/>
        <v>0</v>
      </c>
      <c r="T250" s="911">
        <f t="shared" si="35"/>
        <v>0</v>
      </c>
    </row>
    <row r="251" spans="1:114" ht="147" customHeight="1">
      <c r="A251" s="905">
        <v>15.1</v>
      </c>
      <c r="B251" s="924" t="s">
        <v>1269</v>
      </c>
      <c r="C251" s="921"/>
      <c r="D251" s="908"/>
      <c r="E251" s="919"/>
      <c r="F251" s="1053">
        <f t="shared" si="29"/>
        <v>0</v>
      </c>
      <c r="G251" s="919"/>
      <c r="H251" s="914">
        <f t="shared" si="30"/>
        <v>0</v>
      </c>
      <c r="I251" s="919"/>
      <c r="J251" s="914">
        <f t="shared" si="31"/>
        <v>0</v>
      </c>
      <c r="K251" s="919"/>
      <c r="L251" s="914">
        <f t="shared" si="32"/>
        <v>0</v>
      </c>
      <c r="M251" s="919"/>
      <c r="N251" s="914">
        <f t="shared" si="27"/>
        <v>0</v>
      </c>
      <c r="O251" s="914"/>
      <c r="P251" s="914">
        <f t="shared" si="28"/>
        <v>0</v>
      </c>
      <c r="Q251" s="914"/>
      <c r="R251" s="914">
        <f t="shared" si="33"/>
        <v>0</v>
      </c>
      <c r="S251" s="915">
        <f t="shared" si="34"/>
        <v>0</v>
      </c>
      <c r="T251" s="911">
        <f t="shared" si="35"/>
        <v>0</v>
      </c>
    </row>
    <row r="252" spans="1:114" ht="147" customHeight="1">
      <c r="A252" s="905"/>
      <c r="B252" s="906" t="s">
        <v>1247</v>
      </c>
      <c r="C252" s="921">
        <f>ROUND(DATA!K590,2)</f>
        <v>556.1</v>
      </c>
      <c r="D252" s="908" t="s">
        <v>1834</v>
      </c>
      <c r="E252" s="919">
        <f>DSP!H471</f>
        <v>16.100000000000001</v>
      </c>
      <c r="F252" s="1053">
        <f t="shared" si="29"/>
        <v>8953.2099999999991</v>
      </c>
      <c r="G252" s="919"/>
      <c r="H252" s="914">
        <f t="shared" si="30"/>
        <v>0</v>
      </c>
      <c r="I252" s="919"/>
      <c r="J252" s="914">
        <f t="shared" si="31"/>
        <v>0</v>
      </c>
      <c r="K252" s="919"/>
      <c r="L252" s="914">
        <f t="shared" si="32"/>
        <v>0</v>
      </c>
      <c r="M252" s="919"/>
      <c r="N252" s="914">
        <f t="shared" si="27"/>
        <v>0</v>
      </c>
      <c r="O252" s="914"/>
      <c r="P252" s="914">
        <f t="shared" si="28"/>
        <v>0</v>
      </c>
      <c r="Q252" s="914"/>
      <c r="R252" s="914">
        <f t="shared" si="33"/>
        <v>0</v>
      </c>
      <c r="S252" s="915">
        <f t="shared" si="34"/>
        <v>16.100000000000001</v>
      </c>
      <c r="T252" s="911">
        <f t="shared" si="35"/>
        <v>8953.2099999999991</v>
      </c>
    </row>
    <row r="253" spans="1:114" ht="147" customHeight="1">
      <c r="A253" s="905"/>
      <c r="B253" s="906" t="s">
        <v>1381</v>
      </c>
      <c r="C253" s="921">
        <f>ROUND(DATA!K591,2)</f>
        <v>560.82000000000005</v>
      </c>
      <c r="D253" s="908" t="s">
        <v>1834</v>
      </c>
      <c r="E253" s="919">
        <f>DSP!H487</f>
        <v>18.7</v>
      </c>
      <c r="F253" s="1053">
        <f t="shared" si="29"/>
        <v>10487.33</v>
      </c>
      <c r="G253" s="919"/>
      <c r="H253" s="914">
        <f t="shared" si="30"/>
        <v>0</v>
      </c>
      <c r="I253" s="919"/>
      <c r="J253" s="914">
        <f t="shared" si="31"/>
        <v>0</v>
      </c>
      <c r="K253" s="919"/>
      <c r="L253" s="914">
        <f t="shared" si="32"/>
        <v>0</v>
      </c>
      <c r="M253" s="919"/>
      <c r="N253" s="914">
        <f t="shared" si="27"/>
        <v>0</v>
      </c>
      <c r="O253" s="914"/>
      <c r="P253" s="914">
        <f t="shared" si="28"/>
        <v>0</v>
      </c>
      <c r="Q253" s="914"/>
      <c r="R253" s="914">
        <f t="shared" si="33"/>
        <v>0</v>
      </c>
      <c r="S253" s="915">
        <f t="shared" si="34"/>
        <v>18.7</v>
      </c>
      <c r="T253" s="911">
        <f t="shared" si="35"/>
        <v>10487.33</v>
      </c>
    </row>
    <row r="254" spans="1:114" ht="147" customHeight="1">
      <c r="A254" s="905"/>
      <c r="B254" s="906" t="s">
        <v>1429</v>
      </c>
      <c r="C254" s="921">
        <f>ROUND(DATA!K592,2)</f>
        <v>565.54</v>
      </c>
      <c r="D254" s="908" t="s">
        <v>1834</v>
      </c>
      <c r="E254" s="919"/>
      <c r="F254" s="1053">
        <f t="shared" si="29"/>
        <v>0</v>
      </c>
      <c r="G254" s="919"/>
      <c r="H254" s="914">
        <f t="shared" si="30"/>
        <v>0</v>
      </c>
      <c r="I254" s="919"/>
      <c r="J254" s="914">
        <f t="shared" si="31"/>
        <v>0</v>
      </c>
      <c r="K254" s="919"/>
      <c r="L254" s="914">
        <f t="shared" si="32"/>
        <v>0</v>
      </c>
      <c r="M254" s="919"/>
      <c r="N254" s="914">
        <f t="shared" si="27"/>
        <v>0</v>
      </c>
      <c r="O254" s="914"/>
      <c r="P254" s="914">
        <f t="shared" si="28"/>
        <v>0</v>
      </c>
      <c r="Q254" s="914"/>
      <c r="R254" s="914">
        <f t="shared" si="33"/>
        <v>0</v>
      </c>
      <c r="S254" s="915">
        <f t="shared" si="34"/>
        <v>0</v>
      </c>
      <c r="T254" s="911">
        <f t="shared" si="35"/>
        <v>0</v>
      </c>
    </row>
    <row r="255" spans="1:114" ht="147" hidden="1" customHeight="1">
      <c r="A255" s="905"/>
      <c r="B255" s="906" t="s">
        <v>1319</v>
      </c>
      <c r="C255" s="921">
        <f>ROUND(DATA!K593,2)</f>
        <v>570.26</v>
      </c>
      <c r="D255" s="908" t="s">
        <v>1834</v>
      </c>
      <c r="E255" s="919"/>
      <c r="F255" s="1053">
        <f t="shared" si="29"/>
        <v>0</v>
      </c>
      <c r="G255" s="919"/>
      <c r="H255" s="914">
        <f t="shared" si="30"/>
        <v>0</v>
      </c>
      <c r="I255" s="919"/>
      <c r="J255" s="914">
        <f t="shared" si="31"/>
        <v>0</v>
      </c>
      <c r="K255" s="919"/>
      <c r="L255" s="914">
        <f t="shared" si="32"/>
        <v>0</v>
      </c>
      <c r="M255" s="919"/>
      <c r="N255" s="914">
        <f t="shared" si="27"/>
        <v>0</v>
      </c>
      <c r="O255" s="914"/>
      <c r="P255" s="914">
        <f t="shared" si="28"/>
        <v>0</v>
      </c>
      <c r="Q255" s="914"/>
      <c r="R255" s="914">
        <f t="shared" si="33"/>
        <v>0</v>
      </c>
      <c r="S255" s="915">
        <f t="shared" si="34"/>
        <v>0</v>
      </c>
      <c r="T255" s="911">
        <f t="shared" si="35"/>
        <v>0</v>
      </c>
    </row>
    <row r="256" spans="1:114" ht="147" hidden="1" customHeight="1">
      <c r="A256" s="928"/>
      <c r="B256" s="906" t="s">
        <v>1074</v>
      </c>
      <c r="C256" s="921">
        <f>ROUND(DATA!K594,2)</f>
        <v>574.98</v>
      </c>
      <c r="D256" s="908" t="s">
        <v>1834</v>
      </c>
      <c r="E256" s="919"/>
      <c r="F256" s="1053">
        <f t="shared" si="29"/>
        <v>0</v>
      </c>
      <c r="G256" s="919"/>
      <c r="H256" s="914">
        <f t="shared" si="30"/>
        <v>0</v>
      </c>
      <c r="I256" s="919"/>
      <c r="J256" s="914">
        <f t="shared" si="31"/>
        <v>0</v>
      </c>
      <c r="K256" s="919"/>
      <c r="L256" s="914">
        <f t="shared" si="32"/>
        <v>0</v>
      </c>
      <c r="M256" s="919"/>
      <c r="N256" s="914">
        <f t="shared" si="27"/>
        <v>0</v>
      </c>
      <c r="O256" s="914"/>
      <c r="P256" s="914">
        <f t="shared" si="28"/>
        <v>0</v>
      </c>
      <c r="Q256" s="914"/>
      <c r="R256" s="914">
        <f t="shared" si="33"/>
        <v>0</v>
      </c>
      <c r="S256" s="915">
        <f t="shared" si="34"/>
        <v>0</v>
      </c>
      <c r="T256" s="911">
        <f t="shared" si="35"/>
        <v>0</v>
      </c>
    </row>
    <row r="257" spans="1:114" ht="147" hidden="1" customHeight="1">
      <c r="A257" s="905">
        <v>15.2</v>
      </c>
      <c r="B257" s="924" t="s">
        <v>2014</v>
      </c>
      <c r="C257" s="921"/>
      <c r="D257" s="908"/>
      <c r="E257" s="919"/>
      <c r="F257" s="1053">
        <f t="shared" si="29"/>
        <v>0</v>
      </c>
      <c r="G257" s="919"/>
      <c r="H257" s="914">
        <f t="shared" si="30"/>
        <v>0</v>
      </c>
      <c r="I257" s="919"/>
      <c r="J257" s="914">
        <f t="shared" si="31"/>
        <v>0</v>
      </c>
      <c r="K257" s="919"/>
      <c r="L257" s="914">
        <f t="shared" si="32"/>
        <v>0</v>
      </c>
      <c r="M257" s="919"/>
      <c r="N257" s="914">
        <f t="shared" si="27"/>
        <v>0</v>
      </c>
      <c r="O257" s="914"/>
      <c r="P257" s="914">
        <f t="shared" si="28"/>
        <v>0</v>
      </c>
      <c r="Q257" s="914"/>
      <c r="R257" s="914">
        <f t="shared" si="33"/>
        <v>0</v>
      </c>
      <c r="S257" s="915">
        <f t="shared" si="34"/>
        <v>0</v>
      </c>
      <c r="T257" s="911">
        <f t="shared" si="35"/>
        <v>0</v>
      </c>
    </row>
    <row r="258" spans="1:114" ht="147" hidden="1" customHeight="1">
      <c r="A258" s="927"/>
      <c r="B258" s="906" t="s">
        <v>1247</v>
      </c>
      <c r="C258" s="921">
        <f>ROUND(DATA!K612,2)</f>
        <v>2072.79</v>
      </c>
      <c r="D258" s="908" t="s">
        <v>1834</v>
      </c>
      <c r="E258" s="919"/>
      <c r="F258" s="1053">
        <f t="shared" si="29"/>
        <v>0</v>
      </c>
      <c r="G258" s="919"/>
      <c r="H258" s="914">
        <f t="shared" si="30"/>
        <v>0</v>
      </c>
      <c r="I258" s="919"/>
      <c r="J258" s="914">
        <f t="shared" si="31"/>
        <v>0</v>
      </c>
      <c r="K258" s="919"/>
      <c r="L258" s="914">
        <f t="shared" si="32"/>
        <v>0</v>
      </c>
      <c r="M258" s="919"/>
      <c r="N258" s="914">
        <f t="shared" si="27"/>
        <v>0</v>
      </c>
      <c r="O258" s="914"/>
      <c r="P258" s="914">
        <f t="shared" si="28"/>
        <v>0</v>
      </c>
      <c r="Q258" s="914"/>
      <c r="R258" s="914">
        <f t="shared" si="33"/>
        <v>0</v>
      </c>
      <c r="S258" s="915">
        <f t="shared" si="34"/>
        <v>0</v>
      </c>
      <c r="T258" s="911">
        <f t="shared" si="35"/>
        <v>0</v>
      </c>
    </row>
    <row r="259" spans="1:114" ht="147" hidden="1" customHeight="1">
      <c r="A259" s="927"/>
      <c r="B259" s="906" t="s">
        <v>1381</v>
      </c>
      <c r="C259" s="921">
        <f>ROUND(DATA!K613,2)</f>
        <v>2082.23</v>
      </c>
      <c r="D259" s="908" t="s">
        <v>1834</v>
      </c>
      <c r="E259" s="919"/>
      <c r="F259" s="1053">
        <f t="shared" si="29"/>
        <v>0</v>
      </c>
      <c r="G259" s="919"/>
      <c r="H259" s="914">
        <f t="shared" si="30"/>
        <v>0</v>
      </c>
      <c r="I259" s="919"/>
      <c r="J259" s="914">
        <f t="shared" si="31"/>
        <v>0</v>
      </c>
      <c r="K259" s="919"/>
      <c r="L259" s="914">
        <f t="shared" si="32"/>
        <v>0</v>
      </c>
      <c r="M259" s="919"/>
      <c r="N259" s="914">
        <f t="shared" si="27"/>
        <v>0</v>
      </c>
      <c r="O259" s="914"/>
      <c r="P259" s="914">
        <f t="shared" si="28"/>
        <v>0</v>
      </c>
      <c r="Q259" s="914"/>
      <c r="R259" s="914">
        <f t="shared" si="33"/>
        <v>0</v>
      </c>
      <c r="S259" s="915">
        <f t="shared" si="34"/>
        <v>0</v>
      </c>
      <c r="T259" s="911">
        <f t="shared" si="35"/>
        <v>0</v>
      </c>
    </row>
    <row r="260" spans="1:114" ht="147" hidden="1" customHeight="1">
      <c r="A260" s="927"/>
      <c r="B260" s="906" t="s">
        <v>1429</v>
      </c>
      <c r="C260" s="921">
        <f>ROUND(DATA!K614,2)</f>
        <v>2091.67</v>
      </c>
      <c r="D260" s="908" t="s">
        <v>1834</v>
      </c>
      <c r="E260" s="919"/>
      <c r="F260" s="1053">
        <f t="shared" si="29"/>
        <v>0</v>
      </c>
      <c r="G260" s="919"/>
      <c r="H260" s="914">
        <f t="shared" si="30"/>
        <v>0</v>
      </c>
      <c r="I260" s="919"/>
      <c r="J260" s="914">
        <f t="shared" si="31"/>
        <v>0</v>
      </c>
      <c r="K260" s="919"/>
      <c r="L260" s="914">
        <f t="shared" si="32"/>
        <v>0</v>
      </c>
      <c r="M260" s="919"/>
      <c r="N260" s="914">
        <f t="shared" si="27"/>
        <v>0</v>
      </c>
      <c r="O260" s="914"/>
      <c r="P260" s="914">
        <f t="shared" si="28"/>
        <v>0</v>
      </c>
      <c r="Q260" s="914"/>
      <c r="R260" s="914">
        <f t="shared" si="33"/>
        <v>0</v>
      </c>
      <c r="S260" s="915">
        <f t="shared" si="34"/>
        <v>0</v>
      </c>
      <c r="T260" s="911">
        <f t="shared" si="35"/>
        <v>0</v>
      </c>
    </row>
    <row r="261" spans="1:114" ht="147" hidden="1" customHeight="1">
      <c r="A261" s="927"/>
      <c r="B261" s="906" t="s">
        <v>1319</v>
      </c>
      <c r="C261" s="921">
        <f>ROUND(DATA!K615,2)</f>
        <v>2101.11</v>
      </c>
      <c r="D261" s="908" t="s">
        <v>1834</v>
      </c>
      <c r="E261" s="919"/>
      <c r="F261" s="1053">
        <f t="shared" si="29"/>
        <v>0</v>
      </c>
      <c r="G261" s="919"/>
      <c r="H261" s="914">
        <f t="shared" si="30"/>
        <v>0</v>
      </c>
      <c r="I261" s="919"/>
      <c r="J261" s="914">
        <f t="shared" si="31"/>
        <v>0</v>
      </c>
      <c r="K261" s="919"/>
      <c r="L261" s="914">
        <f t="shared" si="32"/>
        <v>0</v>
      </c>
      <c r="M261" s="919"/>
      <c r="N261" s="914">
        <f t="shared" si="27"/>
        <v>0</v>
      </c>
      <c r="O261" s="914"/>
      <c r="P261" s="914">
        <f t="shared" si="28"/>
        <v>0</v>
      </c>
      <c r="Q261" s="914"/>
      <c r="R261" s="914">
        <f t="shared" si="33"/>
        <v>0</v>
      </c>
      <c r="S261" s="915">
        <f t="shared" si="34"/>
        <v>0</v>
      </c>
      <c r="T261" s="911">
        <f t="shared" si="35"/>
        <v>0</v>
      </c>
    </row>
    <row r="262" spans="1:114" ht="147" hidden="1" customHeight="1">
      <c r="A262" s="931"/>
      <c r="B262" s="906" t="s">
        <v>1074</v>
      </c>
      <c r="C262" s="921">
        <f>ROUND(DATA!K616,2)</f>
        <v>2110.5500000000002</v>
      </c>
      <c r="D262" s="908" t="s">
        <v>1834</v>
      </c>
      <c r="E262" s="919"/>
      <c r="F262" s="1053">
        <f t="shared" si="29"/>
        <v>0</v>
      </c>
      <c r="G262" s="919"/>
      <c r="H262" s="914">
        <f t="shared" si="30"/>
        <v>0</v>
      </c>
      <c r="I262" s="919"/>
      <c r="J262" s="914">
        <f t="shared" si="31"/>
        <v>0</v>
      </c>
      <c r="K262" s="919"/>
      <c r="L262" s="914">
        <f t="shared" si="32"/>
        <v>0</v>
      </c>
      <c r="M262" s="919"/>
      <c r="N262" s="914">
        <f t="shared" ref="N262:N325" si="36">M262*C262</f>
        <v>0</v>
      </c>
      <c r="O262" s="914"/>
      <c r="P262" s="914">
        <f t="shared" ref="P262:P325" si="37">O262*C262</f>
        <v>0</v>
      </c>
      <c r="Q262" s="914"/>
      <c r="R262" s="914">
        <f t="shared" si="33"/>
        <v>0</v>
      </c>
      <c r="S262" s="915">
        <f t="shared" si="34"/>
        <v>0</v>
      </c>
      <c r="T262" s="911">
        <f t="shared" si="35"/>
        <v>0</v>
      </c>
    </row>
    <row r="263" spans="1:114" s="923" customFormat="1" ht="250.5" hidden="1" customHeight="1">
      <c r="A263" s="905">
        <v>16.100000000000001</v>
      </c>
      <c r="B263" s="906" t="s">
        <v>6620</v>
      </c>
      <c r="C263" s="913"/>
      <c r="D263" s="908"/>
      <c r="E263" s="919"/>
      <c r="F263" s="1053">
        <f t="shared" ref="F263:F303" si="38">E263*C263</f>
        <v>0</v>
      </c>
      <c r="G263" s="919"/>
      <c r="H263" s="914">
        <f t="shared" ref="H263:H326" si="39">G263*C263</f>
        <v>0</v>
      </c>
      <c r="I263" s="919"/>
      <c r="J263" s="914">
        <f t="shared" ref="J263:J326" si="40">I263*C263</f>
        <v>0</v>
      </c>
      <c r="K263" s="919"/>
      <c r="L263" s="914">
        <f t="shared" ref="L263:L326" si="41">K263*C263</f>
        <v>0</v>
      </c>
      <c r="M263" s="919"/>
      <c r="N263" s="914">
        <f t="shared" si="36"/>
        <v>0</v>
      </c>
      <c r="O263" s="914"/>
      <c r="P263" s="914">
        <f t="shared" si="37"/>
        <v>0</v>
      </c>
      <c r="Q263" s="914"/>
      <c r="R263" s="914">
        <f t="shared" ref="R263:R326" si="42">Q263*C263</f>
        <v>0</v>
      </c>
      <c r="S263" s="915">
        <f t="shared" ref="S263:S326" si="43">G263+I263+K263+M263+E263+O263+Q263</f>
        <v>0</v>
      </c>
      <c r="T263" s="911">
        <f t="shared" ref="T263:T326" si="44">S263*C263</f>
        <v>0</v>
      </c>
      <c r="U263" s="1170"/>
      <c r="V263" s="1170"/>
      <c r="W263" s="1170"/>
      <c r="X263" s="1170"/>
      <c r="Y263" s="1170"/>
      <c r="Z263" s="1170"/>
      <c r="AA263" s="1170"/>
      <c r="AB263" s="1170"/>
      <c r="AC263" s="1170"/>
      <c r="AD263" s="1170"/>
      <c r="AE263" s="1170"/>
      <c r="AF263" s="1170"/>
      <c r="AG263" s="1170"/>
      <c r="AH263" s="1170"/>
      <c r="AI263" s="1170"/>
      <c r="AJ263" s="1170"/>
      <c r="AK263" s="1170"/>
      <c r="AL263" s="1170"/>
      <c r="AM263" s="1170"/>
      <c r="AN263" s="1170"/>
      <c r="AO263" s="1170"/>
      <c r="AP263" s="1170"/>
      <c r="AQ263" s="1170"/>
      <c r="AR263" s="1170"/>
      <c r="AS263" s="1170"/>
      <c r="AT263" s="1170"/>
      <c r="AU263" s="1170"/>
      <c r="AV263" s="1170"/>
      <c r="AW263" s="1170"/>
      <c r="AX263" s="1170"/>
      <c r="AY263" s="1170"/>
      <c r="AZ263" s="1170"/>
      <c r="BA263" s="1170"/>
      <c r="BB263" s="1170"/>
      <c r="BC263" s="1170"/>
      <c r="BD263" s="1170"/>
      <c r="BE263" s="1170"/>
      <c r="BF263" s="1170"/>
      <c r="BG263" s="1170"/>
      <c r="BH263" s="1170"/>
      <c r="BI263" s="1170"/>
      <c r="BJ263" s="1170"/>
      <c r="BK263" s="1170"/>
      <c r="BL263" s="1170"/>
      <c r="BM263" s="1170"/>
      <c r="BN263" s="1170"/>
      <c r="BO263" s="1170"/>
      <c r="BP263" s="1170"/>
      <c r="BQ263" s="1170"/>
      <c r="BR263" s="1170"/>
      <c r="BS263" s="1170"/>
      <c r="BT263" s="1170"/>
      <c r="BU263" s="1170"/>
      <c r="BV263" s="1170"/>
      <c r="BW263" s="1170"/>
      <c r="BX263" s="1170"/>
      <c r="BY263" s="1170"/>
      <c r="BZ263" s="1170"/>
      <c r="CA263" s="1170"/>
      <c r="CB263" s="1170"/>
      <c r="CC263" s="1170"/>
      <c r="CD263" s="1170"/>
      <c r="CE263" s="1170"/>
      <c r="CF263" s="1170"/>
      <c r="CG263" s="1170"/>
      <c r="CH263" s="1170"/>
      <c r="CI263" s="1170"/>
      <c r="CJ263" s="1170"/>
      <c r="CK263" s="1170"/>
      <c r="CL263" s="1170"/>
      <c r="CM263" s="1170"/>
      <c r="CN263" s="1170"/>
      <c r="CO263" s="1170"/>
      <c r="CP263" s="1170"/>
      <c r="CQ263" s="1170"/>
      <c r="CR263" s="1170"/>
      <c r="CS263" s="1170"/>
      <c r="CT263" s="1170"/>
      <c r="CU263" s="1170"/>
      <c r="CV263" s="1170"/>
      <c r="CW263" s="1170"/>
      <c r="CX263" s="1170"/>
      <c r="CY263" s="1170"/>
      <c r="CZ263" s="1170"/>
      <c r="DA263" s="1170"/>
      <c r="DB263" s="1170"/>
      <c r="DC263" s="1170"/>
      <c r="DD263" s="1170"/>
      <c r="DE263" s="1170"/>
      <c r="DF263" s="1170"/>
      <c r="DG263" s="1170"/>
      <c r="DH263" s="1170"/>
      <c r="DI263" s="1170"/>
      <c r="DJ263" s="1170"/>
    </row>
    <row r="264" spans="1:114" s="923" customFormat="1" ht="250.5" hidden="1" customHeight="1">
      <c r="A264" s="905"/>
      <c r="B264" s="906" t="s">
        <v>201</v>
      </c>
      <c r="C264" s="913">
        <f>DATA!K659</f>
        <v>2971.58</v>
      </c>
      <c r="D264" s="908" t="s">
        <v>1834</v>
      </c>
      <c r="E264" s="919"/>
      <c r="F264" s="1053">
        <f t="shared" si="38"/>
        <v>0</v>
      </c>
      <c r="G264" s="919"/>
      <c r="H264" s="914">
        <f t="shared" si="39"/>
        <v>0</v>
      </c>
      <c r="I264" s="919"/>
      <c r="J264" s="914">
        <f t="shared" si="40"/>
        <v>0</v>
      </c>
      <c r="K264" s="919"/>
      <c r="L264" s="914">
        <f t="shared" si="41"/>
        <v>0</v>
      </c>
      <c r="M264" s="919"/>
      <c r="N264" s="914">
        <f t="shared" si="36"/>
        <v>0</v>
      </c>
      <c r="O264" s="914"/>
      <c r="P264" s="914">
        <f t="shared" si="37"/>
        <v>0</v>
      </c>
      <c r="Q264" s="914"/>
      <c r="R264" s="914">
        <f t="shared" si="42"/>
        <v>0</v>
      </c>
      <c r="S264" s="915">
        <f t="shared" si="43"/>
        <v>0</v>
      </c>
      <c r="T264" s="911">
        <f t="shared" si="44"/>
        <v>0</v>
      </c>
      <c r="U264" s="1170"/>
      <c r="V264" s="1170"/>
      <c r="W264" s="1170"/>
      <c r="X264" s="1170"/>
      <c r="Y264" s="1170"/>
      <c r="Z264" s="1170"/>
      <c r="AA264" s="1170"/>
      <c r="AB264" s="1170"/>
      <c r="AC264" s="1170"/>
      <c r="AD264" s="1170"/>
      <c r="AE264" s="1170"/>
      <c r="AF264" s="1170"/>
      <c r="AG264" s="1170"/>
      <c r="AH264" s="1170"/>
      <c r="AI264" s="1170"/>
      <c r="AJ264" s="1170"/>
      <c r="AK264" s="1170"/>
      <c r="AL264" s="1170"/>
      <c r="AM264" s="1170"/>
      <c r="AN264" s="1170"/>
      <c r="AO264" s="1170"/>
      <c r="AP264" s="1170"/>
      <c r="AQ264" s="1170"/>
      <c r="AR264" s="1170"/>
      <c r="AS264" s="1170"/>
      <c r="AT264" s="1170"/>
      <c r="AU264" s="1170"/>
      <c r="AV264" s="1170"/>
      <c r="AW264" s="1170"/>
      <c r="AX264" s="1170"/>
      <c r="AY264" s="1170"/>
      <c r="AZ264" s="1170"/>
      <c r="BA264" s="1170"/>
      <c r="BB264" s="1170"/>
      <c r="BC264" s="1170"/>
      <c r="BD264" s="1170"/>
      <c r="BE264" s="1170"/>
      <c r="BF264" s="1170"/>
      <c r="BG264" s="1170"/>
      <c r="BH264" s="1170"/>
      <c r="BI264" s="1170"/>
      <c r="BJ264" s="1170"/>
      <c r="BK264" s="1170"/>
      <c r="BL264" s="1170"/>
      <c r="BM264" s="1170"/>
      <c r="BN264" s="1170"/>
      <c r="BO264" s="1170"/>
      <c r="BP264" s="1170"/>
      <c r="BQ264" s="1170"/>
      <c r="BR264" s="1170"/>
      <c r="BS264" s="1170"/>
      <c r="BT264" s="1170"/>
      <c r="BU264" s="1170"/>
      <c r="BV264" s="1170"/>
      <c r="BW264" s="1170"/>
      <c r="BX264" s="1170"/>
      <c r="BY264" s="1170"/>
      <c r="BZ264" s="1170"/>
      <c r="CA264" s="1170"/>
      <c r="CB264" s="1170"/>
      <c r="CC264" s="1170"/>
      <c r="CD264" s="1170"/>
      <c r="CE264" s="1170"/>
      <c r="CF264" s="1170"/>
      <c r="CG264" s="1170"/>
      <c r="CH264" s="1170"/>
      <c r="CI264" s="1170"/>
      <c r="CJ264" s="1170"/>
      <c r="CK264" s="1170"/>
      <c r="CL264" s="1170"/>
      <c r="CM264" s="1170"/>
      <c r="CN264" s="1170"/>
      <c r="CO264" s="1170"/>
      <c r="CP264" s="1170"/>
      <c r="CQ264" s="1170"/>
      <c r="CR264" s="1170"/>
      <c r="CS264" s="1170"/>
      <c r="CT264" s="1170"/>
      <c r="CU264" s="1170"/>
      <c r="CV264" s="1170"/>
      <c r="CW264" s="1170"/>
      <c r="CX264" s="1170"/>
      <c r="CY264" s="1170"/>
      <c r="CZ264" s="1170"/>
      <c r="DA264" s="1170"/>
      <c r="DB264" s="1170"/>
      <c r="DC264" s="1170"/>
      <c r="DD264" s="1170"/>
      <c r="DE264" s="1170"/>
      <c r="DF264" s="1170"/>
      <c r="DG264" s="1170"/>
      <c r="DH264" s="1170"/>
      <c r="DI264" s="1170"/>
      <c r="DJ264" s="1170"/>
    </row>
    <row r="265" spans="1:114" s="923" customFormat="1" ht="250.5" hidden="1" customHeight="1">
      <c r="A265" s="905"/>
      <c r="B265" s="906" t="s">
        <v>1381</v>
      </c>
      <c r="C265" s="913">
        <f>ROUND(DATA!K660,2)</f>
        <v>2980.47</v>
      </c>
      <c r="D265" s="908" t="s">
        <v>1834</v>
      </c>
      <c r="E265" s="919"/>
      <c r="F265" s="1053">
        <f t="shared" si="38"/>
        <v>0</v>
      </c>
      <c r="G265" s="919"/>
      <c r="H265" s="914">
        <f t="shared" si="39"/>
        <v>0</v>
      </c>
      <c r="I265" s="919"/>
      <c r="J265" s="914">
        <f t="shared" si="40"/>
        <v>0</v>
      </c>
      <c r="K265" s="919"/>
      <c r="L265" s="914">
        <f t="shared" si="41"/>
        <v>0</v>
      </c>
      <c r="M265" s="919"/>
      <c r="N265" s="914">
        <f t="shared" si="36"/>
        <v>0</v>
      </c>
      <c r="O265" s="914"/>
      <c r="P265" s="914">
        <f t="shared" si="37"/>
        <v>0</v>
      </c>
      <c r="Q265" s="914"/>
      <c r="R265" s="914">
        <f t="shared" si="42"/>
        <v>0</v>
      </c>
      <c r="S265" s="915">
        <f t="shared" si="43"/>
        <v>0</v>
      </c>
      <c r="T265" s="911">
        <f t="shared" si="44"/>
        <v>0</v>
      </c>
      <c r="U265" s="1170"/>
      <c r="V265" s="1170"/>
      <c r="W265" s="1170"/>
      <c r="X265" s="1170"/>
      <c r="Y265" s="1170"/>
      <c r="Z265" s="1170"/>
      <c r="AA265" s="1170"/>
      <c r="AB265" s="1170"/>
      <c r="AC265" s="1170"/>
      <c r="AD265" s="1170"/>
      <c r="AE265" s="1170"/>
      <c r="AF265" s="1170"/>
      <c r="AG265" s="1170"/>
      <c r="AH265" s="1170"/>
      <c r="AI265" s="1170"/>
      <c r="AJ265" s="1170"/>
      <c r="AK265" s="1170"/>
      <c r="AL265" s="1170"/>
      <c r="AM265" s="1170"/>
      <c r="AN265" s="1170"/>
      <c r="AO265" s="1170"/>
      <c r="AP265" s="1170"/>
      <c r="AQ265" s="1170"/>
      <c r="AR265" s="1170"/>
      <c r="AS265" s="1170"/>
      <c r="AT265" s="1170"/>
      <c r="AU265" s="1170"/>
      <c r="AV265" s="1170"/>
      <c r="AW265" s="1170"/>
      <c r="AX265" s="1170"/>
      <c r="AY265" s="1170"/>
      <c r="AZ265" s="1170"/>
      <c r="BA265" s="1170"/>
      <c r="BB265" s="1170"/>
      <c r="BC265" s="1170"/>
      <c r="BD265" s="1170"/>
      <c r="BE265" s="1170"/>
      <c r="BF265" s="1170"/>
      <c r="BG265" s="1170"/>
      <c r="BH265" s="1170"/>
      <c r="BI265" s="1170"/>
      <c r="BJ265" s="1170"/>
      <c r="BK265" s="1170"/>
      <c r="BL265" s="1170"/>
      <c r="BM265" s="1170"/>
      <c r="BN265" s="1170"/>
      <c r="BO265" s="1170"/>
      <c r="BP265" s="1170"/>
      <c r="BQ265" s="1170"/>
      <c r="BR265" s="1170"/>
      <c r="BS265" s="1170"/>
      <c r="BT265" s="1170"/>
      <c r="BU265" s="1170"/>
      <c r="BV265" s="1170"/>
      <c r="BW265" s="1170"/>
      <c r="BX265" s="1170"/>
      <c r="BY265" s="1170"/>
      <c r="BZ265" s="1170"/>
      <c r="CA265" s="1170"/>
      <c r="CB265" s="1170"/>
      <c r="CC265" s="1170"/>
      <c r="CD265" s="1170"/>
      <c r="CE265" s="1170"/>
      <c r="CF265" s="1170"/>
      <c r="CG265" s="1170"/>
      <c r="CH265" s="1170"/>
      <c r="CI265" s="1170"/>
      <c r="CJ265" s="1170"/>
      <c r="CK265" s="1170"/>
      <c r="CL265" s="1170"/>
      <c r="CM265" s="1170"/>
      <c r="CN265" s="1170"/>
      <c r="CO265" s="1170"/>
      <c r="CP265" s="1170"/>
      <c r="CQ265" s="1170"/>
      <c r="CR265" s="1170"/>
      <c r="CS265" s="1170"/>
      <c r="CT265" s="1170"/>
      <c r="CU265" s="1170"/>
      <c r="CV265" s="1170"/>
      <c r="CW265" s="1170"/>
      <c r="CX265" s="1170"/>
      <c r="CY265" s="1170"/>
      <c r="CZ265" s="1170"/>
      <c r="DA265" s="1170"/>
      <c r="DB265" s="1170"/>
      <c r="DC265" s="1170"/>
      <c r="DD265" s="1170"/>
      <c r="DE265" s="1170"/>
      <c r="DF265" s="1170"/>
      <c r="DG265" s="1170"/>
      <c r="DH265" s="1170"/>
      <c r="DI265" s="1170"/>
      <c r="DJ265" s="1170"/>
    </row>
    <row r="266" spans="1:114" s="923" customFormat="1" ht="250.5" hidden="1" customHeight="1">
      <c r="A266" s="905"/>
      <c r="B266" s="906" t="s">
        <v>1429</v>
      </c>
      <c r="C266" s="913">
        <f>ROUND(DATA!K661,2)</f>
        <v>2989.36</v>
      </c>
      <c r="D266" s="908" t="s">
        <v>1834</v>
      </c>
      <c r="E266" s="919"/>
      <c r="F266" s="1053">
        <f t="shared" si="38"/>
        <v>0</v>
      </c>
      <c r="G266" s="919"/>
      <c r="H266" s="914">
        <f t="shared" si="39"/>
        <v>0</v>
      </c>
      <c r="I266" s="919"/>
      <c r="J266" s="914">
        <f t="shared" si="40"/>
        <v>0</v>
      </c>
      <c r="K266" s="919"/>
      <c r="L266" s="914">
        <f t="shared" si="41"/>
        <v>0</v>
      </c>
      <c r="M266" s="919"/>
      <c r="N266" s="914">
        <f t="shared" si="36"/>
        <v>0</v>
      </c>
      <c r="O266" s="914"/>
      <c r="P266" s="914">
        <f t="shared" si="37"/>
        <v>0</v>
      </c>
      <c r="Q266" s="914"/>
      <c r="R266" s="914">
        <f t="shared" si="42"/>
        <v>0</v>
      </c>
      <c r="S266" s="915">
        <f t="shared" si="43"/>
        <v>0</v>
      </c>
      <c r="T266" s="911">
        <f t="shared" si="44"/>
        <v>0</v>
      </c>
      <c r="U266" s="1170"/>
      <c r="V266" s="1170"/>
      <c r="W266" s="1170"/>
      <c r="X266" s="1170"/>
      <c r="Y266" s="1170"/>
      <c r="Z266" s="1170"/>
      <c r="AA266" s="1170"/>
      <c r="AB266" s="1170"/>
      <c r="AC266" s="1170"/>
      <c r="AD266" s="1170"/>
      <c r="AE266" s="1170"/>
      <c r="AF266" s="1170"/>
      <c r="AG266" s="1170"/>
      <c r="AH266" s="1170"/>
      <c r="AI266" s="1170"/>
      <c r="AJ266" s="1170"/>
      <c r="AK266" s="1170"/>
      <c r="AL266" s="1170"/>
      <c r="AM266" s="1170"/>
      <c r="AN266" s="1170"/>
      <c r="AO266" s="1170"/>
      <c r="AP266" s="1170"/>
      <c r="AQ266" s="1170"/>
      <c r="AR266" s="1170"/>
      <c r="AS266" s="1170"/>
      <c r="AT266" s="1170"/>
      <c r="AU266" s="1170"/>
      <c r="AV266" s="1170"/>
      <c r="AW266" s="1170"/>
      <c r="AX266" s="1170"/>
      <c r="AY266" s="1170"/>
      <c r="AZ266" s="1170"/>
      <c r="BA266" s="1170"/>
      <c r="BB266" s="1170"/>
      <c r="BC266" s="1170"/>
      <c r="BD266" s="1170"/>
      <c r="BE266" s="1170"/>
      <c r="BF266" s="1170"/>
      <c r="BG266" s="1170"/>
      <c r="BH266" s="1170"/>
      <c r="BI266" s="1170"/>
      <c r="BJ266" s="1170"/>
      <c r="BK266" s="1170"/>
      <c r="BL266" s="1170"/>
      <c r="BM266" s="1170"/>
      <c r="BN266" s="1170"/>
      <c r="BO266" s="1170"/>
      <c r="BP266" s="1170"/>
      <c r="BQ266" s="1170"/>
      <c r="BR266" s="1170"/>
      <c r="BS266" s="1170"/>
      <c r="BT266" s="1170"/>
      <c r="BU266" s="1170"/>
      <c r="BV266" s="1170"/>
      <c r="BW266" s="1170"/>
      <c r="BX266" s="1170"/>
      <c r="BY266" s="1170"/>
      <c r="BZ266" s="1170"/>
      <c r="CA266" s="1170"/>
      <c r="CB266" s="1170"/>
      <c r="CC266" s="1170"/>
      <c r="CD266" s="1170"/>
      <c r="CE266" s="1170"/>
      <c r="CF266" s="1170"/>
      <c r="CG266" s="1170"/>
      <c r="CH266" s="1170"/>
      <c r="CI266" s="1170"/>
      <c r="CJ266" s="1170"/>
      <c r="CK266" s="1170"/>
      <c r="CL266" s="1170"/>
      <c r="CM266" s="1170"/>
      <c r="CN266" s="1170"/>
      <c r="CO266" s="1170"/>
      <c r="CP266" s="1170"/>
      <c r="CQ266" s="1170"/>
      <c r="CR266" s="1170"/>
      <c r="CS266" s="1170"/>
      <c r="CT266" s="1170"/>
      <c r="CU266" s="1170"/>
      <c r="CV266" s="1170"/>
      <c r="CW266" s="1170"/>
      <c r="CX266" s="1170"/>
      <c r="CY266" s="1170"/>
      <c r="CZ266" s="1170"/>
      <c r="DA266" s="1170"/>
      <c r="DB266" s="1170"/>
      <c r="DC266" s="1170"/>
      <c r="DD266" s="1170"/>
      <c r="DE266" s="1170"/>
      <c r="DF266" s="1170"/>
      <c r="DG266" s="1170"/>
      <c r="DH266" s="1170"/>
      <c r="DI266" s="1170"/>
      <c r="DJ266" s="1170"/>
    </row>
    <row r="267" spans="1:114" s="923" customFormat="1" ht="250.5" hidden="1" customHeight="1">
      <c r="A267" s="905"/>
      <c r="B267" s="906" t="s">
        <v>1319</v>
      </c>
      <c r="C267" s="913">
        <f>ROUND(DATA!K662,2)</f>
        <v>2998.25</v>
      </c>
      <c r="D267" s="908" t="s">
        <v>1834</v>
      </c>
      <c r="E267" s="919"/>
      <c r="F267" s="1053">
        <f t="shared" si="38"/>
        <v>0</v>
      </c>
      <c r="G267" s="919"/>
      <c r="H267" s="914">
        <f t="shared" si="39"/>
        <v>0</v>
      </c>
      <c r="I267" s="919"/>
      <c r="J267" s="914">
        <f t="shared" si="40"/>
        <v>0</v>
      </c>
      <c r="K267" s="919"/>
      <c r="L267" s="914">
        <f t="shared" si="41"/>
        <v>0</v>
      </c>
      <c r="M267" s="919"/>
      <c r="N267" s="914">
        <f t="shared" si="36"/>
        <v>0</v>
      </c>
      <c r="O267" s="914"/>
      <c r="P267" s="914">
        <f t="shared" si="37"/>
        <v>0</v>
      </c>
      <c r="Q267" s="914"/>
      <c r="R267" s="914">
        <f t="shared" si="42"/>
        <v>0</v>
      </c>
      <c r="S267" s="915">
        <f t="shared" si="43"/>
        <v>0</v>
      </c>
      <c r="T267" s="911">
        <f t="shared" si="44"/>
        <v>0</v>
      </c>
      <c r="U267" s="1170"/>
      <c r="V267" s="1170"/>
      <c r="W267" s="1170"/>
      <c r="X267" s="1170"/>
      <c r="Y267" s="1170"/>
      <c r="Z267" s="1170"/>
      <c r="AA267" s="1170"/>
      <c r="AB267" s="1170"/>
      <c r="AC267" s="1170"/>
      <c r="AD267" s="1170"/>
      <c r="AE267" s="1170"/>
      <c r="AF267" s="1170"/>
      <c r="AG267" s="1170"/>
      <c r="AH267" s="1170"/>
      <c r="AI267" s="1170"/>
      <c r="AJ267" s="1170"/>
      <c r="AK267" s="1170"/>
      <c r="AL267" s="1170"/>
      <c r="AM267" s="1170"/>
      <c r="AN267" s="1170"/>
      <c r="AO267" s="1170"/>
      <c r="AP267" s="1170"/>
      <c r="AQ267" s="1170"/>
      <c r="AR267" s="1170"/>
      <c r="AS267" s="1170"/>
      <c r="AT267" s="1170"/>
      <c r="AU267" s="1170"/>
      <c r="AV267" s="1170"/>
      <c r="AW267" s="1170"/>
      <c r="AX267" s="1170"/>
      <c r="AY267" s="1170"/>
      <c r="AZ267" s="1170"/>
      <c r="BA267" s="1170"/>
      <c r="BB267" s="1170"/>
      <c r="BC267" s="1170"/>
      <c r="BD267" s="1170"/>
      <c r="BE267" s="1170"/>
      <c r="BF267" s="1170"/>
      <c r="BG267" s="1170"/>
      <c r="BH267" s="1170"/>
      <c r="BI267" s="1170"/>
      <c r="BJ267" s="1170"/>
      <c r="BK267" s="1170"/>
      <c r="BL267" s="1170"/>
      <c r="BM267" s="1170"/>
      <c r="BN267" s="1170"/>
      <c r="BO267" s="1170"/>
      <c r="BP267" s="1170"/>
      <c r="BQ267" s="1170"/>
      <c r="BR267" s="1170"/>
      <c r="BS267" s="1170"/>
      <c r="BT267" s="1170"/>
      <c r="BU267" s="1170"/>
      <c r="BV267" s="1170"/>
      <c r="BW267" s="1170"/>
      <c r="BX267" s="1170"/>
      <c r="BY267" s="1170"/>
      <c r="BZ267" s="1170"/>
      <c r="CA267" s="1170"/>
      <c r="CB267" s="1170"/>
      <c r="CC267" s="1170"/>
      <c r="CD267" s="1170"/>
      <c r="CE267" s="1170"/>
      <c r="CF267" s="1170"/>
      <c r="CG267" s="1170"/>
      <c r="CH267" s="1170"/>
      <c r="CI267" s="1170"/>
      <c r="CJ267" s="1170"/>
      <c r="CK267" s="1170"/>
      <c r="CL267" s="1170"/>
      <c r="CM267" s="1170"/>
      <c r="CN267" s="1170"/>
      <c r="CO267" s="1170"/>
      <c r="CP267" s="1170"/>
      <c r="CQ267" s="1170"/>
      <c r="CR267" s="1170"/>
      <c r="CS267" s="1170"/>
      <c r="CT267" s="1170"/>
      <c r="CU267" s="1170"/>
      <c r="CV267" s="1170"/>
      <c r="CW267" s="1170"/>
      <c r="CX267" s="1170"/>
      <c r="CY267" s="1170"/>
      <c r="CZ267" s="1170"/>
      <c r="DA267" s="1170"/>
      <c r="DB267" s="1170"/>
      <c r="DC267" s="1170"/>
      <c r="DD267" s="1170"/>
      <c r="DE267" s="1170"/>
      <c r="DF267" s="1170"/>
      <c r="DG267" s="1170"/>
      <c r="DH267" s="1170"/>
      <c r="DI267" s="1170"/>
      <c r="DJ267" s="1170"/>
    </row>
    <row r="268" spans="1:114" s="923" customFormat="1" ht="250.5" hidden="1" customHeight="1">
      <c r="A268" s="926"/>
      <c r="B268" s="906" t="s">
        <v>1074</v>
      </c>
      <c r="C268" s="913">
        <f>ROUND(DATA!K663,2)</f>
        <v>3007.14</v>
      </c>
      <c r="D268" s="908" t="s">
        <v>1834</v>
      </c>
      <c r="E268" s="919"/>
      <c r="F268" s="1053">
        <f t="shared" si="38"/>
        <v>0</v>
      </c>
      <c r="G268" s="919"/>
      <c r="H268" s="914">
        <f t="shared" si="39"/>
        <v>0</v>
      </c>
      <c r="I268" s="919"/>
      <c r="J268" s="914">
        <f t="shared" si="40"/>
        <v>0</v>
      </c>
      <c r="K268" s="919"/>
      <c r="L268" s="914">
        <f t="shared" si="41"/>
        <v>0</v>
      </c>
      <c r="M268" s="919"/>
      <c r="N268" s="914">
        <f t="shared" si="36"/>
        <v>0</v>
      </c>
      <c r="O268" s="914"/>
      <c r="P268" s="914">
        <f t="shared" si="37"/>
        <v>0</v>
      </c>
      <c r="Q268" s="914"/>
      <c r="R268" s="914">
        <f t="shared" si="42"/>
        <v>0</v>
      </c>
      <c r="S268" s="915">
        <f t="shared" si="43"/>
        <v>0</v>
      </c>
      <c r="T268" s="911">
        <f t="shared" si="44"/>
        <v>0</v>
      </c>
      <c r="U268" s="1170"/>
      <c r="V268" s="1170"/>
      <c r="W268" s="1170"/>
      <c r="X268" s="1170"/>
      <c r="Y268" s="1170"/>
      <c r="Z268" s="1170"/>
      <c r="AA268" s="1170"/>
      <c r="AB268" s="1170"/>
      <c r="AC268" s="1170"/>
      <c r="AD268" s="1170"/>
      <c r="AE268" s="1170"/>
      <c r="AF268" s="1170"/>
      <c r="AG268" s="1170"/>
      <c r="AH268" s="1170"/>
      <c r="AI268" s="1170"/>
      <c r="AJ268" s="1170"/>
      <c r="AK268" s="1170"/>
      <c r="AL268" s="1170"/>
      <c r="AM268" s="1170"/>
      <c r="AN268" s="1170"/>
      <c r="AO268" s="1170"/>
      <c r="AP268" s="1170"/>
      <c r="AQ268" s="1170"/>
      <c r="AR268" s="1170"/>
      <c r="AS268" s="1170"/>
      <c r="AT268" s="1170"/>
      <c r="AU268" s="1170"/>
      <c r="AV268" s="1170"/>
      <c r="AW268" s="1170"/>
      <c r="AX268" s="1170"/>
      <c r="AY268" s="1170"/>
      <c r="AZ268" s="1170"/>
      <c r="BA268" s="1170"/>
      <c r="BB268" s="1170"/>
      <c r="BC268" s="1170"/>
      <c r="BD268" s="1170"/>
      <c r="BE268" s="1170"/>
      <c r="BF268" s="1170"/>
      <c r="BG268" s="1170"/>
      <c r="BH268" s="1170"/>
      <c r="BI268" s="1170"/>
      <c r="BJ268" s="1170"/>
      <c r="BK268" s="1170"/>
      <c r="BL268" s="1170"/>
      <c r="BM268" s="1170"/>
      <c r="BN268" s="1170"/>
      <c r="BO268" s="1170"/>
      <c r="BP268" s="1170"/>
      <c r="BQ268" s="1170"/>
      <c r="BR268" s="1170"/>
      <c r="BS268" s="1170"/>
      <c r="BT268" s="1170"/>
      <c r="BU268" s="1170"/>
      <c r="BV268" s="1170"/>
      <c r="BW268" s="1170"/>
      <c r="BX268" s="1170"/>
      <c r="BY268" s="1170"/>
      <c r="BZ268" s="1170"/>
      <c r="CA268" s="1170"/>
      <c r="CB268" s="1170"/>
      <c r="CC268" s="1170"/>
      <c r="CD268" s="1170"/>
      <c r="CE268" s="1170"/>
      <c r="CF268" s="1170"/>
      <c r="CG268" s="1170"/>
      <c r="CH268" s="1170"/>
      <c r="CI268" s="1170"/>
      <c r="CJ268" s="1170"/>
      <c r="CK268" s="1170"/>
      <c r="CL268" s="1170"/>
      <c r="CM268" s="1170"/>
      <c r="CN268" s="1170"/>
      <c r="CO268" s="1170"/>
      <c r="CP268" s="1170"/>
      <c r="CQ268" s="1170"/>
      <c r="CR268" s="1170"/>
      <c r="CS268" s="1170"/>
      <c r="CT268" s="1170"/>
      <c r="CU268" s="1170"/>
      <c r="CV268" s="1170"/>
      <c r="CW268" s="1170"/>
      <c r="CX268" s="1170"/>
      <c r="CY268" s="1170"/>
      <c r="CZ268" s="1170"/>
      <c r="DA268" s="1170"/>
      <c r="DB268" s="1170"/>
      <c r="DC268" s="1170"/>
      <c r="DD268" s="1170"/>
      <c r="DE268" s="1170"/>
      <c r="DF268" s="1170"/>
      <c r="DG268" s="1170"/>
      <c r="DH268" s="1170"/>
      <c r="DI268" s="1170"/>
      <c r="DJ268" s="1170"/>
    </row>
    <row r="269" spans="1:114" ht="250.5" hidden="1" customHeight="1">
      <c r="A269" s="905">
        <v>16.2</v>
      </c>
      <c r="B269" s="906" t="s">
        <v>1242</v>
      </c>
      <c r="C269" s="921"/>
      <c r="D269" s="908"/>
      <c r="E269" s="919"/>
      <c r="F269" s="1053">
        <f t="shared" si="38"/>
        <v>0</v>
      </c>
      <c r="G269" s="919"/>
      <c r="H269" s="914">
        <f t="shared" si="39"/>
        <v>0</v>
      </c>
      <c r="I269" s="919"/>
      <c r="J269" s="914">
        <f t="shared" si="40"/>
        <v>0</v>
      </c>
      <c r="K269" s="919"/>
      <c r="L269" s="914">
        <f t="shared" si="41"/>
        <v>0</v>
      </c>
      <c r="M269" s="919"/>
      <c r="N269" s="914">
        <f t="shared" si="36"/>
        <v>0</v>
      </c>
      <c r="O269" s="914"/>
      <c r="P269" s="914">
        <f t="shared" si="37"/>
        <v>0</v>
      </c>
      <c r="Q269" s="914"/>
      <c r="R269" s="914">
        <f t="shared" si="42"/>
        <v>0</v>
      </c>
      <c r="S269" s="915">
        <f t="shared" si="43"/>
        <v>0</v>
      </c>
      <c r="T269" s="911">
        <f t="shared" si="44"/>
        <v>0</v>
      </c>
    </row>
    <row r="270" spans="1:114" ht="250.5" hidden="1" customHeight="1">
      <c r="A270" s="927"/>
      <c r="B270" s="906" t="s">
        <v>201</v>
      </c>
      <c r="C270" s="921">
        <f>ROUND(DATA!K686,2)</f>
        <v>483.95</v>
      </c>
      <c r="D270" s="908" t="s">
        <v>1834</v>
      </c>
      <c r="E270" s="919"/>
      <c r="F270" s="1053">
        <f t="shared" si="38"/>
        <v>0</v>
      </c>
      <c r="G270" s="919"/>
      <c r="H270" s="914">
        <f t="shared" si="39"/>
        <v>0</v>
      </c>
      <c r="I270" s="919"/>
      <c r="J270" s="914">
        <f t="shared" si="40"/>
        <v>0</v>
      </c>
      <c r="K270" s="919"/>
      <c r="L270" s="914">
        <f t="shared" si="41"/>
        <v>0</v>
      </c>
      <c r="M270" s="919"/>
      <c r="N270" s="914">
        <f t="shared" si="36"/>
        <v>0</v>
      </c>
      <c r="O270" s="914"/>
      <c r="P270" s="914">
        <f t="shared" si="37"/>
        <v>0</v>
      </c>
      <c r="Q270" s="914"/>
      <c r="R270" s="914">
        <f t="shared" si="42"/>
        <v>0</v>
      </c>
      <c r="S270" s="915">
        <f t="shared" si="43"/>
        <v>0</v>
      </c>
      <c r="T270" s="911">
        <f t="shared" si="44"/>
        <v>0</v>
      </c>
    </row>
    <row r="271" spans="1:114" ht="250.5" hidden="1" customHeight="1">
      <c r="A271" s="927"/>
      <c r="B271" s="906" t="s">
        <v>202</v>
      </c>
      <c r="C271" s="921">
        <f>ROUND(DATA!K687,2)</f>
        <v>491.91</v>
      </c>
      <c r="D271" s="908" t="s">
        <v>1834</v>
      </c>
      <c r="E271" s="919"/>
      <c r="F271" s="1053">
        <f t="shared" si="38"/>
        <v>0</v>
      </c>
      <c r="G271" s="919"/>
      <c r="H271" s="914">
        <f t="shared" si="39"/>
        <v>0</v>
      </c>
      <c r="I271" s="919"/>
      <c r="J271" s="914">
        <f t="shared" si="40"/>
        <v>0</v>
      </c>
      <c r="K271" s="919"/>
      <c r="L271" s="914">
        <f t="shared" si="41"/>
        <v>0</v>
      </c>
      <c r="M271" s="919"/>
      <c r="N271" s="914">
        <f t="shared" si="36"/>
        <v>0</v>
      </c>
      <c r="O271" s="914"/>
      <c r="P271" s="914">
        <f t="shared" si="37"/>
        <v>0</v>
      </c>
      <c r="Q271" s="914"/>
      <c r="R271" s="914">
        <f t="shared" si="42"/>
        <v>0</v>
      </c>
      <c r="S271" s="915">
        <f t="shared" si="43"/>
        <v>0</v>
      </c>
      <c r="T271" s="911">
        <f t="shared" si="44"/>
        <v>0</v>
      </c>
    </row>
    <row r="272" spans="1:114" ht="250.5" hidden="1" customHeight="1">
      <c r="A272" s="927"/>
      <c r="B272" s="906" t="s">
        <v>203</v>
      </c>
      <c r="C272" s="921">
        <f>ROUND(DATA!K688,2)</f>
        <v>499.87</v>
      </c>
      <c r="D272" s="908" t="s">
        <v>1834</v>
      </c>
      <c r="E272" s="919"/>
      <c r="F272" s="1053">
        <f t="shared" si="38"/>
        <v>0</v>
      </c>
      <c r="G272" s="919"/>
      <c r="H272" s="914">
        <f t="shared" si="39"/>
        <v>0</v>
      </c>
      <c r="I272" s="919"/>
      <c r="J272" s="914">
        <f t="shared" si="40"/>
        <v>0</v>
      </c>
      <c r="K272" s="919"/>
      <c r="L272" s="914">
        <f t="shared" si="41"/>
        <v>0</v>
      </c>
      <c r="M272" s="919"/>
      <c r="N272" s="914">
        <f t="shared" si="36"/>
        <v>0</v>
      </c>
      <c r="O272" s="914"/>
      <c r="P272" s="914">
        <f t="shared" si="37"/>
        <v>0</v>
      </c>
      <c r="Q272" s="914"/>
      <c r="R272" s="914">
        <f t="shared" si="42"/>
        <v>0</v>
      </c>
      <c r="S272" s="915">
        <f t="shared" si="43"/>
        <v>0</v>
      </c>
      <c r="T272" s="911">
        <f t="shared" si="44"/>
        <v>0</v>
      </c>
    </row>
    <row r="273" spans="1:20" ht="250.5" hidden="1" customHeight="1">
      <c r="A273" s="927"/>
      <c r="B273" s="906" t="s">
        <v>204</v>
      </c>
      <c r="C273" s="921">
        <f>ROUND(DATA!K689,2)</f>
        <v>507.83</v>
      </c>
      <c r="D273" s="908" t="s">
        <v>1834</v>
      </c>
      <c r="E273" s="919"/>
      <c r="F273" s="1053">
        <f t="shared" si="38"/>
        <v>0</v>
      </c>
      <c r="G273" s="919"/>
      <c r="H273" s="914">
        <f t="shared" si="39"/>
        <v>0</v>
      </c>
      <c r="I273" s="919"/>
      <c r="J273" s="914">
        <f t="shared" si="40"/>
        <v>0</v>
      </c>
      <c r="K273" s="919"/>
      <c r="L273" s="914">
        <f t="shared" si="41"/>
        <v>0</v>
      </c>
      <c r="M273" s="919"/>
      <c r="N273" s="914">
        <f t="shared" si="36"/>
        <v>0</v>
      </c>
      <c r="O273" s="914"/>
      <c r="P273" s="914">
        <f t="shared" si="37"/>
        <v>0</v>
      </c>
      <c r="Q273" s="914"/>
      <c r="R273" s="914">
        <f t="shared" si="42"/>
        <v>0</v>
      </c>
      <c r="S273" s="915">
        <f t="shared" si="43"/>
        <v>0</v>
      </c>
      <c r="T273" s="911">
        <f t="shared" si="44"/>
        <v>0</v>
      </c>
    </row>
    <row r="274" spans="1:20" ht="250.5" hidden="1" customHeight="1">
      <c r="A274" s="931"/>
      <c r="B274" s="906" t="s">
        <v>603</v>
      </c>
      <c r="C274" s="921">
        <f>ROUND(DATA!K690,2)</f>
        <v>515.79</v>
      </c>
      <c r="D274" s="908" t="s">
        <v>1834</v>
      </c>
      <c r="E274" s="919"/>
      <c r="F274" s="1053">
        <f t="shared" si="38"/>
        <v>0</v>
      </c>
      <c r="G274" s="919"/>
      <c r="H274" s="914">
        <f t="shared" si="39"/>
        <v>0</v>
      </c>
      <c r="I274" s="919"/>
      <c r="J274" s="914">
        <f t="shared" si="40"/>
        <v>0</v>
      </c>
      <c r="K274" s="919"/>
      <c r="L274" s="914">
        <f t="shared" si="41"/>
        <v>0</v>
      </c>
      <c r="M274" s="919"/>
      <c r="N274" s="914">
        <f t="shared" si="36"/>
        <v>0</v>
      </c>
      <c r="O274" s="914"/>
      <c r="P274" s="914">
        <f t="shared" si="37"/>
        <v>0</v>
      </c>
      <c r="Q274" s="914"/>
      <c r="R274" s="914">
        <f t="shared" si="42"/>
        <v>0</v>
      </c>
      <c r="S274" s="915">
        <f t="shared" si="43"/>
        <v>0</v>
      </c>
      <c r="T274" s="911">
        <f t="shared" si="44"/>
        <v>0</v>
      </c>
    </row>
    <row r="275" spans="1:20" ht="250.5" hidden="1" customHeight="1">
      <c r="A275" s="905">
        <v>16.3</v>
      </c>
      <c r="B275" s="906" t="s">
        <v>340</v>
      </c>
      <c r="C275" s="921"/>
      <c r="D275" s="908"/>
      <c r="E275" s="919"/>
      <c r="F275" s="1053">
        <f t="shared" si="38"/>
        <v>0</v>
      </c>
      <c r="G275" s="919"/>
      <c r="H275" s="914">
        <f t="shared" si="39"/>
        <v>0</v>
      </c>
      <c r="I275" s="919"/>
      <c r="J275" s="914">
        <f t="shared" si="40"/>
        <v>0</v>
      </c>
      <c r="K275" s="919"/>
      <c r="L275" s="914">
        <f t="shared" si="41"/>
        <v>0</v>
      </c>
      <c r="M275" s="919"/>
      <c r="N275" s="914">
        <f t="shared" si="36"/>
        <v>0</v>
      </c>
      <c r="O275" s="914"/>
      <c r="P275" s="914">
        <f t="shared" si="37"/>
        <v>0</v>
      </c>
      <c r="Q275" s="914"/>
      <c r="R275" s="914">
        <f t="shared" si="42"/>
        <v>0</v>
      </c>
      <c r="S275" s="915">
        <f t="shared" si="43"/>
        <v>0</v>
      </c>
      <c r="T275" s="911">
        <f t="shared" si="44"/>
        <v>0</v>
      </c>
    </row>
    <row r="276" spans="1:20" ht="250.5" hidden="1" customHeight="1">
      <c r="A276" s="905"/>
      <c r="B276" s="906" t="s">
        <v>201</v>
      </c>
      <c r="C276" s="921">
        <f>ROUND(DATA!K706,2)</f>
        <v>658.68</v>
      </c>
      <c r="D276" s="908" t="s">
        <v>1834</v>
      </c>
      <c r="E276" s="919"/>
      <c r="F276" s="1053">
        <f t="shared" si="38"/>
        <v>0</v>
      </c>
      <c r="G276" s="919"/>
      <c r="H276" s="914">
        <f t="shared" si="39"/>
        <v>0</v>
      </c>
      <c r="I276" s="919"/>
      <c r="J276" s="914">
        <f t="shared" si="40"/>
        <v>0</v>
      </c>
      <c r="K276" s="919"/>
      <c r="L276" s="914">
        <f t="shared" si="41"/>
        <v>0</v>
      </c>
      <c r="M276" s="919"/>
      <c r="N276" s="914">
        <f t="shared" si="36"/>
        <v>0</v>
      </c>
      <c r="O276" s="914"/>
      <c r="P276" s="914">
        <f t="shared" si="37"/>
        <v>0</v>
      </c>
      <c r="Q276" s="914"/>
      <c r="R276" s="914">
        <f t="shared" si="42"/>
        <v>0</v>
      </c>
      <c r="S276" s="915">
        <f t="shared" si="43"/>
        <v>0</v>
      </c>
      <c r="T276" s="911">
        <f t="shared" si="44"/>
        <v>0</v>
      </c>
    </row>
    <row r="277" spans="1:20" ht="250.5" hidden="1" customHeight="1">
      <c r="A277" s="905"/>
      <c r="B277" s="906" t="s">
        <v>202</v>
      </c>
      <c r="C277" s="921">
        <f>ROUND(DATA!K707,2)</f>
        <v>676.19</v>
      </c>
      <c r="D277" s="908" t="s">
        <v>1834</v>
      </c>
      <c r="E277" s="919"/>
      <c r="F277" s="1053">
        <f t="shared" si="38"/>
        <v>0</v>
      </c>
      <c r="G277" s="919"/>
      <c r="H277" s="914">
        <f t="shared" si="39"/>
        <v>0</v>
      </c>
      <c r="I277" s="919"/>
      <c r="J277" s="914">
        <f t="shared" si="40"/>
        <v>0</v>
      </c>
      <c r="K277" s="919"/>
      <c r="L277" s="914">
        <f t="shared" si="41"/>
        <v>0</v>
      </c>
      <c r="M277" s="919"/>
      <c r="N277" s="914">
        <f t="shared" si="36"/>
        <v>0</v>
      </c>
      <c r="O277" s="914"/>
      <c r="P277" s="914">
        <f t="shared" si="37"/>
        <v>0</v>
      </c>
      <c r="Q277" s="914"/>
      <c r="R277" s="914">
        <f t="shared" si="42"/>
        <v>0</v>
      </c>
      <c r="S277" s="915">
        <f t="shared" si="43"/>
        <v>0</v>
      </c>
      <c r="T277" s="911">
        <f t="shared" si="44"/>
        <v>0</v>
      </c>
    </row>
    <row r="278" spans="1:20" ht="250.5" hidden="1" customHeight="1">
      <c r="A278" s="905"/>
      <c r="B278" s="906" t="s">
        <v>203</v>
      </c>
      <c r="C278" s="921">
        <f>ROUND(DATA!K708,2)</f>
        <v>693.7</v>
      </c>
      <c r="D278" s="908" t="s">
        <v>1834</v>
      </c>
      <c r="E278" s="919"/>
      <c r="F278" s="1053">
        <f t="shared" si="38"/>
        <v>0</v>
      </c>
      <c r="G278" s="919"/>
      <c r="H278" s="914">
        <f t="shared" si="39"/>
        <v>0</v>
      </c>
      <c r="I278" s="919"/>
      <c r="J278" s="914">
        <f t="shared" si="40"/>
        <v>0</v>
      </c>
      <c r="K278" s="919"/>
      <c r="L278" s="914">
        <f t="shared" si="41"/>
        <v>0</v>
      </c>
      <c r="M278" s="919"/>
      <c r="N278" s="914">
        <f t="shared" si="36"/>
        <v>0</v>
      </c>
      <c r="O278" s="914"/>
      <c r="P278" s="914">
        <f t="shared" si="37"/>
        <v>0</v>
      </c>
      <c r="Q278" s="914"/>
      <c r="R278" s="914">
        <f t="shared" si="42"/>
        <v>0</v>
      </c>
      <c r="S278" s="915">
        <f t="shared" si="43"/>
        <v>0</v>
      </c>
      <c r="T278" s="911">
        <f t="shared" si="44"/>
        <v>0</v>
      </c>
    </row>
    <row r="279" spans="1:20" ht="250.5" hidden="1" customHeight="1">
      <c r="A279" s="927"/>
      <c r="B279" s="906" t="s">
        <v>204</v>
      </c>
      <c r="C279" s="921">
        <f>ROUND(DATA!K709,2)</f>
        <v>711.21</v>
      </c>
      <c r="D279" s="908" t="s">
        <v>1834</v>
      </c>
      <c r="E279" s="919"/>
      <c r="F279" s="1053">
        <f t="shared" si="38"/>
        <v>0</v>
      </c>
      <c r="G279" s="919"/>
      <c r="H279" s="914">
        <f t="shared" si="39"/>
        <v>0</v>
      </c>
      <c r="I279" s="919"/>
      <c r="J279" s="914">
        <f t="shared" si="40"/>
        <v>0</v>
      </c>
      <c r="K279" s="919"/>
      <c r="L279" s="914">
        <f t="shared" si="41"/>
        <v>0</v>
      </c>
      <c r="M279" s="919"/>
      <c r="N279" s="914">
        <f t="shared" si="36"/>
        <v>0</v>
      </c>
      <c r="O279" s="914"/>
      <c r="P279" s="914">
        <f t="shared" si="37"/>
        <v>0</v>
      </c>
      <c r="Q279" s="914"/>
      <c r="R279" s="914">
        <f t="shared" si="42"/>
        <v>0</v>
      </c>
      <c r="S279" s="915">
        <f t="shared" si="43"/>
        <v>0</v>
      </c>
      <c r="T279" s="911">
        <f t="shared" si="44"/>
        <v>0</v>
      </c>
    </row>
    <row r="280" spans="1:20" ht="250.5" hidden="1" customHeight="1">
      <c r="A280" s="931"/>
      <c r="B280" s="906" t="s">
        <v>603</v>
      </c>
      <c r="C280" s="921">
        <f>ROUND(DATA!K710,2)</f>
        <v>728.72</v>
      </c>
      <c r="D280" s="908" t="s">
        <v>1834</v>
      </c>
      <c r="E280" s="919"/>
      <c r="F280" s="1053">
        <f t="shared" si="38"/>
        <v>0</v>
      </c>
      <c r="G280" s="919"/>
      <c r="H280" s="914">
        <f t="shared" si="39"/>
        <v>0</v>
      </c>
      <c r="I280" s="919"/>
      <c r="J280" s="914">
        <f t="shared" si="40"/>
        <v>0</v>
      </c>
      <c r="K280" s="919"/>
      <c r="L280" s="914">
        <f t="shared" si="41"/>
        <v>0</v>
      </c>
      <c r="M280" s="919"/>
      <c r="N280" s="914">
        <f t="shared" si="36"/>
        <v>0</v>
      </c>
      <c r="O280" s="914"/>
      <c r="P280" s="914">
        <f t="shared" si="37"/>
        <v>0</v>
      </c>
      <c r="Q280" s="914"/>
      <c r="R280" s="914">
        <f t="shared" si="42"/>
        <v>0</v>
      </c>
      <c r="S280" s="915">
        <f t="shared" si="43"/>
        <v>0</v>
      </c>
      <c r="T280" s="911">
        <f t="shared" si="44"/>
        <v>0</v>
      </c>
    </row>
    <row r="281" spans="1:20" ht="250.5" hidden="1" customHeight="1">
      <c r="A281" s="905">
        <v>17</v>
      </c>
      <c r="B281" s="906" t="s">
        <v>6621</v>
      </c>
      <c r="C281" s="921"/>
      <c r="D281" s="908" t="s">
        <v>1834</v>
      </c>
      <c r="E281" s="919"/>
      <c r="F281" s="1053">
        <f t="shared" si="38"/>
        <v>0</v>
      </c>
      <c r="G281" s="919"/>
      <c r="H281" s="914">
        <f t="shared" si="39"/>
        <v>0</v>
      </c>
      <c r="I281" s="919"/>
      <c r="J281" s="914">
        <f t="shared" si="40"/>
        <v>0</v>
      </c>
      <c r="K281" s="919"/>
      <c r="L281" s="914">
        <f t="shared" si="41"/>
        <v>0</v>
      </c>
      <c r="M281" s="919"/>
      <c r="N281" s="914">
        <f t="shared" si="36"/>
        <v>0</v>
      </c>
      <c r="O281" s="914"/>
      <c r="P281" s="914">
        <f t="shared" si="37"/>
        <v>0</v>
      </c>
      <c r="Q281" s="914"/>
      <c r="R281" s="914">
        <f t="shared" si="42"/>
        <v>0</v>
      </c>
      <c r="S281" s="915">
        <f t="shared" si="43"/>
        <v>0</v>
      </c>
      <c r="T281" s="911">
        <f t="shared" si="44"/>
        <v>0</v>
      </c>
    </row>
    <row r="282" spans="1:20" ht="250.5" hidden="1" customHeight="1">
      <c r="A282" s="905">
        <v>18</v>
      </c>
      <c r="B282" s="906" t="s">
        <v>6622</v>
      </c>
      <c r="C282" s="921"/>
      <c r="D282" s="908" t="s">
        <v>1834</v>
      </c>
      <c r="E282" s="919"/>
      <c r="F282" s="1053">
        <f t="shared" si="38"/>
        <v>0</v>
      </c>
      <c r="G282" s="919"/>
      <c r="H282" s="914">
        <f t="shared" si="39"/>
        <v>0</v>
      </c>
      <c r="I282" s="919"/>
      <c r="J282" s="914">
        <f t="shared" si="40"/>
        <v>0</v>
      </c>
      <c r="K282" s="919"/>
      <c r="L282" s="914">
        <f t="shared" si="41"/>
        <v>0</v>
      </c>
      <c r="M282" s="919"/>
      <c r="N282" s="914">
        <f t="shared" si="36"/>
        <v>0</v>
      </c>
      <c r="O282" s="914"/>
      <c r="P282" s="914">
        <f t="shared" si="37"/>
        <v>0</v>
      </c>
      <c r="Q282" s="914"/>
      <c r="R282" s="914">
        <f t="shared" si="42"/>
        <v>0</v>
      </c>
      <c r="S282" s="915">
        <f t="shared" si="43"/>
        <v>0</v>
      </c>
      <c r="T282" s="911">
        <f t="shared" si="44"/>
        <v>0</v>
      </c>
    </row>
    <row r="283" spans="1:20" ht="250.5" hidden="1" customHeight="1">
      <c r="A283" s="905">
        <v>19</v>
      </c>
      <c r="B283" s="906" t="s">
        <v>6623</v>
      </c>
      <c r="C283" s="921"/>
      <c r="D283" s="908" t="s">
        <v>1834</v>
      </c>
      <c r="E283" s="919"/>
      <c r="F283" s="1053">
        <f t="shared" si="38"/>
        <v>0</v>
      </c>
      <c r="G283" s="919"/>
      <c r="H283" s="914">
        <f t="shared" si="39"/>
        <v>0</v>
      </c>
      <c r="I283" s="919"/>
      <c r="J283" s="914">
        <f t="shared" si="40"/>
        <v>0</v>
      </c>
      <c r="K283" s="919"/>
      <c r="L283" s="914">
        <f t="shared" si="41"/>
        <v>0</v>
      </c>
      <c r="M283" s="919"/>
      <c r="N283" s="914">
        <f t="shared" si="36"/>
        <v>0</v>
      </c>
      <c r="O283" s="914"/>
      <c r="P283" s="914">
        <f t="shared" si="37"/>
        <v>0</v>
      </c>
      <c r="Q283" s="914"/>
      <c r="R283" s="914">
        <f t="shared" si="42"/>
        <v>0</v>
      </c>
      <c r="S283" s="915">
        <f t="shared" si="43"/>
        <v>0</v>
      </c>
      <c r="T283" s="911">
        <f t="shared" si="44"/>
        <v>0</v>
      </c>
    </row>
    <row r="284" spans="1:20" ht="250.5" hidden="1" customHeight="1">
      <c r="A284" s="905">
        <v>20</v>
      </c>
      <c r="B284" s="906" t="s">
        <v>1577</v>
      </c>
      <c r="C284" s="921"/>
      <c r="D284" s="908" t="s">
        <v>1834</v>
      </c>
      <c r="E284" s="919"/>
      <c r="F284" s="1053">
        <f t="shared" si="38"/>
        <v>0</v>
      </c>
      <c r="G284" s="919"/>
      <c r="H284" s="914">
        <f t="shared" si="39"/>
        <v>0</v>
      </c>
      <c r="I284" s="919"/>
      <c r="J284" s="914">
        <f t="shared" si="40"/>
        <v>0</v>
      </c>
      <c r="K284" s="919"/>
      <c r="L284" s="914">
        <f t="shared" si="41"/>
        <v>0</v>
      </c>
      <c r="M284" s="919"/>
      <c r="N284" s="914">
        <f t="shared" si="36"/>
        <v>0</v>
      </c>
      <c r="O284" s="914"/>
      <c r="P284" s="914">
        <f t="shared" si="37"/>
        <v>0</v>
      </c>
      <c r="Q284" s="914"/>
      <c r="R284" s="914">
        <f t="shared" si="42"/>
        <v>0</v>
      </c>
      <c r="S284" s="915">
        <f t="shared" si="43"/>
        <v>0</v>
      </c>
      <c r="T284" s="911">
        <f t="shared" si="44"/>
        <v>0</v>
      </c>
    </row>
    <row r="285" spans="1:20" ht="250.5" hidden="1" customHeight="1">
      <c r="A285" s="905">
        <v>21.1</v>
      </c>
      <c r="B285" s="924" t="s">
        <v>1818</v>
      </c>
      <c r="C285" s="921"/>
      <c r="D285" s="908"/>
      <c r="E285" s="919"/>
      <c r="F285" s="1053">
        <f t="shared" si="38"/>
        <v>0</v>
      </c>
      <c r="G285" s="919"/>
      <c r="H285" s="914">
        <f t="shared" si="39"/>
        <v>0</v>
      </c>
      <c r="I285" s="919"/>
      <c r="J285" s="914">
        <f t="shared" si="40"/>
        <v>0</v>
      </c>
      <c r="K285" s="919"/>
      <c r="L285" s="914">
        <f t="shared" si="41"/>
        <v>0</v>
      </c>
      <c r="M285" s="919"/>
      <c r="N285" s="914">
        <f t="shared" si="36"/>
        <v>0</v>
      </c>
      <c r="O285" s="914"/>
      <c r="P285" s="914">
        <f t="shared" si="37"/>
        <v>0</v>
      </c>
      <c r="Q285" s="914"/>
      <c r="R285" s="914">
        <f t="shared" si="42"/>
        <v>0</v>
      </c>
      <c r="S285" s="915">
        <f t="shared" si="43"/>
        <v>0</v>
      </c>
      <c r="T285" s="911">
        <f t="shared" si="44"/>
        <v>0</v>
      </c>
    </row>
    <row r="286" spans="1:20" ht="250.5" hidden="1" customHeight="1">
      <c r="A286" s="905"/>
      <c r="B286" s="906" t="s">
        <v>570</v>
      </c>
      <c r="C286" s="921">
        <f>ROUND(DATA!K889,2)</f>
        <v>2780.7</v>
      </c>
      <c r="D286" s="908" t="s">
        <v>1393</v>
      </c>
      <c r="E286" s="919"/>
      <c r="F286" s="1053">
        <f t="shared" si="38"/>
        <v>0</v>
      </c>
      <c r="G286" s="919"/>
      <c r="H286" s="914">
        <f t="shared" si="39"/>
        <v>0</v>
      </c>
      <c r="I286" s="919"/>
      <c r="J286" s="914">
        <f t="shared" si="40"/>
        <v>0</v>
      </c>
      <c r="K286" s="919"/>
      <c r="L286" s="914">
        <f t="shared" si="41"/>
        <v>0</v>
      </c>
      <c r="M286" s="919"/>
      <c r="N286" s="914">
        <f t="shared" si="36"/>
        <v>0</v>
      </c>
      <c r="O286" s="914"/>
      <c r="P286" s="914">
        <f t="shared" si="37"/>
        <v>0</v>
      </c>
      <c r="Q286" s="914"/>
      <c r="R286" s="914">
        <f t="shared" si="42"/>
        <v>0</v>
      </c>
      <c r="S286" s="915">
        <f t="shared" si="43"/>
        <v>0</v>
      </c>
      <c r="T286" s="911">
        <f t="shared" si="44"/>
        <v>0</v>
      </c>
    </row>
    <row r="287" spans="1:20" ht="250.5" hidden="1" customHeight="1">
      <c r="A287" s="905"/>
      <c r="B287" s="906" t="s">
        <v>1894</v>
      </c>
      <c r="C287" s="921">
        <f>ROUND(DATA!K905,2)</f>
        <v>2743.04</v>
      </c>
      <c r="D287" s="908" t="s">
        <v>1393</v>
      </c>
      <c r="E287" s="919"/>
      <c r="F287" s="1053">
        <f t="shared" si="38"/>
        <v>0</v>
      </c>
      <c r="G287" s="919"/>
      <c r="H287" s="914">
        <f t="shared" si="39"/>
        <v>0</v>
      </c>
      <c r="I287" s="919"/>
      <c r="J287" s="914">
        <f t="shared" si="40"/>
        <v>0</v>
      </c>
      <c r="K287" s="919"/>
      <c r="L287" s="914">
        <f t="shared" si="41"/>
        <v>0</v>
      </c>
      <c r="M287" s="919"/>
      <c r="N287" s="914">
        <f t="shared" si="36"/>
        <v>0</v>
      </c>
      <c r="O287" s="914"/>
      <c r="P287" s="914">
        <f t="shared" si="37"/>
        <v>0</v>
      </c>
      <c r="Q287" s="914"/>
      <c r="R287" s="914">
        <f t="shared" si="42"/>
        <v>0</v>
      </c>
      <c r="S287" s="915">
        <f t="shared" si="43"/>
        <v>0</v>
      </c>
      <c r="T287" s="911">
        <f t="shared" si="44"/>
        <v>0</v>
      </c>
    </row>
    <row r="288" spans="1:20" ht="250.5" hidden="1" customHeight="1">
      <c r="A288" s="928"/>
      <c r="B288" s="906" t="s">
        <v>1895</v>
      </c>
      <c r="C288" s="921">
        <f>ROUND(DATA!K871,2)</f>
        <v>2802.86</v>
      </c>
      <c r="D288" s="908" t="s">
        <v>1393</v>
      </c>
      <c r="E288" s="919"/>
      <c r="F288" s="1053">
        <f t="shared" si="38"/>
        <v>0</v>
      </c>
      <c r="G288" s="919"/>
      <c r="H288" s="914">
        <f t="shared" si="39"/>
        <v>0</v>
      </c>
      <c r="I288" s="919"/>
      <c r="J288" s="914">
        <f t="shared" si="40"/>
        <v>0</v>
      </c>
      <c r="K288" s="919"/>
      <c r="L288" s="914">
        <f t="shared" si="41"/>
        <v>0</v>
      </c>
      <c r="M288" s="919"/>
      <c r="N288" s="914">
        <f t="shared" si="36"/>
        <v>0</v>
      </c>
      <c r="O288" s="914"/>
      <c r="P288" s="914">
        <f t="shared" si="37"/>
        <v>0</v>
      </c>
      <c r="Q288" s="914"/>
      <c r="R288" s="914">
        <f t="shared" si="42"/>
        <v>0</v>
      </c>
      <c r="S288" s="915">
        <f t="shared" si="43"/>
        <v>0</v>
      </c>
      <c r="T288" s="911">
        <f t="shared" si="44"/>
        <v>0</v>
      </c>
    </row>
    <row r="289" spans="1:20" ht="146.25" customHeight="1">
      <c r="A289" s="905">
        <v>21.2</v>
      </c>
      <c r="B289" s="924" t="s">
        <v>2049</v>
      </c>
      <c r="C289" s="913"/>
      <c r="D289" s="908"/>
      <c r="E289" s="911"/>
      <c r="F289" s="1053">
        <f t="shared" si="38"/>
        <v>0</v>
      </c>
      <c r="G289" s="914"/>
      <c r="H289" s="914">
        <f t="shared" si="39"/>
        <v>0</v>
      </c>
      <c r="I289" s="914"/>
      <c r="J289" s="914">
        <f t="shared" si="40"/>
        <v>0</v>
      </c>
      <c r="K289" s="914"/>
      <c r="L289" s="914">
        <f t="shared" si="41"/>
        <v>0</v>
      </c>
      <c r="M289" s="914"/>
      <c r="N289" s="914">
        <f t="shared" si="36"/>
        <v>0</v>
      </c>
      <c r="O289" s="914"/>
      <c r="P289" s="914">
        <f t="shared" si="37"/>
        <v>0</v>
      </c>
      <c r="Q289" s="914"/>
      <c r="R289" s="914">
        <f t="shared" si="42"/>
        <v>0</v>
      </c>
      <c r="S289" s="915">
        <f t="shared" si="43"/>
        <v>0</v>
      </c>
      <c r="T289" s="911">
        <f t="shared" si="44"/>
        <v>0</v>
      </c>
    </row>
    <row r="290" spans="1:20" ht="146.25" customHeight="1">
      <c r="A290" s="905"/>
      <c r="B290" s="906" t="s">
        <v>1775</v>
      </c>
      <c r="C290" s="913">
        <f>ROUND(DATA!K923,2)</f>
        <v>125290</v>
      </c>
      <c r="D290" s="908" t="s">
        <v>1192</v>
      </c>
      <c r="E290" s="915">
        <f>DSP!H499</f>
        <v>0.505</v>
      </c>
      <c r="F290" s="1053">
        <f t="shared" si="38"/>
        <v>63271.45</v>
      </c>
      <c r="G290" s="915"/>
      <c r="H290" s="914">
        <f t="shared" si="39"/>
        <v>0</v>
      </c>
      <c r="I290" s="914"/>
      <c r="J290" s="914">
        <f t="shared" si="40"/>
        <v>0</v>
      </c>
      <c r="K290" s="914"/>
      <c r="L290" s="914">
        <f t="shared" si="41"/>
        <v>0</v>
      </c>
      <c r="M290" s="914"/>
      <c r="N290" s="914">
        <f t="shared" si="36"/>
        <v>0</v>
      </c>
      <c r="O290" s="914"/>
      <c r="P290" s="914">
        <f t="shared" si="37"/>
        <v>0</v>
      </c>
      <c r="Q290" s="914"/>
      <c r="R290" s="914">
        <f t="shared" si="42"/>
        <v>0</v>
      </c>
      <c r="S290" s="915">
        <f t="shared" si="43"/>
        <v>0.505</v>
      </c>
      <c r="T290" s="911">
        <f t="shared" si="44"/>
        <v>63271.45</v>
      </c>
    </row>
    <row r="291" spans="1:20" ht="146.25" customHeight="1">
      <c r="A291" s="926"/>
      <c r="B291" s="906" t="s">
        <v>1776</v>
      </c>
      <c r="C291" s="913">
        <f>ROUND(DATA!K930,2)</f>
        <v>113090</v>
      </c>
      <c r="D291" s="908" t="s">
        <v>1192</v>
      </c>
      <c r="E291" s="915">
        <f>DSP!H525</f>
        <v>0.28399999999999997</v>
      </c>
      <c r="F291" s="1053">
        <f t="shared" si="38"/>
        <v>32117.56</v>
      </c>
      <c r="G291" s="915"/>
      <c r="H291" s="914">
        <f t="shared" si="39"/>
        <v>0</v>
      </c>
      <c r="I291" s="914"/>
      <c r="J291" s="914">
        <f t="shared" si="40"/>
        <v>0</v>
      </c>
      <c r="K291" s="914"/>
      <c r="L291" s="914">
        <f t="shared" si="41"/>
        <v>0</v>
      </c>
      <c r="M291" s="914"/>
      <c r="N291" s="914">
        <f t="shared" si="36"/>
        <v>0</v>
      </c>
      <c r="O291" s="914"/>
      <c r="P291" s="914">
        <f t="shared" si="37"/>
        <v>0</v>
      </c>
      <c r="Q291" s="914"/>
      <c r="R291" s="914">
        <f t="shared" si="42"/>
        <v>0</v>
      </c>
      <c r="S291" s="915">
        <f t="shared" si="43"/>
        <v>0.28399999999999997</v>
      </c>
      <c r="T291" s="911">
        <f t="shared" si="44"/>
        <v>32117.56</v>
      </c>
    </row>
    <row r="292" spans="1:20" ht="250.5" hidden="1" customHeight="1">
      <c r="A292" s="905">
        <v>21.3</v>
      </c>
      <c r="B292" s="906" t="s">
        <v>1777</v>
      </c>
      <c r="C292" s="921">
        <f>ROUND(DATA!K912,2)</f>
        <v>2135</v>
      </c>
      <c r="D292" s="908" t="s">
        <v>1834</v>
      </c>
      <c r="E292" s="919"/>
      <c r="F292" s="1053">
        <f t="shared" si="38"/>
        <v>0</v>
      </c>
      <c r="G292" s="919"/>
      <c r="H292" s="914">
        <f t="shared" si="39"/>
        <v>0</v>
      </c>
      <c r="I292" s="919"/>
      <c r="J292" s="914">
        <f t="shared" si="40"/>
        <v>0</v>
      </c>
      <c r="K292" s="919"/>
      <c r="L292" s="914">
        <f t="shared" si="41"/>
        <v>0</v>
      </c>
      <c r="M292" s="919"/>
      <c r="N292" s="914">
        <f t="shared" si="36"/>
        <v>0</v>
      </c>
      <c r="O292" s="914"/>
      <c r="P292" s="914">
        <f t="shared" si="37"/>
        <v>0</v>
      </c>
      <c r="Q292" s="914"/>
      <c r="R292" s="914">
        <f t="shared" si="42"/>
        <v>0</v>
      </c>
      <c r="S292" s="915">
        <f t="shared" si="43"/>
        <v>0</v>
      </c>
      <c r="T292" s="911">
        <f t="shared" si="44"/>
        <v>0</v>
      </c>
    </row>
    <row r="293" spans="1:20" ht="250.5" hidden="1" customHeight="1">
      <c r="A293" s="905">
        <v>22.1</v>
      </c>
      <c r="B293" s="906" t="s">
        <v>1361</v>
      </c>
      <c r="C293" s="921"/>
      <c r="D293" s="908"/>
      <c r="E293" s="919"/>
      <c r="F293" s="1053">
        <f t="shared" si="38"/>
        <v>0</v>
      </c>
      <c r="G293" s="919"/>
      <c r="H293" s="914">
        <f t="shared" si="39"/>
        <v>0</v>
      </c>
      <c r="I293" s="919"/>
      <c r="J293" s="914">
        <f t="shared" si="40"/>
        <v>0</v>
      </c>
      <c r="K293" s="919"/>
      <c r="L293" s="914">
        <f t="shared" si="41"/>
        <v>0</v>
      </c>
      <c r="M293" s="919"/>
      <c r="N293" s="914">
        <f t="shared" si="36"/>
        <v>0</v>
      </c>
      <c r="O293" s="914"/>
      <c r="P293" s="914">
        <f t="shared" si="37"/>
        <v>0</v>
      </c>
      <c r="Q293" s="914"/>
      <c r="R293" s="914">
        <f t="shared" si="42"/>
        <v>0</v>
      </c>
      <c r="S293" s="915">
        <f t="shared" si="43"/>
        <v>0</v>
      </c>
      <c r="T293" s="911">
        <f t="shared" si="44"/>
        <v>0</v>
      </c>
    </row>
    <row r="294" spans="1:20" ht="250.5" hidden="1" customHeight="1">
      <c r="A294" s="927"/>
      <c r="B294" s="906" t="s">
        <v>386</v>
      </c>
      <c r="C294" s="921">
        <f>ROUND(DATA!K964,2)</f>
        <v>5030.8599999999997</v>
      </c>
      <c r="D294" s="908" t="s">
        <v>1834</v>
      </c>
      <c r="E294" s="919"/>
      <c r="F294" s="1053">
        <f t="shared" si="38"/>
        <v>0</v>
      </c>
      <c r="G294" s="919"/>
      <c r="H294" s="914">
        <f t="shared" si="39"/>
        <v>0</v>
      </c>
      <c r="I294" s="919"/>
      <c r="J294" s="914">
        <f t="shared" si="40"/>
        <v>0</v>
      </c>
      <c r="K294" s="919"/>
      <c r="L294" s="914">
        <f t="shared" si="41"/>
        <v>0</v>
      </c>
      <c r="M294" s="919"/>
      <c r="N294" s="914">
        <f t="shared" si="36"/>
        <v>0</v>
      </c>
      <c r="O294" s="914"/>
      <c r="P294" s="914">
        <f t="shared" si="37"/>
        <v>0</v>
      </c>
      <c r="Q294" s="914"/>
      <c r="R294" s="914">
        <f t="shared" si="42"/>
        <v>0</v>
      </c>
      <c r="S294" s="915">
        <f t="shared" si="43"/>
        <v>0</v>
      </c>
      <c r="T294" s="911">
        <f t="shared" si="44"/>
        <v>0</v>
      </c>
    </row>
    <row r="295" spans="1:20" ht="250.5" hidden="1" customHeight="1">
      <c r="A295" s="927"/>
      <c r="B295" s="906" t="s">
        <v>2047</v>
      </c>
      <c r="C295" s="921">
        <f>ROUND(DATA!K1000,2)</f>
        <v>5046.57</v>
      </c>
      <c r="D295" s="908" t="s">
        <v>1834</v>
      </c>
      <c r="E295" s="919"/>
      <c r="F295" s="1053">
        <f t="shared" si="38"/>
        <v>0</v>
      </c>
      <c r="G295" s="919"/>
      <c r="H295" s="914">
        <f t="shared" si="39"/>
        <v>0</v>
      </c>
      <c r="I295" s="919"/>
      <c r="J295" s="914">
        <f t="shared" si="40"/>
        <v>0</v>
      </c>
      <c r="K295" s="919"/>
      <c r="L295" s="914">
        <f t="shared" si="41"/>
        <v>0</v>
      </c>
      <c r="M295" s="919"/>
      <c r="N295" s="914">
        <f t="shared" si="36"/>
        <v>0</v>
      </c>
      <c r="O295" s="914"/>
      <c r="P295" s="914">
        <f t="shared" si="37"/>
        <v>0</v>
      </c>
      <c r="Q295" s="914"/>
      <c r="R295" s="914">
        <f t="shared" si="42"/>
        <v>0</v>
      </c>
      <c r="S295" s="915">
        <f t="shared" si="43"/>
        <v>0</v>
      </c>
      <c r="T295" s="911">
        <f t="shared" si="44"/>
        <v>0</v>
      </c>
    </row>
    <row r="296" spans="1:20" ht="250.5" hidden="1" customHeight="1">
      <c r="A296" s="931"/>
      <c r="B296" s="906" t="s">
        <v>2048</v>
      </c>
      <c r="C296" s="921">
        <f>ROUND(DATA!K1030,2)</f>
        <v>5071.24</v>
      </c>
      <c r="D296" s="908" t="s">
        <v>1834</v>
      </c>
      <c r="E296" s="919"/>
      <c r="F296" s="1053">
        <f t="shared" si="38"/>
        <v>0</v>
      </c>
      <c r="G296" s="919"/>
      <c r="H296" s="914">
        <f t="shared" si="39"/>
        <v>0</v>
      </c>
      <c r="I296" s="919"/>
      <c r="J296" s="914">
        <f t="shared" si="40"/>
        <v>0</v>
      </c>
      <c r="K296" s="919"/>
      <c r="L296" s="914">
        <f t="shared" si="41"/>
        <v>0</v>
      </c>
      <c r="M296" s="919"/>
      <c r="N296" s="914">
        <f t="shared" si="36"/>
        <v>0</v>
      </c>
      <c r="O296" s="914"/>
      <c r="P296" s="914">
        <f t="shared" si="37"/>
        <v>0</v>
      </c>
      <c r="Q296" s="914"/>
      <c r="R296" s="914">
        <f t="shared" si="42"/>
        <v>0</v>
      </c>
      <c r="S296" s="915">
        <f t="shared" si="43"/>
        <v>0</v>
      </c>
      <c r="T296" s="911">
        <f t="shared" si="44"/>
        <v>0</v>
      </c>
    </row>
    <row r="297" spans="1:20" ht="250.5" hidden="1" customHeight="1">
      <c r="A297" s="931"/>
      <c r="B297" s="906" t="s">
        <v>1669</v>
      </c>
      <c r="C297" s="921">
        <f>DATA!R2834</f>
        <v>6050.31</v>
      </c>
      <c r="D297" s="908" t="s">
        <v>1834</v>
      </c>
      <c r="E297" s="919"/>
      <c r="F297" s="1053">
        <f t="shared" si="38"/>
        <v>0</v>
      </c>
      <c r="G297" s="919"/>
      <c r="H297" s="914">
        <f t="shared" si="39"/>
        <v>0</v>
      </c>
      <c r="I297" s="919"/>
      <c r="J297" s="914">
        <f t="shared" si="40"/>
        <v>0</v>
      </c>
      <c r="K297" s="919"/>
      <c r="L297" s="914">
        <f t="shared" si="41"/>
        <v>0</v>
      </c>
      <c r="M297" s="919"/>
      <c r="N297" s="914">
        <f t="shared" si="36"/>
        <v>0</v>
      </c>
      <c r="O297" s="914"/>
      <c r="P297" s="914">
        <f t="shared" si="37"/>
        <v>0</v>
      </c>
      <c r="Q297" s="914"/>
      <c r="R297" s="914">
        <f t="shared" si="42"/>
        <v>0</v>
      </c>
      <c r="S297" s="915">
        <f t="shared" si="43"/>
        <v>0</v>
      </c>
      <c r="T297" s="911">
        <f t="shared" si="44"/>
        <v>0</v>
      </c>
    </row>
    <row r="298" spans="1:20" ht="250.5" hidden="1" customHeight="1">
      <c r="A298" s="905">
        <v>22.2</v>
      </c>
      <c r="B298" s="924" t="s">
        <v>476</v>
      </c>
      <c r="C298" s="921"/>
      <c r="D298" s="908"/>
      <c r="E298" s="919"/>
      <c r="F298" s="1053">
        <f t="shared" si="38"/>
        <v>0</v>
      </c>
      <c r="G298" s="919"/>
      <c r="H298" s="914">
        <f t="shared" si="39"/>
        <v>0</v>
      </c>
      <c r="I298" s="919"/>
      <c r="J298" s="914">
        <f t="shared" si="40"/>
        <v>0</v>
      </c>
      <c r="K298" s="919"/>
      <c r="L298" s="914">
        <f t="shared" si="41"/>
        <v>0</v>
      </c>
      <c r="M298" s="919"/>
      <c r="N298" s="914">
        <f t="shared" si="36"/>
        <v>0</v>
      </c>
      <c r="O298" s="914"/>
      <c r="P298" s="914">
        <f t="shared" si="37"/>
        <v>0</v>
      </c>
      <c r="Q298" s="914"/>
      <c r="R298" s="914">
        <f t="shared" si="42"/>
        <v>0</v>
      </c>
      <c r="S298" s="915">
        <f t="shared" si="43"/>
        <v>0</v>
      </c>
      <c r="T298" s="911">
        <f t="shared" si="44"/>
        <v>0</v>
      </c>
    </row>
    <row r="299" spans="1:20" ht="250.5" hidden="1" customHeight="1">
      <c r="A299" s="927"/>
      <c r="B299" s="906" t="s">
        <v>1362</v>
      </c>
      <c r="C299" s="921">
        <f>ROUND(DATA!K1081,2)</f>
        <v>3597.23</v>
      </c>
      <c r="D299" s="908" t="s">
        <v>1834</v>
      </c>
      <c r="E299" s="919"/>
      <c r="F299" s="1053">
        <f t="shared" si="38"/>
        <v>0</v>
      </c>
      <c r="G299" s="919"/>
      <c r="H299" s="914">
        <f t="shared" si="39"/>
        <v>0</v>
      </c>
      <c r="I299" s="919"/>
      <c r="J299" s="914">
        <f t="shared" si="40"/>
        <v>0</v>
      </c>
      <c r="K299" s="919"/>
      <c r="L299" s="914">
        <f t="shared" si="41"/>
        <v>0</v>
      </c>
      <c r="M299" s="919"/>
      <c r="N299" s="914">
        <f t="shared" si="36"/>
        <v>0</v>
      </c>
      <c r="O299" s="914"/>
      <c r="P299" s="914">
        <f t="shared" si="37"/>
        <v>0</v>
      </c>
      <c r="Q299" s="914"/>
      <c r="R299" s="914">
        <f t="shared" si="42"/>
        <v>0</v>
      </c>
      <c r="S299" s="915">
        <f t="shared" si="43"/>
        <v>0</v>
      </c>
      <c r="T299" s="911">
        <f t="shared" si="44"/>
        <v>0</v>
      </c>
    </row>
    <row r="300" spans="1:20" ht="250.5" hidden="1" customHeight="1">
      <c r="A300" s="927"/>
      <c r="B300" s="906" t="s">
        <v>267</v>
      </c>
      <c r="C300" s="921"/>
      <c r="D300" s="908" t="s">
        <v>1834</v>
      </c>
      <c r="E300" s="919"/>
      <c r="F300" s="1053">
        <f t="shared" si="38"/>
        <v>0</v>
      </c>
      <c r="G300" s="919"/>
      <c r="H300" s="914">
        <f t="shared" si="39"/>
        <v>0</v>
      </c>
      <c r="I300" s="919"/>
      <c r="J300" s="914">
        <f t="shared" si="40"/>
        <v>0</v>
      </c>
      <c r="K300" s="919"/>
      <c r="L300" s="914">
        <f t="shared" si="41"/>
        <v>0</v>
      </c>
      <c r="M300" s="919"/>
      <c r="N300" s="914">
        <f t="shared" si="36"/>
        <v>0</v>
      </c>
      <c r="O300" s="914"/>
      <c r="P300" s="914">
        <f t="shared" si="37"/>
        <v>0</v>
      </c>
      <c r="Q300" s="914"/>
      <c r="R300" s="914">
        <f t="shared" si="42"/>
        <v>0</v>
      </c>
      <c r="S300" s="915">
        <f t="shared" si="43"/>
        <v>0</v>
      </c>
      <c r="T300" s="911">
        <f t="shared" si="44"/>
        <v>0</v>
      </c>
    </row>
    <row r="301" spans="1:20" ht="250.5" hidden="1" customHeight="1">
      <c r="A301" s="927"/>
      <c r="B301" s="906" t="s">
        <v>268</v>
      </c>
      <c r="C301" s="921">
        <f>ROUND(DATA!K1097,2)</f>
        <v>3796.08</v>
      </c>
      <c r="D301" s="908" t="s">
        <v>1834</v>
      </c>
      <c r="E301" s="919"/>
      <c r="F301" s="1053">
        <f t="shared" si="38"/>
        <v>0</v>
      </c>
      <c r="G301" s="919"/>
      <c r="H301" s="914">
        <f t="shared" si="39"/>
        <v>0</v>
      </c>
      <c r="I301" s="919"/>
      <c r="J301" s="914">
        <f t="shared" si="40"/>
        <v>0</v>
      </c>
      <c r="K301" s="919"/>
      <c r="L301" s="914">
        <f t="shared" si="41"/>
        <v>0</v>
      </c>
      <c r="M301" s="919"/>
      <c r="N301" s="914">
        <f t="shared" si="36"/>
        <v>0</v>
      </c>
      <c r="O301" s="914"/>
      <c r="P301" s="914">
        <f t="shared" si="37"/>
        <v>0</v>
      </c>
      <c r="Q301" s="914"/>
      <c r="R301" s="914">
        <f t="shared" si="42"/>
        <v>0</v>
      </c>
      <c r="S301" s="915">
        <f t="shared" si="43"/>
        <v>0</v>
      </c>
      <c r="T301" s="911">
        <f t="shared" si="44"/>
        <v>0</v>
      </c>
    </row>
    <row r="302" spans="1:20" ht="250.5" hidden="1" customHeight="1">
      <c r="A302" s="931"/>
      <c r="B302" s="906" t="s">
        <v>269</v>
      </c>
      <c r="C302" s="921">
        <f>ROUND(DATA!K1112,2)</f>
        <v>2804.85</v>
      </c>
      <c r="D302" s="908" t="s">
        <v>1834</v>
      </c>
      <c r="E302" s="919"/>
      <c r="F302" s="1053">
        <f t="shared" si="38"/>
        <v>0</v>
      </c>
      <c r="G302" s="919"/>
      <c r="H302" s="914">
        <f t="shared" si="39"/>
        <v>0</v>
      </c>
      <c r="I302" s="919"/>
      <c r="J302" s="914">
        <f t="shared" si="40"/>
        <v>0</v>
      </c>
      <c r="K302" s="919"/>
      <c r="L302" s="914">
        <f t="shared" si="41"/>
        <v>0</v>
      </c>
      <c r="M302" s="919"/>
      <c r="N302" s="914">
        <f t="shared" si="36"/>
        <v>0</v>
      </c>
      <c r="O302" s="914"/>
      <c r="P302" s="914">
        <f t="shared" si="37"/>
        <v>0</v>
      </c>
      <c r="Q302" s="914"/>
      <c r="R302" s="914">
        <f t="shared" si="42"/>
        <v>0</v>
      </c>
      <c r="S302" s="915">
        <f t="shared" si="43"/>
        <v>0</v>
      </c>
      <c r="T302" s="911">
        <f t="shared" si="44"/>
        <v>0</v>
      </c>
    </row>
    <row r="303" spans="1:20" ht="250.5" hidden="1" customHeight="1">
      <c r="A303" s="905">
        <v>22.3</v>
      </c>
      <c r="B303" s="906" t="s">
        <v>1965</v>
      </c>
      <c r="C303" s="921"/>
      <c r="D303" s="908" t="s">
        <v>1834</v>
      </c>
      <c r="E303" s="919"/>
      <c r="F303" s="1053">
        <f t="shared" si="38"/>
        <v>0</v>
      </c>
      <c r="G303" s="919"/>
      <c r="H303" s="914">
        <f t="shared" si="39"/>
        <v>0</v>
      </c>
      <c r="I303" s="919"/>
      <c r="J303" s="914">
        <f t="shared" si="40"/>
        <v>0</v>
      </c>
      <c r="K303" s="919"/>
      <c r="L303" s="914">
        <f t="shared" si="41"/>
        <v>0</v>
      </c>
      <c r="M303" s="919"/>
      <c r="N303" s="914">
        <f t="shared" si="36"/>
        <v>0</v>
      </c>
      <c r="O303" s="914"/>
      <c r="P303" s="914">
        <f t="shared" si="37"/>
        <v>0</v>
      </c>
      <c r="Q303" s="914"/>
      <c r="R303" s="914">
        <f t="shared" si="42"/>
        <v>0</v>
      </c>
      <c r="S303" s="915">
        <f t="shared" si="43"/>
        <v>0</v>
      </c>
      <c r="T303" s="911">
        <f t="shared" si="44"/>
        <v>0</v>
      </c>
    </row>
    <row r="304" spans="1:20" ht="250.5" hidden="1" customHeight="1">
      <c r="A304" s="905">
        <v>23.1</v>
      </c>
      <c r="B304" s="906" t="s">
        <v>1</v>
      </c>
      <c r="C304" s="921"/>
      <c r="D304" s="908" t="s">
        <v>1834</v>
      </c>
      <c r="E304" s="919"/>
      <c r="F304" s="1053">
        <f t="shared" ref="F304:F326" si="45">E304*C304</f>
        <v>0</v>
      </c>
      <c r="G304" s="919"/>
      <c r="H304" s="914">
        <f t="shared" si="39"/>
        <v>0</v>
      </c>
      <c r="I304" s="919"/>
      <c r="J304" s="914">
        <f t="shared" si="40"/>
        <v>0</v>
      </c>
      <c r="K304" s="919"/>
      <c r="L304" s="914">
        <f t="shared" si="41"/>
        <v>0</v>
      </c>
      <c r="M304" s="919"/>
      <c r="N304" s="914">
        <f t="shared" si="36"/>
        <v>0</v>
      </c>
      <c r="O304" s="914"/>
      <c r="P304" s="914">
        <f t="shared" si="37"/>
        <v>0</v>
      </c>
      <c r="Q304" s="914"/>
      <c r="R304" s="914">
        <f t="shared" si="42"/>
        <v>0</v>
      </c>
      <c r="S304" s="915">
        <f t="shared" si="43"/>
        <v>0</v>
      </c>
      <c r="T304" s="911">
        <f t="shared" si="44"/>
        <v>0</v>
      </c>
    </row>
    <row r="305" spans="1:114" ht="250.5" hidden="1" customHeight="1">
      <c r="A305" s="931"/>
      <c r="B305" s="906" t="s">
        <v>570</v>
      </c>
      <c r="C305" s="921">
        <f>ROUND(DATA!K1066,2)</f>
        <v>3632.18</v>
      </c>
      <c r="D305" s="908" t="s">
        <v>1834</v>
      </c>
      <c r="E305" s="919"/>
      <c r="F305" s="1053">
        <f t="shared" si="45"/>
        <v>0</v>
      </c>
      <c r="G305" s="919"/>
      <c r="H305" s="914">
        <f t="shared" si="39"/>
        <v>0</v>
      </c>
      <c r="I305" s="919"/>
      <c r="J305" s="914">
        <f t="shared" si="40"/>
        <v>0</v>
      </c>
      <c r="K305" s="919"/>
      <c r="L305" s="914">
        <f t="shared" si="41"/>
        <v>0</v>
      </c>
      <c r="M305" s="919"/>
      <c r="N305" s="914">
        <f t="shared" si="36"/>
        <v>0</v>
      </c>
      <c r="O305" s="914"/>
      <c r="P305" s="914">
        <f t="shared" si="37"/>
        <v>0</v>
      </c>
      <c r="Q305" s="914"/>
      <c r="R305" s="914">
        <f t="shared" si="42"/>
        <v>0</v>
      </c>
      <c r="S305" s="915">
        <f t="shared" si="43"/>
        <v>0</v>
      </c>
      <c r="T305" s="911">
        <f t="shared" si="44"/>
        <v>0</v>
      </c>
    </row>
    <row r="306" spans="1:114" ht="250.5" hidden="1" customHeight="1">
      <c r="A306" s="905">
        <v>23.2</v>
      </c>
      <c r="B306" s="906" t="s">
        <v>1702</v>
      </c>
      <c r="C306" s="921">
        <f>ROUND(DATA!K1185,2)</f>
        <v>835.7</v>
      </c>
      <c r="D306" s="908" t="s">
        <v>1834</v>
      </c>
      <c r="E306" s="919"/>
      <c r="F306" s="1053">
        <f t="shared" si="45"/>
        <v>0</v>
      </c>
      <c r="G306" s="919"/>
      <c r="H306" s="914">
        <f t="shared" si="39"/>
        <v>0</v>
      </c>
      <c r="I306" s="919"/>
      <c r="J306" s="914">
        <f t="shared" si="40"/>
        <v>0</v>
      </c>
      <c r="K306" s="919"/>
      <c r="L306" s="914">
        <f t="shared" si="41"/>
        <v>0</v>
      </c>
      <c r="M306" s="919"/>
      <c r="N306" s="914">
        <f t="shared" si="36"/>
        <v>0</v>
      </c>
      <c r="O306" s="914"/>
      <c r="P306" s="914">
        <f t="shared" si="37"/>
        <v>0</v>
      </c>
      <c r="Q306" s="914"/>
      <c r="R306" s="914">
        <f t="shared" si="42"/>
        <v>0</v>
      </c>
      <c r="S306" s="915">
        <f t="shared" si="43"/>
        <v>0</v>
      </c>
      <c r="T306" s="911">
        <f t="shared" si="44"/>
        <v>0</v>
      </c>
    </row>
    <row r="307" spans="1:114" s="923" customFormat="1" ht="138" customHeight="1">
      <c r="A307" s="905">
        <v>23.3</v>
      </c>
      <c r="B307" s="906" t="s">
        <v>569</v>
      </c>
      <c r="C307" s="913">
        <f>DATA!K1170</f>
        <v>52</v>
      </c>
      <c r="D307" s="908" t="s">
        <v>1393</v>
      </c>
      <c r="E307" s="914">
        <f>DSP!H534</f>
        <v>14</v>
      </c>
      <c r="F307" s="1053">
        <f t="shared" si="45"/>
        <v>728</v>
      </c>
      <c r="G307" s="914"/>
      <c r="H307" s="914">
        <f t="shared" si="39"/>
        <v>0</v>
      </c>
      <c r="I307" s="914"/>
      <c r="J307" s="914">
        <f t="shared" si="40"/>
        <v>0</v>
      </c>
      <c r="K307" s="914"/>
      <c r="L307" s="914">
        <f t="shared" si="41"/>
        <v>0</v>
      </c>
      <c r="M307" s="914"/>
      <c r="N307" s="914">
        <f t="shared" si="36"/>
        <v>0</v>
      </c>
      <c r="O307" s="914"/>
      <c r="P307" s="914">
        <f t="shared" si="37"/>
        <v>0</v>
      </c>
      <c r="Q307" s="914"/>
      <c r="R307" s="914">
        <f t="shared" si="42"/>
        <v>0</v>
      </c>
      <c r="S307" s="915">
        <f t="shared" si="43"/>
        <v>14</v>
      </c>
      <c r="T307" s="911">
        <f t="shared" si="44"/>
        <v>728</v>
      </c>
      <c r="U307" s="1170"/>
      <c r="V307" s="1170"/>
      <c r="W307" s="1170"/>
      <c r="X307" s="1170"/>
      <c r="Y307" s="1170"/>
      <c r="Z307" s="1170"/>
      <c r="AA307" s="1170"/>
      <c r="AB307" s="1170"/>
      <c r="AC307" s="1170"/>
      <c r="AD307" s="1170"/>
      <c r="AE307" s="1170"/>
      <c r="AF307" s="1170"/>
      <c r="AG307" s="1170"/>
      <c r="AH307" s="1170"/>
      <c r="AI307" s="1170"/>
      <c r="AJ307" s="1170"/>
      <c r="AK307" s="1170"/>
      <c r="AL307" s="1170"/>
      <c r="AM307" s="1170"/>
      <c r="AN307" s="1170"/>
      <c r="AO307" s="1170"/>
      <c r="AP307" s="1170"/>
      <c r="AQ307" s="1170"/>
      <c r="AR307" s="1170"/>
      <c r="AS307" s="1170"/>
      <c r="AT307" s="1170"/>
      <c r="AU307" s="1170"/>
      <c r="AV307" s="1170"/>
      <c r="AW307" s="1170"/>
      <c r="AX307" s="1170"/>
      <c r="AY307" s="1170"/>
      <c r="AZ307" s="1170"/>
      <c r="BA307" s="1170"/>
      <c r="BB307" s="1170"/>
      <c r="BC307" s="1170"/>
      <c r="BD307" s="1170"/>
      <c r="BE307" s="1170"/>
      <c r="BF307" s="1170"/>
      <c r="BG307" s="1170"/>
      <c r="BH307" s="1170"/>
      <c r="BI307" s="1170"/>
      <c r="BJ307" s="1170"/>
      <c r="BK307" s="1170"/>
      <c r="BL307" s="1170"/>
      <c r="BM307" s="1170"/>
      <c r="BN307" s="1170"/>
      <c r="BO307" s="1170"/>
      <c r="BP307" s="1170"/>
      <c r="BQ307" s="1170"/>
      <c r="BR307" s="1170"/>
      <c r="BS307" s="1170"/>
      <c r="BT307" s="1170"/>
      <c r="BU307" s="1170"/>
      <c r="BV307" s="1170"/>
      <c r="BW307" s="1170"/>
      <c r="BX307" s="1170"/>
      <c r="BY307" s="1170"/>
      <c r="BZ307" s="1170"/>
      <c r="CA307" s="1170"/>
      <c r="CB307" s="1170"/>
      <c r="CC307" s="1170"/>
      <c r="CD307" s="1170"/>
      <c r="CE307" s="1170"/>
      <c r="CF307" s="1170"/>
      <c r="CG307" s="1170"/>
      <c r="CH307" s="1170"/>
      <c r="CI307" s="1170"/>
      <c r="CJ307" s="1170"/>
      <c r="CK307" s="1170"/>
      <c r="CL307" s="1170"/>
      <c r="CM307" s="1170"/>
      <c r="CN307" s="1170"/>
      <c r="CO307" s="1170"/>
      <c r="CP307" s="1170"/>
      <c r="CQ307" s="1170"/>
      <c r="CR307" s="1170"/>
      <c r="CS307" s="1170"/>
      <c r="CT307" s="1170"/>
      <c r="CU307" s="1170"/>
      <c r="CV307" s="1170"/>
      <c r="CW307" s="1170"/>
      <c r="CX307" s="1170"/>
      <c r="CY307" s="1170"/>
      <c r="CZ307" s="1170"/>
      <c r="DA307" s="1170"/>
      <c r="DB307" s="1170"/>
      <c r="DC307" s="1170"/>
      <c r="DD307" s="1170"/>
      <c r="DE307" s="1170"/>
      <c r="DF307" s="1170"/>
      <c r="DG307" s="1170"/>
      <c r="DH307" s="1170"/>
      <c r="DI307" s="1170"/>
      <c r="DJ307" s="1170"/>
    </row>
    <row r="308" spans="1:114" ht="250.5" hidden="1" customHeight="1">
      <c r="A308" s="905">
        <v>23.4</v>
      </c>
      <c r="B308" s="906" t="s">
        <v>1692</v>
      </c>
      <c r="C308" s="921"/>
      <c r="D308" s="908"/>
      <c r="E308" s="919"/>
      <c r="F308" s="1053">
        <f t="shared" si="45"/>
        <v>0</v>
      </c>
      <c r="G308" s="919"/>
      <c r="H308" s="914">
        <f t="shared" si="39"/>
        <v>0</v>
      </c>
      <c r="I308" s="919"/>
      <c r="J308" s="914">
        <f t="shared" si="40"/>
        <v>0</v>
      </c>
      <c r="K308" s="919"/>
      <c r="L308" s="914">
        <f t="shared" si="41"/>
        <v>0</v>
      </c>
      <c r="M308" s="919"/>
      <c r="N308" s="914">
        <f t="shared" si="36"/>
        <v>0</v>
      </c>
      <c r="O308" s="914"/>
      <c r="P308" s="914">
        <f t="shared" si="37"/>
        <v>0</v>
      </c>
      <c r="Q308" s="914"/>
      <c r="R308" s="914">
        <f t="shared" si="42"/>
        <v>0</v>
      </c>
      <c r="S308" s="915">
        <f t="shared" si="43"/>
        <v>0</v>
      </c>
      <c r="T308" s="911">
        <f t="shared" si="44"/>
        <v>0</v>
      </c>
    </row>
    <row r="309" spans="1:114" ht="250.5" hidden="1" customHeight="1">
      <c r="A309" s="927"/>
      <c r="B309" s="906" t="s">
        <v>416</v>
      </c>
      <c r="C309" s="921">
        <f>DATA!X1399</f>
        <v>16131.07</v>
      </c>
      <c r="D309" s="908" t="s">
        <v>1393</v>
      </c>
      <c r="E309" s="919"/>
      <c r="F309" s="1053">
        <f t="shared" si="45"/>
        <v>0</v>
      </c>
      <c r="G309" s="919"/>
      <c r="H309" s="914">
        <f t="shared" si="39"/>
        <v>0</v>
      </c>
      <c r="I309" s="919"/>
      <c r="J309" s="914">
        <f t="shared" si="40"/>
        <v>0</v>
      </c>
      <c r="K309" s="919"/>
      <c r="L309" s="914">
        <f t="shared" si="41"/>
        <v>0</v>
      </c>
      <c r="M309" s="919"/>
      <c r="N309" s="914">
        <f t="shared" si="36"/>
        <v>0</v>
      </c>
      <c r="O309" s="914"/>
      <c r="P309" s="914">
        <f t="shared" si="37"/>
        <v>0</v>
      </c>
      <c r="Q309" s="914"/>
      <c r="R309" s="914">
        <f t="shared" si="42"/>
        <v>0</v>
      </c>
      <c r="S309" s="915">
        <f t="shared" si="43"/>
        <v>0</v>
      </c>
      <c r="T309" s="911">
        <f t="shared" si="44"/>
        <v>0</v>
      </c>
    </row>
    <row r="310" spans="1:114" ht="250.5" hidden="1" customHeight="1">
      <c r="A310" s="927"/>
      <c r="B310" s="906" t="s">
        <v>417</v>
      </c>
      <c r="C310" s="921">
        <f>DATA!R1404</f>
        <v>12157.16</v>
      </c>
      <c r="D310" s="908" t="s">
        <v>1393</v>
      </c>
      <c r="E310" s="919"/>
      <c r="F310" s="1053">
        <f t="shared" si="45"/>
        <v>0</v>
      </c>
      <c r="G310" s="919"/>
      <c r="H310" s="914">
        <f t="shared" si="39"/>
        <v>0</v>
      </c>
      <c r="I310" s="919"/>
      <c r="J310" s="914">
        <f t="shared" si="40"/>
        <v>0</v>
      </c>
      <c r="K310" s="919"/>
      <c r="L310" s="914">
        <f t="shared" si="41"/>
        <v>0</v>
      </c>
      <c r="M310" s="919"/>
      <c r="N310" s="914">
        <f t="shared" si="36"/>
        <v>0</v>
      </c>
      <c r="O310" s="914"/>
      <c r="P310" s="914">
        <f t="shared" si="37"/>
        <v>0</v>
      </c>
      <c r="Q310" s="914"/>
      <c r="R310" s="914">
        <f t="shared" si="42"/>
        <v>0</v>
      </c>
      <c r="S310" s="915">
        <f t="shared" si="43"/>
        <v>0</v>
      </c>
      <c r="T310" s="911">
        <f t="shared" si="44"/>
        <v>0</v>
      </c>
    </row>
    <row r="311" spans="1:114" ht="250.5" hidden="1" customHeight="1">
      <c r="A311" s="927"/>
      <c r="B311" s="906" t="s">
        <v>178</v>
      </c>
      <c r="C311" s="921">
        <f>DATA!X1365</f>
        <v>10349.34</v>
      </c>
      <c r="D311" s="908" t="s">
        <v>1393</v>
      </c>
      <c r="E311" s="919"/>
      <c r="F311" s="1053">
        <f t="shared" si="45"/>
        <v>0</v>
      </c>
      <c r="G311" s="919"/>
      <c r="H311" s="914">
        <f t="shared" si="39"/>
        <v>0</v>
      </c>
      <c r="I311" s="919"/>
      <c r="J311" s="914">
        <f t="shared" si="40"/>
        <v>0</v>
      </c>
      <c r="K311" s="919"/>
      <c r="L311" s="914">
        <f t="shared" si="41"/>
        <v>0</v>
      </c>
      <c r="M311" s="919"/>
      <c r="N311" s="914">
        <f t="shared" si="36"/>
        <v>0</v>
      </c>
      <c r="O311" s="914"/>
      <c r="P311" s="914">
        <f t="shared" si="37"/>
        <v>0</v>
      </c>
      <c r="Q311" s="914"/>
      <c r="R311" s="914">
        <f t="shared" si="42"/>
        <v>0</v>
      </c>
      <c r="S311" s="915">
        <f t="shared" si="43"/>
        <v>0</v>
      </c>
      <c r="T311" s="911">
        <f t="shared" si="44"/>
        <v>0</v>
      </c>
    </row>
    <row r="312" spans="1:114" ht="250.5" hidden="1" customHeight="1">
      <c r="A312" s="927"/>
      <c r="B312" s="906" t="s">
        <v>360</v>
      </c>
      <c r="C312" s="921">
        <f>DATA!R1421</f>
        <v>9698.5400000000009</v>
      </c>
      <c r="D312" s="908" t="s">
        <v>1393</v>
      </c>
      <c r="E312" s="919"/>
      <c r="F312" s="1053">
        <f t="shared" si="45"/>
        <v>0</v>
      </c>
      <c r="G312" s="919"/>
      <c r="H312" s="914">
        <f t="shared" si="39"/>
        <v>0</v>
      </c>
      <c r="I312" s="919"/>
      <c r="J312" s="914">
        <f t="shared" si="40"/>
        <v>0</v>
      </c>
      <c r="K312" s="919"/>
      <c r="L312" s="914">
        <f t="shared" si="41"/>
        <v>0</v>
      </c>
      <c r="M312" s="919"/>
      <c r="N312" s="914">
        <f t="shared" si="36"/>
        <v>0</v>
      </c>
      <c r="O312" s="914"/>
      <c r="P312" s="914">
        <f t="shared" si="37"/>
        <v>0</v>
      </c>
      <c r="Q312" s="914"/>
      <c r="R312" s="914">
        <f t="shared" si="42"/>
        <v>0</v>
      </c>
      <c r="S312" s="915">
        <f t="shared" si="43"/>
        <v>0</v>
      </c>
      <c r="T312" s="911">
        <f t="shared" si="44"/>
        <v>0</v>
      </c>
    </row>
    <row r="313" spans="1:114" ht="250.5" hidden="1" customHeight="1">
      <c r="A313" s="927"/>
      <c r="B313" s="906" t="s">
        <v>2042</v>
      </c>
      <c r="C313" s="921">
        <f>DATA!X1463</f>
        <v>8046.21</v>
      </c>
      <c r="D313" s="908" t="s">
        <v>1393</v>
      </c>
      <c r="E313" s="919"/>
      <c r="F313" s="1053">
        <f t="shared" si="45"/>
        <v>0</v>
      </c>
      <c r="G313" s="919"/>
      <c r="H313" s="914">
        <f t="shared" si="39"/>
        <v>0</v>
      </c>
      <c r="I313" s="919"/>
      <c r="J313" s="914">
        <f t="shared" si="40"/>
        <v>0</v>
      </c>
      <c r="K313" s="919"/>
      <c r="L313" s="914">
        <f t="shared" si="41"/>
        <v>0</v>
      </c>
      <c r="M313" s="919"/>
      <c r="N313" s="914">
        <f t="shared" si="36"/>
        <v>0</v>
      </c>
      <c r="O313" s="914"/>
      <c r="P313" s="914">
        <f t="shared" si="37"/>
        <v>0</v>
      </c>
      <c r="Q313" s="914"/>
      <c r="R313" s="914">
        <f t="shared" si="42"/>
        <v>0</v>
      </c>
      <c r="S313" s="915">
        <f t="shared" si="43"/>
        <v>0</v>
      </c>
      <c r="T313" s="911">
        <f t="shared" si="44"/>
        <v>0</v>
      </c>
    </row>
    <row r="314" spans="1:114" ht="250.5" hidden="1" customHeight="1">
      <c r="A314" s="927"/>
      <c r="B314" s="906" t="s">
        <v>2043</v>
      </c>
      <c r="C314" s="921">
        <f>DATA!AD1380</f>
        <v>8939.34</v>
      </c>
      <c r="D314" s="908" t="s">
        <v>1393</v>
      </c>
      <c r="E314" s="919"/>
      <c r="F314" s="1053">
        <f t="shared" si="45"/>
        <v>0</v>
      </c>
      <c r="G314" s="919"/>
      <c r="H314" s="914">
        <f t="shared" si="39"/>
        <v>0</v>
      </c>
      <c r="I314" s="919"/>
      <c r="J314" s="914">
        <f t="shared" si="40"/>
        <v>0</v>
      </c>
      <c r="K314" s="919"/>
      <c r="L314" s="914">
        <f t="shared" si="41"/>
        <v>0</v>
      </c>
      <c r="M314" s="919"/>
      <c r="N314" s="914">
        <f t="shared" si="36"/>
        <v>0</v>
      </c>
      <c r="O314" s="914"/>
      <c r="P314" s="914">
        <f t="shared" si="37"/>
        <v>0</v>
      </c>
      <c r="Q314" s="914"/>
      <c r="R314" s="914">
        <f t="shared" si="42"/>
        <v>0</v>
      </c>
      <c r="S314" s="915">
        <f t="shared" si="43"/>
        <v>0</v>
      </c>
      <c r="T314" s="911">
        <f t="shared" si="44"/>
        <v>0</v>
      </c>
    </row>
    <row r="315" spans="1:114" ht="250.5" hidden="1" customHeight="1">
      <c r="A315" s="927"/>
      <c r="B315" s="906" t="s">
        <v>1322</v>
      </c>
      <c r="C315" s="921">
        <f>DATA!X1382</f>
        <v>8175.11</v>
      </c>
      <c r="D315" s="908" t="s">
        <v>1393</v>
      </c>
      <c r="E315" s="919"/>
      <c r="F315" s="1053">
        <f t="shared" si="45"/>
        <v>0</v>
      </c>
      <c r="G315" s="919"/>
      <c r="H315" s="914">
        <f t="shared" si="39"/>
        <v>0</v>
      </c>
      <c r="I315" s="919"/>
      <c r="J315" s="914">
        <f t="shared" si="40"/>
        <v>0</v>
      </c>
      <c r="K315" s="919"/>
      <c r="L315" s="914">
        <f t="shared" si="41"/>
        <v>0</v>
      </c>
      <c r="M315" s="919"/>
      <c r="N315" s="914">
        <f t="shared" si="36"/>
        <v>0</v>
      </c>
      <c r="O315" s="914"/>
      <c r="P315" s="914">
        <f t="shared" si="37"/>
        <v>0</v>
      </c>
      <c r="Q315" s="914"/>
      <c r="R315" s="914">
        <f t="shared" si="42"/>
        <v>0</v>
      </c>
      <c r="S315" s="915">
        <f t="shared" si="43"/>
        <v>0</v>
      </c>
      <c r="T315" s="911">
        <f t="shared" si="44"/>
        <v>0</v>
      </c>
    </row>
    <row r="316" spans="1:114" ht="250.5" hidden="1" customHeight="1">
      <c r="A316" s="927"/>
      <c r="B316" s="906" t="s">
        <v>1323</v>
      </c>
      <c r="C316" s="921">
        <f>DATA!AD1363</f>
        <v>6960.5</v>
      </c>
      <c r="D316" s="908" t="s">
        <v>1393</v>
      </c>
      <c r="E316" s="919"/>
      <c r="F316" s="1053">
        <f t="shared" si="45"/>
        <v>0</v>
      </c>
      <c r="G316" s="919"/>
      <c r="H316" s="914">
        <f t="shared" si="39"/>
        <v>0</v>
      </c>
      <c r="I316" s="919"/>
      <c r="J316" s="914">
        <f t="shared" si="40"/>
        <v>0</v>
      </c>
      <c r="K316" s="919"/>
      <c r="L316" s="914">
        <f t="shared" si="41"/>
        <v>0</v>
      </c>
      <c r="M316" s="919"/>
      <c r="N316" s="914">
        <f t="shared" si="36"/>
        <v>0</v>
      </c>
      <c r="O316" s="914"/>
      <c r="P316" s="914">
        <f t="shared" si="37"/>
        <v>0</v>
      </c>
      <c r="Q316" s="914"/>
      <c r="R316" s="914">
        <f t="shared" si="42"/>
        <v>0</v>
      </c>
      <c r="S316" s="915">
        <f t="shared" si="43"/>
        <v>0</v>
      </c>
      <c r="T316" s="911">
        <f t="shared" si="44"/>
        <v>0</v>
      </c>
    </row>
    <row r="317" spans="1:114" ht="250.5" hidden="1" customHeight="1">
      <c r="A317" s="927"/>
      <c r="B317" s="906" t="s">
        <v>165</v>
      </c>
      <c r="C317" s="921">
        <f>DATA!AD1397</f>
        <v>4449.66</v>
      </c>
      <c r="D317" s="908" t="s">
        <v>1393</v>
      </c>
      <c r="E317" s="919"/>
      <c r="F317" s="1053">
        <f t="shared" si="45"/>
        <v>0</v>
      </c>
      <c r="G317" s="919"/>
      <c r="H317" s="914">
        <f t="shared" si="39"/>
        <v>0</v>
      </c>
      <c r="I317" s="919"/>
      <c r="J317" s="914">
        <f t="shared" si="40"/>
        <v>0</v>
      </c>
      <c r="K317" s="919"/>
      <c r="L317" s="914">
        <f t="shared" si="41"/>
        <v>0</v>
      </c>
      <c r="M317" s="919"/>
      <c r="N317" s="914">
        <f t="shared" si="36"/>
        <v>0</v>
      </c>
      <c r="O317" s="914"/>
      <c r="P317" s="914">
        <f t="shared" si="37"/>
        <v>0</v>
      </c>
      <c r="Q317" s="914"/>
      <c r="R317" s="914">
        <f t="shared" si="42"/>
        <v>0</v>
      </c>
      <c r="S317" s="915">
        <f t="shared" si="43"/>
        <v>0</v>
      </c>
      <c r="T317" s="911">
        <f t="shared" si="44"/>
        <v>0</v>
      </c>
    </row>
    <row r="318" spans="1:114" ht="250.5" hidden="1" customHeight="1">
      <c r="A318" s="927"/>
      <c r="B318" s="906" t="s">
        <v>166</v>
      </c>
      <c r="C318" s="921">
        <f>DATA!R1438</f>
        <v>4196.8900000000003</v>
      </c>
      <c r="D318" s="908" t="s">
        <v>1393</v>
      </c>
      <c r="E318" s="919"/>
      <c r="F318" s="1053">
        <f t="shared" si="45"/>
        <v>0</v>
      </c>
      <c r="G318" s="919"/>
      <c r="H318" s="914">
        <f t="shared" si="39"/>
        <v>0</v>
      </c>
      <c r="I318" s="919"/>
      <c r="J318" s="914">
        <f t="shared" si="40"/>
        <v>0</v>
      </c>
      <c r="K318" s="919"/>
      <c r="L318" s="914">
        <f t="shared" si="41"/>
        <v>0</v>
      </c>
      <c r="M318" s="919"/>
      <c r="N318" s="914">
        <f t="shared" si="36"/>
        <v>0</v>
      </c>
      <c r="O318" s="914"/>
      <c r="P318" s="914">
        <f t="shared" si="37"/>
        <v>0</v>
      </c>
      <c r="Q318" s="914"/>
      <c r="R318" s="914">
        <f t="shared" si="42"/>
        <v>0</v>
      </c>
      <c r="S318" s="915">
        <f t="shared" si="43"/>
        <v>0</v>
      </c>
      <c r="T318" s="911">
        <f t="shared" si="44"/>
        <v>0</v>
      </c>
    </row>
    <row r="319" spans="1:114" ht="250.5" hidden="1" customHeight="1">
      <c r="A319" s="927"/>
      <c r="B319" s="906" t="s">
        <v>2020</v>
      </c>
      <c r="C319" s="921">
        <f>DATA!R1479</f>
        <v>5115.5600000000004</v>
      </c>
      <c r="D319" s="908" t="s">
        <v>1393</v>
      </c>
      <c r="E319" s="919"/>
      <c r="F319" s="1053">
        <f t="shared" si="45"/>
        <v>0</v>
      </c>
      <c r="G319" s="919"/>
      <c r="H319" s="914">
        <f t="shared" si="39"/>
        <v>0</v>
      </c>
      <c r="I319" s="919"/>
      <c r="J319" s="914">
        <f t="shared" si="40"/>
        <v>0</v>
      </c>
      <c r="K319" s="919"/>
      <c r="L319" s="914">
        <f t="shared" si="41"/>
        <v>0</v>
      </c>
      <c r="M319" s="919"/>
      <c r="N319" s="914">
        <f t="shared" si="36"/>
        <v>0</v>
      </c>
      <c r="O319" s="914"/>
      <c r="P319" s="914">
        <f t="shared" si="37"/>
        <v>0</v>
      </c>
      <c r="Q319" s="914"/>
      <c r="R319" s="914">
        <f t="shared" si="42"/>
        <v>0</v>
      </c>
      <c r="S319" s="915">
        <f t="shared" si="43"/>
        <v>0</v>
      </c>
      <c r="T319" s="911">
        <f t="shared" si="44"/>
        <v>0</v>
      </c>
    </row>
    <row r="320" spans="1:114" ht="250.5" hidden="1" customHeight="1">
      <c r="A320" s="931"/>
      <c r="B320" s="906" t="s">
        <v>1360</v>
      </c>
      <c r="C320" s="921">
        <f>DATA!X1440</f>
        <v>5680.39</v>
      </c>
      <c r="D320" s="908" t="s">
        <v>1393</v>
      </c>
      <c r="E320" s="919"/>
      <c r="F320" s="1053">
        <f t="shared" si="45"/>
        <v>0</v>
      </c>
      <c r="G320" s="919"/>
      <c r="H320" s="914">
        <f t="shared" si="39"/>
        <v>0</v>
      </c>
      <c r="I320" s="919"/>
      <c r="J320" s="914">
        <f t="shared" si="40"/>
        <v>0</v>
      </c>
      <c r="K320" s="919"/>
      <c r="L320" s="914">
        <f t="shared" si="41"/>
        <v>0</v>
      </c>
      <c r="M320" s="919"/>
      <c r="N320" s="914">
        <f t="shared" si="36"/>
        <v>0</v>
      </c>
      <c r="O320" s="914"/>
      <c r="P320" s="914">
        <f t="shared" si="37"/>
        <v>0</v>
      </c>
      <c r="Q320" s="914"/>
      <c r="R320" s="914">
        <f t="shared" si="42"/>
        <v>0</v>
      </c>
      <c r="S320" s="915">
        <f t="shared" si="43"/>
        <v>0</v>
      </c>
      <c r="T320" s="911">
        <f t="shared" si="44"/>
        <v>0</v>
      </c>
    </row>
    <row r="321" spans="1:114" s="920" customFormat="1" ht="152.25" hidden="1" customHeight="1">
      <c r="A321" s="916">
        <v>24</v>
      </c>
      <c r="B321" s="917" t="s">
        <v>179</v>
      </c>
      <c r="C321" s="918">
        <f>DATA!K1191</f>
        <v>69.599999999999994</v>
      </c>
      <c r="D321" s="898" t="s">
        <v>265</v>
      </c>
      <c r="E321" s="919"/>
      <c r="F321" s="1053">
        <f t="shared" si="45"/>
        <v>0</v>
      </c>
      <c r="G321" s="919"/>
      <c r="H321" s="914">
        <f t="shared" si="39"/>
        <v>0</v>
      </c>
      <c r="I321" s="919"/>
      <c r="J321" s="914">
        <f t="shared" si="40"/>
        <v>0</v>
      </c>
      <c r="K321" s="919"/>
      <c r="L321" s="914">
        <f t="shared" si="41"/>
        <v>0</v>
      </c>
      <c r="M321" s="919"/>
      <c r="N321" s="914">
        <f t="shared" si="36"/>
        <v>0</v>
      </c>
      <c r="O321" s="914"/>
      <c r="P321" s="914">
        <f t="shared" si="37"/>
        <v>0</v>
      </c>
      <c r="Q321" s="914"/>
      <c r="R321" s="914">
        <f t="shared" si="42"/>
        <v>0</v>
      </c>
      <c r="S321" s="915">
        <f t="shared" si="43"/>
        <v>0</v>
      </c>
      <c r="T321" s="911">
        <f t="shared" si="44"/>
        <v>0</v>
      </c>
      <c r="U321" s="1172"/>
      <c r="V321" s="1172"/>
      <c r="W321" s="1172"/>
      <c r="X321" s="1172"/>
      <c r="Y321" s="1172"/>
      <c r="Z321" s="1172"/>
      <c r="AA321" s="1172"/>
      <c r="AB321" s="1172"/>
      <c r="AC321" s="1172"/>
      <c r="AD321" s="1172"/>
      <c r="AE321" s="1172"/>
      <c r="AF321" s="1172"/>
      <c r="AG321" s="1172"/>
      <c r="AH321" s="1172"/>
      <c r="AI321" s="1172"/>
      <c r="AJ321" s="1172"/>
      <c r="AK321" s="1172"/>
      <c r="AL321" s="1172"/>
      <c r="AM321" s="1172"/>
      <c r="AN321" s="1172"/>
      <c r="AO321" s="1172"/>
      <c r="AP321" s="1172"/>
      <c r="AQ321" s="1172"/>
      <c r="AR321" s="1172"/>
      <c r="AS321" s="1172"/>
      <c r="AT321" s="1172"/>
      <c r="AU321" s="1172"/>
      <c r="AV321" s="1172"/>
      <c r="AW321" s="1172"/>
      <c r="AX321" s="1172"/>
      <c r="AY321" s="1172"/>
      <c r="AZ321" s="1172"/>
      <c r="BA321" s="1172"/>
      <c r="BB321" s="1172"/>
      <c r="BC321" s="1172"/>
      <c r="BD321" s="1172"/>
      <c r="BE321" s="1172"/>
      <c r="BF321" s="1172"/>
      <c r="BG321" s="1172"/>
      <c r="BH321" s="1172"/>
      <c r="BI321" s="1172"/>
      <c r="BJ321" s="1172"/>
      <c r="BK321" s="1172"/>
      <c r="BL321" s="1172"/>
      <c r="BM321" s="1172"/>
      <c r="BN321" s="1172"/>
      <c r="BO321" s="1172"/>
      <c r="BP321" s="1172"/>
      <c r="BQ321" s="1172"/>
      <c r="BR321" s="1172"/>
      <c r="BS321" s="1172"/>
      <c r="BT321" s="1172"/>
      <c r="BU321" s="1172"/>
      <c r="BV321" s="1172"/>
      <c r="BW321" s="1172"/>
      <c r="BX321" s="1172"/>
      <c r="BY321" s="1172"/>
      <c r="BZ321" s="1172"/>
      <c r="CA321" s="1172"/>
      <c r="CB321" s="1172"/>
      <c r="CC321" s="1172"/>
      <c r="CD321" s="1172"/>
      <c r="CE321" s="1172"/>
      <c r="CF321" s="1172"/>
      <c r="CG321" s="1172"/>
      <c r="CH321" s="1172"/>
      <c r="CI321" s="1172"/>
      <c r="CJ321" s="1172"/>
      <c r="CK321" s="1172"/>
      <c r="CL321" s="1172"/>
      <c r="CM321" s="1172"/>
      <c r="CN321" s="1172"/>
      <c r="CO321" s="1172"/>
      <c r="CP321" s="1172"/>
      <c r="CQ321" s="1172"/>
      <c r="CR321" s="1172"/>
      <c r="CS321" s="1172"/>
      <c r="CT321" s="1172"/>
      <c r="CU321" s="1172"/>
      <c r="CV321" s="1172"/>
      <c r="CW321" s="1172"/>
      <c r="CX321" s="1172"/>
      <c r="CY321" s="1172"/>
      <c r="CZ321" s="1172"/>
      <c r="DA321" s="1172"/>
      <c r="DB321" s="1172"/>
      <c r="DC321" s="1172"/>
      <c r="DD321" s="1172"/>
      <c r="DE321" s="1172"/>
      <c r="DF321" s="1172"/>
      <c r="DG321" s="1172"/>
      <c r="DH321" s="1172"/>
      <c r="DI321" s="1172"/>
      <c r="DJ321" s="1172"/>
    </row>
    <row r="322" spans="1:114" ht="152.25" customHeight="1">
      <c r="A322" s="905">
        <v>25</v>
      </c>
      <c r="B322" s="906" t="s">
        <v>180</v>
      </c>
      <c r="C322" s="913">
        <f>ROUND(DATA!K1194,2)</f>
        <v>9.6</v>
      </c>
      <c r="D322" s="908" t="s">
        <v>1393</v>
      </c>
      <c r="E322" s="914">
        <f>DSP!H543</f>
        <v>84</v>
      </c>
      <c r="F322" s="1053">
        <f t="shared" si="45"/>
        <v>806.4</v>
      </c>
      <c r="G322" s="914"/>
      <c r="H322" s="914">
        <f t="shared" si="39"/>
        <v>0</v>
      </c>
      <c r="I322" s="914"/>
      <c r="J322" s="914">
        <f t="shared" si="40"/>
        <v>0</v>
      </c>
      <c r="K322" s="914"/>
      <c r="L322" s="914">
        <f t="shared" si="41"/>
        <v>0</v>
      </c>
      <c r="M322" s="914"/>
      <c r="N322" s="914">
        <f t="shared" si="36"/>
        <v>0</v>
      </c>
      <c r="O322" s="914"/>
      <c r="P322" s="914">
        <f t="shared" si="37"/>
        <v>0</v>
      </c>
      <c r="Q322" s="914"/>
      <c r="R322" s="914">
        <f t="shared" si="42"/>
        <v>0</v>
      </c>
      <c r="S322" s="915">
        <f t="shared" si="43"/>
        <v>84</v>
      </c>
      <c r="T322" s="911">
        <f t="shared" si="44"/>
        <v>806.4</v>
      </c>
    </row>
    <row r="323" spans="1:114" ht="175.5" customHeight="1">
      <c r="A323" s="905">
        <v>26</v>
      </c>
      <c r="B323" s="906" t="s">
        <v>181</v>
      </c>
      <c r="C323" s="913">
        <f>ROUND(DATA!K204,2)</f>
        <v>5158.8100000000004</v>
      </c>
      <c r="D323" s="908" t="s">
        <v>1192</v>
      </c>
      <c r="E323" s="914">
        <f>DSP!H563</f>
        <v>13.7</v>
      </c>
      <c r="F323" s="1053">
        <f t="shared" si="45"/>
        <v>70675.7</v>
      </c>
      <c r="G323" s="914"/>
      <c r="H323" s="914">
        <f t="shared" si="39"/>
        <v>0</v>
      </c>
      <c r="I323" s="914"/>
      <c r="J323" s="914">
        <f t="shared" si="40"/>
        <v>0</v>
      </c>
      <c r="K323" s="914"/>
      <c r="L323" s="914">
        <f t="shared" si="41"/>
        <v>0</v>
      </c>
      <c r="M323" s="914"/>
      <c r="N323" s="914">
        <f t="shared" si="36"/>
        <v>0</v>
      </c>
      <c r="O323" s="914"/>
      <c r="P323" s="914">
        <f t="shared" si="37"/>
        <v>0</v>
      </c>
      <c r="Q323" s="914"/>
      <c r="R323" s="914">
        <f t="shared" si="42"/>
        <v>0</v>
      </c>
      <c r="S323" s="915">
        <f t="shared" si="43"/>
        <v>13.7</v>
      </c>
      <c r="T323" s="911">
        <f t="shared" si="44"/>
        <v>70675.7</v>
      </c>
    </row>
    <row r="324" spans="1:114" ht="250.5" hidden="1" customHeight="1">
      <c r="A324" s="905">
        <v>27.1</v>
      </c>
      <c r="B324" s="906" t="s">
        <v>302</v>
      </c>
      <c r="C324" s="921">
        <f>ROUND(DATA!Y368,2)</f>
        <v>7325.69</v>
      </c>
      <c r="D324" s="908" t="s">
        <v>1192</v>
      </c>
      <c r="E324" s="919"/>
      <c r="F324" s="1053">
        <f t="shared" si="45"/>
        <v>0</v>
      </c>
      <c r="G324" s="919"/>
      <c r="H324" s="914">
        <f t="shared" si="39"/>
        <v>0</v>
      </c>
      <c r="I324" s="919"/>
      <c r="J324" s="914">
        <f t="shared" si="40"/>
        <v>0</v>
      </c>
      <c r="K324" s="919"/>
      <c r="L324" s="914">
        <f t="shared" si="41"/>
        <v>0</v>
      </c>
      <c r="M324" s="919"/>
      <c r="N324" s="914">
        <f t="shared" si="36"/>
        <v>0</v>
      </c>
      <c r="O324" s="914"/>
      <c r="P324" s="914">
        <f t="shared" si="37"/>
        <v>0</v>
      </c>
      <c r="Q324" s="914"/>
      <c r="R324" s="914">
        <f t="shared" si="42"/>
        <v>0</v>
      </c>
      <c r="S324" s="915">
        <f t="shared" si="43"/>
        <v>0</v>
      </c>
      <c r="T324" s="911">
        <f t="shared" si="44"/>
        <v>0</v>
      </c>
    </row>
    <row r="325" spans="1:114" ht="250.5" hidden="1" customHeight="1">
      <c r="A325" s="905">
        <v>27.2</v>
      </c>
      <c r="B325" s="906" t="s">
        <v>2778</v>
      </c>
      <c r="C325" s="921">
        <f>ROUND(DATA!AG381,2)</f>
        <v>7112.34</v>
      </c>
      <c r="D325" s="908" t="s">
        <v>1192</v>
      </c>
      <c r="E325" s="919"/>
      <c r="F325" s="1053">
        <f t="shared" si="45"/>
        <v>0</v>
      </c>
      <c r="G325" s="919"/>
      <c r="H325" s="914">
        <f t="shared" si="39"/>
        <v>0</v>
      </c>
      <c r="I325" s="919"/>
      <c r="J325" s="914">
        <f t="shared" si="40"/>
        <v>0</v>
      </c>
      <c r="K325" s="919"/>
      <c r="L325" s="914">
        <f t="shared" si="41"/>
        <v>0</v>
      </c>
      <c r="M325" s="919"/>
      <c r="N325" s="914">
        <f t="shared" si="36"/>
        <v>0</v>
      </c>
      <c r="O325" s="914"/>
      <c r="P325" s="914">
        <f t="shared" si="37"/>
        <v>0</v>
      </c>
      <c r="Q325" s="914"/>
      <c r="R325" s="914">
        <f t="shared" si="42"/>
        <v>0</v>
      </c>
      <c r="S325" s="915">
        <f t="shared" si="43"/>
        <v>0</v>
      </c>
      <c r="T325" s="911">
        <f t="shared" si="44"/>
        <v>0</v>
      </c>
    </row>
    <row r="326" spans="1:114" ht="250.5" hidden="1" customHeight="1">
      <c r="A326" s="905">
        <v>27.3</v>
      </c>
      <c r="B326" s="906" t="s">
        <v>916</v>
      </c>
      <c r="C326" s="921"/>
      <c r="D326" s="908" t="s">
        <v>1192</v>
      </c>
      <c r="E326" s="919"/>
      <c r="F326" s="1053">
        <f t="shared" si="45"/>
        <v>0</v>
      </c>
      <c r="G326" s="919"/>
      <c r="H326" s="914">
        <f t="shared" si="39"/>
        <v>0</v>
      </c>
      <c r="I326" s="919"/>
      <c r="J326" s="914">
        <f t="shared" si="40"/>
        <v>0</v>
      </c>
      <c r="K326" s="919"/>
      <c r="L326" s="914">
        <f t="shared" si="41"/>
        <v>0</v>
      </c>
      <c r="M326" s="919"/>
      <c r="N326" s="914">
        <f t="shared" ref="N326:N390" si="46">M326*C326</f>
        <v>0</v>
      </c>
      <c r="O326" s="914"/>
      <c r="P326" s="914">
        <f t="shared" ref="P326:P390" si="47">O326*C326</f>
        <v>0</v>
      </c>
      <c r="Q326" s="914"/>
      <c r="R326" s="914">
        <f t="shared" si="42"/>
        <v>0</v>
      </c>
      <c r="S326" s="915">
        <f t="shared" si="43"/>
        <v>0</v>
      </c>
      <c r="T326" s="911">
        <f t="shared" si="44"/>
        <v>0</v>
      </c>
    </row>
    <row r="327" spans="1:114" ht="250.5" hidden="1" customHeight="1">
      <c r="A327" s="905">
        <v>27.4</v>
      </c>
      <c r="B327" s="906" t="s">
        <v>169</v>
      </c>
      <c r="C327" s="921"/>
      <c r="D327" s="908" t="s">
        <v>1192</v>
      </c>
      <c r="E327" s="919"/>
      <c r="F327" s="1053">
        <f t="shared" ref="F327:F391" si="48">E327*C327</f>
        <v>0</v>
      </c>
      <c r="G327" s="919"/>
      <c r="H327" s="914">
        <f t="shared" ref="H327:H391" si="49">G327*C327</f>
        <v>0</v>
      </c>
      <c r="I327" s="919"/>
      <c r="J327" s="914">
        <f t="shared" ref="J327:J391" si="50">I327*C327</f>
        <v>0</v>
      </c>
      <c r="K327" s="919"/>
      <c r="L327" s="914">
        <f t="shared" ref="L327:L391" si="51">K327*C327</f>
        <v>0</v>
      </c>
      <c r="M327" s="919"/>
      <c r="N327" s="914">
        <f t="shared" si="46"/>
        <v>0</v>
      </c>
      <c r="O327" s="914"/>
      <c r="P327" s="914">
        <f t="shared" si="47"/>
        <v>0</v>
      </c>
      <c r="Q327" s="914"/>
      <c r="R327" s="914">
        <f t="shared" ref="R327:R391" si="52">Q327*C327</f>
        <v>0</v>
      </c>
      <c r="S327" s="915">
        <f t="shared" ref="S327:S391" si="53">G327+I327+K327+M327+E327+O327+Q327</f>
        <v>0</v>
      </c>
      <c r="T327" s="911">
        <f t="shared" ref="T327:T391" si="54">S327*C327</f>
        <v>0</v>
      </c>
    </row>
    <row r="328" spans="1:114" ht="250.5" hidden="1" customHeight="1">
      <c r="A328" s="905">
        <v>27.5</v>
      </c>
      <c r="B328" s="906" t="s">
        <v>1498</v>
      </c>
      <c r="C328" s="921">
        <f>ROUND(DATA!K372,2)</f>
        <v>7033.43</v>
      </c>
      <c r="D328" s="908" t="s">
        <v>1192</v>
      </c>
      <c r="E328" s="919"/>
      <c r="F328" s="1053">
        <f t="shared" si="48"/>
        <v>0</v>
      </c>
      <c r="G328" s="919"/>
      <c r="H328" s="914">
        <f t="shared" si="49"/>
        <v>0</v>
      </c>
      <c r="I328" s="919"/>
      <c r="J328" s="914">
        <f t="shared" si="50"/>
        <v>0</v>
      </c>
      <c r="K328" s="919"/>
      <c r="L328" s="914">
        <f t="shared" si="51"/>
        <v>0</v>
      </c>
      <c r="M328" s="919"/>
      <c r="N328" s="914">
        <f t="shared" si="46"/>
        <v>0</v>
      </c>
      <c r="O328" s="914"/>
      <c r="P328" s="914">
        <f t="shared" si="47"/>
        <v>0</v>
      </c>
      <c r="Q328" s="914"/>
      <c r="R328" s="914">
        <f t="shared" si="52"/>
        <v>0</v>
      </c>
      <c r="S328" s="915">
        <f t="shared" si="53"/>
        <v>0</v>
      </c>
      <c r="T328" s="911">
        <f t="shared" si="54"/>
        <v>0</v>
      </c>
    </row>
    <row r="329" spans="1:114" ht="250.5" hidden="1" customHeight="1">
      <c r="A329" s="905">
        <v>27.6</v>
      </c>
      <c r="B329" s="906" t="s">
        <v>1693</v>
      </c>
      <c r="C329" s="921"/>
      <c r="D329" s="908" t="s">
        <v>1192</v>
      </c>
      <c r="E329" s="919"/>
      <c r="F329" s="1053">
        <f t="shared" si="48"/>
        <v>0</v>
      </c>
      <c r="G329" s="919"/>
      <c r="H329" s="914">
        <f t="shared" si="49"/>
        <v>0</v>
      </c>
      <c r="I329" s="919"/>
      <c r="J329" s="914">
        <f t="shared" si="50"/>
        <v>0</v>
      </c>
      <c r="K329" s="919"/>
      <c r="L329" s="914">
        <f t="shared" si="51"/>
        <v>0</v>
      </c>
      <c r="M329" s="919"/>
      <c r="N329" s="914">
        <f t="shared" si="46"/>
        <v>0</v>
      </c>
      <c r="O329" s="914"/>
      <c r="P329" s="914">
        <f t="shared" si="47"/>
        <v>0</v>
      </c>
      <c r="Q329" s="914"/>
      <c r="R329" s="914">
        <f t="shared" si="52"/>
        <v>0</v>
      </c>
      <c r="S329" s="915">
        <f t="shared" si="53"/>
        <v>0</v>
      </c>
      <c r="T329" s="911">
        <f t="shared" si="54"/>
        <v>0</v>
      </c>
    </row>
    <row r="330" spans="1:114" ht="164.25" customHeight="1">
      <c r="A330" s="905">
        <v>28</v>
      </c>
      <c r="B330" s="924" t="s">
        <v>6624</v>
      </c>
      <c r="C330" s="913">
        <f>ROUND(DATA!K1213,2)</f>
        <v>514.71</v>
      </c>
      <c r="D330" s="908" t="s">
        <v>1834</v>
      </c>
      <c r="E330" s="914">
        <f>DSP!H567</f>
        <v>13.5</v>
      </c>
      <c r="F330" s="1053">
        <f t="shared" si="48"/>
        <v>6948.59</v>
      </c>
      <c r="G330" s="914"/>
      <c r="H330" s="914">
        <f t="shared" si="49"/>
        <v>0</v>
      </c>
      <c r="I330" s="914"/>
      <c r="J330" s="914">
        <f t="shared" si="50"/>
        <v>0</v>
      </c>
      <c r="K330" s="914"/>
      <c r="L330" s="914">
        <f t="shared" si="51"/>
        <v>0</v>
      </c>
      <c r="M330" s="914"/>
      <c r="N330" s="914">
        <f t="shared" si="46"/>
        <v>0</v>
      </c>
      <c r="O330" s="914"/>
      <c r="P330" s="914">
        <f t="shared" si="47"/>
        <v>0</v>
      </c>
      <c r="Q330" s="914">
        <f>'DEV-2'!U330</f>
        <v>20.98</v>
      </c>
      <c r="R330" s="914">
        <f t="shared" si="52"/>
        <v>10798.62</v>
      </c>
      <c r="S330" s="915">
        <f t="shared" si="53"/>
        <v>34.479999999999997</v>
      </c>
      <c r="T330" s="911">
        <f t="shared" si="54"/>
        <v>17747.2</v>
      </c>
    </row>
    <row r="331" spans="1:114" ht="158.25" hidden="1" customHeight="1">
      <c r="A331" s="905">
        <v>29.1</v>
      </c>
      <c r="B331" s="924" t="s">
        <v>6625</v>
      </c>
      <c r="C331" s="921"/>
      <c r="D331" s="908" t="s">
        <v>1834</v>
      </c>
      <c r="E331" s="919"/>
      <c r="F331" s="1053">
        <f t="shared" si="48"/>
        <v>0</v>
      </c>
      <c r="G331" s="919"/>
      <c r="H331" s="914">
        <f t="shared" si="49"/>
        <v>0</v>
      </c>
      <c r="I331" s="919"/>
      <c r="J331" s="914">
        <f t="shared" si="50"/>
        <v>0</v>
      </c>
      <c r="K331" s="919"/>
      <c r="L331" s="914">
        <f t="shared" si="51"/>
        <v>0</v>
      </c>
      <c r="M331" s="919"/>
      <c r="N331" s="914">
        <f t="shared" si="46"/>
        <v>0</v>
      </c>
      <c r="O331" s="914"/>
      <c r="P331" s="914">
        <f t="shared" si="47"/>
        <v>0</v>
      </c>
      <c r="Q331" s="914">
        <f>'DEV-2'!U331</f>
        <v>0</v>
      </c>
      <c r="R331" s="914">
        <f t="shared" si="52"/>
        <v>0</v>
      </c>
      <c r="S331" s="915">
        <f t="shared" si="53"/>
        <v>0</v>
      </c>
      <c r="T331" s="911">
        <f t="shared" si="54"/>
        <v>0</v>
      </c>
    </row>
    <row r="332" spans="1:114" ht="158.25" hidden="1" customHeight="1">
      <c r="A332" s="905">
        <v>29.2</v>
      </c>
      <c r="B332" s="924" t="s">
        <v>6626</v>
      </c>
      <c r="C332" s="921">
        <f>ROUND(DATA!K1241,2)</f>
        <v>1234.17</v>
      </c>
      <c r="D332" s="908" t="s">
        <v>1834</v>
      </c>
      <c r="E332" s="919"/>
      <c r="F332" s="1053">
        <f t="shared" si="48"/>
        <v>0</v>
      </c>
      <c r="G332" s="919"/>
      <c r="H332" s="914">
        <f t="shared" si="49"/>
        <v>0</v>
      </c>
      <c r="I332" s="919"/>
      <c r="J332" s="914">
        <f t="shared" si="50"/>
        <v>0</v>
      </c>
      <c r="K332" s="919"/>
      <c r="L332" s="914">
        <f t="shared" si="51"/>
        <v>0</v>
      </c>
      <c r="M332" s="919"/>
      <c r="N332" s="914">
        <f t="shared" si="46"/>
        <v>0</v>
      </c>
      <c r="O332" s="914"/>
      <c r="P332" s="914">
        <f t="shared" si="47"/>
        <v>0</v>
      </c>
      <c r="Q332" s="914">
        <f>'DEV-2'!U332</f>
        <v>0</v>
      </c>
      <c r="R332" s="914">
        <f t="shared" si="52"/>
        <v>0</v>
      </c>
      <c r="S332" s="915">
        <f t="shared" si="53"/>
        <v>0</v>
      </c>
      <c r="T332" s="911">
        <f t="shared" si="54"/>
        <v>0</v>
      </c>
    </row>
    <row r="333" spans="1:114" ht="158.25" hidden="1" customHeight="1">
      <c r="A333" s="905">
        <v>29.3</v>
      </c>
      <c r="B333" s="906" t="s">
        <v>1694</v>
      </c>
      <c r="C333" s="921">
        <f>ROUND(DATA!K1264,2)</f>
        <v>1212.77</v>
      </c>
      <c r="D333" s="908" t="s">
        <v>1834</v>
      </c>
      <c r="E333" s="919"/>
      <c r="F333" s="1053">
        <f t="shared" si="48"/>
        <v>0</v>
      </c>
      <c r="G333" s="919"/>
      <c r="H333" s="914">
        <f t="shared" si="49"/>
        <v>0</v>
      </c>
      <c r="I333" s="919"/>
      <c r="J333" s="914">
        <f t="shared" si="50"/>
        <v>0</v>
      </c>
      <c r="K333" s="919"/>
      <c r="L333" s="914">
        <f t="shared" si="51"/>
        <v>0</v>
      </c>
      <c r="M333" s="919"/>
      <c r="N333" s="914">
        <f t="shared" si="46"/>
        <v>0</v>
      </c>
      <c r="O333" s="914"/>
      <c r="P333" s="914">
        <f t="shared" si="47"/>
        <v>0</v>
      </c>
      <c r="Q333" s="914">
        <f>'DEV-2'!U333</f>
        <v>0</v>
      </c>
      <c r="R333" s="914">
        <f t="shared" si="52"/>
        <v>0</v>
      </c>
      <c r="S333" s="915">
        <f t="shared" si="53"/>
        <v>0</v>
      </c>
      <c r="T333" s="911">
        <f t="shared" si="54"/>
        <v>0</v>
      </c>
    </row>
    <row r="334" spans="1:114" ht="158.25" hidden="1" customHeight="1">
      <c r="A334" s="905">
        <v>29.4</v>
      </c>
      <c r="B334" s="906" t="s">
        <v>1695</v>
      </c>
      <c r="C334" s="921">
        <f>ROUND(DATA!K1278,2)</f>
        <v>1377.72</v>
      </c>
      <c r="D334" s="908" t="s">
        <v>1834</v>
      </c>
      <c r="E334" s="919"/>
      <c r="F334" s="1053">
        <f t="shared" si="48"/>
        <v>0</v>
      </c>
      <c r="G334" s="919"/>
      <c r="H334" s="914">
        <f t="shared" si="49"/>
        <v>0</v>
      </c>
      <c r="I334" s="919"/>
      <c r="J334" s="914">
        <f t="shared" si="50"/>
        <v>0</v>
      </c>
      <c r="K334" s="919"/>
      <c r="L334" s="914">
        <f t="shared" si="51"/>
        <v>0</v>
      </c>
      <c r="M334" s="919"/>
      <c r="N334" s="914">
        <f t="shared" si="46"/>
        <v>0</v>
      </c>
      <c r="O334" s="914"/>
      <c r="P334" s="914">
        <f t="shared" si="47"/>
        <v>0</v>
      </c>
      <c r="Q334" s="914">
        <f>'DEV-2'!U334</f>
        <v>0</v>
      </c>
      <c r="R334" s="914">
        <f t="shared" si="52"/>
        <v>0</v>
      </c>
      <c r="S334" s="915">
        <f t="shared" si="53"/>
        <v>0</v>
      </c>
      <c r="T334" s="911">
        <f t="shared" si="54"/>
        <v>0</v>
      </c>
    </row>
    <row r="335" spans="1:114" ht="158.25" hidden="1" customHeight="1">
      <c r="A335" s="905">
        <v>29.5</v>
      </c>
      <c r="B335" s="906" t="s">
        <v>838</v>
      </c>
      <c r="C335" s="921">
        <f>C333</f>
        <v>1212.77</v>
      </c>
      <c r="D335" s="908" t="s">
        <v>1834</v>
      </c>
      <c r="E335" s="919"/>
      <c r="F335" s="1053">
        <f t="shared" si="48"/>
        <v>0</v>
      </c>
      <c r="G335" s="919"/>
      <c r="H335" s="914">
        <f t="shared" si="49"/>
        <v>0</v>
      </c>
      <c r="I335" s="919"/>
      <c r="J335" s="914">
        <f t="shared" si="50"/>
        <v>0</v>
      </c>
      <c r="K335" s="919"/>
      <c r="L335" s="914">
        <f t="shared" si="51"/>
        <v>0</v>
      </c>
      <c r="M335" s="919"/>
      <c r="N335" s="914">
        <f t="shared" si="46"/>
        <v>0</v>
      </c>
      <c r="O335" s="914"/>
      <c r="P335" s="914">
        <f t="shared" si="47"/>
        <v>0</v>
      </c>
      <c r="Q335" s="914">
        <f>'DEV-2'!U335</f>
        <v>0</v>
      </c>
      <c r="R335" s="914">
        <f t="shared" si="52"/>
        <v>0</v>
      </c>
      <c r="S335" s="915">
        <f t="shared" si="53"/>
        <v>0</v>
      </c>
      <c r="T335" s="911">
        <f t="shared" si="54"/>
        <v>0</v>
      </c>
    </row>
    <row r="336" spans="1:114" ht="198" customHeight="1">
      <c r="A336" s="905">
        <v>30</v>
      </c>
      <c r="B336" s="906" t="s">
        <v>1696</v>
      </c>
      <c r="C336" s="913">
        <f>ROUND(DATA!K1312,2)</f>
        <v>452.61</v>
      </c>
      <c r="D336" s="908" t="s">
        <v>1834</v>
      </c>
      <c r="E336" s="914"/>
      <c r="F336" s="1053">
        <f t="shared" si="48"/>
        <v>0</v>
      </c>
      <c r="G336" s="914">
        <v>9.3000000000000007</v>
      </c>
      <c r="H336" s="914">
        <f t="shared" si="49"/>
        <v>4209.2700000000004</v>
      </c>
      <c r="I336" s="914"/>
      <c r="J336" s="914">
        <f t="shared" si="50"/>
        <v>0</v>
      </c>
      <c r="K336" s="914"/>
      <c r="L336" s="914">
        <f t="shared" si="51"/>
        <v>0</v>
      </c>
      <c r="M336" s="914"/>
      <c r="N336" s="914">
        <f t="shared" si="46"/>
        <v>0</v>
      </c>
      <c r="O336" s="914"/>
      <c r="P336" s="914">
        <f t="shared" si="47"/>
        <v>0</v>
      </c>
      <c r="Q336" s="914">
        <f>'DEV-2'!U336</f>
        <v>13.5</v>
      </c>
      <c r="R336" s="914">
        <f t="shared" si="52"/>
        <v>6110.24</v>
      </c>
      <c r="S336" s="915">
        <f t="shared" si="53"/>
        <v>22.8</v>
      </c>
      <c r="T336" s="911">
        <f t="shared" si="54"/>
        <v>10319.51</v>
      </c>
    </row>
    <row r="337" spans="1:20" ht="201.75" customHeight="1">
      <c r="A337" s="905">
        <v>31</v>
      </c>
      <c r="B337" s="906" t="s">
        <v>1697</v>
      </c>
      <c r="C337" s="913">
        <f>ROUND(DATA!K1330,2)</f>
        <v>3696.96</v>
      </c>
      <c r="D337" s="908" t="s">
        <v>1192</v>
      </c>
      <c r="E337" s="914">
        <f>DSP!H575</f>
        <v>17</v>
      </c>
      <c r="F337" s="1053">
        <f t="shared" si="48"/>
        <v>62848.32</v>
      </c>
      <c r="G337" s="914"/>
      <c r="H337" s="914">
        <f t="shared" si="49"/>
        <v>0</v>
      </c>
      <c r="I337" s="914"/>
      <c r="J337" s="914">
        <f t="shared" si="50"/>
        <v>0</v>
      </c>
      <c r="K337" s="914"/>
      <c r="L337" s="914">
        <f t="shared" si="51"/>
        <v>0</v>
      </c>
      <c r="M337" s="914"/>
      <c r="N337" s="914">
        <f t="shared" si="46"/>
        <v>0</v>
      </c>
      <c r="O337" s="914"/>
      <c r="P337" s="914">
        <f t="shared" si="47"/>
        <v>0</v>
      </c>
      <c r="Q337" s="914"/>
      <c r="R337" s="914">
        <f t="shared" si="52"/>
        <v>0</v>
      </c>
      <c r="S337" s="915">
        <f t="shared" si="53"/>
        <v>17</v>
      </c>
      <c r="T337" s="911">
        <f t="shared" si="54"/>
        <v>62848.32</v>
      </c>
    </row>
    <row r="338" spans="1:20" ht="250.5" hidden="1" customHeight="1">
      <c r="A338" s="905">
        <v>32</v>
      </c>
      <c r="B338" s="906" t="s">
        <v>559</v>
      </c>
      <c r="C338" s="921"/>
      <c r="D338" s="908" t="s">
        <v>1834</v>
      </c>
      <c r="E338" s="919"/>
      <c r="F338" s="1053">
        <f t="shared" si="48"/>
        <v>0</v>
      </c>
      <c r="G338" s="919"/>
      <c r="H338" s="914">
        <f t="shared" si="49"/>
        <v>0</v>
      </c>
      <c r="I338" s="919"/>
      <c r="J338" s="914">
        <f t="shared" si="50"/>
        <v>0</v>
      </c>
      <c r="K338" s="919"/>
      <c r="L338" s="914">
        <f t="shared" si="51"/>
        <v>0</v>
      </c>
      <c r="M338" s="919"/>
      <c r="N338" s="914">
        <f t="shared" si="46"/>
        <v>0</v>
      </c>
      <c r="O338" s="914"/>
      <c r="P338" s="914">
        <f t="shared" si="47"/>
        <v>0</v>
      </c>
      <c r="Q338" s="914"/>
      <c r="R338" s="914">
        <f t="shared" si="52"/>
        <v>0</v>
      </c>
      <c r="S338" s="915">
        <f t="shared" si="53"/>
        <v>0</v>
      </c>
      <c r="T338" s="911">
        <f t="shared" si="54"/>
        <v>0</v>
      </c>
    </row>
    <row r="339" spans="1:20" ht="250.5" customHeight="1">
      <c r="A339" s="905">
        <v>32.1</v>
      </c>
      <c r="B339" s="906" t="s">
        <v>850</v>
      </c>
      <c r="C339" s="921">
        <f>ROUND(DATA!K1365,2)</f>
        <v>1194.28</v>
      </c>
      <c r="D339" s="908" t="s">
        <v>1834</v>
      </c>
      <c r="E339" s="919">
        <f>DSP!H1910</f>
        <v>211.6</v>
      </c>
      <c r="F339" s="1053">
        <f t="shared" si="48"/>
        <v>252709.65</v>
      </c>
      <c r="G339" s="919"/>
      <c r="H339" s="914">
        <f t="shared" si="49"/>
        <v>0</v>
      </c>
      <c r="I339" s="919"/>
      <c r="J339" s="914">
        <f t="shared" si="50"/>
        <v>0</v>
      </c>
      <c r="K339" s="919"/>
      <c r="L339" s="914">
        <f t="shared" si="51"/>
        <v>0</v>
      </c>
      <c r="M339" s="919"/>
      <c r="N339" s="914">
        <f t="shared" si="46"/>
        <v>0</v>
      </c>
      <c r="O339" s="914"/>
      <c r="P339" s="914">
        <f t="shared" si="47"/>
        <v>0</v>
      </c>
      <c r="Q339" s="914"/>
      <c r="R339" s="914">
        <f t="shared" si="52"/>
        <v>0</v>
      </c>
      <c r="S339" s="915">
        <f t="shared" si="53"/>
        <v>211.6</v>
      </c>
      <c r="T339" s="911">
        <f t="shared" si="54"/>
        <v>252709.65</v>
      </c>
    </row>
    <row r="340" spans="1:20" ht="250.5" hidden="1" customHeight="1">
      <c r="A340" s="905">
        <v>32.200000000000003</v>
      </c>
      <c r="B340" s="906" t="s">
        <v>849</v>
      </c>
      <c r="C340" s="921"/>
      <c r="D340" s="908" t="s">
        <v>1834</v>
      </c>
      <c r="E340" s="919">
        <v>1686.1</v>
      </c>
      <c r="F340" s="1053">
        <f t="shared" si="48"/>
        <v>0</v>
      </c>
      <c r="G340" s="919"/>
      <c r="H340" s="914">
        <f t="shared" si="49"/>
        <v>0</v>
      </c>
      <c r="I340" s="919"/>
      <c r="J340" s="914">
        <f t="shared" si="50"/>
        <v>0</v>
      </c>
      <c r="K340" s="919"/>
      <c r="L340" s="914">
        <f t="shared" si="51"/>
        <v>0</v>
      </c>
      <c r="M340" s="919"/>
      <c r="N340" s="914">
        <f t="shared" si="46"/>
        <v>0</v>
      </c>
      <c r="O340" s="914"/>
      <c r="P340" s="914">
        <f t="shared" si="47"/>
        <v>0</v>
      </c>
      <c r="Q340" s="914"/>
      <c r="R340" s="914">
        <f t="shared" si="52"/>
        <v>0</v>
      </c>
      <c r="S340" s="915">
        <f t="shared" si="53"/>
        <v>1686.1</v>
      </c>
      <c r="T340" s="911">
        <f t="shared" si="54"/>
        <v>0</v>
      </c>
    </row>
    <row r="341" spans="1:20" ht="152.25" customHeight="1">
      <c r="A341" s="905">
        <v>33</v>
      </c>
      <c r="B341" s="906" t="s">
        <v>1002</v>
      </c>
      <c r="C341" s="913">
        <f>ROUND(DATA!K1400,2)</f>
        <v>253.5</v>
      </c>
      <c r="D341" s="908" t="s">
        <v>1834</v>
      </c>
      <c r="E341" s="919">
        <f>DSP!H846</f>
        <v>1698</v>
      </c>
      <c r="F341" s="1053">
        <f t="shared" si="48"/>
        <v>430443</v>
      </c>
      <c r="G341" s="914">
        <v>23.1</v>
      </c>
      <c r="H341" s="914">
        <f t="shared" si="49"/>
        <v>5855.85</v>
      </c>
      <c r="I341" s="914"/>
      <c r="J341" s="914">
        <f t="shared" si="50"/>
        <v>0</v>
      </c>
      <c r="K341" s="914"/>
      <c r="L341" s="914">
        <f t="shared" si="51"/>
        <v>0</v>
      </c>
      <c r="M341" s="914">
        <v>43.92</v>
      </c>
      <c r="N341" s="914">
        <f t="shared" si="46"/>
        <v>11133.72</v>
      </c>
      <c r="O341" s="914">
        <v>364.34</v>
      </c>
      <c r="P341" s="914">
        <f t="shared" si="47"/>
        <v>92360.19</v>
      </c>
      <c r="Q341" s="914">
        <f>'DEV-2'!U341</f>
        <v>76.62</v>
      </c>
      <c r="R341" s="914">
        <f t="shared" si="52"/>
        <v>19423.169999999998</v>
      </c>
      <c r="S341" s="915">
        <f t="shared" si="53"/>
        <v>2205.98</v>
      </c>
      <c r="T341" s="911">
        <f t="shared" si="54"/>
        <v>559215.93000000005</v>
      </c>
    </row>
    <row r="342" spans="1:20" ht="152.25" customHeight="1">
      <c r="A342" s="905">
        <v>34</v>
      </c>
      <c r="B342" s="906" t="s">
        <v>1003</v>
      </c>
      <c r="C342" s="913">
        <f>ROUND(DATA!K1414,2)</f>
        <v>259.58999999999997</v>
      </c>
      <c r="D342" s="908" t="s">
        <v>1834</v>
      </c>
      <c r="E342" s="914">
        <f>DSP!H850</f>
        <v>21.6</v>
      </c>
      <c r="F342" s="1053">
        <f t="shared" si="48"/>
        <v>5607.14</v>
      </c>
      <c r="G342" s="914"/>
      <c r="H342" s="914">
        <f t="shared" si="49"/>
        <v>0</v>
      </c>
      <c r="I342" s="914"/>
      <c r="J342" s="914">
        <f t="shared" si="50"/>
        <v>0</v>
      </c>
      <c r="K342" s="914"/>
      <c r="L342" s="914">
        <f t="shared" si="51"/>
        <v>0</v>
      </c>
      <c r="M342" s="914"/>
      <c r="N342" s="914">
        <f t="shared" si="46"/>
        <v>0</v>
      </c>
      <c r="O342" s="914"/>
      <c r="P342" s="914">
        <f t="shared" si="47"/>
        <v>0</v>
      </c>
      <c r="Q342" s="914">
        <f>'DEV-2'!U342</f>
        <v>33</v>
      </c>
      <c r="R342" s="914">
        <f t="shared" si="52"/>
        <v>8566.4699999999993</v>
      </c>
      <c r="S342" s="915">
        <f t="shared" si="53"/>
        <v>54.6</v>
      </c>
      <c r="T342" s="911">
        <f t="shared" si="54"/>
        <v>14173.61</v>
      </c>
    </row>
    <row r="343" spans="1:20" ht="409.5">
      <c r="A343" s="905">
        <v>35.1</v>
      </c>
      <c r="B343" s="906" t="s">
        <v>6998</v>
      </c>
      <c r="C343" s="947">
        <v>273.10000000000002</v>
      </c>
      <c r="D343" s="908" t="s">
        <v>1834</v>
      </c>
      <c r="E343" s="914">
        <f>DSP!H899</f>
        <v>347.9</v>
      </c>
      <c r="F343" s="1053">
        <f t="shared" si="48"/>
        <v>95011.49</v>
      </c>
      <c r="G343" s="914"/>
      <c r="H343" s="914"/>
      <c r="I343" s="914"/>
      <c r="J343" s="914"/>
      <c r="K343" s="914"/>
      <c r="L343" s="914"/>
      <c r="M343" s="914"/>
      <c r="N343" s="914"/>
      <c r="O343" s="914"/>
      <c r="P343" s="914"/>
      <c r="Q343" s="914">
        <f>'DEV-2'!U343</f>
        <v>0</v>
      </c>
      <c r="R343" s="914"/>
      <c r="S343" s="915">
        <f t="shared" si="53"/>
        <v>347.9</v>
      </c>
      <c r="T343" s="911">
        <f t="shared" si="54"/>
        <v>95011.49</v>
      </c>
    </row>
    <row r="344" spans="1:20" ht="196.5" customHeight="1">
      <c r="A344" s="905">
        <v>35</v>
      </c>
      <c r="B344" s="906" t="s">
        <v>932</v>
      </c>
      <c r="C344" s="1180">
        <f>DATA!K1426</f>
        <v>289.35000000000002</v>
      </c>
      <c r="D344" s="908" t="s">
        <v>1834</v>
      </c>
      <c r="E344" s="914">
        <f>DSP!H926</f>
        <v>47.3</v>
      </c>
      <c r="F344" s="1053">
        <f t="shared" si="48"/>
        <v>13686.26</v>
      </c>
      <c r="G344" s="914"/>
      <c r="H344" s="914">
        <f t="shared" si="49"/>
        <v>0</v>
      </c>
      <c r="I344" s="914"/>
      <c r="J344" s="914">
        <f t="shared" si="50"/>
        <v>0</v>
      </c>
      <c r="K344" s="914"/>
      <c r="L344" s="914">
        <f t="shared" si="51"/>
        <v>0</v>
      </c>
      <c r="M344" s="914"/>
      <c r="N344" s="914">
        <f t="shared" si="46"/>
        <v>0</v>
      </c>
      <c r="O344" s="914"/>
      <c r="P344" s="914">
        <f t="shared" si="47"/>
        <v>0</v>
      </c>
      <c r="Q344" s="914"/>
      <c r="R344" s="914">
        <f t="shared" si="52"/>
        <v>0</v>
      </c>
      <c r="S344" s="915">
        <f t="shared" si="53"/>
        <v>47.3</v>
      </c>
      <c r="T344" s="911">
        <f t="shared" si="54"/>
        <v>13686.26</v>
      </c>
    </row>
    <row r="345" spans="1:20" ht="212.25" customHeight="1">
      <c r="A345" s="905">
        <v>36</v>
      </c>
      <c r="B345" s="924" t="s">
        <v>1717</v>
      </c>
      <c r="C345" s="913"/>
      <c r="D345" s="908"/>
      <c r="E345" s="911"/>
      <c r="F345" s="1053">
        <f t="shared" si="48"/>
        <v>0</v>
      </c>
      <c r="G345" s="914"/>
      <c r="H345" s="914">
        <f t="shared" si="49"/>
        <v>0</v>
      </c>
      <c r="I345" s="914"/>
      <c r="J345" s="914">
        <f t="shared" si="50"/>
        <v>0</v>
      </c>
      <c r="K345" s="914"/>
      <c r="L345" s="914">
        <f t="shared" si="51"/>
        <v>0</v>
      </c>
      <c r="M345" s="914"/>
      <c r="N345" s="914">
        <f t="shared" si="46"/>
        <v>0</v>
      </c>
      <c r="O345" s="914"/>
      <c r="P345" s="914">
        <f t="shared" si="47"/>
        <v>0</v>
      </c>
      <c r="Q345" s="914"/>
      <c r="R345" s="914">
        <f t="shared" si="52"/>
        <v>0</v>
      </c>
      <c r="S345" s="915">
        <f t="shared" si="53"/>
        <v>0</v>
      </c>
      <c r="T345" s="911">
        <f t="shared" si="54"/>
        <v>0</v>
      </c>
    </row>
    <row r="346" spans="1:20" ht="141" customHeight="1">
      <c r="A346" s="927" t="s">
        <v>971</v>
      </c>
      <c r="B346" s="906" t="s">
        <v>1455</v>
      </c>
      <c r="C346" s="913">
        <f>ROUND(DATA!K1460,2)</f>
        <v>80.77</v>
      </c>
      <c r="D346" s="908" t="s">
        <v>823</v>
      </c>
      <c r="E346" s="914">
        <f>DSP!H933</f>
        <v>121.7</v>
      </c>
      <c r="F346" s="1053">
        <f t="shared" si="48"/>
        <v>9829.7099999999991</v>
      </c>
      <c r="G346" s="914"/>
      <c r="H346" s="914">
        <f t="shared" si="49"/>
        <v>0</v>
      </c>
      <c r="I346" s="914"/>
      <c r="J346" s="914">
        <f t="shared" si="50"/>
        <v>0</v>
      </c>
      <c r="K346" s="914"/>
      <c r="L346" s="914">
        <f t="shared" si="51"/>
        <v>0</v>
      </c>
      <c r="M346" s="914"/>
      <c r="N346" s="914">
        <f t="shared" si="46"/>
        <v>0</v>
      </c>
      <c r="O346" s="914"/>
      <c r="P346" s="914">
        <f t="shared" si="47"/>
        <v>0</v>
      </c>
      <c r="Q346" s="914"/>
      <c r="R346" s="914">
        <f t="shared" si="52"/>
        <v>0</v>
      </c>
      <c r="S346" s="915">
        <f t="shared" si="53"/>
        <v>121.7</v>
      </c>
      <c r="T346" s="911">
        <f t="shared" si="54"/>
        <v>9829.7099999999991</v>
      </c>
    </row>
    <row r="347" spans="1:20" ht="141" customHeight="1">
      <c r="A347" s="927"/>
      <c r="B347" s="906" t="s">
        <v>1935</v>
      </c>
      <c r="C347" s="913">
        <f>ROUND(DATA!K1472,2)</f>
        <v>52.57</v>
      </c>
      <c r="D347" s="908" t="s">
        <v>823</v>
      </c>
      <c r="E347" s="914">
        <f>DSP!H941</f>
        <v>191.5</v>
      </c>
      <c r="F347" s="1053">
        <f t="shared" si="48"/>
        <v>10067.16</v>
      </c>
      <c r="G347" s="914"/>
      <c r="H347" s="914">
        <f t="shared" si="49"/>
        <v>0</v>
      </c>
      <c r="I347" s="914"/>
      <c r="J347" s="914">
        <f t="shared" si="50"/>
        <v>0</v>
      </c>
      <c r="K347" s="914"/>
      <c r="L347" s="914">
        <f t="shared" si="51"/>
        <v>0</v>
      </c>
      <c r="M347" s="914"/>
      <c r="N347" s="914">
        <f t="shared" si="46"/>
        <v>0</v>
      </c>
      <c r="O347" s="914">
        <v>97.72</v>
      </c>
      <c r="P347" s="914">
        <f t="shared" si="47"/>
        <v>5137.1400000000003</v>
      </c>
      <c r="Q347" s="914"/>
      <c r="R347" s="914">
        <f t="shared" si="52"/>
        <v>0</v>
      </c>
      <c r="S347" s="915">
        <f t="shared" si="53"/>
        <v>289.22000000000003</v>
      </c>
      <c r="T347" s="911">
        <f t="shared" si="54"/>
        <v>15204.3</v>
      </c>
    </row>
    <row r="348" spans="1:20" ht="141" customHeight="1">
      <c r="A348" s="943"/>
      <c r="B348" s="906" t="s">
        <v>1936</v>
      </c>
      <c r="C348" s="913">
        <f>ROUND(DATA!K1485,2)</f>
        <v>39.130000000000003</v>
      </c>
      <c r="D348" s="908" t="s">
        <v>823</v>
      </c>
      <c r="E348" s="914">
        <f>DSP!H960</f>
        <v>139.4</v>
      </c>
      <c r="F348" s="1053">
        <f t="shared" si="48"/>
        <v>5454.72</v>
      </c>
      <c r="G348" s="914"/>
      <c r="H348" s="914">
        <f t="shared" si="49"/>
        <v>0</v>
      </c>
      <c r="I348" s="914"/>
      <c r="J348" s="914">
        <f t="shared" si="50"/>
        <v>0</v>
      </c>
      <c r="K348" s="914"/>
      <c r="L348" s="914">
        <f t="shared" si="51"/>
        <v>0</v>
      </c>
      <c r="M348" s="914"/>
      <c r="N348" s="914">
        <f t="shared" si="46"/>
        <v>0</v>
      </c>
      <c r="O348" s="914"/>
      <c r="P348" s="914">
        <f t="shared" si="47"/>
        <v>0</v>
      </c>
      <c r="Q348" s="914"/>
      <c r="R348" s="914">
        <f t="shared" si="52"/>
        <v>0</v>
      </c>
      <c r="S348" s="915">
        <f t="shared" si="53"/>
        <v>139.4</v>
      </c>
      <c r="T348" s="911">
        <f t="shared" si="54"/>
        <v>5454.72</v>
      </c>
    </row>
    <row r="349" spans="1:20" ht="141" customHeight="1">
      <c r="A349" s="905">
        <v>37.1</v>
      </c>
      <c r="B349" s="906" t="s">
        <v>6627</v>
      </c>
      <c r="C349" s="913">
        <f>ROUND(DATA!K1498,2)</f>
        <v>45.28</v>
      </c>
      <c r="D349" s="908" t="s">
        <v>1834</v>
      </c>
      <c r="E349" s="914"/>
      <c r="F349" s="1053">
        <f t="shared" si="48"/>
        <v>0</v>
      </c>
      <c r="G349" s="914"/>
      <c r="H349" s="914">
        <f t="shared" si="49"/>
        <v>0</v>
      </c>
      <c r="I349" s="914"/>
      <c r="J349" s="914">
        <f t="shared" si="50"/>
        <v>0</v>
      </c>
      <c r="K349" s="914"/>
      <c r="L349" s="914">
        <f t="shared" si="51"/>
        <v>0</v>
      </c>
      <c r="M349" s="914"/>
      <c r="N349" s="914">
        <f t="shared" si="46"/>
        <v>0</v>
      </c>
      <c r="O349" s="914"/>
      <c r="P349" s="914">
        <f t="shared" si="47"/>
        <v>0</v>
      </c>
      <c r="Q349" s="914"/>
      <c r="R349" s="914">
        <f t="shared" si="52"/>
        <v>0</v>
      </c>
      <c r="S349" s="915">
        <f t="shared" si="53"/>
        <v>0</v>
      </c>
      <c r="T349" s="911">
        <f t="shared" si="54"/>
        <v>0</v>
      </c>
    </row>
    <row r="350" spans="1:20" ht="250.5" hidden="1" customHeight="1">
      <c r="A350" s="905">
        <v>37.200000000000003</v>
      </c>
      <c r="B350" s="906" t="s">
        <v>6628</v>
      </c>
      <c r="C350" s="921">
        <f>DATA!R407</f>
        <v>50.33</v>
      </c>
      <c r="D350" s="908" t="s">
        <v>1834</v>
      </c>
      <c r="E350" s="919"/>
      <c r="F350" s="1053">
        <f t="shared" si="48"/>
        <v>0</v>
      </c>
      <c r="G350" s="919"/>
      <c r="H350" s="914">
        <f t="shared" si="49"/>
        <v>0</v>
      </c>
      <c r="I350" s="919"/>
      <c r="J350" s="914">
        <f t="shared" si="50"/>
        <v>0</v>
      </c>
      <c r="K350" s="919"/>
      <c r="L350" s="914">
        <f t="shared" si="51"/>
        <v>0</v>
      </c>
      <c r="M350" s="919"/>
      <c r="N350" s="914">
        <f t="shared" si="46"/>
        <v>0</v>
      </c>
      <c r="O350" s="914"/>
      <c r="P350" s="914">
        <f t="shared" si="47"/>
        <v>0</v>
      </c>
      <c r="Q350" s="914"/>
      <c r="R350" s="914">
        <f t="shared" si="52"/>
        <v>0</v>
      </c>
      <c r="S350" s="915">
        <f t="shared" si="53"/>
        <v>0</v>
      </c>
      <c r="T350" s="911">
        <f t="shared" si="54"/>
        <v>0</v>
      </c>
    </row>
    <row r="351" spans="1:20" ht="250.5" hidden="1" customHeight="1">
      <c r="A351" s="905">
        <v>38.1</v>
      </c>
      <c r="B351" s="906" t="s">
        <v>1937</v>
      </c>
      <c r="C351" s="921">
        <f>ROUND(DATA!K1513,2)</f>
        <v>196.76</v>
      </c>
      <c r="D351" s="908" t="s">
        <v>1834</v>
      </c>
      <c r="E351" s="919"/>
      <c r="F351" s="1053">
        <f t="shared" si="48"/>
        <v>0</v>
      </c>
      <c r="G351" s="919"/>
      <c r="H351" s="914">
        <f t="shared" si="49"/>
        <v>0</v>
      </c>
      <c r="I351" s="919"/>
      <c r="J351" s="914">
        <f t="shared" si="50"/>
        <v>0</v>
      </c>
      <c r="K351" s="919"/>
      <c r="L351" s="914">
        <f t="shared" si="51"/>
        <v>0</v>
      </c>
      <c r="M351" s="919"/>
      <c r="N351" s="914">
        <f t="shared" si="46"/>
        <v>0</v>
      </c>
      <c r="O351" s="914"/>
      <c r="P351" s="914">
        <f t="shared" si="47"/>
        <v>0</v>
      </c>
      <c r="Q351" s="914"/>
      <c r="R351" s="914">
        <f t="shared" si="52"/>
        <v>0</v>
      </c>
      <c r="S351" s="915">
        <f t="shared" si="53"/>
        <v>0</v>
      </c>
      <c r="T351" s="911">
        <f t="shared" si="54"/>
        <v>0</v>
      </c>
    </row>
    <row r="352" spans="1:20" ht="250.5" hidden="1" customHeight="1">
      <c r="A352" s="905">
        <v>38.200000000000003</v>
      </c>
      <c r="B352" s="906" t="s">
        <v>31</v>
      </c>
      <c r="C352" s="921">
        <f>ROUND(DATA!K1526,2)</f>
        <v>163.93</v>
      </c>
      <c r="D352" s="908" t="s">
        <v>1834</v>
      </c>
      <c r="E352" s="919"/>
      <c r="F352" s="1053">
        <f t="shared" si="48"/>
        <v>0</v>
      </c>
      <c r="G352" s="919"/>
      <c r="H352" s="914">
        <f t="shared" si="49"/>
        <v>0</v>
      </c>
      <c r="I352" s="919"/>
      <c r="J352" s="914">
        <f t="shared" si="50"/>
        <v>0</v>
      </c>
      <c r="K352" s="919"/>
      <c r="L352" s="914">
        <f t="shared" si="51"/>
        <v>0</v>
      </c>
      <c r="M352" s="919"/>
      <c r="N352" s="914">
        <f t="shared" si="46"/>
        <v>0</v>
      </c>
      <c r="O352" s="914"/>
      <c r="P352" s="914">
        <f t="shared" si="47"/>
        <v>0</v>
      </c>
      <c r="Q352" s="914"/>
      <c r="R352" s="914">
        <f t="shared" si="52"/>
        <v>0</v>
      </c>
      <c r="S352" s="915">
        <f t="shared" si="53"/>
        <v>0</v>
      </c>
      <c r="T352" s="911">
        <f t="shared" si="54"/>
        <v>0</v>
      </c>
    </row>
    <row r="353" spans="1:114" ht="135" customHeight="1">
      <c r="A353" s="905">
        <v>39</v>
      </c>
      <c r="B353" s="906" t="s">
        <v>1938</v>
      </c>
      <c r="C353" s="913">
        <f>DATA!K1193</f>
        <v>70.150000000000006</v>
      </c>
      <c r="D353" s="908" t="s">
        <v>265</v>
      </c>
      <c r="E353" s="914">
        <f>DSP!H991</f>
        <v>2515.1999999999998</v>
      </c>
      <c r="F353" s="1053">
        <f t="shared" si="48"/>
        <v>176441.28</v>
      </c>
      <c r="G353" s="914"/>
      <c r="H353" s="914">
        <f t="shared" si="49"/>
        <v>0</v>
      </c>
      <c r="I353" s="914"/>
      <c r="J353" s="914">
        <f t="shared" si="50"/>
        <v>0</v>
      </c>
      <c r="K353" s="914"/>
      <c r="L353" s="914">
        <f t="shared" si="51"/>
        <v>0</v>
      </c>
      <c r="M353" s="914"/>
      <c r="N353" s="914">
        <f t="shared" si="46"/>
        <v>0</v>
      </c>
      <c r="O353" s="1181">
        <v>405</v>
      </c>
      <c r="P353" s="914">
        <f t="shared" si="47"/>
        <v>28410.75</v>
      </c>
      <c r="Q353" s="914">
        <f>'DEV-2'!U352</f>
        <v>511.3</v>
      </c>
      <c r="R353" s="914">
        <f t="shared" si="52"/>
        <v>35867.699999999997</v>
      </c>
      <c r="S353" s="915">
        <f t="shared" si="53"/>
        <v>3431.5</v>
      </c>
      <c r="T353" s="911">
        <f t="shared" si="54"/>
        <v>240719.73</v>
      </c>
    </row>
    <row r="354" spans="1:114" ht="135" customHeight="1">
      <c r="A354" s="905">
        <v>40</v>
      </c>
      <c r="B354" s="906" t="s">
        <v>2031</v>
      </c>
      <c r="C354" s="913">
        <f>ROUND(DATA!K1540,2)</f>
        <v>233.74</v>
      </c>
      <c r="D354" s="908" t="s">
        <v>1834</v>
      </c>
      <c r="E354" s="914">
        <f>DSP!H1003</f>
        <v>47.5</v>
      </c>
      <c r="F354" s="1053">
        <f t="shared" si="48"/>
        <v>11102.65</v>
      </c>
      <c r="G354" s="914"/>
      <c r="H354" s="914">
        <f t="shared" si="49"/>
        <v>0</v>
      </c>
      <c r="I354" s="914"/>
      <c r="J354" s="914">
        <f t="shared" si="50"/>
        <v>0</v>
      </c>
      <c r="K354" s="914"/>
      <c r="L354" s="914">
        <f t="shared" si="51"/>
        <v>0</v>
      </c>
      <c r="M354" s="914"/>
      <c r="N354" s="914">
        <f t="shared" si="46"/>
        <v>0</v>
      </c>
      <c r="O354" s="914"/>
      <c r="P354" s="914">
        <f t="shared" si="47"/>
        <v>0</v>
      </c>
      <c r="Q354" s="914"/>
      <c r="R354" s="914">
        <f t="shared" si="52"/>
        <v>0</v>
      </c>
      <c r="S354" s="915">
        <f t="shared" si="53"/>
        <v>47.5</v>
      </c>
      <c r="T354" s="911">
        <f t="shared" si="54"/>
        <v>11102.65</v>
      </c>
    </row>
    <row r="355" spans="1:114" ht="135" customHeight="1">
      <c r="A355" s="905">
        <v>41</v>
      </c>
      <c r="B355" s="906" t="s">
        <v>1939</v>
      </c>
      <c r="C355" s="913">
        <f>ROUND(DATA!K1553,2)</f>
        <v>138.35</v>
      </c>
      <c r="D355" s="908" t="s">
        <v>1834</v>
      </c>
      <c r="E355" s="914">
        <f>DSP!H1066</f>
        <v>227.5</v>
      </c>
      <c r="F355" s="1053">
        <f t="shared" si="48"/>
        <v>31474.63</v>
      </c>
      <c r="G355" s="914"/>
      <c r="H355" s="914">
        <f t="shared" si="49"/>
        <v>0</v>
      </c>
      <c r="I355" s="914"/>
      <c r="J355" s="914">
        <f t="shared" si="50"/>
        <v>0</v>
      </c>
      <c r="K355" s="914">
        <v>14.72</v>
      </c>
      <c r="L355" s="914">
        <f t="shared" si="51"/>
        <v>2036.51</v>
      </c>
      <c r="M355" s="914"/>
      <c r="N355" s="914">
        <f t="shared" si="46"/>
        <v>0</v>
      </c>
      <c r="O355" s="1181">
        <v>11.25</v>
      </c>
      <c r="P355" s="914">
        <f t="shared" si="47"/>
        <v>1556.44</v>
      </c>
      <c r="Q355" s="914">
        <f>'DEV-2'!U354</f>
        <v>28.9</v>
      </c>
      <c r="R355" s="914">
        <f t="shared" si="52"/>
        <v>3998.32</v>
      </c>
      <c r="S355" s="915">
        <f t="shared" si="53"/>
        <v>282.37</v>
      </c>
      <c r="T355" s="911">
        <f t="shared" si="54"/>
        <v>39065.89</v>
      </c>
    </row>
    <row r="356" spans="1:114" ht="250.5" hidden="1" customHeight="1">
      <c r="A356" s="905">
        <v>42</v>
      </c>
      <c r="B356" s="906" t="s">
        <v>6629</v>
      </c>
      <c r="C356" s="921"/>
      <c r="D356" s="908"/>
      <c r="E356" s="919"/>
      <c r="F356" s="1053">
        <f t="shared" si="48"/>
        <v>0</v>
      </c>
      <c r="G356" s="919"/>
      <c r="H356" s="914">
        <f t="shared" si="49"/>
        <v>0</v>
      </c>
      <c r="I356" s="919"/>
      <c r="J356" s="914">
        <f t="shared" si="50"/>
        <v>0</v>
      </c>
      <c r="K356" s="919"/>
      <c r="L356" s="914">
        <f t="shared" si="51"/>
        <v>0</v>
      </c>
      <c r="M356" s="919"/>
      <c r="N356" s="914">
        <f t="shared" si="46"/>
        <v>0</v>
      </c>
      <c r="O356" s="914"/>
      <c r="P356" s="914">
        <f t="shared" si="47"/>
        <v>0</v>
      </c>
      <c r="Q356" s="914"/>
      <c r="R356" s="914">
        <f t="shared" si="52"/>
        <v>0</v>
      </c>
      <c r="S356" s="915">
        <f t="shared" si="53"/>
        <v>0</v>
      </c>
      <c r="T356" s="911">
        <f t="shared" si="54"/>
        <v>0</v>
      </c>
    </row>
    <row r="357" spans="1:114" ht="250.5" hidden="1" customHeight="1">
      <c r="A357" s="927"/>
      <c r="B357" s="906" t="s">
        <v>2051</v>
      </c>
      <c r="C357" s="921">
        <f>ROUND(DATA!K1582,2)</f>
        <v>90882</v>
      </c>
      <c r="D357" s="908" t="s">
        <v>525</v>
      </c>
      <c r="E357" s="919"/>
      <c r="F357" s="1053">
        <f t="shared" si="48"/>
        <v>0</v>
      </c>
      <c r="G357" s="919"/>
      <c r="H357" s="914">
        <f t="shared" si="49"/>
        <v>0</v>
      </c>
      <c r="I357" s="919"/>
      <c r="J357" s="914">
        <f t="shared" si="50"/>
        <v>0</v>
      </c>
      <c r="K357" s="919"/>
      <c r="L357" s="914">
        <f t="shared" si="51"/>
        <v>0</v>
      </c>
      <c r="M357" s="919"/>
      <c r="N357" s="914">
        <f t="shared" si="46"/>
        <v>0</v>
      </c>
      <c r="O357" s="914"/>
      <c r="P357" s="914">
        <f t="shared" si="47"/>
        <v>0</v>
      </c>
      <c r="Q357" s="914"/>
      <c r="R357" s="914">
        <f t="shared" si="52"/>
        <v>0</v>
      </c>
      <c r="S357" s="915">
        <f t="shared" si="53"/>
        <v>0</v>
      </c>
      <c r="T357" s="911">
        <f t="shared" si="54"/>
        <v>0</v>
      </c>
    </row>
    <row r="358" spans="1:114" ht="250.5" hidden="1" customHeight="1">
      <c r="A358" s="931"/>
      <c r="B358" s="906" t="s">
        <v>2052</v>
      </c>
      <c r="C358" s="921">
        <f>ROUND(DATA!K1595,2)</f>
        <v>90882</v>
      </c>
      <c r="D358" s="908" t="s">
        <v>525</v>
      </c>
      <c r="E358" s="919"/>
      <c r="F358" s="1053">
        <f t="shared" si="48"/>
        <v>0</v>
      </c>
      <c r="G358" s="919"/>
      <c r="H358" s="914">
        <f t="shared" si="49"/>
        <v>0</v>
      </c>
      <c r="I358" s="919"/>
      <c r="J358" s="914">
        <f t="shared" si="50"/>
        <v>0</v>
      </c>
      <c r="K358" s="919"/>
      <c r="L358" s="914">
        <f t="shared" si="51"/>
        <v>0</v>
      </c>
      <c r="M358" s="919"/>
      <c r="N358" s="914">
        <f t="shared" si="46"/>
        <v>0</v>
      </c>
      <c r="O358" s="914"/>
      <c r="P358" s="914">
        <f t="shared" si="47"/>
        <v>0</v>
      </c>
      <c r="Q358" s="914"/>
      <c r="R358" s="914">
        <f t="shared" si="52"/>
        <v>0</v>
      </c>
      <c r="S358" s="915">
        <f t="shared" si="53"/>
        <v>0</v>
      </c>
      <c r="T358" s="911">
        <f t="shared" si="54"/>
        <v>0</v>
      </c>
    </row>
    <row r="359" spans="1:114" ht="250.5" hidden="1" customHeight="1">
      <c r="A359" s="905">
        <v>43</v>
      </c>
      <c r="B359" s="906" t="s">
        <v>6630</v>
      </c>
      <c r="C359" s="921"/>
      <c r="D359" s="908"/>
      <c r="E359" s="919"/>
      <c r="F359" s="1053">
        <f t="shared" si="48"/>
        <v>0</v>
      </c>
      <c r="G359" s="919"/>
      <c r="H359" s="914">
        <f t="shared" si="49"/>
        <v>0</v>
      </c>
      <c r="I359" s="919"/>
      <c r="J359" s="914">
        <f t="shared" si="50"/>
        <v>0</v>
      </c>
      <c r="K359" s="919"/>
      <c r="L359" s="914">
        <f t="shared" si="51"/>
        <v>0</v>
      </c>
      <c r="M359" s="919"/>
      <c r="N359" s="914">
        <f t="shared" si="46"/>
        <v>0</v>
      </c>
      <c r="O359" s="914"/>
      <c r="P359" s="914">
        <f t="shared" si="47"/>
        <v>0</v>
      </c>
      <c r="Q359" s="914"/>
      <c r="R359" s="914">
        <f t="shared" si="52"/>
        <v>0</v>
      </c>
      <c r="S359" s="915">
        <f t="shared" si="53"/>
        <v>0</v>
      </c>
      <c r="T359" s="911">
        <f t="shared" si="54"/>
        <v>0</v>
      </c>
    </row>
    <row r="360" spans="1:114" ht="250.5" hidden="1" customHeight="1">
      <c r="A360" s="927"/>
      <c r="B360" s="906" t="s">
        <v>2051</v>
      </c>
      <c r="C360" s="921">
        <f>ROUND(DATA!K1608,2)</f>
        <v>88873.5</v>
      </c>
      <c r="D360" s="908" t="s">
        <v>525</v>
      </c>
      <c r="E360" s="919"/>
      <c r="F360" s="1053">
        <f t="shared" si="48"/>
        <v>0</v>
      </c>
      <c r="G360" s="919"/>
      <c r="H360" s="914">
        <f t="shared" si="49"/>
        <v>0</v>
      </c>
      <c r="I360" s="919"/>
      <c r="J360" s="914">
        <f t="shared" si="50"/>
        <v>0</v>
      </c>
      <c r="K360" s="919"/>
      <c r="L360" s="914">
        <f t="shared" si="51"/>
        <v>0</v>
      </c>
      <c r="M360" s="919"/>
      <c r="N360" s="914">
        <f t="shared" si="46"/>
        <v>0</v>
      </c>
      <c r="O360" s="914"/>
      <c r="P360" s="914">
        <f t="shared" si="47"/>
        <v>0</v>
      </c>
      <c r="Q360" s="914"/>
      <c r="R360" s="914">
        <f t="shared" si="52"/>
        <v>0</v>
      </c>
      <c r="S360" s="915">
        <f t="shared" si="53"/>
        <v>0</v>
      </c>
      <c r="T360" s="911">
        <f t="shared" si="54"/>
        <v>0</v>
      </c>
    </row>
    <row r="361" spans="1:114" ht="250.5" hidden="1" customHeight="1">
      <c r="A361" s="931"/>
      <c r="B361" s="906" t="s">
        <v>2052</v>
      </c>
      <c r="C361" s="921">
        <f>ROUND(DATA!K1620,2)</f>
        <v>88873.5</v>
      </c>
      <c r="D361" s="908" t="s">
        <v>525</v>
      </c>
      <c r="E361" s="919"/>
      <c r="F361" s="1053">
        <f t="shared" si="48"/>
        <v>0</v>
      </c>
      <c r="G361" s="919"/>
      <c r="H361" s="914">
        <f t="shared" si="49"/>
        <v>0</v>
      </c>
      <c r="I361" s="919"/>
      <c r="J361" s="914">
        <f t="shared" si="50"/>
        <v>0</v>
      </c>
      <c r="K361" s="919"/>
      <c r="L361" s="914">
        <f t="shared" si="51"/>
        <v>0</v>
      </c>
      <c r="M361" s="919"/>
      <c r="N361" s="914">
        <f t="shared" si="46"/>
        <v>0</v>
      </c>
      <c r="O361" s="914"/>
      <c r="P361" s="914">
        <f t="shared" si="47"/>
        <v>0</v>
      </c>
      <c r="Q361" s="914"/>
      <c r="R361" s="914">
        <f t="shared" si="52"/>
        <v>0</v>
      </c>
      <c r="S361" s="915">
        <f t="shared" si="53"/>
        <v>0</v>
      </c>
      <c r="T361" s="911">
        <f t="shared" si="54"/>
        <v>0</v>
      </c>
    </row>
    <row r="362" spans="1:114" ht="250.5" hidden="1" customHeight="1">
      <c r="A362" s="905">
        <v>44.1</v>
      </c>
      <c r="B362" s="906" t="s">
        <v>6631</v>
      </c>
      <c r="C362" s="921">
        <f>ROUND(DATA!K1638,2)</f>
        <v>343.11</v>
      </c>
      <c r="D362" s="908" t="s">
        <v>823</v>
      </c>
      <c r="E362" s="919"/>
      <c r="F362" s="1053">
        <f t="shared" si="48"/>
        <v>0</v>
      </c>
      <c r="G362" s="919"/>
      <c r="H362" s="914">
        <f t="shared" si="49"/>
        <v>0</v>
      </c>
      <c r="I362" s="919"/>
      <c r="J362" s="914">
        <f t="shared" si="50"/>
        <v>0</v>
      </c>
      <c r="K362" s="919"/>
      <c r="L362" s="914">
        <f t="shared" si="51"/>
        <v>0</v>
      </c>
      <c r="M362" s="919"/>
      <c r="N362" s="914">
        <f t="shared" si="46"/>
        <v>0</v>
      </c>
      <c r="O362" s="914"/>
      <c r="P362" s="914">
        <f t="shared" si="47"/>
        <v>0</v>
      </c>
      <c r="Q362" s="914"/>
      <c r="R362" s="914">
        <f t="shared" si="52"/>
        <v>0</v>
      </c>
      <c r="S362" s="915">
        <f t="shared" si="53"/>
        <v>0</v>
      </c>
      <c r="T362" s="911">
        <f t="shared" si="54"/>
        <v>0</v>
      </c>
    </row>
    <row r="363" spans="1:114" ht="250.5" hidden="1" customHeight="1">
      <c r="A363" s="905">
        <v>44.2</v>
      </c>
      <c r="B363" s="906" t="s">
        <v>851</v>
      </c>
      <c r="C363" s="921"/>
      <c r="D363" s="908" t="s">
        <v>1393</v>
      </c>
      <c r="E363" s="919"/>
      <c r="F363" s="1053">
        <f t="shared" si="48"/>
        <v>0</v>
      </c>
      <c r="G363" s="919"/>
      <c r="H363" s="914">
        <f t="shared" si="49"/>
        <v>0</v>
      </c>
      <c r="I363" s="919"/>
      <c r="J363" s="914">
        <f t="shared" si="50"/>
        <v>0</v>
      </c>
      <c r="K363" s="919"/>
      <c r="L363" s="914">
        <f t="shared" si="51"/>
        <v>0</v>
      </c>
      <c r="M363" s="919"/>
      <c r="N363" s="914">
        <f t="shared" si="46"/>
        <v>0</v>
      </c>
      <c r="O363" s="914"/>
      <c r="P363" s="914">
        <f t="shared" si="47"/>
        <v>0</v>
      </c>
      <c r="Q363" s="914"/>
      <c r="R363" s="914">
        <f t="shared" si="52"/>
        <v>0</v>
      </c>
      <c r="S363" s="915">
        <f t="shared" si="53"/>
        <v>0</v>
      </c>
      <c r="T363" s="911">
        <f t="shared" si="54"/>
        <v>0</v>
      </c>
    </row>
    <row r="364" spans="1:114" s="920" customFormat="1" ht="147" customHeight="1">
      <c r="A364" s="916">
        <v>45</v>
      </c>
      <c r="B364" s="925" t="s">
        <v>6632</v>
      </c>
      <c r="C364" s="918">
        <f>ROUND(DATA!K1653,2)</f>
        <v>322.60000000000002</v>
      </c>
      <c r="D364" s="898" t="s">
        <v>1834</v>
      </c>
      <c r="E364" s="919"/>
      <c r="F364" s="1053">
        <f t="shared" si="48"/>
        <v>0</v>
      </c>
      <c r="G364" s="919"/>
      <c r="H364" s="914">
        <f t="shared" si="49"/>
        <v>0</v>
      </c>
      <c r="I364" s="919"/>
      <c r="J364" s="914">
        <f t="shared" si="50"/>
        <v>0</v>
      </c>
      <c r="K364" s="919"/>
      <c r="L364" s="914">
        <f t="shared" si="51"/>
        <v>0</v>
      </c>
      <c r="M364" s="919"/>
      <c r="N364" s="914">
        <f t="shared" si="46"/>
        <v>0</v>
      </c>
      <c r="O364" s="914"/>
      <c r="P364" s="914">
        <f t="shared" si="47"/>
        <v>0</v>
      </c>
      <c r="Q364" s="914"/>
      <c r="R364" s="914">
        <f t="shared" si="52"/>
        <v>0</v>
      </c>
      <c r="S364" s="915">
        <f t="shared" si="53"/>
        <v>0</v>
      </c>
      <c r="T364" s="911">
        <f t="shared" si="54"/>
        <v>0</v>
      </c>
      <c r="U364" s="1172"/>
      <c r="V364" s="1172"/>
      <c r="W364" s="1172"/>
      <c r="X364" s="1172"/>
      <c r="Y364" s="1172"/>
      <c r="Z364" s="1172"/>
      <c r="AA364" s="1172"/>
      <c r="AB364" s="1172"/>
      <c r="AC364" s="1172"/>
      <c r="AD364" s="1172"/>
      <c r="AE364" s="1172"/>
      <c r="AF364" s="1172"/>
      <c r="AG364" s="1172"/>
      <c r="AH364" s="1172"/>
      <c r="AI364" s="1172"/>
      <c r="AJ364" s="1172"/>
      <c r="AK364" s="1172"/>
      <c r="AL364" s="1172"/>
      <c r="AM364" s="1172"/>
      <c r="AN364" s="1172"/>
      <c r="AO364" s="1172"/>
      <c r="AP364" s="1172"/>
      <c r="AQ364" s="1172"/>
      <c r="AR364" s="1172"/>
      <c r="AS364" s="1172"/>
      <c r="AT364" s="1172"/>
      <c r="AU364" s="1172"/>
      <c r="AV364" s="1172"/>
      <c r="AW364" s="1172"/>
      <c r="AX364" s="1172"/>
      <c r="AY364" s="1172"/>
      <c r="AZ364" s="1172"/>
      <c r="BA364" s="1172"/>
      <c r="BB364" s="1172"/>
      <c r="BC364" s="1172"/>
      <c r="BD364" s="1172"/>
      <c r="BE364" s="1172"/>
      <c r="BF364" s="1172"/>
      <c r="BG364" s="1172"/>
      <c r="BH364" s="1172"/>
      <c r="BI364" s="1172"/>
      <c r="BJ364" s="1172"/>
      <c r="BK364" s="1172"/>
      <c r="BL364" s="1172"/>
      <c r="BM364" s="1172"/>
      <c r="BN364" s="1172"/>
      <c r="BO364" s="1172"/>
      <c r="BP364" s="1172"/>
      <c r="BQ364" s="1172"/>
      <c r="BR364" s="1172"/>
      <c r="BS364" s="1172"/>
      <c r="BT364" s="1172"/>
      <c r="BU364" s="1172"/>
      <c r="BV364" s="1172"/>
      <c r="BW364" s="1172"/>
      <c r="BX364" s="1172"/>
      <c r="BY364" s="1172"/>
      <c r="BZ364" s="1172"/>
      <c r="CA364" s="1172"/>
      <c r="CB364" s="1172"/>
      <c r="CC364" s="1172"/>
      <c r="CD364" s="1172"/>
      <c r="CE364" s="1172"/>
      <c r="CF364" s="1172"/>
      <c r="CG364" s="1172"/>
      <c r="CH364" s="1172"/>
      <c r="CI364" s="1172"/>
      <c r="CJ364" s="1172"/>
      <c r="CK364" s="1172"/>
      <c r="CL364" s="1172"/>
      <c r="CM364" s="1172"/>
      <c r="CN364" s="1172"/>
      <c r="CO364" s="1172"/>
      <c r="CP364" s="1172"/>
      <c r="CQ364" s="1172"/>
      <c r="CR364" s="1172"/>
      <c r="CS364" s="1172"/>
      <c r="CT364" s="1172"/>
      <c r="CU364" s="1172"/>
      <c r="CV364" s="1172"/>
      <c r="CW364" s="1172"/>
      <c r="CX364" s="1172"/>
      <c r="CY364" s="1172"/>
      <c r="CZ364" s="1172"/>
      <c r="DA364" s="1172"/>
      <c r="DB364" s="1172"/>
      <c r="DC364" s="1172"/>
      <c r="DD364" s="1172"/>
      <c r="DE364" s="1172"/>
      <c r="DF364" s="1172"/>
      <c r="DG364" s="1172"/>
      <c r="DH364" s="1172"/>
      <c r="DI364" s="1172"/>
      <c r="DJ364" s="1172"/>
    </row>
    <row r="365" spans="1:114" ht="143.25" customHeight="1">
      <c r="A365" s="905">
        <v>46</v>
      </c>
      <c r="B365" s="906" t="s">
        <v>760</v>
      </c>
      <c r="C365" s="913">
        <f>ROUND(DATA!K1670,2)</f>
        <v>58</v>
      </c>
      <c r="D365" s="908" t="s">
        <v>823</v>
      </c>
      <c r="E365" s="914">
        <f>DSP!H1069</f>
        <v>4.8</v>
      </c>
      <c r="F365" s="1053">
        <f t="shared" si="48"/>
        <v>278.39999999999998</v>
      </c>
      <c r="G365" s="914"/>
      <c r="H365" s="914">
        <f t="shared" si="49"/>
        <v>0</v>
      </c>
      <c r="I365" s="914"/>
      <c r="J365" s="914">
        <f t="shared" si="50"/>
        <v>0</v>
      </c>
      <c r="K365" s="914"/>
      <c r="L365" s="914">
        <f t="shared" si="51"/>
        <v>0</v>
      </c>
      <c r="M365" s="914"/>
      <c r="N365" s="914">
        <f t="shared" si="46"/>
        <v>0</v>
      </c>
      <c r="O365" s="914"/>
      <c r="P365" s="914">
        <f t="shared" si="47"/>
        <v>0</v>
      </c>
      <c r="Q365" s="914"/>
      <c r="R365" s="914">
        <f t="shared" si="52"/>
        <v>0</v>
      </c>
      <c r="S365" s="915">
        <f t="shared" si="53"/>
        <v>4.8</v>
      </c>
      <c r="T365" s="911">
        <f t="shared" si="54"/>
        <v>278.39999999999998</v>
      </c>
    </row>
    <row r="366" spans="1:114" ht="143.25" customHeight="1">
      <c r="A366" s="905">
        <v>47</v>
      </c>
      <c r="B366" s="906" t="s">
        <v>915</v>
      </c>
      <c r="C366" s="913">
        <f>ROUND(DATA!K1682,2)</f>
        <v>95</v>
      </c>
      <c r="D366" s="908" t="s">
        <v>1393</v>
      </c>
      <c r="E366" s="914">
        <f>DSP!H1072</f>
        <v>7</v>
      </c>
      <c r="F366" s="1053">
        <f t="shared" si="48"/>
        <v>665</v>
      </c>
      <c r="G366" s="914"/>
      <c r="H366" s="914">
        <f t="shared" si="49"/>
        <v>0</v>
      </c>
      <c r="I366" s="914"/>
      <c r="J366" s="914">
        <f t="shared" si="50"/>
        <v>0</v>
      </c>
      <c r="K366" s="914"/>
      <c r="L366" s="914">
        <f t="shared" si="51"/>
        <v>0</v>
      </c>
      <c r="M366" s="914"/>
      <c r="N366" s="914">
        <f t="shared" si="46"/>
        <v>0</v>
      </c>
      <c r="O366" s="914"/>
      <c r="P366" s="914">
        <f t="shared" si="47"/>
        <v>0</v>
      </c>
      <c r="Q366" s="914"/>
      <c r="R366" s="914">
        <f t="shared" si="52"/>
        <v>0</v>
      </c>
      <c r="S366" s="915">
        <f t="shared" si="53"/>
        <v>7</v>
      </c>
      <c r="T366" s="911">
        <f t="shared" si="54"/>
        <v>665</v>
      </c>
    </row>
    <row r="367" spans="1:114" ht="143.25" customHeight="1">
      <c r="A367" s="905">
        <v>48</v>
      </c>
      <c r="B367" s="906" t="s">
        <v>1831</v>
      </c>
      <c r="C367" s="913">
        <f>ROUND(DATA!K1690,2)</f>
        <v>55</v>
      </c>
      <c r="D367" s="908" t="s">
        <v>1393</v>
      </c>
      <c r="E367" s="914">
        <f>DSP!H1079</f>
        <v>8</v>
      </c>
      <c r="F367" s="1053">
        <f t="shared" si="48"/>
        <v>440</v>
      </c>
      <c r="G367" s="914"/>
      <c r="H367" s="914">
        <f t="shared" si="49"/>
        <v>0</v>
      </c>
      <c r="I367" s="914"/>
      <c r="J367" s="914">
        <f t="shared" si="50"/>
        <v>0</v>
      </c>
      <c r="K367" s="914"/>
      <c r="L367" s="914">
        <f t="shared" si="51"/>
        <v>0</v>
      </c>
      <c r="M367" s="914"/>
      <c r="N367" s="914">
        <f t="shared" si="46"/>
        <v>0</v>
      </c>
      <c r="O367" s="914"/>
      <c r="P367" s="914">
        <f t="shared" si="47"/>
        <v>0</v>
      </c>
      <c r="Q367" s="914"/>
      <c r="R367" s="914">
        <f t="shared" si="52"/>
        <v>0</v>
      </c>
      <c r="S367" s="915">
        <f t="shared" si="53"/>
        <v>8</v>
      </c>
      <c r="T367" s="911">
        <f t="shared" si="54"/>
        <v>440</v>
      </c>
    </row>
    <row r="368" spans="1:114" ht="146.25" customHeight="1">
      <c r="A368" s="905">
        <v>49</v>
      </c>
      <c r="B368" s="906" t="s">
        <v>1832</v>
      </c>
      <c r="C368" s="913">
        <f>ROUND(DATA!K1697,2)</f>
        <v>1.5</v>
      </c>
      <c r="D368" s="908" t="s">
        <v>1393</v>
      </c>
      <c r="E368" s="914">
        <f>DSP!H1083</f>
        <v>62</v>
      </c>
      <c r="F368" s="1053">
        <f t="shared" si="48"/>
        <v>93</v>
      </c>
      <c r="G368" s="914"/>
      <c r="H368" s="914">
        <f t="shared" si="49"/>
        <v>0</v>
      </c>
      <c r="I368" s="914"/>
      <c r="J368" s="914">
        <f t="shared" si="50"/>
        <v>0</v>
      </c>
      <c r="K368" s="914"/>
      <c r="L368" s="914">
        <f t="shared" si="51"/>
        <v>0</v>
      </c>
      <c r="M368" s="914"/>
      <c r="N368" s="914">
        <f t="shared" si="46"/>
        <v>0</v>
      </c>
      <c r="O368" s="914"/>
      <c r="P368" s="914">
        <f t="shared" si="47"/>
        <v>0</v>
      </c>
      <c r="Q368" s="914"/>
      <c r="R368" s="914">
        <f t="shared" si="52"/>
        <v>0</v>
      </c>
      <c r="S368" s="915">
        <f t="shared" si="53"/>
        <v>62</v>
      </c>
      <c r="T368" s="911">
        <f t="shared" si="54"/>
        <v>93</v>
      </c>
    </row>
    <row r="369" spans="1:114" ht="250.5" hidden="1" customHeight="1">
      <c r="A369" s="905">
        <v>50.1</v>
      </c>
      <c r="B369" s="906" t="s">
        <v>1833</v>
      </c>
      <c r="C369" s="921"/>
      <c r="D369" s="908" t="s">
        <v>1834</v>
      </c>
      <c r="E369" s="919"/>
      <c r="F369" s="1053">
        <f t="shared" si="48"/>
        <v>0</v>
      </c>
      <c r="G369" s="919"/>
      <c r="H369" s="914">
        <f t="shared" si="49"/>
        <v>0</v>
      </c>
      <c r="I369" s="919"/>
      <c r="J369" s="914">
        <f t="shared" si="50"/>
        <v>0</v>
      </c>
      <c r="K369" s="919"/>
      <c r="L369" s="914">
        <f t="shared" si="51"/>
        <v>0</v>
      </c>
      <c r="M369" s="919"/>
      <c r="N369" s="914">
        <f t="shared" si="46"/>
        <v>0</v>
      </c>
      <c r="O369" s="914"/>
      <c r="P369" s="914">
        <f t="shared" si="47"/>
        <v>0</v>
      </c>
      <c r="Q369" s="914"/>
      <c r="R369" s="914">
        <f t="shared" si="52"/>
        <v>0</v>
      </c>
      <c r="S369" s="915">
        <f t="shared" si="53"/>
        <v>0</v>
      </c>
      <c r="T369" s="911">
        <f t="shared" si="54"/>
        <v>0</v>
      </c>
    </row>
    <row r="370" spans="1:114" ht="195.75" customHeight="1">
      <c r="A370" s="905">
        <v>50.2</v>
      </c>
      <c r="B370" s="906" t="s">
        <v>287</v>
      </c>
      <c r="C370" s="913">
        <f>ROUND(DATA!K1746,2)</f>
        <v>278.01</v>
      </c>
      <c r="D370" s="908" t="s">
        <v>823</v>
      </c>
      <c r="E370" s="914"/>
      <c r="F370" s="1053">
        <f t="shared" si="48"/>
        <v>0</v>
      </c>
      <c r="G370" s="914"/>
      <c r="H370" s="914">
        <f t="shared" si="49"/>
        <v>0</v>
      </c>
      <c r="I370" s="914"/>
      <c r="J370" s="914">
        <f t="shared" si="50"/>
        <v>0</v>
      </c>
      <c r="K370" s="914">
        <v>110</v>
      </c>
      <c r="L370" s="914">
        <f t="shared" si="51"/>
        <v>30581.1</v>
      </c>
      <c r="M370" s="914"/>
      <c r="N370" s="914">
        <f t="shared" si="46"/>
        <v>0</v>
      </c>
      <c r="O370" s="914"/>
      <c r="P370" s="914">
        <f t="shared" si="47"/>
        <v>0</v>
      </c>
      <c r="Q370" s="914"/>
      <c r="R370" s="914">
        <f t="shared" si="52"/>
        <v>0</v>
      </c>
      <c r="S370" s="915">
        <f t="shared" si="53"/>
        <v>110</v>
      </c>
      <c r="T370" s="911">
        <f t="shared" si="54"/>
        <v>30581.1</v>
      </c>
    </row>
    <row r="371" spans="1:114" ht="126.75" customHeight="1">
      <c r="A371" s="905">
        <v>50.3</v>
      </c>
      <c r="B371" s="906" t="s">
        <v>2183</v>
      </c>
      <c r="C371" s="913">
        <f>ROUND(DATA!K1762,2)</f>
        <v>382.81</v>
      </c>
      <c r="D371" s="908" t="s">
        <v>1393</v>
      </c>
      <c r="E371" s="914">
        <f>DSP!H1085</f>
        <v>5</v>
      </c>
      <c r="F371" s="1053">
        <f t="shared" si="48"/>
        <v>1914.05</v>
      </c>
      <c r="G371" s="914"/>
      <c r="H371" s="914">
        <f t="shared" si="49"/>
        <v>0</v>
      </c>
      <c r="I371" s="914"/>
      <c r="J371" s="914">
        <f t="shared" si="50"/>
        <v>0</v>
      </c>
      <c r="K371" s="914"/>
      <c r="L371" s="914">
        <f t="shared" si="51"/>
        <v>0</v>
      </c>
      <c r="M371" s="914"/>
      <c r="N371" s="914">
        <f t="shared" si="46"/>
        <v>0</v>
      </c>
      <c r="O371" s="914"/>
      <c r="P371" s="914">
        <f t="shared" si="47"/>
        <v>0</v>
      </c>
      <c r="Q371" s="914"/>
      <c r="R371" s="914">
        <f t="shared" si="52"/>
        <v>0</v>
      </c>
      <c r="S371" s="915">
        <f t="shared" si="53"/>
        <v>5</v>
      </c>
      <c r="T371" s="911">
        <f t="shared" si="54"/>
        <v>1914.05</v>
      </c>
    </row>
    <row r="372" spans="1:114" ht="132" customHeight="1">
      <c r="A372" s="905">
        <v>50.4</v>
      </c>
      <c r="B372" s="906" t="s">
        <v>2184</v>
      </c>
      <c r="C372" s="913">
        <f>ROUND(DATA!K1775,2)</f>
        <v>884.89</v>
      </c>
      <c r="D372" s="908" t="s">
        <v>1393</v>
      </c>
      <c r="E372" s="914">
        <f>DSP!H1088</f>
        <v>5</v>
      </c>
      <c r="F372" s="1053">
        <f t="shared" si="48"/>
        <v>4424.45</v>
      </c>
      <c r="G372" s="914"/>
      <c r="H372" s="914">
        <f t="shared" si="49"/>
        <v>0</v>
      </c>
      <c r="I372" s="914"/>
      <c r="J372" s="914">
        <f t="shared" si="50"/>
        <v>0</v>
      </c>
      <c r="K372" s="914"/>
      <c r="L372" s="914">
        <f t="shared" si="51"/>
        <v>0</v>
      </c>
      <c r="M372" s="914"/>
      <c r="N372" s="914">
        <f t="shared" si="46"/>
        <v>0</v>
      </c>
      <c r="O372" s="914"/>
      <c r="P372" s="914">
        <f t="shared" si="47"/>
        <v>0</v>
      </c>
      <c r="Q372" s="914"/>
      <c r="R372" s="914">
        <f t="shared" si="52"/>
        <v>0</v>
      </c>
      <c r="S372" s="915">
        <f t="shared" si="53"/>
        <v>5</v>
      </c>
      <c r="T372" s="911">
        <f t="shared" si="54"/>
        <v>4424.45</v>
      </c>
    </row>
    <row r="373" spans="1:114" ht="250.5" customHeight="1">
      <c r="A373" s="905">
        <v>50.5</v>
      </c>
      <c r="B373" s="906" t="s">
        <v>388</v>
      </c>
      <c r="C373" s="913">
        <f>ROUND(DATA!K1790,2)</f>
        <v>19336.57</v>
      </c>
      <c r="D373" s="908" t="s">
        <v>1393</v>
      </c>
      <c r="E373" s="914">
        <f>DSP!H1091</f>
        <v>1</v>
      </c>
      <c r="F373" s="1053">
        <f t="shared" si="48"/>
        <v>19336.57</v>
      </c>
      <c r="G373" s="914"/>
      <c r="H373" s="914">
        <f t="shared" si="49"/>
        <v>0</v>
      </c>
      <c r="I373" s="914"/>
      <c r="J373" s="914">
        <f t="shared" si="50"/>
        <v>0</v>
      </c>
      <c r="K373" s="914"/>
      <c r="L373" s="914">
        <f t="shared" si="51"/>
        <v>0</v>
      </c>
      <c r="M373" s="914"/>
      <c r="N373" s="914">
        <f t="shared" si="46"/>
        <v>0</v>
      </c>
      <c r="O373" s="914"/>
      <c r="P373" s="914">
        <f t="shared" si="47"/>
        <v>0</v>
      </c>
      <c r="Q373" s="914"/>
      <c r="R373" s="914">
        <f t="shared" si="52"/>
        <v>0</v>
      </c>
      <c r="S373" s="915">
        <f t="shared" si="53"/>
        <v>1</v>
      </c>
      <c r="T373" s="911">
        <f t="shared" si="54"/>
        <v>19336.57</v>
      </c>
    </row>
    <row r="374" spans="1:114" ht="120.75" customHeight="1">
      <c r="A374" s="905">
        <v>51</v>
      </c>
      <c r="B374" s="906" t="s">
        <v>241</v>
      </c>
      <c r="C374" s="921">
        <f>ROUND(DATA!K1796,2)</f>
        <v>7035</v>
      </c>
      <c r="D374" s="908" t="s">
        <v>1393</v>
      </c>
      <c r="E374" s="919"/>
      <c r="F374" s="1053">
        <f t="shared" si="48"/>
        <v>0</v>
      </c>
      <c r="G374" s="919"/>
      <c r="H374" s="914">
        <f t="shared" si="49"/>
        <v>0</v>
      </c>
      <c r="I374" s="919"/>
      <c r="J374" s="914">
        <f t="shared" si="50"/>
        <v>0</v>
      </c>
      <c r="K374" s="919"/>
      <c r="L374" s="914">
        <f t="shared" si="51"/>
        <v>0</v>
      </c>
      <c r="M374" s="919"/>
      <c r="N374" s="914">
        <f t="shared" si="46"/>
        <v>0</v>
      </c>
      <c r="O374" s="914"/>
      <c r="P374" s="914">
        <f t="shared" si="47"/>
        <v>0</v>
      </c>
      <c r="Q374" s="914"/>
      <c r="R374" s="914">
        <f t="shared" si="52"/>
        <v>0</v>
      </c>
      <c r="S374" s="915">
        <f t="shared" si="53"/>
        <v>0</v>
      </c>
      <c r="T374" s="911">
        <f t="shared" si="54"/>
        <v>0</v>
      </c>
    </row>
    <row r="375" spans="1:114" s="937" customFormat="1" ht="132" customHeight="1">
      <c r="A375" s="916">
        <v>52</v>
      </c>
      <c r="B375" s="925" t="s">
        <v>242</v>
      </c>
      <c r="C375" s="918"/>
      <c r="D375" s="898"/>
      <c r="E375" s="919"/>
      <c r="F375" s="1053">
        <f t="shared" si="48"/>
        <v>0</v>
      </c>
      <c r="G375" s="919"/>
      <c r="H375" s="914">
        <f t="shared" si="49"/>
        <v>0</v>
      </c>
      <c r="I375" s="919"/>
      <c r="J375" s="914">
        <f t="shared" si="50"/>
        <v>0</v>
      </c>
      <c r="K375" s="919"/>
      <c r="L375" s="914">
        <f t="shared" si="51"/>
        <v>0</v>
      </c>
      <c r="M375" s="919"/>
      <c r="N375" s="914">
        <f t="shared" si="46"/>
        <v>0</v>
      </c>
      <c r="O375" s="914"/>
      <c r="P375" s="914">
        <f t="shared" si="47"/>
        <v>0</v>
      </c>
      <c r="Q375" s="914"/>
      <c r="R375" s="914">
        <f t="shared" si="52"/>
        <v>0</v>
      </c>
      <c r="S375" s="915">
        <f t="shared" si="53"/>
        <v>0</v>
      </c>
      <c r="T375" s="911">
        <f t="shared" si="54"/>
        <v>0</v>
      </c>
      <c r="U375" s="1172"/>
      <c r="V375" s="1172"/>
      <c r="W375" s="1172"/>
      <c r="X375" s="1172"/>
      <c r="Y375" s="1172"/>
      <c r="Z375" s="1172"/>
      <c r="AA375" s="1172"/>
      <c r="AB375" s="1172"/>
      <c r="AC375" s="1172"/>
      <c r="AD375" s="1172"/>
      <c r="AE375" s="1172"/>
      <c r="AF375" s="1172"/>
      <c r="AG375" s="1172"/>
      <c r="AH375" s="1172"/>
      <c r="AI375" s="1172"/>
      <c r="AJ375" s="1172"/>
      <c r="AK375" s="1172"/>
      <c r="AL375" s="1172"/>
      <c r="AM375" s="1172"/>
      <c r="AN375" s="1172"/>
      <c r="AO375" s="1172"/>
      <c r="AP375" s="1172"/>
      <c r="AQ375" s="1172"/>
      <c r="AR375" s="1172"/>
      <c r="AS375" s="1172"/>
      <c r="AT375" s="1172"/>
      <c r="AU375" s="1172"/>
      <c r="AV375" s="1172"/>
      <c r="AW375" s="1172"/>
      <c r="AX375" s="1172"/>
      <c r="AY375" s="1172"/>
      <c r="AZ375" s="1172"/>
      <c r="BA375" s="1172"/>
      <c r="BB375" s="1172"/>
      <c r="BC375" s="1172"/>
      <c r="BD375" s="1172"/>
      <c r="BE375" s="1172"/>
      <c r="BF375" s="1172"/>
      <c r="BG375" s="1172"/>
      <c r="BH375" s="1172"/>
      <c r="BI375" s="1172"/>
      <c r="BJ375" s="1172"/>
      <c r="BK375" s="1172"/>
      <c r="BL375" s="1172"/>
      <c r="BM375" s="1172"/>
      <c r="BN375" s="1172"/>
      <c r="BO375" s="1172"/>
      <c r="BP375" s="1172"/>
      <c r="BQ375" s="1172"/>
      <c r="BR375" s="1172"/>
      <c r="BS375" s="1172"/>
      <c r="BT375" s="1172"/>
      <c r="BU375" s="1172"/>
      <c r="BV375" s="1172"/>
      <c r="BW375" s="1172"/>
      <c r="BX375" s="1172"/>
      <c r="BY375" s="1172"/>
      <c r="BZ375" s="1172"/>
      <c r="CA375" s="1172"/>
      <c r="CB375" s="1172"/>
      <c r="CC375" s="1172"/>
      <c r="CD375" s="1172"/>
      <c r="CE375" s="1172"/>
      <c r="CF375" s="1172"/>
      <c r="CG375" s="1172"/>
      <c r="CH375" s="1172"/>
      <c r="CI375" s="1172"/>
      <c r="CJ375" s="1172"/>
      <c r="CK375" s="1172"/>
      <c r="CL375" s="1172"/>
      <c r="CM375" s="1172"/>
      <c r="CN375" s="1172"/>
      <c r="CO375" s="1172"/>
      <c r="CP375" s="1172"/>
      <c r="CQ375" s="1172"/>
      <c r="CR375" s="1172"/>
      <c r="CS375" s="1172"/>
      <c r="CT375" s="1172"/>
      <c r="CU375" s="1172"/>
      <c r="CV375" s="1172"/>
      <c r="CW375" s="1172"/>
      <c r="CX375" s="1172"/>
      <c r="CY375" s="1172"/>
      <c r="CZ375" s="1172"/>
      <c r="DA375" s="1172"/>
      <c r="DB375" s="1172"/>
      <c r="DC375" s="1172"/>
      <c r="DD375" s="1172"/>
      <c r="DE375" s="1172"/>
      <c r="DF375" s="1172"/>
      <c r="DG375" s="1172"/>
      <c r="DH375" s="1172"/>
      <c r="DI375" s="1172"/>
      <c r="DJ375" s="1172"/>
    </row>
    <row r="376" spans="1:114" s="937" customFormat="1" ht="132" customHeight="1">
      <c r="A376" s="936"/>
      <c r="B376" s="917" t="s">
        <v>46</v>
      </c>
      <c r="C376" s="1180">
        <f>'Print Data'!F761</f>
        <v>252.72</v>
      </c>
      <c r="D376" s="898" t="s">
        <v>823</v>
      </c>
      <c r="E376" s="919">
        <f>DSP!H1096</f>
        <v>12.5</v>
      </c>
      <c r="F376" s="1053">
        <f t="shared" si="48"/>
        <v>3159</v>
      </c>
      <c r="G376" s="919"/>
      <c r="H376" s="914">
        <f t="shared" si="49"/>
        <v>0</v>
      </c>
      <c r="I376" s="919"/>
      <c r="J376" s="914">
        <f t="shared" si="50"/>
        <v>0</v>
      </c>
      <c r="K376" s="919"/>
      <c r="L376" s="914">
        <f t="shared" si="51"/>
        <v>0</v>
      </c>
      <c r="M376" s="919"/>
      <c r="N376" s="914">
        <f t="shared" si="46"/>
        <v>0</v>
      </c>
      <c r="O376" s="914"/>
      <c r="P376" s="914">
        <f t="shared" si="47"/>
        <v>0</v>
      </c>
      <c r="Q376" s="914"/>
      <c r="R376" s="914">
        <f t="shared" si="52"/>
        <v>0</v>
      </c>
      <c r="S376" s="915">
        <f t="shared" si="53"/>
        <v>12.5</v>
      </c>
      <c r="T376" s="911">
        <f t="shared" si="54"/>
        <v>3159</v>
      </c>
      <c r="U376" s="1172"/>
      <c r="V376" s="1172"/>
      <c r="W376" s="1172"/>
      <c r="X376" s="1172"/>
      <c r="Y376" s="1172"/>
      <c r="Z376" s="1172"/>
      <c r="AA376" s="1172"/>
      <c r="AB376" s="1172"/>
      <c r="AC376" s="1172"/>
      <c r="AD376" s="1172"/>
      <c r="AE376" s="1172"/>
      <c r="AF376" s="1172"/>
      <c r="AG376" s="1172"/>
      <c r="AH376" s="1172"/>
      <c r="AI376" s="1172"/>
      <c r="AJ376" s="1172"/>
      <c r="AK376" s="1172"/>
      <c r="AL376" s="1172"/>
      <c r="AM376" s="1172"/>
      <c r="AN376" s="1172"/>
      <c r="AO376" s="1172"/>
      <c r="AP376" s="1172"/>
      <c r="AQ376" s="1172"/>
      <c r="AR376" s="1172"/>
      <c r="AS376" s="1172"/>
      <c r="AT376" s="1172"/>
      <c r="AU376" s="1172"/>
      <c r="AV376" s="1172"/>
      <c r="AW376" s="1172"/>
      <c r="AX376" s="1172"/>
      <c r="AY376" s="1172"/>
      <c r="AZ376" s="1172"/>
      <c r="BA376" s="1172"/>
      <c r="BB376" s="1172"/>
      <c r="BC376" s="1172"/>
      <c r="BD376" s="1172"/>
      <c r="BE376" s="1172"/>
      <c r="BF376" s="1172"/>
      <c r="BG376" s="1172"/>
      <c r="BH376" s="1172"/>
      <c r="BI376" s="1172"/>
      <c r="BJ376" s="1172"/>
      <c r="BK376" s="1172"/>
      <c r="BL376" s="1172"/>
      <c r="BM376" s="1172"/>
      <c r="BN376" s="1172"/>
      <c r="BO376" s="1172"/>
      <c r="BP376" s="1172"/>
      <c r="BQ376" s="1172"/>
      <c r="BR376" s="1172"/>
      <c r="BS376" s="1172"/>
      <c r="BT376" s="1172"/>
      <c r="BU376" s="1172"/>
      <c r="BV376" s="1172"/>
      <c r="BW376" s="1172"/>
      <c r="BX376" s="1172"/>
      <c r="BY376" s="1172"/>
      <c r="BZ376" s="1172"/>
      <c r="CA376" s="1172"/>
      <c r="CB376" s="1172"/>
      <c r="CC376" s="1172"/>
      <c r="CD376" s="1172"/>
      <c r="CE376" s="1172"/>
      <c r="CF376" s="1172"/>
      <c r="CG376" s="1172"/>
      <c r="CH376" s="1172"/>
      <c r="CI376" s="1172"/>
      <c r="CJ376" s="1172"/>
      <c r="CK376" s="1172"/>
      <c r="CL376" s="1172"/>
      <c r="CM376" s="1172"/>
      <c r="CN376" s="1172"/>
      <c r="CO376" s="1172"/>
      <c r="CP376" s="1172"/>
      <c r="CQ376" s="1172"/>
      <c r="CR376" s="1172"/>
      <c r="CS376" s="1172"/>
      <c r="CT376" s="1172"/>
      <c r="CU376" s="1172"/>
      <c r="CV376" s="1172"/>
      <c r="CW376" s="1172"/>
      <c r="CX376" s="1172"/>
      <c r="CY376" s="1172"/>
      <c r="CZ376" s="1172"/>
      <c r="DA376" s="1172"/>
      <c r="DB376" s="1172"/>
      <c r="DC376" s="1172"/>
      <c r="DD376" s="1172"/>
      <c r="DE376" s="1172"/>
      <c r="DF376" s="1172"/>
      <c r="DG376" s="1172"/>
      <c r="DH376" s="1172"/>
      <c r="DI376" s="1172"/>
      <c r="DJ376" s="1172"/>
    </row>
    <row r="377" spans="1:114" s="937" customFormat="1" ht="132" customHeight="1">
      <c r="A377" s="936"/>
      <c r="B377" s="917" t="s">
        <v>47</v>
      </c>
      <c r="C377" s="1180">
        <f>'Print Data'!F753</f>
        <v>234.47</v>
      </c>
      <c r="D377" s="898" t="s">
        <v>823</v>
      </c>
      <c r="E377" s="919">
        <f>DSP!H1103</f>
        <v>102.9</v>
      </c>
      <c r="F377" s="1053">
        <f t="shared" si="48"/>
        <v>24126.959999999999</v>
      </c>
      <c r="G377" s="919"/>
      <c r="H377" s="914">
        <f t="shared" si="49"/>
        <v>0</v>
      </c>
      <c r="I377" s="919"/>
      <c r="J377" s="914">
        <f t="shared" si="50"/>
        <v>0</v>
      </c>
      <c r="K377" s="919"/>
      <c r="L377" s="914">
        <f t="shared" si="51"/>
        <v>0</v>
      </c>
      <c r="M377" s="919"/>
      <c r="N377" s="914">
        <f t="shared" si="46"/>
        <v>0</v>
      </c>
      <c r="O377" s="914"/>
      <c r="P377" s="914">
        <f t="shared" si="47"/>
        <v>0</v>
      </c>
      <c r="Q377" s="914"/>
      <c r="R377" s="914">
        <f t="shared" si="52"/>
        <v>0</v>
      </c>
      <c r="S377" s="915">
        <f t="shared" si="53"/>
        <v>102.9</v>
      </c>
      <c r="T377" s="911">
        <f t="shared" si="54"/>
        <v>24126.959999999999</v>
      </c>
      <c r="U377" s="1172"/>
      <c r="V377" s="1172"/>
      <c r="W377" s="1172"/>
      <c r="X377" s="1172"/>
      <c r="Y377" s="1172"/>
      <c r="Z377" s="1172"/>
      <c r="AA377" s="1172"/>
      <c r="AB377" s="1172"/>
      <c r="AC377" s="1172"/>
      <c r="AD377" s="1172"/>
      <c r="AE377" s="1172"/>
      <c r="AF377" s="1172"/>
      <c r="AG377" s="1172"/>
      <c r="AH377" s="1172"/>
      <c r="AI377" s="1172"/>
      <c r="AJ377" s="1172"/>
      <c r="AK377" s="1172"/>
      <c r="AL377" s="1172"/>
      <c r="AM377" s="1172"/>
      <c r="AN377" s="1172"/>
      <c r="AO377" s="1172"/>
      <c r="AP377" s="1172"/>
      <c r="AQ377" s="1172"/>
      <c r="AR377" s="1172"/>
      <c r="AS377" s="1172"/>
      <c r="AT377" s="1172"/>
      <c r="AU377" s="1172"/>
      <c r="AV377" s="1172"/>
      <c r="AW377" s="1172"/>
      <c r="AX377" s="1172"/>
      <c r="AY377" s="1172"/>
      <c r="AZ377" s="1172"/>
      <c r="BA377" s="1172"/>
      <c r="BB377" s="1172"/>
      <c r="BC377" s="1172"/>
      <c r="BD377" s="1172"/>
      <c r="BE377" s="1172"/>
      <c r="BF377" s="1172"/>
      <c r="BG377" s="1172"/>
      <c r="BH377" s="1172"/>
      <c r="BI377" s="1172"/>
      <c r="BJ377" s="1172"/>
      <c r="BK377" s="1172"/>
      <c r="BL377" s="1172"/>
      <c r="BM377" s="1172"/>
      <c r="BN377" s="1172"/>
      <c r="BO377" s="1172"/>
      <c r="BP377" s="1172"/>
      <c r="BQ377" s="1172"/>
      <c r="BR377" s="1172"/>
      <c r="BS377" s="1172"/>
      <c r="BT377" s="1172"/>
      <c r="BU377" s="1172"/>
      <c r="BV377" s="1172"/>
      <c r="BW377" s="1172"/>
      <c r="BX377" s="1172"/>
      <c r="BY377" s="1172"/>
      <c r="BZ377" s="1172"/>
      <c r="CA377" s="1172"/>
      <c r="CB377" s="1172"/>
      <c r="CC377" s="1172"/>
      <c r="CD377" s="1172"/>
      <c r="CE377" s="1172"/>
      <c r="CF377" s="1172"/>
      <c r="CG377" s="1172"/>
      <c r="CH377" s="1172"/>
      <c r="CI377" s="1172"/>
      <c r="CJ377" s="1172"/>
      <c r="CK377" s="1172"/>
      <c r="CL377" s="1172"/>
      <c r="CM377" s="1172"/>
      <c r="CN377" s="1172"/>
      <c r="CO377" s="1172"/>
      <c r="CP377" s="1172"/>
      <c r="CQ377" s="1172"/>
      <c r="CR377" s="1172"/>
      <c r="CS377" s="1172"/>
      <c r="CT377" s="1172"/>
      <c r="CU377" s="1172"/>
      <c r="CV377" s="1172"/>
      <c r="CW377" s="1172"/>
      <c r="CX377" s="1172"/>
      <c r="CY377" s="1172"/>
      <c r="CZ377" s="1172"/>
      <c r="DA377" s="1172"/>
      <c r="DB377" s="1172"/>
      <c r="DC377" s="1172"/>
      <c r="DD377" s="1172"/>
      <c r="DE377" s="1172"/>
      <c r="DF377" s="1172"/>
      <c r="DG377" s="1172"/>
      <c r="DH377" s="1172"/>
      <c r="DI377" s="1172"/>
      <c r="DJ377" s="1172"/>
    </row>
    <row r="378" spans="1:114" ht="132" customHeight="1">
      <c r="A378" s="931"/>
      <c r="B378" s="906" t="s">
        <v>48</v>
      </c>
      <c r="C378" s="1059">
        <f>'Print Data'!F745</f>
        <v>229.61</v>
      </c>
      <c r="D378" s="908" t="s">
        <v>823</v>
      </c>
      <c r="E378" s="919"/>
      <c r="F378" s="1053">
        <f t="shared" si="48"/>
        <v>0</v>
      </c>
      <c r="G378" s="919"/>
      <c r="H378" s="914">
        <f t="shared" si="49"/>
        <v>0</v>
      </c>
      <c r="I378" s="919"/>
      <c r="J378" s="914">
        <f t="shared" si="50"/>
        <v>0</v>
      </c>
      <c r="K378" s="919"/>
      <c r="L378" s="914">
        <f t="shared" si="51"/>
        <v>0</v>
      </c>
      <c r="M378" s="919"/>
      <c r="N378" s="914">
        <f t="shared" si="46"/>
        <v>0</v>
      </c>
      <c r="O378" s="914"/>
      <c r="P378" s="914">
        <f t="shared" si="47"/>
        <v>0</v>
      </c>
      <c r="Q378" s="914"/>
      <c r="R378" s="914">
        <f t="shared" si="52"/>
        <v>0</v>
      </c>
      <c r="S378" s="915">
        <f t="shared" si="53"/>
        <v>0</v>
      </c>
      <c r="T378" s="911">
        <f t="shared" si="54"/>
        <v>0</v>
      </c>
    </row>
    <row r="379" spans="1:114" ht="250.5" customHeight="1">
      <c r="A379" s="905">
        <v>52.1</v>
      </c>
      <c r="B379" s="944" t="s">
        <v>1514</v>
      </c>
      <c r="C379" s="1209">
        <f>'Print Data'!F798</f>
        <v>311.44</v>
      </c>
      <c r="D379" s="908" t="s">
        <v>823</v>
      </c>
      <c r="E379" s="919">
        <f>DSP!H1105</f>
        <v>18.5</v>
      </c>
      <c r="F379" s="1053">
        <f t="shared" si="48"/>
        <v>5761.64</v>
      </c>
      <c r="G379" s="914"/>
      <c r="H379" s="914">
        <f t="shared" si="49"/>
        <v>0</v>
      </c>
      <c r="I379" s="914"/>
      <c r="J379" s="914">
        <f t="shared" si="50"/>
        <v>0</v>
      </c>
      <c r="K379" s="914"/>
      <c r="L379" s="914">
        <f t="shared" si="51"/>
        <v>0</v>
      </c>
      <c r="M379" s="914"/>
      <c r="N379" s="914">
        <f t="shared" si="46"/>
        <v>0</v>
      </c>
      <c r="O379" s="914"/>
      <c r="P379" s="914">
        <f t="shared" si="47"/>
        <v>0</v>
      </c>
      <c r="Q379" s="914"/>
      <c r="R379" s="914">
        <f t="shared" si="52"/>
        <v>0</v>
      </c>
      <c r="S379" s="915">
        <f t="shared" si="53"/>
        <v>18.5</v>
      </c>
      <c r="T379" s="911">
        <f t="shared" si="54"/>
        <v>5761.64</v>
      </c>
    </row>
    <row r="380" spans="1:114" ht="138" hidden="1" customHeight="1">
      <c r="A380" s="905">
        <v>53.1</v>
      </c>
      <c r="B380" s="906" t="s">
        <v>49</v>
      </c>
      <c r="C380" s="921">
        <f>ROUND(DATA!K1948,2)</f>
        <v>3337.32</v>
      </c>
      <c r="D380" s="908" t="s">
        <v>1393</v>
      </c>
      <c r="E380" s="919"/>
      <c r="F380" s="1053">
        <f t="shared" si="48"/>
        <v>0</v>
      </c>
      <c r="G380" s="919"/>
      <c r="H380" s="914">
        <f t="shared" si="49"/>
        <v>0</v>
      </c>
      <c r="I380" s="919"/>
      <c r="J380" s="914">
        <f t="shared" si="50"/>
        <v>0</v>
      </c>
      <c r="K380" s="919"/>
      <c r="L380" s="914">
        <f t="shared" si="51"/>
        <v>0</v>
      </c>
      <c r="M380" s="919"/>
      <c r="N380" s="914">
        <f t="shared" si="46"/>
        <v>0</v>
      </c>
      <c r="O380" s="914"/>
      <c r="P380" s="914">
        <f t="shared" si="47"/>
        <v>0</v>
      </c>
      <c r="Q380" s="914"/>
      <c r="R380" s="914">
        <f t="shared" si="52"/>
        <v>0</v>
      </c>
      <c r="S380" s="915">
        <f t="shared" si="53"/>
        <v>0</v>
      </c>
      <c r="T380" s="911">
        <f t="shared" si="54"/>
        <v>0</v>
      </c>
    </row>
    <row r="381" spans="1:114" ht="138" hidden="1" customHeight="1">
      <c r="A381" s="905">
        <v>53.2</v>
      </c>
      <c r="B381" s="906" t="s">
        <v>1179</v>
      </c>
      <c r="C381" s="921"/>
      <c r="D381" s="908" t="s">
        <v>1393</v>
      </c>
      <c r="E381" s="919"/>
      <c r="F381" s="1053">
        <f t="shared" si="48"/>
        <v>0</v>
      </c>
      <c r="G381" s="919"/>
      <c r="H381" s="914">
        <f t="shared" si="49"/>
        <v>0</v>
      </c>
      <c r="I381" s="919"/>
      <c r="J381" s="914">
        <f t="shared" si="50"/>
        <v>0</v>
      </c>
      <c r="K381" s="919"/>
      <c r="L381" s="914">
        <f t="shared" si="51"/>
        <v>0</v>
      </c>
      <c r="M381" s="919"/>
      <c r="N381" s="914">
        <f t="shared" si="46"/>
        <v>0</v>
      </c>
      <c r="O381" s="914"/>
      <c r="P381" s="914">
        <f t="shared" si="47"/>
        <v>0</v>
      </c>
      <c r="Q381" s="914"/>
      <c r="R381" s="914">
        <f t="shared" si="52"/>
        <v>0</v>
      </c>
      <c r="S381" s="915">
        <f t="shared" si="53"/>
        <v>0</v>
      </c>
      <c r="T381" s="911">
        <f t="shared" si="54"/>
        <v>0</v>
      </c>
    </row>
    <row r="382" spans="1:114" ht="250.5" hidden="1" customHeight="1">
      <c r="A382" s="905">
        <v>53.3</v>
      </c>
      <c r="B382" s="906" t="s">
        <v>50</v>
      </c>
      <c r="C382" s="913">
        <f>ROUND(DATA!K1952,2)</f>
        <v>30</v>
      </c>
      <c r="D382" s="908" t="s">
        <v>1393</v>
      </c>
      <c r="E382" s="914"/>
      <c r="F382" s="1053">
        <f t="shared" si="48"/>
        <v>0</v>
      </c>
      <c r="G382" s="914"/>
      <c r="H382" s="914">
        <f t="shared" si="49"/>
        <v>0</v>
      </c>
      <c r="I382" s="914"/>
      <c r="J382" s="914">
        <f t="shared" si="50"/>
        <v>0</v>
      </c>
      <c r="K382" s="914"/>
      <c r="L382" s="914">
        <f t="shared" si="51"/>
        <v>0</v>
      </c>
      <c r="M382" s="914"/>
      <c r="N382" s="914">
        <f t="shared" si="46"/>
        <v>0</v>
      </c>
      <c r="O382" s="914"/>
      <c r="P382" s="914">
        <f t="shared" si="47"/>
        <v>0</v>
      </c>
      <c r="Q382" s="914"/>
      <c r="R382" s="914">
        <f t="shared" si="52"/>
        <v>0</v>
      </c>
      <c r="S382" s="915">
        <f t="shared" si="53"/>
        <v>0</v>
      </c>
      <c r="T382" s="911">
        <f t="shared" si="54"/>
        <v>0</v>
      </c>
    </row>
    <row r="383" spans="1:114" ht="250.5" hidden="1" customHeight="1">
      <c r="A383" s="946">
        <v>54</v>
      </c>
      <c r="B383" s="906" t="s">
        <v>973</v>
      </c>
      <c r="C383" s="921">
        <f>ROUND(DATA!K1954,2)</f>
        <v>206</v>
      </c>
      <c r="D383" s="908" t="s">
        <v>1393</v>
      </c>
      <c r="E383" s="919"/>
      <c r="F383" s="1053">
        <f t="shared" si="48"/>
        <v>0</v>
      </c>
      <c r="G383" s="919"/>
      <c r="H383" s="914">
        <f t="shared" si="49"/>
        <v>0</v>
      </c>
      <c r="I383" s="919"/>
      <c r="J383" s="914">
        <f t="shared" si="50"/>
        <v>0</v>
      </c>
      <c r="K383" s="919"/>
      <c r="L383" s="914">
        <f t="shared" si="51"/>
        <v>0</v>
      </c>
      <c r="M383" s="919"/>
      <c r="N383" s="914">
        <f t="shared" si="46"/>
        <v>0</v>
      </c>
      <c r="O383" s="914"/>
      <c r="P383" s="914">
        <f t="shared" si="47"/>
        <v>0</v>
      </c>
      <c r="Q383" s="914"/>
      <c r="R383" s="914">
        <f t="shared" si="52"/>
        <v>0</v>
      </c>
      <c r="S383" s="915">
        <f t="shared" si="53"/>
        <v>0</v>
      </c>
      <c r="T383" s="911">
        <f t="shared" si="54"/>
        <v>0</v>
      </c>
    </row>
    <row r="384" spans="1:114" ht="250.5" hidden="1" customHeight="1">
      <c r="A384" s="905">
        <v>54.1</v>
      </c>
      <c r="B384" s="906" t="s">
        <v>1180</v>
      </c>
      <c r="C384" s="913">
        <f>ROUND(DATA!K1957,2)</f>
        <v>300</v>
      </c>
      <c r="D384" s="908" t="s">
        <v>1393</v>
      </c>
      <c r="E384" s="919"/>
      <c r="F384" s="1053">
        <f t="shared" si="48"/>
        <v>0</v>
      </c>
      <c r="G384" s="919"/>
      <c r="H384" s="914">
        <f t="shared" si="49"/>
        <v>0</v>
      </c>
      <c r="I384" s="919"/>
      <c r="J384" s="914">
        <f t="shared" si="50"/>
        <v>0</v>
      </c>
      <c r="K384" s="919"/>
      <c r="L384" s="914">
        <f t="shared" si="51"/>
        <v>0</v>
      </c>
      <c r="M384" s="919"/>
      <c r="N384" s="914">
        <f t="shared" si="46"/>
        <v>0</v>
      </c>
      <c r="O384" s="914"/>
      <c r="P384" s="914">
        <f t="shared" si="47"/>
        <v>0</v>
      </c>
      <c r="Q384" s="914"/>
      <c r="R384" s="914">
        <f t="shared" si="52"/>
        <v>0</v>
      </c>
      <c r="S384" s="915">
        <f t="shared" si="53"/>
        <v>0</v>
      </c>
      <c r="T384" s="911">
        <f t="shared" si="54"/>
        <v>0</v>
      </c>
    </row>
    <row r="385" spans="1:114" ht="250.5" hidden="1" customHeight="1">
      <c r="A385" s="905">
        <v>54.2</v>
      </c>
      <c r="B385" s="906" t="s">
        <v>1181</v>
      </c>
      <c r="C385" s="913">
        <f>ROUND(DATA!K1960,2)</f>
        <v>250</v>
      </c>
      <c r="D385" s="908" t="s">
        <v>1393</v>
      </c>
      <c r="E385" s="919"/>
      <c r="F385" s="1053">
        <f t="shared" si="48"/>
        <v>0</v>
      </c>
      <c r="G385" s="919"/>
      <c r="H385" s="914">
        <f t="shared" si="49"/>
        <v>0</v>
      </c>
      <c r="I385" s="919"/>
      <c r="J385" s="914">
        <f t="shared" si="50"/>
        <v>0</v>
      </c>
      <c r="K385" s="919"/>
      <c r="L385" s="914">
        <f t="shared" si="51"/>
        <v>0</v>
      </c>
      <c r="M385" s="919"/>
      <c r="N385" s="914">
        <f t="shared" si="46"/>
        <v>0</v>
      </c>
      <c r="O385" s="914"/>
      <c r="P385" s="914">
        <f t="shared" si="47"/>
        <v>0</v>
      </c>
      <c r="Q385" s="914"/>
      <c r="R385" s="914">
        <f t="shared" si="52"/>
        <v>0</v>
      </c>
      <c r="S385" s="915">
        <f t="shared" si="53"/>
        <v>0</v>
      </c>
      <c r="T385" s="911">
        <f t="shared" si="54"/>
        <v>0</v>
      </c>
    </row>
    <row r="386" spans="1:114" ht="250.5" hidden="1" customHeight="1">
      <c r="A386" s="905">
        <v>55.1</v>
      </c>
      <c r="B386" s="906" t="s">
        <v>1213</v>
      </c>
      <c r="C386" s="921">
        <f>DATA!K2403</f>
        <v>886.53</v>
      </c>
      <c r="D386" s="908" t="s">
        <v>1393</v>
      </c>
      <c r="E386" s="919"/>
      <c r="F386" s="1053">
        <f t="shared" si="48"/>
        <v>0</v>
      </c>
      <c r="G386" s="919"/>
      <c r="H386" s="914">
        <f t="shared" si="49"/>
        <v>0</v>
      </c>
      <c r="I386" s="919"/>
      <c r="J386" s="914">
        <f t="shared" si="50"/>
        <v>0</v>
      </c>
      <c r="K386" s="919"/>
      <c r="L386" s="914">
        <f t="shared" si="51"/>
        <v>0</v>
      </c>
      <c r="M386" s="919"/>
      <c r="N386" s="914">
        <f t="shared" si="46"/>
        <v>0</v>
      </c>
      <c r="O386" s="914"/>
      <c r="P386" s="914">
        <f t="shared" si="47"/>
        <v>0</v>
      </c>
      <c r="Q386" s="914"/>
      <c r="R386" s="914">
        <f t="shared" si="52"/>
        <v>0</v>
      </c>
      <c r="S386" s="915">
        <f t="shared" si="53"/>
        <v>0</v>
      </c>
      <c r="T386" s="911">
        <f t="shared" si="54"/>
        <v>0</v>
      </c>
    </row>
    <row r="387" spans="1:114" ht="250.5" hidden="1" customHeight="1">
      <c r="A387" s="905">
        <v>55.2</v>
      </c>
      <c r="B387" s="906" t="s">
        <v>1214</v>
      </c>
      <c r="C387" s="921">
        <f>DATA!K2415</f>
        <v>2198.25</v>
      </c>
      <c r="D387" s="908" t="s">
        <v>1393</v>
      </c>
      <c r="E387" s="914"/>
      <c r="F387" s="1053">
        <f t="shared" si="48"/>
        <v>0</v>
      </c>
      <c r="G387" s="914"/>
      <c r="H387" s="914">
        <f t="shared" si="49"/>
        <v>0</v>
      </c>
      <c r="I387" s="914"/>
      <c r="J387" s="914">
        <f t="shared" si="50"/>
        <v>0</v>
      </c>
      <c r="K387" s="914"/>
      <c r="L387" s="914">
        <f t="shared" si="51"/>
        <v>0</v>
      </c>
      <c r="M387" s="914"/>
      <c r="N387" s="914">
        <f t="shared" si="46"/>
        <v>0</v>
      </c>
      <c r="O387" s="914"/>
      <c r="P387" s="914">
        <f t="shared" si="47"/>
        <v>0</v>
      </c>
      <c r="Q387" s="914"/>
      <c r="R387" s="914">
        <f t="shared" si="52"/>
        <v>0</v>
      </c>
      <c r="S387" s="915">
        <f t="shared" si="53"/>
        <v>0</v>
      </c>
      <c r="T387" s="911">
        <f t="shared" si="54"/>
        <v>0</v>
      </c>
    </row>
    <row r="388" spans="1:114" ht="250.5" hidden="1" customHeight="1">
      <c r="A388" s="905">
        <v>56.1</v>
      </c>
      <c r="B388" s="906" t="s">
        <v>1215</v>
      </c>
      <c r="C388" s="921">
        <f>ROUND(DATA!K1977,2)</f>
        <v>3359.24</v>
      </c>
      <c r="D388" s="908" t="s">
        <v>1393</v>
      </c>
      <c r="E388" s="919"/>
      <c r="F388" s="1053">
        <f t="shared" si="48"/>
        <v>0</v>
      </c>
      <c r="G388" s="919"/>
      <c r="H388" s="914">
        <f t="shared" si="49"/>
        <v>0</v>
      </c>
      <c r="I388" s="919"/>
      <c r="J388" s="914">
        <f t="shared" si="50"/>
        <v>0</v>
      </c>
      <c r="K388" s="919"/>
      <c r="L388" s="914">
        <f t="shared" si="51"/>
        <v>0</v>
      </c>
      <c r="M388" s="919"/>
      <c r="N388" s="914">
        <f t="shared" si="46"/>
        <v>0</v>
      </c>
      <c r="O388" s="914"/>
      <c r="P388" s="914">
        <f t="shared" si="47"/>
        <v>0</v>
      </c>
      <c r="Q388" s="914"/>
      <c r="R388" s="914">
        <f t="shared" si="52"/>
        <v>0</v>
      </c>
      <c r="S388" s="915">
        <f t="shared" si="53"/>
        <v>0</v>
      </c>
      <c r="T388" s="911">
        <f t="shared" si="54"/>
        <v>0</v>
      </c>
    </row>
    <row r="389" spans="1:114" ht="250.5" hidden="1" customHeight="1">
      <c r="A389" s="905">
        <v>56.2</v>
      </c>
      <c r="B389" s="906" t="s">
        <v>2279</v>
      </c>
      <c r="C389" s="921">
        <f>ROUND(DATA!K1998,2)</f>
        <v>5214.37</v>
      </c>
      <c r="D389" s="908" t="s">
        <v>1393</v>
      </c>
      <c r="E389" s="919"/>
      <c r="F389" s="1053">
        <f t="shared" si="48"/>
        <v>0</v>
      </c>
      <c r="G389" s="919"/>
      <c r="H389" s="914">
        <f t="shared" si="49"/>
        <v>0</v>
      </c>
      <c r="I389" s="919"/>
      <c r="J389" s="914">
        <f t="shared" si="50"/>
        <v>0</v>
      </c>
      <c r="K389" s="919"/>
      <c r="L389" s="914">
        <f t="shared" si="51"/>
        <v>0</v>
      </c>
      <c r="M389" s="919"/>
      <c r="N389" s="914">
        <f t="shared" si="46"/>
        <v>0</v>
      </c>
      <c r="O389" s="914"/>
      <c r="P389" s="914">
        <f t="shared" si="47"/>
        <v>0</v>
      </c>
      <c r="Q389" s="914"/>
      <c r="R389" s="914">
        <f t="shared" si="52"/>
        <v>0</v>
      </c>
      <c r="S389" s="915">
        <f t="shared" si="53"/>
        <v>0</v>
      </c>
      <c r="T389" s="911">
        <f t="shared" si="54"/>
        <v>0</v>
      </c>
    </row>
    <row r="390" spans="1:114" ht="250.5" hidden="1" customHeight="1">
      <c r="A390" s="946">
        <v>57</v>
      </c>
      <c r="B390" s="906" t="s">
        <v>389</v>
      </c>
      <c r="C390" s="913">
        <f>ROUND(DATA!K2015,2)</f>
        <v>7114.2</v>
      </c>
      <c r="D390" s="908" t="s">
        <v>1393</v>
      </c>
      <c r="E390" s="919"/>
      <c r="F390" s="1053">
        <f t="shared" si="48"/>
        <v>0</v>
      </c>
      <c r="G390" s="919"/>
      <c r="H390" s="914">
        <f t="shared" si="49"/>
        <v>0</v>
      </c>
      <c r="I390" s="919"/>
      <c r="J390" s="914">
        <f t="shared" si="50"/>
        <v>0</v>
      </c>
      <c r="K390" s="919"/>
      <c r="L390" s="914">
        <f t="shared" si="51"/>
        <v>0</v>
      </c>
      <c r="M390" s="919"/>
      <c r="N390" s="914">
        <f t="shared" si="46"/>
        <v>0</v>
      </c>
      <c r="O390" s="914"/>
      <c r="P390" s="914">
        <f t="shared" si="47"/>
        <v>0</v>
      </c>
      <c r="Q390" s="914"/>
      <c r="R390" s="914">
        <f t="shared" si="52"/>
        <v>0</v>
      </c>
      <c r="S390" s="915">
        <f t="shared" si="53"/>
        <v>0</v>
      </c>
      <c r="T390" s="911">
        <f t="shared" si="54"/>
        <v>0</v>
      </c>
    </row>
    <row r="391" spans="1:114" ht="250.5" hidden="1" customHeight="1">
      <c r="A391" s="905">
        <v>57.1</v>
      </c>
      <c r="B391" s="906" t="s">
        <v>390</v>
      </c>
      <c r="C391" s="921">
        <f>ROUND(DATA!K2034,2)</f>
        <v>7508.2</v>
      </c>
      <c r="D391" s="908" t="s">
        <v>1393</v>
      </c>
      <c r="E391" s="919"/>
      <c r="F391" s="1053">
        <f t="shared" si="48"/>
        <v>0</v>
      </c>
      <c r="G391" s="919"/>
      <c r="H391" s="914">
        <f t="shared" si="49"/>
        <v>0</v>
      </c>
      <c r="I391" s="919"/>
      <c r="J391" s="914">
        <f t="shared" si="50"/>
        <v>0</v>
      </c>
      <c r="K391" s="919"/>
      <c r="L391" s="914">
        <f t="shared" si="51"/>
        <v>0</v>
      </c>
      <c r="M391" s="919"/>
      <c r="N391" s="914">
        <f t="shared" ref="N391:N452" si="55">M391*C391</f>
        <v>0</v>
      </c>
      <c r="O391" s="914"/>
      <c r="P391" s="914">
        <f t="shared" ref="P391:P454" si="56">O391*C391</f>
        <v>0</v>
      </c>
      <c r="Q391" s="914"/>
      <c r="R391" s="914">
        <f t="shared" si="52"/>
        <v>0</v>
      </c>
      <c r="S391" s="915">
        <f t="shared" si="53"/>
        <v>0</v>
      </c>
      <c r="T391" s="911">
        <f t="shared" si="54"/>
        <v>0</v>
      </c>
    </row>
    <row r="392" spans="1:114" ht="250.5" hidden="1" customHeight="1">
      <c r="A392" s="905">
        <v>58.1</v>
      </c>
      <c r="B392" s="906" t="s">
        <v>391</v>
      </c>
      <c r="C392" s="921"/>
      <c r="D392" s="908"/>
      <c r="E392" s="919"/>
      <c r="F392" s="1053">
        <f t="shared" ref="F392:F453" si="57">E392*C392</f>
        <v>0</v>
      </c>
      <c r="G392" s="919"/>
      <c r="H392" s="914">
        <f t="shared" ref="H392:H453" si="58">G392*C392</f>
        <v>0</v>
      </c>
      <c r="I392" s="919"/>
      <c r="J392" s="914">
        <f t="shared" ref="J392:J453" si="59">I392*C392</f>
        <v>0</v>
      </c>
      <c r="K392" s="919"/>
      <c r="L392" s="914">
        <f t="shared" ref="L392:L453" si="60">K392*C392</f>
        <v>0</v>
      </c>
      <c r="M392" s="919"/>
      <c r="N392" s="914">
        <f t="shared" si="55"/>
        <v>0</v>
      </c>
      <c r="O392" s="914"/>
      <c r="P392" s="914">
        <f t="shared" si="56"/>
        <v>0</v>
      </c>
      <c r="Q392" s="914"/>
      <c r="R392" s="914">
        <f t="shared" ref="R392:R455" si="61">Q392*C392</f>
        <v>0</v>
      </c>
      <c r="S392" s="915">
        <f t="shared" ref="S392:S455" si="62">G392+I392+K392+M392+E392+O392+Q392</f>
        <v>0</v>
      </c>
      <c r="T392" s="911">
        <f t="shared" ref="T392:T455" si="63">S392*C392</f>
        <v>0</v>
      </c>
    </row>
    <row r="393" spans="1:114" ht="250.5" hidden="1" customHeight="1">
      <c r="A393" s="927"/>
      <c r="B393" s="906" t="s">
        <v>35</v>
      </c>
      <c r="C393" s="921">
        <f>ROUND(DATA!K2063,2)</f>
        <v>717.55</v>
      </c>
      <c r="D393" s="908" t="s">
        <v>823</v>
      </c>
      <c r="E393" s="919"/>
      <c r="F393" s="1053">
        <f t="shared" si="57"/>
        <v>0</v>
      </c>
      <c r="G393" s="919"/>
      <c r="H393" s="914">
        <f t="shared" si="58"/>
        <v>0</v>
      </c>
      <c r="I393" s="919"/>
      <c r="J393" s="914">
        <f t="shared" si="59"/>
        <v>0</v>
      </c>
      <c r="K393" s="919"/>
      <c r="L393" s="914">
        <f t="shared" si="60"/>
        <v>0</v>
      </c>
      <c r="M393" s="919"/>
      <c r="N393" s="914">
        <f t="shared" si="55"/>
        <v>0</v>
      </c>
      <c r="O393" s="914"/>
      <c r="P393" s="914">
        <f t="shared" si="56"/>
        <v>0</v>
      </c>
      <c r="Q393" s="914"/>
      <c r="R393" s="914">
        <f t="shared" si="61"/>
        <v>0</v>
      </c>
      <c r="S393" s="915">
        <f t="shared" si="62"/>
        <v>0</v>
      </c>
      <c r="T393" s="911">
        <f t="shared" si="63"/>
        <v>0</v>
      </c>
    </row>
    <row r="394" spans="1:114" ht="250.5" hidden="1" customHeight="1">
      <c r="A394" s="931"/>
      <c r="B394" s="906" t="s">
        <v>36</v>
      </c>
      <c r="C394" s="921">
        <f>ROUND(DATA!K2087,2)</f>
        <v>600.25</v>
      </c>
      <c r="D394" s="908" t="s">
        <v>823</v>
      </c>
      <c r="E394" s="919"/>
      <c r="F394" s="1053">
        <f t="shared" si="57"/>
        <v>0</v>
      </c>
      <c r="G394" s="919"/>
      <c r="H394" s="914">
        <f t="shared" si="58"/>
        <v>0</v>
      </c>
      <c r="I394" s="919"/>
      <c r="J394" s="914">
        <f t="shared" si="59"/>
        <v>0</v>
      </c>
      <c r="K394" s="919"/>
      <c r="L394" s="914">
        <f t="shared" si="60"/>
        <v>0</v>
      </c>
      <c r="M394" s="919"/>
      <c r="N394" s="914">
        <f t="shared" si="55"/>
        <v>0</v>
      </c>
      <c r="O394" s="914"/>
      <c r="P394" s="914">
        <f t="shared" si="56"/>
        <v>0</v>
      </c>
      <c r="Q394" s="914"/>
      <c r="R394" s="914">
        <f t="shared" si="61"/>
        <v>0</v>
      </c>
      <c r="S394" s="915">
        <f t="shared" si="62"/>
        <v>0</v>
      </c>
      <c r="T394" s="911">
        <f t="shared" si="63"/>
        <v>0</v>
      </c>
    </row>
    <row r="395" spans="1:114" ht="147" customHeight="1">
      <c r="A395" s="905">
        <v>58.2</v>
      </c>
      <c r="B395" s="906" t="s">
        <v>37</v>
      </c>
      <c r="C395" s="921">
        <f>ROUND(DATA!K2098,2)</f>
        <v>454</v>
      </c>
      <c r="D395" s="908" t="s">
        <v>1393</v>
      </c>
      <c r="E395" s="919"/>
      <c r="F395" s="1053">
        <f t="shared" si="57"/>
        <v>0</v>
      </c>
      <c r="G395" s="919"/>
      <c r="H395" s="914">
        <f t="shared" si="58"/>
        <v>0</v>
      </c>
      <c r="I395" s="919"/>
      <c r="J395" s="914">
        <f t="shared" si="59"/>
        <v>0</v>
      </c>
      <c r="K395" s="919"/>
      <c r="L395" s="914">
        <f t="shared" si="60"/>
        <v>0</v>
      </c>
      <c r="M395" s="919"/>
      <c r="N395" s="914">
        <f t="shared" si="55"/>
        <v>0</v>
      </c>
      <c r="O395" s="914"/>
      <c r="P395" s="914">
        <f t="shared" si="56"/>
        <v>0</v>
      </c>
      <c r="Q395" s="914"/>
      <c r="R395" s="914">
        <f t="shared" si="61"/>
        <v>0</v>
      </c>
      <c r="S395" s="915">
        <f t="shared" si="62"/>
        <v>0</v>
      </c>
      <c r="T395" s="911">
        <f t="shared" si="63"/>
        <v>0</v>
      </c>
    </row>
    <row r="396" spans="1:114" ht="250.5" hidden="1" customHeight="1">
      <c r="A396" s="905">
        <v>59.1</v>
      </c>
      <c r="B396" s="906" t="s">
        <v>284</v>
      </c>
      <c r="C396" s="921"/>
      <c r="D396" s="908" t="s">
        <v>1393</v>
      </c>
      <c r="E396" s="919"/>
      <c r="F396" s="1053">
        <f t="shared" si="57"/>
        <v>0</v>
      </c>
      <c r="G396" s="919"/>
      <c r="H396" s="914">
        <f t="shared" si="58"/>
        <v>0</v>
      </c>
      <c r="I396" s="919"/>
      <c r="J396" s="914">
        <f t="shared" si="59"/>
        <v>0</v>
      </c>
      <c r="K396" s="919"/>
      <c r="L396" s="914">
        <f t="shared" si="60"/>
        <v>0</v>
      </c>
      <c r="M396" s="919"/>
      <c r="N396" s="914">
        <f t="shared" si="55"/>
        <v>0</v>
      </c>
      <c r="O396" s="914"/>
      <c r="P396" s="914">
        <f t="shared" si="56"/>
        <v>0</v>
      </c>
      <c r="Q396" s="914"/>
      <c r="R396" s="914">
        <f t="shared" si="61"/>
        <v>0</v>
      </c>
      <c r="S396" s="915">
        <f t="shared" si="62"/>
        <v>0</v>
      </c>
      <c r="T396" s="911">
        <f t="shared" si="63"/>
        <v>0</v>
      </c>
    </row>
    <row r="397" spans="1:114" ht="250.5" hidden="1" customHeight="1">
      <c r="A397" s="905">
        <v>59.2</v>
      </c>
      <c r="B397" s="906" t="s">
        <v>33</v>
      </c>
      <c r="C397" s="921">
        <f>ROUND(DATA!K2111,2)</f>
        <v>1993.59</v>
      </c>
      <c r="D397" s="908" t="s">
        <v>1393</v>
      </c>
      <c r="E397" s="914"/>
      <c r="F397" s="1053">
        <f t="shared" si="57"/>
        <v>0</v>
      </c>
      <c r="G397" s="914"/>
      <c r="H397" s="914">
        <f t="shared" si="58"/>
        <v>0</v>
      </c>
      <c r="I397" s="914"/>
      <c r="J397" s="914">
        <f t="shared" si="59"/>
        <v>0</v>
      </c>
      <c r="K397" s="914"/>
      <c r="L397" s="914">
        <f t="shared" si="60"/>
        <v>0</v>
      </c>
      <c r="M397" s="914"/>
      <c r="N397" s="914">
        <f t="shared" si="55"/>
        <v>0</v>
      </c>
      <c r="O397" s="914"/>
      <c r="P397" s="914">
        <f t="shared" si="56"/>
        <v>0</v>
      </c>
      <c r="Q397" s="914"/>
      <c r="R397" s="914">
        <f t="shared" si="61"/>
        <v>0</v>
      </c>
      <c r="S397" s="915">
        <f t="shared" si="62"/>
        <v>0</v>
      </c>
      <c r="T397" s="911">
        <f t="shared" si="63"/>
        <v>0</v>
      </c>
    </row>
    <row r="398" spans="1:114" ht="250.5" hidden="1" customHeight="1">
      <c r="A398" s="905">
        <v>59.3</v>
      </c>
      <c r="B398" s="906" t="s">
        <v>227</v>
      </c>
      <c r="C398" s="921"/>
      <c r="D398" s="908" t="s">
        <v>1393</v>
      </c>
      <c r="E398" s="919"/>
      <c r="F398" s="1053">
        <f t="shared" si="57"/>
        <v>0</v>
      </c>
      <c r="G398" s="919"/>
      <c r="H398" s="914">
        <f t="shared" si="58"/>
        <v>0</v>
      </c>
      <c r="I398" s="919"/>
      <c r="J398" s="914">
        <f t="shared" si="59"/>
        <v>0</v>
      </c>
      <c r="K398" s="919"/>
      <c r="L398" s="914">
        <f t="shared" si="60"/>
        <v>0</v>
      </c>
      <c r="M398" s="919"/>
      <c r="N398" s="914">
        <f t="shared" si="55"/>
        <v>0</v>
      </c>
      <c r="O398" s="914"/>
      <c r="P398" s="914">
        <f t="shared" si="56"/>
        <v>0</v>
      </c>
      <c r="Q398" s="914"/>
      <c r="R398" s="914">
        <f t="shared" si="61"/>
        <v>0</v>
      </c>
      <c r="S398" s="915">
        <f t="shared" si="62"/>
        <v>0</v>
      </c>
      <c r="T398" s="911">
        <f t="shared" si="63"/>
        <v>0</v>
      </c>
    </row>
    <row r="399" spans="1:114" ht="250.5" hidden="1" customHeight="1">
      <c r="A399" s="905">
        <v>59.4</v>
      </c>
      <c r="B399" s="906" t="s">
        <v>1300</v>
      </c>
      <c r="C399" s="921"/>
      <c r="D399" s="908" t="s">
        <v>1393</v>
      </c>
      <c r="E399" s="919"/>
      <c r="F399" s="1053">
        <f t="shared" si="57"/>
        <v>0</v>
      </c>
      <c r="G399" s="919"/>
      <c r="H399" s="914">
        <f t="shared" si="58"/>
        <v>0</v>
      </c>
      <c r="I399" s="919"/>
      <c r="J399" s="914">
        <f t="shared" si="59"/>
        <v>0</v>
      </c>
      <c r="K399" s="919"/>
      <c r="L399" s="914">
        <f t="shared" si="60"/>
        <v>0</v>
      </c>
      <c r="M399" s="919"/>
      <c r="N399" s="914">
        <f t="shared" si="55"/>
        <v>0</v>
      </c>
      <c r="O399" s="914"/>
      <c r="P399" s="914">
        <f t="shared" si="56"/>
        <v>0</v>
      </c>
      <c r="Q399" s="914"/>
      <c r="R399" s="914">
        <f t="shared" si="61"/>
        <v>0</v>
      </c>
      <c r="S399" s="915">
        <f t="shared" si="62"/>
        <v>0</v>
      </c>
      <c r="T399" s="911">
        <f t="shared" si="63"/>
        <v>0</v>
      </c>
    </row>
    <row r="400" spans="1:114" s="920" customFormat="1" ht="250.5" customHeight="1">
      <c r="A400" s="916">
        <v>59.5</v>
      </c>
      <c r="B400" s="917" t="s">
        <v>1301</v>
      </c>
      <c r="C400" s="918">
        <f>DATA!K2111</f>
        <v>1993.59</v>
      </c>
      <c r="D400" s="898" t="s">
        <v>1393</v>
      </c>
      <c r="E400" s="919">
        <f>DSP!H1120</f>
        <v>6</v>
      </c>
      <c r="F400" s="1053">
        <f t="shared" si="57"/>
        <v>11961.54</v>
      </c>
      <c r="G400" s="919"/>
      <c r="H400" s="914">
        <f t="shared" si="58"/>
        <v>0</v>
      </c>
      <c r="I400" s="919"/>
      <c r="J400" s="914">
        <f t="shared" si="59"/>
        <v>0</v>
      </c>
      <c r="K400" s="919"/>
      <c r="L400" s="914">
        <f t="shared" si="60"/>
        <v>0</v>
      </c>
      <c r="M400" s="919"/>
      <c r="N400" s="914">
        <f t="shared" si="55"/>
        <v>0</v>
      </c>
      <c r="O400" s="914"/>
      <c r="P400" s="914">
        <f t="shared" si="56"/>
        <v>0</v>
      </c>
      <c r="Q400" s="914"/>
      <c r="R400" s="914">
        <f t="shared" si="61"/>
        <v>0</v>
      </c>
      <c r="S400" s="915">
        <f t="shared" si="62"/>
        <v>6</v>
      </c>
      <c r="T400" s="911">
        <f t="shared" si="63"/>
        <v>11961.54</v>
      </c>
      <c r="U400" s="1172"/>
      <c r="V400" s="1172"/>
      <c r="W400" s="1172"/>
      <c r="X400" s="1172"/>
      <c r="Y400" s="1172"/>
      <c r="Z400" s="1172"/>
      <c r="AA400" s="1172"/>
      <c r="AB400" s="1172"/>
      <c r="AC400" s="1172"/>
      <c r="AD400" s="1172"/>
      <c r="AE400" s="1172"/>
      <c r="AF400" s="1172"/>
      <c r="AG400" s="1172"/>
      <c r="AH400" s="1172"/>
      <c r="AI400" s="1172"/>
      <c r="AJ400" s="1172"/>
      <c r="AK400" s="1172"/>
      <c r="AL400" s="1172"/>
      <c r="AM400" s="1172"/>
      <c r="AN400" s="1172"/>
      <c r="AO400" s="1172"/>
      <c r="AP400" s="1172"/>
      <c r="AQ400" s="1172"/>
      <c r="AR400" s="1172"/>
      <c r="AS400" s="1172"/>
      <c r="AT400" s="1172"/>
      <c r="AU400" s="1172"/>
      <c r="AV400" s="1172"/>
      <c r="AW400" s="1172"/>
      <c r="AX400" s="1172"/>
      <c r="AY400" s="1172"/>
      <c r="AZ400" s="1172"/>
      <c r="BA400" s="1172"/>
      <c r="BB400" s="1172"/>
      <c r="BC400" s="1172"/>
      <c r="BD400" s="1172"/>
      <c r="BE400" s="1172"/>
      <c r="BF400" s="1172"/>
      <c r="BG400" s="1172"/>
      <c r="BH400" s="1172"/>
      <c r="BI400" s="1172"/>
      <c r="BJ400" s="1172"/>
      <c r="BK400" s="1172"/>
      <c r="BL400" s="1172"/>
      <c r="BM400" s="1172"/>
      <c r="BN400" s="1172"/>
      <c r="BO400" s="1172"/>
      <c r="BP400" s="1172"/>
      <c r="BQ400" s="1172"/>
      <c r="BR400" s="1172"/>
      <c r="BS400" s="1172"/>
      <c r="BT400" s="1172"/>
      <c r="BU400" s="1172"/>
      <c r="BV400" s="1172"/>
      <c r="BW400" s="1172"/>
      <c r="BX400" s="1172"/>
      <c r="BY400" s="1172"/>
      <c r="BZ400" s="1172"/>
      <c r="CA400" s="1172"/>
      <c r="CB400" s="1172"/>
      <c r="CC400" s="1172"/>
      <c r="CD400" s="1172"/>
      <c r="CE400" s="1172"/>
      <c r="CF400" s="1172"/>
      <c r="CG400" s="1172"/>
      <c r="CH400" s="1172"/>
      <c r="CI400" s="1172"/>
      <c r="CJ400" s="1172"/>
      <c r="CK400" s="1172"/>
      <c r="CL400" s="1172"/>
      <c r="CM400" s="1172"/>
      <c r="CN400" s="1172"/>
      <c r="CO400" s="1172"/>
      <c r="CP400" s="1172"/>
      <c r="CQ400" s="1172"/>
      <c r="CR400" s="1172"/>
      <c r="CS400" s="1172"/>
      <c r="CT400" s="1172"/>
      <c r="CU400" s="1172"/>
      <c r="CV400" s="1172"/>
      <c r="CW400" s="1172"/>
      <c r="CX400" s="1172"/>
      <c r="CY400" s="1172"/>
      <c r="CZ400" s="1172"/>
      <c r="DA400" s="1172"/>
      <c r="DB400" s="1172"/>
      <c r="DC400" s="1172"/>
      <c r="DD400" s="1172"/>
      <c r="DE400" s="1172"/>
      <c r="DF400" s="1172"/>
      <c r="DG400" s="1172"/>
      <c r="DH400" s="1172"/>
      <c r="DI400" s="1172"/>
      <c r="DJ400" s="1172"/>
    </row>
    <row r="401" spans="1:20" ht="201.75" hidden="1" customHeight="1">
      <c r="A401" s="905">
        <v>59.6</v>
      </c>
      <c r="B401" s="906" t="s">
        <v>1204</v>
      </c>
      <c r="C401" s="921"/>
      <c r="D401" s="908" t="s">
        <v>1393</v>
      </c>
      <c r="E401" s="919"/>
      <c r="F401" s="1053">
        <f t="shared" si="57"/>
        <v>0</v>
      </c>
      <c r="G401" s="919"/>
      <c r="H401" s="914">
        <f t="shared" si="58"/>
        <v>0</v>
      </c>
      <c r="I401" s="919"/>
      <c r="J401" s="914">
        <f t="shared" si="59"/>
        <v>0</v>
      </c>
      <c r="K401" s="919"/>
      <c r="L401" s="914">
        <f t="shared" si="60"/>
        <v>0</v>
      </c>
      <c r="M401" s="919"/>
      <c r="N401" s="914">
        <f t="shared" si="55"/>
        <v>0</v>
      </c>
      <c r="O401" s="914"/>
      <c r="P401" s="914">
        <f t="shared" si="56"/>
        <v>0</v>
      </c>
      <c r="Q401" s="914"/>
      <c r="R401" s="914">
        <f t="shared" si="61"/>
        <v>0</v>
      </c>
      <c r="S401" s="915">
        <f t="shared" si="62"/>
        <v>0</v>
      </c>
      <c r="T401" s="911">
        <f t="shared" si="63"/>
        <v>0</v>
      </c>
    </row>
    <row r="402" spans="1:20" ht="155.25" customHeight="1">
      <c r="A402" s="905">
        <v>60</v>
      </c>
      <c r="B402" s="906" t="s">
        <v>1518</v>
      </c>
      <c r="C402" s="913">
        <f>ROUND(DATA!K2119,2)</f>
        <v>160</v>
      </c>
      <c r="D402" s="908" t="s">
        <v>1393</v>
      </c>
      <c r="E402" s="914">
        <f>DSP!H1116</f>
        <v>16</v>
      </c>
      <c r="F402" s="1053">
        <f t="shared" si="57"/>
        <v>2560</v>
      </c>
      <c r="G402" s="914"/>
      <c r="H402" s="914">
        <f t="shared" si="58"/>
        <v>0</v>
      </c>
      <c r="I402" s="914"/>
      <c r="J402" s="914">
        <f t="shared" si="59"/>
        <v>0</v>
      </c>
      <c r="K402" s="914"/>
      <c r="L402" s="914">
        <f t="shared" si="60"/>
        <v>0</v>
      </c>
      <c r="M402" s="914"/>
      <c r="N402" s="914">
        <f t="shared" si="55"/>
        <v>0</v>
      </c>
      <c r="O402" s="914"/>
      <c r="P402" s="914">
        <f t="shared" si="56"/>
        <v>0</v>
      </c>
      <c r="Q402" s="914"/>
      <c r="R402" s="914">
        <f t="shared" si="61"/>
        <v>0</v>
      </c>
      <c r="S402" s="915">
        <f t="shared" si="62"/>
        <v>16</v>
      </c>
      <c r="T402" s="911">
        <f t="shared" si="63"/>
        <v>2560</v>
      </c>
    </row>
    <row r="403" spans="1:20" ht="155.25" hidden="1" customHeight="1">
      <c r="A403" s="905">
        <v>61.1</v>
      </c>
      <c r="B403" s="906" t="s">
        <v>1303</v>
      </c>
      <c r="C403" s="913"/>
      <c r="D403" s="908"/>
      <c r="E403" s="919"/>
      <c r="F403" s="1053">
        <f t="shared" si="57"/>
        <v>0</v>
      </c>
      <c r="G403" s="919"/>
      <c r="H403" s="914">
        <f t="shared" si="58"/>
        <v>0</v>
      </c>
      <c r="I403" s="919"/>
      <c r="J403" s="914">
        <f t="shared" si="59"/>
        <v>0</v>
      </c>
      <c r="K403" s="919"/>
      <c r="L403" s="914">
        <f t="shared" si="60"/>
        <v>0</v>
      </c>
      <c r="M403" s="919"/>
      <c r="N403" s="914">
        <f t="shared" si="55"/>
        <v>0</v>
      </c>
      <c r="O403" s="914"/>
      <c r="P403" s="914">
        <f t="shared" si="56"/>
        <v>0</v>
      </c>
      <c r="Q403" s="914"/>
      <c r="R403" s="914">
        <f t="shared" si="61"/>
        <v>0</v>
      </c>
      <c r="S403" s="915">
        <f t="shared" si="62"/>
        <v>0</v>
      </c>
      <c r="T403" s="911">
        <f t="shared" si="63"/>
        <v>0</v>
      </c>
    </row>
    <row r="404" spans="1:20" ht="155.25" hidden="1" customHeight="1">
      <c r="A404" s="927"/>
      <c r="B404" s="906" t="s">
        <v>1047</v>
      </c>
      <c r="C404" s="913">
        <f>ROUND(DATA!K2138,2)</f>
        <v>570.79999999999995</v>
      </c>
      <c r="D404" s="908" t="s">
        <v>823</v>
      </c>
      <c r="E404" s="919"/>
      <c r="F404" s="1053">
        <f t="shared" si="57"/>
        <v>0</v>
      </c>
      <c r="G404" s="919"/>
      <c r="H404" s="914">
        <f t="shared" si="58"/>
        <v>0</v>
      </c>
      <c r="I404" s="919"/>
      <c r="J404" s="914">
        <f t="shared" si="59"/>
        <v>0</v>
      </c>
      <c r="K404" s="919"/>
      <c r="L404" s="914">
        <f t="shared" si="60"/>
        <v>0</v>
      </c>
      <c r="M404" s="919"/>
      <c r="N404" s="914">
        <f t="shared" si="55"/>
        <v>0</v>
      </c>
      <c r="O404" s="914"/>
      <c r="P404" s="914">
        <f t="shared" si="56"/>
        <v>0</v>
      </c>
      <c r="Q404" s="914"/>
      <c r="R404" s="914">
        <f t="shared" si="61"/>
        <v>0</v>
      </c>
      <c r="S404" s="915">
        <f t="shared" si="62"/>
        <v>0</v>
      </c>
      <c r="T404" s="911">
        <f t="shared" si="63"/>
        <v>0</v>
      </c>
    </row>
    <row r="405" spans="1:20" ht="155.25" hidden="1" customHeight="1">
      <c r="A405" s="931"/>
      <c r="B405" s="906" t="s">
        <v>1048</v>
      </c>
      <c r="C405" s="913">
        <f>ROUND(DATA!K2158,2)</f>
        <v>753.07</v>
      </c>
      <c r="D405" s="908" t="s">
        <v>823</v>
      </c>
      <c r="E405" s="919"/>
      <c r="F405" s="1053">
        <f t="shared" si="57"/>
        <v>0</v>
      </c>
      <c r="G405" s="919"/>
      <c r="H405" s="914">
        <f t="shared" si="58"/>
        <v>0</v>
      </c>
      <c r="I405" s="919"/>
      <c r="J405" s="914">
        <f t="shared" si="59"/>
        <v>0</v>
      </c>
      <c r="K405" s="919"/>
      <c r="L405" s="914">
        <f t="shared" si="60"/>
        <v>0</v>
      </c>
      <c r="M405" s="919"/>
      <c r="N405" s="914">
        <f t="shared" si="55"/>
        <v>0</v>
      </c>
      <c r="O405" s="914"/>
      <c r="P405" s="914">
        <f t="shared" si="56"/>
        <v>0</v>
      </c>
      <c r="Q405" s="914"/>
      <c r="R405" s="914">
        <f t="shared" si="61"/>
        <v>0</v>
      </c>
      <c r="S405" s="915">
        <f t="shared" si="62"/>
        <v>0</v>
      </c>
      <c r="T405" s="911">
        <f t="shared" si="63"/>
        <v>0</v>
      </c>
    </row>
    <row r="406" spans="1:20" ht="155.25" hidden="1" customHeight="1">
      <c r="A406" s="905">
        <v>61.2</v>
      </c>
      <c r="B406" s="924" t="s">
        <v>1049</v>
      </c>
      <c r="C406" s="913"/>
      <c r="D406" s="908"/>
      <c r="E406" s="919"/>
      <c r="F406" s="1053">
        <f t="shared" si="57"/>
        <v>0</v>
      </c>
      <c r="G406" s="919"/>
      <c r="H406" s="914">
        <f t="shared" si="58"/>
        <v>0</v>
      </c>
      <c r="I406" s="919"/>
      <c r="J406" s="914">
        <f t="shared" si="59"/>
        <v>0</v>
      </c>
      <c r="K406" s="919"/>
      <c r="L406" s="914">
        <f t="shared" si="60"/>
        <v>0</v>
      </c>
      <c r="M406" s="919"/>
      <c r="N406" s="914">
        <f t="shared" si="55"/>
        <v>0</v>
      </c>
      <c r="O406" s="914"/>
      <c r="P406" s="914">
        <f t="shared" si="56"/>
        <v>0</v>
      </c>
      <c r="Q406" s="914"/>
      <c r="R406" s="914">
        <f t="shared" si="61"/>
        <v>0</v>
      </c>
      <c r="S406" s="915">
        <f t="shared" si="62"/>
        <v>0</v>
      </c>
      <c r="T406" s="911">
        <f t="shared" si="63"/>
        <v>0</v>
      </c>
    </row>
    <row r="407" spans="1:20" ht="155.25" hidden="1" customHeight="1">
      <c r="A407" s="927"/>
      <c r="B407" s="906" t="s">
        <v>1050</v>
      </c>
      <c r="C407" s="913">
        <f>ROUND(DATA!K2169,2)</f>
        <v>242.19</v>
      </c>
      <c r="D407" s="908" t="s">
        <v>823</v>
      </c>
      <c r="E407" s="919"/>
      <c r="F407" s="1053">
        <f t="shared" si="57"/>
        <v>0</v>
      </c>
      <c r="G407" s="919"/>
      <c r="H407" s="914">
        <f t="shared" si="58"/>
        <v>0</v>
      </c>
      <c r="I407" s="919"/>
      <c r="J407" s="914">
        <f t="shared" si="59"/>
        <v>0</v>
      </c>
      <c r="K407" s="919"/>
      <c r="L407" s="914">
        <f t="shared" si="60"/>
        <v>0</v>
      </c>
      <c r="M407" s="919"/>
      <c r="N407" s="914">
        <f t="shared" si="55"/>
        <v>0</v>
      </c>
      <c r="O407" s="914"/>
      <c r="P407" s="914">
        <f t="shared" si="56"/>
        <v>0</v>
      </c>
      <c r="Q407" s="914"/>
      <c r="R407" s="914">
        <f t="shared" si="61"/>
        <v>0</v>
      </c>
      <c r="S407" s="915">
        <f t="shared" si="62"/>
        <v>0</v>
      </c>
      <c r="T407" s="911">
        <f t="shared" si="63"/>
        <v>0</v>
      </c>
    </row>
    <row r="408" spans="1:20" ht="155.25" hidden="1" customHeight="1">
      <c r="A408" s="931"/>
      <c r="B408" s="906" t="s">
        <v>1051</v>
      </c>
      <c r="C408" s="921">
        <f>ROUND(DATA!K2184,2)</f>
        <v>356.15</v>
      </c>
      <c r="D408" s="908" t="s">
        <v>823</v>
      </c>
      <c r="E408" s="919"/>
      <c r="F408" s="1053">
        <f t="shared" si="57"/>
        <v>0</v>
      </c>
      <c r="G408" s="919"/>
      <c r="H408" s="914">
        <f t="shared" si="58"/>
        <v>0</v>
      </c>
      <c r="I408" s="919"/>
      <c r="J408" s="914">
        <f t="shared" si="59"/>
        <v>0</v>
      </c>
      <c r="K408" s="919"/>
      <c r="L408" s="914">
        <f t="shared" si="60"/>
        <v>0</v>
      </c>
      <c r="M408" s="919"/>
      <c r="N408" s="914">
        <f t="shared" si="55"/>
        <v>0</v>
      </c>
      <c r="O408" s="914"/>
      <c r="P408" s="914">
        <f t="shared" si="56"/>
        <v>0</v>
      </c>
      <c r="Q408" s="914"/>
      <c r="R408" s="914">
        <f t="shared" si="61"/>
        <v>0</v>
      </c>
      <c r="S408" s="915">
        <f t="shared" si="62"/>
        <v>0</v>
      </c>
      <c r="T408" s="911">
        <f t="shared" si="63"/>
        <v>0</v>
      </c>
    </row>
    <row r="409" spans="1:20" ht="155.25" hidden="1" customHeight="1">
      <c r="A409" s="905">
        <v>62.1</v>
      </c>
      <c r="B409" s="906" t="s">
        <v>1052</v>
      </c>
      <c r="C409" s="913"/>
      <c r="D409" s="908"/>
      <c r="E409" s="919"/>
      <c r="F409" s="1053">
        <f t="shared" si="57"/>
        <v>0</v>
      </c>
      <c r="G409" s="919"/>
      <c r="H409" s="914">
        <f t="shared" si="58"/>
        <v>0</v>
      </c>
      <c r="I409" s="919"/>
      <c r="J409" s="914">
        <f t="shared" si="59"/>
        <v>0</v>
      </c>
      <c r="K409" s="919"/>
      <c r="L409" s="914">
        <f t="shared" si="60"/>
        <v>0</v>
      </c>
      <c r="M409" s="919"/>
      <c r="N409" s="914">
        <f t="shared" si="55"/>
        <v>0</v>
      </c>
      <c r="O409" s="914"/>
      <c r="P409" s="914">
        <f t="shared" si="56"/>
        <v>0</v>
      </c>
      <c r="Q409" s="914"/>
      <c r="R409" s="914">
        <f t="shared" si="61"/>
        <v>0</v>
      </c>
      <c r="S409" s="915">
        <f t="shared" si="62"/>
        <v>0</v>
      </c>
      <c r="T409" s="911">
        <f t="shared" si="63"/>
        <v>0</v>
      </c>
    </row>
    <row r="410" spans="1:20" ht="155.25" hidden="1" customHeight="1">
      <c r="A410" s="927"/>
      <c r="B410" s="906" t="s">
        <v>1050</v>
      </c>
      <c r="C410" s="913">
        <f>ROUND(DATA!K2193,2)</f>
        <v>104.1</v>
      </c>
      <c r="D410" s="908" t="s">
        <v>1393</v>
      </c>
      <c r="E410" s="919"/>
      <c r="F410" s="1053">
        <f t="shared" si="57"/>
        <v>0</v>
      </c>
      <c r="G410" s="919"/>
      <c r="H410" s="914">
        <f t="shared" si="58"/>
        <v>0</v>
      </c>
      <c r="I410" s="919"/>
      <c r="J410" s="914">
        <f t="shared" si="59"/>
        <v>0</v>
      </c>
      <c r="K410" s="919"/>
      <c r="L410" s="914">
        <f t="shared" si="60"/>
        <v>0</v>
      </c>
      <c r="M410" s="919"/>
      <c r="N410" s="914">
        <f t="shared" si="55"/>
        <v>0</v>
      </c>
      <c r="O410" s="914"/>
      <c r="P410" s="914">
        <f t="shared" si="56"/>
        <v>0</v>
      </c>
      <c r="Q410" s="914"/>
      <c r="R410" s="914">
        <f t="shared" si="61"/>
        <v>0</v>
      </c>
      <c r="S410" s="915">
        <f t="shared" si="62"/>
        <v>0</v>
      </c>
      <c r="T410" s="911">
        <f t="shared" si="63"/>
        <v>0</v>
      </c>
    </row>
    <row r="411" spans="1:20" ht="155.25" hidden="1" customHeight="1">
      <c r="A411" s="931"/>
      <c r="B411" s="906" t="s">
        <v>1051</v>
      </c>
      <c r="C411" s="921">
        <f>ROUND(DATA!K2200,2)</f>
        <v>143.15</v>
      </c>
      <c r="D411" s="908" t="s">
        <v>1393</v>
      </c>
      <c r="E411" s="919"/>
      <c r="F411" s="1053">
        <f t="shared" si="57"/>
        <v>0</v>
      </c>
      <c r="G411" s="919"/>
      <c r="H411" s="914">
        <f t="shared" si="58"/>
        <v>0</v>
      </c>
      <c r="I411" s="919"/>
      <c r="J411" s="914">
        <f t="shared" si="59"/>
        <v>0</v>
      </c>
      <c r="K411" s="919"/>
      <c r="L411" s="914">
        <f t="shared" si="60"/>
        <v>0</v>
      </c>
      <c r="M411" s="919"/>
      <c r="N411" s="914">
        <f t="shared" si="55"/>
        <v>0</v>
      </c>
      <c r="O411" s="914"/>
      <c r="P411" s="914">
        <f t="shared" si="56"/>
        <v>0</v>
      </c>
      <c r="Q411" s="914"/>
      <c r="R411" s="914">
        <f t="shared" si="61"/>
        <v>0</v>
      </c>
      <c r="S411" s="915">
        <f t="shared" si="62"/>
        <v>0</v>
      </c>
      <c r="T411" s="911">
        <f t="shared" si="63"/>
        <v>0</v>
      </c>
    </row>
    <row r="412" spans="1:20" ht="155.25" hidden="1" customHeight="1">
      <c r="A412" s="905">
        <v>62.2</v>
      </c>
      <c r="B412" s="924" t="s">
        <v>1053</v>
      </c>
      <c r="C412" s="913"/>
      <c r="D412" s="908"/>
      <c r="E412" s="919"/>
      <c r="F412" s="1053">
        <f t="shared" si="57"/>
        <v>0</v>
      </c>
      <c r="G412" s="919"/>
      <c r="H412" s="914">
        <f t="shared" si="58"/>
        <v>0</v>
      </c>
      <c r="I412" s="919"/>
      <c r="J412" s="914">
        <f t="shared" si="59"/>
        <v>0</v>
      </c>
      <c r="K412" s="919"/>
      <c r="L412" s="914">
        <f t="shared" si="60"/>
        <v>0</v>
      </c>
      <c r="M412" s="919"/>
      <c r="N412" s="914">
        <f t="shared" si="55"/>
        <v>0</v>
      </c>
      <c r="O412" s="914"/>
      <c r="P412" s="914">
        <f t="shared" si="56"/>
        <v>0</v>
      </c>
      <c r="Q412" s="914"/>
      <c r="R412" s="914">
        <f t="shared" si="61"/>
        <v>0</v>
      </c>
      <c r="S412" s="915">
        <f t="shared" si="62"/>
        <v>0</v>
      </c>
      <c r="T412" s="911">
        <f t="shared" si="63"/>
        <v>0</v>
      </c>
    </row>
    <row r="413" spans="1:20" ht="155.25" hidden="1" customHeight="1">
      <c r="A413" s="927"/>
      <c r="B413" s="906" t="s">
        <v>1050</v>
      </c>
      <c r="C413" s="913">
        <f>ROUND(DATA!K2206,2)</f>
        <v>131</v>
      </c>
      <c r="D413" s="908" t="s">
        <v>1393</v>
      </c>
      <c r="E413" s="919"/>
      <c r="F413" s="1053">
        <f t="shared" si="57"/>
        <v>0</v>
      </c>
      <c r="G413" s="919"/>
      <c r="H413" s="914">
        <f t="shared" si="58"/>
        <v>0</v>
      </c>
      <c r="I413" s="919"/>
      <c r="J413" s="914">
        <f t="shared" si="59"/>
        <v>0</v>
      </c>
      <c r="K413" s="919"/>
      <c r="L413" s="914">
        <f t="shared" si="60"/>
        <v>0</v>
      </c>
      <c r="M413" s="919"/>
      <c r="N413" s="914">
        <f t="shared" si="55"/>
        <v>0</v>
      </c>
      <c r="O413" s="914"/>
      <c r="P413" s="914">
        <f t="shared" si="56"/>
        <v>0</v>
      </c>
      <c r="Q413" s="914"/>
      <c r="R413" s="914">
        <f t="shared" si="61"/>
        <v>0</v>
      </c>
      <c r="S413" s="915">
        <f t="shared" si="62"/>
        <v>0</v>
      </c>
      <c r="T413" s="911">
        <f t="shared" si="63"/>
        <v>0</v>
      </c>
    </row>
    <row r="414" spans="1:20" ht="155.25" hidden="1" customHeight="1">
      <c r="A414" s="931"/>
      <c r="B414" s="906" t="s">
        <v>1051</v>
      </c>
      <c r="C414" s="913">
        <f>ROUND(DATA!K2216,2)</f>
        <v>169.15</v>
      </c>
      <c r="D414" s="908" t="s">
        <v>1393</v>
      </c>
      <c r="E414" s="919"/>
      <c r="F414" s="1053">
        <f t="shared" si="57"/>
        <v>0</v>
      </c>
      <c r="G414" s="919"/>
      <c r="H414" s="914">
        <f t="shared" si="58"/>
        <v>0</v>
      </c>
      <c r="I414" s="919"/>
      <c r="J414" s="914">
        <f t="shared" si="59"/>
        <v>0</v>
      </c>
      <c r="K414" s="919"/>
      <c r="L414" s="914">
        <f t="shared" si="60"/>
        <v>0</v>
      </c>
      <c r="M414" s="919"/>
      <c r="N414" s="914">
        <f t="shared" si="55"/>
        <v>0</v>
      </c>
      <c r="O414" s="914"/>
      <c r="P414" s="914">
        <f t="shared" si="56"/>
        <v>0</v>
      </c>
      <c r="Q414" s="914"/>
      <c r="R414" s="914">
        <f t="shared" si="61"/>
        <v>0</v>
      </c>
      <c r="S414" s="915">
        <f t="shared" si="62"/>
        <v>0</v>
      </c>
      <c r="T414" s="911">
        <f t="shared" si="63"/>
        <v>0</v>
      </c>
    </row>
    <row r="415" spans="1:20" ht="155.25" hidden="1" customHeight="1">
      <c r="A415" s="905">
        <v>63</v>
      </c>
      <c r="B415" s="906" t="s">
        <v>2131</v>
      </c>
      <c r="C415" s="921">
        <f>ROUND(DATA!K2225,2)</f>
        <v>31.87</v>
      </c>
      <c r="D415" s="908" t="s">
        <v>1393</v>
      </c>
      <c r="E415" s="919"/>
      <c r="F415" s="1053">
        <f t="shared" si="57"/>
        <v>0</v>
      </c>
      <c r="G415" s="919"/>
      <c r="H415" s="914">
        <f t="shared" si="58"/>
        <v>0</v>
      </c>
      <c r="I415" s="919"/>
      <c r="J415" s="914">
        <f t="shared" si="59"/>
        <v>0</v>
      </c>
      <c r="K415" s="919"/>
      <c r="L415" s="914">
        <f t="shared" si="60"/>
        <v>0</v>
      </c>
      <c r="M415" s="919"/>
      <c r="N415" s="914">
        <f t="shared" si="55"/>
        <v>0</v>
      </c>
      <c r="O415" s="914"/>
      <c r="P415" s="914">
        <f t="shared" si="56"/>
        <v>0</v>
      </c>
      <c r="Q415" s="914"/>
      <c r="R415" s="914">
        <f t="shared" si="61"/>
        <v>0</v>
      </c>
      <c r="S415" s="915">
        <f t="shared" si="62"/>
        <v>0</v>
      </c>
      <c r="T415" s="911">
        <f t="shared" si="63"/>
        <v>0</v>
      </c>
    </row>
    <row r="416" spans="1:20" ht="155.25" hidden="1" customHeight="1">
      <c r="A416" s="905"/>
      <c r="B416" s="924" t="s">
        <v>2132</v>
      </c>
      <c r="C416" s="913"/>
      <c r="D416" s="908"/>
      <c r="E416" s="914"/>
      <c r="F416" s="1053">
        <f t="shared" si="57"/>
        <v>0</v>
      </c>
      <c r="G416" s="914"/>
      <c r="H416" s="914">
        <f t="shared" si="58"/>
        <v>0</v>
      </c>
      <c r="I416" s="914"/>
      <c r="J416" s="914">
        <f t="shared" si="59"/>
        <v>0</v>
      </c>
      <c r="K416" s="914"/>
      <c r="L416" s="914">
        <f t="shared" si="60"/>
        <v>0</v>
      </c>
      <c r="M416" s="914"/>
      <c r="N416" s="914">
        <f t="shared" si="55"/>
        <v>0</v>
      </c>
      <c r="O416" s="914"/>
      <c r="P416" s="914">
        <f t="shared" si="56"/>
        <v>0</v>
      </c>
      <c r="Q416" s="914"/>
      <c r="R416" s="914">
        <f t="shared" si="61"/>
        <v>0</v>
      </c>
      <c r="S416" s="915">
        <f t="shared" si="62"/>
        <v>0</v>
      </c>
      <c r="T416" s="911">
        <f t="shared" si="63"/>
        <v>0</v>
      </c>
    </row>
    <row r="417" spans="1:114" ht="155.25" hidden="1" customHeight="1">
      <c r="A417" s="905">
        <v>64</v>
      </c>
      <c r="B417" s="906" t="s">
        <v>2133</v>
      </c>
      <c r="C417" s="921">
        <f>DATA!K2261</f>
        <v>1692.1</v>
      </c>
      <c r="D417" s="908" t="s">
        <v>1393</v>
      </c>
      <c r="E417" s="919"/>
      <c r="F417" s="1053">
        <f t="shared" si="57"/>
        <v>0</v>
      </c>
      <c r="G417" s="919"/>
      <c r="H417" s="914">
        <f t="shared" si="58"/>
        <v>0</v>
      </c>
      <c r="I417" s="919"/>
      <c r="J417" s="914">
        <f t="shared" si="59"/>
        <v>0</v>
      </c>
      <c r="K417" s="919"/>
      <c r="L417" s="914">
        <f t="shared" si="60"/>
        <v>0</v>
      </c>
      <c r="M417" s="919"/>
      <c r="N417" s="914">
        <f t="shared" si="55"/>
        <v>0</v>
      </c>
      <c r="O417" s="914"/>
      <c r="P417" s="914">
        <f t="shared" si="56"/>
        <v>0</v>
      </c>
      <c r="Q417" s="914"/>
      <c r="R417" s="914">
        <f t="shared" si="61"/>
        <v>0</v>
      </c>
      <c r="S417" s="915">
        <f t="shared" si="62"/>
        <v>0</v>
      </c>
      <c r="T417" s="911">
        <f t="shared" si="63"/>
        <v>0</v>
      </c>
    </row>
    <row r="418" spans="1:114" ht="155.25" hidden="1" customHeight="1">
      <c r="A418" s="927"/>
      <c r="B418" s="906" t="s">
        <v>1265</v>
      </c>
      <c r="C418" s="921">
        <f>DATA!K2262</f>
        <v>1695.1</v>
      </c>
      <c r="D418" s="908" t="s">
        <v>1393</v>
      </c>
      <c r="E418" s="919"/>
      <c r="F418" s="1053">
        <f t="shared" si="57"/>
        <v>0</v>
      </c>
      <c r="G418" s="919"/>
      <c r="H418" s="914">
        <f t="shared" si="58"/>
        <v>0</v>
      </c>
      <c r="I418" s="919"/>
      <c r="J418" s="914">
        <f t="shared" si="59"/>
        <v>0</v>
      </c>
      <c r="K418" s="919"/>
      <c r="L418" s="914">
        <f t="shared" si="60"/>
        <v>0</v>
      </c>
      <c r="M418" s="919"/>
      <c r="N418" s="914">
        <f t="shared" si="55"/>
        <v>0</v>
      </c>
      <c r="O418" s="914"/>
      <c r="P418" s="914">
        <f t="shared" si="56"/>
        <v>0</v>
      </c>
      <c r="Q418" s="914"/>
      <c r="R418" s="914">
        <f t="shared" si="61"/>
        <v>0</v>
      </c>
      <c r="S418" s="915">
        <f t="shared" si="62"/>
        <v>0</v>
      </c>
      <c r="T418" s="911">
        <f t="shared" si="63"/>
        <v>0</v>
      </c>
    </row>
    <row r="419" spans="1:114" ht="155.25" hidden="1" customHeight="1">
      <c r="A419" s="931"/>
      <c r="B419" s="906" t="s">
        <v>296</v>
      </c>
      <c r="C419" s="921">
        <f>DATA!K2263</f>
        <v>1732.1</v>
      </c>
      <c r="D419" s="908" t="s">
        <v>1393</v>
      </c>
      <c r="E419" s="919"/>
      <c r="F419" s="1053">
        <f t="shared" si="57"/>
        <v>0</v>
      </c>
      <c r="G419" s="919"/>
      <c r="H419" s="914">
        <f t="shared" si="58"/>
        <v>0</v>
      </c>
      <c r="I419" s="919"/>
      <c r="J419" s="914">
        <f t="shared" si="59"/>
        <v>0</v>
      </c>
      <c r="K419" s="919"/>
      <c r="L419" s="914">
        <f t="shared" si="60"/>
        <v>0</v>
      </c>
      <c r="M419" s="919"/>
      <c r="N419" s="914">
        <f t="shared" si="55"/>
        <v>0</v>
      </c>
      <c r="O419" s="914"/>
      <c r="P419" s="914">
        <f t="shared" si="56"/>
        <v>0</v>
      </c>
      <c r="Q419" s="914"/>
      <c r="R419" s="914">
        <f t="shared" si="61"/>
        <v>0</v>
      </c>
      <c r="S419" s="915">
        <f t="shared" si="62"/>
        <v>0</v>
      </c>
      <c r="T419" s="911">
        <f t="shared" si="63"/>
        <v>0</v>
      </c>
    </row>
    <row r="420" spans="1:114" ht="155.25" hidden="1" customHeight="1">
      <c r="A420" s="905">
        <v>65</v>
      </c>
      <c r="B420" s="906" t="s">
        <v>297</v>
      </c>
      <c r="C420" s="921">
        <f>DATA!K2264</f>
        <v>1767.1</v>
      </c>
      <c r="D420" s="908" t="s">
        <v>1393</v>
      </c>
      <c r="E420" s="919"/>
      <c r="F420" s="1053">
        <f t="shared" si="57"/>
        <v>0</v>
      </c>
      <c r="G420" s="919"/>
      <c r="H420" s="914">
        <f t="shared" si="58"/>
        <v>0</v>
      </c>
      <c r="I420" s="919"/>
      <c r="J420" s="914">
        <f t="shared" si="59"/>
        <v>0</v>
      </c>
      <c r="K420" s="919"/>
      <c r="L420" s="914">
        <f t="shared" si="60"/>
        <v>0</v>
      </c>
      <c r="M420" s="919"/>
      <c r="N420" s="914">
        <f t="shared" si="55"/>
        <v>0</v>
      </c>
      <c r="O420" s="914"/>
      <c r="P420" s="914">
        <f t="shared" si="56"/>
        <v>0</v>
      </c>
      <c r="Q420" s="914"/>
      <c r="R420" s="914">
        <f t="shared" si="61"/>
        <v>0</v>
      </c>
      <c r="S420" s="915">
        <f t="shared" si="62"/>
        <v>0</v>
      </c>
      <c r="T420" s="911">
        <f t="shared" si="63"/>
        <v>0</v>
      </c>
    </row>
    <row r="421" spans="1:114" ht="155.25" hidden="1" customHeight="1">
      <c r="A421" s="905">
        <v>66</v>
      </c>
      <c r="B421" s="906" t="s">
        <v>298</v>
      </c>
      <c r="C421" s="921">
        <f>DATA!K2265</f>
        <v>3176.2</v>
      </c>
      <c r="D421" s="908" t="s">
        <v>1393</v>
      </c>
      <c r="E421" s="919"/>
      <c r="F421" s="1053">
        <f t="shared" si="57"/>
        <v>0</v>
      </c>
      <c r="G421" s="919"/>
      <c r="H421" s="914">
        <f t="shared" si="58"/>
        <v>0</v>
      </c>
      <c r="I421" s="919"/>
      <c r="J421" s="914">
        <f t="shared" si="59"/>
        <v>0</v>
      </c>
      <c r="K421" s="919"/>
      <c r="L421" s="914">
        <f t="shared" si="60"/>
        <v>0</v>
      </c>
      <c r="M421" s="919"/>
      <c r="N421" s="914">
        <f t="shared" si="55"/>
        <v>0</v>
      </c>
      <c r="O421" s="914"/>
      <c r="P421" s="914">
        <f t="shared" si="56"/>
        <v>0</v>
      </c>
      <c r="Q421" s="914"/>
      <c r="R421" s="914">
        <f t="shared" si="61"/>
        <v>0</v>
      </c>
      <c r="S421" s="915">
        <f t="shared" si="62"/>
        <v>0</v>
      </c>
      <c r="T421" s="911">
        <f t="shared" si="63"/>
        <v>0</v>
      </c>
    </row>
    <row r="422" spans="1:114" ht="155.25" hidden="1" customHeight="1">
      <c r="A422" s="905">
        <v>67</v>
      </c>
      <c r="B422" s="906" t="s">
        <v>1778</v>
      </c>
      <c r="C422" s="921">
        <f>DATA!K2266</f>
        <v>869.5</v>
      </c>
      <c r="D422" s="908" t="s">
        <v>1393</v>
      </c>
      <c r="E422" s="919"/>
      <c r="F422" s="1053">
        <f t="shared" si="57"/>
        <v>0</v>
      </c>
      <c r="G422" s="919"/>
      <c r="H422" s="914">
        <f t="shared" si="58"/>
        <v>0</v>
      </c>
      <c r="I422" s="919"/>
      <c r="J422" s="914">
        <f t="shared" si="59"/>
        <v>0</v>
      </c>
      <c r="K422" s="919"/>
      <c r="L422" s="914">
        <f t="shared" si="60"/>
        <v>0</v>
      </c>
      <c r="M422" s="919"/>
      <c r="N422" s="914">
        <f t="shared" si="55"/>
        <v>0</v>
      </c>
      <c r="O422" s="914"/>
      <c r="P422" s="914">
        <f t="shared" si="56"/>
        <v>0</v>
      </c>
      <c r="Q422" s="914"/>
      <c r="R422" s="914">
        <f t="shared" si="61"/>
        <v>0</v>
      </c>
      <c r="S422" s="915">
        <f t="shared" si="62"/>
        <v>0</v>
      </c>
      <c r="T422" s="911">
        <f t="shared" si="63"/>
        <v>0</v>
      </c>
    </row>
    <row r="423" spans="1:114" ht="155.25" hidden="1" customHeight="1">
      <c r="A423" s="905">
        <v>68</v>
      </c>
      <c r="B423" s="906" t="s">
        <v>1779</v>
      </c>
      <c r="C423" s="921">
        <f>DATA!K2267</f>
        <v>1174.4000000000001</v>
      </c>
      <c r="D423" s="908" t="s">
        <v>1393</v>
      </c>
      <c r="E423" s="919"/>
      <c r="F423" s="1053">
        <f t="shared" si="57"/>
        <v>0</v>
      </c>
      <c r="G423" s="919"/>
      <c r="H423" s="914">
        <f t="shared" si="58"/>
        <v>0</v>
      </c>
      <c r="I423" s="919"/>
      <c r="J423" s="914">
        <f t="shared" si="59"/>
        <v>0</v>
      </c>
      <c r="K423" s="919"/>
      <c r="L423" s="914">
        <f t="shared" si="60"/>
        <v>0</v>
      </c>
      <c r="M423" s="919"/>
      <c r="N423" s="914">
        <f t="shared" si="55"/>
        <v>0</v>
      </c>
      <c r="O423" s="914"/>
      <c r="P423" s="914">
        <f t="shared" si="56"/>
        <v>0</v>
      </c>
      <c r="Q423" s="914"/>
      <c r="R423" s="914">
        <f t="shared" si="61"/>
        <v>0</v>
      </c>
      <c r="S423" s="915">
        <f t="shared" si="62"/>
        <v>0</v>
      </c>
      <c r="T423" s="911">
        <f t="shared" si="63"/>
        <v>0</v>
      </c>
    </row>
    <row r="424" spans="1:114" s="920" customFormat="1" ht="155.25" hidden="1" customHeight="1">
      <c r="A424" s="916">
        <v>69</v>
      </c>
      <c r="B424" s="917" t="s">
        <v>1780</v>
      </c>
      <c r="C424" s="918">
        <f>DATA!K2268</f>
        <v>150</v>
      </c>
      <c r="D424" s="898" t="s">
        <v>1393</v>
      </c>
      <c r="E424" s="919"/>
      <c r="F424" s="1053">
        <f t="shared" si="57"/>
        <v>0</v>
      </c>
      <c r="G424" s="919"/>
      <c r="H424" s="914">
        <f t="shared" si="58"/>
        <v>0</v>
      </c>
      <c r="I424" s="919"/>
      <c r="J424" s="914">
        <f t="shared" si="59"/>
        <v>0</v>
      </c>
      <c r="K424" s="919"/>
      <c r="L424" s="914">
        <f t="shared" si="60"/>
        <v>0</v>
      </c>
      <c r="M424" s="919"/>
      <c r="N424" s="914">
        <f t="shared" si="55"/>
        <v>0</v>
      </c>
      <c r="O424" s="914"/>
      <c r="P424" s="914">
        <f t="shared" si="56"/>
        <v>0</v>
      </c>
      <c r="Q424" s="914"/>
      <c r="R424" s="914">
        <f t="shared" si="61"/>
        <v>0</v>
      </c>
      <c r="S424" s="915">
        <f t="shared" si="62"/>
        <v>0</v>
      </c>
      <c r="T424" s="911">
        <f t="shared" si="63"/>
        <v>0</v>
      </c>
      <c r="U424" s="1172"/>
      <c r="V424" s="1172"/>
      <c r="W424" s="1172"/>
      <c r="X424" s="1172"/>
      <c r="Y424" s="1172"/>
      <c r="Z424" s="1172"/>
      <c r="AA424" s="1172"/>
      <c r="AB424" s="1172"/>
      <c r="AC424" s="1172"/>
      <c r="AD424" s="1172"/>
      <c r="AE424" s="1172"/>
      <c r="AF424" s="1172"/>
      <c r="AG424" s="1172"/>
      <c r="AH424" s="1172"/>
      <c r="AI424" s="1172"/>
      <c r="AJ424" s="1172"/>
      <c r="AK424" s="1172"/>
      <c r="AL424" s="1172"/>
      <c r="AM424" s="1172"/>
      <c r="AN424" s="1172"/>
      <c r="AO424" s="1172"/>
      <c r="AP424" s="1172"/>
      <c r="AQ424" s="1172"/>
      <c r="AR424" s="1172"/>
      <c r="AS424" s="1172"/>
      <c r="AT424" s="1172"/>
      <c r="AU424" s="1172"/>
      <c r="AV424" s="1172"/>
      <c r="AW424" s="1172"/>
      <c r="AX424" s="1172"/>
      <c r="AY424" s="1172"/>
      <c r="AZ424" s="1172"/>
      <c r="BA424" s="1172"/>
      <c r="BB424" s="1172"/>
      <c r="BC424" s="1172"/>
      <c r="BD424" s="1172"/>
      <c r="BE424" s="1172"/>
      <c r="BF424" s="1172"/>
      <c r="BG424" s="1172"/>
      <c r="BH424" s="1172"/>
      <c r="BI424" s="1172"/>
      <c r="BJ424" s="1172"/>
      <c r="BK424" s="1172"/>
      <c r="BL424" s="1172"/>
      <c r="BM424" s="1172"/>
      <c r="BN424" s="1172"/>
      <c r="BO424" s="1172"/>
      <c r="BP424" s="1172"/>
      <c r="BQ424" s="1172"/>
      <c r="BR424" s="1172"/>
      <c r="BS424" s="1172"/>
      <c r="BT424" s="1172"/>
      <c r="BU424" s="1172"/>
      <c r="BV424" s="1172"/>
      <c r="BW424" s="1172"/>
      <c r="BX424" s="1172"/>
      <c r="BY424" s="1172"/>
      <c r="BZ424" s="1172"/>
      <c r="CA424" s="1172"/>
      <c r="CB424" s="1172"/>
      <c r="CC424" s="1172"/>
      <c r="CD424" s="1172"/>
      <c r="CE424" s="1172"/>
      <c r="CF424" s="1172"/>
      <c r="CG424" s="1172"/>
      <c r="CH424" s="1172"/>
      <c r="CI424" s="1172"/>
      <c r="CJ424" s="1172"/>
      <c r="CK424" s="1172"/>
      <c r="CL424" s="1172"/>
      <c r="CM424" s="1172"/>
      <c r="CN424" s="1172"/>
      <c r="CO424" s="1172"/>
      <c r="CP424" s="1172"/>
      <c r="CQ424" s="1172"/>
      <c r="CR424" s="1172"/>
      <c r="CS424" s="1172"/>
      <c r="CT424" s="1172"/>
      <c r="CU424" s="1172"/>
      <c r="CV424" s="1172"/>
      <c r="CW424" s="1172"/>
      <c r="CX424" s="1172"/>
      <c r="CY424" s="1172"/>
      <c r="CZ424" s="1172"/>
      <c r="DA424" s="1172"/>
      <c r="DB424" s="1172"/>
      <c r="DC424" s="1172"/>
      <c r="DD424" s="1172"/>
      <c r="DE424" s="1172"/>
      <c r="DF424" s="1172"/>
      <c r="DG424" s="1172"/>
      <c r="DH424" s="1172"/>
      <c r="DI424" s="1172"/>
      <c r="DJ424" s="1172"/>
    </row>
    <row r="425" spans="1:114" ht="155.25" hidden="1" customHeight="1">
      <c r="A425" s="905">
        <v>70.099999999999994</v>
      </c>
      <c r="B425" s="906" t="s">
        <v>1781</v>
      </c>
      <c r="C425" s="921">
        <f>DATA!K2269</f>
        <v>529.20000000000005</v>
      </c>
      <c r="D425" s="908" t="s">
        <v>1393</v>
      </c>
      <c r="E425" s="919"/>
      <c r="F425" s="1053">
        <f t="shared" si="57"/>
        <v>0</v>
      </c>
      <c r="G425" s="919"/>
      <c r="H425" s="914">
        <f t="shared" si="58"/>
        <v>0</v>
      </c>
      <c r="I425" s="919"/>
      <c r="J425" s="914">
        <f t="shared" si="59"/>
        <v>0</v>
      </c>
      <c r="K425" s="919"/>
      <c r="L425" s="914">
        <f t="shared" si="60"/>
        <v>0</v>
      </c>
      <c r="M425" s="919"/>
      <c r="N425" s="914">
        <f t="shared" si="55"/>
        <v>0</v>
      </c>
      <c r="O425" s="914"/>
      <c r="P425" s="914">
        <f t="shared" si="56"/>
        <v>0</v>
      </c>
      <c r="Q425" s="914"/>
      <c r="R425" s="914">
        <f t="shared" si="61"/>
        <v>0</v>
      </c>
      <c r="S425" s="915">
        <f t="shared" si="62"/>
        <v>0</v>
      </c>
      <c r="T425" s="911">
        <f t="shared" si="63"/>
        <v>0</v>
      </c>
    </row>
    <row r="426" spans="1:114" ht="155.25" hidden="1" customHeight="1">
      <c r="A426" s="905">
        <v>70.2</v>
      </c>
      <c r="B426" s="906" t="s">
        <v>1782</v>
      </c>
      <c r="C426" s="921"/>
      <c r="D426" s="908" t="s">
        <v>1393</v>
      </c>
      <c r="E426" s="919"/>
      <c r="F426" s="1053">
        <f t="shared" si="57"/>
        <v>0</v>
      </c>
      <c r="G426" s="919"/>
      <c r="H426" s="914">
        <f t="shared" si="58"/>
        <v>0</v>
      </c>
      <c r="I426" s="919"/>
      <c r="J426" s="914">
        <f t="shared" si="59"/>
        <v>0</v>
      </c>
      <c r="K426" s="919"/>
      <c r="L426" s="914">
        <f t="shared" si="60"/>
        <v>0</v>
      </c>
      <c r="M426" s="919"/>
      <c r="N426" s="914">
        <f t="shared" si="55"/>
        <v>0</v>
      </c>
      <c r="O426" s="914"/>
      <c r="P426" s="914">
        <f t="shared" si="56"/>
        <v>0</v>
      </c>
      <c r="Q426" s="914"/>
      <c r="R426" s="914">
        <f t="shared" si="61"/>
        <v>0</v>
      </c>
      <c r="S426" s="915">
        <f t="shared" si="62"/>
        <v>0</v>
      </c>
      <c r="T426" s="911">
        <f t="shared" si="63"/>
        <v>0</v>
      </c>
    </row>
    <row r="427" spans="1:114" ht="155.25" hidden="1" customHeight="1">
      <c r="A427" s="905">
        <v>70.3</v>
      </c>
      <c r="B427" s="906" t="s">
        <v>1783</v>
      </c>
      <c r="C427" s="921">
        <f>DATA!K2271</f>
        <v>9.4</v>
      </c>
      <c r="D427" s="908" t="s">
        <v>1393</v>
      </c>
      <c r="E427" s="919"/>
      <c r="F427" s="1053">
        <f t="shared" si="57"/>
        <v>0</v>
      </c>
      <c r="G427" s="919"/>
      <c r="H427" s="914">
        <f t="shared" si="58"/>
        <v>0</v>
      </c>
      <c r="I427" s="919"/>
      <c r="J427" s="914">
        <f t="shared" si="59"/>
        <v>0</v>
      </c>
      <c r="K427" s="919"/>
      <c r="L427" s="914">
        <f t="shared" si="60"/>
        <v>0</v>
      </c>
      <c r="M427" s="919"/>
      <c r="N427" s="914">
        <f t="shared" si="55"/>
        <v>0</v>
      </c>
      <c r="O427" s="914"/>
      <c r="P427" s="914">
        <f t="shared" si="56"/>
        <v>0</v>
      </c>
      <c r="Q427" s="914"/>
      <c r="R427" s="914">
        <f t="shared" si="61"/>
        <v>0</v>
      </c>
      <c r="S427" s="915">
        <f t="shared" si="62"/>
        <v>0</v>
      </c>
      <c r="T427" s="911">
        <f t="shared" si="63"/>
        <v>0</v>
      </c>
    </row>
    <row r="428" spans="1:114" ht="155.25" hidden="1" customHeight="1">
      <c r="A428" s="905">
        <v>70.400000000000006</v>
      </c>
      <c r="B428" s="906" t="s">
        <v>1382</v>
      </c>
      <c r="C428" s="921">
        <f>DATA!K2272</f>
        <v>10</v>
      </c>
      <c r="D428" s="908" t="s">
        <v>1393</v>
      </c>
      <c r="E428" s="919"/>
      <c r="F428" s="1053">
        <f t="shared" si="57"/>
        <v>0</v>
      </c>
      <c r="G428" s="919"/>
      <c r="H428" s="914">
        <f t="shared" si="58"/>
        <v>0</v>
      </c>
      <c r="I428" s="919"/>
      <c r="J428" s="914">
        <f t="shared" si="59"/>
        <v>0</v>
      </c>
      <c r="K428" s="919"/>
      <c r="L428" s="914">
        <f t="shared" si="60"/>
        <v>0</v>
      </c>
      <c r="M428" s="919"/>
      <c r="N428" s="914">
        <f t="shared" si="55"/>
        <v>0</v>
      </c>
      <c r="O428" s="914"/>
      <c r="P428" s="914">
        <f t="shared" si="56"/>
        <v>0</v>
      </c>
      <c r="Q428" s="914"/>
      <c r="R428" s="914">
        <f t="shared" si="61"/>
        <v>0</v>
      </c>
      <c r="S428" s="915">
        <f t="shared" si="62"/>
        <v>0</v>
      </c>
      <c r="T428" s="911">
        <f t="shared" si="63"/>
        <v>0</v>
      </c>
    </row>
    <row r="429" spans="1:114" ht="155.25" customHeight="1">
      <c r="A429" s="905">
        <v>71</v>
      </c>
      <c r="B429" s="906" t="s">
        <v>1383</v>
      </c>
      <c r="C429" s="913">
        <f>DATA!K2273</f>
        <v>1372.85</v>
      </c>
      <c r="D429" s="908" t="s">
        <v>1393</v>
      </c>
      <c r="E429" s="919"/>
      <c r="F429" s="1053">
        <f t="shared" si="57"/>
        <v>0</v>
      </c>
      <c r="G429" s="919"/>
      <c r="H429" s="914">
        <f t="shared" si="58"/>
        <v>0</v>
      </c>
      <c r="I429" s="919"/>
      <c r="J429" s="914">
        <f t="shared" si="59"/>
        <v>0</v>
      </c>
      <c r="K429" s="919"/>
      <c r="L429" s="914">
        <f t="shared" si="60"/>
        <v>0</v>
      </c>
      <c r="M429" s="919"/>
      <c r="N429" s="914">
        <f t="shared" si="55"/>
        <v>0</v>
      </c>
      <c r="O429" s="914"/>
      <c r="P429" s="914">
        <f t="shared" si="56"/>
        <v>0</v>
      </c>
      <c r="Q429" s="914"/>
      <c r="R429" s="914">
        <f t="shared" si="61"/>
        <v>0</v>
      </c>
      <c r="S429" s="915">
        <f t="shared" si="62"/>
        <v>0</v>
      </c>
      <c r="T429" s="911">
        <f t="shared" si="63"/>
        <v>0</v>
      </c>
    </row>
    <row r="430" spans="1:114" ht="155.25" customHeight="1">
      <c r="A430" s="905">
        <v>72</v>
      </c>
      <c r="B430" s="906" t="s">
        <v>899</v>
      </c>
      <c r="C430" s="913">
        <f>DATA!K2274</f>
        <v>34</v>
      </c>
      <c r="D430" s="908" t="s">
        <v>1393</v>
      </c>
      <c r="E430" s="914">
        <f>DSP!H1142</f>
        <v>26</v>
      </c>
      <c r="F430" s="1053">
        <f t="shared" si="57"/>
        <v>884</v>
      </c>
      <c r="G430" s="914"/>
      <c r="H430" s="914">
        <f t="shared" si="58"/>
        <v>0</v>
      </c>
      <c r="I430" s="914"/>
      <c r="J430" s="914">
        <f t="shared" si="59"/>
        <v>0</v>
      </c>
      <c r="K430" s="914"/>
      <c r="L430" s="914">
        <f t="shared" si="60"/>
        <v>0</v>
      </c>
      <c r="M430" s="914"/>
      <c r="N430" s="914">
        <f t="shared" si="55"/>
        <v>0</v>
      </c>
      <c r="O430" s="914"/>
      <c r="P430" s="914">
        <f t="shared" si="56"/>
        <v>0</v>
      </c>
      <c r="Q430" s="914"/>
      <c r="R430" s="914">
        <f t="shared" si="61"/>
        <v>0</v>
      </c>
      <c r="S430" s="915">
        <f t="shared" si="62"/>
        <v>26</v>
      </c>
      <c r="T430" s="911">
        <f t="shared" si="63"/>
        <v>884</v>
      </c>
    </row>
    <row r="431" spans="1:114" ht="155.25" customHeight="1">
      <c r="A431" s="927">
        <v>73.099999999999994</v>
      </c>
      <c r="B431" s="906" t="s">
        <v>6540</v>
      </c>
      <c r="C431" s="1180">
        <f>O.data!F165</f>
        <v>13800</v>
      </c>
      <c r="D431" s="908" t="s">
        <v>1393</v>
      </c>
      <c r="E431" s="914">
        <f>DSP!H2288</f>
        <v>2</v>
      </c>
      <c r="F431" s="1053">
        <f t="shared" si="57"/>
        <v>27600</v>
      </c>
      <c r="G431" s="914"/>
      <c r="H431" s="914">
        <f t="shared" si="58"/>
        <v>0</v>
      </c>
      <c r="I431" s="914"/>
      <c r="J431" s="914">
        <f t="shared" si="59"/>
        <v>0</v>
      </c>
      <c r="K431" s="914"/>
      <c r="L431" s="914">
        <f t="shared" si="60"/>
        <v>0</v>
      </c>
      <c r="M431" s="914"/>
      <c r="N431" s="914">
        <f t="shared" si="55"/>
        <v>0</v>
      </c>
      <c r="O431" s="914"/>
      <c r="P431" s="914">
        <f t="shared" si="56"/>
        <v>0</v>
      </c>
      <c r="Q431" s="914"/>
      <c r="R431" s="914">
        <f t="shared" si="61"/>
        <v>0</v>
      </c>
      <c r="S431" s="915">
        <f t="shared" si="62"/>
        <v>2</v>
      </c>
      <c r="T431" s="911">
        <f t="shared" si="63"/>
        <v>27600</v>
      </c>
    </row>
    <row r="432" spans="1:114" ht="149.25" hidden="1" customHeight="1">
      <c r="A432" s="905">
        <v>73.2</v>
      </c>
      <c r="B432" s="906" t="s">
        <v>900</v>
      </c>
      <c r="C432" s="921">
        <f>DATA!K2276</f>
        <v>3466.34</v>
      </c>
      <c r="D432" s="908" t="s">
        <v>1393</v>
      </c>
      <c r="E432" s="914"/>
      <c r="F432" s="1053">
        <f t="shared" si="57"/>
        <v>0</v>
      </c>
      <c r="G432" s="914"/>
      <c r="H432" s="914">
        <f t="shared" si="58"/>
        <v>0</v>
      </c>
      <c r="I432" s="914"/>
      <c r="J432" s="914">
        <f t="shared" si="59"/>
        <v>0</v>
      </c>
      <c r="K432" s="914"/>
      <c r="L432" s="914">
        <f t="shared" si="60"/>
        <v>0</v>
      </c>
      <c r="M432" s="914"/>
      <c r="N432" s="914">
        <f t="shared" si="55"/>
        <v>0</v>
      </c>
      <c r="O432" s="914"/>
      <c r="P432" s="914">
        <f t="shared" si="56"/>
        <v>0</v>
      </c>
      <c r="Q432" s="914"/>
      <c r="R432" s="914">
        <f t="shared" si="61"/>
        <v>0</v>
      </c>
      <c r="S432" s="915">
        <f t="shared" si="62"/>
        <v>0</v>
      </c>
      <c r="T432" s="911">
        <f t="shared" si="63"/>
        <v>0</v>
      </c>
    </row>
    <row r="433" spans="1:114" ht="149.25" customHeight="1">
      <c r="A433" s="905">
        <v>74</v>
      </c>
      <c r="B433" s="906" t="s">
        <v>901</v>
      </c>
      <c r="C433" s="913">
        <f>DATA!K2277</f>
        <v>601.20000000000005</v>
      </c>
      <c r="D433" s="908" t="s">
        <v>1393</v>
      </c>
      <c r="E433" s="914">
        <f>DSP!H1153</f>
        <v>23</v>
      </c>
      <c r="F433" s="1053">
        <f t="shared" si="57"/>
        <v>13827.6</v>
      </c>
      <c r="G433" s="914"/>
      <c r="H433" s="914">
        <f t="shared" si="58"/>
        <v>0</v>
      </c>
      <c r="I433" s="914"/>
      <c r="J433" s="914">
        <f t="shared" si="59"/>
        <v>0</v>
      </c>
      <c r="K433" s="914"/>
      <c r="L433" s="914">
        <f t="shared" si="60"/>
        <v>0</v>
      </c>
      <c r="M433" s="914"/>
      <c r="N433" s="914">
        <f t="shared" si="55"/>
        <v>0</v>
      </c>
      <c r="O433" s="914"/>
      <c r="P433" s="914">
        <f t="shared" si="56"/>
        <v>0</v>
      </c>
      <c r="Q433" s="914"/>
      <c r="R433" s="914">
        <f t="shared" si="61"/>
        <v>0</v>
      </c>
      <c r="S433" s="915">
        <f t="shared" si="62"/>
        <v>23</v>
      </c>
      <c r="T433" s="911">
        <f t="shared" si="63"/>
        <v>13827.6</v>
      </c>
    </row>
    <row r="434" spans="1:114" ht="250.5" hidden="1" customHeight="1">
      <c r="A434" s="905">
        <v>75</v>
      </c>
      <c r="B434" s="924" t="s">
        <v>902</v>
      </c>
      <c r="C434" s="921"/>
      <c r="D434" s="908"/>
      <c r="E434" s="919"/>
      <c r="F434" s="1053">
        <f t="shared" si="57"/>
        <v>0</v>
      </c>
      <c r="G434" s="919"/>
      <c r="H434" s="914">
        <f t="shared" si="58"/>
        <v>0</v>
      </c>
      <c r="I434" s="919"/>
      <c r="J434" s="914">
        <f t="shared" si="59"/>
        <v>0</v>
      </c>
      <c r="K434" s="919"/>
      <c r="L434" s="914">
        <f t="shared" si="60"/>
        <v>0</v>
      </c>
      <c r="M434" s="919"/>
      <c r="N434" s="914">
        <f t="shared" si="55"/>
        <v>0</v>
      </c>
      <c r="O434" s="914"/>
      <c r="P434" s="914">
        <f t="shared" si="56"/>
        <v>0</v>
      </c>
      <c r="Q434" s="914"/>
      <c r="R434" s="914">
        <f t="shared" si="61"/>
        <v>0</v>
      </c>
      <c r="S434" s="915">
        <f t="shared" si="62"/>
        <v>0</v>
      </c>
      <c r="T434" s="911">
        <f t="shared" si="63"/>
        <v>0</v>
      </c>
    </row>
    <row r="435" spans="1:114" ht="250.5" hidden="1" customHeight="1">
      <c r="A435" s="927"/>
      <c r="B435" s="906" t="s">
        <v>903</v>
      </c>
      <c r="C435" s="921"/>
      <c r="D435" s="908" t="s">
        <v>1393</v>
      </c>
      <c r="E435" s="919"/>
      <c r="F435" s="1053">
        <f t="shared" si="57"/>
        <v>0</v>
      </c>
      <c r="G435" s="919"/>
      <c r="H435" s="914">
        <f t="shared" si="58"/>
        <v>0</v>
      </c>
      <c r="I435" s="919"/>
      <c r="J435" s="914">
        <f t="shared" si="59"/>
        <v>0</v>
      </c>
      <c r="K435" s="919"/>
      <c r="L435" s="914">
        <f t="shared" si="60"/>
        <v>0</v>
      </c>
      <c r="M435" s="919"/>
      <c r="N435" s="914">
        <f t="shared" si="55"/>
        <v>0</v>
      </c>
      <c r="O435" s="914"/>
      <c r="P435" s="914">
        <f t="shared" si="56"/>
        <v>0</v>
      </c>
      <c r="Q435" s="914"/>
      <c r="R435" s="914">
        <f t="shared" si="61"/>
        <v>0</v>
      </c>
      <c r="S435" s="915">
        <f t="shared" si="62"/>
        <v>0</v>
      </c>
      <c r="T435" s="911">
        <f t="shared" si="63"/>
        <v>0</v>
      </c>
    </row>
    <row r="436" spans="1:114" ht="250.5" hidden="1" customHeight="1">
      <c r="A436" s="931"/>
      <c r="B436" s="906" t="s">
        <v>904</v>
      </c>
      <c r="C436" s="921"/>
      <c r="D436" s="908" t="s">
        <v>1393</v>
      </c>
      <c r="E436" s="919"/>
      <c r="F436" s="1053">
        <f t="shared" si="57"/>
        <v>0</v>
      </c>
      <c r="G436" s="919"/>
      <c r="H436" s="914">
        <f t="shared" si="58"/>
        <v>0</v>
      </c>
      <c r="I436" s="919"/>
      <c r="J436" s="914">
        <f t="shared" si="59"/>
        <v>0</v>
      </c>
      <c r="K436" s="919"/>
      <c r="L436" s="914">
        <f t="shared" si="60"/>
        <v>0</v>
      </c>
      <c r="M436" s="919"/>
      <c r="N436" s="914">
        <f t="shared" si="55"/>
        <v>0</v>
      </c>
      <c r="O436" s="914"/>
      <c r="P436" s="914">
        <f t="shared" si="56"/>
        <v>0</v>
      </c>
      <c r="Q436" s="914"/>
      <c r="R436" s="914">
        <f t="shared" si="61"/>
        <v>0</v>
      </c>
      <c r="S436" s="915">
        <f t="shared" si="62"/>
        <v>0</v>
      </c>
      <c r="T436" s="911">
        <f t="shared" si="63"/>
        <v>0</v>
      </c>
    </row>
    <row r="437" spans="1:114" ht="407.25" customHeight="1">
      <c r="A437" s="905">
        <v>76</v>
      </c>
      <c r="B437" s="906" t="s">
        <v>6982</v>
      </c>
      <c r="C437" s="913">
        <f>Elec.Data!K462</f>
        <v>81.34</v>
      </c>
      <c r="D437" s="908" t="s">
        <v>823</v>
      </c>
      <c r="E437" s="914">
        <f>DSP!H1155</f>
        <v>30</v>
      </c>
      <c r="F437" s="1053">
        <f t="shared" si="57"/>
        <v>2440.1999999999998</v>
      </c>
      <c r="G437" s="914"/>
      <c r="H437" s="914">
        <f t="shared" si="58"/>
        <v>0</v>
      </c>
      <c r="I437" s="914"/>
      <c r="J437" s="914">
        <f t="shared" si="59"/>
        <v>0</v>
      </c>
      <c r="K437" s="914"/>
      <c r="L437" s="914">
        <f t="shared" si="60"/>
        <v>0</v>
      </c>
      <c r="M437" s="914"/>
      <c r="N437" s="914">
        <f t="shared" si="55"/>
        <v>0</v>
      </c>
      <c r="O437" s="914"/>
      <c r="P437" s="914">
        <f t="shared" si="56"/>
        <v>0</v>
      </c>
      <c r="Q437" s="914"/>
      <c r="R437" s="914">
        <f t="shared" si="61"/>
        <v>0</v>
      </c>
      <c r="S437" s="915">
        <f t="shared" si="62"/>
        <v>30</v>
      </c>
      <c r="T437" s="911">
        <f t="shared" si="63"/>
        <v>2440.1999999999998</v>
      </c>
    </row>
    <row r="438" spans="1:114" ht="169.5" hidden="1" customHeight="1">
      <c r="A438" s="905">
        <v>77</v>
      </c>
      <c r="B438" s="906" t="s">
        <v>906</v>
      </c>
      <c r="C438" s="921">
        <f>ROUND(DATA!K2282,2)</f>
        <v>214.9</v>
      </c>
      <c r="D438" s="908" t="s">
        <v>823</v>
      </c>
      <c r="E438" s="919"/>
      <c r="F438" s="1053">
        <f t="shared" si="57"/>
        <v>0</v>
      </c>
      <c r="G438" s="919"/>
      <c r="H438" s="914">
        <f t="shared" si="58"/>
        <v>0</v>
      </c>
      <c r="I438" s="919"/>
      <c r="J438" s="914">
        <f t="shared" si="59"/>
        <v>0</v>
      </c>
      <c r="K438" s="919"/>
      <c r="L438" s="914">
        <f t="shared" si="60"/>
        <v>0</v>
      </c>
      <c r="M438" s="919"/>
      <c r="N438" s="914">
        <f t="shared" si="55"/>
        <v>0</v>
      </c>
      <c r="O438" s="914"/>
      <c r="P438" s="914">
        <f t="shared" si="56"/>
        <v>0</v>
      </c>
      <c r="Q438" s="914"/>
      <c r="R438" s="914">
        <f t="shared" si="61"/>
        <v>0</v>
      </c>
      <c r="S438" s="915">
        <f t="shared" si="62"/>
        <v>0</v>
      </c>
      <c r="T438" s="911">
        <f t="shared" si="63"/>
        <v>0</v>
      </c>
    </row>
    <row r="439" spans="1:114" ht="250.5" hidden="1" customHeight="1">
      <c r="A439" s="905">
        <v>77.099999999999994</v>
      </c>
      <c r="B439" s="906" t="s">
        <v>1914</v>
      </c>
      <c r="C439" s="921">
        <f>ROUND(DATA!K2283,2)</f>
        <v>272.89999999999998</v>
      </c>
      <c r="D439" s="908" t="s">
        <v>823</v>
      </c>
      <c r="E439" s="919"/>
      <c r="F439" s="1053">
        <f t="shared" si="57"/>
        <v>0</v>
      </c>
      <c r="G439" s="919"/>
      <c r="H439" s="914">
        <f t="shared" si="58"/>
        <v>0</v>
      </c>
      <c r="I439" s="919"/>
      <c r="J439" s="914">
        <f t="shared" si="59"/>
        <v>0</v>
      </c>
      <c r="K439" s="919"/>
      <c r="L439" s="914">
        <f t="shared" si="60"/>
        <v>0</v>
      </c>
      <c r="M439" s="919"/>
      <c r="N439" s="914">
        <f t="shared" si="55"/>
        <v>0</v>
      </c>
      <c r="O439" s="914"/>
      <c r="P439" s="914">
        <f t="shared" si="56"/>
        <v>0</v>
      </c>
      <c r="Q439" s="914"/>
      <c r="R439" s="914">
        <f t="shared" si="61"/>
        <v>0</v>
      </c>
      <c r="S439" s="915">
        <f t="shared" si="62"/>
        <v>0</v>
      </c>
      <c r="T439" s="911">
        <f t="shared" si="63"/>
        <v>0</v>
      </c>
    </row>
    <row r="440" spans="1:114" ht="250.5" hidden="1" customHeight="1">
      <c r="A440" s="905">
        <v>77.2</v>
      </c>
      <c r="B440" s="906" t="s">
        <v>5041</v>
      </c>
      <c r="C440" s="921">
        <v>1879</v>
      </c>
      <c r="D440" s="908" t="s">
        <v>1393</v>
      </c>
      <c r="E440" s="919"/>
      <c r="F440" s="1053">
        <f t="shared" si="57"/>
        <v>0</v>
      </c>
      <c r="G440" s="919"/>
      <c r="H440" s="914">
        <f t="shared" si="58"/>
        <v>0</v>
      </c>
      <c r="I440" s="919"/>
      <c r="J440" s="914">
        <f t="shared" si="59"/>
        <v>0</v>
      </c>
      <c r="K440" s="919"/>
      <c r="L440" s="914">
        <f t="shared" si="60"/>
        <v>0</v>
      </c>
      <c r="M440" s="919"/>
      <c r="N440" s="914">
        <f t="shared" si="55"/>
        <v>0</v>
      </c>
      <c r="O440" s="914"/>
      <c r="P440" s="914">
        <f t="shared" si="56"/>
        <v>0</v>
      </c>
      <c r="Q440" s="914"/>
      <c r="R440" s="914">
        <f t="shared" si="61"/>
        <v>0</v>
      </c>
      <c r="S440" s="915">
        <f t="shared" si="62"/>
        <v>0</v>
      </c>
      <c r="T440" s="911">
        <f t="shared" si="63"/>
        <v>0</v>
      </c>
    </row>
    <row r="441" spans="1:114" ht="198" customHeight="1">
      <c r="A441" s="905">
        <v>77.3</v>
      </c>
      <c r="B441" s="906" t="s">
        <v>1339</v>
      </c>
      <c r="C441" s="913">
        <f>DATA!K2285</f>
        <v>77.010000000000005</v>
      </c>
      <c r="D441" s="908" t="s">
        <v>1393</v>
      </c>
      <c r="E441" s="914">
        <f>DSP!H1162</f>
        <v>9</v>
      </c>
      <c r="F441" s="1053">
        <f t="shared" si="57"/>
        <v>693.09</v>
      </c>
      <c r="G441" s="914"/>
      <c r="H441" s="914">
        <f t="shared" si="58"/>
        <v>0</v>
      </c>
      <c r="I441" s="914"/>
      <c r="J441" s="914">
        <f t="shared" si="59"/>
        <v>0</v>
      </c>
      <c r="K441" s="914"/>
      <c r="L441" s="914">
        <f t="shared" si="60"/>
        <v>0</v>
      </c>
      <c r="M441" s="914"/>
      <c r="N441" s="914">
        <f t="shared" si="55"/>
        <v>0</v>
      </c>
      <c r="O441" s="914"/>
      <c r="P441" s="914">
        <f t="shared" si="56"/>
        <v>0</v>
      </c>
      <c r="Q441" s="914"/>
      <c r="R441" s="914">
        <f t="shared" si="61"/>
        <v>0</v>
      </c>
      <c r="S441" s="915">
        <f t="shared" si="62"/>
        <v>9</v>
      </c>
      <c r="T441" s="911">
        <f t="shared" si="63"/>
        <v>693.09</v>
      </c>
    </row>
    <row r="442" spans="1:114" ht="181.5" customHeight="1">
      <c r="A442" s="905">
        <v>77.400000000000006</v>
      </c>
      <c r="B442" s="906" t="s">
        <v>1046</v>
      </c>
      <c r="C442" s="913">
        <f>DATA!K2304</f>
        <v>88.71</v>
      </c>
      <c r="D442" s="908" t="s">
        <v>823</v>
      </c>
      <c r="E442" s="914">
        <f>DSP!H1170</f>
        <v>85.7</v>
      </c>
      <c r="F442" s="1053">
        <f t="shared" si="57"/>
        <v>7602.45</v>
      </c>
      <c r="G442" s="914"/>
      <c r="H442" s="914">
        <f t="shared" si="58"/>
        <v>0</v>
      </c>
      <c r="I442" s="914"/>
      <c r="J442" s="914">
        <f t="shared" si="59"/>
        <v>0</v>
      </c>
      <c r="K442" s="914"/>
      <c r="L442" s="914">
        <f t="shared" si="60"/>
        <v>0</v>
      </c>
      <c r="M442" s="914"/>
      <c r="N442" s="914">
        <f t="shared" si="55"/>
        <v>0</v>
      </c>
      <c r="O442" s="914"/>
      <c r="P442" s="914">
        <f t="shared" si="56"/>
        <v>0</v>
      </c>
      <c r="Q442" s="914"/>
      <c r="R442" s="914">
        <f t="shared" si="61"/>
        <v>0</v>
      </c>
      <c r="S442" s="915">
        <f t="shared" si="62"/>
        <v>85.7</v>
      </c>
      <c r="T442" s="911">
        <f t="shared" si="63"/>
        <v>7602.45</v>
      </c>
    </row>
    <row r="443" spans="1:114" ht="172.5" customHeight="1">
      <c r="A443" s="905">
        <v>78</v>
      </c>
      <c r="B443" s="906" t="s">
        <v>2157</v>
      </c>
      <c r="C443" s="913">
        <f>DATA!K2286</f>
        <v>2997.6</v>
      </c>
      <c r="D443" s="908" t="s">
        <v>1393</v>
      </c>
      <c r="E443" s="914">
        <f>DSP!H1172</f>
        <v>2</v>
      </c>
      <c r="F443" s="1053">
        <f t="shared" si="57"/>
        <v>5995.2</v>
      </c>
      <c r="G443" s="914"/>
      <c r="H443" s="914">
        <f t="shared" si="58"/>
        <v>0</v>
      </c>
      <c r="I443" s="914"/>
      <c r="J443" s="914">
        <f t="shared" si="59"/>
        <v>0</v>
      </c>
      <c r="K443" s="914"/>
      <c r="L443" s="914">
        <f t="shared" si="60"/>
        <v>0</v>
      </c>
      <c r="M443" s="914"/>
      <c r="N443" s="914">
        <f t="shared" si="55"/>
        <v>0</v>
      </c>
      <c r="O443" s="914"/>
      <c r="P443" s="914">
        <f t="shared" si="56"/>
        <v>0</v>
      </c>
      <c r="Q443" s="914">
        <v>1</v>
      </c>
      <c r="R443" s="914">
        <f t="shared" si="61"/>
        <v>2997.6</v>
      </c>
      <c r="S443" s="915">
        <f t="shared" si="62"/>
        <v>3</v>
      </c>
      <c r="T443" s="911">
        <f t="shared" si="63"/>
        <v>8992.7999999999993</v>
      </c>
    </row>
    <row r="444" spans="1:114" ht="149.25" customHeight="1">
      <c r="A444" s="905">
        <v>79.099999999999994</v>
      </c>
      <c r="B444" s="906" t="s">
        <v>2211</v>
      </c>
      <c r="C444" s="921">
        <f>Elec.Data!K568</f>
        <v>573</v>
      </c>
      <c r="D444" s="908" t="s">
        <v>1393</v>
      </c>
      <c r="E444" s="919"/>
      <c r="F444" s="1053">
        <f t="shared" si="57"/>
        <v>0</v>
      </c>
      <c r="G444" s="919"/>
      <c r="H444" s="914">
        <f t="shared" si="58"/>
        <v>0</v>
      </c>
      <c r="I444" s="919"/>
      <c r="J444" s="914">
        <f t="shared" si="59"/>
        <v>0</v>
      </c>
      <c r="K444" s="919"/>
      <c r="L444" s="914">
        <f t="shared" si="60"/>
        <v>0</v>
      </c>
      <c r="M444" s="919"/>
      <c r="N444" s="914">
        <f t="shared" si="55"/>
        <v>0</v>
      </c>
      <c r="O444" s="914"/>
      <c r="P444" s="914">
        <f t="shared" si="56"/>
        <v>0</v>
      </c>
      <c r="Q444" s="914"/>
      <c r="R444" s="914">
        <f t="shared" si="61"/>
        <v>0</v>
      </c>
      <c r="S444" s="915">
        <f t="shared" si="62"/>
        <v>0</v>
      </c>
      <c r="T444" s="911">
        <f t="shared" si="63"/>
        <v>0</v>
      </c>
    </row>
    <row r="445" spans="1:114" ht="126.75" customHeight="1">
      <c r="A445" s="905">
        <v>79.2</v>
      </c>
      <c r="B445" s="906" t="s">
        <v>1185</v>
      </c>
      <c r="C445" s="921">
        <f>Elec.Data!K587</f>
        <v>852.12</v>
      </c>
      <c r="D445" s="908" t="s">
        <v>1393</v>
      </c>
      <c r="E445" s="919"/>
      <c r="F445" s="1053">
        <f t="shared" si="57"/>
        <v>0</v>
      </c>
      <c r="G445" s="919"/>
      <c r="H445" s="914">
        <f t="shared" si="58"/>
        <v>0</v>
      </c>
      <c r="I445" s="919"/>
      <c r="J445" s="914">
        <f t="shared" si="59"/>
        <v>0</v>
      </c>
      <c r="K445" s="919"/>
      <c r="L445" s="914">
        <f t="shared" si="60"/>
        <v>0</v>
      </c>
      <c r="M445" s="919"/>
      <c r="N445" s="914">
        <f t="shared" si="55"/>
        <v>0</v>
      </c>
      <c r="O445" s="914"/>
      <c r="P445" s="914">
        <f t="shared" si="56"/>
        <v>0</v>
      </c>
      <c r="Q445" s="914"/>
      <c r="R445" s="914">
        <f t="shared" si="61"/>
        <v>0</v>
      </c>
      <c r="S445" s="915">
        <f t="shared" si="62"/>
        <v>0</v>
      </c>
      <c r="T445" s="911">
        <f t="shared" si="63"/>
        <v>0</v>
      </c>
    </row>
    <row r="446" spans="1:114" ht="250.5" hidden="1" customHeight="1">
      <c r="A446" s="905">
        <v>80</v>
      </c>
      <c r="B446" s="906" t="s">
        <v>631</v>
      </c>
      <c r="C446" s="913">
        <f>DATA!K2287</f>
        <v>846</v>
      </c>
      <c r="D446" s="908" t="s">
        <v>1393</v>
      </c>
      <c r="E446" s="919"/>
      <c r="F446" s="1053">
        <f t="shared" si="57"/>
        <v>0</v>
      </c>
      <c r="G446" s="919"/>
      <c r="H446" s="914">
        <f t="shared" si="58"/>
        <v>0</v>
      </c>
      <c r="I446" s="919"/>
      <c r="J446" s="914">
        <f t="shared" si="59"/>
        <v>0</v>
      </c>
      <c r="K446" s="919"/>
      <c r="L446" s="914">
        <f t="shared" si="60"/>
        <v>0</v>
      </c>
      <c r="M446" s="919"/>
      <c r="N446" s="914">
        <f t="shared" si="55"/>
        <v>0</v>
      </c>
      <c r="O446" s="914"/>
      <c r="P446" s="914">
        <f t="shared" si="56"/>
        <v>0</v>
      </c>
      <c r="Q446" s="914"/>
      <c r="R446" s="914">
        <f t="shared" si="61"/>
        <v>0</v>
      </c>
      <c r="S446" s="915">
        <f t="shared" si="62"/>
        <v>0</v>
      </c>
      <c r="T446" s="911">
        <f t="shared" si="63"/>
        <v>0</v>
      </c>
    </row>
    <row r="447" spans="1:114" s="920" customFormat="1" ht="250.5" hidden="1" customHeight="1">
      <c r="A447" s="916">
        <v>81</v>
      </c>
      <c r="B447" s="917" t="s">
        <v>288</v>
      </c>
      <c r="C447" s="918">
        <f>ROUND(DATA!K2288,2)</f>
        <v>2543.1999999999998</v>
      </c>
      <c r="D447" s="898" t="s">
        <v>2273</v>
      </c>
      <c r="E447" s="919"/>
      <c r="F447" s="1053">
        <f t="shared" si="57"/>
        <v>0</v>
      </c>
      <c r="G447" s="919"/>
      <c r="H447" s="914">
        <f t="shared" si="58"/>
        <v>0</v>
      </c>
      <c r="I447" s="919"/>
      <c r="J447" s="914">
        <f t="shared" si="59"/>
        <v>0</v>
      </c>
      <c r="K447" s="919"/>
      <c r="L447" s="914">
        <f t="shared" si="60"/>
        <v>0</v>
      </c>
      <c r="M447" s="919"/>
      <c r="N447" s="914">
        <f t="shared" si="55"/>
        <v>0</v>
      </c>
      <c r="O447" s="914"/>
      <c r="P447" s="914">
        <f t="shared" si="56"/>
        <v>0</v>
      </c>
      <c r="Q447" s="914"/>
      <c r="R447" s="914">
        <f t="shared" si="61"/>
        <v>0</v>
      </c>
      <c r="S447" s="915">
        <f t="shared" si="62"/>
        <v>0</v>
      </c>
      <c r="T447" s="911">
        <f t="shared" si="63"/>
        <v>0</v>
      </c>
      <c r="U447" s="1172"/>
      <c r="V447" s="1172"/>
      <c r="W447" s="1172"/>
      <c r="X447" s="1172"/>
      <c r="Y447" s="1172"/>
      <c r="Z447" s="1172"/>
      <c r="AA447" s="1172"/>
      <c r="AB447" s="1172"/>
      <c r="AC447" s="1172"/>
      <c r="AD447" s="1172"/>
      <c r="AE447" s="1172"/>
      <c r="AF447" s="1172"/>
      <c r="AG447" s="1172"/>
      <c r="AH447" s="1172"/>
      <c r="AI447" s="1172"/>
      <c r="AJ447" s="1172"/>
      <c r="AK447" s="1172"/>
      <c r="AL447" s="1172"/>
      <c r="AM447" s="1172"/>
      <c r="AN447" s="1172"/>
      <c r="AO447" s="1172"/>
      <c r="AP447" s="1172"/>
      <c r="AQ447" s="1172"/>
      <c r="AR447" s="1172"/>
      <c r="AS447" s="1172"/>
      <c r="AT447" s="1172"/>
      <c r="AU447" s="1172"/>
      <c r="AV447" s="1172"/>
      <c r="AW447" s="1172"/>
      <c r="AX447" s="1172"/>
      <c r="AY447" s="1172"/>
      <c r="AZ447" s="1172"/>
      <c r="BA447" s="1172"/>
      <c r="BB447" s="1172"/>
      <c r="BC447" s="1172"/>
      <c r="BD447" s="1172"/>
      <c r="BE447" s="1172"/>
      <c r="BF447" s="1172"/>
      <c r="BG447" s="1172"/>
      <c r="BH447" s="1172"/>
      <c r="BI447" s="1172"/>
      <c r="BJ447" s="1172"/>
      <c r="BK447" s="1172"/>
      <c r="BL447" s="1172"/>
      <c r="BM447" s="1172"/>
      <c r="BN447" s="1172"/>
      <c r="BO447" s="1172"/>
      <c r="BP447" s="1172"/>
      <c r="BQ447" s="1172"/>
      <c r="BR447" s="1172"/>
      <c r="BS447" s="1172"/>
      <c r="BT447" s="1172"/>
      <c r="BU447" s="1172"/>
      <c r="BV447" s="1172"/>
      <c r="BW447" s="1172"/>
      <c r="BX447" s="1172"/>
      <c r="BY447" s="1172"/>
      <c r="BZ447" s="1172"/>
      <c r="CA447" s="1172"/>
      <c r="CB447" s="1172"/>
      <c r="CC447" s="1172"/>
      <c r="CD447" s="1172"/>
      <c r="CE447" s="1172"/>
      <c r="CF447" s="1172"/>
      <c r="CG447" s="1172"/>
      <c r="CH447" s="1172"/>
      <c r="CI447" s="1172"/>
      <c r="CJ447" s="1172"/>
      <c r="CK447" s="1172"/>
      <c r="CL447" s="1172"/>
      <c r="CM447" s="1172"/>
      <c r="CN447" s="1172"/>
      <c r="CO447" s="1172"/>
      <c r="CP447" s="1172"/>
      <c r="CQ447" s="1172"/>
      <c r="CR447" s="1172"/>
      <c r="CS447" s="1172"/>
      <c r="CT447" s="1172"/>
      <c r="CU447" s="1172"/>
      <c r="CV447" s="1172"/>
      <c r="CW447" s="1172"/>
      <c r="CX447" s="1172"/>
      <c r="CY447" s="1172"/>
      <c r="CZ447" s="1172"/>
      <c r="DA447" s="1172"/>
      <c r="DB447" s="1172"/>
      <c r="DC447" s="1172"/>
      <c r="DD447" s="1172"/>
      <c r="DE447" s="1172"/>
      <c r="DF447" s="1172"/>
      <c r="DG447" s="1172"/>
      <c r="DH447" s="1172"/>
      <c r="DI447" s="1172"/>
      <c r="DJ447" s="1172"/>
    </row>
    <row r="448" spans="1:114" ht="250.5" hidden="1" customHeight="1">
      <c r="A448" s="905">
        <v>82</v>
      </c>
      <c r="B448" s="906" t="s">
        <v>1082</v>
      </c>
      <c r="C448" s="913">
        <f>ROUND(DATA!K2289,2)</f>
        <v>3037.67</v>
      </c>
      <c r="D448" s="908" t="s">
        <v>1393</v>
      </c>
      <c r="E448" s="919"/>
      <c r="F448" s="1053">
        <f t="shared" si="57"/>
        <v>0</v>
      </c>
      <c r="G448" s="919"/>
      <c r="H448" s="914">
        <f t="shared" si="58"/>
        <v>0</v>
      </c>
      <c r="I448" s="919"/>
      <c r="J448" s="914">
        <f t="shared" si="59"/>
        <v>0</v>
      </c>
      <c r="K448" s="919"/>
      <c r="L448" s="914">
        <f t="shared" si="60"/>
        <v>0</v>
      </c>
      <c r="M448" s="919"/>
      <c r="N448" s="914">
        <f t="shared" si="55"/>
        <v>0</v>
      </c>
      <c r="O448" s="914"/>
      <c r="P448" s="914">
        <f t="shared" si="56"/>
        <v>0</v>
      </c>
      <c r="Q448" s="914"/>
      <c r="R448" s="914">
        <f t="shared" si="61"/>
        <v>0</v>
      </c>
      <c r="S448" s="915">
        <f t="shared" si="62"/>
        <v>0</v>
      </c>
      <c r="T448" s="911">
        <f t="shared" si="63"/>
        <v>0</v>
      </c>
    </row>
    <row r="449" spans="1:114" ht="250.5" hidden="1" customHeight="1">
      <c r="A449" s="905">
        <v>83</v>
      </c>
      <c r="B449" s="906" t="s">
        <v>1186</v>
      </c>
      <c r="C449" s="921">
        <f>Elec.Data!K724</f>
        <v>190</v>
      </c>
      <c r="D449" s="908" t="s">
        <v>823</v>
      </c>
      <c r="E449" s="919"/>
      <c r="F449" s="1053">
        <f t="shared" si="57"/>
        <v>0</v>
      </c>
      <c r="G449" s="919"/>
      <c r="H449" s="914">
        <f t="shared" si="58"/>
        <v>0</v>
      </c>
      <c r="I449" s="919"/>
      <c r="J449" s="914">
        <f t="shared" si="59"/>
        <v>0</v>
      </c>
      <c r="K449" s="919"/>
      <c r="L449" s="914">
        <f t="shared" si="60"/>
        <v>0</v>
      </c>
      <c r="M449" s="919"/>
      <c r="N449" s="914">
        <f t="shared" si="55"/>
        <v>0</v>
      </c>
      <c r="O449" s="914"/>
      <c r="P449" s="914">
        <f t="shared" si="56"/>
        <v>0</v>
      </c>
      <c r="Q449" s="914"/>
      <c r="R449" s="914">
        <f t="shared" si="61"/>
        <v>0</v>
      </c>
      <c r="S449" s="915">
        <f t="shared" si="62"/>
        <v>0</v>
      </c>
      <c r="T449" s="911">
        <f t="shared" si="63"/>
        <v>0</v>
      </c>
    </row>
    <row r="450" spans="1:114" ht="250.5" hidden="1" customHeight="1">
      <c r="A450" s="905">
        <v>85</v>
      </c>
      <c r="B450" s="906" t="s">
        <v>1187</v>
      </c>
      <c r="C450" s="921">
        <f>Elec.Data!K683</f>
        <v>130</v>
      </c>
      <c r="D450" s="908" t="s">
        <v>823</v>
      </c>
      <c r="E450" s="919"/>
      <c r="F450" s="1053">
        <f t="shared" si="57"/>
        <v>0</v>
      </c>
      <c r="G450" s="919"/>
      <c r="H450" s="914">
        <f t="shared" si="58"/>
        <v>0</v>
      </c>
      <c r="I450" s="919"/>
      <c r="J450" s="914">
        <f t="shared" si="59"/>
        <v>0</v>
      </c>
      <c r="K450" s="919"/>
      <c r="L450" s="914">
        <f t="shared" si="60"/>
        <v>0</v>
      </c>
      <c r="M450" s="919"/>
      <c r="N450" s="914">
        <f t="shared" si="55"/>
        <v>0</v>
      </c>
      <c r="O450" s="914"/>
      <c r="P450" s="914">
        <f t="shared" si="56"/>
        <v>0</v>
      </c>
      <c r="Q450" s="914"/>
      <c r="R450" s="914">
        <f t="shared" si="61"/>
        <v>0</v>
      </c>
      <c r="S450" s="915">
        <f t="shared" si="62"/>
        <v>0</v>
      </c>
      <c r="T450" s="911">
        <f t="shared" si="63"/>
        <v>0</v>
      </c>
    </row>
    <row r="451" spans="1:114" ht="129.75" customHeight="1">
      <c r="A451" s="905">
        <v>86</v>
      </c>
      <c r="B451" s="906" t="s">
        <v>240</v>
      </c>
      <c r="C451" s="948">
        <v>34</v>
      </c>
      <c r="D451" s="908" t="s">
        <v>1834</v>
      </c>
      <c r="E451" s="914">
        <f>DSP!H1177</f>
        <v>181.5</v>
      </c>
      <c r="F451" s="1053">
        <f t="shared" si="57"/>
        <v>6171</v>
      </c>
      <c r="G451" s="914"/>
      <c r="H451" s="914">
        <f t="shared" si="58"/>
        <v>0</v>
      </c>
      <c r="I451" s="914"/>
      <c r="J451" s="914">
        <f t="shared" si="59"/>
        <v>0</v>
      </c>
      <c r="K451" s="914"/>
      <c r="L451" s="914">
        <f t="shared" si="60"/>
        <v>0</v>
      </c>
      <c r="M451" s="914"/>
      <c r="N451" s="914">
        <f t="shared" si="55"/>
        <v>0</v>
      </c>
      <c r="O451" s="914"/>
      <c r="P451" s="914">
        <f t="shared" si="56"/>
        <v>0</v>
      </c>
      <c r="Q451" s="914"/>
      <c r="R451" s="914">
        <f t="shared" si="61"/>
        <v>0</v>
      </c>
      <c r="S451" s="915">
        <f t="shared" si="62"/>
        <v>181.5</v>
      </c>
      <c r="T451" s="911">
        <f t="shared" si="63"/>
        <v>6171</v>
      </c>
    </row>
    <row r="452" spans="1:114" ht="164.25" customHeight="1">
      <c r="A452" s="905">
        <v>87</v>
      </c>
      <c r="B452" s="906" t="s">
        <v>6543</v>
      </c>
      <c r="C452" s="913">
        <f>C1039</f>
        <v>3091.3</v>
      </c>
      <c r="D452" s="908" t="s">
        <v>1393</v>
      </c>
      <c r="E452" s="919">
        <f>DSP!H2301</f>
        <v>2</v>
      </c>
      <c r="F452" s="1053">
        <f t="shared" si="57"/>
        <v>6182.6</v>
      </c>
      <c r="G452" s="919"/>
      <c r="H452" s="914">
        <f t="shared" si="58"/>
        <v>0</v>
      </c>
      <c r="I452" s="919"/>
      <c r="J452" s="914">
        <f t="shared" si="59"/>
        <v>0</v>
      </c>
      <c r="K452" s="919"/>
      <c r="L452" s="914">
        <f t="shared" si="60"/>
        <v>0</v>
      </c>
      <c r="M452" s="919"/>
      <c r="N452" s="914">
        <f t="shared" si="55"/>
        <v>0</v>
      </c>
      <c r="O452" s="914"/>
      <c r="P452" s="914">
        <f t="shared" si="56"/>
        <v>0</v>
      </c>
      <c r="Q452" s="914"/>
      <c r="R452" s="914">
        <f t="shared" si="61"/>
        <v>0</v>
      </c>
      <c r="S452" s="915">
        <f t="shared" si="62"/>
        <v>2</v>
      </c>
      <c r="T452" s="911">
        <f t="shared" si="63"/>
        <v>6182.6</v>
      </c>
    </row>
    <row r="453" spans="1:114" ht="144" hidden="1" customHeight="1">
      <c r="A453" s="905">
        <v>112</v>
      </c>
      <c r="B453" s="906" t="s">
        <v>3793</v>
      </c>
      <c r="C453" s="921">
        <f>ROUND(DATA!K2280,2)</f>
        <v>2363.25</v>
      </c>
      <c r="D453" s="908" t="s">
        <v>1393</v>
      </c>
      <c r="E453" s="919"/>
      <c r="F453" s="1053">
        <f t="shared" si="57"/>
        <v>0</v>
      </c>
      <c r="G453" s="914"/>
      <c r="H453" s="914">
        <f t="shared" si="58"/>
        <v>0</v>
      </c>
      <c r="I453" s="914"/>
      <c r="J453" s="914">
        <f t="shared" si="59"/>
        <v>0</v>
      </c>
      <c r="K453" s="914"/>
      <c r="L453" s="914">
        <f t="shared" si="60"/>
        <v>0</v>
      </c>
      <c r="M453" s="914"/>
      <c r="N453" s="914">
        <f t="shared" ref="N453:N494" si="64">M453*C453</f>
        <v>0</v>
      </c>
      <c r="O453" s="914"/>
      <c r="P453" s="914">
        <f t="shared" si="56"/>
        <v>0</v>
      </c>
      <c r="Q453" s="914"/>
      <c r="R453" s="914">
        <f t="shared" si="61"/>
        <v>0</v>
      </c>
      <c r="S453" s="915">
        <f t="shared" si="62"/>
        <v>0</v>
      </c>
      <c r="T453" s="911">
        <f t="shared" si="63"/>
        <v>0</v>
      </c>
    </row>
    <row r="454" spans="1:114" ht="184.5" customHeight="1">
      <c r="A454" s="905">
        <v>238</v>
      </c>
      <c r="B454" s="906" t="s">
        <v>6633</v>
      </c>
      <c r="C454" s="921">
        <f>ROUND(DATA!K1567,2)</f>
        <v>4672.5</v>
      </c>
      <c r="D454" s="908" t="s">
        <v>525</v>
      </c>
      <c r="E454" s="915">
        <f>DSP!H2292</f>
        <v>18.204000000000001</v>
      </c>
      <c r="F454" s="1053">
        <f t="shared" ref="F454:F523" si="65">E454*C454</f>
        <v>85058.19</v>
      </c>
      <c r="G454" s="915">
        <v>0.39400000000000002</v>
      </c>
      <c r="H454" s="914">
        <f t="shared" ref="H454:H523" si="66">G454*C454</f>
        <v>1840.97</v>
      </c>
      <c r="I454" s="915"/>
      <c r="J454" s="914">
        <f t="shared" ref="J454:J523" si="67">I454*C454</f>
        <v>0</v>
      </c>
      <c r="K454" s="915"/>
      <c r="L454" s="914">
        <f t="shared" ref="L454:L523" si="68">K454*C454</f>
        <v>0</v>
      </c>
      <c r="M454" s="915"/>
      <c r="N454" s="914">
        <f t="shared" si="64"/>
        <v>0</v>
      </c>
      <c r="O454" s="915">
        <v>1.4219999999999999</v>
      </c>
      <c r="P454" s="914">
        <f t="shared" si="56"/>
        <v>6644.3</v>
      </c>
      <c r="Q454" s="915">
        <f>'DEV-2'!U453</f>
        <v>0.91400000000000003</v>
      </c>
      <c r="R454" s="914">
        <f t="shared" si="61"/>
        <v>4270.67</v>
      </c>
      <c r="S454" s="915">
        <f t="shared" si="62"/>
        <v>20.934000000000001</v>
      </c>
      <c r="T454" s="911">
        <f t="shared" si="63"/>
        <v>97814.12</v>
      </c>
    </row>
    <row r="455" spans="1:114" ht="141" customHeight="1">
      <c r="A455" s="905"/>
      <c r="B455" s="1214" t="s">
        <v>2879</v>
      </c>
      <c r="C455" s="913"/>
      <c r="D455" s="908"/>
      <c r="E455" s="911"/>
      <c r="F455" s="1053">
        <f t="shared" si="65"/>
        <v>0</v>
      </c>
      <c r="G455" s="914"/>
      <c r="H455" s="914">
        <f t="shared" si="66"/>
        <v>0</v>
      </c>
      <c r="I455" s="914"/>
      <c r="J455" s="914">
        <f t="shared" si="67"/>
        <v>0</v>
      </c>
      <c r="K455" s="914"/>
      <c r="L455" s="914">
        <f t="shared" si="68"/>
        <v>0</v>
      </c>
      <c r="M455" s="914"/>
      <c r="N455" s="914">
        <f t="shared" si="64"/>
        <v>0</v>
      </c>
      <c r="O455" s="914"/>
      <c r="P455" s="914">
        <f t="shared" ref="P455:P518" si="69">O455*C455</f>
        <v>0</v>
      </c>
      <c r="Q455" s="914"/>
      <c r="R455" s="914">
        <f t="shared" si="61"/>
        <v>0</v>
      </c>
      <c r="S455" s="915">
        <f t="shared" si="62"/>
        <v>0</v>
      </c>
      <c r="T455" s="911">
        <f t="shared" si="63"/>
        <v>0</v>
      </c>
    </row>
    <row r="456" spans="1:114" s="937" customFormat="1" ht="250.5" hidden="1" customHeight="1">
      <c r="A456" s="936" t="s">
        <v>991</v>
      </c>
      <c r="B456" s="925" t="s">
        <v>4688</v>
      </c>
      <c r="C456" s="918"/>
      <c r="D456" s="898"/>
      <c r="E456" s="919"/>
      <c r="F456" s="1053">
        <f t="shared" si="65"/>
        <v>0</v>
      </c>
      <c r="G456" s="919"/>
      <c r="H456" s="914">
        <f t="shared" si="66"/>
        <v>0</v>
      </c>
      <c r="I456" s="919"/>
      <c r="J456" s="914">
        <f t="shared" si="67"/>
        <v>0</v>
      </c>
      <c r="K456" s="919"/>
      <c r="L456" s="914">
        <f t="shared" si="68"/>
        <v>0</v>
      </c>
      <c r="M456" s="919"/>
      <c r="N456" s="914">
        <f t="shared" si="64"/>
        <v>0</v>
      </c>
      <c r="O456" s="914"/>
      <c r="P456" s="914">
        <f t="shared" si="69"/>
        <v>0</v>
      </c>
      <c r="Q456" s="914"/>
      <c r="R456" s="914">
        <f t="shared" ref="R456:R519" si="70">Q456*C456</f>
        <v>0</v>
      </c>
      <c r="S456" s="915">
        <f t="shared" ref="S456:S519" si="71">G456+I456+K456+M456+E456+O456+Q456</f>
        <v>0</v>
      </c>
      <c r="T456" s="911">
        <f t="shared" ref="T456:T519" si="72">S456*C456</f>
        <v>0</v>
      </c>
      <c r="U456" s="1172"/>
      <c r="V456" s="1172"/>
      <c r="W456" s="1172"/>
      <c r="X456" s="1172"/>
      <c r="Y456" s="1172"/>
      <c r="Z456" s="1172"/>
      <c r="AA456" s="1172"/>
      <c r="AB456" s="1172"/>
      <c r="AC456" s="1172"/>
      <c r="AD456" s="1172"/>
      <c r="AE456" s="1172"/>
      <c r="AF456" s="1172"/>
      <c r="AG456" s="1172"/>
      <c r="AH456" s="1172"/>
      <c r="AI456" s="1172"/>
      <c r="AJ456" s="1172"/>
      <c r="AK456" s="1172"/>
      <c r="AL456" s="1172"/>
      <c r="AM456" s="1172"/>
      <c r="AN456" s="1172"/>
      <c r="AO456" s="1172"/>
      <c r="AP456" s="1172"/>
      <c r="AQ456" s="1172"/>
      <c r="AR456" s="1172"/>
      <c r="AS456" s="1172"/>
      <c r="AT456" s="1172"/>
      <c r="AU456" s="1172"/>
      <c r="AV456" s="1172"/>
      <c r="AW456" s="1172"/>
      <c r="AX456" s="1172"/>
      <c r="AY456" s="1172"/>
      <c r="AZ456" s="1172"/>
      <c r="BA456" s="1172"/>
      <c r="BB456" s="1172"/>
      <c r="BC456" s="1172"/>
      <c r="BD456" s="1172"/>
      <c r="BE456" s="1172"/>
      <c r="BF456" s="1172"/>
      <c r="BG456" s="1172"/>
      <c r="BH456" s="1172"/>
      <c r="BI456" s="1172"/>
      <c r="BJ456" s="1172"/>
      <c r="BK456" s="1172"/>
      <c r="BL456" s="1172"/>
      <c r="BM456" s="1172"/>
      <c r="BN456" s="1172"/>
      <c r="BO456" s="1172"/>
      <c r="BP456" s="1172"/>
      <c r="BQ456" s="1172"/>
      <c r="BR456" s="1172"/>
      <c r="BS456" s="1172"/>
      <c r="BT456" s="1172"/>
      <c r="BU456" s="1172"/>
      <c r="BV456" s="1172"/>
      <c r="BW456" s="1172"/>
      <c r="BX456" s="1172"/>
      <c r="BY456" s="1172"/>
      <c r="BZ456" s="1172"/>
      <c r="CA456" s="1172"/>
      <c r="CB456" s="1172"/>
      <c r="CC456" s="1172"/>
      <c r="CD456" s="1172"/>
      <c r="CE456" s="1172"/>
      <c r="CF456" s="1172"/>
      <c r="CG456" s="1172"/>
      <c r="CH456" s="1172"/>
      <c r="CI456" s="1172"/>
      <c r="CJ456" s="1172"/>
      <c r="CK456" s="1172"/>
      <c r="CL456" s="1172"/>
      <c r="CM456" s="1172"/>
      <c r="CN456" s="1172"/>
      <c r="CO456" s="1172"/>
      <c r="CP456" s="1172"/>
      <c r="CQ456" s="1172"/>
      <c r="CR456" s="1172"/>
      <c r="CS456" s="1172"/>
      <c r="CT456" s="1172"/>
      <c r="CU456" s="1172"/>
      <c r="CV456" s="1172"/>
      <c r="CW456" s="1172"/>
      <c r="CX456" s="1172"/>
      <c r="CY456" s="1172"/>
      <c r="CZ456" s="1172"/>
      <c r="DA456" s="1172"/>
      <c r="DB456" s="1172"/>
      <c r="DC456" s="1172"/>
      <c r="DD456" s="1172"/>
      <c r="DE456" s="1172"/>
      <c r="DF456" s="1172"/>
      <c r="DG456" s="1172"/>
      <c r="DH456" s="1172"/>
      <c r="DI456" s="1172"/>
      <c r="DJ456" s="1172"/>
    </row>
    <row r="457" spans="1:114" s="937" customFormat="1" ht="250.5" hidden="1" customHeight="1">
      <c r="A457" s="936"/>
      <c r="B457" s="917" t="s">
        <v>4723</v>
      </c>
      <c r="C457" s="918">
        <f>DATA!AK537</f>
        <v>1499.67</v>
      </c>
      <c r="D457" s="898" t="s">
        <v>1834</v>
      </c>
      <c r="E457" s="919"/>
      <c r="F457" s="1053">
        <f t="shared" si="65"/>
        <v>0</v>
      </c>
      <c r="G457" s="919"/>
      <c r="H457" s="914">
        <f t="shared" si="66"/>
        <v>0</v>
      </c>
      <c r="I457" s="919"/>
      <c r="J457" s="914">
        <f t="shared" si="67"/>
        <v>0</v>
      </c>
      <c r="K457" s="919"/>
      <c r="L457" s="914">
        <f t="shared" si="68"/>
        <v>0</v>
      </c>
      <c r="M457" s="919"/>
      <c r="N457" s="914">
        <f t="shared" si="64"/>
        <v>0</v>
      </c>
      <c r="O457" s="914"/>
      <c r="P457" s="914">
        <f t="shared" si="69"/>
        <v>0</v>
      </c>
      <c r="Q457" s="914"/>
      <c r="R457" s="914">
        <f t="shared" si="70"/>
        <v>0</v>
      </c>
      <c r="S457" s="915">
        <f t="shared" si="71"/>
        <v>0</v>
      </c>
      <c r="T457" s="911">
        <f t="shared" si="72"/>
        <v>0</v>
      </c>
      <c r="U457" s="1172"/>
      <c r="V457" s="1172"/>
      <c r="W457" s="1172"/>
      <c r="X457" s="1172"/>
      <c r="Y457" s="1172"/>
      <c r="Z457" s="1172"/>
      <c r="AA457" s="1172"/>
      <c r="AB457" s="1172"/>
      <c r="AC457" s="1172"/>
      <c r="AD457" s="1172"/>
      <c r="AE457" s="1172"/>
      <c r="AF457" s="1172"/>
      <c r="AG457" s="1172"/>
      <c r="AH457" s="1172"/>
      <c r="AI457" s="1172"/>
      <c r="AJ457" s="1172"/>
      <c r="AK457" s="1172"/>
      <c r="AL457" s="1172"/>
      <c r="AM457" s="1172"/>
      <c r="AN457" s="1172"/>
      <c r="AO457" s="1172"/>
      <c r="AP457" s="1172"/>
      <c r="AQ457" s="1172"/>
      <c r="AR457" s="1172"/>
      <c r="AS457" s="1172"/>
      <c r="AT457" s="1172"/>
      <c r="AU457" s="1172"/>
      <c r="AV457" s="1172"/>
      <c r="AW457" s="1172"/>
      <c r="AX457" s="1172"/>
      <c r="AY457" s="1172"/>
      <c r="AZ457" s="1172"/>
      <c r="BA457" s="1172"/>
      <c r="BB457" s="1172"/>
      <c r="BC457" s="1172"/>
      <c r="BD457" s="1172"/>
      <c r="BE457" s="1172"/>
      <c r="BF457" s="1172"/>
      <c r="BG457" s="1172"/>
      <c r="BH457" s="1172"/>
      <c r="BI457" s="1172"/>
      <c r="BJ457" s="1172"/>
      <c r="BK457" s="1172"/>
      <c r="BL457" s="1172"/>
      <c r="BM457" s="1172"/>
      <c r="BN457" s="1172"/>
      <c r="BO457" s="1172"/>
      <c r="BP457" s="1172"/>
      <c r="BQ457" s="1172"/>
      <c r="BR457" s="1172"/>
      <c r="BS457" s="1172"/>
      <c r="BT457" s="1172"/>
      <c r="BU457" s="1172"/>
      <c r="BV457" s="1172"/>
      <c r="BW457" s="1172"/>
      <c r="BX457" s="1172"/>
      <c r="BY457" s="1172"/>
      <c r="BZ457" s="1172"/>
      <c r="CA457" s="1172"/>
      <c r="CB457" s="1172"/>
      <c r="CC457" s="1172"/>
      <c r="CD457" s="1172"/>
      <c r="CE457" s="1172"/>
      <c r="CF457" s="1172"/>
      <c r="CG457" s="1172"/>
      <c r="CH457" s="1172"/>
      <c r="CI457" s="1172"/>
      <c r="CJ457" s="1172"/>
      <c r="CK457" s="1172"/>
      <c r="CL457" s="1172"/>
      <c r="CM457" s="1172"/>
      <c r="CN457" s="1172"/>
      <c r="CO457" s="1172"/>
      <c r="CP457" s="1172"/>
      <c r="CQ457" s="1172"/>
      <c r="CR457" s="1172"/>
      <c r="CS457" s="1172"/>
      <c r="CT457" s="1172"/>
      <c r="CU457" s="1172"/>
      <c r="CV457" s="1172"/>
      <c r="CW457" s="1172"/>
      <c r="CX457" s="1172"/>
      <c r="CY457" s="1172"/>
      <c r="CZ457" s="1172"/>
      <c r="DA457" s="1172"/>
      <c r="DB457" s="1172"/>
      <c r="DC457" s="1172"/>
      <c r="DD457" s="1172"/>
      <c r="DE457" s="1172"/>
      <c r="DF457" s="1172"/>
      <c r="DG457" s="1172"/>
      <c r="DH457" s="1172"/>
      <c r="DI457" s="1172"/>
      <c r="DJ457" s="1172"/>
    </row>
    <row r="458" spans="1:114" s="937" customFormat="1" ht="250.5" hidden="1" customHeight="1">
      <c r="A458" s="936"/>
      <c r="B458" s="917" t="s">
        <v>1381</v>
      </c>
      <c r="C458" s="918">
        <f>DATA!AK538</f>
        <v>1504.44</v>
      </c>
      <c r="D458" s="898" t="s">
        <v>1834</v>
      </c>
      <c r="E458" s="919"/>
      <c r="F458" s="1053">
        <f t="shared" si="65"/>
        <v>0</v>
      </c>
      <c r="G458" s="919"/>
      <c r="H458" s="914">
        <f t="shared" si="66"/>
        <v>0</v>
      </c>
      <c r="I458" s="919"/>
      <c r="J458" s="914">
        <f t="shared" si="67"/>
        <v>0</v>
      </c>
      <c r="K458" s="919"/>
      <c r="L458" s="914">
        <f t="shared" si="68"/>
        <v>0</v>
      </c>
      <c r="M458" s="919"/>
      <c r="N458" s="914">
        <f t="shared" si="64"/>
        <v>0</v>
      </c>
      <c r="O458" s="914"/>
      <c r="P458" s="914">
        <f t="shared" si="69"/>
        <v>0</v>
      </c>
      <c r="Q458" s="914"/>
      <c r="R458" s="914">
        <f t="shared" si="70"/>
        <v>0</v>
      </c>
      <c r="S458" s="915">
        <f t="shared" si="71"/>
        <v>0</v>
      </c>
      <c r="T458" s="911">
        <f t="shared" si="72"/>
        <v>0</v>
      </c>
      <c r="U458" s="1172"/>
      <c r="V458" s="1172"/>
      <c r="W458" s="1172"/>
      <c r="X458" s="1172"/>
      <c r="Y458" s="1172"/>
      <c r="Z458" s="1172"/>
      <c r="AA458" s="1172"/>
      <c r="AB458" s="1172"/>
      <c r="AC458" s="1172"/>
      <c r="AD458" s="1172"/>
      <c r="AE458" s="1172"/>
      <c r="AF458" s="1172"/>
      <c r="AG458" s="1172"/>
      <c r="AH458" s="1172"/>
      <c r="AI458" s="1172"/>
      <c r="AJ458" s="1172"/>
      <c r="AK458" s="1172"/>
      <c r="AL458" s="1172"/>
      <c r="AM458" s="1172"/>
      <c r="AN458" s="1172"/>
      <c r="AO458" s="1172"/>
      <c r="AP458" s="1172"/>
      <c r="AQ458" s="1172"/>
      <c r="AR458" s="1172"/>
      <c r="AS458" s="1172"/>
      <c r="AT458" s="1172"/>
      <c r="AU458" s="1172"/>
      <c r="AV458" s="1172"/>
      <c r="AW458" s="1172"/>
      <c r="AX458" s="1172"/>
      <c r="AY458" s="1172"/>
      <c r="AZ458" s="1172"/>
      <c r="BA458" s="1172"/>
      <c r="BB458" s="1172"/>
      <c r="BC458" s="1172"/>
      <c r="BD458" s="1172"/>
      <c r="BE458" s="1172"/>
      <c r="BF458" s="1172"/>
      <c r="BG458" s="1172"/>
      <c r="BH458" s="1172"/>
      <c r="BI458" s="1172"/>
      <c r="BJ458" s="1172"/>
      <c r="BK458" s="1172"/>
      <c r="BL458" s="1172"/>
      <c r="BM458" s="1172"/>
      <c r="BN458" s="1172"/>
      <c r="BO458" s="1172"/>
      <c r="BP458" s="1172"/>
      <c r="BQ458" s="1172"/>
      <c r="BR458" s="1172"/>
      <c r="BS458" s="1172"/>
      <c r="BT458" s="1172"/>
      <c r="BU458" s="1172"/>
      <c r="BV458" s="1172"/>
      <c r="BW458" s="1172"/>
      <c r="BX458" s="1172"/>
      <c r="BY458" s="1172"/>
      <c r="BZ458" s="1172"/>
      <c r="CA458" s="1172"/>
      <c r="CB458" s="1172"/>
      <c r="CC458" s="1172"/>
      <c r="CD458" s="1172"/>
      <c r="CE458" s="1172"/>
      <c r="CF458" s="1172"/>
      <c r="CG458" s="1172"/>
      <c r="CH458" s="1172"/>
      <c r="CI458" s="1172"/>
      <c r="CJ458" s="1172"/>
      <c r="CK458" s="1172"/>
      <c r="CL458" s="1172"/>
      <c r="CM458" s="1172"/>
      <c r="CN458" s="1172"/>
      <c r="CO458" s="1172"/>
      <c r="CP458" s="1172"/>
      <c r="CQ458" s="1172"/>
      <c r="CR458" s="1172"/>
      <c r="CS458" s="1172"/>
      <c r="CT458" s="1172"/>
      <c r="CU458" s="1172"/>
      <c r="CV458" s="1172"/>
      <c r="CW458" s="1172"/>
      <c r="CX458" s="1172"/>
      <c r="CY458" s="1172"/>
      <c r="CZ458" s="1172"/>
      <c r="DA458" s="1172"/>
      <c r="DB458" s="1172"/>
      <c r="DC458" s="1172"/>
      <c r="DD458" s="1172"/>
      <c r="DE458" s="1172"/>
      <c r="DF458" s="1172"/>
      <c r="DG458" s="1172"/>
      <c r="DH458" s="1172"/>
      <c r="DI458" s="1172"/>
      <c r="DJ458" s="1172"/>
    </row>
    <row r="459" spans="1:114" s="937" customFormat="1" ht="250.5" hidden="1" customHeight="1">
      <c r="A459" s="936"/>
      <c r="B459" s="917" t="s">
        <v>1429</v>
      </c>
      <c r="C459" s="918">
        <f>DATA!AK539</f>
        <v>1509.21</v>
      </c>
      <c r="D459" s="898" t="s">
        <v>1834</v>
      </c>
      <c r="E459" s="919"/>
      <c r="F459" s="1053">
        <f t="shared" si="65"/>
        <v>0</v>
      </c>
      <c r="G459" s="919"/>
      <c r="H459" s="914">
        <f t="shared" si="66"/>
        <v>0</v>
      </c>
      <c r="I459" s="919"/>
      <c r="J459" s="914">
        <f t="shared" si="67"/>
        <v>0</v>
      </c>
      <c r="K459" s="919"/>
      <c r="L459" s="914">
        <f t="shared" si="68"/>
        <v>0</v>
      </c>
      <c r="M459" s="919"/>
      <c r="N459" s="914">
        <f t="shared" si="64"/>
        <v>0</v>
      </c>
      <c r="O459" s="914"/>
      <c r="P459" s="914">
        <f t="shared" si="69"/>
        <v>0</v>
      </c>
      <c r="Q459" s="914"/>
      <c r="R459" s="914">
        <f t="shared" si="70"/>
        <v>0</v>
      </c>
      <c r="S459" s="915">
        <f t="shared" si="71"/>
        <v>0</v>
      </c>
      <c r="T459" s="911">
        <f t="shared" si="72"/>
        <v>0</v>
      </c>
      <c r="U459" s="1172"/>
      <c r="V459" s="1172"/>
      <c r="W459" s="1172"/>
      <c r="X459" s="1172"/>
      <c r="Y459" s="1172"/>
      <c r="Z459" s="1172"/>
      <c r="AA459" s="1172"/>
      <c r="AB459" s="1172"/>
      <c r="AC459" s="1172"/>
      <c r="AD459" s="1172"/>
      <c r="AE459" s="1172"/>
      <c r="AF459" s="1172"/>
      <c r="AG459" s="1172"/>
      <c r="AH459" s="1172"/>
      <c r="AI459" s="1172"/>
      <c r="AJ459" s="1172"/>
      <c r="AK459" s="1172"/>
      <c r="AL459" s="1172"/>
      <c r="AM459" s="1172"/>
      <c r="AN459" s="1172"/>
      <c r="AO459" s="1172"/>
      <c r="AP459" s="1172"/>
      <c r="AQ459" s="1172"/>
      <c r="AR459" s="1172"/>
      <c r="AS459" s="1172"/>
      <c r="AT459" s="1172"/>
      <c r="AU459" s="1172"/>
      <c r="AV459" s="1172"/>
      <c r="AW459" s="1172"/>
      <c r="AX459" s="1172"/>
      <c r="AY459" s="1172"/>
      <c r="AZ459" s="1172"/>
      <c r="BA459" s="1172"/>
      <c r="BB459" s="1172"/>
      <c r="BC459" s="1172"/>
      <c r="BD459" s="1172"/>
      <c r="BE459" s="1172"/>
      <c r="BF459" s="1172"/>
      <c r="BG459" s="1172"/>
      <c r="BH459" s="1172"/>
      <c r="BI459" s="1172"/>
      <c r="BJ459" s="1172"/>
      <c r="BK459" s="1172"/>
      <c r="BL459" s="1172"/>
      <c r="BM459" s="1172"/>
      <c r="BN459" s="1172"/>
      <c r="BO459" s="1172"/>
      <c r="BP459" s="1172"/>
      <c r="BQ459" s="1172"/>
      <c r="BR459" s="1172"/>
      <c r="BS459" s="1172"/>
      <c r="BT459" s="1172"/>
      <c r="BU459" s="1172"/>
      <c r="BV459" s="1172"/>
      <c r="BW459" s="1172"/>
      <c r="BX459" s="1172"/>
      <c r="BY459" s="1172"/>
      <c r="BZ459" s="1172"/>
      <c r="CA459" s="1172"/>
      <c r="CB459" s="1172"/>
      <c r="CC459" s="1172"/>
      <c r="CD459" s="1172"/>
      <c r="CE459" s="1172"/>
      <c r="CF459" s="1172"/>
      <c r="CG459" s="1172"/>
      <c r="CH459" s="1172"/>
      <c r="CI459" s="1172"/>
      <c r="CJ459" s="1172"/>
      <c r="CK459" s="1172"/>
      <c r="CL459" s="1172"/>
      <c r="CM459" s="1172"/>
      <c r="CN459" s="1172"/>
      <c r="CO459" s="1172"/>
      <c r="CP459" s="1172"/>
      <c r="CQ459" s="1172"/>
      <c r="CR459" s="1172"/>
      <c r="CS459" s="1172"/>
      <c r="CT459" s="1172"/>
      <c r="CU459" s="1172"/>
      <c r="CV459" s="1172"/>
      <c r="CW459" s="1172"/>
      <c r="CX459" s="1172"/>
      <c r="CY459" s="1172"/>
      <c r="CZ459" s="1172"/>
      <c r="DA459" s="1172"/>
      <c r="DB459" s="1172"/>
      <c r="DC459" s="1172"/>
      <c r="DD459" s="1172"/>
      <c r="DE459" s="1172"/>
      <c r="DF459" s="1172"/>
      <c r="DG459" s="1172"/>
      <c r="DH459" s="1172"/>
      <c r="DI459" s="1172"/>
      <c r="DJ459" s="1172"/>
    </row>
    <row r="460" spans="1:114" s="937" customFormat="1" ht="250.5" hidden="1" customHeight="1">
      <c r="A460" s="936"/>
      <c r="B460" s="917" t="s">
        <v>1319</v>
      </c>
      <c r="C460" s="918">
        <f>DATA!AK540</f>
        <v>1513.98</v>
      </c>
      <c r="D460" s="898" t="s">
        <v>1834</v>
      </c>
      <c r="E460" s="919"/>
      <c r="F460" s="1053">
        <f t="shared" si="65"/>
        <v>0</v>
      </c>
      <c r="G460" s="919"/>
      <c r="H460" s="914">
        <f t="shared" si="66"/>
        <v>0</v>
      </c>
      <c r="I460" s="919"/>
      <c r="J460" s="914">
        <f t="shared" si="67"/>
        <v>0</v>
      </c>
      <c r="K460" s="919"/>
      <c r="L460" s="914">
        <f t="shared" si="68"/>
        <v>0</v>
      </c>
      <c r="M460" s="919"/>
      <c r="N460" s="914">
        <f t="shared" si="64"/>
        <v>0</v>
      </c>
      <c r="O460" s="914"/>
      <c r="P460" s="914">
        <f t="shared" si="69"/>
        <v>0</v>
      </c>
      <c r="Q460" s="914"/>
      <c r="R460" s="914">
        <f t="shared" si="70"/>
        <v>0</v>
      </c>
      <c r="S460" s="915">
        <f t="shared" si="71"/>
        <v>0</v>
      </c>
      <c r="T460" s="911">
        <f t="shared" si="72"/>
        <v>0</v>
      </c>
      <c r="U460" s="1172"/>
      <c r="V460" s="1172"/>
      <c r="W460" s="1172"/>
      <c r="X460" s="1172"/>
      <c r="Y460" s="1172"/>
      <c r="Z460" s="1172"/>
      <c r="AA460" s="1172"/>
      <c r="AB460" s="1172"/>
      <c r="AC460" s="1172"/>
      <c r="AD460" s="1172"/>
      <c r="AE460" s="1172"/>
      <c r="AF460" s="1172"/>
      <c r="AG460" s="1172"/>
      <c r="AH460" s="1172"/>
      <c r="AI460" s="1172"/>
      <c r="AJ460" s="1172"/>
      <c r="AK460" s="1172"/>
      <c r="AL460" s="1172"/>
      <c r="AM460" s="1172"/>
      <c r="AN460" s="1172"/>
      <c r="AO460" s="1172"/>
      <c r="AP460" s="1172"/>
      <c r="AQ460" s="1172"/>
      <c r="AR460" s="1172"/>
      <c r="AS460" s="1172"/>
      <c r="AT460" s="1172"/>
      <c r="AU460" s="1172"/>
      <c r="AV460" s="1172"/>
      <c r="AW460" s="1172"/>
      <c r="AX460" s="1172"/>
      <c r="AY460" s="1172"/>
      <c r="AZ460" s="1172"/>
      <c r="BA460" s="1172"/>
      <c r="BB460" s="1172"/>
      <c r="BC460" s="1172"/>
      <c r="BD460" s="1172"/>
      <c r="BE460" s="1172"/>
      <c r="BF460" s="1172"/>
      <c r="BG460" s="1172"/>
      <c r="BH460" s="1172"/>
      <c r="BI460" s="1172"/>
      <c r="BJ460" s="1172"/>
      <c r="BK460" s="1172"/>
      <c r="BL460" s="1172"/>
      <c r="BM460" s="1172"/>
      <c r="BN460" s="1172"/>
      <c r="BO460" s="1172"/>
      <c r="BP460" s="1172"/>
      <c r="BQ460" s="1172"/>
      <c r="BR460" s="1172"/>
      <c r="BS460" s="1172"/>
      <c r="BT460" s="1172"/>
      <c r="BU460" s="1172"/>
      <c r="BV460" s="1172"/>
      <c r="BW460" s="1172"/>
      <c r="BX460" s="1172"/>
      <c r="BY460" s="1172"/>
      <c r="BZ460" s="1172"/>
      <c r="CA460" s="1172"/>
      <c r="CB460" s="1172"/>
      <c r="CC460" s="1172"/>
      <c r="CD460" s="1172"/>
      <c r="CE460" s="1172"/>
      <c r="CF460" s="1172"/>
      <c r="CG460" s="1172"/>
      <c r="CH460" s="1172"/>
      <c r="CI460" s="1172"/>
      <c r="CJ460" s="1172"/>
      <c r="CK460" s="1172"/>
      <c r="CL460" s="1172"/>
      <c r="CM460" s="1172"/>
      <c r="CN460" s="1172"/>
      <c r="CO460" s="1172"/>
      <c r="CP460" s="1172"/>
      <c r="CQ460" s="1172"/>
      <c r="CR460" s="1172"/>
      <c r="CS460" s="1172"/>
      <c r="CT460" s="1172"/>
      <c r="CU460" s="1172"/>
      <c r="CV460" s="1172"/>
      <c r="CW460" s="1172"/>
      <c r="CX460" s="1172"/>
      <c r="CY460" s="1172"/>
      <c r="CZ460" s="1172"/>
      <c r="DA460" s="1172"/>
      <c r="DB460" s="1172"/>
      <c r="DC460" s="1172"/>
      <c r="DD460" s="1172"/>
      <c r="DE460" s="1172"/>
      <c r="DF460" s="1172"/>
      <c r="DG460" s="1172"/>
      <c r="DH460" s="1172"/>
      <c r="DI460" s="1172"/>
      <c r="DJ460" s="1172"/>
    </row>
    <row r="461" spans="1:114" ht="250.5" hidden="1" customHeight="1">
      <c r="A461" s="931"/>
      <c r="B461" s="906" t="s">
        <v>1074</v>
      </c>
      <c r="C461" s="918">
        <f>DATA!AK541</f>
        <v>1518.75</v>
      </c>
      <c r="D461" s="908" t="s">
        <v>1834</v>
      </c>
      <c r="E461" s="919"/>
      <c r="F461" s="1053">
        <f t="shared" si="65"/>
        <v>0</v>
      </c>
      <c r="G461" s="919"/>
      <c r="H461" s="914">
        <f t="shared" si="66"/>
        <v>0</v>
      </c>
      <c r="I461" s="919"/>
      <c r="J461" s="914">
        <f t="shared" si="67"/>
        <v>0</v>
      </c>
      <c r="K461" s="919"/>
      <c r="L461" s="914">
        <f t="shared" si="68"/>
        <v>0</v>
      </c>
      <c r="M461" s="919"/>
      <c r="N461" s="914">
        <f t="shared" si="64"/>
        <v>0</v>
      </c>
      <c r="O461" s="914"/>
      <c r="P461" s="914">
        <f t="shared" si="69"/>
        <v>0</v>
      </c>
      <c r="Q461" s="914"/>
      <c r="R461" s="914">
        <f t="shared" si="70"/>
        <v>0</v>
      </c>
      <c r="S461" s="915">
        <f t="shared" si="71"/>
        <v>0</v>
      </c>
      <c r="T461" s="911">
        <f t="shared" si="72"/>
        <v>0</v>
      </c>
    </row>
    <row r="462" spans="1:114" s="937" customFormat="1" ht="250.5" hidden="1" customHeight="1">
      <c r="A462" s="936" t="s">
        <v>1124</v>
      </c>
      <c r="B462" s="925" t="s">
        <v>4689</v>
      </c>
      <c r="C462" s="918"/>
      <c r="D462" s="898"/>
      <c r="E462" s="919"/>
      <c r="F462" s="1053">
        <f t="shared" si="65"/>
        <v>0</v>
      </c>
      <c r="G462" s="919"/>
      <c r="H462" s="914">
        <f t="shared" si="66"/>
        <v>0</v>
      </c>
      <c r="I462" s="919"/>
      <c r="J462" s="914">
        <f t="shared" si="67"/>
        <v>0</v>
      </c>
      <c r="K462" s="919"/>
      <c r="L462" s="914">
        <f t="shared" si="68"/>
        <v>0</v>
      </c>
      <c r="M462" s="919"/>
      <c r="N462" s="914">
        <f t="shared" si="64"/>
        <v>0</v>
      </c>
      <c r="O462" s="914"/>
      <c r="P462" s="914">
        <f t="shared" si="69"/>
        <v>0</v>
      </c>
      <c r="Q462" s="914"/>
      <c r="R462" s="914">
        <f t="shared" si="70"/>
        <v>0</v>
      </c>
      <c r="S462" s="915">
        <f t="shared" si="71"/>
        <v>0</v>
      </c>
      <c r="T462" s="911">
        <f t="shared" si="72"/>
        <v>0</v>
      </c>
      <c r="U462" s="1172"/>
      <c r="V462" s="1172"/>
      <c r="W462" s="1172"/>
      <c r="X462" s="1172"/>
      <c r="Y462" s="1172"/>
      <c r="Z462" s="1172"/>
      <c r="AA462" s="1172"/>
      <c r="AB462" s="1172"/>
      <c r="AC462" s="1172"/>
      <c r="AD462" s="1172"/>
      <c r="AE462" s="1172"/>
      <c r="AF462" s="1172"/>
      <c r="AG462" s="1172"/>
      <c r="AH462" s="1172"/>
      <c r="AI462" s="1172"/>
      <c r="AJ462" s="1172"/>
      <c r="AK462" s="1172"/>
      <c r="AL462" s="1172"/>
      <c r="AM462" s="1172"/>
      <c r="AN462" s="1172"/>
      <c r="AO462" s="1172"/>
      <c r="AP462" s="1172"/>
      <c r="AQ462" s="1172"/>
      <c r="AR462" s="1172"/>
      <c r="AS462" s="1172"/>
      <c r="AT462" s="1172"/>
      <c r="AU462" s="1172"/>
      <c r="AV462" s="1172"/>
      <c r="AW462" s="1172"/>
      <c r="AX462" s="1172"/>
      <c r="AY462" s="1172"/>
      <c r="AZ462" s="1172"/>
      <c r="BA462" s="1172"/>
      <c r="BB462" s="1172"/>
      <c r="BC462" s="1172"/>
      <c r="BD462" s="1172"/>
      <c r="BE462" s="1172"/>
      <c r="BF462" s="1172"/>
      <c r="BG462" s="1172"/>
      <c r="BH462" s="1172"/>
      <c r="BI462" s="1172"/>
      <c r="BJ462" s="1172"/>
      <c r="BK462" s="1172"/>
      <c r="BL462" s="1172"/>
      <c r="BM462" s="1172"/>
      <c r="BN462" s="1172"/>
      <c r="BO462" s="1172"/>
      <c r="BP462" s="1172"/>
      <c r="BQ462" s="1172"/>
      <c r="BR462" s="1172"/>
      <c r="BS462" s="1172"/>
      <c r="BT462" s="1172"/>
      <c r="BU462" s="1172"/>
      <c r="BV462" s="1172"/>
      <c r="BW462" s="1172"/>
      <c r="BX462" s="1172"/>
      <c r="BY462" s="1172"/>
      <c r="BZ462" s="1172"/>
      <c r="CA462" s="1172"/>
      <c r="CB462" s="1172"/>
      <c r="CC462" s="1172"/>
      <c r="CD462" s="1172"/>
      <c r="CE462" s="1172"/>
      <c r="CF462" s="1172"/>
      <c r="CG462" s="1172"/>
      <c r="CH462" s="1172"/>
      <c r="CI462" s="1172"/>
      <c r="CJ462" s="1172"/>
      <c r="CK462" s="1172"/>
      <c r="CL462" s="1172"/>
      <c r="CM462" s="1172"/>
      <c r="CN462" s="1172"/>
      <c r="CO462" s="1172"/>
      <c r="CP462" s="1172"/>
      <c r="CQ462" s="1172"/>
      <c r="CR462" s="1172"/>
      <c r="CS462" s="1172"/>
      <c r="CT462" s="1172"/>
      <c r="CU462" s="1172"/>
      <c r="CV462" s="1172"/>
      <c r="CW462" s="1172"/>
      <c r="CX462" s="1172"/>
      <c r="CY462" s="1172"/>
      <c r="CZ462" s="1172"/>
      <c r="DA462" s="1172"/>
      <c r="DB462" s="1172"/>
      <c r="DC462" s="1172"/>
      <c r="DD462" s="1172"/>
      <c r="DE462" s="1172"/>
      <c r="DF462" s="1172"/>
      <c r="DG462" s="1172"/>
      <c r="DH462" s="1172"/>
      <c r="DI462" s="1172"/>
      <c r="DJ462" s="1172"/>
    </row>
    <row r="463" spans="1:114" s="937" customFormat="1" ht="250.5" hidden="1" customHeight="1">
      <c r="A463" s="936"/>
      <c r="B463" s="917" t="s">
        <v>616</v>
      </c>
      <c r="C463" s="918">
        <f>DATA!AK559</f>
        <v>2157.4299999999998</v>
      </c>
      <c r="D463" s="898" t="s">
        <v>1834</v>
      </c>
      <c r="E463" s="919"/>
      <c r="F463" s="1053">
        <f t="shared" si="65"/>
        <v>0</v>
      </c>
      <c r="G463" s="919"/>
      <c r="H463" s="914">
        <f t="shared" si="66"/>
        <v>0</v>
      </c>
      <c r="I463" s="919"/>
      <c r="J463" s="914">
        <f t="shared" si="67"/>
        <v>0</v>
      </c>
      <c r="K463" s="919"/>
      <c r="L463" s="914">
        <f t="shared" si="68"/>
        <v>0</v>
      </c>
      <c r="M463" s="919"/>
      <c r="N463" s="914">
        <f t="shared" si="64"/>
        <v>0</v>
      </c>
      <c r="O463" s="914"/>
      <c r="P463" s="914">
        <f t="shared" si="69"/>
        <v>0</v>
      </c>
      <c r="Q463" s="914"/>
      <c r="R463" s="914">
        <f t="shared" si="70"/>
        <v>0</v>
      </c>
      <c r="S463" s="915">
        <f t="shared" si="71"/>
        <v>0</v>
      </c>
      <c r="T463" s="911">
        <f t="shared" si="72"/>
        <v>0</v>
      </c>
      <c r="U463" s="1172"/>
      <c r="V463" s="1172"/>
      <c r="W463" s="1172"/>
      <c r="X463" s="1172"/>
      <c r="Y463" s="1172"/>
      <c r="Z463" s="1172"/>
      <c r="AA463" s="1172"/>
      <c r="AB463" s="1172"/>
      <c r="AC463" s="1172"/>
      <c r="AD463" s="1172"/>
      <c r="AE463" s="1172"/>
      <c r="AF463" s="1172"/>
      <c r="AG463" s="1172"/>
      <c r="AH463" s="1172"/>
      <c r="AI463" s="1172"/>
      <c r="AJ463" s="1172"/>
      <c r="AK463" s="1172"/>
      <c r="AL463" s="1172"/>
      <c r="AM463" s="1172"/>
      <c r="AN463" s="1172"/>
      <c r="AO463" s="1172"/>
      <c r="AP463" s="1172"/>
      <c r="AQ463" s="1172"/>
      <c r="AR463" s="1172"/>
      <c r="AS463" s="1172"/>
      <c r="AT463" s="1172"/>
      <c r="AU463" s="1172"/>
      <c r="AV463" s="1172"/>
      <c r="AW463" s="1172"/>
      <c r="AX463" s="1172"/>
      <c r="AY463" s="1172"/>
      <c r="AZ463" s="1172"/>
      <c r="BA463" s="1172"/>
      <c r="BB463" s="1172"/>
      <c r="BC463" s="1172"/>
      <c r="BD463" s="1172"/>
      <c r="BE463" s="1172"/>
      <c r="BF463" s="1172"/>
      <c r="BG463" s="1172"/>
      <c r="BH463" s="1172"/>
      <c r="BI463" s="1172"/>
      <c r="BJ463" s="1172"/>
      <c r="BK463" s="1172"/>
      <c r="BL463" s="1172"/>
      <c r="BM463" s="1172"/>
      <c r="BN463" s="1172"/>
      <c r="BO463" s="1172"/>
      <c r="BP463" s="1172"/>
      <c r="BQ463" s="1172"/>
      <c r="BR463" s="1172"/>
      <c r="BS463" s="1172"/>
      <c r="BT463" s="1172"/>
      <c r="BU463" s="1172"/>
      <c r="BV463" s="1172"/>
      <c r="BW463" s="1172"/>
      <c r="BX463" s="1172"/>
      <c r="BY463" s="1172"/>
      <c r="BZ463" s="1172"/>
      <c r="CA463" s="1172"/>
      <c r="CB463" s="1172"/>
      <c r="CC463" s="1172"/>
      <c r="CD463" s="1172"/>
      <c r="CE463" s="1172"/>
      <c r="CF463" s="1172"/>
      <c r="CG463" s="1172"/>
      <c r="CH463" s="1172"/>
      <c r="CI463" s="1172"/>
      <c r="CJ463" s="1172"/>
      <c r="CK463" s="1172"/>
      <c r="CL463" s="1172"/>
      <c r="CM463" s="1172"/>
      <c r="CN463" s="1172"/>
      <c r="CO463" s="1172"/>
      <c r="CP463" s="1172"/>
      <c r="CQ463" s="1172"/>
      <c r="CR463" s="1172"/>
      <c r="CS463" s="1172"/>
      <c r="CT463" s="1172"/>
      <c r="CU463" s="1172"/>
      <c r="CV463" s="1172"/>
      <c r="CW463" s="1172"/>
      <c r="CX463" s="1172"/>
      <c r="CY463" s="1172"/>
      <c r="CZ463" s="1172"/>
      <c r="DA463" s="1172"/>
      <c r="DB463" s="1172"/>
      <c r="DC463" s="1172"/>
      <c r="DD463" s="1172"/>
      <c r="DE463" s="1172"/>
      <c r="DF463" s="1172"/>
      <c r="DG463" s="1172"/>
      <c r="DH463" s="1172"/>
      <c r="DI463" s="1172"/>
      <c r="DJ463" s="1172"/>
    </row>
    <row r="464" spans="1:114" s="937" customFormat="1" ht="250.5" hidden="1" customHeight="1">
      <c r="A464" s="936"/>
      <c r="B464" s="917" t="s">
        <v>4724</v>
      </c>
      <c r="C464" s="918">
        <f>DATA!AK561</f>
        <v>2162.27</v>
      </c>
      <c r="D464" s="898" t="s">
        <v>1834</v>
      </c>
      <c r="E464" s="919"/>
      <c r="F464" s="1053">
        <f t="shared" si="65"/>
        <v>0</v>
      </c>
      <c r="G464" s="919"/>
      <c r="H464" s="914">
        <f t="shared" si="66"/>
        <v>0</v>
      </c>
      <c r="I464" s="919"/>
      <c r="J464" s="914">
        <f t="shared" si="67"/>
        <v>0</v>
      </c>
      <c r="K464" s="919"/>
      <c r="L464" s="914">
        <f t="shared" si="68"/>
        <v>0</v>
      </c>
      <c r="M464" s="919"/>
      <c r="N464" s="914">
        <f t="shared" si="64"/>
        <v>0</v>
      </c>
      <c r="O464" s="914"/>
      <c r="P464" s="914">
        <f t="shared" si="69"/>
        <v>0</v>
      </c>
      <c r="Q464" s="914"/>
      <c r="R464" s="914">
        <f t="shared" si="70"/>
        <v>0</v>
      </c>
      <c r="S464" s="915">
        <f t="shared" si="71"/>
        <v>0</v>
      </c>
      <c r="T464" s="911">
        <f t="shared" si="72"/>
        <v>0</v>
      </c>
      <c r="U464" s="1172"/>
      <c r="V464" s="1172"/>
      <c r="W464" s="1172"/>
      <c r="X464" s="1172"/>
      <c r="Y464" s="1172"/>
      <c r="Z464" s="1172"/>
      <c r="AA464" s="1172"/>
      <c r="AB464" s="1172"/>
      <c r="AC464" s="1172"/>
      <c r="AD464" s="1172"/>
      <c r="AE464" s="1172"/>
      <c r="AF464" s="1172"/>
      <c r="AG464" s="1172"/>
      <c r="AH464" s="1172"/>
      <c r="AI464" s="1172"/>
      <c r="AJ464" s="1172"/>
      <c r="AK464" s="1172"/>
      <c r="AL464" s="1172"/>
      <c r="AM464" s="1172"/>
      <c r="AN464" s="1172"/>
      <c r="AO464" s="1172"/>
      <c r="AP464" s="1172"/>
      <c r="AQ464" s="1172"/>
      <c r="AR464" s="1172"/>
      <c r="AS464" s="1172"/>
      <c r="AT464" s="1172"/>
      <c r="AU464" s="1172"/>
      <c r="AV464" s="1172"/>
      <c r="AW464" s="1172"/>
      <c r="AX464" s="1172"/>
      <c r="AY464" s="1172"/>
      <c r="AZ464" s="1172"/>
      <c r="BA464" s="1172"/>
      <c r="BB464" s="1172"/>
      <c r="BC464" s="1172"/>
      <c r="BD464" s="1172"/>
      <c r="BE464" s="1172"/>
      <c r="BF464" s="1172"/>
      <c r="BG464" s="1172"/>
      <c r="BH464" s="1172"/>
      <c r="BI464" s="1172"/>
      <c r="BJ464" s="1172"/>
      <c r="BK464" s="1172"/>
      <c r="BL464" s="1172"/>
      <c r="BM464" s="1172"/>
      <c r="BN464" s="1172"/>
      <c r="BO464" s="1172"/>
      <c r="BP464" s="1172"/>
      <c r="BQ464" s="1172"/>
      <c r="BR464" s="1172"/>
      <c r="BS464" s="1172"/>
      <c r="BT464" s="1172"/>
      <c r="BU464" s="1172"/>
      <c r="BV464" s="1172"/>
      <c r="BW464" s="1172"/>
      <c r="BX464" s="1172"/>
      <c r="BY464" s="1172"/>
      <c r="BZ464" s="1172"/>
      <c r="CA464" s="1172"/>
      <c r="CB464" s="1172"/>
      <c r="CC464" s="1172"/>
      <c r="CD464" s="1172"/>
      <c r="CE464" s="1172"/>
      <c r="CF464" s="1172"/>
      <c r="CG464" s="1172"/>
      <c r="CH464" s="1172"/>
      <c r="CI464" s="1172"/>
      <c r="CJ464" s="1172"/>
      <c r="CK464" s="1172"/>
      <c r="CL464" s="1172"/>
      <c r="CM464" s="1172"/>
      <c r="CN464" s="1172"/>
      <c r="CO464" s="1172"/>
      <c r="CP464" s="1172"/>
      <c r="CQ464" s="1172"/>
      <c r="CR464" s="1172"/>
      <c r="CS464" s="1172"/>
      <c r="CT464" s="1172"/>
      <c r="CU464" s="1172"/>
      <c r="CV464" s="1172"/>
      <c r="CW464" s="1172"/>
      <c r="CX464" s="1172"/>
      <c r="CY464" s="1172"/>
      <c r="CZ464" s="1172"/>
      <c r="DA464" s="1172"/>
      <c r="DB464" s="1172"/>
      <c r="DC464" s="1172"/>
      <c r="DD464" s="1172"/>
      <c r="DE464" s="1172"/>
      <c r="DF464" s="1172"/>
      <c r="DG464" s="1172"/>
      <c r="DH464" s="1172"/>
      <c r="DI464" s="1172"/>
      <c r="DJ464" s="1172"/>
    </row>
    <row r="465" spans="1:114" s="937" customFormat="1" ht="250.5" hidden="1" customHeight="1">
      <c r="A465" s="936"/>
      <c r="B465" s="917" t="s">
        <v>1241</v>
      </c>
      <c r="C465" s="918">
        <f>DATA!AK562</f>
        <v>2171.8000000000002</v>
      </c>
      <c r="D465" s="898" t="s">
        <v>1834</v>
      </c>
      <c r="E465" s="919"/>
      <c r="F465" s="1053">
        <f t="shared" si="65"/>
        <v>0</v>
      </c>
      <c r="G465" s="919"/>
      <c r="H465" s="914">
        <f t="shared" si="66"/>
        <v>0</v>
      </c>
      <c r="I465" s="919"/>
      <c r="J465" s="914">
        <f t="shared" si="67"/>
        <v>0</v>
      </c>
      <c r="K465" s="919"/>
      <c r="L465" s="914">
        <f t="shared" si="68"/>
        <v>0</v>
      </c>
      <c r="M465" s="919"/>
      <c r="N465" s="914">
        <f t="shared" si="64"/>
        <v>0</v>
      </c>
      <c r="O465" s="914"/>
      <c r="P465" s="914">
        <f t="shared" si="69"/>
        <v>0</v>
      </c>
      <c r="Q465" s="914"/>
      <c r="R465" s="914">
        <f t="shared" si="70"/>
        <v>0</v>
      </c>
      <c r="S465" s="915">
        <f t="shared" si="71"/>
        <v>0</v>
      </c>
      <c r="T465" s="911">
        <f t="shared" si="72"/>
        <v>0</v>
      </c>
      <c r="U465" s="1172"/>
      <c r="V465" s="1172"/>
      <c r="W465" s="1172"/>
      <c r="X465" s="1172"/>
      <c r="Y465" s="1172"/>
      <c r="Z465" s="1172"/>
      <c r="AA465" s="1172"/>
      <c r="AB465" s="1172"/>
      <c r="AC465" s="1172"/>
      <c r="AD465" s="1172"/>
      <c r="AE465" s="1172"/>
      <c r="AF465" s="1172"/>
      <c r="AG465" s="1172"/>
      <c r="AH465" s="1172"/>
      <c r="AI465" s="1172"/>
      <c r="AJ465" s="1172"/>
      <c r="AK465" s="1172"/>
      <c r="AL465" s="1172"/>
      <c r="AM465" s="1172"/>
      <c r="AN465" s="1172"/>
      <c r="AO465" s="1172"/>
      <c r="AP465" s="1172"/>
      <c r="AQ465" s="1172"/>
      <c r="AR465" s="1172"/>
      <c r="AS465" s="1172"/>
      <c r="AT465" s="1172"/>
      <c r="AU465" s="1172"/>
      <c r="AV465" s="1172"/>
      <c r="AW465" s="1172"/>
      <c r="AX465" s="1172"/>
      <c r="AY465" s="1172"/>
      <c r="AZ465" s="1172"/>
      <c r="BA465" s="1172"/>
      <c r="BB465" s="1172"/>
      <c r="BC465" s="1172"/>
      <c r="BD465" s="1172"/>
      <c r="BE465" s="1172"/>
      <c r="BF465" s="1172"/>
      <c r="BG465" s="1172"/>
      <c r="BH465" s="1172"/>
      <c r="BI465" s="1172"/>
      <c r="BJ465" s="1172"/>
      <c r="BK465" s="1172"/>
      <c r="BL465" s="1172"/>
      <c r="BM465" s="1172"/>
      <c r="BN465" s="1172"/>
      <c r="BO465" s="1172"/>
      <c r="BP465" s="1172"/>
      <c r="BQ465" s="1172"/>
      <c r="BR465" s="1172"/>
      <c r="BS465" s="1172"/>
      <c r="BT465" s="1172"/>
      <c r="BU465" s="1172"/>
      <c r="BV465" s="1172"/>
      <c r="BW465" s="1172"/>
      <c r="BX465" s="1172"/>
      <c r="BY465" s="1172"/>
      <c r="BZ465" s="1172"/>
      <c r="CA465" s="1172"/>
      <c r="CB465" s="1172"/>
      <c r="CC465" s="1172"/>
      <c r="CD465" s="1172"/>
      <c r="CE465" s="1172"/>
      <c r="CF465" s="1172"/>
      <c r="CG465" s="1172"/>
      <c r="CH465" s="1172"/>
      <c r="CI465" s="1172"/>
      <c r="CJ465" s="1172"/>
      <c r="CK465" s="1172"/>
      <c r="CL465" s="1172"/>
      <c r="CM465" s="1172"/>
      <c r="CN465" s="1172"/>
      <c r="CO465" s="1172"/>
      <c r="CP465" s="1172"/>
      <c r="CQ465" s="1172"/>
      <c r="CR465" s="1172"/>
      <c r="CS465" s="1172"/>
      <c r="CT465" s="1172"/>
      <c r="CU465" s="1172"/>
      <c r="CV465" s="1172"/>
      <c r="CW465" s="1172"/>
      <c r="CX465" s="1172"/>
      <c r="CY465" s="1172"/>
      <c r="CZ465" s="1172"/>
      <c r="DA465" s="1172"/>
      <c r="DB465" s="1172"/>
      <c r="DC465" s="1172"/>
      <c r="DD465" s="1172"/>
      <c r="DE465" s="1172"/>
      <c r="DF465" s="1172"/>
      <c r="DG465" s="1172"/>
      <c r="DH465" s="1172"/>
      <c r="DI465" s="1172"/>
      <c r="DJ465" s="1172"/>
    </row>
    <row r="466" spans="1:114" s="937" customFormat="1" ht="250.5" hidden="1" customHeight="1">
      <c r="A466" s="936"/>
      <c r="B466" s="917" t="s">
        <v>677</v>
      </c>
      <c r="C466" s="918">
        <f>DATA!AK563</f>
        <v>2181.33</v>
      </c>
      <c r="D466" s="898" t="s">
        <v>1834</v>
      </c>
      <c r="E466" s="919"/>
      <c r="F466" s="1053">
        <f t="shared" si="65"/>
        <v>0</v>
      </c>
      <c r="G466" s="919"/>
      <c r="H466" s="914">
        <f t="shared" si="66"/>
        <v>0</v>
      </c>
      <c r="I466" s="919"/>
      <c r="J466" s="914">
        <f t="shared" si="67"/>
        <v>0</v>
      </c>
      <c r="K466" s="919"/>
      <c r="L466" s="914">
        <f t="shared" si="68"/>
        <v>0</v>
      </c>
      <c r="M466" s="919"/>
      <c r="N466" s="914">
        <f t="shared" si="64"/>
        <v>0</v>
      </c>
      <c r="O466" s="914"/>
      <c r="P466" s="914">
        <f t="shared" si="69"/>
        <v>0</v>
      </c>
      <c r="Q466" s="914"/>
      <c r="R466" s="914">
        <f t="shared" si="70"/>
        <v>0</v>
      </c>
      <c r="S466" s="915">
        <f t="shared" si="71"/>
        <v>0</v>
      </c>
      <c r="T466" s="911">
        <f t="shared" si="72"/>
        <v>0</v>
      </c>
      <c r="U466" s="1172"/>
      <c r="V466" s="1172"/>
      <c r="W466" s="1172"/>
      <c r="X466" s="1172"/>
      <c r="Y466" s="1172"/>
      <c r="Z466" s="1172"/>
      <c r="AA466" s="1172"/>
      <c r="AB466" s="1172"/>
      <c r="AC466" s="1172"/>
      <c r="AD466" s="1172"/>
      <c r="AE466" s="1172"/>
      <c r="AF466" s="1172"/>
      <c r="AG466" s="1172"/>
      <c r="AH466" s="1172"/>
      <c r="AI466" s="1172"/>
      <c r="AJ466" s="1172"/>
      <c r="AK466" s="1172"/>
      <c r="AL466" s="1172"/>
      <c r="AM466" s="1172"/>
      <c r="AN466" s="1172"/>
      <c r="AO466" s="1172"/>
      <c r="AP466" s="1172"/>
      <c r="AQ466" s="1172"/>
      <c r="AR466" s="1172"/>
      <c r="AS466" s="1172"/>
      <c r="AT466" s="1172"/>
      <c r="AU466" s="1172"/>
      <c r="AV466" s="1172"/>
      <c r="AW466" s="1172"/>
      <c r="AX466" s="1172"/>
      <c r="AY466" s="1172"/>
      <c r="AZ466" s="1172"/>
      <c r="BA466" s="1172"/>
      <c r="BB466" s="1172"/>
      <c r="BC466" s="1172"/>
      <c r="BD466" s="1172"/>
      <c r="BE466" s="1172"/>
      <c r="BF466" s="1172"/>
      <c r="BG466" s="1172"/>
      <c r="BH466" s="1172"/>
      <c r="BI466" s="1172"/>
      <c r="BJ466" s="1172"/>
      <c r="BK466" s="1172"/>
      <c r="BL466" s="1172"/>
      <c r="BM466" s="1172"/>
      <c r="BN466" s="1172"/>
      <c r="BO466" s="1172"/>
      <c r="BP466" s="1172"/>
      <c r="BQ466" s="1172"/>
      <c r="BR466" s="1172"/>
      <c r="BS466" s="1172"/>
      <c r="BT466" s="1172"/>
      <c r="BU466" s="1172"/>
      <c r="BV466" s="1172"/>
      <c r="BW466" s="1172"/>
      <c r="BX466" s="1172"/>
      <c r="BY466" s="1172"/>
      <c r="BZ466" s="1172"/>
      <c r="CA466" s="1172"/>
      <c r="CB466" s="1172"/>
      <c r="CC466" s="1172"/>
      <c r="CD466" s="1172"/>
      <c r="CE466" s="1172"/>
      <c r="CF466" s="1172"/>
      <c r="CG466" s="1172"/>
      <c r="CH466" s="1172"/>
      <c r="CI466" s="1172"/>
      <c r="CJ466" s="1172"/>
      <c r="CK466" s="1172"/>
      <c r="CL466" s="1172"/>
      <c r="CM466" s="1172"/>
      <c r="CN466" s="1172"/>
      <c r="CO466" s="1172"/>
      <c r="CP466" s="1172"/>
      <c r="CQ466" s="1172"/>
      <c r="CR466" s="1172"/>
      <c r="CS466" s="1172"/>
      <c r="CT466" s="1172"/>
      <c r="CU466" s="1172"/>
      <c r="CV466" s="1172"/>
      <c r="CW466" s="1172"/>
      <c r="CX466" s="1172"/>
      <c r="CY466" s="1172"/>
      <c r="CZ466" s="1172"/>
      <c r="DA466" s="1172"/>
      <c r="DB466" s="1172"/>
      <c r="DC466" s="1172"/>
      <c r="DD466" s="1172"/>
      <c r="DE466" s="1172"/>
      <c r="DF466" s="1172"/>
      <c r="DG466" s="1172"/>
      <c r="DH466" s="1172"/>
      <c r="DI466" s="1172"/>
      <c r="DJ466" s="1172"/>
    </row>
    <row r="467" spans="1:114" s="937" customFormat="1" ht="250.5" hidden="1" customHeight="1">
      <c r="A467" s="936"/>
      <c r="B467" s="917" t="s">
        <v>678</v>
      </c>
      <c r="C467" s="918">
        <f>DATA!AK564</f>
        <v>2190.86</v>
      </c>
      <c r="D467" s="898" t="s">
        <v>1834</v>
      </c>
      <c r="E467" s="919"/>
      <c r="F467" s="1053">
        <f t="shared" si="65"/>
        <v>0</v>
      </c>
      <c r="G467" s="919"/>
      <c r="H467" s="914">
        <f t="shared" si="66"/>
        <v>0</v>
      </c>
      <c r="I467" s="919"/>
      <c r="J467" s="914">
        <f t="shared" si="67"/>
        <v>0</v>
      </c>
      <c r="K467" s="919"/>
      <c r="L467" s="914">
        <f t="shared" si="68"/>
        <v>0</v>
      </c>
      <c r="M467" s="919"/>
      <c r="N467" s="914">
        <f t="shared" si="64"/>
        <v>0</v>
      </c>
      <c r="O467" s="914"/>
      <c r="P467" s="914">
        <f t="shared" si="69"/>
        <v>0</v>
      </c>
      <c r="Q467" s="914"/>
      <c r="R467" s="914">
        <f t="shared" si="70"/>
        <v>0</v>
      </c>
      <c r="S467" s="915">
        <f t="shared" si="71"/>
        <v>0</v>
      </c>
      <c r="T467" s="911">
        <f t="shared" si="72"/>
        <v>0</v>
      </c>
      <c r="U467" s="1172"/>
      <c r="V467" s="1172"/>
      <c r="W467" s="1172"/>
      <c r="X467" s="1172"/>
      <c r="Y467" s="1172"/>
      <c r="Z467" s="1172"/>
      <c r="AA467" s="1172"/>
      <c r="AB467" s="1172"/>
      <c r="AC467" s="1172"/>
      <c r="AD467" s="1172"/>
      <c r="AE467" s="1172"/>
      <c r="AF467" s="1172"/>
      <c r="AG467" s="1172"/>
      <c r="AH467" s="1172"/>
      <c r="AI467" s="1172"/>
      <c r="AJ467" s="1172"/>
      <c r="AK467" s="1172"/>
      <c r="AL467" s="1172"/>
      <c r="AM467" s="1172"/>
      <c r="AN467" s="1172"/>
      <c r="AO467" s="1172"/>
      <c r="AP467" s="1172"/>
      <c r="AQ467" s="1172"/>
      <c r="AR467" s="1172"/>
      <c r="AS467" s="1172"/>
      <c r="AT467" s="1172"/>
      <c r="AU467" s="1172"/>
      <c r="AV467" s="1172"/>
      <c r="AW467" s="1172"/>
      <c r="AX467" s="1172"/>
      <c r="AY467" s="1172"/>
      <c r="AZ467" s="1172"/>
      <c r="BA467" s="1172"/>
      <c r="BB467" s="1172"/>
      <c r="BC467" s="1172"/>
      <c r="BD467" s="1172"/>
      <c r="BE467" s="1172"/>
      <c r="BF467" s="1172"/>
      <c r="BG467" s="1172"/>
      <c r="BH467" s="1172"/>
      <c r="BI467" s="1172"/>
      <c r="BJ467" s="1172"/>
      <c r="BK467" s="1172"/>
      <c r="BL467" s="1172"/>
      <c r="BM467" s="1172"/>
      <c r="BN467" s="1172"/>
      <c r="BO467" s="1172"/>
      <c r="BP467" s="1172"/>
      <c r="BQ467" s="1172"/>
      <c r="BR467" s="1172"/>
      <c r="BS467" s="1172"/>
      <c r="BT467" s="1172"/>
      <c r="BU467" s="1172"/>
      <c r="BV467" s="1172"/>
      <c r="BW467" s="1172"/>
      <c r="BX467" s="1172"/>
      <c r="BY467" s="1172"/>
      <c r="BZ467" s="1172"/>
      <c r="CA467" s="1172"/>
      <c r="CB467" s="1172"/>
      <c r="CC467" s="1172"/>
      <c r="CD467" s="1172"/>
      <c r="CE467" s="1172"/>
      <c r="CF467" s="1172"/>
      <c r="CG467" s="1172"/>
      <c r="CH467" s="1172"/>
      <c r="CI467" s="1172"/>
      <c r="CJ467" s="1172"/>
      <c r="CK467" s="1172"/>
      <c r="CL467" s="1172"/>
      <c r="CM467" s="1172"/>
      <c r="CN467" s="1172"/>
      <c r="CO467" s="1172"/>
      <c r="CP467" s="1172"/>
      <c r="CQ467" s="1172"/>
      <c r="CR467" s="1172"/>
      <c r="CS467" s="1172"/>
      <c r="CT467" s="1172"/>
      <c r="CU467" s="1172"/>
      <c r="CV467" s="1172"/>
      <c r="CW467" s="1172"/>
      <c r="CX467" s="1172"/>
      <c r="CY467" s="1172"/>
      <c r="CZ467" s="1172"/>
      <c r="DA467" s="1172"/>
      <c r="DB467" s="1172"/>
      <c r="DC467" s="1172"/>
      <c r="DD467" s="1172"/>
      <c r="DE467" s="1172"/>
      <c r="DF467" s="1172"/>
      <c r="DG467" s="1172"/>
      <c r="DH467" s="1172"/>
      <c r="DI467" s="1172"/>
      <c r="DJ467" s="1172"/>
    </row>
    <row r="468" spans="1:114" ht="250.5" hidden="1" customHeight="1">
      <c r="A468" s="931"/>
      <c r="B468" s="906" t="s">
        <v>1268</v>
      </c>
      <c r="C468" s="918">
        <f>DATA!AK565</f>
        <v>2200.39</v>
      </c>
      <c r="D468" s="908" t="s">
        <v>1834</v>
      </c>
      <c r="E468" s="919"/>
      <c r="F468" s="1053">
        <f t="shared" si="65"/>
        <v>0</v>
      </c>
      <c r="G468" s="919"/>
      <c r="H468" s="914">
        <f t="shared" si="66"/>
        <v>0</v>
      </c>
      <c r="I468" s="919"/>
      <c r="J468" s="914">
        <f t="shared" si="67"/>
        <v>0</v>
      </c>
      <c r="K468" s="919"/>
      <c r="L468" s="914">
        <f t="shared" si="68"/>
        <v>0</v>
      </c>
      <c r="M468" s="919"/>
      <c r="N468" s="914">
        <f t="shared" si="64"/>
        <v>0</v>
      </c>
      <c r="O468" s="914"/>
      <c r="P468" s="914">
        <f t="shared" si="69"/>
        <v>0</v>
      </c>
      <c r="Q468" s="914"/>
      <c r="R468" s="914">
        <f t="shared" si="70"/>
        <v>0</v>
      </c>
      <c r="S468" s="915">
        <f t="shared" si="71"/>
        <v>0</v>
      </c>
      <c r="T468" s="911">
        <f t="shared" si="72"/>
        <v>0</v>
      </c>
    </row>
    <row r="469" spans="1:114" ht="250.5" hidden="1" customHeight="1">
      <c r="A469" s="927" t="s">
        <v>991</v>
      </c>
      <c r="B469" s="924" t="s">
        <v>4119</v>
      </c>
      <c r="C469" s="913"/>
      <c r="D469" s="908"/>
      <c r="E469" s="919"/>
      <c r="F469" s="1053">
        <f t="shared" si="65"/>
        <v>0</v>
      </c>
      <c r="G469" s="919"/>
      <c r="H469" s="914">
        <f t="shared" si="66"/>
        <v>0</v>
      </c>
      <c r="I469" s="919"/>
      <c r="J469" s="914">
        <f t="shared" si="67"/>
        <v>0</v>
      </c>
      <c r="K469" s="919"/>
      <c r="L469" s="914">
        <f t="shared" si="68"/>
        <v>0</v>
      </c>
      <c r="M469" s="919"/>
      <c r="N469" s="914">
        <f t="shared" si="64"/>
        <v>0</v>
      </c>
      <c r="O469" s="914"/>
      <c r="P469" s="914">
        <f t="shared" si="69"/>
        <v>0</v>
      </c>
      <c r="Q469" s="914"/>
      <c r="R469" s="914">
        <f t="shared" si="70"/>
        <v>0</v>
      </c>
      <c r="S469" s="915">
        <f t="shared" si="71"/>
        <v>0</v>
      </c>
      <c r="T469" s="911">
        <f t="shared" si="72"/>
        <v>0</v>
      </c>
    </row>
    <row r="470" spans="1:114" ht="250.5" hidden="1" customHeight="1">
      <c r="A470" s="927"/>
      <c r="B470" s="906" t="s">
        <v>1247</v>
      </c>
      <c r="C470" s="913">
        <f>DATA!AD537</f>
        <v>1496.74</v>
      </c>
      <c r="D470" s="908" t="s">
        <v>1834</v>
      </c>
      <c r="E470" s="919"/>
      <c r="F470" s="1053">
        <f t="shared" si="65"/>
        <v>0</v>
      </c>
      <c r="G470" s="919"/>
      <c r="H470" s="914">
        <f t="shared" si="66"/>
        <v>0</v>
      </c>
      <c r="I470" s="919"/>
      <c r="J470" s="914">
        <f t="shared" si="67"/>
        <v>0</v>
      </c>
      <c r="K470" s="919"/>
      <c r="L470" s="914">
        <f t="shared" si="68"/>
        <v>0</v>
      </c>
      <c r="M470" s="919"/>
      <c r="N470" s="914">
        <f t="shared" si="64"/>
        <v>0</v>
      </c>
      <c r="O470" s="914"/>
      <c r="P470" s="914">
        <f t="shared" si="69"/>
        <v>0</v>
      </c>
      <c r="Q470" s="914"/>
      <c r="R470" s="914">
        <f t="shared" si="70"/>
        <v>0</v>
      </c>
      <c r="S470" s="915">
        <f t="shared" si="71"/>
        <v>0</v>
      </c>
      <c r="T470" s="911">
        <f t="shared" si="72"/>
        <v>0</v>
      </c>
    </row>
    <row r="471" spans="1:114" ht="250.5" hidden="1" customHeight="1">
      <c r="A471" s="927"/>
      <c r="B471" s="906" t="s">
        <v>1381</v>
      </c>
      <c r="C471" s="913">
        <f>DATA!AD538</f>
        <v>1501.51</v>
      </c>
      <c r="D471" s="908" t="s">
        <v>1834</v>
      </c>
      <c r="E471" s="919"/>
      <c r="F471" s="1053">
        <f t="shared" si="65"/>
        <v>0</v>
      </c>
      <c r="G471" s="919"/>
      <c r="H471" s="914">
        <f t="shared" si="66"/>
        <v>0</v>
      </c>
      <c r="I471" s="919"/>
      <c r="J471" s="914">
        <f t="shared" si="67"/>
        <v>0</v>
      </c>
      <c r="K471" s="919"/>
      <c r="L471" s="914">
        <f t="shared" si="68"/>
        <v>0</v>
      </c>
      <c r="M471" s="919"/>
      <c r="N471" s="914">
        <f t="shared" si="64"/>
        <v>0</v>
      </c>
      <c r="O471" s="914"/>
      <c r="P471" s="914">
        <f t="shared" si="69"/>
        <v>0</v>
      </c>
      <c r="Q471" s="914"/>
      <c r="R471" s="914">
        <f t="shared" si="70"/>
        <v>0</v>
      </c>
      <c r="S471" s="915">
        <f t="shared" si="71"/>
        <v>0</v>
      </c>
      <c r="T471" s="911">
        <f t="shared" si="72"/>
        <v>0</v>
      </c>
    </row>
    <row r="472" spans="1:114" ht="250.5" hidden="1" customHeight="1">
      <c r="A472" s="927"/>
      <c r="B472" s="906" t="s">
        <v>1429</v>
      </c>
      <c r="C472" s="913">
        <f>DATA!AD539</f>
        <v>1506.28</v>
      </c>
      <c r="D472" s="908" t="s">
        <v>1834</v>
      </c>
      <c r="E472" s="919"/>
      <c r="F472" s="1053">
        <f t="shared" si="65"/>
        <v>0</v>
      </c>
      <c r="G472" s="919"/>
      <c r="H472" s="914">
        <f t="shared" si="66"/>
        <v>0</v>
      </c>
      <c r="I472" s="919"/>
      <c r="J472" s="914">
        <f t="shared" si="67"/>
        <v>0</v>
      </c>
      <c r="K472" s="919"/>
      <c r="L472" s="914">
        <f t="shared" si="68"/>
        <v>0</v>
      </c>
      <c r="M472" s="919"/>
      <c r="N472" s="914">
        <f t="shared" si="64"/>
        <v>0</v>
      </c>
      <c r="O472" s="914"/>
      <c r="P472" s="914">
        <f t="shared" si="69"/>
        <v>0</v>
      </c>
      <c r="Q472" s="914"/>
      <c r="R472" s="914">
        <f t="shared" si="70"/>
        <v>0</v>
      </c>
      <c r="S472" s="915">
        <f t="shared" si="71"/>
        <v>0</v>
      </c>
      <c r="T472" s="911">
        <f t="shared" si="72"/>
        <v>0</v>
      </c>
    </row>
    <row r="473" spans="1:114" ht="250.5" hidden="1" customHeight="1">
      <c r="A473" s="927"/>
      <c r="B473" s="906" t="s">
        <v>1319</v>
      </c>
      <c r="C473" s="913">
        <f>DATA!AD540</f>
        <v>1511.05</v>
      </c>
      <c r="D473" s="908" t="s">
        <v>1834</v>
      </c>
      <c r="E473" s="919"/>
      <c r="F473" s="1053">
        <f t="shared" si="65"/>
        <v>0</v>
      </c>
      <c r="G473" s="919"/>
      <c r="H473" s="914">
        <f t="shared" si="66"/>
        <v>0</v>
      </c>
      <c r="I473" s="919"/>
      <c r="J473" s="914">
        <f t="shared" si="67"/>
        <v>0</v>
      </c>
      <c r="K473" s="919"/>
      <c r="L473" s="914">
        <f t="shared" si="68"/>
        <v>0</v>
      </c>
      <c r="M473" s="919"/>
      <c r="N473" s="914">
        <f t="shared" si="64"/>
        <v>0</v>
      </c>
      <c r="O473" s="914"/>
      <c r="P473" s="914">
        <f t="shared" si="69"/>
        <v>0</v>
      </c>
      <c r="Q473" s="914"/>
      <c r="R473" s="914">
        <f t="shared" si="70"/>
        <v>0</v>
      </c>
      <c r="S473" s="915">
        <f t="shared" si="71"/>
        <v>0</v>
      </c>
      <c r="T473" s="911">
        <f t="shared" si="72"/>
        <v>0</v>
      </c>
    </row>
    <row r="474" spans="1:114" ht="250.5" hidden="1" customHeight="1">
      <c r="A474" s="931"/>
      <c r="B474" s="906" t="s">
        <v>1074</v>
      </c>
      <c r="C474" s="913">
        <f>DATA!AD541</f>
        <v>1515.82</v>
      </c>
      <c r="D474" s="908" t="s">
        <v>1834</v>
      </c>
      <c r="E474" s="919"/>
      <c r="F474" s="1053">
        <f t="shared" si="65"/>
        <v>0</v>
      </c>
      <c r="G474" s="919"/>
      <c r="H474" s="914">
        <f t="shared" si="66"/>
        <v>0</v>
      </c>
      <c r="I474" s="919"/>
      <c r="J474" s="914">
        <f t="shared" si="67"/>
        <v>0</v>
      </c>
      <c r="K474" s="919"/>
      <c r="L474" s="914">
        <f t="shared" si="68"/>
        <v>0</v>
      </c>
      <c r="M474" s="919"/>
      <c r="N474" s="914">
        <f t="shared" si="64"/>
        <v>0</v>
      </c>
      <c r="O474" s="914"/>
      <c r="P474" s="914">
        <f t="shared" si="69"/>
        <v>0</v>
      </c>
      <c r="Q474" s="914"/>
      <c r="R474" s="914">
        <f t="shared" si="70"/>
        <v>0</v>
      </c>
      <c r="S474" s="915">
        <f t="shared" si="71"/>
        <v>0</v>
      </c>
      <c r="T474" s="911">
        <f t="shared" si="72"/>
        <v>0</v>
      </c>
    </row>
    <row r="475" spans="1:114" ht="250.5" customHeight="1">
      <c r="A475" s="927" t="s">
        <v>1124</v>
      </c>
      <c r="B475" s="924" t="s">
        <v>4120</v>
      </c>
      <c r="C475" s="913"/>
      <c r="D475" s="908"/>
      <c r="E475" s="919"/>
      <c r="F475" s="1053">
        <f t="shared" si="65"/>
        <v>0</v>
      </c>
      <c r="G475" s="919"/>
      <c r="H475" s="914">
        <f t="shared" si="66"/>
        <v>0</v>
      </c>
      <c r="I475" s="919"/>
      <c r="J475" s="914">
        <f t="shared" si="67"/>
        <v>0</v>
      </c>
      <c r="K475" s="919"/>
      <c r="L475" s="914">
        <f t="shared" si="68"/>
        <v>0</v>
      </c>
      <c r="M475" s="919"/>
      <c r="N475" s="914">
        <f t="shared" si="64"/>
        <v>0</v>
      </c>
      <c r="O475" s="914"/>
      <c r="P475" s="914">
        <f t="shared" si="69"/>
        <v>0</v>
      </c>
      <c r="Q475" s="914"/>
      <c r="R475" s="914">
        <f t="shared" si="70"/>
        <v>0</v>
      </c>
      <c r="S475" s="915">
        <f t="shared" si="71"/>
        <v>0</v>
      </c>
      <c r="T475" s="911">
        <f t="shared" si="72"/>
        <v>0</v>
      </c>
    </row>
    <row r="476" spans="1:114" ht="130.5" customHeight="1">
      <c r="A476" s="927"/>
      <c r="B476" s="917" t="s">
        <v>616</v>
      </c>
      <c r="C476" s="913">
        <f>DATA!AD559</f>
        <v>1659.25</v>
      </c>
      <c r="D476" s="908" t="s">
        <v>1834</v>
      </c>
      <c r="E476" s="919"/>
      <c r="F476" s="1053">
        <f t="shared" si="65"/>
        <v>0</v>
      </c>
      <c r="G476" s="919"/>
      <c r="H476" s="914">
        <f t="shared" si="66"/>
        <v>0</v>
      </c>
      <c r="I476" s="919"/>
      <c r="J476" s="914">
        <f t="shared" si="67"/>
        <v>0</v>
      </c>
      <c r="K476" s="919"/>
      <c r="L476" s="914">
        <f t="shared" si="68"/>
        <v>0</v>
      </c>
      <c r="M476" s="919"/>
      <c r="N476" s="914">
        <f t="shared" si="64"/>
        <v>0</v>
      </c>
      <c r="O476" s="914"/>
      <c r="P476" s="914">
        <f t="shared" si="69"/>
        <v>0</v>
      </c>
      <c r="Q476" s="914"/>
      <c r="R476" s="914">
        <f t="shared" si="70"/>
        <v>0</v>
      </c>
      <c r="S476" s="915">
        <f t="shared" si="71"/>
        <v>0</v>
      </c>
      <c r="T476" s="911">
        <f t="shared" si="72"/>
        <v>0</v>
      </c>
    </row>
    <row r="477" spans="1:114" ht="130.5" customHeight="1">
      <c r="A477" s="927"/>
      <c r="B477" s="906" t="s">
        <v>617</v>
      </c>
      <c r="C477" s="913">
        <f>DATA!AD561</f>
        <v>1664.09</v>
      </c>
      <c r="D477" s="908" t="s">
        <v>1834</v>
      </c>
      <c r="E477" s="919"/>
      <c r="F477" s="1053">
        <f t="shared" si="65"/>
        <v>0</v>
      </c>
      <c r="G477" s="919"/>
      <c r="H477" s="914">
        <f t="shared" si="66"/>
        <v>0</v>
      </c>
      <c r="I477" s="919"/>
      <c r="J477" s="914">
        <f t="shared" si="67"/>
        <v>0</v>
      </c>
      <c r="K477" s="919"/>
      <c r="L477" s="914">
        <f t="shared" si="68"/>
        <v>0</v>
      </c>
      <c r="M477" s="919"/>
      <c r="N477" s="914">
        <f t="shared" si="64"/>
        <v>0</v>
      </c>
      <c r="O477" s="914"/>
      <c r="P477" s="914">
        <f t="shared" si="69"/>
        <v>0</v>
      </c>
      <c r="Q477" s="914"/>
      <c r="R477" s="914">
        <f t="shared" si="70"/>
        <v>0</v>
      </c>
      <c r="S477" s="915">
        <f t="shared" si="71"/>
        <v>0</v>
      </c>
      <c r="T477" s="911">
        <f t="shared" si="72"/>
        <v>0</v>
      </c>
    </row>
    <row r="478" spans="1:114" ht="250.5" hidden="1" customHeight="1">
      <c r="A478" s="927"/>
      <c r="B478" s="906" t="s">
        <v>1241</v>
      </c>
      <c r="C478" s="913">
        <f>DATA!AD562</f>
        <v>1673.62</v>
      </c>
      <c r="D478" s="908" t="s">
        <v>1834</v>
      </c>
      <c r="E478" s="919"/>
      <c r="F478" s="1053">
        <f t="shared" si="65"/>
        <v>0</v>
      </c>
      <c r="G478" s="919"/>
      <c r="H478" s="914">
        <f t="shared" si="66"/>
        <v>0</v>
      </c>
      <c r="I478" s="919"/>
      <c r="J478" s="914">
        <f t="shared" si="67"/>
        <v>0</v>
      </c>
      <c r="K478" s="919"/>
      <c r="L478" s="914">
        <f t="shared" si="68"/>
        <v>0</v>
      </c>
      <c r="M478" s="919"/>
      <c r="N478" s="914">
        <f t="shared" si="64"/>
        <v>0</v>
      </c>
      <c r="O478" s="914"/>
      <c r="P478" s="914">
        <f t="shared" si="69"/>
        <v>0</v>
      </c>
      <c r="Q478" s="914"/>
      <c r="R478" s="914">
        <f t="shared" si="70"/>
        <v>0</v>
      </c>
      <c r="S478" s="915">
        <f t="shared" si="71"/>
        <v>0</v>
      </c>
      <c r="T478" s="911">
        <f t="shared" si="72"/>
        <v>0</v>
      </c>
    </row>
    <row r="479" spans="1:114" ht="250.5" hidden="1" customHeight="1">
      <c r="A479" s="927"/>
      <c r="B479" s="906" t="s">
        <v>677</v>
      </c>
      <c r="C479" s="913">
        <f>DATA!AD563</f>
        <v>1683.15</v>
      </c>
      <c r="D479" s="908" t="s">
        <v>1834</v>
      </c>
      <c r="E479" s="919"/>
      <c r="F479" s="1053">
        <f t="shared" si="65"/>
        <v>0</v>
      </c>
      <c r="G479" s="919"/>
      <c r="H479" s="914">
        <f t="shared" si="66"/>
        <v>0</v>
      </c>
      <c r="I479" s="919"/>
      <c r="J479" s="914">
        <f t="shared" si="67"/>
        <v>0</v>
      </c>
      <c r="K479" s="919"/>
      <c r="L479" s="914">
        <f t="shared" si="68"/>
        <v>0</v>
      </c>
      <c r="M479" s="919"/>
      <c r="N479" s="914">
        <f t="shared" si="64"/>
        <v>0</v>
      </c>
      <c r="O479" s="914"/>
      <c r="P479" s="914">
        <f t="shared" si="69"/>
        <v>0</v>
      </c>
      <c r="Q479" s="914"/>
      <c r="R479" s="914">
        <f t="shared" si="70"/>
        <v>0</v>
      </c>
      <c r="S479" s="915">
        <f t="shared" si="71"/>
        <v>0</v>
      </c>
      <c r="T479" s="911">
        <f t="shared" si="72"/>
        <v>0</v>
      </c>
    </row>
    <row r="480" spans="1:114" ht="250.5" hidden="1" customHeight="1">
      <c r="A480" s="927"/>
      <c r="B480" s="906" t="s">
        <v>678</v>
      </c>
      <c r="C480" s="913">
        <f>DATA!AD564</f>
        <v>1692.68</v>
      </c>
      <c r="D480" s="908" t="s">
        <v>1834</v>
      </c>
      <c r="E480" s="919"/>
      <c r="F480" s="1053">
        <f t="shared" si="65"/>
        <v>0</v>
      </c>
      <c r="G480" s="919"/>
      <c r="H480" s="914">
        <f t="shared" si="66"/>
        <v>0</v>
      </c>
      <c r="I480" s="919"/>
      <c r="J480" s="914">
        <f t="shared" si="67"/>
        <v>0</v>
      </c>
      <c r="K480" s="919"/>
      <c r="L480" s="914">
        <f t="shared" si="68"/>
        <v>0</v>
      </c>
      <c r="M480" s="919"/>
      <c r="N480" s="914">
        <f t="shared" si="64"/>
        <v>0</v>
      </c>
      <c r="O480" s="914"/>
      <c r="P480" s="914">
        <f t="shared" si="69"/>
        <v>0</v>
      </c>
      <c r="Q480" s="914"/>
      <c r="R480" s="914">
        <f t="shared" si="70"/>
        <v>0</v>
      </c>
      <c r="S480" s="915">
        <f t="shared" si="71"/>
        <v>0</v>
      </c>
      <c r="T480" s="911">
        <f t="shared" si="72"/>
        <v>0</v>
      </c>
    </row>
    <row r="481" spans="1:114" ht="250.5" hidden="1" customHeight="1">
      <c r="A481" s="931"/>
      <c r="B481" s="906" t="s">
        <v>1268</v>
      </c>
      <c r="C481" s="913">
        <f>DATA!AD565</f>
        <v>1702.21</v>
      </c>
      <c r="D481" s="908" t="s">
        <v>1834</v>
      </c>
      <c r="E481" s="919"/>
      <c r="F481" s="1053">
        <f t="shared" si="65"/>
        <v>0</v>
      </c>
      <c r="G481" s="919"/>
      <c r="H481" s="914">
        <f t="shared" si="66"/>
        <v>0</v>
      </c>
      <c r="I481" s="919"/>
      <c r="J481" s="914">
        <f t="shared" si="67"/>
        <v>0</v>
      </c>
      <c r="K481" s="919"/>
      <c r="L481" s="914">
        <f t="shared" si="68"/>
        <v>0</v>
      </c>
      <c r="M481" s="919"/>
      <c r="N481" s="914">
        <f t="shared" si="64"/>
        <v>0</v>
      </c>
      <c r="O481" s="914"/>
      <c r="P481" s="914">
        <f t="shared" si="69"/>
        <v>0</v>
      </c>
      <c r="Q481" s="914"/>
      <c r="R481" s="914">
        <f t="shared" si="70"/>
        <v>0</v>
      </c>
      <c r="S481" s="915">
        <f t="shared" si="71"/>
        <v>0</v>
      </c>
      <c r="T481" s="911">
        <f t="shared" si="72"/>
        <v>0</v>
      </c>
    </row>
    <row r="482" spans="1:114" ht="250.5" hidden="1" customHeight="1">
      <c r="A482" s="931"/>
      <c r="B482" s="949" t="s">
        <v>6634</v>
      </c>
      <c r="C482" s="913"/>
      <c r="D482" s="908"/>
      <c r="E482" s="919"/>
      <c r="F482" s="1053">
        <f t="shared" si="65"/>
        <v>0</v>
      </c>
      <c r="G482" s="919"/>
      <c r="H482" s="914">
        <f t="shared" si="66"/>
        <v>0</v>
      </c>
      <c r="I482" s="919"/>
      <c r="J482" s="914">
        <f t="shared" si="67"/>
        <v>0</v>
      </c>
      <c r="K482" s="919"/>
      <c r="L482" s="914">
        <f t="shared" si="68"/>
        <v>0</v>
      </c>
      <c r="M482" s="919"/>
      <c r="N482" s="914">
        <f t="shared" si="64"/>
        <v>0</v>
      </c>
      <c r="O482" s="914"/>
      <c r="P482" s="914">
        <f t="shared" si="69"/>
        <v>0</v>
      </c>
      <c r="Q482" s="914"/>
      <c r="R482" s="914">
        <f t="shared" si="70"/>
        <v>0</v>
      </c>
      <c r="S482" s="915">
        <f t="shared" si="71"/>
        <v>0</v>
      </c>
      <c r="T482" s="911">
        <f t="shared" si="72"/>
        <v>0</v>
      </c>
    </row>
    <row r="483" spans="1:114" ht="250.5" hidden="1" customHeight="1">
      <c r="A483" s="931"/>
      <c r="B483" s="906" t="s">
        <v>4223</v>
      </c>
      <c r="C483" s="913">
        <f>DATA!AD486</f>
        <v>2990.34</v>
      </c>
      <c r="D483" s="908" t="s">
        <v>1834</v>
      </c>
      <c r="E483" s="919"/>
      <c r="F483" s="1053">
        <f t="shared" si="65"/>
        <v>0</v>
      </c>
      <c r="G483" s="919"/>
      <c r="H483" s="914">
        <f t="shared" si="66"/>
        <v>0</v>
      </c>
      <c r="I483" s="919"/>
      <c r="J483" s="914">
        <f t="shared" si="67"/>
        <v>0</v>
      </c>
      <c r="K483" s="919"/>
      <c r="L483" s="914">
        <f t="shared" si="68"/>
        <v>0</v>
      </c>
      <c r="M483" s="919"/>
      <c r="N483" s="914">
        <f t="shared" si="64"/>
        <v>0</v>
      </c>
      <c r="O483" s="914"/>
      <c r="P483" s="914">
        <f t="shared" si="69"/>
        <v>0</v>
      </c>
      <c r="Q483" s="914"/>
      <c r="R483" s="914">
        <f t="shared" si="70"/>
        <v>0</v>
      </c>
      <c r="S483" s="915">
        <f t="shared" si="71"/>
        <v>0</v>
      </c>
      <c r="T483" s="911">
        <f t="shared" si="72"/>
        <v>0</v>
      </c>
    </row>
    <row r="484" spans="1:114" ht="250.5" hidden="1" customHeight="1">
      <c r="A484" s="931"/>
      <c r="B484" s="906" t="s">
        <v>1381</v>
      </c>
      <c r="C484" s="913">
        <f>DATA!AD487</f>
        <v>2999.23</v>
      </c>
      <c r="D484" s="908" t="s">
        <v>1834</v>
      </c>
      <c r="E484" s="919"/>
      <c r="F484" s="1053">
        <f t="shared" si="65"/>
        <v>0</v>
      </c>
      <c r="G484" s="919"/>
      <c r="H484" s="914">
        <f t="shared" si="66"/>
        <v>0</v>
      </c>
      <c r="I484" s="919"/>
      <c r="J484" s="914">
        <f t="shared" si="67"/>
        <v>0</v>
      </c>
      <c r="K484" s="919"/>
      <c r="L484" s="914">
        <f t="shared" si="68"/>
        <v>0</v>
      </c>
      <c r="M484" s="919"/>
      <c r="N484" s="914">
        <f t="shared" si="64"/>
        <v>0</v>
      </c>
      <c r="O484" s="914"/>
      <c r="P484" s="914">
        <f t="shared" si="69"/>
        <v>0</v>
      </c>
      <c r="Q484" s="914"/>
      <c r="R484" s="914">
        <f t="shared" si="70"/>
        <v>0</v>
      </c>
      <c r="S484" s="915">
        <f t="shared" si="71"/>
        <v>0</v>
      </c>
      <c r="T484" s="911">
        <f t="shared" si="72"/>
        <v>0</v>
      </c>
    </row>
    <row r="485" spans="1:114" ht="250.5" hidden="1" customHeight="1">
      <c r="A485" s="931"/>
      <c r="B485" s="906" t="s">
        <v>1429</v>
      </c>
      <c r="C485" s="913">
        <f>DATA!AD488</f>
        <v>3008.12</v>
      </c>
      <c r="D485" s="908" t="s">
        <v>1834</v>
      </c>
      <c r="E485" s="919"/>
      <c r="F485" s="1053">
        <f t="shared" si="65"/>
        <v>0</v>
      </c>
      <c r="G485" s="919"/>
      <c r="H485" s="914">
        <f t="shared" si="66"/>
        <v>0</v>
      </c>
      <c r="I485" s="919"/>
      <c r="J485" s="914">
        <f t="shared" si="67"/>
        <v>0</v>
      </c>
      <c r="K485" s="919"/>
      <c r="L485" s="914">
        <f t="shared" si="68"/>
        <v>0</v>
      </c>
      <c r="M485" s="919"/>
      <c r="N485" s="914">
        <f t="shared" si="64"/>
        <v>0</v>
      </c>
      <c r="O485" s="914"/>
      <c r="P485" s="914">
        <f t="shared" si="69"/>
        <v>0</v>
      </c>
      <c r="Q485" s="914"/>
      <c r="R485" s="914">
        <f t="shared" si="70"/>
        <v>0</v>
      </c>
      <c r="S485" s="915">
        <f t="shared" si="71"/>
        <v>0</v>
      </c>
      <c r="T485" s="911">
        <f t="shared" si="72"/>
        <v>0</v>
      </c>
    </row>
    <row r="486" spans="1:114" ht="250.5" hidden="1" customHeight="1">
      <c r="A486" s="931"/>
      <c r="B486" s="906" t="s">
        <v>1319</v>
      </c>
      <c r="C486" s="913">
        <f>DATA!AD489</f>
        <v>3017.01</v>
      </c>
      <c r="D486" s="908" t="s">
        <v>1834</v>
      </c>
      <c r="E486" s="919"/>
      <c r="F486" s="1053">
        <f t="shared" si="65"/>
        <v>0</v>
      </c>
      <c r="G486" s="919"/>
      <c r="H486" s="914">
        <f t="shared" si="66"/>
        <v>0</v>
      </c>
      <c r="I486" s="919"/>
      <c r="J486" s="914">
        <f t="shared" si="67"/>
        <v>0</v>
      </c>
      <c r="K486" s="919"/>
      <c r="L486" s="914">
        <f t="shared" si="68"/>
        <v>0</v>
      </c>
      <c r="M486" s="919"/>
      <c r="N486" s="914">
        <f t="shared" si="64"/>
        <v>0</v>
      </c>
      <c r="O486" s="914"/>
      <c r="P486" s="914">
        <f t="shared" si="69"/>
        <v>0</v>
      </c>
      <c r="Q486" s="914"/>
      <c r="R486" s="914">
        <f t="shared" si="70"/>
        <v>0</v>
      </c>
      <c r="S486" s="915">
        <f t="shared" si="71"/>
        <v>0</v>
      </c>
      <c r="T486" s="911">
        <f t="shared" si="72"/>
        <v>0</v>
      </c>
    </row>
    <row r="487" spans="1:114" ht="250.5" hidden="1" customHeight="1">
      <c r="A487" s="931"/>
      <c r="B487" s="906" t="s">
        <v>1074</v>
      </c>
      <c r="C487" s="913">
        <f>DATA!AD490</f>
        <v>3025.9</v>
      </c>
      <c r="D487" s="908" t="s">
        <v>1834</v>
      </c>
      <c r="E487" s="919"/>
      <c r="F487" s="1053">
        <f t="shared" si="65"/>
        <v>0</v>
      </c>
      <c r="G487" s="919"/>
      <c r="H487" s="914">
        <f t="shared" si="66"/>
        <v>0</v>
      </c>
      <c r="I487" s="919"/>
      <c r="J487" s="914">
        <f t="shared" si="67"/>
        <v>0</v>
      </c>
      <c r="K487" s="919"/>
      <c r="L487" s="914">
        <f t="shared" si="68"/>
        <v>0</v>
      </c>
      <c r="M487" s="919"/>
      <c r="N487" s="914">
        <f t="shared" si="64"/>
        <v>0</v>
      </c>
      <c r="O487" s="914"/>
      <c r="P487" s="914">
        <f t="shared" si="69"/>
        <v>0</v>
      </c>
      <c r="Q487" s="914"/>
      <c r="R487" s="914">
        <f t="shared" si="70"/>
        <v>0</v>
      </c>
      <c r="S487" s="915">
        <f t="shared" si="71"/>
        <v>0</v>
      </c>
      <c r="T487" s="911">
        <f t="shared" si="72"/>
        <v>0</v>
      </c>
    </row>
    <row r="488" spans="1:114" s="937" customFormat="1" ht="250.5" hidden="1" customHeight="1">
      <c r="A488" s="950"/>
      <c r="B488" s="917" t="s">
        <v>6635</v>
      </c>
      <c r="C488" s="918"/>
      <c r="D488" s="898"/>
      <c r="E488" s="919"/>
      <c r="F488" s="1053">
        <f t="shared" si="65"/>
        <v>0</v>
      </c>
      <c r="G488" s="919"/>
      <c r="H488" s="914">
        <f t="shared" si="66"/>
        <v>0</v>
      </c>
      <c r="I488" s="919"/>
      <c r="J488" s="914">
        <f t="shared" si="67"/>
        <v>0</v>
      </c>
      <c r="K488" s="919"/>
      <c r="L488" s="914">
        <f t="shared" si="68"/>
        <v>0</v>
      </c>
      <c r="M488" s="919"/>
      <c r="N488" s="914">
        <f t="shared" si="64"/>
        <v>0</v>
      </c>
      <c r="O488" s="914"/>
      <c r="P488" s="914">
        <f t="shared" si="69"/>
        <v>0</v>
      </c>
      <c r="Q488" s="914"/>
      <c r="R488" s="914">
        <f t="shared" si="70"/>
        <v>0</v>
      </c>
      <c r="S488" s="915">
        <f t="shared" si="71"/>
        <v>0</v>
      </c>
      <c r="T488" s="911">
        <f t="shared" si="72"/>
        <v>0</v>
      </c>
      <c r="U488" s="1172"/>
      <c r="V488" s="1172"/>
      <c r="W488" s="1172"/>
      <c r="X488" s="1172"/>
      <c r="Y488" s="1172"/>
      <c r="Z488" s="1172"/>
      <c r="AA488" s="1172"/>
      <c r="AB488" s="1172"/>
      <c r="AC488" s="1172"/>
      <c r="AD488" s="1172"/>
      <c r="AE488" s="1172"/>
      <c r="AF488" s="1172"/>
      <c r="AG488" s="1172"/>
      <c r="AH488" s="1172"/>
      <c r="AI488" s="1172"/>
      <c r="AJ488" s="1172"/>
      <c r="AK488" s="1172"/>
      <c r="AL488" s="1172"/>
      <c r="AM488" s="1172"/>
      <c r="AN488" s="1172"/>
      <c r="AO488" s="1172"/>
      <c r="AP488" s="1172"/>
      <c r="AQ488" s="1172"/>
      <c r="AR488" s="1172"/>
      <c r="AS488" s="1172"/>
      <c r="AT488" s="1172"/>
      <c r="AU488" s="1172"/>
      <c r="AV488" s="1172"/>
      <c r="AW488" s="1172"/>
      <c r="AX488" s="1172"/>
      <c r="AY488" s="1172"/>
      <c r="AZ488" s="1172"/>
      <c r="BA488" s="1172"/>
      <c r="BB488" s="1172"/>
      <c r="BC488" s="1172"/>
      <c r="BD488" s="1172"/>
      <c r="BE488" s="1172"/>
      <c r="BF488" s="1172"/>
      <c r="BG488" s="1172"/>
      <c r="BH488" s="1172"/>
      <c r="BI488" s="1172"/>
      <c r="BJ488" s="1172"/>
      <c r="BK488" s="1172"/>
      <c r="BL488" s="1172"/>
      <c r="BM488" s="1172"/>
      <c r="BN488" s="1172"/>
      <c r="BO488" s="1172"/>
      <c r="BP488" s="1172"/>
      <c r="BQ488" s="1172"/>
      <c r="BR488" s="1172"/>
      <c r="BS488" s="1172"/>
      <c r="BT488" s="1172"/>
      <c r="BU488" s="1172"/>
      <c r="BV488" s="1172"/>
      <c r="BW488" s="1172"/>
      <c r="BX488" s="1172"/>
      <c r="BY488" s="1172"/>
      <c r="BZ488" s="1172"/>
      <c r="CA488" s="1172"/>
      <c r="CB488" s="1172"/>
      <c r="CC488" s="1172"/>
      <c r="CD488" s="1172"/>
      <c r="CE488" s="1172"/>
      <c r="CF488" s="1172"/>
      <c r="CG488" s="1172"/>
      <c r="CH488" s="1172"/>
      <c r="CI488" s="1172"/>
      <c r="CJ488" s="1172"/>
      <c r="CK488" s="1172"/>
      <c r="CL488" s="1172"/>
      <c r="CM488" s="1172"/>
      <c r="CN488" s="1172"/>
      <c r="CO488" s="1172"/>
      <c r="CP488" s="1172"/>
      <c r="CQ488" s="1172"/>
      <c r="CR488" s="1172"/>
      <c r="CS488" s="1172"/>
      <c r="CT488" s="1172"/>
      <c r="CU488" s="1172"/>
      <c r="CV488" s="1172"/>
      <c r="CW488" s="1172"/>
      <c r="CX488" s="1172"/>
      <c r="CY488" s="1172"/>
      <c r="CZ488" s="1172"/>
      <c r="DA488" s="1172"/>
      <c r="DB488" s="1172"/>
      <c r="DC488" s="1172"/>
      <c r="DD488" s="1172"/>
      <c r="DE488" s="1172"/>
      <c r="DF488" s="1172"/>
      <c r="DG488" s="1172"/>
      <c r="DH488" s="1172"/>
      <c r="DI488" s="1172"/>
      <c r="DJ488" s="1172"/>
    </row>
    <row r="489" spans="1:114" s="937" customFormat="1" ht="250.5" hidden="1" customHeight="1">
      <c r="A489" s="916"/>
      <c r="B489" s="917" t="s">
        <v>201</v>
      </c>
      <c r="C489" s="918">
        <f>DATA!X486</f>
        <v>2969.86</v>
      </c>
      <c r="D489" s="898" t="s">
        <v>1834</v>
      </c>
      <c r="E489" s="919"/>
      <c r="F489" s="1053">
        <f t="shared" si="65"/>
        <v>0</v>
      </c>
      <c r="G489" s="919"/>
      <c r="H489" s="914">
        <f t="shared" si="66"/>
        <v>0</v>
      </c>
      <c r="I489" s="919"/>
      <c r="J489" s="914">
        <f t="shared" si="67"/>
        <v>0</v>
      </c>
      <c r="K489" s="919"/>
      <c r="L489" s="914">
        <f t="shared" si="68"/>
        <v>0</v>
      </c>
      <c r="M489" s="919"/>
      <c r="N489" s="914">
        <f t="shared" si="64"/>
        <v>0</v>
      </c>
      <c r="O489" s="914"/>
      <c r="P489" s="914">
        <f t="shared" si="69"/>
        <v>0</v>
      </c>
      <c r="Q489" s="914"/>
      <c r="R489" s="914">
        <f t="shared" si="70"/>
        <v>0</v>
      </c>
      <c r="S489" s="915">
        <f t="shared" si="71"/>
        <v>0</v>
      </c>
      <c r="T489" s="911">
        <f t="shared" si="72"/>
        <v>0</v>
      </c>
      <c r="U489" s="1172"/>
      <c r="V489" s="1172"/>
      <c r="W489" s="1172"/>
      <c r="X489" s="1172"/>
      <c r="Y489" s="1172"/>
      <c r="Z489" s="1172"/>
      <c r="AA489" s="1172"/>
      <c r="AB489" s="1172"/>
      <c r="AC489" s="1172"/>
      <c r="AD489" s="1172"/>
      <c r="AE489" s="1172"/>
      <c r="AF489" s="1172"/>
      <c r="AG489" s="1172"/>
      <c r="AH489" s="1172"/>
      <c r="AI489" s="1172"/>
      <c r="AJ489" s="1172"/>
      <c r="AK489" s="1172"/>
      <c r="AL489" s="1172"/>
      <c r="AM489" s="1172"/>
      <c r="AN489" s="1172"/>
      <c r="AO489" s="1172"/>
      <c r="AP489" s="1172"/>
      <c r="AQ489" s="1172"/>
      <c r="AR489" s="1172"/>
      <c r="AS489" s="1172"/>
      <c r="AT489" s="1172"/>
      <c r="AU489" s="1172"/>
      <c r="AV489" s="1172"/>
      <c r="AW489" s="1172"/>
      <c r="AX489" s="1172"/>
      <c r="AY489" s="1172"/>
      <c r="AZ489" s="1172"/>
      <c r="BA489" s="1172"/>
      <c r="BB489" s="1172"/>
      <c r="BC489" s="1172"/>
      <c r="BD489" s="1172"/>
      <c r="BE489" s="1172"/>
      <c r="BF489" s="1172"/>
      <c r="BG489" s="1172"/>
      <c r="BH489" s="1172"/>
      <c r="BI489" s="1172"/>
      <c r="BJ489" s="1172"/>
      <c r="BK489" s="1172"/>
      <c r="BL489" s="1172"/>
      <c r="BM489" s="1172"/>
      <c r="BN489" s="1172"/>
      <c r="BO489" s="1172"/>
      <c r="BP489" s="1172"/>
      <c r="BQ489" s="1172"/>
      <c r="BR489" s="1172"/>
      <c r="BS489" s="1172"/>
      <c r="BT489" s="1172"/>
      <c r="BU489" s="1172"/>
      <c r="BV489" s="1172"/>
      <c r="BW489" s="1172"/>
      <c r="BX489" s="1172"/>
      <c r="BY489" s="1172"/>
      <c r="BZ489" s="1172"/>
      <c r="CA489" s="1172"/>
      <c r="CB489" s="1172"/>
      <c r="CC489" s="1172"/>
      <c r="CD489" s="1172"/>
      <c r="CE489" s="1172"/>
      <c r="CF489" s="1172"/>
      <c r="CG489" s="1172"/>
      <c r="CH489" s="1172"/>
      <c r="CI489" s="1172"/>
      <c r="CJ489" s="1172"/>
      <c r="CK489" s="1172"/>
      <c r="CL489" s="1172"/>
      <c r="CM489" s="1172"/>
      <c r="CN489" s="1172"/>
      <c r="CO489" s="1172"/>
      <c r="CP489" s="1172"/>
      <c r="CQ489" s="1172"/>
      <c r="CR489" s="1172"/>
      <c r="CS489" s="1172"/>
      <c r="CT489" s="1172"/>
      <c r="CU489" s="1172"/>
      <c r="CV489" s="1172"/>
      <c r="CW489" s="1172"/>
      <c r="CX489" s="1172"/>
      <c r="CY489" s="1172"/>
      <c r="CZ489" s="1172"/>
      <c r="DA489" s="1172"/>
      <c r="DB489" s="1172"/>
      <c r="DC489" s="1172"/>
      <c r="DD489" s="1172"/>
      <c r="DE489" s="1172"/>
      <c r="DF489" s="1172"/>
      <c r="DG489" s="1172"/>
      <c r="DH489" s="1172"/>
      <c r="DI489" s="1172"/>
      <c r="DJ489" s="1172"/>
    </row>
    <row r="490" spans="1:114" s="937" customFormat="1" ht="250.5" hidden="1" customHeight="1">
      <c r="A490" s="916"/>
      <c r="B490" s="917" t="s">
        <v>1381</v>
      </c>
      <c r="C490" s="918">
        <f>DATA!X487</f>
        <v>2978.75</v>
      </c>
      <c r="D490" s="898" t="s">
        <v>1834</v>
      </c>
      <c r="E490" s="919"/>
      <c r="F490" s="1053">
        <f t="shared" si="65"/>
        <v>0</v>
      </c>
      <c r="G490" s="919"/>
      <c r="H490" s="914">
        <f t="shared" si="66"/>
        <v>0</v>
      </c>
      <c r="I490" s="919"/>
      <c r="J490" s="914">
        <f t="shared" si="67"/>
        <v>0</v>
      </c>
      <c r="K490" s="919"/>
      <c r="L490" s="914">
        <f t="shared" si="68"/>
        <v>0</v>
      </c>
      <c r="M490" s="919"/>
      <c r="N490" s="914">
        <f t="shared" si="64"/>
        <v>0</v>
      </c>
      <c r="O490" s="914"/>
      <c r="P490" s="914">
        <f t="shared" si="69"/>
        <v>0</v>
      </c>
      <c r="Q490" s="914"/>
      <c r="R490" s="914">
        <f t="shared" si="70"/>
        <v>0</v>
      </c>
      <c r="S490" s="915">
        <f t="shared" si="71"/>
        <v>0</v>
      </c>
      <c r="T490" s="911">
        <f t="shared" si="72"/>
        <v>0</v>
      </c>
      <c r="U490" s="1172"/>
      <c r="V490" s="1172"/>
      <c r="W490" s="1172"/>
      <c r="X490" s="1172"/>
      <c r="Y490" s="1172"/>
      <c r="Z490" s="1172"/>
      <c r="AA490" s="1172"/>
      <c r="AB490" s="1172"/>
      <c r="AC490" s="1172"/>
      <c r="AD490" s="1172"/>
      <c r="AE490" s="1172"/>
      <c r="AF490" s="1172"/>
      <c r="AG490" s="1172"/>
      <c r="AH490" s="1172"/>
      <c r="AI490" s="1172"/>
      <c r="AJ490" s="1172"/>
      <c r="AK490" s="1172"/>
      <c r="AL490" s="1172"/>
      <c r="AM490" s="1172"/>
      <c r="AN490" s="1172"/>
      <c r="AO490" s="1172"/>
      <c r="AP490" s="1172"/>
      <c r="AQ490" s="1172"/>
      <c r="AR490" s="1172"/>
      <c r="AS490" s="1172"/>
      <c r="AT490" s="1172"/>
      <c r="AU490" s="1172"/>
      <c r="AV490" s="1172"/>
      <c r="AW490" s="1172"/>
      <c r="AX490" s="1172"/>
      <c r="AY490" s="1172"/>
      <c r="AZ490" s="1172"/>
      <c r="BA490" s="1172"/>
      <c r="BB490" s="1172"/>
      <c r="BC490" s="1172"/>
      <c r="BD490" s="1172"/>
      <c r="BE490" s="1172"/>
      <c r="BF490" s="1172"/>
      <c r="BG490" s="1172"/>
      <c r="BH490" s="1172"/>
      <c r="BI490" s="1172"/>
      <c r="BJ490" s="1172"/>
      <c r="BK490" s="1172"/>
      <c r="BL490" s="1172"/>
      <c r="BM490" s="1172"/>
      <c r="BN490" s="1172"/>
      <c r="BO490" s="1172"/>
      <c r="BP490" s="1172"/>
      <c r="BQ490" s="1172"/>
      <c r="BR490" s="1172"/>
      <c r="BS490" s="1172"/>
      <c r="BT490" s="1172"/>
      <c r="BU490" s="1172"/>
      <c r="BV490" s="1172"/>
      <c r="BW490" s="1172"/>
      <c r="BX490" s="1172"/>
      <c r="BY490" s="1172"/>
      <c r="BZ490" s="1172"/>
      <c r="CA490" s="1172"/>
      <c r="CB490" s="1172"/>
      <c r="CC490" s="1172"/>
      <c r="CD490" s="1172"/>
      <c r="CE490" s="1172"/>
      <c r="CF490" s="1172"/>
      <c r="CG490" s="1172"/>
      <c r="CH490" s="1172"/>
      <c r="CI490" s="1172"/>
      <c r="CJ490" s="1172"/>
      <c r="CK490" s="1172"/>
      <c r="CL490" s="1172"/>
      <c r="CM490" s="1172"/>
      <c r="CN490" s="1172"/>
      <c r="CO490" s="1172"/>
      <c r="CP490" s="1172"/>
      <c r="CQ490" s="1172"/>
      <c r="CR490" s="1172"/>
      <c r="CS490" s="1172"/>
      <c r="CT490" s="1172"/>
      <c r="CU490" s="1172"/>
      <c r="CV490" s="1172"/>
      <c r="CW490" s="1172"/>
      <c r="CX490" s="1172"/>
      <c r="CY490" s="1172"/>
      <c r="CZ490" s="1172"/>
      <c r="DA490" s="1172"/>
      <c r="DB490" s="1172"/>
      <c r="DC490" s="1172"/>
      <c r="DD490" s="1172"/>
      <c r="DE490" s="1172"/>
      <c r="DF490" s="1172"/>
      <c r="DG490" s="1172"/>
      <c r="DH490" s="1172"/>
      <c r="DI490" s="1172"/>
      <c r="DJ490" s="1172"/>
    </row>
    <row r="491" spans="1:114" s="937" customFormat="1" ht="250.5" hidden="1" customHeight="1">
      <c r="A491" s="916"/>
      <c r="B491" s="917" t="s">
        <v>1429</v>
      </c>
      <c r="C491" s="918">
        <f>DATA!X488</f>
        <v>2987.64</v>
      </c>
      <c r="D491" s="898" t="s">
        <v>1834</v>
      </c>
      <c r="E491" s="919"/>
      <c r="F491" s="1053">
        <f t="shared" si="65"/>
        <v>0</v>
      </c>
      <c r="G491" s="919"/>
      <c r="H491" s="914">
        <f t="shared" si="66"/>
        <v>0</v>
      </c>
      <c r="I491" s="919"/>
      <c r="J491" s="914">
        <f t="shared" si="67"/>
        <v>0</v>
      </c>
      <c r="K491" s="919"/>
      <c r="L491" s="914">
        <f t="shared" si="68"/>
        <v>0</v>
      </c>
      <c r="M491" s="919"/>
      <c r="N491" s="914">
        <f t="shared" si="64"/>
        <v>0</v>
      </c>
      <c r="O491" s="914"/>
      <c r="P491" s="914">
        <f t="shared" si="69"/>
        <v>0</v>
      </c>
      <c r="Q491" s="914"/>
      <c r="R491" s="914">
        <f t="shared" si="70"/>
        <v>0</v>
      </c>
      <c r="S491" s="915">
        <f t="shared" si="71"/>
        <v>0</v>
      </c>
      <c r="T491" s="911">
        <f t="shared" si="72"/>
        <v>0</v>
      </c>
      <c r="U491" s="1172"/>
      <c r="V491" s="1172"/>
      <c r="W491" s="1172"/>
      <c r="X491" s="1172"/>
      <c r="Y491" s="1172"/>
      <c r="Z491" s="1172"/>
      <c r="AA491" s="1172"/>
      <c r="AB491" s="1172"/>
      <c r="AC491" s="1172"/>
      <c r="AD491" s="1172"/>
      <c r="AE491" s="1172"/>
      <c r="AF491" s="1172"/>
      <c r="AG491" s="1172"/>
      <c r="AH491" s="1172"/>
      <c r="AI491" s="1172"/>
      <c r="AJ491" s="1172"/>
      <c r="AK491" s="1172"/>
      <c r="AL491" s="1172"/>
      <c r="AM491" s="1172"/>
      <c r="AN491" s="1172"/>
      <c r="AO491" s="1172"/>
      <c r="AP491" s="1172"/>
      <c r="AQ491" s="1172"/>
      <c r="AR491" s="1172"/>
      <c r="AS491" s="1172"/>
      <c r="AT491" s="1172"/>
      <c r="AU491" s="1172"/>
      <c r="AV491" s="1172"/>
      <c r="AW491" s="1172"/>
      <c r="AX491" s="1172"/>
      <c r="AY491" s="1172"/>
      <c r="AZ491" s="1172"/>
      <c r="BA491" s="1172"/>
      <c r="BB491" s="1172"/>
      <c r="BC491" s="1172"/>
      <c r="BD491" s="1172"/>
      <c r="BE491" s="1172"/>
      <c r="BF491" s="1172"/>
      <c r="BG491" s="1172"/>
      <c r="BH491" s="1172"/>
      <c r="BI491" s="1172"/>
      <c r="BJ491" s="1172"/>
      <c r="BK491" s="1172"/>
      <c r="BL491" s="1172"/>
      <c r="BM491" s="1172"/>
      <c r="BN491" s="1172"/>
      <c r="BO491" s="1172"/>
      <c r="BP491" s="1172"/>
      <c r="BQ491" s="1172"/>
      <c r="BR491" s="1172"/>
      <c r="BS491" s="1172"/>
      <c r="BT491" s="1172"/>
      <c r="BU491" s="1172"/>
      <c r="BV491" s="1172"/>
      <c r="BW491" s="1172"/>
      <c r="BX491" s="1172"/>
      <c r="BY491" s="1172"/>
      <c r="BZ491" s="1172"/>
      <c r="CA491" s="1172"/>
      <c r="CB491" s="1172"/>
      <c r="CC491" s="1172"/>
      <c r="CD491" s="1172"/>
      <c r="CE491" s="1172"/>
      <c r="CF491" s="1172"/>
      <c r="CG491" s="1172"/>
      <c r="CH491" s="1172"/>
      <c r="CI491" s="1172"/>
      <c r="CJ491" s="1172"/>
      <c r="CK491" s="1172"/>
      <c r="CL491" s="1172"/>
      <c r="CM491" s="1172"/>
      <c r="CN491" s="1172"/>
      <c r="CO491" s="1172"/>
      <c r="CP491" s="1172"/>
      <c r="CQ491" s="1172"/>
      <c r="CR491" s="1172"/>
      <c r="CS491" s="1172"/>
      <c r="CT491" s="1172"/>
      <c r="CU491" s="1172"/>
      <c r="CV491" s="1172"/>
      <c r="CW491" s="1172"/>
      <c r="CX491" s="1172"/>
      <c r="CY491" s="1172"/>
      <c r="CZ491" s="1172"/>
      <c r="DA491" s="1172"/>
      <c r="DB491" s="1172"/>
      <c r="DC491" s="1172"/>
      <c r="DD491" s="1172"/>
      <c r="DE491" s="1172"/>
      <c r="DF491" s="1172"/>
      <c r="DG491" s="1172"/>
      <c r="DH491" s="1172"/>
      <c r="DI491" s="1172"/>
      <c r="DJ491" s="1172"/>
    </row>
    <row r="492" spans="1:114" s="937" customFormat="1" ht="250.5" hidden="1" customHeight="1">
      <c r="A492" s="916"/>
      <c r="B492" s="917" t="s">
        <v>1319</v>
      </c>
      <c r="C492" s="918">
        <f>DATA!X489</f>
        <v>2996.53</v>
      </c>
      <c r="D492" s="898" t="s">
        <v>1834</v>
      </c>
      <c r="E492" s="919"/>
      <c r="F492" s="1053">
        <f t="shared" si="65"/>
        <v>0</v>
      </c>
      <c r="G492" s="919"/>
      <c r="H492" s="914">
        <f t="shared" si="66"/>
        <v>0</v>
      </c>
      <c r="I492" s="919"/>
      <c r="J492" s="914">
        <f t="shared" si="67"/>
        <v>0</v>
      </c>
      <c r="K492" s="919"/>
      <c r="L492" s="914">
        <f t="shared" si="68"/>
        <v>0</v>
      </c>
      <c r="M492" s="919"/>
      <c r="N492" s="914">
        <f t="shared" si="64"/>
        <v>0</v>
      </c>
      <c r="O492" s="914"/>
      <c r="P492" s="914">
        <f t="shared" si="69"/>
        <v>0</v>
      </c>
      <c r="Q492" s="914"/>
      <c r="R492" s="914">
        <f t="shared" si="70"/>
        <v>0</v>
      </c>
      <c r="S492" s="915">
        <f t="shared" si="71"/>
        <v>0</v>
      </c>
      <c r="T492" s="911">
        <f t="shared" si="72"/>
        <v>0</v>
      </c>
      <c r="U492" s="1172"/>
      <c r="V492" s="1172"/>
      <c r="W492" s="1172"/>
      <c r="X492" s="1172"/>
      <c r="Y492" s="1172"/>
      <c r="Z492" s="1172"/>
      <c r="AA492" s="1172"/>
      <c r="AB492" s="1172"/>
      <c r="AC492" s="1172"/>
      <c r="AD492" s="1172"/>
      <c r="AE492" s="1172"/>
      <c r="AF492" s="1172"/>
      <c r="AG492" s="1172"/>
      <c r="AH492" s="1172"/>
      <c r="AI492" s="1172"/>
      <c r="AJ492" s="1172"/>
      <c r="AK492" s="1172"/>
      <c r="AL492" s="1172"/>
      <c r="AM492" s="1172"/>
      <c r="AN492" s="1172"/>
      <c r="AO492" s="1172"/>
      <c r="AP492" s="1172"/>
      <c r="AQ492" s="1172"/>
      <c r="AR492" s="1172"/>
      <c r="AS492" s="1172"/>
      <c r="AT492" s="1172"/>
      <c r="AU492" s="1172"/>
      <c r="AV492" s="1172"/>
      <c r="AW492" s="1172"/>
      <c r="AX492" s="1172"/>
      <c r="AY492" s="1172"/>
      <c r="AZ492" s="1172"/>
      <c r="BA492" s="1172"/>
      <c r="BB492" s="1172"/>
      <c r="BC492" s="1172"/>
      <c r="BD492" s="1172"/>
      <c r="BE492" s="1172"/>
      <c r="BF492" s="1172"/>
      <c r="BG492" s="1172"/>
      <c r="BH492" s="1172"/>
      <c r="BI492" s="1172"/>
      <c r="BJ492" s="1172"/>
      <c r="BK492" s="1172"/>
      <c r="BL492" s="1172"/>
      <c r="BM492" s="1172"/>
      <c r="BN492" s="1172"/>
      <c r="BO492" s="1172"/>
      <c r="BP492" s="1172"/>
      <c r="BQ492" s="1172"/>
      <c r="BR492" s="1172"/>
      <c r="BS492" s="1172"/>
      <c r="BT492" s="1172"/>
      <c r="BU492" s="1172"/>
      <c r="BV492" s="1172"/>
      <c r="BW492" s="1172"/>
      <c r="BX492" s="1172"/>
      <c r="BY492" s="1172"/>
      <c r="BZ492" s="1172"/>
      <c r="CA492" s="1172"/>
      <c r="CB492" s="1172"/>
      <c r="CC492" s="1172"/>
      <c r="CD492" s="1172"/>
      <c r="CE492" s="1172"/>
      <c r="CF492" s="1172"/>
      <c r="CG492" s="1172"/>
      <c r="CH492" s="1172"/>
      <c r="CI492" s="1172"/>
      <c r="CJ492" s="1172"/>
      <c r="CK492" s="1172"/>
      <c r="CL492" s="1172"/>
      <c r="CM492" s="1172"/>
      <c r="CN492" s="1172"/>
      <c r="CO492" s="1172"/>
      <c r="CP492" s="1172"/>
      <c r="CQ492" s="1172"/>
      <c r="CR492" s="1172"/>
      <c r="CS492" s="1172"/>
      <c r="CT492" s="1172"/>
      <c r="CU492" s="1172"/>
      <c r="CV492" s="1172"/>
      <c r="CW492" s="1172"/>
      <c r="CX492" s="1172"/>
      <c r="CY492" s="1172"/>
      <c r="CZ492" s="1172"/>
      <c r="DA492" s="1172"/>
      <c r="DB492" s="1172"/>
      <c r="DC492" s="1172"/>
      <c r="DD492" s="1172"/>
      <c r="DE492" s="1172"/>
      <c r="DF492" s="1172"/>
      <c r="DG492" s="1172"/>
      <c r="DH492" s="1172"/>
      <c r="DI492" s="1172"/>
      <c r="DJ492" s="1172"/>
    </row>
    <row r="493" spans="1:114" s="937" customFormat="1" ht="250.5" hidden="1" customHeight="1">
      <c r="A493" s="951"/>
      <c r="B493" s="917" t="s">
        <v>1074</v>
      </c>
      <c r="C493" s="918">
        <f>DATA!X490</f>
        <v>3005.42</v>
      </c>
      <c r="D493" s="898" t="s">
        <v>1834</v>
      </c>
      <c r="E493" s="919"/>
      <c r="F493" s="1053">
        <f t="shared" si="65"/>
        <v>0</v>
      </c>
      <c r="G493" s="919"/>
      <c r="H493" s="914">
        <f t="shared" si="66"/>
        <v>0</v>
      </c>
      <c r="I493" s="919"/>
      <c r="J493" s="914">
        <f t="shared" si="67"/>
        <v>0</v>
      </c>
      <c r="K493" s="919"/>
      <c r="L493" s="914">
        <f t="shared" si="68"/>
        <v>0</v>
      </c>
      <c r="M493" s="919"/>
      <c r="N493" s="914">
        <f t="shared" si="64"/>
        <v>0</v>
      </c>
      <c r="O493" s="914"/>
      <c r="P493" s="914">
        <f t="shared" si="69"/>
        <v>0</v>
      </c>
      <c r="Q493" s="914"/>
      <c r="R493" s="914">
        <f t="shared" si="70"/>
        <v>0</v>
      </c>
      <c r="S493" s="915">
        <f t="shared" si="71"/>
        <v>0</v>
      </c>
      <c r="T493" s="911">
        <f t="shared" si="72"/>
        <v>0</v>
      </c>
      <c r="U493" s="1172"/>
      <c r="V493" s="1172"/>
      <c r="W493" s="1172"/>
      <c r="X493" s="1172"/>
      <c r="Y493" s="1172"/>
      <c r="Z493" s="1172"/>
      <c r="AA493" s="1172"/>
      <c r="AB493" s="1172"/>
      <c r="AC493" s="1172"/>
      <c r="AD493" s="1172"/>
      <c r="AE493" s="1172"/>
      <c r="AF493" s="1172"/>
      <c r="AG493" s="1172"/>
      <c r="AH493" s="1172"/>
      <c r="AI493" s="1172"/>
      <c r="AJ493" s="1172"/>
      <c r="AK493" s="1172"/>
      <c r="AL493" s="1172"/>
      <c r="AM493" s="1172"/>
      <c r="AN493" s="1172"/>
      <c r="AO493" s="1172"/>
      <c r="AP493" s="1172"/>
      <c r="AQ493" s="1172"/>
      <c r="AR493" s="1172"/>
      <c r="AS493" s="1172"/>
      <c r="AT493" s="1172"/>
      <c r="AU493" s="1172"/>
      <c r="AV493" s="1172"/>
      <c r="AW493" s="1172"/>
      <c r="AX493" s="1172"/>
      <c r="AY493" s="1172"/>
      <c r="AZ493" s="1172"/>
      <c r="BA493" s="1172"/>
      <c r="BB493" s="1172"/>
      <c r="BC493" s="1172"/>
      <c r="BD493" s="1172"/>
      <c r="BE493" s="1172"/>
      <c r="BF493" s="1172"/>
      <c r="BG493" s="1172"/>
      <c r="BH493" s="1172"/>
      <c r="BI493" s="1172"/>
      <c r="BJ493" s="1172"/>
      <c r="BK493" s="1172"/>
      <c r="BL493" s="1172"/>
      <c r="BM493" s="1172"/>
      <c r="BN493" s="1172"/>
      <c r="BO493" s="1172"/>
      <c r="BP493" s="1172"/>
      <c r="BQ493" s="1172"/>
      <c r="BR493" s="1172"/>
      <c r="BS493" s="1172"/>
      <c r="BT493" s="1172"/>
      <c r="BU493" s="1172"/>
      <c r="BV493" s="1172"/>
      <c r="BW493" s="1172"/>
      <c r="BX493" s="1172"/>
      <c r="BY493" s="1172"/>
      <c r="BZ493" s="1172"/>
      <c r="CA493" s="1172"/>
      <c r="CB493" s="1172"/>
      <c r="CC493" s="1172"/>
      <c r="CD493" s="1172"/>
      <c r="CE493" s="1172"/>
      <c r="CF493" s="1172"/>
      <c r="CG493" s="1172"/>
      <c r="CH493" s="1172"/>
      <c r="CI493" s="1172"/>
      <c r="CJ493" s="1172"/>
      <c r="CK493" s="1172"/>
      <c r="CL493" s="1172"/>
      <c r="CM493" s="1172"/>
      <c r="CN493" s="1172"/>
      <c r="CO493" s="1172"/>
      <c r="CP493" s="1172"/>
      <c r="CQ493" s="1172"/>
      <c r="CR493" s="1172"/>
      <c r="CS493" s="1172"/>
      <c r="CT493" s="1172"/>
      <c r="CU493" s="1172"/>
      <c r="CV493" s="1172"/>
      <c r="CW493" s="1172"/>
      <c r="CX493" s="1172"/>
      <c r="CY493" s="1172"/>
      <c r="CZ493" s="1172"/>
      <c r="DA493" s="1172"/>
      <c r="DB493" s="1172"/>
      <c r="DC493" s="1172"/>
      <c r="DD493" s="1172"/>
      <c r="DE493" s="1172"/>
      <c r="DF493" s="1172"/>
      <c r="DG493" s="1172"/>
      <c r="DH493" s="1172"/>
      <c r="DI493" s="1172"/>
      <c r="DJ493" s="1172"/>
    </row>
    <row r="494" spans="1:114" ht="250.5" hidden="1" customHeight="1">
      <c r="A494" s="928"/>
      <c r="B494" s="906" t="s">
        <v>3761</v>
      </c>
      <c r="C494" s="913">
        <f>DATA!X491</f>
        <v>0</v>
      </c>
      <c r="D494" s="908" t="s">
        <v>1834</v>
      </c>
      <c r="E494" s="919"/>
      <c r="F494" s="1053">
        <f t="shared" si="65"/>
        <v>0</v>
      </c>
      <c r="G494" s="919"/>
      <c r="H494" s="914">
        <f t="shared" si="66"/>
        <v>0</v>
      </c>
      <c r="I494" s="919"/>
      <c r="J494" s="914">
        <f t="shared" si="67"/>
        <v>0</v>
      </c>
      <c r="K494" s="919"/>
      <c r="L494" s="914">
        <f t="shared" si="68"/>
        <v>0</v>
      </c>
      <c r="M494" s="919"/>
      <c r="N494" s="914">
        <f t="shared" si="64"/>
        <v>0</v>
      </c>
      <c r="O494" s="914"/>
      <c r="P494" s="914">
        <f t="shared" si="69"/>
        <v>0</v>
      </c>
      <c r="Q494" s="914"/>
      <c r="R494" s="914">
        <f t="shared" si="70"/>
        <v>0</v>
      </c>
      <c r="S494" s="915">
        <f t="shared" si="71"/>
        <v>0</v>
      </c>
      <c r="T494" s="911">
        <f t="shared" si="72"/>
        <v>0</v>
      </c>
    </row>
    <row r="495" spans="1:114" ht="250.5" hidden="1" customHeight="1">
      <c r="A495" s="928"/>
      <c r="B495" s="925" t="s">
        <v>3978</v>
      </c>
      <c r="C495" s="913"/>
      <c r="D495" s="908"/>
      <c r="E495" s="919"/>
      <c r="F495" s="1053"/>
      <c r="G495" s="919"/>
      <c r="H495" s="914"/>
      <c r="I495" s="919"/>
      <c r="J495" s="914"/>
      <c r="K495" s="919"/>
      <c r="L495" s="914"/>
      <c r="M495" s="919"/>
      <c r="N495" s="914"/>
      <c r="O495" s="914"/>
      <c r="P495" s="914">
        <f t="shared" si="69"/>
        <v>0</v>
      </c>
      <c r="Q495" s="914"/>
      <c r="R495" s="914">
        <f t="shared" si="70"/>
        <v>0</v>
      </c>
      <c r="S495" s="915">
        <f t="shared" si="71"/>
        <v>0</v>
      </c>
      <c r="T495" s="911">
        <f t="shared" si="72"/>
        <v>0</v>
      </c>
    </row>
    <row r="496" spans="1:114" ht="250.5" hidden="1" customHeight="1">
      <c r="A496" s="928"/>
      <c r="B496" s="917" t="s">
        <v>541</v>
      </c>
      <c r="C496" s="913">
        <f>DATA!X718</f>
        <v>8219.85</v>
      </c>
      <c r="D496" s="898" t="s">
        <v>2142</v>
      </c>
      <c r="E496" s="919"/>
      <c r="F496" s="1053"/>
      <c r="G496" s="919"/>
      <c r="H496" s="914"/>
      <c r="I496" s="919"/>
      <c r="J496" s="914"/>
      <c r="K496" s="919"/>
      <c r="L496" s="914"/>
      <c r="M496" s="919"/>
      <c r="N496" s="914"/>
      <c r="O496" s="914"/>
      <c r="P496" s="914">
        <f t="shared" si="69"/>
        <v>0</v>
      </c>
      <c r="Q496" s="914"/>
      <c r="R496" s="914">
        <f t="shared" si="70"/>
        <v>0</v>
      </c>
      <c r="S496" s="915">
        <f t="shared" si="71"/>
        <v>0</v>
      </c>
      <c r="T496" s="911">
        <f t="shared" si="72"/>
        <v>0</v>
      </c>
    </row>
    <row r="497" spans="1:114" ht="250.5" hidden="1" customHeight="1">
      <c r="A497" s="928"/>
      <c r="B497" s="917" t="s">
        <v>4713</v>
      </c>
      <c r="C497" s="913">
        <f>DATA!X720</f>
        <v>8339.7000000000007</v>
      </c>
      <c r="D497" s="898" t="s">
        <v>2142</v>
      </c>
      <c r="E497" s="919"/>
      <c r="F497" s="1053"/>
      <c r="G497" s="919"/>
      <c r="H497" s="914"/>
      <c r="I497" s="919"/>
      <c r="J497" s="914"/>
      <c r="K497" s="919"/>
      <c r="L497" s="914"/>
      <c r="M497" s="919"/>
      <c r="N497" s="914"/>
      <c r="O497" s="914"/>
      <c r="P497" s="914">
        <f t="shared" si="69"/>
        <v>0</v>
      </c>
      <c r="Q497" s="914"/>
      <c r="R497" s="914">
        <f t="shared" si="70"/>
        <v>0</v>
      </c>
      <c r="S497" s="915">
        <f t="shared" si="71"/>
        <v>0</v>
      </c>
      <c r="T497" s="911">
        <f t="shared" si="72"/>
        <v>0</v>
      </c>
    </row>
    <row r="498" spans="1:114" ht="250.5" hidden="1" customHeight="1">
      <c r="A498" s="928"/>
      <c r="B498" s="917" t="str">
        <f>B504</f>
        <v>c. In First Floor</v>
      </c>
      <c r="C498" s="913">
        <f>DATA!X721</f>
        <v>8575.7999999999993</v>
      </c>
      <c r="D498" s="898" t="s">
        <v>2142</v>
      </c>
      <c r="E498" s="919"/>
      <c r="F498" s="1053"/>
      <c r="G498" s="919"/>
      <c r="H498" s="914"/>
      <c r="I498" s="919"/>
      <c r="J498" s="914"/>
      <c r="K498" s="919"/>
      <c r="L498" s="914"/>
      <c r="M498" s="919"/>
      <c r="N498" s="914"/>
      <c r="O498" s="914"/>
      <c r="P498" s="914">
        <f t="shared" si="69"/>
        <v>0</v>
      </c>
      <c r="Q498" s="914"/>
      <c r="R498" s="914">
        <f t="shared" si="70"/>
        <v>0</v>
      </c>
      <c r="S498" s="915">
        <f t="shared" si="71"/>
        <v>0</v>
      </c>
      <c r="T498" s="911">
        <f t="shared" si="72"/>
        <v>0</v>
      </c>
    </row>
    <row r="499" spans="1:114" ht="250.5" hidden="1" customHeight="1">
      <c r="A499" s="928"/>
      <c r="B499" s="917" t="str">
        <f t="shared" ref="B499:B500" si="73">B505</f>
        <v>d. In Second Floor</v>
      </c>
      <c r="C499" s="913">
        <f>DATA!X722</f>
        <v>8811.9</v>
      </c>
      <c r="D499" s="898" t="s">
        <v>2142</v>
      </c>
      <c r="E499" s="919"/>
      <c r="F499" s="1053"/>
      <c r="G499" s="919"/>
      <c r="H499" s="914"/>
      <c r="I499" s="919"/>
      <c r="J499" s="914"/>
      <c r="K499" s="919"/>
      <c r="L499" s="914"/>
      <c r="M499" s="919"/>
      <c r="N499" s="914"/>
      <c r="O499" s="914"/>
      <c r="P499" s="914">
        <f t="shared" si="69"/>
        <v>0</v>
      </c>
      <c r="Q499" s="914"/>
      <c r="R499" s="914">
        <f t="shared" si="70"/>
        <v>0</v>
      </c>
      <c r="S499" s="915">
        <f t="shared" si="71"/>
        <v>0</v>
      </c>
      <c r="T499" s="911">
        <f t="shared" si="72"/>
        <v>0</v>
      </c>
    </row>
    <row r="500" spans="1:114" ht="250.5" hidden="1" customHeight="1">
      <c r="A500" s="928"/>
      <c r="B500" s="917" t="str">
        <f t="shared" si="73"/>
        <v>e. In Third floor</v>
      </c>
      <c r="C500" s="913">
        <f>DATA!X723</f>
        <v>9048</v>
      </c>
      <c r="D500" s="898" t="s">
        <v>2142</v>
      </c>
      <c r="E500" s="919"/>
      <c r="F500" s="1053"/>
      <c r="G500" s="919"/>
      <c r="H500" s="914"/>
      <c r="I500" s="919"/>
      <c r="J500" s="914"/>
      <c r="K500" s="919"/>
      <c r="L500" s="914"/>
      <c r="M500" s="919"/>
      <c r="N500" s="914"/>
      <c r="O500" s="914"/>
      <c r="P500" s="914">
        <f t="shared" si="69"/>
        <v>0</v>
      </c>
      <c r="Q500" s="914"/>
      <c r="R500" s="914">
        <f t="shared" si="70"/>
        <v>0</v>
      </c>
      <c r="S500" s="915">
        <f t="shared" si="71"/>
        <v>0</v>
      </c>
      <c r="T500" s="911">
        <f t="shared" si="72"/>
        <v>0</v>
      </c>
    </row>
    <row r="501" spans="1:114" s="920" customFormat="1" ht="250.5" hidden="1" customHeight="1">
      <c r="A501" s="916">
        <v>4.0999999999999996</v>
      </c>
      <c r="B501" s="925" t="s">
        <v>4608</v>
      </c>
      <c r="C501" s="918"/>
      <c r="D501" s="898"/>
      <c r="E501" s="919"/>
      <c r="F501" s="1053">
        <f t="shared" si="65"/>
        <v>0</v>
      </c>
      <c r="G501" s="919"/>
      <c r="H501" s="914">
        <f t="shared" si="66"/>
        <v>0</v>
      </c>
      <c r="I501" s="919"/>
      <c r="J501" s="914">
        <f t="shared" si="67"/>
        <v>0</v>
      </c>
      <c r="K501" s="919"/>
      <c r="L501" s="914">
        <f t="shared" si="68"/>
        <v>0</v>
      </c>
      <c r="M501" s="919"/>
      <c r="N501" s="914">
        <f t="shared" ref="N501:N563" si="74">M501*C501</f>
        <v>0</v>
      </c>
      <c r="O501" s="914"/>
      <c r="P501" s="914">
        <f t="shared" si="69"/>
        <v>0</v>
      </c>
      <c r="Q501" s="914"/>
      <c r="R501" s="914">
        <f t="shared" si="70"/>
        <v>0</v>
      </c>
      <c r="S501" s="915">
        <f t="shared" si="71"/>
        <v>0</v>
      </c>
      <c r="T501" s="911">
        <f t="shared" si="72"/>
        <v>0</v>
      </c>
      <c r="U501" s="1172"/>
      <c r="V501" s="1172"/>
      <c r="W501" s="1172"/>
      <c r="X501" s="1172"/>
      <c r="Y501" s="1172"/>
      <c r="Z501" s="1172"/>
      <c r="AA501" s="1172"/>
      <c r="AB501" s="1172"/>
      <c r="AC501" s="1172"/>
      <c r="AD501" s="1172"/>
      <c r="AE501" s="1172"/>
      <c r="AF501" s="1172"/>
      <c r="AG501" s="1172"/>
      <c r="AH501" s="1172"/>
      <c r="AI501" s="1172"/>
      <c r="AJ501" s="1172"/>
      <c r="AK501" s="1172"/>
      <c r="AL501" s="1172"/>
      <c r="AM501" s="1172"/>
      <c r="AN501" s="1172"/>
      <c r="AO501" s="1172"/>
      <c r="AP501" s="1172"/>
      <c r="AQ501" s="1172"/>
      <c r="AR501" s="1172"/>
      <c r="AS501" s="1172"/>
      <c r="AT501" s="1172"/>
      <c r="AU501" s="1172"/>
      <c r="AV501" s="1172"/>
      <c r="AW501" s="1172"/>
      <c r="AX501" s="1172"/>
      <c r="AY501" s="1172"/>
      <c r="AZ501" s="1172"/>
      <c r="BA501" s="1172"/>
      <c r="BB501" s="1172"/>
      <c r="BC501" s="1172"/>
      <c r="BD501" s="1172"/>
      <c r="BE501" s="1172"/>
      <c r="BF501" s="1172"/>
      <c r="BG501" s="1172"/>
      <c r="BH501" s="1172"/>
      <c r="BI501" s="1172"/>
      <c r="BJ501" s="1172"/>
      <c r="BK501" s="1172"/>
      <c r="BL501" s="1172"/>
      <c r="BM501" s="1172"/>
      <c r="BN501" s="1172"/>
      <c r="BO501" s="1172"/>
      <c r="BP501" s="1172"/>
      <c r="BQ501" s="1172"/>
      <c r="BR501" s="1172"/>
      <c r="BS501" s="1172"/>
      <c r="BT501" s="1172"/>
      <c r="BU501" s="1172"/>
      <c r="BV501" s="1172"/>
      <c r="BW501" s="1172"/>
      <c r="BX501" s="1172"/>
      <c r="BY501" s="1172"/>
      <c r="BZ501" s="1172"/>
      <c r="CA501" s="1172"/>
      <c r="CB501" s="1172"/>
      <c r="CC501" s="1172"/>
      <c r="CD501" s="1172"/>
      <c r="CE501" s="1172"/>
      <c r="CF501" s="1172"/>
      <c r="CG501" s="1172"/>
      <c r="CH501" s="1172"/>
      <c r="CI501" s="1172"/>
      <c r="CJ501" s="1172"/>
      <c r="CK501" s="1172"/>
      <c r="CL501" s="1172"/>
      <c r="CM501" s="1172"/>
      <c r="CN501" s="1172"/>
      <c r="CO501" s="1172"/>
      <c r="CP501" s="1172"/>
      <c r="CQ501" s="1172"/>
      <c r="CR501" s="1172"/>
      <c r="CS501" s="1172"/>
      <c r="CT501" s="1172"/>
      <c r="CU501" s="1172"/>
      <c r="CV501" s="1172"/>
      <c r="CW501" s="1172"/>
      <c r="CX501" s="1172"/>
      <c r="CY501" s="1172"/>
      <c r="CZ501" s="1172"/>
      <c r="DA501" s="1172"/>
      <c r="DB501" s="1172"/>
      <c r="DC501" s="1172"/>
      <c r="DD501" s="1172"/>
      <c r="DE501" s="1172"/>
      <c r="DF501" s="1172"/>
      <c r="DG501" s="1172"/>
      <c r="DH501" s="1172"/>
      <c r="DI501" s="1172"/>
      <c r="DJ501" s="1172"/>
    </row>
    <row r="502" spans="1:114" s="920" customFormat="1" ht="250.5" hidden="1" customHeight="1">
      <c r="A502" s="916"/>
      <c r="B502" s="917" t="s">
        <v>541</v>
      </c>
      <c r="C502" s="918">
        <f>DATA!X742</f>
        <v>8408.51</v>
      </c>
      <c r="D502" s="898" t="s">
        <v>2142</v>
      </c>
      <c r="E502" s="930"/>
      <c r="F502" s="1053">
        <f t="shared" si="65"/>
        <v>0</v>
      </c>
      <c r="G502" s="919"/>
      <c r="H502" s="914">
        <f t="shared" si="66"/>
        <v>0</v>
      </c>
      <c r="I502" s="919"/>
      <c r="J502" s="914">
        <f t="shared" si="67"/>
        <v>0</v>
      </c>
      <c r="K502" s="919"/>
      <c r="L502" s="914">
        <f t="shared" si="68"/>
        <v>0</v>
      </c>
      <c r="M502" s="919"/>
      <c r="N502" s="914">
        <f t="shared" si="74"/>
        <v>0</v>
      </c>
      <c r="O502" s="914"/>
      <c r="P502" s="914">
        <f t="shared" si="69"/>
        <v>0</v>
      </c>
      <c r="Q502" s="914"/>
      <c r="R502" s="914">
        <f t="shared" si="70"/>
        <v>0</v>
      </c>
      <c r="S502" s="915">
        <f t="shared" si="71"/>
        <v>0</v>
      </c>
      <c r="T502" s="911">
        <f t="shared" si="72"/>
        <v>0</v>
      </c>
      <c r="U502" s="1172"/>
      <c r="V502" s="1172"/>
      <c r="W502" s="1172"/>
      <c r="X502" s="1172"/>
      <c r="Y502" s="1172"/>
      <c r="Z502" s="1172"/>
      <c r="AA502" s="1172"/>
      <c r="AB502" s="1172"/>
      <c r="AC502" s="1172"/>
      <c r="AD502" s="1172"/>
      <c r="AE502" s="1172"/>
      <c r="AF502" s="1172"/>
      <c r="AG502" s="1172"/>
      <c r="AH502" s="1172"/>
      <c r="AI502" s="1172"/>
      <c r="AJ502" s="1172"/>
      <c r="AK502" s="1172"/>
      <c r="AL502" s="1172"/>
      <c r="AM502" s="1172"/>
      <c r="AN502" s="1172"/>
      <c r="AO502" s="1172"/>
      <c r="AP502" s="1172"/>
      <c r="AQ502" s="1172"/>
      <c r="AR502" s="1172"/>
      <c r="AS502" s="1172"/>
      <c r="AT502" s="1172"/>
      <c r="AU502" s="1172"/>
      <c r="AV502" s="1172"/>
      <c r="AW502" s="1172"/>
      <c r="AX502" s="1172"/>
      <c r="AY502" s="1172"/>
      <c r="AZ502" s="1172"/>
      <c r="BA502" s="1172"/>
      <c r="BB502" s="1172"/>
      <c r="BC502" s="1172"/>
      <c r="BD502" s="1172"/>
      <c r="BE502" s="1172"/>
      <c r="BF502" s="1172"/>
      <c r="BG502" s="1172"/>
      <c r="BH502" s="1172"/>
      <c r="BI502" s="1172"/>
      <c r="BJ502" s="1172"/>
      <c r="BK502" s="1172"/>
      <c r="BL502" s="1172"/>
      <c r="BM502" s="1172"/>
      <c r="BN502" s="1172"/>
      <c r="BO502" s="1172"/>
      <c r="BP502" s="1172"/>
      <c r="BQ502" s="1172"/>
      <c r="BR502" s="1172"/>
      <c r="BS502" s="1172"/>
      <c r="BT502" s="1172"/>
      <c r="BU502" s="1172"/>
      <c r="BV502" s="1172"/>
      <c r="BW502" s="1172"/>
      <c r="BX502" s="1172"/>
      <c r="BY502" s="1172"/>
      <c r="BZ502" s="1172"/>
      <c r="CA502" s="1172"/>
      <c r="CB502" s="1172"/>
      <c r="CC502" s="1172"/>
      <c r="CD502" s="1172"/>
      <c r="CE502" s="1172"/>
      <c r="CF502" s="1172"/>
      <c r="CG502" s="1172"/>
      <c r="CH502" s="1172"/>
      <c r="CI502" s="1172"/>
      <c r="CJ502" s="1172"/>
      <c r="CK502" s="1172"/>
      <c r="CL502" s="1172"/>
      <c r="CM502" s="1172"/>
      <c r="CN502" s="1172"/>
      <c r="CO502" s="1172"/>
      <c r="CP502" s="1172"/>
      <c r="CQ502" s="1172"/>
      <c r="CR502" s="1172"/>
      <c r="CS502" s="1172"/>
      <c r="CT502" s="1172"/>
      <c r="CU502" s="1172"/>
      <c r="CV502" s="1172"/>
      <c r="CW502" s="1172"/>
      <c r="CX502" s="1172"/>
      <c r="CY502" s="1172"/>
      <c r="CZ502" s="1172"/>
      <c r="DA502" s="1172"/>
      <c r="DB502" s="1172"/>
      <c r="DC502" s="1172"/>
      <c r="DD502" s="1172"/>
      <c r="DE502" s="1172"/>
      <c r="DF502" s="1172"/>
      <c r="DG502" s="1172"/>
      <c r="DH502" s="1172"/>
      <c r="DI502" s="1172"/>
      <c r="DJ502" s="1172"/>
    </row>
    <row r="503" spans="1:114" s="920" customFormat="1" ht="250.5" hidden="1" customHeight="1">
      <c r="A503" s="916">
        <v>8.1</v>
      </c>
      <c r="B503" s="917" t="s">
        <v>4713</v>
      </c>
      <c r="C503" s="918">
        <f>DATA!X744</f>
        <v>8528.36</v>
      </c>
      <c r="D503" s="898" t="s">
        <v>2142</v>
      </c>
      <c r="E503" s="930"/>
      <c r="F503" s="1053">
        <f t="shared" si="65"/>
        <v>0</v>
      </c>
      <c r="G503" s="919"/>
      <c r="H503" s="914">
        <f t="shared" si="66"/>
        <v>0</v>
      </c>
      <c r="I503" s="919"/>
      <c r="J503" s="914">
        <f t="shared" si="67"/>
        <v>0</v>
      </c>
      <c r="K503" s="919"/>
      <c r="L503" s="914">
        <f t="shared" si="68"/>
        <v>0</v>
      </c>
      <c r="M503" s="919"/>
      <c r="N503" s="914">
        <f t="shared" si="74"/>
        <v>0</v>
      </c>
      <c r="O503" s="914"/>
      <c r="P503" s="914">
        <f t="shared" si="69"/>
        <v>0</v>
      </c>
      <c r="Q503" s="914"/>
      <c r="R503" s="914">
        <f t="shared" si="70"/>
        <v>0</v>
      </c>
      <c r="S503" s="915">
        <f t="shared" si="71"/>
        <v>0</v>
      </c>
      <c r="T503" s="911">
        <f t="shared" si="72"/>
        <v>0</v>
      </c>
      <c r="U503" s="1172"/>
      <c r="V503" s="1172"/>
      <c r="W503" s="1172"/>
      <c r="X503" s="1172"/>
      <c r="Y503" s="1172"/>
      <c r="Z503" s="1172"/>
      <c r="AA503" s="1172"/>
      <c r="AB503" s="1172"/>
      <c r="AC503" s="1172"/>
      <c r="AD503" s="1172"/>
      <c r="AE503" s="1172"/>
      <c r="AF503" s="1172"/>
      <c r="AG503" s="1172"/>
      <c r="AH503" s="1172"/>
      <c r="AI503" s="1172"/>
      <c r="AJ503" s="1172"/>
      <c r="AK503" s="1172"/>
      <c r="AL503" s="1172"/>
      <c r="AM503" s="1172"/>
      <c r="AN503" s="1172"/>
      <c r="AO503" s="1172"/>
      <c r="AP503" s="1172"/>
      <c r="AQ503" s="1172"/>
      <c r="AR503" s="1172"/>
      <c r="AS503" s="1172"/>
      <c r="AT503" s="1172"/>
      <c r="AU503" s="1172"/>
      <c r="AV503" s="1172"/>
      <c r="AW503" s="1172"/>
      <c r="AX503" s="1172"/>
      <c r="AY503" s="1172"/>
      <c r="AZ503" s="1172"/>
      <c r="BA503" s="1172"/>
      <c r="BB503" s="1172"/>
      <c r="BC503" s="1172"/>
      <c r="BD503" s="1172"/>
      <c r="BE503" s="1172"/>
      <c r="BF503" s="1172"/>
      <c r="BG503" s="1172"/>
      <c r="BH503" s="1172"/>
      <c r="BI503" s="1172"/>
      <c r="BJ503" s="1172"/>
      <c r="BK503" s="1172"/>
      <c r="BL503" s="1172"/>
      <c r="BM503" s="1172"/>
      <c r="BN503" s="1172"/>
      <c r="BO503" s="1172"/>
      <c r="BP503" s="1172"/>
      <c r="BQ503" s="1172"/>
      <c r="BR503" s="1172"/>
      <c r="BS503" s="1172"/>
      <c r="BT503" s="1172"/>
      <c r="BU503" s="1172"/>
      <c r="BV503" s="1172"/>
      <c r="BW503" s="1172"/>
      <c r="BX503" s="1172"/>
      <c r="BY503" s="1172"/>
      <c r="BZ503" s="1172"/>
      <c r="CA503" s="1172"/>
      <c r="CB503" s="1172"/>
      <c r="CC503" s="1172"/>
      <c r="CD503" s="1172"/>
      <c r="CE503" s="1172"/>
      <c r="CF503" s="1172"/>
      <c r="CG503" s="1172"/>
      <c r="CH503" s="1172"/>
      <c r="CI503" s="1172"/>
      <c r="CJ503" s="1172"/>
      <c r="CK503" s="1172"/>
      <c r="CL503" s="1172"/>
      <c r="CM503" s="1172"/>
      <c r="CN503" s="1172"/>
      <c r="CO503" s="1172"/>
      <c r="CP503" s="1172"/>
      <c r="CQ503" s="1172"/>
      <c r="CR503" s="1172"/>
      <c r="CS503" s="1172"/>
      <c r="CT503" s="1172"/>
      <c r="CU503" s="1172"/>
      <c r="CV503" s="1172"/>
      <c r="CW503" s="1172"/>
      <c r="CX503" s="1172"/>
      <c r="CY503" s="1172"/>
      <c r="CZ503" s="1172"/>
      <c r="DA503" s="1172"/>
      <c r="DB503" s="1172"/>
      <c r="DC503" s="1172"/>
      <c r="DD503" s="1172"/>
      <c r="DE503" s="1172"/>
      <c r="DF503" s="1172"/>
      <c r="DG503" s="1172"/>
      <c r="DH503" s="1172"/>
      <c r="DI503" s="1172"/>
      <c r="DJ503" s="1172"/>
    </row>
    <row r="504" spans="1:114" s="920" customFormat="1" ht="250.5" hidden="1" customHeight="1">
      <c r="A504" s="916"/>
      <c r="B504" s="917" t="s">
        <v>544</v>
      </c>
      <c r="C504" s="918">
        <f>DATA!X745</f>
        <v>8764.4599999999991</v>
      </c>
      <c r="D504" s="898" t="s">
        <v>2142</v>
      </c>
      <c r="E504" s="930"/>
      <c r="F504" s="1053">
        <f t="shared" si="65"/>
        <v>0</v>
      </c>
      <c r="G504" s="919"/>
      <c r="H504" s="914">
        <f t="shared" si="66"/>
        <v>0</v>
      </c>
      <c r="I504" s="919"/>
      <c r="J504" s="914">
        <f t="shared" si="67"/>
        <v>0</v>
      </c>
      <c r="K504" s="919"/>
      <c r="L504" s="914">
        <f t="shared" si="68"/>
        <v>0</v>
      </c>
      <c r="M504" s="919"/>
      <c r="N504" s="914">
        <f t="shared" si="74"/>
        <v>0</v>
      </c>
      <c r="O504" s="914"/>
      <c r="P504" s="914">
        <f t="shared" si="69"/>
        <v>0</v>
      </c>
      <c r="Q504" s="914"/>
      <c r="R504" s="914">
        <f t="shared" si="70"/>
        <v>0</v>
      </c>
      <c r="S504" s="915">
        <f t="shared" si="71"/>
        <v>0</v>
      </c>
      <c r="T504" s="911">
        <f t="shared" si="72"/>
        <v>0</v>
      </c>
      <c r="U504" s="1172"/>
      <c r="V504" s="1172"/>
      <c r="W504" s="1172"/>
      <c r="X504" s="1172"/>
      <c r="Y504" s="1172"/>
      <c r="Z504" s="1172"/>
      <c r="AA504" s="1172"/>
      <c r="AB504" s="1172"/>
      <c r="AC504" s="1172"/>
      <c r="AD504" s="1172"/>
      <c r="AE504" s="1172"/>
      <c r="AF504" s="1172"/>
      <c r="AG504" s="1172"/>
      <c r="AH504" s="1172"/>
      <c r="AI504" s="1172"/>
      <c r="AJ504" s="1172"/>
      <c r="AK504" s="1172"/>
      <c r="AL504" s="1172"/>
      <c r="AM504" s="1172"/>
      <c r="AN504" s="1172"/>
      <c r="AO504" s="1172"/>
      <c r="AP504" s="1172"/>
      <c r="AQ504" s="1172"/>
      <c r="AR504" s="1172"/>
      <c r="AS504" s="1172"/>
      <c r="AT504" s="1172"/>
      <c r="AU504" s="1172"/>
      <c r="AV504" s="1172"/>
      <c r="AW504" s="1172"/>
      <c r="AX504" s="1172"/>
      <c r="AY504" s="1172"/>
      <c r="AZ504" s="1172"/>
      <c r="BA504" s="1172"/>
      <c r="BB504" s="1172"/>
      <c r="BC504" s="1172"/>
      <c r="BD504" s="1172"/>
      <c r="BE504" s="1172"/>
      <c r="BF504" s="1172"/>
      <c r="BG504" s="1172"/>
      <c r="BH504" s="1172"/>
      <c r="BI504" s="1172"/>
      <c r="BJ504" s="1172"/>
      <c r="BK504" s="1172"/>
      <c r="BL504" s="1172"/>
      <c r="BM504" s="1172"/>
      <c r="BN504" s="1172"/>
      <c r="BO504" s="1172"/>
      <c r="BP504" s="1172"/>
      <c r="BQ504" s="1172"/>
      <c r="BR504" s="1172"/>
      <c r="BS504" s="1172"/>
      <c r="BT504" s="1172"/>
      <c r="BU504" s="1172"/>
      <c r="BV504" s="1172"/>
      <c r="BW504" s="1172"/>
      <c r="BX504" s="1172"/>
      <c r="BY504" s="1172"/>
      <c r="BZ504" s="1172"/>
      <c r="CA504" s="1172"/>
      <c r="CB504" s="1172"/>
      <c r="CC504" s="1172"/>
      <c r="CD504" s="1172"/>
      <c r="CE504" s="1172"/>
      <c r="CF504" s="1172"/>
      <c r="CG504" s="1172"/>
      <c r="CH504" s="1172"/>
      <c r="CI504" s="1172"/>
      <c r="CJ504" s="1172"/>
      <c r="CK504" s="1172"/>
      <c r="CL504" s="1172"/>
      <c r="CM504" s="1172"/>
      <c r="CN504" s="1172"/>
      <c r="CO504" s="1172"/>
      <c r="CP504" s="1172"/>
      <c r="CQ504" s="1172"/>
      <c r="CR504" s="1172"/>
      <c r="CS504" s="1172"/>
      <c r="CT504" s="1172"/>
      <c r="CU504" s="1172"/>
      <c r="CV504" s="1172"/>
      <c r="CW504" s="1172"/>
      <c r="CX504" s="1172"/>
      <c r="CY504" s="1172"/>
      <c r="CZ504" s="1172"/>
      <c r="DA504" s="1172"/>
      <c r="DB504" s="1172"/>
      <c r="DC504" s="1172"/>
      <c r="DD504" s="1172"/>
      <c r="DE504" s="1172"/>
      <c r="DF504" s="1172"/>
      <c r="DG504" s="1172"/>
      <c r="DH504" s="1172"/>
      <c r="DI504" s="1172"/>
      <c r="DJ504" s="1172"/>
    </row>
    <row r="505" spans="1:114" s="920" customFormat="1" ht="250.5" hidden="1" customHeight="1">
      <c r="A505" s="916"/>
      <c r="B505" s="917" t="s">
        <v>1798</v>
      </c>
      <c r="C505" s="918">
        <f>DATA!X746</f>
        <v>9000.56</v>
      </c>
      <c r="D505" s="898" t="s">
        <v>2142</v>
      </c>
      <c r="E505" s="930"/>
      <c r="F505" s="1053">
        <f t="shared" si="65"/>
        <v>0</v>
      </c>
      <c r="G505" s="919"/>
      <c r="H505" s="914">
        <f t="shared" si="66"/>
        <v>0</v>
      </c>
      <c r="I505" s="919"/>
      <c r="J505" s="914">
        <f t="shared" si="67"/>
        <v>0</v>
      </c>
      <c r="K505" s="919"/>
      <c r="L505" s="914">
        <f t="shared" si="68"/>
        <v>0</v>
      </c>
      <c r="M505" s="919"/>
      <c r="N505" s="914">
        <f t="shared" si="74"/>
        <v>0</v>
      </c>
      <c r="O505" s="914"/>
      <c r="P505" s="914">
        <f t="shared" si="69"/>
        <v>0</v>
      </c>
      <c r="Q505" s="914"/>
      <c r="R505" s="914">
        <f t="shared" si="70"/>
        <v>0</v>
      </c>
      <c r="S505" s="915">
        <f t="shared" si="71"/>
        <v>0</v>
      </c>
      <c r="T505" s="911">
        <f t="shared" si="72"/>
        <v>0</v>
      </c>
      <c r="U505" s="1172"/>
      <c r="V505" s="1172"/>
      <c r="W505" s="1172"/>
      <c r="X505" s="1172"/>
      <c r="Y505" s="1172"/>
      <c r="Z505" s="1172"/>
      <c r="AA505" s="1172"/>
      <c r="AB505" s="1172"/>
      <c r="AC505" s="1172"/>
      <c r="AD505" s="1172"/>
      <c r="AE505" s="1172"/>
      <c r="AF505" s="1172"/>
      <c r="AG505" s="1172"/>
      <c r="AH505" s="1172"/>
      <c r="AI505" s="1172"/>
      <c r="AJ505" s="1172"/>
      <c r="AK505" s="1172"/>
      <c r="AL505" s="1172"/>
      <c r="AM505" s="1172"/>
      <c r="AN505" s="1172"/>
      <c r="AO505" s="1172"/>
      <c r="AP505" s="1172"/>
      <c r="AQ505" s="1172"/>
      <c r="AR505" s="1172"/>
      <c r="AS505" s="1172"/>
      <c r="AT505" s="1172"/>
      <c r="AU505" s="1172"/>
      <c r="AV505" s="1172"/>
      <c r="AW505" s="1172"/>
      <c r="AX505" s="1172"/>
      <c r="AY505" s="1172"/>
      <c r="AZ505" s="1172"/>
      <c r="BA505" s="1172"/>
      <c r="BB505" s="1172"/>
      <c r="BC505" s="1172"/>
      <c r="BD505" s="1172"/>
      <c r="BE505" s="1172"/>
      <c r="BF505" s="1172"/>
      <c r="BG505" s="1172"/>
      <c r="BH505" s="1172"/>
      <c r="BI505" s="1172"/>
      <c r="BJ505" s="1172"/>
      <c r="BK505" s="1172"/>
      <c r="BL505" s="1172"/>
      <c r="BM505" s="1172"/>
      <c r="BN505" s="1172"/>
      <c r="BO505" s="1172"/>
      <c r="BP505" s="1172"/>
      <c r="BQ505" s="1172"/>
      <c r="BR505" s="1172"/>
      <c r="BS505" s="1172"/>
      <c r="BT505" s="1172"/>
      <c r="BU505" s="1172"/>
      <c r="BV505" s="1172"/>
      <c r="BW505" s="1172"/>
      <c r="BX505" s="1172"/>
      <c r="BY505" s="1172"/>
      <c r="BZ505" s="1172"/>
      <c r="CA505" s="1172"/>
      <c r="CB505" s="1172"/>
      <c r="CC505" s="1172"/>
      <c r="CD505" s="1172"/>
      <c r="CE505" s="1172"/>
      <c r="CF505" s="1172"/>
      <c r="CG505" s="1172"/>
      <c r="CH505" s="1172"/>
      <c r="CI505" s="1172"/>
      <c r="CJ505" s="1172"/>
      <c r="CK505" s="1172"/>
      <c r="CL505" s="1172"/>
      <c r="CM505" s="1172"/>
      <c r="CN505" s="1172"/>
      <c r="CO505" s="1172"/>
      <c r="CP505" s="1172"/>
      <c r="CQ505" s="1172"/>
      <c r="CR505" s="1172"/>
      <c r="CS505" s="1172"/>
      <c r="CT505" s="1172"/>
      <c r="CU505" s="1172"/>
      <c r="CV505" s="1172"/>
      <c r="CW505" s="1172"/>
      <c r="CX505" s="1172"/>
      <c r="CY505" s="1172"/>
      <c r="CZ505" s="1172"/>
      <c r="DA505" s="1172"/>
      <c r="DB505" s="1172"/>
      <c r="DC505" s="1172"/>
      <c r="DD505" s="1172"/>
      <c r="DE505" s="1172"/>
      <c r="DF505" s="1172"/>
      <c r="DG505" s="1172"/>
      <c r="DH505" s="1172"/>
      <c r="DI505" s="1172"/>
      <c r="DJ505" s="1172"/>
    </row>
    <row r="506" spans="1:114" s="920" customFormat="1" ht="250.5" hidden="1" customHeight="1">
      <c r="A506" s="916"/>
      <c r="B506" s="917" t="s">
        <v>678</v>
      </c>
      <c r="C506" s="918">
        <f>DATA!X747</f>
        <v>9236.66</v>
      </c>
      <c r="D506" s="898" t="s">
        <v>2142</v>
      </c>
      <c r="E506" s="930"/>
      <c r="F506" s="1053">
        <f t="shared" si="65"/>
        <v>0</v>
      </c>
      <c r="G506" s="919"/>
      <c r="H506" s="914">
        <f t="shared" si="66"/>
        <v>0</v>
      </c>
      <c r="I506" s="919"/>
      <c r="J506" s="914">
        <f t="shared" si="67"/>
        <v>0</v>
      </c>
      <c r="K506" s="919"/>
      <c r="L506" s="914">
        <f t="shared" si="68"/>
        <v>0</v>
      </c>
      <c r="M506" s="919"/>
      <c r="N506" s="914">
        <f t="shared" si="74"/>
        <v>0</v>
      </c>
      <c r="O506" s="914"/>
      <c r="P506" s="914">
        <f t="shared" si="69"/>
        <v>0</v>
      </c>
      <c r="Q506" s="914"/>
      <c r="R506" s="914">
        <f t="shared" si="70"/>
        <v>0</v>
      </c>
      <c r="S506" s="915">
        <f t="shared" si="71"/>
        <v>0</v>
      </c>
      <c r="T506" s="911">
        <f t="shared" si="72"/>
        <v>0</v>
      </c>
      <c r="U506" s="1172"/>
      <c r="V506" s="1172"/>
      <c r="W506" s="1172"/>
      <c r="X506" s="1172"/>
      <c r="Y506" s="1172"/>
      <c r="Z506" s="1172"/>
      <c r="AA506" s="1172"/>
      <c r="AB506" s="1172"/>
      <c r="AC506" s="1172"/>
      <c r="AD506" s="1172"/>
      <c r="AE506" s="1172"/>
      <c r="AF506" s="1172"/>
      <c r="AG506" s="1172"/>
      <c r="AH506" s="1172"/>
      <c r="AI506" s="1172"/>
      <c r="AJ506" s="1172"/>
      <c r="AK506" s="1172"/>
      <c r="AL506" s="1172"/>
      <c r="AM506" s="1172"/>
      <c r="AN506" s="1172"/>
      <c r="AO506" s="1172"/>
      <c r="AP506" s="1172"/>
      <c r="AQ506" s="1172"/>
      <c r="AR506" s="1172"/>
      <c r="AS506" s="1172"/>
      <c r="AT506" s="1172"/>
      <c r="AU506" s="1172"/>
      <c r="AV506" s="1172"/>
      <c r="AW506" s="1172"/>
      <c r="AX506" s="1172"/>
      <c r="AY506" s="1172"/>
      <c r="AZ506" s="1172"/>
      <c r="BA506" s="1172"/>
      <c r="BB506" s="1172"/>
      <c r="BC506" s="1172"/>
      <c r="BD506" s="1172"/>
      <c r="BE506" s="1172"/>
      <c r="BF506" s="1172"/>
      <c r="BG506" s="1172"/>
      <c r="BH506" s="1172"/>
      <c r="BI506" s="1172"/>
      <c r="BJ506" s="1172"/>
      <c r="BK506" s="1172"/>
      <c r="BL506" s="1172"/>
      <c r="BM506" s="1172"/>
      <c r="BN506" s="1172"/>
      <c r="BO506" s="1172"/>
      <c r="BP506" s="1172"/>
      <c r="BQ506" s="1172"/>
      <c r="BR506" s="1172"/>
      <c r="BS506" s="1172"/>
      <c r="BT506" s="1172"/>
      <c r="BU506" s="1172"/>
      <c r="BV506" s="1172"/>
      <c r="BW506" s="1172"/>
      <c r="BX506" s="1172"/>
      <c r="BY506" s="1172"/>
      <c r="BZ506" s="1172"/>
      <c r="CA506" s="1172"/>
      <c r="CB506" s="1172"/>
      <c r="CC506" s="1172"/>
      <c r="CD506" s="1172"/>
      <c r="CE506" s="1172"/>
      <c r="CF506" s="1172"/>
      <c r="CG506" s="1172"/>
      <c r="CH506" s="1172"/>
      <c r="CI506" s="1172"/>
      <c r="CJ506" s="1172"/>
      <c r="CK506" s="1172"/>
      <c r="CL506" s="1172"/>
      <c r="CM506" s="1172"/>
      <c r="CN506" s="1172"/>
      <c r="CO506" s="1172"/>
      <c r="CP506" s="1172"/>
      <c r="CQ506" s="1172"/>
      <c r="CR506" s="1172"/>
      <c r="CS506" s="1172"/>
      <c r="CT506" s="1172"/>
      <c r="CU506" s="1172"/>
      <c r="CV506" s="1172"/>
      <c r="CW506" s="1172"/>
      <c r="CX506" s="1172"/>
      <c r="CY506" s="1172"/>
      <c r="CZ506" s="1172"/>
      <c r="DA506" s="1172"/>
      <c r="DB506" s="1172"/>
      <c r="DC506" s="1172"/>
      <c r="DD506" s="1172"/>
      <c r="DE506" s="1172"/>
      <c r="DF506" s="1172"/>
      <c r="DG506" s="1172"/>
      <c r="DH506" s="1172"/>
      <c r="DI506" s="1172"/>
      <c r="DJ506" s="1172"/>
    </row>
    <row r="507" spans="1:114" s="920" customFormat="1" ht="250.5" hidden="1" customHeight="1">
      <c r="A507" s="916"/>
      <c r="B507" s="917" t="s">
        <v>3995</v>
      </c>
      <c r="C507" s="918">
        <f>DATA!X748</f>
        <v>9472.76</v>
      </c>
      <c r="D507" s="898" t="s">
        <v>2142</v>
      </c>
      <c r="E507" s="930"/>
      <c r="F507" s="1053">
        <f t="shared" si="65"/>
        <v>0</v>
      </c>
      <c r="G507" s="919"/>
      <c r="H507" s="914">
        <f t="shared" si="66"/>
        <v>0</v>
      </c>
      <c r="I507" s="919"/>
      <c r="J507" s="914">
        <f t="shared" si="67"/>
        <v>0</v>
      </c>
      <c r="K507" s="919"/>
      <c r="L507" s="914">
        <f t="shared" si="68"/>
        <v>0</v>
      </c>
      <c r="M507" s="919"/>
      <c r="N507" s="914">
        <f t="shared" si="74"/>
        <v>0</v>
      </c>
      <c r="O507" s="914"/>
      <c r="P507" s="914">
        <f t="shared" si="69"/>
        <v>0</v>
      </c>
      <c r="Q507" s="914"/>
      <c r="R507" s="914">
        <f t="shared" si="70"/>
        <v>0</v>
      </c>
      <c r="S507" s="915">
        <f t="shared" si="71"/>
        <v>0</v>
      </c>
      <c r="T507" s="911">
        <f t="shared" si="72"/>
        <v>0</v>
      </c>
      <c r="U507" s="1172"/>
      <c r="V507" s="1172"/>
      <c r="W507" s="1172"/>
      <c r="X507" s="1172"/>
      <c r="Y507" s="1172"/>
      <c r="Z507" s="1172"/>
      <c r="AA507" s="1172"/>
      <c r="AB507" s="1172"/>
      <c r="AC507" s="1172"/>
      <c r="AD507" s="1172"/>
      <c r="AE507" s="1172"/>
      <c r="AF507" s="1172"/>
      <c r="AG507" s="1172"/>
      <c r="AH507" s="1172"/>
      <c r="AI507" s="1172"/>
      <c r="AJ507" s="1172"/>
      <c r="AK507" s="1172"/>
      <c r="AL507" s="1172"/>
      <c r="AM507" s="1172"/>
      <c r="AN507" s="1172"/>
      <c r="AO507" s="1172"/>
      <c r="AP507" s="1172"/>
      <c r="AQ507" s="1172"/>
      <c r="AR507" s="1172"/>
      <c r="AS507" s="1172"/>
      <c r="AT507" s="1172"/>
      <c r="AU507" s="1172"/>
      <c r="AV507" s="1172"/>
      <c r="AW507" s="1172"/>
      <c r="AX507" s="1172"/>
      <c r="AY507" s="1172"/>
      <c r="AZ507" s="1172"/>
      <c r="BA507" s="1172"/>
      <c r="BB507" s="1172"/>
      <c r="BC507" s="1172"/>
      <c r="BD507" s="1172"/>
      <c r="BE507" s="1172"/>
      <c r="BF507" s="1172"/>
      <c r="BG507" s="1172"/>
      <c r="BH507" s="1172"/>
      <c r="BI507" s="1172"/>
      <c r="BJ507" s="1172"/>
      <c r="BK507" s="1172"/>
      <c r="BL507" s="1172"/>
      <c r="BM507" s="1172"/>
      <c r="BN507" s="1172"/>
      <c r="BO507" s="1172"/>
      <c r="BP507" s="1172"/>
      <c r="BQ507" s="1172"/>
      <c r="BR507" s="1172"/>
      <c r="BS507" s="1172"/>
      <c r="BT507" s="1172"/>
      <c r="BU507" s="1172"/>
      <c r="BV507" s="1172"/>
      <c r="BW507" s="1172"/>
      <c r="BX507" s="1172"/>
      <c r="BY507" s="1172"/>
      <c r="BZ507" s="1172"/>
      <c r="CA507" s="1172"/>
      <c r="CB507" s="1172"/>
      <c r="CC507" s="1172"/>
      <c r="CD507" s="1172"/>
      <c r="CE507" s="1172"/>
      <c r="CF507" s="1172"/>
      <c r="CG507" s="1172"/>
      <c r="CH507" s="1172"/>
      <c r="CI507" s="1172"/>
      <c r="CJ507" s="1172"/>
      <c r="CK507" s="1172"/>
      <c r="CL507" s="1172"/>
      <c r="CM507" s="1172"/>
      <c r="CN507" s="1172"/>
      <c r="CO507" s="1172"/>
      <c r="CP507" s="1172"/>
      <c r="CQ507" s="1172"/>
      <c r="CR507" s="1172"/>
      <c r="CS507" s="1172"/>
      <c r="CT507" s="1172"/>
      <c r="CU507" s="1172"/>
      <c r="CV507" s="1172"/>
      <c r="CW507" s="1172"/>
      <c r="CX507" s="1172"/>
      <c r="CY507" s="1172"/>
      <c r="CZ507" s="1172"/>
      <c r="DA507" s="1172"/>
      <c r="DB507" s="1172"/>
      <c r="DC507" s="1172"/>
      <c r="DD507" s="1172"/>
      <c r="DE507" s="1172"/>
      <c r="DF507" s="1172"/>
      <c r="DG507" s="1172"/>
      <c r="DH507" s="1172"/>
      <c r="DI507" s="1172"/>
      <c r="DJ507" s="1172"/>
    </row>
    <row r="508" spans="1:114" s="920" customFormat="1" ht="250.5" hidden="1" customHeight="1">
      <c r="A508" s="916"/>
      <c r="B508" s="917" t="s">
        <v>4691</v>
      </c>
      <c r="C508" s="918">
        <f>DATA!X749</f>
        <v>9566.9599999999991</v>
      </c>
      <c r="D508" s="898" t="s">
        <v>2142</v>
      </c>
      <c r="E508" s="919"/>
      <c r="F508" s="1053">
        <f t="shared" si="65"/>
        <v>0</v>
      </c>
      <c r="G508" s="919"/>
      <c r="H508" s="914">
        <f t="shared" si="66"/>
        <v>0</v>
      </c>
      <c r="I508" s="919"/>
      <c r="J508" s="914">
        <f t="shared" si="67"/>
        <v>0</v>
      </c>
      <c r="K508" s="919"/>
      <c r="L508" s="914">
        <f t="shared" si="68"/>
        <v>0</v>
      </c>
      <c r="M508" s="919"/>
      <c r="N508" s="914">
        <f t="shared" si="74"/>
        <v>0</v>
      </c>
      <c r="O508" s="914"/>
      <c r="P508" s="914">
        <f t="shared" si="69"/>
        <v>0</v>
      </c>
      <c r="Q508" s="914"/>
      <c r="R508" s="914">
        <f t="shared" si="70"/>
        <v>0</v>
      </c>
      <c r="S508" s="915">
        <f t="shared" si="71"/>
        <v>0</v>
      </c>
      <c r="T508" s="911">
        <f t="shared" si="72"/>
        <v>0</v>
      </c>
      <c r="U508" s="1172"/>
      <c r="V508" s="1172"/>
      <c r="W508" s="1172"/>
      <c r="X508" s="1172"/>
      <c r="Y508" s="1172"/>
      <c r="Z508" s="1172"/>
      <c r="AA508" s="1172"/>
      <c r="AB508" s="1172"/>
      <c r="AC508" s="1172"/>
      <c r="AD508" s="1172"/>
      <c r="AE508" s="1172"/>
      <c r="AF508" s="1172"/>
      <c r="AG508" s="1172"/>
      <c r="AH508" s="1172"/>
      <c r="AI508" s="1172"/>
      <c r="AJ508" s="1172"/>
      <c r="AK508" s="1172"/>
      <c r="AL508" s="1172"/>
      <c r="AM508" s="1172"/>
      <c r="AN508" s="1172"/>
      <c r="AO508" s="1172"/>
      <c r="AP508" s="1172"/>
      <c r="AQ508" s="1172"/>
      <c r="AR508" s="1172"/>
      <c r="AS508" s="1172"/>
      <c r="AT508" s="1172"/>
      <c r="AU508" s="1172"/>
      <c r="AV508" s="1172"/>
      <c r="AW508" s="1172"/>
      <c r="AX508" s="1172"/>
      <c r="AY508" s="1172"/>
      <c r="AZ508" s="1172"/>
      <c r="BA508" s="1172"/>
      <c r="BB508" s="1172"/>
      <c r="BC508" s="1172"/>
      <c r="BD508" s="1172"/>
      <c r="BE508" s="1172"/>
      <c r="BF508" s="1172"/>
      <c r="BG508" s="1172"/>
      <c r="BH508" s="1172"/>
      <c r="BI508" s="1172"/>
      <c r="BJ508" s="1172"/>
      <c r="BK508" s="1172"/>
      <c r="BL508" s="1172"/>
      <c r="BM508" s="1172"/>
      <c r="BN508" s="1172"/>
      <c r="BO508" s="1172"/>
      <c r="BP508" s="1172"/>
      <c r="BQ508" s="1172"/>
      <c r="BR508" s="1172"/>
      <c r="BS508" s="1172"/>
      <c r="BT508" s="1172"/>
      <c r="BU508" s="1172"/>
      <c r="BV508" s="1172"/>
      <c r="BW508" s="1172"/>
      <c r="BX508" s="1172"/>
      <c r="BY508" s="1172"/>
      <c r="BZ508" s="1172"/>
      <c r="CA508" s="1172"/>
      <c r="CB508" s="1172"/>
      <c r="CC508" s="1172"/>
      <c r="CD508" s="1172"/>
      <c r="CE508" s="1172"/>
      <c r="CF508" s="1172"/>
      <c r="CG508" s="1172"/>
      <c r="CH508" s="1172"/>
      <c r="CI508" s="1172"/>
      <c r="CJ508" s="1172"/>
      <c r="CK508" s="1172"/>
      <c r="CL508" s="1172"/>
      <c r="CM508" s="1172"/>
      <c r="CN508" s="1172"/>
      <c r="CO508" s="1172"/>
      <c r="CP508" s="1172"/>
      <c r="CQ508" s="1172"/>
      <c r="CR508" s="1172"/>
      <c r="CS508" s="1172"/>
      <c r="CT508" s="1172"/>
      <c r="CU508" s="1172"/>
      <c r="CV508" s="1172"/>
      <c r="CW508" s="1172"/>
      <c r="CX508" s="1172"/>
      <c r="CY508" s="1172"/>
      <c r="CZ508" s="1172"/>
      <c r="DA508" s="1172"/>
      <c r="DB508" s="1172"/>
      <c r="DC508" s="1172"/>
      <c r="DD508" s="1172"/>
      <c r="DE508" s="1172"/>
      <c r="DF508" s="1172"/>
      <c r="DG508" s="1172"/>
      <c r="DH508" s="1172"/>
      <c r="DI508" s="1172"/>
      <c r="DJ508" s="1172"/>
    </row>
    <row r="509" spans="1:114" ht="201.75" customHeight="1">
      <c r="A509" s="905" t="s">
        <v>3997</v>
      </c>
      <c r="B509" s="1214" t="s">
        <v>3977</v>
      </c>
      <c r="C509" s="913"/>
      <c r="D509" s="908"/>
      <c r="E509" s="911"/>
      <c r="F509" s="1053">
        <f t="shared" si="65"/>
        <v>0</v>
      </c>
      <c r="G509" s="914"/>
      <c r="H509" s="914">
        <f t="shared" si="66"/>
        <v>0</v>
      </c>
      <c r="I509" s="914"/>
      <c r="J509" s="914">
        <f t="shared" si="67"/>
        <v>0</v>
      </c>
      <c r="K509" s="914"/>
      <c r="L509" s="914">
        <f t="shared" si="68"/>
        <v>0</v>
      </c>
      <c r="M509" s="914"/>
      <c r="N509" s="914">
        <f t="shared" si="74"/>
        <v>0</v>
      </c>
      <c r="O509" s="914"/>
      <c r="P509" s="914">
        <f t="shared" si="69"/>
        <v>0</v>
      </c>
      <c r="Q509" s="914"/>
      <c r="R509" s="914">
        <f t="shared" si="70"/>
        <v>0</v>
      </c>
      <c r="S509" s="915">
        <f t="shared" si="71"/>
        <v>0</v>
      </c>
      <c r="T509" s="911">
        <f t="shared" si="72"/>
        <v>0</v>
      </c>
    </row>
    <row r="510" spans="1:114" ht="250.5" customHeight="1">
      <c r="A510" s="905"/>
      <c r="B510" s="906" t="s">
        <v>541</v>
      </c>
      <c r="C510" s="913">
        <f>DATA!X688</f>
        <v>8764.1200000000008</v>
      </c>
      <c r="D510" s="908" t="s">
        <v>2142</v>
      </c>
      <c r="E510" s="914">
        <f>DSP!H1274</f>
        <v>58.4</v>
      </c>
      <c r="F510" s="1053">
        <f t="shared" si="65"/>
        <v>511824.61</v>
      </c>
      <c r="G510" s="914"/>
      <c r="H510" s="914">
        <f t="shared" si="66"/>
        <v>0</v>
      </c>
      <c r="I510" s="914"/>
      <c r="J510" s="914">
        <f t="shared" si="67"/>
        <v>0</v>
      </c>
      <c r="K510" s="914"/>
      <c r="L510" s="914">
        <f t="shared" si="68"/>
        <v>0</v>
      </c>
      <c r="M510" s="914"/>
      <c r="N510" s="914">
        <f t="shared" si="74"/>
        <v>0</v>
      </c>
      <c r="O510" s="914">
        <v>12.28</v>
      </c>
      <c r="P510" s="914">
        <f t="shared" si="69"/>
        <v>107623.39</v>
      </c>
      <c r="Q510" s="914">
        <f>'DEV-2'!U509</f>
        <v>7.96</v>
      </c>
      <c r="R510" s="914">
        <f t="shared" si="70"/>
        <v>69762.399999999994</v>
      </c>
      <c r="S510" s="915">
        <f t="shared" si="71"/>
        <v>78.64</v>
      </c>
      <c r="T510" s="911">
        <f t="shared" si="72"/>
        <v>689210.4</v>
      </c>
    </row>
    <row r="511" spans="1:114" ht="250.5" customHeight="1">
      <c r="A511" s="905"/>
      <c r="B511" s="906" t="s">
        <v>542</v>
      </c>
      <c r="C511" s="913">
        <f>DATA!X690</f>
        <v>8883.9699999999993</v>
      </c>
      <c r="D511" s="908" t="s">
        <v>2142</v>
      </c>
      <c r="E511" s="914">
        <f>DSP!H1369</f>
        <v>39.9</v>
      </c>
      <c r="F511" s="1053">
        <f t="shared" si="65"/>
        <v>354470.40000000002</v>
      </c>
      <c r="G511" s="914"/>
      <c r="H511" s="914">
        <f t="shared" si="66"/>
        <v>0</v>
      </c>
      <c r="I511" s="914"/>
      <c r="J511" s="914">
        <f t="shared" si="67"/>
        <v>0</v>
      </c>
      <c r="K511" s="914"/>
      <c r="L511" s="914">
        <f t="shared" si="68"/>
        <v>0</v>
      </c>
      <c r="M511" s="914"/>
      <c r="N511" s="914">
        <f t="shared" si="74"/>
        <v>0</v>
      </c>
      <c r="O511" s="914">
        <v>0.42</v>
      </c>
      <c r="P511" s="914">
        <f t="shared" si="69"/>
        <v>3731.27</v>
      </c>
      <c r="Q511" s="914"/>
      <c r="R511" s="914">
        <f t="shared" si="70"/>
        <v>0</v>
      </c>
      <c r="S511" s="915">
        <f t="shared" si="71"/>
        <v>40.32</v>
      </c>
      <c r="T511" s="911">
        <f t="shared" si="72"/>
        <v>358201.67</v>
      </c>
    </row>
    <row r="512" spans="1:114" ht="250.5" customHeight="1">
      <c r="A512" s="905"/>
      <c r="B512" s="906" t="s">
        <v>544</v>
      </c>
      <c r="C512" s="913">
        <f>DATA!X691</f>
        <v>9120.07</v>
      </c>
      <c r="D512" s="908" t="s">
        <v>2142</v>
      </c>
      <c r="E512" s="914">
        <f>DSP!H1465</f>
        <v>37.700000000000003</v>
      </c>
      <c r="F512" s="1053">
        <f t="shared" si="65"/>
        <v>343826.64</v>
      </c>
      <c r="G512" s="914"/>
      <c r="H512" s="914">
        <f t="shared" si="66"/>
        <v>0</v>
      </c>
      <c r="I512" s="914"/>
      <c r="J512" s="914">
        <f t="shared" si="67"/>
        <v>0</v>
      </c>
      <c r="K512" s="914"/>
      <c r="L512" s="914">
        <f t="shared" si="68"/>
        <v>0</v>
      </c>
      <c r="M512" s="914"/>
      <c r="N512" s="914">
        <f t="shared" si="74"/>
        <v>0</v>
      </c>
      <c r="O512" s="914"/>
      <c r="P512" s="914">
        <f t="shared" si="69"/>
        <v>0</v>
      </c>
      <c r="Q512" s="914"/>
      <c r="R512" s="914">
        <f t="shared" si="70"/>
        <v>0</v>
      </c>
      <c r="S512" s="915">
        <f t="shared" si="71"/>
        <v>37.700000000000003</v>
      </c>
      <c r="T512" s="911">
        <f t="shared" si="72"/>
        <v>343826.64</v>
      </c>
    </row>
    <row r="513" spans="1:20" ht="250.5" customHeight="1">
      <c r="A513" s="905"/>
      <c r="B513" s="906" t="s">
        <v>1798</v>
      </c>
      <c r="C513" s="913">
        <f>DATA!X692</f>
        <v>9356.17</v>
      </c>
      <c r="D513" s="908" t="s">
        <v>2142</v>
      </c>
      <c r="E513" s="914">
        <f>DSP!H1492</f>
        <v>6.7</v>
      </c>
      <c r="F513" s="1053">
        <f t="shared" si="65"/>
        <v>62686.34</v>
      </c>
      <c r="G513" s="914">
        <v>3.3</v>
      </c>
      <c r="H513" s="914">
        <f t="shared" si="66"/>
        <v>30875.360000000001</v>
      </c>
      <c r="I513" s="914"/>
      <c r="J513" s="914">
        <f t="shared" si="67"/>
        <v>0</v>
      </c>
      <c r="K513" s="914"/>
      <c r="L513" s="914">
        <f t="shared" si="68"/>
        <v>0</v>
      </c>
      <c r="M513" s="914"/>
      <c r="N513" s="914">
        <f t="shared" si="74"/>
        <v>0</v>
      </c>
      <c r="O513" s="914"/>
      <c r="P513" s="914">
        <f t="shared" si="69"/>
        <v>0</v>
      </c>
      <c r="Q513" s="914"/>
      <c r="R513" s="914">
        <f t="shared" si="70"/>
        <v>0</v>
      </c>
      <c r="S513" s="915">
        <f t="shared" si="71"/>
        <v>10</v>
      </c>
      <c r="T513" s="911">
        <f t="shared" si="72"/>
        <v>93561.7</v>
      </c>
    </row>
    <row r="514" spans="1:20" ht="250.5" customHeight="1">
      <c r="A514" s="905"/>
      <c r="B514" s="906" t="s">
        <v>678</v>
      </c>
      <c r="C514" s="913">
        <f>DATA!X693</f>
        <v>9592.27</v>
      </c>
      <c r="D514" s="908" t="s">
        <v>2142</v>
      </c>
      <c r="E514" s="919"/>
      <c r="F514" s="1053">
        <f t="shared" si="65"/>
        <v>0</v>
      </c>
      <c r="G514" s="919"/>
      <c r="H514" s="914">
        <f t="shared" si="66"/>
        <v>0</v>
      </c>
      <c r="I514" s="919"/>
      <c r="J514" s="914">
        <f t="shared" si="67"/>
        <v>0</v>
      </c>
      <c r="K514" s="919"/>
      <c r="L514" s="914">
        <f t="shared" si="68"/>
        <v>0</v>
      </c>
      <c r="M514" s="919"/>
      <c r="N514" s="914">
        <f t="shared" si="74"/>
        <v>0</v>
      </c>
      <c r="O514" s="914"/>
      <c r="P514" s="914">
        <f t="shared" si="69"/>
        <v>0</v>
      </c>
      <c r="Q514" s="914"/>
      <c r="R514" s="914">
        <f t="shared" si="70"/>
        <v>0</v>
      </c>
      <c r="S514" s="915">
        <f t="shared" si="71"/>
        <v>0</v>
      </c>
      <c r="T514" s="911">
        <f t="shared" si="72"/>
        <v>0</v>
      </c>
    </row>
    <row r="515" spans="1:20" ht="250.5" hidden="1" customHeight="1">
      <c r="A515" s="905"/>
      <c r="B515" s="953" t="s">
        <v>3544</v>
      </c>
      <c r="C515" s="921"/>
      <c r="D515" s="908"/>
      <c r="E515" s="919"/>
      <c r="F515" s="1053">
        <f t="shared" si="65"/>
        <v>0</v>
      </c>
      <c r="G515" s="919"/>
      <c r="H515" s="914">
        <f t="shared" si="66"/>
        <v>0</v>
      </c>
      <c r="I515" s="919"/>
      <c r="J515" s="914">
        <f t="shared" si="67"/>
        <v>0</v>
      </c>
      <c r="K515" s="919"/>
      <c r="L515" s="914">
        <f t="shared" si="68"/>
        <v>0</v>
      </c>
      <c r="M515" s="919"/>
      <c r="N515" s="914">
        <f t="shared" si="74"/>
        <v>0</v>
      </c>
      <c r="O515" s="914"/>
      <c r="P515" s="914">
        <f t="shared" si="69"/>
        <v>0</v>
      </c>
      <c r="Q515" s="914"/>
      <c r="R515" s="914">
        <f t="shared" si="70"/>
        <v>0</v>
      </c>
      <c r="S515" s="915">
        <f t="shared" si="71"/>
        <v>0</v>
      </c>
      <c r="T515" s="911">
        <f t="shared" si="72"/>
        <v>0</v>
      </c>
    </row>
    <row r="516" spans="1:20" ht="250.5" hidden="1" customHeight="1">
      <c r="A516" s="905"/>
      <c r="B516" s="931" t="s">
        <v>2119</v>
      </c>
      <c r="C516" s="921">
        <f>DATA!R1183</f>
        <v>8589.74</v>
      </c>
      <c r="D516" s="908" t="s">
        <v>2142</v>
      </c>
      <c r="E516" s="919"/>
      <c r="F516" s="1053">
        <f t="shared" si="65"/>
        <v>0</v>
      </c>
      <c r="G516" s="919"/>
      <c r="H516" s="914">
        <f t="shared" si="66"/>
        <v>0</v>
      </c>
      <c r="I516" s="919"/>
      <c r="J516" s="914">
        <f t="shared" si="67"/>
        <v>0</v>
      </c>
      <c r="K516" s="919"/>
      <c r="L516" s="914">
        <f t="shared" si="68"/>
        <v>0</v>
      </c>
      <c r="M516" s="919"/>
      <c r="N516" s="914">
        <f t="shared" si="74"/>
        <v>0</v>
      </c>
      <c r="O516" s="914"/>
      <c r="P516" s="914">
        <f t="shared" si="69"/>
        <v>0</v>
      </c>
      <c r="Q516" s="914"/>
      <c r="R516" s="914">
        <f t="shared" si="70"/>
        <v>0</v>
      </c>
      <c r="S516" s="915">
        <f t="shared" si="71"/>
        <v>0</v>
      </c>
      <c r="T516" s="911">
        <f t="shared" si="72"/>
        <v>0</v>
      </c>
    </row>
    <row r="517" spans="1:20" ht="250.5" hidden="1" customHeight="1">
      <c r="A517" s="905"/>
      <c r="B517" s="931" t="s">
        <v>3545</v>
      </c>
      <c r="C517" s="921">
        <f>DATA!R1184</f>
        <v>8709.59</v>
      </c>
      <c r="D517" s="908" t="s">
        <v>2142</v>
      </c>
      <c r="E517" s="919"/>
      <c r="F517" s="1053">
        <f t="shared" si="65"/>
        <v>0</v>
      </c>
      <c r="G517" s="919"/>
      <c r="H517" s="914">
        <f t="shared" si="66"/>
        <v>0</v>
      </c>
      <c r="I517" s="919"/>
      <c r="J517" s="914">
        <f t="shared" si="67"/>
        <v>0</v>
      </c>
      <c r="K517" s="919"/>
      <c r="L517" s="914">
        <f t="shared" si="68"/>
        <v>0</v>
      </c>
      <c r="M517" s="919"/>
      <c r="N517" s="914">
        <f t="shared" si="74"/>
        <v>0</v>
      </c>
      <c r="O517" s="914"/>
      <c r="P517" s="914">
        <f t="shared" si="69"/>
        <v>0</v>
      </c>
      <c r="Q517" s="914"/>
      <c r="R517" s="914">
        <f t="shared" si="70"/>
        <v>0</v>
      </c>
      <c r="S517" s="915">
        <f t="shared" si="71"/>
        <v>0</v>
      </c>
      <c r="T517" s="911">
        <f t="shared" si="72"/>
        <v>0</v>
      </c>
    </row>
    <row r="518" spans="1:20" ht="250.5" hidden="1" customHeight="1">
      <c r="A518" s="905"/>
      <c r="B518" s="924" t="s">
        <v>3546</v>
      </c>
      <c r="C518" s="921"/>
      <c r="D518" s="908"/>
      <c r="E518" s="919"/>
      <c r="F518" s="1053">
        <f t="shared" si="65"/>
        <v>0</v>
      </c>
      <c r="G518" s="919"/>
      <c r="H518" s="914">
        <f t="shared" si="66"/>
        <v>0</v>
      </c>
      <c r="I518" s="919"/>
      <c r="J518" s="914">
        <f t="shared" si="67"/>
        <v>0</v>
      </c>
      <c r="K518" s="919"/>
      <c r="L518" s="914">
        <f t="shared" si="68"/>
        <v>0</v>
      </c>
      <c r="M518" s="919"/>
      <c r="N518" s="914">
        <f t="shared" si="74"/>
        <v>0</v>
      </c>
      <c r="O518" s="914"/>
      <c r="P518" s="914">
        <f t="shared" si="69"/>
        <v>0</v>
      </c>
      <c r="Q518" s="914"/>
      <c r="R518" s="914">
        <f t="shared" si="70"/>
        <v>0</v>
      </c>
      <c r="S518" s="915">
        <f t="shared" si="71"/>
        <v>0</v>
      </c>
      <c r="T518" s="911">
        <f t="shared" si="72"/>
        <v>0</v>
      </c>
    </row>
    <row r="519" spans="1:20" ht="250.5" hidden="1" customHeight="1">
      <c r="A519" s="905"/>
      <c r="B519" s="906" t="s">
        <v>541</v>
      </c>
      <c r="C519" s="921">
        <f>DATA!R1156</f>
        <v>8517.94</v>
      </c>
      <c r="D519" s="908" t="s">
        <v>1192</v>
      </c>
      <c r="E519" s="919"/>
      <c r="F519" s="1053">
        <f t="shared" si="65"/>
        <v>0</v>
      </c>
      <c r="G519" s="919"/>
      <c r="H519" s="914">
        <f t="shared" si="66"/>
        <v>0</v>
      </c>
      <c r="I519" s="919"/>
      <c r="J519" s="914">
        <f t="shared" si="67"/>
        <v>0</v>
      </c>
      <c r="K519" s="919"/>
      <c r="L519" s="914">
        <f t="shared" si="68"/>
        <v>0</v>
      </c>
      <c r="M519" s="919"/>
      <c r="N519" s="914">
        <f t="shared" si="74"/>
        <v>0</v>
      </c>
      <c r="O519" s="914"/>
      <c r="P519" s="914">
        <f t="shared" ref="P519:P581" si="75">O519*C519</f>
        <v>0</v>
      </c>
      <c r="Q519" s="914"/>
      <c r="R519" s="914">
        <f t="shared" si="70"/>
        <v>0</v>
      </c>
      <c r="S519" s="915">
        <f t="shared" si="71"/>
        <v>0</v>
      </c>
      <c r="T519" s="911">
        <f t="shared" si="72"/>
        <v>0</v>
      </c>
    </row>
    <row r="520" spans="1:20" ht="250.5" hidden="1" customHeight="1">
      <c r="A520" s="905"/>
      <c r="B520" s="906" t="s">
        <v>3587</v>
      </c>
      <c r="C520" s="921">
        <f>DATA!R1158</f>
        <v>8637.7900000000009</v>
      </c>
      <c r="D520" s="908" t="s">
        <v>1192</v>
      </c>
      <c r="E520" s="919"/>
      <c r="F520" s="1053">
        <f t="shared" si="65"/>
        <v>0</v>
      </c>
      <c r="G520" s="919"/>
      <c r="H520" s="914">
        <f t="shared" si="66"/>
        <v>0</v>
      </c>
      <c r="I520" s="919"/>
      <c r="J520" s="914">
        <f t="shared" si="67"/>
        <v>0</v>
      </c>
      <c r="K520" s="919"/>
      <c r="L520" s="914">
        <f t="shared" si="68"/>
        <v>0</v>
      </c>
      <c r="M520" s="919"/>
      <c r="N520" s="914">
        <f t="shared" si="74"/>
        <v>0</v>
      </c>
      <c r="O520" s="914"/>
      <c r="P520" s="914">
        <f t="shared" si="75"/>
        <v>0</v>
      </c>
      <c r="Q520" s="914"/>
      <c r="R520" s="914">
        <f t="shared" ref="R520:R582" si="76">Q520*C520</f>
        <v>0</v>
      </c>
      <c r="S520" s="915">
        <f t="shared" ref="S520:S582" si="77">G520+I520+K520+M520+E520+O520+Q520</f>
        <v>0</v>
      </c>
      <c r="T520" s="911">
        <f t="shared" ref="T520:T582" si="78">S520*C520</f>
        <v>0</v>
      </c>
    </row>
    <row r="521" spans="1:20" ht="250.5" hidden="1" customHeight="1">
      <c r="A521" s="905"/>
      <c r="B521" s="906" t="s">
        <v>544</v>
      </c>
      <c r="C521" s="921">
        <f>DATA!R1159</f>
        <v>8873.89</v>
      </c>
      <c r="D521" s="908" t="s">
        <v>1192</v>
      </c>
      <c r="E521" s="919"/>
      <c r="F521" s="1053">
        <f t="shared" si="65"/>
        <v>0</v>
      </c>
      <c r="G521" s="919"/>
      <c r="H521" s="914">
        <f t="shared" si="66"/>
        <v>0</v>
      </c>
      <c r="I521" s="919"/>
      <c r="J521" s="914">
        <f t="shared" si="67"/>
        <v>0</v>
      </c>
      <c r="K521" s="919"/>
      <c r="L521" s="914">
        <f t="shared" si="68"/>
        <v>0</v>
      </c>
      <c r="M521" s="919"/>
      <c r="N521" s="914">
        <f t="shared" si="74"/>
        <v>0</v>
      </c>
      <c r="O521" s="914"/>
      <c r="P521" s="914">
        <f t="shared" si="75"/>
        <v>0</v>
      </c>
      <c r="Q521" s="914"/>
      <c r="R521" s="914">
        <f t="shared" si="76"/>
        <v>0</v>
      </c>
      <c r="S521" s="915">
        <f t="shared" si="77"/>
        <v>0</v>
      </c>
      <c r="T521" s="911">
        <f t="shared" si="78"/>
        <v>0</v>
      </c>
    </row>
    <row r="522" spans="1:20" ht="250.5" hidden="1" customHeight="1">
      <c r="A522" s="905"/>
      <c r="B522" s="906" t="s">
        <v>1798</v>
      </c>
      <c r="C522" s="921">
        <f>DATA!R1160</f>
        <v>9109.99</v>
      </c>
      <c r="D522" s="908" t="s">
        <v>1192</v>
      </c>
      <c r="E522" s="919"/>
      <c r="F522" s="1053">
        <f t="shared" si="65"/>
        <v>0</v>
      </c>
      <c r="G522" s="919"/>
      <c r="H522" s="914">
        <f t="shared" si="66"/>
        <v>0</v>
      </c>
      <c r="I522" s="919"/>
      <c r="J522" s="914">
        <f t="shared" si="67"/>
        <v>0</v>
      </c>
      <c r="K522" s="919"/>
      <c r="L522" s="914">
        <f t="shared" si="68"/>
        <v>0</v>
      </c>
      <c r="M522" s="919"/>
      <c r="N522" s="914">
        <f t="shared" si="74"/>
        <v>0</v>
      </c>
      <c r="O522" s="914"/>
      <c r="P522" s="914">
        <f t="shared" si="75"/>
        <v>0</v>
      </c>
      <c r="Q522" s="914"/>
      <c r="R522" s="914">
        <f t="shared" si="76"/>
        <v>0</v>
      </c>
      <c r="S522" s="915">
        <f t="shared" si="77"/>
        <v>0</v>
      </c>
      <c r="T522" s="911">
        <f t="shared" si="78"/>
        <v>0</v>
      </c>
    </row>
    <row r="523" spans="1:20" ht="250.5" hidden="1" customHeight="1">
      <c r="A523" s="905"/>
      <c r="B523" s="906" t="s">
        <v>678</v>
      </c>
      <c r="C523" s="921">
        <f>DATA!R1161</f>
        <v>9346.09</v>
      </c>
      <c r="D523" s="908" t="s">
        <v>1192</v>
      </c>
      <c r="E523" s="919"/>
      <c r="F523" s="1053">
        <f t="shared" si="65"/>
        <v>0</v>
      </c>
      <c r="G523" s="919"/>
      <c r="H523" s="914">
        <f t="shared" si="66"/>
        <v>0</v>
      </c>
      <c r="I523" s="919"/>
      <c r="J523" s="914">
        <f t="shared" si="67"/>
        <v>0</v>
      </c>
      <c r="K523" s="919"/>
      <c r="L523" s="914">
        <f t="shared" si="68"/>
        <v>0</v>
      </c>
      <c r="M523" s="919"/>
      <c r="N523" s="914">
        <f t="shared" si="74"/>
        <v>0</v>
      </c>
      <c r="O523" s="914"/>
      <c r="P523" s="914">
        <f t="shared" si="75"/>
        <v>0</v>
      </c>
      <c r="Q523" s="914"/>
      <c r="R523" s="914">
        <f t="shared" si="76"/>
        <v>0</v>
      </c>
      <c r="S523" s="915">
        <f t="shared" si="77"/>
        <v>0</v>
      </c>
      <c r="T523" s="911">
        <f t="shared" si="78"/>
        <v>0</v>
      </c>
    </row>
    <row r="524" spans="1:20" ht="250.5" hidden="1" customHeight="1">
      <c r="A524" s="905"/>
      <c r="B524" s="906" t="s">
        <v>1060</v>
      </c>
      <c r="C524" s="921">
        <f>DATA!R1162</f>
        <v>9582.19</v>
      </c>
      <c r="D524" s="908" t="s">
        <v>1192</v>
      </c>
      <c r="E524" s="919"/>
      <c r="F524" s="1053">
        <f t="shared" ref="F524:F586" si="79">E524*C524</f>
        <v>0</v>
      </c>
      <c r="G524" s="919"/>
      <c r="H524" s="914">
        <f t="shared" ref="H524:H586" si="80">G524*C524</f>
        <v>0</v>
      </c>
      <c r="I524" s="919"/>
      <c r="J524" s="914">
        <f t="shared" ref="J524:J586" si="81">I524*C524</f>
        <v>0</v>
      </c>
      <c r="K524" s="919"/>
      <c r="L524" s="914">
        <f t="shared" ref="L524:L586" si="82">K524*C524</f>
        <v>0</v>
      </c>
      <c r="M524" s="919"/>
      <c r="N524" s="914">
        <f t="shared" si="74"/>
        <v>0</v>
      </c>
      <c r="O524" s="914"/>
      <c r="P524" s="914">
        <f t="shared" si="75"/>
        <v>0</v>
      </c>
      <c r="Q524" s="914"/>
      <c r="R524" s="914">
        <f t="shared" si="76"/>
        <v>0</v>
      </c>
      <c r="S524" s="915">
        <f t="shared" si="77"/>
        <v>0</v>
      </c>
      <c r="T524" s="911">
        <f t="shared" si="78"/>
        <v>0</v>
      </c>
    </row>
    <row r="525" spans="1:20" ht="250.5" hidden="1" customHeight="1">
      <c r="A525" s="905"/>
      <c r="B525" s="906" t="s">
        <v>3547</v>
      </c>
      <c r="C525" s="921">
        <f>DATA!R1163</f>
        <v>9818.2900000000009</v>
      </c>
      <c r="D525" s="908" t="s">
        <v>1192</v>
      </c>
      <c r="E525" s="919"/>
      <c r="F525" s="1053">
        <f t="shared" si="79"/>
        <v>0</v>
      </c>
      <c r="G525" s="919"/>
      <c r="H525" s="914">
        <f t="shared" si="80"/>
        <v>0</v>
      </c>
      <c r="I525" s="919"/>
      <c r="J525" s="914">
        <f t="shared" si="81"/>
        <v>0</v>
      </c>
      <c r="K525" s="919"/>
      <c r="L525" s="914">
        <f t="shared" si="82"/>
        <v>0</v>
      </c>
      <c r="M525" s="919"/>
      <c r="N525" s="914">
        <f t="shared" si="74"/>
        <v>0</v>
      </c>
      <c r="O525" s="914"/>
      <c r="P525" s="914">
        <f t="shared" si="75"/>
        <v>0</v>
      </c>
      <c r="Q525" s="914"/>
      <c r="R525" s="914">
        <f t="shared" si="76"/>
        <v>0</v>
      </c>
      <c r="S525" s="915">
        <f t="shared" si="77"/>
        <v>0</v>
      </c>
      <c r="T525" s="911">
        <f t="shared" si="78"/>
        <v>0</v>
      </c>
    </row>
    <row r="526" spans="1:20" ht="250.5" hidden="1" customHeight="1">
      <c r="A526" s="905"/>
      <c r="B526" s="906" t="s">
        <v>3591</v>
      </c>
      <c r="C526" s="921">
        <f>DATA!R1164</f>
        <v>10054.39</v>
      </c>
      <c r="D526" s="908" t="s">
        <v>1192</v>
      </c>
      <c r="E526" s="919"/>
      <c r="F526" s="1053">
        <f t="shared" si="79"/>
        <v>0</v>
      </c>
      <c r="G526" s="919"/>
      <c r="H526" s="914">
        <f t="shared" si="80"/>
        <v>0</v>
      </c>
      <c r="I526" s="919"/>
      <c r="J526" s="914">
        <f t="shared" si="81"/>
        <v>0</v>
      </c>
      <c r="K526" s="919"/>
      <c r="L526" s="914">
        <f t="shared" si="82"/>
        <v>0</v>
      </c>
      <c r="M526" s="919"/>
      <c r="N526" s="914">
        <f t="shared" si="74"/>
        <v>0</v>
      </c>
      <c r="O526" s="914"/>
      <c r="P526" s="914">
        <f t="shared" si="75"/>
        <v>0</v>
      </c>
      <c r="Q526" s="914"/>
      <c r="R526" s="914">
        <f t="shared" si="76"/>
        <v>0</v>
      </c>
      <c r="S526" s="915">
        <f t="shared" si="77"/>
        <v>0</v>
      </c>
      <c r="T526" s="911">
        <f t="shared" si="78"/>
        <v>0</v>
      </c>
    </row>
    <row r="527" spans="1:20" ht="250.5" hidden="1" customHeight="1">
      <c r="A527" s="905"/>
      <c r="B527" s="906" t="s">
        <v>3548</v>
      </c>
      <c r="C527" s="921">
        <f>DATA!R1165</f>
        <v>10290.49</v>
      </c>
      <c r="D527" s="908" t="s">
        <v>1192</v>
      </c>
      <c r="E527" s="919"/>
      <c r="F527" s="1053">
        <f t="shared" si="79"/>
        <v>0</v>
      </c>
      <c r="G527" s="919"/>
      <c r="H527" s="914">
        <f t="shared" si="80"/>
        <v>0</v>
      </c>
      <c r="I527" s="919"/>
      <c r="J527" s="914">
        <f t="shared" si="81"/>
        <v>0</v>
      </c>
      <c r="K527" s="919"/>
      <c r="L527" s="914">
        <f t="shared" si="82"/>
        <v>0</v>
      </c>
      <c r="M527" s="919"/>
      <c r="N527" s="914">
        <f t="shared" si="74"/>
        <v>0</v>
      </c>
      <c r="O527" s="914"/>
      <c r="P527" s="914">
        <f t="shared" si="75"/>
        <v>0</v>
      </c>
      <c r="Q527" s="914"/>
      <c r="R527" s="914">
        <f t="shared" si="76"/>
        <v>0</v>
      </c>
      <c r="S527" s="915">
        <f t="shared" si="77"/>
        <v>0</v>
      </c>
      <c r="T527" s="911">
        <f t="shared" si="78"/>
        <v>0</v>
      </c>
    </row>
    <row r="528" spans="1:20" ht="250.5" hidden="1" customHeight="1">
      <c r="A528" s="905"/>
      <c r="B528" s="931" t="s">
        <v>3549</v>
      </c>
      <c r="C528" s="921">
        <f>DATA!R1166</f>
        <v>10526.59</v>
      </c>
      <c r="D528" s="908" t="s">
        <v>1192</v>
      </c>
      <c r="E528" s="919"/>
      <c r="F528" s="1053">
        <f t="shared" si="79"/>
        <v>0</v>
      </c>
      <c r="G528" s="919"/>
      <c r="H528" s="914">
        <f t="shared" si="80"/>
        <v>0</v>
      </c>
      <c r="I528" s="919"/>
      <c r="J528" s="914">
        <f t="shared" si="81"/>
        <v>0</v>
      </c>
      <c r="K528" s="919"/>
      <c r="L528" s="914">
        <f t="shared" si="82"/>
        <v>0</v>
      </c>
      <c r="M528" s="919"/>
      <c r="N528" s="914">
        <f t="shared" si="74"/>
        <v>0</v>
      </c>
      <c r="O528" s="914"/>
      <c r="P528" s="914">
        <f t="shared" si="75"/>
        <v>0</v>
      </c>
      <c r="Q528" s="914"/>
      <c r="R528" s="914">
        <f t="shared" si="76"/>
        <v>0</v>
      </c>
      <c r="S528" s="915">
        <f t="shared" si="77"/>
        <v>0</v>
      </c>
      <c r="T528" s="911">
        <f t="shared" si="78"/>
        <v>0</v>
      </c>
    </row>
    <row r="529" spans="1:20" ht="250.5" hidden="1" customHeight="1">
      <c r="A529" s="905"/>
      <c r="B529" s="931" t="s">
        <v>3550</v>
      </c>
      <c r="C529" s="921">
        <f>DATA!R1167</f>
        <v>10762.69</v>
      </c>
      <c r="D529" s="908" t="s">
        <v>1192</v>
      </c>
      <c r="E529" s="919"/>
      <c r="F529" s="1053">
        <f t="shared" si="79"/>
        <v>0</v>
      </c>
      <c r="G529" s="919"/>
      <c r="H529" s="914">
        <f t="shared" si="80"/>
        <v>0</v>
      </c>
      <c r="I529" s="919"/>
      <c r="J529" s="914">
        <f t="shared" si="81"/>
        <v>0</v>
      </c>
      <c r="K529" s="919"/>
      <c r="L529" s="914">
        <f t="shared" si="82"/>
        <v>0</v>
      </c>
      <c r="M529" s="919"/>
      <c r="N529" s="914">
        <f t="shared" si="74"/>
        <v>0</v>
      </c>
      <c r="O529" s="914"/>
      <c r="P529" s="914">
        <f t="shared" si="75"/>
        <v>0</v>
      </c>
      <c r="Q529" s="914"/>
      <c r="R529" s="914">
        <f t="shared" si="76"/>
        <v>0</v>
      </c>
      <c r="S529" s="915">
        <f t="shared" si="77"/>
        <v>0</v>
      </c>
      <c r="T529" s="911">
        <f t="shared" si="78"/>
        <v>0</v>
      </c>
    </row>
    <row r="530" spans="1:20" ht="250.5" hidden="1" customHeight="1">
      <c r="A530" s="905"/>
      <c r="B530" s="931" t="s">
        <v>3551</v>
      </c>
      <c r="C530" s="921">
        <f>DATA!R1168</f>
        <v>10998.79</v>
      </c>
      <c r="D530" s="908" t="s">
        <v>1192</v>
      </c>
      <c r="E530" s="919"/>
      <c r="F530" s="1053">
        <f t="shared" si="79"/>
        <v>0</v>
      </c>
      <c r="G530" s="919"/>
      <c r="H530" s="914">
        <f t="shared" si="80"/>
        <v>0</v>
      </c>
      <c r="I530" s="919"/>
      <c r="J530" s="914">
        <f t="shared" si="81"/>
        <v>0</v>
      </c>
      <c r="K530" s="919"/>
      <c r="L530" s="914">
        <f t="shared" si="82"/>
        <v>0</v>
      </c>
      <c r="M530" s="919"/>
      <c r="N530" s="914">
        <f t="shared" si="74"/>
        <v>0</v>
      </c>
      <c r="O530" s="914"/>
      <c r="P530" s="914">
        <f t="shared" si="75"/>
        <v>0</v>
      </c>
      <c r="Q530" s="914"/>
      <c r="R530" s="914">
        <f t="shared" si="76"/>
        <v>0</v>
      </c>
      <c r="S530" s="915">
        <f t="shared" si="77"/>
        <v>0</v>
      </c>
      <c r="T530" s="911">
        <f t="shared" si="78"/>
        <v>0</v>
      </c>
    </row>
    <row r="531" spans="1:20" ht="250.5" hidden="1" customHeight="1">
      <c r="A531" s="905"/>
      <c r="B531" s="906" t="s">
        <v>3767</v>
      </c>
      <c r="C531" s="921">
        <f>DATA!R1169</f>
        <v>11234.89</v>
      </c>
      <c r="D531" s="908" t="s">
        <v>1192</v>
      </c>
      <c r="E531" s="919"/>
      <c r="F531" s="1053">
        <f t="shared" si="79"/>
        <v>0</v>
      </c>
      <c r="G531" s="919"/>
      <c r="H531" s="914">
        <f t="shared" si="80"/>
        <v>0</v>
      </c>
      <c r="I531" s="919"/>
      <c r="J531" s="914">
        <f t="shared" si="81"/>
        <v>0</v>
      </c>
      <c r="K531" s="919"/>
      <c r="L531" s="914">
        <f t="shared" si="82"/>
        <v>0</v>
      </c>
      <c r="M531" s="919"/>
      <c r="N531" s="914">
        <f t="shared" si="74"/>
        <v>0</v>
      </c>
      <c r="O531" s="914"/>
      <c r="P531" s="914">
        <f t="shared" si="75"/>
        <v>0</v>
      </c>
      <c r="Q531" s="914"/>
      <c r="R531" s="914">
        <f t="shared" si="76"/>
        <v>0</v>
      </c>
      <c r="S531" s="915">
        <f t="shared" si="77"/>
        <v>0</v>
      </c>
      <c r="T531" s="911">
        <f t="shared" si="78"/>
        <v>0</v>
      </c>
    </row>
    <row r="532" spans="1:20" ht="250.5" hidden="1" customHeight="1">
      <c r="A532" s="905"/>
      <c r="B532" s="906" t="s">
        <v>3768</v>
      </c>
      <c r="C532" s="921">
        <f>DATA!R1170</f>
        <v>11470.99</v>
      </c>
      <c r="D532" s="908" t="s">
        <v>1192</v>
      </c>
      <c r="E532" s="919"/>
      <c r="F532" s="1053">
        <f t="shared" si="79"/>
        <v>0</v>
      </c>
      <c r="G532" s="919"/>
      <c r="H532" s="914">
        <f t="shared" si="80"/>
        <v>0</v>
      </c>
      <c r="I532" s="919"/>
      <c r="J532" s="914">
        <f t="shared" si="81"/>
        <v>0</v>
      </c>
      <c r="K532" s="919"/>
      <c r="L532" s="914">
        <f t="shared" si="82"/>
        <v>0</v>
      </c>
      <c r="M532" s="919"/>
      <c r="N532" s="914">
        <f t="shared" si="74"/>
        <v>0</v>
      </c>
      <c r="O532" s="914"/>
      <c r="P532" s="914">
        <f t="shared" si="75"/>
        <v>0</v>
      </c>
      <c r="Q532" s="914"/>
      <c r="R532" s="914">
        <f t="shared" si="76"/>
        <v>0</v>
      </c>
      <c r="S532" s="915">
        <f t="shared" si="77"/>
        <v>0</v>
      </c>
      <c r="T532" s="911">
        <f t="shared" si="78"/>
        <v>0</v>
      </c>
    </row>
    <row r="533" spans="1:20" ht="250.5" hidden="1" customHeight="1">
      <c r="A533" s="905"/>
      <c r="B533" s="906" t="s">
        <v>3772</v>
      </c>
      <c r="C533" s="921">
        <f>DATA!R1171</f>
        <v>11707.09</v>
      </c>
      <c r="D533" s="908" t="s">
        <v>1192</v>
      </c>
      <c r="E533" s="919"/>
      <c r="F533" s="1053">
        <f t="shared" si="79"/>
        <v>0</v>
      </c>
      <c r="G533" s="919"/>
      <c r="H533" s="914">
        <f t="shared" si="80"/>
        <v>0</v>
      </c>
      <c r="I533" s="919"/>
      <c r="J533" s="914">
        <f t="shared" si="81"/>
        <v>0</v>
      </c>
      <c r="K533" s="919"/>
      <c r="L533" s="914">
        <f t="shared" si="82"/>
        <v>0</v>
      </c>
      <c r="M533" s="919"/>
      <c r="N533" s="914">
        <f t="shared" si="74"/>
        <v>0</v>
      </c>
      <c r="O533" s="914"/>
      <c r="P533" s="914">
        <f t="shared" si="75"/>
        <v>0</v>
      </c>
      <c r="Q533" s="914"/>
      <c r="R533" s="914">
        <f t="shared" si="76"/>
        <v>0</v>
      </c>
      <c r="S533" s="915">
        <f t="shared" si="77"/>
        <v>0</v>
      </c>
      <c r="T533" s="911">
        <f t="shared" si="78"/>
        <v>0</v>
      </c>
    </row>
    <row r="534" spans="1:20" ht="250.5" customHeight="1">
      <c r="A534" s="905">
        <v>6.2</v>
      </c>
      <c r="B534" s="924" t="s">
        <v>6636</v>
      </c>
      <c r="C534" s="1180">
        <f>DATA!AS73</f>
        <v>7053.64</v>
      </c>
      <c r="D534" s="908" t="s">
        <v>1192</v>
      </c>
      <c r="E534" s="914">
        <f>DSP!H189</f>
        <v>40.200000000000003</v>
      </c>
      <c r="F534" s="1053">
        <f t="shared" si="79"/>
        <v>283556.33</v>
      </c>
      <c r="G534" s="914"/>
      <c r="H534" s="914">
        <f t="shared" si="80"/>
        <v>0</v>
      </c>
      <c r="I534" s="914"/>
      <c r="J534" s="914">
        <f t="shared" si="81"/>
        <v>0</v>
      </c>
      <c r="K534" s="914"/>
      <c r="L534" s="914">
        <f t="shared" si="82"/>
        <v>0</v>
      </c>
      <c r="M534" s="914">
        <v>3.28</v>
      </c>
      <c r="N534" s="914">
        <f t="shared" si="74"/>
        <v>23135.94</v>
      </c>
      <c r="O534" s="914">
        <v>6.51</v>
      </c>
      <c r="P534" s="914">
        <f t="shared" si="75"/>
        <v>45919.199999999997</v>
      </c>
      <c r="Q534" s="914">
        <f>'DEV-2'!U533</f>
        <v>7.06</v>
      </c>
      <c r="R534" s="914">
        <f t="shared" si="76"/>
        <v>49798.7</v>
      </c>
      <c r="S534" s="915">
        <f t="shared" si="77"/>
        <v>57.05</v>
      </c>
      <c r="T534" s="911">
        <f t="shared" si="78"/>
        <v>402410.16</v>
      </c>
    </row>
    <row r="535" spans="1:20" ht="250.5" customHeight="1">
      <c r="A535" s="905">
        <v>9.1999999999999993</v>
      </c>
      <c r="B535" s="924" t="s">
        <v>6637</v>
      </c>
      <c r="C535" s="1059"/>
      <c r="D535" s="908"/>
      <c r="E535" s="919"/>
      <c r="F535" s="1053">
        <f t="shared" si="79"/>
        <v>0</v>
      </c>
      <c r="G535" s="919"/>
      <c r="H535" s="914">
        <f t="shared" si="80"/>
        <v>0</v>
      </c>
      <c r="I535" s="919"/>
      <c r="J535" s="914">
        <f t="shared" si="81"/>
        <v>0</v>
      </c>
      <c r="K535" s="919"/>
      <c r="L535" s="914">
        <f t="shared" si="82"/>
        <v>0</v>
      </c>
      <c r="M535" s="919"/>
      <c r="N535" s="914">
        <f t="shared" si="74"/>
        <v>0</v>
      </c>
      <c r="O535" s="914"/>
      <c r="P535" s="914">
        <f t="shared" si="75"/>
        <v>0</v>
      </c>
      <c r="Q535" s="914"/>
      <c r="R535" s="914">
        <f t="shared" si="76"/>
        <v>0</v>
      </c>
      <c r="S535" s="915">
        <f t="shared" si="77"/>
        <v>0</v>
      </c>
      <c r="T535" s="911">
        <f t="shared" si="78"/>
        <v>0</v>
      </c>
    </row>
    <row r="536" spans="1:20" ht="178.5" customHeight="1">
      <c r="A536" s="905"/>
      <c r="B536" s="906" t="s">
        <v>4723</v>
      </c>
      <c r="C536" s="1059">
        <v>7060.05</v>
      </c>
      <c r="D536" s="908" t="s">
        <v>1192</v>
      </c>
      <c r="E536" s="919">
        <f>DSP!H254</f>
        <v>39</v>
      </c>
      <c r="F536" s="1053">
        <f t="shared" si="79"/>
        <v>275341.95</v>
      </c>
      <c r="G536" s="919"/>
      <c r="H536" s="914">
        <f t="shared" si="80"/>
        <v>0</v>
      </c>
      <c r="I536" s="919"/>
      <c r="J536" s="914">
        <f t="shared" si="81"/>
        <v>0</v>
      </c>
      <c r="K536" s="919"/>
      <c r="L536" s="914">
        <f t="shared" si="82"/>
        <v>0</v>
      </c>
      <c r="M536" s="919"/>
      <c r="N536" s="914">
        <f t="shared" si="74"/>
        <v>0</v>
      </c>
      <c r="O536" s="914">
        <v>5.33</v>
      </c>
      <c r="P536" s="914">
        <f t="shared" si="75"/>
        <v>37630.07</v>
      </c>
      <c r="Q536" s="914"/>
      <c r="R536" s="914">
        <f t="shared" si="76"/>
        <v>0</v>
      </c>
      <c r="S536" s="915">
        <f t="shared" si="77"/>
        <v>44.33</v>
      </c>
      <c r="T536" s="911">
        <f t="shared" si="78"/>
        <v>312972.02</v>
      </c>
    </row>
    <row r="537" spans="1:20" ht="178.5" customHeight="1">
      <c r="A537" s="905"/>
      <c r="B537" s="906" t="s">
        <v>202</v>
      </c>
      <c r="C537" s="1059">
        <v>7219.25</v>
      </c>
      <c r="D537" s="908" t="s">
        <v>1192</v>
      </c>
      <c r="E537" s="919">
        <f>DSP!H326</f>
        <v>41.4</v>
      </c>
      <c r="F537" s="1053">
        <f t="shared" si="79"/>
        <v>298876.95</v>
      </c>
      <c r="G537" s="919"/>
      <c r="H537" s="914">
        <f t="shared" si="80"/>
        <v>0</v>
      </c>
      <c r="I537" s="919"/>
      <c r="J537" s="914">
        <f t="shared" si="81"/>
        <v>0</v>
      </c>
      <c r="K537" s="919"/>
      <c r="L537" s="914">
        <f t="shared" si="82"/>
        <v>0</v>
      </c>
      <c r="M537" s="919"/>
      <c r="N537" s="914">
        <f t="shared" si="74"/>
        <v>0</v>
      </c>
      <c r="O537" s="914"/>
      <c r="P537" s="914">
        <f t="shared" si="75"/>
        <v>0</v>
      </c>
      <c r="Q537" s="914"/>
      <c r="R537" s="914">
        <f t="shared" si="76"/>
        <v>0</v>
      </c>
      <c r="S537" s="915">
        <f t="shared" si="77"/>
        <v>41.4</v>
      </c>
      <c r="T537" s="911">
        <f t="shared" si="78"/>
        <v>298876.95</v>
      </c>
    </row>
    <row r="538" spans="1:20" ht="178.5" customHeight="1">
      <c r="A538" s="905"/>
      <c r="B538" s="906" t="s">
        <v>203</v>
      </c>
      <c r="C538" s="1059">
        <v>7378.45</v>
      </c>
      <c r="D538" s="908" t="s">
        <v>1192</v>
      </c>
      <c r="E538" s="919">
        <f>DSP!H351</f>
        <v>18.2</v>
      </c>
      <c r="F538" s="1053">
        <f t="shared" si="79"/>
        <v>134287.79</v>
      </c>
      <c r="G538" s="919"/>
      <c r="H538" s="914">
        <f t="shared" si="80"/>
        <v>0</v>
      </c>
      <c r="I538" s="919"/>
      <c r="J538" s="914">
        <f t="shared" si="81"/>
        <v>0</v>
      </c>
      <c r="K538" s="919"/>
      <c r="L538" s="914">
        <f t="shared" si="82"/>
        <v>0</v>
      </c>
      <c r="M538" s="919"/>
      <c r="N538" s="914">
        <f t="shared" si="74"/>
        <v>0</v>
      </c>
      <c r="O538" s="914"/>
      <c r="P538" s="914">
        <f t="shared" si="75"/>
        <v>0</v>
      </c>
      <c r="Q538" s="914"/>
      <c r="R538" s="914">
        <f t="shared" si="76"/>
        <v>0</v>
      </c>
      <c r="S538" s="915">
        <f t="shared" si="77"/>
        <v>18.2</v>
      </c>
      <c r="T538" s="911">
        <f t="shared" si="78"/>
        <v>134287.79</v>
      </c>
    </row>
    <row r="539" spans="1:20" ht="178.5" customHeight="1">
      <c r="A539" s="905"/>
      <c r="B539" s="906" t="s">
        <v>204</v>
      </c>
      <c r="C539" s="1059">
        <v>7537.65</v>
      </c>
      <c r="D539" s="908" t="s">
        <v>1192</v>
      </c>
      <c r="E539" s="919"/>
      <c r="F539" s="1053">
        <f t="shared" si="79"/>
        <v>0</v>
      </c>
      <c r="G539" s="919"/>
      <c r="H539" s="914">
        <f t="shared" si="80"/>
        <v>0</v>
      </c>
      <c r="I539" s="919"/>
      <c r="J539" s="914">
        <f t="shared" si="81"/>
        <v>0</v>
      </c>
      <c r="K539" s="919"/>
      <c r="L539" s="914">
        <f t="shared" si="82"/>
        <v>0</v>
      </c>
      <c r="M539" s="919"/>
      <c r="N539" s="914">
        <f t="shared" si="74"/>
        <v>0</v>
      </c>
      <c r="O539" s="914"/>
      <c r="P539" s="914">
        <f t="shared" si="75"/>
        <v>0</v>
      </c>
      <c r="Q539" s="914"/>
      <c r="R539" s="914">
        <f t="shared" si="76"/>
        <v>0</v>
      </c>
      <c r="S539" s="915">
        <f t="shared" si="77"/>
        <v>0</v>
      </c>
      <c r="T539" s="911">
        <f t="shared" si="78"/>
        <v>0</v>
      </c>
    </row>
    <row r="540" spans="1:20" ht="178.5" hidden="1" customHeight="1">
      <c r="A540" s="905"/>
      <c r="B540" s="906" t="s">
        <v>603</v>
      </c>
      <c r="C540" s="1059">
        <f>DATA!AS103</f>
        <v>7696.85</v>
      </c>
      <c r="D540" s="908" t="s">
        <v>1192</v>
      </c>
      <c r="E540" s="919"/>
      <c r="F540" s="1053">
        <f t="shared" si="79"/>
        <v>0</v>
      </c>
      <c r="G540" s="919"/>
      <c r="H540" s="914">
        <f t="shared" si="80"/>
        <v>0</v>
      </c>
      <c r="I540" s="919"/>
      <c r="J540" s="914">
        <f t="shared" si="81"/>
        <v>0</v>
      </c>
      <c r="K540" s="919"/>
      <c r="L540" s="914">
        <f t="shared" si="82"/>
        <v>0</v>
      </c>
      <c r="M540" s="919"/>
      <c r="N540" s="914">
        <f t="shared" si="74"/>
        <v>0</v>
      </c>
      <c r="O540" s="914"/>
      <c r="P540" s="914">
        <f t="shared" si="75"/>
        <v>0</v>
      </c>
      <c r="Q540" s="914"/>
      <c r="R540" s="914">
        <f t="shared" si="76"/>
        <v>0</v>
      </c>
      <c r="S540" s="915">
        <f t="shared" si="77"/>
        <v>0</v>
      </c>
      <c r="T540" s="911">
        <f t="shared" si="78"/>
        <v>0</v>
      </c>
    </row>
    <row r="541" spans="1:20" ht="250.5" hidden="1" customHeight="1">
      <c r="A541" s="905"/>
      <c r="B541" s="906" t="s">
        <v>4687</v>
      </c>
      <c r="C541" s="1059">
        <f>DATA!AS104</f>
        <v>7856.05</v>
      </c>
      <c r="D541" s="908" t="s">
        <v>1192</v>
      </c>
      <c r="E541" s="919"/>
      <c r="F541" s="1053">
        <f t="shared" si="79"/>
        <v>0</v>
      </c>
      <c r="G541" s="919"/>
      <c r="H541" s="914">
        <f t="shared" si="80"/>
        <v>0</v>
      </c>
      <c r="I541" s="919"/>
      <c r="J541" s="914">
        <f t="shared" si="81"/>
        <v>0</v>
      </c>
      <c r="K541" s="919"/>
      <c r="L541" s="914">
        <f t="shared" si="82"/>
        <v>0</v>
      </c>
      <c r="M541" s="919"/>
      <c r="N541" s="914">
        <f t="shared" si="74"/>
        <v>0</v>
      </c>
      <c r="O541" s="914"/>
      <c r="P541" s="914">
        <f t="shared" si="75"/>
        <v>0</v>
      </c>
      <c r="Q541" s="914"/>
      <c r="R541" s="914">
        <f t="shared" si="76"/>
        <v>0</v>
      </c>
      <c r="S541" s="915">
        <f t="shared" si="77"/>
        <v>0</v>
      </c>
      <c r="T541" s="911">
        <f t="shared" si="78"/>
        <v>0</v>
      </c>
    </row>
    <row r="542" spans="1:20" ht="336.75" customHeight="1">
      <c r="A542" s="905">
        <v>10.199999999999999</v>
      </c>
      <c r="B542" s="924" t="s">
        <v>6638</v>
      </c>
      <c r="C542" s="1059"/>
      <c r="D542" s="908"/>
      <c r="E542" s="919"/>
      <c r="F542" s="1053">
        <f t="shared" si="79"/>
        <v>0</v>
      </c>
      <c r="G542" s="919"/>
      <c r="H542" s="914">
        <f t="shared" si="80"/>
        <v>0</v>
      </c>
      <c r="I542" s="919"/>
      <c r="J542" s="914">
        <f t="shared" si="81"/>
        <v>0</v>
      </c>
      <c r="K542" s="919"/>
      <c r="L542" s="914">
        <f t="shared" si="82"/>
        <v>0</v>
      </c>
      <c r="M542" s="919"/>
      <c r="N542" s="914">
        <f t="shared" si="74"/>
        <v>0</v>
      </c>
      <c r="O542" s="914"/>
      <c r="P542" s="914">
        <f t="shared" si="75"/>
        <v>0</v>
      </c>
      <c r="Q542" s="914"/>
      <c r="R542" s="914">
        <f t="shared" si="76"/>
        <v>0</v>
      </c>
      <c r="S542" s="915">
        <f t="shared" si="77"/>
        <v>0</v>
      </c>
      <c r="T542" s="911">
        <f t="shared" si="78"/>
        <v>0</v>
      </c>
    </row>
    <row r="543" spans="1:20" ht="182.25" customHeight="1">
      <c r="A543" s="905"/>
      <c r="B543" s="906" t="s">
        <v>4703</v>
      </c>
      <c r="C543" s="1059">
        <v>887.76</v>
      </c>
      <c r="D543" s="908" t="s">
        <v>2273</v>
      </c>
      <c r="E543" s="919"/>
      <c r="F543" s="1053">
        <f t="shared" si="79"/>
        <v>0</v>
      </c>
      <c r="G543" s="919"/>
      <c r="H543" s="914">
        <f t="shared" si="80"/>
        <v>0</v>
      </c>
      <c r="I543" s="919"/>
      <c r="J543" s="914">
        <f t="shared" si="81"/>
        <v>0</v>
      </c>
      <c r="K543" s="919"/>
      <c r="L543" s="914">
        <f t="shared" si="82"/>
        <v>0</v>
      </c>
      <c r="M543" s="919">
        <v>31.75</v>
      </c>
      <c r="N543" s="914">
        <f t="shared" si="74"/>
        <v>28186.38</v>
      </c>
      <c r="O543" s="914"/>
      <c r="P543" s="914">
        <f t="shared" si="75"/>
        <v>0</v>
      </c>
      <c r="Q543" s="914">
        <f>'DEV-2'!U542</f>
        <v>15</v>
      </c>
      <c r="R543" s="914">
        <f t="shared" si="76"/>
        <v>13316.4</v>
      </c>
      <c r="S543" s="915">
        <f t="shared" si="77"/>
        <v>46.75</v>
      </c>
      <c r="T543" s="911">
        <f t="shared" si="78"/>
        <v>41502.78</v>
      </c>
    </row>
    <row r="544" spans="1:20" ht="182.25" customHeight="1">
      <c r="A544" s="905"/>
      <c r="B544" s="906" t="s">
        <v>4724</v>
      </c>
      <c r="C544" s="1059">
        <v>896.44</v>
      </c>
      <c r="D544" s="908" t="s">
        <v>2273</v>
      </c>
      <c r="E544" s="919">
        <f>DSP!H383</f>
        <v>84.5</v>
      </c>
      <c r="F544" s="1053">
        <f t="shared" si="79"/>
        <v>75749.179999999993</v>
      </c>
      <c r="G544" s="919"/>
      <c r="H544" s="914">
        <f t="shared" si="80"/>
        <v>0</v>
      </c>
      <c r="I544" s="919"/>
      <c r="J544" s="914">
        <f t="shared" si="81"/>
        <v>0</v>
      </c>
      <c r="K544" s="919"/>
      <c r="L544" s="914">
        <f t="shared" si="82"/>
        <v>0</v>
      </c>
      <c r="M544" s="919"/>
      <c r="N544" s="914">
        <f t="shared" si="74"/>
        <v>0</v>
      </c>
      <c r="O544" s="914">
        <v>98.28</v>
      </c>
      <c r="P544" s="914">
        <f t="shared" si="75"/>
        <v>88102.12</v>
      </c>
      <c r="Q544" s="914"/>
      <c r="R544" s="914">
        <f t="shared" si="76"/>
        <v>0</v>
      </c>
      <c r="S544" s="915">
        <f t="shared" si="77"/>
        <v>182.78</v>
      </c>
      <c r="T544" s="911">
        <f t="shared" si="78"/>
        <v>163851.29999999999</v>
      </c>
    </row>
    <row r="545" spans="1:114" ht="182.25" customHeight="1">
      <c r="A545" s="905"/>
      <c r="B545" s="906" t="s">
        <v>544</v>
      </c>
      <c r="C545" s="1059">
        <v>913.95</v>
      </c>
      <c r="D545" s="908" t="s">
        <v>2273</v>
      </c>
      <c r="E545" s="919">
        <f>DSP!H422</f>
        <v>107.5</v>
      </c>
      <c r="F545" s="1053">
        <f t="shared" si="79"/>
        <v>98249.63</v>
      </c>
      <c r="G545" s="919"/>
      <c r="H545" s="914">
        <f t="shared" si="80"/>
        <v>0</v>
      </c>
      <c r="I545" s="919"/>
      <c r="J545" s="914">
        <f t="shared" si="81"/>
        <v>0</v>
      </c>
      <c r="K545" s="919"/>
      <c r="L545" s="914">
        <f t="shared" si="82"/>
        <v>0</v>
      </c>
      <c r="M545" s="919"/>
      <c r="N545" s="914">
        <f t="shared" si="74"/>
        <v>0</v>
      </c>
      <c r="O545" s="914"/>
      <c r="P545" s="914">
        <f t="shared" si="75"/>
        <v>0</v>
      </c>
      <c r="Q545" s="914"/>
      <c r="R545" s="914">
        <f t="shared" si="76"/>
        <v>0</v>
      </c>
      <c r="S545" s="915">
        <f t="shared" si="77"/>
        <v>107.5</v>
      </c>
      <c r="T545" s="911">
        <f t="shared" si="78"/>
        <v>98249.63</v>
      </c>
    </row>
    <row r="546" spans="1:114" s="920" customFormat="1" ht="182.25" customHeight="1">
      <c r="A546" s="916"/>
      <c r="B546" s="906" t="s">
        <v>1798</v>
      </c>
      <c r="C546" s="1059">
        <v>931.46</v>
      </c>
      <c r="D546" s="908" t="s">
        <v>2273</v>
      </c>
      <c r="E546" s="919">
        <f>DSP!H428</f>
        <v>7.4</v>
      </c>
      <c r="F546" s="1053">
        <f t="shared" si="79"/>
        <v>6892.8</v>
      </c>
      <c r="G546" s="919"/>
      <c r="H546" s="914">
        <f t="shared" si="80"/>
        <v>0</v>
      </c>
      <c r="I546" s="919"/>
      <c r="J546" s="914">
        <f t="shared" si="81"/>
        <v>0</v>
      </c>
      <c r="K546" s="919"/>
      <c r="L546" s="914">
        <f t="shared" si="82"/>
        <v>0</v>
      </c>
      <c r="M546" s="919"/>
      <c r="N546" s="914">
        <f t="shared" si="74"/>
        <v>0</v>
      </c>
      <c r="O546" s="914"/>
      <c r="P546" s="914">
        <f t="shared" si="75"/>
        <v>0</v>
      </c>
      <c r="Q546" s="914"/>
      <c r="R546" s="914">
        <f t="shared" si="76"/>
        <v>0</v>
      </c>
      <c r="S546" s="915">
        <f t="shared" si="77"/>
        <v>7.4</v>
      </c>
      <c r="T546" s="911">
        <f t="shared" si="78"/>
        <v>6892.8</v>
      </c>
      <c r="U546" s="1172"/>
      <c r="V546" s="1172"/>
      <c r="W546" s="1172"/>
      <c r="X546" s="1172"/>
      <c r="Y546" s="1172"/>
      <c r="Z546" s="1172"/>
      <c r="AA546" s="1172"/>
      <c r="AB546" s="1172"/>
      <c r="AC546" s="1172"/>
      <c r="AD546" s="1172"/>
      <c r="AE546" s="1172"/>
      <c r="AF546" s="1172"/>
      <c r="AG546" s="1172"/>
      <c r="AH546" s="1172"/>
      <c r="AI546" s="1172"/>
      <c r="AJ546" s="1172"/>
      <c r="AK546" s="1172"/>
      <c r="AL546" s="1172"/>
      <c r="AM546" s="1172"/>
      <c r="AN546" s="1172"/>
      <c r="AO546" s="1172"/>
      <c r="AP546" s="1172"/>
      <c r="AQ546" s="1172"/>
      <c r="AR546" s="1172"/>
      <c r="AS546" s="1172"/>
      <c r="AT546" s="1172"/>
      <c r="AU546" s="1172"/>
      <c r="AV546" s="1172"/>
      <c r="AW546" s="1172"/>
      <c r="AX546" s="1172"/>
      <c r="AY546" s="1172"/>
      <c r="AZ546" s="1172"/>
      <c r="BA546" s="1172"/>
      <c r="BB546" s="1172"/>
      <c r="BC546" s="1172"/>
      <c r="BD546" s="1172"/>
      <c r="BE546" s="1172"/>
      <c r="BF546" s="1172"/>
      <c r="BG546" s="1172"/>
      <c r="BH546" s="1172"/>
      <c r="BI546" s="1172"/>
      <c r="BJ546" s="1172"/>
      <c r="BK546" s="1172"/>
      <c r="BL546" s="1172"/>
      <c r="BM546" s="1172"/>
      <c r="BN546" s="1172"/>
      <c r="BO546" s="1172"/>
      <c r="BP546" s="1172"/>
      <c r="BQ546" s="1172"/>
      <c r="BR546" s="1172"/>
      <c r="BS546" s="1172"/>
      <c r="BT546" s="1172"/>
      <c r="BU546" s="1172"/>
      <c r="BV546" s="1172"/>
      <c r="BW546" s="1172"/>
      <c r="BX546" s="1172"/>
      <c r="BY546" s="1172"/>
      <c r="BZ546" s="1172"/>
      <c r="CA546" s="1172"/>
      <c r="CB546" s="1172"/>
      <c r="CC546" s="1172"/>
      <c r="CD546" s="1172"/>
      <c r="CE546" s="1172"/>
      <c r="CF546" s="1172"/>
      <c r="CG546" s="1172"/>
      <c r="CH546" s="1172"/>
      <c r="CI546" s="1172"/>
      <c r="CJ546" s="1172"/>
      <c r="CK546" s="1172"/>
      <c r="CL546" s="1172"/>
      <c r="CM546" s="1172"/>
      <c r="CN546" s="1172"/>
      <c r="CO546" s="1172"/>
      <c r="CP546" s="1172"/>
      <c r="CQ546" s="1172"/>
      <c r="CR546" s="1172"/>
      <c r="CS546" s="1172"/>
      <c r="CT546" s="1172"/>
      <c r="CU546" s="1172"/>
      <c r="CV546" s="1172"/>
      <c r="CW546" s="1172"/>
      <c r="CX546" s="1172"/>
      <c r="CY546" s="1172"/>
      <c r="CZ546" s="1172"/>
      <c r="DA546" s="1172"/>
      <c r="DB546" s="1172"/>
      <c r="DC546" s="1172"/>
      <c r="DD546" s="1172"/>
      <c r="DE546" s="1172"/>
      <c r="DF546" s="1172"/>
      <c r="DG546" s="1172"/>
      <c r="DH546" s="1172"/>
      <c r="DI546" s="1172"/>
      <c r="DJ546" s="1172"/>
    </row>
    <row r="547" spans="1:114" ht="182.25" hidden="1" customHeight="1">
      <c r="A547" s="905"/>
      <c r="B547" s="906" t="s">
        <v>2205</v>
      </c>
      <c r="C547" s="1059">
        <v>948.97</v>
      </c>
      <c r="D547" s="908" t="s">
        <v>2273</v>
      </c>
      <c r="E547" s="919"/>
      <c r="F547" s="1053">
        <f t="shared" si="79"/>
        <v>0</v>
      </c>
      <c r="G547" s="919"/>
      <c r="H547" s="914">
        <f t="shared" si="80"/>
        <v>0</v>
      </c>
      <c r="I547" s="919"/>
      <c r="J547" s="914">
        <f t="shared" si="81"/>
        <v>0</v>
      </c>
      <c r="K547" s="919"/>
      <c r="L547" s="914">
        <f t="shared" si="82"/>
        <v>0</v>
      </c>
      <c r="M547" s="919"/>
      <c r="N547" s="914">
        <f t="shared" si="74"/>
        <v>0</v>
      </c>
      <c r="O547" s="914"/>
      <c r="P547" s="914">
        <f t="shared" si="75"/>
        <v>0</v>
      </c>
      <c r="Q547" s="914"/>
      <c r="R547" s="914">
        <f t="shared" si="76"/>
        <v>0</v>
      </c>
      <c r="S547" s="915">
        <f t="shared" si="77"/>
        <v>0</v>
      </c>
      <c r="T547" s="911">
        <f t="shared" si="78"/>
        <v>0</v>
      </c>
    </row>
    <row r="548" spans="1:114" ht="182.25" hidden="1" customHeight="1">
      <c r="A548" s="905"/>
      <c r="B548" s="906" t="s">
        <v>1060</v>
      </c>
      <c r="C548" s="1059">
        <f>DATA!AS159</f>
        <v>966.48</v>
      </c>
      <c r="D548" s="908" t="s">
        <v>2273</v>
      </c>
      <c r="E548" s="919"/>
      <c r="F548" s="1053">
        <f t="shared" si="79"/>
        <v>0</v>
      </c>
      <c r="G548" s="919"/>
      <c r="H548" s="914">
        <f t="shared" si="80"/>
        <v>0</v>
      </c>
      <c r="I548" s="919"/>
      <c r="J548" s="914">
        <f t="shared" si="81"/>
        <v>0</v>
      </c>
      <c r="K548" s="919"/>
      <c r="L548" s="914">
        <f t="shared" si="82"/>
        <v>0</v>
      </c>
      <c r="M548" s="919"/>
      <c r="N548" s="914">
        <f t="shared" si="74"/>
        <v>0</v>
      </c>
      <c r="O548" s="914"/>
      <c r="P548" s="914">
        <f t="shared" si="75"/>
        <v>0</v>
      </c>
      <c r="Q548" s="914"/>
      <c r="R548" s="914">
        <f t="shared" si="76"/>
        <v>0</v>
      </c>
      <c r="S548" s="915">
        <f t="shared" si="77"/>
        <v>0</v>
      </c>
      <c r="T548" s="911">
        <f t="shared" si="78"/>
        <v>0</v>
      </c>
    </row>
    <row r="549" spans="1:114" ht="250.5" hidden="1" customHeight="1">
      <c r="A549" s="905"/>
      <c r="B549" s="906" t="s">
        <v>3547</v>
      </c>
      <c r="C549" s="1059">
        <f>DATA!AS160</f>
        <v>0</v>
      </c>
      <c r="D549" s="908" t="s">
        <v>2273</v>
      </c>
      <c r="E549" s="919"/>
      <c r="F549" s="1053">
        <f t="shared" si="79"/>
        <v>0</v>
      </c>
      <c r="G549" s="919"/>
      <c r="H549" s="914">
        <f t="shared" si="80"/>
        <v>0</v>
      </c>
      <c r="I549" s="919"/>
      <c r="J549" s="914">
        <f t="shared" si="81"/>
        <v>0</v>
      </c>
      <c r="K549" s="919"/>
      <c r="L549" s="914">
        <f t="shared" si="82"/>
        <v>0</v>
      </c>
      <c r="M549" s="919"/>
      <c r="N549" s="914">
        <f t="shared" si="74"/>
        <v>0</v>
      </c>
      <c r="O549" s="914"/>
      <c r="P549" s="914">
        <f t="shared" si="75"/>
        <v>0</v>
      </c>
      <c r="Q549" s="914"/>
      <c r="R549" s="914">
        <f t="shared" si="76"/>
        <v>0</v>
      </c>
      <c r="S549" s="915">
        <f t="shared" si="77"/>
        <v>0</v>
      </c>
      <c r="T549" s="911">
        <f t="shared" si="78"/>
        <v>0</v>
      </c>
    </row>
    <row r="550" spans="1:114" ht="250.5" customHeight="1">
      <c r="A550" s="905">
        <v>11.2</v>
      </c>
      <c r="B550" s="924" t="s">
        <v>6639</v>
      </c>
      <c r="C550" s="1059"/>
      <c r="D550" s="908"/>
      <c r="E550" s="919"/>
      <c r="F550" s="1053">
        <f t="shared" si="79"/>
        <v>0</v>
      </c>
      <c r="G550" s="919"/>
      <c r="H550" s="914">
        <f t="shared" si="80"/>
        <v>0</v>
      </c>
      <c r="I550" s="919"/>
      <c r="J550" s="914">
        <f t="shared" si="81"/>
        <v>0</v>
      </c>
      <c r="K550" s="919"/>
      <c r="L550" s="914">
        <f t="shared" si="82"/>
        <v>0</v>
      </c>
      <c r="M550" s="919"/>
      <c r="N550" s="914">
        <f t="shared" si="74"/>
        <v>0</v>
      </c>
      <c r="O550" s="914"/>
      <c r="P550" s="914">
        <f t="shared" si="75"/>
        <v>0</v>
      </c>
      <c r="Q550" s="914"/>
      <c r="R550" s="914">
        <f t="shared" si="76"/>
        <v>0</v>
      </c>
      <c r="S550" s="915">
        <f t="shared" si="77"/>
        <v>0</v>
      </c>
      <c r="T550" s="911">
        <f t="shared" si="78"/>
        <v>0</v>
      </c>
    </row>
    <row r="551" spans="1:114" ht="164.25" customHeight="1">
      <c r="A551" s="905"/>
      <c r="B551" s="906" t="s">
        <v>4723</v>
      </c>
      <c r="C551" s="1059">
        <v>606.79</v>
      </c>
      <c r="D551" s="908" t="s">
        <v>2273</v>
      </c>
      <c r="E551" s="919">
        <f>DSP!H437</f>
        <v>12.3</v>
      </c>
      <c r="F551" s="1053">
        <f t="shared" si="79"/>
        <v>7463.52</v>
      </c>
      <c r="G551" s="919"/>
      <c r="H551" s="914">
        <f t="shared" si="80"/>
        <v>0</v>
      </c>
      <c r="I551" s="919"/>
      <c r="J551" s="914">
        <f t="shared" si="81"/>
        <v>0</v>
      </c>
      <c r="K551" s="919"/>
      <c r="L551" s="914">
        <f t="shared" si="82"/>
        <v>0</v>
      </c>
      <c r="M551" s="919"/>
      <c r="N551" s="914">
        <f t="shared" si="74"/>
        <v>0</v>
      </c>
      <c r="O551" s="914"/>
      <c r="P551" s="914">
        <f t="shared" si="75"/>
        <v>0</v>
      </c>
      <c r="Q551" s="914"/>
      <c r="R551" s="914">
        <f t="shared" si="76"/>
        <v>0</v>
      </c>
      <c r="S551" s="915">
        <f t="shared" si="77"/>
        <v>12.3</v>
      </c>
      <c r="T551" s="911">
        <f t="shared" si="78"/>
        <v>7463.52</v>
      </c>
    </row>
    <row r="552" spans="1:114" ht="156.75" customHeight="1">
      <c r="A552" s="905"/>
      <c r="B552" s="906" t="s">
        <v>202</v>
      </c>
      <c r="C552" s="1059">
        <v>617.92999999999995</v>
      </c>
      <c r="D552" s="908" t="s">
        <v>2273</v>
      </c>
      <c r="E552" s="919">
        <f>DSP!H443</f>
        <v>13.4</v>
      </c>
      <c r="F552" s="1053">
        <f t="shared" si="79"/>
        <v>8280.26</v>
      </c>
      <c r="G552" s="919"/>
      <c r="H552" s="914">
        <f t="shared" si="80"/>
        <v>0</v>
      </c>
      <c r="I552" s="919"/>
      <c r="J552" s="914">
        <f t="shared" si="81"/>
        <v>0</v>
      </c>
      <c r="K552" s="919"/>
      <c r="L552" s="914">
        <f t="shared" si="82"/>
        <v>0</v>
      </c>
      <c r="M552" s="919"/>
      <c r="N552" s="914">
        <f t="shared" si="74"/>
        <v>0</v>
      </c>
      <c r="O552" s="914"/>
      <c r="P552" s="914">
        <f t="shared" si="75"/>
        <v>0</v>
      </c>
      <c r="Q552" s="914"/>
      <c r="R552" s="914">
        <f t="shared" si="76"/>
        <v>0</v>
      </c>
      <c r="S552" s="915">
        <f t="shared" si="77"/>
        <v>13.4</v>
      </c>
      <c r="T552" s="911">
        <f t="shared" si="78"/>
        <v>8280.26</v>
      </c>
    </row>
    <row r="553" spans="1:114" ht="250.5" hidden="1" customHeight="1">
      <c r="A553" s="905"/>
      <c r="B553" s="906" t="s">
        <v>203</v>
      </c>
      <c r="C553" s="1059">
        <v>629.07000000000005</v>
      </c>
      <c r="D553" s="908" t="s">
        <v>2273</v>
      </c>
      <c r="E553" s="919"/>
      <c r="F553" s="1053">
        <f t="shared" si="79"/>
        <v>0</v>
      </c>
      <c r="G553" s="919"/>
      <c r="H553" s="914">
        <f t="shared" si="80"/>
        <v>0</v>
      </c>
      <c r="I553" s="919"/>
      <c r="J553" s="914">
        <f t="shared" si="81"/>
        <v>0</v>
      </c>
      <c r="K553" s="919"/>
      <c r="L553" s="914">
        <f t="shared" si="82"/>
        <v>0</v>
      </c>
      <c r="M553" s="919"/>
      <c r="N553" s="914">
        <f t="shared" si="74"/>
        <v>0</v>
      </c>
      <c r="O553" s="914"/>
      <c r="P553" s="914">
        <f t="shared" si="75"/>
        <v>0</v>
      </c>
      <c r="Q553" s="914"/>
      <c r="R553" s="914">
        <f t="shared" si="76"/>
        <v>0</v>
      </c>
      <c r="S553" s="915">
        <f t="shared" si="77"/>
        <v>0</v>
      </c>
      <c r="T553" s="911">
        <f t="shared" si="78"/>
        <v>0</v>
      </c>
    </row>
    <row r="554" spans="1:114" ht="250.5" hidden="1" customHeight="1">
      <c r="A554" s="905"/>
      <c r="B554" s="906" t="s">
        <v>603</v>
      </c>
      <c r="C554" s="921">
        <f>DATA!AS191</f>
        <v>651.35</v>
      </c>
      <c r="D554" s="908" t="s">
        <v>2273</v>
      </c>
      <c r="E554" s="919"/>
      <c r="F554" s="1053">
        <f t="shared" si="79"/>
        <v>0</v>
      </c>
      <c r="G554" s="919"/>
      <c r="H554" s="914">
        <f t="shared" si="80"/>
        <v>0</v>
      </c>
      <c r="I554" s="919"/>
      <c r="J554" s="914">
        <f t="shared" si="81"/>
        <v>0</v>
      </c>
      <c r="K554" s="919"/>
      <c r="L554" s="914">
        <f t="shared" si="82"/>
        <v>0</v>
      </c>
      <c r="M554" s="919"/>
      <c r="N554" s="914">
        <f t="shared" si="74"/>
        <v>0</v>
      </c>
      <c r="O554" s="914"/>
      <c r="P554" s="914">
        <f t="shared" si="75"/>
        <v>0</v>
      </c>
      <c r="Q554" s="914"/>
      <c r="R554" s="914">
        <f t="shared" si="76"/>
        <v>0</v>
      </c>
      <c r="S554" s="915">
        <f t="shared" si="77"/>
        <v>0</v>
      </c>
      <c r="T554" s="911">
        <f t="shared" si="78"/>
        <v>0</v>
      </c>
    </row>
    <row r="555" spans="1:114" ht="250.5" hidden="1" customHeight="1">
      <c r="A555" s="905"/>
      <c r="B555" s="906" t="s">
        <v>3790</v>
      </c>
      <c r="C555" s="921">
        <f>DATA!K3515</f>
        <v>3847.25</v>
      </c>
      <c r="D555" s="908" t="s">
        <v>2142</v>
      </c>
      <c r="E555" s="919"/>
      <c r="F555" s="1053">
        <f t="shared" si="79"/>
        <v>0</v>
      </c>
      <c r="G555" s="919"/>
      <c r="H555" s="914">
        <f t="shared" si="80"/>
        <v>0</v>
      </c>
      <c r="I555" s="919"/>
      <c r="J555" s="914">
        <f t="shared" si="81"/>
        <v>0</v>
      </c>
      <c r="K555" s="919"/>
      <c r="L555" s="914">
        <f t="shared" si="82"/>
        <v>0</v>
      </c>
      <c r="M555" s="919"/>
      <c r="N555" s="914">
        <f t="shared" si="74"/>
        <v>0</v>
      </c>
      <c r="O555" s="914"/>
      <c r="P555" s="914">
        <f t="shared" si="75"/>
        <v>0</v>
      </c>
      <c r="Q555" s="914"/>
      <c r="R555" s="914">
        <f t="shared" si="76"/>
        <v>0</v>
      </c>
      <c r="S555" s="915">
        <f t="shared" si="77"/>
        <v>0</v>
      </c>
      <c r="T555" s="911">
        <f t="shared" si="78"/>
        <v>0</v>
      </c>
    </row>
    <row r="556" spans="1:114" ht="250.5" hidden="1" customHeight="1">
      <c r="A556" s="905"/>
      <c r="B556" s="931" t="s">
        <v>4369</v>
      </c>
      <c r="C556" s="921">
        <f>DATA!R154</f>
        <v>505.3</v>
      </c>
      <c r="D556" s="908" t="s">
        <v>1192</v>
      </c>
      <c r="E556" s="914"/>
      <c r="F556" s="1053">
        <f t="shared" si="79"/>
        <v>0</v>
      </c>
      <c r="G556" s="914"/>
      <c r="H556" s="914">
        <f t="shared" si="80"/>
        <v>0</v>
      </c>
      <c r="I556" s="914"/>
      <c r="J556" s="914">
        <f t="shared" si="81"/>
        <v>0</v>
      </c>
      <c r="K556" s="914"/>
      <c r="L556" s="914">
        <f t="shared" si="82"/>
        <v>0</v>
      </c>
      <c r="M556" s="914"/>
      <c r="N556" s="914">
        <f t="shared" si="74"/>
        <v>0</v>
      </c>
      <c r="O556" s="914"/>
      <c r="P556" s="914">
        <f t="shared" si="75"/>
        <v>0</v>
      </c>
      <c r="Q556" s="914"/>
      <c r="R556" s="914">
        <f t="shared" si="76"/>
        <v>0</v>
      </c>
      <c r="S556" s="915">
        <f t="shared" si="77"/>
        <v>0</v>
      </c>
      <c r="T556" s="911">
        <f t="shared" si="78"/>
        <v>0</v>
      </c>
    </row>
    <row r="557" spans="1:114" ht="168" customHeight="1">
      <c r="A557" s="943"/>
      <c r="B557" s="906" t="s">
        <v>3683</v>
      </c>
      <c r="C557" s="913">
        <f>DATA!K1442</f>
        <v>278.27999999999997</v>
      </c>
      <c r="D557" s="908" t="s">
        <v>2273</v>
      </c>
      <c r="E557" s="1186">
        <f>DSP!H1922</f>
        <v>20.7</v>
      </c>
      <c r="F557" s="1053">
        <f t="shared" si="79"/>
        <v>5760.4</v>
      </c>
      <c r="G557" s="914"/>
      <c r="H557" s="914">
        <f t="shared" si="80"/>
        <v>0</v>
      </c>
      <c r="I557" s="914"/>
      <c r="J557" s="914">
        <f t="shared" si="81"/>
        <v>0</v>
      </c>
      <c r="K557" s="914"/>
      <c r="L557" s="914">
        <f t="shared" si="82"/>
        <v>0</v>
      </c>
      <c r="M557" s="914"/>
      <c r="N557" s="914">
        <f t="shared" si="74"/>
        <v>0</v>
      </c>
      <c r="O557" s="914"/>
      <c r="P557" s="914">
        <f t="shared" si="75"/>
        <v>0</v>
      </c>
      <c r="Q557" s="914">
        <f>'DEV-2'!U557</f>
        <v>25.95</v>
      </c>
      <c r="R557" s="914">
        <f t="shared" si="76"/>
        <v>7221.37</v>
      </c>
      <c r="S557" s="915">
        <f t="shared" si="77"/>
        <v>46.65</v>
      </c>
      <c r="T557" s="911">
        <f t="shared" si="78"/>
        <v>12981.76</v>
      </c>
    </row>
    <row r="558" spans="1:114" s="955" customFormat="1" ht="250.5" customHeight="1">
      <c r="A558" s="954"/>
      <c r="B558" s="906" t="s">
        <v>3681</v>
      </c>
      <c r="C558" s="906">
        <f>DATA!R144</f>
        <v>427.95</v>
      </c>
      <c r="D558" s="908" t="s">
        <v>2142</v>
      </c>
      <c r="E558" s="1186">
        <f>DSP!H1192</f>
        <v>115.2</v>
      </c>
      <c r="F558" s="1053">
        <f t="shared" si="79"/>
        <v>49299.839999999997</v>
      </c>
      <c r="G558" s="914"/>
      <c r="H558" s="914">
        <f t="shared" si="80"/>
        <v>0</v>
      </c>
      <c r="I558" s="914"/>
      <c r="J558" s="914">
        <f t="shared" si="81"/>
        <v>0</v>
      </c>
      <c r="K558" s="914"/>
      <c r="L558" s="914">
        <f t="shared" si="82"/>
        <v>0</v>
      </c>
      <c r="M558" s="914"/>
      <c r="N558" s="914">
        <f t="shared" si="74"/>
        <v>0</v>
      </c>
      <c r="O558" s="914"/>
      <c r="P558" s="914">
        <f t="shared" si="75"/>
        <v>0</v>
      </c>
      <c r="Q558" s="914"/>
      <c r="R558" s="914">
        <f t="shared" si="76"/>
        <v>0</v>
      </c>
      <c r="S558" s="915">
        <f t="shared" si="77"/>
        <v>115.2</v>
      </c>
      <c r="T558" s="911">
        <f t="shared" si="78"/>
        <v>49299.839999999997</v>
      </c>
      <c r="U558" s="1173"/>
      <c r="V558" s="1173"/>
      <c r="W558" s="1173"/>
      <c r="X558" s="1173"/>
      <c r="Y558" s="1173"/>
      <c r="Z558" s="1173"/>
      <c r="AA558" s="1173"/>
      <c r="AB558" s="1173"/>
      <c r="AC558" s="1173"/>
      <c r="AD558" s="1173"/>
      <c r="AE558" s="1173"/>
      <c r="AF558" s="1173"/>
      <c r="AG558" s="1173"/>
      <c r="AH558" s="1173"/>
      <c r="AI558" s="1173"/>
      <c r="AJ558" s="1173"/>
      <c r="AK558" s="1173"/>
      <c r="AL558" s="1173"/>
      <c r="AM558" s="1173"/>
      <c r="AN558" s="1173"/>
      <c r="AO558" s="1173"/>
      <c r="AP558" s="1173"/>
      <c r="AQ558" s="1173"/>
      <c r="AR558" s="1173"/>
      <c r="AS558" s="1173"/>
      <c r="AT558" s="1173"/>
      <c r="AU558" s="1173"/>
      <c r="AV558" s="1173"/>
      <c r="AW558" s="1173"/>
      <c r="AX558" s="1173"/>
      <c r="AY558" s="1173"/>
      <c r="AZ558" s="1173"/>
      <c r="BA558" s="1173"/>
      <c r="BB558" s="1173"/>
      <c r="BC558" s="1173"/>
      <c r="BD558" s="1173"/>
      <c r="BE558" s="1173"/>
      <c r="BF558" s="1173"/>
      <c r="BG558" s="1173"/>
      <c r="BH558" s="1173"/>
      <c r="BI558" s="1173"/>
      <c r="BJ558" s="1173"/>
      <c r="BK558" s="1173"/>
      <c r="BL558" s="1173"/>
      <c r="BM558" s="1173"/>
      <c r="BN558" s="1173"/>
      <c r="BO558" s="1173"/>
      <c r="BP558" s="1173"/>
      <c r="BQ558" s="1173"/>
      <c r="BR558" s="1173"/>
      <c r="BS558" s="1173"/>
      <c r="BT558" s="1173"/>
      <c r="BU558" s="1173"/>
      <c r="BV558" s="1173"/>
      <c r="BW558" s="1173"/>
      <c r="BX558" s="1173"/>
      <c r="BY558" s="1173"/>
      <c r="BZ558" s="1173"/>
      <c r="CA558" s="1173"/>
      <c r="CB558" s="1173"/>
      <c r="CC558" s="1173"/>
      <c r="CD558" s="1173"/>
      <c r="CE558" s="1173"/>
      <c r="CF558" s="1173"/>
      <c r="CG558" s="1173"/>
      <c r="CH558" s="1173"/>
      <c r="CI558" s="1173"/>
      <c r="CJ558" s="1173"/>
      <c r="CK558" s="1173"/>
      <c r="CL558" s="1173"/>
      <c r="CM558" s="1173"/>
      <c r="CN558" s="1173"/>
      <c r="CO558" s="1173"/>
      <c r="CP558" s="1173"/>
      <c r="CQ558" s="1173"/>
      <c r="CR558" s="1173"/>
      <c r="CS558" s="1173"/>
      <c r="CT558" s="1173"/>
      <c r="CU558" s="1173"/>
      <c r="CV558" s="1173"/>
      <c r="CW558" s="1173"/>
      <c r="CX558" s="1173"/>
      <c r="CY558" s="1173"/>
      <c r="CZ558" s="1173"/>
      <c r="DA558" s="1173"/>
      <c r="DB558" s="1173"/>
      <c r="DC558" s="1173"/>
      <c r="DD558" s="1173"/>
      <c r="DE558" s="1173"/>
      <c r="DF558" s="1173"/>
      <c r="DG558" s="1173"/>
      <c r="DH558" s="1173"/>
      <c r="DI558" s="1173"/>
      <c r="DJ558" s="1173"/>
    </row>
    <row r="559" spans="1:114" s="920" customFormat="1" ht="250.5" hidden="1" customHeight="1">
      <c r="A559" s="956"/>
      <c r="B559" s="917" t="s">
        <v>6640</v>
      </c>
      <c r="C559" s="922">
        <f>DATA!K368</f>
        <v>6953.83</v>
      </c>
      <c r="D559" s="898" t="s">
        <v>2142</v>
      </c>
      <c r="E559" s="919"/>
      <c r="F559" s="1053">
        <f t="shared" si="79"/>
        <v>0</v>
      </c>
      <c r="G559" s="919"/>
      <c r="H559" s="914">
        <f t="shared" si="80"/>
        <v>0</v>
      </c>
      <c r="I559" s="919"/>
      <c r="J559" s="914">
        <f t="shared" si="81"/>
        <v>0</v>
      </c>
      <c r="K559" s="919"/>
      <c r="L559" s="914">
        <f t="shared" si="82"/>
        <v>0</v>
      </c>
      <c r="M559" s="919"/>
      <c r="N559" s="914">
        <f t="shared" si="74"/>
        <v>0</v>
      </c>
      <c r="O559" s="914"/>
      <c r="P559" s="914">
        <f t="shared" si="75"/>
        <v>0</v>
      </c>
      <c r="Q559" s="914"/>
      <c r="R559" s="914">
        <f t="shared" si="76"/>
        <v>0</v>
      </c>
      <c r="S559" s="915">
        <f t="shared" si="77"/>
        <v>0</v>
      </c>
      <c r="T559" s="911">
        <f t="shared" si="78"/>
        <v>0</v>
      </c>
      <c r="U559" s="1172"/>
      <c r="V559" s="1172"/>
      <c r="W559" s="1172"/>
      <c r="X559" s="1172"/>
      <c r="Y559" s="1172"/>
      <c r="Z559" s="1172"/>
      <c r="AA559" s="1172"/>
      <c r="AB559" s="1172"/>
      <c r="AC559" s="1172"/>
      <c r="AD559" s="1172"/>
      <c r="AE559" s="1172"/>
      <c r="AF559" s="1172"/>
      <c r="AG559" s="1172"/>
      <c r="AH559" s="1172"/>
      <c r="AI559" s="1172"/>
      <c r="AJ559" s="1172"/>
      <c r="AK559" s="1172"/>
      <c r="AL559" s="1172"/>
      <c r="AM559" s="1172"/>
      <c r="AN559" s="1172"/>
      <c r="AO559" s="1172"/>
      <c r="AP559" s="1172"/>
      <c r="AQ559" s="1172"/>
      <c r="AR559" s="1172"/>
      <c r="AS559" s="1172"/>
      <c r="AT559" s="1172"/>
      <c r="AU559" s="1172"/>
      <c r="AV559" s="1172"/>
      <c r="AW559" s="1172"/>
      <c r="AX559" s="1172"/>
      <c r="AY559" s="1172"/>
      <c r="AZ559" s="1172"/>
      <c r="BA559" s="1172"/>
      <c r="BB559" s="1172"/>
      <c r="BC559" s="1172"/>
      <c r="BD559" s="1172"/>
      <c r="BE559" s="1172"/>
      <c r="BF559" s="1172"/>
      <c r="BG559" s="1172"/>
      <c r="BH559" s="1172"/>
      <c r="BI559" s="1172"/>
      <c r="BJ559" s="1172"/>
      <c r="BK559" s="1172"/>
      <c r="BL559" s="1172"/>
      <c r="BM559" s="1172"/>
      <c r="BN559" s="1172"/>
      <c r="BO559" s="1172"/>
      <c r="BP559" s="1172"/>
      <c r="BQ559" s="1172"/>
      <c r="BR559" s="1172"/>
      <c r="BS559" s="1172"/>
      <c r="BT559" s="1172"/>
      <c r="BU559" s="1172"/>
      <c r="BV559" s="1172"/>
      <c r="BW559" s="1172"/>
      <c r="BX559" s="1172"/>
      <c r="BY559" s="1172"/>
      <c r="BZ559" s="1172"/>
      <c r="CA559" s="1172"/>
      <c r="CB559" s="1172"/>
      <c r="CC559" s="1172"/>
      <c r="CD559" s="1172"/>
      <c r="CE559" s="1172"/>
      <c r="CF559" s="1172"/>
      <c r="CG559" s="1172"/>
      <c r="CH559" s="1172"/>
      <c r="CI559" s="1172"/>
      <c r="CJ559" s="1172"/>
      <c r="CK559" s="1172"/>
      <c r="CL559" s="1172"/>
      <c r="CM559" s="1172"/>
      <c r="CN559" s="1172"/>
      <c r="CO559" s="1172"/>
      <c r="CP559" s="1172"/>
      <c r="CQ559" s="1172"/>
      <c r="CR559" s="1172"/>
      <c r="CS559" s="1172"/>
      <c r="CT559" s="1172"/>
      <c r="CU559" s="1172"/>
      <c r="CV559" s="1172"/>
      <c r="CW559" s="1172"/>
      <c r="CX559" s="1172"/>
      <c r="CY559" s="1172"/>
      <c r="CZ559" s="1172"/>
      <c r="DA559" s="1172"/>
      <c r="DB559" s="1172"/>
      <c r="DC559" s="1172"/>
      <c r="DD559" s="1172"/>
      <c r="DE559" s="1172"/>
      <c r="DF559" s="1172"/>
      <c r="DG559" s="1172"/>
      <c r="DH559" s="1172"/>
      <c r="DI559" s="1172"/>
      <c r="DJ559" s="1172"/>
    </row>
    <row r="560" spans="1:114" ht="250.5" hidden="1" customHeight="1">
      <c r="A560" s="952"/>
      <c r="B560" s="906" t="s">
        <v>6641</v>
      </c>
      <c r="C560" s="921">
        <f>DATA!K369</f>
        <v>7113.03</v>
      </c>
      <c r="D560" s="908" t="s">
        <v>2142</v>
      </c>
      <c r="E560" s="919"/>
      <c r="F560" s="1053">
        <f t="shared" si="79"/>
        <v>0</v>
      </c>
      <c r="G560" s="919"/>
      <c r="H560" s="914">
        <f t="shared" si="80"/>
        <v>0</v>
      </c>
      <c r="I560" s="919"/>
      <c r="J560" s="914">
        <f t="shared" si="81"/>
        <v>0</v>
      </c>
      <c r="K560" s="919"/>
      <c r="L560" s="914">
        <f t="shared" si="82"/>
        <v>0</v>
      </c>
      <c r="M560" s="919"/>
      <c r="N560" s="914">
        <f t="shared" si="74"/>
        <v>0</v>
      </c>
      <c r="O560" s="914"/>
      <c r="P560" s="914">
        <f t="shared" si="75"/>
        <v>0</v>
      </c>
      <c r="Q560" s="914"/>
      <c r="R560" s="914">
        <f t="shared" si="76"/>
        <v>0</v>
      </c>
      <c r="S560" s="915">
        <f t="shared" si="77"/>
        <v>0</v>
      </c>
      <c r="T560" s="911">
        <f t="shared" si="78"/>
        <v>0</v>
      </c>
    </row>
    <row r="561" spans="1:114" s="920" customFormat="1" ht="250.5" hidden="1" customHeight="1">
      <c r="A561" s="956"/>
      <c r="B561" s="917" t="s">
        <v>6642</v>
      </c>
      <c r="C561" s="922">
        <f>DATA!$K$370</f>
        <v>7272.23</v>
      </c>
      <c r="D561" s="898" t="s">
        <v>2142</v>
      </c>
      <c r="E561" s="919"/>
      <c r="F561" s="1053">
        <f t="shared" si="79"/>
        <v>0</v>
      </c>
      <c r="G561" s="919"/>
      <c r="H561" s="914">
        <f t="shared" si="80"/>
        <v>0</v>
      </c>
      <c r="I561" s="919"/>
      <c r="J561" s="914">
        <f t="shared" si="81"/>
        <v>0</v>
      </c>
      <c r="K561" s="919"/>
      <c r="L561" s="914">
        <f t="shared" si="82"/>
        <v>0</v>
      </c>
      <c r="M561" s="919"/>
      <c r="N561" s="914">
        <f t="shared" si="74"/>
        <v>0</v>
      </c>
      <c r="O561" s="914"/>
      <c r="P561" s="914">
        <f t="shared" si="75"/>
        <v>0</v>
      </c>
      <c r="Q561" s="914"/>
      <c r="R561" s="914">
        <f t="shared" si="76"/>
        <v>0</v>
      </c>
      <c r="S561" s="915">
        <f t="shared" si="77"/>
        <v>0</v>
      </c>
      <c r="T561" s="911">
        <f t="shared" si="78"/>
        <v>0</v>
      </c>
      <c r="U561" s="1172"/>
      <c r="V561" s="1172"/>
      <c r="W561" s="1172"/>
      <c r="X561" s="1172"/>
      <c r="Y561" s="1172"/>
      <c r="Z561" s="1172"/>
      <c r="AA561" s="1172"/>
      <c r="AB561" s="1172"/>
      <c r="AC561" s="1172"/>
      <c r="AD561" s="1172"/>
      <c r="AE561" s="1172"/>
      <c r="AF561" s="1172"/>
      <c r="AG561" s="1172"/>
      <c r="AH561" s="1172"/>
      <c r="AI561" s="1172"/>
      <c r="AJ561" s="1172"/>
      <c r="AK561" s="1172"/>
      <c r="AL561" s="1172"/>
      <c r="AM561" s="1172"/>
      <c r="AN561" s="1172"/>
      <c r="AO561" s="1172"/>
      <c r="AP561" s="1172"/>
      <c r="AQ561" s="1172"/>
      <c r="AR561" s="1172"/>
      <c r="AS561" s="1172"/>
      <c r="AT561" s="1172"/>
      <c r="AU561" s="1172"/>
      <c r="AV561" s="1172"/>
      <c r="AW561" s="1172"/>
      <c r="AX561" s="1172"/>
      <c r="AY561" s="1172"/>
      <c r="AZ561" s="1172"/>
      <c r="BA561" s="1172"/>
      <c r="BB561" s="1172"/>
      <c r="BC561" s="1172"/>
      <c r="BD561" s="1172"/>
      <c r="BE561" s="1172"/>
      <c r="BF561" s="1172"/>
      <c r="BG561" s="1172"/>
      <c r="BH561" s="1172"/>
      <c r="BI561" s="1172"/>
      <c r="BJ561" s="1172"/>
      <c r="BK561" s="1172"/>
      <c r="BL561" s="1172"/>
      <c r="BM561" s="1172"/>
      <c r="BN561" s="1172"/>
      <c r="BO561" s="1172"/>
      <c r="BP561" s="1172"/>
      <c r="BQ561" s="1172"/>
      <c r="BR561" s="1172"/>
      <c r="BS561" s="1172"/>
      <c r="BT561" s="1172"/>
      <c r="BU561" s="1172"/>
      <c r="BV561" s="1172"/>
      <c r="BW561" s="1172"/>
      <c r="BX561" s="1172"/>
      <c r="BY561" s="1172"/>
      <c r="BZ561" s="1172"/>
      <c r="CA561" s="1172"/>
      <c r="CB561" s="1172"/>
      <c r="CC561" s="1172"/>
      <c r="CD561" s="1172"/>
      <c r="CE561" s="1172"/>
      <c r="CF561" s="1172"/>
      <c r="CG561" s="1172"/>
      <c r="CH561" s="1172"/>
      <c r="CI561" s="1172"/>
      <c r="CJ561" s="1172"/>
      <c r="CK561" s="1172"/>
      <c r="CL561" s="1172"/>
      <c r="CM561" s="1172"/>
      <c r="CN561" s="1172"/>
      <c r="CO561" s="1172"/>
      <c r="CP561" s="1172"/>
      <c r="CQ561" s="1172"/>
      <c r="CR561" s="1172"/>
      <c r="CS561" s="1172"/>
      <c r="CT561" s="1172"/>
      <c r="CU561" s="1172"/>
      <c r="CV561" s="1172"/>
      <c r="CW561" s="1172"/>
      <c r="CX561" s="1172"/>
      <c r="CY561" s="1172"/>
      <c r="CZ561" s="1172"/>
      <c r="DA561" s="1172"/>
      <c r="DB561" s="1172"/>
      <c r="DC561" s="1172"/>
      <c r="DD561" s="1172"/>
      <c r="DE561" s="1172"/>
      <c r="DF561" s="1172"/>
      <c r="DG561" s="1172"/>
      <c r="DH561" s="1172"/>
      <c r="DI561" s="1172"/>
      <c r="DJ561" s="1172"/>
    </row>
    <row r="562" spans="1:114" s="920" customFormat="1" ht="250.5" hidden="1" customHeight="1">
      <c r="A562" s="956"/>
      <c r="B562" s="917" t="s">
        <v>6643</v>
      </c>
      <c r="C562" s="922">
        <f>DATA!K371</f>
        <v>7431.43</v>
      </c>
      <c r="D562" s="898" t="s">
        <v>2142</v>
      </c>
      <c r="E562" s="919"/>
      <c r="F562" s="1053">
        <f t="shared" si="79"/>
        <v>0</v>
      </c>
      <c r="G562" s="919"/>
      <c r="H562" s="914">
        <f t="shared" si="80"/>
        <v>0</v>
      </c>
      <c r="I562" s="919"/>
      <c r="J562" s="914">
        <f t="shared" si="81"/>
        <v>0</v>
      </c>
      <c r="K562" s="919"/>
      <c r="L562" s="914">
        <f t="shared" si="82"/>
        <v>0</v>
      </c>
      <c r="M562" s="919"/>
      <c r="N562" s="914">
        <f t="shared" si="74"/>
        <v>0</v>
      </c>
      <c r="O562" s="914"/>
      <c r="P562" s="914">
        <f t="shared" si="75"/>
        <v>0</v>
      </c>
      <c r="Q562" s="914"/>
      <c r="R562" s="914">
        <f t="shared" si="76"/>
        <v>0</v>
      </c>
      <c r="S562" s="915">
        <f t="shared" si="77"/>
        <v>0</v>
      </c>
      <c r="T562" s="911">
        <f t="shared" si="78"/>
        <v>0</v>
      </c>
      <c r="U562" s="1172"/>
      <c r="V562" s="1172"/>
      <c r="W562" s="1172"/>
      <c r="X562" s="1172"/>
      <c r="Y562" s="1172"/>
      <c r="Z562" s="1172"/>
      <c r="AA562" s="1172"/>
      <c r="AB562" s="1172"/>
      <c r="AC562" s="1172"/>
      <c r="AD562" s="1172"/>
      <c r="AE562" s="1172"/>
      <c r="AF562" s="1172"/>
      <c r="AG562" s="1172"/>
      <c r="AH562" s="1172"/>
      <c r="AI562" s="1172"/>
      <c r="AJ562" s="1172"/>
      <c r="AK562" s="1172"/>
      <c r="AL562" s="1172"/>
      <c r="AM562" s="1172"/>
      <c r="AN562" s="1172"/>
      <c r="AO562" s="1172"/>
      <c r="AP562" s="1172"/>
      <c r="AQ562" s="1172"/>
      <c r="AR562" s="1172"/>
      <c r="AS562" s="1172"/>
      <c r="AT562" s="1172"/>
      <c r="AU562" s="1172"/>
      <c r="AV562" s="1172"/>
      <c r="AW562" s="1172"/>
      <c r="AX562" s="1172"/>
      <c r="AY562" s="1172"/>
      <c r="AZ562" s="1172"/>
      <c r="BA562" s="1172"/>
      <c r="BB562" s="1172"/>
      <c r="BC562" s="1172"/>
      <c r="BD562" s="1172"/>
      <c r="BE562" s="1172"/>
      <c r="BF562" s="1172"/>
      <c r="BG562" s="1172"/>
      <c r="BH562" s="1172"/>
      <c r="BI562" s="1172"/>
      <c r="BJ562" s="1172"/>
      <c r="BK562" s="1172"/>
      <c r="BL562" s="1172"/>
      <c r="BM562" s="1172"/>
      <c r="BN562" s="1172"/>
      <c r="BO562" s="1172"/>
      <c r="BP562" s="1172"/>
      <c r="BQ562" s="1172"/>
      <c r="BR562" s="1172"/>
      <c r="BS562" s="1172"/>
      <c r="BT562" s="1172"/>
      <c r="BU562" s="1172"/>
      <c r="BV562" s="1172"/>
      <c r="BW562" s="1172"/>
      <c r="BX562" s="1172"/>
      <c r="BY562" s="1172"/>
      <c r="BZ562" s="1172"/>
      <c r="CA562" s="1172"/>
      <c r="CB562" s="1172"/>
      <c r="CC562" s="1172"/>
      <c r="CD562" s="1172"/>
      <c r="CE562" s="1172"/>
      <c r="CF562" s="1172"/>
      <c r="CG562" s="1172"/>
      <c r="CH562" s="1172"/>
      <c r="CI562" s="1172"/>
      <c r="CJ562" s="1172"/>
      <c r="CK562" s="1172"/>
      <c r="CL562" s="1172"/>
      <c r="CM562" s="1172"/>
      <c r="CN562" s="1172"/>
      <c r="CO562" s="1172"/>
      <c r="CP562" s="1172"/>
      <c r="CQ562" s="1172"/>
      <c r="CR562" s="1172"/>
      <c r="CS562" s="1172"/>
      <c r="CT562" s="1172"/>
      <c r="CU562" s="1172"/>
      <c r="CV562" s="1172"/>
      <c r="CW562" s="1172"/>
      <c r="CX562" s="1172"/>
      <c r="CY562" s="1172"/>
      <c r="CZ562" s="1172"/>
      <c r="DA562" s="1172"/>
      <c r="DB562" s="1172"/>
      <c r="DC562" s="1172"/>
      <c r="DD562" s="1172"/>
      <c r="DE562" s="1172"/>
      <c r="DF562" s="1172"/>
      <c r="DG562" s="1172"/>
      <c r="DH562" s="1172"/>
      <c r="DI562" s="1172"/>
      <c r="DJ562" s="1172"/>
    </row>
    <row r="563" spans="1:114" ht="250.5" hidden="1" customHeight="1">
      <c r="A563" s="931"/>
      <c r="B563" s="906" t="s">
        <v>6644</v>
      </c>
      <c r="C563" s="921">
        <f>DATA!X88</f>
        <v>161.1</v>
      </c>
      <c r="D563" s="908"/>
      <c r="E563" s="919"/>
      <c r="F563" s="1053">
        <f t="shared" si="79"/>
        <v>0</v>
      </c>
      <c r="G563" s="919"/>
      <c r="H563" s="914">
        <f t="shared" si="80"/>
        <v>0</v>
      </c>
      <c r="I563" s="919"/>
      <c r="J563" s="914">
        <f t="shared" si="81"/>
        <v>0</v>
      </c>
      <c r="K563" s="919"/>
      <c r="L563" s="914">
        <f t="shared" si="82"/>
        <v>0</v>
      </c>
      <c r="M563" s="919"/>
      <c r="N563" s="914">
        <f t="shared" si="74"/>
        <v>0</v>
      </c>
      <c r="O563" s="914"/>
      <c r="P563" s="914">
        <f t="shared" si="75"/>
        <v>0</v>
      </c>
      <c r="Q563" s="914"/>
      <c r="R563" s="914">
        <f t="shared" si="76"/>
        <v>0</v>
      </c>
      <c r="S563" s="915">
        <f t="shared" si="77"/>
        <v>0</v>
      </c>
      <c r="T563" s="911">
        <f t="shared" si="78"/>
        <v>0</v>
      </c>
    </row>
    <row r="564" spans="1:114" ht="250.5" hidden="1" customHeight="1">
      <c r="A564" s="931"/>
      <c r="B564" s="906" t="s">
        <v>6645</v>
      </c>
      <c r="C564" s="921">
        <f>DATA!X118</f>
        <v>74.849999999999994</v>
      </c>
      <c r="D564" s="908"/>
      <c r="E564" s="919"/>
      <c r="F564" s="1053">
        <f t="shared" si="79"/>
        <v>0</v>
      </c>
      <c r="G564" s="919"/>
      <c r="H564" s="914">
        <f t="shared" si="80"/>
        <v>0</v>
      </c>
      <c r="I564" s="919"/>
      <c r="J564" s="914">
        <f t="shared" si="81"/>
        <v>0</v>
      </c>
      <c r="K564" s="919"/>
      <c r="L564" s="914">
        <f t="shared" si="82"/>
        <v>0</v>
      </c>
      <c r="M564" s="919"/>
      <c r="N564" s="914">
        <f t="shared" ref="N564:N627" si="83">M564*C564</f>
        <v>0</v>
      </c>
      <c r="O564" s="914"/>
      <c r="P564" s="914">
        <f t="shared" si="75"/>
        <v>0</v>
      </c>
      <c r="Q564" s="914"/>
      <c r="R564" s="914">
        <f t="shared" si="76"/>
        <v>0</v>
      </c>
      <c r="S564" s="915">
        <f t="shared" si="77"/>
        <v>0</v>
      </c>
      <c r="T564" s="911">
        <f t="shared" si="78"/>
        <v>0</v>
      </c>
    </row>
    <row r="565" spans="1:114" ht="250.5" hidden="1" customHeight="1">
      <c r="A565" s="931"/>
      <c r="B565" s="906" t="s">
        <v>6646</v>
      </c>
      <c r="C565" s="921">
        <f>DATA!X133</f>
        <v>112.28</v>
      </c>
      <c r="D565" s="908"/>
      <c r="E565" s="919"/>
      <c r="F565" s="1053">
        <f t="shared" si="79"/>
        <v>0</v>
      </c>
      <c r="G565" s="919"/>
      <c r="H565" s="914">
        <f t="shared" si="80"/>
        <v>0</v>
      </c>
      <c r="I565" s="919"/>
      <c r="J565" s="914">
        <f t="shared" si="81"/>
        <v>0</v>
      </c>
      <c r="K565" s="919"/>
      <c r="L565" s="914">
        <f t="shared" si="82"/>
        <v>0</v>
      </c>
      <c r="M565" s="919"/>
      <c r="N565" s="914">
        <f t="shared" si="83"/>
        <v>0</v>
      </c>
      <c r="O565" s="914"/>
      <c r="P565" s="914">
        <f t="shared" si="75"/>
        <v>0</v>
      </c>
      <c r="Q565" s="914"/>
      <c r="R565" s="914">
        <f t="shared" si="76"/>
        <v>0</v>
      </c>
      <c r="S565" s="915">
        <f t="shared" si="77"/>
        <v>0</v>
      </c>
      <c r="T565" s="911">
        <f t="shared" si="78"/>
        <v>0</v>
      </c>
    </row>
    <row r="566" spans="1:114" ht="250.5" hidden="1" customHeight="1">
      <c r="A566" s="905">
        <v>8.4</v>
      </c>
      <c r="B566" s="924" t="s">
        <v>231</v>
      </c>
      <c r="C566" s="921"/>
      <c r="D566" s="908"/>
      <c r="E566" s="919"/>
      <c r="F566" s="1053">
        <f t="shared" si="79"/>
        <v>0</v>
      </c>
      <c r="G566" s="919"/>
      <c r="H566" s="914">
        <f t="shared" si="80"/>
        <v>0</v>
      </c>
      <c r="I566" s="919"/>
      <c r="J566" s="914">
        <f t="shared" si="81"/>
        <v>0</v>
      </c>
      <c r="K566" s="919"/>
      <c r="L566" s="914">
        <f t="shared" si="82"/>
        <v>0</v>
      </c>
      <c r="M566" s="919"/>
      <c r="N566" s="914">
        <f t="shared" si="83"/>
        <v>0</v>
      </c>
      <c r="O566" s="914"/>
      <c r="P566" s="914">
        <f t="shared" si="75"/>
        <v>0</v>
      </c>
      <c r="Q566" s="914"/>
      <c r="R566" s="914">
        <f t="shared" si="76"/>
        <v>0</v>
      </c>
      <c r="S566" s="915">
        <f t="shared" si="77"/>
        <v>0</v>
      </c>
      <c r="T566" s="911">
        <f t="shared" si="78"/>
        <v>0</v>
      </c>
    </row>
    <row r="567" spans="1:114" ht="250.5" hidden="1" customHeight="1">
      <c r="A567" s="905"/>
      <c r="B567" s="906" t="s">
        <v>2119</v>
      </c>
      <c r="C567" s="921">
        <f>ROUND(DATA!K2911,2)</f>
        <v>7527.2</v>
      </c>
      <c r="D567" s="908" t="s">
        <v>2142</v>
      </c>
      <c r="E567" s="919"/>
      <c r="F567" s="1053">
        <f t="shared" si="79"/>
        <v>0</v>
      </c>
      <c r="G567" s="919"/>
      <c r="H567" s="914">
        <f t="shared" si="80"/>
        <v>0</v>
      </c>
      <c r="I567" s="919"/>
      <c r="J567" s="914">
        <f t="shared" si="81"/>
        <v>0</v>
      </c>
      <c r="K567" s="919"/>
      <c r="L567" s="914">
        <f t="shared" si="82"/>
        <v>0</v>
      </c>
      <c r="M567" s="919"/>
      <c r="N567" s="914">
        <f t="shared" si="83"/>
        <v>0</v>
      </c>
      <c r="O567" s="914"/>
      <c r="P567" s="914">
        <f t="shared" si="75"/>
        <v>0</v>
      </c>
      <c r="Q567" s="914"/>
      <c r="R567" s="914">
        <f t="shared" si="76"/>
        <v>0</v>
      </c>
      <c r="S567" s="915">
        <f t="shared" si="77"/>
        <v>0</v>
      </c>
      <c r="T567" s="911">
        <f t="shared" si="78"/>
        <v>0</v>
      </c>
    </row>
    <row r="568" spans="1:114" ht="250.5" hidden="1" customHeight="1">
      <c r="A568" s="905"/>
      <c r="B568" s="906" t="s">
        <v>2120</v>
      </c>
      <c r="C568" s="921">
        <f>ROUND(DATA!K2913,2)</f>
        <v>7647.05</v>
      </c>
      <c r="D568" s="908" t="s">
        <v>2142</v>
      </c>
      <c r="E568" s="919"/>
      <c r="F568" s="1053">
        <f t="shared" si="79"/>
        <v>0</v>
      </c>
      <c r="G568" s="919"/>
      <c r="H568" s="914">
        <f t="shared" si="80"/>
        <v>0</v>
      </c>
      <c r="I568" s="919"/>
      <c r="J568" s="914">
        <f t="shared" si="81"/>
        <v>0</v>
      </c>
      <c r="K568" s="919"/>
      <c r="L568" s="914">
        <f t="shared" si="82"/>
        <v>0</v>
      </c>
      <c r="M568" s="919"/>
      <c r="N568" s="914">
        <f t="shared" si="83"/>
        <v>0</v>
      </c>
      <c r="O568" s="914"/>
      <c r="P568" s="914">
        <f t="shared" si="75"/>
        <v>0</v>
      </c>
      <c r="Q568" s="914"/>
      <c r="R568" s="914">
        <f t="shared" si="76"/>
        <v>0</v>
      </c>
      <c r="S568" s="915">
        <f t="shared" si="77"/>
        <v>0</v>
      </c>
      <c r="T568" s="911">
        <f t="shared" si="78"/>
        <v>0</v>
      </c>
    </row>
    <row r="569" spans="1:114" ht="250.5" hidden="1" customHeight="1">
      <c r="A569" s="905"/>
      <c r="B569" s="906" t="s">
        <v>2121</v>
      </c>
      <c r="C569" s="921">
        <f>ROUND(DATA!K2914,2)</f>
        <v>7883.15</v>
      </c>
      <c r="D569" s="908" t="s">
        <v>2142</v>
      </c>
      <c r="E569" s="919"/>
      <c r="F569" s="1053">
        <f t="shared" si="79"/>
        <v>0</v>
      </c>
      <c r="G569" s="919"/>
      <c r="H569" s="914">
        <f t="shared" si="80"/>
        <v>0</v>
      </c>
      <c r="I569" s="919"/>
      <c r="J569" s="914">
        <f t="shared" si="81"/>
        <v>0</v>
      </c>
      <c r="K569" s="919"/>
      <c r="L569" s="914">
        <f t="shared" si="82"/>
        <v>0</v>
      </c>
      <c r="M569" s="919"/>
      <c r="N569" s="914">
        <f t="shared" si="83"/>
        <v>0</v>
      </c>
      <c r="O569" s="914"/>
      <c r="P569" s="914">
        <f t="shared" si="75"/>
        <v>0</v>
      </c>
      <c r="Q569" s="914"/>
      <c r="R569" s="914">
        <f t="shared" si="76"/>
        <v>0</v>
      </c>
      <c r="S569" s="915">
        <f t="shared" si="77"/>
        <v>0</v>
      </c>
      <c r="T569" s="911">
        <f t="shared" si="78"/>
        <v>0</v>
      </c>
    </row>
    <row r="570" spans="1:114" ht="250.5" hidden="1" customHeight="1">
      <c r="A570" s="931"/>
      <c r="B570" s="906" t="s">
        <v>2122</v>
      </c>
      <c r="C570" s="921">
        <f>ROUND(DATA!K2915,2)</f>
        <v>8119.25</v>
      </c>
      <c r="D570" s="908" t="s">
        <v>2142</v>
      </c>
      <c r="E570" s="919"/>
      <c r="F570" s="1053">
        <f t="shared" si="79"/>
        <v>0</v>
      </c>
      <c r="G570" s="919"/>
      <c r="H570" s="914">
        <f t="shared" si="80"/>
        <v>0</v>
      </c>
      <c r="I570" s="919"/>
      <c r="J570" s="914">
        <f t="shared" si="81"/>
        <v>0</v>
      </c>
      <c r="K570" s="919"/>
      <c r="L570" s="914">
        <f t="shared" si="82"/>
        <v>0</v>
      </c>
      <c r="M570" s="919"/>
      <c r="N570" s="914">
        <f t="shared" si="83"/>
        <v>0</v>
      </c>
      <c r="O570" s="914"/>
      <c r="P570" s="914">
        <f t="shared" si="75"/>
        <v>0</v>
      </c>
      <c r="Q570" s="914"/>
      <c r="R570" s="914">
        <f t="shared" si="76"/>
        <v>0</v>
      </c>
      <c r="S570" s="915">
        <f t="shared" si="77"/>
        <v>0</v>
      </c>
      <c r="T570" s="911">
        <f t="shared" si="78"/>
        <v>0</v>
      </c>
    </row>
    <row r="571" spans="1:114" ht="250.5" hidden="1" customHeight="1">
      <c r="A571" s="905">
        <v>8.5</v>
      </c>
      <c r="B571" s="924" t="s">
        <v>1684</v>
      </c>
      <c r="C571" s="921"/>
      <c r="D571" s="908"/>
      <c r="E571" s="919"/>
      <c r="F571" s="1053">
        <f t="shared" si="79"/>
        <v>0</v>
      </c>
      <c r="G571" s="919"/>
      <c r="H571" s="914">
        <f t="shared" si="80"/>
        <v>0</v>
      </c>
      <c r="I571" s="919"/>
      <c r="J571" s="914">
        <f t="shared" si="81"/>
        <v>0</v>
      </c>
      <c r="K571" s="919"/>
      <c r="L571" s="914">
        <f t="shared" si="82"/>
        <v>0</v>
      </c>
      <c r="M571" s="919"/>
      <c r="N571" s="914">
        <f t="shared" si="83"/>
        <v>0</v>
      </c>
      <c r="O571" s="914"/>
      <c r="P571" s="914">
        <f t="shared" si="75"/>
        <v>0</v>
      </c>
      <c r="Q571" s="914"/>
      <c r="R571" s="914">
        <f t="shared" si="76"/>
        <v>0</v>
      </c>
      <c r="S571" s="915">
        <f t="shared" si="77"/>
        <v>0</v>
      </c>
      <c r="T571" s="911">
        <f t="shared" si="78"/>
        <v>0</v>
      </c>
    </row>
    <row r="572" spans="1:114" ht="250.5" hidden="1" customHeight="1">
      <c r="A572" s="905"/>
      <c r="B572" s="906" t="s">
        <v>232</v>
      </c>
      <c r="C572" s="921">
        <f>ROUND(DATA!K2931,2)</f>
        <v>695.39</v>
      </c>
      <c r="D572" s="908" t="s">
        <v>823</v>
      </c>
      <c r="E572" s="919"/>
      <c r="F572" s="1053">
        <f t="shared" si="79"/>
        <v>0</v>
      </c>
      <c r="G572" s="919"/>
      <c r="H572" s="914">
        <f t="shared" si="80"/>
        <v>0</v>
      </c>
      <c r="I572" s="919"/>
      <c r="J572" s="914">
        <f t="shared" si="81"/>
        <v>0</v>
      </c>
      <c r="K572" s="919"/>
      <c r="L572" s="914">
        <f t="shared" si="82"/>
        <v>0</v>
      </c>
      <c r="M572" s="919"/>
      <c r="N572" s="914">
        <f t="shared" si="83"/>
        <v>0</v>
      </c>
      <c r="O572" s="914"/>
      <c r="P572" s="914">
        <f t="shared" si="75"/>
        <v>0</v>
      </c>
      <c r="Q572" s="914"/>
      <c r="R572" s="914">
        <f t="shared" si="76"/>
        <v>0</v>
      </c>
      <c r="S572" s="915">
        <f t="shared" si="77"/>
        <v>0</v>
      </c>
      <c r="T572" s="911">
        <f t="shared" si="78"/>
        <v>0</v>
      </c>
    </row>
    <row r="573" spans="1:114" ht="250.5" hidden="1" customHeight="1">
      <c r="A573" s="905"/>
      <c r="B573" s="906" t="s">
        <v>233</v>
      </c>
      <c r="C573" s="921">
        <f>ROUND(DATA!K2940,2)</f>
        <v>699.44</v>
      </c>
      <c r="D573" s="908" t="s">
        <v>823</v>
      </c>
      <c r="E573" s="919"/>
      <c r="F573" s="1053">
        <f t="shared" si="79"/>
        <v>0</v>
      </c>
      <c r="G573" s="919"/>
      <c r="H573" s="914">
        <f t="shared" si="80"/>
        <v>0</v>
      </c>
      <c r="I573" s="919"/>
      <c r="J573" s="914">
        <f t="shared" si="81"/>
        <v>0</v>
      </c>
      <c r="K573" s="919"/>
      <c r="L573" s="914">
        <f t="shared" si="82"/>
        <v>0</v>
      </c>
      <c r="M573" s="919"/>
      <c r="N573" s="914">
        <f t="shared" si="83"/>
        <v>0</v>
      </c>
      <c r="O573" s="914"/>
      <c r="P573" s="914">
        <f t="shared" si="75"/>
        <v>0</v>
      </c>
      <c r="Q573" s="914"/>
      <c r="R573" s="914">
        <f t="shared" si="76"/>
        <v>0</v>
      </c>
      <c r="S573" s="915">
        <f t="shared" si="77"/>
        <v>0</v>
      </c>
      <c r="T573" s="911">
        <f t="shared" si="78"/>
        <v>0</v>
      </c>
    </row>
    <row r="574" spans="1:114" ht="250.5" hidden="1" customHeight="1">
      <c r="A574" s="905"/>
      <c r="B574" s="906" t="s">
        <v>234</v>
      </c>
      <c r="C574" s="921">
        <f>ROUND(DATA!K2950,2)</f>
        <v>703.49</v>
      </c>
      <c r="D574" s="908" t="s">
        <v>823</v>
      </c>
      <c r="E574" s="919"/>
      <c r="F574" s="1053">
        <f t="shared" si="79"/>
        <v>0</v>
      </c>
      <c r="G574" s="919"/>
      <c r="H574" s="914">
        <f t="shared" si="80"/>
        <v>0</v>
      </c>
      <c r="I574" s="919"/>
      <c r="J574" s="914">
        <f t="shared" si="81"/>
        <v>0</v>
      </c>
      <c r="K574" s="919"/>
      <c r="L574" s="914">
        <f t="shared" si="82"/>
        <v>0</v>
      </c>
      <c r="M574" s="919"/>
      <c r="N574" s="914">
        <f t="shared" si="83"/>
        <v>0</v>
      </c>
      <c r="O574" s="914"/>
      <c r="P574" s="914">
        <f t="shared" si="75"/>
        <v>0</v>
      </c>
      <c r="Q574" s="914"/>
      <c r="R574" s="914">
        <f t="shared" si="76"/>
        <v>0</v>
      </c>
      <c r="S574" s="915">
        <f t="shared" si="77"/>
        <v>0</v>
      </c>
      <c r="T574" s="911">
        <f t="shared" si="78"/>
        <v>0</v>
      </c>
    </row>
    <row r="575" spans="1:114" ht="250.5" hidden="1" customHeight="1">
      <c r="A575" s="931"/>
      <c r="B575" s="924" t="s">
        <v>4475</v>
      </c>
      <c r="C575" s="957"/>
      <c r="D575" s="957"/>
      <c r="E575" s="919"/>
      <c r="F575" s="1053">
        <f t="shared" si="79"/>
        <v>0</v>
      </c>
      <c r="G575" s="919"/>
      <c r="H575" s="914">
        <f t="shared" si="80"/>
        <v>0</v>
      </c>
      <c r="I575" s="919"/>
      <c r="J575" s="914">
        <f t="shared" si="81"/>
        <v>0</v>
      </c>
      <c r="K575" s="919"/>
      <c r="L575" s="914">
        <f t="shared" si="82"/>
        <v>0</v>
      </c>
      <c r="M575" s="919"/>
      <c r="N575" s="914">
        <f t="shared" si="83"/>
        <v>0</v>
      </c>
      <c r="O575" s="914"/>
      <c r="P575" s="914">
        <f t="shared" si="75"/>
        <v>0</v>
      </c>
      <c r="Q575" s="914"/>
      <c r="R575" s="914">
        <f t="shared" si="76"/>
        <v>0</v>
      </c>
      <c r="S575" s="915">
        <f t="shared" si="77"/>
        <v>0</v>
      </c>
      <c r="T575" s="911">
        <f t="shared" si="78"/>
        <v>0</v>
      </c>
    </row>
    <row r="576" spans="1:114" ht="250.5" hidden="1" customHeight="1">
      <c r="A576" s="931"/>
      <c r="B576" s="924" t="s">
        <v>4116</v>
      </c>
      <c r="C576" s="906">
        <f>'pile data '!F17</f>
        <v>3302.27</v>
      </c>
      <c r="D576" s="906" t="s">
        <v>823</v>
      </c>
      <c r="E576" s="919"/>
      <c r="F576" s="1053">
        <f t="shared" si="79"/>
        <v>0</v>
      </c>
      <c r="G576" s="919"/>
      <c r="H576" s="914">
        <f t="shared" si="80"/>
        <v>0</v>
      </c>
      <c r="I576" s="919"/>
      <c r="J576" s="914">
        <f t="shared" si="81"/>
        <v>0</v>
      </c>
      <c r="K576" s="919"/>
      <c r="L576" s="914">
        <f t="shared" si="82"/>
        <v>0</v>
      </c>
      <c r="M576" s="919"/>
      <c r="N576" s="914">
        <f t="shared" si="83"/>
        <v>0</v>
      </c>
      <c r="O576" s="914"/>
      <c r="P576" s="914">
        <f t="shared" si="75"/>
        <v>0</v>
      </c>
      <c r="Q576" s="914"/>
      <c r="R576" s="914">
        <f t="shared" si="76"/>
        <v>0</v>
      </c>
      <c r="S576" s="915">
        <f t="shared" si="77"/>
        <v>0</v>
      </c>
      <c r="T576" s="911">
        <f t="shared" si="78"/>
        <v>0</v>
      </c>
    </row>
    <row r="577" spans="1:20" ht="250.5" hidden="1" customHeight="1">
      <c r="A577" s="931"/>
      <c r="B577" s="924" t="s">
        <v>4117</v>
      </c>
      <c r="C577" s="906">
        <f>'pile data '!F81</f>
        <v>4150.28</v>
      </c>
      <c r="D577" s="906" t="s">
        <v>823</v>
      </c>
      <c r="E577" s="919"/>
      <c r="F577" s="1053">
        <f t="shared" si="79"/>
        <v>0</v>
      </c>
      <c r="G577" s="919"/>
      <c r="H577" s="914">
        <f t="shared" si="80"/>
        <v>0</v>
      </c>
      <c r="I577" s="919"/>
      <c r="J577" s="914">
        <f t="shared" si="81"/>
        <v>0</v>
      </c>
      <c r="K577" s="919"/>
      <c r="L577" s="914">
        <f t="shared" si="82"/>
        <v>0</v>
      </c>
      <c r="M577" s="919"/>
      <c r="N577" s="914">
        <f t="shared" si="83"/>
        <v>0</v>
      </c>
      <c r="O577" s="914"/>
      <c r="P577" s="914">
        <f t="shared" si="75"/>
        <v>0</v>
      </c>
      <c r="Q577" s="914"/>
      <c r="R577" s="914">
        <f t="shared" si="76"/>
        <v>0</v>
      </c>
      <c r="S577" s="915">
        <f t="shared" si="77"/>
        <v>0</v>
      </c>
      <c r="T577" s="911">
        <f t="shared" si="78"/>
        <v>0</v>
      </c>
    </row>
    <row r="578" spans="1:20" ht="250.5" hidden="1" customHeight="1">
      <c r="A578" s="905"/>
      <c r="B578" s="924" t="s">
        <v>4118</v>
      </c>
      <c r="C578" s="906">
        <f>'pile data '!F141</f>
        <v>2524.2600000000002</v>
      </c>
      <c r="D578" s="906" t="s">
        <v>823</v>
      </c>
      <c r="E578" s="919"/>
      <c r="F578" s="1053">
        <f t="shared" si="79"/>
        <v>0</v>
      </c>
      <c r="G578" s="919"/>
      <c r="H578" s="914">
        <f t="shared" si="80"/>
        <v>0</v>
      </c>
      <c r="I578" s="919"/>
      <c r="J578" s="914">
        <f t="shared" si="81"/>
        <v>0</v>
      </c>
      <c r="K578" s="919"/>
      <c r="L578" s="914">
        <f t="shared" si="82"/>
        <v>0</v>
      </c>
      <c r="M578" s="919"/>
      <c r="N578" s="914">
        <f t="shared" si="83"/>
        <v>0</v>
      </c>
      <c r="O578" s="914"/>
      <c r="P578" s="914">
        <f t="shared" si="75"/>
        <v>0</v>
      </c>
      <c r="Q578" s="914"/>
      <c r="R578" s="914">
        <f t="shared" si="76"/>
        <v>0</v>
      </c>
      <c r="S578" s="915">
        <f t="shared" si="77"/>
        <v>0</v>
      </c>
      <c r="T578" s="911">
        <f t="shared" si="78"/>
        <v>0</v>
      </c>
    </row>
    <row r="579" spans="1:20" ht="250.5" hidden="1" customHeight="1">
      <c r="A579" s="905"/>
      <c r="B579" s="958" t="s">
        <v>4476</v>
      </c>
      <c r="C579" s="921"/>
      <c r="D579" s="908"/>
      <c r="E579" s="919"/>
      <c r="F579" s="1053">
        <f t="shared" si="79"/>
        <v>0</v>
      </c>
      <c r="G579" s="919"/>
      <c r="H579" s="914">
        <f t="shared" si="80"/>
        <v>0</v>
      </c>
      <c r="I579" s="919"/>
      <c r="J579" s="914">
        <f t="shared" si="81"/>
        <v>0</v>
      </c>
      <c r="K579" s="919"/>
      <c r="L579" s="914">
        <f t="shared" si="82"/>
        <v>0</v>
      </c>
      <c r="M579" s="919"/>
      <c r="N579" s="914">
        <f t="shared" si="83"/>
        <v>0</v>
      </c>
      <c r="O579" s="914"/>
      <c r="P579" s="914">
        <f t="shared" si="75"/>
        <v>0</v>
      </c>
      <c r="Q579" s="914"/>
      <c r="R579" s="914">
        <f t="shared" si="76"/>
        <v>0</v>
      </c>
      <c r="S579" s="915">
        <f t="shared" si="77"/>
        <v>0</v>
      </c>
      <c r="T579" s="911">
        <f t="shared" si="78"/>
        <v>0</v>
      </c>
    </row>
    <row r="580" spans="1:20" ht="250.5" hidden="1" customHeight="1">
      <c r="A580" s="905"/>
      <c r="B580" s="924" t="s">
        <v>4116</v>
      </c>
      <c r="C580" s="959">
        <f>'pile data '!F17</f>
        <v>3302.27</v>
      </c>
      <c r="D580" s="960" t="s">
        <v>823</v>
      </c>
      <c r="E580" s="919"/>
      <c r="F580" s="1053">
        <f t="shared" si="79"/>
        <v>0</v>
      </c>
      <c r="G580" s="919"/>
      <c r="H580" s="914">
        <f t="shared" si="80"/>
        <v>0</v>
      </c>
      <c r="I580" s="919"/>
      <c r="J580" s="914">
        <f t="shared" si="81"/>
        <v>0</v>
      </c>
      <c r="K580" s="919"/>
      <c r="L580" s="914">
        <f t="shared" si="82"/>
        <v>0</v>
      </c>
      <c r="M580" s="919"/>
      <c r="N580" s="914">
        <f t="shared" si="83"/>
        <v>0</v>
      </c>
      <c r="O580" s="914"/>
      <c r="P580" s="914">
        <f t="shared" si="75"/>
        <v>0</v>
      </c>
      <c r="Q580" s="914"/>
      <c r="R580" s="914">
        <f t="shared" si="76"/>
        <v>0</v>
      </c>
      <c r="S580" s="915">
        <f t="shared" si="77"/>
        <v>0</v>
      </c>
      <c r="T580" s="911">
        <f t="shared" si="78"/>
        <v>0</v>
      </c>
    </row>
    <row r="581" spans="1:20" ht="250.5" hidden="1" customHeight="1">
      <c r="A581" s="905"/>
      <c r="B581" s="924" t="s">
        <v>4117</v>
      </c>
      <c r="C581" s="921">
        <f>'pile data '!F92</f>
        <v>1813.89</v>
      </c>
      <c r="D581" s="908"/>
      <c r="E581" s="919"/>
      <c r="F581" s="1053">
        <f t="shared" si="79"/>
        <v>0</v>
      </c>
      <c r="G581" s="919"/>
      <c r="H581" s="914">
        <f t="shared" si="80"/>
        <v>0</v>
      </c>
      <c r="I581" s="919"/>
      <c r="J581" s="914">
        <f t="shared" si="81"/>
        <v>0</v>
      </c>
      <c r="K581" s="919"/>
      <c r="L581" s="914">
        <f t="shared" si="82"/>
        <v>0</v>
      </c>
      <c r="M581" s="919"/>
      <c r="N581" s="914">
        <f t="shared" si="83"/>
        <v>0</v>
      </c>
      <c r="O581" s="914"/>
      <c r="P581" s="914">
        <f t="shared" si="75"/>
        <v>0</v>
      </c>
      <c r="Q581" s="914"/>
      <c r="R581" s="914">
        <f t="shared" si="76"/>
        <v>0</v>
      </c>
      <c r="S581" s="915">
        <f t="shared" si="77"/>
        <v>0</v>
      </c>
      <c r="T581" s="911">
        <f t="shared" si="78"/>
        <v>0</v>
      </c>
    </row>
    <row r="582" spans="1:20" ht="250.5" hidden="1" customHeight="1">
      <c r="A582" s="905"/>
      <c r="B582" s="924" t="s">
        <v>4118</v>
      </c>
      <c r="C582" s="959">
        <f>'pile data '!F152</f>
        <v>816.25</v>
      </c>
      <c r="D582" s="960" t="s">
        <v>823</v>
      </c>
      <c r="E582" s="919"/>
      <c r="F582" s="1053">
        <f t="shared" si="79"/>
        <v>0</v>
      </c>
      <c r="G582" s="919"/>
      <c r="H582" s="914">
        <f t="shared" si="80"/>
        <v>0</v>
      </c>
      <c r="I582" s="919"/>
      <c r="J582" s="914">
        <f t="shared" si="81"/>
        <v>0</v>
      </c>
      <c r="K582" s="919"/>
      <c r="L582" s="914">
        <f t="shared" si="82"/>
        <v>0</v>
      </c>
      <c r="M582" s="919"/>
      <c r="N582" s="914">
        <f t="shared" si="83"/>
        <v>0</v>
      </c>
      <c r="O582" s="914"/>
      <c r="P582" s="914">
        <f t="shared" ref="P582:P646" si="84">O582*C582</f>
        <v>0</v>
      </c>
      <c r="Q582" s="914"/>
      <c r="R582" s="914">
        <f t="shared" si="76"/>
        <v>0</v>
      </c>
      <c r="S582" s="915">
        <f t="shared" si="77"/>
        <v>0</v>
      </c>
      <c r="T582" s="911">
        <f t="shared" si="78"/>
        <v>0</v>
      </c>
    </row>
    <row r="583" spans="1:20" ht="250.5" hidden="1" customHeight="1">
      <c r="A583" s="905"/>
      <c r="B583" s="958" t="s">
        <v>3770</v>
      </c>
      <c r="C583" s="959">
        <v>70000</v>
      </c>
      <c r="D583" s="961" t="s">
        <v>1427</v>
      </c>
      <c r="E583" s="919"/>
      <c r="F583" s="1053">
        <f t="shared" si="79"/>
        <v>0</v>
      </c>
      <c r="G583" s="919"/>
      <c r="H583" s="914">
        <f t="shared" si="80"/>
        <v>0</v>
      </c>
      <c r="I583" s="919"/>
      <c r="J583" s="914">
        <f t="shared" si="81"/>
        <v>0</v>
      </c>
      <c r="K583" s="919"/>
      <c r="L583" s="914">
        <f t="shared" si="82"/>
        <v>0</v>
      </c>
      <c r="M583" s="919"/>
      <c r="N583" s="914">
        <f t="shared" si="83"/>
        <v>0</v>
      </c>
      <c r="O583" s="914"/>
      <c r="P583" s="914">
        <f t="shared" si="84"/>
        <v>0</v>
      </c>
      <c r="Q583" s="914"/>
      <c r="R583" s="914">
        <f t="shared" ref="R583:R647" si="85">Q583*C583</f>
        <v>0</v>
      </c>
      <c r="S583" s="915">
        <f t="shared" ref="S583:S646" si="86">G583+I583+K583+M583+E583+O583+Q583</f>
        <v>0</v>
      </c>
      <c r="T583" s="911">
        <f t="shared" ref="T583:T646" si="87">S583*C583</f>
        <v>0</v>
      </c>
    </row>
    <row r="584" spans="1:20" ht="250.5" hidden="1" customHeight="1">
      <c r="A584" s="905"/>
      <c r="B584" s="958" t="s">
        <v>3771</v>
      </c>
      <c r="C584" s="959">
        <v>50000</v>
      </c>
      <c r="D584" s="961" t="s">
        <v>279</v>
      </c>
      <c r="E584" s="919"/>
      <c r="F584" s="1053">
        <f t="shared" si="79"/>
        <v>0</v>
      </c>
      <c r="G584" s="919"/>
      <c r="H584" s="914">
        <f t="shared" si="80"/>
        <v>0</v>
      </c>
      <c r="I584" s="919"/>
      <c r="J584" s="914">
        <f t="shared" si="81"/>
        <v>0</v>
      </c>
      <c r="K584" s="919"/>
      <c r="L584" s="914">
        <f t="shared" si="82"/>
        <v>0</v>
      </c>
      <c r="M584" s="919"/>
      <c r="N584" s="914">
        <f t="shared" si="83"/>
        <v>0</v>
      </c>
      <c r="O584" s="914"/>
      <c r="P584" s="914">
        <f t="shared" si="84"/>
        <v>0</v>
      </c>
      <c r="Q584" s="914"/>
      <c r="R584" s="914">
        <f t="shared" si="85"/>
        <v>0</v>
      </c>
      <c r="S584" s="915">
        <f t="shared" si="86"/>
        <v>0</v>
      </c>
      <c r="T584" s="911">
        <f t="shared" si="87"/>
        <v>0</v>
      </c>
    </row>
    <row r="585" spans="1:20" ht="250.5" hidden="1" customHeight="1">
      <c r="A585" s="905"/>
      <c r="B585" s="958" t="s">
        <v>3774</v>
      </c>
      <c r="C585" s="959">
        <f>DATA!K2448</f>
        <v>766.92</v>
      </c>
      <c r="D585" s="961" t="s">
        <v>2273</v>
      </c>
      <c r="E585" s="919"/>
      <c r="F585" s="1053">
        <f t="shared" si="79"/>
        <v>0</v>
      </c>
      <c r="G585" s="919"/>
      <c r="H585" s="914">
        <f t="shared" si="80"/>
        <v>0</v>
      </c>
      <c r="I585" s="919"/>
      <c r="J585" s="914">
        <f t="shared" si="81"/>
        <v>0</v>
      </c>
      <c r="K585" s="919"/>
      <c r="L585" s="914">
        <f t="shared" si="82"/>
        <v>0</v>
      </c>
      <c r="M585" s="919"/>
      <c r="N585" s="914">
        <f t="shared" si="83"/>
        <v>0</v>
      </c>
      <c r="O585" s="914"/>
      <c r="P585" s="914">
        <f t="shared" si="84"/>
        <v>0</v>
      </c>
      <c r="Q585" s="914"/>
      <c r="R585" s="914">
        <f t="shared" si="85"/>
        <v>0</v>
      </c>
      <c r="S585" s="915">
        <f t="shared" si="86"/>
        <v>0</v>
      </c>
      <c r="T585" s="911">
        <f t="shared" si="87"/>
        <v>0</v>
      </c>
    </row>
    <row r="586" spans="1:20" ht="250.5" customHeight="1">
      <c r="A586" s="958">
        <v>3.8</v>
      </c>
      <c r="B586" s="949" t="s">
        <v>4371</v>
      </c>
      <c r="C586" s="949">
        <f>DATA!R204</f>
        <v>6057.95</v>
      </c>
      <c r="D586" s="961" t="s">
        <v>2142</v>
      </c>
      <c r="E586" s="919"/>
      <c r="F586" s="1053">
        <f t="shared" si="79"/>
        <v>0</v>
      </c>
      <c r="G586" s="919"/>
      <c r="H586" s="914">
        <f t="shared" si="80"/>
        <v>0</v>
      </c>
      <c r="I586" s="919"/>
      <c r="J586" s="914">
        <f t="shared" si="81"/>
        <v>0</v>
      </c>
      <c r="K586" s="919"/>
      <c r="L586" s="914">
        <f t="shared" si="82"/>
        <v>0</v>
      </c>
      <c r="M586" s="919"/>
      <c r="N586" s="914">
        <f t="shared" si="83"/>
        <v>0</v>
      </c>
      <c r="O586" s="914"/>
      <c r="P586" s="914">
        <f t="shared" si="84"/>
        <v>0</v>
      </c>
      <c r="Q586" s="914"/>
      <c r="R586" s="914">
        <f t="shared" si="85"/>
        <v>0</v>
      </c>
      <c r="S586" s="915">
        <f t="shared" si="86"/>
        <v>0</v>
      </c>
      <c r="T586" s="911">
        <f t="shared" si="87"/>
        <v>0</v>
      </c>
    </row>
    <row r="587" spans="1:20" ht="250.5" customHeight="1">
      <c r="A587" s="958">
        <v>3.3</v>
      </c>
      <c r="B587" s="949" t="s">
        <v>4370</v>
      </c>
      <c r="C587" s="949">
        <f>DATA!R240</f>
        <v>5354.51</v>
      </c>
      <c r="D587" s="961" t="s">
        <v>2142</v>
      </c>
      <c r="E587" s="919"/>
      <c r="F587" s="1053">
        <f t="shared" ref="F587:F651" si="88">E587*C587</f>
        <v>0</v>
      </c>
      <c r="G587" s="919"/>
      <c r="H587" s="914">
        <f t="shared" ref="H587:H651" si="89">G587*C587</f>
        <v>0</v>
      </c>
      <c r="I587" s="919"/>
      <c r="J587" s="914">
        <f t="shared" ref="J587:J651" si="90">I587*C587</f>
        <v>0</v>
      </c>
      <c r="K587" s="919"/>
      <c r="L587" s="914">
        <f t="shared" ref="L587:L651" si="91">K587*C587</f>
        <v>0</v>
      </c>
      <c r="M587" s="919"/>
      <c r="N587" s="914">
        <f t="shared" si="83"/>
        <v>0</v>
      </c>
      <c r="O587" s="914"/>
      <c r="P587" s="914">
        <f t="shared" si="84"/>
        <v>0</v>
      </c>
      <c r="Q587" s="914"/>
      <c r="R587" s="914">
        <f t="shared" si="85"/>
        <v>0</v>
      </c>
      <c r="S587" s="915">
        <f t="shared" si="86"/>
        <v>0</v>
      </c>
      <c r="T587" s="911">
        <f t="shared" si="87"/>
        <v>0</v>
      </c>
    </row>
    <row r="588" spans="1:20" ht="250.5" customHeight="1">
      <c r="A588" s="958"/>
      <c r="B588" s="949" t="s">
        <v>3506</v>
      </c>
      <c r="C588" s="949">
        <f>DATA!X204</f>
        <v>5680.67</v>
      </c>
      <c r="D588" s="961" t="s">
        <v>2142</v>
      </c>
      <c r="E588" s="919"/>
      <c r="F588" s="1053">
        <f t="shared" si="88"/>
        <v>0</v>
      </c>
      <c r="G588" s="919"/>
      <c r="H588" s="914">
        <f t="shared" si="89"/>
        <v>0</v>
      </c>
      <c r="I588" s="919"/>
      <c r="J588" s="914">
        <f t="shared" si="90"/>
        <v>0</v>
      </c>
      <c r="K588" s="919"/>
      <c r="L588" s="914">
        <f t="shared" si="91"/>
        <v>0</v>
      </c>
      <c r="M588" s="919"/>
      <c r="N588" s="914">
        <f t="shared" si="83"/>
        <v>0</v>
      </c>
      <c r="O588" s="914"/>
      <c r="P588" s="914">
        <f t="shared" si="84"/>
        <v>0</v>
      </c>
      <c r="Q588" s="914">
        <f>'DEV-2'!U588</f>
        <v>7.49</v>
      </c>
      <c r="R588" s="914">
        <f t="shared" si="85"/>
        <v>42548.22</v>
      </c>
      <c r="S588" s="915">
        <f t="shared" si="86"/>
        <v>7.49</v>
      </c>
      <c r="T588" s="911">
        <f t="shared" si="87"/>
        <v>42548.22</v>
      </c>
    </row>
    <row r="589" spans="1:20" ht="250.5" customHeight="1">
      <c r="A589" s="905">
        <v>18.100000000000001</v>
      </c>
      <c r="B589" s="924" t="s">
        <v>197</v>
      </c>
      <c r="C589" s="913"/>
      <c r="D589" s="908"/>
      <c r="E589" s="911"/>
      <c r="F589" s="1053">
        <f t="shared" si="88"/>
        <v>0</v>
      </c>
      <c r="G589" s="914"/>
      <c r="H589" s="914">
        <f t="shared" si="89"/>
        <v>0</v>
      </c>
      <c r="I589" s="914"/>
      <c r="J589" s="914">
        <f t="shared" si="90"/>
        <v>0</v>
      </c>
      <c r="K589" s="914"/>
      <c r="L589" s="914">
        <f t="shared" si="91"/>
        <v>0</v>
      </c>
      <c r="M589" s="914"/>
      <c r="N589" s="914">
        <f t="shared" si="83"/>
        <v>0</v>
      </c>
      <c r="O589" s="914"/>
      <c r="P589" s="914">
        <f t="shared" si="84"/>
        <v>0</v>
      </c>
      <c r="Q589" s="914"/>
      <c r="R589" s="914">
        <f t="shared" si="85"/>
        <v>0</v>
      </c>
      <c r="S589" s="915">
        <f t="shared" si="86"/>
        <v>0</v>
      </c>
      <c r="T589" s="911">
        <f t="shared" si="87"/>
        <v>0</v>
      </c>
    </row>
    <row r="590" spans="1:20" ht="250.5" customHeight="1">
      <c r="A590" s="905"/>
      <c r="B590" s="906" t="s">
        <v>1819</v>
      </c>
      <c r="C590" s="913">
        <f>ROUND(DATA!I2354,2)</f>
        <v>848.08</v>
      </c>
      <c r="D590" s="908" t="s">
        <v>2273</v>
      </c>
      <c r="E590" s="914">
        <f>DSP!H1545</f>
        <v>202.9</v>
      </c>
      <c r="F590" s="1053">
        <f t="shared" si="88"/>
        <v>172075.43</v>
      </c>
      <c r="G590" s="914"/>
      <c r="H590" s="914">
        <f t="shared" si="89"/>
        <v>0</v>
      </c>
      <c r="I590" s="914"/>
      <c r="J590" s="914">
        <f t="shared" si="90"/>
        <v>0</v>
      </c>
      <c r="K590" s="914"/>
      <c r="L590" s="914">
        <f t="shared" si="91"/>
        <v>0</v>
      </c>
      <c r="M590" s="914"/>
      <c r="N590" s="914">
        <f t="shared" si="83"/>
        <v>0</v>
      </c>
      <c r="O590" s="914">
        <v>74.459999999999994</v>
      </c>
      <c r="P590" s="914">
        <f t="shared" si="84"/>
        <v>63148.04</v>
      </c>
      <c r="Q590" s="914">
        <f>'DEV-2'!U590</f>
        <v>49.18</v>
      </c>
      <c r="R590" s="914">
        <f t="shared" si="85"/>
        <v>41708.57</v>
      </c>
      <c r="S590" s="915">
        <f t="shared" si="86"/>
        <v>326.54000000000002</v>
      </c>
      <c r="T590" s="911">
        <f t="shared" si="87"/>
        <v>276932.03999999998</v>
      </c>
    </row>
    <row r="591" spans="1:20" ht="250.5" customHeight="1">
      <c r="A591" s="905"/>
      <c r="B591" s="906" t="s">
        <v>1071</v>
      </c>
      <c r="C591" s="913">
        <f>ROUND(DATA!I2356,2)</f>
        <v>946.62</v>
      </c>
      <c r="D591" s="908" t="s">
        <v>2273</v>
      </c>
      <c r="E591" s="914">
        <f>DSP!H1730</f>
        <v>608.20000000000005</v>
      </c>
      <c r="F591" s="1053">
        <f t="shared" si="88"/>
        <v>575734.28</v>
      </c>
      <c r="G591" s="914">
        <v>23.1</v>
      </c>
      <c r="H591" s="914">
        <f t="shared" si="89"/>
        <v>21866.92</v>
      </c>
      <c r="I591" s="914"/>
      <c r="J591" s="914">
        <f t="shared" si="90"/>
        <v>0</v>
      </c>
      <c r="K591" s="914"/>
      <c r="L591" s="914">
        <f t="shared" si="91"/>
        <v>0</v>
      </c>
      <c r="M591" s="914"/>
      <c r="N591" s="914">
        <f t="shared" si="83"/>
        <v>0</v>
      </c>
      <c r="O591" s="914"/>
      <c r="P591" s="914">
        <f t="shared" si="84"/>
        <v>0</v>
      </c>
      <c r="Q591" s="914">
        <f>'DEV-2'!U591</f>
        <v>14.24</v>
      </c>
      <c r="R591" s="914">
        <f t="shared" si="85"/>
        <v>13479.87</v>
      </c>
      <c r="S591" s="915">
        <f t="shared" si="86"/>
        <v>645.54</v>
      </c>
      <c r="T591" s="911">
        <f t="shared" si="87"/>
        <v>611081.06999999995</v>
      </c>
    </row>
    <row r="592" spans="1:20" ht="250.5" customHeight="1">
      <c r="A592" s="927"/>
      <c r="B592" s="906" t="s">
        <v>1647</v>
      </c>
      <c r="C592" s="913">
        <f>ROUND(DATA!I2358,2)</f>
        <v>1135.94</v>
      </c>
      <c r="D592" s="908" t="s">
        <v>2273</v>
      </c>
      <c r="E592" s="914">
        <f>DSP!H1792</f>
        <v>267.5</v>
      </c>
      <c r="F592" s="1053">
        <f t="shared" si="88"/>
        <v>303863.95</v>
      </c>
      <c r="G592" s="914">
        <v>4.4000000000000004</v>
      </c>
      <c r="H592" s="914">
        <f t="shared" si="89"/>
        <v>4998.1400000000003</v>
      </c>
      <c r="I592" s="914"/>
      <c r="J592" s="914">
        <f t="shared" si="90"/>
        <v>0</v>
      </c>
      <c r="K592" s="914"/>
      <c r="L592" s="914">
        <f t="shared" si="91"/>
        <v>0</v>
      </c>
      <c r="M592" s="914"/>
      <c r="N592" s="914">
        <f t="shared" si="83"/>
        <v>0</v>
      </c>
      <c r="O592" s="914">
        <v>25.66</v>
      </c>
      <c r="P592" s="914">
        <f t="shared" si="84"/>
        <v>29148.22</v>
      </c>
      <c r="Q592" s="914"/>
      <c r="R592" s="914">
        <f t="shared" si="85"/>
        <v>0</v>
      </c>
      <c r="S592" s="915">
        <f t="shared" si="86"/>
        <v>297.56</v>
      </c>
      <c r="T592" s="911">
        <f t="shared" si="87"/>
        <v>338010.31</v>
      </c>
    </row>
    <row r="593" spans="1:114" ht="108" customHeight="1">
      <c r="A593" s="943"/>
      <c r="B593" s="906" t="s">
        <v>3976</v>
      </c>
      <c r="C593" s="921">
        <f>DATA!I2360</f>
        <v>1041.28</v>
      </c>
      <c r="D593" s="908" t="s">
        <v>2273</v>
      </c>
      <c r="E593" s="914"/>
      <c r="F593" s="1053">
        <f t="shared" si="88"/>
        <v>0</v>
      </c>
      <c r="G593" s="914"/>
      <c r="H593" s="914">
        <f t="shared" si="89"/>
        <v>0</v>
      </c>
      <c r="I593" s="914"/>
      <c r="J593" s="914">
        <f t="shared" si="90"/>
        <v>0</v>
      </c>
      <c r="K593" s="914"/>
      <c r="L593" s="914">
        <f t="shared" si="91"/>
        <v>0</v>
      </c>
      <c r="M593" s="914"/>
      <c r="N593" s="914">
        <f t="shared" si="83"/>
        <v>0</v>
      </c>
      <c r="O593" s="914"/>
      <c r="P593" s="914">
        <f t="shared" si="84"/>
        <v>0</v>
      </c>
      <c r="Q593" s="914"/>
      <c r="R593" s="914">
        <f t="shared" si="85"/>
        <v>0</v>
      </c>
      <c r="S593" s="915">
        <f t="shared" si="86"/>
        <v>0</v>
      </c>
      <c r="T593" s="911">
        <f t="shared" si="87"/>
        <v>0</v>
      </c>
    </row>
    <row r="594" spans="1:114" ht="108" customHeight="1">
      <c r="A594" s="931"/>
      <c r="B594" s="906" t="s">
        <v>3794</v>
      </c>
      <c r="C594" s="913">
        <f>C592*2</f>
        <v>2271.88</v>
      </c>
      <c r="D594" s="908" t="s">
        <v>2273</v>
      </c>
      <c r="E594" s="919"/>
      <c r="F594" s="1053">
        <f t="shared" si="88"/>
        <v>0</v>
      </c>
      <c r="G594" s="919"/>
      <c r="H594" s="914">
        <f t="shared" si="89"/>
        <v>0</v>
      </c>
      <c r="I594" s="919"/>
      <c r="J594" s="914">
        <f t="shared" si="90"/>
        <v>0</v>
      </c>
      <c r="K594" s="919"/>
      <c r="L594" s="914">
        <f t="shared" si="91"/>
        <v>0</v>
      </c>
      <c r="M594" s="919"/>
      <c r="N594" s="914">
        <f t="shared" si="83"/>
        <v>0</v>
      </c>
      <c r="O594" s="914"/>
      <c r="P594" s="914">
        <f t="shared" si="84"/>
        <v>0</v>
      </c>
      <c r="Q594" s="914"/>
      <c r="R594" s="914">
        <f t="shared" si="85"/>
        <v>0</v>
      </c>
      <c r="S594" s="915">
        <f t="shared" si="86"/>
        <v>0</v>
      </c>
      <c r="T594" s="911">
        <f t="shared" si="87"/>
        <v>0</v>
      </c>
    </row>
    <row r="595" spans="1:114" ht="250.5" customHeight="1">
      <c r="A595" s="931"/>
      <c r="B595" s="906" t="s">
        <v>3797</v>
      </c>
      <c r="C595" s="913">
        <f>C591*1.5</f>
        <v>1419.93</v>
      </c>
      <c r="D595" s="908" t="s">
        <v>2273</v>
      </c>
      <c r="E595" s="914"/>
      <c r="F595" s="1053">
        <f t="shared" si="88"/>
        <v>0</v>
      </c>
      <c r="G595" s="914"/>
      <c r="H595" s="914">
        <f t="shared" si="89"/>
        <v>0</v>
      </c>
      <c r="I595" s="914"/>
      <c r="J595" s="914">
        <f t="shared" si="90"/>
        <v>0</v>
      </c>
      <c r="K595" s="914"/>
      <c r="L595" s="914">
        <f t="shared" si="91"/>
        <v>0</v>
      </c>
      <c r="M595" s="914"/>
      <c r="N595" s="914">
        <f t="shared" si="83"/>
        <v>0</v>
      </c>
      <c r="O595" s="914"/>
      <c r="P595" s="914">
        <f t="shared" si="84"/>
        <v>0</v>
      </c>
      <c r="Q595" s="914">
        <f>'DEV-2'!U595</f>
        <v>29.45</v>
      </c>
      <c r="R595" s="914">
        <f t="shared" si="85"/>
        <v>41816.94</v>
      </c>
      <c r="S595" s="915">
        <f t="shared" si="86"/>
        <v>29.45</v>
      </c>
      <c r="T595" s="911">
        <f t="shared" si="87"/>
        <v>41816.94</v>
      </c>
    </row>
    <row r="596" spans="1:114" ht="250.5" customHeight="1">
      <c r="A596" s="931"/>
      <c r="B596" s="906" t="s">
        <v>3584</v>
      </c>
      <c r="C596" s="921">
        <f>C591*2</f>
        <v>1893.24</v>
      </c>
      <c r="D596" s="908" t="s">
        <v>2273</v>
      </c>
      <c r="E596" s="919"/>
      <c r="F596" s="1053">
        <f t="shared" si="88"/>
        <v>0</v>
      </c>
      <c r="G596" s="919"/>
      <c r="H596" s="914">
        <f t="shared" si="89"/>
        <v>0</v>
      </c>
      <c r="I596" s="919"/>
      <c r="J596" s="914">
        <f t="shared" si="90"/>
        <v>0</v>
      </c>
      <c r="K596" s="919"/>
      <c r="L596" s="914">
        <f t="shared" si="91"/>
        <v>0</v>
      </c>
      <c r="M596" s="919"/>
      <c r="N596" s="914">
        <f t="shared" si="83"/>
        <v>0</v>
      </c>
      <c r="O596" s="914"/>
      <c r="P596" s="914">
        <f t="shared" si="84"/>
        <v>0</v>
      </c>
      <c r="Q596" s="914"/>
      <c r="R596" s="914">
        <f t="shared" si="85"/>
        <v>0</v>
      </c>
      <c r="S596" s="915">
        <f t="shared" si="86"/>
        <v>0</v>
      </c>
      <c r="T596" s="911">
        <f t="shared" si="87"/>
        <v>0</v>
      </c>
    </row>
    <row r="597" spans="1:114" ht="250.5" hidden="1" customHeight="1">
      <c r="A597" s="905">
        <v>21.6</v>
      </c>
      <c r="B597" s="924" t="s">
        <v>4654</v>
      </c>
      <c r="C597" s="913"/>
      <c r="D597" s="908"/>
      <c r="E597" s="911"/>
      <c r="F597" s="1053">
        <f t="shared" si="88"/>
        <v>0</v>
      </c>
      <c r="G597" s="914"/>
      <c r="H597" s="914">
        <f t="shared" si="89"/>
        <v>0</v>
      </c>
      <c r="I597" s="914"/>
      <c r="J597" s="914">
        <f t="shared" si="90"/>
        <v>0</v>
      </c>
      <c r="K597" s="914"/>
      <c r="L597" s="914">
        <f t="shared" si="91"/>
        <v>0</v>
      </c>
      <c r="M597" s="914"/>
      <c r="N597" s="914">
        <f t="shared" si="83"/>
        <v>0</v>
      </c>
      <c r="O597" s="914"/>
      <c r="P597" s="914">
        <f t="shared" si="84"/>
        <v>0</v>
      </c>
      <c r="Q597" s="914"/>
      <c r="R597" s="914">
        <f t="shared" si="85"/>
        <v>0</v>
      </c>
      <c r="S597" s="915">
        <f t="shared" si="86"/>
        <v>0</v>
      </c>
      <c r="T597" s="911">
        <f t="shared" si="87"/>
        <v>0</v>
      </c>
    </row>
    <row r="598" spans="1:114" ht="250.5" hidden="1" customHeight="1">
      <c r="A598" s="946"/>
      <c r="B598" s="906" t="s">
        <v>570</v>
      </c>
      <c r="C598" s="913">
        <f>ROUND(DATA!K889,2)</f>
        <v>2780.7</v>
      </c>
      <c r="D598" s="913" t="s">
        <v>1393</v>
      </c>
      <c r="E598" s="914"/>
      <c r="F598" s="1053">
        <f t="shared" si="88"/>
        <v>0</v>
      </c>
      <c r="G598" s="914"/>
      <c r="H598" s="914">
        <f t="shared" si="89"/>
        <v>0</v>
      </c>
      <c r="I598" s="914"/>
      <c r="J598" s="914">
        <f t="shared" si="90"/>
        <v>0</v>
      </c>
      <c r="K598" s="914"/>
      <c r="L598" s="914">
        <f t="shared" si="91"/>
        <v>0</v>
      </c>
      <c r="M598" s="914"/>
      <c r="N598" s="914">
        <f t="shared" si="83"/>
        <v>0</v>
      </c>
      <c r="O598" s="914"/>
      <c r="P598" s="914">
        <f t="shared" si="84"/>
        <v>0</v>
      </c>
      <c r="Q598" s="914"/>
      <c r="R598" s="914">
        <f t="shared" si="85"/>
        <v>0</v>
      </c>
      <c r="S598" s="915">
        <f t="shared" si="86"/>
        <v>0</v>
      </c>
      <c r="T598" s="911">
        <f t="shared" si="87"/>
        <v>0</v>
      </c>
    </row>
    <row r="599" spans="1:114" ht="250.5" hidden="1" customHeight="1">
      <c r="A599" s="946"/>
      <c r="B599" s="906" t="s">
        <v>3780</v>
      </c>
      <c r="C599" s="913">
        <f>DATA!R864</f>
        <v>3328.12</v>
      </c>
      <c r="D599" s="913" t="s">
        <v>1393</v>
      </c>
      <c r="E599" s="919"/>
      <c r="F599" s="1053">
        <f t="shared" si="88"/>
        <v>0</v>
      </c>
      <c r="G599" s="919"/>
      <c r="H599" s="914">
        <f t="shared" si="89"/>
        <v>0</v>
      </c>
      <c r="I599" s="919"/>
      <c r="J599" s="914">
        <f t="shared" si="90"/>
        <v>0</v>
      </c>
      <c r="K599" s="919"/>
      <c r="L599" s="914">
        <f t="shared" si="91"/>
        <v>0</v>
      </c>
      <c r="M599" s="919"/>
      <c r="N599" s="914">
        <f t="shared" si="83"/>
        <v>0</v>
      </c>
      <c r="O599" s="914"/>
      <c r="P599" s="914">
        <f t="shared" si="84"/>
        <v>0</v>
      </c>
      <c r="Q599" s="914"/>
      <c r="R599" s="914">
        <f t="shared" si="85"/>
        <v>0</v>
      </c>
      <c r="S599" s="915">
        <f t="shared" si="86"/>
        <v>0</v>
      </c>
      <c r="T599" s="911">
        <f t="shared" si="87"/>
        <v>0</v>
      </c>
    </row>
    <row r="600" spans="1:114" ht="250.5" hidden="1" customHeight="1">
      <c r="A600" s="946"/>
      <c r="B600" s="906" t="s">
        <v>1895</v>
      </c>
      <c r="C600" s="913">
        <f>ROUND(DATA!K871,2)</f>
        <v>2802.86</v>
      </c>
      <c r="D600" s="913" t="s">
        <v>1393</v>
      </c>
      <c r="E600" s="919"/>
      <c r="F600" s="1053">
        <f t="shared" si="88"/>
        <v>0</v>
      </c>
      <c r="G600" s="919"/>
      <c r="H600" s="914">
        <f t="shared" si="89"/>
        <v>0</v>
      </c>
      <c r="I600" s="919"/>
      <c r="J600" s="914">
        <f t="shared" si="90"/>
        <v>0</v>
      </c>
      <c r="K600" s="919"/>
      <c r="L600" s="914">
        <f t="shared" si="91"/>
        <v>0</v>
      </c>
      <c r="M600" s="919"/>
      <c r="N600" s="914">
        <f t="shared" si="83"/>
        <v>0</v>
      </c>
      <c r="O600" s="914"/>
      <c r="P600" s="914">
        <f t="shared" si="84"/>
        <v>0</v>
      </c>
      <c r="Q600" s="914"/>
      <c r="R600" s="914">
        <f t="shared" si="85"/>
        <v>0</v>
      </c>
      <c r="S600" s="915">
        <f t="shared" si="86"/>
        <v>0</v>
      </c>
      <c r="T600" s="911">
        <f t="shared" si="87"/>
        <v>0</v>
      </c>
    </row>
    <row r="601" spans="1:114" ht="250.5" hidden="1" customHeight="1">
      <c r="A601" s="946"/>
      <c r="B601" s="906" t="s">
        <v>3684</v>
      </c>
      <c r="C601" s="913">
        <f>DATA!K905</f>
        <v>2743.04</v>
      </c>
      <c r="D601" s="913" t="s">
        <v>1393</v>
      </c>
      <c r="E601" s="919"/>
      <c r="F601" s="1053">
        <f t="shared" si="88"/>
        <v>0</v>
      </c>
      <c r="G601" s="919"/>
      <c r="H601" s="914">
        <f t="shared" si="89"/>
        <v>0</v>
      </c>
      <c r="I601" s="919"/>
      <c r="J601" s="914">
        <f t="shared" si="90"/>
        <v>0</v>
      </c>
      <c r="K601" s="919"/>
      <c r="L601" s="914">
        <f t="shared" si="91"/>
        <v>0</v>
      </c>
      <c r="M601" s="919"/>
      <c r="N601" s="914">
        <f t="shared" si="83"/>
        <v>0</v>
      </c>
      <c r="O601" s="914"/>
      <c r="P601" s="914">
        <f t="shared" si="84"/>
        <v>0</v>
      </c>
      <c r="Q601" s="914"/>
      <c r="R601" s="914">
        <f t="shared" si="85"/>
        <v>0</v>
      </c>
      <c r="S601" s="915">
        <f t="shared" si="86"/>
        <v>0</v>
      </c>
      <c r="T601" s="911">
        <f t="shared" si="87"/>
        <v>0</v>
      </c>
    </row>
    <row r="602" spans="1:114" ht="250.5" hidden="1" customHeight="1">
      <c r="A602" s="931"/>
      <c r="B602" s="924" t="s">
        <v>3818</v>
      </c>
      <c r="C602" s="921"/>
      <c r="D602" s="908"/>
      <c r="E602" s="919"/>
      <c r="F602" s="1053">
        <f t="shared" si="88"/>
        <v>0</v>
      </c>
      <c r="G602" s="919"/>
      <c r="H602" s="914">
        <f t="shared" si="89"/>
        <v>0</v>
      </c>
      <c r="I602" s="919"/>
      <c r="J602" s="914">
        <f t="shared" si="90"/>
        <v>0</v>
      </c>
      <c r="K602" s="919"/>
      <c r="L602" s="914">
        <f t="shared" si="91"/>
        <v>0</v>
      </c>
      <c r="M602" s="919"/>
      <c r="N602" s="914">
        <f t="shared" si="83"/>
        <v>0</v>
      </c>
      <c r="O602" s="914"/>
      <c r="P602" s="914">
        <f t="shared" si="84"/>
        <v>0</v>
      </c>
      <c r="Q602" s="914"/>
      <c r="R602" s="914">
        <f t="shared" si="85"/>
        <v>0</v>
      </c>
      <c r="S602" s="915">
        <f t="shared" si="86"/>
        <v>0</v>
      </c>
      <c r="T602" s="911">
        <f t="shared" si="87"/>
        <v>0</v>
      </c>
    </row>
    <row r="603" spans="1:114" ht="250.5" hidden="1" customHeight="1">
      <c r="A603" s="931"/>
      <c r="B603" s="906" t="s">
        <v>1362</v>
      </c>
      <c r="C603" s="921">
        <f>DATA!K1081</f>
        <v>3597.23</v>
      </c>
      <c r="D603" s="908" t="s">
        <v>1834</v>
      </c>
      <c r="E603" s="919"/>
      <c r="F603" s="1053">
        <f t="shared" si="88"/>
        <v>0</v>
      </c>
      <c r="G603" s="919"/>
      <c r="H603" s="914">
        <f t="shared" si="89"/>
        <v>0</v>
      </c>
      <c r="I603" s="919"/>
      <c r="J603" s="914">
        <f t="shared" si="90"/>
        <v>0</v>
      </c>
      <c r="K603" s="919"/>
      <c r="L603" s="914">
        <f t="shared" si="91"/>
        <v>0</v>
      </c>
      <c r="M603" s="919"/>
      <c r="N603" s="914">
        <f t="shared" si="83"/>
        <v>0</v>
      </c>
      <c r="O603" s="914"/>
      <c r="P603" s="914">
        <f t="shared" si="84"/>
        <v>0</v>
      </c>
      <c r="Q603" s="914"/>
      <c r="R603" s="914">
        <f t="shared" si="85"/>
        <v>0</v>
      </c>
      <c r="S603" s="915">
        <f t="shared" si="86"/>
        <v>0</v>
      </c>
      <c r="T603" s="911">
        <f t="shared" si="87"/>
        <v>0</v>
      </c>
    </row>
    <row r="604" spans="1:114" ht="250.5" hidden="1" customHeight="1">
      <c r="A604" s="931"/>
      <c r="B604" s="906" t="s">
        <v>267</v>
      </c>
      <c r="C604" s="921"/>
      <c r="D604" s="908" t="s">
        <v>1834</v>
      </c>
      <c r="E604" s="919"/>
      <c r="F604" s="1053">
        <f t="shared" si="88"/>
        <v>0</v>
      </c>
      <c r="G604" s="919"/>
      <c r="H604" s="914">
        <f t="shared" si="89"/>
        <v>0</v>
      </c>
      <c r="I604" s="919"/>
      <c r="J604" s="914">
        <f t="shared" si="90"/>
        <v>0</v>
      </c>
      <c r="K604" s="919"/>
      <c r="L604" s="914">
        <f t="shared" si="91"/>
        <v>0</v>
      </c>
      <c r="M604" s="919"/>
      <c r="N604" s="914">
        <f t="shared" si="83"/>
        <v>0</v>
      </c>
      <c r="O604" s="914"/>
      <c r="P604" s="914">
        <f t="shared" si="84"/>
        <v>0</v>
      </c>
      <c r="Q604" s="914"/>
      <c r="R604" s="914">
        <f t="shared" si="85"/>
        <v>0</v>
      </c>
      <c r="S604" s="915">
        <f t="shared" si="86"/>
        <v>0</v>
      </c>
      <c r="T604" s="911">
        <f t="shared" si="87"/>
        <v>0</v>
      </c>
    </row>
    <row r="605" spans="1:114" ht="250.5" hidden="1" customHeight="1">
      <c r="A605" s="931"/>
      <c r="B605" s="906" t="s">
        <v>268</v>
      </c>
      <c r="C605" s="921">
        <f>DATA!K1097</f>
        <v>3796.08</v>
      </c>
      <c r="D605" s="908" t="s">
        <v>1834</v>
      </c>
      <c r="E605" s="919"/>
      <c r="F605" s="1053">
        <f t="shared" si="88"/>
        <v>0</v>
      </c>
      <c r="G605" s="919"/>
      <c r="H605" s="914">
        <f t="shared" si="89"/>
        <v>0</v>
      </c>
      <c r="I605" s="919"/>
      <c r="J605" s="914">
        <f t="shared" si="90"/>
        <v>0</v>
      </c>
      <c r="K605" s="919"/>
      <c r="L605" s="914">
        <f t="shared" si="91"/>
        <v>0</v>
      </c>
      <c r="M605" s="919"/>
      <c r="N605" s="914">
        <f t="shared" si="83"/>
        <v>0</v>
      </c>
      <c r="O605" s="914"/>
      <c r="P605" s="914">
        <f t="shared" si="84"/>
        <v>0</v>
      </c>
      <c r="Q605" s="914"/>
      <c r="R605" s="914">
        <f t="shared" si="85"/>
        <v>0</v>
      </c>
      <c r="S605" s="915">
        <f t="shared" si="86"/>
        <v>0</v>
      </c>
      <c r="T605" s="911">
        <f t="shared" si="87"/>
        <v>0</v>
      </c>
    </row>
    <row r="606" spans="1:114" ht="250.5" hidden="1" customHeight="1">
      <c r="A606" s="931"/>
      <c r="B606" s="906" t="s">
        <v>269</v>
      </c>
      <c r="C606" s="921">
        <f>DATA!K1112</f>
        <v>2804.85</v>
      </c>
      <c r="D606" s="908" t="s">
        <v>1834</v>
      </c>
      <c r="E606" s="919"/>
      <c r="F606" s="1053">
        <f t="shared" si="88"/>
        <v>0</v>
      </c>
      <c r="G606" s="919"/>
      <c r="H606" s="914">
        <f t="shared" si="89"/>
        <v>0</v>
      </c>
      <c r="I606" s="919"/>
      <c r="J606" s="914">
        <f t="shared" si="90"/>
        <v>0</v>
      </c>
      <c r="K606" s="919"/>
      <c r="L606" s="914">
        <f t="shared" si="91"/>
        <v>0</v>
      </c>
      <c r="M606" s="919"/>
      <c r="N606" s="914">
        <f t="shared" si="83"/>
        <v>0</v>
      </c>
      <c r="O606" s="914"/>
      <c r="P606" s="914">
        <f t="shared" si="84"/>
        <v>0</v>
      </c>
      <c r="Q606" s="914"/>
      <c r="R606" s="914">
        <f t="shared" si="85"/>
        <v>0</v>
      </c>
      <c r="S606" s="915">
        <f t="shared" si="86"/>
        <v>0</v>
      </c>
      <c r="T606" s="911">
        <f t="shared" si="87"/>
        <v>0</v>
      </c>
    </row>
    <row r="607" spans="1:114" ht="250.5" hidden="1" customHeight="1">
      <c r="A607" s="931"/>
      <c r="B607" s="906" t="s">
        <v>3801</v>
      </c>
      <c r="C607" s="921">
        <v>2203.2800000000002</v>
      </c>
      <c r="D607" s="908" t="s">
        <v>1834</v>
      </c>
      <c r="E607" s="919"/>
      <c r="F607" s="1053">
        <f t="shared" si="88"/>
        <v>0</v>
      </c>
      <c r="G607" s="919"/>
      <c r="H607" s="914">
        <f t="shared" si="89"/>
        <v>0</v>
      </c>
      <c r="I607" s="919"/>
      <c r="J607" s="914">
        <f t="shared" si="90"/>
        <v>0</v>
      </c>
      <c r="K607" s="919"/>
      <c r="L607" s="914">
        <f t="shared" si="91"/>
        <v>0</v>
      </c>
      <c r="M607" s="919"/>
      <c r="N607" s="914">
        <f t="shared" si="83"/>
        <v>0</v>
      </c>
      <c r="O607" s="914"/>
      <c r="P607" s="914">
        <f t="shared" si="84"/>
        <v>0</v>
      </c>
      <c r="Q607" s="914"/>
      <c r="R607" s="914">
        <f t="shared" si="85"/>
        <v>0</v>
      </c>
      <c r="S607" s="915">
        <f t="shared" si="86"/>
        <v>0</v>
      </c>
      <c r="T607" s="911">
        <f t="shared" si="87"/>
        <v>0</v>
      </c>
    </row>
    <row r="608" spans="1:114" s="920" customFormat="1" ht="250.5" hidden="1" customHeight="1">
      <c r="A608" s="916" t="s">
        <v>1685</v>
      </c>
      <c r="B608" s="917" t="s">
        <v>1294</v>
      </c>
      <c r="C608" s="930">
        <f>DATA!K2877</f>
        <v>2189.9299999999998</v>
      </c>
      <c r="D608" s="962" t="s">
        <v>2273</v>
      </c>
      <c r="E608" s="919"/>
      <c r="F608" s="1053">
        <f t="shared" si="88"/>
        <v>0</v>
      </c>
      <c r="G608" s="919"/>
      <c r="H608" s="914">
        <f t="shared" si="89"/>
        <v>0</v>
      </c>
      <c r="I608" s="919"/>
      <c r="J608" s="914">
        <f t="shared" si="90"/>
        <v>0</v>
      </c>
      <c r="K608" s="919"/>
      <c r="L608" s="914">
        <f t="shared" si="91"/>
        <v>0</v>
      </c>
      <c r="M608" s="919"/>
      <c r="N608" s="914">
        <f t="shared" si="83"/>
        <v>0</v>
      </c>
      <c r="O608" s="914"/>
      <c r="P608" s="914">
        <f t="shared" si="84"/>
        <v>0</v>
      </c>
      <c r="Q608" s="914"/>
      <c r="R608" s="914">
        <f t="shared" si="85"/>
        <v>0</v>
      </c>
      <c r="S608" s="915">
        <f t="shared" si="86"/>
        <v>0</v>
      </c>
      <c r="T608" s="911">
        <f t="shared" si="87"/>
        <v>0</v>
      </c>
      <c r="U608" s="1172"/>
      <c r="V608" s="1172"/>
      <c r="W608" s="1172"/>
      <c r="X608" s="1172"/>
      <c r="Y608" s="1172"/>
      <c r="Z608" s="1172"/>
      <c r="AA608" s="1172"/>
      <c r="AB608" s="1172"/>
      <c r="AC608" s="1172"/>
      <c r="AD608" s="1172"/>
      <c r="AE608" s="1172"/>
      <c r="AF608" s="1172"/>
      <c r="AG608" s="1172"/>
      <c r="AH608" s="1172"/>
      <c r="AI608" s="1172"/>
      <c r="AJ608" s="1172"/>
      <c r="AK608" s="1172"/>
      <c r="AL608" s="1172"/>
      <c r="AM608" s="1172"/>
      <c r="AN608" s="1172"/>
      <c r="AO608" s="1172"/>
      <c r="AP608" s="1172"/>
      <c r="AQ608" s="1172"/>
      <c r="AR608" s="1172"/>
      <c r="AS608" s="1172"/>
      <c r="AT608" s="1172"/>
      <c r="AU608" s="1172"/>
      <c r="AV608" s="1172"/>
      <c r="AW608" s="1172"/>
      <c r="AX608" s="1172"/>
      <c r="AY608" s="1172"/>
      <c r="AZ608" s="1172"/>
      <c r="BA608" s="1172"/>
      <c r="BB608" s="1172"/>
      <c r="BC608" s="1172"/>
      <c r="BD608" s="1172"/>
      <c r="BE608" s="1172"/>
      <c r="BF608" s="1172"/>
      <c r="BG608" s="1172"/>
      <c r="BH608" s="1172"/>
      <c r="BI608" s="1172"/>
      <c r="BJ608" s="1172"/>
      <c r="BK608" s="1172"/>
      <c r="BL608" s="1172"/>
      <c r="BM608" s="1172"/>
      <c r="BN608" s="1172"/>
      <c r="BO608" s="1172"/>
      <c r="BP608" s="1172"/>
      <c r="BQ608" s="1172"/>
      <c r="BR608" s="1172"/>
      <c r="BS608" s="1172"/>
      <c r="BT608" s="1172"/>
      <c r="BU608" s="1172"/>
      <c r="BV608" s="1172"/>
      <c r="BW608" s="1172"/>
      <c r="BX608" s="1172"/>
      <c r="BY608" s="1172"/>
      <c r="BZ608" s="1172"/>
      <c r="CA608" s="1172"/>
      <c r="CB608" s="1172"/>
      <c r="CC608" s="1172"/>
      <c r="CD608" s="1172"/>
      <c r="CE608" s="1172"/>
      <c r="CF608" s="1172"/>
      <c r="CG608" s="1172"/>
      <c r="CH608" s="1172"/>
      <c r="CI608" s="1172"/>
      <c r="CJ608" s="1172"/>
      <c r="CK608" s="1172"/>
      <c r="CL608" s="1172"/>
      <c r="CM608" s="1172"/>
      <c r="CN608" s="1172"/>
      <c r="CO608" s="1172"/>
      <c r="CP608" s="1172"/>
      <c r="CQ608" s="1172"/>
      <c r="CR608" s="1172"/>
      <c r="CS608" s="1172"/>
      <c r="CT608" s="1172"/>
      <c r="CU608" s="1172"/>
      <c r="CV608" s="1172"/>
      <c r="CW608" s="1172"/>
      <c r="CX608" s="1172"/>
      <c r="CY608" s="1172"/>
      <c r="CZ608" s="1172"/>
      <c r="DA608" s="1172"/>
      <c r="DB608" s="1172"/>
      <c r="DC608" s="1172"/>
      <c r="DD608" s="1172"/>
      <c r="DE608" s="1172"/>
      <c r="DF608" s="1172"/>
      <c r="DG608" s="1172"/>
      <c r="DH608" s="1172"/>
      <c r="DI608" s="1172"/>
      <c r="DJ608" s="1172"/>
    </row>
    <row r="609" spans="1:114" ht="250.5" customHeight="1">
      <c r="A609" s="905"/>
      <c r="B609" s="906" t="s">
        <v>1513</v>
      </c>
      <c r="C609" s="913">
        <f>ROUND(DATA!K3114,2)</f>
        <v>4253.0600000000004</v>
      </c>
      <c r="D609" s="908" t="s">
        <v>2273</v>
      </c>
      <c r="E609" s="914"/>
      <c r="F609" s="1053">
        <f t="shared" si="88"/>
        <v>0</v>
      </c>
      <c r="G609" s="914"/>
      <c r="H609" s="914">
        <f t="shared" si="89"/>
        <v>0</v>
      </c>
      <c r="I609" s="914"/>
      <c r="J609" s="914">
        <f t="shared" si="90"/>
        <v>0</v>
      </c>
      <c r="K609" s="914"/>
      <c r="L609" s="914">
        <f t="shared" si="91"/>
        <v>0</v>
      </c>
      <c r="M609" s="914"/>
      <c r="N609" s="914">
        <f t="shared" si="83"/>
        <v>0</v>
      </c>
      <c r="O609" s="914"/>
      <c r="P609" s="914">
        <f t="shared" si="84"/>
        <v>0</v>
      </c>
      <c r="Q609" s="914">
        <f>'DEV-2'!U609</f>
        <v>19</v>
      </c>
      <c r="R609" s="914">
        <f t="shared" si="85"/>
        <v>80808.14</v>
      </c>
      <c r="S609" s="915">
        <f t="shared" si="86"/>
        <v>19</v>
      </c>
      <c r="T609" s="911">
        <f t="shared" si="87"/>
        <v>80808.14</v>
      </c>
    </row>
    <row r="610" spans="1:114" s="968" customFormat="1" ht="250.5" hidden="1" customHeight="1">
      <c r="A610" s="963">
        <v>22.8</v>
      </c>
      <c r="B610" s="964" t="s">
        <v>1978</v>
      </c>
      <c r="C610" s="965"/>
      <c r="D610" s="966"/>
      <c r="E610" s="967"/>
      <c r="F610" s="1053">
        <f t="shared" si="88"/>
        <v>0</v>
      </c>
      <c r="G610" s="967"/>
      <c r="H610" s="914">
        <f t="shared" si="89"/>
        <v>0</v>
      </c>
      <c r="I610" s="967"/>
      <c r="J610" s="914">
        <f t="shared" si="90"/>
        <v>0</v>
      </c>
      <c r="K610" s="967"/>
      <c r="L610" s="914">
        <f t="shared" si="91"/>
        <v>0</v>
      </c>
      <c r="M610" s="967"/>
      <c r="N610" s="914">
        <f t="shared" si="83"/>
        <v>0</v>
      </c>
      <c r="O610" s="914"/>
      <c r="P610" s="914">
        <f t="shared" si="84"/>
        <v>0</v>
      </c>
      <c r="Q610" s="914"/>
      <c r="R610" s="914">
        <f t="shared" si="85"/>
        <v>0</v>
      </c>
      <c r="S610" s="915">
        <f t="shared" si="86"/>
        <v>0</v>
      </c>
      <c r="T610" s="911">
        <f t="shared" si="87"/>
        <v>0</v>
      </c>
      <c r="U610" s="1174"/>
      <c r="V610" s="1174"/>
      <c r="W610" s="1174"/>
      <c r="X610" s="1174"/>
      <c r="Y610" s="1174"/>
      <c r="Z610" s="1174"/>
      <c r="AA610" s="1174"/>
      <c r="AB610" s="1174"/>
      <c r="AC610" s="1174"/>
      <c r="AD610" s="1174"/>
      <c r="AE610" s="1174"/>
      <c r="AF610" s="1174"/>
      <c r="AG610" s="1174"/>
      <c r="AH610" s="1174"/>
      <c r="AI610" s="1174"/>
      <c r="AJ610" s="1174"/>
      <c r="AK610" s="1174"/>
      <c r="AL610" s="1174"/>
      <c r="AM610" s="1174"/>
      <c r="AN610" s="1174"/>
      <c r="AO610" s="1174"/>
      <c r="AP610" s="1174"/>
      <c r="AQ610" s="1174"/>
      <c r="AR610" s="1174"/>
      <c r="AS610" s="1174"/>
      <c r="AT610" s="1174"/>
      <c r="AU610" s="1174"/>
      <c r="AV610" s="1174"/>
      <c r="AW610" s="1174"/>
      <c r="AX610" s="1174"/>
      <c r="AY610" s="1174"/>
      <c r="AZ610" s="1174"/>
      <c r="BA610" s="1174"/>
      <c r="BB610" s="1174"/>
      <c r="BC610" s="1174"/>
      <c r="BD610" s="1174"/>
      <c r="BE610" s="1174"/>
      <c r="BF610" s="1174"/>
      <c r="BG610" s="1174"/>
      <c r="BH610" s="1174"/>
      <c r="BI610" s="1174"/>
      <c r="BJ610" s="1174"/>
      <c r="BK610" s="1174"/>
      <c r="BL610" s="1174"/>
      <c r="BM610" s="1174"/>
      <c r="BN610" s="1174"/>
      <c r="BO610" s="1174"/>
      <c r="BP610" s="1174"/>
      <c r="BQ610" s="1174"/>
      <c r="BR610" s="1174"/>
      <c r="BS610" s="1174"/>
      <c r="BT610" s="1174"/>
      <c r="BU610" s="1174"/>
      <c r="BV610" s="1174"/>
      <c r="BW610" s="1174"/>
      <c r="BX610" s="1174"/>
      <c r="BY610" s="1174"/>
      <c r="BZ610" s="1174"/>
      <c r="CA610" s="1174"/>
      <c r="CB610" s="1174"/>
      <c r="CC610" s="1174"/>
      <c r="CD610" s="1174"/>
      <c r="CE610" s="1174"/>
      <c r="CF610" s="1174"/>
      <c r="CG610" s="1174"/>
      <c r="CH610" s="1174"/>
      <c r="CI610" s="1174"/>
      <c r="CJ610" s="1174"/>
      <c r="CK610" s="1174"/>
      <c r="CL610" s="1174"/>
      <c r="CM610" s="1174"/>
      <c r="CN610" s="1174"/>
      <c r="CO610" s="1174"/>
      <c r="CP610" s="1174"/>
      <c r="CQ610" s="1174"/>
      <c r="CR610" s="1174"/>
      <c r="CS610" s="1174"/>
      <c r="CT610" s="1174"/>
      <c r="CU610" s="1174"/>
      <c r="CV610" s="1174"/>
      <c r="CW610" s="1174"/>
      <c r="CX610" s="1174"/>
      <c r="CY610" s="1174"/>
      <c r="CZ610" s="1174"/>
      <c r="DA610" s="1174"/>
      <c r="DB610" s="1174"/>
      <c r="DC610" s="1174"/>
      <c r="DD610" s="1174"/>
      <c r="DE610" s="1174"/>
      <c r="DF610" s="1174"/>
      <c r="DG610" s="1174"/>
      <c r="DH610" s="1174"/>
      <c r="DI610" s="1174"/>
      <c r="DJ610" s="1174"/>
    </row>
    <row r="611" spans="1:114" s="968" customFormat="1" ht="250.5" hidden="1" customHeight="1">
      <c r="A611" s="963"/>
      <c r="B611" s="964" t="s">
        <v>1979</v>
      </c>
      <c r="C611" s="965">
        <f>ROUND(DATA!K2845,2)</f>
        <v>2806.82</v>
      </c>
      <c r="D611" s="966" t="s">
        <v>2273</v>
      </c>
      <c r="E611" s="967"/>
      <c r="F611" s="1053">
        <f t="shared" si="88"/>
        <v>0</v>
      </c>
      <c r="G611" s="967"/>
      <c r="H611" s="914">
        <f t="shared" si="89"/>
        <v>0</v>
      </c>
      <c r="I611" s="967"/>
      <c r="J611" s="914">
        <f t="shared" si="90"/>
        <v>0</v>
      </c>
      <c r="K611" s="967"/>
      <c r="L611" s="914">
        <f t="shared" si="91"/>
        <v>0</v>
      </c>
      <c r="M611" s="967"/>
      <c r="N611" s="914">
        <f t="shared" si="83"/>
        <v>0</v>
      </c>
      <c r="O611" s="914"/>
      <c r="P611" s="914">
        <f t="shared" si="84"/>
        <v>0</v>
      </c>
      <c r="Q611" s="914"/>
      <c r="R611" s="914">
        <f t="shared" si="85"/>
        <v>0</v>
      </c>
      <c r="S611" s="915">
        <f t="shared" si="86"/>
        <v>0</v>
      </c>
      <c r="T611" s="911">
        <f t="shared" si="87"/>
        <v>0</v>
      </c>
      <c r="U611" s="1174"/>
      <c r="V611" s="1174"/>
      <c r="W611" s="1174"/>
      <c r="X611" s="1174"/>
      <c r="Y611" s="1174"/>
      <c r="Z611" s="1174"/>
      <c r="AA611" s="1174"/>
      <c r="AB611" s="1174"/>
      <c r="AC611" s="1174"/>
      <c r="AD611" s="1174"/>
      <c r="AE611" s="1174"/>
      <c r="AF611" s="1174"/>
      <c r="AG611" s="1174"/>
      <c r="AH611" s="1174"/>
      <c r="AI611" s="1174"/>
      <c r="AJ611" s="1174"/>
      <c r="AK611" s="1174"/>
      <c r="AL611" s="1174"/>
      <c r="AM611" s="1174"/>
      <c r="AN611" s="1174"/>
      <c r="AO611" s="1174"/>
      <c r="AP611" s="1174"/>
      <c r="AQ611" s="1174"/>
      <c r="AR611" s="1174"/>
      <c r="AS611" s="1174"/>
      <c r="AT611" s="1174"/>
      <c r="AU611" s="1174"/>
      <c r="AV611" s="1174"/>
      <c r="AW611" s="1174"/>
      <c r="AX611" s="1174"/>
      <c r="AY611" s="1174"/>
      <c r="AZ611" s="1174"/>
      <c r="BA611" s="1174"/>
      <c r="BB611" s="1174"/>
      <c r="BC611" s="1174"/>
      <c r="BD611" s="1174"/>
      <c r="BE611" s="1174"/>
      <c r="BF611" s="1174"/>
      <c r="BG611" s="1174"/>
      <c r="BH611" s="1174"/>
      <c r="BI611" s="1174"/>
      <c r="BJ611" s="1174"/>
      <c r="BK611" s="1174"/>
      <c r="BL611" s="1174"/>
      <c r="BM611" s="1174"/>
      <c r="BN611" s="1174"/>
      <c r="BO611" s="1174"/>
      <c r="BP611" s="1174"/>
      <c r="BQ611" s="1174"/>
      <c r="BR611" s="1174"/>
      <c r="BS611" s="1174"/>
      <c r="BT611" s="1174"/>
      <c r="BU611" s="1174"/>
      <c r="BV611" s="1174"/>
      <c r="BW611" s="1174"/>
      <c r="BX611" s="1174"/>
      <c r="BY611" s="1174"/>
      <c r="BZ611" s="1174"/>
      <c r="CA611" s="1174"/>
      <c r="CB611" s="1174"/>
      <c r="CC611" s="1174"/>
      <c r="CD611" s="1174"/>
      <c r="CE611" s="1174"/>
      <c r="CF611" s="1174"/>
      <c r="CG611" s="1174"/>
      <c r="CH611" s="1174"/>
      <c r="CI611" s="1174"/>
      <c r="CJ611" s="1174"/>
      <c r="CK611" s="1174"/>
      <c r="CL611" s="1174"/>
      <c r="CM611" s="1174"/>
      <c r="CN611" s="1174"/>
      <c r="CO611" s="1174"/>
      <c r="CP611" s="1174"/>
      <c r="CQ611" s="1174"/>
      <c r="CR611" s="1174"/>
      <c r="CS611" s="1174"/>
      <c r="CT611" s="1174"/>
      <c r="CU611" s="1174"/>
      <c r="CV611" s="1174"/>
      <c r="CW611" s="1174"/>
      <c r="CX611" s="1174"/>
      <c r="CY611" s="1174"/>
      <c r="CZ611" s="1174"/>
      <c r="DA611" s="1174"/>
      <c r="DB611" s="1174"/>
      <c r="DC611" s="1174"/>
      <c r="DD611" s="1174"/>
      <c r="DE611" s="1174"/>
      <c r="DF611" s="1174"/>
      <c r="DG611" s="1174"/>
      <c r="DH611" s="1174"/>
      <c r="DI611" s="1174"/>
      <c r="DJ611" s="1174"/>
    </row>
    <row r="612" spans="1:114" s="968" customFormat="1" ht="250.5" hidden="1" customHeight="1">
      <c r="A612" s="963"/>
      <c r="B612" s="964" t="s">
        <v>693</v>
      </c>
      <c r="C612" s="965">
        <f>ROUND(DATA!K2981,2)</f>
        <v>2852.74</v>
      </c>
      <c r="D612" s="966" t="s">
        <v>2273</v>
      </c>
      <c r="E612" s="967"/>
      <c r="F612" s="1053">
        <f t="shared" si="88"/>
        <v>0</v>
      </c>
      <c r="G612" s="967"/>
      <c r="H612" s="914">
        <f t="shared" si="89"/>
        <v>0</v>
      </c>
      <c r="I612" s="967"/>
      <c r="J612" s="914">
        <f t="shared" si="90"/>
        <v>0</v>
      </c>
      <c r="K612" s="967"/>
      <c r="L612" s="914">
        <f t="shared" si="91"/>
        <v>0</v>
      </c>
      <c r="M612" s="967"/>
      <c r="N612" s="914">
        <f t="shared" si="83"/>
        <v>0</v>
      </c>
      <c r="O612" s="914"/>
      <c r="P612" s="914">
        <f t="shared" si="84"/>
        <v>0</v>
      </c>
      <c r="Q612" s="914"/>
      <c r="R612" s="914">
        <f t="shared" si="85"/>
        <v>0</v>
      </c>
      <c r="S612" s="915">
        <f t="shared" si="86"/>
        <v>0</v>
      </c>
      <c r="T612" s="911">
        <f t="shared" si="87"/>
        <v>0</v>
      </c>
      <c r="U612" s="1174"/>
      <c r="V612" s="1174"/>
      <c r="W612" s="1174"/>
      <c r="X612" s="1174"/>
      <c r="Y612" s="1174"/>
      <c r="Z612" s="1174"/>
      <c r="AA612" s="1174"/>
      <c r="AB612" s="1174"/>
      <c r="AC612" s="1174"/>
      <c r="AD612" s="1174"/>
      <c r="AE612" s="1174"/>
      <c r="AF612" s="1174"/>
      <c r="AG612" s="1174"/>
      <c r="AH612" s="1174"/>
      <c r="AI612" s="1174"/>
      <c r="AJ612" s="1174"/>
      <c r="AK612" s="1174"/>
      <c r="AL612" s="1174"/>
      <c r="AM612" s="1174"/>
      <c r="AN612" s="1174"/>
      <c r="AO612" s="1174"/>
      <c r="AP612" s="1174"/>
      <c r="AQ612" s="1174"/>
      <c r="AR612" s="1174"/>
      <c r="AS612" s="1174"/>
      <c r="AT612" s="1174"/>
      <c r="AU612" s="1174"/>
      <c r="AV612" s="1174"/>
      <c r="AW612" s="1174"/>
      <c r="AX612" s="1174"/>
      <c r="AY612" s="1174"/>
      <c r="AZ612" s="1174"/>
      <c r="BA612" s="1174"/>
      <c r="BB612" s="1174"/>
      <c r="BC612" s="1174"/>
      <c r="BD612" s="1174"/>
      <c r="BE612" s="1174"/>
      <c r="BF612" s="1174"/>
      <c r="BG612" s="1174"/>
      <c r="BH612" s="1174"/>
      <c r="BI612" s="1174"/>
      <c r="BJ612" s="1174"/>
      <c r="BK612" s="1174"/>
      <c r="BL612" s="1174"/>
      <c r="BM612" s="1174"/>
      <c r="BN612" s="1174"/>
      <c r="BO612" s="1174"/>
      <c r="BP612" s="1174"/>
      <c r="BQ612" s="1174"/>
      <c r="BR612" s="1174"/>
      <c r="BS612" s="1174"/>
      <c r="BT612" s="1174"/>
      <c r="BU612" s="1174"/>
      <c r="BV612" s="1174"/>
      <c r="BW612" s="1174"/>
      <c r="BX612" s="1174"/>
      <c r="BY612" s="1174"/>
      <c r="BZ612" s="1174"/>
      <c r="CA612" s="1174"/>
      <c r="CB612" s="1174"/>
      <c r="CC612" s="1174"/>
      <c r="CD612" s="1174"/>
      <c r="CE612" s="1174"/>
      <c r="CF612" s="1174"/>
      <c r="CG612" s="1174"/>
      <c r="CH612" s="1174"/>
      <c r="CI612" s="1174"/>
      <c r="CJ612" s="1174"/>
      <c r="CK612" s="1174"/>
      <c r="CL612" s="1174"/>
      <c r="CM612" s="1174"/>
      <c r="CN612" s="1174"/>
      <c r="CO612" s="1174"/>
      <c r="CP612" s="1174"/>
      <c r="CQ612" s="1174"/>
      <c r="CR612" s="1174"/>
      <c r="CS612" s="1174"/>
      <c r="CT612" s="1174"/>
      <c r="CU612" s="1174"/>
      <c r="CV612" s="1174"/>
      <c r="CW612" s="1174"/>
      <c r="CX612" s="1174"/>
      <c r="CY612" s="1174"/>
      <c r="CZ612" s="1174"/>
      <c r="DA612" s="1174"/>
      <c r="DB612" s="1174"/>
      <c r="DC612" s="1174"/>
      <c r="DD612" s="1174"/>
      <c r="DE612" s="1174"/>
      <c r="DF612" s="1174"/>
      <c r="DG612" s="1174"/>
      <c r="DH612" s="1174"/>
      <c r="DI612" s="1174"/>
      <c r="DJ612" s="1174"/>
    </row>
    <row r="613" spans="1:114" s="968" customFormat="1" ht="250.5" hidden="1" customHeight="1">
      <c r="A613" s="969"/>
      <c r="B613" s="964" t="s">
        <v>226</v>
      </c>
      <c r="C613" s="965"/>
      <c r="D613" s="966" t="s">
        <v>2273</v>
      </c>
      <c r="E613" s="967"/>
      <c r="F613" s="1053">
        <f t="shared" si="88"/>
        <v>0</v>
      </c>
      <c r="G613" s="967"/>
      <c r="H613" s="914">
        <f t="shared" si="89"/>
        <v>0</v>
      </c>
      <c r="I613" s="967"/>
      <c r="J613" s="914">
        <f t="shared" si="90"/>
        <v>0</v>
      </c>
      <c r="K613" s="967"/>
      <c r="L613" s="914">
        <f t="shared" si="91"/>
        <v>0</v>
      </c>
      <c r="M613" s="967"/>
      <c r="N613" s="914">
        <f t="shared" si="83"/>
        <v>0</v>
      </c>
      <c r="O613" s="914"/>
      <c r="P613" s="914">
        <f t="shared" si="84"/>
        <v>0</v>
      </c>
      <c r="Q613" s="914"/>
      <c r="R613" s="914">
        <f t="shared" si="85"/>
        <v>0</v>
      </c>
      <c r="S613" s="915">
        <f t="shared" si="86"/>
        <v>0</v>
      </c>
      <c r="T613" s="911">
        <f t="shared" si="87"/>
        <v>0</v>
      </c>
      <c r="U613" s="1174"/>
      <c r="V613" s="1174"/>
      <c r="W613" s="1174"/>
      <c r="X613" s="1174"/>
      <c r="Y613" s="1174"/>
      <c r="Z613" s="1174"/>
      <c r="AA613" s="1174"/>
      <c r="AB613" s="1174"/>
      <c r="AC613" s="1174"/>
      <c r="AD613" s="1174"/>
      <c r="AE613" s="1174"/>
      <c r="AF613" s="1174"/>
      <c r="AG613" s="1174"/>
      <c r="AH613" s="1174"/>
      <c r="AI613" s="1174"/>
      <c r="AJ613" s="1174"/>
      <c r="AK613" s="1174"/>
      <c r="AL613" s="1174"/>
      <c r="AM613" s="1174"/>
      <c r="AN613" s="1174"/>
      <c r="AO613" s="1174"/>
      <c r="AP613" s="1174"/>
      <c r="AQ613" s="1174"/>
      <c r="AR613" s="1174"/>
      <c r="AS613" s="1174"/>
      <c r="AT613" s="1174"/>
      <c r="AU613" s="1174"/>
      <c r="AV613" s="1174"/>
      <c r="AW613" s="1174"/>
      <c r="AX613" s="1174"/>
      <c r="AY613" s="1174"/>
      <c r="AZ613" s="1174"/>
      <c r="BA613" s="1174"/>
      <c r="BB613" s="1174"/>
      <c r="BC613" s="1174"/>
      <c r="BD613" s="1174"/>
      <c r="BE613" s="1174"/>
      <c r="BF613" s="1174"/>
      <c r="BG613" s="1174"/>
      <c r="BH613" s="1174"/>
      <c r="BI613" s="1174"/>
      <c r="BJ613" s="1174"/>
      <c r="BK613" s="1174"/>
      <c r="BL613" s="1174"/>
      <c r="BM613" s="1174"/>
      <c r="BN613" s="1174"/>
      <c r="BO613" s="1174"/>
      <c r="BP613" s="1174"/>
      <c r="BQ613" s="1174"/>
      <c r="BR613" s="1174"/>
      <c r="BS613" s="1174"/>
      <c r="BT613" s="1174"/>
      <c r="BU613" s="1174"/>
      <c r="BV613" s="1174"/>
      <c r="BW613" s="1174"/>
      <c r="BX613" s="1174"/>
      <c r="BY613" s="1174"/>
      <c r="BZ613" s="1174"/>
      <c r="CA613" s="1174"/>
      <c r="CB613" s="1174"/>
      <c r="CC613" s="1174"/>
      <c r="CD613" s="1174"/>
      <c r="CE613" s="1174"/>
      <c r="CF613" s="1174"/>
      <c r="CG613" s="1174"/>
      <c r="CH613" s="1174"/>
      <c r="CI613" s="1174"/>
      <c r="CJ613" s="1174"/>
      <c r="CK613" s="1174"/>
      <c r="CL613" s="1174"/>
      <c r="CM613" s="1174"/>
      <c r="CN613" s="1174"/>
      <c r="CO613" s="1174"/>
      <c r="CP613" s="1174"/>
      <c r="CQ613" s="1174"/>
      <c r="CR613" s="1174"/>
      <c r="CS613" s="1174"/>
      <c r="CT613" s="1174"/>
      <c r="CU613" s="1174"/>
      <c r="CV613" s="1174"/>
      <c r="CW613" s="1174"/>
      <c r="CX613" s="1174"/>
      <c r="CY613" s="1174"/>
      <c r="CZ613" s="1174"/>
      <c r="DA613" s="1174"/>
      <c r="DB613" s="1174"/>
      <c r="DC613" s="1174"/>
      <c r="DD613" s="1174"/>
      <c r="DE613" s="1174"/>
      <c r="DF613" s="1174"/>
      <c r="DG613" s="1174"/>
      <c r="DH613" s="1174"/>
      <c r="DI613" s="1174"/>
      <c r="DJ613" s="1174"/>
    </row>
    <row r="614" spans="1:114" ht="192" customHeight="1">
      <c r="A614" s="943"/>
      <c r="B614" s="924" t="s">
        <v>4731</v>
      </c>
      <c r="C614" s="913"/>
      <c r="D614" s="908"/>
      <c r="E614" s="911"/>
      <c r="F614" s="1053">
        <f t="shared" si="88"/>
        <v>0</v>
      </c>
      <c r="G614" s="914"/>
      <c r="H614" s="914">
        <f t="shared" si="89"/>
        <v>0</v>
      </c>
      <c r="I614" s="914"/>
      <c r="J614" s="914">
        <f t="shared" si="90"/>
        <v>0</v>
      </c>
      <c r="K614" s="914"/>
      <c r="L614" s="914">
        <f t="shared" si="91"/>
        <v>0</v>
      </c>
      <c r="M614" s="914"/>
      <c r="N614" s="914">
        <f t="shared" si="83"/>
        <v>0</v>
      </c>
      <c r="O614" s="914"/>
      <c r="P614" s="914">
        <f t="shared" si="84"/>
        <v>0</v>
      </c>
      <c r="Q614" s="914"/>
      <c r="R614" s="914">
        <f t="shared" si="85"/>
        <v>0</v>
      </c>
      <c r="S614" s="915">
        <f t="shared" si="86"/>
        <v>0</v>
      </c>
      <c r="T614" s="911">
        <f t="shared" si="87"/>
        <v>0</v>
      </c>
    </row>
    <row r="615" spans="1:114" s="920" customFormat="1" ht="250.5" hidden="1" customHeight="1">
      <c r="A615" s="970"/>
      <c r="B615" s="917" t="s">
        <v>4363</v>
      </c>
      <c r="C615" s="971">
        <f>ROUND(DATA!K2827,2)</f>
        <v>6687.18</v>
      </c>
      <c r="D615" s="898" t="s">
        <v>2273</v>
      </c>
      <c r="E615" s="919"/>
      <c r="F615" s="1053">
        <f t="shared" si="88"/>
        <v>0</v>
      </c>
      <c r="G615" s="919"/>
      <c r="H615" s="914">
        <f t="shared" si="89"/>
        <v>0</v>
      </c>
      <c r="I615" s="919"/>
      <c r="J615" s="914">
        <f t="shared" si="90"/>
        <v>0</v>
      </c>
      <c r="K615" s="919"/>
      <c r="L615" s="914">
        <f t="shared" si="91"/>
        <v>0</v>
      </c>
      <c r="M615" s="919"/>
      <c r="N615" s="914">
        <f t="shared" si="83"/>
        <v>0</v>
      </c>
      <c r="O615" s="914"/>
      <c r="P615" s="914">
        <f t="shared" si="84"/>
        <v>0</v>
      </c>
      <c r="Q615" s="914"/>
      <c r="R615" s="914">
        <f t="shared" si="85"/>
        <v>0</v>
      </c>
      <c r="S615" s="915">
        <f t="shared" si="86"/>
        <v>0</v>
      </c>
      <c r="T615" s="911">
        <f t="shared" si="87"/>
        <v>0</v>
      </c>
      <c r="U615" s="1172"/>
      <c r="V615" s="1172"/>
      <c r="W615" s="1172"/>
      <c r="X615" s="1172"/>
      <c r="Y615" s="1172"/>
      <c r="Z615" s="1172"/>
      <c r="AA615" s="1172"/>
      <c r="AB615" s="1172"/>
      <c r="AC615" s="1172"/>
      <c r="AD615" s="1172"/>
      <c r="AE615" s="1172"/>
      <c r="AF615" s="1172"/>
      <c r="AG615" s="1172"/>
      <c r="AH615" s="1172"/>
      <c r="AI615" s="1172"/>
      <c r="AJ615" s="1172"/>
      <c r="AK615" s="1172"/>
      <c r="AL615" s="1172"/>
      <c r="AM615" s="1172"/>
      <c r="AN615" s="1172"/>
      <c r="AO615" s="1172"/>
      <c r="AP615" s="1172"/>
      <c r="AQ615" s="1172"/>
      <c r="AR615" s="1172"/>
      <c r="AS615" s="1172"/>
      <c r="AT615" s="1172"/>
      <c r="AU615" s="1172"/>
      <c r="AV615" s="1172"/>
      <c r="AW615" s="1172"/>
      <c r="AX615" s="1172"/>
      <c r="AY615" s="1172"/>
      <c r="AZ615" s="1172"/>
      <c r="BA615" s="1172"/>
      <c r="BB615" s="1172"/>
      <c r="BC615" s="1172"/>
      <c r="BD615" s="1172"/>
      <c r="BE615" s="1172"/>
      <c r="BF615" s="1172"/>
      <c r="BG615" s="1172"/>
      <c r="BH615" s="1172"/>
      <c r="BI615" s="1172"/>
      <c r="BJ615" s="1172"/>
      <c r="BK615" s="1172"/>
      <c r="BL615" s="1172"/>
      <c r="BM615" s="1172"/>
      <c r="BN615" s="1172"/>
      <c r="BO615" s="1172"/>
      <c r="BP615" s="1172"/>
      <c r="BQ615" s="1172"/>
      <c r="BR615" s="1172"/>
      <c r="BS615" s="1172"/>
      <c r="BT615" s="1172"/>
      <c r="BU615" s="1172"/>
      <c r="BV615" s="1172"/>
      <c r="BW615" s="1172"/>
      <c r="BX615" s="1172"/>
      <c r="BY615" s="1172"/>
      <c r="BZ615" s="1172"/>
      <c r="CA615" s="1172"/>
      <c r="CB615" s="1172"/>
      <c r="CC615" s="1172"/>
      <c r="CD615" s="1172"/>
      <c r="CE615" s="1172"/>
      <c r="CF615" s="1172"/>
      <c r="CG615" s="1172"/>
      <c r="CH615" s="1172"/>
      <c r="CI615" s="1172"/>
      <c r="CJ615" s="1172"/>
      <c r="CK615" s="1172"/>
      <c r="CL615" s="1172"/>
      <c r="CM615" s="1172"/>
      <c r="CN615" s="1172"/>
      <c r="CO615" s="1172"/>
      <c r="CP615" s="1172"/>
      <c r="CQ615" s="1172"/>
      <c r="CR615" s="1172"/>
      <c r="CS615" s="1172"/>
      <c r="CT615" s="1172"/>
      <c r="CU615" s="1172"/>
      <c r="CV615" s="1172"/>
      <c r="CW615" s="1172"/>
      <c r="CX615" s="1172"/>
      <c r="CY615" s="1172"/>
      <c r="CZ615" s="1172"/>
      <c r="DA615" s="1172"/>
      <c r="DB615" s="1172"/>
      <c r="DC615" s="1172"/>
      <c r="DD615" s="1172"/>
      <c r="DE615" s="1172"/>
      <c r="DF615" s="1172"/>
      <c r="DG615" s="1172"/>
      <c r="DH615" s="1172"/>
      <c r="DI615" s="1172"/>
      <c r="DJ615" s="1172"/>
    </row>
    <row r="616" spans="1:114" ht="250.5" hidden="1" customHeight="1">
      <c r="A616" s="931"/>
      <c r="B616" s="906" t="s">
        <v>3585</v>
      </c>
      <c r="C616" s="921"/>
      <c r="D616" s="908"/>
      <c r="E616" s="919"/>
      <c r="F616" s="1053">
        <f t="shared" si="88"/>
        <v>0</v>
      </c>
      <c r="G616" s="919"/>
      <c r="H616" s="914">
        <f t="shared" si="89"/>
        <v>0</v>
      </c>
      <c r="I616" s="919"/>
      <c r="J616" s="914">
        <f t="shared" si="90"/>
        <v>0</v>
      </c>
      <c r="K616" s="919"/>
      <c r="L616" s="914">
        <f t="shared" si="91"/>
        <v>0</v>
      </c>
      <c r="M616" s="919"/>
      <c r="N616" s="914">
        <f t="shared" si="83"/>
        <v>0</v>
      </c>
      <c r="O616" s="914"/>
      <c r="P616" s="914">
        <f t="shared" si="84"/>
        <v>0</v>
      </c>
      <c r="Q616" s="914"/>
      <c r="R616" s="914">
        <f t="shared" si="85"/>
        <v>0</v>
      </c>
      <c r="S616" s="915">
        <f t="shared" si="86"/>
        <v>0</v>
      </c>
      <c r="T616" s="911">
        <f t="shared" si="87"/>
        <v>0</v>
      </c>
    </row>
    <row r="617" spans="1:114" ht="250.5" hidden="1" customHeight="1">
      <c r="A617" s="931"/>
      <c r="B617" s="906" t="s">
        <v>4364</v>
      </c>
      <c r="C617" s="921">
        <f>DATA!R2867</f>
        <v>5747.88</v>
      </c>
      <c r="D617" s="908" t="s">
        <v>2273</v>
      </c>
      <c r="E617" s="919"/>
      <c r="F617" s="1053">
        <f t="shared" si="88"/>
        <v>0</v>
      </c>
      <c r="G617" s="919"/>
      <c r="H617" s="914">
        <f t="shared" si="89"/>
        <v>0</v>
      </c>
      <c r="I617" s="919"/>
      <c r="J617" s="914">
        <f t="shared" si="90"/>
        <v>0</v>
      </c>
      <c r="K617" s="919"/>
      <c r="L617" s="914">
        <f t="shared" si="91"/>
        <v>0</v>
      </c>
      <c r="M617" s="919"/>
      <c r="N617" s="914">
        <f t="shared" si="83"/>
        <v>0</v>
      </c>
      <c r="O617" s="914"/>
      <c r="P617" s="914">
        <f t="shared" si="84"/>
        <v>0</v>
      </c>
      <c r="Q617" s="914"/>
      <c r="R617" s="914">
        <f t="shared" si="85"/>
        <v>0</v>
      </c>
      <c r="S617" s="915">
        <f t="shared" si="86"/>
        <v>0</v>
      </c>
      <c r="T617" s="911">
        <f t="shared" si="87"/>
        <v>0</v>
      </c>
    </row>
    <row r="618" spans="1:114" ht="205.5" hidden="1" customHeight="1">
      <c r="A618" s="931"/>
      <c r="B618" s="906" t="s">
        <v>4652</v>
      </c>
      <c r="C618" s="921">
        <f>DATA!R2834</f>
        <v>6050.31</v>
      </c>
      <c r="D618" s="908" t="s">
        <v>2273</v>
      </c>
      <c r="E618" s="919"/>
      <c r="F618" s="1053">
        <f t="shared" si="88"/>
        <v>0</v>
      </c>
      <c r="G618" s="919"/>
      <c r="H618" s="914">
        <f t="shared" si="89"/>
        <v>0</v>
      </c>
      <c r="I618" s="919"/>
      <c r="J618" s="914">
        <f t="shared" si="90"/>
        <v>0</v>
      </c>
      <c r="K618" s="919"/>
      <c r="L618" s="914">
        <f t="shared" si="91"/>
        <v>0</v>
      </c>
      <c r="M618" s="919"/>
      <c r="N618" s="914">
        <f t="shared" si="83"/>
        <v>0</v>
      </c>
      <c r="O618" s="914"/>
      <c r="P618" s="914">
        <f t="shared" si="84"/>
        <v>0</v>
      </c>
      <c r="Q618" s="914"/>
      <c r="R618" s="914">
        <f t="shared" si="85"/>
        <v>0</v>
      </c>
      <c r="S618" s="915">
        <f t="shared" si="86"/>
        <v>0</v>
      </c>
      <c r="T618" s="911">
        <f t="shared" si="87"/>
        <v>0</v>
      </c>
    </row>
    <row r="619" spans="1:114" ht="237" hidden="1" customHeight="1">
      <c r="A619" s="931"/>
      <c r="B619" s="906" t="s">
        <v>4655</v>
      </c>
      <c r="C619" s="914">
        <f>DATA!K964</f>
        <v>5030.8599999999997</v>
      </c>
      <c r="D619" s="908" t="s">
        <v>2273</v>
      </c>
      <c r="E619" s="914"/>
      <c r="F619" s="1053">
        <f t="shared" si="88"/>
        <v>0</v>
      </c>
      <c r="G619" s="914"/>
      <c r="H619" s="914">
        <f t="shared" si="89"/>
        <v>0</v>
      </c>
      <c r="I619" s="914"/>
      <c r="J619" s="914">
        <f t="shared" si="90"/>
        <v>0</v>
      </c>
      <c r="K619" s="914"/>
      <c r="L619" s="914">
        <f t="shared" si="91"/>
        <v>0</v>
      </c>
      <c r="M619" s="914"/>
      <c r="N619" s="914">
        <f t="shared" si="83"/>
        <v>0</v>
      </c>
      <c r="O619" s="914"/>
      <c r="P619" s="914">
        <f t="shared" si="84"/>
        <v>0</v>
      </c>
      <c r="Q619" s="914"/>
      <c r="R619" s="914">
        <f t="shared" si="85"/>
        <v>0</v>
      </c>
      <c r="S619" s="915">
        <f t="shared" si="86"/>
        <v>0</v>
      </c>
      <c r="T619" s="911">
        <f t="shared" si="87"/>
        <v>0</v>
      </c>
    </row>
    <row r="620" spans="1:114" ht="224.25" customHeight="1">
      <c r="A620" s="931"/>
      <c r="B620" s="906" t="s">
        <v>4730</v>
      </c>
      <c r="C620" s="919">
        <f>DATA!K1000</f>
        <v>5046.57</v>
      </c>
      <c r="D620" s="908" t="s">
        <v>2273</v>
      </c>
      <c r="E620" s="914">
        <f>DSP!H2183</f>
        <v>3.5</v>
      </c>
      <c r="F620" s="1053">
        <f t="shared" si="88"/>
        <v>17663</v>
      </c>
      <c r="G620" s="914"/>
      <c r="H620" s="914">
        <f t="shared" si="89"/>
        <v>0</v>
      </c>
      <c r="I620" s="914"/>
      <c r="J620" s="914">
        <f t="shared" si="90"/>
        <v>0</v>
      </c>
      <c r="K620" s="914"/>
      <c r="L620" s="914">
        <f t="shared" si="91"/>
        <v>0</v>
      </c>
      <c r="M620" s="914"/>
      <c r="N620" s="914">
        <f t="shared" si="83"/>
        <v>0</v>
      </c>
      <c r="O620" s="914"/>
      <c r="P620" s="914">
        <f t="shared" si="84"/>
        <v>0</v>
      </c>
      <c r="Q620" s="914"/>
      <c r="R620" s="914">
        <f t="shared" si="85"/>
        <v>0</v>
      </c>
      <c r="S620" s="915">
        <f t="shared" si="86"/>
        <v>3.5</v>
      </c>
      <c r="T620" s="911">
        <f t="shared" si="87"/>
        <v>17663</v>
      </c>
    </row>
    <row r="621" spans="1:114" ht="183" customHeight="1">
      <c r="A621" s="931"/>
      <c r="B621" s="924" t="s">
        <v>4365</v>
      </c>
      <c r="C621" s="921"/>
      <c r="D621" s="908"/>
      <c r="E621" s="914"/>
      <c r="F621" s="1053">
        <f t="shared" si="88"/>
        <v>0</v>
      </c>
      <c r="G621" s="914"/>
      <c r="H621" s="914">
        <f t="shared" si="89"/>
        <v>0</v>
      </c>
      <c r="I621" s="914"/>
      <c r="J621" s="914">
        <f t="shared" si="90"/>
        <v>0</v>
      </c>
      <c r="K621" s="914"/>
      <c r="L621" s="914">
        <f t="shared" si="91"/>
        <v>0</v>
      </c>
      <c r="M621" s="914"/>
      <c r="N621" s="914">
        <f t="shared" si="83"/>
        <v>0</v>
      </c>
      <c r="O621" s="914"/>
      <c r="P621" s="914">
        <f t="shared" si="84"/>
        <v>0</v>
      </c>
      <c r="Q621" s="914"/>
      <c r="R621" s="914">
        <f t="shared" si="85"/>
        <v>0</v>
      </c>
      <c r="S621" s="915">
        <f t="shared" si="86"/>
        <v>0</v>
      </c>
      <c r="T621" s="911">
        <f t="shared" si="87"/>
        <v>0</v>
      </c>
    </row>
    <row r="622" spans="1:114" ht="250.5" hidden="1" customHeight="1">
      <c r="A622" s="931"/>
      <c r="B622" s="906" t="s">
        <v>6647</v>
      </c>
      <c r="C622" s="921">
        <f>DATA!K3434</f>
        <v>5266.65</v>
      </c>
      <c r="D622" s="908" t="s">
        <v>2273</v>
      </c>
      <c r="E622" s="919"/>
      <c r="F622" s="1053">
        <f t="shared" si="88"/>
        <v>0</v>
      </c>
      <c r="G622" s="919"/>
      <c r="H622" s="914">
        <f t="shared" si="89"/>
        <v>0</v>
      </c>
      <c r="I622" s="919"/>
      <c r="J622" s="914">
        <f t="shared" si="90"/>
        <v>0</v>
      </c>
      <c r="K622" s="919"/>
      <c r="L622" s="914">
        <f t="shared" si="91"/>
        <v>0</v>
      </c>
      <c r="M622" s="919"/>
      <c r="N622" s="914">
        <f t="shared" si="83"/>
        <v>0</v>
      </c>
      <c r="O622" s="914"/>
      <c r="P622" s="914">
        <f t="shared" si="84"/>
        <v>0</v>
      </c>
      <c r="Q622" s="914"/>
      <c r="R622" s="914">
        <f t="shared" si="85"/>
        <v>0</v>
      </c>
      <c r="S622" s="915">
        <f t="shared" si="86"/>
        <v>0</v>
      </c>
      <c r="T622" s="911">
        <f t="shared" si="87"/>
        <v>0</v>
      </c>
    </row>
    <row r="623" spans="1:114" ht="250.5" hidden="1" customHeight="1">
      <c r="A623" s="931"/>
      <c r="B623" s="949" t="s">
        <v>6648</v>
      </c>
      <c r="C623" s="921">
        <f>DATA!AG2629</f>
        <v>5871.42</v>
      </c>
      <c r="D623" s="908" t="s">
        <v>2273</v>
      </c>
      <c r="E623" s="919"/>
      <c r="F623" s="1053">
        <f t="shared" si="88"/>
        <v>0</v>
      </c>
      <c r="G623" s="919"/>
      <c r="H623" s="914">
        <f t="shared" si="89"/>
        <v>0</v>
      </c>
      <c r="I623" s="919"/>
      <c r="J623" s="914">
        <f t="shared" si="90"/>
        <v>0</v>
      </c>
      <c r="K623" s="919"/>
      <c r="L623" s="914">
        <f t="shared" si="91"/>
        <v>0</v>
      </c>
      <c r="M623" s="919"/>
      <c r="N623" s="914">
        <f t="shared" si="83"/>
        <v>0</v>
      </c>
      <c r="O623" s="914"/>
      <c r="P623" s="914">
        <f t="shared" si="84"/>
        <v>0</v>
      </c>
      <c r="Q623" s="914"/>
      <c r="R623" s="914">
        <f t="shared" si="85"/>
        <v>0</v>
      </c>
      <c r="S623" s="915">
        <f t="shared" si="86"/>
        <v>0</v>
      </c>
      <c r="T623" s="911">
        <f t="shared" si="87"/>
        <v>0</v>
      </c>
    </row>
    <row r="624" spans="1:114" ht="250.5" hidden="1" customHeight="1">
      <c r="A624" s="931"/>
      <c r="B624" s="906" t="s">
        <v>6649</v>
      </c>
      <c r="C624" s="922">
        <v>8756.6299999999992</v>
      </c>
      <c r="D624" s="972" t="s">
        <v>2273</v>
      </c>
      <c r="E624" s="919"/>
      <c r="F624" s="1053">
        <f t="shared" si="88"/>
        <v>0</v>
      </c>
      <c r="G624" s="919"/>
      <c r="H624" s="914">
        <f t="shared" si="89"/>
        <v>0</v>
      </c>
      <c r="I624" s="919"/>
      <c r="J624" s="914">
        <f t="shared" si="90"/>
        <v>0</v>
      </c>
      <c r="K624" s="919"/>
      <c r="L624" s="914">
        <f t="shared" si="91"/>
        <v>0</v>
      </c>
      <c r="M624" s="919"/>
      <c r="N624" s="914">
        <f t="shared" si="83"/>
        <v>0</v>
      </c>
      <c r="O624" s="914"/>
      <c r="P624" s="914">
        <f t="shared" si="84"/>
        <v>0</v>
      </c>
      <c r="Q624" s="914"/>
      <c r="R624" s="914">
        <f t="shared" si="85"/>
        <v>0</v>
      </c>
      <c r="S624" s="915">
        <f t="shared" si="86"/>
        <v>0</v>
      </c>
      <c r="T624" s="911">
        <f t="shared" si="87"/>
        <v>0</v>
      </c>
    </row>
    <row r="625" spans="1:114" ht="250.5" customHeight="1">
      <c r="A625" s="931"/>
      <c r="B625" s="906" t="s">
        <v>6650</v>
      </c>
      <c r="C625" s="921">
        <f>DATA!R3203</f>
        <v>6220.61</v>
      </c>
      <c r="D625" s="908" t="s">
        <v>2273</v>
      </c>
      <c r="E625" s="919"/>
      <c r="F625" s="1053">
        <f t="shared" si="88"/>
        <v>0</v>
      </c>
      <c r="G625" s="919"/>
      <c r="H625" s="914">
        <f t="shared" si="89"/>
        <v>0</v>
      </c>
      <c r="I625" s="919"/>
      <c r="J625" s="914">
        <f t="shared" si="90"/>
        <v>0</v>
      </c>
      <c r="K625" s="919"/>
      <c r="L625" s="914">
        <f t="shared" si="91"/>
        <v>0</v>
      </c>
      <c r="M625" s="919"/>
      <c r="N625" s="914">
        <f t="shared" si="83"/>
        <v>0</v>
      </c>
      <c r="O625" s="914"/>
      <c r="P625" s="914">
        <f t="shared" si="84"/>
        <v>0</v>
      </c>
      <c r="Q625" s="914"/>
      <c r="R625" s="914">
        <f t="shared" si="85"/>
        <v>0</v>
      </c>
      <c r="S625" s="915">
        <f t="shared" si="86"/>
        <v>0</v>
      </c>
      <c r="T625" s="911">
        <f t="shared" si="87"/>
        <v>0</v>
      </c>
    </row>
    <row r="626" spans="1:114" ht="250.5" customHeight="1">
      <c r="A626" s="931"/>
      <c r="B626" s="973" t="s">
        <v>6651</v>
      </c>
      <c r="C626" s="921">
        <f>DATA!K2647</f>
        <v>6538.42</v>
      </c>
      <c r="D626" s="908" t="s">
        <v>2273</v>
      </c>
      <c r="E626" s="914">
        <f>DSP!H2172</f>
        <v>2.9</v>
      </c>
      <c r="F626" s="1053">
        <f t="shared" si="88"/>
        <v>18961.419999999998</v>
      </c>
      <c r="G626" s="914"/>
      <c r="H626" s="914">
        <f t="shared" si="89"/>
        <v>0</v>
      </c>
      <c r="I626" s="914"/>
      <c r="J626" s="914">
        <f t="shared" si="90"/>
        <v>0</v>
      </c>
      <c r="K626" s="914"/>
      <c r="L626" s="914">
        <f t="shared" si="91"/>
        <v>0</v>
      </c>
      <c r="M626" s="914"/>
      <c r="N626" s="914">
        <f t="shared" si="83"/>
        <v>0</v>
      </c>
      <c r="O626" s="914"/>
      <c r="P626" s="914">
        <f t="shared" si="84"/>
        <v>0</v>
      </c>
      <c r="Q626" s="914"/>
      <c r="R626" s="914">
        <f t="shared" si="85"/>
        <v>0</v>
      </c>
      <c r="S626" s="915">
        <f t="shared" si="86"/>
        <v>2.9</v>
      </c>
      <c r="T626" s="911">
        <f t="shared" si="87"/>
        <v>18961.419999999998</v>
      </c>
    </row>
    <row r="627" spans="1:114" ht="250.5" customHeight="1">
      <c r="A627" s="931"/>
      <c r="B627" s="949" t="s">
        <v>6652</v>
      </c>
      <c r="C627" s="921">
        <f>DATA!R2654</f>
        <v>7153.15</v>
      </c>
      <c r="D627" s="908" t="s">
        <v>2273</v>
      </c>
      <c r="E627" s="919">
        <f>DSP!H2176</f>
        <v>6.8</v>
      </c>
      <c r="F627" s="1053">
        <f t="shared" si="88"/>
        <v>48641.42</v>
      </c>
      <c r="G627" s="919"/>
      <c r="H627" s="914">
        <f t="shared" si="89"/>
        <v>0</v>
      </c>
      <c r="I627" s="919"/>
      <c r="J627" s="914">
        <f t="shared" si="90"/>
        <v>0</v>
      </c>
      <c r="K627" s="919"/>
      <c r="L627" s="914">
        <f t="shared" si="91"/>
        <v>0</v>
      </c>
      <c r="M627" s="919"/>
      <c r="N627" s="914">
        <f t="shared" si="83"/>
        <v>0</v>
      </c>
      <c r="O627" s="914"/>
      <c r="P627" s="914">
        <f t="shared" si="84"/>
        <v>0</v>
      </c>
      <c r="Q627" s="914"/>
      <c r="R627" s="914">
        <f t="shared" si="85"/>
        <v>0</v>
      </c>
      <c r="S627" s="915">
        <f t="shared" si="86"/>
        <v>6.8</v>
      </c>
      <c r="T627" s="911">
        <f t="shared" si="87"/>
        <v>48641.42</v>
      </c>
    </row>
    <row r="628" spans="1:114" ht="250.5" customHeight="1">
      <c r="A628" s="931"/>
      <c r="B628" s="949" t="s">
        <v>6979</v>
      </c>
      <c r="C628" s="921">
        <f>door!F41</f>
        <v>6293.58</v>
      </c>
      <c r="D628" s="908" t="s">
        <v>2273</v>
      </c>
      <c r="E628" s="919">
        <f>DSP!H2179</f>
        <v>2</v>
      </c>
      <c r="F628" s="1053">
        <f t="shared" si="88"/>
        <v>12587.16</v>
      </c>
      <c r="G628" s="919"/>
      <c r="H628" s="914"/>
      <c r="I628" s="919"/>
      <c r="J628" s="914"/>
      <c r="K628" s="919"/>
      <c r="L628" s="914"/>
      <c r="M628" s="919"/>
      <c r="N628" s="914"/>
      <c r="O628" s="914"/>
      <c r="P628" s="914"/>
      <c r="Q628" s="914"/>
      <c r="R628" s="914"/>
      <c r="S628" s="915">
        <f t="shared" si="86"/>
        <v>2</v>
      </c>
      <c r="T628" s="911">
        <f t="shared" si="87"/>
        <v>12587.16</v>
      </c>
    </row>
    <row r="629" spans="1:114" ht="250.5" hidden="1" customHeight="1">
      <c r="A629" s="931"/>
      <c r="B629" s="974" t="s">
        <v>6653</v>
      </c>
      <c r="C629" s="921">
        <f>'Sliding and french window'!G219</f>
        <v>27750</v>
      </c>
      <c r="D629" s="908" t="s">
        <v>1393</v>
      </c>
      <c r="E629" s="919"/>
      <c r="F629" s="1053">
        <f t="shared" si="88"/>
        <v>0</v>
      </c>
      <c r="G629" s="919"/>
      <c r="H629" s="914">
        <f t="shared" si="89"/>
        <v>0</v>
      </c>
      <c r="I629" s="919"/>
      <c r="J629" s="914">
        <f t="shared" si="90"/>
        <v>0</v>
      </c>
      <c r="K629" s="919"/>
      <c r="L629" s="914">
        <f t="shared" si="91"/>
        <v>0</v>
      </c>
      <c r="M629" s="919"/>
      <c r="N629" s="914">
        <f t="shared" ref="N629:N695" si="92">M629*C629</f>
        <v>0</v>
      </c>
      <c r="O629" s="914"/>
      <c r="P629" s="914">
        <f t="shared" si="84"/>
        <v>0</v>
      </c>
      <c r="Q629" s="914"/>
      <c r="R629" s="914">
        <f t="shared" si="85"/>
        <v>0</v>
      </c>
      <c r="S629" s="915">
        <f t="shared" si="86"/>
        <v>0</v>
      </c>
      <c r="T629" s="911">
        <f t="shared" si="87"/>
        <v>0</v>
      </c>
    </row>
    <row r="630" spans="1:114" ht="250.5" hidden="1" customHeight="1">
      <c r="A630" s="931"/>
      <c r="B630" s="925" t="s">
        <v>4733</v>
      </c>
      <c r="C630" s="957"/>
      <c r="D630" s="957"/>
      <c r="E630" s="919"/>
      <c r="F630" s="1053">
        <f t="shared" si="88"/>
        <v>0</v>
      </c>
      <c r="G630" s="919"/>
      <c r="H630" s="914">
        <f t="shared" si="89"/>
        <v>0</v>
      </c>
      <c r="I630" s="919"/>
      <c r="J630" s="914">
        <f t="shared" si="90"/>
        <v>0</v>
      </c>
      <c r="K630" s="919"/>
      <c r="L630" s="914">
        <f t="shared" si="91"/>
        <v>0</v>
      </c>
      <c r="M630" s="919"/>
      <c r="N630" s="914">
        <f t="shared" si="92"/>
        <v>0</v>
      </c>
      <c r="O630" s="914"/>
      <c r="P630" s="914">
        <f t="shared" si="84"/>
        <v>0</v>
      </c>
      <c r="Q630" s="914"/>
      <c r="R630" s="914">
        <f t="shared" si="85"/>
        <v>0</v>
      </c>
      <c r="S630" s="915">
        <f t="shared" si="86"/>
        <v>0</v>
      </c>
      <c r="T630" s="911">
        <f t="shared" si="87"/>
        <v>0</v>
      </c>
    </row>
    <row r="631" spans="1:114" ht="250.5" hidden="1" customHeight="1">
      <c r="A631" s="931"/>
      <c r="B631" s="906" t="s">
        <v>4728</v>
      </c>
      <c r="C631" s="922">
        <v>3346.03</v>
      </c>
      <c r="D631" s="908" t="s">
        <v>230</v>
      </c>
      <c r="E631" s="919"/>
      <c r="F631" s="1053">
        <f t="shared" si="88"/>
        <v>0</v>
      </c>
      <c r="G631" s="919"/>
      <c r="H631" s="914">
        <f t="shared" si="89"/>
        <v>0</v>
      </c>
      <c r="I631" s="919"/>
      <c r="J631" s="914">
        <f t="shared" si="90"/>
        <v>0</v>
      </c>
      <c r="K631" s="919"/>
      <c r="L631" s="914">
        <f t="shared" si="91"/>
        <v>0</v>
      </c>
      <c r="M631" s="919"/>
      <c r="N631" s="914">
        <f t="shared" si="92"/>
        <v>0</v>
      </c>
      <c r="O631" s="914"/>
      <c r="P631" s="914">
        <f t="shared" si="84"/>
        <v>0</v>
      </c>
      <c r="Q631" s="914"/>
      <c r="R631" s="914">
        <f t="shared" si="85"/>
        <v>0</v>
      </c>
      <c r="S631" s="915">
        <f t="shared" si="86"/>
        <v>0</v>
      </c>
      <c r="T631" s="911">
        <f t="shared" si="87"/>
        <v>0</v>
      </c>
    </row>
    <row r="632" spans="1:114" ht="250.5" hidden="1" customHeight="1">
      <c r="A632" s="931"/>
      <c r="B632" s="906" t="s">
        <v>4729</v>
      </c>
      <c r="C632" s="945">
        <v>2819.29</v>
      </c>
      <c r="D632" s="908" t="s">
        <v>230</v>
      </c>
      <c r="E632" s="919"/>
      <c r="F632" s="1053">
        <f t="shared" si="88"/>
        <v>0</v>
      </c>
      <c r="G632" s="919"/>
      <c r="H632" s="914">
        <f t="shared" si="89"/>
        <v>0</v>
      </c>
      <c r="I632" s="919"/>
      <c r="J632" s="914">
        <f t="shared" si="90"/>
        <v>0</v>
      </c>
      <c r="K632" s="919"/>
      <c r="L632" s="914">
        <f t="shared" si="91"/>
        <v>0</v>
      </c>
      <c r="M632" s="919"/>
      <c r="N632" s="914">
        <f t="shared" si="92"/>
        <v>0</v>
      </c>
      <c r="O632" s="914"/>
      <c r="P632" s="914">
        <f t="shared" si="84"/>
        <v>0</v>
      </c>
      <c r="Q632" s="914"/>
      <c r="R632" s="914">
        <f t="shared" si="85"/>
        <v>0</v>
      </c>
      <c r="S632" s="915">
        <f t="shared" si="86"/>
        <v>0</v>
      </c>
      <c r="T632" s="911">
        <f t="shared" si="87"/>
        <v>0</v>
      </c>
    </row>
    <row r="633" spans="1:114" ht="250.5" hidden="1" customHeight="1">
      <c r="A633" s="943"/>
      <c r="B633" s="906" t="s">
        <v>4732</v>
      </c>
      <c r="C633" s="945">
        <v>2596.6799999999998</v>
      </c>
      <c r="D633" s="908" t="s">
        <v>2273</v>
      </c>
      <c r="E633" s="914"/>
      <c r="F633" s="1053">
        <f t="shared" si="88"/>
        <v>0</v>
      </c>
      <c r="G633" s="914"/>
      <c r="H633" s="914">
        <f t="shared" si="89"/>
        <v>0</v>
      </c>
      <c r="I633" s="914"/>
      <c r="J633" s="914">
        <f t="shared" si="90"/>
        <v>0</v>
      </c>
      <c r="K633" s="914"/>
      <c r="L633" s="914">
        <f t="shared" si="91"/>
        <v>0</v>
      </c>
      <c r="M633" s="914"/>
      <c r="N633" s="914">
        <f t="shared" si="92"/>
        <v>0</v>
      </c>
      <c r="O633" s="914"/>
      <c r="P633" s="914">
        <f t="shared" si="84"/>
        <v>0</v>
      </c>
      <c r="Q633" s="914"/>
      <c r="R633" s="914">
        <f t="shared" si="85"/>
        <v>0</v>
      </c>
      <c r="S633" s="915">
        <f t="shared" si="86"/>
        <v>0</v>
      </c>
      <c r="T633" s="911">
        <f t="shared" si="87"/>
        <v>0</v>
      </c>
    </row>
    <row r="634" spans="1:114" ht="250.5" hidden="1" customHeight="1">
      <c r="A634" s="931"/>
      <c r="B634" s="906" t="s">
        <v>4366</v>
      </c>
      <c r="C634" s="918">
        <f>DATA!R1000</f>
        <v>4068.54</v>
      </c>
      <c r="D634" s="918" t="s">
        <v>2273</v>
      </c>
      <c r="E634" s="919"/>
      <c r="F634" s="1053">
        <f t="shared" si="88"/>
        <v>0</v>
      </c>
      <c r="G634" s="919"/>
      <c r="H634" s="914">
        <f t="shared" si="89"/>
        <v>0</v>
      </c>
      <c r="I634" s="919"/>
      <c r="J634" s="914">
        <f t="shared" si="90"/>
        <v>0</v>
      </c>
      <c r="K634" s="919"/>
      <c r="L634" s="914">
        <f t="shared" si="91"/>
        <v>0</v>
      </c>
      <c r="M634" s="919"/>
      <c r="N634" s="914">
        <f t="shared" si="92"/>
        <v>0</v>
      </c>
      <c r="O634" s="914"/>
      <c r="P634" s="914">
        <f t="shared" si="84"/>
        <v>0</v>
      </c>
      <c r="Q634" s="914"/>
      <c r="R634" s="914">
        <f t="shared" si="85"/>
        <v>0</v>
      </c>
      <c r="S634" s="915">
        <f t="shared" si="86"/>
        <v>0</v>
      </c>
      <c r="T634" s="911">
        <f t="shared" si="87"/>
        <v>0</v>
      </c>
    </row>
    <row r="635" spans="1:114" ht="250.5" hidden="1" customHeight="1">
      <c r="A635" s="931"/>
      <c r="B635" s="906" t="s">
        <v>4707</v>
      </c>
      <c r="C635" s="921">
        <v>8847.7900000000009</v>
      </c>
      <c r="D635" s="908" t="s">
        <v>2273</v>
      </c>
      <c r="E635" s="919"/>
      <c r="F635" s="1053">
        <f t="shared" si="88"/>
        <v>0</v>
      </c>
      <c r="G635" s="919"/>
      <c r="H635" s="914">
        <f t="shared" si="89"/>
        <v>0</v>
      </c>
      <c r="I635" s="919"/>
      <c r="J635" s="914">
        <f t="shared" si="90"/>
        <v>0</v>
      </c>
      <c r="K635" s="919"/>
      <c r="L635" s="914">
        <f t="shared" si="91"/>
        <v>0</v>
      </c>
      <c r="M635" s="919"/>
      <c r="N635" s="914">
        <f t="shared" si="92"/>
        <v>0</v>
      </c>
      <c r="O635" s="914"/>
      <c r="P635" s="914">
        <f t="shared" si="84"/>
        <v>0</v>
      </c>
      <c r="Q635" s="914"/>
      <c r="R635" s="914">
        <f t="shared" si="85"/>
        <v>0</v>
      </c>
      <c r="S635" s="915">
        <f t="shared" si="86"/>
        <v>0</v>
      </c>
      <c r="T635" s="911">
        <f t="shared" si="87"/>
        <v>0</v>
      </c>
    </row>
    <row r="636" spans="1:114" ht="250.5" customHeight="1">
      <c r="A636" s="905" t="s">
        <v>3510</v>
      </c>
      <c r="B636" s="906" t="s">
        <v>4333</v>
      </c>
      <c r="C636" s="913">
        <f>DATA!C704</f>
        <v>3325</v>
      </c>
      <c r="D636" s="908" t="s">
        <v>2273</v>
      </c>
      <c r="E636" s="914">
        <f>DSP!H1798</f>
        <v>12.1</v>
      </c>
      <c r="F636" s="1053">
        <f t="shared" si="88"/>
        <v>40232.5</v>
      </c>
      <c r="G636" s="914"/>
      <c r="H636" s="914">
        <f t="shared" si="89"/>
        <v>0</v>
      </c>
      <c r="I636" s="914"/>
      <c r="J636" s="914">
        <f t="shared" si="90"/>
        <v>0</v>
      </c>
      <c r="K636" s="914"/>
      <c r="L636" s="914">
        <f t="shared" si="91"/>
        <v>0</v>
      </c>
      <c r="M636" s="914"/>
      <c r="N636" s="914">
        <f t="shared" si="92"/>
        <v>0</v>
      </c>
      <c r="O636" s="914"/>
      <c r="P636" s="914">
        <f t="shared" si="84"/>
        <v>0</v>
      </c>
      <c r="Q636" s="914"/>
      <c r="R636" s="914">
        <f t="shared" si="85"/>
        <v>0</v>
      </c>
      <c r="S636" s="915">
        <f t="shared" si="86"/>
        <v>12.1</v>
      </c>
      <c r="T636" s="911">
        <f t="shared" si="87"/>
        <v>40232.5</v>
      </c>
    </row>
    <row r="637" spans="1:114" s="920" customFormat="1" ht="250.5" customHeight="1">
      <c r="A637" s="975" t="s">
        <v>694</v>
      </c>
      <c r="B637" s="917" t="s">
        <v>4727</v>
      </c>
      <c r="C637" s="918">
        <f>ROUND(DATA!K1185,2)</f>
        <v>835.7</v>
      </c>
      <c r="D637" s="898" t="s">
        <v>2273</v>
      </c>
      <c r="E637" s="919"/>
      <c r="F637" s="1053">
        <f t="shared" si="88"/>
        <v>0</v>
      </c>
      <c r="G637" s="919"/>
      <c r="H637" s="914">
        <f t="shared" si="89"/>
        <v>0</v>
      </c>
      <c r="I637" s="919"/>
      <c r="J637" s="914">
        <f t="shared" si="90"/>
        <v>0</v>
      </c>
      <c r="K637" s="919"/>
      <c r="L637" s="914">
        <f t="shared" si="91"/>
        <v>0</v>
      </c>
      <c r="M637" s="919"/>
      <c r="N637" s="914">
        <f t="shared" si="92"/>
        <v>0</v>
      </c>
      <c r="O637" s="914"/>
      <c r="P637" s="914">
        <f t="shared" si="84"/>
        <v>0</v>
      </c>
      <c r="Q637" s="914"/>
      <c r="R637" s="914">
        <f t="shared" si="85"/>
        <v>0</v>
      </c>
      <c r="S637" s="915">
        <f t="shared" si="86"/>
        <v>0</v>
      </c>
      <c r="T637" s="911">
        <f t="shared" si="87"/>
        <v>0</v>
      </c>
      <c r="U637" s="1172"/>
      <c r="V637" s="1172"/>
      <c r="W637" s="1172"/>
      <c r="X637" s="1172"/>
      <c r="Y637" s="1172"/>
      <c r="Z637" s="1172"/>
      <c r="AA637" s="1172"/>
      <c r="AB637" s="1172"/>
      <c r="AC637" s="1172"/>
      <c r="AD637" s="1172"/>
      <c r="AE637" s="1172"/>
      <c r="AF637" s="1172"/>
      <c r="AG637" s="1172"/>
      <c r="AH637" s="1172"/>
      <c r="AI637" s="1172"/>
      <c r="AJ637" s="1172"/>
      <c r="AK637" s="1172"/>
      <c r="AL637" s="1172"/>
      <c r="AM637" s="1172"/>
      <c r="AN637" s="1172"/>
      <c r="AO637" s="1172"/>
      <c r="AP637" s="1172"/>
      <c r="AQ637" s="1172"/>
      <c r="AR637" s="1172"/>
      <c r="AS637" s="1172"/>
      <c r="AT637" s="1172"/>
      <c r="AU637" s="1172"/>
      <c r="AV637" s="1172"/>
      <c r="AW637" s="1172"/>
      <c r="AX637" s="1172"/>
      <c r="AY637" s="1172"/>
      <c r="AZ637" s="1172"/>
      <c r="BA637" s="1172"/>
      <c r="BB637" s="1172"/>
      <c r="BC637" s="1172"/>
      <c r="BD637" s="1172"/>
      <c r="BE637" s="1172"/>
      <c r="BF637" s="1172"/>
      <c r="BG637" s="1172"/>
      <c r="BH637" s="1172"/>
      <c r="BI637" s="1172"/>
      <c r="BJ637" s="1172"/>
      <c r="BK637" s="1172"/>
      <c r="BL637" s="1172"/>
      <c r="BM637" s="1172"/>
      <c r="BN637" s="1172"/>
      <c r="BO637" s="1172"/>
      <c r="BP637" s="1172"/>
      <c r="BQ637" s="1172"/>
      <c r="BR637" s="1172"/>
      <c r="BS637" s="1172"/>
      <c r="BT637" s="1172"/>
      <c r="BU637" s="1172"/>
      <c r="BV637" s="1172"/>
      <c r="BW637" s="1172"/>
      <c r="BX637" s="1172"/>
      <c r="BY637" s="1172"/>
      <c r="BZ637" s="1172"/>
      <c r="CA637" s="1172"/>
      <c r="CB637" s="1172"/>
      <c r="CC637" s="1172"/>
      <c r="CD637" s="1172"/>
      <c r="CE637" s="1172"/>
      <c r="CF637" s="1172"/>
      <c r="CG637" s="1172"/>
      <c r="CH637" s="1172"/>
      <c r="CI637" s="1172"/>
      <c r="CJ637" s="1172"/>
      <c r="CK637" s="1172"/>
      <c r="CL637" s="1172"/>
      <c r="CM637" s="1172"/>
      <c r="CN637" s="1172"/>
      <c r="CO637" s="1172"/>
      <c r="CP637" s="1172"/>
      <c r="CQ637" s="1172"/>
      <c r="CR637" s="1172"/>
      <c r="CS637" s="1172"/>
      <c r="CT637" s="1172"/>
      <c r="CU637" s="1172"/>
      <c r="CV637" s="1172"/>
      <c r="CW637" s="1172"/>
      <c r="CX637" s="1172"/>
      <c r="CY637" s="1172"/>
      <c r="CZ637" s="1172"/>
      <c r="DA637" s="1172"/>
      <c r="DB637" s="1172"/>
      <c r="DC637" s="1172"/>
      <c r="DD637" s="1172"/>
      <c r="DE637" s="1172"/>
      <c r="DF637" s="1172"/>
      <c r="DG637" s="1172"/>
      <c r="DH637" s="1172"/>
      <c r="DI637" s="1172"/>
      <c r="DJ637" s="1172"/>
    </row>
    <row r="638" spans="1:114" ht="250.5" hidden="1" customHeight="1">
      <c r="A638" s="927"/>
      <c r="B638" s="924" t="s">
        <v>225</v>
      </c>
      <c r="C638" s="913"/>
      <c r="D638" s="908"/>
      <c r="E638" s="919"/>
      <c r="F638" s="1053">
        <f t="shared" si="88"/>
        <v>0</v>
      </c>
      <c r="G638" s="919"/>
      <c r="H638" s="914">
        <f t="shared" si="89"/>
        <v>0</v>
      </c>
      <c r="I638" s="919"/>
      <c r="J638" s="914">
        <f t="shared" si="90"/>
        <v>0</v>
      </c>
      <c r="K638" s="919"/>
      <c r="L638" s="914">
        <f t="shared" si="91"/>
        <v>0</v>
      </c>
      <c r="M638" s="919"/>
      <c r="N638" s="914">
        <f t="shared" si="92"/>
        <v>0</v>
      </c>
      <c r="O638" s="914"/>
      <c r="P638" s="914">
        <f t="shared" si="84"/>
        <v>0</v>
      </c>
      <c r="Q638" s="914"/>
      <c r="R638" s="914">
        <f t="shared" si="85"/>
        <v>0</v>
      </c>
      <c r="S638" s="915">
        <f t="shared" si="86"/>
        <v>0</v>
      </c>
      <c r="T638" s="911">
        <f t="shared" si="87"/>
        <v>0</v>
      </c>
    </row>
    <row r="639" spans="1:114" ht="250.5" hidden="1" customHeight="1">
      <c r="A639" s="927"/>
      <c r="B639" s="906" t="s">
        <v>1247</v>
      </c>
      <c r="C639" s="913">
        <f>ROUND(DATA!K628,2)</f>
        <v>602.47</v>
      </c>
      <c r="D639" s="908" t="s">
        <v>1834</v>
      </c>
      <c r="E639" s="919"/>
      <c r="F639" s="1053">
        <f t="shared" si="88"/>
        <v>0</v>
      </c>
      <c r="G639" s="919"/>
      <c r="H639" s="914">
        <f t="shared" si="89"/>
        <v>0</v>
      </c>
      <c r="I639" s="919"/>
      <c r="J639" s="914">
        <f t="shared" si="90"/>
        <v>0</v>
      </c>
      <c r="K639" s="919"/>
      <c r="L639" s="914">
        <f t="shared" si="91"/>
        <v>0</v>
      </c>
      <c r="M639" s="919"/>
      <c r="N639" s="914">
        <f t="shared" si="92"/>
        <v>0</v>
      </c>
      <c r="O639" s="914"/>
      <c r="P639" s="914">
        <f t="shared" si="84"/>
        <v>0</v>
      </c>
      <c r="Q639" s="914"/>
      <c r="R639" s="914">
        <f t="shared" si="85"/>
        <v>0</v>
      </c>
      <c r="S639" s="915">
        <f t="shared" si="86"/>
        <v>0</v>
      </c>
      <c r="T639" s="911">
        <f t="shared" si="87"/>
        <v>0</v>
      </c>
    </row>
    <row r="640" spans="1:114" ht="250.5" hidden="1" customHeight="1">
      <c r="A640" s="927"/>
      <c r="B640" s="906" t="s">
        <v>1381</v>
      </c>
      <c r="C640" s="913">
        <f>ROUND(DATA!K629,2)</f>
        <v>607.19000000000005</v>
      </c>
      <c r="D640" s="908" t="s">
        <v>1834</v>
      </c>
      <c r="E640" s="919"/>
      <c r="F640" s="1053">
        <f t="shared" si="88"/>
        <v>0</v>
      </c>
      <c r="G640" s="919"/>
      <c r="H640" s="914">
        <f t="shared" si="89"/>
        <v>0</v>
      </c>
      <c r="I640" s="919"/>
      <c r="J640" s="914">
        <f t="shared" si="90"/>
        <v>0</v>
      </c>
      <c r="K640" s="919"/>
      <c r="L640" s="914">
        <f t="shared" si="91"/>
        <v>0</v>
      </c>
      <c r="M640" s="919"/>
      <c r="N640" s="914">
        <f t="shared" si="92"/>
        <v>0</v>
      </c>
      <c r="O640" s="914"/>
      <c r="P640" s="914">
        <f t="shared" si="84"/>
        <v>0</v>
      </c>
      <c r="Q640" s="914"/>
      <c r="R640" s="914">
        <f t="shared" si="85"/>
        <v>0</v>
      </c>
      <c r="S640" s="915">
        <f t="shared" si="86"/>
        <v>0</v>
      </c>
      <c r="T640" s="911">
        <f t="shared" si="87"/>
        <v>0</v>
      </c>
    </row>
    <row r="641" spans="1:20" ht="250.5" hidden="1" customHeight="1">
      <c r="A641" s="927"/>
      <c r="B641" s="906" t="s">
        <v>1429</v>
      </c>
      <c r="C641" s="913">
        <f>ROUND(DATA!K630,2)</f>
        <v>611.91</v>
      </c>
      <c r="D641" s="908" t="s">
        <v>1834</v>
      </c>
      <c r="E641" s="919"/>
      <c r="F641" s="1053">
        <f t="shared" si="88"/>
        <v>0</v>
      </c>
      <c r="G641" s="919"/>
      <c r="H641" s="914">
        <f t="shared" si="89"/>
        <v>0</v>
      </c>
      <c r="I641" s="919"/>
      <c r="J641" s="914">
        <f t="shared" si="90"/>
        <v>0</v>
      </c>
      <c r="K641" s="919"/>
      <c r="L641" s="914">
        <f t="shared" si="91"/>
        <v>0</v>
      </c>
      <c r="M641" s="919"/>
      <c r="N641" s="914">
        <f t="shared" si="92"/>
        <v>0</v>
      </c>
      <c r="O641" s="914"/>
      <c r="P641" s="914">
        <f t="shared" si="84"/>
        <v>0</v>
      </c>
      <c r="Q641" s="914"/>
      <c r="R641" s="914">
        <f t="shared" si="85"/>
        <v>0</v>
      </c>
      <c r="S641" s="915">
        <f t="shared" si="86"/>
        <v>0</v>
      </c>
      <c r="T641" s="911">
        <f t="shared" si="87"/>
        <v>0</v>
      </c>
    </row>
    <row r="642" spans="1:20" ht="250.5" hidden="1" customHeight="1">
      <c r="A642" s="927"/>
      <c r="B642" s="906" t="s">
        <v>1319</v>
      </c>
      <c r="C642" s="913">
        <f>ROUND(DATA!K631,2)</f>
        <v>616.63</v>
      </c>
      <c r="D642" s="908" t="s">
        <v>1834</v>
      </c>
      <c r="E642" s="919"/>
      <c r="F642" s="1053">
        <f t="shared" si="88"/>
        <v>0</v>
      </c>
      <c r="G642" s="919"/>
      <c r="H642" s="914">
        <f t="shared" si="89"/>
        <v>0</v>
      </c>
      <c r="I642" s="919"/>
      <c r="J642" s="914">
        <f t="shared" si="90"/>
        <v>0</v>
      </c>
      <c r="K642" s="919"/>
      <c r="L642" s="914">
        <f t="shared" si="91"/>
        <v>0</v>
      </c>
      <c r="M642" s="919"/>
      <c r="N642" s="914">
        <f t="shared" si="92"/>
        <v>0</v>
      </c>
      <c r="O642" s="914"/>
      <c r="P642" s="914">
        <f t="shared" si="84"/>
        <v>0</v>
      </c>
      <c r="Q642" s="914"/>
      <c r="R642" s="914">
        <f t="shared" si="85"/>
        <v>0</v>
      </c>
      <c r="S642" s="915">
        <f t="shared" si="86"/>
        <v>0</v>
      </c>
      <c r="T642" s="911">
        <f t="shared" si="87"/>
        <v>0</v>
      </c>
    </row>
    <row r="643" spans="1:20" ht="250.5" hidden="1" customHeight="1">
      <c r="A643" s="931"/>
      <c r="B643" s="906" t="s">
        <v>1074</v>
      </c>
      <c r="C643" s="921">
        <f>ROUND(DATA!K632,2)</f>
        <v>621.35</v>
      </c>
      <c r="D643" s="908" t="s">
        <v>1834</v>
      </c>
      <c r="E643" s="919"/>
      <c r="F643" s="1053">
        <f t="shared" si="88"/>
        <v>0</v>
      </c>
      <c r="G643" s="919"/>
      <c r="H643" s="914">
        <f t="shared" si="89"/>
        <v>0</v>
      </c>
      <c r="I643" s="919"/>
      <c r="J643" s="914">
        <f t="shared" si="90"/>
        <v>0</v>
      </c>
      <c r="K643" s="919"/>
      <c r="L643" s="914">
        <f t="shared" si="91"/>
        <v>0</v>
      </c>
      <c r="M643" s="919"/>
      <c r="N643" s="914">
        <f t="shared" si="92"/>
        <v>0</v>
      </c>
      <c r="O643" s="914"/>
      <c r="P643" s="914">
        <f t="shared" si="84"/>
        <v>0</v>
      </c>
      <c r="Q643" s="914"/>
      <c r="R643" s="914">
        <f t="shared" si="85"/>
        <v>0</v>
      </c>
      <c r="S643" s="915">
        <f t="shared" si="86"/>
        <v>0</v>
      </c>
      <c r="T643" s="911">
        <f t="shared" si="87"/>
        <v>0</v>
      </c>
    </row>
    <row r="644" spans="1:20" ht="250.5" hidden="1" customHeight="1">
      <c r="A644" s="931"/>
      <c r="B644" s="924" t="s">
        <v>3295</v>
      </c>
      <c r="C644" s="921"/>
      <c r="D644" s="908"/>
      <c r="E644" s="911"/>
      <c r="F644" s="1053">
        <f t="shared" si="88"/>
        <v>0</v>
      </c>
      <c r="G644" s="914"/>
      <c r="H644" s="914">
        <f t="shared" si="89"/>
        <v>0</v>
      </c>
      <c r="I644" s="914"/>
      <c r="J644" s="914">
        <f t="shared" si="90"/>
        <v>0</v>
      </c>
      <c r="K644" s="914"/>
      <c r="L644" s="914">
        <f t="shared" si="91"/>
        <v>0</v>
      </c>
      <c r="M644" s="914"/>
      <c r="N644" s="914">
        <f t="shared" si="92"/>
        <v>0</v>
      </c>
      <c r="O644" s="914"/>
      <c r="P644" s="914">
        <f t="shared" si="84"/>
        <v>0</v>
      </c>
      <c r="Q644" s="914"/>
      <c r="R644" s="914">
        <f t="shared" si="85"/>
        <v>0</v>
      </c>
      <c r="S644" s="915">
        <f t="shared" si="86"/>
        <v>0</v>
      </c>
      <c r="T644" s="911">
        <f t="shared" si="87"/>
        <v>0</v>
      </c>
    </row>
    <row r="645" spans="1:20" ht="250.5" hidden="1" customHeight="1">
      <c r="A645" s="931"/>
      <c r="B645" s="906" t="s">
        <v>3612</v>
      </c>
      <c r="C645" s="921">
        <f>DATA!K590</f>
        <v>556.1</v>
      </c>
      <c r="D645" s="908" t="s">
        <v>1834</v>
      </c>
      <c r="E645" s="914"/>
      <c r="F645" s="1053">
        <f t="shared" si="88"/>
        <v>0</v>
      </c>
      <c r="G645" s="914"/>
      <c r="H645" s="914">
        <f t="shared" si="89"/>
        <v>0</v>
      </c>
      <c r="I645" s="914"/>
      <c r="J645" s="914">
        <f t="shared" si="90"/>
        <v>0</v>
      </c>
      <c r="K645" s="914"/>
      <c r="L645" s="914">
        <f t="shared" si="91"/>
        <v>0</v>
      </c>
      <c r="M645" s="914"/>
      <c r="N645" s="914">
        <f t="shared" si="92"/>
        <v>0</v>
      </c>
      <c r="O645" s="914"/>
      <c r="P645" s="914">
        <f t="shared" si="84"/>
        <v>0</v>
      </c>
      <c r="Q645" s="914"/>
      <c r="R645" s="914">
        <f t="shared" si="85"/>
        <v>0</v>
      </c>
      <c r="S645" s="915">
        <f t="shared" si="86"/>
        <v>0</v>
      </c>
      <c r="T645" s="911">
        <f t="shared" si="87"/>
        <v>0</v>
      </c>
    </row>
    <row r="646" spans="1:20" ht="250.5" hidden="1" customHeight="1">
      <c r="A646" s="931"/>
      <c r="B646" s="906" t="s">
        <v>1381</v>
      </c>
      <c r="C646" s="921">
        <f>DATA!K591</f>
        <v>560.82000000000005</v>
      </c>
      <c r="D646" s="908" t="s">
        <v>1834</v>
      </c>
      <c r="E646" s="914"/>
      <c r="F646" s="1053">
        <f t="shared" si="88"/>
        <v>0</v>
      </c>
      <c r="G646" s="914"/>
      <c r="H646" s="914">
        <f t="shared" si="89"/>
        <v>0</v>
      </c>
      <c r="I646" s="914"/>
      <c r="J646" s="914">
        <f t="shared" si="90"/>
        <v>0</v>
      </c>
      <c r="K646" s="914"/>
      <c r="L646" s="914">
        <f t="shared" si="91"/>
        <v>0</v>
      </c>
      <c r="M646" s="914"/>
      <c r="N646" s="914">
        <f t="shared" si="92"/>
        <v>0</v>
      </c>
      <c r="O646" s="914"/>
      <c r="P646" s="914">
        <f t="shared" si="84"/>
        <v>0</v>
      </c>
      <c r="Q646" s="914"/>
      <c r="R646" s="914">
        <f t="shared" si="85"/>
        <v>0</v>
      </c>
      <c r="S646" s="915">
        <f t="shared" si="86"/>
        <v>0</v>
      </c>
      <c r="T646" s="911">
        <f t="shared" si="87"/>
        <v>0</v>
      </c>
    </row>
    <row r="647" spans="1:20" ht="250.5" hidden="1" customHeight="1">
      <c r="A647" s="931"/>
      <c r="B647" s="906" t="s">
        <v>1429</v>
      </c>
      <c r="C647" s="921">
        <f>DATA!K592</f>
        <v>565.54</v>
      </c>
      <c r="D647" s="908" t="s">
        <v>1834</v>
      </c>
      <c r="E647" s="919"/>
      <c r="F647" s="1053">
        <f t="shared" si="88"/>
        <v>0</v>
      </c>
      <c r="G647" s="919"/>
      <c r="H647" s="914">
        <f t="shared" si="89"/>
        <v>0</v>
      </c>
      <c r="I647" s="919"/>
      <c r="J647" s="914">
        <f t="shared" si="90"/>
        <v>0</v>
      </c>
      <c r="K647" s="919"/>
      <c r="L647" s="914">
        <f t="shared" si="91"/>
        <v>0</v>
      </c>
      <c r="M647" s="919"/>
      <c r="N647" s="914">
        <f t="shared" si="92"/>
        <v>0</v>
      </c>
      <c r="O647" s="914"/>
      <c r="P647" s="914">
        <f t="shared" ref="P647:P713" si="93">O647*C647</f>
        <v>0</v>
      </c>
      <c r="Q647" s="914"/>
      <c r="R647" s="914">
        <f t="shared" si="85"/>
        <v>0</v>
      </c>
      <c r="S647" s="915">
        <f t="shared" ref="S647:S710" si="94">G647+I647+K647+M647+E647+O647+Q647</f>
        <v>0</v>
      </c>
      <c r="T647" s="911">
        <f t="shared" ref="T647:T710" si="95">S647*C647</f>
        <v>0</v>
      </c>
    </row>
    <row r="648" spans="1:20" ht="250.5" hidden="1" customHeight="1">
      <c r="A648" s="931"/>
      <c r="B648" s="906" t="s">
        <v>1319</v>
      </c>
      <c r="C648" s="921">
        <f>DATA!K593</f>
        <v>570.26</v>
      </c>
      <c r="D648" s="908" t="s">
        <v>1834</v>
      </c>
      <c r="E648" s="919"/>
      <c r="F648" s="1053">
        <f t="shared" si="88"/>
        <v>0</v>
      </c>
      <c r="G648" s="919"/>
      <c r="H648" s="914">
        <f t="shared" si="89"/>
        <v>0</v>
      </c>
      <c r="I648" s="919"/>
      <c r="J648" s="914">
        <f t="shared" si="90"/>
        <v>0</v>
      </c>
      <c r="K648" s="919"/>
      <c r="L648" s="914">
        <f t="shared" si="91"/>
        <v>0</v>
      </c>
      <c r="M648" s="919"/>
      <c r="N648" s="914">
        <f t="shared" si="92"/>
        <v>0</v>
      </c>
      <c r="O648" s="914"/>
      <c r="P648" s="914">
        <f t="shared" si="93"/>
        <v>0</v>
      </c>
      <c r="Q648" s="914"/>
      <c r="R648" s="914">
        <f t="shared" ref="R648:R714" si="96">Q648*C648</f>
        <v>0</v>
      </c>
      <c r="S648" s="915">
        <f t="shared" si="94"/>
        <v>0</v>
      </c>
      <c r="T648" s="911">
        <f t="shared" si="95"/>
        <v>0</v>
      </c>
    </row>
    <row r="649" spans="1:20" ht="250.5" hidden="1" customHeight="1">
      <c r="A649" s="931"/>
      <c r="B649" s="906" t="s">
        <v>1074</v>
      </c>
      <c r="C649" s="921">
        <f>DATA!K594</f>
        <v>574.98</v>
      </c>
      <c r="D649" s="908" t="s">
        <v>1834</v>
      </c>
      <c r="E649" s="919"/>
      <c r="F649" s="1053">
        <f t="shared" si="88"/>
        <v>0</v>
      </c>
      <c r="G649" s="919"/>
      <c r="H649" s="914">
        <f t="shared" si="89"/>
        <v>0</v>
      </c>
      <c r="I649" s="919"/>
      <c r="J649" s="914">
        <f t="shared" si="90"/>
        <v>0</v>
      </c>
      <c r="K649" s="919"/>
      <c r="L649" s="914">
        <f t="shared" si="91"/>
        <v>0</v>
      </c>
      <c r="M649" s="919"/>
      <c r="N649" s="914">
        <f t="shared" si="92"/>
        <v>0</v>
      </c>
      <c r="O649" s="914"/>
      <c r="P649" s="914">
        <f t="shared" si="93"/>
        <v>0</v>
      </c>
      <c r="Q649" s="914"/>
      <c r="R649" s="914">
        <f t="shared" si="96"/>
        <v>0</v>
      </c>
      <c r="S649" s="915">
        <f t="shared" si="94"/>
        <v>0</v>
      </c>
      <c r="T649" s="911">
        <f t="shared" si="95"/>
        <v>0</v>
      </c>
    </row>
    <row r="650" spans="1:20" ht="250.5" hidden="1" customHeight="1">
      <c r="A650" s="931"/>
      <c r="B650" s="924" t="s">
        <v>673</v>
      </c>
      <c r="C650" s="921"/>
      <c r="D650" s="908"/>
      <c r="E650" s="911"/>
      <c r="F650" s="1053">
        <f t="shared" si="88"/>
        <v>0</v>
      </c>
      <c r="G650" s="914"/>
      <c r="H650" s="914">
        <f t="shared" si="89"/>
        <v>0</v>
      </c>
      <c r="I650" s="914"/>
      <c r="J650" s="914">
        <f t="shared" si="90"/>
        <v>0</v>
      </c>
      <c r="K650" s="914"/>
      <c r="L650" s="914">
        <f t="shared" si="91"/>
        <v>0</v>
      </c>
      <c r="M650" s="914"/>
      <c r="N650" s="914">
        <f t="shared" si="92"/>
        <v>0</v>
      </c>
      <c r="O650" s="914"/>
      <c r="P650" s="914">
        <f t="shared" si="93"/>
        <v>0</v>
      </c>
      <c r="Q650" s="914"/>
      <c r="R650" s="914">
        <f t="shared" si="96"/>
        <v>0</v>
      </c>
      <c r="S650" s="915">
        <f t="shared" si="94"/>
        <v>0</v>
      </c>
      <c r="T650" s="911">
        <f t="shared" si="95"/>
        <v>0</v>
      </c>
    </row>
    <row r="651" spans="1:20" ht="250.5" hidden="1" customHeight="1">
      <c r="A651" s="931"/>
      <c r="B651" s="906" t="s">
        <v>1247</v>
      </c>
      <c r="C651" s="921">
        <f>DATA!X590</f>
        <v>589.79</v>
      </c>
      <c r="D651" s="908" t="s">
        <v>1834</v>
      </c>
      <c r="E651" s="914"/>
      <c r="F651" s="1053">
        <f t="shared" si="88"/>
        <v>0</v>
      </c>
      <c r="G651" s="914"/>
      <c r="H651" s="914">
        <f t="shared" si="89"/>
        <v>0</v>
      </c>
      <c r="I651" s="914"/>
      <c r="J651" s="914">
        <f t="shared" si="90"/>
        <v>0</v>
      </c>
      <c r="K651" s="914"/>
      <c r="L651" s="914">
        <f t="shared" si="91"/>
        <v>0</v>
      </c>
      <c r="M651" s="914"/>
      <c r="N651" s="914">
        <f t="shared" si="92"/>
        <v>0</v>
      </c>
      <c r="O651" s="914"/>
      <c r="P651" s="914">
        <f t="shared" si="93"/>
        <v>0</v>
      </c>
      <c r="Q651" s="914"/>
      <c r="R651" s="914">
        <f t="shared" si="96"/>
        <v>0</v>
      </c>
      <c r="S651" s="915">
        <f t="shared" si="94"/>
        <v>0</v>
      </c>
      <c r="T651" s="911">
        <f t="shared" si="95"/>
        <v>0</v>
      </c>
    </row>
    <row r="652" spans="1:20" ht="250.5" hidden="1" customHeight="1">
      <c r="A652" s="931"/>
      <c r="B652" s="906" t="s">
        <v>1381</v>
      </c>
      <c r="C652" s="921">
        <f>DATA!X591</f>
        <v>599.23</v>
      </c>
      <c r="D652" s="908" t="s">
        <v>1834</v>
      </c>
      <c r="E652" s="914"/>
      <c r="F652" s="1053">
        <f t="shared" ref="F652:F712" si="97">E652*C652</f>
        <v>0</v>
      </c>
      <c r="G652" s="914"/>
      <c r="H652" s="914">
        <f t="shared" ref="H652:H712" si="98">G652*C652</f>
        <v>0</v>
      </c>
      <c r="I652" s="914"/>
      <c r="J652" s="914">
        <f t="shared" ref="J652:J712" si="99">I652*C652</f>
        <v>0</v>
      </c>
      <c r="K652" s="914"/>
      <c r="L652" s="914">
        <f t="shared" ref="L652:L712" si="100">K652*C652</f>
        <v>0</v>
      </c>
      <c r="M652" s="914"/>
      <c r="N652" s="914">
        <f t="shared" si="92"/>
        <v>0</v>
      </c>
      <c r="O652" s="914"/>
      <c r="P652" s="914">
        <f t="shared" si="93"/>
        <v>0</v>
      </c>
      <c r="Q652" s="914"/>
      <c r="R652" s="914">
        <f t="shared" si="96"/>
        <v>0</v>
      </c>
      <c r="S652" s="915">
        <f t="shared" si="94"/>
        <v>0</v>
      </c>
      <c r="T652" s="911">
        <f t="shared" si="95"/>
        <v>0</v>
      </c>
    </row>
    <row r="653" spans="1:20" ht="250.5" hidden="1" customHeight="1">
      <c r="A653" s="931"/>
      <c r="B653" s="906" t="s">
        <v>1429</v>
      </c>
      <c r="C653" s="921">
        <f>DATA!X591</f>
        <v>599.23</v>
      </c>
      <c r="D653" s="908" t="s">
        <v>1834</v>
      </c>
      <c r="E653" s="919"/>
      <c r="F653" s="1053">
        <f t="shared" si="97"/>
        <v>0</v>
      </c>
      <c r="G653" s="919"/>
      <c r="H653" s="914">
        <f t="shared" si="98"/>
        <v>0</v>
      </c>
      <c r="I653" s="919"/>
      <c r="J653" s="914">
        <f t="shared" si="99"/>
        <v>0</v>
      </c>
      <c r="K653" s="919"/>
      <c r="L653" s="914">
        <f t="shared" si="100"/>
        <v>0</v>
      </c>
      <c r="M653" s="919"/>
      <c r="N653" s="914">
        <f t="shared" si="92"/>
        <v>0</v>
      </c>
      <c r="O653" s="914"/>
      <c r="P653" s="914">
        <f t="shared" si="93"/>
        <v>0</v>
      </c>
      <c r="Q653" s="914"/>
      <c r="R653" s="914">
        <f t="shared" si="96"/>
        <v>0</v>
      </c>
      <c r="S653" s="915">
        <f t="shared" si="94"/>
        <v>0</v>
      </c>
      <c r="T653" s="911">
        <f t="shared" si="95"/>
        <v>0</v>
      </c>
    </row>
    <row r="654" spans="1:20" ht="250.5" hidden="1" customHeight="1">
      <c r="A654" s="931"/>
      <c r="B654" s="906" t="s">
        <v>1319</v>
      </c>
      <c r="C654" s="921">
        <f>DATA!X592</f>
        <v>608.66999999999996</v>
      </c>
      <c r="D654" s="908" t="s">
        <v>1834</v>
      </c>
      <c r="E654" s="919"/>
      <c r="F654" s="1053">
        <f t="shared" si="97"/>
        <v>0</v>
      </c>
      <c r="G654" s="919"/>
      <c r="H654" s="914">
        <f t="shared" si="98"/>
        <v>0</v>
      </c>
      <c r="I654" s="919"/>
      <c r="J654" s="914">
        <f t="shared" si="99"/>
        <v>0</v>
      </c>
      <c r="K654" s="919"/>
      <c r="L654" s="914">
        <f t="shared" si="100"/>
        <v>0</v>
      </c>
      <c r="M654" s="919"/>
      <c r="N654" s="914">
        <f t="shared" si="92"/>
        <v>0</v>
      </c>
      <c r="O654" s="914"/>
      <c r="P654" s="914">
        <f t="shared" si="93"/>
        <v>0</v>
      </c>
      <c r="Q654" s="914"/>
      <c r="R654" s="914">
        <f t="shared" si="96"/>
        <v>0</v>
      </c>
      <c r="S654" s="915">
        <f t="shared" si="94"/>
        <v>0</v>
      </c>
      <c r="T654" s="911">
        <f t="shared" si="95"/>
        <v>0</v>
      </c>
    </row>
    <row r="655" spans="1:20" ht="250.5" hidden="1" customHeight="1">
      <c r="A655" s="931"/>
      <c r="B655" s="906" t="s">
        <v>1074</v>
      </c>
      <c r="C655" s="921">
        <f>DATA!X593</f>
        <v>618.11</v>
      </c>
      <c r="D655" s="908" t="s">
        <v>1834</v>
      </c>
      <c r="E655" s="919"/>
      <c r="F655" s="1053">
        <f t="shared" si="97"/>
        <v>0</v>
      </c>
      <c r="G655" s="919"/>
      <c r="H655" s="914">
        <f t="shared" si="98"/>
        <v>0</v>
      </c>
      <c r="I655" s="919"/>
      <c r="J655" s="914">
        <f t="shared" si="99"/>
        <v>0</v>
      </c>
      <c r="K655" s="919"/>
      <c r="L655" s="914">
        <f t="shared" si="100"/>
        <v>0</v>
      </c>
      <c r="M655" s="919"/>
      <c r="N655" s="914">
        <f t="shared" si="92"/>
        <v>0</v>
      </c>
      <c r="O655" s="914"/>
      <c r="P655" s="914">
        <f t="shared" si="93"/>
        <v>0</v>
      </c>
      <c r="Q655" s="914"/>
      <c r="R655" s="914">
        <f t="shared" si="96"/>
        <v>0</v>
      </c>
      <c r="S655" s="915">
        <f t="shared" si="94"/>
        <v>0</v>
      </c>
      <c r="T655" s="911">
        <f t="shared" si="95"/>
        <v>0</v>
      </c>
    </row>
    <row r="656" spans="1:20" ht="250.5" hidden="1" customHeight="1">
      <c r="A656" s="931"/>
      <c r="B656" s="924" t="s">
        <v>3842</v>
      </c>
      <c r="C656" s="921"/>
      <c r="D656" s="908"/>
      <c r="E656" s="919"/>
      <c r="F656" s="1053">
        <f t="shared" si="97"/>
        <v>0</v>
      </c>
      <c r="G656" s="919"/>
      <c r="H656" s="914">
        <f t="shared" si="98"/>
        <v>0</v>
      </c>
      <c r="I656" s="919"/>
      <c r="J656" s="914">
        <f t="shared" si="99"/>
        <v>0</v>
      </c>
      <c r="K656" s="919"/>
      <c r="L656" s="914">
        <f t="shared" si="100"/>
        <v>0</v>
      </c>
      <c r="M656" s="919"/>
      <c r="N656" s="914">
        <f t="shared" si="92"/>
        <v>0</v>
      </c>
      <c r="O656" s="914"/>
      <c r="P656" s="914">
        <f t="shared" si="93"/>
        <v>0</v>
      </c>
      <c r="Q656" s="914"/>
      <c r="R656" s="914">
        <f t="shared" si="96"/>
        <v>0</v>
      </c>
      <c r="S656" s="915">
        <f t="shared" si="94"/>
        <v>0</v>
      </c>
      <c r="T656" s="911">
        <f t="shared" si="95"/>
        <v>0</v>
      </c>
    </row>
    <row r="657" spans="1:114" ht="250.5" hidden="1" customHeight="1">
      <c r="A657" s="931"/>
      <c r="B657" s="906" t="s">
        <v>1247</v>
      </c>
      <c r="C657" s="921">
        <f>DATA!K612</f>
        <v>2072.79</v>
      </c>
      <c r="D657" s="908" t="s">
        <v>1834</v>
      </c>
      <c r="E657" s="919"/>
      <c r="F657" s="1053">
        <f t="shared" si="97"/>
        <v>0</v>
      </c>
      <c r="G657" s="919"/>
      <c r="H657" s="914">
        <f t="shared" si="98"/>
        <v>0</v>
      </c>
      <c r="I657" s="919"/>
      <c r="J657" s="914">
        <f t="shared" si="99"/>
        <v>0</v>
      </c>
      <c r="K657" s="919"/>
      <c r="L657" s="914">
        <f t="shared" si="100"/>
        <v>0</v>
      </c>
      <c r="M657" s="919"/>
      <c r="N657" s="914">
        <f t="shared" si="92"/>
        <v>0</v>
      </c>
      <c r="O657" s="914"/>
      <c r="P657" s="914">
        <f t="shared" si="93"/>
        <v>0</v>
      </c>
      <c r="Q657" s="914"/>
      <c r="R657" s="914">
        <f t="shared" si="96"/>
        <v>0</v>
      </c>
      <c r="S657" s="915">
        <f t="shared" si="94"/>
        <v>0</v>
      </c>
      <c r="T657" s="911">
        <f t="shared" si="95"/>
        <v>0</v>
      </c>
    </row>
    <row r="658" spans="1:114" ht="250.5" hidden="1" customHeight="1">
      <c r="A658" s="931"/>
      <c r="B658" s="906" t="s">
        <v>1381</v>
      </c>
      <c r="C658" s="921">
        <f>DATA!K613</f>
        <v>2082.23</v>
      </c>
      <c r="D658" s="908" t="s">
        <v>1834</v>
      </c>
      <c r="E658" s="919"/>
      <c r="F658" s="1053">
        <f t="shared" si="97"/>
        <v>0</v>
      </c>
      <c r="G658" s="919"/>
      <c r="H658" s="914">
        <f t="shared" si="98"/>
        <v>0</v>
      </c>
      <c r="I658" s="919"/>
      <c r="J658" s="914">
        <f t="shared" si="99"/>
        <v>0</v>
      </c>
      <c r="K658" s="919"/>
      <c r="L658" s="914">
        <f t="shared" si="100"/>
        <v>0</v>
      </c>
      <c r="M658" s="919"/>
      <c r="N658" s="914">
        <f t="shared" si="92"/>
        <v>0</v>
      </c>
      <c r="O658" s="914"/>
      <c r="P658" s="914">
        <f t="shared" si="93"/>
        <v>0</v>
      </c>
      <c r="Q658" s="914"/>
      <c r="R658" s="914">
        <f t="shared" si="96"/>
        <v>0</v>
      </c>
      <c r="S658" s="915">
        <f t="shared" si="94"/>
        <v>0</v>
      </c>
      <c r="T658" s="911">
        <f t="shared" si="95"/>
        <v>0</v>
      </c>
    </row>
    <row r="659" spans="1:114" ht="250.5" hidden="1" customHeight="1">
      <c r="A659" s="931"/>
      <c r="B659" s="906" t="s">
        <v>1429</v>
      </c>
      <c r="C659" s="921">
        <f>DATA!K614</f>
        <v>2091.67</v>
      </c>
      <c r="D659" s="908" t="s">
        <v>1834</v>
      </c>
      <c r="E659" s="919"/>
      <c r="F659" s="1053">
        <f t="shared" si="97"/>
        <v>0</v>
      </c>
      <c r="G659" s="919"/>
      <c r="H659" s="914">
        <f t="shared" si="98"/>
        <v>0</v>
      </c>
      <c r="I659" s="919"/>
      <c r="J659" s="914">
        <f t="shared" si="99"/>
        <v>0</v>
      </c>
      <c r="K659" s="919"/>
      <c r="L659" s="914">
        <f t="shared" si="100"/>
        <v>0</v>
      </c>
      <c r="M659" s="919"/>
      <c r="N659" s="914">
        <f t="shared" si="92"/>
        <v>0</v>
      </c>
      <c r="O659" s="914"/>
      <c r="P659" s="914">
        <f t="shared" si="93"/>
        <v>0</v>
      </c>
      <c r="Q659" s="914"/>
      <c r="R659" s="914">
        <f t="shared" si="96"/>
        <v>0</v>
      </c>
      <c r="S659" s="915">
        <f t="shared" si="94"/>
        <v>0</v>
      </c>
      <c r="T659" s="911">
        <f t="shared" si="95"/>
        <v>0</v>
      </c>
    </row>
    <row r="660" spans="1:114" ht="250.5" hidden="1" customHeight="1">
      <c r="A660" s="931"/>
      <c r="B660" s="906" t="s">
        <v>1319</v>
      </c>
      <c r="C660" s="921">
        <f>DATA!K615</f>
        <v>2101.11</v>
      </c>
      <c r="D660" s="908" t="s">
        <v>1834</v>
      </c>
      <c r="E660" s="919"/>
      <c r="F660" s="1053">
        <f t="shared" si="97"/>
        <v>0</v>
      </c>
      <c r="G660" s="919"/>
      <c r="H660" s="914">
        <f t="shared" si="98"/>
        <v>0</v>
      </c>
      <c r="I660" s="919"/>
      <c r="J660" s="914">
        <f t="shared" si="99"/>
        <v>0</v>
      </c>
      <c r="K660" s="919"/>
      <c r="L660" s="914">
        <f t="shared" si="100"/>
        <v>0</v>
      </c>
      <c r="M660" s="919"/>
      <c r="N660" s="914">
        <f t="shared" si="92"/>
        <v>0</v>
      </c>
      <c r="O660" s="914"/>
      <c r="P660" s="914">
        <f t="shared" si="93"/>
        <v>0</v>
      </c>
      <c r="Q660" s="914"/>
      <c r="R660" s="914">
        <f t="shared" si="96"/>
        <v>0</v>
      </c>
      <c r="S660" s="915">
        <f t="shared" si="94"/>
        <v>0</v>
      </c>
      <c r="T660" s="911">
        <f t="shared" si="95"/>
        <v>0</v>
      </c>
    </row>
    <row r="661" spans="1:114" ht="250.5" hidden="1" customHeight="1">
      <c r="A661" s="931"/>
      <c r="B661" s="906" t="s">
        <v>1074</v>
      </c>
      <c r="C661" s="921">
        <f>DATA!K616</f>
        <v>2110.5500000000002</v>
      </c>
      <c r="D661" s="908" t="s">
        <v>1834</v>
      </c>
      <c r="E661" s="919"/>
      <c r="F661" s="1053">
        <f t="shared" si="97"/>
        <v>0</v>
      </c>
      <c r="G661" s="919"/>
      <c r="H661" s="914">
        <f t="shared" si="98"/>
        <v>0</v>
      </c>
      <c r="I661" s="919"/>
      <c r="J661" s="914">
        <f t="shared" si="99"/>
        <v>0</v>
      </c>
      <c r="K661" s="919"/>
      <c r="L661" s="914">
        <f t="shared" si="100"/>
        <v>0</v>
      </c>
      <c r="M661" s="919"/>
      <c r="N661" s="914">
        <f t="shared" si="92"/>
        <v>0</v>
      </c>
      <c r="O661" s="914"/>
      <c r="P661" s="914">
        <f t="shared" si="93"/>
        <v>0</v>
      </c>
      <c r="Q661" s="914"/>
      <c r="R661" s="914">
        <f t="shared" si="96"/>
        <v>0</v>
      </c>
      <c r="S661" s="915">
        <f t="shared" si="94"/>
        <v>0</v>
      </c>
      <c r="T661" s="911">
        <f t="shared" si="95"/>
        <v>0</v>
      </c>
    </row>
    <row r="662" spans="1:114" ht="250.5" customHeight="1">
      <c r="A662" s="905">
        <v>29.8</v>
      </c>
      <c r="B662" s="906" t="s">
        <v>4698</v>
      </c>
      <c r="C662" s="913">
        <f>ROUND(DATA!K1278,2)</f>
        <v>1377.72</v>
      </c>
      <c r="D662" s="908" t="s">
        <v>2273</v>
      </c>
      <c r="E662" s="914">
        <f>DSP!H1884</f>
        <v>109.4</v>
      </c>
      <c r="F662" s="1053">
        <f t="shared" si="97"/>
        <v>150722.57</v>
      </c>
      <c r="G662" s="914"/>
      <c r="H662" s="914">
        <f t="shared" si="98"/>
        <v>0</v>
      </c>
      <c r="I662" s="914"/>
      <c r="J662" s="914">
        <f t="shared" si="99"/>
        <v>0</v>
      </c>
      <c r="K662" s="914"/>
      <c r="L662" s="914">
        <f t="shared" si="100"/>
        <v>0</v>
      </c>
      <c r="M662" s="914"/>
      <c r="N662" s="914">
        <f t="shared" si="92"/>
        <v>0</v>
      </c>
      <c r="O662" s="914"/>
      <c r="P662" s="914">
        <f t="shared" si="93"/>
        <v>0</v>
      </c>
      <c r="Q662" s="914"/>
      <c r="R662" s="914">
        <f t="shared" si="96"/>
        <v>0</v>
      </c>
      <c r="S662" s="915">
        <f t="shared" si="94"/>
        <v>109.4</v>
      </c>
      <c r="T662" s="911">
        <f t="shared" si="95"/>
        <v>150722.57</v>
      </c>
    </row>
    <row r="663" spans="1:114" ht="250.5" hidden="1" customHeight="1">
      <c r="A663" s="905"/>
      <c r="B663" s="906" t="s">
        <v>2164</v>
      </c>
      <c r="C663" s="921">
        <f>ROUND(DATA!K1264,2)</f>
        <v>1212.77</v>
      </c>
      <c r="D663" s="908" t="s">
        <v>2273</v>
      </c>
      <c r="E663" s="919"/>
      <c r="F663" s="1053">
        <f t="shared" si="97"/>
        <v>0</v>
      </c>
      <c r="G663" s="919"/>
      <c r="H663" s="914">
        <f t="shared" si="98"/>
        <v>0</v>
      </c>
      <c r="I663" s="919"/>
      <c r="J663" s="914">
        <f t="shared" si="99"/>
        <v>0</v>
      </c>
      <c r="K663" s="919"/>
      <c r="L663" s="914">
        <f t="shared" si="100"/>
        <v>0</v>
      </c>
      <c r="M663" s="919"/>
      <c r="N663" s="914">
        <f t="shared" si="92"/>
        <v>0</v>
      </c>
      <c r="O663" s="914"/>
      <c r="P663" s="914">
        <f t="shared" si="93"/>
        <v>0</v>
      </c>
      <c r="Q663" s="914"/>
      <c r="R663" s="914">
        <f t="shared" si="96"/>
        <v>0</v>
      </c>
      <c r="S663" s="915">
        <f t="shared" si="94"/>
        <v>0</v>
      </c>
      <c r="T663" s="911">
        <f t="shared" si="95"/>
        <v>0</v>
      </c>
    </row>
    <row r="664" spans="1:114" ht="250.5" customHeight="1">
      <c r="A664" s="905">
        <v>29.9</v>
      </c>
      <c r="B664" s="906" t="s">
        <v>1689</v>
      </c>
      <c r="C664" s="913">
        <f>ROUND(DATA!K1264,2)</f>
        <v>1212.77</v>
      </c>
      <c r="D664" s="908" t="s">
        <v>2273</v>
      </c>
      <c r="E664" s="914">
        <f>DSP!H1901</f>
        <v>22.9</v>
      </c>
      <c r="F664" s="1053">
        <f t="shared" si="97"/>
        <v>27772.43</v>
      </c>
      <c r="G664" s="914"/>
      <c r="H664" s="914">
        <f t="shared" si="98"/>
        <v>0</v>
      </c>
      <c r="I664" s="914"/>
      <c r="J664" s="914">
        <f t="shared" si="99"/>
        <v>0</v>
      </c>
      <c r="K664" s="914"/>
      <c r="L664" s="914">
        <f t="shared" si="100"/>
        <v>0</v>
      </c>
      <c r="M664" s="914"/>
      <c r="N664" s="914">
        <f t="shared" si="92"/>
        <v>0</v>
      </c>
      <c r="O664" s="914"/>
      <c r="P664" s="914">
        <f t="shared" si="93"/>
        <v>0</v>
      </c>
      <c r="Q664" s="914"/>
      <c r="R664" s="914">
        <f t="shared" si="96"/>
        <v>0</v>
      </c>
      <c r="S664" s="915">
        <f t="shared" si="94"/>
        <v>22.9</v>
      </c>
      <c r="T664" s="911">
        <f t="shared" si="95"/>
        <v>27772.43</v>
      </c>
    </row>
    <row r="665" spans="1:114" s="920" customFormat="1" ht="250.5" hidden="1" customHeight="1">
      <c r="A665" s="916">
        <v>38.4</v>
      </c>
      <c r="B665" s="917" t="s">
        <v>1690</v>
      </c>
      <c r="C665" s="918">
        <f>DATA!K2725</f>
        <v>130.27000000000001</v>
      </c>
      <c r="D665" s="898" t="s">
        <v>2273</v>
      </c>
      <c r="E665" s="919"/>
      <c r="F665" s="1053">
        <f t="shared" si="97"/>
        <v>0</v>
      </c>
      <c r="G665" s="919"/>
      <c r="H665" s="914">
        <f t="shared" si="98"/>
        <v>0</v>
      </c>
      <c r="I665" s="919"/>
      <c r="J665" s="914">
        <f t="shared" si="99"/>
        <v>0</v>
      </c>
      <c r="K665" s="919"/>
      <c r="L665" s="914">
        <f t="shared" si="100"/>
        <v>0</v>
      </c>
      <c r="M665" s="919"/>
      <c r="N665" s="914">
        <f t="shared" si="92"/>
        <v>0</v>
      </c>
      <c r="O665" s="914"/>
      <c r="P665" s="914">
        <f t="shared" si="93"/>
        <v>0</v>
      </c>
      <c r="Q665" s="914"/>
      <c r="R665" s="914">
        <f t="shared" si="96"/>
        <v>0</v>
      </c>
      <c r="S665" s="915">
        <f t="shared" si="94"/>
        <v>0</v>
      </c>
      <c r="T665" s="911">
        <f t="shared" si="95"/>
        <v>0</v>
      </c>
      <c r="U665" s="1172"/>
      <c r="V665" s="1172"/>
      <c r="W665" s="1172"/>
      <c r="X665" s="1172"/>
      <c r="Y665" s="1172"/>
      <c r="Z665" s="1172"/>
      <c r="AA665" s="1172"/>
      <c r="AB665" s="1172"/>
      <c r="AC665" s="1172"/>
      <c r="AD665" s="1172"/>
      <c r="AE665" s="1172"/>
      <c r="AF665" s="1172"/>
      <c r="AG665" s="1172"/>
      <c r="AH665" s="1172"/>
      <c r="AI665" s="1172"/>
      <c r="AJ665" s="1172"/>
      <c r="AK665" s="1172"/>
      <c r="AL665" s="1172"/>
      <c r="AM665" s="1172"/>
      <c r="AN665" s="1172"/>
      <c r="AO665" s="1172"/>
      <c r="AP665" s="1172"/>
      <c r="AQ665" s="1172"/>
      <c r="AR665" s="1172"/>
      <c r="AS665" s="1172"/>
      <c r="AT665" s="1172"/>
      <c r="AU665" s="1172"/>
      <c r="AV665" s="1172"/>
      <c r="AW665" s="1172"/>
      <c r="AX665" s="1172"/>
      <c r="AY665" s="1172"/>
      <c r="AZ665" s="1172"/>
      <c r="BA665" s="1172"/>
      <c r="BB665" s="1172"/>
      <c r="BC665" s="1172"/>
      <c r="BD665" s="1172"/>
      <c r="BE665" s="1172"/>
      <c r="BF665" s="1172"/>
      <c r="BG665" s="1172"/>
      <c r="BH665" s="1172"/>
      <c r="BI665" s="1172"/>
      <c r="BJ665" s="1172"/>
      <c r="BK665" s="1172"/>
      <c r="BL665" s="1172"/>
      <c r="BM665" s="1172"/>
      <c r="BN665" s="1172"/>
      <c r="BO665" s="1172"/>
      <c r="BP665" s="1172"/>
      <c r="BQ665" s="1172"/>
      <c r="BR665" s="1172"/>
      <c r="BS665" s="1172"/>
      <c r="BT665" s="1172"/>
      <c r="BU665" s="1172"/>
      <c r="BV665" s="1172"/>
      <c r="BW665" s="1172"/>
      <c r="BX665" s="1172"/>
      <c r="BY665" s="1172"/>
      <c r="BZ665" s="1172"/>
      <c r="CA665" s="1172"/>
      <c r="CB665" s="1172"/>
      <c r="CC665" s="1172"/>
      <c r="CD665" s="1172"/>
      <c r="CE665" s="1172"/>
      <c r="CF665" s="1172"/>
      <c r="CG665" s="1172"/>
      <c r="CH665" s="1172"/>
      <c r="CI665" s="1172"/>
      <c r="CJ665" s="1172"/>
      <c r="CK665" s="1172"/>
      <c r="CL665" s="1172"/>
      <c r="CM665" s="1172"/>
      <c r="CN665" s="1172"/>
      <c r="CO665" s="1172"/>
      <c r="CP665" s="1172"/>
      <c r="CQ665" s="1172"/>
      <c r="CR665" s="1172"/>
      <c r="CS665" s="1172"/>
      <c r="CT665" s="1172"/>
      <c r="CU665" s="1172"/>
      <c r="CV665" s="1172"/>
      <c r="CW665" s="1172"/>
      <c r="CX665" s="1172"/>
      <c r="CY665" s="1172"/>
      <c r="CZ665" s="1172"/>
      <c r="DA665" s="1172"/>
      <c r="DB665" s="1172"/>
      <c r="DC665" s="1172"/>
      <c r="DD665" s="1172"/>
      <c r="DE665" s="1172"/>
      <c r="DF665" s="1172"/>
      <c r="DG665" s="1172"/>
      <c r="DH665" s="1172"/>
      <c r="DI665" s="1172"/>
      <c r="DJ665" s="1172"/>
    </row>
    <row r="666" spans="1:114" ht="250.5" hidden="1" customHeight="1">
      <c r="A666" s="905">
        <v>38.5</v>
      </c>
      <c r="B666" s="906" t="s">
        <v>31</v>
      </c>
      <c r="C666" s="921">
        <f>ROUND(DATA!K1526,2)</f>
        <v>163.93</v>
      </c>
      <c r="D666" s="908" t="s">
        <v>2273</v>
      </c>
      <c r="E666" s="919"/>
      <c r="F666" s="1053">
        <f t="shared" si="97"/>
        <v>0</v>
      </c>
      <c r="G666" s="919"/>
      <c r="H666" s="914">
        <f t="shared" si="98"/>
        <v>0</v>
      </c>
      <c r="I666" s="919"/>
      <c r="J666" s="914">
        <f t="shared" si="99"/>
        <v>0</v>
      </c>
      <c r="K666" s="919"/>
      <c r="L666" s="914">
        <f t="shared" si="100"/>
        <v>0</v>
      </c>
      <c r="M666" s="919"/>
      <c r="N666" s="914">
        <f t="shared" si="92"/>
        <v>0</v>
      </c>
      <c r="O666" s="914"/>
      <c r="P666" s="914">
        <f t="shared" si="93"/>
        <v>0</v>
      </c>
      <c r="Q666" s="914"/>
      <c r="R666" s="914">
        <f t="shared" si="96"/>
        <v>0</v>
      </c>
      <c r="S666" s="915">
        <f t="shared" si="94"/>
        <v>0</v>
      </c>
      <c r="T666" s="911">
        <f t="shared" si="95"/>
        <v>0</v>
      </c>
    </row>
    <row r="667" spans="1:114" ht="250.5" hidden="1" customHeight="1">
      <c r="A667" s="905">
        <v>38.6</v>
      </c>
      <c r="B667" s="906" t="s">
        <v>1691</v>
      </c>
      <c r="C667" s="913">
        <f>ROUND(DATA!K2716,2)</f>
        <v>61.63</v>
      </c>
      <c r="D667" s="908" t="s">
        <v>2273</v>
      </c>
      <c r="E667" s="914"/>
      <c r="F667" s="1053">
        <f t="shared" si="97"/>
        <v>0</v>
      </c>
      <c r="G667" s="914"/>
      <c r="H667" s="914">
        <f t="shared" si="98"/>
        <v>0</v>
      </c>
      <c r="I667" s="914"/>
      <c r="J667" s="914">
        <f t="shared" si="99"/>
        <v>0</v>
      </c>
      <c r="K667" s="914"/>
      <c r="L667" s="914">
        <f t="shared" si="100"/>
        <v>0</v>
      </c>
      <c r="M667" s="914"/>
      <c r="N667" s="914">
        <f t="shared" si="92"/>
        <v>0</v>
      </c>
      <c r="O667" s="914"/>
      <c r="P667" s="914">
        <f t="shared" si="93"/>
        <v>0</v>
      </c>
      <c r="Q667" s="914"/>
      <c r="R667" s="914">
        <f t="shared" si="96"/>
        <v>0</v>
      </c>
      <c r="S667" s="915">
        <f t="shared" si="94"/>
        <v>0</v>
      </c>
      <c r="T667" s="911">
        <f t="shared" si="95"/>
        <v>0</v>
      </c>
    </row>
    <row r="668" spans="1:114" ht="250.5" hidden="1" customHeight="1">
      <c r="A668" s="905">
        <v>42</v>
      </c>
      <c r="B668" s="906" t="s">
        <v>6654</v>
      </c>
      <c r="C668" s="913">
        <f>ROUND(DATA!K1582,2)</f>
        <v>90882</v>
      </c>
      <c r="D668" s="908" t="s">
        <v>525</v>
      </c>
      <c r="E668" s="919"/>
      <c r="F668" s="1053">
        <f t="shared" si="97"/>
        <v>0</v>
      </c>
      <c r="G668" s="919"/>
      <c r="H668" s="914">
        <f t="shared" si="98"/>
        <v>0</v>
      </c>
      <c r="I668" s="919"/>
      <c r="J668" s="914">
        <f t="shared" si="99"/>
        <v>0</v>
      </c>
      <c r="K668" s="919"/>
      <c r="L668" s="914">
        <f t="shared" si="100"/>
        <v>0</v>
      </c>
      <c r="M668" s="919"/>
      <c r="N668" s="914">
        <f t="shared" si="92"/>
        <v>0</v>
      </c>
      <c r="O668" s="914"/>
      <c r="P668" s="914">
        <f t="shared" si="93"/>
        <v>0</v>
      </c>
      <c r="Q668" s="914"/>
      <c r="R668" s="914">
        <f t="shared" si="96"/>
        <v>0</v>
      </c>
      <c r="S668" s="915">
        <f t="shared" si="94"/>
        <v>0</v>
      </c>
      <c r="T668" s="911">
        <f t="shared" si="95"/>
        <v>0</v>
      </c>
    </row>
    <row r="669" spans="1:114" s="920" customFormat="1" ht="250.5" hidden="1" customHeight="1">
      <c r="A669" s="916">
        <v>43</v>
      </c>
      <c r="B669" s="917" t="s">
        <v>6655</v>
      </c>
      <c r="C669" s="922">
        <f>ROUND(DATA!K1608,2)</f>
        <v>88873.5</v>
      </c>
      <c r="D669" s="898" t="s">
        <v>525</v>
      </c>
      <c r="E669" s="930"/>
      <c r="F669" s="1053">
        <f t="shared" si="97"/>
        <v>0</v>
      </c>
      <c r="G669" s="919"/>
      <c r="H669" s="914">
        <f t="shared" si="98"/>
        <v>0</v>
      </c>
      <c r="I669" s="919"/>
      <c r="J669" s="914">
        <f t="shared" si="99"/>
        <v>0</v>
      </c>
      <c r="K669" s="919"/>
      <c r="L669" s="914">
        <f t="shared" si="100"/>
        <v>0</v>
      </c>
      <c r="M669" s="919"/>
      <c r="N669" s="914">
        <f t="shared" si="92"/>
        <v>0</v>
      </c>
      <c r="O669" s="914"/>
      <c r="P669" s="914">
        <f t="shared" si="93"/>
        <v>0</v>
      </c>
      <c r="Q669" s="914"/>
      <c r="R669" s="914">
        <f t="shared" si="96"/>
        <v>0</v>
      </c>
      <c r="S669" s="915">
        <f t="shared" si="94"/>
        <v>0</v>
      </c>
      <c r="T669" s="911">
        <f t="shared" si="95"/>
        <v>0</v>
      </c>
      <c r="U669" s="1172"/>
      <c r="V669" s="1172"/>
      <c r="W669" s="1172"/>
      <c r="X669" s="1172"/>
      <c r="Y669" s="1172"/>
      <c r="Z669" s="1172"/>
      <c r="AA669" s="1172"/>
      <c r="AB669" s="1172"/>
      <c r="AC669" s="1172"/>
      <c r="AD669" s="1172"/>
      <c r="AE669" s="1172"/>
      <c r="AF669" s="1172"/>
      <c r="AG669" s="1172"/>
      <c r="AH669" s="1172"/>
      <c r="AI669" s="1172"/>
      <c r="AJ669" s="1172"/>
      <c r="AK669" s="1172"/>
      <c r="AL669" s="1172"/>
      <c r="AM669" s="1172"/>
      <c r="AN669" s="1172"/>
      <c r="AO669" s="1172"/>
      <c r="AP669" s="1172"/>
      <c r="AQ669" s="1172"/>
      <c r="AR669" s="1172"/>
      <c r="AS669" s="1172"/>
      <c r="AT669" s="1172"/>
      <c r="AU669" s="1172"/>
      <c r="AV669" s="1172"/>
      <c r="AW669" s="1172"/>
      <c r="AX669" s="1172"/>
      <c r="AY669" s="1172"/>
      <c r="AZ669" s="1172"/>
      <c r="BA669" s="1172"/>
      <c r="BB669" s="1172"/>
      <c r="BC669" s="1172"/>
      <c r="BD669" s="1172"/>
      <c r="BE669" s="1172"/>
      <c r="BF669" s="1172"/>
      <c r="BG669" s="1172"/>
      <c r="BH669" s="1172"/>
      <c r="BI669" s="1172"/>
      <c r="BJ669" s="1172"/>
      <c r="BK669" s="1172"/>
      <c r="BL669" s="1172"/>
      <c r="BM669" s="1172"/>
      <c r="BN669" s="1172"/>
      <c r="BO669" s="1172"/>
      <c r="BP669" s="1172"/>
      <c r="BQ669" s="1172"/>
      <c r="BR669" s="1172"/>
      <c r="BS669" s="1172"/>
      <c r="BT669" s="1172"/>
      <c r="BU669" s="1172"/>
      <c r="BV669" s="1172"/>
      <c r="BW669" s="1172"/>
      <c r="BX669" s="1172"/>
      <c r="BY669" s="1172"/>
      <c r="BZ669" s="1172"/>
      <c r="CA669" s="1172"/>
      <c r="CB669" s="1172"/>
      <c r="CC669" s="1172"/>
      <c r="CD669" s="1172"/>
      <c r="CE669" s="1172"/>
      <c r="CF669" s="1172"/>
      <c r="CG669" s="1172"/>
      <c r="CH669" s="1172"/>
      <c r="CI669" s="1172"/>
      <c r="CJ669" s="1172"/>
      <c r="CK669" s="1172"/>
      <c r="CL669" s="1172"/>
      <c r="CM669" s="1172"/>
      <c r="CN669" s="1172"/>
      <c r="CO669" s="1172"/>
      <c r="CP669" s="1172"/>
      <c r="CQ669" s="1172"/>
      <c r="CR669" s="1172"/>
      <c r="CS669" s="1172"/>
      <c r="CT669" s="1172"/>
      <c r="CU669" s="1172"/>
      <c r="CV669" s="1172"/>
      <c r="CW669" s="1172"/>
      <c r="CX669" s="1172"/>
      <c r="CY669" s="1172"/>
      <c r="CZ669" s="1172"/>
      <c r="DA669" s="1172"/>
      <c r="DB669" s="1172"/>
      <c r="DC669" s="1172"/>
      <c r="DD669" s="1172"/>
      <c r="DE669" s="1172"/>
      <c r="DF669" s="1172"/>
      <c r="DG669" s="1172"/>
      <c r="DH669" s="1172"/>
      <c r="DI669" s="1172"/>
      <c r="DJ669" s="1172"/>
    </row>
    <row r="670" spans="1:114" s="920" customFormat="1" ht="250.5" hidden="1" customHeight="1">
      <c r="A670" s="916">
        <v>44.6</v>
      </c>
      <c r="B670" s="917" t="s">
        <v>6656</v>
      </c>
      <c r="C670" s="918">
        <f>ROUND(DATA!K1638,2)</f>
        <v>343.11</v>
      </c>
      <c r="D670" s="898" t="s">
        <v>823</v>
      </c>
      <c r="E670" s="919"/>
      <c r="F670" s="1053">
        <f t="shared" si="97"/>
        <v>0</v>
      </c>
      <c r="G670" s="919"/>
      <c r="H670" s="914">
        <f t="shared" si="98"/>
        <v>0</v>
      </c>
      <c r="I670" s="919"/>
      <c r="J670" s="914">
        <f t="shared" si="99"/>
        <v>0</v>
      </c>
      <c r="K670" s="919"/>
      <c r="L670" s="914">
        <f t="shared" si="100"/>
        <v>0</v>
      </c>
      <c r="M670" s="919"/>
      <c r="N670" s="914">
        <f t="shared" si="92"/>
        <v>0</v>
      </c>
      <c r="O670" s="914"/>
      <c r="P670" s="914">
        <f t="shared" si="93"/>
        <v>0</v>
      </c>
      <c r="Q670" s="914"/>
      <c r="R670" s="914">
        <f t="shared" si="96"/>
        <v>0</v>
      </c>
      <c r="S670" s="915">
        <f t="shared" si="94"/>
        <v>0</v>
      </c>
      <c r="T670" s="911">
        <f t="shared" si="95"/>
        <v>0</v>
      </c>
      <c r="U670" s="1172"/>
      <c r="V670" s="1172"/>
      <c r="W670" s="1172"/>
      <c r="X670" s="1172"/>
      <c r="Y670" s="1172"/>
      <c r="Z670" s="1172"/>
      <c r="AA670" s="1172"/>
      <c r="AB670" s="1172"/>
      <c r="AC670" s="1172"/>
      <c r="AD670" s="1172"/>
      <c r="AE670" s="1172"/>
      <c r="AF670" s="1172"/>
      <c r="AG670" s="1172"/>
      <c r="AH670" s="1172"/>
      <c r="AI670" s="1172"/>
      <c r="AJ670" s="1172"/>
      <c r="AK670" s="1172"/>
      <c r="AL670" s="1172"/>
      <c r="AM670" s="1172"/>
      <c r="AN670" s="1172"/>
      <c r="AO670" s="1172"/>
      <c r="AP670" s="1172"/>
      <c r="AQ670" s="1172"/>
      <c r="AR670" s="1172"/>
      <c r="AS670" s="1172"/>
      <c r="AT670" s="1172"/>
      <c r="AU670" s="1172"/>
      <c r="AV670" s="1172"/>
      <c r="AW670" s="1172"/>
      <c r="AX670" s="1172"/>
      <c r="AY670" s="1172"/>
      <c r="AZ670" s="1172"/>
      <c r="BA670" s="1172"/>
      <c r="BB670" s="1172"/>
      <c r="BC670" s="1172"/>
      <c r="BD670" s="1172"/>
      <c r="BE670" s="1172"/>
      <c r="BF670" s="1172"/>
      <c r="BG670" s="1172"/>
      <c r="BH670" s="1172"/>
      <c r="BI670" s="1172"/>
      <c r="BJ670" s="1172"/>
      <c r="BK670" s="1172"/>
      <c r="BL670" s="1172"/>
      <c r="BM670" s="1172"/>
      <c r="BN670" s="1172"/>
      <c r="BO670" s="1172"/>
      <c r="BP670" s="1172"/>
      <c r="BQ670" s="1172"/>
      <c r="BR670" s="1172"/>
      <c r="BS670" s="1172"/>
      <c r="BT670" s="1172"/>
      <c r="BU670" s="1172"/>
      <c r="BV670" s="1172"/>
      <c r="BW670" s="1172"/>
      <c r="BX670" s="1172"/>
      <c r="BY670" s="1172"/>
      <c r="BZ670" s="1172"/>
      <c r="CA670" s="1172"/>
      <c r="CB670" s="1172"/>
      <c r="CC670" s="1172"/>
      <c r="CD670" s="1172"/>
      <c r="CE670" s="1172"/>
      <c r="CF670" s="1172"/>
      <c r="CG670" s="1172"/>
      <c r="CH670" s="1172"/>
      <c r="CI670" s="1172"/>
      <c r="CJ670" s="1172"/>
      <c r="CK670" s="1172"/>
      <c r="CL670" s="1172"/>
      <c r="CM670" s="1172"/>
      <c r="CN670" s="1172"/>
      <c r="CO670" s="1172"/>
      <c r="CP670" s="1172"/>
      <c r="CQ670" s="1172"/>
      <c r="CR670" s="1172"/>
      <c r="CS670" s="1172"/>
      <c r="CT670" s="1172"/>
      <c r="CU670" s="1172"/>
      <c r="CV670" s="1172"/>
      <c r="CW670" s="1172"/>
      <c r="CX670" s="1172"/>
      <c r="CY670" s="1172"/>
      <c r="CZ670" s="1172"/>
      <c r="DA670" s="1172"/>
      <c r="DB670" s="1172"/>
      <c r="DC670" s="1172"/>
      <c r="DD670" s="1172"/>
      <c r="DE670" s="1172"/>
      <c r="DF670" s="1172"/>
      <c r="DG670" s="1172"/>
      <c r="DH670" s="1172"/>
      <c r="DI670" s="1172"/>
      <c r="DJ670" s="1172"/>
    </row>
    <row r="671" spans="1:114" s="920" customFormat="1" ht="250.5" customHeight="1">
      <c r="A671" s="916">
        <v>50.6</v>
      </c>
      <c r="B671" s="917" t="s">
        <v>1073</v>
      </c>
      <c r="C671" s="918">
        <f>ROUND(DATA!K2392,2)</f>
        <v>422.18</v>
      </c>
      <c r="D671" s="898" t="s">
        <v>2273</v>
      </c>
      <c r="E671" s="919"/>
      <c r="F671" s="1053">
        <f t="shared" si="97"/>
        <v>0</v>
      </c>
      <c r="G671" s="919"/>
      <c r="H671" s="914">
        <f t="shared" si="98"/>
        <v>0</v>
      </c>
      <c r="I671" s="919"/>
      <c r="J671" s="914">
        <f t="shared" si="99"/>
        <v>0</v>
      </c>
      <c r="K671" s="919"/>
      <c r="L671" s="914">
        <f t="shared" si="100"/>
        <v>0</v>
      </c>
      <c r="M671" s="919">
        <v>53.93</v>
      </c>
      <c r="N671" s="914">
        <f t="shared" si="92"/>
        <v>22768.17</v>
      </c>
      <c r="O671" s="914"/>
      <c r="P671" s="914">
        <f t="shared" si="93"/>
        <v>0</v>
      </c>
      <c r="Q671" s="914"/>
      <c r="R671" s="914">
        <f t="shared" si="96"/>
        <v>0</v>
      </c>
      <c r="S671" s="915">
        <f t="shared" si="94"/>
        <v>53.93</v>
      </c>
      <c r="T671" s="911">
        <f t="shared" si="95"/>
        <v>22768.17</v>
      </c>
      <c r="U671" s="1172"/>
      <c r="V671" s="1172"/>
      <c r="W671" s="1172"/>
      <c r="X671" s="1172"/>
      <c r="Y671" s="1172"/>
      <c r="Z671" s="1172"/>
      <c r="AA671" s="1172"/>
      <c r="AB671" s="1172"/>
      <c r="AC671" s="1172"/>
      <c r="AD671" s="1172"/>
      <c r="AE671" s="1172"/>
      <c r="AF671" s="1172"/>
      <c r="AG671" s="1172"/>
      <c r="AH671" s="1172"/>
      <c r="AI671" s="1172"/>
      <c r="AJ671" s="1172"/>
      <c r="AK671" s="1172"/>
      <c r="AL671" s="1172"/>
      <c r="AM671" s="1172"/>
      <c r="AN671" s="1172"/>
      <c r="AO671" s="1172"/>
      <c r="AP671" s="1172"/>
      <c r="AQ671" s="1172"/>
      <c r="AR671" s="1172"/>
      <c r="AS671" s="1172"/>
      <c r="AT671" s="1172"/>
      <c r="AU671" s="1172"/>
      <c r="AV671" s="1172"/>
      <c r="AW671" s="1172"/>
      <c r="AX671" s="1172"/>
      <c r="AY671" s="1172"/>
      <c r="AZ671" s="1172"/>
      <c r="BA671" s="1172"/>
      <c r="BB671" s="1172"/>
      <c r="BC671" s="1172"/>
      <c r="BD671" s="1172"/>
      <c r="BE671" s="1172"/>
      <c r="BF671" s="1172"/>
      <c r="BG671" s="1172"/>
      <c r="BH671" s="1172"/>
      <c r="BI671" s="1172"/>
      <c r="BJ671" s="1172"/>
      <c r="BK671" s="1172"/>
      <c r="BL671" s="1172"/>
      <c r="BM671" s="1172"/>
      <c r="BN671" s="1172"/>
      <c r="BO671" s="1172"/>
      <c r="BP671" s="1172"/>
      <c r="BQ671" s="1172"/>
      <c r="BR671" s="1172"/>
      <c r="BS671" s="1172"/>
      <c r="BT671" s="1172"/>
      <c r="BU671" s="1172"/>
      <c r="BV671" s="1172"/>
      <c r="BW671" s="1172"/>
      <c r="BX671" s="1172"/>
      <c r="BY671" s="1172"/>
      <c r="BZ671" s="1172"/>
      <c r="CA671" s="1172"/>
      <c r="CB671" s="1172"/>
      <c r="CC671" s="1172"/>
      <c r="CD671" s="1172"/>
      <c r="CE671" s="1172"/>
      <c r="CF671" s="1172"/>
      <c r="CG671" s="1172"/>
      <c r="CH671" s="1172"/>
      <c r="CI671" s="1172"/>
      <c r="CJ671" s="1172"/>
      <c r="CK671" s="1172"/>
      <c r="CL671" s="1172"/>
      <c r="CM671" s="1172"/>
      <c r="CN671" s="1172"/>
      <c r="CO671" s="1172"/>
      <c r="CP671" s="1172"/>
      <c r="CQ671" s="1172"/>
      <c r="CR671" s="1172"/>
      <c r="CS671" s="1172"/>
      <c r="CT671" s="1172"/>
      <c r="CU671" s="1172"/>
      <c r="CV671" s="1172"/>
      <c r="CW671" s="1172"/>
      <c r="CX671" s="1172"/>
      <c r="CY671" s="1172"/>
      <c r="CZ671" s="1172"/>
      <c r="DA671" s="1172"/>
      <c r="DB671" s="1172"/>
      <c r="DC671" s="1172"/>
      <c r="DD671" s="1172"/>
      <c r="DE671" s="1172"/>
      <c r="DF671" s="1172"/>
      <c r="DG671" s="1172"/>
      <c r="DH671" s="1172"/>
      <c r="DI671" s="1172"/>
      <c r="DJ671" s="1172"/>
    </row>
    <row r="672" spans="1:114" ht="250.5" customHeight="1">
      <c r="A672" s="905">
        <v>52.4</v>
      </c>
      <c r="B672" s="906" t="s">
        <v>2218</v>
      </c>
      <c r="C672" s="913">
        <f>ROUND(DATA!K2767,2)</f>
        <v>231.61</v>
      </c>
      <c r="D672" s="908" t="s">
        <v>823</v>
      </c>
      <c r="E672" s="914">
        <f>DSP!H1946</f>
        <v>38.200000000000003</v>
      </c>
      <c r="F672" s="1053">
        <f t="shared" si="97"/>
        <v>8847.5</v>
      </c>
      <c r="G672" s="914"/>
      <c r="H672" s="914">
        <f t="shared" si="98"/>
        <v>0</v>
      </c>
      <c r="I672" s="914"/>
      <c r="J672" s="914">
        <f t="shared" si="99"/>
        <v>0</v>
      </c>
      <c r="K672" s="914"/>
      <c r="L672" s="914">
        <f t="shared" si="100"/>
        <v>0</v>
      </c>
      <c r="M672" s="914"/>
      <c r="N672" s="914">
        <f t="shared" si="92"/>
        <v>0</v>
      </c>
      <c r="O672" s="914"/>
      <c r="P672" s="914">
        <f t="shared" si="93"/>
        <v>0</v>
      </c>
      <c r="Q672" s="914"/>
      <c r="R672" s="914">
        <f t="shared" si="96"/>
        <v>0</v>
      </c>
      <c r="S672" s="915">
        <f t="shared" si="94"/>
        <v>38.200000000000003</v>
      </c>
      <c r="T672" s="911">
        <f t="shared" si="95"/>
        <v>8847.5</v>
      </c>
    </row>
    <row r="673" spans="1:114" ht="250.5" customHeight="1">
      <c r="A673" s="905">
        <v>53.4</v>
      </c>
      <c r="B673" s="906" t="s">
        <v>69</v>
      </c>
      <c r="C673" s="913">
        <f>DATA!K1951</f>
        <v>1864</v>
      </c>
      <c r="D673" s="908" t="s">
        <v>1393</v>
      </c>
      <c r="E673" s="914"/>
      <c r="F673" s="1053">
        <f t="shared" si="97"/>
        <v>0</v>
      </c>
      <c r="G673" s="914"/>
      <c r="H673" s="914">
        <f t="shared" si="98"/>
        <v>0</v>
      </c>
      <c r="I673" s="914"/>
      <c r="J673" s="914">
        <f t="shared" si="99"/>
        <v>0</v>
      </c>
      <c r="K673" s="914"/>
      <c r="L673" s="914">
        <f t="shared" si="100"/>
        <v>0</v>
      </c>
      <c r="M673" s="914"/>
      <c r="N673" s="914">
        <f t="shared" si="92"/>
        <v>0</v>
      </c>
      <c r="O673" s="914"/>
      <c r="P673" s="914">
        <f t="shared" si="93"/>
        <v>0</v>
      </c>
      <c r="Q673" s="914">
        <f>'DEV-2'!U672</f>
        <v>1</v>
      </c>
      <c r="R673" s="914">
        <f t="shared" si="96"/>
        <v>1864</v>
      </c>
      <c r="S673" s="915">
        <f t="shared" si="94"/>
        <v>1</v>
      </c>
      <c r="T673" s="911">
        <f t="shared" si="95"/>
        <v>1864</v>
      </c>
    </row>
    <row r="674" spans="1:114" ht="408" customHeight="1">
      <c r="A674" s="905"/>
      <c r="B674" s="906" t="s">
        <v>6992</v>
      </c>
      <c r="C674" s="913"/>
      <c r="D674" s="908"/>
      <c r="E674" s="914"/>
      <c r="F674" s="1053"/>
      <c r="G674" s="914"/>
      <c r="H674" s="914">
        <f t="shared" si="98"/>
        <v>0</v>
      </c>
      <c r="I674" s="914"/>
      <c r="J674" s="914"/>
      <c r="K674" s="914"/>
      <c r="L674" s="914"/>
      <c r="M674" s="914"/>
      <c r="N674" s="914"/>
      <c r="O674" s="914"/>
      <c r="P674" s="914"/>
      <c r="Q674" s="914"/>
      <c r="R674" s="914"/>
      <c r="S674" s="915">
        <f t="shared" si="94"/>
        <v>0</v>
      </c>
      <c r="T674" s="911">
        <f t="shared" si="95"/>
        <v>0</v>
      </c>
    </row>
    <row r="675" spans="1:114" ht="130.5" customHeight="1">
      <c r="A675" s="905"/>
      <c r="B675" s="906" t="s">
        <v>6990</v>
      </c>
      <c r="C675" s="913">
        <f>1000*10.05</f>
        <v>10050</v>
      </c>
      <c r="D675" s="908" t="s">
        <v>1393</v>
      </c>
      <c r="E675" s="914"/>
      <c r="F675" s="1053"/>
      <c r="G675" s="914">
        <v>1</v>
      </c>
      <c r="H675" s="914">
        <f t="shared" si="98"/>
        <v>10050</v>
      </c>
      <c r="I675" s="914"/>
      <c r="J675" s="914"/>
      <c r="K675" s="914"/>
      <c r="L675" s="914"/>
      <c r="M675" s="914"/>
      <c r="N675" s="914"/>
      <c r="O675" s="914"/>
      <c r="P675" s="914"/>
      <c r="Q675" s="914"/>
      <c r="R675" s="914"/>
      <c r="S675" s="915">
        <f t="shared" si="94"/>
        <v>1</v>
      </c>
      <c r="T675" s="911">
        <f t="shared" si="95"/>
        <v>10050</v>
      </c>
    </row>
    <row r="676" spans="1:114" ht="130.5" customHeight="1">
      <c r="A676" s="905"/>
      <c r="B676" s="906" t="s">
        <v>6991</v>
      </c>
      <c r="C676" s="913">
        <f>2000*10.05</f>
        <v>20100</v>
      </c>
      <c r="D676" s="908" t="s">
        <v>1393</v>
      </c>
      <c r="E676" s="914"/>
      <c r="F676" s="1053"/>
      <c r="G676" s="914">
        <v>1</v>
      </c>
      <c r="H676" s="914">
        <f t="shared" si="98"/>
        <v>20100</v>
      </c>
      <c r="I676" s="914"/>
      <c r="J676" s="914"/>
      <c r="K676" s="914"/>
      <c r="L676" s="914"/>
      <c r="M676" s="914"/>
      <c r="N676" s="914"/>
      <c r="O676" s="914"/>
      <c r="P676" s="914"/>
      <c r="Q676" s="914"/>
      <c r="R676" s="914"/>
      <c r="S676" s="915">
        <f t="shared" si="94"/>
        <v>1</v>
      </c>
      <c r="T676" s="911">
        <f t="shared" si="95"/>
        <v>20100</v>
      </c>
    </row>
    <row r="677" spans="1:114" ht="250.5" customHeight="1">
      <c r="A677" s="905"/>
      <c r="B677" s="906" t="s">
        <v>4692</v>
      </c>
      <c r="C677" s="913">
        <f>DATA!R3572</f>
        <v>3337.32</v>
      </c>
      <c r="D677" s="908" t="s">
        <v>1393</v>
      </c>
      <c r="E677" s="914">
        <f>DSP!H1950</f>
        <v>7</v>
      </c>
      <c r="F677" s="1053">
        <f t="shared" si="97"/>
        <v>23361.24</v>
      </c>
      <c r="G677" s="914"/>
      <c r="H677" s="914">
        <f t="shared" si="98"/>
        <v>0</v>
      </c>
      <c r="I677" s="914"/>
      <c r="J677" s="914">
        <f t="shared" si="99"/>
        <v>0</v>
      </c>
      <c r="K677" s="914"/>
      <c r="L677" s="914">
        <f t="shared" si="100"/>
        <v>0</v>
      </c>
      <c r="M677" s="914"/>
      <c r="N677" s="914">
        <f t="shared" si="92"/>
        <v>0</v>
      </c>
      <c r="O677" s="914"/>
      <c r="P677" s="914">
        <f t="shared" si="93"/>
        <v>0</v>
      </c>
      <c r="Q677" s="914"/>
      <c r="R677" s="914">
        <f t="shared" si="96"/>
        <v>0</v>
      </c>
      <c r="S677" s="915">
        <f t="shared" si="94"/>
        <v>7</v>
      </c>
      <c r="T677" s="911">
        <f t="shared" si="95"/>
        <v>23361.24</v>
      </c>
    </row>
    <row r="678" spans="1:114" ht="250.5" hidden="1" customHeight="1">
      <c r="A678" s="905">
        <v>54.3</v>
      </c>
      <c r="B678" s="906" t="s">
        <v>6657</v>
      </c>
      <c r="C678" s="921">
        <f>ROUND(DATA!K1954,2)</f>
        <v>206</v>
      </c>
      <c r="D678" s="908" t="s">
        <v>1393</v>
      </c>
      <c r="E678" s="919"/>
      <c r="F678" s="1053">
        <f t="shared" si="97"/>
        <v>0</v>
      </c>
      <c r="G678" s="919"/>
      <c r="H678" s="914">
        <f t="shared" si="98"/>
        <v>0</v>
      </c>
      <c r="I678" s="919"/>
      <c r="J678" s="914">
        <f t="shared" si="99"/>
        <v>0</v>
      </c>
      <c r="K678" s="919"/>
      <c r="L678" s="914">
        <f t="shared" si="100"/>
        <v>0</v>
      </c>
      <c r="M678" s="919"/>
      <c r="N678" s="914">
        <f t="shared" si="92"/>
        <v>0</v>
      </c>
      <c r="O678" s="914"/>
      <c r="P678" s="914">
        <f t="shared" si="93"/>
        <v>0</v>
      </c>
      <c r="Q678" s="914"/>
      <c r="R678" s="914">
        <f t="shared" si="96"/>
        <v>0</v>
      </c>
      <c r="S678" s="915">
        <f t="shared" si="94"/>
        <v>0</v>
      </c>
      <c r="T678" s="911">
        <f t="shared" si="95"/>
        <v>0</v>
      </c>
    </row>
    <row r="679" spans="1:114" ht="250.5" hidden="1" customHeight="1">
      <c r="A679" s="905">
        <v>56.3</v>
      </c>
      <c r="B679" s="906" t="s">
        <v>821</v>
      </c>
      <c r="C679" s="913">
        <f>ROUND(DATA!K1977,2)</f>
        <v>3359.24</v>
      </c>
      <c r="D679" s="908" t="s">
        <v>1393</v>
      </c>
      <c r="E679" s="919"/>
      <c r="F679" s="1053">
        <f t="shared" si="97"/>
        <v>0</v>
      </c>
      <c r="G679" s="919"/>
      <c r="H679" s="914">
        <f t="shared" si="98"/>
        <v>0</v>
      </c>
      <c r="I679" s="919"/>
      <c r="J679" s="914">
        <f t="shared" si="99"/>
        <v>0</v>
      </c>
      <c r="K679" s="919"/>
      <c r="L679" s="914">
        <f t="shared" si="100"/>
        <v>0</v>
      </c>
      <c r="M679" s="919"/>
      <c r="N679" s="914">
        <f t="shared" si="92"/>
        <v>0</v>
      </c>
      <c r="O679" s="914"/>
      <c r="P679" s="914">
        <f t="shared" si="93"/>
        <v>0</v>
      </c>
      <c r="Q679" s="914"/>
      <c r="R679" s="914">
        <f t="shared" si="96"/>
        <v>0</v>
      </c>
      <c r="S679" s="915">
        <f t="shared" si="94"/>
        <v>0</v>
      </c>
      <c r="T679" s="911">
        <f t="shared" si="95"/>
        <v>0</v>
      </c>
    </row>
    <row r="680" spans="1:114" ht="250.5" hidden="1" customHeight="1">
      <c r="A680" s="905">
        <v>56.4</v>
      </c>
      <c r="B680" s="906" t="s">
        <v>1276</v>
      </c>
      <c r="C680" s="913">
        <f>ROUND(DATA!K1998,2)</f>
        <v>5214.37</v>
      </c>
      <c r="D680" s="908" t="s">
        <v>1393</v>
      </c>
      <c r="E680" s="919"/>
      <c r="F680" s="1053">
        <f t="shared" si="97"/>
        <v>0</v>
      </c>
      <c r="G680" s="919"/>
      <c r="H680" s="914">
        <f t="shared" si="98"/>
        <v>0</v>
      </c>
      <c r="I680" s="919"/>
      <c r="J680" s="914">
        <f t="shared" si="99"/>
        <v>0</v>
      </c>
      <c r="K680" s="919"/>
      <c r="L680" s="914">
        <f t="shared" si="100"/>
        <v>0</v>
      </c>
      <c r="M680" s="919"/>
      <c r="N680" s="914">
        <f t="shared" si="92"/>
        <v>0</v>
      </c>
      <c r="O680" s="914"/>
      <c r="P680" s="914">
        <f t="shared" si="93"/>
        <v>0</v>
      </c>
      <c r="Q680" s="914"/>
      <c r="R680" s="914">
        <f t="shared" si="96"/>
        <v>0</v>
      </c>
      <c r="S680" s="915">
        <f t="shared" si="94"/>
        <v>0</v>
      </c>
      <c r="T680" s="911">
        <f t="shared" si="95"/>
        <v>0</v>
      </c>
    </row>
    <row r="681" spans="1:114" ht="250.5" customHeight="1">
      <c r="A681" s="905">
        <v>58.3</v>
      </c>
      <c r="B681" s="924" t="s">
        <v>1277</v>
      </c>
      <c r="C681" s="913"/>
      <c r="D681" s="976"/>
      <c r="E681" s="911"/>
      <c r="F681" s="1053">
        <f t="shared" si="97"/>
        <v>0</v>
      </c>
      <c r="G681" s="914"/>
      <c r="H681" s="914">
        <f t="shared" si="98"/>
        <v>0</v>
      </c>
      <c r="I681" s="914"/>
      <c r="J681" s="914">
        <f t="shared" si="99"/>
        <v>0</v>
      </c>
      <c r="K681" s="914"/>
      <c r="L681" s="914">
        <f t="shared" si="100"/>
        <v>0</v>
      </c>
      <c r="M681" s="914"/>
      <c r="N681" s="914">
        <f t="shared" si="92"/>
        <v>0</v>
      </c>
      <c r="O681" s="914"/>
      <c r="P681" s="914">
        <f t="shared" si="93"/>
        <v>0</v>
      </c>
      <c r="Q681" s="914"/>
      <c r="R681" s="914">
        <f t="shared" si="96"/>
        <v>0</v>
      </c>
      <c r="S681" s="915">
        <f t="shared" si="94"/>
        <v>0</v>
      </c>
      <c r="T681" s="911">
        <f t="shared" si="95"/>
        <v>0</v>
      </c>
    </row>
    <row r="682" spans="1:114" ht="250.5" customHeight="1">
      <c r="A682" s="905"/>
      <c r="B682" s="906" t="s">
        <v>35</v>
      </c>
      <c r="C682" s="913">
        <f>ROUND(DATA!K2063,2)</f>
        <v>717.55</v>
      </c>
      <c r="D682" s="908" t="s">
        <v>823</v>
      </c>
      <c r="E682" s="914">
        <f>DSP!H1975</f>
        <v>41.2</v>
      </c>
      <c r="F682" s="1053">
        <f t="shared" si="97"/>
        <v>29563.06</v>
      </c>
      <c r="G682" s="914"/>
      <c r="H682" s="914">
        <f t="shared" si="98"/>
        <v>0</v>
      </c>
      <c r="I682" s="914"/>
      <c r="J682" s="914">
        <f t="shared" si="99"/>
        <v>0</v>
      </c>
      <c r="K682" s="914"/>
      <c r="L682" s="914">
        <f t="shared" si="100"/>
        <v>0</v>
      </c>
      <c r="M682" s="914"/>
      <c r="N682" s="914">
        <f t="shared" si="92"/>
        <v>0</v>
      </c>
      <c r="O682" s="914"/>
      <c r="P682" s="914">
        <f t="shared" si="93"/>
        <v>0</v>
      </c>
      <c r="Q682" s="914"/>
      <c r="R682" s="914">
        <f t="shared" si="96"/>
        <v>0</v>
      </c>
      <c r="S682" s="915">
        <f t="shared" si="94"/>
        <v>41.2</v>
      </c>
      <c r="T682" s="911">
        <f t="shared" si="95"/>
        <v>29563.06</v>
      </c>
    </row>
    <row r="683" spans="1:114" ht="250.5" customHeight="1">
      <c r="A683" s="943"/>
      <c r="B683" s="906" t="s">
        <v>36</v>
      </c>
      <c r="C683" s="913">
        <f>ROUND(DATA!K2087,2)</f>
        <v>600.25</v>
      </c>
      <c r="D683" s="908" t="s">
        <v>823</v>
      </c>
      <c r="E683" s="914">
        <f>DSP!H1982</f>
        <v>58.5</v>
      </c>
      <c r="F683" s="1053">
        <f t="shared" si="97"/>
        <v>35114.629999999997</v>
      </c>
      <c r="G683" s="914"/>
      <c r="H683" s="914">
        <f t="shared" si="98"/>
        <v>0</v>
      </c>
      <c r="I683" s="914"/>
      <c r="J683" s="914">
        <f t="shared" si="99"/>
        <v>0</v>
      </c>
      <c r="K683" s="914"/>
      <c r="L683" s="914">
        <f t="shared" si="100"/>
        <v>0</v>
      </c>
      <c r="M683" s="914"/>
      <c r="N683" s="914">
        <f t="shared" si="92"/>
        <v>0</v>
      </c>
      <c r="O683" s="914"/>
      <c r="P683" s="914">
        <f t="shared" si="93"/>
        <v>0</v>
      </c>
      <c r="Q683" s="914"/>
      <c r="R683" s="914">
        <f t="shared" si="96"/>
        <v>0</v>
      </c>
      <c r="S683" s="915">
        <f t="shared" si="94"/>
        <v>58.5</v>
      </c>
      <c r="T683" s="911">
        <f t="shared" si="95"/>
        <v>35114.629999999997</v>
      </c>
    </row>
    <row r="684" spans="1:114" ht="250.5" customHeight="1">
      <c r="A684" s="905">
        <v>58.4</v>
      </c>
      <c r="B684" s="906" t="s">
        <v>846</v>
      </c>
      <c r="C684" s="913">
        <f>ROUND(DATA!K2888,2)</f>
        <v>114.45</v>
      </c>
      <c r="D684" s="976" t="s">
        <v>823</v>
      </c>
      <c r="E684" s="914">
        <f>DSP!H1984</f>
        <v>12</v>
      </c>
      <c r="F684" s="1053">
        <f t="shared" si="97"/>
        <v>1373.4</v>
      </c>
      <c r="G684" s="914"/>
      <c r="H684" s="914">
        <f t="shared" si="98"/>
        <v>0</v>
      </c>
      <c r="I684" s="914"/>
      <c r="J684" s="914">
        <f t="shared" si="99"/>
        <v>0</v>
      </c>
      <c r="K684" s="914"/>
      <c r="L684" s="914">
        <f t="shared" si="100"/>
        <v>0</v>
      </c>
      <c r="M684" s="914"/>
      <c r="N684" s="914">
        <f t="shared" si="92"/>
        <v>0</v>
      </c>
      <c r="O684" s="914"/>
      <c r="P684" s="914">
        <f t="shared" si="93"/>
        <v>0</v>
      </c>
      <c r="Q684" s="914"/>
      <c r="R684" s="914">
        <f t="shared" si="96"/>
        <v>0</v>
      </c>
      <c r="S684" s="915">
        <f t="shared" si="94"/>
        <v>12</v>
      </c>
      <c r="T684" s="911">
        <f t="shared" si="95"/>
        <v>1373.4</v>
      </c>
    </row>
    <row r="685" spans="1:114" s="920" customFormat="1" ht="250.5" customHeight="1">
      <c r="A685" s="916">
        <v>58.5</v>
      </c>
      <c r="B685" s="917" t="s">
        <v>847</v>
      </c>
      <c r="C685" s="918">
        <f>ROUND(DATA!K2098,2)</f>
        <v>454</v>
      </c>
      <c r="D685" s="977" t="s">
        <v>1393</v>
      </c>
      <c r="E685" s="919"/>
      <c r="F685" s="1053">
        <f t="shared" si="97"/>
        <v>0</v>
      </c>
      <c r="G685" s="919"/>
      <c r="H685" s="914">
        <f t="shared" si="98"/>
        <v>0</v>
      </c>
      <c r="I685" s="919"/>
      <c r="J685" s="914">
        <f t="shared" si="99"/>
        <v>0</v>
      </c>
      <c r="K685" s="919"/>
      <c r="L685" s="914">
        <f t="shared" si="100"/>
        <v>0</v>
      </c>
      <c r="M685" s="919"/>
      <c r="N685" s="914">
        <f t="shared" si="92"/>
        <v>0</v>
      </c>
      <c r="O685" s="914"/>
      <c r="P685" s="914">
        <f t="shared" si="93"/>
        <v>0</v>
      </c>
      <c r="Q685" s="914"/>
      <c r="R685" s="914">
        <f t="shared" si="96"/>
        <v>0</v>
      </c>
      <c r="S685" s="915">
        <f t="shared" si="94"/>
        <v>0</v>
      </c>
      <c r="T685" s="911">
        <f t="shared" si="95"/>
        <v>0</v>
      </c>
      <c r="U685" s="1172"/>
      <c r="V685" s="1172"/>
      <c r="W685" s="1172"/>
      <c r="X685" s="1172"/>
      <c r="Y685" s="1172"/>
      <c r="Z685" s="1172"/>
      <c r="AA685" s="1172"/>
      <c r="AB685" s="1172"/>
      <c r="AC685" s="1172"/>
      <c r="AD685" s="1172"/>
      <c r="AE685" s="1172"/>
      <c r="AF685" s="1172"/>
      <c r="AG685" s="1172"/>
      <c r="AH685" s="1172"/>
      <c r="AI685" s="1172"/>
      <c r="AJ685" s="1172"/>
      <c r="AK685" s="1172"/>
      <c r="AL685" s="1172"/>
      <c r="AM685" s="1172"/>
      <c r="AN685" s="1172"/>
      <c r="AO685" s="1172"/>
      <c r="AP685" s="1172"/>
      <c r="AQ685" s="1172"/>
      <c r="AR685" s="1172"/>
      <c r="AS685" s="1172"/>
      <c r="AT685" s="1172"/>
      <c r="AU685" s="1172"/>
      <c r="AV685" s="1172"/>
      <c r="AW685" s="1172"/>
      <c r="AX685" s="1172"/>
      <c r="AY685" s="1172"/>
      <c r="AZ685" s="1172"/>
      <c r="BA685" s="1172"/>
      <c r="BB685" s="1172"/>
      <c r="BC685" s="1172"/>
      <c r="BD685" s="1172"/>
      <c r="BE685" s="1172"/>
      <c r="BF685" s="1172"/>
      <c r="BG685" s="1172"/>
      <c r="BH685" s="1172"/>
      <c r="BI685" s="1172"/>
      <c r="BJ685" s="1172"/>
      <c r="BK685" s="1172"/>
      <c r="BL685" s="1172"/>
      <c r="BM685" s="1172"/>
      <c r="BN685" s="1172"/>
      <c r="BO685" s="1172"/>
      <c r="BP685" s="1172"/>
      <c r="BQ685" s="1172"/>
      <c r="BR685" s="1172"/>
      <c r="BS685" s="1172"/>
      <c r="BT685" s="1172"/>
      <c r="BU685" s="1172"/>
      <c r="BV685" s="1172"/>
      <c r="BW685" s="1172"/>
      <c r="BX685" s="1172"/>
      <c r="BY685" s="1172"/>
      <c r="BZ685" s="1172"/>
      <c r="CA685" s="1172"/>
      <c r="CB685" s="1172"/>
      <c r="CC685" s="1172"/>
      <c r="CD685" s="1172"/>
      <c r="CE685" s="1172"/>
      <c r="CF685" s="1172"/>
      <c r="CG685" s="1172"/>
      <c r="CH685" s="1172"/>
      <c r="CI685" s="1172"/>
      <c r="CJ685" s="1172"/>
      <c r="CK685" s="1172"/>
      <c r="CL685" s="1172"/>
      <c r="CM685" s="1172"/>
      <c r="CN685" s="1172"/>
      <c r="CO685" s="1172"/>
      <c r="CP685" s="1172"/>
      <c r="CQ685" s="1172"/>
      <c r="CR685" s="1172"/>
      <c r="CS685" s="1172"/>
      <c r="CT685" s="1172"/>
      <c r="CU685" s="1172"/>
      <c r="CV685" s="1172"/>
      <c r="CW685" s="1172"/>
      <c r="CX685" s="1172"/>
      <c r="CY685" s="1172"/>
      <c r="CZ685" s="1172"/>
      <c r="DA685" s="1172"/>
      <c r="DB685" s="1172"/>
      <c r="DC685" s="1172"/>
      <c r="DD685" s="1172"/>
      <c r="DE685" s="1172"/>
      <c r="DF685" s="1172"/>
      <c r="DG685" s="1172"/>
      <c r="DH685" s="1172"/>
      <c r="DI685" s="1172"/>
      <c r="DJ685" s="1172"/>
    </row>
    <row r="686" spans="1:114" s="920" customFormat="1" ht="250.5" hidden="1" customHeight="1">
      <c r="A686" s="916"/>
      <c r="B686" s="925" t="s">
        <v>4722</v>
      </c>
      <c r="C686" s="918"/>
      <c r="D686" s="977"/>
      <c r="E686" s="919"/>
      <c r="F686" s="1053">
        <f t="shared" si="97"/>
        <v>0</v>
      </c>
      <c r="G686" s="919"/>
      <c r="H686" s="914">
        <f t="shared" si="98"/>
        <v>0</v>
      </c>
      <c r="I686" s="919"/>
      <c r="J686" s="914">
        <f t="shared" si="99"/>
        <v>0</v>
      </c>
      <c r="K686" s="919"/>
      <c r="L686" s="914">
        <f t="shared" si="100"/>
        <v>0</v>
      </c>
      <c r="M686" s="919"/>
      <c r="N686" s="914">
        <f t="shared" si="92"/>
        <v>0</v>
      </c>
      <c r="O686" s="914"/>
      <c r="P686" s="914">
        <f t="shared" si="93"/>
        <v>0</v>
      </c>
      <c r="Q686" s="914"/>
      <c r="R686" s="914">
        <f t="shared" si="96"/>
        <v>0</v>
      </c>
      <c r="S686" s="915">
        <f t="shared" si="94"/>
        <v>0</v>
      </c>
      <c r="T686" s="911">
        <f t="shared" si="95"/>
        <v>0</v>
      </c>
      <c r="U686" s="1172"/>
      <c r="V686" s="1172"/>
      <c r="W686" s="1172"/>
      <c r="X686" s="1172"/>
      <c r="Y686" s="1172"/>
      <c r="Z686" s="1172"/>
      <c r="AA686" s="1172"/>
      <c r="AB686" s="1172"/>
      <c r="AC686" s="1172"/>
      <c r="AD686" s="1172"/>
      <c r="AE686" s="1172"/>
      <c r="AF686" s="1172"/>
      <c r="AG686" s="1172"/>
      <c r="AH686" s="1172"/>
      <c r="AI686" s="1172"/>
      <c r="AJ686" s="1172"/>
      <c r="AK686" s="1172"/>
      <c r="AL686" s="1172"/>
      <c r="AM686" s="1172"/>
      <c r="AN686" s="1172"/>
      <c r="AO686" s="1172"/>
      <c r="AP686" s="1172"/>
      <c r="AQ686" s="1172"/>
      <c r="AR686" s="1172"/>
      <c r="AS686" s="1172"/>
      <c r="AT686" s="1172"/>
      <c r="AU686" s="1172"/>
      <c r="AV686" s="1172"/>
      <c r="AW686" s="1172"/>
      <c r="AX686" s="1172"/>
      <c r="AY686" s="1172"/>
      <c r="AZ686" s="1172"/>
      <c r="BA686" s="1172"/>
      <c r="BB686" s="1172"/>
      <c r="BC686" s="1172"/>
      <c r="BD686" s="1172"/>
      <c r="BE686" s="1172"/>
      <c r="BF686" s="1172"/>
      <c r="BG686" s="1172"/>
      <c r="BH686" s="1172"/>
      <c r="BI686" s="1172"/>
      <c r="BJ686" s="1172"/>
      <c r="BK686" s="1172"/>
      <c r="BL686" s="1172"/>
      <c r="BM686" s="1172"/>
      <c r="BN686" s="1172"/>
      <c r="BO686" s="1172"/>
      <c r="BP686" s="1172"/>
      <c r="BQ686" s="1172"/>
      <c r="BR686" s="1172"/>
      <c r="BS686" s="1172"/>
      <c r="BT686" s="1172"/>
      <c r="BU686" s="1172"/>
      <c r="BV686" s="1172"/>
      <c r="BW686" s="1172"/>
      <c r="BX686" s="1172"/>
      <c r="BY686" s="1172"/>
      <c r="BZ686" s="1172"/>
      <c r="CA686" s="1172"/>
      <c r="CB686" s="1172"/>
      <c r="CC686" s="1172"/>
      <c r="CD686" s="1172"/>
      <c r="CE686" s="1172"/>
      <c r="CF686" s="1172"/>
      <c r="CG686" s="1172"/>
      <c r="CH686" s="1172"/>
      <c r="CI686" s="1172"/>
      <c r="CJ686" s="1172"/>
      <c r="CK686" s="1172"/>
      <c r="CL686" s="1172"/>
      <c r="CM686" s="1172"/>
      <c r="CN686" s="1172"/>
      <c r="CO686" s="1172"/>
      <c r="CP686" s="1172"/>
      <c r="CQ686" s="1172"/>
      <c r="CR686" s="1172"/>
      <c r="CS686" s="1172"/>
      <c r="CT686" s="1172"/>
      <c r="CU686" s="1172"/>
      <c r="CV686" s="1172"/>
      <c r="CW686" s="1172"/>
      <c r="CX686" s="1172"/>
      <c r="CY686" s="1172"/>
      <c r="CZ686" s="1172"/>
      <c r="DA686" s="1172"/>
      <c r="DB686" s="1172"/>
      <c r="DC686" s="1172"/>
      <c r="DD686" s="1172"/>
      <c r="DE686" s="1172"/>
      <c r="DF686" s="1172"/>
      <c r="DG686" s="1172"/>
      <c r="DH686" s="1172"/>
      <c r="DI686" s="1172"/>
      <c r="DJ686" s="1172"/>
    </row>
    <row r="687" spans="1:114" s="920" customFormat="1" ht="250.5" hidden="1" customHeight="1">
      <c r="A687" s="916"/>
      <c r="B687" s="917" t="s">
        <v>2133</v>
      </c>
      <c r="C687" s="918">
        <f>Elec.Data!K29</f>
        <v>1692.1</v>
      </c>
      <c r="D687" s="978" t="s">
        <v>1393</v>
      </c>
      <c r="E687" s="919"/>
      <c r="F687" s="1053">
        <f t="shared" si="97"/>
        <v>0</v>
      </c>
      <c r="G687" s="919"/>
      <c r="H687" s="914">
        <f t="shared" si="98"/>
        <v>0</v>
      </c>
      <c r="I687" s="919"/>
      <c r="J687" s="914">
        <f t="shared" si="99"/>
        <v>0</v>
      </c>
      <c r="K687" s="919"/>
      <c r="L687" s="914">
        <f t="shared" si="100"/>
        <v>0</v>
      </c>
      <c r="M687" s="919"/>
      <c r="N687" s="914">
        <f t="shared" si="92"/>
        <v>0</v>
      </c>
      <c r="O687" s="914"/>
      <c r="P687" s="914">
        <f t="shared" si="93"/>
        <v>0</v>
      </c>
      <c r="Q687" s="914"/>
      <c r="R687" s="914">
        <f t="shared" si="96"/>
        <v>0</v>
      </c>
      <c r="S687" s="915">
        <f t="shared" si="94"/>
        <v>0</v>
      </c>
      <c r="T687" s="911">
        <f t="shared" si="95"/>
        <v>0</v>
      </c>
      <c r="U687" s="1172"/>
      <c r="V687" s="1172"/>
      <c r="W687" s="1172"/>
      <c r="X687" s="1172"/>
      <c r="Y687" s="1172"/>
      <c r="Z687" s="1172"/>
      <c r="AA687" s="1172"/>
      <c r="AB687" s="1172"/>
      <c r="AC687" s="1172"/>
      <c r="AD687" s="1172"/>
      <c r="AE687" s="1172"/>
      <c r="AF687" s="1172"/>
      <c r="AG687" s="1172"/>
      <c r="AH687" s="1172"/>
      <c r="AI687" s="1172"/>
      <c r="AJ687" s="1172"/>
      <c r="AK687" s="1172"/>
      <c r="AL687" s="1172"/>
      <c r="AM687" s="1172"/>
      <c r="AN687" s="1172"/>
      <c r="AO687" s="1172"/>
      <c r="AP687" s="1172"/>
      <c r="AQ687" s="1172"/>
      <c r="AR687" s="1172"/>
      <c r="AS687" s="1172"/>
      <c r="AT687" s="1172"/>
      <c r="AU687" s="1172"/>
      <c r="AV687" s="1172"/>
      <c r="AW687" s="1172"/>
      <c r="AX687" s="1172"/>
      <c r="AY687" s="1172"/>
      <c r="AZ687" s="1172"/>
      <c r="BA687" s="1172"/>
      <c r="BB687" s="1172"/>
      <c r="BC687" s="1172"/>
      <c r="BD687" s="1172"/>
      <c r="BE687" s="1172"/>
      <c r="BF687" s="1172"/>
      <c r="BG687" s="1172"/>
      <c r="BH687" s="1172"/>
      <c r="BI687" s="1172"/>
      <c r="BJ687" s="1172"/>
      <c r="BK687" s="1172"/>
      <c r="BL687" s="1172"/>
      <c r="BM687" s="1172"/>
      <c r="BN687" s="1172"/>
      <c r="BO687" s="1172"/>
      <c r="BP687" s="1172"/>
      <c r="BQ687" s="1172"/>
      <c r="BR687" s="1172"/>
      <c r="BS687" s="1172"/>
      <c r="BT687" s="1172"/>
      <c r="BU687" s="1172"/>
      <c r="BV687" s="1172"/>
      <c r="BW687" s="1172"/>
      <c r="BX687" s="1172"/>
      <c r="BY687" s="1172"/>
      <c r="BZ687" s="1172"/>
      <c r="CA687" s="1172"/>
      <c r="CB687" s="1172"/>
      <c r="CC687" s="1172"/>
      <c r="CD687" s="1172"/>
      <c r="CE687" s="1172"/>
      <c r="CF687" s="1172"/>
      <c r="CG687" s="1172"/>
      <c r="CH687" s="1172"/>
      <c r="CI687" s="1172"/>
      <c r="CJ687" s="1172"/>
      <c r="CK687" s="1172"/>
      <c r="CL687" s="1172"/>
      <c r="CM687" s="1172"/>
      <c r="CN687" s="1172"/>
      <c r="CO687" s="1172"/>
      <c r="CP687" s="1172"/>
      <c r="CQ687" s="1172"/>
      <c r="CR687" s="1172"/>
      <c r="CS687" s="1172"/>
      <c r="CT687" s="1172"/>
      <c r="CU687" s="1172"/>
      <c r="CV687" s="1172"/>
      <c r="CW687" s="1172"/>
      <c r="CX687" s="1172"/>
      <c r="CY687" s="1172"/>
      <c r="CZ687" s="1172"/>
      <c r="DA687" s="1172"/>
      <c r="DB687" s="1172"/>
      <c r="DC687" s="1172"/>
      <c r="DD687" s="1172"/>
      <c r="DE687" s="1172"/>
      <c r="DF687" s="1172"/>
      <c r="DG687" s="1172"/>
      <c r="DH687" s="1172"/>
      <c r="DI687" s="1172"/>
      <c r="DJ687" s="1172"/>
    </row>
    <row r="688" spans="1:114" s="920" customFormat="1" ht="250.5" hidden="1" customHeight="1">
      <c r="A688" s="916"/>
      <c r="B688" s="917" t="s">
        <v>1265</v>
      </c>
      <c r="C688" s="918">
        <f>Elec.Data!K53</f>
        <v>1695.1</v>
      </c>
      <c r="D688" s="978" t="s">
        <v>1393</v>
      </c>
      <c r="E688" s="919"/>
      <c r="F688" s="1053">
        <f t="shared" si="97"/>
        <v>0</v>
      </c>
      <c r="G688" s="919"/>
      <c r="H688" s="914">
        <f t="shared" si="98"/>
        <v>0</v>
      </c>
      <c r="I688" s="919"/>
      <c r="J688" s="914">
        <f t="shared" si="99"/>
        <v>0</v>
      </c>
      <c r="K688" s="919"/>
      <c r="L688" s="914">
        <f t="shared" si="100"/>
        <v>0</v>
      </c>
      <c r="M688" s="919"/>
      <c r="N688" s="914">
        <f t="shared" si="92"/>
        <v>0</v>
      </c>
      <c r="O688" s="914"/>
      <c r="P688" s="914">
        <f t="shared" si="93"/>
        <v>0</v>
      </c>
      <c r="Q688" s="914"/>
      <c r="R688" s="914">
        <f t="shared" si="96"/>
        <v>0</v>
      </c>
      <c r="S688" s="915">
        <f t="shared" si="94"/>
        <v>0</v>
      </c>
      <c r="T688" s="911">
        <f t="shared" si="95"/>
        <v>0</v>
      </c>
      <c r="U688" s="1172"/>
      <c r="V688" s="1172"/>
      <c r="W688" s="1172"/>
      <c r="X688" s="1172"/>
      <c r="Y688" s="1172"/>
      <c r="Z688" s="1172"/>
      <c r="AA688" s="1172"/>
      <c r="AB688" s="1172"/>
      <c r="AC688" s="1172"/>
      <c r="AD688" s="1172"/>
      <c r="AE688" s="1172"/>
      <c r="AF688" s="1172"/>
      <c r="AG688" s="1172"/>
      <c r="AH688" s="1172"/>
      <c r="AI688" s="1172"/>
      <c r="AJ688" s="1172"/>
      <c r="AK688" s="1172"/>
      <c r="AL688" s="1172"/>
      <c r="AM688" s="1172"/>
      <c r="AN688" s="1172"/>
      <c r="AO688" s="1172"/>
      <c r="AP688" s="1172"/>
      <c r="AQ688" s="1172"/>
      <c r="AR688" s="1172"/>
      <c r="AS688" s="1172"/>
      <c r="AT688" s="1172"/>
      <c r="AU688" s="1172"/>
      <c r="AV688" s="1172"/>
      <c r="AW688" s="1172"/>
      <c r="AX688" s="1172"/>
      <c r="AY688" s="1172"/>
      <c r="AZ688" s="1172"/>
      <c r="BA688" s="1172"/>
      <c r="BB688" s="1172"/>
      <c r="BC688" s="1172"/>
      <c r="BD688" s="1172"/>
      <c r="BE688" s="1172"/>
      <c r="BF688" s="1172"/>
      <c r="BG688" s="1172"/>
      <c r="BH688" s="1172"/>
      <c r="BI688" s="1172"/>
      <c r="BJ688" s="1172"/>
      <c r="BK688" s="1172"/>
      <c r="BL688" s="1172"/>
      <c r="BM688" s="1172"/>
      <c r="BN688" s="1172"/>
      <c r="BO688" s="1172"/>
      <c r="BP688" s="1172"/>
      <c r="BQ688" s="1172"/>
      <c r="BR688" s="1172"/>
      <c r="BS688" s="1172"/>
      <c r="BT688" s="1172"/>
      <c r="BU688" s="1172"/>
      <c r="BV688" s="1172"/>
      <c r="BW688" s="1172"/>
      <c r="BX688" s="1172"/>
      <c r="BY688" s="1172"/>
      <c r="BZ688" s="1172"/>
      <c r="CA688" s="1172"/>
      <c r="CB688" s="1172"/>
      <c r="CC688" s="1172"/>
      <c r="CD688" s="1172"/>
      <c r="CE688" s="1172"/>
      <c r="CF688" s="1172"/>
      <c r="CG688" s="1172"/>
      <c r="CH688" s="1172"/>
      <c r="CI688" s="1172"/>
      <c r="CJ688" s="1172"/>
      <c r="CK688" s="1172"/>
      <c r="CL688" s="1172"/>
      <c r="CM688" s="1172"/>
      <c r="CN688" s="1172"/>
      <c r="CO688" s="1172"/>
      <c r="CP688" s="1172"/>
      <c r="CQ688" s="1172"/>
      <c r="CR688" s="1172"/>
      <c r="CS688" s="1172"/>
      <c r="CT688" s="1172"/>
      <c r="CU688" s="1172"/>
      <c r="CV688" s="1172"/>
      <c r="CW688" s="1172"/>
      <c r="CX688" s="1172"/>
      <c r="CY688" s="1172"/>
      <c r="CZ688" s="1172"/>
      <c r="DA688" s="1172"/>
      <c r="DB688" s="1172"/>
      <c r="DC688" s="1172"/>
      <c r="DD688" s="1172"/>
      <c r="DE688" s="1172"/>
      <c r="DF688" s="1172"/>
      <c r="DG688" s="1172"/>
      <c r="DH688" s="1172"/>
      <c r="DI688" s="1172"/>
      <c r="DJ688" s="1172"/>
    </row>
    <row r="689" spans="1:114" s="920" customFormat="1" ht="250.5" hidden="1" customHeight="1">
      <c r="A689" s="970"/>
      <c r="B689" s="917" t="s">
        <v>296</v>
      </c>
      <c r="C689" s="918">
        <f>Elec.Data!K68</f>
        <v>1732.1</v>
      </c>
      <c r="D689" s="978" t="s">
        <v>1393</v>
      </c>
      <c r="E689" s="919"/>
      <c r="F689" s="1053">
        <f t="shared" si="97"/>
        <v>0</v>
      </c>
      <c r="G689" s="919"/>
      <c r="H689" s="914">
        <f t="shared" si="98"/>
        <v>0</v>
      </c>
      <c r="I689" s="919"/>
      <c r="J689" s="914">
        <f t="shared" si="99"/>
        <v>0</v>
      </c>
      <c r="K689" s="919"/>
      <c r="L689" s="914">
        <f t="shared" si="100"/>
        <v>0</v>
      </c>
      <c r="M689" s="919"/>
      <c r="N689" s="914">
        <f t="shared" si="92"/>
        <v>0</v>
      </c>
      <c r="O689" s="914"/>
      <c r="P689" s="914">
        <f t="shared" si="93"/>
        <v>0</v>
      </c>
      <c r="Q689" s="914"/>
      <c r="R689" s="914">
        <f t="shared" si="96"/>
        <v>0</v>
      </c>
      <c r="S689" s="915">
        <f t="shared" si="94"/>
        <v>0</v>
      </c>
      <c r="T689" s="911">
        <f t="shared" si="95"/>
        <v>0</v>
      </c>
      <c r="U689" s="1172"/>
      <c r="V689" s="1172"/>
      <c r="W689" s="1172"/>
      <c r="X689" s="1172"/>
      <c r="Y689" s="1172"/>
      <c r="Z689" s="1172"/>
      <c r="AA689" s="1172"/>
      <c r="AB689" s="1172"/>
      <c r="AC689" s="1172"/>
      <c r="AD689" s="1172"/>
      <c r="AE689" s="1172"/>
      <c r="AF689" s="1172"/>
      <c r="AG689" s="1172"/>
      <c r="AH689" s="1172"/>
      <c r="AI689" s="1172"/>
      <c r="AJ689" s="1172"/>
      <c r="AK689" s="1172"/>
      <c r="AL689" s="1172"/>
      <c r="AM689" s="1172"/>
      <c r="AN689" s="1172"/>
      <c r="AO689" s="1172"/>
      <c r="AP689" s="1172"/>
      <c r="AQ689" s="1172"/>
      <c r="AR689" s="1172"/>
      <c r="AS689" s="1172"/>
      <c r="AT689" s="1172"/>
      <c r="AU689" s="1172"/>
      <c r="AV689" s="1172"/>
      <c r="AW689" s="1172"/>
      <c r="AX689" s="1172"/>
      <c r="AY689" s="1172"/>
      <c r="AZ689" s="1172"/>
      <c r="BA689" s="1172"/>
      <c r="BB689" s="1172"/>
      <c r="BC689" s="1172"/>
      <c r="BD689" s="1172"/>
      <c r="BE689" s="1172"/>
      <c r="BF689" s="1172"/>
      <c r="BG689" s="1172"/>
      <c r="BH689" s="1172"/>
      <c r="BI689" s="1172"/>
      <c r="BJ689" s="1172"/>
      <c r="BK689" s="1172"/>
      <c r="BL689" s="1172"/>
      <c r="BM689" s="1172"/>
      <c r="BN689" s="1172"/>
      <c r="BO689" s="1172"/>
      <c r="BP689" s="1172"/>
      <c r="BQ689" s="1172"/>
      <c r="BR689" s="1172"/>
      <c r="BS689" s="1172"/>
      <c r="BT689" s="1172"/>
      <c r="BU689" s="1172"/>
      <c r="BV689" s="1172"/>
      <c r="BW689" s="1172"/>
      <c r="BX689" s="1172"/>
      <c r="BY689" s="1172"/>
      <c r="BZ689" s="1172"/>
      <c r="CA689" s="1172"/>
      <c r="CB689" s="1172"/>
      <c r="CC689" s="1172"/>
      <c r="CD689" s="1172"/>
      <c r="CE689" s="1172"/>
      <c r="CF689" s="1172"/>
      <c r="CG689" s="1172"/>
      <c r="CH689" s="1172"/>
      <c r="CI689" s="1172"/>
      <c r="CJ689" s="1172"/>
      <c r="CK689" s="1172"/>
      <c r="CL689" s="1172"/>
      <c r="CM689" s="1172"/>
      <c r="CN689" s="1172"/>
      <c r="CO689" s="1172"/>
      <c r="CP689" s="1172"/>
      <c r="CQ689" s="1172"/>
      <c r="CR689" s="1172"/>
      <c r="CS689" s="1172"/>
      <c r="CT689" s="1172"/>
      <c r="CU689" s="1172"/>
      <c r="CV689" s="1172"/>
      <c r="CW689" s="1172"/>
      <c r="CX689" s="1172"/>
      <c r="CY689" s="1172"/>
      <c r="CZ689" s="1172"/>
      <c r="DA689" s="1172"/>
      <c r="DB689" s="1172"/>
      <c r="DC689" s="1172"/>
      <c r="DD689" s="1172"/>
      <c r="DE689" s="1172"/>
      <c r="DF689" s="1172"/>
      <c r="DG689" s="1172"/>
      <c r="DH689" s="1172"/>
      <c r="DI689" s="1172"/>
      <c r="DJ689" s="1172"/>
    </row>
    <row r="690" spans="1:114" s="920" customFormat="1" ht="250.5" hidden="1" customHeight="1">
      <c r="A690" s="916">
        <v>65.099999999999994</v>
      </c>
      <c r="B690" s="917" t="s">
        <v>6658</v>
      </c>
      <c r="C690" s="918">
        <f>Elec.Data!K90</f>
        <v>1767.1</v>
      </c>
      <c r="D690" s="978" t="s">
        <v>1393</v>
      </c>
      <c r="E690" s="919"/>
      <c r="F690" s="1053">
        <f t="shared" si="97"/>
        <v>0</v>
      </c>
      <c r="G690" s="919"/>
      <c r="H690" s="914">
        <f t="shared" si="98"/>
        <v>0</v>
      </c>
      <c r="I690" s="919"/>
      <c r="J690" s="914">
        <f t="shared" si="99"/>
        <v>0</v>
      </c>
      <c r="K690" s="919"/>
      <c r="L690" s="914">
        <f t="shared" si="100"/>
        <v>0</v>
      </c>
      <c r="M690" s="919"/>
      <c r="N690" s="914">
        <f t="shared" si="92"/>
        <v>0</v>
      </c>
      <c r="O690" s="914"/>
      <c r="P690" s="914">
        <f t="shared" si="93"/>
        <v>0</v>
      </c>
      <c r="Q690" s="914"/>
      <c r="R690" s="914">
        <f t="shared" si="96"/>
        <v>0</v>
      </c>
      <c r="S690" s="915">
        <f t="shared" si="94"/>
        <v>0</v>
      </c>
      <c r="T690" s="911">
        <f t="shared" si="95"/>
        <v>0</v>
      </c>
      <c r="U690" s="1172"/>
      <c r="V690" s="1172"/>
      <c r="W690" s="1172"/>
      <c r="X690" s="1172"/>
      <c r="Y690" s="1172"/>
      <c r="Z690" s="1172"/>
      <c r="AA690" s="1172"/>
      <c r="AB690" s="1172"/>
      <c r="AC690" s="1172"/>
      <c r="AD690" s="1172"/>
      <c r="AE690" s="1172"/>
      <c r="AF690" s="1172"/>
      <c r="AG690" s="1172"/>
      <c r="AH690" s="1172"/>
      <c r="AI690" s="1172"/>
      <c r="AJ690" s="1172"/>
      <c r="AK690" s="1172"/>
      <c r="AL690" s="1172"/>
      <c r="AM690" s="1172"/>
      <c r="AN690" s="1172"/>
      <c r="AO690" s="1172"/>
      <c r="AP690" s="1172"/>
      <c r="AQ690" s="1172"/>
      <c r="AR690" s="1172"/>
      <c r="AS690" s="1172"/>
      <c r="AT690" s="1172"/>
      <c r="AU690" s="1172"/>
      <c r="AV690" s="1172"/>
      <c r="AW690" s="1172"/>
      <c r="AX690" s="1172"/>
      <c r="AY690" s="1172"/>
      <c r="AZ690" s="1172"/>
      <c r="BA690" s="1172"/>
      <c r="BB690" s="1172"/>
      <c r="BC690" s="1172"/>
      <c r="BD690" s="1172"/>
      <c r="BE690" s="1172"/>
      <c r="BF690" s="1172"/>
      <c r="BG690" s="1172"/>
      <c r="BH690" s="1172"/>
      <c r="BI690" s="1172"/>
      <c r="BJ690" s="1172"/>
      <c r="BK690" s="1172"/>
      <c r="BL690" s="1172"/>
      <c r="BM690" s="1172"/>
      <c r="BN690" s="1172"/>
      <c r="BO690" s="1172"/>
      <c r="BP690" s="1172"/>
      <c r="BQ690" s="1172"/>
      <c r="BR690" s="1172"/>
      <c r="BS690" s="1172"/>
      <c r="BT690" s="1172"/>
      <c r="BU690" s="1172"/>
      <c r="BV690" s="1172"/>
      <c r="BW690" s="1172"/>
      <c r="BX690" s="1172"/>
      <c r="BY690" s="1172"/>
      <c r="BZ690" s="1172"/>
      <c r="CA690" s="1172"/>
      <c r="CB690" s="1172"/>
      <c r="CC690" s="1172"/>
      <c r="CD690" s="1172"/>
      <c r="CE690" s="1172"/>
      <c r="CF690" s="1172"/>
      <c r="CG690" s="1172"/>
      <c r="CH690" s="1172"/>
      <c r="CI690" s="1172"/>
      <c r="CJ690" s="1172"/>
      <c r="CK690" s="1172"/>
      <c r="CL690" s="1172"/>
      <c r="CM690" s="1172"/>
      <c r="CN690" s="1172"/>
      <c r="CO690" s="1172"/>
      <c r="CP690" s="1172"/>
      <c r="CQ690" s="1172"/>
      <c r="CR690" s="1172"/>
      <c r="CS690" s="1172"/>
      <c r="CT690" s="1172"/>
      <c r="CU690" s="1172"/>
      <c r="CV690" s="1172"/>
      <c r="CW690" s="1172"/>
      <c r="CX690" s="1172"/>
      <c r="CY690" s="1172"/>
      <c r="CZ690" s="1172"/>
      <c r="DA690" s="1172"/>
      <c r="DB690" s="1172"/>
      <c r="DC690" s="1172"/>
      <c r="DD690" s="1172"/>
      <c r="DE690" s="1172"/>
      <c r="DF690" s="1172"/>
      <c r="DG690" s="1172"/>
      <c r="DH690" s="1172"/>
      <c r="DI690" s="1172"/>
      <c r="DJ690" s="1172"/>
    </row>
    <row r="691" spans="1:114" s="920" customFormat="1" ht="250.5" hidden="1" customHeight="1">
      <c r="A691" s="916">
        <v>66.099999999999994</v>
      </c>
      <c r="B691" s="917" t="s">
        <v>6659</v>
      </c>
      <c r="C691" s="918">
        <f>Elec.Data!K114</f>
        <v>3176.2</v>
      </c>
      <c r="D691" s="978" t="s">
        <v>1393</v>
      </c>
      <c r="E691" s="919"/>
      <c r="F691" s="1053">
        <f t="shared" si="97"/>
        <v>0</v>
      </c>
      <c r="G691" s="919"/>
      <c r="H691" s="914">
        <f t="shared" si="98"/>
        <v>0</v>
      </c>
      <c r="I691" s="919"/>
      <c r="J691" s="914">
        <f t="shared" si="99"/>
        <v>0</v>
      </c>
      <c r="K691" s="919"/>
      <c r="L691" s="914">
        <f t="shared" si="100"/>
        <v>0</v>
      </c>
      <c r="M691" s="919"/>
      <c r="N691" s="914">
        <f t="shared" si="92"/>
        <v>0</v>
      </c>
      <c r="O691" s="914"/>
      <c r="P691" s="914">
        <f t="shared" si="93"/>
        <v>0</v>
      </c>
      <c r="Q691" s="914"/>
      <c r="R691" s="914">
        <f t="shared" si="96"/>
        <v>0</v>
      </c>
      <c r="S691" s="915">
        <f t="shared" si="94"/>
        <v>0</v>
      </c>
      <c r="T691" s="911">
        <f t="shared" si="95"/>
        <v>0</v>
      </c>
      <c r="U691" s="1172"/>
      <c r="V691" s="1172"/>
      <c r="W691" s="1172"/>
      <c r="X691" s="1172"/>
      <c r="Y691" s="1172"/>
      <c r="Z691" s="1172"/>
      <c r="AA691" s="1172"/>
      <c r="AB691" s="1172"/>
      <c r="AC691" s="1172"/>
      <c r="AD691" s="1172"/>
      <c r="AE691" s="1172"/>
      <c r="AF691" s="1172"/>
      <c r="AG691" s="1172"/>
      <c r="AH691" s="1172"/>
      <c r="AI691" s="1172"/>
      <c r="AJ691" s="1172"/>
      <c r="AK691" s="1172"/>
      <c r="AL691" s="1172"/>
      <c r="AM691" s="1172"/>
      <c r="AN691" s="1172"/>
      <c r="AO691" s="1172"/>
      <c r="AP691" s="1172"/>
      <c r="AQ691" s="1172"/>
      <c r="AR691" s="1172"/>
      <c r="AS691" s="1172"/>
      <c r="AT691" s="1172"/>
      <c r="AU691" s="1172"/>
      <c r="AV691" s="1172"/>
      <c r="AW691" s="1172"/>
      <c r="AX691" s="1172"/>
      <c r="AY691" s="1172"/>
      <c r="AZ691" s="1172"/>
      <c r="BA691" s="1172"/>
      <c r="BB691" s="1172"/>
      <c r="BC691" s="1172"/>
      <c r="BD691" s="1172"/>
      <c r="BE691" s="1172"/>
      <c r="BF691" s="1172"/>
      <c r="BG691" s="1172"/>
      <c r="BH691" s="1172"/>
      <c r="BI691" s="1172"/>
      <c r="BJ691" s="1172"/>
      <c r="BK691" s="1172"/>
      <c r="BL691" s="1172"/>
      <c r="BM691" s="1172"/>
      <c r="BN691" s="1172"/>
      <c r="BO691" s="1172"/>
      <c r="BP691" s="1172"/>
      <c r="BQ691" s="1172"/>
      <c r="BR691" s="1172"/>
      <c r="BS691" s="1172"/>
      <c r="BT691" s="1172"/>
      <c r="BU691" s="1172"/>
      <c r="BV691" s="1172"/>
      <c r="BW691" s="1172"/>
      <c r="BX691" s="1172"/>
      <c r="BY691" s="1172"/>
      <c r="BZ691" s="1172"/>
      <c r="CA691" s="1172"/>
      <c r="CB691" s="1172"/>
      <c r="CC691" s="1172"/>
      <c r="CD691" s="1172"/>
      <c r="CE691" s="1172"/>
      <c r="CF691" s="1172"/>
      <c r="CG691" s="1172"/>
      <c r="CH691" s="1172"/>
      <c r="CI691" s="1172"/>
      <c r="CJ691" s="1172"/>
      <c r="CK691" s="1172"/>
      <c r="CL691" s="1172"/>
      <c r="CM691" s="1172"/>
      <c r="CN691" s="1172"/>
      <c r="CO691" s="1172"/>
      <c r="CP691" s="1172"/>
      <c r="CQ691" s="1172"/>
      <c r="CR691" s="1172"/>
      <c r="CS691" s="1172"/>
      <c r="CT691" s="1172"/>
      <c r="CU691" s="1172"/>
      <c r="CV691" s="1172"/>
      <c r="CW691" s="1172"/>
      <c r="CX691" s="1172"/>
      <c r="CY691" s="1172"/>
      <c r="CZ691" s="1172"/>
      <c r="DA691" s="1172"/>
      <c r="DB691" s="1172"/>
      <c r="DC691" s="1172"/>
      <c r="DD691" s="1172"/>
      <c r="DE691" s="1172"/>
      <c r="DF691" s="1172"/>
      <c r="DG691" s="1172"/>
      <c r="DH691" s="1172"/>
      <c r="DI691" s="1172"/>
      <c r="DJ691" s="1172"/>
    </row>
    <row r="692" spans="1:114" s="920" customFormat="1" ht="250.5" hidden="1" customHeight="1">
      <c r="A692" s="916"/>
      <c r="B692" s="917" t="s">
        <v>6660</v>
      </c>
      <c r="C692" s="918">
        <f>Elec.Data!K146</f>
        <v>869.5</v>
      </c>
      <c r="D692" s="978" t="s">
        <v>1393</v>
      </c>
      <c r="E692" s="919"/>
      <c r="F692" s="1053">
        <f t="shared" si="97"/>
        <v>0</v>
      </c>
      <c r="G692" s="919"/>
      <c r="H692" s="914">
        <f t="shared" si="98"/>
        <v>0</v>
      </c>
      <c r="I692" s="919"/>
      <c r="J692" s="914">
        <f t="shared" si="99"/>
        <v>0</v>
      </c>
      <c r="K692" s="919"/>
      <c r="L692" s="914">
        <f t="shared" si="100"/>
        <v>0</v>
      </c>
      <c r="M692" s="919"/>
      <c r="N692" s="914">
        <f t="shared" si="92"/>
        <v>0</v>
      </c>
      <c r="O692" s="914"/>
      <c r="P692" s="914">
        <f t="shared" si="93"/>
        <v>0</v>
      </c>
      <c r="Q692" s="914"/>
      <c r="R692" s="914">
        <f t="shared" si="96"/>
        <v>0</v>
      </c>
      <c r="S692" s="915">
        <f t="shared" si="94"/>
        <v>0</v>
      </c>
      <c r="T692" s="911">
        <f t="shared" si="95"/>
        <v>0</v>
      </c>
      <c r="U692" s="1172"/>
      <c r="V692" s="1172"/>
      <c r="W692" s="1172"/>
      <c r="X692" s="1172"/>
      <c r="Y692" s="1172"/>
      <c r="Z692" s="1172"/>
      <c r="AA692" s="1172"/>
      <c r="AB692" s="1172"/>
      <c r="AC692" s="1172"/>
      <c r="AD692" s="1172"/>
      <c r="AE692" s="1172"/>
      <c r="AF692" s="1172"/>
      <c r="AG692" s="1172"/>
      <c r="AH692" s="1172"/>
      <c r="AI692" s="1172"/>
      <c r="AJ692" s="1172"/>
      <c r="AK692" s="1172"/>
      <c r="AL692" s="1172"/>
      <c r="AM692" s="1172"/>
      <c r="AN692" s="1172"/>
      <c r="AO692" s="1172"/>
      <c r="AP692" s="1172"/>
      <c r="AQ692" s="1172"/>
      <c r="AR692" s="1172"/>
      <c r="AS692" s="1172"/>
      <c r="AT692" s="1172"/>
      <c r="AU692" s="1172"/>
      <c r="AV692" s="1172"/>
      <c r="AW692" s="1172"/>
      <c r="AX692" s="1172"/>
      <c r="AY692" s="1172"/>
      <c r="AZ692" s="1172"/>
      <c r="BA692" s="1172"/>
      <c r="BB692" s="1172"/>
      <c r="BC692" s="1172"/>
      <c r="BD692" s="1172"/>
      <c r="BE692" s="1172"/>
      <c r="BF692" s="1172"/>
      <c r="BG692" s="1172"/>
      <c r="BH692" s="1172"/>
      <c r="BI692" s="1172"/>
      <c r="BJ692" s="1172"/>
      <c r="BK692" s="1172"/>
      <c r="BL692" s="1172"/>
      <c r="BM692" s="1172"/>
      <c r="BN692" s="1172"/>
      <c r="BO692" s="1172"/>
      <c r="BP692" s="1172"/>
      <c r="BQ692" s="1172"/>
      <c r="BR692" s="1172"/>
      <c r="BS692" s="1172"/>
      <c r="BT692" s="1172"/>
      <c r="BU692" s="1172"/>
      <c r="BV692" s="1172"/>
      <c r="BW692" s="1172"/>
      <c r="BX692" s="1172"/>
      <c r="BY692" s="1172"/>
      <c r="BZ692" s="1172"/>
      <c r="CA692" s="1172"/>
      <c r="CB692" s="1172"/>
      <c r="CC692" s="1172"/>
      <c r="CD692" s="1172"/>
      <c r="CE692" s="1172"/>
      <c r="CF692" s="1172"/>
      <c r="CG692" s="1172"/>
      <c r="CH692" s="1172"/>
      <c r="CI692" s="1172"/>
      <c r="CJ692" s="1172"/>
      <c r="CK692" s="1172"/>
      <c r="CL692" s="1172"/>
      <c r="CM692" s="1172"/>
      <c r="CN692" s="1172"/>
      <c r="CO692" s="1172"/>
      <c r="CP692" s="1172"/>
      <c r="CQ692" s="1172"/>
      <c r="CR692" s="1172"/>
      <c r="CS692" s="1172"/>
      <c r="CT692" s="1172"/>
      <c r="CU692" s="1172"/>
      <c r="CV692" s="1172"/>
      <c r="CW692" s="1172"/>
      <c r="CX692" s="1172"/>
      <c r="CY692" s="1172"/>
      <c r="CZ692" s="1172"/>
      <c r="DA692" s="1172"/>
      <c r="DB692" s="1172"/>
      <c r="DC692" s="1172"/>
      <c r="DD692" s="1172"/>
      <c r="DE692" s="1172"/>
      <c r="DF692" s="1172"/>
      <c r="DG692" s="1172"/>
      <c r="DH692" s="1172"/>
      <c r="DI692" s="1172"/>
      <c r="DJ692" s="1172"/>
    </row>
    <row r="693" spans="1:114" s="920" customFormat="1" ht="250.5" hidden="1" customHeight="1">
      <c r="A693" s="916">
        <v>68.2</v>
      </c>
      <c r="B693" s="917" t="s">
        <v>6661</v>
      </c>
      <c r="C693" s="918">
        <f>Elec.Data!K134</f>
        <v>1174.4000000000001</v>
      </c>
      <c r="D693" s="978" t="s">
        <v>1393</v>
      </c>
      <c r="E693" s="919"/>
      <c r="F693" s="1053">
        <f t="shared" si="97"/>
        <v>0</v>
      </c>
      <c r="G693" s="919"/>
      <c r="H693" s="914">
        <f t="shared" si="98"/>
        <v>0</v>
      </c>
      <c r="I693" s="919"/>
      <c r="J693" s="914">
        <f t="shared" si="99"/>
        <v>0</v>
      </c>
      <c r="K693" s="919"/>
      <c r="L693" s="914">
        <f t="shared" si="100"/>
        <v>0</v>
      </c>
      <c r="M693" s="919"/>
      <c r="N693" s="914">
        <f t="shared" si="92"/>
        <v>0</v>
      </c>
      <c r="O693" s="914"/>
      <c r="P693" s="914">
        <f t="shared" si="93"/>
        <v>0</v>
      </c>
      <c r="Q693" s="914"/>
      <c r="R693" s="914">
        <f t="shared" si="96"/>
        <v>0</v>
      </c>
      <c r="S693" s="915">
        <f t="shared" si="94"/>
        <v>0</v>
      </c>
      <c r="T693" s="911">
        <f t="shared" si="95"/>
        <v>0</v>
      </c>
      <c r="U693" s="1172"/>
      <c r="V693" s="1172"/>
      <c r="W693" s="1172"/>
      <c r="X693" s="1172"/>
      <c r="Y693" s="1172"/>
      <c r="Z693" s="1172"/>
      <c r="AA693" s="1172"/>
      <c r="AB693" s="1172"/>
      <c r="AC693" s="1172"/>
      <c r="AD693" s="1172"/>
      <c r="AE693" s="1172"/>
      <c r="AF693" s="1172"/>
      <c r="AG693" s="1172"/>
      <c r="AH693" s="1172"/>
      <c r="AI693" s="1172"/>
      <c r="AJ693" s="1172"/>
      <c r="AK693" s="1172"/>
      <c r="AL693" s="1172"/>
      <c r="AM693" s="1172"/>
      <c r="AN693" s="1172"/>
      <c r="AO693" s="1172"/>
      <c r="AP693" s="1172"/>
      <c r="AQ693" s="1172"/>
      <c r="AR693" s="1172"/>
      <c r="AS693" s="1172"/>
      <c r="AT693" s="1172"/>
      <c r="AU693" s="1172"/>
      <c r="AV693" s="1172"/>
      <c r="AW693" s="1172"/>
      <c r="AX693" s="1172"/>
      <c r="AY693" s="1172"/>
      <c r="AZ693" s="1172"/>
      <c r="BA693" s="1172"/>
      <c r="BB693" s="1172"/>
      <c r="BC693" s="1172"/>
      <c r="BD693" s="1172"/>
      <c r="BE693" s="1172"/>
      <c r="BF693" s="1172"/>
      <c r="BG693" s="1172"/>
      <c r="BH693" s="1172"/>
      <c r="BI693" s="1172"/>
      <c r="BJ693" s="1172"/>
      <c r="BK693" s="1172"/>
      <c r="BL693" s="1172"/>
      <c r="BM693" s="1172"/>
      <c r="BN693" s="1172"/>
      <c r="BO693" s="1172"/>
      <c r="BP693" s="1172"/>
      <c r="BQ693" s="1172"/>
      <c r="BR693" s="1172"/>
      <c r="BS693" s="1172"/>
      <c r="BT693" s="1172"/>
      <c r="BU693" s="1172"/>
      <c r="BV693" s="1172"/>
      <c r="BW693" s="1172"/>
      <c r="BX693" s="1172"/>
      <c r="BY693" s="1172"/>
      <c r="BZ693" s="1172"/>
      <c r="CA693" s="1172"/>
      <c r="CB693" s="1172"/>
      <c r="CC693" s="1172"/>
      <c r="CD693" s="1172"/>
      <c r="CE693" s="1172"/>
      <c r="CF693" s="1172"/>
      <c r="CG693" s="1172"/>
      <c r="CH693" s="1172"/>
      <c r="CI693" s="1172"/>
      <c r="CJ693" s="1172"/>
      <c r="CK693" s="1172"/>
      <c r="CL693" s="1172"/>
      <c r="CM693" s="1172"/>
      <c r="CN693" s="1172"/>
      <c r="CO693" s="1172"/>
      <c r="CP693" s="1172"/>
      <c r="CQ693" s="1172"/>
      <c r="CR693" s="1172"/>
      <c r="CS693" s="1172"/>
      <c r="CT693" s="1172"/>
      <c r="CU693" s="1172"/>
      <c r="CV693" s="1172"/>
      <c r="CW693" s="1172"/>
      <c r="CX693" s="1172"/>
      <c r="CY693" s="1172"/>
      <c r="CZ693" s="1172"/>
      <c r="DA693" s="1172"/>
      <c r="DB693" s="1172"/>
      <c r="DC693" s="1172"/>
      <c r="DD693" s="1172"/>
      <c r="DE693" s="1172"/>
      <c r="DF693" s="1172"/>
      <c r="DG693" s="1172"/>
      <c r="DH693" s="1172"/>
      <c r="DI693" s="1172"/>
      <c r="DJ693" s="1172"/>
    </row>
    <row r="694" spans="1:114" ht="250.5" customHeight="1">
      <c r="A694" s="905">
        <v>70.5</v>
      </c>
      <c r="B694" s="906" t="s">
        <v>4725</v>
      </c>
      <c r="C694" s="913">
        <f>Elec.Data!K157</f>
        <v>150</v>
      </c>
      <c r="D694" s="972" t="s">
        <v>1393</v>
      </c>
      <c r="E694" s="919"/>
      <c r="F694" s="1053">
        <f t="shared" si="97"/>
        <v>0</v>
      </c>
      <c r="G694" s="919"/>
      <c r="H694" s="914">
        <f t="shared" si="98"/>
        <v>0</v>
      </c>
      <c r="I694" s="919"/>
      <c r="J694" s="914">
        <f t="shared" si="99"/>
        <v>0</v>
      </c>
      <c r="K694" s="919"/>
      <c r="L694" s="914">
        <f t="shared" si="100"/>
        <v>0</v>
      </c>
      <c r="M694" s="919"/>
      <c r="N694" s="914">
        <f t="shared" si="92"/>
        <v>0</v>
      </c>
      <c r="O694" s="914"/>
      <c r="P694" s="914">
        <f t="shared" si="93"/>
        <v>0</v>
      </c>
      <c r="Q694" s="914"/>
      <c r="R694" s="914">
        <f t="shared" si="96"/>
        <v>0</v>
      </c>
      <c r="S694" s="915">
        <f t="shared" si="94"/>
        <v>0</v>
      </c>
      <c r="T694" s="911">
        <f t="shared" si="95"/>
        <v>0</v>
      </c>
    </row>
    <row r="695" spans="1:114" ht="250.5" customHeight="1">
      <c r="A695" s="943"/>
      <c r="B695" s="906" t="s">
        <v>6662</v>
      </c>
      <c r="C695" s="913">
        <f>'Print Data'!F2026</f>
        <v>1552.7</v>
      </c>
      <c r="D695" s="972" t="s">
        <v>1393</v>
      </c>
      <c r="E695" s="914">
        <f>DSP!H2090</f>
        <v>25</v>
      </c>
      <c r="F695" s="1053">
        <f t="shared" si="97"/>
        <v>38817.5</v>
      </c>
      <c r="G695" s="914"/>
      <c r="H695" s="914">
        <f t="shared" si="98"/>
        <v>0</v>
      </c>
      <c r="I695" s="914"/>
      <c r="J695" s="914">
        <f t="shared" si="99"/>
        <v>0</v>
      </c>
      <c r="K695" s="914"/>
      <c r="L695" s="914">
        <f t="shared" si="100"/>
        <v>0</v>
      </c>
      <c r="M695" s="914"/>
      <c r="N695" s="914">
        <f t="shared" si="92"/>
        <v>0</v>
      </c>
      <c r="O695" s="914"/>
      <c r="P695" s="914">
        <f t="shared" si="93"/>
        <v>0</v>
      </c>
      <c r="Q695" s="914"/>
      <c r="R695" s="914">
        <f t="shared" si="96"/>
        <v>0</v>
      </c>
      <c r="S695" s="915">
        <f t="shared" si="94"/>
        <v>25</v>
      </c>
      <c r="T695" s="911">
        <f t="shared" si="95"/>
        <v>38817.5</v>
      </c>
    </row>
    <row r="696" spans="1:114" ht="250.5" customHeight="1">
      <c r="A696" s="943"/>
      <c r="B696" s="906" t="s">
        <v>3508</v>
      </c>
      <c r="C696" s="913">
        <f>DATA!K2283</f>
        <v>272.89999999999998</v>
      </c>
      <c r="D696" s="976" t="s">
        <v>823</v>
      </c>
      <c r="E696" s="914">
        <f>DSP!H2168</f>
        <v>149</v>
      </c>
      <c r="F696" s="1053">
        <f t="shared" si="97"/>
        <v>40662.1</v>
      </c>
      <c r="G696" s="914"/>
      <c r="H696" s="914">
        <f t="shared" si="98"/>
        <v>0</v>
      </c>
      <c r="I696" s="914"/>
      <c r="J696" s="914">
        <f t="shared" si="99"/>
        <v>0</v>
      </c>
      <c r="K696" s="914"/>
      <c r="L696" s="914">
        <f t="shared" si="100"/>
        <v>0</v>
      </c>
      <c r="M696" s="914"/>
      <c r="N696" s="914">
        <f t="shared" ref="N696:N756" si="101">M696*C696</f>
        <v>0</v>
      </c>
      <c r="O696" s="914"/>
      <c r="P696" s="914">
        <f t="shared" si="93"/>
        <v>0</v>
      </c>
      <c r="Q696" s="914"/>
      <c r="R696" s="914">
        <f t="shared" si="96"/>
        <v>0</v>
      </c>
      <c r="S696" s="915">
        <f t="shared" si="94"/>
        <v>149</v>
      </c>
      <c r="T696" s="911">
        <f t="shared" si="95"/>
        <v>40662.1</v>
      </c>
    </row>
    <row r="697" spans="1:114" ht="250.5" customHeight="1">
      <c r="A697" s="905">
        <v>77.5</v>
      </c>
      <c r="B697" s="906" t="s">
        <v>3509</v>
      </c>
      <c r="C697" s="913">
        <f>ROUND(DATA!K2282,2)</f>
        <v>214.9</v>
      </c>
      <c r="D697" s="976" t="s">
        <v>823</v>
      </c>
      <c r="E697" s="914"/>
      <c r="F697" s="1053">
        <f t="shared" si="97"/>
        <v>0</v>
      </c>
      <c r="G697" s="914"/>
      <c r="H697" s="914">
        <f t="shared" si="98"/>
        <v>0</v>
      </c>
      <c r="I697" s="914"/>
      <c r="J697" s="914">
        <f t="shared" si="99"/>
        <v>0</v>
      </c>
      <c r="K697" s="914"/>
      <c r="L697" s="914">
        <f t="shared" si="100"/>
        <v>0</v>
      </c>
      <c r="M697" s="914"/>
      <c r="N697" s="914">
        <f t="shared" si="101"/>
        <v>0</v>
      </c>
      <c r="O697" s="914"/>
      <c r="P697" s="914">
        <f t="shared" si="93"/>
        <v>0</v>
      </c>
      <c r="Q697" s="914"/>
      <c r="R697" s="914">
        <f t="shared" si="96"/>
        <v>0</v>
      </c>
      <c r="S697" s="915">
        <f t="shared" si="94"/>
        <v>0</v>
      </c>
      <c r="T697" s="911">
        <f t="shared" si="95"/>
        <v>0</v>
      </c>
    </row>
    <row r="698" spans="1:114" ht="250.5" customHeight="1">
      <c r="A698" s="905"/>
      <c r="B698" s="906" t="s">
        <v>3556</v>
      </c>
      <c r="C698" s="921">
        <f>C1055</f>
        <v>232.9</v>
      </c>
      <c r="D698" s="979" t="s">
        <v>823</v>
      </c>
      <c r="E698" s="914">
        <f>DSP!H2160</f>
        <v>210.5</v>
      </c>
      <c r="F698" s="1053">
        <f t="shared" si="97"/>
        <v>49025.45</v>
      </c>
      <c r="G698" s="914"/>
      <c r="H698" s="914">
        <f t="shared" si="98"/>
        <v>0</v>
      </c>
      <c r="I698" s="914"/>
      <c r="J698" s="914">
        <f t="shared" si="99"/>
        <v>0</v>
      </c>
      <c r="K698" s="914"/>
      <c r="L698" s="914">
        <f t="shared" si="100"/>
        <v>0</v>
      </c>
      <c r="M698" s="914"/>
      <c r="N698" s="914">
        <f t="shared" si="101"/>
        <v>0</v>
      </c>
      <c r="O698" s="914"/>
      <c r="P698" s="914">
        <f t="shared" si="93"/>
        <v>0</v>
      </c>
      <c r="Q698" s="914"/>
      <c r="R698" s="914">
        <f t="shared" si="96"/>
        <v>0</v>
      </c>
      <c r="S698" s="915">
        <f t="shared" si="94"/>
        <v>210.5</v>
      </c>
      <c r="T698" s="911">
        <f t="shared" si="95"/>
        <v>49025.45</v>
      </c>
    </row>
    <row r="699" spans="1:114" ht="250.5" customHeight="1">
      <c r="A699" s="905"/>
      <c r="B699" s="906" t="s">
        <v>6663</v>
      </c>
      <c r="C699" s="921">
        <f>Elec.Data!K707</f>
        <v>275.3</v>
      </c>
      <c r="D699" s="976" t="s">
        <v>823</v>
      </c>
      <c r="E699" s="914">
        <f>DSP!H2303</f>
        <v>60</v>
      </c>
      <c r="F699" s="1053">
        <f t="shared" si="97"/>
        <v>16518</v>
      </c>
      <c r="G699" s="914"/>
      <c r="H699" s="914">
        <f t="shared" si="98"/>
        <v>0</v>
      </c>
      <c r="I699" s="914"/>
      <c r="J699" s="914">
        <f t="shared" si="99"/>
        <v>0</v>
      </c>
      <c r="K699" s="914"/>
      <c r="L699" s="914">
        <f t="shared" si="100"/>
        <v>0</v>
      </c>
      <c r="M699" s="914"/>
      <c r="N699" s="914">
        <f t="shared" si="101"/>
        <v>0</v>
      </c>
      <c r="O699" s="914"/>
      <c r="P699" s="914">
        <f t="shared" si="93"/>
        <v>0</v>
      </c>
      <c r="Q699" s="914"/>
      <c r="R699" s="914">
        <f t="shared" si="96"/>
        <v>0</v>
      </c>
      <c r="S699" s="915">
        <f t="shared" si="94"/>
        <v>60</v>
      </c>
      <c r="T699" s="911">
        <f t="shared" si="95"/>
        <v>16518</v>
      </c>
    </row>
    <row r="700" spans="1:114" ht="250.5" hidden="1" customHeight="1">
      <c r="A700" s="905"/>
      <c r="B700" s="980" t="s">
        <v>3639</v>
      </c>
      <c r="C700" s="921">
        <f>Elec.Data!R288</f>
        <v>501.08</v>
      </c>
      <c r="D700" s="979" t="s">
        <v>823</v>
      </c>
      <c r="E700" s="914"/>
      <c r="F700" s="1053">
        <f t="shared" si="97"/>
        <v>0</v>
      </c>
      <c r="G700" s="914"/>
      <c r="H700" s="914">
        <f t="shared" si="98"/>
        <v>0</v>
      </c>
      <c r="I700" s="914"/>
      <c r="J700" s="914">
        <f t="shared" si="99"/>
        <v>0</v>
      </c>
      <c r="K700" s="914"/>
      <c r="L700" s="914">
        <f t="shared" si="100"/>
        <v>0</v>
      </c>
      <c r="M700" s="914"/>
      <c r="N700" s="914">
        <f t="shared" si="101"/>
        <v>0</v>
      </c>
      <c r="O700" s="914"/>
      <c r="P700" s="914">
        <f t="shared" si="93"/>
        <v>0</v>
      </c>
      <c r="Q700" s="914"/>
      <c r="R700" s="914">
        <f t="shared" si="96"/>
        <v>0</v>
      </c>
      <c r="S700" s="915">
        <f t="shared" si="94"/>
        <v>0</v>
      </c>
      <c r="T700" s="911">
        <f t="shared" si="95"/>
        <v>0</v>
      </c>
    </row>
    <row r="701" spans="1:114" ht="250.5" hidden="1" customHeight="1">
      <c r="A701" s="905"/>
      <c r="B701" s="980" t="s">
        <v>3640</v>
      </c>
      <c r="C701" s="921">
        <f>Elec.Data!R302</f>
        <v>642.77</v>
      </c>
      <c r="D701" s="979" t="s">
        <v>823</v>
      </c>
      <c r="E701" s="919"/>
      <c r="F701" s="1053">
        <f t="shared" si="97"/>
        <v>0</v>
      </c>
      <c r="G701" s="919"/>
      <c r="H701" s="914">
        <f t="shared" si="98"/>
        <v>0</v>
      </c>
      <c r="I701" s="919"/>
      <c r="J701" s="914">
        <f t="shared" si="99"/>
        <v>0</v>
      </c>
      <c r="K701" s="919"/>
      <c r="L701" s="914">
        <f t="shared" si="100"/>
        <v>0</v>
      </c>
      <c r="M701" s="919"/>
      <c r="N701" s="914">
        <f t="shared" si="101"/>
        <v>0</v>
      </c>
      <c r="O701" s="914"/>
      <c r="P701" s="914">
        <f t="shared" si="93"/>
        <v>0</v>
      </c>
      <c r="Q701" s="914"/>
      <c r="R701" s="914">
        <f t="shared" si="96"/>
        <v>0</v>
      </c>
      <c r="S701" s="915">
        <f t="shared" si="94"/>
        <v>0</v>
      </c>
      <c r="T701" s="911">
        <f t="shared" si="95"/>
        <v>0</v>
      </c>
    </row>
    <row r="702" spans="1:114" s="920" customFormat="1" ht="250.5" customHeight="1">
      <c r="A702" s="916">
        <v>112.1</v>
      </c>
      <c r="B702" s="917" t="s">
        <v>6966</v>
      </c>
      <c r="C702" s="918">
        <f>DATA!K3018</f>
        <v>2176.4</v>
      </c>
      <c r="D702" s="978" t="s">
        <v>1393</v>
      </c>
      <c r="E702" s="919">
        <f>DSP!H2186</f>
        <v>1</v>
      </c>
      <c r="F702" s="1053">
        <f t="shared" si="97"/>
        <v>2176.4</v>
      </c>
      <c r="G702" s="919"/>
      <c r="H702" s="914">
        <f t="shared" si="98"/>
        <v>0</v>
      </c>
      <c r="I702" s="919"/>
      <c r="J702" s="914">
        <f t="shared" si="99"/>
        <v>0</v>
      </c>
      <c r="K702" s="919"/>
      <c r="L702" s="914">
        <f t="shared" si="100"/>
        <v>0</v>
      </c>
      <c r="M702" s="919"/>
      <c r="N702" s="914">
        <f t="shared" si="101"/>
        <v>0</v>
      </c>
      <c r="O702" s="914"/>
      <c r="P702" s="914">
        <f t="shared" si="93"/>
        <v>0</v>
      </c>
      <c r="Q702" s="914"/>
      <c r="R702" s="914">
        <f t="shared" si="96"/>
        <v>0</v>
      </c>
      <c r="S702" s="915">
        <f t="shared" si="94"/>
        <v>1</v>
      </c>
      <c r="T702" s="911">
        <f t="shared" si="95"/>
        <v>2176.4</v>
      </c>
      <c r="U702" s="1172"/>
      <c r="V702" s="1172"/>
      <c r="W702" s="1172"/>
      <c r="X702" s="1172"/>
      <c r="Y702" s="1172"/>
      <c r="Z702" s="1172"/>
      <c r="AA702" s="1172"/>
      <c r="AB702" s="1172"/>
      <c r="AC702" s="1172"/>
      <c r="AD702" s="1172"/>
      <c r="AE702" s="1172"/>
      <c r="AF702" s="1172"/>
      <c r="AG702" s="1172"/>
      <c r="AH702" s="1172"/>
      <c r="AI702" s="1172"/>
      <c r="AJ702" s="1172"/>
      <c r="AK702" s="1172"/>
      <c r="AL702" s="1172"/>
      <c r="AM702" s="1172"/>
      <c r="AN702" s="1172"/>
      <c r="AO702" s="1172"/>
      <c r="AP702" s="1172"/>
      <c r="AQ702" s="1172"/>
      <c r="AR702" s="1172"/>
      <c r="AS702" s="1172"/>
      <c r="AT702" s="1172"/>
      <c r="AU702" s="1172"/>
      <c r="AV702" s="1172"/>
      <c r="AW702" s="1172"/>
      <c r="AX702" s="1172"/>
      <c r="AY702" s="1172"/>
      <c r="AZ702" s="1172"/>
      <c r="BA702" s="1172"/>
      <c r="BB702" s="1172"/>
      <c r="BC702" s="1172"/>
      <c r="BD702" s="1172"/>
      <c r="BE702" s="1172"/>
      <c r="BF702" s="1172"/>
      <c r="BG702" s="1172"/>
      <c r="BH702" s="1172"/>
      <c r="BI702" s="1172"/>
      <c r="BJ702" s="1172"/>
      <c r="BK702" s="1172"/>
      <c r="BL702" s="1172"/>
      <c r="BM702" s="1172"/>
      <c r="BN702" s="1172"/>
      <c r="BO702" s="1172"/>
      <c r="BP702" s="1172"/>
      <c r="BQ702" s="1172"/>
      <c r="BR702" s="1172"/>
      <c r="BS702" s="1172"/>
      <c r="BT702" s="1172"/>
      <c r="BU702" s="1172"/>
      <c r="BV702" s="1172"/>
      <c r="BW702" s="1172"/>
      <c r="BX702" s="1172"/>
      <c r="BY702" s="1172"/>
      <c r="BZ702" s="1172"/>
      <c r="CA702" s="1172"/>
      <c r="CB702" s="1172"/>
      <c r="CC702" s="1172"/>
      <c r="CD702" s="1172"/>
      <c r="CE702" s="1172"/>
      <c r="CF702" s="1172"/>
      <c r="CG702" s="1172"/>
      <c r="CH702" s="1172"/>
      <c r="CI702" s="1172"/>
      <c r="CJ702" s="1172"/>
      <c r="CK702" s="1172"/>
      <c r="CL702" s="1172"/>
      <c r="CM702" s="1172"/>
      <c r="CN702" s="1172"/>
      <c r="CO702" s="1172"/>
      <c r="CP702" s="1172"/>
      <c r="CQ702" s="1172"/>
      <c r="CR702" s="1172"/>
      <c r="CS702" s="1172"/>
      <c r="CT702" s="1172"/>
      <c r="CU702" s="1172"/>
      <c r="CV702" s="1172"/>
      <c r="CW702" s="1172"/>
      <c r="CX702" s="1172"/>
      <c r="CY702" s="1172"/>
      <c r="CZ702" s="1172"/>
      <c r="DA702" s="1172"/>
      <c r="DB702" s="1172"/>
      <c r="DC702" s="1172"/>
      <c r="DD702" s="1172"/>
      <c r="DE702" s="1172"/>
      <c r="DF702" s="1172"/>
      <c r="DG702" s="1172"/>
      <c r="DH702" s="1172"/>
      <c r="DI702" s="1172"/>
      <c r="DJ702" s="1172"/>
    </row>
    <row r="703" spans="1:114" ht="250.5" customHeight="1">
      <c r="A703" s="905">
        <v>44.2</v>
      </c>
      <c r="B703" s="924" t="s">
        <v>1896</v>
      </c>
      <c r="C703" s="913"/>
      <c r="D703" s="972"/>
      <c r="E703" s="911"/>
      <c r="F703" s="1053">
        <f t="shared" si="97"/>
        <v>0</v>
      </c>
      <c r="G703" s="914"/>
      <c r="H703" s="914">
        <f t="shared" si="98"/>
        <v>0</v>
      </c>
      <c r="I703" s="914"/>
      <c r="J703" s="914">
        <f t="shared" si="99"/>
        <v>0</v>
      </c>
      <c r="K703" s="914"/>
      <c r="L703" s="914">
        <f t="shared" si="100"/>
        <v>0</v>
      </c>
      <c r="M703" s="914"/>
      <c r="N703" s="914">
        <f t="shared" si="101"/>
        <v>0</v>
      </c>
      <c r="O703" s="914"/>
      <c r="P703" s="914">
        <f t="shared" si="93"/>
        <v>0</v>
      </c>
      <c r="Q703" s="914"/>
      <c r="R703" s="914">
        <f t="shared" si="96"/>
        <v>0</v>
      </c>
      <c r="S703" s="915">
        <f t="shared" si="94"/>
        <v>0</v>
      </c>
      <c r="T703" s="911">
        <f t="shared" si="95"/>
        <v>0</v>
      </c>
    </row>
    <row r="704" spans="1:114" ht="250.5" customHeight="1">
      <c r="A704" s="905"/>
      <c r="B704" s="906" t="s">
        <v>5035</v>
      </c>
      <c r="C704" s="913">
        <f>DATA!R2350</f>
        <v>2237.9</v>
      </c>
      <c r="D704" s="972" t="s">
        <v>1393</v>
      </c>
      <c r="E704" s="914">
        <f>DSP!H1929</f>
        <v>6</v>
      </c>
      <c r="F704" s="1053">
        <f t="shared" si="97"/>
        <v>13427.4</v>
      </c>
      <c r="G704" s="914"/>
      <c r="H704" s="914">
        <f t="shared" si="98"/>
        <v>0</v>
      </c>
      <c r="I704" s="914"/>
      <c r="J704" s="914">
        <f t="shared" si="99"/>
        <v>0</v>
      </c>
      <c r="K704" s="914"/>
      <c r="L704" s="914">
        <f t="shared" si="100"/>
        <v>0</v>
      </c>
      <c r="M704" s="914"/>
      <c r="N704" s="914">
        <f t="shared" si="101"/>
        <v>0</v>
      </c>
      <c r="O704" s="914"/>
      <c r="P704" s="914">
        <f t="shared" si="93"/>
        <v>0</v>
      </c>
      <c r="Q704" s="914"/>
      <c r="R704" s="914">
        <f t="shared" si="96"/>
        <v>0</v>
      </c>
      <c r="S704" s="915">
        <f t="shared" si="94"/>
        <v>6</v>
      </c>
      <c r="T704" s="911">
        <f t="shared" si="95"/>
        <v>13427.4</v>
      </c>
    </row>
    <row r="705" spans="1:114" ht="250.5" customHeight="1">
      <c r="A705" s="905"/>
      <c r="B705" s="906" t="s">
        <v>315</v>
      </c>
      <c r="C705" s="913">
        <f>DATA!R2357</f>
        <v>510.55</v>
      </c>
      <c r="D705" s="972" t="s">
        <v>823</v>
      </c>
      <c r="E705" s="914">
        <f>DSP!H1931</f>
        <v>18</v>
      </c>
      <c r="F705" s="1053">
        <f t="shared" si="97"/>
        <v>9189.9</v>
      </c>
      <c r="G705" s="914"/>
      <c r="H705" s="914">
        <f t="shared" si="98"/>
        <v>0</v>
      </c>
      <c r="I705" s="914"/>
      <c r="J705" s="914">
        <f t="shared" si="99"/>
        <v>0</v>
      </c>
      <c r="K705" s="914"/>
      <c r="L705" s="914">
        <f t="shared" si="100"/>
        <v>0</v>
      </c>
      <c r="M705" s="914"/>
      <c r="N705" s="914">
        <f t="shared" si="101"/>
        <v>0</v>
      </c>
      <c r="O705" s="914"/>
      <c r="P705" s="914">
        <f t="shared" si="93"/>
        <v>0</v>
      </c>
      <c r="Q705" s="914"/>
      <c r="R705" s="914">
        <f t="shared" si="96"/>
        <v>0</v>
      </c>
      <c r="S705" s="915">
        <f t="shared" si="94"/>
        <v>18</v>
      </c>
      <c r="T705" s="911">
        <f t="shared" si="95"/>
        <v>9189.9</v>
      </c>
    </row>
    <row r="706" spans="1:114" ht="250.5" customHeight="1">
      <c r="A706" s="905">
        <v>257.10000000000002</v>
      </c>
      <c r="B706" s="906" t="s">
        <v>1379</v>
      </c>
      <c r="C706" s="921">
        <f>ROUND(DATA!K2703,2)</f>
        <v>272.93</v>
      </c>
      <c r="D706" s="972" t="s">
        <v>823</v>
      </c>
      <c r="E706" s="919"/>
      <c r="F706" s="1053">
        <f t="shared" si="97"/>
        <v>0</v>
      </c>
      <c r="G706" s="919"/>
      <c r="H706" s="914">
        <f t="shared" si="98"/>
        <v>0</v>
      </c>
      <c r="I706" s="919"/>
      <c r="J706" s="914">
        <f t="shared" si="99"/>
        <v>0</v>
      </c>
      <c r="K706" s="919"/>
      <c r="L706" s="914">
        <f t="shared" si="100"/>
        <v>0</v>
      </c>
      <c r="M706" s="919"/>
      <c r="N706" s="914">
        <f t="shared" si="101"/>
        <v>0</v>
      </c>
      <c r="O706" s="914"/>
      <c r="P706" s="914">
        <f t="shared" si="93"/>
        <v>0</v>
      </c>
      <c r="Q706" s="914"/>
      <c r="R706" s="914">
        <f t="shared" si="96"/>
        <v>0</v>
      </c>
      <c r="S706" s="915">
        <f t="shared" si="94"/>
        <v>0</v>
      </c>
      <c r="T706" s="911">
        <f t="shared" si="95"/>
        <v>0</v>
      </c>
    </row>
    <row r="707" spans="1:114" ht="250.5" customHeight="1">
      <c r="A707" s="905">
        <v>344.2</v>
      </c>
      <c r="B707" s="906" t="s">
        <v>761</v>
      </c>
      <c r="C707" s="913">
        <f>ROUND(DATA!K3014,2)</f>
        <v>398.3</v>
      </c>
      <c r="D707" s="972" t="s">
        <v>1393</v>
      </c>
      <c r="E707" s="914">
        <f>DSP!H2310</f>
        <v>7</v>
      </c>
      <c r="F707" s="1053">
        <f t="shared" si="97"/>
        <v>2788.1</v>
      </c>
      <c r="G707" s="914"/>
      <c r="H707" s="914">
        <f t="shared" si="98"/>
        <v>0</v>
      </c>
      <c r="I707" s="914"/>
      <c r="J707" s="914">
        <f t="shared" si="99"/>
        <v>0</v>
      </c>
      <c r="K707" s="914"/>
      <c r="L707" s="914">
        <f t="shared" si="100"/>
        <v>0</v>
      </c>
      <c r="M707" s="914"/>
      <c r="N707" s="914">
        <f t="shared" si="101"/>
        <v>0</v>
      </c>
      <c r="O707" s="914"/>
      <c r="P707" s="914">
        <f t="shared" si="93"/>
        <v>0</v>
      </c>
      <c r="Q707" s="914"/>
      <c r="R707" s="914">
        <f t="shared" si="96"/>
        <v>0</v>
      </c>
      <c r="S707" s="915">
        <f t="shared" si="94"/>
        <v>7</v>
      </c>
      <c r="T707" s="911">
        <f t="shared" si="95"/>
        <v>2788.1</v>
      </c>
    </row>
    <row r="708" spans="1:114" s="920" customFormat="1" ht="250.5" customHeight="1">
      <c r="A708" s="975">
        <v>383</v>
      </c>
      <c r="B708" s="917" t="s">
        <v>6916</v>
      </c>
      <c r="C708" s="922">
        <v>7140</v>
      </c>
      <c r="D708" s="898" t="s">
        <v>1393</v>
      </c>
      <c r="E708" s="919">
        <f>DSP!H2255</f>
        <v>1</v>
      </c>
      <c r="F708" s="1053">
        <f t="shared" si="97"/>
        <v>7140</v>
      </c>
      <c r="G708" s="919"/>
      <c r="H708" s="914">
        <f t="shared" si="98"/>
        <v>0</v>
      </c>
      <c r="I708" s="919"/>
      <c r="J708" s="914">
        <f t="shared" si="99"/>
        <v>0</v>
      </c>
      <c r="K708" s="919"/>
      <c r="L708" s="914">
        <f t="shared" si="100"/>
        <v>0</v>
      </c>
      <c r="M708" s="919"/>
      <c r="N708" s="914">
        <f t="shared" si="101"/>
        <v>0</v>
      </c>
      <c r="O708" s="914"/>
      <c r="P708" s="914">
        <f t="shared" si="93"/>
        <v>0</v>
      </c>
      <c r="Q708" s="914"/>
      <c r="R708" s="914">
        <f t="shared" si="96"/>
        <v>0</v>
      </c>
      <c r="S708" s="915">
        <f t="shared" si="94"/>
        <v>1</v>
      </c>
      <c r="T708" s="911">
        <f t="shared" si="95"/>
        <v>7140</v>
      </c>
      <c r="U708" s="1172"/>
      <c r="V708" s="1172"/>
      <c r="W708" s="1172"/>
      <c r="X708" s="1172"/>
      <c r="Y708" s="1172"/>
      <c r="Z708" s="1172"/>
      <c r="AA708" s="1172"/>
      <c r="AB708" s="1172"/>
      <c r="AC708" s="1172"/>
      <c r="AD708" s="1172"/>
      <c r="AE708" s="1172"/>
      <c r="AF708" s="1172"/>
      <c r="AG708" s="1172"/>
      <c r="AH708" s="1172"/>
      <c r="AI708" s="1172"/>
      <c r="AJ708" s="1172"/>
      <c r="AK708" s="1172"/>
      <c r="AL708" s="1172"/>
      <c r="AM708" s="1172"/>
      <c r="AN708" s="1172"/>
      <c r="AO708" s="1172"/>
      <c r="AP708" s="1172"/>
      <c r="AQ708" s="1172"/>
      <c r="AR708" s="1172"/>
      <c r="AS708" s="1172"/>
      <c r="AT708" s="1172"/>
      <c r="AU708" s="1172"/>
      <c r="AV708" s="1172"/>
      <c r="AW708" s="1172"/>
      <c r="AX708" s="1172"/>
      <c r="AY708" s="1172"/>
      <c r="AZ708" s="1172"/>
      <c r="BA708" s="1172"/>
      <c r="BB708" s="1172"/>
      <c r="BC708" s="1172"/>
      <c r="BD708" s="1172"/>
      <c r="BE708" s="1172"/>
      <c r="BF708" s="1172"/>
      <c r="BG708" s="1172"/>
      <c r="BH708" s="1172"/>
      <c r="BI708" s="1172"/>
      <c r="BJ708" s="1172"/>
      <c r="BK708" s="1172"/>
      <c r="BL708" s="1172"/>
      <c r="BM708" s="1172"/>
      <c r="BN708" s="1172"/>
      <c r="BO708" s="1172"/>
      <c r="BP708" s="1172"/>
      <c r="BQ708" s="1172"/>
      <c r="BR708" s="1172"/>
      <c r="BS708" s="1172"/>
      <c r="BT708" s="1172"/>
      <c r="BU708" s="1172"/>
      <c r="BV708" s="1172"/>
      <c r="BW708" s="1172"/>
      <c r="BX708" s="1172"/>
      <c r="BY708" s="1172"/>
      <c r="BZ708" s="1172"/>
      <c r="CA708" s="1172"/>
      <c r="CB708" s="1172"/>
      <c r="CC708" s="1172"/>
      <c r="CD708" s="1172"/>
      <c r="CE708" s="1172"/>
      <c r="CF708" s="1172"/>
      <c r="CG708" s="1172"/>
      <c r="CH708" s="1172"/>
      <c r="CI708" s="1172"/>
      <c r="CJ708" s="1172"/>
      <c r="CK708" s="1172"/>
      <c r="CL708" s="1172"/>
      <c r="CM708" s="1172"/>
      <c r="CN708" s="1172"/>
      <c r="CO708" s="1172"/>
      <c r="CP708" s="1172"/>
      <c r="CQ708" s="1172"/>
      <c r="CR708" s="1172"/>
      <c r="CS708" s="1172"/>
      <c r="CT708" s="1172"/>
      <c r="CU708" s="1172"/>
      <c r="CV708" s="1172"/>
      <c r="CW708" s="1172"/>
      <c r="CX708" s="1172"/>
      <c r="CY708" s="1172"/>
      <c r="CZ708" s="1172"/>
      <c r="DA708" s="1172"/>
      <c r="DB708" s="1172"/>
      <c r="DC708" s="1172"/>
      <c r="DD708" s="1172"/>
      <c r="DE708" s="1172"/>
      <c r="DF708" s="1172"/>
      <c r="DG708" s="1172"/>
      <c r="DH708" s="1172"/>
      <c r="DI708" s="1172"/>
      <c r="DJ708" s="1172"/>
    </row>
    <row r="709" spans="1:114" ht="250.5" customHeight="1">
      <c r="A709" s="905">
        <v>383.1</v>
      </c>
      <c r="B709" s="906" t="s">
        <v>6535</v>
      </c>
      <c r="C709" s="913">
        <v>370.25</v>
      </c>
      <c r="D709" s="972" t="s">
        <v>823</v>
      </c>
      <c r="E709" s="919">
        <f>DSP!H2259</f>
        <v>6.2</v>
      </c>
      <c r="F709" s="1053">
        <f t="shared" si="97"/>
        <v>2295.5500000000002</v>
      </c>
      <c r="G709" s="919"/>
      <c r="H709" s="914">
        <f t="shared" si="98"/>
        <v>0</v>
      </c>
      <c r="I709" s="919"/>
      <c r="J709" s="914">
        <f t="shared" si="99"/>
        <v>0</v>
      </c>
      <c r="K709" s="919"/>
      <c r="L709" s="914">
        <f t="shared" si="100"/>
        <v>0</v>
      </c>
      <c r="M709" s="919"/>
      <c r="N709" s="914">
        <f t="shared" si="101"/>
        <v>0</v>
      </c>
      <c r="O709" s="914"/>
      <c r="P709" s="914">
        <f t="shared" si="93"/>
        <v>0</v>
      </c>
      <c r="Q709" s="914"/>
      <c r="R709" s="914">
        <f t="shared" si="96"/>
        <v>0</v>
      </c>
      <c r="S709" s="915">
        <f t="shared" si="94"/>
        <v>6.2</v>
      </c>
      <c r="T709" s="911">
        <f t="shared" si="95"/>
        <v>2295.5500000000002</v>
      </c>
    </row>
    <row r="710" spans="1:114" ht="250.5" hidden="1" customHeight="1">
      <c r="A710" s="905"/>
      <c r="B710" s="906" t="s">
        <v>3579</v>
      </c>
      <c r="C710" s="921">
        <f>DATA!R1912</f>
        <v>304.19</v>
      </c>
      <c r="D710" s="972" t="s">
        <v>823</v>
      </c>
      <c r="E710" s="919"/>
      <c r="F710" s="1053">
        <f t="shared" si="97"/>
        <v>0</v>
      </c>
      <c r="G710" s="919"/>
      <c r="H710" s="914">
        <f t="shared" si="98"/>
        <v>0</v>
      </c>
      <c r="I710" s="919"/>
      <c r="J710" s="914">
        <f t="shared" si="99"/>
        <v>0</v>
      </c>
      <c r="K710" s="919"/>
      <c r="L710" s="914">
        <f t="shared" si="100"/>
        <v>0</v>
      </c>
      <c r="M710" s="919"/>
      <c r="N710" s="914">
        <f t="shared" si="101"/>
        <v>0</v>
      </c>
      <c r="O710" s="914"/>
      <c r="P710" s="914">
        <f t="shared" si="93"/>
        <v>0</v>
      </c>
      <c r="Q710" s="914"/>
      <c r="R710" s="914">
        <f t="shared" si="96"/>
        <v>0</v>
      </c>
      <c r="S710" s="915">
        <f t="shared" si="94"/>
        <v>0</v>
      </c>
      <c r="T710" s="911">
        <f t="shared" si="95"/>
        <v>0</v>
      </c>
    </row>
    <row r="711" spans="1:114" s="920" customFormat="1" ht="250.5" customHeight="1">
      <c r="A711" s="975">
        <v>384</v>
      </c>
      <c r="B711" s="917" t="s">
        <v>6536</v>
      </c>
      <c r="C711" s="922">
        <f>DATA!K3046</f>
        <v>1753.5</v>
      </c>
      <c r="D711" s="981" t="s">
        <v>1393</v>
      </c>
      <c r="E711" s="919">
        <f>DSP!H2262</f>
        <v>2</v>
      </c>
      <c r="F711" s="1053">
        <f t="shared" si="97"/>
        <v>3507</v>
      </c>
      <c r="G711" s="919"/>
      <c r="H711" s="914">
        <f t="shared" si="98"/>
        <v>0</v>
      </c>
      <c r="I711" s="919"/>
      <c r="J711" s="914">
        <f t="shared" si="99"/>
        <v>0</v>
      </c>
      <c r="K711" s="919"/>
      <c r="L711" s="914">
        <f t="shared" si="100"/>
        <v>0</v>
      </c>
      <c r="M711" s="919"/>
      <c r="N711" s="914">
        <f t="shared" si="101"/>
        <v>0</v>
      </c>
      <c r="O711" s="914"/>
      <c r="P711" s="914">
        <f t="shared" si="93"/>
        <v>0</v>
      </c>
      <c r="Q711" s="914"/>
      <c r="R711" s="914">
        <f t="shared" si="96"/>
        <v>0</v>
      </c>
      <c r="S711" s="915">
        <f t="shared" ref="S711:S774" si="102">G711+I711+K711+M711+E711+O711+Q711</f>
        <v>2</v>
      </c>
      <c r="T711" s="911">
        <f t="shared" ref="T711:T774" si="103">S711*C711</f>
        <v>3507</v>
      </c>
      <c r="U711" s="1172"/>
      <c r="V711" s="1172"/>
      <c r="W711" s="1172"/>
      <c r="X711" s="1172"/>
      <c r="Y711" s="1172"/>
      <c r="Z711" s="1172"/>
      <c r="AA711" s="1172"/>
      <c r="AB711" s="1172"/>
      <c r="AC711" s="1172"/>
      <c r="AD711" s="1172"/>
      <c r="AE711" s="1172"/>
      <c r="AF711" s="1172"/>
      <c r="AG711" s="1172"/>
      <c r="AH711" s="1172"/>
      <c r="AI711" s="1172"/>
      <c r="AJ711" s="1172"/>
      <c r="AK711" s="1172"/>
      <c r="AL711" s="1172"/>
      <c r="AM711" s="1172"/>
      <c r="AN711" s="1172"/>
      <c r="AO711" s="1172"/>
      <c r="AP711" s="1172"/>
      <c r="AQ711" s="1172"/>
      <c r="AR711" s="1172"/>
      <c r="AS711" s="1172"/>
      <c r="AT711" s="1172"/>
      <c r="AU711" s="1172"/>
      <c r="AV711" s="1172"/>
      <c r="AW711" s="1172"/>
      <c r="AX711" s="1172"/>
      <c r="AY711" s="1172"/>
      <c r="AZ711" s="1172"/>
      <c r="BA711" s="1172"/>
      <c r="BB711" s="1172"/>
      <c r="BC711" s="1172"/>
      <c r="BD711" s="1172"/>
      <c r="BE711" s="1172"/>
      <c r="BF711" s="1172"/>
      <c r="BG711" s="1172"/>
      <c r="BH711" s="1172"/>
      <c r="BI711" s="1172"/>
      <c r="BJ711" s="1172"/>
      <c r="BK711" s="1172"/>
      <c r="BL711" s="1172"/>
      <c r="BM711" s="1172"/>
      <c r="BN711" s="1172"/>
      <c r="BO711" s="1172"/>
      <c r="BP711" s="1172"/>
      <c r="BQ711" s="1172"/>
      <c r="BR711" s="1172"/>
      <c r="BS711" s="1172"/>
      <c r="BT711" s="1172"/>
      <c r="BU711" s="1172"/>
      <c r="BV711" s="1172"/>
      <c r="BW711" s="1172"/>
      <c r="BX711" s="1172"/>
      <c r="BY711" s="1172"/>
      <c r="BZ711" s="1172"/>
      <c r="CA711" s="1172"/>
      <c r="CB711" s="1172"/>
      <c r="CC711" s="1172"/>
      <c r="CD711" s="1172"/>
      <c r="CE711" s="1172"/>
      <c r="CF711" s="1172"/>
      <c r="CG711" s="1172"/>
      <c r="CH711" s="1172"/>
      <c r="CI711" s="1172"/>
      <c r="CJ711" s="1172"/>
      <c r="CK711" s="1172"/>
      <c r="CL711" s="1172"/>
      <c r="CM711" s="1172"/>
      <c r="CN711" s="1172"/>
      <c r="CO711" s="1172"/>
      <c r="CP711" s="1172"/>
      <c r="CQ711" s="1172"/>
      <c r="CR711" s="1172"/>
      <c r="CS711" s="1172"/>
      <c r="CT711" s="1172"/>
      <c r="CU711" s="1172"/>
      <c r="CV711" s="1172"/>
      <c r="CW711" s="1172"/>
      <c r="CX711" s="1172"/>
      <c r="CY711" s="1172"/>
      <c r="CZ711" s="1172"/>
      <c r="DA711" s="1172"/>
      <c r="DB711" s="1172"/>
      <c r="DC711" s="1172"/>
      <c r="DD711" s="1172"/>
      <c r="DE711" s="1172"/>
      <c r="DF711" s="1172"/>
      <c r="DG711" s="1172"/>
      <c r="DH711" s="1172"/>
      <c r="DI711" s="1172"/>
      <c r="DJ711" s="1172"/>
    </row>
    <row r="712" spans="1:114" ht="250.5" customHeight="1">
      <c r="A712" s="905">
        <v>238.1</v>
      </c>
      <c r="B712" s="906" t="s">
        <v>6664</v>
      </c>
      <c r="C712" s="921">
        <f>ROUND(DATA!K2778,2)</f>
        <v>2867.75</v>
      </c>
      <c r="D712" s="979" t="s">
        <v>525</v>
      </c>
      <c r="E712" s="1212">
        <f>DSP!H994</f>
        <v>2.5150000000000001</v>
      </c>
      <c r="F712" s="1053">
        <f t="shared" si="97"/>
        <v>7212.39</v>
      </c>
      <c r="G712" s="915"/>
      <c r="H712" s="914">
        <f t="shared" si="98"/>
        <v>0</v>
      </c>
      <c r="I712" s="914"/>
      <c r="J712" s="914">
        <f t="shared" si="99"/>
        <v>0</v>
      </c>
      <c r="K712" s="914"/>
      <c r="L712" s="914">
        <f t="shared" si="100"/>
        <v>0</v>
      </c>
      <c r="M712" s="915"/>
      <c r="N712" s="914">
        <f t="shared" si="101"/>
        <v>0</v>
      </c>
      <c r="O712" s="914"/>
      <c r="P712" s="914">
        <f t="shared" si="93"/>
        <v>0</v>
      </c>
      <c r="Q712" s="914"/>
      <c r="R712" s="914">
        <f t="shared" si="96"/>
        <v>0</v>
      </c>
      <c r="S712" s="915">
        <f t="shared" si="102"/>
        <v>2.5150000000000001</v>
      </c>
      <c r="T712" s="911">
        <f t="shared" si="103"/>
        <v>7212.39</v>
      </c>
    </row>
    <row r="713" spans="1:114" s="920" customFormat="1" ht="250.5" customHeight="1">
      <c r="A713" s="916">
        <v>71.2</v>
      </c>
      <c r="B713" s="917" t="s">
        <v>3505</v>
      </c>
      <c r="C713" s="922">
        <f>Elec.Data!K379</f>
        <v>2195.34</v>
      </c>
      <c r="D713" s="981" t="s">
        <v>1393</v>
      </c>
      <c r="E713" s="919"/>
      <c r="F713" s="1053">
        <f t="shared" ref="F713:F779" si="104">E713*C713</f>
        <v>0</v>
      </c>
      <c r="G713" s="919"/>
      <c r="H713" s="914">
        <f t="shared" ref="H713:H779" si="105">G713*C713</f>
        <v>0</v>
      </c>
      <c r="I713" s="919"/>
      <c r="J713" s="914">
        <f t="shared" ref="J713:J779" si="106">I713*C713</f>
        <v>0</v>
      </c>
      <c r="K713" s="919"/>
      <c r="L713" s="914">
        <f t="shared" ref="L713:L779" si="107">K713*C713</f>
        <v>0</v>
      </c>
      <c r="M713" s="919"/>
      <c r="N713" s="914">
        <f t="shared" si="101"/>
        <v>0</v>
      </c>
      <c r="O713" s="914"/>
      <c r="P713" s="914">
        <f t="shared" si="93"/>
        <v>0</v>
      </c>
      <c r="Q713" s="914"/>
      <c r="R713" s="914">
        <f t="shared" si="96"/>
        <v>0</v>
      </c>
      <c r="S713" s="915">
        <f t="shared" si="102"/>
        <v>0</v>
      </c>
      <c r="T713" s="911">
        <f t="shared" si="103"/>
        <v>0</v>
      </c>
      <c r="U713" s="1172"/>
      <c r="V713" s="1172"/>
      <c r="W713" s="1172"/>
      <c r="X713" s="1172"/>
      <c r="Y713" s="1172"/>
      <c r="Z713" s="1172"/>
      <c r="AA713" s="1172"/>
      <c r="AB713" s="1172"/>
      <c r="AC713" s="1172"/>
      <c r="AD713" s="1172"/>
      <c r="AE713" s="1172"/>
      <c r="AF713" s="1172"/>
      <c r="AG713" s="1172"/>
      <c r="AH713" s="1172"/>
      <c r="AI713" s="1172"/>
      <c r="AJ713" s="1172"/>
      <c r="AK713" s="1172"/>
      <c r="AL713" s="1172"/>
      <c r="AM713" s="1172"/>
      <c r="AN713" s="1172"/>
      <c r="AO713" s="1172"/>
      <c r="AP713" s="1172"/>
      <c r="AQ713" s="1172"/>
      <c r="AR713" s="1172"/>
      <c r="AS713" s="1172"/>
      <c r="AT713" s="1172"/>
      <c r="AU713" s="1172"/>
      <c r="AV713" s="1172"/>
      <c r="AW713" s="1172"/>
      <c r="AX713" s="1172"/>
      <c r="AY713" s="1172"/>
      <c r="AZ713" s="1172"/>
      <c r="BA713" s="1172"/>
      <c r="BB713" s="1172"/>
      <c r="BC713" s="1172"/>
      <c r="BD713" s="1172"/>
      <c r="BE713" s="1172"/>
      <c r="BF713" s="1172"/>
      <c r="BG713" s="1172"/>
      <c r="BH713" s="1172"/>
      <c r="BI713" s="1172"/>
      <c r="BJ713" s="1172"/>
      <c r="BK713" s="1172"/>
      <c r="BL713" s="1172"/>
      <c r="BM713" s="1172"/>
      <c r="BN713" s="1172"/>
      <c r="BO713" s="1172"/>
      <c r="BP713" s="1172"/>
      <c r="BQ713" s="1172"/>
      <c r="BR713" s="1172"/>
      <c r="BS713" s="1172"/>
      <c r="BT713" s="1172"/>
      <c r="BU713" s="1172"/>
      <c r="BV713" s="1172"/>
      <c r="BW713" s="1172"/>
      <c r="BX713" s="1172"/>
      <c r="BY713" s="1172"/>
      <c r="BZ713" s="1172"/>
      <c r="CA713" s="1172"/>
      <c r="CB713" s="1172"/>
      <c r="CC713" s="1172"/>
      <c r="CD713" s="1172"/>
      <c r="CE713" s="1172"/>
      <c r="CF713" s="1172"/>
      <c r="CG713" s="1172"/>
      <c r="CH713" s="1172"/>
      <c r="CI713" s="1172"/>
      <c r="CJ713" s="1172"/>
      <c r="CK713" s="1172"/>
      <c r="CL713" s="1172"/>
      <c r="CM713" s="1172"/>
      <c r="CN713" s="1172"/>
      <c r="CO713" s="1172"/>
      <c r="CP713" s="1172"/>
      <c r="CQ713" s="1172"/>
      <c r="CR713" s="1172"/>
      <c r="CS713" s="1172"/>
      <c r="CT713" s="1172"/>
      <c r="CU713" s="1172"/>
      <c r="CV713" s="1172"/>
      <c r="CW713" s="1172"/>
      <c r="CX713" s="1172"/>
      <c r="CY713" s="1172"/>
      <c r="CZ713" s="1172"/>
      <c r="DA713" s="1172"/>
      <c r="DB713" s="1172"/>
      <c r="DC713" s="1172"/>
      <c r="DD713" s="1172"/>
      <c r="DE713" s="1172"/>
      <c r="DF713" s="1172"/>
      <c r="DG713" s="1172"/>
      <c r="DH713" s="1172"/>
      <c r="DI713" s="1172"/>
      <c r="DJ713" s="1172"/>
    </row>
    <row r="714" spans="1:114" s="920" customFormat="1" ht="250.5" customHeight="1">
      <c r="A714" s="916">
        <v>80.099999999999994</v>
      </c>
      <c r="B714" s="917" t="s">
        <v>3798</v>
      </c>
      <c r="C714" s="922">
        <f>C1037</f>
        <v>1345.34</v>
      </c>
      <c r="D714" s="981" t="s">
        <v>1393</v>
      </c>
      <c r="E714" s="919">
        <f>DSP!H2295</f>
        <v>2</v>
      </c>
      <c r="F714" s="1053">
        <f t="shared" si="104"/>
        <v>2690.68</v>
      </c>
      <c r="G714" s="919"/>
      <c r="H714" s="914">
        <f t="shared" si="105"/>
        <v>0</v>
      </c>
      <c r="I714" s="919"/>
      <c r="J714" s="914">
        <f t="shared" si="106"/>
        <v>0</v>
      </c>
      <c r="K714" s="919"/>
      <c r="L714" s="914">
        <f t="shared" si="107"/>
        <v>0</v>
      </c>
      <c r="M714" s="919"/>
      <c r="N714" s="914">
        <f t="shared" si="101"/>
        <v>0</v>
      </c>
      <c r="O714" s="914"/>
      <c r="P714" s="914">
        <f t="shared" ref="P714:P778" si="108">O714*C714</f>
        <v>0</v>
      </c>
      <c r="Q714" s="914"/>
      <c r="R714" s="914">
        <f t="shared" si="96"/>
        <v>0</v>
      </c>
      <c r="S714" s="915">
        <f t="shared" si="102"/>
        <v>2</v>
      </c>
      <c r="T714" s="911">
        <f t="shared" si="103"/>
        <v>2690.68</v>
      </c>
      <c r="U714" s="1172"/>
      <c r="V714" s="1172"/>
      <c r="W714" s="1172"/>
      <c r="X714" s="1172"/>
      <c r="Y714" s="1172"/>
      <c r="Z714" s="1172"/>
      <c r="AA714" s="1172"/>
      <c r="AB714" s="1172"/>
      <c r="AC714" s="1172"/>
      <c r="AD714" s="1172"/>
      <c r="AE714" s="1172"/>
      <c r="AF714" s="1172"/>
      <c r="AG714" s="1172"/>
      <c r="AH714" s="1172"/>
      <c r="AI714" s="1172"/>
      <c r="AJ714" s="1172"/>
      <c r="AK714" s="1172"/>
      <c r="AL714" s="1172"/>
      <c r="AM714" s="1172"/>
      <c r="AN714" s="1172"/>
      <c r="AO714" s="1172"/>
      <c r="AP714" s="1172"/>
      <c r="AQ714" s="1172"/>
      <c r="AR714" s="1172"/>
      <c r="AS714" s="1172"/>
      <c r="AT714" s="1172"/>
      <c r="AU714" s="1172"/>
      <c r="AV714" s="1172"/>
      <c r="AW714" s="1172"/>
      <c r="AX714" s="1172"/>
      <c r="AY714" s="1172"/>
      <c r="AZ714" s="1172"/>
      <c r="BA714" s="1172"/>
      <c r="BB714" s="1172"/>
      <c r="BC714" s="1172"/>
      <c r="BD714" s="1172"/>
      <c r="BE714" s="1172"/>
      <c r="BF714" s="1172"/>
      <c r="BG714" s="1172"/>
      <c r="BH714" s="1172"/>
      <c r="BI714" s="1172"/>
      <c r="BJ714" s="1172"/>
      <c r="BK714" s="1172"/>
      <c r="BL714" s="1172"/>
      <c r="BM714" s="1172"/>
      <c r="BN714" s="1172"/>
      <c r="BO714" s="1172"/>
      <c r="BP714" s="1172"/>
      <c r="BQ714" s="1172"/>
      <c r="BR714" s="1172"/>
      <c r="BS714" s="1172"/>
      <c r="BT714" s="1172"/>
      <c r="BU714" s="1172"/>
      <c r="BV714" s="1172"/>
      <c r="BW714" s="1172"/>
      <c r="BX714" s="1172"/>
      <c r="BY714" s="1172"/>
      <c r="BZ714" s="1172"/>
      <c r="CA714" s="1172"/>
      <c r="CB714" s="1172"/>
      <c r="CC714" s="1172"/>
      <c r="CD714" s="1172"/>
      <c r="CE714" s="1172"/>
      <c r="CF714" s="1172"/>
      <c r="CG714" s="1172"/>
      <c r="CH714" s="1172"/>
      <c r="CI714" s="1172"/>
      <c r="CJ714" s="1172"/>
      <c r="CK714" s="1172"/>
      <c r="CL714" s="1172"/>
      <c r="CM714" s="1172"/>
      <c r="CN714" s="1172"/>
      <c r="CO714" s="1172"/>
      <c r="CP714" s="1172"/>
      <c r="CQ714" s="1172"/>
      <c r="CR714" s="1172"/>
      <c r="CS714" s="1172"/>
      <c r="CT714" s="1172"/>
      <c r="CU714" s="1172"/>
      <c r="CV714" s="1172"/>
      <c r="CW714" s="1172"/>
      <c r="CX714" s="1172"/>
      <c r="CY714" s="1172"/>
      <c r="CZ714" s="1172"/>
      <c r="DA714" s="1172"/>
      <c r="DB714" s="1172"/>
      <c r="DC714" s="1172"/>
      <c r="DD714" s="1172"/>
      <c r="DE714" s="1172"/>
      <c r="DF714" s="1172"/>
      <c r="DG714" s="1172"/>
      <c r="DH714" s="1172"/>
      <c r="DI714" s="1172"/>
      <c r="DJ714" s="1172"/>
    </row>
    <row r="715" spans="1:114" ht="250.5" hidden="1" customHeight="1">
      <c r="A715" s="905"/>
      <c r="B715" s="906" t="s">
        <v>3511</v>
      </c>
      <c r="C715" s="921">
        <f>Elec.Data!K587</f>
        <v>852.12</v>
      </c>
      <c r="D715" s="979" t="s">
        <v>1393</v>
      </c>
      <c r="E715" s="914"/>
      <c r="F715" s="1053">
        <f t="shared" si="104"/>
        <v>0</v>
      </c>
      <c r="G715" s="914"/>
      <c r="H715" s="914">
        <f t="shared" si="105"/>
        <v>0</v>
      </c>
      <c r="I715" s="914"/>
      <c r="J715" s="914">
        <f t="shared" si="106"/>
        <v>0</v>
      </c>
      <c r="K715" s="914"/>
      <c r="L715" s="914">
        <f t="shared" si="107"/>
        <v>0</v>
      </c>
      <c r="M715" s="914"/>
      <c r="N715" s="914">
        <f t="shared" si="101"/>
        <v>0</v>
      </c>
      <c r="O715" s="914"/>
      <c r="P715" s="914">
        <f t="shared" si="108"/>
        <v>0</v>
      </c>
      <c r="Q715" s="914"/>
      <c r="R715" s="914">
        <f t="shared" ref="R715:R779" si="109">Q715*C715</f>
        <v>0</v>
      </c>
      <c r="S715" s="915">
        <f t="shared" si="102"/>
        <v>0</v>
      </c>
      <c r="T715" s="911">
        <f t="shared" si="103"/>
        <v>0</v>
      </c>
    </row>
    <row r="716" spans="1:114" ht="250.5" hidden="1" customHeight="1">
      <c r="A716" s="905"/>
      <c r="B716" s="906" t="s">
        <v>3795</v>
      </c>
      <c r="C716" s="921">
        <f>Elec.Data!K568</f>
        <v>573</v>
      </c>
      <c r="D716" s="979" t="s">
        <v>1393</v>
      </c>
      <c r="E716" s="919"/>
      <c r="F716" s="1053">
        <f t="shared" si="104"/>
        <v>0</v>
      </c>
      <c r="G716" s="919"/>
      <c r="H716" s="914">
        <f t="shared" si="105"/>
        <v>0</v>
      </c>
      <c r="I716" s="919"/>
      <c r="J716" s="914">
        <f t="shared" si="106"/>
        <v>0</v>
      </c>
      <c r="K716" s="919"/>
      <c r="L716" s="914">
        <f t="shared" si="107"/>
        <v>0</v>
      </c>
      <c r="M716" s="919"/>
      <c r="N716" s="914">
        <f t="shared" si="101"/>
        <v>0</v>
      </c>
      <c r="O716" s="914"/>
      <c r="P716" s="914">
        <f t="shared" si="108"/>
        <v>0</v>
      </c>
      <c r="Q716" s="914"/>
      <c r="R716" s="914">
        <f t="shared" si="109"/>
        <v>0</v>
      </c>
      <c r="S716" s="915">
        <f t="shared" si="102"/>
        <v>0</v>
      </c>
      <c r="T716" s="911">
        <f t="shared" si="103"/>
        <v>0</v>
      </c>
    </row>
    <row r="717" spans="1:114" ht="250.5" customHeight="1">
      <c r="A717" s="905">
        <v>87.1</v>
      </c>
      <c r="B717" s="906" t="str">
        <f>B1071</f>
        <v>Supplying and delivery of Three phase ELCB/RCCB</v>
      </c>
      <c r="C717" s="921">
        <f>Elec.Data!K636</f>
        <v>3091.3</v>
      </c>
      <c r="D717" s="979" t="s">
        <v>1393</v>
      </c>
      <c r="E717" s="914"/>
      <c r="F717" s="1053">
        <f t="shared" si="104"/>
        <v>0</v>
      </c>
      <c r="G717" s="914"/>
      <c r="H717" s="914">
        <f t="shared" si="105"/>
        <v>0</v>
      </c>
      <c r="I717" s="914"/>
      <c r="J717" s="914">
        <f t="shared" si="106"/>
        <v>0</v>
      </c>
      <c r="K717" s="914"/>
      <c r="L717" s="914">
        <f t="shared" si="107"/>
        <v>0</v>
      </c>
      <c r="M717" s="914"/>
      <c r="N717" s="914">
        <f t="shared" si="101"/>
        <v>0</v>
      </c>
      <c r="O717" s="914"/>
      <c r="P717" s="914">
        <f t="shared" si="108"/>
        <v>0</v>
      </c>
      <c r="Q717" s="914"/>
      <c r="R717" s="914">
        <f t="shared" si="109"/>
        <v>0</v>
      </c>
      <c r="S717" s="915">
        <f t="shared" si="102"/>
        <v>0</v>
      </c>
      <c r="T717" s="911">
        <f t="shared" si="103"/>
        <v>0</v>
      </c>
    </row>
    <row r="718" spans="1:114" ht="220.5" customHeight="1">
      <c r="A718" s="905"/>
      <c r="B718" s="906" t="s">
        <v>3799</v>
      </c>
      <c r="C718" s="921">
        <f>C1074</f>
        <v>165</v>
      </c>
      <c r="D718" s="979" t="s">
        <v>823</v>
      </c>
      <c r="E718" s="914">
        <f>DSP!H2297</f>
        <v>6</v>
      </c>
      <c r="F718" s="1053">
        <f t="shared" si="104"/>
        <v>990</v>
      </c>
      <c r="G718" s="914"/>
      <c r="H718" s="914">
        <f t="shared" si="105"/>
        <v>0</v>
      </c>
      <c r="I718" s="914"/>
      <c r="J718" s="914">
        <f t="shared" si="106"/>
        <v>0</v>
      </c>
      <c r="K718" s="914"/>
      <c r="L718" s="914">
        <f t="shared" si="107"/>
        <v>0</v>
      </c>
      <c r="M718" s="914"/>
      <c r="N718" s="914">
        <f t="shared" si="101"/>
        <v>0</v>
      </c>
      <c r="O718" s="914"/>
      <c r="P718" s="914">
        <f t="shared" si="108"/>
        <v>0</v>
      </c>
      <c r="Q718" s="914"/>
      <c r="R718" s="914">
        <f t="shared" si="109"/>
        <v>0</v>
      </c>
      <c r="S718" s="915">
        <f t="shared" si="102"/>
        <v>6</v>
      </c>
      <c r="T718" s="911">
        <f t="shared" si="103"/>
        <v>990</v>
      </c>
    </row>
    <row r="719" spans="1:114" ht="250.5" customHeight="1">
      <c r="A719" s="905"/>
      <c r="B719" s="906" t="s">
        <v>6526</v>
      </c>
      <c r="C719" s="913">
        <f>DATA!R1326</f>
        <v>231.43</v>
      </c>
      <c r="D719" s="979" t="s">
        <v>2273</v>
      </c>
      <c r="E719" s="914">
        <f>DSP!H1927</f>
        <v>1376.6</v>
      </c>
      <c r="F719" s="1053">
        <f t="shared" si="104"/>
        <v>318586.53999999998</v>
      </c>
      <c r="G719" s="914"/>
      <c r="H719" s="914">
        <f t="shared" si="105"/>
        <v>0</v>
      </c>
      <c r="I719" s="914"/>
      <c r="J719" s="914">
        <f t="shared" si="106"/>
        <v>0</v>
      </c>
      <c r="K719" s="914"/>
      <c r="L719" s="914">
        <f t="shared" si="107"/>
        <v>0</v>
      </c>
      <c r="M719" s="914"/>
      <c r="N719" s="914">
        <f t="shared" si="101"/>
        <v>0</v>
      </c>
      <c r="O719" s="914"/>
      <c r="P719" s="914">
        <f t="shared" si="108"/>
        <v>0</v>
      </c>
      <c r="Q719" s="914"/>
      <c r="R719" s="914">
        <f t="shared" si="109"/>
        <v>0</v>
      </c>
      <c r="S719" s="915">
        <f t="shared" si="102"/>
        <v>1376.6</v>
      </c>
      <c r="T719" s="911">
        <f t="shared" si="103"/>
        <v>318586.53999999998</v>
      </c>
    </row>
    <row r="720" spans="1:114" ht="250.5" customHeight="1">
      <c r="A720" s="905"/>
      <c r="B720" s="906" t="s">
        <v>4714</v>
      </c>
      <c r="C720" s="1180">
        <v>232.95</v>
      </c>
      <c r="D720" s="979" t="s">
        <v>2273</v>
      </c>
      <c r="E720" s="914">
        <f>DSP!H2314</f>
        <v>716.58</v>
      </c>
      <c r="F720" s="1053">
        <f t="shared" si="104"/>
        <v>166927.31</v>
      </c>
      <c r="G720" s="914">
        <v>23.1</v>
      </c>
      <c r="H720" s="914">
        <f>G720*C720</f>
        <v>5381.15</v>
      </c>
      <c r="I720" s="914"/>
      <c r="J720" s="914"/>
      <c r="K720" s="914"/>
      <c r="L720" s="914"/>
      <c r="M720" s="914"/>
      <c r="N720" s="914"/>
      <c r="O720" s="914">
        <v>364.34</v>
      </c>
      <c r="P720" s="914">
        <f t="shared" si="108"/>
        <v>84873</v>
      </c>
      <c r="Q720" s="914">
        <f>'DEV-2'!U716</f>
        <v>21.04</v>
      </c>
      <c r="R720" s="914">
        <f t="shared" si="109"/>
        <v>4901.2700000000004</v>
      </c>
      <c r="S720" s="915">
        <f t="shared" si="102"/>
        <v>1125.06</v>
      </c>
      <c r="T720" s="911">
        <f t="shared" si="103"/>
        <v>262082.73</v>
      </c>
    </row>
    <row r="721" spans="1:114" s="920" customFormat="1" ht="250.5" hidden="1" customHeight="1">
      <c r="A721" s="916"/>
      <c r="B721" s="917" t="s">
        <v>4726</v>
      </c>
      <c r="C721" s="918">
        <v>133.49</v>
      </c>
      <c r="D721" s="981" t="s">
        <v>2273</v>
      </c>
      <c r="E721" s="919"/>
      <c r="F721" s="1053">
        <f t="shared" si="104"/>
        <v>0</v>
      </c>
      <c r="G721" s="919"/>
      <c r="H721" s="914">
        <f t="shared" si="105"/>
        <v>0</v>
      </c>
      <c r="I721" s="919"/>
      <c r="J721" s="914">
        <f t="shared" si="106"/>
        <v>0</v>
      </c>
      <c r="K721" s="919"/>
      <c r="L721" s="914">
        <f t="shared" si="107"/>
        <v>0</v>
      </c>
      <c r="M721" s="919"/>
      <c r="N721" s="914">
        <f t="shared" si="101"/>
        <v>0</v>
      </c>
      <c r="O721" s="914"/>
      <c r="P721" s="914">
        <f t="shared" si="108"/>
        <v>0</v>
      </c>
      <c r="Q721" s="914"/>
      <c r="R721" s="914">
        <f t="shared" si="109"/>
        <v>0</v>
      </c>
      <c r="S721" s="915">
        <f t="shared" si="102"/>
        <v>0</v>
      </c>
      <c r="T721" s="911">
        <f t="shared" si="103"/>
        <v>0</v>
      </c>
      <c r="U721" s="1172"/>
      <c r="V721" s="1172"/>
      <c r="W721" s="1172"/>
      <c r="X721" s="1172"/>
      <c r="Y721" s="1172"/>
      <c r="Z721" s="1172"/>
      <c r="AA721" s="1172"/>
      <c r="AB721" s="1172"/>
      <c r="AC721" s="1172"/>
      <c r="AD721" s="1172"/>
      <c r="AE721" s="1172"/>
      <c r="AF721" s="1172"/>
      <c r="AG721" s="1172"/>
      <c r="AH721" s="1172"/>
      <c r="AI721" s="1172"/>
      <c r="AJ721" s="1172"/>
      <c r="AK721" s="1172"/>
      <c r="AL721" s="1172"/>
      <c r="AM721" s="1172"/>
      <c r="AN721" s="1172"/>
      <c r="AO721" s="1172"/>
      <c r="AP721" s="1172"/>
      <c r="AQ721" s="1172"/>
      <c r="AR721" s="1172"/>
      <c r="AS721" s="1172"/>
      <c r="AT721" s="1172"/>
      <c r="AU721" s="1172"/>
      <c r="AV721" s="1172"/>
      <c r="AW721" s="1172"/>
      <c r="AX721" s="1172"/>
      <c r="AY721" s="1172"/>
      <c r="AZ721" s="1172"/>
      <c r="BA721" s="1172"/>
      <c r="BB721" s="1172"/>
      <c r="BC721" s="1172"/>
      <c r="BD721" s="1172"/>
      <c r="BE721" s="1172"/>
      <c r="BF721" s="1172"/>
      <c r="BG721" s="1172"/>
      <c r="BH721" s="1172"/>
      <c r="BI721" s="1172"/>
      <c r="BJ721" s="1172"/>
      <c r="BK721" s="1172"/>
      <c r="BL721" s="1172"/>
      <c r="BM721" s="1172"/>
      <c r="BN721" s="1172"/>
      <c r="BO721" s="1172"/>
      <c r="BP721" s="1172"/>
      <c r="BQ721" s="1172"/>
      <c r="BR721" s="1172"/>
      <c r="BS721" s="1172"/>
      <c r="BT721" s="1172"/>
      <c r="BU721" s="1172"/>
      <c r="BV721" s="1172"/>
      <c r="BW721" s="1172"/>
      <c r="BX721" s="1172"/>
      <c r="BY721" s="1172"/>
      <c r="BZ721" s="1172"/>
      <c r="CA721" s="1172"/>
      <c r="CB721" s="1172"/>
      <c r="CC721" s="1172"/>
      <c r="CD721" s="1172"/>
      <c r="CE721" s="1172"/>
      <c r="CF721" s="1172"/>
      <c r="CG721" s="1172"/>
      <c r="CH721" s="1172"/>
      <c r="CI721" s="1172"/>
      <c r="CJ721" s="1172"/>
      <c r="CK721" s="1172"/>
      <c r="CL721" s="1172"/>
      <c r="CM721" s="1172"/>
      <c r="CN721" s="1172"/>
      <c r="CO721" s="1172"/>
      <c r="CP721" s="1172"/>
      <c r="CQ721" s="1172"/>
      <c r="CR721" s="1172"/>
      <c r="CS721" s="1172"/>
      <c r="CT721" s="1172"/>
      <c r="CU721" s="1172"/>
      <c r="CV721" s="1172"/>
      <c r="CW721" s="1172"/>
      <c r="CX721" s="1172"/>
      <c r="CY721" s="1172"/>
      <c r="CZ721" s="1172"/>
      <c r="DA721" s="1172"/>
      <c r="DB721" s="1172"/>
      <c r="DC721" s="1172"/>
      <c r="DD721" s="1172"/>
      <c r="DE721" s="1172"/>
      <c r="DF721" s="1172"/>
      <c r="DG721" s="1172"/>
      <c r="DH721" s="1172"/>
      <c r="DI721" s="1172"/>
      <c r="DJ721" s="1172"/>
    </row>
    <row r="722" spans="1:114" ht="250.5" hidden="1" customHeight="1">
      <c r="A722" s="905" t="s">
        <v>4329</v>
      </c>
      <c r="B722" s="906" t="s">
        <v>3800</v>
      </c>
      <c r="C722" s="913">
        <f>DATA!K3348</f>
        <v>125.27</v>
      </c>
      <c r="D722" s="979" t="s">
        <v>2273</v>
      </c>
      <c r="E722" s="914"/>
      <c r="F722" s="1053">
        <f t="shared" si="104"/>
        <v>0</v>
      </c>
      <c r="G722" s="914"/>
      <c r="H722" s="914">
        <f t="shared" si="105"/>
        <v>0</v>
      </c>
      <c r="I722" s="914"/>
      <c r="J722" s="914">
        <f t="shared" si="106"/>
        <v>0</v>
      </c>
      <c r="K722" s="914"/>
      <c r="L722" s="914">
        <f t="shared" si="107"/>
        <v>0</v>
      </c>
      <c r="M722" s="914"/>
      <c r="N722" s="914">
        <f t="shared" si="101"/>
        <v>0</v>
      </c>
      <c r="O722" s="914"/>
      <c r="P722" s="914">
        <f t="shared" si="108"/>
        <v>0</v>
      </c>
      <c r="Q722" s="914"/>
      <c r="R722" s="914">
        <f t="shared" si="109"/>
        <v>0</v>
      </c>
      <c r="S722" s="915">
        <f t="shared" si="102"/>
        <v>0</v>
      </c>
      <c r="T722" s="911">
        <f t="shared" si="103"/>
        <v>0</v>
      </c>
    </row>
    <row r="723" spans="1:114" ht="250.5" hidden="1" customHeight="1">
      <c r="A723" s="905"/>
      <c r="B723" s="906" t="str">
        <f>B1072</f>
        <v>2 x 4 Sqmm Copper PVC insulated unsheathed single core 1 KV grade cable for EB service single phase.</v>
      </c>
      <c r="C723" s="921">
        <f>Elec.Data!K669</f>
        <v>158.03</v>
      </c>
      <c r="D723" s="979" t="s">
        <v>823</v>
      </c>
      <c r="E723" s="919"/>
      <c r="F723" s="1053">
        <f t="shared" si="104"/>
        <v>0</v>
      </c>
      <c r="G723" s="919"/>
      <c r="H723" s="914">
        <f t="shared" si="105"/>
        <v>0</v>
      </c>
      <c r="I723" s="919"/>
      <c r="J723" s="914">
        <f t="shared" si="106"/>
        <v>0</v>
      </c>
      <c r="K723" s="919"/>
      <c r="L723" s="914">
        <f t="shared" si="107"/>
        <v>0</v>
      </c>
      <c r="M723" s="919"/>
      <c r="N723" s="914">
        <f t="shared" si="101"/>
        <v>0</v>
      </c>
      <c r="O723" s="914"/>
      <c r="P723" s="914">
        <f t="shared" si="108"/>
        <v>0</v>
      </c>
      <c r="Q723" s="914"/>
      <c r="R723" s="914">
        <f t="shared" si="109"/>
        <v>0</v>
      </c>
      <c r="S723" s="915">
        <f t="shared" si="102"/>
        <v>0</v>
      </c>
      <c r="T723" s="911">
        <f t="shared" si="103"/>
        <v>0</v>
      </c>
    </row>
    <row r="724" spans="1:114" ht="250.5" hidden="1" customHeight="1">
      <c r="A724" s="905"/>
      <c r="B724" s="906" t="str">
        <f>B1038</f>
        <v>40 mm dia GI pipe "B"class</v>
      </c>
      <c r="C724" s="906">
        <f>C1038</f>
        <v>165</v>
      </c>
      <c r="D724" s="979" t="s">
        <v>823</v>
      </c>
      <c r="E724" s="919"/>
      <c r="F724" s="1053">
        <f t="shared" si="104"/>
        <v>0</v>
      </c>
      <c r="G724" s="919"/>
      <c r="H724" s="914">
        <f t="shared" si="105"/>
        <v>0</v>
      </c>
      <c r="I724" s="919"/>
      <c r="J724" s="914">
        <f t="shared" si="106"/>
        <v>0</v>
      </c>
      <c r="K724" s="919"/>
      <c r="L724" s="914">
        <f t="shared" si="107"/>
        <v>0</v>
      </c>
      <c r="M724" s="919"/>
      <c r="N724" s="914">
        <f t="shared" si="101"/>
        <v>0</v>
      </c>
      <c r="O724" s="914"/>
      <c r="P724" s="914">
        <f t="shared" si="108"/>
        <v>0</v>
      </c>
      <c r="Q724" s="914"/>
      <c r="R724" s="914">
        <f t="shared" si="109"/>
        <v>0</v>
      </c>
      <c r="S724" s="915">
        <f t="shared" si="102"/>
        <v>0</v>
      </c>
      <c r="T724" s="911">
        <f t="shared" si="103"/>
        <v>0</v>
      </c>
    </row>
    <row r="725" spans="1:114" ht="250.5" customHeight="1">
      <c r="A725" s="905"/>
      <c r="B725" s="906" t="s">
        <v>6542</v>
      </c>
      <c r="C725" s="906">
        <v>5536</v>
      </c>
      <c r="D725" s="979" t="s">
        <v>2273</v>
      </c>
      <c r="E725" s="919">
        <f>DSP!H2351</f>
        <v>37.200000000000003</v>
      </c>
      <c r="F725" s="1053">
        <f t="shared" si="104"/>
        <v>205939.20000000001</v>
      </c>
      <c r="G725" s="919"/>
      <c r="H725" s="914">
        <f t="shared" si="105"/>
        <v>0</v>
      </c>
      <c r="I725" s="919"/>
      <c r="J725" s="914">
        <f t="shared" si="106"/>
        <v>0</v>
      </c>
      <c r="K725" s="919"/>
      <c r="L725" s="914">
        <f t="shared" si="107"/>
        <v>0</v>
      </c>
      <c r="M725" s="919"/>
      <c r="N725" s="914">
        <f t="shared" si="101"/>
        <v>0</v>
      </c>
      <c r="O725" s="914"/>
      <c r="P725" s="914">
        <f t="shared" si="108"/>
        <v>0</v>
      </c>
      <c r="Q725" s="914"/>
      <c r="R725" s="914">
        <f t="shared" si="109"/>
        <v>0</v>
      </c>
      <c r="S725" s="915">
        <f t="shared" si="102"/>
        <v>37.200000000000003</v>
      </c>
      <c r="T725" s="911">
        <f t="shared" si="103"/>
        <v>205939.20000000001</v>
      </c>
    </row>
    <row r="726" spans="1:114" s="920" customFormat="1" ht="250.5" customHeight="1">
      <c r="A726" s="916">
        <v>448.2</v>
      </c>
      <c r="B726" s="917" t="s">
        <v>4237</v>
      </c>
      <c r="C726" s="918">
        <f>DATA!R3123</f>
        <v>138.32</v>
      </c>
      <c r="D726" s="981" t="s">
        <v>1393</v>
      </c>
      <c r="E726" s="919">
        <f>DSP!H2266</f>
        <v>6</v>
      </c>
      <c r="F726" s="1053">
        <f t="shared" si="104"/>
        <v>829.92</v>
      </c>
      <c r="G726" s="919"/>
      <c r="H726" s="914">
        <f t="shared" si="105"/>
        <v>0</v>
      </c>
      <c r="I726" s="919"/>
      <c r="J726" s="914">
        <f t="shared" si="106"/>
        <v>0</v>
      </c>
      <c r="K726" s="919"/>
      <c r="L726" s="914">
        <f t="shared" si="107"/>
        <v>0</v>
      </c>
      <c r="M726" s="919"/>
      <c r="N726" s="914">
        <f t="shared" si="101"/>
        <v>0</v>
      </c>
      <c r="O726" s="914"/>
      <c r="P726" s="914">
        <f t="shared" si="108"/>
        <v>0</v>
      </c>
      <c r="Q726" s="914"/>
      <c r="R726" s="914">
        <f t="shared" si="109"/>
        <v>0</v>
      </c>
      <c r="S726" s="915">
        <f t="shared" si="102"/>
        <v>6</v>
      </c>
      <c r="T726" s="911">
        <f t="shared" si="103"/>
        <v>829.92</v>
      </c>
      <c r="U726" s="1172"/>
      <c r="V726" s="1172"/>
      <c r="W726" s="1172"/>
      <c r="X726" s="1172"/>
      <c r="Y726" s="1172"/>
      <c r="Z726" s="1172"/>
      <c r="AA726" s="1172"/>
      <c r="AB726" s="1172"/>
      <c r="AC726" s="1172"/>
      <c r="AD726" s="1172"/>
      <c r="AE726" s="1172"/>
      <c r="AF726" s="1172"/>
      <c r="AG726" s="1172"/>
      <c r="AH726" s="1172"/>
      <c r="AI726" s="1172"/>
      <c r="AJ726" s="1172"/>
      <c r="AK726" s="1172"/>
      <c r="AL726" s="1172"/>
      <c r="AM726" s="1172"/>
      <c r="AN726" s="1172"/>
      <c r="AO726" s="1172"/>
      <c r="AP726" s="1172"/>
      <c r="AQ726" s="1172"/>
      <c r="AR726" s="1172"/>
      <c r="AS726" s="1172"/>
      <c r="AT726" s="1172"/>
      <c r="AU726" s="1172"/>
      <c r="AV726" s="1172"/>
      <c r="AW726" s="1172"/>
      <c r="AX726" s="1172"/>
      <c r="AY726" s="1172"/>
      <c r="AZ726" s="1172"/>
      <c r="BA726" s="1172"/>
      <c r="BB726" s="1172"/>
      <c r="BC726" s="1172"/>
      <c r="BD726" s="1172"/>
      <c r="BE726" s="1172"/>
      <c r="BF726" s="1172"/>
      <c r="BG726" s="1172"/>
      <c r="BH726" s="1172"/>
      <c r="BI726" s="1172"/>
      <c r="BJ726" s="1172"/>
      <c r="BK726" s="1172"/>
      <c r="BL726" s="1172"/>
      <c r="BM726" s="1172"/>
      <c r="BN726" s="1172"/>
      <c r="BO726" s="1172"/>
      <c r="BP726" s="1172"/>
      <c r="BQ726" s="1172"/>
      <c r="BR726" s="1172"/>
      <c r="BS726" s="1172"/>
      <c r="BT726" s="1172"/>
      <c r="BU726" s="1172"/>
      <c r="BV726" s="1172"/>
      <c r="BW726" s="1172"/>
      <c r="BX726" s="1172"/>
      <c r="BY726" s="1172"/>
      <c r="BZ726" s="1172"/>
      <c r="CA726" s="1172"/>
      <c r="CB726" s="1172"/>
      <c r="CC726" s="1172"/>
      <c r="CD726" s="1172"/>
      <c r="CE726" s="1172"/>
      <c r="CF726" s="1172"/>
      <c r="CG726" s="1172"/>
      <c r="CH726" s="1172"/>
      <c r="CI726" s="1172"/>
      <c r="CJ726" s="1172"/>
      <c r="CK726" s="1172"/>
      <c r="CL726" s="1172"/>
      <c r="CM726" s="1172"/>
      <c r="CN726" s="1172"/>
      <c r="CO726" s="1172"/>
      <c r="CP726" s="1172"/>
      <c r="CQ726" s="1172"/>
      <c r="CR726" s="1172"/>
      <c r="CS726" s="1172"/>
      <c r="CT726" s="1172"/>
      <c r="CU726" s="1172"/>
      <c r="CV726" s="1172"/>
      <c r="CW726" s="1172"/>
      <c r="CX726" s="1172"/>
      <c r="CY726" s="1172"/>
      <c r="CZ726" s="1172"/>
      <c r="DA726" s="1172"/>
      <c r="DB726" s="1172"/>
      <c r="DC726" s="1172"/>
      <c r="DD726" s="1172"/>
      <c r="DE726" s="1172"/>
      <c r="DF726" s="1172"/>
      <c r="DG726" s="1172"/>
      <c r="DH726" s="1172"/>
      <c r="DI726" s="1172"/>
      <c r="DJ726" s="1172"/>
    </row>
    <row r="727" spans="1:114" ht="250.5" customHeight="1">
      <c r="A727" s="905"/>
      <c r="B727" s="906" t="s">
        <v>6665</v>
      </c>
      <c r="C727" s="921">
        <f>DATA!AD1271</f>
        <v>1755.72</v>
      </c>
      <c r="D727" s="972" t="s">
        <v>2273</v>
      </c>
      <c r="E727" s="914"/>
      <c r="F727" s="1053">
        <f t="shared" si="104"/>
        <v>0</v>
      </c>
      <c r="G727" s="914"/>
      <c r="H727" s="914">
        <f t="shared" si="105"/>
        <v>0</v>
      </c>
      <c r="I727" s="914"/>
      <c r="J727" s="914">
        <f t="shared" si="106"/>
        <v>0</v>
      </c>
      <c r="K727" s="914"/>
      <c r="L727" s="914">
        <f t="shared" si="107"/>
        <v>0</v>
      </c>
      <c r="M727" s="914"/>
      <c r="N727" s="914">
        <f t="shared" si="101"/>
        <v>0</v>
      </c>
      <c r="O727" s="914"/>
      <c r="P727" s="914">
        <f t="shared" si="108"/>
        <v>0</v>
      </c>
      <c r="Q727" s="914"/>
      <c r="R727" s="914">
        <f t="shared" si="109"/>
        <v>0</v>
      </c>
      <c r="S727" s="915">
        <f t="shared" si="102"/>
        <v>0</v>
      </c>
      <c r="T727" s="911">
        <f t="shared" si="103"/>
        <v>0</v>
      </c>
    </row>
    <row r="728" spans="1:114" ht="250.5" customHeight="1">
      <c r="A728" s="905"/>
      <c r="B728" s="906" t="s">
        <v>6582</v>
      </c>
      <c r="C728" s="921">
        <v>95.4</v>
      </c>
      <c r="D728" s="972" t="s">
        <v>823</v>
      </c>
      <c r="E728" s="914">
        <f>DSP!H2323</f>
        <v>14.7</v>
      </c>
      <c r="F728" s="1053">
        <f t="shared" si="104"/>
        <v>1402.38</v>
      </c>
      <c r="G728" s="914"/>
      <c r="H728" s="914"/>
      <c r="I728" s="914"/>
      <c r="J728" s="914"/>
      <c r="K728" s="914"/>
      <c r="L728" s="914"/>
      <c r="M728" s="914"/>
      <c r="N728" s="914"/>
      <c r="O728" s="914"/>
      <c r="P728" s="914">
        <f t="shared" si="108"/>
        <v>0</v>
      </c>
      <c r="Q728" s="914"/>
      <c r="R728" s="914">
        <f t="shared" si="109"/>
        <v>0</v>
      </c>
      <c r="S728" s="915">
        <f t="shared" si="102"/>
        <v>14.7</v>
      </c>
      <c r="T728" s="911">
        <f t="shared" si="103"/>
        <v>1402.38</v>
      </c>
    </row>
    <row r="729" spans="1:114" ht="160.5" customHeight="1">
      <c r="A729" s="905"/>
      <c r="B729" s="906" t="s">
        <v>7045</v>
      </c>
      <c r="C729" s="921">
        <v>725</v>
      </c>
      <c r="D729" s="972" t="s">
        <v>2273</v>
      </c>
      <c r="E729" s="914">
        <f>DSP!H2326</f>
        <v>20.7</v>
      </c>
      <c r="F729" s="1053">
        <f t="shared" si="104"/>
        <v>15007.5</v>
      </c>
      <c r="G729" s="914"/>
      <c r="H729" s="914"/>
      <c r="I729" s="914"/>
      <c r="J729" s="914"/>
      <c r="K729" s="914"/>
      <c r="L729" s="914"/>
      <c r="M729" s="914"/>
      <c r="N729" s="914"/>
      <c r="O729" s="914"/>
      <c r="P729" s="914">
        <f t="shared" si="108"/>
        <v>0</v>
      </c>
      <c r="Q729" s="914"/>
      <c r="R729" s="914">
        <f t="shared" si="109"/>
        <v>0</v>
      </c>
      <c r="S729" s="915">
        <f t="shared" si="102"/>
        <v>20.7</v>
      </c>
      <c r="T729" s="911">
        <f t="shared" si="103"/>
        <v>15007.5</v>
      </c>
    </row>
    <row r="730" spans="1:114" ht="250.5" customHeight="1">
      <c r="A730" s="905"/>
      <c r="B730" s="906" t="s">
        <v>6988</v>
      </c>
      <c r="C730" s="1019">
        <v>2500</v>
      </c>
      <c r="D730" s="972" t="s">
        <v>1389</v>
      </c>
      <c r="E730" s="914">
        <f>DSP!H2328</f>
        <v>7</v>
      </c>
      <c r="F730" s="1053">
        <f t="shared" si="104"/>
        <v>17500</v>
      </c>
      <c r="G730" s="914"/>
      <c r="H730" s="914"/>
      <c r="I730" s="914"/>
      <c r="J730" s="914"/>
      <c r="K730" s="914"/>
      <c r="L730" s="914"/>
      <c r="M730" s="914"/>
      <c r="N730" s="914"/>
      <c r="O730" s="914"/>
      <c r="P730" s="914">
        <f t="shared" si="108"/>
        <v>0</v>
      </c>
      <c r="Q730" s="914"/>
      <c r="R730" s="914">
        <f t="shared" si="109"/>
        <v>0</v>
      </c>
      <c r="S730" s="915">
        <f t="shared" si="102"/>
        <v>7</v>
      </c>
      <c r="T730" s="911">
        <f t="shared" si="103"/>
        <v>17500</v>
      </c>
    </row>
    <row r="731" spans="1:114" ht="250.5" customHeight="1">
      <c r="A731" s="905"/>
      <c r="B731" s="906" t="s">
        <v>6666</v>
      </c>
      <c r="C731" s="913">
        <f>DATA!R2416</f>
        <v>1438.54</v>
      </c>
      <c r="D731" s="972" t="s">
        <v>2273</v>
      </c>
      <c r="E731" s="914">
        <f>DSP!H2196</f>
        <v>49</v>
      </c>
      <c r="F731" s="1053">
        <f t="shared" si="104"/>
        <v>70488.460000000006</v>
      </c>
      <c r="G731" s="914"/>
      <c r="H731" s="914">
        <f t="shared" si="105"/>
        <v>0</v>
      </c>
      <c r="I731" s="914"/>
      <c r="J731" s="914">
        <f t="shared" si="106"/>
        <v>0</v>
      </c>
      <c r="K731" s="914"/>
      <c r="L731" s="914">
        <f t="shared" si="107"/>
        <v>0</v>
      </c>
      <c r="M731" s="914"/>
      <c r="N731" s="914">
        <f t="shared" si="101"/>
        <v>0</v>
      </c>
      <c r="O731" s="914"/>
      <c r="P731" s="914">
        <f t="shared" si="108"/>
        <v>0</v>
      </c>
      <c r="Q731" s="914"/>
      <c r="R731" s="914">
        <f t="shared" si="109"/>
        <v>0</v>
      </c>
      <c r="S731" s="915">
        <f t="shared" si="102"/>
        <v>49</v>
      </c>
      <c r="T731" s="911">
        <f t="shared" si="103"/>
        <v>70488.460000000006</v>
      </c>
    </row>
    <row r="732" spans="1:114" ht="366.75" hidden="1" customHeight="1">
      <c r="A732" s="905"/>
      <c r="B732" s="906" t="s">
        <v>4715</v>
      </c>
      <c r="C732" s="918">
        <f>DATA!AD1271</f>
        <v>1755.72</v>
      </c>
      <c r="D732" s="972" t="s">
        <v>2273</v>
      </c>
      <c r="E732" s="919"/>
      <c r="F732" s="1053">
        <f t="shared" si="104"/>
        <v>0</v>
      </c>
      <c r="G732" s="919"/>
      <c r="H732" s="914">
        <f t="shared" si="105"/>
        <v>0</v>
      </c>
      <c r="I732" s="919"/>
      <c r="J732" s="914">
        <f t="shared" si="106"/>
        <v>0</v>
      </c>
      <c r="K732" s="919"/>
      <c r="L732" s="914">
        <f t="shared" si="107"/>
        <v>0</v>
      </c>
      <c r="M732" s="919"/>
      <c r="N732" s="914">
        <f t="shared" si="101"/>
        <v>0</v>
      </c>
      <c r="O732" s="914"/>
      <c r="P732" s="914">
        <f t="shared" si="108"/>
        <v>0</v>
      </c>
      <c r="Q732" s="914"/>
      <c r="R732" s="914">
        <f t="shared" si="109"/>
        <v>0</v>
      </c>
      <c r="S732" s="915">
        <f t="shared" si="102"/>
        <v>0</v>
      </c>
      <c r="T732" s="911">
        <f t="shared" si="103"/>
        <v>0</v>
      </c>
    </row>
    <row r="733" spans="1:114" ht="250.5" hidden="1" customHeight="1">
      <c r="A733" s="905"/>
      <c r="B733" s="906" t="s">
        <v>4699</v>
      </c>
      <c r="C733" s="913">
        <f>DATA!K2435</f>
        <v>1481.72</v>
      </c>
      <c r="D733" s="972" t="s">
        <v>230</v>
      </c>
      <c r="E733" s="914"/>
      <c r="F733" s="1053">
        <f t="shared" si="104"/>
        <v>0</v>
      </c>
      <c r="G733" s="914"/>
      <c r="H733" s="914">
        <f t="shared" si="105"/>
        <v>0</v>
      </c>
      <c r="I733" s="914"/>
      <c r="J733" s="914">
        <f t="shared" si="106"/>
        <v>0</v>
      </c>
      <c r="K733" s="914"/>
      <c r="L733" s="914">
        <f t="shared" si="107"/>
        <v>0</v>
      </c>
      <c r="M733" s="914"/>
      <c r="N733" s="914">
        <f t="shared" si="101"/>
        <v>0</v>
      </c>
      <c r="O733" s="914"/>
      <c r="P733" s="914">
        <f t="shared" si="108"/>
        <v>0</v>
      </c>
      <c r="Q733" s="914"/>
      <c r="R733" s="914">
        <f t="shared" si="109"/>
        <v>0</v>
      </c>
      <c r="S733" s="915">
        <f t="shared" si="102"/>
        <v>0</v>
      </c>
      <c r="T733" s="911">
        <f t="shared" si="103"/>
        <v>0</v>
      </c>
    </row>
    <row r="734" spans="1:114" ht="250.5" hidden="1" customHeight="1">
      <c r="A734" s="905"/>
      <c r="B734" s="922" t="s">
        <v>4709</v>
      </c>
      <c r="C734" s="983">
        <f>DATA!R1249</f>
        <v>1492.91</v>
      </c>
      <c r="D734" s="984" t="s">
        <v>2273</v>
      </c>
      <c r="E734" s="985"/>
      <c r="F734" s="1053">
        <f t="shared" si="104"/>
        <v>0</v>
      </c>
      <c r="G734" s="914"/>
      <c r="H734" s="914">
        <f t="shared" si="105"/>
        <v>0</v>
      </c>
      <c r="I734" s="914"/>
      <c r="J734" s="914">
        <f t="shared" si="106"/>
        <v>0</v>
      </c>
      <c r="K734" s="914"/>
      <c r="L734" s="914">
        <f t="shared" si="107"/>
        <v>0</v>
      </c>
      <c r="M734" s="914"/>
      <c r="N734" s="914">
        <f t="shared" si="101"/>
        <v>0</v>
      </c>
      <c r="O734" s="914"/>
      <c r="P734" s="914">
        <f t="shared" si="108"/>
        <v>0</v>
      </c>
      <c r="Q734" s="914"/>
      <c r="R734" s="914">
        <f t="shared" si="109"/>
        <v>0</v>
      </c>
      <c r="S734" s="915">
        <f t="shared" si="102"/>
        <v>0</v>
      </c>
      <c r="T734" s="911">
        <f t="shared" si="103"/>
        <v>0</v>
      </c>
    </row>
    <row r="735" spans="1:114" ht="408" customHeight="1">
      <c r="A735" s="905"/>
      <c r="B735" s="922" t="s">
        <v>4710</v>
      </c>
      <c r="C735" s="983">
        <f>DATA!R1272</f>
        <v>1256.21</v>
      </c>
      <c r="D735" s="984" t="s">
        <v>2273</v>
      </c>
      <c r="E735" s="985">
        <f>DSP!H2233</f>
        <v>221</v>
      </c>
      <c r="F735" s="1053">
        <f t="shared" si="104"/>
        <v>277622.40999999997</v>
      </c>
      <c r="G735" s="919"/>
      <c r="H735" s="914">
        <f t="shared" si="105"/>
        <v>0</v>
      </c>
      <c r="I735" s="919"/>
      <c r="J735" s="914">
        <f t="shared" si="106"/>
        <v>0</v>
      </c>
      <c r="K735" s="919"/>
      <c r="L735" s="914">
        <f t="shared" si="107"/>
        <v>0</v>
      </c>
      <c r="M735" s="919"/>
      <c r="N735" s="914">
        <f t="shared" si="101"/>
        <v>0</v>
      </c>
      <c r="O735" s="914"/>
      <c r="P735" s="914">
        <f t="shared" si="108"/>
        <v>0</v>
      </c>
      <c r="Q735" s="914"/>
      <c r="R735" s="914">
        <f t="shared" si="109"/>
        <v>0</v>
      </c>
      <c r="S735" s="915">
        <f t="shared" si="102"/>
        <v>221</v>
      </c>
      <c r="T735" s="911">
        <f t="shared" si="103"/>
        <v>277622.40999999997</v>
      </c>
    </row>
    <row r="736" spans="1:114" ht="250.5" customHeight="1">
      <c r="A736" s="905" t="s">
        <v>4236</v>
      </c>
      <c r="B736" s="906" t="s">
        <v>3796</v>
      </c>
      <c r="C736" s="913">
        <f>DATA!R1230</f>
        <v>1486.13</v>
      </c>
      <c r="D736" s="972" t="s">
        <v>2273</v>
      </c>
      <c r="E736" s="919">
        <f>DSP!H2253</f>
        <v>44.1</v>
      </c>
      <c r="F736" s="1053">
        <f t="shared" si="104"/>
        <v>65538.33</v>
      </c>
      <c r="G736" s="919"/>
      <c r="H736" s="914">
        <f t="shared" si="105"/>
        <v>0</v>
      </c>
      <c r="I736" s="919"/>
      <c r="J736" s="914">
        <f t="shared" si="106"/>
        <v>0</v>
      </c>
      <c r="K736" s="919"/>
      <c r="L736" s="914">
        <f t="shared" si="107"/>
        <v>0</v>
      </c>
      <c r="M736" s="919"/>
      <c r="N736" s="914">
        <f t="shared" si="101"/>
        <v>0</v>
      </c>
      <c r="O736" s="914"/>
      <c r="P736" s="914">
        <f t="shared" si="108"/>
        <v>0</v>
      </c>
      <c r="Q736" s="914"/>
      <c r="R736" s="914">
        <f t="shared" si="109"/>
        <v>0</v>
      </c>
      <c r="S736" s="915">
        <f t="shared" si="102"/>
        <v>44.1</v>
      </c>
      <c r="T736" s="911">
        <f t="shared" si="103"/>
        <v>65538.33</v>
      </c>
    </row>
    <row r="737" spans="1:20" ht="250.5" hidden="1" customHeight="1">
      <c r="A737" s="905"/>
      <c r="B737" s="906" t="s">
        <v>4704</v>
      </c>
      <c r="C737" s="918">
        <f>DATA!AD1257</f>
        <v>1627.91</v>
      </c>
      <c r="D737" s="972" t="s">
        <v>2273</v>
      </c>
      <c r="E737" s="914"/>
      <c r="F737" s="1053">
        <f t="shared" si="104"/>
        <v>0</v>
      </c>
      <c r="G737" s="914"/>
      <c r="H737" s="914">
        <f t="shared" si="105"/>
        <v>0</v>
      </c>
      <c r="I737" s="914"/>
      <c r="J737" s="914">
        <f t="shared" si="106"/>
        <v>0</v>
      </c>
      <c r="K737" s="914"/>
      <c r="L737" s="914">
        <f t="shared" si="107"/>
        <v>0</v>
      </c>
      <c r="M737" s="914"/>
      <c r="N737" s="914">
        <f t="shared" si="101"/>
        <v>0</v>
      </c>
      <c r="O737" s="914"/>
      <c r="P737" s="914">
        <f t="shared" si="108"/>
        <v>0</v>
      </c>
      <c r="Q737" s="914"/>
      <c r="R737" s="914">
        <f t="shared" si="109"/>
        <v>0</v>
      </c>
      <c r="S737" s="915">
        <f t="shared" si="102"/>
        <v>0</v>
      </c>
      <c r="T737" s="911">
        <f t="shared" si="103"/>
        <v>0</v>
      </c>
    </row>
    <row r="738" spans="1:20" ht="250.5" hidden="1" customHeight="1">
      <c r="A738" s="905"/>
      <c r="B738" s="986" t="s">
        <v>3604</v>
      </c>
      <c r="C738" s="947"/>
      <c r="D738" s="987"/>
      <c r="E738" s="919"/>
      <c r="F738" s="1053">
        <f t="shared" si="104"/>
        <v>0</v>
      </c>
      <c r="G738" s="919"/>
      <c r="H738" s="914">
        <f t="shared" si="105"/>
        <v>0</v>
      </c>
      <c r="I738" s="919"/>
      <c r="J738" s="914">
        <f t="shared" si="106"/>
        <v>0</v>
      </c>
      <c r="K738" s="919"/>
      <c r="L738" s="914">
        <f t="shared" si="107"/>
        <v>0</v>
      </c>
      <c r="M738" s="919"/>
      <c r="N738" s="914">
        <f t="shared" si="101"/>
        <v>0</v>
      </c>
      <c r="O738" s="914"/>
      <c r="P738" s="914">
        <f t="shared" si="108"/>
        <v>0</v>
      </c>
      <c r="Q738" s="914"/>
      <c r="R738" s="914">
        <f t="shared" si="109"/>
        <v>0</v>
      </c>
      <c r="S738" s="915">
        <f t="shared" si="102"/>
        <v>0</v>
      </c>
      <c r="T738" s="911">
        <f t="shared" si="103"/>
        <v>0</v>
      </c>
    </row>
    <row r="739" spans="1:20" ht="250.5" hidden="1" customHeight="1">
      <c r="A739" s="905"/>
      <c r="B739" s="988" t="s">
        <v>4471</v>
      </c>
      <c r="C739" s="947">
        <f>'Sliding and french window'!G350</f>
        <v>3353.03</v>
      </c>
      <c r="D739" s="987" t="s">
        <v>2273</v>
      </c>
      <c r="E739" s="919"/>
      <c r="F739" s="1053">
        <f t="shared" si="104"/>
        <v>0</v>
      </c>
      <c r="G739" s="919"/>
      <c r="H739" s="914">
        <f t="shared" si="105"/>
        <v>0</v>
      </c>
      <c r="I739" s="919"/>
      <c r="J739" s="914">
        <f t="shared" si="106"/>
        <v>0</v>
      </c>
      <c r="K739" s="919"/>
      <c r="L739" s="914">
        <f t="shared" si="107"/>
        <v>0</v>
      </c>
      <c r="M739" s="919"/>
      <c r="N739" s="914">
        <f t="shared" si="101"/>
        <v>0</v>
      </c>
      <c r="O739" s="914"/>
      <c r="P739" s="914">
        <f t="shared" si="108"/>
        <v>0</v>
      </c>
      <c r="Q739" s="914"/>
      <c r="R739" s="914">
        <f t="shared" si="109"/>
        <v>0</v>
      </c>
      <c r="S739" s="915">
        <f t="shared" si="102"/>
        <v>0</v>
      </c>
      <c r="T739" s="911">
        <f t="shared" si="103"/>
        <v>0</v>
      </c>
    </row>
    <row r="740" spans="1:20" ht="250.5" hidden="1" customHeight="1">
      <c r="A740" s="905"/>
      <c r="B740" s="988" t="s">
        <v>4472</v>
      </c>
      <c r="C740" s="947">
        <f>'Sliding and french window'!G491</f>
        <v>3169.22</v>
      </c>
      <c r="D740" s="987" t="s">
        <v>2273</v>
      </c>
      <c r="E740" s="919"/>
      <c r="F740" s="1053">
        <f t="shared" si="104"/>
        <v>0</v>
      </c>
      <c r="G740" s="919"/>
      <c r="H740" s="914">
        <f t="shared" si="105"/>
        <v>0</v>
      </c>
      <c r="I740" s="919"/>
      <c r="J740" s="914">
        <f t="shared" si="106"/>
        <v>0</v>
      </c>
      <c r="K740" s="919"/>
      <c r="L740" s="914">
        <f t="shared" si="107"/>
        <v>0</v>
      </c>
      <c r="M740" s="919"/>
      <c r="N740" s="914">
        <f t="shared" si="101"/>
        <v>0</v>
      </c>
      <c r="O740" s="914"/>
      <c r="P740" s="914">
        <f t="shared" si="108"/>
        <v>0</v>
      </c>
      <c r="Q740" s="914"/>
      <c r="R740" s="914">
        <f t="shared" si="109"/>
        <v>0</v>
      </c>
      <c r="S740" s="915">
        <f t="shared" si="102"/>
        <v>0</v>
      </c>
      <c r="T740" s="911">
        <f t="shared" si="103"/>
        <v>0</v>
      </c>
    </row>
    <row r="741" spans="1:20" ht="250.5" hidden="1" customHeight="1">
      <c r="A741" s="905"/>
      <c r="B741" s="988" t="s">
        <v>4473</v>
      </c>
      <c r="C741" s="947">
        <f>'Sliding and french window'!G395</f>
        <v>4048</v>
      </c>
      <c r="D741" s="987" t="s">
        <v>2273</v>
      </c>
      <c r="E741" s="919"/>
      <c r="F741" s="1053">
        <f t="shared" si="104"/>
        <v>0</v>
      </c>
      <c r="G741" s="919"/>
      <c r="H741" s="914">
        <f t="shared" si="105"/>
        <v>0</v>
      </c>
      <c r="I741" s="919"/>
      <c r="J741" s="914">
        <f t="shared" si="106"/>
        <v>0</v>
      </c>
      <c r="K741" s="919"/>
      <c r="L741" s="914">
        <f t="shared" si="107"/>
        <v>0</v>
      </c>
      <c r="M741" s="919"/>
      <c r="N741" s="914">
        <f t="shared" si="101"/>
        <v>0</v>
      </c>
      <c r="O741" s="914"/>
      <c r="P741" s="914">
        <f t="shared" si="108"/>
        <v>0</v>
      </c>
      <c r="Q741" s="914"/>
      <c r="R741" s="914">
        <f t="shared" si="109"/>
        <v>0</v>
      </c>
      <c r="S741" s="915">
        <f t="shared" si="102"/>
        <v>0</v>
      </c>
      <c r="T741" s="911">
        <f t="shared" si="103"/>
        <v>0</v>
      </c>
    </row>
    <row r="742" spans="1:20" ht="250.5" hidden="1" customHeight="1">
      <c r="A742" s="905"/>
      <c r="B742" s="988" t="s">
        <v>4474</v>
      </c>
      <c r="C742" s="947">
        <f>'Sliding and french window'!G440</f>
        <v>3758.93</v>
      </c>
      <c r="D742" s="987" t="s">
        <v>2273</v>
      </c>
      <c r="E742" s="919"/>
      <c r="F742" s="1053">
        <f t="shared" si="104"/>
        <v>0</v>
      </c>
      <c r="G742" s="919"/>
      <c r="H742" s="914">
        <f t="shared" si="105"/>
        <v>0</v>
      </c>
      <c r="I742" s="919"/>
      <c r="J742" s="914">
        <f t="shared" si="106"/>
        <v>0</v>
      </c>
      <c r="K742" s="919"/>
      <c r="L742" s="914">
        <f t="shared" si="107"/>
        <v>0</v>
      </c>
      <c r="M742" s="919"/>
      <c r="N742" s="914">
        <f t="shared" si="101"/>
        <v>0</v>
      </c>
      <c r="O742" s="914"/>
      <c r="P742" s="914">
        <f t="shared" si="108"/>
        <v>0</v>
      </c>
      <c r="Q742" s="914"/>
      <c r="R742" s="914">
        <f t="shared" si="109"/>
        <v>0</v>
      </c>
      <c r="S742" s="915">
        <f t="shared" si="102"/>
        <v>0</v>
      </c>
      <c r="T742" s="911">
        <f t="shared" si="103"/>
        <v>0</v>
      </c>
    </row>
    <row r="743" spans="1:20" ht="250.5" hidden="1" customHeight="1">
      <c r="A743" s="905"/>
      <c r="B743" s="949" t="s">
        <v>3569</v>
      </c>
      <c r="C743" s="959">
        <f>DATA!X1293</f>
        <v>1373.12</v>
      </c>
      <c r="D743" s="961" t="s">
        <v>1834</v>
      </c>
      <c r="E743" s="919"/>
      <c r="F743" s="1053">
        <f t="shared" si="104"/>
        <v>0</v>
      </c>
      <c r="G743" s="919"/>
      <c r="H743" s="914">
        <f t="shared" si="105"/>
        <v>0</v>
      </c>
      <c r="I743" s="919"/>
      <c r="J743" s="914">
        <f t="shared" si="106"/>
        <v>0</v>
      </c>
      <c r="K743" s="919"/>
      <c r="L743" s="914">
        <f t="shared" si="107"/>
        <v>0</v>
      </c>
      <c r="M743" s="919"/>
      <c r="N743" s="914">
        <f t="shared" si="101"/>
        <v>0</v>
      </c>
      <c r="O743" s="914"/>
      <c r="P743" s="914">
        <f t="shared" si="108"/>
        <v>0</v>
      </c>
      <c r="Q743" s="914"/>
      <c r="R743" s="914">
        <f t="shared" si="109"/>
        <v>0</v>
      </c>
      <c r="S743" s="915">
        <f t="shared" si="102"/>
        <v>0</v>
      </c>
      <c r="T743" s="911">
        <f t="shared" si="103"/>
        <v>0</v>
      </c>
    </row>
    <row r="744" spans="1:20" ht="250.5" hidden="1" customHeight="1">
      <c r="A744" s="905"/>
      <c r="B744" s="949" t="s">
        <v>3570</v>
      </c>
      <c r="C744" s="959">
        <f>DATA!K1292</f>
        <v>2953.28</v>
      </c>
      <c r="D744" s="961" t="s">
        <v>1834</v>
      </c>
      <c r="E744" s="919"/>
      <c r="F744" s="1053">
        <f t="shared" si="104"/>
        <v>0</v>
      </c>
      <c r="G744" s="919"/>
      <c r="H744" s="914">
        <f t="shared" si="105"/>
        <v>0</v>
      </c>
      <c r="I744" s="919"/>
      <c r="J744" s="914">
        <f t="shared" si="106"/>
        <v>0</v>
      </c>
      <c r="K744" s="919"/>
      <c r="L744" s="914">
        <f t="shared" si="107"/>
        <v>0</v>
      </c>
      <c r="M744" s="919"/>
      <c r="N744" s="914">
        <f t="shared" si="101"/>
        <v>0</v>
      </c>
      <c r="O744" s="914"/>
      <c r="P744" s="914">
        <f t="shared" si="108"/>
        <v>0</v>
      </c>
      <c r="Q744" s="914"/>
      <c r="R744" s="914">
        <f t="shared" si="109"/>
        <v>0</v>
      </c>
      <c r="S744" s="915">
        <f t="shared" si="102"/>
        <v>0</v>
      </c>
      <c r="T744" s="911">
        <f t="shared" si="103"/>
        <v>0</v>
      </c>
    </row>
    <row r="745" spans="1:20" ht="250.5" hidden="1" customHeight="1">
      <c r="A745" s="905" t="s">
        <v>4674</v>
      </c>
      <c r="B745" s="989" t="s">
        <v>4669</v>
      </c>
      <c r="C745" s="959">
        <f>DATA!R3720</f>
        <v>4504.3599999999997</v>
      </c>
      <c r="D745" s="908" t="s">
        <v>2273</v>
      </c>
      <c r="E745" s="919"/>
      <c r="F745" s="1053">
        <f t="shared" si="104"/>
        <v>0</v>
      </c>
      <c r="G745" s="919"/>
      <c r="H745" s="914">
        <f t="shared" si="105"/>
        <v>0</v>
      </c>
      <c r="I745" s="919"/>
      <c r="J745" s="914">
        <f t="shared" si="106"/>
        <v>0</v>
      </c>
      <c r="K745" s="919"/>
      <c r="L745" s="914">
        <f t="shared" si="107"/>
        <v>0</v>
      </c>
      <c r="M745" s="919"/>
      <c r="N745" s="914">
        <f t="shared" si="101"/>
        <v>0</v>
      </c>
      <c r="O745" s="914"/>
      <c r="P745" s="914">
        <f t="shared" si="108"/>
        <v>0</v>
      </c>
      <c r="Q745" s="914"/>
      <c r="R745" s="914">
        <f t="shared" si="109"/>
        <v>0</v>
      </c>
      <c r="S745" s="915">
        <f t="shared" si="102"/>
        <v>0</v>
      </c>
      <c r="T745" s="911">
        <f t="shared" si="103"/>
        <v>0</v>
      </c>
    </row>
    <row r="746" spans="1:20" ht="250.5" hidden="1" customHeight="1">
      <c r="A746" s="905">
        <f>11.6-7.25</f>
        <v>4.4000000000000004</v>
      </c>
      <c r="B746" s="906" t="s">
        <v>6667</v>
      </c>
      <c r="C746" s="990">
        <v>915.02</v>
      </c>
      <c r="D746" s="908" t="s">
        <v>2273</v>
      </c>
      <c r="E746" s="919"/>
      <c r="F746" s="1053">
        <f t="shared" si="104"/>
        <v>0</v>
      </c>
      <c r="G746" s="919"/>
      <c r="H746" s="914">
        <f t="shared" si="105"/>
        <v>0</v>
      </c>
      <c r="I746" s="919"/>
      <c r="J746" s="914">
        <f t="shared" si="106"/>
        <v>0</v>
      </c>
      <c r="K746" s="919"/>
      <c r="L746" s="914">
        <f t="shared" si="107"/>
        <v>0</v>
      </c>
      <c r="M746" s="919"/>
      <c r="N746" s="914">
        <f t="shared" si="101"/>
        <v>0</v>
      </c>
      <c r="O746" s="914"/>
      <c r="P746" s="914">
        <f t="shared" si="108"/>
        <v>0</v>
      </c>
      <c r="Q746" s="914"/>
      <c r="R746" s="914">
        <f t="shared" si="109"/>
        <v>0</v>
      </c>
      <c r="S746" s="915">
        <f t="shared" si="102"/>
        <v>0</v>
      </c>
      <c r="T746" s="911">
        <f t="shared" si="103"/>
        <v>0</v>
      </c>
    </row>
    <row r="747" spans="1:20" ht="250.5" hidden="1" customHeight="1">
      <c r="A747" s="905"/>
      <c r="B747" s="906" t="s">
        <v>6668</v>
      </c>
      <c r="C747" s="990">
        <v>990</v>
      </c>
      <c r="D747" s="908" t="s">
        <v>2273</v>
      </c>
      <c r="E747" s="919"/>
      <c r="F747" s="1053">
        <f t="shared" si="104"/>
        <v>0</v>
      </c>
      <c r="G747" s="919"/>
      <c r="H747" s="914">
        <f t="shared" si="105"/>
        <v>0</v>
      </c>
      <c r="I747" s="919"/>
      <c r="J747" s="914">
        <f t="shared" si="106"/>
        <v>0</v>
      </c>
      <c r="K747" s="919"/>
      <c r="L747" s="914">
        <f t="shared" si="107"/>
        <v>0</v>
      </c>
      <c r="M747" s="919"/>
      <c r="N747" s="914">
        <f t="shared" si="101"/>
        <v>0</v>
      </c>
      <c r="O747" s="914"/>
      <c r="P747" s="914">
        <f t="shared" si="108"/>
        <v>0</v>
      </c>
      <c r="Q747" s="914"/>
      <c r="R747" s="914">
        <f t="shared" si="109"/>
        <v>0</v>
      </c>
      <c r="S747" s="915">
        <f t="shared" si="102"/>
        <v>0</v>
      </c>
      <c r="T747" s="911">
        <f t="shared" si="103"/>
        <v>0</v>
      </c>
    </row>
    <row r="748" spans="1:20" ht="250.5" customHeight="1">
      <c r="A748" s="905"/>
      <c r="B748" s="906" t="s">
        <v>3557</v>
      </c>
      <c r="C748" s="959">
        <v>905</v>
      </c>
      <c r="D748" s="908" t="s">
        <v>823</v>
      </c>
      <c r="E748" s="919"/>
      <c r="F748" s="1053">
        <f t="shared" si="104"/>
        <v>0</v>
      </c>
      <c r="G748" s="919"/>
      <c r="H748" s="914">
        <f t="shared" si="105"/>
        <v>0</v>
      </c>
      <c r="I748" s="919"/>
      <c r="J748" s="914">
        <f t="shared" si="106"/>
        <v>0</v>
      </c>
      <c r="K748" s="919"/>
      <c r="L748" s="914">
        <f t="shared" si="107"/>
        <v>0</v>
      </c>
      <c r="M748" s="919"/>
      <c r="N748" s="914">
        <f t="shared" si="101"/>
        <v>0</v>
      </c>
      <c r="O748" s="914"/>
      <c r="P748" s="914">
        <f t="shared" si="108"/>
        <v>0</v>
      </c>
      <c r="Q748" s="914"/>
      <c r="R748" s="914">
        <f t="shared" si="109"/>
        <v>0</v>
      </c>
      <c r="S748" s="915">
        <f t="shared" si="102"/>
        <v>0</v>
      </c>
      <c r="T748" s="911">
        <f t="shared" si="103"/>
        <v>0</v>
      </c>
    </row>
    <row r="749" spans="1:20" ht="250.5" customHeight="1">
      <c r="A749" s="905"/>
      <c r="B749" s="906" t="s">
        <v>3594</v>
      </c>
      <c r="C749" s="959">
        <v>8467.2999999999993</v>
      </c>
      <c r="D749" s="908" t="s">
        <v>1393</v>
      </c>
      <c r="E749" s="919"/>
      <c r="F749" s="1053">
        <f t="shared" si="104"/>
        <v>0</v>
      </c>
      <c r="G749" s="919"/>
      <c r="H749" s="914">
        <f t="shared" si="105"/>
        <v>0</v>
      </c>
      <c r="I749" s="919"/>
      <c r="J749" s="914">
        <f t="shared" si="106"/>
        <v>0</v>
      </c>
      <c r="K749" s="919"/>
      <c r="L749" s="914">
        <f t="shared" si="107"/>
        <v>0</v>
      </c>
      <c r="M749" s="919"/>
      <c r="N749" s="914">
        <f t="shared" si="101"/>
        <v>0</v>
      </c>
      <c r="O749" s="914"/>
      <c r="P749" s="914">
        <f t="shared" si="108"/>
        <v>0</v>
      </c>
      <c r="Q749" s="914"/>
      <c r="R749" s="914">
        <f t="shared" si="109"/>
        <v>0</v>
      </c>
      <c r="S749" s="915">
        <f t="shared" si="102"/>
        <v>0</v>
      </c>
      <c r="T749" s="911">
        <f t="shared" si="103"/>
        <v>0</v>
      </c>
    </row>
    <row r="750" spans="1:20" ht="408" customHeight="1">
      <c r="A750" s="905"/>
      <c r="B750" s="906" t="s">
        <v>7004</v>
      </c>
      <c r="C750" s="959">
        <v>4146</v>
      </c>
      <c r="D750" s="908" t="s">
        <v>1393</v>
      </c>
      <c r="E750" s="919">
        <f>DSP!H2330</f>
        <v>2</v>
      </c>
      <c r="F750" s="1053">
        <f t="shared" si="104"/>
        <v>8292</v>
      </c>
      <c r="G750" s="919"/>
      <c r="H750" s="914">
        <f t="shared" si="105"/>
        <v>0</v>
      </c>
      <c r="I750" s="919"/>
      <c r="J750" s="914">
        <f t="shared" si="106"/>
        <v>0</v>
      </c>
      <c r="K750" s="919"/>
      <c r="L750" s="914">
        <f t="shared" si="107"/>
        <v>0</v>
      </c>
      <c r="M750" s="919"/>
      <c r="N750" s="914">
        <f t="shared" si="101"/>
        <v>0</v>
      </c>
      <c r="O750" s="914"/>
      <c r="P750" s="914">
        <f t="shared" si="108"/>
        <v>0</v>
      </c>
      <c r="Q750" s="914"/>
      <c r="R750" s="914">
        <f t="shared" si="109"/>
        <v>0</v>
      </c>
      <c r="S750" s="915">
        <f t="shared" si="102"/>
        <v>2</v>
      </c>
      <c r="T750" s="911">
        <f t="shared" si="103"/>
        <v>8292</v>
      </c>
    </row>
    <row r="751" spans="1:20" ht="408" customHeight="1">
      <c r="A751" s="905"/>
      <c r="B751" s="906" t="s">
        <v>7008</v>
      </c>
      <c r="C751" s="959">
        <v>1181</v>
      </c>
      <c r="D751" s="908" t="s">
        <v>1393</v>
      </c>
      <c r="E751" s="919">
        <f>DSP!H2315</f>
        <v>4</v>
      </c>
      <c r="F751" s="1053">
        <f t="shared" si="104"/>
        <v>4724</v>
      </c>
      <c r="G751" s="919"/>
      <c r="H751" s="914">
        <f t="shared" si="105"/>
        <v>0</v>
      </c>
      <c r="I751" s="919"/>
      <c r="J751" s="914">
        <f t="shared" si="106"/>
        <v>0</v>
      </c>
      <c r="K751" s="919"/>
      <c r="L751" s="914">
        <f t="shared" si="107"/>
        <v>0</v>
      </c>
      <c r="M751" s="919"/>
      <c r="N751" s="914">
        <f t="shared" si="101"/>
        <v>0</v>
      </c>
      <c r="O751" s="914"/>
      <c r="P751" s="914">
        <f t="shared" si="108"/>
        <v>0</v>
      </c>
      <c r="Q751" s="914"/>
      <c r="R751" s="914">
        <f t="shared" si="109"/>
        <v>0</v>
      </c>
      <c r="S751" s="915">
        <f t="shared" si="102"/>
        <v>4</v>
      </c>
      <c r="T751" s="911">
        <f t="shared" si="103"/>
        <v>4724</v>
      </c>
    </row>
    <row r="752" spans="1:20" ht="250.5" hidden="1" customHeight="1">
      <c r="A752" s="905"/>
      <c r="B752" s="906" t="s">
        <v>3558</v>
      </c>
      <c r="C752" s="959"/>
      <c r="D752" s="908"/>
      <c r="E752" s="919"/>
      <c r="F752" s="1053">
        <f t="shared" si="104"/>
        <v>0</v>
      </c>
      <c r="G752" s="919"/>
      <c r="H752" s="914">
        <f t="shared" si="105"/>
        <v>0</v>
      </c>
      <c r="I752" s="919"/>
      <c r="J752" s="914">
        <f t="shared" si="106"/>
        <v>0</v>
      </c>
      <c r="K752" s="919"/>
      <c r="L752" s="914">
        <f t="shared" si="107"/>
        <v>0</v>
      </c>
      <c r="M752" s="919"/>
      <c r="N752" s="914">
        <f t="shared" si="101"/>
        <v>0</v>
      </c>
      <c r="O752" s="914"/>
      <c r="P752" s="914">
        <f t="shared" si="108"/>
        <v>0</v>
      </c>
      <c r="Q752" s="914"/>
      <c r="R752" s="914">
        <f t="shared" si="109"/>
        <v>0</v>
      </c>
      <c r="S752" s="915">
        <f t="shared" si="102"/>
        <v>0</v>
      </c>
      <c r="T752" s="911">
        <f t="shared" si="103"/>
        <v>0</v>
      </c>
    </row>
    <row r="753" spans="1:20" ht="250.5" hidden="1" customHeight="1">
      <c r="A753" s="905"/>
      <c r="B753" s="906" t="s">
        <v>3595</v>
      </c>
      <c r="C753" s="959">
        <v>5640</v>
      </c>
      <c r="D753" s="908" t="s">
        <v>1393</v>
      </c>
      <c r="E753" s="919"/>
      <c r="F753" s="1053">
        <f t="shared" si="104"/>
        <v>0</v>
      </c>
      <c r="G753" s="919"/>
      <c r="H753" s="914">
        <f t="shared" si="105"/>
        <v>0</v>
      </c>
      <c r="I753" s="919"/>
      <c r="J753" s="914">
        <f t="shared" si="106"/>
        <v>0</v>
      </c>
      <c r="K753" s="919"/>
      <c r="L753" s="914">
        <f t="shared" si="107"/>
        <v>0</v>
      </c>
      <c r="M753" s="919"/>
      <c r="N753" s="914">
        <f t="shared" si="101"/>
        <v>0</v>
      </c>
      <c r="O753" s="914"/>
      <c r="P753" s="914">
        <f t="shared" si="108"/>
        <v>0</v>
      </c>
      <c r="Q753" s="914"/>
      <c r="R753" s="914">
        <f t="shared" si="109"/>
        <v>0</v>
      </c>
      <c r="S753" s="915">
        <f t="shared" si="102"/>
        <v>0</v>
      </c>
      <c r="T753" s="911">
        <f t="shared" si="103"/>
        <v>0</v>
      </c>
    </row>
    <row r="754" spans="1:20" ht="250.5" hidden="1" customHeight="1">
      <c r="A754" s="905"/>
      <c r="B754" s="906" t="s">
        <v>3596</v>
      </c>
      <c r="C754" s="959">
        <v>1340</v>
      </c>
      <c r="D754" s="908" t="s">
        <v>1393</v>
      </c>
      <c r="E754" s="919"/>
      <c r="F754" s="1053">
        <f t="shared" si="104"/>
        <v>0</v>
      </c>
      <c r="G754" s="919"/>
      <c r="H754" s="914">
        <f t="shared" si="105"/>
        <v>0</v>
      </c>
      <c r="I754" s="919"/>
      <c r="J754" s="914">
        <f t="shared" si="106"/>
        <v>0</v>
      </c>
      <c r="K754" s="919"/>
      <c r="L754" s="914">
        <f t="shared" si="107"/>
        <v>0</v>
      </c>
      <c r="M754" s="919"/>
      <c r="N754" s="914">
        <f t="shared" si="101"/>
        <v>0</v>
      </c>
      <c r="O754" s="914"/>
      <c r="P754" s="914">
        <f t="shared" si="108"/>
        <v>0</v>
      </c>
      <c r="Q754" s="914"/>
      <c r="R754" s="914">
        <f t="shared" si="109"/>
        <v>0</v>
      </c>
      <c r="S754" s="915">
        <f t="shared" si="102"/>
        <v>0</v>
      </c>
      <c r="T754" s="911">
        <f t="shared" si="103"/>
        <v>0</v>
      </c>
    </row>
    <row r="755" spans="1:20" ht="250.5" hidden="1" customHeight="1">
      <c r="A755" s="905"/>
      <c r="B755" s="906" t="s">
        <v>3597</v>
      </c>
      <c r="C755" s="959">
        <v>604</v>
      </c>
      <c r="D755" s="908" t="s">
        <v>1393</v>
      </c>
      <c r="E755" s="919"/>
      <c r="F755" s="1053">
        <f t="shared" si="104"/>
        <v>0</v>
      </c>
      <c r="G755" s="919"/>
      <c r="H755" s="914">
        <f t="shared" si="105"/>
        <v>0</v>
      </c>
      <c r="I755" s="919"/>
      <c r="J755" s="914">
        <f t="shared" si="106"/>
        <v>0</v>
      </c>
      <c r="K755" s="919"/>
      <c r="L755" s="914">
        <f t="shared" si="107"/>
        <v>0</v>
      </c>
      <c r="M755" s="919"/>
      <c r="N755" s="914">
        <f t="shared" si="101"/>
        <v>0</v>
      </c>
      <c r="O755" s="914"/>
      <c r="P755" s="914">
        <f t="shared" si="108"/>
        <v>0</v>
      </c>
      <c r="Q755" s="914"/>
      <c r="R755" s="914">
        <f t="shared" si="109"/>
        <v>0</v>
      </c>
      <c r="S755" s="915">
        <f t="shared" si="102"/>
        <v>0</v>
      </c>
      <c r="T755" s="911">
        <f t="shared" si="103"/>
        <v>0</v>
      </c>
    </row>
    <row r="756" spans="1:20" ht="250.5" hidden="1" customHeight="1">
      <c r="A756" s="905"/>
      <c r="B756" s="906" t="s">
        <v>6671</v>
      </c>
      <c r="C756" s="959"/>
      <c r="D756" s="908"/>
      <c r="E756" s="919"/>
      <c r="F756" s="1053">
        <f t="shared" si="104"/>
        <v>0</v>
      </c>
      <c r="G756" s="919"/>
      <c r="H756" s="914">
        <f t="shared" si="105"/>
        <v>0</v>
      </c>
      <c r="I756" s="919"/>
      <c r="J756" s="914">
        <f t="shared" si="106"/>
        <v>0</v>
      </c>
      <c r="K756" s="919"/>
      <c r="L756" s="914">
        <f t="shared" si="107"/>
        <v>0</v>
      </c>
      <c r="M756" s="919"/>
      <c r="N756" s="914">
        <f t="shared" si="101"/>
        <v>0</v>
      </c>
      <c r="O756" s="914"/>
      <c r="P756" s="914">
        <f t="shared" si="108"/>
        <v>0</v>
      </c>
      <c r="Q756" s="914"/>
      <c r="R756" s="914">
        <f t="shared" si="109"/>
        <v>0</v>
      </c>
      <c r="S756" s="915">
        <f t="shared" si="102"/>
        <v>0</v>
      </c>
      <c r="T756" s="911">
        <f t="shared" si="103"/>
        <v>0</v>
      </c>
    </row>
    <row r="757" spans="1:20" ht="250.5" hidden="1" customHeight="1">
      <c r="A757" s="905"/>
      <c r="B757" s="906" t="s">
        <v>2133</v>
      </c>
      <c r="C757" s="959">
        <v>1000.51</v>
      </c>
      <c r="D757" s="908" t="s">
        <v>1393</v>
      </c>
      <c r="E757" s="919"/>
      <c r="F757" s="1053">
        <f t="shared" si="104"/>
        <v>0</v>
      </c>
      <c r="G757" s="919"/>
      <c r="H757" s="914">
        <f t="shared" si="105"/>
        <v>0</v>
      </c>
      <c r="I757" s="919"/>
      <c r="J757" s="914">
        <f t="shared" si="106"/>
        <v>0</v>
      </c>
      <c r="K757" s="919"/>
      <c r="L757" s="914">
        <f t="shared" si="107"/>
        <v>0</v>
      </c>
      <c r="M757" s="919"/>
      <c r="N757" s="914">
        <f t="shared" ref="N757:N819" si="110">M757*C757</f>
        <v>0</v>
      </c>
      <c r="O757" s="914"/>
      <c r="P757" s="914">
        <f t="shared" si="108"/>
        <v>0</v>
      </c>
      <c r="Q757" s="914"/>
      <c r="R757" s="914">
        <f t="shared" si="109"/>
        <v>0</v>
      </c>
      <c r="S757" s="915">
        <f t="shared" si="102"/>
        <v>0</v>
      </c>
      <c r="T757" s="911">
        <f t="shared" si="103"/>
        <v>0</v>
      </c>
    </row>
    <row r="758" spans="1:20" ht="250.5" hidden="1" customHeight="1">
      <c r="A758" s="905"/>
      <c r="B758" s="906" t="s">
        <v>1265</v>
      </c>
      <c r="C758" s="959">
        <v>1003.51</v>
      </c>
      <c r="D758" s="908" t="s">
        <v>1393</v>
      </c>
      <c r="E758" s="919"/>
      <c r="F758" s="1053">
        <f t="shared" si="104"/>
        <v>0</v>
      </c>
      <c r="G758" s="919"/>
      <c r="H758" s="914">
        <f t="shared" si="105"/>
        <v>0</v>
      </c>
      <c r="I758" s="919"/>
      <c r="J758" s="914">
        <f t="shared" si="106"/>
        <v>0</v>
      </c>
      <c r="K758" s="919"/>
      <c r="L758" s="914">
        <f t="shared" si="107"/>
        <v>0</v>
      </c>
      <c r="M758" s="919"/>
      <c r="N758" s="914">
        <f t="shared" si="110"/>
        <v>0</v>
      </c>
      <c r="O758" s="914"/>
      <c r="P758" s="914">
        <f t="shared" si="108"/>
        <v>0</v>
      </c>
      <c r="Q758" s="914"/>
      <c r="R758" s="914">
        <f t="shared" si="109"/>
        <v>0</v>
      </c>
      <c r="S758" s="915">
        <f t="shared" si="102"/>
        <v>0</v>
      </c>
      <c r="T758" s="911">
        <f t="shared" si="103"/>
        <v>0</v>
      </c>
    </row>
    <row r="759" spans="1:20" ht="250.5" hidden="1" customHeight="1">
      <c r="A759" s="905"/>
      <c r="B759" s="906" t="s">
        <v>6672</v>
      </c>
      <c r="C759" s="959">
        <v>769.3</v>
      </c>
      <c r="D759" s="908" t="s">
        <v>1393</v>
      </c>
      <c r="E759" s="919"/>
      <c r="F759" s="1053">
        <f t="shared" si="104"/>
        <v>0</v>
      </c>
      <c r="G759" s="919"/>
      <c r="H759" s="914">
        <f t="shared" si="105"/>
        <v>0</v>
      </c>
      <c r="I759" s="919"/>
      <c r="J759" s="914">
        <f t="shared" si="106"/>
        <v>0</v>
      </c>
      <c r="K759" s="919"/>
      <c r="L759" s="914">
        <f t="shared" si="107"/>
        <v>0</v>
      </c>
      <c r="M759" s="919"/>
      <c r="N759" s="914">
        <f t="shared" si="110"/>
        <v>0</v>
      </c>
      <c r="O759" s="914"/>
      <c r="P759" s="914">
        <f t="shared" si="108"/>
        <v>0</v>
      </c>
      <c r="Q759" s="914"/>
      <c r="R759" s="914">
        <f t="shared" si="109"/>
        <v>0</v>
      </c>
      <c r="S759" s="915">
        <f t="shared" si="102"/>
        <v>0</v>
      </c>
      <c r="T759" s="911">
        <f t="shared" si="103"/>
        <v>0</v>
      </c>
    </row>
    <row r="760" spans="1:20" ht="250.5" hidden="1" customHeight="1">
      <c r="A760" s="905"/>
      <c r="B760" s="906" t="s">
        <v>6673</v>
      </c>
      <c r="C760" s="959">
        <v>536.54999999999995</v>
      </c>
      <c r="D760" s="908" t="s">
        <v>1393</v>
      </c>
      <c r="E760" s="919"/>
      <c r="F760" s="1053">
        <f t="shared" si="104"/>
        <v>0</v>
      </c>
      <c r="G760" s="919"/>
      <c r="H760" s="914">
        <f t="shared" si="105"/>
        <v>0</v>
      </c>
      <c r="I760" s="919"/>
      <c r="J760" s="914">
        <f t="shared" si="106"/>
        <v>0</v>
      </c>
      <c r="K760" s="919"/>
      <c r="L760" s="914">
        <f t="shared" si="107"/>
        <v>0</v>
      </c>
      <c r="M760" s="919"/>
      <c r="N760" s="914">
        <f t="shared" si="110"/>
        <v>0</v>
      </c>
      <c r="O760" s="914"/>
      <c r="P760" s="914">
        <f t="shared" si="108"/>
        <v>0</v>
      </c>
      <c r="Q760" s="914"/>
      <c r="R760" s="914">
        <f t="shared" si="109"/>
        <v>0</v>
      </c>
      <c r="S760" s="915">
        <f t="shared" si="102"/>
        <v>0</v>
      </c>
      <c r="T760" s="911">
        <f t="shared" si="103"/>
        <v>0</v>
      </c>
    </row>
    <row r="761" spans="1:20" ht="250.5" hidden="1" customHeight="1">
      <c r="A761" s="905"/>
      <c r="B761" s="906" t="s">
        <v>4656</v>
      </c>
      <c r="C761" s="959">
        <v>675</v>
      </c>
      <c r="D761" s="991" t="s">
        <v>1763</v>
      </c>
      <c r="E761" s="914"/>
      <c r="F761" s="1053">
        <f t="shared" si="104"/>
        <v>0</v>
      </c>
      <c r="G761" s="914"/>
      <c r="H761" s="914">
        <f t="shared" si="105"/>
        <v>0</v>
      </c>
      <c r="I761" s="914"/>
      <c r="J761" s="914">
        <f t="shared" si="106"/>
        <v>0</v>
      </c>
      <c r="K761" s="914"/>
      <c r="L761" s="914">
        <f t="shared" si="107"/>
        <v>0</v>
      </c>
      <c r="M761" s="914"/>
      <c r="N761" s="914">
        <f t="shared" si="110"/>
        <v>0</v>
      </c>
      <c r="O761" s="914"/>
      <c r="P761" s="914">
        <f t="shared" si="108"/>
        <v>0</v>
      </c>
      <c r="Q761" s="914"/>
      <c r="R761" s="914">
        <f t="shared" si="109"/>
        <v>0</v>
      </c>
      <c r="S761" s="915">
        <f t="shared" si="102"/>
        <v>0</v>
      </c>
      <c r="T761" s="911">
        <f t="shared" si="103"/>
        <v>0</v>
      </c>
    </row>
    <row r="762" spans="1:20" ht="250.5" hidden="1" customHeight="1">
      <c r="A762" s="905"/>
      <c r="B762" s="906" t="s">
        <v>3602</v>
      </c>
      <c r="C762" s="959">
        <v>435</v>
      </c>
      <c r="D762" s="991" t="s">
        <v>1763</v>
      </c>
      <c r="E762" s="919"/>
      <c r="F762" s="1053">
        <f t="shared" si="104"/>
        <v>0</v>
      </c>
      <c r="G762" s="919"/>
      <c r="H762" s="914">
        <f t="shared" si="105"/>
        <v>0</v>
      </c>
      <c r="I762" s="919"/>
      <c r="J762" s="914">
        <f t="shared" si="106"/>
        <v>0</v>
      </c>
      <c r="K762" s="919"/>
      <c r="L762" s="914">
        <f t="shared" si="107"/>
        <v>0</v>
      </c>
      <c r="M762" s="919"/>
      <c r="N762" s="914">
        <f t="shared" si="110"/>
        <v>0</v>
      </c>
      <c r="O762" s="914"/>
      <c r="P762" s="914">
        <f t="shared" si="108"/>
        <v>0</v>
      </c>
      <c r="Q762" s="914"/>
      <c r="R762" s="914">
        <f t="shared" si="109"/>
        <v>0</v>
      </c>
      <c r="S762" s="915">
        <f t="shared" si="102"/>
        <v>0</v>
      </c>
      <c r="T762" s="911">
        <f t="shared" si="103"/>
        <v>0</v>
      </c>
    </row>
    <row r="763" spans="1:20" ht="250.5" hidden="1" customHeight="1">
      <c r="A763" s="905"/>
      <c r="B763" s="906" t="s">
        <v>3559</v>
      </c>
      <c r="C763" s="959">
        <v>356</v>
      </c>
      <c r="D763" s="991" t="s">
        <v>1763</v>
      </c>
      <c r="E763" s="919"/>
      <c r="F763" s="1053">
        <f t="shared" si="104"/>
        <v>0</v>
      </c>
      <c r="G763" s="919"/>
      <c r="H763" s="914">
        <f t="shared" si="105"/>
        <v>0</v>
      </c>
      <c r="I763" s="919"/>
      <c r="J763" s="914">
        <f t="shared" si="106"/>
        <v>0</v>
      </c>
      <c r="K763" s="919"/>
      <c r="L763" s="914">
        <f t="shared" si="107"/>
        <v>0</v>
      </c>
      <c r="M763" s="919"/>
      <c r="N763" s="914">
        <f t="shared" si="110"/>
        <v>0</v>
      </c>
      <c r="O763" s="914"/>
      <c r="P763" s="914">
        <f t="shared" si="108"/>
        <v>0</v>
      </c>
      <c r="Q763" s="914"/>
      <c r="R763" s="914">
        <f t="shared" si="109"/>
        <v>0</v>
      </c>
      <c r="S763" s="915">
        <f t="shared" si="102"/>
        <v>0</v>
      </c>
      <c r="T763" s="911">
        <f t="shared" si="103"/>
        <v>0</v>
      </c>
    </row>
    <row r="764" spans="1:20" ht="250.5" hidden="1" customHeight="1">
      <c r="A764" s="905"/>
      <c r="B764" s="906" t="s">
        <v>3560</v>
      </c>
      <c r="C764" s="959">
        <v>317</v>
      </c>
      <c r="D764" s="991" t="s">
        <v>1763</v>
      </c>
      <c r="E764" s="919"/>
      <c r="F764" s="1053">
        <f t="shared" si="104"/>
        <v>0</v>
      </c>
      <c r="G764" s="919"/>
      <c r="H764" s="914">
        <f t="shared" si="105"/>
        <v>0</v>
      </c>
      <c r="I764" s="919"/>
      <c r="J764" s="914">
        <f t="shared" si="106"/>
        <v>0</v>
      </c>
      <c r="K764" s="919"/>
      <c r="L764" s="914">
        <f t="shared" si="107"/>
        <v>0</v>
      </c>
      <c r="M764" s="919"/>
      <c r="N764" s="914">
        <f t="shared" si="110"/>
        <v>0</v>
      </c>
      <c r="O764" s="914"/>
      <c r="P764" s="914">
        <f t="shared" si="108"/>
        <v>0</v>
      </c>
      <c r="Q764" s="914"/>
      <c r="R764" s="914">
        <f t="shared" si="109"/>
        <v>0</v>
      </c>
      <c r="S764" s="915">
        <f t="shared" si="102"/>
        <v>0</v>
      </c>
      <c r="T764" s="911">
        <f t="shared" si="103"/>
        <v>0</v>
      </c>
    </row>
    <row r="765" spans="1:20" ht="250.5" hidden="1" customHeight="1">
      <c r="A765" s="905"/>
      <c r="B765" s="906" t="s">
        <v>3590</v>
      </c>
      <c r="C765" s="959">
        <v>176.84</v>
      </c>
      <c r="D765" s="991" t="s">
        <v>823</v>
      </c>
      <c r="E765" s="919"/>
      <c r="F765" s="1053">
        <f t="shared" si="104"/>
        <v>0</v>
      </c>
      <c r="G765" s="919"/>
      <c r="H765" s="914">
        <f t="shared" si="105"/>
        <v>0</v>
      </c>
      <c r="I765" s="919"/>
      <c r="J765" s="914">
        <f t="shared" si="106"/>
        <v>0</v>
      </c>
      <c r="K765" s="919"/>
      <c r="L765" s="914">
        <f t="shared" si="107"/>
        <v>0</v>
      </c>
      <c r="M765" s="919"/>
      <c r="N765" s="914">
        <f t="shared" si="110"/>
        <v>0</v>
      </c>
      <c r="O765" s="914"/>
      <c r="P765" s="914">
        <f t="shared" si="108"/>
        <v>0</v>
      </c>
      <c r="Q765" s="914"/>
      <c r="R765" s="914">
        <f t="shared" si="109"/>
        <v>0</v>
      </c>
      <c r="S765" s="915">
        <f t="shared" si="102"/>
        <v>0</v>
      </c>
      <c r="T765" s="911">
        <f t="shared" si="103"/>
        <v>0</v>
      </c>
    </row>
    <row r="766" spans="1:20" ht="250.5" hidden="1" customHeight="1">
      <c r="A766" s="905"/>
      <c r="B766" s="906" t="s">
        <v>6674</v>
      </c>
      <c r="C766" s="959">
        <v>463</v>
      </c>
      <c r="D766" s="991" t="s">
        <v>1393</v>
      </c>
      <c r="E766" s="914"/>
      <c r="F766" s="1053">
        <f t="shared" si="104"/>
        <v>0</v>
      </c>
      <c r="G766" s="914"/>
      <c r="H766" s="914">
        <f t="shared" si="105"/>
        <v>0</v>
      </c>
      <c r="I766" s="914"/>
      <c r="J766" s="914">
        <f t="shared" si="106"/>
        <v>0</v>
      </c>
      <c r="K766" s="914"/>
      <c r="L766" s="914">
        <f t="shared" si="107"/>
        <v>0</v>
      </c>
      <c r="M766" s="914"/>
      <c r="N766" s="914">
        <f t="shared" si="110"/>
        <v>0</v>
      </c>
      <c r="O766" s="914"/>
      <c r="P766" s="914">
        <f t="shared" si="108"/>
        <v>0</v>
      </c>
      <c r="Q766" s="914"/>
      <c r="R766" s="914">
        <f t="shared" si="109"/>
        <v>0</v>
      </c>
      <c r="S766" s="915">
        <f t="shared" si="102"/>
        <v>0</v>
      </c>
      <c r="T766" s="911">
        <f t="shared" si="103"/>
        <v>0</v>
      </c>
    </row>
    <row r="767" spans="1:20" ht="250.5" hidden="1" customHeight="1">
      <c r="A767" s="905"/>
      <c r="B767" s="906" t="s">
        <v>6675</v>
      </c>
      <c r="C767" s="959">
        <v>293</v>
      </c>
      <c r="D767" s="959" t="s">
        <v>1393</v>
      </c>
      <c r="E767" s="914"/>
      <c r="F767" s="1053">
        <f t="shared" si="104"/>
        <v>0</v>
      </c>
      <c r="G767" s="914"/>
      <c r="H767" s="914">
        <f t="shared" si="105"/>
        <v>0</v>
      </c>
      <c r="I767" s="914"/>
      <c r="J767" s="914">
        <f t="shared" si="106"/>
        <v>0</v>
      </c>
      <c r="K767" s="914"/>
      <c r="L767" s="914">
        <f t="shared" si="107"/>
        <v>0</v>
      </c>
      <c r="M767" s="914"/>
      <c r="N767" s="914">
        <f t="shared" si="110"/>
        <v>0</v>
      </c>
      <c r="O767" s="914"/>
      <c r="P767" s="914">
        <f t="shared" si="108"/>
        <v>0</v>
      </c>
      <c r="Q767" s="914"/>
      <c r="R767" s="914">
        <f t="shared" si="109"/>
        <v>0</v>
      </c>
      <c r="S767" s="915">
        <f t="shared" si="102"/>
        <v>0</v>
      </c>
      <c r="T767" s="911">
        <f t="shared" si="103"/>
        <v>0</v>
      </c>
    </row>
    <row r="768" spans="1:20" ht="250.5" hidden="1" customHeight="1">
      <c r="A768" s="905"/>
      <c r="B768" s="992" t="s">
        <v>4511</v>
      </c>
      <c r="C768" s="993">
        <f>DATA!R1455</f>
        <v>6236.68</v>
      </c>
      <c r="D768" s="994" t="s">
        <v>2273</v>
      </c>
      <c r="E768" s="919"/>
      <c r="F768" s="1053">
        <f t="shared" si="104"/>
        <v>0</v>
      </c>
      <c r="G768" s="919"/>
      <c r="H768" s="914">
        <f t="shared" si="105"/>
        <v>0</v>
      </c>
      <c r="I768" s="919"/>
      <c r="J768" s="914">
        <f t="shared" si="106"/>
        <v>0</v>
      </c>
      <c r="K768" s="919"/>
      <c r="L768" s="914">
        <f t="shared" si="107"/>
        <v>0</v>
      </c>
      <c r="M768" s="919"/>
      <c r="N768" s="914">
        <f t="shared" si="110"/>
        <v>0</v>
      </c>
      <c r="O768" s="914"/>
      <c r="P768" s="914">
        <f t="shared" si="108"/>
        <v>0</v>
      </c>
      <c r="Q768" s="914"/>
      <c r="R768" s="914">
        <f t="shared" si="109"/>
        <v>0</v>
      </c>
      <c r="S768" s="915">
        <f t="shared" si="102"/>
        <v>0</v>
      </c>
      <c r="T768" s="911">
        <f t="shared" si="103"/>
        <v>0</v>
      </c>
    </row>
    <row r="769" spans="1:20" ht="250.5" hidden="1" customHeight="1">
      <c r="A769" s="905"/>
      <c r="B769" s="992" t="s">
        <v>4515</v>
      </c>
      <c r="C769" s="992">
        <f>DATA!K4000</f>
        <v>0</v>
      </c>
      <c r="D769" s="992" t="s">
        <v>2273</v>
      </c>
      <c r="E769" s="919"/>
      <c r="F769" s="1053">
        <f t="shared" si="104"/>
        <v>0</v>
      </c>
      <c r="G769" s="919"/>
      <c r="H769" s="914">
        <f t="shared" si="105"/>
        <v>0</v>
      </c>
      <c r="I769" s="919"/>
      <c r="J769" s="914">
        <f t="shared" si="106"/>
        <v>0</v>
      </c>
      <c r="K769" s="919"/>
      <c r="L769" s="914">
        <f t="shared" si="107"/>
        <v>0</v>
      </c>
      <c r="M769" s="919"/>
      <c r="N769" s="914">
        <f t="shared" si="110"/>
        <v>0</v>
      </c>
      <c r="O769" s="914"/>
      <c r="P769" s="914">
        <f t="shared" si="108"/>
        <v>0</v>
      </c>
      <c r="Q769" s="914"/>
      <c r="R769" s="914">
        <f t="shared" si="109"/>
        <v>0</v>
      </c>
      <c r="S769" s="915">
        <f t="shared" si="102"/>
        <v>0</v>
      </c>
      <c r="T769" s="911">
        <f t="shared" si="103"/>
        <v>0</v>
      </c>
    </row>
    <row r="770" spans="1:20" ht="250.5" hidden="1" customHeight="1">
      <c r="A770" s="905"/>
      <c r="B770" s="992" t="s">
        <v>4509</v>
      </c>
      <c r="C770" s="992">
        <f>'Sliding and french window'!F310</f>
        <v>5580.9</v>
      </c>
      <c r="D770" s="992" t="s">
        <v>2273</v>
      </c>
      <c r="E770" s="919"/>
      <c r="F770" s="1053">
        <f t="shared" si="104"/>
        <v>0</v>
      </c>
      <c r="G770" s="919"/>
      <c r="H770" s="914">
        <f t="shared" si="105"/>
        <v>0</v>
      </c>
      <c r="I770" s="919"/>
      <c r="J770" s="914">
        <f t="shared" si="106"/>
        <v>0</v>
      </c>
      <c r="K770" s="919"/>
      <c r="L770" s="914">
        <f t="shared" si="107"/>
        <v>0</v>
      </c>
      <c r="M770" s="919"/>
      <c r="N770" s="914">
        <f t="shared" si="110"/>
        <v>0</v>
      </c>
      <c r="O770" s="914"/>
      <c r="P770" s="914">
        <f t="shared" si="108"/>
        <v>0</v>
      </c>
      <c r="Q770" s="914"/>
      <c r="R770" s="914">
        <f t="shared" si="109"/>
        <v>0</v>
      </c>
      <c r="S770" s="915">
        <f t="shared" si="102"/>
        <v>0</v>
      </c>
      <c r="T770" s="911">
        <f t="shared" si="103"/>
        <v>0</v>
      </c>
    </row>
    <row r="771" spans="1:20" ht="250.5" hidden="1" customHeight="1">
      <c r="A771" s="905"/>
      <c r="B771" s="992" t="s">
        <v>4512</v>
      </c>
      <c r="C771" s="992">
        <f>'Sliding and french window'!F145</f>
        <v>5573</v>
      </c>
      <c r="D771" s="992" t="s">
        <v>2273</v>
      </c>
      <c r="E771" s="919"/>
      <c r="F771" s="1053">
        <f t="shared" si="104"/>
        <v>0</v>
      </c>
      <c r="G771" s="919"/>
      <c r="H771" s="914">
        <f t="shared" si="105"/>
        <v>0</v>
      </c>
      <c r="I771" s="919"/>
      <c r="J771" s="914">
        <f t="shared" si="106"/>
        <v>0</v>
      </c>
      <c r="K771" s="919"/>
      <c r="L771" s="914">
        <f t="shared" si="107"/>
        <v>0</v>
      </c>
      <c r="M771" s="919"/>
      <c r="N771" s="914">
        <f t="shared" si="110"/>
        <v>0</v>
      </c>
      <c r="O771" s="914"/>
      <c r="P771" s="914">
        <f t="shared" si="108"/>
        <v>0</v>
      </c>
      <c r="Q771" s="914"/>
      <c r="R771" s="914">
        <f t="shared" si="109"/>
        <v>0</v>
      </c>
      <c r="S771" s="915">
        <f t="shared" si="102"/>
        <v>0</v>
      </c>
      <c r="T771" s="911">
        <f t="shared" si="103"/>
        <v>0</v>
      </c>
    </row>
    <row r="772" spans="1:20" ht="250.5" hidden="1" customHeight="1">
      <c r="A772" s="905"/>
      <c r="B772" s="992" t="s">
        <v>4513</v>
      </c>
      <c r="C772" s="992">
        <f>'Sliding and french window'!F167</f>
        <v>4875.91</v>
      </c>
      <c r="D772" s="992" t="s">
        <v>2273</v>
      </c>
      <c r="E772" s="919"/>
      <c r="F772" s="1053">
        <f t="shared" si="104"/>
        <v>0</v>
      </c>
      <c r="G772" s="919"/>
      <c r="H772" s="914">
        <f t="shared" si="105"/>
        <v>0</v>
      </c>
      <c r="I772" s="919"/>
      <c r="J772" s="914">
        <f t="shared" si="106"/>
        <v>0</v>
      </c>
      <c r="K772" s="919"/>
      <c r="L772" s="914">
        <f t="shared" si="107"/>
        <v>0</v>
      </c>
      <c r="M772" s="919"/>
      <c r="N772" s="914">
        <f t="shared" si="110"/>
        <v>0</v>
      </c>
      <c r="O772" s="914"/>
      <c r="P772" s="914">
        <f t="shared" si="108"/>
        <v>0</v>
      </c>
      <c r="Q772" s="914"/>
      <c r="R772" s="914">
        <f t="shared" si="109"/>
        <v>0</v>
      </c>
      <c r="S772" s="915">
        <f t="shared" si="102"/>
        <v>0</v>
      </c>
      <c r="T772" s="911">
        <f t="shared" si="103"/>
        <v>0</v>
      </c>
    </row>
    <row r="773" spans="1:20" ht="250.5" hidden="1" customHeight="1">
      <c r="A773" s="905"/>
      <c r="B773" s="992" t="s">
        <v>4514</v>
      </c>
      <c r="C773" s="992">
        <f>DATA!K4016</f>
        <v>0</v>
      </c>
      <c r="D773" s="992" t="s">
        <v>2273</v>
      </c>
      <c r="E773" s="919"/>
      <c r="F773" s="1053">
        <f t="shared" si="104"/>
        <v>0</v>
      </c>
      <c r="G773" s="919"/>
      <c r="H773" s="914">
        <f t="shared" si="105"/>
        <v>0</v>
      </c>
      <c r="I773" s="919"/>
      <c r="J773" s="914">
        <f t="shared" si="106"/>
        <v>0</v>
      </c>
      <c r="K773" s="919"/>
      <c r="L773" s="914">
        <f t="shared" si="107"/>
        <v>0</v>
      </c>
      <c r="M773" s="919"/>
      <c r="N773" s="914">
        <f t="shared" si="110"/>
        <v>0</v>
      </c>
      <c r="O773" s="914"/>
      <c r="P773" s="914">
        <f t="shared" si="108"/>
        <v>0</v>
      </c>
      <c r="Q773" s="914"/>
      <c r="R773" s="914">
        <f t="shared" si="109"/>
        <v>0</v>
      </c>
      <c r="S773" s="915">
        <f t="shared" si="102"/>
        <v>0</v>
      </c>
      <c r="T773" s="911">
        <f t="shared" si="103"/>
        <v>0</v>
      </c>
    </row>
    <row r="774" spans="1:20" ht="250.5" hidden="1" customHeight="1">
      <c r="A774" s="905"/>
      <c r="B774" s="992" t="s">
        <v>4308</v>
      </c>
      <c r="C774" s="992">
        <f>DATA!K4031</f>
        <v>0</v>
      </c>
      <c r="D774" s="992" t="s">
        <v>2273</v>
      </c>
      <c r="E774" s="919"/>
      <c r="F774" s="1053">
        <f t="shared" si="104"/>
        <v>0</v>
      </c>
      <c r="G774" s="919"/>
      <c r="H774" s="914">
        <f t="shared" si="105"/>
        <v>0</v>
      </c>
      <c r="I774" s="919"/>
      <c r="J774" s="914">
        <f t="shared" si="106"/>
        <v>0</v>
      </c>
      <c r="K774" s="919"/>
      <c r="L774" s="914">
        <f t="shared" si="107"/>
        <v>0</v>
      </c>
      <c r="M774" s="919"/>
      <c r="N774" s="914">
        <f t="shared" si="110"/>
        <v>0</v>
      </c>
      <c r="O774" s="914"/>
      <c r="P774" s="914">
        <f t="shared" si="108"/>
        <v>0</v>
      </c>
      <c r="Q774" s="914"/>
      <c r="R774" s="914">
        <f t="shared" si="109"/>
        <v>0</v>
      </c>
      <c r="S774" s="915">
        <f t="shared" si="102"/>
        <v>0</v>
      </c>
      <c r="T774" s="911">
        <f t="shared" si="103"/>
        <v>0</v>
      </c>
    </row>
    <row r="775" spans="1:20" ht="250.5" hidden="1" customHeight="1">
      <c r="A775" s="905"/>
      <c r="B775" s="992" t="s">
        <v>4309</v>
      </c>
      <c r="C775" s="992">
        <f>DATA!K4043</f>
        <v>0</v>
      </c>
      <c r="D775" s="992" t="s">
        <v>2273</v>
      </c>
      <c r="E775" s="919"/>
      <c r="F775" s="1053">
        <f t="shared" si="104"/>
        <v>0</v>
      </c>
      <c r="G775" s="919"/>
      <c r="H775" s="914">
        <f t="shared" si="105"/>
        <v>0</v>
      </c>
      <c r="I775" s="919"/>
      <c r="J775" s="914">
        <f t="shared" si="106"/>
        <v>0</v>
      </c>
      <c r="K775" s="919"/>
      <c r="L775" s="914">
        <f t="shared" si="107"/>
        <v>0</v>
      </c>
      <c r="M775" s="919"/>
      <c r="N775" s="914">
        <f t="shared" si="110"/>
        <v>0</v>
      </c>
      <c r="O775" s="914"/>
      <c r="P775" s="914">
        <f t="shared" si="108"/>
        <v>0</v>
      </c>
      <c r="Q775" s="914"/>
      <c r="R775" s="914">
        <f t="shared" si="109"/>
        <v>0</v>
      </c>
      <c r="S775" s="915">
        <f t="shared" ref="S775:S838" si="111">G775+I775+K775+M775+E775+O775+Q775</f>
        <v>0</v>
      </c>
      <c r="T775" s="911">
        <f t="shared" ref="T775:T838" si="112">S775*C775</f>
        <v>0</v>
      </c>
    </row>
    <row r="776" spans="1:20" ht="250.5" hidden="1" customHeight="1">
      <c r="A776" s="905"/>
      <c r="B776" s="992" t="s">
        <v>4510</v>
      </c>
      <c r="C776" s="992">
        <f>DATA!R1545</f>
        <v>4991.1499999999996</v>
      </c>
      <c r="D776" s="992" t="s">
        <v>2273</v>
      </c>
      <c r="E776" s="919"/>
      <c r="F776" s="1053">
        <f t="shared" si="104"/>
        <v>0</v>
      </c>
      <c r="G776" s="919"/>
      <c r="H776" s="914">
        <f t="shared" si="105"/>
        <v>0</v>
      </c>
      <c r="I776" s="919"/>
      <c r="J776" s="914">
        <f t="shared" si="106"/>
        <v>0</v>
      </c>
      <c r="K776" s="919"/>
      <c r="L776" s="914">
        <f t="shared" si="107"/>
        <v>0</v>
      </c>
      <c r="M776" s="919"/>
      <c r="N776" s="914">
        <f t="shared" si="110"/>
        <v>0</v>
      </c>
      <c r="O776" s="914"/>
      <c r="P776" s="914">
        <f t="shared" si="108"/>
        <v>0</v>
      </c>
      <c r="Q776" s="914"/>
      <c r="R776" s="914">
        <f t="shared" si="109"/>
        <v>0</v>
      </c>
      <c r="S776" s="915">
        <f t="shared" si="111"/>
        <v>0</v>
      </c>
      <c r="T776" s="911">
        <f t="shared" si="112"/>
        <v>0</v>
      </c>
    </row>
    <row r="777" spans="1:20" ht="250.5" hidden="1" customHeight="1">
      <c r="A777" s="905"/>
      <c r="B777" s="906" t="s">
        <v>3589</v>
      </c>
      <c r="C777" s="959">
        <v>6950</v>
      </c>
      <c r="D777" s="991" t="s">
        <v>1393</v>
      </c>
      <c r="E777" s="919"/>
      <c r="F777" s="1053">
        <f t="shared" si="104"/>
        <v>0</v>
      </c>
      <c r="G777" s="919"/>
      <c r="H777" s="914">
        <f t="shared" si="105"/>
        <v>0</v>
      </c>
      <c r="I777" s="919"/>
      <c r="J777" s="914">
        <f t="shared" si="106"/>
        <v>0</v>
      </c>
      <c r="K777" s="919"/>
      <c r="L777" s="914">
        <f t="shared" si="107"/>
        <v>0</v>
      </c>
      <c r="M777" s="919"/>
      <c r="N777" s="914">
        <f t="shared" si="110"/>
        <v>0</v>
      </c>
      <c r="O777" s="914"/>
      <c r="P777" s="914">
        <f t="shared" si="108"/>
        <v>0</v>
      </c>
      <c r="Q777" s="914"/>
      <c r="R777" s="914">
        <f t="shared" si="109"/>
        <v>0</v>
      </c>
      <c r="S777" s="915">
        <f t="shared" si="111"/>
        <v>0</v>
      </c>
      <c r="T777" s="911">
        <f t="shared" si="112"/>
        <v>0</v>
      </c>
    </row>
    <row r="778" spans="1:20" ht="250.5" hidden="1" customHeight="1">
      <c r="A778" s="905"/>
      <c r="B778" s="906" t="s">
        <v>3621</v>
      </c>
      <c r="C778" s="959">
        <v>634</v>
      </c>
      <c r="D778" s="991" t="s">
        <v>1393</v>
      </c>
      <c r="E778" s="919"/>
      <c r="F778" s="1053">
        <f t="shared" si="104"/>
        <v>0</v>
      </c>
      <c r="G778" s="919"/>
      <c r="H778" s="914">
        <f t="shared" si="105"/>
        <v>0</v>
      </c>
      <c r="I778" s="919"/>
      <c r="J778" s="914">
        <f t="shared" si="106"/>
        <v>0</v>
      </c>
      <c r="K778" s="919"/>
      <c r="L778" s="914">
        <f t="shared" si="107"/>
        <v>0</v>
      </c>
      <c r="M778" s="919"/>
      <c r="N778" s="914">
        <f t="shared" si="110"/>
        <v>0</v>
      </c>
      <c r="O778" s="914"/>
      <c r="P778" s="914">
        <f t="shared" si="108"/>
        <v>0</v>
      </c>
      <c r="Q778" s="914"/>
      <c r="R778" s="914">
        <f t="shared" si="109"/>
        <v>0</v>
      </c>
      <c r="S778" s="915">
        <f t="shared" si="111"/>
        <v>0</v>
      </c>
      <c r="T778" s="911">
        <f t="shared" si="112"/>
        <v>0</v>
      </c>
    </row>
    <row r="779" spans="1:20" ht="250.5" hidden="1" customHeight="1">
      <c r="A779" s="905"/>
      <c r="B779" s="906" t="s">
        <v>3638</v>
      </c>
      <c r="C779" s="959">
        <v>9470</v>
      </c>
      <c r="D779" s="991" t="s">
        <v>1393</v>
      </c>
      <c r="E779" s="919"/>
      <c r="F779" s="1053">
        <f t="shared" si="104"/>
        <v>0</v>
      </c>
      <c r="G779" s="919"/>
      <c r="H779" s="914">
        <f t="shared" si="105"/>
        <v>0</v>
      </c>
      <c r="I779" s="919"/>
      <c r="J779" s="914">
        <f t="shared" si="106"/>
        <v>0</v>
      </c>
      <c r="K779" s="919"/>
      <c r="L779" s="914">
        <f t="shared" si="107"/>
        <v>0</v>
      </c>
      <c r="M779" s="919"/>
      <c r="N779" s="914">
        <f t="shared" si="110"/>
        <v>0</v>
      </c>
      <c r="O779" s="914"/>
      <c r="P779" s="914">
        <f t="shared" ref="P779:P842" si="113">O779*C779</f>
        <v>0</v>
      </c>
      <c r="Q779" s="914"/>
      <c r="R779" s="914">
        <f t="shared" si="109"/>
        <v>0</v>
      </c>
      <c r="S779" s="915">
        <f t="shared" si="111"/>
        <v>0</v>
      </c>
      <c r="T779" s="911">
        <f t="shared" si="112"/>
        <v>0</v>
      </c>
    </row>
    <row r="780" spans="1:20" ht="250.5" hidden="1" customHeight="1">
      <c r="A780" s="905"/>
      <c r="B780" s="906" t="s">
        <v>3603</v>
      </c>
      <c r="C780" s="959">
        <v>293</v>
      </c>
      <c r="D780" s="991" t="s">
        <v>1393</v>
      </c>
      <c r="E780" s="919"/>
      <c r="F780" s="1053">
        <f t="shared" ref="F780:F842" si="114">E780*C780</f>
        <v>0</v>
      </c>
      <c r="G780" s="919"/>
      <c r="H780" s="914">
        <f t="shared" ref="H780:H842" si="115">G780*C780</f>
        <v>0</v>
      </c>
      <c r="I780" s="919"/>
      <c r="J780" s="914">
        <f t="shared" ref="J780:J842" si="116">I780*C780</f>
        <v>0</v>
      </c>
      <c r="K780" s="919"/>
      <c r="L780" s="914">
        <f t="shared" ref="L780:L842" si="117">K780*C780</f>
        <v>0</v>
      </c>
      <c r="M780" s="919"/>
      <c r="N780" s="914">
        <f t="shared" si="110"/>
        <v>0</v>
      </c>
      <c r="O780" s="914"/>
      <c r="P780" s="914">
        <f t="shared" si="113"/>
        <v>0</v>
      </c>
      <c r="Q780" s="914"/>
      <c r="R780" s="914">
        <f t="shared" ref="R780:R843" si="118">Q780*C780</f>
        <v>0</v>
      </c>
      <c r="S780" s="915">
        <f t="shared" si="111"/>
        <v>0</v>
      </c>
      <c r="T780" s="911">
        <f t="shared" si="112"/>
        <v>0</v>
      </c>
    </row>
    <row r="781" spans="1:20" ht="250.5" customHeight="1">
      <c r="A781" s="905"/>
      <c r="B781" s="906" t="s">
        <v>7010</v>
      </c>
      <c r="C781" s="990">
        <v>710</v>
      </c>
      <c r="D781" s="908" t="s">
        <v>1393</v>
      </c>
      <c r="E781" s="919">
        <f>DSP!H2334</f>
        <v>5</v>
      </c>
      <c r="F781" s="1053">
        <f t="shared" si="114"/>
        <v>3550</v>
      </c>
      <c r="G781" s="919"/>
      <c r="H781" s="914">
        <f t="shared" si="115"/>
        <v>0</v>
      </c>
      <c r="I781" s="919"/>
      <c r="J781" s="914">
        <f t="shared" si="116"/>
        <v>0</v>
      </c>
      <c r="K781" s="919"/>
      <c r="L781" s="914">
        <f t="shared" si="117"/>
        <v>0</v>
      </c>
      <c r="M781" s="919"/>
      <c r="N781" s="914">
        <f t="shared" si="110"/>
        <v>0</v>
      </c>
      <c r="O781" s="914"/>
      <c r="P781" s="914">
        <f t="shared" si="113"/>
        <v>0</v>
      </c>
      <c r="Q781" s="914"/>
      <c r="R781" s="914">
        <f t="shared" si="118"/>
        <v>0</v>
      </c>
      <c r="S781" s="915">
        <f t="shared" si="111"/>
        <v>5</v>
      </c>
      <c r="T781" s="911">
        <f t="shared" si="112"/>
        <v>3550</v>
      </c>
    </row>
    <row r="782" spans="1:20" ht="355.5" customHeight="1">
      <c r="A782" s="905"/>
      <c r="B782" s="906" t="s">
        <v>7009</v>
      </c>
      <c r="C782" s="990">
        <v>520</v>
      </c>
      <c r="D782" s="908" t="s">
        <v>1393</v>
      </c>
      <c r="E782" s="919">
        <f>DSP!H2316</f>
        <v>7</v>
      </c>
      <c r="F782" s="1053">
        <f t="shared" si="114"/>
        <v>3640</v>
      </c>
      <c r="G782" s="919"/>
      <c r="H782" s="914">
        <f t="shared" si="115"/>
        <v>0</v>
      </c>
      <c r="I782" s="919"/>
      <c r="J782" s="914">
        <f t="shared" si="116"/>
        <v>0</v>
      </c>
      <c r="K782" s="919"/>
      <c r="L782" s="914">
        <f t="shared" si="117"/>
        <v>0</v>
      </c>
      <c r="M782" s="919"/>
      <c r="N782" s="914">
        <f t="shared" si="110"/>
        <v>0</v>
      </c>
      <c r="O782" s="914"/>
      <c r="P782" s="914">
        <f t="shared" si="113"/>
        <v>0</v>
      </c>
      <c r="Q782" s="914"/>
      <c r="R782" s="914">
        <f t="shared" si="118"/>
        <v>0</v>
      </c>
      <c r="S782" s="915">
        <f t="shared" si="111"/>
        <v>7</v>
      </c>
      <c r="T782" s="911">
        <f t="shared" si="112"/>
        <v>3640</v>
      </c>
    </row>
    <row r="783" spans="1:20" ht="213" customHeight="1">
      <c r="A783" s="905"/>
      <c r="B783" s="995" t="s">
        <v>6678</v>
      </c>
      <c r="C783" s="959">
        <v>473.5</v>
      </c>
      <c r="D783" s="991" t="s">
        <v>823</v>
      </c>
      <c r="E783" s="919"/>
      <c r="F783" s="1053">
        <f t="shared" si="114"/>
        <v>0</v>
      </c>
      <c r="G783" s="919"/>
      <c r="H783" s="914">
        <f t="shared" si="115"/>
        <v>0</v>
      </c>
      <c r="I783" s="919"/>
      <c r="J783" s="914">
        <f t="shared" si="116"/>
        <v>0</v>
      </c>
      <c r="K783" s="919"/>
      <c r="L783" s="914">
        <f t="shared" si="117"/>
        <v>0</v>
      </c>
      <c r="M783" s="919"/>
      <c r="N783" s="914">
        <f t="shared" si="110"/>
        <v>0</v>
      </c>
      <c r="O783" s="914"/>
      <c r="P783" s="914">
        <f t="shared" si="113"/>
        <v>0</v>
      </c>
      <c r="Q783" s="914"/>
      <c r="R783" s="914">
        <f t="shared" si="118"/>
        <v>0</v>
      </c>
      <c r="S783" s="915">
        <f t="shared" si="111"/>
        <v>0</v>
      </c>
      <c r="T783" s="911">
        <f t="shared" si="112"/>
        <v>0</v>
      </c>
    </row>
    <row r="784" spans="1:20" ht="250.5" customHeight="1">
      <c r="A784" s="905"/>
      <c r="B784" s="995" t="s">
        <v>7002</v>
      </c>
      <c r="C784" s="959">
        <v>1013</v>
      </c>
      <c r="D784" s="991" t="s">
        <v>1393</v>
      </c>
      <c r="E784" s="919">
        <f>DSP!H2334</f>
        <v>5</v>
      </c>
      <c r="F784" s="1053">
        <f t="shared" si="114"/>
        <v>5065</v>
      </c>
      <c r="G784" s="919"/>
      <c r="H784" s="914">
        <f t="shared" si="115"/>
        <v>0</v>
      </c>
      <c r="I784" s="919"/>
      <c r="J784" s="914">
        <f t="shared" si="116"/>
        <v>0</v>
      </c>
      <c r="K784" s="919"/>
      <c r="L784" s="914">
        <f t="shared" si="117"/>
        <v>0</v>
      </c>
      <c r="M784" s="919"/>
      <c r="N784" s="914">
        <f t="shared" si="110"/>
        <v>0</v>
      </c>
      <c r="O784" s="914"/>
      <c r="P784" s="914">
        <f t="shared" si="113"/>
        <v>0</v>
      </c>
      <c r="Q784" s="914"/>
      <c r="R784" s="914">
        <f t="shared" si="118"/>
        <v>0</v>
      </c>
      <c r="S784" s="915">
        <f t="shared" si="111"/>
        <v>5</v>
      </c>
      <c r="T784" s="911">
        <f t="shared" si="112"/>
        <v>5065</v>
      </c>
    </row>
    <row r="785" spans="1:114" ht="250.5" hidden="1" customHeight="1">
      <c r="A785" s="905"/>
      <c r="B785" s="995" t="s">
        <v>3598</v>
      </c>
      <c r="C785" s="959">
        <v>11481.8</v>
      </c>
      <c r="D785" s="991" t="s">
        <v>1393</v>
      </c>
      <c r="E785" s="919"/>
      <c r="F785" s="1053">
        <f t="shared" si="114"/>
        <v>0</v>
      </c>
      <c r="G785" s="919"/>
      <c r="H785" s="914">
        <f t="shared" si="115"/>
        <v>0</v>
      </c>
      <c r="I785" s="919"/>
      <c r="J785" s="914">
        <f t="shared" si="116"/>
        <v>0</v>
      </c>
      <c r="K785" s="919"/>
      <c r="L785" s="914">
        <f t="shared" si="117"/>
        <v>0</v>
      </c>
      <c r="M785" s="919"/>
      <c r="N785" s="914">
        <f t="shared" si="110"/>
        <v>0</v>
      </c>
      <c r="O785" s="914"/>
      <c r="P785" s="914">
        <f t="shared" si="113"/>
        <v>0</v>
      </c>
      <c r="Q785" s="914"/>
      <c r="R785" s="914">
        <f t="shared" si="118"/>
        <v>0</v>
      </c>
      <c r="S785" s="915">
        <f t="shared" si="111"/>
        <v>0</v>
      </c>
      <c r="T785" s="911">
        <f t="shared" si="112"/>
        <v>0</v>
      </c>
    </row>
    <row r="786" spans="1:114" ht="250.5" hidden="1" customHeight="1">
      <c r="A786" s="905"/>
      <c r="B786" s="995" t="s">
        <v>3613</v>
      </c>
      <c r="C786" s="959">
        <v>5325.6</v>
      </c>
      <c r="D786" s="991" t="s">
        <v>1393</v>
      </c>
      <c r="E786" s="919"/>
      <c r="F786" s="1053">
        <f t="shared" si="114"/>
        <v>0</v>
      </c>
      <c r="G786" s="919"/>
      <c r="H786" s="914">
        <f t="shared" si="115"/>
        <v>0</v>
      </c>
      <c r="I786" s="919"/>
      <c r="J786" s="914">
        <f t="shared" si="116"/>
        <v>0</v>
      </c>
      <c r="K786" s="919"/>
      <c r="L786" s="914">
        <f t="shared" si="117"/>
        <v>0</v>
      </c>
      <c r="M786" s="919"/>
      <c r="N786" s="914">
        <f t="shared" si="110"/>
        <v>0</v>
      </c>
      <c r="O786" s="914"/>
      <c r="P786" s="914">
        <f t="shared" si="113"/>
        <v>0</v>
      </c>
      <c r="Q786" s="914"/>
      <c r="R786" s="914">
        <f t="shared" si="118"/>
        <v>0</v>
      </c>
      <c r="S786" s="915">
        <f t="shared" si="111"/>
        <v>0</v>
      </c>
      <c r="T786" s="911">
        <f t="shared" si="112"/>
        <v>0</v>
      </c>
    </row>
    <row r="787" spans="1:114" ht="250.5" hidden="1" customHeight="1">
      <c r="A787" s="905"/>
      <c r="B787" s="995" t="s">
        <v>3614</v>
      </c>
      <c r="C787" s="959">
        <v>8254.6</v>
      </c>
      <c r="D787" s="991" t="s">
        <v>1393</v>
      </c>
      <c r="E787" s="919"/>
      <c r="F787" s="1053">
        <f t="shared" si="114"/>
        <v>0</v>
      </c>
      <c r="G787" s="919"/>
      <c r="H787" s="914">
        <f t="shared" si="115"/>
        <v>0</v>
      </c>
      <c r="I787" s="919"/>
      <c r="J787" s="914">
        <f t="shared" si="116"/>
        <v>0</v>
      </c>
      <c r="K787" s="919"/>
      <c r="L787" s="914">
        <f t="shared" si="117"/>
        <v>0</v>
      </c>
      <c r="M787" s="919"/>
      <c r="N787" s="914">
        <f t="shared" si="110"/>
        <v>0</v>
      </c>
      <c r="O787" s="914"/>
      <c r="P787" s="914">
        <f t="shared" si="113"/>
        <v>0</v>
      </c>
      <c r="Q787" s="914"/>
      <c r="R787" s="914">
        <f t="shared" si="118"/>
        <v>0</v>
      </c>
      <c r="S787" s="915">
        <f t="shared" si="111"/>
        <v>0</v>
      </c>
      <c r="T787" s="911">
        <f t="shared" si="112"/>
        <v>0</v>
      </c>
    </row>
    <row r="788" spans="1:114" ht="250.5" hidden="1" customHeight="1">
      <c r="A788" s="905"/>
      <c r="B788" s="995" t="s">
        <v>3615</v>
      </c>
      <c r="C788" s="959">
        <v>6588</v>
      </c>
      <c r="D788" s="991" t="s">
        <v>1393</v>
      </c>
      <c r="E788" s="919"/>
      <c r="F788" s="1053">
        <f t="shared" si="114"/>
        <v>0</v>
      </c>
      <c r="G788" s="919"/>
      <c r="H788" s="914">
        <f t="shared" si="115"/>
        <v>0</v>
      </c>
      <c r="I788" s="919"/>
      <c r="J788" s="914">
        <f t="shared" si="116"/>
        <v>0</v>
      </c>
      <c r="K788" s="919"/>
      <c r="L788" s="914">
        <f t="shared" si="117"/>
        <v>0</v>
      </c>
      <c r="M788" s="919"/>
      <c r="N788" s="914">
        <f t="shared" si="110"/>
        <v>0</v>
      </c>
      <c r="O788" s="914"/>
      <c r="P788" s="914">
        <f t="shared" si="113"/>
        <v>0</v>
      </c>
      <c r="Q788" s="914"/>
      <c r="R788" s="914">
        <f t="shared" si="118"/>
        <v>0</v>
      </c>
      <c r="S788" s="915">
        <f t="shared" si="111"/>
        <v>0</v>
      </c>
      <c r="T788" s="911">
        <f t="shared" si="112"/>
        <v>0</v>
      </c>
    </row>
    <row r="789" spans="1:114" ht="250.5" hidden="1" customHeight="1">
      <c r="A789" s="905"/>
      <c r="B789" s="995" t="s">
        <v>6680</v>
      </c>
      <c r="C789" s="959">
        <v>593</v>
      </c>
      <c r="D789" s="997" t="s">
        <v>1393</v>
      </c>
      <c r="E789" s="919"/>
      <c r="F789" s="1053">
        <f t="shared" si="114"/>
        <v>0</v>
      </c>
      <c r="G789" s="919"/>
      <c r="H789" s="914">
        <f t="shared" si="115"/>
        <v>0</v>
      </c>
      <c r="I789" s="919"/>
      <c r="J789" s="914">
        <f t="shared" si="116"/>
        <v>0</v>
      </c>
      <c r="K789" s="919"/>
      <c r="L789" s="914">
        <f t="shared" si="117"/>
        <v>0</v>
      </c>
      <c r="M789" s="919"/>
      <c r="N789" s="914">
        <f t="shared" si="110"/>
        <v>0</v>
      </c>
      <c r="O789" s="914"/>
      <c r="P789" s="914">
        <f t="shared" si="113"/>
        <v>0</v>
      </c>
      <c r="Q789" s="914"/>
      <c r="R789" s="914">
        <f t="shared" si="118"/>
        <v>0</v>
      </c>
      <c r="S789" s="915">
        <f t="shared" si="111"/>
        <v>0</v>
      </c>
      <c r="T789" s="911">
        <f t="shared" si="112"/>
        <v>0</v>
      </c>
    </row>
    <row r="790" spans="1:114" ht="250.5" hidden="1" customHeight="1">
      <c r="A790" s="998"/>
      <c r="B790" s="999" t="s">
        <v>4373</v>
      </c>
      <c r="C790" s="1000"/>
      <c r="D790" s="1001"/>
      <c r="E790" s="919"/>
      <c r="F790" s="1053">
        <f t="shared" si="114"/>
        <v>0</v>
      </c>
      <c r="G790" s="919"/>
      <c r="H790" s="914">
        <f t="shared" si="115"/>
        <v>0</v>
      </c>
      <c r="I790" s="919"/>
      <c r="J790" s="914">
        <f t="shared" si="116"/>
        <v>0</v>
      </c>
      <c r="K790" s="919"/>
      <c r="L790" s="914">
        <f t="shared" si="117"/>
        <v>0</v>
      </c>
      <c r="M790" s="919"/>
      <c r="N790" s="914">
        <f t="shared" si="110"/>
        <v>0</v>
      </c>
      <c r="O790" s="914"/>
      <c r="P790" s="914">
        <f t="shared" si="113"/>
        <v>0</v>
      </c>
      <c r="Q790" s="914"/>
      <c r="R790" s="914">
        <f t="shared" si="118"/>
        <v>0</v>
      </c>
      <c r="S790" s="915">
        <f t="shared" si="111"/>
        <v>0</v>
      </c>
      <c r="T790" s="911">
        <f t="shared" si="112"/>
        <v>0</v>
      </c>
    </row>
    <row r="791" spans="1:114" s="1002" customFormat="1" ht="250.5" hidden="1" customHeight="1">
      <c r="A791" s="905"/>
      <c r="B791" s="958" t="s">
        <v>3561</v>
      </c>
      <c r="C791" s="959">
        <v>6300</v>
      </c>
      <c r="D791" s="961" t="s">
        <v>2273</v>
      </c>
      <c r="E791" s="919"/>
      <c r="F791" s="1053">
        <f t="shared" si="114"/>
        <v>0</v>
      </c>
      <c r="G791" s="919"/>
      <c r="H791" s="914">
        <f t="shared" si="115"/>
        <v>0</v>
      </c>
      <c r="I791" s="919"/>
      <c r="J791" s="914">
        <f t="shared" si="116"/>
        <v>0</v>
      </c>
      <c r="K791" s="919"/>
      <c r="L791" s="914">
        <f t="shared" si="117"/>
        <v>0</v>
      </c>
      <c r="M791" s="919"/>
      <c r="N791" s="914">
        <f t="shared" si="110"/>
        <v>0</v>
      </c>
      <c r="O791" s="914"/>
      <c r="P791" s="914">
        <f t="shared" si="113"/>
        <v>0</v>
      </c>
      <c r="Q791" s="914"/>
      <c r="R791" s="914">
        <f t="shared" si="118"/>
        <v>0</v>
      </c>
      <c r="S791" s="915">
        <f t="shared" si="111"/>
        <v>0</v>
      </c>
      <c r="T791" s="911">
        <f t="shared" si="112"/>
        <v>0</v>
      </c>
      <c r="U791" s="1175"/>
      <c r="V791" s="1175"/>
      <c r="W791" s="1175"/>
      <c r="X791" s="1175"/>
      <c r="Y791" s="1175"/>
      <c r="Z791" s="1175"/>
      <c r="AA791" s="1175"/>
      <c r="AB791" s="1175"/>
      <c r="AC791" s="1175"/>
      <c r="AD791" s="1175"/>
      <c r="AE791" s="1175"/>
      <c r="AF791" s="1175"/>
      <c r="AG791" s="1175"/>
      <c r="AH791" s="1175"/>
      <c r="AI791" s="1175"/>
      <c r="AJ791" s="1175"/>
      <c r="AK791" s="1175"/>
      <c r="AL791" s="1175"/>
      <c r="AM791" s="1175"/>
      <c r="AN791" s="1175"/>
      <c r="AO791" s="1175"/>
      <c r="AP791" s="1175"/>
      <c r="AQ791" s="1175"/>
      <c r="AR791" s="1175"/>
      <c r="AS791" s="1175"/>
      <c r="AT791" s="1175"/>
      <c r="AU791" s="1175"/>
      <c r="AV791" s="1175"/>
      <c r="AW791" s="1175"/>
      <c r="AX791" s="1175"/>
      <c r="AY791" s="1175"/>
      <c r="AZ791" s="1175"/>
      <c r="BA791" s="1175"/>
      <c r="BB791" s="1175"/>
      <c r="BC791" s="1175"/>
      <c r="BD791" s="1175"/>
      <c r="BE791" s="1175"/>
      <c r="BF791" s="1175"/>
      <c r="BG791" s="1175"/>
      <c r="BH791" s="1175"/>
      <c r="BI791" s="1175"/>
      <c r="BJ791" s="1175"/>
      <c r="BK791" s="1175"/>
      <c r="BL791" s="1175"/>
      <c r="BM791" s="1175"/>
      <c r="BN791" s="1175"/>
      <c r="BO791" s="1175"/>
      <c r="BP791" s="1175"/>
      <c r="BQ791" s="1175"/>
      <c r="BR791" s="1175"/>
      <c r="BS791" s="1175"/>
      <c r="BT791" s="1175"/>
      <c r="BU791" s="1175"/>
      <c r="BV791" s="1175"/>
      <c r="BW791" s="1175"/>
      <c r="BX791" s="1175"/>
      <c r="BY791" s="1175"/>
      <c r="BZ791" s="1175"/>
      <c r="CA791" s="1175"/>
      <c r="CB791" s="1175"/>
      <c r="CC791" s="1175"/>
      <c r="CD791" s="1175"/>
      <c r="CE791" s="1175"/>
      <c r="CF791" s="1175"/>
      <c r="CG791" s="1175"/>
      <c r="CH791" s="1175"/>
      <c r="CI791" s="1175"/>
      <c r="CJ791" s="1175"/>
      <c r="CK791" s="1175"/>
      <c r="CL791" s="1175"/>
      <c r="CM791" s="1175"/>
      <c r="CN791" s="1175"/>
      <c r="CO791" s="1175"/>
      <c r="CP791" s="1175"/>
      <c r="CQ791" s="1175"/>
      <c r="CR791" s="1175"/>
      <c r="CS791" s="1175"/>
      <c r="CT791" s="1175"/>
      <c r="CU791" s="1175"/>
      <c r="CV791" s="1175"/>
      <c r="CW791" s="1175"/>
      <c r="CX791" s="1175"/>
      <c r="CY791" s="1175"/>
      <c r="CZ791" s="1175"/>
      <c r="DA791" s="1175"/>
      <c r="DB791" s="1175"/>
      <c r="DC791" s="1175"/>
      <c r="DD791" s="1175"/>
      <c r="DE791" s="1175"/>
      <c r="DF791" s="1175"/>
      <c r="DG791" s="1175"/>
      <c r="DH791" s="1175"/>
      <c r="DI791" s="1175"/>
      <c r="DJ791" s="1175"/>
    </row>
    <row r="792" spans="1:114" ht="250.5" hidden="1" customHeight="1">
      <c r="A792" s="905"/>
      <c r="B792" s="958" t="s">
        <v>3562</v>
      </c>
      <c r="C792" s="959">
        <v>6300</v>
      </c>
      <c r="D792" s="961" t="s">
        <v>2273</v>
      </c>
      <c r="E792" s="919"/>
      <c r="F792" s="1053">
        <f t="shared" si="114"/>
        <v>0</v>
      </c>
      <c r="G792" s="919"/>
      <c r="H792" s="914">
        <f t="shared" si="115"/>
        <v>0</v>
      </c>
      <c r="I792" s="919"/>
      <c r="J792" s="914">
        <f t="shared" si="116"/>
        <v>0</v>
      </c>
      <c r="K792" s="919"/>
      <c r="L792" s="914">
        <f t="shared" si="117"/>
        <v>0</v>
      </c>
      <c r="M792" s="919"/>
      <c r="N792" s="914">
        <f t="shared" si="110"/>
        <v>0</v>
      </c>
      <c r="O792" s="914"/>
      <c r="P792" s="914">
        <f t="shared" si="113"/>
        <v>0</v>
      </c>
      <c r="Q792" s="914"/>
      <c r="R792" s="914">
        <f t="shared" si="118"/>
        <v>0</v>
      </c>
      <c r="S792" s="915">
        <f t="shared" si="111"/>
        <v>0</v>
      </c>
      <c r="T792" s="911">
        <f t="shared" si="112"/>
        <v>0</v>
      </c>
    </row>
    <row r="793" spans="1:114" ht="250.5" hidden="1" customHeight="1">
      <c r="A793" s="905"/>
      <c r="B793" s="958" t="s">
        <v>3563</v>
      </c>
      <c r="C793" s="959">
        <v>6300</v>
      </c>
      <c r="D793" s="961" t="s">
        <v>2273</v>
      </c>
      <c r="E793" s="919"/>
      <c r="F793" s="1053">
        <f t="shared" si="114"/>
        <v>0</v>
      </c>
      <c r="G793" s="919"/>
      <c r="H793" s="914">
        <f t="shared" si="115"/>
        <v>0</v>
      </c>
      <c r="I793" s="919"/>
      <c r="J793" s="914">
        <f t="shared" si="116"/>
        <v>0</v>
      </c>
      <c r="K793" s="919"/>
      <c r="L793" s="914">
        <f t="shared" si="117"/>
        <v>0</v>
      </c>
      <c r="M793" s="919"/>
      <c r="N793" s="914">
        <f t="shared" si="110"/>
        <v>0</v>
      </c>
      <c r="O793" s="914"/>
      <c r="P793" s="914">
        <f t="shared" si="113"/>
        <v>0</v>
      </c>
      <c r="Q793" s="914"/>
      <c r="R793" s="914">
        <f t="shared" si="118"/>
        <v>0</v>
      </c>
      <c r="S793" s="915">
        <f t="shared" si="111"/>
        <v>0</v>
      </c>
      <c r="T793" s="911">
        <f t="shared" si="112"/>
        <v>0</v>
      </c>
    </row>
    <row r="794" spans="1:114" ht="250.5" hidden="1" customHeight="1">
      <c r="A794" s="905"/>
      <c r="B794" s="958" t="s">
        <v>3564</v>
      </c>
      <c r="C794" s="959">
        <v>6300</v>
      </c>
      <c r="D794" s="961" t="s">
        <v>2273</v>
      </c>
      <c r="E794" s="919"/>
      <c r="F794" s="1053">
        <f t="shared" si="114"/>
        <v>0</v>
      </c>
      <c r="G794" s="919"/>
      <c r="H794" s="914">
        <f t="shared" si="115"/>
        <v>0</v>
      </c>
      <c r="I794" s="919"/>
      <c r="J794" s="914">
        <f t="shared" si="116"/>
        <v>0</v>
      </c>
      <c r="K794" s="919"/>
      <c r="L794" s="914">
        <f t="shared" si="117"/>
        <v>0</v>
      </c>
      <c r="M794" s="919"/>
      <c r="N794" s="914">
        <f t="shared" si="110"/>
        <v>0</v>
      </c>
      <c r="O794" s="914"/>
      <c r="P794" s="914">
        <f t="shared" si="113"/>
        <v>0</v>
      </c>
      <c r="Q794" s="914"/>
      <c r="R794" s="914">
        <f t="shared" si="118"/>
        <v>0</v>
      </c>
      <c r="S794" s="915">
        <f t="shared" si="111"/>
        <v>0</v>
      </c>
      <c r="T794" s="911">
        <f t="shared" si="112"/>
        <v>0</v>
      </c>
    </row>
    <row r="795" spans="1:114" ht="250.5" hidden="1" customHeight="1">
      <c r="A795" s="905"/>
      <c r="B795" s="958" t="s">
        <v>3565</v>
      </c>
      <c r="C795" s="959">
        <v>6300</v>
      </c>
      <c r="D795" s="961" t="s">
        <v>2273</v>
      </c>
      <c r="E795" s="919"/>
      <c r="F795" s="1053">
        <f t="shared" si="114"/>
        <v>0</v>
      </c>
      <c r="G795" s="919"/>
      <c r="H795" s="914">
        <f t="shared" si="115"/>
        <v>0</v>
      </c>
      <c r="I795" s="919"/>
      <c r="J795" s="914">
        <f t="shared" si="116"/>
        <v>0</v>
      </c>
      <c r="K795" s="919"/>
      <c r="L795" s="914">
        <f t="shared" si="117"/>
        <v>0</v>
      </c>
      <c r="M795" s="919"/>
      <c r="N795" s="914">
        <f t="shared" si="110"/>
        <v>0</v>
      </c>
      <c r="O795" s="914"/>
      <c r="P795" s="914">
        <f t="shared" si="113"/>
        <v>0</v>
      </c>
      <c r="Q795" s="914"/>
      <c r="R795" s="914">
        <f t="shared" si="118"/>
        <v>0</v>
      </c>
      <c r="S795" s="915">
        <f t="shared" si="111"/>
        <v>0</v>
      </c>
      <c r="T795" s="911">
        <f t="shared" si="112"/>
        <v>0</v>
      </c>
    </row>
    <row r="796" spans="1:114" ht="250.5" hidden="1" customHeight="1">
      <c r="A796" s="905"/>
      <c r="B796" s="958">
        <v>0</v>
      </c>
      <c r="C796" s="959">
        <v>6300</v>
      </c>
      <c r="D796" s="961" t="s">
        <v>2273</v>
      </c>
      <c r="E796" s="919"/>
      <c r="F796" s="1053">
        <f t="shared" si="114"/>
        <v>0</v>
      </c>
      <c r="G796" s="919"/>
      <c r="H796" s="914">
        <f t="shared" si="115"/>
        <v>0</v>
      </c>
      <c r="I796" s="919"/>
      <c r="J796" s="914">
        <f t="shared" si="116"/>
        <v>0</v>
      </c>
      <c r="K796" s="919"/>
      <c r="L796" s="914">
        <f t="shared" si="117"/>
        <v>0</v>
      </c>
      <c r="M796" s="919"/>
      <c r="N796" s="914">
        <f t="shared" si="110"/>
        <v>0</v>
      </c>
      <c r="O796" s="914"/>
      <c r="P796" s="914">
        <f t="shared" si="113"/>
        <v>0</v>
      </c>
      <c r="Q796" s="914"/>
      <c r="R796" s="914">
        <f t="shared" si="118"/>
        <v>0</v>
      </c>
      <c r="S796" s="915">
        <f t="shared" si="111"/>
        <v>0</v>
      </c>
      <c r="T796" s="911">
        <f t="shared" si="112"/>
        <v>0</v>
      </c>
    </row>
    <row r="797" spans="1:114" ht="250.5" hidden="1" customHeight="1">
      <c r="A797" s="905"/>
      <c r="B797" s="958" t="s">
        <v>3566</v>
      </c>
      <c r="C797" s="959">
        <v>6300</v>
      </c>
      <c r="D797" s="961" t="s">
        <v>2273</v>
      </c>
      <c r="E797" s="919"/>
      <c r="F797" s="1053">
        <f t="shared" si="114"/>
        <v>0</v>
      </c>
      <c r="G797" s="919"/>
      <c r="H797" s="914">
        <f t="shared" si="115"/>
        <v>0</v>
      </c>
      <c r="I797" s="919"/>
      <c r="J797" s="914">
        <f t="shared" si="116"/>
        <v>0</v>
      </c>
      <c r="K797" s="919"/>
      <c r="L797" s="914">
        <f t="shared" si="117"/>
        <v>0</v>
      </c>
      <c r="M797" s="919"/>
      <c r="N797" s="914">
        <f t="shared" si="110"/>
        <v>0</v>
      </c>
      <c r="O797" s="914"/>
      <c r="P797" s="914">
        <f t="shared" si="113"/>
        <v>0</v>
      </c>
      <c r="Q797" s="914"/>
      <c r="R797" s="914">
        <f t="shared" si="118"/>
        <v>0</v>
      </c>
      <c r="S797" s="915">
        <f t="shared" si="111"/>
        <v>0</v>
      </c>
      <c r="T797" s="911">
        <f t="shared" si="112"/>
        <v>0</v>
      </c>
    </row>
    <row r="798" spans="1:114" ht="250.5" hidden="1" customHeight="1">
      <c r="A798" s="905"/>
      <c r="B798" s="958" t="s">
        <v>3567</v>
      </c>
      <c r="C798" s="959">
        <v>6300</v>
      </c>
      <c r="D798" s="961" t="s">
        <v>2273</v>
      </c>
      <c r="E798" s="919"/>
      <c r="F798" s="1053">
        <f t="shared" si="114"/>
        <v>0</v>
      </c>
      <c r="G798" s="919"/>
      <c r="H798" s="914">
        <f t="shared" si="115"/>
        <v>0</v>
      </c>
      <c r="I798" s="919"/>
      <c r="J798" s="914">
        <f t="shared" si="116"/>
        <v>0</v>
      </c>
      <c r="K798" s="919"/>
      <c r="L798" s="914">
        <f t="shared" si="117"/>
        <v>0</v>
      </c>
      <c r="M798" s="919"/>
      <c r="N798" s="914">
        <f t="shared" si="110"/>
        <v>0</v>
      </c>
      <c r="O798" s="914"/>
      <c r="P798" s="914">
        <f t="shared" si="113"/>
        <v>0</v>
      </c>
      <c r="Q798" s="914"/>
      <c r="R798" s="914">
        <f t="shared" si="118"/>
        <v>0</v>
      </c>
      <c r="S798" s="915">
        <f t="shared" si="111"/>
        <v>0</v>
      </c>
      <c r="T798" s="911">
        <f t="shared" si="112"/>
        <v>0</v>
      </c>
    </row>
    <row r="799" spans="1:114" ht="250.5" hidden="1" customHeight="1">
      <c r="A799" s="905"/>
      <c r="B799" s="949" t="s">
        <v>3606</v>
      </c>
      <c r="C799" s="921">
        <v>5654</v>
      </c>
      <c r="D799" s="972" t="s">
        <v>3607</v>
      </c>
      <c r="E799" s="919"/>
      <c r="F799" s="1053">
        <f t="shared" si="114"/>
        <v>0</v>
      </c>
      <c r="G799" s="919"/>
      <c r="H799" s="914">
        <f t="shared" si="115"/>
        <v>0</v>
      </c>
      <c r="I799" s="919"/>
      <c r="J799" s="914">
        <f t="shared" si="116"/>
        <v>0</v>
      </c>
      <c r="K799" s="919"/>
      <c r="L799" s="914">
        <f t="shared" si="117"/>
        <v>0</v>
      </c>
      <c r="M799" s="919"/>
      <c r="N799" s="914">
        <f t="shared" si="110"/>
        <v>0</v>
      </c>
      <c r="O799" s="914"/>
      <c r="P799" s="914">
        <f t="shared" si="113"/>
        <v>0</v>
      </c>
      <c r="Q799" s="914"/>
      <c r="R799" s="914">
        <f t="shared" si="118"/>
        <v>0</v>
      </c>
      <c r="S799" s="915">
        <f t="shared" si="111"/>
        <v>0</v>
      </c>
      <c r="T799" s="911">
        <f t="shared" si="112"/>
        <v>0</v>
      </c>
    </row>
    <row r="800" spans="1:114" ht="250.5" customHeight="1">
      <c r="A800" s="905"/>
      <c r="B800" s="1003" t="s">
        <v>6920</v>
      </c>
      <c r="C800" s="913">
        <v>8106</v>
      </c>
      <c r="D800" s="991" t="s">
        <v>2273</v>
      </c>
      <c r="E800" s="914">
        <f>DSP!H1858</f>
        <v>4.3</v>
      </c>
      <c r="F800" s="1053">
        <f t="shared" si="114"/>
        <v>34855.800000000003</v>
      </c>
      <c r="G800" s="914"/>
      <c r="H800" s="914">
        <f t="shared" si="115"/>
        <v>0</v>
      </c>
      <c r="I800" s="914"/>
      <c r="J800" s="914">
        <f t="shared" si="116"/>
        <v>0</v>
      </c>
      <c r="K800" s="914"/>
      <c r="L800" s="914">
        <f t="shared" si="117"/>
        <v>0</v>
      </c>
      <c r="M800" s="914"/>
      <c r="N800" s="914">
        <f t="shared" si="110"/>
        <v>0</v>
      </c>
      <c r="O800" s="914"/>
      <c r="P800" s="914">
        <f t="shared" si="113"/>
        <v>0</v>
      </c>
      <c r="Q800" s="914"/>
      <c r="R800" s="914">
        <f t="shared" si="118"/>
        <v>0</v>
      </c>
      <c r="S800" s="915">
        <f t="shared" si="111"/>
        <v>4.3</v>
      </c>
      <c r="T800" s="911">
        <f t="shared" si="112"/>
        <v>34855.800000000003</v>
      </c>
    </row>
    <row r="801" spans="1:20" ht="250.5" customHeight="1">
      <c r="A801" s="905"/>
      <c r="B801" s="1003" t="s">
        <v>6921</v>
      </c>
      <c r="C801" s="913">
        <v>7482</v>
      </c>
      <c r="D801" s="991" t="s">
        <v>2273</v>
      </c>
      <c r="E801" s="914">
        <f>DSP!H1850</f>
        <v>59.7</v>
      </c>
      <c r="F801" s="1053">
        <f t="shared" si="114"/>
        <v>446675.4</v>
      </c>
      <c r="G801" s="914"/>
      <c r="H801" s="914">
        <f t="shared" si="115"/>
        <v>0</v>
      </c>
      <c r="I801" s="914"/>
      <c r="J801" s="914">
        <f t="shared" si="116"/>
        <v>0</v>
      </c>
      <c r="K801" s="914"/>
      <c r="L801" s="914">
        <f t="shared" si="117"/>
        <v>0</v>
      </c>
      <c r="M801" s="914"/>
      <c r="N801" s="914">
        <f t="shared" si="110"/>
        <v>0</v>
      </c>
      <c r="O801" s="914"/>
      <c r="P801" s="914">
        <f t="shared" si="113"/>
        <v>0</v>
      </c>
      <c r="Q801" s="914"/>
      <c r="R801" s="914">
        <f t="shared" si="118"/>
        <v>0</v>
      </c>
      <c r="S801" s="915">
        <f t="shared" si="111"/>
        <v>59.7</v>
      </c>
      <c r="T801" s="911">
        <f t="shared" si="112"/>
        <v>446675.4</v>
      </c>
    </row>
    <row r="802" spans="1:20" ht="250.5" hidden="1" customHeight="1">
      <c r="A802" s="905"/>
      <c r="B802" s="949" t="s">
        <v>5513</v>
      </c>
      <c r="C802" s="957">
        <v>2419</v>
      </c>
      <c r="D802" s="1004" t="s">
        <v>2273</v>
      </c>
      <c r="E802" s="919"/>
      <c r="F802" s="1053">
        <f t="shared" si="114"/>
        <v>0</v>
      </c>
      <c r="G802" s="919"/>
      <c r="H802" s="914">
        <f t="shared" si="115"/>
        <v>0</v>
      </c>
      <c r="I802" s="919"/>
      <c r="J802" s="914">
        <f t="shared" si="116"/>
        <v>0</v>
      </c>
      <c r="K802" s="919"/>
      <c r="L802" s="914">
        <f t="shared" si="117"/>
        <v>0</v>
      </c>
      <c r="M802" s="919"/>
      <c r="N802" s="914">
        <f t="shared" si="110"/>
        <v>0</v>
      </c>
      <c r="O802" s="914"/>
      <c r="P802" s="914">
        <f t="shared" si="113"/>
        <v>0</v>
      </c>
      <c r="Q802" s="914"/>
      <c r="R802" s="914">
        <f t="shared" si="118"/>
        <v>0</v>
      </c>
      <c r="S802" s="915">
        <f t="shared" si="111"/>
        <v>0</v>
      </c>
      <c r="T802" s="911">
        <f t="shared" si="112"/>
        <v>0</v>
      </c>
    </row>
    <row r="803" spans="1:20" ht="250.5" hidden="1" customHeight="1">
      <c r="A803" s="905"/>
      <c r="B803" s="949" t="s">
        <v>4711</v>
      </c>
      <c r="C803" s="957"/>
      <c r="D803" s="1004"/>
      <c r="E803" s="919"/>
      <c r="F803" s="1053">
        <f t="shared" si="114"/>
        <v>0</v>
      </c>
      <c r="G803" s="919"/>
      <c r="H803" s="914">
        <f t="shared" si="115"/>
        <v>0</v>
      </c>
      <c r="I803" s="919"/>
      <c r="J803" s="914">
        <f t="shared" si="116"/>
        <v>0</v>
      </c>
      <c r="K803" s="919"/>
      <c r="L803" s="914">
        <f t="shared" si="117"/>
        <v>0</v>
      </c>
      <c r="M803" s="919"/>
      <c r="N803" s="914">
        <f t="shared" si="110"/>
        <v>0</v>
      </c>
      <c r="O803" s="914"/>
      <c r="P803" s="914">
        <f t="shared" si="113"/>
        <v>0</v>
      </c>
      <c r="Q803" s="914"/>
      <c r="R803" s="914">
        <f t="shared" si="118"/>
        <v>0</v>
      </c>
      <c r="S803" s="915">
        <f t="shared" si="111"/>
        <v>0</v>
      </c>
      <c r="T803" s="911">
        <f t="shared" si="112"/>
        <v>0</v>
      </c>
    </row>
    <row r="804" spans="1:20" ht="250.5" customHeight="1">
      <c r="A804" s="905"/>
      <c r="B804" s="1003" t="s">
        <v>3588</v>
      </c>
      <c r="C804" s="959"/>
      <c r="D804" s="961"/>
      <c r="E804" s="911"/>
      <c r="F804" s="1053">
        <f t="shared" si="114"/>
        <v>0</v>
      </c>
      <c r="G804" s="914"/>
      <c r="H804" s="914">
        <f t="shared" si="115"/>
        <v>0</v>
      </c>
      <c r="I804" s="914"/>
      <c r="J804" s="914">
        <f t="shared" si="116"/>
        <v>0</v>
      </c>
      <c r="K804" s="914"/>
      <c r="L804" s="914">
        <f t="shared" si="117"/>
        <v>0</v>
      </c>
      <c r="M804" s="914"/>
      <c r="N804" s="914">
        <f t="shared" si="110"/>
        <v>0</v>
      </c>
      <c r="O804" s="914"/>
      <c r="P804" s="914">
        <f t="shared" si="113"/>
        <v>0</v>
      </c>
      <c r="Q804" s="914"/>
      <c r="R804" s="914">
        <f t="shared" si="118"/>
        <v>0</v>
      </c>
      <c r="S804" s="915">
        <f t="shared" si="111"/>
        <v>0</v>
      </c>
      <c r="T804" s="911">
        <f t="shared" si="112"/>
        <v>0</v>
      </c>
    </row>
    <row r="805" spans="1:20" ht="250.5" hidden="1" customHeight="1">
      <c r="A805" s="905"/>
      <c r="B805" s="941" t="s">
        <v>4375</v>
      </c>
      <c r="C805" s="1005">
        <f>DATA!X3596</f>
        <v>3045.27</v>
      </c>
      <c r="D805" s="1006" t="s">
        <v>2273</v>
      </c>
      <c r="E805" s="919"/>
      <c r="F805" s="1053">
        <f t="shared" si="114"/>
        <v>0</v>
      </c>
      <c r="G805" s="919"/>
      <c r="H805" s="914">
        <f t="shared" si="115"/>
        <v>0</v>
      </c>
      <c r="I805" s="919"/>
      <c r="J805" s="914">
        <f t="shared" si="116"/>
        <v>0</v>
      </c>
      <c r="K805" s="919"/>
      <c r="L805" s="914">
        <f t="shared" si="117"/>
        <v>0</v>
      </c>
      <c r="M805" s="919"/>
      <c r="N805" s="914">
        <f t="shared" si="110"/>
        <v>0</v>
      </c>
      <c r="O805" s="914"/>
      <c r="P805" s="914">
        <f t="shared" si="113"/>
        <v>0</v>
      </c>
      <c r="Q805" s="914"/>
      <c r="R805" s="914">
        <f t="shared" si="118"/>
        <v>0</v>
      </c>
      <c r="S805" s="915">
        <f t="shared" si="111"/>
        <v>0</v>
      </c>
      <c r="T805" s="911">
        <f t="shared" si="112"/>
        <v>0</v>
      </c>
    </row>
    <row r="806" spans="1:20" ht="250.5" hidden="1" customHeight="1">
      <c r="A806" s="905"/>
      <c r="B806" s="941" t="s">
        <v>4717</v>
      </c>
      <c r="C806" s="1005">
        <f>DATA!X3613</f>
        <v>3061.39</v>
      </c>
      <c r="D806" s="961" t="s">
        <v>2273</v>
      </c>
      <c r="E806" s="919"/>
      <c r="F806" s="1053">
        <f t="shared" si="114"/>
        <v>0</v>
      </c>
      <c r="G806" s="919"/>
      <c r="H806" s="914">
        <f t="shared" si="115"/>
        <v>0</v>
      </c>
      <c r="I806" s="919"/>
      <c r="J806" s="914">
        <f t="shared" si="116"/>
        <v>0</v>
      </c>
      <c r="K806" s="919"/>
      <c r="L806" s="914">
        <f t="shared" si="117"/>
        <v>0</v>
      </c>
      <c r="M806" s="919"/>
      <c r="N806" s="914">
        <f t="shared" si="110"/>
        <v>0</v>
      </c>
      <c r="O806" s="914"/>
      <c r="P806" s="914">
        <f t="shared" si="113"/>
        <v>0</v>
      </c>
      <c r="Q806" s="914"/>
      <c r="R806" s="914">
        <f t="shared" si="118"/>
        <v>0</v>
      </c>
      <c r="S806" s="915">
        <f t="shared" si="111"/>
        <v>0</v>
      </c>
      <c r="T806" s="911">
        <f t="shared" si="112"/>
        <v>0</v>
      </c>
    </row>
    <row r="807" spans="1:20" ht="250.5" hidden="1" customHeight="1">
      <c r="A807" s="905"/>
      <c r="B807" s="941" t="s">
        <v>4376</v>
      </c>
      <c r="C807" s="1005">
        <f>DATA!X3581</f>
        <v>3087.68</v>
      </c>
      <c r="D807" s="961" t="s">
        <v>2273</v>
      </c>
      <c r="E807" s="919"/>
      <c r="F807" s="1053">
        <f t="shared" si="114"/>
        <v>0</v>
      </c>
      <c r="G807" s="919"/>
      <c r="H807" s="914">
        <f t="shared" si="115"/>
        <v>0</v>
      </c>
      <c r="I807" s="919"/>
      <c r="J807" s="914">
        <f t="shared" si="116"/>
        <v>0</v>
      </c>
      <c r="K807" s="919"/>
      <c r="L807" s="914">
        <f t="shared" si="117"/>
        <v>0</v>
      </c>
      <c r="M807" s="919"/>
      <c r="N807" s="914">
        <f t="shared" si="110"/>
        <v>0</v>
      </c>
      <c r="O807" s="914"/>
      <c r="P807" s="914">
        <f t="shared" si="113"/>
        <v>0</v>
      </c>
      <c r="Q807" s="914"/>
      <c r="R807" s="914">
        <f t="shared" si="118"/>
        <v>0</v>
      </c>
      <c r="S807" s="915">
        <f t="shared" si="111"/>
        <v>0</v>
      </c>
      <c r="T807" s="911">
        <f t="shared" si="112"/>
        <v>0</v>
      </c>
    </row>
    <row r="808" spans="1:20" ht="250.5" hidden="1" customHeight="1">
      <c r="A808" s="905"/>
      <c r="B808" s="941" t="s">
        <v>4718</v>
      </c>
      <c r="C808" s="1005">
        <f>DATA!X3565</f>
        <v>3161.99</v>
      </c>
      <c r="D808" s="961" t="s">
        <v>2273</v>
      </c>
      <c r="E808" s="919"/>
      <c r="F808" s="1053">
        <f t="shared" si="114"/>
        <v>0</v>
      </c>
      <c r="G808" s="919"/>
      <c r="H808" s="914">
        <f t="shared" si="115"/>
        <v>0</v>
      </c>
      <c r="I808" s="919"/>
      <c r="J808" s="914">
        <f t="shared" si="116"/>
        <v>0</v>
      </c>
      <c r="K808" s="919"/>
      <c r="L808" s="914">
        <f t="shared" si="117"/>
        <v>0</v>
      </c>
      <c r="M808" s="919"/>
      <c r="N808" s="914">
        <f t="shared" si="110"/>
        <v>0</v>
      </c>
      <c r="O808" s="914"/>
      <c r="P808" s="914">
        <f t="shared" si="113"/>
        <v>0</v>
      </c>
      <c r="Q808" s="914"/>
      <c r="R808" s="914">
        <f t="shared" si="118"/>
        <v>0</v>
      </c>
      <c r="S808" s="915">
        <f t="shared" si="111"/>
        <v>0</v>
      </c>
      <c r="T808" s="911">
        <f t="shared" si="112"/>
        <v>0</v>
      </c>
    </row>
    <row r="809" spans="1:20" ht="250.5" hidden="1" customHeight="1">
      <c r="A809" s="905"/>
      <c r="B809" s="941" t="s">
        <v>4377</v>
      </c>
      <c r="C809" s="1005">
        <f>DATA!K3533</f>
        <v>3295.07</v>
      </c>
      <c r="D809" s="961" t="s">
        <v>2273</v>
      </c>
      <c r="E809" s="919"/>
      <c r="F809" s="1053">
        <f t="shared" si="114"/>
        <v>0</v>
      </c>
      <c r="G809" s="919"/>
      <c r="H809" s="914">
        <f t="shared" si="115"/>
        <v>0</v>
      </c>
      <c r="I809" s="919"/>
      <c r="J809" s="914">
        <f t="shared" si="116"/>
        <v>0</v>
      </c>
      <c r="K809" s="919"/>
      <c r="L809" s="914">
        <f t="shared" si="117"/>
        <v>0</v>
      </c>
      <c r="M809" s="919"/>
      <c r="N809" s="914">
        <f t="shared" si="110"/>
        <v>0</v>
      </c>
      <c r="O809" s="914"/>
      <c r="P809" s="914">
        <f t="shared" si="113"/>
        <v>0</v>
      </c>
      <c r="Q809" s="914"/>
      <c r="R809" s="914">
        <f t="shared" si="118"/>
        <v>0</v>
      </c>
      <c r="S809" s="915">
        <f t="shared" si="111"/>
        <v>0</v>
      </c>
      <c r="T809" s="911">
        <f t="shared" si="112"/>
        <v>0</v>
      </c>
    </row>
    <row r="810" spans="1:20" ht="250.5" hidden="1" customHeight="1">
      <c r="A810" s="905"/>
      <c r="B810" s="941" t="s">
        <v>4716</v>
      </c>
      <c r="C810" s="1012">
        <f>DATA!X3628</f>
        <v>3319.77</v>
      </c>
      <c r="D810" s="961" t="s">
        <v>2273</v>
      </c>
      <c r="E810" s="919"/>
      <c r="F810" s="1053">
        <f t="shared" si="114"/>
        <v>0</v>
      </c>
      <c r="G810" s="919"/>
      <c r="H810" s="914">
        <f t="shared" si="115"/>
        <v>0</v>
      </c>
      <c r="I810" s="919"/>
      <c r="J810" s="914">
        <f t="shared" si="116"/>
        <v>0</v>
      </c>
      <c r="K810" s="919"/>
      <c r="L810" s="914">
        <f t="shared" si="117"/>
        <v>0</v>
      </c>
      <c r="M810" s="919"/>
      <c r="N810" s="914">
        <f t="shared" si="110"/>
        <v>0</v>
      </c>
      <c r="O810" s="914"/>
      <c r="P810" s="914">
        <f t="shared" si="113"/>
        <v>0</v>
      </c>
      <c r="Q810" s="914"/>
      <c r="R810" s="914">
        <f t="shared" si="118"/>
        <v>0</v>
      </c>
      <c r="S810" s="915">
        <f t="shared" si="111"/>
        <v>0</v>
      </c>
      <c r="T810" s="911">
        <f t="shared" si="112"/>
        <v>0</v>
      </c>
    </row>
    <row r="811" spans="1:20" ht="250.5" customHeight="1">
      <c r="A811" s="905"/>
      <c r="B811" s="941" t="s">
        <v>4378</v>
      </c>
      <c r="C811" s="1005">
        <f>DATA!K3549</f>
        <v>3012.54</v>
      </c>
      <c r="D811" s="961" t="s">
        <v>2273</v>
      </c>
      <c r="E811" s="919">
        <f>DSP!H1822</f>
        <v>1.9</v>
      </c>
      <c r="F811" s="1053">
        <f t="shared" si="114"/>
        <v>5723.83</v>
      </c>
      <c r="G811" s="919"/>
      <c r="H811" s="914">
        <f t="shared" si="115"/>
        <v>0</v>
      </c>
      <c r="I811" s="919"/>
      <c r="J811" s="914">
        <f t="shared" si="116"/>
        <v>0</v>
      </c>
      <c r="K811" s="919"/>
      <c r="L811" s="914">
        <f t="shared" si="117"/>
        <v>0</v>
      </c>
      <c r="M811" s="919"/>
      <c r="N811" s="914">
        <f t="shared" si="110"/>
        <v>0</v>
      </c>
      <c r="O811" s="914"/>
      <c r="P811" s="914">
        <f t="shared" si="113"/>
        <v>0</v>
      </c>
      <c r="Q811" s="914"/>
      <c r="R811" s="914">
        <f t="shared" si="118"/>
        <v>0</v>
      </c>
      <c r="S811" s="915">
        <f t="shared" si="111"/>
        <v>1.9</v>
      </c>
      <c r="T811" s="911">
        <f t="shared" si="112"/>
        <v>5723.83</v>
      </c>
    </row>
    <row r="812" spans="1:20" ht="250.5" hidden="1" customHeight="1">
      <c r="A812" s="905"/>
      <c r="B812" s="941" t="s">
        <v>4379</v>
      </c>
      <c r="C812" s="1005">
        <f>DATA!X3549</f>
        <v>2985.21</v>
      </c>
      <c r="D812" s="961" t="s">
        <v>2273</v>
      </c>
      <c r="E812" s="919"/>
      <c r="F812" s="1053">
        <f t="shared" si="114"/>
        <v>0</v>
      </c>
      <c r="G812" s="919"/>
      <c r="H812" s="914">
        <f t="shared" si="115"/>
        <v>0</v>
      </c>
      <c r="I812" s="919"/>
      <c r="J812" s="914">
        <f t="shared" si="116"/>
        <v>0</v>
      </c>
      <c r="K812" s="919"/>
      <c r="L812" s="914">
        <f t="shared" si="117"/>
        <v>0</v>
      </c>
      <c r="M812" s="919"/>
      <c r="N812" s="914">
        <f t="shared" si="110"/>
        <v>0</v>
      </c>
      <c r="O812" s="914"/>
      <c r="P812" s="914">
        <f t="shared" si="113"/>
        <v>0</v>
      </c>
      <c r="Q812" s="914"/>
      <c r="R812" s="914">
        <f t="shared" si="118"/>
        <v>0</v>
      </c>
      <c r="S812" s="915">
        <f t="shared" si="111"/>
        <v>0</v>
      </c>
      <c r="T812" s="911">
        <f t="shared" si="112"/>
        <v>0</v>
      </c>
    </row>
    <row r="813" spans="1:20" ht="250.5" customHeight="1">
      <c r="A813" s="905"/>
      <c r="B813" s="941" t="s">
        <v>4380</v>
      </c>
      <c r="C813" s="1005">
        <f>DATA!AG3549</f>
        <v>3079.64</v>
      </c>
      <c r="D813" s="961" t="s">
        <v>2273</v>
      </c>
      <c r="E813" s="914">
        <f>DSP!H1827</f>
        <v>8.1999999999999993</v>
      </c>
      <c r="F813" s="1053">
        <f t="shared" si="114"/>
        <v>25253.05</v>
      </c>
      <c r="G813" s="914"/>
      <c r="H813" s="914">
        <f t="shared" si="115"/>
        <v>0</v>
      </c>
      <c r="I813" s="914"/>
      <c r="J813" s="914">
        <f t="shared" si="116"/>
        <v>0</v>
      </c>
      <c r="K813" s="914"/>
      <c r="L813" s="914">
        <f t="shared" si="117"/>
        <v>0</v>
      </c>
      <c r="M813" s="914"/>
      <c r="N813" s="914">
        <f t="shared" si="110"/>
        <v>0</v>
      </c>
      <c r="O813" s="914"/>
      <c r="P813" s="914">
        <f t="shared" si="113"/>
        <v>0</v>
      </c>
      <c r="Q813" s="914"/>
      <c r="R813" s="914">
        <f t="shared" si="118"/>
        <v>0</v>
      </c>
      <c r="S813" s="915">
        <f t="shared" si="111"/>
        <v>8.1999999999999993</v>
      </c>
      <c r="T813" s="911">
        <f t="shared" si="112"/>
        <v>25253.05</v>
      </c>
    </row>
    <row r="814" spans="1:20" ht="201.75" hidden="1" customHeight="1">
      <c r="A814" s="905"/>
      <c r="B814" s="941" t="s">
        <v>4719</v>
      </c>
      <c r="C814" s="1005">
        <f>DATA!AD3629</f>
        <v>2594.48</v>
      </c>
      <c r="D814" s="961" t="s">
        <v>2273</v>
      </c>
      <c r="E814" s="919"/>
      <c r="F814" s="1053">
        <f t="shared" si="114"/>
        <v>0</v>
      </c>
      <c r="G814" s="919"/>
      <c r="H814" s="914">
        <f t="shared" si="115"/>
        <v>0</v>
      </c>
      <c r="I814" s="919"/>
      <c r="J814" s="914">
        <f t="shared" si="116"/>
        <v>0</v>
      </c>
      <c r="K814" s="919"/>
      <c r="L814" s="914">
        <f t="shared" si="117"/>
        <v>0</v>
      </c>
      <c r="M814" s="919"/>
      <c r="N814" s="914">
        <f t="shared" si="110"/>
        <v>0</v>
      </c>
      <c r="O814" s="914"/>
      <c r="P814" s="914">
        <f t="shared" si="113"/>
        <v>0</v>
      </c>
      <c r="Q814" s="914"/>
      <c r="R814" s="914">
        <f t="shared" si="118"/>
        <v>0</v>
      </c>
      <c r="S814" s="915">
        <f t="shared" si="111"/>
        <v>0</v>
      </c>
      <c r="T814" s="911">
        <f t="shared" si="112"/>
        <v>0</v>
      </c>
    </row>
    <row r="815" spans="1:20" ht="250.5" hidden="1" customHeight="1">
      <c r="A815" s="905"/>
      <c r="B815" s="906" t="s">
        <v>3568</v>
      </c>
      <c r="C815" s="913">
        <f>DATA!K2353</f>
        <v>32.85</v>
      </c>
      <c r="D815" s="972" t="s">
        <v>2273</v>
      </c>
      <c r="E815" s="919"/>
      <c r="F815" s="1053">
        <f t="shared" si="114"/>
        <v>0</v>
      </c>
      <c r="G815" s="919"/>
      <c r="H815" s="914">
        <f t="shared" si="115"/>
        <v>0</v>
      </c>
      <c r="I815" s="919"/>
      <c r="J815" s="914">
        <f t="shared" si="116"/>
        <v>0</v>
      </c>
      <c r="K815" s="919"/>
      <c r="L815" s="914">
        <f t="shared" si="117"/>
        <v>0</v>
      </c>
      <c r="M815" s="919"/>
      <c r="N815" s="914">
        <f t="shared" si="110"/>
        <v>0</v>
      </c>
      <c r="O815" s="914"/>
      <c r="P815" s="914">
        <f t="shared" si="113"/>
        <v>0</v>
      </c>
      <c r="Q815" s="914"/>
      <c r="R815" s="914">
        <f t="shared" si="118"/>
        <v>0</v>
      </c>
      <c r="S815" s="915">
        <f t="shared" si="111"/>
        <v>0</v>
      </c>
      <c r="T815" s="911">
        <f t="shared" si="112"/>
        <v>0</v>
      </c>
    </row>
    <row r="816" spans="1:20" ht="250.5" hidden="1" customHeight="1">
      <c r="A816" s="905"/>
      <c r="B816" s="1003" t="s">
        <v>4700</v>
      </c>
      <c r="C816" s="913"/>
      <c r="D816" s="972"/>
      <c r="E816" s="911"/>
      <c r="F816" s="1053">
        <f t="shared" si="114"/>
        <v>0</v>
      </c>
      <c r="G816" s="914"/>
      <c r="H816" s="914">
        <f t="shared" si="115"/>
        <v>0</v>
      </c>
      <c r="I816" s="914"/>
      <c r="J816" s="914">
        <f t="shared" si="116"/>
        <v>0</v>
      </c>
      <c r="K816" s="914"/>
      <c r="L816" s="914">
        <f t="shared" si="117"/>
        <v>0</v>
      </c>
      <c r="M816" s="914"/>
      <c r="N816" s="914">
        <f t="shared" si="110"/>
        <v>0</v>
      </c>
      <c r="O816" s="914"/>
      <c r="P816" s="914">
        <f t="shared" si="113"/>
        <v>0</v>
      </c>
      <c r="Q816" s="914"/>
      <c r="R816" s="914">
        <f t="shared" si="118"/>
        <v>0</v>
      </c>
      <c r="S816" s="915">
        <f t="shared" si="111"/>
        <v>0</v>
      </c>
      <c r="T816" s="911">
        <f t="shared" si="112"/>
        <v>0</v>
      </c>
    </row>
    <row r="817" spans="1:114" ht="250.5" hidden="1" customHeight="1">
      <c r="A817" s="905"/>
      <c r="B817" s="906" t="s">
        <v>1247</v>
      </c>
      <c r="C817" s="913">
        <f>DATA!AD1197</f>
        <v>1962.77</v>
      </c>
      <c r="D817" s="972" t="s">
        <v>2273</v>
      </c>
      <c r="E817" s="914"/>
      <c r="F817" s="1053">
        <f t="shared" si="114"/>
        <v>0</v>
      </c>
      <c r="G817" s="914"/>
      <c r="H817" s="914">
        <f t="shared" si="115"/>
        <v>0</v>
      </c>
      <c r="I817" s="914"/>
      <c r="J817" s="914">
        <f t="shared" si="116"/>
        <v>0</v>
      </c>
      <c r="K817" s="914"/>
      <c r="L817" s="914">
        <f t="shared" si="117"/>
        <v>0</v>
      </c>
      <c r="M817" s="914"/>
      <c r="N817" s="914">
        <f t="shared" si="110"/>
        <v>0</v>
      </c>
      <c r="O817" s="914"/>
      <c r="P817" s="914">
        <f t="shared" si="113"/>
        <v>0</v>
      </c>
      <c r="Q817" s="914"/>
      <c r="R817" s="914">
        <f t="shared" si="118"/>
        <v>0</v>
      </c>
      <c r="S817" s="915">
        <f t="shared" si="111"/>
        <v>0</v>
      </c>
      <c r="T817" s="911">
        <f t="shared" si="112"/>
        <v>0</v>
      </c>
    </row>
    <row r="818" spans="1:114" ht="250.5" hidden="1" customHeight="1">
      <c r="A818" s="905"/>
      <c r="B818" s="906" t="s">
        <v>1381</v>
      </c>
      <c r="C818" s="913">
        <f>DATA!AD1198</f>
        <v>1967.49</v>
      </c>
      <c r="D818" s="972" t="s">
        <v>2273</v>
      </c>
      <c r="E818" s="919"/>
      <c r="F818" s="1053">
        <f t="shared" si="114"/>
        <v>0</v>
      </c>
      <c r="G818" s="919"/>
      <c r="H818" s="914">
        <f t="shared" si="115"/>
        <v>0</v>
      </c>
      <c r="I818" s="919"/>
      <c r="J818" s="914">
        <f t="shared" si="116"/>
        <v>0</v>
      </c>
      <c r="K818" s="919"/>
      <c r="L818" s="914">
        <f t="shared" si="117"/>
        <v>0</v>
      </c>
      <c r="M818" s="919"/>
      <c r="N818" s="914">
        <f t="shared" si="110"/>
        <v>0</v>
      </c>
      <c r="O818" s="914"/>
      <c r="P818" s="914">
        <f t="shared" si="113"/>
        <v>0</v>
      </c>
      <c r="Q818" s="914"/>
      <c r="R818" s="914">
        <f t="shared" si="118"/>
        <v>0</v>
      </c>
      <c r="S818" s="915">
        <f t="shared" si="111"/>
        <v>0</v>
      </c>
      <c r="T818" s="911">
        <f t="shared" si="112"/>
        <v>0</v>
      </c>
    </row>
    <row r="819" spans="1:114" ht="250.5" hidden="1" customHeight="1">
      <c r="A819" s="905"/>
      <c r="B819" s="906" t="s">
        <v>1429</v>
      </c>
      <c r="C819" s="913">
        <f>DATA!AD1199</f>
        <v>1972.21</v>
      </c>
      <c r="D819" s="972" t="s">
        <v>2273</v>
      </c>
      <c r="E819" s="919"/>
      <c r="F819" s="1053">
        <f t="shared" si="114"/>
        <v>0</v>
      </c>
      <c r="G819" s="919"/>
      <c r="H819" s="914">
        <f t="shared" si="115"/>
        <v>0</v>
      </c>
      <c r="I819" s="919"/>
      <c r="J819" s="914">
        <f t="shared" si="116"/>
        <v>0</v>
      </c>
      <c r="K819" s="919"/>
      <c r="L819" s="914">
        <f t="shared" si="117"/>
        <v>0</v>
      </c>
      <c r="M819" s="919"/>
      <c r="N819" s="914">
        <f t="shared" si="110"/>
        <v>0</v>
      </c>
      <c r="O819" s="914"/>
      <c r="P819" s="914">
        <f t="shared" si="113"/>
        <v>0</v>
      </c>
      <c r="Q819" s="914"/>
      <c r="R819" s="914">
        <f t="shared" si="118"/>
        <v>0</v>
      </c>
      <c r="S819" s="915">
        <f t="shared" si="111"/>
        <v>0</v>
      </c>
      <c r="T819" s="911">
        <f t="shared" si="112"/>
        <v>0</v>
      </c>
    </row>
    <row r="820" spans="1:114" ht="250.5" hidden="1" customHeight="1">
      <c r="A820" s="905"/>
      <c r="B820" s="906" t="s">
        <v>1319</v>
      </c>
      <c r="C820" s="913">
        <f>DATA!AD1200</f>
        <v>1976.93</v>
      </c>
      <c r="D820" s="972" t="s">
        <v>2273</v>
      </c>
      <c r="E820" s="919"/>
      <c r="F820" s="1053">
        <f t="shared" si="114"/>
        <v>0</v>
      </c>
      <c r="G820" s="919"/>
      <c r="H820" s="914">
        <f t="shared" si="115"/>
        <v>0</v>
      </c>
      <c r="I820" s="919"/>
      <c r="J820" s="914">
        <f t="shared" si="116"/>
        <v>0</v>
      </c>
      <c r="K820" s="919"/>
      <c r="L820" s="914">
        <f t="shared" si="117"/>
        <v>0</v>
      </c>
      <c r="M820" s="919"/>
      <c r="N820" s="914">
        <f t="shared" ref="N820:N850" si="119">M820*C820</f>
        <v>0</v>
      </c>
      <c r="O820" s="914"/>
      <c r="P820" s="914">
        <f t="shared" si="113"/>
        <v>0</v>
      </c>
      <c r="Q820" s="914"/>
      <c r="R820" s="914">
        <f t="shared" si="118"/>
        <v>0</v>
      </c>
      <c r="S820" s="915">
        <f t="shared" si="111"/>
        <v>0</v>
      </c>
      <c r="T820" s="911">
        <f t="shared" si="112"/>
        <v>0</v>
      </c>
    </row>
    <row r="821" spans="1:114" ht="250.5" customHeight="1">
      <c r="A821" s="916"/>
      <c r="B821" s="1008" t="s">
        <v>4657</v>
      </c>
      <c r="C821" s="918"/>
      <c r="D821" s="978"/>
      <c r="E821" s="945"/>
      <c r="F821" s="1053">
        <f t="shared" si="114"/>
        <v>0</v>
      </c>
      <c r="G821" s="919"/>
      <c r="H821" s="914">
        <f t="shared" si="115"/>
        <v>0</v>
      </c>
      <c r="I821" s="919"/>
      <c r="J821" s="914">
        <f t="shared" si="116"/>
        <v>0</v>
      </c>
      <c r="K821" s="919"/>
      <c r="L821" s="914">
        <f t="shared" si="117"/>
        <v>0</v>
      </c>
      <c r="M821" s="919"/>
      <c r="N821" s="914">
        <f t="shared" si="119"/>
        <v>0</v>
      </c>
      <c r="O821" s="914"/>
      <c r="P821" s="914">
        <f t="shared" si="113"/>
        <v>0</v>
      </c>
      <c r="Q821" s="914"/>
      <c r="R821" s="914">
        <f t="shared" si="118"/>
        <v>0</v>
      </c>
      <c r="S821" s="915">
        <f t="shared" si="111"/>
        <v>0</v>
      </c>
      <c r="T821" s="911">
        <f t="shared" si="112"/>
        <v>0</v>
      </c>
    </row>
    <row r="822" spans="1:114" s="920" customFormat="1" ht="123" customHeight="1">
      <c r="A822" s="916"/>
      <c r="B822" s="917" t="s">
        <v>1247</v>
      </c>
      <c r="C822" s="918">
        <f>DATA!AK1197</f>
        <v>1110.57</v>
      </c>
      <c r="D822" s="978" t="s">
        <v>2273</v>
      </c>
      <c r="E822" s="919"/>
      <c r="F822" s="1053">
        <f t="shared" si="114"/>
        <v>0</v>
      </c>
      <c r="G822" s="919"/>
      <c r="H822" s="914">
        <f t="shared" si="115"/>
        <v>0</v>
      </c>
      <c r="I822" s="919"/>
      <c r="J822" s="914">
        <f t="shared" si="116"/>
        <v>0</v>
      </c>
      <c r="K822" s="919"/>
      <c r="L822" s="914">
        <f t="shared" si="117"/>
        <v>0</v>
      </c>
      <c r="M822" s="919"/>
      <c r="N822" s="914">
        <f t="shared" si="119"/>
        <v>0</v>
      </c>
      <c r="O822" s="914"/>
      <c r="P822" s="914">
        <f t="shared" si="113"/>
        <v>0</v>
      </c>
      <c r="Q822" s="914"/>
      <c r="R822" s="914">
        <f t="shared" si="118"/>
        <v>0</v>
      </c>
      <c r="S822" s="915">
        <f t="shared" si="111"/>
        <v>0</v>
      </c>
      <c r="T822" s="911">
        <f t="shared" si="112"/>
        <v>0</v>
      </c>
      <c r="U822" s="1172"/>
      <c r="V822" s="1172"/>
      <c r="W822" s="1172"/>
      <c r="X822" s="1172"/>
      <c r="Y822" s="1172"/>
      <c r="Z822" s="1172"/>
      <c r="AA822" s="1172"/>
      <c r="AB822" s="1172"/>
      <c r="AC822" s="1172"/>
      <c r="AD822" s="1172"/>
      <c r="AE822" s="1172"/>
      <c r="AF822" s="1172"/>
      <c r="AG822" s="1172"/>
      <c r="AH822" s="1172"/>
      <c r="AI822" s="1172"/>
      <c r="AJ822" s="1172"/>
      <c r="AK822" s="1172"/>
      <c r="AL822" s="1172"/>
      <c r="AM822" s="1172"/>
      <c r="AN822" s="1172"/>
      <c r="AO822" s="1172"/>
      <c r="AP822" s="1172"/>
      <c r="AQ822" s="1172"/>
      <c r="AR822" s="1172"/>
      <c r="AS822" s="1172"/>
      <c r="AT822" s="1172"/>
      <c r="AU822" s="1172"/>
      <c r="AV822" s="1172"/>
      <c r="AW822" s="1172"/>
      <c r="AX822" s="1172"/>
      <c r="AY822" s="1172"/>
      <c r="AZ822" s="1172"/>
      <c r="BA822" s="1172"/>
      <c r="BB822" s="1172"/>
      <c r="BC822" s="1172"/>
      <c r="BD822" s="1172"/>
      <c r="BE822" s="1172"/>
      <c r="BF822" s="1172"/>
      <c r="BG822" s="1172"/>
      <c r="BH822" s="1172"/>
      <c r="BI822" s="1172"/>
      <c r="BJ822" s="1172"/>
      <c r="BK822" s="1172"/>
      <c r="BL822" s="1172"/>
      <c r="BM822" s="1172"/>
      <c r="BN822" s="1172"/>
      <c r="BO822" s="1172"/>
      <c r="BP822" s="1172"/>
      <c r="BQ822" s="1172"/>
      <c r="BR822" s="1172"/>
      <c r="BS822" s="1172"/>
      <c r="BT822" s="1172"/>
      <c r="BU822" s="1172"/>
      <c r="BV822" s="1172"/>
      <c r="BW822" s="1172"/>
      <c r="BX822" s="1172"/>
      <c r="BY822" s="1172"/>
      <c r="BZ822" s="1172"/>
      <c r="CA822" s="1172"/>
      <c r="CB822" s="1172"/>
      <c r="CC822" s="1172"/>
      <c r="CD822" s="1172"/>
      <c r="CE822" s="1172"/>
      <c r="CF822" s="1172"/>
      <c r="CG822" s="1172"/>
      <c r="CH822" s="1172"/>
      <c r="CI822" s="1172"/>
      <c r="CJ822" s="1172"/>
      <c r="CK822" s="1172"/>
      <c r="CL822" s="1172"/>
      <c r="CM822" s="1172"/>
      <c r="CN822" s="1172"/>
      <c r="CO822" s="1172"/>
      <c r="CP822" s="1172"/>
      <c r="CQ822" s="1172"/>
      <c r="CR822" s="1172"/>
      <c r="CS822" s="1172"/>
      <c r="CT822" s="1172"/>
      <c r="CU822" s="1172"/>
      <c r="CV822" s="1172"/>
      <c r="CW822" s="1172"/>
      <c r="CX822" s="1172"/>
      <c r="CY822" s="1172"/>
      <c r="CZ822" s="1172"/>
      <c r="DA822" s="1172"/>
      <c r="DB822" s="1172"/>
      <c r="DC822" s="1172"/>
      <c r="DD822" s="1172"/>
      <c r="DE822" s="1172"/>
      <c r="DF822" s="1172"/>
      <c r="DG822" s="1172"/>
      <c r="DH822" s="1172"/>
      <c r="DI822" s="1172"/>
      <c r="DJ822" s="1172"/>
    </row>
    <row r="823" spans="1:114" s="920" customFormat="1" ht="123" customHeight="1">
      <c r="A823" s="916"/>
      <c r="B823" s="917" t="s">
        <v>1381</v>
      </c>
      <c r="C823" s="918">
        <f>DATA!AK1198</f>
        <v>1112.93</v>
      </c>
      <c r="D823" s="978" t="s">
        <v>2273</v>
      </c>
      <c r="E823" s="919">
        <f>DSP!H2242</f>
        <v>4.1900000000000004</v>
      </c>
      <c r="F823" s="1053">
        <f t="shared" si="114"/>
        <v>4663.18</v>
      </c>
      <c r="G823" s="919"/>
      <c r="H823" s="914">
        <f t="shared" si="115"/>
        <v>0</v>
      </c>
      <c r="I823" s="919"/>
      <c r="J823" s="914">
        <f t="shared" si="116"/>
        <v>0</v>
      </c>
      <c r="K823" s="919"/>
      <c r="L823" s="914">
        <f t="shared" si="117"/>
        <v>0</v>
      </c>
      <c r="M823" s="919"/>
      <c r="N823" s="914">
        <f t="shared" si="119"/>
        <v>0</v>
      </c>
      <c r="O823" s="914"/>
      <c r="P823" s="914">
        <f t="shared" si="113"/>
        <v>0</v>
      </c>
      <c r="Q823" s="914"/>
      <c r="R823" s="914">
        <f t="shared" si="118"/>
        <v>0</v>
      </c>
      <c r="S823" s="915">
        <f t="shared" si="111"/>
        <v>4.1900000000000004</v>
      </c>
      <c r="T823" s="911">
        <f t="shared" si="112"/>
        <v>4663.18</v>
      </c>
      <c r="U823" s="1172"/>
      <c r="V823" s="1172"/>
      <c r="W823" s="1172"/>
      <c r="X823" s="1172"/>
      <c r="Y823" s="1172"/>
      <c r="Z823" s="1172"/>
      <c r="AA823" s="1172"/>
      <c r="AB823" s="1172"/>
      <c r="AC823" s="1172"/>
      <c r="AD823" s="1172"/>
      <c r="AE823" s="1172"/>
      <c r="AF823" s="1172"/>
      <c r="AG823" s="1172"/>
      <c r="AH823" s="1172"/>
      <c r="AI823" s="1172"/>
      <c r="AJ823" s="1172"/>
      <c r="AK823" s="1172"/>
      <c r="AL823" s="1172"/>
      <c r="AM823" s="1172"/>
      <c r="AN823" s="1172"/>
      <c r="AO823" s="1172"/>
      <c r="AP823" s="1172"/>
      <c r="AQ823" s="1172"/>
      <c r="AR823" s="1172"/>
      <c r="AS823" s="1172"/>
      <c r="AT823" s="1172"/>
      <c r="AU823" s="1172"/>
      <c r="AV823" s="1172"/>
      <c r="AW823" s="1172"/>
      <c r="AX823" s="1172"/>
      <c r="AY823" s="1172"/>
      <c r="AZ823" s="1172"/>
      <c r="BA823" s="1172"/>
      <c r="BB823" s="1172"/>
      <c r="BC823" s="1172"/>
      <c r="BD823" s="1172"/>
      <c r="BE823" s="1172"/>
      <c r="BF823" s="1172"/>
      <c r="BG823" s="1172"/>
      <c r="BH823" s="1172"/>
      <c r="BI823" s="1172"/>
      <c r="BJ823" s="1172"/>
      <c r="BK823" s="1172"/>
      <c r="BL823" s="1172"/>
      <c r="BM823" s="1172"/>
      <c r="BN823" s="1172"/>
      <c r="BO823" s="1172"/>
      <c r="BP823" s="1172"/>
      <c r="BQ823" s="1172"/>
      <c r="BR823" s="1172"/>
      <c r="BS823" s="1172"/>
      <c r="BT823" s="1172"/>
      <c r="BU823" s="1172"/>
      <c r="BV823" s="1172"/>
      <c r="BW823" s="1172"/>
      <c r="BX823" s="1172"/>
      <c r="BY823" s="1172"/>
      <c r="BZ823" s="1172"/>
      <c r="CA823" s="1172"/>
      <c r="CB823" s="1172"/>
      <c r="CC823" s="1172"/>
      <c r="CD823" s="1172"/>
      <c r="CE823" s="1172"/>
      <c r="CF823" s="1172"/>
      <c r="CG823" s="1172"/>
      <c r="CH823" s="1172"/>
      <c r="CI823" s="1172"/>
      <c r="CJ823" s="1172"/>
      <c r="CK823" s="1172"/>
      <c r="CL823" s="1172"/>
      <c r="CM823" s="1172"/>
      <c r="CN823" s="1172"/>
      <c r="CO823" s="1172"/>
      <c r="CP823" s="1172"/>
      <c r="CQ823" s="1172"/>
      <c r="CR823" s="1172"/>
      <c r="CS823" s="1172"/>
      <c r="CT823" s="1172"/>
      <c r="CU823" s="1172"/>
      <c r="CV823" s="1172"/>
      <c r="CW823" s="1172"/>
      <c r="CX823" s="1172"/>
      <c r="CY823" s="1172"/>
      <c r="CZ823" s="1172"/>
      <c r="DA823" s="1172"/>
      <c r="DB823" s="1172"/>
      <c r="DC823" s="1172"/>
      <c r="DD823" s="1172"/>
      <c r="DE823" s="1172"/>
      <c r="DF823" s="1172"/>
      <c r="DG823" s="1172"/>
      <c r="DH823" s="1172"/>
      <c r="DI823" s="1172"/>
      <c r="DJ823" s="1172"/>
    </row>
    <row r="824" spans="1:114" s="920" customFormat="1" ht="123" hidden="1" customHeight="1">
      <c r="A824" s="916"/>
      <c r="B824" s="917" t="s">
        <v>1429</v>
      </c>
      <c r="C824" s="918">
        <f>DATA!AK1199</f>
        <v>1115.29</v>
      </c>
      <c r="D824" s="978" t="s">
        <v>2273</v>
      </c>
      <c r="E824" s="919"/>
      <c r="F824" s="1053">
        <f t="shared" si="114"/>
        <v>0</v>
      </c>
      <c r="G824" s="919"/>
      <c r="H824" s="914">
        <f t="shared" si="115"/>
        <v>0</v>
      </c>
      <c r="I824" s="919"/>
      <c r="J824" s="914">
        <f t="shared" si="116"/>
        <v>0</v>
      </c>
      <c r="K824" s="919"/>
      <c r="L824" s="914">
        <f t="shared" si="117"/>
        <v>0</v>
      </c>
      <c r="M824" s="919"/>
      <c r="N824" s="914">
        <f t="shared" si="119"/>
        <v>0</v>
      </c>
      <c r="O824" s="914"/>
      <c r="P824" s="914">
        <f t="shared" si="113"/>
        <v>0</v>
      </c>
      <c r="Q824" s="914"/>
      <c r="R824" s="914">
        <f t="shared" si="118"/>
        <v>0</v>
      </c>
      <c r="S824" s="915">
        <f t="shared" si="111"/>
        <v>0</v>
      </c>
      <c r="T824" s="911">
        <f t="shared" si="112"/>
        <v>0</v>
      </c>
      <c r="U824" s="1172"/>
      <c r="V824" s="1172"/>
      <c r="W824" s="1172"/>
      <c r="X824" s="1172"/>
      <c r="Y824" s="1172"/>
      <c r="Z824" s="1172"/>
      <c r="AA824" s="1172"/>
      <c r="AB824" s="1172"/>
      <c r="AC824" s="1172"/>
      <c r="AD824" s="1172"/>
      <c r="AE824" s="1172"/>
      <c r="AF824" s="1172"/>
      <c r="AG824" s="1172"/>
      <c r="AH824" s="1172"/>
      <c r="AI824" s="1172"/>
      <c r="AJ824" s="1172"/>
      <c r="AK824" s="1172"/>
      <c r="AL824" s="1172"/>
      <c r="AM824" s="1172"/>
      <c r="AN824" s="1172"/>
      <c r="AO824" s="1172"/>
      <c r="AP824" s="1172"/>
      <c r="AQ824" s="1172"/>
      <c r="AR824" s="1172"/>
      <c r="AS824" s="1172"/>
      <c r="AT824" s="1172"/>
      <c r="AU824" s="1172"/>
      <c r="AV824" s="1172"/>
      <c r="AW824" s="1172"/>
      <c r="AX824" s="1172"/>
      <c r="AY824" s="1172"/>
      <c r="AZ824" s="1172"/>
      <c r="BA824" s="1172"/>
      <c r="BB824" s="1172"/>
      <c r="BC824" s="1172"/>
      <c r="BD824" s="1172"/>
      <c r="BE824" s="1172"/>
      <c r="BF824" s="1172"/>
      <c r="BG824" s="1172"/>
      <c r="BH824" s="1172"/>
      <c r="BI824" s="1172"/>
      <c r="BJ824" s="1172"/>
      <c r="BK824" s="1172"/>
      <c r="BL824" s="1172"/>
      <c r="BM824" s="1172"/>
      <c r="BN824" s="1172"/>
      <c r="BO824" s="1172"/>
      <c r="BP824" s="1172"/>
      <c r="BQ824" s="1172"/>
      <c r="BR824" s="1172"/>
      <c r="BS824" s="1172"/>
      <c r="BT824" s="1172"/>
      <c r="BU824" s="1172"/>
      <c r="BV824" s="1172"/>
      <c r="BW824" s="1172"/>
      <c r="BX824" s="1172"/>
      <c r="BY824" s="1172"/>
      <c r="BZ824" s="1172"/>
      <c r="CA824" s="1172"/>
      <c r="CB824" s="1172"/>
      <c r="CC824" s="1172"/>
      <c r="CD824" s="1172"/>
      <c r="CE824" s="1172"/>
      <c r="CF824" s="1172"/>
      <c r="CG824" s="1172"/>
      <c r="CH824" s="1172"/>
      <c r="CI824" s="1172"/>
      <c r="CJ824" s="1172"/>
      <c r="CK824" s="1172"/>
      <c r="CL824" s="1172"/>
      <c r="CM824" s="1172"/>
      <c r="CN824" s="1172"/>
      <c r="CO824" s="1172"/>
      <c r="CP824" s="1172"/>
      <c r="CQ824" s="1172"/>
      <c r="CR824" s="1172"/>
      <c r="CS824" s="1172"/>
      <c r="CT824" s="1172"/>
      <c r="CU824" s="1172"/>
      <c r="CV824" s="1172"/>
      <c r="CW824" s="1172"/>
      <c r="CX824" s="1172"/>
      <c r="CY824" s="1172"/>
      <c r="CZ824" s="1172"/>
      <c r="DA824" s="1172"/>
      <c r="DB824" s="1172"/>
      <c r="DC824" s="1172"/>
      <c r="DD824" s="1172"/>
      <c r="DE824" s="1172"/>
      <c r="DF824" s="1172"/>
      <c r="DG824" s="1172"/>
      <c r="DH824" s="1172"/>
      <c r="DI824" s="1172"/>
      <c r="DJ824" s="1172"/>
    </row>
    <row r="825" spans="1:114" s="920" customFormat="1" ht="123" hidden="1" customHeight="1">
      <c r="A825" s="916"/>
      <c r="B825" s="917" t="s">
        <v>4235</v>
      </c>
      <c r="C825" s="918">
        <f>DATA!AK1200</f>
        <v>1117.24</v>
      </c>
      <c r="D825" s="978" t="s">
        <v>2273</v>
      </c>
      <c r="E825" s="919"/>
      <c r="F825" s="1053">
        <f t="shared" si="114"/>
        <v>0</v>
      </c>
      <c r="G825" s="919"/>
      <c r="H825" s="914">
        <f t="shared" si="115"/>
        <v>0</v>
      </c>
      <c r="I825" s="919"/>
      <c r="J825" s="914">
        <f t="shared" si="116"/>
        <v>0</v>
      </c>
      <c r="K825" s="919"/>
      <c r="L825" s="914">
        <f t="shared" si="117"/>
        <v>0</v>
      </c>
      <c r="M825" s="919"/>
      <c r="N825" s="914">
        <f t="shared" si="119"/>
        <v>0</v>
      </c>
      <c r="O825" s="914"/>
      <c r="P825" s="914">
        <f t="shared" si="113"/>
        <v>0</v>
      </c>
      <c r="Q825" s="914"/>
      <c r="R825" s="914">
        <f t="shared" si="118"/>
        <v>0</v>
      </c>
      <c r="S825" s="915">
        <f t="shared" si="111"/>
        <v>0</v>
      </c>
      <c r="T825" s="911">
        <f t="shared" si="112"/>
        <v>0</v>
      </c>
      <c r="U825" s="1172"/>
      <c r="V825" s="1172"/>
      <c r="W825" s="1172"/>
      <c r="X825" s="1172"/>
      <c r="Y825" s="1172"/>
      <c r="Z825" s="1172"/>
      <c r="AA825" s="1172"/>
      <c r="AB825" s="1172"/>
      <c r="AC825" s="1172"/>
      <c r="AD825" s="1172"/>
      <c r="AE825" s="1172"/>
      <c r="AF825" s="1172"/>
      <c r="AG825" s="1172"/>
      <c r="AH825" s="1172"/>
      <c r="AI825" s="1172"/>
      <c r="AJ825" s="1172"/>
      <c r="AK825" s="1172"/>
      <c r="AL825" s="1172"/>
      <c r="AM825" s="1172"/>
      <c r="AN825" s="1172"/>
      <c r="AO825" s="1172"/>
      <c r="AP825" s="1172"/>
      <c r="AQ825" s="1172"/>
      <c r="AR825" s="1172"/>
      <c r="AS825" s="1172"/>
      <c r="AT825" s="1172"/>
      <c r="AU825" s="1172"/>
      <c r="AV825" s="1172"/>
      <c r="AW825" s="1172"/>
      <c r="AX825" s="1172"/>
      <c r="AY825" s="1172"/>
      <c r="AZ825" s="1172"/>
      <c r="BA825" s="1172"/>
      <c r="BB825" s="1172"/>
      <c r="BC825" s="1172"/>
      <c r="BD825" s="1172"/>
      <c r="BE825" s="1172"/>
      <c r="BF825" s="1172"/>
      <c r="BG825" s="1172"/>
      <c r="BH825" s="1172"/>
      <c r="BI825" s="1172"/>
      <c r="BJ825" s="1172"/>
      <c r="BK825" s="1172"/>
      <c r="BL825" s="1172"/>
      <c r="BM825" s="1172"/>
      <c r="BN825" s="1172"/>
      <c r="BO825" s="1172"/>
      <c r="BP825" s="1172"/>
      <c r="BQ825" s="1172"/>
      <c r="BR825" s="1172"/>
      <c r="BS825" s="1172"/>
      <c r="BT825" s="1172"/>
      <c r="BU825" s="1172"/>
      <c r="BV825" s="1172"/>
      <c r="BW825" s="1172"/>
      <c r="BX825" s="1172"/>
      <c r="BY825" s="1172"/>
      <c r="BZ825" s="1172"/>
      <c r="CA825" s="1172"/>
      <c r="CB825" s="1172"/>
      <c r="CC825" s="1172"/>
      <c r="CD825" s="1172"/>
      <c r="CE825" s="1172"/>
      <c r="CF825" s="1172"/>
      <c r="CG825" s="1172"/>
      <c r="CH825" s="1172"/>
      <c r="CI825" s="1172"/>
      <c r="CJ825" s="1172"/>
      <c r="CK825" s="1172"/>
      <c r="CL825" s="1172"/>
      <c r="CM825" s="1172"/>
      <c r="CN825" s="1172"/>
      <c r="CO825" s="1172"/>
      <c r="CP825" s="1172"/>
      <c r="CQ825" s="1172"/>
      <c r="CR825" s="1172"/>
      <c r="CS825" s="1172"/>
      <c r="CT825" s="1172"/>
      <c r="CU825" s="1172"/>
      <c r="CV825" s="1172"/>
      <c r="CW825" s="1172"/>
      <c r="CX825" s="1172"/>
      <c r="CY825" s="1172"/>
      <c r="CZ825" s="1172"/>
      <c r="DA825" s="1172"/>
      <c r="DB825" s="1172"/>
      <c r="DC825" s="1172"/>
      <c r="DD825" s="1172"/>
      <c r="DE825" s="1172"/>
      <c r="DF825" s="1172"/>
      <c r="DG825" s="1172"/>
      <c r="DH825" s="1172"/>
      <c r="DI825" s="1172"/>
      <c r="DJ825" s="1172"/>
    </row>
    <row r="826" spans="1:114" s="920" customFormat="1" ht="250.5" hidden="1" customHeight="1">
      <c r="A826" s="905"/>
      <c r="B826" s="992" t="s">
        <v>3791</v>
      </c>
      <c r="C826" s="959"/>
      <c r="D826" s="961"/>
      <c r="E826" s="919"/>
      <c r="F826" s="1053">
        <f t="shared" si="114"/>
        <v>0</v>
      </c>
      <c r="G826" s="919"/>
      <c r="H826" s="914">
        <f t="shared" si="115"/>
        <v>0</v>
      </c>
      <c r="I826" s="919"/>
      <c r="J826" s="914">
        <f t="shared" si="116"/>
        <v>0</v>
      </c>
      <c r="K826" s="919"/>
      <c r="L826" s="914">
        <f t="shared" si="117"/>
        <v>0</v>
      </c>
      <c r="M826" s="919"/>
      <c r="N826" s="914">
        <f t="shared" si="119"/>
        <v>0</v>
      </c>
      <c r="O826" s="914"/>
      <c r="P826" s="914">
        <f t="shared" si="113"/>
        <v>0</v>
      </c>
      <c r="Q826" s="914"/>
      <c r="R826" s="914">
        <f t="shared" si="118"/>
        <v>0</v>
      </c>
      <c r="S826" s="915">
        <f t="shared" si="111"/>
        <v>0</v>
      </c>
      <c r="T826" s="911">
        <f t="shared" si="112"/>
        <v>0</v>
      </c>
      <c r="U826" s="1172"/>
      <c r="V826" s="1172"/>
      <c r="W826" s="1172"/>
      <c r="X826" s="1172"/>
      <c r="Y826" s="1172"/>
      <c r="Z826" s="1172"/>
      <c r="AA826" s="1172"/>
      <c r="AB826" s="1172"/>
      <c r="AC826" s="1172"/>
      <c r="AD826" s="1172"/>
      <c r="AE826" s="1172"/>
      <c r="AF826" s="1172"/>
      <c r="AG826" s="1172"/>
      <c r="AH826" s="1172"/>
      <c r="AI826" s="1172"/>
      <c r="AJ826" s="1172"/>
      <c r="AK826" s="1172"/>
      <c r="AL826" s="1172"/>
      <c r="AM826" s="1172"/>
      <c r="AN826" s="1172"/>
      <c r="AO826" s="1172"/>
      <c r="AP826" s="1172"/>
      <c r="AQ826" s="1172"/>
      <c r="AR826" s="1172"/>
      <c r="AS826" s="1172"/>
      <c r="AT826" s="1172"/>
      <c r="AU826" s="1172"/>
      <c r="AV826" s="1172"/>
      <c r="AW826" s="1172"/>
      <c r="AX826" s="1172"/>
      <c r="AY826" s="1172"/>
      <c r="AZ826" s="1172"/>
      <c r="BA826" s="1172"/>
      <c r="BB826" s="1172"/>
      <c r="BC826" s="1172"/>
      <c r="BD826" s="1172"/>
      <c r="BE826" s="1172"/>
      <c r="BF826" s="1172"/>
      <c r="BG826" s="1172"/>
      <c r="BH826" s="1172"/>
      <c r="BI826" s="1172"/>
      <c r="BJ826" s="1172"/>
      <c r="BK826" s="1172"/>
      <c r="BL826" s="1172"/>
      <c r="BM826" s="1172"/>
      <c r="BN826" s="1172"/>
      <c r="BO826" s="1172"/>
      <c r="BP826" s="1172"/>
      <c r="BQ826" s="1172"/>
      <c r="BR826" s="1172"/>
      <c r="BS826" s="1172"/>
      <c r="BT826" s="1172"/>
      <c r="BU826" s="1172"/>
      <c r="BV826" s="1172"/>
      <c r="BW826" s="1172"/>
      <c r="BX826" s="1172"/>
      <c r="BY826" s="1172"/>
      <c r="BZ826" s="1172"/>
      <c r="CA826" s="1172"/>
      <c r="CB826" s="1172"/>
      <c r="CC826" s="1172"/>
      <c r="CD826" s="1172"/>
      <c r="CE826" s="1172"/>
      <c r="CF826" s="1172"/>
      <c r="CG826" s="1172"/>
      <c r="CH826" s="1172"/>
      <c r="CI826" s="1172"/>
      <c r="CJ826" s="1172"/>
      <c r="CK826" s="1172"/>
      <c r="CL826" s="1172"/>
      <c r="CM826" s="1172"/>
      <c r="CN826" s="1172"/>
      <c r="CO826" s="1172"/>
      <c r="CP826" s="1172"/>
      <c r="CQ826" s="1172"/>
      <c r="CR826" s="1172"/>
      <c r="CS826" s="1172"/>
      <c r="CT826" s="1172"/>
      <c r="CU826" s="1172"/>
      <c r="CV826" s="1172"/>
      <c r="CW826" s="1172"/>
      <c r="CX826" s="1172"/>
      <c r="CY826" s="1172"/>
      <c r="CZ826" s="1172"/>
      <c r="DA826" s="1172"/>
      <c r="DB826" s="1172"/>
      <c r="DC826" s="1172"/>
      <c r="DD826" s="1172"/>
      <c r="DE826" s="1172"/>
      <c r="DF826" s="1172"/>
      <c r="DG826" s="1172"/>
      <c r="DH826" s="1172"/>
      <c r="DI826" s="1172"/>
      <c r="DJ826" s="1172"/>
    </row>
    <row r="827" spans="1:114" ht="250.5" hidden="1" customHeight="1">
      <c r="A827" s="905"/>
      <c r="B827" s="1009" t="s">
        <v>4362</v>
      </c>
      <c r="C827" s="959">
        <f>DATA!R1486</f>
        <v>5118.3999999999996</v>
      </c>
      <c r="D827" s="961" t="s">
        <v>2273</v>
      </c>
      <c r="E827" s="919"/>
      <c r="F827" s="1053">
        <f t="shared" si="114"/>
        <v>0</v>
      </c>
      <c r="G827" s="919"/>
      <c r="H827" s="914">
        <f t="shared" si="115"/>
        <v>0</v>
      </c>
      <c r="I827" s="919"/>
      <c r="J827" s="914">
        <f t="shared" si="116"/>
        <v>0</v>
      </c>
      <c r="K827" s="919"/>
      <c r="L827" s="914">
        <f t="shared" si="117"/>
        <v>0</v>
      </c>
      <c r="M827" s="919"/>
      <c r="N827" s="914">
        <f t="shared" si="119"/>
        <v>0</v>
      </c>
      <c r="O827" s="914"/>
      <c r="P827" s="914">
        <f t="shared" si="113"/>
        <v>0</v>
      </c>
      <c r="Q827" s="914"/>
      <c r="R827" s="914">
        <f t="shared" si="118"/>
        <v>0</v>
      </c>
      <c r="S827" s="915">
        <f t="shared" si="111"/>
        <v>0</v>
      </c>
      <c r="T827" s="911">
        <f t="shared" si="112"/>
        <v>0</v>
      </c>
    </row>
    <row r="828" spans="1:114" ht="250.5" hidden="1" customHeight="1">
      <c r="A828" s="905"/>
      <c r="B828" s="1009" t="s">
        <v>4201</v>
      </c>
      <c r="C828" s="959">
        <f>DATA!R1479</f>
        <v>5115.5600000000004</v>
      </c>
      <c r="D828" s="961" t="s">
        <v>2273</v>
      </c>
      <c r="E828" s="919"/>
      <c r="F828" s="1053">
        <f t="shared" si="114"/>
        <v>0</v>
      </c>
      <c r="G828" s="919"/>
      <c r="H828" s="914">
        <f t="shared" si="115"/>
        <v>0</v>
      </c>
      <c r="I828" s="919"/>
      <c r="J828" s="914">
        <f t="shared" si="116"/>
        <v>0</v>
      </c>
      <c r="K828" s="919"/>
      <c r="L828" s="914">
        <f t="shared" si="117"/>
        <v>0</v>
      </c>
      <c r="M828" s="919"/>
      <c r="N828" s="914">
        <f t="shared" si="119"/>
        <v>0</v>
      </c>
      <c r="O828" s="914"/>
      <c r="P828" s="914">
        <f t="shared" si="113"/>
        <v>0</v>
      </c>
      <c r="Q828" s="914"/>
      <c r="R828" s="914">
        <f t="shared" si="118"/>
        <v>0</v>
      </c>
      <c r="S828" s="915">
        <f t="shared" si="111"/>
        <v>0</v>
      </c>
      <c r="T828" s="911">
        <f t="shared" si="112"/>
        <v>0</v>
      </c>
    </row>
    <row r="829" spans="1:114" ht="250.5" hidden="1" customHeight="1">
      <c r="A829" s="905"/>
      <c r="B829" s="1009" t="s">
        <v>3792</v>
      </c>
      <c r="C829" s="959">
        <f>DATA!R1479</f>
        <v>5115.5600000000004</v>
      </c>
      <c r="D829" s="961" t="s">
        <v>2273</v>
      </c>
      <c r="E829" s="919"/>
      <c r="F829" s="1053">
        <f t="shared" si="114"/>
        <v>0</v>
      </c>
      <c r="G829" s="919"/>
      <c r="H829" s="914">
        <f t="shared" si="115"/>
        <v>0</v>
      </c>
      <c r="I829" s="919"/>
      <c r="J829" s="914">
        <f t="shared" si="116"/>
        <v>0</v>
      </c>
      <c r="K829" s="919"/>
      <c r="L829" s="914">
        <f t="shared" si="117"/>
        <v>0</v>
      </c>
      <c r="M829" s="919"/>
      <c r="N829" s="914">
        <f t="shared" si="119"/>
        <v>0</v>
      </c>
      <c r="O829" s="914"/>
      <c r="P829" s="914">
        <f t="shared" si="113"/>
        <v>0</v>
      </c>
      <c r="Q829" s="914"/>
      <c r="R829" s="914">
        <f t="shared" si="118"/>
        <v>0</v>
      </c>
      <c r="S829" s="915">
        <f t="shared" si="111"/>
        <v>0</v>
      </c>
      <c r="T829" s="911">
        <f t="shared" si="112"/>
        <v>0</v>
      </c>
    </row>
    <row r="830" spans="1:114" ht="250.5" hidden="1" customHeight="1">
      <c r="A830" s="905"/>
      <c r="B830" s="1009" t="s">
        <v>3935</v>
      </c>
      <c r="C830" s="959">
        <f>DATA!X1447</f>
        <v>5345.47</v>
      </c>
      <c r="D830" s="961" t="s">
        <v>2273</v>
      </c>
      <c r="E830" s="919"/>
      <c r="F830" s="1053">
        <f t="shared" si="114"/>
        <v>0</v>
      </c>
      <c r="G830" s="919"/>
      <c r="H830" s="914">
        <f t="shared" si="115"/>
        <v>0</v>
      </c>
      <c r="I830" s="919"/>
      <c r="J830" s="914">
        <f t="shared" si="116"/>
        <v>0</v>
      </c>
      <c r="K830" s="919"/>
      <c r="L830" s="914">
        <f t="shared" si="117"/>
        <v>0</v>
      </c>
      <c r="M830" s="919"/>
      <c r="N830" s="914">
        <f t="shared" si="119"/>
        <v>0</v>
      </c>
      <c r="O830" s="914"/>
      <c r="P830" s="914">
        <f t="shared" si="113"/>
        <v>0</v>
      </c>
      <c r="Q830" s="914"/>
      <c r="R830" s="914">
        <f t="shared" si="118"/>
        <v>0</v>
      </c>
      <c r="S830" s="915">
        <f t="shared" si="111"/>
        <v>0</v>
      </c>
      <c r="T830" s="911">
        <f t="shared" si="112"/>
        <v>0</v>
      </c>
    </row>
    <row r="831" spans="1:114" ht="250.5" hidden="1" customHeight="1">
      <c r="A831" s="905"/>
      <c r="B831" s="1009" t="s">
        <v>3934</v>
      </c>
      <c r="C831" s="959">
        <f>DATA!X1440</f>
        <v>5680.39</v>
      </c>
      <c r="D831" s="961" t="s">
        <v>2273</v>
      </c>
      <c r="E831" s="919"/>
      <c r="F831" s="1053">
        <f t="shared" si="114"/>
        <v>0</v>
      </c>
      <c r="G831" s="919"/>
      <c r="H831" s="914">
        <f t="shared" si="115"/>
        <v>0</v>
      </c>
      <c r="I831" s="919"/>
      <c r="J831" s="914">
        <f t="shared" si="116"/>
        <v>0</v>
      </c>
      <c r="K831" s="919"/>
      <c r="L831" s="914">
        <f t="shared" si="117"/>
        <v>0</v>
      </c>
      <c r="M831" s="919"/>
      <c r="N831" s="914">
        <f t="shared" si="119"/>
        <v>0</v>
      </c>
      <c r="O831" s="914"/>
      <c r="P831" s="914">
        <f t="shared" si="113"/>
        <v>0</v>
      </c>
      <c r="Q831" s="914"/>
      <c r="R831" s="914">
        <f t="shared" si="118"/>
        <v>0</v>
      </c>
      <c r="S831" s="915">
        <f t="shared" si="111"/>
        <v>0</v>
      </c>
      <c r="T831" s="911">
        <f t="shared" si="112"/>
        <v>0</v>
      </c>
    </row>
    <row r="832" spans="1:114" ht="250.5" hidden="1" customHeight="1">
      <c r="A832" s="905"/>
      <c r="B832" s="992" t="str">
        <f>'[15]Bldg+Dev'!$B$566</f>
        <v>Supply &amp; Fixing of MS door  (for lockup door )</v>
      </c>
      <c r="C832" s="913"/>
      <c r="D832" s="972"/>
      <c r="E832" s="919"/>
      <c r="F832" s="1053">
        <f t="shared" si="114"/>
        <v>0</v>
      </c>
      <c r="G832" s="919"/>
      <c r="H832" s="914">
        <f t="shared" si="115"/>
        <v>0</v>
      </c>
      <c r="I832" s="919"/>
      <c r="J832" s="914">
        <f t="shared" si="116"/>
        <v>0</v>
      </c>
      <c r="K832" s="919"/>
      <c r="L832" s="914">
        <f t="shared" si="117"/>
        <v>0</v>
      </c>
      <c r="M832" s="919"/>
      <c r="N832" s="914">
        <f t="shared" si="119"/>
        <v>0</v>
      </c>
      <c r="O832" s="914"/>
      <c r="P832" s="914">
        <f t="shared" si="113"/>
        <v>0</v>
      </c>
      <c r="Q832" s="914"/>
      <c r="R832" s="914">
        <f t="shared" si="118"/>
        <v>0</v>
      </c>
      <c r="S832" s="915">
        <f t="shared" si="111"/>
        <v>0</v>
      </c>
      <c r="T832" s="911">
        <f t="shared" si="112"/>
        <v>0</v>
      </c>
    </row>
    <row r="833" spans="1:114" ht="250.5" hidden="1" customHeight="1">
      <c r="A833" s="905"/>
      <c r="B833" s="973" t="s">
        <v>2041</v>
      </c>
      <c r="C833" s="913">
        <f>DATA!K2545</f>
        <v>9385.85</v>
      </c>
      <c r="D833" s="972" t="s">
        <v>1706</v>
      </c>
      <c r="E833" s="919"/>
      <c r="F833" s="1053">
        <f t="shared" si="114"/>
        <v>0</v>
      </c>
      <c r="G833" s="919"/>
      <c r="H833" s="914">
        <f t="shared" si="115"/>
        <v>0</v>
      </c>
      <c r="I833" s="919"/>
      <c r="J833" s="914">
        <f t="shared" si="116"/>
        <v>0</v>
      </c>
      <c r="K833" s="919"/>
      <c r="L833" s="914">
        <f t="shared" si="117"/>
        <v>0</v>
      </c>
      <c r="M833" s="919"/>
      <c r="N833" s="914">
        <f t="shared" si="119"/>
        <v>0</v>
      </c>
      <c r="O833" s="914"/>
      <c r="P833" s="914">
        <f t="shared" si="113"/>
        <v>0</v>
      </c>
      <c r="Q833" s="914"/>
      <c r="R833" s="914">
        <f t="shared" si="118"/>
        <v>0</v>
      </c>
      <c r="S833" s="915">
        <f t="shared" si="111"/>
        <v>0</v>
      </c>
      <c r="T833" s="911">
        <f t="shared" si="112"/>
        <v>0</v>
      </c>
    </row>
    <row r="834" spans="1:114" ht="250.5" hidden="1" customHeight="1">
      <c r="A834" s="905"/>
      <c r="B834" s="973" t="s">
        <v>595</v>
      </c>
      <c r="C834" s="913">
        <f>DATA!K2580</f>
        <v>6112.29</v>
      </c>
      <c r="D834" s="972" t="s">
        <v>1393</v>
      </c>
      <c r="E834" s="919"/>
      <c r="F834" s="1053">
        <f t="shared" si="114"/>
        <v>0</v>
      </c>
      <c r="G834" s="919"/>
      <c r="H834" s="914">
        <f t="shared" si="115"/>
        <v>0</v>
      </c>
      <c r="I834" s="919"/>
      <c r="J834" s="914">
        <f t="shared" si="116"/>
        <v>0</v>
      </c>
      <c r="K834" s="919"/>
      <c r="L834" s="914">
        <f t="shared" si="117"/>
        <v>0</v>
      </c>
      <c r="M834" s="919"/>
      <c r="N834" s="914">
        <f t="shared" si="119"/>
        <v>0</v>
      </c>
      <c r="O834" s="914"/>
      <c r="P834" s="914">
        <f t="shared" si="113"/>
        <v>0</v>
      </c>
      <c r="Q834" s="914"/>
      <c r="R834" s="914">
        <f t="shared" si="118"/>
        <v>0</v>
      </c>
      <c r="S834" s="915">
        <f t="shared" si="111"/>
        <v>0</v>
      </c>
      <c r="T834" s="911">
        <f t="shared" si="112"/>
        <v>0</v>
      </c>
    </row>
    <row r="835" spans="1:114" ht="250.5" hidden="1" customHeight="1">
      <c r="A835" s="905"/>
      <c r="B835" s="994" t="s">
        <v>5780</v>
      </c>
      <c r="C835" s="913"/>
      <c r="D835" s="972"/>
      <c r="E835" s="919"/>
      <c r="F835" s="1053">
        <f t="shared" si="114"/>
        <v>0</v>
      </c>
      <c r="G835" s="919"/>
      <c r="H835" s="914">
        <f t="shared" si="115"/>
        <v>0</v>
      </c>
      <c r="I835" s="919"/>
      <c r="J835" s="914">
        <f t="shared" si="116"/>
        <v>0</v>
      </c>
      <c r="K835" s="919"/>
      <c r="L835" s="914">
        <f t="shared" si="117"/>
        <v>0</v>
      </c>
      <c r="M835" s="919"/>
      <c r="N835" s="914">
        <f t="shared" si="119"/>
        <v>0</v>
      </c>
      <c r="O835" s="914"/>
      <c r="P835" s="914">
        <f t="shared" si="113"/>
        <v>0</v>
      </c>
      <c r="Q835" s="914"/>
      <c r="R835" s="914">
        <f t="shared" si="118"/>
        <v>0</v>
      </c>
      <c r="S835" s="915">
        <f t="shared" si="111"/>
        <v>0</v>
      </c>
      <c r="T835" s="911">
        <f t="shared" si="112"/>
        <v>0</v>
      </c>
    </row>
    <row r="836" spans="1:114" ht="250.5" hidden="1" customHeight="1">
      <c r="A836" s="905"/>
      <c r="B836" s="973" t="s">
        <v>2197</v>
      </c>
      <c r="C836" s="913">
        <f>DATA!K2473</f>
        <v>4297.0600000000004</v>
      </c>
      <c r="D836" s="972" t="s">
        <v>2273</v>
      </c>
      <c r="E836" s="919"/>
      <c r="F836" s="1053">
        <f t="shared" si="114"/>
        <v>0</v>
      </c>
      <c r="G836" s="919"/>
      <c r="H836" s="914">
        <f t="shared" si="115"/>
        <v>0</v>
      </c>
      <c r="I836" s="919"/>
      <c r="J836" s="914">
        <f t="shared" si="116"/>
        <v>0</v>
      </c>
      <c r="K836" s="919"/>
      <c r="L836" s="914">
        <f t="shared" si="117"/>
        <v>0</v>
      </c>
      <c r="M836" s="919"/>
      <c r="N836" s="914">
        <f t="shared" si="119"/>
        <v>0</v>
      </c>
      <c r="O836" s="914"/>
      <c r="P836" s="914">
        <f t="shared" si="113"/>
        <v>0</v>
      </c>
      <c r="Q836" s="914"/>
      <c r="R836" s="914">
        <f t="shared" si="118"/>
        <v>0</v>
      </c>
      <c r="S836" s="915">
        <f t="shared" si="111"/>
        <v>0</v>
      </c>
      <c r="T836" s="911">
        <f t="shared" si="112"/>
        <v>0</v>
      </c>
    </row>
    <row r="837" spans="1:114" ht="250.5" hidden="1" customHeight="1">
      <c r="A837" s="905"/>
      <c r="B837" s="973" t="s">
        <v>4360</v>
      </c>
      <c r="C837" s="959">
        <f>DATA!J3860</f>
        <v>0</v>
      </c>
      <c r="D837" s="961" t="s">
        <v>2273</v>
      </c>
      <c r="E837" s="919"/>
      <c r="F837" s="1053">
        <f t="shared" si="114"/>
        <v>0</v>
      </c>
      <c r="G837" s="919"/>
      <c r="H837" s="914">
        <f t="shared" si="115"/>
        <v>0</v>
      </c>
      <c r="I837" s="919"/>
      <c r="J837" s="914">
        <f t="shared" si="116"/>
        <v>0</v>
      </c>
      <c r="K837" s="919"/>
      <c r="L837" s="914">
        <f t="shared" si="117"/>
        <v>0</v>
      </c>
      <c r="M837" s="919"/>
      <c r="N837" s="914">
        <f t="shared" si="119"/>
        <v>0</v>
      </c>
      <c r="O837" s="914"/>
      <c r="P837" s="914">
        <f t="shared" si="113"/>
        <v>0</v>
      </c>
      <c r="Q837" s="914"/>
      <c r="R837" s="914">
        <f t="shared" si="118"/>
        <v>0</v>
      </c>
      <c r="S837" s="915">
        <f t="shared" si="111"/>
        <v>0</v>
      </c>
      <c r="T837" s="911">
        <f t="shared" si="112"/>
        <v>0</v>
      </c>
    </row>
    <row r="838" spans="1:114" ht="250.5" hidden="1" customHeight="1">
      <c r="A838" s="905"/>
      <c r="B838" s="973" t="s">
        <v>4361</v>
      </c>
      <c r="C838" s="959">
        <f>DATA!R2521</f>
        <v>4348.82</v>
      </c>
      <c r="D838" s="961" t="s">
        <v>2273</v>
      </c>
      <c r="E838" s="919"/>
      <c r="F838" s="1053">
        <f t="shared" si="114"/>
        <v>0</v>
      </c>
      <c r="G838" s="919"/>
      <c r="H838" s="914">
        <f t="shared" si="115"/>
        <v>0</v>
      </c>
      <c r="I838" s="919"/>
      <c r="J838" s="914">
        <f t="shared" si="116"/>
        <v>0</v>
      </c>
      <c r="K838" s="919"/>
      <c r="L838" s="914">
        <f t="shared" si="117"/>
        <v>0</v>
      </c>
      <c r="M838" s="919"/>
      <c r="N838" s="914">
        <f t="shared" si="119"/>
        <v>0</v>
      </c>
      <c r="O838" s="914"/>
      <c r="P838" s="914">
        <f t="shared" si="113"/>
        <v>0</v>
      </c>
      <c r="Q838" s="914"/>
      <c r="R838" s="914">
        <f t="shared" si="118"/>
        <v>0</v>
      </c>
      <c r="S838" s="915">
        <f t="shared" si="111"/>
        <v>0</v>
      </c>
      <c r="T838" s="911">
        <f t="shared" si="112"/>
        <v>0</v>
      </c>
    </row>
    <row r="839" spans="1:114" ht="250.5" hidden="1" customHeight="1">
      <c r="A839" s="905"/>
      <c r="B839" s="973" t="s">
        <v>4079</v>
      </c>
      <c r="C839" s="959">
        <f>DATA!J3881</f>
        <v>0</v>
      </c>
      <c r="D839" s="961" t="s">
        <v>2273</v>
      </c>
      <c r="E839" s="919"/>
      <c r="F839" s="1053">
        <f t="shared" si="114"/>
        <v>0</v>
      </c>
      <c r="G839" s="919"/>
      <c r="H839" s="914">
        <f t="shared" si="115"/>
        <v>0</v>
      </c>
      <c r="I839" s="919"/>
      <c r="J839" s="914">
        <f t="shared" si="116"/>
        <v>0</v>
      </c>
      <c r="K839" s="919"/>
      <c r="L839" s="914">
        <f t="shared" si="117"/>
        <v>0</v>
      </c>
      <c r="M839" s="919"/>
      <c r="N839" s="914">
        <f t="shared" si="119"/>
        <v>0</v>
      </c>
      <c r="O839" s="914"/>
      <c r="P839" s="914">
        <f t="shared" si="113"/>
        <v>0</v>
      </c>
      <c r="Q839" s="914"/>
      <c r="R839" s="914">
        <f t="shared" si="118"/>
        <v>0</v>
      </c>
      <c r="S839" s="915">
        <f t="shared" ref="S839:S902" si="120">G839+I839+K839+M839+E839+O839+Q839</f>
        <v>0</v>
      </c>
      <c r="T839" s="911">
        <f t="shared" ref="T839:T902" si="121">S839*C839</f>
        <v>0</v>
      </c>
    </row>
    <row r="840" spans="1:114" ht="250.5" hidden="1" customHeight="1">
      <c r="A840" s="916"/>
      <c r="B840" s="973" t="s">
        <v>596</v>
      </c>
      <c r="C840" s="918">
        <f>C1010</f>
        <v>4881.1899999999996</v>
      </c>
      <c r="D840" s="978" t="s">
        <v>2273</v>
      </c>
      <c r="E840" s="919"/>
      <c r="F840" s="1053">
        <f t="shared" si="114"/>
        <v>0</v>
      </c>
      <c r="G840" s="919"/>
      <c r="H840" s="914">
        <f t="shared" si="115"/>
        <v>0</v>
      </c>
      <c r="I840" s="919"/>
      <c r="J840" s="914">
        <f t="shared" si="116"/>
        <v>0</v>
      </c>
      <c r="K840" s="919"/>
      <c r="L840" s="914">
        <f t="shared" si="117"/>
        <v>0</v>
      </c>
      <c r="M840" s="919"/>
      <c r="N840" s="914">
        <f t="shared" si="119"/>
        <v>0</v>
      </c>
      <c r="O840" s="914"/>
      <c r="P840" s="914">
        <f t="shared" si="113"/>
        <v>0</v>
      </c>
      <c r="Q840" s="914"/>
      <c r="R840" s="914">
        <f t="shared" si="118"/>
        <v>0</v>
      </c>
      <c r="S840" s="915">
        <f t="shared" si="120"/>
        <v>0</v>
      </c>
      <c r="T840" s="911">
        <f t="shared" si="121"/>
        <v>0</v>
      </c>
    </row>
    <row r="841" spans="1:114" s="920" customFormat="1" ht="250.5" hidden="1" customHeight="1">
      <c r="A841" s="905"/>
      <c r="B841" s="973" t="s">
        <v>1891</v>
      </c>
      <c r="C841" s="913">
        <f>building!C1011</f>
        <v>5175.3599999999997</v>
      </c>
      <c r="D841" s="972" t="s">
        <v>2273</v>
      </c>
      <c r="E841" s="919"/>
      <c r="F841" s="1053">
        <f t="shared" si="114"/>
        <v>0</v>
      </c>
      <c r="G841" s="919"/>
      <c r="H841" s="914">
        <f t="shared" si="115"/>
        <v>0</v>
      </c>
      <c r="I841" s="919"/>
      <c r="J841" s="914">
        <f t="shared" si="116"/>
        <v>0</v>
      </c>
      <c r="K841" s="919"/>
      <c r="L841" s="914">
        <f t="shared" si="117"/>
        <v>0</v>
      </c>
      <c r="M841" s="919"/>
      <c r="N841" s="914">
        <f t="shared" si="119"/>
        <v>0</v>
      </c>
      <c r="O841" s="914"/>
      <c r="P841" s="914">
        <f t="shared" si="113"/>
        <v>0</v>
      </c>
      <c r="Q841" s="914"/>
      <c r="R841" s="914">
        <f t="shared" si="118"/>
        <v>0</v>
      </c>
      <c r="S841" s="915">
        <f t="shared" si="120"/>
        <v>0</v>
      </c>
      <c r="T841" s="911">
        <f t="shared" si="121"/>
        <v>0</v>
      </c>
      <c r="U841" s="1172"/>
      <c r="V841" s="1172"/>
      <c r="W841" s="1172"/>
      <c r="X841" s="1172"/>
      <c r="Y841" s="1172"/>
      <c r="Z841" s="1172"/>
      <c r="AA841" s="1172"/>
      <c r="AB841" s="1172"/>
      <c r="AC841" s="1172"/>
      <c r="AD841" s="1172"/>
      <c r="AE841" s="1172"/>
      <c r="AF841" s="1172"/>
      <c r="AG841" s="1172"/>
      <c r="AH841" s="1172"/>
      <c r="AI841" s="1172"/>
      <c r="AJ841" s="1172"/>
      <c r="AK841" s="1172"/>
      <c r="AL841" s="1172"/>
      <c r="AM841" s="1172"/>
      <c r="AN841" s="1172"/>
      <c r="AO841" s="1172"/>
      <c r="AP841" s="1172"/>
      <c r="AQ841" s="1172"/>
      <c r="AR841" s="1172"/>
      <c r="AS841" s="1172"/>
      <c r="AT841" s="1172"/>
      <c r="AU841" s="1172"/>
      <c r="AV841" s="1172"/>
      <c r="AW841" s="1172"/>
      <c r="AX841" s="1172"/>
      <c r="AY841" s="1172"/>
      <c r="AZ841" s="1172"/>
      <c r="BA841" s="1172"/>
      <c r="BB841" s="1172"/>
      <c r="BC841" s="1172"/>
      <c r="BD841" s="1172"/>
      <c r="BE841" s="1172"/>
      <c r="BF841" s="1172"/>
      <c r="BG841" s="1172"/>
      <c r="BH841" s="1172"/>
      <c r="BI841" s="1172"/>
      <c r="BJ841" s="1172"/>
      <c r="BK841" s="1172"/>
      <c r="BL841" s="1172"/>
      <c r="BM841" s="1172"/>
      <c r="BN841" s="1172"/>
      <c r="BO841" s="1172"/>
      <c r="BP841" s="1172"/>
      <c r="BQ841" s="1172"/>
      <c r="BR841" s="1172"/>
      <c r="BS841" s="1172"/>
      <c r="BT841" s="1172"/>
      <c r="BU841" s="1172"/>
      <c r="BV841" s="1172"/>
      <c r="BW841" s="1172"/>
      <c r="BX841" s="1172"/>
      <c r="BY841" s="1172"/>
      <c r="BZ841" s="1172"/>
      <c r="CA841" s="1172"/>
      <c r="CB841" s="1172"/>
      <c r="CC841" s="1172"/>
      <c r="CD841" s="1172"/>
      <c r="CE841" s="1172"/>
      <c r="CF841" s="1172"/>
      <c r="CG841" s="1172"/>
      <c r="CH841" s="1172"/>
      <c r="CI841" s="1172"/>
      <c r="CJ841" s="1172"/>
      <c r="CK841" s="1172"/>
      <c r="CL841" s="1172"/>
      <c r="CM841" s="1172"/>
      <c r="CN841" s="1172"/>
      <c r="CO841" s="1172"/>
      <c r="CP841" s="1172"/>
      <c r="CQ841" s="1172"/>
      <c r="CR841" s="1172"/>
      <c r="CS841" s="1172"/>
      <c r="CT841" s="1172"/>
      <c r="CU841" s="1172"/>
      <c r="CV841" s="1172"/>
      <c r="CW841" s="1172"/>
      <c r="CX841" s="1172"/>
      <c r="CY841" s="1172"/>
      <c r="CZ841" s="1172"/>
      <c r="DA841" s="1172"/>
      <c r="DB841" s="1172"/>
      <c r="DC841" s="1172"/>
      <c r="DD841" s="1172"/>
      <c r="DE841" s="1172"/>
      <c r="DF841" s="1172"/>
      <c r="DG841" s="1172"/>
      <c r="DH841" s="1172"/>
      <c r="DI841" s="1172"/>
      <c r="DJ841" s="1172"/>
    </row>
    <row r="842" spans="1:114" ht="250.5" hidden="1" customHeight="1">
      <c r="A842" s="905"/>
      <c r="B842" s="973" t="s">
        <v>2196</v>
      </c>
      <c r="C842" s="913">
        <f>C1012</f>
        <v>4457.7700000000004</v>
      </c>
      <c r="D842" s="972" t="s">
        <v>2273</v>
      </c>
      <c r="E842" s="919"/>
      <c r="F842" s="1053">
        <f t="shared" si="114"/>
        <v>0</v>
      </c>
      <c r="G842" s="919"/>
      <c r="H842" s="914">
        <f t="shared" si="115"/>
        <v>0</v>
      </c>
      <c r="I842" s="919"/>
      <c r="J842" s="914">
        <f t="shared" si="116"/>
        <v>0</v>
      </c>
      <c r="K842" s="919"/>
      <c r="L842" s="914">
        <f t="shared" si="117"/>
        <v>0</v>
      </c>
      <c r="M842" s="919"/>
      <c r="N842" s="914">
        <f t="shared" si="119"/>
        <v>0</v>
      </c>
      <c r="O842" s="914"/>
      <c r="P842" s="914">
        <f t="shared" si="113"/>
        <v>0</v>
      </c>
      <c r="Q842" s="914"/>
      <c r="R842" s="914">
        <f t="shared" si="118"/>
        <v>0</v>
      </c>
      <c r="S842" s="915">
        <f t="shared" si="120"/>
        <v>0</v>
      </c>
      <c r="T842" s="911">
        <f t="shared" si="121"/>
        <v>0</v>
      </c>
    </row>
    <row r="843" spans="1:114" ht="250.5" hidden="1" customHeight="1">
      <c r="A843" s="905"/>
      <c r="B843" s="906" t="s">
        <v>4090</v>
      </c>
      <c r="C843" s="959">
        <v>61.8</v>
      </c>
      <c r="D843" s="972" t="s">
        <v>1393</v>
      </c>
      <c r="E843" s="919"/>
      <c r="F843" s="1053">
        <f t="shared" ref="F843:F900" si="122">E843*C843</f>
        <v>0</v>
      </c>
      <c r="G843" s="919"/>
      <c r="H843" s="914">
        <f t="shared" ref="H843:H900" si="123">G843*C843</f>
        <v>0</v>
      </c>
      <c r="I843" s="919"/>
      <c r="J843" s="914">
        <f t="shared" ref="J843:J900" si="124">I843*C843</f>
        <v>0</v>
      </c>
      <c r="K843" s="919"/>
      <c r="L843" s="914">
        <f t="shared" ref="L843:L900" si="125">K843*C843</f>
        <v>0</v>
      </c>
      <c r="M843" s="919"/>
      <c r="N843" s="914">
        <f t="shared" si="119"/>
        <v>0</v>
      </c>
      <c r="O843" s="914"/>
      <c r="P843" s="914">
        <f t="shared" ref="P843:P905" si="126">O843*C843</f>
        <v>0</v>
      </c>
      <c r="Q843" s="914"/>
      <c r="R843" s="914">
        <f t="shared" si="118"/>
        <v>0</v>
      </c>
      <c r="S843" s="915">
        <f t="shared" si="120"/>
        <v>0</v>
      </c>
      <c r="T843" s="911">
        <f t="shared" si="121"/>
        <v>0</v>
      </c>
    </row>
    <row r="844" spans="1:114" ht="250.5" hidden="1" customHeight="1">
      <c r="A844" s="905"/>
      <c r="B844" s="906" t="s">
        <v>3617</v>
      </c>
      <c r="C844" s="959">
        <v>405</v>
      </c>
      <c r="D844" s="908" t="s">
        <v>823</v>
      </c>
      <c r="E844" s="919"/>
      <c r="F844" s="1053">
        <f t="shared" si="122"/>
        <v>0</v>
      </c>
      <c r="G844" s="919"/>
      <c r="H844" s="914">
        <f t="shared" si="123"/>
        <v>0</v>
      </c>
      <c r="I844" s="919"/>
      <c r="J844" s="914">
        <f t="shared" si="124"/>
        <v>0</v>
      </c>
      <c r="K844" s="919"/>
      <c r="L844" s="914">
        <f t="shared" si="125"/>
        <v>0</v>
      </c>
      <c r="M844" s="919"/>
      <c r="N844" s="914">
        <f t="shared" si="119"/>
        <v>0</v>
      </c>
      <c r="O844" s="914"/>
      <c r="P844" s="914">
        <f t="shared" si="126"/>
        <v>0</v>
      </c>
      <c r="Q844" s="914"/>
      <c r="R844" s="914">
        <f t="shared" ref="R844:R906" si="127">Q844*C844</f>
        <v>0</v>
      </c>
      <c r="S844" s="915">
        <f t="shared" si="120"/>
        <v>0</v>
      </c>
      <c r="T844" s="911">
        <f t="shared" si="121"/>
        <v>0</v>
      </c>
    </row>
    <row r="845" spans="1:114" ht="250.5" hidden="1" customHeight="1">
      <c r="A845" s="905"/>
      <c r="B845" s="906" t="s">
        <v>3622</v>
      </c>
      <c r="C845" s="957">
        <v>325</v>
      </c>
      <c r="D845" s="1004" t="s">
        <v>2273</v>
      </c>
      <c r="E845" s="919"/>
      <c r="F845" s="1053">
        <f t="shared" si="122"/>
        <v>0</v>
      </c>
      <c r="G845" s="919"/>
      <c r="H845" s="914">
        <f t="shared" si="123"/>
        <v>0</v>
      </c>
      <c r="I845" s="919"/>
      <c r="J845" s="914">
        <f t="shared" si="124"/>
        <v>0</v>
      </c>
      <c r="K845" s="919"/>
      <c r="L845" s="914">
        <f t="shared" si="125"/>
        <v>0</v>
      </c>
      <c r="M845" s="919"/>
      <c r="N845" s="914">
        <f t="shared" si="119"/>
        <v>0</v>
      </c>
      <c r="O845" s="914"/>
      <c r="P845" s="914">
        <f t="shared" si="126"/>
        <v>0</v>
      </c>
      <c r="Q845" s="914"/>
      <c r="R845" s="914">
        <f t="shared" si="127"/>
        <v>0</v>
      </c>
      <c r="S845" s="915">
        <f t="shared" si="120"/>
        <v>0</v>
      </c>
      <c r="T845" s="911">
        <f t="shared" si="121"/>
        <v>0</v>
      </c>
    </row>
    <row r="846" spans="1:114" ht="250.5" hidden="1" customHeight="1">
      <c r="A846" s="905"/>
      <c r="B846" s="906" t="s">
        <v>3623</v>
      </c>
      <c r="C846" s="957">
        <v>35</v>
      </c>
      <c r="D846" s="1004" t="s">
        <v>2273</v>
      </c>
      <c r="E846" s="919"/>
      <c r="F846" s="1053">
        <f t="shared" si="122"/>
        <v>0</v>
      </c>
      <c r="G846" s="919"/>
      <c r="H846" s="914">
        <f t="shared" si="123"/>
        <v>0</v>
      </c>
      <c r="I846" s="919"/>
      <c r="J846" s="914">
        <f t="shared" si="124"/>
        <v>0</v>
      </c>
      <c r="K846" s="919"/>
      <c r="L846" s="914">
        <f t="shared" si="125"/>
        <v>0</v>
      </c>
      <c r="M846" s="919"/>
      <c r="N846" s="914">
        <f t="shared" si="119"/>
        <v>0</v>
      </c>
      <c r="O846" s="914"/>
      <c r="P846" s="914">
        <f t="shared" si="126"/>
        <v>0</v>
      </c>
      <c r="Q846" s="914"/>
      <c r="R846" s="914">
        <f t="shared" si="127"/>
        <v>0</v>
      </c>
      <c r="S846" s="915">
        <f t="shared" si="120"/>
        <v>0</v>
      </c>
      <c r="T846" s="911">
        <f t="shared" si="121"/>
        <v>0</v>
      </c>
    </row>
    <row r="847" spans="1:114" ht="250.5" hidden="1" customHeight="1">
      <c r="A847" s="905"/>
      <c r="B847" s="949" t="s">
        <v>6681</v>
      </c>
      <c r="C847" s="1010">
        <f>DATA!AQ3116</f>
        <v>252</v>
      </c>
      <c r="D847" s="961" t="s">
        <v>1393</v>
      </c>
      <c r="E847" s="914"/>
      <c r="F847" s="1053">
        <f t="shared" si="122"/>
        <v>0</v>
      </c>
      <c r="G847" s="914"/>
      <c r="H847" s="914">
        <f t="shared" si="123"/>
        <v>0</v>
      </c>
      <c r="I847" s="914"/>
      <c r="J847" s="914">
        <f t="shared" si="124"/>
        <v>0</v>
      </c>
      <c r="K847" s="914"/>
      <c r="L847" s="914">
        <f t="shared" si="125"/>
        <v>0</v>
      </c>
      <c r="M847" s="914"/>
      <c r="N847" s="914">
        <f t="shared" si="119"/>
        <v>0</v>
      </c>
      <c r="O847" s="914"/>
      <c r="P847" s="914">
        <f t="shared" si="126"/>
        <v>0</v>
      </c>
      <c r="Q847" s="914"/>
      <c r="R847" s="914">
        <f t="shared" si="127"/>
        <v>0</v>
      </c>
      <c r="S847" s="915">
        <f t="shared" si="120"/>
        <v>0</v>
      </c>
      <c r="T847" s="911">
        <f t="shared" si="121"/>
        <v>0</v>
      </c>
    </row>
    <row r="848" spans="1:114" ht="250.5" hidden="1" customHeight="1">
      <c r="A848" s="905"/>
      <c r="B848" s="949" t="s">
        <v>6682</v>
      </c>
      <c r="C848" s="1010">
        <f>DATA!AR3116</f>
        <v>241</v>
      </c>
      <c r="D848" s="961" t="s">
        <v>1393</v>
      </c>
      <c r="E848" s="914"/>
      <c r="F848" s="1053">
        <f t="shared" si="122"/>
        <v>0</v>
      </c>
      <c r="G848" s="914"/>
      <c r="H848" s="914">
        <f t="shared" si="123"/>
        <v>0</v>
      </c>
      <c r="I848" s="914"/>
      <c r="J848" s="914">
        <f t="shared" si="124"/>
        <v>0</v>
      </c>
      <c r="K848" s="914"/>
      <c r="L848" s="914">
        <f t="shared" si="125"/>
        <v>0</v>
      </c>
      <c r="M848" s="914"/>
      <c r="N848" s="914">
        <f t="shared" si="119"/>
        <v>0</v>
      </c>
      <c r="O848" s="914"/>
      <c r="P848" s="914">
        <f t="shared" si="126"/>
        <v>0</v>
      </c>
      <c r="Q848" s="914"/>
      <c r="R848" s="914">
        <f t="shared" si="127"/>
        <v>0</v>
      </c>
      <c r="S848" s="915">
        <f t="shared" si="120"/>
        <v>0</v>
      </c>
      <c r="T848" s="911">
        <f t="shared" si="121"/>
        <v>0</v>
      </c>
    </row>
    <row r="849" spans="1:114" ht="250.5" hidden="1" customHeight="1">
      <c r="A849" s="905"/>
      <c r="B849" s="949" t="s">
        <v>3620</v>
      </c>
      <c r="C849" s="1010">
        <f>Elec.Data!R806</f>
        <v>3458.67</v>
      </c>
      <c r="D849" s="908" t="s">
        <v>1393</v>
      </c>
      <c r="E849" s="919"/>
      <c r="F849" s="1053">
        <f t="shared" si="122"/>
        <v>0</v>
      </c>
      <c r="G849" s="919"/>
      <c r="H849" s="914">
        <f t="shared" si="123"/>
        <v>0</v>
      </c>
      <c r="I849" s="919"/>
      <c r="J849" s="914">
        <f t="shared" si="124"/>
        <v>0</v>
      </c>
      <c r="K849" s="919"/>
      <c r="L849" s="914">
        <f t="shared" si="125"/>
        <v>0</v>
      </c>
      <c r="M849" s="919"/>
      <c r="N849" s="914">
        <f t="shared" si="119"/>
        <v>0</v>
      </c>
      <c r="O849" s="914"/>
      <c r="P849" s="914">
        <f t="shared" si="126"/>
        <v>0</v>
      </c>
      <c r="Q849" s="914"/>
      <c r="R849" s="914">
        <f t="shared" si="127"/>
        <v>0</v>
      </c>
      <c r="S849" s="915">
        <f t="shared" si="120"/>
        <v>0</v>
      </c>
      <c r="T849" s="911">
        <f t="shared" si="121"/>
        <v>0</v>
      </c>
    </row>
    <row r="850" spans="1:114" ht="250.5" hidden="1" customHeight="1">
      <c r="A850" s="905"/>
      <c r="B850" s="906" t="s">
        <v>5303</v>
      </c>
      <c r="C850" s="906">
        <f>DATA!K2343</f>
        <v>1014.05</v>
      </c>
      <c r="D850" s="908" t="s">
        <v>823</v>
      </c>
      <c r="E850" s="919"/>
      <c r="F850" s="1053">
        <f t="shared" si="122"/>
        <v>0</v>
      </c>
      <c r="G850" s="919"/>
      <c r="H850" s="914">
        <f t="shared" si="123"/>
        <v>0</v>
      </c>
      <c r="I850" s="919"/>
      <c r="J850" s="914">
        <f t="shared" si="124"/>
        <v>0</v>
      </c>
      <c r="K850" s="919"/>
      <c r="L850" s="914">
        <f t="shared" si="125"/>
        <v>0</v>
      </c>
      <c r="M850" s="919"/>
      <c r="N850" s="914">
        <f t="shared" si="119"/>
        <v>0</v>
      </c>
      <c r="O850" s="914"/>
      <c r="P850" s="914">
        <f t="shared" si="126"/>
        <v>0</v>
      </c>
      <c r="Q850" s="914"/>
      <c r="R850" s="914">
        <f t="shared" si="127"/>
        <v>0</v>
      </c>
      <c r="S850" s="915">
        <f t="shared" si="120"/>
        <v>0</v>
      </c>
      <c r="T850" s="911">
        <f t="shared" si="121"/>
        <v>0</v>
      </c>
    </row>
    <row r="851" spans="1:114" ht="250.5" hidden="1" customHeight="1">
      <c r="A851" s="905"/>
      <c r="B851" s="906" t="s">
        <v>5304</v>
      </c>
      <c r="C851" s="906">
        <f>DATA!R2448</f>
        <v>975.41</v>
      </c>
      <c r="D851" s="908"/>
      <c r="E851" s="919"/>
      <c r="F851" s="1053"/>
      <c r="G851" s="919"/>
      <c r="H851" s="914"/>
      <c r="I851" s="919"/>
      <c r="J851" s="914"/>
      <c r="K851" s="919"/>
      <c r="L851" s="914"/>
      <c r="M851" s="919"/>
      <c r="N851" s="914"/>
      <c r="O851" s="914"/>
      <c r="P851" s="914">
        <f t="shared" si="126"/>
        <v>0</v>
      </c>
      <c r="Q851" s="914"/>
      <c r="R851" s="914">
        <f t="shared" si="127"/>
        <v>0</v>
      </c>
      <c r="S851" s="915">
        <f t="shared" si="120"/>
        <v>0</v>
      </c>
      <c r="T851" s="911">
        <f t="shared" si="121"/>
        <v>0</v>
      </c>
    </row>
    <row r="852" spans="1:114" ht="250.5" hidden="1" customHeight="1">
      <c r="A852" s="905"/>
      <c r="B852" s="906" t="s">
        <v>4720</v>
      </c>
      <c r="C852" s="959">
        <f>DATA!X1347</f>
        <v>1706.17</v>
      </c>
      <c r="D852" s="908" t="s">
        <v>1834</v>
      </c>
      <c r="E852" s="914"/>
      <c r="F852" s="1053">
        <f t="shared" si="122"/>
        <v>0</v>
      </c>
      <c r="G852" s="914"/>
      <c r="H852" s="914">
        <f t="shared" si="123"/>
        <v>0</v>
      </c>
      <c r="I852" s="914"/>
      <c r="J852" s="914">
        <f t="shared" si="124"/>
        <v>0</v>
      </c>
      <c r="K852" s="914"/>
      <c r="L852" s="914">
        <f t="shared" si="125"/>
        <v>0</v>
      </c>
      <c r="M852" s="914"/>
      <c r="N852" s="914">
        <f>M852*C852</f>
        <v>0</v>
      </c>
      <c r="O852" s="914"/>
      <c r="P852" s="914">
        <f t="shared" si="126"/>
        <v>0</v>
      </c>
      <c r="Q852" s="914"/>
      <c r="R852" s="914">
        <f t="shared" si="127"/>
        <v>0</v>
      </c>
      <c r="S852" s="915">
        <f t="shared" si="120"/>
        <v>0</v>
      </c>
      <c r="T852" s="911">
        <f t="shared" si="121"/>
        <v>0</v>
      </c>
    </row>
    <row r="853" spans="1:114" ht="250.5" hidden="1" customHeight="1">
      <c r="A853" s="905"/>
      <c r="B853" s="906" t="s">
        <v>4804</v>
      </c>
      <c r="C853" s="959">
        <f>C852-(DATA!X1341/10)</f>
        <v>1460.71</v>
      </c>
      <c r="D853" s="908" t="s">
        <v>1834</v>
      </c>
      <c r="E853" s="914"/>
      <c r="F853" s="1053"/>
      <c r="G853" s="914"/>
      <c r="H853" s="914"/>
      <c r="I853" s="914"/>
      <c r="J853" s="914"/>
      <c r="K853" s="914"/>
      <c r="L853" s="914"/>
      <c r="M853" s="914"/>
      <c r="N853" s="914"/>
      <c r="O853" s="914"/>
      <c r="P853" s="914">
        <f t="shared" si="126"/>
        <v>0</v>
      </c>
      <c r="Q853" s="914"/>
      <c r="R853" s="914">
        <f t="shared" si="127"/>
        <v>0</v>
      </c>
      <c r="S853" s="915">
        <f t="shared" si="120"/>
        <v>0</v>
      </c>
      <c r="T853" s="911">
        <f t="shared" si="121"/>
        <v>0</v>
      </c>
    </row>
    <row r="854" spans="1:114" ht="250.5" hidden="1" customHeight="1">
      <c r="A854" s="905"/>
      <c r="B854" s="906" t="s">
        <v>4701</v>
      </c>
      <c r="C854" s="959">
        <f>C1021</f>
        <v>1656.02</v>
      </c>
      <c r="D854" s="908" t="s">
        <v>1834</v>
      </c>
      <c r="E854" s="914"/>
      <c r="F854" s="1053">
        <f t="shared" si="122"/>
        <v>0</v>
      </c>
      <c r="G854" s="914"/>
      <c r="H854" s="914">
        <f t="shared" si="123"/>
        <v>0</v>
      </c>
      <c r="I854" s="914"/>
      <c r="J854" s="914">
        <f t="shared" si="124"/>
        <v>0</v>
      </c>
      <c r="K854" s="914"/>
      <c r="L854" s="914">
        <f t="shared" si="125"/>
        <v>0</v>
      </c>
      <c r="M854" s="914"/>
      <c r="N854" s="914">
        <f t="shared" ref="N854:N909" si="128">M854*C854</f>
        <v>0</v>
      </c>
      <c r="O854" s="914"/>
      <c r="P854" s="914">
        <f t="shared" si="126"/>
        <v>0</v>
      </c>
      <c r="Q854" s="914"/>
      <c r="R854" s="914">
        <f t="shared" si="127"/>
        <v>0</v>
      </c>
      <c r="S854" s="915">
        <f t="shared" si="120"/>
        <v>0</v>
      </c>
      <c r="T854" s="911">
        <f t="shared" si="121"/>
        <v>0</v>
      </c>
    </row>
    <row r="855" spans="1:114" ht="250.5" hidden="1" customHeight="1">
      <c r="A855" s="905" t="s">
        <v>1326</v>
      </c>
      <c r="B855" s="906" t="s">
        <v>1403</v>
      </c>
      <c r="C855" s="921">
        <f>DATA!K1797</f>
        <v>2010</v>
      </c>
      <c r="D855" s="908" t="s">
        <v>1393</v>
      </c>
      <c r="E855" s="919"/>
      <c r="F855" s="1053">
        <f t="shared" si="122"/>
        <v>0</v>
      </c>
      <c r="G855" s="919"/>
      <c r="H855" s="914">
        <f t="shared" si="123"/>
        <v>0</v>
      </c>
      <c r="I855" s="919"/>
      <c r="J855" s="914">
        <f t="shared" si="124"/>
        <v>0</v>
      </c>
      <c r="K855" s="919"/>
      <c r="L855" s="914">
        <f t="shared" si="125"/>
        <v>0</v>
      </c>
      <c r="M855" s="919"/>
      <c r="N855" s="914">
        <f t="shared" si="128"/>
        <v>0</v>
      </c>
      <c r="O855" s="914"/>
      <c r="P855" s="914">
        <f t="shared" si="126"/>
        <v>0</v>
      </c>
      <c r="Q855" s="914"/>
      <c r="R855" s="914">
        <f t="shared" si="127"/>
        <v>0</v>
      </c>
      <c r="S855" s="915">
        <f t="shared" si="120"/>
        <v>0</v>
      </c>
      <c r="T855" s="911">
        <f t="shared" si="121"/>
        <v>0</v>
      </c>
    </row>
    <row r="856" spans="1:114" ht="250.5" customHeight="1">
      <c r="A856" s="905"/>
      <c r="B856" s="924" t="s">
        <v>3809</v>
      </c>
      <c r="C856" s="921"/>
      <c r="D856" s="908"/>
      <c r="E856" s="911"/>
      <c r="F856" s="1053">
        <f t="shared" si="122"/>
        <v>0</v>
      </c>
      <c r="G856" s="914"/>
      <c r="H856" s="914">
        <f t="shared" si="123"/>
        <v>0</v>
      </c>
      <c r="I856" s="914"/>
      <c r="J856" s="914">
        <f t="shared" si="124"/>
        <v>0</v>
      </c>
      <c r="K856" s="914"/>
      <c r="L856" s="914">
        <f t="shared" si="125"/>
        <v>0</v>
      </c>
      <c r="M856" s="914"/>
      <c r="N856" s="914">
        <f t="shared" si="128"/>
        <v>0</v>
      </c>
      <c r="O856" s="914"/>
      <c r="P856" s="914">
        <f t="shared" si="126"/>
        <v>0</v>
      </c>
      <c r="Q856" s="914"/>
      <c r="R856" s="914">
        <f t="shared" si="127"/>
        <v>0</v>
      </c>
      <c r="S856" s="915">
        <f t="shared" si="120"/>
        <v>0</v>
      </c>
      <c r="T856" s="911">
        <f t="shared" si="121"/>
        <v>0</v>
      </c>
    </row>
    <row r="857" spans="1:114" ht="156.75" customHeight="1">
      <c r="A857" s="916"/>
      <c r="B857" s="917" t="s">
        <v>3810</v>
      </c>
      <c r="C857" s="1011">
        <f>'Print Data'!F1928</f>
        <v>482.86</v>
      </c>
      <c r="D857" s="898" t="s">
        <v>823</v>
      </c>
      <c r="E857" s="919">
        <f>DSP!H2276</f>
        <v>10</v>
      </c>
      <c r="F857" s="1053">
        <f t="shared" si="122"/>
        <v>4828.6000000000004</v>
      </c>
      <c r="G857" s="919"/>
      <c r="H857" s="914">
        <f t="shared" si="123"/>
        <v>0</v>
      </c>
      <c r="I857" s="919"/>
      <c r="J857" s="914">
        <f t="shared" si="124"/>
        <v>0</v>
      </c>
      <c r="K857" s="919"/>
      <c r="L857" s="914">
        <f t="shared" si="125"/>
        <v>0</v>
      </c>
      <c r="M857" s="919"/>
      <c r="N857" s="914">
        <f t="shared" si="128"/>
        <v>0</v>
      </c>
      <c r="O857" s="914"/>
      <c r="P857" s="914">
        <f t="shared" si="126"/>
        <v>0</v>
      </c>
      <c r="Q857" s="914"/>
      <c r="R857" s="914">
        <f t="shared" si="127"/>
        <v>0</v>
      </c>
      <c r="S857" s="915">
        <f t="shared" si="120"/>
        <v>10</v>
      </c>
      <c r="T857" s="911">
        <f t="shared" si="121"/>
        <v>4828.6000000000004</v>
      </c>
    </row>
    <row r="858" spans="1:114" s="920" customFormat="1" ht="156.75" customHeight="1">
      <c r="A858" s="916"/>
      <c r="B858" s="917" t="s">
        <v>3972</v>
      </c>
      <c r="C858" s="1011">
        <f>'Print Data'!F1948</f>
        <v>807.13</v>
      </c>
      <c r="D858" s="898" t="s">
        <v>823</v>
      </c>
      <c r="E858" s="919">
        <f>DSP!H2278</f>
        <v>60</v>
      </c>
      <c r="F858" s="1053">
        <f t="shared" si="122"/>
        <v>48427.8</v>
      </c>
      <c r="G858" s="919"/>
      <c r="H858" s="914">
        <f t="shared" si="123"/>
        <v>0</v>
      </c>
      <c r="I858" s="919"/>
      <c r="J858" s="914">
        <f t="shared" si="124"/>
        <v>0</v>
      </c>
      <c r="K858" s="919"/>
      <c r="L858" s="914">
        <f t="shared" si="125"/>
        <v>0</v>
      </c>
      <c r="M858" s="919"/>
      <c r="N858" s="914">
        <f t="shared" si="128"/>
        <v>0</v>
      </c>
      <c r="O858" s="914"/>
      <c r="P858" s="914">
        <f t="shared" si="126"/>
        <v>0</v>
      </c>
      <c r="Q858" s="914"/>
      <c r="R858" s="914">
        <f t="shared" si="127"/>
        <v>0</v>
      </c>
      <c r="S858" s="915">
        <f t="shared" si="120"/>
        <v>60</v>
      </c>
      <c r="T858" s="911">
        <f t="shared" si="121"/>
        <v>48427.8</v>
      </c>
      <c r="U858" s="1172"/>
      <c r="V858" s="1172"/>
      <c r="W858" s="1172"/>
      <c r="X858" s="1172"/>
      <c r="Y858" s="1172"/>
      <c r="Z858" s="1172"/>
      <c r="AA858" s="1172"/>
      <c r="AB858" s="1172"/>
      <c r="AC858" s="1172"/>
      <c r="AD858" s="1172"/>
      <c r="AE858" s="1172"/>
      <c r="AF858" s="1172"/>
      <c r="AG858" s="1172"/>
      <c r="AH858" s="1172"/>
      <c r="AI858" s="1172"/>
      <c r="AJ858" s="1172"/>
      <c r="AK858" s="1172"/>
      <c r="AL858" s="1172"/>
      <c r="AM858" s="1172"/>
      <c r="AN858" s="1172"/>
      <c r="AO858" s="1172"/>
      <c r="AP858" s="1172"/>
      <c r="AQ858" s="1172"/>
      <c r="AR858" s="1172"/>
      <c r="AS858" s="1172"/>
      <c r="AT858" s="1172"/>
      <c r="AU858" s="1172"/>
      <c r="AV858" s="1172"/>
      <c r="AW858" s="1172"/>
      <c r="AX858" s="1172"/>
      <c r="AY858" s="1172"/>
      <c r="AZ858" s="1172"/>
      <c r="BA858" s="1172"/>
      <c r="BB858" s="1172"/>
      <c r="BC858" s="1172"/>
      <c r="BD858" s="1172"/>
      <c r="BE858" s="1172"/>
      <c r="BF858" s="1172"/>
      <c r="BG858" s="1172"/>
      <c r="BH858" s="1172"/>
      <c r="BI858" s="1172"/>
      <c r="BJ858" s="1172"/>
      <c r="BK858" s="1172"/>
      <c r="BL858" s="1172"/>
      <c r="BM858" s="1172"/>
      <c r="BN858" s="1172"/>
      <c r="BO858" s="1172"/>
      <c r="BP858" s="1172"/>
      <c r="BQ858" s="1172"/>
      <c r="BR858" s="1172"/>
      <c r="BS858" s="1172"/>
      <c r="BT858" s="1172"/>
      <c r="BU858" s="1172"/>
      <c r="BV858" s="1172"/>
      <c r="BW858" s="1172"/>
      <c r="BX858" s="1172"/>
      <c r="BY858" s="1172"/>
      <c r="BZ858" s="1172"/>
      <c r="CA858" s="1172"/>
      <c r="CB858" s="1172"/>
      <c r="CC858" s="1172"/>
      <c r="CD858" s="1172"/>
      <c r="CE858" s="1172"/>
      <c r="CF858" s="1172"/>
      <c r="CG858" s="1172"/>
      <c r="CH858" s="1172"/>
      <c r="CI858" s="1172"/>
      <c r="CJ858" s="1172"/>
      <c r="CK858" s="1172"/>
      <c r="CL858" s="1172"/>
      <c r="CM858" s="1172"/>
      <c r="CN858" s="1172"/>
      <c r="CO858" s="1172"/>
      <c r="CP858" s="1172"/>
      <c r="CQ858" s="1172"/>
      <c r="CR858" s="1172"/>
      <c r="CS858" s="1172"/>
      <c r="CT858" s="1172"/>
      <c r="CU858" s="1172"/>
      <c r="CV858" s="1172"/>
      <c r="CW858" s="1172"/>
      <c r="CX858" s="1172"/>
      <c r="CY858" s="1172"/>
      <c r="CZ858" s="1172"/>
      <c r="DA858" s="1172"/>
      <c r="DB858" s="1172"/>
      <c r="DC858" s="1172"/>
      <c r="DD858" s="1172"/>
      <c r="DE858" s="1172"/>
      <c r="DF858" s="1172"/>
      <c r="DG858" s="1172"/>
      <c r="DH858" s="1172"/>
      <c r="DI858" s="1172"/>
      <c r="DJ858" s="1172"/>
    </row>
    <row r="859" spans="1:114" s="920" customFormat="1" ht="250.5" customHeight="1">
      <c r="A859" s="916"/>
      <c r="B859" s="925" t="s">
        <v>3811</v>
      </c>
      <c r="C859" s="1011"/>
      <c r="D859" s="898"/>
      <c r="E859" s="919"/>
      <c r="F859" s="1053">
        <f t="shared" si="122"/>
        <v>0</v>
      </c>
      <c r="G859" s="919"/>
      <c r="H859" s="914">
        <f t="shared" si="123"/>
        <v>0</v>
      </c>
      <c r="I859" s="919"/>
      <c r="J859" s="914">
        <f t="shared" si="124"/>
        <v>0</v>
      </c>
      <c r="K859" s="919"/>
      <c r="L859" s="914">
        <f t="shared" si="125"/>
        <v>0</v>
      </c>
      <c r="M859" s="919"/>
      <c r="N859" s="914">
        <f t="shared" si="128"/>
        <v>0</v>
      </c>
      <c r="O859" s="914"/>
      <c r="P859" s="914">
        <f t="shared" si="126"/>
        <v>0</v>
      </c>
      <c r="Q859" s="914"/>
      <c r="R859" s="914">
        <f t="shared" si="127"/>
        <v>0</v>
      </c>
      <c r="S859" s="915">
        <f t="shared" si="120"/>
        <v>0</v>
      </c>
      <c r="T859" s="911">
        <f t="shared" si="121"/>
        <v>0</v>
      </c>
      <c r="U859" s="1172"/>
      <c r="V859" s="1172"/>
      <c r="W859" s="1172"/>
      <c r="X859" s="1172"/>
      <c r="Y859" s="1172"/>
      <c r="Z859" s="1172"/>
      <c r="AA859" s="1172"/>
      <c r="AB859" s="1172"/>
      <c r="AC859" s="1172"/>
      <c r="AD859" s="1172"/>
      <c r="AE859" s="1172"/>
      <c r="AF859" s="1172"/>
      <c r="AG859" s="1172"/>
      <c r="AH859" s="1172"/>
      <c r="AI859" s="1172"/>
      <c r="AJ859" s="1172"/>
      <c r="AK859" s="1172"/>
      <c r="AL859" s="1172"/>
      <c r="AM859" s="1172"/>
      <c r="AN859" s="1172"/>
      <c r="AO859" s="1172"/>
      <c r="AP859" s="1172"/>
      <c r="AQ859" s="1172"/>
      <c r="AR859" s="1172"/>
      <c r="AS859" s="1172"/>
      <c r="AT859" s="1172"/>
      <c r="AU859" s="1172"/>
      <c r="AV859" s="1172"/>
      <c r="AW859" s="1172"/>
      <c r="AX859" s="1172"/>
      <c r="AY859" s="1172"/>
      <c r="AZ859" s="1172"/>
      <c r="BA859" s="1172"/>
      <c r="BB859" s="1172"/>
      <c r="BC859" s="1172"/>
      <c r="BD859" s="1172"/>
      <c r="BE859" s="1172"/>
      <c r="BF859" s="1172"/>
      <c r="BG859" s="1172"/>
      <c r="BH859" s="1172"/>
      <c r="BI859" s="1172"/>
      <c r="BJ859" s="1172"/>
      <c r="BK859" s="1172"/>
      <c r="BL859" s="1172"/>
      <c r="BM859" s="1172"/>
      <c r="BN859" s="1172"/>
      <c r="BO859" s="1172"/>
      <c r="BP859" s="1172"/>
      <c r="BQ859" s="1172"/>
      <c r="BR859" s="1172"/>
      <c r="BS859" s="1172"/>
      <c r="BT859" s="1172"/>
      <c r="BU859" s="1172"/>
      <c r="BV859" s="1172"/>
      <c r="BW859" s="1172"/>
      <c r="BX859" s="1172"/>
      <c r="BY859" s="1172"/>
      <c r="BZ859" s="1172"/>
      <c r="CA859" s="1172"/>
      <c r="CB859" s="1172"/>
      <c r="CC859" s="1172"/>
      <c r="CD859" s="1172"/>
      <c r="CE859" s="1172"/>
      <c r="CF859" s="1172"/>
      <c r="CG859" s="1172"/>
      <c r="CH859" s="1172"/>
      <c r="CI859" s="1172"/>
      <c r="CJ859" s="1172"/>
      <c r="CK859" s="1172"/>
      <c r="CL859" s="1172"/>
      <c r="CM859" s="1172"/>
      <c r="CN859" s="1172"/>
      <c r="CO859" s="1172"/>
      <c r="CP859" s="1172"/>
      <c r="CQ859" s="1172"/>
      <c r="CR859" s="1172"/>
      <c r="CS859" s="1172"/>
      <c r="CT859" s="1172"/>
      <c r="CU859" s="1172"/>
      <c r="CV859" s="1172"/>
      <c r="CW859" s="1172"/>
      <c r="CX859" s="1172"/>
      <c r="CY859" s="1172"/>
      <c r="CZ859" s="1172"/>
      <c r="DA859" s="1172"/>
      <c r="DB859" s="1172"/>
      <c r="DC859" s="1172"/>
      <c r="DD859" s="1172"/>
      <c r="DE859" s="1172"/>
      <c r="DF859" s="1172"/>
      <c r="DG859" s="1172"/>
      <c r="DH859" s="1172"/>
      <c r="DI859" s="1172"/>
      <c r="DJ859" s="1172"/>
    </row>
    <row r="860" spans="1:114" s="920" customFormat="1" ht="250.5" customHeight="1">
      <c r="A860" s="916"/>
      <c r="B860" s="917" t="s">
        <v>7052</v>
      </c>
      <c r="C860" s="1011">
        <v>175.2</v>
      </c>
      <c r="D860" s="898" t="s">
        <v>1393</v>
      </c>
      <c r="E860" s="919">
        <f>DSP!H2281</f>
        <v>3</v>
      </c>
      <c r="F860" s="1053">
        <f t="shared" si="122"/>
        <v>525.6</v>
      </c>
      <c r="G860" s="919"/>
      <c r="H860" s="914">
        <f t="shared" si="123"/>
        <v>0</v>
      </c>
      <c r="I860" s="919"/>
      <c r="J860" s="914">
        <f t="shared" si="124"/>
        <v>0</v>
      </c>
      <c r="K860" s="919"/>
      <c r="L860" s="914">
        <f t="shared" si="125"/>
        <v>0</v>
      </c>
      <c r="M860" s="919"/>
      <c r="N860" s="914">
        <f t="shared" si="128"/>
        <v>0</v>
      </c>
      <c r="O860" s="914"/>
      <c r="P860" s="914">
        <f t="shared" si="126"/>
        <v>0</v>
      </c>
      <c r="Q860" s="914"/>
      <c r="R860" s="914">
        <f t="shared" si="127"/>
        <v>0</v>
      </c>
      <c r="S860" s="915">
        <f t="shared" si="120"/>
        <v>3</v>
      </c>
      <c r="T860" s="911">
        <f t="shared" si="121"/>
        <v>525.6</v>
      </c>
      <c r="U860" s="1172"/>
      <c r="V860" s="1172"/>
      <c r="W860" s="1172"/>
      <c r="X860" s="1172"/>
      <c r="Y860" s="1172"/>
      <c r="Z860" s="1172"/>
      <c r="AA860" s="1172"/>
      <c r="AB860" s="1172"/>
      <c r="AC860" s="1172"/>
      <c r="AD860" s="1172"/>
      <c r="AE860" s="1172"/>
      <c r="AF860" s="1172"/>
      <c r="AG860" s="1172"/>
      <c r="AH860" s="1172"/>
      <c r="AI860" s="1172"/>
      <c r="AJ860" s="1172"/>
      <c r="AK860" s="1172"/>
      <c r="AL860" s="1172"/>
      <c r="AM860" s="1172"/>
      <c r="AN860" s="1172"/>
      <c r="AO860" s="1172"/>
      <c r="AP860" s="1172"/>
      <c r="AQ860" s="1172"/>
      <c r="AR860" s="1172"/>
      <c r="AS860" s="1172"/>
      <c r="AT860" s="1172"/>
      <c r="AU860" s="1172"/>
      <c r="AV860" s="1172"/>
      <c r="AW860" s="1172"/>
      <c r="AX860" s="1172"/>
      <c r="AY860" s="1172"/>
      <c r="AZ860" s="1172"/>
      <c r="BA860" s="1172"/>
      <c r="BB860" s="1172"/>
      <c r="BC860" s="1172"/>
      <c r="BD860" s="1172"/>
      <c r="BE860" s="1172"/>
      <c r="BF860" s="1172"/>
      <c r="BG860" s="1172"/>
      <c r="BH860" s="1172"/>
      <c r="BI860" s="1172"/>
      <c r="BJ860" s="1172"/>
      <c r="BK860" s="1172"/>
      <c r="BL860" s="1172"/>
      <c r="BM860" s="1172"/>
      <c r="BN860" s="1172"/>
      <c r="BO860" s="1172"/>
      <c r="BP860" s="1172"/>
      <c r="BQ860" s="1172"/>
      <c r="BR860" s="1172"/>
      <c r="BS860" s="1172"/>
      <c r="BT860" s="1172"/>
      <c r="BU860" s="1172"/>
      <c r="BV860" s="1172"/>
      <c r="BW860" s="1172"/>
      <c r="BX860" s="1172"/>
      <c r="BY860" s="1172"/>
      <c r="BZ860" s="1172"/>
      <c r="CA860" s="1172"/>
      <c r="CB860" s="1172"/>
      <c r="CC860" s="1172"/>
      <c r="CD860" s="1172"/>
      <c r="CE860" s="1172"/>
      <c r="CF860" s="1172"/>
      <c r="CG860" s="1172"/>
      <c r="CH860" s="1172"/>
      <c r="CI860" s="1172"/>
      <c r="CJ860" s="1172"/>
      <c r="CK860" s="1172"/>
      <c r="CL860" s="1172"/>
      <c r="CM860" s="1172"/>
      <c r="CN860" s="1172"/>
      <c r="CO860" s="1172"/>
      <c r="CP860" s="1172"/>
      <c r="CQ860" s="1172"/>
      <c r="CR860" s="1172"/>
      <c r="CS860" s="1172"/>
      <c r="CT860" s="1172"/>
      <c r="CU860" s="1172"/>
      <c r="CV860" s="1172"/>
      <c r="CW860" s="1172"/>
      <c r="CX860" s="1172"/>
      <c r="CY860" s="1172"/>
      <c r="CZ860" s="1172"/>
      <c r="DA860" s="1172"/>
      <c r="DB860" s="1172"/>
      <c r="DC860" s="1172"/>
      <c r="DD860" s="1172"/>
      <c r="DE860" s="1172"/>
      <c r="DF860" s="1172"/>
      <c r="DG860" s="1172"/>
      <c r="DH860" s="1172"/>
      <c r="DI860" s="1172"/>
      <c r="DJ860" s="1172"/>
    </row>
    <row r="861" spans="1:114" s="920" customFormat="1" ht="250.5" hidden="1" customHeight="1">
      <c r="A861" s="916"/>
      <c r="B861" s="917" t="s">
        <v>5161</v>
      </c>
      <c r="C861" s="1011">
        <v>553</v>
      </c>
      <c r="D861" s="898" t="s">
        <v>1393</v>
      </c>
      <c r="E861" s="919"/>
      <c r="F861" s="1053">
        <f t="shared" si="122"/>
        <v>0</v>
      </c>
      <c r="G861" s="919"/>
      <c r="H861" s="914">
        <f t="shared" si="123"/>
        <v>0</v>
      </c>
      <c r="I861" s="919"/>
      <c r="J861" s="914">
        <f t="shared" si="124"/>
        <v>0</v>
      </c>
      <c r="K861" s="919"/>
      <c r="L861" s="914">
        <f t="shared" si="125"/>
        <v>0</v>
      </c>
      <c r="M861" s="919"/>
      <c r="N861" s="914">
        <f t="shared" si="128"/>
        <v>0</v>
      </c>
      <c r="O861" s="914"/>
      <c r="P861" s="914">
        <f t="shared" si="126"/>
        <v>0</v>
      </c>
      <c r="Q861" s="914"/>
      <c r="R861" s="914">
        <f t="shared" si="127"/>
        <v>0</v>
      </c>
      <c r="S861" s="915">
        <f t="shared" si="120"/>
        <v>0</v>
      </c>
      <c r="T861" s="911">
        <f t="shared" si="121"/>
        <v>0</v>
      </c>
      <c r="U861" s="1172"/>
      <c r="V861" s="1172"/>
      <c r="W861" s="1172"/>
      <c r="X861" s="1172"/>
      <c r="Y861" s="1172"/>
      <c r="Z861" s="1172"/>
      <c r="AA861" s="1172"/>
      <c r="AB861" s="1172"/>
      <c r="AC861" s="1172"/>
      <c r="AD861" s="1172"/>
      <c r="AE861" s="1172"/>
      <c r="AF861" s="1172"/>
      <c r="AG861" s="1172"/>
      <c r="AH861" s="1172"/>
      <c r="AI861" s="1172"/>
      <c r="AJ861" s="1172"/>
      <c r="AK861" s="1172"/>
      <c r="AL861" s="1172"/>
      <c r="AM861" s="1172"/>
      <c r="AN861" s="1172"/>
      <c r="AO861" s="1172"/>
      <c r="AP861" s="1172"/>
      <c r="AQ861" s="1172"/>
      <c r="AR861" s="1172"/>
      <c r="AS861" s="1172"/>
      <c r="AT861" s="1172"/>
      <c r="AU861" s="1172"/>
      <c r="AV861" s="1172"/>
      <c r="AW861" s="1172"/>
      <c r="AX861" s="1172"/>
      <c r="AY861" s="1172"/>
      <c r="AZ861" s="1172"/>
      <c r="BA861" s="1172"/>
      <c r="BB861" s="1172"/>
      <c r="BC861" s="1172"/>
      <c r="BD861" s="1172"/>
      <c r="BE861" s="1172"/>
      <c r="BF861" s="1172"/>
      <c r="BG861" s="1172"/>
      <c r="BH861" s="1172"/>
      <c r="BI861" s="1172"/>
      <c r="BJ861" s="1172"/>
      <c r="BK861" s="1172"/>
      <c r="BL861" s="1172"/>
      <c r="BM861" s="1172"/>
      <c r="BN861" s="1172"/>
      <c r="BO861" s="1172"/>
      <c r="BP861" s="1172"/>
      <c r="BQ861" s="1172"/>
      <c r="BR861" s="1172"/>
      <c r="BS861" s="1172"/>
      <c r="BT861" s="1172"/>
      <c r="BU861" s="1172"/>
      <c r="BV861" s="1172"/>
      <c r="BW861" s="1172"/>
      <c r="BX861" s="1172"/>
      <c r="BY861" s="1172"/>
      <c r="BZ861" s="1172"/>
      <c r="CA861" s="1172"/>
      <c r="CB861" s="1172"/>
      <c r="CC861" s="1172"/>
      <c r="CD861" s="1172"/>
      <c r="CE861" s="1172"/>
      <c r="CF861" s="1172"/>
      <c r="CG861" s="1172"/>
      <c r="CH861" s="1172"/>
      <c r="CI861" s="1172"/>
      <c r="CJ861" s="1172"/>
      <c r="CK861" s="1172"/>
      <c r="CL861" s="1172"/>
      <c r="CM861" s="1172"/>
      <c r="CN861" s="1172"/>
      <c r="CO861" s="1172"/>
      <c r="CP861" s="1172"/>
      <c r="CQ861" s="1172"/>
      <c r="CR861" s="1172"/>
      <c r="CS861" s="1172"/>
      <c r="CT861" s="1172"/>
      <c r="CU861" s="1172"/>
      <c r="CV861" s="1172"/>
      <c r="CW861" s="1172"/>
      <c r="CX861" s="1172"/>
      <c r="CY861" s="1172"/>
      <c r="CZ861" s="1172"/>
      <c r="DA861" s="1172"/>
      <c r="DB861" s="1172"/>
      <c r="DC861" s="1172"/>
      <c r="DD861" s="1172"/>
      <c r="DE861" s="1172"/>
      <c r="DF861" s="1172"/>
      <c r="DG861" s="1172"/>
      <c r="DH861" s="1172"/>
      <c r="DI861" s="1172"/>
      <c r="DJ861" s="1172"/>
    </row>
    <row r="862" spans="1:114" s="920" customFormat="1" ht="216.75" customHeight="1">
      <c r="A862" s="916"/>
      <c r="B862" s="925" t="s">
        <v>3812</v>
      </c>
      <c r="C862" s="1011"/>
      <c r="D862" s="898"/>
      <c r="E862" s="919"/>
      <c r="F862" s="1053">
        <f t="shared" si="122"/>
        <v>0</v>
      </c>
      <c r="G862" s="919"/>
      <c r="H862" s="914">
        <f t="shared" si="123"/>
        <v>0</v>
      </c>
      <c r="I862" s="919"/>
      <c r="J862" s="914">
        <f t="shared" si="124"/>
        <v>0</v>
      </c>
      <c r="K862" s="919"/>
      <c r="L862" s="914">
        <f t="shared" si="125"/>
        <v>0</v>
      </c>
      <c r="M862" s="919"/>
      <c r="N862" s="914">
        <f t="shared" si="128"/>
        <v>0</v>
      </c>
      <c r="O862" s="914"/>
      <c r="P862" s="914">
        <f t="shared" si="126"/>
        <v>0</v>
      </c>
      <c r="Q862" s="914"/>
      <c r="R862" s="914">
        <f t="shared" si="127"/>
        <v>0</v>
      </c>
      <c r="S862" s="915">
        <f t="shared" si="120"/>
        <v>0</v>
      </c>
      <c r="T862" s="911">
        <f t="shared" si="121"/>
        <v>0</v>
      </c>
      <c r="U862" s="1172"/>
      <c r="V862" s="1172"/>
      <c r="W862" s="1172"/>
      <c r="X862" s="1172"/>
      <c r="Y862" s="1172"/>
      <c r="Z862" s="1172"/>
      <c r="AA862" s="1172"/>
      <c r="AB862" s="1172"/>
      <c r="AC862" s="1172"/>
      <c r="AD862" s="1172"/>
      <c r="AE862" s="1172"/>
      <c r="AF862" s="1172"/>
      <c r="AG862" s="1172"/>
      <c r="AH862" s="1172"/>
      <c r="AI862" s="1172"/>
      <c r="AJ862" s="1172"/>
      <c r="AK862" s="1172"/>
      <c r="AL862" s="1172"/>
      <c r="AM862" s="1172"/>
      <c r="AN862" s="1172"/>
      <c r="AO862" s="1172"/>
      <c r="AP862" s="1172"/>
      <c r="AQ862" s="1172"/>
      <c r="AR862" s="1172"/>
      <c r="AS862" s="1172"/>
      <c r="AT862" s="1172"/>
      <c r="AU862" s="1172"/>
      <c r="AV862" s="1172"/>
      <c r="AW862" s="1172"/>
      <c r="AX862" s="1172"/>
      <c r="AY862" s="1172"/>
      <c r="AZ862" s="1172"/>
      <c r="BA862" s="1172"/>
      <c r="BB862" s="1172"/>
      <c r="BC862" s="1172"/>
      <c r="BD862" s="1172"/>
      <c r="BE862" s="1172"/>
      <c r="BF862" s="1172"/>
      <c r="BG862" s="1172"/>
      <c r="BH862" s="1172"/>
      <c r="BI862" s="1172"/>
      <c r="BJ862" s="1172"/>
      <c r="BK862" s="1172"/>
      <c r="BL862" s="1172"/>
      <c r="BM862" s="1172"/>
      <c r="BN862" s="1172"/>
      <c r="BO862" s="1172"/>
      <c r="BP862" s="1172"/>
      <c r="BQ862" s="1172"/>
      <c r="BR862" s="1172"/>
      <c r="BS862" s="1172"/>
      <c r="BT862" s="1172"/>
      <c r="BU862" s="1172"/>
      <c r="BV862" s="1172"/>
      <c r="BW862" s="1172"/>
      <c r="BX862" s="1172"/>
      <c r="BY862" s="1172"/>
      <c r="BZ862" s="1172"/>
      <c r="CA862" s="1172"/>
      <c r="CB862" s="1172"/>
      <c r="CC862" s="1172"/>
      <c r="CD862" s="1172"/>
      <c r="CE862" s="1172"/>
      <c r="CF862" s="1172"/>
      <c r="CG862" s="1172"/>
      <c r="CH862" s="1172"/>
      <c r="CI862" s="1172"/>
      <c r="CJ862" s="1172"/>
      <c r="CK862" s="1172"/>
      <c r="CL862" s="1172"/>
      <c r="CM862" s="1172"/>
      <c r="CN862" s="1172"/>
      <c r="CO862" s="1172"/>
      <c r="CP862" s="1172"/>
      <c r="CQ862" s="1172"/>
      <c r="CR862" s="1172"/>
      <c r="CS862" s="1172"/>
      <c r="CT862" s="1172"/>
      <c r="CU862" s="1172"/>
      <c r="CV862" s="1172"/>
      <c r="CW862" s="1172"/>
      <c r="CX862" s="1172"/>
      <c r="CY862" s="1172"/>
      <c r="CZ862" s="1172"/>
      <c r="DA862" s="1172"/>
      <c r="DB862" s="1172"/>
      <c r="DC862" s="1172"/>
      <c r="DD862" s="1172"/>
      <c r="DE862" s="1172"/>
      <c r="DF862" s="1172"/>
      <c r="DG862" s="1172"/>
      <c r="DH862" s="1172"/>
      <c r="DI862" s="1172"/>
      <c r="DJ862" s="1172"/>
    </row>
    <row r="863" spans="1:114" s="920" customFormat="1" ht="250.5" customHeight="1">
      <c r="A863" s="916"/>
      <c r="B863" s="917" t="s">
        <v>7053</v>
      </c>
      <c r="C863" s="1011">
        <v>197.5</v>
      </c>
      <c r="D863" s="898" t="s">
        <v>1393</v>
      </c>
      <c r="E863" s="919">
        <f>DSP!H2283</f>
        <v>2</v>
      </c>
      <c r="F863" s="1053">
        <f t="shared" si="122"/>
        <v>395</v>
      </c>
      <c r="G863" s="919"/>
      <c r="H863" s="914">
        <f t="shared" si="123"/>
        <v>0</v>
      </c>
      <c r="I863" s="919"/>
      <c r="J863" s="914">
        <f t="shared" si="124"/>
        <v>0</v>
      </c>
      <c r="K863" s="919"/>
      <c r="L863" s="914">
        <f t="shared" si="125"/>
        <v>0</v>
      </c>
      <c r="M863" s="919"/>
      <c r="N863" s="914">
        <f t="shared" si="128"/>
        <v>0</v>
      </c>
      <c r="O863" s="914"/>
      <c r="P863" s="914">
        <f t="shared" si="126"/>
        <v>0</v>
      </c>
      <c r="Q863" s="914"/>
      <c r="R863" s="914">
        <f t="shared" si="127"/>
        <v>0</v>
      </c>
      <c r="S863" s="915">
        <f t="shared" si="120"/>
        <v>2</v>
      </c>
      <c r="T863" s="911">
        <f t="shared" si="121"/>
        <v>395</v>
      </c>
      <c r="U863" s="1172"/>
      <c r="V863" s="1172"/>
      <c r="W863" s="1172"/>
      <c r="X863" s="1172"/>
      <c r="Y863" s="1172"/>
      <c r="Z863" s="1172"/>
      <c r="AA863" s="1172"/>
      <c r="AB863" s="1172"/>
      <c r="AC863" s="1172"/>
      <c r="AD863" s="1172"/>
      <c r="AE863" s="1172"/>
      <c r="AF863" s="1172"/>
      <c r="AG863" s="1172"/>
      <c r="AH863" s="1172"/>
      <c r="AI863" s="1172"/>
      <c r="AJ863" s="1172"/>
      <c r="AK863" s="1172"/>
      <c r="AL863" s="1172"/>
      <c r="AM863" s="1172"/>
      <c r="AN863" s="1172"/>
      <c r="AO863" s="1172"/>
      <c r="AP863" s="1172"/>
      <c r="AQ863" s="1172"/>
      <c r="AR863" s="1172"/>
      <c r="AS863" s="1172"/>
      <c r="AT863" s="1172"/>
      <c r="AU863" s="1172"/>
      <c r="AV863" s="1172"/>
      <c r="AW863" s="1172"/>
      <c r="AX863" s="1172"/>
      <c r="AY863" s="1172"/>
      <c r="AZ863" s="1172"/>
      <c r="BA863" s="1172"/>
      <c r="BB863" s="1172"/>
      <c r="BC863" s="1172"/>
      <c r="BD863" s="1172"/>
      <c r="BE863" s="1172"/>
      <c r="BF863" s="1172"/>
      <c r="BG863" s="1172"/>
      <c r="BH863" s="1172"/>
      <c r="BI863" s="1172"/>
      <c r="BJ863" s="1172"/>
      <c r="BK863" s="1172"/>
      <c r="BL863" s="1172"/>
      <c r="BM863" s="1172"/>
      <c r="BN863" s="1172"/>
      <c r="BO863" s="1172"/>
      <c r="BP863" s="1172"/>
      <c r="BQ863" s="1172"/>
      <c r="BR863" s="1172"/>
      <c r="BS863" s="1172"/>
      <c r="BT863" s="1172"/>
      <c r="BU863" s="1172"/>
      <c r="BV863" s="1172"/>
      <c r="BW863" s="1172"/>
      <c r="BX863" s="1172"/>
      <c r="BY863" s="1172"/>
      <c r="BZ863" s="1172"/>
      <c r="CA863" s="1172"/>
      <c r="CB863" s="1172"/>
      <c r="CC863" s="1172"/>
      <c r="CD863" s="1172"/>
      <c r="CE863" s="1172"/>
      <c r="CF863" s="1172"/>
      <c r="CG863" s="1172"/>
      <c r="CH863" s="1172"/>
      <c r="CI863" s="1172"/>
      <c r="CJ863" s="1172"/>
      <c r="CK863" s="1172"/>
      <c r="CL863" s="1172"/>
      <c r="CM863" s="1172"/>
      <c r="CN863" s="1172"/>
      <c r="CO863" s="1172"/>
      <c r="CP863" s="1172"/>
      <c r="CQ863" s="1172"/>
      <c r="CR863" s="1172"/>
      <c r="CS863" s="1172"/>
      <c r="CT863" s="1172"/>
      <c r="CU863" s="1172"/>
      <c r="CV863" s="1172"/>
      <c r="CW863" s="1172"/>
      <c r="CX863" s="1172"/>
      <c r="CY863" s="1172"/>
      <c r="CZ863" s="1172"/>
      <c r="DA863" s="1172"/>
      <c r="DB863" s="1172"/>
      <c r="DC863" s="1172"/>
      <c r="DD863" s="1172"/>
      <c r="DE863" s="1172"/>
      <c r="DF863" s="1172"/>
      <c r="DG863" s="1172"/>
      <c r="DH863" s="1172"/>
      <c r="DI863" s="1172"/>
      <c r="DJ863" s="1172"/>
    </row>
    <row r="864" spans="1:114" s="920" customFormat="1" ht="250.5" hidden="1" customHeight="1">
      <c r="A864" s="916"/>
      <c r="B864" s="917" t="s">
        <v>4697</v>
      </c>
      <c r="C864" s="1011">
        <v>367</v>
      </c>
      <c r="D864" s="898" t="s">
        <v>1393</v>
      </c>
      <c r="E864" s="919"/>
      <c r="F864" s="1053">
        <f t="shared" si="122"/>
        <v>0</v>
      </c>
      <c r="G864" s="919"/>
      <c r="H864" s="914">
        <f t="shared" si="123"/>
        <v>0</v>
      </c>
      <c r="I864" s="919"/>
      <c r="J864" s="914">
        <f t="shared" si="124"/>
        <v>0</v>
      </c>
      <c r="K864" s="919"/>
      <c r="L864" s="914">
        <f t="shared" si="125"/>
        <v>0</v>
      </c>
      <c r="M864" s="919"/>
      <c r="N864" s="914">
        <f t="shared" si="128"/>
        <v>0</v>
      </c>
      <c r="O864" s="914"/>
      <c r="P864" s="914">
        <f t="shared" si="126"/>
        <v>0</v>
      </c>
      <c r="Q864" s="914"/>
      <c r="R864" s="914">
        <f t="shared" si="127"/>
        <v>0</v>
      </c>
      <c r="S864" s="915">
        <f t="shared" si="120"/>
        <v>0</v>
      </c>
      <c r="T864" s="911">
        <f t="shared" si="121"/>
        <v>0</v>
      </c>
      <c r="U864" s="1172"/>
      <c r="V864" s="1172"/>
      <c r="W864" s="1172"/>
      <c r="X864" s="1172"/>
      <c r="Y864" s="1172"/>
      <c r="Z864" s="1172"/>
      <c r="AA864" s="1172"/>
      <c r="AB864" s="1172"/>
      <c r="AC864" s="1172"/>
      <c r="AD864" s="1172"/>
      <c r="AE864" s="1172"/>
      <c r="AF864" s="1172"/>
      <c r="AG864" s="1172"/>
      <c r="AH864" s="1172"/>
      <c r="AI864" s="1172"/>
      <c r="AJ864" s="1172"/>
      <c r="AK864" s="1172"/>
      <c r="AL864" s="1172"/>
      <c r="AM864" s="1172"/>
      <c r="AN864" s="1172"/>
      <c r="AO864" s="1172"/>
      <c r="AP864" s="1172"/>
      <c r="AQ864" s="1172"/>
      <c r="AR864" s="1172"/>
      <c r="AS864" s="1172"/>
      <c r="AT864" s="1172"/>
      <c r="AU864" s="1172"/>
      <c r="AV864" s="1172"/>
      <c r="AW864" s="1172"/>
      <c r="AX864" s="1172"/>
      <c r="AY864" s="1172"/>
      <c r="AZ864" s="1172"/>
      <c r="BA864" s="1172"/>
      <c r="BB864" s="1172"/>
      <c r="BC864" s="1172"/>
      <c r="BD864" s="1172"/>
      <c r="BE864" s="1172"/>
      <c r="BF864" s="1172"/>
      <c r="BG864" s="1172"/>
      <c r="BH864" s="1172"/>
      <c r="BI864" s="1172"/>
      <c r="BJ864" s="1172"/>
      <c r="BK864" s="1172"/>
      <c r="BL864" s="1172"/>
      <c r="BM864" s="1172"/>
      <c r="BN864" s="1172"/>
      <c r="BO864" s="1172"/>
      <c r="BP864" s="1172"/>
      <c r="BQ864" s="1172"/>
      <c r="BR864" s="1172"/>
      <c r="BS864" s="1172"/>
      <c r="BT864" s="1172"/>
      <c r="BU864" s="1172"/>
      <c r="BV864" s="1172"/>
      <c r="BW864" s="1172"/>
      <c r="BX864" s="1172"/>
      <c r="BY864" s="1172"/>
      <c r="BZ864" s="1172"/>
      <c r="CA864" s="1172"/>
      <c r="CB864" s="1172"/>
      <c r="CC864" s="1172"/>
      <c r="CD864" s="1172"/>
      <c r="CE864" s="1172"/>
      <c r="CF864" s="1172"/>
      <c r="CG864" s="1172"/>
      <c r="CH864" s="1172"/>
      <c r="CI864" s="1172"/>
      <c r="CJ864" s="1172"/>
      <c r="CK864" s="1172"/>
      <c r="CL864" s="1172"/>
      <c r="CM864" s="1172"/>
      <c r="CN864" s="1172"/>
      <c r="CO864" s="1172"/>
      <c r="CP864" s="1172"/>
      <c r="CQ864" s="1172"/>
      <c r="CR864" s="1172"/>
      <c r="CS864" s="1172"/>
      <c r="CT864" s="1172"/>
      <c r="CU864" s="1172"/>
      <c r="CV864" s="1172"/>
      <c r="CW864" s="1172"/>
      <c r="CX864" s="1172"/>
      <c r="CY864" s="1172"/>
      <c r="CZ864" s="1172"/>
      <c r="DA864" s="1172"/>
      <c r="DB864" s="1172"/>
      <c r="DC864" s="1172"/>
      <c r="DD864" s="1172"/>
      <c r="DE864" s="1172"/>
      <c r="DF864" s="1172"/>
      <c r="DG864" s="1172"/>
      <c r="DH864" s="1172"/>
      <c r="DI864" s="1172"/>
      <c r="DJ864" s="1172"/>
    </row>
    <row r="865" spans="1:114" s="920" customFormat="1" ht="381.75" customHeight="1">
      <c r="A865" s="916"/>
      <c r="B865" s="917" t="s">
        <v>6683</v>
      </c>
      <c r="C865" s="1012">
        <f>DATA!R1978</f>
        <v>3328.41</v>
      </c>
      <c r="D865" s="898" t="s">
        <v>1393</v>
      </c>
      <c r="E865" s="919">
        <f>DSP!H1965</f>
        <v>1</v>
      </c>
      <c r="F865" s="1053">
        <f t="shared" si="122"/>
        <v>3328.41</v>
      </c>
      <c r="G865" s="919"/>
      <c r="H865" s="914">
        <f t="shared" si="123"/>
        <v>0</v>
      </c>
      <c r="I865" s="919"/>
      <c r="J865" s="914">
        <f t="shared" si="124"/>
        <v>0</v>
      </c>
      <c r="K865" s="919"/>
      <c r="L865" s="914">
        <f t="shared" si="125"/>
        <v>0</v>
      </c>
      <c r="M865" s="919"/>
      <c r="N865" s="914">
        <f t="shared" si="128"/>
        <v>0</v>
      </c>
      <c r="O865" s="914"/>
      <c r="P865" s="914">
        <f t="shared" si="126"/>
        <v>0</v>
      </c>
      <c r="Q865" s="914"/>
      <c r="R865" s="914">
        <f t="shared" si="127"/>
        <v>0</v>
      </c>
      <c r="S865" s="915">
        <f t="shared" si="120"/>
        <v>1</v>
      </c>
      <c r="T865" s="911">
        <f t="shared" si="121"/>
        <v>3328.41</v>
      </c>
      <c r="U865" s="1172"/>
      <c r="V865" s="1172"/>
      <c r="W865" s="1172"/>
      <c r="X865" s="1172"/>
      <c r="Y865" s="1172"/>
      <c r="Z865" s="1172"/>
      <c r="AA865" s="1172"/>
      <c r="AB865" s="1172"/>
      <c r="AC865" s="1172"/>
      <c r="AD865" s="1172"/>
      <c r="AE865" s="1172"/>
      <c r="AF865" s="1172"/>
      <c r="AG865" s="1172"/>
      <c r="AH865" s="1172"/>
      <c r="AI865" s="1172"/>
      <c r="AJ865" s="1172"/>
      <c r="AK865" s="1172"/>
      <c r="AL865" s="1172"/>
      <c r="AM865" s="1172"/>
      <c r="AN865" s="1172"/>
      <c r="AO865" s="1172"/>
      <c r="AP865" s="1172"/>
      <c r="AQ865" s="1172"/>
      <c r="AR865" s="1172"/>
      <c r="AS865" s="1172"/>
      <c r="AT865" s="1172"/>
      <c r="AU865" s="1172"/>
      <c r="AV865" s="1172"/>
      <c r="AW865" s="1172"/>
      <c r="AX865" s="1172"/>
      <c r="AY865" s="1172"/>
      <c r="AZ865" s="1172"/>
      <c r="BA865" s="1172"/>
      <c r="BB865" s="1172"/>
      <c r="BC865" s="1172"/>
      <c r="BD865" s="1172"/>
      <c r="BE865" s="1172"/>
      <c r="BF865" s="1172"/>
      <c r="BG865" s="1172"/>
      <c r="BH865" s="1172"/>
      <c r="BI865" s="1172"/>
      <c r="BJ865" s="1172"/>
      <c r="BK865" s="1172"/>
      <c r="BL865" s="1172"/>
      <c r="BM865" s="1172"/>
      <c r="BN865" s="1172"/>
      <c r="BO865" s="1172"/>
      <c r="BP865" s="1172"/>
      <c r="BQ865" s="1172"/>
      <c r="BR865" s="1172"/>
      <c r="BS865" s="1172"/>
      <c r="BT865" s="1172"/>
      <c r="BU865" s="1172"/>
      <c r="BV865" s="1172"/>
      <c r="BW865" s="1172"/>
      <c r="BX865" s="1172"/>
      <c r="BY865" s="1172"/>
      <c r="BZ865" s="1172"/>
      <c r="CA865" s="1172"/>
      <c r="CB865" s="1172"/>
      <c r="CC865" s="1172"/>
      <c r="CD865" s="1172"/>
      <c r="CE865" s="1172"/>
      <c r="CF865" s="1172"/>
      <c r="CG865" s="1172"/>
      <c r="CH865" s="1172"/>
      <c r="CI865" s="1172"/>
      <c r="CJ865" s="1172"/>
      <c r="CK865" s="1172"/>
      <c r="CL865" s="1172"/>
      <c r="CM865" s="1172"/>
      <c r="CN865" s="1172"/>
      <c r="CO865" s="1172"/>
      <c r="CP865" s="1172"/>
      <c r="CQ865" s="1172"/>
      <c r="CR865" s="1172"/>
      <c r="CS865" s="1172"/>
      <c r="CT865" s="1172"/>
      <c r="CU865" s="1172"/>
      <c r="CV865" s="1172"/>
      <c r="CW865" s="1172"/>
      <c r="CX865" s="1172"/>
      <c r="CY865" s="1172"/>
      <c r="CZ865" s="1172"/>
      <c r="DA865" s="1172"/>
      <c r="DB865" s="1172"/>
      <c r="DC865" s="1172"/>
      <c r="DD865" s="1172"/>
      <c r="DE865" s="1172"/>
      <c r="DF865" s="1172"/>
      <c r="DG865" s="1172"/>
      <c r="DH865" s="1172"/>
      <c r="DI865" s="1172"/>
      <c r="DJ865" s="1172"/>
    </row>
    <row r="866" spans="1:114" s="920" customFormat="1" ht="351.75" customHeight="1">
      <c r="A866" s="916"/>
      <c r="B866" s="917" t="s">
        <v>6684</v>
      </c>
      <c r="C866" s="1012">
        <f>DATA!R1999</f>
        <v>5183.91</v>
      </c>
      <c r="D866" s="898" t="s">
        <v>1393</v>
      </c>
      <c r="E866" s="919">
        <f>DSP!H1967</f>
        <v>1</v>
      </c>
      <c r="F866" s="1053">
        <f t="shared" si="122"/>
        <v>5183.91</v>
      </c>
      <c r="G866" s="919"/>
      <c r="H866" s="914">
        <f t="shared" si="123"/>
        <v>0</v>
      </c>
      <c r="I866" s="919"/>
      <c r="J866" s="914">
        <f t="shared" si="124"/>
        <v>0</v>
      </c>
      <c r="K866" s="919"/>
      <c r="L866" s="914">
        <f t="shared" si="125"/>
        <v>0</v>
      </c>
      <c r="M866" s="919"/>
      <c r="N866" s="914">
        <f t="shared" si="128"/>
        <v>0</v>
      </c>
      <c r="O866" s="914"/>
      <c r="P866" s="914">
        <f t="shared" si="126"/>
        <v>0</v>
      </c>
      <c r="Q866" s="914"/>
      <c r="R866" s="914">
        <f t="shared" si="127"/>
        <v>0</v>
      </c>
      <c r="S866" s="915">
        <f t="shared" si="120"/>
        <v>1</v>
      </c>
      <c r="T866" s="911">
        <f t="shared" si="121"/>
        <v>5183.91</v>
      </c>
      <c r="U866" s="1172"/>
      <c r="V866" s="1172"/>
      <c r="W866" s="1172"/>
      <c r="X866" s="1172"/>
      <c r="Y866" s="1172"/>
      <c r="Z866" s="1172"/>
      <c r="AA866" s="1172"/>
      <c r="AB866" s="1172"/>
      <c r="AC866" s="1172"/>
      <c r="AD866" s="1172"/>
      <c r="AE866" s="1172"/>
      <c r="AF866" s="1172"/>
      <c r="AG866" s="1172"/>
      <c r="AH866" s="1172"/>
      <c r="AI866" s="1172"/>
      <c r="AJ866" s="1172"/>
      <c r="AK866" s="1172"/>
      <c r="AL866" s="1172"/>
      <c r="AM866" s="1172"/>
      <c r="AN866" s="1172"/>
      <c r="AO866" s="1172"/>
      <c r="AP866" s="1172"/>
      <c r="AQ866" s="1172"/>
      <c r="AR866" s="1172"/>
      <c r="AS866" s="1172"/>
      <c r="AT866" s="1172"/>
      <c r="AU866" s="1172"/>
      <c r="AV866" s="1172"/>
      <c r="AW866" s="1172"/>
      <c r="AX866" s="1172"/>
      <c r="AY866" s="1172"/>
      <c r="AZ866" s="1172"/>
      <c r="BA866" s="1172"/>
      <c r="BB866" s="1172"/>
      <c r="BC866" s="1172"/>
      <c r="BD866" s="1172"/>
      <c r="BE866" s="1172"/>
      <c r="BF866" s="1172"/>
      <c r="BG866" s="1172"/>
      <c r="BH866" s="1172"/>
      <c r="BI866" s="1172"/>
      <c r="BJ866" s="1172"/>
      <c r="BK866" s="1172"/>
      <c r="BL866" s="1172"/>
      <c r="BM866" s="1172"/>
      <c r="BN866" s="1172"/>
      <c r="BO866" s="1172"/>
      <c r="BP866" s="1172"/>
      <c r="BQ866" s="1172"/>
      <c r="BR866" s="1172"/>
      <c r="BS866" s="1172"/>
      <c r="BT866" s="1172"/>
      <c r="BU866" s="1172"/>
      <c r="BV866" s="1172"/>
      <c r="BW866" s="1172"/>
      <c r="BX866" s="1172"/>
      <c r="BY866" s="1172"/>
      <c r="BZ866" s="1172"/>
      <c r="CA866" s="1172"/>
      <c r="CB866" s="1172"/>
      <c r="CC866" s="1172"/>
      <c r="CD866" s="1172"/>
      <c r="CE866" s="1172"/>
      <c r="CF866" s="1172"/>
      <c r="CG866" s="1172"/>
      <c r="CH866" s="1172"/>
      <c r="CI866" s="1172"/>
      <c r="CJ866" s="1172"/>
      <c r="CK866" s="1172"/>
      <c r="CL866" s="1172"/>
      <c r="CM866" s="1172"/>
      <c r="CN866" s="1172"/>
      <c r="CO866" s="1172"/>
      <c r="CP866" s="1172"/>
      <c r="CQ866" s="1172"/>
      <c r="CR866" s="1172"/>
      <c r="CS866" s="1172"/>
      <c r="CT866" s="1172"/>
      <c r="CU866" s="1172"/>
      <c r="CV866" s="1172"/>
      <c r="CW866" s="1172"/>
      <c r="CX866" s="1172"/>
      <c r="CY866" s="1172"/>
      <c r="CZ866" s="1172"/>
      <c r="DA866" s="1172"/>
      <c r="DB866" s="1172"/>
      <c r="DC866" s="1172"/>
      <c r="DD866" s="1172"/>
      <c r="DE866" s="1172"/>
      <c r="DF866" s="1172"/>
      <c r="DG866" s="1172"/>
      <c r="DH866" s="1172"/>
      <c r="DI866" s="1172"/>
      <c r="DJ866" s="1172"/>
    </row>
    <row r="867" spans="1:114" s="920" customFormat="1" ht="250.5" customHeight="1">
      <c r="A867" s="916"/>
      <c r="B867" s="917" t="s">
        <v>6685</v>
      </c>
      <c r="C867" s="1011">
        <f>DATA!R2018</f>
        <v>7084.3</v>
      </c>
      <c r="D867" s="898" t="s">
        <v>1393</v>
      </c>
      <c r="E867" s="919">
        <f>DSP!H1110</f>
        <v>5</v>
      </c>
      <c r="F867" s="1053">
        <f t="shared" si="122"/>
        <v>35421.5</v>
      </c>
      <c r="G867" s="919"/>
      <c r="H867" s="914">
        <f t="shared" si="123"/>
        <v>0</v>
      </c>
      <c r="I867" s="919"/>
      <c r="J867" s="914">
        <f t="shared" si="124"/>
        <v>0</v>
      </c>
      <c r="K867" s="919"/>
      <c r="L867" s="914">
        <f t="shared" si="125"/>
        <v>0</v>
      </c>
      <c r="M867" s="919"/>
      <c r="N867" s="914">
        <f t="shared" si="128"/>
        <v>0</v>
      </c>
      <c r="O867" s="914"/>
      <c r="P867" s="914">
        <f t="shared" si="126"/>
        <v>0</v>
      </c>
      <c r="Q867" s="914"/>
      <c r="R867" s="914">
        <f t="shared" si="127"/>
        <v>0</v>
      </c>
      <c r="S867" s="915">
        <f t="shared" si="120"/>
        <v>5</v>
      </c>
      <c r="T867" s="911">
        <f t="shared" si="121"/>
        <v>35421.5</v>
      </c>
      <c r="U867" s="1172"/>
      <c r="V867" s="1172"/>
      <c r="W867" s="1172"/>
      <c r="X867" s="1172"/>
      <c r="Y867" s="1172"/>
      <c r="Z867" s="1172"/>
      <c r="AA867" s="1172"/>
      <c r="AB867" s="1172"/>
      <c r="AC867" s="1172"/>
      <c r="AD867" s="1172"/>
      <c r="AE867" s="1172"/>
      <c r="AF867" s="1172"/>
      <c r="AG867" s="1172"/>
      <c r="AH867" s="1172"/>
      <c r="AI867" s="1172"/>
      <c r="AJ867" s="1172"/>
      <c r="AK867" s="1172"/>
      <c r="AL867" s="1172"/>
      <c r="AM867" s="1172"/>
      <c r="AN867" s="1172"/>
      <c r="AO867" s="1172"/>
      <c r="AP867" s="1172"/>
      <c r="AQ867" s="1172"/>
      <c r="AR867" s="1172"/>
      <c r="AS867" s="1172"/>
      <c r="AT867" s="1172"/>
      <c r="AU867" s="1172"/>
      <c r="AV867" s="1172"/>
      <c r="AW867" s="1172"/>
      <c r="AX867" s="1172"/>
      <c r="AY867" s="1172"/>
      <c r="AZ867" s="1172"/>
      <c r="BA867" s="1172"/>
      <c r="BB867" s="1172"/>
      <c r="BC867" s="1172"/>
      <c r="BD867" s="1172"/>
      <c r="BE867" s="1172"/>
      <c r="BF867" s="1172"/>
      <c r="BG867" s="1172"/>
      <c r="BH867" s="1172"/>
      <c r="BI867" s="1172"/>
      <c r="BJ867" s="1172"/>
      <c r="BK867" s="1172"/>
      <c r="BL867" s="1172"/>
      <c r="BM867" s="1172"/>
      <c r="BN867" s="1172"/>
      <c r="BO867" s="1172"/>
      <c r="BP867" s="1172"/>
      <c r="BQ867" s="1172"/>
      <c r="BR867" s="1172"/>
      <c r="BS867" s="1172"/>
      <c r="BT867" s="1172"/>
      <c r="BU867" s="1172"/>
      <c r="BV867" s="1172"/>
      <c r="BW867" s="1172"/>
      <c r="BX867" s="1172"/>
      <c r="BY867" s="1172"/>
      <c r="BZ867" s="1172"/>
      <c r="CA867" s="1172"/>
      <c r="CB867" s="1172"/>
      <c r="CC867" s="1172"/>
      <c r="CD867" s="1172"/>
      <c r="CE867" s="1172"/>
      <c r="CF867" s="1172"/>
      <c r="CG867" s="1172"/>
      <c r="CH867" s="1172"/>
      <c r="CI867" s="1172"/>
      <c r="CJ867" s="1172"/>
      <c r="CK867" s="1172"/>
      <c r="CL867" s="1172"/>
      <c r="CM867" s="1172"/>
      <c r="CN867" s="1172"/>
      <c r="CO867" s="1172"/>
      <c r="CP867" s="1172"/>
      <c r="CQ867" s="1172"/>
      <c r="CR867" s="1172"/>
      <c r="CS867" s="1172"/>
      <c r="CT867" s="1172"/>
      <c r="CU867" s="1172"/>
      <c r="CV867" s="1172"/>
      <c r="CW867" s="1172"/>
      <c r="CX867" s="1172"/>
      <c r="CY867" s="1172"/>
      <c r="CZ867" s="1172"/>
      <c r="DA867" s="1172"/>
      <c r="DB867" s="1172"/>
      <c r="DC867" s="1172"/>
      <c r="DD867" s="1172"/>
      <c r="DE867" s="1172"/>
      <c r="DF867" s="1172"/>
      <c r="DG867" s="1172"/>
      <c r="DH867" s="1172"/>
      <c r="DI867" s="1172"/>
      <c r="DJ867" s="1172"/>
    </row>
    <row r="868" spans="1:114" ht="250.5" customHeight="1">
      <c r="A868" s="905"/>
      <c r="B868" s="924" t="s">
        <v>3899</v>
      </c>
      <c r="C868" s="959"/>
      <c r="D868" s="976"/>
      <c r="E868" s="911"/>
      <c r="F868" s="1053">
        <f t="shared" si="122"/>
        <v>0</v>
      </c>
      <c r="G868" s="914"/>
      <c r="H868" s="914">
        <f t="shared" si="123"/>
        <v>0</v>
      </c>
      <c r="I868" s="914"/>
      <c r="J868" s="914">
        <f t="shared" si="124"/>
        <v>0</v>
      </c>
      <c r="K868" s="914"/>
      <c r="L868" s="914">
        <f t="shared" si="125"/>
        <v>0</v>
      </c>
      <c r="M868" s="914"/>
      <c r="N868" s="914">
        <f t="shared" si="128"/>
        <v>0</v>
      </c>
      <c r="O868" s="914"/>
      <c r="P868" s="914">
        <f t="shared" si="126"/>
        <v>0</v>
      </c>
      <c r="Q868" s="914"/>
      <c r="R868" s="914">
        <f t="shared" si="127"/>
        <v>0</v>
      </c>
      <c r="S868" s="915">
        <f t="shared" si="120"/>
        <v>0</v>
      </c>
      <c r="T868" s="911">
        <f t="shared" si="121"/>
        <v>0</v>
      </c>
    </row>
    <row r="869" spans="1:114" ht="250.5" customHeight="1">
      <c r="A869" s="905"/>
      <c r="B869" s="906" t="s">
        <v>2133</v>
      </c>
      <c r="C869" s="959">
        <f>'  Coastal  Elec.Data '!K2860</f>
        <v>1678.69</v>
      </c>
      <c r="D869" s="972" t="s">
        <v>1393</v>
      </c>
      <c r="E869" s="914">
        <f>DSP!H2017</f>
        <v>63</v>
      </c>
      <c r="F869" s="1053">
        <f t="shared" si="122"/>
        <v>105757.47</v>
      </c>
      <c r="G869" s="914"/>
      <c r="H869" s="914">
        <f t="shared" si="123"/>
        <v>0</v>
      </c>
      <c r="I869" s="914"/>
      <c r="J869" s="914">
        <f t="shared" si="124"/>
        <v>0</v>
      </c>
      <c r="K869" s="914"/>
      <c r="L869" s="914">
        <f t="shared" si="125"/>
        <v>0</v>
      </c>
      <c r="M869" s="914"/>
      <c r="N869" s="914">
        <f t="shared" si="128"/>
        <v>0</v>
      </c>
      <c r="O869" s="914"/>
      <c r="P869" s="914">
        <f t="shared" si="126"/>
        <v>0</v>
      </c>
      <c r="Q869" s="914"/>
      <c r="R869" s="914">
        <f t="shared" si="127"/>
        <v>0</v>
      </c>
      <c r="S869" s="915">
        <f t="shared" si="120"/>
        <v>63</v>
      </c>
      <c r="T869" s="911">
        <f t="shared" si="121"/>
        <v>105757.47</v>
      </c>
    </row>
    <row r="870" spans="1:114" ht="250.5" customHeight="1">
      <c r="A870" s="905"/>
      <c r="B870" s="906" t="s">
        <v>1265</v>
      </c>
      <c r="C870" s="959">
        <f>'  Coastal  Elec.Data '!K2884</f>
        <v>1681.79</v>
      </c>
      <c r="D870" s="972" t="s">
        <v>1393</v>
      </c>
      <c r="E870" s="914">
        <f>DSP!H2041</f>
        <v>33</v>
      </c>
      <c r="F870" s="1053">
        <f t="shared" si="122"/>
        <v>55499.07</v>
      </c>
      <c r="G870" s="914"/>
      <c r="H870" s="914">
        <f t="shared" si="123"/>
        <v>0</v>
      </c>
      <c r="I870" s="914"/>
      <c r="J870" s="914">
        <f t="shared" si="124"/>
        <v>0</v>
      </c>
      <c r="K870" s="914"/>
      <c r="L870" s="914">
        <f t="shared" si="125"/>
        <v>0</v>
      </c>
      <c r="M870" s="914"/>
      <c r="N870" s="914">
        <f t="shared" si="128"/>
        <v>0</v>
      </c>
      <c r="O870" s="914"/>
      <c r="P870" s="914">
        <f t="shared" si="126"/>
        <v>0</v>
      </c>
      <c r="Q870" s="914"/>
      <c r="R870" s="914">
        <f t="shared" si="127"/>
        <v>0</v>
      </c>
      <c r="S870" s="915">
        <f t="shared" si="120"/>
        <v>33</v>
      </c>
      <c r="T870" s="911">
        <f t="shared" si="121"/>
        <v>55499.07</v>
      </c>
    </row>
    <row r="871" spans="1:114" ht="250.5" customHeight="1">
      <c r="A871" s="931"/>
      <c r="B871" s="906" t="s">
        <v>296</v>
      </c>
      <c r="C871" s="959">
        <f>'  Coastal  Elec.Data '!K2899</f>
        <v>1711.44</v>
      </c>
      <c r="D871" s="972" t="s">
        <v>1393</v>
      </c>
      <c r="E871" s="914">
        <f>DSP!H2046</f>
        <v>3</v>
      </c>
      <c r="F871" s="1053">
        <f t="shared" si="122"/>
        <v>5134.32</v>
      </c>
      <c r="G871" s="914"/>
      <c r="H871" s="914">
        <f t="shared" si="123"/>
        <v>0</v>
      </c>
      <c r="I871" s="914"/>
      <c r="J871" s="914">
        <f t="shared" si="124"/>
        <v>0</v>
      </c>
      <c r="K871" s="914"/>
      <c r="L871" s="914">
        <f t="shared" si="125"/>
        <v>0</v>
      </c>
      <c r="M871" s="914"/>
      <c r="N871" s="914">
        <f t="shared" si="128"/>
        <v>0</v>
      </c>
      <c r="O871" s="914"/>
      <c r="P871" s="914">
        <f t="shared" si="126"/>
        <v>0</v>
      </c>
      <c r="Q871" s="914"/>
      <c r="R871" s="914">
        <f t="shared" si="127"/>
        <v>0</v>
      </c>
      <c r="S871" s="915">
        <f t="shared" si="120"/>
        <v>3</v>
      </c>
      <c r="T871" s="911">
        <f t="shared" si="121"/>
        <v>5134.32</v>
      </c>
    </row>
    <row r="872" spans="1:114" ht="250.5" customHeight="1">
      <c r="A872" s="905"/>
      <c r="B872" s="906" t="s">
        <v>6687</v>
      </c>
      <c r="C872" s="959">
        <f>'  Coastal  Elec.Data '!K2921</f>
        <v>1734.1</v>
      </c>
      <c r="D872" s="972" t="s">
        <v>1393</v>
      </c>
      <c r="E872" s="914">
        <f>DSP!H2058</f>
        <v>25</v>
      </c>
      <c r="F872" s="1053">
        <f t="shared" si="122"/>
        <v>43352.5</v>
      </c>
      <c r="G872" s="914"/>
      <c r="H872" s="914">
        <f t="shared" si="123"/>
        <v>0</v>
      </c>
      <c r="I872" s="914"/>
      <c r="J872" s="914">
        <f t="shared" si="124"/>
        <v>0</v>
      </c>
      <c r="K872" s="914"/>
      <c r="L872" s="914">
        <f t="shared" si="125"/>
        <v>0</v>
      </c>
      <c r="M872" s="914"/>
      <c r="N872" s="914">
        <f t="shared" si="128"/>
        <v>0</v>
      </c>
      <c r="O872" s="914"/>
      <c r="P872" s="914">
        <f t="shared" si="126"/>
        <v>0</v>
      </c>
      <c r="Q872" s="914"/>
      <c r="R872" s="914">
        <f t="shared" si="127"/>
        <v>0</v>
      </c>
      <c r="S872" s="915">
        <f t="shared" si="120"/>
        <v>25</v>
      </c>
      <c r="T872" s="911">
        <f t="shared" si="121"/>
        <v>43352.5</v>
      </c>
    </row>
    <row r="873" spans="1:114" ht="250.5" customHeight="1">
      <c r="A873" s="905"/>
      <c r="B873" s="906" t="s">
        <v>6688</v>
      </c>
      <c r="C873" s="959">
        <f>'  Coastal  Elec.Data '!K2945</f>
        <v>3158.59</v>
      </c>
      <c r="D873" s="972" t="s">
        <v>1393</v>
      </c>
      <c r="E873" s="914">
        <f>DSP!H2060</f>
        <v>3</v>
      </c>
      <c r="F873" s="1053">
        <f t="shared" si="122"/>
        <v>9475.77</v>
      </c>
      <c r="G873" s="914"/>
      <c r="H873" s="914">
        <f t="shared" si="123"/>
        <v>0</v>
      </c>
      <c r="I873" s="914"/>
      <c r="J873" s="914">
        <f t="shared" si="124"/>
        <v>0</v>
      </c>
      <c r="K873" s="914"/>
      <c r="L873" s="914">
        <f t="shared" si="125"/>
        <v>0</v>
      </c>
      <c r="M873" s="914"/>
      <c r="N873" s="914">
        <f t="shared" si="128"/>
        <v>0</v>
      </c>
      <c r="O873" s="914"/>
      <c r="P873" s="914">
        <f t="shared" si="126"/>
        <v>0</v>
      </c>
      <c r="Q873" s="914"/>
      <c r="R873" s="914">
        <f t="shared" si="127"/>
        <v>0</v>
      </c>
      <c r="S873" s="915">
        <f t="shared" si="120"/>
        <v>3</v>
      </c>
      <c r="T873" s="911">
        <f t="shared" si="121"/>
        <v>9475.77</v>
      </c>
    </row>
    <row r="874" spans="1:114" ht="250.5" customHeight="1">
      <c r="A874" s="905">
        <v>67.099999999999994</v>
      </c>
      <c r="B874" s="906" t="s">
        <v>6689</v>
      </c>
      <c r="C874" s="959">
        <f>'  Coastal  Elec.Data '!K2977</f>
        <v>864.66</v>
      </c>
      <c r="D874" s="972" t="s">
        <v>1393</v>
      </c>
      <c r="E874" s="914">
        <f>DSP!H2074</f>
        <v>19</v>
      </c>
      <c r="F874" s="1053">
        <f t="shared" si="122"/>
        <v>16428.54</v>
      </c>
      <c r="G874" s="914"/>
      <c r="H874" s="914">
        <f t="shared" si="123"/>
        <v>0</v>
      </c>
      <c r="I874" s="914"/>
      <c r="J874" s="914">
        <f t="shared" si="124"/>
        <v>0</v>
      </c>
      <c r="K874" s="914"/>
      <c r="L874" s="914">
        <f t="shared" si="125"/>
        <v>0</v>
      </c>
      <c r="M874" s="914"/>
      <c r="N874" s="914">
        <f t="shared" si="128"/>
        <v>0</v>
      </c>
      <c r="O874" s="914"/>
      <c r="P874" s="914">
        <f t="shared" si="126"/>
        <v>0</v>
      </c>
      <c r="Q874" s="914"/>
      <c r="R874" s="914">
        <f t="shared" si="127"/>
        <v>0</v>
      </c>
      <c r="S874" s="915">
        <f t="shared" si="120"/>
        <v>19</v>
      </c>
      <c r="T874" s="911">
        <f t="shared" si="121"/>
        <v>16428.54</v>
      </c>
    </row>
    <row r="875" spans="1:114" ht="250.5" customHeight="1">
      <c r="A875" s="905"/>
      <c r="B875" s="906" t="s">
        <v>6690</v>
      </c>
      <c r="C875" s="959">
        <f>'  Coastal  Elec.Data '!K2965</f>
        <v>1161.3</v>
      </c>
      <c r="D875" s="972" t="s">
        <v>1393</v>
      </c>
      <c r="E875" s="914">
        <f>DSP!H2087</f>
        <v>26</v>
      </c>
      <c r="F875" s="1053">
        <f t="shared" si="122"/>
        <v>30193.8</v>
      </c>
      <c r="G875" s="914"/>
      <c r="H875" s="914">
        <f t="shared" si="123"/>
        <v>0</v>
      </c>
      <c r="I875" s="914"/>
      <c r="J875" s="914">
        <f t="shared" si="124"/>
        <v>0</v>
      </c>
      <c r="K875" s="914"/>
      <c r="L875" s="914">
        <f t="shared" si="125"/>
        <v>0</v>
      </c>
      <c r="M875" s="914"/>
      <c r="N875" s="914">
        <f t="shared" si="128"/>
        <v>0</v>
      </c>
      <c r="O875" s="914"/>
      <c r="P875" s="914">
        <f t="shared" si="126"/>
        <v>0</v>
      </c>
      <c r="Q875" s="914"/>
      <c r="R875" s="914">
        <f t="shared" si="127"/>
        <v>0</v>
      </c>
      <c r="S875" s="915">
        <f t="shared" si="120"/>
        <v>26</v>
      </c>
      <c r="T875" s="911">
        <f t="shared" si="121"/>
        <v>30193.8</v>
      </c>
    </row>
    <row r="876" spans="1:114" ht="250.5" customHeight="1">
      <c r="A876" s="905"/>
      <c r="B876" s="906" t="s">
        <v>6691</v>
      </c>
      <c r="C876" s="959">
        <v>135</v>
      </c>
      <c r="D876" s="972" t="s">
        <v>1393</v>
      </c>
      <c r="E876" s="914">
        <f>DSP!H1130</f>
        <v>15</v>
      </c>
      <c r="F876" s="1053">
        <f t="shared" si="122"/>
        <v>2025</v>
      </c>
      <c r="G876" s="914"/>
      <c r="H876" s="914">
        <f t="shared" si="123"/>
        <v>0</v>
      </c>
      <c r="I876" s="914"/>
      <c r="J876" s="914">
        <f t="shared" si="124"/>
        <v>0</v>
      </c>
      <c r="K876" s="914"/>
      <c r="L876" s="914">
        <f t="shared" si="125"/>
        <v>0</v>
      </c>
      <c r="M876" s="914"/>
      <c r="N876" s="914">
        <f t="shared" si="128"/>
        <v>0</v>
      </c>
      <c r="O876" s="914"/>
      <c r="P876" s="914">
        <f t="shared" si="126"/>
        <v>0</v>
      </c>
      <c r="Q876" s="914"/>
      <c r="R876" s="914">
        <f t="shared" si="127"/>
        <v>0</v>
      </c>
      <c r="S876" s="915">
        <f t="shared" si="120"/>
        <v>15</v>
      </c>
      <c r="T876" s="911">
        <f t="shared" si="121"/>
        <v>2025</v>
      </c>
    </row>
    <row r="877" spans="1:114" ht="288" customHeight="1">
      <c r="A877" s="905"/>
      <c r="B877" s="906" t="s">
        <v>6692</v>
      </c>
      <c r="C877" s="959">
        <f>DATA!R1609</f>
        <v>89024.3</v>
      </c>
      <c r="D877" s="908" t="s">
        <v>525</v>
      </c>
      <c r="E877" s="915">
        <f>DSP!H2290</f>
        <v>18.204000000000001</v>
      </c>
      <c r="F877" s="1053">
        <f t="shared" si="122"/>
        <v>1620598.36</v>
      </c>
      <c r="G877" s="915">
        <v>0.39400000000000002</v>
      </c>
      <c r="H877" s="914">
        <f t="shared" si="123"/>
        <v>35075.57</v>
      </c>
      <c r="I877" s="915"/>
      <c r="J877" s="914">
        <f t="shared" si="124"/>
        <v>0</v>
      </c>
      <c r="K877" s="915"/>
      <c r="L877" s="914">
        <f t="shared" si="125"/>
        <v>0</v>
      </c>
      <c r="M877" s="914"/>
      <c r="N877" s="914">
        <f t="shared" si="128"/>
        <v>0</v>
      </c>
      <c r="O877" s="915">
        <v>1.4219999999999999</v>
      </c>
      <c r="P877" s="914">
        <f t="shared" si="126"/>
        <v>126592.55</v>
      </c>
      <c r="Q877" s="1212">
        <f>'DEV-2'!U873</f>
        <v>0.91400000000000003</v>
      </c>
      <c r="R877" s="914">
        <f t="shared" si="127"/>
        <v>81368.210000000006</v>
      </c>
      <c r="S877" s="915">
        <f t="shared" si="120"/>
        <v>20.934000000000001</v>
      </c>
      <c r="T877" s="911">
        <f t="shared" si="121"/>
        <v>1863634.7</v>
      </c>
    </row>
    <row r="878" spans="1:114" ht="250.5" customHeight="1">
      <c r="A878" s="905"/>
      <c r="B878" s="906" t="s">
        <v>6693</v>
      </c>
      <c r="C878" s="1011">
        <f>DATA!K1638</f>
        <v>343.11</v>
      </c>
      <c r="D878" s="908" t="s">
        <v>823</v>
      </c>
      <c r="E878" s="914">
        <f>DSP!H1937</f>
        <v>69.7</v>
      </c>
      <c r="F878" s="1053">
        <f t="shared" si="122"/>
        <v>23914.77</v>
      </c>
      <c r="G878" s="914"/>
      <c r="H878" s="914">
        <f t="shared" si="123"/>
        <v>0</v>
      </c>
      <c r="I878" s="914"/>
      <c r="J878" s="914">
        <f t="shared" si="124"/>
        <v>0</v>
      </c>
      <c r="K878" s="914"/>
      <c r="L878" s="914">
        <f t="shared" si="125"/>
        <v>0</v>
      </c>
      <c r="M878" s="914"/>
      <c r="N878" s="914">
        <f t="shared" si="128"/>
        <v>0</v>
      </c>
      <c r="O878" s="914"/>
      <c r="P878" s="914">
        <f t="shared" si="126"/>
        <v>0</v>
      </c>
      <c r="Q878" s="914"/>
      <c r="R878" s="914">
        <f t="shared" si="127"/>
        <v>0</v>
      </c>
      <c r="S878" s="915">
        <f t="shared" si="120"/>
        <v>69.7</v>
      </c>
      <c r="T878" s="911">
        <f t="shared" si="121"/>
        <v>23914.77</v>
      </c>
    </row>
    <row r="879" spans="1:114" ht="250.5" hidden="1" customHeight="1">
      <c r="A879" s="905"/>
      <c r="B879" s="924" t="s">
        <v>4721</v>
      </c>
      <c r="C879" s="959">
        <f>DATA!K2331</f>
        <v>36.64</v>
      </c>
      <c r="D879" s="908"/>
      <c r="E879" s="919"/>
      <c r="F879" s="1053">
        <f t="shared" si="122"/>
        <v>0</v>
      </c>
      <c r="G879" s="919"/>
      <c r="H879" s="914">
        <f t="shared" si="123"/>
        <v>0</v>
      </c>
      <c r="I879" s="919"/>
      <c r="J879" s="914">
        <f t="shared" si="124"/>
        <v>0</v>
      </c>
      <c r="K879" s="919"/>
      <c r="L879" s="914">
        <f t="shared" si="125"/>
        <v>0</v>
      </c>
      <c r="M879" s="919"/>
      <c r="N879" s="914">
        <f t="shared" si="128"/>
        <v>0</v>
      </c>
      <c r="O879" s="914"/>
      <c r="P879" s="914">
        <f t="shared" si="126"/>
        <v>0</v>
      </c>
      <c r="Q879" s="914"/>
      <c r="R879" s="914">
        <f t="shared" si="127"/>
        <v>0</v>
      </c>
      <c r="S879" s="915">
        <f t="shared" si="120"/>
        <v>0</v>
      </c>
      <c r="T879" s="911">
        <f t="shared" si="121"/>
        <v>0</v>
      </c>
    </row>
    <row r="880" spans="1:114" ht="250.5" hidden="1" customHeight="1">
      <c r="A880" s="905"/>
      <c r="B880" s="1003" t="s">
        <v>3900</v>
      </c>
      <c r="C880" s="959"/>
      <c r="D880" s="908"/>
      <c r="E880" s="911"/>
      <c r="F880" s="1053">
        <f t="shared" si="122"/>
        <v>0</v>
      </c>
      <c r="G880" s="914"/>
      <c r="H880" s="914">
        <f t="shared" si="123"/>
        <v>0</v>
      </c>
      <c r="I880" s="914"/>
      <c r="J880" s="914">
        <f t="shared" si="124"/>
        <v>0</v>
      </c>
      <c r="K880" s="914"/>
      <c r="L880" s="914">
        <f t="shared" si="125"/>
        <v>0</v>
      </c>
      <c r="M880" s="914"/>
      <c r="N880" s="914">
        <f t="shared" si="128"/>
        <v>0</v>
      </c>
      <c r="O880" s="914"/>
      <c r="P880" s="914">
        <f t="shared" si="126"/>
        <v>0</v>
      </c>
      <c r="Q880" s="914"/>
      <c r="R880" s="914">
        <f t="shared" si="127"/>
        <v>0</v>
      </c>
      <c r="S880" s="915">
        <f t="shared" si="120"/>
        <v>0</v>
      </c>
      <c r="T880" s="911">
        <f t="shared" si="121"/>
        <v>0</v>
      </c>
    </row>
    <row r="881" spans="1:114" ht="250.5" hidden="1" customHeight="1">
      <c r="A881" s="905"/>
      <c r="B881" s="906" t="s">
        <v>46</v>
      </c>
      <c r="C881" s="959">
        <f>DATA!K1890</f>
        <v>252.01</v>
      </c>
      <c r="D881" s="908" t="s">
        <v>823</v>
      </c>
      <c r="E881" s="914"/>
      <c r="F881" s="1053">
        <f t="shared" si="122"/>
        <v>0</v>
      </c>
      <c r="G881" s="914"/>
      <c r="H881" s="914">
        <f t="shared" si="123"/>
        <v>0</v>
      </c>
      <c r="I881" s="914"/>
      <c r="J881" s="914">
        <f t="shared" si="124"/>
        <v>0</v>
      </c>
      <c r="K881" s="914"/>
      <c r="L881" s="914">
        <f t="shared" si="125"/>
        <v>0</v>
      </c>
      <c r="M881" s="914"/>
      <c r="N881" s="914">
        <f t="shared" si="128"/>
        <v>0</v>
      </c>
      <c r="O881" s="914"/>
      <c r="P881" s="914">
        <f t="shared" si="126"/>
        <v>0</v>
      </c>
      <c r="Q881" s="914"/>
      <c r="R881" s="914">
        <f t="shared" si="127"/>
        <v>0</v>
      </c>
      <c r="S881" s="915">
        <f t="shared" si="120"/>
        <v>0</v>
      </c>
      <c r="T881" s="911">
        <f t="shared" si="121"/>
        <v>0</v>
      </c>
    </row>
    <row r="882" spans="1:114" ht="250.5" hidden="1" customHeight="1">
      <c r="A882" s="905"/>
      <c r="B882" s="906" t="s">
        <v>47</v>
      </c>
      <c r="C882" s="959">
        <f>DATA!K1882</f>
        <v>234.4</v>
      </c>
      <c r="D882" s="908" t="s">
        <v>823</v>
      </c>
      <c r="E882" s="914"/>
      <c r="F882" s="1053">
        <f t="shared" si="122"/>
        <v>0</v>
      </c>
      <c r="G882" s="914"/>
      <c r="H882" s="914">
        <f t="shared" si="123"/>
        <v>0</v>
      </c>
      <c r="I882" s="914"/>
      <c r="J882" s="914">
        <f t="shared" si="124"/>
        <v>0</v>
      </c>
      <c r="K882" s="914"/>
      <c r="L882" s="914">
        <f t="shared" si="125"/>
        <v>0</v>
      </c>
      <c r="M882" s="914"/>
      <c r="N882" s="914">
        <f t="shared" si="128"/>
        <v>0</v>
      </c>
      <c r="O882" s="914"/>
      <c r="P882" s="914">
        <f t="shared" si="126"/>
        <v>0</v>
      </c>
      <c r="Q882" s="914"/>
      <c r="R882" s="914">
        <f t="shared" si="127"/>
        <v>0</v>
      </c>
      <c r="S882" s="915">
        <f t="shared" si="120"/>
        <v>0</v>
      </c>
      <c r="T882" s="911">
        <f t="shared" si="121"/>
        <v>0</v>
      </c>
    </row>
    <row r="883" spans="1:114" ht="250.5" hidden="1" customHeight="1">
      <c r="A883" s="905"/>
      <c r="B883" s="906" t="s">
        <v>3843</v>
      </c>
      <c r="C883" s="959">
        <f>DATA!K2767</f>
        <v>231.61</v>
      </c>
      <c r="D883" s="908" t="s">
        <v>823</v>
      </c>
      <c r="E883" s="919"/>
      <c r="F883" s="1053">
        <f t="shared" si="122"/>
        <v>0</v>
      </c>
      <c r="G883" s="919"/>
      <c r="H883" s="914">
        <f t="shared" si="123"/>
        <v>0</v>
      </c>
      <c r="I883" s="919"/>
      <c r="J883" s="914">
        <f t="shared" si="124"/>
        <v>0</v>
      </c>
      <c r="K883" s="919"/>
      <c r="L883" s="914">
        <f t="shared" si="125"/>
        <v>0</v>
      </c>
      <c r="M883" s="919"/>
      <c r="N883" s="914">
        <f t="shared" si="128"/>
        <v>0</v>
      </c>
      <c r="O883" s="914"/>
      <c r="P883" s="914">
        <f t="shared" si="126"/>
        <v>0</v>
      </c>
      <c r="Q883" s="914"/>
      <c r="R883" s="914">
        <f t="shared" si="127"/>
        <v>0</v>
      </c>
      <c r="S883" s="915">
        <f t="shared" si="120"/>
        <v>0</v>
      </c>
      <c r="T883" s="911">
        <f t="shared" si="121"/>
        <v>0</v>
      </c>
    </row>
    <row r="884" spans="1:114" ht="250.5" hidden="1" customHeight="1">
      <c r="A884" s="905"/>
      <c r="B884" s="1003" t="s">
        <v>3975</v>
      </c>
      <c r="C884" s="959">
        <f>DATA!K3648</f>
        <v>370.07</v>
      </c>
      <c r="D884" s="972" t="s">
        <v>2273</v>
      </c>
      <c r="E884" s="919"/>
      <c r="F884" s="1053">
        <f t="shared" si="122"/>
        <v>0</v>
      </c>
      <c r="G884" s="919"/>
      <c r="H884" s="914">
        <f t="shared" si="123"/>
        <v>0</v>
      </c>
      <c r="I884" s="919"/>
      <c r="J884" s="914">
        <f t="shared" si="124"/>
        <v>0</v>
      </c>
      <c r="K884" s="919"/>
      <c r="L884" s="914">
        <f t="shared" si="125"/>
        <v>0</v>
      </c>
      <c r="M884" s="919"/>
      <c r="N884" s="914">
        <f t="shared" si="128"/>
        <v>0</v>
      </c>
      <c r="O884" s="914"/>
      <c r="P884" s="914">
        <f t="shared" si="126"/>
        <v>0</v>
      </c>
      <c r="Q884" s="914"/>
      <c r="R884" s="914">
        <f t="shared" si="127"/>
        <v>0</v>
      </c>
      <c r="S884" s="915">
        <f t="shared" si="120"/>
        <v>0</v>
      </c>
      <c r="T884" s="911">
        <f t="shared" si="121"/>
        <v>0</v>
      </c>
    </row>
    <row r="885" spans="1:114" ht="250.5" customHeight="1">
      <c r="A885" s="916"/>
      <c r="B885" s="974" t="s">
        <v>3618</v>
      </c>
      <c r="C885" s="1011">
        <f>DATA!AF3115</f>
        <v>488</v>
      </c>
      <c r="D885" s="978" t="s">
        <v>1393</v>
      </c>
      <c r="E885" s="919">
        <f>DSP!H1959</f>
        <v>13</v>
      </c>
      <c r="F885" s="1053">
        <f t="shared" si="122"/>
        <v>6344</v>
      </c>
      <c r="G885" s="919"/>
      <c r="H885" s="914">
        <f t="shared" si="123"/>
        <v>0</v>
      </c>
      <c r="I885" s="919"/>
      <c r="J885" s="914">
        <f t="shared" si="124"/>
        <v>0</v>
      </c>
      <c r="K885" s="919"/>
      <c r="L885" s="914">
        <f t="shared" si="125"/>
        <v>0</v>
      </c>
      <c r="M885" s="919"/>
      <c r="N885" s="914">
        <f t="shared" si="128"/>
        <v>0</v>
      </c>
      <c r="O885" s="914"/>
      <c r="P885" s="914">
        <f t="shared" si="126"/>
        <v>0</v>
      </c>
      <c r="Q885" s="914"/>
      <c r="R885" s="914">
        <f t="shared" si="127"/>
        <v>0</v>
      </c>
      <c r="S885" s="915">
        <f t="shared" si="120"/>
        <v>13</v>
      </c>
      <c r="T885" s="911">
        <f t="shared" si="121"/>
        <v>6344</v>
      </c>
    </row>
    <row r="886" spans="1:114" s="920" customFormat="1" ht="250.5" customHeight="1">
      <c r="A886" s="916"/>
      <c r="B886" s="974" t="s">
        <v>3619</v>
      </c>
      <c r="C886" s="1011">
        <f>DATA!AH3115</f>
        <v>440</v>
      </c>
      <c r="D886" s="978" t="s">
        <v>1393</v>
      </c>
      <c r="E886" s="919">
        <f>DSP!H1963</f>
        <v>5</v>
      </c>
      <c r="F886" s="1053">
        <f t="shared" si="122"/>
        <v>2200</v>
      </c>
      <c r="G886" s="919"/>
      <c r="H886" s="914">
        <f t="shared" si="123"/>
        <v>0</v>
      </c>
      <c r="I886" s="919"/>
      <c r="J886" s="914">
        <f t="shared" si="124"/>
        <v>0</v>
      </c>
      <c r="K886" s="919"/>
      <c r="L886" s="914">
        <f t="shared" si="125"/>
        <v>0</v>
      </c>
      <c r="M886" s="919"/>
      <c r="N886" s="914">
        <f t="shared" si="128"/>
        <v>0</v>
      </c>
      <c r="O886" s="914"/>
      <c r="P886" s="914">
        <f t="shared" si="126"/>
        <v>0</v>
      </c>
      <c r="Q886" s="914"/>
      <c r="R886" s="914">
        <f t="shared" si="127"/>
        <v>0</v>
      </c>
      <c r="S886" s="915">
        <f t="shared" si="120"/>
        <v>5</v>
      </c>
      <c r="T886" s="911">
        <f t="shared" si="121"/>
        <v>2200</v>
      </c>
      <c r="U886" s="1172"/>
      <c r="V886" s="1172"/>
      <c r="W886" s="1172"/>
      <c r="X886" s="1172"/>
      <c r="Y886" s="1172"/>
      <c r="Z886" s="1172"/>
      <c r="AA886" s="1172"/>
      <c r="AB886" s="1172"/>
      <c r="AC886" s="1172"/>
      <c r="AD886" s="1172"/>
      <c r="AE886" s="1172"/>
      <c r="AF886" s="1172"/>
      <c r="AG886" s="1172"/>
      <c r="AH886" s="1172"/>
      <c r="AI886" s="1172"/>
      <c r="AJ886" s="1172"/>
      <c r="AK886" s="1172"/>
      <c r="AL886" s="1172"/>
      <c r="AM886" s="1172"/>
      <c r="AN886" s="1172"/>
      <c r="AO886" s="1172"/>
      <c r="AP886" s="1172"/>
      <c r="AQ886" s="1172"/>
      <c r="AR886" s="1172"/>
      <c r="AS886" s="1172"/>
      <c r="AT886" s="1172"/>
      <c r="AU886" s="1172"/>
      <c r="AV886" s="1172"/>
      <c r="AW886" s="1172"/>
      <c r="AX886" s="1172"/>
      <c r="AY886" s="1172"/>
      <c r="AZ886" s="1172"/>
      <c r="BA886" s="1172"/>
      <c r="BB886" s="1172"/>
      <c r="BC886" s="1172"/>
      <c r="BD886" s="1172"/>
      <c r="BE886" s="1172"/>
      <c r="BF886" s="1172"/>
      <c r="BG886" s="1172"/>
      <c r="BH886" s="1172"/>
      <c r="BI886" s="1172"/>
      <c r="BJ886" s="1172"/>
      <c r="BK886" s="1172"/>
      <c r="BL886" s="1172"/>
      <c r="BM886" s="1172"/>
      <c r="BN886" s="1172"/>
      <c r="BO886" s="1172"/>
      <c r="BP886" s="1172"/>
      <c r="BQ886" s="1172"/>
      <c r="BR886" s="1172"/>
      <c r="BS886" s="1172"/>
      <c r="BT886" s="1172"/>
      <c r="BU886" s="1172"/>
      <c r="BV886" s="1172"/>
      <c r="BW886" s="1172"/>
      <c r="BX886" s="1172"/>
      <c r="BY886" s="1172"/>
      <c r="BZ886" s="1172"/>
      <c r="CA886" s="1172"/>
      <c r="CB886" s="1172"/>
      <c r="CC886" s="1172"/>
      <c r="CD886" s="1172"/>
      <c r="CE886" s="1172"/>
      <c r="CF886" s="1172"/>
      <c r="CG886" s="1172"/>
      <c r="CH886" s="1172"/>
      <c r="CI886" s="1172"/>
      <c r="CJ886" s="1172"/>
      <c r="CK886" s="1172"/>
      <c r="CL886" s="1172"/>
      <c r="CM886" s="1172"/>
      <c r="CN886" s="1172"/>
      <c r="CO886" s="1172"/>
      <c r="CP886" s="1172"/>
      <c r="CQ886" s="1172"/>
      <c r="CR886" s="1172"/>
      <c r="CS886" s="1172"/>
      <c r="CT886" s="1172"/>
      <c r="CU886" s="1172"/>
      <c r="CV886" s="1172"/>
      <c r="CW886" s="1172"/>
      <c r="CX886" s="1172"/>
      <c r="CY886" s="1172"/>
      <c r="CZ886" s="1172"/>
      <c r="DA886" s="1172"/>
      <c r="DB886" s="1172"/>
      <c r="DC886" s="1172"/>
      <c r="DD886" s="1172"/>
      <c r="DE886" s="1172"/>
      <c r="DF886" s="1172"/>
      <c r="DG886" s="1172"/>
      <c r="DH886" s="1172"/>
      <c r="DI886" s="1172"/>
      <c r="DJ886" s="1172"/>
    </row>
    <row r="887" spans="1:114" s="920" customFormat="1" ht="250.5" hidden="1" customHeight="1">
      <c r="A887" s="905"/>
      <c r="B887" s="906" t="s">
        <v>3897</v>
      </c>
      <c r="C887" s="959">
        <v>51.4</v>
      </c>
      <c r="D887" s="1004" t="s">
        <v>1637</v>
      </c>
      <c r="E887" s="919"/>
      <c r="F887" s="1053">
        <f t="shared" si="122"/>
        <v>0</v>
      </c>
      <c r="G887" s="919"/>
      <c r="H887" s="914">
        <f t="shared" si="123"/>
        <v>0</v>
      </c>
      <c r="I887" s="919"/>
      <c r="J887" s="914">
        <f t="shared" si="124"/>
        <v>0</v>
      </c>
      <c r="K887" s="919"/>
      <c r="L887" s="914">
        <f t="shared" si="125"/>
        <v>0</v>
      </c>
      <c r="M887" s="919"/>
      <c r="N887" s="914">
        <f t="shared" si="128"/>
        <v>0</v>
      </c>
      <c r="O887" s="914"/>
      <c r="P887" s="914">
        <f t="shared" si="126"/>
        <v>0</v>
      </c>
      <c r="Q887" s="914"/>
      <c r="R887" s="914">
        <f t="shared" si="127"/>
        <v>0</v>
      </c>
      <c r="S887" s="915">
        <f t="shared" si="120"/>
        <v>0</v>
      </c>
      <c r="T887" s="911">
        <f t="shared" si="121"/>
        <v>0</v>
      </c>
      <c r="U887" s="1172"/>
      <c r="V887" s="1172"/>
      <c r="W887" s="1172"/>
      <c r="X887" s="1172"/>
      <c r="Y887" s="1172"/>
      <c r="Z887" s="1172"/>
      <c r="AA887" s="1172"/>
      <c r="AB887" s="1172"/>
      <c r="AC887" s="1172"/>
      <c r="AD887" s="1172"/>
      <c r="AE887" s="1172"/>
      <c r="AF887" s="1172"/>
      <c r="AG887" s="1172"/>
      <c r="AH887" s="1172"/>
      <c r="AI887" s="1172"/>
      <c r="AJ887" s="1172"/>
      <c r="AK887" s="1172"/>
      <c r="AL887" s="1172"/>
      <c r="AM887" s="1172"/>
      <c r="AN887" s="1172"/>
      <c r="AO887" s="1172"/>
      <c r="AP887" s="1172"/>
      <c r="AQ887" s="1172"/>
      <c r="AR887" s="1172"/>
      <c r="AS887" s="1172"/>
      <c r="AT887" s="1172"/>
      <c r="AU887" s="1172"/>
      <c r="AV887" s="1172"/>
      <c r="AW887" s="1172"/>
      <c r="AX887" s="1172"/>
      <c r="AY887" s="1172"/>
      <c r="AZ887" s="1172"/>
      <c r="BA887" s="1172"/>
      <c r="BB887" s="1172"/>
      <c r="BC887" s="1172"/>
      <c r="BD887" s="1172"/>
      <c r="BE887" s="1172"/>
      <c r="BF887" s="1172"/>
      <c r="BG887" s="1172"/>
      <c r="BH887" s="1172"/>
      <c r="BI887" s="1172"/>
      <c r="BJ887" s="1172"/>
      <c r="BK887" s="1172"/>
      <c r="BL887" s="1172"/>
      <c r="BM887" s="1172"/>
      <c r="BN887" s="1172"/>
      <c r="BO887" s="1172"/>
      <c r="BP887" s="1172"/>
      <c r="BQ887" s="1172"/>
      <c r="BR887" s="1172"/>
      <c r="BS887" s="1172"/>
      <c r="BT887" s="1172"/>
      <c r="BU887" s="1172"/>
      <c r="BV887" s="1172"/>
      <c r="BW887" s="1172"/>
      <c r="BX887" s="1172"/>
      <c r="BY887" s="1172"/>
      <c r="BZ887" s="1172"/>
      <c r="CA887" s="1172"/>
      <c r="CB887" s="1172"/>
      <c r="CC887" s="1172"/>
      <c r="CD887" s="1172"/>
      <c r="CE887" s="1172"/>
      <c r="CF887" s="1172"/>
      <c r="CG887" s="1172"/>
      <c r="CH887" s="1172"/>
      <c r="CI887" s="1172"/>
      <c r="CJ887" s="1172"/>
      <c r="CK887" s="1172"/>
      <c r="CL887" s="1172"/>
      <c r="CM887" s="1172"/>
      <c r="CN887" s="1172"/>
      <c r="CO887" s="1172"/>
      <c r="CP887" s="1172"/>
      <c r="CQ887" s="1172"/>
      <c r="CR887" s="1172"/>
      <c r="CS887" s="1172"/>
      <c r="CT887" s="1172"/>
      <c r="CU887" s="1172"/>
      <c r="CV887" s="1172"/>
      <c r="CW887" s="1172"/>
      <c r="CX887" s="1172"/>
      <c r="CY887" s="1172"/>
      <c r="CZ887" s="1172"/>
      <c r="DA887" s="1172"/>
      <c r="DB887" s="1172"/>
      <c r="DC887" s="1172"/>
      <c r="DD887" s="1172"/>
      <c r="DE887" s="1172"/>
      <c r="DF887" s="1172"/>
      <c r="DG887" s="1172"/>
      <c r="DH887" s="1172"/>
      <c r="DI887" s="1172"/>
      <c r="DJ887" s="1172"/>
    </row>
    <row r="888" spans="1:114" ht="250.5" customHeight="1">
      <c r="A888" s="916"/>
      <c r="B888" s="917" t="s">
        <v>4702</v>
      </c>
      <c r="C888" s="1011">
        <f>DATA!AD1229</f>
        <v>2296.91</v>
      </c>
      <c r="D888" s="978" t="s">
        <v>2273</v>
      </c>
      <c r="E888" s="919">
        <f>DSP!H2244</f>
        <v>63</v>
      </c>
      <c r="F888" s="1053">
        <f>E888*C888</f>
        <v>144705.32999999999</v>
      </c>
      <c r="G888" s="919"/>
      <c r="H888" s="914">
        <f t="shared" si="123"/>
        <v>0</v>
      </c>
      <c r="I888" s="919"/>
      <c r="J888" s="914">
        <f t="shared" si="124"/>
        <v>0</v>
      </c>
      <c r="K888" s="919"/>
      <c r="L888" s="914">
        <f t="shared" si="125"/>
        <v>0</v>
      </c>
      <c r="M888" s="919"/>
      <c r="N888" s="914">
        <f t="shared" si="128"/>
        <v>0</v>
      </c>
      <c r="O888" s="914"/>
      <c r="P888" s="914">
        <f t="shared" si="126"/>
        <v>0</v>
      </c>
      <c r="Q888" s="914"/>
      <c r="R888" s="914">
        <f t="shared" si="127"/>
        <v>0</v>
      </c>
      <c r="S888" s="915">
        <f t="shared" si="120"/>
        <v>63</v>
      </c>
      <c r="T888" s="911">
        <f t="shared" si="121"/>
        <v>144705.32999999999</v>
      </c>
    </row>
    <row r="889" spans="1:114" s="920" customFormat="1" ht="250.5" hidden="1" customHeight="1">
      <c r="A889" s="905" t="s">
        <v>3769</v>
      </c>
      <c r="B889" s="924" t="s">
        <v>4477</v>
      </c>
      <c r="C889" s="957"/>
      <c r="D889" s="957"/>
      <c r="E889" s="919"/>
      <c r="F889" s="1053">
        <f t="shared" si="122"/>
        <v>0</v>
      </c>
      <c r="G889" s="919"/>
      <c r="H889" s="914">
        <f t="shared" si="123"/>
        <v>0</v>
      </c>
      <c r="I889" s="919"/>
      <c r="J889" s="914">
        <f t="shared" si="124"/>
        <v>0</v>
      </c>
      <c r="K889" s="919"/>
      <c r="L889" s="914">
        <f t="shared" si="125"/>
        <v>0</v>
      </c>
      <c r="M889" s="919"/>
      <c r="N889" s="914">
        <f t="shared" si="128"/>
        <v>0</v>
      </c>
      <c r="O889" s="914"/>
      <c r="P889" s="914">
        <f t="shared" si="126"/>
        <v>0</v>
      </c>
      <c r="Q889" s="914"/>
      <c r="R889" s="914">
        <f t="shared" si="127"/>
        <v>0</v>
      </c>
      <c r="S889" s="915">
        <f t="shared" si="120"/>
        <v>0</v>
      </c>
      <c r="T889" s="911">
        <f t="shared" si="121"/>
        <v>0</v>
      </c>
      <c r="U889" s="1172"/>
      <c r="V889" s="1172"/>
      <c r="W889" s="1172"/>
      <c r="X889" s="1172"/>
      <c r="Y889" s="1172"/>
      <c r="Z889" s="1172"/>
      <c r="AA889" s="1172"/>
      <c r="AB889" s="1172"/>
      <c r="AC889" s="1172"/>
      <c r="AD889" s="1172"/>
      <c r="AE889" s="1172"/>
      <c r="AF889" s="1172"/>
      <c r="AG889" s="1172"/>
      <c r="AH889" s="1172"/>
      <c r="AI889" s="1172"/>
      <c r="AJ889" s="1172"/>
      <c r="AK889" s="1172"/>
      <c r="AL889" s="1172"/>
      <c r="AM889" s="1172"/>
      <c r="AN889" s="1172"/>
      <c r="AO889" s="1172"/>
      <c r="AP889" s="1172"/>
      <c r="AQ889" s="1172"/>
      <c r="AR889" s="1172"/>
      <c r="AS889" s="1172"/>
      <c r="AT889" s="1172"/>
      <c r="AU889" s="1172"/>
      <c r="AV889" s="1172"/>
      <c r="AW889" s="1172"/>
      <c r="AX889" s="1172"/>
      <c r="AY889" s="1172"/>
      <c r="AZ889" s="1172"/>
      <c r="BA889" s="1172"/>
      <c r="BB889" s="1172"/>
      <c r="BC889" s="1172"/>
      <c r="BD889" s="1172"/>
      <c r="BE889" s="1172"/>
      <c r="BF889" s="1172"/>
      <c r="BG889" s="1172"/>
      <c r="BH889" s="1172"/>
      <c r="BI889" s="1172"/>
      <c r="BJ889" s="1172"/>
      <c r="BK889" s="1172"/>
      <c r="BL889" s="1172"/>
      <c r="BM889" s="1172"/>
      <c r="BN889" s="1172"/>
      <c r="BO889" s="1172"/>
      <c r="BP889" s="1172"/>
      <c r="BQ889" s="1172"/>
      <c r="BR889" s="1172"/>
      <c r="BS889" s="1172"/>
      <c r="BT889" s="1172"/>
      <c r="BU889" s="1172"/>
      <c r="BV889" s="1172"/>
      <c r="BW889" s="1172"/>
      <c r="BX889" s="1172"/>
      <c r="BY889" s="1172"/>
      <c r="BZ889" s="1172"/>
      <c r="CA889" s="1172"/>
      <c r="CB889" s="1172"/>
      <c r="CC889" s="1172"/>
      <c r="CD889" s="1172"/>
      <c r="CE889" s="1172"/>
      <c r="CF889" s="1172"/>
      <c r="CG889" s="1172"/>
      <c r="CH889" s="1172"/>
      <c r="CI889" s="1172"/>
      <c r="CJ889" s="1172"/>
      <c r="CK889" s="1172"/>
      <c r="CL889" s="1172"/>
      <c r="CM889" s="1172"/>
      <c r="CN889" s="1172"/>
      <c r="CO889" s="1172"/>
      <c r="CP889" s="1172"/>
      <c r="CQ889" s="1172"/>
      <c r="CR889" s="1172"/>
      <c r="CS889" s="1172"/>
      <c r="CT889" s="1172"/>
      <c r="CU889" s="1172"/>
      <c r="CV889" s="1172"/>
      <c r="CW889" s="1172"/>
      <c r="CX889" s="1172"/>
      <c r="CY889" s="1172"/>
      <c r="CZ889" s="1172"/>
      <c r="DA889" s="1172"/>
      <c r="DB889" s="1172"/>
      <c r="DC889" s="1172"/>
      <c r="DD889" s="1172"/>
      <c r="DE889" s="1172"/>
      <c r="DF889" s="1172"/>
      <c r="DG889" s="1172"/>
      <c r="DH889" s="1172"/>
      <c r="DI889" s="1172"/>
      <c r="DJ889" s="1172"/>
    </row>
    <row r="890" spans="1:114" ht="250.5" hidden="1" customHeight="1">
      <c r="A890" s="905"/>
      <c r="B890" s="924" t="s">
        <v>4116</v>
      </c>
      <c r="C890" s="1013">
        <f>'pile data ( M30 grade) (2)'!F17</f>
        <v>5177.3500000000004</v>
      </c>
      <c r="D890" s="906" t="s">
        <v>823</v>
      </c>
      <c r="E890" s="919"/>
      <c r="F890" s="1053">
        <f t="shared" si="122"/>
        <v>0</v>
      </c>
      <c r="G890" s="919"/>
      <c r="H890" s="914">
        <f t="shared" si="123"/>
        <v>0</v>
      </c>
      <c r="I890" s="919"/>
      <c r="J890" s="914">
        <f t="shared" si="124"/>
        <v>0</v>
      </c>
      <c r="K890" s="919"/>
      <c r="L890" s="914">
        <f t="shared" si="125"/>
        <v>0</v>
      </c>
      <c r="M890" s="919"/>
      <c r="N890" s="914">
        <f t="shared" si="128"/>
        <v>0</v>
      </c>
      <c r="O890" s="914"/>
      <c r="P890" s="914">
        <f t="shared" si="126"/>
        <v>0</v>
      </c>
      <c r="Q890" s="914"/>
      <c r="R890" s="914">
        <f t="shared" si="127"/>
        <v>0</v>
      </c>
      <c r="S890" s="915">
        <f t="shared" si="120"/>
        <v>0</v>
      </c>
      <c r="T890" s="911">
        <f t="shared" si="121"/>
        <v>0</v>
      </c>
    </row>
    <row r="891" spans="1:114" ht="250.5" hidden="1" customHeight="1">
      <c r="A891" s="905"/>
      <c r="B891" s="924" t="s">
        <v>4117</v>
      </c>
      <c r="C891" s="1013">
        <f>'pile data ( M30 grade) (2)'!F81</f>
        <v>2524.7800000000002</v>
      </c>
      <c r="D891" s="906" t="s">
        <v>823</v>
      </c>
      <c r="E891" s="919"/>
      <c r="F891" s="1053">
        <f t="shared" si="122"/>
        <v>0</v>
      </c>
      <c r="G891" s="919"/>
      <c r="H891" s="914">
        <f t="shared" si="123"/>
        <v>0</v>
      </c>
      <c r="I891" s="919"/>
      <c r="J891" s="914">
        <f t="shared" si="124"/>
        <v>0</v>
      </c>
      <c r="K891" s="919"/>
      <c r="L891" s="914">
        <f t="shared" si="125"/>
        <v>0</v>
      </c>
      <c r="M891" s="919"/>
      <c r="N891" s="914">
        <f t="shared" si="128"/>
        <v>0</v>
      </c>
      <c r="O891" s="914"/>
      <c r="P891" s="914">
        <f t="shared" si="126"/>
        <v>0</v>
      </c>
      <c r="Q891" s="914"/>
      <c r="R891" s="914">
        <f t="shared" si="127"/>
        <v>0</v>
      </c>
      <c r="S891" s="915">
        <f t="shared" si="120"/>
        <v>0</v>
      </c>
      <c r="T891" s="911">
        <f t="shared" si="121"/>
        <v>0</v>
      </c>
    </row>
    <row r="892" spans="1:114" ht="250.5" hidden="1" customHeight="1">
      <c r="A892" s="905"/>
      <c r="B892" s="924" t="s">
        <v>4118</v>
      </c>
      <c r="C892" s="1013">
        <f>'pile data ( M30 grade) (2)'!F141</f>
        <v>2524.2600000000002</v>
      </c>
      <c r="D892" s="906" t="s">
        <v>823</v>
      </c>
      <c r="E892" s="919"/>
      <c r="F892" s="1053">
        <f t="shared" si="122"/>
        <v>0</v>
      </c>
      <c r="G892" s="919"/>
      <c r="H892" s="914">
        <f t="shared" si="123"/>
        <v>0</v>
      </c>
      <c r="I892" s="919"/>
      <c r="J892" s="914">
        <f t="shared" si="124"/>
        <v>0</v>
      </c>
      <c r="K892" s="919"/>
      <c r="L892" s="914">
        <f t="shared" si="125"/>
        <v>0</v>
      </c>
      <c r="M892" s="919"/>
      <c r="N892" s="914">
        <f t="shared" si="128"/>
        <v>0</v>
      </c>
      <c r="O892" s="914"/>
      <c r="P892" s="914">
        <f t="shared" si="126"/>
        <v>0</v>
      </c>
      <c r="Q892" s="914"/>
      <c r="R892" s="914">
        <f t="shared" si="127"/>
        <v>0</v>
      </c>
      <c r="S892" s="915">
        <f t="shared" si="120"/>
        <v>0</v>
      </c>
      <c r="T892" s="911">
        <f t="shared" si="121"/>
        <v>0</v>
      </c>
    </row>
    <row r="893" spans="1:114" ht="250.5" hidden="1" customHeight="1">
      <c r="A893" s="905"/>
      <c r="B893" s="924" t="s">
        <v>3948</v>
      </c>
      <c r="C893" s="1013"/>
      <c r="D893" s="906"/>
      <c r="E893" s="919"/>
      <c r="F893" s="1053">
        <f t="shared" si="122"/>
        <v>0</v>
      </c>
      <c r="G893" s="919"/>
      <c r="H893" s="914">
        <f t="shared" si="123"/>
        <v>0</v>
      </c>
      <c r="I893" s="919"/>
      <c r="J893" s="914">
        <f t="shared" si="124"/>
        <v>0</v>
      </c>
      <c r="K893" s="919"/>
      <c r="L893" s="914">
        <f t="shared" si="125"/>
        <v>0</v>
      </c>
      <c r="M893" s="919"/>
      <c r="N893" s="914">
        <f t="shared" si="128"/>
        <v>0</v>
      </c>
      <c r="O893" s="914"/>
      <c r="P893" s="914">
        <f t="shared" si="126"/>
        <v>0</v>
      </c>
      <c r="Q893" s="914"/>
      <c r="R893" s="914">
        <f t="shared" si="127"/>
        <v>0</v>
      </c>
      <c r="S893" s="915">
        <f t="shared" si="120"/>
        <v>0</v>
      </c>
      <c r="T893" s="911">
        <f t="shared" si="121"/>
        <v>0</v>
      </c>
    </row>
    <row r="894" spans="1:114" ht="250.5" hidden="1" customHeight="1">
      <c r="A894" s="905"/>
      <c r="B894" s="924" t="s">
        <v>3949</v>
      </c>
      <c r="C894" s="1014"/>
      <c r="D894" s="957"/>
      <c r="E894" s="919"/>
      <c r="F894" s="1053">
        <f t="shared" si="122"/>
        <v>0</v>
      </c>
      <c r="G894" s="919"/>
      <c r="H894" s="914">
        <f t="shared" si="123"/>
        <v>0</v>
      </c>
      <c r="I894" s="919"/>
      <c r="J894" s="914">
        <f t="shared" si="124"/>
        <v>0</v>
      </c>
      <c r="K894" s="919"/>
      <c r="L894" s="914">
        <f t="shared" si="125"/>
        <v>0</v>
      </c>
      <c r="M894" s="919"/>
      <c r="N894" s="914">
        <f t="shared" si="128"/>
        <v>0</v>
      </c>
      <c r="O894" s="914"/>
      <c r="P894" s="914">
        <f t="shared" si="126"/>
        <v>0</v>
      </c>
      <c r="Q894" s="914"/>
      <c r="R894" s="914">
        <f t="shared" si="127"/>
        <v>0</v>
      </c>
      <c r="S894" s="915">
        <f t="shared" si="120"/>
        <v>0</v>
      </c>
      <c r="T894" s="911">
        <f t="shared" si="121"/>
        <v>0</v>
      </c>
    </row>
    <row r="895" spans="1:114" ht="250.5" hidden="1" customHeight="1">
      <c r="A895" s="905"/>
      <c r="B895" s="924" t="s">
        <v>4116</v>
      </c>
      <c r="C895" s="1013">
        <f>'pile data ( M30 grade) (2)'!F28</f>
        <v>1265.8800000000001</v>
      </c>
      <c r="D895" s="906" t="s">
        <v>823</v>
      </c>
      <c r="E895" s="919"/>
      <c r="F895" s="1053">
        <f t="shared" si="122"/>
        <v>0</v>
      </c>
      <c r="G895" s="919"/>
      <c r="H895" s="914">
        <f t="shared" si="123"/>
        <v>0</v>
      </c>
      <c r="I895" s="919"/>
      <c r="J895" s="914">
        <f t="shared" si="124"/>
        <v>0</v>
      </c>
      <c r="K895" s="919"/>
      <c r="L895" s="914">
        <f t="shared" si="125"/>
        <v>0</v>
      </c>
      <c r="M895" s="919"/>
      <c r="N895" s="914">
        <f t="shared" si="128"/>
        <v>0</v>
      </c>
      <c r="O895" s="914"/>
      <c r="P895" s="914">
        <f t="shared" si="126"/>
        <v>0</v>
      </c>
      <c r="Q895" s="914"/>
      <c r="R895" s="914">
        <f t="shared" si="127"/>
        <v>0</v>
      </c>
      <c r="S895" s="915">
        <f t="shared" si="120"/>
        <v>0</v>
      </c>
      <c r="T895" s="911">
        <f t="shared" si="121"/>
        <v>0</v>
      </c>
    </row>
    <row r="896" spans="1:114" ht="250.5" hidden="1" customHeight="1">
      <c r="A896" s="905"/>
      <c r="B896" s="924" t="s">
        <v>4117</v>
      </c>
      <c r="C896" s="1013">
        <f>'pile data ( M30 grade) (2)'!F92</f>
        <v>1024.67</v>
      </c>
      <c r="D896" s="906" t="s">
        <v>823</v>
      </c>
      <c r="E896" s="919"/>
      <c r="F896" s="1053">
        <f t="shared" si="122"/>
        <v>0</v>
      </c>
      <c r="G896" s="919"/>
      <c r="H896" s="914">
        <f t="shared" si="123"/>
        <v>0</v>
      </c>
      <c r="I896" s="919"/>
      <c r="J896" s="914">
        <f t="shared" si="124"/>
        <v>0</v>
      </c>
      <c r="K896" s="919"/>
      <c r="L896" s="914">
        <f t="shared" si="125"/>
        <v>0</v>
      </c>
      <c r="M896" s="919"/>
      <c r="N896" s="914">
        <f t="shared" si="128"/>
        <v>0</v>
      </c>
      <c r="O896" s="914"/>
      <c r="P896" s="914">
        <f t="shared" si="126"/>
        <v>0</v>
      </c>
      <c r="Q896" s="914"/>
      <c r="R896" s="914">
        <f t="shared" si="127"/>
        <v>0</v>
      </c>
      <c r="S896" s="915">
        <f t="shared" si="120"/>
        <v>0</v>
      </c>
      <c r="T896" s="911">
        <f t="shared" si="121"/>
        <v>0</v>
      </c>
    </row>
    <row r="897" spans="1:20" ht="250.5" hidden="1" customHeight="1">
      <c r="A897" s="905"/>
      <c r="B897" s="924" t="s">
        <v>4118</v>
      </c>
      <c r="C897" s="1013">
        <f>'pile data ( M30 grade) (2)'!F152</f>
        <v>812</v>
      </c>
      <c r="D897" s="906" t="s">
        <v>823</v>
      </c>
      <c r="E897" s="919"/>
      <c r="F897" s="1053">
        <f t="shared" si="122"/>
        <v>0</v>
      </c>
      <c r="G897" s="919"/>
      <c r="H897" s="914">
        <f t="shared" si="123"/>
        <v>0</v>
      </c>
      <c r="I897" s="919"/>
      <c r="J897" s="914">
        <f t="shared" si="124"/>
        <v>0</v>
      </c>
      <c r="K897" s="919"/>
      <c r="L897" s="914">
        <f t="shared" si="125"/>
        <v>0</v>
      </c>
      <c r="M897" s="919"/>
      <c r="N897" s="914">
        <f t="shared" si="128"/>
        <v>0</v>
      </c>
      <c r="O897" s="914"/>
      <c r="P897" s="914">
        <f t="shared" si="126"/>
        <v>0</v>
      </c>
      <c r="Q897" s="914"/>
      <c r="R897" s="914">
        <f t="shared" si="127"/>
        <v>0</v>
      </c>
      <c r="S897" s="915">
        <f t="shared" si="120"/>
        <v>0</v>
      </c>
      <c r="T897" s="911">
        <f t="shared" si="121"/>
        <v>0</v>
      </c>
    </row>
    <row r="898" spans="1:20" ht="250.5" hidden="1" customHeight="1">
      <c r="A898" s="905"/>
      <c r="B898" s="924" t="s">
        <v>3950</v>
      </c>
      <c r="C898" s="1015">
        <v>50000</v>
      </c>
      <c r="D898" s="906" t="s">
        <v>1389</v>
      </c>
      <c r="E898" s="919"/>
      <c r="F898" s="1053">
        <f t="shared" si="122"/>
        <v>0</v>
      </c>
      <c r="G898" s="919"/>
      <c r="H898" s="914">
        <f t="shared" si="123"/>
        <v>0</v>
      </c>
      <c r="I898" s="919"/>
      <c r="J898" s="914">
        <f t="shared" si="124"/>
        <v>0</v>
      </c>
      <c r="K898" s="919"/>
      <c r="L898" s="914">
        <f t="shared" si="125"/>
        <v>0</v>
      </c>
      <c r="M898" s="919"/>
      <c r="N898" s="914">
        <f t="shared" si="128"/>
        <v>0</v>
      </c>
      <c r="O898" s="914"/>
      <c r="P898" s="914">
        <f t="shared" si="126"/>
        <v>0</v>
      </c>
      <c r="Q898" s="914"/>
      <c r="R898" s="914">
        <f t="shared" si="127"/>
        <v>0</v>
      </c>
      <c r="S898" s="915">
        <f t="shared" si="120"/>
        <v>0</v>
      </c>
      <c r="T898" s="911">
        <f t="shared" si="121"/>
        <v>0</v>
      </c>
    </row>
    <row r="899" spans="1:20" ht="250.5" hidden="1" customHeight="1">
      <c r="A899" s="905"/>
      <c r="B899" s="924" t="s">
        <v>3951</v>
      </c>
      <c r="C899" s="1015">
        <v>70000</v>
      </c>
      <c r="D899" s="906" t="s">
        <v>1389</v>
      </c>
      <c r="E899" s="919"/>
      <c r="F899" s="1053">
        <f t="shared" si="122"/>
        <v>0</v>
      </c>
      <c r="G899" s="919"/>
      <c r="H899" s="914">
        <f t="shared" si="123"/>
        <v>0</v>
      </c>
      <c r="I899" s="919"/>
      <c r="J899" s="914">
        <f t="shared" si="124"/>
        <v>0</v>
      </c>
      <c r="K899" s="919"/>
      <c r="L899" s="914">
        <f t="shared" si="125"/>
        <v>0</v>
      </c>
      <c r="M899" s="919"/>
      <c r="N899" s="914">
        <f t="shared" si="128"/>
        <v>0</v>
      </c>
      <c r="O899" s="914"/>
      <c r="P899" s="914">
        <f t="shared" si="126"/>
        <v>0</v>
      </c>
      <c r="Q899" s="914"/>
      <c r="R899" s="914">
        <f t="shared" si="127"/>
        <v>0</v>
      </c>
      <c r="S899" s="915">
        <f t="shared" si="120"/>
        <v>0</v>
      </c>
      <c r="T899" s="911">
        <f t="shared" si="121"/>
        <v>0</v>
      </c>
    </row>
    <row r="900" spans="1:20" ht="250.5" hidden="1" customHeight="1">
      <c r="A900" s="905"/>
      <c r="B900" s="906" t="s">
        <v>6694</v>
      </c>
      <c r="C900" s="959">
        <v>713.54</v>
      </c>
      <c r="D900" s="908" t="s">
        <v>2273</v>
      </c>
      <c r="E900" s="919"/>
      <c r="F900" s="1053">
        <f t="shared" si="122"/>
        <v>0</v>
      </c>
      <c r="G900" s="919"/>
      <c r="H900" s="914">
        <f t="shared" si="123"/>
        <v>0</v>
      </c>
      <c r="I900" s="919"/>
      <c r="J900" s="914">
        <f t="shared" si="124"/>
        <v>0</v>
      </c>
      <c r="K900" s="919"/>
      <c r="L900" s="914">
        <f t="shared" si="125"/>
        <v>0</v>
      </c>
      <c r="M900" s="919"/>
      <c r="N900" s="914">
        <f t="shared" si="128"/>
        <v>0</v>
      </c>
      <c r="O900" s="914"/>
      <c r="P900" s="914">
        <f t="shared" si="126"/>
        <v>0</v>
      </c>
      <c r="Q900" s="914"/>
      <c r="R900" s="914">
        <f t="shared" si="127"/>
        <v>0</v>
      </c>
      <c r="S900" s="915">
        <f t="shared" si="120"/>
        <v>0</v>
      </c>
      <c r="T900" s="911">
        <f t="shared" si="121"/>
        <v>0</v>
      </c>
    </row>
    <row r="901" spans="1:20" ht="250.5" hidden="1" customHeight="1">
      <c r="A901" s="905"/>
      <c r="B901" s="924" t="s">
        <v>4075</v>
      </c>
      <c r="C901" s="959"/>
      <c r="D901" s="908"/>
      <c r="E901" s="919"/>
      <c r="F901" s="1053">
        <f t="shared" ref="F901:F933" si="129">E901*C901</f>
        <v>0</v>
      </c>
      <c r="G901" s="919"/>
      <c r="H901" s="914">
        <f t="shared" ref="H901:H933" si="130">G901*C901</f>
        <v>0</v>
      </c>
      <c r="I901" s="919"/>
      <c r="J901" s="914">
        <f t="shared" ref="J901:J933" si="131">I901*C901</f>
        <v>0</v>
      </c>
      <c r="K901" s="919"/>
      <c r="L901" s="914">
        <f t="shared" ref="L901:L933" si="132">K901*C901</f>
        <v>0</v>
      </c>
      <c r="M901" s="919"/>
      <c r="N901" s="914">
        <f t="shared" si="128"/>
        <v>0</v>
      </c>
      <c r="O901" s="914"/>
      <c r="P901" s="914">
        <f t="shared" si="126"/>
        <v>0</v>
      </c>
      <c r="Q901" s="914"/>
      <c r="R901" s="914">
        <f t="shared" si="127"/>
        <v>0</v>
      </c>
      <c r="S901" s="915">
        <f t="shared" si="120"/>
        <v>0</v>
      </c>
      <c r="T901" s="911">
        <f t="shared" si="121"/>
        <v>0</v>
      </c>
    </row>
    <row r="902" spans="1:20" ht="250.5" hidden="1" customHeight="1">
      <c r="A902" s="905"/>
      <c r="B902" s="906" t="s">
        <v>2133</v>
      </c>
      <c r="C902" s="959">
        <f>Elec.Data!K992</f>
        <v>921.2</v>
      </c>
      <c r="D902" s="908" t="s">
        <v>1393</v>
      </c>
      <c r="E902" s="919"/>
      <c r="F902" s="1053">
        <f t="shared" si="129"/>
        <v>0</v>
      </c>
      <c r="G902" s="919"/>
      <c r="H902" s="914">
        <f t="shared" si="130"/>
        <v>0</v>
      </c>
      <c r="I902" s="919"/>
      <c r="J902" s="914">
        <f t="shared" si="131"/>
        <v>0</v>
      </c>
      <c r="K902" s="919"/>
      <c r="L902" s="914">
        <f t="shared" si="132"/>
        <v>0</v>
      </c>
      <c r="M902" s="919"/>
      <c r="N902" s="914">
        <f t="shared" si="128"/>
        <v>0</v>
      </c>
      <c r="O902" s="914"/>
      <c r="P902" s="914">
        <f t="shared" si="126"/>
        <v>0</v>
      </c>
      <c r="Q902" s="914"/>
      <c r="R902" s="914">
        <f t="shared" si="127"/>
        <v>0</v>
      </c>
      <c r="S902" s="915">
        <f t="shared" si="120"/>
        <v>0</v>
      </c>
      <c r="T902" s="911">
        <f t="shared" si="121"/>
        <v>0</v>
      </c>
    </row>
    <row r="903" spans="1:20" ht="250.5" hidden="1" customHeight="1">
      <c r="A903" s="905"/>
      <c r="B903" s="906" t="s">
        <v>1265</v>
      </c>
      <c r="C903" s="959">
        <f>Elec.Data!K1018</f>
        <v>923.2</v>
      </c>
      <c r="D903" s="908" t="s">
        <v>1393</v>
      </c>
      <c r="E903" s="919"/>
      <c r="F903" s="1053">
        <f t="shared" si="129"/>
        <v>0</v>
      </c>
      <c r="G903" s="919"/>
      <c r="H903" s="914">
        <f t="shared" si="130"/>
        <v>0</v>
      </c>
      <c r="I903" s="919"/>
      <c r="J903" s="914">
        <f t="shared" si="131"/>
        <v>0</v>
      </c>
      <c r="K903" s="919"/>
      <c r="L903" s="914">
        <f t="shared" si="132"/>
        <v>0</v>
      </c>
      <c r="M903" s="919"/>
      <c r="N903" s="914">
        <f t="shared" si="128"/>
        <v>0</v>
      </c>
      <c r="O903" s="914"/>
      <c r="P903" s="914">
        <f t="shared" si="126"/>
        <v>0</v>
      </c>
      <c r="Q903" s="914"/>
      <c r="R903" s="914">
        <f t="shared" si="127"/>
        <v>0</v>
      </c>
      <c r="S903" s="915">
        <f t="shared" ref="S903:S966" si="133">G903+I903+K903+M903+E903+O903+Q903</f>
        <v>0</v>
      </c>
      <c r="T903" s="911">
        <f t="shared" ref="T903:T966" si="134">S903*C903</f>
        <v>0</v>
      </c>
    </row>
    <row r="904" spans="1:20" ht="250.5" hidden="1" customHeight="1">
      <c r="A904" s="905"/>
      <c r="B904" s="906" t="s">
        <v>5778</v>
      </c>
      <c r="C904" s="959">
        <f>Elec.Data!K1034</f>
        <v>961.2</v>
      </c>
      <c r="D904" s="908"/>
      <c r="E904" s="919"/>
      <c r="F904" s="1053">
        <f t="shared" si="129"/>
        <v>0</v>
      </c>
      <c r="G904" s="919"/>
      <c r="H904" s="914">
        <f t="shared" si="130"/>
        <v>0</v>
      </c>
      <c r="I904" s="919"/>
      <c r="J904" s="914">
        <f t="shared" si="131"/>
        <v>0</v>
      </c>
      <c r="K904" s="919"/>
      <c r="L904" s="914">
        <f t="shared" si="132"/>
        <v>0</v>
      </c>
      <c r="M904" s="919"/>
      <c r="N904" s="914">
        <f t="shared" si="128"/>
        <v>0</v>
      </c>
      <c r="O904" s="914"/>
      <c r="P904" s="914">
        <f t="shared" si="126"/>
        <v>0</v>
      </c>
      <c r="Q904" s="914"/>
      <c r="R904" s="914">
        <f t="shared" si="127"/>
        <v>0</v>
      </c>
      <c r="S904" s="915">
        <f t="shared" si="133"/>
        <v>0</v>
      </c>
      <c r="T904" s="911">
        <f t="shared" si="134"/>
        <v>0</v>
      </c>
    </row>
    <row r="905" spans="1:20" ht="250.5" hidden="1" customHeight="1">
      <c r="A905" s="905"/>
      <c r="B905" s="906" t="s">
        <v>6695</v>
      </c>
      <c r="C905" s="959">
        <f>Elec.Data!K1095</f>
        <v>707.47</v>
      </c>
      <c r="D905" s="908" t="s">
        <v>1393</v>
      </c>
      <c r="E905" s="919"/>
      <c r="F905" s="1053">
        <f t="shared" si="129"/>
        <v>0</v>
      </c>
      <c r="G905" s="919"/>
      <c r="H905" s="914">
        <f t="shared" si="130"/>
        <v>0</v>
      </c>
      <c r="I905" s="919"/>
      <c r="J905" s="914">
        <f t="shared" si="131"/>
        <v>0</v>
      </c>
      <c r="K905" s="919"/>
      <c r="L905" s="914">
        <f t="shared" si="132"/>
        <v>0</v>
      </c>
      <c r="M905" s="919"/>
      <c r="N905" s="914">
        <f t="shared" si="128"/>
        <v>0</v>
      </c>
      <c r="O905" s="914"/>
      <c r="P905" s="914">
        <f t="shared" si="126"/>
        <v>0</v>
      </c>
      <c r="Q905" s="914"/>
      <c r="R905" s="914">
        <f t="shared" si="127"/>
        <v>0</v>
      </c>
      <c r="S905" s="915">
        <f t="shared" si="133"/>
        <v>0</v>
      </c>
      <c r="T905" s="911">
        <f t="shared" si="134"/>
        <v>0</v>
      </c>
    </row>
    <row r="906" spans="1:20" ht="250.5" hidden="1" customHeight="1">
      <c r="A906" s="905"/>
      <c r="B906" s="906" t="s">
        <v>6696</v>
      </c>
      <c r="C906" s="959">
        <f>Elec.Data!K146</f>
        <v>869.5</v>
      </c>
      <c r="D906" s="908" t="s">
        <v>1393</v>
      </c>
      <c r="E906" s="919"/>
      <c r="F906" s="1053">
        <f t="shared" si="129"/>
        <v>0</v>
      </c>
      <c r="G906" s="919"/>
      <c r="H906" s="914">
        <f t="shared" si="130"/>
        <v>0</v>
      </c>
      <c r="I906" s="919"/>
      <c r="J906" s="914">
        <f t="shared" si="131"/>
        <v>0</v>
      </c>
      <c r="K906" s="919"/>
      <c r="L906" s="914">
        <f t="shared" si="132"/>
        <v>0</v>
      </c>
      <c r="M906" s="919"/>
      <c r="N906" s="914">
        <f t="shared" si="128"/>
        <v>0</v>
      </c>
      <c r="O906" s="914"/>
      <c r="P906" s="914">
        <f t="shared" ref="P906:P938" si="135">O906*C906</f>
        <v>0</v>
      </c>
      <c r="Q906" s="914"/>
      <c r="R906" s="914">
        <f t="shared" si="127"/>
        <v>0</v>
      </c>
      <c r="S906" s="915">
        <f t="shared" si="133"/>
        <v>0</v>
      </c>
      <c r="T906" s="911">
        <f t="shared" si="134"/>
        <v>0</v>
      </c>
    </row>
    <row r="907" spans="1:20" ht="250.5" hidden="1" customHeight="1">
      <c r="A907" s="905"/>
      <c r="B907" s="906" t="s">
        <v>6697</v>
      </c>
      <c r="C907" s="959">
        <f>Elec.Data!K1056</f>
        <v>1008.2</v>
      </c>
      <c r="D907" s="991" t="s">
        <v>1763</v>
      </c>
      <c r="E907" s="919"/>
      <c r="F907" s="1053">
        <f t="shared" si="129"/>
        <v>0</v>
      </c>
      <c r="G907" s="919"/>
      <c r="H907" s="914">
        <f t="shared" si="130"/>
        <v>0</v>
      </c>
      <c r="I907" s="919"/>
      <c r="J907" s="914">
        <f t="shared" si="131"/>
        <v>0</v>
      </c>
      <c r="K907" s="919"/>
      <c r="L907" s="914">
        <f t="shared" si="132"/>
        <v>0</v>
      </c>
      <c r="M907" s="919"/>
      <c r="N907" s="914">
        <f t="shared" si="128"/>
        <v>0</v>
      </c>
      <c r="O907" s="914"/>
      <c r="P907" s="914">
        <f t="shared" si="135"/>
        <v>0</v>
      </c>
      <c r="Q907" s="914"/>
      <c r="R907" s="914">
        <f t="shared" ref="R907:R971" si="136">Q907*C907</f>
        <v>0</v>
      </c>
      <c r="S907" s="915">
        <f t="shared" si="133"/>
        <v>0</v>
      </c>
      <c r="T907" s="911">
        <f t="shared" si="134"/>
        <v>0</v>
      </c>
    </row>
    <row r="908" spans="1:20" ht="250.5" hidden="1" customHeight="1">
      <c r="A908" s="905"/>
      <c r="B908" s="924" t="s">
        <v>4113</v>
      </c>
      <c r="C908" s="959">
        <f>DATA!K3792</f>
        <v>3879.13</v>
      </c>
      <c r="D908" s="908" t="s">
        <v>2273</v>
      </c>
      <c r="E908" s="919"/>
      <c r="F908" s="1053">
        <f t="shared" si="129"/>
        <v>0</v>
      </c>
      <c r="G908" s="919"/>
      <c r="H908" s="914">
        <f t="shared" si="130"/>
        <v>0</v>
      </c>
      <c r="I908" s="919"/>
      <c r="J908" s="914">
        <f t="shared" si="131"/>
        <v>0</v>
      </c>
      <c r="K908" s="919"/>
      <c r="L908" s="914">
        <f t="shared" si="132"/>
        <v>0</v>
      </c>
      <c r="M908" s="919"/>
      <c r="N908" s="914">
        <f t="shared" si="128"/>
        <v>0</v>
      </c>
      <c r="O908" s="914"/>
      <c r="P908" s="914">
        <f t="shared" si="135"/>
        <v>0</v>
      </c>
      <c r="Q908" s="914"/>
      <c r="R908" s="914">
        <f t="shared" si="136"/>
        <v>0</v>
      </c>
      <c r="S908" s="915">
        <f t="shared" si="133"/>
        <v>0</v>
      </c>
      <c r="T908" s="911">
        <f t="shared" si="134"/>
        <v>0</v>
      </c>
    </row>
    <row r="909" spans="1:20" ht="250.5" hidden="1" customHeight="1">
      <c r="A909" s="905"/>
      <c r="B909" s="924" t="s">
        <v>4091</v>
      </c>
      <c r="C909" s="959">
        <f>DATA!X3668</f>
        <v>6120.22</v>
      </c>
      <c r="D909" s="908" t="s">
        <v>2273</v>
      </c>
      <c r="E909" s="919"/>
      <c r="F909" s="1053">
        <f t="shared" si="129"/>
        <v>0</v>
      </c>
      <c r="G909" s="919"/>
      <c r="H909" s="914">
        <f t="shared" si="130"/>
        <v>0</v>
      </c>
      <c r="I909" s="919"/>
      <c r="J909" s="914">
        <f t="shared" si="131"/>
        <v>0</v>
      </c>
      <c r="K909" s="919"/>
      <c r="L909" s="914">
        <f t="shared" si="132"/>
        <v>0</v>
      </c>
      <c r="M909" s="919"/>
      <c r="N909" s="914">
        <f t="shared" si="128"/>
        <v>0</v>
      </c>
      <c r="O909" s="914"/>
      <c r="P909" s="914">
        <f t="shared" si="135"/>
        <v>0</v>
      </c>
      <c r="Q909" s="914"/>
      <c r="R909" s="914">
        <f t="shared" si="136"/>
        <v>0</v>
      </c>
      <c r="S909" s="915">
        <f t="shared" si="133"/>
        <v>0</v>
      </c>
      <c r="T909" s="911">
        <f t="shared" si="134"/>
        <v>0</v>
      </c>
    </row>
    <row r="910" spans="1:20" ht="250.5" hidden="1" customHeight="1">
      <c r="A910" s="905"/>
      <c r="B910" s="924" t="s">
        <v>4112</v>
      </c>
      <c r="C910" s="959">
        <f>DATA!X3696</f>
        <v>7903.15</v>
      </c>
      <c r="D910" s="908" t="s">
        <v>2273</v>
      </c>
      <c r="E910" s="919"/>
      <c r="F910" s="1053">
        <f t="shared" si="129"/>
        <v>0</v>
      </c>
      <c r="G910" s="919"/>
      <c r="H910" s="914">
        <f t="shared" si="130"/>
        <v>0</v>
      </c>
      <c r="I910" s="919"/>
      <c r="J910" s="914">
        <f t="shared" si="131"/>
        <v>0</v>
      </c>
      <c r="K910" s="919"/>
      <c r="L910" s="914">
        <f t="shared" si="132"/>
        <v>0</v>
      </c>
      <c r="M910" s="919"/>
      <c r="N910" s="914">
        <f t="shared" ref="N910:N934" si="137">M910*C910</f>
        <v>0</v>
      </c>
      <c r="O910" s="914"/>
      <c r="P910" s="914">
        <f t="shared" si="135"/>
        <v>0</v>
      </c>
      <c r="Q910" s="914"/>
      <c r="R910" s="914">
        <f t="shared" si="136"/>
        <v>0</v>
      </c>
      <c r="S910" s="915">
        <f t="shared" si="133"/>
        <v>0</v>
      </c>
      <c r="T910" s="911">
        <f t="shared" si="134"/>
        <v>0</v>
      </c>
    </row>
    <row r="911" spans="1:20" ht="250.5" hidden="1" customHeight="1">
      <c r="A911" s="905"/>
      <c r="B911" s="924" t="s">
        <v>4078</v>
      </c>
      <c r="C911" s="959">
        <f>DATA!K3837</f>
        <v>1373.12</v>
      </c>
      <c r="D911" s="991" t="s">
        <v>2273</v>
      </c>
      <c r="E911" s="919"/>
      <c r="F911" s="1053">
        <f t="shared" si="129"/>
        <v>0</v>
      </c>
      <c r="G911" s="919"/>
      <c r="H911" s="914">
        <f t="shared" si="130"/>
        <v>0</v>
      </c>
      <c r="I911" s="919"/>
      <c r="J911" s="914">
        <f t="shared" si="131"/>
        <v>0</v>
      </c>
      <c r="K911" s="919"/>
      <c r="L911" s="914">
        <f t="shared" si="132"/>
        <v>0</v>
      </c>
      <c r="M911" s="919"/>
      <c r="N911" s="914">
        <f t="shared" si="137"/>
        <v>0</v>
      </c>
      <c r="O911" s="914"/>
      <c r="P911" s="914">
        <f t="shared" si="135"/>
        <v>0</v>
      </c>
      <c r="Q911" s="914"/>
      <c r="R911" s="914">
        <f t="shared" si="136"/>
        <v>0</v>
      </c>
      <c r="S911" s="915">
        <f t="shared" si="133"/>
        <v>0</v>
      </c>
      <c r="T911" s="911">
        <f t="shared" si="134"/>
        <v>0</v>
      </c>
    </row>
    <row r="912" spans="1:20" ht="250.5" hidden="1" customHeight="1">
      <c r="A912" s="905"/>
      <c r="B912" s="949" t="s">
        <v>4077</v>
      </c>
      <c r="C912" s="959">
        <f>DATA!K3814</f>
        <v>1662.12</v>
      </c>
      <c r="D912" s="991" t="s">
        <v>2273</v>
      </c>
      <c r="E912" s="919"/>
      <c r="F912" s="1053">
        <f t="shared" si="129"/>
        <v>0</v>
      </c>
      <c r="G912" s="919"/>
      <c r="H912" s="914">
        <f t="shared" si="130"/>
        <v>0</v>
      </c>
      <c r="I912" s="919"/>
      <c r="J912" s="914">
        <f t="shared" si="131"/>
        <v>0</v>
      </c>
      <c r="K912" s="919"/>
      <c r="L912" s="914">
        <f t="shared" si="132"/>
        <v>0</v>
      </c>
      <c r="M912" s="919"/>
      <c r="N912" s="914">
        <f t="shared" si="137"/>
        <v>0</v>
      </c>
      <c r="O912" s="914"/>
      <c r="P912" s="914">
        <f t="shared" si="135"/>
        <v>0</v>
      </c>
      <c r="Q912" s="914"/>
      <c r="R912" s="914">
        <f t="shared" si="136"/>
        <v>0</v>
      </c>
      <c r="S912" s="915">
        <f t="shared" si="133"/>
        <v>0</v>
      </c>
      <c r="T912" s="911">
        <f t="shared" si="134"/>
        <v>0</v>
      </c>
    </row>
    <row r="913" spans="1:114" ht="408" customHeight="1">
      <c r="A913" s="905"/>
      <c r="B913" s="906" t="s">
        <v>7068</v>
      </c>
      <c r="C913" s="959">
        <v>1858</v>
      </c>
      <c r="D913" s="961" t="s">
        <v>1393</v>
      </c>
      <c r="E913" s="914">
        <f>DSP!H2273</f>
        <v>9</v>
      </c>
      <c r="F913" s="1053">
        <f t="shared" si="129"/>
        <v>16722</v>
      </c>
      <c r="G913" s="914"/>
      <c r="H913" s="914">
        <f t="shared" si="130"/>
        <v>0</v>
      </c>
      <c r="I913" s="914"/>
      <c r="J913" s="914">
        <f t="shared" si="131"/>
        <v>0</v>
      </c>
      <c r="K913" s="914"/>
      <c r="L913" s="914">
        <f t="shared" si="132"/>
        <v>0</v>
      </c>
      <c r="M913" s="914"/>
      <c r="N913" s="914">
        <f t="shared" si="137"/>
        <v>0</v>
      </c>
      <c r="O913" s="914"/>
      <c r="P913" s="914">
        <f t="shared" si="135"/>
        <v>0</v>
      </c>
      <c r="Q913" s="914"/>
      <c r="R913" s="914">
        <f t="shared" si="136"/>
        <v>0</v>
      </c>
      <c r="S913" s="915">
        <f t="shared" si="133"/>
        <v>9</v>
      </c>
      <c r="T913" s="911">
        <f t="shared" si="134"/>
        <v>16722</v>
      </c>
    </row>
    <row r="914" spans="1:114" ht="250.5" hidden="1" customHeight="1">
      <c r="A914" s="905"/>
      <c r="B914" s="917" t="s">
        <v>4124</v>
      </c>
      <c r="C914" s="913">
        <f>Elec.Data!K1265</f>
        <v>0</v>
      </c>
      <c r="D914" s="908" t="s">
        <v>1393</v>
      </c>
      <c r="E914" s="919"/>
      <c r="F914" s="1053">
        <f t="shared" si="129"/>
        <v>0</v>
      </c>
      <c r="G914" s="919"/>
      <c r="H914" s="914">
        <f t="shared" si="130"/>
        <v>0</v>
      </c>
      <c r="I914" s="919"/>
      <c r="J914" s="914">
        <f t="shared" si="131"/>
        <v>0</v>
      </c>
      <c r="K914" s="919"/>
      <c r="L914" s="914">
        <f t="shared" si="132"/>
        <v>0</v>
      </c>
      <c r="M914" s="919"/>
      <c r="N914" s="914">
        <f t="shared" si="137"/>
        <v>0</v>
      </c>
      <c r="O914" s="914"/>
      <c r="P914" s="914">
        <f t="shared" si="135"/>
        <v>0</v>
      </c>
      <c r="Q914" s="914"/>
      <c r="R914" s="914">
        <f t="shared" si="136"/>
        <v>0</v>
      </c>
      <c r="S914" s="915">
        <f t="shared" si="133"/>
        <v>0</v>
      </c>
      <c r="T914" s="911">
        <f t="shared" si="134"/>
        <v>0</v>
      </c>
    </row>
    <row r="915" spans="1:114" ht="250.5" hidden="1" customHeight="1">
      <c r="A915" s="905"/>
      <c r="B915" s="917" t="s">
        <v>4374</v>
      </c>
      <c r="C915" s="913">
        <v>8100</v>
      </c>
      <c r="D915" s="908" t="s">
        <v>1393</v>
      </c>
      <c r="E915" s="919"/>
      <c r="F915" s="1053">
        <f t="shared" si="129"/>
        <v>0</v>
      </c>
      <c r="G915" s="919"/>
      <c r="H915" s="914">
        <f t="shared" si="130"/>
        <v>0</v>
      </c>
      <c r="I915" s="919"/>
      <c r="J915" s="914">
        <f t="shared" si="131"/>
        <v>0</v>
      </c>
      <c r="K915" s="919"/>
      <c r="L915" s="914">
        <f t="shared" si="132"/>
        <v>0</v>
      </c>
      <c r="M915" s="919"/>
      <c r="N915" s="914">
        <f t="shared" si="137"/>
        <v>0</v>
      </c>
      <c r="O915" s="914"/>
      <c r="P915" s="914">
        <f t="shared" si="135"/>
        <v>0</v>
      </c>
      <c r="Q915" s="914"/>
      <c r="R915" s="914">
        <f t="shared" si="136"/>
        <v>0</v>
      </c>
      <c r="S915" s="915">
        <f t="shared" si="133"/>
        <v>0</v>
      </c>
      <c r="T915" s="911">
        <f t="shared" si="134"/>
        <v>0</v>
      </c>
    </row>
    <row r="916" spans="1:114" ht="250.5" hidden="1" customHeight="1">
      <c r="A916" s="916"/>
      <c r="B916" s="936" t="s">
        <v>4331</v>
      </c>
      <c r="C916" s="1016">
        <v>829</v>
      </c>
      <c r="D916" s="978" t="s">
        <v>1393</v>
      </c>
      <c r="E916" s="919"/>
      <c r="F916" s="1053">
        <f t="shared" si="129"/>
        <v>0</v>
      </c>
      <c r="G916" s="919"/>
      <c r="H916" s="914">
        <f t="shared" si="130"/>
        <v>0</v>
      </c>
      <c r="I916" s="919"/>
      <c r="J916" s="914">
        <f t="shared" si="131"/>
        <v>0</v>
      </c>
      <c r="K916" s="919"/>
      <c r="L916" s="914">
        <f t="shared" si="132"/>
        <v>0</v>
      </c>
      <c r="M916" s="919"/>
      <c r="N916" s="914">
        <f t="shared" si="137"/>
        <v>0</v>
      </c>
      <c r="O916" s="914"/>
      <c r="P916" s="914">
        <f t="shared" si="135"/>
        <v>0</v>
      </c>
      <c r="Q916" s="914"/>
      <c r="R916" s="914">
        <f t="shared" si="136"/>
        <v>0</v>
      </c>
      <c r="S916" s="915">
        <f t="shared" si="133"/>
        <v>0</v>
      </c>
      <c r="T916" s="911">
        <f t="shared" si="134"/>
        <v>0</v>
      </c>
    </row>
    <row r="917" spans="1:114" s="920" customFormat="1" ht="250.5" hidden="1" customHeight="1">
      <c r="A917" s="905"/>
      <c r="B917" s="943" t="s">
        <v>4125</v>
      </c>
      <c r="C917" s="1017">
        <f>Elec.Data!R814</f>
        <v>8869</v>
      </c>
      <c r="D917" s="908" t="s">
        <v>1393</v>
      </c>
      <c r="E917" s="919"/>
      <c r="F917" s="1053">
        <f t="shared" si="129"/>
        <v>0</v>
      </c>
      <c r="G917" s="919"/>
      <c r="H917" s="914">
        <f t="shared" si="130"/>
        <v>0</v>
      </c>
      <c r="I917" s="919"/>
      <c r="J917" s="914">
        <f t="shared" si="131"/>
        <v>0</v>
      </c>
      <c r="K917" s="919"/>
      <c r="L917" s="914">
        <f t="shared" si="132"/>
        <v>0</v>
      </c>
      <c r="M917" s="919"/>
      <c r="N917" s="914">
        <f t="shared" si="137"/>
        <v>0</v>
      </c>
      <c r="O917" s="914"/>
      <c r="P917" s="914">
        <f t="shared" si="135"/>
        <v>0</v>
      </c>
      <c r="Q917" s="914"/>
      <c r="R917" s="914">
        <f t="shared" si="136"/>
        <v>0</v>
      </c>
      <c r="S917" s="915">
        <f t="shared" si="133"/>
        <v>0</v>
      </c>
      <c r="T917" s="911">
        <f t="shared" si="134"/>
        <v>0</v>
      </c>
      <c r="U917" s="1172"/>
      <c r="V917" s="1172"/>
      <c r="W917" s="1172"/>
      <c r="X917" s="1172"/>
      <c r="Y917" s="1172"/>
      <c r="Z917" s="1172"/>
      <c r="AA917" s="1172"/>
      <c r="AB917" s="1172"/>
      <c r="AC917" s="1172"/>
      <c r="AD917" s="1172"/>
      <c r="AE917" s="1172"/>
      <c r="AF917" s="1172"/>
      <c r="AG917" s="1172"/>
      <c r="AH917" s="1172"/>
      <c r="AI917" s="1172"/>
      <c r="AJ917" s="1172"/>
      <c r="AK917" s="1172"/>
      <c r="AL917" s="1172"/>
      <c r="AM917" s="1172"/>
      <c r="AN917" s="1172"/>
      <c r="AO917" s="1172"/>
      <c r="AP917" s="1172"/>
      <c r="AQ917" s="1172"/>
      <c r="AR917" s="1172"/>
      <c r="AS917" s="1172"/>
      <c r="AT917" s="1172"/>
      <c r="AU917" s="1172"/>
      <c r="AV917" s="1172"/>
      <c r="AW917" s="1172"/>
      <c r="AX917" s="1172"/>
      <c r="AY917" s="1172"/>
      <c r="AZ917" s="1172"/>
      <c r="BA917" s="1172"/>
      <c r="BB917" s="1172"/>
      <c r="BC917" s="1172"/>
      <c r="BD917" s="1172"/>
      <c r="BE917" s="1172"/>
      <c r="BF917" s="1172"/>
      <c r="BG917" s="1172"/>
      <c r="BH917" s="1172"/>
      <c r="BI917" s="1172"/>
      <c r="BJ917" s="1172"/>
      <c r="BK917" s="1172"/>
      <c r="BL917" s="1172"/>
      <c r="BM917" s="1172"/>
      <c r="BN917" s="1172"/>
      <c r="BO917" s="1172"/>
      <c r="BP917" s="1172"/>
      <c r="BQ917" s="1172"/>
      <c r="BR917" s="1172"/>
      <c r="BS917" s="1172"/>
      <c r="BT917" s="1172"/>
      <c r="BU917" s="1172"/>
      <c r="BV917" s="1172"/>
      <c r="BW917" s="1172"/>
      <c r="BX917" s="1172"/>
      <c r="BY917" s="1172"/>
      <c r="BZ917" s="1172"/>
      <c r="CA917" s="1172"/>
      <c r="CB917" s="1172"/>
      <c r="CC917" s="1172"/>
      <c r="CD917" s="1172"/>
      <c r="CE917" s="1172"/>
      <c r="CF917" s="1172"/>
      <c r="CG917" s="1172"/>
      <c r="CH917" s="1172"/>
      <c r="CI917" s="1172"/>
      <c r="CJ917" s="1172"/>
      <c r="CK917" s="1172"/>
      <c r="CL917" s="1172"/>
      <c r="CM917" s="1172"/>
      <c r="CN917" s="1172"/>
      <c r="CO917" s="1172"/>
      <c r="CP917" s="1172"/>
      <c r="CQ917" s="1172"/>
      <c r="CR917" s="1172"/>
      <c r="CS917" s="1172"/>
      <c r="CT917" s="1172"/>
      <c r="CU917" s="1172"/>
      <c r="CV917" s="1172"/>
      <c r="CW917" s="1172"/>
      <c r="CX917" s="1172"/>
      <c r="CY917" s="1172"/>
      <c r="CZ917" s="1172"/>
      <c r="DA917" s="1172"/>
      <c r="DB917" s="1172"/>
      <c r="DC917" s="1172"/>
      <c r="DD917" s="1172"/>
      <c r="DE917" s="1172"/>
      <c r="DF917" s="1172"/>
      <c r="DG917" s="1172"/>
      <c r="DH917" s="1172"/>
      <c r="DI917" s="1172"/>
      <c r="DJ917" s="1172"/>
    </row>
    <row r="918" spans="1:114" ht="250.5" hidden="1" customHeight="1">
      <c r="A918" s="916">
        <v>21.6</v>
      </c>
      <c r="B918" s="925" t="s">
        <v>4296</v>
      </c>
      <c r="C918" s="918"/>
      <c r="D918" s="898"/>
      <c r="E918" s="919"/>
      <c r="F918" s="1053">
        <f t="shared" si="129"/>
        <v>0</v>
      </c>
      <c r="G918" s="919"/>
      <c r="H918" s="914">
        <f t="shared" si="130"/>
        <v>0</v>
      </c>
      <c r="I918" s="919"/>
      <c r="J918" s="914">
        <f t="shared" si="131"/>
        <v>0</v>
      </c>
      <c r="K918" s="919"/>
      <c r="L918" s="914">
        <f t="shared" si="132"/>
        <v>0</v>
      </c>
      <c r="M918" s="919"/>
      <c r="N918" s="914">
        <f t="shared" si="137"/>
        <v>0</v>
      </c>
      <c r="O918" s="914"/>
      <c r="P918" s="914">
        <f t="shared" si="135"/>
        <v>0</v>
      </c>
      <c r="Q918" s="914"/>
      <c r="R918" s="914">
        <f t="shared" si="136"/>
        <v>0</v>
      </c>
      <c r="S918" s="915">
        <f t="shared" si="133"/>
        <v>0</v>
      </c>
      <c r="T918" s="911">
        <f t="shared" si="134"/>
        <v>0</v>
      </c>
    </row>
    <row r="919" spans="1:114" ht="250.5" hidden="1" customHeight="1">
      <c r="A919" s="975"/>
      <c r="B919" s="917" t="s">
        <v>570</v>
      </c>
      <c r="C919" s="918">
        <f>DATA!K3950</f>
        <v>2809.79</v>
      </c>
      <c r="D919" s="898" t="s">
        <v>1393</v>
      </c>
      <c r="E919" s="919"/>
      <c r="F919" s="1053">
        <f t="shared" si="129"/>
        <v>0</v>
      </c>
      <c r="G919" s="919"/>
      <c r="H919" s="914">
        <f t="shared" si="130"/>
        <v>0</v>
      </c>
      <c r="I919" s="919"/>
      <c r="J919" s="914">
        <f t="shared" si="131"/>
        <v>0</v>
      </c>
      <c r="K919" s="919"/>
      <c r="L919" s="914">
        <f t="shared" si="132"/>
        <v>0</v>
      </c>
      <c r="M919" s="919"/>
      <c r="N919" s="914">
        <f t="shared" si="137"/>
        <v>0</v>
      </c>
      <c r="O919" s="914"/>
      <c r="P919" s="914">
        <f t="shared" si="135"/>
        <v>0</v>
      </c>
      <c r="Q919" s="914"/>
      <c r="R919" s="914">
        <f t="shared" si="136"/>
        <v>0</v>
      </c>
      <c r="S919" s="915">
        <f t="shared" si="133"/>
        <v>0</v>
      </c>
      <c r="T919" s="911">
        <f t="shared" si="134"/>
        <v>0</v>
      </c>
    </row>
    <row r="920" spans="1:114" ht="250.5" hidden="1" customHeight="1">
      <c r="A920" s="946"/>
      <c r="B920" s="906" t="s">
        <v>3780</v>
      </c>
      <c r="C920" s="913">
        <f>DATA!K3983</f>
        <v>3379.5</v>
      </c>
      <c r="D920" s="908" t="s">
        <v>1393</v>
      </c>
      <c r="E920" s="919"/>
      <c r="F920" s="1053">
        <f t="shared" si="129"/>
        <v>0</v>
      </c>
      <c r="G920" s="919"/>
      <c r="H920" s="914">
        <f t="shared" si="130"/>
        <v>0</v>
      </c>
      <c r="I920" s="919"/>
      <c r="J920" s="914">
        <f t="shared" si="131"/>
        <v>0</v>
      </c>
      <c r="K920" s="919"/>
      <c r="L920" s="914">
        <f t="shared" si="132"/>
        <v>0</v>
      </c>
      <c r="M920" s="919"/>
      <c r="N920" s="914">
        <f t="shared" si="137"/>
        <v>0</v>
      </c>
      <c r="O920" s="914"/>
      <c r="P920" s="914">
        <f t="shared" si="135"/>
        <v>0</v>
      </c>
      <c r="Q920" s="914"/>
      <c r="R920" s="914">
        <f t="shared" si="136"/>
        <v>0</v>
      </c>
      <c r="S920" s="915">
        <f t="shared" si="133"/>
        <v>0</v>
      </c>
      <c r="T920" s="911">
        <f t="shared" si="134"/>
        <v>0</v>
      </c>
    </row>
    <row r="921" spans="1:114" ht="250.5" hidden="1" customHeight="1">
      <c r="A921" s="946"/>
      <c r="B921" s="906" t="s">
        <v>3684</v>
      </c>
      <c r="C921" s="913">
        <f>DATA!K3966</f>
        <v>2770.94</v>
      </c>
      <c r="D921" s="908"/>
      <c r="E921" s="919"/>
      <c r="F921" s="1053">
        <f t="shared" si="129"/>
        <v>0</v>
      </c>
      <c r="G921" s="919"/>
      <c r="H921" s="914">
        <f t="shared" si="130"/>
        <v>0</v>
      </c>
      <c r="I921" s="919"/>
      <c r="J921" s="914">
        <f t="shared" si="131"/>
        <v>0</v>
      </c>
      <c r="K921" s="919"/>
      <c r="L921" s="914">
        <f t="shared" si="132"/>
        <v>0</v>
      </c>
      <c r="M921" s="919"/>
      <c r="N921" s="914">
        <f t="shared" si="137"/>
        <v>0</v>
      </c>
      <c r="O921" s="914"/>
      <c r="P921" s="914">
        <f t="shared" si="135"/>
        <v>0</v>
      </c>
      <c r="Q921" s="914"/>
      <c r="R921" s="914">
        <f t="shared" si="136"/>
        <v>0</v>
      </c>
      <c r="S921" s="915">
        <f t="shared" si="133"/>
        <v>0</v>
      </c>
      <c r="T921" s="911">
        <f t="shared" si="134"/>
        <v>0</v>
      </c>
    </row>
    <row r="922" spans="1:114" ht="250.5" hidden="1" customHeight="1">
      <c r="A922" s="946"/>
      <c r="B922" s="906" t="s">
        <v>1895</v>
      </c>
      <c r="C922" s="921">
        <f>DATA!K3932</f>
        <v>2832.98</v>
      </c>
      <c r="D922" s="908" t="s">
        <v>1393</v>
      </c>
      <c r="E922" s="919"/>
      <c r="F922" s="1053">
        <f t="shared" si="129"/>
        <v>0</v>
      </c>
      <c r="G922" s="919"/>
      <c r="H922" s="914">
        <f t="shared" si="130"/>
        <v>0</v>
      </c>
      <c r="I922" s="919"/>
      <c r="J922" s="914">
        <f t="shared" si="131"/>
        <v>0</v>
      </c>
      <c r="K922" s="919"/>
      <c r="L922" s="914">
        <f t="shared" si="132"/>
        <v>0</v>
      </c>
      <c r="M922" s="919"/>
      <c r="N922" s="914">
        <f t="shared" si="137"/>
        <v>0</v>
      </c>
      <c r="O922" s="914"/>
      <c r="P922" s="914">
        <f t="shared" si="135"/>
        <v>0</v>
      </c>
      <c r="Q922" s="914"/>
      <c r="R922" s="914">
        <f t="shared" si="136"/>
        <v>0</v>
      </c>
      <c r="S922" s="915">
        <f t="shared" si="133"/>
        <v>0</v>
      </c>
      <c r="T922" s="911">
        <f t="shared" si="134"/>
        <v>0</v>
      </c>
    </row>
    <row r="923" spans="1:114" ht="250.5" customHeight="1">
      <c r="A923" s="946"/>
      <c r="B923" s="906" t="s">
        <v>4695</v>
      </c>
      <c r="C923" s="906">
        <f>'Print Data'!F2021</f>
        <v>705</v>
      </c>
      <c r="D923" s="908" t="s">
        <v>1393</v>
      </c>
      <c r="E923" s="914">
        <f>DSP!H2121</f>
        <v>36</v>
      </c>
      <c r="F923" s="1053">
        <f t="shared" si="129"/>
        <v>25380</v>
      </c>
      <c r="G923" s="914"/>
      <c r="H923" s="914">
        <f t="shared" si="130"/>
        <v>0</v>
      </c>
      <c r="I923" s="914"/>
      <c r="J923" s="914">
        <f t="shared" si="131"/>
        <v>0</v>
      </c>
      <c r="K923" s="914"/>
      <c r="L923" s="914">
        <f t="shared" si="132"/>
        <v>0</v>
      </c>
      <c r="M923" s="914"/>
      <c r="N923" s="914">
        <f t="shared" si="137"/>
        <v>0</v>
      </c>
      <c r="O923" s="914"/>
      <c r="P923" s="914">
        <f t="shared" si="135"/>
        <v>0</v>
      </c>
      <c r="Q923" s="914"/>
      <c r="R923" s="914">
        <f t="shared" si="136"/>
        <v>0</v>
      </c>
      <c r="S923" s="915">
        <f t="shared" si="133"/>
        <v>36</v>
      </c>
      <c r="T923" s="911">
        <f t="shared" si="134"/>
        <v>25380</v>
      </c>
    </row>
    <row r="924" spans="1:114" ht="250.5" customHeight="1">
      <c r="A924" s="946"/>
      <c r="B924" s="906" t="s">
        <v>4661</v>
      </c>
      <c r="C924" s="906">
        <f>Elec.Data!K304</f>
        <v>529.20000000000005</v>
      </c>
      <c r="D924" s="908" t="s">
        <v>1393</v>
      </c>
      <c r="E924" s="914">
        <f>DSP!H2098</f>
        <v>12</v>
      </c>
      <c r="F924" s="1053">
        <f t="shared" si="129"/>
        <v>6350.4</v>
      </c>
      <c r="G924" s="914"/>
      <c r="H924" s="914">
        <f t="shared" si="130"/>
        <v>0</v>
      </c>
      <c r="I924" s="914"/>
      <c r="J924" s="914">
        <f t="shared" si="131"/>
        <v>0</v>
      </c>
      <c r="K924" s="914"/>
      <c r="L924" s="914">
        <f t="shared" si="132"/>
        <v>0</v>
      </c>
      <c r="M924" s="914"/>
      <c r="N924" s="914">
        <f t="shared" si="137"/>
        <v>0</v>
      </c>
      <c r="O924" s="914"/>
      <c r="P924" s="914">
        <f t="shared" si="135"/>
        <v>0</v>
      </c>
      <c r="Q924" s="914"/>
      <c r="R924" s="914">
        <f t="shared" si="136"/>
        <v>0</v>
      </c>
      <c r="S924" s="915">
        <f t="shared" si="133"/>
        <v>12</v>
      </c>
      <c r="T924" s="911">
        <f t="shared" si="134"/>
        <v>6350.4</v>
      </c>
    </row>
    <row r="925" spans="1:114" ht="250.5" customHeight="1">
      <c r="A925" s="946"/>
      <c r="B925" s="906" t="s">
        <v>6528</v>
      </c>
      <c r="C925" s="1203">
        <f>'Print Data'!F2014</f>
        <v>3460</v>
      </c>
      <c r="D925" s="908" t="s">
        <v>1393</v>
      </c>
      <c r="E925" s="914">
        <f>DSP!H2101</f>
        <v>4</v>
      </c>
      <c r="F925" s="1053">
        <f t="shared" si="129"/>
        <v>13840</v>
      </c>
      <c r="G925" s="914"/>
      <c r="H925" s="914">
        <f t="shared" si="130"/>
        <v>0</v>
      </c>
      <c r="I925" s="914"/>
      <c r="J925" s="914">
        <f t="shared" si="131"/>
        <v>0</v>
      </c>
      <c r="K925" s="914"/>
      <c r="L925" s="914">
        <f t="shared" si="132"/>
        <v>0</v>
      </c>
      <c r="M925" s="914"/>
      <c r="N925" s="914">
        <f t="shared" si="137"/>
        <v>0</v>
      </c>
      <c r="O925" s="914"/>
      <c r="P925" s="914">
        <f t="shared" si="135"/>
        <v>0</v>
      </c>
      <c r="Q925" s="914"/>
      <c r="R925" s="914">
        <f t="shared" si="136"/>
        <v>0</v>
      </c>
      <c r="S925" s="915">
        <f t="shared" si="133"/>
        <v>4</v>
      </c>
      <c r="T925" s="911">
        <f t="shared" si="134"/>
        <v>13840</v>
      </c>
    </row>
    <row r="926" spans="1:114" ht="250.5" customHeight="1">
      <c r="A926" s="946"/>
      <c r="B926" s="906" t="s">
        <v>6698</v>
      </c>
      <c r="C926" s="906">
        <v>135</v>
      </c>
      <c r="D926" s="908" t="s">
        <v>1393</v>
      </c>
      <c r="E926" s="914">
        <f>DSP!H2145</f>
        <v>33</v>
      </c>
      <c r="F926" s="1053">
        <f>E926*C926</f>
        <v>4455</v>
      </c>
      <c r="G926" s="914"/>
      <c r="H926" s="914">
        <f>G926*C926</f>
        <v>0</v>
      </c>
      <c r="I926" s="914"/>
      <c r="J926" s="914">
        <f>I926*C926</f>
        <v>0</v>
      </c>
      <c r="K926" s="914"/>
      <c r="L926" s="914">
        <f>K926*C926</f>
        <v>0</v>
      </c>
      <c r="M926" s="914"/>
      <c r="N926" s="914">
        <f>M926*C926</f>
        <v>0</v>
      </c>
      <c r="O926" s="914"/>
      <c r="P926" s="914">
        <f>O926*C926</f>
        <v>0</v>
      </c>
      <c r="Q926" s="914"/>
      <c r="R926" s="914">
        <f>Q926*C926</f>
        <v>0</v>
      </c>
      <c r="S926" s="915">
        <f>G926+I926+K926+M926+E926+O926+Q926</f>
        <v>33</v>
      </c>
      <c r="T926" s="911">
        <f>S926*C926</f>
        <v>4455</v>
      </c>
    </row>
    <row r="927" spans="1:114" ht="250.5" customHeight="1">
      <c r="A927" s="946"/>
      <c r="B927" s="906" t="s">
        <v>7057</v>
      </c>
      <c r="C927" s="1203">
        <v>170</v>
      </c>
      <c r="D927" s="908" t="str">
        <f>D925</f>
        <v>Each</v>
      </c>
      <c r="E927" s="914">
        <f>DSP!H2149</f>
        <v>12</v>
      </c>
      <c r="F927" s="1053">
        <f t="shared" si="129"/>
        <v>2040</v>
      </c>
      <c r="G927" s="914"/>
      <c r="H927" s="914">
        <f t="shared" si="130"/>
        <v>0</v>
      </c>
      <c r="I927" s="914"/>
      <c r="J927" s="914">
        <f t="shared" si="131"/>
        <v>0</v>
      </c>
      <c r="K927" s="914"/>
      <c r="L927" s="914">
        <f t="shared" si="132"/>
        <v>0</v>
      </c>
      <c r="M927" s="914"/>
      <c r="N927" s="914">
        <f t="shared" si="137"/>
        <v>0</v>
      </c>
      <c r="O927" s="914"/>
      <c r="P927" s="914">
        <f t="shared" si="135"/>
        <v>0</v>
      </c>
      <c r="Q927" s="914"/>
      <c r="R927" s="914">
        <f t="shared" si="136"/>
        <v>0</v>
      </c>
      <c r="S927" s="915">
        <f t="shared" si="133"/>
        <v>12</v>
      </c>
      <c r="T927" s="911">
        <f t="shared" si="134"/>
        <v>2040</v>
      </c>
    </row>
    <row r="928" spans="1:114" ht="408" customHeight="1">
      <c r="A928" s="946"/>
      <c r="B928" s="906" t="s">
        <v>6996</v>
      </c>
      <c r="C928" s="1203">
        <f>door!F79</f>
        <v>3508.67</v>
      </c>
      <c r="D928" s="908" t="str">
        <f>D927</f>
        <v>Each</v>
      </c>
      <c r="E928" s="914"/>
      <c r="F928" s="1053"/>
      <c r="G928" s="914"/>
      <c r="H928" s="914"/>
      <c r="I928" s="914"/>
      <c r="J928" s="914"/>
      <c r="K928" s="914"/>
      <c r="L928" s="914"/>
      <c r="M928" s="914"/>
      <c r="N928" s="914"/>
      <c r="O928" s="914">
        <v>2</v>
      </c>
      <c r="P928" s="914">
        <f t="shared" si="135"/>
        <v>7017.34</v>
      </c>
      <c r="Q928" s="914"/>
      <c r="R928" s="914"/>
      <c r="S928" s="915">
        <f t="shared" si="133"/>
        <v>2</v>
      </c>
      <c r="T928" s="911">
        <f t="shared" si="134"/>
        <v>7017.34</v>
      </c>
    </row>
    <row r="929" spans="1:114" ht="250.5" hidden="1" customHeight="1">
      <c r="A929" s="946"/>
      <c r="B929" s="925" t="s">
        <v>5518</v>
      </c>
      <c r="C929" s="1018">
        <v>5508</v>
      </c>
      <c r="D929" s="898" t="s">
        <v>2273</v>
      </c>
      <c r="E929" s="919"/>
      <c r="F929" s="1053">
        <f t="shared" si="129"/>
        <v>0</v>
      </c>
      <c r="G929" s="919"/>
      <c r="H929" s="914">
        <f t="shared" si="130"/>
        <v>0</v>
      </c>
      <c r="I929" s="919"/>
      <c r="J929" s="914">
        <f t="shared" si="131"/>
        <v>0</v>
      </c>
      <c r="K929" s="919"/>
      <c r="L929" s="914">
        <f t="shared" si="132"/>
        <v>0</v>
      </c>
      <c r="M929" s="919"/>
      <c r="N929" s="914">
        <f t="shared" si="137"/>
        <v>0</v>
      </c>
      <c r="O929" s="914"/>
      <c r="P929" s="914">
        <f t="shared" si="135"/>
        <v>0</v>
      </c>
      <c r="Q929" s="914"/>
      <c r="R929" s="914">
        <f t="shared" si="136"/>
        <v>0</v>
      </c>
      <c r="S929" s="915">
        <f t="shared" si="133"/>
        <v>0</v>
      </c>
      <c r="T929" s="911">
        <f t="shared" si="134"/>
        <v>0</v>
      </c>
    </row>
    <row r="930" spans="1:114" ht="250.5" customHeight="1">
      <c r="A930" s="946"/>
      <c r="B930" s="906" t="s">
        <v>4690</v>
      </c>
      <c r="C930" s="906">
        <f>DATA!K3738</f>
        <v>95.19</v>
      </c>
      <c r="D930" s="908" t="s">
        <v>2273</v>
      </c>
      <c r="E930" s="919">
        <v>1081.5999999999999</v>
      </c>
      <c r="F930" s="1053">
        <f t="shared" si="129"/>
        <v>102957.5</v>
      </c>
      <c r="G930" s="919"/>
      <c r="H930" s="914">
        <f t="shared" si="130"/>
        <v>0</v>
      </c>
      <c r="I930" s="919"/>
      <c r="J930" s="914">
        <f t="shared" si="131"/>
        <v>0</v>
      </c>
      <c r="K930" s="919"/>
      <c r="L930" s="914">
        <f t="shared" si="132"/>
        <v>0</v>
      </c>
      <c r="M930" s="919"/>
      <c r="N930" s="914">
        <f t="shared" si="137"/>
        <v>0</v>
      </c>
      <c r="O930" s="914"/>
      <c r="P930" s="914">
        <f t="shared" si="135"/>
        <v>0</v>
      </c>
      <c r="Q930" s="914"/>
      <c r="R930" s="914">
        <f t="shared" si="136"/>
        <v>0</v>
      </c>
      <c r="S930" s="915">
        <f t="shared" si="133"/>
        <v>1081.5999999999999</v>
      </c>
      <c r="T930" s="911">
        <f t="shared" si="134"/>
        <v>102957.5</v>
      </c>
    </row>
    <row r="931" spans="1:114" ht="250.5" customHeight="1">
      <c r="A931" s="946"/>
      <c r="B931" s="924" t="s">
        <v>4658</v>
      </c>
      <c r="C931" s="906"/>
      <c r="D931" s="908"/>
      <c r="E931" s="909"/>
      <c r="F931" s="1053">
        <f t="shared" si="129"/>
        <v>0</v>
      </c>
      <c r="G931" s="914"/>
      <c r="H931" s="914">
        <f t="shared" si="130"/>
        <v>0</v>
      </c>
      <c r="I931" s="914"/>
      <c r="J931" s="914">
        <f t="shared" si="131"/>
        <v>0</v>
      </c>
      <c r="K931" s="914"/>
      <c r="L931" s="914">
        <f t="shared" si="132"/>
        <v>0</v>
      </c>
      <c r="M931" s="914"/>
      <c r="N931" s="914">
        <f t="shared" si="137"/>
        <v>0</v>
      </c>
      <c r="O931" s="914"/>
      <c r="P931" s="914">
        <f t="shared" si="135"/>
        <v>0</v>
      </c>
      <c r="Q931" s="914"/>
      <c r="R931" s="914">
        <f t="shared" si="136"/>
        <v>0</v>
      </c>
      <c r="S931" s="915">
        <f t="shared" si="133"/>
        <v>0</v>
      </c>
      <c r="T931" s="911">
        <f t="shared" si="134"/>
        <v>0</v>
      </c>
    </row>
    <row r="932" spans="1:114" ht="250.5" customHeight="1">
      <c r="A932" s="946"/>
      <c r="B932" s="906" t="s">
        <v>4659</v>
      </c>
      <c r="C932" s="906">
        <v>213.71</v>
      </c>
      <c r="D932" s="908" t="s">
        <v>823</v>
      </c>
      <c r="E932" s="909"/>
      <c r="F932" s="1053">
        <f t="shared" si="129"/>
        <v>0</v>
      </c>
      <c r="G932" s="914"/>
      <c r="H932" s="914">
        <f t="shared" si="130"/>
        <v>0</v>
      </c>
      <c r="I932" s="914"/>
      <c r="J932" s="914">
        <f t="shared" si="131"/>
        <v>0</v>
      </c>
      <c r="K932" s="914"/>
      <c r="L932" s="914">
        <f t="shared" si="132"/>
        <v>0</v>
      </c>
      <c r="M932" s="914"/>
      <c r="N932" s="914">
        <f t="shared" si="137"/>
        <v>0</v>
      </c>
      <c r="O932" s="914"/>
      <c r="P932" s="914">
        <f t="shared" si="135"/>
        <v>0</v>
      </c>
      <c r="Q932" s="914"/>
      <c r="R932" s="914">
        <f t="shared" si="136"/>
        <v>0</v>
      </c>
      <c r="S932" s="915">
        <f t="shared" si="133"/>
        <v>0</v>
      </c>
      <c r="T932" s="911">
        <f t="shared" si="134"/>
        <v>0</v>
      </c>
    </row>
    <row r="933" spans="1:114" ht="250.5" customHeight="1">
      <c r="A933" s="946"/>
      <c r="B933" s="906" t="s">
        <v>4660</v>
      </c>
      <c r="C933" s="906">
        <v>297.85000000000002</v>
      </c>
      <c r="D933" s="908" t="s">
        <v>823</v>
      </c>
      <c r="E933" s="909"/>
      <c r="F933" s="1053">
        <f t="shared" si="129"/>
        <v>0</v>
      </c>
      <c r="G933" s="914"/>
      <c r="H933" s="914">
        <f t="shared" si="130"/>
        <v>0</v>
      </c>
      <c r="I933" s="914"/>
      <c r="J933" s="914">
        <f t="shared" si="131"/>
        <v>0</v>
      </c>
      <c r="K933" s="914"/>
      <c r="L933" s="914">
        <f t="shared" si="132"/>
        <v>0</v>
      </c>
      <c r="M933" s="914"/>
      <c r="N933" s="914">
        <f t="shared" si="137"/>
        <v>0</v>
      </c>
      <c r="O933" s="914"/>
      <c r="P933" s="914">
        <f t="shared" si="135"/>
        <v>0</v>
      </c>
      <c r="Q933" s="914"/>
      <c r="R933" s="914">
        <f t="shared" si="136"/>
        <v>0</v>
      </c>
      <c r="S933" s="915">
        <f t="shared" si="133"/>
        <v>0</v>
      </c>
      <c r="T933" s="911">
        <f t="shared" si="134"/>
        <v>0</v>
      </c>
    </row>
    <row r="934" spans="1:114" s="1022" customFormat="1" ht="408" hidden="1" customHeight="1">
      <c r="A934" s="946"/>
      <c r="B934" s="1019" t="s">
        <v>4708</v>
      </c>
      <c r="C934" s="1020">
        <v>7945</v>
      </c>
      <c r="D934" s="1021" t="s">
        <v>2273</v>
      </c>
      <c r="E934" s="985"/>
      <c r="F934" s="1053">
        <f t="shared" ref="F934" si="138">E934*C934</f>
        <v>0</v>
      </c>
      <c r="G934" s="985"/>
      <c r="H934" s="914">
        <f t="shared" ref="H934" si="139">G934*C934</f>
        <v>0</v>
      </c>
      <c r="I934" s="985"/>
      <c r="J934" s="914">
        <f t="shared" ref="J934" si="140">I934*C934</f>
        <v>0</v>
      </c>
      <c r="K934" s="985"/>
      <c r="L934" s="914">
        <f t="shared" ref="L934" si="141">K934*C934</f>
        <v>0</v>
      </c>
      <c r="M934" s="985"/>
      <c r="N934" s="914">
        <f t="shared" si="137"/>
        <v>0</v>
      </c>
      <c r="O934" s="914"/>
      <c r="P934" s="914">
        <f t="shared" si="135"/>
        <v>0</v>
      </c>
      <c r="Q934" s="914"/>
      <c r="R934" s="914">
        <f t="shared" si="136"/>
        <v>0</v>
      </c>
      <c r="S934" s="915">
        <f t="shared" si="133"/>
        <v>0</v>
      </c>
      <c r="T934" s="911">
        <f t="shared" si="134"/>
        <v>0</v>
      </c>
      <c r="U934" s="1176"/>
      <c r="V934" s="1176"/>
      <c r="W934" s="1176"/>
      <c r="X934" s="1176"/>
      <c r="Y934" s="1176"/>
      <c r="Z934" s="1176"/>
      <c r="AA934" s="1176"/>
      <c r="AB934" s="1176"/>
      <c r="AC934" s="1176"/>
      <c r="AD934" s="1176"/>
      <c r="AE934" s="1176"/>
      <c r="AF934" s="1176"/>
      <c r="AG934" s="1176"/>
      <c r="AH934" s="1176"/>
      <c r="AI934" s="1176"/>
      <c r="AJ934" s="1176"/>
      <c r="AK934" s="1176"/>
      <c r="AL934" s="1176"/>
      <c r="AM934" s="1176"/>
      <c r="AN934" s="1176"/>
      <c r="AO934" s="1176"/>
      <c r="AP934" s="1176"/>
      <c r="AQ934" s="1176"/>
      <c r="AR934" s="1176"/>
      <c r="AS934" s="1176"/>
      <c r="AT934" s="1176"/>
      <c r="AU934" s="1176"/>
      <c r="AV934" s="1176"/>
      <c r="AW934" s="1176"/>
      <c r="AX934" s="1176"/>
      <c r="AY934" s="1176"/>
      <c r="AZ934" s="1176"/>
      <c r="BA934" s="1176"/>
      <c r="BB934" s="1176"/>
      <c r="BC934" s="1176"/>
      <c r="BD934" s="1176"/>
      <c r="BE934" s="1176"/>
      <c r="BF934" s="1176"/>
      <c r="BG934" s="1176"/>
      <c r="BH934" s="1176"/>
      <c r="BI934" s="1176"/>
      <c r="BJ934" s="1176"/>
      <c r="BK934" s="1176"/>
      <c r="BL934" s="1176"/>
      <c r="BM934" s="1176"/>
      <c r="BN934" s="1176"/>
      <c r="BO934" s="1176"/>
      <c r="BP934" s="1176"/>
      <c r="BQ934" s="1176"/>
      <c r="BR934" s="1176"/>
      <c r="BS934" s="1176"/>
      <c r="BT934" s="1176"/>
      <c r="BU934" s="1176"/>
      <c r="BV934" s="1176"/>
      <c r="BW934" s="1176"/>
      <c r="BX934" s="1176"/>
      <c r="BY934" s="1176"/>
      <c r="BZ934" s="1176"/>
      <c r="CA934" s="1176"/>
      <c r="CB934" s="1176"/>
      <c r="CC934" s="1176"/>
      <c r="CD934" s="1176"/>
      <c r="CE934" s="1176"/>
      <c r="CF934" s="1176"/>
      <c r="CG934" s="1176"/>
      <c r="CH934" s="1176"/>
      <c r="CI934" s="1176"/>
      <c r="CJ934" s="1176"/>
      <c r="CK934" s="1176"/>
      <c r="CL934" s="1176"/>
      <c r="CM934" s="1176"/>
      <c r="CN934" s="1176"/>
      <c r="CO934" s="1176"/>
      <c r="CP934" s="1176"/>
      <c r="CQ934" s="1176"/>
      <c r="CR934" s="1176"/>
      <c r="CS934" s="1176"/>
      <c r="CT934" s="1176"/>
      <c r="CU934" s="1176"/>
      <c r="CV934" s="1176"/>
      <c r="CW934" s="1176"/>
      <c r="CX934" s="1176"/>
      <c r="CY934" s="1176"/>
      <c r="CZ934" s="1176"/>
      <c r="DA934" s="1176"/>
      <c r="DB934" s="1176"/>
      <c r="DC934" s="1176"/>
      <c r="DD934" s="1176"/>
      <c r="DE934" s="1176"/>
      <c r="DF934" s="1176"/>
      <c r="DG934" s="1176"/>
      <c r="DH934" s="1176"/>
      <c r="DI934" s="1176"/>
      <c r="DJ934" s="1176"/>
    </row>
    <row r="935" spans="1:114" ht="250.5" customHeight="1">
      <c r="A935" s="946"/>
      <c r="B935" s="1023" t="s">
        <v>4696</v>
      </c>
      <c r="C935" s="1024"/>
      <c r="D935" s="984"/>
      <c r="E935" s="985"/>
      <c r="F935" s="1053">
        <f t="shared" ref="F935:F938" si="142">E935*C935</f>
        <v>0</v>
      </c>
      <c r="G935" s="985"/>
      <c r="H935" s="914">
        <f t="shared" ref="H935:H938" si="143">G935*C935</f>
        <v>0</v>
      </c>
      <c r="I935" s="985"/>
      <c r="J935" s="914">
        <f t="shared" ref="J935:J938" si="144">I935*C935</f>
        <v>0</v>
      </c>
      <c r="K935" s="985"/>
      <c r="L935" s="914">
        <f t="shared" ref="L935:L938" si="145">K935*C935</f>
        <v>0</v>
      </c>
      <c r="M935" s="985"/>
      <c r="N935" s="914">
        <f t="shared" ref="N935:N936" si="146">M935*C935</f>
        <v>0</v>
      </c>
      <c r="O935" s="914"/>
      <c r="P935" s="914">
        <f t="shared" si="135"/>
        <v>0</v>
      </c>
      <c r="Q935" s="914"/>
      <c r="R935" s="914">
        <f t="shared" si="136"/>
        <v>0</v>
      </c>
      <c r="S935" s="915">
        <f t="shared" si="133"/>
        <v>0</v>
      </c>
      <c r="T935" s="911">
        <f t="shared" si="134"/>
        <v>0</v>
      </c>
    </row>
    <row r="936" spans="1:114" ht="250.5" customHeight="1">
      <c r="A936" s="946"/>
      <c r="B936" s="1025" t="s">
        <v>6574</v>
      </c>
      <c r="C936" s="1026">
        <v>2701</v>
      </c>
      <c r="D936" s="984" t="s">
        <v>1427</v>
      </c>
      <c r="E936" s="985">
        <f>DSP!H2318</f>
        <v>12</v>
      </c>
      <c r="F936" s="1053">
        <f t="shared" si="142"/>
        <v>32412</v>
      </c>
      <c r="G936" s="985"/>
      <c r="H936" s="914">
        <f t="shared" si="143"/>
        <v>0</v>
      </c>
      <c r="I936" s="985"/>
      <c r="J936" s="914">
        <f t="shared" si="144"/>
        <v>0</v>
      </c>
      <c r="K936" s="985"/>
      <c r="L936" s="914">
        <f t="shared" si="145"/>
        <v>0</v>
      </c>
      <c r="M936" s="985"/>
      <c r="N936" s="914">
        <f t="shared" si="146"/>
        <v>0</v>
      </c>
      <c r="O936" s="914"/>
      <c r="P936" s="914">
        <f t="shared" si="135"/>
        <v>0</v>
      </c>
      <c r="Q936" s="914"/>
      <c r="R936" s="914">
        <f t="shared" si="136"/>
        <v>0</v>
      </c>
      <c r="S936" s="915">
        <f t="shared" si="133"/>
        <v>12</v>
      </c>
      <c r="T936" s="911">
        <f t="shared" si="134"/>
        <v>32412</v>
      </c>
    </row>
    <row r="937" spans="1:114" ht="250.5" customHeight="1">
      <c r="A937" s="946"/>
      <c r="B937" s="970" t="s">
        <v>7078</v>
      </c>
      <c r="C937" s="1179">
        <v>990</v>
      </c>
      <c r="D937" s="984" t="s">
        <v>1427</v>
      </c>
      <c r="E937" s="985">
        <f>DSP!H2320</f>
        <v>7</v>
      </c>
      <c r="F937" s="1053">
        <f t="shared" si="142"/>
        <v>6930</v>
      </c>
      <c r="G937" s="985"/>
      <c r="H937" s="914">
        <f t="shared" si="143"/>
        <v>0</v>
      </c>
      <c r="I937" s="985"/>
      <c r="J937" s="914">
        <f t="shared" si="144"/>
        <v>0</v>
      </c>
      <c r="K937" s="985"/>
      <c r="L937" s="914">
        <f t="shared" si="145"/>
        <v>0</v>
      </c>
      <c r="M937" s="985"/>
      <c r="N937" s="914">
        <f t="shared" ref="N937:N938" si="147">M937*C937</f>
        <v>0</v>
      </c>
      <c r="O937" s="914"/>
      <c r="P937" s="914">
        <f t="shared" si="135"/>
        <v>0</v>
      </c>
      <c r="Q937" s="914"/>
      <c r="R937" s="914">
        <f t="shared" si="136"/>
        <v>0</v>
      </c>
      <c r="S937" s="915">
        <f t="shared" si="133"/>
        <v>7</v>
      </c>
      <c r="T937" s="911">
        <f t="shared" si="134"/>
        <v>6930</v>
      </c>
    </row>
    <row r="938" spans="1:114" ht="250.5" customHeight="1">
      <c r="A938" s="946"/>
      <c r="B938" s="970" t="s">
        <v>6903</v>
      </c>
      <c r="C938" s="1026">
        <v>1008</v>
      </c>
      <c r="D938" s="984" t="s">
        <v>1427</v>
      </c>
      <c r="E938" s="985">
        <f>DSP!H2355</f>
        <v>2</v>
      </c>
      <c r="F938" s="1053">
        <f t="shared" si="142"/>
        <v>2016</v>
      </c>
      <c r="G938" s="985"/>
      <c r="H938" s="914">
        <f t="shared" si="143"/>
        <v>0</v>
      </c>
      <c r="I938" s="985"/>
      <c r="J938" s="914">
        <f t="shared" si="144"/>
        <v>0</v>
      </c>
      <c r="K938" s="985"/>
      <c r="L938" s="914">
        <f t="shared" si="145"/>
        <v>0</v>
      </c>
      <c r="M938" s="985"/>
      <c r="N938" s="914">
        <f t="shared" si="147"/>
        <v>0</v>
      </c>
      <c r="O938" s="914"/>
      <c r="P938" s="914">
        <f t="shared" si="135"/>
        <v>0</v>
      </c>
      <c r="Q938" s="914"/>
      <c r="R938" s="914">
        <f t="shared" si="136"/>
        <v>0</v>
      </c>
      <c r="S938" s="915">
        <f t="shared" si="133"/>
        <v>2</v>
      </c>
      <c r="T938" s="911">
        <f t="shared" si="134"/>
        <v>2016</v>
      </c>
    </row>
    <row r="939" spans="1:114" ht="145.5" customHeight="1">
      <c r="A939" s="946">
        <f>'DEV-2'!A933</f>
        <v>0</v>
      </c>
      <c r="B939" s="1057" t="str">
        <f>'DEV-2'!B933</f>
        <v>External Electrical arrangements</v>
      </c>
      <c r="C939" s="1026"/>
      <c r="D939" s="984"/>
      <c r="E939" s="985"/>
      <c r="F939" s="1053"/>
      <c r="G939" s="985"/>
      <c r="H939" s="914"/>
      <c r="I939" s="985"/>
      <c r="J939" s="914"/>
      <c r="K939" s="985"/>
      <c r="L939" s="914"/>
      <c r="M939" s="985"/>
      <c r="N939" s="914"/>
      <c r="O939" s="914"/>
      <c r="P939" s="914"/>
      <c r="Q939" s="914"/>
      <c r="R939" s="914">
        <f t="shared" si="136"/>
        <v>0</v>
      </c>
      <c r="S939" s="915">
        <f t="shared" si="133"/>
        <v>0</v>
      </c>
      <c r="T939" s="911">
        <f t="shared" si="134"/>
        <v>0</v>
      </c>
    </row>
    <row r="940" spans="1:114" ht="250.5" customHeight="1">
      <c r="A940" s="979">
        <f>'DEV-2'!A934</f>
        <v>1</v>
      </c>
      <c r="B940" s="970" t="str">
        <f>'DEV-2'!B934</f>
        <v>Supplying and laying of 3.5 core 50 sqmm LT UG Cable SD -224</v>
      </c>
      <c r="C940" s="1026">
        <f>'DEV-2'!C934</f>
        <v>561</v>
      </c>
      <c r="D940" s="984" t="str">
        <f>'DEV-2'!D934</f>
        <v>Rmt</v>
      </c>
      <c r="E940" s="985"/>
      <c r="F940" s="1053"/>
      <c r="G940" s="985"/>
      <c r="H940" s="914"/>
      <c r="I940" s="985"/>
      <c r="J940" s="914"/>
      <c r="K940" s="985"/>
      <c r="L940" s="914"/>
      <c r="M940" s="985"/>
      <c r="N940" s="914"/>
      <c r="O940" s="914"/>
      <c r="P940" s="914"/>
      <c r="Q940" s="914">
        <f>'DEV-2'!U934</f>
        <v>50</v>
      </c>
      <c r="R940" s="914">
        <f t="shared" si="136"/>
        <v>28050</v>
      </c>
      <c r="S940" s="915">
        <f t="shared" si="133"/>
        <v>50</v>
      </c>
      <c r="T940" s="911">
        <f t="shared" si="134"/>
        <v>28050</v>
      </c>
    </row>
    <row r="941" spans="1:114" ht="333" customHeight="1">
      <c r="A941" s="979">
        <f>'DEV-2'!A935</f>
        <v>2</v>
      </c>
      <c r="B941" s="970" t="str">
        <f>'DEV-2'!B935</f>
        <v>Supplying and providing cable end termination of following sizes of XLPE armoured LTUG cable 3.5core 50sqmm LTUG cable SD-237</v>
      </c>
      <c r="C941" s="1026">
        <f>'DEV-2'!C935</f>
        <v>346</v>
      </c>
      <c r="D941" s="984" t="str">
        <f>'DEV-2'!D935</f>
        <v>no</v>
      </c>
      <c r="E941" s="985"/>
      <c r="F941" s="1053"/>
      <c r="G941" s="985"/>
      <c r="H941" s="914"/>
      <c r="I941" s="985"/>
      <c r="J941" s="914"/>
      <c r="K941" s="985"/>
      <c r="L941" s="914"/>
      <c r="M941" s="985"/>
      <c r="N941" s="914"/>
      <c r="O941" s="914"/>
      <c r="P941" s="914"/>
      <c r="Q941" s="914">
        <f>'DEV-2'!U935</f>
        <v>2</v>
      </c>
      <c r="R941" s="914">
        <f t="shared" si="136"/>
        <v>692</v>
      </c>
      <c r="S941" s="915">
        <f t="shared" si="133"/>
        <v>2</v>
      </c>
      <c r="T941" s="911">
        <f t="shared" si="134"/>
        <v>692</v>
      </c>
    </row>
    <row r="942" spans="1:114" ht="321.75" customHeight="1">
      <c r="A942" s="979">
        <f>'DEV-2'!A936</f>
        <v>3</v>
      </c>
      <c r="B942" s="970" t="str">
        <f>'DEV-2'!B936</f>
        <v>Supply &amp; fixing of cable gland suitable for following PVC armoured LTUG cable etc., complete  3.5core 50sqmm LTUG cable SD-188</v>
      </c>
      <c r="C942" s="1026">
        <f>'DEV-2'!C936</f>
        <v>439</v>
      </c>
      <c r="D942" s="984" t="str">
        <f>'DEV-2'!D936</f>
        <v>no</v>
      </c>
      <c r="E942" s="985"/>
      <c r="F942" s="1053"/>
      <c r="G942" s="985"/>
      <c r="H942" s="914"/>
      <c r="I942" s="985"/>
      <c r="J942" s="914"/>
      <c r="K942" s="985"/>
      <c r="L942" s="914"/>
      <c r="M942" s="985"/>
      <c r="N942" s="914"/>
      <c r="O942" s="914"/>
      <c r="P942" s="914"/>
      <c r="Q942" s="914">
        <f>'DEV-2'!U936</f>
        <v>2</v>
      </c>
      <c r="R942" s="914">
        <f t="shared" si="136"/>
        <v>878</v>
      </c>
      <c r="S942" s="915">
        <f t="shared" si="133"/>
        <v>2</v>
      </c>
      <c r="T942" s="911">
        <f t="shared" si="134"/>
        <v>878</v>
      </c>
    </row>
    <row r="943" spans="1:114" ht="250.5" customHeight="1">
      <c r="A943" s="979">
        <f>'DEV-2'!A937</f>
        <v>4</v>
      </c>
      <c r="B943" s="970" t="str">
        <f>'DEV-2'!B937</f>
        <v>Supplying and laying of following GI pipe B class with ISI mark .(Above Ground Level) 80mm dia</v>
      </c>
      <c r="C943" s="1026">
        <f>'DEV-2'!C937</f>
        <v>896.26</v>
      </c>
      <c r="D943" s="984" t="str">
        <f>'DEV-2'!D937</f>
        <v>Rmt</v>
      </c>
      <c r="E943" s="985"/>
      <c r="F943" s="1053"/>
      <c r="G943" s="985"/>
      <c r="H943" s="914"/>
      <c r="I943" s="985"/>
      <c r="J943" s="914"/>
      <c r="K943" s="985"/>
      <c r="L943" s="914"/>
      <c r="M943" s="985"/>
      <c r="N943" s="914"/>
      <c r="O943" s="914"/>
      <c r="P943" s="914"/>
      <c r="Q943" s="914">
        <f>'DEV-2'!U937</f>
        <v>17.5</v>
      </c>
      <c r="R943" s="914">
        <f t="shared" si="136"/>
        <v>15684.55</v>
      </c>
      <c r="S943" s="915">
        <f t="shared" si="133"/>
        <v>17.5</v>
      </c>
      <c r="T943" s="911">
        <f t="shared" si="134"/>
        <v>15684.55</v>
      </c>
    </row>
    <row r="944" spans="1:114" ht="314.25" customHeight="1">
      <c r="A944" s="979">
        <f>'DEV-2'!A938</f>
        <v>5</v>
      </c>
      <c r="B944" s="970" t="str">
        <f>'DEV-2'!B938</f>
        <v>Supplying and laying of following GI pipe B class with ISI mark (Below Ground Level) 80mm dia</v>
      </c>
      <c r="C944" s="1026">
        <f>'DEV-2'!C938</f>
        <v>798.92</v>
      </c>
      <c r="D944" s="984" t="str">
        <f>'DEV-2'!D938</f>
        <v>Rmt</v>
      </c>
      <c r="E944" s="985"/>
      <c r="F944" s="1053"/>
      <c r="G944" s="985"/>
      <c r="H944" s="914"/>
      <c r="I944" s="985"/>
      <c r="J944" s="914"/>
      <c r="K944" s="985"/>
      <c r="L944" s="914"/>
      <c r="M944" s="985"/>
      <c r="N944" s="914"/>
      <c r="O944" s="914"/>
      <c r="P944" s="914"/>
      <c r="Q944" s="914">
        <f>'DEV-2'!U938</f>
        <v>50</v>
      </c>
      <c r="R944" s="914">
        <f t="shared" si="136"/>
        <v>39946</v>
      </c>
      <c r="S944" s="915">
        <f t="shared" si="133"/>
        <v>50</v>
      </c>
      <c r="T944" s="911">
        <f t="shared" si="134"/>
        <v>39946</v>
      </c>
    </row>
    <row r="945" spans="1:20" ht="321.75" customHeight="1">
      <c r="A945" s="979">
        <f>'DEV-2'!A939</f>
        <v>6</v>
      </c>
      <c r="B945" s="970" t="str">
        <f>'DEV-2'!B939</f>
        <v>Supplying and fixing of following dia GI specials ( As per TWAD SR Pg-  44  /2022-23)</v>
      </c>
      <c r="C945" s="1026">
        <f>'DEV-2'!C939</f>
        <v>0</v>
      </c>
      <c r="D945" s="984">
        <f>'DEV-2'!D939</f>
        <v>0</v>
      </c>
      <c r="E945" s="985"/>
      <c r="F945" s="1053"/>
      <c r="G945" s="985"/>
      <c r="H945" s="914"/>
      <c r="I945" s="985"/>
      <c r="J945" s="914"/>
      <c r="K945" s="985"/>
      <c r="L945" s="914"/>
      <c r="M945" s="985"/>
      <c r="N945" s="914"/>
      <c r="O945" s="914"/>
      <c r="P945" s="914"/>
      <c r="Q945" s="914">
        <f>'DEV-2'!U939</f>
        <v>0</v>
      </c>
      <c r="R945" s="914">
        <f t="shared" si="136"/>
        <v>0</v>
      </c>
      <c r="S945" s="915">
        <f t="shared" si="133"/>
        <v>0</v>
      </c>
      <c r="T945" s="911">
        <f t="shared" si="134"/>
        <v>0</v>
      </c>
    </row>
    <row r="946" spans="1:20" ht="141.75" customHeight="1">
      <c r="A946" s="979">
        <f>'DEV-2'!A940</f>
        <v>0</v>
      </c>
      <c r="B946" s="970" t="str">
        <f>'DEV-2'!B940</f>
        <v xml:space="preserve">a.) 80 mm dia GI bend </v>
      </c>
      <c r="C946" s="1026">
        <f>'DEV-2'!C940</f>
        <v>419.6</v>
      </c>
      <c r="D946" s="984" t="str">
        <f>'DEV-2'!D940</f>
        <v>No</v>
      </c>
      <c r="E946" s="985"/>
      <c r="F946" s="1053"/>
      <c r="G946" s="985"/>
      <c r="H946" s="914"/>
      <c r="I946" s="985"/>
      <c r="J946" s="914"/>
      <c r="K946" s="985"/>
      <c r="L946" s="914"/>
      <c r="M946" s="985"/>
      <c r="N946" s="914"/>
      <c r="O946" s="914"/>
      <c r="P946" s="914"/>
      <c r="Q946" s="914">
        <f>'DEV-2'!U940</f>
        <v>2</v>
      </c>
      <c r="R946" s="914">
        <f t="shared" si="136"/>
        <v>839.2</v>
      </c>
      <c r="S946" s="915">
        <f t="shared" si="133"/>
        <v>2</v>
      </c>
      <c r="T946" s="911">
        <f t="shared" si="134"/>
        <v>839.2</v>
      </c>
    </row>
    <row r="947" spans="1:20" ht="250.5" customHeight="1">
      <c r="A947" s="979">
        <f>'DEV-2'!A941</f>
        <v>7</v>
      </c>
      <c r="B947" s="970" t="str">
        <f>'DEV-2'!B941</f>
        <v>Supplying and fixing 3 No 100 Amps 500 volts grade/ well porcelin fuse unit on suitable teak wood plank</v>
      </c>
      <c r="C947" s="1026">
        <f>'Print Data'!F2042</f>
        <v>1627.62</v>
      </c>
      <c r="D947" s="984" t="str">
        <f>'DEV-2'!D941</f>
        <v>No</v>
      </c>
      <c r="E947" s="985"/>
      <c r="F947" s="1053"/>
      <c r="G947" s="985"/>
      <c r="H947" s="914"/>
      <c r="I947" s="985"/>
      <c r="J947" s="914"/>
      <c r="K947" s="985"/>
      <c r="L947" s="914"/>
      <c r="M947" s="985"/>
      <c r="N947" s="914"/>
      <c r="O947" s="914"/>
      <c r="P947" s="914"/>
      <c r="Q947" s="914">
        <f>'DEV-2'!U941</f>
        <v>1</v>
      </c>
      <c r="R947" s="914">
        <f t="shared" si="136"/>
        <v>1627.62</v>
      </c>
      <c r="S947" s="915">
        <f t="shared" si="133"/>
        <v>1</v>
      </c>
      <c r="T947" s="911">
        <f t="shared" si="134"/>
        <v>1627.62</v>
      </c>
    </row>
    <row r="948" spans="1:20" ht="408" customHeight="1">
      <c r="A948" s="979">
        <f>'DEV-2'!A942</f>
        <v>8</v>
      </c>
      <c r="B948" s="970" t="str">
        <f>'DEV-2'!B942</f>
        <v>Supply &amp; fixing of 100 Amps triple pole main switch for incoming control and 2 no of 16 A etc., complete and as directed by the departmental officers</v>
      </c>
      <c r="C948" s="1026">
        <f>'Print Data'!F2033</f>
        <v>6523.34</v>
      </c>
      <c r="D948" s="984" t="str">
        <f>'DEV-2'!D942</f>
        <v>No</v>
      </c>
      <c r="E948" s="985"/>
      <c r="F948" s="1053"/>
      <c r="G948" s="985"/>
      <c r="H948" s="914"/>
      <c r="I948" s="985"/>
      <c r="J948" s="914"/>
      <c r="K948" s="985"/>
      <c r="L948" s="914"/>
      <c r="M948" s="985"/>
      <c r="N948" s="914"/>
      <c r="O948" s="914"/>
      <c r="P948" s="914"/>
      <c r="Q948" s="914">
        <f>'DEV-2'!U942</f>
        <v>1</v>
      </c>
      <c r="R948" s="914">
        <f t="shared" si="136"/>
        <v>6523.34</v>
      </c>
      <c r="S948" s="915">
        <f t="shared" si="133"/>
        <v>1</v>
      </c>
      <c r="T948" s="911">
        <f t="shared" si="134"/>
        <v>6523.34</v>
      </c>
    </row>
    <row r="949" spans="1:20" ht="393" customHeight="1">
      <c r="A949" s="979">
        <f>'DEV-2'!A943</f>
        <v>9</v>
      </c>
      <c r="B949" s="970" t="str">
        <f>'DEV-2'!B943</f>
        <v xml:space="preserve">Supply and fixing of LED flood lamp fitting 250 watts etc., with single piece dia cast aluminium housting and lamp etc., complete. (Quotation) </v>
      </c>
      <c r="C949" s="1179">
        <f>'DEV-2'!C943</f>
        <v>18342</v>
      </c>
      <c r="D949" s="984" t="str">
        <f>'DEV-2'!D943</f>
        <v>No</v>
      </c>
      <c r="E949" s="985"/>
      <c r="F949" s="1053"/>
      <c r="G949" s="985"/>
      <c r="H949" s="914"/>
      <c r="I949" s="985"/>
      <c r="J949" s="914"/>
      <c r="K949" s="985"/>
      <c r="L949" s="914"/>
      <c r="M949" s="985"/>
      <c r="N949" s="914"/>
      <c r="O949" s="914"/>
      <c r="P949" s="914"/>
      <c r="Q949" s="914">
        <f>'DEV-2'!U943</f>
        <v>1</v>
      </c>
      <c r="R949" s="914">
        <f t="shared" si="136"/>
        <v>18342</v>
      </c>
      <c r="S949" s="915">
        <f t="shared" si="133"/>
        <v>1</v>
      </c>
      <c r="T949" s="911">
        <f t="shared" si="134"/>
        <v>18342</v>
      </c>
    </row>
    <row r="950" spans="1:20" ht="250.5" customHeight="1">
      <c r="A950" s="979">
        <f>'DEV-2'!A944</f>
        <v>10</v>
      </c>
      <c r="B950" s="970" t="str">
        <f>'DEV-2'!B944</f>
        <v>Supply &amp; erection of  floor mounting metering panel board (Cubical type)  with bus bar chamber (Quotation)</v>
      </c>
      <c r="C950" s="1026">
        <f>'DEV-2'!C944</f>
        <v>0</v>
      </c>
      <c r="D950" s="984">
        <f>'DEV-2'!D944</f>
        <v>0</v>
      </c>
      <c r="E950" s="985"/>
      <c r="F950" s="1053"/>
      <c r="G950" s="985"/>
      <c r="H950" s="914"/>
      <c r="I950" s="985"/>
      <c r="J950" s="914"/>
      <c r="K950" s="985"/>
      <c r="L950" s="914"/>
      <c r="M950" s="985"/>
      <c r="N950" s="914"/>
      <c r="O950" s="914"/>
      <c r="P950" s="914"/>
      <c r="Q950" s="914">
        <f>'DEV-2'!U944</f>
        <v>0</v>
      </c>
      <c r="R950" s="914">
        <f t="shared" si="136"/>
        <v>0</v>
      </c>
      <c r="S950" s="915">
        <f t="shared" si="133"/>
        <v>0</v>
      </c>
      <c r="T950" s="911">
        <f t="shared" si="134"/>
        <v>0</v>
      </c>
    </row>
    <row r="951" spans="1:20" ht="145.5" customHeight="1">
      <c r="A951" s="979">
        <f>'DEV-2'!A945</f>
        <v>0</v>
      </c>
      <c r="B951" s="970" t="str">
        <f>'DEV-2'!B945</f>
        <v>Panel board</v>
      </c>
      <c r="C951" s="1179">
        <f>'DEV-2'!C945</f>
        <v>28000</v>
      </c>
      <c r="D951" s="984" t="str">
        <f>'DEV-2'!D945</f>
        <v>No</v>
      </c>
      <c r="E951" s="985"/>
      <c r="F951" s="1053"/>
      <c r="G951" s="985"/>
      <c r="H951" s="914"/>
      <c r="I951" s="985"/>
      <c r="J951" s="914"/>
      <c r="K951" s="985"/>
      <c r="L951" s="914"/>
      <c r="M951" s="985"/>
      <c r="N951" s="914"/>
      <c r="O951" s="914"/>
      <c r="P951" s="914"/>
      <c r="Q951" s="914">
        <f>'DEV-2'!U945</f>
        <v>1</v>
      </c>
      <c r="R951" s="914">
        <f t="shared" si="136"/>
        <v>28000</v>
      </c>
      <c r="S951" s="915">
        <f t="shared" si="133"/>
        <v>1</v>
      </c>
      <c r="T951" s="911">
        <f t="shared" si="134"/>
        <v>28000</v>
      </c>
    </row>
    <row r="952" spans="1:20" ht="250.5" customHeight="1">
      <c r="A952" s="979">
        <f>'DEV-2'!A946</f>
        <v>11</v>
      </c>
      <c r="B952" s="970" t="str">
        <f>'DEV-2'!B946</f>
        <v>Supplying and fixing 6 A to 20 A, 32 A single pole miniature circuit breaker (MCB) PWD SR P-141/2023-24</v>
      </c>
      <c r="C952" s="1026">
        <f>'DEV-2'!C946</f>
        <v>128</v>
      </c>
      <c r="D952" s="984" t="str">
        <f>'DEV-2'!D946</f>
        <v>No</v>
      </c>
      <c r="E952" s="985"/>
      <c r="F952" s="1053"/>
      <c r="G952" s="985"/>
      <c r="H952" s="914"/>
      <c r="I952" s="985"/>
      <c r="J952" s="914"/>
      <c r="K952" s="985"/>
      <c r="L952" s="914"/>
      <c r="M952" s="985"/>
      <c r="N952" s="914"/>
      <c r="O952" s="914"/>
      <c r="P952" s="914"/>
      <c r="Q952" s="914">
        <f>'DEV-2'!U946</f>
        <v>24</v>
      </c>
      <c r="R952" s="914">
        <f t="shared" si="136"/>
        <v>3072</v>
      </c>
      <c r="S952" s="915">
        <f t="shared" si="133"/>
        <v>24</v>
      </c>
      <c r="T952" s="911">
        <f t="shared" si="134"/>
        <v>3072</v>
      </c>
    </row>
    <row r="953" spans="1:20" ht="164.25" customHeight="1">
      <c r="A953" s="979">
        <f>'DEV-2'!A947</f>
        <v>0</v>
      </c>
      <c r="B953" s="1057" t="str">
        <f>'DEV-2'!B947</f>
        <v>External Water supply</v>
      </c>
      <c r="C953" s="1026">
        <f>'DEV-2'!C947</f>
        <v>0</v>
      </c>
      <c r="D953" s="984">
        <f>'DEV-2'!D947</f>
        <v>0</v>
      </c>
      <c r="E953" s="985"/>
      <c r="F953" s="1053"/>
      <c r="G953" s="985"/>
      <c r="H953" s="914"/>
      <c r="I953" s="985"/>
      <c r="J953" s="914"/>
      <c r="K953" s="985"/>
      <c r="L953" s="914"/>
      <c r="M953" s="985"/>
      <c r="N953" s="914"/>
      <c r="O953" s="914"/>
      <c r="P953" s="914"/>
      <c r="Q953" s="914">
        <f>'DEV-2'!U947</f>
        <v>0</v>
      </c>
      <c r="R953" s="914">
        <f t="shared" si="136"/>
        <v>0</v>
      </c>
      <c r="S953" s="915">
        <f t="shared" si="133"/>
        <v>0</v>
      </c>
      <c r="T953" s="911">
        <f t="shared" si="134"/>
        <v>0</v>
      </c>
    </row>
    <row r="954" spans="1:20" ht="250.5" customHeight="1">
      <c r="A954" s="979">
        <f>'DEV-2'!A948</f>
        <v>1</v>
      </c>
      <c r="B954" s="970" t="str">
        <f>'DEV-2'!B948</f>
        <v>Supply and delivery of 3 HP Open well Submersible pump set (Duty 100X50lpm)    (Quotation)</v>
      </c>
      <c r="C954" s="1179">
        <f>'DEV-2'!C948</f>
        <v>35300</v>
      </c>
      <c r="D954" s="984" t="str">
        <f>'DEV-2'!D948</f>
        <v>No</v>
      </c>
      <c r="E954" s="985"/>
      <c r="F954" s="1053"/>
      <c r="G954" s="985"/>
      <c r="H954" s="914"/>
      <c r="I954" s="985"/>
      <c r="J954" s="914"/>
      <c r="K954" s="985"/>
      <c r="L954" s="914"/>
      <c r="M954" s="985"/>
      <c r="N954" s="914"/>
      <c r="O954" s="914"/>
      <c r="P954" s="914"/>
      <c r="Q954" s="914">
        <f>'DEV-2'!U948</f>
        <v>2</v>
      </c>
      <c r="R954" s="914">
        <f t="shared" si="136"/>
        <v>70600</v>
      </c>
      <c r="S954" s="915">
        <f t="shared" si="133"/>
        <v>2</v>
      </c>
      <c r="T954" s="911">
        <f t="shared" si="134"/>
        <v>70600</v>
      </c>
    </row>
    <row r="955" spans="1:20" ht="250.5" customHeight="1">
      <c r="A955" s="979">
        <f>'DEV-2'!A949</f>
        <v>2</v>
      </c>
      <c r="B955" s="970" t="str">
        <f>'DEV-2'!B949</f>
        <v>Supply &amp; Fixing of Panel board for 3H.P Open well submersible motor  with two level guard auto start with ISI mark  (As per Pg. 114 of TWAD SR 2022-23)</v>
      </c>
      <c r="C955" s="1026">
        <f>'DEV-2'!C949</f>
        <v>15147</v>
      </c>
      <c r="D955" s="984" t="str">
        <f>'DEV-2'!D949</f>
        <v>Nos</v>
      </c>
      <c r="E955" s="985"/>
      <c r="F955" s="1053"/>
      <c r="G955" s="985"/>
      <c r="H955" s="914"/>
      <c r="I955" s="985"/>
      <c r="J955" s="914"/>
      <c r="K955" s="985"/>
      <c r="L955" s="914"/>
      <c r="M955" s="985"/>
      <c r="N955" s="914"/>
      <c r="O955" s="914"/>
      <c r="P955" s="914"/>
      <c r="Q955" s="914">
        <f>'DEV-2'!U949</f>
        <v>2</v>
      </c>
      <c r="R955" s="914">
        <f t="shared" si="136"/>
        <v>30294</v>
      </c>
      <c r="S955" s="915">
        <f t="shared" si="133"/>
        <v>2</v>
      </c>
      <c r="T955" s="911">
        <f t="shared" si="134"/>
        <v>30294</v>
      </c>
    </row>
    <row r="956" spans="1:20" ht="250.5" customHeight="1">
      <c r="A956" s="979">
        <f>'DEV-2'!A950</f>
        <v>3</v>
      </c>
      <c r="B956" s="970" t="str">
        <f>'DEV-2'!B950</f>
        <v xml:space="preserve">Labour Charges for erection of 3.00 HP open well Submersible Motor with proper clamps upto the starter to the required depth (As per TWAD SR P-308/ 2022 - 23 ) </v>
      </c>
      <c r="C956" s="1026">
        <f>'DEV-2'!C950</f>
        <v>11056.1</v>
      </c>
      <c r="D956" s="984" t="str">
        <f>'DEV-2'!D950</f>
        <v>No</v>
      </c>
      <c r="E956" s="985"/>
      <c r="F956" s="1053"/>
      <c r="G956" s="985"/>
      <c r="H956" s="914"/>
      <c r="I956" s="985"/>
      <c r="J956" s="914"/>
      <c r="K956" s="985"/>
      <c r="L956" s="914"/>
      <c r="M956" s="985"/>
      <c r="N956" s="914"/>
      <c r="O956" s="914"/>
      <c r="P956" s="914"/>
      <c r="Q956" s="914">
        <f>'DEV-2'!U950</f>
        <v>2</v>
      </c>
      <c r="R956" s="914">
        <f t="shared" si="136"/>
        <v>22112.2</v>
      </c>
      <c r="S956" s="915">
        <f t="shared" si="133"/>
        <v>2</v>
      </c>
      <c r="T956" s="911">
        <f t="shared" si="134"/>
        <v>22112.2</v>
      </c>
    </row>
    <row r="957" spans="1:20" ht="250.5" customHeight="1">
      <c r="A957" s="979">
        <f>'DEV-2'!A951</f>
        <v>4</v>
      </c>
      <c r="B957" s="970" t="str">
        <f>'DEV-2'!B951</f>
        <v>Supplying and laying of following GI pipe B class with ISI mark .(Above Ground Level) 50mm dia</v>
      </c>
      <c r="C957" s="1026">
        <f>'DEV-2'!C951</f>
        <v>630.97</v>
      </c>
      <c r="D957" s="984" t="str">
        <f>'DEV-2'!D951</f>
        <v>Rmt</v>
      </c>
      <c r="E957" s="985"/>
      <c r="F957" s="1053"/>
      <c r="G957" s="985"/>
      <c r="H957" s="914"/>
      <c r="I957" s="985"/>
      <c r="J957" s="914"/>
      <c r="K957" s="985"/>
      <c r="L957" s="914"/>
      <c r="M957" s="985"/>
      <c r="N957" s="914"/>
      <c r="O957" s="914"/>
      <c r="P957" s="914"/>
      <c r="Q957" s="914">
        <f>'DEV-2'!U951</f>
        <v>10.5</v>
      </c>
      <c r="R957" s="914">
        <f t="shared" si="136"/>
        <v>6625.19</v>
      </c>
      <c r="S957" s="915">
        <f t="shared" si="133"/>
        <v>10.5</v>
      </c>
      <c r="T957" s="911">
        <f t="shared" si="134"/>
        <v>6625.19</v>
      </c>
    </row>
    <row r="958" spans="1:20" ht="333" customHeight="1">
      <c r="A958" s="979">
        <f>'DEV-2'!A952</f>
        <v>5</v>
      </c>
      <c r="B958" s="970" t="str">
        <f>'DEV-2'!B952</f>
        <v>Supplying and delivery of following dia GI specials of best and approved quality having ISI mark  . As per TWAD SR Pg-  44 &amp; 45 /2022-23</v>
      </c>
      <c r="C958" s="1026">
        <f>'DEV-2'!C952</f>
        <v>0</v>
      </c>
      <c r="D958" s="984">
        <f>'DEV-2'!D952</f>
        <v>0</v>
      </c>
      <c r="E958" s="985"/>
      <c r="F958" s="1053"/>
      <c r="G958" s="985"/>
      <c r="H958" s="914"/>
      <c r="I958" s="985"/>
      <c r="J958" s="914"/>
      <c r="K958" s="985"/>
      <c r="L958" s="914"/>
      <c r="M958" s="985"/>
      <c r="N958" s="914"/>
      <c r="O958" s="914"/>
      <c r="P958" s="914"/>
      <c r="Q958" s="914">
        <f>'DEV-2'!U952</f>
        <v>0</v>
      </c>
      <c r="R958" s="914">
        <f t="shared" si="136"/>
        <v>0</v>
      </c>
      <c r="S958" s="915">
        <f t="shared" si="133"/>
        <v>0</v>
      </c>
      <c r="T958" s="911">
        <f t="shared" si="134"/>
        <v>0</v>
      </c>
    </row>
    <row r="959" spans="1:20" ht="198" customHeight="1">
      <c r="A959" s="979">
        <f>'DEV-2'!A953</f>
        <v>0</v>
      </c>
      <c r="B959" s="970" t="str">
        <f>'DEV-2'!B953</f>
        <v xml:space="preserve">a) 80mm dia Elbow  </v>
      </c>
      <c r="C959" s="1026">
        <f>'DEV-2'!C953</f>
        <v>474</v>
      </c>
      <c r="D959" s="984" t="str">
        <f>'DEV-2'!D953</f>
        <v>No</v>
      </c>
      <c r="E959" s="985"/>
      <c r="F959" s="1053"/>
      <c r="G959" s="985"/>
      <c r="H959" s="914"/>
      <c r="I959" s="985"/>
      <c r="J959" s="914"/>
      <c r="K959" s="985"/>
      <c r="L959" s="914"/>
      <c r="M959" s="985"/>
      <c r="N959" s="914"/>
      <c r="O959" s="914"/>
      <c r="P959" s="914"/>
      <c r="Q959" s="914">
        <f>'DEV-2'!U953</f>
        <v>2</v>
      </c>
      <c r="R959" s="914">
        <f t="shared" si="136"/>
        <v>948</v>
      </c>
      <c r="S959" s="915">
        <f t="shared" si="133"/>
        <v>2</v>
      </c>
      <c r="T959" s="911">
        <f t="shared" si="134"/>
        <v>948</v>
      </c>
    </row>
    <row r="960" spans="1:20" ht="198" customHeight="1">
      <c r="A960" s="979">
        <f>'DEV-2'!A954</f>
        <v>0</v>
      </c>
      <c r="B960" s="970" t="str">
        <f>'DEV-2'!B954</f>
        <v xml:space="preserve">b) 80mm dia Hex Nipple </v>
      </c>
      <c r="C960" s="1026">
        <f>'DEV-2'!C954</f>
        <v>291</v>
      </c>
      <c r="D960" s="984" t="str">
        <f>'DEV-2'!D954</f>
        <v>No</v>
      </c>
      <c r="E960" s="985"/>
      <c r="F960" s="1053"/>
      <c r="G960" s="985"/>
      <c r="H960" s="914"/>
      <c r="I960" s="985"/>
      <c r="J960" s="914"/>
      <c r="K960" s="985"/>
      <c r="L960" s="914"/>
      <c r="M960" s="985"/>
      <c r="N960" s="914"/>
      <c r="O960" s="914"/>
      <c r="P960" s="914"/>
      <c r="Q960" s="914">
        <f>'DEV-2'!U954</f>
        <v>3</v>
      </c>
      <c r="R960" s="914">
        <f t="shared" si="136"/>
        <v>873</v>
      </c>
      <c r="S960" s="915">
        <f t="shared" si="133"/>
        <v>3</v>
      </c>
      <c r="T960" s="911">
        <f t="shared" si="134"/>
        <v>873</v>
      </c>
    </row>
    <row r="961" spans="1:20" ht="198" customHeight="1">
      <c r="A961" s="979">
        <f>'DEV-2'!A955</f>
        <v>0</v>
      </c>
      <c r="B961" s="970" t="str">
        <f>'DEV-2'!B955</f>
        <v xml:space="preserve">c)80mmm dia union </v>
      </c>
      <c r="C961" s="1026">
        <f>'DEV-2'!C955</f>
        <v>881.7</v>
      </c>
      <c r="D961" s="984" t="str">
        <f>'DEV-2'!D955</f>
        <v>No</v>
      </c>
      <c r="E961" s="985"/>
      <c r="F961" s="1053"/>
      <c r="G961" s="985"/>
      <c r="H961" s="914"/>
      <c r="I961" s="985"/>
      <c r="J961" s="914"/>
      <c r="K961" s="985"/>
      <c r="L961" s="914"/>
      <c r="M961" s="985"/>
      <c r="N961" s="914"/>
      <c r="O961" s="914"/>
      <c r="P961" s="914"/>
      <c r="Q961" s="914">
        <f>'DEV-2'!U955</f>
        <v>2</v>
      </c>
      <c r="R961" s="914">
        <f t="shared" si="136"/>
        <v>1763.4</v>
      </c>
      <c r="S961" s="915">
        <f t="shared" si="133"/>
        <v>2</v>
      </c>
      <c r="T961" s="911">
        <f t="shared" si="134"/>
        <v>1763.4</v>
      </c>
    </row>
    <row r="962" spans="1:20" ht="198" customHeight="1">
      <c r="A962" s="979">
        <f>'DEV-2'!A956</f>
        <v>0</v>
      </c>
      <c r="B962" s="970" t="str">
        <f>'DEV-2'!B956</f>
        <v xml:space="preserve">d) 80mm dia Non return valve </v>
      </c>
      <c r="C962" s="1026">
        <f>'DEV-2'!C956</f>
        <v>4013</v>
      </c>
      <c r="D962" s="984" t="str">
        <f>'DEV-2'!D956</f>
        <v>No</v>
      </c>
      <c r="E962" s="985"/>
      <c r="F962" s="1053"/>
      <c r="G962" s="985"/>
      <c r="H962" s="914"/>
      <c r="I962" s="985"/>
      <c r="J962" s="914"/>
      <c r="K962" s="985"/>
      <c r="L962" s="914"/>
      <c r="M962" s="985"/>
      <c r="N962" s="914"/>
      <c r="O962" s="914"/>
      <c r="P962" s="914"/>
      <c r="Q962" s="914">
        <f>'DEV-2'!U956</f>
        <v>2</v>
      </c>
      <c r="R962" s="914">
        <f t="shared" si="136"/>
        <v>8026</v>
      </c>
      <c r="S962" s="915">
        <f t="shared" si="133"/>
        <v>2</v>
      </c>
      <c r="T962" s="911">
        <f t="shared" si="134"/>
        <v>8026</v>
      </c>
    </row>
    <row r="963" spans="1:20" ht="198" customHeight="1">
      <c r="A963" s="979">
        <f>'DEV-2'!A957</f>
        <v>0</v>
      </c>
      <c r="B963" s="970" t="str">
        <f>'DEV-2'!B957</f>
        <v>e) 80mm Dia GI flange set</v>
      </c>
      <c r="C963" s="1026">
        <f>'DEV-2'!C957</f>
        <v>119</v>
      </c>
      <c r="D963" s="984" t="str">
        <f>'DEV-2'!D957</f>
        <v>No</v>
      </c>
      <c r="E963" s="985"/>
      <c r="F963" s="1053"/>
      <c r="G963" s="985"/>
      <c r="H963" s="914"/>
      <c r="I963" s="985"/>
      <c r="J963" s="914"/>
      <c r="K963" s="985"/>
      <c r="L963" s="914"/>
      <c r="M963" s="985"/>
      <c r="N963" s="914"/>
      <c r="O963" s="914"/>
      <c r="P963" s="914"/>
      <c r="Q963" s="914">
        <f>'DEV-2'!U957</f>
        <v>2</v>
      </c>
      <c r="R963" s="914">
        <f t="shared" si="136"/>
        <v>238</v>
      </c>
      <c r="S963" s="915">
        <f t="shared" si="133"/>
        <v>2</v>
      </c>
      <c r="T963" s="911">
        <f t="shared" si="134"/>
        <v>238</v>
      </c>
    </row>
    <row r="964" spans="1:20" ht="198" customHeight="1">
      <c r="A964" s="979">
        <f>'DEV-2'!A958</f>
        <v>0</v>
      </c>
      <c r="B964" s="970" t="str">
        <f>'DEV-2'!B958</f>
        <v>f) 80x50mm Dia GI reducer P-41</v>
      </c>
      <c r="C964" s="1026">
        <f>'DEV-2'!C958</f>
        <v>374</v>
      </c>
      <c r="D964" s="984" t="str">
        <f>'DEV-2'!D958</f>
        <v>No</v>
      </c>
      <c r="E964" s="985"/>
      <c r="F964" s="1053"/>
      <c r="G964" s="985"/>
      <c r="H964" s="914"/>
      <c r="I964" s="985"/>
      <c r="J964" s="914"/>
      <c r="K964" s="985"/>
      <c r="L964" s="914"/>
      <c r="M964" s="985"/>
      <c r="N964" s="914"/>
      <c r="O964" s="914"/>
      <c r="P964" s="914"/>
      <c r="Q964" s="914">
        <f>'DEV-2'!U958</f>
        <v>1</v>
      </c>
      <c r="R964" s="914">
        <f t="shared" si="136"/>
        <v>374</v>
      </c>
      <c r="S964" s="915">
        <f t="shared" si="133"/>
        <v>1</v>
      </c>
      <c r="T964" s="911">
        <f t="shared" si="134"/>
        <v>374</v>
      </c>
    </row>
    <row r="965" spans="1:20" ht="198" customHeight="1">
      <c r="A965" s="979">
        <f>'DEV-2'!A959</f>
        <v>0</v>
      </c>
      <c r="B965" s="970" t="s">
        <v>6942</v>
      </c>
      <c r="C965" s="1026">
        <v>128</v>
      </c>
      <c r="D965" s="984" t="str">
        <f>'DEV-2'!D959</f>
        <v>No</v>
      </c>
      <c r="E965" s="985"/>
      <c r="F965" s="1053"/>
      <c r="G965" s="985"/>
      <c r="H965" s="914"/>
      <c r="I965" s="985"/>
      <c r="J965" s="914"/>
      <c r="K965" s="985"/>
      <c r="L965" s="914"/>
      <c r="M965" s="985"/>
      <c r="N965" s="914"/>
      <c r="O965" s="914"/>
      <c r="P965" s="914"/>
      <c r="Q965" s="914">
        <f>'DEV-2'!U959</f>
        <v>2</v>
      </c>
      <c r="R965" s="914">
        <f t="shared" si="136"/>
        <v>256</v>
      </c>
      <c r="S965" s="915">
        <f t="shared" si="133"/>
        <v>2</v>
      </c>
      <c r="T965" s="911">
        <f t="shared" si="134"/>
        <v>256</v>
      </c>
    </row>
    <row r="966" spans="1:20" ht="198" customHeight="1">
      <c r="A966" s="979">
        <f>'DEV-2'!A960</f>
        <v>0</v>
      </c>
      <c r="B966" s="970" t="s">
        <v>6943</v>
      </c>
      <c r="C966" s="1026">
        <v>266.3</v>
      </c>
      <c r="D966" s="984" t="str">
        <f>'DEV-2'!D960</f>
        <v>No</v>
      </c>
      <c r="E966" s="985"/>
      <c r="F966" s="1053"/>
      <c r="G966" s="985"/>
      <c r="H966" s="914"/>
      <c r="I966" s="985"/>
      <c r="J966" s="914"/>
      <c r="K966" s="985"/>
      <c r="L966" s="914"/>
      <c r="M966" s="985"/>
      <c r="N966" s="914"/>
      <c r="O966" s="914"/>
      <c r="P966" s="914"/>
      <c r="Q966" s="914">
        <f>'DEV-2'!U960</f>
        <v>3</v>
      </c>
      <c r="R966" s="914">
        <f t="shared" si="136"/>
        <v>798.9</v>
      </c>
      <c r="S966" s="915">
        <f t="shared" si="133"/>
        <v>3</v>
      </c>
      <c r="T966" s="911">
        <f t="shared" si="134"/>
        <v>798.9</v>
      </c>
    </row>
    <row r="967" spans="1:20" ht="198" customHeight="1">
      <c r="A967" s="979">
        <f>'DEV-2'!A961</f>
        <v>0</v>
      </c>
      <c r="B967" s="970" t="s">
        <v>6944</v>
      </c>
      <c r="C967" s="1026">
        <v>116.3</v>
      </c>
      <c r="D967" s="984" t="str">
        <f>'DEV-2'!D961</f>
        <v>No</v>
      </c>
      <c r="E967" s="985"/>
      <c r="F967" s="1053"/>
      <c r="G967" s="985"/>
      <c r="H967" s="914"/>
      <c r="I967" s="985"/>
      <c r="J967" s="914"/>
      <c r="K967" s="985"/>
      <c r="L967" s="914"/>
      <c r="M967" s="985"/>
      <c r="N967" s="914"/>
      <c r="O967" s="914"/>
      <c r="P967" s="914"/>
      <c r="Q967" s="914">
        <f>'DEV-2'!U961</f>
        <v>2</v>
      </c>
      <c r="R967" s="914">
        <f t="shared" si="136"/>
        <v>232.6</v>
      </c>
      <c r="S967" s="915">
        <f t="shared" ref="S967:S1005" si="148">G967+I967+K967+M967+E967+O967+Q967</f>
        <v>2</v>
      </c>
      <c r="T967" s="911">
        <f t="shared" ref="T967:T1005" si="149">S967*C967</f>
        <v>232.6</v>
      </c>
    </row>
    <row r="968" spans="1:20" ht="198" customHeight="1">
      <c r="A968" s="979">
        <f>'DEV-2'!A962</f>
        <v>0</v>
      </c>
      <c r="B968" s="970" t="s">
        <v>6945</v>
      </c>
      <c r="C968" s="1026">
        <v>139.80000000000001</v>
      </c>
      <c r="D968" s="984" t="str">
        <f>'DEV-2'!D962</f>
        <v>No</v>
      </c>
      <c r="E968" s="985"/>
      <c r="F968" s="1053"/>
      <c r="G968" s="985"/>
      <c r="H968" s="914"/>
      <c r="I968" s="985"/>
      <c r="J968" s="914"/>
      <c r="K968" s="985"/>
      <c r="L968" s="914"/>
      <c r="M968" s="985"/>
      <c r="N968" s="914"/>
      <c r="O968" s="914"/>
      <c r="P968" s="914"/>
      <c r="Q968" s="914">
        <f>'DEV-2'!U962</f>
        <v>1</v>
      </c>
      <c r="R968" s="914">
        <f t="shared" si="136"/>
        <v>139.80000000000001</v>
      </c>
      <c r="S968" s="915">
        <f t="shared" si="148"/>
        <v>1</v>
      </c>
      <c r="T968" s="911">
        <f t="shared" si="149"/>
        <v>139.80000000000001</v>
      </c>
    </row>
    <row r="969" spans="1:20" ht="198" customHeight="1">
      <c r="A969" s="979">
        <f>'DEV-2'!A963</f>
        <v>0</v>
      </c>
      <c r="B969" s="970" t="s">
        <v>6946</v>
      </c>
      <c r="C969" s="1026">
        <v>69.8</v>
      </c>
      <c r="D969" s="984" t="str">
        <f>'DEV-2'!D963</f>
        <v>No</v>
      </c>
      <c r="E969" s="985"/>
      <c r="F969" s="1053"/>
      <c r="G969" s="985"/>
      <c r="H969" s="914"/>
      <c r="I969" s="985"/>
      <c r="J969" s="914"/>
      <c r="K969" s="985"/>
      <c r="L969" s="914"/>
      <c r="M969" s="985"/>
      <c r="N969" s="914"/>
      <c r="O969" s="914"/>
      <c r="P969" s="914"/>
      <c r="Q969" s="914">
        <f>'DEV-2'!U963</f>
        <v>3</v>
      </c>
      <c r="R969" s="914">
        <f t="shared" si="136"/>
        <v>209.4</v>
      </c>
      <c r="S969" s="915">
        <f t="shared" si="148"/>
        <v>3</v>
      </c>
      <c r="T969" s="911">
        <f t="shared" si="149"/>
        <v>209.4</v>
      </c>
    </row>
    <row r="970" spans="1:20" ht="198" customHeight="1">
      <c r="A970" s="979">
        <f>'DEV-2'!A964</f>
        <v>0</v>
      </c>
      <c r="B970" s="970" t="s">
        <v>6727</v>
      </c>
      <c r="C970" s="1179">
        <f>'DEV-2'!C964</f>
        <v>205</v>
      </c>
      <c r="D970" s="984" t="str">
        <f>'DEV-2'!D964</f>
        <v>No</v>
      </c>
      <c r="E970" s="985"/>
      <c r="F970" s="1053"/>
      <c r="G970" s="985"/>
      <c r="H970" s="914"/>
      <c r="I970" s="985"/>
      <c r="J970" s="914"/>
      <c r="K970" s="985"/>
      <c r="L970" s="914"/>
      <c r="M970" s="985"/>
      <c r="N970" s="914"/>
      <c r="O970" s="914"/>
      <c r="P970" s="914"/>
      <c r="Q970" s="914">
        <f>'DEV-2'!U964</f>
        <v>2</v>
      </c>
      <c r="R970" s="914">
        <f t="shared" si="136"/>
        <v>410</v>
      </c>
      <c r="S970" s="915">
        <f t="shared" si="148"/>
        <v>2</v>
      </c>
      <c r="T970" s="911">
        <f t="shared" si="149"/>
        <v>410</v>
      </c>
    </row>
    <row r="971" spans="1:20" ht="198" customHeight="1">
      <c r="A971" s="979">
        <f>'DEV-2'!A965</f>
        <v>0</v>
      </c>
      <c r="B971" s="970" t="s">
        <v>6947</v>
      </c>
      <c r="C971" s="1026">
        <v>87</v>
      </c>
      <c r="D971" s="984" t="str">
        <f>'DEV-2'!D965</f>
        <v>No</v>
      </c>
      <c r="E971" s="985"/>
      <c r="F971" s="1053"/>
      <c r="G971" s="985"/>
      <c r="H971" s="914"/>
      <c r="I971" s="985"/>
      <c r="J971" s="914"/>
      <c r="K971" s="985"/>
      <c r="L971" s="914"/>
      <c r="M971" s="985"/>
      <c r="N971" s="914"/>
      <c r="O971" s="914"/>
      <c r="P971" s="914"/>
      <c r="Q971" s="914">
        <f>'DEV-2'!U965</f>
        <v>2</v>
      </c>
      <c r="R971" s="914">
        <f t="shared" si="136"/>
        <v>174</v>
      </c>
      <c r="S971" s="915">
        <f t="shared" si="148"/>
        <v>2</v>
      </c>
      <c r="T971" s="911">
        <f t="shared" si="149"/>
        <v>174</v>
      </c>
    </row>
    <row r="972" spans="1:20" ht="198" customHeight="1">
      <c r="A972" s="979">
        <f>'DEV-2'!A966</f>
        <v>0</v>
      </c>
      <c r="B972" s="970" t="s">
        <v>6948</v>
      </c>
      <c r="C972" s="1026">
        <v>1241</v>
      </c>
      <c r="D972" s="984" t="str">
        <f>'DEV-2'!D966</f>
        <v>No</v>
      </c>
      <c r="E972" s="985"/>
      <c r="F972" s="1053"/>
      <c r="G972" s="985"/>
      <c r="H972" s="914"/>
      <c r="I972" s="985"/>
      <c r="J972" s="914"/>
      <c r="K972" s="985"/>
      <c r="L972" s="914"/>
      <c r="M972" s="985"/>
      <c r="N972" s="914"/>
      <c r="O972" s="914"/>
      <c r="P972" s="914"/>
      <c r="Q972" s="914">
        <f>'DEV-2'!U966</f>
        <v>1</v>
      </c>
      <c r="R972" s="914">
        <f t="shared" ref="R972:R1004" si="150">Q972*C972</f>
        <v>1241</v>
      </c>
      <c r="S972" s="915">
        <f t="shared" si="148"/>
        <v>1</v>
      </c>
      <c r="T972" s="911">
        <f t="shared" si="149"/>
        <v>1241</v>
      </c>
    </row>
    <row r="973" spans="1:20" ht="198" customHeight="1">
      <c r="A973" s="979">
        <f>'DEV-2'!A967</f>
        <v>0</v>
      </c>
      <c r="B973" s="970" t="s">
        <v>6949</v>
      </c>
      <c r="C973" s="1026">
        <v>760</v>
      </c>
      <c r="D973" s="984" t="str">
        <f>'DEV-2'!D967</f>
        <v>No</v>
      </c>
      <c r="E973" s="985"/>
      <c r="F973" s="1053"/>
      <c r="G973" s="985"/>
      <c r="H973" s="914"/>
      <c r="I973" s="985"/>
      <c r="J973" s="914"/>
      <c r="K973" s="985"/>
      <c r="L973" s="914"/>
      <c r="M973" s="985"/>
      <c r="N973" s="914"/>
      <c r="O973" s="914"/>
      <c r="P973" s="914"/>
      <c r="Q973" s="914">
        <f>'DEV-2'!U967</f>
        <v>1</v>
      </c>
      <c r="R973" s="914">
        <f t="shared" si="150"/>
        <v>760</v>
      </c>
      <c r="S973" s="915">
        <f t="shared" si="148"/>
        <v>1</v>
      </c>
      <c r="T973" s="911">
        <f t="shared" si="149"/>
        <v>760</v>
      </c>
    </row>
    <row r="974" spans="1:20" ht="250.5" customHeight="1">
      <c r="A974" s="979">
        <f>'DEV-2'!A968</f>
        <v>6</v>
      </c>
      <c r="B974" s="970" t="str">
        <f>'DEV-2'!B968</f>
        <v>Supplying, laying, fixing and jointing the following upvc pipes Below G.L</v>
      </c>
      <c r="C974" s="1026">
        <f>'DEV-2'!C968</f>
        <v>0</v>
      </c>
      <c r="D974" s="984">
        <f>'DEV-2'!D968</f>
        <v>0</v>
      </c>
      <c r="E974" s="985"/>
      <c r="F974" s="1053"/>
      <c r="G974" s="985"/>
      <c r="H974" s="914"/>
      <c r="I974" s="985"/>
      <c r="J974" s="914"/>
      <c r="K974" s="985"/>
      <c r="L974" s="914"/>
      <c r="M974" s="985"/>
      <c r="N974" s="914"/>
      <c r="O974" s="914"/>
      <c r="P974" s="914"/>
      <c r="Q974" s="914">
        <f>'DEV-2'!U968</f>
        <v>0</v>
      </c>
      <c r="R974" s="914">
        <f t="shared" si="150"/>
        <v>0</v>
      </c>
      <c r="S974" s="915">
        <f t="shared" si="148"/>
        <v>0</v>
      </c>
      <c r="T974" s="911">
        <f t="shared" si="149"/>
        <v>0</v>
      </c>
    </row>
    <row r="975" spans="1:20" ht="160.5" customHeight="1">
      <c r="A975" s="979">
        <f>'DEV-2'!A969</f>
        <v>0</v>
      </c>
      <c r="B975" s="970" t="str">
        <f>'DEV-2'!B969</f>
        <v>40mm dia  Upvc pipe</v>
      </c>
      <c r="C975" s="1026">
        <f>'DEV-2'!C969</f>
        <v>226.38</v>
      </c>
      <c r="D975" s="984" t="str">
        <f>'DEV-2'!D969</f>
        <v>Rmt</v>
      </c>
      <c r="E975" s="985"/>
      <c r="F975" s="1053"/>
      <c r="G975" s="985"/>
      <c r="H975" s="914"/>
      <c r="I975" s="985"/>
      <c r="J975" s="914"/>
      <c r="K975" s="985"/>
      <c r="L975" s="914"/>
      <c r="M975" s="985"/>
      <c r="N975" s="914"/>
      <c r="O975" s="914"/>
      <c r="P975" s="914"/>
      <c r="Q975" s="914">
        <f>'DEV-2'!U969</f>
        <v>30</v>
      </c>
      <c r="R975" s="914">
        <f t="shared" si="150"/>
        <v>6791.4</v>
      </c>
      <c r="S975" s="915">
        <f t="shared" si="148"/>
        <v>30</v>
      </c>
      <c r="T975" s="911">
        <f t="shared" si="149"/>
        <v>6791.4</v>
      </c>
    </row>
    <row r="976" spans="1:20" ht="250.5" customHeight="1">
      <c r="A976" s="979">
        <f>'DEV-2'!A970</f>
        <v>7</v>
      </c>
      <c r="B976" s="970" t="str">
        <f>'DEV-2'!B970</f>
        <v xml:space="preserve">Supplying and delivery of following dia UPVC specials of best and approved quality having ISI mark </v>
      </c>
      <c r="C976" s="1026">
        <f>'DEV-2'!C970</f>
        <v>0</v>
      </c>
      <c r="D976" s="984">
        <f>'DEV-2'!D970</f>
        <v>0</v>
      </c>
      <c r="E976" s="985"/>
      <c r="F976" s="1053"/>
      <c r="G976" s="985"/>
      <c r="H976" s="914"/>
      <c r="I976" s="985"/>
      <c r="J976" s="914"/>
      <c r="K976" s="985"/>
      <c r="L976" s="914"/>
      <c r="M976" s="985"/>
      <c r="N976" s="914"/>
      <c r="O976" s="914"/>
      <c r="P976" s="914"/>
      <c r="Q976" s="914">
        <f>'DEV-2'!U970</f>
        <v>0</v>
      </c>
      <c r="R976" s="914">
        <f t="shared" si="150"/>
        <v>0</v>
      </c>
      <c r="S976" s="915">
        <f t="shared" si="148"/>
        <v>0</v>
      </c>
      <c r="T976" s="911">
        <f t="shared" si="149"/>
        <v>0</v>
      </c>
    </row>
    <row r="977" spans="1:20" ht="186.75" customHeight="1">
      <c r="A977" s="979">
        <f>'DEV-2'!A971</f>
        <v>0</v>
      </c>
      <c r="B977" s="970" t="str">
        <f>'DEV-2'!B971</f>
        <v>a) 40 mm dia UPVC Ball valve  (Qtn)</v>
      </c>
      <c r="C977" s="1179">
        <f>'DEV-2'!C971</f>
        <v>350</v>
      </c>
      <c r="D977" s="984" t="str">
        <f>'DEV-2'!D971</f>
        <v>No</v>
      </c>
      <c r="E977" s="985"/>
      <c r="F977" s="1053"/>
      <c r="G977" s="985"/>
      <c r="H977" s="914"/>
      <c r="I977" s="985"/>
      <c r="J977" s="914"/>
      <c r="K977" s="985"/>
      <c r="L977" s="914"/>
      <c r="M977" s="985"/>
      <c r="N977" s="914"/>
      <c r="O977" s="914"/>
      <c r="P977" s="914"/>
      <c r="Q977" s="914">
        <f>'DEV-2'!U971</f>
        <v>1</v>
      </c>
      <c r="R977" s="914">
        <f t="shared" si="150"/>
        <v>350</v>
      </c>
      <c r="S977" s="915">
        <f t="shared" si="148"/>
        <v>1</v>
      </c>
      <c r="T977" s="911">
        <f t="shared" si="149"/>
        <v>350</v>
      </c>
    </row>
    <row r="978" spans="1:20" ht="250.5" customHeight="1">
      <c r="A978" s="979">
        <f>'DEV-2'!A972</f>
        <v>0</v>
      </c>
      <c r="B978" s="970" t="str">
        <f>'DEV-2'!B972</f>
        <v xml:space="preserve">b) 32mm dia UPVC Ball valve TWAD SR Pg.54 / 2022 -23 </v>
      </c>
      <c r="C978" s="1026">
        <f>'DEV-2'!C972</f>
        <v>201</v>
      </c>
      <c r="D978" s="984" t="str">
        <f>'DEV-2'!D972</f>
        <v>No</v>
      </c>
      <c r="E978" s="985"/>
      <c r="F978" s="1053"/>
      <c r="G978" s="985"/>
      <c r="H978" s="914"/>
      <c r="I978" s="985"/>
      <c r="J978" s="914"/>
      <c r="K978" s="985"/>
      <c r="L978" s="914"/>
      <c r="M978" s="985"/>
      <c r="N978" s="914"/>
      <c r="O978" s="914"/>
      <c r="P978" s="914"/>
      <c r="Q978" s="914">
        <f>'DEV-2'!U972</f>
        <v>1</v>
      </c>
      <c r="R978" s="914">
        <f t="shared" si="150"/>
        <v>201</v>
      </c>
      <c r="S978" s="915">
        <f t="shared" si="148"/>
        <v>1</v>
      </c>
      <c r="T978" s="911">
        <f t="shared" si="149"/>
        <v>201</v>
      </c>
    </row>
    <row r="979" spans="1:20" ht="250.5" customHeight="1">
      <c r="A979" s="979">
        <f>'DEV-2'!A973</f>
        <v>0</v>
      </c>
      <c r="B979" s="970" t="str">
        <f>'DEV-2'!B973</f>
        <v xml:space="preserve">c) 25mm dia UPVC Ball valve TWAD SR Pg.54 / 2022 -23 </v>
      </c>
      <c r="C979" s="1026">
        <f>'DEV-2'!C973</f>
        <v>169</v>
      </c>
      <c r="D979" s="984" t="str">
        <f>'DEV-2'!D973</f>
        <v>No</v>
      </c>
      <c r="E979" s="985"/>
      <c r="F979" s="1053"/>
      <c r="G979" s="985"/>
      <c r="H979" s="914"/>
      <c r="I979" s="985"/>
      <c r="J979" s="914"/>
      <c r="K979" s="985"/>
      <c r="L979" s="914"/>
      <c r="M979" s="985"/>
      <c r="N979" s="914"/>
      <c r="O979" s="914"/>
      <c r="P979" s="914"/>
      <c r="Q979" s="914">
        <f>'DEV-2'!U973</f>
        <v>4</v>
      </c>
      <c r="R979" s="914">
        <f t="shared" si="150"/>
        <v>676</v>
      </c>
      <c r="S979" s="915">
        <f t="shared" si="148"/>
        <v>4</v>
      </c>
      <c r="T979" s="911">
        <f t="shared" si="149"/>
        <v>676</v>
      </c>
    </row>
    <row r="980" spans="1:20" ht="250.5" customHeight="1">
      <c r="A980" s="979">
        <f>'DEV-2'!A974</f>
        <v>0</v>
      </c>
      <c r="B980" s="970" t="str">
        <f>'DEV-2'!B974</f>
        <v>d) 40 mm x 32 mm dia reducer (As per PWD SR Pg.115 / 2023-24 )</v>
      </c>
      <c r="C980" s="1026">
        <f>'DEV-2'!C974</f>
        <v>89.4</v>
      </c>
      <c r="D980" s="984" t="str">
        <f>'DEV-2'!D974</f>
        <v>No</v>
      </c>
      <c r="E980" s="985"/>
      <c r="F980" s="1053"/>
      <c r="G980" s="985"/>
      <c r="H980" s="914"/>
      <c r="I980" s="985"/>
      <c r="J980" s="914"/>
      <c r="K980" s="985"/>
      <c r="L980" s="914"/>
      <c r="M980" s="985"/>
      <c r="N980" s="914"/>
      <c r="O980" s="914"/>
      <c r="P980" s="914"/>
      <c r="Q980" s="914">
        <f>'DEV-2'!U974</f>
        <v>1</v>
      </c>
      <c r="R980" s="914">
        <f t="shared" si="150"/>
        <v>89.4</v>
      </c>
      <c r="S980" s="915">
        <f t="shared" si="148"/>
        <v>1</v>
      </c>
      <c r="T980" s="911">
        <f t="shared" si="149"/>
        <v>89.4</v>
      </c>
    </row>
    <row r="981" spans="1:20" ht="250.5" customHeight="1">
      <c r="A981" s="979">
        <f>'DEV-2'!A975</f>
        <v>0</v>
      </c>
      <c r="B981" s="970" t="str">
        <f>'DEV-2'!B975</f>
        <v>e) 32 mm x 25 mm dia reducer (As per PWD SR Pg.115 / 2023-24 )</v>
      </c>
      <c r="C981" s="1026">
        <f>'DEV-2'!C975</f>
        <v>64.7</v>
      </c>
      <c r="D981" s="984" t="str">
        <f>'DEV-2'!D975</f>
        <v>No</v>
      </c>
      <c r="E981" s="985"/>
      <c r="F981" s="1053"/>
      <c r="G981" s="985"/>
      <c r="H981" s="914"/>
      <c r="I981" s="985"/>
      <c r="J981" s="914"/>
      <c r="K981" s="985"/>
      <c r="L981" s="914"/>
      <c r="M981" s="985"/>
      <c r="N981" s="914"/>
      <c r="O981" s="914"/>
      <c r="P981" s="914"/>
      <c r="Q981" s="914">
        <f>'DEV-2'!U975</f>
        <v>1</v>
      </c>
      <c r="R981" s="914">
        <f t="shared" si="150"/>
        <v>64.7</v>
      </c>
      <c r="S981" s="915">
        <f t="shared" si="148"/>
        <v>1</v>
      </c>
      <c r="T981" s="911">
        <f t="shared" si="149"/>
        <v>64.7</v>
      </c>
    </row>
    <row r="982" spans="1:20" ht="153" customHeight="1">
      <c r="A982" s="979">
        <f>'DEV-2'!A976</f>
        <v>0</v>
      </c>
      <c r="B982" s="1057" t="str">
        <f>'DEV-2'!B976</f>
        <v>Numbering lettering</v>
      </c>
      <c r="C982" s="1026">
        <f>'DEV-2'!C976</f>
        <v>0</v>
      </c>
      <c r="D982" s="984">
        <f>'DEV-2'!D976</f>
        <v>0</v>
      </c>
      <c r="E982" s="985"/>
      <c r="F982" s="1053"/>
      <c r="G982" s="985"/>
      <c r="H982" s="914"/>
      <c r="I982" s="985"/>
      <c r="J982" s="914"/>
      <c r="K982" s="985"/>
      <c r="L982" s="914"/>
      <c r="M982" s="985"/>
      <c r="N982" s="914"/>
      <c r="O982" s="914"/>
      <c r="P982" s="914"/>
      <c r="Q982" s="914">
        <f>'DEV-2'!U976</f>
        <v>0</v>
      </c>
      <c r="R982" s="914">
        <f t="shared" si="150"/>
        <v>0</v>
      </c>
      <c r="S982" s="915">
        <f t="shared" si="148"/>
        <v>0</v>
      </c>
      <c r="T982" s="911">
        <f t="shared" si="149"/>
        <v>0</v>
      </c>
    </row>
    <row r="983" spans="1:20" ht="250.5" customHeight="1">
      <c r="A983" s="979">
        <f>'DEV-2'!A977</f>
        <v>1</v>
      </c>
      <c r="B983" s="970" t="str">
        <f>'DEV-2'!B977</f>
        <v xml:space="preserve">Supplying and fixing of following size of TNPHC Emblem &amp; Aluminium Dye casting letters </v>
      </c>
      <c r="C983" s="1026">
        <f>'DEV-2'!C977</f>
        <v>0</v>
      </c>
      <c r="D983" s="984">
        <f>'DEV-2'!D977</f>
        <v>0</v>
      </c>
      <c r="E983" s="985"/>
      <c r="F983" s="1053"/>
      <c r="G983" s="985"/>
      <c r="H983" s="914"/>
      <c r="I983" s="985"/>
      <c r="J983" s="914"/>
      <c r="K983" s="985"/>
      <c r="L983" s="914"/>
      <c r="M983" s="985"/>
      <c r="N983" s="914"/>
      <c r="O983" s="914"/>
      <c r="P983" s="914"/>
      <c r="Q983" s="914">
        <f>'DEV-2'!U977</f>
        <v>0</v>
      </c>
      <c r="R983" s="914">
        <f t="shared" si="150"/>
        <v>0</v>
      </c>
      <c r="S983" s="915">
        <f t="shared" si="148"/>
        <v>0</v>
      </c>
      <c r="T983" s="911">
        <f t="shared" si="149"/>
        <v>0</v>
      </c>
    </row>
    <row r="984" spans="1:20" ht="250.5" customHeight="1">
      <c r="A984" s="979">
        <f>'DEV-2'!A978</f>
        <v>2</v>
      </c>
      <c r="B984" s="970" t="str">
        <f>'DEV-2'!B978</f>
        <v>a) 9" dia Aluminium Dye casting letters (As per PWD SR Pg.72 / 2023 -24 )</v>
      </c>
      <c r="C984" s="1026">
        <f>'DEV-2'!C978</f>
        <v>1179</v>
      </c>
      <c r="D984" s="984" t="str">
        <f>'DEV-2'!D978</f>
        <v>No</v>
      </c>
      <c r="E984" s="985"/>
      <c r="F984" s="1053"/>
      <c r="G984" s="985"/>
      <c r="H984" s="914"/>
      <c r="I984" s="985"/>
      <c r="J984" s="914"/>
      <c r="K984" s="985"/>
      <c r="L984" s="914"/>
      <c r="M984" s="985"/>
      <c r="N984" s="914"/>
      <c r="O984" s="914"/>
      <c r="P984" s="914"/>
      <c r="Q984" s="914">
        <f>'DEV-2'!U978</f>
        <v>39</v>
      </c>
      <c r="R984" s="914">
        <f t="shared" si="150"/>
        <v>45981</v>
      </c>
      <c r="S984" s="915">
        <f t="shared" si="148"/>
        <v>39</v>
      </c>
      <c r="T984" s="911">
        <f t="shared" si="149"/>
        <v>45981</v>
      </c>
    </row>
    <row r="985" spans="1:20" ht="351.75" customHeight="1">
      <c r="A985" s="979">
        <f>'DEV-2'!A979</f>
        <v>3</v>
      </c>
      <c r="B985" s="970" t="str">
        <f>'DEV-2'!B979</f>
        <v>Supplying &amp; fixing Foam name plate (Acrylic ) with stickers of size 24" x 4" and 3mm thick  with lettering for identifing the rooms including cost of materials Qtn</v>
      </c>
      <c r="C985" s="1179">
        <f>'DEV-2'!C979</f>
        <v>450</v>
      </c>
      <c r="D985" s="984" t="str">
        <f>'DEV-2'!D979</f>
        <v>No</v>
      </c>
      <c r="E985" s="985"/>
      <c r="F985" s="1053"/>
      <c r="G985" s="985"/>
      <c r="H985" s="914"/>
      <c r="I985" s="985"/>
      <c r="J985" s="914"/>
      <c r="K985" s="985"/>
      <c r="L985" s="914"/>
      <c r="M985" s="985"/>
      <c r="N985" s="914"/>
      <c r="O985" s="914"/>
      <c r="P985" s="914"/>
      <c r="Q985" s="914">
        <f>'DEV-2'!U979</f>
        <v>12</v>
      </c>
      <c r="R985" s="914">
        <f t="shared" si="150"/>
        <v>5400</v>
      </c>
      <c r="S985" s="915">
        <f t="shared" si="148"/>
        <v>12</v>
      </c>
      <c r="T985" s="911">
        <f t="shared" si="149"/>
        <v>5400</v>
      </c>
    </row>
    <row r="986" spans="1:20" ht="321.75" customHeight="1">
      <c r="A986" s="979">
        <f>'DEV-2'!A980</f>
        <v>4</v>
      </c>
      <c r="B986" s="970" t="str">
        <f>'DEV-2'!B980</f>
        <v>Supply and fixing of 24"x 8" and 3mm thick plastic foam name plate (Acrylic ) with vinyl cutting letters RWH Board with approved colour etc. Qtn</v>
      </c>
      <c r="C986" s="1179">
        <f>'DEV-2'!C980</f>
        <v>500</v>
      </c>
      <c r="D986" s="984" t="str">
        <f>'DEV-2'!D980</f>
        <v>No</v>
      </c>
      <c r="E986" s="985"/>
      <c r="F986" s="1053"/>
      <c r="G986" s="985"/>
      <c r="H986" s="914"/>
      <c r="I986" s="985"/>
      <c r="J986" s="914"/>
      <c r="K986" s="985"/>
      <c r="L986" s="914"/>
      <c r="M986" s="985"/>
      <c r="N986" s="914"/>
      <c r="O986" s="914"/>
      <c r="P986" s="914"/>
      <c r="Q986" s="914">
        <f>'DEV-2'!U980</f>
        <v>1</v>
      </c>
      <c r="R986" s="914">
        <f t="shared" si="150"/>
        <v>500</v>
      </c>
      <c r="S986" s="915">
        <f t="shared" si="148"/>
        <v>1</v>
      </c>
      <c r="T986" s="911">
        <f t="shared" si="149"/>
        <v>500</v>
      </c>
    </row>
    <row r="987" spans="1:20" ht="340.5" customHeight="1">
      <c r="A987" s="979">
        <f>'DEV-2'!A981</f>
        <v>5</v>
      </c>
      <c r="B987" s="970" t="str">
        <f>'DEV-2'!B981</f>
        <v>Supplying and fixing of following size of TNPHC Emblem &amp; Aluminium Dye casting letters with MRF Powder Coating including labour charges</v>
      </c>
      <c r="C987" s="1026">
        <f>'DEV-2'!C981</f>
        <v>0</v>
      </c>
      <c r="D987" s="984">
        <f>'DEV-2'!D981</f>
        <v>0</v>
      </c>
      <c r="E987" s="985"/>
      <c r="F987" s="1053"/>
      <c r="G987" s="985"/>
      <c r="H987" s="914"/>
      <c r="I987" s="985"/>
      <c r="J987" s="914"/>
      <c r="K987" s="985"/>
      <c r="L987" s="914"/>
      <c r="M987" s="985"/>
      <c r="N987" s="914"/>
      <c r="O987" s="914"/>
      <c r="P987" s="914"/>
      <c r="Q987" s="914">
        <f>'DEV-2'!U981</f>
        <v>0</v>
      </c>
      <c r="R987" s="914">
        <f t="shared" si="150"/>
        <v>0</v>
      </c>
      <c r="S987" s="915">
        <f t="shared" si="148"/>
        <v>0</v>
      </c>
      <c r="T987" s="911">
        <f t="shared" si="149"/>
        <v>0</v>
      </c>
    </row>
    <row r="988" spans="1:20" ht="250.5" customHeight="1">
      <c r="A988" s="979">
        <f>'DEV-2'!A982</f>
        <v>0</v>
      </c>
      <c r="B988" s="970" t="str">
        <f>'DEV-2'!B982</f>
        <v>a) 15" Height TNPHC Emblem (As per PWD SR Pg.73 / 2023-24 )</v>
      </c>
      <c r="C988" s="1026">
        <f>'DEV-2'!C982</f>
        <v>12975</v>
      </c>
      <c r="D988" s="984" t="str">
        <f>'DEV-2'!D982</f>
        <v>No</v>
      </c>
      <c r="E988" s="985"/>
      <c r="F988" s="1053"/>
      <c r="G988" s="985"/>
      <c r="H988" s="914"/>
      <c r="I988" s="985"/>
      <c r="J988" s="914"/>
      <c r="K988" s="985"/>
      <c r="L988" s="914"/>
      <c r="M988" s="985"/>
      <c r="N988" s="914"/>
      <c r="O988" s="914"/>
      <c r="P988" s="914"/>
      <c r="Q988" s="914">
        <f>'DEV-2'!U982</f>
        <v>1</v>
      </c>
      <c r="R988" s="914">
        <f t="shared" si="150"/>
        <v>12975</v>
      </c>
      <c r="S988" s="915">
        <f t="shared" si="148"/>
        <v>1</v>
      </c>
      <c r="T988" s="911">
        <f t="shared" si="149"/>
        <v>12975</v>
      </c>
    </row>
    <row r="989" spans="1:20" ht="250.5" customHeight="1">
      <c r="A989" s="979">
        <f>'DEV-2'!A983</f>
        <v>6</v>
      </c>
      <c r="B989" s="970" t="str">
        <f>'DEV-2'!B983</f>
        <v>Supplying of 6 lever Navatal lock with 3 keys with ISI mark etc., complete . (Quotation)</v>
      </c>
      <c r="C989" s="1179">
        <f>'DEV-2'!C983</f>
        <v>550</v>
      </c>
      <c r="D989" s="984" t="str">
        <f>'DEV-2'!D983</f>
        <v>No</v>
      </c>
      <c r="E989" s="985"/>
      <c r="F989" s="1053"/>
      <c r="G989" s="985"/>
      <c r="H989" s="914"/>
      <c r="I989" s="985"/>
      <c r="J989" s="914"/>
      <c r="K989" s="985"/>
      <c r="L989" s="914"/>
      <c r="M989" s="985"/>
      <c r="N989" s="914"/>
      <c r="O989" s="914"/>
      <c r="P989" s="914"/>
      <c r="Q989" s="914">
        <f>'DEV-2'!U983</f>
        <v>20</v>
      </c>
      <c r="R989" s="914">
        <f t="shared" si="150"/>
        <v>11000</v>
      </c>
      <c r="S989" s="915">
        <f t="shared" si="148"/>
        <v>20</v>
      </c>
      <c r="T989" s="911">
        <f t="shared" si="149"/>
        <v>11000</v>
      </c>
    </row>
    <row r="990" spans="1:20" ht="250.5" customHeight="1">
      <c r="A990" s="979">
        <f>'DEV-2'!A984</f>
        <v>7</v>
      </c>
      <c r="B990" s="970" t="str">
        <f>'DEV-2'!B984</f>
        <v>Supply and Installation of Carbon dioxide gas type 2kg fire extinguishers     PWD SR Pg.102 / 2023-24)</v>
      </c>
      <c r="C990" s="1026">
        <f>'DEV-2'!C984</f>
        <v>8748</v>
      </c>
      <c r="D990" s="984" t="str">
        <f>'DEV-2'!D984</f>
        <v>No</v>
      </c>
      <c r="E990" s="985"/>
      <c r="F990" s="1053"/>
      <c r="G990" s="985"/>
      <c r="H990" s="914"/>
      <c r="I990" s="985"/>
      <c r="J990" s="914"/>
      <c r="K990" s="985"/>
      <c r="L990" s="914"/>
      <c r="M990" s="985"/>
      <c r="N990" s="914"/>
      <c r="O990" s="914"/>
      <c r="P990" s="914"/>
      <c r="Q990" s="914">
        <f>'DEV-2'!U984</f>
        <v>2</v>
      </c>
      <c r="R990" s="914">
        <f t="shared" si="150"/>
        <v>17496</v>
      </c>
      <c r="S990" s="915">
        <f t="shared" si="148"/>
        <v>2</v>
      </c>
      <c r="T990" s="911">
        <f t="shared" si="149"/>
        <v>17496</v>
      </c>
    </row>
    <row r="991" spans="1:20" ht="333" customHeight="1">
      <c r="A991" s="979">
        <f>'DEV-2'!A985</f>
        <v>8</v>
      </c>
      <c r="B991" s="970" t="str">
        <f>'DEV-2'!B985</f>
        <v>Supplying and fixing of Teak Wood wrought and put up for frames  of doors,including cost of 8mm Thk Sand blasted Glass, Ornamental Design beadings,6" Brass Hinges, 8" Brass Handle,8" Tower Bolt, Brass aldrop, Brass Door  topper including the cost of Melamine polish with necessary plugs, rebates for shutters, plaster grooves on all faces etc. , including labour charges for fixing hold fasts, complying with relevant standard specifications etc., in all respects</v>
      </c>
      <c r="C991" s="1026">
        <f>'DEV-2'!C985</f>
        <v>7945</v>
      </c>
      <c r="D991" s="984" t="str">
        <f>'DEV-2'!D985</f>
        <v>Sqm</v>
      </c>
      <c r="E991" s="985"/>
      <c r="F991" s="1053"/>
      <c r="G991" s="985"/>
      <c r="H991" s="914"/>
      <c r="I991" s="985"/>
      <c r="J991" s="914"/>
      <c r="K991" s="985"/>
      <c r="L991" s="914"/>
      <c r="M991" s="985"/>
      <c r="N991" s="914"/>
      <c r="O991" s="914"/>
      <c r="P991" s="914"/>
      <c r="Q991" s="914">
        <f>'DEV-2'!U985</f>
        <v>7.2</v>
      </c>
      <c r="R991" s="914">
        <f t="shared" si="150"/>
        <v>57204</v>
      </c>
      <c r="S991" s="915">
        <f t="shared" si="148"/>
        <v>7.2</v>
      </c>
      <c r="T991" s="911">
        <f t="shared" si="149"/>
        <v>57204</v>
      </c>
    </row>
    <row r="992" spans="1:20" ht="359.25" customHeight="1">
      <c r="A992" s="979">
        <f>'DEV-2'!A986</f>
        <v>9</v>
      </c>
      <c r="B992" s="970" t="str">
        <f>'DEV-2'!B986</f>
        <v>Supplying and fixing of 8mm tk calcium silicate board designed and perforated for false ceiling.  (As per PWD SR Pg.60 / 2023-24 )</v>
      </c>
      <c r="C992" s="1026">
        <f>'DEV-2'!C986</f>
        <v>1545</v>
      </c>
      <c r="D992" s="984" t="str">
        <f>'DEV-2'!D986</f>
        <v>Sqm</v>
      </c>
      <c r="E992" s="985"/>
      <c r="F992" s="1053"/>
      <c r="G992" s="985"/>
      <c r="H992" s="914"/>
      <c r="I992" s="985"/>
      <c r="J992" s="914"/>
      <c r="K992" s="985"/>
      <c r="L992" s="914"/>
      <c r="M992" s="985"/>
      <c r="N992" s="914"/>
      <c r="O992" s="914"/>
      <c r="P992" s="914"/>
      <c r="Q992" s="914">
        <f>'DEV-2'!U986</f>
        <v>59.29</v>
      </c>
      <c r="R992" s="914">
        <f t="shared" si="150"/>
        <v>91603.05</v>
      </c>
      <c r="S992" s="915">
        <f t="shared" si="148"/>
        <v>59.29</v>
      </c>
      <c r="T992" s="911">
        <f t="shared" si="149"/>
        <v>91603.05</v>
      </c>
    </row>
    <row r="993" spans="1:114" ht="250.5" customHeight="1">
      <c r="A993" s="979">
        <f>'DEV-2'!A987</f>
        <v>10</v>
      </c>
      <c r="B993" s="970" t="str">
        <f>'DEV-2'!B987</f>
        <v>Providing cornice work for GYP Board false ceiling (As per PWD SR Pg.60 / 2023-24 )</v>
      </c>
      <c r="C993" s="1026">
        <f>'DEV-2'!C987</f>
        <v>190.4</v>
      </c>
      <c r="D993" s="984" t="str">
        <f>'DEV-2'!D987</f>
        <v>Rmt</v>
      </c>
      <c r="E993" s="985"/>
      <c r="F993" s="1053"/>
      <c r="G993" s="985"/>
      <c r="H993" s="914"/>
      <c r="I993" s="985"/>
      <c r="J993" s="914"/>
      <c r="K993" s="985"/>
      <c r="L993" s="914"/>
      <c r="M993" s="985"/>
      <c r="N993" s="914"/>
      <c r="O993" s="914"/>
      <c r="P993" s="914"/>
      <c r="Q993" s="914">
        <f>'DEV-2'!U987</f>
        <v>32.22</v>
      </c>
      <c r="R993" s="914">
        <f t="shared" si="150"/>
        <v>6134.69</v>
      </c>
      <c r="S993" s="915">
        <f t="shared" si="148"/>
        <v>32.22</v>
      </c>
      <c r="T993" s="911">
        <f t="shared" si="149"/>
        <v>6134.69</v>
      </c>
    </row>
    <row r="994" spans="1:114" ht="409.5">
      <c r="A994" s="979">
        <f>'DEV-2'!A988</f>
        <v>11</v>
      </c>
      <c r="B994" s="970" t="str">
        <f>'DEV-2'!B988</f>
        <v>Supply, delivery &amp; fixing of Split type Air conditioner 1.5 Ton with 5KVA Capcity automatic votage stablizer , 2HW, 180A, 3 Star with 10 feet of copper tube  Etc., with 20mm dia pvc pipe 5m long etc., all complete and as directed by the Departmental Officer  ((As per PWD SR Pg.153 &amp; 154 / 2023 -24 )</v>
      </c>
      <c r="C994" s="1026">
        <f>'DEV-2'!C988</f>
        <v>61310</v>
      </c>
      <c r="D994" s="984" t="str">
        <f>'DEV-2'!D988</f>
        <v>Nos.</v>
      </c>
      <c r="E994" s="985"/>
      <c r="F994" s="1053"/>
      <c r="G994" s="985"/>
      <c r="H994" s="914"/>
      <c r="I994" s="985"/>
      <c r="J994" s="914"/>
      <c r="K994" s="985"/>
      <c r="L994" s="914"/>
      <c r="M994" s="985"/>
      <c r="N994" s="914"/>
      <c r="O994" s="914"/>
      <c r="P994" s="914"/>
      <c r="Q994" s="914">
        <f>'DEV-2'!U988</f>
        <v>5</v>
      </c>
      <c r="R994" s="914">
        <f t="shared" si="150"/>
        <v>306550</v>
      </c>
      <c r="S994" s="915">
        <f t="shared" si="148"/>
        <v>5</v>
      </c>
      <c r="T994" s="911">
        <f t="shared" si="149"/>
        <v>306550</v>
      </c>
    </row>
    <row r="995" spans="1:114" ht="359.25" customHeight="1">
      <c r="A995" s="979">
        <f>'DEV-2'!A989</f>
        <v>12</v>
      </c>
      <c r="B995" s="970" t="str">
        <f>'DEV-2'!B989</f>
        <v>Supply and fixing of MS stand for fixing outdoor unit, including cost of all materials etc., all complete and as directed by the Departmental Officers (As per PWD SR Pg.154 / 2023-24 )</v>
      </c>
      <c r="C995" s="1026">
        <f>'DEV-2'!C989</f>
        <v>6230</v>
      </c>
      <c r="D995" s="984" t="str">
        <f>'DEV-2'!D989</f>
        <v>No</v>
      </c>
      <c r="E995" s="985"/>
      <c r="F995" s="1053"/>
      <c r="G995" s="985"/>
      <c r="H995" s="914"/>
      <c r="I995" s="985"/>
      <c r="J995" s="914"/>
      <c r="K995" s="985"/>
      <c r="L995" s="914"/>
      <c r="M995" s="985"/>
      <c r="N995" s="914"/>
      <c r="O995" s="914"/>
      <c r="P995" s="914"/>
      <c r="Q995" s="914">
        <f>'DEV-2'!U989</f>
        <v>5</v>
      </c>
      <c r="R995" s="914">
        <f t="shared" si="150"/>
        <v>31150</v>
      </c>
      <c r="S995" s="915">
        <f t="shared" si="148"/>
        <v>5</v>
      </c>
      <c r="T995" s="911">
        <f t="shared" si="149"/>
        <v>31150</v>
      </c>
    </row>
    <row r="996" spans="1:114" ht="325.5" customHeight="1">
      <c r="A996" s="979">
        <f>'DEV-2'!A990</f>
        <v>13</v>
      </c>
      <c r="B996" s="970" t="str">
        <f>'DEV-2'!B990</f>
        <v>Supplying and fixing of 24W LED Fitting (4000K 2x2 square  type recessed fittings with LED) (As per PWD SR Pg.121 / 2023-24 )</v>
      </c>
      <c r="C996" s="1026">
        <f>'DEV-2'!C990</f>
        <v>2511</v>
      </c>
      <c r="D996" s="984" t="str">
        <f>'DEV-2'!D990</f>
        <v>No</v>
      </c>
      <c r="E996" s="985"/>
      <c r="F996" s="1053"/>
      <c r="G996" s="985"/>
      <c r="H996" s="914"/>
      <c r="I996" s="985"/>
      <c r="J996" s="914"/>
      <c r="K996" s="985"/>
      <c r="L996" s="914"/>
      <c r="M996" s="985"/>
      <c r="N996" s="914"/>
      <c r="O996" s="914"/>
      <c r="P996" s="914"/>
      <c r="Q996" s="914">
        <f>'DEV-2'!U990</f>
        <v>8</v>
      </c>
      <c r="R996" s="914">
        <f t="shared" si="150"/>
        <v>20088</v>
      </c>
      <c r="S996" s="915">
        <f t="shared" si="148"/>
        <v>8</v>
      </c>
      <c r="T996" s="911">
        <f t="shared" si="149"/>
        <v>20088</v>
      </c>
    </row>
    <row r="997" spans="1:114" ht="348" customHeight="1">
      <c r="A997" s="979">
        <f>'DEV-2'!A991</f>
        <v>14</v>
      </c>
      <c r="B997" s="970" t="str">
        <f>'DEV-2'!B991</f>
        <v>Providing Ordinary Vertical blinds for windows, including cost of  materials and labour charges etc (As per PWD SR Pg.62 / 2023-24)</v>
      </c>
      <c r="C997" s="1026">
        <f>'DEV-2'!C991</f>
        <v>922</v>
      </c>
      <c r="D997" s="984" t="str">
        <f>'DEV-2'!D991</f>
        <v>sqm</v>
      </c>
      <c r="E997" s="985"/>
      <c r="F997" s="1053"/>
      <c r="G997" s="985"/>
      <c r="H997" s="914"/>
      <c r="I997" s="985"/>
      <c r="J997" s="914"/>
      <c r="K997" s="985"/>
      <c r="L997" s="914"/>
      <c r="M997" s="985"/>
      <c r="N997" s="914"/>
      <c r="O997" s="914"/>
      <c r="P997" s="914"/>
      <c r="Q997" s="914">
        <f>'DEV-2'!U991</f>
        <v>26.46</v>
      </c>
      <c r="R997" s="914">
        <f t="shared" si="150"/>
        <v>24396.12</v>
      </c>
      <c r="S997" s="915">
        <f t="shared" si="148"/>
        <v>26.46</v>
      </c>
      <c r="T997" s="911">
        <f t="shared" si="149"/>
        <v>24396.12</v>
      </c>
    </row>
    <row r="998" spans="1:114" ht="153" customHeight="1">
      <c r="A998" s="979">
        <f>'DEV-2'!A992</f>
        <v>0</v>
      </c>
      <c r="B998" s="1057" t="str">
        <f>'DEV-2'!B992</f>
        <v>GENSET ARRANGEMENTS</v>
      </c>
      <c r="C998" s="1026">
        <f>'DEV-2'!C992</f>
        <v>0</v>
      </c>
      <c r="D998" s="984">
        <f>'DEV-2'!D992</f>
        <v>0</v>
      </c>
      <c r="E998" s="985"/>
      <c r="F998" s="1053"/>
      <c r="G998" s="985"/>
      <c r="H998" s="914"/>
      <c r="I998" s="985"/>
      <c r="J998" s="914"/>
      <c r="K998" s="985"/>
      <c r="L998" s="914"/>
      <c r="M998" s="985"/>
      <c r="N998" s="914"/>
      <c r="O998" s="914"/>
      <c r="P998" s="914"/>
      <c r="Q998" s="914">
        <f>'DEV-2'!U992</f>
        <v>0</v>
      </c>
      <c r="R998" s="914">
        <f t="shared" si="150"/>
        <v>0</v>
      </c>
      <c r="S998" s="915">
        <f t="shared" si="148"/>
        <v>0</v>
      </c>
      <c r="T998" s="911">
        <f t="shared" si="149"/>
        <v>0</v>
      </c>
    </row>
    <row r="999" spans="1:114" ht="408" customHeight="1">
      <c r="A999" s="979">
        <f>'DEV-2'!A993</f>
        <v>1</v>
      </c>
      <c r="B999" s="970" t="str">
        <f>'DEV-2'!B993</f>
        <v>Supply, erection, Testing and commissioning of 62.5 KVA AMP Panel generator set.Insulation for the residential silencer (supply of residential silencer to be included under item for DG Sets) (As per PWD SR Pg.157 / 2023-24)</v>
      </c>
      <c r="C999" s="1026">
        <f>'DEV-2'!C993</f>
        <v>671200</v>
      </c>
      <c r="D999" s="984" t="str">
        <f>'DEV-2'!D993</f>
        <v>Set</v>
      </c>
      <c r="E999" s="985"/>
      <c r="F999" s="1053"/>
      <c r="G999" s="985"/>
      <c r="H999" s="914"/>
      <c r="I999" s="985"/>
      <c r="J999" s="914"/>
      <c r="K999" s="985"/>
      <c r="L999" s="914"/>
      <c r="M999" s="985"/>
      <c r="N999" s="914"/>
      <c r="O999" s="914"/>
      <c r="P999" s="914"/>
      <c r="Q999" s="914">
        <f>'DEV-2'!U993</f>
        <v>1</v>
      </c>
      <c r="R999" s="914">
        <f t="shared" si="150"/>
        <v>671200</v>
      </c>
      <c r="S999" s="915">
        <f t="shared" si="148"/>
        <v>1</v>
      </c>
      <c r="T999" s="911">
        <f t="shared" si="149"/>
        <v>671200</v>
      </c>
    </row>
    <row r="1000" spans="1:114" ht="250.5" customHeight="1">
      <c r="A1000" s="979">
        <f>'DEV-2'!A994</f>
        <v>2</v>
      </c>
      <c r="B1000" s="970" t="str">
        <f>'DEV-2'!B994</f>
        <v>Supplying and laying of 3.5 core 25 sqmm LT UG Cable SD 222</v>
      </c>
      <c r="C1000" s="1026">
        <f>'DEV-2'!C994</f>
        <v>443</v>
      </c>
      <c r="D1000" s="984" t="str">
        <f>'DEV-2'!D994</f>
        <v>Rmt</v>
      </c>
      <c r="E1000" s="985"/>
      <c r="F1000" s="1053"/>
      <c r="G1000" s="985"/>
      <c r="H1000" s="914"/>
      <c r="I1000" s="985"/>
      <c r="J1000" s="914"/>
      <c r="K1000" s="985"/>
      <c r="L1000" s="914"/>
      <c r="M1000" s="985"/>
      <c r="N1000" s="914"/>
      <c r="O1000" s="914"/>
      <c r="P1000" s="914"/>
      <c r="Q1000" s="914">
        <f>'DEV-2'!U994</f>
        <v>50</v>
      </c>
      <c r="R1000" s="914">
        <f t="shared" si="150"/>
        <v>22150</v>
      </c>
      <c r="S1000" s="915">
        <f t="shared" si="148"/>
        <v>50</v>
      </c>
      <c r="T1000" s="911">
        <f t="shared" si="149"/>
        <v>22150</v>
      </c>
    </row>
    <row r="1001" spans="1:114" ht="310.5" customHeight="1">
      <c r="A1001" s="979">
        <f>'DEV-2'!A995</f>
        <v>3</v>
      </c>
      <c r="B1001" s="970" t="str">
        <f>'DEV-2'!B995</f>
        <v>Supplying and providing cable end termination of following sizes of XLPE armoured LTUG cable 3.5core 25sqmm LTUG cable SD-235</v>
      </c>
      <c r="C1001" s="1026">
        <f>'DEV-2'!C995</f>
        <v>335</v>
      </c>
      <c r="D1001" s="984" t="str">
        <f>'DEV-2'!D995</f>
        <v>no</v>
      </c>
      <c r="E1001" s="985"/>
      <c r="F1001" s="1053"/>
      <c r="G1001" s="985"/>
      <c r="H1001" s="914"/>
      <c r="I1001" s="985"/>
      <c r="J1001" s="914"/>
      <c r="K1001" s="985"/>
      <c r="L1001" s="914"/>
      <c r="M1001" s="985"/>
      <c r="N1001" s="914"/>
      <c r="O1001" s="914"/>
      <c r="P1001" s="914"/>
      <c r="Q1001" s="914">
        <f>'DEV-2'!U995</f>
        <v>6</v>
      </c>
      <c r="R1001" s="914">
        <f t="shared" si="150"/>
        <v>2010</v>
      </c>
      <c r="S1001" s="915">
        <f t="shared" si="148"/>
        <v>6</v>
      </c>
      <c r="T1001" s="911">
        <f t="shared" si="149"/>
        <v>2010</v>
      </c>
    </row>
    <row r="1002" spans="1:114" ht="321.75" customHeight="1">
      <c r="A1002" s="979">
        <f>'DEV-2'!A996</f>
        <v>4</v>
      </c>
      <c r="B1002" s="970" t="str">
        <f>'DEV-2'!B996</f>
        <v>Supply &amp; fixing of cable gland suitable for following PVC armoured LTUG cable etc., complete  3.5core 25sqmm LTUG cable SD-186</v>
      </c>
      <c r="C1002" s="1026">
        <f>'DEV-2'!C996</f>
        <v>426</v>
      </c>
      <c r="D1002" s="984" t="str">
        <f>'DEV-2'!D996</f>
        <v>no</v>
      </c>
      <c r="E1002" s="985"/>
      <c r="F1002" s="1053"/>
      <c r="G1002" s="985"/>
      <c r="H1002" s="914"/>
      <c r="I1002" s="985"/>
      <c r="J1002" s="914"/>
      <c r="K1002" s="985"/>
      <c r="L1002" s="914"/>
      <c r="M1002" s="985"/>
      <c r="N1002" s="914"/>
      <c r="O1002" s="914"/>
      <c r="P1002" s="914"/>
      <c r="Q1002" s="914">
        <f>'DEV-2'!U996</f>
        <v>6</v>
      </c>
      <c r="R1002" s="914">
        <f t="shared" si="150"/>
        <v>2556</v>
      </c>
      <c r="S1002" s="915">
        <f t="shared" si="148"/>
        <v>6</v>
      </c>
      <c r="T1002" s="911">
        <f t="shared" si="149"/>
        <v>2556</v>
      </c>
    </row>
    <row r="1003" spans="1:114" ht="250.5" customHeight="1">
      <c r="A1003" s="979">
        <f>'DEV-2'!A997</f>
        <v>5</v>
      </c>
      <c r="B1003" s="970" t="str">
        <f>'DEV-2'!B997</f>
        <v>Supplying and laying of following GI pipe B class with ISI mark (Below Ground Level) 50mm dia</v>
      </c>
      <c r="C1003" s="1026">
        <f>'DEV-2'!C997</f>
        <v>533.63</v>
      </c>
      <c r="D1003" s="984" t="str">
        <f>'DEV-2'!D997</f>
        <v>Rmt</v>
      </c>
      <c r="E1003" s="985"/>
      <c r="F1003" s="1053"/>
      <c r="G1003" s="985"/>
      <c r="H1003" s="914"/>
      <c r="I1003" s="985"/>
      <c r="J1003" s="914"/>
      <c r="K1003" s="985"/>
      <c r="L1003" s="914"/>
      <c r="M1003" s="985"/>
      <c r="N1003" s="914"/>
      <c r="O1003" s="914"/>
      <c r="P1003" s="914"/>
      <c r="Q1003" s="914">
        <f>'DEV-2'!U997</f>
        <v>12</v>
      </c>
      <c r="R1003" s="914">
        <f t="shared" si="150"/>
        <v>6403.56</v>
      </c>
      <c r="S1003" s="915">
        <f t="shared" si="148"/>
        <v>12</v>
      </c>
      <c r="T1003" s="911">
        <f t="shared" si="149"/>
        <v>6403.56</v>
      </c>
    </row>
    <row r="1004" spans="1:114" ht="408" customHeight="1">
      <c r="A1004" s="979">
        <f>'DEV-2'!A998</f>
        <v>6</v>
      </c>
      <c r="B1004" s="970" t="str">
        <f>'DEV-2'!B998</f>
        <v>Fabricating Supplying sectioning of PPGI sheet for the specifications.  The materials should be PPGI file profile with a blue colour or any other approved design 0.56mm thick 24 gauge having width 1050mm SER. No. 13 / 2022-23</v>
      </c>
      <c r="C1004" s="1026">
        <f>'DEV-2'!C998</f>
        <v>1117.1600000000001</v>
      </c>
      <c r="D1004" s="984" t="str">
        <f>'DEV-2'!D998</f>
        <v>sqm</v>
      </c>
      <c r="E1004" s="985"/>
      <c r="F1004" s="1053"/>
      <c r="G1004" s="985"/>
      <c r="H1004" s="914"/>
      <c r="I1004" s="985"/>
      <c r="J1004" s="914"/>
      <c r="K1004" s="985"/>
      <c r="L1004" s="914"/>
      <c r="M1004" s="985"/>
      <c r="N1004" s="914"/>
      <c r="O1004" s="914"/>
      <c r="P1004" s="914"/>
      <c r="Q1004" s="914">
        <f>'DEV-2'!U998</f>
        <v>15</v>
      </c>
      <c r="R1004" s="914">
        <f t="shared" si="150"/>
        <v>16757.400000000001</v>
      </c>
      <c r="S1004" s="915">
        <f t="shared" si="148"/>
        <v>15</v>
      </c>
      <c r="T1004" s="911">
        <f t="shared" si="149"/>
        <v>16757.400000000001</v>
      </c>
    </row>
    <row r="1005" spans="1:114" ht="408" customHeight="1">
      <c r="A1005" s="979">
        <f>'DEV-2'!A999</f>
        <v>7</v>
      </c>
      <c r="B1005" s="970" t="str">
        <f>'DEV-2'!B999</f>
        <v>Supplying of 4 core 1.5Sq.mm Copper sensor cable  including the cost of material and loading unloding &amp; transportation charges etc, all  complete and as directed by the departmental officers Qtn</v>
      </c>
      <c r="C1005" s="1026">
        <f>'DEV-2'!C999</f>
        <v>162</v>
      </c>
      <c r="D1005" s="984" t="str">
        <f>'DEV-2'!D999</f>
        <v>Rmt</v>
      </c>
      <c r="E1005" s="985"/>
      <c r="F1005" s="1053"/>
      <c r="G1005" s="985"/>
      <c r="H1005" s="914"/>
      <c r="I1005" s="985"/>
      <c r="J1005" s="914"/>
      <c r="K1005" s="985"/>
      <c r="L1005" s="914"/>
      <c r="M1005" s="985"/>
      <c r="N1005" s="914"/>
      <c r="O1005" s="914"/>
      <c r="P1005" s="914"/>
      <c r="Q1005" s="914">
        <f>'DEV-2'!U999</f>
        <v>50</v>
      </c>
      <c r="R1005" s="914">
        <f t="shared" ref="R1005" si="151">Q1005*C1005</f>
        <v>8100</v>
      </c>
      <c r="S1005" s="915">
        <f t="shared" si="148"/>
        <v>50</v>
      </c>
      <c r="T1005" s="911">
        <f t="shared" si="149"/>
        <v>8100</v>
      </c>
    </row>
    <row r="1006" spans="1:114" s="1150" customFormat="1" ht="194.25" customHeight="1">
      <c r="A1006" s="1140"/>
      <c r="B1006" s="1141" t="s">
        <v>2235</v>
      </c>
      <c r="C1006" s="1142">
        <f>ROUND(DATA!K1206,2)</f>
        <v>0</v>
      </c>
      <c r="D1006" s="1143"/>
      <c r="E1006" s="1144"/>
      <c r="F1006" s="1221">
        <f>SUM(F6:F1005)</f>
        <v>9980415.1400000006</v>
      </c>
      <c r="G1006" s="1146"/>
      <c r="H1006" s="1145">
        <f>SUM(H6:H1005)</f>
        <v>140253.23000000001</v>
      </c>
      <c r="I1006" s="1147"/>
      <c r="J1006" s="1145">
        <f>SUM(J6:J1005)</f>
        <v>0</v>
      </c>
      <c r="K1006" s="1148"/>
      <c r="L1006" s="1145">
        <f>SUM(L6:L1005)</f>
        <v>810778.25</v>
      </c>
      <c r="M1006" s="1148"/>
      <c r="N1006" s="1145">
        <f>SUM(N6:N1005)</f>
        <v>109752.64</v>
      </c>
      <c r="O1006" s="1147"/>
      <c r="P1006" s="1145">
        <f>SUM(P6:P1005)</f>
        <v>796044.51</v>
      </c>
      <c r="Q1006" s="1147"/>
      <c r="R1006" s="1145">
        <f>SUM(R6:R1005)</f>
        <v>2286303.91</v>
      </c>
      <c r="S1006" s="1149"/>
      <c r="T1006" s="1145">
        <f>SUM(T6:T1005)</f>
        <v>14123547.619999999</v>
      </c>
      <c r="U1006" s="1177"/>
      <c r="V1006" s="1177"/>
      <c r="W1006" s="1177"/>
      <c r="X1006" s="1177"/>
      <c r="Y1006" s="1177"/>
      <c r="Z1006" s="1177"/>
      <c r="AA1006" s="1177"/>
      <c r="AB1006" s="1177"/>
      <c r="AC1006" s="1177"/>
      <c r="AD1006" s="1177"/>
      <c r="AE1006" s="1177"/>
      <c r="AF1006" s="1177"/>
      <c r="AG1006" s="1177"/>
      <c r="AH1006" s="1177"/>
      <c r="AI1006" s="1177"/>
      <c r="AJ1006" s="1177"/>
      <c r="AK1006" s="1177"/>
      <c r="AL1006" s="1177"/>
      <c r="AM1006" s="1177"/>
      <c r="AN1006" s="1177"/>
      <c r="AO1006" s="1177"/>
      <c r="AP1006" s="1177"/>
      <c r="AQ1006" s="1177"/>
      <c r="AR1006" s="1177"/>
      <c r="AS1006" s="1177"/>
      <c r="AT1006" s="1177"/>
      <c r="AU1006" s="1177"/>
      <c r="AV1006" s="1177"/>
      <c r="AW1006" s="1177"/>
      <c r="AX1006" s="1177"/>
      <c r="AY1006" s="1177"/>
      <c r="AZ1006" s="1177"/>
      <c r="BA1006" s="1177"/>
      <c r="BB1006" s="1177"/>
      <c r="BC1006" s="1177"/>
      <c r="BD1006" s="1177"/>
      <c r="BE1006" s="1177"/>
      <c r="BF1006" s="1177"/>
      <c r="BG1006" s="1177"/>
      <c r="BH1006" s="1177"/>
      <c r="BI1006" s="1177"/>
      <c r="BJ1006" s="1177"/>
      <c r="BK1006" s="1177"/>
      <c r="BL1006" s="1177"/>
      <c r="BM1006" s="1177"/>
      <c r="BN1006" s="1177"/>
      <c r="BO1006" s="1177"/>
      <c r="BP1006" s="1177"/>
      <c r="BQ1006" s="1177"/>
      <c r="BR1006" s="1177"/>
      <c r="BS1006" s="1177"/>
      <c r="BT1006" s="1177"/>
      <c r="BU1006" s="1177"/>
      <c r="BV1006" s="1177"/>
      <c r="BW1006" s="1177"/>
      <c r="BX1006" s="1177"/>
      <c r="BY1006" s="1177"/>
      <c r="BZ1006" s="1177"/>
      <c r="CA1006" s="1177"/>
      <c r="CB1006" s="1177"/>
      <c r="CC1006" s="1177"/>
      <c r="CD1006" s="1177"/>
      <c r="CE1006" s="1177"/>
      <c r="CF1006" s="1177"/>
      <c r="CG1006" s="1177"/>
      <c r="CH1006" s="1177"/>
      <c r="CI1006" s="1177"/>
      <c r="CJ1006" s="1177"/>
      <c r="CK1006" s="1177"/>
      <c r="CL1006" s="1177"/>
      <c r="CM1006" s="1177"/>
      <c r="CN1006" s="1177"/>
      <c r="CO1006" s="1177"/>
      <c r="CP1006" s="1177"/>
      <c r="CQ1006" s="1177"/>
      <c r="CR1006" s="1177"/>
      <c r="CS1006" s="1177"/>
      <c r="CT1006" s="1177"/>
      <c r="CU1006" s="1177"/>
      <c r="CV1006" s="1177"/>
      <c r="CW1006" s="1177"/>
      <c r="CX1006" s="1177"/>
      <c r="CY1006" s="1177"/>
      <c r="CZ1006" s="1177"/>
      <c r="DA1006" s="1177"/>
      <c r="DB1006" s="1177"/>
      <c r="DC1006" s="1177"/>
      <c r="DD1006" s="1177"/>
      <c r="DE1006" s="1177"/>
      <c r="DF1006" s="1177"/>
      <c r="DG1006" s="1177"/>
      <c r="DH1006" s="1177"/>
      <c r="DI1006" s="1177"/>
      <c r="DJ1006" s="1177"/>
    </row>
    <row r="1007" spans="1:114" ht="250.5" customHeight="1">
      <c r="A1007" s="931"/>
      <c r="B1007" s="1027"/>
      <c r="C1007" s="1028"/>
      <c r="D1007" s="1004"/>
      <c r="E1007" s="1029"/>
      <c r="F1007" s="1053">
        <f t="shared" ref="F1007:F1013" si="152">E1007*C1007</f>
        <v>0</v>
      </c>
      <c r="G1007" s="919"/>
      <c r="H1007" s="914">
        <f t="shared" ref="H1007:H1013" si="153">G1007*C1007</f>
        <v>0</v>
      </c>
      <c r="I1007" s="919"/>
      <c r="J1007" s="914">
        <f t="shared" ref="J1007:J1013" si="154">I1007*C1007</f>
        <v>0</v>
      </c>
      <c r="K1007" s="919"/>
      <c r="L1007" s="914">
        <f t="shared" ref="L1007:L1013" si="155">K1007*C1007</f>
        <v>0</v>
      </c>
      <c r="M1007" s="919"/>
      <c r="N1007" s="914">
        <f t="shared" ref="N1007:N1070" si="156">M1007*C1007</f>
        <v>0</v>
      </c>
      <c r="O1007" s="914"/>
      <c r="P1007" s="914">
        <f t="shared" ref="P1007:P1033" si="157">O1007*C1007</f>
        <v>0</v>
      </c>
      <c r="Q1007" s="914"/>
      <c r="R1007" s="914"/>
      <c r="S1007" s="915">
        <f t="shared" ref="S1007:S1039" si="158">G1007+I1007+K1007+M1007+E1007+O1007</f>
        <v>0</v>
      </c>
      <c r="T1007" s="911">
        <f>S1007*C1007</f>
        <v>0</v>
      </c>
    </row>
    <row r="1008" spans="1:114" ht="250.5" customHeight="1">
      <c r="A1008" s="931"/>
      <c r="B1008" s="906" t="s">
        <v>2041</v>
      </c>
      <c r="C1008" s="1028"/>
      <c r="D1008" s="908" t="s">
        <v>1393</v>
      </c>
      <c r="E1008" s="909"/>
      <c r="F1008" s="1053">
        <f t="shared" si="152"/>
        <v>0</v>
      </c>
      <c r="G1008" s="919"/>
      <c r="H1008" s="914">
        <f t="shared" si="153"/>
        <v>0</v>
      </c>
      <c r="I1008" s="919"/>
      <c r="J1008" s="914">
        <f t="shared" si="154"/>
        <v>0</v>
      </c>
      <c r="K1008" s="919"/>
      <c r="L1008" s="914">
        <f t="shared" si="155"/>
        <v>0</v>
      </c>
      <c r="M1008" s="919"/>
      <c r="N1008" s="914">
        <f t="shared" si="156"/>
        <v>0</v>
      </c>
      <c r="O1008" s="914"/>
      <c r="P1008" s="914">
        <f t="shared" si="157"/>
        <v>0</v>
      </c>
      <c r="Q1008" s="914"/>
      <c r="R1008" s="914"/>
      <c r="S1008" s="915">
        <f t="shared" si="158"/>
        <v>0</v>
      </c>
      <c r="T1008" s="1167">
        <f>S1008*C1008</f>
        <v>0</v>
      </c>
    </row>
    <row r="1009" spans="1:20" ht="250.5" customHeight="1">
      <c r="A1009" s="1030"/>
      <c r="B1009" s="1031" t="s">
        <v>595</v>
      </c>
      <c r="C1009" s="1032"/>
      <c r="D1009" s="1033" t="s">
        <v>1393</v>
      </c>
      <c r="E1009" s="1034"/>
      <c r="F1009" s="1054">
        <f t="shared" si="152"/>
        <v>0</v>
      </c>
      <c r="G1009" s="1035"/>
      <c r="H1009" s="1036">
        <f t="shared" si="153"/>
        <v>0</v>
      </c>
      <c r="I1009" s="1035"/>
      <c r="J1009" s="1036">
        <f t="shared" si="154"/>
        <v>0</v>
      </c>
      <c r="K1009" s="1035"/>
      <c r="L1009" s="1036">
        <f t="shared" si="155"/>
        <v>0</v>
      </c>
      <c r="M1009" s="1035"/>
      <c r="N1009" s="1036">
        <f t="shared" si="156"/>
        <v>0</v>
      </c>
      <c r="O1009" s="1117"/>
      <c r="P1009" s="914">
        <f t="shared" si="157"/>
        <v>0</v>
      </c>
      <c r="Q1009" s="914"/>
      <c r="R1009" s="914">
        <f>'DEV-2'!V1000</f>
        <v>2286303.91</v>
      </c>
      <c r="S1009" s="915">
        <f t="shared" si="158"/>
        <v>0</v>
      </c>
      <c r="T1009" s="1168">
        <f>H1006+J1006+L1006+N1006+F1006+P1006+R1006</f>
        <v>14123547.68</v>
      </c>
    </row>
    <row r="1010" spans="1:20" ht="250.5" customHeight="1">
      <c r="A1010" s="1037"/>
      <c r="B1010" s="1038" t="s">
        <v>596</v>
      </c>
      <c r="C1010" s="1039">
        <f>DATA!K2492</f>
        <v>4881.1899999999996</v>
      </c>
      <c r="D1010" s="1040" t="s">
        <v>2273</v>
      </c>
      <c r="E1010" s="1041"/>
      <c r="F1010" s="1055">
        <f t="shared" si="152"/>
        <v>0</v>
      </c>
      <c r="G1010" s="1042"/>
      <c r="H1010" s="1043">
        <f t="shared" si="153"/>
        <v>0</v>
      </c>
      <c r="I1010" s="1042"/>
      <c r="J1010" s="1043">
        <f t="shared" si="154"/>
        <v>0</v>
      </c>
      <c r="K1010" s="1042"/>
      <c r="L1010" s="1043">
        <f t="shared" si="155"/>
        <v>0</v>
      </c>
      <c r="M1010" s="1042"/>
      <c r="N1010" s="1043">
        <f t="shared" si="156"/>
        <v>0</v>
      </c>
      <c r="O1010" s="1117"/>
      <c r="P1010" s="914">
        <f t="shared" si="157"/>
        <v>0</v>
      </c>
      <c r="Q1010" s="914"/>
      <c r="R1010" s="914"/>
      <c r="S1010" s="915">
        <f t="shared" si="158"/>
        <v>0</v>
      </c>
      <c r="T1010" s="1169">
        <f>T1006-T1009</f>
        <v>-0.06</v>
      </c>
    </row>
    <row r="1011" spans="1:20" ht="250.5" customHeight="1">
      <c r="A1011" s="1037"/>
      <c r="B1011" s="1038" t="s">
        <v>1891</v>
      </c>
      <c r="C1011" s="1039">
        <f>DATA!K2515</f>
        <v>5175.3599999999997</v>
      </c>
      <c r="D1011" s="1040" t="s">
        <v>2273</v>
      </c>
      <c r="E1011" s="1041"/>
      <c r="F1011" s="1055">
        <f t="shared" si="152"/>
        <v>0</v>
      </c>
      <c r="G1011" s="1042"/>
      <c r="H1011" s="1043">
        <f t="shared" si="153"/>
        <v>0</v>
      </c>
      <c r="I1011" s="1042"/>
      <c r="J1011" s="1043">
        <f t="shared" si="154"/>
        <v>0</v>
      </c>
      <c r="K1011" s="1042"/>
      <c r="L1011" s="1043">
        <f t="shared" si="155"/>
        <v>0</v>
      </c>
      <c r="M1011" s="1042"/>
      <c r="N1011" s="1043">
        <f t="shared" si="156"/>
        <v>0</v>
      </c>
      <c r="O1011" s="1117"/>
      <c r="P1011" s="914">
        <f t="shared" si="157"/>
        <v>0</v>
      </c>
      <c r="Q1011" s="914"/>
      <c r="R1011" s="914"/>
      <c r="S1011" s="915">
        <f t="shared" si="158"/>
        <v>0</v>
      </c>
      <c r="T1011" s="1169">
        <f t="shared" ref="T1011:T1042" si="159">S1011*C1011</f>
        <v>0</v>
      </c>
    </row>
    <row r="1012" spans="1:20" ht="250.5" customHeight="1">
      <c r="A1012" s="1037"/>
      <c r="B1012" s="1038" t="s">
        <v>2196</v>
      </c>
      <c r="C1012" s="1039">
        <f>DATA!R2580</f>
        <v>4457.7700000000004</v>
      </c>
      <c r="D1012" s="1040" t="s">
        <v>2273</v>
      </c>
      <c r="E1012" s="1041"/>
      <c r="F1012" s="1055">
        <f t="shared" si="152"/>
        <v>0</v>
      </c>
      <c r="G1012" s="1042"/>
      <c r="H1012" s="1043">
        <f t="shared" si="153"/>
        <v>0</v>
      </c>
      <c r="I1012" s="1042"/>
      <c r="J1012" s="1043">
        <f t="shared" si="154"/>
        <v>0</v>
      </c>
      <c r="K1012" s="1042"/>
      <c r="L1012" s="1043">
        <f t="shared" si="155"/>
        <v>0</v>
      </c>
      <c r="M1012" s="1042"/>
      <c r="N1012" s="1043">
        <f t="shared" si="156"/>
        <v>0</v>
      </c>
      <c r="O1012" s="1117"/>
      <c r="P1012" s="914">
        <f t="shared" si="157"/>
        <v>0</v>
      </c>
      <c r="Q1012" s="914"/>
      <c r="R1012" s="914"/>
      <c r="S1012" s="915">
        <f t="shared" si="158"/>
        <v>0</v>
      </c>
      <c r="T1012" s="1169">
        <f t="shared" si="159"/>
        <v>0</v>
      </c>
    </row>
    <row r="1013" spans="1:20" ht="250.5" customHeight="1">
      <c r="A1013" s="1037"/>
      <c r="B1013" s="1038" t="s">
        <v>2197</v>
      </c>
      <c r="C1013" s="1039"/>
      <c r="D1013" s="1040" t="s">
        <v>2273</v>
      </c>
      <c r="E1013" s="1041"/>
      <c r="F1013" s="1055">
        <f t="shared" si="152"/>
        <v>0</v>
      </c>
      <c r="G1013" s="1042"/>
      <c r="H1013" s="1043">
        <f t="shared" si="153"/>
        <v>0</v>
      </c>
      <c r="I1013" s="1042"/>
      <c r="J1013" s="1043">
        <f t="shared" si="154"/>
        <v>0</v>
      </c>
      <c r="K1013" s="1042"/>
      <c r="L1013" s="1043">
        <f t="shared" si="155"/>
        <v>0</v>
      </c>
      <c r="M1013" s="1042"/>
      <c r="N1013" s="1043">
        <f t="shared" si="156"/>
        <v>0</v>
      </c>
      <c r="O1013" s="1117"/>
      <c r="P1013" s="914">
        <f t="shared" si="157"/>
        <v>0</v>
      </c>
      <c r="Q1013" s="914"/>
      <c r="R1013" s="914"/>
      <c r="S1013" s="915">
        <f t="shared" si="158"/>
        <v>0</v>
      </c>
      <c r="T1013" s="1169">
        <f t="shared" si="159"/>
        <v>0</v>
      </c>
    </row>
    <row r="1014" spans="1:20" ht="250.5" customHeight="1">
      <c r="A1014" s="1037"/>
      <c r="B1014" s="1038" t="s">
        <v>2822</v>
      </c>
      <c r="C1014" s="1039"/>
      <c r="D1014" s="1040" t="s">
        <v>2273</v>
      </c>
      <c r="E1014" s="1041"/>
      <c r="F1014" s="1055">
        <f t="shared" ref="F1014:F1077" si="160">E1014*C1014</f>
        <v>0</v>
      </c>
      <c r="G1014" s="1042"/>
      <c r="H1014" s="1043">
        <f t="shared" ref="H1014:H1077" si="161">G1014*C1014</f>
        <v>0</v>
      </c>
      <c r="I1014" s="1042"/>
      <c r="J1014" s="1043">
        <f t="shared" ref="J1014:J1077" si="162">I1014*C1014</f>
        <v>0</v>
      </c>
      <c r="K1014" s="1042"/>
      <c r="L1014" s="1043">
        <f t="shared" ref="L1014:L1077" si="163">K1014*C1014</f>
        <v>0</v>
      </c>
      <c r="M1014" s="1042"/>
      <c r="N1014" s="1043">
        <f t="shared" si="156"/>
        <v>0</v>
      </c>
      <c r="O1014" s="1117"/>
      <c r="P1014" s="914">
        <f t="shared" si="157"/>
        <v>0</v>
      </c>
      <c r="Q1014" s="914"/>
      <c r="R1014" s="914"/>
      <c r="S1014" s="915">
        <f t="shared" si="158"/>
        <v>0</v>
      </c>
      <c r="T1014" s="1169">
        <f t="shared" si="159"/>
        <v>0</v>
      </c>
    </row>
    <row r="1015" spans="1:20" ht="250.5" customHeight="1">
      <c r="A1015" s="1037"/>
      <c r="B1015" s="1038" t="s">
        <v>674</v>
      </c>
      <c r="C1015" s="1039"/>
      <c r="D1015" s="1040" t="s">
        <v>2273</v>
      </c>
      <c r="E1015" s="1041"/>
      <c r="F1015" s="1055">
        <f t="shared" si="160"/>
        <v>0</v>
      </c>
      <c r="G1015" s="1042"/>
      <c r="H1015" s="1043">
        <f t="shared" si="161"/>
        <v>0</v>
      </c>
      <c r="I1015" s="1042"/>
      <c r="J1015" s="1043">
        <f t="shared" si="162"/>
        <v>0</v>
      </c>
      <c r="K1015" s="1042"/>
      <c r="L1015" s="1043">
        <f t="shared" si="163"/>
        <v>0</v>
      </c>
      <c r="M1015" s="1042"/>
      <c r="N1015" s="1043">
        <f t="shared" si="156"/>
        <v>0</v>
      </c>
      <c r="O1015" s="1117"/>
      <c r="P1015" s="914">
        <f t="shared" si="157"/>
        <v>0</v>
      </c>
      <c r="Q1015" s="914"/>
      <c r="R1015" s="914"/>
      <c r="S1015" s="915">
        <f t="shared" si="158"/>
        <v>0</v>
      </c>
      <c r="T1015" s="1169">
        <f t="shared" si="159"/>
        <v>0</v>
      </c>
    </row>
    <row r="1016" spans="1:20" ht="250.5" customHeight="1">
      <c r="A1016" s="1037"/>
      <c r="B1016" s="1038" t="s">
        <v>676</v>
      </c>
      <c r="C1016" s="1039"/>
      <c r="D1016" s="1040" t="s">
        <v>2273</v>
      </c>
      <c r="E1016" s="1041"/>
      <c r="F1016" s="1055">
        <f t="shared" si="160"/>
        <v>0</v>
      </c>
      <c r="G1016" s="1042"/>
      <c r="H1016" s="1043">
        <f t="shared" si="161"/>
        <v>0</v>
      </c>
      <c r="I1016" s="1042"/>
      <c r="J1016" s="1043">
        <f t="shared" si="162"/>
        <v>0</v>
      </c>
      <c r="K1016" s="1042"/>
      <c r="L1016" s="1043">
        <f t="shared" si="163"/>
        <v>0</v>
      </c>
      <c r="M1016" s="1042"/>
      <c r="N1016" s="1043">
        <f t="shared" si="156"/>
        <v>0</v>
      </c>
      <c r="O1016" s="1117"/>
      <c r="P1016" s="914">
        <f t="shared" si="157"/>
        <v>0</v>
      </c>
      <c r="Q1016" s="914"/>
      <c r="R1016" s="914"/>
      <c r="S1016" s="915">
        <f t="shared" si="158"/>
        <v>0</v>
      </c>
      <c r="T1016" s="1169">
        <f t="shared" si="159"/>
        <v>0</v>
      </c>
    </row>
    <row r="1017" spans="1:20" ht="250.5" customHeight="1">
      <c r="A1017" s="1037"/>
      <c r="B1017" s="1038" t="s">
        <v>597</v>
      </c>
      <c r="C1017" s="1039">
        <f>DATA!L1794</f>
        <v>0</v>
      </c>
      <c r="D1017" s="1040" t="s">
        <v>1393</v>
      </c>
      <c r="E1017" s="1041"/>
      <c r="F1017" s="1055">
        <f t="shared" si="160"/>
        <v>0</v>
      </c>
      <c r="G1017" s="1042"/>
      <c r="H1017" s="1043">
        <f t="shared" si="161"/>
        <v>0</v>
      </c>
      <c r="I1017" s="1042"/>
      <c r="J1017" s="1043">
        <f t="shared" si="162"/>
        <v>0</v>
      </c>
      <c r="K1017" s="1042"/>
      <c r="L1017" s="1043">
        <f t="shared" si="163"/>
        <v>0</v>
      </c>
      <c r="M1017" s="1042"/>
      <c r="N1017" s="1043">
        <f t="shared" si="156"/>
        <v>0</v>
      </c>
      <c r="O1017" s="1117"/>
      <c r="P1017" s="914">
        <f t="shared" si="157"/>
        <v>0</v>
      </c>
      <c r="Q1017" s="914"/>
      <c r="R1017" s="914"/>
      <c r="S1017" s="915">
        <f t="shared" si="158"/>
        <v>0</v>
      </c>
      <c r="T1017" s="1169">
        <f t="shared" si="159"/>
        <v>0</v>
      </c>
    </row>
    <row r="1018" spans="1:20" ht="250.5" customHeight="1">
      <c r="A1018" s="1037"/>
      <c r="B1018" s="1038" t="s">
        <v>2453</v>
      </c>
      <c r="C1018" s="1039">
        <f>DATA!K2435</f>
        <v>1481.72</v>
      </c>
      <c r="D1018" s="1040" t="s">
        <v>2273</v>
      </c>
      <c r="E1018" s="1041"/>
      <c r="F1018" s="1055">
        <f t="shared" si="160"/>
        <v>0</v>
      </c>
      <c r="G1018" s="1042"/>
      <c r="H1018" s="1043">
        <f t="shared" si="161"/>
        <v>0</v>
      </c>
      <c r="I1018" s="1042"/>
      <c r="J1018" s="1043">
        <f t="shared" si="162"/>
        <v>0</v>
      </c>
      <c r="K1018" s="1042"/>
      <c r="L1018" s="1043">
        <f t="shared" si="163"/>
        <v>0</v>
      </c>
      <c r="M1018" s="1042"/>
      <c r="N1018" s="1043">
        <f t="shared" si="156"/>
        <v>0</v>
      </c>
      <c r="O1018" s="1117"/>
      <c r="P1018" s="914">
        <f t="shared" si="157"/>
        <v>0</v>
      </c>
      <c r="Q1018" s="914"/>
      <c r="R1018" s="914"/>
      <c r="S1018" s="915">
        <f t="shared" si="158"/>
        <v>0</v>
      </c>
      <c r="T1018" s="1169">
        <f t="shared" si="159"/>
        <v>0</v>
      </c>
    </row>
    <row r="1019" spans="1:20" ht="250.5" customHeight="1">
      <c r="A1019" s="1037"/>
      <c r="B1019" s="1038" t="s">
        <v>598</v>
      </c>
      <c r="C1019" s="1039">
        <f>DATA!R1230</f>
        <v>1486.13</v>
      </c>
      <c r="D1019" s="1040" t="s">
        <v>2273</v>
      </c>
      <c r="E1019" s="1041"/>
      <c r="F1019" s="1055">
        <f t="shared" si="160"/>
        <v>0</v>
      </c>
      <c r="G1019" s="1042"/>
      <c r="H1019" s="1043">
        <f t="shared" si="161"/>
        <v>0</v>
      </c>
      <c r="I1019" s="1042"/>
      <c r="J1019" s="1043">
        <f t="shared" si="162"/>
        <v>0</v>
      </c>
      <c r="K1019" s="1042"/>
      <c r="L1019" s="1043">
        <f t="shared" si="163"/>
        <v>0</v>
      </c>
      <c r="M1019" s="1042"/>
      <c r="N1019" s="1043">
        <f t="shared" si="156"/>
        <v>0</v>
      </c>
      <c r="O1019" s="1117"/>
      <c r="P1019" s="914">
        <f t="shared" si="157"/>
        <v>0</v>
      </c>
      <c r="Q1019" s="914"/>
      <c r="R1019" s="914"/>
      <c r="S1019" s="915">
        <f t="shared" si="158"/>
        <v>0</v>
      </c>
      <c r="T1019" s="1169">
        <f t="shared" si="159"/>
        <v>0</v>
      </c>
    </row>
    <row r="1020" spans="1:20" ht="250.5" customHeight="1">
      <c r="A1020" s="1037"/>
      <c r="B1020" s="1038" t="s">
        <v>5032</v>
      </c>
      <c r="C1020" s="1039">
        <f>DATA!R1272</f>
        <v>1256.21</v>
      </c>
      <c r="D1020" s="1040" t="s">
        <v>2273</v>
      </c>
      <c r="E1020" s="1041"/>
      <c r="F1020" s="1055">
        <f t="shared" si="160"/>
        <v>0</v>
      </c>
      <c r="G1020" s="1042"/>
      <c r="H1020" s="1043">
        <f t="shared" si="161"/>
        <v>0</v>
      </c>
      <c r="I1020" s="1042"/>
      <c r="J1020" s="1043">
        <f t="shared" si="162"/>
        <v>0</v>
      </c>
      <c r="K1020" s="1042"/>
      <c r="L1020" s="1043">
        <f t="shared" si="163"/>
        <v>0</v>
      </c>
      <c r="M1020" s="1042"/>
      <c r="N1020" s="1043">
        <f t="shared" si="156"/>
        <v>0</v>
      </c>
      <c r="O1020" s="1117"/>
      <c r="P1020" s="914">
        <f t="shared" si="157"/>
        <v>0</v>
      </c>
      <c r="Q1020" s="914"/>
      <c r="R1020" s="914"/>
      <c r="S1020" s="915">
        <f t="shared" si="158"/>
        <v>0</v>
      </c>
      <c r="T1020" s="1169">
        <f t="shared" si="159"/>
        <v>0</v>
      </c>
    </row>
    <row r="1021" spans="1:20" ht="250.5" customHeight="1">
      <c r="A1021" s="1037"/>
      <c r="B1021" s="1038" t="s">
        <v>1165</v>
      </c>
      <c r="C1021" s="1039">
        <f>DATA!R2442</f>
        <v>1656.02</v>
      </c>
      <c r="D1021" s="1040" t="s">
        <v>2273</v>
      </c>
      <c r="E1021" s="1041"/>
      <c r="F1021" s="1055">
        <f t="shared" si="160"/>
        <v>0</v>
      </c>
      <c r="G1021" s="1042"/>
      <c r="H1021" s="1043">
        <f t="shared" si="161"/>
        <v>0</v>
      </c>
      <c r="I1021" s="1042"/>
      <c r="J1021" s="1043">
        <f t="shared" si="162"/>
        <v>0</v>
      </c>
      <c r="K1021" s="1042"/>
      <c r="L1021" s="1043">
        <f t="shared" si="163"/>
        <v>0</v>
      </c>
      <c r="M1021" s="1042"/>
      <c r="N1021" s="1043">
        <f t="shared" si="156"/>
        <v>0</v>
      </c>
      <c r="O1021" s="1117"/>
      <c r="P1021" s="914">
        <f t="shared" si="157"/>
        <v>0</v>
      </c>
      <c r="Q1021" s="914"/>
      <c r="R1021" s="914"/>
      <c r="S1021" s="915">
        <f t="shared" si="158"/>
        <v>0</v>
      </c>
      <c r="T1021" s="1169">
        <f t="shared" si="159"/>
        <v>0</v>
      </c>
    </row>
    <row r="1022" spans="1:20" ht="250.5" customHeight="1">
      <c r="A1022" s="1037"/>
      <c r="B1022" s="1038" t="s">
        <v>3066</v>
      </c>
      <c r="C1022" s="1039">
        <f>DATA!AD1257</f>
        <v>1627.91</v>
      </c>
      <c r="D1022" s="1040" t="s">
        <v>2273</v>
      </c>
      <c r="E1022" s="1041"/>
      <c r="F1022" s="1055">
        <f t="shared" si="160"/>
        <v>0</v>
      </c>
      <c r="G1022" s="1042"/>
      <c r="H1022" s="1043">
        <f t="shared" si="161"/>
        <v>0</v>
      </c>
      <c r="I1022" s="1042"/>
      <c r="J1022" s="1043">
        <f t="shared" si="162"/>
        <v>0</v>
      </c>
      <c r="K1022" s="1042"/>
      <c r="L1022" s="1043">
        <f t="shared" si="163"/>
        <v>0</v>
      </c>
      <c r="M1022" s="1042"/>
      <c r="N1022" s="1043">
        <f t="shared" si="156"/>
        <v>0</v>
      </c>
      <c r="O1022" s="1117"/>
      <c r="P1022" s="914">
        <f t="shared" si="157"/>
        <v>0</v>
      </c>
      <c r="Q1022" s="914"/>
      <c r="R1022" s="914"/>
      <c r="S1022" s="915">
        <f t="shared" si="158"/>
        <v>0</v>
      </c>
      <c r="T1022" s="1169">
        <f t="shared" si="159"/>
        <v>0</v>
      </c>
    </row>
    <row r="1023" spans="1:20" ht="250.5" customHeight="1">
      <c r="A1023" s="1037"/>
      <c r="B1023" s="923" t="s">
        <v>2194</v>
      </c>
      <c r="C1023" s="1039">
        <f>DATA!K1442</f>
        <v>278.27999999999997</v>
      </c>
      <c r="D1023" s="1040" t="s">
        <v>2273</v>
      </c>
      <c r="E1023" s="1041"/>
      <c r="F1023" s="1055">
        <f t="shared" si="160"/>
        <v>0</v>
      </c>
      <c r="G1023" s="1042"/>
      <c r="H1023" s="1043">
        <f t="shared" si="161"/>
        <v>0</v>
      </c>
      <c r="I1023" s="1042"/>
      <c r="J1023" s="1043">
        <f t="shared" si="162"/>
        <v>0</v>
      </c>
      <c r="K1023" s="1042"/>
      <c r="L1023" s="1043">
        <f t="shared" si="163"/>
        <v>0</v>
      </c>
      <c r="M1023" s="1042"/>
      <c r="N1023" s="1043">
        <f t="shared" si="156"/>
        <v>0</v>
      </c>
      <c r="O1023" s="1117"/>
      <c r="P1023" s="914">
        <f t="shared" si="157"/>
        <v>0</v>
      </c>
      <c r="Q1023" s="914"/>
      <c r="R1023" s="914"/>
      <c r="S1023" s="915">
        <f t="shared" si="158"/>
        <v>0</v>
      </c>
      <c r="T1023" s="1169">
        <f t="shared" si="159"/>
        <v>0</v>
      </c>
    </row>
    <row r="1024" spans="1:20" ht="250.5" customHeight="1">
      <c r="A1024" s="1037"/>
      <c r="B1024" s="923" t="s">
        <v>2195</v>
      </c>
      <c r="C1024" s="1039">
        <f>5000*8.2</f>
        <v>41000</v>
      </c>
      <c r="D1024" s="1040" t="s">
        <v>1393</v>
      </c>
      <c r="E1024" s="1041"/>
      <c r="F1024" s="1055">
        <f t="shared" si="160"/>
        <v>0</v>
      </c>
      <c r="G1024" s="1042"/>
      <c r="H1024" s="1043">
        <f t="shared" si="161"/>
        <v>0</v>
      </c>
      <c r="I1024" s="1042"/>
      <c r="J1024" s="1043">
        <f t="shared" si="162"/>
        <v>0</v>
      </c>
      <c r="K1024" s="1042"/>
      <c r="L1024" s="1043">
        <f t="shared" si="163"/>
        <v>0</v>
      </c>
      <c r="M1024" s="1042"/>
      <c r="N1024" s="1043">
        <f t="shared" si="156"/>
        <v>0</v>
      </c>
      <c r="O1024" s="1117"/>
      <c r="P1024" s="914">
        <f t="shared" si="157"/>
        <v>0</v>
      </c>
      <c r="Q1024" s="914"/>
      <c r="R1024" s="914"/>
      <c r="S1024" s="915">
        <f t="shared" si="158"/>
        <v>0</v>
      </c>
      <c r="T1024" s="1169">
        <f t="shared" si="159"/>
        <v>0</v>
      </c>
    </row>
    <row r="1025" spans="1:20" ht="250.5" customHeight="1">
      <c r="A1025" s="1037"/>
      <c r="B1025" s="923" t="str">
        <f>DATA!O2626</f>
        <v>T.W DOOR SHUTTER TWO LEAVES(1200 X 2100 mm ) with Brass Fittings</v>
      </c>
      <c r="C1025" s="1039">
        <f>DATA!R2654</f>
        <v>7153.15</v>
      </c>
      <c r="D1025" s="1040" t="s">
        <v>2273</v>
      </c>
      <c r="E1025" s="1041"/>
      <c r="F1025" s="1055">
        <f t="shared" si="160"/>
        <v>0</v>
      </c>
      <c r="G1025" s="1042"/>
      <c r="H1025" s="1043">
        <f t="shared" si="161"/>
        <v>0</v>
      </c>
      <c r="I1025" s="1042"/>
      <c r="J1025" s="1043">
        <f t="shared" si="162"/>
        <v>0</v>
      </c>
      <c r="K1025" s="1042"/>
      <c r="L1025" s="1043">
        <f t="shared" si="163"/>
        <v>0</v>
      </c>
      <c r="M1025" s="1042"/>
      <c r="N1025" s="1043">
        <f t="shared" si="156"/>
        <v>0</v>
      </c>
      <c r="O1025" s="1117"/>
      <c r="P1025" s="914">
        <f t="shared" si="157"/>
        <v>0</v>
      </c>
      <c r="Q1025" s="914"/>
      <c r="R1025" s="914"/>
      <c r="S1025" s="915">
        <f t="shared" si="158"/>
        <v>0</v>
      </c>
      <c r="T1025" s="1169">
        <f t="shared" si="159"/>
        <v>0</v>
      </c>
    </row>
    <row r="1026" spans="1:20" ht="250.5" customHeight="1">
      <c r="A1026" s="1037"/>
      <c r="B1026" s="923" t="s">
        <v>1733</v>
      </c>
      <c r="C1026" s="1039">
        <f>DATA!R1124</f>
        <v>5284.06</v>
      </c>
      <c r="D1026" s="1040" t="s">
        <v>2273</v>
      </c>
      <c r="E1026" s="1041"/>
      <c r="F1026" s="1055">
        <f t="shared" si="160"/>
        <v>0</v>
      </c>
      <c r="G1026" s="1042"/>
      <c r="H1026" s="1043">
        <f t="shared" si="161"/>
        <v>0</v>
      </c>
      <c r="I1026" s="1042"/>
      <c r="J1026" s="1043">
        <f t="shared" si="162"/>
        <v>0</v>
      </c>
      <c r="K1026" s="1042"/>
      <c r="L1026" s="1043">
        <f t="shared" si="163"/>
        <v>0</v>
      </c>
      <c r="M1026" s="1042"/>
      <c r="N1026" s="1043">
        <f t="shared" si="156"/>
        <v>0</v>
      </c>
      <c r="O1026" s="1117"/>
      <c r="P1026" s="914">
        <f t="shared" si="157"/>
        <v>0</v>
      </c>
      <c r="Q1026" s="914"/>
      <c r="R1026" s="914"/>
      <c r="S1026" s="915">
        <f t="shared" si="158"/>
        <v>0</v>
      </c>
      <c r="T1026" s="1169">
        <f t="shared" si="159"/>
        <v>0</v>
      </c>
    </row>
    <row r="1027" spans="1:20" ht="250.5" customHeight="1">
      <c r="A1027" s="1037"/>
      <c r="B1027" s="923" t="s">
        <v>3307</v>
      </c>
      <c r="C1027" s="1039">
        <f>DATA!R3204</f>
        <v>0</v>
      </c>
      <c r="D1027" s="1040" t="s">
        <v>2273</v>
      </c>
      <c r="E1027" s="1041"/>
      <c r="F1027" s="1055">
        <f t="shared" si="160"/>
        <v>0</v>
      </c>
      <c r="G1027" s="1042"/>
      <c r="H1027" s="1043">
        <f t="shared" si="161"/>
        <v>0</v>
      </c>
      <c r="I1027" s="1042"/>
      <c r="J1027" s="1043">
        <f t="shared" si="162"/>
        <v>0</v>
      </c>
      <c r="K1027" s="1042"/>
      <c r="L1027" s="1043">
        <f t="shared" si="163"/>
        <v>0</v>
      </c>
      <c r="M1027" s="1042"/>
      <c r="N1027" s="1043">
        <f t="shared" si="156"/>
        <v>0</v>
      </c>
      <c r="O1027" s="1117"/>
      <c r="P1027" s="914">
        <f t="shared" si="157"/>
        <v>0</v>
      </c>
      <c r="Q1027" s="914"/>
      <c r="R1027" s="914"/>
      <c r="S1027" s="915">
        <f t="shared" si="158"/>
        <v>0</v>
      </c>
      <c r="T1027" s="1169">
        <f t="shared" si="159"/>
        <v>0</v>
      </c>
    </row>
    <row r="1028" spans="1:20" ht="250.5" customHeight="1">
      <c r="A1028" s="1037"/>
      <c r="B1028" s="923" t="s">
        <v>3308</v>
      </c>
      <c r="C1028" s="1039">
        <f>DATA!R3272</f>
        <v>6427.34</v>
      </c>
      <c r="D1028" s="1040" t="s">
        <v>2273</v>
      </c>
      <c r="E1028" s="1041"/>
      <c r="F1028" s="1055">
        <f t="shared" si="160"/>
        <v>0</v>
      </c>
      <c r="G1028" s="1042"/>
      <c r="H1028" s="1043">
        <f t="shared" si="161"/>
        <v>0</v>
      </c>
      <c r="I1028" s="1042"/>
      <c r="J1028" s="1043">
        <f t="shared" si="162"/>
        <v>0</v>
      </c>
      <c r="K1028" s="1042"/>
      <c r="L1028" s="1043">
        <f t="shared" si="163"/>
        <v>0</v>
      </c>
      <c r="M1028" s="1042"/>
      <c r="N1028" s="1043">
        <f t="shared" si="156"/>
        <v>0</v>
      </c>
      <c r="O1028" s="1117"/>
      <c r="P1028" s="914">
        <f t="shared" si="157"/>
        <v>0</v>
      </c>
      <c r="Q1028" s="914"/>
      <c r="R1028" s="914"/>
      <c r="S1028" s="915">
        <f t="shared" si="158"/>
        <v>0</v>
      </c>
      <c r="T1028" s="1169">
        <f t="shared" si="159"/>
        <v>0</v>
      </c>
    </row>
    <row r="1029" spans="1:20" ht="250.5" customHeight="1">
      <c r="A1029" s="1037"/>
      <c r="B1029" s="923" t="s">
        <v>3309</v>
      </c>
      <c r="C1029" s="1039" t="str">
        <f>DATA!K3332</f>
        <v>============</v>
      </c>
      <c r="D1029" s="1040" t="s">
        <v>2273</v>
      </c>
      <c r="E1029" s="1041"/>
      <c r="F1029" s="1055" t="e">
        <f t="shared" si="160"/>
        <v>#VALUE!</v>
      </c>
      <c r="G1029" s="1042"/>
      <c r="H1029" s="1043" t="e">
        <f t="shared" si="161"/>
        <v>#VALUE!</v>
      </c>
      <c r="I1029" s="1042"/>
      <c r="J1029" s="1043" t="e">
        <f t="shared" si="162"/>
        <v>#VALUE!</v>
      </c>
      <c r="K1029" s="1042"/>
      <c r="L1029" s="1043" t="e">
        <f t="shared" si="163"/>
        <v>#VALUE!</v>
      </c>
      <c r="M1029" s="1042"/>
      <c r="N1029" s="1043" t="e">
        <f t="shared" si="156"/>
        <v>#VALUE!</v>
      </c>
      <c r="O1029" s="1117"/>
      <c r="P1029" s="914" t="e">
        <f t="shared" si="157"/>
        <v>#VALUE!</v>
      </c>
      <c r="Q1029" s="914"/>
      <c r="R1029" s="914"/>
      <c r="S1029" s="915">
        <f t="shared" si="158"/>
        <v>0</v>
      </c>
      <c r="T1029" s="1169" t="e">
        <f t="shared" si="159"/>
        <v>#VALUE!</v>
      </c>
    </row>
    <row r="1030" spans="1:20" ht="250.5" customHeight="1">
      <c r="A1030" s="1037"/>
      <c r="B1030" s="1044" t="s">
        <v>6700</v>
      </c>
      <c r="C1030" s="1039">
        <f>DATA!R3339</f>
        <v>5240.6000000000004</v>
      </c>
      <c r="D1030" s="1040" t="s">
        <v>2273</v>
      </c>
      <c r="E1030" s="1041"/>
      <c r="F1030" s="1055">
        <f t="shared" si="160"/>
        <v>0</v>
      </c>
      <c r="G1030" s="1042"/>
      <c r="H1030" s="1043">
        <f t="shared" si="161"/>
        <v>0</v>
      </c>
      <c r="I1030" s="1042"/>
      <c r="J1030" s="1043">
        <f t="shared" si="162"/>
        <v>0</v>
      </c>
      <c r="K1030" s="1042"/>
      <c r="L1030" s="1043">
        <f t="shared" si="163"/>
        <v>0</v>
      </c>
      <c r="M1030" s="1042"/>
      <c r="N1030" s="1043">
        <f t="shared" si="156"/>
        <v>0</v>
      </c>
      <c r="O1030" s="1117"/>
      <c r="P1030" s="914">
        <f t="shared" si="157"/>
        <v>0</v>
      </c>
      <c r="Q1030" s="914"/>
      <c r="R1030" s="914"/>
      <c r="S1030" s="915">
        <f t="shared" si="158"/>
        <v>0</v>
      </c>
      <c r="T1030" s="1169">
        <f t="shared" si="159"/>
        <v>0</v>
      </c>
    </row>
    <row r="1031" spans="1:20" ht="250.5" customHeight="1">
      <c r="A1031" s="1037"/>
      <c r="B1031" s="1044" t="s">
        <v>6701</v>
      </c>
      <c r="C1031" s="1039">
        <f>DATA!R3452</f>
        <v>6101.29</v>
      </c>
      <c r="D1031" s="1040" t="s">
        <v>2273</v>
      </c>
      <c r="E1031" s="1041"/>
      <c r="F1031" s="1055">
        <f t="shared" si="160"/>
        <v>0</v>
      </c>
      <c r="G1031" s="1042"/>
      <c r="H1031" s="1043">
        <f t="shared" si="161"/>
        <v>0</v>
      </c>
      <c r="I1031" s="1042"/>
      <c r="J1031" s="1043">
        <f t="shared" si="162"/>
        <v>0</v>
      </c>
      <c r="K1031" s="1042"/>
      <c r="L1031" s="1043">
        <f t="shared" si="163"/>
        <v>0</v>
      </c>
      <c r="M1031" s="1042"/>
      <c r="N1031" s="1043">
        <f t="shared" si="156"/>
        <v>0</v>
      </c>
      <c r="O1031" s="1117"/>
      <c r="P1031" s="914">
        <f t="shared" si="157"/>
        <v>0</v>
      </c>
      <c r="Q1031" s="914"/>
      <c r="R1031" s="914"/>
      <c r="S1031" s="915">
        <f t="shared" si="158"/>
        <v>0</v>
      </c>
      <c r="T1031" s="1169">
        <f t="shared" si="159"/>
        <v>0</v>
      </c>
    </row>
    <row r="1032" spans="1:20" ht="250.5" customHeight="1">
      <c r="A1032" s="1037"/>
      <c r="B1032" s="1038" t="s">
        <v>3939</v>
      </c>
      <c r="C1032" s="1039">
        <f>DATA!K3434</f>
        <v>5266.65</v>
      </c>
      <c r="D1032" s="1040" t="s">
        <v>2273</v>
      </c>
      <c r="E1032" s="1041"/>
      <c r="F1032" s="1055">
        <f t="shared" si="160"/>
        <v>0</v>
      </c>
      <c r="G1032" s="1042"/>
      <c r="H1032" s="1043">
        <f t="shared" si="161"/>
        <v>0</v>
      </c>
      <c r="I1032" s="1042"/>
      <c r="J1032" s="1043">
        <f t="shared" si="162"/>
        <v>0</v>
      </c>
      <c r="K1032" s="1042"/>
      <c r="L1032" s="1043">
        <f t="shared" si="163"/>
        <v>0</v>
      </c>
      <c r="M1032" s="1042"/>
      <c r="N1032" s="1043">
        <f t="shared" si="156"/>
        <v>0</v>
      </c>
      <c r="O1032" s="1117"/>
      <c r="P1032" s="914">
        <f t="shared" si="157"/>
        <v>0</v>
      </c>
      <c r="Q1032" s="914"/>
      <c r="R1032" s="914"/>
      <c r="S1032" s="915">
        <f t="shared" si="158"/>
        <v>0</v>
      </c>
      <c r="T1032" s="1169">
        <f t="shared" si="159"/>
        <v>0</v>
      </c>
    </row>
    <row r="1033" spans="1:20" ht="250.5" customHeight="1">
      <c r="A1033" s="1037"/>
      <c r="B1033" s="923" t="s">
        <v>3310</v>
      </c>
      <c r="C1033" s="1039">
        <f>DATA!R3374</f>
        <v>5759.98</v>
      </c>
      <c r="D1033" s="1040" t="s">
        <v>2273</v>
      </c>
      <c r="E1033" s="1041"/>
      <c r="F1033" s="1055">
        <f t="shared" si="160"/>
        <v>0</v>
      </c>
      <c r="G1033" s="1042"/>
      <c r="H1033" s="1043">
        <f t="shared" si="161"/>
        <v>0</v>
      </c>
      <c r="I1033" s="1042"/>
      <c r="J1033" s="1043">
        <f t="shared" si="162"/>
        <v>0</v>
      </c>
      <c r="K1033" s="1042"/>
      <c r="L1033" s="1043">
        <f t="shared" si="163"/>
        <v>0</v>
      </c>
      <c r="M1033" s="1042"/>
      <c r="N1033" s="1043">
        <f t="shared" si="156"/>
        <v>0</v>
      </c>
      <c r="O1033" s="1117"/>
      <c r="P1033" s="914">
        <f t="shared" si="157"/>
        <v>0</v>
      </c>
      <c r="Q1033" s="914"/>
      <c r="R1033" s="914"/>
      <c r="S1033" s="915">
        <f t="shared" si="158"/>
        <v>0</v>
      </c>
      <c r="T1033" s="1169">
        <f t="shared" si="159"/>
        <v>0</v>
      </c>
    </row>
    <row r="1034" spans="1:20" ht="250.5" customHeight="1">
      <c r="A1034" s="1037"/>
      <c r="B1034" s="923" t="s">
        <v>3311</v>
      </c>
      <c r="C1034" s="1039" t="str">
        <f>DATA!R3409</f>
        <v>=</v>
      </c>
      <c r="D1034" s="1040" t="s">
        <v>2273</v>
      </c>
      <c r="E1034" s="1041"/>
      <c r="F1034" s="1055" t="e">
        <f t="shared" si="160"/>
        <v>#VALUE!</v>
      </c>
      <c r="G1034" s="1042"/>
      <c r="H1034" s="1043" t="e">
        <f t="shared" si="161"/>
        <v>#VALUE!</v>
      </c>
      <c r="I1034" s="1042"/>
      <c r="J1034" s="1043" t="e">
        <f t="shared" si="162"/>
        <v>#VALUE!</v>
      </c>
      <c r="K1034" s="1042"/>
      <c r="L1034" s="1043" t="e">
        <f t="shared" si="163"/>
        <v>#VALUE!</v>
      </c>
      <c r="M1034" s="1042"/>
      <c r="N1034" s="1043" t="e">
        <f t="shared" si="156"/>
        <v>#VALUE!</v>
      </c>
      <c r="O1034" s="1117"/>
      <c r="P1034" s="914"/>
      <c r="Q1034" s="914"/>
      <c r="R1034" s="914"/>
      <c r="S1034" s="915">
        <f t="shared" si="158"/>
        <v>0</v>
      </c>
      <c r="T1034" s="1169" t="e">
        <f t="shared" si="159"/>
        <v>#VALUE!</v>
      </c>
    </row>
    <row r="1035" spans="1:20" ht="250.5" customHeight="1">
      <c r="A1035" s="1037"/>
      <c r="B1035" s="923" t="s">
        <v>3312</v>
      </c>
      <c r="C1035" s="1039">
        <f>DATA!R3306</f>
        <v>0</v>
      </c>
      <c r="D1035" s="1040" t="s">
        <v>2273</v>
      </c>
      <c r="E1035" s="1041"/>
      <c r="F1035" s="1055">
        <f t="shared" si="160"/>
        <v>0</v>
      </c>
      <c r="G1035" s="1042"/>
      <c r="H1035" s="1043">
        <f t="shared" si="161"/>
        <v>0</v>
      </c>
      <c r="I1035" s="1042"/>
      <c r="J1035" s="1043">
        <f t="shared" si="162"/>
        <v>0</v>
      </c>
      <c r="K1035" s="1042"/>
      <c r="L1035" s="1043">
        <f t="shared" si="163"/>
        <v>0</v>
      </c>
      <c r="M1035" s="1042"/>
      <c r="N1035" s="1043">
        <f t="shared" si="156"/>
        <v>0</v>
      </c>
      <c r="O1035" s="1117"/>
      <c r="P1035" s="1117"/>
      <c r="Q1035" s="1117"/>
      <c r="R1035" s="1117"/>
      <c r="S1035" s="915">
        <f t="shared" si="158"/>
        <v>0</v>
      </c>
      <c r="T1035" s="1169">
        <f t="shared" si="159"/>
        <v>0</v>
      </c>
    </row>
    <row r="1036" spans="1:20" ht="250.5" customHeight="1">
      <c r="A1036" s="1037"/>
      <c r="B1036" s="923" t="s">
        <v>3313</v>
      </c>
      <c r="C1036" s="1039">
        <f>DATA!R3340</f>
        <v>0</v>
      </c>
      <c r="D1036" s="1040" t="s">
        <v>2273</v>
      </c>
      <c r="E1036" s="1041"/>
      <c r="F1036" s="1055">
        <f t="shared" si="160"/>
        <v>0</v>
      </c>
      <c r="G1036" s="1042"/>
      <c r="H1036" s="1043">
        <f t="shared" si="161"/>
        <v>0</v>
      </c>
      <c r="I1036" s="1042"/>
      <c r="J1036" s="1043">
        <f t="shared" si="162"/>
        <v>0</v>
      </c>
      <c r="K1036" s="1042"/>
      <c r="L1036" s="1043">
        <f t="shared" si="163"/>
        <v>0</v>
      </c>
      <c r="M1036" s="1042"/>
      <c r="N1036" s="1043">
        <f t="shared" si="156"/>
        <v>0</v>
      </c>
      <c r="O1036" s="1117"/>
      <c r="P1036" s="1117"/>
      <c r="Q1036" s="1117"/>
      <c r="R1036" s="1117"/>
      <c r="S1036" s="915">
        <f t="shared" si="158"/>
        <v>0</v>
      </c>
      <c r="T1036" s="1169">
        <f t="shared" si="159"/>
        <v>0</v>
      </c>
    </row>
    <row r="1037" spans="1:20" ht="250.5" customHeight="1">
      <c r="A1037" s="1037"/>
      <c r="B1037" s="923" t="s">
        <v>3058</v>
      </c>
      <c r="C1037" s="1039">
        <f>Elec.Data!K649</f>
        <v>1345.34</v>
      </c>
      <c r="D1037" s="1040" t="s">
        <v>1393</v>
      </c>
      <c r="E1037" s="1041"/>
      <c r="F1037" s="1055">
        <f t="shared" si="160"/>
        <v>0</v>
      </c>
      <c r="G1037" s="1042"/>
      <c r="H1037" s="1043">
        <f t="shared" si="161"/>
        <v>0</v>
      </c>
      <c r="I1037" s="1042"/>
      <c r="J1037" s="1043">
        <f t="shared" si="162"/>
        <v>0</v>
      </c>
      <c r="K1037" s="1042"/>
      <c r="L1037" s="1043">
        <f t="shared" si="163"/>
        <v>0</v>
      </c>
      <c r="M1037" s="1042"/>
      <c r="N1037" s="1043">
        <f t="shared" si="156"/>
        <v>0</v>
      </c>
      <c r="O1037" s="1117"/>
      <c r="P1037" s="1117"/>
      <c r="Q1037" s="1117"/>
      <c r="R1037" s="1117"/>
      <c r="S1037" s="915">
        <f t="shared" si="158"/>
        <v>0</v>
      </c>
      <c r="T1037" s="1169">
        <f t="shared" si="159"/>
        <v>0</v>
      </c>
    </row>
    <row r="1038" spans="1:20" ht="250.5" customHeight="1">
      <c r="A1038" s="1037"/>
      <c r="B1038" s="923" t="s">
        <v>3059</v>
      </c>
      <c r="C1038" s="1039">
        <f>Elec.Data!K715</f>
        <v>165</v>
      </c>
      <c r="D1038" s="1040" t="s">
        <v>823</v>
      </c>
      <c r="E1038" s="1041"/>
      <c r="F1038" s="1055">
        <f t="shared" si="160"/>
        <v>0</v>
      </c>
      <c r="G1038" s="1042"/>
      <c r="H1038" s="1043">
        <f t="shared" si="161"/>
        <v>0</v>
      </c>
      <c r="I1038" s="1042"/>
      <c r="J1038" s="1043">
        <f t="shared" si="162"/>
        <v>0</v>
      </c>
      <c r="K1038" s="1042"/>
      <c r="L1038" s="1043">
        <f t="shared" si="163"/>
        <v>0</v>
      </c>
      <c r="M1038" s="1042"/>
      <c r="N1038" s="1043">
        <f t="shared" si="156"/>
        <v>0</v>
      </c>
      <c r="O1038" s="1117"/>
      <c r="P1038" s="1117"/>
      <c r="Q1038" s="1117"/>
      <c r="R1038" s="1117"/>
      <c r="S1038" s="915">
        <f t="shared" si="158"/>
        <v>0</v>
      </c>
      <c r="T1038" s="1169">
        <f t="shared" si="159"/>
        <v>0</v>
      </c>
    </row>
    <row r="1039" spans="1:20" ht="250.5" customHeight="1">
      <c r="A1039" s="1037"/>
      <c r="B1039" s="1037" t="s">
        <v>2486</v>
      </c>
      <c r="C1039" s="1039">
        <f>Elec.Data!K636</f>
        <v>3091.3</v>
      </c>
      <c r="D1039" s="1040" t="s">
        <v>1393</v>
      </c>
      <c r="E1039" s="1041"/>
      <c r="F1039" s="1055">
        <f t="shared" si="160"/>
        <v>0</v>
      </c>
      <c r="G1039" s="1042"/>
      <c r="H1039" s="1043">
        <f t="shared" si="161"/>
        <v>0</v>
      </c>
      <c r="I1039" s="1042"/>
      <c r="J1039" s="1043">
        <f t="shared" si="162"/>
        <v>0</v>
      </c>
      <c r="K1039" s="1042"/>
      <c r="L1039" s="1043">
        <f t="shared" si="163"/>
        <v>0</v>
      </c>
      <c r="M1039" s="1042"/>
      <c r="N1039" s="1043">
        <f t="shared" si="156"/>
        <v>0</v>
      </c>
      <c r="O1039" s="1117"/>
      <c r="P1039" s="1117"/>
      <c r="Q1039" s="1117"/>
      <c r="R1039" s="1117"/>
      <c r="S1039" s="915">
        <f t="shared" si="158"/>
        <v>0</v>
      </c>
      <c r="T1039" s="1169">
        <f t="shared" si="159"/>
        <v>0</v>
      </c>
    </row>
    <row r="1040" spans="1:20" ht="250.5" customHeight="1">
      <c r="A1040" s="1037"/>
      <c r="B1040" s="923" t="s">
        <v>3062</v>
      </c>
      <c r="C1040" s="1039">
        <f>DATA!K2982</f>
        <v>0</v>
      </c>
      <c r="D1040" s="1040" t="s">
        <v>2273</v>
      </c>
      <c r="E1040" s="1041"/>
      <c r="F1040" s="1055">
        <f t="shared" si="160"/>
        <v>0</v>
      </c>
      <c r="G1040" s="1042"/>
      <c r="H1040" s="1043">
        <f t="shared" si="161"/>
        <v>0</v>
      </c>
      <c r="I1040" s="1042"/>
      <c r="J1040" s="1043">
        <f t="shared" si="162"/>
        <v>0</v>
      </c>
      <c r="K1040" s="1042"/>
      <c r="L1040" s="1043">
        <f t="shared" si="163"/>
        <v>0</v>
      </c>
      <c r="M1040" s="1042"/>
      <c r="N1040" s="1043">
        <f t="shared" si="156"/>
        <v>0</v>
      </c>
      <c r="O1040" s="1117"/>
      <c r="P1040" s="1117"/>
      <c r="Q1040" s="1117"/>
      <c r="R1040" s="1117"/>
      <c r="S1040" s="915">
        <f t="shared" ref="S1040:S1047" si="164">G1040+I1040+K1040+M1040+E1040+O1040</f>
        <v>0</v>
      </c>
      <c r="T1040" s="1169">
        <f t="shared" si="159"/>
        <v>0</v>
      </c>
    </row>
    <row r="1041" spans="1:20" ht="250.5" customHeight="1">
      <c r="A1041" s="1037"/>
      <c r="B1041" s="923" t="s">
        <v>3060</v>
      </c>
      <c r="C1041" s="1039">
        <f>DATA!K2845</f>
        <v>2806.82</v>
      </c>
      <c r="D1041" s="1040" t="s">
        <v>2273</v>
      </c>
      <c r="E1041" s="1041"/>
      <c r="F1041" s="1055">
        <f t="shared" si="160"/>
        <v>0</v>
      </c>
      <c r="G1041" s="1042"/>
      <c r="H1041" s="1043">
        <f t="shared" si="161"/>
        <v>0</v>
      </c>
      <c r="I1041" s="1042"/>
      <c r="J1041" s="1043">
        <f t="shared" si="162"/>
        <v>0</v>
      </c>
      <c r="K1041" s="1042"/>
      <c r="L1041" s="1043">
        <f t="shared" si="163"/>
        <v>0</v>
      </c>
      <c r="M1041" s="1042"/>
      <c r="N1041" s="1043">
        <f t="shared" si="156"/>
        <v>0</v>
      </c>
      <c r="O1041" s="1117"/>
      <c r="P1041" s="1117"/>
      <c r="Q1041" s="1117"/>
      <c r="R1041" s="1117"/>
      <c r="S1041" s="915">
        <f t="shared" si="164"/>
        <v>0</v>
      </c>
      <c r="T1041" s="1169">
        <f t="shared" si="159"/>
        <v>0</v>
      </c>
    </row>
    <row r="1042" spans="1:20" ht="250.5" customHeight="1">
      <c r="A1042" s="1037"/>
      <c r="B1042" s="923" t="s">
        <v>3061</v>
      </c>
      <c r="C1042" s="1039">
        <f>DATA!R2988</f>
        <v>2727.46</v>
      </c>
      <c r="D1042" s="1040" t="s">
        <v>2273</v>
      </c>
      <c r="E1042" s="1041"/>
      <c r="F1042" s="1055">
        <f t="shared" si="160"/>
        <v>0</v>
      </c>
      <c r="G1042" s="1042"/>
      <c r="H1042" s="1043">
        <f t="shared" si="161"/>
        <v>0</v>
      </c>
      <c r="I1042" s="1042"/>
      <c r="J1042" s="1043">
        <f t="shared" si="162"/>
        <v>0</v>
      </c>
      <c r="K1042" s="1042"/>
      <c r="L1042" s="1043">
        <f t="shared" si="163"/>
        <v>0</v>
      </c>
      <c r="M1042" s="1042"/>
      <c r="N1042" s="1043">
        <f t="shared" si="156"/>
        <v>0</v>
      </c>
      <c r="O1042" s="1117"/>
      <c r="P1042" s="1117"/>
      <c r="Q1042" s="1117"/>
      <c r="R1042" s="1117"/>
      <c r="S1042" s="915">
        <f t="shared" si="164"/>
        <v>0</v>
      </c>
      <c r="T1042" s="1169">
        <f t="shared" si="159"/>
        <v>0</v>
      </c>
    </row>
    <row r="1043" spans="1:20" ht="250.5" customHeight="1">
      <c r="A1043" s="1037"/>
      <c r="B1043" s="923" t="s">
        <v>3063</v>
      </c>
      <c r="C1043" s="1039">
        <f>DATA!K3085</f>
        <v>2971.33</v>
      </c>
      <c r="D1043" s="1040" t="s">
        <v>2273</v>
      </c>
      <c r="E1043" s="1041"/>
      <c r="F1043" s="1055">
        <f t="shared" si="160"/>
        <v>0</v>
      </c>
      <c r="G1043" s="1042"/>
      <c r="H1043" s="1043">
        <f t="shared" si="161"/>
        <v>0</v>
      </c>
      <c r="I1043" s="1042"/>
      <c r="J1043" s="1043">
        <f t="shared" si="162"/>
        <v>0</v>
      </c>
      <c r="K1043" s="1042"/>
      <c r="L1043" s="1043">
        <f t="shared" si="163"/>
        <v>0</v>
      </c>
      <c r="M1043" s="1042"/>
      <c r="N1043" s="1043">
        <f t="shared" si="156"/>
        <v>0</v>
      </c>
      <c r="O1043" s="1117"/>
      <c r="P1043" s="1117"/>
      <c r="Q1043" s="1117"/>
      <c r="R1043" s="1117"/>
      <c r="S1043" s="915">
        <f t="shared" si="164"/>
        <v>0</v>
      </c>
      <c r="T1043" s="1169">
        <f t="shared" ref="T1043:T1074" si="165">S1043*C1043</f>
        <v>0</v>
      </c>
    </row>
    <row r="1044" spans="1:20" ht="250.5" customHeight="1">
      <c r="A1044" s="1037"/>
      <c r="B1044" s="923" t="s">
        <v>3064</v>
      </c>
      <c r="C1044" s="1039">
        <f>DATA!K3066</f>
        <v>3103.82</v>
      </c>
      <c r="D1044" s="1040" t="s">
        <v>2273</v>
      </c>
      <c r="E1044" s="1041"/>
      <c r="F1044" s="1055">
        <f t="shared" si="160"/>
        <v>0</v>
      </c>
      <c r="G1044" s="1042"/>
      <c r="H1044" s="1043">
        <f t="shared" si="161"/>
        <v>0</v>
      </c>
      <c r="I1044" s="1042"/>
      <c r="J1044" s="1043">
        <f t="shared" si="162"/>
        <v>0</v>
      </c>
      <c r="K1044" s="1042"/>
      <c r="L1044" s="1043">
        <f t="shared" si="163"/>
        <v>0</v>
      </c>
      <c r="M1044" s="1042"/>
      <c r="N1044" s="1043">
        <f t="shared" si="156"/>
        <v>0</v>
      </c>
      <c r="O1044" s="1117"/>
      <c r="P1044" s="1117"/>
      <c r="Q1044" s="1117"/>
      <c r="R1044" s="1117"/>
      <c r="S1044" s="915">
        <f t="shared" si="164"/>
        <v>0</v>
      </c>
      <c r="T1044" s="1169">
        <f t="shared" si="165"/>
        <v>0</v>
      </c>
    </row>
    <row r="1045" spans="1:20" ht="250.5" customHeight="1">
      <c r="A1045" s="1037"/>
      <c r="B1045" s="923" t="s">
        <v>3065</v>
      </c>
      <c r="C1045" s="1039">
        <f>DATA!R3073</f>
        <v>2912.21</v>
      </c>
      <c r="D1045" s="1040" t="s">
        <v>2273</v>
      </c>
      <c r="E1045" s="1041"/>
      <c r="F1045" s="1055">
        <f t="shared" si="160"/>
        <v>0</v>
      </c>
      <c r="G1045" s="1042"/>
      <c r="H1045" s="1043">
        <f t="shared" si="161"/>
        <v>0</v>
      </c>
      <c r="I1045" s="1042"/>
      <c r="J1045" s="1043">
        <f t="shared" si="162"/>
        <v>0</v>
      </c>
      <c r="K1045" s="1042"/>
      <c r="L1045" s="1043">
        <f t="shared" si="163"/>
        <v>0</v>
      </c>
      <c r="M1045" s="1042"/>
      <c r="N1045" s="1043">
        <f t="shared" si="156"/>
        <v>0</v>
      </c>
      <c r="O1045" s="1117"/>
      <c r="P1045" s="1117"/>
      <c r="Q1045" s="1117"/>
      <c r="R1045" s="1117"/>
      <c r="S1045" s="915">
        <f t="shared" si="164"/>
        <v>0</v>
      </c>
      <c r="T1045" s="1169">
        <f t="shared" si="165"/>
        <v>0</v>
      </c>
    </row>
    <row r="1046" spans="1:20" ht="250.5" customHeight="1">
      <c r="A1046" s="1037"/>
      <c r="B1046" s="1045" t="s">
        <v>562</v>
      </c>
      <c r="C1046" s="1039">
        <f>DATA!K2877</f>
        <v>2189.9299999999998</v>
      </c>
      <c r="D1046" s="1040" t="s">
        <v>2273</v>
      </c>
      <c r="E1046" s="1041"/>
      <c r="F1046" s="1055">
        <f t="shared" si="160"/>
        <v>0</v>
      </c>
      <c r="G1046" s="1042"/>
      <c r="H1046" s="1043">
        <f t="shared" si="161"/>
        <v>0</v>
      </c>
      <c r="I1046" s="1042"/>
      <c r="J1046" s="1043">
        <f t="shared" si="162"/>
        <v>0</v>
      </c>
      <c r="K1046" s="1042"/>
      <c r="L1046" s="1043">
        <f t="shared" si="163"/>
        <v>0</v>
      </c>
      <c r="M1046" s="1042"/>
      <c r="N1046" s="1043">
        <f t="shared" si="156"/>
        <v>0</v>
      </c>
      <c r="O1046" s="1117"/>
      <c r="P1046" s="1117"/>
      <c r="Q1046" s="1117"/>
      <c r="R1046" s="1117"/>
      <c r="S1046" s="915">
        <f t="shared" si="164"/>
        <v>0</v>
      </c>
      <c r="T1046" s="1169">
        <f t="shared" si="165"/>
        <v>0</v>
      </c>
    </row>
    <row r="1047" spans="1:20" ht="250.5" customHeight="1">
      <c r="A1047" s="1037"/>
      <c r="B1047" s="923" t="s">
        <v>2829</v>
      </c>
      <c r="C1047" s="1039">
        <f>DATA!K1154</f>
        <v>123.92</v>
      </c>
      <c r="D1047" s="1040"/>
      <c r="E1047" s="1041"/>
      <c r="F1047" s="1055">
        <f t="shared" si="160"/>
        <v>0</v>
      </c>
      <c r="G1047" s="1042"/>
      <c r="H1047" s="1043">
        <f t="shared" si="161"/>
        <v>0</v>
      </c>
      <c r="I1047" s="1042"/>
      <c r="J1047" s="1043">
        <f t="shared" si="162"/>
        <v>0</v>
      </c>
      <c r="K1047" s="1042"/>
      <c r="L1047" s="1043">
        <f t="shared" si="163"/>
        <v>0</v>
      </c>
      <c r="M1047" s="1042"/>
      <c r="N1047" s="1043">
        <f t="shared" si="156"/>
        <v>0</v>
      </c>
      <c r="O1047" s="1117"/>
      <c r="P1047" s="1117"/>
      <c r="Q1047" s="1117"/>
      <c r="R1047" s="1117"/>
      <c r="S1047" s="915">
        <f t="shared" si="164"/>
        <v>0</v>
      </c>
      <c r="T1047" s="1169">
        <f t="shared" si="165"/>
        <v>0</v>
      </c>
    </row>
    <row r="1048" spans="1:20" ht="250.5" customHeight="1">
      <c r="A1048" s="1037"/>
      <c r="B1048" s="923" t="s">
        <v>2830</v>
      </c>
      <c r="C1048" s="1039">
        <f>DATA!K1167</f>
        <v>194.22</v>
      </c>
      <c r="D1048" s="1040"/>
      <c r="E1048" s="1041"/>
      <c r="F1048" s="1055">
        <f t="shared" si="160"/>
        <v>0</v>
      </c>
      <c r="G1048" s="1042"/>
      <c r="H1048" s="1043">
        <f t="shared" si="161"/>
        <v>0</v>
      </c>
      <c r="I1048" s="1042"/>
      <c r="J1048" s="1043">
        <f t="shared" si="162"/>
        <v>0</v>
      </c>
      <c r="K1048" s="1042"/>
      <c r="L1048" s="1043">
        <f t="shared" si="163"/>
        <v>0</v>
      </c>
      <c r="M1048" s="1042"/>
      <c r="N1048" s="1043">
        <f t="shared" si="156"/>
        <v>0</v>
      </c>
      <c r="O1048" s="1117"/>
      <c r="P1048" s="1117"/>
      <c r="Q1048" s="1117"/>
      <c r="R1048" s="1117"/>
      <c r="S1048" s="915">
        <f t="shared" ref="S1048:S1053" si="166">G1048+I1048+K1048+M1048+E1048+O1048</f>
        <v>0</v>
      </c>
      <c r="T1048" s="1169">
        <f t="shared" si="165"/>
        <v>0</v>
      </c>
    </row>
    <row r="1049" spans="1:20" ht="250.5" customHeight="1">
      <c r="A1049" s="1037"/>
      <c r="B1049" s="923" t="s">
        <v>1667</v>
      </c>
      <c r="C1049" s="1039">
        <f>DATA!K2448</f>
        <v>766.92</v>
      </c>
      <c r="D1049" s="1040"/>
      <c r="E1049" s="1041"/>
      <c r="F1049" s="1055">
        <f t="shared" si="160"/>
        <v>0</v>
      </c>
      <c r="G1049" s="1042"/>
      <c r="H1049" s="1043">
        <f t="shared" si="161"/>
        <v>0</v>
      </c>
      <c r="I1049" s="1042"/>
      <c r="J1049" s="1043">
        <f t="shared" si="162"/>
        <v>0</v>
      </c>
      <c r="K1049" s="1042"/>
      <c r="L1049" s="1043">
        <f t="shared" si="163"/>
        <v>0</v>
      </c>
      <c r="M1049" s="1042"/>
      <c r="N1049" s="1043">
        <f t="shared" si="156"/>
        <v>0</v>
      </c>
      <c r="O1049" s="1117"/>
      <c r="P1049" s="1117"/>
      <c r="Q1049" s="1117"/>
      <c r="R1049" s="1117"/>
      <c r="S1049" s="915">
        <f t="shared" si="166"/>
        <v>0</v>
      </c>
      <c r="T1049" s="1169">
        <f t="shared" si="165"/>
        <v>0</v>
      </c>
    </row>
    <row r="1050" spans="1:20" ht="250.5" customHeight="1">
      <c r="A1050" s="1037"/>
      <c r="B1050" s="923" t="s">
        <v>1668</v>
      </c>
      <c r="C1050" s="1039">
        <f>DATA!K2798</f>
        <v>1715.82</v>
      </c>
      <c r="D1050" s="1040"/>
      <c r="E1050" s="1041"/>
      <c r="F1050" s="1055">
        <f t="shared" si="160"/>
        <v>0</v>
      </c>
      <c r="G1050" s="1042"/>
      <c r="H1050" s="1043">
        <f t="shared" si="161"/>
        <v>0</v>
      </c>
      <c r="I1050" s="1042"/>
      <c r="J1050" s="1043">
        <f t="shared" si="162"/>
        <v>0</v>
      </c>
      <c r="K1050" s="1042"/>
      <c r="L1050" s="1043">
        <f t="shared" si="163"/>
        <v>0</v>
      </c>
      <c r="M1050" s="1042"/>
      <c r="N1050" s="1043">
        <f t="shared" si="156"/>
        <v>0</v>
      </c>
      <c r="O1050" s="1117"/>
      <c r="P1050" s="1117"/>
      <c r="Q1050" s="1117"/>
      <c r="R1050" s="1117"/>
      <c r="S1050" s="915">
        <f t="shared" si="166"/>
        <v>0</v>
      </c>
      <c r="T1050" s="1169">
        <f t="shared" si="165"/>
        <v>0</v>
      </c>
    </row>
    <row r="1051" spans="1:20" ht="250.5" customHeight="1">
      <c r="A1051" s="1037"/>
      <c r="B1051" s="1045" t="s">
        <v>6702</v>
      </c>
      <c r="C1051" s="1039">
        <f>Elec.Data!K180</f>
        <v>2743.5</v>
      </c>
      <c r="D1051" s="1040"/>
      <c r="E1051" s="1041"/>
      <c r="F1051" s="1055">
        <f t="shared" si="160"/>
        <v>0</v>
      </c>
      <c r="G1051" s="1042"/>
      <c r="H1051" s="1043">
        <f t="shared" si="161"/>
        <v>0</v>
      </c>
      <c r="I1051" s="1042"/>
      <c r="J1051" s="1043">
        <f t="shared" si="162"/>
        <v>0</v>
      </c>
      <c r="K1051" s="1042"/>
      <c r="L1051" s="1043">
        <f t="shared" si="163"/>
        <v>0</v>
      </c>
      <c r="M1051" s="1042"/>
      <c r="N1051" s="1043">
        <f t="shared" si="156"/>
        <v>0</v>
      </c>
      <c r="O1051" s="1117"/>
      <c r="P1051" s="1117"/>
      <c r="Q1051" s="1117"/>
      <c r="R1051" s="1117"/>
      <c r="S1051" s="915">
        <f t="shared" si="166"/>
        <v>0</v>
      </c>
      <c r="T1051" s="1169">
        <f t="shared" si="165"/>
        <v>0</v>
      </c>
    </row>
    <row r="1052" spans="1:20" ht="250.5" customHeight="1">
      <c r="A1052" s="1037"/>
      <c r="B1052" s="1045" t="s">
        <v>6703</v>
      </c>
      <c r="C1052" s="1039">
        <f>Elec.Data!K192</f>
        <v>2743.5</v>
      </c>
      <c r="D1052" s="1040"/>
      <c r="E1052" s="1041"/>
      <c r="F1052" s="1055">
        <f t="shared" si="160"/>
        <v>0</v>
      </c>
      <c r="G1052" s="1042"/>
      <c r="H1052" s="1043">
        <f t="shared" si="161"/>
        <v>0</v>
      </c>
      <c r="I1052" s="1042"/>
      <c r="J1052" s="1043">
        <f t="shared" si="162"/>
        <v>0</v>
      </c>
      <c r="K1052" s="1042"/>
      <c r="L1052" s="1043">
        <f t="shared" si="163"/>
        <v>0</v>
      </c>
      <c r="M1052" s="1042"/>
      <c r="N1052" s="1043">
        <f t="shared" si="156"/>
        <v>0</v>
      </c>
      <c r="O1052" s="1117"/>
      <c r="P1052" s="1117"/>
      <c r="Q1052" s="1117"/>
      <c r="R1052" s="1117"/>
      <c r="S1052" s="915">
        <f t="shared" si="166"/>
        <v>0</v>
      </c>
      <c r="T1052" s="1169">
        <f t="shared" si="165"/>
        <v>0</v>
      </c>
    </row>
    <row r="1053" spans="1:20" ht="250.5" customHeight="1">
      <c r="A1053" s="1037"/>
      <c r="B1053" s="1045" t="s">
        <v>6704</v>
      </c>
      <c r="C1053" s="1039">
        <f>Elec.Data!K213</f>
        <v>2815.5</v>
      </c>
      <c r="D1053" s="1040"/>
      <c r="E1053" s="1041"/>
      <c r="F1053" s="1055">
        <f t="shared" si="160"/>
        <v>0</v>
      </c>
      <c r="G1053" s="1042"/>
      <c r="H1053" s="1043">
        <f t="shared" si="161"/>
        <v>0</v>
      </c>
      <c r="I1053" s="1042"/>
      <c r="J1053" s="1043">
        <f t="shared" si="162"/>
        <v>0</v>
      </c>
      <c r="K1053" s="1042"/>
      <c r="L1053" s="1043">
        <f t="shared" si="163"/>
        <v>0</v>
      </c>
      <c r="M1053" s="1042"/>
      <c r="N1053" s="1043">
        <f t="shared" si="156"/>
        <v>0</v>
      </c>
      <c r="O1053" s="1117"/>
      <c r="P1053" s="1117"/>
      <c r="Q1053" s="1117"/>
      <c r="R1053" s="1117"/>
      <c r="S1053" s="915">
        <f t="shared" si="166"/>
        <v>0</v>
      </c>
      <c r="T1053" s="1169">
        <f t="shared" si="165"/>
        <v>0</v>
      </c>
    </row>
    <row r="1054" spans="1:20" ht="250.5" customHeight="1">
      <c r="A1054" s="1037"/>
      <c r="B1054" s="1045" t="s">
        <v>6705</v>
      </c>
      <c r="C1054" s="1039">
        <f>Elec.Data!K232</f>
        <v>5167</v>
      </c>
      <c r="D1054" s="1040"/>
      <c r="E1054" s="1041"/>
      <c r="F1054" s="1055">
        <f t="shared" si="160"/>
        <v>0</v>
      </c>
      <c r="G1054" s="1042"/>
      <c r="H1054" s="1043">
        <f t="shared" si="161"/>
        <v>0</v>
      </c>
      <c r="I1054" s="1042"/>
      <c r="J1054" s="1043">
        <f t="shared" si="162"/>
        <v>0</v>
      </c>
      <c r="K1054" s="1042"/>
      <c r="L1054" s="1043">
        <f t="shared" si="163"/>
        <v>0</v>
      </c>
      <c r="M1054" s="1042"/>
      <c r="N1054" s="1043">
        <f t="shared" si="156"/>
        <v>0</v>
      </c>
      <c r="O1054" s="1117"/>
      <c r="P1054" s="1117"/>
      <c r="Q1054" s="1117"/>
      <c r="R1054" s="1117"/>
      <c r="S1054" s="915">
        <f t="shared" ref="S1054:S1066" si="167">G1054+I1054+K1054+M1054+E1054</f>
        <v>0</v>
      </c>
      <c r="T1054" s="1169">
        <f t="shared" si="165"/>
        <v>0</v>
      </c>
    </row>
    <row r="1055" spans="1:20" ht="250.5" customHeight="1">
      <c r="A1055" s="1037"/>
      <c r="B1055" s="1045" t="s">
        <v>2386</v>
      </c>
      <c r="C1055" s="1039">
        <f>Elec.Data!K261</f>
        <v>232.9</v>
      </c>
      <c r="D1055" s="1040"/>
      <c r="E1055" s="1041"/>
      <c r="F1055" s="1055">
        <f t="shared" si="160"/>
        <v>0</v>
      </c>
      <c r="G1055" s="1042"/>
      <c r="H1055" s="1043">
        <f t="shared" si="161"/>
        <v>0</v>
      </c>
      <c r="I1055" s="1042"/>
      <c r="J1055" s="1043">
        <f t="shared" si="162"/>
        <v>0</v>
      </c>
      <c r="K1055" s="1042"/>
      <c r="L1055" s="1043">
        <f t="shared" si="163"/>
        <v>0</v>
      </c>
      <c r="M1055" s="1042"/>
      <c r="N1055" s="1043">
        <f t="shared" si="156"/>
        <v>0</v>
      </c>
      <c r="O1055" s="1117"/>
      <c r="P1055" s="1117"/>
      <c r="Q1055" s="1117"/>
      <c r="R1055" s="1117"/>
      <c r="S1055" s="915">
        <f t="shared" si="167"/>
        <v>0</v>
      </c>
      <c r="T1055" s="1169">
        <f t="shared" si="165"/>
        <v>0</v>
      </c>
    </row>
    <row r="1056" spans="1:20" ht="250.5" customHeight="1">
      <c r="A1056" s="1037"/>
      <c r="B1056" s="1045" t="s">
        <v>2936</v>
      </c>
      <c r="C1056" s="1039">
        <f>Elec.Data!K274</f>
        <v>272.89999999999998</v>
      </c>
      <c r="D1056" s="1040"/>
      <c r="E1056" s="1041"/>
      <c r="F1056" s="1055">
        <f t="shared" si="160"/>
        <v>0</v>
      </c>
      <c r="G1056" s="1042"/>
      <c r="H1056" s="1043">
        <f t="shared" si="161"/>
        <v>0</v>
      </c>
      <c r="I1056" s="1042"/>
      <c r="J1056" s="1043">
        <f t="shared" si="162"/>
        <v>0</v>
      </c>
      <c r="K1056" s="1042"/>
      <c r="L1056" s="1043">
        <f t="shared" si="163"/>
        <v>0</v>
      </c>
      <c r="M1056" s="1042"/>
      <c r="N1056" s="1043">
        <f t="shared" si="156"/>
        <v>0</v>
      </c>
      <c r="O1056" s="1117"/>
      <c r="P1056" s="1117"/>
      <c r="Q1056" s="1117"/>
      <c r="R1056" s="1117"/>
      <c r="S1056" s="915">
        <f t="shared" si="167"/>
        <v>0</v>
      </c>
      <c r="T1056" s="1169">
        <f t="shared" si="165"/>
        <v>0</v>
      </c>
    </row>
    <row r="1057" spans="1:20" ht="250.5" customHeight="1">
      <c r="A1057" s="1037"/>
      <c r="B1057" s="1045" t="s">
        <v>2326</v>
      </c>
      <c r="C1057" s="1039">
        <f>Elec.Data!K288</f>
        <v>407.08</v>
      </c>
      <c r="D1057" s="1040"/>
      <c r="E1057" s="1041"/>
      <c r="F1057" s="1055">
        <f t="shared" si="160"/>
        <v>0</v>
      </c>
      <c r="G1057" s="1042"/>
      <c r="H1057" s="1043">
        <f t="shared" si="161"/>
        <v>0</v>
      </c>
      <c r="I1057" s="1042"/>
      <c r="J1057" s="1043">
        <f t="shared" si="162"/>
        <v>0</v>
      </c>
      <c r="K1057" s="1042"/>
      <c r="L1057" s="1043">
        <f t="shared" si="163"/>
        <v>0</v>
      </c>
      <c r="M1057" s="1042"/>
      <c r="N1057" s="1043">
        <f t="shared" si="156"/>
        <v>0</v>
      </c>
      <c r="O1057" s="1117"/>
      <c r="P1057" s="1117"/>
      <c r="Q1057" s="1117"/>
      <c r="R1057" s="1117"/>
      <c r="S1057" s="915">
        <f t="shared" si="167"/>
        <v>0</v>
      </c>
      <c r="T1057" s="1169">
        <f t="shared" si="165"/>
        <v>0</v>
      </c>
    </row>
    <row r="1058" spans="1:20" ht="250.5" customHeight="1">
      <c r="A1058" s="1037"/>
      <c r="B1058" s="1045" t="s">
        <v>2747</v>
      </c>
      <c r="C1058" s="1039">
        <f>Elec.Data!K342</f>
        <v>1372.85</v>
      </c>
      <c r="D1058" s="1040"/>
      <c r="E1058" s="1041"/>
      <c r="F1058" s="1055">
        <f t="shared" si="160"/>
        <v>0</v>
      </c>
      <c r="G1058" s="1042"/>
      <c r="H1058" s="1043">
        <f t="shared" si="161"/>
        <v>0</v>
      </c>
      <c r="I1058" s="1042"/>
      <c r="J1058" s="1043">
        <f t="shared" si="162"/>
        <v>0</v>
      </c>
      <c r="K1058" s="1042"/>
      <c r="L1058" s="1043">
        <f t="shared" si="163"/>
        <v>0</v>
      </c>
      <c r="M1058" s="1042"/>
      <c r="N1058" s="1043">
        <f t="shared" si="156"/>
        <v>0</v>
      </c>
      <c r="O1058" s="1117"/>
      <c r="P1058" s="1117"/>
      <c r="Q1058" s="1117"/>
      <c r="R1058" s="1117"/>
      <c r="S1058" s="915">
        <f t="shared" si="167"/>
        <v>0</v>
      </c>
      <c r="T1058" s="1169">
        <f t="shared" si="165"/>
        <v>0</v>
      </c>
    </row>
    <row r="1059" spans="1:20" ht="250.5" customHeight="1">
      <c r="A1059" s="1037"/>
      <c r="B1059" s="1045" t="s">
        <v>2396</v>
      </c>
      <c r="C1059" s="1039">
        <f>Elec.Data!K353</f>
        <v>1062.8499999999999</v>
      </c>
      <c r="D1059" s="1040"/>
      <c r="E1059" s="1041"/>
      <c r="F1059" s="1055">
        <f t="shared" si="160"/>
        <v>0</v>
      </c>
      <c r="G1059" s="1042"/>
      <c r="H1059" s="1043">
        <f t="shared" si="161"/>
        <v>0</v>
      </c>
      <c r="I1059" s="1042"/>
      <c r="J1059" s="1043">
        <f t="shared" si="162"/>
        <v>0</v>
      </c>
      <c r="K1059" s="1042"/>
      <c r="L1059" s="1043">
        <f t="shared" si="163"/>
        <v>0</v>
      </c>
      <c r="M1059" s="1042"/>
      <c r="N1059" s="1043">
        <f t="shared" si="156"/>
        <v>0</v>
      </c>
      <c r="O1059" s="1117"/>
      <c r="P1059" s="1117"/>
      <c r="Q1059" s="1117"/>
      <c r="R1059" s="1117"/>
      <c r="S1059" s="915">
        <f t="shared" si="167"/>
        <v>0</v>
      </c>
      <c r="T1059" s="1169">
        <f t="shared" si="165"/>
        <v>0</v>
      </c>
    </row>
    <row r="1060" spans="1:20" ht="250.5" customHeight="1">
      <c r="A1060" s="1037"/>
      <c r="B1060" s="1045" t="s">
        <v>3405</v>
      </c>
      <c r="C1060" s="1039">
        <f>Elec.Data!K364</f>
        <v>1768.94</v>
      </c>
      <c r="D1060" s="1040"/>
      <c r="E1060" s="1041"/>
      <c r="F1060" s="1055">
        <f t="shared" si="160"/>
        <v>0</v>
      </c>
      <c r="G1060" s="1042"/>
      <c r="H1060" s="1043">
        <f t="shared" si="161"/>
        <v>0</v>
      </c>
      <c r="I1060" s="1042"/>
      <c r="J1060" s="1043">
        <f t="shared" si="162"/>
        <v>0</v>
      </c>
      <c r="K1060" s="1042"/>
      <c r="L1060" s="1043">
        <f t="shared" si="163"/>
        <v>0</v>
      </c>
      <c r="M1060" s="1042"/>
      <c r="N1060" s="1043">
        <f t="shared" si="156"/>
        <v>0</v>
      </c>
      <c r="O1060" s="1117"/>
      <c r="P1060" s="1117"/>
      <c r="Q1060" s="1117"/>
      <c r="R1060" s="1117"/>
      <c r="S1060" s="915">
        <f t="shared" si="167"/>
        <v>0</v>
      </c>
      <c r="T1060" s="1169">
        <f t="shared" si="165"/>
        <v>0</v>
      </c>
    </row>
    <row r="1061" spans="1:20" ht="250.5" customHeight="1">
      <c r="A1061" s="1037"/>
      <c r="B1061" s="1045" t="s">
        <v>2280</v>
      </c>
      <c r="C1061" s="1039">
        <f>Elec.Data!K379</f>
        <v>2195.34</v>
      </c>
      <c r="D1061" s="1040"/>
      <c r="E1061" s="1041"/>
      <c r="F1061" s="1055">
        <f t="shared" si="160"/>
        <v>0</v>
      </c>
      <c r="G1061" s="1042"/>
      <c r="H1061" s="1043">
        <f t="shared" si="161"/>
        <v>0</v>
      </c>
      <c r="I1061" s="1042"/>
      <c r="J1061" s="1043">
        <f t="shared" si="162"/>
        <v>0</v>
      </c>
      <c r="K1061" s="1042"/>
      <c r="L1061" s="1043">
        <f t="shared" si="163"/>
        <v>0</v>
      </c>
      <c r="M1061" s="1042"/>
      <c r="N1061" s="1043">
        <f t="shared" si="156"/>
        <v>0</v>
      </c>
      <c r="O1061" s="1117"/>
      <c r="P1061" s="1117"/>
      <c r="Q1061" s="1117"/>
      <c r="R1061" s="1117"/>
      <c r="S1061" s="915">
        <f t="shared" si="167"/>
        <v>0</v>
      </c>
      <c r="T1061" s="1169">
        <f t="shared" si="165"/>
        <v>0</v>
      </c>
    </row>
    <row r="1062" spans="1:20" ht="250.5" customHeight="1">
      <c r="A1062" s="1037"/>
      <c r="B1062" s="1045" t="s">
        <v>2572</v>
      </c>
      <c r="C1062" s="1039">
        <f>Elec.Data!K402</f>
        <v>4248.34</v>
      </c>
      <c r="D1062" s="1040"/>
      <c r="E1062" s="1041"/>
      <c r="F1062" s="1055">
        <f t="shared" si="160"/>
        <v>0</v>
      </c>
      <c r="G1062" s="1042"/>
      <c r="H1062" s="1043">
        <f t="shared" si="161"/>
        <v>0</v>
      </c>
      <c r="I1062" s="1042"/>
      <c r="J1062" s="1043">
        <f t="shared" si="162"/>
        <v>0</v>
      </c>
      <c r="K1062" s="1042"/>
      <c r="L1062" s="1043">
        <f t="shared" si="163"/>
        <v>0</v>
      </c>
      <c r="M1062" s="1042"/>
      <c r="N1062" s="1043">
        <f t="shared" si="156"/>
        <v>0</v>
      </c>
      <c r="O1062" s="1117"/>
      <c r="P1062" s="1117"/>
      <c r="Q1062" s="1117"/>
      <c r="R1062" s="1117"/>
      <c r="S1062" s="915">
        <f t="shared" si="167"/>
        <v>0</v>
      </c>
      <c r="T1062" s="1169">
        <f t="shared" si="165"/>
        <v>0</v>
      </c>
    </row>
    <row r="1063" spans="1:20" ht="250.5" customHeight="1">
      <c r="A1063" s="1037"/>
      <c r="B1063" s="1045" t="s">
        <v>3113</v>
      </c>
      <c r="C1063" s="1039">
        <f>Elec.Data!K390</f>
        <v>3466.34</v>
      </c>
      <c r="D1063" s="1040"/>
      <c r="E1063" s="1041"/>
      <c r="F1063" s="1055">
        <f t="shared" si="160"/>
        <v>0</v>
      </c>
      <c r="G1063" s="1042"/>
      <c r="H1063" s="1043">
        <f t="shared" si="161"/>
        <v>0</v>
      </c>
      <c r="I1063" s="1042"/>
      <c r="J1063" s="1043">
        <f t="shared" si="162"/>
        <v>0</v>
      </c>
      <c r="K1063" s="1042"/>
      <c r="L1063" s="1043">
        <f t="shared" si="163"/>
        <v>0</v>
      </c>
      <c r="M1063" s="1042"/>
      <c r="N1063" s="1043">
        <f t="shared" si="156"/>
        <v>0</v>
      </c>
      <c r="O1063" s="1117"/>
      <c r="P1063" s="1117"/>
      <c r="Q1063" s="1117"/>
      <c r="R1063" s="1117"/>
      <c r="S1063" s="915">
        <f t="shared" si="167"/>
        <v>0</v>
      </c>
      <c r="T1063" s="1169">
        <f t="shared" si="165"/>
        <v>0</v>
      </c>
    </row>
    <row r="1064" spans="1:20" ht="250.5" customHeight="1">
      <c r="A1064" s="1037"/>
      <c r="B1064" s="1045" t="s">
        <v>3328</v>
      </c>
      <c r="C1064" s="1039">
        <f>Elec.Data!K414</f>
        <v>0</v>
      </c>
      <c r="D1064" s="1040"/>
      <c r="E1064" s="1041"/>
      <c r="F1064" s="1055">
        <f t="shared" si="160"/>
        <v>0</v>
      </c>
      <c r="G1064" s="1042"/>
      <c r="H1064" s="1043">
        <f t="shared" si="161"/>
        <v>0</v>
      </c>
      <c r="I1064" s="1042"/>
      <c r="J1064" s="1043">
        <f t="shared" si="162"/>
        <v>0</v>
      </c>
      <c r="K1064" s="1042"/>
      <c r="L1064" s="1043">
        <f t="shared" si="163"/>
        <v>0</v>
      </c>
      <c r="M1064" s="1042"/>
      <c r="N1064" s="1043">
        <f t="shared" si="156"/>
        <v>0</v>
      </c>
      <c r="O1064" s="1117"/>
      <c r="P1064" s="1117"/>
      <c r="Q1064" s="1117"/>
      <c r="R1064" s="1117"/>
      <c r="S1064" s="915">
        <f t="shared" si="167"/>
        <v>0</v>
      </c>
      <c r="T1064" s="1169">
        <f t="shared" si="165"/>
        <v>0</v>
      </c>
    </row>
    <row r="1065" spans="1:20" ht="250.5" customHeight="1">
      <c r="A1065" s="1037"/>
      <c r="B1065" s="1045" t="s">
        <v>3347</v>
      </c>
      <c r="C1065" s="1039">
        <f>Elec.Data!K432</f>
        <v>0</v>
      </c>
      <c r="D1065" s="1040"/>
      <c r="E1065" s="1041"/>
      <c r="F1065" s="1055">
        <f t="shared" si="160"/>
        <v>0</v>
      </c>
      <c r="G1065" s="1042"/>
      <c r="H1065" s="1043">
        <f t="shared" si="161"/>
        <v>0</v>
      </c>
      <c r="I1065" s="1042"/>
      <c r="J1065" s="1043">
        <f t="shared" si="162"/>
        <v>0</v>
      </c>
      <c r="K1065" s="1042"/>
      <c r="L1065" s="1043">
        <f t="shared" si="163"/>
        <v>0</v>
      </c>
      <c r="M1065" s="1042"/>
      <c r="N1065" s="1043">
        <f t="shared" si="156"/>
        <v>0</v>
      </c>
      <c r="O1065" s="1117"/>
      <c r="P1065" s="1117"/>
      <c r="Q1065" s="1117"/>
      <c r="R1065" s="1117"/>
      <c r="S1065" s="915">
        <f t="shared" si="167"/>
        <v>0</v>
      </c>
      <c r="T1065" s="1169">
        <f t="shared" si="165"/>
        <v>0</v>
      </c>
    </row>
    <row r="1066" spans="1:20" ht="250.5" customHeight="1">
      <c r="A1066" s="1037"/>
      <c r="B1066" s="1045" t="s">
        <v>2282</v>
      </c>
      <c r="C1066" s="1039">
        <f>Elec.Data!K502</f>
        <v>0</v>
      </c>
      <c r="D1066" s="1040"/>
      <c r="E1066" s="1041"/>
      <c r="F1066" s="1055">
        <f t="shared" si="160"/>
        <v>0</v>
      </c>
      <c r="G1066" s="1042"/>
      <c r="H1066" s="1043">
        <f t="shared" si="161"/>
        <v>0</v>
      </c>
      <c r="I1066" s="1042"/>
      <c r="J1066" s="1043">
        <f t="shared" si="162"/>
        <v>0</v>
      </c>
      <c r="K1066" s="1042"/>
      <c r="L1066" s="1043">
        <f t="shared" si="163"/>
        <v>0</v>
      </c>
      <c r="M1066" s="1042"/>
      <c r="N1066" s="1043">
        <f t="shared" si="156"/>
        <v>0</v>
      </c>
      <c r="O1066" s="1117"/>
      <c r="P1066" s="1117"/>
      <c r="Q1066" s="1117"/>
      <c r="R1066" s="1117"/>
      <c r="S1066" s="915">
        <f t="shared" si="167"/>
        <v>0</v>
      </c>
      <c r="T1066" s="1169">
        <f t="shared" si="165"/>
        <v>0</v>
      </c>
    </row>
    <row r="1067" spans="1:20" ht="250.5" customHeight="1">
      <c r="A1067" s="1037"/>
      <c r="B1067" s="1045" t="s">
        <v>2283</v>
      </c>
      <c r="C1067" s="1039">
        <f>Elec.Data!K517</f>
        <v>0</v>
      </c>
      <c r="D1067" s="1040"/>
      <c r="E1067" s="1041"/>
      <c r="F1067" s="1055">
        <f t="shared" si="160"/>
        <v>0</v>
      </c>
      <c r="G1067" s="1042"/>
      <c r="H1067" s="1043">
        <f t="shared" si="161"/>
        <v>0</v>
      </c>
      <c r="I1067" s="1042"/>
      <c r="J1067" s="1043">
        <f t="shared" si="162"/>
        <v>0</v>
      </c>
      <c r="K1067" s="1042"/>
      <c r="L1067" s="1043">
        <f t="shared" si="163"/>
        <v>0</v>
      </c>
      <c r="M1067" s="1042"/>
      <c r="N1067" s="1043">
        <f t="shared" si="156"/>
        <v>0</v>
      </c>
      <c r="O1067" s="1117"/>
      <c r="P1067" s="1117"/>
      <c r="Q1067" s="1117"/>
      <c r="R1067" s="1117"/>
      <c r="S1067" s="915" t="e">
        <f>G1067+I1067+K1067+M1067+#REF!+#REF!</f>
        <v>#REF!</v>
      </c>
      <c r="T1067" s="1169" t="e">
        <f t="shared" si="165"/>
        <v>#REF!</v>
      </c>
    </row>
    <row r="1068" spans="1:20" ht="250.5" customHeight="1">
      <c r="A1068" s="1037"/>
      <c r="B1068" s="1045" t="s">
        <v>2284</v>
      </c>
      <c r="C1068" s="1039">
        <f>Elec.Data!K535</f>
        <v>0</v>
      </c>
      <c r="D1068" s="1040"/>
      <c r="E1068" s="1041"/>
      <c r="F1068" s="1055">
        <f t="shared" si="160"/>
        <v>0</v>
      </c>
      <c r="G1068" s="1042"/>
      <c r="H1068" s="1043">
        <f t="shared" si="161"/>
        <v>0</v>
      </c>
      <c r="I1068" s="1042"/>
      <c r="J1068" s="1043">
        <f t="shared" si="162"/>
        <v>0</v>
      </c>
      <c r="K1068" s="1042"/>
      <c r="L1068" s="1043">
        <f t="shared" si="163"/>
        <v>0</v>
      </c>
      <c r="M1068" s="1042"/>
      <c r="N1068" s="1043">
        <f t="shared" si="156"/>
        <v>0</v>
      </c>
      <c r="O1068" s="1117"/>
      <c r="P1068" s="1117"/>
      <c r="Q1068" s="1117"/>
      <c r="R1068" s="1117"/>
      <c r="S1068" s="915" t="e">
        <f>G1068+I1068+K1068+M1068+#REF!+#REF!</f>
        <v>#REF!</v>
      </c>
      <c r="T1068" s="1169" t="e">
        <f t="shared" si="165"/>
        <v>#REF!</v>
      </c>
    </row>
    <row r="1069" spans="1:20" ht="250.5" customHeight="1">
      <c r="A1069" s="1037"/>
      <c r="B1069" s="1045" t="s">
        <v>2285</v>
      </c>
      <c r="C1069" s="1039">
        <f>Elec.Data!K548</f>
        <v>0</v>
      </c>
      <c r="D1069" s="1040"/>
      <c r="E1069" s="1041"/>
      <c r="F1069" s="1055">
        <f t="shared" si="160"/>
        <v>0</v>
      </c>
      <c r="G1069" s="1042"/>
      <c r="H1069" s="1043">
        <f t="shared" si="161"/>
        <v>0</v>
      </c>
      <c r="I1069" s="1042"/>
      <c r="J1069" s="1043">
        <f t="shared" si="162"/>
        <v>0</v>
      </c>
      <c r="K1069" s="1042"/>
      <c r="L1069" s="1043">
        <f t="shared" si="163"/>
        <v>0</v>
      </c>
      <c r="M1069" s="1042"/>
      <c r="N1069" s="1043">
        <f t="shared" si="156"/>
        <v>0</v>
      </c>
      <c r="O1069" s="1117"/>
      <c r="P1069" s="1117"/>
      <c r="Q1069" s="1117"/>
      <c r="R1069" s="1117"/>
      <c r="S1069" s="915" t="e">
        <f>G1069+I1069+K1069+M1069+#REF!+#REF!</f>
        <v>#REF!</v>
      </c>
      <c r="T1069" s="1169" t="e">
        <f t="shared" si="165"/>
        <v>#REF!</v>
      </c>
    </row>
    <row r="1070" spans="1:20" ht="250.5" customHeight="1">
      <c r="A1070" s="1037"/>
      <c r="B1070" s="1045" t="s">
        <v>2404</v>
      </c>
      <c r="C1070" s="1039">
        <f>Elec.Data!K553</f>
        <v>0</v>
      </c>
      <c r="D1070" s="1040"/>
      <c r="E1070" s="1041"/>
      <c r="F1070" s="1055">
        <f t="shared" si="160"/>
        <v>0</v>
      </c>
      <c r="G1070" s="1042"/>
      <c r="H1070" s="1043">
        <f t="shared" si="161"/>
        <v>0</v>
      </c>
      <c r="I1070" s="1042"/>
      <c r="J1070" s="1043">
        <f t="shared" si="162"/>
        <v>0</v>
      </c>
      <c r="K1070" s="1042"/>
      <c r="L1070" s="1043">
        <f t="shared" si="163"/>
        <v>0</v>
      </c>
      <c r="M1070" s="1042"/>
      <c r="N1070" s="1043">
        <f t="shared" si="156"/>
        <v>0</v>
      </c>
      <c r="O1070" s="1117"/>
      <c r="P1070" s="1117"/>
      <c r="Q1070" s="1117"/>
      <c r="R1070" s="1117"/>
      <c r="S1070" s="915" t="e">
        <f>G1070+I1070+K1070+M1070+#REF!+#REF!</f>
        <v>#REF!</v>
      </c>
      <c r="T1070" s="1169" t="e">
        <f t="shared" si="165"/>
        <v>#REF!</v>
      </c>
    </row>
    <row r="1071" spans="1:20" ht="250.5" customHeight="1">
      <c r="A1071" s="1037"/>
      <c r="B1071" s="1045" t="s">
        <v>2392</v>
      </c>
      <c r="C1071" s="1039">
        <f>Elec.Data!K558</f>
        <v>0</v>
      </c>
      <c r="D1071" s="1040"/>
      <c r="E1071" s="1041"/>
      <c r="F1071" s="1055">
        <f t="shared" si="160"/>
        <v>0</v>
      </c>
      <c r="G1071" s="1042"/>
      <c r="H1071" s="1043">
        <f t="shared" si="161"/>
        <v>0</v>
      </c>
      <c r="I1071" s="1042"/>
      <c r="J1071" s="1043">
        <f t="shared" si="162"/>
        <v>0</v>
      </c>
      <c r="K1071" s="1042"/>
      <c r="L1071" s="1043">
        <f t="shared" si="163"/>
        <v>0</v>
      </c>
      <c r="M1071" s="1042"/>
      <c r="N1071" s="1043">
        <f t="shared" ref="N1071:N1109" si="168">M1071*C1071</f>
        <v>0</v>
      </c>
      <c r="O1071" s="1117"/>
      <c r="P1071" s="1117"/>
      <c r="Q1071" s="1117"/>
      <c r="R1071" s="1117"/>
      <c r="S1071" s="915" t="e">
        <f>G1071+I1071+K1071+M1071+#REF!+#REF!</f>
        <v>#REF!</v>
      </c>
      <c r="T1071" s="1169" t="e">
        <f t="shared" si="165"/>
        <v>#REF!</v>
      </c>
    </row>
    <row r="1072" spans="1:20" ht="250.5" customHeight="1">
      <c r="A1072" s="1037"/>
      <c r="B1072" s="1045" t="s">
        <v>6706</v>
      </c>
      <c r="C1072" s="1039">
        <f>Elec.Data!K670</f>
        <v>0</v>
      </c>
      <c r="D1072" s="1040"/>
      <c r="E1072" s="1041"/>
      <c r="F1072" s="1055">
        <f t="shared" si="160"/>
        <v>0</v>
      </c>
      <c r="G1072" s="1042"/>
      <c r="H1072" s="1043">
        <f t="shared" si="161"/>
        <v>0</v>
      </c>
      <c r="I1072" s="1042"/>
      <c r="J1072" s="1043">
        <f t="shared" si="162"/>
        <v>0</v>
      </c>
      <c r="K1072" s="1042"/>
      <c r="L1072" s="1043">
        <f t="shared" si="163"/>
        <v>0</v>
      </c>
      <c r="M1072" s="1042"/>
      <c r="N1072" s="1043">
        <f t="shared" si="168"/>
        <v>0</v>
      </c>
      <c r="O1072" s="1117"/>
      <c r="P1072" s="1117"/>
      <c r="Q1072" s="1117"/>
      <c r="R1072" s="1117"/>
      <c r="S1072" s="915" t="e">
        <f>G1072+I1072+K1072+M1072+#REF!+#REF!</f>
        <v>#REF!</v>
      </c>
      <c r="T1072" s="1169" t="e">
        <f t="shared" si="165"/>
        <v>#REF!</v>
      </c>
    </row>
    <row r="1073" spans="1:20" ht="250.5" customHeight="1">
      <c r="A1073" s="1037"/>
      <c r="B1073" s="1045" t="s">
        <v>6707</v>
      </c>
      <c r="C1073" s="1039">
        <f>Elec.Data!K708</f>
        <v>0</v>
      </c>
      <c r="D1073" s="1040"/>
      <c r="E1073" s="1041"/>
      <c r="F1073" s="1055">
        <f t="shared" si="160"/>
        <v>0</v>
      </c>
      <c r="G1073" s="1042"/>
      <c r="H1073" s="1043">
        <f t="shared" si="161"/>
        <v>0</v>
      </c>
      <c r="I1073" s="1042"/>
      <c r="J1073" s="1043">
        <f t="shared" si="162"/>
        <v>0</v>
      </c>
      <c r="K1073" s="1042"/>
      <c r="L1073" s="1043">
        <f t="shared" si="163"/>
        <v>0</v>
      </c>
      <c r="M1073" s="1042"/>
      <c r="N1073" s="1043">
        <f t="shared" si="168"/>
        <v>0</v>
      </c>
      <c r="O1073" s="1117"/>
      <c r="P1073" s="1117"/>
      <c r="Q1073" s="1117"/>
      <c r="R1073" s="1117"/>
      <c r="S1073" s="915" t="e">
        <f>G1073+I1073+K1073+M1073+#REF!+#REF!</f>
        <v>#REF!</v>
      </c>
      <c r="T1073" s="1169" t="e">
        <f t="shared" si="165"/>
        <v>#REF!</v>
      </c>
    </row>
    <row r="1074" spans="1:20" ht="250.5" customHeight="1">
      <c r="A1074" s="1037"/>
      <c r="B1074" s="1045" t="s">
        <v>2286</v>
      </c>
      <c r="C1074" s="1039">
        <f>Elec.Data!K715</f>
        <v>165</v>
      </c>
      <c r="D1074" s="1040"/>
      <c r="E1074" s="1041"/>
      <c r="F1074" s="1055">
        <f t="shared" si="160"/>
        <v>0</v>
      </c>
      <c r="G1074" s="1042"/>
      <c r="H1074" s="1043">
        <f t="shared" si="161"/>
        <v>0</v>
      </c>
      <c r="I1074" s="1042"/>
      <c r="J1074" s="1043">
        <f t="shared" si="162"/>
        <v>0</v>
      </c>
      <c r="K1074" s="1042"/>
      <c r="L1074" s="1043">
        <f t="shared" si="163"/>
        <v>0</v>
      </c>
      <c r="M1074" s="1042"/>
      <c r="N1074" s="1043">
        <f t="shared" si="168"/>
        <v>0</v>
      </c>
      <c r="O1074" s="1117"/>
      <c r="P1074" s="1117"/>
      <c r="Q1074" s="1117"/>
      <c r="R1074" s="1117"/>
      <c r="S1074" s="915" t="e">
        <f>G1074+I1074+K1074+M1074+#REF!+#REF!</f>
        <v>#REF!</v>
      </c>
      <c r="T1074" s="1169" t="e">
        <f t="shared" si="165"/>
        <v>#REF!</v>
      </c>
    </row>
    <row r="1075" spans="1:20" ht="250.5" customHeight="1">
      <c r="A1075" s="1037"/>
      <c r="B1075" s="1045" t="s">
        <v>2299</v>
      </c>
      <c r="C1075" s="1039">
        <f>Elec.Data!K736</f>
        <v>0</v>
      </c>
      <c r="D1075" s="1040"/>
      <c r="E1075" s="1041"/>
      <c r="F1075" s="1055">
        <f t="shared" si="160"/>
        <v>0</v>
      </c>
      <c r="G1075" s="1042"/>
      <c r="H1075" s="1043">
        <f t="shared" si="161"/>
        <v>0</v>
      </c>
      <c r="I1075" s="1042"/>
      <c r="J1075" s="1043">
        <f t="shared" si="162"/>
        <v>0</v>
      </c>
      <c r="K1075" s="1042"/>
      <c r="L1075" s="1043">
        <f t="shared" si="163"/>
        <v>0</v>
      </c>
      <c r="M1075" s="1042"/>
      <c r="N1075" s="1043">
        <f t="shared" si="168"/>
        <v>0</v>
      </c>
      <c r="O1075" s="1117"/>
      <c r="P1075" s="1117"/>
      <c r="Q1075" s="1117"/>
      <c r="R1075" s="1117"/>
      <c r="S1075" s="915" t="e">
        <f>G1075+I1075+K1075+M1075+#REF!+#REF!</f>
        <v>#REF!</v>
      </c>
      <c r="T1075" s="1169" t="e">
        <f t="shared" ref="T1075:T1106" si="169">S1075*C1075</f>
        <v>#REF!</v>
      </c>
    </row>
    <row r="1076" spans="1:20" ht="250.5" customHeight="1">
      <c r="A1076" s="1037"/>
      <c r="B1076" s="1045" t="s">
        <v>3296</v>
      </c>
      <c r="C1076" s="1039">
        <f>Elec.Data!K753</f>
        <v>0</v>
      </c>
      <c r="D1076" s="1040"/>
      <c r="E1076" s="1041"/>
      <c r="F1076" s="1055">
        <f t="shared" si="160"/>
        <v>0</v>
      </c>
      <c r="G1076" s="1042"/>
      <c r="H1076" s="1043">
        <f t="shared" si="161"/>
        <v>0</v>
      </c>
      <c r="I1076" s="1042"/>
      <c r="J1076" s="1043">
        <f t="shared" si="162"/>
        <v>0</v>
      </c>
      <c r="K1076" s="1042"/>
      <c r="L1076" s="1043">
        <f t="shared" si="163"/>
        <v>0</v>
      </c>
      <c r="M1076" s="1042"/>
      <c r="N1076" s="1043">
        <f t="shared" si="168"/>
        <v>0</v>
      </c>
      <c r="O1076" s="1117"/>
      <c r="P1076" s="1117"/>
      <c r="Q1076" s="1117"/>
      <c r="R1076" s="1117"/>
      <c r="S1076" s="915" t="e">
        <f>G1076+I1076+K1076+M1076+#REF!+#REF!</f>
        <v>#REF!</v>
      </c>
      <c r="T1076" s="1169" t="e">
        <f t="shared" si="169"/>
        <v>#REF!</v>
      </c>
    </row>
    <row r="1077" spans="1:20" ht="250.5" customHeight="1">
      <c r="A1077" s="1037"/>
      <c r="B1077" s="1045" t="s">
        <v>2801</v>
      </c>
      <c r="C1077" s="1039">
        <f>Elec.Data!K788</f>
        <v>0</v>
      </c>
      <c r="D1077" s="1040"/>
      <c r="E1077" s="1041"/>
      <c r="F1077" s="1055">
        <f t="shared" si="160"/>
        <v>0</v>
      </c>
      <c r="G1077" s="1042"/>
      <c r="H1077" s="1043">
        <f t="shared" si="161"/>
        <v>0</v>
      </c>
      <c r="I1077" s="1042"/>
      <c r="J1077" s="1043">
        <f t="shared" si="162"/>
        <v>0</v>
      </c>
      <c r="K1077" s="1042"/>
      <c r="L1077" s="1043">
        <f t="shared" si="163"/>
        <v>0</v>
      </c>
      <c r="M1077" s="1042"/>
      <c r="N1077" s="1043">
        <f t="shared" si="168"/>
        <v>0</v>
      </c>
      <c r="O1077" s="1117"/>
      <c r="P1077" s="1117"/>
      <c r="Q1077" s="1117"/>
      <c r="R1077" s="1117"/>
      <c r="S1077" s="915" t="e">
        <f>G1077+I1077+K1077+M1077+#REF!+#REF!</f>
        <v>#REF!</v>
      </c>
      <c r="T1077" s="1169" t="e">
        <f t="shared" si="169"/>
        <v>#REF!</v>
      </c>
    </row>
    <row r="1078" spans="1:20" ht="250.5" customHeight="1">
      <c r="A1078" s="1037"/>
      <c r="B1078" s="1045" t="s">
        <v>3070</v>
      </c>
      <c r="C1078" s="1039">
        <f>Elec.Data!K819</f>
        <v>0</v>
      </c>
      <c r="D1078" s="1040"/>
      <c r="E1078" s="1041"/>
      <c r="F1078" s="1055">
        <f t="shared" ref="F1078:F1109" si="170">E1078*C1078</f>
        <v>0</v>
      </c>
      <c r="G1078" s="1042"/>
      <c r="H1078" s="1043">
        <f t="shared" ref="H1078:H1109" si="171">G1078*C1078</f>
        <v>0</v>
      </c>
      <c r="I1078" s="1042"/>
      <c r="J1078" s="1043">
        <f t="shared" ref="J1078:J1109" si="172">I1078*C1078</f>
        <v>0</v>
      </c>
      <c r="K1078" s="1042"/>
      <c r="L1078" s="1043">
        <f t="shared" ref="L1078:L1109" si="173">K1078*C1078</f>
        <v>0</v>
      </c>
      <c r="M1078" s="1042"/>
      <c r="N1078" s="1043">
        <f t="shared" si="168"/>
        <v>0</v>
      </c>
      <c r="O1078" s="1117"/>
      <c r="P1078" s="1117"/>
      <c r="Q1078" s="1117"/>
      <c r="R1078" s="1117"/>
      <c r="S1078" s="915" t="e">
        <f>G1078+I1078+K1078+M1078+#REF!+#REF!</f>
        <v>#REF!</v>
      </c>
      <c r="T1078" s="1169" t="e">
        <f t="shared" si="169"/>
        <v>#REF!</v>
      </c>
    </row>
    <row r="1079" spans="1:20" ht="250.5" customHeight="1">
      <c r="A1079" s="1037"/>
      <c r="B1079" s="1045" t="s">
        <v>1104</v>
      </c>
      <c r="C1079" s="1039">
        <f>Elec.Data!K845</f>
        <v>281.56</v>
      </c>
      <c r="D1079" s="1040"/>
      <c r="E1079" s="1041"/>
      <c r="F1079" s="1055">
        <f t="shared" si="170"/>
        <v>0</v>
      </c>
      <c r="G1079" s="1042"/>
      <c r="H1079" s="1043">
        <f t="shared" si="171"/>
        <v>0</v>
      </c>
      <c r="I1079" s="1042"/>
      <c r="J1079" s="1043">
        <f t="shared" si="172"/>
        <v>0</v>
      </c>
      <c r="K1079" s="1042"/>
      <c r="L1079" s="1043">
        <f t="shared" si="173"/>
        <v>0</v>
      </c>
      <c r="M1079" s="1042"/>
      <c r="N1079" s="1043">
        <f t="shared" si="168"/>
        <v>0</v>
      </c>
      <c r="O1079" s="1117"/>
      <c r="P1079" s="1117"/>
      <c r="Q1079" s="1117"/>
      <c r="R1079" s="1117"/>
      <c r="S1079" s="915" t="e">
        <f>G1079+I1079+K1079+M1079+#REF!+#REF!</f>
        <v>#REF!</v>
      </c>
      <c r="T1079" s="1169" t="e">
        <f t="shared" si="169"/>
        <v>#REF!</v>
      </c>
    </row>
    <row r="1080" spans="1:20" ht="250.5" customHeight="1">
      <c r="A1080" s="1037"/>
      <c r="B1080" s="1045" t="s">
        <v>2287</v>
      </c>
      <c r="C1080" s="1039">
        <f>Elec.Data!K863</f>
        <v>99.56</v>
      </c>
      <c r="D1080" s="1040"/>
      <c r="E1080" s="1041"/>
      <c r="F1080" s="1055">
        <f t="shared" si="170"/>
        <v>0</v>
      </c>
      <c r="G1080" s="1042"/>
      <c r="H1080" s="1043">
        <f t="shared" si="171"/>
        <v>0</v>
      </c>
      <c r="I1080" s="1042"/>
      <c r="J1080" s="1043">
        <f t="shared" si="172"/>
        <v>0</v>
      </c>
      <c r="K1080" s="1042"/>
      <c r="L1080" s="1043">
        <f t="shared" si="173"/>
        <v>0</v>
      </c>
      <c r="M1080" s="1042"/>
      <c r="N1080" s="1043">
        <f t="shared" si="168"/>
        <v>0</v>
      </c>
      <c r="O1080" s="1117"/>
      <c r="P1080" s="1117"/>
      <c r="Q1080" s="1117"/>
      <c r="R1080" s="1117"/>
      <c r="S1080" s="915" t="e">
        <f>G1080+I1080+K1080+M1080+#REF!+#REF!</f>
        <v>#REF!</v>
      </c>
      <c r="T1080" s="1169" t="e">
        <f t="shared" si="169"/>
        <v>#REF!</v>
      </c>
    </row>
    <row r="1081" spans="1:20" ht="250.5" customHeight="1">
      <c r="A1081" s="1037"/>
      <c r="B1081" s="1045" t="s">
        <v>2617</v>
      </c>
      <c r="C1081" s="1039">
        <f>Elec.Data!K870</f>
        <v>54.47</v>
      </c>
      <c r="D1081" s="1040"/>
      <c r="E1081" s="1041"/>
      <c r="F1081" s="1055">
        <f t="shared" si="170"/>
        <v>0</v>
      </c>
      <c r="G1081" s="1042"/>
      <c r="H1081" s="1043">
        <f t="shared" si="171"/>
        <v>0</v>
      </c>
      <c r="I1081" s="1042"/>
      <c r="J1081" s="1043">
        <f t="shared" si="172"/>
        <v>0</v>
      </c>
      <c r="K1081" s="1042"/>
      <c r="L1081" s="1043">
        <f t="shared" si="173"/>
        <v>0</v>
      </c>
      <c r="M1081" s="1042"/>
      <c r="N1081" s="1043">
        <f t="shared" si="168"/>
        <v>0</v>
      </c>
      <c r="O1081" s="1117"/>
      <c r="P1081" s="1117"/>
      <c r="Q1081" s="1117"/>
      <c r="R1081" s="1117"/>
      <c r="S1081" s="915" t="e">
        <f>G1081+I1081+K1081+M1081+#REF!+#REF!</f>
        <v>#REF!</v>
      </c>
      <c r="T1081" s="1169" t="e">
        <f t="shared" si="169"/>
        <v>#REF!</v>
      </c>
    </row>
    <row r="1082" spans="1:20" ht="250.5" customHeight="1">
      <c r="A1082" s="1037"/>
      <c r="B1082" s="1045" t="s">
        <v>2288</v>
      </c>
      <c r="C1082" s="1039">
        <f>Elec.Data!K895</f>
        <v>7349.5</v>
      </c>
      <c r="D1082" s="1040"/>
      <c r="E1082" s="1041"/>
      <c r="F1082" s="1055">
        <f t="shared" si="170"/>
        <v>0</v>
      </c>
      <c r="G1082" s="1042"/>
      <c r="H1082" s="1043">
        <f t="shared" si="171"/>
        <v>0</v>
      </c>
      <c r="I1082" s="1042"/>
      <c r="J1082" s="1043">
        <f t="shared" si="172"/>
        <v>0</v>
      </c>
      <c r="K1082" s="1042"/>
      <c r="L1082" s="1043">
        <f t="shared" si="173"/>
        <v>0</v>
      </c>
      <c r="M1082" s="1042"/>
      <c r="N1082" s="1043">
        <f t="shared" si="168"/>
        <v>0</v>
      </c>
      <c r="O1082" s="1117"/>
      <c r="P1082" s="1117"/>
      <c r="Q1082" s="1117"/>
      <c r="R1082" s="1117"/>
      <c r="S1082" s="915" t="e">
        <f>G1082+I1082+K1082+M1082+#REF!+#REF!</f>
        <v>#REF!</v>
      </c>
      <c r="T1082" s="1169" t="e">
        <f t="shared" si="169"/>
        <v>#REF!</v>
      </c>
    </row>
    <row r="1083" spans="1:20" ht="250.5" customHeight="1">
      <c r="A1083" s="1037"/>
      <c r="B1083" s="1045" t="s">
        <v>2421</v>
      </c>
      <c r="C1083" s="1039">
        <f>Elec.Data!K942</f>
        <v>623.42999999999995</v>
      </c>
      <c r="D1083" s="1040"/>
      <c r="E1083" s="1041"/>
      <c r="F1083" s="1055">
        <f t="shared" si="170"/>
        <v>0</v>
      </c>
      <c r="G1083" s="1042"/>
      <c r="H1083" s="1043">
        <f t="shared" si="171"/>
        <v>0</v>
      </c>
      <c r="I1083" s="1042"/>
      <c r="J1083" s="1043">
        <f t="shared" si="172"/>
        <v>0</v>
      </c>
      <c r="K1083" s="1042"/>
      <c r="L1083" s="1043">
        <f t="shared" si="173"/>
        <v>0</v>
      </c>
      <c r="M1083" s="1042"/>
      <c r="N1083" s="1043">
        <f t="shared" si="168"/>
        <v>0</v>
      </c>
      <c r="O1083" s="1117"/>
      <c r="P1083" s="1117"/>
      <c r="Q1083" s="1117"/>
      <c r="R1083" s="1117"/>
      <c r="S1083" s="915" t="e">
        <f>G1083+I1083+K1083+M1083+#REF!+#REF!</f>
        <v>#REF!</v>
      </c>
      <c r="T1083" s="1169" t="e">
        <f t="shared" si="169"/>
        <v>#REF!</v>
      </c>
    </row>
    <row r="1084" spans="1:20" ht="250.5" customHeight="1">
      <c r="A1084" s="1037"/>
      <c r="B1084" s="1046" t="s">
        <v>6708</v>
      </c>
      <c r="C1084" s="1039">
        <f>Elec.Data!K992</f>
        <v>921.2</v>
      </c>
      <c r="D1084" s="1040"/>
      <c r="E1084" s="1041"/>
      <c r="F1084" s="1055">
        <f t="shared" si="170"/>
        <v>0</v>
      </c>
      <c r="G1084" s="1042"/>
      <c r="H1084" s="1043">
        <f t="shared" si="171"/>
        <v>0</v>
      </c>
      <c r="I1084" s="1042"/>
      <c r="J1084" s="1043">
        <f t="shared" si="172"/>
        <v>0</v>
      </c>
      <c r="K1084" s="1042"/>
      <c r="L1084" s="1043">
        <f t="shared" si="173"/>
        <v>0</v>
      </c>
      <c r="M1084" s="1042"/>
      <c r="N1084" s="1043">
        <f t="shared" si="168"/>
        <v>0</v>
      </c>
      <c r="O1084" s="1117"/>
      <c r="P1084" s="1117"/>
      <c r="Q1084" s="1117"/>
      <c r="R1084" s="1117"/>
      <c r="S1084" s="915" t="e">
        <f>G1084+I1084+K1084+M1084+#REF!+#REF!</f>
        <v>#REF!</v>
      </c>
      <c r="T1084" s="1169" t="e">
        <f t="shared" si="169"/>
        <v>#REF!</v>
      </c>
    </row>
    <row r="1085" spans="1:20" ht="250.5" customHeight="1">
      <c r="A1085" s="1037"/>
      <c r="B1085" s="1045" t="s">
        <v>6709</v>
      </c>
      <c r="C1085" s="1039">
        <f>Elec.Data!K1018</f>
        <v>923.2</v>
      </c>
      <c r="D1085" s="1040"/>
      <c r="E1085" s="1041"/>
      <c r="F1085" s="1055">
        <f t="shared" si="170"/>
        <v>0</v>
      </c>
      <c r="G1085" s="1042"/>
      <c r="H1085" s="1043">
        <f t="shared" si="171"/>
        <v>0</v>
      </c>
      <c r="I1085" s="1042"/>
      <c r="J1085" s="1043">
        <f t="shared" si="172"/>
        <v>0</v>
      </c>
      <c r="K1085" s="1042"/>
      <c r="L1085" s="1043">
        <f t="shared" si="173"/>
        <v>0</v>
      </c>
      <c r="M1085" s="1042"/>
      <c r="N1085" s="1043">
        <f t="shared" si="168"/>
        <v>0</v>
      </c>
      <c r="O1085" s="1117"/>
      <c r="P1085" s="1117"/>
      <c r="Q1085" s="1117"/>
      <c r="R1085" s="1117"/>
      <c r="S1085" s="915" t="e">
        <f>G1085+I1085+K1085+M1085+#REF!+#REF!</f>
        <v>#REF!</v>
      </c>
      <c r="T1085" s="1169" t="e">
        <f t="shared" si="169"/>
        <v>#REF!</v>
      </c>
    </row>
    <row r="1086" spans="1:20" ht="250.5" customHeight="1">
      <c r="A1086" s="1037"/>
      <c r="B1086" s="1046" t="s">
        <v>6710</v>
      </c>
      <c r="C1086" s="1039">
        <f>Elec.Data!K1034</f>
        <v>961.2</v>
      </c>
      <c r="D1086" s="1040"/>
      <c r="E1086" s="1041"/>
      <c r="F1086" s="1055">
        <f t="shared" si="170"/>
        <v>0</v>
      </c>
      <c r="G1086" s="1042"/>
      <c r="H1086" s="1043">
        <f t="shared" si="171"/>
        <v>0</v>
      </c>
      <c r="I1086" s="1042"/>
      <c r="J1086" s="1043">
        <f t="shared" si="172"/>
        <v>0</v>
      </c>
      <c r="K1086" s="1042"/>
      <c r="L1086" s="1043">
        <f t="shared" si="173"/>
        <v>0</v>
      </c>
      <c r="M1086" s="1042"/>
      <c r="N1086" s="1043">
        <f t="shared" si="168"/>
        <v>0</v>
      </c>
      <c r="O1086" s="1117"/>
      <c r="P1086" s="1117"/>
      <c r="Q1086" s="1117"/>
      <c r="R1086" s="1117"/>
      <c r="S1086" s="915" t="e">
        <f>G1086+I1086+K1086+M1086+#REF!+#REF!</f>
        <v>#REF!</v>
      </c>
      <c r="T1086" s="1169" t="e">
        <f t="shared" si="169"/>
        <v>#REF!</v>
      </c>
    </row>
    <row r="1087" spans="1:20" ht="250.5" customHeight="1">
      <c r="A1087" s="1037"/>
      <c r="B1087" s="1046" t="s">
        <v>6711</v>
      </c>
      <c r="C1087" s="1039">
        <f>Elec.Data!K1056</f>
        <v>1008.2</v>
      </c>
      <c r="D1087" s="1040"/>
      <c r="E1087" s="1041"/>
      <c r="F1087" s="1055">
        <f t="shared" si="170"/>
        <v>0</v>
      </c>
      <c r="G1087" s="1042"/>
      <c r="H1087" s="1043">
        <f t="shared" si="171"/>
        <v>0</v>
      </c>
      <c r="I1087" s="1042"/>
      <c r="J1087" s="1043">
        <f t="shared" si="172"/>
        <v>0</v>
      </c>
      <c r="K1087" s="1042"/>
      <c r="L1087" s="1043">
        <f t="shared" si="173"/>
        <v>0</v>
      </c>
      <c r="M1087" s="1042"/>
      <c r="N1087" s="1043">
        <f t="shared" si="168"/>
        <v>0</v>
      </c>
      <c r="O1087" s="1117"/>
      <c r="P1087" s="1117"/>
      <c r="Q1087" s="1117"/>
      <c r="R1087" s="1117"/>
      <c r="S1087" s="915" t="e">
        <f>G1087+I1087+K1087+M1087+#REF!+#REF!</f>
        <v>#REF!</v>
      </c>
      <c r="T1087" s="1169" t="e">
        <f t="shared" si="169"/>
        <v>#REF!</v>
      </c>
    </row>
    <row r="1088" spans="1:20" ht="250.5" customHeight="1">
      <c r="A1088" s="1037"/>
      <c r="B1088" s="1046" t="s">
        <v>6712</v>
      </c>
      <c r="C1088" s="1039">
        <f>Elec.Data!K1076</f>
        <v>2206.1</v>
      </c>
      <c r="D1088" s="1040"/>
      <c r="E1088" s="1041"/>
      <c r="F1088" s="1055">
        <f t="shared" si="170"/>
        <v>0</v>
      </c>
      <c r="G1088" s="1042"/>
      <c r="H1088" s="1043">
        <f t="shared" si="171"/>
        <v>0</v>
      </c>
      <c r="I1088" s="1042"/>
      <c r="J1088" s="1043">
        <f t="shared" si="172"/>
        <v>0</v>
      </c>
      <c r="K1088" s="1042"/>
      <c r="L1088" s="1043">
        <f t="shared" si="173"/>
        <v>0</v>
      </c>
      <c r="M1088" s="1042"/>
      <c r="N1088" s="1043">
        <f t="shared" si="168"/>
        <v>0</v>
      </c>
      <c r="O1088" s="1117"/>
      <c r="P1088" s="1117"/>
      <c r="Q1088" s="1117"/>
      <c r="R1088" s="1117"/>
      <c r="S1088" s="915" t="e">
        <f>G1088+I1088+K1088+M1088+#REF!+#REF!</f>
        <v>#REF!</v>
      </c>
      <c r="T1088" s="1169" t="e">
        <f t="shared" si="169"/>
        <v>#REF!</v>
      </c>
    </row>
    <row r="1089" spans="1:20" ht="250.5" customHeight="1">
      <c r="A1089" s="1037"/>
      <c r="B1089" s="1046" t="s">
        <v>6713</v>
      </c>
      <c r="C1089" s="1039">
        <f>Elec.Data!K1095</f>
        <v>707.47</v>
      </c>
      <c r="D1089" s="1040"/>
      <c r="E1089" s="1041"/>
      <c r="F1089" s="1055">
        <f t="shared" si="170"/>
        <v>0</v>
      </c>
      <c r="G1089" s="1042"/>
      <c r="H1089" s="1043">
        <f t="shared" si="171"/>
        <v>0</v>
      </c>
      <c r="I1089" s="1042"/>
      <c r="J1089" s="1043">
        <f t="shared" si="172"/>
        <v>0</v>
      </c>
      <c r="K1089" s="1042"/>
      <c r="L1089" s="1043">
        <f t="shared" si="173"/>
        <v>0</v>
      </c>
      <c r="M1089" s="1042"/>
      <c r="N1089" s="1043">
        <f t="shared" si="168"/>
        <v>0</v>
      </c>
      <c r="O1089" s="1117"/>
      <c r="P1089" s="1117"/>
      <c r="Q1089" s="1117"/>
      <c r="R1089" s="1117"/>
      <c r="S1089" s="915" t="e">
        <f>G1089+I1089+K1089+M1089+#REF!+#REF!</f>
        <v>#REF!</v>
      </c>
      <c r="T1089" s="1169" t="e">
        <f t="shared" si="169"/>
        <v>#REF!</v>
      </c>
    </row>
    <row r="1090" spans="1:20" ht="250.5" customHeight="1">
      <c r="A1090" s="1037"/>
      <c r="B1090" s="1046" t="s">
        <v>6714</v>
      </c>
      <c r="C1090" s="1039">
        <f>Elec.Data!K1119</f>
        <v>131.16</v>
      </c>
      <c r="D1090" s="1040"/>
      <c r="E1090" s="1041"/>
      <c r="F1090" s="1055">
        <f t="shared" si="170"/>
        <v>0</v>
      </c>
      <c r="G1090" s="1042"/>
      <c r="H1090" s="1043">
        <f t="shared" si="171"/>
        <v>0</v>
      </c>
      <c r="I1090" s="1042"/>
      <c r="J1090" s="1043">
        <f t="shared" si="172"/>
        <v>0</v>
      </c>
      <c r="K1090" s="1042"/>
      <c r="L1090" s="1043">
        <f t="shared" si="173"/>
        <v>0</v>
      </c>
      <c r="M1090" s="1042"/>
      <c r="N1090" s="1043">
        <f t="shared" si="168"/>
        <v>0</v>
      </c>
      <c r="O1090" s="1117"/>
      <c r="P1090" s="1117"/>
      <c r="Q1090" s="1117"/>
      <c r="R1090" s="1117"/>
      <c r="S1090" s="915" t="e">
        <f>G1090+I1090+K1090+M1090+#REF!+#REF!</f>
        <v>#REF!</v>
      </c>
      <c r="T1090" s="1169" t="e">
        <f t="shared" si="169"/>
        <v>#REF!</v>
      </c>
    </row>
    <row r="1091" spans="1:20" ht="250.5" customHeight="1">
      <c r="A1091" s="1037"/>
      <c r="B1091" s="1045" t="s">
        <v>6715</v>
      </c>
      <c r="C1091" s="1039">
        <f>Elec.Data!K1130</f>
        <v>149.56</v>
      </c>
      <c r="D1091" s="1040"/>
      <c r="E1091" s="1041"/>
      <c r="F1091" s="1055">
        <f t="shared" si="170"/>
        <v>0</v>
      </c>
      <c r="G1091" s="1042"/>
      <c r="H1091" s="1043">
        <f t="shared" si="171"/>
        <v>0</v>
      </c>
      <c r="I1091" s="1042"/>
      <c r="J1091" s="1043">
        <f t="shared" si="172"/>
        <v>0</v>
      </c>
      <c r="K1091" s="1042"/>
      <c r="L1091" s="1043">
        <f t="shared" si="173"/>
        <v>0</v>
      </c>
      <c r="M1091" s="1042"/>
      <c r="N1091" s="1043">
        <f t="shared" si="168"/>
        <v>0</v>
      </c>
      <c r="O1091" s="1117"/>
      <c r="P1091" s="1117"/>
      <c r="Q1091" s="1117"/>
      <c r="R1091" s="1117"/>
      <c r="S1091" s="915" t="e">
        <f>G1091+I1091+K1091+M1091+#REF!+#REF!</f>
        <v>#REF!</v>
      </c>
      <c r="T1091" s="1169" t="e">
        <f t="shared" si="169"/>
        <v>#REF!</v>
      </c>
    </row>
    <row r="1092" spans="1:20" ht="250.5" customHeight="1">
      <c r="A1092" s="1037"/>
      <c r="B1092" s="1045" t="s">
        <v>2873</v>
      </c>
      <c r="C1092" s="1039">
        <f>DATA!R384</f>
        <v>23.04</v>
      </c>
      <c r="D1092" s="1040"/>
      <c r="E1092" s="1041"/>
      <c r="F1092" s="1055">
        <f t="shared" si="170"/>
        <v>0</v>
      </c>
      <c r="G1092" s="1042"/>
      <c r="H1092" s="1043">
        <f t="shared" si="171"/>
        <v>0</v>
      </c>
      <c r="I1092" s="1042"/>
      <c r="J1092" s="1043">
        <f t="shared" si="172"/>
        <v>0</v>
      </c>
      <c r="K1092" s="1042"/>
      <c r="L1092" s="1043">
        <f t="shared" si="173"/>
        <v>0</v>
      </c>
      <c r="M1092" s="1042"/>
      <c r="N1092" s="1043">
        <f t="shared" si="168"/>
        <v>0</v>
      </c>
      <c r="O1092" s="1117"/>
      <c r="P1092" s="1117"/>
      <c r="Q1092" s="1117"/>
      <c r="R1092" s="1117"/>
      <c r="S1092" s="915" t="e">
        <f>G1092+I1092+K1092+M1092+#REF!+#REF!</f>
        <v>#REF!</v>
      </c>
      <c r="T1092" s="1169" t="e">
        <f t="shared" si="169"/>
        <v>#REF!</v>
      </c>
    </row>
    <row r="1093" spans="1:20" ht="250.5" customHeight="1">
      <c r="A1093" s="1037"/>
      <c r="B1093" s="1045" t="s">
        <v>550</v>
      </c>
      <c r="C1093" s="1039">
        <f>C1092+C1095</f>
        <v>27.24</v>
      </c>
      <c r="D1093" s="1040"/>
      <c r="E1093" s="1041"/>
      <c r="F1093" s="1055">
        <f t="shared" si="170"/>
        <v>0</v>
      </c>
      <c r="G1093" s="1042"/>
      <c r="H1093" s="1043">
        <f t="shared" si="171"/>
        <v>0</v>
      </c>
      <c r="I1093" s="1042"/>
      <c r="J1093" s="1043">
        <f t="shared" si="172"/>
        <v>0</v>
      </c>
      <c r="K1093" s="1042"/>
      <c r="L1093" s="1043">
        <f t="shared" si="173"/>
        <v>0</v>
      </c>
      <c r="M1093" s="1042"/>
      <c r="N1093" s="1043">
        <f t="shared" si="168"/>
        <v>0</v>
      </c>
      <c r="O1093" s="1117"/>
      <c r="P1093" s="1117"/>
      <c r="Q1093" s="1117"/>
      <c r="R1093" s="1117"/>
      <c r="S1093" s="915" t="e">
        <f>G1093+I1093+K1093+M1093+#REF!+#REF!</f>
        <v>#REF!</v>
      </c>
      <c r="T1093" s="1169" t="e">
        <f t="shared" si="169"/>
        <v>#REF!</v>
      </c>
    </row>
    <row r="1094" spans="1:20" ht="250.5" customHeight="1">
      <c r="A1094" s="1037"/>
      <c r="B1094" s="1045" t="s">
        <v>5735</v>
      </c>
      <c r="C1094" s="1039">
        <f>DATA!R398</f>
        <v>33.549999999999997</v>
      </c>
      <c r="D1094" s="1040"/>
      <c r="E1094" s="1041"/>
      <c r="F1094" s="1055">
        <f t="shared" si="170"/>
        <v>0</v>
      </c>
      <c r="G1094" s="1042"/>
      <c r="H1094" s="1043">
        <f t="shared" si="171"/>
        <v>0</v>
      </c>
      <c r="I1094" s="1042"/>
      <c r="J1094" s="1043">
        <f t="shared" si="172"/>
        <v>0</v>
      </c>
      <c r="K1094" s="1042"/>
      <c r="L1094" s="1043">
        <f t="shared" si="173"/>
        <v>0</v>
      </c>
      <c r="M1094" s="1042"/>
      <c r="N1094" s="1043">
        <f t="shared" si="168"/>
        <v>0</v>
      </c>
      <c r="O1094" s="1117"/>
      <c r="P1094" s="1117"/>
      <c r="Q1094" s="1117"/>
      <c r="R1094" s="1117"/>
      <c r="S1094" s="915" t="e">
        <f>G1094+I1094+K1094+M1094+#REF!+#REF!</f>
        <v>#REF!</v>
      </c>
      <c r="T1094" s="1169" t="e">
        <f t="shared" si="169"/>
        <v>#REF!</v>
      </c>
    </row>
    <row r="1095" spans="1:20" ht="250.5" customHeight="1">
      <c r="A1095" s="1037"/>
      <c r="B1095" s="1045" t="s">
        <v>2874</v>
      </c>
      <c r="C1095" s="1039">
        <f>DATA!I3172</f>
        <v>4.2</v>
      </c>
      <c r="D1095" s="1040"/>
      <c r="E1095" s="1041"/>
      <c r="F1095" s="1055">
        <f t="shared" si="170"/>
        <v>0</v>
      </c>
      <c r="G1095" s="1042"/>
      <c r="H1095" s="1043">
        <f t="shared" si="171"/>
        <v>0</v>
      </c>
      <c r="I1095" s="1042"/>
      <c r="J1095" s="1043">
        <f t="shared" si="172"/>
        <v>0</v>
      </c>
      <c r="K1095" s="1042"/>
      <c r="L1095" s="1043">
        <f t="shared" si="173"/>
        <v>0</v>
      </c>
      <c r="M1095" s="1042"/>
      <c r="N1095" s="1043">
        <f t="shared" si="168"/>
        <v>0</v>
      </c>
      <c r="O1095" s="1117"/>
      <c r="P1095" s="1117"/>
      <c r="Q1095" s="1117"/>
      <c r="R1095" s="1117"/>
      <c r="S1095" s="915" t="e">
        <f>G1095+I1095+K1095+M1095+#REF!+#REF!</f>
        <v>#REF!</v>
      </c>
      <c r="T1095" s="1169" t="e">
        <f t="shared" si="169"/>
        <v>#REF!</v>
      </c>
    </row>
    <row r="1096" spans="1:20" ht="250.5" customHeight="1">
      <c r="A1096" s="1037"/>
      <c r="B1096" s="1045" t="s">
        <v>2875</v>
      </c>
      <c r="C1096" s="1039">
        <f>DATA!I3198</f>
        <v>9.1</v>
      </c>
      <c r="D1096" s="1040"/>
      <c r="E1096" s="1041"/>
      <c r="F1096" s="1055">
        <f t="shared" si="170"/>
        <v>0</v>
      </c>
      <c r="G1096" s="1042"/>
      <c r="H1096" s="1043">
        <f t="shared" si="171"/>
        <v>0</v>
      </c>
      <c r="I1096" s="1042"/>
      <c r="J1096" s="1043">
        <f t="shared" si="172"/>
        <v>0</v>
      </c>
      <c r="K1096" s="1042"/>
      <c r="L1096" s="1043">
        <f t="shared" si="173"/>
        <v>0</v>
      </c>
      <c r="M1096" s="1042"/>
      <c r="N1096" s="1043">
        <f t="shared" si="168"/>
        <v>0</v>
      </c>
      <c r="O1096" s="1117"/>
      <c r="P1096" s="1117"/>
      <c r="Q1096" s="1117"/>
      <c r="R1096" s="1117"/>
      <c r="S1096" s="915" t="e">
        <f>G1096+I1096+K1096+M1096+#REF!+#REF!</f>
        <v>#REF!</v>
      </c>
      <c r="T1096" s="1169" t="e">
        <f t="shared" si="169"/>
        <v>#REF!</v>
      </c>
    </row>
    <row r="1097" spans="1:20" ht="250.5" customHeight="1">
      <c r="A1097" s="1037"/>
      <c r="B1097" s="1045" t="s">
        <v>2876</v>
      </c>
      <c r="C1097" s="1039">
        <f>DATA!I3212</f>
        <v>9.85</v>
      </c>
      <c r="D1097" s="1040"/>
      <c r="E1097" s="1041"/>
      <c r="F1097" s="1055">
        <f t="shared" si="170"/>
        <v>0</v>
      </c>
      <c r="G1097" s="1042"/>
      <c r="H1097" s="1043">
        <f t="shared" si="171"/>
        <v>0</v>
      </c>
      <c r="I1097" s="1042"/>
      <c r="J1097" s="1043">
        <f t="shared" si="172"/>
        <v>0</v>
      </c>
      <c r="K1097" s="1042"/>
      <c r="L1097" s="1043">
        <f t="shared" si="173"/>
        <v>0</v>
      </c>
      <c r="M1097" s="1042"/>
      <c r="N1097" s="1043">
        <f t="shared" si="168"/>
        <v>0</v>
      </c>
      <c r="O1097" s="1117"/>
      <c r="P1097" s="1117"/>
      <c r="Q1097" s="1117"/>
      <c r="R1097" s="1117"/>
      <c r="S1097" s="915" t="e">
        <f>G1097+I1097+K1097+M1097+#REF!+#REF!</f>
        <v>#REF!</v>
      </c>
      <c r="T1097" s="1169" t="e">
        <f t="shared" si="169"/>
        <v>#REF!</v>
      </c>
    </row>
    <row r="1098" spans="1:20" ht="250.5" customHeight="1">
      <c r="A1098" s="1037"/>
      <c r="B1098" s="1045" t="s">
        <v>2870</v>
      </c>
      <c r="C1098" s="1039">
        <f>DATA!K3188</f>
        <v>70.89</v>
      </c>
      <c r="D1098" s="1040"/>
      <c r="E1098" s="1041"/>
      <c r="F1098" s="1055">
        <f t="shared" si="170"/>
        <v>0</v>
      </c>
      <c r="G1098" s="1042"/>
      <c r="H1098" s="1043">
        <f t="shared" si="171"/>
        <v>0</v>
      </c>
      <c r="I1098" s="1042"/>
      <c r="J1098" s="1043">
        <f t="shared" si="172"/>
        <v>0</v>
      </c>
      <c r="K1098" s="1042"/>
      <c r="L1098" s="1043">
        <f t="shared" si="173"/>
        <v>0</v>
      </c>
      <c r="M1098" s="1042"/>
      <c r="N1098" s="1043">
        <f t="shared" si="168"/>
        <v>0</v>
      </c>
      <c r="O1098" s="1117"/>
      <c r="P1098" s="1117"/>
      <c r="Q1098" s="1117"/>
      <c r="R1098" s="1117"/>
      <c r="S1098" s="915" t="e">
        <f>G1098+I1098+K1098+M1098+#REF!+#REF!</f>
        <v>#REF!</v>
      </c>
      <c r="T1098" s="1169" t="e">
        <f t="shared" si="169"/>
        <v>#REF!</v>
      </c>
    </row>
    <row r="1099" spans="1:20" ht="250.5" customHeight="1">
      <c r="A1099" s="1037"/>
      <c r="B1099" s="1045" t="s">
        <v>2871</v>
      </c>
      <c r="C1099" s="1039">
        <f>DATA!K3175</f>
        <v>135.6</v>
      </c>
      <c r="D1099" s="1040"/>
      <c r="E1099" s="1041"/>
      <c r="F1099" s="1055">
        <f t="shared" si="170"/>
        <v>0</v>
      </c>
      <c r="G1099" s="1042"/>
      <c r="H1099" s="1043">
        <f t="shared" si="171"/>
        <v>0</v>
      </c>
      <c r="I1099" s="1042"/>
      <c r="J1099" s="1043">
        <f t="shared" si="172"/>
        <v>0</v>
      </c>
      <c r="K1099" s="1042"/>
      <c r="L1099" s="1043">
        <f t="shared" si="173"/>
        <v>0</v>
      </c>
      <c r="M1099" s="1042"/>
      <c r="N1099" s="1043">
        <f t="shared" si="168"/>
        <v>0</v>
      </c>
      <c r="O1099" s="1117"/>
      <c r="P1099" s="1117"/>
      <c r="Q1099" s="1117"/>
      <c r="R1099" s="1117"/>
      <c r="S1099" s="915" t="e">
        <f>G1099+I1099+K1099+M1099+#REF!+#REF!</f>
        <v>#REF!</v>
      </c>
      <c r="T1099" s="1169" t="e">
        <f t="shared" si="169"/>
        <v>#REF!</v>
      </c>
    </row>
    <row r="1100" spans="1:20" ht="250.5" customHeight="1">
      <c r="A1100" s="1037"/>
      <c r="B1100" s="923" t="s">
        <v>5738</v>
      </c>
      <c r="C1100" s="1039">
        <f>DATA!K3202</f>
        <v>90.43</v>
      </c>
      <c r="D1100" s="1040"/>
      <c r="E1100" s="1041"/>
      <c r="F1100" s="1055">
        <f t="shared" si="170"/>
        <v>0</v>
      </c>
      <c r="G1100" s="1042"/>
      <c r="H1100" s="1043">
        <f t="shared" si="171"/>
        <v>0</v>
      </c>
      <c r="I1100" s="1042"/>
      <c r="J1100" s="1043">
        <f t="shared" si="172"/>
        <v>0</v>
      </c>
      <c r="K1100" s="1042"/>
      <c r="L1100" s="1043">
        <f t="shared" si="173"/>
        <v>0</v>
      </c>
      <c r="M1100" s="1042"/>
      <c r="N1100" s="1043">
        <f t="shared" si="168"/>
        <v>0</v>
      </c>
      <c r="O1100" s="1117"/>
      <c r="P1100" s="1117"/>
      <c r="Q1100" s="1117"/>
      <c r="R1100" s="1117"/>
      <c r="S1100" s="915" t="e">
        <f>G1100+I1100+K1100+M1100+#REF!+#REF!</f>
        <v>#REF!</v>
      </c>
      <c r="T1100" s="1169" t="e">
        <f t="shared" si="169"/>
        <v>#REF!</v>
      </c>
    </row>
    <row r="1101" spans="1:20" ht="250.5" customHeight="1">
      <c r="A1101" s="1037"/>
      <c r="B1101" s="923" t="s">
        <v>5777</v>
      </c>
      <c r="C1101" s="1039">
        <f>DATA!K3247</f>
        <v>139.97999999999999</v>
      </c>
      <c r="D1101" s="1040"/>
      <c r="E1101" s="1041"/>
      <c r="F1101" s="1055">
        <f t="shared" si="170"/>
        <v>0</v>
      </c>
      <c r="G1101" s="1042"/>
      <c r="H1101" s="1043">
        <f t="shared" si="171"/>
        <v>0</v>
      </c>
      <c r="I1101" s="1042"/>
      <c r="J1101" s="1043">
        <f t="shared" si="172"/>
        <v>0</v>
      </c>
      <c r="K1101" s="1042"/>
      <c r="L1101" s="1043">
        <f t="shared" si="173"/>
        <v>0</v>
      </c>
      <c r="M1101" s="1042"/>
      <c r="N1101" s="1043">
        <f t="shared" si="168"/>
        <v>0</v>
      </c>
      <c r="O1101" s="1117"/>
      <c r="P1101" s="1117"/>
      <c r="Q1101" s="1117"/>
      <c r="R1101" s="1117"/>
      <c r="S1101" s="915" t="e">
        <f>G1101+I1101+K1101+M1101+#REF!+#REF!</f>
        <v>#REF!</v>
      </c>
      <c r="T1101" s="1169" t="e">
        <f t="shared" si="169"/>
        <v>#REF!</v>
      </c>
    </row>
    <row r="1102" spans="1:20" ht="250.5" customHeight="1">
      <c r="A1102" s="1037"/>
      <c r="B1102" s="923" t="s">
        <v>5737</v>
      </c>
      <c r="C1102" s="1039">
        <f>DATA!K3216</f>
        <v>97.76</v>
      </c>
      <c r="D1102" s="1040"/>
      <c r="E1102" s="1041"/>
      <c r="F1102" s="1055">
        <f t="shared" si="170"/>
        <v>0</v>
      </c>
      <c r="G1102" s="1042"/>
      <c r="H1102" s="1043">
        <f t="shared" si="171"/>
        <v>0</v>
      </c>
      <c r="I1102" s="1042"/>
      <c r="J1102" s="1043">
        <f t="shared" si="172"/>
        <v>0</v>
      </c>
      <c r="K1102" s="1042"/>
      <c r="L1102" s="1043">
        <f t="shared" si="173"/>
        <v>0</v>
      </c>
      <c r="M1102" s="1042"/>
      <c r="N1102" s="1043">
        <f t="shared" si="168"/>
        <v>0</v>
      </c>
      <c r="O1102" s="1117"/>
      <c r="P1102" s="1117"/>
      <c r="Q1102" s="1117"/>
      <c r="R1102" s="1117"/>
      <c r="S1102" s="915" t="e">
        <f>G1102+I1102+K1102+M1102+#REF!+#REF!</f>
        <v>#REF!</v>
      </c>
      <c r="T1102" s="1169" t="e">
        <f t="shared" si="169"/>
        <v>#REF!</v>
      </c>
    </row>
    <row r="1103" spans="1:20" ht="250.5" customHeight="1">
      <c r="A1103" s="1037"/>
      <c r="B1103" s="923" t="s">
        <v>5779</v>
      </c>
      <c r="C1103" s="1039">
        <f>DATA!K3231</f>
        <v>159.19</v>
      </c>
      <c r="D1103" s="1040"/>
      <c r="E1103" s="1041"/>
      <c r="F1103" s="1055">
        <f t="shared" si="170"/>
        <v>0</v>
      </c>
      <c r="G1103" s="1042"/>
      <c r="H1103" s="1043">
        <f t="shared" si="171"/>
        <v>0</v>
      </c>
      <c r="I1103" s="1042"/>
      <c r="J1103" s="1043">
        <f t="shared" si="172"/>
        <v>0</v>
      </c>
      <c r="K1103" s="1042"/>
      <c r="L1103" s="1043">
        <f t="shared" si="173"/>
        <v>0</v>
      </c>
      <c r="M1103" s="1042"/>
      <c r="N1103" s="1043">
        <f t="shared" si="168"/>
        <v>0</v>
      </c>
      <c r="O1103" s="1117"/>
      <c r="P1103" s="1117"/>
      <c r="Q1103" s="1117"/>
      <c r="R1103" s="1117"/>
      <c r="S1103" s="915" t="e">
        <f>G1103+I1103+K1103+M1103+#REF!+#REF!</f>
        <v>#REF!</v>
      </c>
      <c r="T1103" s="1169" t="e">
        <f t="shared" si="169"/>
        <v>#REF!</v>
      </c>
    </row>
    <row r="1104" spans="1:20" ht="250.5" customHeight="1">
      <c r="A1104" s="1037"/>
      <c r="B1104" s="923" t="s">
        <v>2872</v>
      </c>
      <c r="C1104" s="1039">
        <f>DATA!K3275</f>
        <v>90.37</v>
      </c>
      <c r="D1104" s="1040"/>
      <c r="E1104" s="1041"/>
      <c r="F1104" s="1055">
        <f t="shared" si="170"/>
        <v>0</v>
      </c>
      <c r="G1104" s="1042"/>
      <c r="H1104" s="1043">
        <f t="shared" si="171"/>
        <v>0</v>
      </c>
      <c r="I1104" s="1042"/>
      <c r="J1104" s="1043">
        <f t="shared" si="172"/>
        <v>0</v>
      </c>
      <c r="K1104" s="1042"/>
      <c r="L1104" s="1043">
        <f t="shared" si="173"/>
        <v>0</v>
      </c>
      <c r="M1104" s="1042"/>
      <c r="N1104" s="1043">
        <f t="shared" si="168"/>
        <v>0</v>
      </c>
      <c r="O1104" s="1117"/>
      <c r="P1104" s="1117"/>
      <c r="Q1104" s="1117"/>
      <c r="R1104" s="1117"/>
      <c r="S1104" s="915" t="e">
        <f>G1104+I1104+K1104+M1104+#REF!+#REF!</f>
        <v>#REF!</v>
      </c>
      <c r="T1104" s="1169" t="e">
        <f t="shared" si="169"/>
        <v>#REF!</v>
      </c>
    </row>
    <row r="1105" spans="1:20" ht="250.5" customHeight="1">
      <c r="A1105" s="1037"/>
      <c r="B1105" s="923" t="s">
        <v>5736</v>
      </c>
      <c r="C1105" s="1039">
        <f>DATA!K3358</f>
        <v>165.57</v>
      </c>
      <c r="D1105" s="1040"/>
      <c r="E1105" s="1041"/>
      <c r="F1105" s="1055">
        <f t="shared" si="170"/>
        <v>0</v>
      </c>
      <c r="G1105" s="1042"/>
      <c r="H1105" s="1043">
        <f t="shared" si="171"/>
        <v>0</v>
      </c>
      <c r="I1105" s="1042"/>
      <c r="J1105" s="1043">
        <f t="shared" si="172"/>
        <v>0</v>
      </c>
      <c r="K1105" s="1042"/>
      <c r="L1105" s="1043">
        <f t="shared" si="173"/>
        <v>0</v>
      </c>
      <c r="M1105" s="1042"/>
      <c r="N1105" s="1043">
        <f t="shared" si="168"/>
        <v>0</v>
      </c>
      <c r="O1105" s="1117"/>
      <c r="P1105" s="1117"/>
      <c r="Q1105" s="1117"/>
      <c r="R1105" s="1117"/>
      <c r="S1105" s="915" t="e">
        <f>G1105+I1105+K1105+M1105+#REF!+#REF!</f>
        <v>#REF!</v>
      </c>
      <c r="T1105" s="1169" t="e">
        <f t="shared" si="169"/>
        <v>#REF!</v>
      </c>
    </row>
    <row r="1106" spans="1:20" ht="250.5" customHeight="1">
      <c r="A1106" s="1037"/>
      <c r="B1106" s="923" t="s">
        <v>5034</v>
      </c>
      <c r="C1106" s="1039">
        <f>DATA!K3371</f>
        <v>83.8</v>
      </c>
      <c r="D1106" s="1040"/>
      <c r="E1106" s="1041"/>
      <c r="F1106" s="1055">
        <f t="shared" si="170"/>
        <v>0</v>
      </c>
      <c r="G1106" s="1042"/>
      <c r="H1106" s="1043">
        <f t="shared" si="171"/>
        <v>0</v>
      </c>
      <c r="I1106" s="1042"/>
      <c r="J1106" s="1043">
        <f t="shared" si="172"/>
        <v>0</v>
      </c>
      <c r="K1106" s="1042"/>
      <c r="L1106" s="1043">
        <f t="shared" si="173"/>
        <v>0</v>
      </c>
      <c r="M1106" s="1042"/>
      <c r="N1106" s="1043">
        <f t="shared" si="168"/>
        <v>0</v>
      </c>
      <c r="O1106" s="1117"/>
      <c r="P1106" s="1117"/>
      <c r="Q1106" s="1117"/>
      <c r="R1106" s="1117"/>
      <c r="S1106" s="915" t="e">
        <f>G1106+I1106+K1106+M1106+#REF!+#REF!</f>
        <v>#REF!</v>
      </c>
      <c r="T1106" s="1169" t="e">
        <f t="shared" si="169"/>
        <v>#REF!</v>
      </c>
    </row>
    <row r="1107" spans="1:20" ht="250.5" customHeight="1">
      <c r="A1107" s="1037"/>
      <c r="B1107" s="923"/>
      <c r="C1107" s="1039"/>
      <c r="D1107" s="1040"/>
      <c r="E1107" s="1041"/>
      <c r="F1107" s="1055">
        <f t="shared" si="170"/>
        <v>0</v>
      </c>
      <c r="G1107" s="1042"/>
      <c r="H1107" s="1043">
        <f t="shared" si="171"/>
        <v>0</v>
      </c>
      <c r="I1107" s="1042"/>
      <c r="J1107" s="1043">
        <f t="shared" si="172"/>
        <v>0</v>
      </c>
      <c r="K1107" s="1042"/>
      <c r="L1107" s="1043">
        <f t="shared" si="173"/>
        <v>0</v>
      </c>
      <c r="M1107" s="1042"/>
      <c r="N1107" s="1043">
        <f t="shared" si="168"/>
        <v>0</v>
      </c>
      <c r="O1107" s="1117"/>
      <c r="P1107" s="1117"/>
      <c r="Q1107" s="1117"/>
      <c r="R1107" s="1117"/>
      <c r="S1107" s="915" t="e">
        <f>G1107+I1107+K1107+M1107+#REF!+#REF!</f>
        <v>#REF!</v>
      </c>
      <c r="T1107" s="1169" t="e">
        <f t="shared" ref="T1107:T1109" si="174">S1107*C1107</f>
        <v>#REF!</v>
      </c>
    </row>
    <row r="1108" spans="1:20" ht="250.5" customHeight="1">
      <c r="A1108" s="1037"/>
      <c r="B1108" s="923"/>
      <c r="C1108" s="1039"/>
      <c r="D1108" s="1040"/>
      <c r="E1108" s="1041"/>
      <c r="F1108" s="1055">
        <f t="shared" si="170"/>
        <v>0</v>
      </c>
      <c r="G1108" s="1042"/>
      <c r="H1108" s="1043">
        <f t="shared" si="171"/>
        <v>0</v>
      </c>
      <c r="I1108" s="1042"/>
      <c r="J1108" s="1043">
        <f t="shared" si="172"/>
        <v>0</v>
      </c>
      <c r="K1108" s="1042"/>
      <c r="L1108" s="1043">
        <f t="shared" si="173"/>
        <v>0</v>
      </c>
      <c r="M1108" s="1042"/>
      <c r="N1108" s="1043">
        <f t="shared" si="168"/>
        <v>0</v>
      </c>
      <c r="O1108" s="1117"/>
      <c r="P1108" s="1117"/>
      <c r="Q1108" s="1117"/>
      <c r="R1108" s="1117"/>
      <c r="S1108" s="915" t="e">
        <f>G1108+I1108+K1108+M1108+#REF!+#REF!</f>
        <v>#REF!</v>
      </c>
      <c r="T1108" s="1169" t="e">
        <f t="shared" si="174"/>
        <v>#REF!</v>
      </c>
    </row>
    <row r="1109" spans="1:20" ht="250.5" customHeight="1">
      <c r="A1109" s="1037"/>
      <c r="B1109" s="923" t="s">
        <v>5036</v>
      </c>
      <c r="C1109" s="1039"/>
      <c r="D1109" s="1040"/>
      <c r="E1109" s="1041"/>
      <c r="F1109" s="1055">
        <f t="shared" si="170"/>
        <v>0</v>
      </c>
      <c r="G1109" s="1042"/>
      <c r="H1109" s="1043">
        <f t="shared" si="171"/>
        <v>0</v>
      </c>
      <c r="I1109" s="1042"/>
      <c r="J1109" s="1043">
        <f t="shared" si="172"/>
        <v>0</v>
      </c>
      <c r="K1109" s="1042"/>
      <c r="L1109" s="1043">
        <f t="shared" si="173"/>
        <v>0</v>
      </c>
      <c r="M1109" s="1042"/>
      <c r="N1109" s="1043">
        <f t="shared" si="168"/>
        <v>0</v>
      </c>
      <c r="O1109" s="1117"/>
      <c r="P1109" s="1117"/>
      <c r="Q1109" s="1117"/>
      <c r="R1109" s="1117"/>
      <c r="S1109" s="915" t="e">
        <f>G1109+I1109+K1109+M1109+#REF!+#REF!</f>
        <v>#REF!</v>
      </c>
      <c r="T1109" s="1169" t="e">
        <f t="shared" si="174"/>
        <v>#REF!</v>
      </c>
    </row>
  </sheetData>
  <autoFilter ref="A4:T500"/>
  <mergeCells count="13">
    <mergeCell ref="A1:T1"/>
    <mergeCell ref="A2:A3"/>
    <mergeCell ref="B2:B3"/>
    <mergeCell ref="C2:C3"/>
    <mergeCell ref="D2:D3"/>
    <mergeCell ref="G2:H2"/>
    <mergeCell ref="I2:J2"/>
    <mergeCell ref="M2:N2"/>
    <mergeCell ref="K2:L2"/>
    <mergeCell ref="S2:T2"/>
    <mergeCell ref="E2:F2"/>
    <mergeCell ref="O2:P2"/>
    <mergeCell ref="Q2:R2"/>
  </mergeCells>
  <printOptions horizontalCentered="1"/>
  <pageMargins left="0.23622047244094499" right="0.196850393700787" top="0.39" bottom="0.41" header="0.27559055118110198" footer="0.18"/>
  <pageSetup paperSize="5" scale="18" orientation="landscape" r:id="rId1"/>
  <headerFooter alignWithMargins="0">
    <oddHeader>Page &amp;P</oddHead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V1103"/>
  <sheetViews>
    <sheetView showZeros="0" view="pageBreakPreview" topLeftCell="A981" zoomScale="20" zoomScaleNormal="40" zoomScaleSheetLayoutView="20" workbookViewId="0">
      <selection activeCell="C985" sqref="C985"/>
    </sheetView>
  </sheetViews>
  <sheetFormatPr defaultRowHeight="231.75" customHeight="1"/>
  <cols>
    <col min="1" max="1" width="25" style="1047" customWidth="1"/>
    <col min="2" max="2" width="125.6640625" style="899" customWidth="1"/>
    <col min="3" max="3" width="37.33203125" style="1048" customWidth="1"/>
    <col min="4" max="4" width="23.33203125" style="900" customWidth="1"/>
    <col min="5" max="5" width="29.21875" style="1049" customWidth="1"/>
    <col min="6" max="6" width="48.6640625" style="1056" customWidth="1"/>
    <col min="7" max="7" width="36" style="1050" customWidth="1"/>
    <col min="8" max="8" width="49.44140625" style="1050" customWidth="1"/>
    <col min="9" max="9" width="34" style="1050" customWidth="1"/>
    <col min="10" max="10" width="49" style="1050" customWidth="1"/>
    <col min="11" max="11" width="31.6640625" style="1050" customWidth="1"/>
    <col min="12" max="12" width="49" style="1050" customWidth="1"/>
    <col min="13" max="13" width="34.88671875" style="1050" customWidth="1"/>
    <col min="14" max="14" width="47.44140625" style="1050" customWidth="1"/>
    <col min="15" max="15" width="47.44140625" style="1050" hidden="1" customWidth="1"/>
    <col min="16" max="16" width="48.88671875" style="1050" hidden="1" customWidth="1"/>
    <col min="17" max="17" width="33.88671875" style="1050" customWidth="1"/>
    <col min="18" max="18" width="48.5546875" style="1050" customWidth="1"/>
    <col min="19" max="19" width="33" style="1050" customWidth="1"/>
    <col min="20" max="20" width="46.77734375" style="1050" customWidth="1"/>
    <col min="21" max="21" width="39.77734375" style="1051" customWidth="1"/>
    <col min="22" max="22" width="52.44140625" style="1050" customWidth="1"/>
    <col min="23" max="16384" width="8.88671875" style="899"/>
  </cols>
  <sheetData>
    <row r="1" spans="1:22" ht="231.75" customHeight="1">
      <c r="A1" s="1277" t="s">
        <v>5791</v>
      </c>
      <c r="B1" s="1277"/>
      <c r="C1" s="1277"/>
      <c r="D1" s="1277"/>
      <c r="E1" s="1277"/>
      <c r="F1" s="1277"/>
      <c r="G1" s="1277"/>
      <c r="H1" s="1277"/>
      <c r="I1" s="1277"/>
      <c r="J1" s="1277"/>
      <c r="K1" s="1277"/>
      <c r="L1" s="1277"/>
      <c r="M1" s="1277"/>
      <c r="N1" s="1277"/>
      <c r="O1" s="1277"/>
      <c r="P1" s="1277"/>
      <c r="Q1" s="1277"/>
      <c r="R1" s="1277"/>
      <c r="S1" s="1277"/>
      <c r="T1" s="1277"/>
      <c r="U1" s="1277"/>
      <c r="V1" s="1277"/>
    </row>
    <row r="2" spans="1:22" s="900" customFormat="1" ht="231.75" customHeight="1">
      <c r="A2" s="1278" t="s">
        <v>223</v>
      </c>
      <c r="B2" s="1277" t="s">
        <v>1769</v>
      </c>
      <c r="C2" s="1277" t="s">
        <v>4705</v>
      </c>
      <c r="D2" s="1277" t="s">
        <v>221</v>
      </c>
      <c r="E2" s="1280" t="s">
        <v>6716</v>
      </c>
      <c r="F2" s="1281"/>
      <c r="G2" s="1280" t="s">
        <v>6739</v>
      </c>
      <c r="H2" s="1281"/>
      <c r="I2" s="1279" t="s">
        <v>6733</v>
      </c>
      <c r="J2" s="1279"/>
      <c r="K2" s="1280" t="s">
        <v>6763</v>
      </c>
      <c r="L2" s="1281"/>
      <c r="M2" s="1279" t="s">
        <v>6740</v>
      </c>
      <c r="N2" s="1279"/>
      <c r="O2" s="1280"/>
      <c r="P2" s="1281"/>
      <c r="Q2" s="1279" t="s">
        <v>6577</v>
      </c>
      <c r="R2" s="1279"/>
      <c r="S2" s="1280" t="s">
        <v>5792</v>
      </c>
      <c r="T2" s="1281"/>
      <c r="U2" s="1279" t="s">
        <v>4653</v>
      </c>
      <c r="V2" s="1279"/>
    </row>
    <row r="3" spans="1:22" s="900" customFormat="1" ht="231.75" customHeight="1">
      <c r="A3" s="1278"/>
      <c r="B3" s="1277"/>
      <c r="C3" s="1277"/>
      <c r="D3" s="1277"/>
      <c r="E3" s="901" t="s">
        <v>1034</v>
      </c>
      <c r="F3" s="1052" t="s">
        <v>970</v>
      </c>
      <c r="G3" s="901" t="s">
        <v>1034</v>
      </c>
      <c r="H3" s="902" t="s">
        <v>970</v>
      </c>
      <c r="I3" s="901" t="s">
        <v>1034</v>
      </c>
      <c r="J3" s="902" t="s">
        <v>970</v>
      </c>
      <c r="K3" s="901" t="s">
        <v>1034</v>
      </c>
      <c r="L3" s="902" t="s">
        <v>970</v>
      </c>
      <c r="M3" s="901" t="s">
        <v>1034</v>
      </c>
      <c r="N3" s="902" t="s">
        <v>970</v>
      </c>
      <c r="O3" s="901" t="s">
        <v>1034</v>
      </c>
      <c r="P3" s="902" t="s">
        <v>970</v>
      </c>
      <c r="Q3" s="901" t="s">
        <v>1034</v>
      </c>
      <c r="R3" s="902" t="s">
        <v>970</v>
      </c>
      <c r="S3" s="901" t="s">
        <v>1034</v>
      </c>
      <c r="T3" s="902" t="s">
        <v>970</v>
      </c>
      <c r="U3" s="901" t="s">
        <v>1034</v>
      </c>
      <c r="V3" s="902" t="s">
        <v>970</v>
      </c>
    </row>
    <row r="4" spans="1:22" s="900" customFormat="1" ht="231.75" customHeight="1">
      <c r="A4" s="903"/>
      <c r="B4" s="904"/>
      <c r="C4" s="904"/>
      <c r="D4" s="904"/>
      <c r="E4" s="902"/>
      <c r="F4" s="1052"/>
      <c r="G4" s="902"/>
      <c r="H4" s="902"/>
      <c r="I4" s="902"/>
      <c r="J4" s="902"/>
      <c r="K4" s="902"/>
      <c r="L4" s="902"/>
      <c r="M4" s="902"/>
      <c r="N4" s="902"/>
      <c r="O4" s="902"/>
      <c r="P4" s="902"/>
      <c r="Q4" s="902"/>
      <c r="R4" s="902"/>
      <c r="S4" s="902"/>
      <c r="T4" s="902"/>
      <c r="U4" s="901"/>
      <c r="V4" s="902"/>
    </row>
    <row r="5" spans="1:22" ht="231.75" hidden="1" customHeight="1">
      <c r="A5" s="905">
        <v>1.1000000000000001</v>
      </c>
      <c r="B5" s="906" t="s">
        <v>6587</v>
      </c>
      <c r="C5" s="907"/>
      <c r="D5" s="908" t="s">
        <v>971</v>
      </c>
      <c r="E5" s="909"/>
      <c r="F5" s="1053"/>
      <c r="G5" s="911"/>
      <c r="H5" s="911"/>
      <c r="I5" s="911"/>
      <c r="J5" s="911"/>
      <c r="K5" s="911"/>
      <c r="L5" s="911"/>
      <c r="M5" s="911"/>
      <c r="N5" s="911"/>
      <c r="O5" s="911"/>
      <c r="P5" s="911"/>
      <c r="Q5" s="911"/>
      <c r="R5" s="911"/>
      <c r="S5" s="911"/>
      <c r="T5" s="911"/>
      <c r="U5" s="912"/>
      <c r="V5" s="911"/>
    </row>
    <row r="6" spans="1:22" ht="231.75" hidden="1" customHeight="1">
      <c r="A6" s="905"/>
      <c r="B6" s="906" t="s">
        <v>1969</v>
      </c>
      <c r="C6" s="913">
        <f>ROUND(DATA!K88,2)</f>
        <v>237.08</v>
      </c>
      <c r="D6" s="908" t="s">
        <v>1192</v>
      </c>
      <c r="E6" s="914"/>
      <c r="F6" s="1053">
        <f t="shared" ref="F6:F69" si="0">E6*C6</f>
        <v>0</v>
      </c>
      <c r="G6" s="914"/>
      <c r="H6" s="914">
        <f t="shared" ref="H6:H17" si="1">G6*C6</f>
        <v>0</v>
      </c>
      <c r="I6" s="914"/>
      <c r="J6" s="914">
        <f t="shared" ref="J6:J18" si="2">I6*C6</f>
        <v>0</v>
      </c>
      <c r="K6" s="914"/>
      <c r="L6" s="914"/>
      <c r="M6" s="914"/>
      <c r="N6" s="914">
        <f t="shared" ref="N6:N18" si="3">M6*C6</f>
        <v>0</v>
      </c>
      <c r="O6" s="914"/>
      <c r="P6" s="914">
        <f t="shared" ref="P6:P69" si="4">O6*C6</f>
        <v>0</v>
      </c>
      <c r="Q6" s="914"/>
      <c r="R6" s="914">
        <f t="shared" ref="R6:R69" si="5">Q6*C6</f>
        <v>0</v>
      </c>
      <c r="S6" s="914"/>
      <c r="T6" s="914">
        <f t="shared" ref="T6:T69" si="6">S6*C6</f>
        <v>0</v>
      </c>
      <c r="U6" s="915">
        <f t="shared" ref="U6:U17" si="7">G6+I6+M6+O6+Q6+S6+E6</f>
        <v>0</v>
      </c>
      <c r="V6" s="914">
        <f t="shared" ref="V6:V69" si="8">U6*C6</f>
        <v>0</v>
      </c>
    </row>
    <row r="7" spans="1:22" s="920" customFormat="1" ht="231.75" hidden="1" customHeight="1">
      <c r="A7" s="916"/>
      <c r="B7" s="917" t="s">
        <v>719</v>
      </c>
      <c r="C7" s="918">
        <f>ROUND(DATA!K89,2)</f>
        <v>247.63</v>
      </c>
      <c r="D7" s="898" t="s">
        <v>1192</v>
      </c>
      <c r="E7" s="919"/>
      <c r="F7" s="1053">
        <f t="shared" si="0"/>
        <v>0</v>
      </c>
      <c r="G7" s="919"/>
      <c r="H7" s="914">
        <f t="shared" si="1"/>
        <v>0</v>
      </c>
      <c r="I7" s="919"/>
      <c r="J7" s="914">
        <f t="shared" si="2"/>
        <v>0</v>
      </c>
      <c r="K7" s="914"/>
      <c r="L7" s="914"/>
      <c r="M7" s="919"/>
      <c r="N7" s="914">
        <f t="shared" si="3"/>
        <v>0</v>
      </c>
      <c r="O7" s="919"/>
      <c r="P7" s="914">
        <f t="shared" si="4"/>
        <v>0</v>
      </c>
      <c r="Q7" s="919"/>
      <c r="R7" s="914">
        <f t="shared" si="5"/>
        <v>0</v>
      </c>
      <c r="S7" s="919"/>
      <c r="T7" s="914">
        <f t="shared" si="6"/>
        <v>0</v>
      </c>
      <c r="U7" s="915">
        <f t="shared" si="7"/>
        <v>0</v>
      </c>
      <c r="V7" s="914">
        <f t="shared" si="8"/>
        <v>0</v>
      </c>
    </row>
    <row r="8" spans="1:22" ht="231.75" hidden="1" customHeight="1">
      <c r="A8" s="905">
        <v>1.2</v>
      </c>
      <c r="B8" s="906" t="s">
        <v>6588</v>
      </c>
      <c r="C8" s="921"/>
      <c r="D8" s="908"/>
      <c r="E8" s="919"/>
      <c r="F8" s="1053">
        <f t="shared" si="0"/>
        <v>0</v>
      </c>
      <c r="G8" s="919"/>
      <c r="H8" s="914">
        <f t="shared" si="1"/>
        <v>0</v>
      </c>
      <c r="I8" s="919"/>
      <c r="J8" s="914">
        <f t="shared" si="2"/>
        <v>0</v>
      </c>
      <c r="K8" s="914"/>
      <c r="L8" s="914"/>
      <c r="M8" s="919"/>
      <c r="N8" s="914">
        <f t="shared" si="3"/>
        <v>0</v>
      </c>
      <c r="O8" s="919"/>
      <c r="P8" s="914">
        <f t="shared" si="4"/>
        <v>0</v>
      </c>
      <c r="Q8" s="919"/>
      <c r="R8" s="914">
        <f t="shared" si="5"/>
        <v>0</v>
      </c>
      <c r="S8" s="919"/>
      <c r="T8" s="914">
        <f t="shared" si="6"/>
        <v>0</v>
      </c>
      <c r="U8" s="915">
        <f t="shared" si="7"/>
        <v>0</v>
      </c>
      <c r="V8" s="914">
        <f t="shared" si="8"/>
        <v>0</v>
      </c>
    </row>
    <row r="9" spans="1:22" ht="231.75" hidden="1" customHeight="1">
      <c r="A9" s="905"/>
      <c r="B9" s="906" t="s">
        <v>1969</v>
      </c>
      <c r="C9" s="921">
        <f>ROUND(DATA!K90,2)</f>
        <v>224.1</v>
      </c>
      <c r="D9" s="908" t="s">
        <v>1192</v>
      </c>
      <c r="E9" s="919"/>
      <c r="F9" s="1053">
        <f t="shared" si="0"/>
        <v>0</v>
      </c>
      <c r="G9" s="919"/>
      <c r="H9" s="914">
        <f t="shared" si="1"/>
        <v>0</v>
      </c>
      <c r="I9" s="919"/>
      <c r="J9" s="914">
        <f t="shared" si="2"/>
        <v>0</v>
      </c>
      <c r="K9" s="914"/>
      <c r="L9" s="914"/>
      <c r="M9" s="919"/>
      <c r="N9" s="914">
        <f t="shared" si="3"/>
        <v>0</v>
      </c>
      <c r="O9" s="919"/>
      <c r="P9" s="914">
        <f t="shared" si="4"/>
        <v>0</v>
      </c>
      <c r="Q9" s="919"/>
      <c r="R9" s="914">
        <f t="shared" si="5"/>
        <v>0</v>
      </c>
      <c r="S9" s="919"/>
      <c r="T9" s="914">
        <f t="shared" si="6"/>
        <v>0</v>
      </c>
      <c r="U9" s="915">
        <f t="shared" si="7"/>
        <v>0</v>
      </c>
      <c r="V9" s="914">
        <f t="shared" si="8"/>
        <v>0</v>
      </c>
    </row>
    <row r="10" spans="1:22" ht="231.75" hidden="1" customHeight="1">
      <c r="A10" s="905"/>
      <c r="B10" s="906" t="s">
        <v>719</v>
      </c>
      <c r="C10" s="921">
        <f>ROUND(DATA!K91,2)</f>
        <v>234.65</v>
      </c>
      <c r="D10" s="908" t="s">
        <v>1192</v>
      </c>
      <c r="E10" s="919"/>
      <c r="F10" s="1053">
        <f t="shared" si="0"/>
        <v>0</v>
      </c>
      <c r="G10" s="919"/>
      <c r="H10" s="914">
        <f t="shared" si="1"/>
        <v>0</v>
      </c>
      <c r="I10" s="919"/>
      <c r="J10" s="914">
        <f t="shared" si="2"/>
        <v>0</v>
      </c>
      <c r="K10" s="914"/>
      <c r="L10" s="914"/>
      <c r="M10" s="919"/>
      <c r="N10" s="914">
        <f t="shared" si="3"/>
        <v>0</v>
      </c>
      <c r="O10" s="919"/>
      <c r="P10" s="914">
        <f t="shared" si="4"/>
        <v>0</v>
      </c>
      <c r="Q10" s="919"/>
      <c r="R10" s="914">
        <f t="shared" si="5"/>
        <v>0</v>
      </c>
      <c r="S10" s="919"/>
      <c r="T10" s="914">
        <f t="shared" si="6"/>
        <v>0</v>
      </c>
      <c r="U10" s="915">
        <f t="shared" si="7"/>
        <v>0</v>
      </c>
      <c r="V10" s="914">
        <f t="shared" si="8"/>
        <v>0</v>
      </c>
    </row>
    <row r="11" spans="1:22" s="920" customFormat="1" ht="231.75" hidden="1" customHeight="1">
      <c r="A11" s="916">
        <v>1.3</v>
      </c>
      <c r="B11" s="917" t="s">
        <v>6589</v>
      </c>
      <c r="C11" s="918"/>
      <c r="D11" s="898" t="s">
        <v>971</v>
      </c>
      <c r="E11" s="919"/>
      <c r="F11" s="1053">
        <f t="shared" si="0"/>
        <v>0</v>
      </c>
      <c r="G11" s="919"/>
      <c r="H11" s="914">
        <f t="shared" si="1"/>
        <v>0</v>
      </c>
      <c r="I11" s="919"/>
      <c r="J11" s="914">
        <f t="shared" si="2"/>
        <v>0</v>
      </c>
      <c r="K11" s="914"/>
      <c r="L11" s="914"/>
      <c r="M11" s="919"/>
      <c r="N11" s="914">
        <f t="shared" si="3"/>
        <v>0</v>
      </c>
      <c r="O11" s="919"/>
      <c r="P11" s="914">
        <f t="shared" si="4"/>
        <v>0</v>
      </c>
      <c r="Q11" s="919"/>
      <c r="R11" s="914">
        <f t="shared" si="5"/>
        <v>0</v>
      </c>
      <c r="S11" s="919"/>
      <c r="T11" s="914">
        <f t="shared" si="6"/>
        <v>0</v>
      </c>
      <c r="U11" s="915">
        <f t="shared" si="7"/>
        <v>0</v>
      </c>
      <c r="V11" s="914">
        <f t="shared" si="8"/>
        <v>0</v>
      </c>
    </row>
    <row r="12" spans="1:22" s="920" customFormat="1" ht="231.75" hidden="1" customHeight="1">
      <c r="A12" s="916"/>
      <c r="B12" s="917" t="s">
        <v>1969</v>
      </c>
      <c r="C12" s="922">
        <f>ROUND(DATA!K101,2)</f>
        <v>346.78</v>
      </c>
      <c r="D12" s="898" t="s">
        <v>1192</v>
      </c>
      <c r="E12" s="919"/>
      <c r="F12" s="1053">
        <f t="shared" si="0"/>
        <v>0</v>
      </c>
      <c r="G12" s="919"/>
      <c r="H12" s="914">
        <f t="shared" si="1"/>
        <v>0</v>
      </c>
      <c r="I12" s="919"/>
      <c r="J12" s="914">
        <f t="shared" si="2"/>
        <v>0</v>
      </c>
      <c r="K12" s="914"/>
      <c r="L12" s="914"/>
      <c r="M12" s="919"/>
      <c r="N12" s="914">
        <f t="shared" si="3"/>
        <v>0</v>
      </c>
      <c r="O12" s="919"/>
      <c r="P12" s="914">
        <f t="shared" si="4"/>
        <v>0</v>
      </c>
      <c r="Q12" s="919"/>
      <c r="R12" s="914">
        <f t="shared" si="5"/>
        <v>0</v>
      </c>
      <c r="S12" s="919"/>
      <c r="T12" s="914">
        <f t="shared" si="6"/>
        <v>0</v>
      </c>
      <c r="U12" s="915">
        <f t="shared" si="7"/>
        <v>0</v>
      </c>
      <c r="V12" s="914">
        <f t="shared" si="8"/>
        <v>0</v>
      </c>
    </row>
    <row r="13" spans="1:22" ht="231.75" hidden="1" customHeight="1">
      <c r="A13" s="905"/>
      <c r="B13" s="906" t="s">
        <v>719</v>
      </c>
      <c r="C13" s="913">
        <f>ROUND(DATA!K102,2)</f>
        <v>357.33</v>
      </c>
      <c r="D13" s="908" t="s">
        <v>1192</v>
      </c>
      <c r="E13" s="919"/>
      <c r="F13" s="1053">
        <f t="shared" si="0"/>
        <v>0</v>
      </c>
      <c r="G13" s="919"/>
      <c r="H13" s="914">
        <f t="shared" si="1"/>
        <v>0</v>
      </c>
      <c r="I13" s="919"/>
      <c r="J13" s="914">
        <f t="shared" si="2"/>
        <v>0</v>
      </c>
      <c r="K13" s="914"/>
      <c r="L13" s="914"/>
      <c r="M13" s="919"/>
      <c r="N13" s="914">
        <f t="shared" si="3"/>
        <v>0</v>
      </c>
      <c r="O13" s="919"/>
      <c r="P13" s="914">
        <f t="shared" si="4"/>
        <v>0</v>
      </c>
      <c r="Q13" s="919"/>
      <c r="R13" s="914">
        <f t="shared" si="5"/>
        <v>0</v>
      </c>
      <c r="S13" s="919"/>
      <c r="T13" s="914">
        <f t="shared" si="6"/>
        <v>0</v>
      </c>
      <c r="U13" s="915">
        <f t="shared" si="7"/>
        <v>0</v>
      </c>
      <c r="V13" s="914">
        <f t="shared" si="8"/>
        <v>0</v>
      </c>
    </row>
    <row r="14" spans="1:22" ht="231.75" hidden="1" customHeight="1">
      <c r="A14" s="905">
        <v>1.4</v>
      </c>
      <c r="B14" s="906" t="s">
        <v>6590</v>
      </c>
      <c r="C14" s="921"/>
      <c r="D14" s="908"/>
      <c r="E14" s="919"/>
      <c r="F14" s="1053">
        <f t="shared" si="0"/>
        <v>0</v>
      </c>
      <c r="G14" s="919"/>
      <c r="H14" s="914">
        <f t="shared" si="1"/>
        <v>0</v>
      </c>
      <c r="I14" s="919"/>
      <c r="J14" s="914">
        <f t="shared" si="2"/>
        <v>0</v>
      </c>
      <c r="K14" s="914"/>
      <c r="L14" s="914"/>
      <c r="M14" s="919"/>
      <c r="N14" s="914">
        <f t="shared" si="3"/>
        <v>0</v>
      </c>
      <c r="O14" s="919"/>
      <c r="P14" s="914">
        <f t="shared" si="4"/>
        <v>0</v>
      </c>
      <c r="Q14" s="919"/>
      <c r="R14" s="914">
        <f t="shared" si="5"/>
        <v>0</v>
      </c>
      <c r="S14" s="919"/>
      <c r="T14" s="914">
        <f t="shared" si="6"/>
        <v>0</v>
      </c>
      <c r="U14" s="915">
        <f t="shared" si="7"/>
        <v>0</v>
      </c>
      <c r="V14" s="914">
        <f t="shared" si="8"/>
        <v>0</v>
      </c>
    </row>
    <row r="15" spans="1:22" ht="231.75" hidden="1" customHeight="1">
      <c r="A15" s="905"/>
      <c r="B15" s="906" t="s">
        <v>1969</v>
      </c>
      <c r="C15" s="921">
        <f>ROUND(DATA!K116,2)</f>
        <v>125.03</v>
      </c>
      <c r="D15" s="908" t="s">
        <v>1192</v>
      </c>
      <c r="E15" s="919"/>
      <c r="F15" s="1053">
        <f t="shared" si="0"/>
        <v>0</v>
      </c>
      <c r="G15" s="919"/>
      <c r="H15" s="914">
        <f t="shared" si="1"/>
        <v>0</v>
      </c>
      <c r="I15" s="919"/>
      <c r="J15" s="914">
        <f t="shared" si="2"/>
        <v>0</v>
      </c>
      <c r="K15" s="914"/>
      <c r="L15" s="914"/>
      <c r="M15" s="919"/>
      <c r="N15" s="914">
        <f t="shared" si="3"/>
        <v>0</v>
      </c>
      <c r="O15" s="919"/>
      <c r="P15" s="914">
        <f t="shared" si="4"/>
        <v>0</v>
      </c>
      <c r="Q15" s="919"/>
      <c r="R15" s="914">
        <f t="shared" si="5"/>
        <v>0</v>
      </c>
      <c r="S15" s="919"/>
      <c r="T15" s="914">
        <f t="shared" si="6"/>
        <v>0</v>
      </c>
      <c r="U15" s="915">
        <f t="shared" si="7"/>
        <v>0</v>
      </c>
      <c r="V15" s="914">
        <f t="shared" si="8"/>
        <v>0</v>
      </c>
    </row>
    <row r="16" spans="1:22" ht="231.75" hidden="1" customHeight="1">
      <c r="A16" s="905"/>
      <c r="B16" s="906" t="s">
        <v>719</v>
      </c>
      <c r="C16" s="921">
        <f>ROUND(DATA!L116,2)</f>
        <v>135.58000000000001</v>
      </c>
      <c r="D16" s="908" t="s">
        <v>1192</v>
      </c>
      <c r="E16" s="919"/>
      <c r="F16" s="1053">
        <f t="shared" si="0"/>
        <v>0</v>
      </c>
      <c r="G16" s="919"/>
      <c r="H16" s="914">
        <f t="shared" si="1"/>
        <v>0</v>
      </c>
      <c r="I16" s="919"/>
      <c r="J16" s="914">
        <f t="shared" si="2"/>
        <v>0</v>
      </c>
      <c r="K16" s="914"/>
      <c r="L16" s="914"/>
      <c r="M16" s="919"/>
      <c r="N16" s="914">
        <f t="shared" si="3"/>
        <v>0</v>
      </c>
      <c r="O16" s="919"/>
      <c r="P16" s="914">
        <f t="shared" si="4"/>
        <v>0</v>
      </c>
      <c r="Q16" s="919"/>
      <c r="R16" s="914">
        <f t="shared" si="5"/>
        <v>0</v>
      </c>
      <c r="S16" s="919"/>
      <c r="T16" s="914">
        <f t="shared" si="6"/>
        <v>0</v>
      </c>
      <c r="U16" s="915">
        <f t="shared" si="7"/>
        <v>0</v>
      </c>
      <c r="V16" s="914">
        <f t="shared" si="8"/>
        <v>0</v>
      </c>
    </row>
    <row r="17" spans="1:22" ht="231.75" customHeight="1">
      <c r="A17" s="905">
        <v>1.5</v>
      </c>
      <c r="B17" s="906" t="s">
        <v>6591</v>
      </c>
      <c r="C17" s="913"/>
      <c r="D17" s="908" t="s">
        <v>971</v>
      </c>
      <c r="E17" s="911"/>
      <c r="F17" s="1053">
        <f t="shared" si="0"/>
        <v>0</v>
      </c>
      <c r="G17" s="914"/>
      <c r="H17" s="914">
        <f t="shared" si="1"/>
        <v>0</v>
      </c>
      <c r="I17" s="914"/>
      <c r="J17" s="914">
        <f t="shared" si="2"/>
        <v>0</v>
      </c>
      <c r="K17" s="914"/>
      <c r="L17" s="914"/>
      <c r="M17" s="914"/>
      <c r="N17" s="914">
        <f t="shared" si="3"/>
        <v>0</v>
      </c>
      <c r="O17" s="914"/>
      <c r="P17" s="914">
        <f t="shared" si="4"/>
        <v>0</v>
      </c>
      <c r="Q17" s="914"/>
      <c r="R17" s="914">
        <f t="shared" si="5"/>
        <v>0</v>
      </c>
      <c r="S17" s="914"/>
      <c r="T17" s="914">
        <f t="shared" si="6"/>
        <v>0</v>
      </c>
      <c r="U17" s="915">
        <f t="shared" si="7"/>
        <v>0</v>
      </c>
      <c r="V17" s="914">
        <f t="shared" si="8"/>
        <v>0</v>
      </c>
    </row>
    <row r="18" spans="1:22" ht="231.75" customHeight="1">
      <c r="A18" s="905"/>
      <c r="B18" s="906" t="s">
        <v>1969</v>
      </c>
      <c r="C18" s="913">
        <f>ROUND(DATA!K118,2)</f>
        <v>112.05</v>
      </c>
      <c r="D18" s="908" t="s">
        <v>1192</v>
      </c>
      <c r="E18" s="914"/>
      <c r="F18" s="1053">
        <f t="shared" si="0"/>
        <v>0</v>
      </c>
      <c r="G18" s="914"/>
      <c r="H18" s="914">
        <f>C18*G18</f>
        <v>0</v>
      </c>
      <c r="I18" s="914"/>
      <c r="J18" s="914">
        <f t="shared" si="2"/>
        <v>0</v>
      </c>
      <c r="K18" s="914">
        <v>2.2999999999999998</v>
      </c>
      <c r="L18" s="914">
        <f>K18*C18</f>
        <v>257.72000000000003</v>
      </c>
      <c r="M18" s="914">
        <v>21.6</v>
      </c>
      <c r="N18" s="914">
        <f t="shared" si="3"/>
        <v>2420.2800000000002</v>
      </c>
      <c r="O18" s="914"/>
      <c r="P18" s="914">
        <f t="shared" si="4"/>
        <v>0</v>
      </c>
      <c r="Q18" s="914"/>
      <c r="R18" s="914">
        <f t="shared" si="5"/>
        <v>0</v>
      </c>
      <c r="S18" s="914">
        <v>31.08</v>
      </c>
      <c r="T18" s="914">
        <f t="shared" si="6"/>
        <v>3482.51</v>
      </c>
      <c r="U18" s="915">
        <f t="shared" ref="U18:U81" si="9">G18+I18+M18+O18+Q18+S18+E18+K18</f>
        <v>54.98</v>
      </c>
      <c r="V18" s="914">
        <f t="shared" si="8"/>
        <v>6160.51</v>
      </c>
    </row>
    <row r="19" spans="1:22" ht="231.75" customHeight="1">
      <c r="A19" s="905"/>
      <c r="B19" s="906" t="s">
        <v>719</v>
      </c>
      <c r="C19" s="921">
        <f>ROUND(DATA!K119,2)</f>
        <v>122.6</v>
      </c>
      <c r="D19" s="908" t="s">
        <v>1192</v>
      </c>
      <c r="E19" s="914"/>
      <c r="F19" s="1053">
        <f t="shared" si="0"/>
        <v>0</v>
      </c>
      <c r="G19" s="914"/>
      <c r="H19" s="914">
        <f t="shared" ref="H19:H82" si="10">C19*G19</f>
        <v>0</v>
      </c>
      <c r="I19" s="914"/>
      <c r="J19" s="914">
        <f t="shared" ref="J19:J82" si="11">I19*C19</f>
        <v>0</v>
      </c>
      <c r="K19" s="914"/>
      <c r="L19" s="914">
        <f t="shared" ref="L19:L82" si="12">K19*C19</f>
        <v>0</v>
      </c>
      <c r="M19" s="914"/>
      <c r="N19" s="914">
        <f t="shared" ref="N19:N82" si="13">M19*C19</f>
        <v>0</v>
      </c>
      <c r="O19" s="914"/>
      <c r="P19" s="914">
        <f t="shared" si="4"/>
        <v>0</v>
      </c>
      <c r="Q19" s="914"/>
      <c r="R19" s="914">
        <f t="shared" si="5"/>
        <v>0</v>
      </c>
      <c r="S19" s="914"/>
      <c r="T19" s="914">
        <f t="shared" si="6"/>
        <v>0</v>
      </c>
      <c r="U19" s="915">
        <f t="shared" si="9"/>
        <v>0</v>
      </c>
      <c r="V19" s="914">
        <f t="shared" si="8"/>
        <v>0</v>
      </c>
    </row>
    <row r="20" spans="1:22" ht="231.75" hidden="1" customHeight="1">
      <c r="A20" s="905"/>
      <c r="B20" s="906" t="s">
        <v>3775</v>
      </c>
      <c r="C20" s="921">
        <f>ROUND(DATA!K120,2)</f>
        <v>133.15</v>
      </c>
      <c r="D20" s="908" t="s">
        <v>1192</v>
      </c>
      <c r="E20" s="919"/>
      <c r="F20" s="1053">
        <f t="shared" si="0"/>
        <v>0</v>
      </c>
      <c r="G20" s="919"/>
      <c r="H20" s="914">
        <f t="shared" si="10"/>
        <v>0</v>
      </c>
      <c r="I20" s="919"/>
      <c r="J20" s="914">
        <f t="shared" si="11"/>
        <v>0</v>
      </c>
      <c r="K20" s="914"/>
      <c r="L20" s="914">
        <f t="shared" si="12"/>
        <v>0</v>
      </c>
      <c r="M20" s="919"/>
      <c r="N20" s="914">
        <f t="shared" si="13"/>
        <v>0</v>
      </c>
      <c r="O20" s="919"/>
      <c r="P20" s="914">
        <f t="shared" si="4"/>
        <v>0</v>
      </c>
      <c r="Q20" s="919"/>
      <c r="R20" s="914">
        <f t="shared" si="5"/>
        <v>0</v>
      </c>
      <c r="S20" s="919"/>
      <c r="T20" s="914">
        <f t="shared" si="6"/>
        <v>0</v>
      </c>
      <c r="U20" s="915">
        <f t="shared" si="9"/>
        <v>0</v>
      </c>
      <c r="V20" s="914">
        <f t="shared" si="8"/>
        <v>0</v>
      </c>
    </row>
    <row r="21" spans="1:22" ht="231.75" hidden="1" customHeight="1">
      <c r="A21" s="905"/>
      <c r="B21" s="906" t="s">
        <v>3776</v>
      </c>
      <c r="C21" s="921">
        <f>ROUND(DATA!K121,2)</f>
        <v>143.69999999999999</v>
      </c>
      <c r="D21" s="908" t="s">
        <v>1192</v>
      </c>
      <c r="E21" s="919"/>
      <c r="F21" s="1053">
        <f t="shared" si="0"/>
        <v>0</v>
      </c>
      <c r="G21" s="919"/>
      <c r="H21" s="914">
        <f t="shared" si="10"/>
        <v>0</v>
      </c>
      <c r="I21" s="919"/>
      <c r="J21" s="914">
        <f t="shared" si="11"/>
        <v>0</v>
      </c>
      <c r="K21" s="914"/>
      <c r="L21" s="914">
        <f t="shared" si="12"/>
        <v>0</v>
      </c>
      <c r="M21" s="919"/>
      <c r="N21" s="914">
        <f t="shared" si="13"/>
        <v>0</v>
      </c>
      <c r="O21" s="919"/>
      <c r="P21" s="914">
        <f t="shared" si="4"/>
        <v>0</v>
      </c>
      <c r="Q21" s="919"/>
      <c r="R21" s="914">
        <f t="shared" si="5"/>
        <v>0</v>
      </c>
      <c r="S21" s="919"/>
      <c r="T21" s="914">
        <f t="shared" si="6"/>
        <v>0</v>
      </c>
      <c r="U21" s="915">
        <f t="shared" si="9"/>
        <v>0</v>
      </c>
      <c r="V21" s="914">
        <f t="shared" si="8"/>
        <v>0</v>
      </c>
    </row>
    <row r="22" spans="1:22" ht="231.75" customHeight="1">
      <c r="A22" s="905">
        <v>1.6</v>
      </c>
      <c r="B22" s="906" t="s">
        <v>6592</v>
      </c>
      <c r="C22" s="913"/>
      <c r="D22" s="908"/>
      <c r="E22" s="919"/>
      <c r="F22" s="1053">
        <f t="shared" si="0"/>
        <v>0</v>
      </c>
      <c r="G22" s="919"/>
      <c r="H22" s="914">
        <f t="shared" si="10"/>
        <v>0</v>
      </c>
      <c r="I22" s="919"/>
      <c r="J22" s="914">
        <f t="shared" si="11"/>
        <v>0</v>
      </c>
      <c r="K22" s="914"/>
      <c r="L22" s="914">
        <f t="shared" si="12"/>
        <v>0</v>
      </c>
      <c r="M22" s="919"/>
      <c r="N22" s="914">
        <f t="shared" si="13"/>
        <v>0</v>
      </c>
      <c r="O22" s="919"/>
      <c r="P22" s="914">
        <f t="shared" si="4"/>
        <v>0</v>
      </c>
      <c r="Q22" s="919"/>
      <c r="R22" s="914">
        <f t="shared" si="5"/>
        <v>0</v>
      </c>
      <c r="S22" s="919"/>
      <c r="T22" s="914">
        <f t="shared" si="6"/>
        <v>0</v>
      </c>
      <c r="U22" s="915">
        <f t="shared" si="9"/>
        <v>0</v>
      </c>
      <c r="V22" s="914">
        <f t="shared" si="8"/>
        <v>0</v>
      </c>
    </row>
    <row r="23" spans="1:22" ht="231.75" customHeight="1">
      <c r="A23" s="905"/>
      <c r="B23" s="906" t="s">
        <v>1969</v>
      </c>
      <c r="C23" s="913">
        <f>ROUND(DATA!K133,2)</f>
        <v>168.08</v>
      </c>
      <c r="D23" s="908" t="s">
        <v>1192</v>
      </c>
      <c r="E23" s="919"/>
      <c r="F23" s="1053">
        <f t="shared" si="0"/>
        <v>0</v>
      </c>
      <c r="G23" s="919"/>
      <c r="H23" s="914">
        <f t="shared" si="10"/>
        <v>0</v>
      </c>
      <c r="I23" s="919"/>
      <c r="J23" s="914">
        <f t="shared" si="11"/>
        <v>0</v>
      </c>
      <c r="K23" s="914"/>
      <c r="L23" s="914">
        <f t="shared" si="12"/>
        <v>0</v>
      </c>
      <c r="M23" s="919"/>
      <c r="N23" s="914">
        <f t="shared" si="13"/>
        <v>0</v>
      </c>
      <c r="O23" s="919"/>
      <c r="P23" s="914">
        <f t="shared" si="4"/>
        <v>0</v>
      </c>
      <c r="Q23" s="919">
        <v>18</v>
      </c>
      <c r="R23" s="914">
        <f t="shared" si="5"/>
        <v>3025.44</v>
      </c>
      <c r="S23" s="919"/>
      <c r="T23" s="914">
        <f t="shared" si="6"/>
        <v>0</v>
      </c>
      <c r="U23" s="915">
        <f t="shared" si="9"/>
        <v>18</v>
      </c>
      <c r="V23" s="914">
        <f t="shared" si="8"/>
        <v>3025.44</v>
      </c>
    </row>
    <row r="24" spans="1:22" ht="231.75" customHeight="1">
      <c r="A24" s="905"/>
      <c r="B24" s="906" t="s">
        <v>719</v>
      </c>
      <c r="C24" s="921">
        <f>ROUND(DATA!K134,2)</f>
        <v>178.63</v>
      </c>
      <c r="D24" s="908" t="s">
        <v>1192</v>
      </c>
      <c r="E24" s="919"/>
      <c r="F24" s="1053">
        <f t="shared" si="0"/>
        <v>0</v>
      </c>
      <c r="G24" s="919"/>
      <c r="H24" s="914">
        <f t="shared" si="10"/>
        <v>0</v>
      </c>
      <c r="I24" s="919"/>
      <c r="J24" s="914">
        <f t="shared" si="11"/>
        <v>0</v>
      </c>
      <c r="K24" s="914"/>
      <c r="L24" s="914">
        <f t="shared" si="12"/>
        <v>0</v>
      </c>
      <c r="M24" s="919"/>
      <c r="N24" s="914">
        <f t="shared" si="13"/>
        <v>0</v>
      </c>
      <c r="O24" s="919"/>
      <c r="P24" s="914">
        <f t="shared" si="4"/>
        <v>0</v>
      </c>
      <c r="Q24" s="919"/>
      <c r="R24" s="914">
        <f t="shared" si="5"/>
        <v>0</v>
      </c>
      <c r="S24" s="919"/>
      <c r="T24" s="914">
        <f t="shared" si="6"/>
        <v>0</v>
      </c>
      <c r="U24" s="915">
        <f t="shared" si="9"/>
        <v>0</v>
      </c>
      <c r="V24" s="914">
        <f t="shared" si="8"/>
        <v>0</v>
      </c>
    </row>
    <row r="25" spans="1:22" ht="231.75" hidden="1" customHeight="1">
      <c r="A25" s="905">
        <v>1.7</v>
      </c>
      <c r="B25" s="906" t="s">
        <v>6593</v>
      </c>
      <c r="C25" s="921"/>
      <c r="D25" s="908" t="s">
        <v>971</v>
      </c>
      <c r="E25" s="919"/>
      <c r="F25" s="1053">
        <f t="shared" si="0"/>
        <v>0</v>
      </c>
      <c r="G25" s="919"/>
      <c r="H25" s="914">
        <f t="shared" si="10"/>
        <v>0</v>
      </c>
      <c r="I25" s="919"/>
      <c r="J25" s="914">
        <f t="shared" si="11"/>
        <v>0</v>
      </c>
      <c r="K25" s="914"/>
      <c r="L25" s="914">
        <f t="shared" si="12"/>
        <v>0</v>
      </c>
      <c r="M25" s="919"/>
      <c r="N25" s="914">
        <f t="shared" si="13"/>
        <v>0</v>
      </c>
      <c r="O25" s="919"/>
      <c r="P25" s="914">
        <f t="shared" si="4"/>
        <v>0</v>
      </c>
      <c r="Q25" s="919"/>
      <c r="R25" s="914">
        <f t="shared" si="5"/>
        <v>0</v>
      </c>
      <c r="S25" s="919"/>
      <c r="T25" s="914">
        <f t="shared" si="6"/>
        <v>0</v>
      </c>
      <c r="U25" s="915">
        <f t="shared" si="9"/>
        <v>0</v>
      </c>
      <c r="V25" s="914">
        <f t="shared" si="8"/>
        <v>0</v>
      </c>
    </row>
    <row r="26" spans="1:22" ht="231.75" hidden="1" customHeight="1">
      <c r="A26" s="905"/>
      <c r="B26" s="906" t="s">
        <v>1969</v>
      </c>
      <c r="C26" s="921">
        <f>ROUND(DATA!K104,2)</f>
        <v>333.8</v>
      </c>
      <c r="D26" s="908" t="s">
        <v>1192</v>
      </c>
      <c r="E26" s="919"/>
      <c r="F26" s="1053">
        <f t="shared" si="0"/>
        <v>0</v>
      </c>
      <c r="G26" s="919"/>
      <c r="H26" s="914">
        <f t="shared" si="10"/>
        <v>0</v>
      </c>
      <c r="I26" s="919"/>
      <c r="J26" s="914">
        <f t="shared" si="11"/>
        <v>0</v>
      </c>
      <c r="K26" s="914"/>
      <c r="L26" s="914">
        <f t="shared" si="12"/>
        <v>0</v>
      </c>
      <c r="M26" s="919"/>
      <c r="N26" s="914">
        <f t="shared" si="13"/>
        <v>0</v>
      </c>
      <c r="O26" s="919"/>
      <c r="P26" s="914">
        <f t="shared" si="4"/>
        <v>0</v>
      </c>
      <c r="Q26" s="919"/>
      <c r="R26" s="914">
        <f t="shared" si="5"/>
        <v>0</v>
      </c>
      <c r="S26" s="919"/>
      <c r="T26" s="914">
        <f t="shared" si="6"/>
        <v>0</v>
      </c>
      <c r="U26" s="915">
        <f t="shared" si="9"/>
        <v>0</v>
      </c>
      <c r="V26" s="914">
        <f t="shared" si="8"/>
        <v>0</v>
      </c>
    </row>
    <row r="27" spans="1:22" ht="231.75" hidden="1" customHeight="1">
      <c r="A27" s="905"/>
      <c r="B27" s="906" t="s">
        <v>719</v>
      </c>
      <c r="C27" s="921">
        <f>ROUND(DATA!K105,2)</f>
        <v>344.35</v>
      </c>
      <c r="D27" s="908" t="s">
        <v>1192</v>
      </c>
      <c r="E27" s="919"/>
      <c r="F27" s="1053">
        <f t="shared" si="0"/>
        <v>0</v>
      </c>
      <c r="G27" s="919"/>
      <c r="H27" s="914">
        <f t="shared" si="10"/>
        <v>0</v>
      </c>
      <c r="I27" s="919"/>
      <c r="J27" s="914">
        <f t="shared" si="11"/>
        <v>0</v>
      </c>
      <c r="K27" s="914"/>
      <c r="L27" s="914">
        <f t="shared" si="12"/>
        <v>0</v>
      </c>
      <c r="M27" s="919"/>
      <c r="N27" s="914">
        <f t="shared" si="13"/>
        <v>0</v>
      </c>
      <c r="O27" s="919"/>
      <c r="P27" s="914">
        <f t="shared" si="4"/>
        <v>0</v>
      </c>
      <c r="Q27" s="919"/>
      <c r="R27" s="914">
        <f t="shared" si="5"/>
        <v>0</v>
      </c>
      <c r="S27" s="919"/>
      <c r="T27" s="914">
        <f t="shared" si="6"/>
        <v>0</v>
      </c>
      <c r="U27" s="915">
        <f t="shared" si="9"/>
        <v>0</v>
      </c>
      <c r="V27" s="914">
        <f t="shared" si="8"/>
        <v>0</v>
      </c>
    </row>
    <row r="28" spans="1:22" ht="231.75" hidden="1" customHeight="1">
      <c r="A28" s="905">
        <v>1.8</v>
      </c>
      <c r="B28" s="906" t="s">
        <v>6594</v>
      </c>
      <c r="C28" s="913"/>
      <c r="D28" s="908" t="s">
        <v>971</v>
      </c>
      <c r="E28" s="919"/>
      <c r="F28" s="1053">
        <f t="shared" si="0"/>
        <v>0</v>
      </c>
      <c r="G28" s="919"/>
      <c r="H28" s="914">
        <f t="shared" si="10"/>
        <v>0</v>
      </c>
      <c r="I28" s="919"/>
      <c r="J28" s="914">
        <f t="shared" si="11"/>
        <v>0</v>
      </c>
      <c r="K28" s="914"/>
      <c r="L28" s="914">
        <f t="shared" si="12"/>
        <v>0</v>
      </c>
      <c r="M28" s="919"/>
      <c r="N28" s="914">
        <f t="shared" si="13"/>
        <v>0</v>
      </c>
      <c r="O28" s="919"/>
      <c r="P28" s="914">
        <f t="shared" si="4"/>
        <v>0</v>
      </c>
      <c r="Q28" s="919"/>
      <c r="R28" s="914">
        <f t="shared" si="5"/>
        <v>0</v>
      </c>
      <c r="S28" s="919"/>
      <c r="T28" s="914">
        <f t="shared" si="6"/>
        <v>0</v>
      </c>
      <c r="U28" s="915">
        <f t="shared" si="9"/>
        <v>0</v>
      </c>
      <c r="V28" s="914">
        <f t="shared" si="8"/>
        <v>0</v>
      </c>
    </row>
    <row r="29" spans="1:22" s="923" customFormat="1" ht="231.75" hidden="1" customHeight="1">
      <c r="A29" s="905"/>
      <c r="B29" s="906" t="s">
        <v>1969</v>
      </c>
      <c r="C29" s="921">
        <f>ROUND(DATA!K129,2)</f>
        <v>166.9</v>
      </c>
      <c r="D29" s="908" t="s">
        <v>1192</v>
      </c>
      <c r="E29" s="919"/>
      <c r="F29" s="1053">
        <f t="shared" si="0"/>
        <v>0</v>
      </c>
      <c r="G29" s="919"/>
      <c r="H29" s="914">
        <f t="shared" si="10"/>
        <v>0</v>
      </c>
      <c r="I29" s="919"/>
      <c r="J29" s="914">
        <f t="shared" si="11"/>
        <v>0</v>
      </c>
      <c r="K29" s="914"/>
      <c r="L29" s="914">
        <f t="shared" si="12"/>
        <v>0</v>
      </c>
      <c r="M29" s="919"/>
      <c r="N29" s="914">
        <f t="shared" si="13"/>
        <v>0</v>
      </c>
      <c r="O29" s="919"/>
      <c r="P29" s="914">
        <f t="shared" si="4"/>
        <v>0</v>
      </c>
      <c r="Q29" s="919"/>
      <c r="R29" s="914">
        <f t="shared" si="5"/>
        <v>0</v>
      </c>
      <c r="S29" s="919"/>
      <c r="T29" s="914">
        <f t="shared" si="6"/>
        <v>0</v>
      </c>
      <c r="U29" s="915">
        <f t="shared" si="9"/>
        <v>0</v>
      </c>
      <c r="V29" s="914">
        <f t="shared" si="8"/>
        <v>0</v>
      </c>
    </row>
    <row r="30" spans="1:22" ht="231.75" hidden="1" customHeight="1">
      <c r="A30" s="905"/>
      <c r="B30" s="906" t="s">
        <v>719</v>
      </c>
      <c r="C30" s="921">
        <f>ROUND(DATA!K130,2)</f>
        <v>177.45</v>
      </c>
      <c r="D30" s="908" t="s">
        <v>1192</v>
      </c>
      <c r="E30" s="919"/>
      <c r="F30" s="1053">
        <f t="shared" si="0"/>
        <v>0</v>
      </c>
      <c r="G30" s="919"/>
      <c r="H30" s="914">
        <f t="shared" si="10"/>
        <v>0</v>
      </c>
      <c r="I30" s="919"/>
      <c r="J30" s="914">
        <f t="shared" si="11"/>
        <v>0</v>
      </c>
      <c r="K30" s="914"/>
      <c r="L30" s="914">
        <f t="shared" si="12"/>
        <v>0</v>
      </c>
      <c r="M30" s="919"/>
      <c r="N30" s="914">
        <f t="shared" si="13"/>
        <v>0</v>
      </c>
      <c r="O30" s="919"/>
      <c r="P30" s="914">
        <f t="shared" si="4"/>
        <v>0</v>
      </c>
      <c r="Q30" s="919"/>
      <c r="R30" s="914">
        <f t="shared" si="5"/>
        <v>0</v>
      </c>
      <c r="S30" s="919"/>
      <c r="T30" s="914">
        <f t="shared" si="6"/>
        <v>0</v>
      </c>
      <c r="U30" s="915">
        <f t="shared" si="9"/>
        <v>0</v>
      </c>
      <c r="V30" s="914">
        <f t="shared" si="8"/>
        <v>0</v>
      </c>
    </row>
    <row r="31" spans="1:22" ht="231.75" hidden="1" customHeight="1">
      <c r="A31" s="905">
        <v>1.9</v>
      </c>
      <c r="B31" s="906" t="s">
        <v>472</v>
      </c>
      <c r="C31" s="921"/>
      <c r="D31" s="908"/>
      <c r="E31" s="919"/>
      <c r="F31" s="1053">
        <f t="shared" si="0"/>
        <v>0</v>
      </c>
      <c r="G31" s="919"/>
      <c r="H31" s="914">
        <f t="shared" si="10"/>
        <v>0</v>
      </c>
      <c r="I31" s="919"/>
      <c r="J31" s="914">
        <f t="shared" si="11"/>
        <v>0</v>
      </c>
      <c r="K31" s="914"/>
      <c r="L31" s="914">
        <f t="shared" si="12"/>
        <v>0</v>
      </c>
      <c r="M31" s="919"/>
      <c r="N31" s="914">
        <f t="shared" si="13"/>
        <v>0</v>
      </c>
      <c r="O31" s="919"/>
      <c r="P31" s="914">
        <f t="shared" si="4"/>
        <v>0</v>
      </c>
      <c r="Q31" s="919"/>
      <c r="R31" s="914">
        <f t="shared" si="5"/>
        <v>0</v>
      </c>
      <c r="S31" s="919"/>
      <c r="T31" s="914">
        <f t="shared" si="6"/>
        <v>0</v>
      </c>
      <c r="U31" s="915">
        <f t="shared" si="9"/>
        <v>0</v>
      </c>
      <c r="V31" s="914">
        <f t="shared" si="8"/>
        <v>0</v>
      </c>
    </row>
    <row r="32" spans="1:22" ht="231.75" hidden="1" customHeight="1">
      <c r="A32" s="905"/>
      <c r="B32" s="906" t="s">
        <v>473</v>
      </c>
      <c r="C32" s="921"/>
      <c r="D32" s="908" t="s">
        <v>823</v>
      </c>
      <c r="E32" s="919"/>
      <c r="F32" s="1053">
        <f t="shared" si="0"/>
        <v>0</v>
      </c>
      <c r="G32" s="919"/>
      <c r="H32" s="914">
        <f t="shared" si="10"/>
        <v>0</v>
      </c>
      <c r="I32" s="919"/>
      <c r="J32" s="914">
        <f t="shared" si="11"/>
        <v>0</v>
      </c>
      <c r="K32" s="914"/>
      <c r="L32" s="914">
        <f t="shared" si="12"/>
        <v>0</v>
      </c>
      <c r="M32" s="919"/>
      <c r="N32" s="914">
        <f t="shared" si="13"/>
        <v>0</v>
      </c>
      <c r="O32" s="919"/>
      <c r="P32" s="914">
        <f t="shared" si="4"/>
        <v>0</v>
      </c>
      <c r="Q32" s="919"/>
      <c r="R32" s="914">
        <f t="shared" si="5"/>
        <v>0</v>
      </c>
      <c r="S32" s="919"/>
      <c r="T32" s="914">
        <f t="shared" si="6"/>
        <v>0</v>
      </c>
      <c r="U32" s="915">
        <f t="shared" si="9"/>
        <v>0</v>
      </c>
      <c r="V32" s="914">
        <f t="shared" si="8"/>
        <v>0</v>
      </c>
    </row>
    <row r="33" spans="1:22" ht="231.75" hidden="1" customHeight="1">
      <c r="A33" s="905"/>
      <c r="B33" s="906" t="s">
        <v>474</v>
      </c>
      <c r="C33" s="921"/>
      <c r="D33" s="908" t="s">
        <v>823</v>
      </c>
      <c r="E33" s="919"/>
      <c r="F33" s="1053">
        <f t="shared" si="0"/>
        <v>0</v>
      </c>
      <c r="G33" s="919"/>
      <c r="H33" s="914">
        <f t="shared" si="10"/>
        <v>0</v>
      </c>
      <c r="I33" s="919"/>
      <c r="J33" s="914">
        <f t="shared" si="11"/>
        <v>0</v>
      </c>
      <c r="K33" s="914"/>
      <c r="L33" s="914">
        <f t="shared" si="12"/>
        <v>0</v>
      </c>
      <c r="M33" s="919"/>
      <c r="N33" s="914">
        <f t="shared" si="13"/>
        <v>0</v>
      </c>
      <c r="O33" s="919"/>
      <c r="P33" s="914">
        <f t="shared" si="4"/>
        <v>0</v>
      </c>
      <c r="Q33" s="919"/>
      <c r="R33" s="914">
        <f t="shared" si="5"/>
        <v>0</v>
      </c>
      <c r="S33" s="919"/>
      <c r="T33" s="914">
        <f t="shared" si="6"/>
        <v>0</v>
      </c>
      <c r="U33" s="915">
        <f t="shared" si="9"/>
        <v>0</v>
      </c>
      <c r="V33" s="914">
        <f t="shared" si="8"/>
        <v>0</v>
      </c>
    </row>
    <row r="34" spans="1:22" ht="231.75" hidden="1" customHeight="1">
      <c r="A34" s="905"/>
      <c r="B34" s="906" t="s">
        <v>475</v>
      </c>
      <c r="C34" s="921"/>
      <c r="D34" s="908" t="s">
        <v>823</v>
      </c>
      <c r="E34" s="919"/>
      <c r="F34" s="1053">
        <f t="shared" si="0"/>
        <v>0</v>
      </c>
      <c r="G34" s="919"/>
      <c r="H34" s="914">
        <f t="shared" si="10"/>
        <v>0</v>
      </c>
      <c r="I34" s="919"/>
      <c r="J34" s="914">
        <f t="shared" si="11"/>
        <v>0</v>
      </c>
      <c r="K34" s="914"/>
      <c r="L34" s="914">
        <f t="shared" si="12"/>
        <v>0</v>
      </c>
      <c r="M34" s="919"/>
      <c r="N34" s="914">
        <f t="shared" si="13"/>
        <v>0</v>
      </c>
      <c r="O34" s="919"/>
      <c r="P34" s="914">
        <f t="shared" si="4"/>
        <v>0</v>
      </c>
      <c r="Q34" s="919"/>
      <c r="R34" s="914">
        <f t="shared" si="5"/>
        <v>0</v>
      </c>
      <c r="S34" s="919"/>
      <c r="T34" s="914">
        <f t="shared" si="6"/>
        <v>0</v>
      </c>
      <c r="U34" s="915">
        <f t="shared" si="9"/>
        <v>0</v>
      </c>
      <c r="V34" s="914">
        <f t="shared" si="8"/>
        <v>0</v>
      </c>
    </row>
    <row r="35" spans="1:22" ht="231.75" hidden="1" customHeight="1">
      <c r="A35" s="905"/>
      <c r="B35" s="906" t="s">
        <v>2057</v>
      </c>
      <c r="C35" s="921"/>
      <c r="D35" s="908" t="s">
        <v>823</v>
      </c>
      <c r="E35" s="919"/>
      <c r="F35" s="1053">
        <f t="shared" si="0"/>
        <v>0</v>
      </c>
      <c r="G35" s="919"/>
      <c r="H35" s="914">
        <f t="shared" si="10"/>
        <v>0</v>
      </c>
      <c r="I35" s="919"/>
      <c r="J35" s="914">
        <f t="shared" si="11"/>
        <v>0</v>
      </c>
      <c r="K35" s="914"/>
      <c r="L35" s="914">
        <f t="shared" si="12"/>
        <v>0</v>
      </c>
      <c r="M35" s="919"/>
      <c r="N35" s="914">
        <f t="shared" si="13"/>
        <v>0</v>
      </c>
      <c r="O35" s="919"/>
      <c r="P35" s="914">
        <f t="shared" si="4"/>
        <v>0</v>
      </c>
      <c r="Q35" s="919"/>
      <c r="R35" s="914">
        <f t="shared" si="5"/>
        <v>0</v>
      </c>
      <c r="S35" s="919"/>
      <c r="T35" s="914">
        <f t="shared" si="6"/>
        <v>0</v>
      </c>
      <c r="U35" s="915">
        <f t="shared" si="9"/>
        <v>0</v>
      </c>
      <c r="V35" s="914">
        <f t="shared" si="8"/>
        <v>0</v>
      </c>
    </row>
    <row r="36" spans="1:22" ht="231.75" hidden="1" customHeight="1">
      <c r="A36" s="905"/>
      <c r="B36" s="906" t="s">
        <v>2058</v>
      </c>
      <c r="C36" s="921"/>
      <c r="D36" s="908" t="s">
        <v>823</v>
      </c>
      <c r="E36" s="919"/>
      <c r="F36" s="1053">
        <f t="shared" si="0"/>
        <v>0</v>
      </c>
      <c r="G36" s="919"/>
      <c r="H36" s="914">
        <f t="shared" si="10"/>
        <v>0</v>
      </c>
      <c r="I36" s="919"/>
      <c r="J36" s="914">
        <f t="shared" si="11"/>
        <v>0</v>
      </c>
      <c r="K36" s="914"/>
      <c r="L36" s="914">
        <f t="shared" si="12"/>
        <v>0</v>
      </c>
      <c r="M36" s="919"/>
      <c r="N36" s="914">
        <f t="shared" si="13"/>
        <v>0</v>
      </c>
      <c r="O36" s="919"/>
      <c r="P36" s="914">
        <f t="shared" si="4"/>
        <v>0</v>
      </c>
      <c r="Q36" s="919"/>
      <c r="R36" s="914">
        <f t="shared" si="5"/>
        <v>0</v>
      </c>
      <c r="S36" s="919"/>
      <c r="T36" s="914">
        <f t="shared" si="6"/>
        <v>0</v>
      </c>
      <c r="U36" s="915">
        <f t="shared" si="9"/>
        <v>0</v>
      </c>
      <c r="V36" s="914">
        <f t="shared" si="8"/>
        <v>0</v>
      </c>
    </row>
    <row r="37" spans="1:22" ht="231.75" hidden="1" customHeight="1">
      <c r="A37" s="905"/>
      <c r="B37" s="906" t="s">
        <v>228</v>
      </c>
      <c r="C37" s="921"/>
      <c r="D37" s="908" t="s">
        <v>823</v>
      </c>
      <c r="E37" s="919"/>
      <c r="F37" s="1053">
        <f t="shared" si="0"/>
        <v>0</v>
      </c>
      <c r="G37" s="919"/>
      <c r="H37" s="914">
        <f t="shared" si="10"/>
        <v>0</v>
      </c>
      <c r="I37" s="919"/>
      <c r="J37" s="914">
        <f t="shared" si="11"/>
        <v>0</v>
      </c>
      <c r="K37" s="914"/>
      <c r="L37" s="914">
        <f t="shared" si="12"/>
        <v>0</v>
      </c>
      <c r="M37" s="919"/>
      <c r="N37" s="914">
        <f t="shared" si="13"/>
        <v>0</v>
      </c>
      <c r="O37" s="919"/>
      <c r="P37" s="914">
        <f t="shared" si="4"/>
        <v>0</v>
      </c>
      <c r="Q37" s="919"/>
      <c r="R37" s="914">
        <f t="shared" si="5"/>
        <v>0</v>
      </c>
      <c r="S37" s="919"/>
      <c r="T37" s="914">
        <f t="shared" si="6"/>
        <v>0</v>
      </c>
      <c r="U37" s="915">
        <f t="shared" si="9"/>
        <v>0</v>
      </c>
      <c r="V37" s="914">
        <f t="shared" si="8"/>
        <v>0</v>
      </c>
    </row>
    <row r="38" spans="1:22" s="923" customFormat="1" ht="231.75" customHeight="1">
      <c r="A38" s="905">
        <v>2.1</v>
      </c>
      <c r="B38" s="906" t="s">
        <v>4706</v>
      </c>
      <c r="C38" s="913">
        <f>ROUND(DATA!K144,2)</f>
        <v>1880.3</v>
      </c>
      <c r="D38" s="908" t="s">
        <v>1192</v>
      </c>
      <c r="E38" s="914"/>
      <c r="F38" s="1053">
        <f t="shared" si="0"/>
        <v>0</v>
      </c>
      <c r="G38" s="914"/>
      <c r="H38" s="914">
        <f t="shared" si="10"/>
        <v>0</v>
      </c>
      <c r="I38" s="914"/>
      <c r="J38" s="914">
        <f t="shared" si="11"/>
        <v>0</v>
      </c>
      <c r="K38" s="914">
        <v>2</v>
      </c>
      <c r="L38" s="914">
        <f t="shared" si="12"/>
        <v>3760.6</v>
      </c>
      <c r="M38" s="914">
        <v>2.16</v>
      </c>
      <c r="N38" s="914">
        <f t="shared" si="13"/>
        <v>4061.45</v>
      </c>
      <c r="O38" s="914"/>
      <c r="P38" s="914">
        <f t="shared" si="4"/>
        <v>0</v>
      </c>
      <c r="Q38" s="914">
        <v>3.5</v>
      </c>
      <c r="R38" s="914">
        <f t="shared" si="5"/>
        <v>6581.05</v>
      </c>
      <c r="S38" s="914">
        <v>2.33</v>
      </c>
      <c r="T38" s="914">
        <f t="shared" si="6"/>
        <v>4381.1000000000004</v>
      </c>
      <c r="U38" s="915">
        <f t="shared" si="9"/>
        <v>9.99</v>
      </c>
      <c r="V38" s="914">
        <f t="shared" si="8"/>
        <v>18784.2</v>
      </c>
    </row>
    <row r="39" spans="1:22" ht="231.75" hidden="1" customHeight="1">
      <c r="A39" s="905">
        <v>2.2000000000000002</v>
      </c>
      <c r="B39" s="906" t="s">
        <v>229</v>
      </c>
      <c r="C39" s="921">
        <f>ROUND(DATA!K161,2)</f>
        <v>1708.33</v>
      </c>
      <c r="D39" s="908" t="s">
        <v>1192</v>
      </c>
      <c r="E39" s="919"/>
      <c r="F39" s="1053">
        <f t="shared" si="0"/>
        <v>0</v>
      </c>
      <c r="G39" s="919"/>
      <c r="H39" s="914">
        <f t="shared" si="10"/>
        <v>0</v>
      </c>
      <c r="I39" s="919"/>
      <c r="J39" s="914">
        <f t="shared" si="11"/>
        <v>0</v>
      </c>
      <c r="K39" s="914"/>
      <c r="L39" s="914">
        <f t="shared" si="12"/>
        <v>0</v>
      </c>
      <c r="M39" s="919"/>
      <c r="N39" s="914">
        <f t="shared" si="13"/>
        <v>0</v>
      </c>
      <c r="O39" s="919"/>
      <c r="P39" s="914">
        <f t="shared" si="4"/>
        <v>0</v>
      </c>
      <c r="Q39" s="919"/>
      <c r="R39" s="914">
        <f t="shared" si="5"/>
        <v>0</v>
      </c>
      <c r="S39" s="919"/>
      <c r="T39" s="914">
        <f t="shared" si="6"/>
        <v>0</v>
      </c>
      <c r="U39" s="915">
        <f t="shared" si="9"/>
        <v>0</v>
      </c>
      <c r="V39" s="914">
        <f t="shared" si="8"/>
        <v>0</v>
      </c>
    </row>
    <row r="40" spans="1:22" s="920" customFormat="1" ht="231.75" hidden="1" customHeight="1">
      <c r="A40" s="916">
        <v>2.2999999999999998</v>
      </c>
      <c r="B40" s="917" t="s">
        <v>1983</v>
      </c>
      <c r="C40" s="922">
        <f>ROUND(DATA!C165,2)</f>
        <v>759.93</v>
      </c>
      <c r="D40" s="898" t="s">
        <v>1192</v>
      </c>
      <c r="E40" s="919"/>
      <c r="F40" s="1053">
        <f t="shared" si="0"/>
        <v>0</v>
      </c>
      <c r="G40" s="919"/>
      <c r="H40" s="914">
        <f t="shared" si="10"/>
        <v>0</v>
      </c>
      <c r="I40" s="919"/>
      <c r="J40" s="914">
        <f t="shared" si="11"/>
        <v>0</v>
      </c>
      <c r="K40" s="914"/>
      <c r="L40" s="914">
        <f t="shared" si="12"/>
        <v>0</v>
      </c>
      <c r="M40" s="919"/>
      <c r="N40" s="914">
        <f t="shared" si="13"/>
        <v>0</v>
      </c>
      <c r="O40" s="919"/>
      <c r="P40" s="914">
        <f t="shared" si="4"/>
        <v>0</v>
      </c>
      <c r="Q40" s="919"/>
      <c r="R40" s="914">
        <f t="shared" si="5"/>
        <v>0</v>
      </c>
      <c r="S40" s="919"/>
      <c r="T40" s="914">
        <f t="shared" si="6"/>
        <v>0</v>
      </c>
      <c r="U40" s="915">
        <f t="shared" si="9"/>
        <v>0</v>
      </c>
      <c r="V40" s="914">
        <f t="shared" si="8"/>
        <v>0</v>
      </c>
    </row>
    <row r="41" spans="1:22" s="920" customFormat="1" ht="231.75" hidden="1" customHeight="1">
      <c r="A41" s="916">
        <v>2.4</v>
      </c>
      <c r="B41" s="917" t="s">
        <v>359</v>
      </c>
      <c r="C41" s="922">
        <f>ROUND(DATA!C166,2)</f>
        <v>840.93</v>
      </c>
      <c r="D41" s="898" t="s">
        <v>1192</v>
      </c>
      <c r="E41" s="919"/>
      <c r="F41" s="1053">
        <f t="shared" si="0"/>
        <v>0</v>
      </c>
      <c r="G41" s="919"/>
      <c r="H41" s="914">
        <f t="shared" si="10"/>
        <v>0</v>
      </c>
      <c r="I41" s="919"/>
      <c r="J41" s="914">
        <f t="shared" si="11"/>
        <v>0</v>
      </c>
      <c r="K41" s="914"/>
      <c r="L41" s="914">
        <f t="shared" si="12"/>
        <v>0</v>
      </c>
      <c r="M41" s="919"/>
      <c r="N41" s="914">
        <f t="shared" si="13"/>
        <v>0</v>
      </c>
      <c r="O41" s="919"/>
      <c r="P41" s="914">
        <f t="shared" si="4"/>
        <v>0</v>
      </c>
      <c r="Q41" s="919"/>
      <c r="R41" s="914">
        <f t="shared" si="5"/>
        <v>0</v>
      </c>
      <c r="S41" s="919"/>
      <c r="T41" s="914">
        <f t="shared" si="6"/>
        <v>0</v>
      </c>
      <c r="U41" s="915">
        <f t="shared" si="9"/>
        <v>0</v>
      </c>
      <c r="V41" s="914">
        <f t="shared" si="8"/>
        <v>0</v>
      </c>
    </row>
    <row r="42" spans="1:22" ht="231.75" hidden="1" customHeight="1">
      <c r="A42" s="905">
        <v>2.5</v>
      </c>
      <c r="B42" s="906" t="s">
        <v>363</v>
      </c>
      <c r="C42" s="921">
        <f>ROUND(DATA!K189,2)</f>
        <v>407.65</v>
      </c>
      <c r="D42" s="908" t="s">
        <v>1192</v>
      </c>
      <c r="E42" s="919"/>
      <c r="F42" s="1053">
        <f t="shared" si="0"/>
        <v>0</v>
      </c>
      <c r="G42" s="919"/>
      <c r="H42" s="914">
        <f t="shared" si="10"/>
        <v>0</v>
      </c>
      <c r="I42" s="919"/>
      <c r="J42" s="914">
        <f t="shared" si="11"/>
        <v>0</v>
      </c>
      <c r="K42" s="914"/>
      <c r="L42" s="914">
        <f t="shared" si="12"/>
        <v>0</v>
      </c>
      <c r="M42" s="919"/>
      <c r="N42" s="914">
        <f t="shared" si="13"/>
        <v>0</v>
      </c>
      <c r="O42" s="919"/>
      <c r="P42" s="914">
        <f t="shared" si="4"/>
        <v>0</v>
      </c>
      <c r="Q42" s="919"/>
      <c r="R42" s="914">
        <f t="shared" si="5"/>
        <v>0</v>
      </c>
      <c r="S42" s="919"/>
      <c r="T42" s="914">
        <f t="shared" si="6"/>
        <v>0</v>
      </c>
      <c r="U42" s="915">
        <f t="shared" si="9"/>
        <v>0</v>
      </c>
      <c r="V42" s="914">
        <f t="shared" si="8"/>
        <v>0</v>
      </c>
    </row>
    <row r="43" spans="1:22" ht="231.75" customHeight="1">
      <c r="A43" s="905">
        <v>2.6</v>
      </c>
      <c r="B43" s="906" t="s">
        <v>477</v>
      </c>
      <c r="C43" s="913">
        <f>ROUND(DATA!K171,2)</f>
        <v>1616.85</v>
      </c>
      <c r="D43" s="908" t="s">
        <v>1192</v>
      </c>
      <c r="E43" s="919"/>
      <c r="F43" s="1053">
        <f t="shared" si="0"/>
        <v>0</v>
      </c>
      <c r="G43" s="919"/>
      <c r="H43" s="914">
        <f t="shared" si="10"/>
        <v>0</v>
      </c>
      <c r="I43" s="919"/>
      <c r="J43" s="914">
        <f t="shared" si="11"/>
        <v>0</v>
      </c>
      <c r="K43" s="914"/>
      <c r="L43" s="914">
        <f t="shared" si="12"/>
        <v>0</v>
      </c>
      <c r="M43" s="919"/>
      <c r="N43" s="914">
        <f t="shared" si="13"/>
        <v>0</v>
      </c>
      <c r="O43" s="919"/>
      <c r="P43" s="914">
        <f t="shared" si="4"/>
        <v>0</v>
      </c>
      <c r="Q43" s="919"/>
      <c r="R43" s="914">
        <f t="shared" si="5"/>
        <v>0</v>
      </c>
      <c r="S43" s="919"/>
      <c r="T43" s="914">
        <f t="shared" si="6"/>
        <v>0</v>
      </c>
      <c r="U43" s="915">
        <f t="shared" si="9"/>
        <v>0</v>
      </c>
      <c r="V43" s="914">
        <f t="shared" si="8"/>
        <v>0</v>
      </c>
    </row>
    <row r="44" spans="1:22" ht="231.75" customHeight="1">
      <c r="A44" s="905">
        <v>2.7</v>
      </c>
      <c r="B44" s="906" t="s">
        <v>299</v>
      </c>
      <c r="C44" s="913">
        <f>ROUND(DATA!K179,2)</f>
        <v>2036.05</v>
      </c>
      <c r="D44" s="908" t="s">
        <v>1192</v>
      </c>
      <c r="E44" s="919"/>
      <c r="F44" s="1053">
        <f t="shared" si="0"/>
        <v>0</v>
      </c>
      <c r="G44" s="919"/>
      <c r="H44" s="914">
        <f t="shared" si="10"/>
        <v>0</v>
      </c>
      <c r="I44" s="919"/>
      <c r="J44" s="914">
        <f t="shared" si="11"/>
        <v>0</v>
      </c>
      <c r="K44" s="914"/>
      <c r="L44" s="914">
        <f t="shared" si="12"/>
        <v>0</v>
      </c>
      <c r="M44" s="919"/>
      <c r="N44" s="914">
        <f t="shared" si="13"/>
        <v>0</v>
      </c>
      <c r="O44" s="919"/>
      <c r="P44" s="914">
        <f t="shared" si="4"/>
        <v>0</v>
      </c>
      <c r="Q44" s="919"/>
      <c r="R44" s="914">
        <f t="shared" si="5"/>
        <v>0</v>
      </c>
      <c r="S44" s="919"/>
      <c r="T44" s="914">
        <f t="shared" si="6"/>
        <v>0</v>
      </c>
      <c r="U44" s="915">
        <f t="shared" si="9"/>
        <v>0</v>
      </c>
      <c r="V44" s="914">
        <f t="shared" si="8"/>
        <v>0</v>
      </c>
    </row>
    <row r="45" spans="1:22" s="923" customFormat="1" ht="231.75" customHeight="1">
      <c r="A45" s="905">
        <v>3.1</v>
      </c>
      <c r="B45" s="906" t="s">
        <v>1876</v>
      </c>
      <c r="C45" s="913">
        <f>ROUND(DATA!K204,2)</f>
        <v>5158.8100000000004</v>
      </c>
      <c r="D45" s="908" t="s">
        <v>1192</v>
      </c>
      <c r="E45" s="914"/>
      <c r="F45" s="1053">
        <f t="shared" si="0"/>
        <v>0</v>
      </c>
      <c r="G45" s="914"/>
      <c r="H45" s="914">
        <f t="shared" si="10"/>
        <v>0</v>
      </c>
      <c r="I45" s="914"/>
      <c r="J45" s="914">
        <f t="shared" si="11"/>
        <v>0</v>
      </c>
      <c r="K45" s="914">
        <v>2</v>
      </c>
      <c r="L45" s="914">
        <f t="shared" si="12"/>
        <v>10317.620000000001</v>
      </c>
      <c r="M45" s="914">
        <v>2.88</v>
      </c>
      <c r="N45" s="914">
        <f t="shared" si="13"/>
        <v>14857.37</v>
      </c>
      <c r="O45" s="914"/>
      <c r="P45" s="914">
        <f t="shared" si="4"/>
        <v>0</v>
      </c>
      <c r="Q45" s="914">
        <v>3.5</v>
      </c>
      <c r="R45" s="914">
        <f t="shared" si="5"/>
        <v>18055.84</v>
      </c>
      <c r="S45" s="914">
        <v>2.33</v>
      </c>
      <c r="T45" s="914">
        <f t="shared" si="6"/>
        <v>12020.03</v>
      </c>
      <c r="U45" s="915">
        <f t="shared" si="9"/>
        <v>10.71</v>
      </c>
      <c r="V45" s="914">
        <f t="shared" si="8"/>
        <v>55250.86</v>
      </c>
    </row>
    <row r="46" spans="1:22" ht="231.75" customHeight="1">
      <c r="A46" s="905">
        <v>3.2</v>
      </c>
      <c r="B46" s="906" t="s">
        <v>1925</v>
      </c>
      <c r="C46" s="913">
        <f>ROUND(DATA!K219,2)</f>
        <v>6710.27</v>
      </c>
      <c r="D46" s="908" t="s">
        <v>1192</v>
      </c>
      <c r="E46" s="914"/>
      <c r="F46" s="1053">
        <f t="shared" si="0"/>
        <v>0</v>
      </c>
      <c r="G46" s="914"/>
      <c r="H46" s="914">
        <f t="shared" si="10"/>
        <v>0</v>
      </c>
      <c r="I46" s="914"/>
      <c r="J46" s="914">
        <f t="shared" si="11"/>
        <v>0</v>
      </c>
      <c r="K46" s="914"/>
      <c r="L46" s="914">
        <f t="shared" si="12"/>
        <v>0</v>
      </c>
      <c r="M46" s="914">
        <v>0.73</v>
      </c>
      <c r="N46" s="914">
        <f t="shared" si="13"/>
        <v>4898.5</v>
      </c>
      <c r="O46" s="914"/>
      <c r="P46" s="914">
        <f t="shared" si="4"/>
        <v>0</v>
      </c>
      <c r="Q46" s="914"/>
      <c r="R46" s="914">
        <f t="shared" si="5"/>
        <v>0</v>
      </c>
      <c r="S46" s="914"/>
      <c r="T46" s="914">
        <f t="shared" si="6"/>
        <v>0</v>
      </c>
      <c r="U46" s="915">
        <f t="shared" si="9"/>
        <v>0.73</v>
      </c>
      <c r="V46" s="914">
        <f t="shared" si="8"/>
        <v>4898.5</v>
      </c>
    </row>
    <row r="47" spans="1:22" ht="231.75" customHeight="1">
      <c r="A47" s="905">
        <v>3.3</v>
      </c>
      <c r="B47" s="906" t="s">
        <v>1926</v>
      </c>
      <c r="C47" s="913">
        <f>ROUND(DATA!K234,2)</f>
        <v>4166.9399999999996</v>
      </c>
      <c r="D47" s="908" t="s">
        <v>1192</v>
      </c>
      <c r="E47" s="919"/>
      <c r="F47" s="1053">
        <f t="shared" si="0"/>
        <v>0</v>
      </c>
      <c r="G47" s="919"/>
      <c r="H47" s="914">
        <f t="shared" si="10"/>
        <v>0</v>
      </c>
      <c r="I47" s="919"/>
      <c r="J47" s="914">
        <f t="shared" si="11"/>
        <v>0</v>
      </c>
      <c r="K47" s="914"/>
      <c r="L47" s="914">
        <f t="shared" si="12"/>
        <v>0</v>
      </c>
      <c r="M47" s="919"/>
      <c r="N47" s="914">
        <f t="shared" si="13"/>
        <v>0</v>
      </c>
      <c r="O47" s="919"/>
      <c r="P47" s="914">
        <f t="shared" si="4"/>
        <v>0</v>
      </c>
      <c r="Q47" s="919"/>
      <c r="R47" s="914">
        <f t="shared" si="5"/>
        <v>0</v>
      </c>
      <c r="S47" s="919"/>
      <c r="T47" s="914">
        <f t="shared" si="6"/>
        <v>0</v>
      </c>
      <c r="U47" s="915">
        <f t="shared" si="9"/>
        <v>0</v>
      </c>
      <c r="V47" s="914">
        <f t="shared" si="8"/>
        <v>0</v>
      </c>
    </row>
    <row r="48" spans="1:22" ht="231.75" hidden="1" customHeight="1">
      <c r="A48" s="905">
        <v>3.4</v>
      </c>
      <c r="B48" s="906" t="s">
        <v>592</v>
      </c>
      <c r="C48" s="921"/>
      <c r="D48" s="908" t="s">
        <v>1834</v>
      </c>
      <c r="E48" s="919"/>
      <c r="F48" s="1053">
        <f t="shared" si="0"/>
        <v>0</v>
      </c>
      <c r="G48" s="919"/>
      <c r="H48" s="914">
        <f t="shared" si="10"/>
        <v>0</v>
      </c>
      <c r="I48" s="919"/>
      <c r="J48" s="914">
        <f t="shared" si="11"/>
        <v>0</v>
      </c>
      <c r="K48" s="914"/>
      <c r="L48" s="914">
        <f t="shared" si="12"/>
        <v>0</v>
      </c>
      <c r="M48" s="919"/>
      <c r="N48" s="914">
        <f t="shared" si="13"/>
        <v>0</v>
      </c>
      <c r="O48" s="919"/>
      <c r="P48" s="914">
        <f t="shared" si="4"/>
        <v>0</v>
      </c>
      <c r="Q48" s="919"/>
      <c r="R48" s="914">
        <f t="shared" si="5"/>
        <v>0</v>
      </c>
      <c r="S48" s="919"/>
      <c r="T48" s="914">
        <f t="shared" si="6"/>
        <v>0</v>
      </c>
      <c r="U48" s="915">
        <f t="shared" si="9"/>
        <v>0</v>
      </c>
      <c r="V48" s="914">
        <f t="shared" si="8"/>
        <v>0</v>
      </c>
    </row>
    <row r="49" spans="1:22" ht="231.75" hidden="1" customHeight="1">
      <c r="A49" s="905">
        <v>3.5</v>
      </c>
      <c r="B49" s="906" t="s">
        <v>593</v>
      </c>
      <c r="C49" s="921"/>
      <c r="D49" s="908" t="s">
        <v>1834</v>
      </c>
      <c r="E49" s="919"/>
      <c r="F49" s="1053">
        <f t="shared" si="0"/>
        <v>0</v>
      </c>
      <c r="G49" s="919"/>
      <c r="H49" s="914">
        <f t="shared" si="10"/>
        <v>0</v>
      </c>
      <c r="I49" s="919"/>
      <c r="J49" s="914">
        <f t="shared" si="11"/>
        <v>0</v>
      </c>
      <c r="K49" s="914"/>
      <c r="L49" s="914">
        <f t="shared" si="12"/>
        <v>0</v>
      </c>
      <c r="M49" s="919"/>
      <c r="N49" s="914">
        <f t="shared" si="13"/>
        <v>0</v>
      </c>
      <c r="O49" s="919"/>
      <c r="P49" s="914">
        <f t="shared" si="4"/>
        <v>0</v>
      </c>
      <c r="Q49" s="919"/>
      <c r="R49" s="914">
        <f t="shared" si="5"/>
        <v>0</v>
      </c>
      <c r="S49" s="919"/>
      <c r="T49" s="914">
        <f t="shared" si="6"/>
        <v>0</v>
      </c>
      <c r="U49" s="915">
        <f t="shared" si="9"/>
        <v>0</v>
      </c>
      <c r="V49" s="914">
        <f t="shared" si="8"/>
        <v>0</v>
      </c>
    </row>
    <row r="50" spans="1:22" ht="231.75" hidden="1" customHeight="1">
      <c r="A50" s="905">
        <v>3.6</v>
      </c>
      <c r="B50" s="906" t="s">
        <v>818</v>
      </c>
      <c r="C50" s="921">
        <f>ROUND(DATA!K249,2)</f>
        <v>222.02</v>
      </c>
      <c r="D50" s="908" t="s">
        <v>1834</v>
      </c>
      <c r="E50" s="919"/>
      <c r="F50" s="1053">
        <f t="shared" si="0"/>
        <v>0</v>
      </c>
      <c r="G50" s="919"/>
      <c r="H50" s="914">
        <f t="shared" si="10"/>
        <v>0</v>
      </c>
      <c r="I50" s="919"/>
      <c r="J50" s="914">
        <f t="shared" si="11"/>
        <v>0</v>
      </c>
      <c r="K50" s="914"/>
      <c r="L50" s="914">
        <f t="shared" si="12"/>
        <v>0</v>
      </c>
      <c r="M50" s="919"/>
      <c r="N50" s="914">
        <f t="shared" si="13"/>
        <v>0</v>
      </c>
      <c r="O50" s="919"/>
      <c r="P50" s="914">
        <f t="shared" si="4"/>
        <v>0</v>
      </c>
      <c r="Q50" s="919"/>
      <c r="R50" s="914">
        <f t="shared" si="5"/>
        <v>0</v>
      </c>
      <c r="S50" s="919"/>
      <c r="T50" s="914">
        <f t="shared" si="6"/>
        <v>0</v>
      </c>
      <c r="U50" s="915">
        <f t="shared" si="9"/>
        <v>0</v>
      </c>
      <c r="V50" s="914">
        <f t="shared" si="8"/>
        <v>0</v>
      </c>
    </row>
    <row r="51" spans="1:22" ht="231.75" hidden="1" customHeight="1">
      <c r="A51" s="905">
        <v>3.7</v>
      </c>
      <c r="B51" s="906" t="s">
        <v>1877</v>
      </c>
      <c r="C51" s="921">
        <f>ROUND(DATA!K261,2)</f>
        <v>151.96</v>
      </c>
      <c r="D51" s="908" t="s">
        <v>1834</v>
      </c>
      <c r="E51" s="919"/>
      <c r="F51" s="1053">
        <f t="shared" si="0"/>
        <v>0</v>
      </c>
      <c r="G51" s="919"/>
      <c r="H51" s="914">
        <f t="shared" si="10"/>
        <v>0</v>
      </c>
      <c r="I51" s="919"/>
      <c r="J51" s="914">
        <f t="shared" si="11"/>
        <v>0</v>
      </c>
      <c r="K51" s="914"/>
      <c r="L51" s="914">
        <f t="shared" si="12"/>
        <v>0</v>
      </c>
      <c r="M51" s="919"/>
      <c r="N51" s="914">
        <f t="shared" si="13"/>
        <v>0</v>
      </c>
      <c r="O51" s="919"/>
      <c r="P51" s="914">
        <f t="shared" si="4"/>
        <v>0</v>
      </c>
      <c r="Q51" s="919"/>
      <c r="R51" s="914">
        <f t="shared" si="5"/>
        <v>0</v>
      </c>
      <c r="S51" s="919"/>
      <c r="T51" s="914">
        <f t="shared" si="6"/>
        <v>0</v>
      </c>
      <c r="U51" s="915">
        <f t="shared" si="9"/>
        <v>0</v>
      </c>
      <c r="V51" s="914">
        <f t="shared" si="8"/>
        <v>0</v>
      </c>
    </row>
    <row r="52" spans="1:22" ht="231.75" hidden="1" customHeight="1">
      <c r="A52" s="905">
        <v>4.0999999999999996</v>
      </c>
      <c r="B52" s="924" t="s">
        <v>6595</v>
      </c>
      <c r="C52" s="913">
        <f>ROUND(DATA!K285,2)</f>
        <v>8265.2000000000007</v>
      </c>
      <c r="D52" s="908" t="s">
        <v>1192</v>
      </c>
      <c r="E52" s="919"/>
      <c r="F52" s="1053">
        <f t="shared" si="0"/>
        <v>0</v>
      </c>
      <c r="G52" s="919"/>
      <c r="H52" s="914">
        <f t="shared" si="10"/>
        <v>0</v>
      </c>
      <c r="I52" s="919"/>
      <c r="J52" s="914">
        <f t="shared" si="11"/>
        <v>0</v>
      </c>
      <c r="K52" s="914"/>
      <c r="L52" s="914">
        <f t="shared" si="12"/>
        <v>0</v>
      </c>
      <c r="M52" s="919"/>
      <c r="N52" s="914">
        <f t="shared" si="13"/>
        <v>0</v>
      </c>
      <c r="O52" s="919"/>
      <c r="P52" s="914">
        <f t="shared" si="4"/>
        <v>0</v>
      </c>
      <c r="Q52" s="919"/>
      <c r="R52" s="914">
        <f t="shared" si="5"/>
        <v>0</v>
      </c>
      <c r="S52" s="919"/>
      <c r="T52" s="914">
        <f t="shared" si="6"/>
        <v>0</v>
      </c>
      <c r="U52" s="915">
        <f t="shared" si="9"/>
        <v>0</v>
      </c>
      <c r="V52" s="914">
        <f t="shared" si="8"/>
        <v>0</v>
      </c>
    </row>
    <row r="53" spans="1:22" ht="231.75" hidden="1" customHeight="1">
      <c r="A53" s="905">
        <v>4.2</v>
      </c>
      <c r="B53" s="924" t="s">
        <v>6596</v>
      </c>
      <c r="C53" s="913">
        <f>DATA!K821</f>
        <v>8915.7099999999991</v>
      </c>
      <c r="D53" s="908" t="s">
        <v>1192</v>
      </c>
      <c r="E53" s="919"/>
      <c r="F53" s="1053">
        <f t="shared" si="0"/>
        <v>0</v>
      </c>
      <c r="G53" s="919"/>
      <c r="H53" s="914">
        <f t="shared" si="10"/>
        <v>0</v>
      </c>
      <c r="I53" s="919"/>
      <c r="J53" s="914">
        <f t="shared" si="11"/>
        <v>0</v>
      </c>
      <c r="K53" s="914"/>
      <c r="L53" s="914">
        <f t="shared" si="12"/>
        <v>0</v>
      </c>
      <c r="M53" s="919"/>
      <c r="N53" s="914">
        <f t="shared" si="13"/>
        <v>0</v>
      </c>
      <c r="O53" s="919"/>
      <c r="P53" s="914">
        <f t="shared" si="4"/>
        <v>0</v>
      </c>
      <c r="Q53" s="919"/>
      <c r="R53" s="914">
        <f t="shared" si="5"/>
        <v>0</v>
      </c>
      <c r="S53" s="919"/>
      <c r="T53" s="914">
        <f t="shared" si="6"/>
        <v>0</v>
      </c>
      <c r="U53" s="915">
        <f t="shared" si="9"/>
        <v>0</v>
      </c>
      <c r="V53" s="914">
        <f t="shared" si="8"/>
        <v>0</v>
      </c>
    </row>
    <row r="54" spans="1:22" s="920" customFormat="1" ht="231.75" hidden="1" customHeight="1">
      <c r="A54" s="916">
        <v>5</v>
      </c>
      <c r="B54" s="917" t="s">
        <v>885</v>
      </c>
      <c r="C54" s="918">
        <f>ROUND(DATA!K306,2)</f>
        <v>5699.76</v>
      </c>
      <c r="D54" s="898" t="s">
        <v>1192</v>
      </c>
      <c r="E54" s="919"/>
      <c r="F54" s="1053">
        <f t="shared" si="0"/>
        <v>0</v>
      </c>
      <c r="G54" s="919"/>
      <c r="H54" s="914">
        <f t="shared" si="10"/>
        <v>0</v>
      </c>
      <c r="I54" s="919"/>
      <c r="J54" s="914">
        <f t="shared" si="11"/>
        <v>0</v>
      </c>
      <c r="K54" s="914"/>
      <c r="L54" s="914">
        <f t="shared" si="12"/>
        <v>0</v>
      </c>
      <c r="M54" s="919"/>
      <c r="N54" s="914">
        <f t="shared" si="13"/>
        <v>0</v>
      </c>
      <c r="O54" s="919"/>
      <c r="P54" s="914">
        <f t="shared" si="4"/>
        <v>0</v>
      </c>
      <c r="Q54" s="919"/>
      <c r="R54" s="914">
        <f t="shared" si="5"/>
        <v>0</v>
      </c>
      <c r="S54" s="919"/>
      <c r="T54" s="914">
        <f t="shared" si="6"/>
        <v>0</v>
      </c>
      <c r="U54" s="915">
        <f t="shared" si="9"/>
        <v>0</v>
      </c>
      <c r="V54" s="914">
        <f t="shared" si="8"/>
        <v>0</v>
      </c>
    </row>
    <row r="55" spans="1:22" ht="231.75" hidden="1" customHeight="1">
      <c r="A55" s="905">
        <v>6.1</v>
      </c>
      <c r="B55" s="924" t="s">
        <v>6597</v>
      </c>
      <c r="C55" s="921">
        <f>DATA!X321</f>
        <v>7058.47</v>
      </c>
      <c r="D55" s="908" t="s">
        <v>1192</v>
      </c>
      <c r="E55" s="919"/>
      <c r="F55" s="1053">
        <f t="shared" si="0"/>
        <v>0</v>
      </c>
      <c r="G55" s="919"/>
      <c r="H55" s="914">
        <f t="shared" si="10"/>
        <v>0</v>
      </c>
      <c r="I55" s="919"/>
      <c r="J55" s="914">
        <f t="shared" si="11"/>
        <v>0</v>
      </c>
      <c r="K55" s="914"/>
      <c r="L55" s="914">
        <f t="shared" si="12"/>
        <v>0</v>
      </c>
      <c r="M55" s="919"/>
      <c r="N55" s="914">
        <f t="shared" si="13"/>
        <v>0</v>
      </c>
      <c r="O55" s="919"/>
      <c r="P55" s="914">
        <f t="shared" si="4"/>
        <v>0</v>
      </c>
      <c r="Q55" s="919"/>
      <c r="R55" s="914">
        <f t="shared" si="5"/>
        <v>0</v>
      </c>
      <c r="S55" s="919"/>
      <c r="T55" s="914">
        <f t="shared" si="6"/>
        <v>0</v>
      </c>
      <c r="U55" s="915">
        <f t="shared" si="9"/>
        <v>0</v>
      </c>
      <c r="V55" s="914">
        <f t="shared" si="8"/>
        <v>0</v>
      </c>
    </row>
    <row r="56" spans="1:22" ht="231.75" hidden="1" customHeight="1">
      <c r="A56" s="905">
        <v>6.2</v>
      </c>
      <c r="B56" s="924" t="s">
        <v>6598</v>
      </c>
      <c r="C56" s="913">
        <f>ROUND(DATA!AG321,2)</f>
        <v>6707.66</v>
      </c>
      <c r="D56" s="908" t="s">
        <v>1192</v>
      </c>
      <c r="E56" s="914"/>
      <c r="F56" s="1053">
        <f t="shared" si="0"/>
        <v>0</v>
      </c>
      <c r="G56" s="914"/>
      <c r="H56" s="914">
        <f t="shared" si="10"/>
        <v>0</v>
      </c>
      <c r="I56" s="914"/>
      <c r="J56" s="914">
        <f t="shared" si="11"/>
        <v>0</v>
      </c>
      <c r="K56" s="914"/>
      <c r="L56" s="914">
        <f t="shared" si="12"/>
        <v>0</v>
      </c>
      <c r="M56" s="914"/>
      <c r="N56" s="914">
        <f t="shared" si="13"/>
        <v>0</v>
      </c>
      <c r="O56" s="914"/>
      <c r="P56" s="914">
        <f t="shared" si="4"/>
        <v>0</v>
      </c>
      <c r="Q56" s="914"/>
      <c r="R56" s="914">
        <f t="shared" si="5"/>
        <v>0</v>
      </c>
      <c r="S56" s="914"/>
      <c r="T56" s="914">
        <f t="shared" si="6"/>
        <v>0</v>
      </c>
      <c r="U56" s="915">
        <f t="shared" si="9"/>
        <v>0</v>
      </c>
      <c r="V56" s="914">
        <f t="shared" si="8"/>
        <v>0</v>
      </c>
    </row>
    <row r="57" spans="1:22" ht="231.75" hidden="1" customHeight="1">
      <c r="A57" s="905">
        <v>6.3</v>
      </c>
      <c r="B57" s="924" t="s">
        <v>6599</v>
      </c>
      <c r="C57" s="921"/>
      <c r="D57" s="908" t="s">
        <v>1192</v>
      </c>
      <c r="E57" s="919"/>
      <c r="F57" s="1053">
        <f t="shared" si="0"/>
        <v>0</v>
      </c>
      <c r="G57" s="919"/>
      <c r="H57" s="914">
        <f t="shared" si="10"/>
        <v>0</v>
      </c>
      <c r="I57" s="919"/>
      <c r="J57" s="914">
        <f t="shared" si="11"/>
        <v>0</v>
      </c>
      <c r="K57" s="914"/>
      <c r="L57" s="914">
        <f t="shared" si="12"/>
        <v>0</v>
      </c>
      <c r="M57" s="919"/>
      <c r="N57" s="914">
        <f t="shared" si="13"/>
        <v>0</v>
      </c>
      <c r="O57" s="919"/>
      <c r="P57" s="914">
        <f t="shared" si="4"/>
        <v>0</v>
      </c>
      <c r="Q57" s="919"/>
      <c r="R57" s="914">
        <f t="shared" si="5"/>
        <v>0</v>
      </c>
      <c r="S57" s="919"/>
      <c r="T57" s="914">
        <f t="shared" si="6"/>
        <v>0</v>
      </c>
      <c r="U57" s="915">
        <f t="shared" si="9"/>
        <v>0</v>
      </c>
      <c r="V57" s="914">
        <f t="shared" si="8"/>
        <v>0</v>
      </c>
    </row>
    <row r="58" spans="1:22" ht="231.75" hidden="1" customHeight="1">
      <c r="A58" s="905">
        <v>6.4</v>
      </c>
      <c r="B58" s="924" t="s">
        <v>6600</v>
      </c>
      <c r="C58" s="921"/>
      <c r="D58" s="908" t="s">
        <v>1192</v>
      </c>
      <c r="E58" s="919"/>
      <c r="F58" s="1053">
        <f t="shared" si="0"/>
        <v>0</v>
      </c>
      <c r="G58" s="919"/>
      <c r="H58" s="914">
        <f t="shared" si="10"/>
        <v>0</v>
      </c>
      <c r="I58" s="919"/>
      <c r="J58" s="914">
        <f t="shared" si="11"/>
        <v>0</v>
      </c>
      <c r="K58" s="914"/>
      <c r="L58" s="914">
        <f t="shared" si="12"/>
        <v>0</v>
      </c>
      <c r="M58" s="919"/>
      <c r="N58" s="914">
        <f t="shared" si="13"/>
        <v>0</v>
      </c>
      <c r="O58" s="919"/>
      <c r="P58" s="914">
        <f t="shared" si="4"/>
        <v>0</v>
      </c>
      <c r="Q58" s="919"/>
      <c r="R58" s="914">
        <f t="shared" si="5"/>
        <v>0</v>
      </c>
      <c r="S58" s="919"/>
      <c r="T58" s="914">
        <f t="shared" si="6"/>
        <v>0</v>
      </c>
      <c r="U58" s="915">
        <f t="shared" si="9"/>
        <v>0</v>
      </c>
      <c r="V58" s="914">
        <f t="shared" si="8"/>
        <v>0</v>
      </c>
    </row>
    <row r="59" spans="1:22" s="920" customFormat="1" ht="231.75" hidden="1" customHeight="1">
      <c r="A59" s="916">
        <v>6.5</v>
      </c>
      <c r="B59" s="925" t="s">
        <v>6601</v>
      </c>
      <c r="C59" s="918">
        <f>DATA!K321</f>
        <v>6607.51</v>
      </c>
      <c r="D59" s="898" t="s">
        <v>1192</v>
      </c>
      <c r="E59" s="919"/>
      <c r="F59" s="1053">
        <f t="shared" si="0"/>
        <v>0</v>
      </c>
      <c r="G59" s="919"/>
      <c r="H59" s="914">
        <f t="shared" si="10"/>
        <v>0</v>
      </c>
      <c r="I59" s="919"/>
      <c r="J59" s="914">
        <f t="shared" si="11"/>
        <v>0</v>
      </c>
      <c r="K59" s="914"/>
      <c r="L59" s="914">
        <f t="shared" si="12"/>
        <v>0</v>
      </c>
      <c r="M59" s="919"/>
      <c r="N59" s="914">
        <f t="shared" si="13"/>
        <v>0</v>
      </c>
      <c r="O59" s="919"/>
      <c r="P59" s="914">
        <f t="shared" si="4"/>
        <v>0</v>
      </c>
      <c r="Q59" s="919"/>
      <c r="R59" s="914">
        <f t="shared" si="5"/>
        <v>0</v>
      </c>
      <c r="S59" s="919"/>
      <c r="T59" s="914">
        <f t="shared" si="6"/>
        <v>0</v>
      </c>
      <c r="U59" s="915">
        <f t="shared" si="9"/>
        <v>0</v>
      </c>
      <c r="V59" s="914">
        <f t="shared" si="8"/>
        <v>0</v>
      </c>
    </row>
    <row r="60" spans="1:22" ht="231.75" hidden="1" customHeight="1">
      <c r="A60" s="905">
        <v>6.6</v>
      </c>
      <c r="B60" s="924" t="s">
        <v>6602</v>
      </c>
      <c r="C60" s="921"/>
      <c r="D60" s="908" t="s">
        <v>1192</v>
      </c>
      <c r="E60" s="919"/>
      <c r="F60" s="1053">
        <f t="shared" si="0"/>
        <v>0</v>
      </c>
      <c r="G60" s="919"/>
      <c r="H60" s="914">
        <f t="shared" si="10"/>
        <v>0</v>
      </c>
      <c r="I60" s="919"/>
      <c r="J60" s="914">
        <f t="shared" si="11"/>
        <v>0</v>
      </c>
      <c r="K60" s="914"/>
      <c r="L60" s="914">
        <f t="shared" si="12"/>
        <v>0</v>
      </c>
      <c r="M60" s="919"/>
      <c r="N60" s="914">
        <f t="shared" si="13"/>
        <v>0</v>
      </c>
      <c r="O60" s="919"/>
      <c r="P60" s="914">
        <f t="shared" si="4"/>
        <v>0</v>
      </c>
      <c r="Q60" s="919"/>
      <c r="R60" s="914">
        <f t="shared" si="5"/>
        <v>0</v>
      </c>
      <c r="S60" s="919"/>
      <c r="T60" s="914">
        <f t="shared" si="6"/>
        <v>0</v>
      </c>
      <c r="U60" s="915">
        <f t="shared" si="9"/>
        <v>0</v>
      </c>
      <c r="V60" s="914">
        <f t="shared" si="8"/>
        <v>0</v>
      </c>
    </row>
    <row r="61" spans="1:22" ht="231.75" hidden="1" customHeight="1">
      <c r="A61" s="905">
        <v>7.1</v>
      </c>
      <c r="B61" s="924" t="s">
        <v>6603</v>
      </c>
      <c r="C61" s="921"/>
      <c r="D61" s="908" t="s">
        <v>1834</v>
      </c>
      <c r="E61" s="919"/>
      <c r="F61" s="1053">
        <f t="shared" si="0"/>
        <v>0</v>
      </c>
      <c r="G61" s="919"/>
      <c r="H61" s="914">
        <f t="shared" si="10"/>
        <v>0</v>
      </c>
      <c r="I61" s="919"/>
      <c r="J61" s="914">
        <f t="shared" si="11"/>
        <v>0</v>
      </c>
      <c r="K61" s="914"/>
      <c r="L61" s="914">
        <f t="shared" si="12"/>
        <v>0</v>
      </c>
      <c r="M61" s="919"/>
      <c r="N61" s="914">
        <f t="shared" si="13"/>
        <v>0</v>
      </c>
      <c r="O61" s="919"/>
      <c r="P61" s="914">
        <f t="shared" si="4"/>
        <v>0</v>
      </c>
      <c r="Q61" s="919"/>
      <c r="R61" s="914">
        <f t="shared" si="5"/>
        <v>0</v>
      </c>
      <c r="S61" s="919"/>
      <c r="T61" s="914">
        <f t="shared" si="6"/>
        <v>0</v>
      </c>
      <c r="U61" s="915">
        <f t="shared" si="9"/>
        <v>0</v>
      </c>
      <c r="V61" s="914">
        <f t="shared" si="8"/>
        <v>0</v>
      </c>
    </row>
    <row r="62" spans="1:22" ht="231.75" hidden="1" customHeight="1">
      <c r="A62" s="905">
        <v>7.2</v>
      </c>
      <c r="B62" s="906" t="s">
        <v>6604</v>
      </c>
      <c r="C62" s="913">
        <f>ROUND(DATA!K329,2)</f>
        <v>719</v>
      </c>
      <c r="D62" s="908" t="s">
        <v>1834</v>
      </c>
      <c r="E62" s="914"/>
      <c r="F62" s="1053">
        <f t="shared" si="0"/>
        <v>0</v>
      </c>
      <c r="G62" s="914"/>
      <c r="H62" s="914">
        <f t="shared" si="10"/>
        <v>0</v>
      </c>
      <c r="I62" s="914"/>
      <c r="J62" s="914">
        <f t="shared" si="11"/>
        <v>0</v>
      </c>
      <c r="K62" s="914"/>
      <c r="L62" s="914">
        <f t="shared" si="12"/>
        <v>0</v>
      </c>
      <c r="M62" s="914"/>
      <c r="N62" s="914">
        <f t="shared" si="13"/>
        <v>0</v>
      </c>
      <c r="O62" s="914"/>
      <c r="P62" s="914">
        <f t="shared" si="4"/>
        <v>0</v>
      </c>
      <c r="Q62" s="914"/>
      <c r="R62" s="914">
        <f t="shared" si="5"/>
        <v>0</v>
      </c>
      <c r="S62" s="914"/>
      <c r="T62" s="914">
        <f t="shared" si="6"/>
        <v>0</v>
      </c>
      <c r="U62" s="915">
        <f t="shared" si="9"/>
        <v>0</v>
      </c>
      <c r="V62" s="914">
        <f t="shared" si="8"/>
        <v>0</v>
      </c>
    </row>
    <row r="63" spans="1:22" ht="231.75" hidden="1" customHeight="1">
      <c r="A63" s="905">
        <v>7.3</v>
      </c>
      <c r="B63" s="924" t="s">
        <v>6605</v>
      </c>
      <c r="C63" s="921">
        <f>ROUND(DATA!K497,2)</f>
        <v>317.31</v>
      </c>
      <c r="D63" s="908" t="s">
        <v>1834</v>
      </c>
      <c r="E63" s="919"/>
      <c r="F63" s="1053">
        <f t="shared" si="0"/>
        <v>0</v>
      </c>
      <c r="G63" s="919"/>
      <c r="H63" s="914">
        <f t="shared" si="10"/>
        <v>0</v>
      </c>
      <c r="I63" s="919"/>
      <c r="J63" s="914">
        <f t="shared" si="11"/>
        <v>0</v>
      </c>
      <c r="K63" s="914"/>
      <c r="L63" s="914">
        <f t="shared" si="12"/>
        <v>0</v>
      </c>
      <c r="M63" s="919"/>
      <c r="N63" s="914">
        <f t="shared" si="13"/>
        <v>0</v>
      </c>
      <c r="O63" s="919"/>
      <c r="P63" s="914">
        <f t="shared" si="4"/>
        <v>0</v>
      </c>
      <c r="Q63" s="919"/>
      <c r="R63" s="914">
        <f t="shared" si="5"/>
        <v>0</v>
      </c>
      <c r="S63" s="919"/>
      <c r="T63" s="914">
        <f t="shared" si="6"/>
        <v>0</v>
      </c>
      <c r="U63" s="915">
        <f t="shared" si="9"/>
        <v>0</v>
      </c>
      <c r="V63" s="914">
        <f t="shared" si="8"/>
        <v>0</v>
      </c>
    </row>
    <row r="64" spans="1:22" s="923" customFormat="1" ht="231.75" hidden="1" customHeight="1">
      <c r="A64" s="905">
        <v>8.1</v>
      </c>
      <c r="B64" s="924" t="s">
        <v>594</v>
      </c>
      <c r="C64" s="913"/>
      <c r="D64" s="908"/>
      <c r="E64" s="919"/>
      <c r="F64" s="1053">
        <f t="shared" si="0"/>
        <v>0</v>
      </c>
      <c r="G64" s="919"/>
      <c r="H64" s="914">
        <f t="shared" si="10"/>
        <v>0</v>
      </c>
      <c r="I64" s="919"/>
      <c r="J64" s="914">
        <f t="shared" si="11"/>
        <v>0</v>
      </c>
      <c r="K64" s="914"/>
      <c r="L64" s="914">
        <f t="shared" si="12"/>
        <v>0</v>
      </c>
      <c r="M64" s="919"/>
      <c r="N64" s="914">
        <f t="shared" si="13"/>
        <v>0</v>
      </c>
      <c r="O64" s="919"/>
      <c r="P64" s="914">
        <f t="shared" si="4"/>
        <v>0</v>
      </c>
      <c r="Q64" s="919"/>
      <c r="R64" s="914">
        <f t="shared" si="5"/>
        <v>0</v>
      </c>
      <c r="S64" s="919"/>
      <c r="T64" s="914">
        <f t="shared" si="6"/>
        <v>0</v>
      </c>
      <c r="U64" s="915">
        <f t="shared" si="9"/>
        <v>0</v>
      </c>
      <c r="V64" s="914">
        <f t="shared" si="8"/>
        <v>0</v>
      </c>
    </row>
    <row r="65" spans="1:22" s="923" customFormat="1" ht="231.75" hidden="1" customHeight="1">
      <c r="A65" s="905"/>
      <c r="B65" s="906" t="s">
        <v>1247</v>
      </c>
      <c r="C65" s="913">
        <f>ROUND(DATA!K287,2)</f>
        <v>8385.0499999999993</v>
      </c>
      <c r="D65" s="908" t="s">
        <v>1192</v>
      </c>
      <c r="E65" s="919"/>
      <c r="F65" s="1053">
        <f t="shared" si="0"/>
        <v>0</v>
      </c>
      <c r="G65" s="919"/>
      <c r="H65" s="914">
        <f t="shared" si="10"/>
        <v>0</v>
      </c>
      <c r="I65" s="919"/>
      <c r="J65" s="914">
        <f t="shared" si="11"/>
        <v>0</v>
      </c>
      <c r="K65" s="914"/>
      <c r="L65" s="914">
        <f t="shared" si="12"/>
        <v>0</v>
      </c>
      <c r="M65" s="919"/>
      <c r="N65" s="914">
        <f t="shared" si="13"/>
        <v>0</v>
      </c>
      <c r="O65" s="919"/>
      <c r="P65" s="914">
        <f t="shared" si="4"/>
        <v>0</v>
      </c>
      <c r="Q65" s="919"/>
      <c r="R65" s="914">
        <f t="shared" si="5"/>
        <v>0</v>
      </c>
      <c r="S65" s="919"/>
      <c r="T65" s="914">
        <f t="shared" si="6"/>
        <v>0</v>
      </c>
      <c r="U65" s="915">
        <f t="shared" si="9"/>
        <v>0</v>
      </c>
      <c r="V65" s="914">
        <f t="shared" si="8"/>
        <v>0</v>
      </c>
    </row>
    <row r="66" spans="1:22" s="923" customFormat="1" ht="231.75" hidden="1" customHeight="1">
      <c r="A66" s="905"/>
      <c r="B66" s="906" t="s">
        <v>1381</v>
      </c>
      <c r="C66" s="913">
        <f>ROUND(DATA!K288,2)</f>
        <v>8621.15</v>
      </c>
      <c r="D66" s="908" t="s">
        <v>1192</v>
      </c>
      <c r="E66" s="919"/>
      <c r="F66" s="1053">
        <f t="shared" si="0"/>
        <v>0</v>
      </c>
      <c r="G66" s="919"/>
      <c r="H66" s="914">
        <f t="shared" si="10"/>
        <v>0</v>
      </c>
      <c r="I66" s="919"/>
      <c r="J66" s="914">
        <f t="shared" si="11"/>
        <v>0</v>
      </c>
      <c r="K66" s="914"/>
      <c r="L66" s="914">
        <f t="shared" si="12"/>
        <v>0</v>
      </c>
      <c r="M66" s="919"/>
      <c r="N66" s="914">
        <f t="shared" si="13"/>
        <v>0</v>
      </c>
      <c r="O66" s="919"/>
      <c r="P66" s="914">
        <f t="shared" si="4"/>
        <v>0</v>
      </c>
      <c r="Q66" s="919"/>
      <c r="R66" s="914">
        <f t="shared" si="5"/>
        <v>0</v>
      </c>
      <c r="S66" s="919"/>
      <c r="T66" s="914">
        <f t="shared" si="6"/>
        <v>0</v>
      </c>
      <c r="U66" s="915">
        <f t="shared" si="9"/>
        <v>0</v>
      </c>
      <c r="V66" s="914">
        <f t="shared" si="8"/>
        <v>0</v>
      </c>
    </row>
    <row r="67" spans="1:22" s="923" customFormat="1" ht="231.75" hidden="1" customHeight="1">
      <c r="A67" s="905"/>
      <c r="B67" s="906" t="s">
        <v>1429</v>
      </c>
      <c r="C67" s="913">
        <f>ROUND(DATA!K289,2)</f>
        <v>8857.25</v>
      </c>
      <c r="D67" s="908" t="s">
        <v>1192</v>
      </c>
      <c r="E67" s="919"/>
      <c r="F67" s="1053">
        <f t="shared" si="0"/>
        <v>0</v>
      </c>
      <c r="G67" s="919"/>
      <c r="H67" s="914">
        <f t="shared" si="10"/>
        <v>0</v>
      </c>
      <c r="I67" s="919"/>
      <c r="J67" s="914">
        <f t="shared" si="11"/>
        <v>0</v>
      </c>
      <c r="K67" s="914"/>
      <c r="L67" s="914">
        <f t="shared" si="12"/>
        <v>0</v>
      </c>
      <c r="M67" s="919"/>
      <c r="N67" s="914">
        <f t="shared" si="13"/>
        <v>0</v>
      </c>
      <c r="O67" s="919"/>
      <c r="P67" s="914">
        <f t="shared" si="4"/>
        <v>0</v>
      </c>
      <c r="Q67" s="919"/>
      <c r="R67" s="914">
        <f t="shared" si="5"/>
        <v>0</v>
      </c>
      <c r="S67" s="919"/>
      <c r="T67" s="914">
        <f t="shared" si="6"/>
        <v>0</v>
      </c>
      <c r="U67" s="915">
        <f t="shared" si="9"/>
        <v>0</v>
      </c>
      <c r="V67" s="914">
        <f t="shared" si="8"/>
        <v>0</v>
      </c>
    </row>
    <row r="68" spans="1:22" s="923" customFormat="1" ht="231.75" hidden="1" customHeight="1">
      <c r="A68" s="905"/>
      <c r="B68" s="906" t="s">
        <v>1319</v>
      </c>
      <c r="C68" s="913">
        <f>ROUND(DATA!K290,2)</f>
        <v>9093.35</v>
      </c>
      <c r="D68" s="908" t="s">
        <v>1192</v>
      </c>
      <c r="E68" s="919"/>
      <c r="F68" s="1053">
        <f t="shared" si="0"/>
        <v>0</v>
      </c>
      <c r="G68" s="919"/>
      <c r="H68" s="914">
        <f t="shared" si="10"/>
        <v>0</v>
      </c>
      <c r="I68" s="919"/>
      <c r="J68" s="914">
        <f t="shared" si="11"/>
        <v>0</v>
      </c>
      <c r="K68" s="914"/>
      <c r="L68" s="914">
        <f t="shared" si="12"/>
        <v>0</v>
      </c>
      <c r="M68" s="919"/>
      <c r="N68" s="914">
        <f t="shared" si="13"/>
        <v>0</v>
      </c>
      <c r="O68" s="919"/>
      <c r="P68" s="914">
        <f t="shared" si="4"/>
        <v>0</v>
      </c>
      <c r="Q68" s="919"/>
      <c r="R68" s="914">
        <f t="shared" si="5"/>
        <v>0</v>
      </c>
      <c r="S68" s="919"/>
      <c r="T68" s="914">
        <f t="shared" si="6"/>
        <v>0</v>
      </c>
      <c r="U68" s="915">
        <f t="shared" si="9"/>
        <v>0</v>
      </c>
      <c r="V68" s="914">
        <f t="shared" si="8"/>
        <v>0</v>
      </c>
    </row>
    <row r="69" spans="1:22" s="923" customFormat="1" ht="231.75" hidden="1" customHeight="1">
      <c r="A69" s="926"/>
      <c r="B69" s="906" t="s">
        <v>1074</v>
      </c>
      <c r="C69" s="913">
        <f>ROUND(DATA!K291,2)</f>
        <v>9329.4500000000007</v>
      </c>
      <c r="D69" s="908" t="s">
        <v>1192</v>
      </c>
      <c r="E69" s="919"/>
      <c r="F69" s="1053">
        <f t="shared" si="0"/>
        <v>0</v>
      </c>
      <c r="G69" s="919"/>
      <c r="H69" s="914">
        <f t="shared" si="10"/>
        <v>0</v>
      </c>
      <c r="I69" s="919"/>
      <c r="J69" s="914">
        <f t="shared" si="11"/>
        <v>0</v>
      </c>
      <c r="K69" s="914"/>
      <c r="L69" s="914">
        <f t="shared" si="12"/>
        <v>0</v>
      </c>
      <c r="M69" s="919"/>
      <c r="N69" s="914">
        <f t="shared" si="13"/>
        <v>0</v>
      </c>
      <c r="O69" s="919"/>
      <c r="P69" s="914">
        <f t="shared" si="4"/>
        <v>0</v>
      </c>
      <c r="Q69" s="919"/>
      <c r="R69" s="914">
        <f t="shared" si="5"/>
        <v>0</v>
      </c>
      <c r="S69" s="919"/>
      <c r="T69" s="914">
        <f t="shared" si="6"/>
        <v>0</v>
      </c>
      <c r="U69" s="915">
        <f t="shared" si="9"/>
        <v>0</v>
      </c>
      <c r="V69" s="914">
        <f t="shared" si="8"/>
        <v>0</v>
      </c>
    </row>
    <row r="70" spans="1:22" ht="231.75" hidden="1" customHeight="1">
      <c r="A70" s="905">
        <v>8.1999999999999993</v>
      </c>
      <c r="B70" s="924" t="s">
        <v>1075</v>
      </c>
      <c r="C70" s="921"/>
      <c r="D70" s="908"/>
      <c r="E70" s="919"/>
      <c r="F70" s="1053">
        <f t="shared" ref="F70:F133" si="14">E70*C70</f>
        <v>0</v>
      </c>
      <c r="G70" s="919"/>
      <c r="H70" s="914">
        <f t="shared" si="10"/>
        <v>0</v>
      </c>
      <c r="I70" s="919"/>
      <c r="J70" s="914">
        <f t="shared" si="11"/>
        <v>0</v>
      </c>
      <c r="K70" s="914"/>
      <c r="L70" s="914">
        <f t="shared" si="12"/>
        <v>0</v>
      </c>
      <c r="M70" s="919"/>
      <c r="N70" s="914">
        <f t="shared" si="13"/>
        <v>0</v>
      </c>
      <c r="O70" s="919"/>
      <c r="P70" s="914">
        <f t="shared" ref="P70:P133" si="15">O70*C70</f>
        <v>0</v>
      </c>
      <c r="Q70" s="919"/>
      <c r="R70" s="914">
        <f t="shared" ref="R70:R133" si="16">Q70*C70</f>
        <v>0</v>
      </c>
      <c r="S70" s="919"/>
      <c r="T70" s="914">
        <f t="shared" ref="T70:T133" si="17">S70*C70</f>
        <v>0</v>
      </c>
      <c r="U70" s="915">
        <f t="shared" si="9"/>
        <v>0</v>
      </c>
      <c r="V70" s="914">
        <f t="shared" ref="V70:V133" si="18">U70*C70</f>
        <v>0</v>
      </c>
    </row>
    <row r="71" spans="1:22" ht="231.75" hidden="1" customHeight="1">
      <c r="A71" s="927"/>
      <c r="B71" s="906" t="s">
        <v>1247</v>
      </c>
      <c r="C71" s="921">
        <f>ROUND(DATA!K823,2)</f>
        <v>9035.56</v>
      </c>
      <c r="D71" s="908" t="s">
        <v>1192</v>
      </c>
      <c r="E71" s="919"/>
      <c r="F71" s="1053">
        <f t="shared" si="14"/>
        <v>0</v>
      </c>
      <c r="G71" s="919"/>
      <c r="H71" s="914">
        <f t="shared" si="10"/>
        <v>0</v>
      </c>
      <c r="I71" s="919"/>
      <c r="J71" s="914">
        <f t="shared" si="11"/>
        <v>0</v>
      </c>
      <c r="K71" s="914"/>
      <c r="L71" s="914">
        <f t="shared" si="12"/>
        <v>0</v>
      </c>
      <c r="M71" s="919"/>
      <c r="N71" s="914">
        <f t="shared" si="13"/>
        <v>0</v>
      </c>
      <c r="O71" s="919"/>
      <c r="P71" s="914">
        <f t="shared" si="15"/>
        <v>0</v>
      </c>
      <c r="Q71" s="919"/>
      <c r="R71" s="914">
        <f t="shared" si="16"/>
        <v>0</v>
      </c>
      <c r="S71" s="919"/>
      <c r="T71" s="914">
        <f t="shared" si="17"/>
        <v>0</v>
      </c>
      <c r="U71" s="915">
        <f t="shared" si="9"/>
        <v>0</v>
      </c>
      <c r="V71" s="914">
        <f t="shared" si="18"/>
        <v>0</v>
      </c>
    </row>
    <row r="72" spans="1:22" ht="231.75" hidden="1" customHeight="1">
      <c r="A72" s="927"/>
      <c r="B72" s="906" t="s">
        <v>1381</v>
      </c>
      <c r="C72" s="921">
        <f>ROUND(DATA!K824,2)</f>
        <v>9271.66</v>
      </c>
      <c r="D72" s="908" t="s">
        <v>1192</v>
      </c>
      <c r="E72" s="919"/>
      <c r="F72" s="1053">
        <f t="shared" si="14"/>
        <v>0</v>
      </c>
      <c r="G72" s="919"/>
      <c r="H72" s="914">
        <f t="shared" si="10"/>
        <v>0</v>
      </c>
      <c r="I72" s="919"/>
      <c r="J72" s="914">
        <f t="shared" si="11"/>
        <v>0</v>
      </c>
      <c r="K72" s="914"/>
      <c r="L72" s="914">
        <f t="shared" si="12"/>
        <v>0</v>
      </c>
      <c r="M72" s="919"/>
      <c r="N72" s="914">
        <f t="shared" si="13"/>
        <v>0</v>
      </c>
      <c r="O72" s="919"/>
      <c r="P72" s="914">
        <f t="shared" si="15"/>
        <v>0</v>
      </c>
      <c r="Q72" s="919"/>
      <c r="R72" s="914">
        <f t="shared" si="16"/>
        <v>0</v>
      </c>
      <c r="S72" s="919"/>
      <c r="T72" s="914">
        <f t="shared" si="17"/>
        <v>0</v>
      </c>
      <c r="U72" s="915">
        <f t="shared" si="9"/>
        <v>0</v>
      </c>
      <c r="V72" s="914">
        <f t="shared" si="18"/>
        <v>0</v>
      </c>
    </row>
    <row r="73" spans="1:22" ht="231.75" hidden="1" customHeight="1">
      <c r="A73" s="927"/>
      <c r="B73" s="906" t="s">
        <v>1429</v>
      </c>
      <c r="C73" s="921">
        <f>ROUND(DATA!K825,2)</f>
        <v>9507.76</v>
      </c>
      <c r="D73" s="908" t="s">
        <v>1192</v>
      </c>
      <c r="E73" s="919"/>
      <c r="F73" s="1053">
        <f t="shared" si="14"/>
        <v>0</v>
      </c>
      <c r="G73" s="919"/>
      <c r="H73" s="914">
        <f t="shared" si="10"/>
        <v>0</v>
      </c>
      <c r="I73" s="919"/>
      <c r="J73" s="914">
        <f t="shared" si="11"/>
        <v>0</v>
      </c>
      <c r="K73" s="914"/>
      <c r="L73" s="914">
        <f t="shared" si="12"/>
        <v>0</v>
      </c>
      <c r="M73" s="919"/>
      <c r="N73" s="914">
        <f t="shared" si="13"/>
        <v>0</v>
      </c>
      <c r="O73" s="919"/>
      <c r="P73" s="914">
        <f t="shared" si="15"/>
        <v>0</v>
      </c>
      <c r="Q73" s="919"/>
      <c r="R73" s="914">
        <f t="shared" si="16"/>
        <v>0</v>
      </c>
      <c r="S73" s="919"/>
      <c r="T73" s="914">
        <f t="shared" si="17"/>
        <v>0</v>
      </c>
      <c r="U73" s="915">
        <f t="shared" si="9"/>
        <v>0</v>
      </c>
      <c r="V73" s="914">
        <f t="shared" si="18"/>
        <v>0</v>
      </c>
    </row>
    <row r="74" spans="1:22" ht="231.75" hidden="1" customHeight="1">
      <c r="A74" s="927"/>
      <c r="B74" s="906" t="s">
        <v>1319</v>
      </c>
      <c r="C74" s="921">
        <f>ROUND(DATA!K826,2)</f>
        <v>9743.86</v>
      </c>
      <c r="D74" s="908" t="s">
        <v>1192</v>
      </c>
      <c r="E74" s="919"/>
      <c r="F74" s="1053">
        <f t="shared" si="14"/>
        <v>0</v>
      </c>
      <c r="G74" s="919"/>
      <c r="H74" s="914">
        <f t="shared" si="10"/>
        <v>0</v>
      </c>
      <c r="I74" s="919"/>
      <c r="J74" s="914">
        <f t="shared" si="11"/>
        <v>0</v>
      </c>
      <c r="K74" s="914"/>
      <c r="L74" s="914">
        <f t="shared" si="12"/>
        <v>0</v>
      </c>
      <c r="M74" s="919"/>
      <c r="N74" s="914">
        <f t="shared" si="13"/>
        <v>0</v>
      </c>
      <c r="O74" s="919"/>
      <c r="P74" s="914">
        <f t="shared" si="15"/>
        <v>0</v>
      </c>
      <c r="Q74" s="919"/>
      <c r="R74" s="914">
        <f t="shared" si="16"/>
        <v>0</v>
      </c>
      <c r="S74" s="919"/>
      <c r="T74" s="914">
        <f t="shared" si="17"/>
        <v>0</v>
      </c>
      <c r="U74" s="915">
        <f t="shared" si="9"/>
        <v>0</v>
      </c>
      <c r="V74" s="914">
        <f t="shared" si="18"/>
        <v>0</v>
      </c>
    </row>
    <row r="75" spans="1:22" ht="231.75" hidden="1" customHeight="1">
      <c r="A75" s="905"/>
      <c r="B75" s="906" t="s">
        <v>1074</v>
      </c>
      <c r="C75" s="921">
        <f>ROUND(DATA!K827,2)</f>
        <v>9979.9599999999991</v>
      </c>
      <c r="D75" s="908" t="s">
        <v>1192</v>
      </c>
      <c r="E75" s="919"/>
      <c r="F75" s="1053">
        <f t="shared" si="14"/>
        <v>0</v>
      </c>
      <c r="G75" s="919"/>
      <c r="H75" s="914">
        <f t="shared" si="10"/>
        <v>0</v>
      </c>
      <c r="I75" s="919"/>
      <c r="J75" s="914">
        <f t="shared" si="11"/>
        <v>0</v>
      </c>
      <c r="K75" s="914"/>
      <c r="L75" s="914">
        <f t="shared" si="12"/>
        <v>0</v>
      </c>
      <c r="M75" s="919"/>
      <c r="N75" s="914">
        <f t="shared" si="13"/>
        <v>0</v>
      </c>
      <c r="O75" s="919"/>
      <c r="P75" s="914">
        <f t="shared" si="15"/>
        <v>0</v>
      </c>
      <c r="Q75" s="919"/>
      <c r="R75" s="914">
        <f t="shared" si="16"/>
        <v>0</v>
      </c>
      <c r="S75" s="919"/>
      <c r="T75" s="914">
        <f t="shared" si="17"/>
        <v>0</v>
      </c>
      <c r="U75" s="915">
        <f t="shared" si="9"/>
        <v>0</v>
      </c>
      <c r="V75" s="914">
        <f t="shared" si="18"/>
        <v>0</v>
      </c>
    </row>
    <row r="76" spans="1:22" ht="231.75" hidden="1" customHeight="1">
      <c r="A76" s="905"/>
      <c r="B76" s="906" t="s">
        <v>3761</v>
      </c>
      <c r="C76" s="921">
        <f>ROUND(DATA!K828,2)</f>
        <v>10216.06</v>
      </c>
      <c r="D76" s="908" t="s">
        <v>1192</v>
      </c>
      <c r="E76" s="919"/>
      <c r="F76" s="1053">
        <f t="shared" si="14"/>
        <v>0</v>
      </c>
      <c r="G76" s="919"/>
      <c r="H76" s="914">
        <f t="shared" si="10"/>
        <v>0</v>
      </c>
      <c r="I76" s="919"/>
      <c r="J76" s="914">
        <f t="shared" si="11"/>
        <v>0</v>
      </c>
      <c r="K76" s="914"/>
      <c r="L76" s="914">
        <f t="shared" si="12"/>
        <v>0</v>
      </c>
      <c r="M76" s="919"/>
      <c r="N76" s="914">
        <f t="shared" si="13"/>
        <v>0</v>
      </c>
      <c r="O76" s="919"/>
      <c r="P76" s="914">
        <f t="shared" si="15"/>
        <v>0</v>
      </c>
      <c r="Q76" s="919"/>
      <c r="R76" s="914">
        <f t="shared" si="16"/>
        <v>0</v>
      </c>
      <c r="S76" s="919"/>
      <c r="T76" s="914">
        <f t="shared" si="17"/>
        <v>0</v>
      </c>
      <c r="U76" s="915">
        <f t="shared" si="9"/>
        <v>0</v>
      </c>
      <c r="V76" s="914">
        <f t="shared" si="18"/>
        <v>0</v>
      </c>
    </row>
    <row r="77" spans="1:22" ht="231.75" hidden="1" customHeight="1">
      <c r="A77" s="905"/>
      <c r="B77" s="906" t="s">
        <v>3762</v>
      </c>
      <c r="C77" s="921">
        <f>ROUND(DATA!K829,2)</f>
        <v>10452.16</v>
      </c>
      <c r="D77" s="908" t="s">
        <v>1192</v>
      </c>
      <c r="E77" s="919"/>
      <c r="F77" s="1053">
        <f t="shared" si="14"/>
        <v>0</v>
      </c>
      <c r="G77" s="919"/>
      <c r="H77" s="914">
        <f t="shared" si="10"/>
        <v>0</v>
      </c>
      <c r="I77" s="919"/>
      <c r="J77" s="914">
        <f t="shared" si="11"/>
        <v>0</v>
      </c>
      <c r="K77" s="914"/>
      <c r="L77" s="914">
        <f t="shared" si="12"/>
        <v>0</v>
      </c>
      <c r="M77" s="919"/>
      <c r="N77" s="914">
        <f t="shared" si="13"/>
        <v>0</v>
      </c>
      <c r="O77" s="919"/>
      <c r="P77" s="914">
        <f t="shared" si="15"/>
        <v>0</v>
      </c>
      <c r="Q77" s="919"/>
      <c r="R77" s="914">
        <f t="shared" si="16"/>
        <v>0</v>
      </c>
      <c r="S77" s="919"/>
      <c r="T77" s="914">
        <f t="shared" si="17"/>
        <v>0</v>
      </c>
      <c r="U77" s="915">
        <f t="shared" si="9"/>
        <v>0</v>
      </c>
      <c r="V77" s="914">
        <f t="shared" si="18"/>
        <v>0</v>
      </c>
    </row>
    <row r="78" spans="1:22" ht="231.75" hidden="1" customHeight="1">
      <c r="A78" s="905"/>
      <c r="B78" s="906" t="s">
        <v>3763</v>
      </c>
      <c r="C78" s="921">
        <f>ROUND(DATA!K830,2)</f>
        <v>10688.26</v>
      </c>
      <c r="D78" s="908" t="s">
        <v>1192</v>
      </c>
      <c r="E78" s="919"/>
      <c r="F78" s="1053">
        <f t="shared" si="14"/>
        <v>0</v>
      </c>
      <c r="G78" s="919"/>
      <c r="H78" s="914">
        <f t="shared" si="10"/>
        <v>0</v>
      </c>
      <c r="I78" s="919"/>
      <c r="J78" s="914">
        <f t="shared" si="11"/>
        <v>0</v>
      </c>
      <c r="K78" s="914"/>
      <c r="L78" s="914">
        <f t="shared" si="12"/>
        <v>0</v>
      </c>
      <c r="M78" s="919"/>
      <c r="N78" s="914">
        <f t="shared" si="13"/>
        <v>0</v>
      </c>
      <c r="O78" s="919"/>
      <c r="P78" s="914">
        <f t="shared" si="15"/>
        <v>0</v>
      </c>
      <c r="Q78" s="919"/>
      <c r="R78" s="914">
        <f t="shared" si="16"/>
        <v>0</v>
      </c>
      <c r="S78" s="919"/>
      <c r="T78" s="914">
        <f t="shared" si="17"/>
        <v>0</v>
      </c>
      <c r="U78" s="915">
        <f t="shared" si="9"/>
        <v>0</v>
      </c>
      <c r="V78" s="914">
        <f t="shared" si="18"/>
        <v>0</v>
      </c>
    </row>
    <row r="79" spans="1:22" ht="231.75" hidden="1" customHeight="1">
      <c r="A79" s="905"/>
      <c r="B79" s="906" t="s">
        <v>3764</v>
      </c>
      <c r="C79" s="921">
        <f>ROUND(DATA!K831,2)</f>
        <v>10924.36</v>
      </c>
      <c r="D79" s="908" t="s">
        <v>1192</v>
      </c>
      <c r="E79" s="919"/>
      <c r="F79" s="1053">
        <f t="shared" si="14"/>
        <v>0</v>
      </c>
      <c r="G79" s="919"/>
      <c r="H79" s="914">
        <f t="shared" si="10"/>
        <v>0</v>
      </c>
      <c r="I79" s="919"/>
      <c r="J79" s="914">
        <f t="shared" si="11"/>
        <v>0</v>
      </c>
      <c r="K79" s="914"/>
      <c r="L79" s="914">
        <f t="shared" si="12"/>
        <v>0</v>
      </c>
      <c r="M79" s="919"/>
      <c r="N79" s="914">
        <f t="shared" si="13"/>
        <v>0</v>
      </c>
      <c r="O79" s="919"/>
      <c r="P79" s="914">
        <f t="shared" si="15"/>
        <v>0</v>
      </c>
      <c r="Q79" s="919"/>
      <c r="R79" s="914">
        <f t="shared" si="16"/>
        <v>0</v>
      </c>
      <c r="S79" s="919"/>
      <c r="T79" s="914">
        <f t="shared" si="17"/>
        <v>0</v>
      </c>
      <c r="U79" s="915">
        <f t="shared" si="9"/>
        <v>0</v>
      </c>
      <c r="V79" s="914">
        <f t="shared" si="18"/>
        <v>0</v>
      </c>
    </row>
    <row r="80" spans="1:22" ht="231.75" hidden="1" customHeight="1">
      <c r="A80" s="905"/>
      <c r="B80" s="906" t="s">
        <v>3765</v>
      </c>
      <c r="C80" s="921">
        <f>ROUND(DATA!K832,2)</f>
        <v>11160.46</v>
      </c>
      <c r="D80" s="908" t="s">
        <v>1192</v>
      </c>
      <c r="E80" s="919"/>
      <c r="F80" s="1053">
        <f t="shared" si="14"/>
        <v>0</v>
      </c>
      <c r="G80" s="919"/>
      <c r="H80" s="914">
        <f t="shared" si="10"/>
        <v>0</v>
      </c>
      <c r="I80" s="919"/>
      <c r="J80" s="914">
        <f t="shared" si="11"/>
        <v>0</v>
      </c>
      <c r="K80" s="914"/>
      <c r="L80" s="914">
        <f t="shared" si="12"/>
        <v>0</v>
      </c>
      <c r="M80" s="919"/>
      <c r="N80" s="914">
        <f t="shared" si="13"/>
        <v>0</v>
      </c>
      <c r="O80" s="919"/>
      <c r="P80" s="914">
        <f t="shared" si="15"/>
        <v>0</v>
      </c>
      <c r="Q80" s="919"/>
      <c r="R80" s="914">
        <f t="shared" si="16"/>
        <v>0</v>
      </c>
      <c r="S80" s="919"/>
      <c r="T80" s="914">
        <f t="shared" si="17"/>
        <v>0</v>
      </c>
      <c r="U80" s="915">
        <f t="shared" si="9"/>
        <v>0</v>
      </c>
      <c r="V80" s="914">
        <f t="shared" si="18"/>
        <v>0</v>
      </c>
    </row>
    <row r="81" spans="1:22" ht="231.75" hidden="1" customHeight="1">
      <c r="A81" s="905"/>
      <c r="B81" s="906" t="s">
        <v>3766</v>
      </c>
      <c r="C81" s="921">
        <f>ROUND(DATA!K833,2)</f>
        <v>11396.56</v>
      </c>
      <c r="D81" s="908" t="s">
        <v>1192</v>
      </c>
      <c r="E81" s="919"/>
      <c r="F81" s="1053">
        <f t="shared" si="14"/>
        <v>0</v>
      </c>
      <c r="G81" s="919"/>
      <c r="H81" s="914">
        <f t="shared" si="10"/>
        <v>0</v>
      </c>
      <c r="I81" s="919"/>
      <c r="J81" s="914">
        <f t="shared" si="11"/>
        <v>0</v>
      </c>
      <c r="K81" s="914"/>
      <c r="L81" s="914">
        <f t="shared" si="12"/>
        <v>0</v>
      </c>
      <c r="M81" s="919"/>
      <c r="N81" s="914">
        <f t="shared" si="13"/>
        <v>0</v>
      </c>
      <c r="O81" s="919"/>
      <c r="P81" s="914">
        <f t="shared" si="15"/>
        <v>0</v>
      </c>
      <c r="Q81" s="919"/>
      <c r="R81" s="914">
        <f t="shared" si="16"/>
        <v>0</v>
      </c>
      <c r="S81" s="919"/>
      <c r="T81" s="914">
        <f t="shared" si="17"/>
        <v>0</v>
      </c>
      <c r="U81" s="915">
        <f t="shared" si="9"/>
        <v>0</v>
      </c>
      <c r="V81" s="914">
        <f t="shared" si="18"/>
        <v>0</v>
      </c>
    </row>
    <row r="82" spans="1:22" ht="231.75" hidden="1" customHeight="1">
      <c r="A82" s="905"/>
      <c r="B82" s="906" t="s">
        <v>3767</v>
      </c>
      <c r="C82" s="921">
        <f>ROUND(DATA!K834,2)</f>
        <v>11632.66</v>
      </c>
      <c r="D82" s="908" t="s">
        <v>1192</v>
      </c>
      <c r="E82" s="919"/>
      <c r="F82" s="1053">
        <f t="shared" si="14"/>
        <v>0</v>
      </c>
      <c r="G82" s="919"/>
      <c r="H82" s="914">
        <f t="shared" si="10"/>
        <v>0</v>
      </c>
      <c r="I82" s="919"/>
      <c r="J82" s="914">
        <f t="shared" si="11"/>
        <v>0</v>
      </c>
      <c r="K82" s="914"/>
      <c r="L82" s="914">
        <f t="shared" si="12"/>
        <v>0</v>
      </c>
      <c r="M82" s="919"/>
      <c r="N82" s="914">
        <f t="shared" si="13"/>
        <v>0</v>
      </c>
      <c r="O82" s="919"/>
      <c r="P82" s="914">
        <f t="shared" si="15"/>
        <v>0</v>
      </c>
      <c r="Q82" s="919"/>
      <c r="R82" s="914">
        <f t="shared" si="16"/>
        <v>0</v>
      </c>
      <c r="S82" s="919"/>
      <c r="T82" s="914">
        <f t="shared" si="17"/>
        <v>0</v>
      </c>
      <c r="U82" s="915">
        <f t="shared" ref="U82:U145" si="19">G82+I82+M82+O82+Q82+S82+E82+K82</f>
        <v>0</v>
      </c>
      <c r="V82" s="914">
        <f t="shared" si="18"/>
        <v>0</v>
      </c>
    </row>
    <row r="83" spans="1:22" ht="231.75" hidden="1" customHeight="1">
      <c r="A83" s="905"/>
      <c r="B83" s="906" t="s">
        <v>3768</v>
      </c>
      <c r="C83" s="921">
        <f>ROUND(DATA!K835,2)</f>
        <v>11868.76</v>
      </c>
      <c r="D83" s="908" t="s">
        <v>1192</v>
      </c>
      <c r="E83" s="919"/>
      <c r="F83" s="1053">
        <f t="shared" si="14"/>
        <v>0</v>
      </c>
      <c r="G83" s="919"/>
      <c r="H83" s="914">
        <f t="shared" ref="H83:H146" si="20">C83*G83</f>
        <v>0</v>
      </c>
      <c r="I83" s="919"/>
      <c r="J83" s="914">
        <f t="shared" ref="J83:J146" si="21">I83*C83</f>
        <v>0</v>
      </c>
      <c r="K83" s="914"/>
      <c r="L83" s="914">
        <f t="shared" ref="L83:L146" si="22">K83*C83</f>
        <v>0</v>
      </c>
      <c r="M83" s="919"/>
      <c r="N83" s="914">
        <f t="shared" ref="N83:N146" si="23">M83*C83</f>
        <v>0</v>
      </c>
      <c r="O83" s="919"/>
      <c r="P83" s="914">
        <f t="shared" si="15"/>
        <v>0</v>
      </c>
      <c r="Q83" s="919"/>
      <c r="R83" s="914">
        <f t="shared" si="16"/>
        <v>0</v>
      </c>
      <c r="S83" s="919"/>
      <c r="T83" s="914">
        <f t="shared" si="17"/>
        <v>0</v>
      </c>
      <c r="U83" s="915">
        <f t="shared" si="19"/>
        <v>0</v>
      </c>
      <c r="V83" s="914">
        <f t="shared" si="18"/>
        <v>0</v>
      </c>
    </row>
    <row r="84" spans="1:22" ht="231.75" hidden="1" customHeight="1">
      <c r="A84" s="905">
        <v>9.1</v>
      </c>
      <c r="B84" s="906" t="s">
        <v>2227</v>
      </c>
      <c r="C84" s="921"/>
      <c r="D84" s="908"/>
      <c r="E84" s="919"/>
      <c r="F84" s="1053">
        <f t="shared" si="14"/>
        <v>0</v>
      </c>
      <c r="G84" s="919"/>
      <c r="H84" s="914">
        <f t="shared" si="20"/>
        <v>0</v>
      </c>
      <c r="I84" s="919"/>
      <c r="J84" s="914">
        <f t="shared" si="21"/>
        <v>0</v>
      </c>
      <c r="K84" s="914"/>
      <c r="L84" s="914">
        <f t="shared" si="22"/>
        <v>0</v>
      </c>
      <c r="M84" s="919"/>
      <c r="N84" s="914">
        <f t="shared" si="23"/>
        <v>0</v>
      </c>
      <c r="O84" s="919"/>
      <c r="P84" s="914">
        <f t="shared" si="15"/>
        <v>0</v>
      </c>
      <c r="Q84" s="919"/>
      <c r="R84" s="914">
        <f t="shared" si="16"/>
        <v>0</v>
      </c>
      <c r="S84" s="919"/>
      <c r="T84" s="914">
        <f t="shared" si="17"/>
        <v>0</v>
      </c>
      <c r="U84" s="915">
        <f t="shared" si="19"/>
        <v>0</v>
      </c>
      <c r="V84" s="914">
        <f t="shared" si="18"/>
        <v>0</v>
      </c>
    </row>
    <row r="85" spans="1:22" ht="231.75" hidden="1" customHeight="1">
      <c r="A85" s="905"/>
      <c r="B85" s="906" t="s">
        <v>201</v>
      </c>
      <c r="C85" s="921">
        <f>DATA!X347</f>
        <v>7064.89</v>
      </c>
      <c r="D85" s="908" t="s">
        <v>1192</v>
      </c>
      <c r="E85" s="919"/>
      <c r="F85" s="1053">
        <f t="shared" si="14"/>
        <v>0</v>
      </c>
      <c r="G85" s="919"/>
      <c r="H85" s="914">
        <f t="shared" si="20"/>
        <v>0</v>
      </c>
      <c r="I85" s="919"/>
      <c r="J85" s="914">
        <f t="shared" si="21"/>
        <v>0</v>
      </c>
      <c r="K85" s="914"/>
      <c r="L85" s="914">
        <f t="shared" si="22"/>
        <v>0</v>
      </c>
      <c r="M85" s="919"/>
      <c r="N85" s="914">
        <f t="shared" si="23"/>
        <v>0</v>
      </c>
      <c r="O85" s="919"/>
      <c r="P85" s="914">
        <f t="shared" si="15"/>
        <v>0</v>
      </c>
      <c r="Q85" s="919"/>
      <c r="R85" s="914">
        <f t="shared" si="16"/>
        <v>0</v>
      </c>
      <c r="S85" s="919"/>
      <c r="T85" s="914">
        <f t="shared" si="17"/>
        <v>0</v>
      </c>
      <c r="U85" s="915">
        <f t="shared" si="19"/>
        <v>0</v>
      </c>
      <c r="V85" s="914">
        <f t="shared" si="18"/>
        <v>0</v>
      </c>
    </row>
    <row r="86" spans="1:22" ht="231.75" hidden="1" customHeight="1">
      <c r="A86" s="905"/>
      <c r="B86" s="906" t="s">
        <v>202</v>
      </c>
      <c r="C86" s="921">
        <f>DATA!X348</f>
        <v>7224.09</v>
      </c>
      <c r="D86" s="908" t="s">
        <v>1192</v>
      </c>
      <c r="E86" s="919"/>
      <c r="F86" s="1053">
        <f t="shared" si="14"/>
        <v>0</v>
      </c>
      <c r="G86" s="919"/>
      <c r="H86" s="914">
        <f t="shared" si="20"/>
        <v>0</v>
      </c>
      <c r="I86" s="919"/>
      <c r="J86" s="914">
        <f t="shared" si="21"/>
        <v>0</v>
      </c>
      <c r="K86" s="914"/>
      <c r="L86" s="914">
        <f t="shared" si="22"/>
        <v>0</v>
      </c>
      <c r="M86" s="919"/>
      <c r="N86" s="914">
        <f t="shared" si="23"/>
        <v>0</v>
      </c>
      <c r="O86" s="919"/>
      <c r="P86" s="914">
        <f t="shared" si="15"/>
        <v>0</v>
      </c>
      <c r="Q86" s="919"/>
      <c r="R86" s="914">
        <f t="shared" si="16"/>
        <v>0</v>
      </c>
      <c r="S86" s="919"/>
      <c r="T86" s="914">
        <f t="shared" si="17"/>
        <v>0</v>
      </c>
      <c r="U86" s="915">
        <f t="shared" si="19"/>
        <v>0</v>
      </c>
      <c r="V86" s="914">
        <f t="shared" si="18"/>
        <v>0</v>
      </c>
    </row>
    <row r="87" spans="1:22" ht="231.75" hidden="1" customHeight="1">
      <c r="A87" s="905"/>
      <c r="B87" s="906" t="s">
        <v>203</v>
      </c>
      <c r="C87" s="921">
        <f>DATA!X349</f>
        <v>7383.29</v>
      </c>
      <c r="D87" s="908" t="s">
        <v>1192</v>
      </c>
      <c r="E87" s="919"/>
      <c r="F87" s="1053">
        <f t="shared" si="14"/>
        <v>0</v>
      </c>
      <c r="G87" s="919"/>
      <c r="H87" s="914">
        <f t="shared" si="20"/>
        <v>0</v>
      </c>
      <c r="I87" s="919"/>
      <c r="J87" s="914">
        <f t="shared" si="21"/>
        <v>0</v>
      </c>
      <c r="K87" s="914"/>
      <c r="L87" s="914">
        <f t="shared" si="22"/>
        <v>0</v>
      </c>
      <c r="M87" s="919"/>
      <c r="N87" s="914">
        <f t="shared" si="23"/>
        <v>0</v>
      </c>
      <c r="O87" s="919"/>
      <c r="P87" s="914">
        <f t="shared" si="15"/>
        <v>0</v>
      </c>
      <c r="Q87" s="919"/>
      <c r="R87" s="914">
        <f t="shared" si="16"/>
        <v>0</v>
      </c>
      <c r="S87" s="919"/>
      <c r="T87" s="914">
        <f t="shared" si="17"/>
        <v>0</v>
      </c>
      <c r="U87" s="915">
        <f t="shared" si="19"/>
        <v>0</v>
      </c>
      <c r="V87" s="914">
        <f t="shared" si="18"/>
        <v>0</v>
      </c>
    </row>
    <row r="88" spans="1:22" ht="231.75" hidden="1" customHeight="1">
      <c r="A88" s="905"/>
      <c r="B88" s="906" t="s">
        <v>204</v>
      </c>
      <c r="C88" s="921">
        <f>DATA!X350</f>
        <v>7542.49</v>
      </c>
      <c r="D88" s="908" t="s">
        <v>1192</v>
      </c>
      <c r="E88" s="919"/>
      <c r="F88" s="1053">
        <f t="shared" si="14"/>
        <v>0</v>
      </c>
      <c r="G88" s="919"/>
      <c r="H88" s="914">
        <f t="shared" si="20"/>
        <v>0</v>
      </c>
      <c r="I88" s="919"/>
      <c r="J88" s="914">
        <f t="shared" si="21"/>
        <v>0</v>
      </c>
      <c r="K88" s="914"/>
      <c r="L88" s="914">
        <f t="shared" si="22"/>
        <v>0</v>
      </c>
      <c r="M88" s="919"/>
      <c r="N88" s="914">
        <f t="shared" si="23"/>
        <v>0</v>
      </c>
      <c r="O88" s="919"/>
      <c r="P88" s="914">
        <f t="shared" si="15"/>
        <v>0</v>
      </c>
      <c r="Q88" s="919"/>
      <c r="R88" s="914">
        <f t="shared" si="16"/>
        <v>0</v>
      </c>
      <c r="S88" s="919"/>
      <c r="T88" s="914">
        <f t="shared" si="17"/>
        <v>0</v>
      </c>
      <c r="U88" s="915">
        <f t="shared" si="19"/>
        <v>0</v>
      </c>
      <c r="V88" s="914">
        <f t="shared" si="18"/>
        <v>0</v>
      </c>
    </row>
    <row r="89" spans="1:22" ht="231.75" hidden="1" customHeight="1">
      <c r="A89" s="905"/>
      <c r="B89" s="906" t="s">
        <v>603</v>
      </c>
      <c r="C89" s="921">
        <f>DATA!X351</f>
        <v>7701.69</v>
      </c>
      <c r="D89" s="908" t="s">
        <v>1192</v>
      </c>
      <c r="E89" s="919"/>
      <c r="F89" s="1053">
        <f t="shared" si="14"/>
        <v>0</v>
      </c>
      <c r="G89" s="919"/>
      <c r="H89" s="914">
        <f t="shared" si="20"/>
        <v>0</v>
      </c>
      <c r="I89" s="919"/>
      <c r="J89" s="914">
        <f t="shared" si="21"/>
        <v>0</v>
      </c>
      <c r="K89" s="914"/>
      <c r="L89" s="914">
        <f t="shared" si="22"/>
        <v>0</v>
      </c>
      <c r="M89" s="919"/>
      <c r="N89" s="914">
        <f t="shared" si="23"/>
        <v>0</v>
      </c>
      <c r="O89" s="919"/>
      <c r="P89" s="914">
        <f t="shared" si="15"/>
        <v>0</v>
      </c>
      <c r="Q89" s="919"/>
      <c r="R89" s="914">
        <f t="shared" si="16"/>
        <v>0</v>
      </c>
      <c r="S89" s="919"/>
      <c r="T89" s="914">
        <f t="shared" si="17"/>
        <v>0</v>
      </c>
      <c r="U89" s="915">
        <f t="shared" si="19"/>
        <v>0</v>
      </c>
      <c r="V89" s="914">
        <f t="shared" si="18"/>
        <v>0</v>
      </c>
    </row>
    <row r="90" spans="1:22" ht="231.75" hidden="1" customHeight="1">
      <c r="A90" s="905">
        <v>9.1999999999999993</v>
      </c>
      <c r="B90" s="924" t="s">
        <v>6606</v>
      </c>
      <c r="C90" s="921"/>
      <c r="D90" s="908"/>
      <c r="E90" s="911"/>
      <c r="F90" s="1053">
        <f t="shared" si="14"/>
        <v>0</v>
      </c>
      <c r="G90" s="914"/>
      <c r="H90" s="914">
        <f t="shared" si="20"/>
        <v>0</v>
      </c>
      <c r="I90" s="914"/>
      <c r="J90" s="914">
        <f t="shared" si="21"/>
        <v>0</v>
      </c>
      <c r="K90" s="914"/>
      <c r="L90" s="914">
        <f t="shared" si="22"/>
        <v>0</v>
      </c>
      <c r="M90" s="914"/>
      <c r="N90" s="914">
        <f t="shared" si="23"/>
        <v>0</v>
      </c>
      <c r="O90" s="914"/>
      <c r="P90" s="914">
        <f t="shared" si="15"/>
        <v>0</v>
      </c>
      <c r="Q90" s="914"/>
      <c r="R90" s="914">
        <f t="shared" si="16"/>
        <v>0</v>
      </c>
      <c r="S90" s="914"/>
      <c r="T90" s="914">
        <f t="shared" si="17"/>
        <v>0</v>
      </c>
      <c r="U90" s="915">
        <f t="shared" si="19"/>
        <v>0</v>
      </c>
      <c r="V90" s="914">
        <f t="shared" si="18"/>
        <v>0</v>
      </c>
    </row>
    <row r="91" spans="1:22" ht="231.75" hidden="1" customHeight="1">
      <c r="A91" s="905"/>
      <c r="B91" s="906" t="s">
        <v>3779</v>
      </c>
      <c r="C91" s="921">
        <f>ROUND(DATA!AG347,2)</f>
        <v>6728.58</v>
      </c>
      <c r="D91" s="908" t="s">
        <v>1192</v>
      </c>
      <c r="E91" s="914"/>
      <c r="F91" s="1053">
        <f t="shared" si="14"/>
        <v>0</v>
      </c>
      <c r="G91" s="914"/>
      <c r="H91" s="914">
        <f t="shared" si="20"/>
        <v>0</v>
      </c>
      <c r="I91" s="914"/>
      <c r="J91" s="914">
        <f t="shared" si="21"/>
        <v>0</v>
      </c>
      <c r="K91" s="914"/>
      <c r="L91" s="914">
        <f t="shared" si="22"/>
        <v>0</v>
      </c>
      <c r="M91" s="914"/>
      <c r="N91" s="914">
        <f t="shared" si="23"/>
        <v>0</v>
      </c>
      <c r="O91" s="914"/>
      <c r="P91" s="914">
        <f t="shared" si="15"/>
        <v>0</v>
      </c>
      <c r="Q91" s="914"/>
      <c r="R91" s="914">
        <f t="shared" si="16"/>
        <v>0</v>
      </c>
      <c r="S91" s="914"/>
      <c r="T91" s="914">
        <f t="shared" si="17"/>
        <v>0</v>
      </c>
      <c r="U91" s="915">
        <f t="shared" si="19"/>
        <v>0</v>
      </c>
      <c r="V91" s="914">
        <f t="shared" si="18"/>
        <v>0</v>
      </c>
    </row>
    <row r="92" spans="1:22" ht="231.75" hidden="1" customHeight="1">
      <c r="A92" s="905"/>
      <c r="B92" s="906" t="s">
        <v>202</v>
      </c>
      <c r="C92" s="921">
        <f>ROUND(DATA!AG348,2)</f>
        <v>6887.78</v>
      </c>
      <c r="D92" s="908" t="s">
        <v>1192</v>
      </c>
      <c r="E92" s="914"/>
      <c r="F92" s="1053">
        <f t="shared" si="14"/>
        <v>0</v>
      </c>
      <c r="G92" s="914"/>
      <c r="H92" s="914">
        <f t="shared" si="20"/>
        <v>0</v>
      </c>
      <c r="I92" s="914"/>
      <c r="J92" s="914">
        <f t="shared" si="21"/>
        <v>0</v>
      </c>
      <c r="K92" s="914"/>
      <c r="L92" s="914">
        <f t="shared" si="22"/>
        <v>0</v>
      </c>
      <c r="M92" s="914"/>
      <c r="N92" s="914">
        <f t="shared" si="23"/>
        <v>0</v>
      </c>
      <c r="O92" s="914"/>
      <c r="P92" s="914">
        <f t="shared" si="15"/>
        <v>0</v>
      </c>
      <c r="Q92" s="914"/>
      <c r="R92" s="914">
        <f t="shared" si="16"/>
        <v>0</v>
      </c>
      <c r="S92" s="914"/>
      <c r="T92" s="914">
        <f t="shared" si="17"/>
        <v>0</v>
      </c>
      <c r="U92" s="915">
        <f t="shared" si="19"/>
        <v>0</v>
      </c>
      <c r="V92" s="914">
        <f t="shared" si="18"/>
        <v>0</v>
      </c>
    </row>
    <row r="93" spans="1:22" ht="231.75" hidden="1" customHeight="1">
      <c r="A93" s="905"/>
      <c r="B93" s="906" t="s">
        <v>203</v>
      </c>
      <c r="C93" s="921">
        <f>ROUND(DATA!AG349,2)</f>
        <v>7046.98</v>
      </c>
      <c r="D93" s="908" t="s">
        <v>1192</v>
      </c>
      <c r="E93" s="914"/>
      <c r="F93" s="1053">
        <f t="shared" si="14"/>
        <v>0</v>
      </c>
      <c r="G93" s="914"/>
      <c r="H93" s="914">
        <f t="shared" si="20"/>
        <v>0</v>
      </c>
      <c r="I93" s="914"/>
      <c r="J93" s="914">
        <f t="shared" si="21"/>
        <v>0</v>
      </c>
      <c r="K93" s="914"/>
      <c r="L93" s="914">
        <f t="shared" si="22"/>
        <v>0</v>
      </c>
      <c r="M93" s="914"/>
      <c r="N93" s="914">
        <f t="shared" si="23"/>
        <v>0</v>
      </c>
      <c r="O93" s="914"/>
      <c r="P93" s="914">
        <f t="shared" si="15"/>
        <v>0</v>
      </c>
      <c r="Q93" s="914"/>
      <c r="R93" s="914">
        <f t="shared" si="16"/>
        <v>0</v>
      </c>
      <c r="S93" s="914"/>
      <c r="T93" s="914">
        <f t="shared" si="17"/>
        <v>0</v>
      </c>
      <c r="U93" s="915">
        <f t="shared" si="19"/>
        <v>0</v>
      </c>
      <c r="V93" s="914">
        <f t="shared" si="18"/>
        <v>0</v>
      </c>
    </row>
    <row r="94" spans="1:22" ht="231.75" hidden="1" customHeight="1">
      <c r="A94" s="905"/>
      <c r="B94" s="906" t="s">
        <v>204</v>
      </c>
      <c r="C94" s="921">
        <f>ROUND(DATA!AG350,2)</f>
        <v>7206.18</v>
      </c>
      <c r="D94" s="908" t="s">
        <v>1192</v>
      </c>
      <c r="E94" s="919"/>
      <c r="F94" s="1053">
        <f t="shared" si="14"/>
        <v>0</v>
      </c>
      <c r="G94" s="919"/>
      <c r="H94" s="914">
        <f t="shared" si="20"/>
        <v>0</v>
      </c>
      <c r="I94" s="919"/>
      <c r="J94" s="914">
        <f t="shared" si="21"/>
        <v>0</v>
      </c>
      <c r="K94" s="914"/>
      <c r="L94" s="914">
        <f t="shared" si="22"/>
        <v>0</v>
      </c>
      <c r="M94" s="919"/>
      <c r="N94" s="914">
        <f t="shared" si="23"/>
        <v>0</v>
      </c>
      <c r="O94" s="919"/>
      <c r="P94" s="914">
        <f t="shared" si="15"/>
        <v>0</v>
      </c>
      <c r="Q94" s="919"/>
      <c r="R94" s="914">
        <f t="shared" si="16"/>
        <v>0</v>
      </c>
      <c r="S94" s="919"/>
      <c r="T94" s="914">
        <f t="shared" si="17"/>
        <v>0</v>
      </c>
      <c r="U94" s="915">
        <f t="shared" si="19"/>
        <v>0</v>
      </c>
      <c r="V94" s="914">
        <f t="shared" si="18"/>
        <v>0</v>
      </c>
    </row>
    <row r="95" spans="1:22" ht="231.75" hidden="1" customHeight="1">
      <c r="A95" s="905"/>
      <c r="B95" s="906" t="s">
        <v>603</v>
      </c>
      <c r="C95" s="921">
        <f>ROUND(DATA!AG351,2)</f>
        <v>7365.38</v>
      </c>
      <c r="D95" s="908" t="s">
        <v>1192</v>
      </c>
      <c r="E95" s="919"/>
      <c r="F95" s="1053">
        <f t="shared" si="14"/>
        <v>0</v>
      </c>
      <c r="G95" s="919"/>
      <c r="H95" s="914">
        <f t="shared" si="20"/>
        <v>0</v>
      </c>
      <c r="I95" s="919"/>
      <c r="J95" s="914">
        <f t="shared" si="21"/>
        <v>0</v>
      </c>
      <c r="K95" s="914"/>
      <c r="L95" s="914">
        <f t="shared" si="22"/>
        <v>0</v>
      </c>
      <c r="M95" s="919"/>
      <c r="N95" s="914">
        <f t="shared" si="23"/>
        <v>0</v>
      </c>
      <c r="O95" s="919"/>
      <c r="P95" s="914">
        <f t="shared" si="15"/>
        <v>0</v>
      </c>
      <c r="Q95" s="919"/>
      <c r="R95" s="914">
        <f t="shared" si="16"/>
        <v>0</v>
      </c>
      <c r="S95" s="919"/>
      <c r="T95" s="914">
        <f t="shared" si="17"/>
        <v>0</v>
      </c>
      <c r="U95" s="915">
        <f t="shared" si="19"/>
        <v>0</v>
      </c>
      <c r="V95" s="914">
        <f t="shared" si="18"/>
        <v>0</v>
      </c>
    </row>
    <row r="96" spans="1:22" ht="231.75" hidden="1" customHeight="1">
      <c r="A96" s="905"/>
      <c r="B96" s="906" t="s">
        <v>3761</v>
      </c>
      <c r="C96" s="921">
        <f>ROUND(DATA!AG352,2)</f>
        <v>7524.58</v>
      </c>
      <c r="D96" s="908" t="s">
        <v>1192</v>
      </c>
      <c r="E96" s="919"/>
      <c r="F96" s="1053">
        <f t="shared" si="14"/>
        <v>0</v>
      </c>
      <c r="G96" s="919"/>
      <c r="H96" s="914">
        <f t="shared" si="20"/>
        <v>0</v>
      </c>
      <c r="I96" s="919"/>
      <c r="J96" s="914">
        <f t="shared" si="21"/>
        <v>0</v>
      </c>
      <c r="K96" s="914"/>
      <c r="L96" s="914">
        <f t="shared" si="22"/>
        <v>0</v>
      </c>
      <c r="M96" s="919"/>
      <c r="N96" s="914">
        <f t="shared" si="23"/>
        <v>0</v>
      </c>
      <c r="O96" s="919"/>
      <c r="P96" s="914">
        <f t="shared" si="15"/>
        <v>0</v>
      </c>
      <c r="Q96" s="919"/>
      <c r="R96" s="914">
        <f t="shared" si="16"/>
        <v>0</v>
      </c>
      <c r="S96" s="919"/>
      <c r="T96" s="914">
        <f t="shared" si="17"/>
        <v>0</v>
      </c>
      <c r="U96" s="915">
        <f t="shared" si="19"/>
        <v>0</v>
      </c>
      <c r="V96" s="914">
        <f t="shared" si="18"/>
        <v>0</v>
      </c>
    </row>
    <row r="97" spans="1:22" ht="231.75" hidden="1" customHeight="1">
      <c r="A97" s="905"/>
      <c r="B97" s="906" t="s">
        <v>3762</v>
      </c>
      <c r="C97" s="921">
        <f>ROUND(DATA!AG353,2)</f>
        <v>7683.78</v>
      </c>
      <c r="D97" s="908" t="s">
        <v>1192</v>
      </c>
      <c r="E97" s="919"/>
      <c r="F97" s="1053">
        <f t="shared" si="14"/>
        <v>0</v>
      </c>
      <c r="G97" s="919"/>
      <c r="H97" s="914">
        <f t="shared" si="20"/>
        <v>0</v>
      </c>
      <c r="I97" s="919"/>
      <c r="J97" s="914">
        <f t="shared" si="21"/>
        <v>0</v>
      </c>
      <c r="K97" s="914"/>
      <c r="L97" s="914">
        <f t="shared" si="22"/>
        <v>0</v>
      </c>
      <c r="M97" s="919"/>
      <c r="N97" s="914">
        <f t="shared" si="23"/>
        <v>0</v>
      </c>
      <c r="O97" s="919"/>
      <c r="P97" s="914">
        <f t="shared" si="15"/>
        <v>0</v>
      </c>
      <c r="Q97" s="919"/>
      <c r="R97" s="914">
        <f t="shared" si="16"/>
        <v>0</v>
      </c>
      <c r="S97" s="919"/>
      <c r="T97" s="914">
        <f t="shared" si="17"/>
        <v>0</v>
      </c>
      <c r="U97" s="915">
        <f t="shared" si="19"/>
        <v>0</v>
      </c>
      <c r="V97" s="914">
        <f t="shared" si="18"/>
        <v>0</v>
      </c>
    </row>
    <row r="98" spans="1:22" ht="231.75" hidden="1" customHeight="1">
      <c r="A98" s="905"/>
      <c r="B98" s="906" t="s">
        <v>3763</v>
      </c>
      <c r="C98" s="921">
        <f>ROUND(DATA!AG354,2)</f>
        <v>7842.98</v>
      </c>
      <c r="D98" s="908" t="s">
        <v>1192</v>
      </c>
      <c r="E98" s="919"/>
      <c r="F98" s="1053">
        <f t="shared" si="14"/>
        <v>0</v>
      </c>
      <c r="G98" s="919"/>
      <c r="H98" s="914">
        <f t="shared" si="20"/>
        <v>0</v>
      </c>
      <c r="I98" s="919"/>
      <c r="J98" s="914">
        <f t="shared" si="21"/>
        <v>0</v>
      </c>
      <c r="K98" s="914"/>
      <c r="L98" s="914">
        <f t="shared" si="22"/>
        <v>0</v>
      </c>
      <c r="M98" s="919"/>
      <c r="N98" s="914">
        <f t="shared" si="23"/>
        <v>0</v>
      </c>
      <c r="O98" s="919"/>
      <c r="P98" s="914">
        <f t="shared" si="15"/>
        <v>0</v>
      </c>
      <c r="Q98" s="919"/>
      <c r="R98" s="914">
        <f t="shared" si="16"/>
        <v>0</v>
      </c>
      <c r="S98" s="919"/>
      <c r="T98" s="914">
        <f t="shared" si="17"/>
        <v>0</v>
      </c>
      <c r="U98" s="915">
        <f t="shared" si="19"/>
        <v>0</v>
      </c>
      <c r="V98" s="914">
        <f t="shared" si="18"/>
        <v>0</v>
      </c>
    </row>
    <row r="99" spans="1:22" ht="231.75" hidden="1" customHeight="1">
      <c r="A99" s="905"/>
      <c r="B99" s="906" t="s">
        <v>3764</v>
      </c>
      <c r="C99" s="921">
        <f>ROUND(DATA!AG355,2)</f>
        <v>8002.18</v>
      </c>
      <c r="D99" s="908" t="s">
        <v>1192</v>
      </c>
      <c r="E99" s="919"/>
      <c r="F99" s="1053">
        <f t="shared" si="14"/>
        <v>0</v>
      </c>
      <c r="G99" s="919"/>
      <c r="H99" s="914">
        <f t="shared" si="20"/>
        <v>0</v>
      </c>
      <c r="I99" s="919"/>
      <c r="J99" s="914">
        <f t="shared" si="21"/>
        <v>0</v>
      </c>
      <c r="K99" s="914"/>
      <c r="L99" s="914">
        <f t="shared" si="22"/>
        <v>0</v>
      </c>
      <c r="M99" s="919"/>
      <c r="N99" s="914">
        <f t="shared" si="23"/>
        <v>0</v>
      </c>
      <c r="O99" s="919"/>
      <c r="P99" s="914">
        <f t="shared" si="15"/>
        <v>0</v>
      </c>
      <c r="Q99" s="919"/>
      <c r="R99" s="914">
        <f t="shared" si="16"/>
        <v>0</v>
      </c>
      <c r="S99" s="919"/>
      <c r="T99" s="914">
        <f t="shared" si="17"/>
        <v>0</v>
      </c>
      <c r="U99" s="915">
        <f t="shared" si="19"/>
        <v>0</v>
      </c>
      <c r="V99" s="914">
        <f t="shared" si="18"/>
        <v>0</v>
      </c>
    </row>
    <row r="100" spans="1:22" ht="231.75" hidden="1" customHeight="1">
      <c r="A100" s="905"/>
      <c r="B100" s="906" t="s">
        <v>3765</v>
      </c>
      <c r="C100" s="921">
        <f>ROUND(DATA!AG356,2)</f>
        <v>8161.38</v>
      </c>
      <c r="D100" s="908" t="s">
        <v>1192</v>
      </c>
      <c r="E100" s="919"/>
      <c r="F100" s="1053">
        <f t="shared" si="14"/>
        <v>0</v>
      </c>
      <c r="G100" s="919"/>
      <c r="H100" s="914">
        <f t="shared" si="20"/>
        <v>0</v>
      </c>
      <c r="I100" s="919"/>
      <c r="J100" s="914">
        <f t="shared" si="21"/>
        <v>0</v>
      </c>
      <c r="K100" s="914"/>
      <c r="L100" s="914">
        <f t="shared" si="22"/>
        <v>0</v>
      </c>
      <c r="M100" s="919"/>
      <c r="N100" s="914">
        <f t="shared" si="23"/>
        <v>0</v>
      </c>
      <c r="O100" s="919"/>
      <c r="P100" s="914">
        <f t="shared" si="15"/>
        <v>0</v>
      </c>
      <c r="Q100" s="919"/>
      <c r="R100" s="914">
        <f t="shared" si="16"/>
        <v>0</v>
      </c>
      <c r="S100" s="919"/>
      <c r="T100" s="914">
        <f t="shared" si="17"/>
        <v>0</v>
      </c>
      <c r="U100" s="915">
        <f t="shared" si="19"/>
        <v>0</v>
      </c>
      <c r="V100" s="914">
        <f t="shared" si="18"/>
        <v>0</v>
      </c>
    </row>
    <row r="101" spans="1:22" ht="231.75" hidden="1" customHeight="1">
      <c r="A101" s="905"/>
      <c r="B101" s="906" t="s">
        <v>3766</v>
      </c>
      <c r="C101" s="921">
        <f>ROUND(DATA!AG357,2)</f>
        <v>8320.58</v>
      </c>
      <c r="D101" s="908" t="s">
        <v>1192</v>
      </c>
      <c r="E101" s="919"/>
      <c r="F101" s="1053">
        <f t="shared" si="14"/>
        <v>0</v>
      </c>
      <c r="G101" s="919"/>
      <c r="H101" s="914">
        <f t="shared" si="20"/>
        <v>0</v>
      </c>
      <c r="I101" s="919"/>
      <c r="J101" s="914">
        <f t="shared" si="21"/>
        <v>0</v>
      </c>
      <c r="K101" s="914"/>
      <c r="L101" s="914">
        <f t="shared" si="22"/>
        <v>0</v>
      </c>
      <c r="M101" s="919"/>
      <c r="N101" s="914">
        <f t="shared" si="23"/>
        <v>0</v>
      </c>
      <c r="O101" s="919"/>
      <c r="P101" s="914">
        <f t="shared" si="15"/>
        <v>0</v>
      </c>
      <c r="Q101" s="919"/>
      <c r="R101" s="914">
        <f t="shared" si="16"/>
        <v>0</v>
      </c>
      <c r="S101" s="919"/>
      <c r="T101" s="914">
        <f t="shared" si="17"/>
        <v>0</v>
      </c>
      <c r="U101" s="915">
        <f t="shared" si="19"/>
        <v>0</v>
      </c>
      <c r="V101" s="914">
        <f t="shared" si="18"/>
        <v>0</v>
      </c>
    </row>
    <row r="102" spans="1:22" ht="231.75" hidden="1" customHeight="1">
      <c r="A102" s="905"/>
      <c r="B102" s="906" t="s">
        <v>3767</v>
      </c>
      <c r="C102" s="921">
        <f>ROUND(DATA!AG358,2)</f>
        <v>8479.7800000000007</v>
      </c>
      <c r="D102" s="908" t="s">
        <v>1192</v>
      </c>
      <c r="E102" s="919"/>
      <c r="F102" s="1053">
        <f t="shared" si="14"/>
        <v>0</v>
      </c>
      <c r="G102" s="919"/>
      <c r="H102" s="914">
        <f t="shared" si="20"/>
        <v>0</v>
      </c>
      <c r="I102" s="919"/>
      <c r="J102" s="914">
        <f t="shared" si="21"/>
        <v>0</v>
      </c>
      <c r="K102" s="914"/>
      <c r="L102" s="914">
        <f t="shared" si="22"/>
        <v>0</v>
      </c>
      <c r="M102" s="919"/>
      <c r="N102" s="914">
        <f t="shared" si="23"/>
        <v>0</v>
      </c>
      <c r="O102" s="919"/>
      <c r="P102" s="914">
        <f t="shared" si="15"/>
        <v>0</v>
      </c>
      <c r="Q102" s="919"/>
      <c r="R102" s="914">
        <f t="shared" si="16"/>
        <v>0</v>
      </c>
      <c r="S102" s="919"/>
      <c r="T102" s="914">
        <f t="shared" si="17"/>
        <v>0</v>
      </c>
      <c r="U102" s="915">
        <f t="shared" si="19"/>
        <v>0</v>
      </c>
      <c r="V102" s="914">
        <f t="shared" si="18"/>
        <v>0</v>
      </c>
    </row>
    <row r="103" spans="1:22" ht="231.75" hidden="1" customHeight="1">
      <c r="A103" s="905"/>
      <c r="B103" s="906" t="s">
        <v>3768</v>
      </c>
      <c r="C103" s="921">
        <f>ROUND(DATA!AG359,2)</f>
        <v>8638.98</v>
      </c>
      <c r="D103" s="908" t="s">
        <v>1192</v>
      </c>
      <c r="E103" s="919"/>
      <c r="F103" s="1053">
        <f t="shared" si="14"/>
        <v>0</v>
      </c>
      <c r="G103" s="919"/>
      <c r="H103" s="914">
        <f t="shared" si="20"/>
        <v>0</v>
      </c>
      <c r="I103" s="919"/>
      <c r="J103" s="914">
        <f t="shared" si="21"/>
        <v>0</v>
      </c>
      <c r="K103" s="914"/>
      <c r="L103" s="914">
        <f t="shared" si="22"/>
        <v>0</v>
      </c>
      <c r="M103" s="919"/>
      <c r="N103" s="914">
        <f t="shared" si="23"/>
        <v>0</v>
      </c>
      <c r="O103" s="919"/>
      <c r="P103" s="914">
        <f t="shared" si="15"/>
        <v>0</v>
      </c>
      <c r="Q103" s="919"/>
      <c r="R103" s="914">
        <f t="shared" si="16"/>
        <v>0</v>
      </c>
      <c r="S103" s="919"/>
      <c r="T103" s="914">
        <f t="shared" si="17"/>
        <v>0</v>
      </c>
      <c r="U103" s="915">
        <f t="shared" si="19"/>
        <v>0</v>
      </c>
      <c r="V103" s="914">
        <f t="shared" si="18"/>
        <v>0</v>
      </c>
    </row>
    <row r="104" spans="1:22" ht="231.75" hidden="1" customHeight="1">
      <c r="A104" s="905"/>
      <c r="B104" s="906" t="s">
        <v>3773</v>
      </c>
      <c r="C104" s="921">
        <f>ROUND(DATA!AG360,2)</f>
        <v>8798.18</v>
      </c>
      <c r="D104" s="908" t="s">
        <v>1192</v>
      </c>
      <c r="E104" s="919"/>
      <c r="F104" s="1053">
        <f t="shared" si="14"/>
        <v>0</v>
      </c>
      <c r="G104" s="919"/>
      <c r="H104" s="914">
        <f t="shared" si="20"/>
        <v>0</v>
      </c>
      <c r="I104" s="919"/>
      <c r="J104" s="914">
        <f t="shared" si="21"/>
        <v>0</v>
      </c>
      <c r="K104" s="914"/>
      <c r="L104" s="914">
        <f t="shared" si="22"/>
        <v>0</v>
      </c>
      <c r="M104" s="919"/>
      <c r="N104" s="914">
        <f t="shared" si="23"/>
        <v>0</v>
      </c>
      <c r="O104" s="919"/>
      <c r="P104" s="914">
        <f t="shared" si="15"/>
        <v>0</v>
      </c>
      <c r="Q104" s="919"/>
      <c r="R104" s="914">
        <f t="shared" si="16"/>
        <v>0</v>
      </c>
      <c r="S104" s="919"/>
      <c r="T104" s="914">
        <f t="shared" si="17"/>
        <v>0</v>
      </c>
      <c r="U104" s="915">
        <f t="shared" si="19"/>
        <v>0</v>
      </c>
      <c r="V104" s="914">
        <f t="shared" si="18"/>
        <v>0</v>
      </c>
    </row>
    <row r="105" spans="1:22" ht="231.75" hidden="1" customHeight="1">
      <c r="A105" s="905">
        <v>9.3000000000000007</v>
      </c>
      <c r="B105" s="906" t="s">
        <v>1801</v>
      </c>
      <c r="C105" s="921"/>
      <c r="D105" s="908"/>
      <c r="E105" s="919"/>
      <c r="F105" s="1053">
        <f t="shared" si="14"/>
        <v>0</v>
      </c>
      <c r="G105" s="919"/>
      <c r="H105" s="914">
        <f t="shared" si="20"/>
        <v>0</v>
      </c>
      <c r="I105" s="919"/>
      <c r="J105" s="914">
        <f t="shared" si="21"/>
        <v>0</v>
      </c>
      <c r="K105" s="914"/>
      <c r="L105" s="914">
        <f t="shared" si="22"/>
        <v>0</v>
      </c>
      <c r="M105" s="919"/>
      <c r="N105" s="914">
        <f t="shared" si="23"/>
        <v>0</v>
      </c>
      <c r="O105" s="919"/>
      <c r="P105" s="914">
        <f t="shared" si="15"/>
        <v>0</v>
      </c>
      <c r="Q105" s="919"/>
      <c r="R105" s="914">
        <f t="shared" si="16"/>
        <v>0</v>
      </c>
      <c r="S105" s="919"/>
      <c r="T105" s="914">
        <f t="shared" si="17"/>
        <v>0</v>
      </c>
      <c r="U105" s="915">
        <f t="shared" si="19"/>
        <v>0</v>
      </c>
      <c r="V105" s="914">
        <f t="shared" si="18"/>
        <v>0</v>
      </c>
    </row>
    <row r="106" spans="1:22" ht="231.75" hidden="1" customHeight="1">
      <c r="A106" s="905"/>
      <c r="B106" s="906" t="s">
        <v>201</v>
      </c>
      <c r="C106" s="921"/>
      <c r="D106" s="908" t="s">
        <v>1192</v>
      </c>
      <c r="E106" s="919"/>
      <c r="F106" s="1053">
        <f t="shared" si="14"/>
        <v>0</v>
      </c>
      <c r="G106" s="919"/>
      <c r="H106" s="914">
        <f t="shared" si="20"/>
        <v>0</v>
      </c>
      <c r="I106" s="919"/>
      <c r="J106" s="914">
        <f t="shared" si="21"/>
        <v>0</v>
      </c>
      <c r="K106" s="914"/>
      <c r="L106" s="914">
        <f t="shared" si="22"/>
        <v>0</v>
      </c>
      <c r="M106" s="919"/>
      <c r="N106" s="914">
        <f t="shared" si="23"/>
        <v>0</v>
      </c>
      <c r="O106" s="919"/>
      <c r="P106" s="914">
        <f t="shared" si="15"/>
        <v>0</v>
      </c>
      <c r="Q106" s="919"/>
      <c r="R106" s="914">
        <f t="shared" si="16"/>
        <v>0</v>
      </c>
      <c r="S106" s="919"/>
      <c r="T106" s="914">
        <f t="shared" si="17"/>
        <v>0</v>
      </c>
      <c r="U106" s="915">
        <f t="shared" si="19"/>
        <v>0</v>
      </c>
      <c r="V106" s="914">
        <f t="shared" si="18"/>
        <v>0</v>
      </c>
    </row>
    <row r="107" spans="1:22" ht="231.75" hidden="1" customHeight="1">
      <c r="A107" s="905"/>
      <c r="B107" s="906" t="s">
        <v>202</v>
      </c>
      <c r="C107" s="921"/>
      <c r="D107" s="908" t="s">
        <v>1192</v>
      </c>
      <c r="E107" s="919"/>
      <c r="F107" s="1053">
        <f t="shared" si="14"/>
        <v>0</v>
      </c>
      <c r="G107" s="919"/>
      <c r="H107" s="914">
        <f t="shared" si="20"/>
        <v>0</v>
      </c>
      <c r="I107" s="919"/>
      <c r="J107" s="914">
        <f t="shared" si="21"/>
        <v>0</v>
      </c>
      <c r="K107" s="914"/>
      <c r="L107" s="914">
        <f t="shared" si="22"/>
        <v>0</v>
      </c>
      <c r="M107" s="919"/>
      <c r="N107" s="914">
        <f t="shared" si="23"/>
        <v>0</v>
      </c>
      <c r="O107" s="919"/>
      <c r="P107" s="914">
        <f t="shared" si="15"/>
        <v>0</v>
      </c>
      <c r="Q107" s="919"/>
      <c r="R107" s="914">
        <f t="shared" si="16"/>
        <v>0</v>
      </c>
      <c r="S107" s="919"/>
      <c r="T107" s="914">
        <f t="shared" si="17"/>
        <v>0</v>
      </c>
      <c r="U107" s="915">
        <f t="shared" si="19"/>
        <v>0</v>
      </c>
      <c r="V107" s="914">
        <f t="shared" si="18"/>
        <v>0</v>
      </c>
    </row>
    <row r="108" spans="1:22" ht="231.75" hidden="1" customHeight="1">
      <c r="A108" s="905"/>
      <c r="B108" s="906" t="s">
        <v>203</v>
      </c>
      <c r="C108" s="921"/>
      <c r="D108" s="908" t="s">
        <v>1192</v>
      </c>
      <c r="E108" s="919"/>
      <c r="F108" s="1053">
        <f t="shared" si="14"/>
        <v>0</v>
      </c>
      <c r="G108" s="919"/>
      <c r="H108" s="914">
        <f t="shared" si="20"/>
        <v>0</v>
      </c>
      <c r="I108" s="919"/>
      <c r="J108" s="914">
        <f t="shared" si="21"/>
        <v>0</v>
      </c>
      <c r="K108" s="914"/>
      <c r="L108" s="914">
        <f t="shared" si="22"/>
        <v>0</v>
      </c>
      <c r="M108" s="919"/>
      <c r="N108" s="914">
        <f t="shared" si="23"/>
        <v>0</v>
      </c>
      <c r="O108" s="919"/>
      <c r="P108" s="914">
        <f t="shared" si="15"/>
        <v>0</v>
      </c>
      <c r="Q108" s="919"/>
      <c r="R108" s="914">
        <f t="shared" si="16"/>
        <v>0</v>
      </c>
      <c r="S108" s="919"/>
      <c r="T108" s="914">
        <f t="shared" si="17"/>
        <v>0</v>
      </c>
      <c r="U108" s="915">
        <f t="shared" si="19"/>
        <v>0</v>
      </c>
      <c r="V108" s="914">
        <f t="shared" si="18"/>
        <v>0</v>
      </c>
    </row>
    <row r="109" spans="1:22" ht="231.75" hidden="1" customHeight="1">
      <c r="A109" s="905"/>
      <c r="B109" s="906" t="s">
        <v>204</v>
      </c>
      <c r="C109" s="921"/>
      <c r="D109" s="908" t="s">
        <v>1192</v>
      </c>
      <c r="E109" s="919"/>
      <c r="F109" s="1053">
        <f t="shared" si="14"/>
        <v>0</v>
      </c>
      <c r="G109" s="919"/>
      <c r="H109" s="914">
        <f t="shared" si="20"/>
        <v>0</v>
      </c>
      <c r="I109" s="919"/>
      <c r="J109" s="914">
        <f t="shared" si="21"/>
        <v>0</v>
      </c>
      <c r="K109" s="914"/>
      <c r="L109" s="914">
        <f t="shared" si="22"/>
        <v>0</v>
      </c>
      <c r="M109" s="919"/>
      <c r="N109" s="914">
        <f t="shared" si="23"/>
        <v>0</v>
      </c>
      <c r="O109" s="919"/>
      <c r="P109" s="914">
        <f t="shared" si="15"/>
        <v>0</v>
      </c>
      <c r="Q109" s="919"/>
      <c r="R109" s="914">
        <f t="shared" si="16"/>
        <v>0</v>
      </c>
      <c r="S109" s="919"/>
      <c r="T109" s="914">
        <f t="shared" si="17"/>
        <v>0</v>
      </c>
      <c r="U109" s="915">
        <f t="shared" si="19"/>
        <v>0</v>
      </c>
      <c r="V109" s="914">
        <f t="shared" si="18"/>
        <v>0</v>
      </c>
    </row>
    <row r="110" spans="1:22" ht="231.75" hidden="1" customHeight="1">
      <c r="A110" s="928"/>
      <c r="B110" s="906" t="s">
        <v>603</v>
      </c>
      <c r="C110" s="921"/>
      <c r="D110" s="908" t="s">
        <v>1192</v>
      </c>
      <c r="E110" s="919"/>
      <c r="F110" s="1053">
        <f t="shared" si="14"/>
        <v>0</v>
      </c>
      <c r="G110" s="919"/>
      <c r="H110" s="914">
        <f t="shared" si="20"/>
        <v>0</v>
      </c>
      <c r="I110" s="919"/>
      <c r="J110" s="914">
        <f t="shared" si="21"/>
        <v>0</v>
      </c>
      <c r="K110" s="914"/>
      <c r="L110" s="914">
        <f t="shared" si="22"/>
        <v>0</v>
      </c>
      <c r="M110" s="919"/>
      <c r="N110" s="914">
        <f t="shared" si="23"/>
        <v>0</v>
      </c>
      <c r="O110" s="919"/>
      <c r="P110" s="914">
        <f t="shared" si="15"/>
        <v>0</v>
      </c>
      <c r="Q110" s="919"/>
      <c r="R110" s="914">
        <f t="shared" si="16"/>
        <v>0</v>
      </c>
      <c r="S110" s="919"/>
      <c r="T110" s="914">
        <f t="shared" si="17"/>
        <v>0</v>
      </c>
      <c r="U110" s="915">
        <f t="shared" si="19"/>
        <v>0</v>
      </c>
      <c r="V110" s="914">
        <f t="shared" si="18"/>
        <v>0</v>
      </c>
    </row>
    <row r="111" spans="1:22" ht="231.75" hidden="1" customHeight="1">
      <c r="A111" s="905">
        <v>9.4</v>
      </c>
      <c r="B111" s="906" t="s">
        <v>6607</v>
      </c>
      <c r="C111" s="921"/>
      <c r="D111" s="908"/>
      <c r="E111" s="919"/>
      <c r="F111" s="1053">
        <f t="shared" si="14"/>
        <v>0</v>
      </c>
      <c r="G111" s="919"/>
      <c r="H111" s="914">
        <f t="shared" si="20"/>
        <v>0</v>
      </c>
      <c r="I111" s="919"/>
      <c r="J111" s="914">
        <f t="shared" si="21"/>
        <v>0</v>
      </c>
      <c r="K111" s="914"/>
      <c r="L111" s="914">
        <f t="shared" si="22"/>
        <v>0</v>
      </c>
      <c r="M111" s="919"/>
      <c r="N111" s="914">
        <f t="shared" si="23"/>
        <v>0</v>
      </c>
      <c r="O111" s="919"/>
      <c r="P111" s="914">
        <f t="shared" si="15"/>
        <v>0</v>
      </c>
      <c r="Q111" s="919"/>
      <c r="R111" s="914">
        <f t="shared" si="16"/>
        <v>0</v>
      </c>
      <c r="S111" s="919"/>
      <c r="T111" s="914">
        <f t="shared" si="17"/>
        <v>0</v>
      </c>
      <c r="U111" s="915">
        <f t="shared" si="19"/>
        <v>0</v>
      </c>
      <c r="V111" s="914">
        <f t="shared" si="18"/>
        <v>0</v>
      </c>
    </row>
    <row r="112" spans="1:22" ht="231.75" hidden="1" customHeight="1">
      <c r="A112" s="905"/>
      <c r="B112" s="906" t="s">
        <v>201</v>
      </c>
      <c r="C112" s="921"/>
      <c r="D112" s="908" t="s">
        <v>1192</v>
      </c>
      <c r="E112" s="919"/>
      <c r="F112" s="1053">
        <f t="shared" si="14"/>
        <v>0</v>
      </c>
      <c r="G112" s="919"/>
      <c r="H112" s="914">
        <f t="shared" si="20"/>
        <v>0</v>
      </c>
      <c r="I112" s="919"/>
      <c r="J112" s="914">
        <f t="shared" si="21"/>
        <v>0</v>
      </c>
      <c r="K112" s="914"/>
      <c r="L112" s="914">
        <f t="shared" si="22"/>
        <v>0</v>
      </c>
      <c r="M112" s="919"/>
      <c r="N112" s="914">
        <f t="shared" si="23"/>
        <v>0</v>
      </c>
      <c r="O112" s="919"/>
      <c r="P112" s="914">
        <f t="shared" si="15"/>
        <v>0</v>
      </c>
      <c r="Q112" s="919"/>
      <c r="R112" s="914">
        <f t="shared" si="16"/>
        <v>0</v>
      </c>
      <c r="S112" s="919"/>
      <c r="T112" s="914">
        <f t="shared" si="17"/>
        <v>0</v>
      </c>
      <c r="U112" s="915">
        <f t="shared" si="19"/>
        <v>0</v>
      </c>
      <c r="V112" s="914">
        <f t="shared" si="18"/>
        <v>0</v>
      </c>
    </row>
    <row r="113" spans="1:22" ht="231.75" hidden="1" customHeight="1">
      <c r="A113" s="905"/>
      <c r="B113" s="906" t="s">
        <v>202</v>
      </c>
      <c r="C113" s="921"/>
      <c r="D113" s="908" t="s">
        <v>1192</v>
      </c>
      <c r="E113" s="919"/>
      <c r="F113" s="1053">
        <f t="shared" si="14"/>
        <v>0</v>
      </c>
      <c r="G113" s="919"/>
      <c r="H113" s="914">
        <f t="shared" si="20"/>
        <v>0</v>
      </c>
      <c r="I113" s="919"/>
      <c r="J113" s="914">
        <f t="shared" si="21"/>
        <v>0</v>
      </c>
      <c r="K113" s="914"/>
      <c r="L113" s="914">
        <f t="shared" si="22"/>
        <v>0</v>
      </c>
      <c r="M113" s="919"/>
      <c r="N113" s="914">
        <f t="shared" si="23"/>
        <v>0</v>
      </c>
      <c r="O113" s="919"/>
      <c r="P113" s="914">
        <f t="shared" si="15"/>
        <v>0</v>
      </c>
      <c r="Q113" s="919"/>
      <c r="R113" s="914">
        <f t="shared" si="16"/>
        <v>0</v>
      </c>
      <c r="S113" s="919"/>
      <c r="T113" s="914">
        <f t="shared" si="17"/>
        <v>0</v>
      </c>
      <c r="U113" s="915">
        <f t="shared" si="19"/>
        <v>0</v>
      </c>
      <c r="V113" s="914">
        <f t="shared" si="18"/>
        <v>0</v>
      </c>
    </row>
    <row r="114" spans="1:22" ht="231.75" hidden="1" customHeight="1">
      <c r="A114" s="905"/>
      <c r="B114" s="906" t="s">
        <v>203</v>
      </c>
      <c r="C114" s="921"/>
      <c r="D114" s="908" t="s">
        <v>1192</v>
      </c>
      <c r="E114" s="919"/>
      <c r="F114" s="1053">
        <f t="shared" si="14"/>
        <v>0</v>
      </c>
      <c r="G114" s="919"/>
      <c r="H114" s="914">
        <f t="shared" si="20"/>
        <v>0</v>
      </c>
      <c r="I114" s="919"/>
      <c r="J114" s="914">
        <f t="shared" si="21"/>
        <v>0</v>
      </c>
      <c r="K114" s="914"/>
      <c r="L114" s="914">
        <f t="shared" si="22"/>
        <v>0</v>
      </c>
      <c r="M114" s="919"/>
      <c r="N114" s="914">
        <f t="shared" si="23"/>
        <v>0</v>
      </c>
      <c r="O114" s="919"/>
      <c r="P114" s="914">
        <f t="shared" si="15"/>
        <v>0</v>
      </c>
      <c r="Q114" s="919"/>
      <c r="R114" s="914">
        <f t="shared" si="16"/>
        <v>0</v>
      </c>
      <c r="S114" s="919"/>
      <c r="T114" s="914">
        <f t="shared" si="17"/>
        <v>0</v>
      </c>
      <c r="U114" s="915">
        <f t="shared" si="19"/>
        <v>0</v>
      </c>
      <c r="V114" s="914">
        <f t="shared" si="18"/>
        <v>0</v>
      </c>
    </row>
    <row r="115" spans="1:22" ht="231.75" hidden="1" customHeight="1">
      <c r="A115" s="905"/>
      <c r="B115" s="906" t="s">
        <v>204</v>
      </c>
      <c r="C115" s="921"/>
      <c r="D115" s="908" t="s">
        <v>1192</v>
      </c>
      <c r="E115" s="919"/>
      <c r="F115" s="1053">
        <f t="shared" si="14"/>
        <v>0</v>
      </c>
      <c r="G115" s="919"/>
      <c r="H115" s="914">
        <f t="shared" si="20"/>
        <v>0</v>
      </c>
      <c r="I115" s="919"/>
      <c r="J115" s="914">
        <f t="shared" si="21"/>
        <v>0</v>
      </c>
      <c r="K115" s="914"/>
      <c r="L115" s="914">
        <f t="shared" si="22"/>
        <v>0</v>
      </c>
      <c r="M115" s="919"/>
      <c r="N115" s="914">
        <f t="shared" si="23"/>
        <v>0</v>
      </c>
      <c r="O115" s="919"/>
      <c r="P115" s="914">
        <f t="shared" si="15"/>
        <v>0</v>
      </c>
      <c r="Q115" s="919"/>
      <c r="R115" s="914">
        <f t="shared" si="16"/>
        <v>0</v>
      </c>
      <c r="S115" s="919"/>
      <c r="T115" s="914">
        <f t="shared" si="17"/>
        <v>0</v>
      </c>
      <c r="U115" s="915">
        <f t="shared" si="19"/>
        <v>0</v>
      </c>
      <c r="V115" s="914">
        <f t="shared" si="18"/>
        <v>0</v>
      </c>
    </row>
    <row r="116" spans="1:22" ht="231.75" hidden="1" customHeight="1">
      <c r="A116" s="928"/>
      <c r="B116" s="906" t="s">
        <v>603</v>
      </c>
      <c r="C116" s="921"/>
      <c r="D116" s="908" t="s">
        <v>1192</v>
      </c>
      <c r="E116" s="919"/>
      <c r="F116" s="1053">
        <f t="shared" si="14"/>
        <v>0</v>
      </c>
      <c r="G116" s="919"/>
      <c r="H116" s="914">
        <f t="shared" si="20"/>
        <v>0</v>
      </c>
      <c r="I116" s="919"/>
      <c r="J116" s="914">
        <f t="shared" si="21"/>
        <v>0</v>
      </c>
      <c r="K116" s="914"/>
      <c r="L116" s="914">
        <f t="shared" si="22"/>
        <v>0</v>
      </c>
      <c r="M116" s="919"/>
      <c r="N116" s="914">
        <f t="shared" si="23"/>
        <v>0</v>
      </c>
      <c r="O116" s="919"/>
      <c r="P116" s="914">
        <f t="shared" si="15"/>
        <v>0</v>
      </c>
      <c r="Q116" s="919"/>
      <c r="R116" s="914">
        <f t="shared" si="16"/>
        <v>0</v>
      </c>
      <c r="S116" s="919"/>
      <c r="T116" s="914">
        <f t="shared" si="17"/>
        <v>0</v>
      </c>
      <c r="U116" s="915">
        <f t="shared" si="19"/>
        <v>0</v>
      </c>
      <c r="V116" s="914">
        <f t="shared" si="18"/>
        <v>0</v>
      </c>
    </row>
    <row r="117" spans="1:22" s="920" customFormat="1" ht="231.75" hidden="1" customHeight="1">
      <c r="A117" s="916">
        <v>9.5</v>
      </c>
      <c r="B117" s="925" t="s">
        <v>54</v>
      </c>
      <c r="C117" s="918"/>
      <c r="D117" s="898"/>
      <c r="E117" s="919"/>
      <c r="F117" s="1053">
        <f t="shared" si="14"/>
        <v>0</v>
      </c>
      <c r="G117" s="919"/>
      <c r="H117" s="914">
        <f t="shared" si="20"/>
        <v>0</v>
      </c>
      <c r="I117" s="919"/>
      <c r="J117" s="914">
        <f t="shared" si="21"/>
        <v>0</v>
      </c>
      <c r="K117" s="914"/>
      <c r="L117" s="914">
        <f t="shared" si="22"/>
        <v>0</v>
      </c>
      <c r="M117" s="919"/>
      <c r="N117" s="914">
        <f t="shared" si="23"/>
        <v>0</v>
      </c>
      <c r="O117" s="919"/>
      <c r="P117" s="914">
        <f t="shared" si="15"/>
        <v>0</v>
      </c>
      <c r="Q117" s="919"/>
      <c r="R117" s="914">
        <f t="shared" si="16"/>
        <v>0</v>
      </c>
      <c r="S117" s="919"/>
      <c r="T117" s="914">
        <f t="shared" si="17"/>
        <v>0</v>
      </c>
      <c r="U117" s="915">
        <f t="shared" si="19"/>
        <v>0</v>
      </c>
      <c r="V117" s="914">
        <f t="shared" si="18"/>
        <v>0</v>
      </c>
    </row>
    <row r="118" spans="1:22" s="920" customFormat="1" ht="231.75" hidden="1" customHeight="1">
      <c r="A118" s="916"/>
      <c r="B118" s="917" t="s">
        <v>201</v>
      </c>
      <c r="C118" s="918">
        <f>ROUND(DATA!K347,2)</f>
        <v>6613.43</v>
      </c>
      <c r="D118" s="898" t="s">
        <v>1192</v>
      </c>
      <c r="E118" s="919"/>
      <c r="F118" s="1053">
        <f t="shared" si="14"/>
        <v>0</v>
      </c>
      <c r="G118" s="919"/>
      <c r="H118" s="914">
        <f t="shared" si="20"/>
        <v>0</v>
      </c>
      <c r="I118" s="919"/>
      <c r="J118" s="914">
        <f t="shared" si="21"/>
        <v>0</v>
      </c>
      <c r="K118" s="914"/>
      <c r="L118" s="914">
        <f t="shared" si="22"/>
        <v>0</v>
      </c>
      <c r="M118" s="919"/>
      <c r="N118" s="914">
        <f t="shared" si="23"/>
        <v>0</v>
      </c>
      <c r="O118" s="919"/>
      <c r="P118" s="914">
        <f t="shared" si="15"/>
        <v>0</v>
      </c>
      <c r="Q118" s="919"/>
      <c r="R118" s="914">
        <f t="shared" si="16"/>
        <v>0</v>
      </c>
      <c r="S118" s="919"/>
      <c r="T118" s="914">
        <f t="shared" si="17"/>
        <v>0</v>
      </c>
      <c r="U118" s="915">
        <f t="shared" si="19"/>
        <v>0</v>
      </c>
      <c r="V118" s="914">
        <f t="shared" si="18"/>
        <v>0</v>
      </c>
    </row>
    <row r="119" spans="1:22" s="920" customFormat="1" ht="231.75" hidden="1" customHeight="1">
      <c r="A119" s="916"/>
      <c r="B119" s="917" t="s">
        <v>202</v>
      </c>
      <c r="C119" s="918">
        <f>ROUND(DATA!K348,2)</f>
        <v>6772.63</v>
      </c>
      <c r="D119" s="898" t="s">
        <v>1192</v>
      </c>
      <c r="E119" s="919"/>
      <c r="F119" s="1053">
        <f t="shared" si="14"/>
        <v>0</v>
      </c>
      <c r="G119" s="919"/>
      <c r="H119" s="914">
        <f t="shared" si="20"/>
        <v>0</v>
      </c>
      <c r="I119" s="919"/>
      <c r="J119" s="914">
        <f t="shared" si="21"/>
        <v>0</v>
      </c>
      <c r="K119" s="914"/>
      <c r="L119" s="914">
        <f t="shared" si="22"/>
        <v>0</v>
      </c>
      <c r="M119" s="919"/>
      <c r="N119" s="914">
        <f t="shared" si="23"/>
        <v>0</v>
      </c>
      <c r="O119" s="919"/>
      <c r="P119" s="914">
        <f t="shared" si="15"/>
        <v>0</v>
      </c>
      <c r="Q119" s="919"/>
      <c r="R119" s="914">
        <f t="shared" si="16"/>
        <v>0</v>
      </c>
      <c r="S119" s="919"/>
      <c r="T119" s="914">
        <f t="shared" si="17"/>
        <v>0</v>
      </c>
      <c r="U119" s="915">
        <f t="shared" si="19"/>
        <v>0</v>
      </c>
      <c r="V119" s="914">
        <f t="shared" si="18"/>
        <v>0</v>
      </c>
    </row>
    <row r="120" spans="1:22" s="920" customFormat="1" ht="231.75" hidden="1" customHeight="1">
      <c r="A120" s="916"/>
      <c r="B120" s="917" t="s">
        <v>203</v>
      </c>
      <c r="C120" s="918">
        <f>ROUND(DATA!K349,2)</f>
        <v>6931.83</v>
      </c>
      <c r="D120" s="898" t="s">
        <v>1192</v>
      </c>
      <c r="E120" s="919"/>
      <c r="F120" s="1053">
        <f t="shared" si="14"/>
        <v>0</v>
      </c>
      <c r="G120" s="919"/>
      <c r="H120" s="914">
        <f t="shared" si="20"/>
        <v>0</v>
      </c>
      <c r="I120" s="919"/>
      <c r="J120" s="914">
        <f t="shared" si="21"/>
        <v>0</v>
      </c>
      <c r="K120" s="914"/>
      <c r="L120" s="914">
        <f t="shared" si="22"/>
        <v>0</v>
      </c>
      <c r="M120" s="919"/>
      <c r="N120" s="914">
        <f t="shared" si="23"/>
        <v>0</v>
      </c>
      <c r="O120" s="919"/>
      <c r="P120" s="914">
        <f t="shared" si="15"/>
        <v>0</v>
      </c>
      <c r="Q120" s="919"/>
      <c r="R120" s="914">
        <f t="shared" si="16"/>
        <v>0</v>
      </c>
      <c r="S120" s="919"/>
      <c r="T120" s="914">
        <f t="shared" si="17"/>
        <v>0</v>
      </c>
      <c r="U120" s="915">
        <f t="shared" si="19"/>
        <v>0</v>
      </c>
      <c r="V120" s="914">
        <f t="shared" si="18"/>
        <v>0</v>
      </c>
    </row>
    <row r="121" spans="1:22" s="920" customFormat="1" ht="231.75" hidden="1" customHeight="1">
      <c r="A121" s="916"/>
      <c r="B121" s="917" t="s">
        <v>204</v>
      </c>
      <c r="C121" s="918">
        <f>ROUND(DATA!K350,2)</f>
        <v>7091.03</v>
      </c>
      <c r="D121" s="898" t="s">
        <v>1192</v>
      </c>
      <c r="E121" s="919"/>
      <c r="F121" s="1053">
        <f t="shared" si="14"/>
        <v>0</v>
      </c>
      <c r="G121" s="919"/>
      <c r="H121" s="914">
        <f t="shared" si="20"/>
        <v>0</v>
      </c>
      <c r="I121" s="919"/>
      <c r="J121" s="914">
        <f t="shared" si="21"/>
        <v>0</v>
      </c>
      <c r="K121" s="914"/>
      <c r="L121" s="914">
        <f t="shared" si="22"/>
        <v>0</v>
      </c>
      <c r="M121" s="919"/>
      <c r="N121" s="914">
        <f t="shared" si="23"/>
        <v>0</v>
      </c>
      <c r="O121" s="919"/>
      <c r="P121" s="914">
        <f t="shared" si="15"/>
        <v>0</v>
      </c>
      <c r="Q121" s="919"/>
      <c r="R121" s="914">
        <f t="shared" si="16"/>
        <v>0</v>
      </c>
      <c r="S121" s="919"/>
      <c r="T121" s="914">
        <f t="shared" si="17"/>
        <v>0</v>
      </c>
      <c r="U121" s="915">
        <f t="shared" si="19"/>
        <v>0</v>
      </c>
      <c r="V121" s="914">
        <f t="shared" si="18"/>
        <v>0</v>
      </c>
    </row>
    <row r="122" spans="1:22" s="920" customFormat="1" ht="231.75" hidden="1" customHeight="1">
      <c r="A122" s="929"/>
      <c r="B122" s="917" t="s">
        <v>603</v>
      </c>
      <c r="C122" s="918">
        <f>ROUND(DATA!K351,2)</f>
        <v>7250.23</v>
      </c>
      <c r="D122" s="898" t="s">
        <v>1192</v>
      </c>
      <c r="E122" s="919"/>
      <c r="F122" s="1053">
        <f t="shared" si="14"/>
        <v>0</v>
      </c>
      <c r="G122" s="919"/>
      <c r="H122" s="914">
        <f t="shared" si="20"/>
        <v>0</v>
      </c>
      <c r="I122" s="919"/>
      <c r="J122" s="914">
        <f t="shared" si="21"/>
        <v>0</v>
      </c>
      <c r="K122" s="914"/>
      <c r="L122" s="914">
        <f t="shared" si="22"/>
        <v>0</v>
      </c>
      <c r="M122" s="919"/>
      <c r="N122" s="914">
        <f t="shared" si="23"/>
        <v>0</v>
      </c>
      <c r="O122" s="919"/>
      <c r="P122" s="914">
        <f t="shared" si="15"/>
        <v>0</v>
      </c>
      <c r="Q122" s="919"/>
      <c r="R122" s="914">
        <f t="shared" si="16"/>
        <v>0</v>
      </c>
      <c r="S122" s="919"/>
      <c r="T122" s="914">
        <f t="shared" si="17"/>
        <v>0</v>
      </c>
      <c r="U122" s="915">
        <f t="shared" si="19"/>
        <v>0</v>
      </c>
      <c r="V122" s="914">
        <f t="shared" si="18"/>
        <v>0</v>
      </c>
    </row>
    <row r="123" spans="1:22" ht="231.75" hidden="1" customHeight="1">
      <c r="A123" s="905">
        <v>9.6</v>
      </c>
      <c r="B123" s="906" t="s">
        <v>1566</v>
      </c>
      <c r="C123" s="921"/>
      <c r="D123" s="908"/>
      <c r="E123" s="919"/>
      <c r="F123" s="1053">
        <f t="shared" si="14"/>
        <v>0</v>
      </c>
      <c r="G123" s="919"/>
      <c r="H123" s="914">
        <f t="shared" si="20"/>
        <v>0</v>
      </c>
      <c r="I123" s="919"/>
      <c r="J123" s="914">
        <f t="shared" si="21"/>
        <v>0</v>
      </c>
      <c r="K123" s="914"/>
      <c r="L123" s="914">
        <f t="shared" si="22"/>
        <v>0</v>
      </c>
      <c r="M123" s="919"/>
      <c r="N123" s="914">
        <f t="shared" si="23"/>
        <v>0</v>
      </c>
      <c r="O123" s="919"/>
      <c r="P123" s="914">
        <f t="shared" si="15"/>
        <v>0</v>
      </c>
      <c r="Q123" s="919"/>
      <c r="R123" s="914">
        <f t="shared" si="16"/>
        <v>0</v>
      </c>
      <c r="S123" s="919"/>
      <c r="T123" s="914">
        <f t="shared" si="17"/>
        <v>0</v>
      </c>
      <c r="U123" s="915">
        <f t="shared" si="19"/>
        <v>0</v>
      </c>
      <c r="V123" s="914">
        <f t="shared" si="18"/>
        <v>0</v>
      </c>
    </row>
    <row r="124" spans="1:22" ht="231.75" hidden="1" customHeight="1">
      <c r="A124" s="905"/>
      <c r="B124" s="906" t="s">
        <v>201</v>
      </c>
      <c r="C124" s="921"/>
      <c r="D124" s="908" t="s">
        <v>1192</v>
      </c>
      <c r="E124" s="919"/>
      <c r="F124" s="1053">
        <f t="shared" si="14"/>
        <v>0</v>
      </c>
      <c r="G124" s="919"/>
      <c r="H124" s="914">
        <f t="shared" si="20"/>
        <v>0</v>
      </c>
      <c r="I124" s="919"/>
      <c r="J124" s="914">
        <f t="shared" si="21"/>
        <v>0</v>
      </c>
      <c r="K124" s="914"/>
      <c r="L124" s="914">
        <f t="shared" si="22"/>
        <v>0</v>
      </c>
      <c r="M124" s="919"/>
      <c r="N124" s="914">
        <f t="shared" si="23"/>
        <v>0</v>
      </c>
      <c r="O124" s="919"/>
      <c r="P124" s="914">
        <f t="shared" si="15"/>
        <v>0</v>
      </c>
      <c r="Q124" s="919"/>
      <c r="R124" s="914">
        <f t="shared" si="16"/>
        <v>0</v>
      </c>
      <c r="S124" s="919"/>
      <c r="T124" s="914">
        <f t="shared" si="17"/>
        <v>0</v>
      </c>
      <c r="U124" s="915">
        <f t="shared" si="19"/>
        <v>0</v>
      </c>
      <c r="V124" s="914">
        <f t="shared" si="18"/>
        <v>0</v>
      </c>
    </row>
    <row r="125" spans="1:22" ht="231.75" hidden="1" customHeight="1">
      <c r="A125" s="905"/>
      <c r="B125" s="906" t="s">
        <v>202</v>
      </c>
      <c r="C125" s="921"/>
      <c r="D125" s="908" t="s">
        <v>1192</v>
      </c>
      <c r="E125" s="919"/>
      <c r="F125" s="1053">
        <f t="shared" si="14"/>
        <v>0</v>
      </c>
      <c r="G125" s="919"/>
      <c r="H125" s="914">
        <f t="shared" si="20"/>
        <v>0</v>
      </c>
      <c r="I125" s="919"/>
      <c r="J125" s="914">
        <f t="shared" si="21"/>
        <v>0</v>
      </c>
      <c r="K125" s="914"/>
      <c r="L125" s="914">
        <f t="shared" si="22"/>
        <v>0</v>
      </c>
      <c r="M125" s="919"/>
      <c r="N125" s="914">
        <f t="shared" si="23"/>
        <v>0</v>
      </c>
      <c r="O125" s="919"/>
      <c r="P125" s="914">
        <f t="shared" si="15"/>
        <v>0</v>
      </c>
      <c r="Q125" s="919"/>
      <c r="R125" s="914">
        <f t="shared" si="16"/>
        <v>0</v>
      </c>
      <c r="S125" s="919"/>
      <c r="T125" s="914">
        <f t="shared" si="17"/>
        <v>0</v>
      </c>
      <c r="U125" s="915">
        <f t="shared" si="19"/>
        <v>0</v>
      </c>
      <c r="V125" s="914">
        <f t="shared" si="18"/>
        <v>0</v>
      </c>
    </row>
    <row r="126" spans="1:22" ht="231.75" hidden="1" customHeight="1">
      <c r="A126" s="905"/>
      <c r="B126" s="906" t="s">
        <v>203</v>
      </c>
      <c r="C126" s="921"/>
      <c r="D126" s="908" t="s">
        <v>1192</v>
      </c>
      <c r="E126" s="919"/>
      <c r="F126" s="1053">
        <f t="shared" si="14"/>
        <v>0</v>
      </c>
      <c r="G126" s="919"/>
      <c r="H126" s="914">
        <f t="shared" si="20"/>
        <v>0</v>
      </c>
      <c r="I126" s="919"/>
      <c r="J126" s="914">
        <f t="shared" si="21"/>
        <v>0</v>
      </c>
      <c r="K126" s="914"/>
      <c r="L126" s="914">
        <f t="shared" si="22"/>
        <v>0</v>
      </c>
      <c r="M126" s="919"/>
      <c r="N126" s="914">
        <f t="shared" si="23"/>
        <v>0</v>
      </c>
      <c r="O126" s="919"/>
      <c r="P126" s="914">
        <f t="shared" si="15"/>
        <v>0</v>
      </c>
      <c r="Q126" s="919"/>
      <c r="R126" s="914">
        <f t="shared" si="16"/>
        <v>0</v>
      </c>
      <c r="S126" s="919"/>
      <c r="T126" s="914">
        <f t="shared" si="17"/>
        <v>0</v>
      </c>
      <c r="U126" s="915">
        <f t="shared" si="19"/>
        <v>0</v>
      </c>
      <c r="V126" s="914">
        <f t="shared" si="18"/>
        <v>0</v>
      </c>
    </row>
    <row r="127" spans="1:22" ht="231.75" hidden="1" customHeight="1">
      <c r="A127" s="905"/>
      <c r="B127" s="906" t="s">
        <v>204</v>
      </c>
      <c r="C127" s="921"/>
      <c r="D127" s="908" t="s">
        <v>1192</v>
      </c>
      <c r="E127" s="919"/>
      <c r="F127" s="1053">
        <f t="shared" si="14"/>
        <v>0</v>
      </c>
      <c r="G127" s="919"/>
      <c r="H127" s="914">
        <f t="shared" si="20"/>
        <v>0</v>
      </c>
      <c r="I127" s="919"/>
      <c r="J127" s="914">
        <f t="shared" si="21"/>
        <v>0</v>
      </c>
      <c r="K127" s="914"/>
      <c r="L127" s="914">
        <f t="shared" si="22"/>
        <v>0</v>
      </c>
      <c r="M127" s="919"/>
      <c r="N127" s="914">
        <f t="shared" si="23"/>
        <v>0</v>
      </c>
      <c r="O127" s="919"/>
      <c r="P127" s="914">
        <f t="shared" si="15"/>
        <v>0</v>
      </c>
      <c r="Q127" s="919"/>
      <c r="R127" s="914">
        <f t="shared" si="16"/>
        <v>0</v>
      </c>
      <c r="S127" s="919"/>
      <c r="T127" s="914">
        <f t="shared" si="17"/>
        <v>0</v>
      </c>
      <c r="U127" s="915">
        <f t="shared" si="19"/>
        <v>0</v>
      </c>
      <c r="V127" s="914">
        <f t="shared" si="18"/>
        <v>0</v>
      </c>
    </row>
    <row r="128" spans="1:22" ht="231.75" hidden="1" customHeight="1">
      <c r="A128" s="928"/>
      <c r="B128" s="906" t="s">
        <v>603</v>
      </c>
      <c r="C128" s="921"/>
      <c r="D128" s="908" t="s">
        <v>1192</v>
      </c>
      <c r="E128" s="919"/>
      <c r="F128" s="1053">
        <f t="shared" si="14"/>
        <v>0</v>
      </c>
      <c r="G128" s="919"/>
      <c r="H128" s="914">
        <f t="shared" si="20"/>
        <v>0</v>
      </c>
      <c r="I128" s="919"/>
      <c r="J128" s="914">
        <f t="shared" si="21"/>
        <v>0</v>
      </c>
      <c r="K128" s="914"/>
      <c r="L128" s="914">
        <f t="shared" si="22"/>
        <v>0</v>
      </c>
      <c r="M128" s="919"/>
      <c r="N128" s="914">
        <f t="shared" si="23"/>
        <v>0</v>
      </c>
      <c r="O128" s="919"/>
      <c r="P128" s="914">
        <f t="shared" si="15"/>
        <v>0</v>
      </c>
      <c r="Q128" s="919"/>
      <c r="R128" s="914">
        <f t="shared" si="16"/>
        <v>0</v>
      </c>
      <c r="S128" s="919"/>
      <c r="T128" s="914">
        <f t="shared" si="17"/>
        <v>0</v>
      </c>
      <c r="U128" s="915">
        <f t="shared" si="19"/>
        <v>0</v>
      </c>
      <c r="V128" s="914">
        <f t="shared" si="18"/>
        <v>0</v>
      </c>
    </row>
    <row r="129" spans="1:22" ht="231.75" hidden="1" customHeight="1">
      <c r="A129" s="905">
        <v>10.1</v>
      </c>
      <c r="B129" s="924" t="s">
        <v>6608</v>
      </c>
      <c r="C129" s="921"/>
      <c r="D129" s="908"/>
      <c r="E129" s="919"/>
      <c r="F129" s="1053">
        <f t="shared" si="14"/>
        <v>0</v>
      </c>
      <c r="G129" s="919"/>
      <c r="H129" s="914">
        <f t="shared" si="20"/>
        <v>0</v>
      </c>
      <c r="I129" s="919"/>
      <c r="J129" s="914">
        <f t="shared" si="21"/>
        <v>0</v>
      </c>
      <c r="K129" s="914"/>
      <c r="L129" s="914">
        <f t="shared" si="22"/>
        <v>0</v>
      </c>
      <c r="M129" s="919"/>
      <c r="N129" s="914">
        <f t="shared" si="23"/>
        <v>0</v>
      </c>
      <c r="O129" s="919"/>
      <c r="P129" s="914">
        <f t="shared" si="15"/>
        <v>0</v>
      </c>
      <c r="Q129" s="919"/>
      <c r="R129" s="914">
        <f t="shared" si="16"/>
        <v>0</v>
      </c>
      <c r="S129" s="919"/>
      <c r="T129" s="914">
        <f t="shared" si="17"/>
        <v>0</v>
      </c>
      <c r="U129" s="915">
        <f t="shared" si="19"/>
        <v>0</v>
      </c>
      <c r="V129" s="914">
        <f t="shared" si="18"/>
        <v>0</v>
      </c>
    </row>
    <row r="130" spans="1:22" ht="231.75" hidden="1" customHeight="1">
      <c r="A130" s="905"/>
      <c r="B130" s="906" t="s">
        <v>541</v>
      </c>
      <c r="C130" s="921">
        <f>ROUND(DATA!X400,2)</f>
        <v>863.09</v>
      </c>
      <c r="D130" s="908" t="s">
        <v>1834</v>
      </c>
      <c r="E130" s="919"/>
      <c r="F130" s="1053">
        <f t="shared" si="14"/>
        <v>0</v>
      </c>
      <c r="G130" s="919"/>
      <c r="H130" s="914">
        <f t="shared" si="20"/>
        <v>0</v>
      </c>
      <c r="I130" s="919"/>
      <c r="J130" s="914">
        <f t="shared" si="21"/>
        <v>0</v>
      </c>
      <c r="K130" s="914"/>
      <c r="L130" s="914">
        <f t="shared" si="22"/>
        <v>0</v>
      </c>
      <c r="M130" s="919"/>
      <c r="N130" s="914">
        <f t="shared" si="23"/>
        <v>0</v>
      </c>
      <c r="O130" s="919"/>
      <c r="P130" s="914">
        <f t="shared" si="15"/>
        <v>0</v>
      </c>
      <c r="Q130" s="919"/>
      <c r="R130" s="914">
        <f t="shared" si="16"/>
        <v>0</v>
      </c>
      <c r="S130" s="919"/>
      <c r="T130" s="914">
        <f t="shared" si="17"/>
        <v>0</v>
      </c>
      <c r="U130" s="915">
        <f t="shared" si="19"/>
        <v>0</v>
      </c>
      <c r="V130" s="914">
        <f t="shared" si="18"/>
        <v>0</v>
      </c>
    </row>
    <row r="131" spans="1:22" ht="231.75" hidden="1" customHeight="1">
      <c r="A131" s="905"/>
      <c r="B131" s="906" t="s">
        <v>542</v>
      </c>
      <c r="C131" s="921">
        <f>ROUND(DATA!X402,2)</f>
        <v>871.93</v>
      </c>
      <c r="D131" s="908" t="s">
        <v>1834</v>
      </c>
      <c r="E131" s="919"/>
      <c r="F131" s="1053">
        <f t="shared" si="14"/>
        <v>0</v>
      </c>
      <c r="G131" s="919"/>
      <c r="H131" s="914">
        <f t="shared" si="20"/>
        <v>0</v>
      </c>
      <c r="I131" s="919"/>
      <c r="J131" s="914">
        <f t="shared" si="21"/>
        <v>0</v>
      </c>
      <c r="K131" s="914"/>
      <c r="L131" s="914">
        <f t="shared" si="22"/>
        <v>0</v>
      </c>
      <c r="M131" s="919"/>
      <c r="N131" s="914">
        <f t="shared" si="23"/>
        <v>0</v>
      </c>
      <c r="O131" s="919"/>
      <c r="P131" s="914">
        <f t="shared" si="15"/>
        <v>0</v>
      </c>
      <c r="Q131" s="919"/>
      <c r="R131" s="914">
        <f t="shared" si="16"/>
        <v>0</v>
      </c>
      <c r="S131" s="919"/>
      <c r="T131" s="914">
        <f t="shared" si="17"/>
        <v>0</v>
      </c>
      <c r="U131" s="915">
        <f t="shared" si="19"/>
        <v>0</v>
      </c>
      <c r="V131" s="914">
        <f t="shared" si="18"/>
        <v>0</v>
      </c>
    </row>
    <row r="132" spans="1:22" ht="231.75" hidden="1" customHeight="1">
      <c r="A132" s="905"/>
      <c r="B132" s="906" t="s">
        <v>544</v>
      </c>
      <c r="C132" s="921">
        <f>ROUND(DATA!X403,2)</f>
        <v>889.76</v>
      </c>
      <c r="D132" s="908" t="s">
        <v>1834</v>
      </c>
      <c r="E132" s="919"/>
      <c r="F132" s="1053">
        <f t="shared" si="14"/>
        <v>0</v>
      </c>
      <c r="G132" s="919"/>
      <c r="H132" s="914">
        <f t="shared" si="20"/>
        <v>0</v>
      </c>
      <c r="I132" s="919"/>
      <c r="J132" s="914">
        <f t="shared" si="21"/>
        <v>0</v>
      </c>
      <c r="K132" s="914"/>
      <c r="L132" s="914">
        <f t="shared" si="22"/>
        <v>0</v>
      </c>
      <c r="M132" s="919"/>
      <c r="N132" s="914">
        <f t="shared" si="23"/>
        <v>0</v>
      </c>
      <c r="O132" s="919"/>
      <c r="P132" s="914">
        <f t="shared" si="15"/>
        <v>0</v>
      </c>
      <c r="Q132" s="919"/>
      <c r="R132" s="914">
        <f t="shared" si="16"/>
        <v>0</v>
      </c>
      <c r="S132" s="919"/>
      <c r="T132" s="914">
        <f t="shared" si="17"/>
        <v>0</v>
      </c>
      <c r="U132" s="915">
        <f t="shared" si="19"/>
        <v>0</v>
      </c>
      <c r="V132" s="914">
        <f t="shared" si="18"/>
        <v>0</v>
      </c>
    </row>
    <row r="133" spans="1:22" ht="231.75" hidden="1" customHeight="1">
      <c r="A133" s="905"/>
      <c r="B133" s="906" t="s">
        <v>1798</v>
      </c>
      <c r="C133" s="921">
        <f>ROUND(DATA!X404,2)</f>
        <v>907.59</v>
      </c>
      <c r="D133" s="908" t="s">
        <v>1834</v>
      </c>
      <c r="E133" s="919"/>
      <c r="F133" s="1053">
        <f t="shared" si="14"/>
        <v>0</v>
      </c>
      <c r="G133" s="919"/>
      <c r="H133" s="914">
        <f t="shared" si="20"/>
        <v>0</v>
      </c>
      <c r="I133" s="919"/>
      <c r="J133" s="914">
        <f t="shared" si="21"/>
        <v>0</v>
      </c>
      <c r="K133" s="914"/>
      <c r="L133" s="914">
        <f t="shared" si="22"/>
        <v>0</v>
      </c>
      <c r="M133" s="919"/>
      <c r="N133" s="914">
        <f t="shared" si="23"/>
        <v>0</v>
      </c>
      <c r="O133" s="919"/>
      <c r="P133" s="914">
        <f t="shared" si="15"/>
        <v>0</v>
      </c>
      <c r="Q133" s="919"/>
      <c r="R133" s="914">
        <f t="shared" si="16"/>
        <v>0</v>
      </c>
      <c r="S133" s="919"/>
      <c r="T133" s="914">
        <f t="shared" si="17"/>
        <v>0</v>
      </c>
      <c r="U133" s="915">
        <f t="shared" si="19"/>
        <v>0</v>
      </c>
      <c r="V133" s="914">
        <f t="shared" si="18"/>
        <v>0</v>
      </c>
    </row>
    <row r="134" spans="1:22" ht="231.75" hidden="1" customHeight="1">
      <c r="A134" s="905"/>
      <c r="B134" s="906" t="s">
        <v>2205</v>
      </c>
      <c r="C134" s="921">
        <f>ROUND(DATA!X405,2)</f>
        <v>925.42</v>
      </c>
      <c r="D134" s="908" t="s">
        <v>1834</v>
      </c>
      <c r="E134" s="919"/>
      <c r="F134" s="1053">
        <f t="shared" ref="F134:F197" si="24">E134*C134</f>
        <v>0</v>
      </c>
      <c r="G134" s="919"/>
      <c r="H134" s="914">
        <f t="shared" si="20"/>
        <v>0</v>
      </c>
      <c r="I134" s="919"/>
      <c r="J134" s="914">
        <f t="shared" si="21"/>
        <v>0</v>
      </c>
      <c r="K134" s="914"/>
      <c r="L134" s="914">
        <f t="shared" si="22"/>
        <v>0</v>
      </c>
      <c r="M134" s="919"/>
      <c r="N134" s="914">
        <f t="shared" si="23"/>
        <v>0</v>
      </c>
      <c r="O134" s="919"/>
      <c r="P134" s="914">
        <f t="shared" ref="P134:P197" si="25">O134*C134</f>
        <v>0</v>
      </c>
      <c r="Q134" s="919"/>
      <c r="R134" s="914">
        <f t="shared" ref="R134:R197" si="26">Q134*C134</f>
        <v>0</v>
      </c>
      <c r="S134" s="919"/>
      <c r="T134" s="914">
        <f t="shared" ref="T134:T197" si="27">S134*C134</f>
        <v>0</v>
      </c>
      <c r="U134" s="915">
        <f t="shared" si="19"/>
        <v>0</v>
      </c>
      <c r="V134" s="914">
        <f t="shared" ref="V134:V197" si="28">U134*C134</f>
        <v>0</v>
      </c>
    </row>
    <row r="135" spans="1:22" ht="231.75" hidden="1" customHeight="1">
      <c r="A135" s="928"/>
      <c r="B135" s="906" t="s">
        <v>1060</v>
      </c>
      <c r="C135" s="921">
        <f>ROUND(DATA!X406,2)</f>
        <v>943.25</v>
      </c>
      <c r="D135" s="908" t="s">
        <v>1834</v>
      </c>
      <c r="E135" s="919"/>
      <c r="F135" s="1053">
        <f t="shared" si="24"/>
        <v>0</v>
      </c>
      <c r="G135" s="919"/>
      <c r="H135" s="914">
        <f t="shared" si="20"/>
        <v>0</v>
      </c>
      <c r="I135" s="919"/>
      <c r="J135" s="914">
        <f t="shared" si="21"/>
        <v>0</v>
      </c>
      <c r="K135" s="914"/>
      <c r="L135" s="914">
        <f t="shared" si="22"/>
        <v>0</v>
      </c>
      <c r="M135" s="919"/>
      <c r="N135" s="914">
        <f t="shared" si="23"/>
        <v>0</v>
      </c>
      <c r="O135" s="919"/>
      <c r="P135" s="914">
        <f t="shared" si="25"/>
        <v>0</v>
      </c>
      <c r="Q135" s="919"/>
      <c r="R135" s="914">
        <f t="shared" si="26"/>
        <v>0</v>
      </c>
      <c r="S135" s="919"/>
      <c r="T135" s="914">
        <f t="shared" si="27"/>
        <v>0</v>
      </c>
      <c r="U135" s="915">
        <f t="shared" si="19"/>
        <v>0</v>
      </c>
      <c r="V135" s="914">
        <f t="shared" si="28"/>
        <v>0</v>
      </c>
    </row>
    <row r="136" spans="1:22" ht="231.75" hidden="1" customHeight="1">
      <c r="A136" s="905">
        <v>10.199999999999999</v>
      </c>
      <c r="B136" s="924" t="s">
        <v>6609</v>
      </c>
      <c r="C136" s="921"/>
      <c r="D136" s="908"/>
      <c r="E136" s="911"/>
      <c r="F136" s="1053">
        <f t="shared" si="24"/>
        <v>0</v>
      </c>
      <c r="G136" s="914"/>
      <c r="H136" s="914">
        <f t="shared" si="20"/>
        <v>0</v>
      </c>
      <c r="I136" s="914"/>
      <c r="J136" s="914">
        <f t="shared" si="21"/>
        <v>0</v>
      </c>
      <c r="K136" s="914"/>
      <c r="L136" s="914">
        <f t="shared" si="22"/>
        <v>0</v>
      </c>
      <c r="M136" s="914"/>
      <c r="N136" s="914">
        <f t="shared" si="23"/>
        <v>0</v>
      </c>
      <c r="O136" s="914"/>
      <c r="P136" s="914">
        <f t="shared" si="25"/>
        <v>0</v>
      </c>
      <c r="Q136" s="914"/>
      <c r="R136" s="914">
        <f t="shared" si="26"/>
        <v>0</v>
      </c>
      <c r="S136" s="914"/>
      <c r="T136" s="914">
        <f t="shared" si="27"/>
        <v>0</v>
      </c>
      <c r="U136" s="915">
        <f t="shared" si="19"/>
        <v>0</v>
      </c>
      <c r="V136" s="914">
        <f t="shared" si="28"/>
        <v>0</v>
      </c>
    </row>
    <row r="137" spans="1:22" ht="231.75" hidden="1" customHeight="1">
      <c r="A137" s="905"/>
      <c r="B137" s="906" t="s">
        <v>541</v>
      </c>
      <c r="C137" s="921">
        <f>ROUND(DATA!AG409,2)</f>
        <v>842.74</v>
      </c>
      <c r="D137" s="908" t="s">
        <v>1834</v>
      </c>
      <c r="E137" s="914"/>
      <c r="F137" s="1053">
        <f t="shared" si="24"/>
        <v>0</v>
      </c>
      <c r="G137" s="914"/>
      <c r="H137" s="914">
        <f t="shared" si="20"/>
        <v>0</v>
      </c>
      <c r="I137" s="914"/>
      <c r="J137" s="914">
        <f t="shared" si="21"/>
        <v>0</v>
      </c>
      <c r="K137" s="914"/>
      <c r="L137" s="914">
        <f t="shared" si="22"/>
        <v>0</v>
      </c>
      <c r="M137" s="914"/>
      <c r="N137" s="914">
        <f t="shared" si="23"/>
        <v>0</v>
      </c>
      <c r="O137" s="914"/>
      <c r="P137" s="914">
        <f t="shared" si="25"/>
        <v>0</v>
      </c>
      <c r="Q137" s="914"/>
      <c r="R137" s="914">
        <f t="shared" si="26"/>
        <v>0</v>
      </c>
      <c r="S137" s="914"/>
      <c r="T137" s="914">
        <f t="shared" si="27"/>
        <v>0</v>
      </c>
      <c r="U137" s="915">
        <f t="shared" si="19"/>
        <v>0</v>
      </c>
      <c r="V137" s="914">
        <f t="shared" si="28"/>
        <v>0</v>
      </c>
    </row>
    <row r="138" spans="1:22" ht="231.75" hidden="1" customHeight="1">
      <c r="A138" s="905"/>
      <c r="B138" s="906" t="s">
        <v>3784</v>
      </c>
      <c r="C138" s="921">
        <f>ROUND(DATA!AG411,2)</f>
        <v>851.73</v>
      </c>
      <c r="D138" s="908" t="s">
        <v>1834</v>
      </c>
      <c r="E138" s="930"/>
      <c r="F138" s="1053">
        <f t="shared" si="24"/>
        <v>0</v>
      </c>
      <c r="G138" s="914"/>
      <c r="H138" s="914">
        <f t="shared" si="20"/>
        <v>0</v>
      </c>
      <c r="I138" s="914"/>
      <c r="J138" s="914">
        <f t="shared" si="21"/>
        <v>0</v>
      </c>
      <c r="K138" s="914"/>
      <c r="L138" s="914">
        <f t="shared" si="22"/>
        <v>0</v>
      </c>
      <c r="M138" s="914"/>
      <c r="N138" s="914">
        <f t="shared" si="23"/>
        <v>0</v>
      </c>
      <c r="O138" s="914"/>
      <c r="P138" s="914">
        <f t="shared" si="25"/>
        <v>0</v>
      </c>
      <c r="Q138" s="914"/>
      <c r="R138" s="914">
        <f t="shared" si="26"/>
        <v>0</v>
      </c>
      <c r="S138" s="914"/>
      <c r="T138" s="914">
        <f t="shared" si="27"/>
        <v>0</v>
      </c>
      <c r="U138" s="915">
        <f t="shared" si="19"/>
        <v>0</v>
      </c>
      <c r="V138" s="914">
        <f t="shared" si="28"/>
        <v>0</v>
      </c>
    </row>
    <row r="139" spans="1:22" ht="231.75" hidden="1" customHeight="1">
      <c r="A139" s="905"/>
      <c r="B139" s="906" t="s">
        <v>544</v>
      </c>
      <c r="C139" s="921">
        <f>ROUND(DATA!AG412,2)</f>
        <v>869.88</v>
      </c>
      <c r="D139" s="908" t="s">
        <v>1834</v>
      </c>
      <c r="E139" s="914"/>
      <c r="F139" s="1053">
        <f t="shared" si="24"/>
        <v>0</v>
      </c>
      <c r="G139" s="914"/>
      <c r="H139" s="914">
        <f t="shared" si="20"/>
        <v>0</v>
      </c>
      <c r="I139" s="914"/>
      <c r="J139" s="914">
        <f t="shared" si="21"/>
        <v>0</v>
      </c>
      <c r="K139" s="914"/>
      <c r="L139" s="914">
        <f t="shared" si="22"/>
        <v>0</v>
      </c>
      <c r="M139" s="914"/>
      <c r="N139" s="914">
        <f t="shared" si="23"/>
        <v>0</v>
      </c>
      <c r="O139" s="914"/>
      <c r="P139" s="914">
        <f t="shared" si="25"/>
        <v>0</v>
      </c>
      <c r="Q139" s="914"/>
      <c r="R139" s="914">
        <f t="shared" si="26"/>
        <v>0</v>
      </c>
      <c r="S139" s="914"/>
      <c r="T139" s="914">
        <f t="shared" si="27"/>
        <v>0</v>
      </c>
      <c r="U139" s="915">
        <f t="shared" si="19"/>
        <v>0</v>
      </c>
      <c r="V139" s="914">
        <f t="shared" si="28"/>
        <v>0</v>
      </c>
    </row>
    <row r="140" spans="1:22" ht="231.75" hidden="1" customHeight="1">
      <c r="A140" s="905"/>
      <c r="B140" s="906" t="s">
        <v>1798</v>
      </c>
      <c r="C140" s="921">
        <f>ROUND(DATA!AG413,2)</f>
        <v>888.03</v>
      </c>
      <c r="D140" s="908" t="s">
        <v>1834</v>
      </c>
      <c r="E140" s="919"/>
      <c r="F140" s="1053">
        <f t="shared" si="24"/>
        <v>0</v>
      </c>
      <c r="G140" s="919"/>
      <c r="H140" s="914">
        <f t="shared" si="20"/>
        <v>0</v>
      </c>
      <c r="I140" s="919"/>
      <c r="J140" s="914">
        <f t="shared" si="21"/>
        <v>0</v>
      </c>
      <c r="K140" s="914"/>
      <c r="L140" s="914">
        <f t="shared" si="22"/>
        <v>0</v>
      </c>
      <c r="M140" s="919"/>
      <c r="N140" s="914">
        <f t="shared" si="23"/>
        <v>0</v>
      </c>
      <c r="O140" s="919"/>
      <c r="P140" s="914">
        <f t="shared" si="25"/>
        <v>0</v>
      </c>
      <c r="Q140" s="919"/>
      <c r="R140" s="914">
        <f t="shared" si="26"/>
        <v>0</v>
      </c>
      <c r="S140" s="919"/>
      <c r="T140" s="914">
        <f t="shared" si="27"/>
        <v>0</v>
      </c>
      <c r="U140" s="915">
        <f t="shared" si="19"/>
        <v>0</v>
      </c>
      <c r="V140" s="914">
        <f t="shared" si="28"/>
        <v>0</v>
      </c>
    </row>
    <row r="141" spans="1:22" ht="231.75" hidden="1" customHeight="1">
      <c r="A141" s="905"/>
      <c r="B141" s="906" t="s">
        <v>2205</v>
      </c>
      <c r="C141" s="921">
        <f>ROUND(DATA!AG414,2)</f>
        <v>906.18</v>
      </c>
      <c r="D141" s="908" t="s">
        <v>1834</v>
      </c>
      <c r="E141" s="919"/>
      <c r="F141" s="1053">
        <f t="shared" si="24"/>
        <v>0</v>
      </c>
      <c r="G141" s="919"/>
      <c r="H141" s="914">
        <f t="shared" si="20"/>
        <v>0</v>
      </c>
      <c r="I141" s="919"/>
      <c r="J141" s="914">
        <f t="shared" si="21"/>
        <v>0</v>
      </c>
      <c r="K141" s="914"/>
      <c r="L141" s="914">
        <f t="shared" si="22"/>
        <v>0</v>
      </c>
      <c r="M141" s="919"/>
      <c r="N141" s="914">
        <f t="shared" si="23"/>
        <v>0</v>
      </c>
      <c r="O141" s="919"/>
      <c r="P141" s="914">
        <f t="shared" si="25"/>
        <v>0</v>
      </c>
      <c r="Q141" s="919"/>
      <c r="R141" s="914">
        <f t="shared" si="26"/>
        <v>0</v>
      </c>
      <c r="S141" s="919"/>
      <c r="T141" s="914">
        <f t="shared" si="27"/>
        <v>0</v>
      </c>
      <c r="U141" s="915">
        <f t="shared" si="19"/>
        <v>0</v>
      </c>
      <c r="V141" s="914">
        <f t="shared" si="28"/>
        <v>0</v>
      </c>
    </row>
    <row r="142" spans="1:22" ht="231.75" hidden="1" customHeight="1">
      <c r="A142" s="928"/>
      <c r="B142" s="906" t="s">
        <v>1060</v>
      </c>
      <c r="C142" s="921">
        <f>ROUND(DATA!AG415,2)</f>
        <v>924.33</v>
      </c>
      <c r="D142" s="908" t="s">
        <v>1834</v>
      </c>
      <c r="E142" s="919"/>
      <c r="F142" s="1053">
        <f t="shared" si="24"/>
        <v>0</v>
      </c>
      <c r="G142" s="919"/>
      <c r="H142" s="914">
        <f t="shared" si="20"/>
        <v>0</v>
      </c>
      <c r="I142" s="919"/>
      <c r="J142" s="914">
        <f t="shared" si="21"/>
        <v>0</v>
      </c>
      <c r="K142" s="914"/>
      <c r="L142" s="914">
        <f t="shared" si="22"/>
        <v>0</v>
      </c>
      <c r="M142" s="919"/>
      <c r="N142" s="914">
        <f t="shared" si="23"/>
        <v>0</v>
      </c>
      <c r="O142" s="919"/>
      <c r="P142" s="914">
        <f t="shared" si="25"/>
        <v>0</v>
      </c>
      <c r="Q142" s="919"/>
      <c r="R142" s="914">
        <f t="shared" si="26"/>
        <v>0</v>
      </c>
      <c r="S142" s="919"/>
      <c r="T142" s="914">
        <f t="shared" si="27"/>
        <v>0</v>
      </c>
      <c r="U142" s="915">
        <f t="shared" si="19"/>
        <v>0</v>
      </c>
      <c r="V142" s="914">
        <f t="shared" si="28"/>
        <v>0</v>
      </c>
    </row>
    <row r="143" spans="1:22" ht="231.75" hidden="1" customHeight="1">
      <c r="A143" s="928"/>
      <c r="B143" s="906" t="s">
        <v>3761</v>
      </c>
      <c r="C143" s="921">
        <f>ROUND(DATA!AG416,2)</f>
        <v>942.48</v>
      </c>
      <c r="D143" s="908" t="s">
        <v>1834</v>
      </c>
      <c r="E143" s="919"/>
      <c r="F143" s="1053">
        <f t="shared" si="24"/>
        <v>0</v>
      </c>
      <c r="G143" s="919"/>
      <c r="H143" s="914">
        <f t="shared" si="20"/>
        <v>0</v>
      </c>
      <c r="I143" s="919"/>
      <c r="J143" s="914">
        <f t="shared" si="21"/>
        <v>0</v>
      </c>
      <c r="K143" s="914"/>
      <c r="L143" s="914">
        <f t="shared" si="22"/>
        <v>0</v>
      </c>
      <c r="M143" s="919"/>
      <c r="N143" s="914">
        <f t="shared" si="23"/>
        <v>0</v>
      </c>
      <c r="O143" s="919"/>
      <c r="P143" s="914">
        <f t="shared" si="25"/>
        <v>0</v>
      </c>
      <c r="Q143" s="919"/>
      <c r="R143" s="914">
        <f t="shared" si="26"/>
        <v>0</v>
      </c>
      <c r="S143" s="919"/>
      <c r="T143" s="914">
        <f t="shared" si="27"/>
        <v>0</v>
      </c>
      <c r="U143" s="915">
        <f t="shared" si="19"/>
        <v>0</v>
      </c>
      <c r="V143" s="914">
        <f t="shared" si="28"/>
        <v>0</v>
      </c>
    </row>
    <row r="144" spans="1:22" ht="231.75" hidden="1" customHeight="1">
      <c r="A144" s="928"/>
      <c r="B144" s="906" t="s">
        <v>3762</v>
      </c>
      <c r="C144" s="921">
        <f>ROUND(DATA!AG417,2)</f>
        <v>960.63</v>
      </c>
      <c r="D144" s="908" t="s">
        <v>1834</v>
      </c>
      <c r="E144" s="919"/>
      <c r="F144" s="1053">
        <f t="shared" si="24"/>
        <v>0</v>
      </c>
      <c r="G144" s="919"/>
      <c r="H144" s="914">
        <f t="shared" si="20"/>
        <v>0</v>
      </c>
      <c r="I144" s="919"/>
      <c r="J144" s="914">
        <f t="shared" si="21"/>
        <v>0</v>
      </c>
      <c r="K144" s="914"/>
      <c r="L144" s="914">
        <f t="shared" si="22"/>
        <v>0</v>
      </c>
      <c r="M144" s="919"/>
      <c r="N144" s="914">
        <f t="shared" si="23"/>
        <v>0</v>
      </c>
      <c r="O144" s="919"/>
      <c r="P144" s="914">
        <f t="shared" si="25"/>
        <v>0</v>
      </c>
      <c r="Q144" s="919"/>
      <c r="R144" s="914">
        <f t="shared" si="26"/>
        <v>0</v>
      </c>
      <c r="S144" s="919"/>
      <c r="T144" s="914">
        <f t="shared" si="27"/>
        <v>0</v>
      </c>
      <c r="U144" s="915">
        <f t="shared" si="19"/>
        <v>0</v>
      </c>
      <c r="V144" s="914">
        <f t="shared" si="28"/>
        <v>0</v>
      </c>
    </row>
    <row r="145" spans="1:22" ht="231.75" hidden="1" customHeight="1">
      <c r="A145" s="928"/>
      <c r="B145" s="906" t="s">
        <v>3763</v>
      </c>
      <c r="C145" s="921">
        <f>ROUND(DATA!AG418,2)</f>
        <v>978.78</v>
      </c>
      <c r="D145" s="908" t="s">
        <v>1834</v>
      </c>
      <c r="E145" s="919"/>
      <c r="F145" s="1053">
        <f t="shared" si="24"/>
        <v>0</v>
      </c>
      <c r="G145" s="919"/>
      <c r="H145" s="914">
        <f t="shared" si="20"/>
        <v>0</v>
      </c>
      <c r="I145" s="919"/>
      <c r="J145" s="914">
        <f t="shared" si="21"/>
        <v>0</v>
      </c>
      <c r="K145" s="914"/>
      <c r="L145" s="914">
        <f t="shared" si="22"/>
        <v>0</v>
      </c>
      <c r="M145" s="919"/>
      <c r="N145" s="914">
        <f t="shared" si="23"/>
        <v>0</v>
      </c>
      <c r="O145" s="919"/>
      <c r="P145" s="914">
        <f t="shared" si="25"/>
        <v>0</v>
      </c>
      <c r="Q145" s="919"/>
      <c r="R145" s="914">
        <f t="shared" si="26"/>
        <v>0</v>
      </c>
      <c r="S145" s="919"/>
      <c r="T145" s="914">
        <f t="shared" si="27"/>
        <v>0</v>
      </c>
      <c r="U145" s="915">
        <f t="shared" si="19"/>
        <v>0</v>
      </c>
      <c r="V145" s="914">
        <f t="shared" si="28"/>
        <v>0</v>
      </c>
    </row>
    <row r="146" spans="1:22" ht="231.75" hidden="1" customHeight="1">
      <c r="A146" s="928"/>
      <c r="B146" s="906" t="s">
        <v>3764</v>
      </c>
      <c r="C146" s="921">
        <f>ROUND(DATA!AG419,2)</f>
        <v>996.93</v>
      </c>
      <c r="D146" s="908" t="s">
        <v>1834</v>
      </c>
      <c r="E146" s="919"/>
      <c r="F146" s="1053">
        <f t="shared" si="24"/>
        <v>0</v>
      </c>
      <c r="G146" s="919"/>
      <c r="H146" s="914">
        <f t="shared" si="20"/>
        <v>0</v>
      </c>
      <c r="I146" s="919"/>
      <c r="J146" s="914">
        <f t="shared" si="21"/>
        <v>0</v>
      </c>
      <c r="K146" s="914"/>
      <c r="L146" s="914">
        <f t="shared" si="22"/>
        <v>0</v>
      </c>
      <c r="M146" s="919"/>
      <c r="N146" s="914">
        <f t="shared" si="23"/>
        <v>0</v>
      </c>
      <c r="O146" s="919"/>
      <c r="P146" s="914">
        <f t="shared" si="25"/>
        <v>0</v>
      </c>
      <c r="Q146" s="919"/>
      <c r="R146" s="914">
        <f t="shared" si="26"/>
        <v>0</v>
      </c>
      <c r="S146" s="919"/>
      <c r="T146" s="914">
        <f t="shared" si="27"/>
        <v>0</v>
      </c>
      <c r="U146" s="915">
        <f t="shared" ref="U146:U209" si="29">G146+I146+M146+O146+Q146+S146+E146+K146</f>
        <v>0</v>
      </c>
      <c r="V146" s="914">
        <f t="shared" si="28"/>
        <v>0</v>
      </c>
    </row>
    <row r="147" spans="1:22" ht="231.75" hidden="1" customHeight="1">
      <c r="A147" s="928"/>
      <c r="B147" s="906" t="s">
        <v>3765</v>
      </c>
      <c r="C147" s="921">
        <f>ROUND(DATA!AG420,2)</f>
        <v>1015.08</v>
      </c>
      <c r="D147" s="908" t="s">
        <v>1834</v>
      </c>
      <c r="E147" s="919"/>
      <c r="F147" s="1053">
        <f t="shared" si="24"/>
        <v>0</v>
      </c>
      <c r="G147" s="919"/>
      <c r="H147" s="914">
        <f t="shared" ref="H147:H210" si="30">C147*G147</f>
        <v>0</v>
      </c>
      <c r="I147" s="919"/>
      <c r="J147" s="914">
        <f t="shared" ref="J147:J210" si="31">I147*C147</f>
        <v>0</v>
      </c>
      <c r="K147" s="914"/>
      <c r="L147" s="914">
        <f t="shared" ref="L147:L210" si="32">K147*C147</f>
        <v>0</v>
      </c>
      <c r="M147" s="919"/>
      <c r="N147" s="914">
        <f t="shared" ref="N147:N210" si="33">M147*C147</f>
        <v>0</v>
      </c>
      <c r="O147" s="919"/>
      <c r="P147" s="914">
        <f t="shared" si="25"/>
        <v>0</v>
      </c>
      <c r="Q147" s="919"/>
      <c r="R147" s="914">
        <f t="shared" si="26"/>
        <v>0</v>
      </c>
      <c r="S147" s="919"/>
      <c r="T147" s="914">
        <f t="shared" si="27"/>
        <v>0</v>
      </c>
      <c r="U147" s="915">
        <f t="shared" si="29"/>
        <v>0</v>
      </c>
      <c r="V147" s="914">
        <f t="shared" si="28"/>
        <v>0</v>
      </c>
    </row>
    <row r="148" spans="1:22" ht="231.75" hidden="1" customHeight="1">
      <c r="A148" s="928"/>
      <c r="B148" s="906" t="s">
        <v>3766</v>
      </c>
      <c r="C148" s="921">
        <f>ROUND(DATA!AG421,2)</f>
        <v>1033.23</v>
      </c>
      <c r="D148" s="908" t="s">
        <v>1834</v>
      </c>
      <c r="E148" s="919"/>
      <c r="F148" s="1053">
        <f t="shared" si="24"/>
        <v>0</v>
      </c>
      <c r="G148" s="919"/>
      <c r="H148" s="914">
        <f t="shared" si="30"/>
        <v>0</v>
      </c>
      <c r="I148" s="919"/>
      <c r="J148" s="914">
        <f t="shared" si="31"/>
        <v>0</v>
      </c>
      <c r="K148" s="914"/>
      <c r="L148" s="914">
        <f t="shared" si="32"/>
        <v>0</v>
      </c>
      <c r="M148" s="919"/>
      <c r="N148" s="914">
        <f t="shared" si="33"/>
        <v>0</v>
      </c>
      <c r="O148" s="919"/>
      <c r="P148" s="914">
        <f t="shared" si="25"/>
        <v>0</v>
      </c>
      <c r="Q148" s="919"/>
      <c r="R148" s="914">
        <f t="shared" si="26"/>
        <v>0</v>
      </c>
      <c r="S148" s="919"/>
      <c r="T148" s="914">
        <f t="shared" si="27"/>
        <v>0</v>
      </c>
      <c r="U148" s="915">
        <f t="shared" si="29"/>
        <v>0</v>
      </c>
      <c r="V148" s="914">
        <f t="shared" si="28"/>
        <v>0</v>
      </c>
    </row>
    <row r="149" spans="1:22" ht="231.75" hidden="1" customHeight="1">
      <c r="A149" s="928"/>
      <c r="B149" s="906" t="s">
        <v>3767</v>
      </c>
      <c r="C149" s="921">
        <f>ROUND(DATA!AG422,2)</f>
        <v>1051.3800000000001</v>
      </c>
      <c r="D149" s="908" t="s">
        <v>1834</v>
      </c>
      <c r="E149" s="919"/>
      <c r="F149" s="1053">
        <f t="shared" si="24"/>
        <v>0</v>
      </c>
      <c r="G149" s="919"/>
      <c r="H149" s="914">
        <f t="shared" si="30"/>
        <v>0</v>
      </c>
      <c r="I149" s="919"/>
      <c r="J149" s="914">
        <f t="shared" si="31"/>
        <v>0</v>
      </c>
      <c r="K149" s="914"/>
      <c r="L149" s="914">
        <f t="shared" si="32"/>
        <v>0</v>
      </c>
      <c r="M149" s="919"/>
      <c r="N149" s="914">
        <f t="shared" si="33"/>
        <v>0</v>
      </c>
      <c r="O149" s="919"/>
      <c r="P149" s="914">
        <f t="shared" si="25"/>
        <v>0</v>
      </c>
      <c r="Q149" s="919"/>
      <c r="R149" s="914">
        <f t="shared" si="26"/>
        <v>0</v>
      </c>
      <c r="S149" s="919"/>
      <c r="T149" s="914">
        <f t="shared" si="27"/>
        <v>0</v>
      </c>
      <c r="U149" s="915">
        <f t="shared" si="29"/>
        <v>0</v>
      </c>
      <c r="V149" s="914">
        <f t="shared" si="28"/>
        <v>0</v>
      </c>
    </row>
    <row r="150" spans="1:22" ht="231.75" hidden="1" customHeight="1">
      <c r="A150" s="928"/>
      <c r="B150" s="906" t="s">
        <v>3768</v>
      </c>
      <c r="C150" s="921">
        <f>DATA!AI422</f>
        <v>1069.53</v>
      </c>
      <c r="D150" s="908" t="s">
        <v>1834</v>
      </c>
      <c r="E150" s="919"/>
      <c r="F150" s="1053">
        <f t="shared" si="24"/>
        <v>0</v>
      </c>
      <c r="G150" s="919"/>
      <c r="H150" s="914">
        <f t="shared" si="30"/>
        <v>0</v>
      </c>
      <c r="I150" s="919"/>
      <c r="J150" s="914">
        <f t="shared" si="31"/>
        <v>0</v>
      </c>
      <c r="K150" s="914"/>
      <c r="L150" s="914">
        <f t="shared" si="32"/>
        <v>0</v>
      </c>
      <c r="M150" s="919"/>
      <c r="N150" s="914">
        <f t="shared" si="33"/>
        <v>0</v>
      </c>
      <c r="O150" s="919"/>
      <c r="P150" s="914">
        <f t="shared" si="25"/>
        <v>0</v>
      </c>
      <c r="Q150" s="919"/>
      <c r="R150" s="914">
        <f t="shared" si="26"/>
        <v>0</v>
      </c>
      <c r="S150" s="919"/>
      <c r="T150" s="914">
        <f t="shared" si="27"/>
        <v>0</v>
      </c>
      <c r="U150" s="915">
        <f t="shared" si="29"/>
        <v>0</v>
      </c>
      <c r="V150" s="914">
        <f t="shared" si="28"/>
        <v>0</v>
      </c>
    </row>
    <row r="151" spans="1:22" ht="231.75" hidden="1" customHeight="1">
      <c r="A151" s="928"/>
      <c r="B151" s="906" t="s">
        <v>3773</v>
      </c>
      <c r="C151" s="921">
        <f>DATA!AI423</f>
        <v>1087.68</v>
      </c>
      <c r="D151" s="908" t="s">
        <v>1834</v>
      </c>
      <c r="E151" s="919"/>
      <c r="F151" s="1053">
        <f t="shared" si="24"/>
        <v>0</v>
      </c>
      <c r="G151" s="919"/>
      <c r="H151" s="914">
        <f t="shared" si="30"/>
        <v>0</v>
      </c>
      <c r="I151" s="919"/>
      <c r="J151" s="914">
        <f t="shared" si="31"/>
        <v>0</v>
      </c>
      <c r="K151" s="914"/>
      <c r="L151" s="914">
        <f t="shared" si="32"/>
        <v>0</v>
      </c>
      <c r="M151" s="919"/>
      <c r="N151" s="914">
        <f t="shared" si="33"/>
        <v>0</v>
      </c>
      <c r="O151" s="919"/>
      <c r="P151" s="914">
        <f t="shared" si="25"/>
        <v>0</v>
      </c>
      <c r="Q151" s="919"/>
      <c r="R151" s="914">
        <f t="shared" si="26"/>
        <v>0</v>
      </c>
      <c r="S151" s="919"/>
      <c r="T151" s="914">
        <f t="shared" si="27"/>
        <v>0</v>
      </c>
      <c r="U151" s="915">
        <f t="shared" si="29"/>
        <v>0</v>
      </c>
      <c r="V151" s="914">
        <f t="shared" si="28"/>
        <v>0</v>
      </c>
    </row>
    <row r="152" spans="1:22" ht="231.75" hidden="1" customHeight="1">
      <c r="A152" s="905">
        <v>10.3</v>
      </c>
      <c r="B152" s="924" t="s">
        <v>6610</v>
      </c>
      <c r="C152" s="921"/>
      <c r="D152" s="908"/>
      <c r="E152" s="919"/>
      <c r="F152" s="1053">
        <f t="shared" si="24"/>
        <v>0</v>
      </c>
      <c r="G152" s="919"/>
      <c r="H152" s="914">
        <f t="shared" si="30"/>
        <v>0</v>
      </c>
      <c r="I152" s="919"/>
      <c r="J152" s="914">
        <f t="shared" si="31"/>
        <v>0</v>
      </c>
      <c r="K152" s="914"/>
      <c r="L152" s="914">
        <f t="shared" si="32"/>
        <v>0</v>
      </c>
      <c r="M152" s="919"/>
      <c r="N152" s="914">
        <f t="shared" si="33"/>
        <v>0</v>
      </c>
      <c r="O152" s="919"/>
      <c r="P152" s="914">
        <f t="shared" si="25"/>
        <v>0</v>
      </c>
      <c r="Q152" s="919"/>
      <c r="R152" s="914">
        <f t="shared" si="26"/>
        <v>0</v>
      </c>
      <c r="S152" s="919"/>
      <c r="T152" s="914">
        <f t="shared" si="27"/>
        <v>0</v>
      </c>
      <c r="U152" s="915">
        <f t="shared" si="29"/>
        <v>0</v>
      </c>
      <c r="V152" s="914">
        <f t="shared" si="28"/>
        <v>0</v>
      </c>
    </row>
    <row r="153" spans="1:22" ht="231.75" hidden="1" customHeight="1">
      <c r="A153" s="905"/>
      <c r="B153" s="906" t="s">
        <v>541</v>
      </c>
      <c r="C153" s="921"/>
      <c r="D153" s="908" t="s">
        <v>1834</v>
      </c>
      <c r="E153" s="919"/>
      <c r="F153" s="1053">
        <f t="shared" si="24"/>
        <v>0</v>
      </c>
      <c r="G153" s="919"/>
      <c r="H153" s="914">
        <f t="shared" si="30"/>
        <v>0</v>
      </c>
      <c r="I153" s="919"/>
      <c r="J153" s="914">
        <f t="shared" si="31"/>
        <v>0</v>
      </c>
      <c r="K153" s="914"/>
      <c r="L153" s="914">
        <f t="shared" si="32"/>
        <v>0</v>
      </c>
      <c r="M153" s="919"/>
      <c r="N153" s="914">
        <f t="shared" si="33"/>
        <v>0</v>
      </c>
      <c r="O153" s="919"/>
      <c r="P153" s="914">
        <f t="shared" si="25"/>
        <v>0</v>
      </c>
      <c r="Q153" s="919"/>
      <c r="R153" s="914">
        <f t="shared" si="26"/>
        <v>0</v>
      </c>
      <c r="S153" s="919"/>
      <c r="T153" s="914">
        <f t="shared" si="27"/>
        <v>0</v>
      </c>
      <c r="U153" s="915">
        <f t="shared" si="29"/>
        <v>0</v>
      </c>
      <c r="V153" s="914">
        <f t="shared" si="28"/>
        <v>0</v>
      </c>
    </row>
    <row r="154" spans="1:22" ht="231.75" hidden="1" customHeight="1">
      <c r="A154" s="905"/>
      <c r="B154" s="906" t="s">
        <v>542</v>
      </c>
      <c r="C154" s="921"/>
      <c r="D154" s="908" t="s">
        <v>1834</v>
      </c>
      <c r="E154" s="919"/>
      <c r="F154" s="1053">
        <f t="shared" si="24"/>
        <v>0</v>
      </c>
      <c r="G154" s="919"/>
      <c r="H154" s="914">
        <f t="shared" si="30"/>
        <v>0</v>
      </c>
      <c r="I154" s="919"/>
      <c r="J154" s="914">
        <f t="shared" si="31"/>
        <v>0</v>
      </c>
      <c r="K154" s="914"/>
      <c r="L154" s="914">
        <f t="shared" si="32"/>
        <v>0</v>
      </c>
      <c r="M154" s="919"/>
      <c r="N154" s="914">
        <f t="shared" si="33"/>
        <v>0</v>
      </c>
      <c r="O154" s="919"/>
      <c r="P154" s="914">
        <f t="shared" si="25"/>
        <v>0</v>
      </c>
      <c r="Q154" s="919"/>
      <c r="R154" s="914">
        <f t="shared" si="26"/>
        <v>0</v>
      </c>
      <c r="S154" s="919"/>
      <c r="T154" s="914">
        <f t="shared" si="27"/>
        <v>0</v>
      </c>
      <c r="U154" s="915">
        <f t="shared" si="29"/>
        <v>0</v>
      </c>
      <c r="V154" s="914">
        <f t="shared" si="28"/>
        <v>0</v>
      </c>
    </row>
    <row r="155" spans="1:22" ht="231.75" hidden="1" customHeight="1">
      <c r="A155" s="905"/>
      <c r="B155" s="906" t="s">
        <v>544</v>
      </c>
      <c r="C155" s="921"/>
      <c r="D155" s="908" t="s">
        <v>1834</v>
      </c>
      <c r="E155" s="919"/>
      <c r="F155" s="1053">
        <f t="shared" si="24"/>
        <v>0</v>
      </c>
      <c r="G155" s="919"/>
      <c r="H155" s="914">
        <f t="shared" si="30"/>
        <v>0</v>
      </c>
      <c r="I155" s="919"/>
      <c r="J155" s="914">
        <f t="shared" si="31"/>
        <v>0</v>
      </c>
      <c r="K155" s="914"/>
      <c r="L155" s="914">
        <f t="shared" si="32"/>
        <v>0</v>
      </c>
      <c r="M155" s="919"/>
      <c r="N155" s="914">
        <f t="shared" si="33"/>
        <v>0</v>
      </c>
      <c r="O155" s="919"/>
      <c r="P155" s="914">
        <f t="shared" si="25"/>
        <v>0</v>
      </c>
      <c r="Q155" s="919"/>
      <c r="R155" s="914">
        <f t="shared" si="26"/>
        <v>0</v>
      </c>
      <c r="S155" s="919"/>
      <c r="T155" s="914">
        <f t="shared" si="27"/>
        <v>0</v>
      </c>
      <c r="U155" s="915">
        <f t="shared" si="29"/>
        <v>0</v>
      </c>
      <c r="V155" s="914">
        <f t="shared" si="28"/>
        <v>0</v>
      </c>
    </row>
    <row r="156" spans="1:22" ht="231.75" hidden="1" customHeight="1">
      <c r="A156" s="905"/>
      <c r="B156" s="906" t="s">
        <v>1798</v>
      </c>
      <c r="C156" s="921"/>
      <c r="D156" s="908" t="s">
        <v>1834</v>
      </c>
      <c r="E156" s="919"/>
      <c r="F156" s="1053">
        <f t="shared" si="24"/>
        <v>0</v>
      </c>
      <c r="G156" s="919"/>
      <c r="H156" s="914">
        <f t="shared" si="30"/>
        <v>0</v>
      </c>
      <c r="I156" s="919"/>
      <c r="J156" s="914">
        <f t="shared" si="31"/>
        <v>0</v>
      </c>
      <c r="K156" s="914"/>
      <c r="L156" s="914">
        <f t="shared" si="32"/>
        <v>0</v>
      </c>
      <c r="M156" s="919"/>
      <c r="N156" s="914">
        <f t="shared" si="33"/>
        <v>0</v>
      </c>
      <c r="O156" s="919"/>
      <c r="P156" s="914">
        <f t="shared" si="25"/>
        <v>0</v>
      </c>
      <c r="Q156" s="919"/>
      <c r="R156" s="914">
        <f t="shared" si="26"/>
        <v>0</v>
      </c>
      <c r="S156" s="919"/>
      <c r="T156" s="914">
        <f t="shared" si="27"/>
        <v>0</v>
      </c>
      <c r="U156" s="915">
        <f t="shared" si="29"/>
        <v>0</v>
      </c>
      <c r="V156" s="914">
        <f t="shared" si="28"/>
        <v>0</v>
      </c>
    </row>
    <row r="157" spans="1:22" ht="231.75" hidden="1" customHeight="1">
      <c r="A157" s="905"/>
      <c r="B157" s="906" t="s">
        <v>2205</v>
      </c>
      <c r="C157" s="921"/>
      <c r="D157" s="908" t="s">
        <v>1834</v>
      </c>
      <c r="E157" s="919"/>
      <c r="F157" s="1053">
        <f t="shared" si="24"/>
        <v>0</v>
      </c>
      <c r="G157" s="919"/>
      <c r="H157" s="914">
        <f t="shared" si="30"/>
        <v>0</v>
      </c>
      <c r="I157" s="919"/>
      <c r="J157" s="914">
        <f t="shared" si="31"/>
        <v>0</v>
      </c>
      <c r="K157" s="914"/>
      <c r="L157" s="914">
        <f t="shared" si="32"/>
        <v>0</v>
      </c>
      <c r="M157" s="919"/>
      <c r="N157" s="914">
        <f t="shared" si="33"/>
        <v>0</v>
      </c>
      <c r="O157" s="919"/>
      <c r="P157" s="914">
        <f t="shared" si="25"/>
        <v>0</v>
      </c>
      <c r="Q157" s="919"/>
      <c r="R157" s="914">
        <f t="shared" si="26"/>
        <v>0</v>
      </c>
      <c r="S157" s="919"/>
      <c r="T157" s="914">
        <f t="shared" si="27"/>
        <v>0</v>
      </c>
      <c r="U157" s="915">
        <f t="shared" si="29"/>
        <v>0</v>
      </c>
      <c r="V157" s="914">
        <f t="shared" si="28"/>
        <v>0</v>
      </c>
    </row>
    <row r="158" spans="1:22" ht="231.75" hidden="1" customHeight="1">
      <c r="A158" s="928"/>
      <c r="B158" s="906" t="s">
        <v>1060</v>
      </c>
      <c r="C158" s="921"/>
      <c r="D158" s="908" t="s">
        <v>1834</v>
      </c>
      <c r="E158" s="919"/>
      <c r="F158" s="1053">
        <f t="shared" si="24"/>
        <v>0</v>
      </c>
      <c r="G158" s="919"/>
      <c r="H158" s="914">
        <f t="shared" si="30"/>
        <v>0</v>
      </c>
      <c r="I158" s="919"/>
      <c r="J158" s="914">
        <f t="shared" si="31"/>
        <v>0</v>
      </c>
      <c r="K158" s="914"/>
      <c r="L158" s="914">
        <f t="shared" si="32"/>
        <v>0</v>
      </c>
      <c r="M158" s="919"/>
      <c r="N158" s="914">
        <f t="shared" si="33"/>
        <v>0</v>
      </c>
      <c r="O158" s="919"/>
      <c r="P158" s="914">
        <f t="shared" si="25"/>
        <v>0</v>
      </c>
      <c r="Q158" s="919"/>
      <c r="R158" s="914">
        <f t="shared" si="26"/>
        <v>0</v>
      </c>
      <c r="S158" s="919"/>
      <c r="T158" s="914">
        <f t="shared" si="27"/>
        <v>0</v>
      </c>
      <c r="U158" s="915">
        <f t="shared" si="29"/>
        <v>0</v>
      </c>
      <c r="V158" s="914">
        <f t="shared" si="28"/>
        <v>0</v>
      </c>
    </row>
    <row r="159" spans="1:22" ht="231.75" hidden="1" customHeight="1">
      <c r="A159" s="905">
        <v>10.4</v>
      </c>
      <c r="B159" s="924" t="s">
        <v>6611</v>
      </c>
      <c r="C159" s="921"/>
      <c r="D159" s="908"/>
      <c r="E159" s="919"/>
      <c r="F159" s="1053">
        <f t="shared" si="24"/>
        <v>0</v>
      </c>
      <c r="G159" s="919"/>
      <c r="H159" s="914">
        <f t="shared" si="30"/>
        <v>0</v>
      </c>
      <c r="I159" s="919"/>
      <c r="J159" s="914">
        <f t="shared" si="31"/>
        <v>0</v>
      </c>
      <c r="K159" s="914"/>
      <c r="L159" s="914">
        <f t="shared" si="32"/>
        <v>0</v>
      </c>
      <c r="M159" s="919"/>
      <c r="N159" s="914">
        <f t="shared" si="33"/>
        <v>0</v>
      </c>
      <c r="O159" s="919"/>
      <c r="P159" s="914">
        <f t="shared" si="25"/>
        <v>0</v>
      </c>
      <c r="Q159" s="919"/>
      <c r="R159" s="914">
        <f t="shared" si="26"/>
        <v>0</v>
      </c>
      <c r="S159" s="919"/>
      <c r="T159" s="914">
        <f t="shared" si="27"/>
        <v>0</v>
      </c>
      <c r="U159" s="915">
        <f t="shared" si="29"/>
        <v>0</v>
      </c>
      <c r="V159" s="914">
        <f t="shared" si="28"/>
        <v>0</v>
      </c>
    </row>
    <row r="160" spans="1:22" ht="231.75" hidden="1" customHeight="1">
      <c r="A160" s="905"/>
      <c r="B160" s="906" t="s">
        <v>541</v>
      </c>
      <c r="C160" s="921"/>
      <c r="D160" s="908" t="s">
        <v>1834</v>
      </c>
      <c r="E160" s="919"/>
      <c r="F160" s="1053">
        <f t="shared" si="24"/>
        <v>0</v>
      </c>
      <c r="G160" s="919"/>
      <c r="H160" s="914">
        <f t="shared" si="30"/>
        <v>0</v>
      </c>
      <c r="I160" s="919"/>
      <c r="J160" s="914">
        <f t="shared" si="31"/>
        <v>0</v>
      </c>
      <c r="K160" s="914"/>
      <c r="L160" s="914">
        <f t="shared" si="32"/>
        <v>0</v>
      </c>
      <c r="M160" s="919"/>
      <c r="N160" s="914">
        <f t="shared" si="33"/>
        <v>0</v>
      </c>
      <c r="O160" s="919"/>
      <c r="P160" s="914">
        <f t="shared" si="25"/>
        <v>0</v>
      </c>
      <c r="Q160" s="919"/>
      <c r="R160" s="914">
        <f t="shared" si="26"/>
        <v>0</v>
      </c>
      <c r="S160" s="919"/>
      <c r="T160" s="914">
        <f t="shared" si="27"/>
        <v>0</v>
      </c>
      <c r="U160" s="915">
        <f t="shared" si="29"/>
        <v>0</v>
      </c>
      <c r="V160" s="914">
        <f t="shared" si="28"/>
        <v>0</v>
      </c>
    </row>
    <row r="161" spans="1:22" ht="231.75" hidden="1" customHeight="1">
      <c r="A161" s="905"/>
      <c r="B161" s="906" t="s">
        <v>542</v>
      </c>
      <c r="C161" s="921"/>
      <c r="D161" s="908" t="s">
        <v>1834</v>
      </c>
      <c r="E161" s="919"/>
      <c r="F161" s="1053">
        <f t="shared" si="24"/>
        <v>0</v>
      </c>
      <c r="G161" s="919"/>
      <c r="H161" s="914">
        <f t="shared" si="30"/>
        <v>0</v>
      </c>
      <c r="I161" s="919"/>
      <c r="J161" s="914">
        <f t="shared" si="31"/>
        <v>0</v>
      </c>
      <c r="K161" s="914"/>
      <c r="L161" s="914">
        <f t="shared" si="32"/>
        <v>0</v>
      </c>
      <c r="M161" s="919"/>
      <c r="N161" s="914">
        <f t="shared" si="33"/>
        <v>0</v>
      </c>
      <c r="O161" s="919"/>
      <c r="P161" s="914">
        <f t="shared" si="25"/>
        <v>0</v>
      </c>
      <c r="Q161" s="919"/>
      <c r="R161" s="914">
        <f t="shared" si="26"/>
        <v>0</v>
      </c>
      <c r="S161" s="919"/>
      <c r="T161" s="914">
        <f t="shared" si="27"/>
        <v>0</v>
      </c>
      <c r="U161" s="915">
        <f t="shared" si="29"/>
        <v>0</v>
      </c>
      <c r="V161" s="914">
        <f t="shared" si="28"/>
        <v>0</v>
      </c>
    </row>
    <row r="162" spans="1:22" ht="231.75" hidden="1" customHeight="1">
      <c r="A162" s="905"/>
      <c r="B162" s="906" t="s">
        <v>544</v>
      </c>
      <c r="C162" s="921"/>
      <c r="D162" s="908" t="s">
        <v>1834</v>
      </c>
      <c r="E162" s="919"/>
      <c r="F162" s="1053">
        <f t="shared" si="24"/>
        <v>0</v>
      </c>
      <c r="G162" s="919"/>
      <c r="H162" s="914">
        <f t="shared" si="30"/>
        <v>0</v>
      </c>
      <c r="I162" s="919"/>
      <c r="J162" s="914">
        <f t="shared" si="31"/>
        <v>0</v>
      </c>
      <c r="K162" s="914"/>
      <c r="L162" s="914">
        <f t="shared" si="32"/>
        <v>0</v>
      </c>
      <c r="M162" s="919"/>
      <c r="N162" s="914">
        <f t="shared" si="33"/>
        <v>0</v>
      </c>
      <c r="O162" s="919"/>
      <c r="P162" s="914">
        <f t="shared" si="25"/>
        <v>0</v>
      </c>
      <c r="Q162" s="919"/>
      <c r="R162" s="914">
        <f t="shared" si="26"/>
        <v>0</v>
      </c>
      <c r="S162" s="919"/>
      <c r="T162" s="914">
        <f t="shared" si="27"/>
        <v>0</v>
      </c>
      <c r="U162" s="915">
        <f t="shared" si="29"/>
        <v>0</v>
      </c>
      <c r="V162" s="914">
        <f t="shared" si="28"/>
        <v>0</v>
      </c>
    </row>
    <row r="163" spans="1:22" ht="231.75" hidden="1" customHeight="1">
      <c r="A163" s="905"/>
      <c r="B163" s="906" t="s">
        <v>1798</v>
      </c>
      <c r="C163" s="921"/>
      <c r="D163" s="908" t="s">
        <v>1834</v>
      </c>
      <c r="E163" s="919"/>
      <c r="F163" s="1053">
        <f t="shared" si="24"/>
        <v>0</v>
      </c>
      <c r="G163" s="919"/>
      <c r="H163" s="914">
        <f t="shared" si="30"/>
        <v>0</v>
      </c>
      <c r="I163" s="919"/>
      <c r="J163" s="914">
        <f t="shared" si="31"/>
        <v>0</v>
      </c>
      <c r="K163" s="914"/>
      <c r="L163" s="914">
        <f t="shared" si="32"/>
        <v>0</v>
      </c>
      <c r="M163" s="919"/>
      <c r="N163" s="914">
        <f t="shared" si="33"/>
        <v>0</v>
      </c>
      <c r="O163" s="919"/>
      <c r="P163" s="914">
        <f t="shared" si="25"/>
        <v>0</v>
      </c>
      <c r="Q163" s="919"/>
      <c r="R163" s="914">
        <f t="shared" si="26"/>
        <v>0</v>
      </c>
      <c r="S163" s="919"/>
      <c r="T163" s="914">
        <f t="shared" si="27"/>
        <v>0</v>
      </c>
      <c r="U163" s="915">
        <f t="shared" si="29"/>
        <v>0</v>
      </c>
      <c r="V163" s="914">
        <f t="shared" si="28"/>
        <v>0</v>
      </c>
    </row>
    <row r="164" spans="1:22" ht="231.75" hidden="1" customHeight="1">
      <c r="A164" s="905"/>
      <c r="B164" s="906" t="s">
        <v>2205</v>
      </c>
      <c r="C164" s="921"/>
      <c r="D164" s="908" t="s">
        <v>1834</v>
      </c>
      <c r="E164" s="919"/>
      <c r="F164" s="1053">
        <f t="shared" si="24"/>
        <v>0</v>
      </c>
      <c r="G164" s="919"/>
      <c r="H164" s="914">
        <f t="shared" si="30"/>
        <v>0</v>
      </c>
      <c r="I164" s="919"/>
      <c r="J164" s="914">
        <f t="shared" si="31"/>
        <v>0</v>
      </c>
      <c r="K164" s="914"/>
      <c r="L164" s="914">
        <f t="shared" si="32"/>
        <v>0</v>
      </c>
      <c r="M164" s="919"/>
      <c r="N164" s="914">
        <f t="shared" si="33"/>
        <v>0</v>
      </c>
      <c r="O164" s="919"/>
      <c r="P164" s="914">
        <f t="shared" si="25"/>
        <v>0</v>
      </c>
      <c r="Q164" s="919"/>
      <c r="R164" s="914">
        <f t="shared" si="26"/>
        <v>0</v>
      </c>
      <c r="S164" s="919"/>
      <c r="T164" s="914">
        <f t="shared" si="27"/>
        <v>0</v>
      </c>
      <c r="U164" s="915">
        <f t="shared" si="29"/>
        <v>0</v>
      </c>
      <c r="V164" s="914">
        <f t="shared" si="28"/>
        <v>0</v>
      </c>
    </row>
    <row r="165" spans="1:22" ht="231.75" hidden="1" customHeight="1">
      <c r="A165" s="928"/>
      <c r="B165" s="906" t="s">
        <v>1060</v>
      </c>
      <c r="C165" s="921"/>
      <c r="D165" s="908" t="s">
        <v>1834</v>
      </c>
      <c r="E165" s="919"/>
      <c r="F165" s="1053">
        <f t="shared" si="24"/>
        <v>0</v>
      </c>
      <c r="G165" s="919"/>
      <c r="H165" s="914">
        <f t="shared" si="30"/>
        <v>0</v>
      </c>
      <c r="I165" s="919"/>
      <c r="J165" s="914">
        <f t="shared" si="31"/>
        <v>0</v>
      </c>
      <c r="K165" s="914"/>
      <c r="L165" s="914">
        <f t="shared" si="32"/>
        <v>0</v>
      </c>
      <c r="M165" s="919"/>
      <c r="N165" s="914">
        <f t="shared" si="33"/>
        <v>0</v>
      </c>
      <c r="O165" s="919"/>
      <c r="P165" s="914">
        <f t="shared" si="25"/>
        <v>0</v>
      </c>
      <c r="Q165" s="919"/>
      <c r="R165" s="914">
        <f t="shared" si="26"/>
        <v>0</v>
      </c>
      <c r="S165" s="919"/>
      <c r="T165" s="914">
        <f t="shared" si="27"/>
        <v>0</v>
      </c>
      <c r="U165" s="915">
        <f t="shared" si="29"/>
        <v>0</v>
      </c>
      <c r="V165" s="914">
        <f t="shared" si="28"/>
        <v>0</v>
      </c>
    </row>
    <row r="166" spans="1:22" s="920" customFormat="1" ht="231.75" hidden="1" customHeight="1">
      <c r="A166" s="916">
        <v>10.5</v>
      </c>
      <c r="B166" s="925" t="s">
        <v>6612</v>
      </c>
      <c r="C166" s="918"/>
      <c r="D166" s="898"/>
      <c r="E166" s="919"/>
      <c r="F166" s="1053">
        <f t="shared" si="24"/>
        <v>0</v>
      </c>
      <c r="G166" s="919"/>
      <c r="H166" s="914">
        <f t="shared" si="30"/>
        <v>0</v>
      </c>
      <c r="I166" s="919"/>
      <c r="J166" s="914">
        <f t="shared" si="31"/>
        <v>0</v>
      </c>
      <c r="K166" s="914"/>
      <c r="L166" s="914">
        <f t="shared" si="32"/>
        <v>0</v>
      </c>
      <c r="M166" s="919"/>
      <c r="N166" s="914">
        <f t="shared" si="33"/>
        <v>0</v>
      </c>
      <c r="O166" s="919"/>
      <c r="P166" s="914">
        <f t="shared" si="25"/>
        <v>0</v>
      </c>
      <c r="Q166" s="919"/>
      <c r="R166" s="914">
        <f t="shared" si="26"/>
        <v>0</v>
      </c>
      <c r="S166" s="919"/>
      <c r="T166" s="914">
        <f t="shared" si="27"/>
        <v>0</v>
      </c>
      <c r="U166" s="915">
        <f t="shared" si="29"/>
        <v>0</v>
      </c>
      <c r="V166" s="914">
        <f t="shared" si="28"/>
        <v>0</v>
      </c>
    </row>
    <row r="167" spans="1:22" s="920" customFormat="1" ht="231.75" hidden="1" customHeight="1">
      <c r="A167" s="916"/>
      <c r="B167" s="917" t="s">
        <v>541</v>
      </c>
      <c r="C167" s="918">
        <f>ROUND(DATA!K400,2)</f>
        <v>799.8</v>
      </c>
      <c r="D167" s="898" t="s">
        <v>1834</v>
      </c>
      <c r="E167" s="919"/>
      <c r="F167" s="1053">
        <f t="shared" si="24"/>
        <v>0</v>
      </c>
      <c r="G167" s="919"/>
      <c r="H167" s="914">
        <f t="shared" si="30"/>
        <v>0</v>
      </c>
      <c r="I167" s="919"/>
      <c r="J167" s="914">
        <f t="shared" si="31"/>
        <v>0</v>
      </c>
      <c r="K167" s="914"/>
      <c r="L167" s="914">
        <f t="shared" si="32"/>
        <v>0</v>
      </c>
      <c r="M167" s="919"/>
      <c r="N167" s="914">
        <f t="shared" si="33"/>
        <v>0</v>
      </c>
      <c r="O167" s="919"/>
      <c r="P167" s="914">
        <f t="shared" si="25"/>
        <v>0</v>
      </c>
      <c r="Q167" s="919"/>
      <c r="R167" s="914">
        <f t="shared" si="26"/>
        <v>0</v>
      </c>
      <c r="S167" s="919"/>
      <c r="T167" s="914">
        <f t="shared" si="27"/>
        <v>0</v>
      </c>
      <c r="U167" s="915">
        <f t="shared" si="29"/>
        <v>0</v>
      </c>
      <c r="V167" s="914">
        <f t="shared" si="28"/>
        <v>0</v>
      </c>
    </row>
    <row r="168" spans="1:22" s="920" customFormat="1" ht="231.75" hidden="1" customHeight="1">
      <c r="A168" s="916"/>
      <c r="B168" s="917" t="s">
        <v>542</v>
      </c>
      <c r="C168" s="918">
        <f>ROUND(DATA!K402,2)</f>
        <v>808.48</v>
      </c>
      <c r="D168" s="898" t="s">
        <v>1834</v>
      </c>
      <c r="E168" s="919"/>
      <c r="F168" s="1053">
        <f t="shared" si="24"/>
        <v>0</v>
      </c>
      <c r="G168" s="919"/>
      <c r="H168" s="914">
        <f t="shared" si="30"/>
        <v>0</v>
      </c>
      <c r="I168" s="919"/>
      <c r="J168" s="914">
        <f t="shared" si="31"/>
        <v>0</v>
      </c>
      <c r="K168" s="914"/>
      <c r="L168" s="914">
        <f t="shared" si="32"/>
        <v>0</v>
      </c>
      <c r="M168" s="919"/>
      <c r="N168" s="914">
        <f t="shared" si="33"/>
        <v>0</v>
      </c>
      <c r="O168" s="919"/>
      <c r="P168" s="914">
        <f t="shared" si="25"/>
        <v>0</v>
      </c>
      <c r="Q168" s="919"/>
      <c r="R168" s="914">
        <f t="shared" si="26"/>
        <v>0</v>
      </c>
      <c r="S168" s="919"/>
      <c r="T168" s="914">
        <f t="shared" si="27"/>
        <v>0</v>
      </c>
      <c r="U168" s="915">
        <f t="shared" si="29"/>
        <v>0</v>
      </c>
      <c r="V168" s="914">
        <f t="shared" si="28"/>
        <v>0</v>
      </c>
    </row>
    <row r="169" spans="1:22" s="920" customFormat="1" ht="231.75" hidden="1" customHeight="1">
      <c r="A169" s="916"/>
      <c r="B169" s="917" t="s">
        <v>544</v>
      </c>
      <c r="C169" s="918">
        <f>ROUND(DATA!K403,2)</f>
        <v>825.99</v>
      </c>
      <c r="D169" s="898" t="s">
        <v>1834</v>
      </c>
      <c r="E169" s="919"/>
      <c r="F169" s="1053">
        <f t="shared" si="24"/>
        <v>0</v>
      </c>
      <c r="G169" s="919"/>
      <c r="H169" s="914">
        <f t="shared" si="30"/>
        <v>0</v>
      </c>
      <c r="I169" s="919"/>
      <c r="J169" s="914">
        <f t="shared" si="31"/>
        <v>0</v>
      </c>
      <c r="K169" s="914"/>
      <c r="L169" s="914">
        <f t="shared" si="32"/>
        <v>0</v>
      </c>
      <c r="M169" s="919"/>
      <c r="N169" s="914">
        <f t="shared" si="33"/>
        <v>0</v>
      </c>
      <c r="O169" s="919"/>
      <c r="P169" s="914">
        <f t="shared" si="25"/>
        <v>0</v>
      </c>
      <c r="Q169" s="919"/>
      <c r="R169" s="914">
        <f t="shared" si="26"/>
        <v>0</v>
      </c>
      <c r="S169" s="919"/>
      <c r="T169" s="914">
        <f t="shared" si="27"/>
        <v>0</v>
      </c>
      <c r="U169" s="915">
        <f t="shared" si="29"/>
        <v>0</v>
      </c>
      <c r="V169" s="914">
        <f t="shared" si="28"/>
        <v>0</v>
      </c>
    </row>
    <row r="170" spans="1:22" s="920" customFormat="1" ht="231.75" hidden="1" customHeight="1">
      <c r="A170" s="916"/>
      <c r="B170" s="917" t="s">
        <v>1798</v>
      </c>
      <c r="C170" s="918">
        <f>ROUND(DATA!K404,2)</f>
        <v>843.5</v>
      </c>
      <c r="D170" s="898" t="s">
        <v>1834</v>
      </c>
      <c r="E170" s="919"/>
      <c r="F170" s="1053">
        <f t="shared" si="24"/>
        <v>0</v>
      </c>
      <c r="G170" s="919"/>
      <c r="H170" s="914">
        <f t="shared" si="30"/>
        <v>0</v>
      </c>
      <c r="I170" s="919"/>
      <c r="J170" s="914">
        <f t="shared" si="31"/>
        <v>0</v>
      </c>
      <c r="K170" s="914"/>
      <c r="L170" s="914">
        <f t="shared" si="32"/>
        <v>0</v>
      </c>
      <c r="M170" s="919"/>
      <c r="N170" s="914">
        <f t="shared" si="33"/>
        <v>0</v>
      </c>
      <c r="O170" s="919"/>
      <c r="P170" s="914">
        <f t="shared" si="25"/>
        <v>0</v>
      </c>
      <c r="Q170" s="919"/>
      <c r="R170" s="914">
        <f t="shared" si="26"/>
        <v>0</v>
      </c>
      <c r="S170" s="919"/>
      <c r="T170" s="914">
        <f t="shared" si="27"/>
        <v>0</v>
      </c>
      <c r="U170" s="915">
        <f t="shared" si="29"/>
        <v>0</v>
      </c>
      <c r="V170" s="914">
        <f t="shared" si="28"/>
        <v>0</v>
      </c>
    </row>
    <row r="171" spans="1:22" s="920" customFormat="1" ht="231.75" hidden="1" customHeight="1">
      <c r="A171" s="916"/>
      <c r="B171" s="917" t="s">
        <v>2205</v>
      </c>
      <c r="C171" s="918">
        <f>ROUND(DATA!K405,2)</f>
        <v>861.01</v>
      </c>
      <c r="D171" s="898" t="s">
        <v>1834</v>
      </c>
      <c r="E171" s="919"/>
      <c r="F171" s="1053">
        <f t="shared" si="24"/>
        <v>0</v>
      </c>
      <c r="G171" s="919"/>
      <c r="H171" s="914">
        <f t="shared" si="30"/>
        <v>0</v>
      </c>
      <c r="I171" s="919"/>
      <c r="J171" s="914">
        <f t="shared" si="31"/>
        <v>0</v>
      </c>
      <c r="K171" s="914"/>
      <c r="L171" s="914">
        <f t="shared" si="32"/>
        <v>0</v>
      </c>
      <c r="M171" s="919"/>
      <c r="N171" s="914">
        <f t="shared" si="33"/>
        <v>0</v>
      </c>
      <c r="O171" s="919"/>
      <c r="P171" s="914">
        <f t="shared" si="25"/>
        <v>0</v>
      </c>
      <c r="Q171" s="919"/>
      <c r="R171" s="914">
        <f t="shared" si="26"/>
        <v>0</v>
      </c>
      <c r="S171" s="919"/>
      <c r="T171" s="914">
        <f t="shared" si="27"/>
        <v>0</v>
      </c>
      <c r="U171" s="915">
        <f t="shared" si="29"/>
        <v>0</v>
      </c>
      <c r="V171" s="914">
        <f t="shared" si="28"/>
        <v>0</v>
      </c>
    </row>
    <row r="172" spans="1:22" ht="231.75" hidden="1" customHeight="1">
      <c r="A172" s="926"/>
      <c r="B172" s="906" t="s">
        <v>1060</v>
      </c>
      <c r="C172" s="913">
        <f>ROUND(DATA!K406,2)</f>
        <v>878.52</v>
      </c>
      <c r="D172" s="908" t="s">
        <v>1834</v>
      </c>
      <c r="E172" s="919"/>
      <c r="F172" s="1053">
        <f t="shared" si="24"/>
        <v>0</v>
      </c>
      <c r="G172" s="919"/>
      <c r="H172" s="914">
        <f t="shared" si="30"/>
        <v>0</v>
      </c>
      <c r="I172" s="919"/>
      <c r="J172" s="914">
        <f t="shared" si="31"/>
        <v>0</v>
      </c>
      <c r="K172" s="914"/>
      <c r="L172" s="914">
        <f t="shared" si="32"/>
        <v>0</v>
      </c>
      <c r="M172" s="919"/>
      <c r="N172" s="914">
        <f t="shared" si="33"/>
        <v>0</v>
      </c>
      <c r="O172" s="919"/>
      <c r="P172" s="914">
        <f t="shared" si="25"/>
        <v>0</v>
      </c>
      <c r="Q172" s="919"/>
      <c r="R172" s="914">
        <f t="shared" si="26"/>
        <v>0</v>
      </c>
      <c r="S172" s="919"/>
      <c r="T172" s="914">
        <f t="shared" si="27"/>
        <v>0</v>
      </c>
      <c r="U172" s="915">
        <f t="shared" si="29"/>
        <v>0</v>
      </c>
      <c r="V172" s="914">
        <f t="shared" si="28"/>
        <v>0</v>
      </c>
    </row>
    <row r="173" spans="1:22" ht="231.75" hidden="1" customHeight="1">
      <c r="A173" s="905">
        <v>10.6</v>
      </c>
      <c r="B173" s="924" t="s">
        <v>6613</v>
      </c>
      <c r="C173" s="921"/>
      <c r="D173" s="908"/>
      <c r="E173" s="919"/>
      <c r="F173" s="1053">
        <f t="shared" si="24"/>
        <v>0</v>
      </c>
      <c r="G173" s="919"/>
      <c r="H173" s="914">
        <f t="shared" si="30"/>
        <v>0</v>
      </c>
      <c r="I173" s="919"/>
      <c r="J173" s="914">
        <f t="shared" si="31"/>
        <v>0</v>
      </c>
      <c r="K173" s="914"/>
      <c r="L173" s="914">
        <f t="shared" si="32"/>
        <v>0</v>
      </c>
      <c r="M173" s="919"/>
      <c r="N173" s="914">
        <f t="shared" si="33"/>
        <v>0</v>
      </c>
      <c r="O173" s="919"/>
      <c r="P173" s="914">
        <f t="shared" si="25"/>
        <v>0</v>
      </c>
      <c r="Q173" s="919"/>
      <c r="R173" s="914">
        <f t="shared" si="26"/>
        <v>0</v>
      </c>
      <c r="S173" s="919"/>
      <c r="T173" s="914">
        <f t="shared" si="27"/>
        <v>0</v>
      </c>
      <c r="U173" s="915">
        <f t="shared" si="29"/>
        <v>0</v>
      </c>
      <c r="V173" s="914">
        <f t="shared" si="28"/>
        <v>0</v>
      </c>
    </row>
    <row r="174" spans="1:22" ht="231.75" hidden="1" customHeight="1">
      <c r="A174" s="905"/>
      <c r="B174" s="906" t="s">
        <v>541</v>
      </c>
      <c r="C174" s="921"/>
      <c r="D174" s="908" t="s">
        <v>1834</v>
      </c>
      <c r="E174" s="919"/>
      <c r="F174" s="1053">
        <f t="shared" si="24"/>
        <v>0</v>
      </c>
      <c r="G174" s="919"/>
      <c r="H174" s="914">
        <f t="shared" si="30"/>
        <v>0</v>
      </c>
      <c r="I174" s="919"/>
      <c r="J174" s="914">
        <f t="shared" si="31"/>
        <v>0</v>
      </c>
      <c r="K174" s="914"/>
      <c r="L174" s="914">
        <f t="shared" si="32"/>
        <v>0</v>
      </c>
      <c r="M174" s="919"/>
      <c r="N174" s="914">
        <f t="shared" si="33"/>
        <v>0</v>
      </c>
      <c r="O174" s="919"/>
      <c r="P174" s="914">
        <f t="shared" si="25"/>
        <v>0</v>
      </c>
      <c r="Q174" s="919"/>
      <c r="R174" s="914">
        <f t="shared" si="26"/>
        <v>0</v>
      </c>
      <c r="S174" s="919"/>
      <c r="T174" s="914">
        <f t="shared" si="27"/>
        <v>0</v>
      </c>
      <c r="U174" s="915">
        <f t="shared" si="29"/>
        <v>0</v>
      </c>
      <c r="V174" s="914">
        <f t="shared" si="28"/>
        <v>0</v>
      </c>
    </row>
    <row r="175" spans="1:22" ht="231.75" hidden="1" customHeight="1">
      <c r="A175" s="905"/>
      <c r="B175" s="906" t="s">
        <v>542</v>
      </c>
      <c r="C175" s="921"/>
      <c r="D175" s="908" t="s">
        <v>1834</v>
      </c>
      <c r="E175" s="919"/>
      <c r="F175" s="1053">
        <f t="shared" si="24"/>
        <v>0</v>
      </c>
      <c r="G175" s="919"/>
      <c r="H175" s="914">
        <f t="shared" si="30"/>
        <v>0</v>
      </c>
      <c r="I175" s="919"/>
      <c r="J175" s="914">
        <f t="shared" si="31"/>
        <v>0</v>
      </c>
      <c r="K175" s="914"/>
      <c r="L175" s="914">
        <f t="shared" si="32"/>
        <v>0</v>
      </c>
      <c r="M175" s="919"/>
      <c r="N175" s="914">
        <f t="shared" si="33"/>
        <v>0</v>
      </c>
      <c r="O175" s="919"/>
      <c r="P175" s="914">
        <f t="shared" si="25"/>
        <v>0</v>
      </c>
      <c r="Q175" s="919"/>
      <c r="R175" s="914">
        <f t="shared" si="26"/>
        <v>0</v>
      </c>
      <c r="S175" s="919"/>
      <c r="T175" s="914">
        <f t="shared" si="27"/>
        <v>0</v>
      </c>
      <c r="U175" s="915">
        <f t="shared" si="29"/>
        <v>0</v>
      </c>
      <c r="V175" s="914">
        <f t="shared" si="28"/>
        <v>0</v>
      </c>
    </row>
    <row r="176" spans="1:22" ht="231.75" hidden="1" customHeight="1">
      <c r="A176" s="905"/>
      <c r="B176" s="906" t="s">
        <v>544</v>
      </c>
      <c r="C176" s="921"/>
      <c r="D176" s="908" t="s">
        <v>1834</v>
      </c>
      <c r="E176" s="919"/>
      <c r="F176" s="1053">
        <f t="shared" si="24"/>
        <v>0</v>
      </c>
      <c r="G176" s="919"/>
      <c r="H176" s="914">
        <f t="shared" si="30"/>
        <v>0</v>
      </c>
      <c r="I176" s="919"/>
      <c r="J176" s="914">
        <f t="shared" si="31"/>
        <v>0</v>
      </c>
      <c r="K176" s="914"/>
      <c r="L176" s="914">
        <f t="shared" si="32"/>
        <v>0</v>
      </c>
      <c r="M176" s="919"/>
      <c r="N176" s="914">
        <f t="shared" si="33"/>
        <v>0</v>
      </c>
      <c r="O176" s="919"/>
      <c r="P176" s="914">
        <f t="shared" si="25"/>
        <v>0</v>
      </c>
      <c r="Q176" s="919"/>
      <c r="R176" s="914">
        <f t="shared" si="26"/>
        <v>0</v>
      </c>
      <c r="S176" s="919"/>
      <c r="T176" s="914">
        <f t="shared" si="27"/>
        <v>0</v>
      </c>
      <c r="U176" s="915">
        <f t="shared" si="29"/>
        <v>0</v>
      </c>
      <c r="V176" s="914">
        <f t="shared" si="28"/>
        <v>0</v>
      </c>
    </row>
    <row r="177" spans="1:22" ht="231.75" hidden="1" customHeight="1">
      <c r="A177" s="905"/>
      <c r="B177" s="906" t="s">
        <v>1798</v>
      </c>
      <c r="C177" s="921"/>
      <c r="D177" s="908" t="s">
        <v>1834</v>
      </c>
      <c r="E177" s="919"/>
      <c r="F177" s="1053">
        <f t="shared" si="24"/>
        <v>0</v>
      </c>
      <c r="G177" s="919"/>
      <c r="H177" s="914">
        <f t="shared" si="30"/>
        <v>0</v>
      </c>
      <c r="I177" s="919"/>
      <c r="J177" s="914">
        <f t="shared" si="31"/>
        <v>0</v>
      </c>
      <c r="K177" s="914"/>
      <c r="L177" s="914">
        <f t="shared" si="32"/>
        <v>0</v>
      </c>
      <c r="M177" s="919"/>
      <c r="N177" s="914">
        <f t="shared" si="33"/>
        <v>0</v>
      </c>
      <c r="O177" s="919"/>
      <c r="P177" s="914">
        <f t="shared" si="25"/>
        <v>0</v>
      </c>
      <c r="Q177" s="919"/>
      <c r="R177" s="914">
        <f t="shared" si="26"/>
        <v>0</v>
      </c>
      <c r="S177" s="919"/>
      <c r="T177" s="914">
        <f t="shared" si="27"/>
        <v>0</v>
      </c>
      <c r="U177" s="915">
        <f t="shared" si="29"/>
        <v>0</v>
      </c>
      <c r="V177" s="914">
        <f t="shared" si="28"/>
        <v>0</v>
      </c>
    </row>
    <row r="178" spans="1:22" ht="231.75" hidden="1" customHeight="1">
      <c r="A178" s="905"/>
      <c r="B178" s="906" t="s">
        <v>2205</v>
      </c>
      <c r="C178" s="921"/>
      <c r="D178" s="908" t="s">
        <v>1834</v>
      </c>
      <c r="E178" s="919"/>
      <c r="F178" s="1053">
        <f t="shared" si="24"/>
        <v>0</v>
      </c>
      <c r="G178" s="919"/>
      <c r="H178" s="914">
        <f t="shared" si="30"/>
        <v>0</v>
      </c>
      <c r="I178" s="919"/>
      <c r="J178" s="914">
        <f t="shared" si="31"/>
        <v>0</v>
      </c>
      <c r="K178" s="914"/>
      <c r="L178" s="914">
        <f t="shared" si="32"/>
        <v>0</v>
      </c>
      <c r="M178" s="919"/>
      <c r="N178" s="914">
        <f t="shared" si="33"/>
        <v>0</v>
      </c>
      <c r="O178" s="919"/>
      <c r="P178" s="914">
        <f t="shared" si="25"/>
        <v>0</v>
      </c>
      <c r="Q178" s="919"/>
      <c r="R178" s="914">
        <f t="shared" si="26"/>
        <v>0</v>
      </c>
      <c r="S178" s="919"/>
      <c r="T178" s="914">
        <f t="shared" si="27"/>
        <v>0</v>
      </c>
      <c r="U178" s="915">
        <f t="shared" si="29"/>
        <v>0</v>
      </c>
      <c r="V178" s="914">
        <f t="shared" si="28"/>
        <v>0</v>
      </c>
    </row>
    <row r="179" spans="1:22" ht="231.75" hidden="1" customHeight="1">
      <c r="A179" s="928"/>
      <c r="B179" s="906" t="s">
        <v>1060</v>
      </c>
      <c r="C179" s="921"/>
      <c r="D179" s="908" t="s">
        <v>1834</v>
      </c>
      <c r="E179" s="919"/>
      <c r="F179" s="1053">
        <f t="shared" si="24"/>
        <v>0</v>
      </c>
      <c r="G179" s="919"/>
      <c r="H179" s="914">
        <f t="shared" si="30"/>
        <v>0</v>
      </c>
      <c r="I179" s="919"/>
      <c r="J179" s="914">
        <f t="shared" si="31"/>
        <v>0</v>
      </c>
      <c r="K179" s="914"/>
      <c r="L179" s="914">
        <f t="shared" si="32"/>
        <v>0</v>
      </c>
      <c r="M179" s="919"/>
      <c r="N179" s="914">
        <f t="shared" si="33"/>
        <v>0</v>
      </c>
      <c r="O179" s="919"/>
      <c r="P179" s="914">
        <f t="shared" si="25"/>
        <v>0</v>
      </c>
      <c r="Q179" s="919"/>
      <c r="R179" s="914">
        <f t="shared" si="26"/>
        <v>0</v>
      </c>
      <c r="S179" s="919"/>
      <c r="T179" s="914">
        <f t="shared" si="27"/>
        <v>0</v>
      </c>
      <c r="U179" s="915">
        <f t="shared" si="29"/>
        <v>0</v>
      </c>
      <c r="V179" s="914">
        <f t="shared" si="28"/>
        <v>0</v>
      </c>
    </row>
    <row r="180" spans="1:22" ht="231.75" hidden="1" customHeight="1">
      <c r="A180" s="905">
        <v>11.1</v>
      </c>
      <c r="B180" s="924" t="s">
        <v>6614</v>
      </c>
      <c r="C180" s="921"/>
      <c r="D180" s="908"/>
      <c r="E180" s="919"/>
      <c r="F180" s="1053">
        <f t="shared" si="24"/>
        <v>0</v>
      </c>
      <c r="G180" s="919"/>
      <c r="H180" s="914">
        <f t="shared" si="30"/>
        <v>0</v>
      </c>
      <c r="I180" s="919"/>
      <c r="J180" s="914">
        <f t="shared" si="31"/>
        <v>0</v>
      </c>
      <c r="K180" s="914"/>
      <c r="L180" s="914">
        <f t="shared" si="32"/>
        <v>0</v>
      </c>
      <c r="M180" s="919"/>
      <c r="N180" s="914">
        <f t="shared" si="33"/>
        <v>0</v>
      </c>
      <c r="O180" s="919"/>
      <c r="P180" s="914">
        <f t="shared" si="25"/>
        <v>0</v>
      </c>
      <c r="Q180" s="919"/>
      <c r="R180" s="914">
        <f t="shared" si="26"/>
        <v>0</v>
      </c>
      <c r="S180" s="919"/>
      <c r="T180" s="914">
        <f t="shared" si="27"/>
        <v>0</v>
      </c>
      <c r="U180" s="915">
        <f t="shared" si="29"/>
        <v>0</v>
      </c>
      <c r="V180" s="914">
        <f t="shared" si="28"/>
        <v>0</v>
      </c>
    </row>
    <row r="181" spans="1:22" ht="231.75" hidden="1" customHeight="1">
      <c r="A181" s="905"/>
      <c r="B181" s="906" t="s">
        <v>201</v>
      </c>
      <c r="C181" s="921">
        <f>ROUND(DATA!X434,2)</f>
        <v>582.41999999999996</v>
      </c>
      <c r="D181" s="908" t="s">
        <v>1834</v>
      </c>
      <c r="E181" s="919"/>
      <c r="F181" s="1053">
        <f t="shared" si="24"/>
        <v>0</v>
      </c>
      <c r="G181" s="919"/>
      <c r="H181" s="914">
        <f t="shared" si="30"/>
        <v>0</v>
      </c>
      <c r="I181" s="919"/>
      <c r="J181" s="914">
        <f t="shared" si="31"/>
        <v>0</v>
      </c>
      <c r="K181" s="914"/>
      <c r="L181" s="914">
        <f t="shared" si="32"/>
        <v>0</v>
      </c>
      <c r="M181" s="919"/>
      <c r="N181" s="914">
        <f t="shared" si="33"/>
        <v>0</v>
      </c>
      <c r="O181" s="919"/>
      <c r="P181" s="914">
        <f t="shared" si="25"/>
        <v>0</v>
      </c>
      <c r="Q181" s="919"/>
      <c r="R181" s="914">
        <f t="shared" si="26"/>
        <v>0</v>
      </c>
      <c r="S181" s="919"/>
      <c r="T181" s="914">
        <f t="shared" si="27"/>
        <v>0</v>
      </c>
      <c r="U181" s="915">
        <f t="shared" si="29"/>
        <v>0</v>
      </c>
      <c r="V181" s="914">
        <f t="shared" si="28"/>
        <v>0</v>
      </c>
    </row>
    <row r="182" spans="1:22" ht="231.75" hidden="1" customHeight="1">
      <c r="A182" s="905"/>
      <c r="B182" s="906" t="s">
        <v>202</v>
      </c>
      <c r="C182" s="921">
        <f>ROUND(DATA!X435,2)</f>
        <v>593.55999999999995</v>
      </c>
      <c r="D182" s="908" t="s">
        <v>1834</v>
      </c>
      <c r="E182" s="919"/>
      <c r="F182" s="1053">
        <f t="shared" si="24"/>
        <v>0</v>
      </c>
      <c r="G182" s="919"/>
      <c r="H182" s="914">
        <f t="shared" si="30"/>
        <v>0</v>
      </c>
      <c r="I182" s="919"/>
      <c r="J182" s="914">
        <f t="shared" si="31"/>
        <v>0</v>
      </c>
      <c r="K182" s="914"/>
      <c r="L182" s="914">
        <f t="shared" si="32"/>
        <v>0</v>
      </c>
      <c r="M182" s="919"/>
      <c r="N182" s="914">
        <f t="shared" si="33"/>
        <v>0</v>
      </c>
      <c r="O182" s="919"/>
      <c r="P182" s="914">
        <f t="shared" si="25"/>
        <v>0</v>
      </c>
      <c r="Q182" s="919"/>
      <c r="R182" s="914">
        <f t="shared" si="26"/>
        <v>0</v>
      </c>
      <c r="S182" s="919"/>
      <c r="T182" s="914">
        <f t="shared" si="27"/>
        <v>0</v>
      </c>
      <c r="U182" s="915">
        <f t="shared" si="29"/>
        <v>0</v>
      </c>
      <c r="V182" s="914">
        <f t="shared" si="28"/>
        <v>0</v>
      </c>
    </row>
    <row r="183" spans="1:22" ht="231.75" hidden="1" customHeight="1">
      <c r="A183" s="905"/>
      <c r="B183" s="906" t="s">
        <v>203</v>
      </c>
      <c r="C183" s="921">
        <f>ROUND(DATA!X436,2)</f>
        <v>604.70000000000005</v>
      </c>
      <c r="D183" s="908" t="s">
        <v>1834</v>
      </c>
      <c r="E183" s="919"/>
      <c r="F183" s="1053">
        <f t="shared" si="24"/>
        <v>0</v>
      </c>
      <c r="G183" s="919"/>
      <c r="H183" s="914">
        <f t="shared" si="30"/>
        <v>0</v>
      </c>
      <c r="I183" s="919"/>
      <c r="J183" s="914">
        <f t="shared" si="31"/>
        <v>0</v>
      </c>
      <c r="K183" s="914"/>
      <c r="L183" s="914">
        <f t="shared" si="32"/>
        <v>0</v>
      </c>
      <c r="M183" s="919"/>
      <c r="N183" s="914">
        <f t="shared" si="33"/>
        <v>0</v>
      </c>
      <c r="O183" s="919"/>
      <c r="P183" s="914">
        <f t="shared" si="25"/>
        <v>0</v>
      </c>
      <c r="Q183" s="919"/>
      <c r="R183" s="914">
        <f t="shared" si="26"/>
        <v>0</v>
      </c>
      <c r="S183" s="919"/>
      <c r="T183" s="914">
        <f t="shared" si="27"/>
        <v>0</v>
      </c>
      <c r="U183" s="915">
        <f t="shared" si="29"/>
        <v>0</v>
      </c>
      <c r="V183" s="914">
        <f t="shared" si="28"/>
        <v>0</v>
      </c>
    </row>
    <row r="184" spans="1:22" ht="231.75" hidden="1" customHeight="1">
      <c r="A184" s="905"/>
      <c r="B184" s="906" t="s">
        <v>204</v>
      </c>
      <c r="C184" s="921">
        <f>ROUND(DATA!X437,2)</f>
        <v>615.84</v>
      </c>
      <c r="D184" s="908" t="s">
        <v>1834</v>
      </c>
      <c r="E184" s="919"/>
      <c r="F184" s="1053">
        <f t="shared" si="24"/>
        <v>0</v>
      </c>
      <c r="G184" s="919"/>
      <c r="H184" s="914">
        <f t="shared" si="30"/>
        <v>0</v>
      </c>
      <c r="I184" s="919"/>
      <c r="J184" s="914">
        <f t="shared" si="31"/>
        <v>0</v>
      </c>
      <c r="K184" s="914"/>
      <c r="L184" s="914">
        <f t="shared" si="32"/>
        <v>0</v>
      </c>
      <c r="M184" s="919"/>
      <c r="N184" s="914">
        <f t="shared" si="33"/>
        <v>0</v>
      </c>
      <c r="O184" s="919"/>
      <c r="P184" s="914">
        <f t="shared" si="25"/>
        <v>0</v>
      </c>
      <c r="Q184" s="919"/>
      <c r="R184" s="914">
        <f t="shared" si="26"/>
        <v>0</v>
      </c>
      <c r="S184" s="919"/>
      <c r="T184" s="914">
        <f t="shared" si="27"/>
        <v>0</v>
      </c>
      <c r="U184" s="915">
        <f t="shared" si="29"/>
        <v>0</v>
      </c>
      <c r="V184" s="914">
        <f t="shared" si="28"/>
        <v>0</v>
      </c>
    </row>
    <row r="185" spans="1:22" ht="231.75" hidden="1" customHeight="1">
      <c r="A185" s="928"/>
      <c r="B185" s="906" t="s">
        <v>603</v>
      </c>
      <c r="C185" s="921">
        <f>ROUND(DATA!X438,2)</f>
        <v>626.98</v>
      </c>
      <c r="D185" s="908" t="s">
        <v>1834</v>
      </c>
      <c r="E185" s="919"/>
      <c r="F185" s="1053">
        <f t="shared" si="24"/>
        <v>0</v>
      </c>
      <c r="G185" s="919"/>
      <c r="H185" s="914">
        <f t="shared" si="30"/>
        <v>0</v>
      </c>
      <c r="I185" s="919"/>
      <c r="J185" s="914">
        <f t="shared" si="31"/>
        <v>0</v>
      </c>
      <c r="K185" s="914"/>
      <c r="L185" s="914">
        <f t="shared" si="32"/>
        <v>0</v>
      </c>
      <c r="M185" s="919"/>
      <c r="N185" s="914">
        <f t="shared" si="33"/>
        <v>0</v>
      </c>
      <c r="O185" s="919"/>
      <c r="P185" s="914">
        <f t="shared" si="25"/>
        <v>0</v>
      </c>
      <c r="Q185" s="919"/>
      <c r="R185" s="914">
        <f t="shared" si="26"/>
        <v>0</v>
      </c>
      <c r="S185" s="919"/>
      <c r="T185" s="914">
        <f t="shared" si="27"/>
        <v>0</v>
      </c>
      <c r="U185" s="915">
        <f t="shared" si="29"/>
        <v>0</v>
      </c>
      <c r="V185" s="914">
        <f t="shared" si="28"/>
        <v>0</v>
      </c>
    </row>
    <row r="186" spans="1:22" ht="231.75" hidden="1" customHeight="1">
      <c r="A186" s="905">
        <v>11.2</v>
      </c>
      <c r="B186" s="924" t="s">
        <v>6615</v>
      </c>
      <c r="C186" s="921"/>
      <c r="D186" s="908"/>
      <c r="E186" s="911"/>
      <c r="F186" s="1053">
        <f t="shared" si="24"/>
        <v>0</v>
      </c>
      <c r="G186" s="914"/>
      <c r="H186" s="914">
        <f t="shared" si="30"/>
        <v>0</v>
      </c>
      <c r="I186" s="914"/>
      <c r="J186" s="914">
        <f t="shared" si="31"/>
        <v>0</v>
      </c>
      <c r="K186" s="914"/>
      <c r="L186" s="914">
        <f t="shared" si="32"/>
        <v>0</v>
      </c>
      <c r="M186" s="914"/>
      <c r="N186" s="914">
        <f t="shared" si="33"/>
        <v>0</v>
      </c>
      <c r="O186" s="914"/>
      <c r="P186" s="914">
        <f t="shared" si="25"/>
        <v>0</v>
      </c>
      <c r="Q186" s="914"/>
      <c r="R186" s="914">
        <f t="shared" si="26"/>
        <v>0</v>
      </c>
      <c r="S186" s="914"/>
      <c r="T186" s="914">
        <f t="shared" si="27"/>
        <v>0</v>
      </c>
      <c r="U186" s="915">
        <f t="shared" si="29"/>
        <v>0</v>
      </c>
      <c r="V186" s="914">
        <f t="shared" si="28"/>
        <v>0</v>
      </c>
    </row>
    <row r="187" spans="1:22" ht="231.75" hidden="1" customHeight="1">
      <c r="A187" s="905"/>
      <c r="B187" s="906" t="s">
        <v>201</v>
      </c>
      <c r="C187" s="921">
        <f>ROUND(DATA!AG448,2)</f>
        <v>594.53</v>
      </c>
      <c r="D187" s="908" t="s">
        <v>1834</v>
      </c>
      <c r="E187" s="914"/>
      <c r="F187" s="1053">
        <f t="shared" si="24"/>
        <v>0</v>
      </c>
      <c r="G187" s="914"/>
      <c r="H187" s="914">
        <f t="shared" si="30"/>
        <v>0</v>
      </c>
      <c r="I187" s="914"/>
      <c r="J187" s="914">
        <f t="shared" si="31"/>
        <v>0</v>
      </c>
      <c r="K187" s="914"/>
      <c r="L187" s="914">
        <f t="shared" si="32"/>
        <v>0</v>
      </c>
      <c r="M187" s="914"/>
      <c r="N187" s="914">
        <f t="shared" si="33"/>
        <v>0</v>
      </c>
      <c r="O187" s="914"/>
      <c r="P187" s="914">
        <f t="shared" si="25"/>
        <v>0</v>
      </c>
      <c r="Q187" s="914"/>
      <c r="R187" s="914">
        <f t="shared" si="26"/>
        <v>0</v>
      </c>
      <c r="S187" s="914"/>
      <c r="T187" s="914">
        <f t="shared" si="27"/>
        <v>0</v>
      </c>
      <c r="U187" s="915">
        <f t="shared" si="29"/>
        <v>0</v>
      </c>
      <c r="V187" s="914">
        <f t="shared" si="28"/>
        <v>0</v>
      </c>
    </row>
    <row r="188" spans="1:22" ht="231.75" hidden="1" customHeight="1">
      <c r="A188" s="905"/>
      <c r="B188" s="906" t="s">
        <v>202</v>
      </c>
      <c r="C188" s="921">
        <f>ROUND(DATA!AG449,2)</f>
        <v>606.47</v>
      </c>
      <c r="D188" s="908" t="s">
        <v>1834</v>
      </c>
      <c r="E188" s="914"/>
      <c r="F188" s="1053">
        <f t="shared" si="24"/>
        <v>0</v>
      </c>
      <c r="G188" s="914"/>
      <c r="H188" s="914">
        <f t="shared" si="30"/>
        <v>0</v>
      </c>
      <c r="I188" s="914"/>
      <c r="J188" s="914">
        <f t="shared" si="31"/>
        <v>0</v>
      </c>
      <c r="K188" s="914"/>
      <c r="L188" s="914">
        <f t="shared" si="32"/>
        <v>0</v>
      </c>
      <c r="M188" s="914"/>
      <c r="N188" s="914">
        <f t="shared" si="33"/>
        <v>0</v>
      </c>
      <c r="O188" s="914"/>
      <c r="P188" s="914">
        <f t="shared" si="25"/>
        <v>0</v>
      </c>
      <c r="Q188" s="914"/>
      <c r="R188" s="914">
        <f t="shared" si="26"/>
        <v>0</v>
      </c>
      <c r="S188" s="914"/>
      <c r="T188" s="914">
        <f t="shared" si="27"/>
        <v>0</v>
      </c>
      <c r="U188" s="915">
        <f t="shared" si="29"/>
        <v>0</v>
      </c>
      <c r="V188" s="914">
        <f t="shared" si="28"/>
        <v>0</v>
      </c>
    </row>
    <row r="189" spans="1:22" ht="231.75" hidden="1" customHeight="1">
      <c r="A189" s="905"/>
      <c r="B189" s="906" t="s">
        <v>203</v>
      </c>
      <c r="C189" s="921">
        <f>ROUND(DATA!AG450,2)</f>
        <v>618.41</v>
      </c>
      <c r="D189" s="908" t="s">
        <v>1834</v>
      </c>
      <c r="E189" s="919"/>
      <c r="F189" s="1053">
        <f t="shared" si="24"/>
        <v>0</v>
      </c>
      <c r="G189" s="919"/>
      <c r="H189" s="914">
        <f t="shared" si="30"/>
        <v>0</v>
      </c>
      <c r="I189" s="919"/>
      <c r="J189" s="914">
        <f t="shared" si="31"/>
        <v>0</v>
      </c>
      <c r="K189" s="914"/>
      <c r="L189" s="914">
        <f t="shared" si="32"/>
        <v>0</v>
      </c>
      <c r="M189" s="919"/>
      <c r="N189" s="914">
        <f t="shared" si="33"/>
        <v>0</v>
      </c>
      <c r="O189" s="919"/>
      <c r="P189" s="914">
        <f t="shared" si="25"/>
        <v>0</v>
      </c>
      <c r="Q189" s="919"/>
      <c r="R189" s="914">
        <f t="shared" si="26"/>
        <v>0</v>
      </c>
      <c r="S189" s="919"/>
      <c r="T189" s="914">
        <f t="shared" si="27"/>
        <v>0</v>
      </c>
      <c r="U189" s="915">
        <f t="shared" si="29"/>
        <v>0</v>
      </c>
      <c r="V189" s="914">
        <f t="shared" si="28"/>
        <v>0</v>
      </c>
    </row>
    <row r="190" spans="1:22" ht="231.75" hidden="1" customHeight="1">
      <c r="A190" s="905"/>
      <c r="B190" s="906" t="s">
        <v>204</v>
      </c>
      <c r="C190" s="921">
        <f>ROUND(DATA!AG451,2)</f>
        <v>630.35</v>
      </c>
      <c r="D190" s="908" t="s">
        <v>1834</v>
      </c>
      <c r="E190" s="919"/>
      <c r="F190" s="1053">
        <f t="shared" si="24"/>
        <v>0</v>
      </c>
      <c r="G190" s="919"/>
      <c r="H190" s="914">
        <f t="shared" si="30"/>
        <v>0</v>
      </c>
      <c r="I190" s="919"/>
      <c r="J190" s="914">
        <f t="shared" si="31"/>
        <v>0</v>
      </c>
      <c r="K190" s="914"/>
      <c r="L190" s="914">
        <f t="shared" si="32"/>
        <v>0</v>
      </c>
      <c r="M190" s="919"/>
      <c r="N190" s="914">
        <f t="shared" si="33"/>
        <v>0</v>
      </c>
      <c r="O190" s="919"/>
      <c r="P190" s="914">
        <f t="shared" si="25"/>
        <v>0</v>
      </c>
      <c r="Q190" s="919"/>
      <c r="R190" s="914">
        <f t="shared" si="26"/>
        <v>0</v>
      </c>
      <c r="S190" s="919"/>
      <c r="T190" s="914">
        <f t="shared" si="27"/>
        <v>0</v>
      </c>
      <c r="U190" s="915">
        <f t="shared" si="29"/>
        <v>0</v>
      </c>
      <c r="V190" s="914">
        <f t="shared" si="28"/>
        <v>0</v>
      </c>
    </row>
    <row r="191" spans="1:22" ht="231.75" hidden="1" customHeight="1">
      <c r="A191" s="928"/>
      <c r="B191" s="906" t="s">
        <v>603</v>
      </c>
      <c r="C191" s="921">
        <f>ROUND(DATA!AG452,2)</f>
        <v>642.29</v>
      </c>
      <c r="D191" s="908" t="s">
        <v>1834</v>
      </c>
      <c r="E191" s="919"/>
      <c r="F191" s="1053">
        <f t="shared" si="24"/>
        <v>0</v>
      </c>
      <c r="G191" s="919"/>
      <c r="H191" s="914">
        <f t="shared" si="30"/>
        <v>0</v>
      </c>
      <c r="I191" s="919"/>
      <c r="J191" s="914">
        <f t="shared" si="31"/>
        <v>0</v>
      </c>
      <c r="K191" s="914"/>
      <c r="L191" s="914">
        <f t="shared" si="32"/>
        <v>0</v>
      </c>
      <c r="M191" s="919"/>
      <c r="N191" s="914">
        <f t="shared" si="33"/>
        <v>0</v>
      </c>
      <c r="O191" s="919"/>
      <c r="P191" s="914">
        <f t="shared" si="25"/>
        <v>0</v>
      </c>
      <c r="Q191" s="919"/>
      <c r="R191" s="914">
        <f t="shared" si="26"/>
        <v>0</v>
      </c>
      <c r="S191" s="919"/>
      <c r="T191" s="914">
        <f t="shared" si="27"/>
        <v>0</v>
      </c>
      <c r="U191" s="915">
        <f t="shared" si="29"/>
        <v>0</v>
      </c>
      <c r="V191" s="914">
        <f t="shared" si="28"/>
        <v>0</v>
      </c>
    </row>
    <row r="192" spans="1:22" ht="231.75" hidden="1" customHeight="1">
      <c r="A192" s="905">
        <v>11.3</v>
      </c>
      <c r="B192" s="924" t="s">
        <v>6616</v>
      </c>
      <c r="C192" s="921"/>
      <c r="D192" s="908"/>
      <c r="E192" s="919"/>
      <c r="F192" s="1053">
        <f t="shared" si="24"/>
        <v>0</v>
      </c>
      <c r="G192" s="919"/>
      <c r="H192" s="914">
        <f t="shared" si="30"/>
        <v>0</v>
      </c>
      <c r="I192" s="919"/>
      <c r="J192" s="914">
        <f t="shared" si="31"/>
        <v>0</v>
      </c>
      <c r="K192" s="914"/>
      <c r="L192" s="914">
        <f t="shared" si="32"/>
        <v>0</v>
      </c>
      <c r="M192" s="919"/>
      <c r="N192" s="914">
        <f t="shared" si="33"/>
        <v>0</v>
      </c>
      <c r="O192" s="919"/>
      <c r="P192" s="914">
        <f t="shared" si="25"/>
        <v>0</v>
      </c>
      <c r="Q192" s="919"/>
      <c r="R192" s="914">
        <f t="shared" si="26"/>
        <v>0</v>
      </c>
      <c r="S192" s="919"/>
      <c r="T192" s="914">
        <f t="shared" si="27"/>
        <v>0</v>
      </c>
      <c r="U192" s="915">
        <f t="shared" si="29"/>
        <v>0</v>
      </c>
      <c r="V192" s="914">
        <f t="shared" si="28"/>
        <v>0</v>
      </c>
    </row>
    <row r="193" spans="1:22" ht="231.75" hidden="1" customHeight="1">
      <c r="A193" s="905"/>
      <c r="B193" s="906" t="s">
        <v>201</v>
      </c>
      <c r="C193" s="921"/>
      <c r="D193" s="908" t="s">
        <v>1834</v>
      </c>
      <c r="E193" s="919"/>
      <c r="F193" s="1053">
        <f t="shared" si="24"/>
        <v>0</v>
      </c>
      <c r="G193" s="919"/>
      <c r="H193" s="914">
        <f t="shared" si="30"/>
        <v>0</v>
      </c>
      <c r="I193" s="919"/>
      <c r="J193" s="914">
        <f t="shared" si="31"/>
        <v>0</v>
      </c>
      <c r="K193" s="914"/>
      <c r="L193" s="914">
        <f t="shared" si="32"/>
        <v>0</v>
      </c>
      <c r="M193" s="919"/>
      <c r="N193" s="914">
        <f t="shared" si="33"/>
        <v>0</v>
      </c>
      <c r="O193" s="919"/>
      <c r="P193" s="914">
        <f t="shared" si="25"/>
        <v>0</v>
      </c>
      <c r="Q193" s="919"/>
      <c r="R193" s="914">
        <f t="shared" si="26"/>
        <v>0</v>
      </c>
      <c r="S193" s="919"/>
      <c r="T193" s="914">
        <f t="shared" si="27"/>
        <v>0</v>
      </c>
      <c r="U193" s="915">
        <f t="shared" si="29"/>
        <v>0</v>
      </c>
      <c r="V193" s="914">
        <f t="shared" si="28"/>
        <v>0</v>
      </c>
    </row>
    <row r="194" spans="1:22" ht="231.75" hidden="1" customHeight="1">
      <c r="A194" s="905"/>
      <c r="B194" s="906" t="s">
        <v>202</v>
      </c>
      <c r="C194" s="921"/>
      <c r="D194" s="908" t="s">
        <v>1834</v>
      </c>
      <c r="E194" s="919"/>
      <c r="F194" s="1053">
        <f t="shared" si="24"/>
        <v>0</v>
      </c>
      <c r="G194" s="919"/>
      <c r="H194" s="914">
        <f t="shared" si="30"/>
        <v>0</v>
      </c>
      <c r="I194" s="919"/>
      <c r="J194" s="914">
        <f t="shared" si="31"/>
        <v>0</v>
      </c>
      <c r="K194" s="914"/>
      <c r="L194" s="914">
        <f t="shared" si="32"/>
        <v>0</v>
      </c>
      <c r="M194" s="919"/>
      <c r="N194" s="914">
        <f t="shared" si="33"/>
        <v>0</v>
      </c>
      <c r="O194" s="919"/>
      <c r="P194" s="914">
        <f t="shared" si="25"/>
        <v>0</v>
      </c>
      <c r="Q194" s="919"/>
      <c r="R194" s="914">
        <f t="shared" si="26"/>
        <v>0</v>
      </c>
      <c r="S194" s="919"/>
      <c r="T194" s="914">
        <f t="shared" si="27"/>
        <v>0</v>
      </c>
      <c r="U194" s="915">
        <f t="shared" si="29"/>
        <v>0</v>
      </c>
      <c r="V194" s="914">
        <f t="shared" si="28"/>
        <v>0</v>
      </c>
    </row>
    <row r="195" spans="1:22" ht="231.75" hidden="1" customHeight="1">
      <c r="A195" s="905"/>
      <c r="B195" s="906" t="s">
        <v>203</v>
      </c>
      <c r="C195" s="921"/>
      <c r="D195" s="908" t="s">
        <v>1834</v>
      </c>
      <c r="E195" s="919"/>
      <c r="F195" s="1053">
        <f t="shared" si="24"/>
        <v>0</v>
      </c>
      <c r="G195" s="919"/>
      <c r="H195" s="914">
        <f t="shared" si="30"/>
        <v>0</v>
      </c>
      <c r="I195" s="919"/>
      <c r="J195" s="914">
        <f t="shared" si="31"/>
        <v>0</v>
      </c>
      <c r="K195" s="914"/>
      <c r="L195" s="914">
        <f t="shared" si="32"/>
        <v>0</v>
      </c>
      <c r="M195" s="919"/>
      <c r="N195" s="914">
        <f t="shared" si="33"/>
        <v>0</v>
      </c>
      <c r="O195" s="919"/>
      <c r="P195" s="914">
        <f t="shared" si="25"/>
        <v>0</v>
      </c>
      <c r="Q195" s="919"/>
      <c r="R195" s="914">
        <f t="shared" si="26"/>
        <v>0</v>
      </c>
      <c r="S195" s="919"/>
      <c r="T195" s="914">
        <f t="shared" si="27"/>
        <v>0</v>
      </c>
      <c r="U195" s="915">
        <f t="shared" si="29"/>
        <v>0</v>
      </c>
      <c r="V195" s="914">
        <f t="shared" si="28"/>
        <v>0</v>
      </c>
    </row>
    <row r="196" spans="1:22" ht="231.75" hidden="1" customHeight="1">
      <c r="A196" s="905"/>
      <c r="B196" s="906" t="s">
        <v>204</v>
      </c>
      <c r="C196" s="921"/>
      <c r="D196" s="908" t="s">
        <v>1834</v>
      </c>
      <c r="E196" s="919"/>
      <c r="F196" s="1053">
        <f t="shared" si="24"/>
        <v>0</v>
      </c>
      <c r="G196" s="919"/>
      <c r="H196" s="914">
        <f t="shared" si="30"/>
        <v>0</v>
      </c>
      <c r="I196" s="919"/>
      <c r="J196" s="914">
        <f t="shared" si="31"/>
        <v>0</v>
      </c>
      <c r="K196" s="914"/>
      <c r="L196" s="914">
        <f t="shared" si="32"/>
        <v>0</v>
      </c>
      <c r="M196" s="919"/>
      <c r="N196" s="914">
        <f t="shared" si="33"/>
        <v>0</v>
      </c>
      <c r="O196" s="919"/>
      <c r="P196" s="914">
        <f t="shared" si="25"/>
        <v>0</v>
      </c>
      <c r="Q196" s="919"/>
      <c r="R196" s="914">
        <f t="shared" si="26"/>
        <v>0</v>
      </c>
      <c r="S196" s="919"/>
      <c r="T196" s="914">
        <f t="shared" si="27"/>
        <v>0</v>
      </c>
      <c r="U196" s="915">
        <f t="shared" si="29"/>
        <v>0</v>
      </c>
      <c r="V196" s="914">
        <f t="shared" si="28"/>
        <v>0</v>
      </c>
    </row>
    <row r="197" spans="1:22" ht="231.75" hidden="1" customHeight="1">
      <c r="A197" s="928"/>
      <c r="B197" s="906" t="s">
        <v>603</v>
      </c>
      <c r="C197" s="921"/>
      <c r="D197" s="908" t="s">
        <v>1834</v>
      </c>
      <c r="E197" s="919"/>
      <c r="F197" s="1053">
        <f t="shared" si="24"/>
        <v>0</v>
      </c>
      <c r="G197" s="919"/>
      <c r="H197" s="914">
        <f t="shared" si="30"/>
        <v>0</v>
      </c>
      <c r="I197" s="919"/>
      <c r="J197" s="914">
        <f t="shared" si="31"/>
        <v>0</v>
      </c>
      <c r="K197" s="914"/>
      <c r="L197" s="914">
        <f t="shared" si="32"/>
        <v>0</v>
      </c>
      <c r="M197" s="919"/>
      <c r="N197" s="914">
        <f t="shared" si="33"/>
        <v>0</v>
      </c>
      <c r="O197" s="919"/>
      <c r="P197" s="914">
        <f t="shared" si="25"/>
        <v>0</v>
      </c>
      <c r="Q197" s="919"/>
      <c r="R197" s="914">
        <f t="shared" si="26"/>
        <v>0</v>
      </c>
      <c r="S197" s="919"/>
      <c r="T197" s="914">
        <f t="shared" si="27"/>
        <v>0</v>
      </c>
      <c r="U197" s="915">
        <f t="shared" si="29"/>
        <v>0</v>
      </c>
      <c r="V197" s="914">
        <f t="shared" si="28"/>
        <v>0</v>
      </c>
    </row>
    <row r="198" spans="1:22" ht="231.75" hidden="1" customHeight="1">
      <c r="A198" s="905">
        <v>11.4</v>
      </c>
      <c r="B198" s="924" t="s">
        <v>6617</v>
      </c>
      <c r="C198" s="921"/>
      <c r="D198" s="908"/>
      <c r="E198" s="919"/>
      <c r="F198" s="1053">
        <f t="shared" ref="F198:F261" si="34">E198*C198</f>
        <v>0</v>
      </c>
      <c r="G198" s="919"/>
      <c r="H198" s="914">
        <f t="shared" si="30"/>
        <v>0</v>
      </c>
      <c r="I198" s="919"/>
      <c r="J198" s="914">
        <f t="shared" si="31"/>
        <v>0</v>
      </c>
      <c r="K198" s="914"/>
      <c r="L198" s="914">
        <f t="shared" si="32"/>
        <v>0</v>
      </c>
      <c r="M198" s="919"/>
      <c r="N198" s="914">
        <f t="shared" si="33"/>
        <v>0</v>
      </c>
      <c r="O198" s="919"/>
      <c r="P198" s="914">
        <f t="shared" ref="P198:P261" si="35">O198*C198</f>
        <v>0</v>
      </c>
      <c r="Q198" s="919"/>
      <c r="R198" s="914">
        <f t="shared" ref="R198:R261" si="36">Q198*C198</f>
        <v>0</v>
      </c>
      <c r="S198" s="919"/>
      <c r="T198" s="914">
        <f t="shared" ref="T198:T261" si="37">S198*C198</f>
        <v>0</v>
      </c>
      <c r="U198" s="915">
        <f t="shared" si="29"/>
        <v>0</v>
      </c>
      <c r="V198" s="914">
        <f t="shared" ref="V198:V261" si="38">U198*C198</f>
        <v>0</v>
      </c>
    </row>
    <row r="199" spans="1:22" ht="231.75" hidden="1" customHeight="1">
      <c r="A199" s="927"/>
      <c r="B199" s="906" t="s">
        <v>201</v>
      </c>
      <c r="C199" s="921"/>
      <c r="D199" s="908" t="s">
        <v>1834</v>
      </c>
      <c r="E199" s="919"/>
      <c r="F199" s="1053">
        <f t="shared" si="34"/>
        <v>0</v>
      </c>
      <c r="G199" s="919"/>
      <c r="H199" s="914">
        <f t="shared" si="30"/>
        <v>0</v>
      </c>
      <c r="I199" s="919"/>
      <c r="J199" s="914">
        <f t="shared" si="31"/>
        <v>0</v>
      </c>
      <c r="K199" s="914"/>
      <c r="L199" s="914">
        <f t="shared" si="32"/>
        <v>0</v>
      </c>
      <c r="M199" s="919"/>
      <c r="N199" s="914">
        <f t="shared" si="33"/>
        <v>0</v>
      </c>
      <c r="O199" s="919"/>
      <c r="P199" s="914">
        <f t="shared" si="35"/>
        <v>0</v>
      </c>
      <c r="Q199" s="919"/>
      <c r="R199" s="914">
        <f t="shared" si="36"/>
        <v>0</v>
      </c>
      <c r="S199" s="919"/>
      <c r="T199" s="914">
        <f t="shared" si="37"/>
        <v>0</v>
      </c>
      <c r="U199" s="915">
        <f t="shared" si="29"/>
        <v>0</v>
      </c>
      <c r="V199" s="914">
        <f t="shared" si="38"/>
        <v>0</v>
      </c>
    </row>
    <row r="200" spans="1:22" ht="231.75" hidden="1" customHeight="1">
      <c r="A200" s="927"/>
      <c r="B200" s="906" t="s">
        <v>202</v>
      </c>
      <c r="C200" s="921"/>
      <c r="D200" s="908" t="s">
        <v>1834</v>
      </c>
      <c r="E200" s="919"/>
      <c r="F200" s="1053">
        <f t="shared" si="34"/>
        <v>0</v>
      </c>
      <c r="G200" s="919"/>
      <c r="H200" s="914">
        <f t="shared" si="30"/>
        <v>0</v>
      </c>
      <c r="I200" s="919"/>
      <c r="J200" s="914">
        <f t="shared" si="31"/>
        <v>0</v>
      </c>
      <c r="K200" s="914"/>
      <c r="L200" s="914">
        <f t="shared" si="32"/>
        <v>0</v>
      </c>
      <c r="M200" s="919"/>
      <c r="N200" s="914">
        <f t="shared" si="33"/>
        <v>0</v>
      </c>
      <c r="O200" s="919"/>
      <c r="P200" s="914">
        <f t="shared" si="35"/>
        <v>0</v>
      </c>
      <c r="Q200" s="919"/>
      <c r="R200" s="914">
        <f t="shared" si="36"/>
        <v>0</v>
      </c>
      <c r="S200" s="919"/>
      <c r="T200" s="914">
        <f t="shared" si="37"/>
        <v>0</v>
      </c>
      <c r="U200" s="915">
        <f t="shared" si="29"/>
        <v>0</v>
      </c>
      <c r="V200" s="914">
        <f t="shared" si="38"/>
        <v>0</v>
      </c>
    </row>
    <row r="201" spans="1:22" ht="231.75" hidden="1" customHeight="1">
      <c r="A201" s="927"/>
      <c r="B201" s="906" t="s">
        <v>203</v>
      </c>
      <c r="C201" s="921"/>
      <c r="D201" s="908" t="s">
        <v>1834</v>
      </c>
      <c r="E201" s="919"/>
      <c r="F201" s="1053">
        <f t="shared" si="34"/>
        <v>0</v>
      </c>
      <c r="G201" s="919"/>
      <c r="H201" s="914">
        <f t="shared" si="30"/>
        <v>0</v>
      </c>
      <c r="I201" s="919"/>
      <c r="J201" s="914">
        <f t="shared" si="31"/>
        <v>0</v>
      </c>
      <c r="K201" s="914"/>
      <c r="L201" s="914">
        <f t="shared" si="32"/>
        <v>0</v>
      </c>
      <c r="M201" s="919"/>
      <c r="N201" s="914">
        <f t="shared" si="33"/>
        <v>0</v>
      </c>
      <c r="O201" s="919"/>
      <c r="P201" s="914">
        <f t="shared" si="35"/>
        <v>0</v>
      </c>
      <c r="Q201" s="919"/>
      <c r="R201" s="914">
        <f t="shared" si="36"/>
        <v>0</v>
      </c>
      <c r="S201" s="919"/>
      <c r="T201" s="914">
        <f t="shared" si="37"/>
        <v>0</v>
      </c>
      <c r="U201" s="915">
        <f t="shared" si="29"/>
        <v>0</v>
      </c>
      <c r="V201" s="914">
        <f t="shared" si="38"/>
        <v>0</v>
      </c>
    </row>
    <row r="202" spans="1:22" ht="231.75" hidden="1" customHeight="1">
      <c r="A202" s="927"/>
      <c r="B202" s="906" t="s">
        <v>204</v>
      </c>
      <c r="C202" s="921"/>
      <c r="D202" s="908" t="s">
        <v>1834</v>
      </c>
      <c r="E202" s="919"/>
      <c r="F202" s="1053">
        <f t="shared" si="34"/>
        <v>0</v>
      </c>
      <c r="G202" s="919"/>
      <c r="H202" s="914">
        <f t="shared" si="30"/>
        <v>0</v>
      </c>
      <c r="I202" s="919"/>
      <c r="J202" s="914">
        <f t="shared" si="31"/>
        <v>0</v>
      </c>
      <c r="K202" s="914"/>
      <c r="L202" s="914">
        <f t="shared" si="32"/>
        <v>0</v>
      </c>
      <c r="M202" s="919"/>
      <c r="N202" s="914">
        <f t="shared" si="33"/>
        <v>0</v>
      </c>
      <c r="O202" s="919"/>
      <c r="P202" s="914">
        <f t="shared" si="35"/>
        <v>0</v>
      </c>
      <c r="Q202" s="919"/>
      <c r="R202" s="914">
        <f t="shared" si="36"/>
        <v>0</v>
      </c>
      <c r="S202" s="919"/>
      <c r="T202" s="914">
        <f t="shared" si="37"/>
        <v>0</v>
      </c>
      <c r="U202" s="915">
        <f t="shared" si="29"/>
        <v>0</v>
      </c>
      <c r="V202" s="914">
        <f t="shared" si="38"/>
        <v>0</v>
      </c>
    </row>
    <row r="203" spans="1:22" ht="231.75" hidden="1" customHeight="1">
      <c r="A203" s="931"/>
      <c r="B203" s="906" t="s">
        <v>603</v>
      </c>
      <c r="C203" s="921"/>
      <c r="D203" s="908" t="s">
        <v>1834</v>
      </c>
      <c r="E203" s="919"/>
      <c r="F203" s="1053">
        <f t="shared" si="34"/>
        <v>0</v>
      </c>
      <c r="G203" s="919"/>
      <c r="H203" s="914">
        <f t="shared" si="30"/>
        <v>0</v>
      </c>
      <c r="I203" s="919"/>
      <c r="J203" s="914">
        <f t="shared" si="31"/>
        <v>0</v>
      </c>
      <c r="K203" s="914"/>
      <c r="L203" s="914">
        <f t="shared" si="32"/>
        <v>0</v>
      </c>
      <c r="M203" s="919"/>
      <c r="N203" s="914">
        <f t="shared" si="33"/>
        <v>0</v>
      </c>
      <c r="O203" s="919"/>
      <c r="P203" s="914">
        <f t="shared" si="35"/>
        <v>0</v>
      </c>
      <c r="Q203" s="919"/>
      <c r="R203" s="914">
        <f t="shared" si="36"/>
        <v>0</v>
      </c>
      <c r="S203" s="919"/>
      <c r="T203" s="914">
        <f t="shared" si="37"/>
        <v>0</v>
      </c>
      <c r="U203" s="915">
        <f t="shared" si="29"/>
        <v>0</v>
      </c>
      <c r="V203" s="914">
        <f t="shared" si="38"/>
        <v>0</v>
      </c>
    </row>
    <row r="204" spans="1:22" s="920" customFormat="1" ht="231.75" hidden="1" customHeight="1">
      <c r="A204" s="932">
        <v>11.5</v>
      </c>
      <c r="B204" s="925" t="s">
        <v>6618</v>
      </c>
      <c r="C204" s="918"/>
      <c r="D204" s="898"/>
      <c r="E204" s="919"/>
      <c r="F204" s="1053">
        <f t="shared" si="34"/>
        <v>0</v>
      </c>
      <c r="G204" s="919"/>
      <c r="H204" s="914">
        <f t="shared" si="30"/>
        <v>0</v>
      </c>
      <c r="I204" s="919"/>
      <c r="J204" s="914">
        <f t="shared" si="31"/>
        <v>0</v>
      </c>
      <c r="K204" s="914"/>
      <c r="L204" s="914">
        <f t="shared" si="32"/>
        <v>0</v>
      </c>
      <c r="M204" s="919"/>
      <c r="N204" s="914">
        <f t="shared" si="33"/>
        <v>0</v>
      </c>
      <c r="O204" s="919"/>
      <c r="P204" s="914">
        <f t="shared" si="35"/>
        <v>0</v>
      </c>
      <c r="Q204" s="919"/>
      <c r="R204" s="914">
        <f t="shared" si="36"/>
        <v>0</v>
      </c>
      <c r="S204" s="919"/>
      <c r="T204" s="914">
        <f t="shared" si="37"/>
        <v>0</v>
      </c>
      <c r="U204" s="915">
        <f t="shared" si="29"/>
        <v>0</v>
      </c>
      <c r="V204" s="914">
        <f t="shared" si="38"/>
        <v>0</v>
      </c>
    </row>
    <row r="205" spans="1:22" s="920" customFormat="1" ht="231.75" hidden="1" customHeight="1">
      <c r="A205" s="932"/>
      <c r="B205" s="917" t="s">
        <v>201</v>
      </c>
      <c r="C205" s="918">
        <f>ROUND(DATA!K434,2)</f>
        <v>550.80999999999995</v>
      </c>
      <c r="D205" s="898" t="s">
        <v>1834</v>
      </c>
      <c r="E205" s="919"/>
      <c r="F205" s="1053">
        <f t="shared" si="34"/>
        <v>0</v>
      </c>
      <c r="G205" s="919"/>
      <c r="H205" s="914">
        <f t="shared" si="30"/>
        <v>0</v>
      </c>
      <c r="I205" s="919"/>
      <c r="J205" s="914">
        <f t="shared" si="31"/>
        <v>0</v>
      </c>
      <c r="K205" s="914"/>
      <c r="L205" s="914">
        <f t="shared" si="32"/>
        <v>0</v>
      </c>
      <c r="M205" s="919"/>
      <c r="N205" s="914">
        <f t="shared" si="33"/>
        <v>0</v>
      </c>
      <c r="O205" s="919"/>
      <c r="P205" s="914">
        <f t="shared" si="35"/>
        <v>0</v>
      </c>
      <c r="Q205" s="919"/>
      <c r="R205" s="914">
        <f t="shared" si="36"/>
        <v>0</v>
      </c>
      <c r="S205" s="919"/>
      <c r="T205" s="914">
        <f t="shared" si="37"/>
        <v>0</v>
      </c>
      <c r="U205" s="915">
        <f t="shared" si="29"/>
        <v>0</v>
      </c>
      <c r="V205" s="914">
        <f t="shared" si="38"/>
        <v>0</v>
      </c>
    </row>
    <row r="206" spans="1:22" s="920" customFormat="1" ht="231.75" hidden="1" customHeight="1">
      <c r="A206" s="932"/>
      <c r="B206" s="917" t="s">
        <v>202</v>
      </c>
      <c r="C206" s="918">
        <f>ROUND(DATA!K435,2)</f>
        <v>561.95000000000005</v>
      </c>
      <c r="D206" s="898" t="s">
        <v>1834</v>
      </c>
      <c r="E206" s="919"/>
      <c r="F206" s="1053">
        <f t="shared" si="34"/>
        <v>0</v>
      </c>
      <c r="G206" s="919"/>
      <c r="H206" s="914">
        <f t="shared" si="30"/>
        <v>0</v>
      </c>
      <c r="I206" s="919"/>
      <c r="J206" s="914">
        <f t="shared" si="31"/>
        <v>0</v>
      </c>
      <c r="K206" s="914"/>
      <c r="L206" s="914">
        <f t="shared" si="32"/>
        <v>0</v>
      </c>
      <c r="M206" s="919"/>
      <c r="N206" s="914">
        <f t="shared" si="33"/>
        <v>0</v>
      </c>
      <c r="O206" s="919"/>
      <c r="P206" s="914">
        <f t="shared" si="35"/>
        <v>0</v>
      </c>
      <c r="Q206" s="919"/>
      <c r="R206" s="914">
        <f t="shared" si="36"/>
        <v>0</v>
      </c>
      <c r="S206" s="919"/>
      <c r="T206" s="914">
        <f t="shared" si="37"/>
        <v>0</v>
      </c>
      <c r="U206" s="915">
        <f t="shared" si="29"/>
        <v>0</v>
      </c>
      <c r="V206" s="914">
        <f t="shared" si="38"/>
        <v>0</v>
      </c>
    </row>
    <row r="207" spans="1:22" s="920" customFormat="1" ht="231.75" hidden="1" customHeight="1">
      <c r="A207" s="932"/>
      <c r="B207" s="917" t="s">
        <v>203</v>
      </c>
      <c r="C207" s="918">
        <f>ROUND(DATA!K436,2)</f>
        <v>573.09</v>
      </c>
      <c r="D207" s="898" t="s">
        <v>1834</v>
      </c>
      <c r="E207" s="919"/>
      <c r="F207" s="1053">
        <f t="shared" si="34"/>
        <v>0</v>
      </c>
      <c r="G207" s="919"/>
      <c r="H207" s="914">
        <f t="shared" si="30"/>
        <v>0</v>
      </c>
      <c r="I207" s="919"/>
      <c r="J207" s="914">
        <f t="shared" si="31"/>
        <v>0</v>
      </c>
      <c r="K207" s="914"/>
      <c r="L207" s="914">
        <f t="shared" si="32"/>
        <v>0</v>
      </c>
      <c r="M207" s="919"/>
      <c r="N207" s="914">
        <f t="shared" si="33"/>
        <v>0</v>
      </c>
      <c r="O207" s="919"/>
      <c r="P207" s="914">
        <f t="shared" si="35"/>
        <v>0</v>
      </c>
      <c r="Q207" s="919"/>
      <c r="R207" s="914">
        <f t="shared" si="36"/>
        <v>0</v>
      </c>
      <c r="S207" s="919"/>
      <c r="T207" s="914">
        <f t="shared" si="37"/>
        <v>0</v>
      </c>
      <c r="U207" s="915">
        <f t="shared" si="29"/>
        <v>0</v>
      </c>
      <c r="V207" s="914">
        <f t="shared" si="38"/>
        <v>0</v>
      </c>
    </row>
    <row r="208" spans="1:22" s="920" customFormat="1" ht="231.75" hidden="1" customHeight="1">
      <c r="A208" s="932"/>
      <c r="B208" s="917" t="s">
        <v>204</v>
      </c>
      <c r="C208" s="918">
        <f>ROUND(DATA!K437,2)</f>
        <v>584.23</v>
      </c>
      <c r="D208" s="898" t="s">
        <v>1834</v>
      </c>
      <c r="E208" s="919"/>
      <c r="F208" s="1053">
        <f t="shared" si="34"/>
        <v>0</v>
      </c>
      <c r="G208" s="919"/>
      <c r="H208" s="914">
        <f t="shared" si="30"/>
        <v>0</v>
      </c>
      <c r="I208" s="919"/>
      <c r="J208" s="914">
        <f t="shared" si="31"/>
        <v>0</v>
      </c>
      <c r="K208" s="914"/>
      <c r="L208" s="914">
        <f t="shared" si="32"/>
        <v>0</v>
      </c>
      <c r="M208" s="919"/>
      <c r="N208" s="914">
        <f t="shared" si="33"/>
        <v>0</v>
      </c>
      <c r="O208" s="919"/>
      <c r="P208" s="914">
        <f t="shared" si="35"/>
        <v>0</v>
      </c>
      <c r="Q208" s="919"/>
      <c r="R208" s="914">
        <f t="shared" si="36"/>
        <v>0</v>
      </c>
      <c r="S208" s="919"/>
      <c r="T208" s="914">
        <f t="shared" si="37"/>
        <v>0</v>
      </c>
      <c r="U208" s="915">
        <f t="shared" si="29"/>
        <v>0</v>
      </c>
      <c r="V208" s="914">
        <f t="shared" si="38"/>
        <v>0</v>
      </c>
    </row>
    <row r="209" spans="1:22" ht="231.75" hidden="1" customHeight="1">
      <c r="A209" s="933"/>
      <c r="B209" s="906" t="s">
        <v>603</v>
      </c>
      <c r="C209" s="921">
        <f>ROUND(DATA!K438,2)</f>
        <v>595.37</v>
      </c>
      <c r="D209" s="908" t="s">
        <v>1834</v>
      </c>
      <c r="E209" s="919"/>
      <c r="F209" s="1053">
        <f t="shared" si="34"/>
        <v>0</v>
      </c>
      <c r="G209" s="919"/>
      <c r="H209" s="914">
        <f t="shared" si="30"/>
        <v>0</v>
      </c>
      <c r="I209" s="919"/>
      <c r="J209" s="914">
        <f t="shared" si="31"/>
        <v>0</v>
      </c>
      <c r="K209" s="914"/>
      <c r="L209" s="914">
        <f t="shared" si="32"/>
        <v>0</v>
      </c>
      <c r="M209" s="919"/>
      <c r="N209" s="914">
        <f t="shared" si="33"/>
        <v>0</v>
      </c>
      <c r="O209" s="919"/>
      <c r="P209" s="914">
        <f t="shared" si="35"/>
        <v>0</v>
      </c>
      <c r="Q209" s="919"/>
      <c r="R209" s="914">
        <f t="shared" si="36"/>
        <v>0</v>
      </c>
      <c r="S209" s="919"/>
      <c r="T209" s="914">
        <f t="shared" si="37"/>
        <v>0</v>
      </c>
      <c r="U209" s="915">
        <f t="shared" si="29"/>
        <v>0</v>
      </c>
      <c r="V209" s="914">
        <f t="shared" si="38"/>
        <v>0</v>
      </c>
    </row>
    <row r="210" spans="1:22" ht="231.75" hidden="1" customHeight="1">
      <c r="A210" s="934">
        <v>11.6</v>
      </c>
      <c r="B210" s="924" t="s">
        <v>6619</v>
      </c>
      <c r="C210" s="921"/>
      <c r="D210" s="908"/>
      <c r="E210" s="919"/>
      <c r="F210" s="1053">
        <f t="shared" si="34"/>
        <v>0</v>
      </c>
      <c r="G210" s="919"/>
      <c r="H210" s="914">
        <f t="shared" si="30"/>
        <v>0</v>
      </c>
      <c r="I210" s="919"/>
      <c r="J210" s="914">
        <f t="shared" si="31"/>
        <v>0</v>
      </c>
      <c r="K210" s="914"/>
      <c r="L210" s="914">
        <f t="shared" si="32"/>
        <v>0</v>
      </c>
      <c r="M210" s="919"/>
      <c r="N210" s="914">
        <f t="shared" si="33"/>
        <v>0</v>
      </c>
      <c r="O210" s="919"/>
      <c r="P210" s="914">
        <f t="shared" si="35"/>
        <v>0</v>
      </c>
      <c r="Q210" s="919"/>
      <c r="R210" s="914">
        <f t="shared" si="36"/>
        <v>0</v>
      </c>
      <c r="S210" s="919"/>
      <c r="T210" s="914">
        <f t="shared" si="37"/>
        <v>0</v>
      </c>
      <c r="U210" s="915">
        <f t="shared" ref="U210:U273" si="39">G210+I210+M210+O210+Q210+S210+E210+K210</f>
        <v>0</v>
      </c>
      <c r="V210" s="914">
        <f t="shared" si="38"/>
        <v>0</v>
      </c>
    </row>
    <row r="211" spans="1:22" ht="231.75" hidden="1" customHeight="1">
      <c r="A211" s="934"/>
      <c r="B211" s="906" t="s">
        <v>201</v>
      </c>
      <c r="C211" s="921"/>
      <c r="D211" s="908" t="s">
        <v>1834</v>
      </c>
      <c r="E211" s="919"/>
      <c r="F211" s="1053">
        <f t="shared" si="34"/>
        <v>0</v>
      </c>
      <c r="G211" s="919"/>
      <c r="H211" s="914">
        <f t="shared" ref="H211:H274" si="40">C211*G211</f>
        <v>0</v>
      </c>
      <c r="I211" s="919"/>
      <c r="J211" s="914">
        <f t="shared" ref="J211:J274" si="41">I211*C211</f>
        <v>0</v>
      </c>
      <c r="K211" s="914"/>
      <c r="L211" s="914">
        <f t="shared" ref="L211:L274" si="42">K211*C211</f>
        <v>0</v>
      </c>
      <c r="M211" s="919"/>
      <c r="N211" s="914">
        <f t="shared" ref="N211:N274" si="43">M211*C211</f>
        <v>0</v>
      </c>
      <c r="O211" s="919"/>
      <c r="P211" s="914">
        <f t="shared" si="35"/>
        <v>0</v>
      </c>
      <c r="Q211" s="919"/>
      <c r="R211" s="914">
        <f t="shared" si="36"/>
        <v>0</v>
      </c>
      <c r="S211" s="919"/>
      <c r="T211" s="914">
        <f t="shared" si="37"/>
        <v>0</v>
      </c>
      <c r="U211" s="915">
        <f t="shared" si="39"/>
        <v>0</v>
      </c>
      <c r="V211" s="914">
        <f t="shared" si="38"/>
        <v>0</v>
      </c>
    </row>
    <row r="212" spans="1:22" ht="231.75" hidden="1" customHeight="1">
      <c r="A212" s="934"/>
      <c r="B212" s="906" t="s">
        <v>202</v>
      </c>
      <c r="C212" s="921"/>
      <c r="D212" s="908" t="s">
        <v>1834</v>
      </c>
      <c r="E212" s="919"/>
      <c r="F212" s="1053">
        <f t="shared" si="34"/>
        <v>0</v>
      </c>
      <c r="G212" s="919"/>
      <c r="H212" s="914">
        <f t="shared" si="40"/>
        <v>0</v>
      </c>
      <c r="I212" s="919"/>
      <c r="J212" s="914">
        <f t="shared" si="41"/>
        <v>0</v>
      </c>
      <c r="K212" s="914"/>
      <c r="L212" s="914">
        <f t="shared" si="42"/>
        <v>0</v>
      </c>
      <c r="M212" s="919"/>
      <c r="N212" s="914">
        <f t="shared" si="43"/>
        <v>0</v>
      </c>
      <c r="O212" s="919"/>
      <c r="P212" s="914">
        <f t="shared" si="35"/>
        <v>0</v>
      </c>
      <c r="Q212" s="919"/>
      <c r="R212" s="914">
        <f t="shared" si="36"/>
        <v>0</v>
      </c>
      <c r="S212" s="919"/>
      <c r="T212" s="914">
        <f t="shared" si="37"/>
        <v>0</v>
      </c>
      <c r="U212" s="915">
        <f t="shared" si="39"/>
        <v>0</v>
      </c>
      <c r="V212" s="914">
        <f t="shared" si="38"/>
        <v>0</v>
      </c>
    </row>
    <row r="213" spans="1:22" ht="231.75" hidden="1" customHeight="1">
      <c r="A213" s="934"/>
      <c r="B213" s="906" t="s">
        <v>203</v>
      </c>
      <c r="C213" s="921"/>
      <c r="D213" s="908" t="s">
        <v>1834</v>
      </c>
      <c r="E213" s="919"/>
      <c r="F213" s="1053">
        <f t="shared" si="34"/>
        <v>0</v>
      </c>
      <c r="G213" s="919"/>
      <c r="H213" s="914">
        <f t="shared" si="40"/>
        <v>0</v>
      </c>
      <c r="I213" s="919"/>
      <c r="J213" s="914">
        <f t="shared" si="41"/>
        <v>0</v>
      </c>
      <c r="K213" s="914"/>
      <c r="L213" s="914">
        <f t="shared" si="42"/>
        <v>0</v>
      </c>
      <c r="M213" s="919"/>
      <c r="N213" s="914">
        <f t="shared" si="43"/>
        <v>0</v>
      </c>
      <c r="O213" s="919"/>
      <c r="P213" s="914">
        <f t="shared" si="35"/>
        <v>0</v>
      </c>
      <c r="Q213" s="919"/>
      <c r="R213" s="914">
        <f t="shared" si="36"/>
        <v>0</v>
      </c>
      <c r="S213" s="919"/>
      <c r="T213" s="914">
        <f t="shared" si="37"/>
        <v>0</v>
      </c>
      <c r="U213" s="915">
        <f t="shared" si="39"/>
        <v>0</v>
      </c>
      <c r="V213" s="914">
        <f t="shared" si="38"/>
        <v>0</v>
      </c>
    </row>
    <row r="214" spans="1:22" ht="231.75" hidden="1" customHeight="1">
      <c r="A214" s="934"/>
      <c r="B214" s="906" t="s">
        <v>204</v>
      </c>
      <c r="C214" s="921"/>
      <c r="D214" s="908" t="s">
        <v>1834</v>
      </c>
      <c r="E214" s="919"/>
      <c r="F214" s="1053">
        <f t="shared" si="34"/>
        <v>0</v>
      </c>
      <c r="G214" s="919"/>
      <c r="H214" s="914">
        <f t="shared" si="40"/>
        <v>0</v>
      </c>
      <c r="I214" s="919"/>
      <c r="J214" s="914">
        <f t="shared" si="41"/>
        <v>0</v>
      </c>
      <c r="K214" s="914"/>
      <c r="L214" s="914">
        <f t="shared" si="42"/>
        <v>0</v>
      </c>
      <c r="M214" s="919"/>
      <c r="N214" s="914">
        <f t="shared" si="43"/>
        <v>0</v>
      </c>
      <c r="O214" s="919"/>
      <c r="P214" s="914">
        <f t="shared" si="35"/>
        <v>0</v>
      </c>
      <c r="Q214" s="919"/>
      <c r="R214" s="914">
        <f t="shared" si="36"/>
        <v>0</v>
      </c>
      <c r="S214" s="919"/>
      <c r="T214" s="914">
        <f t="shared" si="37"/>
        <v>0</v>
      </c>
      <c r="U214" s="915">
        <f t="shared" si="39"/>
        <v>0</v>
      </c>
      <c r="V214" s="914">
        <f t="shared" si="38"/>
        <v>0</v>
      </c>
    </row>
    <row r="215" spans="1:22" ht="231.75" hidden="1" customHeight="1">
      <c r="A215" s="933"/>
      <c r="B215" s="906" t="s">
        <v>603</v>
      </c>
      <c r="C215" s="921"/>
      <c r="D215" s="908" t="s">
        <v>1834</v>
      </c>
      <c r="E215" s="919"/>
      <c r="F215" s="1053">
        <f t="shared" si="34"/>
        <v>0</v>
      </c>
      <c r="G215" s="919"/>
      <c r="H215" s="914">
        <f t="shared" si="40"/>
        <v>0</v>
      </c>
      <c r="I215" s="919"/>
      <c r="J215" s="914">
        <f t="shared" si="41"/>
        <v>0</v>
      </c>
      <c r="K215" s="914"/>
      <c r="L215" s="914">
        <f t="shared" si="42"/>
        <v>0</v>
      </c>
      <c r="M215" s="919"/>
      <c r="N215" s="914">
        <f t="shared" si="43"/>
        <v>0</v>
      </c>
      <c r="O215" s="919"/>
      <c r="P215" s="914">
        <f t="shared" si="35"/>
        <v>0</v>
      </c>
      <c r="Q215" s="919"/>
      <c r="R215" s="914">
        <f t="shared" si="36"/>
        <v>0</v>
      </c>
      <c r="S215" s="919"/>
      <c r="T215" s="914">
        <f t="shared" si="37"/>
        <v>0</v>
      </c>
      <c r="U215" s="915">
        <f t="shared" si="39"/>
        <v>0</v>
      </c>
      <c r="V215" s="914">
        <f t="shared" si="38"/>
        <v>0</v>
      </c>
    </row>
    <row r="216" spans="1:22" ht="231.75" hidden="1" customHeight="1">
      <c r="A216" s="905">
        <v>12.1</v>
      </c>
      <c r="B216" s="924" t="s">
        <v>4332</v>
      </c>
      <c r="C216" s="913"/>
      <c r="D216" s="935"/>
      <c r="E216" s="911"/>
      <c r="F216" s="1053">
        <f t="shared" si="34"/>
        <v>0</v>
      </c>
      <c r="G216" s="914"/>
      <c r="H216" s="914">
        <f t="shared" si="40"/>
        <v>0</v>
      </c>
      <c r="I216" s="914"/>
      <c r="J216" s="914">
        <f t="shared" si="41"/>
        <v>0</v>
      </c>
      <c r="K216" s="914"/>
      <c r="L216" s="914">
        <f t="shared" si="42"/>
        <v>0</v>
      </c>
      <c r="M216" s="914"/>
      <c r="N216" s="914">
        <f t="shared" si="43"/>
        <v>0</v>
      </c>
      <c r="O216" s="914"/>
      <c r="P216" s="914">
        <f t="shared" si="35"/>
        <v>0</v>
      </c>
      <c r="Q216" s="914"/>
      <c r="R216" s="914">
        <f t="shared" si="36"/>
        <v>0</v>
      </c>
      <c r="S216" s="914"/>
      <c r="T216" s="914">
        <f t="shared" si="37"/>
        <v>0</v>
      </c>
      <c r="U216" s="915">
        <f t="shared" si="39"/>
        <v>0</v>
      </c>
      <c r="V216" s="914">
        <f t="shared" si="38"/>
        <v>0</v>
      </c>
    </row>
    <row r="217" spans="1:22" s="923" customFormat="1" ht="231.75" hidden="1" customHeight="1">
      <c r="A217" s="927"/>
      <c r="B217" s="906" t="s">
        <v>201</v>
      </c>
      <c r="C217" s="913">
        <f>ROUND(DATA!K467,2)</f>
        <v>397.72</v>
      </c>
      <c r="D217" s="908" t="s">
        <v>1834</v>
      </c>
      <c r="E217" s="914"/>
      <c r="F217" s="1053">
        <f t="shared" si="34"/>
        <v>0</v>
      </c>
      <c r="G217" s="914"/>
      <c r="H217" s="914">
        <f t="shared" si="40"/>
        <v>0</v>
      </c>
      <c r="I217" s="914"/>
      <c r="J217" s="914">
        <f t="shared" si="41"/>
        <v>0</v>
      </c>
      <c r="K217" s="914"/>
      <c r="L217" s="914">
        <f t="shared" si="42"/>
        <v>0</v>
      </c>
      <c r="M217" s="914"/>
      <c r="N217" s="914">
        <f t="shared" si="43"/>
        <v>0</v>
      </c>
      <c r="O217" s="914"/>
      <c r="P217" s="914">
        <f t="shared" si="35"/>
        <v>0</v>
      </c>
      <c r="Q217" s="914"/>
      <c r="R217" s="914">
        <f t="shared" si="36"/>
        <v>0</v>
      </c>
      <c r="S217" s="914"/>
      <c r="T217" s="914">
        <f t="shared" si="37"/>
        <v>0</v>
      </c>
      <c r="U217" s="915">
        <f t="shared" si="39"/>
        <v>0</v>
      </c>
      <c r="V217" s="914">
        <f t="shared" si="38"/>
        <v>0</v>
      </c>
    </row>
    <row r="218" spans="1:22" s="923" customFormat="1" ht="231.75" hidden="1" customHeight="1">
      <c r="A218" s="927"/>
      <c r="B218" s="906" t="s">
        <v>202</v>
      </c>
      <c r="C218" s="913">
        <f>ROUND(DATA!K468,2)</f>
        <v>405.68</v>
      </c>
      <c r="D218" s="908" t="s">
        <v>1834</v>
      </c>
      <c r="E218" s="914"/>
      <c r="F218" s="1053">
        <f t="shared" si="34"/>
        <v>0</v>
      </c>
      <c r="G218" s="914"/>
      <c r="H218" s="914">
        <f t="shared" si="40"/>
        <v>0</v>
      </c>
      <c r="I218" s="914"/>
      <c r="J218" s="914">
        <f t="shared" si="41"/>
        <v>0</v>
      </c>
      <c r="K218" s="914"/>
      <c r="L218" s="914">
        <f t="shared" si="42"/>
        <v>0</v>
      </c>
      <c r="M218" s="914"/>
      <c r="N218" s="914">
        <f t="shared" si="43"/>
        <v>0</v>
      </c>
      <c r="O218" s="914"/>
      <c r="P218" s="914">
        <f t="shared" si="35"/>
        <v>0</v>
      </c>
      <c r="Q218" s="914"/>
      <c r="R218" s="914">
        <f t="shared" si="36"/>
        <v>0</v>
      </c>
      <c r="S218" s="914"/>
      <c r="T218" s="914">
        <f t="shared" si="37"/>
        <v>0</v>
      </c>
      <c r="U218" s="915">
        <f t="shared" si="39"/>
        <v>0</v>
      </c>
      <c r="V218" s="914">
        <f t="shared" si="38"/>
        <v>0</v>
      </c>
    </row>
    <row r="219" spans="1:22" s="937" customFormat="1" ht="231.75" hidden="1" customHeight="1">
      <c r="A219" s="936"/>
      <c r="B219" s="917" t="s">
        <v>203</v>
      </c>
      <c r="C219" s="918">
        <f>ROUND(DATA!K469,2)</f>
        <v>413.64</v>
      </c>
      <c r="D219" s="898" t="s">
        <v>1834</v>
      </c>
      <c r="E219" s="919"/>
      <c r="F219" s="1053">
        <f t="shared" si="34"/>
        <v>0</v>
      </c>
      <c r="G219" s="919"/>
      <c r="H219" s="914">
        <f t="shared" si="40"/>
        <v>0</v>
      </c>
      <c r="I219" s="919"/>
      <c r="J219" s="914">
        <f t="shared" si="41"/>
        <v>0</v>
      </c>
      <c r="K219" s="914"/>
      <c r="L219" s="914">
        <f t="shared" si="42"/>
        <v>0</v>
      </c>
      <c r="M219" s="919"/>
      <c r="N219" s="914">
        <f t="shared" si="43"/>
        <v>0</v>
      </c>
      <c r="O219" s="919"/>
      <c r="P219" s="914">
        <f t="shared" si="35"/>
        <v>0</v>
      </c>
      <c r="Q219" s="919"/>
      <c r="R219" s="914">
        <f t="shared" si="36"/>
        <v>0</v>
      </c>
      <c r="S219" s="919"/>
      <c r="T219" s="914">
        <f t="shared" si="37"/>
        <v>0</v>
      </c>
      <c r="U219" s="915">
        <f t="shared" si="39"/>
        <v>0</v>
      </c>
      <c r="V219" s="914">
        <f t="shared" si="38"/>
        <v>0</v>
      </c>
    </row>
    <row r="220" spans="1:22" s="937" customFormat="1" ht="231.75" hidden="1" customHeight="1">
      <c r="A220" s="936"/>
      <c r="B220" s="917" t="s">
        <v>204</v>
      </c>
      <c r="C220" s="918">
        <f>ROUND(DATA!K470,2)</f>
        <v>421.6</v>
      </c>
      <c r="D220" s="898" t="s">
        <v>1834</v>
      </c>
      <c r="E220" s="919"/>
      <c r="F220" s="1053">
        <f t="shared" si="34"/>
        <v>0</v>
      </c>
      <c r="G220" s="919"/>
      <c r="H220" s="914">
        <f t="shared" si="40"/>
        <v>0</v>
      </c>
      <c r="I220" s="919"/>
      <c r="J220" s="914">
        <f t="shared" si="41"/>
        <v>0</v>
      </c>
      <c r="K220" s="914"/>
      <c r="L220" s="914">
        <f t="shared" si="42"/>
        <v>0</v>
      </c>
      <c r="M220" s="919"/>
      <c r="N220" s="914">
        <f t="shared" si="43"/>
        <v>0</v>
      </c>
      <c r="O220" s="919"/>
      <c r="P220" s="914">
        <f t="shared" si="35"/>
        <v>0</v>
      </c>
      <c r="Q220" s="919"/>
      <c r="R220" s="914">
        <f t="shared" si="36"/>
        <v>0</v>
      </c>
      <c r="S220" s="919"/>
      <c r="T220" s="914">
        <f t="shared" si="37"/>
        <v>0</v>
      </c>
      <c r="U220" s="915">
        <f t="shared" si="39"/>
        <v>0</v>
      </c>
      <c r="V220" s="914">
        <f t="shared" si="38"/>
        <v>0</v>
      </c>
    </row>
    <row r="221" spans="1:22" ht="231.75" hidden="1" customHeight="1">
      <c r="A221" s="931"/>
      <c r="B221" s="906" t="s">
        <v>603</v>
      </c>
      <c r="C221" s="921">
        <f>ROUND(DATA!K471,2)</f>
        <v>429.56</v>
      </c>
      <c r="D221" s="908" t="s">
        <v>1834</v>
      </c>
      <c r="E221" s="919"/>
      <c r="F221" s="1053">
        <f t="shared" si="34"/>
        <v>0</v>
      </c>
      <c r="G221" s="919"/>
      <c r="H221" s="914">
        <f t="shared" si="40"/>
        <v>0</v>
      </c>
      <c r="I221" s="919"/>
      <c r="J221" s="914">
        <f t="shared" si="41"/>
        <v>0</v>
      </c>
      <c r="K221" s="914"/>
      <c r="L221" s="914">
        <f t="shared" si="42"/>
        <v>0</v>
      </c>
      <c r="M221" s="919"/>
      <c r="N221" s="914">
        <f t="shared" si="43"/>
        <v>0</v>
      </c>
      <c r="O221" s="919"/>
      <c r="P221" s="914">
        <f t="shared" si="35"/>
        <v>0</v>
      </c>
      <c r="Q221" s="919"/>
      <c r="R221" s="914">
        <f t="shared" si="36"/>
        <v>0</v>
      </c>
      <c r="S221" s="919"/>
      <c r="T221" s="914">
        <f t="shared" si="37"/>
        <v>0</v>
      </c>
      <c r="U221" s="915">
        <f t="shared" si="39"/>
        <v>0</v>
      </c>
      <c r="V221" s="914">
        <f t="shared" si="38"/>
        <v>0</v>
      </c>
    </row>
    <row r="222" spans="1:22" ht="231.75" hidden="1" customHeight="1">
      <c r="A222" s="905">
        <v>12.2</v>
      </c>
      <c r="B222" s="906" t="s">
        <v>1795</v>
      </c>
      <c r="C222" s="921"/>
      <c r="D222" s="935"/>
      <c r="E222" s="919"/>
      <c r="F222" s="1053">
        <f t="shared" si="34"/>
        <v>0</v>
      </c>
      <c r="G222" s="919"/>
      <c r="H222" s="914">
        <f t="shared" si="40"/>
        <v>0</v>
      </c>
      <c r="I222" s="919"/>
      <c r="J222" s="914">
        <f t="shared" si="41"/>
        <v>0</v>
      </c>
      <c r="K222" s="914"/>
      <c r="L222" s="914">
        <f t="shared" si="42"/>
        <v>0</v>
      </c>
      <c r="M222" s="919"/>
      <c r="N222" s="914">
        <f t="shared" si="43"/>
        <v>0</v>
      </c>
      <c r="O222" s="919"/>
      <c r="P222" s="914">
        <f t="shared" si="35"/>
        <v>0</v>
      </c>
      <c r="Q222" s="919"/>
      <c r="R222" s="914">
        <f t="shared" si="36"/>
        <v>0</v>
      </c>
      <c r="S222" s="919"/>
      <c r="T222" s="914">
        <f t="shared" si="37"/>
        <v>0</v>
      </c>
      <c r="U222" s="915">
        <f t="shared" si="39"/>
        <v>0</v>
      </c>
      <c r="V222" s="914">
        <f t="shared" si="38"/>
        <v>0</v>
      </c>
    </row>
    <row r="223" spans="1:22" ht="231.75" hidden="1" customHeight="1">
      <c r="A223" s="927"/>
      <c r="B223" s="906" t="s">
        <v>201</v>
      </c>
      <c r="C223" s="921"/>
      <c r="D223" s="908" t="s">
        <v>1834</v>
      </c>
      <c r="E223" s="919"/>
      <c r="F223" s="1053">
        <f t="shared" si="34"/>
        <v>0</v>
      </c>
      <c r="G223" s="919"/>
      <c r="H223" s="914">
        <f t="shared" si="40"/>
        <v>0</v>
      </c>
      <c r="I223" s="919"/>
      <c r="J223" s="914">
        <f t="shared" si="41"/>
        <v>0</v>
      </c>
      <c r="K223" s="914"/>
      <c r="L223" s="914">
        <f t="shared" si="42"/>
        <v>0</v>
      </c>
      <c r="M223" s="919"/>
      <c r="N223" s="914">
        <f t="shared" si="43"/>
        <v>0</v>
      </c>
      <c r="O223" s="919"/>
      <c r="P223" s="914">
        <f t="shared" si="35"/>
        <v>0</v>
      </c>
      <c r="Q223" s="919"/>
      <c r="R223" s="914">
        <f t="shared" si="36"/>
        <v>0</v>
      </c>
      <c r="S223" s="919"/>
      <c r="T223" s="914">
        <f t="shared" si="37"/>
        <v>0</v>
      </c>
      <c r="U223" s="915">
        <f t="shared" si="39"/>
        <v>0</v>
      </c>
      <c r="V223" s="914">
        <f t="shared" si="38"/>
        <v>0</v>
      </c>
    </row>
    <row r="224" spans="1:22" ht="231.75" hidden="1" customHeight="1">
      <c r="A224" s="927"/>
      <c r="B224" s="906" t="s">
        <v>202</v>
      </c>
      <c r="C224" s="921"/>
      <c r="D224" s="908" t="s">
        <v>1834</v>
      </c>
      <c r="E224" s="919"/>
      <c r="F224" s="1053">
        <f t="shared" si="34"/>
        <v>0</v>
      </c>
      <c r="G224" s="919"/>
      <c r="H224" s="914">
        <f t="shared" si="40"/>
        <v>0</v>
      </c>
      <c r="I224" s="919"/>
      <c r="J224" s="914">
        <f t="shared" si="41"/>
        <v>0</v>
      </c>
      <c r="K224" s="914"/>
      <c r="L224" s="914">
        <f t="shared" si="42"/>
        <v>0</v>
      </c>
      <c r="M224" s="919"/>
      <c r="N224" s="914">
        <f t="shared" si="43"/>
        <v>0</v>
      </c>
      <c r="O224" s="919"/>
      <c r="P224" s="914">
        <f t="shared" si="35"/>
        <v>0</v>
      </c>
      <c r="Q224" s="919"/>
      <c r="R224" s="914">
        <f t="shared" si="36"/>
        <v>0</v>
      </c>
      <c r="S224" s="919"/>
      <c r="T224" s="914">
        <f t="shared" si="37"/>
        <v>0</v>
      </c>
      <c r="U224" s="915">
        <f t="shared" si="39"/>
        <v>0</v>
      </c>
      <c r="V224" s="914">
        <f t="shared" si="38"/>
        <v>0</v>
      </c>
    </row>
    <row r="225" spans="1:22" ht="231.75" hidden="1" customHeight="1">
      <c r="A225" s="927"/>
      <c r="B225" s="906" t="s">
        <v>203</v>
      </c>
      <c r="C225" s="921"/>
      <c r="D225" s="908" t="s">
        <v>1834</v>
      </c>
      <c r="E225" s="919"/>
      <c r="F225" s="1053">
        <f t="shared" si="34"/>
        <v>0</v>
      </c>
      <c r="G225" s="919"/>
      <c r="H225" s="914">
        <f t="shared" si="40"/>
        <v>0</v>
      </c>
      <c r="I225" s="919"/>
      <c r="J225" s="914">
        <f t="shared" si="41"/>
        <v>0</v>
      </c>
      <c r="K225" s="914"/>
      <c r="L225" s="914">
        <f t="shared" si="42"/>
        <v>0</v>
      </c>
      <c r="M225" s="919"/>
      <c r="N225" s="914">
        <f t="shared" si="43"/>
        <v>0</v>
      </c>
      <c r="O225" s="919"/>
      <c r="P225" s="914">
        <f t="shared" si="35"/>
        <v>0</v>
      </c>
      <c r="Q225" s="919"/>
      <c r="R225" s="914">
        <f t="shared" si="36"/>
        <v>0</v>
      </c>
      <c r="S225" s="919"/>
      <c r="T225" s="914">
        <f t="shared" si="37"/>
        <v>0</v>
      </c>
      <c r="U225" s="915">
        <f t="shared" si="39"/>
        <v>0</v>
      </c>
      <c r="V225" s="914">
        <f t="shared" si="38"/>
        <v>0</v>
      </c>
    </row>
    <row r="226" spans="1:22" ht="231.75" hidden="1" customHeight="1">
      <c r="A226" s="927"/>
      <c r="B226" s="906" t="s">
        <v>204</v>
      </c>
      <c r="C226" s="921"/>
      <c r="D226" s="908" t="s">
        <v>1834</v>
      </c>
      <c r="E226" s="919"/>
      <c r="F226" s="1053">
        <f t="shared" si="34"/>
        <v>0</v>
      </c>
      <c r="G226" s="919"/>
      <c r="H226" s="914">
        <f t="shared" si="40"/>
        <v>0</v>
      </c>
      <c r="I226" s="919"/>
      <c r="J226" s="914">
        <f t="shared" si="41"/>
        <v>0</v>
      </c>
      <c r="K226" s="914"/>
      <c r="L226" s="914">
        <f t="shared" si="42"/>
        <v>0</v>
      </c>
      <c r="M226" s="919"/>
      <c r="N226" s="914">
        <f t="shared" si="43"/>
        <v>0</v>
      </c>
      <c r="O226" s="919"/>
      <c r="P226" s="914">
        <f t="shared" si="35"/>
        <v>0</v>
      </c>
      <c r="Q226" s="919"/>
      <c r="R226" s="914">
        <f t="shared" si="36"/>
        <v>0</v>
      </c>
      <c r="S226" s="919"/>
      <c r="T226" s="914">
        <f t="shared" si="37"/>
        <v>0</v>
      </c>
      <c r="U226" s="915">
        <f t="shared" si="39"/>
        <v>0</v>
      </c>
      <c r="V226" s="914">
        <f t="shared" si="38"/>
        <v>0</v>
      </c>
    </row>
    <row r="227" spans="1:22" ht="231.75" hidden="1" customHeight="1">
      <c r="A227" s="931"/>
      <c r="B227" s="906" t="s">
        <v>603</v>
      </c>
      <c r="C227" s="921"/>
      <c r="D227" s="908" t="s">
        <v>1834</v>
      </c>
      <c r="E227" s="919"/>
      <c r="F227" s="1053">
        <f t="shared" si="34"/>
        <v>0</v>
      </c>
      <c r="G227" s="919"/>
      <c r="H227" s="914">
        <f t="shared" si="40"/>
        <v>0</v>
      </c>
      <c r="I227" s="919"/>
      <c r="J227" s="914">
        <f t="shared" si="41"/>
        <v>0</v>
      </c>
      <c r="K227" s="914"/>
      <c r="L227" s="914">
        <f t="shared" si="42"/>
        <v>0</v>
      </c>
      <c r="M227" s="919"/>
      <c r="N227" s="914">
        <f t="shared" si="43"/>
        <v>0</v>
      </c>
      <c r="O227" s="919"/>
      <c r="P227" s="914">
        <f t="shared" si="35"/>
        <v>0</v>
      </c>
      <c r="Q227" s="919"/>
      <c r="R227" s="914">
        <f t="shared" si="36"/>
        <v>0</v>
      </c>
      <c r="S227" s="919"/>
      <c r="T227" s="914">
        <f t="shared" si="37"/>
        <v>0</v>
      </c>
      <c r="U227" s="915">
        <f t="shared" si="39"/>
        <v>0</v>
      </c>
      <c r="V227" s="914">
        <f t="shared" si="38"/>
        <v>0</v>
      </c>
    </row>
    <row r="228" spans="1:22" ht="231.75" hidden="1" customHeight="1">
      <c r="A228" s="931"/>
      <c r="B228" s="906"/>
      <c r="C228" s="921"/>
      <c r="D228" s="908"/>
      <c r="E228" s="919"/>
      <c r="F228" s="1053">
        <f t="shared" si="34"/>
        <v>0</v>
      </c>
      <c r="G228" s="919"/>
      <c r="H228" s="914">
        <f t="shared" si="40"/>
        <v>0</v>
      </c>
      <c r="I228" s="919"/>
      <c r="J228" s="914">
        <f t="shared" si="41"/>
        <v>0</v>
      </c>
      <c r="K228" s="914"/>
      <c r="L228" s="914">
        <f t="shared" si="42"/>
        <v>0</v>
      </c>
      <c r="M228" s="919"/>
      <c r="N228" s="914">
        <f t="shared" si="43"/>
        <v>0</v>
      </c>
      <c r="O228" s="919"/>
      <c r="P228" s="914">
        <f t="shared" si="35"/>
        <v>0</v>
      </c>
      <c r="Q228" s="919"/>
      <c r="R228" s="914">
        <f t="shared" si="36"/>
        <v>0</v>
      </c>
      <c r="S228" s="919"/>
      <c r="T228" s="914">
        <f t="shared" si="37"/>
        <v>0</v>
      </c>
      <c r="U228" s="915">
        <f t="shared" si="39"/>
        <v>0</v>
      </c>
      <c r="V228" s="914">
        <f t="shared" si="38"/>
        <v>0</v>
      </c>
    </row>
    <row r="229" spans="1:22" s="940" customFormat="1" ht="231.75" hidden="1" customHeight="1">
      <c r="A229" s="938">
        <v>13.1</v>
      </c>
      <c r="B229" s="939" t="s">
        <v>1059</v>
      </c>
      <c r="C229" s="911">
        <f>ROUND(DATA!K482,2)</f>
        <v>38.950000000000003</v>
      </c>
      <c r="D229" s="909" t="s">
        <v>1192</v>
      </c>
      <c r="E229" s="914"/>
      <c r="F229" s="1053">
        <f t="shared" si="34"/>
        <v>0</v>
      </c>
      <c r="G229" s="914"/>
      <c r="H229" s="914">
        <f t="shared" si="40"/>
        <v>0</v>
      </c>
      <c r="I229" s="914"/>
      <c r="J229" s="914">
        <f t="shared" si="41"/>
        <v>0</v>
      </c>
      <c r="K229" s="914"/>
      <c r="L229" s="914">
        <f t="shared" si="42"/>
        <v>0</v>
      </c>
      <c r="M229" s="914"/>
      <c r="N229" s="914">
        <f t="shared" si="43"/>
        <v>0</v>
      </c>
      <c r="O229" s="914"/>
      <c r="P229" s="914">
        <f t="shared" si="35"/>
        <v>0</v>
      </c>
      <c r="Q229" s="914"/>
      <c r="R229" s="914">
        <f t="shared" si="36"/>
        <v>0</v>
      </c>
      <c r="S229" s="914"/>
      <c r="T229" s="914">
        <f t="shared" si="37"/>
        <v>0</v>
      </c>
      <c r="U229" s="915">
        <f t="shared" si="39"/>
        <v>0</v>
      </c>
      <c r="V229" s="914">
        <f t="shared" si="38"/>
        <v>0</v>
      </c>
    </row>
    <row r="230" spans="1:22" ht="231.75" hidden="1" customHeight="1">
      <c r="A230" s="938">
        <v>13.2</v>
      </c>
      <c r="B230" s="939" t="s">
        <v>1712</v>
      </c>
      <c r="C230" s="914"/>
      <c r="D230" s="909" t="s">
        <v>1192</v>
      </c>
      <c r="E230" s="919"/>
      <c r="F230" s="1053">
        <f t="shared" si="34"/>
        <v>0</v>
      </c>
      <c r="G230" s="919"/>
      <c r="H230" s="914">
        <f t="shared" si="40"/>
        <v>0</v>
      </c>
      <c r="I230" s="919"/>
      <c r="J230" s="914">
        <f t="shared" si="41"/>
        <v>0</v>
      </c>
      <c r="K230" s="914"/>
      <c r="L230" s="914">
        <f t="shared" si="42"/>
        <v>0</v>
      </c>
      <c r="M230" s="919"/>
      <c r="N230" s="914">
        <f t="shared" si="43"/>
        <v>0</v>
      </c>
      <c r="O230" s="919"/>
      <c r="P230" s="914">
        <f t="shared" si="35"/>
        <v>0</v>
      </c>
      <c r="Q230" s="919"/>
      <c r="R230" s="914">
        <f t="shared" si="36"/>
        <v>0</v>
      </c>
      <c r="S230" s="919"/>
      <c r="T230" s="914">
        <f t="shared" si="37"/>
        <v>0</v>
      </c>
      <c r="U230" s="915">
        <f t="shared" si="39"/>
        <v>0</v>
      </c>
      <c r="V230" s="914">
        <f t="shared" si="38"/>
        <v>0</v>
      </c>
    </row>
    <row r="231" spans="1:22" s="923" customFormat="1" ht="231.75" hidden="1" customHeight="1">
      <c r="A231" s="941" t="s">
        <v>991</v>
      </c>
      <c r="B231" s="942" t="s">
        <v>88</v>
      </c>
      <c r="C231" s="911"/>
      <c r="D231" s="909"/>
      <c r="E231" s="919"/>
      <c r="F231" s="1053">
        <f t="shared" si="34"/>
        <v>0</v>
      </c>
      <c r="G231" s="919"/>
      <c r="H231" s="914">
        <f t="shared" si="40"/>
        <v>0</v>
      </c>
      <c r="I231" s="919"/>
      <c r="J231" s="914">
        <f t="shared" si="41"/>
        <v>0</v>
      </c>
      <c r="K231" s="914"/>
      <c r="L231" s="914">
        <f t="shared" si="42"/>
        <v>0</v>
      </c>
      <c r="M231" s="919"/>
      <c r="N231" s="914">
        <f t="shared" si="43"/>
        <v>0</v>
      </c>
      <c r="O231" s="919"/>
      <c r="P231" s="914">
        <f t="shared" si="35"/>
        <v>0</v>
      </c>
      <c r="Q231" s="919"/>
      <c r="R231" s="914">
        <f t="shared" si="36"/>
        <v>0</v>
      </c>
      <c r="S231" s="919"/>
      <c r="T231" s="914">
        <f t="shared" si="37"/>
        <v>0</v>
      </c>
      <c r="U231" s="915">
        <f t="shared" si="39"/>
        <v>0</v>
      </c>
      <c r="V231" s="914">
        <f t="shared" si="38"/>
        <v>0</v>
      </c>
    </row>
    <row r="232" spans="1:22" s="923" customFormat="1" ht="231.75" hidden="1" customHeight="1">
      <c r="A232" s="941"/>
      <c r="B232" s="939" t="s">
        <v>1247</v>
      </c>
      <c r="C232" s="911">
        <f>ROUND(DATA!K535,2)</f>
        <v>1483.79</v>
      </c>
      <c r="D232" s="909" t="s">
        <v>1834</v>
      </c>
      <c r="E232" s="919"/>
      <c r="F232" s="1053">
        <f t="shared" si="34"/>
        <v>0</v>
      </c>
      <c r="G232" s="919"/>
      <c r="H232" s="914">
        <f t="shared" si="40"/>
        <v>0</v>
      </c>
      <c r="I232" s="919"/>
      <c r="J232" s="914">
        <f t="shared" si="41"/>
        <v>0</v>
      </c>
      <c r="K232" s="914"/>
      <c r="L232" s="914">
        <f t="shared" si="42"/>
        <v>0</v>
      </c>
      <c r="M232" s="919"/>
      <c r="N232" s="914">
        <f t="shared" si="43"/>
        <v>0</v>
      </c>
      <c r="O232" s="919"/>
      <c r="P232" s="914">
        <f t="shared" si="35"/>
        <v>0</v>
      </c>
      <c r="Q232" s="919"/>
      <c r="R232" s="914">
        <f t="shared" si="36"/>
        <v>0</v>
      </c>
      <c r="S232" s="919"/>
      <c r="T232" s="914">
        <f t="shared" si="37"/>
        <v>0</v>
      </c>
      <c r="U232" s="915">
        <f t="shared" si="39"/>
        <v>0</v>
      </c>
      <c r="V232" s="914">
        <f t="shared" si="38"/>
        <v>0</v>
      </c>
    </row>
    <row r="233" spans="1:22" s="923" customFormat="1" ht="231.75" hidden="1" customHeight="1">
      <c r="A233" s="927"/>
      <c r="B233" s="906" t="s">
        <v>1381</v>
      </c>
      <c r="C233" s="913">
        <f>ROUND(DATA!K536,2)</f>
        <v>1488.56</v>
      </c>
      <c r="D233" s="908" t="s">
        <v>1834</v>
      </c>
      <c r="E233" s="919"/>
      <c r="F233" s="1053">
        <f t="shared" si="34"/>
        <v>0</v>
      </c>
      <c r="G233" s="919"/>
      <c r="H233" s="914">
        <f t="shared" si="40"/>
        <v>0</v>
      </c>
      <c r="I233" s="919"/>
      <c r="J233" s="914">
        <f t="shared" si="41"/>
        <v>0</v>
      </c>
      <c r="K233" s="914"/>
      <c r="L233" s="914">
        <f t="shared" si="42"/>
        <v>0</v>
      </c>
      <c r="M233" s="919"/>
      <c r="N233" s="914">
        <f t="shared" si="43"/>
        <v>0</v>
      </c>
      <c r="O233" s="919"/>
      <c r="P233" s="914">
        <f t="shared" si="35"/>
        <v>0</v>
      </c>
      <c r="Q233" s="919"/>
      <c r="R233" s="914">
        <f t="shared" si="36"/>
        <v>0</v>
      </c>
      <c r="S233" s="919"/>
      <c r="T233" s="914">
        <f t="shared" si="37"/>
        <v>0</v>
      </c>
      <c r="U233" s="915">
        <f t="shared" si="39"/>
        <v>0</v>
      </c>
      <c r="V233" s="914">
        <f t="shared" si="38"/>
        <v>0</v>
      </c>
    </row>
    <row r="234" spans="1:22" s="923" customFormat="1" ht="231.75" hidden="1" customHeight="1">
      <c r="A234" s="927"/>
      <c r="B234" s="906" t="s">
        <v>1429</v>
      </c>
      <c r="C234" s="913">
        <f>ROUND(DATA!K537,2)</f>
        <v>1493.33</v>
      </c>
      <c r="D234" s="908" t="s">
        <v>1834</v>
      </c>
      <c r="E234" s="919"/>
      <c r="F234" s="1053">
        <f t="shared" si="34"/>
        <v>0</v>
      </c>
      <c r="G234" s="919"/>
      <c r="H234" s="914">
        <f t="shared" si="40"/>
        <v>0</v>
      </c>
      <c r="I234" s="919"/>
      <c r="J234" s="914">
        <f t="shared" si="41"/>
        <v>0</v>
      </c>
      <c r="K234" s="914"/>
      <c r="L234" s="914">
        <f t="shared" si="42"/>
        <v>0</v>
      </c>
      <c r="M234" s="919"/>
      <c r="N234" s="914">
        <f t="shared" si="43"/>
        <v>0</v>
      </c>
      <c r="O234" s="919"/>
      <c r="P234" s="914">
        <f t="shared" si="35"/>
        <v>0</v>
      </c>
      <c r="Q234" s="919"/>
      <c r="R234" s="914">
        <f t="shared" si="36"/>
        <v>0</v>
      </c>
      <c r="S234" s="919"/>
      <c r="T234" s="914">
        <f t="shared" si="37"/>
        <v>0</v>
      </c>
      <c r="U234" s="915">
        <f t="shared" si="39"/>
        <v>0</v>
      </c>
      <c r="V234" s="914">
        <f t="shared" si="38"/>
        <v>0</v>
      </c>
    </row>
    <row r="235" spans="1:22" s="923" customFormat="1" ht="231.75" hidden="1" customHeight="1">
      <c r="A235" s="927"/>
      <c r="B235" s="906" t="s">
        <v>1319</v>
      </c>
      <c r="C235" s="913">
        <f>ROUND(DATA!K538,2)</f>
        <v>1498.1</v>
      </c>
      <c r="D235" s="908" t="s">
        <v>1834</v>
      </c>
      <c r="E235" s="919"/>
      <c r="F235" s="1053">
        <f t="shared" si="34"/>
        <v>0</v>
      </c>
      <c r="G235" s="919"/>
      <c r="H235" s="914">
        <f t="shared" si="40"/>
        <v>0</v>
      </c>
      <c r="I235" s="919"/>
      <c r="J235" s="914">
        <f t="shared" si="41"/>
        <v>0</v>
      </c>
      <c r="K235" s="914"/>
      <c r="L235" s="914">
        <f t="shared" si="42"/>
        <v>0</v>
      </c>
      <c r="M235" s="919"/>
      <c r="N235" s="914">
        <f t="shared" si="43"/>
        <v>0</v>
      </c>
      <c r="O235" s="919"/>
      <c r="P235" s="914">
        <f t="shared" si="35"/>
        <v>0</v>
      </c>
      <c r="Q235" s="919"/>
      <c r="R235" s="914">
        <f t="shared" si="36"/>
        <v>0</v>
      </c>
      <c r="S235" s="919"/>
      <c r="T235" s="914">
        <f t="shared" si="37"/>
        <v>0</v>
      </c>
      <c r="U235" s="915">
        <f t="shared" si="39"/>
        <v>0</v>
      </c>
      <c r="V235" s="914">
        <f t="shared" si="38"/>
        <v>0</v>
      </c>
    </row>
    <row r="236" spans="1:22" ht="231.75" hidden="1" customHeight="1">
      <c r="A236" s="931"/>
      <c r="B236" s="906" t="s">
        <v>1074</v>
      </c>
      <c r="C236" s="921">
        <f>ROUND(DATA!K539,2)</f>
        <v>1502.87</v>
      </c>
      <c r="D236" s="908" t="s">
        <v>1834</v>
      </c>
      <c r="E236" s="919"/>
      <c r="F236" s="1053">
        <f t="shared" si="34"/>
        <v>0</v>
      </c>
      <c r="G236" s="919"/>
      <c r="H236" s="914">
        <f t="shared" si="40"/>
        <v>0</v>
      </c>
      <c r="I236" s="919"/>
      <c r="J236" s="914">
        <f t="shared" si="41"/>
        <v>0</v>
      </c>
      <c r="K236" s="914"/>
      <c r="L236" s="914">
        <f t="shared" si="42"/>
        <v>0</v>
      </c>
      <c r="M236" s="919"/>
      <c r="N236" s="914">
        <f t="shared" si="43"/>
        <v>0</v>
      </c>
      <c r="O236" s="919"/>
      <c r="P236" s="914">
        <f t="shared" si="35"/>
        <v>0</v>
      </c>
      <c r="Q236" s="919"/>
      <c r="R236" s="914">
        <f t="shared" si="36"/>
        <v>0</v>
      </c>
      <c r="S236" s="919"/>
      <c r="T236" s="914">
        <f t="shared" si="37"/>
        <v>0</v>
      </c>
      <c r="U236" s="915">
        <f t="shared" si="39"/>
        <v>0</v>
      </c>
      <c r="V236" s="914">
        <f t="shared" si="38"/>
        <v>0</v>
      </c>
    </row>
    <row r="237" spans="1:22" ht="231.75" hidden="1" customHeight="1">
      <c r="A237" s="931"/>
      <c r="B237" s="906" t="s">
        <v>3761</v>
      </c>
      <c r="C237" s="921">
        <f>ROUND(DATA!K540,2)</f>
        <v>1507.64</v>
      </c>
      <c r="D237" s="908" t="s">
        <v>1834</v>
      </c>
      <c r="E237" s="919"/>
      <c r="F237" s="1053">
        <f t="shared" si="34"/>
        <v>0</v>
      </c>
      <c r="G237" s="919"/>
      <c r="H237" s="914">
        <f t="shared" si="40"/>
        <v>0</v>
      </c>
      <c r="I237" s="919"/>
      <c r="J237" s="914">
        <f t="shared" si="41"/>
        <v>0</v>
      </c>
      <c r="K237" s="914"/>
      <c r="L237" s="914">
        <f t="shared" si="42"/>
        <v>0</v>
      </c>
      <c r="M237" s="919"/>
      <c r="N237" s="914">
        <f t="shared" si="43"/>
        <v>0</v>
      </c>
      <c r="O237" s="919"/>
      <c r="P237" s="914">
        <f t="shared" si="35"/>
        <v>0</v>
      </c>
      <c r="Q237" s="919"/>
      <c r="R237" s="914">
        <f t="shared" si="36"/>
        <v>0</v>
      </c>
      <c r="S237" s="919"/>
      <c r="T237" s="914">
        <f t="shared" si="37"/>
        <v>0</v>
      </c>
      <c r="U237" s="915">
        <f t="shared" si="39"/>
        <v>0</v>
      </c>
      <c r="V237" s="914">
        <f t="shared" si="38"/>
        <v>0</v>
      </c>
    </row>
    <row r="238" spans="1:22" ht="231.75" hidden="1" customHeight="1">
      <c r="A238" s="931"/>
      <c r="B238" s="906" t="s">
        <v>3762</v>
      </c>
      <c r="C238" s="921">
        <f>ROUND(DATA!K541,2)</f>
        <v>1512.41</v>
      </c>
      <c r="D238" s="908" t="s">
        <v>1834</v>
      </c>
      <c r="E238" s="919"/>
      <c r="F238" s="1053">
        <f t="shared" si="34"/>
        <v>0</v>
      </c>
      <c r="G238" s="919"/>
      <c r="H238" s="914">
        <f t="shared" si="40"/>
        <v>0</v>
      </c>
      <c r="I238" s="919"/>
      <c r="J238" s="914">
        <f t="shared" si="41"/>
        <v>0</v>
      </c>
      <c r="K238" s="914"/>
      <c r="L238" s="914">
        <f t="shared" si="42"/>
        <v>0</v>
      </c>
      <c r="M238" s="919"/>
      <c r="N238" s="914">
        <f t="shared" si="43"/>
        <v>0</v>
      </c>
      <c r="O238" s="919"/>
      <c r="P238" s="914">
        <f t="shared" si="35"/>
        <v>0</v>
      </c>
      <c r="Q238" s="919"/>
      <c r="R238" s="914">
        <f t="shared" si="36"/>
        <v>0</v>
      </c>
      <c r="S238" s="919"/>
      <c r="T238" s="914">
        <f t="shared" si="37"/>
        <v>0</v>
      </c>
      <c r="U238" s="915">
        <f t="shared" si="39"/>
        <v>0</v>
      </c>
      <c r="V238" s="914">
        <f t="shared" si="38"/>
        <v>0</v>
      </c>
    </row>
    <row r="239" spans="1:22" ht="231.75" hidden="1" customHeight="1">
      <c r="A239" s="931"/>
      <c r="B239" s="906" t="s">
        <v>3763</v>
      </c>
      <c r="C239" s="921">
        <f>ROUND(DATA!K542,2)</f>
        <v>1517.18</v>
      </c>
      <c r="D239" s="908" t="s">
        <v>1834</v>
      </c>
      <c r="E239" s="919"/>
      <c r="F239" s="1053">
        <f t="shared" si="34"/>
        <v>0</v>
      </c>
      <c r="G239" s="919"/>
      <c r="H239" s="914">
        <f t="shared" si="40"/>
        <v>0</v>
      </c>
      <c r="I239" s="919"/>
      <c r="J239" s="914">
        <f t="shared" si="41"/>
        <v>0</v>
      </c>
      <c r="K239" s="914"/>
      <c r="L239" s="914">
        <f t="shared" si="42"/>
        <v>0</v>
      </c>
      <c r="M239" s="919"/>
      <c r="N239" s="914">
        <f t="shared" si="43"/>
        <v>0</v>
      </c>
      <c r="O239" s="919"/>
      <c r="P239" s="914">
        <f t="shared" si="35"/>
        <v>0</v>
      </c>
      <c r="Q239" s="919"/>
      <c r="R239" s="914">
        <f t="shared" si="36"/>
        <v>0</v>
      </c>
      <c r="S239" s="919"/>
      <c r="T239" s="914">
        <f t="shared" si="37"/>
        <v>0</v>
      </c>
      <c r="U239" s="915">
        <f t="shared" si="39"/>
        <v>0</v>
      </c>
      <c r="V239" s="914">
        <f t="shared" si="38"/>
        <v>0</v>
      </c>
    </row>
    <row r="240" spans="1:22" ht="231.75" hidden="1" customHeight="1">
      <c r="A240" s="931"/>
      <c r="B240" s="906" t="s">
        <v>3764</v>
      </c>
      <c r="C240" s="921">
        <f>ROUND(DATA!K543,2)</f>
        <v>1521.95</v>
      </c>
      <c r="D240" s="908" t="s">
        <v>1834</v>
      </c>
      <c r="E240" s="919"/>
      <c r="F240" s="1053">
        <f t="shared" si="34"/>
        <v>0</v>
      </c>
      <c r="G240" s="919"/>
      <c r="H240" s="914">
        <f t="shared" si="40"/>
        <v>0</v>
      </c>
      <c r="I240" s="919"/>
      <c r="J240" s="914">
        <f t="shared" si="41"/>
        <v>0</v>
      </c>
      <c r="K240" s="914"/>
      <c r="L240" s="914">
        <f t="shared" si="42"/>
        <v>0</v>
      </c>
      <c r="M240" s="919"/>
      <c r="N240" s="914">
        <f t="shared" si="43"/>
        <v>0</v>
      </c>
      <c r="O240" s="919"/>
      <c r="P240" s="914">
        <f t="shared" si="35"/>
        <v>0</v>
      </c>
      <c r="Q240" s="919"/>
      <c r="R240" s="914">
        <f t="shared" si="36"/>
        <v>0</v>
      </c>
      <c r="S240" s="919"/>
      <c r="T240" s="914">
        <f t="shared" si="37"/>
        <v>0</v>
      </c>
      <c r="U240" s="915">
        <f t="shared" si="39"/>
        <v>0</v>
      </c>
      <c r="V240" s="914">
        <f t="shared" si="38"/>
        <v>0</v>
      </c>
    </row>
    <row r="241" spans="1:22" ht="231.75" hidden="1" customHeight="1">
      <c r="A241" s="931"/>
      <c r="B241" s="906" t="s">
        <v>3765</v>
      </c>
      <c r="C241" s="921">
        <f>ROUND(DATA!K544,2)</f>
        <v>1526.72</v>
      </c>
      <c r="D241" s="908" t="s">
        <v>1834</v>
      </c>
      <c r="E241" s="919"/>
      <c r="F241" s="1053">
        <f t="shared" si="34"/>
        <v>0</v>
      </c>
      <c r="G241" s="919"/>
      <c r="H241" s="914">
        <f t="shared" si="40"/>
        <v>0</v>
      </c>
      <c r="I241" s="919"/>
      <c r="J241" s="914">
        <f t="shared" si="41"/>
        <v>0</v>
      </c>
      <c r="K241" s="914"/>
      <c r="L241" s="914">
        <f t="shared" si="42"/>
        <v>0</v>
      </c>
      <c r="M241" s="919"/>
      <c r="N241" s="914">
        <f t="shared" si="43"/>
        <v>0</v>
      </c>
      <c r="O241" s="919"/>
      <c r="P241" s="914">
        <f t="shared" si="35"/>
        <v>0</v>
      </c>
      <c r="Q241" s="919"/>
      <c r="R241" s="914">
        <f t="shared" si="36"/>
        <v>0</v>
      </c>
      <c r="S241" s="919"/>
      <c r="T241" s="914">
        <f t="shared" si="37"/>
        <v>0</v>
      </c>
      <c r="U241" s="915">
        <f t="shared" si="39"/>
        <v>0</v>
      </c>
      <c r="V241" s="914">
        <f t="shared" si="38"/>
        <v>0</v>
      </c>
    </row>
    <row r="242" spans="1:22" ht="231.75" hidden="1" customHeight="1">
      <c r="A242" s="931"/>
      <c r="B242" s="906" t="s">
        <v>3766</v>
      </c>
      <c r="C242" s="921">
        <f>ROUND(DATA!K545,2)</f>
        <v>1531.49</v>
      </c>
      <c r="D242" s="908" t="s">
        <v>1834</v>
      </c>
      <c r="E242" s="919"/>
      <c r="F242" s="1053">
        <f t="shared" si="34"/>
        <v>0</v>
      </c>
      <c r="G242" s="919"/>
      <c r="H242" s="914">
        <f t="shared" si="40"/>
        <v>0</v>
      </c>
      <c r="I242" s="919"/>
      <c r="J242" s="914">
        <f t="shared" si="41"/>
        <v>0</v>
      </c>
      <c r="K242" s="914"/>
      <c r="L242" s="914">
        <f t="shared" si="42"/>
        <v>0</v>
      </c>
      <c r="M242" s="919"/>
      <c r="N242" s="914">
        <f t="shared" si="43"/>
        <v>0</v>
      </c>
      <c r="O242" s="919"/>
      <c r="P242" s="914">
        <f t="shared" si="35"/>
        <v>0</v>
      </c>
      <c r="Q242" s="919"/>
      <c r="R242" s="914">
        <f t="shared" si="36"/>
        <v>0</v>
      </c>
      <c r="S242" s="919"/>
      <c r="T242" s="914">
        <f t="shared" si="37"/>
        <v>0</v>
      </c>
      <c r="U242" s="915">
        <f t="shared" si="39"/>
        <v>0</v>
      </c>
      <c r="V242" s="914">
        <f t="shared" si="38"/>
        <v>0</v>
      </c>
    </row>
    <row r="243" spans="1:22" ht="231.75" hidden="1" customHeight="1">
      <c r="A243" s="931"/>
      <c r="B243" s="906" t="s">
        <v>3767</v>
      </c>
      <c r="C243" s="921">
        <f>ROUND(DATA!K546,2)</f>
        <v>1536.26</v>
      </c>
      <c r="D243" s="908" t="s">
        <v>1834</v>
      </c>
      <c r="E243" s="919"/>
      <c r="F243" s="1053">
        <f t="shared" si="34"/>
        <v>0</v>
      </c>
      <c r="G243" s="919"/>
      <c r="H243" s="914">
        <f t="shared" si="40"/>
        <v>0</v>
      </c>
      <c r="I243" s="919"/>
      <c r="J243" s="914">
        <f t="shared" si="41"/>
        <v>0</v>
      </c>
      <c r="K243" s="914"/>
      <c r="L243" s="914">
        <f t="shared" si="42"/>
        <v>0</v>
      </c>
      <c r="M243" s="919"/>
      <c r="N243" s="914">
        <f t="shared" si="43"/>
        <v>0</v>
      </c>
      <c r="O243" s="919"/>
      <c r="P243" s="914">
        <f t="shared" si="35"/>
        <v>0</v>
      </c>
      <c r="Q243" s="919"/>
      <c r="R243" s="914">
        <f t="shared" si="36"/>
        <v>0</v>
      </c>
      <c r="S243" s="919"/>
      <c r="T243" s="914">
        <f t="shared" si="37"/>
        <v>0</v>
      </c>
      <c r="U243" s="915">
        <f t="shared" si="39"/>
        <v>0</v>
      </c>
      <c r="V243" s="914">
        <f t="shared" si="38"/>
        <v>0</v>
      </c>
    </row>
    <row r="244" spans="1:22" s="923" customFormat="1" ht="231.75" hidden="1" customHeight="1">
      <c r="A244" s="927" t="s">
        <v>1124</v>
      </c>
      <c r="B244" s="924" t="s">
        <v>196</v>
      </c>
      <c r="C244" s="913"/>
      <c r="D244" s="908"/>
      <c r="E244" s="919"/>
      <c r="F244" s="1053">
        <f t="shared" si="34"/>
        <v>0</v>
      </c>
      <c r="G244" s="919"/>
      <c r="H244" s="914">
        <f t="shared" si="40"/>
        <v>0</v>
      </c>
      <c r="I244" s="919"/>
      <c r="J244" s="914">
        <f t="shared" si="41"/>
        <v>0</v>
      </c>
      <c r="K244" s="914"/>
      <c r="L244" s="914">
        <f t="shared" si="42"/>
        <v>0</v>
      </c>
      <c r="M244" s="919"/>
      <c r="N244" s="914">
        <f t="shared" si="43"/>
        <v>0</v>
      </c>
      <c r="O244" s="919"/>
      <c r="P244" s="914">
        <f t="shared" si="35"/>
        <v>0</v>
      </c>
      <c r="Q244" s="919"/>
      <c r="R244" s="914">
        <f t="shared" si="36"/>
        <v>0</v>
      </c>
      <c r="S244" s="919"/>
      <c r="T244" s="914">
        <f t="shared" si="37"/>
        <v>0</v>
      </c>
      <c r="U244" s="915">
        <f t="shared" si="39"/>
        <v>0</v>
      </c>
      <c r="V244" s="914">
        <f t="shared" si="38"/>
        <v>0</v>
      </c>
    </row>
    <row r="245" spans="1:22" s="923" customFormat="1" ht="231.75" hidden="1" customHeight="1">
      <c r="A245" s="927"/>
      <c r="B245" s="906" t="s">
        <v>616</v>
      </c>
      <c r="C245" s="913">
        <f>ROUND(DATA!K557,2)</f>
        <v>1633.34</v>
      </c>
      <c r="D245" s="908" t="s">
        <v>1834</v>
      </c>
      <c r="E245" s="919"/>
      <c r="F245" s="1053">
        <f t="shared" si="34"/>
        <v>0</v>
      </c>
      <c r="G245" s="919"/>
      <c r="H245" s="914">
        <f t="shared" si="40"/>
        <v>0</v>
      </c>
      <c r="I245" s="919"/>
      <c r="J245" s="914">
        <f t="shared" si="41"/>
        <v>0</v>
      </c>
      <c r="K245" s="914"/>
      <c r="L245" s="914">
        <f t="shared" si="42"/>
        <v>0</v>
      </c>
      <c r="M245" s="919"/>
      <c r="N245" s="914">
        <f t="shared" si="43"/>
        <v>0</v>
      </c>
      <c r="O245" s="919"/>
      <c r="P245" s="914">
        <f t="shared" si="35"/>
        <v>0</v>
      </c>
      <c r="Q245" s="919"/>
      <c r="R245" s="914">
        <f t="shared" si="36"/>
        <v>0</v>
      </c>
      <c r="S245" s="919"/>
      <c r="T245" s="914">
        <f t="shared" si="37"/>
        <v>0</v>
      </c>
      <c r="U245" s="915">
        <f t="shared" si="39"/>
        <v>0</v>
      </c>
      <c r="V245" s="914">
        <f t="shared" si="38"/>
        <v>0</v>
      </c>
    </row>
    <row r="246" spans="1:22" s="923" customFormat="1" ht="231.75" hidden="1" customHeight="1">
      <c r="A246" s="927"/>
      <c r="B246" s="906" t="s">
        <v>617</v>
      </c>
      <c r="C246" s="913">
        <f>ROUND(DATA!K559,2)</f>
        <v>1638.18</v>
      </c>
      <c r="D246" s="908" t="s">
        <v>1834</v>
      </c>
      <c r="E246" s="919"/>
      <c r="F246" s="1053">
        <f t="shared" si="34"/>
        <v>0</v>
      </c>
      <c r="G246" s="919"/>
      <c r="H246" s="914">
        <f t="shared" si="40"/>
        <v>0</v>
      </c>
      <c r="I246" s="919"/>
      <c r="J246" s="914">
        <f t="shared" si="41"/>
        <v>0</v>
      </c>
      <c r="K246" s="914"/>
      <c r="L246" s="914">
        <f t="shared" si="42"/>
        <v>0</v>
      </c>
      <c r="M246" s="919"/>
      <c r="N246" s="914">
        <f t="shared" si="43"/>
        <v>0</v>
      </c>
      <c r="O246" s="919"/>
      <c r="P246" s="914">
        <f t="shared" si="35"/>
        <v>0</v>
      </c>
      <c r="Q246" s="919"/>
      <c r="R246" s="914">
        <f t="shared" si="36"/>
        <v>0</v>
      </c>
      <c r="S246" s="919"/>
      <c r="T246" s="914">
        <f t="shared" si="37"/>
        <v>0</v>
      </c>
      <c r="U246" s="915">
        <f t="shared" si="39"/>
        <v>0</v>
      </c>
      <c r="V246" s="914">
        <f t="shared" si="38"/>
        <v>0</v>
      </c>
    </row>
    <row r="247" spans="1:22" s="923" customFormat="1" ht="231.75" hidden="1" customHeight="1">
      <c r="A247" s="927"/>
      <c r="B247" s="906" t="s">
        <v>1241</v>
      </c>
      <c r="C247" s="913">
        <f>ROUND(DATA!K560,2)</f>
        <v>1647.71</v>
      </c>
      <c r="D247" s="908" t="s">
        <v>1834</v>
      </c>
      <c r="E247" s="919"/>
      <c r="F247" s="1053">
        <f t="shared" si="34"/>
        <v>0</v>
      </c>
      <c r="G247" s="919"/>
      <c r="H247" s="914">
        <f t="shared" si="40"/>
        <v>0</v>
      </c>
      <c r="I247" s="919"/>
      <c r="J247" s="914">
        <f t="shared" si="41"/>
        <v>0</v>
      </c>
      <c r="K247" s="914"/>
      <c r="L247" s="914">
        <f t="shared" si="42"/>
        <v>0</v>
      </c>
      <c r="M247" s="919"/>
      <c r="N247" s="914">
        <f t="shared" si="43"/>
        <v>0</v>
      </c>
      <c r="O247" s="919"/>
      <c r="P247" s="914">
        <f t="shared" si="35"/>
        <v>0</v>
      </c>
      <c r="Q247" s="919"/>
      <c r="R247" s="914">
        <f t="shared" si="36"/>
        <v>0</v>
      </c>
      <c r="S247" s="919"/>
      <c r="T247" s="914">
        <f t="shared" si="37"/>
        <v>0</v>
      </c>
      <c r="U247" s="915">
        <f t="shared" si="39"/>
        <v>0</v>
      </c>
      <c r="V247" s="914">
        <f t="shared" si="38"/>
        <v>0</v>
      </c>
    </row>
    <row r="248" spans="1:22" s="923" customFormat="1" ht="231.75" hidden="1" customHeight="1">
      <c r="A248" s="927"/>
      <c r="B248" s="906" t="s">
        <v>677</v>
      </c>
      <c r="C248" s="913">
        <f>ROUND(DATA!K561,2)</f>
        <v>1657.24</v>
      </c>
      <c r="D248" s="908" t="s">
        <v>1834</v>
      </c>
      <c r="E248" s="919"/>
      <c r="F248" s="1053">
        <f t="shared" si="34"/>
        <v>0</v>
      </c>
      <c r="G248" s="919"/>
      <c r="H248" s="914">
        <f t="shared" si="40"/>
        <v>0</v>
      </c>
      <c r="I248" s="919"/>
      <c r="J248" s="914">
        <f t="shared" si="41"/>
        <v>0</v>
      </c>
      <c r="K248" s="914"/>
      <c r="L248" s="914">
        <f t="shared" si="42"/>
        <v>0</v>
      </c>
      <c r="M248" s="919"/>
      <c r="N248" s="914">
        <f t="shared" si="43"/>
        <v>0</v>
      </c>
      <c r="O248" s="919"/>
      <c r="P248" s="914">
        <f t="shared" si="35"/>
        <v>0</v>
      </c>
      <c r="Q248" s="919"/>
      <c r="R248" s="914">
        <f t="shared" si="36"/>
        <v>0</v>
      </c>
      <c r="S248" s="919"/>
      <c r="T248" s="914">
        <f t="shared" si="37"/>
        <v>0</v>
      </c>
      <c r="U248" s="915">
        <f t="shared" si="39"/>
        <v>0</v>
      </c>
      <c r="V248" s="914">
        <f t="shared" si="38"/>
        <v>0</v>
      </c>
    </row>
    <row r="249" spans="1:22" s="923" customFormat="1" ht="231.75" hidden="1" customHeight="1">
      <c r="A249" s="927"/>
      <c r="B249" s="906" t="s">
        <v>678</v>
      </c>
      <c r="C249" s="913">
        <f>ROUND(DATA!K562,2)</f>
        <v>1666.77</v>
      </c>
      <c r="D249" s="908" t="s">
        <v>1834</v>
      </c>
      <c r="E249" s="919"/>
      <c r="F249" s="1053">
        <f t="shared" si="34"/>
        <v>0</v>
      </c>
      <c r="G249" s="919"/>
      <c r="H249" s="914">
        <f t="shared" si="40"/>
        <v>0</v>
      </c>
      <c r="I249" s="919"/>
      <c r="J249" s="914">
        <f t="shared" si="41"/>
        <v>0</v>
      </c>
      <c r="K249" s="914"/>
      <c r="L249" s="914">
        <f t="shared" si="42"/>
        <v>0</v>
      </c>
      <c r="M249" s="919"/>
      <c r="N249" s="914">
        <f t="shared" si="43"/>
        <v>0</v>
      </c>
      <c r="O249" s="919"/>
      <c r="P249" s="914">
        <f t="shared" si="35"/>
        <v>0</v>
      </c>
      <c r="Q249" s="919"/>
      <c r="R249" s="914">
        <f t="shared" si="36"/>
        <v>0</v>
      </c>
      <c r="S249" s="919"/>
      <c r="T249" s="914">
        <f t="shared" si="37"/>
        <v>0</v>
      </c>
      <c r="U249" s="915">
        <f t="shared" si="39"/>
        <v>0</v>
      </c>
      <c r="V249" s="914">
        <f t="shared" si="38"/>
        <v>0</v>
      </c>
    </row>
    <row r="250" spans="1:22" ht="231.75" hidden="1" customHeight="1">
      <c r="A250" s="931"/>
      <c r="B250" s="906" t="s">
        <v>1268</v>
      </c>
      <c r="C250" s="913">
        <f>ROUND(DATA!K563,2)</f>
        <v>1676.3</v>
      </c>
      <c r="D250" s="908" t="s">
        <v>1834</v>
      </c>
      <c r="E250" s="919"/>
      <c r="F250" s="1053">
        <f t="shared" si="34"/>
        <v>0</v>
      </c>
      <c r="G250" s="919"/>
      <c r="H250" s="914">
        <f t="shared" si="40"/>
        <v>0</v>
      </c>
      <c r="I250" s="919"/>
      <c r="J250" s="914">
        <f t="shared" si="41"/>
        <v>0</v>
      </c>
      <c r="K250" s="914"/>
      <c r="L250" s="914">
        <f t="shared" si="42"/>
        <v>0</v>
      </c>
      <c r="M250" s="919"/>
      <c r="N250" s="914">
        <f t="shared" si="43"/>
        <v>0</v>
      </c>
      <c r="O250" s="919"/>
      <c r="P250" s="914">
        <f t="shared" si="35"/>
        <v>0</v>
      </c>
      <c r="Q250" s="919"/>
      <c r="R250" s="914">
        <f t="shared" si="36"/>
        <v>0</v>
      </c>
      <c r="S250" s="919"/>
      <c r="T250" s="914">
        <f t="shared" si="37"/>
        <v>0</v>
      </c>
      <c r="U250" s="915">
        <f t="shared" si="39"/>
        <v>0</v>
      </c>
      <c r="V250" s="914">
        <f t="shared" si="38"/>
        <v>0</v>
      </c>
    </row>
    <row r="251" spans="1:22" ht="231.75" hidden="1" customHeight="1">
      <c r="A251" s="905">
        <v>15.1</v>
      </c>
      <c r="B251" s="924" t="s">
        <v>1269</v>
      </c>
      <c r="C251" s="921"/>
      <c r="D251" s="908"/>
      <c r="E251" s="919"/>
      <c r="F251" s="1053">
        <f t="shared" si="34"/>
        <v>0</v>
      </c>
      <c r="G251" s="919"/>
      <c r="H251" s="914">
        <f t="shared" si="40"/>
        <v>0</v>
      </c>
      <c r="I251" s="919"/>
      <c r="J251" s="914">
        <f t="shared" si="41"/>
        <v>0</v>
      </c>
      <c r="K251" s="914"/>
      <c r="L251" s="914">
        <f t="shared" si="42"/>
        <v>0</v>
      </c>
      <c r="M251" s="919"/>
      <c r="N251" s="914">
        <f t="shared" si="43"/>
        <v>0</v>
      </c>
      <c r="O251" s="919"/>
      <c r="P251" s="914">
        <f t="shared" si="35"/>
        <v>0</v>
      </c>
      <c r="Q251" s="919"/>
      <c r="R251" s="914">
        <f t="shared" si="36"/>
        <v>0</v>
      </c>
      <c r="S251" s="919"/>
      <c r="T251" s="914">
        <f t="shared" si="37"/>
        <v>0</v>
      </c>
      <c r="U251" s="915">
        <f t="shared" si="39"/>
        <v>0</v>
      </c>
      <c r="V251" s="914">
        <f t="shared" si="38"/>
        <v>0</v>
      </c>
    </row>
    <row r="252" spans="1:22" ht="231.75" hidden="1" customHeight="1">
      <c r="A252" s="905"/>
      <c r="B252" s="906" t="s">
        <v>1247</v>
      </c>
      <c r="C252" s="921">
        <f>ROUND(DATA!K590,2)</f>
        <v>556.1</v>
      </c>
      <c r="D252" s="908" t="s">
        <v>1834</v>
      </c>
      <c r="E252" s="919"/>
      <c r="F252" s="1053">
        <f t="shared" si="34"/>
        <v>0</v>
      </c>
      <c r="G252" s="919"/>
      <c r="H252" s="914">
        <f t="shared" si="40"/>
        <v>0</v>
      </c>
      <c r="I252" s="919"/>
      <c r="J252" s="914">
        <f t="shared" si="41"/>
        <v>0</v>
      </c>
      <c r="K252" s="914"/>
      <c r="L252" s="914">
        <f t="shared" si="42"/>
        <v>0</v>
      </c>
      <c r="M252" s="919"/>
      <c r="N252" s="914">
        <f t="shared" si="43"/>
        <v>0</v>
      </c>
      <c r="O252" s="919"/>
      <c r="P252" s="914">
        <f t="shared" si="35"/>
        <v>0</v>
      </c>
      <c r="Q252" s="919"/>
      <c r="R252" s="914">
        <f t="shared" si="36"/>
        <v>0</v>
      </c>
      <c r="S252" s="919"/>
      <c r="T252" s="914">
        <f t="shared" si="37"/>
        <v>0</v>
      </c>
      <c r="U252" s="915">
        <f t="shared" si="39"/>
        <v>0</v>
      </c>
      <c r="V252" s="914">
        <f t="shared" si="38"/>
        <v>0</v>
      </c>
    </row>
    <row r="253" spans="1:22" ht="231.75" hidden="1" customHeight="1">
      <c r="A253" s="905"/>
      <c r="B253" s="906" t="s">
        <v>1381</v>
      </c>
      <c r="C253" s="921">
        <f>ROUND(DATA!K591,2)</f>
        <v>560.82000000000005</v>
      </c>
      <c r="D253" s="908" t="s">
        <v>1834</v>
      </c>
      <c r="E253" s="919"/>
      <c r="F253" s="1053">
        <f t="shared" si="34"/>
        <v>0</v>
      </c>
      <c r="G253" s="919"/>
      <c r="H253" s="914">
        <f t="shared" si="40"/>
        <v>0</v>
      </c>
      <c r="I253" s="919"/>
      <c r="J253" s="914">
        <f t="shared" si="41"/>
        <v>0</v>
      </c>
      <c r="K253" s="914"/>
      <c r="L253" s="914">
        <f t="shared" si="42"/>
        <v>0</v>
      </c>
      <c r="M253" s="919"/>
      <c r="N253" s="914">
        <f t="shared" si="43"/>
        <v>0</v>
      </c>
      <c r="O253" s="919"/>
      <c r="P253" s="914">
        <f t="shared" si="35"/>
        <v>0</v>
      </c>
      <c r="Q253" s="919"/>
      <c r="R253" s="914">
        <f t="shared" si="36"/>
        <v>0</v>
      </c>
      <c r="S253" s="919"/>
      <c r="T253" s="914">
        <f t="shared" si="37"/>
        <v>0</v>
      </c>
      <c r="U253" s="915">
        <f t="shared" si="39"/>
        <v>0</v>
      </c>
      <c r="V253" s="914">
        <f t="shared" si="38"/>
        <v>0</v>
      </c>
    </row>
    <row r="254" spans="1:22" ht="231.75" hidden="1" customHeight="1">
      <c r="A254" s="905"/>
      <c r="B254" s="906" t="s">
        <v>1429</v>
      </c>
      <c r="C254" s="921">
        <f>ROUND(DATA!K592,2)</f>
        <v>565.54</v>
      </c>
      <c r="D254" s="908" t="s">
        <v>1834</v>
      </c>
      <c r="E254" s="919"/>
      <c r="F254" s="1053">
        <f t="shared" si="34"/>
        <v>0</v>
      </c>
      <c r="G254" s="919"/>
      <c r="H254" s="914">
        <f t="shared" si="40"/>
        <v>0</v>
      </c>
      <c r="I254" s="919"/>
      <c r="J254" s="914">
        <f t="shared" si="41"/>
        <v>0</v>
      </c>
      <c r="K254" s="914"/>
      <c r="L254" s="914">
        <f t="shared" si="42"/>
        <v>0</v>
      </c>
      <c r="M254" s="919"/>
      <c r="N254" s="914">
        <f t="shared" si="43"/>
        <v>0</v>
      </c>
      <c r="O254" s="919"/>
      <c r="P254" s="914">
        <f t="shared" si="35"/>
        <v>0</v>
      </c>
      <c r="Q254" s="919"/>
      <c r="R254" s="914">
        <f t="shared" si="36"/>
        <v>0</v>
      </c>
      <c r="S254" s="919"/>
      <c r="T254" s="914">
        <f t="shared" si="37"/>
        <v>0</v>
      </c>
      <c r="U254" s="915">
        <f t="shared" si="39"/>
        <v>0</v>
      </c>
      <c r="V254" s="914">
        <f t="shared" si="38"/>
        <v>0</v>
      </c>
    </row>
    <row r="255" spans="1:22" ht="231.75" hidden="1" customHeight="1">
      <c r="A255" s="905"/>
      <c r="B255" s="906" t="s">
        <v>1319</v>
      </c>
      <c r="C255" s="921">
        <f>ROUND(DATA!K593,2)</f>
        <v>570.26</v>
      </c>
      <c r="D255" s="908" t="s">
        <v>1834</v>
      </c>
      <c r="E255" s="919"/>
      <c r="F255" s="1053">
        <f t="shared" si="34"/>
        <v>0</v>
      </c>
      <c r="G255" s="919"/>
      <c r="H255" s="914">
        <f t="shared" si="40"/>
        <v>0</v>
      </c>
      <c r="I255" s="919"/>
      <c r="J255" s="914">
        <f t="shared" si="41"/>
        <v>0</v>
      </c>
      <c r="K255" s="914"/>
      <c r="L255" s="914">
        <f t="shared" si="42"/>
        <v>0</v>
      </c>
      <c r="M255" s="919"/>
      <c r="N255" s="914">
        <f t="shared" si="43"/>
        <v>0</v>
      </c>
      <c r="O255" s="919"/>
      <c r="P255" s="914">
        <f t="shared" si="35"/>
        <v>0</v>
      </c>
      <c r="Q255" s="919"/>
      <c r="R255" s="914">
        <f t="shared" si="36"/>
        <v>0</v>
      </c>
      <c r="S255" s="919"/>
      <c r="T255" s="914">
        <f t="shared" si="37"/>
        <v>0</v>
      </c>
      <c r="U255" s="915">
        <f t="shared" si="39"/>
        <v>0</v>
      </c>
      <c r="V255" s="914">
        <f t="shared" si="38"/>
        <v>0</v>
      </c>
    </row>
    <row r="256" spans="1:22" ht="231.75" hidden="1" customHeight="1">
      <c r="A256" s="928"/>
      <c r="B256" s="906" t="s">
        <v>1074</v>
      </c>
      <c r="C256" s="921">
        <f>ROUND(DATA!K594,2)</f>
        <v>574.98</v>
      </c>
      <c r="D256" s="908" t="s">
        <v>1834</v>
      </c>
      <c r="E256" s="919"/>
      <c r="F256" s="1053">
        <f t="shared" si="34"/>
        <v>0</v>
      </c>
      <c r="G256" s="919"/>
      <c r="H256" s="914">
        <f t="shared" si="40"/>
        <v>0</v>
      </c>
      <c r="I256" s="919"/>
      <c r="J256" s="914">
        <f t="shared" si="41"/>
        <v>0</v>
      </c>
      <c r="K256" s="914"/>
      <c r="L256" s="914">
        <f t="shared" si="42"/>
        <v>0</v>
      </c>
      <c r="M256" s="919"/>
      <c r="N256" s="914">
        <f t="shared" si="43"/>
        <v>0</v>
      </c>
      <c r="O256" s="919"/>
      <c r="P256" s="914">
        <f t="shared" si="35"/>
        <v>0</v>
      </c>
      <c r="Q256" s="919"/>
      <c r="R256" s="914">
        <f t="shared" si="36"/>
        <v>0</v>
      </c>
      <c r="S256" s="919"/>
      <c r="T256" s="914">
        <f t="shared" si="37"/>
        <v>0</v>
      </c>
      <c r="U256" s="915">
        <f t="shared" si="39"/>
        <v>0</v>
      </c>
      <c r="V256" s="914">
        <f t="shared" si="38"/>
        <v>0</v>
      </c>
    </row>
    <row r="257" spans="1:22" ht="231.75" hidden="1" customHeight="1">
      <c r="A257" s="905">
        <v>15.2</v>
      </c>
      <c r="B257" s="924" t="s">
        <v>2014</v>
      </c>
      <c r="C257" s="921"/>
      <c r="D257" s="908"/>
      <c r="E257" s="919"/>
      <c r="F257" s="1053">
        <f t="shared" si="34"/>
        <v>0</v>
      </c>
      <c r="G257" s="919"/>
      <c r="H257" s="914">
        <f t="shared" si="40"/>
        <v>0</v>
      </c>
      <c r="I257" s="919"/>
      <c r="J257" s="914">
        <f t="shared" si="41"/>
        <v>0</v>
      </c>
      <c r="K257" s="914"/>
      <c r="L257" s="914">
        <f t="shared" si="42"/>
        <v>0</v>
      </c>
      <c r="M257" s="919"/>
      <c r="N257" s="914">
        <f t="shared" si="43"/>
        <v>0</v>
      </c>
      <c r="O257" s="919"/>
      <c r="P257" s="914">
        <f t="shared" si="35"/>
        <v>0</v>
      </c>
      <c r="Q257" s="919"/>
      <c r="R257" s="914">
        <f t="shared" si="36"/>
        <v>0</v>
      </c>
      <c r="S257" s="919"/>
      <c r="T257" s="914">
        <f t="shared" si="37"/>
        <v>0</v>
      </c>
      <c r="U257" s="915">
        <f t="shared" si="39"/>
        <v>0</v>
      </c>
      <c r="V257" s="914">
        <f t="shared" si="38"/>
        <v>0</v>
      </c>
    </row>
    <row r="258" spans="1:22" ht="231.75" hidden="1" customHeight="1">
      <c r="A258" s="927"/>
      <c r="B258" s="906" t="s">
        <v>1247</v>
      </c>
      <c r="C258" s="921">
        <f>ROUND(DATA!K612,2)</f>
        <v>2072.79</v>
      </c>
      <c r="D258" s="908" t="s">
        <v>1834</v>
      </c>
      <c r="E258" s="919"/>
      <c r="F258" s="1053">
        <f t="shared" si="34"/>
        <v>0</v>
      </c>
      <c r="G258" s="919"/>
      <c r="H258" s="914">
        <f t="shared" si="40"/>
        <v>0</v>
      </c>
      <c r="I258" s="919"/>
      <c r="J258" s="914">
        <f t="shared" si="41"/>
        <v>0</v>
      </c>
      <c r="K258" s="914"/>
      <c r="L258" s="914">
        <f t="shared" si="42"/>
        <v>0</v>
      </c>
      <c r="M258" s="919"/>
      <c r="N258" s="914">
        <f t="shared" si="43"/>
        <v>0</v>
      </c>
      <c r="O258" s="919"/>
      <c r="P258" s="914">
        <f t="shared" si="35"/>
        <v>0</v>
      </c>
      <c r="Q258" s="919"/>
      <c r="R258" s="914">
        <f t="shared" si="36"/>
        <v>0</v>
      </c>
      <c r="S258" s="919"/>
      <c r="T258" s="914">
        <f t="shared" si="37"/>
        <v>0</v>
      </c>
      <c r="U258" s="915">
        <f t="shared" si="39"/>
        <v>0</v>
      </c>
      <c r="V258" s="914">
        <f t="shared" si="38"/>
        <v>0</v>
      </c>
    </row>
    <row r="259" spans="1:22" ht="231.75" hidden="1" customHeight="1">
      <c r="A259" s="927"/>
      <c r="B259" s="906" t="s">
        <v>1381</v>
      </c>
      <c r="C259" s="921">
        <f>ROUND(DATA!K613,2)</f>
        <v>2082.23</v>
      </c>
      <c r="D259" s="908" t="s">
        <v>1834</v>
      </c>
      <c r="E259" s="919"/>
      <c r="F259" s="1053">
        <f t="shared" si="34"/>
        <v>0</v>
      </c>
      <c r="G259" s="919"/>
      <c r="H259" s="914">
        <f t="shared" si="40"/>
        <v>0</v>
      </c>
      <c r="I259" s="919"/>
      <c r="J259" s="914">
        <f t="shared" si="41"/>
        <v>0</v>
      </c>
      <c r="K259" s="914"/>
      <c r="L259" s="914">
        <f t="shared" si="42"/>
        <v>0</v>
      </c>
      <c r="M259" s="919"/>
      <c r="N259" s="914">
        <f t="shared" si="43"/>
        <v>0</v>
      </c>
      <c r="O259" s="919"/>
      <c r="P259" s="914">
        <f t="shared" si="35"/>
        <v>0</v>
      </c>
      <c r="Q259" s="919"/>
      <c r="R259" s="914">
        <f t="shared" si="36"/>
        <v>0</v>
      </c>
      <c r="S259" s="919"/>
      <c r="T259" s="914">
        <f t="shared" si="37"/>
        <v>0</v>
      </c>
      <c r="U259" s="915">
        <f t="shared" si="39"/>
        <v>0</v>
      </c>
      <c r="V259" s="914">
        <f t="shared" si="38"/>
        <v>0</v>
      </c>
    </row>
    <row r="260" spans="1:22" ht="231.75" hidden="1" customHeight="1">
      <c r="A260" s="927"/>
      <c r="B260" s="906" t="s">
        <v>1429</v>
      </c>
      <c r="C260" s="921">
        <f>ROUND(DATA!K614,2)</f>
        <v>2091.67</v>
      </c>
      <c r="D260" s="908" t="s">
        <v>1834</v>
      </c>
      <c r="E260" s="919"/>
      <c r="F260" s="1053">
        <f t="shared" si="34"/>
        <v>0</v>
      </c>
      <c r="G260" s="919"/>
      <c r="H260" s="914">
        <f t="shared" si="40"/>
        <v>0</v>
      </c>
      <c r="I260" s="919"/>
      <c r="J260" s="914">
        <f t="shared" si="41"/>
        <v>0</v>
      </c>
      <c r="K260" s="914"/>
      <c r="L260" s="914">
        <f t="shared" si="42"/>
        <v>0</v>
      </c>
      <c r="M260" s="919"/>
      <c r="N260" s="914">
        <f t="shared" si="43"/>
        <v>0</v>
      </c>
      <c r="O260" s="919"/>
      <c r="P260" s="914">
        <f t="shared" si="35"/>
        <v>0</v>
      </c>
      <c r="Q260" s="919"/>
      <c r="R260" s="914">
        <f t="shared" si="36"/>
        <v>0</v>
      </c>
      <c r="S260" s="919"/>
      <c r="T260" s="914">
        <f t="shared" si="37"/>
        <v>0</v>
      </c>
      <c r="U260" s="915">
        <f t="shared" si="39"/>
        <v>0</v>
      </c>
      <c r="V260" s="914">
        <f t="shared" si="38"/>
        <v>0</v>
      </c>
    </row>
    <row r="261" spans="1:22" ht="231.75" hidden="1" customHeight="1">
      <c r="A261" s="927"/>
      <c r="B261" s="906" t="s">
        <v>1319</v>
      </c>
      <c r="C261" s="921">
        <f>ROUND(DATA!K615,2)</f>
        <v>2101.11</v>
      </c>
      <c r="D261" s="908" t="s">
        <v>1834</v>
      </c>
      <c r="E261" s="919"/>
      <c r="F261" s="1053">
        <f t="shared" si="34"/>
        <v>0</v>
      </c>
      <c r="G261" s="919"/>
      <c r="H261" s="914">
        <f t="shared" si="40"/>
        <v>0</v>
      </c>
      <c r="I261" s="919"/>
      <c r="J261" s="914">
        <f t="shared" si="41"/>
        <v>0</v>
      </c>
      <c r="K261" s="914"/>
      <c r="L261" s="914">
        <f t="shared" si="42"/>
        <v>0</v>
      </c>
      <c r="M261" s="919"/>
      <c r="N261" s="914">
        <f t="shared" si="43"/>
        <v>0</v>
      </c>
      <c r="O261" s="919"/>
      <c r="P261" s="914">
        <f t="shared" si="35"/>
        <v>0</v>
      </c>
      <c r="Q261" s="919"/>
      <c r="R261" s="914">
        <f t="shared" si="36"/>
        <v>0</v>
      </c>
      <c r="S261" s="919"/>
      <c r="T261" s="914">
        <f t="shared" si="37"/>
        <v>0</v>
      </c>
      <c r="U261" s="915">
        <f t="shared" si="39"/>
        <v>0</v>
      </c>
      <c r="V261" s="914">
        <f t="shared" si="38"/>
        <v>0</v>
      </c>
    </row>
    <row r="262" spans="1:22" ht="231.75" hidden="1" customHeight="1">
      <c r="A262" s="931"/>
      <c r="B262" s="906" t="s">
        <v>1074</v>
      </c>
      <c r="C262" s="921">
        <f>ROUND(DATA!K616,2)</f>
        <v>2110.5500000000002</v>
      </c>
      <c r="D262" s="908" t="s">
        <v>1834</v>
      </c>
      <c r="E262" s="919"/>
      <c r="F262" s="1053">
        <f t="shared" ref="F262:F325" si="44">E262*C262</f>
        <v>0</v>
      </c>
      <c r="G262" s="919"/>
      <c r="H262" s="914">
        <f t="shared" si="40"/>
        <v>0</v>
      </c>
      <c r="I262" s="919"/>
      <c r="J262" s="914">
        <f t="shared" si="41"/>
        <v>0</v>
      </c>
      <c r="K262" s="914"/>
      <c r="L262" s="914">
        <f t="shared" si="42"/>
        <v>0</v>
      </c>
      <c r="M262" s="919"/>
      <c r="N262" s="914">
        <f t="shared" si="43"/>
        <v>0</v>
      </c>
      <c r="O262" s="919"/>
      <c r="P262" s="914">
        <f t="shared" ref="P262:P325" si="45">O262*C262</f>
        <v>0</v>
      </c>
      <c r="Q262" s="919"/>
      <c r="R262" s="914">
        <f t="shared" ref="R262:R325" si="46">Q262*C262</f>
        <v>0</v>
      </c>
      <c r="S262" s="919"/>
      <c r="T262" s="914">
        <f t="shared" ref="T262:T325" si="47">S262*C262</f>
        <v>0</v>
      </c>
      <c r="U262" s="915">
        <f t="shared" si="39"/>
        <v>0</v>
      </c>
      <c r="V262" s="914">
        <f t="shared" ref="V262:V325" si="48">U262*C262</f>
        <v>0</v>
      </c>
    </row>
    <row r="263" spans="1:22" s="923" customFormat="1" ht="231.75" hidden="1" customHeight="1">
      <c r="A263" s="905">
        <v>16.100000000000001</v>
      </c>
      <c r="B263" s="906" t="s">
        <v>6620</v>
      </c>
      <c r="C263" s="913"/>
      <c r="D263" s="908"/>
      <c r="E263" s="919"/>
      <c r="F263" s="1053">
        <f t="shared" si="44"/>
        <v>0</v>
      </c>
      <c r="G263" s="919"/>
      <c r="H263" s="914">
        <f t="shared" si="40"/>
        <v>0</v>
      </c>
      <c r="I263" s="919"/>
      <c r="J263" s="914">
        <f t="shared" si="41"/>
        <v>0</v>
      </c>
      <c r="K263" s="914"/>
      <c r="L263" s="914">
        <f t="shared" si="42"/>
        <v>0</v>
      </c>
      <c r="M263" s="919"/>
      <c r="N263" s="914">
        <f t="shared" si="43"/>
        <v>0</v>
      </c>
      <c r="O263" s="919"/>
      <c r="P263" s="914">
        <f t="shared" si="45"/>
        <v>0</v>
      </c>
      <c r="Q263" s="919"/>
      <c r="R263" s="914">
        <f t="shared" si="46"/>
        <v>0</v>
      </c>
      <c r="S263" s="919"/>
      <c r="T263" s="914">
        <f t="shared" si="47"/>
        <v>0</v>
      </c>
      <c r="U263" s="915">
        <f t="shared" si="39"/>
        <v>0</v>
      </c>
      <c r="V263" s="914">
        <f t="shared" si="48"/>
        <v>0</v>
      </c>
    </row>
    <row r="264" spans="1:22" s="923" customFormat="1" ht="231.75" hidden="1" customHeight="1">
      <c r="A264" s="905"/>
      <c r="B264" s="906" t="s">
        <v>201</v>
      </c>
      <c r="C264" s="913">
        <f>DATA!K659</f>
        <v>2971.58</v>
      </c>
      <c r="D264" s="908" t="s">
        <v>1834</v>
      </c>
      <c r="E264" s="919"/>
      <c r="F264" s="1053">
        <f t="shared" si="44"/>
        <v>0</v>
      </c>
      <c r="G264" s="919"/>
      <c r="H264" s="914">
        <f t="shared" si="40"/>
        <v>0</v>
      </c>
      <c r="I264" s="919"/>
      <c r="J264" s="914">
        <f t="shared" si="41"/>
        <v>0</v>
      </c>
      <c r="K264" s="914"/>
      <c r="L264" s="914">
        <f t="shared" si="42"/>
        <v>0</v>
      </c>
      <c r="M264" s="919"/>
      <c r="N264" s="914">
        <f t="shared" si="43"/>
        <v>0</v>
      </c>
      <c r="O264" s="919"/>
      <c r="P264" s="914">
        <f t="shared" si="45"/>
        <v>0</v>
      </c>
      <c r="Q264" s="919"/>
      <c r="R264" s="914">
        <f t="shared" si="46"/>
        <v>0</v>
      </c>
      <c r="S264" s="919"/>
      <c r="T264" s="914">
        <f t="shared" si="47"/>
        <v>0</v>
      </c>
      <c r="U264" s="915">
        <f t="shared" si="39"/>
        <v>0</v>
      </c>
      <c r="V264" s="914">
        <f t="shared" si="48"/>
        <v>0</v>
      </c>
    </row>
    <row r="265" spans="1:22" s="923" customFormat="1" ht="231.75" hidden="1" customHeight="1">
      <c r="A265" s="905"/>
      <c r="B265" s="906" t="s">
        <v>1381</v>
      </c>
      <c r="C265" s="913">
        <f>ROUND(DATA!K660,2)</f>
        <v>2980.47</v>
      </c>
      <c r="D265" s="908" t="s">
        <v>1834</v>
      </c>
      <c r="E265" s="919"/>
      <c r="F265" s="1053">
        <f t="shared" si="44"/>
        <v>0</v>
      </c>
      <c r="G265" s="919"/>
      <c r="H265" s="914">
        <f t="shared" si="40"/>
        <v>0</v>
      </c>
      <c r="I265" s="919"/>
      <c r="J265" s="914">
        <f t="shared" si="41"/>
        <v>0</v>
      </c>
      <c r="K265" s="914"/>
      <c r="L265" s="914">
        <f t="shared" si="42"/>
        <v>0</v>
      </c>
      <c r="M265" s="919"/>
      <c r="N265" s="914">
        <f t="shared" si="43"/>
        <v>0</v>
      </c>
      <c r="O265" s="919"/>
      <c r="P265" s="914">
        <f t="shared" si="45"/>
        <v>0</v>
      </c>
      <c r="Q265" s="919"/>
      <c r="R265" s="914">
        <f t="shared" si="46"/>
        <v>0</v>
      </c>
      <c r="S265" s="919"/>
      <c r="T265" s="914">
        <f t="shared" si="47"/>
        <v>0</v>
      </c>
      <c r="U265" s="915">
        <f t="shared" si="39"/>
        <v>0</v>
      </c>
      <c r="V265" s="914">
        <f t="shared" si="48"/>
        <v>0</v>
      </c>
    </row>
    <row r="266" spans="1:22" s="923" customFormat="1" ht="231.75" hidden="1" customHeight="1">
      <c r="A266" s="905"/>
      <c r="B266" s="906" t="s">
        <v>1429</v>
      </c>
      <c r="C266" s="913">
        <f>ROUND(DATA!K661,2)</f>
        <v>2989.36</v>
      </c>
      <c r="D266" s="908" t="s">
        <v>1834</v>
      </c>
      <c r="E266" s="919"/>
      <c r="F266" s="1053">
        <f t="shared" si="44"/>
        <v>0</v>
      </c>
      <c r="G266" s="919"/>
      <c r="H266" s="914">
        <f t="shared" si="40"/>
        <v>0</v>
      </c>
      <c r="I266" s="919"/>
      <c r="J266" s="914">
        <f t="shared" si="41"/>
        <v>0</v>
      </c>
      <c r="K266" s="914"/>
      <c r="L266" s="914">
        <f t="shared" si="42"/>
        <v>0</v>
      </c>
      <c r="M266" s="919"/>
      <c r="N266" s="914">
        <f t="shared" si="43"/>
        <v>0</v>
      </c>
      <c r="O266" s="919"/>
      <c r="P266" s="914">
        <f t="shared" si="45"/>
        <v>0</v>
      </c>
      <c r="Q266" s="919"/>
      <c r="R266" s="914">
        <f t="shared" si="46"/>
        <v>0</v>
      </c>
      <c r="S266" s="919"/>
      <c r="T266" s="914">
        <f t="shared" si="47"/>
        <v>0</v>
      </c>
      <c r="U266" s="915">
        <f t="shared" si="39"/>
        <v>0</v>
      </c>
      <c r="V266" s="914">
        <f t="shared" si="48"/>
        <v>0</v>
      </c>
    </row>
    <row r="267" spans="1:22" s="923" customFormat="1" ht="231.75" hidden="1" customHeight="1">
      <c r="A267" s="905"/>
      <c r="B267" s="906" t="s">
        <v>1319</v>
      </c>
      <c r="C267" s="913">
        <f>ROUND(DATA!K662,2)</f>
        <v>2998.25</v>
      </c>
      <c r="D267" s="908" t="s">
        <v>1834</v>
      </c>
      <c r="E267" s="919"/>
      <c r="F267" s="1053">
        <f t="shared" si="44"/>
        <v>0</v>
      </c>
      <c r="G267" s="919"/>
      <c r="H267" s="914">
        <f t="shared" si="40"/>
        <v>0</v>
      </c>
      <c r="I267" s="919"/>
      <c r="J267" s="914">
        <f t="shared" si="41"/>
        <v>0</v>
      </c>
      <c r="K267" s="914"/>
      <c r="L267" s="914">
        <f t="shared" si="42"/>
        <v>0</v>
      </c>
      <c r="M267" s="919"/>
      <c r="N267" s="914">
        <f t="shared" si="43"/>
        <v>0</v>
      </c>
      <c r="O267" s="919"/>
      <c r="P267" s="914">
        <f t="shared" si="45"/>
        <v>0</v>
      </c>
      <c r="Q267" s="919"/>
      <c r="R267" s="914">
        <f t="shared" si="46"/>
        <v>0</v>
      </c>
      <c r="S267" s="919"/>
      <c r="T267" s="914">
        <f t="shared" si="47"/>
        <v>0</v>
      </c>
      <c r="U267" s="915">
        <f t="shared" si="39"/>
        <v>0</v>
      </c>
      <c r="V267" s="914">
        <f t="shared" si="48"/>
        <v>0</v>
      </c>
    </row>
    <row r="268" spans="1:22" s="923" customFormat="1" ht="231.75" hidden="1" customHeight="1">
      <c r="A268" s="926"/>
      <c r="B268" s="906" t="s">
        <v>1074</v>
      </c>
      <c r="C268" s="913">
        <f>ROUND(DATA!K663,2)</f>
        <v>3007.14</v>
      </c>
      <c r="D268" s="908" t="s">
        <v>1834</v>
      </c>
      <c r="E268" s="919"/>
      <c r="F268" s="1053">
        <f t="shared" si="44"/>
        <v>0</v>
      </c>
      <c r="G268" s="919"/>
      <c r="H268" s="914">
        <f t="shared" si="40"/>
        <v>0</v>
      </c>
      <c r="I268" s="919"/>
      <c r="J268" s="914">
        <f t="shared" si="41"/>
        <v>0</v>
      </c>
      <c r="K268" s="914"/>
      <c r="L268" s="914">
        <f t="shared" si="42"/>
        <v>0</v>
      </c>
      <c r="M268" s="919"/>
      <c r="N268" s="914">
        <f t="shared" si="43"/>
        <v>0</v>
      </c>
      <c r="O268" s="919"/>
      <c r="P268" s="914">
        <f t="shared" si="45"/>
        <v>0</v>
      </c>
      <c r="Q268" s="919"/>
      <c r="R268" s="914">
        <f t="shared" si="46"/>
        <v>0</v>
      </c>
      <c r="S268" s="919"/>
      <c r="T268" s="914">
        <f t="shared" si="47"/>
        <v>0</v>
      </c>
      <c r="U268" s="915">
        <f t="shared" si="39"/>
        <v>0</v>
      </c>
      <c r="V268" s="914">
        <f t="shared" si="48"/>
        <v>0</v>
      </c>
    </row>
    <row r="269" spans="1:22" ht="231.75" hidden="1" customHeight="1">
      <c r="A269" s="905">
        <v>16.2</v>
      </c>
      <c r="B269" s="906" t="s">
        <v>1242</v>
      </c>
      <c r="C269" s="921"/>
      <c r="D269" s="908"/>
      <c r="E269" s="919"/>
      <c r="F269" s="1053">
        <f t="shared" si="44"/>
        <v>0</v>
      </c>
      <c r="G269" s="919"/>
      <c r="H269" s="914">
        <f t="shared" si="40"/>
        <v>0</v>
      </c>
      <c r="I269" s="919"/>
      <c r="J269" s="914">
        <f t="shared" si="41"/>
        <v>0</v>
      </c>
      <c r="K269" s="914"/>
      <c r="L269" s="914">
        <f t="shared" si="42"/>
        <v>0</v>
      </c>
      <c r="M269" s="919"/>
      <c r="N269" s="914">
        <f t="shared" si="43"/>
        <v>0</v>
      </c>
      <c r="O269" s="919"/>
      <c r="P269" s="914">
        <f t="shared" si="45"/>
        <v>0</v>
      </c>
      <c r="Q269" s="919"/>
      <c r="R269" s="914">
        <f t="shared" si="46"/>
        <v>0</v>
      </c>
      <c r="S269" s="919"/>
      <c r="T269" s="914">
        <f t="shared" si="47"/>
        <v>0</v>
      </c>
      <c r="U269" s="915">
        <f t="shared" si="39"/>
        <v>0</v>
      </c>
      <c r="V269" s="914">
        <f t="shared" si="48"/>
        <v>0</v>
      </c>
    </row>
    <row r="270" spans="1:22" ht="231.75" hidden="1" customHeight="1">
      <c r="A270" s="927"/>
      <c r="B270" s="906" t="s">
        <v>201</v>
      </c>
      <c r="C270" s="921">
        <f>ROUND(DATA!K686,2)</f>
        <v>483.95</v>
      </c>
      <c r="D270" s="908" t="s">
        <v>1834</v>
      </c>
      <c r="E270" s="919"/>
      <c r="F270" s="1053">
        <f t="shared" si="44"/>
        <v>0</v>
      </c>
      <c r="G270" s="919"/>
      <c r="H270" s="914">
        <f t="shared" si="40"/>
        <v>0</v>
      </c>
      <c r="I270" s="919"/>
      <c r="J270" s="914">
        <f t="shared" si="41"/>
        <v>0</v>
      </c>
      <c r="K270" s="914"/>
      <c r="L270" s="914">
        <f t="shared" si="42"/>
        <v>0</v>
      </c>
      <c r="M270" s="919"/>
      <c r="N270" s="914">
        <f t="shared" si="43"/>
        <v>0</v>
      </c>
      <c r="O270" s="919"/>
      <c r="P270" s="914">
        <f t="shared" si="45"/>
        <v>0</v>
      </c>
      <c r="Q270" s="919"/>
      <c r="R270" s="914">
        <f t="shared" si="46"/>
        <v>0</v>
      </c>
      <c r="S270" s="919"/>
      <c r="T270" s="914">
        <f t="shared" si="47"/>
        <v>0</v>
      </c>
      <c r="U270" s="915">
        <f t="shared" si="39"/>
        <v>0</v>
      </c>
      <c r="V270" s="914">
        <f t="shared" si="48"/>
        <v>0</v>
      </c>
    </row>
    <row r="271" spans="1:22" ht="231.75" hidden="1" customHeight="1">
      <c r="A271" s="927"/>
      <c r="B271" s="906" t="s">
        <v>202</v>
      </c>
      <c r="C271" s="921">
        <f>ROUND(DATA!K687,2)</f>
        <v>491.91</v>
      </c>
      <c r="D271" s="908" t="s">
        <v>1834</v>
      </c>
      <c r="E271" s="919"/>
      <c r="F271" s="1053">
        <f t="shared" si="44"/>
        <v>0</v>
      </c>
      <c r="G271" s="919"/>
      <c r="H271" s="914">
        <f t="shared" si="40"/>
        <v>0</v>
      </c>
      <c r="I271" s="919"/>
      <c r="J271" s="914">
        <f t="shared" si="41"/>
        <v>0</v>
      </c>
      <c r="K271" s="914"/>
      <c r="L271" s="914">
        <f t="shared" si="42"/>
        <v>0</v>
      </c>
      <c r="M271" s="919"/>
      <c r="N271" s="914">
        <f t="shared" si="43"/>
        <v>0</v>
      </c>
      <c r="O271" s="919"/>
      <c r="P271" s="914">
        <f t="shared" si="45"/>
        <v>0</v>
      </c>
      <c r="Q271" s="919"/>
      <c r="R271" s="914">
        <f t="shared" si="46"/>
        <v>0</v>
      </c>
      <c r="S271" s="919"/>
      <c r="T271" s="914">
        <f t="shared" si="47"/>
        <v>0</v>
      </c>
      <c r="U271" s="915">
        <f t="shared" si="39"/>
        <v>0</v>
      </c>
      <c r="V271" s="914">
        <f t="shared" si="48"/>
        <v>0</v>
      </c>
    </row>
    <row r="272" spans="1:22" ht="231.75" hidden="1" customHeight="1">
      <c r="A272" s="927"/>
      <c r="B272" s="906" t="s">
        <v>203</v>
      </c>
      <c r="C272" s="921">
        <f>ROUND(DATA!K688,2)</f>
        <v>499.87</v>
      </c>
      <c r="D272" s="908" t="s">
        <v>1834</v>
      </c>
      <c r="E272" s="919"/>
      <c r="F272" s="1053">
        <f t="shared" si="44"/>
        <v>0</v>
      </c>
      <c r="G272" s="919"/>
      <c r="H272" s="914">
        <f t="shared" si="40"/>
        <v>0</v>
      </c>
      <c r="I272" s="919"/>
      <c r="J272" s="914">
        <f t="shared" si="41"/>
        <v>0</v>
      </c>
      <c r="K272" s="914"/>
      <c r="L272" s="914">
        <f t="shared" si="42"/>
        <v>0</v>
      </c>
      <c r="M272" s="919"/>
      <c r="N272" s="914">
        <f t="shared" si="43"/>
        <v>0</v>
      </c>
      <c r="O272" s="919"/>
      <c r="P272" s="914">
        <f t="shared" si="45"/>
        <v>0</v>
      </c>
      <c r="Q272" s="919"/>
      <c r="R272" s="914">
        <f t="shared" si="46"/>
        <v>0</v>
      </c>
      <c r="S272" s="919"/>
      <c r="T272" s="914">
        <f t="shared" si="47"/>
        <v>0</v>
      </c>
      <c r="U272" s="915">
        <f t="shared" si="39"/>
        <v>0</v>
      </c>
      <c r="V272" s="914">
        <f t="shared" si="48"/>
        <v>0</v>
      </c>
    </row>
    <row r="273" spans="1:22" ht="231.75" hidden="1" customHeight="1">
      <c r="A273" s="927"/>
      <c r="B273" s="906" t="s">
        <v>204</v>
      </c>
      <c r="C273" s="921">
        <f>ROUND(DATA!K689,2)</f>
        <v>507.83</v>
      </c>
      <c r="D273" s="908" t="s">
        <v>1834</v>
      </c>
      <c r="E273" s="919"/>
      <c r="F273" s="1053">
        <f t="shared" si="44"/>
        <v>0</v>
      </c>
      <c r="G273" s="919"/>
      <c r="H273" s="914">
        <f t="shared" si="40"/>
        <v>0</v>
      </c>
      <c r="I273" s="919"/>
      <c r="J273" s="914">
        <f t="shared" si="41"/>
        <v>0</v>
      </c>
      <c r="K273" s="914"/>
      <c r="L273" s="914">
        <f t="shared" si="42"/>
        <v>0</v>
      </c>
      <c r="M273" s="919"/>
      <c r="N273" s="914">
        <f t="shared" si="43"/>
        <v>0</v>
      </c>
      <c r="O273" s="919"/>
      <c r="P273" s="914">
        <f t="shared" si="45"/>
        <v>0</v>
      </c>
      <c r="Q273" s="919"/>
      <c r="R273" s="914">
        <f t="shared" si="46"/>
        <v>0</v>
      </c>
      <c r="S273" s="919"/>
      <c r="T273" s="914">
        <f t="shared" si="47"/>
        <v>0</v>
      </c>
      <c r="U273" s="915">
        <f t="shared" si="39"/>
        <v>0</v>
      </c>
      <c r="V273" s="914">
        <f t="shared" si="48"/>
        <v>0</v>
      </c>
    </row>
    <row r="274" spans="1:22" ht="231.75" hidden="1" customHeight="1">
      <c r="A274" s="931"/>
      <c r="B274" s="906" t="s">
        <v>603</v>
      </c>
      <c r="C274" s="921">
        <f>ROUND(DATA!K690,2)</f>
        <v>515.79</v>
      </c>
      <c r="D274" s="908" t="s">
        <v>1834</v>
      </c>
      <c r="E274" s="919"/>
      <c r="F274" s="1053">
        <f t="shared" si="44"/>
        <v>0</v>
      </c>
      <c r="G274" s="919"/>
      <c r="H274" s="914">
        <f t="shared" si="40"/>
        <v>0</v>
      </c>
      <c r="I274" s="919"/>
      <c r="J274" s="914">
        <f t="shared" si="41"/>
        <v>0</v>
      </c>
      <c r="K274" s="914"/>
      <c r="L274" s="914">
        <f t="shared" si="42"/>
        <v>0</v>
      </c>
      <c r="M274" s="919"/>
      <c r="N274" s="914">
        <f t="shared" si="43"/>
        <v>0</v>
      </c>
      <c r="O274" s="919"/>
      <c r="P274" s="914">
        <f t="shared" si="45"/>
        <v>0</v>
      </c>
      <c r="Q274" s="919"/>
      <c r="R274" s="914">
        <f t="shared" si="46"/>
        <v>0</v>
      </c>
      <c r="S274" s="919"/>
      <c r="T274" s="914">
        <f t="shared" si="47"/>
        <v>0</v>
      </c>
      <c r="U274" s="915">
        <f t="shared" ref="U274:U337" si="49">G274+I274+M274+O274+Q274+S274+E274+K274</f>
        <v>0</v>
      </c>
      <c r="V274" s="914">
        <f t="shared" si="48"/>
        <v>0</v>
      </c>
    </row>
    <row r="275" spans="1:22" ht="231.75" hidden="1" customHeight="1">
      <c r="A275" s="905">
        <v>16.3</v>
      </c>
      <c r="B275" s="906" t="s">
        <v>340</v>
      </c>
      <c r="C275" s="921"/>
      <c r="D275" s="908"/>
      <c r="E275" s="919"/>
      <c r="F275" s="1053">
        <f t="shared" si="44"/>
        <v>0</v>
      </c>
      <c r="G275" s="919"/>
      <c r="H275" s="914">
        <f t="shared" ref="H275:H338" si="50">C275*G275</f>
        <v>0</v>
      </c>
      <c r="I275" s="919"/>
      <c r="J275" s="914">
        <f t="shared" ref="J275:J338" si="51">I275*C275</f>
        <v>0</v>
      </c>
      <c r="K275" s="914"/>
      <c r="L275" s="914">
        <f t="shared" ref="L275:L338" si="52">K275*C275</f>
        <v>0</v>
      </c>
      <c r="M275" s="919"/>
      <c r="N275" s="914">
        <f t="shared" ref="N275:N338" si="53">M275*C275</f>
        <v>0</v>
      </c>
      <c r="O275" s="919"/>
      <c r="P275" s="914">
        <f t="shared" si="45"/>
        <v>0</v>
      </c>
      <c r="Q275" s="919"/>
      <c r="R275" s="914">
        <f t="shared" si="46"/>
        <v>0</v>
      </c>
      <c r="S275" s="919"/>
      <c r="T275" s="914">
        <f t="shared" si="47"/>
        <v>0</v>
      </c>
      <c r="U275" s="915">
        <f t="shared" si="49"/>
        <v>0</v>
      </c>
      <c r="V275" s="914">
        <f t="shared" si="48"/>
        <v>0</v>
      </c>
    </row>
    <row r="276" spans="1:22" ht="231.75" hidden="1" customHeight="1">
      <c r="A276" s="905"/>
      <c r="B276" s="906" t="s">
        <v>201</v>
      </c>
      <c r="C276" s="921">
        <f>ROUND(DATA!K706,2)</f>
        <v>658.68</v>
      </c>
      <c r="D276" s="908" t="s">
        <v>1834</v>
      </c>
      <c r="E276" s="919"/>
      <c r="F276" s="1053">
        <f t="shared" si="44"/>
        <v>0</v>
      </c>
      <c r="G276" s="919"/>
      <c r="H276" s="914">
        <f t="shared" si="50"/>
        <v>0</v>
      </c>
      <c r="I276" s="919"/>
      <c r="J276" s="914">
        <f t="shared" si="51"/>
        <v>0</v>
      </c>
      <c r="K276" s="914"/>
      <c r="L276" s="914">
        <f t="shared" si="52"/>
        <v>0</v>
      </c>
      <c r="M276" s="919"/>
      <c r="N276" s="914">
        <f t="shared" si="53"/>
        <v>0</v>
      </c>
      <c r="O276" s="919"/>
      <c r="P276" s="914">
        <f t="shared" si="45"/>
        <v>0</v>
      </c>
      <c r="Q276" s="919"/>
      <c r="R276" s="914">
        <f t="shared" si="46"/>
        <v>0</v>
      </c>
      <c r="S276" s="919"/>
      <c r="T276" s="914">
        <f t="shared" si="47"/>
        <v>0</v>
      </c>
      <c r="U276" s="915">
        <f t="shared" si="49"/>
        <v>0</v>
      </c>
      <c r="V276" s="914">
        <f t="shared" si="48"/>
        <v>0</v>
      </c>
    </row>
    <row r="277" spans="1:22" ht="231.75" hidden="1" customHeight="1">
      <c r="A277" s="905"/>
      <c r="B277" s="906" t="s">
        <v>202</v>
      </c>
      <c r="C277" s="921">
        <f>ROUND(DATA!K707,2)</f>
        <v>676.19</v>
      </c>
      <c r="D277" s="908" t="s">
        <v>1834</v>
      </c>
      <c r="E277" s="919"/>
      <c r="F277" s="1053">
        <f t="shared" si="44"/>
        <v>0</v>
      </c>
      <c r="G277" s="919"/>
      <c r="H277" s="914">
        <f t="shared" si="50"/>
        <v>0</v>
      </c>
      <c r="I277" s="919"/>
      <c r="J277" s="914">
        <f t="shared" si="51"/>
        <v>0</v>
      </c>
      <c r="K277" s="914"/>
      <c r="L277" s="914">
        <f t="shared" si="52"/>
        <v>0</v>
      </c>
      <c r="M277" s="919"/>
      <c r="N277" s="914">
        <f t="shared" si="53"/>
        <v>0</v>
      </c>
      <c r="O277" s="919"/>
      <c r="P277" s="914">
        <f t="shared" si="45"/>
        <v>0</v>
      </c>
      <c r="Q277" s="919"/>
      <c r="R277" s="914">
        <f t="shared" si="46"/>
        <v>0</v>
      </c>
      <c r="S277" s="919"/>
      <c r="T277" s="914">
        <f t="shared" si="47"/>
        <v>0</v>
      </c>
      <c r="U277" s="915">
        <f t="shared" si="49"/>
        <v>0</v>
      </c>
      <c r="V277" s="914">
        <f t="shared" si="48"/>
        <v>0</v>
      </c>
    </row>
    <row r="278" spans="1:22" ht="231.75" hidden="1" customHeight="1">
      <c r="A278" s="905"/>
      <c r="B278" s="906" t="s">
        <v>203</v>
      </c>
      <c r="C278" s="921">
        <f>ROUND(DATA!K708,2)</f>
        <v>693.7</v>
      </c>
      <c r="D278" s="908" t="s">
        <v>1834</v>
      </c>
      <c r="E278" s="919"/>
      <c r="F278" s="1053">
        <f t="shared" si="44"/>
        <v>0</v>
      </c>
      <c r="G278" s="919"/>
      <c r="H278" s="914">
        <f t="shared" si="50"/>
        <v>0</v>
      </c>
      <c r="I278" s="919"/>
      <c r="J278" s="914">
        <f t="shared" si="51"/>
        <v>0</v>
      </c>
      <c r="K278" s="914"/>
      <c r="L278" s="914">
        <f t="shared" si="52"/>
        <v>0</v>
      </c>
      <c r="M278" s="919"/>
      <c r="N278" s="914">
        <f t="shared" si="53"/>
        <v>0</v>
      </c>
      <c r="O278" s="919"/>
      <c r="P278" s="914">
        <f t="shared" si="45"/>
        <v>0</v>
      </c>
      <c r="Q278" s="919"/>
      <c r="R278" s="914">
        <f t="shared" si="46"/>
        <v>0</v>
      </c>
      <c r="S278" s="919"/>
      <c r="T278" s="914">
        <f t="shared" si="47"/>
        <v>0</v>
      </c>
      <c r="U278" s="915">
        <f t="shared" si="49"/>
        <v>0</v>
      </c>
      <c r="V278" s="914">
        <f t="shared" si="48"/>
        <v>0</v>
      </c>
    </row>
    <row r="279" spans="1:22" ht="231.75" hidden="1" customHeight="1">
      <c r="A279" s="927"/>
      <c r="B279" s="906" t="s">
        <v>204</v>
      </c>
      <c r="C279" s="921">
        <f>ROUND(DATA!K709,2)</f>
        <v>711.21</v>
      </c>
      <c r="D279" s="908" t="s">
        <v>1834</v>
      </c>
      <c r="E279" s="919"/>
      <c r="F279" s="1053">
        <f t="shared" si="44"/>
        <v>0</v>
      </c>
      <c r="G279" s="919"/>
      <c r="H279" s="914">
        <f t="shared" si="50"/>
        <v>0</v>
      </c>
      <c r="I279" s="919"/>
      <c r="J279" s="914">
        <f t="shared" si="51"/>
        <v>0</v>
      </c>
      <c r="K279" s="914"/>
      <c r="L279" s="914">
        <f t="shared" si="52"/>
        <v>0</v>
      </c>
      <c r="M279" s="919"/>
      <c r="N279" s="914">
        <f t="shared" si="53"/>
        <v>0</v>
      </c>
      <c r="O279" s="919"/>
      <c r="P279" s="914">
        <f t="shared" si="45"/>
        <v>0</v>
      </c>
      <c r="Q279" s="919"/>
      <c r="R279" s="914">
        <f t="shared" si="46"/>
        <v>0</v>
      </c>
      <c r="S279" s="919"/>
      <c r="T279" s="914">
        <f t="shared" si="47"/>
        <v>0</v>
      </c>
      <c r="U279" s="915">
        <f t="shared" si="49"/>
        <v>0</v>
      </c>
      <c r="V279" s="914">
        <f t="shared" si="48"/>
        <v>0</v>
      </c>
    </row>
    <row r="280" spans="1:22" ht="231.75" hidden="1" customHeight="1">
      <c r="A280" s="931"/>
      <c r="B280" s="906" t="s">
        <v>603</v>
      </c>
      <c r="C280" s="921">
        <f>ROUND(DATA!K710,2)</f>
        <v>728.72</v>
      </c>
      <c r="D280" s="908" t="s">
        <v>1834</v>
      </c>
      <c r="E280" s="919"/>
      <c r="F280" s="1053">
        <f t="shared" si="44"/>
        <v>0</v>
      </c>
      <c r="G280" s="919"/>
      <c r="H280" s="914">
        <f t="shared" si="50"/>
        <v>0</v>
      </c>
      <c r="I280" s="919"/>
      <c r="J280" s="914">
        <f t="shared" si="51"/>
        <v>0</v>
      </c>
      <c r="K280" s="914"/>
      <c r="L280" s="914">
        <f t="shared" si="52"/>
        <v>0</v>
      </c>
      <c r="M280" s="919"/>
      <c r="N280" s="914">
        <f t="shared" si="53"/>
        <v>0</v>
      </c>
      <c r="O280" s="919"/>
      <c r="P280" s="914">
        <f t="shared" si="45"/>
        <v>0</v>
      </c>
      <c r="Q280" s="919"/>
      <c r="R280" s="914">
        <f t="shared" si="46"/>
        <v>0</v>
      </c>
      <c r="S280" s="919"/>
      <c r="T280" s="914">
        <f t="shared" si="47"/>
        <v>0</v>
      </c>
      <c r="U280" s="915">
        <f t="shared" si="49"/>
        <v>0</v>
      </c>
      <c r="V280" s="914">
        <f t="shared" si="48"/>
        <v>0</v>
      </c>
    </row>
    <row r="281" spans="1:22" ht="231.75" hidden="1" customHeight="1">
      <c r="A281" s="905">
        <v>17</v>
      </c>
      <c r="B281" s="906" t="s">
        <v>6621</v>
      </c>
      <c r="C281" s="921"/>
      <c r="D281" s="908" t="s">
        <v>1834</v>
      </c>
      <c r="E281" s="919"/>
      <c r="F281" s="1053">
        <f t="shared" si="44"/>
        <v>0</v>
      </c>
      <c r="G281" s="919"/>
      <c r="H281" s="914">
        <f t="shared" si="50"/>
        <v>0</v>
      </c>
      <c r="I281" s="919"/>
      <c r="J281" s="914">
        <f t="shared" si="51"/>
        <v>0</v>
      </c>
      <c r="K281" s="914"/>
      <c r="L281" s="914">
        <f t="shared" si="52"/>
        <v>0</v>
      </c>
      <c r="M281" s="919"/>
      <c r="N281" s="914">
        <f t="shared" si="53"/>
        <v>0</v>
      </c>
      <c r="O281" s="919"/>
      <c r="P281" s="914">
        <f t="shared" si="45"/>
        <v>0</v>
      </c>
      <c r="Q281" s="919"/>
      <c r="R281" s="914">
        <f t="shared" si="46"/>
        <v>0</v>
      </c>
      <c r="S281" s="919"/>
      <c r="T281" s="914">
        <f t="shared" si="47"/>
        <v>0</v>
      </c>
      <c r="U281" s="915">
        <f t="shared" si="49"/>
        <v>0</v>
      </c>
      <c r="V281" s="914">
        <f t="shared" si="48"/>
        <v>0</v>
      </c>
    </row>
    <row r="282" spans="1:22" ht="231.75" hidden="1" customHeight="1">
      <c r="A282" s="905">
        <v>18</v>
      </c>
      <c r="B282" s="906" t="s">
        <v>6622</v>
      </c>
      <c r="C282" s="921"/>
      <c r="D282" s="908" t="s">
        <v>1834</v>
      </c>
      <c r="E282" s="919"/>
      <c r="F282" s="1053">
        <f t="shared" si="44"/>
        <v>0</v>
      </c>
      <c r="G282" s="919"/>
      <c r="H282" s="914">
        <f t="shared" si="50"/>
        <v>0</v>
      </c>
      <c r="I282" s="919"/>
      <c r="J282" s="914">
        <f t="shared" si="51"/>
        <v>0</v>
      </c>
      <c r="K282" s="914"/>
      <c r="L282" s="914">
        <f t="shared" si="52"/>
        <v>0</v>
      </c>
      <c r="M282" s="919"/>
      <c r="N282" s="914">
        <f t="shared" si="53"/>
        <v>0</v>
      </c>
      <c r="O282" s="919"/>
      <c r="P282" s="914">
        <f t="shared" si="45"/>
        <v>0</v>
      </c>
      <c r="Q282" s="919"/>
      <c r="R282" s="914">
        <f t="shared" si="46"/>
        <v>0</v>
      </c>
      <c r="S282" s="919"/>
      <c r="T282" s="914">
        <f t="shared" si="47"/>
        <v>0</v>
      </c>
      <c r="U282" s="915">
        <f t="shared" si="49"/>
        <v>0</v>
      </c>
      <c r="V282" s="914">
        <f t="shared" si="48"/>
        <v>0</v>
      </c>
    </row>
    <row r="283" spans="1:22" ht="231.75" hidden="1" customHeight="1">
      <c r="A283" s="905">
        <v>19</v>
      </c>
      <c r="B283" s="906" t="s">
        <v>6623</v>
      </c>
      <c r="C283" s="921"/>
      <c r="D283" s="908" t="s">
        <v>1834</v>
      </c>
      <c r="E283" s="919"/>
      <c r="F283" s="1053">
        <f t="shared" si="44"/>
        <v>0</v>
      </c>
      <c r="G283" s="919"/>
      <c r="H283" s="914">
        <f t="shared" si="50"/>
        <v>0</v>
      </c>
      <c r="I283" s="919"/>
      <c r="J283" s="914">
        <f t="shared" si="51"/>
        <v>0</v>
      </c>
      <c r="K283" s="914"/>
      <c r="L283" s="914">
        <f t="shared" si="52"/>
        <v>0</v>
      </c>
      <c r="M283" s="919"/>
      <c r="N283" s="914">
        <f t="shared" si="53"/>
        <v>0</v>
      </c>
      <c r="O283" s="919"/>
      <c r="P283" s="914">
        <f t="shared" si="45"/>
        <v>0</v>
      </c>
      <c r="Q283" s="919"/>
      <c r="R283" s="914">
        <f t="shared" si="46"/>
        <v>0</v>
      </c>
      <c r="S283" s="919"/>
      <c r="T283" s="914">
        <f t="shared" si="47"/>
        <v>0</v>
      </c>
      <c r="U283" s="915">
        <f t="shared" si="49"/>
        <v>0</v>
      </c>
      <c r="V283" s="914">
        <f t="shared" si="48"/>
        <v>0</v>
      </c>
    </row>
    <row r="284" spans="1:22" ht="231.75" hidden="1" customHeight="1">
      <c r="A284" s="905">
        <v>20</v>
      </c>
      <c r="B284" s="906" t="s">
        <v>1577</v>
      </c>
      <c r="C284" s="921"/>
      <c r="D284" s="908" t="s">
        <v>1834</v>
      </c>
      <c r="E284" s="919"/>
      <c r="F284" s="1053">
        <f t="shared" si="44"/>
        <v>0</v>
      </c>
      <c r="G284" s="919"/>
      <c r="H284" s="914">
        <f t="shared" si="50"/>
        <v>0</v>
      </c>
      <c r="I284" s="919"/>
      <c r="J284" s="914">
        <f t="shared" si="51"/>
        <v>0</v>
      </c>
      <c r="K284" s="914"/>
      <c r="L284" s="914">
        <f t="shared" si="52"/>
        <v>0</v>
      </c>
      <c r="M284" s="919"/>
      <c r="N284" s="914">
        <f t="shared" si="53"/>
        <v>0</v>
      </c>
      <c r="O284" s="919"/>
      <c r="P284" s="914">
        <f t="shared" si="45"/>
        <v>0</v>
      </c>
      <c r="Q284" s="919"/>
      <c r="R284" s="914">
        <f t="shared" si="46"/>
        <v>0</v>
      </c>
      <c r="S284" s="919"/>
      <c r="T284" s="914">
        <f t="shared" si="47"/>
        <v>0</v>
      </c>
      <c r="U284" s="915">
        <f t="shared" si="49"/>
        <v>0</v>
      </c>
      <c r="V284" s="914">
        <f t="shared" si="48"/>
        <v>0</v>
      </c>
    </row>
    <row r="285" spans="1:22" ht="231.75" hidden="1" customHeight="1">
      <c r="A285" s="905">
        <v>21.1</v>
      </c>
      <c r="B285" s="924" t="s">
        <v>1818</v>
      </c>
      <c r="C285" s="921"/>
      <c r="D285" s="908"/>
      <c r="E285" s="919"/>
      <c r="F285" s="1053">
        <f t="shared" si="44"/>
        <v>0</v>
      </c>
      <c r="G285" s="919"/>
      <c r="H285" s="914">
        <f t="shared" si="50"/>
        <v>0</v>
      </c>
      <c r="I285" s="919"/>
      <c r="J285" s="914">
        <f t="shared" si="51"/>
        <v>0</v>
      </c>
      <c r="K285" s="914"/>
      <c r="L285" s="914">
        <f t="shared" si="52"/>
        <v>0</v>
      </c>
      <c r="M285" s="919"/>
      <c r="N285" s="914">
        <f t="shared" si="53"/>
        <v>0</v>
      </c>
      <c r="O285" s="919"/>
      <c r="P285" s="914">
        <f t="shared" si="45"/>
        <v>0</v>
      </c>
      <c r="Q285" s="919"/>
      <c r="R285" s="914">
        <f t="shared" si="46"/>
        <v>0</v>
      </c>
      <c r="S285" s="919"/>
      <c r="T285" s="914">
        <f t="shared" si="47"/>
        <v>0</v>
      </c>
      <c r="U285" s="915">
        <f t="shared" si="49"/>
        <v>0</v>
      </c>
      <c r="V285" s="914">
        <f t="shared" si="48"/>
        <v>0</v>
      </c>
    </row>
    <row r="286" spans="1:22" ht="231.75" hidden="1" customHeight="1">
      <c r="A286" s="905"/>
      <c r="B286" s="906" t="s">
        <v>570</v>
      </c>
      <c r="C286" s="921">
        <f>ROUND(DATA!K889,2)</f>
        <v>2780.7</v>
      </c>
      <c r="D286" s="908" t="s">
        <v>1393</v>
      </c>
      <c r="E286" s="919"/>
      <c r="F286" s="1053">
        <f t="shared" si="44"/>
        <v>0</v>
      </c>
      <c r="G286" s="919"/>
      <c r="H286" s="914">
        <f t="shared" si="50"/>
        <v>0</v>
      </c>
      <c r="I286" s="919"/>
      <c r="J286" s="914">
        <f t="shared" si="51"/>
        <v>0</v>
      </c>
      <c r="K286" s="914"/>
      <c r="L286" s="914">
        <f t="shared" si="52"/>
        <v>0</v>
      </c>
      <c r="M286" s="919"/>
      <c r="N286" s="914">
        <f t="shared" si="53"/>
        <v>0</v>
      </c>
      <c r="O286" s="919"/>
      <c r="P286" s="914">
        <f t="shared" si="45"/>
        <v>0</v>
      </c>
      <c r="Q286" s="919"/>
      <c r="R286" s="914">
        <f t="shared" si="46"/>
        <v>0</v>
      </c>
      <c r="S286" s="919"/>
      <c r="T286" s="914">
        <f t="shared" si="47"/>
        <v>0</v>
      </c>
      <c r="U286" s="915">
        <f t="shared" si="49"/>
        <v>0</v>
      </c>
      <c r="V286" s="914">
        <f t="shared" si="48"/>
        <v>0</v>
      </c>
    </row>
    <row r="287" spans="1:22" ht="231.75" hidden="1" customHeight="1">
      <c r="A287" s="905"/>
      <c r="B287" s="906" t="s">
        <v>1894</v>
      </c>
      <c r="C287" s="921">
        <f>ROUND(DATA!K905,2)</f>
        <v>2743.04</v>
      </c>
      <c r="D287" s="908" t="s">
        <v>1393</v>
      </c>
      <c r="E287" s="919"/>
      <c r="F287" s="1053">
        <f t="shared" si="44"/>
        <v>0</v>
      </c>
      <c r="G287" s="919"/>
      <c r="H287" s="914">
        <f t="shared" si="50"/>
        <v>0</v>
      </c>
      <c r="I287" s="919"/>
      <c r="J287" s="914">
        <f t="shared" si="51"/>
        <v>0</v>
      </c>
      <c r="K287" s="914"/>
      <c r="L287" s="914">
        <f t="shared" si="52"/>
        <v>0</v>
      </c>
      <c r="M287" s="919"/>
      <c r="N287" s="914">
        <f t="shared" si="53"/>
        <v>0</v>
      </c>
      <c r="O287" s="919"/>
      <c r="P287" s="914">
        <f t="shared" si="45"/>
        <v>0</v>
      </c>
      <c r="Q287" s="919"/>
      <c r="R287" s="914">
        <f t="shared" si="46"/>
        <v>0</v>
      </c>
      <c r="S287" s="919"/>
      <c r="T287" s="914">
        <f t="shared" si="47"/>
        <v>0</v>
      </c>
      <c r="U287" s="915">
        <f t="shared" si="49"/>
        <v>0</v>
      </c>
      <c r="V287" s="914">
        <f t="shared" si="48"/>
        <v>0</v>
      </c>
    </row>
    <row r="288" spans="1:22" ht="231.75" hidden="1" customHeight="1">
      <c r="A288" s="928"/>
      <c r="B288" s="906" t="s">
        <v>1895</v>
      </c>
      <c r="C288" s="921">
        <f>ROUND(DATA!K871,2)</f>
        <v>2802.86</v>
      </c>
      <c r="D288" s="908" t="s">
        <v>1393</v>
      </c>
      <c r="E288" s="919"/>
      <c r="F288" s="1053">
        <f t="shared" si="44"/>
        <v>0</v>
      </c>
      <c r="G288" s="919"/>
      <c r="H288" s="914">
        <f t="shared" si="50"/>
        <v>0</v>
      </c>
      <c r="I288" s="919"/>
      <c r="J288" s="914">
        <f t="shared" si="51"/>
        <v>0</v>
      </c>
      <c r="K288" s="914"/>
      <c r="L288" s="914">
        <f t="shared" si="52"/>
        <v>0</v>
      </c>
      <c r="M288" s="919"/>
      <c r="N288" s="914">
        <f t="shared" si="53"/>
        <v>0</v>
      </c>
      <c r="O288" s="919"/>
      <c r="P288" s="914">
        <f t="shared" si="45"/>
        <v>0</v>
      </c>
      <c r="Q288" s="919"/>
      <c r="R288" s="914">
        <f t="shared" si="46"/>
        <v>0</v>
      </c>
      <c r="S288" s="919"/>
      <c r="T288" s="914">
        <f t="shared" si="47"/>
        <v>0</v>
      </c>
      <c r="U288" s="915">
        <f t="shared" si="49"/>
        <v>0</v>
      </c>
      <c r="V288" s="914">
        <f t="shared" si="48"/>
        <v>0</v>
      </c>
    </row>
    <row r="289" spans="1:22" ht="231.75" hidden="1" customHeight="1">
      <c r="A289" s="905">
        <v>21.2</v>
      </c>
      <c r="B289" s="924" t="s">
        <v>2049</v>
      </c>
      <c r="C289" s="913"/>
      <c r="D289" s="908"/>
      <c r="E289" s="911"/>
      <c r="F289" s="1053">
        <f t="shared" si="44"/>
        <v>0</v>
      </c>
      <c r="G289" s="914"/>
      <c r="H289" s="914">
        <f t="shared" si="50"/>
        <v>0</v>
      </c>
      <c r="I289" s="914"/>
      <c r="J289" s="914">
        <f t="shared" si="51"/>
        <v>0</v>
      </c>
      <c r="K289" s="914"/>
      <c r="L289" s="914">
        <f t="shared" si="52"/>
        <v>0</v>
      </c>
      <c r="M289" s="914"/>
      <c r="N289" s="914">
        <f t="shared" si="53"/>
        <v>0</v>
      </c>
      <c r="O289" s="914"/>
      <c r="P289" s="914">
        <f t="shared" si="45"/>
        <v>0</v>
      </c>
      <c r="Q289" s="914"/>
      <c r="R289" s="914">
        <f t="shared" si="46"/>
        <v>0</v>
      </c>
      <c r="S289" s="914"/>
      <c r="T289" s="914">
        <f t="shared" si="47"/>
        <v>0</v>
      </c>
      <c r="U289" s="915">
        <f t="shared" si="49"/>
        <v>0</v>
      </c>
      <c r="V289" s="914">
        <f t="shared" si="48"/>
        <v>0</v>
      </c>
    </row>
    <row r="290" spans="1:22" ht="231.75" hidden="1" customHeight="1">
      <c r="A290" s="905"/>
      <c r="B290" s="906" t="s">
        <v>1775</v>
      </c>
      <c r="C290" s="913">
        <f>ROUND(DATA!K923,2)</f>
        <v>125290</v>
      </c>
      <c r="D290" s="908" t="s">
        <v>1192</v>
      </c>
      <c r="E290" s="915"/>
      <c r="F290" s="1053">
        <f t="shared" si="44"/>
        <v>0</v>
      </c>
      <c r="G290" s="915"/>
      <c r="H290" s="914">
        <f t="shared" si="50"/>
        <v>0</v>
      </c>
      <c r="I290" s="914"/>
      <c r="J290" s="914">
        <f t="shared" si="51"/>
        <v>0</v>
      </c>
      <c r="K290" s="914"/>
      <c r="L290" s="914">
        <f t="shared" si="52"/>
        <v>0</v>
      </c>
      <c r="M290" s="914"/>
      <c r="N290" s="914">
        <f t="shared" si="53"/>
        <v>0</v>
      </c>
      <c r="O290" s="914"/>
      <c r="P290" s="914">
        <f t="shared" si="45"/>
        <v>0</v>
      </c>
      <c r="Q290" s="914"/>
      <c r="R290" s="914">
        <f t="shared" si="46"/>
        <v>0</v>
      </c>
      <c r="S290" s="914"/>
      <c r="T290" s="914">
        <f t="shared" si="47"/>
        <v>0</v>
      </c>
      <c r="U290" s="915">
        <f t="shared" si="49"/>
        <v>0</v>
      </c>
      <c r="V290" s="914">
        <f t="shared" si="48"/>
        <v>0</v>
      </c>
    </row>
    <row r="291" spans="1:22" ht="231.75" hidden="1" customHeight="1">
      <c r="A291" s="926"/>
      <c r="B291" s="906" t="s">
        <v>1776</v>
      </c>
      <c r="C291" s="913">
        <f>ROUND(DATA!K930,2)</f>
        <v>113090</v>
      </c>
      <c r="D291" s="908" t="s">
        <v>1192</v>
      </c>
      <c r="E291" s="915"/>
      <c r="F291" s="1053">
        <f t="shared" si="44"/>
        <v>0</v>
      </c>
      <c r="G291" s="915"/>
      <c r="H291" s="914">
        <f t="shared" si="50"/>
        <v>0</v>
      </c>
      <c r="I291" s="914"/>
      <c r="J291" s="914">
        <f t="shared" si="51"/>
        <v>0</v>
      </c>
      <c r="K291" s="914"/>
      <c r="L291" s="914">
        <f t="shared" si="52"/>
        <v>0</v>
      </c>
      <c r="M291" s="914"/>
      <c r="N291" s="914">
        <f t="shared" si="53"/>
        <v>0</v>
      </c>
      <c r="O291" s="914"/>
      <c r="P291" s="914">
        <f t="shared" si="45"/>
        <v>0</v>
      </c>
      <c r="Q291" s="914"/>
      <c r="R291" s="914">
        <f t="shared" si="46"/>
        <v>0</v>
      </c>
      <c r="S291" s="914"/>
      <c r="T291" s="914">
        <f t="shared" si="47"/>
        <v>0</v>
      </c>
      <c r="U291" s="915">
        <f t="shared" si="49"/>
        <v>0</v>
      </c>
      <c r="V291" s="914">
        <f t="shared" si="48"/>
        <v>0</v>
      </c>
    </row>
    <row r="292" spans="1:22" ht="231.75" hidden="1" customHeight="1">
      <c r="A292" s="905">
        <v>21.3</v>
      </c>
      <c r="B292" s="906" t="s">
        <v>1777</v>
      </c>
      <c r="C292" s="921">
        <f>ROUND(DATA!K912,2)</f>
        <v>2135</v>
      </c>
      <c r="D292" s="908" t="s">
        <v>1834</v>
      </c>
      <c r="E292" s="919"/>
      <c r="F292" s="1053">
        <f t="shared" si="44"/>
        <v>0</v>
      </c>
      <c r="G292" s="919"/>
      <c r="H292" s="914">
        <f t="shared" si="50"/>
        <v>0</v>
      </c>
      <c r="I292" s="919"/>
      <c r="J292" s="914">
        <f t="shared" si="51"/>
        <v>0</v>
      </c>
      <c r="K292" s="914"/>
      <c r="L292" s="914">
        <f t="shared" si="52"/>
        <v>0</v>
      </c>
      <c r="M292" s="919"/>
      <c r="N292" s="914">
        <f t="shared" si="53"/>
        <v>0</v>
      </c>
      <c r="O292" s="919"/>
      <c r="P292" s="914">
        <f t="shared" si="45"/>
        <v>0</v>
      </c>
      <c r="Q292" s="919"/>
      <c r="R292" s="914">
        <f t="shared" si="46"/>
        <v>0</v>
      </c>
      <c r="S292" s="919"/>
      <c r="T292" s="914">
        <f t="shared" si="47"/>
        <v>0</v>
      </c>
      <c r="U292" s="915">
        <f t="shared" si="49"/>
        <v>0</v>
      </c>
      <c r="V292" s="914">
        <f t="shared" si="48"/>
        <v>0</v>
      </c>
    </row>
    <row r="293" spans="1:22" ht="231.75" hidden="1" customHeight="1">
      <c r="A293" s="905">
        <v>22.1</v>
      </c>
      <c r="B293" s="906" t="s">
        <v>1361</v>
      </c>
      <c r="C293" s="921"/>
      <c r="D293" s="908"/>
      <c r="E293" s="919"/>
      <c r="F293" s="1053">
        <f t="shared" si="44"/>
        <v>0</v>
      </c>
      <c r="G293" s="919"/>
      <c r="H293" s="914">
        <f t="shared" si="50"/>
        <v>0</v>
      </c>
      <c r="I293" s="919"/>
      <c r="J293" s="914">
        <f t="shared" si="51"/>
        <v>0</v>
      </c>
      <c r="K293" s="914"/>
      <c r="L293" s="914">
        <f t="shared" si="52"/>
        <v>0</v>
      </c>
      <c r="M293" s="919"/>
      <c r="N293" s="914">
        <f t="shared" si="53"/>
        <v>0</v>
      </c>
      <c r="O293" s="919"/>
      <c r="P293" s="914">
        <f t="shared" si="45"/>
        <v>0</v>
      </c>
      <c r="Q293" s="919"/>
      <c r="R293" s="914">
        <f t="shared" si="46"/>
        <v>0</v>
      </c>
      <c r="S293" s="919"/>
      <c r="T293" s="914">
        <f t="shared" si="47"/>
        <v>0</v>
      </c>
      <c r="U293" s="915">
        <f t="shared" si="49"/>
        <v>0</v>
      </c>
      <c r="V293" s="914">
        <f t="shared" si="48"/>
        <v>0</v>
      </c>
    </row>
    <row r="294" spans="1:22" ht="231.75" hidden="1" customHeight="1">
      <c r="A294" s="927"/>
      <c r="B294" s="906" t="s">
        <v>386</v>
      </c>
      <c r="C294" s="921">
        <f>ROUND(DATA!K964,2)</f>
        <v>5030.8599999999997</v>
      </c>
      <c r="D294" s="908" t="s">
        <v>1834</v>
      </c>
      <c r="E294" s="919"/>
      <c r="F294" s="1053">
        <f t="shared" si="44"/>
        <v>0</v>
      </c>
      <c r="G294" s="919"/>
      <c r="H294" s="914">
        <f t="shared" si="50"/>
        <v>0</v>
      </c>
      <c r="I294" s="919"/>
      <c r="J294" s="914">
        <f t="shared" si="51"/>
        <v>0</v>
      </c>
      <c r="K294" s="914"/>
      <c r="L294" s="914">
        <f t="shared" si="52"/>
        <v>0</v>
      </c>
      <c r="M294" s="919"/>
      <c r="N294" s="914">
        <f t="shared" si="53"/>
        <v>0</v>
      </c>
      <c r="O294" s="919"/>
      <c r="P294" s="914">
        <f t="shared" si="45"/>
        <v>0</v>
      </c>
      <c r="Q294" s="919"/>
      <c r="R294" s="914">
        <f t="shared" si="46"/>
        <v>0</v>
      </c>
      <c r="S294" s="919"/>
      <c r="T294" s="914">
        <f t="shared" si="47"/>
        <v>0</v>
      </c>
      <c r="U294" s="915">
        <f t="shared" si="49"/>
        <v>0</v>
      </c>
      <c r="V294" s="914">
        <f t="shared" si="48"/>
        <v>0</v>
      </c>
    </row>
    <row r="295" spans="1:22" ht="231.75" hidden="1" customHeight="1">
      <c r="A295" s="927"/>
      <c r="B295" s="906" t="s">
        <v>2047</v>
      </c>
      <c r="C295" s="921">
        <f>ROUND(DATA!K1000,2)</f>
        <v>5046.57</v>
      </c>
      <c r="D295" s="908" t="s">
        <v>1834</v>
      </c>
      <c r="E295" s="919"/>
      <c r="F295" s="1053">
        <f t="shared" si="44"/>
        <v>0</v>
      </c>
      <c r="G295" s="919"/>
      <c r="H295" s="914">
        <f t="shared" si="50"/>
        <v>0</v>
      </c>
      <c r="I295" s="919"/>
      <c r="J295" s="914">
        <f t="shared" si="51"/>
        <v>0</v>
      </c>
      <c r="K295" s="914"/>
      <c r="L295" s="914">
        <f t="shared" si="52"/>
        <v>0</v>
      </c>
      <c r="M295" s="919"/>
      <c r="N295" s="914">
        <f t="shared" si="53"/>
        <v>0</v>
      </c>
      <c r="O295" s="919"/>
      <c r="P295" s="914">
        <f t="shared" si="45"/>
        <v>0</v>
      </c>
      <c r="Q295" s="919"/>
      <c r="R295" s="914">
        <f t="shared" si="46"/>
        <v>0</v>
      </c>
      <c r="S295" s="919"/>
      <c r="T295" s="914">
        <f t="shared" si="47"/>
        <v>0</v>
      </c>
      <c r="U295" s="915">
        <f t="shared" si="49"/>
        <v>0</v>
      </c>
      <c r="V295" s="914">
        <f t="shared" si="48"/>
        <v>0</v>
      </c>
    </row>
    <row r="296" spans="1:22" ht="231.75" hidden="1" customHeight="1">
      <c r="A296" s="931"/>
      <c r="B296" s="906" t="s">
        <v>2048</v>
      </c>
      <c r="C296" s="921">
        <f>ROUND(DATA!K1030,2)</f>
        <v>5071.24</v>
      </c>
      <c r="D296" s="908" t="s">
        <v>1834</v>
      </c>
      <c r="E296" s="919"/>
      <c r="F296" s="1053">
        <f t="shared" si="44"/>
        <v>0</v>
      </c>
      <c r="G296" s="919"/>
      <c r="H296" s="914">
        <f t="shared" si="50"/>
        <v>0</v>
      </c>
      <c r="I296" s="919"/>
      <c r="J296" s="914">
        <f t="shared" si="51"/>
        <v>0</v>
      </c>
      <c r="K296" s="914"/>
      <c r="L296" s="914">
        <f t="shared" si="52"/>
        <v>0</v>
      </c>
      <c r="M296" s="919"/>
      <c r="N296" s="914">
        <f t="shared" si="53"/>
        <v>0</v>
      </c>
      <c r="O296" s="919"/>
      <c r="P296" s="914">
        <f t="shared" si="45"/>
        <v>0</v>
      </c>
      <c r="Q296" s="919"/>
      <c r="R296" s="914">
        <f t="shared" si="46"/>
        <v>0</v>
      </c>
      <c r="S296" s="919"/>
      <c r="T296" s="914">
        <f t="shared" si="47"/>
        <v>0</v>
      </c>
      <c r="U296" s="915">
        <f t="shared" si="49"/>
        <v>0</v>
      </c>
      <c r="V296" s="914">
        <f t="shared" si="48"/>
        <v>0</v>
      </c>
    </row>
    <row r="297" spans="1:22" ht="231.75" hidden="1" customHeight="1">
      <c r="A297" s="931"/>
      <c r="B297" s="906" t="s">
        <v>1669</v>
      </c>
      <c r="C297" s="921">
        <f>DATA!R2834</f>
        <v>6050.31</v>
      </c>
      <c r="D297" s="908" t="s">
        <v>1834</v>
      </c>
      <c r="E297" s="919"/>
      <c r="F297" s="1053">
        <f t="shared" si="44"/>
        <v>0</v>
      </c>
      <c r="G297" s="919"/>
      <c r="H297" s="914">
        <f t="shared" si="50"/>
        <v>0</v>
      </c>
      <c r="I297" s="919"/>
      <c r="J297" s="914">
        <f t="shared" si="51"/>
        <v>0</v>
      </c>
      <c r="K297" s="914"/>
      <c r="L297" s="914">
        <f t="shared" si="52"/>
        <v>0</v>
      </c>
      <c r="M297" s="919"/>
      <c r="N297" s="914">
        <f t="shared" si="53"/>
        <v>0</v>
      </c>
      <c r="O297" s="919"/>
      <c r="P297" s="914">
        <f t="shared" si="45"/>
        <v>0</v>
      </c>
      <c r="Q297" s="919"/>
      <c r="R297" s="914">
        <f t="shared" si="46"/>
        <v>0</v>
      </c>
      <c r="S297" s="919"/>
      <c r="T297" s="914">
        <f t="shared" si="47"/>
        <v>0</v>
      </c>
      <c r="U297" s="915">
        <f t="shared" si="49"/>
        <v>0</v>
      </c>
      <c r="V297" s="914">
        <f t="shared" si="48"/>
        <v>0</v>
      </c>
    </row>
    <row r="298" spans="1:22" ht="231.75" hidden="1" customHeight="1">
      <c r="A298" s="905">
        <v>22.2</v>
      </c>
      <c r="B298" s="924" t="s">
        <v>476</v>
      </c>
      <c r="C298" s="921"/>
      <c r="D298" s="908"/>
      <c r="E298" s="919"/>
      <c r="F298" s="1053">
        <f t="shared" si="44"/>
        <v>0</v>
      </c>
      <c r="G298" s="919"/>
      <c r="H298" s="914">
        <f t="shared" si="50"/>
        <v>0</v>
      </c>
      <c r="I298" s="919"/>
      <c r="J298" s="914">
        <f t="shared" si="51"/>
        <v>0</v>
      </c>
      <c r="K298" s="914"/>
      <c r="L298" s="914">
        <f t="shared" si="52"/>
        <v>0</v>
      </c>
      <c r="M298" s="919"/>
      <c r="N298" s="914">
        <f t="shared" si="53"/>
        <v>0</v>
      </c>
      <c r="O298" s="919"/>
      <c r="P298" s="914">
        <f t="shared" si="45"/>
        <v>0</v>
      </c>
      <c r="Q298" s="919"/>
      <c r="R298" s="914">
        <f t="shared" si="46"/>
        <v>0</v>
      </c>
      <c r="S298" s="919"/>
      <c r="T298" s="914">
        <f t="shared" si="47"/>
        <v>0</v>
      </c>
      <c r="U298" s="915">
        <f t="shared" si="49"/>
        <v>0</v>
      </c>
      <c r="V298" s="914">
        <f t="shared" si="48"/>
        <v>0</v>
      </c>
    </row>
    <row r="299" spans="1:22" ht="231.75" hidden="1" customHeight="1">
      <c r="A299" s="927"/>
      <c r="B299" s="906" t="s">
        <v>1362</v>
      </c>
      <c r="C299" s="921">
        <f>ROUND(DATA!K1081,2)</f>
        <v>3597.23</v>
      </c>
      <c r="D299" s="908" t="s">
        <v>1834</v>
      </c>
      <c r="E299" s="919"/>
      <c r="F299" s="1053">
        <f t="shared" si="44"/>
        <v>0</v>
      </c>
      <c r="G299" s="919"/>
      <c r="H299" s="914">
        <f t="shared" si="50"/>
        <v>0</v>
      </c>
      <c r="I299" s="919"/>
      <c r="J299" s="914">
        <f t="shared" si="51"/>
        <v>0</v>
      </c>
      <c r="K299" s="914"/>
      <c r="L299" s="914">
        <f t="shared" si="52"/>
        <v>0</v>
      </c>
      <c r="M299" s="919"/>
      <c r="N299" s="914">
        <f t="shared" si="53"/>
        <v>0</v>
      </c>
      <c r="O299" s="919"/>
      <c r="P299" s="914">
        <f t="shared" si="45"/>
        <v>0</v>
      </c>
      <c r="Q299" s="919"/>
      <c r="R299" s="914">
        <f t="shared" si="46"/>
        <v>0</v>
      </c>
      <c r="S299" s="919"/>
      <c r="T299" s="914">
        <f t="shared" si="47"/>
        <v>0</v>
      </c>
      <c r="U299" s="915">
        <f t="shared" si="49"/>
        <v>0</v>
      </c>
      <c r="V299" s="914">
        <f t="shared" si="48"/>
        <v>0</v>
      </c>
    </row>
    <row r="300" spans="1:22" ht="231.75" hidden="1" customHeight="1">
      <c r="A300" s="927"/>
      <c r="B300" s="906" t="s">
        <v>267</v>
      </c>
      <c r="C300" s="921"/>
      <c r="D300" s="908" t="s">
        <v>1834</v>
      </c>
      <c r="E300" s="919"/>
      <c r="F300" s="1053">
        <f t="shared" si="44"/>
        <v>0</v>
      </c>
      <c r="G300" s="919"/>
      <c r="H300" s="914">
        <f t="shared" si="50"/>
        <v>0</v>
      </c>
      <c r="I300" s="919"/>
      <c r="J300" s="914">
        <f t="shared" si="51"/>
        <v>0</v>
      </c>
      <c r="K300" s="914"/>
      <c r="L300" s="914">
        <f t="shared" si="52"/>
        <v>0</v>
      </c>
      <c r="M300" s="919"/>
      <c r="N300" s="914">
        <f t="shared" si="53"/>
        <v>0</v>
      </c>
      <c r="O300" s="919"/>
      <c r="P300" s="914">
        <f t="shared" si="45"/>
        <v>0</v>
      </c>
      <c r="Q300" s="919"/>
      <c r="R300" s="914">
        <f t="shared" si="46"/>
        <v>0</v>
      </c>
      <c r="S300" s="919"/>
      <c r="T300" s="914">
        <f t="shared" si="47"/>
        <v>0</v>
      </c>
      <c r="U300" s="915">
        <f t="shared" si="49"/>
        <v>0</v>
      </c>
      <c r="V300" s="914">
        <f t="shared" si="48"/>
        <v>0</v>
      </c>
    </row>
    <row r="301" spans="1:22" ht="231.75" hidden="1" customHeight="1">
      <c r="A301" s="927"/>
      <c r="B301" s="906" t="s">
        <v>268</v>
      </c>
      <c r="C301" s="921">
        <f>ROUND(DATA!K1097,2)</f>
        <v>3796.08</v>
      </c>
      <c r="D301" s="908" t="s">
        <v>1834</v>
      </c>
      <c r="E301" s="919"/>
      <c r="F301" s="1053">
        <f t="shared" si="44"/>
        <v>0</v>
      </c>
      <c r="G301" s="919"/>
      <c r="H301" s="914">
        <f t="shared" si="50"/>
        <v>0</v>
      </c>
      <c r="I301" s="919"/>
      <c r="J301" s="914">
        <f t="shared" si="51"/>
        <v>0</v>
      </c>
      <c r="K301" s="914"/>
      <c r="L301" s="914">
        <f t="shared" si="52"/>
        <v>0</v>
      </c>
      <c r="M301" s="919"/>
      <c r="N301" s="914">
        <f t="shared" si="53"/>
        <v>0</v>
      </c>
      <c r="O301" s="919"/>
      <c r="P301" s="914">
        <f t="shared" si="45"/>
        <v>0</v>
      </c>
      <c r="Q301" s="919"/>
      <c r="R301" s="914">
        <f t="shared" si="46"/>
        <v>0</v>
      </c>
      <c r="S301" s="919"/>
      <c r="T301" s="914">
        <f t="shared" si="47"/>
        <v>0</v>
      </c>
      <c r="U301" s="915">
        <f t="shared" si="49"/>
        <v>0</v>
      </c>
      <c r="V301" s="914">
        <f t="shared" si="48"/>
        <v>0</v>
      </c>
    </row>
    <row r="302" spans="1:22" ht="231.75" hidden="1" customHeight="1">
      <c r="A302" s="931"/>
      <c r="B302" s="906" t="s">
        <v>269</v>
      </c>
      <c r="C302" s="921">
        <f>ROUND(DATA!K1112,2)</f>
        <v>2804.85</v>
      </c>
      <c r="D302" s="908" t="s">
        <v>1834</v>
      </c>
      <c r="E302" s="919"/>
      <c r="F302" s="1053">
        <f t="shared" si="44"/>
        <v>0</v>
      </c>
      <c r="G302" s="919"/>
      <c r="H302" s="914">
        <f t="shared" si="50"/>
        <v>0</v>
      </c>
      <c r="I302" s="919"/>
      <c r="J302" s="914">
        <f t="shared" si="51"/>
        <v>0</v>
      </c>
      <c r="K302" s="914"/>
      <c r="L302" s="914">
        <f t="shared" si="52"/>
        <v>0</v>
      </c>
      <c r="M302" s="919"/>
      <c r="N302" s="914">
        <f t="shared" si="53"/>
        <v>0</v>
      </c>
      <c r="O302" s="919"/>
      <c r="P302" s="914">
        <f t="shared" si="45"/>
        <v>0</v>
      </c>
      <c r="Q302" s="919"/>
      <c r="R302" s="914">
        <f t="shared" si="46"/>
        <v>0</v>
      </c>
      <c r="S302" s="919"/>
      <c r="T302" s="914">
        <f t="shared" si="47"/>
        <v>0</v>
      </c>
      <c r="U302" s="915">
        <f t="shared" si="49"/>
        <v>0</v>
      </c>
      <c r="V302" s="914">
        <f t="shared" si="48"/>
        <v>0</v>
      </c>
    </row>
    <row r="303" spans="1:22" ht="231.75" hidden="1" customHeight="1">
      <c r="A303" s="905">
        <v>22.3</v>
      </c>
      <c r="B303" s="906" t="s">
        <v>1965</v>
      </c>
      <c r="C303" s="921"/>
      <c r="D303" s="908" t="s">
        <v>1834</v>
      </c>
      <c r="E303" s="919"/>
      <c r="F303" s="1053">
        <f t="shared" si="44"/>
        <v>0</v>
      </c>
      <c r="G303" s="919"/>
      <c r="H303" s="914">
        <f t="shared" si="50"/>
        <v>0</v>
      </c>
      <c r="I303" s="919"/>
      <c r="J303" s="914">
        <f t="shared" si="51"/>
        <v>0</v>
      </c>
      <c r="K303" s="914"/>
      <c r="L303" s="914">
        <f t="shared" si="52"/>
        <v>0</v>
      </c>
      <c r="M303" s="919"/>
      <c r="N303" s="914">
        <f t="shared" si="53"/>
        <v>0</v>
      </c>
      <c r="O303" s="919"/>
      <c r="P303" s="914">
        <f t="shared" si="45"/>
        <v>0</v>
      </c>
      <c r="Q303" s="919"/>
      <c r="R303" s="914">
        <f t="shared" si="46"/>
        <v>0</v>
      </c>
      <c r="S303" s="919"/>
      <c r="T303" s="914">
        <f t="shared" si="47"/>
        <v>0</v>
      </c>
      <c r="U303" s="915">
        <f t="shared" si="49"/>
        <v>0</v>
      </c>
      <c r="V303" s="914">
        <f t="shared" si="48"/>
        <v>0</v>
      </c>
    </row>
    <row r="304" spans="1:22" ht="231.75" hidden="1" customHeight="1">
      <c r="A304" s="905">
        <v>23.1</v>
      </c>
      <c r="B304" s="906" t="s">
        <v>1</v>
      </c>
      <c r="C304" s="921"/>
      <c r="D304" s="908" t="s">
        <v>1834</v>
      </c>
      <c r="E304" s="919"/>
      <c r="F304" s="1053">
        <f t="shared" si="44"/>
        <v>0</v>
      </c>
      <c r="G304" s="919"/>
      <c r="H304" s="914">
        <f t="shared" si="50"/>
        <v>0</v>
      </c>
      <c r="I304" s="919"/>
      <c r="J304" s="914">
        <f t="shared" si="51"/>
        <v>0</v>
      </c>
      <c r="K304" s="914"/>
      <c r="L304" s="914">
        <f t="shared" si="52"/>
        <v>0</v>
      </c>
      <c r="M304" s="919"/>
      <c r="N304" s="914">
        <f t="shared" si="53"/>
        <v>0</v>
      </c>
      <c r="O304" s="919"/>
      <c r="P304" s="914">
        <f t="shared" si="45"/>
        <v>0</v>
      </c>
      <c r="Q304" s="919"/>
      <c r="R304" s="914">
        <f t="shared" si="46"/>
        <v>0</v>
      </c>
      <c r="S304" s="919"/>
      <c r="T304" s="914">
        <f t="shared" si="47"/>
        <v>0</v>
      </c>
      <c r="U304" s="915">
        <f t="shared" si="49"/>
        <v>0</v>
      </c>
      <c r="V304" s="914">
        <f t="shared" si="48"/>
        <v>0</v>
      </c>
    </row>
    <row r="305" spans="1:22" ht="231.75" hidden="1" customHeight="1">
      <c r="A305" s="931"/>
      <c r="B305" s="906" t="s">
        <v>570</v>
      </c>
      <c r="C305" s="921">
        <f>ROUND(DATA!K1066,2)</f>
        <v>3632.18</v>
      </c>
      <c r="D305" s="908" t="s">
        <v>1834</v>
      </c>
      <c r="E305" s="919"/>
      <c r="F305" s="1053">
        <f t="shared" si="44"/>
        <v>0</v>
      </c>
      <c r="G305" s="919"/>
      <c r="H305" s="914">
        <f t="shared" si="50"/>
        <v>0</v>
      </c>
      <c r="I305" s="919"/>
      <c r="J305" s="914">
        <f t="shared" si="51"/>
        <v>0</v>
      </c>
      <c r="K305" s="914"/>
      <c r="L305" s="914">
        <f t="shared" si="52"/>
        <v>0</v>
      </c>
      <c r="M305" s="919"/>
      <c r="N305" s="914">
        <f t="shared" si="53"/>
        <v>0</v>
      </c>
      <c r="O305" s="919"/>
      <c r="P305" s="914">
        <f t="shared" si="45"/>
        <v>0</v>
      </c>
      <c r="Q305" s="919"/>
      <c r="R305" s="914">
        <f t="shared" si="46"/>
        <v>0</v>
      </c>
      <c r="S305" s="919"/>
      <c r="T305" s="914">
        <f t="shared" si="47"/>
        <v>0</v>
      </c>
      <c r="U305" s="915">
        <f t="shared" si="49"/>
        <v>0</v>
      </c>
      <c r="V305" s="914">
        <f t="shared" si="48"/>
        <v>0</v>
      </c>
    </row>
    <row r="306" spans="1:22" ht="231.75" hidden="1" customHeight="1">
      <c r="A306" s="905">
        <v>23.2</v>
      </c>
      <c r="B306" s="906" t="s">
        <v>1702</v>
      </c>
      <c r="C306" s="921">
        <f>ROUND(DATA!K1185,2)</f>
        <v>835.7</v>
      </c>
      <c r="D306" s="908" t="s">
        <v>1834</v>
      </c>
      <c r="E306" s="919"/>
      <c r="F306" s="1053">
        <f t="shared" si="44"/>
        <v>0</v>
      </c>
      <c r="G306" s="919"/>
      <c r="H306" s="914">
        <f t="shared" si="50"/>
        <v>0</v>
      </c>
      <c r="I306" s="919"/>
      <c r="J306" s="914">
        <f t="shared" si="51"/>
        <v>0</v>
      </c>
      <c r="K306" s="914"/>
      <c r="L306" s="914">
        <f t="shared" si="52"/>
        <v>0</v>
      </c>
      <c r="M306" s="919"/>
      <c r="N306" s="914">
        <f t="shared" si="53"/>
        <v>0</v>
      </c>
      <c r="O306" s="919"/>
      <c r="P306" s="914">
        <f t="shared" si="45"/>
        <v>0</v>
      </c>
      <c r="Q306" s="919"/>
      <c r="R306" s="914">
        <f t="shared" si="46"/>
        <v>0</v>
      </c>
      <c r="S306" s="919"/>
      <c r="T306" s="914">
        <f t="shared" si="47"/>
        <v>0</v>
      </c>
      <c r="U306" s="915">
        <f t="shared" si="49"/>
        <v>0</v>
      </c>
      <c r="V306" s="914">
        <f t="shared" si="48"/>
        <v>0</v>
      </c>
    </row>
    <row r="307" spans="1:22" s="923" customFormat="1" ht="231.75" hidden="1" customHeight="1">
      <c r="A307" s="905">
        <v>23.3</v>
      </c>
      <c r="B307" s="906" t="s">
        <v>569</v>
      </c>
      <c r="C307" s="913">
        <f>DATA!K1170</f>
        <v>52</v>
      </c>
      <c r="D307" s="908" t="s">
        <v>1393</v>
      </c>
      <c r="E307" s="914"/>
      <c r="F307" s="1053">
        <f t="shared" si="44"/>
        <v>0</v>
      </c>
      <c r="G307" s="914"/>
      <c r="H307" s="914">
        <f t="shared" si="50"/>
        <v>0</v>
      </c>
      <c r="I307" s="914"/>
      <c r="J307" s="914">
        <f t="shared" si="51"/>
        <v>0</v>
      </c>
      <c r="K307" s="914"/>
      <c r="L307" s="914">
        <f t="shared" si="52"/>
        <v>0</v>
      </c>
      <c r="M307" s="914"/>
      <c r="N307" s="914">
        <f t="shared" si="53"/>
        <v>0</v>
      </c>
      <c r="O307" s="914"/>
      <c r="P307" s="914">
        <f t="shared" si="45"/>
        <v>0</v>
      </c>
      <c r="Q307" s="914"/>
      <c r="R307" s="914">
        <f t="shared" si="46"/>
        <v>0</v>
      </c>
      <c r="S307" s="914"/>
      <c r="T307" s="914">
        <f t="shared" si="47"/>
        <v>0</v>
      </c>
      <c r="U307" s="915">
        <f t="shared" si="49"/>
        <v>0</v>
      </c>
      <c r="V307" s="914">
        <f t="shared" si="48"/>
        <v>0</v>
      </c>
    </row>
    <row r="308" spans="1:22" ht="231.75" hidden="1" customHeight="1">
      <c r="A308" s="905">
        <v>23.4</v>
      </c>
      <c r="B308" s="906" t="s">
        <v>1692</v>
      </c>
      <c r="C308" s="921"/>
      <c r="D308" s="908"/>
      <c r="E308" s="919"/>
      <c r="F308" s="1053">
        <f t="shared" si="44"/>
        <v>0</v>
      </c>
      <c r="G308" s="919"/>
      <c r="H308" s="914">
        <f t="shared" si="50"/>
        <v>0</v>
      </c>
      <c r="I308" s="919"/>
      <c r="J308" s="914">
        <f t="shared" si="51"/>
        <v>0</v>
      </c>
      <c r="K308" s="914"/>
      <c r="L308" s="914">
        <f t="shared" si="52"/>
        <v>0</v>
      </c>
      <c r="M308" s="919"/>
      <c r="N308" s="914">
        <f t="shared" si="53"/>
        <v>0</v>
      </c>
      <c r="O308" s="919"/>
      <c r="P308" s="914">
        <f t="shared" si="45"/>
        <v>0</v>
      </c>
      <c r="Q308" s="919"/>
      <c r="R308" s="914">
        <f t="shared" si="46"/>
        <v>0</v>
      </c>
      <c r="S308" s="919"/>
      <c r="T308" s="914">
        <f t="shared" si="47"/>
        <v>0</v>
      </c>
      <c r="U308" s="915">
        <f t="shared" si="49"/>
        <v>0</v>
      </c>
      <c r="V308" s="914">
        <f t="shared" si="48"/>
        <v>0</v>
      </c>
    </row>
    <row r="309" spans="1:22" ht="231.75" hidden="1" customHeight="1">
      <c r="A309" s="927"/>
      <c r="B309" s="906" t="s">
        <v>416</v>
      </c>
      <c r="C309" s="921">
        <f>DATA!X1399</f>
        <v>16131.07</v>
      </c>
      <c r="D309" s="908" t="s">
        <v>1393</v>
      </c>
      <c r="E309" s="919"/>
      <c r="F309" s="1053">
        <f t="shared" si="44"/>
        <v>0</v>
      </c>
      <c r="G309" s="919"/>
      <c r="H309" s="914">
        <f t="shared" si="50"/>
        <v>0</v>
      </c>
      <c r="I309" s="919"/>
      <c r="J309" s="914">
        <f t="shared" si="51"/>
        <v>0</v>
      </c>
      <c r="K309" s="914"/>
      <c r="L309" s="914">
        <f t="shared" si="52"/>
        <v>0</v>
      </c>
      <c r="M309" s="919"/>
      <c r="N309" s="914">
        <f t="shared" si="53"/>
        <v>0</v>
      </c>
      <c r="O309" s="919"/>
      <c r="P309" s="914">
        <f t="shared" si="45"/>
        <v>0</v>
      </c>
      <c r="Q309" s="919"/>
      <c r="R309" s="914">
        <f t="shared" si="46"/>
        <v>0</v>
      </c>
      <c r="S309" s="919"/>
      <c r="T309" s="914">
        <f t="shared" si="47"/>
        <v>0</v>
      </c>
      <c r="U309" s="915">
        <f t="shared" si="49"/>
        <v>0</v>
      </c>
      <c r="V309" s="914">
        <f t="shared" si="48"/>
        <v>0</v>
      </c>
    </row>
    <row r="310" spans="1:22" ht="231.75" hidden="1" customHeight="1">
      <c r="A310" s="927"/>
      <c r="B310" s="906" t="s">
        <v>417</v>
      </c>
      <c r="C310" s="921">
        <f>DATA!R1404</f>
        <v>12157.16</v>
      </c>
      <c r="D310" s="908" t="s">
        <v>1393</v>
      </c>
      <c r="E310" s="919"/>
      <c r="F310" s="1053">
        <f t="shared" si="44"/>
        <v>0</v>
      </c>
      <c r="G310" s="919"/>
      <c r="H310" s="914">
        <f t="shared" si="50"/>
        <v>0</v>
      </c>
      <c r="I310" s="919"/>
      <c r="J310" s="914">
        <f t="shared" si="51"/>
        <v>0</v>
      </c>
      <c r="K310" s="914"/>
      <c r="L310" s="914">
        <f t="shared" si="52"/>
        <v>0</v>
      </c>
      <c r="M310" s="919"/>
      <c r="N310" s="914">
        <f t="shared" si="53"/>
        <v>0</v>
      </c>
      <c r="O310" s="919"/>
      <c r="P310" s="914">
        <f t="shared" si="45"/>
        <v>0</v>
      </c>
      <c r="Q310" s="919"/>
      <c r="R310" s="914">
        <f t="shared" si="46"/>
        <v>0</v>
      </c>
      <c r="S310" s="919"/>
      <c r="T310" s="914">
        <f t="shared" si="47"/>
        <v>0</v>
      </c>
      <c r="U310" s="915">
        <f t="shared" si="49"/>
        <v>0</v>
      </c>
      <c r="V310" s="914">
        <f t="shared" si="48"/>
        <v>0</v>
      </c>
    </row>
    <row r="311" spans="1:22" ht="231.75" hidden="1" customHeight="1">
      <c r="A311" s="927"/>
      <c r="B311" s="906" t="s">
        <v>178</v>
      </c>
      <c r="C311" s="921">
        <f>DATA!X1365</f>
        <v>10349.34</v>
      </c>
      <c r="D311" s="908" t="s">
        <v>1393</v>
      </c>
      <c r="E311" s="919"/>
      <c r="F311" s="1053">
        <f t="shared" si="44"/>
        <v>0</v>
      </c>
      <c r="G311" s="919"/>
      <c r="H311" s="914">
        <f t="shared" si="50"/>
        <v>0</v>
      </c>
      <c r="I311" s="919"/>
      <c r="J311" s="914">
        <f t="shared" si="51"/>
        <v>0</v>
      </c>
      <c r="K311" s="914"/>
      <c r="L311" s="914">
        <f t="shared" si="52"/>
        <v>0</v>
      </c>
      <c r="M311" s="919"/>
      <c r="N311" s="914">
        <f t="shared" si="53"/>
        <v>0</v>
      </c>
      <c r="O311" s="919"/>
      <c r="P311" s="914">
        <f t="shared" si="45"/>
        <v>0</v>
      </c>
      <c r="Q311" s="919"/>
      <c r="R311" s="914">
        <f t="shared" si="46"/>
        <v>0</v>
      </c>
      <c r="S311" s="919"/>
      <c r="T311" s="914">
        <f t="shared" si="47"/>
        <v>0</v>
      </c>
      <c r="U311" s="915">
        <f t="shared" si="49"/>
        <v>0</v>
      </c>
      <c r="V311" s="914">
        <f t="shared" si="48"/>
        <v>0</v>
      </c>
    </row>
    <row r="312" spans="1:22" ht="231.75" hidden="1" customHeight="1">
      <c r="A312" s="927"/>
      <c r="B312" s="906" t="s">
        <v>360</v>
      </c>
      <c r="C312" s="921">
        <f>DATA!R1421</f>
        <v>9698.5400000000009</v>
      </c>
      <c r="D312" s="908" t="s">
        <v>1393</v>
      </c>
      <c r="E312" s="919"/>
      <c r="F312" s="1053">
        <f t="shared" si="44"/>
        <v>0</v>
      </c>
      <c r="G312" s="919"/>
      <c r="H312" s="914">
        <f t="shared" si="50"/>
        <v>0</v>
      </c>
      <c r="I312" s="919"/>
      <c r="J312" s="914">
        <f t="shared" si="51"/>
        <v>0</v>
      </c>
      <c r="K312" s="914"/>
      <c r="L312" s="914">
        <f t="shared" si="52"/>
        <v>0</v>
      </c>
      <c r="M312" s="919"/>
      <c r="N312" s="914">
        <f t="shared" si="53"/>
        <v>0</v>
      </c>
      <c r="O312" s="919"/>
      <c r="P312" s="914">
        <f t="shared" si="45"/>
        <v>0</v>
      </c>
      <c r="Q312" s="919"/>
      <c r="R312" s="914">
        <f t="shared" si="46"/>
        <v>0</v>
      </c>
      <c r="S312" s="919"/>
      <c r="T312" s="914">
        <f t="shared" si="47"/>
        <v>0</v>
      </c>
      <c r="U312" s="915">
        <f t="shared" si="49"/>
        <v>0</v>
      </c>
      <c r="V312" s="914">
        <f t="shared" si="48"/>
        <v>0</v>
      </c>
    </row>
    <row r="313" spans="1:22" ht="231.75" hidden="1" customHeight="1">
      <c r="A313" s="927"/>
      <c r="B313" s="906" t="s">
        <v>2042</v>
      </c>
      <c r="C313" s="921">
        <f>DATA!X1463</f>
        <v>8046.21</v>
      </c>
      <c r="D313" s="908" t="s">
        <v>1393</v>
      </c>
      <c r="E313" s="919"/>
      <c r="F313" s="1053">
        <f t="shared" si="44"/>
        <v>0</v>
      </c>
      <c r="G313" s="919"/>
      <c r="H313" s="914">
        <f t="shared" si="50"/>
        <v>0</v>
      </c>
      <c r="I313" s="919"/>
      <c r="J313" s="914">
        <f t="shared" si="51"/>
        <v>0</v>
      </c>
      <c r="K313" s="914"/>
      <c r="L313" s="914">
        <f t="shared" si="52"/>
        <v>0</v>
      </c>
      <c r="M313" s="919"/>
      <c r="N313" s="914">
        <f t="shared" si="53"/>
        <v>0</v>
      </c>
      <c r="O313" s="919"/>
      <c r="P313" s="914">
        <f t="shared" si="45"/>
        <v>0</v>
      </c>
      <c r="Q313" s="919"/>
      <c r="R313" s="914">
        <f t="shared" si="46"/>
        <v>0</v>
      </c>
      <c r="S313" s="919"/>
      <c r="T313" s="914">
        <f t="shared" si="47"/>
        <v>0</v>
      </c>
      <c r="U313" s="915">
        <f t="shared" si="49"/>
        <v>0</v>
      </c>
      <c r="V313" s="914">
        <f t="shared" si="48"/>
        <v>0</v>
      </c>
    </row>
    <row r="314" spans="1:22" ht="231.75" hidden="1" customHeight="1">
      <c r="A314" s="927"/>
      <c r="B314" s="906" t="s">
        <v>2043</v>
      </c>
      <c r="C314" s="921">
        <f>DATA!AD1380</f>
        <v>8939.34</v>
      </c>
      <c r="D314" s="908" t="s">
        <v>1393</v>
      </c>
      <c r="E314" s="919"/>
      <c r="F314" s="1053">
        <f t="shared" si="44"/>
        <v>0</v>
      </c>
      <c r="G314" s="919"/>
      <c r="H314" s="914">
        <f t="shared" si="50"/>
        <v>0</v>
      </c>
      <c r="I314" s="919"/>
      <c r="J314" s="914">
        <f t="shared" si="51"/>
        <v>0</v>
      </c>
      <c r="K314" s="914"/>
      <c r="L314" s="914">
        <f t="shared" si="52"/>
        <v>0</v>
      </c>
      <c r="M314" s="919"/>
      <c r="N314" s="914">
        <f t="shared" si="53"/>
        <v>0</v>
      </c>
      <c r="O314" s="919"/>
      <c r="P314" s="914">
        <f t="shared" si="45"/>
        <v>0</v>
      </c>
      <c r="Q314" s="919"/>
      <c r="R314" s="914">
        <f t="shared" si="46"/>
        <v>0</v>
      </c>
      <c r="S314" s="919"/>
      <c r="T314" s="914">
        <f t="shared" si="47"/>
        <v>0</v>
      </c>
      <c r="U314" s="915">
        <f t="shared" si="49"/>
        <v>0</v>
      </c>
      <c r="V314" s="914">
        <f t="shared" si="48"/>
        <v>0</v>
      </c>
    </row>
    <row r="315" spans="1:22" ht="231.75" hidden="1" customHeight="1">
      <c r="A315" s="927"/>
      <c r="B315" s="906" t="s">
        <v>1322</v>
      </c>
      <c r="C315" s="921">
        <f>DATA!X1382</f>
        <v>8175.11</v>
      </c>
      <c r="D315" s="908" t="s">
        <v>1393</v>
      </c>
      <c r="E315" s="919"/>
      <c r="F315" s="1053">
        <f t="shared" si="44"/>
        <v>0</v>
      </c>
      <c r="G315" s="919"/>
      <c r="H315" s="914">
        <f t="shared" si="50"/>
        <v>0</v>
      </c>
      <c r="I315" s="919"/>
      <c r="J315" s="914">
        <f t="shared" si="51"/>
        <v>0</v>
      </c>
      <c r="K315" s="914"/>
      <c r="L315" s="914">
        <f t="shared" si="52"/>
        <v>0</v>
      </c>
      <c r="M315" s="919"/>
      <c r="N315" s="914">
        <f t="shared" si="53"/>
        <v>0</v>
      </c>
      <c r="O315" s="919"/>
      <c r="P315" s="914">
        <f t="shared" si="45"/>
        <v>0</v>
      </c>
      <c r="Q315" s="919"/>
      <c r="R315" s="914">
        <f t="shared" si="46"/>
        <v>0</v>
      </c>
      <c r="S315" s="919"/>
      <c r="T315" s="914">
        <f t="shared" si="47"/>
        <v>0</v>
      </c>
      <c r="U315" s="915">
        <f t="shared" si="49"/>
        <v>0</v>
      </c>
      <c r="V315" s="914">
        <f t="shared" si="48"/>
        <v>0</v>
      </c>
    </row>
    <row r="316" spans="1:22" ht="231.75" hidden="1" customHeight="1">
      <c r="A316" s="927"/>
      <c r="B316" s="906" t="s">
        <v>1323</v>
      </c>
      <c r="C316" s="921">
        <f>DATA!AD1363</f>
        <v>6960.5</v>
      </c>
      <c r="D316" s="908" t="s">
        <v>1393</v>
      </c>
      <c r="E316" s="919"/>
      <c r="F316" s="1053">
        <f t="shared" si="44"/>
        <v>0</v>
      </c>
      <c r="G316" s="919"/>
      <c r="H316" s="914">
        <f t="shared" si="50"/>
        <v>0</v>
      </c>
      <c r="I316" s="919"/>
      <c r="J316" s="914">
        <f t="shared" si="51"/>
        <v>0</v>
      </c>
      <c r="K316" s="914"/>
      <c r="L316" s="914">
        <f t="shared" si="52"/>
        <v>0</v>
      </c>
      <c r="M316" s="919"/>
      <c r="N316" s="914">
        <f t="shared" si="53"/>
        <v>0</v>
      </c>
      <c r="O316" s="919"/>
      <c r="P316" s="914">
        <f t="shared" si="45"/>
        <v>0</v>
      </c>
      <c r="Q316" s="919"/>
      <c r="R316" s="914">
        <f t="shared" si="46"/>
        <v>0</v>
      </c>
      <c r="S316" s="919"/>
      <c r="T316" s="914">
        <f t="shared" si="47"/>
        <v>0</v>
      </c>
      <c r="U316" s="915">
        <f t="shared" si="49"/>
        <v>0</v>
      </c>
      <c r="V316" s="914">
        <f t="shared" si="48"/>
        <v>0</v>
      </c>
    </row>
    <row r="317" spans="1:22" ht="231.75" hidden="1" customHeight="1">
      <c r="A317" s="927"/>
      <c r="B317" s="906" t="s">
        <v>165</v>
      </c>
      <c r="C317" s="921">
        <f>DATA!AD1397</f>
        <v>4449.66</v>
      </c>
      <c r="D317" s="908" t="s">
        <v>1393</v>
      </c>
      <c r="E317" s="919"/>
      <c r="F317" s="1053">
        <f t="shared" si="44"/>
        <v>0</v>
      </c>
      <c r="G317" s="919"/>
      <c r="H317" s="914">
        <f t="shared" si="50"/>
        <v>0</v>
      </c>
      <c r="I317" s="919"/>
      <c r="J317" s="914">
        <f t="shared" si="51"/>
        <v>0</v>
      </c>
      <c r="K317" s="914"/>
      <c r="L317" s="914">
        <f t="shared" si="52"/>
        <v>0</v>
      </c>
      <c r="M317" s="919"/>
      <c r="N317" s="914">
        <f t="shared" si="53"/>
        <v>0</v>
      </c>
      <c r="O317" s="919"/>
      <c r="P317" s="914">
        <f t="shared" si="45"/>
        <v>0</v>
      </c>
      <c r="Q317" s="919"/>
      <c r="R317" s="914">
        <f t="shared" si="46"/>
        <v>0</v>
      </c>
      <c r="S317" s="919"/>
      <c r="T317" s="914">
        <f t="shared" si="47"/>
        <v>0</v>
      </c>
      <c r="U317" s="915">
        <f t="shared" si="49"/>
        <v>0</v>
      </c>
      <c r="V317" s="914">
        <f t="shared" si="48"/>
        <v>0</v>
      </c>
    </row>
    <row r="318" spans="1:22" ht="231.75" hidden="1" customHeight="1">
      <c r="A318" s="927"/>
      <c r="B318" s="906" t="s">
        <v>166</v>
      </c>
      <c r="C318" s="921">
        <f>DATA!R1438</f>
        <v>4196.8900000000003</v>
      </c>
      <c r="D318" s="908" t="s">
        <v>1393</v>
      </c>
      <c r="E318" s="919"/>
      <c r="F318" s="1053">
        <f t="shared" si="44"/>
        <v>0</v>
      </c>
      <c r="G318" s="919"/>
      <c r="H318" s="914">
        <f t="shared" si="50"/>
        <v>0</v>
      </c>
      <c r="I318" s="919"/>
      <c r="J318" s="914">
        <f t="shared" si="51"/>
        <v>0</v>
      </c>
      <c r="K318" s="914"/>
      <c r="L318" s="914">
        <f t="shared" si="52"/>
        <v>0</v>
      </c>
      <c r="M318" s="919"/>
      <c r="N318" s="914">
        <f t="shared" si="53"/>
        <v>0</v>
      </c>
      <c r="O318" s="919"/>
      <c r="P318" s="914">
        <f t="shared" si="45"/>
        <v>0</v>
      </c>
      <c r="Q318" s="919"/>
      <c r="R318" s="914">
        <f t="shared" si="46"/>
        <v>0</v>
      </c>
      <c r="S318" s="919"/>
      <c r="T318" s="914">
        <f t="shared" si="47"/>
        <v>0</v>
      </c>
      <c r="U318" s="915">
        <f t="shared" si="49"/>
        <v>0</v>
      </c>
      <c r="V318" s="914">
        <f t="shared" si="48"/>
        <v>0</v>
      </c>
    </row>
    <row r="319" spans="1:22" ht="231.75" hidden="1" customHeight="1">
      <c r="A319" s="927"/>
      <c r="B319" s="906" t="s">
        <v>2020</v>
      </c>
      <c r="C319" s="921">
        <f>DATA!R1479</f>
        <v>5115.5600000000004</v>
      </c>
      <c r="D319" s="908" t="s">
        <v>1393</v>
      </c>
      <c r="E319" s="919"/>
      <c r="F319" s="1053">
        <f t="shared" si="44"/>
        <v>0</v>
      </c>
      <c r="G319" s="919"/>
      <c r="H319" s="914">
        <f t="shared" si="50"/>
        <v>0</v>
      </c>
      <c r="I319" s="919"/>
      <c r="J319" s="914">
        <f t="shared" si="51"/>
        <v>0</v>
      </c>
      <c r="K319" s="914"/>
      <c r="L319" s="914">
        <f t="shared" si="52"/>
        <v>0</v>
      </c>
      <c r="M319" s="919"/>
      <c r="N319" s="914">
        <f t="shared" si="53"/>
        <v>0</v>
      </c>
      <c r="O319" s="919"/>
      <c r="P319" s="914">
        <f t="shared" si="45"/>
        <v>0</v>
      </c>
      <c r="Q319" s="919"/>
      <c r="R319" s="914">
        <f t="shared" si="46"/>
        <v>0</v>
      </c>
      <c r="S319" s="919"/>
      <c r="T319" s="914">
        <f t="shared" si="47"/>
        <v>0</v>
      </c>
      <c r="U319" s="915">
        <f t="shared" si="49"/>
        <v>0</v>
      </c>
      <c r="V319" s="914">
        <f t="shared" si="48"/>
        <v>0</v>
      </c>
    </row>
    <row r="320" spans="1:22" ht="231.75" hidden="1" customHeight="1">
      <c r="A320" s="931"/>
      <c r="B320" s="906" t="s">
        <v>1360</v>
      </c>
      <c r="C320" s="921">
        <f>DATA!X1440</f>
        <v>5680.39</v>
      </c>
      <c r="D320" s="908" t="s">
        <v>1393</v>
      </c>
      <c r="E320" s="919"/>
      <c r="F320" s="1053">
        <f t="shared" si="44"/>
        <v>0</v>
      </c>
      <c r="G320" s="919"/>
      <c r="H320" s="914">
        <f t="shared" si="50"/>
        <v>0</v>
      </c>
      <c r="I320" s="919"/>
      <c r="J320" s="914">
        <f t="shared" si="51"/>
        <v>0</v>
      </c>
      <c r="K320" s="914"/>
      <c r="L320" s="914">
        <f t="shared" si="52"/>
        <v>0</v>
      </c>
      <c r="M320" s="919"/>
      <c r="N320" s="914">
        <f t="shared" si="53"/>
        <v>0</v>
      </c>
      <c r="O320" s="919"/>
      <c r="P320" s="914">
        <f t="shared" si="45"/>
        <v>0</v>
      </c>
      <c r="Q320" s="919"/>
      <c r="R320" s="914">
        <f t="shared" si="46"/>
        <v>0</v>
      </c>
      <c r="S320" s="919"/>
      <c r="T320" s="914">
        <f t="shared" si="47"/>
        <v>0</v>
      </c>
      <c r="U320" s="915">
        <f t="shared" si="49"/>
        <v>0</v>
      </c>
      <c r="V320" s="914">
        <f t="shared" si="48"/>
        <v>0</v>
      </c>
    </row>
    <row r="321" spans="1:22" s="920" customFormat="1" ht="231.75" hidden="1" customHeight="1">
      <c r="A321" s="916">
        <v>24</v>
      </c>
      <c r="B321" s="917" t="s">
        <v>179</v>
      </c>
      <c r="C321" s="918">
        <f>DATA!K1191</f>
        <v>69.599999999999994</v>
      </c>
      <c r="D321" s="898" t="s">
        <v>265</v>
      </c>
      <c r="E321" s="919"/>
      <c r="F321" s="1053">
        <f t="shared" si="44"/>
        <v>0</v>
      </c>
      <c r="G321" s="919"/>
      <c r="H321" s="914">
        <f t="shared" si="50"/>
        <v>0</v>
      </c>
      <c r="I321" s="919"/>
      <c r="J321" s="914">
        <f t="shared" si="51"/>
        <v>0</v>
      </c>
      <c r="K321" s="914"/>
      <c r="L321" s="914">
        <f t="shared" si="52"/>
        <v>0</v>
      </c>
      <c r="M321" s="919"/>
      <c r="N321" s="914">
        <f t="shared" si="53"/>
        <v>0</v>
      </c>
      <c r="O321" s="919"/>
      <c r="P321" s="914">
        <f t="shared" si="45"/>
        <v>0</v>
      </c>
      <c r="Q321" s="919"/>
      <c r="R321" s="914">
        <f t="shared" si="46"/>
        <v>0</v>
      </c>
      <c r="S321" s="919"/>
      <c r="T321" s="914">
        <f t="shared" si="47"/>
        <v>0</v>
      </c>
      <c r="U321" s="915">
        <f t="shared" si="49"/>
        <v>0</v>
      </c>
      <c r="V321" s="914">
        <f t="shared" si="48"/>
        <v>0</v>
      </c>
    </row>
    <row r="322" spans="1:22" ht="231.75" hidden="1" customHeight="1">
      <c r="A322" s="905">
        <v>25</v>
      </c>
      <c r="B322" s="906" t="s">
        <v>180</v>
      </c>
      <c r="C322" s="913">
        <f>ROUND(DATA!K1194,2)</f>
        <v>9.6</v>
      </c>
      <c r="D322" s="908" t="s">
        <v>1393</v>
      </c>
      <c r="E322" s="914"/>
      <c r="F322" s="1053">
        <f t="shared" si="44"/>
        <v>0</v>
      </c>
      <c r="G322" s="914"/>
      <c r="H322" s="914">
        <f t="shared" si="50"/>
        <v>0</v>
      </c>
      <c r="I322" s="914"/>
      <c r="J322" s="914">
        <f t="shared" si="51"/>
        <v>0</v>
      </c>
      <c r="K322" s="914"/>
      <c r="L322" s="914">
        <f t="shared" si="52"/>
        <v>0</v>
      </c>
      <c r="M322" s="914"/>
      <c r="N322" s="914">
        <f t="shared" si="53"/>
        <v>0</v>
      </c>
      <c r="O322" s="914"/>
      <c r="P322" s="914">
        <f t="shared" si="45"/>
        <v>0</v>
      </c>
      <c r="Q322" s="914"/>
      <c r="R322" s="914">
        <f t="shared" si="46"/>
        <v>0</v>
      </c>
      <c r="S322" s="914"/>
      <c r="T322" s="914">
        <f t="shared" si="47"/>
        <v>0</v>
      </c>
      <c r="U322" s="915">
        <f t="shared" si="49"/>
        <v>0</v>
      </c>
      <c r="V322" s="914">
        <f t="shared" si="48"/>
        <v>0</v>
      </c>
    </row>
    <row r="323" spans="1:22" ht="231.75" hidden="1" customHeight="1">
      <c r="A323" s="905">
        <v>26</v>
      </c>
      <c r="B323" s="906" t="s">
        <v>181</v>
      </c>
      <c r="C323" s="913">
        <f>ROUND(DATA!K204,2)</f>
        <v>5158.8100000000004</v>
      </c>
      <c r="D323" s="908" t="s">
        <v>1192</v>
      </c>
      <c r="E323" s="914"/>
      <c r="F323" s="1053">
        <f t="shared" si="44"/>
        <v>0</v>
      </c>
      <c r="G323" s="914"/>
      <c r="H323" s="914">
        <f t="shared" si="50"/>
        <v>0</v>
      </c>
      <c r="I323" s="914"/>
      <c r="J323" s="914">
        <f t="shared" si="51"/>
        <v>0</v>
      </c>
      <c r="K323" s="914"/>
      <c r="L323" s="914">
        <f t="shared" si="52"/>
        <v>0</v>
      </c>
      <c r="M323" s="914"/>
      <c r="N323" s="914">
        <f t="shared" si="53"/>
        <v>0</v>
      </c>
      <c r="O323" s="914"/>
      <c r="P323" s="914">
        <f t="shared" si="45"/>
        <v>0</v>
      </c>
      <c r="Q323" s="914"/>
      <c r="R323" s="914">
        <f t="shared" si="46"/>
        <v>0</v>
      </c>
      <c r="S323" s="914"/>
      <c r="T323" s="914">
        <f t="shared" si="47"/>
        <v>0</v>
      </c>
      <c r="U323" s="915">
        <f t="shared" si="49"/>
        <v>0</v>
      </c>
      <c r="V323" s="914">
        <f t="shared" si="48"/>
        <v>0</v>
      </c>
    </row>
    <row r="324" spans="1:22" ht="231.75" hidden="1" customHeight="1">
      <c r="A324" s="905">
        <v>27.1</v>
      </c>
      <c r="B324" s="906" t="s">
        <v>302</v>
      </c>
      <c r="C324" s="921">
        <f>ROUND(DATA!Y368,2)</f>
        <v>7325.69</v>
      </c>
      <c r="D324" s="908" t="s">
        <v>1192</v>
      </c>
      <c r="E324" s="919"/>
      <c r="F324" s="1053">
        <f t="shared" si="44"/>
        <v>0</v>
      </c>
      <c r="G324" s="919"/>
      <c r="H324" s="914">
        <f t="shared" si="50"/>
        <v>0</v>
      </c>
      <c r="I324" s="919"/>
      <c r="J324" s="914">
        <f t="shared" si="51"/>
        <v>0</v>
      </c>
      <c r="K324" s="914"/>
      <c r="L324" s="914">
        <f t="shared" si="52"/>
        <v>0</v>
      </c>
      <c r="M324" s="919"/>
      <c r="N324" s="914">
        <f t="shared" si="53"/>
        <v>0</v>
      </c>
      <c r="O324" s="919"/>
      <c r="P324" s="914">
        <f t="shared" si="45"/>
        <v>0</v>
      </c>
      <c r="Q324" s="919"/>
      <c r="R324" s="914">
        <f t="shared" si="46"/>
        <v>0</v>
      </c>
      <c r="S324" s="919"/>
      <c r="T324" s="914">
        <f t="shared" si="47"/>
        <v>0</v>
      </c>
      <c r="U324" s="915">
        <f t="shared" si="49"/>
        <v>0</v>
      </c>
      <c r="V324" s="914">
        <f t="shared" si="48"/>
        <v>0</v>
      </c>
    </row>
    <row r="325" spans="1:22" ht="231.75" hidden="1" customHeight="1">
      <c r="A325" s="905">
        <v>27.2</v>
      </c>
      <c r="B325" s="906" t="s">
        <v>2778</v>
      </c>
      <c r="C325" s="921">
        <f>ROUND(DATA!AG381,2)</f>
        <v>7112.34</v>
      </c>
      <c r="D325" s="908" t="s">
        <v>1192</v>
      </c>
      <c r="E325" s="919"/>
      <c r="F325" s="1053">
        <f t="shared" si="44"/>
        <v>0</v>
      </c>
      <c r="G325" s="919"/>
      <c r="H325" s="914">
        <f t="shared" si="50"/>
        <v>0</v>
      </c>
      <c r="I325" s="919"/>
      <c r="J325" s="914">
        <f t="shared" si="51"/>
        <v>0</v>
      </c>
      <c r="K325" s="914"/>
      <c r="L325" s="914">
        <f t="shared" si="52"/>
        <v>0</v>
      </c>
      <c r="M325" s="919"/>
      <c r="N325" s="914">
        <f t="shared" si="53"/>
        <v>0</v>
      </c>
      <c r="O325" s="919"/>
      <c r="P325" s="914">
        <f t="shared" si="45"/>
        <v>0</v>
      </c>
      <c r="Q325" s="919"/>
      <c r="R325" s="914">
        <f t="shared" si="46"/>
        <v>0</v>
      </c>
      <c r="S325" s="919"/>
      <c r="T325" s="914">
        <f t="shared" si="47"/>
        <v>0</v>
      </c>
      <c r="U325" s="915">
        <f t="shared" si="49"/>
        <v>0</v>
      </c>
      <c r="V325" s="914">
        <f t="shared" si="48"/>
        <v>0</v>
      </c>
    </row>
    <row r="326" spans="1:22" ht="231.75" hidden="1" customHeight="1">
      <c r="A326" s="905">
        <v>27.3</v>
      </c>
      <c r="B326" s="906" t="s">
        <v>916</v>
      </c>
      <c r="C326" s="921"/>
      <c r="D326" s="908" t="s">
        <v>1192</v>
      </c>
      <c r="E326" s="919"/>
      <c r="F326" s="1053">
        <f t="shared" ref="F326:F354" si="54">E326*C326</f>
        <v>0</v>
      </c>
      <c r="G326" s="919"/>
      <c r="H326" s="914">
        <f t="shared" si="50"/>
        <v>0</v>
      </c>
      <c r="I326" s="919"/>
      <c r="J326" s="914">
        <f t="shared" si="51"/>
        <v>0</v>
      </c>
      <c r="K326" s="914"/>
      <c r="L326" s="914">
        <f t="shared" si="52"/>
        <v>0</v>
      </c>
      <c r="M326" s="919"/>
      <c r="N326" s="914">
        <f t="shared" si="53"/>
        <v>0</v>
      </c>
      <c r="O326" s="919"/>
      <c r="P326" s="914">
        <f t="shared" ref="P326:P389" si="55">O326*C326</f>
        <v>0</v>
      </c>
      <c r="Q326" s="919"/>
      <c r="R326" s="914">
        <f t="shared" ref="R326:R389" si="56">Q326*C326</f>
        <v>0</v>
      </c>
      <c r="S326" s="919"/>
      <c r="T326" s="914">
        <f t="shared" ref="T326:T389" si="57">S326*C326</f>
        <v>0</v>
      </c>
      <c r="U326" s="915">
        <f t="shared" si="49"/>
        <v>0</v>
      </c>
      <c r="V326" s="914">
        <f t="shared" ref="V326:V389" si="58">U326*C326</f>
        <v>0</v>
      </c>
    </row>
    <row r="327" spans="1:22" ht="231.75" hidden="1" customHeight="1">
      <c r="A327" s="905">
        <v>27.4</v>
      </c>
      <c r="B327" s="906" t="s">
        <v>169</v>
      </c>
      <c r="C327" s="921"/>
      <c r="D327" s="908" t="s">
        <v>1192</v>
      </c>
      <c r="E327" s="919"/>
      <c r="F327" s="1053">
        <f t="shared" si="54"/>
        <v>0</v>
      </c>
      <c r="G327" s="919"/>
      <c r="H327" s="914">
        <f t="shared" si="50"/>
        <v>0</v>
      </c>
      <c r="I327" s="919"/>
      <c r="J327" s="914">
        <f t="shared" si="51"/>
        <v>0</v>
      </c>
      <c r="K327" s="914"/>
      <c r="L327" s="914">
        <f t="shared" si="52"/>
        <v>0</v>
      </c>
      <c r="M327" s="919"/>
      <c r="N327" s="914">
        <f t="shared" si="53"/>
        <v>0</v>
      </c>
      <c r="O327" s="919"/>
      <c r="P327" s="914">
        <f t="shared" si="55"/>
        <v>0</v>
      </c>
      <c r="Q327" s="919"/>
      <c r="R327" s="914">
        <f t="shared" si="56"/>
        <v>0</v>
      </c>
      <c r="S327" s="919"/>
      <c r="T327" s="914">
        <f t="shared" si="57"/>
        <v>0</v>
      </c>
      <c r="U327" s="915">
        <f t="shared" si="49"/>
        <v>0</v>
      </c>
      <c r="V327" s="914">
        <f t="shared" si="58"/>
        <v>0</v>
      </c>
    </row>
    <row r="328" spans="1:22" ht="231.75" hidden="1" customHeight="1">
      <c r="A328" s="905">
        <v>27.5</v>
      </c>
      <c r="B328" s="906" t="s">
        <v>1498</v>
      </c>
      <c r="C328" s="921">
        <f>ROUND(DATA!K372,2)</f>
        <v>7033.43</v>
      </c>
      <c r="D328" s="908" t="s">
        <v>1192</v>
      </c>
      <c r="E328" s="919"/>
      <c r="F328" s="1053">
        <f t="shared" si="54"/>
        <v>0</v>
      </c>
      <c r="G328" s="919"/>
      <c r="H328" s="914">
        <f t="shared" si="50"/>
        <v>0</v>
      </c>
      <c r="I328" s="919"/>
      <c r="J328" s="914">
        <f t="shared" si="51"/>
        <v>0</v>
      </c>
      <c r="K328" s="914"/>
      <c r="L328" s="914">
        <f t="shared" si="52"/>
        <v>0</v>
      </c>
      <c r="M328" s="919"/>
      <c r="N328" s="914">
        <f t="shared" si="53"/>
        <v>0</v>
      </c>
      <c r="O328" s="919"/>
      <c r="P328" s="914">
        <f t="shared" si="55"/>
        <v>0</v>
      </c>
      <c r="Q328" s="919"/>
      <c r="R328" s="914">
        <f t="shared" si="56"/>
        <v>0</v>
      </c>
      <c r="S328" s="919"/>
      <c r="T328" s="914">
        <f t="shared" si="57"/>
        <v>0</v>
      </c>
      <c r="U328" s="915">
        <f t="shared" si="49"/>
        <v>0</v>
      </c>
      <c r="V328" s="914">
        <f t="shared" si="58"/>
        <v>0</v>
      </c>
    </row>
    <row r="329" spans="1:22" ht="231.75" hidden="1" customHeight="1">
      <c r="A329" s="905">
        <v>27.6</v>
      </c>
      <c r="B329" s="906" t="s">
        <v>1693</v>
      </c>
      <c r="C329" s="921"/>
      <c r="D329" s="908" t="s">
        <v>1192</v>
      </c>
      <c r="E329" s="919"/>
      <c r="F329" s="1053">
        <f t="shared" si="54"/>
        <v>0</v>
      </c>
      <c r="G329" s="919"/>
      <c r="H329" s="914">
        <f t="shared" si="50"/>
        <v>0</v>
      </c>
      <c r="I329" s="919"/>
      <c r="J329" s="914">
        <f t="shared" si="51"/>
        <v>0</v>
      </c>
      <c r="K329" s="914"/>
      <c r="L329" s="914">
        <f t="shared" si="52"/>
        <v>0</v>
      </c>
      <c r="M329" s="919"/>
      <c r="N329" s="914">
        <f t="shared" si="53"/>
        <v>0</v>
      </c>
      <c r="O329" s="919"/>
      <c r="P329" s="914">
        <f t="shared" si="55"/>
        <v>0</v>
      </c>
      <c r="Q329" s="919"/>
      <c r="R329" s="914">
        <f t="shared" si="56"/>
        <v>0</v>
      </c>
      <c r="S329" s="919"/>
      <c r="T329" s="914">
        <f t="shared" si="57"/>
        <v>0</v>
      </c>
      <c r="U329" s="915">
        <f t="shared" si="49"/>
        <v>0</v>
      </c>
      <c r="V329" s="914">
        <f t="shared" si="58"/>
        <v>0</v>
      </c>
    </row>
    <row r="330" spans="1:22" ht="231.75" customHeight="1">
      <c r="A330" s="905">
        <v>28</v>
      </c>
      <c r="B330" s="924" t="s">
        <v>6624</v>
      </c>
      <c r="C330" s="913">
        <f>ROUND(DATA!K1213,2)</f>
        <v>514.71</v>
      </c>
      <c r="D330" s="908" t="s">
        <v>1834</v>
      </c>
      <c r="E330" s="914"/>
      <c r="F330" s="1053">
        <f t="shared" si="54"/>
        <v>0</v>
      </c>
      <c r="G330" s="914"/>
      <c r="H330" s="914">
        <f t="shared" si="50"/>
        <v>0</v>
      </c>
      <c r="I330" s="914"/>
      <c r="J330" s="914">
        <f t="shared" si="51"/>
        <v>0</v>
      </c>
      <c r="K330" s="914"/>
      <c r="L330" s="914">
        <f t="shared" si="52"/>
        <v>0</v>
      </c>
      <c r="M330" s="914">
        <v>6.48</v>
      </c>
      <c r="N330" s="914">
        <f t="shared" si="53"/>
        <v>3335.32</v>
      </c>
      <c r="O330" s="914"/>
      <c r="P330" s="914">
        <f t="shared" si="55"/>
        <v>0</v>
      </c>
      <c r="Q330" s="914">
        <v>14.5</v>
      </c>
      <c r="R330" s="914">
        <f t="shared" si="56"/>
        <v>7463.3</v>
      </c>
      <c r="S330" s="914"/>
      <c r="T330" s="914">
        <f t="shared" si="57"/>
        <v>0</v>
      </c>
      <c r="U330" s="915">
        <f t="shared" si="49"/>
        <v>20.98</v>
      </c>
      <c r="V330" s="914">
        <f t="shared" si="58"/>
        <v>10798.62</v>
      </c>
    </row>
    <row r="331" spans="1:22" ht="231.75" hidden="1" customHeight="1">
      <c r="A331" s="905">
        <v>29.1</v>
      </c>
      <c r="B331" s="924" t="s">
        <v>6625</v>
      </c>
      <c r="C331" s="921"/>
      <c r="D331" s="908" t="s">
        <v>1834</v>
      </c>
      <c r="E331" s="919"/>
      <c r="F331" s="1053">
        <f t="shared" si="54"/>
        <v>0</v>
      </c>
      <c r="G331" s="919"/>
      <c r="H331" s="914">
        <f t="shared" si="50"/>
        <v>0</v>
      </c>
      <c r="I331" s="919"/>
      <c r="J331" s="914">
        <f t="shared" si="51"/>
        <v>0</v>
      </c>
      <c r="K331" s="914"/>
      <c r="L331" s="914">
        <f t="shared" si="52"/>
        <v>0</v>
      </c>
      <c r="M331" s="919"/>
      <c r="N331" s="914">
        <f t="shared" si="53"/>
        <v>0</v>
      </c>
      <c r="O331" s="919"/>
      <c r="P331" s="914">
        <f t="shared" si="55"/>
        <v>0</v>
      </c>
      <c r="Q331" s="919"/>
      <c r="R331" s="914">
        <f t="shared" si="56"/>
        <v>0</v>
      </c>
      <c r="S331" s="919"/>
      <c r="T331" s="914">
        <f t="shared" si="57"/>
        <v>0</v>
      </c>
      <c r="U331" s="915">
        <f t="shared" si="49"/>
        <v>0</v>
      </c>
      <c r="V331" s="914">
        <f t="shared" si="58"/>
        <v>0</v>
      </c>
    </row>
    <row r="332" spans="1:22" ht="231.75" hidden="1" customHeight="1">
      <c r="A332" s="905">
        <v>29.2</v>
      </c>
      <c r="B332" s="924" t="s">
        <v>6626</v>
      </c>
      <c r="C332" s="921">
        <f>ROUND(DATA!K1241,2)</f>
        <v>1234.17</v>
      </c>
      <c r="D332" s="908" t="s">
        <v>1834</v>
      </c>
      <c r="E332" s="919"/>
      <c r="F332" s="1053">
        <f t="shared" si="54"/>
        <v>0</v>
      </c>
      <c r="G332" s="919"/>
      <c r="H332" s="914">
        <f t="shared" si="50"/>
        <v>0</v>
      </c>
      <c r="I332" s="919"/>
      <c r="J332" s="914">
        <f t="shared" si="51"/>
        <v>0</v>
      </c>
      <c r="K332" s="914"/>
      <c r="L332" s="914">
        <f t="shared" si="52"/>
        <v>0</v>
      </c>
      <c r="M332" s="919"/>
      <c r="N332" s="914">
        <f t="shared" si="53"/>
        <v>0</v>
      </c>
      <c r="O332" s="919"/>
      <c r="P332" s="914">
        <f t="shared" si="55"/>
        <v>0</v>
      </c>
      <c r="Q332" s="919"/>
      <c r="R332" s="914">
        <f t="shared" si="56"/>
        <v>0</v>
      </c>
      <c r="S332" s="919"/>
      <c r="T332" s="914">
        <f t="shared" si="57"/>
        <v>0</v>
      </c>
      <c r="U332" s="915">
        <f t="shared" si="49"/>
        <v>0</v>
      </c>
      <c r="V332" s="914">
        <f t="shared" si="58"/>
        <v>0</v>
      </c>
    </row>
    <row r="333" spans="1:22" ht="231.75" hidden="1" customHeight="1">
      <c r="A333" s="905">
        <v>29.3</v>
      </c>
      <c r="B333" s="906" t="s">
        <v>1694</v>
      </c>
      <c r="C333" s="921">
        <f>ROUND(DATA!K1264,2)</f>
        <v>1212.77</v>
      </c>
      <c r="D333" s="908" t="s">
        <v>1834</v>
      </c>
      <c r="E333" s="919"/>
      <c r="F333" s="1053">
        <f t="shared" si="54"/>
        <v>0</v>
      </c>
      <c r="G333" s="919"/>
      <c r="H333" s="914">
        <f t="shared" si="50"/>
        <v>0</v>
      </c>
      <c r="I333" s="919"/>
      <c r="J333" s="914">
        <f t="shared" si="51"/>
        <v>0</v>
      </c>
      <c r="K333" s="914"/>
      <c r="L333" s="914">
        <f t="shared" si="52"/>
        <v>0</v>
      </c>
      <c r="M333" s="919"/>
      <c r="N333" s="914">
        <f t="shared" si="53"/>
        <v>0</v>
      </c>
      <c r="O333" s="919"/>
      <c r="P333" s="914">
        <f t="shared" si="55"/>
        <v>0</v>
      </c>
      <c r="Q333" s="919"/>
      <c r="R333" s="914">
        <f t="shared" si="56"/>
        <v>0</v>
      </c>
      <c r="S333" s="919"/>
      <c r="T333" s="914">
        <f t="shared" si="57"/>
        <v>0</v>
      </c>
      <c r="U333" s="915">
        <f t="shared" si="49"/>
        <v>0</v>
      </c>
      <c r="V333" s="914">
        <f t="shared" si="58"/>
        <v>0</v>
      </c>
    </row>
    <row r="334" spans="1:22" ht="231.75" hidden="1" customHeight="1">
      <c r="A334" s="905">
        <v>29.4</v>
      </c>
      <c r="B334" s="906" t="s">
        <v>1695</v>
      </c>
      <c r="C334" s="921">
        <f>ROUND(DATA!K1278,2)</f>
        <v>1377.72</v>
      </c>
      <c r="D334" s="908" t="s">
        <v>1834</v>
      </c>
      <c r="E334" s="919"/>
      <c r="F334" s="1053">
        <f t="shared" si="54"/>
        <v>0</v>
      </c>
      <c r="G334" s="919"/>
      <c r="H334" s="914">
        <f t="shared" si="50"/>
        <v>0</v>
      </c>
      <c r="I334" s="919"/>
      <c r="J334" s="914">
        <f t="shared" si="51"/>
        <v>0</v>
      </c>
      <c r="K334" s="914"/>
      <c r="L334" s="914">
        <f t="shared" si="52"/>
        <v>0</v>
      </c>
      <c r="M334" s="919"/>
      <c r="N334" s="914">
        <f t="shared" si="53"/>
        <v>0</v>
      </c>
      <c r="O334" s="919"/>
      <c r="P334" s="914">
        <f t="shared" si="55"/>
        <v>0</v>
      </c>
      <c r="Q334" s="919"/>
      <c r="R334" s="914">
        <f t="shared" si="56"/>
        <v>0</v>
      </c>
      <c r="S334" s="919"/>
      <c r="T334" s="914">
        <f t="shared" si="57"/>
        <v>0</v>
      </c>
      <c r="U334" s="915">
        <f t="shared" si="49"/>
        <v>0</v>
      </c>
      <c r="V334" s="914">
        <f t="shared" si="58"/>
        <v>0</v>
      </c>
    </row>
    <row r="335" spans="1:22" ht="231.75" hidden="1" customHeight="1">
      <c r="A335" s="905">
        <v>29.5</v>
      </c>
      <c r="B335" s="906" t="s">
        <v>838</v>
      </c>
      <c r="C335" s="921">
        <f>C333</f>
        <v>1212.77</v>
      </c>
      <c r="D335" s="908" t="s">
        <v>1834</v>
      </c>
      <c r="E335" s="919"/>
      <c r="F335" s="1053">
        <f t="shared" si="54"/>
        <v>0</v>
      </c>
      <c r="G335" s="919"/>
      <c r="H335" s="914">
        <f t="shared" si="50"/>
        <v>0</v>
      </c>
      <c r="I335" s="919"/>
      <c r="J335" s="914">
        <f t="shared" si="51"/>
        <v>0</v>
      </c>
      <c r="K335" s="914"/>
      <c r="L335" s="914">
        <f t="shared" si="52"/>
        <v>0</v>
      </c>
      <c r="M335" s="919"/>
      <c r="N335" s="914">
        <f t="shared" si="53"/>
        <v>0</v>
      </c>
      <c r="O335" s="919"/>
      <c r="P335" s="914">
        <f t="shared" si="55"/>
        <v>0</v>
      </c>
      <c r="Q335" s="919"/>
      <c r="R335" s="914">
        <f t="shared" si="56"/>
        <v>0</v>
      </c>
      <c r="S335" s="919"/>
      <c r="T335" s="914">
        <f t="shared" si="57"/>
        <v>0</v>
      </c>
      <c r="U335" s="915">
        <f t="shared" si="49"/>
        <v>0</v>
      </c>
      <c r="V335" s="914">
        <f t="shared" si="58"/>
        <v>0</v>
      </c>
    </row>
    <row r="336" spans="1:22" ht="231.75" customHeight="1">
      <c r="A336" s="905">
        <v>30</v>
      </c>
      <c r="B336" s="906" t="s">
        <v>1696</v>
      </c>
      <c r="C336" s="913">
        <f>ROUND(DATA!K1312,2)</f>
        <v>452.61</v>
      </c>
      <c r="D336" s="908" t="s">
        <v>1834</v>
      </c>
      <c r="E336" s="914"/>
      <c r="F336" s="1053">
        <f t="shared" si="54"/>
        <v>0</v>
      </c>
      <c r="G336" s="914"/>
      <c r="H336" s="914">
        <f t="shared" si="50"/>
        <v>0</v>
      </c>
      <c r="I336" s="914"/>
      <c r="J336" s="914">
        <f t="shared" si="51"/>
        <v>0</v>
      </c>
      <c r="K336" s="914">
        <v>13.5</v>
      </c>
      <c r="L336" s="914">
        <f t="shared" si="52"/>
        <v>6110.24</v>
      </c>
      <c r="M336" s="914"/>
      <c r="N336" s="914">
        <f t="shared" si="53"/>
        <v>0</v>
      </c>
      <c r="O336" s="914"/>
      <c r="P336" s="914">
        <f t="shared" si="55"/>
        <v>0</v>
      </c>
      <c r="Q336" s="914"/>
      <c r="R336" s="914">
        <f t="shared" si="56"/>
        <v>0</v>
      </c>
      <c r="S336" s="914"/>
      <c r="T336" s="914">
        <f t="shared" si="57"/>
        <v>0</v>
      </c>
      <c r="U336" s="915">
        <f t="shared" si="49"/>
        <v>13.5</v>
      </c>
      <c r="V336" s="914">
        <f t="shared" si="58"/>
        <v>6110.24</v>
      </c>
    </row>
    <row r="337" spans="1:22" ht="231.75" hidden="1" customHeight="1">
      <c r="A337" s="905">
        <v>31</v>
      </c>
      <c r="B337" s="906" t="s">
        <v>1697</v>
      </c>
      <c r="C337" s="913">
        <f>ROUND(DATA!K1330,2)</f>
        <v>3696.96</v>
      </c>
      <c r="D337" s="908" t="s">
        <v>1192</v>
      </c>
      <c r="E337" s="914"/>
      <c r="F337" s="1053">
        <f t="shared" si="54"/>
        <v>0</v>
      </c>
      <c r="G337" s="914"/>
      <c r="H337" s="914">
        <f t="shared" si="50"/>
        <v>0</v>
      </c>
      <c r="I337" s="914"/>
      <c r="J337" s="914">
        <f t="shared" si="51"/>
        <v>0</v>
      </c>
      <c r="K337" s="914"/>
      <c r="L337" s="914">
        <f t="shared" si="52"/>
        <v>0</v>
      </c>
      <c r="M337" s="914"/>
      <c r="N337" s="914">
        <f t="shared" si="53"/>
        <v>0</v>
      </c>
      <c r="O337" s="914"/>
      <c r="P337" s="914">
        <f t="shared" si="55"/>
        <v>0</v>
      </c>
      <c r="Q337" s="914"/>
      <c r="R337" s="914">
        <f t="shared" si="56"/>
        <v>0</v>
      </c>
      <c r="S337" s="914"/>
      <c r="T337" s="914">
        <f t="shared" si="57"/>
        <v>0</v>
      </c>
      <c r="U337" s="915">
        <f t="shared" si="49"/>
        <v>0</v>
      </c>
      <c r="V337" s="914">
        <f t="shared" si="58"/>
        <v>0</v>
      </c>
    </row>
    <row r="338" spans="1:22" ht="231.75" hidden="1" customHeight="1">
      <c r="A338" s="905">
        <v>32</v>
      </c>
      <c r="B338" s="906" t="s">
        <v>559</v>
      </c>
      <c r="C338" s="921"/>
      <c r="D338" s="908" t="s">
        <v>1834</v>
      </c>
      <c r="E338" s="919"/>
      <c r="F338" s="1053">
        <f t="shared" si="54"/>
        <v>0</v>
      </c>
      <c r="G338" s="919"/>
      <c r="H338" s="914">
        <f t="shared" si="50"/>
        <v>0</v>
      </c>
      <c r="I338" s="919"/>
      <c r="J338" s="914">
        <f t="shared" si="51"/>
        <v>0</v>
      </c>
      <c r="K338" s="914"/>
      <c r="L338" s="914">
        <f t="shared" si="52"/>
        <v>0</v>
      </c>
      <c r="M338" s="919"/>
      <c r="N338" s="914">
        <f t="shared" si="53"/>
        <v>0</v>
      </c>
      <c r="O338" s="919"/>
      <c r="P338" s="914">
        <f t="shared" si="55"/>
        <v>0</v>
      </c>
      <c r="Q338" s="919"/>
      <c r="R338" s="914">
        <f t="shared" si="56"/>
        <v>0</v>
      </c>
      <c r="S338" s="919"/>
      <c r="T338" s="914">
        <f t="shared" si="57"/>
        <v>0</v>
      </c>
      <c r="U338" s="915">
        <f t="shared" ref="U338:U401" si="59">G338+I338+M338+O338+Q338+S338+E338+K338</f>
        <v>0</v>
      </c>
      <c r="V338" s="914">
        <f t="shared" si="58"/>
        <v>0</v>
      </c>
    </row>
    <row r="339" spans="1:22" ht="231.75" hidden="1" customHeight="1">
      <c r="A339" s="905">
        <v>32.1</v>
      </c>
      <c r="B339" s="906" t="s">
        <v>850</v>
      </c>
      <c r="C339" s="921">
        <f>ROUND(DATA!K1365,2)</f>
        <v>1194.28</v>
      </c>
      <c r="D339" s="908" t="s">
        <v>1834</v>
      </c>
      <c r="E339" s="919"/>
      <c r="F339" s="1053">
        <f t="shared" si="54"/>
        <v>0</v>
      </c>
      <c r="G339" s="919"/>
      <c r="H339" s="914">
        <f t="shared" ref="H339:H402" si="60">C339*G339</f>
        <v>0</v>
      </c>
      <c r="I339" s="919"/>
      <c r="J339" s="914">
        <f t="shared" ref="J339:J402" si="61">I339*C339</f>
        <v>0</v>
      </c>
      <c r="K339" s="914"/>
      <c r="L339" s="914">
        <f t="shared" ref="L339:L402" si="62">K339*C339</f>
        <v>0</v>
      </c>
      <c r="M339" s="919"/>
      <c r="N339" s="914">
        <f t="shared" ref="N339:N402" si="63">M339*C339</f>
        <v>0</v>
      </c>
      <c r="O339" s="919"/>
      <c r="P339" s="914">
        <f t="shared" si="55"/>
        <v>0</v>
      </c>
      <c r="Q339" s="919"/>
      <c r="R339" s="914">
        <f t="shared" si="56"/>
        <v>0</v>
      </c>
      <c r="S339" s="919"/>
      <c r="T339" s="914">
        <f t="shared" si="57"/>
        <v>0</v>
      </c>
      <c r="U339" s="915">
        <f t="shared" si="59"/>
        <v>0</v>
      </c>
      <c r="V339" s="914">
        <f t="shared" si="58"/>
        <v>0</v>
      </c>
    </row>
    <row r="340" spans="1:22" ht="231.75" hidden="1" customHeight="1">
      <c r="A340" s="905">
        <v>32.200000000000003</v>
      </c>
      <c r="B340" s="906" t="s">
        <v>849</v>
      </c>
      <c r="C340" s="921"/>
      <c r="D340" s="908" t="s">
        <v>1834</v>
      </c>
      <c r="E340" s="919"/>
      <c r="F340" s="1053">
        <f t="shared" si="54"/>
        <v>0</v>
      </c>
      <c r="G340" s="919"/>
      <c r="H340" s="914">
        <f t="shared" si="60"/>
        <v>0</v>
      </c>
      <c r="I340" s="919"/>
      <c r="J340" s="914">
        <f t="shared" si="61"/>
        <v>0</v>
      </c>
      <c r="K340" s="914"/>
      <c r="L340" s="914">
        <f t="shared" si="62"/>
        <v>0</v>
      </c>
      <c r="M340" s="919"/>
      <c r="N340" s="914">
        <f t="shared" si="63"/>
        <v>0</v>
      </c>
      <c r="O340" s="919"/>
      <c r="P340" s="914">
        <f t="shared" si="55"/>
        <v>0</v>
      </c>
      <c r="Q340" s="919"/>
      <c r="R340" s="914">
        <f t="shared" si="56"/>
        <v>0</v>
      </c>
      <c r="S340" s="919"/>
      <c r="T340" s="914">
        <f t="shared" si="57"/>
        <v>0</v>
      </c>
      <c r="U340" s="915">
        <f t="shared" si="59"/>
        <v>0</v>
      </c>
      <c r="V340" s="914">
        <f t="shared" si="58"/>
        <v>0</v>
      </c>
    </row>
    <row r="341" spans="1:22" ht="231.75" customHeight="1">
      <c r="A341" s="905">
        <v>33</v>
      </c>
      <c r="B341" s="906" t="s">
        <v>1002</v>
      </c>
      <c r="C341" s="913">
        <f>ROUND(DATA!K1400,2)</f>
        <v>253.5</v>
      </c>
      <c r="D341" s="908" t="s">
        <v>1834</v>
      </c>
      <c r="E341" s="919"/>
      <c r="F341" s="1053">
        <f t="shared" si="54"/>
        <v>0</v>
      </c>
      <c r="G341" s="914"/>
      <c r="H341" s="914">
        <f t="shared" si="60"/>
        <v>0</v>
      </c>
      <c r="I341" s="914"/>
      <c r="J341" s="914">
        <f t="shared" si="61"/>
        <v>0</v>
      </c>
      <c r="K341" s="914">
        <v>9</v>
      </c>
      <c r="L341" s="914">
        <f t="shared" si="62"/>
        <v>2281.5</v>
      </c>
      <c r="M341" s="914"/>
      <c r="N341" s="914">
        <f t="shared" si="63"/>
        <v>0</v>
      </c>
      <c r="O341" s="914"/>
      <c r="P341" s="914">
        <f t="shared" si="55"/>
        <v>0</v>
      </c>
      <c r="Q341" s="914">
        <v>46.58</v>
      </c>
      <c r="R341" s="914">
        <f t="shared" si="56"/>
        <v>11808.03</v>
      </c>
      <c r="S341" s="914">
        <v>21.04</v>
      </c>
      <c r="T341" s="914">
        <f t="shared" si="57"/>
        <v>5333.64</v>
      </c>
      <c r="U341" s="915">
        <f t="shared" si="59"/>
        <v>76.62</v>
      </c>
      <c r="V341" s="914">
        <f t="shared" si="58"/>
        <v>19423.169999999998</v>
      </c>
    </row>
    <row r="342" spans="1:22" ht="231.75" customHeight="1">
      <c r="A342" s="905">
        <v>34</v>
      </c>
      <c r="B342" s="906" t="s">
        <v>1003</v>
      </c>
      <c r="C342" s="913">
        <f>ROUND(DATA!K1414,2)</f>
        <v>259.58999999999997</v>
      </c>
      <c r="D342" s="908" t="s">
        <v>1834</v>
      </c>
      <c r="E342" s="914"/>
      <c r="F342" s="1053">
        <f t="shared" si="54"/>
        <v>0</v>
      </c>
      <c r="G342" s="914"/>
      <c r="H342" s="914">
        <f t="shared" si="60"/>
        <v>0</v>
      </c>
      <c r="I342" s="914"/>
      <c r="J342" s="914">
        <f t="shared" si="61"/>
        <v>0</v>
      </c>
      <c r="K342" s="914"/>
      <c r="L342" s="914">
        <f t="shared" si="62"/>
        <v>0</v>
      </c>
      <c r="M342" s="914"/>
      <c r="N342" s="914">
        <f t="shared" si="63"/>
        <v>0</v>
      </c>
      <c r="O342" s="914"/>
      <c r="P342" s="914">
        <f t="shared" si="55"/>
        <v>0</v>
      </c>
      <c r="Q342" s="914">
        <v>33</v>
      </c>
      <c r="R342" s="914">
        <f t="shared" si="56"/>
        <v>8566.4699999999993</v>
      </c>
      <c r="S342" s="914"/>
      <c r="T342" s="914">
        <f t="shared" si="57"/>
        <v>0</v>
      </c>
      <c r="U342" s="915">
        <f t="shared" si="59"/>
        <v>33</v>
      </c>
      <c r="V342" s="914">
        <f t="shared" si="58"/>
        <v>8566.4699999999993</v>
      </c>
    </row>
    <row r="343" spans="1:22" ht="231.75" customHeight="1">
      <c r="A343" s="905">
        <v>35</v>
      </c>
      <c r="B343" s="906" t="s">
        <v>932</v>
      </c>
      <c r="C343" s="1180">
        <v>289.35000000000002</v>
      </c>
      <c r="D343" s="908" t="s">
        <v>1834</v>
      </c>
      <c r="E343" s="914"/>
      <c r="F343" s="1053">
        <f t="shared" si="54"/>
        <v>0</v>
      </c>
      <c r="G343" s="914"/>
      <c r="H343" s="914">
        <f t="shared" si="60"/>
        <v>0</v>
      </c>
      <c r="I343" s="914"/>
      <c r="J343" s="914">
        <f t="shared" si="61"/>
        <v>0</v>
      </c>
      <c r="K343" s="914"/>
      <c r="L343" s="914">
        <f t="shared" si="62"/>
        <v>0</v>
      </c>
      <c r="M343" s="914"/>
      <c r="N343" s="914">
        <f t="shared" si="63"/>
        <v>0</v>
      </c>
      <c r="O343" s="914"/>
      <c r="P343" s="914">
        <f t="shared" si="55"/>
        <v>0</v>
      </c>
      <c r="Q343" s="914"/>
      <c r="R343" s="914">
        <f t="shared" si="56"/>
        <v>0</v>
      </c>
      <c r="S343" s="914"/>
      <c r="T343" s="914">
        <f t="shared" si="57"/>
        <v>0</v>
      </c>
      <c r="U343" s="915">
        <f t="shared" si="59"/>
        <v>0</v>
      </c>
      <c r="V343" s="914">
        <f t="shared" si="58"/>
        <v>0</v>
      </c>
    </row>
    <row r="344" spans="1:22" ht="231.75" hidden="1" customHeight="1">
      <c r="A344" s="905">
        <v>36</v>
      </c>
      <c r="B344" s="924" t="s">
        <v>1717</v>
      </c>
      <c r="C344" s="913"/>
      <c r="D344" s="908"/>
      <c r="E344" s="911"/>
      <c r="F344" s="1053">
        <f t="shared" si="54"/>
        <v>0</v>
      </c>
      <c r="G344" s="914"/>
      <c r="H344" s="914">
        <f t="shared" si="60"/>
        <v>0</v>
      </c>
      <c r="I344" s="914"/>
      <c r="J344" s="914">
        <f t="shared" si="61"/>
        <v>0</v>
      </c>
      <c r="K344" s="914"/>
      <c r="L344" s="914">
        <f t="shared" si="62"/>
        <v>0</v>
      </c>
      <c r="M344" s="914"/>
      <c r="N344" s="914">
        <f t="shared" si="63"/>
        <v>0</v>
      </c>
      <c r="O344" s="914"/>
      <c r="P344" s="914">
        <f t="shared" si="55"/>
        <v>0</v>
      </c>
      <c r="Q344" s="914"/>
      <c r="R344" s="914">
        <f t="shared" si="56"/>
        <v>0</v>
      </c>
      <c r="S344" s="914"/>
      <c r="T344" s="914">
        <f t="shared" si="57"/>
        <v>0</v>
      </c>
      <c r="U344" s="915">
        <f t="shared" si="59"/>
        <v>0</v>
      </c>
      <c r="V344" s="914">
        <f t="shared" si="58"/>
        <v>0</v>
      </c>
    </row>
    <row r="345" spans="1:22" ht="231.75" hidden="1" customHeight="1">
      <c r="A345" s="927" t="s">
        <v>971</v>
      </c>
      <c r="B345" s="906" t="s">
        <v>1455</v>
      </c>
      <c r="C345" s="913">
        <f>ROUND(DATA!K1460,2)</f>
        <v>80.77</v>
      </c>
      <c r="D345" s="908" t="s">
        <v>823</v>
      </c>
      <c r="E345" s="914"/>
      <c r="F345" s="1053">
        <f t="shared" si="54"/>
        <v>0</v>
      </c>
      <c r="G345" s="914"/>
      <c r="H345" s="914">
        <f t="shared" si="60"/>
        <v>0</v>
      </c>
      <c r="I345" s="914"/>
      <c r="J345" s="914">
        <f t="shared" si="61"/>
        <v>0</v>
      </c>
      <c r="K345" s="914"/>
      <c r="L345" s="914">
        <f t="shared" si="62"/>
        <v>0</v>
      </c>
      <c r="M345" s="914"/>
      <c r="N345" s="914">
        <f t="shared" si="63"/>
        <v>0</v>
      </c>
      <c r="O345" s="914"/>
      <c r="P345" s="914">
        <f t="shared" si="55"/>
        <v>0</v>
      </c>
      <c r="Q345" s="914"/>
      <c r="R345" s="914">
        <f t="shared" si="56"/>
        <v>0</v>
      </c>
      <c r="S345" s="914"/>
      <c r="T345" s="914">
        <f t="shared" si="57"/>
        <v>0</v>
      </c>
      <c r="U345" s="915">
        <f t="shared" si="59"/>
        <v>0</v>
      </c>
      <c r="V345" s="914">
        <f t="shared" si="58"/>
        <v>0</v>
      </c>
    </row>
    <row r="346" spans="1:22" ht="231.75" hidden="1" customHeight="1">
      <c r="A346" s="927"/>
      <c r="B346" s="906" t="s">
        <v>1935</v>
      </c>
      <c r="C346" s="913">
        <f>ROUND(DATA!K1472,2)</f>
        <v>52.57</v>
      </c>
      <c r="D346" s="908" t="s">
        <v>823</v>
      </c>
      <c r="E346" s="914"/>
      <c r="F346" s="1053">
        <f t="shared" si="54"/>
        <v>0</v>
      </c>
      <c r="G346" s="914"/>
      <c r="H346" s="914">
        <f t="shared" si="60"/>
        <v>0</v>
      </c>
      <c r="I346" s="914"/>
      <c r="J346" s="914">
        <f t="shared" si="61"/>
        <v>0</v>
      </c>
      <c r="K346" s="914"/>
      <c r="L346" s="914">
        <f t="shared" si="62"/>
        <v>0</v>
      </c>
      <c r="M346" s="914"/>
      <c r="N346" s="914">
        <f t="shared" si="63"/>
        <v>0</v>
      </c>
      <c r="O346" s="914"/>
      <c r="P346" s="914">
        <f t="shared" si="55"/>
        <v>0</v>
      </c>
      <c r="Q346" s="914"/>
      <c r="R346" s="914">
        <f t="shared" si="56"/>
        <v>0</v>
      </c>
      <c r="S346" s="914"/>
      <c r="T346" s="914">
        <f t="shared" si="57"/>
        <v>0</v>
      </c>
      <c r="U346" s="915">
        <f t="shared" si="59"/>
        <v>0</v>
      </c>
      <c r="V346" s="914">
        <f t="shared" si="58"/>
        <v>0</v>
      </c>
    </row>
    <row r="347" spans="1:22" ht="231.75" hidden="1" customHeight="1">
      <c r="A347" s="943"/>
      <c r="B347" s="906" t="s">
        <v>1936</v>
      </c>
      <c r="C347" s="913">
        <f>ROUND(DATA!K1485,2)</f>
        <v>39.130000000000003</v>
      </c>
      <c r="D347" s="908" t="s">
        <v>823</v>
      </c>
      <c r="E347" s="914"/>
      <c r="F347" s="1053">
        <f t="shared" si="54"/>
        <v>0</v>
      </c>
      <c r="G347" s="914"/>
      <c r="H347" s="914">
        <f t="shared" si="60"/>
        <v>0</v>
      </c>
      <c r="I347" s="914"/>
      <c r="J347" s="914">
        <f t="shared" si="61"/>
        <v>0</v>
      </c>
      <c r="K347" s="914"/>
      <c r="L347" s="914">
        <f t="shared" si="62"/>
        <v>0</v>
      </c>
      <c r="M347" s="914"/>
      <c r="N347" s="914">
        <f t="shared" si="63"/>
        <v>0</v>
      </c>
      <c r="O347" s="914"/>
      <c r="P347" s="914">
        <f t="shared" si="55"/>
        <v>0</v>
      </c>
      <c r="Q347" s="914"/>
      <c r="R347" s="914">
        <f t="shared" si="56"/>
        <v>0</v>
      </c>
      <c r="S347" s="914"/>
      <c r="T347" s="914">
        <f t="shared" si="57"/>
        <v>0</v>
      </c>
      <c r="U347" s="915">
        <f t="shared" si="59"/>
        <v>0</v>
      </c>
      <c r="V347" s="914">
        <f t="shared" si="58"/>
        <v>0</v>
      </c>
    </row>
    <row r="348" spans="1:22" ht="231.75" hidden="1" customHeight="1">
      <c r="A348" s="905">
        <v>37.1</v>
      </c>
      <c r="B348" s="906" t="s">
        <v>6627</v>
      </c>
      <c r="C348" s="913">
        <f>ROUND(DATA!K1498,2)</f>
        <v>45.28</v>
      </c>
      <c r="D348" s="908" t="s">
        <v>1834</v>
      </c>
      <c r="E348" s="914"/>
      <c r="F348" s="1053">
        <f t="shared" si="54"/>
        <v>0</v>
      </c>
      <c r="G348" s="914"/>
      <c r="H348" s="914">
        <f t="shared" si="60"/>
        <v>0</v>
      </c>
      <c r="I348" s="914"/>
      <c r="J348" s="914">
        <f t="shared" si="61"/>
        <v>0</v>
      </c>
      <c r="K348" s="914"/>
      <c r="L348" s="914">
        <f t="shared" si="62"/>
        <v>0</v>
      </c>
      <c r="M348" s="914"/>
      <c r="N348" s="914">
        <f t="shared" si="63"/>
        <v>0</v>
      </c>
      <c r="O348" s="914"/>
      <c r="P348" s="914">
        <f t="shared" si="55"/>
        <v>0</v>
      </c>
      <c r="Q348" s="914"/>
      <c r="R348" s="914">
        <f t="shared" si="56"/>
        <v>0</v>
      </c>
      <c r="S348" s="914"/>
      <c r="T348" s="914">
        <f t="shared" si="57"/>
        <v>0</v>
      </c>
      <c r="U348" s="915">
        <f t="shared" si="59"/>
        <v>0</v>
      </c>
      <c r="V348" s="914">
        <f t="shared" si="58"/>
        <v>0</v>
      </c>
    </row>
    <row r="349" spans="1:22" ht="231.75" hidden="1" customHeight="1">
      <c r="A349" s="905">
        <v>37.200000000000003</v>
      </c>
      <c r="B349" s="906" t="s">
        <v>6628</v>
      </c>
      <c r="C349" s="921">
        <f>DATA!R407</f>
        <v>50.33</v>
      </c>
      <c r="D349" s="908" t="s">
        <v>1834</v>
      </c>
      <c r="E349" s="919"/>
      <c r="F349" s="1053">
        <f t="shared" si="54"/>
        <v>0</v>
      </c>
      <c r="G349" s="919"/>
      <c r="H349" s="914">
        <f t="shared" si="60"/>
        <v>0</v>
      </c>
      <c r="I349" s="919"/>
      <c r="J349" s="914">
        <f t="shared" si="61"/>
        <v>0</v>
      </c>
      <c r="K349" s="914"/>
      <c r="L349" s="914">
        <f t="shared" si="62"/>
        <v>0</v>
      </c>
      <c r="M349" s="919"/>
      <c r="N349" s="914">
        <f t="shared" si="63"/>
        <v>0</v>
      </c>
      <c r="O349" s="919"/>
      <c r="P349" s="914">
        <f t="shared" si="55"/>
        <v>0</v>
      </c>
      <c r="Q349" s="919"/>
      <c r="R349" s="914">
        <f t="shared" si="56"/>
        <v>0</v>
      </c>
      <c r="S349" s="919"/>
      <c r="T349" s="914">
        <f t="shared" si="57"/>
        <v>0</v>
      </c>
      <c r="U349" s="915">
        <f t="shared" si="59"/>
        <v>0</v>
      </c>
      <c r="V349" s="914">
        <f t="shared" si="58"/>
        <v>0</v>
      </c>
    </row>
    <row r="350" spans="1:22" ht="231.75" hidden="1" customHeight="1">
      <c r="A350" s="905">
        <v>38.1</v>
      </c>
      <c r="B350" s="906" t="s">
        <v>1937</v>
      </c>
      <c r="C350" s="921">
        <f>ROUND(DATA!K1513,2)</f>
        <v>196.76</v>
      </c>
      <c r="D350" s="908" t="s">
        <v>1834</v>
      </c>
      <c r="E350" s="919"/>
      <c r="F350" s="1053">
        <f t="shared" si="54"/>
        <v>0</v>
      </c>
      <c r="G350" s="919"/>
      <c r="H350" s="914">
        <f t="shared" si="60"/>
        <v>0</v>
      </c>
      <c r="I350" s="919"/>
      <c r="J350" s="914">
        <f t="shared" si="61"/>
        <v>0</v>
      </c>
      <c r="K350" s="914"/>
      <c r="L350" s="914">
        <f t="shared" si="62"/>
        <v>0</v>
      </c>
      <c r="M350" s="919"/>
      <c r="N350" s="914">
        <f t="shared" si="63"/>
        <v>0</v>
      </c>
      <c r="O350" s="919"/>
      <c r="P350" s="914">
        <f t="shared" si="55"/>
        <v>0</v>
      </c>
      <c r="Q350" s="919"/>
      <c r="R350" s="914">
        <f t="shared" si="56"/>
        <v>0</v>
      </c>
      <c r="S350" s="919"/>
      <c r="T350" s="914">
        <f t="shared" si="57"/>
        <v>0</v>
      </c>
      <c r="U350" s="915">
        <f t="shared" si="59"/>
        <v>0</v>
      </c>
      <c r="V350" s="914">
        <f t="shared" si="58"/>
        <v>0</v>
      </c>
    </row>
    <row r="351" spans="1:22" ht="231.75" hidden="1" customHeight="1">
      <c r="A351" s="905">
        <v>38.200000000000003</v>
      </c>
      <c r="B351" s="906" t="s">
        <v>31</v>
      </c>
      <c r="C351" s="921">
        <f>ROUND(DATA!K1526,2)</f>
        <v>163.93</v>
      </c>
      <c r="D351" s="908" t="s">
        <v>1834</v>
      </c>
      <c r="E351" s="919"/>
      <c r="F351" s="1053">
        <f t="shared" si="54"/>
        <v>0</v>
      </c>
      <c r="G351" s="919"/>
      <c r="H351" s="914">
        <f t="shared" si="60"/>
        <v>0</v>
      </c>
      <c r="I351" s="919"/>
      <c r="J351" s="914">
        <f t="shared" si="61"/>
        <v>0</v>
      </c>
      <c r="K351" s="914"/>
      <c r="L351" s="914">
        <f t="shared" si="62"/>
        <v>0</v>
      </c>
      <c r="M351" s="919"/>
      <c r="N351" s="914">
        <f t="shared" si="63"/>
        <v>0</v>
      </c>
      <c r="O351" s="919"/>
      <c r="P351" s="914">
        <f t="shared" si="55"/>
        <v>0</v>
      </c>
      <c r="Q351" s="919"/>
      <c r="R351" s="914">
        <f t="shared" si="56"/>
        <v>0</v>
      </c>
      <c r="S351" s="919"/>
      <c r="T351" s="914">
        <f t="shared" si="57"/>
        <v>0</v>
      </c>
      <c r="U351" s="915">
        <f t="shared" si="59"/>
        <v>0</v>
      </c>
      <c r="V351" s="914">
        <f t="shared" si="58"/>
        <v>0</v>
      </c>
    </row>
    <row r="352" spans="1:22" ht="145.5" customHeight="1">
      <c r="A352" s="905">
        <v>39</v>
      </c>
      <c r="B352" s="906" t="s">
        <v>1938</v>
      </c>
      <c r="C352" s="913">
        <f>DATA!K1193</f>
        <v>70.150000000000006</v>
      </c>
      <c r="D352" s="908" t="s">
        <v>265</v>
      </c>
      <c r="E352" s="914">
        <v>18</v>
      </c>
      <c r="F352" s="1053">
        <f t="shared" si="54"/>
        <v>1262.7</v>
      </c>
      <c r="G352" s="914"/>
      <c r="H352" s="914">
        <f t="shared" si="60"/>
        <v>0</v>
      </c>
      <c r="I352" s="914"/>
      <c r="J352" s="914">
        <f t="shared" si="61"/>
        <v>0</v>
      </c>
      <c r="K352" s="1181">
        <v>493.3</v>
      </c>
      <c r="L352" s="914">
        <f t="shared" si="62"/>
        <v>34605</v>
      </c>
      <c r="M352" s="914"/>
      <c r="N352" s="914">
        <f t="shared" si="63"/>
        <v>0</v>
      </c>
      <c r="O352" s="914"/>
      <c r="P352" s="914">
        <f t="shared" si="55"/>
        <v>0</v>
      </c>
      <c r="Q352" s="914"/>
      <c r="R352" s="914">
        <f t="shared" si="56"/>
        <v>0</v>
      </c>
      <c r="S352" s="914"/>
      <c r="T352" s="914">
        <f t="shared" si="57"/>
        <v>0</v>
      </c>
      <c r="U352" s="915">
        <f t="shared" si="59"/>
        <v>511.3</v>
      </c>
      <c r="V352" s="914">
        <f t="shared" si="58"/>
        <v>35867.699999999997</v>
      </c>
    </row>
    <row r="353" spans="1:22" ht="145.5" customHeight="1">
      <c r="A353" s="905">
        <v>40</v>
      </c>
      <c r="B353" s="906" t="s">
        <v>2031</v>
      </c>
      <c r="C353" s="913">
        <f>ROUND(DATA!K1540,2)</f>
        <v>233.74</v>
      </c>
      <c r="D353" s="908" t="s">
        <v>1834</v>
      </c>
      <c r="E353" s="914"/>
      <c r="F353" s="1053">
        <f t="shared" si="54"/>
        <v>0</v>
      </c>
      <c r="G353" s="914"/>
      <c r="H353" s="914">
        <f t="shared" si="60"/>
        <v>0</v>
      </c>
      <c r="I353" s="914"/>
      <c r="J353" s="914">
        <f t="shared" si="61"/>
        <v>0</v>
      </c>
      <c r="K353" s="914"/>
      <c r="L353" s="914">
        <f t="shared" si="62"/>
        <v>0</v>
      </c>
      <c r="M353" s="914"/>
      <c r="N353" s="914">
        <f t="shared" si="63"/>
        <v>0</v>
      </c>
      <c r="O353" s="914"/>
      <c r="P353" s="914">
        <f t="shared" si="55"/>
        <v>0</v>
      </c>
      <c r="Q353" s="914"/>
      <c r="R353" s="914">
        <f t="shared" si="56"/>
        <v>0</v>
      </c>
      <c r="S353" s="914"/>
      <c r="T353" s="914">
        <f t="shared" si="57"/>
        <v>0</v>
      </c>
      <c r="U353" s="915">
        <f t="shared" si="59"/>
        <v>0</v>
      </c>
      <c r="V353" s="914">
        <f t="shared" si="58"/>
        <v>0</v>
      </c>
    </row>
    <row r="354" spans="1:22" ht="145.5" customHeight="1">
      <c r="A354" s="905">
        <v>41</v>
      </c>
      <c r="B354" s="906" t="s">
        <v>1939</v>
      </c>
      <c r="C354" s="913">
        <f>ROUND(DATA!K1553,2)</f>
        <v>138.35</v>
      </c>
      <c r="D354" s="908" t="s">
        <v>1834</v>
      </c>
      <c r="E354" s="914">
        <v>3</v>
      </c>
      <c r="F354" s="1053">
        <f t="shared" si="54"/>
        <v>415.05</v>
      </c>
      <c r="G354" s="914"/>
      <c r="H354" s="914">
        <f t="shared" si="60"/>
        <v>0</v>
      </c>
      <c r="I354" s="914"/>
      <c r="J354" s="914">
        <f t="shared" si="61"/>
        <v>0</v>
      </c>
      <c r="K354" s="914">
        <v>25.9</v>
      </c>
      <c r="L354" s="914">
        <f t="shared" si="62"/>
        <v>3583.27</v>
      </c>
      <c r="M354" s="914"/>
      <c r="N354" s="914">
        <f t="shared" si="63"/>
        <v>0</v>
      </c>
      <c r="O354" s="914"/>
      <c r="P354" s="914">
        <f t="shared" si="55"/>
        <v>0</v>
      </c>
      <c r="Q354" s="914"/>
      <c r="R354" s="914">
        <f t="shared" si="56"/>
        <v>0</v>
      </c>
      <c r="S354" s="914"/>
      <c r="T354" s="914">
        <f t="shared" si="57"/>
        <v>0</v>
      </c>
      <c r="U354" s="915">
        <f t="shared" si="59"/>
        <v>28.9</v>
      </c>
      <c r="V354" s="914">
        <f t="shared" si="58"/>
        <v>3998.32</v>
      </c>
    </row>
    <row r="355" spans="1:22" ht="145.5" hidden="1" customHeight="1">
      <c r="A355" s="905">
        <v>42</v>
      </c>
      <c r="B355" s="906" t="s">
        <v>6629</v>
      </c>
      <c r="C355" s="921"/>
      <c r="D355" s="908"/>
      <c r="E355" s="919"/>
      <c r="F355" s="1053">
        <f t="shared" ref="F355:F418" si="64">E355*C355</f>
        <v>0</v>
      </c>
      <c r="G355" s="919"/>
      <c r="H355" s="914">
        <f t="shared" si="60"/>
        <v>0</v>
      </c>
      <c r="I355" s="919"/>
      <c r="J355" s="914">
        <f t="shared" si="61"/>
        <v>0</v>
      </c>
      <c r="K355" s="914"/>
      <c r="L355" s="914">
        <f t="shared" si="62"/>
        <v>0</v>
      </c>
      <c r="M355" s="919"/>
      <c r="N355" s="914">
        <f t="shared" si="63"/>
        <v>0</v>
      </c>
      <c r="O355" s="919"/>
      <c r="P355" s="914">
        <f t="shared" si="55"/>
        <v>0</v>
      </c>
      <c r="Q355" s="919"/>
      <c r="R355" s="914">
        <f t="shared" si="56"/>
        <v>0</v>
      </c>
      <c r="S355" s="919"/>
      <c r="T355" s="914">
        <f t="shared" si="57"/>
        <v>0</v>
      </c>
      <c r="U355" s="915">
        <f t="shared" si="59"/>
        <v>0</v>
      </c>
      <c r="V355" s="914">
        <f t="shared" si="58"/>
        <v>0</v>
      </c>
    </row>
    <row r="356" spans="1:22" ht="145.5" hidden="1" customHeight="1">
      <c r="A356" s="927"/>
      <c r="B356" s="906" t="s">
        <v>2051</v>
      </c>
      <c r="C356" s="921">
        <f>ROUND(DATA!K1582,2)</f>
        <v>90882</v>
      </c>
      <c r="D356" s="908" t="s">
        <v>525</v>
      </c>
      <c r="E356" s="919"/>
      <c r="F356" s="1053">
        <f t="shared" si="64"/>
        <v>0</v>
      </c>
      <c r="G356" s="919"/>
      <c r="H356" s="914">
        <f t="shared" si="60"/>
        <v>0</v>
      </c>
      <c r="I356" s="919"/>
      <c r="J356" s="914">
        <f t="shared" si="61"/>
        <v>0</v>
      </c>
      <c r="K356" s="914"/>
      <c r="L356" s="914">
        <f t="shared" si="62"/>
        <v>0</v>
      </c>
      <c r="M356" s="919"/>
      <c r="N356" s="914">
        <f t="shared" si="63"/>
        <v>0</v>
      </c>
      <c r="O356" s="919"/>
      <c r="P356" s="914">
        <f t="shared" si="55"/>
        <v>0</v>
      </c>
      <c r="Q356" s="919"/>
      <c r="R356" s="914">
        <f t="shared" si="56"/>
        <v>0</v>
      </c>
      <c r="S356" s="919"/>
      <c r="T356" s="914">
        <f t="shared" si="57"/>
        <v>0</v>
      </c>
      <c r="U356" s="915">
        <f t="shared" si="59"/>
        <v>0</v>
      </c>
      <c r="V356" s="914">
        <f t="shared" si="58"/>
        <v>0</v>
      </c>
    </row>
    <row r="357" spans="1:22" ht="145.5" hidden="1" customHeight="1">
      <c r="A357" s="931"/>
      <c r="B357" s="906" t="s">
        <v>2052</v>
      </c>
      <c r="C357" s="921">
        <f>ROUND(DATA!K1595,2)</f>
        <v>90882</v>
      </c>
      <c r="D357" s="908" t="s">
        <v>525</v>
      </c>
      <c r="E357" s="919"/>
      <c r="F357" s="1053">
        <f t="shared" si="64"/>
        <v>0</v>
      </c>
      <c r="G357" s="919"/>
      <c r="H357" s="914">
        <f t="shared" si="60"/>
        <v>0</v>
      </c>
      <c r="I357" s="919"/>
      <c r="J357" s="914">
        <f t="shared" si="61"/>
        <v>0</v>
      </c>
      <c r="K357" s="914"/>
      <c r="L357" s="914">
        <f t="shared" si="62"/>
        <v>0</v>
      </c>
      <c r="M357" s="919"/>
      <c r="N357" s="914">
        <f t="shared" si="63"/>
        <v>0</v>
      </c>
      <c r="O357" s="919"/>
      <c r="P357" s="914">
        <f t="shared" si="55"/>
        <v>0</v>
      </c>
      <c r="Q357" s="919"/>
      <c r="R357" s="914">
        <f t="shared" si="56"/>
        <v>0</v>
      </c>
      <c r="S357" s="919"/>
      <c r="T357" s="914">
        <f t="shared" si="57"/>
        <v>0</v>
      </c>
      <c r="U357" s="915">
        <f t="shared" si="59"/>
        <v>0</v>
      </c>
      <c r="V357" s="914">
        <f t="shared" si="58"/>
        <v>0</v>
      </c>
    </row>
    <row r="358" spans="1:22" ht="145.5" hidden="1" customHeight="1">
      <c r="A358" s="905">
        <v>43</v>
      </c>
      <c r="B358" s="906" t="s">
        <v>6630</v>
      </c>
      <c r="C358" s="921"/>
      <c r="D358" s="908"/>
      <c r="E358" s="919"/>
      <c r="F358" s="1053">
        <f t="shared" si="64"/>
        <v>0</v>
      </c>
      <c r="G358" s="919"/>
      <c r="H358" s="914">
        <f t="shared" si="60"/>
        <v>0</v>
      </c>
      <c r="I358" s="919"/>
      <c r="J358" s="914">
        <f t="shared" si="61"/>
        <v>0</v>
      </c>
      <c r="K358" s="914"/>
      <c r="L358" s="914">
        <f t="shared" si="62"/>
        <v>0</v>
      </c>
      <c r="M358" s="919"/>
      <c r="N358" s="914">
        <f t="shared" si="63"/>
        <v>0</v>
      </c>
      <c r="O358" s="919"/>
      <c r="P358" s="914">
        <f t="shared" si="55"/>
        <v>0</v>
      </c>
      <c r="Q358" s="919"/>
      <c r="R358" s="914">
        <f t="shared" si="56"/>
        <v>0</v>
      </c>
      <c r="S358" s="919"/>
      <c r="T358" s="914">
        <f t="shared" si="57"/>
        <v>0</v>
      </c>
      <c r="U358" s="915">
        <f t="shared" si="59"/>
        <v>0</v>
      </c>
      <c r="V358" s="914">
        <f t="shared" si="58"/>
        <v>0</v>
      </c>
    </row>
    <row r="359" spans="1:22" ht="145.5" hidden="1" customHeight="1">
      <c r="A359" s="927"/>
      <c r="B359" s="906" t="s">
        <v>2051</v>
      </c>
      <c r="C359" s="921">
        <f>ROUND(DATA!K1608,2)</f>
        <v>88873.5</v>
      </c>
      <c r="D359" s="908" t="s">
        <v>525</v>
      </c>
      <c r="E359" s="919"/>
      <c r="F359" s="1053">
        <f t="shared" si="64"/>
        <v>0</v>
      </c>
      <c r="G359" s="919"/>
      <c r="H359" s="914">
        <f t="shared" si="60"/>
        <v>0</v>
      </c>
      <c r="I359" s="919"/>
      <c r="J359" s="914">
        <f t="shared" si="61"/>
        <v>0</v>
      </c>
      <c r="K359" s="914"/>
      <c r="L359" s="914">
        <f t="shared" si="62"/>
        <v>0</v>
      </c>
      <c r="M359" s="919"/>
      <c r="N359" s="914">
        <f t="shared" si="63"/>
        <v>0</v>
      </c>
      <c r="O359" s="919"/>
      <c r="P359" s="914">
        <f t="shared" si="55"/>
        <v>0</v>
      </c>
      <c r="Q359" s="919"/>
      <c r="R359" s="914">
        <f t="shared" si="56"/>
        <v>0</v>
      </c>
      <c r="S359" s="919"/>
      <c r="T359" s="914">
        <f t="shared" si="57"/>
        <v>0</v>
      </c>
      <c r="U359" s="915">
        <f t="shared" si="59"/>
        <v>0</v>
      </c>
      <c r="V359" s="914">
        <f t="shared" si="58"/>
        <v>0</v>
      </c>
    </row>
    <row r="360" spans="1:22" ht="145.5" hidden="1" customHeight="1">
      <c r="A360" s="931"/>
      <c r="B360" s="906" t="s">
        <v>2052</v>
      </c>
      <c r="C360" s="921">
        <f>ROUND(DATA!K1620,2)</f>
        <v>88873.5</v>
      </c>
      <c r="D360" s="908" t="s">
        <v>525</v>
      </c>
      <c r="E360" s="919"/>
      <c r="F360" s="1053">
        <f t="shared" si="64"/>
        <v>0</v>
      </c>
      <c r="G360" s="919"/>
      <c r="H360" s="914">
        <f t="shared" si="60"/>
        <v>0</v>
      </c>
      <c r="I360" s="919"/>
      <c r="J360" s="914">
        <f t="shared" si="61"/>
        <v>0</v>
      </c>
      <c r="K360" s="914"/>
      <c r="L360" s="914">
        <f t="shared" si="62"/>
        <v>0</v>
      </c>
      <c r="M360" s="919"/>
      <c r="N360" s="914">
        <f t="shared" si="63"/>
        <v>0</v>
      </c>
      <c r="O360" s="919"/>
      <c r="P360" s="914">
        <f t="shared" si="55"/>
        <v>0</v>
      </c>
      <c r="Q360" s="919"/>
      <c r="R360" s="914">
        <f t="shared" si="56"/>
        <v>0</v>
      </c>
      <c r="S360" s="919"/>
      <c r="T360" s="914">
        <f t="shared" si="57"/>
        <v>0</v>
      </c>
      <c r="U360" s="915">
        <f t="shared" si="59"/>
        <v>0</v>
      </c>
      <c r="V360" s="914">
        <f t="shared" si="58"/>
        <v>0</v>
      </c>
    </row>
    <row r="361" spans="1:22" ht="145.5" hidden="1" customHeight="1">
      <c r="A361" s="905">
        <v>44.1</v>
      </c>
      <c r="B361" s="906" t="s">
        <v>6631</v>
      </c>
      <c r="C361" s="921">
        <f>ROUND(DATA!K1638,2)</f>
        <v>343.11</v>
      </c>
      <c r="D361" s="908" t="s">
        <v>823</v>
      </c>
      <c r="E361" s="919"/>
      <c r="F361" s="1053">
        <f t="shared" si="64"/>
        <v>0</v>
      </c>
      <c r="G361" s="919"/>
      <c r="H361" s="914">
        <f t="shared" si="60"/>
        <v>0</v>
      </c>
      <c r="I361" s="919"/>
      <c r="J361" s="914">
        <f t="shared" si="61"/>
        <v>0</v>
      </c>
      <c r="K361" s="914"/>
      <c r="L361" s="914">
        <f t="shared" si="62"/>
        <v>0</v>
      </c>
      <c r="M361" s="919"/>
      <c r="N361" s="914">
        <f t="shared" si="63"/>
        <v>0</v>
      </c>
      <c r="O361" s="919"/>
      <c r="P361" s="914">
        <f t="shared" si="55"/>
        <v>0</v>
      </c>
      <c r="Q361" s="919"/>
      <c r="R361" s="914">
        <f t="shared" si="56"/>
        <v>0</v>
      </c>
      <c r="S361" s="919"/>
      <c r="T361" s="914">
        <f t="shared" si="57"/>
        <v>0</v>
      </c>
      <c r="U361" s="915">
        <f t="shared" si="59"/>
        <v>0</v>
      </c>
      <c r="V361" s="914">
        <f t="shared" si="58"/>
        <v>0</v>
      </c>
    </row>
    <row r="362" spans="1:22" ht="145.5" hidden="1" customHeight="1">
      <c r="A362" s="905">
        <v>44.2</v>
      </c>
      <c r="B362" s="906" t="s">
        <v>851</v>
      </c>
      <c r="C362" s="921"/>
      <c r="D362" s="908" t="s">
        <v>1393</v>
      </c>
      <c r="E362" s="919"/>
      <c r="F362" s="1053">
        <f t="shared" si="64"/>
        <v>0</v>
      </c>
      <c r="G362" s="919"/>
      <c r="H362" s="914">
        <f t="shared" si="60"/>
        <v>0</v>
      </c>
      <c r="I362" s="919"/>
      <c r="J362" s="914">
        <f t="shared" si="61"/>
        <v>0</v>
      </c>
      <c r="K362" s="914"/>
      <c r="L362" s="914">
        <f t="shared" si="62"/>
        <v>0</v>
      </c>
      <c r="M362" s="919"/>
      <c r="N362" s="914">
        <f t="shared" si="63"/>
        <v>0</v>
      </c>
      <c r="O362" s="919"/>
      <c r="P362" s="914">
        <f t="shared" si="55"/>
        <v>0</v>
      </c>
      <c r="Q362" s="919"/>
      <c r="R362" s="914">
        <f t="shared" si="56"/>
        <v>0</v>
      </c>
      <c r="S362" s="919"/>
      <c r="T362" s="914">
        <f t="shared" si="57"/>
        <v>0</v>
      </c>
      <c r="U362" s="915">
        <f t="shared" si="59"/>
        <v>0</v>
      </c>
      <c r="V362" s="914">
        <f t="shared" si="58"/>
        <v>0</v>
      </c>
    </row>
    <row r="363" spans="1:22" s="920" customFormat="1" ht="145.5" hidden="1" customHeight="1">
      <c r="A363" s="916">
        <v>45</v>
      </c>
      <c r="B363" s="925" t="s">
        <v>6632</v>
      </c>
      <c r="C363" s="918">
        <f>ROUND(DATA!K1653,2)</f>
        <v>322.60000000000002</v>
      </c>
      <c r="D363" s="898" t="s">
        <v>1834</v>
      </c>
      <c r="E363" s="919"/>
      <c r="F363" s="1053">
        <f t="shared" si="64"/>
        <v>0</v>
      </c>
      <c r="G363" s="919"/>
      <c r="H363" s="914">
        <f t="shared" si="60"/>
        <v>0</v>
      </c>
      <c r="I363" s="919"/>
      <c r="J363" s="914">
        <f t="shared" si="61"/>
        <v>0</v>
      </c>
      <c r="K363" s="914"/>
      <c r="L363" s="914">
        <f t="shared" si="62"/>
        <v>0</v>
      </c>
      <c r="M363" s="919"/>
      <c r="N363" s="914">
        <f t="shared" si="63"/>
        <v>0</v>
      </c>
      <c r="O363" s="919"/>
      <c r="P363" s="914">
        <f t="shared" si="55"/>
        <v>0</v>
      </c>
      <c r="Q363" s="919"/>
      <c r="R363" s="914">
        <f t="shared" si="56"/>
        <v>0</v>
      </c>
      <c r="S363" s="919"/>
      <c r="T363" s="914">
        <f t="shared" si="57"/>
        <v>0</v>
      </c>
      <c r="U363" s="915">
        <f t="shared" si="59"/>
        <v>0</v>
      </c>
      <c r="V363" s="914">
        <f t="shared" si="58"/>
        <v>0</v>
      </c>
    </row>
    <row r="364" spans="1:22" ht="145.5" hidden="1" customHeight="1">
      <c r="A364" s="905">
        <v>46</v>
      </c>
      <c r="B364" s="906" t="s">
        <v>760</v>
      </c>
      <c r="C364" s="913">
        <f>ROUND(DATA!K1670,2)</f>
        <v>58</v>
      </c>
      <c r="D364" s="908" t="s">
        <v>823</v>
      </c>
      <c r="E364" s="914"/>
      <c r="F364" s="1053">
        <f t="shared" si="64"/>
        <v>0</v>
      </c>
      <c r="G364" s="914"/>
      <c r="H364" s="914">
        <f t="shared" si="60"/>
        <v>0</v>
      </c>
      <c r="I364" s="914"/>
      <c r="J364" s="914">
        <f t="shared" si="61"/>
        <v>0</v>
      </c>
      <c r="K364" s="914"/>
      <c r="L364" s="914">
        <f t="shared" si="62"/>
        <v>0</v>
      </c>
      <c r="M364" s="914"/>
      <c r="N364" s="914">
        <f t="shared" si="63"/>
        <v>0</v>
      </c>
      <c r="O364" s="914"/>
      <c r="P364" s="914">
        <f t="shared" si="55"/>
        <v>0</v>
      </c>
      <c r="Q364" s="914"/>
      <c r="R364" s="914">
        <f t="shared" si="56"/>
        <v>0</v>
      </c>
      <c r="S364" s="914"/>
      <c r="T364" s="914">
        <f t="shared" si="57"/>
        <v>0</v>
      </c>
      <c r="U364" s="915">
        <f t="shared" si="59"/>
        <v>0</v>
      </c>
      <c r="V364" s="914">
        <f t="shared" si="58"/>
        <v>0</v>
      </c>
    </row>
    <row r="365" spans="1:22" ht="145.5" hidden="1" customHeight="1">
      <c r="A365" s="905">
        <v>47</v>
      </c>
      <c r="B365" s="906" t="s">
        <v>915</v>
      </c>
      <c r="C365" s="913">
        <f>ROUND(DATA!K1682,2)</f>
        <v>95</v>
      </c>
      <c r="D365" s="908" t="s">
        <v>1393</v>
      </c>
      <c r="E365" s="914"/>
      <c r="F365" s="1053">
        <f t="shared" si="64"/>
        <v>0</v>
      </c>
      <c r="G365" s="914"/>
      <c r="H365" s="914">
        <f t="shared" si="60"/>
        <v>0</v>
      </c>
      <c r="I365" s="914"/>
      <c r="J365" s="914">
        <f t="shared" si="61"/>
        <v>0</v>
      </c>
      <c r="K365" s="914"/>
      <c r="L365" s="914">
        <f t="shared" si="62"/>
        <v>0</v>
      </c>
      <c r="M365" s="914"/>
      <c r="N365" s="914">
        <f t="shared" si="63"/>
        <v>0</v>
      </c>
      <c r="O365" s="914"/>
      <c r="P365" s="914">
        <f t="shared" si="55"/>
        <v>0</v>
      </c>
      <c r="Q365" s="914"/>
      <c r="R365" s="914">
        <f t="shared" si="56"/>
        <v>0</v>
      </c>
      <c r="S365" s="914"/>
      <c r="T365" s="914">
        <f t="shared" si="57"/>
        <v>0</v>
      </c>
      <c r="U365" s="915">
        <f t="shared" si="59"/>
        <v>0</v>
      </c>
      <c r="V365" s="914">
        <f t="shared" si="58"/>
        <v>0</v>
      </c>
    </row>
    <row r="366" spans="1:22" ht="145.5" hidden="1" customHeight="1">
      <c r="A366" s="905">
        <v>48</v>
      </c>
      <c r="B366" s="906" t="s">
        <v>1831</v>
      </c>
      <c r="C366" s="913">
        <f>ROUND(DATA!K1690,2)</f>
        <v>55</v>
      </c>
      <c r="D366" s="908" t="s">
        <v>1393</v>
      </c>
      <c r="E366" s="914"/>
      <c r="F366" s="1053">
        <f t="shared" si="64"/>
        <v>0</v>
      </c>
      <c r="G366" s="914"/>
      <c r="H366" s="914">
        <f t="shared" si="60"/>
        <v>0</v>
      </c>
      <c r="I366" s="914"/>
      <c r="J366" s="914">
        <f t="shared" si="61"/>
        <v>0</v>
      </c>
      <c r="K366" s="914"/>
      <c r="L366" s="914">
        <f t="shared" si="62"/>
        <v>0</v>
      </c>
      <c r="M366" s="914"/>
      <c r="N366" s="914">
        <f t="shared" si="63"/>
        <v>0</v>
      </c>
      <c r="O366" s="914"/>
      <c r="P366" s="914">
        <f t="shared" si="55"/>
        <v>0</v>
      </c>
      <c r="Q366" s="914"/>
      <c r="R366" s="914">
        <f t="shared" si="56"/>
        <v>0</v>
      </c>
      <c r="S366" s="914"/>
      <c r="T366" s="914">
        <f t="shared" si="57"/>
        <v>0</v>
      </c>
      <c r="U366" s="915">
        <f t="shared" si="59"/>
        <v>0</v>
      </c>
      <c r="V366" s="914">
        <f t="shared" si="58"/>
        <v>0</v>
      </c>
    </row>
    <row r="367" spans="1:22" ht="145.5" hidden="1" customHeight="1">
      <c r="A367" s="905">
        <v>49</v>
      </c>
      <c r="B367" s="906" t="s">
        <v>1832</v>
      </c>
      <c r="C367" s="913">
        <f>ROUND(DATA!K1697,2)</f>
        <v>1.5</v>
      </c>
      <c r="D367" s="908" t="s">
        <v>1393</v>
      </c>
      <c r="E367" s="914"/>
      <c r="F367" s="1053">
        <f t="shared" si="64"/>
        <v>0</v>
      </c>
      <c r="G367" s="914"/>
      <c r="H367" s="914">
        <f t="shared" si="60"/>
        <v>0</v>
      </c>
      <c r="I367" s="914"/>
      <c r="J367" s="914">
        <f t="shared" si="61"/>
        <v>0</v>
      </c>
      <c r="K367" s="914"/>
      <c r="L367" s="914">
        <f t="shared" si="62"/>
        <v>0</v>
      </c>
      <c r="M367" s="914"/>
      <c r="N367" s="914">
        <f t="shared" si="63"/>
        <v>0</v>
      </c>
      <c r="O367" s="914"/>
      <c r="P367" s="914">
        <f t="shared" si="55"/>
        <v>0</v>
      </c>
      <c r="Q367" s="914"/>
      <c r="R367" s="914">
        <f t="shared" si="56"/>
        <v>0</v>
      </c>
      <c r="S367" s="914"/>
      <c r="T367" s="914">
        <f t="shared" si="57"/>
        <v>0</v>
      </c>
      <c r="U367" s="915">
        <f t="shared" si="59"/>
        <v>0</v>
      </c>
      <c r="V367" s="914">
        <f t="shared" si="58"/>
        <v>0</v>
      </c>
    </row>
    <row r="368" spans="1:22" ht="145.5" hidden="1" customHeight="1">
      <c r="A368" s="905">
        <v>50.1</v>
      </c>
      <c r="B368" s="906" t="s">
        <v>1833</v>
      </c>
      <c r="C368" s="921"/>
      <c r="D368" s="908" t="s">
        <v>1834</v>
      </c>
      <c r="E368" s="919"/>
      <c r="F368" s="1053">
        <f t="shared" si="64"/>
        <v>0</v>
      </c>
      <c r="G368" s="919"/>
      <c r="H368" s="914">
        <f t="shared" si="60"/>
        <v>0</v>
      </c>
      <c r="I368" s="919"/>
      <c r="J368" s="914">
        <f t="shared" si="61"/>
        <v>0</v>
      </c>
      <c r="K368" s="914"/>
      <c r="L368" s="914">
        <f t="shared" si="62"/>
        <v>0</v>
      </c>
      <c r="M368" s="919"/>
      <c r="N368" s="914">
        <f t="shared" si="63"/>
        <v>0</v>
      </c>
      <c r="O368" s="919"/>
      <c r="P368" s="914">
        <f t="shared" si="55"/>
        <v>0</v>
      </c>
      <c r="Q368" s="919"/>
      <c r="R368" s="914">
        <f t="shared" si="56"/>
        <v>0</v>
      </c>
      <c r="S368" s="919"/>
      <c r="T368" s="914">
        <f t="shared" si="57"/>
        <v>0</v>
      </c>
      <c r="U368" s="915">
        <f t="shared" si="59"/>
        <v>0</v>
      </c>
      <c r="V368" s="914">
        <f t="shared" si="58"/>
        <v>0</v>
      </c>
    </row>
    <row r="369" spans="1:22" ht="145.5" hidden="1" customHeight="1">
      <c r="A369" s="905">
        <v>50.2</v>
      </c>
      <c r="B369" s="906" t="s">
        <v>287</v>
      </c>
      <c r="C369" s="913">
        <f>ROUND(DATA!K1746,2)</f>
        <v>278.01</v>
      </c>
      <c r="D369" s="908" t="s">
        <v>823</v>
      </c>
      <c r="E369" s="914"/>
      <c r="F369" s="1053">
        <f t="shared" si="64"/>
        <v>0</v>
      </c>
      <c r="G369" s="914"/>
      <c r="H369" s="914">
        <f t="shared" si="60"/>
        <v>0</v>
      </c>
      <c r="I369" s="914"/>
      <c r="J369" s="914">
        <f t="shared" si="61"/>
        <v>0</v>
      </c>
      <c r="K369" s="914"/>
      <c r="L369" s="914">
        <f t="shared" si="62"/>
        <v>0</v>
      </c>
      <c r="M369" s="914"/>
      <c r="N369" s="914">
        <f t="shared" si="63"/>
        <v>0</v>
      </c>
      <c r="O369" s="914"/>
      <c r="P369" s="914">
        <f t="shared" si="55"/>
        <v>0</v>
      </c>
      <c r="Q369" s="914"/>
      <c r="R369" s="914">
        <f t="shared" si="56"/>
        <v>0</v>
      </c>
      <c r="S369" s="914"/>
      <c r="T369" s="914">
        <f t="shared" si="57"/>
        <v>0</v>
      </c>
      <c r="U369" s="915">
        <f t="shared" si="59"/>
        <v>0</v>
      </c>
      <c r="V369" s="914">
        <f t="shared" si="58"/>
        <v>0</v>
      </c>
    </row>
    <row r="370" spans="1:22" ht="145.5" hidden="1" customHeight="1">
      <c r="A370" s="905">
        <v>50.3</v>
      </c>
      <c r="B370" s="906" t="s">
        <v>2183</v>
      </c>
      <c r="C370" s="913">
        <f>ROUND(DATA!K1762,2)</f>
        <v>382.81</v>
      </c>
      <c r="D370" s="908" t="s">
        <v>1393</v>
      </c>
      <c r="E370" s="914"/>
      <c r="F370" s="1053">
        <f t="shared" si="64"/>
        <v>0</v>
      </c>
      <c r="G370" s="914"/>
      <c r="H370" s="914">
        <f t="shared" si="60"/>
        <v>0</v>
      </c>
      <c r="I370" s="914"/>
      <c r="J370" s="914">
        <f t="shared" si="61"/>
        <v>0</v>
      </c>
      <c r="K370" s="914"/>
      <c r="L370" s="914">
        <f t="shared" si="62"/>
        <v>0</v>
      </c>
      <c r="M370" s="914"/>
      <c r="N370" s="914">
        <f t="shared" si="63"/>
        <v>0</v>
      </c>
      <c r="O370" s="914"/>
      <c r="P370" s="914">
        <f t="shared" si="55"/>
        <v>0</v>
      </c>
      <c r="Q370" s="914"/>
      <c r="R370" s="914">
        <f t="shared" si="56"/>
        <v>0</v>
      </c>
      <c r="S370" s="914"/>
      <c r="T370" s="914">
        <f t="shared" si="57"/>
        <v>0</v>
      </c>
      <c r="U370" s="915">
        <f t="shared" si="59"/>
        <v>0</v>
      </c>
      <c r="V370" s="914">
        <f t="shared" si="58"/>
        <v>0</v>
      </c>
    </row>
    <row r="371" spans="1:22" ht="145.5" hidden="1" customHeight="1">
      <c r="A371" s="905">
        <v>50.4</v>
      </c>
      <c r="B371" s="906" t="s">
        <v>2184</v>
      </c>
      <c r="C371" s="913">
        <f>ROUND(DATA!K1775,2)</f>
        <v>884.89</v>
      </c>
      <c r="D371" s="908" t="s">
        <v>1393</v>
      </c>
      <c r="E371" s="914"/>
      <c r="F371" s="1053">
        <f t="shared" si="64"/>
        <v>0</v>
      </c>
      <c r="G371" s="914"/>
      <c r="H371" s="914">
        <f t="shared" si="60"/>
        <v>0</v>
      </c>
      <c r="I371" s="914"/>
      <c r="J371" s="914">
        <f t="shared" si="61"/>
        <v>0</v>
      </c>
      <c r="K371" s="914"/>
      <c r="L371" s="914">
        <f t="shared" si="62"/>
        <v>0</v>
      </c>
      <c r="M371" s="914"/>
      <c r="N371" s="914">
        <f t="shared" si="63"/>
        <v>0</v>
      </c>
      <c r="O371" s="914"/>
      <c r="P371" s="914">
        <f t="shared" si="55"/>
        <v>0</v>
      </c>
      <c r="Q371" s="914"/>
      <c r="R371" s="914">
        <f t="shared" si="56"/>
        <v>0</v>
      </c>
      <c r="S371" s="914"/>
      <c r="T371" s="914">
        <f t="shared" si="57"/>
        <v>0</v>
      </c>
      <c r="U371" s="915">
        <f t="shared" si="59"/>
        <v>0</v>
      </c>
      <c r="V371" s="914">
        <f t="shared" si="58"/>
        <v>0</v>
      </c>
    </row>
    <row r="372" spans="1:22" ht="145.5" hidden="1" customHeight="1">
      <c r="A372" s="905">
        <v>50.5</v>
      </c>
      <c r="B372" s="906" t="s">
        <v>388</v>
      </c>
      <c r="C372" s="913">
        <f>ROUND(DATA!K1790,2)</f>
        <v>19336.57</v>
      </c>
      <c r="D372" s="908" t="s">
        <v>1393</v>
      </c>
      <c r="E372" s="914"/>
      <c r="F372" s="1053">
        <f t="shared" si="64"/>
        <v>0</v>
      </c>
      <c r="G372" s="914"/>
      <c r="H372" s="914">
        <f t="shared" si="60"/>
        <v>0</v>
      </c>
      <c r="I372" s="914"/>
      <c r="J372" s="914">
        <f t="shared" si="61"/>
        <v>0</v>
      </c>
      <c r="K372" s="914"/>
      <c r="L372" s="914">
        <f t="shared" si="62"/>
        <v>0</v>
      </c>
      <c r="M372" s="914"/>
      <c r="N372" s="914">
        <f t="shared" si="63"/>
        <v>0</v>
      </c>
      <c r="O372" s="914"/>
      <c r="P372" s="914">
        <f t="shared" si="55"/>
        <v>0</v>
      </c>
      <c r="Q372" s="914"/>
      <c r="R372" s="914">
        <f t="shared" si="56"/>
        <v>0</v>
      </c>
      <c r="S372" s="914"/>
      <c r="T372" s="914">
        <f t="shared" si="57"/>
        <v>0</v>
      </c>
      <c r="U372" s="915">
        <f t="shared" si="59"/>
        <v>0</v>
      </c>
      <c r="V372" s="914">
        <f t="shared" si="58"/>
        <v>0</v>
      </c>
    </row>
    <row r="373" spans="1:22" ht="145.5" hidden="1" customHeight="1">
      <c r="A373" s="905">
        <v>51</v>
      </c>
      <c r="B373" s="906" t="s">
        <v>241</v>
      </c>
      <c r="C373" s="921">
        <f>ROUND(DATA!K1796,2)</f>
        <v>7035</v>
      </c>
      <c r="D373" s="908" t="s">
        <v>1393</v>
      </c>
      <c r="E373" s="919"/>
      <c r="F373" s="1053">
        <f t="shared" si="64"/>
        <v>0</v>
      </c>
      <c r="G373" s="919"/>
      <c r="H373" s="914">
        <f t="shared" si="60"/>
        <v>0</v>
      </c>
      <c r="I373" s="919"/>
      <c r="J373" s="914">
        <f t="shared" si="61"/>
        <v>0</v>
      </c>
      <c r="K373" s="914"/>
      <c r="L373" s="914">
        <f t="shared" si="62"/>
        <v>0</v>
      </c>
      <c r="M373" s="919"/>
      <c r="N373" s="914">
        <f t="shared" si="63"/>
        <v>0</v>
      </c>
      <c r="O373" s="919"/>
      <c r="P373" s="914">
        <f t="shared" si="55"/>
        <v>0</v>
      </c>
      <c r="Q373" s="919"/>
      <c r="R373" s="914">
        <f t="shared" si="56"/>
        <v>0</v>
      </c>
      <c r="S373" s="919"/>
      <c r="T373" s="914">
        <f t="shared" si="57"/>
        <v>0</v>
      </c>
      <c r="U373" s="915">
        <f t="shared" si="59"/>
        <v>0</v>
      </c>
      <c r="V373" s="914">
        <f t="shared" si="58"/>
        <v>0</v>
      </c>
    </row>
    <row r="374" spans="1:22" s="937" customFormat="1" ht="145.5" hidden="1" customHeight="1">
      <c r="A374" s="916">
        <v>52</v>
      </c>
      <c r="B374" s="925" t="s">
        <v>242</v>
      </c>
      <c r="C374" s="918"/>
      <c r="D374" s="898"/>
      <c r="E374" s="919"/>
      <c r="F374" s="1053">
        <f t="shared" si="64"/>
        <v>0</v>
      </c>
      <c r="G374" s="919"/>
      <c r="H374" s="914">
        <f t="shared" si="60"/>
        <v>0</v>
      </c>
      <c r="I374" s="919"/>
      <c r="J374" s="914">
        <f t="shared" si="61"/>
        <v>0</v>
      </c>
      <c r="K374" s="914"/>
      <c r="L374" s="914">
        <f t="shared" si="62"/>
        <v>0</v>
      </c>
      <c r="M374" s="919"/>
      <c r="N374" s="914">
        <f t="shared" si="63"/>
        <v>0</v>
      </c>
      <c r="O374" s="919"/>
      <c r="P374" s="914">
        <f t="shared" si="55"/>
        <v>0</v>
      </c>
      <c r="Q374" s="919"/>
      <c r="R374" s="914">
        <f t="shared" si="56"/>
        <v>0</v>
      </c>
      <c r="S374" s="919"/>
      <c r="T374" s="914">
        <f t="shared" si="57"/>
        <v>0</v>
      </c>
      <c r="U374" s="915">
        <f t="shared" si="59"/>
        <v>0</v>
      </c>
      <c r="V374" s="914">
        <f t="shared" si="58"/>
        <v>0</v>
      </c>
    </row>
    <row r="375" spans="1:22" s="937" customFormat="1" ht="145.5" hidden="1" customHeight="1">
      <c r="A375" s="936"/>
      <c r="B375" s="917" t="s">
        <v>46</v>
      </c>
      <c r="C375" s="918">
        <f>ROUND(DATA!K1890,2)</f>
        <v>252.01</v>
      </c>
      <c r="D375" s="898" t="s">
        <v>823</v>
      </c>
      <c r="E375" s="919"/>
      <c r="F375" s="1053">
        <f t="shared" si="64"/>
        <v>0</v>
      </c>
      <c r="G375" s="919"/>
      <c r="H375" s="914">
        <f t="shared" si="60"/>
        <v>0</v>
      </c>
      <c r="I375" s="919"/>
      <c r="J375" s="914">
        <f t="shared" si="61"/>
        <v>0</v>
      </c>
      <c r="K375" s="914"/>
      <c r="L375" s="914">
        <f t="shared" si="62"/>
        <v>0</v>
      </c>
      <c r="M375" s="919"/>
      <c r="N375" s="914">
        <f t="shared" si="63"/>
        <v>0</v>
      </c>
      <c r="O375" s="919"/>
      <c r="P375" s="914">
        <f t="shared" si="55"/>
        <v>0</v>
      </c>
      <c r="Q375" s="919"/>
      <c r="R375" s="914">
        <f t="shared" si="56"/>
        <v>0</v>
      </c>
      <c r="S375" s="919"/>
      <c r="T375" s="914">
        <f t="shared" si="57"/>
        <v>0</v>
      </c>
      <c r="U375" s="915">
        <f t="shared" si="59"/>
        <v>0</v>
      </c>
      <c r="V375" s="914">
        <f t="shared" si="58"/>
        <v>0</v>
      </c>
    </row>
    <row r="376" spans="1:22" s="937" customFormat="1" ht="145.5" hidden="1" customHeight="1">
      <c r="A376" s="936"/>
      <c r="B376" s="917" t="s">
        <v>47</v>
      </c>
      <c r="C376" s="918">
        <f>ROUND(DATA!K1882,2)</f>
        <v>234.4</v>
      </c>
      <c r="D376" s="898" t="s">
        <v>823</v>
      </c>
      <c r="E376" s="919"/>
      <c r="F376" s="1053">
        <f t="shared" si="64"/>
        <v>0</v>
      </c>
      <c r="G376" s="919"/>
      <c r="H376" s="914">
        <f t="shared" si="60"/>
        <v>0</v>
      </c>
      <c r="I376" s="919"/>
      <c r="J376" s="914">
        <f t="shared" si="61"/>
        <v>0</v>
      </c>
      <c r="K376" s="914"/>
      <c r="L376" s="914">
        <f t="shared" si="62"/>
        <v>0</v>
      </c>
      <c r="M376" s="919"/>
      <c r="N376" s="914">
        <f t="shared" si="63"/>
        <v>0</v>
      </c>
      <c r="O376" s="919"/>
      <c r="P376" s="914">
        <f t="shared" si="55"/>
        <v>0</v>
      </c>
      <c r="Q376" s="919"/>
      <c r="R376" s="914">
        <f t="shared" si="56"/>
        <v>0</v>
      </c>
      <c r="S376" s="919"/>
      <c r="T376" s="914">
        <f t="shared" si="57"/>
        <v>0</v>
      </c>
      <c r="U376" s="915">
        <f t="shared" si="59"/>
        <v>0</v>
      </c>
      <c r="V376" s="914">
        <f t="shared" si="58"/>
        <v>0</v>
      </c>
    </row>
    <row r="377" spans="1:22" ht="145.5" hidden="1" customHeight="1">
      <c r="A377" s="931"/>
      <c r="B377" s="906" t="s">
        <v>48</v>
      </c>
      <c r="C377" s="921">
        <f>ROUND(DATA!K1874,2)</f>
        <v>229.61</v>
      </c>
      <c r="D377" s="908" t="s">
        <v>823</v>
      </c>
      <c r="E377" s="919"/>
      <c r="F377" s="1053">
        <f t="shared" si="64"/>
        <v>0</v>
      </c>
      <c r="G377" s="919"/>
      <c r="H377" s="914">
        <f t="shared" si="60"/>
        <v>0</v>
      </c>
      <c r="I377" s="919"/>
      <c r="J377" s="914">
        <f t="shared" si="61"/>
        <v>0</v>
      </c>
      <c r="K377" s="914"/>
      <c r="L377" s="914">
        <f t="shared" si="62"/>
        <v>0</v>
      </c>
      <c r="M377" s="919"/>
      <c r="N377" s="914">
        <f t="shared" si="63"/>
        <v>0</v>
      </c>
      <c r="O377" s="919"/>
      <c r="P377" s="914">
        <f t="shared" si="55"/>
        <v>0</v>
      </c>
      <c r="Q377" s="919"/>
      <c r="R377" s="914">
        <f t="shared" si="56"/>
        <v>0</v>
      </c>
      <c r="S377" s="919"/>
      <c r="T377" s="914">
        <f t="shared" si="57"/>
        <v>0</v>
      </c>
      <c r="U377" s="915">
        <f t="shared" si="59"/>
        <v>0</v>
      </c>
      <c r="V377" s="914">
        <f t="shared" si="58"/>
        <v>0</v>
      </c>
    </row>
    <row r="378" spans="1:22" ht="145.5" hidden="1" customHeight="1">
      <c r="A378" s="905">
        <v>52.1</v>
      </c>
      <c r="B378" s="944" t="s">
        <v>1514</v>
      </c>
      <c r="C378" s="945">
        <f>ROUND(DATA!K1927,2)</f>
        <v>311.44</v>
      </c>
      <c r="D378" s="908" t="s">
        <v>823</v>
      </c>
      <c r="E378" s="919"/>
      <c r="F378" s="1053">
        <f t="shared" si="64"/>
        <v>0</v>
      </c>
      <c r="G378" s="914"/>
      <c r="H378" s="914">
        <f t="shared" si="60"/>
        <v>0</v>
      </c>
      <c r="I378" s="914"/>
      <c r="J378" s="914">
        <f t="shared" si="61"/>
        <v>0</v>
      </c>
      <c r="K378" s="914"/>
      <c r="L378" s="914">
        <f t="shared" si="62"/>
        <v>0</v>
      </c>
      <c r="M378" s="914"/>
      <c r="N378" s="914">
        <f t="shared" si="63"/>
        <v>0</v>
      </c>
      <c r="O378" s="914"/>
      <c r="P378" s="914">
        <f t="shared" si="55"/>
        <v>0</v>
      </c>
      <c r="Q378" s="914"/>
      <c r="R378" s="914">
        <f t="shared" si="56"/>
        <v>0</v>
      </c>
      <c r="S378" s="914"/>
      <c r="T378" s="914">
        <f t="shared" si="57"/>
        <v>0</v>
      </c>
      <c r="U378" s="915">
        <f t="shared" si="59"/>
        <v>0</v>
      </c>
      <c r="V378" s="914">
        <f t="shared" si="58"/>
        <v>0</v>
      </c>
    </row>
    <row r="379" spans="1:22" ht="145.5" hidden="1" customHeight="1">
      <c r="A379" s="905">
        <v>53.1</v>
      </c>
      <c r="B379" s="906" t="s">
        <v>49</v>
      </c>
      <c r="C379" s="921">
        <f>ROUND(DATA!K1948,2)</f>
        <v>3337.32</v>
      </c>
      <c r="D379" s="908" t="s">
        <v>1393</v>
      </c>
      <c r="E379" s="919"/>
      <c r="F379" s="1053">
        <f t="shared" si="64"/>
        <v>0</v>
      </c>
      <c r="G379" s="919"/>
      <c r="H379" s="914">
        <f t="shared" si="60"/>
        <v>0</v>
      </c>
      <c r="I379" s="919"/>
      <c r="J379" s="914">
        <f t="shared" si="61"/>
        <v>0</v>
      </c>
      <c r="K379" s="914"/>
      <c r="L379" s="914">
        <f t="shared" si="62"/>
        <v>0</v>
      </c>
      <c r="M379" s="919"/>
      <c r="N379" s="914">
        <f t="shared" si="63"/>
        <v>0</v>
      </c>
      <c r="O379" s="919"/>
      <c r="P379" s="914">
        <f t="shared" si="55"/>
        <v>0</v>
      </c>
      <c r="Q379" s="919"/>
      <c r="R379" s="914">
        <f t="shared" si="56"/>
        <v>0</v>
      </c>
      <c r="S379" s="919"/>
      <c r="T379" s="914">
        <f t="shared" si="57"/>
        <v>0</v>
      </c>
      <c r="U379" s="915">
        <f t="shared" si="59"/>
        <v>0</v>
      </c>
      <c r="V379" s="914">
        <f t="shared" si="58"/>
        <v>0</v>
      </c>
    </row>
    <row r="380" spans="1:22" ht="145.5" hidden="1" customHeight="1">
      <c r="A380" s="905">
        <v>53.2</v>
      </c>
      <c r="B380" s="906" t="s">
        <v>1179</v>
      </c>
      <c r="C380" s="921"/>
      <c r="D380" s="908" t="s">
        <v>1393</v>
      </c>
      <c r="E380" s="919"/>
      <c r="F380" s="1053">
        <f t="shared" si="64"/>
        <v>0</v>
      </c>
      <c r="G380" s="919"/>
      <c r="H380" s="914">
        <f t="shared" si="60"/>
        <v>0</v>
      </c>
      <c r="I380" s="919"/>
      <c r="J380" s="914">
        <f t="shared" si="61"/>
        <v>0</v>
      </c>
      <c r="K380" s="914"/>
      <c r="L380" s="914">
        <f t="shared" si="62"/>
        <v>0</v>
      </c>
      <c r="M380" s="919"/>
      <c r="N380" s="914">
        <f t="shared" si="63"/>
        <v>0</v>
      </c>
      <c r="O380" s="919"/>
      <c r="P380" s="914">
        <f t="shared" si="55"/>
        <v>0</v>
      </c>
      <c r="Q380" s="919"/>
      <c r="R380" s="914">
        <f t="shared" si="56"/>
        <v>0</v>
      </c>
      <c r="S380" s="919"/>
      <c r="T380" s="914">
        <f t="shared" si="57"/>
        <v>0</v>
      </c>
      <c r="U380" s="915">
        <f t="shared" si="59"/>
        <v>0</v>
      </c>
      <c r="V380" s="914">
        <f t="shared" si="58"/>
        <v>0</v>
      </c>
    </row>
    <row r="381" spans="1:22" ht="145.5" hidden="1" customHeight="1">
      <c r="A381" s="905">
        <v>53.3</v>
      </c>
      <c r="B381" s="906" t="s">
        <v>50</v>
      </c>
      <c r="C381" s="913">
        <f>ROUND(DATA!K1952,2)</f>
        <v>30</v>
      </c>
      <c r="D381" s="908" t="s">
        <v>1393</v>
      </c>
      <c r="E381" s="914"/>
      <c r="F381" s="1053">
        <f t="shared" si="64"/>
        <v>0</v>
      </c>
      <c r="G381" s="914"/>
      <c r="H381" s="914">
        <f t="shared" si="60"/>
        <v>0</v>
      </c>
      <c r="I381" s="914"/>
      <c r="J381" s="914">
        <f t="shared" si="61"/>
        <v>0</v>
      </c>
      <c r="K381" s="914"/>
      <c r="L381" s="914">
        <f t="shared" si="62"/>
        <v>0</v>
      </c>
      <c r="M381" s="914"/>
      <c r="N381" s="914">
        <f t="shared" si="63"/>
        <v>0</v>
      </c>
      <c r="O381" s="914"/>
      <c r="P381" s="914">
        <f t="shared" si="55"/>
        <v>0</v>
      </c>
      <c r="Q381" s="914"/>
      <c r="R381" s="914">
        <f t="shared" si="56"/>
        <v>0</v>
      </c>
      <c r="S381" s="914"/>
      <c r="T381" s="914">
        <f t="shared" si="57"/>
        <v>0</v>
      </c>
      <c r="U381" s="915">
        <f t="shared" si="59"/>
        <v>0</v>
      </c>
      <c r="V381" s="914">
        <f t="shared" si="58"/>
        <v>0</v>
      </c>
    </row>
    <row r="382" spans="1:22" ht="145.5" hidden="1" customHeight="1">
      <c r="A382" s="946">
        <v>54</v>
      </c>
      <c r="B382" s="906" t="s">
        <v>973</v>
      </c>
      <c r="C382" s="921">
        <f>ROUND(DATA!K1954,2)</f>
        <v>206</v>
      </c>
      <c r="D382" s="908" t="s">
        <v>1393</v>
      </c>
      <c r="E382" s="919"/>
      <c r="F382" s="1053">
        <f t="shared" si="64"/>
        <v>0</v>
      </c>
      <c r="G382" s="919"/>
      <c r="H382" s="914">
        <f t="shared" si="60"/>
        <v>0</v>
      </c>
      <c r="I382" s="919"/>
      <c r="J382" s="914">
        <f t="shared" si="61"/>
        <v>0</v>
      </c>
      <c r="K382" s="914"/>
      <c r="L382" s="914">
        <f t="shared" si="62"/>
        <v>0</v>
      </c>
      <c r="M382" s="919"/>
      <c r="N382" s="914">
        <f t="shared" si="63"/>
        <v>0</v>
      </c>
      <c r="O382" s="919"/>
      <c r="P382" s="914">
        <f t="shared" si="55"/>
        <v>0</v>
      </c>
      <c r="Q382" s="919"/>
      <c r="R382" s="914">
        <f t="shared" si="56"/>
        <v>0</v>
      </c>
      <c r="S382" s="919"/>
      <c r="T382" s="914">
        <f t="shared" si="57"/>
        <v>0</v>
      </c>
      <c r="U382" s="915">
        <f t="shared" si="59"/>
        <v>0</v>
      </c>
      <c r="V382" s="914">
        <f t="shared" si="58"/>
        <v>0</v>
      </c>
    </row>
    <row r="383" spans="1:22" ht="145.5" hidden="1" customHeight="1">
      <c r="A383" s="905">
        <v>54.1</v>
      </c>
      <c r="B383" s="906" t="s">
        <v>1180</v>
      </c>
      <c r="C383" s="913">
        <f>ROUND(DATA!K1957,2)</f>
        <v>300</v>
      </c>
      <c r="D383" s="908" t="s">
        <v>1393</v>
      </c>
      <c r="E383" s="919"/>
      <c r="F383" s="1053">
        <f t="shared" si="64"/>
        <v>0</v>
      </c>
      <c r="G383" s="919"/>
      <c r="H383" s="914">
        <f t="shared" si="60"/>
        <v>0</v>
      </c>
      <c r="I383" s="919"/>
      <c r="J383" s="914">
        <f t="shared" si="61"/>
        <v>0</v>
      </c>
      <c r="K383" s="914"/>
      <c r="L383" s="914">
        <f t="shared" si="62"/>
        <v>0</v>
      </c>
      <c r="M383" s="919"/>
      <c r="N383" s="914">
        <f t="shared" si="63"/>
        <v>0</v>
      </c>
      <c r="O383" s="919"/>
      <c r="P383" s="914">
        <f t="shared" si="55"/>
        <v>0</v>
      </c>
      <c r="Q383" s="919"/>
      <c r="R383" s="914">
        <f t="shared" si="56"/>
        <v>0</v>
      </c>
      <c r="S383" s="919"/>
      <c r="T383" s="914">
        <f t="shared" si="57"/>
        <v>0</v>
      </c>
      <c r="U383" s="915">
        <f t="shared" si="59"/>
        <v>0</v>
      </c>
      <c r="V383" s="914">
        <f t="shared" si="58"/>
        <v>0</v>
      </c>
    </row>
    <row r="384" spans="1:22" ht="145.5" hidden="1" customHeight="1">
      <c r="A384" s="905">
        <v>54.2</v>
      </c>
      <c r="B384" s="906" t="s">
        <v>1181</v>
      </c>
      <c r="C384" s="913">
        <f>ROUND(DATA!K1960,2)</f>
        <v>250</v>
      </c>
      <c r="D384" s="908" t="s">
        <v>1393</v>
      </c>
      <c r="E384" s="919"/>
      <c r="F384" s="1053">
        <f t="shared" si="64"/>
        <v>0</v>
      </c>
      <c r="G384" s="919"/>
      <c r="H384" s="914">
        <f t="shared" si="60"/>
        <v>0</v>
      </c>
      <c r="I384" s="919"/>
      <c r="J384" s="914">
        <f t="shared" si="61"/>
        <v>0</v>
      </c>
      <c r="K384" s="914"/>
      <c r="L384" s="914">
        <f t="shared" si="62"/>
        <v>0</v>
      </c>
      <c r="M384" s="919"/>
      <c r="N384" s="914">
        <f t="shared" si="63"/>
        <v>0</v>
      </c>
      <c r="O384" s="919"/>
      <c r="P384" s="914">
        <f t="shared" si="55"/>
        <v>0</v>
      </c>
      <c r="Q384" s="919"/>
      <c r="R384" s="914">
        <f t="shared" si="56"/>
        <v>0</v>
      </c>
      <c r="S384" s="919"/>
      <c r="T384" s="914">
        <f t="shared" si="57"/>
        <v>0</v>
      </c>
      <c r="U384" s="915">
        <f t="shared" si="59"/>
        <v>0</v>
      </c>
      <c r="V384" s="914">
        <f t="shared" si="58"/>
        <v>0</v>
      </c>
    </row>
    <row r="385" spans="1:22" ht="145.5" hidden="1" customHeight="1">
      <c r="A385" s="905">
        <v>55.1</v>
      </c>
      <c r="B385" s="906" t="s">
        <v>1213</v>
      </c>
      <c r="C385" s="921">
        <f>DATA!K2403</f>
        <v>886.53</v>
      </c>
      <c r="D385" s="908" t="s">
        <v>1393</v>
      </c>
      <c r="E385" s="919"/>
      <c r="F385" s="1053">
        <f t="shared" si="64"/>
        <v>0</v>
      </c>
      <c r="G385" s="919"/>
      <c r="H385" s="914">
        <f t="shared" si="60"/>
        <v>0</v>
      </c>
      <c r="I385" s="919"/>
      <c r="J385" s="914">
        <f t="shared" si="61"/>
        <v>0</v>
      </c>
      <c r="K385" s="914"/>
      <c r="L385" s="914">
        <f t="shared" si="62"/>
        <v>0</v>
      </c>
      <c r="M385" s="919"/>
      <c r="N385" s="914">
        <f t="shared" si="63"/>
        <v>0</v>
      </c>
      <c r="O385" s="919"/>
      <c r="P385" s="914">
        <f t="shared" si="55"/>
        <v>0</v>
      </c>
      <c r="Q385" s="919"/>
      <c r="R385" s="914">
        <f t="shared" si="56"/>
        <v>0</v>
      </c>
      <c r="S385" s="919"/>
      <c r="T385" s="914">
        <f t="shared" si="57"/>
        <v>0</v>
      </c>
      <c r="U385" s="915">
        <f t="shared" si="59"/>
        <v>0</v>
      </c>
      <c r="V385" s="914">
        <f t="shared" si="58"/>
        <v>0</v>
      </c>
    </row>
    <row r="386" spans="1:22" ht="145.5" hidden="1" customHeight="1">
      <c r="A386" s="905">
        <v>55.2</v>
      </c>
      <c r="B386" s="906" t="s">
        <v>1214</v>
      </c>
      <c r="C386" s="921">
        <f>DATA!K2415</f>
        <v>2198.25</v>
      </c>
      <c r="D386" s="908" t="s">
        <v>1393</v>
      </c>
      <c r="E386" s="914"/>
      <c r="F386" s="1053">
        <f t="shared" si="64"/>
        <v>0</v>
      </c>
      <c r="G386" s="914"/>
      <c r="H386" s="914">
        <f t="shared" si="60"/>
        <v>0</v>
      </c>
      <c r="I386" s="914"/>
      <c r="J386" s="914">
        <f t="shared" si="61"/>
        <v>0</v>
      </c>
      <c r="K386" s="914"/>
      <c r="L386" s="914">
        <f t="shared" si="62"/>
        <v>0</v>
      </c>
      <c r="M386" s="914"/>
      <c r="N386" s="914">
        <f t="shared" si="63"/>
        <v>0</v>
      </c>
      <c r="O386" s="914"/>
      <c r="P386" s="914">
        <f t="shared" si="55"/>
        <v>0</v>
      </c>
      <c r="Q386" s="914"/>
      <c r="R386" s="914">
        <f t="shared" si="56"/>
        <v>0</v>
      </c>
      <c r="S386" s="914"/>
      <c r="T386" s="914">
        <f t="shared" si="57"/>
        <v>0</v>
      </c>
      <c r="U386" s="915">
        <f t="shared" si="59"/>
        <v>0</v>
      </c>
      <c r="V386" s="914">
        <f t="shared" si="58"/>
        <v>0</v>
      </c>
    </row>
    <row r="387" spans="1:22" ht="145.5" hidden="1" customHeight="1">
      <c r="A387" s="905">
        <v>56.1</v>
      </c>
      <c r="B387" s="906" t="s">
        <v>1215</v>
      </c>
      <c r="C387" s="921">
        <f>ROUND(DATA!K1977,2)</f>
        <v>3359.24</v>
      </c>
      <c r="D387" s="908" t="s">
        <v>1393</v>
      </c>
      <c r="E387" s="919"/>
      <c r="F387" s="1053">
        <f t="shared" si="64"/>
        <v>0</v>
      </c>
      <c r="G387" s="919"/>
      <c r="H387" s="914">
        <f t="shared" si="60"/>
        <v>0</v>
      </c>
      <c r="I387" s="919"/>
      <c r="J387" s="914">
        <f t="shared" si="61"/>
        <v>0</v>
      </c>
      <c r="K387" s="914"/>
      <c r="L387" s="914">
        <f t="shared" si="62"/>
        <v>0</v>
      </c>
      <c r="M387" s="919"/>
      <c r="N387" s="914">
        <f t="shared" si="63"/>
        <v>0</v>
      </c>
      <c r="O387" s="919"/>
      <c r="P387" s="914">
        <f t="shared" si="55"/>
        <v>0</v>
      </c>
      <c r="Q387" s="919"/>
      <c r="R387" s="914">
        <f t="shared" si="56"/>
        <v>0</v>
      </c>
      <c r="S387" s="919"/>
      <c r="T387" s="914">
        <f t="shared" si="57"/>
        <v>0</v>
      </c>
      <c r="U387" s="915">
        <f t="shared" si="59"/>
        <v>0</v>
      </c>
      <c r="V387" s="914">
        <f t="shared" si="58"/>
        <v>0</v>
      </c>
    </row>
    <row r="388" spans="1:22" ht="145.5" hidden="1" customHeight="1">
      <c r="A388" s="905">
        <v>56.2</v>
      </c>
      <c r="B388" s="906" t="s">
        <v>2279</v>
      </c>
      <c r="C388" s="921">
        <f>ROUND(DATA!K1998,2)</f>
        <v>5214.37</v>
      </c>
      <c r="D388" s="908" t="s">
        <v>1393</v>
      </c>
      <c r="E388" s="919"/>
      <c r="F388" s="1053">
        <f t="shared" si="64"/>
        <v>0</v>
      </c>
      <c r="G388" s="919"/>
      <c r="H388" s="914">
        <f t="shared" si="60"/>
        <v>0</v>
      </c>
      <c r="I388" s="919"/>
      <c r="J388" s="914">
        <f t="shared" si="61"/>
        <v>0</v>
      </c>
      <c r="K388" s="914"/>
      <c r="L388" s="914">
        <f t="shared" si="62"/>
        <v>0</v>
      </c>
      <c r="M388" s="919"/>
      <c r="N388" s="914">
        <f t="shared" si="63"/>
        <v>0</v>
      </c>
      <c r="O388" s="919"/>
      <c r="P388" s="914">
        <f t="shared" si="55"/>
        <v>0</v>
      </c>
      <c r="Q388" s="919"/>
      <c r="R388" s="914">
        <f t="shared" si="56"/>
        <v>0</v>
      </c>
      <c r="S388" s="919"/>
      <c r="T388" s="914">
        <f t="shared" si="57"/>
        <v>0</v>
      </c>
      <c r="U388" s="915">
        <f t="shared" si="59"/>
        <v>0</v>
      </c>
      <c r="V388" s="914">
        <f t="shared" si="58"/>
        <v>0</v>
      </c>
    </row>
    <row r="389" spans="1:22" ht="145.5" hidden="1" customHeight="1">
      <c r="A389" s="946">
        <v>57</v>
      </c>
      <c r="B389" s="906" t="s">
        <v>389</v>
      </c>
      <c r="C389" s="913">
        <f>ROUND(DATA!K2015,2)</f>
        <v>7114.2</v>
      </c>
      <c r="D389" s="908" t="s">
        <v>1393</v>
      </c>
      <c r="E389" s="919"/>
      <c r="F389" s="1053">
        <f t="shared" si="64"/>
        <v>0</v>
      </c>
      <c r="G389" s="919"/>
      <c r="H389" s="914">
        <f t="shared" si="60"/>
        <v>0</v>
      </c>
      <c r="I389" s="919"/>
      <c r="J389" s="914">
        <f t="shared" si="61"/>
        <v>0</v>
      </c>
      <c r="K389" s="914"/>
      <c r="L389" s="914">
        <f t="shared" si="62"/>
        <v>0</v>
      </c>
      <c r="M389" s="919"/>
      <c r="N389" s="914">
        <f t="shared" si="63"/>
        <v>0</v>
      </c>
      <c r="O389" s="919"/>
      <c r="P389" s="914">
        <f t="shared" si="55"/>
        <v>0</v>
      </c>
      <c r="Q389" s="919"/>
      <c r="R389" s="914">
        <f t="shared" si="56"/>
        <v>0</v>
      </c>
      <c r="S389" s="919"/>
      <c r="T389" s="914">
        <f t="shared" si="57"/>
        <v>0</v>
      </c>
      <c r="U389" s="915">
        <f t="shared" si="59"/>
        <v>0</v>
      </c>
      <c r="V389" s="914">
        <f t="shared" si="58"/>
        <v>0</v>
      </c>
    </row>
    <row r="390" spans="1:22" ht="145.5" hidden="1" customHeight="1">
      <c r="A390" s="905">
        <v>57.1</v>
      </c>
      <c r="B390" s="906" t="s">
        <v>390</v>
      </c>
      <c r="C390" s="921">
        <f>ROUND(DATA!K2034,2)</f>
        <v>7508.2</v>
      </c>
      <c r="D390" s="908" t="s">
        <v>1393</v>
      </c>
      <c r="E390" s="919"/>
      <c r="F390" s="1053">
        <f t="shared" si="64"/>
        <v>0</v>
      </c>
      <c r="G390" s="919"/>
      <c r="H390" s="914">
        <f t="shared" si="60"/>
        <v>0</v>
      </c>
      <c r="I390" s="919"/>
      <c r="J390" s="914">
        <f t="shared" si="61"/>
        <v>0</v>
      </c>
      <c r="K390" s="914"/>
      <c r="L390" s="914">
        <f t="shared" si="62"/>
        <v>0</v>
      </c>
      <c r="M390" s="919"/>
      <c r="N390" s="914">
        <f t="shared" si="63"/>
        <v>0</v>
      </c>
      <c r="O390" s="919"/>
      <c r="P390" s="914">
        <f t="shared" ref="P390:P453" si="65">O390*C390</f>
        <v>0</v>
      </c>
      <c r="Q390" s="919"/>
      <c r="R390" s="914">
        <f t="shared" ref="R390:R453" si="66">Q390*C390</f>
        <v>0</v>
      </c>
      <c r="S390" s="919"/>
      <c r="T390" s="914">
        <f t="shared" ref="T390:T453" si="67">S390*C390</f>
        <v>0</v>
      </c>
      <c r="U390" s="915">
        <f t="shared" si="59"/>
        <v>0</v>
      </c>
      <c r="V390" s="914">
        <f t="shared" ref="V390:V453" si="68">U390*C390</f>
        <v>0</v>
      </c>
    </row>
    <row r="391" spans="1:22" ht="145.5" hidden="1" customHeight="1">
      <c r="A391" s="905">
        <v>58.1</v>
      </c>
      <c r="B391" s="906" t="s">
        <v>391</v>
      </c>
      <c r="C391" s="921"/>
      <c r="D391" s="908"/>
      <c r="E391" s="919"/>
      <c r="F391" s="1053">
        <f t="shared" si="64"/>
        <v>0</v>
      </c>
      <c r="G391" s="919"/>
      <c r="H391" s="914">
        <f t="shared" si="60"/>
        <v>0</v>
      </c>
      <c r="I391" s="919"/>
      <c r="J391" s="914">
        <f t="shared" si="61"/>
        <v>0</v>
      </c>
      <c r="K391" s="914"/>
      <c r="L391" s="914">
        <f t="shared" si="62"/>
        <v>0</v>
      </c>
      <c r="M391" s="919"/>
      <c r="N391" s="914">
        <f t="shared" si="63"/>
        <v>0</v>
      </c>
      <c r="O391" s="919"/>
      <c r="P391" s="914">
        <f t="shared" si="65"/>
        <v>0</v>
      </c>
      <c r="Q391" s="919"/>
      <c r="R391" s="914">
        <f t="shared" si="66"/>
        <v>0</v>
      </c>
      <c r="S391" s="919"/>
      <c r="T391" s="914">
        <f t="shared" si="67"/>
        <v>0</v>
      </c>
      <c r="U391" s="915">
        <f t="shared" si="59"/>
        <v>0</v>
      </c>
      <c r="V391" s="914">
        <f t="shared" si="68"/>
        <v>0</v>
      </c>
    </row>
    <row r="392" spans="1:22" ht="145.5" hidden="1" customHeight="1">
      <c r="A392" s="927"/>
      <c r="B392" s="906" t="s">
        <v>35</v>
      </c>
      <c r="C392" s="921">
        <f>ROUND(DATA!K2063,2)</f>
        <v>717.55</v>
      </c>
      <c r="D392" s="908" t="s">
        <v>823</v>
      </c>
      <c r="E392" s="919"/>
      <c r="F392" s="1053">
        <f t="shared" si="64"/>
        <v>0</v>
      </c>
      <c r="G392" s="919"/>
      <c r="H392" s="914">
        <f t="shared" si="60"/>
        <v>0</v>
      </c>
      <c r="I392" s="919"/>
      <c r="J392" s="914">
        <f t="shared" si="61"/>
        <v>0</v>
      </c>
      <c r="K392" s="914"/>
      <c r="L392" s="914">
        <f t="shared" si="62"/>
        <v>0</v>
      </c>
      <c r="M392" s="919"/>
      <c r="N392" s="914">
        <f t="shared" si="63"/>
        <v>0</v>
      </c>
      <c r="O392" s="919"/>
      <c r="P392" s="914">
        <f t="shared" si="65"/>
        <v>0</v>
      </c>
      <c r="Q392" s="919"/>
      <c r="R392" s="914">
        <f t="shared" si="66"/>
        <v>0</v>
      </c>
      <c r="S392" s="919"/>
      <c r="T392" s="914">
        <f t="shared" si="67"/>
        <v>0</v>
      </c>
      <c r="U392" s="915">
        <f t="shared" si="59"/>
        <v>0</v>
      </c>
      <c r="V392" s="914">
        <f t="shared" si="68"/>
        <v>0</v>
      </c>
    </row>
    <row r="393" spans="1:22" ht="145.5" hidden="1" customHeight="1">
      <c r="A393" s="931"/>
      <c r="B393" s="906" t="s">
        <v>36</v>
      </c>
      <c r="C393" s="921">
        <f>ROUND(DATA!K2087,2)</f>
        <v>600.25</v>
      </c>
      <c r="D393" s="908" t="s">
        <v>823</v>
      </c>
      <c r="E393" s="919"/>
      <c r="F393" s="1053">
        <f t="shared" si="64"/>
        <v>0</v>
      </c>
      <c r="G393" s="919"/>
      <c r="H393" s="914">
        <f t="shared" si="60"/>
        <v>0</v>
      </c>
      <c r="I393" s="919"/>
      <c r="J393" s="914">
        <f t="shared" si="61"/>
        <v>0</v>
      </c>
      <c r="K393" s="914"/>
      <c r="L393" s="914">
        <f t="shared" si="62"/>
        <v>0</v>
      </c>
      <c r="M393" s="919"/>
      <c r="N393" s="914">
        <f t="shared" si="63"/>
        <v>0</v>
      </c>
      <c r="O393" s="919"/>
      <c r="P393" s="914">
        <f t="shared" si="65"/>
        <v>0</v>
      </c>
      <c r="Q393" s="919"/>
      <c r="R393" s="914">
        <f t="shared" si="66"/>
        <v>0</v>
      </c>
      <c r="S393" s="919"/>
      <c r="T393" s="914">
        <f t="shared" si="67"/>
        <v>0</v>
      </c>
      <c r="U393" s="915">
        <f t="shared" si="59"/>
        <v>0</v>
      </c>
      <c r="V393" s="914">
        <f t="shared" si="68"/>
        <v>0</v>
      </c>
    </row>
    <row r="394" spans="1:22" ht="145.5" hidden="1" customHeight="1">
      <c r="A394" s="905">
        <v>58.2</v>
      </c>
      <c r="B394" s="906" t="s">
        <v>37</v>
      </c>
      <c r="C394" s="921">
        <f>ROUND(DATA!K2098,2)</f>
        <v>454</v>
      </c>
      <c r="D394" s="908" t="s">
        <v>1393</v>
      </c>
      <c r="E394" s="919"/>
      <c r="F394" s="1053">
        <f t="shared" si="64"/>
        <v>0</v>
      </c>
      <c r="G394" s="919"/>
      <c r="H394" s="914">
        <f t="shared" si="60"/>
        <v>0</v>
      </c>
      <c r="I394" s="919"/>
      <c r="J394" s="914">
        <f t="shared" si="61"/>
        <v>0</v>
      </c>
      <c r="K394" s="914"/>
      <c r="L394" s="914">
        <f t="shared" si="62"/>
        <v>0</v>
      </c>
      <c r="M394" s="919"/>
      <c r="N394" s="914">
        <f t="shared" si="63"/>
        <v>0</v>
      </c>
      <c r="O394" s="919"/>
      <c r="P394" s="914">
        <f t="shared" si="65"/>
        <v>0</v>
      </c>
      <c r="Q394" s="919"/>
      <c r="R394" s="914">
        <f t="shared" si="66"/>
        <v>0</v>
      </c>
      <c r="S394" s="919"/>
      <c r="T394" s="914">
        <f t="shared" si="67"/>
        <v>0</v>
      </c>
      <c r="U394" s="915">
        <f t="shared" si="59"/>
        <v>0</v>
      </c>
      <c r="V394" s="914">
        <f t="shared" si="68"/>
        <v>0</v>
      </c>
    </row>
    <row r="395" spans="1:22" ht="145.5" hidden="1" customHeight="1">
      <c r="A395" s="905">
        <v>59.1</v>
      </c>
      <c r="B395" s="906" t="s">
        <v>284</v>
      </c>
      <c r="C395" s="921"/>
      <c r="D395" s="908" t="s">
        <v>1393</v>
      </c>
      <c r="E395" s="919"/>
      <c r="F395" s="1053">
        <f t="shared" si="64"/>
        <v>0</v>
      </c>
      <c r="G395" s="919"/>
      <c r="H395" s="914">
        <f t="shared" si="60"/>
        <v>0</v>
      </c>
      <c r="I395" s="919"/>
      <c r="J395" s="914">
        <f t="shared" si="61"/>
        <v>0</v>
      </c>
      <c r="K395" s="914"/>
      <c r="L395" s="914">
        <f t="shared" si="62"/>
        <v>0</v>
      </c>
      <c r="M395" s="919"/>
      <c r="N395" s="914">
        <f t="shared" si="63"/>
        <v>0</v>
      </c>
      <c r="O395" s="919"/>
      <c r="P395" s="914">
        <f t="shared" si="65"/>
        <v>0</v>
      </c>
      <c r="Q395" s="919"/>
      <c r="R395" s="914">
        <f t="shared" si="66"/>
        <v>0</v>
      </c>
      <c r="S395" s="919"/>
      <c r="T395" s="914">
        <f t="shared" si="67"/>
        <v>0</v>
      </c>
      <c r="U395" s="915">
        <f t="shared" si="59"/>
        <v>0</v>
      </c>
      <c r="V395" s="914">
        <f t="shared" si="68"/>
        <v>0</v>
      </c>
    </row>
    <row r="396" spans="1:22" ht="145.5" hidden="1" customHeight="1">
      <c r="A396" s="905">
        <v>59.2</v>
      </c>
      <c r="B396" s="906" t="s">
        <v>33</v>
      </c>
      <c r="C396" s="921">
        <f>ROUND(DATA!K2111,2)</f>
        <v>1993.59</v>
      </c>
      <c r="D396" s="908" t="s">
        <v>1393</v>
      </c>
      <c r="E396" s="914"/>
      <c r="F396" s="1053">
        <f t="shared" si="64"/>
        <v>0</v>
      </c>
      <c r="G396" s="914"/>
      <c r="H396" s="914">
        <f t="shared" si="60"/>
        <v>0</v>
      </c>
      <c r="I396" s="914"/>
      <c r="J396" s="914">
        <f t="shared" si="61"/>
        <v>0</v>
      </c>
      <c r="K396" s="914"/>
      <c r="L396" s="914">
        <f t="shared" si="62"/>
        <v>0</v>
      </c>
      <c r="M396" s="914"/>
      <c r="N396" s="914">
        <f t="shared" si="63"/>
        <v>0</v>
      </c>
      <c r="O396" s="914"/>
      <c r="P396" s="914">
        <f t="shared" si="65"/>
        <v>0</v>
      </c>
      <c r="Q396" s="914"/>
      <c r="R396" s="914">
        <f t="shared" si="66"/>
        <v>0</v>
      </c>
      <c r="S396" s="914"/>
      <c r="T396" s="914">
        <f t="shared" si="67"/>
        <v>0</v>
      </c>
      <c r="U396" s="915">
        <f t="shared" si="59"/>
        <v>0</v>
      </c>
      <c r="V396" s="914">
        <f t="shared" si="68"/>
        <v>0</v>
      </c>
    </row>
    <row r="397" spans="1:22" ht="145.5" hidden="1" customHeight="1">
      <c r="A397" s="905">
        <v>59.3</v>
      </c>
      <c r="B397" s="906" t="s">
        <v>227</v>
      </c>
      <c r="C397" s="921"/>
      <c r="D397" s="908" t="s">
        <v>1393</v>
      </c>
      <c r="E397" s="919"/>
      <c r="F397" s="1053">
        <f t="shared" si="64"/>
        <v>0</v>
      </c>
      <c r="G397" s="919"/>
      <c r="H397" s="914">
        <f t="shared" si="60"/>
        <v>0</v>
      </c>
      <c r="I397" s="919"/>
      <c r="J397" s="914">
        <f t="shared" si="61"/>
        <v>0</v>
      </c>
      <c r="K397" s="914"/>
      <c r="L397" s="914">
        <f t="shared" si="62"/>
        <v>0</v>
      </c>
      <c r="M397" s="919"/>
      <c r="N397" s="914">
        <f t="shared" si="63"/>
        <v>0</v>
      </c>
      <c r="O397" s="919"/>
      <c r="P397" s="914">
        <f t="shared" si="65"/>
        <v>0</v>
      </c>
      <c r="Q397" s="919"/>
      <c r="R397" s="914">
        <f t="shared" si="66"/>
        <v>0</v>
      </c>
      <c r="S397" s="919"/>
      <c r="T397" s="914">
        <f t="shared" si="67"/>
        <v>0</v>
      </c>
      <c r="U397" s="915">
        <f t="shared" si="59"/>
        <v>0</v>
      </c>
      <c r="V397" s="914">
        <f t="shared" si="68"/>
        <v>0</v>
      </c>
    </row>
    <row r="398" spans="1:22" ht="145.5" hidden="1" customHeight="1">
      <c r="A398" s="905">
        <v>59.4</v>
      </c>
      <c r="B398" s="906" t="s">
        <v>1300</v>
      </c>
      <c r="C398" s="921"/>
      <c r="D398" s="908" t="s">
        <v>1393</v>
      </c>
      <c r="E398" s="919"/>
      <c r="F398" s="1053">
        <f t="shared" si="64"/>
        <v>0</v>
      </c>
      <c r="G398" s="919"/>
      <c r="H398" s="914">
        <f t="shared" si="60"/>
        <v>0</v>
      </c>
      <c r="I398" s="919"/>
      <c r="J398" s="914">
        <f t="shared" si="61"/>
        <v>0</v>
      </c>
      <c r="K398" s="914"/>
      <c r="L398" s="914">
        <f t="shared" si="62"/>
        <v>0</v>
      </c>
      <c r="M398" s="919"/>
      <c r="N398" s="914">
        <f t="shared" si="63"/>
        <v>0</v>
      </c>
      <c r="O398" s="919"/>
      <c r="P398" s="914">
        <f t="shared" si="65"/>
        <v>0</v>
      </c>
      <c r="Q398" s="919"/>
      <c r="R398" s="914">
        <f t="shared" si="66"/>
        <v>0</v>
      </c>
      <c r="S398" s="919"/>
      <c r="T398" s="914">
        <f t="shared" si="67"/>
        <v>0</v>
      </c>
      <c r="U398" s="915">
        <f t="shared" si="59"/>
        <v>0</v>
      </c>
      <c r="V398" s="914">
        <f t="shared" si="68"/>
        <v>0</v>
      </c>
    </row>
    <row r="399" spans="1:22" s="920" customFormat="1" ht="145.5" hidden="1" customHeight="1">
      <c r="A399" s="916">
        <v>59.5</v>
      </c>
      <c r="B399" s="917" t="s">
        <v>1301</v>
      </c>
      <c r="C399" s="918">
        <f>DATA!K2111</f>
        <v>1993.59</v>
      </c>
      <c r="D399" s="898" t="s">
        <v>1393</v>
      </c>
      <c r="E399" s="919"/>
      <c r="F399" s="1053">
        <f t="shared" si="64"/>
        <v>0</v>
      </c>
      <c r="G399" s="919"/>
      <c r="H399" s="914">
        <f t="shared" si="60"/>
        <v>0</v>
      </c>
      <c r="I399" s="919"/>
      <c r="J399" s="914">
        <f t="shared" si="61"/>
        <v>0</v>
      </c>
      <c r="K399" s="914"/>
      <c r="L399" s="914">
        <f t="shared" si="62"/>
        <v>0</v>
      </c>
      <c r="M399" s="919"/>
      <c r="N399" s="914">
        <f t="shared" si="63"/>
        <v>0</v>
      </c>
      <c r="O399" s="919"/>
      <c r="P399" s="914">
        <f t="shared" si="65"/>
        <v>0</v>
      </c>
      <c r="Q399" s="919"/>
      <c r="R399" s="914">
        <f t="shared" si="66"/>
        <v>0</v>
      </c>
      <c r="S399" s="919"/>
      <c r="T399" s="914">
        <f t="shared" si="67"/>
        <v>0</v>
      </c>
      <c r="U399" s="915">
        <f t="shared" si="59"/>
        <v>0</v>
      </c>
      <c r="V399" s="914">
        <f t="shared" si="68"/>
        <v>0</v>
      </c>
    </row>
    <row r="400" spans="1:22" ht="145.5" hidden="1" customHeight="1">
      <c r="A400" s="905">
        <v>59.6</v>
      </c>
      <c r="B400" s="906" t="s">
        <v>1204</v>
      </c>
      <c r="C400" s="921"/>
      <c r="D400" s="908" t="s">
        <v>1393</v>
      </c>
      <c r="E400" s="919"/>
      <c r="F400" s="1053">
        <f t="shared" si="64"/>
        <v>0</v>
      </c>
      <c r="G400" s="919"/>
      <c r="H400" s="914">
        <f t="shared" si="60"/>
        <v>0</v>
      </c>
      <c r="I400" s="919"/>
      <c r="J400" s="914">
        <f t="shared" si="61"/>
        <v>0</v>
      </c>
      <c r="K400" s="914"/>
      <c r="L400" s="914">
        <f t="shared" si="62"/>
        <v>0</v>
      </c>
      <c r="M400" s="919"/>
      <c r="N400" s="914">
        <f t="shared" si="63"/>
        <v>0</v>
      </c>
      <c r="O400" s="919"/>
      <c r="P400" s="914">
        <f t="shared" si="65"/>
        <v>0</v>
      </c>
      <c r="Q400" s="919"/>
      <c r="R400" s="914">
        <f t="shared" si="66"/>
        <v>0</v>
      </c>
      <c r="S400" s="919"/>
      <c r="T400" s="914">
        <f t="shared" si="67"/>
        <v>0</v>
      </c>
      <c r="U400" s="915">
        <f t="shared" si="59"/>
        <v>0</v>
      </c>
      <c r="V400" s="914">
        <f t="shared" si="68"/>
        <v>0</v>
      </c>
    </row>
    <row r="401" spans="1:22" ht="145.5" hidden="1" customHeight="1">
      <c r="A401" s="905">
        <v>60</v>
      </c>
      <c r="B401" s="906" t="s">
        <v>1518</v>
      </c>
      <c r="C401" s="913">
        <f>ROUND(DATA!K2119,2)</f>
        <v>160</v>
      </c>
      <c r="D401" s="908" t="s">
        <v>1393</v>
      </c>
      <c r="E401" s="914"/>
      <c r="F401" s="1053">
        <f t="shared" si="64"/>
        <v>0</v>
      </c>
      <c r="G401" s="914"/>
      <c r="H401" s="914">
        <f t="shared" si="60"/>
        <v>0</v>
      </c>
      <c r="I401" s="914"/>
      <c r="J401" s="914">
        <f t="shared" si="61"/>
        <v>0</v>
      </c>
      <c r="K401" s="914"/>
      <c r="L401" s="914">
        <f t="shared" si="62"/>
        <v>0</v>
      </c>
      <c r="M401" s="914"/>
      <c r="N401" s="914">
        <f t="shared" si="63"/>
        <v>0</v>
      </c>
      <c r="O401" s="914"/>
      <c r="P401" s="914">
        <f t="shared" si="65"/>
        <v>0</v>
      </c>
      <c r="Q401" s="914"/>
      <c r="R401" s="914">
        <f t="shared" si="66"/>
        <v>0</v>
      </c>
      <c r="S401" s="914"/>
      <c r="T401" s="914">
        <f t="shared" si="67"/>
        <v>0</v>
      </c>
      <c r="U401" s="915">
        <f t="shared" si="59"/>
        <v>0</v>
      </c>
      <c r="V401" s="914">
        <f t="shared" si="68"/>
        <v>0</v>
      </c>
    </row>
    <row r="402" spans="1:22" ht="145.5" hidden="1" customHeight="1">
      <c r="A402" s="905">
        <v>61.1</v>
      </c>
      <c r="B402" s="906" t="s">
        <v>1303</v>
      </c>
      <c r="C402" s="913"/>
      <c r="D402" s="908"/>
      <c r="E402" s="919"/>
      <c r="F402" s="1053">
        <f t="shared" si="64"/>
        <v>0</v>
      </c>
      <c r="G402" s="919"/>
      <c r="H402" s="914">
        <f t="shared" si="60"/>
        <v>0</v>
      </c>
      <c r="I402" s="919"/>
      <c r="J402" s="914">
        <f t="shared" si="61"/>
        <v>0</v>
      </c>
      <c r="K402" s="914"/>
      <c r="L402" s="914">
        <f t="shared" si="62"/>
        <v>0</v>
      </c>
      <c r="M402" s="919"/>
      <c r="N402" s="914">
        <f t="shared" si="63"/>
        <v>0</v>
      </c>
      <c r="O402" s="919"/>
      <c r="P402" s="914">
        <f t="shared" si="65"/>
        <v>0</v>
      </c>
      <c r="Q402" s="919"/>
      <c r="R402" s="914">
        <f t="shared" si="66"/>
        <v>0</v>
      </c>
      <c r="S402" s="919"/>
      <c r="T402" s="914">
        <f t="shared" si="67"/>
        <v>0</v>
      </c>
      <c r="U402" s="915">
        <f t="shared" ref="U402:U465" si="69">G402+I402+M402+O402+Q402+S402+E402+K402</f>
        <v>0</v>
      </c>
      <c r="V402" s="914">
        <f t="shared" si="68"/>
        <v>0</v>
      </c>
    </row>
    <row r="403" spans="1:22" ht="145.5" hidden="1" customHeight="1">
      <c r="A403" s="927"/>
      <c r="B403" s="906" t="s">
        <v>1047</v>
      </c>
      <c r="C403" s="913">
        <f>ROUND(DATA!K2138,2)</f>
        <v>570.79999999999995</v>
      </c>
      <c r="D403" s="908" t="s">
        <v>823</v>
      </c>
      <c r="E403" s="919"/>
      <c r="F403" s="1053">
        <f t="shared" si="64"/>
        <v>0</v>
      </c>
      <c r="G403" s="919"/>
      <c r="H403" s="914">
        <f t="shared" ref="H403:H466" si="70">C403*G403</f>
        <v>0</v>
      </c>
      <c r="I403" s="919"/>
      <c r="J403" s="914">
        <f t="shared" ref="J403:J466" si="71">I403*C403</f>
        <v>0</v>
      </c>
      <c r="K403" s="914"/>
      <c r="L403" s="914">
        <f t="shared" ref="L403:L466" si="72">K403*C403</f>
        <v>0</v>
      </c>
      <c r="M403" s="919"/>
      <c r="N403" s="914">
        <f t="shared" ref="N403:N466" si="73">M403*C403</f>
        <v>0</v>
      </c>
      <c r="O403" s="919"/>
      <c r="P403" s="914">
        <f t="shared" si="65"/>
        <v>0</v>
      </c>
      <c r="Q403" s="919"/>
      <c r="R403" s="914">
        <f t="shared" si="66"/>
        <v>0</v>
      </c>
      <c r="S403" s="919"/>
      <c r="T403" s="914">
        <f t="shared" si="67"/>
        <v>0</v>
      </c>
      <c r="U403" s="915">
        <f t="shared" si="69"/>
        <v>0</v>
      </c>
      <c r="V403" s="914">
        <f t="shared" si="68"/>
        <v>0</v>
      </c>
    </row>
    <row r="404" spans="1:22" ht="145.5" hidden="1" customHeight="1">
      <c r="A404" s="931"/>
      <c r="B404" s="906" t="s">
        <v>1048</v>
      </c>
      <c r="C404" s="913">
        <f>ROUND(DATA!K2158,2)</f>
        <v>753.07</v>
      </c>
      <c r="D404" s="908" t="s">
        <v>823</v>
      </c>
      <c r="E404" s="919"/>
      <c r="F404" s="1053">
        <f t="shared" si="64"/>
        <v>0</v>
      </c>
      <c r="G404" s="919"/>
      <c r="H404" s="914">
        <f t="shared" si="70"/>
        <v>0</v>
      </c>
      <c r="I404" s="919"/>
      <c r="J404" s="914">
        <f t="shared" si="71"/>
        <v>0</v>
      </c>
      <c r="K404" s="914"/>
      <c r="L404" s="914">
        <f t="shared" si="72"/>
        <v>0</v>
      </c>
      <c r="M404" s="919"/>
      <c r="N404" s="914">
        <f t="shared" si="73"/>
        <v>0</v>
      </c>
      <c r="O404" s="919"/>
      <c r="P404" s="914">
        <f t="shared" si="65"/>
        <v>0</v>
      </c>
      <c r="Q404" s="919"/>
      <c r="R404" s="914">
        <f t="shared" si="66"/>
        <v>0</v>
      </c>
      <c r="S404" s="919"/>
      <c r="T404" s="914">
        <f t="shared" si="67"/>
        <v>0</v>
      </c>
      <c r="U404" s="915">
        <f t="shared" si="69"/>
        <v>0</v>
      </c>
      <c r="V404" s="914">
        <f t="shared" si="68"/>
        <v>0</v>
      </c>
    </row>
    <row r="405" spans="1:22" ht="145.5" hidden="1" customHeight="1">
      <c r="A405" s="905">
        <v>61.2</v>
      </c>
      <c r="B405" s="924" t="s">
        <v>1049</v>
      </c>
      <c r="C405" s="913"/>
      <c r="D405" s="908"/>
      <c r="E405" s="919"/>
      <c r="F405" s="1053">
        <f t="shared" si="64"/>
        <v>0</v>
      </c>
      <c r="G405" s="919"/>
      <c r="H405" s="914">
        <f t="shared" si="70"/>
        <v>0</v>
      </c>
      <c r="I405" s="919"/>
      <c r="J405" s="914">
        <f t="shared" si="71"/>
        <v>0</v>
      </c>
      <c r="K405" s="914"/>
      <c r="L405" s="914">
        <f t="shared" si="72"/>
        <v>0</v>
      </c>
      <c r="M405" s="919"/>
      <c r="N405" s="914">
        <f t="shared" si="73"/>
        <v>0</v>
      </c>
      <c r="O405" s="919"/>
      <c r="P405" s="914">
        <f t="shared" si="65"/>
        <v>0</v>
      </c>
      <c r="Q405" s="919"/>
      <c r="R405" s="914">
        <f t="shared" si="66"/>
        <v>0</v>
      </c>
      <c r="S405" s="919"/>
      <c r="T405" s="914">
        <f t="shared" si="67"/>
        <v>0</v>
      </c>
      <c r="U405" s="915">
        <f t="shared" si="69"/>
        <v>0</v>
      </c>
      <c r="V405" s="914">
        <f t="shared" si="68"/>
        <v>0</v>
      </c>
    </row>
    <row r="406" spans="1:22" ht="145.5" hidden="1" customHeight="1">
      <c r="A406" s="927"/>
      <c r="B406" s="906" t="s">
        <v>1050</v>
      </c>
      <c r="C406" s="913">
        <f>ROUND(DATA!K2169,2)</f>
        <v>242.19</v>
      </c>
      <c r="D406" s="908" t="s">
        <v>823</v>
      </c>
      <c r="E406" s="919"/>
      <c r="F406" s="1053">
        <f t="shared" si="64"/>
        <v>0</v>
      </c>
      <c r="G406" s="919"/>
      <c r="H406" s="914">
        <f t="shared" si="70"/>
        <v>0</v>
      </c>
      <c r="I406" s="919"/>
      <c r="J406" s="914">
        <f t="shared" si="71"/>
        <v>0</v>
      </c>
      <c r="K406" s="914"/>
      <c r="L406" s="914">
        <f t="shared" si="72"/>
        <v>0</v>
      </c>
      <c r="M406" s="919"/>
      <c r="N406" s="914">
        <f t="shared" si="73"/>
        <v>0</v>
      </c>
      <c r="O406" s="919"/>
      <c r="P406" s="914">
        <f t="shared" si="65"/>
        <v>0</v>
      </c>
      <c r="Q406" s="919"/>
      <c r="R406" s="914">
        <f t="shared" si="66"/>
        <v>0</v>
      </c>
      <c r="S406" s="919"/>
      <c r="T406" s="914">
        <f t="shared" si="67"/>
        <v>0</v>
      </c>
      <c r="U406" s="915">
        <f t="shared" si="69"/>
        <v>0</v>
      </c>
      <c r="V406" s="914">
        <f t="shared" si="68"/>
        <v>0</v>
      </c>
    </row>
    <row r="407" spans="1:22" ht="145.5" hidden="1" customHeight="1">
      <c r="A407" s="931"/>
      <c r="B407" s="906" t="s">
        <v>1051</v>
      </c>
      <c r="C407" s="921">
        <f>ROUND(DATA!K2184,2)</f>
        <v>356.15</v>
      </c>
      <c r="D407" s="908" t="s">
        <v>823</v>
      </c>
      <c r="E407" s="919"/>
      <c r="F407" s="1053">
        <f t="shared" si="64"/>
        <v>0</v>
      </c>
      <c r="G407" s="919"/>
      <c r="H407" s="914">
        <f t="shared" si="70"/>
        <v>0</v>
      </c>
      <c r="I407" s="919"/>
      <c r="J407" s="914">
        <f t="shared" si="71"/>
        <v>0</v>
      </c>
      <c r="K407" s="914"/>
      <c r="L407" s="914">
        <f t="shared" si="72"/>
        <v>0</v>
      </c>
      <c r="M407" s="919"/>
      <c r="N407" s="914">
        <f t="shared" si="73"/>
        <v>0</v>
      </c>
      <c r="O407" s="919"/>
      <c r="P407" s="914">
        <f t="shared" si="65"/>
        <v>0</v>
      </c>
      <c r="Q407" s="919"/>
      <c r="R407" s="914">
        <f t="shared" si="66"/>
        <v>0</v>
      </c>
      <c r="S407" s="919"/>
      <c r="T407" s="914">
        <f t="shared" si="67"/>
        <v>0</v>
      </c>
      <c r="U407" s="915">
        <f t="shared" si="69"/>
        <v>0</v>
      </c>
      <c r="V407" s="914">
        <f t="shared" si="68"/>
        <v>0</v>
      </c>
    </row>
    <row r="408" spans="1:22" ht="145.5" hidden="1" customHeight="1">
      <c r="A408" s="905">
        <v>62.1</v>
      </c>
      <c r="B408" s="906" t="s">
        <v>1052</v>
      </c>
      <c r="C408" s="913"/>
      <c r="D408" s="908"/>
      <c r="E408" s="919"/>
      <c r="F408" s="1053">
        <f t="shared" si="64"/>
        <v>0</v>
      </c>
      <c r="G408" s="919"/>
      <c r="H408" s="914">
        <f t="shared" si="70"/>
        <v>0</v>
      </c>
      <c r="I408" s="919"/>
      <c r="J408" s="914">
        <f t="shared" si="71"/>
        <v>0</v>
      </c>
      <c r="K408" s="914"/>
      <c r="L408" s="914">
        <f t="shared" si="72"/>
        <v>0</v>
      </c>
      <c r="M408" s="919"/>
      <c r="N408" s="914">
        <f t="shared" si="73"/>
        <v>0</v>
      </c>
      <c r="O408" s="919"/>
      <c r="P408" s="914">
        <f t="shared" si="65"/>
        <v>0</v>
      </c>
      <c r="Q408" s="919"/>
      <c r="R408" s="914">
        <f t="shared" si="66"/>
        <v>0</v>
      </c>
      <c r="S408" s="919"/>
      <c r="T408" s="914">
        <f t="shared" si="67"/>
        <v>0</v>
      </c>
      <c r="U408" s="915">
        <f t="shared" si="69"/>
        <v>0</v>
      </c>
      <c r="V408" s="914">
        <f t="shared" si="68"/>
        <v>0</v>
      </c>
    </row>
    <row r="409" spans="1:22" ht="145.5" hidden="1" customHeight="1">
      <c r="A409" s="927"/>
      <c r="B409" s="906" t="s">
        <v>1050</v>
      </c>
      <c r="C409" s="913">
        <f>ROUND(DATA!K2193,2)</f>
        <v>104.1</v>
      </c>
      <c r="D409" s="908" t="s">
        <v>1393</v>
      </c>
      <c r="E409" s="919"/>
      <c r="F409" s="1053">
        <f t="shared" si="64"/>
        <v>0</v>
      </c>
      <c r="G409" s="919"/>
      <c r="H409" s="914">
        <f t="shared" si="70"/>
        <v>0</v>
      </c>
      <c r="I409" s="919"/>
      <c r="J409" s="914">
        <f t="shared" si="71"/>
        <v>0</v>
      </c>
      <c r="K409" s="914"/>
      <c r="L409" s="914">
        <f t="shared" si="72"/>
        <v>0</v>
      </c>
      <c r="M409" s="919"/>
      <c r="N409" s="914">
        <f t="shared" si="73"/>
        <v>0</v>
      </c>
      <c r="O409" s="919"/>
      <c r="P409" s="914">
        <f t="shared" si="65"/>
        <v>0</v>
      </c>
      <c r="Q409" s="919"/>
      <c r="R409" s="914">
        <f t="shared" si="66"/>
        <v>0</v>
      </c>
      <c r="S409" s="919"/>
      <c r="T409" s="914">
        <f t="shared" si="67"/>
        <v>0</v>
      </c>
      <c r="U409" s="915">
        <f t="shared" si="69"/>
        <v>0</v>
      </c>
      <c r="V409" s="914">
        <f t="shared" si="68"/>
        <v>0</v>
      </c>
    </row>
    <row r="410" spans="1:22" ht="145.5" hidden="1" customHeight="1">
      <c r="A410" s="931"/>
      <c r="B410" s="906" t="s">
        <v>1051</v>
      </c>
      <c r="C410" s="921">
        <f>ROUND(DATA!K2200,2)</f>
        <v>143.15</v>
      </c>
      <c r="D410" s="908" t="s">
        <v>1393</v>
      </c>
      <c r="E410" s="919"/>
      <c r="F410" s="1053">
        <f t="shared" si="64"/>
        <v>0</v>
      </c>
      <c r="G410" s="919"/>
      <c r="H410" s="914">
        <f t="shared" si="70"/>
        <v>0</v>
      </c>
      <c r="I410" s="919"/>
      <c r="J410" s="914">
        <f t="shared" si="71"/>
        <v>0</v>
      </c>
      <c r="K410" s="914"/>
      <c r="L410" s="914">
        <f t="shared" si="72"/>
        <v>0</v>
      </c>
      <c r="M410" s="919"/>
      <c r="N410" s="914">
        <f t="shared" si="73"/>
        <v>0</v>
      </c>
      <c r="O410" s="919"/>
      <c r="P410" s="914">
        <f t="shared" si="65"/>
        <v>0</v>
      </c>
      <c r="Q410" s="919"/>
      <c r="R410" s="914">
        <f t="shared" si="66"/>
        <v>0</v>
      </c>
      <c r="S410" s="919"/>
      <c r="T410" s="914">
        <f t="shared" si="67"/>
        <v>0</v>
      </c>
      <c r="U410" s="915">
        <f t="shared" si="69"/>
        <v>0</v>
      </c>
      <c r="V410" s="914">
        <f t="shared" si="68"/>
        <v>0</v>
      </c>
    </row>
    <row r="411" spans="1:22" ht="145.5" hidden="1" customHeight="1">
      <c r="A411" s="905">
        <v>62.2</v>
      </c>
      <c r="B411" s="924" t="s">
        <v>1053</v>
      </c>
      <c r="C411" s="913"/>
      <c r="D411" s="908"/>
      <c r="E411" s="919"/>
      <c r="F411" s="1053">
        <f t="shared" si="64"/>
        <v>0</v>
      </c>
      <c r="G411" s="919"/>
      <c r="H411" s="914">
        <f t="shared" si="70"/>
        <v>0</v>
      </c>
      <c r="I411" s="919"/>
      <c r="J411" s="914">
        <f t="shared" si="71"/>
        <v>0</v>
      </c>
      <c r="K411" s="914"/>
      <c r="L411" s="914">
        <f t="shared" si="72"/>
        <v>0</v>
      </c>
      <c r="M411" s="919"/>
      <c r="N411" s="914">
        <f t="shared" si="73"/>
        <v>0</v>
      </c>
      <c r="O411" s="919"/>
      <c r="P411" s="914">
        <f t="shared" si="65"/>
        <v>0</v>
      </c>
      <c r="Q411" s="919"/>
      <c r="R411" s="914">
        <f t="shared" si="66"/>
        <v>0</v>
      </c>
      <c r="S411" s="919"/>
      <c r="T411" s="914">
        <f t="shared" si="67"/>
        <v>0</v>
      </c>
      <c r="U411" s="915">
        <f t="shared" si="69"/>
        <v>0</v>
      </c>
      <c r="V411" s="914">
        <f t="shared" si="68"/>
        <v>0</v>
      </c>
    </row>
    <row r="412" spans="1:22" ht="145.5" hidden="1" customHeight="1">
      <c r="A412" s="927"/>
      <c r="B412" s="906" t="s">
        <v>1050</v>
      </c>
      <c r="C412" s="913">
        <f>ROUND(DATA!K2206,2)</f>
        <v>131</v>
      </c>
      <c r="D412" s="908" t="s">
        <v>1393</v>
      </c>
      <c r="E412" s="919"/>
      <c r="F412" s="1053">
        <f t="shared" si="64"/>
        <v>0</v>
      </c>
      <c r="G412" s="919"/>
      <c r="H412" s="914">
        <f t="shared" si="70"/>
        <v>0</v>
      </c>
      <c r="I412" s="919"/>
      <c r="J412" s="914">
        <f t="shared" si="71"/>
        <v>0</v>
      </c>
      <c r="K412" s="914"/>
      <c r="L412" s="914">
        <f t="shared" si="72"/>
        <v>0</v>
      </c>
      <c r="M412" s="919"/>
      <c r="N412" s="914">
        <f t="shared" si="73"/>
        <v>0</v>
      </c>
      <c r="O412" s="919"/>
      <c r="P412" s="914">
        <f t="shared" si="65"/>
        <v>0</v>
      </c>
      <c r="Q412" s="919"/>
      <c r="R412" s="914">
        <f t="shared" si="66"/>
        <v>0</v>
      </c>
      <c r="S412" s="919"/>
      <c r="T412" s="914">
        <f t="shared" si="67"/>
        <v>0</v>
      </c>
      <c r="U412" s="915">
        <f t="shared" si="69"/>
        <v>0</v>
      </c>
      <c r="V412" s="914">
        <f t="shared" si="68"/>
        <v>0</v>
      </c>
    </row>
    <row r="413" spans="1:22" ht="145.5" hidden="1" customHeight="1">
      <c r="A413" s="931"/>
      <c r="B413" s="906" t="s">
        <v>1051</v>
      </c>
      <c r="C413" s="913">
        <f>ROUND(DATA!K2216,2)</f>
        <v>169.15</v>
      </c>
      <c r="D413" s="908" t="s">
        <v>1393</v>
      </c>
      <c r="E413" s="919"/>
      <c r="F413" s="1053">
        <f t="shared" si="64"/>
        <v>0</v>
      </c>
      <c r="G413" s="919"/>
      <c r="H413" s="914">
        <f t="shared" si="70"/>
        <v>0</v>
      </c>
      <c r="I413" s="919"/>
      <c r="J413" s="914">
        <f t="shared" si="71"/>
        <v>0</v>
      </c>
      <c r="K413" s="914"/>
      <c r="L413" s="914">
        <f t="shared" si="72"/>
        <v>0</v>
      </c>
      <c r="M413" s="919"/>
      <c r="N413" s="914">
        <f t="shared" si="73"/>
        <v>0</v>
      </c>
      <c r="O413" s="919"/>
      <c r="P413" s="914">
        <f t="shared" si="65"/>
        <v>0</v>
      </c>
      <c r="Q413" s="919"/>
      <c r="R413" s="914">
        <f t="shared" si="66"/>
        <v>0</v>
      </c>
      <c r="S413" s="919"/>
      <c r="T413" s="914">
        <f t="shared" si="67"/>
        <v>0</v>
      </c>
      <c r="U413" s="915">
        <f t="shared" si="69"/>
        <v>0</v>
      </c>
      <c r="V413" s="914">
        <f t="shared" si="68"/>
        <v>0</v>
      </c>
    </row>
    <row r="414" spans="1:22" ht="145.5" hidden="1" customHeight="1">
      <c r="A414" s="905">
        <v>63</v>
      </c>
      <c r="B414" s="906" t="s">
        <v>2131</v>
      </c>
      <c r="C414" s="921">
        <f>ROUND(DATA!K2225,2)</f>
        <v>31.87</v>
      </c>
      <c r="D414" s="908" t="s">
        <v>1393</v>
      </c>
      <c r="E414" s="919"/>
      <c r="F414" s="1053">
        <f t="shared" si="64"/>
        <v>0</v>
      </c>
      <c r="G414" s="919"/>
      <c r="H414" s="914">
        <f t="shared" si="70"/>
        <v>0</v>
      </c>
      <c r="I414" s="919"/>
      <c r="J414" s="914">
        <f t="shared" si="71"/>
        <v>0</v>
      </c>
      <c r="K414" s="914"/>
      <c r="L414" s="914">
        <f t="shared" si="72"/>
        <v>0</v>
      </c>
      <c r="M414" s="919"/>
      <c r="N414" s="914">
        <f t="shared" si="73"/>
        <v>0</v>
      </c>
      <c r="O414" s="919"/>
      <c r="P414" s="914">
        <f t="shared" si="65"/>
        <v>0</v>
      </c>
      <c r="Q414" s="919"/>
      <c r="R414" s="914">
        <f t="shared" si="66"/>
        <v>0</v>
      </c>
      <c r="S414" s="919"/>
      <c r="T414" s="914">
        <f t="shared" si="67"/>
        <v>0</v>
      </c>
      <c r="U414" s="915">
        <f t="shared" si="69"/>
        <v>0</v>
      </c>
      <c r="V414" s="914">
        <f t="shared" si="68"/>
        <v>0</v>
      </c>
    </row>
    <row r="415" spans="1:22" ht="145.5" hidden="1" customHeight="1">
      <c r="A415" s="905"/>
      <c r="B415" s="924" t="s">
        <v>2132</v>
      </c>
      <c r="C415" s="913"/>
      <c r="D415" s="908"/>
      <c r="E415" s="914"/>
      <c r="F415" s="1053">
        <f t="shared" si="64"/>
        <v>0</v>
      </c>
      <c r="G415" s="914"/>
      <c r="H415" s="914">
        <f t="shared" si="70"/>
        <v>0</v>
      </c>
      <c r="I415" s="914"/>
      <c r="J415" s="914">
        <f t="shared" si="71"/>
        <v>0</v>
      </c>
      <c r="K415" s="914"/>
      <c r="L415" s="914">
        <f t="shared" si="72"/>
        <v>0</v>
      </c>
      <c r="M415" s="914"/>
      <c r="N415" s="914">
        <f t="shared" si="73"/>
        <v>0</v>
      </c>
      <c r="O415" s="914"/>
      <c r="P415" s="914">
        <f t="shared" si="65"/>
        <v>0</v>
      </c>
      <c r="Q415" s="914"/>
      <c r="R415" s="914">
        <f t="shared" si="66"/>
        <v>0</v>
      </c>
      <c r="S415" s="914"/>
      <c r="T415" s="914">
        <f t="shared" si="67"/>
        <v>0</v>
      </c>
      <c r="U415" s="915">
        <f t="shared" si="69"/>
        <v>0</v>
      </c>
      <c r="V415" s="914">
        <f t="shared" si="68"/>
        <v>0</v>
      </c>
    </row>
    <row r="416" spans="1:22" ht="145.5" hidden="1" customHeight="1">
      <c r="A416" s="905">
        <v>64</v>
      </c>
      <c r="B416" s="906" t="s">
        <v>2133</v>
      </c>
      <c r="C416" s="921">
        <f>DATA!K2261</f>
        <v>1692.1</v>
      </c>
      <c r="D416" s="908" t="s">
        <v>1393</v>
      </c>
      <c r="E416" s="919"/>
      <c r="F416" s="1053">
        <f t="shared" si="64"/>
        <v>0</v>
      </c>
      <c r="G416" s="919"/>
      <c r="H416" s="914">
        <f t="shared" si="70"/>
        <v>0</v>
      </c>
      <c r="I416" s="919"/>
      <c r="J416" s="914">
        <f t="shared" si="71"/>
        <v>0</v>
      </c>
      <c r="K416" s="914"/>
      <c r="L416" s="914">
        <f t="shared" si="72"/>
        <v>0</v>
      </c>
      <c r="M416" s="919"/>
      <c r="N416" s="914">
        <f t="shared" si="73"/>
        <v>0</v>
      </c>
      <c r="O416" s="919"/>
      <c r="P416" s="914">
        <f t="shared" si="65"/>
        <v>0</v>
      </c>
      <c r="Q416" s="919"/>
      <c r="R416" s="914">
        <f t="shared" si="66"/>
        <v>0</v>
      </c>
      <c r="S416" s="919"/>
      <c r="T416" s="914">
        <f t="shared" si="67"/>
        <v>0</v>
      </c>
      <c r="U416" s="915">
        <f t="shared" si="69"/>
        <v>0</v>
      </c>
      <c r="V416" s="914">
        <f t="shared" si="68"/>
        <v>0</v>
      </c>
    </row>
    <row r="417" spans="1:22" ht="145.5" hidden="1" customHeight="1">
      <c r="A417" s="927"/>
      <c r="B417" s="906" t="s">
        <v>1265</v>
      </c>
      <c r="C417" s="921">
        <f>DATA!K2262</f>
        <v>1695.1</v>
      </c>
      <c r="D417" s="908" t="s">
        <v>1393</v>
      </c>
      <c r="E417" s="919"/>
      <c r="F417" s="1053">
        <f t="shared" si="64"/>
        <v>0</v>
      </c>
      <c r="G417" s="919"/>
      <c r="H417" s="914">
        <f t="shared" si="70"/>
        <v>0</v>
      </c>
      <c r="I417" s="919"/>
      <c r="J417" s="914">
        <f t="shared" si="71"/>
        <v>0</v>
      </c>
      <c r="K417" s="914"/>
      <c r="L417" s="914">
        <f t="shared" si="72"/>
        <v>0</v>
      </c>
      <c r="M417" s="919"/>
      <c r="N417" s="914">
        <f t="shared" si="73"/>
        <v>0</v>
      </c>
      <c r="O417" s="919"/>
      <c r="P417" s="914">
        <f t="shared" si="65"/>
        <v>0</v>
      </c>
      <c r="Q417" s="919"/>
      <c r="R417" s="914">
        <f t="shared" si="66"/>
        <v>0</v>
      </c>
      <c r="S417" s="919"/>
      <c r="T417" s="914">
        <f t="shared" si="67"/>
        <v>0</v>
      </c>
      <c r="U417" s="915">
        <f t="shared" si="69"/>
        <v>0</v>
      </c>
      <c r="V417" s="914">
        <f t="shared" si="68"/>
        <v>0</v>
      </c>
    </row>
    <row r="418" spans="1:22" ht="145.5" hidden="1" customHeight="1">
      <c r="A418" s="931"/>
      <c r="B418" s="906" t="s">
        <v>296</v>
      </c>
      <c r="C418" s="921">
        <f>DATA!K2263</f>
        <v>1732.1</v>
      </c>
      <c r="D418" s="908" t="s">
        <v>1393</v>
      </c>
      <c r="E418" s="919"/>
      <c r="F418" s="1053">
        <f t="shared" si="64"/>
        <v>0</v>
      </c>
      <c r="G418" s="919"/>
      <c r="H418" s="914">
        <f t="shared" si="70"/>
        <v>0</v>
      </c>
      <c r="I418" s="919"/>
      <c r="J418" s="914">
        <f t="shared" si="71"/>
        <v>0</v>
      </c>
      <c r="K418" s="914"/>
      <c r="L418" s="914">
        <f t="shared" si="72"/>
        <v>0</v>
      </c>
      <c r="M418" s="919"/>
      <c r="N418" s="914">
        <f t="shared" si="73"/>
        <v>0</v>
      </c>
      <c r="O418" s="919"/>
      <c r="P418" s="914">
        <f t="shared" si="65"/>
        <v>0</v>
      </c>
      <c r="Q418" s="919"/>
      <c r="R418" s="914">
        <f t="shared" si="66"/>
        <v>0</v>
      </c>
      <c r="S418" s="919"/>
      <c r="T418" s="914">
        <f t="shared" si="67"/>
        <v>0</v>
      </c>
      <c r="U418" s="915">
        <f t="shared" si="69"/>
        <v>0</v>
      </c>
      <c r="V418" s="914">
        <f t="shared" si="68"/>
        <v>0</v>
      </c>
    </row>
    <row r="419" spans="1:22" ht="145.5" hidden="1" customHeight="1">
      <c r="A419" s="905">
        <v>65</v>
      </c>
      <c r="B419" s="906" t="s">
        <v>297</v>
      </c>
      <c r="C419" s="921">
        <f>DATA!K2264</f>
        <v>1767.1</v>
      </c>
      <c r="D419" s="908" t="s">
        <v>1393</v>
      </c>
      <c r="E419" s="919"/>
      <c r="F419" s="1053">
        <f t="shared" ref="F419:F482" si="74">E419*C419</f>
        <v>0</v>
      </c>
      <c r="G419" s="919"/>
      <c r="H419" s="914">
        <f t="shared" si="70"/>
        <v>0</v>
      </c>
      <c r="I419" s="919"/>
      <c r="J419" s="914">
        <f t="shared" si="71"/>
        <v>0</v>
      </c>
      <c r="K419" s="914"/>
      <c r="L419" s="914">
        <f t="shared" si="72"/>
        <v>0</v>
      </c>
      <c r="M419" s="919"/>
      <c r="N419" s="914">
        <f t="shared" si="73"/>
        <v>0</v>
      </c>
      <c r="O419" s="919"/>
      <c r="P419" s="914">
        <f t="shared" si="65"/>
        <v>0</v>
      </c>
      <c r="Q419" s="919"/>
      <c r="R419" s="914">
        <f t="shared" si="66"/>
        <v>0</v>
      </c>
      <c r="S419" s="919"/>
      <c r="T419" s="914">
        <f t="shared" si="67"/>
        <v>0</v>
      </c>
      <c r="U419" s="915">
        <f t="shared" si="69"/>
        <v>0</v>
      </c>
      <c r="V419" s="914">
        <f t="shared" si="68"/>
        <v>0</v>
      </c>
    </row>
    <row r="420" spans="1:22" ht="145.5" hidden="1" customHeight="1">
      <c r="A420" s="905">
        <v>66</v>
      </c>
      <c r="B420" s="906" t="s">
        <v>298</v>
      </c>
      <c r="C420" s="921">
        <f>DATA!K2265</f>
        <v>3176.2</v>
      </c>
      <c r="D420" s="908" t="s">
        <v>1393</v>
      </c>
      <c r="E420" s="919"/>
      <c r="F420" s="1053">
        <f t="shared" si="74"/>
        <v>0</v>
      </c>
      <c r="G420" s="919"/>
      <c r="H420" s="914">
        <f t="shared" si="70"/>
        <v>0</v>
      </c>
      <c r="I420" s="919"/>
      <c r="J420" s="914">
        <f t="shared" si="71"/>
        <v>0</v>
      </c>
      <c r="K420" s="914"/>
      <c r="L420" s="914">
        <f t="shared" si="72"/>
        <v>0</v>
      </c>
      <c r="M420" s="919"/>
      <c r="N420" s="914">
        <f t="shared" si="73"/>
        <v>0</v>
      </c>
      <c r="O420" s="919"/>
      <c r="P420" s="914">
        <f t="shared" si="65"/>
        <v>0</v>
      </c>
      <c r="Q420" s="919"/>
      <c r="R420" s="914">
        <f t="shared" si="66"/>
        <v>0</v>
      </c>
      <c r="S420" s="919"/>
      <c r="T420" s="914">
        <f t="shared" si="67"/>
        <v>0</v>
      </c>
      <c r="U420" s="915">
        <f t="shared" si="69"/>
        <v>0</v>
      </c>
      <c r="V420" s="914">
        <f t="shared" si="68"/>
        <v>0</v>
      </c>
    </row>
    <row r="421" spans="1:22" ht="145.5" hidden="1" customHeight="1">
      <c r="A421" s="905">
        <v>67</v>
      </c>
      <c r="B421" s="906" t="s">
        <v>1778</v>
      </c>
      <c r="C421" s="921">
        <f>DATA!K2266</f>
        <v>869.5</v>
      </c>
      <c r="D421" s="908" t="s">
        <v>1393</v>
      </c>
      <c r="E421" s="919"/>
      <c r="F421" s="1053">
        <f t="shared" si="74"/>
        <v>0</v>
      </c>
      <c r="G421" s="919"/>
      <c r="H421" s="914">
        <f t="shared" si="70"/>
        <v>0</v>
      </c>
      <c r="I421" s="919"/>
      <c r="J421" s="914">
        <f t="shared" si="71"/>
        <v>0</v>
      </c>
      <c r="K421" s="914"/>
      <c r="L421" s="914">
        <f t="shared" si="72"/>
        <v>0</v>
      </c>
      <c r="M421" s="919"/>
      <c r="N421" s="914">
        <f t="shared" si="73"/>
        <v>0</v>
      </c>
      <c r="O421" s="919"/>
      <c r="P421" s="914">
        <f t="shared" si="65"/>
        <v>0</v>
      </c>
      <c r="Q421" s="919"/>
      <c r="R421" s="914">
        <f t="shared" si="66"/>
        <v>0</v>
      </c>
      <c r="S421" s="919"/>
      <c r="T421" s="914">
        <f t="shared" si="67"/>
        <v>0</v>
      </c>
      <c r="U421" s="915">
        <f t="shared" si="69"/>
        <v>0</v>
      </c>
      <c r="V421" s="914">
        <f t="shared" si="68"/>
        <v>0</v>
      </c>
    </row>
    <row r="422" spans="1:22" ht="145.5" hidden="1" customHeight="1">
      <c r="A422" s="905">
        <v>68</v>
      </c>
      <c r="B422" s="906" t="s">
        <v>1779</v>
      </c>
      <c r="C422" s="921">
        <f>DATA!K2267</f>
        <v>1174.4000000000001</v>
      </c>
      <c r="D422" s="908" t="s">
        <v>1393</v>
      </c>
      <c r="E422" s="919"/>
      <c r="F422" s="1053">
        <f t="shared" si="74"/>
        <v>0</v>
      </c>
      <c r="G422" s="919"/>
      <c r="H422" s="914">
        <f t="shared" si="70"/>
        <v>0</v>
      </c>
      <c r="I422" s="919"/>
      <c r="J422" s="914">
        <f t="shared" si="71"/>
        <v>0</v>
      </c>
      <c r="K422" s="914"/>
      <c r="L422" s="914">
        <f t="shared" si="72"/>
        <v>0</v>
      </c>
      <c r="M422" s="919"/>
      <c r="N422" s="914">
        <f t="shared" si="73"/>
        <v>0</v>
      </c>
      <c r="O422" s="919"/>
      <c r="P422" s="914">
        <f t="shared" si="65"/>
        <v>0</v>
      </c>
      <c r="Q422" s="919"/>
      <c r="R422" s="914">
        <f t="shared" si="66"/>
        <v>0</v>
      </c>
      <c r="S422" s="919"/>
      <c r="T422" s="914">
        <f t="shared" si="67"/>
        <v>0</v>
      </c>
      <c r="U422" s="915">
        <f t="shared" si="69"/>
        <v>0</v>
      </c>
      <c r="V422" s="914">
        <f t="shared" si="68"/>
        <v>0</v>
      </c>
    </row>
    <row r="423" spans="1:22" s="920" customFormat="1" ht="145.5" hidden="1" customHeight="1">
      <c r="A423" s="916">
        <v>69</v>
      </c>
      <c r="B423" s="917" t="s">
        <v>1780</v>
      </c>
      <c r="C423" s="918">
        <f>DATA!K2268</f>
        <v>150</v>
      </c>
      <c r="D423" s="898" t="s">
        <v>1393</v>
      </c>
      <c r="E423" s="919"/>
      <c r="F423" s="1053">
        <f t="shared" si="74"/>
        <v>0</v>
      </c>
      <c r="G423" s="919"/>
      <c r="H423" s="914">
        <f t="shared" si="70"/>
        <v>0</v>
      </c>
      <c r="I423" s="919"/>
      <c r="J423" s="914">
        <f t="shared" si="71"/>
        <v>0</v>
      </c>
      <c r="K423" s="914"/>
      <c r="L423" s="914">
        <f t="shared" si="72"/>
        <v>0</v>
      </c>
      <c r="M423" s="919"/>
      <c r="N423" s="914">
        <f t="shared" si="73"/>
        <v>0</v>
      </c>
      <c r="O423" s="919"/>
      <c r="P423" s="914">
        <f t="shared" si="65"/>
        <v>0</v>
      </c>
      <c r="Q423" s="919"/>
      <c r="R423" s="914">
        <f t="shared" si="66"/>
        <v>0</v>
      </c>
      <c r="S423" s="919"/>
      <c r="T423" s="914">
        <f t="shared" si="67"/>
        <v>0</v>
      </c>
      <c r="U423" s="915">
        <f t="shared" si="69"/>
        <v>0</v>
      </c>
      <c r="V423" s="914">
        <f t="shared" si="68"/>
        <v>0</v>
      </c>
    </row>
    <row r="424" spans="1:22" ht="145.5" hidden="1" customHeight="1">
      <c r="A424" s="905">
        <v>70.099999999999994</v>
      </c>
      <c r="B424" s="906" t="s">
        <v>1781</v>
      </c>
      <c r="C424" s="921">
        <f>DATA!K2269</f>
        <v>529.20000000000005</v>
      </c>
      <c r="D424" s="908" t="s">
        <v>1393</v>
      </c>
      <c r="E424" s="919"/>
      <c r="F424" s="1053">
        <f t="shared" si="74"/>
        <v>0</v>
      </c>
      <c r="G424" s="919"/>
      <c r="H424" s="914">
        <f t="shared" si="70"/>
        <v>0</v>
      </c>
      <c r="I424" s="919"/>
      <c r="J424" s="914">
        <f t="shared" si="71"/>
        <v>0</v>
      </c>
      <c r="K424" s="914"/>
      <c r="L424" s="914">
        <f t="shared" si="72"/>
        <v>0</v>
      </c>
      <c r="M424" s="919"/>
      <c r="N424" s="914">
        <f t="shared" si="73"/>
        <v>0</v>
      </c>
      <c r="O424" s="919"/>
      <c r="P424" s="914">
        <f t="shared" si="65"/>
        <v>0</v>
      </c>
      <c r="Q424" s="919"/>
      <c r="R424" s="914">
        <f t="shared" si="66"/>
        <v>0</v>
      </c>
      <c r="S424" s="919"/>
      <c r="T424" s="914">
        <f t="shared" si="67"/>
        <v>0</v>
      </c>
      <c r="U424" s="915">
        <f t="shared" si="69"/>
        <v>0</v>
      </c>
      <c r="V424" s="914">
        <f t="shared" si="68"/>
        <v>0</v>
      </c>
    </row>
    <row r="425" spans="1:22" ht="145.5" hidden="1" customHeight="1">
      <c r="A425" s="905">
        <v>70.2</v>
      </c>
      <c r="B425" s="906" t="s">
        <v>1782</v>
      </c>
      <c r="C425" s="921"/>
      <c r="D425" s="908" t="s">
        <v>1393</v>
      </c>
      <c r="E425" s="919"/>
      <c r="F425" s="1053">
        <f t="shared" si="74"/>
        <v>0</v>
      </c>
      <c r="G425" s="919"/>
      <c r="H425" s="914">
        <f t="shared" si="70"/>
        <v>0</v>
      </c>
      <c r="I425" s="919"/>
      <c r="J425" s="914">
        <f t="shared" si="71"/>
        <v>0</v>
      </c>
      <c r="K425" s="914"/>
      <c r="L425" s="914">
        <f t="shared" si="72"/>
        <v>0</v>
      </c>
      <c r="M425" s="919"/>
      <c r="N425" s="914">
        <f t="shared" si="73"/>
        <v>0</v>
      </c>
      <c r="O425" s="919"/>
      <c r="P425" s="914">
        <f t="shared" si="65"/>
        <v>0</v>
      </c>
      <c r="Q425" s="919"/>
      <c r="R425" s="914">
        <f t="shared" si="66"/>
        <v>0</v>
      </c>
      <c r="S425" s="919"/>
      <c r="T425" s="914">
        <f t="shared" si="67"/>
        <v>0</v>
      </c>
      <c r="U425" s="915">
        <f t="shared" si="69"/>
        <v>0</v>
      </c>
      <c r="V425" s="914">
        <f t="shared" si="68"/>
        <v>0</v>
      </c>
    </row>
    <row r="426" spans="1:22" ht="145.5" hidden="1" customHeight="1">
      <c r="A426" s="905">
        <v>70.3</v>
      </c>
      <c r="B426" s="906" t="s">
        <v>1783</v>
      </c>
      <c r="C426" s="921">
        <f>DATA!K2271</f>
        <v>9.4</v>
      </c>
      <c r="D426" s="908" t="s">
        <v>1393</v>
      </c>
      <c r="E426" s="919"/>
      <c r="F426" s="1053">
        <f t="shared" si="74"/>
        <v>0</v>
      </c>
      <c r="G426" s="919"/>
      <c r="H426" s="914">
        <f t="shared" si="70"/>
        <v>0</v>
      </c>
      <c r="I426" s="919"/>
      <c r="J426" s="914">
        <f t="shared" si="71"/>
        <v>0</v>
      </c>
      <c r="K426" s="914"/>
      <c r="L426" s="914">
        <f t="shared" si="72"/>
        <v>0</v>
      </c>
      <c r="M426" s="919"/>
      <c r="N426" s="914">
        <f t="shared" si="73"/>
        <v>0</v>
      </c>
      <c r="O426" s="919"/>
      <c r="P426" s="914">
        <f t="shared" si="65"/>
        <v>0</v>
      </c>
      <c r="Q426" s="919"/>
      <c r="R426" s="914">
        <f t="shared" si="66"/>
        <v>0</v>
      </c>
      <c r="S426" s="919"/>
      <c r="T426" s="914">
        <f t="shared" si="67"/>
        <v>0</v>
      </c>
      <c r="U426" s="915">
        <f t="shared" si="69"/>
        <v>0</v>
      </c>
      <c r="V426" s="914">
        <f t="shared" si="68"/>
        <v>0</v>
      </c>
    </row>
    <row r="427" spans="1:22" ht="145.5" hidden="1" customHeight="1">
      <c r="A427" s="905">
        <v>70.400000000000006</v>
      </c>
      <c r="B427" s="906" t="s">
        <v>1382</v>
      </c>
      <c r="C427" s="921">
        <f>DATA!K2272</f>
        <v>10</v>
      </c>
      <c r="D427" s="908" t="s">
        <v>1393</v>
      </c>
      <c r="E427" s="919"/>
      <c r="F427" s="1053">
        <f t="shared" si="74"/>
        <v>0</v>
      </c>
      <c r="G427" s="919"/>
      <c r="H427" s="914">
        <f t="shared" si="70"/>
        <v>0</v>
      </c>
      <c r="I427" s="919"/>
      <c r="J427" s="914">
        <f t="shared" si="71"/>
        <v>0</v>
      </c>
      <c r="K427" s="914"/>
      <c r="L427" s="914">
        <f t="shared" si="72"/>
        <v>0</v>
      </c>
      <c r="M427" s="919"/>
      <c r="N427" s="914">
        <f t="shared" si="73"/>
        <v>0</v>
      </c>
      <c r="O427" s="919"/>
      <c r="P427" s="914">
        <f t="shared" si="65"/>
        <v>0</v>
      </c>
      <c r="Q427" s="919"/>
      <c r="R427" s="914">
        <f t="shared" si="66"/>
        <v>0</v>
      </c>
      <c r="S427" s="919"/>
      <c r="T427" s="914">
        <f t="shared" si="67"/>
        <v>0</v>
      </c>
      <c r="U427" s="915">
        <f t="shared" si="69"/>
        <v>0</v>
      </c>
      <c r="V427" s="914">
        <f t="shared" si="68"/>
        <v>0</v>
      </c>
    </row>
    <row r="428" spans="1:22" ht="145.5" hidden="1" customHeight="1">
      <c r="A428" s="905">
        <v>71</v>
      </c>
      <c r="B428" s="906" t="s">
        <v>1383</v>
      </c>
      <c r="C428" s="913">
        <f>DATA!K2273</f>
        <v>1372.85</v>
      </c>
      <c r="D428" s="908" t="s">
        <v>1393</v>
      </c>
      <c r="E428" s="919"/>
      <c r="F428" s="1053">
        <f t="shared" si="74"/>
        <v>0</v>
      </c>
      <c r="G428" s="919"/>
      <c r="H428" s="914">
        <f t="shared" si="70"/>
        <v>0</v>
      </c>
      <c r="I428" s="919"/>
      <c r="J428" s="914">
        <f t="shared" si="71"/>
        <v>0</v>
      </c>
      <c r="K428" s="914"/>
      <c r="L428" s="914">
        <f t="shared" si="72"/>
        <v>0</v>
      </c>
      <c r="M428" s="919"/>
      <c r="N428" s="914">
        <f t="shared" si="73"/>
        <v>0</v>
      </c>
      <c r="O428" s="919"/>
      <c r="P428" s="914">
        <f t="shared" si="65"/>
        <v>0</v>
      </c>
      <c r="Q428" s="919"/>
      <c r="R428" s="914">
        <f t="shared" si="66"/>
        <v>0</v>
      </c>
      <c r="S428" s="919"/>
      <c r="T428" s="914">
        <f t="shared" si="67"/>
        <v>0</v>
      </c>
      <c r="U428" s="915">
        <f t="shared" si="69"/>
        <v>0</v>
      </c>
      <c r="V428" s="914">
        <f t="shared" si="68"/>
        <v>0</v>
      </c>
    </row>
    <row r="429" spans="1:22" ht="145.5" hidden="1" customHeight="1">
      <c r="A429" s="905">
        <v>72</v>
      </c>
      <c r="B429" s="906" t="s">
        <v>899</v>
      </c>
      <c r="C429" s="913">
        <f>DATA!K2274</f>
        <v>34</v>
      </c>
      <c r="D429" s="908" t="s">
        <v>1393</v>
      </c>
      <c r="E429" s="914"/>
      <c r="F429" s="1053">
        <f t="shared" si="74"/>
        <v>0</v>
      </c>
      <c r="G429" s="914"/>
      <c r="H429" s="914">
        <f t="shared" si="70"/>
        <v>0</v>
      </c>
      <c r="I429" s="914"/>
      <c r="J429" s="914">
        <f t="shared" si="71"/>
        <v>0</v>
      </c>
      <c r="K429" s="914"/>
      <c r="L429" s="914">
        <f t="shared" si="72"/>
        <v>0</v>
      </c>
      <c r="M429" s="914"/>
      <c r="N429" s="914">
        <f t="shared" si="73"/>
        <v>0</v>
      </c>
      <c r="O429" s="914"/>
      <c r="P429" s="914">
        <f t="shared" si="65"/>
        <v>0</v>
      </c>
      <c r="Q429" s="914"/>
      <c r="R429" s="914">
        <f t="shared" si="66"/>
        <v>0</v>
      </c>
      <c r="S429" s="914"/>
      <c r="T429" s="914">
        <f t="shared" si="67"/>
        <v>0</v>
      </c>
      <c r="U429" s="915">
        <f t="shared" si="69"/>
        <v>0</v>
      </c>
      <c r="V429" s="914">
        <f t="shared" si="68"/>
        <v>0</v>
      </c>
    </row>
    <row r="430" spans="1:22" ht="145.5" hidden="1" customHeight="1">
      <c r="A430" s="927">
        <v>73.099999999999994</v>
      </c>
      <c r="B430" s="906" t="s">
        <v>6540</v>
      </c>
      <c r="C430" s="1180">
        <f>O.data!F165</f>
        <v>13800</v>
      </c>
      <c r="D430" s="908" t="s">
        <v>1393</v>
      </c>
      <c r="E430" s="914"/>
      <c r="F430" s="1053">
        <f t="shared" si="74"/>
        <v>0</v>
      </c>
      <c r="G430" s="914"/>
      <c r="H430" s="914">
        <f t="shared" si="70"/>
        <v>0</v>
      </c>
      <c r="I430" s="914"/>
      <c r="J430" s="914">
        <f t="shared" si="71"/>
        <v>0</v>
      </c>
      <c r="K430" s="914"/>
      <c r="L430" s="914">
        <f t="shared" si="72"/>
        <v>0</v>
      </c>
      <c r="M430" s="914"/>
      <c r="N430" s="914">
        <f t="shared" si="73"/>
        <v>0</v>
      </c>
      <c r="O430" s="914"/>
      <c r="P430" s="914">
        <f t="shared" si="65"/>
        <v>0</v>
      </c>
      <c r="Q430" s="914"/>
      <c r="R430" s="914">
        <f t="shared" si="66"/>
        <v>0</v>
      </c>
      <c r="S430" s="914"/>
      <c r="T430" s="914">
        <f t="shared" si="67"/>
        <v>0</v>
      </c>
      <c r="U430" s="915">
        <f t="shared" si="69"/>
        <v>0</v>
      </c>
      <c r="V430" s="914">
        <f t="shared" si="68"/>
        <v>0</v>
      </c>
    </row>
    <row r="431" spans="1:22" ht="145.5" hidden="1" customHeight="1">
      <c r="A431" s="905">
        <v>73.2</v>
      </c>
      <c r="B431" s="906" t="s">
        <v>900</v>
      </c>
      <c r="C431" s="921">
        <f>DATA!K2276</f>
        <v>3466.34</v>
      </c>
      <c r="D431" s="908" t="s">
        <v>1393</v>
      </c>
      <c r="E431" s="914"/>
      <c r="F431" s="1053">
        <f t="shared" si="74"/>
        <v>0</v>
      </c>
      <c r="G431" s="914"/>
      <c r="H431" s="914">
        <f t="shared" si="70"/>
        <v>0</v>
      </c>
      <c r="I431" s="914"/>
      <c r="J431" s="914">
        <f t="shared" si="71"/>
        <v>0</v>
      </c>
      <c r="K431" s="914"/>
      <c r="L431" s="914">
        <f t="shared" si="72"/>
        <v>0</v>
      </c>
      <c r="M431" s="914"/>
      <c r="N431" s="914">
        <f t="shared" si="73"/>
        <v>0</v>
      </c>
      <c r="O431" s="914"/>
      <c r="P431" s="914">
        <f t="shared" si="65"/>
        <v>0</v>
      </c>
      <c r="Q431" s="914"/>
      <c r="R431" s="914">
        <f t="shared" si="66"/>
        <v>0</v>
      </c>
      <c r="S431" s="914"/>
      <c r="T431" s="914">
        <f t="shared" si="67"/>
        <v>0</v>
      </c>
      <c r="U431" s="915">
        <f t="shared" si="69"/>
        <v>0</v>
      </c>
      <c r="V431" s="914">
        <f t="shared" si="68"/>
        <v>0</v>
      </c>
    </row>
    <row r="432" spans="1:22" ht="145.5" hidden="1" customHeight="1">
      <c r="A432" s="905">
        <v>74</v>
      </c>
      <c r="B432" s="906" t="s">
        <v>901</v>
      </c>
      <c r="C432" s="913">
        <f>DATA!K2277</f>
        <v>601.20000000000005</v>
      </c>
      <c r="D432" s="908" t="s">
        <v>1393</v>
      </c>
      <c r="E432" s="914"/>
      <c r="F432" s="1053">
        <f t="shared" si="74"/>
        <v>0</v>
      </c>
      <c r="G432" s="914"/>
      <c r="H432" s="914">
        <f t="shared" si="70"/>
        <v>0</v>
      </c>
      <c r="I432" s="914"/>
      <c r="J432" s="914">
        <f t="shared" si="71"/>
        <v>0</v>
      </c>
      <c r="K432" s="914"/>
      <c r="L432" s="914">
        <f t="shared" si="72"/>
        <v>0</v>
      </c>
      <c r="M432" s="914"/>
      <c r="N432" s="914">
        <f t="shared" si="73"/>
        <v>0</v>
      </c>
      <c r="O432" s="914"/>
      <c r="P432" s="914">
        <f t="shared" si="65"/>
        <v>0</v>
      </c>
      <c r="Q432" s="914"/>
      <c r="R432" s="914">
        <f t="shared" si="66"/>
        <v>0</v>
      </c>
      <c r="S432" s="914"/>
      <c r="T432" s="914">
        <f t="shared" si="67"/>
        <v>0</v>
      </c>
      <c r="U432" s="915">
        <f t="shared" si="69"/>
        <v>0</v>
      </c>
      <c r="V432" s="914">
        <f t="shared" si="68"/>
        <v>0</v>
      </c>
    </row>
    <row r="433" spans="1:22" ht="145.5" hidden="1" customHeight="1">
      <c r="A433" s="905">
        <v>75</v>
      </c>
      <c r="B433" s="924" t="s">
        <v>902</v>
      </c>
      <c r="C433" s="921"/>
      <c r="D433" s="908"/>
      <c r="E433" s="919"/>
      <c r="F433" s="1053">
        <f t="shared" si="74"/>
        <v>0</v>
      </c>
      <c r="G433" s="919"/>
      <c r="H433" s="914">
        <f t="shared" si="70"/>
        <v>0</v>
      </c>
      <c r="I433" s="919"/>
      <c r="J433" s="914">
        <f t="shared" si="71"/>
        <v>0</v>
      </c>
      <c r="K433" s="914"/>
      <c r="L433" s="914">
        <f t="shared" si="72"/>
        <v>0</v>
      </c>
      <c r="M433" s="919"/>
      <c r="N433" s="914">
        <f t="shared" si="73"/>
        <v>0</v>
      </c>
      <c r="O433" s="919"/>
      <c r="P433" s="914">
        <f t="shared" si="65"/>
        <v>0</v>
      </c>
      <c r="Q433" s="919"/>
      <c r="R433" s="914">
        <f t="shared" si="66"/>
        <v>0</v>
      </c>
      <c r="S433" s="919"/>
      <c r="T433" s="914">
        <f t="shared" si="67"/>
        <v>0</v>
      </c>
      <c r="U433" s="915">
        <f t="shared" si="69"/>
        <v>0</v>
      </c>
      <c r="V433" s="914">
        <f t="shared" si="68"/>
        <v>0</v>
      </c>
    </row>
    <row r="434" spans="1:22" ht="145.5" hidden="1" customHeight="1">
      <c r="A434" s="927"/>
      <c r="B434" s="906" t="s">
        <v>903</v>
      </c>
      <c r="C434" s="921"/>
      <c r="D434" s="908" t="s">
        <v>1393</v>
      </c>
      <c r="E434" s="919"/>
      <c r="F434" s="1053">
        <f t="shared" si="74"/>
        <v>0</v>
      </c>
      <c r="G434" s="919"/>
      <c r="H434" s="914">
        <f t="shared" si="70"/>
        <v>0</v>
      </c>
      <c r="I434" s="919"/>
      <c r="J434" s="914">
        <f t="shared" si="71"/>
        <v>0</v>
      </c>
      <c r="K434" s="914"/>
      <c r="L434" s="914">
        <f t="shared" si="72"/>
        <v>0</v>
      </c>
      <c r="M434" s="919"/>
      <c r="N434" s="914">
        <f t="shared" si="73"/>
        <v>0</v>
      </c>
      <c r="O434" s="919"/>
      <c r="P434" s="914">
        <f t="shared" si="65"/>
        <v>0</v>
      </c>
      <c r="Q434" s="919"/>
      <c r="R434" s="914">
        <f t="shared" si="66"/>
        <v>0</v>
      </c>
      <c r="S434" s="919"/>
      <c r="T434" s="914">
        <f t="shared" si="67"/>
        <v>0</v>
      </c>
      <c r="U434" s="915">
        <f t="shared" si="69"/>
        <v>0</v>
      </c>
      <c r="V434" s="914">
        <f t="shared" si="68"/>
        <v>0</v>
      </c>
    </row>
    <row r="435" spans="1:22" ht="145.5" hidden="1" customHeight="1">
      <c r="A435" s="931"/>
      <c r="B435" s="906" t="s">
        <v>904</v>
      </c>
      <c r="C435" s="921"/>
      <c r="D435" s="908" t="s">
        <v>1393</v>
      </c>
      <c r="E435" s="919"/>
      <c r="F435" s="1053">
        <f t="shared" si="74"/>
        <v>0</v>
      </c>
      <c r="G435" s="919"/>
      <c r="H435" s="914">
        <f t="shared" si="70"/>
        <v>0</v>
      </c>
      <c r="I435" s="919"/>
      <c r="J435" s="914">
        <f t="shared" si="71"/>
        <v>0</v>
      </c>
      <c r="K435" s="914"/>
      <c r="L435" s="914">
        <f t="shared" si="72"/>
        <v>0</v>
      </c>
      <c r="M435" s="919"/>
      <c r="N435" s="914">
        <f t="shared" si="73"/>
        <v>0</v>
      </c>
      <c r="O435" s="919"/>
      <c r="P435" s="914">
        <f t="shared" si="65"/>
        <v>0</v>
      </c>
      <c r="Q435" s="919"/>
      <c r="R435" s="914">
        <f t="shared" si="66"/>
        <v>0</v>
      </c>
      <c r="S435" s="919"/>
      <c r="T435" s="914">
        <f t="shared" si="67"/>
        <v>0</v>
      </c>
      <c r="U435" s="915">
        <f t="shared" si="69"/>
        <v>0</v>
      </c>
      <c r="V435" s="914">
        <f t="shared" si="68"/>
        <v>0</v>
      </c>
    </row>
    <row r="436" spans="1:22" ht="145.5" hidden="1" customHeight="1">
      <c r="A436" s="905">
        <v>76</v>
      </c>
      <c r="B436" s="906" t="s">
        <v>905</v>
      </c>
      <c r="C436" s="913">
        <f>Elec.Data!K462</f>
        <v>81.34</v>
      </c>
      <c r="D436" s="908" t="s">
        <v>823</v>
      </c>
      <c r="E436" s="914"/>
      <c r="F436" s="1053">
        <f t="shared" si="74"/>
        <v>0</v>
      </c>
      <c r="G436" s="914"/>
      <c r="H436" s="914">
        <f t="shared" si="70"/>
        <v>0</v>
      </c>
      <c r="I436" s="914"/>
      <c r="J436" s="914">
        <f t="shared" si="71"/>
        <v>0</v>
      </c>
      <c r="K436" s="914"/>
      <c r="L436" s="914">
        <f t="shared" si="72"/>
        <v>0</v>
      </c>
      <c r="M436" s="914"/>
      <c r="N436" s="914">
        <f t="shared" si="73"/>
        <v>0</v>
      </c>
      <c r="O436" s="914"/>
      <c r="P436" s="914">
        <f t="shared" si="65"/>
        <v>0</v>
      </c>
      <c r="Q436" s="914"/>
      <c r="R436" s="914">
        <f t="shared" si="66"/>
        <v>0</v>
      </c>
      <c r="S436" s="914"/>
      <c r="T436" s="914">
        <f t="shared" si="67"/>
        <v>0</v>
      </c>
      <c r="U436" s="915">
        <f t="shared" si="69"/>
        <v>0</v>
      </c>
      <c r="V436" s="914">
        <f t="shared" si="68"/>
        <v>0</v>
      </c>
    </row>
    <row r="437" spans="1:22" ht="145.5" hidden="1" customHeight="1">
      <c r="A437" s="905">
        <v>77</v>
      </c>
      <c r="B437" s="906" t="s">
        <v>906</v>
      </c>
      <c r="C437" s="921">
        <f>ROUND(DATA!K2282,2)</f>
        <v>214.9</v>
      </c>
      <c r="D437" s="908" t="s">
        <v>823</v>
      </c>
      <c r="E437" s="919"/>
      <c r="F437" s="1053">
        <f t="shared" si="74"/>
        <v>0</v>
      </c>
      <c r="G437" s="919"/>
      <c r="H437" s="914">
        <f t="shared" si="70"/>
        <v>0</v>
      </c>
      <c r="I437" s="919"/>
      <c r="J437" s="914">
        <f t="shared" si="71"/>
        <v>0</v>
      </c>
      <c r="K437" s="914"/>
      <c r="L437" s="914">
        <f t="shared" si="72"/>
        <v>0</v>
      </c>
      <c r="M437" s="919"/>
      <c r="N437" s="914">
        <f t="shared" si="73"/>
        <v>0</v>
      </c>
      <c r="O437" s="919"/>
      <c r="P437" s="914">
        <f t="shared" si="65"/>
        <v>0</v>
      </c>
      <c r="Q437" s="919"/>
      <c r="R437" s="914">
        <f t="shared" si="66"/>
        <v>0</v>
      </c>
      <c r="S437" s="919"/>
      <c r="T437" s="914">
        <f t="shared" si="67"/>
        <v>0</v>
      </c>
      <c r="U437" s="915">
        <f t="shared" si="69"/>
        <v>0</v>
      </c>
      <c r="V437" s="914">
        <f t="shared" si="68"/>
        <v>0</v>
      </c>
    </row>
    <row r="438" spans="1:22" ht="145.5" hidden="1" customHeight="1">
      <c r="A438" s="905">
        <v>77.099999999999994</v>
      </c>
      <c r="B438" s="906" t="s">
        <v>1914</v>
      </c>
      <c r="C438" s="921">
        <f>ROUND(DATA!K2283,2)</f>
        <v>272.89999999999998</v>
      </c>
      <c r="D438" s="908" t="s">
        <v>823</v>
      </c>
      <c r="E438" s="919"/>
      <c r="F438" s="1053">
        <f t="shared" si="74"/>
        <v>0</v>
      </c>
      <c r="G438" s="919"/>
      <c r="H438" s="914">
        <f t="shared" si="70"/>
        <v>0</v>
      </c>
      <c r="I438" s="919"/>
      <c r="J438" s="914">
        <f t="shared" si="71"/>
        <v>0</v>
      </c>
      <c r="K438" s="914"/>
      <c r="L438" s="914">
        <f t="shared" si="72"/>
        <v>0</v>
      </c>
      <c r="M438" s="919"/>
      <c r="N438" s="914">
        <f t="shared" si="73"/>
        <v>0</v>
      </c>
      <c r="O438" s="919"/>
      <c r="P438" s="914">
        <f t="shared" si="65"/>
        <v>0</v>
      </c>
      <c r="Q438" s="919"/>
      <c r="R438" s="914">
        <f t="shared" si="66"/>
        <v>0</v>
      </c>
      <c r="S438" s="919"/>
      <c r="T438" s="914">
        <f t="shared" si="67"/>
        <v>0</v>
      </c>
      <c r="U438" s="915">
        <f t="shared" si="69"/>
        <v>0</v>
      </c>
      <c r="V438" s="914">
        <f t="shared" si="68"/>
        <v>0</v>
      </c>
    </row>
    <row r="439" spans="1:22" ht="145.5" hidden="1" customHeight="1">
      <c r="A439" s="905">
        <v>77.2</v>
      </c>
      <c r="B439" s="906" t="s">
        <v>5041</v>
      </c>
      <c r="C439" s="921">
        <v>1879</v>
      </c>
      <c r="D439" s="908" t="s">
        <v>1393</v>
      </c>
      <c r="E439" s="919"/>
      <c r="F439" s="1053">
        <f t="shared" si="74"/>
        <v>0</v>
      </c>
      <c r="G439" s="919"/>
      <c r="H439" s="914">
        <f t="shared" si="70"/>
        <v>0</v>
      </c>
      <c r="I439" s="919"/>
      <c r="J439" s="914">
        <f t="shared" si="71"/>
        <v>0</v>
      </c>
      <c r="K439" s="914"/>
      <c r="L439" s="914">
        <f t="shared" si="72"/>
        <v>0</v>
      </c>
      <c r="M439" s="919"/>
      <c r="N439" s="914">
        <f t="shared" si="73"/>
        <v>0</v>
      </c>
      <c r="O439" s="919"/>
      <c r="P439" s="914">
        <f t="shared" si="65"/>
        <v>0</v>
      </c>
      <c r="Q439" s="919"/>
      <c r="R439" s="914">
        <f t="shared" si="66"/>
        <v>0</v>
      </c>
      <c r="S439" s="919"/>
      <c r="T439" s="914">
        <f t="shared" si="67"/>
        <v>0</v>
      </c>
      <c r="U439" s="915">
        <f t="shared" si="69"/>
        <v>0</v>
      </c>
      <c r="V439" s="914">
        <f t="shared" si="68"/>
        <v>0</v>
      </c>
    </row>
    <row r="440" spans="1:22" ht="145.5" hidden="1" customHeight="1">
      <c r="A440" s="905">
        <v>77.3</v>
      </c>
      <c r="B440" s="906" t="s">
        <v>1339</v>
      </c>
      <c r="C440" s="913">
        <f>DATA!K2285</f>
        <v>77.010000000000005</v>
      </c>
      <c r="D440" s="908" t="s">
        <v>1393</v>
      </c>
      <c r="E440" s="914"/>
      <c r="F440" s="1053">
        <f t="shared" si="74"/>
        <v>0</v>
      </c>
      <c r="G440" s="914"/>
      <c r="H440" s="914">
        <f t="shared" si="70"/>
        <v>0</v>
      </c>
      <c r="I440" s="914"/>
      <c r="J440" s="914">
        <f t="shared" si="71"/>
        <v>0</v>
      </c>
      <c r="K440" s="914"/>
      <c r="L440" s="914">
        <f t="shared" si="72"/>
        <v>0</v>
      </c>
      <c r="M440" s="914"/>
      <c r="N440" s="914">
        <f t="shared" si="73"/>
        <v>0</v>
      </c>
      <c r="O440" s="914"/>
      <c r="P440" s="914">
        <f t="shared" si="65"/>
        <v>0</v>
      </c>
      <c r="Q440" s="914"/>
      <c r="R440" s="914">
        <f t="shared" si="66"/>
        <v>0</v>
      </c>
      <c r="S440" s="914"/>
      <c r="T440" s="914">
        <f t="shared" si="67"/>
        <v>0</v>
      </c>
      <c r="U440" s="915">
        <f t="shared" si="69"/>
        <v>0</v>
      </c>
      <c r="V440" s="914">
        <f t="shared" si="68"/>
        <v>0</v>
      </c>
    </row>
    <row r="441" spans="1:22" ht="145.5" hidden="1" customHeight="1">
      <c r="A441" s="905">
        <v>77.400000000000006</v>
      </c>
      <c r="B441" s="906" t="s">
        <v>1046</v>
      </c>
      <c r="C441" s="913">
        <f>DATA!K2304</f>
        <v>88.71</v>
      </c>
      <c r="D441" s="908" t="s">
        <v>823</v>
      </c>
      <c r="E441" s="914"/>
      <c r="F441" s="1053">
        <f t="shared" si="74"/>
        <v>0</v>
      </c>
      <c r="G441" s="914"/>
      <c r="H441" s="914">
        <f t="shared" si="70"/>
        <v>0</v>
      </c>
      <c r="I441" s="914"/>
      <c r="J441" s="914">
        <f t="shared" si="71"/>
        <v>0</v>
      </c>
      <c r="K441" s="914"/>
      <c r="L441" s="914">
        <f t="shared" si="72"/>
        <v>0</v>
      </c>
      <c r="M441" s="914"/>
      <c r="N441" s="914">
        <f t="shared" si="73"/>
        <v>0</v>
      </c>
      <c r="O441" s="914"/>
      <c r="P441" s="914">
        <f t="shared" si="65"/>
        <v>0</v>
      </c>
      <c r="Q441" s="914"/>
      <c r="R441" s="914">
        <f t="shared" si="66"/>
        <v>0</v>
      </c>
      <c r="S441" s="914"/>
      <c r="T441" s="914">
        <f t="shared" si="67"/>
        <v>0</v>
      </c>
      <c r="U441" s="915">
        <f t="shared" si="69"/>
        <v>0</v>
      </c>
      <c r="V441" s="914">
        <f t="shared" si="68"/>
        <v>0</v>
      </c>
    </row>
    <row r="442" spans="1:22" ht="145.5" customHeight="1">
      <c r="A442" s="905">
        <v>78</v>
      </c>
      <c r="B442" s="906" t="s">
        <v>2157</v>
      </c>
      <c r="C442" s="913">
        <f>DATA!K2286</f>
        <v>2997.6</v>
      </c>
      <c r="D442" s="908" t="s">
        <v>1393</v>
      </c>
      <c r="E442" s="914"/>
      <c r="F442" s="1053">
        <f t="shared" si="74"/>
        <v>0</v>
      </c>
      <c r="G442" s="914"/>
      <c r="H442" s="914">
        <f t="shared" si="70"/>
        <v>0</v>
      </c>
      <c r="I442" s="914"/>
      <c r="J442" s="914">
        <f t="shared" si="71"/>
        <v>0</v>
      </c>
      <c r="K442" s="914">
        <v>1</v>
      </c>
      <c r="L442" s="914">
        <f t="shared" si="72"/>
        <v>2997.6</v>
      </c>
      <c r="M442" s="914"/>
      <c r="N442" s="914">
        <f t="shared" si="73"/>
        <v>0</v>
      </c>
      <c r="O442" s="914"/>
      <c r="P442" s="914">
        <f t="shared" si="65"/>
        <v>0</v>
      </c>
      <c r="Q442" s="914"/>
      <c r="R442" s="914">
        <f t="shared" si="66"/>
        <v>0</v>
      </c>
      <c r="S442" s="914"/>
      <c r="T442" s="914">
        <f t="shared" si="67"/>
        <v>0</v>
      </c>
      <c r="U442" s="915">
        <f t="shared" si="69"/>
        <v>1</v>
      </c>
      <c r="V442" s="914">
        <f t="shared" si="68"/>
        <v>2997.6</v>
      </c>
    </row>
    <row r="443" spans="1:22" ht="145.5" hidden="1" customHeight="1">
      <c r="A443" s="905">
        <v>79.099999999999994</v>
      </c>
      <c r="B443" s="906" t="s">
        <v>2211</v>
      </c>
      <c r="C443" s="921">
        <f>Elec.Data!K568</f>
        <v>573</v>
      </c>
      <c r="D443" s="908" t="s">
        <v>1393</v>
      </c>
      <c r="E443" s="919"/>
      <c r="F443" s="1053">
        <f t="shared" si="74"/>
        <v>0</v>
      </c>
      <c r="G443" s="919"/>
      <c r="H443" s="914">
        <f t="shared" si="70"/>
        <v>0</v>
      </c>
      <c r="I443" s="919"/>
      <c r="J443" s="914">
        <f t="shared" si="71"/>
        <v>0</v>
      </c>
      <c r="K443" s="914"/>
      <c r="L443" s="914">
        <f t="shared" si="72"/>
        <v>0</v>
      </c>
      <c r="M443" s="919"/>
      <c r="N443" s="914">
        <f t="shared" si="73"/>
        <v>0</v>
      </c>
      <c r="O443" s="919"/>
      <c r="P443" s="914">
        <f t="shared" si="65"/>
        <v>0</v>
      </c>
      <c r="Q443" s="919"/>
      <c r="R443" s="914">
        <f t="shared" si="66"/>
        <v>0</v>
      </c>
      <c r="S443" s="919"/>
      <c r="T443" s="914">
        <f t="shared" si="67"/>
        <v>0</v>
      </c>
      <c r="U443" s="915">
        <f t="shared" si="69"/>
        <v>0</v>
      </c>
      <c r="V443" s="914">
        <f t="shared" si="68"/>
        <v>0</v>
      </c>
    </row>
    <row r="444" spans="1:22" ht="145.5" hidden="1" customHeight="1">
      <c r="A444" s="905">
        <v>79.2</v>
      </c>
      <c r="B444" s="906" t="s">
        <v>1185</v>
      </c>
      <c r="C444" s="921">
        <f>Elec.Data!K587</f>
        <v>852.12</v>
      </c>
      <c r="D444" s="908" t="s">
        <v>1393</v>
      </c>
      <c r="E444" s="919"/>
      <c r="F444" s="1053">
        <f t="shared" si="74"/>
        <v>0</v>
      </c>
      <c r="G444" s="919"/>
      <c r="H444" s="914">
        <f t="shared" si="70"/>
        <v>0</v>
      </c>
      <c r="I444" s="919"/>
      <c r="J444" s="914">
        <f t="shared" si="71"/>
        <v>0</v>
      </c>
      <c r="K444" s="914"/>
      <c r="L444" s="914">
        <f t="shared" si="72"/>
        <v>0</v>
      </c>
      <c r="M444" s="919"/>
      <c r="N444" s="914">
        <f t="shared" si="73"/>
        <v>0</v>
      </c>
      <c r="O444" s="919"/>
      <c r="P444" s="914">
        <f t="shared" si="65"/>
        <v>0</v>
      </c>
      <c r="Q444" s="919"/>
      <c r="R444" s="914">
        <f t="shared" si="66"/>
        <v>0</v>
      </c>
      <c r="S444" s="919"/>
      <c r="T444" s="914">
        <f t="shared" si="67"/>
        <v>0</v>
      </c>
      <c r="U444" s="915">
        <f t="shared" si="69"/>
        <v>0</v>
      </c>
      <c r="V444" s="914">
        <f t="shared" si="68"/>
        <v>0</v>
      </c>
    </row>
    <row r="445" spans="1:22" ht="145.5" hidden="1" customHeight="1">
      <c r="A445" s="905">
        <v>80</v>
      </c>
      <c r="B445" s="906" t="s">
        <v>631</v>
      </c>
      <c r="C445" s="913">
        <f>DATA!K2287</f>
        <v>846</v>
      </c>
      <c r="D445" s="908" t="s">
        <v>1393</v>
      </c>
      <c r="E445" s="919"/>
      <c r="F445" s="1053">
        <f t="shared" si="74"/>
        <v>0</v>
      </c>
      <c r="G445" s="919"/>
      <c r="H445" s="914">
        <f t="shared" si="70"/>
        <v>0</v>
      </c>
      <c r="I445" s="919"/>
      <c r="J445" s="914">
        <f t="shared" si="71"/>
        <v>0</v>
      </c>
      <c r="K445" s="914"/>
      <c r="L445" s="914">
        <f t="shared" si="72"/>
        <v>0</v>
      </c>
      <c r="M445" s="919"/>
      <c r="N445" s="914">
        <f t="shared" si="73"/>
        <v>0</v>
      </c>
      <c r="O445" s="919"/>
      <c r="P445" s="914">
        <f t="shared" si="65"/>
        <v>0</v>
      </c>
      <c r="Q445" s="919"/>
      <c r="R445" s="914">
        <f t="shared" si="66"/>
        <v>0</v>
      </c>
      <c r="S445" s="919"/>
      <c r="T445" s="914">
        <f t="shared" si="67"/>
        <v>0</v>
      </c>
      <c r="U445" s="915">
        <f t="shared" si="69"/>
        <v>0</v>
      </c>
      <c r="V445" s="914">
        <f t="shared" si="68"/>
        <v>0</v>
      </c>
    </row>
    <row r="446" spans="1:22" s="920" customFormat="1" ht="145.5" hidden="1" customHeight="1">
      <c r="A446" s="916">
        <v>81</v>
      </c>
      <c r="B446" s="917" t="s">
        <v>288</v>
      </c>
      <c r="C446" s="918">
        <f>ROUND(DATA!K2288,2)</f>
        <v>2543.1999999999998</v>
      </c>
      <c r="D446" s="898" t="s">
        <v>2273</v>
      </c>
      <c r="E446" s="919"/>
      <c r="F446" s="1053">
        <f t="shared" si="74"/>
        <v>0</v>
      </c>
      <c r="G446" s="919"/>
      <c r="H446" s="914">
        <f t="shared" si="70"/>
        <v>0</v>
      </c>
      <c r="I446" s="919"/>
      <c r="J446" s="914">
        <f t="shared" si="71"/>
        <v>0</v>
      </c>
      <c r="K446" s="914"/>
      <c r="L446" s="914">
        <f t="shared" si="72"/>
        <v>0</v>
      </c>
      <c r="M446" s="919"/>
      <c r="N446" s="914">
        <f t="shared" si="73"/>
        <v>0</v>
      </c>
      <c r="O446" s="919"/>
      <c r="P446" s="914">
        <f t="shared" si="65"/>
        <v>0</v>
      </c>
      <c r="Q446" s="919"/>
      <c r="R446" s="914">
        <f t="shared" si="66"/>
        <v>0</v>
      </c>
      <c r="S446" s="919"/>
      <c r="T446" s="914">
        <f t="shared" si="67"/>
        <v>0</v>
      </c>
      <c r="U446" s="915">
        <f t="shared" si="69"/>
        <v>0</v>
      </c>
      <c r="V446" s="914">
        <f t="shared" si="68"/>
        <v>0</v>
      </c>
    </row>
    <row r="447" spans="1:22" ht="145.5" hidden="1" customHeight="1">
      <c r="A447" s="905">
        <v>82</v>
      </c>
      <c r="B447" s="906" t="s">
        <v>1082</v>
      </c>
      <c r="C447" s="913">
        <f>ROUND(DATA!K2289,2)</f>
        <v>3037.67</v>
      </c>
      <c r="D447" s="908" t="s">
        <v>1393</v>
      </c>
      <c r="E447" s="919"/>
      <c r="F447" s="1053">
        <f t="shared" si="74"/>
        <v>0</v>
      </c>
      <c r="G447" s="919"/>
      <c r="H447" s="914">
        <f t="shared" si="70"/>
        <v>0</v>
      </c>
      <c r="I447" s="919"/>
      <c r="J447" s="914">
        <f t="shared" si="71"/>
        <v>0</v>
      </c>
      <c r="K447" s="914"/>
      <c r="L447" s="914">
        <f t="shared" si="72"/>
        <v>0</v>
      </c>
      <c r="M447" s="919"/>
      <c r="N447" s="914">
        <f t="shared" si="73"/>
        <v>0</v>
      </c>
      <c r="O447" s="919"/>
      <c r="P447" s="914">
        <f t="shared" si="65"/>
        <v>0</v>
      </c>
      <c r="Q447" s="919"/>
      <c r="R447" s="914">
        <f t="shared" si="66"/>
        <v>0</v>
      </c>
      <c r="S447" s="919"/>
      <c r="T447" s="914">
        <f t="shared" si="67"/>
        <v>0</v>
      </c>
      <c r="U447" s="915">
        <f t="shared" si="69"/>
        <v>0</v>
      </c>
      <c r="V447" s="914">
        <f t="shared" si="68"/>
        <v>0</v>
      </c>
    </row>
    <row r="448" spans="1:22" ht="145.5" hidden="1" customHeight="1">
      <c r="A448" s="905">
        <v>83</v>
      </c>
      <c r="B448" s="906" t="s">
        <v>1186</v>
      </c>
      <c r="C448" s="921">
        <f>Elec.Data!K724</f>
        <v>190</v>
      </c>
      <c r="D448" s="908" t="s">
        <v>823</v>
      </c>
      <c r="E448" s="919"/>
      <c r="F448" s="1053">
        <f t="shared" si="74"/>
        <v>0</v>
      </c>
      <c r="G448" s="919"/>
      <c r="H448" s="914">
        <f t="shared" si="70"/>
        <v>0</v>
      </c>
      <c r="I448" s="919"/>
      <c r="J448" s="914">
        <f t="shared" si="71"/>
        <v>0</v>
      </c>
      <c r="K448" s="914"/>
      <c r="L448" s="914">
        <f t="shared" si="72"/>
        <v>0</v>
      </c>
      <c r="M448" s="919"/>
      <c r="N448" s="914">
        <f t="shared" si="73"/>
        <v>0</v>
      </c>
      <c r="O448" s="919"/>
      <c r="P448" s="914">
        <f t="shared" si="65"/>
        <v>0</v>
      </c>
      <c r="Q448" s="919"/>
      <c r="R448" s="914">
        <f t="shared" si="66"/>
        <v>0</v>
      </c>
      <c r="S448" s="919"/>
      <c r="T448" s="914">
        <f t="shared" si="67"/>
        <v>0</v>
      </c>
      <c r="U448" s="915">
        <f t="shared" si="69"/>
        <v>0</v>
      </c>
      <c r="V448" s="914">
        <f t="shared" si="68"/>
        <v>0</v>
      </c>
    </row>
    <row r="449" spans="1:22" ht="145.5" hidden="1" customHeight="1">
      <c r="A449" s="905">
        <v>85</v>
      </c>
      <c r="B449" s="906" t="s">
        <v>1187</v>
      </c>
      <c r="C449" s="921">
        <f>Elec.Data!K683</f>
        <v>130</v>
      </c>
      <c r="D449" s="908" t="s">
        <v>823</v>
      </c>
      <c r="E449" s="919"/>
      <c r="F449" s="1053">
        <f t="shared" si="74"/>
        <v>0</v>
      </c>
      <c r="G449" s="919"/>
      <c r="H449" s="914">
        <f t="shared" si="70"/>
        <v>0</v>
      </c>
      <c r="I449" s="919"/>
      <c r="J449" s="914">
        <f t="shared" si="71"/>
        <v>0</v>
      </c>
      <c r="K449" s="914"/>
      <c r="L449" s="914">
        <f t="shared" si="72"/>
        <v>0</v>
      </c>
      <c r="M449" s="919"/>
      <c r="N449" s="914">
        <f t="shared" si="73"/>
        <v>0</v>
      </c>
      <c r="O449" s="919"/>
      <c r="P449" s="914">
        <f t="shared" si="65"/>
        <v>0</v>
      </c>
      <c r="Q449" s="919"/>
      <c r="R449" s="914">
        <f t="shared" si="66"/>
        <v>0</v>
      </c>
      <c r="S449" s="919"/>
      <c r="T449" s="914">
        <f t="shared" si="67"/>
        <v>0</v>
      </c>
      <c r="U449" s="915">
        <f t="shared" si="69"/>
        <v>0</v>
      </c>
      <c r="V449" s="914">
        <f t="shared" si="68"/>
        <v>0</v>
      </c>
    </row>
    <row r="450" spans="1:22" ht="145.5" hidden="1" customHeight="1">
      <c r="A450" s="905">
        <v>86</v>
      </c>
      <c r="B450" s="906" t="s">
        <v>240</v>
      </c>
      <c r="C450" s="948">
        <v>34</v>
      </c>
      <c r="D450" s="908" t="s">
        <v>1834</v>
      </c>
      <c r="E450" s="914"/>
      <c r="F450" s="1053">
        <f t="shared" si="74"/>
        <v>0</v>
      </c>
      <c r="G450" s="914"/>
      <c r="H450" s="914">
        <f t="shared" si="70"/>
        <v>0</v>
      </c>
      <c r="I450" s="914"/>
      <c r="J450" s="914">
        <f t="shared" si="71"/>
        <v>0</v>
      </c>
      <c r="K450" s="914"/>
      <c r="L450" s="914">
        <f t="shared" si="72"/>
        <v>0</v>
      </c>
      <c r="M450" s="914"/>
      <c r="N450" s="914">
        <f t="shared" si="73"/>
        <v>0</v>
      </c>
      <c r="O450" s="914"/>
      <c r="P450" s="914">
        <f t="shared" si="65"/>
        <v>0</v>
      </c>
      <c r="Q450" s="914"/>
      <c r="R450" s="914">
        <f t="shared" si="66"/>
        <v>0</v>
      </c>
      <c r="S450" s="914"/>
      <c r="T450" s="914">
        <f t="shared" si="67"/>
        <v>0</v>
      </c>
      <c r="U450" s="915">
        <f t="shared" si="69"/>
        <v>0</v>
      </c>
      <c r="V450" s="914">
        <f t="shared" si="68"/>
        <v>0</v>
      </c>
    </row>
    <row r="451" spans="1:22" ht="145.5" hidden="1" customHeight="1">
      <c r="A451" s="905">
        <v>87</v>
      </c>
      <c r="B451" s="906" t="s">
        <v>6543</v>
      </c>
      <c r="C451" s="913">
        <f>C1033</f>
        <v>3091.3</v>
      </c>
      <c r="D451" s="908" t="s">
        <v>1393</v>
      </c>
      <c r="E451" s="919"/>
      <c r="F451" s="1053">
        <f t="shared" si="74"/>
        <v>0</v>
      </c>
      <c r="G451" s="919"/>
      <c r="H451" s="914">
        <f t="shared" si="70"/>
        <v>0</v>
      </c>
      <c r="I451" s="919"/>
      <c r="J451" s="914">
        <f t="shared" si="71"/>
        <v>0</v>
      </c>
      <c r="K451" s="914"/>
      <c r="L451" s="914">
        <f t="shared" si="72"/>
        <v>0</v>
      </c>
      <c r="M451" s="919"/>
      <c r="N451" s="914">
        <f t="shared" si="73"/>
        <v>0</v>
      </c>
      <c r="O451" s="919"/>
      <c r="P451" s="914">
        <f t="shared" si="65"/>
        <v>0</v>
      </c>
      <c r="Q451" s="919"/>
      <c r="R451" s="914">
        <f t="shared" si="66"/>
        <v>0</v>
      </c>
      <c r="S451" s="919"/>
      <c r="T451" s="914">
        <f t="shared" si="67"/>
        <v>0</v>
      </c>
      <c r="U451" s="915">
        <f t="shared" si="69"/>
        <v>0</v>
      </c>
      <c r="V451" s="914">
        <f t="shared" si="68"/>
        <v>0</v>
      </c>
    </row>
    <row r="452" spans="1:22" ht="145.5" customHeight="1">
      <c r="A452" s="905">
        <v>112</v>
      </c>
      <c r="B452" s="906" t="s">
        <v>3793</v>
      </c>
      <c r="C452" s="921">
        <f>ROUND(DATA!K2280,2)</f>
        <v>2363.25</v>
      </c>
      <c r="D452" s="908" t="s">
        <v>1393</v>
      </c>
      <c r="E452" s="919"/>
      <c r="F452" s="1053">
        <f t="shared" si="74"/>
        <v>0</v>
      </c>
      <c r="G452" s="914"/>
      <c r="H452" s="914">
        <f t="shared" si="70"/>
        <v>0</v>
      </c>
      <c r="I452" s="914"/>
      <c r="J452" s="914">
        <f t="shared" si="71"/>
        <v>0</v>
      </c>
      <c r="K452" s="914"/>
      <c r="L452" s="914">
        <f t="shared" si="72"/>
        <v>0</v>
      </c>
      <c r="M452" s="914"/>
      <c r="N452" s="914">
        <f t="shared" si="73"/>
        <v>0</v>
      </c>
      <c r="O452" s="914"/>
      <c r="P452" s="914">
        <f t="shared" si="65"/>
        <v>0</v>
      </c>
      <c r="Q452" s="914"/>
      <c r="R452" s="914">
        <f t="shared" si="66"/>
        <v>0</v>
      </c>
      <c r="S452" s="914"/>
      <c r="T452" s="914">
        <f t="shared" si="67"/>
        <v>0</v>
      </c>
      <c r="U452" s="915">
        <f t="shared" si="69"/>
        <v>0</v>
      </c>
      <c r="V452" s="914">
        <f t="shared" si="68"/>
        <v>0</v>
      </c>
    </row>
    <row r="453" spans="1:22" ht="145.5" customHeight="1">
      <c r="A453" s="905">
        <v>238</v>
      </c>
      <c r="B453" s="906" t="s">
        <v>6633</v>
      </c>
      <c r="C453" s="921">
        <f>ROUND(DATA!K1567,2)</f>
        <v>4672.5</v>
      </c>
      <c r="D453" s="908" t="s">
        <v>525</v>
      </c>
      <c r="E453" s="915"/>
      <c r="F453" s="1053">
        <f t="shared" si="74"/>
        <v>0</v>
      </c>
      <c r="G453" s="915"/>
      <c r="H453" s="914">
        <f t="shared" si="70"/>
        <v>0</v>
      </c>
      <c r="I453" s="915"/>
      <c r="J453" s="914">
        <f t="shared" si="71"/>
        <v>0</v>
      </c>
      <c r="K453" s="914"/>
      <c r="L453" s="914">
        <f t="shared" si="72"/>
        <v>0</v>
      </c>
      <c r="M453" s="1182">
        <v>0.22800000000000001</v>
      </c>
      <c r="N453" s="914">
        <f t="shared" si="73"/>
        <v>1065.33</v>
      </c>
      <c r="O453" s="915"/>
      <c r="P453" s="914">
        <f t="shared" si="65"/>
        <v>0</v>
      </c>
      <c r="Q453" s="915"/>
      <c r="R453" s="914">
        <f t="shared" si="66"/>
        <v>0</v>
      </c>
      <c r="S453" s="915">
        <v>0.68600000000000005</v>
      </c>
      <c r="T453" s="914">
        <f t="shared" si="67"/>
        <v>3205.34</v>
      </c>
      <c r="U453" s="915">
        <f t="shared" si="69"/>
        <v>0.91400000000000003</v>
      </c>
      <c r="V453" s="914">
        <f t="shared" si="68"/>
        <v>4270.67</v>
      </c>
    </row>
    <row r="454" spans="1:22" ht="231.75" hidden="1" customHeight="1">
      <c r="A454" s="905"/>
      <c r="B454" s="903" t="s">
        <v>2879</v>
      </c>
      <c r="C454" s="913"/>
      <c r="D454" s="908"/>
      <c r="E454" s="911"/>
      <c r="F454" s="1053">
        <f t="shared" si="74"/>
        <v>0</v>
      </c>
      <c r="G454" s="914"/>
      <c r="H454" s="914">
        <f t="shared" si="70"/>
        <v>0</v>
      </c>
      <c r="I454" s="914"/>
      <c r="J454" s="914">
        <f t="shared" si="71"/>
        <v>0</v>
      </c>
      <c r="K454" s="914"/>
      <c r="L454" s="914">
        <f t="shared" si="72"/>
        <v>0</v>
      </c>
      <c r="M454" s="914"/>
      <c r="N454" s="914">
        <f t="shared" si="73"/>
        <v>0</v>
      </c>
      <c r="O454" s="914"/>
      <c r="P454" s="914">
        <f t="shared" ref="P454:P493" si="75">O454*C454</f>
        <v>0</v>
      </c>
      <c r="Q454" s="914"/>
      <c r="R454" s="914">
        <f t="shared" ref="R454:R493" si="76">Q454*C454</f>
        <v>0</v>
      </c>
      <c r="S454" s="914"/>
      <c r="T454" s="914">
        <f t="shared" ref="T454:T493" si="77">S454*C454</f>
        <v>0</v>
      </c>
      <c r="U454" s="915">
        <f t="shared" si="69"/>
        <v>0</v>
      </c>
      <c r="V454" s="914">
        <f t="shared" ref="V454:V517" si="78">U454*C454</f>
        <v>0</v>
      </c>
    </row>
    <row r="455" spans="1:22" s="937" customFormat="1" ht="231.75" hidden="1" customHeight="1">
      <c r="A455" s="936" t="s">
        <v>991</v>
      </c>
      <c r="B455" s="925" t="s">
        <v>4688</v>
      </c>
      <c r="C455" s="918"/>
      <c r="D455" s="898"/>
      <c r="E455" s="919"/>
      <c r="F455" s="1053">
        <f t="shared" si="74"/>
        <v>0</v>
      </c>
      <c r="G455" s="919"/>
      <c r="H455" s="914">
        <f t="shared" si="70"/>
        <v>0</v>
      </c>
      <c r="I455" s="919"/>
      <c r="J455" s="914">
        <f t="shared" si="71"/>
        <v>0</v>
      </c>
      <c r="K455" s="914"/>
      <c r="L455" s="914">
        <f t="shared" si="72"/>
        <v>0</v>
      </c>
      <c r="M455" s="919"/>
      <c r="N455" s="914">
        <f t="shared" si="73"/>
        <v>0</v>
      </c>
      <c r="O455" s="919"/>
      <c r="P455" s="914">
        <f t="shared" si="75"/>
        <v>0</v>
      </c>
      <c r="Q455" s="919"/>
      <c r="R455" s="914">
        <f t="shared" si="76"/>
        <v>0</v>
      </c>
      <c r="S455" s="919"/>
      <c r="T455" s="914">
        <f t="shared" si="77"/>
        <v>0</v>
      </c>
      <c r="U455" s="915">
        <f t="shared" si="69"/>
        <v>0</v>
      </c>
      <c r="V455" s="914">
        <f t="shared" si="78"/>
        <v>0</v>
      </c>
    </row>
    <row r="456" spans="1:22" s="937" customFormat="1" ht="231.75" hidden="1" customHeight="1">
      <c r="A456" s="936"/>
      <c r="B456" s="917" t="s">
        <v>4723</v>
      </c>
      <c r="C456" s="918">
        <f>DATA!AK537</f>
        <v>1499.67</v>
      </c>
      <c r="D456" s="898" t="s">
        <v>1834</v>
      </c>
      <c r="E456" s="919"/>
      <c r="F456" s="1053">
        <f t="shared" si="74"/>
        <v>0</v>
      </c>
      <c r="G456" s="919"/>
      <c r="H456" s="914">
        <f t="shared" si="70"/>
        <v>0</v>
      </c>
      <c r="I456" s="919"/>
      <c r="J456" s="914">
        <f t="shared" si="71"/>
        <v>0</v>
      </c>
      <c r="K456" s="914"/>
      <c r="L456" s="914">
        <f t="shared" si="72"/>
        <v>0</v>
      </c>
      <c r="M456" s="919"/>
      <c r="N456" s="914">
        <f t="shared" si="73"/>
        <v>0</v>
      </c>
      <c r="O456" s="919"/>
      <c r="P456" s="914">
        <f t="shared" si="75"/>
        <v>0</v>
      </c>
      <c r="Q456" s="919"/>
      <c r="R456" s="914">
        <f t="shared" si="76"/>
        <v>0</v>
      </c>
      <c r="S456" s="919"/>
      <c r="T456" s="914">
        <f t="shared" si="77"/>
        <v>0</v>
      </c>
      <c r="U456" s="915">
        <f t="shared" si="69"/>
        <v>0</v>
      </c>
      <c r="V456" s="914">
        <f t="shared" si="78"/>
        <v>0</v>
      </c>
    </row>
    <row r="457" spans="1:22" s="937" customFormat="1" ht="231.75" hidden="1" customHeight="1">
      <c r="A457" s="936"/>
      <c r="B457" s="917" t="s">
        <v>1381</v>
      </c>
      <c r="C457" s="918">
        <f>DATA!AK538</f>
        <v>1504.44</v>
      </c>
      <c r="D457" s="898" t="s">
        <v>1834</v>
      </c>
      <c r="E457" s="919"/>
      <c r="F457" s="1053">
        <f t="shared" si="74"/>
        <v>0</v>
      </c>
      <c r="G457" s="919"/>
      <c r="H457" s="914">
        <f t="shared" si="70"/>
        <v>0</v>
      </c>
      <c r="I457" s="919"/>
      <c r="J457" s="914">
        <f t="shared" si="71"/>
        <v>0</v>
      </c>
      <c r="K457" s="914"/>
      <c r="L457" s="914">
        <f t="shared" si="72"/>
        <v>0</v>
      </c>
      <c r="M457" s="919"/>
      <c r="N457" s="914">
        <f t="shared" si="73"/>
        <v>0</v>
      </c>
      <c r="O457" s="919"/>
      <c r="P457" s="914">
        <f t="shared" si="75"/>
        <v>0</v>
      </c>
      <c r="Q457" s="919"/>
      <c r="R457" s="914">
        <f t="shared" si="76"/>
        <v>0</v>
      </c>
      <c r="S457" s="919"/>
      <c r="T457" s="914">
        <f t="shared" si="77"/>
        <v>0</v>
      </c>
      <c r="U457" s="915">
        <f t="shared" si="69"/>
        <v>0</v>
      </c>
      <c r="V457" s="914">
        <f t="shared" si="78"/>
        <v>0</v>
      </c>
    </row>
    <row r="458" spans="1:22" s="937" customFormat="1" ht="231.75" hidden="1" customHeight="1">
      <c r="A458" s="936"/>
      <c r="B458" s="917" t="s">
        <v>1429</v>
      </c>
      <c r="C458" s="918">
        <f>DATA!AK539</f>
        <v>1509.21</v>
      </c>
      <c r="D458" s="898" t="s">
        <v>1834</v>
      </c>
      <c r="E458" s="919"/>
      <c r="F458" s="1053">
        <f t="shared" si="74"/>
        <v>0</v>
      </c>
      <c r="G458" s="919"/>
      <c r="H458" s="914">
        <f t="shared" si="70"/>
        <v>0</v>
      </c>
      <c r="I458" s="919"/>
      <c r="J458" s="914">
        <f t="shared" si="71"/>
        <v>0</v>
      </c>
      <c r="K458" s="914"/>
      <c r="L458" s="914">
        <f t="shared" si="72"/>
        <v>0</v>
      </c>
      <c r="M458" s="919"/>
      <c r="N458" s="914">
        <f t="shared" si="73"/>
        <v>0</v>
      </c>
      <c r="O458" s="919"/>
      <c r="P458" s="914">
        <f t="shared" si="75"/>
        <v>0</v>
      </c>
      <c r="Q458" s="919"/>
      <c r="R458" s="914">
        <f t="shared" si="76"/>
        <v>0</v>
      </c>
      <c r="S458" s="919"/>
      <c r="T458" s="914">
        <f t="shared" si="77"/>
        <v>0</v>
      </c>
      <c r="U458" s="915">
        <f t="shared" si="69"/>
        <v>0</v>
      </c>
      <c r="V458" s="914">
        <f t="shared" si="78"/>
        <v>0</v>
      </c>
    </row>
    <row r="459" spans="1:22" s="937" customFormat="1" ht="231.75" hidden="1" customHeight="1">
      <c r="A459" s="936"/>
      <c r="B459" s="917" t="s">
        <v>1319</v>
      </c>
      <c r="C459" s="918">
        <f>DATA!AK540</f>
        <v>1513.98</v>
      </c>
      <c r="D459" s="898" t="s">
        <v>1834</v>
      </c>
      <c r="E459" s="919"/>
      <c r="F459" s="1053">
        <f t="shared" si="74"/>
        <v>0</v>
      </c>
      <c r="G459" s="919"/>
      <c r="H459" s="914">
        <f t="shared" si="70"/>
        <v>0</v>
      </c>
      <c r="I459" s="919"/>
      <c r="J459" s="914">
        <f t="shared" si="71"/>
        <v>0</v>
      </c>
      <c r="K459" s="914"/>
      <c r="L459" s="914">
        <f t="shared" si="72"/>
        <v>0</v>
      </c>
      <c r="M459" s="919"/>
      <c r="N459" s="914">
        <f t="shared" si="73"/>
        <v>0</v>
      </c>
      <c r="O459" s="919"/>
      <c r="P459" s="914">
        <f t="shared" si="75"/>
        <v>0</v>
      </c>
      <c r="Q459" s="919"/>
      <c r="R459" s="914">
        <f t="shared" si="76"/>
        <v>0</v>
      </c>
      <c r="S459" s="919"/>
      <c r="T459" s="914">
        <f t="shared" si="77"/>
        <v>0</v>
      </c>
      <c r="U459" s="915">
        <f t="shared" si="69"/>
        <v>0</v>
      </c>
      <c r="V459" s="914">
        <f t="shared" si="78"/>
        <v>0</v>
      </c>
    </row>
    <row r="460" spans="1:22" ht="231.75" hidden="1" customHeight="1">
      <c r="A460" s="931"/>
      <c r="B460" s="906" t="s">
        <v>1074</v>
      </c>
      <c r="C460" s="918">
        <f>DATA!AK541</f>
        <v>1518.75</v>
      </c>
      <c r="D460" s="908" t="s">
        <v>1834</v>
      </c>
      <c r="E460" s="919"/>
      <c r="F460" s="1053">
        <f t="shared" si="74"/>
        <v>0</v>
      </c>
      <c r="G460" s="919"/>
      <c r="H460" s="914">
        <f t="shared" si="70"/>
        <v>0</v>
      </c>
      <c r="I460" s="919"/>
      <c r="J460" s="914">
        <f t="shared" si="71"/>
        <v>0</v>
      </c>
      <c r="K460" s="914"/>
      <c r="L460" s="914">
        <f t="shared" si="72"/>
        <v>0</v>
      </c>
      <c r="M460" s="919"/>
      <c r="N460" s="914">
        <f t="shared" si="73"/>
        <v>0</v>
      </c>
      <c r="O460" s="919"/>
      <c r="P460" s="914">
        <f t="shared" si="75"/>
        <v>0</v>
      </c>
      <c r="Q460" s="919"/>
      <c r="R460" s="914">
        <f t="shared" si="76"/>
        <v>0</v>
      </c>
      <c r="S460" s="919"/>
      <c r="T460" s="914">
        <f t="shared" si="77"/>
        <v>0</v>
      </c>
      <c r="U460" s="915">
        <f t="shared" si="69"/>
        <v>0</v>
      </c>
      <c r="V460" s="914">
        <f t="shared" si="78"/>
        <v>0</v>
      </c>
    </row>
    <row r="461" spans="1:22" s="937" customFormat="1" ht="231.75" hidden="1" customHeight="1">
      <c r="A461" s="936" t="s">
        <v>1124</v>
      </c>
      <c r="B461" s="925" t="s">
        <v>4689</v>
      </c>
      <c r="C461" s="918"/>
      <c r="D461" s="898"/>
      <c r="E461" s="919"/>
      <c r="F461" s="1053">
        <f t="shared" si="74"/>
        <v>0</v>
      </c>
      <c r="G461" s="919"/>
      <c r="H461" s="914">
        <f t="shared" si="70"/>
        <v>0</v>
      </c>
      <c r="I461" s="919"/>
      <c r="J461" s="914">
        <f t="shared" si="71"/>
        <v>0</v>
      </c>
      <c r="K461" s="914"/>
      <c r="L461" s="914">
        <f t="shared" si="72"/>
        <v>0</v>
      </c>
      <c r="M461" s="919"/>
      <c r="N461" s="914">
        <f t="shared" si="73"/>
        <v>0</v>
      </c>
      <c r="O461" s="919"/>
      <c r="P461" s="914">
        <f t="shared" si="75"/>
        <v>0</v>
      </c>
      <c r="Q461" s="919"/>
      <c r="R461" s="914">
        <f t="shared" si="76"/>
        <v>0</v>
      </c>
      <c r="S461" s="919"/>
      <c r="T461" s="914">
        <f t="shared" si="77"/>
        <v>0</v>
      </c>
      <c r="U461" s="915">
        <f t="shared" si="69"/>
        <v>0</v>
      </c>
      <c r="V461" s="914">
        <f t="shared" si="78"/>
        <v>0</v>
      </c>
    </row>
    <row r="462" spans="1:22" s="937" customFormat="1" ht="231.75" hidden="1" customHeight="1">
      <c r="A462" s="936"/>
      <c r="B462" s="917" t="s">
        <v>616</v>
      </c>
      <c r="C462" s="918">
        <f>DATA!AK559</f>
        <v>2157.4299999999998</v>
      </c>
      <c r="D462" s="898" t="s">
        <v>1834</v>
      </c>
      <c r="E462" s="919"/>
      <c r="F462" s="1053">
        <f t="shared" si="74"/>
        <v>0</v>
      </c>
      <c r="G462" s="919"/>
      <c r="H462" s="914">
        <f t="shared" si="70"/>
        <v>0</v>
      </c>
      <c r="I462" s="919"/>
      <c r="J462" s="914">
        <f t="shared" si="71"/>
        <v>0</v>
      </c>
      <c r="K462" s="914"/>
      <c r="L462" s="914">
        <f t="shared" si="72"/>
        <v>0</v>
      </c>
      <c r="M462" s="919"/>
      <c r="N462" s="914">
        <f t="shared" si="73"/>
        <v>0</v>
      </c>
      <c r="O462" s="919"/>
      <c r="P462" s="914">
        <f t="shared" si="75"/>
        <v>0</v>
      </c>
      <c r="Q462" s="919"/>
      <c r="R462" s="914">
        <f t="shared" si="76"/>
        <v>0</v>
      </c>
      <c r="S462" s="919"/>
      <c r="T462" s="914">
        <f t="shared" si="77"/>
        <v>0</v>
      </c>
      <c r="U462" s="915">
        <f t="shared" si="69"/>
        <v>0</v>
      </c>
      <c r="V462" s="914">
        <f t="shared" si="78"/>
        <v>0</v>
      </c>
    </row>
    <row r="463" spans="1:22" s="937" customFormat="1" ht="231.75" hidden="1" customHeight="1">
      <c r="A463" s="936"/>
      <c r="B463" s="917" t="s">
        <v>4724</v>
      </c>
      <c r="C463" s="918">
        <f>DATA!AK561</f>
        <v>2162.27</v>
      </c>
      <c r="D463" s="898" t="s">
        <v>1834</v>
      </c>
      <c r="E463" s="919"/>
      <c r="F463" s="1053">
        <f t="shared" si="74"/>
        <v>0</v>
      </c>
      <c r="G463" s="919"/>
      <c r="H463" s="914">
        <f t="shared" si="70"/>
        <v>0</v>
      </c>
      <c r="I463" s="919"/>
      <c r="J463" s="914">
        <f t="shared" si="71"/>
        <v>0</v>
      </c>
      <c r="K463" s="914"/>
      <c r="L463" s="914">
        <f t="shared" si="72"/>
        <v>0</v>
      </c>
      <c r="M463" s="919"/>
      <c r="N463" s="914">
        <f t="shared" si="73"/>
        <v>0</v>
      </c>
      <c r="O463" s="919"/>
      <c r="P463" s="914">
        <f t="shared" si="75"/>
        <v>0</v>
      </c>
      <c r="Q463" s="919"/>
      <c r="R463" s="914">
        <f t="shared" si="76"/>
        <v>0</v>
      </c>
      <c r="S463" s="919"/>
      <c r="T463" s="914">
        <f t="shared" si="77"/>
        <v>0</v>
      </c>
      <c r="U463" s="915">
        <f t="shared" si="69"/>
        <v>0</v>
      </c>
      <c r="V463" s="914">
        <f t="shared" si="78"/>
        <v>0</v>
      </c>
    </row>
    <row r="464" spans="1:22" s="937" customFormat="1" ht="231.75" hidden="1" customHeight="1">
      <c r="A464" s="936"/>
      <c r="B464" s="917" t="s">
        <v>1241</v>
      </c>
      <c r="C464" s="918">
        <f>DATA!AK562</f>
        <v>2171.8000000000002</v>
      </c>
      <c r="D464" s="898" t="s">
        <v>1834</v>
      </c>
      <c r="E464" s="919"/>
      <c r="F464" s="1053">
        <f t="shared" si="74"/>
        <v>0</v>
      </c>
      <c r="G464" s="919"/>
      <c r="H464" s="914">
        <f t="shared" si="70"/>
        <v>0</v>
      </c>
      <c r="I464" s="919"/>
      <c r="J464" s="914">
        <f t="shared" si="71"/>
        <v>0</v>
      </c>
      <c r="K464" s="914"/>
      <c r="L464" s="914">
        <f t="shared" si="72"/>
        <v>0</v>
      </c>
      <c r="M464" s="919"/>
      <c r="N464" s="914">
        <f t="shared" si="73"/>
        <v>0</v>
      </c>
      <c r="O464" s="919"/>
      <c r="P464" s="914">
        <f t="shared" si="75"/>
        <v>0</v>
      </c>
      <c r="Q464" s="919"/>
      <c r="R464" s="914">
        <f t="shared" si="76"/>
        <v>0</v>
      </c>
      <c r="S464" s="919"/>
      <c r="T464" s="914">
        <f t="shared" si="77"/>
        <v>0</v>
      </c>
      <c r="U464" s="915">
        <f t="shared" si="69"/>
        <v>0</v>
      </c>
      <c r="V464" s="914">
        <f t="shared" si="78"/>
        <v>0</v>
      </c>
    </row>
    <row r="465" spans="1:22" s="937" customFormat="1" ht="231.75" hidden="1" customHeight="1">
      <c r="A465" s="936"/>
      <c r="B465" s="917" t="s">
        <v>677</v>
      </c>
      <c r="C465" s="918">
        <f>DATA!AK563</f>
        <v>2181.33</v>
      </c>
      <c r="D465" s="898" t="s">
        <v>1834</v>
      </c>
      <c r="E465" s="919"/>
      <c r="F465" s="1053">
        <f t="shared" si="74"/>
        <v>0</v>
      </c>
      <c r="G465" s="919"/>
      <c r="H465" s="914">
        <f t="shared" si="70"/>
        <v>0</v>
      </c>
      <c r="I465" s="919"/>
      <c r="J465" s="914">
        <f t="shared" si="71"/>
        <v>0</v>
      </c>
      <c r="K465" s="914"/>
      <c r="L465" s="914">
        <f t="shared" si="72"/>
        <v>0</v>
      </c>
      <c r="M465" s="919"/>
      <c r="N465" s="914">
        <f t="shared" si="73"/>
        <v>0</v>
      </c>
      <c r="O465" s="919"/>
      <c r="P465" s="914">
        <f t="shared" si="75"/>
        <v>0</v>
      </c>
      <c r="Q465" s="919"/>
      <c r="R465" s="914">
        <f t="shared" si="76"/>
        <v>0</v>
      </c>
      <c r="S465" s="919"/>
      <c r="T465" s="914">
        <f t="shared" si="77"/>
        <v>0</v>
      </c>
      <c r="U465" s="915">
        <f t="shared" si="69"/>
        <v>0</v>
      </c>
      <c r="V465" s="914">
        <f t="shared" si="78"/>
        <v>0</v>
      </c>
    </row>
    <row r="466" spans="1:22" s="937" customFormat="1" ht="231.75" hidden="1" customHeight="1">
      <c r="A466" s="936"/>
      <c r="B466" s="917" t="s">
        <v>678</v>
      </c>
      <c r="C466" s="918">
        <f>DATA!AK564</f>
        <v>2190.86</v>
      </c>
      <c r="D466" s="898" t="s">
        <v>1834</v>
      </c>
      <c r="E466" s="919"/>
      <c r="F466" s="1053">
        <f t="shared" si="74"/>
        <v>0</v>
      </c>
      <c r="G466" s="919"/>
      <c r="H466" s="914">
        <f t="shared" si="70"/>
        <v>0</v>
      </c>
      <c r="I466" s="919"/>
      <c r="J466" s="914">
        <f t="shared" si="71"/>
        <v>0</v>
      </c>
      <c r="K466" s="914"/>
      <c r="L466" s="914">
        <f t="shared" si="72"/>
        <v>0</v>
      </c>
      <c r="M466" s="919"/>
      <c r="N466" s="914">
        <f t="shared" si="73"/>
        <v>0</v>
      </c>
      <c r="O466" s="919"/>
      <c r="P466" s="914">
        <f t="shared" si="75"/>
        <v>0</v>
      </c>
      <c r="Q466" s="919"/>
      <c r="R466" s="914">
        <f t="shared" si="76"/>
        <v>0</v>
      </c>
      <c r="S466" s="919"/>
      <c r="T466" s="914">
        <f t="shared" si="77"/>
        <v>0</v>
      </c>
      <c r="U466" s="915">
        <f t="shared" ref="U466:U529" si="79">G466+I466+M466+O466+Q466+S466+E466+K466</f>
        <v>0</v>
      </c>
      <c r="V466" s="914">
        <f t="shared" si="78"/>
        <v>0</v>
      </c>
    </row>
    <row r="467" spans="1:22" ht="231.75" hidden="1" customHeight="1">
      <c r="A467" s="931"/>
      <c r="B467" s="906" t="s">
        <v>1268</v>
      </c>
      <c r="C467" s="918">
        <f>DATA!AK565</f>
        <v>2200.39</v>
      </c>
      <c r="D467" s="908" t="s">
        <v>1834</v>
      </c>
      <c r="E467" s="919"/>
      <c r="F467" s="1053">
        <f t="shared" si="74"/>
        <v>0</v>
      </c>
      <c r="G467" s="919"/>
      <c r="H467" s="914">
        <f t="shared" ref="H467:H530" si="80">C467*G467</f>
        <v>0</v>
      </c>
      <c r="I467" s="919"/>
      <c r="J467" s="914">
        <f t="shared" ref="J467:J530" si="81">I467*C467</f>
        <v>0</v>
      </c>
      <c r="K467" s="914"/>
      <c r="L467" s="914">
        <f t="shared" ref="L467:L530" si="82">K467*C467</f>
        <v>0</v>
      </c>
      <c r="M467" s="919"/>
      <c r="N467" s="914">
        <f t="shared" ref="N467:N530" si="83">M467*C467</f>
        <v>0</v>
      </c>
      <c r="O467" s="919"/>
      <c r="P467" s="914">
        <f t="shared" si="75"/>
        <v>0</v>
      </c>
      <c r="Q467" s="919"/>
      <c r="R467" s="914">
        <f t="shared" si="76"/>
        <v>0</v>
      </c>
      <c r="S467" s="919"/>
      <c r="T467" s="914">
        <f t="shared" si="77"/>
        <v>0</v>
      </c>
      <c r="U467" s="915">
        <f t="shared" si="79"/>
        <v>0</v>
      </c>
      <c r="V467" s="914">
        <f t="shared" si="78"/>
        <v>0</v>
      </c>
    </row>
    <row r="468" spans="1:22" ht="231.75" hidden="1" customHeight="1">
      <c r="A468" s="927" t="s">
        <v>991</v>
      </c>
      <c r="B468" s="924" t="s">
        <v>4119</v>
      </c>
      <c r="C468" s="913"/>
      <c r="D468" s="908"/>
      <c r="E468" s="919"/>
      <c r="F468" s="1053">
        <f t="shared" si="74"/>
        <v>0</v>
      </c>
      <c r="G468" s="919"/>
      <c r="H468" s="914">
        <f t="shared" si="80"/>
        <v>0</v>
      </c>
      <c r="I468" s="919"/>
      <c r="J468" s="914">
        <f t="shared" si="81"/>
        <v>0</v>
      </c>
      <c r="K468" s="914"/>
      <c r="L468" s="914">
        <f t="shared" si="82"/>
        <v>0</v>
      </c>
      <c r="M468" s="919"/>
      <c r="N468" s="914">
        <f t="shared" si="83"/>
        <v>0</v>
      </c>
      <c r="O468" s="919"/>
      <c r="P468" s="914">
        <f t="shared" si="75"/>
        <v>0</v>
      </c>
      <c r="Q468" s="919"/>
      <c r="R468" s="914">
        <f t="shared" si="76"/>
        <v>0</v>
      </c>
      <c r="S468" s="919"/>
      <c r="T468" s="914">
        <f t="shared" si="77"/>
        <v>0</v>
      </c>
      <c r="U468" s="915">
        <f t="shared" si="79"/>
        <v>0</v>
      </c>
      <c r="V468" s="914">
        <f t="shared" si="78"/>
        <v>0</v>
      </c>
    </row>
    <row r="469" spans="1:22" ht="231.75" hidden="1" customHeight="1">
      <c r="A469" s="927"/>
      <c r="B469" s="906" t="s">
        <v>1247</v>
      </c>
      <c r="C469" s="913">
        <f>DATA!AD537</f>
        <v>1496.74</v>
      </c>
      <c r="D469" s="908" t="s">
        <v>1834</v>
      </c>
      <c r="E469" s="919"/>
      <c r="F469" s="1053">
        <f t="shared" si="74"/>
        <v>0</v>
      </c>
      <c r="G469" s="919"/>
      <c r="H469" s="914">
        <f t="shared" si="80"/>
        <v>0</v>
      </c>
      <c r="I469" s="919"/>
      <c r="J469" s="914">
        <f t="shared" si="81"/>
        <v>0</v>
      </c>
      <c r="K469" s="914"/>
      <c r="L469" s="914">
        <f t="shared" si="82"/>
        <v>0</v>
      </c>
      <c r="M469" s="919"/>
      <c r="N469" s="914">
        <f t="shared" si="83"/>
        <v>0</v>
      </c>
      <c r="O469" s="919"/>
      <c r="P469" s="914">
        <f t="shared" si="75"/>
        <v>0</v>
      </c>
      <c r="Q469" s="919"/>
      <c r="R469" s="914">
        <f t="shared" si="76"/>
        <v>0</v>
      </c>
      <c r="S469" s="919"/>
      <c r="T469" s="914">
        <f t="shared" si="77"/>
        <v>0</v>
      </c>
      <c r="U469" s="915">
        <f t="shared" si="79"/>
        <v>0</v>
      </c>
      <c r="V469" s="914">
        <f t="shared" si="78"/>
        <v>0</v>
      </c>
    </row>
    <row r="470" spans="1:22" ht="231.75" hidden="1" customHeight="1">
      <c r="A470" s="927"/>
      <c r="B470" s="906" t="s">
        <v>1381</v>
      </c>
      <c r="C470" s="913">
        <f>DATA!AD538</f>
        <v>1501.51</v>
      </c>
      <c r="D470" s="908" t="s">
        <v>1834</v>
      </c>
      <c r="E470" s="919"/>
      <c r="F470" s="1053">
        <f t="shared" si="74"/>
        <v>0</v>
      </c>
      <c r="G470" s="919"/>
      <c r="H470" s="914">
        <f t="shared" si="80"/>
        <v>0</v>
      </c>
      <c r="I470" s="919"/>
      <c r="J470" s="914">
        <f t="shared" si="81"/>
        <v>0</v>
      </c>
      <c r="K470" s="914"/>
      <c r="L470" s="914">
        <f t="shared" si="82"/>
        <v>0</v>
      </c>
      <c r="M470" s="919"/>
      <c r="N470" s="914">
        <f t="shared" si="83"/>
        <v>0</v>
      </c>
      <c r="O470" s="919"/>
      <c r="P470" s="914">
        <f t="shared" si="75"/>
        <v>0</v>
      </c>
      <c r="Q470" s="919"/>
      <c r="R470" s="914">
        <f t="shared" si="76"/>
        <v>0</v>
      </c>
      <c r="S470" s="919"/>
      <c r="T470" s="914">
        <f t="shared" si="77"/>
        <v>0</v>
      </c>
      <c r="U470" s="915">
        <f t="shared" si="79"/>
        <v>0</v>
      </c>
      <c r="V470" s="914">
        <f t="shared" si="78"/>
        <v>0</v>
      </c>
    </row>
    <row r="471" spans="1:22" ht="231.75" hidden="1" customHeight="1">
      <c r="A471" s="927"/>
      <c r="B471" s="906" t="s">
        <v>1429</v>
      </c>
      <c r="C471" s="913">
        <f>DATA!AD539</f>
        <v>1506.28</v>
      </c>
      <c r="D471" s="908" t="s">
        <v>1834</v>
      </c>
      <c r="E471" s="919"/>
      <c r="F471" s="1053">
        <f t="shared" si="74"/>
        <v>0</v>
      </c>
      <c r="G471" s="919"/>
      <c r="H471" s="914">
        <f t="shared" si="80"/>
        <v>0</v>
      </c>
      <c r="I471" s="919"/>
      <c r="J471" s="914">
        <f t="shared" si="81"/>
        <v>0</v>
      </c>
      <c r="K471" s="914"/>
      <c r="L471" s="914">
        <f t="shared" si="82"/>
        <v>0</v>
      </c>
      <c r="M471" s="919"/>
      <c r="N471" s="914">
        <f t="shared" si="83"/>
        <v>0</v>
      </c>
      <c r="O471" s="919"/>
      <c r="P471" s="914">
        <f t="shared" si="75"/>
        <v>0</v>
      </c>
      <c r="Q471" s="919"/>
      <c r="R471" s="914">
        <f t="shared" si="76"/>
        <v>0</v>
      </c>
      <c r="S471" s="919"/>
      <c r="T471" s="914">
        <f t="shared" si="77"/>
        <v>0</v>
      </c>
      <c r="U471" s="915">
        <f t="shared" si="79"/>
        <v>0</v>
      </c>
      <c r="V471" s="914">
        <f t="shared" si="78"/>
        <v>0</v>
      </c>
    </row>
    <row r="472" spans="1:22" ht="231.75" hidden="1" customHeight="1">
      <c r="A472" s="927"/>
      <c r="B472" s="906" t="s">
        <v>1319</v>
      </c>
      <c r="C472" s="913">
        <f>DATA!AD540</f>
        <v>1511.05</v>
      </c>
      <c r="D472" s="908" t="s">
        <v>1834</v>
      </c>
      <c r="E472" s="919"/>
      <c r="F472" s="1053">
        <f t="shared" si="74"/>
        <v>0</v>
      </c>
      <c r="G472" s="919"/>
      <c r="H472" s="914">
        <f t="shared" si="80"/>
        <v>0</v>
      </c>
      <c r="I472" s="919"/>
      <c r="J472" s="914">
        <f t="shared" si="81"/>
        <v>0</v>
      </c>
      <c r="K472" s="914"/>
      <c r="L472" s="914">
        <f t="shared" si="82"/>
        <v>0</v>
      </c>
      <c r="M472" s="919"/>
      <c r="N472" s="914">
        <f t="shared" si="83"/>
        <v>0</v>
      </c>
      <c r="O472" s="919"/>
      <c r="P472" s="914">
        <f t="shared" si="75"/>
        <v>0</v>
      </c>
      <c r="Q472" s="919"/>
      <c r="R472" s="914">
        <f t="shared" si="76"/>
        <v>0</v>
      </c>
      <c r="S472" s="919"/>
      <c r="T472" s="914">
        <f t="shared" si="77"/>
        <v>0</v>
      </c>
      <c r="U472" s="915">
        <f t="shared" si="79"/>
        <v>0</v>
      </c>
      <c r="V472" s="914">
        <f t="shared" si="78"/>
        <v>0</v>
      </c>
    </row>
    <row r="473" spans="1:22" ht="231.75" hidden="1" customHeight="1">
      <c r="A473" s="931"/>
      <c r="B473" s="906" t="s">
        <v>1074</v>
      </c>
      <c r="C473" s="913">
        <f>DATA!AD541</f>
        <v>1515.82</v>
      </c>
      <c r="D473" s="908" t="s">
        <v>1834</v>
      </c>
      <c r="E473" s="919"/>
      <c r="F473" s="1053">
        <f t="shared" si="74"/>
        <v>0</v>
      </c>
      <c r="G473" s="919"/>
      <c r="H473" s="914">
        <f t="shared" si="80"/>
        <v>0</v>
      </c>
      <c r="I473" s="919"/>
      <c r="J473" s="914">
        <f t="shared" si="81"/>
        <v>0</v>
      </c>
      <c r="K473" s="914"/>
      <c r="L473" s="914">
        <f t="shared" si="82"/>
        <v>0</v>
      </c>
      <c r="M473" s="919"/>
      <c r="N473" s="914">
        <f t="shared" si="83"/>
        <v>0</v>
      </c>
      <c r="O473" s="919"/>
      <c r="P473" s="914">
        <f t="shared" si="75"/>
        <v>0</v>
      </c>
      <c r="Q473" s="919"/>
      <c r="R473" s="914">
        <f t="shared" si="76"/>
        <v>0</v>
      </c>
      <c r="S473" s="919"/>
      <c r="T473" s="914">
        <f t="shared" si="77"/>
        <v>0</v>
      </c>
      <c r="U473" s="915">
        <f t="shared" si="79"/>
        <v>0</v>
      </c>
      <c r="V473" s="914">
        <f t="shared" si="78"/>
        <v>0</v>
      </c>
    </row>
    <row r="474" spans="1:22" ht="231.75" hidden="1" customHeight="1">
      <c r="A474" s="927" t="s">
        <v>1124</v>
      </c>
      <c r="B474" s="924" t="s">
        <v>4120</v>
      </c>
      <c r="C474" s="913"/>
      <c r="D474" s="908"/>
      <c r="E474" s="919"/>
      <c r="F474" s="1053">
        <f t="shared" si="74"/>
        <v>0</v>
      </c>
      <c r="G474" s="919"/>
      <c r="H474" s="914">
        <f t="shared" si="80"/>
        <v>0</v>
      </c>
      <c r="I474" s="919"/>
      <c r="J474" s="914">
        <f t="shared" si="81"/>
        <v>0</v>
      </c>
      <c r="K474" s="914"/>
      <c r="L474" s="914">
        <f t="shared" si="82"/>
        <v>0</v>
      </c>
      <c r="M474" s="919"/>
      <c r="N474" s="914">
        <f t="shared" si="83"/>
        <v>0</v>
      </c>
      <c r="O474" s="919"/>
      <c r="P474" s="914">
        <f t="shared" si="75"/>
        <v>0</v>
      </c>
      <c r="Q474" s="919"/>
      <c r="R474" s="914">
        <f t="shared" si="76"/>
        <v>0</v>
      </c>
      <c r="S474" s="919"/>
      <c r="T474" s="914">
        <f t="shared" si="77"/>
        <v>0</v>
      </c>
      <c r="U474" s="915">
        <f t="shared" si="79"/>
        <v>0</v>
      </c>
      <c r="V474" s="914">
        <f t="shared" si="78"/>
        <v>0</v>
      </c>
    </row>
    <row r="475" spans="1:22" ht="231.75" hidden="1" customHeight="1">
      <c r="A475" s="927"/>
      <c r="B475" s="917" t="s">
        <v>616</v>
      </c>
      <c r="C475" s="913">
        <f>DATA!AD559</f>
        <v>1659.25</v>
      </c>
      <c r="D475" s="908" t="s">
        <v>1834</v>
      </c>
      <c r="E475" s="919"/>
      <c r="F475" s="1053">
        <f t="shared" si="74"/>
        <v>0</v>
      </c>
      <c r="G475" s="919"/>
      <c r="H475" s="914">
        <f t="shared" si="80"/>
        <v>0</v>
      </c>
      <c r="I475" s="919"/>
      <c r="J475" s="914">
        <f t="shared" si="81"/>
        <v>0</v>
      </c>
      <c r="K475" s="914"/>
      <c r="L475" s="914">
        <f t="shared" si="82"/>
        <v>0</v>
      </c>
      <c r="M475" s="919"/>
      <c r="N475" s="914">
        <f t="shared" si="83"/>
        <v>0</v>
      </c>
      <c r="O475" s="919"/>
      <c r="P475" s="914">
        <f t="shared" si="75"/>
        <v>0</v>
      </c>
      <c r="Q475" s="919"/>
      <c r="R475" s="914">
        <f t="shared" si="76"/>
        <v>0</v>
      </c>
      <c r="S475" s="919"/>
      <c r="T475" s="914">
        <f t="shared" si="77"/>
        <v>0</v>
      </c>
      <c r="U475" s="915">
        <f t="shared" si="79"/>
        <v>0</v>
      </c>
      <c r="V475" s="914">
        <f t="shared" si="78"/>
        <v>0</v>
      </c>
    </row>
    <row r="476" spans="1:22" ht="231.75" hidden="1" customHeight="1">
      <c r="A476" s="927"/>
      <c r="B476" s="906" t="s">
        <v>617</v>
      </c>
      <c r="C476" s="913">
        <f>DATA!AD561</f>
        <v>1664.09</v>
      </c>
      <c r="D476" s="908" t="s">
        <v>1834</v>
      </c>
      <c r="E476" s="919"/>
      <c r="F476" s="1053">
        <f t="shared" si="74"/>
        <v>0</v>
      </c>
      <c r="G476" s="919"/>
      <c r="H476" s="914">
        <f t="shared" si="80"/>
        <v>0</v>
      </c>
      <c r="I476" s="919"/>
      <c r="J476" s="914">
        <f t="shared" si="81"/>
        <v>0</v>
      </c>
      <c r="K476" s="914"/>
      <c r="L476" s="914">
        <f t="shared" si="82"/>
        <v>0</v>
      </c>
      <c r="M476" s="919"/>
      <c r="N476" s="914">
        <f t="shared" si="83"/>
        <v>0</v>
      </c>
      <c r="O476" s="919"/>
      <c r="P476" s="914">
        <f t="shared" si="75"/>
        <v>0</v>
      </c>
      <c r="Q476" s="919"/>
      <c r="R476" s="914">
        <f t="shared" si="76"/>
        <v>0</v>
      </c>
      <c r="S476" s="919"/>
      <c r="T476" s="914">
        <f t="shared" si="77"/>
        <v>0</v>
      </c>
      <c r="U476" s="915">
        <f t="shared" si="79"/>
        <v>0</v>
      </c>
      <c r="V476" s="914">
        <f t="shared" si="78"/>
        <v>0</v>
      </c>
    </row>
    <row r="477" spans="1:22" ht="231.75" hidden="1" customHeight="1">
      <c r="A477" s="927"/>
      <c r="B477" s="906" t="s">
        <v>1241</v>
      </c>
      <c r="C477" s="913">
        <f>DATA!AD562</f>
        <v>1673.62</v>
      </c>
      <c r="D477" s="908" t="s">
        <v>1834</v>
      </c>
      <c r="E477" s="919"/>
      <c r="F477" s="1053">
        <f t="shared" si="74"/>
        <v>0</v>
      </c>
      <c r="G477" s="919"/>
      <c r="H477" s="914">
        <f t="shared" si="80"/>
        <v>0</v>
      </c>
      <c r="I477" s="919"/>
      <c r="J477" s="914">
        <f t="shared" si="81"/>
        <v>0</v>
      </c>
      <c r="K477" s="914"/>
      <c r="L477" s="914">
        <f t="shared" si="82"/>
        <v>0</v>
      </c>
      <c r="M477" s="919"/>
      <c r="N477" s="914">
        <f t="shared" si="83"/>
        <v>0</v>
      </c>
      <c r="O477" s="919"/>
      <c r="P477" s="914">
        <f t="shared" si="75"/>
        <v>0</v>
      </c>
      <c r="Q477" s="919"/>
      <c r="R477" s="914">
        <f t="shared" si="76"/>
        <v>0</v>
      </c>
      <c r="S477" s="919"/>
      <c r="T477" s="914">
        <f t="shared" si="77"/>
        <v>0</v>
      </c>
      <c r="U477" s="915">
        <f t="shared" si="79"/>
        <v>0</v>
      </c>
      <c r="V477" s="914">
        <f t="shared" si="78"/>
        <v>0</v>
      </c>
    </row>
    <row r="478" spans="1:22" ht="231.75" hidden="1" customHeight="1">
      <c r="A478" s="927"/>
      <c r="B478" s="906" t="s">
        <v>677</v>
      </c>
      <c r="C478" s="913">
        <f>DATA!AD563</f>
        <v>1683.15</v>
      </c>
      <c r="D478" s="908" t="s">
        <v>1834</v>
      </c>
      <c r="E478" s="919"/>
      <c r="F478" s="1053">
        <f t="shared" si="74"/>
        <v>0</v>
      </c>
      <c r="G478" s="919"/>
      <c r="H478" s="914">
        <f t="shared" si="80"/>
        <v>0</v>
      </c>
      <c r="I478" s="919"/>
      <c r="J478" s="914">
        <f t="shared" si="81"/>
        <v>0</v>
      </c>
      <c r="K478" s="914"/>
      <c r="L478" s="914">
        <f t="shared" si="82"/>
        <v>0</v>
      </c>
      <c r="M478" s="919"/>
      <c r="N478" s="914">
        <f t="shared" si="83"/>
        <v>0</v>
      </c>
      <c r="O478" s="919"/>
      <c r="P478" s="914">
        <f t="shared" si="75"/>
        <v>0</v>
      </c>
      <c r="Q478" s="919"/>
      <c r="R478" s="914">
        <f t="shared" si="76"/>
        <v>0</v>
      </c>
      <c r="S478" s="919"/>
      <c r="T478" s="914">
        <f t="shared" si="77"/>
        <v>0</v>
      </c>
      <c r="U478" s="915">
        <f t="shared" si="79"/>
        <v>0</v>
      </c>
      <c r="V478" s="914">
        <f t="shared" si="78"/>
        <v>0</v>
      </c>
    </row>
    <row r="479" spans="1:22" ht="231.75" hidden="1" customHeight="1">
      <c r="A479" s="927"/>
      <c r="B479" s="906" t="s">
        <v>678</v>
      </c>
      <c r="C479" s="913">
        <f>DATA!AD564</f>
        <v>1692.68</v>
      </c>
      <c r="D479" s="908" t="s">
        <v>1834</v>
      </c>
      <c r="E479" s="919"/>
      <c r="F479" s="1053">
        <f t="shared" si="74"/>
        <v>0</v>
      </c>
      <c r="G479" s="919"/>
      <c r="H479" s="914">
        <f t="shared" si="80"/>
        <v>0</v>
      </c>
      <c r="I479" s="919"/>
      <c r="J479" s="914">
        <f t="shared" si="81"/>
        <v>0</v>
      </c>
      <c r="K479" s="914"/>
      <c r="L479" s="914">
        <f t="shared" si="82"/>
        <v>0</v>
      </c>
      <c r="M479" s="919"/>
      <c r="N479" s="914">
        <f t="shared" si="83"/>
        <v>0</v>
      </c>
      <c r="O479" s="919"/>
      <c r="P479" s="914">
        <f t="shared" si="75"/>
        <v>0</v>
      </c>
      <c r="Q479" s="919"/>
      <c r="R479" s="914">
        <f t="shared" si="76"/>
        <v>0</v>
      </c>
      <c r="S479" s="919"/>
      <c r="T479" s="914">
        <f t="shared" si="77"/>
        <v>0</v>
      </c>
      <c r="U479" s="915">
        <f t="shared" si="79"/>
        <v>0</v>
      </c>
      <c r="V479" s="914">
        <f t="shared" si="78"/>
        <v>0</v>
      </c>
    </row>
    <row r="480" spans="1:22" ht="231.75" hidden="1" customHeight="1">
      <c r="A480" s="931"/>
      <c r="B480" s="906" t="s">
        <v>1268</v>
      </c>
      <c r="C480" s="913">
        <f>DATA!AD565</f>
        <v>1702.21</v>
      </c>
      <c r="D480" s="908" t="s">
        <v>1834</v>
      </c>
      <c r="E480" s="919"/>
      <c r="F480" s="1053">
        <f t="shared" si="74"/>
        <v>0</v>
      </c>
      <c r="G480" s="919"/>
      <c r="H480" s="914">
        <f t="shared" si="80"/>
        <v>0</v>
      </c>
      <c r="I480" s="919"/>
      <c r="J480" s="914">
        <f t="shared" si="81"/>
        <v>0</v>
      </c>
      <c r="K480" s="914"/>
      <c r="L480" s="914">
        <f t="shared" si="82"/>
        <v>0</v>
      </c>
      <c r="M480" s="919"/>
      <c r="N480" s="914">
        <f t="shared" si="83"/>
        <v>0</v>
      </c>
      <c r="O480" s="919"/>
      <c r="P480" s="914">
        <f t="shared" si="75"/>
        <v>0</v>
      </c>
      <c r="Q480" s="919"/>
      <c r="R480" s="914">
        <f t="shared" si="76"/>
        <v>0</v>
      </c>
      <c r="S480" s="919"/>
      <c r="T480" s="914">
        <f t="shared" si="77"/>
        <v>0</v>
      </c>
      <c r="U480" s="915">
        <f t="shared" si="79"/>
        <v>0</v>
      </c>
      <c r="V480" s="914">
        <f t="shared" si="78"/>
        <v>0</v>
      </c>
    </row>
    <row r="481" spans="1:22" ht="231.75" hidden="1" customHeight="1">
      <c r="A481" s="931"/>
      <c r="B481" s="949" t="s">
        <v>6634</v>
      </c>
      <c r="C481" s="913"/>
      <c r="D481" s="908"/>
      <c r="E481" s="919"/>
      <c r="F481" s="1053">
        <f t="shared" si="74"/>
        <v>0</v>
      </c>
      <c r="G481" s="919"/>
      <c r="H481" s="914">
        <f t="shared" si="80"/>
        <v>0</v>
      </c>
      <c r="I481" s="919"/>
      <c r="J481" s="914">
        <f t="shared" si="81"/>
        <v>0</v>
      </c>
      <c r="K481" s="914"/>
      <c r="L481" s="914">
        <f t="shared" si="82"/>
        <v>0</v>
      </c>
      <c r="M481" s="919"/>
      <c r="N481" s="914">
        <f t="shared" si="83"/>
        <v>0</v>
      </c>
      <c r="O481" s="919"/>
      <c r="P481" s="914">
        <f t="shared" si="75"/>
        <v>0</v>
      </c>
      <c r="Q481" s="919"/>
      <c r="R481" s="914">
        <f t="shared" si="76"/>
        <v>0</v>
      </c>
      <c r="S481" s="919"/>
      <c r="T481" s="914">
        <f t="shared" si="77"/>
        <v>0</v>
      </c>
      <c r="U481" s="915">
        <f t="shared" si="79"/>
        <v>0</v>
      </c>
      <c r="V481" s="914">
        <f t="shared" si="78"/>
        <v>0</v>
      </c>
    </row>
    <row r="482" spans="1:22" ht="231.75" hidden="1" customHeight="1">
      <c r="A482" s="931"/>
      <c r="B482" s="906" t="s">
        <v>4223</v>
      </c>
      <c r="C482" s="913">
        <f>DATA!AD486</f>
        <v>2990.34</v>
      </c>
      <c r="D482" s="908" t="s">
        <v>1834</v>
      </c>
      <c r="E482" s="919"/>
      <c r="F482" s="1053">
        <f t="shared" si="74"/>
        <v>0</v>
      </c>
      <c r="G482" s="919"/>
      <c r="H482" s="914">
        <f t="shared" si="80"/>
        <v>0</v>
      </c>
      <c r="I482" s="919"/>
      <c r="J482" s="914">
        <f t="shared" si="81"/>
        <v>0</v>
      </c>
      <c r="K482" s="914"/>
      <c r="L482" s="914">
        <f t="shared" si="82"/>
        <v>0</v>
      </c>
      <c r="M482" s="919"/>
      <c r="N482" s="914">
        <f t="shared" si="83"/>
        <v>0</v>
      </c>
      <c r="O482" s="919"/>
      <c r="P482" s="914">
        <f t="shared" si="75"/>
        <v>0</v>
      </c>
      <c r="Q482" s="919"/>
      <c r="R482" s="914">
        <f t="shared" si="76"/>
        <v>0</v>
      </c>
      <c r="S482" s="919"/>
      <c r="T482" s="914">
        <f t="shared" si="77"/>
        <v>0</v>
      </c>
      <c r="U482" s="915">
        <f t="shared" si="79"/>
        <v>0</v>
      </c>
      <c r="V482" s="914">
        <f t="shared" si="78"/>
        <v>0</v>
      </c>
    </row>
    <row r="483" spans="1:22" ht="231.75" hidden="1" customHeight="1">
      <c r="A483" s="931"/>
      <c r="B483" s="906" t="s">
        <v>1381</v>
      </c>
      <c r="C483" s="913">
        <f>DATA!AD487</f>
        <v>2999.23</v>
      </c>
      <c r="D483" s="908" t="s">
        <v>1834</v>
      </c>
      <c r="E483" s="919"/>
      <c r="F483" s="1053">
        <f t="shared" ref="F483:F546" si="84">E483*C483</f>
        <v>0</v>
      </c>
      <c r="G483" s="919"/>
      <c r="H483" s="914">
        <f t="shared" si="80"/>
        <v>0</v>
      </c>
      <c r="I483" s="919"/>
      <c r="J483" s="914">
        <f t="shared" si="81"/>
        <v>0</v>
      </c>
      <c r="K483" s="914"/>
      <c r="L483" s="914">
        <f t="shared" si="82"/>
        <v>0</v>
      </c>
      <c r="M483" s="919"/>
      <c r="N483" s="914">
        <f t="shared" si="83"/>
        <v>0</v>
      </c>
      <c r="O483" s="919"/>
      <c r="P483" s="914">
        <f t="shared" si="75"/>
        <v>0</v>
      </c>
      <c r="Q483" s="919"/>
      <c r="R483" s="914">
        <f t="shared" si="76"/>
        <v>0</v>
      </c>
      <c r="S483" s="919"/>
      <c r="T483" s="914">
        <f t="shared" si="77"/>
        <v>0</v>
      </c>
      <c r="U483" s="915">
        <f t="shared" si="79"/>
        <v>0</v>
      </c>
      <c r="V483" s="914">
        <f t="shared" si="78"/>
        <v>0</v>
      </c>
    </row>
    <row r="484" spans="1:22" ht="231.75" hidden="1" customHeight="1">
      <c r="A484" s="931"/>
      <c r="B484" s="906" t="s">
        <v>1429</v>
      </c>
      <c r="C484" s="913">
        <f>DATA!AD488</f>
        <v>3008.12</v>
      </c>
      <c r="D484" s="908" t="s">
        <v>1834</v>
      </c>
      <c r="E484" s="919"/>
      <c r="F484" s="1053">
        <f t="shared" si="84"/>
        <v>0</v>
      </c>
      <c r="G484" s="919"/>
      <c r="H484" s="914">
        <f t="shared" si="80"/>
        <v>0</v>
      </c>
      <c r="I484" s="919"/>
      <c r="J484" s="914">
        <f t="shared" si="81"/>
        <v>0</v>
      </c>
      <c r="K484" s="914"/>
      <c r="L484" s="914">
        <f t="shared" si="82"/>
        <v>0</v>
      </c>
      <c r="M484" s="919"/>
      <c r="N484" s="914">
        <f t="shared" si="83"/>
        <v>0</v>
      </c>
      <c r="O484" s="919"/>
      <c r="P484" s="914">
        <f t="shared" si="75"/>
        <v>0</v>
      </c>
      <c r="Q484" s="919"/>
      <c r="R484" s="914">
        <f t="shared" si="76"/>
        <v>0</v>
      </c>
      <c r="S484" s="919"/>
      <c r="T484" s="914">
        <f t="shared" si="77"/>
        <v>0</v>
      </c>
      <c r="U484" s="915">
        <f t="shared" si="79"/>
        <v>0</v>
      </c>
      <c r="V484" s="914">
        <f t="shared" si="78"/>
        <v>0</v>
      </c>
    </row>
    <row r="485" spans="1:22" ht="231.75" hidden="1" customHeight="1">
      <c r="A485" s="931"/>
      <c r="B485" s="906" t="s">
        <v>1319</v>
      </c>
      <c r="C485" s="913">
        <f>DATA!AD489</f>
        <v>3017.01</v>
      </c>
      <c r="D485" s="908" t="s">
        <v>1834</v>
      </c>
      <c r="E485" s="919"/>
      <c r="F485" s="1053">
        <f t="shared" si="84"/>
        <v>0</v>
      </c>
      <c r="G485" s="919"/>
      <c r="H485" s="914">
        <f t="shared" si="80"/>
        <v>0</v>
      </c>
      <c r="I485" s="919"/>
      <c r="J485" s="914">
        <f t="shared" si="81"/>
        <v>0</v>
      </c>
      <c r="K485" s="914"/>
      <c r="L485" s="914">
        <f t="shared" si="82"/>
        <v>0</v>
      </c>
      <c r="M485" s="919"/>
      <c r="N485" s="914">
        <f t="shared" si="83"/>
        <v>0</v>
      </c>
      <c r="O485" s="919"/>
      <c r="P485" s="914">
        <f t="shared" si="75"/>
        <v>0</v>
      </c>
      <c r="Q485" s="919"/>
      <c r="R485" s="914">
        <f t="shared" si="76"/>
        <v>0</v>
      </c>
      <c r="S485" s="919"/>
      <c r="T485" s="914">
        <f t="shared" si="77"/>
        <v>0</v>
      </c>
      <c r="U485" s="915">
        <f t="shared" si="79"/>
        <v>0</v>
      </c>
      <c r="V485" s="914">
        <f t="shared" si="78"/>
        <v>0</v>
      </c>
    </row>
    <row r="486" spans="1:22" ht="231.75" hidden="1" customHeight="1">
      <c r="A486" s="931"/>
      <c r="B486" s="906" t="s">
        <v>1074</v>
      </c>
      <c r="C486" s="913">
        <f>DATA!AD490</f>
        <v>3025.9</v>
      </c>
      <c r="D486" s="908" t="s">
        <v>1834</v>
      </c>
      <c r="E486" s="919"/>
      <c r="F486" s="1053">
        <f t="shared" si="84"/>
        <v>0</v>
      </c>
      <c r="G486" s="919"/>
      <c r="H486" s="914">
        <f t="shared" si="80"/>
        <v>0</v>
      </c>
      <c r="I486" s="919"/>
      <c r="J486" s="914">
        <f t="shared" si="81"/>
        <v>0</v>
      </c>
      <c r="K486" s="914"/>
      <c r="L486" s="914">
        <f t="shared" si="82"/>
        <v>0</v>
      </c>
      <c r="M486" s="919"/>
      <c r="N486" s="914">
        <f t="shared" si="83"/>
        <v>0</v>
      </c>
      <c r="O486" s="919"/>
      <c r="P486" s="914">
        <f t="shared" si="75"/>
        <v>0</v>
      </c>
      <c r="Q486" s="919"/>
      <c r="R486" s="914">
        <f t="shared" si="76"/>
        <v>0</v>
      </c>
      <c r="S486" s="919"/>
      <c r="T486" s="914">
        <f t="shared" si="77"/>
        <v>0</v>
      </c>
      <c r="U486" s="915">
        <f t="shared" si="79"/>
        <v>0</v>
      </c>
      <c r="V486" s="914">
        <f t="shared" si="78"/>
        <v>0</v>
      </c>
    </row>
    <row r="487" spans="1:22" s="937" customFormat="1" ht="231.75" hidden="1" customHeight="1">
      <c r="A487" s="950"/>
      <c r="B487" s="917" t="s">
        <v>6635</v>
      </c>
      <c r="C487" s="918"/>
      <c r="D487" s="898"/>
      <c r="E487" s="919"/>
      <c r="F487" s="1053">
        <f t="shared" si="84"/>
        <v>0</v>
      </c>
      <c r="G487" s="919"/>
      <c r="H487" s="914">
        <f t="shared" si="80"/>
        <v>0</v>
      </c>
      <c r="I487" s="919"/>
      <c r="J487" s="914">
        <f t="shared" si="81"/>
        <v>0</v>
      </c>
      <c r="K487" s="914"/>
      <c r="L487" s="914">
        <f t="shared" si="82"/>
        <v>0</v>
      </c>
      <c r="M487" s="919"/>
      <c r="N487" s="914">
        <f t="shared" si="83"/>
        <v>0</v>
      </c>
      <c r="O487" s="919"/>
      <c r="P487" s="914">
        <f t="shared" si="75"/>
        <v>0</v>
      </c>
      <c r="Q487" s="919"/>
      <c r="R487" s="914">
        <f t="shared" si="76"/>
        <v>0</v>
      </c>
      <c r="S487" s="919"/>
      <c r="T487" s="914">
        <f t="shared" si="77"/>
        <v>0</v>
      </c>
      <c r="U487" s="915">
        <f t="shared" si="79"/>
        <v>0</v>
      </c>
      <c r="V487" s="914">
        <f t="shared" si="78"/>
        <v>0</v>
      </c>
    </row>
    <row r="488" spans="1:22" s="937" customFormat="1" ht="231.75" hidden="1" customHeight="1">
      <c r="A488" s="916"/>
      <c r="B488" s="917" t="s">
        <v>201</v>
      </c>
      <c r="C488" s="918">
        <f>DATA!X486</f>
        <v>2969.86</v>
      </c>
      <c r="D488" s="898" t="s">
        <v>1834</v>
      </c>
      <c r="E488" s="919"/>
      <c r="F488" s="1053">
        <f t="shared" si="84"/>
        <v>0</v>
      </c>
      <c r="G488" s="919"/>
      <c r="H488" s="914">
        <f t="shared" si="80"/>
        <v>0</v>
      </c>
      <c r="I488" s="919"/>
      <c r="J488" s="914">
        <f t="shared" si="81"/>
        <v>0</v>
      </c>
      <c r="K488" s="914"/>
      <c r="L488" s="914">
        <f t="shared" si="82"/>
        <v>0</v>
      </c>
      <c r="M488" s="919"/>
      <c r="N488" s="914">
        <f t="shared" si="83"/>
        <v>0</v>
      </c>
      <c r="O488" s="919"/>
      <c r="P488" s="914">
        <f t="shared" si="75"/>
        <v>0</v>
      </c>
      <c r="Q488" s="919"/>
      <c r="R488" s="914">
        <f t="shared" si="76"/>
        <v>0</v>
      </c>
      <c r="S488" s="919"/>
      <c r="T488" s="914">
        <f t="shared" si="77"/>
        <v>0</v>
      </c>
      <c r="U488" s="915">
        <f t="shared" si="79"/>
        <v>0</v>
      </c>
      <c r="V488" s="914">
        <f t="shared" si="78"/>
        <v>0</v>
      </c>
    </row>
    <row r="489" spans="1:22" s="937" customFormat="1" ht="231.75" hidden="1" customHeight="1">
      <c r="A489" s="916"/>
      <c r="B489" s="917" t="s">
        <v>1381</v>
      </c>
      <c r="C489" s="918">
        <f>DATA!X487</f>
        <v>2978.75</v>
      </c>
      <c r="D489" s="898" t="s">
        <v>1834</v>
      </c>
      <c r="E489" s="919"/>
      <c r="F489" s="1053">
        <f t="shared" si="84"/>
        <v>0</v>
      </c>
      <c r="G489" s="919"/>
      <c r="H489" s="914">
        <f t="shared" si="80"/>
        <v>0</v>
      </c>
      <c r="I489" s="919"/>
      <c r="J489" s="914">
        <f t="shared" si="81"/>
        <v>0</v>
      </c>
      <c r="K489" s="914"/>
      <c r="L489" s="914">
        <f t="shared" si="82"/>
        <v>0</v>
      </c>
      <c r="M489" s="919"/>
      <c r="N489" s="914">
        <f t="shared" si="83"/>
        <v>0</v>
      </c>
      <c r="O489" s="919"/>
      <c r="P489" s="914">
        <f t="shared" si="75"/>
        <v>0</v>
      </c>
      <c r="Q489" s="919"/>
      <c r="R489" s="914">
        <f t="shared" si="76"/>
        <v>0</v>
      </c>
      <c r="S489" s="919"/>
      <c r="T489" s="914">
        <f t="shared" si="77"/>
        <v>0</v>
      </c>
      <c r="U489" s="915">
        <f t="shared" si="79"/>
        <v>0</v>
      </c>
      <c r="V489" s="914">
        <f t="shared" si="78"/>
        <v>0</v>
      </c>
    </row>
    <row r="490" spans="1:22" s="937" customFormat="1" ht="231.75" hidden="1" customHeight="1">
      <c r="A490" s="916"/>
      <c r="B490" s="917" t="s">
        <v>1429</v>
      </c>
      <c r="C490" s="918">
        <f>DATA!X488</f>
        <v>2987.64</v>
      </c>
      <c r="D490" s="898" t="s">
        <v>1834</v>
      </c>
      <c r="E490" s="919"/>
      <c r="F490" s="1053">
        <f t="shared" si="84"/>
        <v>0</v>
      </c>
      <c r="G490" s="919"/>
      <c r="H490" s="914">
        <f t="shared" si="80"/>
        <v>0</v>
      </c>
      <c r="I490" s="919"/>
      <c r="J490" s="914">
        <f t="shared" si="81"/>
        <v>0</v>
      </c>
      <c r="K490" s="914"/>
      <c r="L490" s="914">
        <f t="shared" si="82"/>
        <v>0</v>
      </c>
      <c r="M490" s="919"/>
      <c r="N490" s="914">
        <f t="shared" si="83"/>
        <v>0</v>
      </c>
      <c r="O490" s="919"/>
      <c r="P490" s="914">
        <f t="shared" si="75"/>
        <v>0</v>
      </c>
      <c r="Q490" s="919"/>
      <c r="R490" s="914">
        <f t="shared" si="76"/>
        <v>0</v>
      </c>
      <c r="S490" s="919"/>
      <c r="T490" s="914">
        <f t="shared" si="77"/>
        <v>0</v>
      </c>
      <c r="U490" s="915">
        <f t="shared" si="79"/>
        <v>0</v>
      </c>
      <c r="V490" s="914">
        <f t="shared" si="78"/>
        <v>0</v>
      </c>
    </row>
    <row r="491" spans="1:22" s="937" customFormat="1" ht="231.75" hidden="1" customHeight="1">
      <c r="A491" s="916"/>
      <c r="B491" s="917" t="s">
        <v>1319</v>
      </c>
      <c r="C491" s="918">
        <f>DATA!X489</f>
        <v>2996.53</v>
      </c>
      <c r="D491" s="898" t="s">
        <v>1834</v>
      </c>
      <c r="E491" s="919"/>
      <c r="F491" s="1053">
        <f t="shared" si="84"/>
        <v>0</v>
      </c>
      <c r="G491" s="919"/>
      <c r="H491" s="914">
        <f t="shared" si="80"/>
        <v>0</v>
      </c>
      <c r="I491" s="919"/>
      <c r="J491" s="914">
        <f t="shared" si="81"/>
        <v>0</v>
      </c>
      <c r="K491" s="914"/>
      <c r="L491" s="914">
        <f t="shared" si="82"/>
        <v>0</v>
      </c>
      <c r="M491" s="919"/>
      <c r="N491" s="914">
        <f t="shared" si="83"/>
        <v>0</v>
      </c>
      <c r="O491" s="919"/>
      <c r="P491" s="914">
        <f t="shared" si="75"/>
        <v>0</v>
      </c>
      <c r="Q491" s="919"/>
      <c r="R491" s="914">
        <f t="shared" si="76"/>
        <v>0</v>
      </c>
      <c r="S491" s="919"/>
      <c r="T491" s="914">
        <f t="shared" si="77"/>
        <v>0</v>
      </c>
      <c r="U491" s="915">
        <f t="shared" si="79"/>
        <v>0</v>
      </c>
      <c r="V491" s="914">
        <f t="shared" si="78"/>
        <v>0</v>
      </c>
    </row>
    <row r="492" spans="1:22" s="937" customFormat="1" ht="231.75" hidden="1" customHeight="1">
      <c r="A492" s="951"/>
      <c r="B492" s="917" t="s">
        <v>1074</v>
      </c>
      <c r="C492" s="918">
        <f>DATA!X490</f>
        <v>3005.42</v>
      </c>
      <c r="D492" s="898" t="s">
        <v>1834</v>
      </c>
      <c r="E492" s="919"/>
      <c r="F492" s="1053">
        <f t="shared" si="84"/>
        <v>0</v>
      </c>
      <c r="G492" s="919"/>
      <c r="H492" s="914">
        <f t="shared" si="80"/>
        <v>0</v>
      </c>
      <c r="I492" s="919"/>
      <c r="J492" s="914">
        <f t="shared" si="81"/>
        <v>0</v>
      </c>
      <c r="K492" s="914"/>
      <c r="L492" s="914">
        <f t="shared" si="82"/>
        <v>0</v>
      </c>
      <c r="M492" s="919"/>
      <c r="N492" s="914">
        <f t="shared" si="83"/>
        <v>0</v>
      </c>
      <c r="O492" s="919"/>
      <c r="P492" s="914">
        <f t="shared" si="75"/>
        <v>0</v>
      </c>
      <c r="Q492" s="919"/>
      <c r="R492" s="914">
        <f t="shared" si="76"/>
        <v>0</v>
      </c>
      <c r="S492" s="919"/>
      <c r="T492" s="914">
        <f t="shared" si="77"/>
        <v>0</v>
      </c>
      <c r="U492" s="915">
        <f t="shared" si="79"/>
        <v>0</v>
      </c>
      <c r="V492" s="914">
        <f t="shared" si="78"/>
        <v>0</v>
      </c>
    </row>
    <row r="493" spans="1:22" ht="231.75" hidden="1" customHeight="1">
      <c r="A493" s="928"/>
      <c r="B493" s="906" t="s">
        <v>3761</v>
      </c>
      <c r="C493" s="913">
        <f>DATA!X491</f>
        <v>0</v>
      </c>
      <c r="D493" s="908" t="s">
        <v>1834</v>
      </c>
      <c r="E493" s="919"/>
      <c r="F493" s="1053">
        <f t="shared" si="84"/>
        <v>0</v>
      </c>
      <c r="G493" s="919"/>
      <c r="H493" s="914">
        <f t="shared" si="80"/>
        <v>0</v>
      </c>
      <c r="I493" s="919"/>
      <c r="J493" s="914">
        <f t="shared" si="81"/>
        <v>0</v>
      </c>
      <c r="K493" s="914"/>
      <c r="L493" s="914">
        <f t="shared" si="82"/>
        <v>0</v>
      </c>
      <c r="M493" s="919"/>
      <c r="N493" s="914">
        <f t="shared" si="83"/>
        <v>0</v>
      </c>
      <c r="O493" s="919"/>
      <c r="P493" s="914">
        <f t="shared" si="75"/>
        <v>0</v>
      </c>
      <c r="Q493" s="919"/>
      <c r="R493" s="914">
        <f t="shared" si="76"/>
        <v>0</v>
      </c>
      <c r="S493" s="919"/>
      <c r="T493" s="914">
        <f t="shared" si="77"/>
        <v>0</v>
      </c>
      <c r="U493" s="915">
        <f t="shared" si="79"/>
        <v>0</v>
      </c>
      <c r="V493" s="914">
        <f t="shared" si="78"/>
        <v>0</v>
      </c>
    </row>
    <row r="494" spans="1:22" ht="231.75" hidden="1" customHeight="1">
      <c r="A494" s="928"/>
      <c r="B494" s="925" t="s">
        <v>3978</v>
      </c>
      <c r="C494" s="913"/>
      <c r="D494" s="908"/>
      <c r="E494" s="919"/>
      <c r="F494" s="1053">
        <f t="shared" si="84"/>
        <v>0</v>
      </c>
      <c r="G494" s="919"/>
      <c r="H494" s="914">
        <f t="shared" si="80"/>
        <v>0</v>
      </c>
      <c r="I494" s="919"/>
      <c r="J494" s="914">
        <f t="shared" si="81"/>
        <v>0</v>
      </c>
      <c r="K494" s="914"/>
      <c r="L494" s="914">
        <f t="shared" si="82"/>
        <v>0</v>
      </c>
      <c r="M494" s="919"/>
      <c r="N494" s="914">
        <f t="shared" si="83"/>
        <v>0</v>
      </c>
      <c r="O494" s="919"/>
      <c r="P494" s="914"/>
      <c r="Q494" s="919"/>
      <c r="R494" s="914"/>
      <c r="S494" s="919"/>
      <c r="T494" s="914"/>
      <c r="U494" s="915">
        <f t="shared" si="79"/>
        <v>0</v>
      </c>
      <c r="V494" s="914">
        <f t="shared" si="78"/>
        <v>0</v>
      </c>
    </row>
    <row r="495" spans="1:22" ht="231.75" hidden="1" customHeight="1">
      <c r="A495" s="928"/>
      <c r="B495" s="917" t="s">
        <v>541</v>
      </c>
      <c r="C495" s="913">
        <f>DATA!X718</f>
        <v>8219.85</v>
      </c>
      <c r="D495" s="898" t="s">
        <v>2142</v>
      </c>
      <c r="E495" s="919"/>
      <c r="F495" s="1053">
        <f t="shared" si="84"/>
        <v>0</v>
      </c>
      <c r="G495" s="919"/>
      <c r="H495" s="914">
        <f t="shared" si="80"/>
        <v>0</v>
      </c>
      <c r="I495" s="919"/>
      <c r="J495" s="914">
        <f t="shared" si="81"/>
        <v>0</v>
      </c>
      <c r="K495" s="914"/>
      <c r="L495" s="914">
        <f t="shared" si="82"/>
        <v>0</v>
      </c>
      <c r="M495" s="919"/>
      <c r="N495" s="914">
        <f t="shared" si="83"/>
        <v>0</v>
      </c>
      <c r="O495" s="919"/>
      <c r="P495" s="914"/>
      <c r="Q495" s="919"/>
      <c r="R495" s="914"/>
      <c r="S495" s="919"/>
      <c r="T495" s="914"/>
      <c r="U495" s="915">
        <f t="shared" si="79"/>
        <v>0</v>
      </c>
      <c r="V495" s="914">
        <f t="shared" si="78"/>
        <v>0</v>
      </c>
    </row>
    <row r="496" spans="1:22" ht="231.75" hidden="1" customHeight="1">
      <c r="A496" s="928"/>
      <c r="B496" s="917" t="s">
        <v>4713</v>
      </c>
      <c r="C496" s="913">
        <f>DATA!X720</f>
        <v>8339.7000000000007</v>
      </c>
      <c r="D496" s="898" t="s">
        <v>2142</v>
      </c>
      <c r="E496" s="919"/>
      <c r="F496" s="1053">
        <f t="shared" si="84"/>
        <v>0</v>
      </c>
      <c r="G496" s="919"/>
      <c r="H496" s="914">
        <f t="shared" si="80"/>
        <v>0</v>
      </c>
      <c r="I496" s="919"/>
      <c r="J496" s="914">
        <f t="shared" si="81"/>
        <v>0</v>
      </c>
      <c r="K496" s="914"/>
      <c r="L496" s="914">
        <f t="shared" si="82"/>
        <v>0</v>
      </c>
      <c r="M496" s="919"/>
      <c r="N496" s="914">
        <f t="shared" si="83"/>
        <v>0</v>
      </c>
      <c r="O496" s="919"/>
      <c r="P496" s="914"/>
      <c r="Q496" s="919"/>
      <c r="R496" s="914"/>
      <c r="S496" s="919"/>
      <c r="T496" s="914"/>
      <c r="U496" s="915">
        <f t="shared" si="79"/>
        <v>0</v>
      </c>
      <c r="V496" s="914">
        <f t="shared" si="78"/>
        <v>0</v>
      </c>
    </row>
    <row r="497" spans="1:22" ht="231.75" hidden="1" customHeight="1">
      <c r="A497" s="928"/>
      <c r="B497" s="917" t="str">
        <f>B503</f>
        <v>c. In First Floor</v>
      </c>
      <c r="C497" s="913">
        <f>DATA!X721</f>
        <v>8575.7999999999993</v>
      </c>
      <c r="D497" s="898" t="s">
        <v>2142</v>
      </c>
      <c r="E497" s="919"/>
      <c r="F497" s="1053">
        <f t="shared" si="84"/>
        <v>0</v>
      </c>
      <c r="G497" s="919"/>
      <c r="H497" s="914">
        <f t="shared" si="80"/>
        <v>0</v>
      </c>
      <c r="I497" s="919"/>
      <c r="J497" s="914">
        <f t="shared" si="81"/>
        <v>0</v>
      </c>
      <c r="K497" s="914"/>
      <c r="L497" s="914">
        <f t="shared" si="82"/>
        <v>0</v>
      </c>
      <c r="M497" s="919"/>
      <c r="N497" s="914">
        <f t="shared" si="83"/>
        <v>0</v>
      </c>
      <c r="O497" s="919"/>
      <c r="P497" s="914"/>
      <c r="Q497" s="919"/>
      <c r="R497" s="914"/>
      <c r="S497" s="919"/>
      <c r="T497" s="914"/>
      <c r="U497" s="915">
        <f t="shared" si="79"/>
        <v>0</v>
      </c>
      <c r="V497" s="914">
        <f t="shared" si="78"/>
        <v>0</v>
      </c>
    </row>
    <row r="498" spans="1:22" ht="231.75" hidden="1" customHeight="1">
      <c r="A498" s="928"/>
      <c r="B498" s="917" t="str">
        <f t="shared" ref="B498:B499" si="85">B504</f>
        <v>d. In Second Floor</v>
      </c>
      <c r="C498" s="913">
        <f>DATA!X722</f>
        <v>8811.9</v>
      </c>
      <c r="D498" s="898" t="s">
        <v>2142</v>
      </c>
      <c r="E498" s="919"/>
      <c r="F498" s="1053">
        <f t="shared" si="84"/>
        <v>0</v>
      </c>
      <c r="G498" s="919"/>
      <c r="H498" s="914">
        <f t="shared" si="80"/>
        <v>0</v>
      </c>
      <c r="I498" s="919"/>
      <c r="J498" s="914">
        <f t="shared" si="81"/>
        <v>0</v>
      </c>
      <c r="K498" s="914"/>
      <c r="L498" s="914">
        <f t="shared" si="82"/>
        <v>0</v>
      </c>
      <c r="M498" s="919"/>
      <c r="N498" s="914">
        <f t="shared" si="83"/>
        <v>0</v>
      </c>
      <c r="O498" s="919"/>
      <c r="P498" s="914"/>
      <c r="Q498" s="919"/>
      <c r="R498" s="914"/>
      <c r="S498" s="919"/>
      <c r="T498" s="914"/>
      <c r="U498" s="915">
        <f t="shared" si="79"/>
        <v>0</v>
      </c>
      <c r="V498" s="914">
        <f t="shared" si="78"/>
        <v>0</v>
      </c>
    </row>
    <row r="499" spans="1:22" ht="231.75" hidden="1" customHeight="1">
      <c r="A499" s="928"/>
      <c r="B499" s="917" t="str">
        <f t="shared" si="85"/>
        <v>e. In Third floor</v>
      </c>
      <c r="C499" s="913">
        <f>DATA!X723</f>
        <v>9048</v>
      </c>
      <c r="D499" s="898" t="s">
        <v>2142</v>
      </c>
      <c r="E499" s="919"/>
      <c r="F499" s="1053">
        <f t="shared" si="84"/>
        <v>0</v>
      </c>
      <c r="G499" s="919"/>
      <c r="H499" s="914">
        <f t="shared" si="80"/>
        <v>0</v>
      </c>
      <c r="I499" s="919"/>
      <c r="J499" s="914">
        <f t="shared" si="81"/>
        <v>0</v>
      </c>
      <c r="K499" s="914"/>
      <c r="L499" s="914">
        <f t="shared" si="82"/>
        <v>0</v>
      </c>
      <c r="M499" s="919"/>
      <c r="N499" s="914">
        <f t="shared" si="83"/>
        <v>0</v>
      </c>
      <c r="O499" s="919"/>
      <c r="P499" s="914"/>
      <c r="Q499" s="919"/>
      <c r="R499" s="914"/>
      <c r="S499" s="919"/>
      <c r="T499" s="914"/>
      <c r="U499" s="915">
        <f t="shared" si="79"/>
        <v>0</v>
      </c>
      <c r="V499" s="914">
        <f t="shared" si="78"/>
        <v>0</v>
      </c>
    </row>
    <row r="500" spans="1:22" s="920" customFormat="1" ht="231.75" hidden="1" customHeight="1">
      <c r="A500" s="916">
        <v>4.0999999999999996</v>
      </c>
      <c r="B500" s="925" t="s">
        <v>4608</v>
      </c>
      <c r="C500" s="918"/>
      <c r="D500" s="898"/>
      <c r="E500" s="919"/>
      <c r="F500" s="1053">
        <f t="shared" si="84"/>
        <v>0</v>
      </c>
      <c r="G500" s="919"/>
      <c r="H500" s="914">
        <f t="shared" si="80"/>
        <v>0</v>
      </c>
      <c r="I500" s="919"/>
      <c r="J500" s="914">
        <f t="shared" si="81"/>
        <v>0</v>
      </c>
      <c r="K500" s="914"/>
      <c r="L500" s="914">
        <f t="shared" si="82"/>
        <v>0</v>
      </c>
      <c r="M500" s="919"/>
      <c r="N500" s="914">
        <f t="shared" si="83"/>
        <v>0</v>
      </c>
      <c r="O500" s="919"/>
      <c r="P500" s="914">
        <f t="shared" ref="P500:P563" si="86">O500*C500</f>
        <v>0</v>
      </c>
      <c r="Q500" s="919"/>
      <c r="R500" s="914">
        <f t="shared" ref="R500:R563" si="87">Q500*C500</f>
        <v>0</v>
      </c>
      <c r="S500" s="919"/>
      <c r="T500" s="914">
        <f t="shared" ref="T500:T563" si="88">S500*C500</f>
        <v>0</v>
      </c>
      <c r="U500" s="915">
        <f t="shared" si="79"/>
        <v>0</v>
      </c>
      <c r="V500" s="914">
        <f t="shared" si="78"/>
        <v>0</v>
      </c>
    </row>
    <row r="501" spans="1:22" s="920" customFormat="1" ht="231.75" hidden="1" customHeight="1">
      <c r="A501" s="916"/>
      <c r="B501" s="917" t="s">
        <v>541</v>
      </c>
      <c r="C501" s="918">
        <f>DATA!X742</f>
        <v>8408.51</v>
      </c>
      <c r="D501" s="898" t="s">
        <v>2142</v>
      </c>
      <c r="E501" s="930"/>
      <c r="F501" s="1053">
        <f t="shared" si="84"/>
        <v>0</v>
      </c>
      <c r="G501" s="919"/>
      <c r="H501" s="914">
        <f t="shared" si="80"/>
        <v>0</v>
      </c>
      <c r="I501" s="919"/>
      <c r="J501" s="914">
        <f t="shared" si="81"/>
        <v>0</v>
      </c>
      <c r="K501" s="914"/>
      <c r="L501" s="914">
        <f t="shared" si="82"/>
        <v>0</v>
      </c>
      <c r="M501" s="919"/>
      <c r="N501" s="914">
        <f t="shared" si="83"/>
        <v>0</v>
      </c>
      <c r="O501" s="919"/>
      <c r="P501" s="914">
        <f t="shared" si="86"/>
        <v>0</v>
      </c>
      <c r="Q501" s="919"/>
      <c r="R501" s="914">
        <f t="shared" si="87"/>
        <v>0</v>
      </c>
      <c r="S501" s="919"/>
      <c r="T501" s="914">
        <f t="shared" si="88"/>
        <v>0</v>
      </c>
      <c r="U501" s="915">
        <f t="shared" si="79"/>
        <v>0</v>
      </c>
      <c r="V501" s="914">
        <f t="shared" si="78"/>
        <v>0</v>
      </c>
    </row>
    <row r="502" spans="1:22" s="920" customFormat="1" ht="231.75" hidden="1" customHeight="1">
      <c r="A502" s="916">
        <v>8.1</v>
      </c>
      <c r="B502" s="917" t="s">
        <v>4713</v>
      </c>
      <c r="C502" s="918">
        <f>DATA!X744</f>
        <v>8528.36</v>
      </c>
      <c r="D502" s="898" t="s">
        <v>2142</v>
      </c>
      <c r="E502" s="930"/>
      <c r="F502" s="1053">
        <f t="shared" si="84"/>
        <v>0</v>
      </c>
      <c r="G502" s="919"/>
      <c r="H502" s="914">
        <f t="shared" si="80"/>
        <v>0</v>
      </c>
      <c r="I502" s="919"/>
      <c r="J502" s="914">
        <f t="shared" si="81"/>
        <v>0</v>
      </c>
      <c r="K502" s="914"/>
      <c r="L502" s="914">
        <f t="shared" si="82"/>
        <v>0</v>
      </c>
      <c r="M502" s="919"/>
      <c r="N502" s="914">
        <f t="shared" si="83"/>
        <v>0</v>
      </c>
      <c r="O502" s="919"/>
      <c r="P502" s="914">
        <f t="shared" si="86"/>
        <v>0</v>
      </c>
      <c r="Q502" s="919"/>
      <c r="R502" s="914">
        <f t="shared" si="87"/>
        <v>0</v>
      </c>
      <c r="S502" s="919"/>
      <c r="T502" s="914">
        <f t="shared" si="88"/>
        <v>0</v>
      </c>
      <c r="U502" s="915">
        <f t="shared" si="79"/>
        <v>0</v>
      </c>
      <c r="V502" s="914">
        <f t="shared" si="78"/>
        <v>0</v>
      </c>
    </row>
    <row r="503" spans="1:22" s="920" customFormat="1" ht="231.75" hidden="1" customHeight="1">
      <c r="A503" s="916"/>
      <c r="B503" s="917" t="s">
        <v>544</v>
      </c>
      <c r="C503" s="918">
        <f>DATA!X745</f>
        <v>8764.4599999999991</v>
      </c>
      <c r="D503" s="898" t="s">
        <v>2142</v>
      </c>
      <c r="E503" s="930"/>
      <c r="F503" s="1053">
        <f t="shared" si="84"/>
        <v>0</v>
      </c>
      <c r="G503" s="919"/>
      <c r="H503" s="914">
        <f t="shared" si="80"/>
        <v>0</v>
      </c>
      <c r="I503" s="919"/>
      <c r="J503" s="914">
        <f t="shared" si="81"/>
        <v>0</v>
      </c>
      <c r="K503" s="914"/>
      <c r="L503" s="914">
        <f t="shared" si="82"/>
        <v>0</v>
      </c>
      <c r="M503" s="919"/>
      <c r="N503" s="914">
        <f t="shared" si="83"/>
        <v>0</v>
      </c>
      <c r="O503" s="919"/>
      <c r="P503" s="914">
        <f t="shared" si="86"/>
        <v>0</v>
      </c>
      <c r="Q503" s="919"/>
      <c r="R503" s="914">
        <f t="shared" si="87"/>
        <v>0</v>
      </c>
      <c r="S503" s="919"/>
      <c r="T503" s="914">
        <f t="shared" si="88"/>
        <v>0</v>
      </c>
      <c r="U503" s="915">
        <f t="shared" si="79"/>
        <v>0</v>
      </c>
      <c r="V503" s="914">
        <f t="shared" si="78"/>
        <v>0</v>
      </c>
    </row>
    <row r="504" spans="1:22" s="920" customFormat="1" ht="231.75" hidden="1" customHeight="1">
      <c r="A504" s="916"/>
      <c r="B504" s="917" t="s">
        <v>1798</v>
      </c>
      <c r="C504" s="918">
        <f>DATA!X746</f>
        <v>9000.56</v>
      </c>
      <c r="D504" s="898" t="s">
        <v>2142</v>
      </c>
      <c r="E504" s="930"/>
      <c r="F504" s="1053">
        <f t="shared" si="84"/>
        <v>0</v>
      </c>
      <c r="G504" s="919"/>
      <c r="H504" s="914">
        <f t="shared" si="80"/>
        <v>0</v>
      </c>
      <c r="I504" s="919"/>
      <c r="J504" s="914">
        <f t="shared" si="81"/>
        <v>0</v>
      </c>
      <c r="K504" s="914"/>
      <c r="L504" s="914">
        <f t="shared" si="82"/>
        <v>0</v>
      </c>
      <c r="M504" s="919"/>
      <c r="N504" s="914">
        <f t="shared" si="83"/>
        <v>0</v>
      </c>
      <c r="O504" s="919"/>
      <c r="P504" s="914">
        <f t="shared" si="86"/>
        <v>0</v>
      </c>
      <c r="Q504" s="919"/>
      <c r="R504" s="914">
        <f t="shared" si="87"/>
        <v>0</v>
      </c>
      <c r="S504" s="919"/>
      <c r="T504" s="914">
        <f t="shared" si="88"/>
        <v>0</v>
      </c>
      <c r="U504" s="915">
        <f t="shared" si="79"/>
        <v>0</v>
      </c>
      <c r="V504" s="914">
        <f t="shared" si="78"/>
        <v>0</v>
      </c>
    </row>
    <row r="505" spans="1:22" s="920" customFormat="1" ht="231.75" hidden="1" customHeight="1">
      <c r="A505" s="916"/>
      <c r="B505" s="917" t="s">
        <v>678</v>
      </c>
      <c r="C505" s="918">
        <f>DATA!X747</f>
        <v>9236.66</v>
      </c>
      <c r="D505" s="898" t="s">
        <v>2142</v>
      </c>
      <c r="E505" s="930"/>
      <c r="F505" s="1053">
        <f t="shared" si="84"/>
        <v>0</v>
      </c>
      <c r="G505" s="919"/>
      <c r="H505" s="914">
        <f t="shared" si="80"/>
        <v>0</v>
      </c>
      <c r="I505" s="919"/>
      <c r="J505" s="914">
        <f t="shared" si="81"/>
        <v>0</v>
      </c>
      <c r="K505" s="914"/>
      <c r="L505" s="914">
        <f t="shared" si="82"/>
        <v>0</v>
      </c>
      <c r="M505" s="919"/>
      <c r="N505" s="914">
        <f t="shared" si="83"/>
        <v>0</v>
      </c>
      <c r="O505" s="919"/>
      <c r="P505" s="914">
        <f t="shared" si="86"/>
        <v>0</v>
      </c>
      <c r="Q505" s="919"/>
      <c r="R505" s="914">
        <f t="shared" si="87"/>
        <v>0</v>
      </c>
      <c r="S505" s="919"/>
      <c r="T505" s="914">
        <f t="shared" si="88"/>
        <v>0</v>
      </c>
      <c r="U505" s="915">
        <f t="shared" si="79"/>
        <v>0</v>
      </c>
      <c r="V505" s="914">
        <f t="shared" si="78"/>
        <v>0</v>
      </c>
    </row>
    <row r="506" spans="1:22" s="920" customFormat="1" ht="231.75" hidden="1" customHeight="1">
      <c r="A506" s="916"/>
      <c r="B506" s="917" t="s">
        <v>3995</v>
      </c>
      <c r="C506" s="918">
        <f>DATA!X748</f>
        <v>9472.76</v>
      </c>
      <c r="D506" s="898" t="s">
        <v>2142</v>
      </c>
      <c r="E506" s="930"/>
      <c r="F506" s="1053">
        <f t="shared" si="84"/>
        <v>0</v>
      </c>
      <c r="G506" s="919"/>
      <c r="H506" s="914">
        <f t="shared" si="80"/>
        <v>0</v>
      </c>
      <c r="I506" s="919"/>
      <c r="J506" s="914">
        <f t="shared" si="81"/>
        <v>0</v>
      </c>
      <c r="K506" s="914"/>
      <c r="L506" s="914">
        <f t="shared" si="82"/>
        <v>0</v>
      </c>
      <c r="M506" s="919"/>
      <c r="N506" s="914">
        <f t="shared" si="83"/>
        <v>0</v>
      </c>
      <c r="O506" s="919"/>
      <c r="P506" s="914">
        <f t="shared" si="86"/>
        <v>0</v>
      </c>
      <c r="Q506" s="919"/>
      <c r="R506" s="914">
        <f t="shared" si="87"/>
        <v>0</v>
      </c>
      <c r="S506" s="919"/>
      <c r="T506" s="914">
        <f t="shared" si="88"/>
        <v>0</v>
      </c>
      <c r="U506" s="915">
        <f t="shared" si="79"/>
        <v>0</v>
      </c>
      <c r="V506" s="914">
        <f t="shared" si="78"/>
        <v>0</v>
      </c>
    </row>
    <row r="507" spans="1:22" s="920" customFormat="1" ht="231.75" hidden="1" customHeight="1">
      <c r="A507" s="916"/>
      <c r="B507" s="917" t="s">
        <v>4691</v>
      </c>
      <c r="C507" s="918">
        <f>DATA!X749</f>
        <v>9566.9599999999991</v>
      </c>
      <c r="D507" s="898" t="s">
        <v>2142</v>
      </c>
      <c r="E507" s="919"/>
      <c r="F507" s="1053">
        <f t="shared" si="84"/>
        <v>0</v>
      </c>
      <c r="G507" s="919"/>
      <c r="H507" s="914">
        <f t="shared" si="80"/>
        <v>0</v>
      </c>
      <c r="I507" s="919"/>
      <c r="J507" s="914">
        <f t="shared" si="81"/>
        <v>0</v>
      </c>
      <c r="K507" s="914"/>
      <c r="L507" s="914">
        <f t="shared" si="82"/>
        <v>0</v>
      </c>
      <c r="M507" s="919"/>
      <c r="N507" s="914">
        <f t="shared" si="83"/>
        <v>0</v>
      </c>
      <c r="O507" s="919"/>
      <c r="P507" s="914">
        <f t="shared" si="86"/>
        <v>0</v>
      </c>
      <c r="Q507" s="919"/>
      <c r="R507" s="914">
        <f t="shared" si="87"/>
        <v>0</v>
      </c>
      <c r="S507" s="919"/>
      <c r="T507" s="914">
        <f t="shared" si="88"/>
        <v>0</v>
      </c>
      <c r="U507" s="915">
        <f t="shared" si="79"/>
        <v>0</v>
      </c>
      <c r="V507" s="914">
        <f t="shared" si="78"/>
        <v>0</v>
      </c>
    </row>
    <row r="508" spans="1:22" ht="231.75" customHeight="1">
      <c r="A508" s="905" t="s">
        <v>3997</v>
      </c>
      <c r="B508" s="903" t="s">
        <v>3977</v>
      </c>
      <c r="C508" s="913"/>
      <c r="D508" s="908"/>
      <c r="E508" s="911"/>
      <c r="F508" s="1053">
        <f t="shared" si="84"/>
        <v>0</v>
      </c>
      <c r="G508" s="914"/>
      <c r="H508" s="914">
        <f t="shared" si="80"/>
        <v>0</v>
      </c>
      <c r="I508" s="914"/>
      <c r="J508" s="914">
        <f t="shared" si="81"/>
        <v>0</v>
      </c>
      <c r="K508" s="914"/>
      <c r="L508" s="914">
        <f t="shared" si="82"/>
        <v>0</v>
      </c>
      <c r="M508" s="914"/>
      <c r="N508" s="914">
        <f t="shared" si="83"/>
        <v>0</v>
      </c>
      <c r="O508" s="914"/>
      <c r="P508" s="914">
        <f t="shared" si="86"/>
        <v>0</v>
      </c>
      <c r="Q508" s="914"/>
      <c r="R508" s="914">
        <f t="shared" si="87"/>
        <v>0</v>
      </c>
      <c r="S508" s="914"/>
      <c r="T508" s="914">
        <f t="shared" si="88"/>
        <v>0</v>
      </c>
      <c r="U508" s="915">
        <f t="shared" si="79"/>
        <v>0</v>
      </c>
      <c r="V508" s="914">
        <f t="shared" si="78"/>
        <v>0</v>
      </c>
    </row>
    <row r="509" spans="1:22" ht="138" customHeight="1">
      <c r="A509" s="905"/>
      <c r="B509" s="906" t="s">
        <v>541</v>
      </c>
      <c r="C509" s="913">
        <f>DATA!X688</f>
        <v>8764.1200000000008</v>
      </c>
      <c r="D509" s="908" t="s">
        <v>2142</v>
      </c>
      <c r="E509" s="914"/>
      <c r="F509" s="1053">
        <f t="shared" si="84"/>
        <v>0</v>
      </c>
      <c r="G509" s="914"/>
      <c r="H509" s="914">
        <f t="shared" si="80"/>
        <v>0</v>
      </c>
      <c r="I509" s="914"/>
      <c r="J509" s="914">
        <f t="shared" si="81"/>
        <v>0</v>
      </c>
      <c r="K509" s="914">
        <v>0.6</v>
      </c>
      <c r="L509" s="914">
        <f t="shared" si="82"/>
        <v>5258.47</v>
      </c>
      <c r="M509" s="914">
        <v>2.2799999999999998</v>
      </c>
      <c r="N509" s="914">
        <f t="shared" si="83"/>
        <v>19982.189999999999</v>
      </c>
      <c r="O509" s="914"/>
      <c r="P509" s="914">
        <f t="shared" si="86"/>
        <v>0</v>
      </c>
      <c r="Q509" s="914"/>
      <c r="R509" s="914">
        <f t="shared" si="87"/>
        <v>0</v>
      </c>
      <c r="S509" s="914">
        <v>5.08</v>
      </c>
      <c r="T509" s="914">
        <f t="shared" si="88"/>
        <v>44521.73</v>
      </c>
      <c r="U509" s="915">
        <f t="shared" si="79"/>
        <v>7.96</v>
      </c>
      <c r="V509" s="914">
        <f t="shared" si="78"/>
        <v>69762.399999999994</v>
      </c>
    </row>
    <row r="510" spans="1:22" ht="138" customHeight="1">
      <c r="A510" s="905"/>
      <c r="B510" s="906" t="s">
        <v>542</v>
      </c>
      <c r="C510" s="913">
        <f>DATA!X690</f>
        <v>8883.9699999999993</v>
      </c>
      <c r="D510" s="908" t="s">
        <v>2142</v>
      </c>
      <c r="E510" s="914"/>
      <c r="F510" s="1053">
        <f t="shared" si="84"/>
        <v>0</v>
      </c>
      <c r="G510" s="914"/>
      <c r="H510" s="914">
        <f t="shared" si="80"/>
        <v>0</v>
      </c>
      <c r="I510" s="914"/>
      <c r="J510" s="914">
        <f t="shared" si="81"/>
        <v>0</v>
      </c>
      <c r="K510" s="914"/>
      <c r="L510" s="914">
        <f t="shared" si="82"/>
        <v>0</v>
      </c>
      <c r="M510" s="914"/>
      <c r="N510" s="914">
        <f t="shared" si="83"/>
        <v>0</v>
      </c>
      <c r="O510" s="914"/>
      <c r="P510" s="914">
        <f t="shared" si="86"/>
        <v>0</v>
      </c>
      <c r="Q510" s="914"/>
      <c r="R510" s="914">
        <f t="shared" si="87"/>
        <v>0</v>
      </c>
      <c r="S510" s="914"/>
      <c r="T510" s="914">
        <f t="shared" si="88"/>
        <v>0</v>
      </c>
      <c r="U510" s="915">
        <f t="shared" si="79"/>
        <v>0</v>
      </c>
      <c r="V510" s="914">
        <f t="shared" si="78"/>
        <v>0</v>
      </c>
    </row>
    <row r="511" spans="1:22" ht="138" customHeight="1">
      <c r="A511" s="905"/>
      <c r="B511" s="906" t="s">
        <v>544</v>
      </c>
      <c r="C511" s="913">
        <f>DATA!X691</f>
        <v>9120.07</v>
      </c>
      <c r="D511" s="908" t="s">
        <v>2142</v>
      </c>
      <c r="E511" s="914"/>
      <c r="F511" s="1053">
        <f t="shared" si="84"/>
        <v>0</v>
      </c>
      <c r="G511" s="914"/>
      <c r="H511" s="914">
        <f t="shared" si="80"/>
        <v>0</v>
      </c>
      <c r="I511" s="914"/>
      <c r="J511" s="914">
        <f t="shared" si="81"/>
        <v>0</v>
      </c>
      <c r="K511" s="914"/>
      <c r="L511" s="914">
        <f t="shared" si="82"/>
        <v>0</v>
      </c>
      <c r="M511" s="914"/>
      <c r="N511" s="914">
        <f t="shared" si="83"/>
        <v>0</v>
      </c>
      <c r="O511" s="914"/>
      <c r="P511" s="914">
        <f t="shared" si="86"/>
        <v>0</v>
      </c>
      <c r="Q511" s="914"/>
      <c r="R511" s="914">
        <f t="shared" si="87"/>
        <v>0</v>
      </c>
      <c r="S511" s="914"/>
      <c r="T511" s="914">
        <f t="shared" si="88"/>
        <v>0</v>
      </c>
      <c r="U511" s="915">
        <f t="shared" si="79"/>
        <v>0</v>
      </c>
      <c r="V511" s="914">
        <f t="shared" si="78"/>
        <v>0</v>
      </c>
    </row>
    <row r="512" spans="1:22" ht="231.75" hidden="1" customHeight="1">
      <c r="A512" s="905"/>
      <c r="B512" s="906" t="s">
        <v>1798</v>
      </c>
      <c r="C512" s="913">
        <f>DATA!X692</f>
        <v>9356.17</v>
      </c>
      <c r="D512" s="908" t="s">
        <v>2142</v>
      </c>
      <c r="E512" s="914"/>
      <c r="F512" s="1053">
        <f t="shared" si="84"/>
        <v>0</v>
      </c>
      <c r="G512" s="914"/>
      <c r="H512" s="914">
        <f t="shared" si="80"/>
        <v>0</v>
      </c>
      <c r="I512" s="914"/>
      <c r="J512" s="914">
        <f t="shared" si="81"/>
        <v>0</v>
      </c>
      <c r="K512" s="914"/>
      <c r="L512" s="914">
        <f t="shared" si="82"/>
        <v>0</v>
      </c>
      <c r="M512" s="914"/>
      <c r="N512" s="914">
        <f t="shared" si="83"/>
        <v>0</v>
      </c>
      <c r="O512" s="914"/>
      <c r="P512" s="914">
        <f t="shared" si="86"/>
        <v>0</v>
      </c>
      <c r="Q512" s="914"/>
      <c r="R512" s="914">
        <f t="shared" si="87"/>
        <v>0</v>
      </c>
      <c r="S512" s="914"/>
      <c r="T512" s="914">
        <f t="shared" si="88"/>
        <v>0</v>
      </c>
      <c r="U512" s="915">
        <f t="shared" si="79"/>
        <v>0</v>
      </c>
      <c r="V512" s="914">
        <f t="shared" si="78"/>
        <v>0</v>
      </c>
    </row>
    <row r="513" spans="1:22" ht="231.75" hidden="1" customHeight="1">
      <c r="A513" s="905"/>
      <c r="B513" s="906" t="s">
        <v>678</v>
      </c>
      <c r="C513" s="913">
        <f>DATA!X693</f>
        <v>9592.27</v>
      </c>
      <c r="D513" s="908" t="s">
        <v>2142</v>
      </c>
      <c r="E513" s="919"/>
      <c r="F513" s="1053">
        <f t="shared" si="84"/>
        <v>0</v>
      </c>
      <c r="G513" s="919"/>
      <c r="H513" s="914">
        <f t="shared" si="80"/>
        <v>0</v>
      </c>
      <c r="I513" s="919"/>
      <c r="J513" s="914">
        <f t="shared" si="81"/>
        <v>0</v>
      </c>
      <c r="K513" s="914"/>
      <c r="L513" s="914">
        <f t="shared" si="82"/>
        <v>0</v>
      </c>
      <c r="M513" s="919"/>
      <c r="N513" s="914">
        <f t="shared" si="83"/>
        <v>0</v>
      </c>
      <c r="O513" s="919"/>
      <c r="P513" s="914">
        <f t="shared" si="86"/>
        <v>0</v>
      </c>
      <c r="Q513" s="919"/>
      <c r="R513" s="914">
        <f t="shared" si="87"/>
        <v>0</v>
      </c>
      <c r="S513" s="919"/>
      <c r="T513" s="914">
        <f t="shared" si="88"/>
        <v>0</v>
      </c>
      <c r="U513" s="915">
        <f t="shared" si="79"/>
        <v>0</v>
      </c>
      <c r="V513" s="914">
        <f t="shared" si="78"/>
        <v>0</v>
      </c>
    </row>
    <row r="514" spans="1:22" ht="231.75" hidden="1" customHeight="1">
      <c r="A514" s="905"/>
      <c r="B514" s="953" t="s">
        <v>3544</v>
      </c>
      <c r="C514" s="921"/>
      <c r="D514" s="908"/>
      <c r="E514" s="919"/>
      <c r="F514" s="1053">
        <f t="shared" si="84"/>
        <v>0</v>
      </c>
      <c r="G514" s="919"/>
      <c r="H514" s="914">
        <f t="shared" si="80"/>
        <v>0</v>
      </c>
      <c r="I514" s="919"/>
      <c r="J514" s="914">
        <f t="shared" si="81"/>
        <v>0</v>
      </c>
      <c r="K514" s="914"/>
      <c r="L514" s="914">
        <f t="shared" si="82"/>
        <v>0</v>
      </c>
      <c r="M514" s="919"/>
      <c r="N514" s="914">
        <f t="shared" si="83"/>
        <v>0</v>
      </c>
      <c r="O514" s="919"/>
      <c r="P514" s="914">
        <f t="shared" si="86"/>
        <v>0</v>
      </c>
      <c r="Q514" s="919"/>
      <c r="R514" s="914">
        <f t="shared" si="87"/>
        <v>0</v>
      </c>
      <c r="S514" s="919"/>
      <c r="T514" s="914">
        <f t="shared" si="88"/>
        <v>0</v>
      </c>
      <c r="U514" s="915">
        <f t="shared" si="79"/>
        <v>0</v>
      </c>
      <c r="V514" s="914">
        <f t="shared" si="78"/>
        <v>0</v>
      </c>
    </row>
    <row r="515" spans="1:22" ht="231.75" hidden="1" customHeight="1">
      <c r="A515" s="905"/>
      <c r="B515" s="931" t="s">
        <v>2119</v>
      </c>
      <c r="C515" s="921">
        <f>DATA!R1183</f>
        <v>8589.74</v>
      </c>
      <c r="D515" s="908" t="s">
        <v>2142</v>
      </c>
      <c r="E515" s="919"/>
      <c r="F515" s="1053">
        <f t="shared" si="84"/>
        <v>0</v>
      </c>
      <c r="G515" s="919"/>
      <c r="H515" s="914">
        <f t="shared" si="80"/>
        <v>0</v>
      </c>
      <c r="I515" s="919"/>
      <c r="J515" s="914">
        <f t="shared" si="81"/>
        <v>0</v>
      </c>
      <c r="K515" s="914"/>
      <c r="L515" s="914">
        <f t="shared" si="82"/>
        <v>0</v>
      </c>
      <c r="M515" s="919"/>
      <c r="N515" s="914">
        <f t="shared" si="83"/>
        <v>0</v>
      </c>
      <c r="O515" s="919"/>
      <c r="P515" s="914">
        <f t="shared" si="86"/>
        <v>0</v>
      </c>
      <c r="Q515" s="919"/>
      <c r="R515" s="914">
        <f t="shared" si="87"/>
        <v>0</v>
      </c>
      <c r="S515" s="919"/>
      <c r="T515" s="914">
        <f t="shared" si="88"/>
        <v>0</v>
      </c>
      <c r="U515" s="915">
        <f t="shared" si="79"/>
        <v>0</v>
      </c>
      <c r="V515" s="914">
        <f t="shared" si="78"/>
        <v>0</v>
      </c>
    </row>
    <row r="516" spans="1:22" ht="231.75" hidden="1" customHeight="1">
      <c r="A516" s="905"/>
      <c r="B516" s="931" t="s">
        <v>3545</v>
      </c>
      <c r="C516" s="921">
        <f>DATA!R1184</f>
        <v>8709.59</v>
      </c>
      <c r="D516" s="908" t="s">
        <v>2142</v>
      </c>
      <c r="E516" s="919"/>
      <c r="F516" s="1053">
        <f t="shared" si="84"/>
        <v>0</v>
      </c>
      <c r="G516" s="919"/>
      <c r="H516" s="914">
        <f t="shared" si="80"/>
        <v>0</v>
      </c>
      <c r="I516" s="919"/>
      <c r="J516" s="914">
        <f t="shared" si="81"/>
        <v>0</v>
      </c>
      <c r="K516" s="914"/>
      <c r="L516" s="914">
        <f t="shared" si="82"/>
        <v>0</v>
      </c>
      <c r="M516" s="919"/>
      <c r="N516" s="914">
        <f t="shared" si="83"/>
        <v>0</v>
      </c>
      <c r="O516" s="919"/>
      <c r="P516" s="914">
        <f t="shared" si="86"/>
        <v>0</v>
      </c>
      <c r="Q516" s="919"/>
      <c r="R516" s="914">
        <f t="shared" si="87"/>
        <v>0</v>
      </c>
      <c r="S516" s="919"/>
      <c r="T516" s="914">
        <f t="shared" si="88"/>
        <v>0</v>
      </c>
      <c r="U516" s="915">
        <f t="shared" si="79"/>
        <v>0</v>
      </c>
      <c r="V516" s="914">
        <f t="shared" si="78"/>
        <v>0</v>
      </c>
    </row>
    <row r="517" spans="1:22" ht="231.75" hidden="1" customHeight="1">
      <c r="A517" s="905"/>
      <c r="B517" s="924" t="s">
        <v>3546</v>
      </c>
      <c r="C517" s="921"/>
      <c r="D517" s="908"/>
      <c r="E517" s="919"/>
      <c r="F517" s="1053">
        <f t="shared" si="84"/>
        <v>0</v>
      </c>
      <c r="G517" s="919"/>
      <c r="H517" s="914">
        <f t="shared" si="80"/>
        <v>0</v>
      </c>
      <c r="I517" s="919"/>
      <c r="J517" s="914">
        <f t="shared" si="81"/>
        <v>0</v>
      </c>
      <c r="K517" s="914"/>
      <c r="L517" s="914">
        <f t="shared" si="82"/>
        <v>0</v>
      </c>
      <c r="M517" s="919"/>
      <c r="N517" s="914">
        <f t="shared" si="83"/>
        <v>0</v>
      </c>
      <c r="O517" s="919"/>
      <c r="P517" s="914">
        <f t="shared" si="86"/>
        <v>0</v>
      </c>
      <c r="Q517" s="919"/>
      <c r="R517" s="914">
        <f t="shared" si="87"/>
        <v>0</v>
      </c>
      <c r="S517" s="919"/>
      <c r="T517" s="914">
        <f t="shared" si="88"/>
        <v>0</v>
      </c>
      <c r="U517" s="915">
        <f t="shared" si="79"/>
        <v>0</v>
      </c>
      <c r="V517" s="914">
        <f t="shared" si="78"/>
        <v>0</v>
      </c>
    </row>
    <row r="518" spans="1:22" ht="231.75" hidden="1" customHeight="1">
      <c r="A518" s="905"/>
      <c r="B518" s="906" t="s">
        <v>541</v>
      </c>
      <c r="C518" s="921">
        <f>DATA!R1156</f>
        <v>8517.94</v>
      </c>
      <c r="D518" s="908" t="s">
        <v>1192</v>
      </c>
      <c r="E518" s="919"/>
      <c r="F518" s="1053">
        <f t="shared" si="84"/>
        <v>0</v>
      </c>
      <c r="G518" s="919"/>
      <c r="H518" s="914">
        <f t="shared" si="80"/>
        <v>0</v>
      </c>
      <c r="I518" s="919"/>
      <c r="J518" s="914">
        <f t="shared" si="81"/>
        <v>0</v>
      </c>
      <c r="K518" s="914"/>
      <c r="L518" s="914">
        <f t="shared" si="82"/>
        <v>0</v>
      </c>
      <c r="M518" s="919"/>
      <c r="N518" s="914">
        <f t="shared" si="83"/>
        <v>0</v>
      </c>
      <c r="O518" s="919"/>
      <c r="P518" s="914">
        <f t="shared" si="86"/>
        <v>0</v>
      </c>
      <c r="Q518" s="919"/>
      <c r="R518" s="914">
        <f t="shared" si="87"/>
        <v>0</v>
      </c>
      <c r="S518" s="919"/>
      <c r="T518" s="914">
        <f t="shared" si="88"/>
        <v>0</v>
      </c>
      <c r="U518" s="915">
        <f t="shared" si="79"/>
        <v>0</v>
      </c>
      <c r="V518" s="914">
        <f t="shared" ref="V518:V581" si="89">U518*C518</f>
        <v>0</v>
      </c>
    </row>
    <row r="519" spans="1:22" ht="231.75" hidden="1" customHeight="1">
      <c r="A519" s="905"/>
      <c r="B519" s="906" t="s">
        <v>3587</v>
      </c>
      <c r="C519" s="921">
        <f>DATA!R1158</f>
        <v>8637.7900000000009</v>
      </c>
      <c r="D519" s="908" t="s">
        <v>1192</v>
      </c>
      <c r="E519" s="919"/>
      <c r="F519" s="1053">
        <f t="shared" si="84"/>
        <v>0</v>
      </c>
      <c r="G519" s="919"/>
      <c r="H519" s="914">
        <f t="shared" si="80"/>
        <v>0</v>
      </c>
      <c r="I519" s="919"/>
      <c r="J519" s="914">
        <f t="shared" si="81"/>
        <v>0</v>
      </c>
      <c r="K519" s="914"/>
      <c r="L519" s="914">
        <f t="shared" si="82"/>
        <v>0</v>
      </c>
      <c r="M519" s="919"/>
      <c r="N519" s="914">
        <f t="shared" si="83"/>
        <v>0</v>
      </c>
      <c r="O519" s="919"/>
      <c r="P519" s="914">
        <f t="shared" si="86"/>
        <v>0</v>
      </c>
      <c r="Q519" s="919"/>
      <c r="R519" s="914">
        <f t="shared" si="87"/>
        <v>0</v>
      </c>
      <c r="S519" s="919"/>
      <c r="T519" s="914">
        <f t="shared" si="88"/>
        <v>0</v>
      </c>
      <c r="U519" s="915">
        <f t="shared" si="79"/>
        <v>0</v>
      </c>
      <c r="V519" s="914">
        <f t="shared" si="89"/>
        <v>0</v>
      </c>
    </row>
    <row r="520" spans="1:22" ht="231.75" hidden="1" customHeight="1">
      <c r="A520" s="905"/>
      <c r="B520" s="906" t="s">
        <v>544</v>
      </c>
      <c r="C520" s="921">
        <f>DATA!R1159</f>
        <v>8873.89</v>
      </c>
      <c r="D520" s="908" t="s">
        <v>1192</v>
      </c>
      <c r="E520" s="919"/>
      <c r="F520" s="1053">
        <f t="shared" si="84"/>
        <v>0</v>
      </c>
      <c r="G520" s="919"/>
      <c r="H520" s="914">
        <f t="shared" si="80"/>
        <v>0</v>
      </c>
      <c r="I520" s="919"/>
      <c r="J520" s="914">
        <f t="shared" si="81"/>
        <v>0</v>
      </c>
      <c r="K520" s="914"/>
      <c r="L520" s="914">
        <f t="shared" si="82"/>
        <v>0</v>
      </c>
      <c r="M520" s="919"/>
      <c r="N520" s="914">
        <f t="shared" si="83"/>
        <v>0</v>
      </c>
      <c r="O520" s="919"/>
      <c r="P520" s="914">
        <f t="shared" si="86"/>
        <v>0</v>
      </c>
      <c r="Q520" s="919"/>
      <c r="R520" s="914">
        <f t="shared" si="87"/>
        <v>0</v>
      </c>
      <c r="S520" s="919"/>
      <c r="T520" s="914">
        <f t="shared" si="88"/>
        <v>0</v>
      </c>
      <c r="U520" s="915">
        <f t="shared" si="79"/>
        <v>0</v>
      </c>
      <c r="V520" s="914">
        <f t="shared" si="89"/>
        <v>0</v>
      </c>
    </row>
    <row r="521" spans="1:22" ht="231.75" hidden="1" customHeight="1">
      <c r="A521" s="905"/>
      <c r="B521" s="906" t="s">
        <v>1798</v>
      </c>
      <c r="C521" s="921">
        <f>DATA!R1160</f>
        <v>9109.99</v>
      </c>
      <c r="D521" s="908" t="s">
        <v>1192</v>
      </c>
      <c r="E521" s="919"/>
      <c r="F521" s="1053">
        <f t="shared" si="84"/>
        <v>0</v>
      </c>
      <c r="G521" s="919"/>
      <c r="H521" s="914">
        <f t="shared" si="80"/>
        <v>0</v>
      </c>
      <c r="I521" s="919"/>
      <c r="J521" s="914">
        <f t="shared" si="81"/>
        <v>0</v>
      </c>
      <c r="K521" s="914"/>
      <c r="L521" s="914">
        <f t="shared" si="82"/>
        <v>0</v>
      </c>
      <c r="M521" s="919"/>
      <c r="N521" s="914">
        <f t="shared" si="83"/>
        <v>0</v>
      </c>
      <c r="O521" s="919"/>
      <c r="P521" s="914">
        <f t="shared" si="86"/>
        <v>0</v>
      </c>
      <c r="Q521" s="919"/>
      <c r="R521" s="914">
        <f t="shared" si="87"/>
        <v>0</v>
      </c>
      <c r="S521" s="919"/>
      <c r="T521" s="914">
        <f t="shared" si="88"/>
        <v>0</v>
      </c>
      <c r="U521" s="915">
        <f t="shared" si="79"/>
        <v>0</v>
      </c>
      <c r="V521" s="914">
        <f t="shared" si="89"/>
        <v>0</v>
      </c>
    </row>
    <row r="522" spans="1:22" ht="231.75" hidden="1" customHeight="1">
      <c r="A522" s="905"/>
      <c r="B522" s="906" t="s">
        <v>678</v>
      </c>
      <c r="C522" s="921">
        <f>DATA!R1161</f>
        <v>9346.09</v>
      </c>
      <c r="D522" s="908" t="s">
        <v>1192</v>
      </c>
      <c r="E522" s="919"/>
      <c r="F522" s="1053">
        <f t="shared" si="84"/>
        <v>0</v>
      </c>
      <c r="G522" s="919"/>
      <c r="H522" s="914">
        <f t="shared" si="80"/>
        <v>0</v>
      </c>
      <c r="I522" s="919"/>
      <c r="J522" s="914">
        <f t="shared" si="81"/>
        <v>0</v>
      </c>
      <c r="K522" s="914"/>
      <c r="L522" s="914">
        <f t="shared" si="82"/>
        <v>0</v>
      </c>
      <c r="M522" s="919"/>
      <c r="N522" s="914">
        <f t="shared" si="83"/>
        <v>0</v>
      </c>
      <c r="O522" s="919"/>
      <c r="P522" s="914">
        <f t="shared" si="86"/>
        <v>0</v>
      </c>
      <c r="Q522" s="919"/>
      <c r="R522" s="914">
        <f t="shared" si="87"/>
        <v>0</v>
      </c>
      <c r="S522" s="919"/>
      <c r="T522" s="914">
        <f t="shared" si="88"/>
        <v>0</v>
      </c>
      <c r="U522" s="915">
        <f t="shared" si="79"/>
        <v>0</v>
      </c>
      <c r="V522" s="914">
        <f t="shared" si="89"/>
        <v>0</v>
      </c>
    </row>
    <row r="523" spans="1:22" ht="231.75" hidden="1" customHeight="1">
      <c r="A523" s="905"/>
      <c r="B523" s="906" t="s">
        <v>1060</v>
      </c>
      <c r="C523" s="921">
        <f>DATA!R1162</f>
        <v>9582.19</v>
      </c>
      <c r="D523" s="908" t="s">
        <v>1192</v>
      </c>
      <c r="E523" s="919"/>
      <c r="F523" s="1053">
        <f t="shared" si="84"/>
        <v>0</v>
      </c>
      <c r="G523" s="919"/>
      <c r="H523" s="914">
        <f t="shared" si="80"/>
        <v>0</v>
      </c>
      <c r="I523" s="919"/>
      <c r="J523" s="914">
        <f t="shared" si="81"/>
        <v>0</v>
      </c>
      <c r="K523" s="914"/>
      <c r="L523" s="914">
        <f t="shared" si="82"/>
        <v>0</v>
      </c>
      <c r="M523" s="919"/>
      <c r="N523" s="914">
        <f t="shared" si="83"/>
        <v>0</v>
      </c>
      <c r="O523" s="919"/>
      <c r="P523" s="914">
        <f t="shared" si="86"/>
        <v>0</v>
      </c>
      <c r="Q523" s="919"/>
      <c r="R523" s="914">
        <f t="shared" si="87"/>
        <v>0</v>
      </c>
      <c r="S523" s="919"/>
      <c r="T523" s="914">
        <f t="shared" si="88"/>
        <v>0</v>
      </c>
      <c r="U523" s="915">
        <f t="shared" si="79"/>
        <v>0</v>
      </c>
      <c r="V523" s="914">
        <f t="shared" si="89"/>
        <v>0</v>
      </c>
    </row>
    <row r="524" spans="1:22" ht="231.75" hidden="1" customHeight="1">
      <c r="A524" s="905"/>
      <c r="B524" s="906" t="s">
        <v>3547</v>
      </c>
      <c r="C524" s="921">
        <f>DATA!R1163</f>
        <v>9818.2900000000009</v>
      </c>
      <c r="D524" s="908" t="s">
        <v>1192</v>
      </c>
      <c r="E524" s="919"/>
      <c r="F524" s="1053">
        <f t="shared" si="84"/>
        <v>0</v>
      </c>
      <c r="G524" s="919"/>
      <c r="H524" s="914">
        <f t="shared" si="80"/>
        <v>0</v>
      </c>
      <c r="I524" s="919"/>
      <c r="J524" s="914">
        <f t="shared" si="81"/>
        <v>0</v>
      </c>
      <c r="K524" s="914"/>
      <c r="L524" s="914">
        <f t="shared" si="82"/>
        <v>0</v>
      </c>
      <c r="M524" s="919"/>
      <c r="N524" s="914">
        <f t="shared" si="83"/>
        <v>0</v>
      </c>
      <c r="O524" s="919"/>
      <c r="P524" s="914">
        <f t="shared" si="86"/>
        <v>0</v>
      </c>
      <c r="Q524" s="919"/>
      <c r="R524" s="914">
        <f t="shared" si="87"/>
        <v>0</v>
      </c>
      <c r="S524" s="919"/>
      <c r="T524" s="914">
        <f t="shared" si="88"/>
        <v>0</v>
      </c>
      <c r="U524" s="915">
        <f t="shared" si="79"/>
        <v>0</v>
      </c>
      <c r="V524" s="914">
        <f t="shared" si="89"/>
        <v>0</v>
      </c>
    </row>
    <row r="525" spans="1:22" ht="231.75" hidden="1" customHeight="1">
      <c r="A525" s="905"/>
      <c r="B525" s="906" t="s">
        <v>3591</v>
      </c>
      <c r="C525" s="921">
        <f>DATA!R1164</f>
        <v>10054.39</v>
      </c>
      <c r="D525" s="908" t="s">
        <v>1192</v>
      </c>
      <c r="E525" s="919"/>
      <c r="F525" s="1053">
        <f t="shared" si="84"/>
        <v>0</v>
      </c>
      <c r="G525" s="919"/>
      <c r="H525" s="914">
        <f t="shared" si="80"/>
        <v>0</v>
      </c>
      <c r="I525" s="919"/>
      <c r="J525" s="914">
        <f t="shared" si="81"/>
        <v>0</v>
      </c>
      <c r="K525" s="914"/>
      <c r="L525" s="914">
        <f t="shared" si="82"/>
        <v>0</v>
      </c>
      <c r="M525" s="919"/>
      <c r="N525" s="914">
        <f t="shared" si="83"/>
        <v>0</v>
      </c>
      <c r="O525" s="919"/>
      <c r="P525" s="914">
        <f t="shared" si="86"/>
        <v>0</v>
      </c>
      <c r="Q525" s="919"/>
      <c r="R525" s="914">
        <f t="shared" si="87"/>
        <v>0</v>
      </c>
      <c r="S525" s="919"/>
      <c r="T525" s="914">
        <f t="shared" si="88"/>
        <v>0</v>
      </c>
      <c r="U525" s="915">
        <f t="shared" si="79"/>
        <v>0</v>
      </c>
      <c r="V525" s="914">
        <f t="shared" si="89"/>
        <v>0</v>
      </c>
    </row>
    <row r="526" spans="1:22" ht="231.75" hidden="1" customHeight="1">
      <c r="A526" s="905"/>
      <c r="B526" s="906" t="s">
        <v>3548</v>
      </c>
      <c r="C526" s="921">
        <f>DATA!R1165</f>
        <v>10290.49</v>
      </c>
      <c r="D526" s="908" t="s">
        <v>1192</v>
      </c>
      <c r="E526" s="919"/>
      <c r="F526" s="1053">
        <f t="shared" si="84"/>
        <v>0</v>
      </c>
      <c r="G526" s="919"/>
      <c r="H526" s="914">
        <f t="shared" si="80"/>
        <v>0</v>
      </c>
      <c r="I526" s="919"/>
      <c r="J526" s="914">
        <f t="shared" si="81"/>
        <v>0</v>
      </c>
      <c r="K526" s="914"/>
      <c r="L526" s="914">
        <f t="shared" si="82"/>
        <v>0</v>
      </c>
      <c r="M526" s="919"/>
      <c r="N526" s="914">
        <f t="shared" si="83"/>
        <v>0</v>
      </c>
      <c r="O526" s="919"/>
      <c r="P526" s="914">
        <f t="shared" si="86"/>
        <v>0</v>
      </c>
      <c r="Q526" s="919"/>
      <c r="R526" s="914">
        <f t="shared" si="87"/>
        <v>0</v>
      </c>
      <c r="S526" s="919"/>
      <c r="T526" s="914">
        <f t="shared" si="88"/>
        <v>0</v>
      </c>
      <c r="U526" s="915">
        <f t="shared" si="79"/>
        <v>0</v>
      </c>
      <c r="V526" s="914">
        <f t="shared" si="89"/>
        <v>0</v>
      </c>
    </row>
    <row r="527" spans="1:22" ht="231.75" hidden="1" customHeight="1">
      <c r="A527" s="905"/>
      <c r="B527" s="931" t="s">
        <v>3549</v>
      </c>
      <c r="C527" s="921">
        <f>DATA!R1166</f>
        <v>10526.59</v>
      </c>
      <c r="D527" s="908" t="s">
        <v>1192</v>
      </c>
      <c r="E527" s="919"/>
      <c r="F527" s="1053">
        <f t="shared" si="84"/>
        <v>0</v>
      </c>
      <c r="G527" s="919"/>
      <c r="H527" s="914">
        <f t="shared" si="80"/>
        <v>0</v>
      </c>
      <c r="I527" s="919"/>
      <c r="J527" s="914">
        <f t="shared" si="81"/>
        <v>0</v>
      </c>
      <c r="K527" s="914"/>
      <c r="L527" s="914">
        <f t="shared" si="82"/>
        <v>0</v>
      </c>
      <c r="M527" s="919"/>
      <c r="N527" s="914">
        <f t="shared" si="83"/>
        <v>0</v>
      </c>
      <c r="O527" s="919"/>
      <c r="P527" s="914">
        <f t="shared" si="86"/>
        <v>0</v>
      </c>
      <c r="Q527" s="919"/>
      <c r="R527" s="914">
        <f t="shared" si="87"/>
        <v>0</v>
      </c>
      <c r="S527" s="919"/>
      <c r="T527" s="914">
        <f t="shared" si="88"/>
        <v>0</v>
      </c>
      <c r="U527" s="915">
        <f t="shared" si="79"/>
        <v>0</v>
      </c>
      <c r="V527" s="914">
        <f t="shared" si="89"/>
        <v>0</v>
      </c>
    </row>
    <row r="528" spans="1:22" ht="231.75" hidden="1" customHeight="1">
      <c r="A528" s="905"/>
      <c r="B528" s="931" t="s">
        <v>3550</v>
      </c>
      <c r="C528" s="921">
        <f>DATA!R1167</f>
        <v>10762.69</v>
      </c>
      <c r="D528" s="908" t="s">
        <v>1192</v>
      </c>
      <c r="E528" s="919"/>
      <c r="F528" s="1053">
        <f t="shared" si="84"/>
        <v>0</v>
      </c>
      <c r="G528" s="919"/>
      <c r="H528" s="914">
        <f t="shared" si="80"/>
        <v>0</v>
      </c>
      <c r="I528" s="919"/>
      <c r="J528" s="914">
        <f t="shared" si="81"/>
        <v>0</v>
      </c>
      <c r="K528" s="914"/>
      <c r="L528" s="914">
        <f t="shared" si="82"/>
        <v>0</v>
      </c>
      <c r="M528" s="919"/>
      <c r="N528" s="914">
        <f t="shared" si="83"/>
        <v>0</v>
      </c>
      <c r="O528" s="919"/>
      <c r="P528" s="914">
        <f t="shared" si="86"/>
        <v>0</v>
      </c>
      <c r="Q528" s="919"/>
      <c r="R528" s="914">
        <f t="shared" si="87"/>
        <v>0</v>
      </c>
      <c r="S528" s="919"/>
      <c r="T528" s="914">
        <f t="shared" si="88"/>
        <v>0</v>
      </c>
      <c r="U528" s="915">
        <f t="shared" si="79"/>
        <v>0</v>
      </c>
      <c r="V528" s="914">
        <f t="shared" si="89"/>
        <v>0</v>
      </c>
    </row>
    <row r="529" spans="1:22" ht="231.75" hidden="1" customHeight="1">
      <c r="A529" s="905"/>
      <c r="B529" s="931" t="s">
        <v>3551</v>
      </c>
      <c r="C529" s="921">
        <f>DATA!R1168</f>
        <v>10998.79</v>
      </c>
      <c r="D529" s="908" t="s">
        <v>1192</v>
      </c>
      <c r="E529" s="919"/>
      <c r="F529" s="1053">
        <f t="shared" si="84"/>
        <v>0</v>
      </c>
      <c r="G529" s="919"/>
      <c r="H529" s="914">
        <f t="shared" si="80"/>
        <v>0</v>
      </c>
      <c r="I529" s="919"/>
      <c r="J529" s="914">
        <f t="shared" si="81"/>
        <v>0</v>
      </c>
      <c r="K529" s="914"/>
      <c r="L529" s="914">
        <f t="shared" si="82"/>
        <v>0</v>
      </c>
      <c r="M529" s="919"/>
      <c r="N529" s="914">
        <f t="shared" si="83"/>
        <v>0</v>
      </c>
      <c r="O529" s="919"/>
      <c r="P529" s="914">
        <f t="shared" si="86"/>
        <v>0</v>
      </c>
      <c r="Q529" s="919"/>
      <c r="R529" s="914">
        <f t="shared" si="87"/>
        <v>0</v>
      </c>
      <c r="S529" s="919"/>
      <c r="T529" s="914">
        <f t="shared" si="88"/>
        <v>0</v>
      </c>
      <c r="U529" s="915">
        <f t="shared" si="79"/>
        <v>0</v>
      </c>
      <c r="V529" s="914">
        <f t="shared" si="89"/>
        <v>0</v>
      </c>
    </row>
    <row r="530" spans="1:22" ht="231.75" hidden="1" customHeight="1">
      <c r="A530" s="905"/>
      <c r="B530" s="906" t="s">
        <v>3767</v>
      </c>
      <c r="C530" s="921">
        <f>DATA!R1169</f>
        <v>11234.89</v>
      </c>
      <c r="D530" s="908" t="s">
        <v>1192</v>
      </c>
      <c r="E530" s="919"/>
      <c r="F530" s="1053">
        <f t="shared" si="84"/>
        <v>0</v>
      </c>
      <c r="G530" s="919"/>
      <c r="H530" s="914">
        <f t="shared" si="80"/>
        <v>0</v>
      </c>
      <c r="I530" s="919"/>
      <c r="J530" s="914">
        <f t="shared" si="81"/>
        <v>0</v>
      </c>
      <c r="K530" s="914"/>
      <c r="L530" s="914">
        <f t="shared" si="82"/>
        <v>0</v>
      </c>
      <c r="M530" s="919"/>
      <c r="N530" s="914">
        <f t="shared" si="83"/>
        <v>0</v>
      </c>
      <c r="O530" s="919"/>
      <c r="P530" s="914">
        <f t="shared" si="86"/>
        <v>0</v>
      </c>
      <c r="Q530" s="919"/>
      <c r="R530" s="914">
        <f t="shared" si="87"/>
        <v>0</v>
      </c>
      <c r="S530" s="919"/>
      <c r="T530" s="914">
        <f t="shared" si="88"/>
        <v>0</v>
      </c>
      <c r="U530" s="915">
        <f t="shared" ref="U530:U593" si="90">G530+I530+M530+O530+Q530+S530+E530+K530</f>
        <v>0</v>
      </c>
      <c r="V530" s="914">
        <f t="shared" si="89"/>
        <v>0</v>
      </c>
    </row>
    <row r="531" spans="1:22" ht="231.75" hidden="1" customHeight="1">
      <c r="A531" s="905"/>
      <c r="B531" s="906" t="s">
        <v>3768</v>
      </c>
      <c r="C531" s="921">
        <f>DATA!R1170</f>
        <v>11470.99</v>
      </c>
      <c r="D531" s="908" t="s">
        <v>1192</v>
      </c>
      <c r="E531" s="919"/>
      <c r="F531" s="1053">
        <f t="shared" si="84"/>
        <v>0</v>
      </c>
      <c r="G531" s="919"/>
      <c r="H531" s="914">
        <f t="shared" ref="H531:H594" si="91">C531*G531</f>
        <v>0</v>
      </c>
      <c r="I531" s="919"/>
      <c r="J531" s="914">
        <f t="shared" ref="J531:J594" si="92">I531*C531</f>
        <v>0</v>
      </c>
      <c r="K531" s="914"/>
      <c r="L531" s="914">
        <f t="shared" ref="L531:L594" si="93">K531*C531</f>
        <v>0</v>
      </c>
      <c r="M531" s="919"/>
      <c r="N531" s="914">
        <f t="shared" ref="N531:N594" si="94">M531*C531</f>
        <v>0</v>
      </c>
      <c r="O531" s="919"/>
      <c r="P531" s="914">
        <f t="shared" si="86"/>
        <v>0</v>
      </c>
      <c r="Q531" s="919"/>
      <c r="R531" s="914">
        <f t="shared" si="87"/>
        <v>0</v>
      </c>
      <c r="S531" s="919"/>
      <c r="T531" s="914">
        <f t="shared" si="88"/>
        <v>0</v>
      </c>
      <c r="U531" s="915">
        <f t="shared" si="90"/>
        <v>0</v>
      </c>
      <c r="V531" s="914">
        <f t="shared" si="89"/>
        <v>0</v>
      </c>
    </row>
    <row r="532" spans="1:22" ht="231.75" hidden="1" customHeight="1">
      <c r="A532" s="905"/>
      <c r="B532" s="906" t="s">
        <v>3772</v>
      </c>
      <c r="C532" s="921">
        <f>DATA!R1171</f>
        <v>11707.09</v>
      </c>
      <c r="D532" s="908" t="s">
        <v>1192</v>
      </c>
      <c r="E532" s="919"/>
      <c r="F532" s="1053">
        <f t="shared" si="84"/>
        <v>0</v>
      </c>
      <c r="G532" s="919"/>
      <c r="H532" s="914">
        <f t="shared" si="91"/>
        <v>0</v>
      </c>
      <c r="I532" s="919"/>
      <c r="J532" s="914">
        <f t="shared" si="92"/>
        <v>0</v>
      </c>
      <c r="K532" s="914"/>
      <c r="L532" s="914">
        <f t="shared" si="93"/>
        <v>0</v>
      </c>
      <c r="M532" s="919"/>
      <c r="N532" s="914">
        <f t="shared" si="94"/>
        <v>0</v>
      </c>
      <c r="O532" s="919"/>
      <c r="P532" s="914">
        <f t="shared" si="86"/>
        <v>0</v>
      </c>
      <c r="Q532" s="919"/>
      <c r="R532" s="914">
        <f t="shared" si="87"/>
        <v>0</v>
      </c>
      <c r="S532" s="919"/>
      <c r="T532" s="914">
        <f t="shared" si="88"/>
        <v>0</v>
      </c>
      <c r="U532" s="915">
        <f t="shared" si="90"/>
        <v>0</v>
      </c>
      <c r="V532" s="914">
        <f t="shared" si="89"/>
        <v>0</v>
      </c>
    </row>
    <row r="533" spans="1:22" ht="231.75" customHeight="1">
      <c r="A533" s="905">
        <v>6.2</v>
      </c>
      <c r="B533" s="924" t="s">
        <v>6636</v>
      </c>
      <c r="C533" s="1180">
        <f>DATA!AS73</f>
        <v>7053.64</v>
      </c>
      <c r="D533" s="908" t="s">
        <v>1192</v>
      </c>
      <c r="E533" s="914"/>
      <c r="F533" s="1053">
        <f t="shared" si="84"/>
        <v>0</v>
      </c>
      <c r="G533" s="914"/>
      <c r="H533" s="914">
        <f t="shared" si="91"/>
        <v>0</v>
      </c>
      <c r="I533" s="914"/>
      <c r="J533" s="914">
        <f t="shared" si="92"/>
        <v>0</v>
      </c>
      <c r="K533" s="914">
        <v>1.6</v>
      </c>
      <c r="L533" s="914">
        <f t="shared" si="93"/>
        <v>11285.82</v>
      </c>
      <c r="M533" s="914"/>
      <c r="N533" s="914">
        <f t="shared" si="94"/>
        <v>0</v>
      </c>
      <c r="O533" s="914"/>
      <c r="P533" s="914">
        <f t="shared" si="86"/>
        <v>0</v>
      </c>
      <c r="Q533" s="914">
        <v>5.46</v>
      </c>
      <c r="R533" s="914">
        <f t="shared" si="87"/>
        <v>38512.870000000003</v>
      </c>
      <c r="S533" s="914"/>
      <c r="T533" s="914">
        <f t="shared" si="88"/>
        <v>0</v>
      </c>
      <c r="U533" s="915">
        <f t="shared" si="90"/>
        <v>7.06</v>
      </c>
      <c r="V533" s="914">
        <f t="shared" si="89"/>
        <v>49798.7</v>
      </c>
    </row>
    <row r="534" spans="1:22" ht="231.75" customHeight="1">
      <c r="A534" s="905">
        <v>9.1999999999999993</v>
      </c>
      <c r="B534" s="924" t="s">
        <v>6637</v>
      </c>
      <c r="C534" s="1059"/>
      <c r="D534" s="908"/>
      <c r="E534" s="919"/>
      <c r="F534" s="1053">
        <f t="shared" si="84"/>
        <v>0</v>
      </c>
      <c r="G534" s="919"/>
      <c r="H534" s="914">
        <f t="shared" si="91"/>
        <v>0</v>
      </c>
      <c r="I534" s="919"/>
      <c r="J534" s="914">
        <f t="shared" si="92"/>
        <v>0</v>
      </c>
      <c r="K534" s="914"/>
      <c r="L534" s="914">
        <f t="shared" si="93"/>
        <v>0</v>
      </c>
      <c r="M534" s="919"/>
      <c r="N534" s="914">
        <f t="shared" si="94"/>
        <v>0</v>
      </c>
      <c r="O534" s="919"/>
      <c r="P534" s="914">
        <f t="shared" si="86"/>
        <v>0</v>
      </c>
      <c r="Q534" s="919"/>
      <c r="R534" s="914">
        <f t="shared" si="87"/>
        <v>0</v>
      </c>
      <c r="S534" s="919"/>
      <c r="T534" s="914">
        <f t="shared" si="88"/>
        <v>0</v>
      </c>
      <c r="U534" s="915">
        <f t="shared" si="90"/>
        <v>0</v>
      </c>
      <c r="V534" s="914">
        <f t="shared" si="89"/>
        <v>0</v>
      </c>
    </row>
    <row r="535" spans="1:22" ht="160.5" customHeight="1">
      <c r="A535" s="905"/>
      <c r="B535" s="906" t="s">
        <v>4723</v>
      </c>
      <c r="C535" s="1059">
        <v>7060.05</v>
      </c>
      <c r="D535" s="908" t="s">
        <v>1192</v>
      </c>
      <c r="E535" s="919"/>
      <c r="F535" s="1053">
        <f t="shared" si="84"/>
        <v>0</v>
      </c>
      <c r="G535" s="919"/>
      <c r="H535" s="914">
        <f t="shared" si="91"/>
        <v>0</v>
      </c>
      <c r="I535" s="919"/>
      <c r="J535" s="914">
        <f t="shared" si="92"/>
        <v>0</v>
      </c>
      <c r="K535" s="914"/>
      <c r="L535" s="914">
        <f t="shared" si="93"/>
        <v>0</v>
      </c>
      <c r="M535" s="919"/>
      <c r="N535" s="914">
        <f t="shared" si="94"/>
        <v>0</v>
      </c>
      <c r="O535" s="919"/>
      <c r="P535" s="914">
        <f t="shared" si="86"/>
        <v>0</v>
      </c>
      <c r="Q535" s="919"/>
      <c r="R535" s="914">
        <f t="shared" si="87"/>
        <v>0</v>
      </c>
      <c r="S535" s="919"/>
      <c r="T535" s="914">
        <f t="shared" si="88"/>
        <v>0</v>
      </c>
      <c r="U535" s="915">
        <f t="shared" si="90"/>
        <v>0</v>
      </c>
      <c r="V535" s="914">
        <f t="shared" si="89"/>
        <v>0</v>
      </c>
    </row>
    <row r="536" spans="1:22" ht="160.5" customHeight="1">
      <c r="A536" s="905"/>
      <c r="B536" s="906" t="s">
        <v>202</v>
      </c>
      <c r="C536" s="1059">
        <v>7219.25</v>
      </c>
      <c r="D536" s="908" t="s">
        <v>1192</v>
      </c>
      <c r="E536" s="919"/>
      <c r="F536" s="1053">
        <f t="shared" si="84"/>
        <v>0</v>
      </c>
      <c r="G536" s="919"/>
      <c r="H536" s="914">
        <f t="shared" si="91"/>
        <v>0</v>
      </c>
      <c r="I536" s="919"/>
      <c r="J536" s="914">
        <f t="shared" si="92"/>
        <v>0</v>
      </c>
      <c r="K536" s="914"/>
      <c r="L536" s="914">
        <f t="shared" si="93"/>
        <v>0</v>
      </c>
      <c r="M536" s="919"/>
      <c r="N536" s="914">
        <f t="shared" si="94"/>
        <v>0</v>
      </c>
      <c r="O536" s="919"/>
      <c r="P536" s="914">
        <f t="shared" si="86"/>
        <v>0</v>
      </c>
      <c r="Q536" s="919"/>
      <c r="R536" s="914">
        <f t="shared" si="87"/>
        <v>0</v>
      </c>
      <c r="S536" s="919"/>
      <c r="T536" s="914">
        <f t="shared" si="88"/>
        <v>0</v>
      </c>
      <c r="U536" s="915">
        <f t="shared" si="90"/>
        <v>0</v>
      </c>
      <c r="V536" s="914">
        <f t="shared" si="89"/>
        <v>0</v>
      </c>
    </row>
    <row r="537" spans="1:22" ht="231.75" hidden="1" customHeight="1">
      <c r="A537" s="905"/>
      <c r="B537" s="906" t="s">
        <v>203</v>
      </c>
      <c r="C537" s="921">
        <f>DATA!AS101</f>
        <v>7378.45</v>
      </c>
      <c r="D537" s="908" t="s">
        <v>1192</v>
      </c>
      <c r="E537" s="919"/>
      <c r="F537" s="1053">
        <f t="shared" si="84"/>
        <v>0</v>
      </c>
      <c r="G537" s="919"/>
      <c r="H537" s="914">
        <f t="shared" si="91"/>
        <v>0</v>
      </c>
      <c r="I537" s="919"/>
      <c r="J537" s="914">
        <f t="shared" si="92"/>
        <v>0</v>
      </c>
      <c r="K537" s="914"/>
      <c r="L537" s="914">
        <f t="shared" si="93"/>
        <v>0</v>
      </c>
      <c r="M537" s="919"/>
      <c r="N537" s="914">
        <f t="shared" si="94"/>
        <v>0</v>
      </c>
      <c r="O537" s="919"/>
      <c r="P537" s="914">
        <f t="shared" si="86"/>
        <v>0</v>
      </c>
      <c r="Q537" s="919"/>
      <c r="R537" s="914">
        <f t="shared" si="87"/>
        <v>0</v>
      </c>
      <c r="S537" s="919"/>
      <c r="T537" s="914">
        <f t="shared" si="88"/>
        <v>0</v>
      </c>
      <c r="U537" s="915">
        <f t="shared" si="90"/>
        <v>0</v>
      </c>
      <c r="V537" s="914">
        <f t="shared" si="89"/>
        <v>0</v>
      </c>
    </row>
    <row r="538" spans="1:22" ht="231.75" hidden="1" customHeight="1">
      <c r="A538" s="905"/>
      <c r="B538" s="906" t="s">
        <v>204</v>
      </c>
      <c r="C538" s="921">
        <f>DATA!AS102</f>
        <v>7537.65</v>
      </c>
      <c r="D538" s="908" t="s">
        <v>1192</v>
      </c>
      <c r="E538" s="919"/>
      <c r="F538" s="1053">
        <f t="shared" si="84"/>
        <v>0</v>
      </c>
      <c r="G538" s="919"/>
      <c r="H538" s="914">
        <f t="shared" si="91"/>
        <v>0</v>
      </c>
      <c r="I538" s="919"/>
      <c r="J538" s="914">
        <f t="shared" si="92"/>
        <v>0</v>
      </c>
      <c r="K538" s="914"/>
      <c r="L538" s="914">
        <f t="shared" si="93"/>
        <v>0</v>
      </c>
      <c r="M538" s="919"/>
      <c r="N538" s="914">
        <f t="shared" si="94"/>
        <v>0</v>
      </c>
      <c r="O538" s="919"/>
      <c r="P538" s="914">
        <f t="shared" si="86"/>
        <v>0</v>
      </c>
      <c r="Q538" s="919"/>
      <c r="R538" s="914">
        <f t="shared" si="87"/>
        <v>0</v>
      </c>
      <c r="S538" s="919"/>
      <c r="T538" s="914">
        <f t="shared" si="88"/>
        <v>0</v>
      </c>
      <c r="U538" s="915">
        <f t="shared" si="90"/>
        <v>0</v>
      </c>
      <c r="V538" s="914">
        <f t="shared" si="89"/>
        <v>0</v>
      </c>
    </row>
    <row r="539" spans="1:22" ht="231.75" hidden="1" customHeight="1">
      <c r="A539" s="905"/>
      <c r="B539" s="906" t="s">
        <v>603</v>
      </c>
      <c r="C539" s="921">
        <f>DATA!AS103</f>
        <v>7696.85</v>
      </c>
      <c r="D539" s="908" t="s">
        <v>1192</v>
      </c>
      <c r="E539" s="919"/>
      <c r="F539" s="1053">
        <f t="shared" si="84"/>
        <v>0</v>
      </c>
      <c r="G539" s="919"/>
      <c r="H539" s="914">
        <f t="shared" si="91"/>
        <v>0</v>
      </c>
      <c r="I539" s="919"/>
      <c r="J539" s="914">
        <f t="shared" si="92"/>
        <v>0</v>
      </c>
      <c r="K539" s="914"/>
      <c r="L539" s="914">
        <f t="shared" si="93"/>
        <v>0</v>
      </c>
      <c r="M539" s="919"/>
      <c r="N539" s="914">
        <f t="shared" si="94"/>
        <v>0</v>
      </c>
      <c r="O539" s="919"/>
      <c r="P539" s="914">
        <f t="shared" si="86"/>
        <v>0</v>
      </c>
      <c r="Q539" s="919"/>
      <c r="R539" s="914">
        <f t="shared" si="87"/>
        <v>0</v>
      </c>
      <c r="S539" s="919"/>
      <c r="T539" s="914">
        <f t="shared" si="88"/>
        <v>0</v>
      </c>
      <c r="U539" s="915">
        <f t="shared" si="90"/>
        <v>0</v>
      </c>
      <c r="V539" s="914">
        <f t="shared" si="89"/>
        <v>0</v>
      </c>
    </row>
    <row r="540" spans="1:22" ht="231.75" hidden="1" customHeight="1">
      <c r="A540" s="905"/>
      <c r="B540" s="906" t="s">
        <v>4687</v>
      </c>
      <c r="C540" s="921">
        <f>DATA!AS104</f>
        <v>7856.05</v>
      </c>
      <c r="D540" s="908" t="s">
        <v>1192</v>
      </c>
      <c r="E540" s="919"/>
      <c r="F540" s="1053">
        <f t="shared" si="84"/>
        <v>0</v>
      </c>
      <c r="G540" s="919"/>
      <c r="H540" s="914">
        <f t="shared" si="91"/>
        <v>0</v>
      </c>
      <c r="I540" s="919"/>
      <c r="J540" s="914">
        <f t="shared" si="92"/>
        <v>0</v>
      </c>
      <c r="K540" s="914"/>
      <c r="L540" s="914">
        <f t="shared" si="93"/>
        <v>0</v>
      </c>
      <c r="M540" s="919"/>
      <c r="N540" s="914">
        <f t="shared" si="94"/>
        <v>0</v>
      </c>
      <c r="O540" s="919"/>
      <c r="P540" s="914">
        <f t="shared" si="86"/>
        <v>0</v>
      </c>
      <c r="Q540" s="919"/>
      <c r="R540" s="914">
        <f t="shared" si="87"/>
        <v>0</v>
      </c>
      <c r="S540" s="919"/>
      <c r="T540" s="914">
        <f t="shared" si="88"/>
        <v>0</v>
      </c>
      <c r="U540" s="915">
        <f t="shared" si="90"/>
        <v>0</v>
      </c>
      <c r="V540" s="914">
        <f t="shared" si="89"/>
        <v>0</v>
      </c>
    </row>
    <row r="541" spans="1:22" ht="284.25" customHeight="1">
      <c r="A541" s="905">
        <v>10.199999999999999</v>
      </c>
      <c r="B541" s="924" t="s">
        <v>6638</v>
      </c>
      <c r="C541" s="921"/>
      <c r="D541" s="908"/>
      <c r="E541" s="919"/>
      <c r="F541" s="1053">
        <f t="shared" si="84"/>
        <v>0</v>
      </c>
      <c r="G541" s="919"/>
      <c r="H541" s="914">
        <f t="shared" si="91"/>
        <v>0</v>
      </c>
      <c r="I541" s="919"/>
      <c r="J541" s="914">
        <f t="shared" si="92"/>
        <v>0</v>
      </c>
      <c r="K541" s="914"/>
      <c r="L541" s="914">
        <f t="shared" si="93"/>
        <v>0</v>
      </c>
      <c r="M541" s="919"/>
      <c r="N541" s="914">
        <f t="shared" si="94"/>
        <v>0</v>
      </c>
      <c r="O541" s="919"/>
      <c r="P541" s="914">
        <f t="shared" si="86"/>
        <v>0</v>
      </c>
      <c r="Q541" s="919"/>
      <c r="R541" s="914">
        <f t="shared" si="87"/>
        <v>0</v>
      </c>
      <c r="S541" s="919"/>
      <c r="T541" s="914">
        <f t="shared" si="88"/>
        <v>0</v>
      </c>
      <c r="U541" s="915">
        <f t="shared" si="90"/>
        <v>0</v>
      </c>
      <c r="V541" s="914">
        <f t="shared" si="89"/>
        <v>0</v>
      </c>
    </row>
    <row r="542" spans="1:22" ht="160.5" customHeight="1">
      <c r="A542" s="905"/>
      <c r="B542" s="906" t="s">
        <v>4703</v>
      </c>
      <c r="C542" s="1059">
        <f>building!C543</f>
        <v>887.76</v>
      </c>
      <c r="D542" s="908" t="s">
        <v>2273</v>
      </c>
      <c r="E542" s="919"/>
      <c r="F542" s="1053">
        <f t="shared" si="84"/>
        <v>0</v>
      </c>
      <c r="G542" s="919"/>
      <c r="H542" s="914">
        <f t="shared" si="91"/>
        <v>0</v>
      </c>
      <c r="I542" s="919"/>
      <c r="J542" s="914">
        <f t="shared" si="92"/>
        <v>0</v>
      </c>
      <c r="K542" s="914"/>
      <c r="L542" s="914">
        <f t="shared" si="93"/>
        <v>0</v>
      </c>
      <c r="M542" s="919"/>
      <c r="N542" s="914">
        <f t="shared" si="94"/>
        <v>0</v>
      </c>
      <c r="O542" s="919"/>
      <c r="P542" s="914">
        <f t="shared" si="86"/>
        <v>0</v>
      </c>
      <c r="Q542" s="919">
        <v>15</v>
      </c>
      <c r="R542" s="914">
        <f t="shared" si="87"/>
        <v>13316.4</v>
      </c>
      <c r="S542" s="919"/>
      <c r="T542" s="914">
        <f t="shared" si="88"/>
        <v>0</v>
      </c>
      <c r="U542" s="915">
        <f t="shared" si="90"/>
        <v>15</v>
      </c>
      <c r="V542" s="914">
        <f t="shared" si="89"/>
        <v>13316.4</v>
      </c>
    </row>
    <row r="543" spans="1:22" ht="160.5" customHeight="1">
      <c r="A543" s="905"/>
      <c r="B543" s="906" t="s">
        <v>4724</v>
      </c>
      <c r="C543" s="1059">
        <f>building!C544</f>
        <v>896.44</v>
      </c>
      <c r="D543" s="908" t="s">
        <v>2273</v>
      </c>
      <c r="E543" s="919"/>
      <c r="F543" s="1053">
        <f t="shared" si="84"/>
        <v>0</v>
      </c>
      <c r="G543" s="919"/>
      <c r="H543" s="914">
        <f t="shared" si="91"/>
        <v>0</v>
      </c>
      <c r="I543" s="919"/>
      <c r="J543" s="914">
        <f t="shared" si="92"/>
        <v>0</v>
      </c>
      <c r="K543" s="914"/>
      <c r="L543" s="914">
        <f t="shared" si="93"/>
        <v>0</v>
      </c>
      <c r="M543" s="919"/>
      <c r="N543" s="914">
        <f t="shared" si="94"/>
        <v>0</v>
      </c>
      <c r="O543" s="919"/>
      <c r="P543" s="914">
        <f t="shared" si="86"/>
        <v>0</v>
      </c>
      <c r="Q543" s="919"/>
      <c r="R543" s="914">
        <f t="shared" si="87"/>
        <v>0</v>
      </c>
      <c r="S543" s="919"/>
      <c r="T543" s="914">
        <f t="shared" si="88"/>
        <v>0</v>
      </c>
      <c r="U543" s="915">
        <f t="shared" si="90"/>
        <v>0</v>
      </c>
      <c r="V543" s="914">
        <f t="shared" si="89"/>
        <v>0</v>
      </c>
    </row>
    <row r="544" spans="1:22" ht="160.5" customHeight="1">
      <c r="A544" s="905"/>
      <c r="B544" s="906" t="s">
        <v>544</v>
      </c>
      <c r="C544" s="1059">
        <f>building!C545</f>
        <v>913.95</v>
      </c>
      <c r="D544" s="908" t="s">
        <v>2273</v>
      </c>
      <c r="E544" s="919"/>
      <c r="F544" s="1053">
        <f t="shared" si="84"/>
        <v>0</v>
      </c>
      <c r="G544" s="919"/>
      <c r="H544" s="914">
        <f t="shared" si="91"/>
        <v>0</v>
      </c>
      <c r="I544" s="919"/>
      <c r="J544" s="914">
        <f t="shared" si="92"/>
        <v>0</v>
      </c>
      <c r="K544" s="914"/>
      <c r="L544" s="914">
        <f t="shared" si="93"/>
        <v>0</v>
      </c>
      <c r="M544" s="919"/>
      <c r="N544" s="914">
        <f t="shared" si="94"/>
        <v>0</v>
      </c>
      <c r="O544" s="919"/>
      <c r="P544" s="914">
        <f t="shared" si="86"/>
        <v>0</v>
      </c>
      <c r="Q544" s="919"/>
      <c r="R544" s="914">
        <f t="shared" si="87"/>
        <v>0</v>
      </c>
      <c r="S544" s="919"/>
      <c r="T544" s="914">
        <f t="shared" si="88"/>
        <v>0</v>
      </c>
      <c r="U544" s="915">
        <f t="shared" si="90"/>
        <v>0</v>
      </c>
      <c r="V544" s="914">
        <f t="shared" si="89"/>
        <v>0</v>
      </c>
    </row>
    <row r="545" spans="1:22" s="920" customFormat="1" ht="160.5" hidden="1" customHeight="1">
      <c r="A545" s="916"/>
      <c r="B545" s="906" t="s">
        <v>1798</v>
      </c>
      <c r="C545" s="921">
        <f>DATA!AS157</f>
        <v>931.46</v>
      </c>
      <c r="D545" s="908" t="s">
        <v>2273</v>
      </c>
      <c r="E545" s="919"/>
      <c r="F545" s="1053">
        <f t="shared" si="84"/>
        <v>0</v>
      </c>
      <c r="G545" s="919"/>
      <c r="H545" s="914">
        <f t="shared" si="91"/>
        <v>0</v>
      </c>
      <c r="I545" s="919"/>
      <c r="J545" s="914">
        <f t="shared" si="92"/>
        <v>0</v>
      </c>
      <c r="K545" s="914"/>
      <c r="L545" s="914">
        <f t="shared" si="93"/>
        <v>0</v>
      </c>
      <c r="M545" s="919"/>
      <c r="N545" s="914">
        <f t="shared" si="94"/>
        <v>0</v>
      </c>
      <c r="O545" s="919"/>
      <c r="P545" s="914">
        <f t="shared" si="86"/>
        <v>0</v>
      </c>
      <c r="Q545" s="919"/>
      <c r="R545" s="914">
        <f t="shared" si="87"/>
        <v>0</v>
      </c>
      <c r="S545" s="919"/>
      <c r="T545" s="914">
        <f t="shared" si="88"/>
        <v>0</v>
      </c>
      <c r="U545" s="915">
        <f t="shared" si="90"/>
        <v>0</v>
      </c>
      <c r="V545" s="914">
        <f t="shared" si="89"/>
        <v>0</v>
      </c>
    </row>
    <row r="546" spans="1:22" ht="160.5" hidden="1" customHeight="1">
      <c r="A546" s="905"/>
      <c r="B546" s="906" t="s">
        <v>2205</v>
      </c>
      <c r="C546" s="921">
        <f>DATA!AS158</f>
        <v>948.97</v>
      </c>
      <c r="D546" s="908" t="s">
        <v>2273</v>
      </c>
      <c r="E546" s="919"/>
      <c r="F546" s="1053">
        <f t="shared" si="84"/>
        <v>0</v>
      </c>
      <c r="G546" s="919"/>
      <c r="H546" s="914">
        <f t="shared" si="91"/>
        <v>0</v>
      </c>
      <c r="I546" s="919"/>
      <c r="J546" s="914">
        <f t="shared" si="92"/>
        <v>0</v>
      </c>
      <c r="K546" s="914"/>
      <c r="L546" s="914">
        <f t="shared" si="93"/>
        <v>0</v>
      </c>
      <c r="M546" s="919"/>
      <c r="N546" s="914">
        <f t="shared" si="94"/>
        <v>0</v>
      </c>
      <c r="O546" s="919"/>
      <c r="P546" s="914">
        <f t="shared" si="86"/>
        <v>0</v>
      </c>
      <c r="Q546" s="919"/>
      <c r="R546" s="914">
        <f t="shared" si="87"/>
        <v>0</v>
      </c>
      <c r="S546" s="919"/>
      <c r="T546" s="914">
        <f t="shared" si="88"/>
        <v>0</v>
      </c>
      <c r="U546" s="915">
        <f t="shared" si="90"/>
        <v>0</v>
      </c>
      <c r="V546" s="914">
        <f t="shared" si="89"/>
        <v>0</v>
      </c>
    </row>
    <row r="547" spans="1:22" ht="160.5" hidden="1" customHeight="1">
      <c r="A547" s="905"/>
      <c r="B547" s="906" t="s">
        <v>1060</v>
      </c>
      <c r="C547" s="921">
        <f>DATA!AS159</f>
        <v>966.48</v>
      </c>
      <c r="D547" s="908" t="s">
        <v>2273</v>
      </c>
      <c r="E547" s="919"/>
      <c r="F547" s="1053">
        <f t="shared" ref="F547:F610" si="95">E547*C547</f>
        <v>0</v>
      </c>
      <c r="G547" s="919"/>
      <c r="H547" s="914">
        <f t="shared" si="91"/>
        <v>0</v>
      </c>
      <c r="I547" s="919"/>
      <c r="J547" s="914">
        <f t="shared" si="92"/>
        <v>0</v>
      </c>
      <c r="K547" s="914"/>
      <c r="L547" s="914">
        <f t="shared" si="93"/>
        <v>0</v>
      </c>
      <c r="M547" s="919"/>
      <c r="N547" s="914">
        <f t="shared" si="94"/>
        <v>0</v>
      </c>
      <c r="O547" s="919"/>
      <c r="P547" s="914">
        <f t="shared" si="86"/>
        <v>0</v>
      </c>
      <c r="Q547" s="919"/>
      <c r="R547" s="914">
        <f t="shared" si="87"/>
        <v>0</v>
      </c>
      <c r="S547" s="919"/>
      <c r="T547" s="914">
        <f t="shared" si="88"/>
        <v>0</v>
      </c>
      <c r="U547" s="915">
        <f t="shared" si="90"/>
        <v>0</v>
      </c>
      <c r="V547" s="914">
        <f t="shared" si="89"/>
        <v>0</v>
      </c>
    </row>
    <row r="548" spans="1:22" ht="160.5" hidden="1" customHeight="1">
      <c r="A548" s="905"/>
      <c r="B548" s="906" t="s">
        <v>3547</v>
      </c>
      <c r="C548" s="921">
        <f>DATA!AS160</f>
        <v>0</v>
      </c>
      <c r="D548" s="908" t="s">
        <v>2273</v>
      </c>
      <c r="E548" s="919"/>
      <c r="F548" s="1053">
        <f t="shared" si="95"/>
        <v>0</v>
      </c>
      <c r="G548" s="919"/>
      <c r="H548" s="914">
        <f t="shared" si="91"/>
        <v>0</v>
      </c>
      <c r="I548" s="919"/>
      <c r="J548" s="914">
        <f t="shared" si="92"/>
        <v>0</v>
      </c>
      <c r="K548" s="914"/>
      <c r="L548" s="914">
        <f t="shared" si="93"/>
        <v>0</v>
      </c>
      <c r="M548" s="919"/>
      <c r="N548" s="914">
        <f t="shared" si="94"/>
        <v>0</v>
      </c>
      <c r="O548" s="919"/>
      <c r="P548" s="914">
        <f t="shared" si="86"/>
        <v>0</v>
      </c>
      <c r="Q548" s="919"/>
      <c r="R548" s="914">
        <f t="shared" si="87"/>
        <v>0</v>
      </c>
      <c r="S548" s="919"/>
      <c r="T548" s="914">
        <f t="shared" si="88"/>
        <v>0</v>
      </c>
      <c r="U548" s="915">
        <f t="shared" si="90"/>
        <v>0</v>
      </c>
      <c r="V548" s="914">
        <f t="shared" si="89"/>
        <v>0</v>
      </c>
    </row>
    <row r="549" spans="1:22" ht="160.5" hidden="1" customHeight="1">
      <c r="A549" s="905">
        <v>11.2</v>
      </c>
      <c r="B549" s="924" t="s">
        <v>6639</v>
      </c>
      <c r="C549" s="921"/>
      <c r="D549" s="908"/>
      <c r="E549" s="919"/>
      <c r="F549" s="1053">
        <f t="shared" si="95"/>
        <v>0</v>
      </c>
      <c r="G549" s="919"/>
      <c r="H549" s="914">
        <f t="shared" si="91"/>
        <v>0</v>
      </c>
      <c r="I549" s="919"/>
      <c r="J549" s="914">
        <f t="shared" si="92"/>
        <v>0</v>
      </c>
      <c r="K549" s="914"/>
      <c r="L549" s="914">
        <f t="shared" si="93"/>
        <v>0</v>
      </c>
      <c r="M549" s="919"/>
      <c r="N549" s="914">
        <f t="shared" si="94"/>
        <v>0</v>
      </c>
      <c r="O549" s="919"/>
      <c r="P549" s="914">
        <f t="shared" si="86"/>
        <v>0</v>
      </c>
      <c r="Q549" s="919"/>
      <c r="R549" s="914">
        <f t="shared" si="87"/>
        <v>0</v>
      </c>
      <c r="S549" s="919"/>
      <c r="T549" s="914">
        <f t="shared" si="88"/>
        <v>0</v>
      </c>
      <c r="U549" s="915">
        <f t="shared" si="90"/>
        <v>0</v>
      </c>
      <c r="V549" s="914">
        <f t="shared" si="89"/>
        <v>0</v>
      </c>
    </row>
    <row r="550" spans="1:22" ht="160.5" hidden="1" customHeight="1">
      <c r="A550" s="905"/>
      <c r="B550" s="906" t="s">
        <v>4723</v>
      </c>
      <c r="C550" s="921">
        <f>DATA!AS187</f>
        <v>606.79</v>
      </c>
      <c r="D550" s="908" t="s">
        <v>2273</v>
      </c>
      <c r="E550" s="919"/>
      <c r="F550" s="1053">
        <f t="shared" si="95"/>
        <v>0</v>
      </c>
      <c r="G550" s="919"/>
      <c r="H550" s="914">
        <f t="shared" si="91"/>
        <v>0</v>
      </c>
      <c r="I550" s="919"/>
      <c r="J550" s="914">
        <f t="shared" si="92"/>
        <v>0</v>
      </c>
      <c r="K550" s="914"/>
      <c r="L550" s="914">
        <f t="shared" si="93"/>
        <v>0</v>
      </c>
      <c r="M550" s="919"/>
      <c r="N550" s="914">
        <f t="shared" si="94"/>
        <v>0</v>
      </c>
      <c r="O550" s="919"/>
      <c r="P550" s="914">
        <f t="shared" si="86"/>
        <v>0</v>
      </c>
      <c r="Q550" s="919"/>
      <c r="R550" s="914">
        <f t="shared" si="87"/>
        <v>0</v>
      </c>
      <c r="S550" s="919"/>
      <c r="T550" s="914">
        <f t="shared" si="88"/>
        <v>0</v>
      </c>
      <c r="U550" s="915">
        <f t="shared" si="90"/>
        <v>0</v>
      </c>
      <c r="V550" s="914">
        <f t="shared" si="89"/>
        <v>0</v>
      </c>
    </row>
    <row r="551" spans="1:22" ht="160.5" hidden="1" customHeight="1">
      <c r="A551" s="905"/>
      <c r="B551" s="906" t="s">
        <v>202</v>
      </c>
      <c r="C551" s="921">
        <f>DATA!AS188</f>
        <v>617.92999999999995</v>
      </c>
      <c r="D551" s="908" t="s">
        <v>2273</v>
      </c>
      <c r="E551" s="919"/>
      <c r="F551" s="1053">
        <f t="shared" si="95"/>
        <v>0</v>
      </c>
      <c r="G551" s="919"/>
      <c r="H551" s="914">
        <f t="shared" si="91"/>
        <v>0</v>
      </c>
      <c r="I551" s="919"/>
      <c r="J551" s="914">
        <f t="shared" si="92"/>
        <v>0</v>
      </c>
      <c r="K551" s="914"/>
      <c r="L551" s="914">
        <f t="shared" si="93"/>
        <v>0</v>
      </c>
      <c r="M551" s="919"/>
      <c r="N551" s="914">
        <f t="shared" si="94"/>
        <v>0</v>
      </c>
      <c r="O551" s="919"/>
      <c r="P551" s="914">
        <f t="shared" si="86"/>
        <v>0</v>
      </c>
      <c r="Q551" s="919"/>
      <c r="R551" s="914">
        <f t="shared" si="87"/>
        <v>0</v>
      </c>
      <c r="S551" s="919"/>
      <c r="T551" s="914">
        <f t="shared" si="88"/>
        <v>0</v>
      </c>
      <c r="U551" s="915">
        <f t="shared" si="90"/>
        <v>0</v>
      </c>
      <c r="V551" s="914">
        <f t="shared" si="89"/>
        <v>0</v>
      </c>
    </row>
    <row r="552" spans="1:22" ht="160.5" hidden="1" customHeight="1">
      <c r="A552" s="905"/>
      <c r="B552" s="906" t="s">
        <v>203</v>
      </c>
      <c r="C552" s="921">
        <f>DATA!AS189</f>
        <v>629.07000000000005</v>
      </c>
      <c r="D552" s="908" t="s">
        <v>2273</v>
      </c>
      <c r="E552" s="919"/>
      <c r="F552" s="1053">
        <f t="shared" si="95"/>
        <v>0</v>
      </c>
      <c r="G552" s="919"/>
      <c r="H552" s="914">
        <f t="shared" si="91"/>
        <v>0</v>
      </c>
      <c r="I552" s="919"/>
      <c r="J552" s="914">
        <f t="shared" si="92"/>
        <v>0</v>
      </c>
      <c r="K552" s="914"/>
      <c r="L552" s="914">
        <f t="shared" si="93"/>
        <v>0</v>
      </c>
      <c r="M552" s="919"/>
      <c r="N552" s="914">
        <f t="shared" si="94"/>
        <v>0</v>
      </c>
      <c r="O552" s="919"/>
      <c r="P552" s="914">
        <f t="shared" si="86"/>
        <v>0</v>
      </c>
      <c r="Q552" s="919"/>
      <c r="R552" s="914">
        <f t="shared" si="87"/>
        <v>0</v>
      </c>
      <c r="S552" s="919"/>
      <c r="T552" s="914">
        <f t="shared" si="88"/>
        <v>0</v>
      </c>
      <c r="U552" s="915">
        <f t="shared" si="90"/>
        <v>0</v>
      </c>
      <c r="V552" s="914">
        <f t="shared" si="89"/>
        <v>0</v>
      </c>
    </row>
    <row r="553" spans="1:22" ht="160.5" hidden="1" customHeight="1">
      <c r="A553" s="905"/>
      <c r="B553" s="906" t="s">
        <v>204</v>
      </c>
      <c r="C553" s="921">
        <f>DATA!AS190</f>
        <v>640.21</v>
      </c>
      <c r="D553" s="908" t="s">
        <v>2273</v>
      </c>
      <c r="E553" s="919"/>
      <c r="F553" s="1053">
        <f t="shared" si="95"/>
        <v>0</v>
      </c>
      <c r="G553" s="919"/>
      <c r="H553" s="914">
        <f t="shared" si="91"/>
        <v>0</v>
      </c>
      <c r="I553" s="919"/>
      <c r="J553" s="914">
        <f t="shared" si="92"/>
        <v>0</v>
      </c>
      <c r="K553" s="914"/>
      <c r="L553" s="914">
        <f t="shared" si="93"/>
        <v>0</v>
      </c>
      <c r="M553" s="919"/>
      <c r="N553" s="914">
        <f t="shared" si="94"/>
        <v>0</v>
      </c>
      <c r="O553" s="919"/>
      <c r="P553" s="914">
        <f t="shared" si="86"/>
        <v>0</v>
      </c>
      <c r="Q553" s="919"/>
      <c r="R553" s="914">
        <f t="shared" si="87"/>
        <v>0</v>
      </c>
      <c r="S553" s="919"/>
      <c r="T553" s="914">
        <f t="shared" si="88"/>
        <v>0</v>
      </c>
      <c r="U553" s="915">
        <f t="shared" si="90"/>
        <v>0</v>
      </c>
      <c r="V553" s="914">
        <f t="shared" si="89"/>
        <v>0</v>
      </c>
    </row>
    <row r="554" spans="1:22" ht="160.5" hidden="1" customHeight="1">
      <c r="A554" s="905"/>
      <c r="B554" s="906" t="s">
        <v>603</v>
      </c>
      <c r="C554" s="921">
        <f>DATA!AS191</f>
        <v>651.35</v>
      </c>
      <c r="D554" s="908" t="s">
        <v>2273</v>
      </c>
      <c r="E554" s="919"/>
      <c r="F554" s="1053">
        <f t="shared" si="95"/>
        <v>0</v>
      </c>
      <c r="G554" s="919"/>
      <c r="H554" s="914">
        <f t="shared" si="91"/>
        <v>0</v>
      </c>
      <c r="I554" s="919"/>
      <c r="J554" s="914">
        <f t="shared" si="92"/>
        <v>0</v>
      </c>
      <c r="K554" s="914"/>
      <c r="L554" s="914">
        <f t="shared" si="93"/>
        <v>0</v>
      </c>
      <c r="M554" s="919"/>
      <c r="N554" s="914">
        <f t="shared" si="94"/>
        <v>0</v>
      </c>
      <c r="O554" s="919"/>
      <c r="P554" s="914">
        <f t="shared" si="86"/>
        <v>0</v>
      </c>
      <c r="Q554" s="919"/>
      <c r="R554" s="914">
        <f t="shared" si="87"/>
        <v>0</v>
      </c>
      <c r="S554" s="919"/>
      <c r="T554" s="914">
        <f t="shared" si="88"/>
        <v>0</v>
      </c>
      <c r="U554" s="915">
        <f t="shared" si="90"/>
        <v>0</v>
      </c>
      <c r="V554" s="914">
        <f t="shared" si="89"/>
        <v>0</v>
      </c>
    </row>
    <row r="555" spans="1:22" ht="160.5" hidden="1" customHeight="1">
      <c r="A555" s="905"/>
      <c r="B555" s="906" t="s">
        <v>3790</v>
      </c>
      <c r="C555" s="921">
        <f>DATA!K3515</f>
        <v>3847.25</v>
      </c>
      <c r="D555" s="908" t="s">
        <v>2142</v>
      </c>
      <c r="E555" s="919"/>
      <c r="F555" s="1053">
        <f t="shared" si="95"/>
        <v>0</v>
      </c>
      <c r="G555" s="919"/>
      <c r="H555" s="914">
        <f t="shared" si="91"/>
        <v>0</v>
      </c>
      <c r="I555" s="919"/>
      <c r="J555" s="914">
        <f t="shared" si="92"/>
        <v>0</v>
      </c>
      <c r="K555" s="914"/>
      <c r="L555" s="914">
        <f t="shared" si="93"/>
        <v>0</v>
      </c>
      <c r="M555" s="919"/>
      <c r="N555" s="914">
        <f t="shared" si="94"/>
        <v>0</v>
      </c>
      <c r="O555" s="919"/>
      <c r="P555" s="914">
        <f t="shared" si="86"/>
        <v>0</v>
      </c>
      <c r="Q555" s="919"/>
      <c r="R555" s="914">
        <f t="shared" si="87"/>
        <v>0</v>
      </c>
      <c r="S555" s="919"/>
      <c r="T555" s="914">
        <f t="shared" si="88"/>
        <v>0</v>
      </c>
      <c r="U555" s="915">
        <f t="shared" si="90"/>
        <v>0</v>
      </c>
      <c r="V555" s="914">
        <f t="shared" si="89"/>
        <v>0</v>
      </c>
    </row>
    <row r="556" spans="1:22" ht="160.5" hidden="1" customHeight="1">
      <c r="A556" s="905"/>
      <c r="B556" s="931" t="s">
        <v>4369</v>
      </c>
      <c r="C556" s="921">
        <f>DATA!R154</f>
        <v>505.3</v>
      </c>
      <c r="D556" s="908" t="s">
        <v>1192</v>
      </c>
      <c r="E556" s="914"/>
      <c r="F556" s="1053">
        <f t="shared" si="95"/>
        <v>0</v>
      </c>
      <c r="G556" s="914"/>
      <c r="H556" s="914">
        <f t="shared" si="91"/>
        <v>0</v>
      </c>
      <c r="I556" s="914"/>
      <c r="J556" s="914">
        <f t="shared" si="92"/>
        <v>0</v>
      </c>
      <c r="K556" s="914"/>
      <c r="L556" s="914">
        <f t="shared" si="93"/>
        <v>0</v>
      </c>
      <c r="M556" s="914"/>
      <c r="N556" s="914">
        <f t="shared" si="94"/>
        <v>0</v>
      </c>
      <c r="O556" s="914"/>
      <c r="P556" s="914">
        <f t="shared" si="86"/>
        <v>0</v>
      </c>
      <c r="Q556" s="914"/>
      <c r="R556" s="914">
        <f t="shared" si="87"/>
        <v>0</v>
      </c>
      <c r="S556" s="914"/>
      <c r="T556" s="914">
        <f t="shared" si="88"/>
        <v>0</v>
      </c>
      <c r="U556" s="915">
        <f t="shared" si="90"/>
        <v>0</v>
      </c>
      <c r="V556" s="914">
        <f t="shared" si="89"/>
        <v>0</v>
      </c>
    </row>
    <row r="557" spans="1:22" ht="160.5" customHeight="1">
      <c r="A557" s="943"/>
      <c r="B557" s="906" t="s">
        <v>3683</v>
      </c>
      <c r="C557" s="913">
        <f>DATA!K1442</f>
        <v>278.27999999999997</v>
      </c>
      <c r="D557" s="908" t="s">
        <v>2273</v>
      </c>
      <c r="E557" s="914"/>
      <c r="F557" s="1053">
        <f t="shared" si="95"/>
        <v>0</v>
      </c>
      <c r="G557" s="914"/>
      <c r="H557" s="914">
        <f t="shared" si="91"/>
        <v>0</v>
      </c>
      <c r="I557" s="914"/>
      <c r="J557" s="914">
        <f t="shared" si="92"/>
        <v>0</v>
      </c>
      <c r="K557" s="914"/>
      <c r="L557" s="914">
        <f t="shared" si="93"/>
        <v>0</v>
      </c>
      <c r="M557" s="914"/>
      <c r="N557" s="914">
        <f t="shared" si="94"/>
        <v>0</v>
      </c>
      <c r="O557" s="914"/>
      <c r="P557" s="914">
        <f t="shared" si="86"/>
        <v>0</v>
      </c>
      <c r="Q557" s="914"/>
      <c r="R557" s="914">
        <f t="shared" si="87"/>
        <v>0</v>
      </c>
      <c r="S557" s="914">
        <v>25.95</v>
      </c>
      <c r="T557" s="914">
        <f t="shared" si="88"/>
        <v>7221.37</v>
      </c>
      <c r="U557" s="915">
        <f t="shared" si="90"/>
        <v>25.95</v>
      </c>
      <c r="V557" s="914">
        <f t="shared" si="89"/>
        <v>7221.37</v>
      </c>
    </row>
    <row r="558" spans="1:22" s="955" customFormat="1" ht="186.75" customHeight="1">
      <c r="A558" s="954"/>
      <c r="B558" s="906" t="s">
        <v>3681</v>
      </c>
      <c r="C558" s="906">
        <f>DATA!R144</f>
        <v>427.95</v>
      </c>
      <c r="D558" s="908" t="s">
        <v>2142</v>
      </c>
      <c r="E558" s="914"/>
      <c r="F558" s="1053">
        <f t="shared" si="95"/>
        <v>0</v>
      </c>
      <c r="G558" s="914"/>
      <c r="H558" s="914">
        <f t="shared" si="91"/>
        <v>0</v>
      </c>
      <c r="I558" s="914"/>
      <c r="J558" s="914">
        <f t="shared" si="92"/>
        <v>0</v>
      </c>
      <c r="K558" s="914"/>
      <c r="L558" s="914">
        <f t="shared" si="93"/>
        <v>0</v>
      </c>
      <c r="M558" s="914"/>
      <c r="N558" s="914">
        <f t="shared" si="94"/>
        <v>0</v>
      </c>
      <c r="O558" s="914"/>
      <c r="P558" s="914">
        <f t="shared" si="86"/>
        <v>0</v>
      </c>
      <c r="Q558" s="914"/>
      <c r="R558" s="914">
        <f t="shared" si="87"/>
        <v>0</v>
      </c>
      <c r="S558" s="914"/>
      <c r="T558" s="914">
        <f t="shared" si="88"/>
        <v>0</v>
      </c>
      <c r="U558" s="915">
        <f t="shared" si="90"/>
        <v>0</v>
      </c>
      <c r="V558" s="914">
        <f t="shared" si="89"/>
        <v>0</v>
      </c>
    </row>
    <row r="559" spans="1:22" s="920" customFormat="1" ht="231.75" hidden="1" customHeight="1">
      <c r="A559" s="956"/>
      <c r="B559" s="917" t="s">
        <v>6640</v>
      </c>
      <c r="C559" s="922">
        <f>DATA!K368</f>
        <v>6953.83</v>
      </c>
      <c r="D559" s="898" t="s">
        <v>2142</v>
      </c>
      <c r="E559" s="919"/>
      <c r="F559" s="1053">
        <f t="shared" si="95"/>
        <v>0</v>
      </c>
      <c r="G559" s="919"/>
      <c r="H559" s="914">
        <f t="shared" si="91"/>
        <v>0</v>
      </c>
      <c r="I559" s="919"/>
      <c r="J559" s="914">
        <f t="shared" si="92"/>
        <v>0</v>
      </c>
      <c r="K559" s="914"/>
      <c r="L559" s="914">
        <f t="shared" si="93"/>
        <v>0</v>
      </c>
      <c r="M559" s="919"/>
      <c r="N559" s="914">
        <f t="shared" si="94"/>
        <v>0</v>
      </c>
      <c r="O559" s="919"/>
      <c r="P559" s="914">
        <f t="shared" si="86"/>
        <v>0</v>
      </c>
      <c r="Q559" s="919"/>
      <c r="R559" s="914">
        <f t="shared" si="87"/>
        <v>0</v>
      </c>
      <c r="S559" s="919"/>
      <c r="T559" s="914">
        <f t="shared" si="88"/>
        <v>0</v>
      </c>
      <c r="U559" s="915">
        <f t="shared" si="90"/>
        <v>0</v>
      </c>
      <c r="V559" s="914">
        <f t="shared" si="89"/>
        <v>0</v>
      </c>
    </row>
    <row r="560" spans="1:22" ht="231.75" hidden="1" customHeight="1">
      <c r="A560" s="952"/>
      <c r="B560" s="906" t="s">
        <v>6641</v>
      </c>
      <c r="C560" s="921">
        <f>DATA!K369</f>
        <v>7113.03</v>
      </c>
      <c r="D560" s="908" t="s">
        <v>2142</v>
      </c>
      <c r="E560" s="919"/>
      <c r="F560" s="1053">
        <f t="shared" si="95"/>
        <v>0</v>
      </c>
      <c r="G560" s="919"/>
      <c r="H560" s="914">
        <f t="shared" si="91"/>
        <v>0</v>
      </c>
      <c r="I560" s="919"/>
      <c r="J560" s="914">
        <f t="shared" si="92"/>
        <v>0</v>
      </c>
      <c r="K560" s="914"/>
      <c r="L560" s="914">
        <f t="shared" si="93"/>
        <v>0</v>
      </c>
      <c r="M560" s="919"/>
      <c r="N560" s="914">
        <f t="shared" si="94"/>
        <v>0</v>
      </c>
      <c r="O560" s="919"/>
      <c r="P560" s="914">
        <f t="shared" si="86"/>
        <v>0</v>
      </c>
      <c r="Q560" s="919"/>
      <c r="R560" s="914">
        <f t="shared" si="87"/>
        <v>0</v>
      </c>
      <c r="S560" s="919"/>
      <c r="T560" s="914">
        <f t="shared" si="88"/>
        <v>0</v>
      </c>
      <c r="U560" s="915">
        <f t="shared" si="90"/>
        <v>0</v>
      </c>
      <c r="V560" s="914">
        <f t="shared" si="89"/>
        <v>0</v>
      </c>
    </row>
    <row r="561" spans="1:22" s="920" customFormat="1" ht="231.75" hidden="1" customHeight="1">
      <c r="A561" s="956"/>
      <c r="B561" s="917" t="s">
        <v>6642</v>
      </c>
      <c r="C561" s="922">
        <f>DATA!$K$370</f>
        <v>7272.23</v>
      </c>
      <c r="D561" s="898" t="s">
        <v>2142</v>
      </c>
      <c r="E561" s="919"/>
      <c r="F561" s="1053">
        <f t="shared" si="95"/>
        <v>0</v>
      </c>
      <c r="G561" s="919"/>
      <c r="H561" s="914">
        <f t="shared" si="91"/>
        <v>0</v>
      </c>
      <c r="I561" s="919"/>
      <c r="J561" s="914">
        <f t="shared" si="92"/>
        <v>0</v>
      </c>
      <c r="K561" s="914"/>
      <c r="L561" s="914">
        <f t="shared" si="93"/>
        <v>0</v>
      </c>
      <c r="M561" s="919"/>
      <c r="N561" s="914">
        <f t="shared" si="94"/>
        <v>0</v>
      </c>
      <c r="O561" s="919"/>
      <c r="P561" s="914">
        <f t="shared" si="86"/>
        <v>0</v>
      </c>
      <c r="Q561" s="919"/>
      <c r="R561" s="914">
        <f t="shared" si="87"/>
        <v>0</v>
      </c>
      <c r="S561" s="919"/>
      <c r="T561" s="914">
        <f t="shared" si="88"/>
        <v>0</v>
      </c>
      <c r="U561" s="915">
        <f t="shared" si="90"/>
        <v>0</v>
      </c>
      <c r="V561" s="914">
        <f t="shared" si="89"/>
        <v>0</v>
      </c>
    </row>
    <row r="562" spans="1:22" s="920" customFormat="1" ht="231.75" hidden="1" customHeight="1">
      <c r="A562" s="956"/>
      <c r="B562" s="917" t="s">
        <v>6643</v>
      </c>
      <c r="C562" s="922">
        <f>DATA!K371</f>
        <v>7431.43</v>
      </c>
      <c r="D562" s="898" t="s">
        <v>2142</v>
      </c>
      <c r="E562" s="919"/>
      <c r="F562" s="1053">
        <f t="shared" si="95"/>
        <v>0</v>
      </c>
      <c r="G562" s="919"/>
      <c r="H562" s="914">
        <f t="shared" si="91"/>
        <v>0</v>
      </c>
      <c r="I562" s="919"/>
      <c r="J562" s="914">
        <f t="shared" si="92"/>
        <v>0</v>
      </c>
      <c r="K562" s="914"/>
      <c r="L562" s="914">
        <f t="shared" si="93"/>
        <v>0</v>
      </c>
      <c r="M562" s="919"/>
      <c r="N562" s="914">
        <f t="shared" si="94"/>
        <v>0</v>
      </c>
      <c r="O562" s="919"/>
      <c r="P562" s="914">
        <f t="shared" si="86"/>
        <v>0</v>
      </c>
      <c r="Q562" s="919"/>
      <c r="R562" s="914">
        <f t="shared" si="87"/>
        <v>0</v>
      </c>
      <c r="S562" s="919"/>
      <c r="T562" s="914">
        <f t="shared" si="88"/>
        <v>0</v>
      </c>
      <c r="U562" s="915">
        <f t="shared" si="90"/>
        <v>0</v>
      </c>
      <c r="V562" s="914">
        <f t="shared" si="89"/>
        <v>0</v>
      </c>
    </row>
    <row r="563" spans="1:22" ht="231.75" hidden="1" customHeight="1">
      <c r="A563" s="931"/>
      <c r="B563" s="906" t="s">
        <v>6644</v>
      </c>
      <c r="C563" s="921">
        <f>DATA!X88</f>
        <v>161.1</v>
      </c>
      <c r="D563" s="908"/>
      <c r="E563" s="919"/>
      <c r="F563" s="1053">
        <f t="shared" si="95"/>
        <v>0</v>
      </c>
      <c r="G563" s="919"/>
      <c r="H563" s="914">
        <f t="shared" si="91"/>
        <v>0</v>
      </c>
      <c r="I563" s="919"/>
      <c r="J563" s="914">
        <f t="shared" si="92"/>
        <v>0</v>
      </c>
      <c r="K563" s="914"/>
      <c r="L563" s="914">
        <f t="shared" si="93"/>
        <v>0</v>
      </c>
      <c r="M563" s="919"/>
      <c r="N563" s="914">
        <f t="shared" si="94"/>
        <v>0</v>
      </c>
      <c r="O563" s="919"/>
      <c r="P563" s="914">
        <f t="shared" si="86"/>
        <v>0</v>
      </c>
      <c r="Q563" s="919"/>
      <c r="R563" s="914">
        <f t="shared" si="87"/>
        <v>0</v>
      </c>
      <c r="S563" s="919"/>
      <c r="T563" s="914">
        <f t="shared" si="88"/>
        <v>0</v>
      </c>
      <c r="U563" s="915">
        <f t="shared" si="90"/>
        <v>0</v>
      </c>
      <c r="V563" s="914">
        <f t="shared" si="89"/>
        <v>0</v>
      </c>
    </row>
    <row r="564" spans="1:22" ht="231.75" hidden="1" customHeight="1">
      <c r="A564" s="931"/>
      <c r="B564" s="906" t="s">
        <v>6645</v>
      </c>
      <c r="C564" s="921">
        <f>DATA!X118</f>
        <v>74.849999999999994</v>
      </c>
      <c r="D564" s="908"/>
      <c r="E564" s="919"/>
      <c r="F564" s="1053">
        <f t="shared" si="95"/>
        <v>0</v>
      </c>
      <c r="G564" s="919"/>
      <c r="H564" s="914">
        <f t="shared" si="91"/>
        <v>0</v>
      </c>
      <c r="I564" s="919"/>
      <c r="J564" s="914">
        <f t="shared" si="92"/>
        <v>0</v>
      </c>
      <c r="K564" s="914"/>
      <c r="L564" s="914">
        <f t="shared" si="93"/>
        <v>0</v>
      </c>
      <c r="M564" s="919"/>
      <c r="N564" s="914">
        <f t="shared" si="94"/>
        <v>0</v>
      </c>
      <c r="O564" s="919"/>
      <c r="P564" s="914">
        <f t="shared" ref="P564:P627" si="96">O564*C564</f>
        <v>0</v>
      </c>
      <c r="Q564" s="919"/>
      <c r="R564" s="914">
        <f t="shared" ref="R564:R627" si="97">Q564*C564</f>
        <v>0</v>
      </c>
      <c r="S564" s="919"/>
      <c r="T564" s="914">
        <f t="shared" ref="T564:T627" si="98">S564*C564</f>
        <v>0</v>
      </c>
      <c r="U564" s="915">
        <f t="shared" si="90"/>
        <v>0</v>
      </c>
      <c r="V564" s="914">
        <f t="shared" si="89"/>
        <v>0</v>
      </c>
    </row>
    <row r="565" spans="1:22" ht="231.75" hidden="1" customHeight="1">
      <c r="A565" s="931"/>
      <c r="B565" s="906" t="s">
        <v>6646</v>
      </c>
      <c r="C565" s="921">
        <f>DATA!X133</f>
        <v>112.28</v>
      </c>
      <c r="D565" s="908"/>
      <c r="E565" s="919"/>
      <c r="F565" s="1053">
        <f t="shared" si="95"/>
        <v>0</v>
      </c>
      <c r="G565" s="919"/>
      <c r="H565" s="914">
        <f t="shared" si="91"/>
        <v>0</v>
      </c>
      <c r="I565" s="919"/>
      <c r="J565" s="914">
        <f t="shared" si="92"/>
        <v>0</v>
      </c>
      <c r="K565" s="914"/>
      <c r="L565" s="914">
        <f t="shared" si="93"/>
        <v>0</v>
      </c>
      <c r="M565" s="919"/>
      <c r="N565" s="914">
        <f t="shared" si="94"/>
        <v>0</v>
      </c>
      <c r="O565" s="919"/>
      <c r="P565" s="914">
        <f t="shared" si="96"/>
        <v>0</v>
      </c>
      <c r="Q565" s="919"/>
      <c r="R565" s="914">
        <f t="shared" si="97"/>
        <v>0</v>
      </c>
      <c r="S565" s="919"/>
      <c r="T565" s="914">
        <f t="shared" si="98"/>
        <v>0</v>
      </c>
      <c r="U565" s="915">
        <f t="shared" si="90"/>
        <v>0</v>
      </c>
      <c r="V565" s="914">
        <f t="shared" si="89"/>
        <v>0</v>
      </c>
    </row>
    <row r="566" spans="1:22" ht="231.75" hidden="1" customHeight="1">
      <c r="A566" s="905">
        <v>8.4</v>
      </c>
      <c r="B566" s="924" t="s">
        <v>231</v>
      </c>
      <c r="C566" s="921"/>
      <c r="D566" s="908"/>
      <c r="E566" s="919"/>
      <c r="F566" s="1053">
        <f t="shared" si="95"/>
        <v>0</v>
      </c>
      <c r="G566" s="919"/>
      <c r="H566" s="914">
        <f t="shared" si="91"/>
        <v>0</v>
      </c>
      <c r="I566" s="919"/>
      <c r="J566" s="914">
        <f t="shared" si="92"/>
        <v>0</v>
      </c>
      <c r="K566" s="914"/>
      <c r="L566" s="914">
        <f t="shared" si="93"/>
        <v>0</v>
      </c>
      <c r="M566" s="919"/>
      <c r="N566" s="914">
        <f t="shared" si="94"/>
        <v>0</v>
      </c>
      <c r="O566" s="919"/>
      <c r="P566" s="914">
        <f t="shared" si="96"/>
        <v>0</v>
      </c>
      <c r="Q566" s="919"/>
      <c r="R566" s="914">
        <f t="shared" si="97"/>
        <v>0</v>
      </c>
      <c r="S566" s="919"/>
      <c r="T566" s="914">
        <f t="shared" si="98"/>
        <v>0</v>
      </c>
      <c r="U566" s="915">
        <f t="shared" si="90"/>
        <v>0</v>
      </c>
      <c r="V566" s="914">
        <f t="shared" si="89"/>
        <v>0</v>
      </c>
    </row>
    <row r="567" spans="1:22" ht="231.75" hidden="1" customHeight="1">
      <c r="A567" s="905"/>
      <c r="B567" s="906" t="s">
        <v>2119</v>
      </c>
      <c r="C567" s="921">
        <f>ROUND(DATA!K2911,2)</f>
        <v>7527.2</v>
      </c>
      <c r="D567" s="908" t="s">
        <v>2142</v>
      </c>
      <c r="E567" s="919"/>
      <c r="F567" s="1053">
        <f t="shared" si="95"/>
        <v>0</v>
      </c>
      <c r="G567" s="919"/>
      <c r="H567" s="914">
        <f t="shared" si="91"/>
        <v>0</v>
      </c>
      <c r="I567" s="919"/>
      <c r="J567" s="914">
        <f t="shared" si="92"/>
        <v>0</v>
      </c>
      <c r="K567" s="914"/>
      <c r="L567" s="914">
        <f t="shared" si="93"/>
        <v>0</v>
      </c>
      <c r="M567" s="919"/>
      <c r="N567" s="914">
        <f t="shared" si="94"/>
        <v>0</v>
      </c>
      <c r="O567" s="919"/>
      <c r="P567" s="914">
        <f t="shared" si="96"/>
        <v>0</v>
      </c>
      <c r="Q567" s="919"/>
      <c r="R567" s="914">
        <f t="shared" si="97"/>
        <v>0</v>
      </c>
      <c r="S567" s="919"/>
      <c r="T567" s="914">
        <f t="shared" si="98"/>
        <v>0</v>
      </c>
      <c r="U567" s="915">
        <f t="shared" si="90"/>
        <v>0</v>
      </c>
      <c r="V567" s="914">
        <f t="shared" si="89"/>
        <v>0</v>
      </c>
    </row>
    <row r="568" spans="1:22" ht="231.75" hidden="1" customHeight="1">
      <c r="A568" s="905"/>
      <c r="B568" s="906" t="s">
        <v>2120</v>
      </c>
      <c r="C568" s="921">
        <f>ROUND(DATA!K2913,2)</f>
        <v>7647.05</v>
      </c>
      <c r="D568" s="908" t="s">
        <v>2142</v>
      </c>
      <c r="E568" s="919"/>
      <c r="F568" s="1053">
        <f t="shared" si="95"/>
        <v>0</v>
      </c>
      <c r="G568" s="919"/>
      <c r="H568" s="914">
        <f t="shared" si="91"/>
        <v>0</v>
      </c>
      <c r="I568" s="919"/>
      <c r="J568" s="914">
        <f t="shared" si="92"/>
        <v>0</v>
      </c>
      <c r="K568" s="914"/>
      <c r="L568" s="914">
        <f t="shared" si="93"/>
        <v>0</v>
      </c>
      <c r="M568" s="919"/>
      <c r="N568" s="914">
        <f t="shared" si="94"/>
        <v>0</v>
      </c>
      <c r="O568" s="919"/>
      <c r="P568" s="914">
        <f t="shared" si="96"/>
        <v>0</v>
      </c>
      <c r="Q568" s="919"/>
      <c r="R568" s="914">
        <f t="shared" si="97"/>
        <v>0</v>
      </c>
      <c r="S568" s="919"/>
      <c r="T568" s="914">
        <f t="shared" si="98"/>
        <v>0</v>
      </c>
      <c r="U568" s="915">
        <f t="shared" si="90"/>
        <v>0</v>
      </c>
      <c r="V568" s="914">
        <f t="shared" si="89"/>
        <v>0</v>
      </c>
    </row>
    <row r="569" spans="1:22" ht="231.75" hidden="1" customHeight="1">
      <c r="A569" s="905"/>
      <c r="B569" s="906" t="s">
        <v>2121</v>
      </c>
      <c r="C569" s="921">
        <f>ROUND(DATA!K2914,2)</f>
        <v>7883.15</v>
      </c>
      <c r="D569" s="908" t="s">
        <v>2142</v>
      </c>
      <c r="E569" s="919"/>
      <c r="F569" s="1053">
        <f t="shared" si="95"/>
        <v>0</v>
      </c>
      <c r="G569" s="919"/>
      <c r="H569" s="914">
        <f t="shared" si="91"/>
        <v>0</v>
      </c>
      <c r="I569" s="919"/>
      <c r="J569" s="914">
        <f t="shared" si="92"/>
        <v>0</v>
      </c>
      <c r="K569" s="914"/>
      <c r="L569" s="914">
        <f t="shared" si="93"/>
        <v>0</v>
      </c>
      <c r="M569" s="919"/>
      <c r="N569" s="914">
        <f t="shared" si="94"/>
        <v>0</v>
      </c>
      <c r="O569" s="919"/>
      <c r="P569" s="914">
        <f t="shared" si="96"/>
        <v>0</v>
      </c>
      <c r="Q569" s="919"/>
      <c r="R569" s="914">
        <f t="shared" si="97"/>
        <v>0</v>
      </c>
      <c r="S569" s="919"/>
      <c r="T569" s="914">
        <f t="shared" si="98"/>
        <v>0</v>
      </c>
      <c r="U569" s="915">
        <f t="shared" si="90"/>
        <v>0</v>
      </c>
      <c r="V569" s="914">
        <f t="shared" si="89"/>
        <v>0</v>
      </c>
    </row>
    <row r="570" spans="1:22" ht="231.75" hidden="1" customHeight="1">
      <c r="A570" s="931"/>
      <c r="B570" s="906" t="s">
        <v>2122</v>
      </c>
      <c r="C570" s="921">
        <f>ROUND(DATA!K2915,2)</f>
        <v>8119.25</v>
      </c>
      <c r="D570" s="908" t="s">
        <v>2142</v>
      </c>
      <c r="E570" s="919"/>
      <c r="F570" s="1053">
        <f t="shared" si="95"/>
        <v>0</v>
      </c>
      <c r="G570" s="919"/>
      <c r="H570" s="914">
        <f t="shared" si="91"/>
        <v>0</v>
      </c>
      <c r="I570" s="919"/>
      <c r="J570" s="914">
        <f t="shared" si="92"/>
        <v>0</v>
      </c>
      <c r="K570" s="914"/>
      <c r="L570" s="914">
        <f t="shared" si="93"/>
        <v>0</v>
      </c>
      <c r="M570" s="919"/>
      <c r="N570" s="914">
        <f t="shared" si="94"/>
        <v>0</v>
      </c>
      <c r="O570" s="919"/>
      <c r="P570" s="914">
        <f t="shared" si="96"/>
        <v>0</v>
      </c>
      <c r="Q570" s="919"/>
      <c r="R570" s="914">
        <f t="shared" si="97"/>
        <v>0</v>
      </c>
      <c r="S570" s="919"/>
      <c r="T570" s="914">
        <f t="shared" si="98"/>
        <v>0</v>
      </c>
      <c r="U570" s="915">
        <f t="shared" si="90"/>
        <v>0</v>
      </c>
      <c r="V570" s="914">
        <f t="shared" si="89"/>
        <v>0</v>
      </c>
    </row>
    <row r="571" spans="1:22" ht="231.75" hidden="1" customHeight="1">
      <c r="A571" s="905">
        <v>8.5</v>
      </c>
      <c r="B571" s="924" t="s">
        <v>1684</v>
      </c>
      <c r="C571" s="921"/>
      <c r="D571" s="908"/>
      <c r="E571" s="919"/>
      <c r="F571" s="1053">
        <f t="shared" si="95"/>
        <v>0</v>
      </c>
      <c r="G571" s="919"/>
      <c r="H571" s="914">
        <f t="shared" si="91"/>
        <v>0</v>
      </c>
      <c r="I571" s="919"/>
      <c r="J571" s="914">
        <f t="shared" si="92"/>
        <v>0</v>
      </c>
      <c r="K571" s="914"/>
      <c r="L571" s="914">
        <f t="shared" si="93"/>
        <v>0</v>
      </c>
      <c r="M571" s="919"/>
      <c r="N571" s="914">
        <f t="shared" si="94"/>
        <v>0</v>
      </c>
      <c r="O571" s="919"/>
      <c r="P571" s="914">
        <f t="shared" si="96"/>
        <v>0</v>
      </c>
      <c r="Q571" s="919"/>
      <c r="R571" s="914">
        <f t="shared" si="97"/>
        <v>0</v>
      </c>
      <c r="S571" s="919"/>
      <c r="T571" s="914">
        <f t="shared" si="98"/>
        <v>0</v>
      </c>
      <c r="U571" s="915">
        <f t="shared" si="90"/>
        <v>0</v>
      </c>
      <c r="V571" s="914">
        <f t="shared" si="89"/>
        <v>0</v>
      </c>
    </row>
    <row r="572" spans="1:22" ht="231.75" hidden="1" customHeight="1">
      <c r="A572" s="905"/>
      <c r="B572" s="906" t="s">
        <v>232</v>
      </c>
      <c r="C572" s="921">
        <f>ROUND(DATA!K2931,2)</f>
        <v>695.39</v>
      </c>
      <c r="D572" s="908" t="s">
        <v>823</v>
      </c>
      <c r="E572" s="919"/>
      <c r="F572" s="1053">
        <f t="shared" si="95"/>
        <v>0</v>
      </c>
      <c r="G572" s="919"/>
      <c r="H572" s="914">
        <f t="shared" si="91"/>
        <v>0</v>
      </c>
      <c r="I572" s="919"/>
      <c r="J572" s="914">
        <f t="shared" si="92"/>
        <v>0</v>
      </c>
      <c r="K572" s="914"/>
      <c r="L572" s="914">
        <f t="shared" si="93"/>
        <v>0</v>
      </c>
      <c r="M572" s="919"/>
      <c r="N572" s="914">
        <f t="shared" si="94"/>
        <v>0</v>
      </c>
      <c r="O572" s="919"/>
      <c r="P572" s="914">
        <f t="shared" si="96"/>
        <v>0</v>
      </c>
      <c r="Q572" s="919"/>
      <c r="R572" s="914">
        <f t="shared" si="97"/>
        <v>0</v>
      </c>
      <c r="S572" s="919"/>
      <c r="T572" s="914">
        <f t="shared" si="98"/>
        <v>0</v>
      </c>
      <c r="U572" s="915">
        <f t="shared" si="90"/>
        <v>0</v>
      </c>
      <c r="V572" s="914">
        <f t="shared" si="89"/>
        <v>0</v>
      </c>
    </row>
    <row r="573" spans="1:22" ht="231.75" hidden="1" customHeight="1">
      <c r="A573" s="905"/>
      <c r="B573" s="906" t="s">
        <v>233</v>
      </c>
      <c r="C573" s="921">
        <f>ROUND(DATA!K2940,2)</f>
        <v>699.44</v>
      </c>
      <c r="D573" s="908" t="s">
        <v>823</v>
      </c>
      <c r="E573" s="919"/>
      <c r="F573" s="1053">
        <f t="shared" si="95"/>
        <v>0</v>
      </c>
      <c r="G573" s="919"/>
      <c r="H573" s="914">
        <f t="shared" si="91"/>
        <v>0</v>
      </c>
      <c r="I573" s="919"/>
      <c r="J573" s="914">
        <f t="shared" si="92"/>
        <v>0</v>
      </c>
      <c r="K573" s="914"/>
      <c r="L573" s="914">
        <f t="shared" si="93"/>
        <v>0</v>
      </c>
      <c r="M573" s="919"/>
      <c r="N573" s="914">
        <f t="shared" si="94"/>
        <v>0</v>
      </c>
      <c r="O573" s="919"/>
      <c r="P573" s="914">
        <f t="shared" si="96"/>
        <v>0</v>
      </c>
      <c r="Q573" s="919"/>
      <c r="R573" s="914">
        <f t="shared" si="97"/>
        <v>0</v>
      </c>
      <c r="S573" s="919"/>
      <c r="T573" s="914">
        <f t="shared" si="98"/>
        <v>0</v>
      </c>
      <c r="U573" s="915">
        <f t="shared" si="90"/>
        <v>0</v>
      </c>
      <c r="V573" s="914">
        <f t="shared" si="89"/>
        <v>0</v>
      </c>
    </row>
    <row r="574" spans="1:22" ht="231.75" hidden="1" customHeight="1">
      <c r="A574" s="905"/>
      <c r="B574" s="906" t="s">
        <v>234</v>
      </c>
      <c r="C574" s="921">
        <f>ROUND(DATA!K2950,2)</f>
        <v>703.49</v>
      </c>
      <c r="D574" s="908" t="s">
        <v>823</v>
      </c>
      <c r="E574" s="919"/>
      <c r="F574" s="1053">
        <f t="shared" si="95"/>
        <v>0</v>
      </c>
      <c r="G574" s="919"/>
      <c r="H574" s="914">
        <f t="shared" si="91"/>
        <v>0</v>
      </c>
      <c r="I574" s="919"/>
      <c r="J574" s="914">
        <f t="shared" si="92"/>
        <v>0</v>
      </c>
      <c r="K574" s="914"/>
      <c r="L574" s="914">
        <f t="shared" si="93"/>
        <v>0</v>
      </c>
      <c r="M574" s="919"/>
      <c r="N574" s="914">
        <f t="shared" si="94"/>
        <v>0</v>
      </c>
      <c r="O574" s="919"/>
      <c r="P574" s="914">
        <f t="shared" si="96"/>
        <v>0</v>
      </c>
      <c r="Q574" s="919"/>
      <c r="R574" s="914">
        <f t="shared" si="97"/>
        <v>0</v>
      </c>
      <c r="S574" s="919"/>
      <c r="T574" s="914">
        <f t="shared" si="98"/>
        <v>0</v>
      </c>
      <c r="U574" s="915">
        <f t="shared" si="90"/>
        <v>0</v>
      </c>
      <c r="V574" s="914">
        <f t="shared" si="89"/>
        <v>0</v>
      </c>
    </row>
    <row r="575" spans="1:22" ht="231.75" hidden="1" customHeight="1">
      <c r="A575" s="931"/>
      <c r="B575" s="924" t="s">
        <v>4475</v>
      </c>
      <c r="C575" s="957"/>
      <c r="D575" s="957"/>
      <c r="E575" s="919"/>
      <c r="F575" s="1053">
        <f t="shared" si="95"/>
        <v>0</v>
      </c>
      <c r="G575" s="919"/>
      <c r="H575" s="914">
        <f t="shared" si="91"/>
        <v>0</v>
      </c>
      <c r="I575" s="919"/>
      <c r="J575" s="914">
        <f t="shared" si="92"/>
        <v>0</v>
      </c>
      <c r="K575" s="914"/>
      <c r="L575" s="914">
        <f t="shared" si="93"/>
        <v>0</v>
      </c>
      <c r="M575" s="919"/>
      <c r="N575" s="914">
        <f t="shared" si="94"/>
        <v>0</v>
      </c>
      <c r="O575" s="919"/>
      <c r="P575" s="914">
        <f t="shared" si="96"/>
        <v>0</v>
      </c>
      <c r="Q575" s="919"/>
      <c r="R575" s="914">
        <f t="shared" si="97"/>
        <v>0</v>
      </c>
      <c r="S575" s="919"/>
      <c r="T575" s="914">
        <f t="shared" si="98"/>
        <v>0</v>
      </c>
      <c r="U575" s="915">
        <f t="shared" si="90"/>
        <v>0</v>
      </c>
      <c r="V575" s="914">
        <f t="shared" si="89"/>
        <v>0</v>
      </c>
    </row>
    <row r="576" spans="1:22" ht="231.75" hidden="1" customHeight="1">
      <c r="A576" s="931"/>
      <c r="B576" s="924" t="s">
        <v>4116</v>
      </c>
      <c r="C576" s="906">
        <f>'pile data '!F17</f>
        <v>3302.27</v>
      </c>
      <c r="D576" s="906" t="s">
        <v>823</v>
      </c>
      <c r="E576" s="919"/>
      <c r="F576" s="1053">
        <f t="shared" si="95"/>
        <v>0</v>
      </c>
      <c r="G576" s="919"/>
      <c r="H576" s="914">
        <f t="shared" si="91"/>
        <v>0</v>
      </c>
      <c r="I576" s="919"/>
      <c r="J576" s="914">
        <f t="shared" si="92"/>
        <v>0</v>
      </c>
      <c r="K576" s="914"/>
      <c r="L576" s="914">
        <f t="shared" si="93"/>
        <v>0</v>
      </c>
      <c r="M576" s="919"/>
      <c r="N576" s="914">
        <f t="shared" si="94"/>
        <v>0</v>
      </c>
      <c r="O576" s="919"/>
      <c r="P576" s="914">
        <f t="shared" si="96"/>
        <v>0</v>
      </c>
      <c r="Q576" s="919"/>
      <c r="R576" s="914">
        <f t="shared" si="97"/>
        <v>0</v>
      </c>
      <c r="S576" s="919"/>
      <c r="T576" s="914">
        <f t="shared" si="98"/>
        <v>0</v>
      </c>
      <c r="U576" s="915">
        <f t="shared" si="90"/>
        <v>0</v>
      </c>
      <c r="V576" s="914">
        <f t="shared" si="89"/>
        <v>0</v>
      </c>
    </row>
    <row r="577" spans="1:22" ht="231.75" hidden="1" customHeight="1">
      <c r="A577" s="931"/>
      <c r="B577" s="924" t="s">
        <v>4117</v>
      </c>
      <c r="C577" s="906">
        <f>'pile data '!F81</f>
        <v>4150.28</v>
      </c>
      <c r="D577" s="906" t="s">
        <v>823</v>
      </c>
      <c r="E577" s="919"/>
      <c r="F577" s="1053">
        <f t="shared" si="95"/>
        <v>0</v>
      </c>
      <c r="G577" s="919"/>
      <c r="H577" s="914">
        <f t="shared" si="91"/>
        <v>0</v>
      </c>
      <c r="I577" s="919"/>
      <c r="J577" s="914">
        <f t="shared" si="92"/>
        <v>0</v>
      </c>
      <c r="K577" s="914"/>
      <c r="L577" s="914">
        <f t="shared" si="93"/>
        <v>0</v>
      </c>
      <c r="M577" s="919"/>
      <c r="N577" s="914">
        <f t="shared" si="94"/>
        <v>0</v>
      </c>
      <c r="O577" s="919"/>
      <c r="P577" s="914">
        <f t="shared" si="96"/>
        <v>0</v>
      </c>
      <c r="Q577" s="919"/>
      <c r="R577" s="914">
        <f t="shared" si="97"/>
        <v>0</v>
      </c>
      <c r="S577" s="919"/>
      <c r="T577" s="914">
        <f t="shared" si="98"/>
        <v>0</v>
      </c>
      <c r="U577" s="915">
        <f t="shared" si="90"/>
        <v>0</v>
      </c>
      <c r="V577" s="914">
        <f t="shared" si="89"/>
        <v>0</v>
      </c>
    </row>
    <row r="578" spans="1:22" ht="231.75" hidden="1" customHeight="1">
      <c r="A578" s="905"/>
      <c r="B578" s="924" t="s">
        <v>4118</v>
      </c>
      <c r="C578" s="906">
        <f>'pile data '!F141</f>
        <v>2524.2600000000002</v>
      </c>
      <c r="D578" s="906" t="s">
        <v>823</v>
      </c>
      <c r="E578" s="919"/>
      <c r="F578" s="1053">
        <f t="shared" si="95"/>
        <v>0</v>
      </c>
      <c r="G578" s="919"/>
      <c r="H578" s="914">
        <f t="shared" si="91"/>
        <v>0</v>
      </c>
      <c r="I578" s="919"/>
      <c r="J578" s="914">
        <f t="shared" si="92"/>
        <v>0</v>
      </c>
      <c r="K578" s="914"/>
      <c r="L578" s="914">
        <f t="shared" si="93"/>
        <v>0</v>
      </c>
      <c r="M578" s="919"/>
      <c r="N578" s="914">
        <f t="shared" si="94"/>
        <v>0</v>
      </c>
      <c r="O578" s="919"/>
      <c r="P578" s="914">
        <f t="shared" si="96"/>
        <v>0</v>
      </c>
      <c r="Q578" s="919"/>
      <c r="R578" s="914">
        <f t="shared" si="97"/>
        <v>0</v>
      </c>
      <c r="S578" s="919"/>
      <c r="T578" s="914">
        <f t="shared" si="98"/>
        <v>0</v>
      </c>
      <c r="U578" s="915">
        <f t="shared" si="90"/>
        <v>0</v>
      </c>
      <c r="V578" s="914">
        <f t="shared" si="89"/>
        <v>0</v>
      </c>
    </row>
    <row r="579" spans="1:22" ht="231.75" hidden="1" customHeight="1">
      <c r="A579" s="905"/>
      <c r="B579" s="958" t="s">
        <v>4476</v>
      </c>
      <c r="C579" s="921"/>
      <c r="D579" s="908"/>
      <c r="E579" s="919"/>
      <c r="F579" s="1053">
        <f t="shared" si="95"/>
        <v>0</v>
      </c>
      <c r="G579" s="919"/>
      <c r="H579" s="914">
        <f t="shared" si="91"/>
        <v>0</v>
      </c>
      <c r="I579" s="919"/>
      <c r="J579" s="914">
        <f t="shared" si="92"/>
        <v>0</v>
      </c>
      <c r="K579" s="914"/>
      <c r="L579" s="914">
        <f t="shared" si="93"/>
        <v>0</v>
      </c>
      <c r="M579" s="919"/>
      <c r="N579" s="914">
        <f t="shared" si="94"/>
        <v>0</v>
      </c>
      <c r="O579" s="919"/>
      <c r="P579" s="914">
        <f t="shared" si="96"/>
        <v>0</v>
      </c>
      <c r="Q579" s="919"/>
      <c r="R579" s="914">
        <f t="shared" si="97"/>
        <v>0</v>
      </c>
      <c r="S579" s="919"/>
      <c r="T579" s="914">
        <f t="shared" si="98"/>
        <v>0</v>
      </c>
      <c r="U579" s="915">
        <f t="shared" si="90"/>
        <v>0</v>
      </c>
      <c r="V579" s="914">
        <f t="shared" si="89"/>
        <v>0</v>
      </c>
    </row>
    <row r="580" spans="1:22" ht="231.75" hidden="1" customHeight="1">
      <c r="A580" s="905"/>
      <c r="B580" s="924" t="s">
        <v>4116</v>
      </c>
      <c r="C580" s="959">
        <f>'pile data '!F17</f>
        <v>3302.27</v>
      </c>
      <c r="D580" s="960" t="s">
        <v>823</v>
      </c>
      <c r="E580" s="919"/>
      <c r="F580" s="1053">
        <f t="shared" si="95"/>
        <v>0</v>
      </c>
      <c r="G580" s="919"/>
      <c r="H580" s="914">
        <f t="shared" si="91"/>
        <v>0</v>
      </c>
      <c r="I580" s="919"/>
      <c r="J580" s="914">
        <f t="shared" si="92"/>
        <v>0</v>
      </c>
      <c r="K580" s="914"/>
      <c r="L580" s="914">
        <f t="shared" si="93"/>
        <v>0</v>
      </c>
      <c r="M580" s="919"/>
      <c r="N580" s="914">
        <f t="shared" si="94"/>
        <v>0</v>
      </c>
      <c r="O580" s="919"/>
      <c r="P580" s="914">
        <f t="shared" si="96"/>
        <v>0</v>
      </c>
      <c r="Q580" s="919"/>
      <c r="R580" s="914">
        <f t="shared" si="97"/>
        <v>0</v>
      </c>
      <c r="S580" s="919"/>
      <c r="T580" s="914">
        <f t="shared" si="98"/>
        <v>0</v>
      </c>
      <c r="U580" s="915">
        <f t="shared" si="90"/>
        <v>0</v>
      </c>
      <c r="V580" s="914">
        <f t="shared" si="89"/>
        <v>0</v>
      </c>
    </row>
    <row r="581" spans="1:22" ht="231.75" hidden="1" customHeight="1">
      <c r="A581" s="905"/>
      <c r="B581" s="924" t="s">
        <v>4117</v>
      </c>
      <c r="C581" s="921">
        <f>'pile data '!F92</f>
        <v>1813.89</v>
      </c>
      <c r="D581" s="908"/>
      <c r="E581" s="919"/>
      <c r="F581" s="1053">
        <f t="shared" si="95"/>
        <v>0</v>
      </c>
      <c r="G581" s="919"/>
      <c r="H581" s="914">
        <f t="shared" si="91"/>
        <v>0</v>
      </c>
      <c r="I581" s="919"/>
      <c r="J581" s="914">
        <f t="shared" si="92"/>
        <v>0</v>
      </c>
      <c r="K581" s="914"/>
      <c r="L581" s="914">
        <f t="shared" si="93"/>
        <v>0</v>
      </c>
      <c r="M581" s="919"/>
      <c r="N581" s="914">
        <f t="shared" si="94"/>
        <v>0</v>
      </c>
      <c r="O581" s="919"/>
      <c r="P581" s="914">
        <f t="shared" si="96"/>
        <v>0</v>
      </c>
      <c r="Q581" s="919"/>
      <c r="R581" s="914">
        <f t="shared" si="97"/>
        <v>0</v>
      </c>
      <c r="S581" s="919"/>
      <c r="T581" s="914">
        <f t="shared" si="98"/>
        <v>0</v>
      </c>
      <c r="U581" s="915">
        <f t="shared" si="90"/>
        <v>0</v>
      </c>
      <c r="V581" s="914">
        <f t="shared" si="89"/>
        <v>0</v>
      </c>
    </row>
    <row r="582" spans="1:22" ht="231.75" hidden="1" customHeight="1">
      <c r="A582" s="905"/>
      <c r="B582" s="924" t="s">
        <v>4118</v>
      </c>
      <c r="C582" s="959">
        <f>'pile data '!F152</f>
        <v>816.25</v>
      </c>
      <c r="D582" s="960" t="s">
        <v>823</v>
      </c>
      <c r="E582" s="919"/>
      <c r="F582" s="1053">
        <f t="shared" si="95"/>
        <v>0</v>
      </c>
      <c r="G582" s="919"/>
      <c r="H582" s="914">
        <f t="shared" si="91"/>
        <v>0</v>
      </c>
      <c r="I582" s="919"/>
      <c r="J582" s="914">
        <f t="shared" si="92"/>
        <v>0</v>
      </c>
      <c r="K582" s="914"/>
      <c r="L582" s="914">
        <f t="shared" si="93"/>
        <v>0</v>
      </c>
      <c r="M582" s="919"/>
      <c r="N582" s="914">
        <f t="shared" si="94"/>
        <v>0</v>
      </c>
      <c r="O582" s="919"/>
      <c r="P582" s="914">
        <f t="shared" si="96"/>
        <v>0</v>
      </c>
      <c r="Q582" s="919"/>
      <c r="R582" s="914">
        <f t="shared" si="97"/>
        <v>0</v>
      </c>
      <c r="S582" s="919"/>
      <c r="T582" s="914">
        <f t="shared" si="98"/>
        <v>0</v>
      </c>
      <c r="U582" s="915">
        <f t="shared" si="90"/>
        <v>0</v>
      </c>
      <c r="V582" s="914">
        <f t="shared" ref="V582:V645" si="99">U582*C582</f>
        <v>0</v>
      </c>
    </row>
    <row r="583" spans="1:22" ht="231.75" hidden="1" customHeight="1">
      <c r="A583" s="905"/>
      <c r="B583" s="958" t="s">
        <v>3770</v>
      </c>
      <c r="C583" s="959">
        <v>70000</v>
      </c>
      <c r="D583" s="961" t="s">
        <v>1427</v>
      </c>
      <c r="E583" s="919"/>
      <c r="F583" s="1053">
        <f t="shared" si="95"/>
        <v>0</v>
      </c>
      <c r="G583" s="919"/>
      <c r="H583" s="914">
        <f t="shared" si="91"/>
        <v>0</v>
      </c>
      <c r="I583" s="919"/>
      <c r="J583" s="914">
        <f t="shared" si="92"/>
        <v>0</v>
      </c>
      <c r="K583" s="914"/>
      <c r="L583" s="914">
        <f t="shared" si="93"/>
        <v>0</v>
      </c>
      <c r="M583" s="919"/>
      <c r="N583" s="914">
        <f t="shared" si="94"/>
        <v>0</v>
      </c>
      <c r="O583" s="919"/>
      <c r="P583" s="914">
        <f t="shared" si="96"/>
        <v>0</v>
      </c>
      <c r="Q583" s="919"/>
      <c r="R583" s="914">
        <f t="shared" si="97"/>
        <v>0</v>
      </c>
      <c r="S583" s="919"/>
      <c r="T583" s="914">
        <f t="shared" si="98"/>
        <v>0</v>
      </c>
      <c r="U583" s="915">
        <f t="shared" si="90"/>
        <v>0</v>
      </c>
      <c r="V583" s="914">
        <f t="shared" si="99"/>
        <v>0</v>
      </c>
    </row>
    <row r="584" spans="1:22" ht="231.75" hidden="1" customHeight="1">
      <c r="A584" s="905"/>
      <c r="B584" s="958" t="s">
        <v>3771</v>
      </c>
      <c r="C584" s="959">
        <v>50000</v>
      </c>
      <c r="D584" s="961" t="s">
        <v>279</v>
      </c>
      <c r="E584" s="919"/>
      <c r="F584" s="1053">
        <f t="shared" si="95"/>
        <v>0</v>
      </c>
      <c r="G584" s="919"/>
      <c r="H584" s="914">
        <f t="shared" si="91"/>
        <v>0</v>
      </c>
      <c r="I584" s="919"/>
      <c r="J584" s="914">
        <f t="shared" si="92"/>
        <v>0</v>
      </c>
      <c r="K584" s="914"/>
      <c r="L584" s="914">
        <f t="shared" si="93"/>
        <v>0</v>
      </c>
      <c r="M584" s="919"/>
      <c r="N584" s="914">
        <f t="shared" si="94"/>
        <v>0</v>
      </c>
      <c r="O584" s="919"/>
      <c r="P584" s="914">
        <f t="shared" si="96"/>
        <v>0</v>
      </c>
      <c r="Q584" s="919"/>
      <c r="R584" s="914">
        <f t="shared" si="97"/>
        <v>0</v>
      </c>
      <c r="S584" s="919"/>
      <c r="T584" s="914">
        <f t="shared" si="98"/>
        <v>0</v>
      </c>
      <c r="U584" s="915">
        <f t="shared" si="90"/>
        <v>0</v>
      </c>
      <c r="V584" s="914">
        <f t="shared" si="99"/>
        <v>0</v>
      </c>
    </row>
    <row r="585" spans="1:22" ht="231.75" hidden="1" customHeight="1">
      <c r="A585" s="905"/>
      <c r="B585" s="958" t="s">
        <v>3774</v>
      </c>
      <c r="C585" s="959">
        <f>DATA!K2448</f>
        <v>766.92</v>
      </c>
      <c r="D585" s="961" t="s">
        <v>2273</v>
      </c>
      <c r="E585" s="919"/>
      <c r="F585" s="1053">
        <f t="shared" si="95"/>
        <v>0</v>
      </c>
      <c r="G585" s="919"/>
      <c r="H585" s="914">
        <f t="shared" si="91"/>
        <v>0</v>
      </c>
      <c r="I585" s="919"/>
      <c r="J585" s="914">
        <f t="shared" si="92"/>
        <v>0</v>
      </c>
      <c r="K585" s="914"/>
      <c r="L585" s="914">
        <f t="shared" si="93"/>
        <v>0</v>
      </c>
      <c r="M585" s="919"/>
      <c r="N585" s="914">
        <f t="shared" si="94"/>
        <v>0</v>
      </c>
      <c r="O585" s="919"/>
      <c r="P585" s="914">
        <f t="shared" si="96"/>
        <v>0</v>
      </c>
      <c r="Q585" s="919"/>
      <c r="R585" s="914">
        <f t="shared" si="97"/>
        <v>0</v>
      </c>
      <c r="S585" s="919"/>
      <c r="T585" s="914">
        <f t="shared" si="98"/>
        <v>0</v>
      </c>
      <c r="U585" s="915">
        <f t="shared" si="90"/>
        <v>0</v>
      </c>
      <c r="V585" s="914">
        <f t="shared" si="99"/>
        <v>0</v>
      </c>
    </row>
    <row r="586" spans="1:22" ht="231.75" customHeight="1">
      <c r="A586" s="958">
        <v>3.8</v>
      </c>
      <c r="B586" s="949" t="s">
        <v>4371</v>
      </c>
      <c r="C586" s="949">
        <f>DATA!R204</f>
        <v>6057.95</v>
      </c>
      <c r="D586" s="961" t="s">
        <v>2142</v>
      </c>
      <c r="E586" s="919"/>
      <c r="F586" s="1053">
        <f t="shared" si="95"/>
        <v>0</v>
      </c>
      <c r="G586" s="919"/>
      <c r="H586" s="914">
        <f t="shared" si="91"/>
        <v>0</v>
      </c>
      <c r="I586" s="919"/>
      <c r="J586" s="914">
        <f t="shared" si="92"/>
        <v>0</v>
      </c>
      <c r="K586" s="914"/>
      <c r="L586" s="914">
        <f t="shared" si="93"/>
        <v>0</v>
      </c>
      <c r="M586" s="919"/>
      <c r="N586" s="914">
        <f t="shared" si="94"/>
        <v>0</v>
      </c>
      <c r="O586" s="919"/>
      <c r="P586" s="914">
        <f t="shared" si="96"/>
        <v>0</v>
      </c>
      <c r="Q586" s="919"/>
      <c r="R586" s="914">
        <f t="shared" si="97"/>
        <v>0</v>
      </c>
      <c r="S586" s="919"/>
      <c r="T586" s="914">
        <f t="shared" si="98"/>
        <v>0</v>
      </c>
      <c r="U586" s="915">
        <f t="shared" si="90"/>
        <v>0</v>
      </c>
      <c r="V586" s="914">
        <f t="shared" si="99"/>
        <v>0</v>
      </c>
    </row>
    <row r="587" spans="1:22" ht="231.75" customHeight="1">
      <c r="A587" s="958">
        <v>3.3</v>
      </c>
      <c r="B587" s="949" t="s">
        <v>4370</v>
      </c>
      <c r="C587" s="949">
        <f>DATA!R240</f>
        <v>5354.51</v>
      </c>
      <c r="D587" s="961" t="s">
        <v>2142</v>
      </c>
      <c r="E587" s="919"/>
      <c r="F587" s="1053">
        <f t="shared" si="95"/>
        <v>0</v>
      </c>
      <c r="G587" s="919"/>
      <c r="H587" s="914">
        <f t="shared" si="91"/>
        <v>0</v>
      </c>
      <c r="I587" s="919"/>
      <c r="J587" s="914">
        <f t="shared" si="92"/>
        <v>0</v>
      </c>
      <c r="K587" s="914"/>
      <c r="L587" s="914">
        <f t="shared" si="93"/>
        <v>0</v>
      </c>
      <c r="M587" s="919"/>
      <c r="N587" s="914">
        <f t="shared" si="94"/>
        <v>0</v>
      </c>
      <c r="O587" s="919"/>
      <c r="P587" s="914">
        <f t="shared" si="96"/>
        <v>0</v>
      </c>
      <c r="Q587" s="919"/>
      <c r="R587" s="914">
        <f t="shared" si="97"/>
        <v>0</v>
      </c>
      <c r="S587" s="919"/>
      <c r="T587" s="914">
        <f t="shared" si="98"/>
        <v>0</v>
      </c>
      <c r="U587" s="915">
        <f t="shared" si="90"/>
        <v>0</v>
      </c>
      <c r="V587" s="914">
        <f t="shared" si="99"/>
        <v>0</v>
      </c>
    </row>
    <row r="588" spans="1:22" ht="231.75" customHeight="1">
      <c r="A588" s="958"/>
      <c r="B588" s="949" t="s">
        <v>3506</v>
      </c>
      <c r="C588" s="949">
        <f>DATA!X204</f>
        <v>5680.67</v>
      </c>
      <c r="D588" s="961" t="s">
        <v>2142</v>
      </c>
      <c r="E588" s="919"/>
      <c r="F588" s="1053">
        <f t="shared" si="95"/>
        <v>0</v>
      </c>
      <c r="G588" s="919"/>
      <c r="H588" s="914">
        <f t="shared" si="91"/>
        <v>0</v>
      </c>
      <c r="I588" s="919"/>
      <c r="J588" s="914">
        <f t="shared" si="92"/>
        <v>0</v>
      </c>
      <c r="K588" s="914"/>
      <c r="L588" s="914">
        <f t="shared" si="93"/>
        <v>0</v>
      </c>
      <c r="M588" s="919">
        <v>7.49</v>
      </c>
      <c r="N588" s="914">
        <f t="shared" si="94"/>
        <v>42548.22</v>
      </c>
      <c r="O588" s="919"/>
      <c r="P588" s="914">
        <f t="shared" si="96"/>
        <v>0</v>
      </c>
      <c r="Q588" s="919"/>
      <c r="R588" s="914">
        <f t="shared" si="97"/>
        <v>0</v>
      </c>
      <c r="S588" s="919"/>
      <c r="T588" s="914">
        <f t="shared" si="98"/>
        <v>0</v>
      </c>
      <c r="U588" s="915">
        <f t="shared" si="90"/>
        <v>7.49</v>
      </c>
      <c r="V588" s="914">
        <f t="shared" si="99"/>
        <v>42548.22</v>
      </c>
    </row>
    <row r="589" spans="1:22" ht="138" customHeight="1">
      <c r="A589" s="905">
        <v>18.100000000000001</v>
      </c>
      <c r="B589" s="924" t="s">
        <v>197</v>
      </c>
      <c r="C589" s="913"/>
      <c r="D589" s="908"/>
      <c r="E589" s="911"/>
      <c r="F589" s="1053">
        <f t="shared" si="95"/>
        <v>0</v>
      </c>
      <c r="G589" s="914"/>
      <c r="H589" s="914">
        <f t="shared" si="91"/>
        <v>0</v>
      </c>
      <c r="I589" s="914"/>
      <c r="J589" s="914">
        <f t="shared" si="92"/>
        <v>0</v>
      </c>
      <c r="K589" s="914"/>
      <c r="L589" s="914">
        <f t="shared" si="93"/>
        <v>0</v>
      </c>
      <c r="M589" s="914"/>
      <c r="N589" s="914">
        <f t="shared" si="94"/>
        <v>0</v>
      </c>
      <c r="O589" s="914"/>
      <c r="P589" s="914">
        <f t="shared" si="96"/>
        <v>0</v>
      </c>
      <c r="Q589" s="914"/>
      <c r="R589" s="914">
        <f t="shared" si="97"/>
        <v>0</v>
      </c>
      <c r="S589" s="914"/>
      <c r="T589" s="914">
        <f t="shared" si="98"/>
        <v>0</v>
      </c>
      <c r="U589" s="915">
        <f t="shared" si="90"/>
        <v>0</v>
      </c>
      <c r="V589" s="914">
        <f t="shared" si="99"/>
        <v>0</v>
      </c>
    </row>
    <row r="590" spans="1:22" ht="231.75" customHeight="1">
      <c r="A590" s="905"/>
      <c r="B590" s="906" t="s">
        <v>1819</v>
      </c>
      <c r="C590" s="913">
        <f>ROUND(DATA!I2354,2)</f>
        <v>848.08</v>
      </c>
      <c r="D590" s="908" t="s">
        <v>2273</v>
      </c>
      <c r="E590" s="914"/>
      <c r="F590" s="1053">
        <f t="shared" si="95"/>
        <v>0</v>
      </c>
      <c r="G590" s="914"/>
      <c r="H590" s="914">
        <f t="shared" si="91"/>
        <v>0</v>
      </c>
      <c r="I590" s="914"/>
      <c r="J590" s="914">
        <f t="shared" si="92"/>
        <v>0</v>
      </c>
      <c r="K590" s="914"/>
      <c r="L590" s="914">
        <f t="shared" si="93"/>
        <v>0</v>
      </c>
      <c r="M590" s="914">
        <v>49.18</v>
      </c>
      <c r="N590" s="914">
        <f t="shared" si="94"/>
        <v>41708.57</v>
      </c>
      <c r="O590" s="914"/>
      <c r="P590" s="914">
        <f t="shared" si="96"/>
        <v>0</v>
      </c>
      <c r="Q590" s="914"/>
      <c r="R590" s="914">
        <f t="shared" si="97"/>
        <v>0</v>
      </c>
      <c r="S590" s="914"/>
      <c r="T590" s="914">
        <f t="shared" si="98"/>
        <v>0</v>
      </c>
      <c r="U590" s="915">
        <f t="shared" si="90"/>
        <v>49.18</v>
      </c>
      <c r="V590" s="914">
        <f t="shared" si="99"/>
        <v>41708.57</v>
      </c>
    </row>
    <row r="591" spans="1:22" ht="284.25" customHeight="1">
      <c r="A591" s="905"/>
      <c r="B591" s="906" t="s">
        <v>1071</v>
      </c>
      <c r="C591" s="913">
        <f>ROUND(DATA!I2356,2)</f>
        <v>946.62</v>
      </c>
      <c r="D591" s="908" t="s">
        <v>2273</v>
      </c>
      <c r="E591" s="914"/>
      <c r="F591" s="1053">
        <f t="shared" si="95"/>
        <v>0</v>
      </c>
      <c r="G591" s="914"/>
      <c r="H591" s="914">
        <f t="shared" si="91"/>
        <v>0</v>
      </c>
      <c r="I591" s="914"/>
      <c r="J591" s="914">
        <f t="shared" si="92"/>
        <v>0</v>
      </c>
      <c r="K591" s="914"/>
      <c r="L591" s="914">
        <f t="shared" si="93"/>
        <v>0</v>
      </c>
      <c r="M591" s="914">
        <v>9.99</v>
      </c>
      <c r="N591" s="914">
        <f t="shared" si="94"/>
        <v>9456.73</v>
      </c>
      <c r="O591" s="914"/>
      <c r="P591" s="914">
        <f t="shared" si="96"/>
        <v>0</v>
      </c>
      <c r="Q591" s="914"/>
      <c r="R591" s="914">
        <f t="shared" si="97"/>
        <v>0</v>
      </c>
      <c r="S591" s="914">
        <v>4.25</v>
      </c>
      <c r="T591" s="914">
        <f t="shared" si="98"/>
        <v>4023.14</v>
      </c>
      <c r="U591" s="915">
        <f t="shared" si="90"/>
        <v>14.24</v>
      </c>
      <c r="V591" s="914">
        <f t="shared" si="99"/>
        <v>13479.87</v>
      </c>
    </row>
    <row r="592" spans="1:22" ht="231.75" customHeight="1">
      <c r="A592" s="927"/>
      <c r="B592" s="906" t="s">
        <v>1647</v>
      </c>
      <c r="C592" s="913">
        <f>ROUND(DATA!I2358,2)</f>
        <v>1135.94</v>
      </c>
      <c r="D592" s="908" t="s">
        <v>2273</v>
      </c>
      <c r="E592" s="914"/>
      <c r="F592" s="1053">
        <f t="shared" si="95"/>
        <v>0</v>
      </c>
      <c r="G592" s="914"/>
      <c r="H592" s="914">
        <f t="shared" si="91"/>
        <v>0</v>
      </c>
      <c r="I592" s="914"/>
      <c r="J592" s="914">
        <f t="shared" si="92"/>
        <v>0</v>
      </c>
      <c r="K592" s="914"/>
      <c r="L592" s="914">
        <f t="shared" si="93"/>
        <v>0</v>
      </c>
      <c r="M592" s="914"/>
      <c r="N592" s="914">
        <f t="shared" si="94"/>
        <v>0</v>
      </c>
      <c r="O592" s="914"/>
      <c r="P592" s="914">
        <f t="shared" si="96"/>
        <v>0</v>
      </c>
      <c r="Q592" s="914"/>
      <c r="R592" s="914">
        <f t="shared" si="97"/>
        <v>0</v>
      </c>
      <c r="S592" s="914"/>
      <c r="T592" s="914">
        <f t="shared" si="98"/>
        <v>0</v>
      </c>
      <c r="U592" s="915">
        <f t="shared" si="90"/>
        <v>0</v>
      </c>
      <c r="V592" s="914">
        <f t="shared" si="99"/>
        <v>0</v>
      </c>
    </row>
    <row r="593" spans="1:22" ht="130.5" customHeight="1">
      <c r="A593" s="943"/>
      <c r="B593" s="906" t="s">
        <v>3976</v>
      </c>
      <c r="C593" s="921">
        <f>DATA!I2360</f>
        <v>1041.28</v>
      </c>
      <c r="D593" s="908" t="s">
        <v>2273</v>
      </c>
      <c r="E593" s="914"/>
      <c r="F593" s="1053">
        <f t="shared" si="95"/>
        <v>0</v>
      </c>
      <c r="G593" s="914"/>
      <c r="H593" s="914">
        <f t="shared" si="91"/>
        <v>0</v>
      </c>
      <c r="I593" s="914"/>
      <c r="J593" s="914">
        <f t="shared" si="92"/>
        <v>0</v>
      </c>
      <c r="K593" s="914"/>
      <c r="L593" s="914">
        <f t="shared" si="93"/>
        <v>0</v>
      </c>
      <c r="M593" s="914"/>
      <c r="N593" s="914">
        <f t="shared" si="94"/>
        <v>0</v>
      </c>
      <c r="O593" s="914"/>
      <c r="P593" s="914">
        <f t="shared" si="96"/>
        <v>0</v>
      </c>
      <c r="Q593" s="914"/>
      <c r="R593" s="914">
        <f t="shared" si="97"/>
        <v>0</v>
      </c>
      <c r="S593" s="914"/>
      <c r="T593" s="914">
        <f t="shared" si="98"/>
        <v>0</v>
      </c>
      <c r="U593" s="915">
        <f t="shared" si="90"/>
        <v>0</v>
      </c>
      <c r="V593" s="914">
        <f t="shared" si="99"/>
        <v>0</v>
      </c>
    </row>
    <row r="594" spans="1:22" ht="130.5" customHeight="1">
      <c r="A594" s="931"/>
      <c r="B594" s="906" t="s">
        <v>3794</v>
      </c>
      <c r="C594" s="913">
        <f>C592*2</f>
        <v>2271.88</v>
      </c>
      <c r="D594" s="908" t="s">
        <v>2273</v>
      </c>
      <c r="E594" s="919"/>
      <c r="F594" s="1053">
        <f t="shared" si="95"/>
        <v>0</v>
      </c>
      <c r="G594" s="919"/>
      <c r="H594" s="914">
        <f t="shared" si="91"/>
        <v>0</v>
      </c>
      <c r="I594" s="919"/>
      <c r="J594" s="914">
        <f t="shared" si="92"/>
        <v>0</v>
      </c>
      <c r="K594" s="914"/>
      <c r="L594" s="914">
        <f t="shared" si="93"/>
        <v>0</v>
      </c>
      <c r="M594" s="919"/>
      <c r="N594" s="914">
        <f t="shared" si="94"/>
        <v>0</v>
      </c>
      <c r="O594" s="919"/>
      <c r="P594" s="914">
        <f t="shared" si="96"/>
        <v>0</v>
      </c>
      <c r="Q594" s="919"/>
      <c r="R594" s="914">
        <f t="shared" si="97"/>
        <v>0</v>
      </c>
      <c r="S594" s="919"/>
      <c r="T594" s="914">
        <f t="shared" si="98"/>
        <v>0</v>
      </c>
      <c r="U594" s="915">
        <f t="shared" ref="U594:U657" si="100">G594+I594+M594+O594+Q594+S594+E594+K594</f>
        <v>0</v>
      </c>
      <c r="V594" s="914">
        <f t="shared" si="99"/>
        <v>0</v>
      </c>
    </row>
    <row r="595" spans="1:22" ht="130.5" customHeight="1">
      <c r="A595" s="931"/>
      <c r="B595" s="906" t="s">
        <v>3797</v>
      </c>
      <c r="C595" s="913">
        <f>C591*1.5</f>
        <v>1419.93</v>
      </c>
      <c r="D595" s="908" t="s">
        <v>2273</v>
      </c>
      <c r="E595" s="914"/>
      <c r="F595" s="1053">
        <f t="shared" si="95"/>
        <v>0</v>
      </c>
      <c r="G595" s="914"/>
      <c r="H595" s="914">
        <f t="shared" ref="H595:H658" si="101">C595*G595</f>
        <v>0</v>
      </c>
      <c r="I595" s="914"/>
      <c r="J595" s="914">
        <f t="shared" ref="J595:J658" si="102">I595*C595</f>
        <v>0</v>
      </c>
      <c r="K595" s="914"/>
      <c r="L595" s="914">
        <f t="shared" ref="L595:L658" si="103">K595*C595</f>
        <v>0</v>
      </c>
      <c r="M595" s="914"/>
      <c r="N595" s="914">
        <f t="shared" ref="N595:N658" si="104">M595*C595</f>
        <v>0</v>
      </c>
      <c r="O595" s="914"/>
      <c r="P595" s="914">
        <f t="shared" si="96"/>
        <v>0</v>
      </c>
      <c r="Q595" s="914"/>
      <c r="R595" s="914">
        <f t="shared" si="97"/>
        <v>0</v>
      </c>
      <c r="S595" s="914">
        <v>29.45</v>
      </c>
      <c r="T595" s="914">
        <f t="shared" si="98"/>
        <v>41816.94</v>
      </c>
      <c r="U595" s="915">
        <f t="shared" si="100"/>
        <v>29.45</v>
      </c>
      <c r="V595" s="914">
        <f t="shared" si="99"/>
        <v>41816.94</v>
      </c>
    </row>
    <row r="596" spans="1:22" ht="130.5" customHeight="1">
      <c r="A596" s="931"/>
      <c r="B596" s="906" t="s">
        <v>3584</v>
      </c>
      <c r="C596" s="921">
        <f>C591*2</f>
        <v>1893.24</v>
      </c>
      <c r="D596" s="908" t="s">
        <v>2273</v>
      </c>
      <c r="E596" s="919"/>
      <c r="F596" s="1053">
        <f t="shared" si="95"/>
        <v>0</v>
      </c>
      <c r="G596" s="919"/>
      <c r="H596" s="914">
        <f t="shared" si="101"/>
        <v>0</v>
      </c>
      <c r="I596" s="919"/>
      <c r="J596" s="914">
        <f t="shared" si="102"/>
        <v>0</v>
      </c>
      <c r="K596" s="914"/>
      <c r="L596" s="914">
        <f t="shared" si="103"/>
        <v>0</v>
      </c>
      <c r="M596" s="919"/>
      <c r="N596" s="914">
        <f t="shared" si="104"/>
        <v>0</v>
      </c>
      <c r="O596" s="919"/>
      <c r="P596" s="914">
        <f t="shared" si="96"/>
        <v>0</v>
      </c>
      <c r="Q596" s="919"/>
      <c r="R596" s="914">
        <f t="shared" si="97"/>
        <v>0</v>
      </c>
      <c r="S596" s="919"/>
      <c r="T596" s="914">
        <f t="shared" si="98"/>
        <v>0</v>
      </c>
      <c r="U596" s="915">
        <f t="shared" si="100"/>
        <v>0</v>
      </c>
      <c r="V596" s="914">
        <f t="shared" si="99"/>
        <v>0</v>
      </c>
    </row>
    <row r="597" spans="1:22" ht="231.75" hidden="1" customHeight="1">
      <c r="A597" s="905">
        <v>21.6</v>
      </c>
      <c r="B597" s="924" t="s">
        <v>4654</v>
      </c>
      <c r="C597" s="913"/>
      <c r="D597" s="908"/>
      <c r="E597" s="911"/>
      <c r="F597" s="1053">
        <f t="shared" si="95"/>
        <v>0</v>
      </c>
      <c r="G597" s="914"/>
      <c r="H597" s="914">
        <f t="shared" si="101"/>
        <v>0</v>
      </c>
      <c r="I597" s="914"/>
      <c r="J597" s="914">
        <f t="shared" si="102"/>
        <v>0</v>
      </c>
      <c r="K597" s="914"/>
      <c r="L597" s="914">
        <f t="shared" si="103"/>
        <v>0</v>
      </c>
      <c r="M597" s="914"/>
      <c r="N597" s="914">
        <f t="shared" si="104"/>
        <v>0</v>
      </c>
      <c r="O597" s="914"/>
      <c r="P597" s="914">
        <f t="shared" si="96"/>
        <v>0</v>
      </c>
      <c r="Q597" s="914"/>
      <c r="R597" s="914">
        <f t="shared" si="97"/>
        <v>0</v>
      </c>
      <c r="S597" s="914"/>
      <c r="T597" s="914">
        <f t="shared" si="98"/>
        <v>0</v>
      </c>
      <c r="U597" s="915">
        <f t="shared" si="100"/>
        <v>0</v>
      </c>
      <c r="V597" s="914">
        <f t="shared" si="99"/>
        <v>0</v>
      </c>
    </row>
    <row r="598" spans="1:22" ht="231.75" hidden="1" customHeight="1">
      <c r="A598" s="946"/>
      <c r="B598" s="906" t="s">
        <v>570</v>
      </c>
      <c r="C598" s="913">
        <f>ROUND(DATA!K889,2)</f>
        <v>2780.7</v>
      </c>
      <c r="D598" s="913" t="s">
        <v>1393</v>
      </c>
      <c r="E598" s="914"/>
      <c r="F598" s="1053">
        <f t="shared" si="95"/>
        <v>0</v>
      </c>
      <c r="G598" s="914"/>
      <c r="H598" s="914">
        <f t="shared" si="101"/>
        <v>0</v>
      </c>
      <c r="I598" s="914"/>
      <c r="J598" s="914">
        <f t="shared" si="102"/>
        <v>0</v>
      </c>
      <c r="K598" s="914"/>
      <c r="L598" s="914">
        <f t="shared" si="103"/>
        <v>0</v>
      </c>
      <c r="M598" s="914"/>
      <c r="N598" s="914">
        <f t="shared" si="104"/>
        <v>0</v>
      </c>
      <c r="O598" s="914"/>
      <c r="P598" s="914">
        <f t="shared" si="96"/>
        <v>0</v>
      </c>
      <c r="Q598" s="914"/>
      <c r="R598" s="914">
        <f t="shared" si="97"/>
        <v>0</v>
      </c>
      <c r="S598" s="914"/>
      <c r="T598" s="914">
        <f t="shared" si="98"/>
        <v>0</v>
      </c>
      <c r="U598" s="915">
        <f t="shared" si="100"/>
        <v>0</v>
      </c>
      <c r="V598" s="914">
        <f t="shared" si="99"/>
        <v>0</v>
      </c>
    </row>
    <row r="599" spans="1:22" ht="231.75" hidden="1" customHeight="1">
      <c r="A599" s="946"/>
      <c r="B599" s="906" t="s">
        <v>3780</v>
      </c>
      <c r="C599" s="913">
        <f>DATA!R864</f>
        <v>3328.12</v>
      </c>
      <c r="D599" s="913" t="s">
        <v>1393</v>
      </c>
      <c r="E599" s="919"/>
      <c r="F599" s="1053">
        <f t="shared" si="95"/>
        <v>0</v>
      </c>
      <c r="G599" s="919"/>
      <c r="H599" s="914">
        <f t="shared" si="101"/>
        <v>0</v>
      </c>
      <c r="I599" s="919"/>
      <c r="J599" s="914">
        <f t="shared" si="102"/>
        <v>0</v>
      </c>
      <c r="K599" s="914"/>
      <c r="L599" s="914">
        <f t="shared" si="103"/>
        <v>0</v>
      </c>
      <c r="M599" s="919"/>
      <c r="N599" s="914">
        <f t="shared" si="104"/>
        <v>0</v>
      </c>
      <c r="O599" s="919"/>
      <c r="P599" s="914">
        <f t="shared" si="96"/>
        <v>0</v>
      </c>
      <c r="Q599" s="919"/>
      <c r="R599" s="914">
        <f t="shared" si="97"/>
        <v>0</v>
      </c>
      <c r="S599" s="919"/>
      <c r="T599" s="914">
        <f t="shared" si="98"/>
        <v>0</v>
      </c>
      <c r="U599" s="915">
        <f t="shared" si="100"/>
        <v>0</v>
      </c>
      <c r="V599" s="914">
        <f t="shared" si="99"/>
        <v>0</v>
      </c>
    </row>
    <row r="600" spans="1:22" ht="231.75" hidden="1" customHeight="1">
      <c r="A600" s="946"/>
      <c r="B600" s="906" t="s">
        <v>1895</v>
      </c>
      <c r="C600" s="913">
        <f>ROUND(DATA!K871,2)</f>
        <v>2802.86</v>
      </c>
      <c r="D600" s="913" t="s">
        <v>1393</v>
      </c>
      <c r="E600" s="919"/>
      <c r="F600" s="1053">
        <f t="shared" si="95"/>
        <v>0</v>
      </c>
      <c r="G600" s="919"/>
      <c r="H600" s="914">
        <f t="shared" si="101"/>
        <v>0</v>
      </c>
      <c r="I600" s="919"/>
      <c r="J600" s="914">
        <f t="shared" si="102"/>
        <v>0</v>
      </c>
      <c r="K600" s="914"/>
      <c r="L600" s="914">
        <f t="shared" si="103"/>
        <v>0</v>
      </c>
      <c r="M600" s="919"/>
      <c r="N600" s="914">
        <f t="shared" si="104"/>
        <v>0</v>
      </c>
      <c r="O600" s="919"/>
      <c r="P600" s="914">
        <f t="shared" si="96"/>
        <v>0</v>
      </c>
      <c r="Q600" s="919"/>
      <c r="R600" s="914">
        <f t="shared" si="97"/>
        <v>0</v>
      </c>
      <c r="S600" s="919"/>
      <c r="T600" s="914">
        <f t="shared" si="98"/>
        <v>0</v>
      </c>
      <c r="U600" s="915">
        <f t="shared" si="100"/>
        <v>0</v>
      </c>
      <c r="V600" s="914">
        <f t="shared" si="99"/>
        <v>0</v>
      </c>
    </row>
    <row r="601" spans="1:22" ht="231.75" hidden="1" customHeight="1">
      <c r="A601" s="946"/>
      <c r="B601" s="906" t="s">
        <v>3684</v>
      </c>
      <c r="C601" s="913">
        <f>DATA!K905</f>
        <v>2743.04</v>
      </c>
      <c r="D601" s="913" t="s">
        <v>1393</v>
      </c>
      <c r="E601" s="919"/>
      <c r="F601" s="1053">
        <f t="shared" si="95"/>
        <v>0</v>
      </c>
      <c r="G601" s="919"/>
      <c r="H601" s="914">
        <f t="shared" si="101"/>
        <v>0</v>
      </c>
      <c r="I601" s="919"/>
      <c r="J601" s="914">
        <f t="shared" si="102"/>
        <v>0</v>
      </c>
      <c r="K601" s="914"/>
      <c r="L601" s="914">
        <f t="shared" si="103"/>
        <v>0</v>
      </c>
      <c r="M601" s="919"/>
      <c r="N601" s="914">
        <f t="shared" si="104"/>
        <v>0</v>
      </c>
      <c r="O601" s="919"/>
      <c r="P601" s="914">
        <f t="shared" si="96"/>
        <v>0</v>
      </c>
      <c r="Q601" s="919"/>
      <c r="R601" s="914">
        <f t="shared" si="97"/>
        <v>0</v>
      </c>
      <c r="S601" s="919"/>
      <c r="T601" s="914">
        <f t="shared" si="98"/>
        <v>0</v>
      </c>
      <c r="U601" s="915">
        <f t="shared" si="100"/>
        <v>0</v>
      </c>
      <c r="V601" s="914">
        <f t="shared" si="99"/>
        <v>0</v>
      </c>
    </row>
    <row r="602" spans="1:22" ht="231.75" hidden="1" customHeight="1">
      <c r="A602" s="931"/>
      <c r="B602" s="924" t="s">
        <v>3818</v>
      </c>
      <c r="C602" s="921"/>
      <c r="D602" s="908"/>
      <c r="E602" s="919"/>
      <c r="F602" s="1053">
        <f t="shared" si="95"/>
        <v>0</v>
      </c>
      <c r="G602" s="919"/>
      <c r="H602" s="914">
        <f t="shared" si="101"/>
        <v>0</v>
      </c>
      <c r="I602" s="919"/>
      <c r="J602" s="914">
        <f t="shared" si="102"/>
        <v>0</v>
      </c>
      <c r="K602" s="914"/>
      <c r="L602" s="914">
        <f t="shared" si="103"/>
        <v>0</v>
      </c>
      <c r="M602" s="919"/>
      <c r="N602" s="914">
        <f t="shared" si="104"/>
        <v>0</v>
      </c>
      <c r="O602" s="919"/>
      <c r="P602" s="914">
        <f t="shared" si="96"/>
        <v>0</v>
      </c>
      <c r="Q602" s="919"/>
      <c r="R602" s="914">
        <f t="shared" si="97"/>
        <v>0</v>
      </c>
      <c r="S602" s="919"/>
      <c r="T602" s="914">
        <f t="shared" si="98"/>
        <v>0</v>
      </c>
      <c r="U602" s="915">
        <f t="shared" si="100"/>
        <v>0</v>
      </c>
      <c r="V602" s="914">
        <f t="shared" si="99"/>
        <v>0</v>
      </c>
    </row>
    <row r="603" spans="1:22" ht="231.75" hidden="1" customHeight="1">
      <c r="A603" s="931"/>
      <c r="B603" s="906" t="s">
        <v>1362</v>
      </c>
      <c r="C603" s="921">
        <f>DATA!K1081</f>
        <v>3597.23</v>
      </c>
      <c r="D603" s="908" t="s">
        <v>1834</v>
      </c>
      <c r="E603" s="919"/>
      <c r="F603" s="1053">
        <f t="shared" si="95"/>
        <v>0</v>
      </c>
      <c r="G603" s="919"/>
      <c r="H603" s="914">
        <f t="shared" si="101"/>
        <v>0</v>
      </c>
      <c r="I603" s="919"/>
      <c r="J603" s="914">
        <f t="shared" si="102"/>
        <v>0</v>
      </c>
      <c r="K603" s="914"/>
      <c r="L603" s="914">
        <f t="shared" si="103"/>
        <v>0</v>
      </c>
      <c r="M603" s="919"/>
      <c r="N603" s="914">
        <f t="shared" si="104"/>
        <v>0</v>
      </c>
      <c r="O603" s="919"/>
      <c r="P603" s="914">
        <f t="shared" si="96"/>
        <v>0</v>
      </c>
      <c r="Q603" s="919"/>
      <c r="R603" s="914">
        <f t="shared" si="97"/>
        <v>0</v>
      </c>
      <c r="S603" s="919"/>
      <c r="T603" s="914">
        <f t="shared" si="98"/>
        <v>0</v>
      </c>
      <c r="U603" s="915">
        <f t="shared" si="100"/>
        <v>0</v>
      </c>
      <c r="V603" s="914">
        <f t="shared" si="99"/>
        <v>0</v>
      </c>
    </row>
    <row r="604" spans="1:22" ht="231.75" hidden="1" customHeight="1">
      <c r="A604" s="931"/>
      <c r="B604" s="906" t="s">
        <v>267</v>
      </c>
      <c r="C604" s="921"/>
      <c r="D604" s="908" t="s">
        <v>1834</v>
      </c>
      <c r="E604" s="919"/>
      <c r="F604" s="1053">
        <f t="shared" si="95"/>
        <v>0</v>
      </c>
      <c r="G604" s="919"/>
      <c r="H604" s="914">
        <f t="shared" si="101"/>
        <v>0</v>
      </c>
      <c r="I604" s="919"/>
      <c r="J604" s="914">
        <f t="shared" si="102"/>
        <v>0</v>
      </c>
      <c r="K604" s="914"/>
      <c r="L604" s="914">
        <f t="shared" si="103"/>
        <v>0</v>
      </c>
      <c r="M604" s="919"/>
      <c r="N604" s="914">
        <f t="shared" si="104"/>
        <v>0</v>
      </c>
      <c r="O604" s="919"/>
      <c r="P604" s="914">
        <f t="shared" si="96"/>
        <v>0</v>
      </c>
      <c r="Q604" s="919"/>
      <c r="R604" s="914">
        <f t="shared" si="97"/>
        <v>0</v>
      </c>
      <c r="S604" s="919"/>
      <c r="T604" s="914">
        <f t="shared" si="98"/>
        <v>0</v>
      </c>
      <c r="U604" s="915">
        <f t="shared" si="100"/>
        <v>0</v>
      </c>
      <c r="V604" s="914">
        <f t="shared" si="99"/>
        <v>0</v>
      </c>
    </row>
    <row r="605" spans="1:22" ht="231.75" hidden="1" customHeight="1">
      <c r="A605" s="931"/>
      <c r="B605" s="906" t="s">
        <v>268</v>
      </c>
      <c r="C605" s="921">
        <f>DATA!K1097</f>
        <v>3796.08</v>
      </c>
      <c r="D605" s="908" t="s">
        <v>1834</v>
      </c>
      <c r="E605" s="919"/>
      <c r="F605" s="1053">
        <f t="shared" si="95"/>
        <v>0</v>
      </c>
      <c r="G605" s="919"/>
      <c r="H605" s="914">
        <f t="shared" si="101"/>
        <v>0</v>
      </c>
      <c r="I605" s="919"/>
      <c r="J605" s="914">
        <f t="shared" si="102"/>
        <v>0</v>
      </c>
      <c r="K605" s="914"/>
      <c r="L605" s="914">
        <f t="shared" si="103"/>
        <v>0</v>
      </c>
      <c r="M605" s="919"/>
      <c r="N605" s="914">
        <f t="shared" si="104"/>
        <v>0</v>
      </c>
      <c r="O605" s="919"/>
      <c r="P605" s="914">
        <f t="shared" si="96"/>
        <v>0</v>
      </c>
      <c r="Q605" s="919"/>
      <c r="R605" s="914">
        <f t="shared" si="97"/>
        <v>0</v>
      </c>
      <c r="S605" s="919"/>
      <c r="T605" s="914">
        <f t="shared" si="98"/>
        <v>0</v>
      </c>
      <c r="U605" s="915">
        <f t="shared" si="100"/>
        <v>0</v>
      </c>
      <c r="V605" s="914">
        <f t="shared" si="99"/>
        <v>0</v>
      </c>
    </row>
    <row r="606" spans="1:22" ht="231.75" hidden="1" customHeight="1">
      <c r="A606" s="931"/>
      <c r="B606" s="906" t="s">
        <v>269</v>
      </c>
      <c r="C606" s="921">
        <f>DATA!K1112</f>
        <v>2804.85</v>
      </c>
      <c r="D606" s="908" t="s">
        <v>1834</v>
      </c>
      <c r="E606" s="919"/>
      <c r="F606" s="1053">
        <f t="shared" si="95"/>
        <v>0</v>
      </c>
      <c r="G606" s="919"/>
      <c r="H606" s="914">
        <f t="shared" si="101"/>
        <v>0</v>
      </c>
      <c r="I606" s="919"/>
      <c r="J606" s="914">
        <f t="shared" si="102"/>
        <v>0</v>
      </c>
      <c r="K606" s="914"/>
      <c r="L606" s="914">
        <f t="shared" si="103"/>
        <v>0</v>
      </c>
      <c r="M606" s="919"/>
      <c r="N606" s="914">
        <f t="shared" si="104"/>
        <v>0</v>
      </c>
      <c r="O606" s="919"/>
      <c r="P606" s="914">
        <f t="shared" si="96"/>
        <v>0</v>
      </c>
      <c r="Q606" s="919"/>
      <c r="R606" s="914">
        <f t="shared" si="97"/>
        <v>0</v>
      </c>
      <c r="S606" s="919"/>
      <c r="T606" s="914">
        <f t="shared" si="98"/>
        <v>0</v>
      </c>
      <c r="U606" s="915">
        <f t="shared" si="100"/>
        <v>0</v>
      </c>
      <c r="V606" s="914">
        <f t="shared" si="99"/>
        <v>0</v>
      </c>
    </row>
    <row r="607" spans="1:22" ht="231.75" hidden="1" customHeight="1">
      <c r="A607" s="931"/>
      <c r="B607" s="906" t="s">
        <v>3801</v>
      </c>
      <c r="C607" s="921">
        <v>2203.2800000000002</v>
      </c>
      <c r="D607" s="908" t="s">
        <v>1834</v>
      </c>
      <c r="E607" s="919"/>
      <c r="F607" s="1053">
        <f t="shared" si="95"/>
        <v>0</v>
      </c>
      <c r="G607" s="919"/>
      <c r="H607" s="914">
        <f t="shared" si="101"/>
        <v>0</v>
      </c>
      <c r="I607" s="919"/>
      <c r="J607" s="914">
        <f t="shared" si="102"/>
        <v>0</v>
      </c>
      <c r="K607" s="914"/>
      <c r="L607" s="914">
        <f t="shared" si="103"/>
        <v>0</v>
      </c>
      <c r="M607" s="919"/>
      <c r="N607" s="914">
        <f t="shared" si="104"/>
        <v>0</v>
      </c>
      <c r="O607" s="919"/>
      <c r="P607" s="914">
        <f t="shared" si="96"/>
        <v>0</v>
      </c>
      <c r="Q607" s="919"/>
      <c r="R607" s="914">
        <f t="shared" si="97"/>
        <v>0</v>
      </c>
      <c r="S607" s="919"/>
      <c r="T607" s="914">
        <f t="shared" si="98"/>
        <v>0</v>
      </c>
      <c r="U607" s="915">
        <f t="shared" si="100"/>
        <v>0</v>
      </c>
      <c r="V607" s="914">
        <f t="shared" si="99"/>
        <v>0</v>
      </c>
    </row>
    <row r="608" spans="1:22" s="920" customFormat="1" ht="231.75" customHeight="1">
      <c r="A608" s="916" t="s">
        <v>1685</v>
      </c>
      <c r="B608" s="917" t="s">
        <v>1294</v>
      </c>
      <c r="C608" s="1059">
        <f>DATA!K2877</f>
        <v>2189.9299999999998</v>
      </c>
      <c r="D608" s="962" t="s">
        <v>2273</v>
      </c>
      <c r="E608" s="919"/>
      <c r="F608" s="1053">
        <f t="shared" si="95"/>
        <v>0</v>
      </c>
      <c r="G608" s="919"/>
      <c r="H608" s="914">
        <f t="shared" si="101"/>
        <v>0</v>
      </c>
      <c r="I608" s="919"/>
      <c r="J608" s="914">
        <f t="shared" si="102"/>
        <v>0</v>
      </c>
      <c r="K608" s="914"/>
      <c r="L608" s="914">
        <f t="shared" si="103"/>
        <v>0</v>
      </c>
      <c r="M608" s="919"/>
      <c r="N608" s="914">
        <f t="shared" si="104"/>
        <v>0</v>
      </c>
      <c r="O608" s="919"/>
      <c r="P608" s="914">
        <f t="shared" si="96"/>
        <v>0</v>
      </c>
      <c r="Q608" s="919"/>
      <c r="R608" s="914">
        <f t="shared" si="97"/>
        <v>0</v>
      </c>
      <c r="S608" s="919"/>
      <c r="T608" s="914">
        <f t="shared" si="98"/>
        <v>0</v>
      </c>
      <c r="U608" s="915">
        <f t="shared" si="100"/>
        <v>0</v>
      </c>
      <c r="V608" s="914">
        <f t="shared" si="99"/>
        <v>0</v>
      </c>
    </row>
    <row r="609" spans="1:22" ht="329.25" customHeight="1">
      <c r="A609" s="905"/>
      <c r="B609" s="906" t="s">
        <v>1513</v>
      </c>
      <c r="C609" s="913">
        <f>ROUND(DATA!K3114,2)</f>
        <v>4253.0600000000004</v>
      </c>
      <c r="D609" s="908" t="s">
        <v>2273</v>
      </c>
      <c r="E609" s="914"/>
      <c r="F609" s="1053">
        <f t="shared" si="95"/>
        <v>0</v>
      </c>
      <c r="G609" s="914"/>
      <c r="H609" s="914">
        <f t="shared" si="101"/>
        <v>0</v>
      </c>
      <c r="I609" s="914">
        <v>19</v>
      </c>
      <c r="J609" s="914">
        <f t="shared" si="102"/>
        <v>80808.14</v>
      </c>
      <c r="K609" s="914"/>
      <c r="L609" s="914">
        <f t="shared" si="103"/>
        <v>0</v>
      </c>
      <c r="M609" s="914"/>
      <c r="N609" s="914">
        <f t="shared" si="104"/>
        <v>0</v>
      </c>
      <c r="O609" s="914"/>
      <c r="P609" s="914">
        <f t="shared" si="96"/>
        <v>0</v>
      </c>
      <c r="Q609" s="914"/>
      <c r="R609" s="914">
        <f t="shared" si="97"/>
        <v>0</v>
      </c>
      <c r="S609" s="914"/>
      <c r="T609" s="914">
        <f t="shared" si="98"/>
        <v>0</v>
      </c>
      <c r="U609" s="915">
        <f t="shared" si="100"/>
        <v>19</v>
      </c>
      <c r="V609" s="914">
        <f t="shared" si="99"/>
        <v>80808.14</v>
      </c>
    </row>
    <row r="610" spans="1:22" s="968" customFormat="1" ht="231.75" hidden="1" customHeight="1">
      <c r="A610" s="963">
        <v>22.8</v>
      </c>
      <c r="B610" s="964" t="s">
        <v>1978</v>
      </c>
      <c r="C610" s="965"/>
      <c r="D610" s="966"/>
      <c r="E610" s="967"/>
      <c r="F610" s="1053">
        <f t="shared" si="95"/>
        <v>0</v>
      </c>
      <c r="G610" s="967"/>
      <c r="H610" s="914">
        <f t="shared" si="101"/>
        <v>0</v>
      </c>
      <c r="I610" s="967"/>
      <c r="J610" s="914">
        <f t="shared" si="102"/>
        <v>0</v>
      </c>
      <c r="K610" s="914"/>
      <c r="L610" s="914">
        <f t="shared" si="103"/>
        <v>0</v>
      </c>
      <c r="M610" s="967"/>
      <c r="N610" s="914">
        <f t="shared" si="104"/>
        <v>0</v>
      </c>
      <c r="O610" s="967"/>
      <c r="P610" s="914">
        <f t="shared" si="96"/>
        <v>0</v>
      </c>
      <c r="Q610" s="967"/>
      <c r="R610" s="914">
        <f t="shared" si="97"/>
        <v>0</v>
      </c>
      <c r="S610" s="967"/>
      <c r="T610" s="914">
        <f t="shared" si="98"/>
        <v>0</v>
      </c>
      <c r="U610" s="915">
        <f t="shared" si="100"/>
        <v>0</v>
      </c>
      <c r="V610" s="914">
        <f t="shared" si="99"/>
        <v>0</v>
      </c>
    </row>
    <row r="611" spans="1:22" s="968" customFormat="1" ht="231.75" hidden="1" customHeight="1">
      <c r="A611" s="963"/>
      <c r="B611" s="964" t="s">
        <v>1979</v>
      </c>
      <c r="C611" s="965">
        <f>ROUND(DATA!K2845,2)</f>
        <v>2806.82</v>
      </c>
      <c r="D611" s="966" t="s">
        <v>2273</v>
      </c>
      <c r="E611" s="967"/>
      <c r="F611" s="1053">
        <f t="shared" ref="F611:F674" si="105">E611*C611</f>
        <v>0</v>
      </c>
      <c r="G611" s="967"/>
      <c r="H611" s="914">
        <f t="shared" si="101"/>
        <v>0</v>
      </c>
      <c r="I611" s="967"/>
      <c r="J611" s="914">
        <f t="shared" si="102"/>
        <v>0</v>
      </c>
      <c r="K611" s="914"/>
      <c r="L611" s="914">
        <f t="shared" si="103"/>
        <v>0</v>
      </c>
      <c r="M611" s="967"/>
      <c r="N611" s="914">
        <f t="shared" si="104"/>
        <v>0</v>
      </c>
      <c r="O611" s="967"/>
      <c r="P611" s="914">
        <f t="shared" si="96"/>
        <v>0</v>
      </c>
      <c r="Q611" s="967"/>
      <c r="R611" s="914">
        <f t="shared" si="97"/>
        <v>0</v>
      </c>
      <c r="S611" s="967"/>
      <c r="T611" s="914">
        <f t="shared" si="98"/>
        <v>0</v>
      </c>
      <c r="U611" s="915">
        <f t="shared" si="100"/>
        <v>0</v>
      </c>
      <c r="V611" s="914">
        <f t="shared" si="99"/>
        <v>0</v>
      </c>
    </row>
    <row r="612" spans="1:22" s="968" customFormat="1" ht="231.75" hidden="1" customHeight="1">
      <c r="A612" s="963"/>
      <c r="B612" s="964" t="s">
        <v>693</v>
      </c>
      <c r="C612" s="965">
        <f>ROUND(DATA!K2981,2)</f>
        <v>2852.74</v>
      </c>
      <c r="D612" s="966" t="s">
        <v>2273</v>
      </c>
      <c r="E612" s="967"/>
      <c r="F612" s="1053">
        <f t="shared" si="105"/>
        <v>0</v>
      </c>
      <c r="G612" s="967"/>
      <c r="H612" s="914">
        <f t="shared" si="101"/>
        <v>0</v>
      </c>
      <c r="I612" s="967"/>
      <c r="J612" s="914">
        <f t="shared" si="102"/>
        <v>0</v>
      </c>
      <c r="K612" s="914"/>
      <c r="L612" s="914">
        <f t="shared" si="103"/>
        <v>0</v>
      </c>
      <c r="M612" s="967"/>
      <c r="N612" s="914">
        <f t="shared" si="104"/>
        <v>0</v>
      </c>
      <c r="O612" s="967"/>
      <c r="P612" s="914">
        <f t="shared" si="96"/>
        <v>0</v>
      </c>
      <c r="Q612" s="967"/>
      <c r="R612" s="914">
        <f t="shared" si="97"/>
        <v>0</v>
      </c>
      <c r="S612" s="967"/>
      <c r="T612" s="914">
        <f t="shared" si="98"/>
        <v>0</v>
      </c>
      <c r="U612" s="915">
        <f t="shared" si="100"/>
        <v>0</v>
      </c>
      <c r="V612" s="914">
        <f t="shared" si="99"/>
        <v>0</v>
      </c>
    </row>
    <row r="613" spans="1:22" s="968" customFormat="1" ht="231.75" hidden="1" customHeight="1">
      <c r="A613" s="969"/>
      <c r="B613" s="964" t="s">
        <v>226</v>
      </c>
      <c r="C613" s="965"/>
      <c r="D613" s="966" t="s">
        <v>2273</v>
      </c>
      <c r="E613" s="967"/>
      <c r="F613" s="1053">
        <f t="shared" si="105"/>
        <v>0</v>
      </c>
      <c r="G613" s="967"/>
      <c r="H613" s="914">
        <f t="shared" si="101"/>
        <v>0</v>
      </c>
      <c r="I613" s="967"/>
      <c r="J613" s="914">
        <f t="shared" si="102"/>
        <v>0</v>
      </c>
      <c r="K613" s="914"/>
      <c r="L613" s="914">
        <f t="shared" si="103"/>
        <v>0</v>
      </c>
      <c r="M613" s="967"/>
      <c r="N613" s="914">
        <f t="shared" si="104"/>
        <v>0</v>
      </c>
      <c r="O613" s="967"/>
      <c r="P613" s="914">
        <f t="shared" si="96"/>
        <v>0</v>
      </c>
      <c r="Q613" s="967"/>
      <c r="R613" s="914">
        <f t="shared" si="97"/>
        <v>0</v>
      </c>
      <c r="S613" s="967"/>
      <c r="T613" s="914">
        <f t="shared" si="98"/>
        <v>0</v>
      </c>
      <c r="U613" s="915">
        <f t="shared" si="100"/>
        <v>0</v>
      </c>
      <c r="V613" s="914">
        <f t="shared" si="99"/>
        <v>0</v>
      </c>
    </row>
    <row r="614" spans="1:22" ht="231.75" hidden="1" customHeight="1">
      <c r="A614" s="943"/>
      <c r="B614" s="924" t="s">
        <v>4731</v>
      </c>
      <c r="C614" s="913"/>
      <c r="D614" s="908"/>
      <c r="E614" s="911"/>
      <c r="F614" s="1053">
        <f t="shared" si="105"/>
        <v>0</v>
      </c>
      <c r="G614" s="914"/>
      <c r="H614" s="914">
        <f t="shared" si="101"/>
        <v>0</v>
      </c>
      <c r="I614" s="914"/>
      <c r="J614" s="914">
        <f t="shared" si="102"/>
        <v>0</v>
      </c>
      <c r="K614" s="914"/>
      <c r="L614" s="914">
        <f t="shared" si="103"/>
        <v>0</v>
      </c>
      <c r="M614" s="914"/>
      <c r="N614" s="914">
        <f t="shared" si="104"/>
        <v>0</v>
      </c>
      <c r="O614" s="914"/>
      <c r="P614" s="914">
        <f t="shared" si="96"/>
        <v>0</v>
      </c>
      <c r="Q614" s="914"/>
      <c r="R614" s="914">
        <f t="shared" si="97"/>
        <v>0</v>
      </c>
      <c r="S614" s="914"/>
      <c r="T614" s="914">
        <f t="shared" si="98"/>
        <v>0</v>
      </c>
      <c r="U614" s="915">
        <f t="shared" si="100"/>
        <v>0</v>
      </c>
      <c r="V614" s="914">
        <f t="shared" si="99"/>
        <v>0</v>
      </c>
    </row>
    <row r="615" spans="1:22" s="920" customFormat="1" ht="231.75" hidden="1" customHeight="1">
      <c r="A615" s="970"/>
      <c r="B615" s="917" t="s">
        <v>4363</v>
      </c>
      <c r="C615" s="971">
        <f>ROUND(DATA!K2827,2)</f>
        <v>6687.18</v>
      </c>
      <c r="D615" s="898" t="s">
        <v>2273</v>
      </c>
      <c r="E615" s="919"/>
      <c r="F615" s="1053">
        <f t="shared" si="105"/>
        <v>0</v>
      </c>
      <c r="G615" s="919"/>
      <c r="H615" s="914">
        <f t="shared" si="101"/>
        <v>0</v>
      </c>
      <c r="I615" s="919"/>
      <c r="J615" s="914">
        <f t="shared" si="102"/>
        <v>0</v>
      </c>
      <c r="K615" s="914"/>
      <c r="L615" s="914">
        <f t="shared" si="103"/>
        <v>0</v>
      </c>
      <c r="M615" s="919"/>
      <c r="N615" s="914">
        <f t="shared" si="104"/>
        <v>0</v>
      </c>
      <c r="O615" s="919"/>
      <c r="P615" s="914">
        <f t="shared" si="96"/>
        <v>0</v>
      </c>
      <c r="Q615" s="919"/>
      <c r="R615" s="914">
        <f t="shared" si="97"/>
        <v>0</v>
      </c>
      <c r="S615" s="919"/>
      <c r="T615" s="914">
        <f t="shared" si="98"/>
        <v>0</v>
      </c>
      <c r="U615" s="915">
        <f t="shared" si="100"/>
        <v>0</v>
      </c>
      <c r="V615" s="914">
        <f t="shared" si="99"/>
        <v>0</v>
      </c>
    </row>
    <row r="616" spans="1:22" ht="231.75" hidden="1" customHeight="1">
      <c r="A616" s="931"/>
      <c r="B616" s="906" t="s">
        <v>3585</v>
      </c>
      <c r="C616" s="921"/>
      <c r="D616" s="908"/>
      <c r="E616" s="919"/>
      <c r="F616" s="1053">
        <f t="shared" si="105"/>
        <v>0</v>
      </c>
      <c r="G616" s="919"/>
      <c r="H616" s="914">
        <f t="shared" si="101"/>
        <v>0</v>
      </c>
      <c r="I616" s="919"/>
      <c r="J616" s="914">
        <f t="shared" si="102"/>
        <v>0</v>
      </c>
      <c r="K616" s="914"/>
      <c r="L616" s="914">
        <f t="shared" si="103"/>
        <v>0</v>
      </c>
      <c r="M616" s="919"/>
      <c r="N616" s="914">
        <f t="shared" si="104"/>
        <v>0</v>
      </c>
      <c r="O616" s="919"/>
      <c r="P616" s="914">
        <f t="shared" si="96"/>
        <v>0</v>
      </c>
      <c r="Q616" s="919"/>
      <c r="R616" s="914">
        <f t="shared" si="97"/>
        <v>0</v>
      </c>
      <c r="S616" s="919"/>
      <c r="T616" s="914">
        <f t="shared" si="98"/>
        <v>0</v>
      </c>
      <c r="U616" s="915">
        <f t="shared" si="100"/>
        <v>0</v>
      </c>
      <c r="V616" s="914">
        <f t="shared" si="99"/>
        <v>0</v>
      </c>
    </row>
    <row r="617" spans="1:22" ht="231.75" hidden="1" customHeight="1">
      <c r="A617" s="931"/>
      <c r="B617" s="906" t="s">
        <v>4364</v>
      </c>
      <c r="C617" s="921">
        <f>DATA!R2867</f>
        <v>5747.88</v>
      </c>
      <c r="D617" s="908" t="s">
        <v>2273</v>
      </c>
      <c r="E617" s="919"/>
      <c r="F617" s="1053">
        <f t="shared" si="105"/>
        <v>0</v>
      </c>
      <c r="G617" s="919"/>
      <c r="H617" s="914">
        <f t="shared" si="101"/>
        <v>0</v>
      </c>
      <c r="I617" s="919"/>
      <c r="J617" s="914">
        <f t="shared" si="102"/>
        <v>0</v>
      </c>
      <c r="K617" s="914"/>
      <c r="L617" s="914">
        <f t="shared" si="103"/>
        <v>0</v>
      </c>
      <c r="M617" s="919"/>
      <c r="N617" s="914">
        <f t="shared" si="104"/>
        <v>0</v>
      </c>
      <c r="O617" s="919"/>
      <c r="P617" s="914">
        <f t="shared" si="96"/>
        <v>0</v>
      </c>
      <c r="Q617" s="919"/>
      <c r="R617" s="914">
        <f t="shared" si="97"/>
        <v>0</v>
      </c>
      <c r="S617" s="919"/>
      <c r="T617" s="914">
        <f t="shared" si="98"/>
        <v>0</v>
      </c>
      <c r="U617" s="915">
        <f t="shared" si="100"/>
        <v>0</v>
      </c>
      <c r="V617" s="914">
        <f t="shared" si="99"/>
        <v>0</v>
      </c>
    </row>
    <row r="618" spans="1:22" ht="231.75" hidden="1" customHeight="1">
      <c r="A618" s="931"/>
      <c r="B618" s="906" t="s">
        <v>4652</v>
      </c>
      <c r="C618" s="921">
        <f>DATA!R2834</f>
        <v>6050.31</v>
      </c>
      <c r="D618" s="908" t="s">
        <v>2273</v>
      </c>
      <c r="E618" s="919"/>
      <c r="F618" s="1053">
        <f t="shared" si="105"/>
        <v>0</v>
      </c>
      <c r="G618" s="919"/>
      <c r="H618" s="914">
        <f t="shared" si="101"/>
        <v>0</v>
      </c>
      <c r="I618" s="919"/>
      <c r="J618" s="914">
        <f t="shared" si="102"/>
        <v>0</v>
      </c>
      <c r="K618" s="914"/>
      <c r="L618" s="914">
        <f t="shared" si="103"/>
        <v>0</v>
      </c>
      <c r="M618" s="919"/>
      <c r="N618" s="914">
        <f t="shared" si="104"/>
        <v>0</v>
      </c>
      <c r="O618" s="919"/>
      <c r="P618" s="914">
        <f t="shared" si="96"/>
        <v>0</v>
      </c>
      <c r="Q618" s="919"/>
      <c r="R618" s="914">
        <f t="shared" si="97"/>
        <v>0</v>
      </c>
      <c r="S618" s="919"/>
      <c r="T618" s="914">
        <f t="shared" si="98"/>
        <v>0</v>
      </c>
      <c r="U618" s="915">
        <f t="shared" si="100"/>
        <v>0</v>
      </c>
      <c r="V618" s="914">
        <f t="shared" si="99"/>
        <v>0</v>
      </c>
    </row>
    <row r="619" spans="1:22" ht="231.75" hidden="1" customHeight="1">
      <c r="A619" s="931"/>
      <c r="B619" s="906" t="s">
        <v>4655</v>
      </c>
      <c r="C619" s="914">
        <f>DATA!K964</f>
        <v>5030.8599999999997</v>
      </c>
      <c r="D619" s="908" t="s">
        <v>2273</v>
      </c>
      <c r="E619" s="914"/>
      <c r="F619" s="1053">
        <f t="shared" si="105"/>
        <v>0</v>
      </c>
      <c r="G619" s="914"/>
      <c r="H619" s="914">
        <f t="shared" si="101"/>
        <v>0</v>
      </c>
      <c r="I619" s="914"/>
      <c r="J619" s="914">
        <f t="shared" si="102"/>
        <v>0</v>
      </c>
      <c r="K619" s="914"/>
      <c r="L619" s="914">
        <f t="shared" si="103"/>
        <v>0</v>
      </c>
      <c r="M619" s="914"/>
      <c r="N619" s="914">
        <f t="shared" si="104"/>
        <v>0</v>
      </c>
      <c r="O619" s="914"/>
      <c r="P619" s="914">
        <f t="shared" si="96"/>
        <v>0</v>
      </c>
      <c r="Q619" s="914"/>
      <c r="R619" s="914">
        <f t="shared" si="97"/>
        <v>0</v>
      </c>
      <c r="S619" s="914"/>
      <c r="T619" s="914">
        <f t="shared" si="98"/>
        <v>0</v>
      </c>
      <c r="U619" s="915">
        <f t="shared" si="100"/>
        <v>0</v>
      </c>
      <c r="V619" s="914">
        <f t="shared" si="99"/>
        <v>0</v>
      </c>
    </row>
    <row r="620" spans="1:22" ht="231.75" hidden="1" customHeight="1">
      <c r="A620" s="931"/>
      <c r="B620" s="906" t="s">
        <v>4730</v>
      </c>
      <c r="C620" s="919">
        <f>DATA!K1000</f>
        <v>5046.57</v>
      </c>
      <c r="D620" s="908" t="s">
        <v>2273</v>
      </c>
      <c r="E620" s="914"/>
      <c r="F620" s="1053">
        <f t="shared" si="105"/>
        <v>0</v>
      </c>
      <c r="G620" s="914"/>
      <c r="H620" s="914">
        <f t="shared" si="101"/>
        <v>0</v>
      </c>
      <c r="I620" s="914"/>
      <c r="J620" s="914">
        <f t="shared" si="102"/>
        <v>0</v>
      </c>
      <c r="K620" s="914"/>
      <c r="L620" s="914">
        <f t="shared" si="103"/>
        <v>0</v>
      </c>
      <c r="M620" s="914"/>
      <c r="N620" s="914">
        <f t="shared" si="104"/>
        <v>0</v>
      </c>
      <c r="O620" s="914"/>
      <c r="P620" s="914">
        <f t="shared" si="96"/>
        <v>0</v>
      </c>
      <c r="Q620" s="914"/>
      <c r="R620" s="914">
        <f t="shared" si="97"/>
        <v>0</v>
      </c>
      <c r="S620" s="914"/>
      <c r="T620" s="914">
        <f t="shared" si="98"/>
        <v>0</v>
      </c>
      <c r="U620" s="915">
        <f t="shared" si="100"/>
        <v>0</v>
      </c>
      <c r="V620" s="914">
        <f t="shared" si="99"/>
        <v>0</v>
      </c>
    </row>
    <row r="621" spans="1:22" ht="231.75" hidden="1" customHeight="1">
      <c r="A621" s="931"/>
      <c r="B621" s="924" t="s">
        <v>4365</v>
      </c>
      <c r="C621" s="921"/>
      <c r="D621" s="908"/>
      <c r="E621" s="914"/>
      <c r="F621" s="1053">
        <f t="shared" si="105"/>
        <v>0</v>
      </c>
      <c r="G621" s="914"/>
      <c r="H621" s="914">
        <f t="shared" si="101"/>
        <v>0</v>
      </c>
      <c r="I621" s="914"/>
      <c r="J621" s="914">
        <f t="shared" si="102"/>
        <v>0</v>
      </c>
      <c r="K621" s="914"/>
      <c r="L621" s="914">
        <f t="shared" si="103"/>
        <v>0</v>
      </c>
      <c r="M621" s="914"/>
      <c r="N621" s="914">
        <f t="shared" si="104"/>
        <v>0</v>
      </c>
      <c r="O621" s="914"/>
      <c r="P621" s="914">
        <f t="shared" si="96"/>
        <v>0</v>
      </c>
      <c r="Q621" s="914"/>
      <c r="R621" s="914">
        <f t="shared" si="97"/>
        <v>0</v>
      </c>
      <c r="S621" s="914"/>
      <c r="T621" s="914">
        <f t="shared" si="98"/>
        <v>0</v>
      </c>
      <c r="U621" s="915">
        <f t="shared" si="100"/>
        <v>0</v>
      </c>
      <c r="V621" s="914">
        <f t="shared" si="99"/>
        <v>0</v>
      </c>
    </row>
    <row r="622" spans="1:22" ht="231.75" hidden="1" customHeight="1">
      <c r="A622" s="931"/>
      <c r="B622" s="906" t="s">
        <v>6647</v>
      </c>
      <c r="C622" s="921">
        <f>DATA!K3434</f>
        <v>5266.65</v>
      </c>
      <c r="D622" s="908" t="s">
        <v>2273</v>
      </c>
      <c r="E622" s="919"/>
      <c r="F622" s="1053">
        <f t="shared" si="105"/>
        <v>0</v>
      </c>
      <c r="G622" s="919"/>
      <c r="H622" s="914">
        <f t="shared" si="101"/>
        <v>0</v>
      </c>
      <c r="I622" s="919"/>
      <c r="J622" s="914">
        <f t="shared" si="102"/>
        <v>0</v>
      </c>
      <c r="K622" s="914"/>
      <c r="L622" s="914">
        <f t="shared" si="103"/>
        <v>0</v>
      </c>
      <c r="M622" s="919"/>
      <c r="N622" s="914">
        <f t="shared" si="104"/>
        <v>0</v>
      </c>
      <c r="O622" s="919"/>
      <c r="P622" s="914">
        <f t="shared" si="96"/>
        <v>0</v>
      </c>
      <c r="Q622" s="919"/>
      <c r="R622" s="914">
        <f t="shared" si="97"/>
        <v>0</v>
      </c>
      <c r="S622" s="919"/>
      <c r="T622" s="914">
        <f t="shared" si="98"/>
        <v>0</v>
      </c>
      <c r="U622" s="915">
        <f t="shared" si="100"/>
        <v>0</v>
      </c>
      <c r="V622" s="914">
        <f t="shared" si="99"/>
        <v>0</v>
      </c>
    </row>
    <row r="623" spans="1:22" ht="231.75" hidden="1" customHeight="1">
      <c r="A623" s="931"/>
      <c r="B623" s="949" t="s">
        <v>6648</v>
      </c>
      <c r="C623" s="921">
        <f>DATA!AG2629</f>
        <v>5871.42</v>
      </c>
      <c r="D623" s="908" t="s">
        <v>2273</v>
      </c>
      <c r="E623" s="919"/>
      <c r="F623" s="1053">
        <f t="shared" si="105"/>
        <v>0</v>
      </c>
      <c r="G623" s="919"/>
      <c r="H623" s="914">
        <f t="shared" si="101"/>
        <v>0</v>
      </c>
      <c r="I623" s="919"/>
      <c r="J623" s="914">
        <f t="shared" si="102"/>
        <v>0</v>
      </c>
      <c r="K623" s="914"/>
      <c r="L623" s="914">
        <f t="shared" si="103"/>
        <v>0</v>
      </c>
      <c r="M623" s="919"/>
      <c r="N623" s="914">
        <f t="shared" si="104"/>
        <v>0</v>
      </c>
      <c r="O623" s="919"/>
      <c r="P623" s="914">
        <f t="shared" si="96"/>
        <v>0</v>
      </c>
      <c r="Q623" s="919"/>
      <c r="R623" s="914">
        <f t="shared" si="97"/>
        <v>0</v>
      </c>
      <c r="S623" s="919"/>
      <c r="T623" s="914">
        <f t="shared" si="98"/>
        <v>0</v>
      </c>
      <c r="U623" s="915">
        <f t="shared" si="100"/>
        <v>0</v>
      </c>
      <c r="V623" s="914">
        <f t="shared" si="99"/>
        <v>0</v>
      </c>
    </row>
    <row r="624" spans="1:22" ht="231.75" hidden="1" customHeight="1">
      <c r="A624" s="931"/>
      <c r="B624" s="906" t="s">
        <v>6649</v>
      </c>
      <c r="C624" s="922">
        <v>8756.6299999999992</v>
      </c>
      <c r="D624" s="972" t="s">
        <v>2273</v>
      </c>
      <c r="E624" s="919"/>
      <c r="F624" s="1053">
        <f t="shared" si="105"/>
        <v>0</v>
      </c>
      <c r="G624" s="919"/>
      <c r="H624" s="914">
        <f t="shared" si="101"/>
        <v>0</v>
      </c>
      <c r="I624" s="919"/>
      <c r="J624" s="914">
        <f t="shared" si="102"/>
        <v>0</v>
      </c>
      <c r="K624" s="914"/>
      <c r="L624" s="914">
        <f t="shared" si="103"/>
        <v>0</v>
      </c>
      <c r="M624" s="919"/>
      <c r="N624" s="914">
        <f t="shared" si="104"/>
        <v>0</v>
      </c>
      <c r="O624" s="919"/>
      <c r="P624" s="914">
        <f t="shared" si="96"/>
        <v>0</v>
      </c>
      <c r="Q624" s="919"/>
      <c r="R624" s="914">
        <f t="shared" si="97"/>
        <v>0</v>
      </c>
      <c r="S624" s="919"/>
      <c r="T624" s="914">
        <f t="shared" si="98"/>
        <v>0</v>
      </c>
      <c r="U624" s="915">
        <f t="shared" si="100"/>
        <v>0</v>
      </c>
      <c r="V624" s="914">
        <f t="shared" si="99"/>
        <v>0</v>
      </c>
    </row>
    <row r="625" spans="1:22" ht="231.75" hidden="1" customHeight="1">
      <c r="A625" s="931"/>
      <c r="B625" s="906" t="s">
        <v>6650</v>
      </c>
      <c r="C625" s="921">
        <f>DATA!R3203</f>
        <v>6220.61</v>
      </c>
      <c r="D625" s="908" t="s">
        <v>2273</v>
      </c>
      <c r="E625" s="919"/>
      <c r="F625" s="1053">
        <f t="shared" si="105"/>
        <v>0</v>
      </c>
      <c r="G625" s="919"/>
      <c r="H625" s="914">
        <f t="shared" si="101"/>
        <v>0</v>
      </c>
      <c r="I625" s="919"/>
      <c r="J625" s="914">
        <f t="shared" si="102"/>
        <v>0</v>
      </c>
      <c r="K625" s="914"/>
      <c r="L625" s="914">
        <f t="shared" si="103"/>
        <v>0</v>
      </c>
      <c r="M625" s="919"/>
      <c r="N625" s="914">
        <f t="shared" si="104"/>
        <v>0</v>
      </c>
      <c r="O625" s="919"/>
      <c r="P625" s="914">
        <f t="shared" si="96"/>
        <v>0</v>
      </c>
      <c r="Q625" s="919"/>
      <c r="R625" s="914">
        <f t="shared" si="97"/>
        <v>0</v>
      </c>
      <c r="S625" s="919"/>
      <c r="T625" s="914">
        <f t="shared" si="98"/>
        <v>0</v>
      </c>
      <c r="U625" s="915">
        <f t="shared" si="100"/>
        <v>0</v>
      </c>
      <c r="V625" s="914">
        <f t="shared" si="99"/>
        <v>0</v>
      </c>
    </row>
    <row r="626" spans="1:22" ht="231.75" hidden="1" customHeight="1">
      <c r="A626" s="931"/>
      <c r="B626" s="973" t="s">
        <v>6651</v>
      </c>
      <c r="C626" s="921">
        <f>DATA!K2647</f>
        <v>6538.42</v>
      </c>
      <c r="D626" s="908" t="s">
        <v>2273</v>
      </c>
      <c r="E626" s="914"/>
      <c r="F626" s="1053">
        <f t="shared" si="105"/>
        <v>0</v>
      </c>
      <c r="G626" s="914"/>
      <c r="H626" s="914">
        <f t="shared" si="101"/>
        <v>0</v>
      </c>
      <c r="I626" s="914"/>
      <c r="J626" s="914">
        <f t="shared" si="102"/>
        <v>0</v>
      </c>
      <c r="K626" s="914"/>
      <c r="L626" s="914">
        <f t="shared" si="103"/>
        <v>0</v>
      </c>
      <c r="M626" s="914"/>
      <c r="N626" s="914">
        <f t="shared" si="104"/>
        <v>0</v>
      </c>
      <c r="O626" s="914"/>
      <c r="P626" s="914">
        <f t="shared" si="96"/>
        <v>0</v>
      </c>
      <c r="Q626" s="914"/>
      <c r="R626" s="914">
        <f t="shared" si="97"/>
        <v>0</v>
      </c>
      <c r="S626" s="914"/>
      <c r="T626" s="914">
        <f t="shared" si="98"/>
        <v>0</v>
      </c>
      <c r="U626" s="915">
        <f t="shared" si="100"/>
        <v>0</v>
      </c>
      <c r="V626" s="914">
        <f t="shared" si="99"/>
        <v>0</v>
      </c>
    </row>
    <row r="627" spans="1:22" ht="231.75" hidden="1" customHeight="1">
      <c r="A627" s="931"/>
      <c r="B627" s="949" t="s">
        <v>6652</v>
      </c>
      <c r="C627" s="921">
        <f>DATA!R2654</f>
        <v>7153.15</v>
      </c>
      <c r="D627" s="908" t="s">
        <v>2273</v>
      </c>
      <c r="E627" s="919"/>
      <c r="F627" s="1053">
        <f t="shared" si="105"/>
        <v>0</v>
      </c>
      <c r="G627" s="919"/>
      <c r="H627" s="914">
        <f t="shared" si="101"/>
        <v>0</v>
      </c>
      <c r="I627" s="919"/>
      <c r="J627" s="914">
        <f t="shared" si="102"/>
        <v>0</v>
      </c>
      <c r="K627" s="914"/>
      <c r="L627" s="914">
        <f t="shared" si="103"/>
        <v>0</v>
      </c>
      <c r="M627" s="919"/>
      <c r="N627" s="914">
        <f t="shared" si="104"/>
        <v>0</v>
      </c>
      <c r="O627" s="919"/>
      <c r="P627" s="914">
        <f t="shared" si="96"/>
        <v>0</v>
      </c>
      <c r="Q627" s="919"/>
      <c r="R627" s="914">
        <f t="shared" si="97"/>
        <v>0</v>
      </c>
      <c r="S627" s="919"/>
      <c r="T627" s="914">
        <f t="shared" si="98"/>
        <v>0</v>
      </c>
      <c r="U627" s="915">
        <f t="shared" si="100"/>
        <v>0</v>
      </c>
      <c r="V627" s="914">
        <f t="shared" si="99"/>
        <v>0</v>
      </c>
    </row>
    <row r="628" spans="1:22" ht="231.75" hidden="1" customHeight="1">
      <c r="A628" s="931"/>
      <c r="B628" s="974" t="s">
        <v>6653</v>
      </c>
      <c r="C628" s="921">
        <f>'Sliding and french window'!G219</f>
        <v>27750</v>
      </c>
      <c r="D628" s="908" t="s">
        <v>1393</v>
      </c>
      <c r="E628" s="919"/>
      <c r="F628" s="1053">
        <f t="shared" si="105"/>
        <v>0</v>
      </c>
      <c r="G628" s="919"/>
      <c r="H628" s="914">
        <f t="shared" si="101"/>
        <v>0</v>
      </c>
      <c r="I628" s="919"/>
      <c r="J628" s="914">
        <f t="shared" si="102"/>
        <v>0</v>
      </c>
      <c r="K628" s="914"/>
      <c r="L628" s="914">
        <f t="shared" si="103"/>
        <v>0</v>
      </c>
      <c r="M628" s="919"/>
      <c r="N628" s="914">
        <f t="shared" si="104"/>
        <v>0</v>
      </c>
      <c r="O628" s="919"/>
      <c r="P628" s="914">
        <f t="shared" ref="P628:P691" si="106">O628*C628</f>
        <v>0</v>
      </c>
      <c r="Q628" s="919"/>
      <c r="R628" s="914">
        <f t="shared" ref="R628:R691" si="107">Q628*C628</f>
        <v>0</v>
      </c>
      <c r="S628" s="919"/>
      <c r="T628" s="914">
        <f t="shared" ref="T628:T691" si="108">S628*C628</f>
        <v>0</v>
      </c>
      <c r="U628" s="915">
        <f t="shared" si="100"/>
        <v>0</v>
      </c>
      <c r="V628" s="914">
        <f t="shared" si="99"/>
        <v>0</v>
      </c>
    </row>
    <row r="629" spans="1:22" ht="231.75" hidden="1" customHeight="1">
      <c r="A629" s="931"/>
      <c r="B629" s="925" t="s">
        <v>4733</v>
      </c>
      <c r="C629" s="957"/>
      <c r="D629" s="957"/>
      <c r="E629" s="919"/>
      <c r="F629" s="1053">
        <f t="shared" si="105"/>
        <v>0</v>
      </c>
      <c r="G629" s="919"/>
      <c r="H629" s="914">
        <f t="shared" si="101"/>
        <v>0</v>
      </c>
      <c r="I629" s="919"/>
      <c r="J629" s="914">
        <f t="shared" si="102"/>
        <v>0</v>
      </c>
      <c r="K629" s="914"/>
      <c r="L629" s="914">
        <f t="shared" si="103"/>
        <v>0</v>
      </c>
      <c r="M629" s="919"/>
      <c r="N629" s="914">
        <f t="shared" si="104"/>
        <v>0</v>
      </c>
      <c r="O629" s="919"/>
      <c r="P629" s="914">
        <f t="shared" si="106"/>
        <v>0</v>
      </c>
      <c r="Q629" s="919"/>
      <c r="R629" s="914">
        <f t="shared" si="107"/>
        <v>0</v>
      </c>
      <c r="S629" s="919"/>
      <c r="T629" s="914">
        <f t="shared" si="108"/>
        <v>0</v>
      </c>
      <c r="U629" s="915">
        <f t="shared" si="100"/>
        <v>0</v>
      </c>
      <c r="V629" s="914">
        <f t="shared" si="99"/>
        <v>0</v>
      </c>
    </row>
    <row r="630" spans="1:22" ht="231.75" hidden="1" customHeight="1">
      <c r="A630" s="931"/>
      <c r="B630" s="906" t="s">
        <v>4728</v>
      </c>
      <c r="C630" s="922">
        <v>3346.03</v>
      </c>
      <c r="D630" s="908" t="s">
        <v>230</v>
      </c>
      <c r="E630" s="919"/>
      <c r="F630" s="1053">
        <f t="shared" si="105"/>
        <v>0</v>
      </c>
      <c r="G630" s="919"/>
      <c r="H630" s="914">
        <f t="shared" si="101"/>
        <v>0</v>
      </c>
      <c r="I630" s="919"/>
      <c r="J630" s="914">
        <f t="shared" si="102"/>
        <v>0</v>
      </c>
      <c r="K630" s="914"/>
      <c r="L630" s="914">
        <f t="shared" si="103"/>
        <v>0</v>
      </c>
      <c r="M630" s="919"/>
      <c r="N630" s="914">
        <f t="shared" si="104"/>
        <v>0</v>
      </c>
      <c r="O630" s="919"/>
      <c r="P630" s="914">
        <f t="shared" si="106"/>
        <v>0</v>
      </c>
      <c r="Q630" s="919"/>
      <c r="R630" s="914">
        <f t="shared" si="107"/>
        <v>0</v>
      </c>
      <c r="S630" s="919"/>
      <c r="T630" s="914">
        <f t="shared" si="108"/>
        <v>0</v>
      </c>
      <c r="U630" s="915">
        <f t="shared" si="100"/>
        <v>0</v>
      </c>
      <c r="V630" s="914">
        <f t="shared" si="99"/>
        <v>0</v>
      </c>
    </row>
    <row r="631" spans="1:22" ht="231.75" hidden="1" customHeight="1">
      <c r="A631" s="931"/>
      <c r="B631" s="906" t="s">
        <v>4729</v>
      </c>
      <c r="C631" s="945">
        <v>2819.29</v>
      </c>
      <c r="D631" s="908" t="s">
        <v>230</v>
      </c>
      <c r="E631" s="919"/>
      <c r="F631" s="1053">
        <f t="shared" si="105"/>
        <v>0</v>
      </c>
      <c r="G631" s="919"/>
      <c r="H631" s="914">
        <f t="shared" si="101"/>
        <v>0</v>
      </c>
      <c r="I631" s="919"/>
      <c r="J631" s="914">
        <f t="shared" si="102"/>
        <v>0</v>
      </c>
      <c r="K631" s="914"/>
      <c r="L631" s="914">
        <f t="shared" si="103"/>
        <v>0</v>
      </c>
      <c r="M631" s="919"/>
      <c r="N631" s="914">
        <f t="shared" si="104"/>
        <v>0</v>
      </c>
      <c r="O631" s="919"/>
      <c r="P631" s="914">
        <f t="shared" si="106"/>
        <v>0</v>
      </c>
      <c r="Q631" s="919"/>
      <c r="R631" s="914">
        <f t="shared" si="107"/>
        <v>0</v>
      </c>
      <c r="S631" s="919"/>
      <c r="T631" s="914">
        <f t="shared" si="108"/>
        <v>0</v>
      </c>
      <c r="U631" s="915">
        <f t="shared" si="100"/>
        <v>0</v>
      </c>
      <c r="V631" s="914">
        <f t="shared" si="99"/>
        <v>0</v>
      </c>
    </row>
    <row r="632" spans="1:22" ht="231.75" hidden="1" customHeight="1">
      <c r="A632" s="943"/>
      <c r="B632" s="906" t="s">
        <v>4732</v>
      </c>
      <c r="C632" s="945">
        <v>2596.6799999999998</v>
      </c>
      <c r="D632" s="908" t="s">
        <v>2273</v>
      </c>
      <c r="E632" s="914"/>
      <c r="F632" s="1053">
        <f t="shared" si="105"/>
        <v>0</v>
      </c>
      <c r="G632" s="914"/>
      <c r="H632" s="914">
        <f t="shared" si="101"/>
        <v>0</v>
      </c>
      <c r="I632" s="914"/>
      <c r="J632" s="914">
        <f t="shared" si="102"/>
        <v>0</v>
      </c>
      <c r="K632" s="914"/>
      <c r="L632" s="914">
        <f t="shared" si="103"/>
        <v>0</v>
      </c>
      <c r="M632" s="914"/>
      <c r="N632" s="914">
        <f t="shared" si="104"/>
        <v>0</v>
      </c>
      <c r="O632" s="914"/>
      <c r="P632" s="914">
        <f t="shared" si="106"/>
        <v>0</v>
      </c>
      <c r="Q632" s="914"/>
      <c r="R632" s="914">
        <f t="shared" si="107"/>
        <v>0</v>
      </c>
      <c r="S632" s="914"/>
      <c r="T632" s="914">
        <f t="shared" si="108"/>
        <v>0</v>
      </c>
      <c r="U632" s="915">
        <f t="shared" si="100"/>
        <v>0</v>
      </c>
      <c r="V632" s="914">
        <f t="shared" si="99"/>
        <v>0</v>
      </c>
    </row>
    <row r="633" spans="1:22" ht="231.75" hidden="1" customHeight="1">
      <c r="A633" s="931"/>
      <c r="B633" s="906" t="s">
        <v>4366</v>
      </c>
      <c r="C633" s="918">
        <f>DATA!R1000</f>
        <v>4068.54</v>
      </c>
      <c r="D633" s="918" t="s">
        <v>2273</v>
      </c>
      <c r="E633" s="919"/>
      <c r="F633" s="1053">
        <f t="shared" si="105"/>
        <v>0</v>
      </c>
      <c r="G633" s="919"/>
      <c r="H633" s="914">
        <f t="shared" si="101"/>
        <v>0</v>
      </c>
      <c r="I633" s="919"/>
      <c r="J633" s="914">
        <f t="shared" si="102"/>
        <v>0</v>
      </c>
      <c r="K633" s="914"/>
      <c r="L633" s="914">
        <f t="shared" si="103"/>
        <v>0</v>
      </c>
      <c r="M633" s="919"/>
      <c r="N633" s="914">
        <f t="shared" si="104"/>
        <v>0</v>
      </c>
      <c r="O633" s="919"/>
      <c r="P633" s="914">
        <f t="shared" si="106"/>
        <v>0</v>
      </c>
      <c r="Q633" s="919"/>
      <c r="R633" s="914">
        <f t="shared" si="107"/>
        <v>0</v>
      </c>
      <c r="S633" s="919"/>
      <c r="T633" s="914">
        <f t="shared" si="108"/>
        <v>0</v>
      </c>
      <c r="U633" s="915">
        <f t="shared" si="100"/>
        <v>0</v>
      </c>
      <c r="V633" s="914">
        <f t="shared" si="99"/>
        <v>0</v>
      </c>
    </row>
    <row r="634" spans="1:22" ht="231.75" hidden="1" customHeight="1">
      <c r="A634" s="931"/>
      <c r="B634" s="906" t="s">
        <v>4707</v>
      </c>
      <c r="C634" s="921">
        <v>8847.7900000000009</v>
      </c>
      <c r="D634" s="908" t="s">
        <v>2273</v>
      </c>
      <c r="E634" s="919"/>
      <c r="F634" s="1053">
        <f t="shared" si="105"/>
        <v>0</v>
      </c>
      <c r="G634" s="919"/>
      <c r="H634" s="914">
        <f t="shared" si="101"/>
        <v>0</v>
      </c>
      <c r="I634" s="919"/>
      <c r="J634" s="914">
        <f t="shared" si="102"/>
        <v>0</v>
      </c>
      <c r="K634" s="914"/>
      <c r="L634" s="914">
        <f t="shared" si="103"/>
        <v>0</v>
      </c>
      <c r="M634" s="919"/>
      <c r="N634" s="914">
        <f t="shared" si="104"/>
        <v>0</v>
      </c>
      <c r="O634" s="919"/>
      <c r="P634" s="914">
        <f t="shared" si="106"/>
        <v>0</v>
      </c>
      <c r="Q634" s="919"/>
      <c r="R634" s="914">
        <f t="shared" si="107"/>
        <v>0</v>
      </c>
      <c r="S634" s="919"/>
      <c r="T634" s="914">
        <f t="shared" si="108"/>
        <v>0</v>
      </c>
      <c r="U634" s="915">
        <f t="shared" si="100"/>
        <v>0</v>
      </c>
      <c r="V634" s="914">
        <f t="shared" si="99"/>
        <v>0</v>
      </c>
    </row>
    <row r="635" spans="1:22" ht="231.75" hidden="1" customHeight="1">
      <c r="A635" s="905" t="s">
        <v>3510</v>
      </c>
      <c r="B635" s="906" t="s">
        <v>4333</v>
      </c>
      <c r="C635" s="913">
        <f>DATA!C704</f>
        <v>3325</v>
      </c>
      <c r="D635" s="908" t="s">
        <v>2273</v>
      </c>
      <c r="E635" s="914"/>
      <c r="F635" s="1053">
        <f t="shared" si="105"/>
        <v>0</v>
      </c>
      <c r="G635" s="914"/>
      <c r="H635" s="914">
        <f t="shared" si="101"/>
        <v>0</v>
      </c>
      <c r="I635" s="914"/>
      <c r="J635" s="914">
        <f t="shared" si="102"/>
        <v>0</v>
      </c>
      <c r="K635" s="914"/>
      <c r="L635" s="914">
        <f t="shared" si="103"/>
        <v>0</v>
      </c>
      <c r="M635" s="914"/>
      <c r="N635" s="914">
        <f t="shared" si="104"/>
        <v>0</v>
      </c>
      <c r="O635" s="914"/>
      <c r="P635" s="914">
        <f t="shared" si="106"/>
        <v>0</v>
      </c>
      <c r="Q635" s="914"/>
      <c r="R635" s="914">
        <f t="shared" si="107"/>
        <v>0</v>
      </c>
      <c r="S635" s="914"/>
      <c r="T635" s="914">
        <f t="shared" si="108"/>
        <v>0</v>
      </c>
      <c r="U635" s="915">
        <f t="shared" si="100"/>
        <v>0</v>
      </c>
      <c r="V635" s="914">
        <f t="shared" si="99"/>
        <v>0</v>
      </c>
    </row>
    <row r="636" spans="1:22" s="920" customFormat="1" ht="231.75" hidden="1" customHeight="1">
      <c r="A636" s="975" t="s">
        <v>694</v>
      </c>
      <c r="B636" s="917" t="s">
        <v>4727</v>
      </c>
      <c r="C636" s="918">
        <f>ROUND(DATA!K1185,2)</f>
        <v>835.7</v>
      </c>
      <c r="D636" s="898" t="s">
        <v>2273</v>
      </c>
      <c r="E636" s="919"/>
      <c r="F636" s="1053">
        <f t="shared" si="105"/>
        <v>0</v>
      </c>
      <c r="G636" s="919"/>
      <c r="H636" s="914">
        <f t="shared" si="101"/>
        <v>0</v>
      </c>
      <c r="I636" s="919"/>
      <c r="J636" s="914">
        <f t="shared" si="102"/>
        <v>0</v>
      </c>
      <c r="K636" s="914"/>
      <c r="L636" s="914">
        <f t="shared" si="103"/>
        <v>0</v>
      </c>
      <c r="M636" s="919"/>
      <c r="N636" s="914">
        <f t="shared" si="104"/>
        <v>0</v>
      </c>
      <c r="O636" s="919"/>
      <c r="P636" s="914">
        <f t="shared" si="106"/>
        <v>0</v>
      </c>
      <c r="Q636" s="919"/>
      <c r="R636" s="914">
        <f t="shared" si="107"/>
        <v>0</v>
      </c>
      <c r="S636" s="919"/>
      <c r="T636" s="914">
        <f t="shared" si="108"/>
        <v>0</v>
      </c>
      <c r="U636" s="915">
        <f t="shared" si="100"/>
        <v>0</v>
      </c>
      <c r="V636" s="914">
        <f t="shared" si="99"/>
        <v>0</v>
      </c>
    </row>
    <row r="637" spans="1:22" ht="231.75" hidden="1" customHeight="1">
      <c r="A637" s="927"/>
      <c r="B637" s="924" t="s">
        <v>225</v>
      </c>
      <c r="C637" s="913"/>
      <c r="D637" s="908"/>
      <c r="E637" s="919"/>
      <c r="F637" s="1053">
        <f t="shared" si="105"/>
        <v>0</v>
      </c>
      <c r="G637" s="919"/>
      <c r="H637" s="914">
        <f t="shared" si="101"/>
        <v>0</v>
      </c>
      <c r="I637" s="919"/>
      <c r="J637" s="914">
        <f t="shared" si="102"/>
        <v>0</v>
      </c>
      <c r="K637" s="914"/>
      <c r="L637" s="914">
        <f t="shared" si="103"/>
        <v>0</v>
      </c>
      <c r="M637" s="919"/>
      <c r="N637" s="914">
        <f t="shared" si="104"/>
        <v>0</v>
      </c>
      <c r="O637" s="919"/>
      <c r="P637" s="914">
        <f t="shared" si="106"/>
        <v>0</v>
      </c>
      <c r="Q637" s="919"/>
      <c r="R637" s="914">
        <f t="shared" si="107"/>
        <v>0</v>
      </c>
      <c r="S637" s="919"/>
      <c r="T637" s="914">
        <f t="shared" si="108"/>
        <v>0</v>
      </c>
      <c r="U637" s="915">
        <f t="shared" si="100"/>
        <v>0</v>
      </c>
      <c r="V637" s="914">
        <f t="shared" si="99"/>
        <v>0</v>
      </c>
    </row>
    <row r="638" spans="1:22" ht="231.75" hidden="1" customHeight="1">
      <c r="A638" s="927"/>
      <c r="B638" s="906" t="s">
        <v>1247</v>
      </c>
      <c r="C638" s="913">
        <f>ROUND(DATA!K628,2)</f>
        <v>602.47</v>
      </c>
      <c r="D638" s="908" t="s">
        <v>1834</v>
      </c>
      <c r="E638" s="919"/>
      <c r="F638" s="1053">
        <f t="shared" si="105"/>
        <v>0</v>
      </c>
      <c r="G638" s="919"/>
      <c r="H638" s="914">
        <f t="shared" si="101"/>
        <v>0</v>
      </c>
      <c r="I638" s="919"/>
      <c r="J638" s="914">
        <f t="shared" si="102"/>
        <v>0</v>
      </c>
      <c r="K638" s="914"/>
      <c r="L638" s="914">
        <f t="shared" si="103"/>
        <v>0</v>
      </c>
      <c r="M638" s="919"/>
      <c r="N638" s="914">
        <f t="shared" si="104"/>
        <v>0</v>
      </c>
      <c r="O638" s="919"/>
      <c r="P638" s="914">
        <f t="shared" si="106"/>
        <v>0</v>
      </c>
      <c r="Q638" s="919"/>
      <c r="R638" s="914">
        <f t="shared" si="107"/>
        <v>0</v>
      </c>
      <c r="S638" s="919"/>
      <c r="T638" s="914">
        <f t="shared" si="108"/>
        <v>0</v>
      </c>
      <c r="U638" s="915">
        <f t="shared" si="100"/>
        <v>0</v>
      </c>
      <c r="V638" s="914">
        <f t="shared" si="99"/>
        <v>0</v>
      </c>
    </row>
    <row r="639" spans="1:22" ht="231.75" hidden="1" customHeight="1">
      <c r="A639" s="927"/>
      <c r="B639" s="906" t="s">
        <v>1381</v>
      </c>
      <c r="C639" s="913">
        <f>ROUND(DATA!K629,2)</f>
        <v>607.19000000000005</v>
      </c>
      <c r="D639" s="908" t="s">
        <v>1834</v>
      </c>
      <c r="E639" s="919"/>
      <c r="F639" s="1053">
        <f t="shared" si="105"/>
        <v>0</v>
      </c>
      <c r="G639" s="919"/>
      <c r="H639" s="914">
        <f t="shared" si="101"/>
        <v>0</v>
      </c>
      <c r="I639" s="919"/>
      <c r="J639" s="914">
        <f t="shared" si="102"/>
        <v>0</v>
      </c>
      <c r="K639" s="914"/>
      <c r="L639" s="914">
        <f t="shared" si="103"/>
        <v>0</v>
      </c>
      <c r="M639" s="919"/>
      <c r="N639" s="914">
        <f t="shared" si="104"/>
        <v>0</v>
      </c>
      <c r="O639" s="919"/>
      <c r="P639" s="914">
        <f t="shared" si="106"/>
        <v>0</v>
      </c>
      <c r="Q639" s="919"/>
      <c r="R639" s="914">
        <f t="shared" si="107"/>
        <v>0</v>
      </c>
      <c r="S639" s="919"/>
      <c r="T639" s="914">
        <f t="shared" si="108"/>
        <v>0</v>
      </c>
      <c r="U639" s="915">
        <f t="shared" si="100"/>
        <v>0</v>
      </c>
      <c r="V639" s="914">
        <f t="shared" si="99"/>
        <v>0</v>
      </c>
    </row>
    <row r="640" spans="1:22" ht="231.75" hidden="1" customHeight="1">
      <c r="A640" s="927"/>
      <c r="B640" s="906" t="s">
        <v>1429</v>
      </c>
      <c r="C640" s="913">
        <f>ROUND(DATA!K630,2)</f>
        <v>611.91</v>
      </c>
      <c r="D640" s="908" t="s">
        <v>1834</v>
      </c>
      <c r="E640" s="919"/>
      <c r="F640" s="1053">
        <f t="shared" si="105"/>
        <v>0</v>
      </c>
      <c r="G640" s="919"/>
      <c r="H640" s="914">
        <f t="shared" si="101"/>
        <v>0</v>
      </c>
      <c r="I640" s="919"/>
      <c r="J640" s="914">
        <f t="shared" si="102"/>
        <v>0</v>
      </c>
      <c r="K640" s="914"/>
      <c r="L640" s="914">
        <f t="shared" si="103"/>
        <v>0</v>
      </c>
      <c r="M640" s="919"/>
      <c r="N640" s="914">
        <f t="shared" si="104"/>
        <v>0</v>
      </c>
      <c r="O640" s="919"/>
      <c r="P640" s="914">
        <f t="shared" si="106"/>
        <v>0</v>
      </c>
      <c r="Q640" s="919"/>
      <c r="R640" s="914">
        <f t="shared" si="107"/>
        <v>0</v>
      </c>
      <c r="S640" s="919"/>
      <c r="T640" s="914">
        <f t="shared" si="108"/>
        <v>0</v>
      </c>
      <c r="U640" s="915">
        <f t="shared" si="100"/>
        <v>0</v>
      </c>
      <c r="V640" s="914">
        <f t="shared" si="99"/>
        <v>0</v>
      </c>
    </row>
    <row r="641" spans="1:22" ht="231.75" hidden="1" customHeight="1">
      <c r="A641" s="927"/>
      <c r="B641" s="906" t="s">
        <v>1319</v>
      </c>
      <c r="C641" s="913">
        <f>ROUND(DATA!K631,2)</f>
        <v>616.63</v>
      </c>
      <c r="D641" s="908" t="s">
        <v>1834</v>
      </c>
      <c r="E641" s="919"/>
      <c r="F641" s="1053">
        <f t="shared" si="105"/>
        <v>0</v>
      </c>
      <c r="G641" s="919"/>
      <c r="H641" s="914">
        <f t="shared" si="101"/>
        <v>0</v>
      </c>
      <c r="I641" s="919"/>
      <c r="J641" s="914">
        <f t="shared" si="102"/>
        <v>0</v>
      </c>
      <c r="K641" s="914"/>
      <c r="L641" s="914">
        <f t="shared" si="103"/>
        <v>0</v>
      </c>
      <c r="M641" s="919"/>
      <c r="N641" s="914">
        <f t="shared" si="104"/>
        <v>0</v>
      </c>
      <c r="O641" s="919"/>
      <c r="P641" s="914">
        <f t="shared" si="106"/>
        <v>0</v>
      </c>
      <c r="Q641" s="919"/>
      <c r="R641" s="914">
        <f t="shared" si="107"/>
        <v>0</v>
      </c>
      <c r="S641" s="919"/>
      <c r="T641" s="914">
        <f t="shared" si="108"/>
        <v>0</v>
      </c>
      <c r="U641" s="915">
        <f t="shared" si="100"/>
        <v>0</v>
      </c>
      <c r="V641" s="914">
        <f t="shared" si="99"/>
        <v>0</v>
      </c>
    </row>
    <row r="642" spans="1:22" ht="231.75" hidden="1" customHeight="1">
      <c r="A642" s="931"/>
      <c r="B642" s="906" t="s">
        <v>1074</v>
      </c>
      <c r="C642" s="921">
        <f>ROUND(DATA!K632,2)</f>
        <v>621.35</v>
      </c>
      <c r="D642" s="908" t="s">
        <v>1834</v>
      </c>
      <c r="E642" s="919"/>
      <c r="F642" s="1053">
        <f t="shared" si="105"/>
        <v>0</v>
      </c>
      <c r="G642" s="919"/>
      <c r="H642" s="914">
        <f t="shared" si="101"/>
        <v>0</v>
      </c>
      <c r="I642" s="919"/>
      <c r="J642" s="914">
        <f t="shared" si="102"/>
        <v>0</v>
      </c>
      <c r="K642" s="914"/>
      <c r="L642" s="914">
        <f t="shared" si="103"/>
        <v>0</v>
      </c>
      <c r="M642" s="919"/>
      <c r="N642" s="914">
        <f t="shared" si="104"/>
        <v>0</v>
      </c>
      <c r="O642" s="919"/>
      <c r="P642" s="914">
        <f t="shared" si="106"/>
        <v>0</v>
      </c>
      <c r="Q642" s="919"/>
      <c r="R642" s="914">
        <f t="shared" si="107"/>
        <v>0</v>
      </c>
      <c r="S642" s="919"/>
      <c r="T642" s="914">
        <f t="shared" si="108"/>
        <v>0</v>
      </c>
      <c r="U642" s="915">
        <f t="shared" si="100"/>
        <v>0</v>
      </c>
      <c r="V642" s="914">
        <f t="shared" si="99"/>
        <v>0</v>
      </c>
    </row>
    <row r="643" spans="1:22" ht="231.75" hidden="1" customHeight="1">
      <c r="A643" s="931"/>
      <c r="B643" s="924" t="s">
        <v>3295</v>
      </c>
      <c r="C643" s="921"/>
      <c r="D643" s="908"/>
      <c r="E643" s="911"/>
      <c r="F643" s="1053">
        <f t="shared" si="105"/>
        <v>0</v>
      </c>
      <c r="G643" s="914"/>
      <c r="H643" s="914">
        <f t="shared" si="101"/>
        <v>0</v>
      </c>
      <c r="I643" s="914"/>
      <c r="J643" s="914">
        <f t="shared" si="102"/>
        <v>0</v>
      </c>
      <c r="K643" s="914"/>
      <c r="L643" s="914">
        <f t="shared" si="103"/>
        <v>0</v>
      </c>
      <c r="M643" s="914"/>
      <c r="N643" s="914">
        <f t="shared" si="104"/>
        <v>0</v>
      </c>
      <c r="O643" s="914"/>
      <c r="P643" s="914">
        <f t="shared" si="106"/>
        <v>0</v>
      </c>
      <c r="Q643" s="914"/>
      <c r="R643" s="914">
        <f t="shared" si="107"/>
        <v>0</v>
      </c>
      <c r="S643" s="914"/>
      <c r="T643" s="914">
        <f t="shared" si="108"/>
        <v>0</v>
      </c>
      <c r="U643" s="915">
        <f t="shared" si="100"/>
        <v>0</v>
      </c>
      <c r="V643" s="914">
        <f t="shared" si="99"/>
        <v>0</v>
      </c>
    </row>
    <row r="644" spans="1:22" ht="231.75" hidden="1" customHeight="1">
      <c r="A644" s="931"/>
      <c r="B644" s="906" t="s">
        <v>3612</v>
      </c>
      <c r="C644" s="921">
        <f>DATA!K590</f>
        <v>556.1</v>
      </c>
      <c r="D644" s="908" t="s">
        <v>1834</v>
      </c>
      <c r="E644" s="914"/>
      <c r="F644" s="1053">
        <f t="shared" si="105"/>
        <v>0</v>
      </c>
      <c r="G644" s="914"/>
      <c r="H644" s="914">
        <f t="shared" si="101"/>
        <v>0</v>
      </c>
      <c r="I644" s="914"/>
      <c r="J644" s="914">
        <f t="shared" si="102"/>
        <v>0</v>
      </c>
      <c r="K644" s="914"/>
      <c r="L644" s="914">
        <f t="shared" si="103"/>
        <v>0</v>
      </c>
      <c r="M644" s="914"/>
      <c r="N644" s="914">
        <f t="shared" si="104"/>
        <v>0</v>
      </c>
      <c r="O644" s="914"/>
      <c r="P644" s="914">
        <f t="shared" si="106"/>
        <v>0</v>
      </c>
      <c r="Q644" s="914"/>
      <c r="R644" s="914">
        <f t="shared" si="107"/>
        <v>0</v>
      </c>
      <c r="S644" s="914"/>
      <c r="T644" s="914">
        <f t="shared" si="108"/>
        <v>0</v>
      </c>
      <c r="U644" s="915">
        <f t="shared" si="100"/>
        <v>0</v>
      </c>
      <c r="V644" s="914">
        <f t="shared" si="99"/>
        <v>0</v>
      </c>
    </row>
    <row r="645" spans="1:22" ht="231.75" hidden="1" customHeight="1">
      <c r="A645" s="931"/>
      <c r="B645" s="906" t="s">
        <v>1381</v>
      </c>
      <c r="C645" s="921">
        <f>DATA!K591</f>
        <v>560.82000000000005</v>
      </c>
      <c r="D645" s="908" t="s">
        <v>1834</v>
      </c>
      <c r="E645" s="914"/>
      <c r="F645" s="1053">
        <f t="shared" si="105"/>
        <v>0</v>
      </c>
      <c r="G645" s="914"/>
      <c r="H645" s="914">
        <f t="shared" si="101"/>
        <v>0</v>
      </c>
      <c r="I645" s="914"/>
      <c r="J645" s="914">
        <f t="shared" si="102"/>
        <v>0</v>
      </c>
      <c r="K645" s="914"/>
      <c r="L645" s="914">
        <f t="shared" si="103"/>
        <v>0</v>
      </c>
      <c r="M645" s="914"/>
      <c r="N645" s="914">
        <f t="shared" si="104"/>
        <v>0</v>
      </c>
      <c r="O645" s="914"/>
      <c r="P645" s="914">
        <f t="shared" si="106"/>
        <v>0</v>
      </c>
      <c r="Q645" s="914"/>
      <c r="R645" s="914">
        <f t="shared" si="107"/>
        <v>0</v>
      </c>
      <c r="S645" s="914"/>
      <c r="T645" s="914">
        <f t="shared" si="108"/>
        <v>0</v>
      </c>
      <c r="U645" s="915">
        <f t="shared" si="100"/>
        <v>0</v>
      </c>
      <c r="V645" s="914">
        <f t="shared" si="99"/>
        <v>0</v>
      </c>
    </row>
    <row r="646" spans="1:22" ht="231.75" hidden="1" customHeight="1">
      <c r="A646" s="931"/>
      <c r="B646" s="906" t="s">
        <v>1429</v>
      </c>
      <c r="C646" s="921">
        <f>DATA!K592</f>
        <v>565.54</v>
      </c>
      <c r="D646" s="908" t="s">
        <v>1834</v>
      </c>
      <c r="E646" s="919"/>
      <c r="F646" s="1053">
        <f t="shared" si="105"/>
        <v>0</v>
      </c>
      <c r="G646" s="919"/>
      <c r="H646" s="914">
        <f t="shared" si="101"/>
        <v>0</v>
      </c>
      <c r="I646" s="919"/>
      <c r="J646" s="914">
        <f t="shared" si="102"/>
        <v>0</v>
      </c>
      <c r="K646" s="914"/>
      <c r="L646" s="914">
        <f t="shared" si="103"/>
        <v>0</v>
      </c>
      <c r="M646" s="919"/>
      <c r="N646" s="914">
        <f t="shared" si="104"/>
        <v>0</v>
      </c>
      <c r="O646" s="919"/>
      <c r="P646" s="914">
        <f t="shared" si="106"/>
        <v>0</v>
      </c>
      <c r="Q646" s="919"/>
      <c r="R646" s="914">
        <f t="shared" si="107"/>
        <v>0</v>
      </c>
      <c r="S646" s="919"/>
      <c r="T646" s="914">
        <f t="shared" si="108"/>
        <v>0</v>
      </c>
      <c r="U646" s="915">
        <f t="shared" si="100"/>
        <v>0</v>
      </c>
      <c r="V646" s="914">
        <f t="shared" ref="V646:V709" si="109">U646*C646</f>
        <v>0</v>
      </c>
    </row>
    <row r="647" spans="1:22" ht="231.75" hidden="1" customHeight="1">
      <c r="A647" s="931"/>
      <c r="B647" s="906" t="s">
        <v>1319</v>
      </c>
      <c r="C647" s="921">
        <f>DATA!K593</f>
        <v>570.26</v>
      </c>
      <c r="D647" s="908" t="s">
        <v>1834</v>
      </c>
      <c r="E647" s="919"/>
      <c r="F647" s="1053">
        <f t="shared" si="105"/>
        <v>0</v>
      </c>
      <c r="G647" s="919"/>
      <c r="H647" s="914">
        <f t="shared" si="101"/>
        <v>0</v>
      </c>
      <c r="I647" s="919"/>
      <c r="J647" s="914">
        <f t="shared" si="102"/>
        <v>0</v>
      </c>
      <c r="K647" s="914"/>
      <c r="L647" s="914">
        <f t="shared" si="103"/>
        <v>0</v>
      </c>
      <c r="M647" s="919"/>
      <c r="N647" s="914">
        <f t="shared" si="104"/>
        <v>0</v>
      </c>
      <c r="O647" s="919"/>
      <c r="P647" s="914">
        <f t="shared" si="106"/>
        <v>0</v>
      </c>
      <c r="Q647" s="919"/>
      <c r="R647" s="914">
        <f t="shared" si="107"/>
        <v>0</v>
      </c>
      <c r="S647" s="919"/>
      <c r="T647" s="914">
        <f t="shared" si="108"/>
        <v>0</v>
      </c>
      <c r="U647" s="915">
        <f t="shared" si="100"/>
        <v>0</v>
      </c>
      <c r="V647" s="914">
        <f t="shared" si="109"/>
        <v>0</v>
      </c>
    </row>
    <row r="648" spans="1:22" ht="231.75" hidden="1" customHeight="1">
      <c r="A648" s="931"/>
      <c r="B648" s="906" t="s">
        <v>1074</v>
      </c>
      <c r="C648" s="921">
        <f>DATA!K594</f>
        <v>574.98</v>
      </c>
      <c r="D648" s="908" t="s">
        <v>1834</v>
      </c>
      <c r="E648" s="919"/>
      <c r="F648" s="1053">
        <f t="shared" si="105"/>
        <v>0</v>
      </c>
      <c r="G648" s="919"/>
      <c r="H648" s="914">
        <f t="shared" si="101"/>
        <v>0</v>
      </c>
      <c r="I648" s="919"/>
      <c r="J648" s="914">
        <f t="shared" si="102"/>
        <v>0</v>
      </c>
      <c r="K648" s="914"/>
      <c r="L648" s="914">
        <f t="shared" si="103"/>
        <v>0</v>
      </c>
      <c r="M648" s="919"/>
      <c r="N648" s="914">
        <f t="shared" si="104"/>
        <v>0</v>
      </c>
      <c r="O648" s="919"/>
      <c r="P648" s="914">
        <f t="shared" si="106"/>
        <v>0</v>
      </c>
      <c r="Q648" s="919"/>
      <c r="R648" s="914">
        <f t="shared" si="107"/>
        <v>0</v>
      </c>
      <c r="S648" s="919"/>
      <c r="T648" s="914">
        <f t="shared" si="108"/>
        <v>0</v>
      </c>
      <c r="U648" s="915">
        <f t="shared" si="100"/>
        <v>0</v>
      </c>
      <c r="V648" s="914">
        <f t="shared" si="109"/>
        <v>0</v>
      </c>
    </row>
    <row r="649" spans="1:22" ht="231.75" hidden="1" customHeight="1">
      <c r="A649" s="931"/>
      <c r="B649" s="924" t="s">
        <v>673</v>
      </c>
      <c r="C649" s="921"/>
      <c r="D649" s="908"/>
      <c r="E649" s="911"/>
      <c r="F649" s="1053">
        <f t="shared" si="105"/>
        <v>0</v>
      </c>
      <c r="G649" s="914"/>
      <c r="H649" s="914">
        <f t="shared" si="101"/>
        <v>0</v>
      </c>
      <c r="I649" s="914"/>
      <c r="J649" s="914">
        <f t="shared" si="102"/>
        <v>0</v>
      </c>
      <c r="K649" s="914"/>
      <c r="L649" s="914">
        <f t="shared" si="103"/>
        <v>0</v>
      </c>
      <c r="M649" s="914"/>
      <c r="N649" s="914">
        <f t="shared" si="104"/>
        <v>0</v>
      </c>
      <c r="O649" s="914"/>
      <c r="P649" s="914">
        <f t="shared" si="106"/>
        <v>0</v>
      </c>
      <c r="Q649" s="914"/>
      <c r="R649" s="914">
        <f t="shared" si="107"/>
        <v>0</v>
      </c>
      <c r="S649" s="914"/>
      <c r="T649" s="914">
        <f t="shared" si="108"/>
        <v>0</v>
      </c>
      <c r="U649" s="915">
        <f t="shared" si="100"/>
        <v>0</v>
      </c>
      <c r="V649" s="914">
        <f t="shared" si="109"/>
        <v>0</v>
      </c>
    </row>
    <row r="650" spans="1:22" ht="231.75" hidden="1" customHeight="1">
      <c r="A650" s="931"/>
      <c r="B650" s="906" t="s">
        <v>1247</v>
      </c>
      <c r="C650" s="921">
        <f>DATA!X590</f>
        <v>589.79</v>
      </c>
      <c r="D650" s="908" t="s">
        <v>1834</v>
      </c>
      <c r="E650" s="914"/>
      <c r="F650" s="1053">
        <f t="shared" si="105"/>
        <v>0</v>
      </c>
      <c r="G650" s="914"/>
      <c r="H650" s="914">
        <f t="shared" si="101"/>
        <v>0</v>
      </c>
      <c r="I650" s="914"/>
      <c r="J650" s="914">
        <f t="shared" si="102"/>
        <v>0</v>
      </c>
      <c r="K650" s="914"/>
      <c r="L650" s="914">
        <f t="shared" si="103"/>
        <v>0</v>
      </c>
      <c r="M650" s="914"/>
      <c r="N650" s="914">
        <f t="shared" si="104"/>
        <v>0</v>
      </c>
      <c r="O650" s="914"/>
      <c r="P650" s="914">
        <f t="shared" si="106"/>
        <v>0</v>
      </c>
      <c r="Q650" s="914"/>
      <c r="R650" s="914">
        <f t="shared" si="107"/>
        <v>0</v>
      </c>
      <c r="S650" s="914"/>
      <c r="T650" s="914">
        <f t="shared" si="108"/>
        <v>0</v>
      </c>
      <c r="U650" s="915">
        <f t="shared" si="100"/>
        <v>0</v>
      </c>
      <c r="V650" s="914">
        <f t="shared" si="109"/>
        <v>0</v>
      </c>
    </row>
    <row r="651" spans="1:22" ht="231.75" hidden="1" customHeight="1">
      <c r="A651" s="931"/>
      <c r="B651" s="906" t="s">
        <v>1381</v>
      </c>
      <c r="C651" s="921">
        <f>DATA!X591</f>
        <v>599.23</v>
      </c>
      <c r="D651" s="908" t="s">
        <v>1834</v>
      </c>
      <c r="E651" s="914"/>
      <c r="F651" s="1053">
        <f t="shared" si="105"/>
        <v>0</v>
      </c>
      <c r="G651" s="914"/>
      <c r="H651" s="914">
        <f t="shared" si="101"/>
        <v>0</v>
      </c>
      <c r="I651" s="914"/>
      <c r="J651" s="914">
        <f t="shared" si="102"/>
        <v>0</v>
      </c>
      <c r="K651" s="914"/>
      <c r="L651" s="914">
        <f t="shared" si="103"/>
        <v>0</v>
      </c>
      <c r="M651" s="914"/>
      <c r="N651" s="914">
        <f t="shared" si="104"/>
        <v>0</v>
      </c>
      <c r="O651" s="914"/>
      <c r="P651" s="914">
        <f t="shared" si="106"/>
        <v>0</v>
      </c>
      <c r="Q651" s="914"/>
      <c r="R651" s="914">
        <f t="shared" si="107"/>
        <v>0</v>
      </c>
      <c r="S651" s="914"/>
      <c r="T651" s="914">
        <f t="shared" si="108"/>
        <v>0</v>
      </c>
      <c r="U651" s="915">
        <f t="shared" si="100"/>
        <v>0</v>
      </c>
      <c r="V651" s="914">
        <f t="shared" si="109"/>
        <v>0</v>
      </c>
    </row>
    <row r="652" spans="1:22" ht="231.75" hidden="1" customHeight="1">
      <c r="A652" s="931"/>
      <c r="B652" s="906" t="s">
        <v>1429</v>
      </c>
      <c r="C652" s="921">
        <f>DATA!X591</f>
        <v>599.23</v>
      </c>
      <c r="D652" s="908" t="s">
        <v>1834</v>
      </c>
      <c r="E652" s="919"/>
      <c r="F652" s="1053">
        <f t="shared" si="105"/>
        <v>0</v>
      </c>
      <c r="G652" s="919"/>
      <c r="H652" s="914">
        <f t="shared" si="101"/>
        <v>0</v>
      </c>
      <c r="I652" s="919"/>
      <c r="J652" s="914">
        <f t="shared" si="102"/>
        <v>0</v>
      </c>
      <c r="K652" s="914"/>
      <c r="L652" s="914">
        <f t="shared" si="103"/>
        <v>0</v>
      </c>
      <c r="M652" s="919"/>
      <c r="N652" s="914">
        <f t="shared" si="104"/>
        <v>0</v>
      </c>
      <c r="O652" s="919"/>
      <c r="P652" s="914">
        <f t="shared" si="106"/>
        <v>0</v>
      </c>
      <c r="Q652" s="919"/>
      <c r="R652" s="914">
        <f t="shared" si="107"/>
        <v>0</v>
      </c>
      <c r="S652" s="919"/>
      <c r="T652" s="914">
        <f t="shared" si="108"/>
        <v>0</v>
      </c>
      <c r="U652" s="915">
        <f t="shared" si="100"/>
        <v>0</v>
      </c>
      <c r="V652" s="914">
        <f t="shared" si="109"/>
        <v>0</v>
      </c>
    </row>
    <row r="653" spans="1:22" ht="231.75" hidden="1" customHeight="1">
      <c r="A653" s="931"/>
      <c r="B653" s="906" t="s">
        <v>1319</v>
      </c>
      <c r="C653" s="921">
        <f>DATA!X592</f>
        <v>608.66999999999996</v>
      </c>
      <c r="D653" s="908" t="s">
        <v>1834</v>
      </c>
      <c r="E653" s="919"/>
      <c r="F653" s="1053">
        <f t="shared" si="105"/>
        <v>0</v>
      </c>
      <c r="G653" s="919"/>
      <c r="H653" s="914">
        <f t="shared" si="101"/>
        <v>0</v>
      </c>
      <c r="I653" s="919"/>
      <c r="J653" s="914">
        <f t="shared" si="102"/>
        <v>0</v>
      </c>
      <c r="K653" s="914"/>
      <c r="L653" s="914">
        <f t="shared" si="103"/>
        <v>0</v>
      </c>
      <c r="M653" s="919"/>
      <c r="N653" s="914">
        <f t="shared" si="104"/>
        <v>0</v>
      </c>
      <c r="O653" s="919"/>
      <c r="P653" s="914">
        <f t="shared" si="106"/>
        <v>0</v>
      </c>
      <c r="Q653" s="919"/>
      <c r="R653" s="914">
        <f t="shared" si="107"/>
        <v>0</v>
      </c>
      <c r="S653" s="919"/>
      <c r="T653" s="914">
        <f t="shared" si="108"/>
        <v>0</v>
      </c>
      <c r="U653" s="915">
        <f t="shared" si="100"/>
        <v>0</v>
      </c>
      <c r="V653" s="914">
        <f t="shared" si="109"/>
        <v>0</v>
      </c>
    </row>
    <row r="654" spans="1:22" ht="231.75" hidden="1" customHeight="1">
      <c r="A654" s="931"/>
      <c r="B654" s="906" t="s">
        <v>1074</v>
      </c>
      <c r="C654" s="921">
        <f>DATA!X593</f>
        <v>618.11</v>
      </c>
      <c r="D654" s="908" t="s">
        <v>1834</v>
      </c>
      <c r="E654" s="919"/>
      <c r="F654" s="1053">
        <f t="shared" si="105"/>
        <v>0</v>
      </c>
      <c r="G654" s="919"/>
      <c r="H654" s="914">
        <f t="shared" si="101"/>
        <v>0</v>
      </c>
      <c r="I654" s="919"/>
      <c r="J654" s="914">
        <f t="shared" si="102"/>
        <v>0</v>
      </c>
      <c r="K654" s="914"/>
      <c r="L654" s="914">
        <f t="shared" si="103"/>
        <v>0</v>
      </c>
      <c r="M654" s="919"/>
      <c r="N654" s="914">
        <f t="shared" si="104"/>
        <v>0</v>
      </c>
      <c r="O654" s="919"/>
      <c r="P654" s="914">
        <f t="shared" si="106"/>
        <v>0</v>
      </c>
      <c r="Q654" s="919"/>
      <c r="R654" s="914">
        <f t="shared" si="107"/>
        <v>0</v>
      </c>
      <c r="S654" s="919"/>
      <c r="T654" s="914">
        <f t="shared" si="108"/>
        <v>0</v>
      </c>
      <c r="U654" s="915">
        <f t="shared" si="100"/>
        <v>0</v>
      </c>
      <c r="V654" s="914">
        <f t="shared" si="109"/>
        <v>0</v>
      </c>
    </row>
    <row r="655" spans="1:22" ht="231.75" hidden="1" customHeight="1">
      <c r="A655" s="931"/>
      <c r="B655" s="924" t="s">
        <v>3842</v>
      </c>
      <c r="C655" s="921"/>
      <c r="D655" s="908"/>
      <c r="E655" s="919"/>
      <c r="F655" s="1053">
        <f t="shared" si="105"/>
        <v>0</v>
      </c>
      <c r="G655" s="919"/>
      <c r="H655" s="914">
        <f t="shared" si="101"/>
        <v>0</v>
      </c>
      <c r="I655" s="919"/>
      <c r="J655" s="914">
        <f t="shared" si="102"/>
        <v>0</v>
      </c>
      <c r="K655" s="914"/>
      <c r="L655" s="914">
        <f t="shared" si="103"/>
        <v>0</v>
      </c>
      <c r="M655" s="919"/>
      <c r="N655" s="914">
        <f t="shared" si="104"/>
        <v>0</v>
      </c>
      <c r="O655" s="919"/>
      <c r="P655" s="914">
        <f t="shared" si="106"/>
        <v>0</v>
      </c>
      <c r="Q655" s="919"/>
      <c r="R655" s="914">
        <f t="shared" si="107"/>
        <v>0</v>
      </c>
      <c r="S655" s="919"/>
      <c r="T655" s="914">
        <f t="shared" si="108"/>
        <v>0</v>
      </c>
      <c r="U655" s="915">
        <f t="shared" si="100"/>
        <v>0</v>
      </c>
      <c r="V655" s="914">
        <f t="shared" si="109"/>
        <v>0</v>
      </c>
    </row>
    <row r="656" spans="1:22" ht="231.75" hidden="1" customHeight="1">
      <c r="A656" s="931"/>
      <c r="B656" s="906" t="s">
        <v>1247</v>
      </c>
      <c r="C656" s="921">
        <f>DATA!K612</f>
        <v>2072.79</v>
      </c>
      <c r="D656" s="908" t="s">
        <v>1834</v>
      </c>
      <c r="E656" s="919"/>
      <c r="F656" s="1053">
        <f t="shared" si="105"/>
        <v>0</v>
      </c>
      <c r="G656" s="919"/>
      <c r="H656" s="914">
        <f t="shared" si="101"/>
        <v>0</v>
      </c>
      <c r="I656" s="919"/>
      <c r="J656" s="914">
        <f t="shared" si="102"/>
        <v>0</v>
      </c>
      <c r="K656" s="914"/>
      <c r="L656" s="914">
        <f t="shared" si="103"/>
        <v>0</v>
      </c>
      <c r="M656" s="919"/>
      <c r="N656" s="914">
        <f t="shared" si="104"/>
        <v>0</v>
      </c>
      <c r="O656" s="919"/>
      <c r="P656" s="914">
        <f t="shared" si="106"/>
        <v>0</v>
      </c>
      <c r="Q656" s="919"/>
      <c r="R656" s="914">
        <f t="shared" si="107"/>
        <v>0</v>
      </c>
      <c r="S656" s="919"/>
      <c r="T656" s="914">
        <f t="shared" si="108"/>
        <v>0</v>
      </c>
      <c r="U656" s="915">
        <f t="shared" si="100"/>
        <v>0</v>
      </c>
      <c r="V656" s="914">
        <f t="shared" si="109"/>
        <v>0</v>
      </c>
    </row>
    <row r="657" spans="1:22" ht="231.75" hidden="1" customHeight="1">
      <c r="A657" s="931"/>
      <c r="B657" s="906" t="s">
        <v>1381</v>
      </c>
      <c r="C657" s="921">
        <f>DATA!K613</f>
        <v>2082.23</v>
      </c>
      <c r="D657" s="908" t="s">
        <v>1834</v>
      </c>
      <c r="E657" s="919"/>
      <c r="F657" s="1053">
        <f t="shared" si="105"/>
        <v>0</v>
      </c>
      <c r="G657" s="919"/>
      <c r="H657" s="914">
        <f t="shared" si="101"/>
        <v>0</v>
      </c>
      <c r="I657" s="919"/>
      <c r="J657" s="914">
        <f t="shared" si="102"/>
        <v>0</v>
      </c>
      <c r="K657" s="914"/>
      <c r="L657" s="914">
        <f t="shared" si="103"/>
        <v>0</v>
      </c>
      <c r="M657" s="919"/>
      <c r="N657" s="914">
        <f t="shared" si="104"/>
        <v>0</v>
      </c>
      <c r="O657" s="919"/>
      <c r="P657" s="914">
        <f t="shared" si="106"/>
        <v>0</v>
      </c>
      <c r="Q657" s="919"/>
      <c r="R657" s="914">
        <f t="shared" si="107"/>
        <v>0</v>
      </c>
      <c r="S657" s="919"/>
      <c r="T657" s="914">
        <f t="shared" si="108"/>
        <v>0</v>
      </c>
      <c r="U657" s="915">
        <f t="shared" si="100"/>
        <v>0</v>
      </c>
      <c r="V657" s="914">
        <f t="shared" si="109"/>
        <v>0</v>
      </c>
    </row>
    <row r="658" spans="1:22" ht="231.75" hidden="1" customHeight="1">
      <c r="A658" s="931"/>
      <c r="B658" s="906" t="s">
        <v>1429</v>
      </c>
      <c r="C658" s="921">
        <f>DATA!K614</f>
        <v>2091.67</v>
      </c>
      <c r="D658" s="908" t="s">
        <v>1834</v>
      </c>
      <c r="E658" s="919"/>
      <c r="F658" s="1053">
        <f t="shared" si="105"/>
        <v>0</v>
      </c>
      <c r="G658" s="919"/>
      <c r="H658" s="914">
        <f t="shared" si="101"/>
        <v>0</v>
      </c>
      <c r="I658" s="919"/>
      <c r="J658" s="914">
        <f t="shared" si="102"/>
        <v>0</v>
      </c>
      <c r="K658" s="914"/>
      <c r="L658" s="914">
        <f t="shared" si="103"/>
        <v>0</v>
      </c>
      <c r="M658" s="919"/>
      <c r="N658" s="914">
        <f t="shared" si="104"/>
        <v>0</v>
      </c>
      <c r="O658" s="919"/>
      <c r="P658" s="914">
        <f t="shared" si="106"/>
        <v>0</v>
      </c>
      <c r="Q658" s="919"/>
      <c r="R658" s="914">
        <f t="shared" si="107"/>
        <v>0</v>
      </c>
      <c r="S658" s="919"/>
      <c r="T658" s="914">
        <f t="shared" si="108"/>
        <v>0</v>
      </c>
      <c r="U658" s="915">
        <f t="shared" ref="U658:U721" si="110">G658+I658+M658+O658+Q658+S658+E658+K658</f>
        <v>0</v>
      </c>
      <c r="V658" s="914">
        <f t="shared" si="109"/>
        <v>0</v>
      </c>
    </row>
    <row r="659" spans="1:22" ht="231.75" hidden="1" customHeight="1">
      <c r="A659" s="931"/>
      <c r="B659" s="906" t="s">
        <v>1319</v>
      </c>
      <c r="C659" s="921">
        <f>DATA!K615</f>
        <v>2101.11</v>
      </c>
      <c r="D659" s="908" t="s">
        <v>1834</v>
      </c>
      <c r="E659" s="919"/>
      <c r="F659" s="1053">
        <f t="shared" si="105"/>
        <v>0</v>
      </c>
      <c r="G659" s="919"/>
      <c r="H659" s="914">
        <f t="shared" ref="H659:H722" si="111">C659*G659</f>
        <v>0</v>
      </c>
      <c r="I659" s="919"/>
      <c r="J659" s="914">
        <f t="shared" ref="J659:J722" si="112">I659*C659</f>
        <v>0</v>
      </c>
      <c r="K659" s="914"/>
      <c r="L659" s="914">
        <f t="shared" ref="L659:L722" si="113">K659*C659</f>
        <v>0</v>
      </c>
      <c r="M659" s="919"/>
      <c r="N659" s="914">
        <f t="shared" ref="N659:N722" si="114">M659*C659</f>
        <v>0</v>
      </c>
      <c r="O659" s="919"/>
      <c r="P659" s="914">
        <f t="shared" si="106"/>
        <v>0</v>
      </c>
      <c r="Q659" s="919"/>
      <c r="R659" s="914">
        <f t="shared" si="107"/>
        <v>0</v>
      </c>
      <c r="S659" s="919"/>
      <c r="T659" s="914">
        <f t="shared" si="108"/>
        <v>0</v>
      </c>
      <c r="U659" s="915">
        <f t="shared" si="110"/>
        <v>0</v>
      </c>
      <c r="V659" s="914">
        <f t="shared" si="109"/>
        <v>0</v>
      </c>
    </row>
    <row r="660" spans="1:22" ht="231.75" hidden="1" customHeight="1">
      <c r="A660" s="931"/>
      <c r="B660" s="906" t="s">
        <v>1074</v>
      </c>
      <c r="C660" s="921">
        <f>DATA!K616</f>
        <v>2110.5500000000002</v>
      </c>
      <c r="D660" s="908" t="s">
        <v>1834</v>
      </c>
      <c r="E660" s="919"/>
      <c r="F660" s="1053">
        <f t="shared" si="105"/>
        <v>0</v>
      </c>
      <c r="G660" s="919"/>
      <c r="H660" s="914">
        <f t="shared" si="111"/>
        <v>0</v>
      </c>
      <c r="I660" s="919"/>
      <c r="J660" s="914">
        <f t="shared" si="112"/>
        <v>0</v>
      </c>
      <c r="K660" s="914"/>
      <c r="L660" s="914">
        <f t="shared" si="113"/>
        <v>0</v>
      </c>
      <c r="M660" s="919"/>
      <c r="N660" s="914">
        <f t="shared" si="114"/>
        <v>0</v>
      </c>
      <c r="O660" s="919"/>
      <c r="P660" s="914">
        <f t="shared" si="106"/>
        <v>0</v>
      </c>
      <c r="Q660" s="919"/>
      <c r="R660" s="914">
        <f t="shared" si="107"/>
        <v>0</v>
      </c>
      <c r="S660" s="919"/>
      <c r="T660" s="914">
        <f t="shared" si="108"/>
        <v>0</v>
      </c>
      <c r="U660" s="915">
        <f t="shared" si="110"/>
        <v>0</v>
      </c>
      <c r="V660" s="914">
        <f t="shared" si="109"/>
        <v>0</v>
      </c>
    </row>
    <row r="661" spans="1:22" ht="231.75" hidden="1" customHeight="1">
      <c r="A661" s="905">
        <v>29.8</v>
      </c>
      <c r="B661" s="906" t="s">
        <v>4698</v>
      </c>
      <c r="C661" s="913">
        <f>ROUND(DATA!K1278,2)</f>
        <v>1377.72</v>
      </c>
      <c r="D661" s="908" t="s">
        <v>2273</v>
      </c>
      <c r="E661" s="914"/>
      <c r="F661" s="1053">
        <f t="shared" si="105"/>
        <v>0</v>
      </c>
      <c r="G661" s="914"/>
      <c r="H661" s="914">
        <f t="shared" si="111"/>
        <v>0</v>
      </c>
      <c r="I661" s="914"/>
      <c r="J661" s="914">
        <f t="shared" si="112"/>
        <v>0</v>
      </c>
      <c r="K661" s="914"/>
      <c r="L661" s="914">
        <f t="shared" si="113"/>
        <v>0</v>
      </c>
      <c r="M661" s="914"/>
      <c r="N661" s="914">
        <f t="shared" si="114"/>
        <v>0</v>
      </c>
      <c r="O661" s="914"/>
      <c r="P661" s="914">
        <f t="shared" si="106"/>
        <v>0</v>
      </c>
      <c r="Q661" s="914"/>
      <c r="R661" s="914">
        <f t="shared" si="107"/>
        <v>0</v>
      </c>
      <c r="S661" s="914"/>
      <c r="T661" s="914">
        <f t="shared" si="108"/>
        <v>0</v>
      </c>
      <c r="U661" s="915">
        <f t="shared" si="110"/>
        <v>0</v>
      </c>
      <c r="V661" s="914">
        <f t="shared" si="109"/>
        <v>0</v>
      </c>
    </row>
    <row r="662" spans="1:22" ht="231.75" hidden="1" customHeight="1">
      <c r="A662" s="905"/>
      <c r="B662" s="906" t="s">
        <v>2164</v>
      </c>
      <c r="C662" s="921">
        <f>ROUND(DATA!K1264,2)</f>
        <v>1212.77</v>
      </c>
      <c r="D662" s="908" t="s">
        <v>2273</v>
      </c>
      <c r="E662" s="919"/>
      <c r="F662" s="1053">
        <f t="shared" si="105"/>
        <v>0</v>
      </c>
      <c r="G662" s="919"/>
      <c r="H662" s="914">
        <f t="shared" si="111"/>
        <v>0</v>
      </c>
      <c r="I662" s="919"/>
      <c r="J662" s="914">
        <f t="shared" si="112"/>
        <v>0</v>
      </c>
      <c r="K662" s="914"/>
      <c r="L662" s="914">
        <f t="shared" si="113"/>
        <v>0</v>
      </c>
      <c r="M662" s="919"/>
      <c r="N662" s="914">
        <f t="shared" si="114"/>
        <v>0</v>
      </c>
      <c r="O662" s="919"/>
      <c r="P662" s="914">
        <f t="shared" si="106"/>
        <v>0</v>
      </c>
      <c r="Q662" s="919"/>
      <c r="R662" s="914">
        <f t="shared" si="107"/>
        <v>0</v>
      </c>
      <c r="S662" s="919"/>
      <c r="T662" s="914">
        <f t="shared" si="108"/>
        <v>0</v>
      </c>
      <c r="U662" s="915">
        <f t="shared" si="110"/>
        <v>0</v>
      </c>
      <c r="V662" s="914">
        <f t="shared" si="109"/>
        <v>0</v>
      </c>
    </row>
    <row r="663" spans="1:22" ht="231.75" hidden="1" customHeight="1">
      <c r="A663" s="905">
        <v>29.9</v>
      </c>
      <c r="B663" s="906" t="s">
        <v>1689</v>
      </c>
      <c r="C663" s="913">
        <f>ROUND(DATA!K1264,2)</f>
        <v>1212.77</v>
      </c>
      <c r="D663" s="908" t="s">
        <v>2273</v>
      </c>
      <c r="E663" s="914"/>
      <c r="F663" s="1053">
        <f t="shared" si="105"/>
        <v>0</v>
      </c>
      <c r="G663" s="914"/>
      <c r="H663" s="914">
        <f t="shared" si="111"/>
        <v>0</v>
      </c>
      <c r="I663" s="914"/>
      <c r="J663" s="914">
        <f t="shared" si="112"/>
        <v>0</v>
      </c>
      <c r="K663" s="914"/>
      <c r="L663" s="914">
        <f t="shared" si="113"/>
        <v>0</v>
      </c>
      <c r="M663" s="914"/>
      <c r="N663" s="914">
        <f t="shared" si="114"/>
        <v>0</v>
      </c>
      <c r="O663" s="914"/>
      <c r="P663" s="914">
        <f t="shared" si="106"/>
        <v>0</v>
      </c>
      <c r="Q663" s="914"/>
      <c r="R663" s="914">
        <f t="shared" si="107"/>
        <v>0</v>
      </c>
      <c r="S663" s="914"/>
      <c r="T663" s="914">
        <f t="shared" si="108"/>
        <v>0</v>
      </c>
      <c r="U663" s="915">
        <f t="shared" si="110"/>
        <v>0</v>
      </c>
      <c r="V663" s="914">
        <f t="shared" si="109"/>
        <v>0</v>
      </c>
    </row>
    <row r="664" spans="1:22" s="920" customFormat="1" ht="231.75" hidden="1" customHeight="1">
      <c r="A664" s="916">
        <v>38.4</v>
      </c>
      <c r="B664" s="917" t="s">
        <v>1690</v>
      </c>
      <c r="C664" s="918">
        <f>DATA!K2725</f>
        <v>130.27000000000001</v>
      </c>
      <c r="D664" s="898" t="s">
        <v>2273</v>
      </c>
      <c r="E664" s="919"/>
      <c r="F664" s="1053">
        <f t="shared" si="105"/>
        <v>0</v>
      </c>
      <c r="G664" s="919"/>
      <c r="H664" s="914">
        <f t="shared" si="111"/>
        <v>0</v>
      </c>
      <c r="I664" s="919"/>
      <c r="J664" s="914">
        <f t="shared" si="112"/>
        <v>0</v>
      </c>
      <c r="K664" s="914"/>
      <c r="L664" s="914">
        <f t="shared" si="113"/>
        <v>0</v>
      </c>
      <c r="M664" s="919"/>
      <c r="N664" s="914">
        <f t="shared" si="114"/>
        <v>0</v>
      </c>
      <c r="O664" s="919"/>
      <c r="P664" s="914">
        <f t="shared" si="106"/>
        <v>0</v>
      </c>
      <c r="Q664" s="919"/>
      <c r="R664" s="914">
        <f t="shared" si="107"/>
        <v>0</v>
      </c>
      <c r="S664" s="919"/>
      <c r="T664" s="914">
        <f t="shared" si="108"/>
        <v>0</v>
      </c>
      <c r="U664" s="915">
        <f t="shared" si="110"/>
        <v>0</v>
      </c>
      <c r="V664" s="914">
        <f t="shared" si="109"/>
        <v>0</v>
      </c>
    </row>
    <row r="665" spans="1:22" ht="231.75" hidden="1" customHeight="1">
      <c r="A665" s="905">
        <v>38.5</v>
      </c>
      <c r="B665" s="906" t="s">
        <v>31</v>
      </c>
      <c r="C665" s="921">
        <f>ROUND(DATA!K1526,2)</f>
        <v>163.93</v>
      </c>
      <c r="D665" s="908" t="s">
        <v>2273</v>
      </c>
      <c r="E665" s="919"/>
      <c r="F665" s="1053">
        <f t="shared" si="105"/>
        <v>0</v>
      </c>
      <c r="G665" s="919"/>
      <c r="H665" s="914">
        <f t="shared" si="111"/>
        <v>0</v>
      </c>
      <c r="I665" s="919"/>
      <c r="J665" s="914">
        <f t="shared" si="112"/>
        <v>0</v>
      </c>
      <c r="K665" s="914"/>
      <c r="L665" s="914">
        <f t="shared" si="113"/>
        <v>0</v>
      </c>
      <c r="M665" s="919"/>
      <c r="N665" s="914">
        <f t="shared" si="114"/>
        <v>0</v>
      </c>
      <c r="O665" s="919"/>
      <c r="P665" s="914">
        <f t="shared" si="106"/>
        <v>0</v>
      </c>
      <c r="Q665" s="919"/>
      <c r="R665" s="914">
        <f t="shared" si="107"/>
        <v>0</v>
      </c>
      <c r="S665" s="919"/>
      <c r="T665" s="914">
        <f t="shared" si="108"/>
        <v>0</v>
      </c>
      <c r="U665" s="915">
        <f t="shared" si="110"/>
        <v>0</v>
      </c>
      <c r="V665" s="914">
        <f t="shared" si="109"/>
        <v>0</v>
      </c>
    </row>
    <row r="666" spans="1:22" ht="231.75" hidden="1" customHeight="1">
      <c r="A666" s="905">
        <v>38.6</v>
      </c>
      <c r="B666" s="906" t="s">
        <v>1691</v>
      </c>
      <c r="C666" s="913">
        <f>ROUND(DATA!K2716,2)</f>
        <v>61.63</v>
      </c>
      <c r="D666" s="908" t="s">
        <v>2273</v>
      </c>
      <c r="E666" s="914"/>
      <c r="F666" s="1053">
        <f t="shared" si="105"/>
        <v>0</v>
      </c>
      <c r="G666" s="914"/>
      <c r="H666" s="914">
        <f t="shared" si="111"/>
        <v>0</v>
      </c>
      <c r="I666" s="914"/>
      <c r="J666" s="914">
        <f t="shared" si="112"/>
        <v>0</v>
      </c>
      <c r="K666" s="914"/>
      <c r="L666" s="914">
        <f t="shared" si="113"/>
        <v>0</v>
      </c>
      <c r="M666" s="914"/>
      <c r="N666" s="914">
        <f t="shared" si="114"/>
        <v>0</v>
      </c>
      <c r="O666" s="914"/>
      <c r="P666" s="914">
        <f t="shared" si="106"/>
        <v>0</v>
      </c>
      <c r="Q666" s="914"/>
      <c r="R666" s="914">
        <f t="shared" si="107"/>
        <v>0</v>
      </c>
      <c r="S666" s="914"/>
      <c r="T666" s="914">
        <f t="shared" si="108"/>
        <v>0</v>
      </c>
      <c r="U666" s="915">
        <f t="shared" si="110"/>
        <v>0</v>
      </c>
      <c r="V666" s="914">
        <f t="shared" si="109"/>
        <v>0</v>
      </c>
    </row>
    <row r="667" spans="1:22" ht="231.75" hidden="1" customHeight="1">
      <c r="A667" s="905">
        <v>42</v>
      </c>
      <c r="B667" s="906" t="s">
        <v>6654</v>
      </c>
      <c r="C667" s="913">
        <f>ROUND(DATA!K1582,2)</f>
        <v>90882</v>
      </c>
      <c r="D667" s="908" t="s">
        <v>525</v>
      </c>
      <c r="E667" s="919"/>
      <c r="F667" s="1053">
        <f t="shared" si="105"/>
        <v>0</v>
      </c>
      <c r="G667" s="919"/>
      <c r="H667" s="914">
        <f t="shared" si="111"/>
        <v>0</v>
      </c>
      <c r="I667" s="919"/>
      <c r="J667" s="914">
        <f t="shared" si="112"/>
        <v>0</v>
      </c>
      <c r="K667" s="914"/>
      <c r="L667" s="914">
        <f t="shared" si="113"/>
        <v>0</v>
      </c>
      <c r="M667" s="919"/>
      <c r="N667" s="914">
        <f t="shared" si="114"/>
        <v>0</v>
      </c>
      <c r="O667" s="919"/>
      <c r="P667" s="914">
        <f t="shared" si="106"/>
        <v>0</v>
      </c>
      <c r="Q667" s="919"/>
      <c r="R667" s="914">
        <f t="shared" si="107"/>
        <v>0</v>
      </c>
      <c r="S667" s="919"/>
      <c r="T667" s="914">
        <f t="shared" si="108"/>
        <v>0</v>
      </c>
      <c r="U667" s="915">
        <f t="shared" si="110"/>
        <v>0</v>
      </c>
      <c r="V667" s="914">
        <f t="shared" si="109"/>
        <v>0</v>
      </c>
    </row>
    <row r="668" spans="1:22" s="920" customFormat="1" ht="231.75" hidden="1" customHeight="1">
      <c r="A668" s="916">
        <v>43</v>
      </c>
      <c r="B668" s="917" t="s">
        <v>6655</v>
      </c>
      <c r="C668" s="922">
        <f>ROUND(DATA!K1608,2)</f>
        <v>88873.5</v>
      </c>
      <c r="D668" s="898" t="s">
        <v>525</v>
      </c>
      <c r="E668" s="930"/>
      <c r="F668" s="1053">
        <f t="shared" si="105"/>
        <v>0</v>
      </c>
      <c r="G668" s="919"/>
      <c r="H668" s="914">
        <f t="shared" si="111"/>
        <v>0</v>
      </c>
      <c r="I668" s="919"/>
      <c r="J668" s="914">
        <f t="shared" si="112"/>
        <v>0</v>
      </c>
      <c r="K668" s="914"/>
      <c r="L668" s="914">
        <f t="shared" si="113"/>
        <v>0</v>
      </c>
      <c r="M668" s="919"/>
      <c r="N668" s="914">
        <f t="shared" si="114"/>
        <v>0</v>
      </c>
      <c r="O668" s="919"/>
      <c r="P668" s="914">
        <f t="shared" si="106"/>
        <v>0</v>
      </c>
      <c r="Q668" s="919"/>
      <c r="R668" s="914">
        <f t="shared" si="107"/>
        <v>0</v>
      </c>
      <c r="S668" s="919"/>
      <c r="T668" s="914">
        <f t="shared" si="108"/>
        <v>0</v>
      </c>
      <c r="U668" s="915">
        <f t="shared" si="110"/>
        <v>0</v>
      </c>
      <c r="V668" s="914">
        <f t="shared" si="109"/>
        <v>0</v>
      </c>
    </row>
    <row r="669" spans="1:22" s="920" customFormat="1" ht="231.75" hidden="1" customHeight="1">
      <c r="A669" s="916">
        <v>44.6</v>
      </c>
      <c r="B669" s="917" t="s">
        <v>6656</v>
      </c>
      <c r="C669" s="918">
        <f>ROUND(DATA!K1638,2)</f>
        <v>343.11</v>
      </c>
      <c r="D669" s="898" t="s">
        <v>823</v>
      </c>
      <c r="E669" s="919"/>
      <c r="F669" s="1053">
        <f t="shared" si="105"/>
        <v>0</v>
      </c>
      <c r="G669" s="919"/>
      <c r="H669" s="914">
        <f t="shared" si="111"/>
        <v>0</v>
      </c>
      <c r="I669" s="919"/>
      <c r="J669" s="914">
        <f t="shared" si="112"/>
        <v>0</v>
      </c>
      <c r="K669" s="914"/>
      <c r="L669" s="914">
        <f t="shared" si="113"/>
        <v>0</v>
      </c>
      <c r="M669" s="919"/>
      <c r="N669" s="914">
        <f t="shared" si="114"/>
        <v>0</v>
      </c>
      <c r="O669" s="919"/>
      <c r="P669" s="914">
        <f t="shared" si="106"/>
        <v>0</v>
      </c>
      <c r="Q669" s="919"/>
      <c r="R669" s="914">
        <f t="shared" si="107"/>
        <v>0</v>
      </c>
      <c r="S669" s="919"/>
      <c r="T669" s="914">
        <f t="shared" si="108"/>
        <v>0</v>
      </c>
      <c r="U669" s="915">
        <f t="shared" si="110"/>
        <v>0</v>
      </c>
      <c r="V669" s="914">
        <f t="shared" si="109"/>
        <v>0</v>
      </c>
    </row>
    <row r="670" spans="1:22" s="920" customFormat="1" ht="231.75" hidden="1" customHeight="1">
      <c r="A670" s="916">
        <v>50.6</v>
      </c>
      <c r="B670" s="917" t="s">
        <v>1073</v>
      </c>
      <c r="C670" s="918">
        <f>ROUND(DATA!K2392,2)</f>
        <v>422.18</v>
      </c>
      <c r="D670" s="898" t="s">
        <v>2273</v>
      </c>
      <c r="E670" s="919"/>
      <c r="F670" s="1053">
        <f t="shared" si="105"/>
        <v>0</v>
      </c>
      <c r="G670" s="919"/>
      <c r="H670" s="914">
        <f t="shared" si="111"/>
        <v>0</v>
      </c>
      <c r="I670" s="919"/>
      <c r="J670" s="914">
        <f t="shared" si="112"/>
        <v>0</v>
      </c>
      <c r="K670" s="914"/>
      <c r="L670" s="914">
        <f t="shared" si="113"/>
        <v>0</v>
      </c>
      <c r="M670" s="919"/>
      <c r="N670" s="914">
        <f t="shared" si="114"/>
        <v>0</v>
      </c>
      <c r="O670" s="919"/>
      <c r="P670" s="914">
        <f t="shared" si="106"/>
        <v>0</v>
      </c>
      <c r="Q670" s="919"/>
      <c r="R670" s="914">
        <f t="shared" si="107"/>
        <v>0</v>
      </c>
      <c r="S670" s="919"/>
      <c r="T670" s="914">
        <f t="shared" si="108"/>
        <v>0</v>
      </c>
      <c r="U670" s="915">
        <f t="shared" si="110"/>
        <v>0</v>
      </c>
      <c r="V670" s="914">
        <f t="shared" si="109"/>
        <v>0</v>
      </c>
    </row>
    <row r="671" spans="1:22" ht="231.75" customHeight="1">
      <c r="A671" s="905">
        <v>52.4</v>
      </c>
      <c r="B671" s="906" t="s">
        <v>2218</v>
      </c>
      <c r="C671" s="913">
        <f>ROUND(DATA!K2767,2)</f>
        <v>231.61</v>
      </c>
      <c r="D671" s="908" t="s">
        <v>823</v>
      </c>
      <c r="E671" s="914"/>
      <c r="F671" s="1053">
        <f t="shared" si="105"/>
        <v>0</v>
      </c>
      <c r="G671" s="914"/>
      <c r="H671" s="914">
        <f t="shared" si="111"/>
        <v>0</v>
      </c>
      <c r="I671" s="914"/>
      <c r="J671" s="914">
        <f t="shared" si="112"/>
        <v>0</v>
      </c>
      <c r="K671" s="914"/>
      <c r="L671" s="914">
        <f t="shared" si="113"/>
        <v>0</v>
      </c>
      <c r="M671" s="914"/>
      <c r="N671" s="914">
        <f t="shared" si="114"/>
        <v>0</v>
      </c>
      <c r="O671" s="914"/>
      <c r="P671" s="914">
        <f t="shared" si="106"/>
        <v>0</v>
      </c>
      <c r="Q671" s="914"/>
      <c r="R671" s="914">
        <f t="shared" si="107"/>
        <v>0</v>
      </c>
      <c r="S671" s="914"/>
      <c r="T671" s="914">
        <f t="shared" si="108"/>
        <v>0</v>
      </c>
      <c r="U671" s="915">
        <f t="shared" si="110"/>
        <v>0</v>
      </c>
      <c r="V671" s="914">
        <f t="shared" si="109"/>
        <v>0</v>
      </c>
    </row>
    <row r="672" spans="1:22" ht="231.75" customHeight="1">
      <c r="A672" s="905">
        <v>53.4</v>
      </c>
      <c r="B672" s="906" t="s">
        <v>69</v>
      </c>
      <c r="C672" s="913">
        <f>DATA!K1951</f>
        <v>1864</v>
      </c>
      <c r="D672" s="908" t="s">
        <v>1393</v>
      </c>
      <c r="E672" s="914"/>
      <c r="F672" s="1053">
        <f t="shared" si="105"/>
        <v>0</v>
      </c>
      <c r="G672" s="914"/>
      <c r="H672" s="914">
        <f t="shared" si="111"/>
        <v>0</v>
      </c>
      <c r="I672" s="914"/>
      <c r="J672" s="914">
        <f t="shared" si="112"/>
        <v>0</v>
      </c>
      <c r="K672" s="914"/>
      <c r="L672" s="914">
        <f t="shared" si="113"/>
        <v>0</v>
      </c>
      <c r="M672" s="914"/>
      <c r="N672" s="914">
        <f t="shared" si="114"/>
        <v>0</v>
      </c>
      <c r="O672" s="914"/>
      <c r="P672" s="914">
        <f t="shared" si="106"/>
        <v>0</v>
      </c>
      <c r="Q672" s="914"/>
      <c r="R672" s="914">
        <f t="shared" si="107"/>
        <v>0</v>
      </c>
      <c r="S672" s="914">
        <v>1</v>
      </c>
      <c r="T672" s="914">
        <f t="shared" si="108"/>
        <v>1864</v>
      </c>
      <c r="U672" s="915">
        <f t="shared" si="110"/>
        <v>1</v>
      </c>
      <c r="V672" s="914">
        <f t="shared" si="109"/>
        <v>1864</v>
      </c>
    </row>
    <row r="673" spans="1:22" ht="231.75" hidden="1" customHeight="1">
      <c r="A673" s="905"/>
      <c r="B673" s="906" t="s">
        <v>4692</v>
      </c>
      <c r="C673" s="913">
        <f>DATA!R3572</f>
        <v>3337.32</v>
      </c>
      <c r="D673" s="908" t="s">
        <v>1393</v>
      </c>
      <c r="E673" s="914"/>
      <c r="F673" s="1053">
        <f t="shared" si="105"/>
        <v>0</v>
      </c>
      <c r="G673" s="914"/>
      <c r="H673" s="914">
        <f t="shared" si="111"/>
        <v>0</v>
      </c>
      <c r="I673" s="914"/>
      <c r="J673" s="914">
        <f t="shared" si="112"/>
        <v>0</v>
      </c>
      <c r="K673" s="914"/>
      <c r="L673" s="914">
        <f t="shared" si="113"/>
        <v>0</v>
      </c>
      <c r="M673" s="914"/>
      <c r="N673" s="914">
        <f t="shared" si="114"/>
        <v>0</v>
      </c>
      <c r="O673" s="914"/>
      <c r="P673" s="914">
        <f t="shared" si="106"/>
        <v>0</v>
      </c>
      <c r="Q673" s="914"/>
      <c r="R673" s="914">
        <f t="shared" si="107"/>
        <v>0</v>
      </c>
      <c r="S673" s="914"/>
      <c r="T673" s="914">
        <f t="shared" si="108"/>
        <v>0</v>
      </c>
      <c r="U673" s="915">
        <f t="shared" si="110"/>
        <v>0</v>
      </c>
      <c r="V673" s="914">
        <f t="shared" si="109"/>
        <v>0</v>
      </c>
    </row>
    <row r="674" spans="1:22" ht="231.75" hidden="1" customHeight="1">
      <c r="A674" s="905">
        <v>54.3</v>
      </c>
      <c r="B674" s="906" t="s">
        <v>6657</v>
      </c>
      <c r="C674" s="921">
        <f>ROUND(DATA!K1954,2)</f>
        <v>206</v>
      </c>
      <c r="D674" s="908" t="s">
        <v>1393</v>
      </c>
      <c r="E674" s="919"/>
      <c r="F674" s="1053">
        <f t="shared" si="105"/>
        <v>0</v>
      </c>
      <c r="G674" s="919"/>
      <c r="H674" s="914">
        <f t="shared" si="111"/>
        <v>0</v>
      </c>
      <c r="I674" s="919"/>
      <c r="J674" s="914">
        <f t="shared" si="112"/>
        <v>0</v>
      </c>
      <c r="K674" s="914"/>
      <c r="L674" s="914">
        <f t="shared" si="113"/>
        <v>0</v>
      </c>
      <c r="M674" s="919"/>
      <c r="N674" s="914">
        <f t="shared" si="114"/>
        <v>0</v>
      </c>
      <c r="O674" s="919"/>
      <c r="P674" s="914">
        <f t="shared" si="106"/>
        <v>0</v>
      </c>
      <c r="Q674" s="919"/>
      <c r="R674" s="914">
        <f t="shared" si="107"/>
        <v>0</v>
      </c>
      <c r="S674" s="919"/>
      <c r="T674" s="914">
        <f t="shared" si="108"/>
        <v>0</v>
      </c>
      <c r="U674" s="915">
        <f t="shared" si="110"/>
        <v>0</v>
      </c>
      <c r="V674" s="914">
        <f t="shared" si="109"/>
        <v>0</v>
      </c>
    </row>
    <row r="675" spans="1:22" ht="231.75" hidden="1" customHeight="1">
      <c r="A675" s="905">
        <v>56.3</v>
      </c>
      <c r="B675" s="906" t="s">
        <v>821</v>
      </c>
      <c r="C675" s="913">
        <f>ROUND(DATA!K1977,2)</f>
        <v>3359.24</v>
      </c>
      <c r="D675" s="908" t="s">
        <v>1393</v>
      </c>
      <c r="E675" s="919"/>
      <c r="F675" s="1053">
        <f t="shared" ref="F675:F738" si="115">E675*C675</f>
        <v>0</v>
      </c>
      <c r="G675" s="919"/>
      <c r="H675" s="914">
        <f t="shared" si="111"/>
        <v>0</v>
      </c>
      <c r="I675" s="919"/>
      <c r="J675" s="914">
        <f t="shared" si="112"/>
        <v>0</v>
      </c>
      <c r="K675" s="914"/>
      <c r="L675" s="914">
        <f t="shared" si="113"/>
        <v>0</v>
      </c>
      <c r="M675" s="919"/>
      <c r="N675" s="914">
        <f t="shared" si="114"/>
        <v>0</v>
      </c>
      <c r="O675" s="919"/>
      <c r="P675" s="914">
        <f t="shared" si="106"/>
        <v>0</v>
      </c>
      <c r="Q675" s="919"/>
      <c r="R675" s="914">
        <f t="shared" si="107"/>
        <v>0</v>
      </c>
      <c r="S675" s="919"/>
      <c r="T675" s="914">
        <f t="shared" si="108"/>
        <v>0</v>
      </c>
      <c r="U675" s="915">
        <f t="shared" si="110"/>
        <v>0</v>
      </c>
      <c r="V675" s="914">
        <f t="shared" si="109"/>
        <v>0</v>
      </c>
    </row>
    <row r="676" spans="1:22" ht="231.75" hidden="1" customHeight="1">
      <c r="A676" s="905">
        <v>56.4</v>
      </c>
      <c r="B676" s="906" t="s">
        <v>1276</v>
      </c>
      <c r="C676" s="913">
        <f>ROUND(DATA!K1998,2)</f>
        <v>5214.37</v>
      </c>
      <c r="D676" s="908" t="s">
        <v>1393</v>
      </c>
      <c r="E676" s="919"/>
      <c r="F676" s="1053">
        <f t="shared" si="115"/>
        <v>0</v>
      </c>
      <c r="G676" s="919"/>
      <c r="H676" s="914">
        <f t="shared" si="111"/>
        <v>0</v>
      </c>
      <c r="I676" s="919"/>
      <c r="J676" s="914">
        <f t="shared" si="112"/>
        <v>0</v>
      </c>
      <c r="K676" s="914"/>
      <c r="L676" s="914">
        <f t="shared" si="113"/>
        <v>0</v>
      </c>
      <c r="M676" s="919"/>
      <c r="N676" s="914">
        <f t="shared" si="114"/>
        <v>0</v>
      </c>
      <c r="O676" s="919"/>
      <c r="P676" s="914">
        <f t="shared" si="106"/>
        <v>0</v>
      </c>
      <c r="Q676" s="919"/>
      <c r="R676" s="914">
        <f t="shared" si="107"/>
        <v>0</v>
      </c>
      <c r="S676" s="919"/>
      <c r="T676" s="914">
        <f t="shared" si="108"/>
        <v>0</v>
      </c>
      <c r="U676" s="915">
        <f t="shared" si="110"/>
        <v>0</v>
      </c>
      <c r="V676" s="914">
        <f t="shared" si="109"/>
        <v>0</v>
      </c>
    </row>
    <row r="677" spans="1:22" ht="231.75" hidden="1" customHeight="1">
      <c r="A677" s="905">
        <v>58.3</v>
      </c>
      <c r="B677" s="924" t="s">
        <v>1277</v>
      </c>
      <c r="C677" s="913"/>
      <c r="D677" s="976"/>
      <c r="E677" s="911"/>
      <c r="F677" s="1053">
        <f t="shared" si="115"/>
        <v>0</v>
      </c>
      <c r="G677" s="914"/>
      <c r="H677" s="914">
        <f t="shared" si="111"/>
        <v>0</v>
      </c>
      <c r="I677" s="914"/>
      <c r="J677" s="914">
        <f t="shared" si="112"/>
        <v>0</v>
      </c>
      <c r="K677" s="914"/>
      <c r="L677" s="914">
        <f t="shared" si="113"/>
        <v>0</v>
      </c>
      <c r="M677" s="914"/>
      <c r="N677" s="914">
        <f t="shared" si="114"/>
        <v>0</v>
      </c>
      <c r="O677" s="914"/>
      <c r="P677" s="914">
        <f t="shared" si="106"/>
        <v>0</v>
      </c>
      <c r="Q677" s="914"/>
      <c r="R677" s="914">
        <f t="shared" si="107"/>
        <v>0</v>
      </c>
      <c r="S677" s="914"/>
      <c r="T677" s="914">
        <f t="shared" si="108"/>
        <v>0</v>
      </c>
      <c r="U677" s="915">
        <f t="shared" si="110"/>
        <v>0</v>
      </c>
      <c r="V677" s="914">
        <f t="shared" si="109"/>
        <v>0</v>
      </c>
    </row>
    <row r="678" spans="1:22" ht="231.75" hidden="1" customHeight="1">
      <c r="A678" s="905"/>
      <c r="B678" s="906" t="s">
        <v>35</v>
      </c>
      <c r="C678" s="913">
        <f>ROUND(DATA!K2063,2)</f>
        <v>717.55</v>
      </c>
      <c r="D678" s="908" t="s">
        <v>823</v>
      </c>
      <c r="E678" s="914"/>
      <c r="F678" s="1053">
        <f t="shared" si="115"/>
        <v>0</v>
      </c>
      <c r="G678" s="914"/>
      <c r="H678" s="914">
        <f t="shared" si="111"/>
        <v>0</v>
      </c>
      <c r="I678" s="914"/>
      <c r="J678" s="914">
        <f t="shared" si="112"/>
        <v>0</v>
      </c>
      <c r="K678" s="914"/>
      <c r="L678" s="914">
        <f t="shared" si="113"/>
        <v>0</v>
      </c>
      <c r="M678" s="914"/>
      <c r="N678" s="914">
        <f t="shared" si="114"/>
        <v>0</v>
      </c>
      <c r="O678" s="914"/>
      <c r="P678" s="914">
        <f t="shared" si="106"/>
        <v>0</v>
      </c>
      <c r="Q678" s="914"/>
      <c r="R678" s="914">
        <f t="shared" si="107"/>
        <v>0</v>
      </c>
      <c r="S678" s="914"/>
      <c r="T678" s="914">
        <f t="shared" si="108"/>
        <v>0</v>
      </c>
      <c r="U678" s="915">
        <f t="shared" si="110"/>
        <v>0</v>
      </c>
      <c r="V678" s="914">
        <f t="shared" si="109"/>
        <v>0</v>
      </c>
    </row>
    <row r="679" spans="1:22" ht="231.75" hidden="1" customHeight="1">
      <c r="A679" s="943"/>
      <c r="B679" s="906" t="s">
        <v>36</v>
      </c>
      <c r="C679" s="913">
        <f>ROUND(DATA!K2087,2)</f>
        <v>600.25</v>
      </c>
      <c r="D679" s="908" t="s">
        <v>823</v>
      </c>
      <c r="E679" s="914"/>
      <c r="F679" s="1053">
        <f t="shared" si="115"/>
        <v>0</v>
      </c>
      <c r="G679" s="914"/>
      <c r="H679" s="914">
        <f t="shared" si="111"/>
        <v>0</v>
      </c>
      <c r="I679" s="914"/>
      <c r="J679" s="914">
        <f t="shared" si="112"/>
        <v>0</v>
      </c>
      <c r="K679" s="914"/>
      <c r="L679" s="914">
        <f t="shared" si="113"/>
        <v>0</v>
      </c>
      <c r="M679" s="914"/>
      <c r="N679" s="914">
        <f t="shared" si="114"/>
        <v>0</v>
      </c>
      <c r="O679" s="914"/>
      <c r="P679" s="914">
        <f t="shared" si="106"/>
        <v>0</v>
      </c>
      <c r="Q679" s="914"/>
      <c r="R679" s="914">
        <f t="shared" si="107"/>
        <v>0</v>
      </c>
      <c r="S679" s="914"/>
      <c r="T679" s="914">
        <f t="shared" si="108"/>
        <v>0</v>
      </c>
      <c r="U679" s="915">
        <f t="shared" si="110"/>
        <v>0</v>
      </c>
      <c r="V679" s="914">
        <f t="shared" si="109"/>
        <v>0</v>
      </c>
    </row>
    <row r="680" spans="1:22" ht="231.75" hidden="1" customHeight="1">
      <c r="A680" s="905">
        <v>58.4</v>
      </c>
      <c r="B680" s="906" t="s">
        <v>846</v>
      </c>
      <c r="C680" s="913">
        <f>ROUND(DATA!K2888,2)</f>
        <v>114.45</v>
      </c>
      <c r="D680" s="976" t="s">
        <v>823</v>
      </c>
      <c r="E680" s="914"/>
      <c r="F680" s="1053">
        <f t="shared" si="115"/>
        <v>0</v>
      </c>
      <c r="G680" s="914"/>
      <c r="H680" s="914">
        <f t="shared" si="111"/>
        <v>0</v>
      </c>
      <c r="I680" s="914"/>
      <c r="J680" s="914">
        <f t="shared" si="112"/>
        <v>0</v>
      </c>
      <c r="K680" s="914"/>
      <c r="L680" s="914">
        <f t="shared" si="113"/>
        <v>0</v>
      </c>
      <c r="M680" s="914"/>
      <c r="N680" s="914">
        <f t="shared" si="114"/>
        <v>0</v>
      </c>
      <c r="O680" s="914"/>
      <c r="P680" s="914">
        <f t="shared" si="106"/>
        <v>0</v>
      </c>
      <c r="Q680" s="914"/>
      <c r="R680" s="914">
        <f t="shared" si="107"/>
        <v>0</v>
      </c>
      <c r="S680" s="914"/>
      <c r="T680" s="914">
        <f t="shared" si="108"/>
        <v>0</v>
      </c>
      <c r="U680" s="915">
        <f t="shared" si="110"/>
        <v>0</v>
      </c>
      <c r="V680" s="914">
        <f t="shared" si="109"/>
        <v>0</v>
      </c>
    </row>
    <row r="681" spans="1:22" s="920" customFormat="1" ht="231.75" hidden="1" customHeight="1">
      <c r="A681" s="916">
        <v>58.5</v>
      </c>
      <c r="B681" s="917" t="s">
        <v>847</v>
      </c>
      <c r="C681" s="918">
        <f>ROUND(DATA!K2098,2)</f>
        <v>454</v>
      </c>
      <c r="D681" s="977" t="s">
        <v>1393</v>
      </c>
      <c r="E681" s="919"/>
      <c r="F681" s="1053">
        <f t="shared" si="115"/>
        <v>0</v>
      </c>
      <c r="G681" s="919"/>
      <c r="H681" s="914">
        <f t="shared" si="111"/>
        <v>0</v>
      </c>
      <c r="I681" s="919"/>
      <c r="J681" s="914">
        <f t="shared" si="112"/>
        <v>0</v>
      </c>
      <c r="K681" s="914"/>
      <c r="L681" s="914">
        <f t="shared" si="113"/>
        <v>0</v>
      </c>
      <c r="M681" s="919"/>
      <c r="N681" s="914">
        <f t="shared" si="114"/>
        <v>0</v>
      </c>
      <c r="O681" s="919"/>
      <c r="P681" s="914">
        <f t="shared" si="106"/>
        <v>0</v>
      </c>
      <c r="Q681" s="919"/>
      <c r="R681" s="914">
        <f t="shared" si="107"/>
        <v>0</v>
      </c>
      <c r="S681" s="919"/>
      <c r="T681" s="914">
        <f t="shared" si="108"/>
        <v>0</v>
      </c>
      <c r="U681" s="915">
        <f t="shared" si="110"/>
        <v>0</v>
      </c>
      <c r="V681" s="914">
        <f t="shared" si="109"/>
        <v>0</v>
      </c>
    </row>
    <row r="682" spans="1:22" s="920" customFormat="1" ht="231.75" hidden="1" customHeight="1">
      <c r="A682" s="916"/>
      <c r="B682" s="925" t="s">
        <v>4722</v>
      </c>
      <c r="C682" s="918"/>
      <c r="D682" s="977"/>
      <c r="E682" s="919"/>
      <c r="F682" s="1053">
        <f t="shared" si="115"/>
        <v>0</v>
      </c>
      <c r="G682" s="919"/>
      <c r="H682" s="914">
        <f t="shared" si="111"/>
        <v>0</v>
      </c>
      <c r="I682" s="919"/>
      <c r="J682" s="914">
        <f t="shared" si="112"/>
        <v>0</v>
      </c>
      <c r="K682" s="914"/>
      <c r="L682" s="914">
        <f t="shared" si="113"/>
        <v>0</v>
      </c>
      <c r="M682" s="919"/>
      <c r="N682" s="914">
        <f t="shared" si="114"/>
        <v>0</v>
      </c>
      <c r="O682" s="919"/>
      <c r="P682" s="914">
        <f t="shared" si="106"/>
        <v>0</v>
      </c>
      <c r="Q682" s="919"/>
      <c r="R682" s="914">
        <f t="shared" si="107"/>
        <v>0</v>
      </c>
      <c r="S682" s="919"/>
      <c r="T682" s="914">
        <f t="shared" si="108"/>
        <v>0</v>
      </c>
      <c r="U682" s="915">
        <f t="shared" si="110"/>
        <v>0</v>
      </c>
      <c r="V682" s="914">
        <f t="shared" si="109"/>
        <v>0</v>
      </c>
    </row>
    <row r="683" spans="1:22" s="920" customFormat="1" ht="231.75" hidden="1" customHeight="1">
      <c r="A683" s="916"/>
      <c r="B683" s="917" t="s">
        <v>2133</v>
      </c>
      <c r="C683" s="918">
        <f>Elec.Data!K29</f>
        <v>1692.1</v>
      </c>
      <c r="D683" s="978" t="s">
        <v>1393</v>
      </c>
      <c r="E683" s="919"/>
      <c r="F683" s="1053">
        <f t="shared" si="115"/>
        <v>0</v>
      </c>
      <c r="G683" s="919"/>
      <c r="H683" s="914">
        <f t="shared" si="111"/>
        <v>0</v>
      </c>
      <c r="I683" s="919"/>
      <c r="J683" s="914">
        <f t="shared" si="112"/>
        <v>0</v>
      </c>
      <c r="K683" s="914"/>
      <c r="L683" s="914">
        <f t="shared" si="113"/>
        <v>0</v>
      </c>
      <c r="M683" s="919"/>
      <c r="N683" s="914">
        <f t="shared" si="114"/>
        <v>0</v>
      </c>
      <c r="O683" s="919"/>
      <c r="P683" s="914">
        <f t="shared" si="106"/>
        <v>0</v>
      </c>
      <c r="Q683" s="919"/>
      <c r="R683" s="914">
        <f t="shared" si="107"/>
        <v>0</v>
      </c>
      <c r="S683" s="919"/>
      <c r="T683" s="914">
        <f t="shared" si="108"/>
        <v>0</v>
      </c>
      <c r="U683" s="915">
        <f t="shared" si="110"/>
        <v>0</v>
      </c>
      <c r="V683" s="914">
        <f t="shared" si="109"/>
        <v>0</v>
      </c>
    </row>
    <row r="684" spans="1:22" s="920" customFormat="1" ht="231.75" hidden="1" customHeight="1">
      <c r="A684" s="916"/>
      <c r="B684" s="917" t="s">
        <v>1265</v>
      </c>
      <c r="C684" s="918">
        <f>Elec.Data!K53</f>
        <v>1695.1</v>
      </c>
      <c r="D684" s="978" t="s">
        <v>1393</v>
      </c>
      <c r="E684" s="919"/>
      <c r="F684" s="1053">
        <f t="shared" si="115"/>
        <v>0</v>
      </c>
      <c r="G684" s="919"/>
      <c r="H684" s="914">
        <f t="shared" si="111"/>
        <v>0</v>
      </c>
      <c r="I684" s="919"/>
      <c r="J684" s="914">
        <f t="shared" si="112"/>
        <v>0</v>
      </c>
      <c r="K684" s="914"/>
      <c r="L684" s="914">
        <f t="shared" si="113"/>
        <v>0</v>
      </c>
      <c r="M684" s="919"/>
      <c r="N684" s="914">
        <f t="shared" si="114"/>
        <v>0</v>
      </c>
      <c r="O684" s="919"/>
      <c r="P684" s="914">
        <f t="shared" si="106"/>
        <v>0</v>
      </c>
      <c r="Q684" s="919"/>
      <c r="R684" s="914">
        <f t="shared" si="107"/>
        <v>0</v>
      </c>
      <c r="S684" s="919"/>
      <c r="T684" s="914">
        <f t="shared" si="108"/>
        <v>0</v>
      </c>
      <c r="U684" s="915">
        <f t="shared" si="110"/>
        <v>0</v>
      </c>
      <c r="V684" s="914">
        <f t="shared" si="109"/>
        <v>0</v>
      </c>
    </row>
    <row r="685" spans="1:22" s="920" customFormat="1" ht="231.75" hidden="1" customHeight="1">
      <c r="A685" s="970"/>
      <c r="B685" s="917" t="s">
        <v>296</v>
      </c>
      <c r="C685" s="918">
        <f>Elec.Data!K68</f>
        <v>1732.1</v>
      </c>
      <c r="D685" s="978" t="s">
        <v>1393</v>
      </c>
      <c r="E685" s="919"/>
      <c r="F685" s="1053">
        <f t="shared" si="115"/>
        <v>0</v>
      </c>
      <c r="G685" s="919"/>
      <c r="H685" s="914">
        <f t="shared" si="111"/>
        <v>0</v>
      </c>
      <c r="I685" s="919"/>
      <c r="J685" s="914">
        <f t="shared" si="112"/>
        <v>0</v>
      </c>
      <c r="K685" s="914"/>
      <c r="L685" s="914">
        <f t="shared" si="113"/>
        <v>0</v>
      </c>
      <c r="M685" s="919"/>
      <c r="N685" s="914">
        <f t="shared" si="114"/>
        <v>0</v>
      </c>
      <c r="O685" s="919"/>
      <c r="P685" s="914">
        <f t="shared" si="106"/>
        <v>0</v>
      </c>
      <c r="Q685" s="919"/>
      <c r="R685" s="914">
        <f t="shared" si="107"/>
        <v>0</v>
      </c>
      <c r="S685" s="919"/>
      <c r="T685" s="914">
        <f t="shared" si="108"/>
        <v>0</v>
      </c>
      <c r="U685" s="915">
        <f t="shared" si="110"/>
        <v>0</v>
      </c>
      <c r="V685" s="914">
        <f t="shared" si="109"/>
        <v>0</v>
      </c>
    </row>
    <row r="686" spans="1:22" s="920" customFormat="1" ht="231.75" hidden="1" customHeight="1">
      <c r="A686" s="916">
        <v>65.099999999999994</v>
      </c>
      <c r="B686" s="917" t="s">
        <v>6658</v>
      </c>
      <c r="C686" s="918">
        <f>Elec.Data!K90</f>
        <v>1767.1</v>
      </c>
      <c r="D686" s="978" t="s">
        <v>1393</v>
      </c>
      <c r="E686" s="919"/>
      <c r="F686" s="1053">
        <f t="shared" si="115"/>
        <v>0</v>
      </c>
      <c r="G686" s="919"/>
      <c r="H686" s="914">
        <f t="shared" si="111"/>
        <v>0</v>
      </c>
      <c r="I686" s="919"/>
      <c r="J686" s="914">
        <f t="shared" si="112"/>
        <v>0</v>
      </c>
      <c r="K686" s="914"/>
      <c r="L686" s="914">
        <f t="shared" si="113"/>
        <v>0</v>
      </c>
      <c r="M686" s="919"/>
      <c r="N686" s="914">
        <f t="shared" si="114"/>
        <v>0</v>
      </c>
      <c r="O686" s="919"/>
      <c r="P686" s="914">
        <f t="shared" si="106"/>
        <v>0</v>
      </c>
      <c r="Q686" s="919"/>
      <c r="R686" s="914">
        <f t="shared" si="107"/>
        <v>0</v>
      </c>
      <c r="S686" s="919"/>
      <c r="T686" s="914">
        <f t="shared" si="108"/>
        <v>0</v>
      </c>
      <c r="U686" s="915">
        <f t="shared" si="110"/>
        <v>0</v>
      </c>
      <c r="V686" s="914">
        <f t="shared" si="109"/>
        <v>0</v>
      </c>
    </row>
    <row r="687" spans="1:22" s="920" customFormat="1" ht="231.75" hidden="1" customHeight="1">
      <c r="A687" s="916">
        <v>66.099999999999994</v>
      </c>
      <c r="B687" s="917" t="s">
        <v>6659</v>
      </c>
      <c r="C687" s="918">
        <f>Elec.Data!K114</f>
        <v>3176.2</v>
      </c>
      <c r="D687" s="978" t="s">
        <v>1393</v>
      </c>
      <c r="E687" s="919"/>
      <c r="F687" s="1053">
        <f t="shared" si="115"/>
        <v>0</v>
      </c>
      <c r="G687" s="919"/>
      <c r="H687" s="914">
        <f t="shared" si="111"/>
        <v>0</v>
      </c>
      <c r="I687" s="919"/>
      <c r="J687" s="914">
        <f t="shared" si="112"/>
        <v>0</v>
      </c>
      <c r="K687" s="914"/>
      <c r="L687" s="914">
        <f t="shared" si="113"/>
        <v>0</v>
      </c>
      <c r="M687" s="919"/>
      <c r="N687" s="914">
        <f t="shared" si="114"/>
        <v>0</v>
      </c>
      <c r="O687" s="919"/>
      <c r="P687" s="914">
        <f t="shared" si="106"/>
        <v>0</v>
      </c>
      <c r="Q687" s="919"/>
      <c r="R687" s="914">
        <f t="shared" si="107"/>
        <v>0</v>
      </c>
      <c r="S687" s="919"/>
      <c r="T687" s="914">
        <f t="shared" si="108"/>
        <v>0</v>
      </c>
      <c r="U687" s="915">
        <f t="shared" si="110"/>
        <v>0</v>
      </c>
      <c r="V687" s="914">
        <f t="shared" si="109"/>
        <v>0</v>
      </c>
    </row>
    <row r="688" spans="1:22" s="920" customFormat="1" ht="231.75" hidden="1" customHeight="1">
      <c r="A688" s="916"/>
      <c r="B688" s="917" t="s">
        <v>6660</v>
      </c>
      <c r="C688" s="918">
        <f>Elec.Data!K146</f>
        <v>869.5</v>
      </c>
      <c r="D688" s="978" t="s">
        <v>1393</v>
      </c>
      <c r="E688" s="919"/>
      <c r="F688" s="1053">
        <f t="shared" si="115"/>
        <v>0</v>
      </c>
      <c r="G688" s="919"/>
      <c r="H688" s="914">
        <f t="shared" si="111"/>
        <v>0</v>
      </c>
      <c r="I688" s="919"/>
      <c r="J688" s="914">
        <f t="shared" si="112"/>
        <v>0</v>
      </c>
      <c r="K688" s="914"/>
      <c r="L688" s="914">
        <f t="shared" si="113"/>
        <v>0</v>
      </c>
      <c r="M688" s="919"/>
      <c r="N688" s="914">
        <f t="shared" si="114"/>
        <v>0</v>
      </c>
      <c r="O688" s="919"/>
      <c r="P688" s="914">
        <f t="shared" si="106"/>
        <v>0</v>
      </c>
      <c r="Q688" s="919"/>
      <c r="R688" s="914">
        <f t="shared" si="107"/>
        <v>0</v>
      </c>
      <c r="S688" s="919"/>
      <c r="T688" s="914">
        <f t="shared" si="108"/>
        <v>0</v>
      </c>
      <c r="U688" s="915">
        <f t="shared" si="110"/>
        <v>0</v>
      </c>
      <c r="V688" s="914">
        <f t="shared" si="109"/>
        <v>0</v>
      </c>
    </row>
    <row r="689" spans="1:22" s="920" customFormat="1" ht="231.75" hidden="1" customHeight="1">
      <c r="A689" s="916">
        <v>68.2</v>
      </c>
      <c r="B689" s="917" t="s">
        <v>6661</v>
      </c>
      <c r="C689" s="918">
        <f>Elec.Data!K134</f>
        <v>1174.4000000000001</v>
      </c>
      <c r="D689" s="978" t="s">
        <v>1393</v>
      </c>
      <c r="E689" s="919"/>
      <c r="F689" s="1053">
        <f t="shared" si="115"/>
        <v>0</v>
      </c>
      <c r="G689" s="919"/>
      <c r="H689" s="914">
        <f t="shared" si="111"/>
        <v>0</v>
      </c>
      <c r="I689" s="919"/>
      <c r="J689" s="914">
        <f t="shared" si="112"/>
        <v>0</v>
      </c>
      <c r="K689" s="914"/>
      <c r="L689" s="914">
        <f t="shared" si="113"/>
        <v>0</v>
      </c>
      <c r="M689" s="919"/>
      <c r="N689" s="914">
        <f t="shared" si="114"/>
        <v>0</v>
      </c>
      <c r="O689" s="919"/>
      <c r="P689" s="914">
        <f t="shared" si="106"/>
        <v>0</v>
      </c>
      <c r="Q689" s="919"/>
      <c r="R689" s="914">
        <f t="shared" si="107"/>
        <v>0</v>
      </c>
      <c r="S689" s="919"/>
      <c r="T689" s="914">
        <f t="shared" si="108"/>
        <v>0</v>
      </c>
      <c r="U689" s="915">
        <f t="shared" si="110"/>
        <v>0</v>
      </c>
      <c r="V689" s="914">
        <f t="shared" si="109"/>
        <v>0</v>
      </c>
    </row>
    <row r="690" spans="1:22" ht="231.75" hidden="1" customHeight="1">
      <c r="A690" s="905">
        <v>70.5</v>
      </c>
      <c r="B690" s="906" t="s">
        <v>4725</v>
      </c>
      <c r="C690" s="913">
        <f>Elec.Data!K157</f>
        <v>150</v>
      </c>
      <c r="D690" s="972" t="s">
        <v>1393</v>
      </c>
      <c r="E690" s="919"/>
      <c r="F690" s="1053">
        <f t="shared" si="115"/>
        <v>0</v>
      </c>
      <c r="G690" s="919"/>
      <c r="H690" s="914">
        <f t="shared" si="111"/>
        <v>0</v>
      </c>
      <c r="I690" s="919"/>
      <c r="J690" s="914">
        <f t="shared" si="112"/>
        <v>0</v>
      </c>
      <c r="K690" s="914"/>
      <c r="L690" s="914">
        <f t="shared" si="113"/>
        <v>0</v>
      </c>
      <c r="M690" s="919"/>
      <c r="N690" s="914">
        <f t="shared" si="114"/>
        <v>0</v>
      </c>
      <c r="O690" s="919"/>
      <c r="P690" s="914">
        <f t="shared" si="106"/>
        <v>0</v>
      </c>
      <c r="Q690" s="919"/>
      <c r="R690" s="914">
        <f t="shared" si="107"/>
        <v>0</v>
      </c>
      <c r="S690" s="919"/>
      <c r="T690" s="914">
        <f t="shared" si="108"/>
        <v>0</v>
      </c>
      <c r="U690" s="915">
        <f t="shared" si="110"/>
        <v>0</v>
      </c>
      <c r="V690" s="914">
        <f t="shared" si="109"/>
        <v>0</v>
      </c>
    </row>
    <row r="691" spans="1:22" ht="231.75" hidden="1" customHeight="1">
      <c r="A691" s="943"/>
      <c r="B691" s="906" t="s">
        <v>6662</v>
      </c>
      <c r="C691" s="913">
        <f>Elec.Data!K935</f>
        <v>1739.7</v>
      </c>
      <c r="D691" s="972" t="s">
        <v>1393</v>
      </c>
      <c r="E691" s="914"/>
      <c r="F691" s="1053">
        <f t="shared" si="115"/>
        <v>0</v>
      </c>
      <c r="G691" s="914"/>
      <c r="H691" s="914">
        <f t="shared" si="111"/>
        <v>0</v>
      </c>
      <c r="I691" s="914"/>
      <c r="J691" s="914">
        <f t="shared" si="112"/>
        <v>0</v>
      </c>
      <c r="K691" s="914"/>
      <c r="L691" s="914">
        <f t="shared" si="113"/>
        <v>0</v>
      </c>
      <c r="M691" s="914"/>
      <c r="N691" s="914">
        <f t="shared" si="114"/>
        <v>0</v>
      </c>
      <c r="O691" s="914"/>
      <c r="P691" s="914">
        <f t="shared" si="106"/>
        <v>0</v>
      </c>
      <c r="Q691" s="914"/>
      <c r="R691" s="914">
        <f t="shared" si="107"/>
        <v>0</v>
      </c>
      <c r="S691" s="914"/>
      <c r="T691" s="914">
        <f t="shared" si="108"/>
        <v>0</v>
      </c>
      <c r="U691" s="915">
        <f t="shared" si="110"/>
        <v>0</v>
      </c>
      <c r="V691" s="914">
        <f t="shared" si="109"/>
        <v>0</v>
      </c>
    </row>
    <row r="692" spans="1:22" ht="231.75" hidden="1" customHeight="1">
      <c r="A692" s="943"/>
      <c r="B692" s="906" t="s">
        <v>3508</v>
      </c>
      <c r="C692" s="913">
        <f>DATA!K2283</f>
        <v>272.89999999999998</v>
      </c>
      <c r="D692" s="976" t="s">
        <v>823</v>
      </c>
      <c r="E692" s="914"/>
      <c r="F692" s="1053">
        <f t="shared" si="115"/>
        <v>0</v>
      </c>
      <c r="G692" s="914"/>
      <c r="H692" s="914">
        <f t="shared" si="111"/>
        <v>0</v>
      </c>
      <c r="I692" s="914"/>
      <c r="J692" s="914">
        <f t="shared" si="112"/>
        <v>0</v>
      </c>
      <c r="K692" s="914"/>
      <c r="L692" s="914">
        <f t="shared" si="113"/>
        <v>0</v>
      </c>
      <c r="M692" s="914"/>
      <c r="N692" s="914">
        <f t="shared" si="114"/>
        <v>0</v>
      </c>
      <c r="O692" s="914"/>
      <c r="P692" s="914">
        <f t="shared" ref="P692:P715" si="116">O692*C692</f>
        <v>0</v>
      </c>
      <c r="Q692" s="914"/>
      <c r="R692" s="914">
        <f t="shared" ref="R692:R715" si="117">Q692*C692</f>
        <v>0</v>
      </c>
      <c r="S692" s="914"/>
      <c r="T692" s="914">
        <f t="shared" ref="T692:T723" si="118">S692*C692</f>
        <v>0</v>
      </c>
      <c r="U692" s="915">
        <f t="shared" si="110"/>
        <v>0</v>
      </c>
      <c r="V692" s="914">
        <f t="shared" si="109"/>
        <v>0</v>
      </c>
    </row>
    <row r="693" spans="1:22" ht="231.75" hidden="1" customHeight="1">
      <c r="A693" s="905">
        <v>77.5</v>
      </c>
      <c r="B693" s="906" t="s">
        <v>3509</v>
      </c>
      <c r="C693" s="913">
        <f>ROUND(DATA!K2282,2)</f>
        <v>214.9</v>
      </c>
      <c r="D693" s="976" t="s">
        <v>823</v>
      </c>
      <c r="E693" s="914"/>
      <c r="F693" s="1053">
        <f t="shared" si="115"/>
        <v>0</v>
      </c>
      <c r="G693" s="914"/>
      <c r="H693" s="914">
        <f t="shared" si="111"/>
        <v>0</v>
      </c>
      <c r="I693" s="914"/>
      <c r="J693" s="914">
        <f t="shared" si="112"/>
        <v>0</v>
      </c>
      <c r="K693" s="914"/>
      <c r="L693" s="914">
        <f t="shared" si="113"/>
        <v>0</v>
      </c>
      <c r="M693" s="914"/>
      <c r="N693" s="914">
        <f t="shared" si="114"/>
        <v>0</v>
      </c>
      <c r="O693" s="914"/>
      <c r="P693" s="914">
        <f t="shared" si="116"/>
        <v>0</v>
      </c>
      <c r="Q693" s="914"/>
      <c r="R693" s="914">
        <f t="shared" si="117"/>
        <v>0</v>
      </c>
      <c r="S693" s="914"/>
      <c r="T693" s="914">
        <f t="shared" si="118"/>
        <v>0</v>
      </c>
      <c r="U693" s="915">
        <f t="shared" si="110"/>
        <v>0</v>
      </c>
      <c r="V693" s="914">
        <f t="shared" si="109"/>
        <v>0</v>
      </c>
    </row>
    <row r="694" spans="1:22" ht="231.75" hidden="1" customHeight="1">
      <c r="A694" s="905"/>
      <c r="B694" s="906" t="s">
        <v>3556</v>
      </c>
      <c r="C694" s="921">
        <f>C1049</f>
        <v>232.9</v>
      </c>
      <c r="D694" s="979" t="s">
        <v>823</v>
      </c>
      <c r="E694" s="914"/>
      <c r="F694" s="1053">
        <f t="shared" si="115"/>
        <v>0</v>
      </c>
      <c r="G694" s="914"/>
      <c r="H694" s="914">
        <f t="shared" si="111"/>
        <v>0</v>
      </c>
      <c r="I694" s="914"/>
      <c r="J694" s="914">
        <f t="shared" si="112"/>
        <v>0</v>
      </c>
      <c r="K694" s="914"/>
      <c r="L694" s="914">
        <f t="shared" si="113"/>
        <v>0</v>
      </c>
      <c r="M694" s="914"/>
      <c r="N694" s="914">
        <f t="shared" si="114"/>
        <v>0</v>
      </c>
      <c r="O694" s="914"/>
      <c r="P694" s="914">
        <f t="shared" si="116"/>
        <v>0</v>
      </c>
      <c r="Q694" s="914"/>
      <c r="R694" s="914">
        <f t="shared" si="117"/>
        <v>0</v>
      </c>
      <c r="S694" s="914"/>
      <c r="T694" s="914">
        <f t="shared" si="118"/>
        <v>0</v>
      </c>
      <c r="U694" s="915">
        <f t="shared" si="110"/>
        <v>0</v>
      </c>
      <c r="V694" s="914">
        <f t="shared" si="109"/>
        <v>0</v>
      </c>
    </row>
    <row r="695" spans="1:22" ht="231.75" hidden="1" customHeight="1">
      <c r="A695" s="905"/>
      <c r="B695" s="906" t="s">
        <v>6663</v>
      </c>
      <c r="C695" s="921">
        <f>Elec.Data!K707</f>
        <v>275.3</v>
      </c>
      <c r="D695" s="976" t="s">
        <v>823</v>
      </c>
      <c r="E695" s="914"/>
      <c r="F695" s="1053">
        <f t="shared" si="115"/>
        <v>0</v>
      </c>
      <c r="G695" s="914"/>
      <c r="H695" s="914">
        <f t="shared" si="111"/>
        <v>0</v>
      </c>
      <c r="I695" s="914"/>
      <c r="J695" s="914">
        <f t="shared" si="112"/>
        <v>0</v>
      </c>
      <c r="K695" s="914"/>
      <c r="L695" s="914">
        <f t="shared" si="113"/>
        <v>0</v>
      </c>
      <c r="M695" s="914"/>
      <c r="N695" s="914">
        <f t="shared" si="114"/>
        <v>0</v>
      </c>
      <c r="O695" s="914"/>
      <c r="P695" s="914">
        <f t="shared" si="116"/>
        <v>0</v>
      </c>
      <c r="Q695" s="914"/>
      <c r="R695" s="914">
        <f t="shared" si="117"/>
        <v>0</v>
      </c>
      <c r="S695" s="914"/>
      <c r="T695" s="914">
        <f t="shared" si="118"/>
        <v>0</v>
      </c>
      <c r="U695" s="915">
        <f t="shared" si="110"/>
        <v>0</v>
      </c>
      <c r="V695" s="914">
        <f t="shared" si="109"/>
        <v>0</v>
      </c>
    </row>
    <row r="696" spans="1:22" ht="231.75" hidden="1" customHeight="1">
      <c r="A696" s="905"/>
      <c r="B696" s="980" t="s">
        <v>3639</v>
      </c>
      <c r="C696" s="921">
        <f>Elec.Data!R288</f>
        <v>501.08</v>
      </c>
      <c r="D696" s="979" t="s">
        <v>823</v>
      </c>
      <c r="E696" s="914"/>
      <c r="F696" s="1053">
        <f t="shared" si="115"/>
        <v>0</v>
      </c>
      <c r="G696" s="914"/>
      <c r="H696" s="914">
        <f t="shared" si="111"/>
        <v>0</v>
      </c>
      <c r="I696" s="914"/>
      <c r="J696" s="914">
        <f t="shared" si="112"/>
        <v>0</v>
      </c>
      <c r="K696" s="914"/>
      <c r="L696" s="914">
        <f t="shared" si="113"/>
        <v>0</v>
      </c>
      <c r="M696" s="914"/>
      <c r="N696" s="914">
        <f t="shared" si="114"/>
        <v>0</v>
      </c>
      <c r="O696" s="914"/>
      <c r="P696" s="914">
        <f t="shared" si="116"/>
        <v>0</v>
      </c>
      <c r="Q696" s="914"/>
      <c r="R696" s="914">
        <f t="shared" si="117"/>
        <v>0</v>
      </c>
      <c r="S696" s="914"/>
      <c r="T696" s="914">
        <f t="shared" si="118"/>
        <v>0</v>
      </c>
      <c r="U696" s="915">
        <f t="shared" si="110"/>
        <v>0</v>
      </c>
      <c r="V696" s="914">
        <f t="shared" si="109"/>
        <v>0</v>
      </c>
    </row>
    <row r="697" spans="1:22" ht="231.75" hidden="1" customHeight="1">
      <c r="A697" s="905"/>
      <c r="B697" s="980" t="s">
        <v>3640</v>
      </c>
      <c r="C697" s="921">
        <f>Elec.Data!R302</f>
        <v>642.77</v>
      </c>
      <c r="D697" s="979" t="s">
        <v>823</v>
      </c>
      <c r="E697" s="919"/>
      <c r="F697" s="1053">
        <f t="shared" si="115"/>
        <v>0</v>
      </c>
      <c r="G697" s="919"/>
      <c r="H697" s="914">
        <f t="shared" si="111"/>
        <v>0</v>
      </c>
      <c r="I697" s="919"/>
      <c r="J697" s="914">
        <f t="shared" si="112"/>
        <v>0</v>
      </c>
      <c r="K697" s="914"/>
      <c r="L697" s="914">
        <f t="shared" si="113"/>
        <v>0</v>
      </c>
      <c r="M697" s="919"/>
      <c r="N697" s="914">
        <f t="shared" si="114"/>
        <v>0</v>
      </c>
      <c r="O697" s="919"/>
      <c r="P697" s="914">
        <f t="shared" si="116"/>
        <v>0</v>
      </c>
      <c r="Q697" s="919"/>
      <c r="R697" s="914">
        <f t="shared" si="117"/>
        <v>0</v>
      </c>
      <c r="S697" s="919"/>
      <c r="T697" s="914">
        <f t="shared" si="118"/>
        <v>0</v>
      </c>
      <c r="U697" s="915">
        <f t="shared" si="110"/>
        <v>0</v>
      </c>
      <c r="V697" s="914">
        <f t="shared" si="109"/>
        <v>0</v>
      </c>
    </row>
    <row r="698" spans="1:22" s="920" customFormat="1" ht="231.75" hidden="1" customHeight="1">
      <c r="A698" s="916">
        <v>112.1</v>
      </c>
      <c r="B698" s="917" t="s">
        <v>1910</v>
      </c>
      <c r="C698" s="918">
        <f>DATA!K3018</f>
        <v>2176.4</v>
      </c>
      <c r="D698" s="978" t="s">
        <v>1393</v>
      </c>
      <c r="E698" s="919"/>
      <c r="F698" s="1053">
        <f t="shared" si="115"/>
        <v>0</v>
      </c>
      <c r="G698" s="919"/>
      <c r="H698" s="914">
        <f t="shared" si="111"/>
        <v>0</v>
      </c>
      <c r="I698" s="919"/>
      <c r="J698" s="914">
        <f t="shared" si="112"/>
        <v>0</v>
      </c>
      <c r="K698" s="914"/>
      <c r="L698" s="914">
        <f t="shared" si="113"/>
        <v>0</v>
      </c>
      <c r="M698" s="919"/>
      <c r="N698" s="914">
        <f t="shared" si="114"/>
        <v>0</v>
      </c>
      <c r="O698" s="919"/>
      <c r="P698" s="914">
        <f t="shared" si="116"/>
        <v>0</v>
      </c>
      <c r="Q698" s="919"/>
      <c r="R698" s="914">
        <f t="shared" si="117"/>
        <v>0</v>
      </c>
      <c r="S698" s="919"/>
      <c r="T698" s="914">
        <f t="shared" si="118"/>
        <v>0</v>
      </c>
      <c r="U698" s="915">
        <f t="shared" si="110"/>
        <v>0</v>
      </c>
      <c r="V698" s="914">
        <f t="shared" si="109"/>
        <v>0</v>
      </c>
    </row>
    <row r="699" spans="1:22" ht="231.75" hidden="1" customHeight="1">
      <c r="A699" s="905">
        <v>44.2</v>
      </c>
      <c r="B699" s="924" t="s">
        <v>1896</v>
      </c>
      <c r="C699" s="913"/>
      <c r="D699" s="972"/>
      <c r="E699" s="911"/>
      <c r="F699" s="1053">
        <f t="shared" si="115"/>
        <v>0</v>
      </c>
      <c r="G699" s="914"/>
      <c r="H699" s="914">
        <f t="shared" si="111"/>
        <v>0</v>
      </c>
      <c r="I699" s="914"/>
      <c r="J699" s="914">
        <f t="shared" si="112"/>
        <v>0</v>
      </c>
      <c r="K699" s="914"/>
      <c r="L699" s="914">
        <f t="shared" si="113"/>
        <v>0</v>
      </c>
      <c r="M699" s="914"/>
      <c r="N699" s="914">
        <f t="shared" si="114"/>
        <v>0</v>
      </c>
      <c r="O699" s="914"/>
      <c r="P699" s="914">
        <f t="shared" si="116"/>
        <v>0</v>
      </c>
      <c r="Q699" s="914"/>
      <c r="R699" s="914">
        <f t="shared" si="117"/>
        <v>0</v>
      </c>
      <c r="S699" s="914"/>
      <c r="T699" s="914">
        <f t="shared" si="118"/>
        <v>0</v>
      </c>
      <c r="U699" s="915">
        <f t="shared" si="110"/>
        <v>0</v>
      </c>
      <c r="V699" s="914">
        <f t="shared" si="109"/>
        <v>0</v>
      </c>
    </row>
    <row r="700" spans="1:22" ht="231.75" hidden="1" customHeight="1">
      <c r="A700" s="905"/>
      <c r="B700" s="906" t="s">
        <v>5035</v>
      </c>
      <c r="C700" s="913">
        <f>DATA!R2350</f>
        <v>2237.9</v>
      </c>
      <c r="D700" s="972" t="s">
        <v>1393</v>
      </c>
      <c r="E700" s="914"/>
      <c r="F700" s="1053">
        <f t="shared" si="115"/>
        <v>0</v>
      </c>
      <c r="G700" s="914"/>
      <c r="H700" s="914">
        <f t="shared" si="111"/>
        <v>0</v>
      </c>
      <c r="I700" s="914"/>
      <c r="J700" s="914">
        <f t="shared" si="112"/>
        <v>0</v>
      </c>
      <c r="K700" s="914"/>
      <c r="L700" s="914">
        <f t="shared" si="113"/>
        <v>0</v>
      </c>
      <c r="M700" s="914"/>
      <c r="N700" s="914">
        <f t="shared" si="114"/>
        <v>0</v>
      </c>
      <c r="O700" s="914"/>
      <c r="P700" s="914">
        <f t="shared" si="116"/>
        <v>0</v>
      </c>
      <c r="Q700" s="914"/>
      <c r="R700" s="914">
        <f t="shared" si="117"/>
        <v>0</v>
      </c>
      <c r="S700" s="914"/>
      <c r="T700" s="914">
        <f t="shared" si="118"/>
        <v>0</v>
      </c>
      <c r="U700" s="915">
        <f t="shared" si="110"/>
        <v>0</v>
      </c>
      <c r="V700" s="914">
        <f t="shared" si="109"/>
        <v>0</v>
      </c>
    </row>
    <row r="701" spans="1:22" ht="231.75" hidden="1" customHeight="1">
      <c r="A701" s="905"/>
      <c r="B701" s="906" t="s">
        <v>315</v>
      </c>
      <c r="C701" s="913">
        <f>DATA!R2357</f>
        <v>510.55</v>
      </c>
      <c r="D701" s="972" t="s">
        <v>823</v>
      </c>
      <c r="E701" s="914"/>
      <c r="F701" s="1053">
        <f t="shared" si="115"/>
        <v>0</v>
      </c>
      <c r="G701" s="914"/>
      <c r="H701" s="914">
        <f t="shared" si="111"/>
        <v>0</v>
      </c>
      <c r="I701" s="914"/>
      <c r="J701" s="914">
        <f t="shared" si="112"/>
        <v>0</v>
      </c>
      <c r="K701" s="914"/>
      <c r="L701" s="914">
        <f t="shared" si="113"/>
        <v>0</v>
      </c>
      <c r="M701" s="914"/>
      <c r="N701" s="914">
        <f t="shared" si="114"/>
        <v>0</v>
      </c>
      <c r="O701" s="914"/>
      <c r="P701" s="914">
        <f t="shared" si="116"/>
        <v>0</v>
      </c>
      <c r="Q701" s="914"/>
      <c r="R701" s="914">
        <f t="shared" si="117"/>
        <v>0</v>
      </c>
      <c r="S701" s="914"/>
      <c r="T701" s="914">
        <f t="shared" si="118"/>
        <v>0</v>
      </c>
      <c r="U701" s="915">
        <f t="shared" si="110"/>
        <v>0</v>
      </c>
      <c r="V701" s="914">
        <f t="shared" si="109"/>
        <v>0</v>
      </c>
    </row>
    <row r="702" spans="1:22" ht="231.75" hidden="1" customHeight="1">
      <c r="A702" s="905">
        <v>257.10000000000002</v>
      </c>
      <c r="B702" s="906" t="s">
        <v>1379</v>
      </c>
      <c r="C702" s="921">
        <f>ROUND(DATA!K2703,2)</f>
        <v>272.93</v>
      </c>
      <c r="D702" s="972" t="s">
        <v>823</v>
      </c>
      <c r="E702" s="919"/>
      <c r="F702" s="1053">
        <f t="shared" si="115"/>
        <v>0</v>
      </c>
      <c r="G702" s="919"/>
      <c r="H702" s="914">
        <f t="shared" si="111"/>
        <v>0</v>
      </c>
      <c r="I702" s="919"/>
      <c r="J702" s="914">
        <f t="shared" si="112"/>
        <v>0</v>
      </c>
      <c r="K702" s="914"/>
      <c r="L702" s="914">
        <f t="shared" si="113"/>
        <v>0</v>
      </c>
      <c r="M702" s="919"/>
      <c r="N702" s="914">
        <f t="shared" si="114"/>
        <v>0</v>
      </c>
      <c r="O702" s="919"/>
      <c r="P702" s="914">
        <f t="shared" si="116"/>
        <v>0</v>
      </c>
      <c r="Q702" s="919"/>
      <c r="R702" s="914">
        <f t="shared" si="117"/>
        <v>0</v>
      </c>
      <c r="S702" s="919"/>
      <c r="T702" s="914">
        <f t="shared" si="118"/>
        <v>0</v>
      </c>
      <c r="U702" s="915">
        <f t="shared" si="110"/>
        <v>0</v>
      </c>
      <c r="V702" s="914">
        <f t="shared" si="109"/>
        <v>0</v>
      </c>
    </row>
    <row r="703" spans="1:22" ht="231.75" hidden="1" customHeight="1">
      <c r="A703" s="905">
        <v>344.2</v>
      </c>
      <c r="B703" s="906" t="s">
        <v>761</v>
      </c>
      <c r="C703" s="913">
        <f>ROUND(DATA!K3014,2)</f>
        <v>398.3</v>
      </c>
      <c r="D703" s="972" t="s">
        <v>1393</v>
      </c>
      <c r="E703" s="914"/>
      <c r="F703" s="1053">
        <f t="shared" si="115"/>
        <v>0</v>
      </c>
      <c r="G703" s="914"/>
      <c r="H703" s="914">
        <f t="shared" si="111"/>
        <v>0</v>
      </c>
      <c r="I703" s="914"/>
      <c r="J703" s="914">
        <f t="shared" si="112"/>
        <v>0</v>
      </c>
      <c r="K703" s="914"/>
      <c r="L703" s="914">
        <f t="shared" si="113"/>
        <v>0</v>
      </c>
      <c r="M703" s="914"/>
      <c r="N703" s="914">
        <f t="shared" si="114"/>
        <v>0</v>
      </c>
      <c r="O703" s="914"/>
      <c r="P703" s="914">
        <f t="shared" si="116"/>
        <v>0</v>
      </c>
      <c r="Q703" s="914"/>
      <c r="R703" s="914">
        <f t="shared" si="117"/>
        <v>0</v>
      </c>
      <c r="S703" s="914"/>
      <c r="T703" s="914">
        <f t="shared" si="118"/>
        <v>0</v>
      </c>
      <c r="U703" s="915">
        <f t="shared" si="110"/>
        <v>0</v>
      </c>
      <c r="V703" s="914">
        <f t="shared" si="109"/>
        <v>0</v>
      </c>
    </row>
    <row r="704" spans="1:22" s="920" customFormat="1" ht="231.75" hidden="1" customHeight="1">
      <c r="A704" s="975">
        <v>383</v>
      </c>
      <c r="B704" s="917" t="s">
        <v>6527</v>
      </c>
      <c r="C704" s="922">
        <v>7140</v>
      </c>
      <c r="D704" s="898" t="s">
        <v>1393</v>
      </c>
      <c r="E704" s="919"/>
      <c r="F704" s="1053">
        <f t="shared" si="115"/>
        <v>0</v>
      </c>
      <c r="G704" s="919"/>
      <c r="H704" s="914">
        <f t="shared" si="111"/>
        <v>0</v>
      </c>
      <c r="I704" s="919"/>
      <c r="J704" s="914">
        <f t="shared" si="112"/>
        <v>0</v>
      </c>
      <c r="K704" s="914"/>
      <c r="L704" s="914">
        <f t="shared" si="113"/>
        <v>0</v>
      </c>
      <c r="M704" s="919"/>
      <c r="N704" s="914">
        <f t="shared" si="114"/>
        <v>0</v>
      </c>
      <c r="O704" s="919"/>
      <c r="P704" s="914">
        <f t="shared" si="116"/>
        <v>0</v>
      </c>
      <c r="Q704" s="919"/>
      <c r="R704" s="914">
        <f t="shared" si="117"/>
        <v>0</v>
      </c>
      <c r="S704" s="919"/>
      <c r="T704" s="914">
        <f t="shared" si="118"/>
        <v>0</v>
      </c>
      <c r="U704" s="915">
        <f t="shared" si="110"/>
        <v>0</v>
      </c>
      <c r="V704" s="914">
        <f t="shared" si="109"/>
        <v>0</v>
      </c>
    </row>
    <row r="705" spans="1:22" ht="231.75" hidden="1" customHeight="1">
      <c r="A705" s="905">
        <v>383.1</v>
      </c>
      <c r="B705" s="906" t="s">
        <v>6535</v>
      </c>
      <c r="C705" s="948">
        <v>370.25</v>
      </c>
      <c r="D705" s="972" t="s">
        <v>823</v>
      </c>
      <c r="E705" s="919"/>
      <c r="F705" s="1053">
        <f t="shared" si="115"/>
        <v>0</v>
      </c>
      <c r="G705" s="919"/>
      <c r="H705" s="914">
        <f t="shared" si="111"/>
        <v>0</v>
      </c>
      <c r="I705" s="919"/>
      <c r="J705" s="914">
        <f t="shared" si="112"/>
        <v>0</v>
      </c>
      <c r="K705" s="914"/>
      <c r="L705" s="914">
        <f t="shared" si="113"/>
        <v>0</v>
      </c>
      <c r="M705" s="919"/>
      <c r="N705" s="914">
        <f t="shared" si="114"/>
        <v>0</v>
      </c>
      <c r="O705" s="919"/>
      <c r="P705" s="914">
        <f t="shared" si="116"/>
        <v>0</v>
      </c>
      <c r="Q705" s="919"/>
      <c r="R705" s="914">
        <f t="shared" si="117"/>
        <v>0</v>
      </c>
      <c r="S705" s="919"/>
      <c r="T705" s="914">
        <f t="shared" si="118"/>
        <v>0</v>
      </c>
      <c r="U705" s="915">
        <f t="shared" si="110"/>
        <v>0</v>
      </c>
      <c r="V705" s="914">
        <f t="shared" si="109"/>
        <v>0</v>
      </c>
    </row>
    <row r="706" spans="1:22" ht="231.75" hidden="1" customHeight="1">
      <c r="A706" s="905"/>
      <c r="B706" s="906" t="s">
        <v>3579</v>
      </c>
      <c r="C706" s="921">
        <f>DATA!R1912</f>
        <v>304.19</v>
      </c>
      <c r="D706" s="972" t="s">
        <v>823</v>
      </c>
      <c r="E706" s="919"/>
      <c r="F706" s="1053">
        <f t="shared" si="115"/>
        <v>0</v>
      </c>
      <c r="G706" s="919"/>
      <c r="H706" s="914">
        <f t="shared" si="111"/>
        <v>0</v>
      </c>
      <c r="I706" s="919"/>
      <c r="J706" s="914">
        <f t="shared" si="112"/>
        <v>0</v>
      </c>
      <c r="K706" s="914"/>
      <c r="L706" s="914">
        <f t="shared" si="113"/>
        <v>0</v>
      </c>
      <c r="M706" s="919"/>
      <c r="N706" s="914">
        <f t="shared" si="114"/>
        <v>0</v>
      </c>
      <c r="O706" s="919"/>
      <c r="P706" s="914">
        <f t="shared" si="116"/>
        <v>0</v>
      </c>
      <c r="Q706" s="919"/>
      <c r="R706" s="914">
        <f t="shared" si="117"/>
        <v>0</v>
      </c>
      <c r="S706" s="919"/>
      <c r="T706" s="914">
        <f t="shared" si="118"/>
        <v>0</v>
      </c>
      <c r="U706" s="915">
        <f t="shared" si="110"/>
        <v>0</v>
      </c>
      <c r="V706" s="914">
        <f t="shared" si="109"/>
        <v>0</v>
      </c>
    </row>
    <row r="707" spans="1:22" s="920" customFormat="1" ht="231.75" hidden="1" customHeight="1">
      <c r="A707" s="975">
        <v>384</v>
      </c>
      <c r="B707" s="917" t="s">
        <v>6536</v>
      </c>
      <c r="C707" s="922">
        <f>DATA!K3046</f>
        <v>1753.5</v>
      </c>
      <c r="D707" s="981" t="s">
        <v>1393</v>
      </c>
      <c r="E707" s="919"/>
      <c r="F707" s="1053">
        <f t="shared" si="115"/>
        <v>0</v>
      </c>
      <c r="G707" s="919"/>
      <c r="H707" s="914">
        <f t="shared" si="111"/>
        <v>0</v>
      </c>
      <c r="I707" s="919"/>
      <c r="J707" s="914">
        <f t="shared" si="112"/>
        <v>0</v>
      </c>
      <c r="K707" s="914"/>
      <c r="L707" s="914">
        <f t="shared" si="113"/>
        <v>0</v>
      </c>
      <c r="M707" s="919"/>
      <c r="N707" s="914">
        <f t="shared" si="114"/>
        <v>0</v>
      </c>
      <c r="O707" s="919"/>
      <c r="P707" s="914">
        <f t="shared" si="116"/>
        <v>0</v>
      </c>
      <c r="Q707" s="919"/>
      <c r="R707" s="914">
        <f t="shared" si="117"/>
        <v>0</v>
      </c>
      <c r="S707" s="919"/>
      <c r="T707" s="914">
        <f t="shared" si="118"/>
        <v>0</v>
      </c>
      <c r="U707" s="915">
        <f t="shared" si="110"/>
        <v>0</v>
      </c>
      <c r="V707" s="914">
        <f t="shared" si="109"/>
        <v>0</v>
      </c>
    </row>
    <row r="708" spans="1:22" ht="231.75" hidden="1" customHeight="1">
      <c r="A708" s="905">
        <v>238.1</v>
      </c>
      <c r="B708" s="906" t="s">
        <v>6664</v>
      </c>
      <c r="C708" s="921">
        <f>ROUND(DATA!K2778,2)</f>
        <v>2867.75</v>
      </c>
      <c r="D708" s="979" t="s">
        <v>525</v>
      </c>
      <c r="E708" s="915"/>
      <c r="F708" s="1053">
        <f t="shared" si="115"/>
        <v>0</v>
      </c>
      <c r="G708" s="915"/>
      <c r="H708" s="914">
        <f t="shared" si="111"/>
        <v>0</v>
      </c>
      <c r="I708" s="914"/>
      <c r="J708" s="914">
        <f t="shared" si="112"/>
        <v>0</v>
      </c>
      <c r="K708" s="914"/>
      <c r="L708" s="914">
        <f t="shared" si="113"/>
        <v>0</v>
      </c>
      <c r="M708" s="914"/>
      <c r="N708" s="914">
        <f t="shared" si="114"/>
        <v>0</v>
      </c>
      <c r="O708" s="915"/>
      <c r="P708" s="914">
        <f t="shared" si="116"/>
        <v>0</v>
      </c>
      <c r="Q708" s="914"/>
      <c r="R708" s="914">
        <f t="shared" si="117"/>
        <v>0</v>
      </c>
      <c r="S708" s="914"/>
      <c r="T708" s="914">
        <f t="shared" si="118"/>
        <v>0</v>
      </c>
      <c r="U708" s="915">
        <f t="shared" si="110"/>
        <v>0</v>
      </c>
      <c r="V708" s="914">
        <f t="shared" si="109"/>
        <v>0</v>
      </c>
    </row>
    <row r="709" spans="1:22" s="920" customFormat="1" ht="231.75" hidden="1" customHeight="1">
      <c r="A709" s="916">
        <v>71.2</v>
      </c>
      <c r="B709" s="917" t="s">
        <v>3505</v>
      </c>
      <c r="C709" s="922">
        <f>Elec.Data!K379</f>
        <v>2195.34</v>
      </c>
      <c r="D709" s="981" t="s">
        <v>1393</v>
      </c>
      <c r="E709" s="919"/>
      <c r="F709" s="1053">
        <f t="shared" si="115"/>
        <v>0</v>
      </c>
      <c r="G709" s="919"/>
      <c r="H709" s="914">
        <f t="shared" si="111"/>
        <v>0</v>
      </c>
      <c r="I709" s="919"/>
      <c r="J709" s="914">
        <f t="shared" si="112"/>
        <v>0</v>
      </c>
      <c r="K709" s="914"/>
      <c r="L709" s="914">
        <f t="shared" si="113"/>
        <v>0</v>
      </c>
      <c r="M709" s="919"/>
      <c r="N709" s="914">
        <f t="shared" si="114"/>
        <v>0</v>
      </c>
      <c r="O709" s="919"/>
      <c r="P709" s="914">
        <f t="shared" si="116"/>
        <v>0</v>
      </c>
      <c r="Q709" s="919"/>
      <c r="R709" s="914">
        <f t="shared" si="117"/>
        <v>0</v>
      </c>
      <c r="S709" s="919"/>
      <c r="T709" s="914">
        <f t="shared" si="118"/>
        <v>0</v>
      </c>
      <c r="U709" s="915">
        <f t="shared" si="110"/>
        <v>0</v>
      </c>
      <c r="V709" s="914">
        <f t="shared" si="109"/>
        <v>0</v>
      </c>
    </row>
    <row r="710" spans="1:22" s="920" customFormat="1" ht="231.75" hidden="1" customHeight="1">
      <c r="A710" s="916">
        <v>80.099999999999994</v>
      </c>
      <c r="B710" s="917" t="s">
        <v>3798</v>
      </c>
      <c r="C710" s="982">
        <f>C1031</f>
        <v>1345.34</v>
      </c>
      <c r="D710" s="981" t="s">
        <v>1393</v>
      </c>
      <c r="E710" s="919"/>
      <c r="F710" s="1053">
        <f t="shared" si="115"/>
        <v>0</v>
      </c>
      <c r="G710" s="919"/>
      <c r="H710" s="914">
        <f t="shared" si="111"/>
        <v>0</v>
      </c>
      <c r="I710" s="919"/>
      <c r="J710" s="914">
        <f t="shared" si="112"/>
        <v>0</v>
      </c>
      <c r="K710" s="914"/>
      <c r="L710" s="914">
        <f t="shared" si="113"/>
        <v>0</v>
      </c>
      <c r="M710" s="919"/>
      <c r="N710" s="914">
        <f t="shared" si="114"/>
        <v>0</v>
      </c>
      <c r="O710" s="919"/>
      <c r="P710" s="914">
        <f t="shared" si="116"/>
        <v>0</v>
      </c>
      <c r="Q710" s="919"/>
      <c r="R710" s="914">
        <f t="shared" si="117"/>
        <v>0</v>
      </c>
      <c r="S710" s="919"/>
      <c r="T710" s="914">
        <f t="shared" si="118"/>
        <v>0</v>
      </c>
      <c r="U710" s="915">
        <f t="shared" si="110"/>
        <v>0</v>
      </c>
      <c r="V710" s="914">
        <f t="shared" ref="V710:V773" si="119">U710*C710</f>
        <v>0</v>
      </c>
    </row>
    <row r="711" spans="1:22" ht="231.75" hidden="1" customHeight="1">
      <c r="A711" s="905"/>
      <c r="B711" s="906" t="s">
        <v>3511</v>
      </c>
      <c r="C711" s="921">
        <f>Elec.Data!K587</f>
        <v>852.12</v>
      </c>
      <c r="D711" s="979" t="s">
        <v>1393</v>
      </c>
      <c r="E711" s="914"/>
      <c r="F711" s="1053">
        <f t="shared" si="115"/>
        <v>0</v>
      </c>
      <c r="G711" s="914"/>
      <c r="H711" s="914">
        <f t="shared" si="111"/>
        <v>0</v>
      </c>
      <c r="I711" s="914"/>
      <c r="J711" s="914">
        <f t="shared" si="112"/>
        <v>0</v>
      </c>
      <c r="K711" s="914"/>
      <c r="L711" s="914">
        <f t="shared" si="113"/>
        <v>0</v>
      </c>
      <c r="M711" s="914"/>
      <c r="N711" s="914">
        <f t="shared" si="114"/>
        <v>0</v>
      </c>
      <c r="O711" s="914"/>
      <c r="P711" s="914">
        <f t="shared" si="116"/>
        <v>0</v>
      </c>
      <c r="Q711" s="914"/>
      <c r="R711" s="914">
        <f t="shared" si="117"/>
        <v>0</v>
      </c>
      <c r="S711" s="914"/>
      <c r="T711" s="914">
        <f t="shared" si="118"/>
        <v>0</v>
      </c>
      <c r="U711" s="915">
        <f t="shared" si="110"/>
        <v>0</v>
      </c>
      <c r="V711" s="914">
        <f t="shared" si="119"/>
        <v>0</v>
      </c>
    </row>
    <row r="712" spans="1:22" ht="231.75" hidden="1" customHeight="1">
      <c r="A712" s="905"/>
      <c r="B712" s="906" t="s">
        <v>3795</v>
      </c>
      <c r="C712" s="921">
        <f>Elec.Data!K568</f>
        <v>573</v>
      </c>
      <c r="D712" s="979" t="s">
        <v>1393</v>
      </c>
      <c r="E712" s="919"/>
      <c r="F712" s="1053">
        <f t="shared" si="115"/>
        <v>0</v>
      </c>
      <c r="G712" s="919"/>
      <c r="H712" s="914">
        <f t="shared" si="111"/>
        <v>0</v>
      </c>
      <c r="I712" s="919"/>
      <c r="J712" s="914">
        <f t="shared" si="112"/>
        <v>0</v>
      </c>
      <c r="K712" s="914"/>
      <c r="L712" s="914">
        <f t="shared" si="113"/>
        <v>0</v>
      </c>
      <c r="M712" s="919"/>
      <c r="N712" s="914">
        <f t="shared" si="114"/>
        <v>0</v>
      </c>
      <c r="O712" s="919"/>
      <c r="P712" s="914">
        <f t="shared" si="116"/>
        <v>0</v>
      </c>
      <c r="Q712" s="919"/>
      <c r="R712" s="914">
        <f t="shared" si="117"/>
        <v>0</v>
      </c>
      <c r="S712" s="919"/>
      <c r="T712" s="914">
        <f t="shared" si="118"/>
        <v>0</v>
      </c>
      <c r="U712" s="915">
        <f t="shared" si="110"/>
        <v>0</v>
      </c>
      <c r="V712" s="914">
        <f t="shared" si="119"/>
        <v>0</v>
      </c>
    </row>
    <row r="713" spans="1:22" ht="231.75" hidden="1" customHeight="1">
      <c r="A713" s="905">
        <v>87.1</v>
      </c>
      <c r="B713" s="906" t="str">
        <f>B1065</f>
        <v>Supplying and delivery of Three phase ELCB/RCCB</v>
      </c>
      <c r="C713" s="921">
        <f>Elec.Data!K636</f>
        <v>3091.3</v>
      </c>
      <c r="D713" s="979" t="s">
        <v>1393</v>
      </c>
      <c r="E713" s="914"/>
      <c r="F713" s="1053">
        <f t="shared" si="115"/>
        <v>0</v>
      </c>
      <c r="G713" s="914"/>
      <c r="H713" s="914">
        <f t="shared" si="111"/>
        <v>0</v>
      </c>
      <c r="I713" s="914"/>
      <c r="J713" s="914">
        <f t="shared" si="112"/>
        <v>0</v>
      </c>
      <c r="K713" s="914"/>
      <c r="L713" s="914">
        <f t="shared" si="113"/>
        <v>0</v>
      </c>
      <c r="M713" s="914"/>
      <c r="N713" s="914">
        <f t="shared" si="114"/>
        <v>0</v>
      </c>
      <c r="O713" s="914"/>
      <c r="P713" s="914">
        <f t="shared" si="116"/>
        <v>0</v>
      </c>
      <c r="Q713" s="914"/>
      <c r="R713" s="914">
        <f t="shared" si="117"/>
        <v>0</v>
      </c>
      <c r="S713" s="914"/>
      <c r="T713" s="914">
        <f t="shared" si="118"/>
        <v>0</v>
      </c>
      <c r="U713" s="915">
        <f t="shared" si="110"/>
        <v>0</v>
      </c>
      <c r="V713" s="914">
        <f t="shared" si="119"/>
        <v>0</v>
      </c>
    </row>
    <row r="714" spans="1:22" ht="126.75" customHeight="1">
      <c r="A714" s="905"/>
      <c r="B714" s="906" t="s">
        <v>3799</v>
      </c>
      <c r="C714" s="921">
        <f>C1068</f>
        <v>165</v>
      </c>
      <c r="D714" s="979" t="s">
        <v>823</v>
      </c>
      <c r="E714" s="914"/>
      <c r="F714" s="1053">
        <f t="shared" si="115"/>
        <v>0</v>
      </c>
      <c r="G714" s="914"/>
      <c r="H714" s="914">
        <f t="shared" si="111"/>
        <v>0</v>
      </c>
      <c r="I714" s="914"/>
      <c r="J714" s="914">
        <f t="shared" si="112"/>
        <v>0</v>
      </c>
      <c r="K714" s="914"/>
      <c r="L714" s="914">
        <f t="shared" si="113"/>
        <v>0</v>
      </c>
      <c r="M714" s="914"/>
      <c r="N714" s="914">
        <f t="shared" si="114"/>
        <v>0</v>
      </c>
      <c r="O714" s="914"/>
      <c r="P714" s="914">
        <f t="shared" si="116"/>
        <v>0</v>
      </c>
      <c r="Q714" s="914"/>
      <c r="R714" s="914">
        <f t="shared" si="117"/>
        <v>0</v>
      </c>
      <c r="S714" s="914"/>
      <c r="T714" s="914">
        <f t="shared" si="118"/>
        <v>0</v>
      </c>
      <c r="U714" s="915">
        <f t="shared" si="110"/>
        <v>0</v>
      </c>
      <c r="V714" s="914">
        <f t="shared" si="119"/>
        <v>0</v>
      </c>
    </row>
    <row r="715" spans="1:22" ht="201.75" customHeight="1">
      <c r="A715" s="905"/>
      <c r="B715" s="906" t="s">
        <v>6526</v>
      </c>
      <c r="C715" s="913">
        <f>DATA!R1326</f>
        <v>231.43</v>
      </c>
      <c r="D715" s="979" t="s">
        <v>2273</v>
      </c>
      <c r="E715" s="914"/>
      <c r="F715" s="1053">
        <f t="shared" si="115"/>
        <v>0</v>
      </c>
      <c r="G715" s="914"/>
      <c r="H715" s="914">
        <f t="shared" si="111"/>
        <v>0</v>
      </c>
      <c r="I715" s="914"/>
      <c r="J715" s="914">
        <f t="shared" si="112"/>
        <v>0</v>
      </c>
      <c r="K715" s="914"/>
      <c r="L715" s="914">
        <f t="shared" si="113"/>
        <v>0</v>
      </c>
      <c r="M715" s="914"/>
      <c r="N715" s="914">
        <f t="shared" si="114"/>
        <v>0</v>
      </c>
      <c r="O715" s="914"/>
      <c r="P715" s="914">
        <f t="shared" si="116"/>
        <v>0</v>
      </c>
      <c r="Q715" s="914"/>
      <c r="R715" s="914">
        <f t="shared" si="117"/>
        <v>0</v>
      </c>
      <c r="S715" s="914"/>
      <c r="T715" s="914">
        <f t="shared" si="118"/>
        <v>0</v>
      </c>
      <c r="U715" s="915">
        <f t="shared" si="110"/>
        <v>0</v>
      </c>
      <c r="V715" s="914">
        <f t="shared" si="119"/>
        <v>0</v>
      </c>
    </row>
    <row r="716" spans="1:22" ht="231.75" customHeight="1">
      <c r="A716" s="905"/>
      <c r="B716" s="906" t="s">
        <v>4714</v>
      </c>
      <c r="C716" s="1180">
        <v>232.95</v>
      </c>
      <c r="D716" s="979" t="s">
        <v>2273</v>
      </c>
      <c r="E716" s="914"/>
      <c r="F716" s="1053">
        <f t="shared" si="115"/>
        <v>0</v>
      </c>
      <c r="G716" s="914"/>
      <c r="H716" s="914">
        <f t="shared" si="111"/>
        <v>0</v>
      </c>
      <c r="I716" s="914"/>
      <c r="J716" s="914">
        <f t="shared" si="112"/>
        <v>0</v>
      </c>
      <c r="K716" s="914"/>
      <c r="L716" s="914">
        <f t="shared" si="113"/>
        <v>0</v>
      </c>
      <c r="M716" s="914"/>
      <c r="N716" s="914">
        <f t="shared" si="114"/>
        <v>0</v>
      </c>
      <c r="O716" s="914"/>
      <c r="P716" s="914"/>
      <c r="Q716" s="914"/>
      <c r="R716" s="914"/>
      <c r="S716" s="914">
        <v>21.04</v>
      </c>
      <c r="T716" s="914">
        <f t="shared" si="118"/>
        <v>4901.2700000000004</v>
      </c>
      <c r="U716" s="915">
        <f t="shared" si="110"/>
        <v>21.04</v>
      </c>
      <c r="V716" s="914">
        <f t="shared" si="119"/>
        <v>4901.2700000000004</v>
      </c>
    </row>
    <row r="717" spans="1:22" s="920" customFormat="1" ht="201.75" customHeight="1">
      <c r="A717" s="916"/>
      <c r="B717" s="917" t="s">
        <v>4726</v>
      </c>
      <c r="C717" s="918">
        <v>133.49</v>
      </c>
      <c r="D717" s="981" t="s">
        <v>2273</v>
      </c>
      <c r="E717" s="919"/>
      <c r="F717" s="1053">
        <f t="shared" si="115"/>
        <v>0</v>
      </c>
      <c r="G717" s="919"/>
      <c r="H717" s="914">
        <f t="shared" si="111"/>
        <v>0</v>
      </c>
      <c r="I717" s="919"/>
      <c r="J717" s="914">
        <f t="shared" si="112"/>
        <v>0</v>
      </c>
      <c r="K717" s="914"/>
      <c r="L717" s="914">
        <f t="shared" si="113"/>
        <v>0</v>
      </c>
      <c r="M717" s="919"/>
      <c r="N717" s="914">
        <f t="shared" si="114"/>
        <v>0</v>
      </c>
      <c r="O717" s="919"/>
      <c r="P717" s="914">
        <f t="shared" ref="P717:P723" si="120">O717*C717</f>
        <v>0</v>
      </c>
      <c r="Q717" s="919"/>
      <c r="R717" s="914">
        <f t="shared" ref="R717:R723" si="121">Q717*C717</f>
        <v>0</v>
      </c>
      <c r="S717" s="919"/>
      <c r="T717" s="914">
        <f t="shared" si="118"/>
        <v>0</v>
      </c>
      <c r="U717" s="915">
        <f t="shared" si="110"/>
        <v>0</v>
      </c>
      <c r="V717" s="914">
        <f t="shared" si="119"/>
        <v>0</v>
      </c>
    </row>
    <row r="718" spans="1:22" ht="231.75" customHeight="1">
      <c r="A718" s="905" t="s">
        <v>4329</v>
      </c>
      <c r="B718" s="906" t="s">
        <v>3800</v>
      </c>
      <c r="C718" s="913">
        <f>DATA!K3348</f>
        <v>125.27</v>
      </c>
      <c r="D718" s="979" t="s">
        <v>2273</v>
      </c>
      <c r="E718" s="914"/>
      <c r="F718" s="1053">
        <f t="shared" si="115"/>
        <v>0</v>
      </c>
      <c r="G718" s="914"/>
      <c r="H718" s="914">
        <f t="shared" si="111"/>
        <v>0</v>
      </c>
      <c r="I718" s="914"/>
      <c r="J718" s="914">
        <f t="shared" si="112"/>
        <v>0</v>
      </c>
      <c r="K718" s="914"/>
      <c r="L718" s="914">
        <f t="shared" si="113"/>
        <v>0</v>
      </c>
      <c r="M718" s="914"/>
      <c r="N718" s="914">
        <f t="shared" si="114"/>
        <v>0</v>
      </c>
      <c r="O718" s="914"/>
      <c r="P718" s="914">
        <f t="shared" si="120"/>
        <v>0</v>
      </c>
      <c r="Q718" s="914"/>
      <c r="R718" s="914">
        <f t="shared" si="121"/>
        <v>0</v>
      </c>
      <c r="S718" s="914"/>
      <c r="T718" s="914">
        <f t="shared" si="118"/>
        <v>0</v>
      </c>
      <c r="U718" s="915">
        <f t="shared" si="110"/>
        <v>0</v>
      </c>
      <c r="V718" s="914">
        <f t="shared" si="119"/>
        <v>0</v>
      </c>
    </row>
    <row r="719" spans="1:22" ht="231.75" hidden="1" customHeight="1">
      <c r="A719" s="905"/>
      <c r="B719" s="906" t="str">
        <f>B1066</f>
        <v>2 x 4 Sqmm Copper PVC insulated unsheathed single core 1 KV grade cable for EB service single phase.</v>
      </c>
      <c r="C719" s="921">
        <f>Elec.Data!K669</f>
        <v>158.03</v>
      </c>
      <c r="D719" s="979" t="s">
        <v>823</v>
      </c>
      <c r="E719" s="919"/>
      <c r="F719" s="1053">
        <f t="shared" si="115"/>
        <v>0</v>
      </c>
      <c r="G719" s="919"/>
      <c r="H719" s="914">
        <f t="shared" si="111"/>
        <v>0</v>
      </c>
      <c r="I719" s="919"/>
      <c r="J719" s="914">
        <f t="shared" si="112"/>
        <v>0</v>
      </c>
      <c r="K719" s="914"/>
      <c r="L719" s="914">
        <f t="shared" si="113"/>
        <v>0</v>
      </c>
      <c r="M719" s="919"/>
      <c r="N719" s="914">
        <f t="shared" si="114"/>
        <v>0</v>
      </c>
      <c r="O719" s="919"/>
      <c r="P719" s="914">
        <f t="shared" si="120"/>
        <v>0</v>
      </c>
      <c r="Q719" s="919"/>
      <c r="R719" s="914">
        <f t="shared" si="121"/>
        <v>0</v>
      </c>
      <c r="S719" s="919"/>
      <c r="T719" s="914">
        <f t="shared" si="118"/>
        <v>0</v>
      </c>
      <c r="U719" s="915">
        <f t="shared" si="110"/>
        <v>0</v>
      </c>
      <c r="V719" s="914">
        <f t="shared" si="119"/>
        <v>0</v>
      </c>
    </row>
    <row r="720" spans="1:22" ht="231.75" hidden="1" customHeight="1">
      <c r="A720" s="905"/>
      <c r="B720" s="906" t="str">
        <f>B1032</f>
        <v>40 mm dia GI pipe "B"class</v>
      </c>
      <c r="C720" s="906">
        <f>C1032</f>
        <v>165</v>
      </c>
      <c r="D720" s="979" t="s">
        <v>823</v>
      </c>
      <c r="E720" s="919"/>
      <c r="F720" s="1053">
        <f t="shared" si="115"/>
        <v>0</v>
      </c>
      <c r="G720" s="919"/>
      <c r="H720" s="914">
        <f t="shared" si="111"/>
        <v>0</v>
      </c>
      <c r="I720" s="919"/>
      <c r="J720" s="914">
        <f t="shared" si="112"/>
        <v>0</v>
      </c>
      <c r="K720" s="914"/>
      <c r="L720" s="914">
        <f t="shared" si="113"/>
        <v>0</v>
      </c>
      <c r="M720" s="919"/>
      <c r="N720" s="914">
        <f t="shared" si="114"/>
        <v>0</v>
      </c>
      <c r="O720" s="919"/>
      <c r="P720" s="914">
        <f t="shared" si="120"/>
        <v>0</v>
      </c>
      <c r="Q720" s="919"/>
      <c r="R720" s="914">
        <f t="shared" si="121"/>
        <v>0</v>
      </c>
      <c r="S720" s="919"/>
      <c r="T720" s="914">
        <f t="shared" si="118"/>
        <v>0</v>
      </c>
      <c r="U720" s="915">
        <f t="shared" si="110"/>
        <v>0</v>
      </c>
      <c r="V720" s="914">
        <f t="shared" si="119"/>
        <v>0</v>
      </c>
    </row>
    <row r="721" spans="1:22" ht="231.75" hidden="1" customHeight="1">
      <c r="A721" s="905"/>
      <c r="B721" s="906" t="s">
        <v>6542</v>
      </c>
      <c r="C721" s="906">
        <v>5536</v>
      </c>
      <c r="D721" s="979" t="s">
        <v>2273</v>
      </c>
      <c r="E721" s="919"/>
      <c r="F721" s="1053">
        <f t="shared" si="115"/>
        <v>0</v>
      </c>
      <c r="G721" s="919"/>
      <c r="H721" s="914">
        <f t="shared" si="111"/>
        <v>0</v>
      </c>
      <c r="I721" s="919"/>
      <c r="J721" s="914">
        <f t="shared" si="112"/>
        <v>0</v>
      </c>
      <c r="K721" s="914"/>
      <c r="L721" s="914">
        <f t="shared" si="113"/>
        <v>0</v>
      </c>
      <c r="M721" s="919"/>
      <c r="N721" s="914">
        <f t="shared" si="114"/>
        <v>0</v>
      </c>
      <c r="O721" s="919"/>
      <c r="P721" s="914">
        <f t="shared" si="120"/>
        <v>0</v>
      </c>
      <c r="Q721" s="919"/>
      <c r="R721" s="914">
        <f t="shared" si="121"/>
        <v>0</v>
      </c>
      <c r="S721" s="919"/>
      <c r="T721" s="914">
        <f t="shared" si="118"/>
        <v>0</v>
      </c>
      <c r="U721" s="915">
        <f t="shared" si="110"/>
        <v>0</v>
      </c>
      <c r="V721" s="914">
        <f t="shared" si="119"/>
        <v>0</v>
      </c>
    </row>
    <row r="722" spans="1:22" s="920" customFormat="1" ht="231.75" hidden="1" customHeight="1">
      <c r="A722" s="916">
        <v>448.2</v>
      </c>
      <c r="B722" s="917" t="s">
        <v>4237</v>
      </c>
      <c r="C722" s="918">
        <f>DATA!R3123</f>
        <v>138.32</v>
      </c>
      <c r="D722" s="981" t="s">
        <v>1393</v>
      </c>
      <c r="E722" s="919"/>
      <c r="F722" s="1053">
        <f t="shared" si="115"/>
        <v>0</v>
      </c>
      <c r="G722" s="919"/>
      <c r="H722" s="914">
        <f t="shared" si="111"/>
        <v>0</v>
      </c>
      <c r="I722" s="919"/>
      <c r="J722" s="914">
        <f t="shared" si="112"/>
        <v>0</v>
      </c>
      <c r="K722" s="914"/>
      <c r="L722" s="914">
        <f t="shared" si="113"/>
        <v>0</v>
      </c>
      <c r="M722" s="919"/>
      <c r="N722" s="914">
        <f t="shared" si="114"/>
        <v>0</v>
      </c>
      <c r="O722" s="919"/>
      <c r="P722" s="914">
        <f t="shared" si="120"/>
        <v>0</v>
      </c>
      <c r="Q722" s="919"/>
      <c r="R722" s="914">
        <f t="shared" si="121"/>
        <v>0</v>
      </c>
      <c r="S722" s="919"/>
      <c r="T722" s="914">
        <f t="shared" si="118"/>
        <v>0</v>
      </c>
      <c r="U722" s="915">
        <f t="shared" ref="U722:U785" si="122">G722+I722+M722+O722+Q722+S722+E722+K722</f>
        <v>0</v>
      </c>
      <c r="V722" s="914">
        <f t="shared" si="119"/>
        <v>0</v>
      </c>
    </row>
    <row r="723" spans="1:22" ht="231.75" hidden="1" customHeight="1">
      <c r="A723" s="905"/>
      <c r="B723" s="906" t="s">
        <v>6665</v>
      </c>
      <c r="C723" s="921">
        <f>DATA!AD1271</f>
        <v>1755.72</v>
      </c>
      <c r="D723" s="972" t="s">
        <v>2273</v>
      </c>
      <c r="E723" s="914"/>
      <c r="F723" s="1053">
        <f t="shared" si="115"/>
        <v>0</v>
      </c>
      <c r="G723" s="914"/>
      <c r="H723" s="914">
        <f t="shared" ref="H723:H786" si="123">C723*G723</f>
        <v>0</v>
      </c>
      <c r="I723" s="914"/>
      <c r="J723" s="914">
        <f t="shared" ref="J723:J786" si="124">I723*C723</f>
        <v>0</v>
      </c>
      <c r="K723" s="914"/>
      <c r="L723" s="914">
        <f t="shared" ref="L723:L786" si="125">K723*C723</f>
        <v>0</v>
      </c>
      <c r="M723" s="914"/>
      <c r="N723" s="914">
        <f t="shared" ref="N723:N786" si="126">M723*C723</f>
        <v>0</v>
      </c>
      <c r="O723" s="914"/>
      <c r="P723" s="914">
        <f t="shared" si="120"/>
        <v>0</v>
      </c>
      <c r="Q723" s="914"/>
      <c r="R723" s="914">
        <f t="shared" si="121"/>
        <v>0</v>
      </c>
      <c r="S723" s="914"/>
      <c r="T723" s="914">
        <f t="shared" si="118"/>
        <v>0</v>
      </c>
      <c r="U723" s="915">
        <f t="shared" si="122"/>
        <v>0</v>
      </c>
      <c r="V723" s="914">
        <f t="shared" si="119"/>
        <v>0</v>
      </c>
    </row>
    <row r="724" spans="1:22" ht="231.75" hidden="1" customHeight="1">
      <c r="A724" s="905"/>
      <c r="B724" s="906" t="s">
        <v>6582</v>
      </c>
      <c r="C724" s="921">
        <v>95.4</v>
      </c>
      <c r="D724" s="972" t="s">
        <v>823</v>
      </c>
      <c r="E724" s="914"/>
      <c r="F724" s="1053">
        <f t="shared" si="115"/>
        <v>0</v>
      </c>
      <c r="G724" s="914"/>
      <c r="H724" s="914">
        <f t="shared" si="123"/>
        <v>0</v>
      </c>
      <c r="I724" s="914"/>
      <c r="J724" s="914">
        <f t="shared" si="124"/>
        <v>0</v>
      </c>
      <c r="K724" s="914"/>
      <c r="L724" s="914">
        <f t="shared" si="125"/>
        <v>0</v>
      </c>
      <c r="M724" s="914"/>
      <c r="N724" s="914">
        <f t="shared" si="126"/>
        <v>0</v>
      </c>
      <c r="O724" s="914"/>
      <c r="P724" s="914"/>
      <c r="Q724" s="914"/>
      <c r="R724" s="914"/>
      <c r="S724" s="914"/>
      <c r="T724" s="914"/>
      <c r="U724" s="915">
        <f t="shared" si="122"/>
        <v>0</v>
      </c>
      <c r="V724" s="914">
        <f t="shared" si="119"/>
        <v>0</v>
      </c>
    </row>
    <row r="725" spans="1:22" ht="231.75" hidden="1" customHeight="1">
      <c r="A725" s="905"/>
      <c r="B725" s="906" t="s">
        <v>6581</v>
      </c>
      <c r="C725" s="921">
        <v>725</v>
      </c>
      <c r="D725" s="972" t="s">
        <v>2273</v>
      </c>
      <c r="E725" s="914"/>
      <c r="F725" s="1053">
        <f t="shared" si="115"/>
        <v>0</v>
      </c>
      <c r="G725" s="914"/>
      <c r="H725" s="914">
        <f t="shared" si="123"/>
        <v>0</v>
      </c>
      <c r="I725" s="914"/>
      <c r="J725" s="914">
        <f t="shared" si="124"/>
        <v>0</v>
      </c>
      <c r="K725" s="914"/>
      <c r="L725" s="914">
        <f t="shared" si="125"/>
        <v>0</v>
      </c>
      <c r="M725" s="914"/>
      <c r="N725" s="914">
        <f t="shared" si="126"/>
        <v>0</v>
      </c>
      <c r="O725" s="914"/>
      <c r="P725" s="914"/>
      <c r="Q725" s="914"/>
      <c r="R725" s="914"/>
      <c r="S725" s="914"/>
      <c r="T725" s="914"/>
      <c r="U725" s="915">
        <f t="shared" si="122"/>
        <v>0</v>
      </c>
      <c r="V725" s="914">
        <f t="shared" si="119"/>
        <v>0</v>
      </c>
    </row>
    <row r="726" spans="1:22" ht="231.75" hidden="1" customHeight="1">
      <c r="A726" s="905"/>
      <c r="B726" s="906" t="s">
        <v>6666</v>
      </c>
      <c r="C726" s="913">
        <f>DATA!R2416</f>
        <v>1438.54</v>
      </c>
      <c r="D726" s="972" t="s">
        <v>2273</v>
      </c>
      <c r="E726" s="914"/>
      <c r="F726" s="1053">
        <f t="shared" si="115"/>
        <v>0</v>
      </c>
      <c r="G726" s="914"/>
      <c r="H726" s="914">
        <f t="shared" si="123"/>
        <v>0</v>
      </c>
      <c r="I726" s="914"/>
      <c r="J726" s="914">
        <f t="shared" si="124"/>
        <v>0</v>
      </c>
      <c r="K726" s="914"/>
      <c r="L726" s="914">
        <f t="shared" si="125"/>
        <v>0</v>
      </c>
      <c r="M726" s="914"/>
      <c r="N726" s="914">
        <f t="shared" si="126"/>
        <v>0</v>
      </c>
      <c r="O726" s="914"/>
      <c r="P726" s="914">
        <f t="shared" ref="P726:P757" si="127">O726*C726</f>
        <v>0</v>
      </c>
      <c r="Q726" s="914"/>
      <c r="R726" s="914">
        <f t="shared" ref="R726:R757" si="128">Q726*C726</f>
        <v>0</v>
      </c>
      <c r="S726" s="914"/>
      <c r="T726" s="914">
        <f t="shared" ref="T726:T757" si="129">S726*C726</f>
        <v>0</v>
      </c>
      <c r="U726" s="915">
        <f t="shared" si="122"/>
        <v>0</v>
      </c>
      <c r="V726" s="914">
        <f t="shared" si="119"/>
        <v>0</v>
      </c>
    </row>
    <row r="727" spans="1:22" ht="231.75" hidden="1" customHeight="1">
      <c r="A727" s="905"/>
      <c r="B727" s="906" t="s">
        <v>4715</v>
      </c>
      <c r="C727" s="918">
        <f>DATA!AD1271</f>
        <v>1755.72</v>
      </c>
      <c r="D727" s="972" t="s">
        <v>2273</v>
      </c>
      <c r="E727" s="919"/>
      <c r="F727" s="1053">
        <f t="shared" si="115"/>
        <v>0</v>
      </c>
      <c r="G727" s="919"/>
      <c r="H727" s="914">
        <f t="shared" si="123"/>
        <v>0</v>
      </c>
      <c r="I727" s="919"/>
      <c r="J727" s="914">
        <f t="shared" si="124"/>
        <v>0</v>
      </c>
      <c r="K727" s="914"/>
      <c r="L727" s="914">
        <f t="shared" si="125"/>
        <v>0</v>
      </c>
      <c r="M727" s="919"/>
      <c r="N727" s="914">
        <f t="shared" si="126"/>
        <v>0</v>
      </c>
      <c r="O727" s="919"/>
      <c r="P727" s="914">
        <f t="shared" si="127"/>
        <v>0</v>
      </c>
      <c r="Q727" s="919"/>
      <c r="R727" s="914">
        <f t="shared" si="128"/>
        <v>0</v>
      </c>
      <c r="S727" s="919"/>
      <c r="T727" s="914">
        <f t="shared" si="129"/>
        <v>0</v>
      </c>
      <c r="U727" s="915">
        <f t="shared" si="122"/>
        <v>0</v>
      </c>
      <c r="V727" s="914">
        <f t="shared" si="119"/>
        <v>0</v>
      </c>
    </row>
    <row r="728" spans="1:22" ht="231.75" hidden="1" customHeight="1">
      <c r="A728" s="905"/>
      <c r="B728" s="906" t="s">
        <v>4699</v>
      </c>
      <c r="C728" s="913">
        <f>DATA!K2435</f>
        <v>1481.72</v>
      </c>
      <c r="D728" s="972" t="s">
        <v>230</v>
      </c>
      <c r="E728" s="914"/>
      <c r="F728" s="1053">
        <f t="shared" si="115"/>
        <v>0</v>
      </c>
      <c r="G728" s="914"/>
      <c r="H728" s="914">
        <f t="shared" si="123"/>
        <v>0</v>
      </c>
      <c r="I728" s="914"/>
      <c r="J728" s="914">
        <f t="shared" si="124"/>
        <v>0</v>
      </c>
      <c r="K728" s="914"/>
      <c r="L728" s="914">
        <f t="shared" si="125"/>
        <v>0</v>
      </c>
      <c r="M728" s="914"/>
      <c r="N728" s="914">
        <f t="shared" si="126"/>
        <v>0</v>
      </c>
      <c r="O728" s="914"/>
      <c r="P728" s="914">
        <f t="shared" si="127"/>
        <v>0</v>
      </c>
      <c r="Q728" s="914"/>
      <c r="R728" s="914">
        <f t="shared" si="128"/>
        <v>0</v>
      </c>
      <c r="S728" s="914"/>
      <c r="T728" s="914">
        <f t="shared" si="129"/>
        <v>0</v>
      </c>
      <c r="U728" s="915">
        <f t="shared" si="122"/>
        <v>0</v>
      </c>
      <c r="V728" s="914">
        <f t="shared" si="119"/>
        <v>0</v>
      </c>
    </row>
    <row r="729" spans="1:22" ht="231.75" hidden="1" customHeight="1">
      <c r="A729" s="905"/>
      <c r="B729" s="922" t="s">
        <v>4709</v>
      </c>
      <c r="C729" s="983">
        <f>DATA!R1249</f>
        <v>1492.91</v>
      </c>
      <c r="D729" s="984" t="s">
        <v>2273</v>
      </c>
      <c r="E729" s="985"/>
      <c r="F729" s="1053">
        <f t="shared" si="115"/>
        <v>0</v>
      </c>
      <c r="G729" s="914"/>
      <c r="H729" s="914">
        <f t="shared" si="123"/>
        <v>0</v>
      </c>
      <c r="I729" s="914"/>
      <c r="J729" s="914">
        <f t="shared" si="124"/>
        <v>0</v>
      </c>
      <c r="K729" s="914"/>
      <c r="L729" s="914">
        <f t="shared" si="125"/>
        <v>0</v>
      </c>
      <c r="M729" s="914"/>
      <c r="N729" s="914">
        <f t="shared" si="126"/>
        <v>0</v>
      </c>
      <c r="O729" s="914"/>
      <c r="P729" s="914">
        <f t="shared" si="127"/>
        <v>0</v>
      </c>
      <c r="Q729" s="914"/>
      <c r="R729" s="914">
        <f t="shared" si="128"/>
        <v>0</v>
      </c>
      <c r="S729" s="914"/>
      <c r="T729" s="914">
        <f t="shared" si="129"/>
        <v>0</v>
      </c>
      <c r="U729" s="915">
        <f t="shared" si="122"/>
        <v>0</v>
      </c>
      <c r="V729" s="914">
        <f t="shared" si="119"/>
        <v>0</v>
      </c>
    </row>
    <row r="730" spans="1:22" ht="231.75" hidden="1" customHeight="1">
      <c r="A730" s="905"/>
      <c r="B730" s="982" t="s">
        <v>4710</v>
      </c>
      <c r="C730" s="983">
        <f>DATA!R1272</f>
        <v>1256.21</v>
      </c>
      <c r="D730" s="984" t="s">
        <v>2273</v>
      </c>
      <c r="E730" s="985"/>
      <c r="F730" s="1053">
        <f t="shared" si="115"/>
        <v>0</v>
      </c>
      <c r="G730" s="919"/>
      <c r="H730" s="914">
        <f t="shared" si="123"/>
        <v>0</v>
      </c>
      <c r="I730" s="919"/>
      <c r="J730" s="914">
        <f t="shared" si="124"/>
        <v>0</v>
      </c>
      <c r="K730" s="914"/>
      <c r="L730" s="914">
        <f t="shared" si="125"/>
        <v>0</v>
      </c>
      <c r="M730" s="919"/>
      <c r="N730" s="914">
        <f t="shared" si="126"/>
        <v>0</v>
      </c>
      <c r="O730" s="919"/>
      <c r="P730" s="914">
        <f t="shared" si="127"/>
        <v>0</v>
      </c>
      <c r="Q730" s="919"/>
      <c r="R730" s="914">
        <f t="shared" si="128"/>
        <v>0</v>
      </c>
      <c r="S730" s="919"/>
      <c r="T730" s="914">
        <f t="shared" si="129"/>
        <v>0</v>
      </c>
      <c r="U730" s="915">
        <f t="shared" si="122"/>
        <v>0</v>
      </c>
      <c r="V730" s="914">
        <f t="shared" si="119"/>
        <v>0</v>
      </c>
    </row>
    <row r="731" spans="1:22" ht="231.75" hidden="1" customHeight="1">
      <c r="A731" s="905" t="s">
        <v>4236</v>
      </c>
      <c r="B731" s="906" t="s">
        <v>3796</v>
      </c>
      <c r="C731" s="913">
        <f>DATA!R1230</f>
        <v>1486.13</v>
      </c>
      <c r="D731" s="972" t="s">
        <v>2273</v>
      </c>
      <c r="E731" s="919"/>
      <c r="F731" s="1053">
        <f t="shared" si="115"/>
        <v>0</v>
      </c>
      <c r="G731" s="919"/>
      <c r="H731" s="914">
        <f t="shared" si="123"/>
        <v>0</v>
      </c>
      <c r="I731" s="919"/>
      <c r="J731" s="914">
        <f t="shared" si="124"/>
        <v>0</v>
      </c>
      <c r="K731" s="914"/>
      <c r="L731" s="914">
        <f t="shared" si="125"/>
        <v>0</v>
      </c>
      <c r="M731" s="919"/>
      <c r="N731" s="914">
        <f t="shared" si="126"/>
        <v>0</v>
      </c>
      <c r="O731" s="919"/>
      <c r="P731" s="914">
        <f t="shared" si="127"/>
        <v>0</v>
      </c>
      <c r="Q731" s="919"/>
      <c r="R731" s="914">
        <f t="shared" si="128"/>
        <v>0</v>
      </c>
      <c r="S731" s="919"/>
      <c r="T731" s="914">
        <f t="shared" si="129"/>
        <v>0</v>
      </c>
      <c r="U731" s="915">
        <f t="shared" si="122"/>
        <v>0</v>
      </c>
      <c r="V731" s="914">
        <f t="shared" si="119"/>
        <v>0</v>
      </c>
    </row>
    <row r="732" spans="1:22" ht="231.75" hidden="1" customHeight="1">
      <c r="A732" s="905"/>
      <c r="B732" s="906" t="s">
        <v>4704</v>
      </c>
      <c r="C732" s="918">
        <f>DATA!AD1257</f>
        <v>1627.91</v>
      </c>
      <c r="D732" s="972" t="s">
        <v>2273</v>
      </c>
      <c r="E732" s="914"/>
      <c r="F732" s="1053">
        <f t="shared" si="115"/>
        <v>0</v>
      </c>
      <c r="G732" s="914"/>
      <c r="H732" s="914">
        <f t="shared" si="123"/>
        <v>0</v>
      </c>
      <c r="I732" s="914"/>
      <c r="J732" s="914">
        <f t="shared" si="124"/>
        <v>0</v>
      </c>
      <c r="K732" s="914"/>
      <c r="L732" s="914">
        <f t="shared" si="125"/>
        <v>0</v>
      </c>
      <c r="M732" s="914"/>
      <c r="N732" s="914">
        <f t="shared" si="126"/>
        <v>0</v>
      </c>
      <c r="O732" s="914"/>
      <c r="P732" s="914">
        <f t="shared" si="127"/>
        <v>0</v>
      </c>
      <c r="Q732" s="914"/>
      <c r="R732" s="914">
        <f t="shared" si="128"/>
        <v>0</v>
      </c>
      <c r="S732" s="914"/>
      <c r="T732" s="914">
        <f t="shared" si="129"/>
        <v>0</v>
      </c>
      <c r="U732" s="915">
        <f t="shared" si="122"/>
        <v>0</v>
      </c>
      <c r="V732" s="914">
        <f t="shared" si="119"/>
        <v>0</v>
      </c>
    </row>
    <row r="733" spans="1:22" ht="231.75" hidden="1" customHeight="1">
      <c r="A733" s="905"/>
      <c r="B733" s="986" t="s">
        <v>3604</v>
      </c>
      <c r="C733" s="947"/>
      <c r="D733" s="987"/>
      <c r="E733" s="919"/>
      <c r="F733" s="1053">
        <f t="shared" si="115"/>
        <v>0</v>
      </c>
      <c r="G733" s="919"/>
      <c r="H733" s="914">
        <f t="shared" si="123"/>
        <v>0</v>
      </c>
      <c r="I733" s="919"/>
      <c r="J733" s="914">
        <f t="shared" si="124"/>
        <v>0</v>
      </c>
      <c r="K733" s="914"/>
      <c r="L733" s="914">
        <f t="shared" si="125"/>
        <v>0</v>
      </c>
      <c r="M733" s="919"/>
      <c r="N733" s="914">
        <f t="shared" si="126"/>
        <v>0</v>
      </c>
      <c r="O733" s="919"/>
      <c r="P733" s="914">
        <f t="shared" si="127"/>
        <v>0</v>
      </c>
      <c r="Q733" s="919"/>
      <c r="R733" s="914">
        <f t="shared" si="128"/>
        <v>0</v>
      </c>
      <c r="S733" s="919"/>
      <c r="T733" s="914">
        <f t="shared" si="129"/>
        <v>0</v>
      </c>
      <c r="U733" s="915">
        <f t="shared" si="122"/>
        <v>0</v>
      </c>
      <c r="V733" s="914">
        <f t="shared" si="119"/>
        <v>0</v>
      </c>
    </row>
    <row r="734" spans="1:22" ht="231.75" hidden="1" customHeight="1">
      <c r="A734" s="905"/>
      <c r="B734" s="988" t="s">
        <v>4471</v>
      </c>
      <c r="C734" s="947">
        <f>'Sliding and french window'!G350</f>
        <v>3353.03</v>
      </c>
      <c r="D734" s="987" t="s">
        <v>2273</v>
      </c>
      <c r="E734" s="919"/>
      <c r="F734" s="1053">
        <f t="shared" si="115"/>
        <v>0</v>
      </c>
      <c r="G734" s="919"/>
      <c r="H734" s="914">
        <f t="shared" si="123"/>
        <v>0</v>
      </c>
      <c r="I734" s="919"/>
      <c r="J734" s="914">
        <f t="shared" si="124"/>
        <v>0</v>
      </c>
      <c r="K734" s="914"/>
      <c r="L734" s="914">
        <f t="shared" si="125"/>
        <v>0</v>
      </c>
      <c r="M734" s="919"/>
      <c r="N734" s="914">
        <f t="shared" si="126"/>
        <v>0</v>
      </c>
      <c r="O734" s="919"/>
      <c r="P734" s="914">
        <f t="shared" si="127"/>
        <v>0</v>
      </c>
      <c r="Q734" s="919"/>
      <c r="R734" s="914">
        <f t="shared" si="128"/>
        <v>0</v>
      </c>
      <c r="S734" s="919"/>
      <c r="T734" s="914">
        <f t="shared" si="129"/>
        <v>0</v>
      </c>
      <c r="U734" s="915">
        <f t="shared" si="122"/>
        <v>0</v>
      </c>
      <c r="V734" s="914">
        <f t="shared" si="119"/>
        <v>0</v>
      </c>
    </row>
    <row r="735" spans="1:22" ht="231.75" hidden="1" customHeight="1">
      <c r="A735" s="905"/>
      <c r="B735" s="988" t="s">
        <v>4472</v>
      </c>
      <c r="C735" s="947">
        <f>'Sliding and french window'!G491</f>
        <v>3169.22</v>
      </c>
      <c r="D735" s="987" t="s">
        <v>2273</v>
      </c>
      <c r="E735" s="919"/>
      <c r="F735" s="1053">
        <f t="shared" si="115"/>
        <v>0</v>
      </c>
      <c r="G735" s="919"/>
      <c r="H735" s="914">
        <f t="shared" si="123"/>
        <v>0</v>
      </c>
      <c r="I735" s="919"/>
      <c r="J735" s="914">
        <f t="shared" si="124"/>
        <v>0</v>
      </c>
      <c r="K735" s="914"/>
      <c r="L735" s="914">
        <f t="shared" si="125"/>
        <v>0</v>
      </c>
      <c r="M735" s="919"/>
      <c r="N735" s="914">
        <f t="shared" si="126"/>
        <v>0</v>
      </c>
      <c r="O735" s="919"/>
      <c r="P735" s="914">
        <f t="shared" si="127"/>
        <v>0</v>
      </c>
      <c r="Q735" s="919"/>
      <c r="R735" s="914">
        <f t="shared" si="128"/>
        <v>0</v>
      </c>
      <c r="S735" s="919"/>
      <c r="T735" s="914">
        <f t="shared" si="129"/>
        <v>0</v>
      </c>
      <c r="U735" s="915">
        <f t="shared" si="122"/>
        <v>0</v>
      </c>
      <c r="V735" s="914">
        <f t="shared" si="119"/>
        <v>0</v>
      </c>
    </row>
    <row r="736" spans="1:22" ht="231.75" hidden="1" customHeight="1">
      <c r="A736" s="905"/>
      <c r="B736" s="988" t="s">
        <v>4473</v>
      </c>
      <c r="C736" s="947">
        <f>'Sliding and french window'!G395</f>
        <v>4048</v>
      </c>
      <c r="D736" s="987" t="s">
        <v>2273</v>
      </c>
      <c r="E736" s="919"/>
      <c r="F736" s="1053">
        <f t="shared" si="115"/>
        <v>0</v>
      </c>
      <c r="G736" s="919"/>
      <c r="H736" s="914">
        <f t="shared" si="123"/>
        <v>0</v>
      </c>
      <c r="I736" s="919"/>
      <c r="J736" s="914">
        <f t="shared" si="124"/>
        <v>0</v>
      </c>
      <c r="K736" s="914"/>
      <c r="L736" s="914">
        <f t="shared" si="125"/>
        <v>0</v>
      </c>
      <c r="M736" s="919"/>
      <c r="N736" s="914">
        <f t="shared" si="126"/>
        <v>0</v>
      </c>
      <c r="O736" s="919"/>
      <c r="P736" s="914">
        <f t="shared" si="127"/>
        <v>0</v>
      </c>
      <c r="Q736" s="919"/>
      <c r="R736" s="914">
        <f t="shared" si="128"/>
        <v>0</v>
      </c>
      <c r="S736" s="919"/>
      <c r="T736" s="914">
        <f t="shared" si="129"/>
        <v>0</v>
      </c>
      <c r="U736" s="915">
        <f t="shared" si="122"/>
        <v>0</v>
      </c>
      <c r="V736" s="914">
        <f t="shared" si="119"/>
        <v>0</v>
      </c>
    </row>
    <row r="737" spans="1:22" ht="231.75" hidden="1" customHeight="1">
      <c r="A737" s="905"/>
      <c r="B737" s="988" t="s">
        <v>4474</v>
      </c>
      <c r="C737" s="947">
        <f>'Sliding and french window'!G440</f>
        <v>3758.93</v>
      </c>
      <c r="D737" s="987" t="s">
        <v>2273</v>
      </c>
      <c r="E737" s="919"/>
      <c r="F737" s="1053">
        <f t="shared" si="115"/>
        <v>0</v>
      </c>
      <c r="G737" s="919"/>
      <c r="H737" s="914">
        <f t="shared" si="123"/>
        <v>0</v>
      </c>
      <c r="I737" s="919"/>
      <c r="J737" s="914">
        <f t="shared" si="124"/>
        <v>0</v>
      </c>
      <c r="K737" s="914"/>
      <c r="L737" s="914">
        <f t="shared" si="125"/>
        <v>0</v>
      </c>
      <c r="M737" s="919"/>
      <c r="N737" s="914">
        <f t="shared" si="126"/>
        <v>0</v>
      </c>
      <c r="O737" s="919"/>
      <c r="P737" s="914">
        <f t="shared" si="127"/>
        <v>0</v>
      </c>
      <c r="Q737" s="919"/>
      <c r="R737" s="914">
        <f t="shared" si="128"/>
        <v>0</v>
      </c>
      <c r="S737" s="919"/>
      <c r="T737" s="914">
        <f t="shared" si="129"/>
        <v>0</v>
      </c>
      <c r="U737" s="915">
        <f t="shared" si="122"/>
        <v>0</v>
      </c>
      <c r="V737" s="914">
        <f t="shared" si="119"/>
        <v>0</v>
      </c>
    </row>
    <row r="738" spans="1:22" ht="231.75" hidden="1" customHeight="1">
      <c r="A738" s="905"/>
      <c r="B738" s="949" t="s">
        <v>3569</v>
      </c>
      <c r="C738" s="959">
        <f>DATA!X1293</f>
        <v>1373.12</v>
      </c>
      <c r="D738" s="961" t="s">
        <v>1834</v>
      </c>
      <c r="E738" s="919"/>
      <c r="F738" s="1053">
        <f t="shared" si="115"/>
        <v>0</v>
      </c>
      <c r="G738" s="919"/>
      <c r="H738" s="914">
        <f t="shared" si="123"/>
        <v>0</v>
      </c>
      <c r="I738" s="919"/>
      <c r="J738" s="914">
        <f t="shared" si="124"/>
        <v>0</v>
      </c>
      <c r="K738" s="914"/>
      <c r="L738" s="914">
        <f t="shared" si="125"/>
        <v>0</v>
      </c>
      <c r="M738" s="919"/>
      <c r="N738" s="914">
        <f t="shared" si="126"/>
        <v>0</v>
      </c>
      <c r="O738" s="919"/>
      <c r="P738" s="914">
        <f t="shared" si="127"/>
        <v>0</v>
      </c>
      <c r="Q738" s="919"/>
      <c r="R738" s="914">
        <f t="shared" si="128"/>
        <v>0</v>
      </c>
      <c r="S738" s="919"/>
      <c r="T738" s="914">
        <f t="shared" si="129"/>
        <v>0</v>
      </c>
      <c r="U738" s="915">
        <f t="shared" si="122"/>
        <v>0</v>
      </c>
      <c r="V738" s="914">
        <f t="shared" si="119"/>
        <v>0</v>
      </c>
    </row>
    <row r="739" spans="1:22" ht="231.75" hidden="1" customHeight="1">
      <c r="A739" s="905"/>
      <c r="B739" s="949" t="s">
        <v>3570</v>
      </c>
      <c r="C739" s="959">
        <f>DATA!K1292</f>
        <v>2953.28</v>
      </c>
      <c r="D739" s="961" t="s">
        <v>1834</v>
      </c>
      <c r="E739" s="919"/>
      <c r="F739" s="1053">
        <f t="shared" ref="F739:F802" si="130">E739*C739</f>
        <v>0</v>
      </c>
      <c r="G739" s="919"/>
      <c r="H739" s="914">
        <f t="shared" si="123"/>
        <v>0</v>
      </c>
      <c r="I739" s="919"/>
      <c r="J739" s="914">
        <f t="shared" si="124"/>
        <v>0</v>
      </c>
      <c r="K739" s="914"/>
      <c r="L739" s="914">
        <f t="shared" si="125"/>
        <v>0</v>
      </c>
      <c r="M739" s="919"/>
      <c r="N739" s="914">
        <f t="shared" si="126"/>
        <v>0</v>
      </c>
      <c r="O739" s="919"/>
      <c r="P739" s="914">
        <f t="shared" si="127"/>
        <v>0</v>
      </c>
      <c r="Q739" s="919"/>
      <c r="R739" s="914">
        <f t="shared" si="128"/>
        <v>0</v>
      </c>
      <c r="S739" s="919"/>
      <c r="T739" s="914">
        <f t="shared" si="129"/>
        <v>0</v>
      </c>
      <c r="U739" s="915">
        <f t="shared" si="122"/>
        <v>0</v>
      </c>
      <c r="V739" s="914">
        <f t="shared" si="119"/>
        <v>0</v>
      </c>
    </row>
    <row r="740" spans="1:22" ht="231.75" hidden="1" customHeight="1">
      <c r="A740" s="905" t="s">
        <v>4674</v>
      </c>
      <c r="B740" s="989" t="s">
        <v>4669</v>
      </c>
      <c r="C740" s="959">
        <f>DATA!R3720</f>
        <v>4504.3599999999997</v>
      </c>
      <c r="D740" s="908" t="s">
        <v>2273</v>
      </c>
      <c r="E740" s="919"/>
      <c r="F740" s="1053">
        <f t="shared" si="130"/>
        <v>0</v>
      </c>
      <c r="G740" s="919"/>
      <c r="H740" s="914">
        <f t="shared" si="123"/>
        <v>0</v>
      </c>
      <c r="I740" s="919"/>
      <c r="J740" s="914">
        <f t="shared" si="124"/>
        <v>0</v>
      </c>
      <c r="K740" s="914"/>
      <c r="L740" s="914">
        <f t="shared" si="125"/>
        <v>0</v>
      </c>
      <c r="M740" s="919"/>
      <c r="N740" s="914">
        <f t="shared" si="126"/>
        <v>0</v>
      </c>
      <c r="O740" s="919"/>
      <c r="P740" s="914">
        <f t="shared" si="127"/>
        <v>0</v>
      </c>
      <c r="Q740" s="919"/>
      <c r="R740" s="914">
        <f t="shared" si="128"/>
        <v>0</v>
      </c>
      <c r="S740" s="919"/>
      <c r="T740" s="914">
        <f t="shared" si="129"/>
        <v>0</v>
      </c>
      <c r="U740" s="915">
        <f t="shared" si="122"/>
        <v>0</v>
      </c>
      <c r="V740" s="914">
        <f t="shared" si="119"/>
        <v>0</v>
      </c>
    </row>
    <row r="741" spans="1:22" ht="231.75" hidden="1" customHeight="1">
      <c r="A741" s="905">
        <f>11.6-7.25</f>
        <v>4.4000000000000004</v>
      </c>
      <c r="B741" s="906" t="s">
        <v>6667</v>
      </c>
      <c r="C741" s="990">
        <v>915.02</v>
      </c>
      <c r="D741" s="908" t="s">
        <v>2273</v>
      </c>
      <c r="E741" s="919"/>
      <c r="F741" s="1053">
        <f t="shared" si="130"/>
        <v>0</v>
      </c>
      <c r="G741" s="919"/>
      <c r="H741" s="914">
        <f t="shared" si="123"/>
        <v>0</v>
      </c>
      <c r="I741" s="919"/>
      <c r="J741" s="914">
        <f t="shared" si="124"/>
        <v>0</v>
      </c>
      <c r="K741" s="914"/>
      <c r="L741" s="914">
        <f t="shared" si="125"/>
        <v>0</v>
      </c>
      <c r="M741" s="919"/>
      <c r="N741" s="914">
        <f t="shared" si="126"/>
        <v>0</v>
      </c>
      <c r="O741" s="919"/>
      <c r="P741" s="914">
        <f t="shared" si="127"/>
        <v>0</v>
      </c>
      <c r="Q741" s="919"/>
      <c r="R741" s="914">
        <f t="shared" si="128"/>
        <v>0</v>
      </c>
      <c r="S741" s="919"/>
      <c r="T741" s="914">
        <f t="shared" si="129"/>
        <v>0</v>
      </c>
      <c r="U741" s="915">
        <f t="shared" si="122"/>
        <v>0</v>
      </c>
      <c r="V741" s="914">
        <f t="shared" si="119"/>
        <v>0</v>
      </c>
    </row>
    <row r="742" spans="1:22" ht="231.75" hidden="1" customHeight="1">
      <c r="A742" s="905"/>
      <c r="B742" s="906" t="s">
        <v>6668</v>
      </c>
      <c r="C742" s="990">
        <v>990</v>
      </c>
      <c r="D742" s="908" t="s">
        <v>2273</v>
      </c>
      <c r="E742" s="919"/>
      <c r="F742" s="1053">
        <f t="shared" si="130"/>
        <v>0</v>
      </c>
      <c r="G742" s="919"/>
      <c r="H742" s="914">
        <f t="shared" si="123"/>
        <v>0</v>
      </c>
      <c r="I742" s="919"/>
      <c r="J742" s="914">
        <f t="shared" si="124"/>
        <v>0</v>
      </c>
      <c r="K742" s="914"/>
      <c r="L742" s="914">
        <f t="shared" si="125"/>
        <v>0</v>
      </c>
      <c r="M742" s="919"/>
      <c r="N742" s="914">
        <f t="shared" si="126"/>
        <v>0</v>
      </c>
      <c r="O742" s="919"/>
      <c r="P742" s="914">
        <f t="shared" si="127"/>
        <v>0</v>
      </c>
      <c r="Q742" s="919"/>
      <c r="R742" s="914">
        <f t="shared" si="128"/>
        <v>0</v>
      </c>
      <c r="S742" s="919"/>
      <c r="T742" s="914">
        <f t="shared" si="129"/>
        <v>0</v>
      </c>
      <c r="U742" s="915">
        <f t="shared" si="122"/>
        <v>0</v>
      </c>
      <c r="V742" s="914">
        <f t="shared" si="119"/>
        <v>0</v>
      </c>
    </row>
    <row r="743" spans="1:22" ht="231.75" hidden="1" customHeight="1">
      <c r="A743" s="905"/>
      <c r="B743" s="906" t="s">
        <v>3557</v>
      </c>
      <c r="C743" s="959">
        <v>905</v>
      </c>
      <c r="D743" s="908" t="s">
        <v>823</v>
      </c>
      <c r="E743" s="919"/>
      <c r="F743" s="1053">
        <f t="shared" si="130"/>
        <v>0</v>
      </c>
      <c r="G743" s="919"/>
      <c r="H743" s="914">
        <f t="shared" si="123"/>
        <v>0</v>
      </c>
      <c r="I743" s="919"/>
      <c r="J743" s="914">
        <f t="shared" si="124"/>
        <v>0</v>
      </c>
      <c r="K743" s="914"/>
      <c r="L743" s="914">
        <f t="shared" si="125"/>
        <v>0</v>
      </c>
      <c r="M743" s="919"/>
      <c r="N743" s="914">
        <f t="shared" si="126"/>
        <v>0</v>
      </c>
      <c r="O743" s="919"/>
      <c r="P743" s="914">
        <f t="shared" si="127"/>
        <v>0</v>
      </c>
      <c r="Q743" s="919"/>
      <c r="R743" s="914">
        <f t="shared" si="128"/>
        <v>0</v>
      </c>
      <c r="S743" s="919"/>
      <c r="T743" s="914">
        <f t="shared" si="129"/>
        <v>0</v>
      </c>
      <c r="U743" s="915">
        <f t="shared" si="122"/>
        <v>0</v>
      </c>
      <c r="V743" s="914">
        <f t="shared" si="119"/>
        <v>0</v>
      </c>
    </row>
    <row r="744" spans="1:22" ht="231.75" hidden="1" customHeight="1">
      <c r="A744" s="905"/>
      <c r="B744" s="906" t="s">
        <v>3594</v>
      </c>
      <c r="C744" s="959">
        <v>8467.2999999999993</v>
      </c>
      <c r="D744" s="908" t="s">
        <v>1393</v>
      </c>
      <c r="E744" s="919"/>
      <c r="F744" s="1053">
        <f t="shared" si="130"/>
        <v>0</v>
      </c>
      <c r="G744" s="919"/>
      <c r="H744" s="914">
        <f t="shared" si="123"/>
        <v>0</v>
      </c>
      <c r="I744" s="919"/>
      <c r="J744" s="914">
        <f t="shared" si="124"/>
        <v>0</v>
      </c>
      <c r="K744" s="914"/>
      <c r="L744" s="914">
        <f t="shared" si="125"/>
        <v>0</v>
      </c>
      <c r="M744" s="919"/>
      <c r="N744" s="914">
        <f t="shared" si="126"/>
        <v>0</v>
      </c>
      <c r="O744" s="919"/>
      <c r="P744" s="914">
        <f t="shared" si="127"/>
        <v>0</v>
      </c>
      <c r="Q744" s="919"/>
      <c r="R744" s="914">
        <f t="shared" si="128"/>
        <v>0</v>
      </c>
      <c r="S744" s="919"/>
      <c r="T744" s="914">
        <f t="shared" si="129"/>
        <v>0</v>
      </c>
      <c r="U744" s="915">
        <f t="shared" si="122"/>
        <v>0</v>
      </c>
      <c r="V744" s="914">
        <f t="shared" si="119"/>
        <v>0</v>
      </c>
    </row>
    <row r="745" spans="1:22" ht="231.75" hidden="1" customHeight="1">
      <c r="A745" s="905"/>
      <c r="B745" s="906" t="s">
        <v>6669</v>
      </c>
      <c r="C745" s="959">
        <v>3409</v>
      </c>
      <c r="D745" s="908" t="s">
        <v>1393</v>
      </c>
      <c r="E745" s="919"/>
      <c r="F745" s="1053">
        <f t="shared" si="130"/>
        <v>0</v>
      </c>
      <c r="G745" s="919"/>
      <c r="H745" s="914">
        <f t="shared" si="123"/>
        <v>0</v>
      </c>
      <c r="I745" s="919"/>
      <c r="J745" s="914">
        <f t="shared" si="124"/>
        <v>0</v>
      </c>
      <c r="K745" s="914"/>
      <c r="L745" s="914">
        <f t="shared" si="125"/>
        <v>0</v>
      </c>
      <c r="M745" s="919"/>
      <c r="N745" s="914">
        <f t="shared" si="126"/>
        <v>0</v>
      </c>
      <c r="O745" s="919"/>
      <c r="P745" s="914">
        <f t="shared" si="127"/>
        <v>0</v>
      </c>
      <c r="Q745" s="919"/>
      <c r="R745" s="914">
        <f t="shared" si="128"/>
        <v>0</v>
      </c>
      <c r="S745" s="919"/>
      <c r="T745" s="914">
        <f t="shared" si="129"/>
        <v>0</v>
      </c>
      <c r="U745" s="915">
        <f t="shared" si="122"/>
        <v>0</v>
      </c>
      <c r="V745" s="914">
        <f t="shared" si="119"/>
        <v>0</v>
      </c>
    </row>
    <row r="746" spans="1:22" ht="231.75" hidden="1" customHeight="1">
      <c r="A746" s="905"/>
      <c r="B746" s="906" t="s">
        <v>6670</v>
      </c>
      <c r="C746" s="959">
        <v>469.42</v>
      </c>
      <c r="D746" s="908" t="s">
        <v>1393</v>
      </c>
      <c r="E746" s="919"/>
      <c r="F746" s="1053">
        <f t="shared" si="130"/>
        <v>0</v>
      </c>
      <c r="G746" s="919"/>
      <c r="H746" s="914">
        <f t="shared" si="123"/>
        <v>0</v>
      </c>
      <c r="I746" s="919"/>
      <c r="J746" s="914">
        <f t="shared" si="124"/>
        <v>0</v>
      </c>
      <c r="K746" s="914"/>
      <c r="L746" s="914">
        <f t="shared" si="125"/>
        <v>0</v>
      </c>
      <c r="M746" s="919"/>
      <c r="N746" s="914">
        <f t="shared" si="126"/>
        <v>0</v>
      </c>
      <c r="O746" s="919"/>
      <c r="P746" s="914">
        <f t="shared" si="127"/>
        <v>0</v>
      </c>
      <c r="Q746" s="919"/>
      <c r="R746" s="914">
        <f t="shared" si="128"/>
        <v>0</v>
      </c>
      <c r="S746" s="919"/>
      <c r="T746" s="914">
        <f t="shared" si="129"/>
        <v>0</v>
      </c>
      <c r="U746" s="915">
        <f t="shared" si="122"/>
        <v>0</v>
      </c>
      <c r="V746" s="914">
        <f t="shared" si="119"/>
        <v>0</v>
      </c>
    </row>
    <row r="747" spans="1:22" ht="231.75" hidden="1" customHeight="1">
      <c r="A747" s="905"/>
      <c r="B747" s="906" t="s">
        <v>3558</v>
      </c>
      <c r="C747" s="959"/>
      <c r="D747" s="908"/>
      <c r="E747" s="919"/>
      <c r="F747" s="1053">
        <f t="shared" si="130"/>
        <v>0</v>
      </c>
      <c r="G747" s="919"/>
      <c r="H747" s="914">
        <f t="shared" si="123"/>
        <v>0</v>
      </c>
      <c r="I747" s="919"/>
      <c r="J747" s="914">
        <f t="shared" si="124"/>
        <v>0</v>
      </c>
      <c r="K747" s="914"/>
      <c r="L747" s="914">
        <f t="shared" si="125"/>
        <v>0</v>
      </c>
      <c r="M747" s="919"/>
      <c r="N747" s="914">
        <f t="shared" si="126"/>
        <v>0</v>
      </c>
      <c r="O747" s="919"/>
      <c r="P747" s="914">
        <f t="shared" si="127"/>
        <v>0</v>
      </c>
      <c r="Q747" s="919"/>
      <c r="R747" s="914">
        <f t="shared" si="128"/>
        <v>0</v>
      </c>
      <c r="S747" s="919"/>
      <c r="T747" s="914">
        <f t="shared" si="129"/>
        <v>0</v>
      </c>
      <c r="U747" s="915">
        <f t="shared" si="122"/>
        <v>0</v>
      </c>
      <c r="V747" s="914">
        <f t="shared" si="119"/>
        <v>0</v>
      </c>
    </row>
    <row r="748" spans="1:22" ht="231.75" hidden="1" customHeight="1">
      <c r="A748" s="905"/>
      <c r="B748" s="906" t="s">
        <v>3595</v>
      </c>
      <c r="C748" s="959">
        <v>5640</v>
      </c>
      <c r="D748" s="908" t="s">
        <v>1393</v>
      </c>
      <c r="E748" s="919"/>
      <c r="F748" s="1053">
        <f t="shared" si="130"/>
        <v>0</v>
      </c>
      <c r="G748" s="919"/>
      <c r="H748" s="914">
        <f t="shared" si="123"/>
        <v>0</v>
      </c>
      <c r="I748" s="919"/>
      <c r="J748" s="914">
        <f t="shared" si="124"/>
        <v>0</v>
      </c>
      <c r="K748" s="914"/>
      <c r="L748" s="914">
        <f t="shared" si="125"/>
        <v>0</v>
      </c>
      <c r="M748" s="919"/>
      <c r="N748" s="914">
        <f t="shared" si="126"/>
        <v>0</v>
      </c>
      <c r="O748" s="919"/>
      <c r="P748" s="914">
        <f t="shared" si="127"/>
        <v>0</v>
      </c>
      <c r="Q748" s="919"/>
      <c r="R748" s="914">
        <f t="shared" si="128"/>
        <v>0</v>
      </c>
      <c r="S748" s="919"/>
      <c r="T748" s="914">
        <f t="shared" si="129"/>
        <v>0</v>
      </c>
      <c r="U748" s="915">
        <f t="shared" si="122"/>
        <v>0</v>
      </c>
      <c r="V748" s="914">
        <f t="shared" si="119"/>
        <v>0</v>
      </c>
    </row>
    <row r="749" spans="1:22" ht="231.75" hidden="1" customHeight="1">
      <c r="A749" s="905"/>
      <c r="B749" s="906" t="s">
        <v>3596</v>
      </c>
      <c r="C749" s="959">
        <v>1340</v>
      </c>
      <c r="D749" s="908" t="s">
        <v>1393</v>
      </c>
      <c r="E749" s="919"/>
      <c r="F749" s="1053">
        <f t="shared" si="130"/>
        <v>0</v>
      </c>
      <c r="G749" s="919"/>
      <c r="H749" s="914">
        <f t="shared" si="123"/>
        <v>0</v>
      </c>
      <c r="I749" s="919"/>
      <c r="J749" s="914">
        <f t="shared" si="124"/>
        <v>0</v>
      </c>
      <c r="K749" s="914"/>
      <c r="L749" s="914">
        <f t="shared" si="125"/>
        <v>0</v>
      </c>
      <c r="M749" s="919"/>
      <c r="N749" s="914">
        <f t="shared" si="126"/>
        <v>0</v>
      </c>
      <c r="O749" s="919"/>
      <c r="P749" s="914">
        <f t="shared" si="127"/>
        <v>0</v>
      </c>
      <c r="Q749" s="919"/>
      <c r="R749" s="914">
        <f t="shared" si="128"/>
        <v>0</v>
      </c>
      <c r="S749" s="919"/>
      <c r="T749" s="914">
        <f t="shared" si="129"/>
        <v>0</v>
      </c>
      <c r="U749" s="915">
        <f t="shared" si="122"/>
        <v>0</v>
      </c>
      <c r="V749" s="914">
        <f t="shared" si="119"/>
        <v>0</v>
      </c>
    </row>
    <row r="750" spans="1:22" ht="231.75" hidden="1" customHeight="1">
      <c r="A750" s="905"/>
      <c r="B750" s="906" t="s">
        <v>3597</v>
      </c>
      <c r="C750" s="959">
        <v>604</v>
      </c>
      <c r="D750" s="908" t="s">
        <v>1393</v>
      </c>
      <c r="E750" s="919"/>
      <c r="F750" s="1053">
        <f t="shared" si="130"/>
        <v>0</v>
      </c>
      <c r="G750" s="919"/>
      <c r="H750" s="914">
        <f t="shared" si="123"/>
        <v>0</v>
      </c>
      <c r="I750" s="919"/>
      <c r="J750" s="914">
        <f t="shared" si="124"/>
        <v>0</v>
      </c>
      <c r="K750" s="914"/>
      <c r="L750" s="914">
        <f t="shared" si="125"/>
        <v>0</v>
      </c>
      <c r="M750" s="919"/>
      <c r="N750" s="914">
        <f t="shared" si="126"/>
        <v>0</v>
      </c>
      <c r="O750" s="919"/>
      <c r="P750" s="914">
        <f t="shared" si="127"/>
        <v>0</v>
      </c>
      <c r="Q750" s="919"/>
      <c r="R750" s="914">
        <f t="shared" si="128"/>
        <v>0</v>
      </c>
      <c r="S750" s="919"/>
      <c r="T750" s="914">
        <f t="shared" si="129"/>
        <v>0</v>
      </c>
      <c r="U750" s="915">
        <f t="shared" si="122"/>
        <v>0</v>
      </c>
      <c r="V750" s="914">
        <f t="shared" si="119"/>
        <v>0</v>
      </c>
    </row>
    <row r="751" spans="1:22" ht="231.75" hidden="1" customHeight="1">
      <c r="A751" s="905"/>
      <c r="B751" s="906" t="s">
        <v>6671</v>
      </c>
      <c r="C751" s="959"/>
      <c r="D751" s="908"/>
      <c r="E751" s="919"/>
      <c r="F751" s="1053">
        <f t="shared" si="130"/>
        <v>0</v>
      </c>
      <c r="G751" s="919"/>
      <c r="H751" s="914">
        <f t="shared" si="123"/>
        <v>0</v>
      </c>
      <c r="I751" s="919"/>
      <c r="J751" s="914">
        <f t="shared" si="124"/>
        <v>0</v>
      </c>
      <c r="K751" s="914"/>
      <c r="L751" s="914">
        <f t="shared" si="125"/>
        <v>0</v>
      </c>
      <c r="M751" s="919"/>
      <c r="N751" s="914">
        <f t="shared" si="126"/>
        <v>0</v>
      </c>
      <c r="O751" s="919"/>
      <c r="P751" s="914">
        <f t="shared" si="127"/>
        <v>0</v>
      </c>
      <c r="Q751" s="919"/>
      <c r="R751" s="914">
        <f t="shared" si="128"/>
        <v>0</v>
      </c>
      <c r="S751" s="919"/>
      <c r="T751" s="914">
        <f t="shared" si="129"/>
        <v>0</v>
      </c>
      <c r="U751" s="915">
        <f t="shared" si="122"/>
        <v>0</v>
      </c>
      <c r="V751" s="914">
        <f t="shared" si="119"/>
        <v>0</v>
      </c>
    </row>
    <row r="752" spans="1:22" ht="231.75" hidden="1" customHeight="1">
      <c r="A752" s="905"/>
      <c r="B752" s="906" t="s">
        <v>2133</v>
      </c>
      <c r="C752" s="959">
        <v>1000.51</v>
      </c>
      <c r="D752" s="908" t="s">
        <v>1393</v>
      </c>
      <c r="E752" s="919"/>
      <c r="F752" s="1053">
        <f t="shared" si="130"/>
        <v>0</v>
      </c>
      <c r="G752" s="919"/>
      <c r="H752" s="914">
        <f t="shared" si="123"/>
        <v>0</v>
      </c>
      <c r="I752" s="919"/>
      <c r="J752" s="914">
        <f t="shared" si="124"/>
        <v>0</v>
      </c>
      <c r="K752" s="914"/>
      <c r="L752" s="914">
        <f t="shared" si="125"/>
        <v>0</v>
      </c>
      <c r="M752" s="919"/>
      <c r="N752" s="914">
        <f t="shared" si="126"/>
        <v>0</v>
      </c>
      <c r="O752" s="919"/>
      <c r="P752" s="914">
        <f t="shared" si="127"/>
        <v>0</v>
      </c>
      <c r="Q752" s="919"/>
      <c r="R752" s="914">
        <f t="shared" si="128"/>
        <v>0</v>
      </c>
      <c r="S752" s="919"/>
      <c r="T752" s="914">
        <f t="shared" si="129"/>
        <v>0</v>
      </c>
      <c r="U752" s="915">
        <f t="shared" si="122"/>
        <v>0</v>
      </c>
      <c r="V752" s="914">
        <f t="shared" si="119"/>
        <v>0</v>
      </c>
    </row>
    <row r="753" spans="1:22" ht="231.75" hidden="1" customHeight="1">
      <c r="A753" s="905"/>
      <c r="B753" s="906" t="s">
        <v>1265</v>
      </c>
      <c r="C753" s="959">
        <v>1003.51</v>
      </c>
      <c r="D753" s="908" t="s">
        <v>1393</v>
      </c>
      <c r="E753" s="919"/>
      <c r="F753" s="1053">
        <f t="shared" si="130"/>
        <v>0</v>
      </c>
      <c r="G753" s="919"/>
      <c r="H753" s="914">
        <f t="shared" si="123"/>
        <v>0</v>
      </c>
      <c r="I753" s="919"/>
      <c r="J753" s="914">
        <f t="shared" si="124"/>
        <v>0</v>
      </c>
      <c r="K753" s="914"/>
      <c r="L753" s="914">
        <f t="shared" si="125"/>
        <v>0</v>
      </c>
      <c r="M753" s="919"/>
      <c r="N753" s="914">
        <f t="shared" si="126"/>
        <v>0</v>
      </c>
      <c r="O753" s="919"/>
      <c r="P753" s="914">
        <f t="shared" si="127"/>
        <v>0</v>
      </c>
      <c r="Q753" s="919"/>
      <c r="R753" s="914">
        <f t="shared" si="128"/>
        <v>0</v>
      </c>
      <c r="S753" s="919"/>
      <c r="T753" s="914">
        <f t="shared" si="129"/>
        <v>0</v>
      </c>
      <c r="U753" s="915">
        <f t="shared" si="122"/>
        <v>0</v>
      </c>
      <c r="V753" s="914">
        <f t="shared" si="119"/>
        <v>0</v>
      </c>
    </row>
    <row r="754" spans="1:22" ht="231.75" hidden="1" customHeight="1">
      <c r="A754" s="905"/>
      <c r="B754" s="906" t="s">
        <v>6672</v>
      </c>
      <c r="C754" s="959">
        <v>769.3</v>
      </c>
      <c r="D754" s="908" t="s">
        <v>1393</v>
      </c>
      <c r="E754" s="919"/>
      <c r="F754" s="1053">
        <f t="shared" si="130"/>
        <v>0</v>
      </c>
      <c r="G754" s="919"/>
      <c r="H754" s="914">
        <f t="shared" si="123"/>
        <v>0</v>
      </c>
      <c r="I754" s="919"/>
      <c r="J754" s="914">
        <f t="shared" si="124"/>
        <v>0</v>
      </c>
      <c r="K754" s="914"/>
      <c r="L754" s="914">
        <f t="shared" si="125"/>
        <v>0</v>
      </c>
      <c r="M754" s="919"/>
      <c r="N754" s="914">
        <f t="shared" si="126"/>
        <v>0</v>
      </c>
      <c r="O754" s="919"/>
      <c r="P754" s="914">
        <f t="shared" si="127"/>
        <v>0</v>
      </c>
      <c r="Q754" s="919"/>
      <c r="R754" s="914">
        <f t="shared" si="128"/>
        <v>0</v>
      </c>
      <c r="S754" s="919"/>
      <c r="T754" s="914">
        <f t="shared" si="129"/>
        <v>0</v>
      </c>
      <c r="U754" s="915">
        <f t="shared" si="122"/>
        <v>0</v>
      </c>
      <c r="V754" s="914">
        <f t="shared" si="119"/>
        <v>0</v>
      </c>
    </row>
    <row r="755" spans="1:22" ht="231.75" hidden="1" customHeight="1">
      <c r="A755" s="905"/>
      <c r="B755" s="906" t="s">
        <v>6673</v>
      </c>
      <c r="C755" s="959">
        <v>536.54999999999995</v>
      </c>
      <c r="D755" s="908" t="s">
        <v>1393</v>
      </c>
      <c r="E755" s="919"/>
      <c r="F755" s="1053">
        <f t="shared" si="130"/>
        <v>0</v>
      </c>
      <c r="G755" s="919"/>
      <c r="H755" s="914">
        <f t="shared" si="123"/>
        <v>0</v>
      </c>
      <c r="I755" s="919"/>
      <c r="J755" s="914">
        <f t="shared" si="124"/>
        <v>0</v>
      </c>
      <c r="K755" s="914"/>
      <c r="L755" s="914">
        <f t="shared" si="125"/>
        <v>0</v>
      </c>
      <c r="M755" s="919"/>
      <c r="N755" s="914">
        <f t="shared" si="126"/>
        <v>0</v>
      </c>
      <c r="O755" s="919"/>
      <c r="P755" s="914">
        <f t="shared" si="127"/>
        <v>0</v>
      </c>
      <c r="Q755" s="919"/>
      <c r="R755" s="914">
        <f t="shared" si="128"/>
        <v>0</v>
      </c>
      <c r="S755" s="919"/>
      <c r="T755" s="914">
        <f t="shared" si="129"/>
        <v>0</v>
      </c>
      <c r="U755" s="915">
        <f t="shared" si="122"/>
        <v>0</v>
      </c>
      <c r="V755" s="914">
        <f t="shared" si="119"/>
        <v>0</v>
      </c>
    </row>
    <row r="756" spans="1:22" ht="231.75" hidden="1" customHeight="1">
      <c r="A756" s="905"/>
      <c r="B756" s="906" t="s">
        <v>4656</v>
      </c>
      <c r="C756" s="959">
        <v>675</v>
      </c>
      <c r="D756" s="991" t="s">
        <v>1763</v>
      </c>
      <c r="E756" s="914"/>
      <c r="F756" s="1053">
        <f t="shared" si="130"/>
        <v>0</v>
      </c>
      <c r="G756" s="914"/>
      <c r="H756" s="914">
        <f t="shared" si="123"/>
        <v>0</v>
      </c>
      <c r="I756" s="914"/>
      <c r="J756" s="914">
        <f t="shared" si="124"/>
        <v>0</v>
      </c>
      <c r="K756" s="914"/>
      <c r="L756" s="914">
        <f t="shared" si="125"/>
        <v>0</v>
      </c>
      <c r="M756" s="914"/>
      <c r="N756" s="914">
        <f t="shared" si="126"/>
        <v>0</v>
      </c>
      <c r="O756" s="914"/>
      <c r="P756" s="914">
        <f t="shared" si="127"/>
        <v>0</v>
      </c>
      <c r="Q756" s="914"/>
      <c r="R756" s="914">
        <f t="shared" si="128"/>
        <v>0</v>
      </c>
      <c r="S756" s="914"/>
      <c r="T756" s="914">
        <f t="shared" si="129"/>
        <v>0</v>
      </c>
      <c r="U756" s="915">
        <f t="shared" si="122"/>
        <v>0</v>
      </c>
      <c r="V756" s="914">
        <f t="shared" si="119"/>
        <v>0</v>
      </c>
    </row>
    <row r="757" spans="1:22" ht="231.75" hidden="1" customHeight="1">
      <c r="A757" s="905"/>
      <c r="B757" s="906" t="s">
        <v>3602</v>
      </c>
      <c r="C757" s="959">
        <v>435</v>
      </c>
      <c r="D757" s="991" t="s">
        <v>1763</v>
      </c>
      <c r="E757" s="919"/>
      <c r="F757" s="1053">
        <f t="shared" si="130"/>
        <v>0</v>
      </c>
      <c r="G757" s="919"/>
      <c r="H757" s="914">
        <f t="shared" si="123"/>
        <v>0</v>
      </c>
      <c r="I757" s="919"/>
      <c r="J757" s="914">
        <f t="shared" si="124"/>
        <v>0</v>
      </c>
      <c r="K757" s="914"/>
      <c r="L757" s="914">
        <f t="shared" si="125"/>
        <v>0</v>
      </c>
      <c r="M757" s="919"/>
      <c r="N757" s="914">
        <f t="shared" si="126"/>
        <v>0</v>
      </c>
      <c r="O757" s="919"/>
      <c r="P757" s="914">
        <f t="shared" si="127"/>
        <v>0</v>
      </c>
      <c r="Q757" s="919"/>
      <c r="R757" s="914">
        <f t="shared" si="128"/>
        <v>0</v>
      </c>
      <c r="S757" s="919"/>
      <c r="T757" s="914">
        <f t="shared" si="129"/>
        <v>0</v>
      </c>
      <c r="U757" s="915">
        <f t="shared" si="122"/>
        <v>0</v>
      </c>
      <c r="V757" s="914">
        <f t="shared" si="119"/>
        <v>0</v>
      </c>
    </row>
    <row r="758" spans="1:22" ht="231.75" hidden="1" customHeight="1">
      <c r="A758" s="905"/>
      <c r="B758" s="906" t="s">
        <v>3559</v>
      </c>
      <c r="C758" s="959">
        <v>356</v>
      </c>
      <c r="D758" s="991" t="s">
        <v>1763</v>
      </c>
      <c r="E758" s="919"/>
      <c r="F758" s="1053">
        <f t="shared" si="130"/>
        <v>0</v>
      </c>
      <c r="G758" s="919"/>
      <c r="H758" s="914">
        <f t="shared" si="123"/>
        <v>0</v>
      </c>
      <c r="I758" s="919"/>
      <c r="J758" s="914">
        <f t="shared" si="124"/>
        <v>0</v>
      </c>
      <c r="K758" s="914"/>
      <c r="L758" s="914">
        <f t="shared" si="125"/>
        <v>0</v>
      </c>
      <c r="M758" s="919"/>
      <c r="N758" s="914">
        <f t="shared" si="126"/>
        <v>0</v>
      </c>
      <c r="O758" s="919"/>
      <c r="P758" s="914">
        <f t="shared" ref="P758:P789" si="131">O758*C758</f>
        <v>0</v>
      </c>
      <c r="Q758" s="919"/>
      <c r="R758" s="914">
        <f t="shared" ref="R758:R789" si="132">Q758*C758</f>
        <v>0</v>
      </c>
      <c r="S758" s="919"/>
      <c r="T758" s="914">
        <f t="shared" ref="T758:T789" si="133">S758*C758</f>
        <v>0</v>
      </c>
      <c r="U758" s="915">
        <f t="shared" si="122"/>
        <v>0</v>
      </c>
      <c r="V758" s="914">
        <f t="shared" si="119"/>
        <v>0</v>
      </c>
    </row>
    <row r="759" spans="1:22" ht="231.75" hidden="1" customHeight="1">
      <c r="A759" s="905"/>
      <c r="B759" s="906" t="s">
        <v>3560</v>
      </c>
      <c r="C759" s="959">
        <v>317</v>
      </c>
      <c r="D759" s="991" t="s">
        <v>1763</v>
      </c>
      <c r="E759" s="919"/>
      <c r="F759" s="1053">
        <f t="shared" si="130"/>
        <v>0</v>
      </c>
      <c r="G759" s="919"/>
      <c r="H759" s="914">
        <f t="shared" si="123"/>
        <v>0</v>
      </c>
      <c r="I759" s="919"/>
      <c r="J759" s="914">
        <f t="shared" si="124"/>
        <v>0</v>
      </c>
      <c r="K759" s="914"/>
      <c r="L759" s="914">
        <f t="shared" si="125"/>
        <v>0</v>
      </c>
      <c r="M759" s="919"/>
      <c r="N759" s="914">
        <f t="shared" si="126"/>
        <v>0</v>
      </c>
      <c r="O759" s="919"/>
      <c r="P759" s="914">
        <f t="shared" si="131"/>
        <v>0</v>
      </c>
      <c r="Q759" s="919"/>
      <c r="R759" s="914">
        <f t="shared" si="132"/>
        <v>0</v>
      </c>
      <c r="S759" s="919"/>
      <c r="T759" s="914">
        <f t="shared" si="133"/>
        <v>0</v>
      </c>
      <c r="U759" s="915">
        <f t="shared" si="122"/>
        <v>0</v>
      </c>
      <c r="V759" s="914">
        <f t="shared" si="119"/>
        <v>0</v>
      </c>
    </row>
    <row r="760" spans="1:22" ht="231.75" hidden="1" customHeight="1">
      <c r="A760" s="905"/>
      <c r="B760" s="906" t="s">
        <v>3590</v>
      </c>
      <c r="C760" s="959">
        <v>176.84</v>
      </c>
      <c r="D760" s="991" t="s">
        <v>823</v>
      </c>
      <c r="E760" s="919"/>
      <c r="F760" s="1053">
        <f t="shared" si="130"/>
        <v>0</v>
      </c>
      <c r="G760" s="919"/>
      <c r="H760" s="914">
        <f t="shared" si="123"/>
        <v>0</v>
      </c>
      <c r="I760" s="919"/>
      <c r="J760" s="914">
        <f t="shared" si="124"/>
        <v>0</v>
      </c>
      <c r="K760" s="914"/>
      <c r="L760" s="914">
        <f t="shared" si="125"/>
        <v>0</v>
      </c>
      <c r="M760" s="919"/>
      <c r="N760" s="914">
        <f t="shared" si="126"/>
        <v>0</v>
      </c>
      <c r="O760" s="919"/>
      <c r="P760" s="914">
        <f t="shared" si="131"/>
        <v>0</v>
      </c>
      <c r="Q760" s="919"/>
      <c r="R760" s="914">
        <f t="shared" si="132"/>
        <v>0</v>
      </c>
      <c r="S760" s="919"/>
      <c r="T760" s="914">
        <f t="shared" si="133"/>
        <v>0</v>
      </c>
      <c r="U760" s="915">
        <f t="shared" si="122"/>
        <v>0</v>
      </c>
      <c r="V760" s="914">
        <f t="shared" si="119"/>
        <v>0</v>
      </c>
    </row>
    <row r="761" spans="1:22" ht="231.75" hidden="1" customHeight="1">
      <c r="A761" s="905"/>
      <c r="B761" s="906" t="s">
        <v>6674</v>
      </c>
      <c r="C761" s="959">
        <v>463</v>
      </c>
      <c r="D761" s="991" t="s">
        <v>1393</v>
      </c>
      <c r="E761" s="914"/>
      <c r="F761" s="1053">
        <f t="shared" si="130"/>
        <v>0</v>
      </c>
      <c r="G761" s="914"/>
      <c r="H761" s="914">
        <f t="shared" si="123"/>
        <v>0</v>
      </c>
      <c r="I761" s="914"/>
      <c r="J761" s="914">
        <f t="shared" si="124"/>
        <v>0</v>
      </c>
      <c r="K761" s="914"/>
      <c r="L761" s="914">
        <f t="shared" si="125"/>
        <v>0</v>
      </c>
      <c r="M761" s="914"/>
      <c r="N761" s="914">
        <f t="shared" si="126"/>
        <v>0</v>
      </c>
      <c r="O761" s="914"/>
      <c r="P761" s="914">
        <f t="shared" si="131"/>
        <v>0</v>
      </c>
      <c r="Q761" s="914"/>
      <c r="R761" s="914">
        <f t="shared" si="132"/>
        <v>0</v>
      </c>
      <c r="S761" s="914"/>
      <c r="T761" s="914">
        <f t="shared" si="133"/>
        <v>0</v>
      </c>
      <c r="U761" s="915">
        <f t="shared" si="122"/>
        <v>0</v>
      </c>
      <c r="V761" s="914">
        <f t="shared" si="119"/>
        <v>0</v>
      </c>
    </row>
    <row r="762" spans="1:22" ht="231.75" hidden="1" customHeight="1">
      <c r="A762" s="905"/>
      <c r="B762" s="906" t="s">
        <v>6675</v>
      </c>
      <c r="C762" s="959">
        <v>293</v>
      </c>
      <c r="D762" s="959" t="s">
        <v>1393</v>
      </c>
      <c r="E762" s="914"/>
      <c r="F762" s="1053">
        <f t="shared" si="130"/>
        <v>0</v>
      </c>
      <c r="G762" s="914"/>
      <c r="H762" s="914">
        <f t="shared" si="123"/>
        <v>0</v>
      </c>
      <c r="I762" s="914"/>
      <c r="J762" s="914">
        <f t="shared" si="124"/>
        <v>0</v>
      </c>
      <c r="K762" s="914"/>
      <c r="L762" s="914">
        <f t="shared" si="125"/>
        <v>0</v>
      </c>
      <c r="M762" s="914"/>
      <c r="N762" s="914">
        <f t="shared" si="126"/>
        <v>0</v>
      </c>
      <c r="O762" s="914"/>
      <c r="P762" s="914">
        <f t="shared" si="131"/>
        <v>0</v>
      </c>
      <c r="Q762" s="914"/>
      <c r="R762" s="914">
        <f t="shared" si="132"/>
        <v>0</v>
      </c>
      <c r="S762" s="914"/>
      <c r="T762" s="914">
        <f t="shared" si="133"/>
        <v>0</v>
      </c>
      <c r="U762" s="915">
        <f t="shared" si="122"/>
        <v>0</v>
      </c>
      <c r="V762" s="914">
        <f t="shared" si="119"/>
        <v>0</v>
      </c>
    </row>
    <row r="763" spans="1:22" ht="231.75" hidden="1" customHeight="1">
      <c r="A763" s="905"/>
      <c r="B763" s="992" t="s">
        <v>4511</v>
      </c>
      <c r="C763" s="993">
        <f>DATA!R1455</f>
        <v>6236.68</v>
      </c>
      <c r="D763" s="994" t="s">
        <v>2273</v>
      </c>
      <c r="E763" s="919"/>
      <c r="F763" s="1053">
        <f t="shared" si="130"/>
        <v>0</v>
      </c>
      <c r="G763" s="919"/>
      <c r="H763" s="914">
        <f t="shared" si="123"/>
        <v>0</v>
      </c>
      <c r="I763" s="919"/>
      <c r="J763" s="914">
        <f t="shared" si="124"/>
        <v>0</v>
      </c>
      <c r="K763" s="914"/>
      <c r="L763" s="914">
        <f t="shared" si="125"/>
        <v>0</v>
      </c>
      <c r="M763" s="919"/>
      <c r="N763" s="914">
        <f t="shared" si="126"/>
        <v>0</v>
      </c>
      <c r="O763" s="919"/>
      <c r="P763" s="914">
        <f t="shared" si="131"/>
        <v>0</v>
      </c>
      <c r="Q763" s="919"/>
      <c r="R763" s="914">
        <f t="shared" si="132"/>
        <v>0</v>
      </c>
      <c r="S763" s="919"/>
      <c r="T763" s="914">
        <f t="shared" si="133"/>
        <v>0</v>
      </c>
      <c r="U763" s="915">
        <f t="shared" si="122"/>
        <v>0</v>
      </c>
      <c r="V763" s="914">
        <f t="shared" si="119"/>
        <v>0</v>
      </c>
    </row>
    <row r="764" spans="1:22" ht="231.75" hidden="1" customHeight="1">
      <c r="A764" s="905"/>
      <c r="B764" s="992" t="s">
        <v>4515</v>
      </c>
      <c r="C764" s="992">
        <f>DATA!K4000</f>
        <v>0</v>
      </c>
      <c r="D764" s="992" t="s">
        <v>2273</v>
      </c>
      <c r="E764" s="919"/>
      <c r="F764" s="1053">
        <f t="shared" si="130"/>
        <v>0</v>
      </c>
      <c r="G764" s="919"/>
      <c r="H764" s="914">
        <f t="shared" si="123"/>
        <v>0</v>
      </c>
      <c r="I764" s="919"/>
      <c r="J764" s="914">
        <f t="shared" si="124"/>
        <v>0</v>
      </c>
      <c r="K764" s="914"/>
      <c r="L764" s="914">
        <f t="shared" si="125"/>
        <v>0</v>
      </c>
      <c r="M764" s="919"/>
      <c r="N764" s="914">
        <f t="shared" si="126"/>
        <v>0</v>
      </c>
      <c r="O764" s="919"/>
      <c r="P764" s="914">
        <f t="shared" si="131"/>
        <v>0</v>
      </c>
      <c r="Q764" s="919"/>
      <c r="R764" s="914">
        <f t="shared" si="132"/>
        <v>0</v>
      </c>
      <c r="S764" s="919"/>
      <c r="T764" s="914">
        <f t="shared" si="133"/>
        <v>0</v>
      </c>
      <c r="U764" s="915">
        <f t="shared" si="122"/>
        <v>0</v>
      </c>
      <c r="V764" s="914">
        <f t="shared" si="119"/>
        <v>0</v>
      </c>
    </row>
    <row r="765" spans="1:22" ht="231.75" hidden="1" customHeight="1">
      <c r="A765" s="905"/>
      <c r="B765" s="992" t="s">
        <v>4509</v>
      </c>
      <c r="C765" s="992">
        <f>'Sliding and french window'!F310</f>
        <v>5580.9</v>
      </c>
      <c r="D765" s="992" t="s">
        <v>2273</v>
      </c>
      <c r="E765" s="919"/>
      <c r="F765" s="1053">
        <f t="shared" si="130"/>
        <v>0</v>
      </c>
      <c r="G765" s="919"/>
      <c r="H765" s="914">
        <f t="shared" si="123"/>
        <v>0</v>
      </c>
      <c r="I765" s="919"/>
      <c r="J765" s="914">
        <f t="shared" si="124"/>
        <v>0</v>
      </c>
      <c r="K765" s="914"/>
      <c r="L765" s="914">
        <f t="shared" si="125"/>
        <v>0</v>
      </c>
      <c r="M765" s="919"/>
      <c r="N765" s="914">
        <f t="shared" si="126"/>
        <v>0</v>
      </c>
      <c r="O765" s="919"/>
      <c r="P765" s="914">
        <f t="shared" si="131"/>
        <v>0</v>
      </c>
      <c r="Q765" s="919"/>
      <c r="R765" s="914">
        <f t="shared" si="132"/>
        <v>0</v>
      </c>
      <c r="S765" s="919"/>
      <c r="T765" s="914">
        <f t="shared" si="133"/>
        <v>0</v>
      </c>
      <c r="U765" s="915">
        <f t="shared" si="122"/>
        <v>0</v>
      </c>
      <c r="V765" s="914">
        <f t="shared" si="119"/>
        <v>0</v>
      </c>
    </row>
    <row r="766" spans="1:22" ht="231.75" hidden="1" customHeight="1">
      <c r="A766" s="905"/>
      <c r="B766" s="992" t="s">
        <v>4512</v>
      </c>
      <c r="C766" s="992">
        <f>'Sliding and french window'!F145</f>
        <v>5573</v>
      </c>
      <c r="D766" s="992" t="s">
        <v>2273</v>
      </c>
      <c r="E766" s="919"/>
      <c r="F766" s="1053">
        <f t="shared" si="130"/>
        <v>0</v>
      </c>
      <c r="G766" s="919"/>
      <c r="H766" s="914">
        <f t="shared" si="123"/>
        <v>0</v>
      </c>
      <c r="I766" s="919"/>
      <c r="J766" s="914">
        <f t="shared" si="124"/>
        <v>0</v>
      </c>
      <c r="K766" s="914"/>
      <c r="L766" s="914">
        <f t="shared" si="125"/>
        <v>0</v>
      </c>
      <c r="M766" s="919"/>
      <c r="N766" s="914">
        <f t="shared" si="126"/>
        <v>0</v>
      </c>
      <c r="O766" s="919"/>
      <c r="P766" s="914">
        <f t="shared" si="131"/>
        <v>0</v>
      </c>
      <c r="Q766" s="919"/>
      <c r="R766" s="914">
        <f t="shared" si="132"/>
        <v>0</v>
      </c>
      <c r="S766" s="919"/>
      <c r="T766" s="914">
        <f t="shared" si="133"/>
        <v>0</v>
      </c>
      <c r="U766" s="915">
        <f t="shared" si="122"/>
        <v>0</v>
      </c>
      <c r="V766" s="914">
        <f t="shared" si="119"/>
        <v>0</v>
      </c>
    </row>
    <row r="767" spans="1:22" ht="231.75" hidden="1" customHeight="1">
      <c r="A767" s="905"/>
      <c r="B767" s="992" t="s">
        <v>4513</v>
      </c>
      <c r="C767" s="992">
        <f>'Sliding and french window'!F167</f>
        <v>4875.91</v>
      </c>
      <c r="D767" s="992" t="s">
        <v>2273</v>
      </c>
      <c r="E767" s="919"/>
      <c r="F767" s="1053">
        <f t="shared" si="130"/>
        <v>0</v>
      </c>
      <c r="G767" s="919"/>
      <c r="H767" s="914">
        <f t="shared" si="123"/>
        <v>0</v>
      </c>
      <c r="I767" s="919"/>
      <c r="J767" s="914">
        <f t="shared" si="124"/>
        <v>0</v>
      </c>
      <c r="K767" s="914"/>
      <c r="L767" s="914">
        <f t="shared" si="125"/>
        <v>0</v>
      </c>
      <c r="M767" s="919"/>
      <c r="N767" s="914">
        <f t="shared" si="126"/>
        <v>0</v>
      </c>
      <c r="O767" s="919"/>
      <c r="P767" s="914">
        <f t="shared" si="131"/>
        <v>0</v>
      </c>
      <c r="Q767" s="919"/>
      <c r="R767" s="914">
        <f t="shared" si="132"/>
        <v>0</v>
      </c>
      <c r="S767" s="919"/>
      <c r="T767" s="914">
        <f t="shared" si="133"/>
        <v>0</v>
      </c>
      <c r="U767" s="915">
        <f t="shared" si="122"/>
        <v>0</v>
      </c>
      <c r="V767" s="914">
        <f t="shared" si="119"/>
        <v>0</v>
      </c>
    </row>
    <row r="768" spans="1:22" ht="231.75" hidden="1" customHeight="1">
      <c r="A768" s="905"/>
      <c r="B768" s="992" t="s">
        <v>4514</v>
      </c>
      <c r="C768" s="992">
        <f>DATA!K4016</f>
        <v>0</v>
      </c>
      <c r="D768" s="992" t="s">
        <v>2273</v>
      </c>
      <c r="E768" s="919"/>
      <c r="F768" s="1053">
        <f t="shared" si="130"/>
        <v>0</v>
      </c>
      <c r="G768" s="919"/>
      <c r="H768" s="914">
        <f t="shared" si="123"/>
        <v>0</v>
      </c>
      <c r="I768" s="919"/>
      <c r="J768" s="914">
        <f t="shared" si="124"/>
        <v>0</v>
      </c>
      <c r="K768" s="914"/>
      <c r="L768" s="914">
        <f t="shared" si="125"/>
        <v>0</v>
      </c>
      <c r="M768" s="919"/>
      <c r="N768" s="914">
        <f t="shared" si="126"/>
        <v>0</v>
      </c>
      <c r="O768" s="919"/>
      <c r="P768" s="914">
        <f t="shared" si="131"/>
        <v>0</v>
      </c>
      <c r="Q768" s="919"/>
      <c r="R768" s="914">
        <f t="shared" si="132"/>
        <v>0</v>
      </c>
      <c r="S768" s="919"/>
      <c r="T768" s="914">
        <f t="shared" si="133"/>
        <v>0</v>
      </c>
      <c r="U768" s="915">
        <f t="shared" si="122"/>
        <v>0</v>
      </c>
      <c r="V768" s="914">
        <f t="shared" si="119"/>
        <v>0</v>
      </c>
    </row>
    <row r="769" spans="1:22" ht="231.75" hidden="1" customHeight="1">
      <c r="A769" s="905"/>
      <c r="B769" s="992" t="s">
        <v>4308</v>
      </c>
      <c r="C769" s="992">
        <f>DATA!K4031</f>
        <v>0</v>
      </c>
      <c r="D769" s="992" t="s">
        <v>2273</v>
      </c>
      <c r="E769" s="919"/>
      <c r="F769" s="1053">
        <f t="shared" si="130"/>
        <v>0</v>
      </c>
      <c r="G769" s="919"/>
      <c r="H769" s="914">
        <f t="shared" si="123"/>
        <v>0</v>
      </c>
      <c r="I769" s="919"/>
      <c r="J769" s="914">
        <f t="shared" si="124"/>
        <v>0</v>
      </c>
      <c r="K769" s="914"/>
      <c r="L769" s="914">
        <f t="shared" si="125"/>
        <v>0</v>
      </c>
      <c r="M769" s="919"/>
      <c r="N769" s="914">
        <f t="shared" si="126"/>
        <v>0</v>
      </c>
      <c r="O769" s="919"/>
      <c r="P769" s="914">
        <f t="shared" si="131"/>
        <v>0</v>
      </c>
      <c r="Q769" s="919"/>
      <c r="R769" s="914">
        <f t="shared" si="132"/>
        <v>0</v>
      </c>
      <c r="S769" s="919"/>
      <c r="T769" s="914">
        <f t="shared" si="133"/>
        <v>0</v>
      </c>
      <c r="U769" s="915">
        <f t="shared" si="122"/>
        <v>0</v>
      </c>
      <c r="V769" s="914">
        <f t="shared" si="119"/>
        <v>0</v>
      </c>
    </row>
    <row r="770" spans="1:22" ht="231.75" hidden="1" customHeight="1">
      <c r="A770" s="905"/>
      <c r="B770" s="992" t="s">
        <v>4309</v>
      </c>
      <c r="C770" s="992">
        <f>DATA!K4043</f>
        <v>0</v>
      </c>
      <c r="D770" s="992" t="s">
        <v>2273</v>
      </c>
      <c r="E770" s="919"/>
      <c r="F770" s="1053">
        <f t="shared" si="130"/>
        <v>0</v>
      </c>
      <c r="G770" s="919"/>
      <c r="H770" s="914">
        <f t="shared" si="123"/>
        <v>0</v>
      </c>
      <c r="I770" s="919"/>
      <c r="J770" s="914">
        <f t="shared" si="124"/>
        <v>0</v>
      </c>
      <c r="K770" s="914"/>
      <c r="L770" s="914">
        <f t="shared" si="125"/>
        <v>0</v>
      </c>
      <c r="M770" s="919"/>
      <c r="N770" s="914">
        <f t="shared" si="126"/>
        <v>0</v>
      </c>
      <c r="O770" s="919"/>
      <c r="P770" s="914">
        <f t="shared" si="131"/>
        <v>0</v>
      </c>
      <c r="Q770" s="919"/>
      <c r="R770" s="914">
        <f t="shared" si="132"/>
        <v>0</v>
      </c>
      <c r="S770" s="919"/>
      <c r="T770" s="914">
        <f t="shared" si="133"/>
        <v>0</v>
      </c>
      <c r="U770" s="915">
        <f t="shared" si="122"/>
        <v>0</v>
      </c>
      <c r="V770" s="914">
        <f t="shared" si="119"/>
        <v>0</v>
      </c>
    </row>
    <row r="771" spans="1:22" ht="231.75" hidden="1" customHeight="1">
      <c r="A771" s="905"/>
      <c r="B771" s="992" t="s">
        <v>4510</v>
      </c>
      <c r="C771" s="992">
        <f>DATA!R1545</f>
        <v>4991.1499999999996</v>
      </c>
      <c r="D771" s="992" t="s">
        <v>2273</v>
      </c>
      <c r="E771" s="919"/>
      <c r="F771" s="1053">
        <f t="shared" si="130"/>
        <v>0</v>
      </c>
      <c r="G771" s="919"/>
      <c r="H771" s="914">
        <f t="shared" si="123"/>
        <v>0</v>
      </c>
      <c r="I771" s="919"/>
      <c r="J771" s="914">
        <f t="shared" si="124"/>
        <v>0</v>
      </c>
      <c r="K771" s="914"/>
      <c r="L771" s="914">
        <f t="shared" si="125"/>
        <v>0</v>
      </c>
      <c r="M771" s="919"/>
      <c r="N771" s="914">
        <f t="shared" si="126"/>
        <v>0</v>
      </c>
      <c r="O771" s="919"/>
      <c r="P771" s="914">
        <f t="shared" si="131"/>
        <v>0</v>
      </c>
      <c r="Q771" s="919"/>
      <c r="R771" s="914">
        <f t="shared" si="132"/>
        <v>0</v>
      </c>
      <c r="S771" s="919"/>
      <c r="T771" s="914">
        <f t="shared" si="133"/>
        <v>0</v>
      </c>
      <c r="U771" s="915">
        <f t="shared" si="122"/>
        <v>0</v>
      </c>
      <c r="V771" s="914">
        <f t="shared" si="119"/>
        <v>0</v>
      </c>
    </row>
    <row r="772" spans="1:22" ht="231.75" hidden="1" customHeight="1">
      <c r="A772" s="905"/>
      <c r="B772" s="906" t="s">
        <v>3589</v>
      </c>
      <c r="C772" s="959">
        <v>6950</v>
      </c>
      <c r="D772" s="991" t="s">
        <v>1393</v>
      </c>
      <c r="E772" s="919"/>
      <c r="F772" s="1053">
        <f t="shared" si="130"/>
        <v>0</v>
      </c>
      <c r="G772" s="919"/>
      <c r="H772" s="914">
        <f t="shared" si="123"/>
        <v>0</v>
      </c>
      <c r="I772" s="919"/>
      <c r="J772" s="914">
        <f t="shared" si="124"/>
        <v>0</v>
      </c>
      <c r="K772" s="914"/>
      <c r="L772" s="914">
        <f t="shared" si="125"/>
        <v>0</v>
      </c>
      <c r="M772" s="919"/>
      <c r="N772" s="914">
        <f t="shared" si="126"/>
        <v>0</v>
      </c>
      <c r="O772" s="919"/>
      <c r="P772" s="914">
        <f t="shared" si="131"/>
        <v>0</v>
      </c>
      <c r="Q772" s="919"/>
      <c r="R772" s="914">
        <f t="shared" si="132"/>
        <v>0</v>
      </c>
      <c r="S772" s="919"/>
      <c r="T772" s="914">
        <f t="shared" si="133"/>
        <v>0</v>
      </c>
      <c r="U772" s="915">
        <f t="shared" si="122"/>
        <v>0</v>
      </c>
      <c r="V772" s="914">
        <f t="shared" si="119"/>
        <v>0</v>
      </c>
    </row>
    <row r="773" spans="1:22" ht="231.75" hidden="1" customHeight="1">
      <c r="A773" s="905"/>
      <c r="B773" s="906" t="s">
        <v>3621</v>
      </c>
      <c r="C773" s="959">
        <v>634</v>
      </c>
      <c r="D773" s="991" t="s">
        <v>1393</v>
      </c>
      <c r="E773" s="919"/>
      <c r="F773" s="1053">
        <f t="shared" si="130"/>
        <v>0</v>
      </c>
      <c r="G773" s="919"/>
      <c r="H773" s="914">
        <f t="shared" si="123"/>
        <v>0</v>
      </c>
      <c r="I773" s="919"/>
      <c r="J773" s="914">
        <f t="shared" si="124"/>
        <v>0</v>
      </c>
      <c r="K773" s="914"/>
      <c r="L773" s="914">
        <f t="shared" si="125"/>
        <v>0</v>
      </c>
      <c r="M773" s="919"/>
      <c r="N773" s="914">
        <f t="shared" si="126"/>
        <v>0</v>
      </c>
      <c r="O773" s="919"/>
      <c r="P773" s="914">
        <f t="shared" si="131"/>
        <v>0</v>
      </c>
      <c r="Q773" s="919"/>
      <c r="R773" s="914">
        <f t="shared" si="132"/>
        <v>0</v>
      </c>
      <c r="S773" s="919"/>
      <c r="T773" s="914">
        <f t="shared" si="133"/>
        <v>0</v>
      </c>
      <c r="U773" s="915">
        <f t="shared" si="122"/>
        <v>0</v>
      </c>
      <c r="V773" s="914">
        <f t="shared" si="119"/>
        <v>0</v>
      </c>
    </row>
    <row r="774" spans="1:22" ht="231.75" hidden="1" customHeight="1">
      <c r="A774" s="905"/>
      <c r="B774" s="906" t="s">
        <v>3638</v>
      </c>
      <c r="C774" s="959">
        <v>9470</v>
      </c>
      <c r="D774" s="991" t="s">
        <v>1393</v>
      </c>
      <c r="E774" s="919"/>
      <c r="F774" s="1053">
        <f t="shared" si="130"/>
        <v>0</v>
      </c>
      <c r="G774" s="919"/>
      <c r="H774" s="914">
        <f t="shared" si="123"/>
        <v>0</v>
      </c>
      <c r="I774" s="919"/>
      <c r="J774" s="914">
        <f t="shared" si="124"/>
        <v>0</v>
      </c>
      <c r="K774" s="914"/>
      <c r="L774" s="914">
        <f t="shared" si="125"/>
        <v>0</v>
      </c>
      <c r="M774" s="919"/>
      <c r="N774" s="914">
        <f t="shared" si="126"/>
        <v>0</v>
      </c>
      <c r="O774" s="919"/>
      <c r="P774" s="914">
        <f t="shared" si="131"/>
        <v>0</v>
      </c>
      <c r="Q774" s="919"/>
      <c r="R774" s="914">
        <f t="shared" si="132"/>
        <v>0</v>
      </c>
      <c r="S774" s="919"/>
      <c r="T774" s="914">
        <f t="shared" si="133"/>
        <v>0</v>
      </c>
      <c r="U774" s="915">
        <f t="shared" si="122"/>
        <v>0</v>
      </c>
      <c r="V774" s="914">
        <f t="shared" ref="V774:V837" si="134">U774*C774</f>
        <v>0</v>
      </c>
    </row>
    <row r="775" spans="1:22" ht="231.75" hidden="1" customHeight="1">
      <c r="A775" s="905"/>
      <c r="B775" s="906" t="s">
        <v>3603</v>
      </c>
      <c r="C775" s="959">
        <v>293</v>
      </c>
      <c r="D775" s="991" t="s">
        <v>1393</v>
      </c>
      <c r="E775" s="919"/>
      <c r="F775" s="1053">
        <f t="shared" si="130"/>
        <v>0</v>
      </c>
      <c r="G775" s="919"/>
      <c r="H775" s="914">
        <f t="shared" si="123"/>
        <v>0</v>
      </c>
      <c r="I775" s="919"/>
      <c r="J775" s="914">
        <f t="shared" si="124"/>
        <v>0</v>
      </c>
      <c r="K775" s="914"/>
      <c r="L775" s="914">
        <f t="shared" si="125"/>
        <v>0</v>
      </c>
      <c r="M775" s="919"/>
      <c r="N775" s="914">
        <f t="shared" si="126"/>
        <v>0</v>
      </c>
      <c r="O775" s="919"/>
      <c r="P775" s="914">
        <f t="shared" si="131"/>
        <v>0</v>
      </c>
      <c r="Q775" s="919"/>
      <c r="R775" s="914">
        <f t="shared" si="132"/>
        <v>0</v>
      </c>
      <c r="S775" s="919"/>
      <c r="T775" s="914">
        <f t="shared" si="133"/>
        <v>0</v>
      </c>
      <c r="U775" s="915">
        <f t="shared" si="122"/>
        <v>0</v>
      </c>
      <c r="V775" s="914">
        <f t="shared" si="134"/>
        <v>0</v>
      </c>
    </row>
    <row r="776" spans="1:22" ht="231.75" hidden="1" customHeight="1">
      <c r="A776" s="905"/>
      <c r="B776" s="906" t="s">
        <v>6676</v>
      </c>
      <c r="C776" s="959">
        <v>704.75</v>
      </c>
      <c r="D776" s="908" t="s">
        <v>1393</v>
      </c>
      <c r="E776" s="919"/>
      <c r="F776" s="1053">
        <f t="shared" si="130"/>
        <v>0</v>
      </c>
      <c r="G776" s="919"/>
      <c r="H776" s="914">
        <f t="shared" si="123"/>
        <v>0</v>
      </c>
      <c r="I776" s="919"/>
      <c r="J776" s="914">
        <f t="shared" si="124"/>
        <v>0</v>
      </c>
      <c r="K776" s="914"/>
      <c r="L776" s="914">
        <f t="shared" si="125"/>
        <v>0</v>
      </c>
      <c r="M776" s="919"/>
      <c r="N776" s="914">
        <f t="shared" si="126"/>
        <v>0</v>
      </c>
      <c r="O776" s="919"/>
      <c r="P776" s="914">
        <f t="shared" si="131"/>
        <v>0</v>
      </c>
      <c r="Q776" s="919"/>
      <c r="R776" s="914">
        <f t="shared" si="132"/>
        <v>0</v>
      </c>
      <c r="S776" s="919"/>
      <c r="T776" s="914">
        <f t="shared" si="133"/>
        <v>0</v>
      </c>
      <c r="U776" s="915">
        <f t="shared" si="122"/>
        <v>0</v>
      </c>
      <c r="V776" s="914">
        <f t="shared" si="134"/>
        <v>0</v>
      </c>
    </row>
    <row r="777" spans="1:22" ht="231.75" hidden="1" customHeight="1">
      <c r="A777" s="905"/>
      <c r="B777" s="906" t="s">
        <v>6677</v>
      </c>
      <c r="C777" s="959">
        <v>514.85</v>
      </c>
      <c r="D777" s="908" t="s">
        <v>1393</v>
      </c>
      <c r="E777" s="919"/>
      <c r="F777" s="1053">
        <f t="shared" si="130"/>
        <v>0</v>
      </c>
      <c r="G777" s="919"/>
      <c r="H777" s="914">
        <f t="shared" si="123"/>
        <v>0</v>
      </c>
      <c r="I777" s="919"/>
      <c r="J777" s="914">
        <f t="shared" si="124"/>
        <v>0</v>
      </c>
      <c r="K777" s="914"/>
      <c r="L777" s="914">
        <f t="shared" si="125"/>
        <v>0</v>
      </c>
      <c r="M777" s="919"/>
      <c r="N777" s="914">
        <f t="shared" si="126"/>
        <v>0</v>
      </c>
      <c r="O777" s="919"/>
      <c r="P777" s="914">
        <f t="shared" si="131"/>
        <v>0</v>
      </c>
      <c r="Q777" s="919"/>
      <c r="R777" s="914">
        <f t="shared" si="132"/>
        <v>0</v>
      </c>
      <c r="S777" s="919"/>
      <c r="T777" s="914">
        <f t="shared" si="133"/>
        <v>0</v>
      </c>
      <c r="U777" s="915">
        <f t="shared" si="122"/>
        <v>0</v>
      </c>
      <c r="V777" s="914">
        <f t="shared" si="134"/>
        <v>0</v>
      </c>
    </row>
    <row r="778" spans="1:22" ht="231.75" hidden="1" customHeight="1">
      <c r="A778" s="905"/>
      <c r="B778" s="995" t="s">
        <v>6678</v>
      </c>
      <c r="C778" s="959">
        <v>473.5</v>
      </c>
      <c r="D778" s="991" t="s">
        <v>823</v>
      </c>
      <c r="E778" s="919"/>
      <c r="F778" s="1053">
        <f t="shared" si="130"/>
        <v>0</v>
      </c>
      <c r="G778" s="919"/>
      <c r="H778" s="914">
        <f t="shared" si="123"/>
        <v>0</v>
      </c>
      <c r="I778" s="919"/>
      <c r="J778" s="914">
        <f t="shared" si="124"/>
        <v>0</v>
      </c>
      <c r="K778" s="914"/>
      <c r="L778" s="914">
        <f t="shared" si="125"/>
        <v>0</v>
      </c>
      <c r="M778" s="919"/>
      <c r="N778" s="914">
        <f t="shared" si="126"/>
        <v>0</v>
      </c>
      <c r="O778" s="919"/>
      <c r="P778" s="914">
        <f t="shared" si="131"/>
        <v>0</v>
      </c>
      <c r="Q778" s="919"/>
      <c r="R778" s="914">
        <f t="shared" si="132"/>
        <v>0</v>
      </c>
      <c r="S778" s="919"/>
      <c r="T778" s="914">
        <f t="shared" si="133"/>
        <v>0</v>
      </c>
      <c r="U778" s="915">
        <f t="shared" si="122"/>
        <v>0</v>
      </c>
      <c r="V778" s="914">
        <f t="shared" si="134"/>
        <v>0</v>
      </c>
    </row>
    <row r="779" spans="1:22" ht="231.75" hidden="1" customHeight="1">
      <c r="A779" s="905"/>
      <c r="B779" s="995" t="s">
        <v>6679</v>
      </c>
      <c r="C779" s="996">
        <v>1003</v>
      </c>
      <c r="D779" s="991" t="s">
        <v>1393</v>
      </c>
      <c r="E779" s="919"/>
      <c r="F779" s="1053">
        <f t="shared" si="130"/>
        <v>0</v>
      </c>
      <c r="G779" s="919"/>
      <c r="H779" s="914">
        <f t="shared" si="123"/>
        <v>0</v>
      </c>
      <c r="I779" s="919"/>
      <c r="J779" s="914">
        <f t="shared" si="124"/>
        <v>0</v>
      </c>
      <c r="K779" s="914"/>
      <c r="L779" s="914">
        <f t="shared" si="125"/>
        <v>0</v>
      </c>
      <c r="M779" s="919"/>
      <c r="N779" s="914">
        <f t="shared" si="126"/>
        <v>0</v>
      </c>
      <c r="O779" s="919"/>
      <c r="P779" s="914">
        <f t="shared" si="131"/>
        <v>0</v>
      </c>
      <c r="Q779" s="919"/>
      <c r="R779" s="914">
        <f t="shared" si="132"/>
        <v>0</v>
      </c>
      <c r="S779" s="919"/>
      <c r="T779" s="914">
        <f t="shared" si="133"/>
        <v>0</v>
      </c>
      <c r="U779" s="915">
        <f t="shared" si="122"/>
        <v>0</v>
      </c>
      <c r="V779" s="914">
        <f t="shared" si="134"/>
        <v>0</v>
      </c>
    </row>
    <row r="780" spans="1:22" ht="231.75" hidden="1" customHeight="1">
      <c r="A780" s="905"/>
      <c r="B780" s="995" t="s">
        <v>3598</v>
      </c>
      <c r="C780" s="959">
        <v>11481.8</v>
      </c>
      <c r="D780" s="991" t="s">
        <v>1393</v>
      </c>
      <c r="E780" s="919"/>
      <c r="F780" s="1053">
        <f t="shared" si="130"/>
        <v>0</v>
      </c>
      <c r="G780" s="919"/>
      <c r="H780" s="914">
        <f t="shared" si="123"/>
        <v>0</v>
      </c>
      <c r="I780" s="919"/>
      <c r="J780" s="914">
        <f t="shared" si="124"/>
        <v>0</v>
      </c>
      <c r="K780" s="914"/>
      <c r="L780" s="914">
        <f t="shared" si="125"/>
        <v>0</v>
      </c>
      <c r="M780" s="919"/>
      <c r="N780" s="914">
        <f t="shared" si="126"/>
        <v>0</v>
      </c>
      <c r="O780" s="919"/>
      <c r="P780" s="914">
        <f t="shared" si="131"/>
        <v>0</v>
      </c>
      <c r="Q780" s="919"/>
      <c r="R780" s="914">
        <f t="shared" si="132"/>
        <v>0</v>
      </c>
      <c r="S780" s="919"/>
      <c r="T780" s="914">
        <f t="shared" si="133"/>
        <v>0</v>
      </c>
      <c r="U780" s="915">
        <f t="shared" si="122"/>
        <v>0</v>
      </c>
      <c r="V780" s="914">
        <f t="shared" si="134"/>
        <v>0</v>
      </c>
    </row>
    <row r="781" spans="1:22" ht="231.75" hidden="1" customHeight="1">
      <c r="A781" s="905"/>
      <c r="B781" s="995" t="s">
        <v>3613</v>
      </c>
      <c r="C781" s="959">
        <v>5325.6</v>
      </c>
      <c r="D781" s="991" t="s">
        <v>1393</v>
      </c>
      <c r="E781" s="919"/>
      <c r="F781" s="1053">
        <f t="shared" si="130"/>
        <v>0</v>
      </c>
      <c r="G781" s="919"/>
      <c r="H781" s="914">
        <f t="shared" si="123"/>
        <v>0</v>
      </c>
      <c r="I781" s="919"/>
      <c r="J781" s="914">
        <f t="shared" si="124"/>
        <v>0</v>
      </c>
      <c r="K781" s="914"/>
      <c r="L781" s="914">
        <f t="shared" si="125"/>
        <v>0</v>
      </c>
      <c r="M781" s="919"/>
      <c r="N781" s="914">
        <f t="shared" si="126"/>
        <v>0</v>
      </c>
      <c r="O781" s="919"/>
      <c r="P781" s="914">
        <f t="shared" si="131"/>
        <v>0</v>
      </c>
      <c r="Q781" s="919"/>
      <c r="R781" s="914">
        <f t="shared" si="132"/>
        <v>0</v>
      </c>
      <c r="S781" s="919"/>
      <c r="T781" s="914">
        <f t="shared" si="133"/>
        <v>0</v>
      </c>
      <c r="U781" s="915">
        <f t="shared" si="122"/>
        <v>0</v>
      </c>
      <c r="V781" s="914">
        <f t="shared" si="134"/>
        <v>0</v>
      </c>
    </row>
    <row r="782" spans="1:22" ht="231.75" hidden="1" customHeight="1">
      <c r="A782" s="905"/>
      <c r="B782" s="995" t="s">
        <v>3614</v>
      </c>
      <c r="C782" s="959">
        <v>8254.6</v>
      </c>
      <c r="D782" s="991" t="s">
        <v>1393</v>
      </c>
      <c r="E782" s="919"/>
      <c r="F782" s="1053">
        <f t="shared" si="130"/>
        <v>0</v>
      </c>
      <c r="G782" s="919"/>
      <c r="H782" s="914">
        <f t="shared" si="123"/>
        <v>0</v>
      </c>
      <c r="I782" s="919"/>
      <c r="J782" s="914">
        <f t="shared" si="124"/>
        <v>0</v>
      </c>
      <c r="K782" s="914"/>
      <c r="L782" s="914">
        <f t="shared" si="125"/>
        <v>0</v>
      </c>
      <c r="M782" s="919"/>
      <c r="N782" s="914">
        <f t="shared" si="126"/>
        <v>0</v>
      </c>
      <c r="O782" s="919"/>
      <c r="P782" s="914">
        <f t="shared" si="131"/>
        <v>0</v>
      </c>
      <c r="Q782" s="919"/>
      <c r="R782" s="914">
        <f t="shared" si="132"/>
        <v>0</v>
      </c>
      <c r="S782" s="919"/>
      <c r="T782" s="914">
        <f t="shared" si="133"/>
        <v>0</v>
      </c>
      <c r="U782" s="915">
        <f t="shared" si="122"/>
        <v>0</v>
      </c>
      <c r="V782" s="914">
        <f t="shared" si="134"/>
        <v>0</v>
      </c>
    </row>
    <row r="783" spans="1:22" ht="231.75" hidden="1" customHeight="1">
      <c r="A783" s="905"/>
      <c r="B783" s="995" t="s">
        <v>3615</v>
      </c>
      <c r="C783" s="959">
        <v>6588</v>
      </c>
      <c r="D783" s="991" t="s">
        <v>1393</v>
      </c>
      <c r="E783" s="919"/>
      <c r="F783" s="1053">
        <f t="shared" si="130"/>
        <v>0</v>
      </c>
      <c r="G783" s="919"/>
      <c r="H783" s="914">
        <f t="shared" si="123"/>
        <v>0</v>
      </c>
      <c r="I783" s="919"/>
      <c r="J783" s="914">
        <f t="shared" si="124"/>
        <v>0</v>
      </c>
      <c r="K783" s="914"/>
      <c r="L783" s="914">
        <f t="shared" si="125"/>
        <v>0</v>
      </c>
      <c r="M783" s="919"/>
      <c r="N783" s="914">
        <f t="shared" si="126"/>
        <v>0</v>
      </c>
      <c r="O783" s="919"/>
      <c r="P783" s="914">
        <f t="shared" si="131"/>
        <v>0</v>
      </c>
      <c r="Q783" s="919"/>
      <c r="R783" s="914">
        <f t="shared" si="132"/>
        <v>0</v>
      </c>
      <c r="S783" s="919"/>
      <c r="T783" s="914">
        <f t="shared" si="133"/>
        <v>0</v>
      </c>
      <c r="U783" s="915">
        <f t="shared" si="122"/>
        <v>0</v>
      </c>
      <c r="V783" s="914">
        <f t="shared" si="134"/>
        <v>0</v>
      </c>
    </row>
    <row r="784" spans="1:22" ht="231.75" hidden="1" customHeight="1">
      <c r="A784" s="905"/>
      <c r="B784" s="995" t="s">
        <v>6680</v>
      </c>
      <c r="C784" s="959">
        <v>593</v>
      </c>
      <c r="D784" s="997" t="s">
        <v>1393</v>
      </c>
      <c r="E784" s="919"/>
      <c r="F784" s="1053">
        <f t="shared" si="130"/>
        <v>0</v>
      </c>
      <c r="G784" s="919"/>
      <c r="H784" s="914">
        <f t="shared" si="123"/>
        <v>0</v>
      </c>
      <c r="I784" s="919"/>
      <c r="J784" s="914">
        <f t="shared" si="124"/>
        <v>0</v>
      </c>
      <c r="K784" s="914"/>
      <c r="L784" s="914">
        <f t="shared" si="125"/>
        <v>0</v>
      </c>
      <c r="M784" s="919"/>
      <c r="N784" s="914">
        <f t="shared" si="126"/>
        <v>0</v>
      </c>
      <c r="O784" s="919"/>
      <c r="P784" s="914">
        <f t="shared" si="131"/>
        <v>0</v>
      </c>
      <c r="Q784" s="919"/>
      <c r="R784" s="914">
        <f t="shared" si="132"/>
        <v>0</v>
      </c>
      <c r="S784" s="919"/>
      <c r="T784" s="914">
        <f t="shared" si="133"/>
        <v>0</v>
      </c>
      <c r="U784" s="915">
        <f t="shared" si="122"/>
        <v>0</v>
      </c>
      <c r="V784" s="914">
        <f t="shared" si="134"/>
        <v>0</v>
      </c>
    </row>
    <row r="785" spans="1:22" ht="231.75" hidden="1" customHeight="1">
      <c r="A785" s="998"/>
      <c r="B785" s="999" t="s">
        <v>4373</v>
      </c>
      <c r="C785" s="1000"/>
      <c r="D785" s="1001"/>
      <c r="E785" s="919"/>
      <c r="F785" s="1053">
        <f t="shared" si="130"/>
        <v>0</v>
      </c>
      <c r="G785" s="919"/>
      <c r="H785" s="914">
        <f t="shared" si="123"/>
        <v>0</v>
      </c>
      <c r="I785" s="919"/>
      <c r="J785" s="914">
        <f t="shared" si="124"/>
        <v>0</v>
      </c>
      <c r="K785" s="914"/>
      <c r="L785" s="914">
        <f t="shared" si="125"/>
        <v>0</v>
      </c>
      <c r="M785" s="919"/>
      <c r="N785" s="914">
        <f t="shared" si="126"/>
        <v>0</v>
      </c>
      <c r="O785" s="919"/>
      <c r="P785" s="914">
        <f t="shared" si="131"/>
        <v>0</v>
      </c>
      <c r="Q785" s="919"/>
      <c r="R785" s="914">
        <f t="shared" si="132"/>
        <v>0</v>
      </c>
      <c r="S785" s="919"/>
      <c r="T785" s="914">
        <f t="shared" si="133"/>
        <v>0</v>
      </c>
      <c r="U785" s="915">
        <f t="shared" si="122"/>
        <v>0</v>
      </c>
      <c r="V785" s="914">
        <f t="shared" si="134"/>
        <v>0</v>
      </c>
    </row>
    <row r="786" spans="1:22" s="1002" customFormat="1" ht="231.75" hidden="1" customHeight="1">
      <c r="A786" s="905"/>
      <c r="B786" s="958" t="s">
        <v>3561</v>
      </c>
      <c r="C786" s="959">
        <v>6300</v>
      </c>
      <c r="D786" s="961" t="s">
        <v>2273</v>
      </c>
      <c r="E786" s="919"/>
      <c r="F786" s="1053">
        <f t="shared" si="130"/>
        <v>0</v>
      </c>
      <c r="G786" s="919"/>
      <c r="H786" s="914">
        <f t="shared" si="123"/>
        <v>0</v>
      </c>
      <c r="I786" s="919"/>
      <c r="J786" s="914">
        <f t="shared" si="124"/>
        <v>0</v>
      </c>
      <c r="K786" s="914"/>
      <c r="L786" s="914">
        <f t="shared" si="125"/>
        <v>0</v>
      </c>
      <c r="M786" s="919"/>
      <c r="N786" s="914">
        <f t="shared" si="126"/>
        <v>0</v>
      </c>
      <c r="O786" s="919"/>
      <c r="P786" s="914">
        <f t="shared" si="131"/>
        <v>0</v>
      </c>
      <c r="Q786" s="919"/>
      <c r="R786" s="914">
        <f t="shared" si="132"/>
        <v>0</v>
      </c>
      <c r="S786" s="919"/>
      <c r="T786" s="914">
        <f t="shared" si="133"/>
        <v>0</v>
      </c>
      <c r="U786" s="915">
        <f t="shared" ref="U786:U849" si="135">G786+I786+M786+O786+Q786+S786+E786+K786</f>
        <v>0</v>
      </c>
      <c r="V786" s="914">
        <f t="shared" si="134"/>
        <v>0</v>
      </c>
    </row>
    <row r="787" spans="1:22" ht="231.75" hidden="1" customHeight="1">
      <c r="A787" s="905"/>
      <c r="B787" s="958" t="s">
        <v>3562</v>
      </c>
      <c r="C787" s="959">
        <v>6300</v>
      </c>
      <c r="D787" s="961" t="s">
        <v>2273</v>
      </c>
      <c r="E787" s="919"/>
      <c r="F787" s="1053">
        <f t="shared" si="130"/>
        <v>0</v>
      </c>
      <c r="G787" s="919"/>
      <c r="H787" s="914">
        <f t="shared" ref="H787:H850" si="136">C787*G787</f>
        <v>0</v>
      </c>
      <c r="I787" s="919"/>
      <c r="J787" s="914">
        <f t="shared" ref="J787:J850" si="137">I787*C787</f>
        <v>0</v>
      </c>
      <c r="K787" s="914"/>
      <c r="L787" s="914">
        <f t="shared" ref="L787:L850" si="138">K787*C787</f>
        <v>0</v>
      </c>
      <c r="M787" s="919"/>
      <c r="N787" s="914">
        <f t="shared" ref="N787:N850" si="139">M787*C787</f>
        <v>0</v>
      </c>
      <c r="O787" s="919"/>
      <c r="P787" s="914">
        <f t="shared" si="131"/>
        <v>0</v>
      </c>
      <c r="Q787" s="919"/>
      <c r="R787" s="914">
        <f t="shared" si="132"/>
        <v>0</v>
      </c>
      <c r="S787" s="919"/>
      <c r="T787" s="914">
        <f t="shared" si="133"/>
        <v>0</v>
      </c>
      <c r="U787" s="915">
        <f t="shared" si="135"/>
        <v>0</v>
      </c>
      <c r="V787" s="914">
        <f t="shared" si="134"/>
        <v>0</v>
      </c>
    </row>
    <row r="788" spans="1:22" ht="231.75" hidden="1" customHeight="1">
      <c r="A788" s="905"/>
      <c r="B788" s="958" t="s">
        <v>3563</v>
      </c>
      <c r="C788" s="959">
        <v>6300</v>
      </c>
      <c r="D788" s="961" t="s">
        <v>2273</v>
      </c>
      <c r="E788" s="919"/>
      <c r="F788" s="1053">
        <f t="shared" si="130"/>
        <v>0</v>
      </c>
      <c r="G788" s="919"/>
      <c r="H788" s="914">
        <f t="shared" si="136"/>
        <v>0</v>
      </c>
      <c r="I788" s="919"/>
      <c r="J788" s="914">
        <f t="shared" si="137"/>
        <v>0</v>
      </c>
      <c r="K788" s="914"/>
      <c r="L788" s="914">
        <f t="shared" si="138"/>
        <v>0</v>
      </c>
      <c r="M788" s="919"/>
      <c r="N788" s="914">
        <f t="shared" si="139"/>
        <v>0</v>
      </c>
      <c r="O788" s="919"/>
      <c r="P788" s="914">
        <f t="shared" si="131"/>
        <v>0</v>
      </c>
      <c r="Q788" s="919"/>
      <c r="R788" s="914">
        <f t="shared" si="132"/>
        <v>0</v>
      </c>
      <c r="S788" s="919"/>
      <c r="T788" s="914">
        <f t="shared" si="133"/>
        <v>0</v>
      </c>
      <c r="U788" s="915">
        <f t="shared" si="135"/>
        <v>0</v>
      </c>
      <c r="V788" s="914">
        <f t="shared" si="134"/>
        <v>0</v>
      </c>
    </row>
    <row r="789" spans="1:22" ht="231.75" hidden="1" customHeight="1">
      <c r="A789" s="905"/>
      <c r="B789" s="958" t="s">
        <v>3564</v>
      </c>
      <c r="C789" s="959">
        <v>6300</v>
      </c>
      <c r="D789" s="961" t="s">
        <v>2273</v>
      </c>
      <c r="E789" s="919"/>
      <c r="F789" s="1053">
        <f t="shared" si="130"/>
        <v>0</v>
      </c>
      <c r="G789" s="919"/>
      <c r="H789" s="914">
        <f t="shared" si="136"/>
        <v>0</v>
      </c>
      <c r="I789" s="919"/>
      <c r="J789" s="914">
        <f t="shared" si="137"/>
        <v>0</v>
      </c>
      <c r="K789" s="914"/>
      <c r="L789" s="914">
        <f t="shared" si="138"/>
        <v>0</v>
      </c>
      <c r="M789" s="919"/>
      <c r="N789" s="914">
        <f t="shared" si="139"/>
        <v>0</v>
      </c>
      <c r="O789" s="919"/>
      <c r="P789" s="914">
        <f t="shared" si="131"/>
        <v>0</v>
      </c>
      <c r="Q789" s="919"/>
      <c r="R789" s="914">
        <f t="shared" si="132"/>
        <v>0</v>
      </c>
      <c r="S789" s="919"/>
      <c r="T789" s="914">
        <f t="shared" si="133"/>
        <v>0</v>
      </c>
      <c r="U789" s="915">
        <f t="shared" si="135"/>
        <v>0</v>
      </c>
      <c r="V789" s="914">
        <f t="shared" si="134"/>
        <v>0</v>
      </c>
    </row>
    <row r="790" spans="1:22" ht="231.75" hidden="1" customHeight="1">
      <c r="A790" s="905"/>
      <c r="B790" s="958" t="s">
        <v>3565</v>
      </c>
      <c r="C790" s="959">
        <v>6300</v>
      </c>
      <c r="D790" s="961" t="s">
        <v>2273</v>
      </c>
      <c r="E790" s="919"/>
      <c r="F790" s="1053">
        <f t="shared" si="130"/>
        <v>0</v>
      </c>
      <c r="G790" s="919"/>
      <c r="H790" s="914">
        <f t="shared" si="136"/>
        <v>0</v>
      </c>
      <c r="I790" s="919"/>
      <c r="J790" s="914">
        <f t="shared" si="137"/>
        <v>0</v>
      </c>
      <c r="K790" s="914"/>
      <c r="L790" s="914">
        <f t="shared" si="138"/>
        <v>0</v>
      </c>
      <c r="M790" s="919"/>
      <c r="N790" s="914">
        <f t="shared" si="139"/>
        <v>0</v>
      </c>
      <c r="O790" s="919"/>
      <c r="P790" s="914">
        <f t="shared" ref="P790:P821" si="140">O790*C790</f>
        <v>0</v>
      </c>
      <c r="Q790" s="919"/>
      <c r="R790" s="914">
        <f t="shared" ref="R790:R821" si="141">Q790*C790</f>
        <v>0</v>
      </c>
      <c r="S790" s="919"/>
      <c r="T790" s="914">
        <f t="shared" ref="T790:T821" si="142">S790*C790</f>
        <v>0</v>
      </c>
      <c r="U790" s="915">
        <f t="shared" si="135"/>
        <v>0</v>
      </c>
      <c r="V790" s="914">
        <f t="shared" si="134"/>
        <v>0</v>
      </c>
    </row>
    <row r="791" spans="1:22" ht="231.75" hidden="1" customHeight="1">
      <c r="A791" s="905"/>
      <c r="B791" s="958">
        <v>0</v>
      </c>
      <c r="C791" s="959">
        <v>6300</v>
      </c>
      <c r="D791" s="961" t="s">
        <v>2273</v>
      </c>
      <c r="E791" s="919"/>
      <c r="F791" s="1053">
        <f t="shared" si="130"/>
        <v>0</v>
      </c>
      <c r="G791" s="919"/>
      <c r="H791" s="914">
        <f t="shared" si="136"/>
        <v>0</v>
      </c>
      <c r="I791" s="919"/>
      <c r="J791" s="914">
        <f t="shared" si="137"/>
        <v>0</v>
      </c>
      <c r="K791" s="914"/>
      <c r="L791" s="914">
        <f t="shared" si="138"/>
        <v>0</v>
      </c>
      <c r="M791" s="919"/>
      <c r="N791" s="914">
        <f t="shared" si="139"/>
        <v>0</v>
      </c>
      <c r="O791" s="919"/>
      <c r="P791" s="914">
        <f t="shared" si="140"/>
        <v>0</v>
      </c>
      <c r="Q791" s="919"/>
      <c r="R791" s="914">
        <f t="shared" si="141"/>
        <v>0</v>
      </c>
      <c r="S791" s="919"/>
      <c r="T791" s="914">
        <f t="shared" si="142"/>
        <v>0</v>
      </c>
      <c r="U791" s="915">
        <f t="shared" si="135"/>
        <v>0</v>
      </c>
      <c r="V791" s="914">
        <f t="shared" si="134"/>
        <v>0</v>
      </c>
    </row>
    <row r="792" spans="1:22" ht="231.75" hidden="1" customHeight="1">
      <c r="A792" s="905"/>
      <c r="B792" s="958" t="s">
        <v>3566</v>
      </c>
      <c r="C792" s="959">
        <v>6300</v>
      </c>
      <c r="D792" s="961" t="s">
        <v>2273</v>
      </c>
      <c r="E792" s="919"/>
      <c r="F792" s="1053">
        <f t="shared" si="130"/>
        <v>0</v>
      </c>
      <c r="G792" s="919"/>
      <c r="H792" s="914">
        <f t="shared" si="136"/>
        <v>0</v>
      </c>
      <c r="I792" s="919"/>
      <c r="J792" s="914">
        <f t="shared" si="137"/>
        <v>0</v>
      </c>
      <c r="K792" s="914"/>
      <c r="L792" s="914">
        <f t="shared" si="138"/>
        <v>0</v>
      </c>
      <c r="M792" s="919"/>
      <c r="N792" s="914">
        <f t="shared" si="139"/>
        <v>0</v>
      </c>
      <c r="O792" s="919"/>
      <c r="P792" s="914">
        <f t="shared" si="140"/>
        <v>0</v>
      </c>
      <c r="Q792" s="919"/>
      <c r="R792" s="914">
        <f t="shared" si="141"/>
        <v>0</v>
      </c>
      <c r="S792" s="919"/>
      <c r="T792" s="914">
        <f t="shared" si="142"/>
        <v>0</v>
      </c>
      <c r="U792" s="915">
        <f t="shared" si="135"/>
        <v>0</v>
      </c>
      <c r="V792" s="914">
        <f t="shared" si="134"/>
        <v>0</v>
      </c>
    </row>
    <row r="793" spans="1:22" ht="231.75" hidden="1" customHeight="1">
      <c r="A793" s="905"/>
      <c r="B793" s="958" t="s">
        <v>3567</v>
      </c>
      <c r="C793" s="959">
        <v>6300</v>
      </c>
      <c r="D793" s="961" t="s">
        <v>2273</v>
      </c>
      <c r="E793" s="919"/>
      <c r="F793" s="1053">
        <f t="shared" si="130"/>
        <v>0</v>
      </c>
      <c r="G793" s="919"/>
      <c r="H793" s="914">
        <f t="shared" si="136"/>
        <v>0</v>
      </c>
      <c r="I793" s="919"/>
      <c r="J793" s="914">
        <f t="shared" si="137"/>
        <v>0</v>
      </c>
      <c r="K793" s="914"/>
      <c r="L793" s="914">
        <f t="shared" si="138"/>
        <v>0</v>
      </c>
      <c r="M793" s="919"/>
      <c r="N793" s="914">
        <f t="shared" si="139"/>
        <v>0</v>
      </c>
      <c r="O793" s="919"/>
      <c r="P793" s="914">
        <f t="shared" si="140"/>
        <v>0</v>
      </c>
      <c r="Q793" s="919"/>
      <c r="R793" s="914">
        <f t="shared" si="141"/>
        <v>0</v>
      </c>
      <c r="S793" s="919"/>
      <c r="T793" s="914">
        <f t="shared" si="142"/>
        <v>0</v>
      </c>
      <c r="U793" s="915">
        <f t="shared" si="135"/>
        <v>0</v>
      </c>
      <c r="V793" s="914">
        <f t="shared" si="134"/>
        <v>0</v>
      </c>
    </row>
    <row r="794" spans="1:22" ht="231.75" hidden="1" customHeight="1">
      <c r="A794" s="905"/>
      <c r="B794" s="949" t="s">
        <v>3606</v>
      </c>
      <c r="C794" s="921">
        <v>5654</v>
      </c>
      <c r="D794" s="972" t="s">
        <v>3607</v>
      </c>
      <c r="E794" s="919"/>
      <c r="F794" s="1053">
        <f t="shared" si="130"/>
        <v>0</v>
      </c>
      <c r="G794" s="919"/>
      <c r="H794" s="914">
        <f t="shared" si="136"/>
        <v>0</v>
      </c>
      <c r="I794" s="919"/>
      <c r="J794" s="914">
        <f t="shared" si="137"/>
        <v>0</v>
      </c>
      <c r="K794" s="914"/>
      <c r="L794" s="914">
        <f t="shared" si="138"/>
        <v>0</v>
      </c>
      <c r="M794" s="919"/>
      <c r="N794" s="914">
        <f t="shared" si="139"/>
        <v>0</v>
      </c>
      <c r="O794" s="919"/>
      <c r="P794" s="914">
        <f t="shared" si="140"/>
        <v>0</v>
      </c>
      <c r="Q794" s="919"/>
      <c r="R794" s="914">
        <f t="shared" si="141"/>
        <v>0</v>
      </c>
      <c r="S794" s="919"/>
      <c r="T794" s="914">
        <f t="shared" si="142"/>
        <v>0</v>
      </c>
      <c r="U794" s="915">
        <f t="shared" si="135"/>
        <v>0</v>
      </c>
      <c r="V794" s="914">
        <f t="shared" si="134"/>
        <v>0</v>
      </c>
    </row>
    <row r="795" spans="1:22" ht="231.75" hidden="1" customHeight="1">
      <c r="A795" s="905"/>
      <c r="B795" s="1003" t="s">
        <v>5514</v>
      </c>
      <c r="C795" s="913">
        <v>8106</v>
      </c>
      <c r="D795" s="991" t="s">
        <v>2273</v>
      </c>
      <c r="E795" s="914"/>
      <c r="F795" s="1053">
        <f t="shared" si="130"/>
        <v>0</v>
      </c>
      <c r="G795" s="914"/>
      <c r="H795" s="914">
        <f t="shared" si="136"/>
        <v>0</v>
      </c>
      <c r="I795" s="914"/>
      <c r="J795" s="914">
        <f t="shared" si="137"/>
        <v>0</v>
      </c>
      <c r="K795" s="914"/>
      <c r="L795" s="914">
        <f t="shared" si="138"/>
        <v>0</v>
      </c>
      <c r="M795" s="914"/>
      <c r="N795" s="914">
        <f t="shared" si="139"/>
        <v>0</v>
      </c>
      <c r="O795" s="914"/>
      <c r="P795" s="914">
        <f t="shared" si="140"/>
        <v>0</v>
      </c>
      <c r="Q795" s="914"/>
      <c r="R795" s="914">
        <f t="shared" si="141"/>
        <v>0</v>
      </c>
      <c r="S795" s="914"/>
      <c r="T795" s="914">
        <f t="shared" si="142"/>
        <v>0</v>
      </c>
      <c r="U795" s="915">
        <f t="shared" si="135"/>
        <v>0</v>
      </c>
      <c r="V795" s="914">
        <f t="shared" si="134"/>
        <v>0</v>
      </c>
    </row>
    <row r="796" spans="1:22" ht="231.75" hidden="1" customHeight="1">
      <c r="A796" s="905"/>
      <c r="B796" s="1003" t="s">
        <v>5512</v>
      </c>
      <c r="C796" s="913">
        <v>7482</v>
      </c>
      <c r="D796" s="991" t="s">
        <v>2273</v>
      </c>
      <c r="E796" s="914"/>
      <c r="F796" s="1053">
        <f t="shared" si="130"/>
        <v>0</v>
      </c>
      <c r="G796" s="914"/>
      <c r="H796" s="914">
        <f t="shared" si="136"/>
        <v>0</v>
      </c>
      <c r="I796" s="914"/>
      <c r="J796" s="914">
        <f t="shared" si="137"/>
        <v>0</v>
      </c>
      <c r="K796" s="914"/>
      <c r="L796" s="914">
        <f t="shared" si="138"/>
        <v>0</v>
      </c>
      <c r="M796" s="914"/>
      <c r="N796" s="914">
        <f t="shared" si="139"/>
        <v>0</v>
      </c>
      <c r="O796" s="914"/>
      <c r="P796" s="914">
        <f t="shared" si="140"/>
        <v>0</v>
      </c>
      <c r="Q796" s="914"/>
      <c r="R796" s="914">
        <f t="shared" si="141"/>
        <v>0</v>
      </c>
      <c r="S796" s="914"/>
      <c r="T796" s="914">
        <f t="shared" si="142"/>
        <v>0</v>
      </c>
      <c r="U796" s="915">
        <f t="shared" si="135"/>
        <v>0</v>
      </c>
      <c r="V796" s="914">
        <f t="shared" si="134"/>
        <v>0</v>
      </c>
    </row>
    <row r="797" spans="1:22" ht="231.75" hidden="1" customHeight="1">
      <c r="A797" s="905"/>
      <c r="B797" s="949" t="s">
        <v>5513</v>
      </c>
      <c r="C797" s="957">
        <v>2419</v>
      </c>
      <c r="D797" s="1004" t="s">
        <v>2273</v>
      </c>
      <c r="E797" s="919"/>
      <c r="F797" s="1053">
        <f t="shared" si="130"/>
        <v>0</v>
      </c>
      <c r="G797" s="919"/>
      <c r="H797" s="914">
        <f t="shared" si="136"/>
        <v>0</v>
      </c>
      <c r="I797" s="919"/>
      <c r="J797" s="914">
        <f t="shared" si="137"/>
        <v>0</v>
      </c>
      <c r="K797" s="914"/>
      <c r="L797" s="914">
        <f t="shared" si="138"/>
        <v>0</v>
      </c>
      <c r="M797" s="919"/>
      <c r="N797" s="914">
        <f t="shared" si="139"/>
        <v>0</v>
      </c>
      <c r="O797" s="919"/>
      <c r="P797" s="914">
        <f t="shared" si="140"/>
        <v>0</v>
      </c>
      <c r="Q797" s="919"/>
      <c r="R797" s="914">
        <f t="shared" si="141"/>
        <v>0</v>
      </c>
      <c r="S797" s="919"/>
      <c r="T797" s="914">
        <f t="shared" si="142"/>
        <v>0</v>
      </c>
      <c r="U797" s="915">
        <f t="shared" si="135"/>
        <v>0</v>
      </c>
      <c r="V797" s="914">
        <f t="shared" si="134"/>
        <v>0</v>
      </c>
    </row>
    <row r="798" spans="1:22" ht="231.75" hidden="1" customHeight="1">
      <c r="A798" s="905"/>
      <c r="B798" s="949" t="s">
        <v>4711</v>
      </c>
      <c r="C798" s="957"/>
      <c r="D798" s="1004"/>
      <c r="E798" s="919"/>
      <c r="F798" s="1053">
        <f t="shared" si="130"/>
        <v>0</v>
      </c>
      <c r="G798" s="919"/>
      <c r="H798" s="914">
        <f t="shared" si="136"/>
        <v>0</v>
      </c>
      <c r="I798" s="919"/>
      <c r="J798" s="914">
        <f t="shared" si="137"/>
        <v>0</v>
      </c>
      <c r="K798" s="914"/>
      <c r="L798" s="914">
        <f t="shared" si="138"/>
        <v>0</v>
      </c>
      <c r="M798" s="919"/>
      <c r="N798" s="914">
        <f t="shared" si="139"/>
        <v>0</v>
      </c>
      <c r="O798" s="919"/>
      <c r="P798" s="914">
        <f t="shared" si="140"/>
        <v>0</v>
      </c>
      <c r="Q798" s="919"/>
      <c r="R798" s="914">
        <f t="shared" si="141"/>
        <v>0</v>
      </c>
      <c r="S798" s="919"/>
      <c r="T798" s="914">
        <f t="shared" si="142"/>
        <v>0</v>
      </c>
      <c r="U798" s="915">
        <f t="shared" si="135"/>
        <v>0</v>
      </c>
      <c r="V798" s="914">
        <f t="shared" si="134"/>
        <v>0</v>
      </c>
    </row>
    <row r="799" spans="1:22" ht="231.75" hidden="1" customHeight="1">
      <c r="A799" s="905"/>
      <c r="B799" s="1003" t="s">
        <v>3588</v>
      </c>
      <c r="C799" s="959"/>
      <c r="D799" s="961"/>
      <c r="E799" s="911"/>
      <c r="F799" s="1053">
        <f t="shared" si="130"/>
        <v>0</v>
      </c>
      <c r="G799" s="914"/>
      <c r="H799" s="914">
        <f t="shared" si="136"/>
        <v>0</v>
      </c>
      <c r="I799" s="914"/>
      <c r="J799" s="914">
        <f t="shared" si="137"/>
        <v>0</v>
      </c>
      <c r="K799" s="914"/>
      <c r="L799" s="914">
        <f t="shared" si="138"/>
        <v>0</v>
      </c>
      <c r="M799" s="914"/>
      <c r="N799" s="914">
        <f t="shared" si="139"/>
        <v>0</v>
      </c>
      <c r="O799" s="914"/>
      <c r="P799" s="914">
        <f t="shared" si="140"/>
        <v>0</v>
      </c>
      <c r="Q799" s="914"/>
      <c r="R799" s="914">
        <f t="shared" si="141"/>
        <v>0</v>
      </c>
      <c r="S799" s="914"/>
      <c r="T799" s="914">
        <f t="shared" si="142"/>
        <v>0</v>
      </c>
      <c r="U799" s="915">
        <f t="shared" si="135"/>
        <v>0</v>
      </c>
      <c r="V799" s="914">
        <f t="shared" si="134"/>
        <v>0</v>
      </c>
    </row>
    <row r="800" spans="1:22" ht="231.75" hidden="1" customHeight="1">
      <c r="A800" s="905"/>
      <c r="B800" s="941" t="s">
        <v>4375</v>
      </c>
      <c r="C800" s="1005">
        <f>DATA!X3596</f>
        <v>3045.27</v>
      </c>
      <c r="D800" s="1006" t="s">
        <v>2273</v>
      </c>
      <c r="E800" s="919"/>
      <c r="F800" s="1053">
        <f t="shared" si="130"/>
        <v>0</v>
      </c>
      <c r="G800" s="919"/>
      <c r="H800" s="914">
        <f t="shared" si="136"/>
        <v>0</v>
      </c>
      <c r="I800" s="919"/>
      <c r="J800" s="914">
        <f t="shared" si="137"/>
        <v>0</v>
      </c>
      <c r="K800" s="914"/>
      <c r="L800" s="914">
        <f t="shared" si="138"/>
        <v>0</v>
      </c>
      <c r="M800" s="919"/>
      <c r="N800" s="914">
        <f t="shared" si="139"/>
        <v>0</v>
      </c>
      <c r="O800" s="919"/>
      <c r="P800" s="914">
        <f t="shared" si="140"/>
        <v>0</v>
      </c>
      <c r="Q800" s="919"/>
      <c r="R800" s="914">
        <f t="shared" si="141"/>
        <v>0</v>
      </c>
      <c r="S800" s="919"/>
      <c r="T800" s="914">
        <f t="shared" si="142"/>
        <v>0</v>
      </c>
      <c r="U800" s="915">
        <f t="shared" si="135"/>
        <v>0</v>
      </c>
      <c r="V800" s="914">
        <f t="shared" si="134"/>
        <v>0</v>
      </c>
    </row>
    <row r="801" spans="1:22" ht="231.75" hidden="1" customHeight="1">
      <c r="A801" s="905"/>
      <c r="B801" s="941" t="s">
        <v>4717</v>
      </c>
      <c r="C801" s="1005">
        <f>DATA!X3613</f>
        <v>3061.39</v>
      </c>
      <c r="D801" s="961" t="s">
        <v>2273</v>
      </c>
      <c r="E801" s="919"/>
      <c r="F801" s="1053">
        <f t="shared" si="130"/>
        <v>0</v>
      </c>
      <c r="G801" s="919"/>
      <c r="H801" s="914">
        <f t="shared" si="136"/>
        <v>0</v>
      </c>
      <c r="I801" s="919"/>
      <c r="J801" s="914">
        <f t="shared" si="137"/>
        <v>0</v>
      </c>
      <c r="K801" s="914"/>
      <c r="L801" s="914">
        <f t="shared" si="138"/>
        <v>0</v>
      </c>
      <c r="M801" s="919"/>
      <c r="N801" s="914">
        <f t="shared" si="139"/>
        <v>0</v>
      </c>
      <c r="O801" s="919"/>
      <c r="P801" s="914">
        <f t="shared" si="140"/>
        <v>0</v>
      </c>
      <c r="Q801" s="919"/>
      <c r="R801" s="914">
        <f t="shared" si="141"/>
        <v>0</v>
      </c>
      <c r="S801" s="919"/>
      <c r="T801" s="914">
        <f t="shared" si="142"/>
        <v>0</v>
      </c>
      <c r="U801" s="915">
        <f t="shared" si="135"/>
        <v>0</v>
      </c>
      <c r="V801" s="914">
        <f t="shared" si="134"/>
        <v>0</v>
      </c>
    </row>
    <row r="802" spans="1:22" ht="231.75" hidden="1" customHeight="1">
      <c r="A802" s="905"/>
      <c r="B802" s="941" t="s">
        <v>4376</v>
      </c>
      <c r="C802" s="1005">
        <f>DATA!X3581</f>
        <v>3087.68</v>
      </c>
      <c r="D802" s="961" t="s">
        <v>2273</v>
      </c>
      <c r="E802" s="919"/>
      <c r="F802" s="1053">
        <f t="shared" si="130"/>
        <v>0</v>
      </c>
      <c r="G802" s="919"/>
      <c r="H802" s="914">
        <f t="shared" si="136"/>
        <v>0</v>
      </c>
      <c r="I802" s="919"/>
      <c r="J802" s="914">
        <f t="shared" si="137"/>
        <v>0</v>
      </c>
      <c r="K802" s="914"/>
      <c r="L802" s="914">
        <f t="shared" si="138"/>
        <v>0</v>
      </c>
      <c r="M802" s="919"/>
      <c r="N802" s="914">
        <f t="shared" si="139"/>
        <v>0</v>
      </c>
      <c r="O802" s="919"/>
      <c r="P802" s="914">
        <f t="shared" si="140"/>
        <v>0</v>
      </c>
      <c r="Q802" s="919"/>
      <c r="R802" s="914">
        <f t="shared" si="141"/>
        <v>0</v>
      </c>
      <c r="S802" s="919"/>
      <c r="T802" s="914">
        <f t="shared" si="142"/>
        <v>0</v>
      </c>
      <c r="U802" s="915">
        <f t="shared" si="135"/>
        <v>0</v>
      </c>
      <c r="V802" s="914">
        <f t="shared" si="134"/>
        <v>0</v>
      </c>
    </row>
    <row r="803" spans="1:22" ht="231.75" hidden="1" customHeight="1">
      <c r="A803" s="905"/>
      <c r="B803" s="941" t="s">
        <v>4718</v>
      </c>
      <c r="C803" s="1005">
        <f>DATA!X3565</f>
        <v>3161.99</v>
      </c>
      <c r="D803" s="961" t="s">
        <v>2273</v>
      </c>
      <c r="E803" s="919"/>
      <c r="F803" s="1053">
        <f t="shared" ref="F803:F866" si="143">E803*C803</f>
        <v>0</v>
      </c>
      <c r="G803" s="919"/>
      <c r="H803" s="914">
        <f t="shared" si="136"/>
        <v>0</v>
      </c>
      <c r="I803" s="919"/>
      <c r="J803" s="914">
        <f t="shared" si="137"/>
        <v>0</v>
      </c>
      <c r="K803" s="914"/>
      <c r="L803" s="914">
        <f t="shared" si="138"/>
        <v>0</v>
      </c>
      <c r="M803" s="919"/>
      <c r="N803" s="914">
        <f t="shared" si="139"/>
        <v>0</v>
      </c>
      <c r="O803" s="919"/>
      <c r="P803" s="914">
        <f t="shared" si="140"/>
        <v>0</v>
      </c>
      <c r="Q803" s="919"/>
      <c r="R803" s="914">
        <f t="shared" si="141"/>
        <v>0</v>
      </c>
      <c r="S803" s="919"/>
      <c r="T803" s="914">
        <f t="shared" si="142"/>
        <v>0</v>
      </c>
      <c r="U803" s="915">
        <f t="shared" si="135"/>
        <v>0</v>
      </c>
      <c r="V803" s="914">
        <f t="shared" si="134"/>
        <v>0</v>
      </c>
    </row>
    <row r="804" spans="1:22" ht="231.75" hidden="1" customHeight="1">
      <c r="A804" s="905"/>
      <c r="B804" s="941" t="s">
        <v>4377</v>
      </c>
      <c r="C804" s="1005">
        <f>DATA!K3533</f>
        <v>3295.07</v>
      </c>
      <c r="D804" s="961" t="s">
        <v>2273</v>
      </c>
      <c r="E804" s="919"/>
      <c r="F804" s="1053">
        <f t="shared" si="143"/>
        <v>0</v>
      </c>
      <c r="G804" s="919"/>
      <c r="H804" s="914">
        <f t="shared" si="136"/>
        <v>0</v>
      </c>
      <c r="I804" s="919"/>
      <c r="J804" s="914">
        <f t="shared" si="137"/>
        <v>0</v>
      </c>
      <c r="K804" s="914"/>
      <c r="L804" s="914">
        <f t="shared" si="138"/>
        <v>0</v>
      </c>
      <c r="M804" s="919"/>
      <c r="N804" s="914">
        <f t="shared" si="139"/>
        <v>0</v>
      </c>
      <c r="O804" s="919"/>
      <c r="P804" s="914">
        <f t="shared" si="140"/>
        <v>0</v>
      </c>
      <c r="Q804" s="919"/>
      <c r="R804" s="914">
        <f t="shared" si="141"/>
        <v>0</v>
      </c>
      <c r="S804" s="919"/>
      <c r="T804" s="914">
        <f t="shared" si="142"/>
        <v>0</v>
      </c>
      <c r="U804" s="915">
        <f t="shared" si="135"/>
        <v>0</v>
      </c>
      <c r="V804" s="914">
        <f t="shared" si="134"/>
        <v>0</v>
      </c>
    </row>
    <row r="805" spans="1:22" ht="231.75" hidden="1" customHeight="1">
      <c r="A805" s="905"/>
      <c r="B805" s="941" t="s">
        <v>4716</v>
      </c>
      <c r="C805" s="1007">
        <f>DATA!X3628</f>
        <v>3319.77</v>
      </c>
      <c r="D805" s="961" t="s">
        <v>2273</v>
      </c>
      <c r="E805" s="919"/>
      <c r="F805" s="1053">
        <f t="shared" si="143"/>
        <v>0</v>
      </c>
      <c r="G805" s="919"/>
      <c r="H805" s="914">
        <f t="shared" si="136"/>
        <v>0</v>
      </c>
      <c r="I805" s="919"/>
      <c r="J805" s="914">
        <f t="shared" si="137"/>
        <v>0</v>
      </c>
      <c r="K805" s="914"/>
      <c r="L805" s="914">
        <f t="shared" si="138"/>
        <v>0</v>
      </c>
      <c r="M805" s="919"/>
      <c r="N805" s="914">
        <f t="shared" si="139"/>
        <v>0</v>
      </c>
      <c r="O805" s="919"/>
      <c r="P805" s="914">
        <f t="shared" si="140"/>
        <v>0</v>
      </c>
      <c r="Q805" s="919"/>
      <c r="R805" s="914">
        <f t="shared" si="141"/>
        <v>0</v>
      </c>
      <c r="S805" s="919"/>
      <c r="T805" s="914">
        <f t="shared" si="142"/>
        <v>0</v>
      </c>
      <c r="U805" s="915">
        <f t="shared" si="135"/>
        <v>0</v>
      </c>
      <c r="V805" s="914">
        <f t="shared" si="134"/>
        <v>0</v>
      </c>
    </row>
    <row r="806" spans="1:22" ht="231.75" hidden="1" customHeight="1">
      <c r="A806" s="905"/>
      <c r="B806" s="941" t="s">
        <v>4378</v>
      </c>
      <c r="C806" s="1005">
        <f>DATA!K3549</f>
        <v>3012.54</v>
      </c>
      <c r="D806" s="961" t="s">
        <v>2273</v>
      </c>
      <c r="E806" s="919"/>
      <c r="F806" s="1053">
        <f t="shared" si="143"/>
        <v>0</v>
      </c>
      <c r="G806" s="919"/>
      <c r="H806" s="914">
        <f t="shared" si="136"/>
        <v>0</v>
      </c>
      <c r="I806" s="919"/>
      <c r="J806" s="914">
        <f t="shared" si="137"/>
        <v>0</v>
      </c>
      <c r="K806" s="914"/>
      <c r="L806" s="914">
        <f t="shared" si="138"/>
        <v>0</v>
      </c>
      <c r="M806" s="919"/>
      <c r="N806" s="914">
        <f t="shared" si="139"/>
        <v>0</v>
      </c>
      <c r="O806" s="919"/>
      <c r="P806" s="914">
        <f t="shared" si="140"/>
        <v>0</v>
      </c>
      <c r="Q806" s="919"/>
      <c r="R806" s="914">
        <f t="shared" si="141"/>
        <v>0</v>
      </c>
      <c r="S806" s="919"/>
      <c r="T806" s="914">
        <f t="shared" si="142"/>
        <v>0</v>
      </c>
      <c r="U806" s="915">
        <f t="shared" si="135"/>
        <v>0</v>
      </c>
      <c r="V806" s="914">
        <f t="shared" si="134"/>
        <v>0</v>
      </c>
    </row>
    <row r="807" spans="1:22" ht="231.75" hidden="1" customHeight="1">
      <c r="A807" s="905"/>
      <c r="B807" s="941" t="s">
        <v>4379</v>
      </c>
      <c r="C807" s="1005">
        <f>DATA!X3549</f>
        <v>2985.21</v>
      </c>
      <c r="D807" s="961" t="s">
        <v>2273</v>
      </c>
      <c r="E807" s="919"/>
      <c r="F807" s="1053">
        <f t="shared" si="143"/>
        <v>0</v>
      </c>
      <c r="G807" s="919"/>
      <c r="H807" s="914">
        <f t="shared" si="136"/>
        <v>0</v>
      </c>
      <c r="I807" s="919"/>
      <c r="J807" s="914">
        <f t="shared" si="137"/>
        <v>0</v>
      </c>
      <c r="K807" s="914"/>
      <c r="L807" s="914">
        <f t="shared" si="138"/>
        <v>0</v>
      </c>
      <c r="M807" s="919"/>
      <c r="N807" s="914">
        <f t="shared" si="139"/>
        <v>0</v>
      </c>
      <c r="O807" s="919"/>
      <c r="P807" s="914">
        <f t="shared" si="140"/>
        <v>0</v>
      </c>
      <c r="Q807" s="919"/>
      <c r="R807" s="914">
        <f t="shared" si="141"/>
        <v>0</v>
      </c>
      <c r="S807" s="919"/>
      <c r="T807" s="914">
        <f t="shared" si="142"/>
        <v>0</v>
      </c>
      <c r="U807" s="915">
        <f t="shared" si="135"/>
        <v>0</v>
      </c>
      <c r="V807" s="914">
        <f t="shared" si="134"/>
        <v>0</v>
      </c>
    </row>
    <row r="808" spans="1:22" ht="231.75" hidden="1" customHeight="1">
      <c r="A808" s="905"/>
      <c r="B808" s="941" t="s">
        <v>4380</v>
      </c>
      <c r="C808" s="1005">
        <f>DATA!AG3549</f>
        <v>3079.64</v>
      </c>
      <c r="D808" s="961" t="s">
        <v>2273</v>
      </c>
      <c r="E808" s="914"/>
      <c r="F808" s="1053">
        <f t="shared" si="143"/>
        <v>0</v>
      </c>
      <c r="G808" s="914"/>
      <c r="H808" s="914">
        <f t="shared" si="136"/>
        <v>0</v>
      </c>
      <c r="I808" s="914"/>
      <c r="J808" s="914">
        <f t="shared" si="137"/>
        <v>0</v>
      </c>
      <c r="K808" s="914"/>
      <c r="L808" s="914">
        <f t="shared" si="138"/>
        <v>0</v>
      </c>
      <c r="M808" s="914"/>
      <c r="N808" s="914">
        <f t="shared" si="139"/>
        <v>0</v>
      </c>
      <c r="O808" s="914"/>
      <c r="P808" s="914">
        <f t="shared" si="140"/>
        <v>0</v>
      </c>
      <c r="Q808" s="914"/>
      <c r="R808" s="914">
        <f t="shared" si="141"/>
        <v>0</v>
      </c>
      <c r="S808" s="914"/>
      <c r="T808" s="914">
        <f t="shared" si="142"/>
        <v>0</v>
      </c>
      <c r="U808" s="915">
        <f t="shared" si="135"/>
        <v>0</v>
      </c>
      <c r="V808" s="914">
        <f t="shared" si="134"/>
        <v>0</v>
      </c>
    </row>
    <row r="809" spans="1:22" ht="231.75" hidden="1" customHeight="1">
      <c r="A809" s="905"/>
      <c r="B809" s="941" t="s">
        <v>4719</v>
      </c>
      <c r="C809" s="1005">
        <f>DATA!AD3629</f>
        <v>2594.48</v>
      </c>
      <c r="D809" s="961" t="s">
        <v>2273</v>
      </c>
      <c r="E809" s="919"/>
      <c r="F809" s="1053">
        <f t="shared" si="143"/>
        <v>0</v>
      </c>
      <c r="G809" s="919"/>
      <c r="H809" s="914">
        <f t="shared" si="136"/>
        <v>0</v>
      </c>
      <c r="I809" s="919"/>
      <c r="J809" s="914">
        <f t="shared" si="137"/>
        <v>0</v>
      </c>
      <c r="K809" s="914"/>
      <c r="L809" s="914">
        <f t="shared" si="138"/>
        <v>0</v>
      </c>
      <c r="M809" s="919"/>
      <c r="N809" s="914">
        <f t="shared" si="139"/>
        <v>0</v>
      </c>
      <c r="O809" s="919"/>
      <c r="P809" s="914">
        <f t="shared" si="140"/>
        <v>0</v>
      </c>
      <c r="Q809" s="919"/>
      <c r="R809" s="914">
        <f t="shared" si="141"/>
        <v>0</v>
      </c>
      <c r="S809" s="919"/>
      <c r="T809" s="914">
        <f t="shared" si="142"/>
        <v>0</v>
      </c>
      <c r="U809" s="915">
        <f t="shared" si="135"/>
        <v>0</v>
      </c>
      <c r="V809" s="914">
        <f t="shared" si="134"/>
        <v>0</v>
      </c>
    </row>
    <row r="810" spans="1:22" ht="231.75" hidden="1" customHeight="1">
      <c r="A810" s="905"/>
      <c r="B810" s="906" t="s">
        <v>3568</v>
      </c>
      <c r="C810" s="913">
        <f>DATA!K2353</f>
        <v>32.85</v>
      </c>
      <c r="D810" s="972" t="s">
        <v>2273</v>
      </c>
      <c r="E810" s="919"/>
      <c r="F810" s="1053">
        <f t="shared" si="143"/>
        <v>0</v>
      </c>
      <c r="G810" s="919"/>
      <c r="H810" s="914">
        <f t="shared" si="136"/>
        <v>0</v>
      </c>
      <c r="I810" s="919"/>
      <c r="J810" s="914">
        <f t="shared" si="137"/>
        <v>0</v>
      </c>
      <c r="K810" s="914"/>
      <c r="L810" s="914">
        <f t="shared" si="138"/>
        <v>0</v>
      </c>
      <c r="M810" s="919"/>
      <c r="N810" s="914">
        <f t="shared" si="139"/>
        <v>0</v>
      </c>
      <c r="O810" s="919"/>
      <c r="P810" s="914">
        <f t="shared" si="140"/>
        <v>0</v>
      </c>
      <c r="Q810" s="919"/>
      <c r="R810" s="914">
        <f t="shared" si="141"/>
        <v>0</v>
      </c>
      <c r="S810" s="919"/>
      <c r="T810" s="914">
        <f t="shared" si="142"/>
        <v>0</v>
      </c>
      <c r="U810" s="915">
        <f t="shared" si="135"/>
        <v>0</v>
      </c>
      <c r="V810" s="914">
        <f t="shared" si="134"/>
        <v>0</v>
      </c>
    </row>
    <row r="811" spans="1:22" ht="231.75" hidden="1" customHeight="1">
      <c r="A811" s="905"/>
      <c r="B811" s="1003" t="s">
        <v>4700</v>
      </c>
      <c r="C811" s="913"/>
      <c r="D811" s="972"/>
      <c r="E811" s="911"/>
      <c r="F811" s="1053">
        <f t="shared" si="143"/>
        <v>0</v>
      </c>
      <c r="G811" s="914"/>
      <c r="H811" s="914">
        <f t="shared" si="136"/>
        <v>0</v>
      </c>
      <c r="I811" s="914"/>
      <c r="J811" s="914">
        <f t="shared" si="137"/>
        <v>0</v>
      </c>
      <c r="K811" s="914"/>
      <c r="L811" s="914">
        <f t="shared" si="138"/>
        <v>0</v>
      </c>
      <c r="M811" s="914"/>
      <c r="N811" s="914">
        <f t="shared" si="139"/>
        <v>0</v>
      </c>
      <c r="O811" s="914"/>
      <c r="P811" s="914">
        <f t="shared" si="140"/>
        <v>0</v>
      </c>
      <c r="Q811" s="914"/>
      <c r="R811" s="914">
        <f t="shared" si="141"/>
        <v>0</v>
      </c>
      <c r="S811" s="914"/>
      <c r="T811" s="914">
        <f t="shared" si="142"/>
        <v>0</v>
      </c>
      <c r="U811" s="915">
        <f t="shared" si="135"/>
        <v>0</v>
      </c>
      <c r="V811" s="914">
        <f t="shared" si="134"/>
        <v>0</v>
      </c>
    </row>
    <row r="812" spans="1:22" ht="231.75" hidden="1" customHeight="1">
      <c r="A812" s="905"/>
      <c r="B812" s="906" t="s">
        <v>1247</v>
      </c>
      <c r="C812" s="913">
        <f>DATA!AD1197</f>
        <v>1962.77</v>
      </c>
      <c r="D812" s="972" t="s">
        <v>2273</v>
      </c>
      <c r="E812" s="914"/>
      <c r="F812" s="1053">
        <f t="shared" si="143"/>
        <v>0</v>
      </c>
      <c r="G812" s="914"/>
      <c r="H812" s="914">
        <f t="shared" si="136"/>
        <v>0</v>
      </c>
      <c r="I812" s="914"/>
      <c r="J812" s="914">
        <f t="shared" si="137"/>
        <v>0</v>
      </c>
      <c r="K812" s="914"/>
      <c r="L812" s="914">
        <f t="shared" si="138"/>
        <v>0</v>
      </c>
      <c r="M812" s="914"/>
      <c r="N812" s="914">
        <f t="shared" si="139"/>
        <v>0</v>
      </c>
      <c r="O812" s="914"/>
      <c r="P812" s="914">
        <f t="shared" si="140"/>
        <v>0</v>
      </c>
      <c r="Q812" s="914"/>
      <c r="R812" s="914">
        <f t="shared" si="141"/>
        <v>0</v>
      </c>
      <c r="S812" s="914"/>
      <c r="T812" s="914">
        <f t="shared" si="142"/>
        <v>0</v>
      </c>
      <c r="U812" s="915">
        <f t="shared" si="135"/>
        <v>0</v>
      </c>
      <c r="V812" s="914">
        <f t="shared" si="134"/>
        <v>0</v>
      </c>
    </row>
    <row r="813" spans="1:22" ht="231.75" hidden="1" customHeight="1">
      <c r="A813" s="905"/>
      <c r="B813" s="906" t="s">
        <v>1381</v>
      </c>
      <c r="C813" s="913">
        <f>DATA!AD1198</f>
        <v>1967.49</v>
      </c>
      <c r="D813" s="972" t="s">
        <v>2273</v>
      </c>
      <c r="E813" s="919"/>
      <c r="F813" s="1053">
        <f t="shared" si="143"/>
        <v>0</v>
      </c>
      <c r="G813" s="919"/>
      <c r="H813" s="914">
        <f t="shared" si="136"/>
        <v>0</v>
      </c>
      <c r="I813" s="919"/>
      <c r="J813" s="914">
        <f t="shared" si="137"/>
        <v>0</v>
      </c>
      <c r="K813" s="914"/>
      <c r="L813" s="914">
        <f t="shared" si="138"/>
        <v>0</v>
      </c>
      <c r="M813" s="919"/>
      <c r="N813" s="914">
        <f t="shared" si="139"/>
        <v>0</v>
      </c>
      <c r="O813" s="919"/>
      <c r="P813" s="914">
        <f t="shared" si="140"/>
        <v>0</v>
      </c>
      <c r="Q813" s="919"/>
      <c r="R813" s="914">
        <f t="shared" si="141"/>
        <v>0</v>
      </c>
      <c r="S813" s="919"/>
      <c r="T813" s="914">
        <f t="shared" si="142"/>
        <v>0</v>
      </c>
      <c r="U813" s="915">
        <f t="shared" si="135"/>
        <v>0</v>
      </c>
      <c r="V813" s="914">
        <f t="shared" si="134"/>
        <v>0</v>
      </c>
    </row>
    <row r="814" spans="1:22" ht="231.75" hidden="1" customHeight="1">
      <c r="A814" s="905"/>
      <c r="B814" s="906" t="s">
        <v>1429</v>
      </c>
      <c r="C814" s="913">
        <f>DATA!AD1199</f>
        <v>1972.21</v>
      </c>
      <c r="D814" s="972" t="s">
        <v>2273</v>
      </c>
      <c r="E814" s="919"/>
      <c r="F814" s="1053">
        <f t="shared" si="143"/>
        <v>0</v>
      </c>
      <c r="G814" s="919"/>
      <c r="H814" s="914">
        <f t="shared" si="136"/>
        <v>0</v>
      </c>
      <c r="I814" s="919"/>
      <c r="J814" s="914">
        <f t="shared" si="137"/>
        <v>0</v>
      </c>
      <c r="K814" s="914"/>
      <c r="L814" s="914">
        <f t="shared" si="138"/>
        <v>0</v>
      </c>
      <c r="M814" s="919"/>
      <c r="N814" s="914">
        <f t="shared" si="139"/>
        <v>0</v>
      </c>
      <c r="O814" s="919"/>
      <c r="P814" s="914">
        <f t="shared" si="140"/>
        <v>0</v>
      </c>
      <c r="Q814" s="919"/>
      <c r="R814" s="914">
        <f t="shared" si="141"/>
        <v>0</v>
      </c>
      <c r="S814" s="919"/>
      <c r="T814" s="914">
        <f t="shared" si="142"/>
        <v>0</v>
      </c>
      <c r="U814" s="915">
        <f t="shared" si="135"/>
        <v>0</v>
      </c>
      <c r="V814" s="914">
        <f t="shared" si="134"/>
        <v>0</v>
      </c>
    </row>
    <row r="815" spans="1:22" ht="231.75" hidden="1" customHeight="1">
      <c r="A815" s="905"/>
      <c r="B815" s="906" t="s">
        <v>1319</v>
      </c>
      <c r="C815" s="913">
        <f>DATA!AD1200</f>
        <v>1976.93</v>
      </c>
      <c r="D815" s="972" t="s">
        <v>2273</v>
      </c>
      <c r="E815" s="919"/>
      <c r="F815" s="1053">
        <f t="shared" si="143"/>
        <v>0</v>
      </c>
      <c r="G815" s="919"/>
      <c r="H815" s="914">
        <f t="shared" si="136"/>
        <v>0</v>
      </c>
      <c r="I815" s="919"/>
      <c r="J815" s="914">
        <f t="shared" si="137"/>
        <v>0</v>
      </c>
      <c r="K815" s="914"/>
      <c r="L815" s="914">
        <f t="shared" si="138"/>
        <v>0</v>
      </c>
      <c r="M815" s="919"/>
      <c r="N815" s="914">
        <f t="shared" si="139"/>
        <v>0</v>
      </c>
      <c r="O815" s="919"/>
      <c r="P815" s="914">
        <f t="shared" si="140"/>
        <v>0</v>
      </c>
      <c r="Q815" s="919"/>
      <c r="R815" s="914">
        <f t="shared" si="141"/>
        <v>0</v>
      </c>
      <c r="S815" s="919"/>
      <c r="T815" s="914">
        <f t="shared" si="142"/>
        <v>0</v>
      </c>
      <c r="U815" s="915">
        <f t="shared" si="135"/>
        <v>0</v>
      </c>
      <c r="V815" s="914">
        <f t="shared" si="134"/>
        <v>0</v>
      </c>
    </row>
    <row r="816" spans="1:22" ht="231.75" hidden="1" customHeight="1">
      <c r="A816" s="916"/>
      <c r="B816" s="1008" t="s">
        <v>4657</v>
      </c>
      <c r="C816" s="918"/>
      <c r="D816" s="978"/>
      <c r="E816" s="945"/>
      <c r="F816" s="1053">
        <f t="shared" si="143"/>
        <v>0</v>
      </c>
      <c r="G816" s="919"/>
      <c r="H816" s="914">
        <f t="shared" si="136"/>
        <v>0</v>
      </c>
      <c r="I816" s="919"/>
      <c r="J816" s="914">
        <f t="shared" si="137"/>
        <v>0</v>
      </c>
      <c r="K816" s="914"/>
      <c r="L816" s="914">
        <f t="shared" si="138"/>
        <v>0</v>
      </c>
      <c r="M816" s="919"/>
      <c r="N816" s="914">
        <f t="shared" si="139"/>
        <v>0</v>
      </c>
      <c r="O816" s="919"/>
      <c r="P816" s="914">
        <f t="shared" si="140"/>
        <v>0</v>
      </c>
      <c r="Q816" s="919"/>
      <c r="R816" s="914">
        <f t="shared" si="141"/>
        <v>0</v>
      </c>
      <c r="S816" s="919"/>
      <c r="T816" s="914">
        <f t="shared" si="142"/>
        <v>0</v>
      </c>
      <c r="U816" s="915">
        <f t="shared" si="135"/>
        <v>0</v>
      </c>
      <c r="V816" s="914">
        <f t="shared" si="134"/>
        <v>0</v>
      </c>
    </row>
    <row r="817" spans="1:22" s="920" customFormat="1" ht="231.75" hidden="1" customHeight="1">
      <c r="A817" s="916"/>
      <c r="B817" s="917" t="s">
        <v>1247</v>
      </c>
      <c r="C817" s="918">
        <f>DATA!AK1197</f>
        <v>1110.57</v>
      </c>
      <c r="D817" s="978" t="s">
        <v>2273</v>
      </c>
      <c r="E817" s="919"/>
      <c r="F817" s="1053">
        <f t="shared" si="143"/>
        <v>0</v>
      </c>
      <c r="G817" s="919"/>
      <c r="H817" s="914">
        <f t="shared" si="136"/>
        <v>0</v>
      </c>
      <c r="I817" s="919"/>
      <c r="J817" s="914">
        <f t="shared" si="137"/>
        <v>0</v>
      </c>
      <c r="K817" s="914"/>
      <c r="L817" s="914">
        <f t="shared" si="138"/>
        <v>0</v>
      </c>
      <c r="M817" s="919"/>
      <c r="N817" s="914">
        <f t="shared" si="139"/>
        <v>0</v>
      </c>
      <c r="O817" s="919"/>
      <c r="P817" s="914">
        <f t="shared" si="140"/>
        <v>0</v>
      </c>
      <c r="Q817" s="919"/>
      <c r="R817" s="914">
        <f t="shared" si="141"/>
        <v>0</v>
      </c>
      <c r="S817" s="919"/>
      <c r="T817" s="914">
        <f t="shared" si="142"/>
        <v>0</v>
      </c>
      <c r="U817" s="915">
        <f t="shared" si="135"/>
        <v>0</v>
      </c>
      <c r="V817" s="914">
        <f t="shared" si="134"/>
        <v>0</v>
      </c>
    </row>
    <row r="818" spans="1:22" s="920" customFormat="1" ht="231.75" hidden="1" customHeight="1">
      <c r="A818" s="916"/>
      <c r="B818" s="917" t="s">
        <v>1381</v>
      </c>
      <c r="C818" s="918">
        <f>DATA!AK1198</f>
        <v>1112.93</v>
      </c>
      <c r="D818" s="978" t="s">
        <v>2273</v>
      </c>
      <c r="E818" s="919"/>
      <c r="F818" s="1053">
        <f t="shared" si="143"/>
        <v>0</v>
      </c>
      <c r="G818" s="919"/>
      <c r="H818" s="914">
        <f t="shared" si="136"/>
        <v>0</v>
      </c>
      <c r="I818" s="919"/>
      <c r="J818" s="914">
        <f t="shared" si="137"/>
        <v>0</v>
      </c>
      <c r="K818" s="914"/>
      <c r="L818" s="914">
        <f t="shared" si="138"/>
        <v>0</v>
      </c>
      <c r="M818" s="919"/>
      <c r="N818" s="914">
        <f t="shared" si="139"/>
        <v>0</v>
      </c>
      <c r="O818" s="919"/>
      <c r="P818" s="914">
        <f t="shared" si="140"/>
        <v>0</v>
      </c>
      <c r="Q818" s="919"/>
      <c r="R818" s="914">
        <f t="shared" si="141"/>
        <v>0</v>
      </c>
      <c r="S818" s="919"/>
      <c r="T818" s="914">
        <f t="shared" si="142"/>
        <v>0</v>
      </c>
      <c r="U818" s="915">
        <f t="shared" si="135"/>
        <v>0</v>
      </c>
      <c r="V818" s="914">
        <f t="shared" si="134"/>
        <v>0</v>
      </c>
    </row>
    <row r="819" spans="1:22" s="920" customFormat="1" ht="231.75" hidden="1" customHeight="1">
      <c r="A819" s="916"/>
      <c r="B819" s="917" t="s">
        <v>1429</v>
      </c>
      <c r="C819" s="918">
        <f>DATA!AK1199</f>
        <v>1115.29</v>
      </c>
      <c r="D819" s="978" t="s">
        <v>2273</v>
      </c>
      <c r="E819" s="919"/>
      <c r="F819" s="1053">
        <f t="shared" si="143"/>
        <v>0</v>
      </c>
      <c r="G819" s="919"/>
      <c r="H819" s="914">
        <f t="shared" si="136"/>
        <v>0</v>
      </c>
      <c r="I819" s="919"/>
      <c r="J819" s="914">
        <f t="shared" si="137"/>
        <v>0</v>
      </c>
      <c r="K819" s="914"/>
      <c r="L819" s="914">
        <f t="shared" si="138"/>
        <v>0</v>
      </c>
      <c r="M819" s="919"/>
      <c r="N819" s="914">
        <f t="shared" si="139"/>
        <v>0</v>
      </c>
      <c r="O819" s="919"/>
      <c r="P819" s="914">
        <f t="shared" si="140"/>
        <v>0</v>
      </c>
      <c r="Q819" s="919"/>
      <c r="R819" s="914">
        <f t="shared" si="141"/>
        <v>0</v>
      </c>
      <c r="S819" s="919"/>
      <c r="T819" s="914">
        <f t="shared" si="142"/>
        <v>0</v>
      </c>
      <c r="U819" s="915">
        <f t="shared" si="135"/>
        <v>0</v>
      </c>
      <c r="V819" s="914">
        <f t="shared" si="134"/>
        <v>0</v>
      </c>
    </row>
    <row r="820" spans="1:22" s="920" customFormat="1" ht="231.75" hidden="1" customHeight="1">
      <c r="A820" s="916"/>
      <c r="B820" s="917" t="s">
        <v>4235</v>
      </c>
      <c r="C820" s="918">
        <f>DATA!AK1200</f>
        <v>1117.24</v>
      </c>
      <c r="D820" s="978" t="s">
        <v>2273</v>
      </c>
      <c r="E820" s="919"/>
      <c r="F820" s="1053">
        <f t="shared" si="143"/>
        <v>0</v>
      </c>
      <c r="G820" s="919"/>
      <c r="H820" s="914">
        <f t="shared" si="136"/>
        <v>0</v>
      </c>
      <c r="I820" s="919"/>
      <c r="J820" s="914">
        <f t="shared" si="137"/>
        <v>0</v>
      </c>
      <c r="K820" s="914"/>
      <c r="L820" s="914">
        <f t="shared" si="138"/>
        <v>0</v>
      </c>
      <c r="M820" s="919"/>
      <c r="N820" s="914">
        <f t="shared" si="139"/>
        <v>0</v>
      </c>
      <c r="O820" s="919"/>
      <c r="P820" s="914">
        <f t="shared" si="140"/>
        <v>0</v>
      </c>
      <c r="Q820" s="919"/>
      <c r="R820" s="914">
        <f t="shared" si="141"/>
        <v>0</v>
      </c>
      <c r="S820" s="919"/>
      <c r="T820" s="914">
        <f t="shared" si="142"/>
        <v>0</v>
      </c>
      <c r="U820" s="915">
        <f t="shared" si="135"/>
        <v>0</v>
      </c>
      <c r="V820" s="914">
        <f t="shared" si="134"/>
        <v>0</v>
      </c>
    </row>
    <row r="821" spans="1:22" s="920" customFormat="1" ht="231.75" hidden="1" customHeight="1">
      <c r="A821" s="905"/>
      <c r="B821" s="992" t="s">
        <v>3791</v>
      </c>
      <c r="C821" s="959"/>
      <c r="D821" s="961"/>
      <c r="E821" s="919"/>
      <c r="F821" s="1053">
        <f t="shared" si="143"/>
        <v>0</v>
      </c>
      <c r="G821" s="919"/>
      <c r="H821" s="914">
        <f t="shared" si="136"/>
        <v>0</v>
      </c>
      <c r="I821" s="919"/>
      <c r="J821" s="914">
        <f t="shared" si="137"/>
        <v>0</v>
      </c>
      <c r="K821" s="914"/>
      <c r="L821" s="914">
        <f t="shared" si="138"/>
        <v>0</v>
      </c>
      <c r="M821" s="919"/>
      <c r="N821" s="914">
        <f t="shared" si="139"/>
        <v>0</v>
      </c>
      <c r="O821" s="919"/>
      <c r="P821" s="914">
        <f t="shared" si="140"/>
        <v>0</v>
      </c>
      <c r="Q821" s="919"/>
      <c r="R821" s="914">
        <f t="shared" si="141"/>
        <v>0</v>
      </c>
      <c r="S821" s="919"/>
      <c r="T821" s="914">
        <f t="shared" si="142"/>
        <v>0</v>
      </c>
      <c r="U821" s="915">
        <f t="shared" si="135"/>
        <v>0</v>
      </c>
      <c r="V821" s="914">
        <f t="shared" si="134"/>
        <v>0</v>
      </c>
    </row>
    <row r="822" spans="1:22" ht="231.75" hidden="1" customHeight="1">
      <c r="A822" s="905"/>
      <c r="B822" s="1009" t="s">
        <v>4362</v>
      </c>
      <c r="C822" s="959">
        <f>DATA!R1486</f>
        <v>5118.3999999999996</v>
      </c>
      <c r="D822" s="961" t="s">
        <v>2273</v>
      </c>
      <c r="E822" s="919"/>
      <c r="F822" s="1053">
        <f t="shared" si="143"/>
        <v>0</v>
      </c>
      <c r="G822" s="919"/>
      <c r="H822" s="914">
        <f t="shared" si="136"/>
        <v>0</v>
      </c>
      <c r="I822" s="919"/>
      <c r="J822" s="914">
        <f t="shared" si="137"/>
        <v>0</v>
      </c>
      <c r="K822" s="914"/>
      <c r="L822" s="914">
        <f t="shared" si="138"/>
        <v>0</v>
      </c>
      <c r="M822" s="919"/>
      <c r="N822" s="914">
        <f t="shared" si="139"/>
        <v>0</v>
      </c>
      <c r="O822" s="919"/>
      <c r="P822" s="914">
        <f t="shared" ref="P822:P845" si="144">O822*C822</f>
        <v>0</v>
      </c>
      <c r="Q822" s="919"/>
      <c r="R822" s="914">
        <f t="shared" ref="R822:R845" si="145">Q822*C822</f>
        <v>0</v>
      </c>
      <c r="S822" s="919"/>
      <c r="T822" s="914">
        <f t="shared" ref="T822:T845" si="146">S822*C822</f>
        <v>0</v>
      </c>
      <c r="U822" s="915">
        <f t="shared" si="135"/>
        <v>0</v>
      </c>
      <c r="V822" s="914">
        <f t="shared" si="134"/>
        <v>0</v>
      </c>
    </row>
    <row r="823" spans="1:22" ht="231.75" hidden="1" customHeight="1">
      <c r="A823" s="905"/>
      <c r="B823" s="1009" t="s">
        <v>4201</v>
      </c>
      <c r="C823" s="959">
        <f>DATA!R1479</f>
        <v>5115.5600000000004</v>
      </c>
      <c r="D823" s="961" t="s">
        <v>2273</v>
      </c>
      <c r="E823" s="919"/>
      <c r="F823" s="1053">
        <f t="shared" si="143"/>
        <v>0</v>
      </c>
      <c r="G823" s="919"/>
      <c r="H823" s="914">
        <f t="shared" si="136"/>
        <v>0</v>
      </c>
      <c r="I823" s="919"/>
      <c r="J823" s="914">
        <f t="shared" si="137"/>
        <v>0</v>
      </c>
      <c r="K823" s="914"/>
      <c r="L823" s="914">
        <f t="shared" si="138"/>
        <v>0</v>
      </c>
      <c r="M823" s="919"/>
      <c r="N823" s="914">
        <f t="shared" si="139"/>
        <v>0</v>
      </c>
      <c r="O823" s="919"/>
      <c r="P823" s="914">
        <f t="shared" si="144"/>
        <v>0</v>
      </c>
      <c r="Q823" s="919"/>
      <c r="R823" s="914">
        <f t="shared" si="145"/>
        <v>0</v>
      </c>
      <c r="S823" s="919"/>
      <c r="T823" s="914">
        <f t="shared" si="146"/>
        <v>0</v>
      </c>
      <c r="U823" s="915">
        <f t="shared" si="135"/>
        <v>0</v>
      </c>
      <c r="V823" s="914">
        <f t="shared" si="134"/>
        <v>0</v>
      </c>
    </row>
    <row r="824" spans="1:22" ht="231.75" hidden="1" customHeight="1">
      <c r="A824" s="905"/>
      <c r="B824" s="1009" t="s">
        <v>3792</v>
      </c>
      <c r="C824" s="959">
        <f>DATA!R1479</f>
        <v>5115.5600000000004</v>
      </c>
      <c r="D824" s="961" t="s">
        <v>2273</v>
      </c>
      <c r="E824" s="919"/>
      <c r="F824" s="1053">
        <f t="shared" si="143"/>
        <v>0</v>
      </c>
      <c r="G824" s="919"/>
      <c r="H824" s="914">
        <f t="shared" si="136"/>
        <v>0</v>
      </c>
      <c r="I824" s="919"/>
      <c r="J824" s="914">
        <f t="shared" si="137"/>
        <v>0</v>
      </c>
      <c r="K824" s="914"/>
      <c r="L824" s="914">
        <f t="shared" si="138"/>
        <v>0</v>
      </c>
      <c r="M824" s="919"/>
      <c r="N824" s="914">
        <f t="shared" si="139"/>
        <v>0</v>
      </c>
      <c r="O824" s="919"/>
      <c r="P824" s="914">
        <f t="shared" si="144"/>
        <v>0</v>
      </c>
      <c r="Q824" s="919"/>
      <c r="R824" s="914">
        <f t="shared" si="145"/>
        <v>0</v>
      </c>
      <c r="S824" s="919"/>
      <c r="T824" s="914">
        <f t="shared" si="146"/>
        <v>0</v>
      </c>
      <c r="U824" s="915">
        <f t="shared" si="135"/>
        <v>0</v>
      </c>
      <c r="V824" s="914">
        <f t="shared" si="134"/>
        <v>0</v>
      </c>
    </row>
    <row r="825" spans="1:22" ht="231.75" hidden="1" customHeight="1">
      <c r="A825" s="905"/>
      <c r="B825" s="1009" t="s">
        <v>3935</v>
      </c>
      <c r="C825" s="959">
        <f>DATA!X1447</f>
        <v>5345.47</v>
      </c>
      <c r="D825" s="961" t="s">
        <v>2273</v>
      </c>
      <c r="E825" s="919"/>
      <c r="F825" s="1053">
        <f t="shared" si="143"/>
        <v>0</v>
      </c>
      <c r="G825" s="919"/>
      <c r="H825" s="914">
        <f t="shared" si="136"/>
        <v>0</v>
      </c>
      <c r="I825" s="919"/>
      <c r="J825" s="914">
        <f t="shared" si="137"/>
        <v>0</v>
      </c>
      <c r="K825" s="914"/>
      <c r="L825" s="914">
        <f t="shared" si="138"/>
        <v>0</v>
      </c>
      <c r="M825" s="919"/>
      <c r="N825" s="914">
        <f t="shared" si="139"/>
        <v>0</v>
      </c>
      <c r="O825" s="919"/>
      <c r="P825" s="914">
        <f t="shared" si="144"/>
        <v>0</v>
      </c>
      <c r="Q825" s="919"/>
      <c r="R825" s="914">
        <f t="shared" si="145"/>
        <v>0</v>
      </c>
      <c r="S825" s="919"/>
      <c r="T825" s="914">
        <f t="shared" si="146"/>
        <v>0</v>
      </c>
      <c r="U825" s="915">
        <f t="shared" si="135"/>
        <v>0</v>
      </c>
      <c r="V825" s="914">
        <f t="shared" si="134"/>
        <v>0</v>
      </c>
    </row>
    <row r="826" spans="1:22" ht="231.75" hidden="1" customHeight="1">
      <c r="A826" s="905"/>
      <c r="B826" s="1009" t="s">
        <v>3934</v>
      </c>
      <c r="C826" s="959">
        <f>DATA!X1440</f>
        <v>5680.39</v>
      </c>
      <c r="D826" s="961" t="s">
        <v>2273</v>
      </c>
      <c r="E826" s="919"/>
      <c r="F826" s="1053">
        <f t="shared" si="143"/>
        <v>0</v>
      </c>
      <c r="G826" s="919"/>
      <c r="H826" s="914">
        <f t="shared" si="136"/>
        <v>0</v>
      </c>
      <c r="I826" s="919"/>
      <c r="J826" s="914">
        <f t="shared" si="137"/>
        <v>0</v>
      </c>
      <c r="K826" s="914"/>
      <c r="L826" s="914">
        <f t="shared" si="138"/>
        <v>0</v>
      </c>
      <c r="M826" s="919"/>
      <c r="N826" s="914">
        <f t="shared" si="139"/>
        <v>0</v>
      </c>
      <c r="O826" s="919"/>
      <c r="P826" s="914">
        <f t="shared" si="144"/>
        <v>0</v>
      </c>
      <c r="Q826" s="919"/>
      <c r="R826" s="914">
        <f t="shared" si="145"/>
        <v>0</v>
      </c>
      <c r="S826" s="919"/>
      <c r="T826" s="914">
        <f t="shared" si="146"/>
        <v>0</v>
      </c>
      <c r="U826" s="915">
        <f t="shared" si="135"/>
        <v>0</v>
      </c>
      <c r="V826" s="914">
        <f t="shared" si="134"/>
        <v>0</v>
      </c>
    </row>
    <row r="827" spans="1:22" ht="231.75" hidden="1" customHeight="1">
      <c r="A827" s="905"/>
      <c r="B827" s="992" t="str">
        <f>'[15]Bldg+Dev'!$B$566</f>
        <v>Supply &amp; Fixing of MS door  (for lockup door )</v>
      </c>
      <c r="C827" s="913"/>
      <c r="D827" s="972"/>
      <c r="E827" s="919"/>
      <c r="F827" s="1053">
        <f t="shared" si="143"/>
        <v>0</v>
      </c>
      <c r="G827" s="919"/>
      <c r="H827" s="914">
        <f t="shared" si="136"/>
        <v>0</v>
      </c>
      <c r="I827" s="919"/>
      <c r="J827" s="914">
        <f t="shared" si="137"/>
        <v>0</v>
      </c>
      <c r="K827" s="914"/>
      <c r="L827" s="914">
        <f t="shared" si="138"/>
        <v>0</v>
      </c>
      <c r="M827" s="919"/>
      <c r="N827" s="914">
        <f t="shared" si="139"/>
        <v>0</v>
      </c>
      <c r="O827" s="919"/>
      <c r="P827" s="914">
        <f t="shared" si="144"/>
        <v>0</v>
      </c>
      <c r="Q827" s="919"/>
      <c r="R827" s="914">
        <f t="shared" si="145"/>
        <v>0</v>
      </c>
      <c r="S827" s="919"/>
      <c r="T827" s="914">
        <f t="shared" si="146"/>
        <v>0</v>
      </c>
      <c r="U827" s="915">
        <f t="shared" si="135"/>
        <v>0</v>
      </c>
      <c r="V827" s="914">
        <f t="shared" si="134"/>
        <v>0</v>
      </c>
    </row>
    <row r="828" spans="1:22" ht="231.75" hidden="1" customHeight="1">
      <c r="A828" s="905"/>
      <c r="B828" s="973" t="s">
        <v>2041</v>
      </c>
      <c r="C828" s="913">
        <f>DATA!K2545</f>
        <v>9385.85</v>
      </c>
      <c r="D828" s="972" t="s">
        <v>1706</v>
      </c>
      <c r="E828" s="919"/>
      <c r="F828" s="1053">
        <f t="shared" si="143"/>
        <v>0</v>
      </c>
      <c r="G828" s="919"/>
      <c r="H828" s="914">
        <f t="shared" si="136"/>
        <v>0</v>
      </c>
      <c r="I828" s="919"/>
      <c r="J828" s="914">
        <f t="shared" si="137"/>
        <v>0</v>
      </c>
      <c r="K828" s="914"/>
      <c r="L828" s="914">
        <f t="shared" si="138"/>
        <v>0</v>
      </c>
      <c r="M828" s="919"/>
      <c r="N828" s="914">
        <f t="shared" si="139"/>
        <v>0</v>
      </c>
      <c r="O828" s="919"/>
      <c r="P828" s="914">
        <f t="shared" si="144"/>
        <v>0</v>
      </c>
      <c r="Q828" s="919"/>
      <c r="R828" s="914">
        <f t="shared" si="145"/>
        <v>0</v>
      </c>
      <c r="S828" s="919"/>
      <c r="T828" s="914">
        <f t="shared" si="146"/>
        <v>0</v>
      </c>
      <c r="U828" s="915">
        <f t="shared" si="135"/>
        <v>0</v>
      </c>
      <c r="V828" s="914">
        <f t="shared" si="134"/>
        <v>0</v>
      </c>
    </row>
    <row r="829" spans="1:22" ht="231.75" hidden="1" customHeight="1">
      <c r="A829" s="905"/>
      <c r="B829" s="973" t="s">
        <v>595</v>
      </c>
      <c r="C829" s="913">
        <f>DATA!K2580</f>
        <v>6112.29</v>
      </c>
      <c r="D829" s="972" t="s">
        <v>1393</v>
      </c>
      <c r="E829" s="919"/>
      <c r="F829" s="1053">
        <f t="shared" si="143"/>
        <v>0</v>
      </c>
      <c r="G829" s="919"/>
      <c r="H829" s="914">
        <f t="shared" si="136"/>
        <v>0</v>
      </c>
      <c r="I829" s="919"/>
      <c r="J829" s="914">
        <f t="shared" si="137"/>
        <v>0</v>
      </c>
      <c r="K829" s="914"/>
      <c r="L829" s="914">
        <f t="shared" si="138"/>
        <v>0</v>
      </c>
      <c r="M829" s="919"/>
      <c r="N829" s="914">
        <f t="shared" si="139"/>
        <v>0</v>
      </c>
      <c r="O829" s="919"/>
      <c r="P829" s="914">
        <f t="shared" si="144"/>
        <v>0</v>
      </c>
      <c r="Q829" s="919"/>
      <c r="R829" s="914">
        <f t="shared" si="145"/>
        <v>0</v>
      </c>
      <c r="S829" s="919"/>
      <c r="T829" s="914">
        <f t="shared" si="146"/>
        <v>0</v>
      </c>
      <c r="U829" s="915">
        <f t="shared" si="135"/>
        <v>0</v>
      </c>
      <c r="V829" s="914">
        <f t="shared" si="134"/>
        <v>0</v>
      </c>
    </row>
    <row r="830" spans="1:22" ht="231.75" hidden="1" customHeight="1">
      <c r="A830" s="905"/>
      <c r="B830" s="994" t="s">
        <v>5780</v>
      </c>
      <c r="C830" s="913"/>
      <c r="D830" s="972"/>
      <c r="E830" s="919"/>
      <c r="F830" s="1053">
        <f t="shared" si="143"/>
        <v>0</v>
      </c>
      <c r="G830" s="919"/>
      <c r="H830" s="914">
        <f t="shared" si="136"/>
        <v>0</v>
      </c>
      <c r="I830" s="919"/>
      <c r="J830" s="914">
        <f t="shared" si="137"/>
        <v>0</v>
      </c>
      <c r="K830" s="914"/>
      <c r="L830" s="914">
        <f t="shared" si="138"/>
        <v>0</v>
      </c>
      <c r="M830" s="919"/>
      <c r="N830" s="914">
        <f t="shared" si="139"/>
        <v>0</v>
      </c>
      <c r="O830" s="919"/>
      <c r="P830" s="914">
        <f t="shared" si="144"/>
        <v>0</v>
      </c>
      <c r="Q830" s="919"/>
      <c r="R830" s="914">
        <f t="shared" si="145"/>
        <v>0</v>
      </c>
      <c r="S830" s="919"/>
      <c r="T830" s="914">
        <f t="shared" si="146"/>
        <v>0</v>
      </c>
      <c r="U830" s="915">
        <f t="shared" si="135"/>
        <v>0</v>
      </c>
      <c r="V830" s="914">
        <f t="shared" si="134"/>
        <v>0</v>
      </c>
    </row>
    <row r="831" spans="1:22" ht="231.75" hidden="1" customHeight="1">
      <c r="A831" s="905"/>
      <c r="B831" s="973" t="s">
        <v>2197</v>
      </c>
      <c r="C831" s="913">
        <f>DATA!K2473</f>
        <v>4297.0600000000004</v>
      </c>
      <c r="D831" s="972" t="s">
        <v>2273</v>
      </c>
      <c r="E831" s="919"/>
      <c r="F831" s="1053">
        <f t="shared" si="143"/>
        <v>0</v>
      </c>
      <c r="G831" s="919"/>
      <c r="H831" s="914">
        <f t="shared" si="136"/>
        <v>0</v>
      </c>
      <c r="I831" s="919"/>
      <c r="J831" s="914">
        <f t="shared" si="137"/>
        <v>0</v>
      </c>
      <c r="K831" s="914"/>
      <c r="L831" s="914">
        <f t="shared" si="138"/>
        <v>0</v>
      </c>
      <c r="M831" s="919"/>
      <c r="N831" s="914">
        <f t="shared" si="139"/>
        <v>0</v>
      </c>
      <c r="O831" s="919"/>
      <c r="P831" s="914">
        <f t="shared" si="144"/>
        <v>0</v>
      </c>
      <c r="Q831" s="919"/>
      <c r="R831" s="914">
        <f t="shared" si="145"/>
        <v>0</v>
      </c>
      <c r="S831" s="919"/>
      <c r="T831" s="914">
        <f t="shared" si="146"/>
        <v>0</v>
      </c>
      <c r="U831" s="915">
        <f t="shared" si="135"/>
        <v>0</v>
      </c>
      <c r="V831" s="914">
        <f t="shared" si="134"/>
        <v>0</v>
      </c>
    </row>
    <row r="832" spans="1:22" ht="231.75" hidden="1" customHeight="1">
      <c r="A832" s="905"/>
      <c r="B832" s="973" t="s">
        <v>4360</v>
      </c>
      <c r="C832" s="959">
        <f>DATA!J3860</f>
        <v>0</v>
      </c>
      <c r="D832" s="961" t="s">
        <v>2273</v>
      </c>
      <c r="E832" s="919"/>
      <c r="F832" s="1053">
        <f t="shared" si="143"/>
        <v>0</v>
      </c>
      <c r="G832" s="919"/>
      <c r="H832" s="914">
        <f t="shared" si="136"/>
        <v>0</v>
      </c>
      <c r="I832" s="919"/>
      <c r="J832" s="914">
        <f t="shared" si="137"/>
        <v>0</v>
      </c>
      <c r="K832" s="914"/>
      <c r="L832" s="914">
        <f t="shared" si="138"/>
        <v>0</v>
      </c>
      <c r="M832" s="919"/>
      <c r="N832" s="914">
        <f t="shared" si="139"/>
        <v>0</v>
      </c>
      <c r="O832" s="919"/>
      <c r="P832" s="914">
        <f t="shared" si="144"/>
        <v>0</v>
      </c>
      <c r="Q832" s="919"/>
      <c r="R832" s="914">
        <f t="shared" si="145"/>
        <v>0</v>
      </c>
      <c r="S832" s="919"/>
      <c r="T832" s="914">
        <f t="shared" si="146"/>
        <v>0</v>
      </c>
      <c r="U832" s="915">
        <f t="shared" si="135"/>
        <v>0</v>
      </c>
      <c r="V832" s="914">
        <f t="shared" si="134"/>
        <v>0</v>
      </c>
    </row>
    <row r="833" spans="1:22" ht="231.75" hidden="1" customHeight="1">
      <c r="A833" s="905"/>
      <c r="B833" s="973" t="s">
        <v>4361</v>
      </c>
      <c r="C833" s="959">
        <f>DATA!R2521</f>
        <v>4348.82</v>
      </c>
      <c r="D833" s="961" t="s">
        <v>2273</v>
      </c>
      <c r="E833" s="919"/>
      <c r="F833" s="1053">
        <f t="shared" si="143"/>
        <v>0</v>
      </c>
      <c r="G833" s="919"/>
      <c r="H833" s="914">
        <f t="shared" si="136"/>
        <v>0</v>
      </c>
      <c r="I833" s="919"/>
      <c r="J833" s="914">
        <f t="shared" si="137"/>
        <v>0</v>
      </c>
      <c r="K833" s="914"/>
      <c r="L833" s="914">
        <f t="shared" si="138"/>
        <v>0</v>
      </c>
      <c r="M833" s="919"/>
      <c r="N833" s="914">
        <f t="shared" si="139"/>
        <v>0</v>
      </c>
      <c r="O833" s="919"/>
      <c r="P833" s="914">
        <f t="shared" si="144"/>
        <v>0</v>
      </c>
      <c r="Q833" s="919"/>
      <c r="R833" s="914">
        <f t="shared" si="145"/>
        <v>0</v>
      </c>
      <c r="S833" s="919"/>
      <c r="T833" s="914">
        <f t="shared" si="146"/>
        <v>0</v>
      </c>
      <c r="U833" s="915">
        <f t="shared" si="135"/>
        <v>0</v>
      </c>
      <c r="V833" s="914">
        <f t="shared" si="134"/>
        <v>0</v>
      </c>
    </row>
    <row r="834" spans="1:22" ht="231.75" hidden="1" customHeight="1">
      <c r="A834" s="905"/>
      <c r="B834" s="973" t="s">
        <v>4079</v>
      </c>
      <c r="C834" s="959">
        <f>DATA!J3881</f>
        <v>0</v>
      </c>
      <c r="D834" s="961" t="s">
        <v>2273</v>
      </c>
      <c r="E834" s="919"/>
      <c r="F834" s="1053">
        <f t="shared" si="143"/>
        <v>0</v>
      </c>
      <c r="G834" s="919"/>
      <c r="H834" s="914">
        <f t="shared" si="136"/>
        <v>0</v>
      </c>
      <c r="I834" s="919"/>
      <c r="J834" s="914">
        <f t="shared" si="137"/>
        <v>0</v>
      </c>
      <c r="K834" s="914"/>
      <c r="L834" s="914">
        <f t="shared" si="138"/>
        <v>0</v>
      </c>
      <c r="M834" s="919"/>
      <c r="N834" s="914">
        <f t="shared" si="139"/>
        <v>0</v>
      </c>
      <c r="O834" s="919"/>
      <c r="P834" s="914">
        <f t="shared" si="144"/>
        <v>0</v>
      </c>
      <c r="Q834" s="919"/>
      <c r="R834" s="914">
        <f t="shared" si="145"/>
        <v>0</v>
      </c>
      <c r="S834" s="919"/>
      <c r="T834" s="914">
        <f t="shared" si="146"/>
        <v>0</v>
      </c>
      <c r="U834" s="915">
        <f t="shared" si="135"/>
        <v>0</v>
      </c>
      <c r="V834" s="914">
        <f t="shared" si="134"/>
        <v>0</v>
      </c>
    </row>
    <row r="835" spans="1:22" ht="231.75" hidden="1" customHeight="1">
      <c r="A835" s="916"/>
      <c r="B835" s="973" t="s">
        <v>596</v>
      </c>
      <c r="C835" s="918">
        <f>C1004</f>
        <v>4881.1899999999996</v>
      </c>
      <c r="D835" s="978" t="s">
        <v>2273</v>
      </c>
      <c r="E835" s="919"/>
      <c r="F835" s="1053">
        <f t="shared" si="143"/>
        <v>0</v>
      </c>
      <c r="G835" s="919"/>
      <c r="H835" s="914">
        <f t="shared" si="136"/>
        <v>0</v>
      </c>
      <c r="I835" s="919"/>
      <c r="J835" s="914">
        <f t="shared" si="137"/>
        <v>0</v>
      </c>
      <c r="K835" s="914"/>
      <c r="L835" s="914">
        <f t="shared" si="138"/>
        <v>0</v>
      </c>
      <c r="M835" s="919"/>
      <c r="N835" s="914">
        <f t="shared" si="139"/>
        <v>0</v>
      </c>
      <c r="O835" s="919"/>
      <c r="P835" s="914">
        <f t="shared" si="144"/>
        <v>0</v>
      </c>
      <c r="Q835" s="919"/>
      <c r="R835" s="914">
        <f t="shared" si="145"/>
        <v>0</v>
      </c>
      <c r="S835" s="919"/>
      <c r="T835" s="914">
        <f t="shared" si="146"/>
        <v>0</v>
      </c>
      <c r="U835" s="915">
        <f t="shared" si="135"/>
        <v>0</v>
      </c>
      <c r="V835" s="914">
        <f t="shared" si="134"/>
        <v>0</v>
      </c>
    </row>
    <row r="836" spans="1:22" s="920" customFormat="1" ht="231.75" hidden="1" customHeight="1">
      <c r="A836" s="905"/>
      <c r="B836" s="973" t="s">
        <v>1891</v>
      </c>
      <c r="C836" s="913">
        <f>'DEV-2'!C1005</f>
        <v>5175.3599999999997</v>
      </c>
      <c r="D836" s="972" t="s">
        <v>2273</v>
      </c>
      <c r="E836" s="919"/>
      <c r="F836" s="1053">
        <f t="shared" si="143"/>
        <v>0</v>
      </c>
      <c r="G836" s="919"/>
      <c r="H836" s="914">
        <f t="shared" si="136"/>
        <v>0</v>
      </c>
      <c r="I836" s="919"/>
      <c r="J836" s="914">
        <f t="shared" si="137"/>
        <v>0</v>
      </c>
      <c r="K836" s="914"/>
      <c r="L836" s="914">
        <f t="shared" si="138"/>
        <v>0</v>
      </c>
      <c r="M836" s="919"/>
      <c r="N836" s="914">
        <f t="shared" si="139"/>
        <v>0</v>
      </c>
      <c r="O836" s="919"/>
      <c r="P836" s="914">
        <f t="shared" si="144"/>
        <v>0</v>
      </c>
      <c r="Q836" s="919"/>
      <c r="R836" s="914">
        <f t="shared" si="145"/>
        <v>0</v>
      </c>
      <c r="S836" s="919"/>
      <c r="T836" s="914">
        <f t="shared" si="146"/>
        <v>0</v>
      </c>
      <c r="U836" s="915">
        <f t="shared" si="135"/>
        <v>0</v>
      </c>
      <c r="V836" s="914">
        <f t="shared" si="134"/>
        <v>0</v>
      </c>
    </row>
    <row r="837" spans="1:22" ht="231.75" hidden="1" customHeight="1">
      <c r="A837" s="905"/>
      <c r="B837" s="973" t="s">
        <v>2196</v>
      </c>
      <c r="C837" s="913">
        <f>C1006</f>
        <v>4457.7700000000004</v>
      </c>
      <c r="D837" s="972" t="s">
        <v>2273</v>
      </c>
      <c r="E837" s="919"/>
      <c r="F837" s="1053">
        <f t="shared" si="143"/>
        <v>0</v>
      </c>
      <c r="G837" s="919"/>
      <c r="H837" s="914">
        <f t="shared" si="136"/>
        <v>0</v>
      </c>
      <c r="I837" s="919"/>
      <c r="J837" s="914">
        <f t="shared" si="137"/>
        <v>0</v>
      </c>
      <c r="K837" s="914"/>
      <c r="L837" s="914">
        <f t="shared" si="138"/>
        <v>0</v>
      </c>
      <c r="M837" s="919"/>
      <c r="N837" s="914">
        <f t="shared" si="139"/>
        <v>0</v>
      </c>
      <c r="O837" s="919"/>
      <c r="P837" s="914">
        <f t="shared" si="144"/>
        <v>0</v>
      </c>
      <c r="Q837" s="919"/>
      <c r="R837" s="914">
        <f t="shared" si="145"/>
        <v>0</v>
      </c>
      <c r="S837" s="919"/>
      <c r="T837" s="914">
        <f t="shared" si="146"/>
        <v>0</v>
      </c>
      <c r="U837" s="915">
        <f t="shared" si="135"/>
        <v>0</v>
      </c>
      <c r="V837" s="914">
        <f t="shared" si="134"/>
        <v>0</v>
      </c>
    </row>
    <row r="838" spans="1:22" ht="231.75" hidden="1" customHeight="1">
      <c r="A838" s="905"/>
      <c r="B838" s="906" t="s">
        <v>4090</v>
      </c>
      <c r="C838" s="959">
        <v>61.8</v>
      </c>
      <c r="D838" s="972" t="s">
        <v>1393</v>
      </c>
      <c r="E838" s="919"/>
      <c r="F838" s="1053">
        <f t="shared" si="143"/>
        <v>0</v>
      </c>
      <c r="G838" s="919"/>
      <c r="H838" s="914">
        <f t="shared" si="136"/>
        <v>0</v>
      </c>
      <c r="I838" s="919"/>
      <c r="J838" s="914">
        <f t="shared" si="137"/>
        <v>0</v>
      </c>
      <c r="K838" s="914"/>
      <c r="L838" s="914">
        <f t="shared" si="138"/>
        <v>0</v>
      </c>
      <c r="M838" s="919"/>
      <c r="N838" s="914">
        <f t="shared" si="139"/>
        <v>0</v>
      </c>
      <c r="O838" s="919"/>
      <c r="P838" s="914">
        <f t="shared" si="144"/>
        <v>0</v>
      </c>
      <c r="Q838" s="919"/>
      <c r="R838" s="914">
        <f t="shared" si="145"/>
        <v>0</v>
      </c>
      <c r="S838" s="919"/>
      <c r="T838" s="914">
        <f t="shared" si="146"/>
        <v>0</v>
      </c>
      <c r="U838" s="915">
        <f t="shared" si="135"/>
        <v>0</v>
      </c>
      <c r="V838" s="914">
        <f t="shared" ref="V838:V901" si="147">U838*C838</f>
        <v>0</v>
      </c>
    </row>
    <row r="839" spans="1:22" ht="231.75" hidden="1" customHeight="1">
      <c r="A839" s="905"/>
      <c r="B839" s="906" t="s">
        <v>3617</v>
      </c>
      <c r="C839" s="959">
        <v>405</v>
      </c>
      <c r="D839" s="908" t="s">
        <v>823</v>
      </c>
      <c r="E839" s="919"/>
      <c r="F839" s="1053">
        <f t="shared" si="143"/>
        <v>0</v>
      </c>
      <c r="G839" s="919"/>
      <c r="H839" s="914">
        <f t="shared" si="136"/>
        <v>0</v>
      </c>
      <c r="I839" s="919"/>
      <c r="J839" s="914">
        <f t="shared" si="137"/>
        <v>0</v>
      </c>
      <c r="K839" s="914"/>
      <c r="L839" s="914">
        <f t="shared" si="138"/>
        <v>0</v>
      </c>
      <c r="M839" s="919"/>
      <c r="N839" s="914">
        <f t="shared" si="139"/>
        <v>0</v>
      </c>
      <c r="O839" s="919"/>
      <c r="P839" s="914">
        <f t="shared" si="144"/>
        <v>0</v>
      </c>
      <c r="Q839" s="919"/>
      <c r="R839" s="914">
        <f t="shared" si="145"/>
        <v>0</v>
      </c>
      <c r="S839" s="919"/>
      <c r="T839" s="914">
        <f t="shared" si="146"/>
        <v>0</v>
      </c>
      <c r="U839" s="915">
        <f t="shared" si="135"/>
        <v>0</v>
      </c>
      <c r="V839" s="914">
        <f t="shared" si="147"/>
        <v>0</v>
      </c>
    </row>
    <row r="840" spans="1:22" ht="231.75" hidden="1" customHeight="1">
      <c r="A840" s="905"/>
      <c r="B840" s="906" t="s">
        <v>3622</v>
      </c>
      <c r="C840" s="957">
        <v>325</v>
      </c>
      <c r="D840" s="1004" t="s">
        <v>2273</v>
      </c>
      <c r="E840" s="919"/>
      <c r="F840" s="1053">
        <f t="shared" si="143"/>
        <v>0</v>
      </c>
      <c r="G840" s="919"/>
      <c r="H840" s="914">
        <f t="shared" si="136"/>
        <v>0</v>
      </c>
      <c r="I840" s="919"/>
      <c r="J840" s="914">
        <f t="shared" si="137"/>
        <v>0</v>
      </c>
      <c r="K840" s="914"/>
      <c r="L840" s="914">
        <f t="shared" si="138"/>
        <v>0</v>
      </c>
      <c r="M840" s="919"/>
      <c r="N840" s="914">
        <f t="shared" si="139"/>
        <v>0</v>
      </c>
      <c r="O840" s="919"/>
      <c r="P840" s="914">
        <f t="shared" si="144"/>
        <v>0</v>
      </c>
      <c r="Q840" s="919"/>
      <c r="R840" s="914">
        <f t="shared" si="145"/>
        <v>0</v>
      </c>
      <c r="S840" s="919"/>
      <c r="T840" s="914">
        <f t="shared" si="146"/>
        <v>0</v>
      </c>
      <c r="U840" s="915">
        <f t="shared" si="135"/>
        <v>0</v>
      </c>
      <c r="V840" s="914">
        <f t="shared" si="147"/>
        <v>0</v>
      </c>
    </row>
    <row r="841" spans="1:22" ht="231.75" hidden="1" customHeight="1">
      <c r="A841" s="905"/>
      <c r="B841" s="906" t="s">
        <v>3623</v>
      </c>
      <c r="C841" s="957">
        <v>35</v>
      </c>
      <c r="D841" s="1004" t="s">
        <v>2273</v>
      </c>
      <c r="E841" s="919"/>
      <c r="F841" s="1053">
        <f t="shared" si="143"/>
        <v>0</v>
      </c>
      <c r="G841" s="919"/>
      <c r="H841" s="914">
        <f t="shared" si="136"/>
        <v>0</v>
      </c>
      <c r="I841" s="919"/>
      <c r="J841" s="914">
        <f t="shared" si="137"/>
        <v>0</v>
      </c>
      <c r="K841" s="914"/>
      <c r="L841" s="914">
        <f t="shared" si="138"/>
        <v>0</v>
      </c>
      <c r="M841" s="919"/>
      <c r="N841" s="914">
        <f t="shared" si="139"/>
        <v>0</v>
      </c>
      <c r="O841" s="919"/>
      <c r="P841" s="914">
        <f t="shared" si="144"/>
        <v>0</v>
      </c>
      <c r="Q841" s="919"/>
      <c r="R841" s="914">
        <f t="shared" si="145"/>
        <v>0</v>
      </c>
      <c r="S841" s="919"/>
      <c r="T841" s="914">
        <f t="shared" si="146"/>
        <v>0</v>
      </c>
      <c r="U841" s="915">
        <f t="shared" si="135"/>
        <v>0</v>
      </c>
      <c r="V841" s="914">
        <f t="shared" si="147"/>
        <v>0</v>
      </c>
    </row>
    <row r="842" spans="1:22" ht="231.75" hidden="1" customHeight="1">
      <c r="A842" s="905"/>
      <c r="B842" s="949" t="s">
        <v>6681</v>
      </c>
      <c r="C842" s="1010">
        <f>DATA!AQ3116</f>
        <v>252</v>
      </c>
      <c r="D842" s="961" t="s">
        <v>1393</v>
      </c>
      <c r="E842" s="914"/>
      <c r="F842" s="1053">
        <f t="shared" si="143"/>
        <v>0</v>
      </c>
      <c r="G842" s="914"/>
      <c r="H842" s="914">
        <f t="shared" si="136"/>
        <v>0</v>
      </c>
      <c r="I842" s="914"/>
      <c r="J842" s="914">
        <f t="shared" si="137"/>
        <v>0</v>
      </c>
      <c r="K842" s="914"/>
      <c r="L842" s="914">
        <f t="shared" si="138"/>
        <v>0</v>
      </c>
      <c r="M842" s="914"/>
      <c r="N842" s="914">
        <f t="shared" si="139"/>
        <v>0</v>
      </c>
      <c r="O842" s="914"/>
      <c r="P842" s="914">
        <f t="shared" si="144"/>
        <v>0</v>
      </c>
      <c r="Q842" s="914"/>
      <c r="R842" s="914">
        <f t="shared" si="145"/>
        <v>0</v>
      </c>
      <c r="S842" s="914"/>
      <c r="T842" s="914">
        <f t="shared" si="146"/>
        <v>0</v>
      </c>
      <c r="U842" s="915">
        <f t="shared" si="135"/>
        <v>0</v>
      </c>
      <c r="V842" s="914">
        <f t="shared" si="147"/>
        <v>0</v>
      </c>
    </row>
    <row r="843" spans="1:22" ht="231.75" hidden="1" customHeight="1">
      <c r="A843" s="905"/>
      <c r="B843" s="949" t="s">
        <v>6682</v>
      </c>
      <c r="C843" s="1010">
        <f>DATA!AR3116</f>
        <v>241</v>
      </c>
      <c r="D843" s="961" t="s">
        <v>1393</v>
      </c>
      <c r="E843" s="914"/>
      <c r="F843" s="1053">
        <f t="shared" si="143"/>
        <v>0</v>
      </c>
      <c r="G843" s="914"/>
      <c r="H843" s="914">
        <f t="shared" si="136"/>
        <v>0</v>
      </c>
      <c r="I843" s="914"/>
      <c r="J843" s="914">
        <f t="shared" si="137"/>
        <v>0</v>
      </c>
      <c r="K843" s="914"/>
      <c r="L843" s="914">
        <f t="shared" si="138"/>
        <v>0</v>
      </c>
      <c r="M843" s="914"/>
      <c r="N843" s="914">
        <f t="shared" si="139"/>
        <v>0</v>
      </c>
      <c r="O843" s="914"/>
      <c r="P843" s="914">
        <f t="shared" si="144"/>
        <v>0</v>
      </c>
      <c r="Q843" s="914"/>
      <c r="R843" s="914">
        <f t="shared" si="145"/>
        <v>0</v>
      </c>
      <c r="S843" s="914"/>
      <c r="T843" s="914">
        <f t="shared" si="146"/>
        <v>0</v>
      </c>
      <c r="U843" s="915">
        <f t="shared" si="135"/>
        <v>0</v>
      </c>
      <c r="V843" s="914">
        <f t="shared" si="147"/>
        <v>0</v>
      </c>
    </row>
    <row r="844" spans="1:22" ht="231.75" hidden="1" customHeight="1">
      <c r="A844" s="905"/>
      <c r="B844" s="949" t="s">
        <v>3620</v>
      </c>
      <c r="C844" s="1010">
        <f>Elec.Data!R806</f>
        <v>3458.67</v>
      </c>
      <c r="D844" s="908" t="s">
        <v>1393</v>
      </c>
      <c r="E844" s="919"/>
      <c r="F844" s="1053">
        <f t="shared" si="143"/>
        <v>0</v>
      </c>
      <c r="G844" s="919"/>
      <c r="H844" s="914">
        <f t="shared" si="136"/>
        <v>0</v>
      </c>
      <c r="I844" s="919"/>
      <c r="J844" s="914">
        <f t="shared" si="137"/>
        <v>0</v>
      </c>
      <c r="K844" s="914"/>
      <c r="L844" s="914">
        <f t="shared" si="138"/>
        <v>0</v>
      </c>
      <c r="M844" s="919"/>
      <c r="N844" s="914">
        <f t="shared" si="139"/>
        <v>0</v>
      </c>
      <c r="O844" s="919"/>
      <c r="P844" s="914">
        <f t="shared" si="144"/>
        <v>0</v>
      </c>
      <c r="Q844" s="919"/>
      <c r="R844" s="914">
        <f t="shared" si="145"/>
        <v>0</v>
      </c>
      <c r="S844" s="919"/>
      <c r="T844" s="914">
        <f t="shared" si="146"/>
        <v>0</v>
      </c>
      <c r="U844" s="915">
        <f t="shared" si="135"/>
        <v>0</v>
      </c>
      <c r="V844" s="914">
        <f t="shared" si="147"/>
        <v>0</v>
      </c>
    </row>
    <row r="845" spans="1:22" ht="231.75" hidden="1" customHeight="1">
      <c r="A845" s="905"/>
      <c r="B845" s="906" t="s">
        <v>5303</v>
      </c>
      <c r="C845" s="906">
        <f>DATA!K2343</f>
        <v>1014.05</v>
      </c>
      <c r="D845" s="908" t="s">
        <v>823</v>
      </c>
      <c r="E845" s="919"/>
      <c r="F845" s="1053">
        <f t="shared" si="143"/>
        <v>0</v>
      </c>
      <c r="G845" s="919"/>
      <c r="H845" s="914">
        <f t="shared" si="136"/>
        <v>0</v>
      </c>
      <c r="I845" s="919"/>
      <c r="J845" s="914">
        <f t="shared" si="137"/>
        <v>0</v>
      </c>
      <c r="K845" s="914"/>
      <c r="L845" s="914">
        <f t="shared" si="138"/>
        <v>0</v>
      </c>
      <c r="M845" s="919"/>
      <c r="N845" s="914">
        <f t="shared" si="139"/>
        <v>0</v>
      </c>
      <c r="O845" s="919"/>
      <c r="P845" s="914">
        <f t="shared" si="144"/>
        <v>0</v>
      </c>
      <c r="Q845" s="919"/>
      <c r="R845" s="914">
        <f t="shared" si="145"/>
        <v>0</v>
      </c>
      <c r="S845" s="919"/>
      <c r="T845" s="914">
        <f t="shared" si="146"/>
        <v>0</v>
      </c>
      <c r="U845" s="915">
        <f t="shared" si="135"/>
        <v>0</v>
      </c>
      <c r="V845" s="914">
        <f t="shared" si="147"/>
        <v>0</v>
      </c>
    </row>
    <row r="846" spans="1:22" ht="231.75" hidden="1" customHeight="1">
      <c r="A846" s="905"/>
      <c r="B846" s="906" t="s">
        <v>5304</v>
      </c>
      <c r="C846" s="906">
        <f>DATA!R2448</f>
        <v>975.41</v>
      </c>
      <c r="D846" s="908"/>
      <c r="E846" s="919"/>
      <c r="F846" s="1053">
        <f t="shared" si="143"/>
        <v>0</v>
      </c>
      <c r="G846" s="919"/>
      <c r="H846" s="914">
        <f t="shared" si="136"/>
        <v>0</v>
      </c>
      <c r="I846" s="919"/>
      <c r="J846" s="914">
        <f t="shared" si="137"/>
        <v>0</v>
      </c>
      <c r="K846" s="914"/>
      <c r="L846" s="914">
        <f t="shared" si="138"/>
        <v>0</v>
      </c>
      <c r="M846" s="919"/>
      <c r="N846" s="914">
        <f t="shared" si="139"/>
        <v>0</v>
      </c>
      <c r="O846" s="919"/>
      <c r="P846" s="914"/>
      <c r="Q846" s="919"/>
      <c r="R846" s="914"/>
      <c r="S846" s="919"/>
      <c r="T846" s="914"/>
      <c r="U846" s="915">
        <f t="shared" si="135"/>
        <v>0</v>
      </c>
      <c r="V846" s="914">
        <f t="shared" si="147"/>
        <v>0</v>
      </c>
    </row>
    <row r="847" spans="1:22" ht="231.75" hidden="1" customHeight="1">
      <c r="A847" s="905"/>
      <c r="B847" s="906" t="s">
        <v>4720</v>
      </c>
      <c r="C847" s="959">
        <f>DATA!X1347</f>
        <v>1706.17</v>
      </c>
      <c r="D847" s="908" t="s">
        <v>1834</v>
      </c>
      <c r="E847" s="914"/>
      <c r="F847" s="1053">
        <f t="shared" si="143"/>
        <v>0</v>
      </c>
      <c r="G847" s="914"/>
      <c r="H847" s="914">
        <f t="shared" si="136"/>
        <v>0</v>
      </c>
      <c r="I847" s="914"/>
      <c r="J847" s="914">
        <f t="shared" si="137"/>
        <v>0</v>
      </c>
      <c r="K847" s="914"/>
      <c r="L847" s="914">
        <f t="shared" si="138"/>
        <v>0</v>
      </c>
      <c r="M847" s="914"/>
      <c r="N847" s="914">
        <f t="shared" si="139"/>
        <v>0</v>
      </c>
      <c r="O847" s="914"/>
      <c r="P847" s="914">
        <f>O847*C847</f>
        <v>0</v>
      </c>
      <c r="Q847" s="914"/>
      <c r="R847" s="914">
        <f>Q847*C847</f>
        <v>0</v>
      </c>
      <c r="S847" s="914"/>
      <c r="T847" s="914">
        <f>S847*C847</f>
        <v>0</v>
      </c>
      <c r="U847" s="915">
        <f t="shared" si="135"/>
        <v>0</v>
      </c>
      <c r="V847" s="914">
        <f t="shared" si="147"/>
        <v>0</v>
      </c>
    </row>
    <row r="848" spans="1:22" ht="231.75" hidden="1" customHeight="1">
      <c r="A848" s="905"/>
      <c r="B848" s="906" t="s">
        <v>4804</v>
      </c>
      <c r="C848" s="959">
        <f>C847-(DATA!X1341/10)</f>
        <v>1460.71</v>
      </c>
      <c r="D848" s="908" t="s">
        <v>1834</v>
      </c>
      <c r="E848" s="914"/>
      <c r="F848" s="1053">
        <f t="shared" si="143"/>
        <v>0</v>
      </c>
      <c r="G848" s="914"/>
      <c r="H848" s="914">
        <f t="shared" si="136"/>
        <v>0</v>
      </c>
      <c r="I848" s="914"/>
      <c r="J848" s="914">
        <f t="shared" si="137"/>
        <v>0</v>
      </c>
      <c r="K848" s="914"/>
      <c r="L848" s="914">
        <f t="shared" si="138"/>
        <v>0</v>
      </c>
      <c r="M848" s="914"/>
      <c r="N848" s="914">
        <f t="shared" si="139"/>
        <v>0</v>
      </c>
      <c r="O848" s="914"/>
      <c r="P848" s="914"/>
      <c r="Q848" s="914"/>
      <c r="R848" s="914"/>
      <c r="S848" s="914"/>
      <c r="T848" s="914"/>
      <c r="U848" s="915">
        <f t="shared" si="135"/>
        <v>0</v>
      </c>
      <c r="V848" s="914">
        <f t="shared" si="147"/>
        <v>0</v>
      </c>
    </row>
    <row r="849" spans="1:22" ht="231.75" hidden="1" customHeight="1">
      <c r="A849" s="905"/>
      <c r="B849" s="906" t="s">
        <v>4701</v>
      </c>
      <c r="C849" s="959">
        <f>C1015</f>
        <v>1656.02</v>
      </c>
      <c r="D849" s="908" t="s">
        <v>1834</v>
      </c>
      <c r="E849" s="914"/>
      <c r="F849" s="1053">
        <f t="shared" si="143"/>
        <v>0</v>
      </c>
      <c r="G849" s="914"/>
      <c r="H849" s="914">
        <f t="shared" si="136"/>
        <v>0</v>
      </c>
      <c r="I849" s="914"/>
      <c r="J849" s="914">
        <f t="shared" si="137"/>
        <v>0</v>
      </c>
      <c r="K849" s="914"/>
      <c r="L849" s="914">
        <f t="shared" si="138"/>
        <v>0</v>
      </c>
      <c r="M849" s="914"/>
      <c r="N849" s="914">
        <f t="shared" si="139"/>
        <v>0</v>
      </c>
      <c r="O849" s="914"/>
      <c r="P849" s="914">
        <f t="shared" ref="P849:P880" si="148">O849*C849</f>
        <v>0</v>
      </c>
      <c r="Q849" s="914"/>
      <c r="R849" s="914">
        <f t="shared" ref="R849:R880" si="149">Q849*C849</f>
        <v>0</v>
      </c>
      <c r="S849" s="914"/>
      <c r="T849" s="914">
        <f t="shared" ref="T849:T880" si="150">S849*C849</f>
        <v>0</v>
      </c>
      <c r="U849" s="915">
        <f t="shared" si="135"/>
        <v>0</v>
      </c>
      <c r="V849" s="914">
        <f t="shared" si="147"/>
        <v>0</v>
      </c>
    </row>
    <row r="850" spans="1:22" ht="231.75" hidden="1" customHeight="1">
      <c r="A850" s="905" t="s">
        <v>1326</v>
      </c>
      <c r="B850" s="906" t="s">
        <v>1403</v>
      </c>
      <c r="C850" s="921">
        <f>DATA!K1797</f>
        <v>2010</v>
      </c>
      <c r="D850" s="908" t="s">
        <v>1393</v>
      </c>
      <c r="E850" s="919"/>
      <c r="F850" s="1053">
        <f t="shared" si="143"/>
        <v>0</v>
      </c>
      <c r="G850" s="919"/>
      <c r="H850" s="914">
        <f t="shared" si="136"/>
        <v>0</v>
      </c>
      <c r="I850" s="919"/>
      <c r="J850" s="914">
        <f t="shared" si="137"/>
        <v>0</v>
      </c>
      <c r="K850" s="914"/>
      <c r="L850" s="914">
        <f t="shared" si="138"/>
        <v>0</v>
      </c>
      <c r="M850" s="919"/>
      <c r="N850" s="914">
        <f t="shared" si="139"/>
        <v>0</v>
      </c>
      <c r="O850" s="919"/>
      <c r="P850" s="914">
        <f t="shared" si="148"/>
        <v>0</v>
      </c>
      <c r="Q850" s="919"/>
      <c r="R850" s="914">
        <f t="shared" si="149"/>
        <v>0</v>
      </c>
      <c r="S850" s="919"/>
      <c r="T850" s="914">
        <f t="shared" si="150"/>
        <v>0</v>
      </c>
      <c r="U850" s="915">
        <f t="shared" ref="U850:U913" si="151">G850+I850+M850+O850+Q850+S850+E850+K850</f>
        <v>0</v>
      </c>
      <c r="V850" s="914">
        <f t="shared" si="147"/>
        <v>0</v>
      </c>
    </row>
    <row r="851" spans="1:22" ht="231.75" hidden="1" customHeight="1">
      <c r="A851" s="905"/>
      <c r="B851" s="924" t="s">
        <v>3809</v>
      </c>
      <c r="C851" s="921"/>
      <c r="D851" s="908"/>
      <c r="E851" s="911"/>
      <c r="F851" s="1053">
        <f t="shared" si="143"/>
        <v>0</v>
      </c>
      <c r="G851" s="914"/>
      <c r="H851" s="914">
        <f t="shared" ref="H851:H914" si="152">C851*G851</f>
        <v>0</v>
      </c>
      <c r="I851" s="914"/>
      <c r="J851" s="914">
        <f t="shared" ref="J851:J914" si="153">I851*C851</f>
        <v>0</v>
      </c>
      <c r="K851" s="914"/>
      <c r="L851" s="914">
        <f t="shared" ref="L851:L914" si="154">K851*C851</f>
        <v>0</v>
      </c>
      <c r="M851" s="914"/>
      <c r="N851" s="914">
        <f t="shared" ref="N851:N914" si="155">M851*C851</f>
        <v>0</v>
      </c>
      <c r="O851" s="914"/>
      <c r="P851" s="914">
        <f t="shared" si="148"/>
        <v>0</v>
      </c>
      <c r="Q851" s="914"/>
      <c r="R851" s="914">
        <f t="shared" si="149"/>
        <v>0</v>
      </c>
      <c r="S851" s="914"/>
      <c r="T851" s="914">
        <f t="shared" si="150"/>
        <v>0</v>
      </c>
      <c r="U851" s="915">
        <f t="shared" si="151"/>
        <v>0</v>
      </c>
      <c r="V851" s="914">
        <f t="shared" si="147"/>
        <v>0</v>
      </c>
    </row>
    <row r="852" spans="1:22" ht="231.75" hidden="1" customHeight="1">
      <c r="A852" s="916"/>
      <c r="B852" s="917" t="s">
        <v>3810</v>
      </c>
      <c r="C852" s="1011">
        <f>DATA!K3677</f>
        <v>480.93</v>
      </c>
      <c r="D852" s="898" t="s">
        <v>823</v>
      </c>
      <c r="E852" s="919"/>
      <c r="F852" s="1053">
        <f t="shared" si="143"/>
        <v>0</v>
      </c>
      <c r="G852" s="919"/>
      <c r="H852" s="914">
        <f t="shared" si="152"/>
        <v>0</v>
      </c>
      <c r="I852" s="919"/>
      <c r="J852" s="914">
        <f t="shared" si="153"/>
        <v>0</v>
      </c>
      <c r="K852" s="914"/>
      <c r="L852" s="914">
        <f t="shared" si="154"/>
        <v>0</v>
      </c>
      <c r="M852" s="919"/>
      <c r="N852" s="914">
        <f t="shared" si="155"/>
        <v>0</v>
      </c>
      <c r="O852" s="919"/>
      <c r="P852" s="914">
        <f t="shared" si="148"/>
        <v>0</v>
      </c>
      <c r="Q852" s="919"/>
      <c r="R852" s="914">
        <f t="shared" si="149"/>
        <v>0</v>
      </c>
      <c r="S852" s="919"/>
      <c r="T852" s="914">
        <f t="shared" si="150"/>
        <v>0</v>
      </c>
      <c r="U852" s="915">
        <f t="shared" si="151"/>
        <v>0</v>
      </c>
      <c r="V852" s="914">
        <f t="shared" si="147"/>
        <v>0</v>
      </c>
    </row>
    <row r="853" spans="1:22" s="920" customFormat="1" ht="231.75" hidden="1" customHeight="1">
      <c r="A853" s="916"/>
      <c r="B853" s="917" t="s">
        <v>3972</v>
      </c>
      <c r="C853" s="1011">
        <f>DATA!K3697</f>
        <v>805.14</v>
      </c>
      <c r="D853" s="898" t="s">
        <v>823</v>
      </c>
      <c r="E853" s="919"/>
      <c r="F853" s="1053">
        <f t="shared" si="143"/>
        <v>0</v>
      </c>
      <c r="G853" s="919"/>
      <c r="H853" s="914">
        <f t="shared" si="152"/>
        <v>0</v>
      </c>
      <c r="I853" s="919"/>
      <c r="J853" s="914">
        <f t="shared" si="153"/>
        <v>0</v>
      </c>
      <c r="K853" s="914"/>
      <c r="L853" s="914">
        <f t="shared" si="154"/>
        <v>0</v>
      </c>
      <c r="M853" s="919"/>
      <c r="N853" s="914">
        <f t="shared" si="155"/>
        <v>0</v>
      </c>
      <c r="O853" s="919"/>
      <c r="P853" s="914">
        <f t="shared" si="148"/>
        <v>0</v>
      </c>
      <c r="Q853" s="919"/>
      <c r="R853" s="914">
        <f t="shared" si="149"/>
        <v>0</v>
      </c>
      <c r="S853" s="919"/>
      <c r="T853" s="914">
        <f t="shared" si="150"/>
        <v>0</v>
      </c>
      <c r="U853" s="915">
        <f t="shared" si="151"/>
        <v>0</v>
      </c>
      <c r="V853" s="914">
        <f t="shared" si="147"/>
        <v>0</v>
      </c>
    </row>
    <row r="854" spans="1:22" s="920" customFormat="1" ht="231.75" hidden="1" customHeight="1">
      <c r="A854" s="916"/>
      <c r="B854" s="925" t="s">
        <v>3811</v>
      </c>
      <c r="C854" s="1011"/>
      <c r="D854" s="898"/>
      <c r="E854" s="919"/>
      <c r="F854" s="1053">
        <f t="shared" si="143"/>
        <v>0</v>
      </c>
      <c r="G854" s="919"/>
      <c r="H854" s="914">
        <f t="shared" si="152"/>
        <v>0</v>
      </c>
      <c r="I854" s="919"/>
      <c r="J854" s="914">
        <f t="shared" si="153"/>
        <v>0</v>
      </c>
      <c r="K854" s="914"/>
      <c r="L854" s="914">
        <f t="shared" si="154"/>
        <v>0</v>
      </c>
      <c r="M854" s="919"/>
      <c r="N854" s="914">
        <f t="shared" si="155"/>
        <v>0</v>
      </c>
      <c r="O854" s="919"/>
      <c r="P854" s="914">
        <f t="shared" si="148"/>
        <v>0</v>
      </c>
      <c r="Q854" s="919"/>
      <c r="R854" s="914">
        <f t="shared" si="149"/>
        <v>0</v>
      </c>
      <c r="S854" s="919"/>
      <c r="T854" s="914">
        <f t="shared" si="150"/>
        <v>0</v>
      </c>
      <c r="U854" s="915">
        <f t="shared" si="151"/>
        <v>0</v>
      </c>
      <c r="V854" s="914">
        <f t="shared" si="147"/>
        <v>0</v>
      </c>
    </row>
    <row r="855" spans="1:22" s="920" customFormat="1" ht="231.75" hidden="1" customHeight="1">
      <c r="A855" s="916"/>
      <c r="B855" s="917" t="s">
        <v>5160</v>
      </c>
      <c r="C855" s="1011">
        <v>173</v>
      </c>
      <c r="D855" s="898" t="s">
        <v>1393</v>
      </c>
      <c r="E855" s="919"/>
      <c r="F855" s="1053">
        <f t="shared" si="143"/>
        <v>0</v>
      </c>
      <c r="G855" s="919"/>
      <c r="H855" s="914">
        <f t="shared" si="152"/>
        <v>0</v>
      </c>
      <c r="I855" s="919"/>
      <c r="J855" s="914">
        <f t="shared" si="153"/>
        <v>0</v>
      </c>
      <c r="K855" s="914"/>
      <c r="L855" s="914">
        <f t="shared" si="154"/>
        <v>0</v>
      </c>
      <c r="M855" s="919"/>
      <c r="N855" s="914">
        <f t="shared" si="155"/>
        <v>0</v>
      </c>
      <c r="O855" s="919"/>
      <c r="P855" s="914">
        <f t="shared" si="148"/>
        <v>0</v>
      </c>
      <c r="Q855" s="919"/>
      <c r="R855" s="914">
        <f t="shared" si="149"/>
        <v>0</v>
      </c>
      <c r="S855" s="919"/>
      <c r="T855" s="914">
        <f t="shared" si="150"/>
        <v>0</v>
      </c>
      <c r="U855" s="915">
        <f t="shared" si="151"/>
        <v>0</v>
      </c>
      <c r="V855" s="914">
        <f t="shared" si="147"/>
        <v>0</v>
      </c>
    </row>
    <row r="856" spans="1:22" s="920" customFormat="1" ht="231.75" hidden="1" customHeight="1">
      <c r="A856" s="916"/>
      <c r="B856" s="917" t="s">
        <v>5161</v>
      </c>
      <c r="C856" s="1011">
        <v>553</v>
      </c>
      <c r="D856" s="898" t="s">
        <v>1393</v>
      </c>
      <c r="E856" s="919"/>
      <c r="F856" s="1053">
        <f t="shared" si="143"/>
        <v>0</v>
      </c>
      <c r="G856" s="919"/>
      <c r="H856" s="914">
        <f t="shared" si="152"/>
        <v>0</v>
      </c>
      <c r="I856" s="919"/>
      <c r="J856" s="914">
        <f t="shared" si="153"/>
        <v>0</v>
      </c>
      <c r="K856" s="914"/>
      <c r="L856" s="914">
        <f t="shared" si="154"/>
        <v>0</v>
      </c>
      <c r="M856" s="919"/>
      <c r="N856" s="914">
        <f t="shared" si="155"/>
        <v>0</v>
      </c>
      <c r="O856" s="919"/>
      <c r="P856" s="914">
        <f t="shared" si="148"/>
        <v>0</v>
      </c>
      <c r="Q856" s="919"/>
      <c r="R856" s="914">
        <f t="shared" si="149"/>
        <v>0</v>
      </c>
      <c r="S856" s="919"/>
      <c r="T856" s="914">
        <f t="shared" si="150"/>
        <v>0</v>
      </c>
      <c r="U856" s="915">
        <f t="shared" si="151"/>
        <v>0</v>
      </c>
      <c r="V856" s="914">
        <f t="shared" si="147"/>
        <v>0</v>
      </c>
    </row>
    <row r="857" spans="1:22" s="920" customFormat="1" ht="231.75" hidden="1" customHeight="1">
      <c r="A857" s="916"/>
      <c r="B857" s="925" t="s">
        <v>3812</v>
      </c>
      <c r="C857" s="1011"/>
      <c r="D857" s="898"/>
      <c r="E857" s="919"/>
      <c r="F857" s="1053">
        <f t="shared" si="143"/>
        <v>0</v>
      </c>
      <c r="G857" s="919"/>
      <c r="H857" s="914">
        <f t="shared" si="152"/>
        <v>0</v>
      </c>
      <c r="I857" s="919"/>
      <c r="J857" s="914">
        <f t="shared" si="153"/>
        <v>0</v>
      </c>
      <c r="K857" s="914"/>
      <c r="L857" s="914">
        <f t="shared" si="154"/>
        <v>0</v>
      </c>
      <c r="M857" s="919"/>
      <c r="N857" s="914">
        <f t="shared" si="155"/>
        <v>0</v>
      </c>
      <c r="O857" s="919"/>
      <c r="P857" s="914">
        <f t="shared" si="148"/>
        <v>0</v>
      </c>
      <c r="Q857" s="919"/>
      <c r="R857" s="914">
        <f t="shared" si="149"/>
        <v>0</v>
      </c>
      <c r="S857" s="919"/>
      <c r="T857" s="914">
        <f t="shared" si="150"/>
        <v>0</v>
      </c>
      <c r="U857" s="915">
        <f t="shared" si="151"/>
        <v>0</v>
      </c>
      <c r="V857" s="914">
        <f t="shared" si="147"/>
        <v>0</v>
      </c>
    </row>
    <row r="858" spans="1:22" s="920" customFormat="1" ht="231.75" hidden="1" customHeight="1">
      <c r="A858" s="916"/>
      <c r="B858" s="917" t="s">
        <v>5162</v>
      </c>
      <c r="C858" s="1011">
        <v>195</v>
      </c>
      <c r="D858" s="898" t="s">
        <v>1393</v>
      </c>
      <c r="E858" s="919"/>
      <c r="F858" s="1053">
        <f t="shared" si="143"/>
        <v>0</v>
      </c>
      <c r="G858" s="919"/>
      <c r="H858" s="914">
        <f t="shared" si="152"/>
        <v>0</v>
      </c>
      <c r="I858" s="919"/>
      <c r="J858" s="914">
        <f t="shared" si="153"/>
        <v>0</v>
      </c>
      <c r="K858" s="914"/>
      <c r="L858" s="914">
        <f t="shared" si="154"/>
        <v>0</v>
      </c>
      <c r="M858" s="919"/>
      <c r="N858" s="914">
        <f t="shared" si="155"/>
        <v>0</v>
      </c>
      <c r="O858" s="919"/>
      <c r="P858" s="914">
        <f t="shared" si="148"/>
        <v>0</v>
      </c>
      <c r="Q858" s="919"/>
      <c r="R858" s="914">
        <f t="shared" si="149"/>
        <v>0</v>
      </c>
      <c r="S858" s="919"/>
      <c r="T858" s="914">
        <f t="shared" si="150"/>
        <v>0</v>
      </c>
      <c r="U858" s="915">
        <f t="shared" si="151"/>
        <v>0</v>
      </c>
      <c r="V858" s="914">
        <f t="shared" si="147"/>
        <v>0</v>
      </c>
    </row>
    <row r="859" spans="1:22" s="920" customFormat="1" ht="231.75" hidden="1" customHeight="1">
      <c r="A859" s="916"/>
      <c r="B859" s="917" t="s">
        <v>4697</v>
      </c>
      <c r="C859" s="1011">
        <v>367</v>
      </c>
      <c r="D859" s="898" t="s">
        <v>1393</v>
      </c>
      <c r="E859" s="919"/>
      <c r="F859" s="1053">
        <f t="shared" si="143"/>
        <v>0</v>
      </c>
      <c r="G859" s="919"/>
      <c r="H859" s="914">
        <f t="shared" si="152"/>
        <v>0</v>
      </c>
      <c r="I859" s="919"/>
      <c r="J859" s="914">
        <f t="shared" si="153"/>
        <v>0</v>
      </c>
      <c r="K859" s="914"/>
      <c r="L859" s="914">
        <f t="shared" si="154"/>
        <v>0</v>
      </c>
      <c r="M859" s="919"/>
      <c r="N859" s="914">
        <f t="shared" si="155"/>
        <v>0</v>
      </c>
      <c r="O859" s="919"/>
      <c r="P859" s="914">
        <f t="shared" si="148"/>
        <v>0</v>
      </c>
      <c r="Q859" s="919"/>
      <c r="R859" s="914">
        <f t="shared" si="149"/>
        <v>0</v>
      </c>
      <c r="S859" s="919"/>
      <c r="T859" s="914">
        <f t="shared" si="150"/>
        <v>0</v>
      </c>
      <c r="U859" s="915">
        <f t="shared" si="151"/>
        <v>0</v>
      </c>
      <c r="V859" s="914">
        <f t="shared" si="147"/>
        <v>0</v>
      </c>
    </row>
    <row r="860" spans="1:22" s="920" customFormat="1" ht="231.75" hidden="1" customHeight="1">
      <c r="A860" s="916"/>
      <c r="B860" s="917" t="s">
        <v>6683</v>
      </c>
      <c r="C860" s="1012">
        <f>DATA!R1978</f>
        <v>3328.41</v>
      </c>
      <c r="D860" s="898" t="s">
        <v>1393</v>
      </c>
      <c r="E860" s="919"/>
      <c r="F860" s="1053">
        <f t="shared" si="143"/>
        <v>0</v>
      </c>
      <c r="G860" s="919"/>
      <c r="H860" s="914">
        <f t="shared" si="152"/>
        <v>0</v>
      </c>
      <c r="I860" s="919"/>
      <c r="J860" s="914">
        <f t="shared" si="153"/>
        <v>0</v>
      </c>
      <c r="K860" s="914"/>
      <c r="L860" s="914">
        <f t="shared" si="154"/>
        <v>0</v>
      </c>
      <c r="M860" s="919"/>
      <c r="N860" s="914">
        <f t="shared" si="155"/>
        <v>0</v>
      </c>
      <c r="O860" s="919"/>
      <c r="P860" s="914">
        <f t="shared" si="148"/>
        <v>0</v>
      </c>
      <c r="Q860" s="919"/>
      <c r="R860" s="914">
        <f t="shared" si="149"/>
        <v>0</v>
      </c>
      <c r="S860" s="919"/>
      <c r="T860" s="914">
        <f t="shared" si="150"/>
        <v>0</v>
      </c>
      <c r="U860" s="915">
        <f t="shared" si="151"/>
        <v>0</v>
      </c>
      <c r="V860" s="914">
        <f t="shared" si="147"/>
        <v>0</v>
      </c>
    </row>
    <row r="861" spans="1:22" s="920" customFormat="1" ht="231.75" hidden="1" customHeight="1">
      <c r="A861" s="916"/>
      <c r="B861" s="917" t="s">
        <v>6684</v>
      </c>
      <c r="C861" s="1012">
        <f>DATA!R1999</f>
        <v>5183.91</v>
      </c>
      <c r="D861" s="898" t="s">
        <v>1393</v>
      </c>
      <c r="E861" s="919"/>
      <c r="F861" s="1053">
        <f t="shared" si="143"/>
        <v>0</v>
      </c>
      <c r="G861" s="919"/>
      <c r="H861" s="914">
        <f t="shared" si="152"/>
        <v>0</v>
      </c>
      <c r="I861" s="919"/>
      <c r="J861" s="914">
        <f t="shared" si="153"/>
        <v>0</v>
      </c>
      <c r="K861" s="914"/>
      <c r="L861" s="914">
        <f t="shared" si="154"/>
        <v>0</v>
      </c>
      <c r="M861" s="919"/>
      <c r="N861" s="914">
        <f t="shared" si="155"/>
        <v>0</v>
      </c>
      <c r="O861" s="919"/>
      <c r="P861" s="914">
        <f t="shared" si="148"/>
        <v>0</v>
      </c>
      <c r="Q861" s="919"/>
      <c r="R861" s="914">
        <f t="shared" si="149"/>
        <v>0</v>
      </c>
      <c r="S861" s="919"/>
      <c r="T861" s="914">
        <f t="shared" si="150"/>
        <v>0</v>
      </c>
      <c r="U861" s="915">
        <f t="shared" si="151"/>
        <v>0</v>
      </c>
      <c r="V861" s="914">
        <f t="shared" si="147"/>
        <v>0</v>
      </c>
    </row>
    <row r="862" spans="1:22" s="920" customFormat="1" ht="231.75" hidden="1" customHeight="1">
      <c r="A862" s="916"/>
      <c r="B862" s="917" t="s">
        <v>6685</v>
      </c>
      <c r="C862" s="1011">
        <f>DATA!R2018</f>
        <v>7084.3</v>
      </c>
      <c r="D862" s="898" t="s">
        <v>1393</v>
      </c>
      <c r="E862" s="919"/>
      <c r="F862" s="1053">
        <f t="shared" si="143"/>
        <v>0</v>
      </c>
      <c r="G862" s="919"/>
      <c r="H862" s="914">
        <f t="shared" si="152"/>
        <v>0</v>
      </c>
      <c r="I862" s="919"/>
      <c r="J862" s="914">
        <f t="shared" si="153"/>
        <v>0</v>
      </c>
      <c r="K862" s="914"/>
      <c r="L862" s="914">
        <f t="shared" si="154"/>
        <v>0</v>
      </c>
      <c r="M862" s="919"/>
      <c r="N862" s="914">
        <f t="shared" si="155"/>
        <v>0</v>
      </c>
      <c r="O862" s="919"/>
      <c r="P862" s="914">
        <f t="shared" si="148"/>
        <v>0</v>
      </c>
      <c r="Q862" s="919"/>
      <c r="R862" s="914">
        <f t="shared" si="149"/>
        <v>0</v>
      </c>
      <c r="S862" s="919"/>
      <c r="T862" s="914">
        <f t="shared" si="150"/>
        <v>0</v>
      </c>
      <c r="U862" s="915">
        <f t="shared" si="151"/>
        <v>0</v>
      </c>
      <c r="V862" s="914">
        <f t="shared" si="147"/>
        <v>0</v>
      </c>
    </row>
    <row r="863" spans="1:22" s="920" customFormat="1" ht="231.75" hidden="1" customHeight="1">
      <c r="A863" s="916"/>
      <c r="B863" s="917" t="s">
        <v>6686</v>
      </c>
      <c r="C863" s="1011">
        <f>DATA!R2037</f>
        <v>7478.3</v>
      </c>
      <c r="D863" s="898" t="s">
        <v>1393</v>
      </c>
      <c r="E863" s="919"/>
      <c r="F863" s="1053">
        <f t="shared" si="143"/>
        <v>0</v>
      </c>
      <c r="G863" s="919"/>
      <c r="H863" s="914">
        <f t="shared" si="152"/>
        <v>0</v>
      </c>
      <c r="I863" s="919"/>
      <c r="J863" s="914">
        <f t="shared" si="153"/>
        <v>0</v>
      </c>
      <c r="K863" s="914"/>
      <c r="L863" s="914">
        <f t="shared" si="154"/>
        <v>0</v>
      </c>
      <c r="M863" s="919"/>
      <c r="N863" s="914">
        <f t="shared" si="155"/>
        <v>0</v>
      </c>
      <c r="O863" s="919"/>
      <c r="P863" s="914">
        <f t="shared" si="148"/>
        <v>0</v>
      </c>
      <c r="Q863" s="919"/>
      <c r="R863" s="914">
        <f t="shared" si="149"/>
        <v>0</v>
      </c>
      <c r="S863" s="919"/>
      <c r="T863" s="914">
        <f t="shared" si="150"/>
        <v>0</v>
      </c>
      <c r="U863" s="915">
        <f t="shared" si="151"/>
        <v>0</v>
      </c>
      <c r="V863" s="914">
        <f t="shared" si="147"/>
        <v>0</v>
      </c>
    </row>
    <row r="864" spans="1:22" ht="231.75" hidden="1" customHeight="1">
      <c r="A864" s="905"/>
      <c r="B864" s="924" t="s">
        <v>3899</v>
      </c>
      <c r="C864" s="959"/>
      <c r="D864" s="976"/>
      <c r="E864" s="911"/>
      <c r="F864" s="1053">
        <f t="shared" si="143"/>
        <v>0</v>
      </c>
      <c r="G864" s="914"/>
      <c r="H864" s="914">
        <f t="shared" si="152"/>
        <v>0</v>
      </c>
      <c r="I864" s="914"/>
      <c r="J864" s="914">
        <f t="shared" si="153"/>
        <v>0</v>
      </c>
      <c r="K864" s="914"/>
      <c r="L864" s="914">
        <f t="shared" si="154"/>
        <v>0</v>
      </c>
      <c r="M864" s="914"/>
      <c r="N864" s="914">
        <f t="shared" si="155"/>
        <v>0</v>
      </c>
      <c r="O864" s="914"/>
      <c r="P864" s="914">
        <f t="shared" si="148"/>
        <v>0</v>
      </c>
      <c r="Q864" s="914"/>
      <c r="R864" s="914">
        <f t="shared" si="149"/>
        <v>0</v>
      </c>
      <c r="S864" s="914"/>
      <c r="T864" s="914">
        <f t="shared" si="150"/>
        <v>0</v>
      </c>
      <c r="U864" s="915">
        <f t="shared" si="151"/>
        <v>0</v>
      </c>
      <c r="V864" s="914">
        <f t="shared" si="147"/>
        <v>0</v>
      </c>
    </row>
    <row r="865" spans="1:22" ht="231.75" hidden="1" customHeight="1">
      <c r="A865" s="905"/>
      <c r="B865" s="906" t="s">
        <v>2133</v>
      </c>
      <c r="C865" s="959">
        <f>'  Coastal  Elec.Data '!K2860</f>
        <v>1678.69</v>
      </c>
      <c r="D865" s="972" t="s">
        <v>1393</v>
      </c>
      <c r="E865" s="914"/>
      <c r="F865" s="1053">
        <f t="shared" si="143"/>
        <v>0</v>
      </c>
      <c r="G865" s="914"/>
      <c r="H865" s="914">
        <f t="shared" si="152"/>
        <v>0</v>
      </c>
      <c r="I865" s="914"/>
      <c r="J865" s="914">
        <f t="shared" si="153"/>
        <v>0</v>
      </c>
      <c r="K865" s="914"/>
      <c r="L865" s="914">
        <f t="shared" si="154"/>
        <v>0</v>
      </c>
      <c r="M865" s="914"/>
      <c r="N865" s="914">
        <f t="shared" si="155"/>
        <v>0</v>
      </c>
      <c r="O865" s="914"/>
      <c r="P865" s="914">
        <f t="shared" si="148"/>
        <v>0</v>
      </c>
      <c r="Q865" s="914"/>
      <c r="R865" s="914">
        <f t="shared" si="149"/>
        <v>0</v>
      </c>
      <c r="S865" s="914"/>
      <c r="T865" s="914">
        <f t="shared" si="150"/>
        <v>0</v>
      </c>
      <c r="U865" s="915">
        <f t="shared" si="151"/>
        <v>0</v>
      </c>
      <c r="V865" s="914">
        <f t="shared" si="147"/>
        <v>0</v>
      </c>
    </row>
    <row r="866" spans="1:22" ht="231.75" hidden="1" customHeight="1">
      <c r="A866" s="905"/>
      <c r="B866" s="906" t="s">
        <v>1265</v>
      </c>
      <c r="C866" s="959">
        <f>'  Coastal  Elec.Data '!K2884</f>
        <v>1681.79</v>
      </c>
      <c r="D866" s="972" t="s">
        <v>1393</v>
      </c>
      <c r="E866" s="914"/>
      <c r="F866" s="1053">
        <f t="shared" si="143"/>
        <v>0</v>
      </c>
      <c r="G866" s="914"/>
      <c r="H866" s="914">
        <f t="shared" si="152"/>
        <v>0</v>
      </c>
      <c r="I866" s="914"/>
      <c r="J866" s="914">
        <f t="shared" si="153"/>
        <v>0</v>
      </c>
      <c r="K866" s="914"/>
      <c r="L866" s="914">
        <f t="shared" si="154"/>
        <v>0</v>
      </c>
      <c r="M866" s="914"/>
      <c r="N866" s="914">
        <f t="shared" si="155"/>
        <v>0</v>
      </c>
      <c r="O866" s="914"/>
      <c r="P866" s="914">
        <f t="shared" si="148"/>
        <v>0</v>
      </c>
      <c r="Q866" s="914"/>
      <c r="R866" s="914">
        <f t="shared" si="149"/>
        <v>0</v>
      </c>
      <c r="S866" s="914"/>
      <c r="T866" s="914">
        <f t="shared" si="150"/>
        <v>0</v>
      </c>
      <c r="U866" s="915">
        <f t="shared" si="151"/>
        <v>0</v>
      </c>
      <c r="V866" s="914">
        <f t="shared" si="147"/>
        <v>0</v>
      </c>
    </row>
    <row r="867" spans="1:22" ht="231.75" hidden="1" customHeight="1">
      <c r="A867" s="931"/>
      <c r="B867" s="906" t="s">
        <v>296</v>
      </c>
      <c r="C867" s="959">
        <f>'  Coastal  Elec.Data '!K2899</f>
        <v>1711.44</v>
      </c>
      <c r="D867" s="972" t="s">
        <v>1393</v>
      </c>
      <c r="E867" s="914"/>
      <c r="F867" s="1053">
        <f t="shared" ref="F867:F930" si="156">E867*C867</f>
        <v>0</v>
      </c>
      <c r="G867" s="914"/>
      <c r="H867" s="914">
        <f t="shared" si="152"/>
        <v>0</v>
      </c>
      <c r="I867" s="914"/>
      <c r="J867" s="914">
        <f t="shared" si="153"/>
        <v>0</v>
      </c>
      <c r="K867" s="914"/>
      <c r="L867" s="914">
        <f t="shared" si="154"/>
        <v>0</v>
      </c>
      <c r="M867" s="914"/>
      <c r="N867" s="914">
        <f t="shared" si="155"/>
        <v>0</v>
      </c>
      <c r="O867" s="914"/>
      <c r="P867" s="914">
        <f t="shared" si="148"/>
        <v>0</v>
      </c>
      <c r="Q867" s="914"/>
      <c r="R867" s="914">
        <f t="shared" si="149"/>
        <v>0</v>
      </c>
      <c r="S867" s="914"/>
      <c r="T867" s="914">
        <f t="shared" si="150"/>
        <v>0</v>
      </c>
      <c r="U867" s="915">
        <f t="shared" si="151"/>
        <v>0</v>
      </c>
      <c r="V867" s="914">
        <f t="shared" si="147"/>
        <v>0</v>
      </c>
    </row>
    <row r="868" spans="1:22" ht="231.75" hidden="1" customHeight="1">
      <c r="A868" s="905"/>
      <c r="B868" s="906" t="s">
        <v>6687</v>
      </c>
      <c r="C868" s="959">
        <f>'  Coastal  Elec.Data '!K2921</f>
        <v>1734.1</v>
      </c>
      <c r="D868" s="972" t="s">
        <v>1393</v>
      </c>
      <c r="E868" s="914"/>
      <c r="F868" s="1053">
        <f t="shared" si="156"/>
        <v>0</v>
      </c>
      <c r="G868" s="914"/>
      <c r="H868" s="914">
        <f t="shared" si="152"/>
        <v>0</v>
      </c>
      <c r="I868" s="914"/>
      <c r="J868" s="914">
        <f t="shared" si="153"/>
        <v>0</v>
      </c>
      <c r="K868" s="914"/>
      <c r="L868" s="914">
        <f t="shared" si="154"/>
        <v>0</v>
      </c>
      <c r="M868" s="914"/>
      <c r="N868" s="914">
        <f t="shared" si="155"/>
        <v>0</v>
      </c>
      <c r="O868" s="914"/>
      <c r="P868" s="914">
        <f t="shared" si="148"/>
        <v>0</v>
      </c>
      <c r="Q868" s="914"/>
      <c r="R868" s="914">
        <f t="shared" si="149"/>
        <v>0</v>
      </c>
      <c r="S868" s="914"/>
      <c r="T868" s="914">
        <f t="shared" si="150"/>
        <v>0</v>
      </c>
      <c r="U868" s="915">
        <f t="shared" si="151"/>
        <v>0</v>
      </c>
      <c r="V868" s="914">
        <f t="shared" si="147"/>
        <v>0</v>
      </c>
    </row>
    <row r="869" spans="1:22" ht="231.75" hidden="1" customHeight="1">
      <c r="A869" s="905"/>
      <c r="B869" s="906" t="s">
        <v>6688</v>
      </c>
      <c r="C869" s="959">
        <f>'  Coastal  Elec.Data '!K2945</f>
        <v>3158.59</v>
      </c>
      <c r="D869" s="972" t="s">
        <v>1393</v>
      </c>
      <c r="E869" s="914"/>
      <c r="F869" s="1053">
        <f t="shared" si="156"/>
        <v>0</v>
      </c>
      <c r="G869" s="914"/>
      <c r="H869" s="914">
        <f t="shared" si="152"/>
        <v>0</v>
      </c>
      <c r="I869" s="914"/>
      <c r="J869" s="914">
        <f t="shared" si="153"/>
        <v>0</v>
      </c>
      <c r="K869" s="914"/>
      <c r="L869" s="914">
        <f t="shared" si="154"/>
        <v>0</v>
      </c>
      <c r="M869" s="914"/>
      <c r="N869" s="914">
        <f t="shared" si="155"/>
        <v>0</v>
      </c>
      <c r="O869" s="914"/>
      <c r="P869" s="914">
        <f t="shared" si="148"/>
        <v>0</v>
      </c>
      <c r="Q869" s="914"/>
      <c r="R869" s="914">
        <f t="shared" si="149"/>
        <v>0</v>
      </c>
      <c r="S869" s="914"/>
      <c r="T869" s="914">
        <f t="shared" si="150"/>
        <v>0</v>
      </c>
      <c r="U869" s="915">
        <f t="shared" si="151"/>
        <v>0</v>
      </c>
      <c r="V869" s="914">
        <f t="shared" si="147"/>
        <v>0</v>
      </c>
    </row>
    <row r="870" spans="1:22" ht="231.75" hidden="1" customHeight="1">
      <c r="A870" s="905">
        <v>67.099999999999994</v>
      </c>
      <c r="B870" s="906" t="s">
        <v>6689</v>
      </c>
      <c r="C870" s="959">
        <f>'  Coastal  Elec.Data '!K2977</f>
        <v>864.66</v>
      </c>
      <c r="D870" s="972" t="s">
        <v>1393</v>
      </c>
      <c r="E870" s="914"/>
      <c r="F870" s="1053">
        <f t="shared" si="156"/>
        <v>0</v>
      </c>
      <c r="G870" s="914"/>
      <c r="H870" s="914">
        <f t="shared" si="152"/>
        <v>0</v>
      </c>
      <c r="I870" s="914"/>
      <c r="J870" s="914">
        <f t="shared" si="153"/>
        <v>0</v>
      </c>
      <c r="K870" s="914"/>
      <c r="L870" s="914">
        <f t="shared" si="154"/>
        <v>0</v>
      </c>
      <c r="M870" s="914"/>
      <c r="N870" s="914">
        <f t="shared" si="155"/>
        <v>0</v>
      </c>
      <c r="O870" s="914"/>
      <c r="P870" s="914">
        <f t="shared" si="148"/>
        <v>0</v>
      </c>
      <c r="Q870" s="914"/>
      <c r="R870" s="914">
        <f t="shared" si="149"/>
        <v>0</v>
      </c>
      <c r="S870" s="914"/>
      <c r="T870" s="914">
        <f t="shared" si="150"/>
        <v>0</v>
      </c>
      <c r="U870" s="915">
        <f t="shared" si="151"/>
        <v>0</v>
      </c>
      <c r="V870" s="914">
        <f t="shared" si="147"/>
        <v>0</v>
      </c>
    </row>
    <row r="871" spans="1:22" ht="231.75" hidden="1" customHeight="1">
      <c r="A871" s="905"/>
      <c r="B871" s="906" t="s">
        <v>6690</v>
      </c>
      <c r="C871" s="959">
        <f>'  Coastal  Elec.Data '!K2965</f>
        <v>1161.3</v>
      </c>
      <c r="D871" s="972" t="s">
        <v>1393</v>
      </c>
      <c r="E871" s="914"/>
      <c r="F871" s="1053">
        <f t="shared" si="156"/>
        <v>0</v>
      </c>
      <c r="G871" s="914"/>
      <c r="H871" s="914">
        <f t="shared" si="152"/>
        <v>0</v>
      </c>
      <c r="I871" s="914"/>
      <c r="J871" s="914">
        <f t="shared" si="153"/>
        <v>0</v>
      </c>
      <c r="K871" s="914"/>
      <c r="L871" s="914">
        <f t="shared" si="154"/>
        <v>0</v>
      </c>
      <c r="M871" s="914"/>
      <c r="N871" s="914">
        <f t="shared" si="155"/>
        <v>0</v>
      </c>
      <c r="O871" s="914"/>
      <c r="P871" s="914">
        <f t="shared" si="148"/>
        <v>0</v>
      </c>
      <c r="Q871" s="914"/>
      <c r="R871" s="914">
        <f t="shared" si="149"/>
        <v>0</v>
      </c>
      <c r="S871" s="914"/>
      <c r="T871" s="914">
        <f t="shared" si="150"/>
        <v>0</v>
      </c>
      <c r="U871" s="915">
        <f t="shared" si="151"/>
        <v>0</v>
      </c>
      <c r="V871" s="914">
        <f t="shared" si="147"/>
        <v>0</v>
      </c>
    </row>
    <row r="872" spans="1:22" ht="231.75" hidden="1" customHeight="1">
      <c r="A872" s="905"/>
      <c r="B872" s="906" t="s">
        <v>6691</v>
      </c>
      <c r="C872" s="959">
        <f>'  Coastal  Elec.Data '!K2988</f>
        <v>134.47</v>
      </c>
      <c r="D872" s="972" t="s">
        <v>1393</v>
      </c>
      <c r="E872" s="914"/>
      <c r="F872" s="1053">
        <f t="shared" si="156"/>
        <v>0</v>
      </c>
      <c r="G872" s="914"/>
      <c r="H872" s="914">
        <f t="shared" si="152"/>
        <v>0</v>
      </c>
      <c r="I872" s="914"/>
      <c r="J872" s="914">
        <f t="shared" si="153"/>
        <v>0</v>
      </c>
      <c r="K872" s="914"/>
      <c r="L872" s="914">
        <f t="shared" si="154"/>
        <v>0</v>
      </c>
      <c r="M872" s="914"/>
      <c r="N872" s="914">
        <f t="shared" si="155"/>
        <v>0</v>
      </c>
      <c r="O872" s="914"/>
      <c r="P872" s="914">
        <f t="shared" si="148"/>
        <v>0</v>
      </c>
      <c r="Q872" s="914"/>
      <c r="R872" s="914">
        <f t="shared" si="149"/>
        <v>0</v>
      </c>
      <c r="S872" s="914"/>
      <c r="T872" s="914">
        <f t="shared" si="150"/>
        <v>0</v>
      </c>
      <c r="U872" s="915">
        <f t="shared" si="151"/>
        <v>0</v>
      </c>
      <c r="V872" s="914">
        <f t="shared" si="147"/>
        <v>0</v>
      </c>
    </row>
    <row r="873" spans="1:22" ht="280.5" customHeight="1">
      <c r="A873" s="905" t="s">
        <v>6951</v>
      </c>
      <c r="B873" s="906" t="s">
        <v>6692</v>
      </c>
      <c r="C873" s="959">
        <f>DATA!R1609</f>
        <v>89024.3</v>
      </c>
      <c r="D873" s="908" t="s">
        <v>525</v>
      </c>
      <c r="E873" s="915"/>
      <c r="F873" s="1053">
        <f t="shared" si="156"/>
        <v>0</v>
      </c>
      <c r="G873" s="915"/>
      <c r="H873" s="914">
        <f t="shared" si="152"/>
        <v>0</v>
      </c>
      <c r="I873" s="915"/>
      <c r="J873" s="914">
        <f t="shared" si="153"/>
        <v>0</v>
      </c>
      <c r="K873" s="914"/>
      <c r="L873" s="914">
        <f t="shared" si="154"/>
        <v>0</v>
      </c>
      <c r="M873" s="1182">
        <v>0.22800000000000001</v>
      </c>
      <c r="N873" s="914">
        <f t="shared" si="155"/>
        <v>20297.54</v>
      </c>
      <c r="O873" s="914"/>
      <c r="P873" s="914">
        <f t="shared" si="148"/>
        <v>0</v>
      </c>
      <c r="Q873" s="915"/>
      <c r="R873" s="914">
        <f t="shared" si="149"/>
        <v>0</v>
      </c>
      <c r="S873" s="915">
        <v>0.68600000000000005</v>
      </c>
      <c r="T873" s="914">
        <f t="shared" si="150"/>
        <v>61070.67</v>
      </c>
      <c r="U873" s="915">
        <f t="shared" si="151"/>
        <v>0.91400000000000003</v>
      </c>
      <c r="V873" s="914">
        <f t="shared" si="147"/>
        <v>81368.210000000006</v>
      </c>
    </row>
    <row r="874" spans="1:22" ht="231.75" customHeight="1">
      <c r="A874" s="905"/>
      <c r="B874" s="906" t="s">
        <v>6693</v>
      </c>
      <c r="C874" s="959">
        <f>DATA!R1640</f>
        <v>347.53</v>
      </c>
      <c r="D874" s="908" t="s">
        <v>823</v>
      </c>
      <c r="E874" s="914"/>
      <c r="F874" s="1053">
        <f t="shared" si="156"/>
        <v>0</v>
      </c>
      <c r="G874" s="914"/>
      <c r="H874" s="914">
        <f t="shared" si="152"/>
        <v>0</v>
      </c>
      <c r="I874" s="914"/>
      <c r="J874" s="914">
        <f t="shared" si="153"/>
        <v>0</v>
      </c>
      <c r="K874" s="914"/>
      <c r="L874" s="914">
        <f t="shared" si="154"/>
        <v>0</v>
      </c>
      <c r="M874" s="914"/>
      <c r="N874" s="914">
        <f t="shared" si="155"/>
        <v>0</v>
      </c>
      <c r="O874" s="914"/>
      <c r="P874" s="914">
        <f t="shared" si="148"/>
        <v>0</v>
      </c>
      <c r="Q874" s="914"/>
      <c r="R874" s="914">
        <f t="shared" si="149"/>
        <v>0</v>
      </c>
      <c r="S874" s="914"/>
      <c r="T874" s="914">
        <f t="shared" si="150"/>
        <v>0</v>
      </c>
      <c r="U874" s="915">
        <f t="shared" si="151"/>
        <v>0</v>
      </c>
      <c r="V874" s="914">
        <f t="shared" si="147"/>
        <v>0</v>
      </c>
    </row>
    <row r="875" spans="1:22" ht="231.75" hidden="1" customHeight="1">
      <c r="A875" s="905"/>
      <c r="B875" s="924" t="s">
        <v>4721</v>
      </c>
      <c r="C875" s="959">
        <f>DATA!K2331</f>
        <v>36.64</v>
      </c>
      <c r="D875" s="908"/>
      <c r="E875" s="919"/>
      <c r="F875" s="1053">
        <f t="shared" si="156"/>
        <v>0</v>
      </c>
      <c r="G875" s="919"/>
      <c r="H875" s="914">
        <f t="shared" si="152"/>
        <v>0</v>
      </c>
      <c r="I875" s="919"/>
      <c r="J875" s="914">
        <f t="shared" si="153"/>
        <v>0</v>
      </c>
      <c r="K875" s="914"/>
      <c r="L875" s="914">
        <f t="shared" si="154"/>
        <v>0</v>
      </c>
      <c r="M875" s="919"/>
      <c r="N875" s="914">
        <f t="shared" si="155"/>
        <v>0</v>
      </c>
      <c r="O875" s="919"/>
      <c r="P875" s="914">
        <f t="shared" si="148"/>
        <v>0</v>
      </c>
      <c r="Q875" s="919"/>
      <c r="R875" s="914">
        <f t="shared" si="149"/>
        <v>0</v>
      </c>
      <c r="S875" s="919"/>
      <c r="T875" s="914">
        <f t="shared" si="150"/>
        <v>0</v>
      </c>
      <c r="U875" s="915">
        <f t="shared" si="151"/>
        <v>0</v>
      </c>
      <c r="V875" s="914">
        <f t="shared" si="147"/>
        <v>0</v>
      </c>
    </row>
    <row r="876" spans="1:22" ht="231.75" hidden="1" customHeight="1">
      <c r="A876" s="905"/>
      <c r="B876" s="1003" t="s">
        <v>3900</v>
      </c>
      <c r="C876" s="959"/>
      <c r="D876" s="908"/>
      <c r="E876" s="911"/>
      <c r="F876" s="1053">
        <f t="shared" si="156"/>
        <v>0</v>
      </c>
      <c r="G876" s="914"/>
      <c r="H876" s="914">
        <f t="shared" si="152"/>
        <v>0</v>
      </c>
      <c r="I876" s="914"/>
      <c r="J876" s="914">
        <f t="shared" si="153"/>
        <v>0</v>
      </c>
      <c r="K876" s="914"/>
      <c r="L876" s="914">
        <f t="shared" si="154"/>
        <v>0</v>
      </c>
      <c r="M876" s="914"/>
      <c r="N876" s="914">
        <f t="shared" si="155"/>
        <v>0</v>
      </c>
      <c r="O876" s="914"/>
      <c r="P876" s="914">
        <f t="shared" si="148"/>
        <v>0</v>
      </c>
      <c r="Q876" s="914"/>
      <c r="R876" s="914">
        <f t="shared" si="149"/>
        <v>0</v>
      </c>
      <c r="S876" s="914"/>
      <c r="T876" s="914">
        <f t="shared" si="150"/>
        <v>0</v>
      </c>
      <c r="U876" s="915">
        <f t="shared" si="151"/>
        <v>0</v>
      </c>
      <c r="V876" s="914">
        <f t="shared" si="147"/>
        <v>0</v>
      </c>
    </row>
    <row r="877" spans="1:22" ht="231.75" hidden="1" customHeight="1">
      <c r="A877" s="905"/>
      <c r="B877" s="906" t="s">
        <v>46</v>
      </c>
      <c r="C877" s="959">
        <f>DATA!K1890</f>
        <v>252.01</v>
      </c>
      <c r="D877" s="908" t="s">
        <v>823</v>
      </c>
      <c r="E877" s="914"/>
      <c r="F877" s="1053">
        <f t="shared" si="156"/>
        <v>0</v>
      </c>
      <c r="G877" s="914"/>
      <c r="H877" s="914">
        <f t="shared" si="152"/>
        <v>0</v>
      </c>
      <c r="I877" s="914"/>
      <c r="J877" s="914">
        <f t="shared" si="153"/>
        <v>0</v>
      </c>
      <c r="K877" s="914"/>
      <c r="L877" s="914">
        <f t="shared" si="154"/>
        <v>0</v>
      </c>
      <c r="M877" s="914"/>
      <c r="N877" s="914">
        <f t="shared" si="155"/>
        <v>0</v>
      </c>
      <c r="O877" s="914"/>
      <c r="P877" s="914">
        <f t="shared" si="148"/>
        <v>0</v>
      </c>
      <c r="Q877" s="914"/>
      <c r="R877" s="914">
        <f t="shared" si="149"/>
        <v>0</v>
      </c>
      <c r="S877" s="914"/>
      <c r="T877" s="914">
        <f t="shared" si="150"/>
        <v>0</v>
      </c>
      <c r="U877" s="915">
        <f t="shared" si="151"/>
        <v>0</v>
      </c>
      <c r="V877" s="914">
        <f t="shared" si="147"/>
        <v>0</v>
      </c>
    </row>
    <row r="878" spans="1:22" ht="231.75" hidden="1" customHeight="1">
      <c r="A878" s="905"/>
      <c r="B878" s="906" t="s">
        <v>47</v>
      </c>
      <c r="C878" s="959">
        <f>DATA!K1882</f>
        <v>234.4</v>
      </c>
      <c r="D878" s="908" t="s">
        <v>823</v>
      </c>
      <c r="E878" s="914"/>
      <c r="F878" s="1053">
        <f t="shared" si="156"/>
        <v>0</v>
      </c>
      <c r="G878" s="914"/>
      <c r="H878" s="914">
        <f t="shared" si="152"/>
        <v>0</v>
      </c>
      <c r="I878" s="914"/>
      <c r="J878" s="914">
        <f t="shared" si="153"/>
        <v>0</v>
      </c>
      <c r="K878" s="914"/>
      <c r="L878" s="914">
        <f t="shared" si="154"/>
        <v>0</v>
      </c>
      <c r="M878" s="914"/>
      <c r="N878" s="914">
        <f t="shared" si="155"/>
        <v>0</v>
      </c>
      <c r="O878" s="914"/>
      <c r="P878" s="914">
        <f t="shared" si="148"/>
        <v>0</v>
      </c>
      <c r="Q878" s="914"/>
      <c r="R878" s="914">
        <f t="shared" si="149"/>
        <v>0</v>
      </c>
      <c r="S878" s="914"/>
      <c r="T878" s="914">
        <f t="shared" si="150"/>
        <v>0</v>
      </c>
      <c r="U878" s="915">
        <f t="shared" si="151"/>
        <v>0</v>
      </c>
      <c r="V878" s="914">
        <f t="shared" si="147"/>
        <v>0</v>
      </c>
    </row>
    <row r="879" spans="1:22" ht="231.75" hidden="1" customHeight="1">
      <c r="A879" s="905"/>
      <c r="B879" s="906" t="s">
        <v>3843</v>
      </c>
      <c r="C879" s="959">
        <f>DATA!K2767</f>
        <v>231.61</v>
      </c>
      <c r="D879" s="908" t="s">
        <v>823</v>
      </c>
      <c r="E879" s="919"/>
      <c r="F879" s="1053">
        <f t="shared" si="156"/>
        <v>0</v>
      </c>
      <c r="G879" s="919"/>
      <c r="H879" s="914">
        <f t="shared" si="152"/>
        <v>0</v>
      </c>
      <c r="I879" s="919"/>
      <c r="J879" s="914">
        <f t="shared" si="153"/>
        <v>0</v>
      </c>
      <c r="K879" s="914"/>
      <c r="L879" s="914">
        <f t="shared" si="154"/>
        <v>0</v>
      </c>
      <c r="M879" s="919"/>
      <c r="N879" s="914">
        <f t="shared" si="155"/>
        <v>0</v>
      </c>
      <c r="O879" s="919"/>
      <c r="P879" s="914">
        <f t="shared" si="148"/>
        <v>0</v>
      </c>
      <c r="Q879" s="919"/>
      <c r="R879" s="914">
        <f t="shared" si="149"/>
        <v>0</v>
      </c>
      <c r="S879" s="919"/>
      <c r="T879" s="914">
        <f t="shared" si="150"/>
        <v>0</v>
      </c>
      <c r="U879" s="915">
        <f t="shared" si="151"/>
        <v>0</v>
      </c>
      <c r="V879" s="914">
        <f t="shared" si="147"/>
        <v>0</v>
      </c>
    </row>
    <row r="880" spans="1:22" ht="231.75" hidden="1" customHeight="1">
      <c r="A880" s="905"/>
      <c r="B880" s="1003" t="s">
        <v>3975</v>
      </c>
      <c r="C880" s="959">
        <f>DATA!K3648</f>
        <v>370.07</v>
      </c>
      <c r="D880" s="972" t="s">
        <v>2273</v>
      </c>
      <c r="E880" s="919"/>
      <c r="F880" s="1053">
        <f t="shared" si="156"/>
        <v>0</v>
      </c>
      <c r="G880" s="919"/>
      <c r="H880" s="914">
        <f t="shared" si="152"/>
        <v>0</v>
      </c>
      <c r="I880" s="919"/>
      <c r="J880" s="914">
        <f t="shared" si="153"/>
        <v>0</v>
      </c>
      <c r="K880" s="914"/>
      <c r="L880" s="914">
        <f t="shared" si="154"/>
        <v>0</v>
      </c>
      <c r="M880" s="919"/>
      <c r="N880" s="914">
        <f t="shared" si="155"/>
        <v>0</v>
      </c>
      <c r="O880" s="919"/>
      <c r="P880" s="914">
        <f t="shared" si="148"/>
        <v>0</v>
      </c>
      <c r="Q880" s="919"/>
      <c r="R880" s="914">
        <f t="shared" si="149"/>
        <v>0</v>
      </c>
      <c r="S880" s="919"/>
      <c r="T880" s="914">
        <f t="shared" si="150"/>
        <v>0</v>
      </c>
      <c r="U880" s="915">
        <f t="shared" si="151"/>
        <v>0</v>
      </c>
      <c r="V880" s="914">
        <f t="shared" si="147"/>
        <v>0</v>
      </c>
    </row>
    <row r="881" spans="1:22" ht="231.75" hidden="1" customHeight="1">
      <c r="A881" s="916"/>
      <c r="B881" s="974" t="s">
        <v>3618</v>
      </c>
      <c r="C881" s="1011">
        <f>DATA!AF3115</f>
        <v>488</v>
      </c>
      <c r="D881" s="978" t="s">
        <v>1393</v>
      </c>
      <c r="E881" s="919"/>
      <c r="F881" s="1053">
        <f t="shared" si="156"/>
        <v>0</v>
      </c>
      <c r="G881" s="919"/>
      <c r="H881" s="914">
        <f t="shared" si="152"/>
        <v>0</v>
      </c>
      <c r="I881" s="919"/>
      <c r="J881" s="914">
        <f t="shared" si="153"/>
        <v>0</v>
      </c>
      <c r="K881" s="914"/>
      <c r="L881" s="914">
        <f t="shared" si="154"/>
        <v>0</v>
      </c>
      <c r="M881" s="919"/>
      <c r="N881" s="914">
        <f t="shared" si="155"/>
        <v>0</v>
      </c>
      <c r="O881" s="919"/>
      <c r="P881" s="914">
        <f t="shared" ref="P881:P912" si="157">O881*C881</f>
        <v>0</v>
      </c>
      <c r="Q881" s="919"/>
      <c r="R881" s="914">
        <f t="shared" ref="R881:R912" si="158">Q881*C881</f>
        <v>0</v>
      </c>
      <c r="S881" s="919"/>
      <c r="T881" s="914">
        <f t="shared" ref="T881:T912" si="159">S881*C881</f>
        <v>0</v>
      </c>
      <c r="U881" s="915">
        <f t="shared" si="151"/>
        <v>0</v>
      </c>
      <c r="V881" s="914">
        <f t="shared" si="147"/>
        <v>0</v>
      </c>
    </row>
    <row r="882" spans="1:22" s="920" customFormat="1" ht="231.75" hidden="1" customHeight="1">
      <c r="A882" s="916"/>
      <c r="B882" s="974" t="s">
        <v>3619</v>
      </c>
      <c r="C882" s="1011">
        <f>DATA!AH3115</f>
        <v>440</v>
      </c>
      <c r="D882" s="978" t="s">
        <v>1393</v>
      </c>
      <c r="E882" s="919"/>
      <c r="F882" s="1053">
        <f t="shared" si="156"/>
        <v>0</v>
      </c>
      <c r="G882" s="919"/>
      <c r="H882" s="914">
        <f t="shared" si="152"/>
        <v>0</v>
      </c>
      <c r="I882" s="919"/>
      <c r="J882" s="914">
        <f t="shared" si="153"/>
        <v>0</v>
      </c>
      <c r="K882" s="914"/>
      <c r="L882" s="914">
        <f t="shared" si="154"/>
        <v>0</v>
      </c>
      <c r="M882" s="919"/>
      <c r="N882" s="914">
        <f t="shared" si="155"/>
        <v>0</v>
      </c>
      <c r="O882" s="919"/>
      <c r="P882" s="914">
        <f t="shared" si="157"/>
        <v>0</v>
      </c>
      <c r="Q882" s="919"/>
      <c r="R882" s="914">
        <f t="shared" si="158"/>
        <v>0</v>
      </c>
      <c r="S882" s="919"/>
      <c r="T882" s="914">
        <f t="shared" si="159"/>
        <v>0</v>
      </c>
      <c r="U882" s="915">
        <f t="shared" si="151"/>
        <v>0</v>
      </c>
      <c r="V882" s="914">
        <f t="shared" si="147"/>
        <v>0</v>
      </c>
    </row>
    <row r="883" spans="1:22" s="920" customFormat="1" ht="231.75" hidden="1" customHeight="1">
      <c r="A883" s="905"/>
      <c r="B883" s="906" t="s">
        <v>3897</v>
      </c>
      <c r="C883" s="959">
        <v>51.4</v>
      </c>
      <c r="D883" s="1004" t="s">
        <v>1637</v>
      </c>
      <c r="E883" s="919"/>
      <c r="F883" s="1053">
        <f t="shared" si="156"/>
        <v>0</v>
      </c>
      <c r="G883" s="919"/>
      <c r="H883" s="914">
        <f t="shared" si="152"/>
        <v>0</v>
      </c>
      <c r="I883" s="919"/>
      <c r="J883" s="914">
        <f t="shared" si="153"/>
        <v>0</v>
      </c>
      <c r="K883" s="914"/>
      <c r="L883" s="914">
        <f t="shared" si="154"/>
        <v>0</v>
      </c>
      <c r="M883" s="919"/>
      <c r="N883" s="914">
        <f t="shared" si="155"/>
        <v>0</v>
      </c>
      <c r="O883" s="919"/>
      <c r="P883" s="914">
        <f t="shared" si="157"/>
        <v>0</v>
      </c>
      <c r="Q883" s="919"/>
      <c r="R883" s="914">
        <f t="shared" si="158"/>
        <v>0</v>
      </c>
      <c r="S883" s="919"/>
      <c r="T883" s="914">
        <f t="shared" si="159"/>
        <v>0</v>
      </c>
      <c r="U883" s="915">
        <f t="shared" si="151"/>
        <v>0</v>
      </c>
      <c r="V883" s="914">
        <f t="shared" si="147"/>
        <v>0</v>
      </c>
    </row>
    <row r="884" spans="1:22" ht="231.75" hidden="1" customHeight="1">
      <c r="A884" s="916"/>
      <c r="B884" s="917" t="s">
        <v>4702</v>
      </c>
      <c r="C884" s="1011">
        <f>DATA!AD1229</f>
        <v>2296.91</v>
      </c>
      <c r="D884" s="978" t="s">
        <v>2273</v>
      </c>
      <c r="E884" s="919"/>
      <c r="F884" s="1053">
        <f t="shared" si="156"/>
        <v>0</v>
      </c>
      <c r="G884" s="919"/>
      <c r="H884" s="914">
        <f t="shared" si="152"/>
        <v>0</v>
      </c>
      <c r="I884" s="919"/>
      <c r="J884" s="914">
        <f t="shared" si="153"/>
        <v>0</v>
      </c>
      <c r="K884" s="914"/>
      <c r="L884" s="914">
        <f t="shared" si="154"/>
        <v>0</v>
      </c>
      <c r="M884" s="919"/>
      <c r="N884" s="914">
        <f t="shared" si="155"/>
        <v>0</v>
      </c>
      <c r="O884" s="919"/>
      <c r="P884" s="914">
        <f t="shared" si="157"/>
        <v>0</v>
      </c>
      <c r="Q884" s="919"/>
      <c r="R884" s="914">
        <f t="shared" si="158"/>
        <v>0</v>
      </c>
      <c r="S884" s="919"/>
      <c r="T884" s="914">
        <f t="shared" si="159"/>
        <v>0</v>
      </c>
      <c r="U884" s="915">
        <f t="shared" si="151"/>
        <v>0</v>
      </c>
      <c r="V884" s="914">
        <f t="shared" si="147"/>
        <v>0</v>
      </c>
    </row>
    <row r="885" spans="1:22" s="920" customFormat="1" ht="231.75" hidden="1" customHeight="1">
      <c r="A885" s="905" t="s">
        <v>3769</v>
      </c>
      <c r="B885" s="924" t="s">
        <v>4477</v>
      </c>
      <c r="C885" s="957"/>
      <c r="D885" s="957"/>
      <c r="E885" s="919"/>
      <c r="F885" s="1053">
        <f t="shared" si="156"/>
        <v>0</v>
      </c>
      <c r="G885" s="919"/>
      <c r="H885" s="914">
        <f t="shared" si="152"/>
        <v>0</v>
      </c>
      <c r="I885" s="919"/>
      <c r="J885" s="914">
        <f t="shared" si="153"/>
        <v>0</v>
      </c>
      <c r="K885" s="914"/>
      <c r="L885" s="914">
        <f t="shared" si="154"/>
        <v>0</v>
      </c>
      <c r="M885" s="919"/>
      <c r="N885" s="914">
        <f t="shared" si="155"/>
        <v>0</v>
      </c>
      <c r="O885" s="919"/>
      <c r="P885" s="914">
        <f t="shared" si="157"/>
        <v>0</v>
      </c>
      <c r="Q885" s="919"/>
      <c r="R885" s="914">
        <f t="shared" si="158"/>
        <v>0</v>
      </c>
      <c r="S885" s="919"/>
      <c r="T885" s="914">
        <f t="shared" si="159"/>
        <v>0</v>
      </c>
      <c r="U885" s="915">
        <f t="shared" si="151"/>
        <v>0</v>
      </c>
      <c r="V885" s="914">
        <f t="shared" si="147"/>
        <v>0</v>
      </c>
    </row>
    <row r="886" spans="1:22" ht="231.75" hidden="1" customHeight="1">
      <c r="A886" s="905"/>
      <c r="B886" s="924" t="s">
        <v>4116</v>
      </c>
      <c r="C886" s="1013">
        <f>'pile data ( M30 grade) (2)'!F17</f>
        <v>5177.3500000000004</v>
      </c>
      <c r="D886" s="906" t="s">
        <v>823</v>
      </c>
      <c r="E886" s="919"/>
      <c r="F886" s="1053">
        <f t="shared" si="156"/>
        <v>0</v>
      </c>
      <c r="G886" s="919"/>
      <c r="H886" s="914">
        <f t="shared" si="152"/>
        <v>0</v>
      </c>
      <c r="I886" s="919"/>
      <c r="J886" s="914">
        <f t="shared" si="153"/>
        <v>0</v>
      </c>
      <c r="K886" s="914"/>
      <c r="L886" s="914">
        <f t="shared" si="154"/>
        <v>0</v>
      </c>
      <c r="M886" s="919"/>
      <c r="N886" s="914">
        <f t="shared" si="155"/>
        <v>0</v>
      </c>
      <c r="O886" s="919"/>
      <c r="P886" s="914">
        <f t="shared" si="157"/>
        <v>0</v>
      </c>
      <c r="Q886" s="919"/>
      <c r="R886" s="914">
        <f t="shared" si="158"/>
        <v>0</v>
      </c>
      <c r="S886" s="919"/>
      <c r="T886" s="914">
        <f t="shared" si="159"/>
        <v>0</v>
      </c>
      <c r="U886" s="915">
        <f t="shared" si="151"/>
        <v>0</v>
      </c>
      <c r="V886" s="914">
        <f t="shared" si="147"/>
        <v>0</v>
      </c>
    </row>
    <row r="887" spans="1:22" ht="231.75" hidden="1" customHeight="1">
      <c r="A887" s="905"/>
      <c r="B887" s="924" t="s">
        <v>4117</v>
      </c>
      <c r="C887" s="1013">
        <f>'pile data ( M30 grade) (2)'!F81</f>
        <v>2524.7800000000002</v>
      </c>
      <c r="D887" s="906" t="s">
        <v>823</v>
      </c>
      <c r="E887" s="919"/>
      <c r="F887" s="1053">
        <f t="shared" si="156"/>
        <v>0</v>
      </c>
      <c r="G887" s="919"/>
      <c r="H887" s="914">
        <f t="shared" si="152"/>
        <v>0</v>
      </c>
      <c r="I887" s="919"/>
      <c r="J887" s="914">
        <f t="shared" si="153"/>
        <v>0</v>
      </c>
      <c r="K887" s="914"/>
      <c r="L887" s="914">
        <f t="shared" si="154"/>
        <v>0</v>
      </c>
      <c r="M887" s="919"/>
      <c r="N887" s="914">
        <f t="shared" si="155"/>
        <v>0</v>
      </c>
      <c r="O887" s="919"/>
      <c r="P887" s="914">
        <f t="shared" si="157"/>
        <v>0</v>
      </c>
      <c r="Q887" s="919"/>
      <c r="R887" s="914">
        <f t="shared" si="158"/>
        <v>0</v>
      </c>
      <c r="S887" s="919"/>
      <c r="T887" s="914">
        <f t="shared" si="159"/>
        <v>0</v>
      </c>
      <c r="U887" s="915">
        <f t="shared" si="151"/>
        <v>0</v>
      </c>
      <c r="V887" s="914">
        <f t="shared" si="147"/>
        <v>0</v>
      </c>
    </row>
    <row r="888" spans="1:22" ht="231.75" hidden="1" customHeight="1">
      <c r="A888" s="905"/>
      <c r="B888" s="924" t="s">
        <v>4118</v>
      </c>
      <c r="C888" s="1013">
        <f>'pile data ( M30 grade) (2)'!F141</f>
        <v>2524.2600000000002</v>
      </c>
      <c r="D888" s="906" t="s">
        <v>823</v>
      </c>
      <c r="E888" s="919"/>
      <c r="F888" s="1053">
        <f t="shared" si="156"/>
        <v>0</v>
      </c>
      <c r="G888" s="919"/>
      <c r="H888" s="914">
        <f t="shared" si="152"/>
        <v>0</v>
      </c>
      <c r="I888" s="919"/>
      <c r="J888" s="914">
        <f t="shared" si="153"/>
        <v>0</v>
      </c>
      <c r="K888" s="914"/>
      <c r="L888" s="914">
        <f t="shared" si="154"/>
        <v>0</v>
      </c>
      <c r="M888" s="919"/>
      <c r="N888" s="914">
        <f t="shared" si="155"/>
        <v>0</v>
      </c>
      <c r="O888" s="919"/>
      <c r="P888" s="914">
        <f t="shared" si="157"/>
        <v>0</v>
      </c>
      <c r="Q888" s="919"/>
      <c r="R888" s="914">
        <f t="shared" si="158"/>
        <v>0</v>
      </c>
      <c r="S888" s="919"/>
      <c r="T888" s="914">
        <f t="shared" si="159"/>
        <v>0</v>
      </c>
      <c r="U888" s="915">
        <f t="shared" si="151"/>
        <v>0</v>
      </c>
      <c r="V888" s="914">
        <f t="shared" si="147"/>
        <v>0</v>
      </c>
    </row>
    <row r="889" spans="1:22" ht="231.75" hidden="1" customHeight="1">
      <c r="A889" s="905"/>
      <c r="B889" s="924" t="s">
        <v>3948</v>
      </c>
      <c r="C889" s="1013"/>
      <c r="D889" s="906"/>
      <c r="E889" s="919"/>
      <c r="F889" s="1053">
        <f t="shared" si="156"/>
        <v>0</v>
      </c>
      <c r="G889" s="919"/>
      <c r="H889" s="914">
        <f t="shared" si="152"/>
        <v>0</v>
      </c>
      <c r="I889" s="919"/>
      <c r="J889" s="914">
        <f t="shared" si="153"/>
        <v>0</v>
      </c>
      <c r="K889" s="914"/>
      <c r="L889" s="914">
        <f t="shared" si="154"/>
        <v>0</v>
      </c>
      <c r="M889" s="919"/>
      <c r="N889" s="914">
        <f t="shared" si="155"/>
        <v>0</v>
      </c>
      <c r="O889" s="919"/>
      <c r="P889" s="914">
        <f t="shared" si="157"/>
        <v>0</v>
      </c>
      <c r="Q889" s="919"/>
      <c r="R889" s="914">
        <f t="shared" si="158"/>
        <v>0</v>
      </c>
      <c r="S889" s="919"/>
      <c r="T889" s="914">
        <f t="shared" si="159"/>
        <v>0</v>
      </c>
      <c r="U889" s="915">
        <f t="shared" si="151"/>
        <v>0</v>
      </c>
      <c r="V889" s="914">
        <f t="shared" si="147"/>
        <v>0</v>
      </c>
    </row>
    <row r="890" spans="1:22" ht="231.75" hidden="1" customHeight="1">
      <c r="A890" s="905"/>
      <c r="B890" s="924" t="s">
        <v>3949</v>
      </c>
      <c r="C890" s="1014"/>
      <c r="D890" s="957"/>
      <c r="E890" s="919"/>
      <c r="F890" s="1053">
        <f t="shared" si="156"/>
        <v>0</v>
      </c>
      <c r="G890" s="919"/>
      <c r="H890" s="914">
        <f t="shared" si="152"/>
        <v>0</v>
      </c>
      <c r="I890" s="919"/>
      <c r="J890" s="914">
        <f t="shared" si="153"/>
        <v>0</v>
      </c>
      <c r="K890" s="914"/>
      <c r="L890" s="914">
        <f t="shared" si="154"/>
        <v>0</v>
      </c>
      <c r="M890" s="919"/>
      <c r="N890" s="914">
        <f t="shared" si="155"/>
        <v>0</v>
      </c>
      <c r="O890" s="919"/>
      <c r="P890" s="914">
        <f t="shared" si="157"/>
        <v>0</v>
      </c>
      <c r="Q890" s="919"/>
      <c r="R890" s="914">
        <f t="shared" si="158"/>
        <v>0</v>
      </c>
      <c r="S890" s="919"/>
      <c r="T890" s="914">
        <f t="shared" si="159"/>
        <v>0</v>
      </c>
      <c r="U890" s="915">
        <f t="shared" si="151"/>
        <v>0</v>
      </c>
      <c r="V890" s="914">
        <f t="shared" si="147"/>
        <v>0</v>
      </c>
    </row>
    <row r="891" spans="1:22" ht="231.75" hidden="1" customHeight="1">
      <c r="A891" s="905"/>
      <c r="B891" s="924" t="s">
        <v>4116</v>
      </c>
      <c r="C891" s="1013">
        <f>'pile data ( M30 grade) (2)'!F28</f>
        <v>1265.8800000000001</v>
      </c>
      <c r="D891" s="906" t="s">
        <v>823</v>
      </c>
      <c r="E891" s="919"/>
      <c r="F891" s="1053">
        <f t="shared" si="156"/>
        <v>0</v>
      </c>
      <c r="G891" s="919"/>
      <c r="H891" s="914">
        <f t="shared" si="152"/>
        <v>0</v>
      </c>
      <c r="I891" s="919"/>
      <c r="J891" s="914">
        <f t="shared" si="153"/>
        <v>0</v>
      </c>
      <c r="K891" s="914"/>
      <c r="L891" s="914">
        <f t="shared" si="154"/>
        <v>0</v>
      </c>
      <c r="M891" s="919"/>
      <c r="N891" s="914">
        <f t="shared" si="155"/>
        <v>0</v>
      </c>
      <c r="O891" s="919"/>
      <c r="P891" s="914">
        <f t="shared" si="157"/>
        <v>0</v>
      </c>
      <c r="Q891" s="919"/>
      <c r="R891" s="914">
        <f t="shared" si="158"/>
        <v>0</v>
      </c>
      <c r="S891" s="919"/>
      <c r="T891" s="914">
        <f t="shared" si="159"/>
        <v>0</v>
      </c>
      <c r="U891" s="915">
        <f t="shared" si="151"/>
        <v>0</v>
      </c>
      <c r="V891" s="914">
        <f t="shared" si="147"/>
        <v>0</v>
      </c>
    </row>
    <row r="892" spans="1:22" ht="231.75" hidden="1" customHeight="1">
      <c r="A892" s="905"/>
      <c r="B892" s="924" t="s">
        <v>4117</v>
      </c>
      <c r="C892" s="1013">
        <f>'pile data ( M30 grade) (2)'!F92</f>
        <v>1024.67</v>
      </c>
      <c r="D892" s="906" t="s">
        <v>823</v>
      </c>
      <c r="E892" s="919"/>
      <c r="F892" s="1053">
        <f t="shared" si="156"/>
        <v>0</v>
      </c>
      <c r="G892" s="919"/>
      <c r="H892" s="914">
        <f t="shared" si="152"/>
        <v>0</v>
      </c>
      <c r="I892" s="919"/>
      <c r="J892" s="914">
        <f t="shared" si="153"/>
        <v>0</v>
      </c>
      <c r="K892" s="914"/>
      <c r="L892" s="914">
        <f t="shared" si="154"/>
        <v>0</v>
      </c>
      <c r="M892" s="919"/>
      <c r="N892" s="914">
        <f t="shared" si="155"/>
        <v>0</v>
      </c>
      <c r="O892" s="919"/>
      <c r="P892" s="914">
        <f t="shared" si="157"/>
        <v>0</v>
      </c>
      <c r="Q892" s="919"/>
      <c r="R892" s="914">
        <f t="shared" si="158"/>
        <v>0</v>
      </c>
      <c r="S892" s="919"/>
      <c r="T892" s="914">
        <f t="shared" si="159"/>
        <v>0</v>
      </c>
      <c r="U892" s="915">
        <f t="shared" si="151"/>
        <v>0</v>
      </c>
      <c r="V892" s="914">
        <f t="shared" si="147"/>
        <v>0</v>
      </c>
    </row>
    <row r="893" spans="1:22" ht="231.75" hidden="1" customHeight="1">
      <c r="A893" s="905"/>
      <c r="B893" s="924" t="s">
        <v>4118</v>
      </c>
      <c r="C893" s="1013">
        <f>'pile data ( M30 grade) (2)'!F152</f>
        <v>812</v>
      </c>
      <c r="D893" s="906" t="s">
        <v>823</v>
      </c>
      <c r="E893" s="919"/>
      <c r="F893" s="1053">
        <f t="shared" si="156"/>
        <v>0</v>
      </c>
      <c r="G893" s="919"/>
      <c r="H893" s="914">
        <f t="shared" si="152"/>
        <v>0</v>
      </c>
      <c r="I893" s="919"/>
      <c r="J893" s="914">
        <f t="shared" si="153"/>
        <v>0</v>
      </c>
      <c r="K893" s="914"/>
      <c r="L893" s="914">
        <f t="shared" si="154"/>
        <v>0</v>
      </c>
      <c r="M893" s="919"/>
      <c r="N893" s="914">
        <f t="shared" si="155"/>
        <v>0</v>
      </c>
      <c r="O893" s="919"/>
      <c r="P893" s="914">
        <f t="shared" si="157"/>
        <v>0</v>
      </c>
      <c r="Q893" s="919"/>
      <c r="R893" s="914">
        <f t="shared" si="158"/>
        <v>0</v>
      </c>
      <c r="S893" s="919"/>
      <c r="T893" s="914">
        <f t="shared" si="159"/>
        <v>0</v>
      </c>
      <c r="U893" s="915">
        <f t="shared" si="151"/>
        <v>0</v>
      </c>
      <c r="V893" s="914">
        <f t="shared" si="147"/>
        <v>0</v>
      </c>
    </row>
    <row r="894" spans="1:22" ht="231.75" hidden="1" customHeight="1">
      <c r="A894" s="905"/>
      <c r="B894" s="924" t="s">
        <v>3950</v>
      </c>
      <c r="C894" s="1015">
        <v>50000</v>
      </c>
      <c r="D894" s="906" t="s">
        <v>1389</v>
      </c>
      <c r="E894" s="919"/>
      <c r="F894" s="1053">
        <f t="shared" si="156"/>
        <v>0</v>
      </c>
      <c r="G894" s="919"/>
      <c r="H894" s="914">
        <f t="shared" si="152"/>
        <v>0</v>
      </c>
      <c r="I894" s="919"/>
      <c r="J894" s="914">
        <f t="shared" si="153"/>
        <v>0</v>
      </c>
      <c r="K894" s="914"/>
      <c r="L894" s="914">
        <f t="shared" si="154"/>
        <v>0</v>
      </c>
      <c r="M894" s="919"/>
      <c r="N894" s="914">
        <f t="shared" si="155"/>
        <v>0</v>
      </c>
      <c r="O894" s="919"/>
      <c r="P894" s="914">
        <f t="shared" si="157"/>
        <v>0</v>
      </c>
      <c r="Q894" s="919"/>
      <c r="R894" s="914">
        <f t="shared" si="158"/>
        <v>0</v>
      </c>
      <c r="S894" s="919"/>
      <c r="T894" s="914">
        <f t="shared" si="159"/>
        <v>0</v>
      </c>
      <c r="U894" s="915">
        <f t="shared" si="151"/>
        <v>0</v>
      </c>
      <c r="V894" s="914">
        <f t="shared" si="147"/>
        <v>0</v>
      </c>
    </row>
    <row r="895" spans="1:22" ht="231.75" hidden="1" customHeight="1">
      <c r="A895" s="905"/>
      <c r="B895" s="924" t="s">
        <v>3951</v>
      </c>
      <c r="C895" s="1015">
        <v>70000</v>
      </c>
      <c r="D895" s="906" t="s">
        <v>1389</v>
      </c>
      <c r="E895" s="919"/>
      <c r="F895" s="1053">
        <f t="shared" si="156"/>
        <v>0</v>
      </c>
      <c r="G895" s="919"/>
      <c r="H895" s="914">
        <f t="shared" si="152"/>
        <v>0</v>
      </c>
      <c r="I895" s="919"/>
      <c r="J895" s="914">
        <f t="shared" si="153"/>
        <v>0</v>
      </c>
      <c r="K895" s="914"/>
      <c r="L895" s="914">
        <f t="shared" si="154"/>
        <v>0</v>
      </c>
      <c r="M895" s="919"/>
      <c r="N895" s="914">
        <f t="shared" si="155"/>
        <v>0</v>
      </c>
      <c r="O895" s="919"/>
      <c r="P895" s="914">
        <f t="shared" si="157"/>
        <v>0</v>
      </c>
      <c r="Q895" s="919"/>
      <c r="R895" s="914">
        <f t="shared" si="158"/>
        <v>0</v>
      </c>
      <c r="S895" s="919"/>
      <c r="T895" s="914">
        <f t="shared" si="159"/>
        <v>0</v>
      </c>
      <c r="U895" s="915">
        <f t="shared" si="151"/>
        <v>0</v>
      </c>
      <c r="V895" s="914">
        <f t="shared" si="147"/>
        <v>0</v>
      </c>
    </row>
    <row r="896" spans="1:22" ht="231.75" hidden="1" customHeight="1">
      <c r="A896" s="905"/>
      <c r="B896" s="906" t="s">
        <v>6694</v>
      </c>
      <c r="C896" s="959">
        <v>713.54</v>
      </c>
      <c r="D896" s="908" t="s">
        <v>2273</v>
      </c>
      <c r="E896" s="919"/>
      <c r="F896" s="1053">
        <f t="shared" si="156"/>
        <v>0</v>
      </c>
      <c r="G896" s="919"/>
      <c r="H896" s="914">
        <f t="shared" si="152"/>
        <v>0</v>
      </c>
      <c r="I896" s="919"/>
      <c r="J896" s="914">
        <f t="shared" si="153"/>
        <v>0</v>
      </c>
      <c r="K896" s="914"/>
      <c r="L896" s="914">
        <f t="shared" si="154"/>
        <v>0</v>
      </c>
      <c r="M896" s="919"/>
      <c r="N896" s="914">
        <f t="shared" si="155"/>
        <v>0</v>
      </c>
      <c r="O896" s="919"/>
      <c r="P896" s="914">
        <f t="shared" si="157"/>
        <v>0</v>
      </c>
      <c r="Q896" s="919"/>
      <c r="R896" s="914">
        <f t="shared" si="158"/>
        <v>0</v>
      </c>
      <c r="S896" s="919"/>
      <c r="T896" s="914">
        <f t="shared" si="159"/>
        <v>0</v>
      </c>
      <c r="U896" s="915">
        <f t="shared" si="151"/>
        <v>0</v>
      </c>
      <c r="V896" s="914">
        <f t="shared" si="147"/>
        <v>0</v>
      </c>
    </row>
    <row r="897" spans="1:22" ht="231.75" hidden="1" customHeight="1">
      <c r="A897" s="905"/>
      <c r="B897" s="924" t="s">
        <v>4075</v>
      </c>
      <c r="C897" s="959"/>
      <c r="D897" s="908"/>
      <c r="E897" s="919"/>
      <c r="F897" s="1053">
        <f t="shared" si="156"/>
        <v>0</v>
      </c>
      <c r="G897" s="919"/>
      <c r="H897" s="914">
        <f t="shared" si="152"/>
        <v>0</v>
      </c>
      <c r="I897" s="919"/>
      <c r="J897" s="914">
        <f t="shared" si="153"/>
        <v>0</v>
      </c>
      <c r="K897" s="914"/>
      <c r="L897" s="914">
        <f t="shared" si="154"/>
        <v>0</v>
      </c>
      <c r="M897" s="919"/>
      <c r="N897" s="914">
        <f t="shared" si="155"/>
        <v>0</v>
      </c>
      <c r="O897" s="919"/>
      <c r="P897" s="914">
        <f t="shared" si="157"/>
        <v>0</v>
      </c>
      <c r="Q897" s="919"/>
      <c r="R897" s="914">
        <f t="shared" si="158"/>
        <v>0</v>
      </c>
      <c r="S897" s="919"/>
      <c r="T897" s="914">
        <f t="shared" si="159"/>
        <v>0</v>
      </c>
      <c r="U897" s="915">
        <f t="shared" si="151"/>
        <v>0</v>
      </c>
      <c r="V897" s="914">
        <f t="shared" si="147"/>
        <v>0</v>
      </c>
    </row>
    <row r="898" spans="1:22" ht="231.75" hidden="1" customHeight="1">
      <c r="A898" s="905"/>
      <c r="B898" s="906" t="s">
        <v>2133</v>
      </c>
      <c r="C898" s="959">
        <f>Elec.Data!K992</f>
        <v>921.2</v>
      </c>
      <c r="D898" s="908" t="s">
        <v>1393</v>
      </c>
      <c r="E898" s="919"/>
      <c r="F898" s="1053">
        <f t="shared" si="156"/>
        <v>0</v>
      </c>
      <c r="G898" s="919"/>
      <c r="H898" s="914">
        <f t="shared" si="152"/>
        <v>0</v>
      </c>
      <c r="I898" s="919"/>
      <c r="J898" s="914">
        <f t="shared" si="153"/>
        <v>0</v>
      </c>
      <c r="K898" s="914"/>
      <c r="L898" s="914">
        <f t="shared" si="154"/>
        <v>0</v>
      </c>
      <c r="M898" s="919"/>
      <c r="N898" s="914">
        <f t="shared" si="155"/>
        <v>0</v>
      </c>
      <c r="O898" s="919"/>
      <c r="P898" s="914">
        <f t="shared" si="157"/>
        <v>0</v>
      </c>
      <c r="Q898" s="919"/>
      <c r="R898" s="914">
        <f t="shared" si="158"/>
        <v>0</v>
      </c>
      <c r="S898" s="919"/>
      <c r="T898" s="914">
        <f t="shared" si="159"/>
        <v>0</v>
      </c>
      <c r="U898" s="915">
        <f t="shared" si="151"/>
        <v>0</v>
      </c>
      <c r="V898" s="914">
        <f t="shared" si="147"/>
        <v>0</v>
      </c>
    </row>
    <row r="899" spans="1:22" ht="231.75" hidden="1" customHeight="1">
      <c r="A899" s="905"/>
      <c r="B899" s="906" t="s">
        <v>1265</v>
      </c>
      <c r="C899" s="959">
        <f>Elec.Data!K1018</f>
        <v>923.2</v>
      </c>
      <c r="D899" s="908" t="s">
        <v>1393</v>
      </c>
      <c r="E899" s="919"/>
      <c r="F899" s="1053">
        <f t="shared" si="156"/>
        <v>0</v>
      </c>
      <c r="G899" s="919"/>
      <c r="H899" s="914">
        <f t="shared" si="152"/>
        <v>0</v>
      </c>
      <c r="I899" s="919"/>
      <c r="J899" s="914">
        <f t="shared" si="153"/>
        <v>0</v>
      </c>
      <c r="K899" s="914"/>
      <c r="L899" s="914">
        <f t="shared" si="154"/>
        <v>0</v>
      </c>
      <c r="M899" s="919"/>
      <c r="N899" s="914">
        <f t="shared" si="155"/>
        <v>0</v>
      </c>
      <c r="O899" s="919"/>
      <c r="P899" s="914">
        <f t="shared" si="157"/>
        <v>0</v>
      </c>
      <c r="Q899" s="919"/>
      <c r="R899" s="914">
        <f t="shared" si="158"/>
        <v>0</v>
      </c>
      <c r="S899" s="919"/>
      <c r="T899" s="914">
        <f t="shared" si="159"/>
        <v>0</v>
      </c>
      <c r="U899" s="915">
        <f t="shared" si="151"/>
        <v>0</v>
      </c>
      <c r="V899" s="914">
        <f t="shared" si="147"/>
        <v>0</v>
      </c>
    </row>
    <row r="900" spans="1:22" ht="231.75" hidden="1" customHeight="1">
      <c r="A900" s="905"/>
      <c r="B900" s="906" t="s">
        <v>5778</v>
      </c>
      <c r="C900" s="959">
        <f>Elec.Data!K1034</f>
        <v>961.2</v>
      </c>
      <c r="D900" s="908"/>
      <c r="E900" s="919"/>
      <c r="F900" s="1053">
        <f t="shared" si="156"/>
        <v>0</v>
      </c>
      <c r="G900" s="919"/>
      <c r="H900" s="914">
        <f t="shared" si="152"/>
        <v>0</v>
      </c>
      <c r="I900" s="919"/>
      <c r="J900" s="914">
        <f t="shared" si="153"/>
        <v>0</v>
      </c>
      <c r="K900" s="914"/>
      <c r="L900" s="914">
        <f t="shared" si="154"/>
        <v>0</v>
      </c>
      <c r="M900" s="919"/>
      <c r="N900" s="914">
        <f t="shared" si="155"/>
        <v>0</v>
      </c>
      <c r="O900" s="919"/>
      <c r="P900" s="914">
        <f t="shared" si="157"/>
        <v>0</v>
      </c>
      <c r="Q900" s="919"/>
      <c r="R900" s="914">
        <f t="shared" si="158"/>
        <v>0</v>
      </c>
      <c r="S900" s="919"/>
      <c r="T900" s="914">
        <f t="shared" si="159"/>
        <v>0</v>
      </c>
      <c r="U900" s="915">
        <f t="shared" si="151"/>
        <v>0</v>
      </c>
      <c r="V900" s="914">
        <f t="shared" si="147"/>
        <v>0</v>
      </c>
    </row>
    <row r="901" spans="1:22" ht="231.75" hidden="1" customHeight="1">
      <c r="A901" s="905"/>
      <c r="B901" s="906" t="s">
        <v>6695</v>
      </c>
      <c r="C901" s="959">
        <f>Elec.Data!K1095</f>
        <v>707.47</v>
      </c>
      <c r="D901" s="908" t="s">
        <v>1393</v>
      </c>
      <c r="E901" s="919"/>
      <c r="F901" s="1053">
        <f t="shared" si="156"/>
        <v>0</v>
      </c>
      <c r="G901" s="919"/>
      <c r="H901" s="914">
        <f t="shared" si="152"/>
        <v>0</v>
      </c>
      <c r="I901" s="919"/>
      <c r="J901" s="914">
        <f t="shared" si="153"/>
        <v>0</v>
      </c>
      <c r="K901" s="914"/>
      <c r="L901" s="914">
        <f t="shared" si="154"/>
        <v>0</v>
      </c>
      <c r="M901" s="919"/>
      <c r="N901" s="914">
        <f t="shared" si="155"/>
        <v>0</v>
      </c>
      <c r="O901" s="919"/>
      <c r="P901" s="914">
        <f t="shared" si="157"/>
        <v>0</v>
      </c>
      <c r="Q901" s="919"/>
      <c r="R901" s="914">
        <f t="shared" si="158"/>
        <v>0</v>
      </c>
      <c r="S901" s="919"/>
      <c r="T901" s="914">
        <f t="shared" si="159"/>
        <v>0</v>
      </c>
      <c r="U901" s="915">
        <f t="shared" si="151"/>
        <v>0</v>
      </c>
      <c r="V901" s="914">
        <f t="shared" si="147"/>
        <v>0</v>
      </c>
    </row>
    <row r="902" spans="1:22" ht="231.75" hidden="1" customHeight="1">
      <c r="A902" s="905"/>
      <c r="B902" s="906" t="s">
        <v>6696</v>
      </c>
      <c r="C902" s="959">
        <f>Elec.Data!K146</f>
        <v>869.5</v>
      </c>
      <c r="D902" s="908" t="s">
        <v>1393</v>
      </c>
      <c r="E902" s="919"/>
      <c r="F902" s="1053">
        <f t="shared" si="156"/>
        <v>0</v>
      </c>
      <c r="G902" s="919"/>
      <c r="H902" s="914">
        <f t="shared" si="152"/>
        <v>0</v>
      </c>
      <c r="I902" s="919"/>
      <c r="J902" s="914">
        <f t="shared" si="153"/>
        <v>0</v>
      </c>
      <c r="K902" s="914"/>
      <c r="L902" s="914">
        <f t="shared" si="154"/>
        <v>0</v>
      </c>
      <c r="M902" s="919"/>
      <c r="N902" s="914">
        <f t="shared" si="155"/>
        <v>0</v>
      </c>
      <c r="O902" s="919"/>
      <c r="P902" s="914">
        <f t="shared" si="157"/>
        <v>0</v>
      </c>
      <c r="Q902" s="919"/>
      <c r="R902" s="914">
        <f t="shared" si="158"/>
        <v>0</v>
      </c>
      <c r="S902" s="919"/>
      <c r="T902" s="914">
        <f t="shared" si="159"/>
        <v>0</v>
      </c>
      <c r="U902" s="915">
        <f t="shared" si="151"/>
        <v>0</v>
      </c>
      <c r="V902" s="914">
        <f t="shared" ref="V902:V964" si="160">U902*C902</f>
        <v>0</v>
      </c>
    </row>
    <row r="903" spans="1:22" ht="231.75" hidden="1" customHeight="1">
      <c r="A903" s="905"/>
      <c r="B903" s="906" t="s">
        <v>6697</v>
      </c>
      <c r="C903" s="959">
        <f>Elec.Data!K1056</f>
        <v>1008.2</v>
      </c>
      <c r="D903" s="991" t="s">
        <v>1763</v>
      </c>
      <c r="E903" s="919"/>
      <c r="F903" s="1053">
        <f t="shared" si="156"/>
        <v>0</v>
      </c>
      <c r="G903" s="919"/>
      <c r="H903" s="914">
        <f t="shared" si="152"/>
        <v>0</v>
      </c>
      <c r="I903" s="919"/>
      <c r="J903" s="914">
        <f t="shared" si="153"/>
        <v>0</v>
      </c>
      <c r="K903" s="914"/>
      <c r="L903" s="914">
        <f t="shared" si="154"/>
        <v>0</v>
      </c>
      <c r="M903" s="919"/>
      <c r="N903" s="914">
        <f t="shared" si="155"/>
        <v>0</v>
      </c>
      <c r="O903" s="919"/>
      <c r="P903" s="914">
        <f t="shared" si="157"/>
        <v>0</v>
      </c>
      <c r="Q903" s="919"/>
      <c r="R903" s="914">
        <f t="shared" si="158"/>
        <v>0</v>
      </c>
      <c r="S903" s="919"/>
      <c r="T903" s="914">
        <f t="shared" si="159"/>
        <v>0</v>
      </c>
      <c r="U903" s="915">
        <f t="shared" si="151"/>
        <v>0</v>
      </c>
      <c r="V903" s="914">
        <f t="shared" si="160"/>
        <v>0</v>
      </c>
    </row>
    <row r="904" spans="1:22" ht="231.75" hidden="1" customHeight="1">
      <c r="A904" s="905"/>
      <c r="B904" s="924" t="s">
        <v>4113</v>
      </c>
      <c r="C904" s="959">
        <f>DATA!K3792</f>
        <v>3879.13</v>
      </c>
      <c r="D904" s="908" t="s">
        <v>2273</v>
      </c>
      <c r="E904" s="919"/>
      <c r="F904" s="1053">
        <f t="shared" si="156"/>
        <v>0</v>
      </c>
      <c r="G904" s="919"/>
      <c r="H904" s="914">
        <f t="shared" si="152"/>
        <v>0</v>
      </c>
      <c r="I904" s="919"/>
      <c r="J904" s="914">
        <f t="shared" si="153"/>
        <v>0</v>
      </c>
      <c r="K904" s="914"/>
      <c r="L904" s="914">
        <f t="shared" si="154"/>
        <v>0</v>
      </c>
      <c r="M904" s="919"/>
      <c r="N904" s="914">
        <f t="shared" si="155"/>
        <v>0</v>
      </c>
      <c r="O904" s="919"/>
      <c r="P904" s="914">
        <f t="shared" si="157"/>
        <v>0</v>
      </c>
      <c r="Q904" s="919"/>
      <c r="R904" s="914">
        <f t="shared" si="158"/>
        <v>0</v>
      </c>
      <c r="S904" s="919"/>
      <c r="T904" s="914">
        <f t="shared" si="159"/>
        <v>0</v>
      </c>
      <c r="U904" s="915">
        <f t="shared" si="151"/>
        <v>0</v>
      </c>
      <c r="V904" s="914">
        <f t="shared" si="160"/>
        <v>0</v>
      </c>
    </row>
    <row r="905" spans="1:22" ht="231.75" hidden="1" customHeight="1">
      <c r="A905" s="905"/>
      <c r="B905" s="924" t="s">
        <v>4091</v>
      </c>
      <c r="C905" s="959">
        <f>DATA!X3668</f>
        <v>6120.22</v>
      </c>
      <c r="D905" s="908" t="s">
        <v>2273</v>
      </c>
      <c r="E905" s="919"/>
      <c r="F905" s="1053">
        <f t="shared" si="156"/>
        <v>0</v>
      </c>
      <c r="G905" s="919"/>
      <c r="H905" s="914">
        <f t="shared" si="152"/>
        <v>0</v>
      </c>
      <c r="I905" s="919"/>
      <c r="J905" s="914">
        <f t="shared" si="153"/>
        <v>0</v>
      </c>
      <c r="K905" s="914"/>
      <c r="L905" s="914">
        <f t="shared" si="154"/>
        <v>0</v>
      </c>
      <c r="M905" s="919"/>
      <c r="N905" s="914">
        <f t="shared" si="155"/>
        <v>0</v>
      </c>
      <c r="O905" s="919"/>
      <c r="P905" s="914">
        <f t="shared" si="157"/>
        <v>0</v>
      </c>
      <c r="Q905" s="919"/>
      <c r="R905" s="914">
        <f t="shared" si="158"/>
        <v>0</v>
      </c>
      <c r="S905" s="919"/>
      <c r="T905" s="914">
        <f t="shared" si="159"/>
        <v>0</v>
      </c>
      <c r="U905" s="915">
        <f t="shared" si="151"/>
        <v>0</v>
      </c>
      <c r="V905" s="914">
        <f t="shared" si="160"/>
        <v>0</v>
      </c>
    </row>
    <row r="906" spans="1:22" ht="231.75" hidden="1" customHeight="1">
      <c r="A906" s="905"/>
      <c r="B906" s="924" t="s">
        <v>4112</v>
      </c>
      <c r="C906" s="959">
        <f>DATA!X3696</f>
        <v>7903.15</v>
      </c>
      <c r="D906" s="908" t="s">
        <v>2273</v>
      </c>
      <c r="E906" s="919"/>
      <c r="F906" s="1053">
        <f t="shared" si="156"/>
        <v>0</v>
      </c>
      <c r="G906" s="919"/>
      <c r="H906" s="914">
        <f t="shared" si="152"/>
        <v>0</v>
      </c>
      <c r="I906" s="919"/>
      <c r="J906" s="914">
        <f t="shared" si="153"/>
        <v>0</v>
      </c>
      <c r="K906" s="914"/>
      <c r="L906" s="914">
        <f t="shared" si="154"/>
        <v>0</v>
      </c>
      <c r="M906" s="919"/>
      <c r="N906" s="914">
        <f t="shared" si="155"/>
        <v>0</v>
      </c>
      <c r="O906" s="919"/>
      <c r="P906" s="914">
        <f t="shared" si="157"/>
        <v>0</v>
      </c>
      <c r="Q906" s="919"/>
      <c r="R906" s="914">
        <f t="shared" si="158"/>
        <v>0</v>
      </c>
      <c r="S906" s="919"/>
      <c r="T906" s="914">
        <f t="shared" si="159"/>
        <v>0</v>
      </c>
      <c r="U906" s="915">
        <f t="shared" si="151"/>
        <v>0</v>
      </c>
      <c r="V906" s="914">
        <f t="shared" si="160"/>
        <v>0</v>
      </c>
    </row>
    <row r="907" spans="1:22" ht="231.75" hidden="1" customHeight="1">
      <c r="A907" s="905"/>
      <c r="B907" s="924" t="s">
        <v>4078</v>
      </c>
      <c r="C907" s="959">
        <f>DATA!K3837</f>
        <v>1373.12</v>
      </c>
      <c r="D907" s="991" t="s">
        <v>2273</v>
      </c>
      <c r="E907" s="919"/>
      <c r="F907" s="1053">
        <f t="shared" si="156"/>
        <v>0</v>
      </c>
      <c r="G907" s="919"/>
      <c r="H907" s="914">
        <f t="shared" si="152"/>
        <v>0</v>
      </c>
      <c r="I907" s="919"/>
      <c r="J907" s="914">
        <f t="shared" si="153"/>
        <v>0</v>
      </c>
      <c r="K907" s="914"/>
      <c r="L907" s="914">
        <f t="shared" si="154"/>
        <v>0</v>
      </c>
      <c r="M907" s="919"/>
      <c r="N907" s="914">
        <f t="shared" si="155"/>
        <v>0</v>
      </c>
      <c r="O907" s="919"/>
      <c r="P907" s="914">
        <f t="shared" si="157"/>
        <v>0</v>
      </c>
      <c r="Q907" s="919"/>
      <c r="R907" s="914">
        <f t="shared" si="158"/>
        <v>0</v>
      </c>
      <c r="S907" s="919"/>
      <c r="T907" s="914">
        <f t="shared" si="159"/>
        <v>0</v>
      </c>
      <c r="U907" s="915">
        <f t="shared" si="151"/>
        <v>0</v>
      </c>
      <c r="V907" s="914">
        <f t="shared" si="160"/>
        <v>0</v>
      </c>
    </row>
    <row r="908" spans="1:22" ht="231.75" hidden="1" customHeight="1">
      <c r="A908" s="905"/>
      <c r="B908" s="949" t="s">
        <v>4077</v>
      </c>
      <c r="C908" s="959">
        <f>DATA!K3814</f>
        <v>1662.12</v>
      </c>
      <c r="D908" s="991" t="s">
        <v>2273</v>
      </c>
      <c r="E908" s="919"/>
      <c r="F908" s="1053">
        <f t="shared" si="156"/>
        <v>0</v>
      </c>
      <c r="G908" s="919"/>
      <c r="H908" s="914">
        <f t="shared" si="152"/>
        <v>0</v>
      </c>
      <c r="I908" s="919"/>
      <c r="J908" s="914">
        <f t="shared" si="153"/>
        <v>0</v>
      </c>
      <c r="K908" s="914"/>
      <c r="L908" s="914">
        <f t="shared" si="154"/>
        <v>0</v>
      </c>
      <c r="M908" s="919"/>
      <c r="N908" s="914">
        <f t="shared" si="155"/>
        <v>0</v>
      </c>
      <c r="O908" s="919"/>
      <c r="P908" s="914">
        <f t="shared" si="157"/>
        <v>0</v>
      </c>
      <c r="Q908" s="919"/>
      <c r="R908" s="914">
        <f t="shared" si="158"/>
        <v>0</v>
      </c>
      <c r="S908" s="919"/>
      <c r="T908" s="914">
        <f t="shared" si="159"/>
        <v>0</v>
      </c>
      <c r="U908" s="915">
        <f t="shared" si="151"/>
        <v>0</v>
      </c>
      <c r="V908" s="914">
        <f t="shared" si="160"/>
        <v>0</v>
      </c>
    </row>
    <row r="909" spans="1:22" ht="231.75" hidden="1" customHeight="1">
      <c r="A909" s="905"/>
      <c r="B909" s="906" t="s">
        <v>6539</v>
      </c>
      <c r="C909" s="996">
        <v>1879</v>
      </c>
      <c r="D909" s="961" t="s">
        <v>1393</v>
      </c>
      <c r="E909" s="914"/>
      <c r="F909" s="1053">
        <f t="shared" si="156"/>
        <v>0</v>
      </c>
      <c r="G909" s="914"/>
      <c r="H909" s="914">
        <f t="shared" si="152"/>
        <v>0</v>
      </c>
      <c r="I909" s="914"/>
      <c r="J909" s="914">
        <f t="shared" si="153"/>
        <v>0</v>
      </c>
      <c r="K909" s="914"/>
      <c r="L909" s="914">
        <f t="shared" si="154"/>
        <v>0</v>
      </c>
      <c r="M909" s="914"/>
      <c r="N909" s="914">
        <f t="shared" si="155"/>
        <v>0</v>
      </c>
      <c r="O909" s="914"/>
      <c r="P909" s="914">
        <f t="shared" si="157"/>
        <v>0</v>
      </c>
      <c r="Q909" s="914"/>
      <c r="R909" s="914">
        <f t="shared" si="158"/>
        <v>0</v>
      </c>
      <c r="S909" s="914"/>
      <c r="T909" s="914">
        <f t="shared" si="159"/>
        <v>0</v>
      </c>
      <c r="U909" s="915">
        <f t="shared" si="151"/>
        <v>0</v>
      </c>
      <c r="V909" s="914">
        <f t="shared" si="160"/>
        <v>0</v>
      </c>
    </row>
    <row r="910" spans="1:22" ht="231.75" hidden="1" customHeight="1">
      <c r="A910" s="905"/>
      <c r="B910" s="917" t="s">
        <v>4124</v>
      </c>
      <c r="C910" s="913">
        <f>Elec.Data!K1265</f>
        <v>0</v>
      </c>
      <c r="D910" s="908" t="s">
        <v>1393</v>
      </c>
      <c r="E910" s="919"/>
      <c r="F910" s="1053">
        <f t="shared" si="156"/>
        <v>0</v>
      </c>
      <c r="G910" s="919"/>
      <c r="H910" s="914">
        <f t="shared" si="152"/>
        <v>0</v>
      </c>
      <c r="I910" s="919"/>
      <c r="J910" s="914">
        <f t="shared" si="153"/>
        <v>0</v>
      </c>
      <c r="K910" s="914"/>
      <c r="L910" s="914">
        <f t="shared" si="154"/>
        <v>0</v>
      </c>
      <c r="M910" s="919"/>
      <c r="N910" s="914">
        <f t="shared" si="155"/>
        <v>0</v>
      </c>
      <c r="O910" s="919"/>
      <c r="P910" s="914">
        <f t="shared" si="157"/>
        <v>0</v>
      </c>
      <c r="Q910" s="919"/>
      <c r="R910" s="914">
        <f t="shared" si="158"/>
        <v>0</v>
      </c>
      <c r="S910" s="919"/>
      <c r="T910" s="914">
        <f t="shared" si="159"/>
        <v>0</v>
      </c>
      <c r="U910" s="915">
        <f t="shared" si="151"/>
        <v>0</v>
      </c>
      <c r="V910" s="914">
        <f t="shared" si="160"/>
        <v>0</v>
      </c>
    </row>
    <row r="911" spans="1:22" ht="231.75" hidden="1" customHeight="1">
      <c r="A911" s="905"/>
      <c r="B911" s="917" t="s">
        <v>4374</v>
      </c>
      <c r="C911" s="913">
        <v>8100</v>
      </c>
      <c r="D911" s="908" t="s">
        <v>1393</v>
      </c>
      <c r="E911" s="919"/>
      <c r="F911" s="1053">
        <f t="shared" si="156"/>
        <v>0</v>
      </c>
      <c r="G911" s="919"/>
      <c r="H911" s="914">
        <f t="shared" si="152"/>
        <v>0</v>
      </c>
      <c r="I911" s="919"/>
      <c r="J911" s="914">
        <f t="shared" si="153"/>
        <v>0</v>
      </c>
      <c r="K911" s="914"/>
      <c r="L911" s="914">
        <f t="shared" si="154"/>
        <v>0</v>
      </c>
      <c r="M911" s="919"/>
      <c r="N911" s="914">
        <f t="shared" si="155"/>
        <v>0</v>
      </c>
      <c r="O911" s="919"/>
      <c r="P911" s="914">
        <f t="shared" si="157"/>
        <v>0</v>
      </c>
      <c r="Q911" s="919"/>
      <c r="R911" s="914">
        <f t="shared" si="158"/>
        <v>0</v>
      </c>
      <c r="S911" s="919"/>
      <c r="T911" s="914">
        <f t="shared" si="159"/>
        <v>0</v>
      </c>
      <c r="U911" s="915">
        <f t="shared" si="151"/>
        <v>0</v>
      </c>
      <c r="V911" s="914">
        <f t="shared" si="160"/>
        <v>0</v>
      </c>
    </row>
    <row r="912" spans="1:22" ht="231.75" hidden="1" customHeight="1">
      <c r="A912" s="916"/>
      <c r="B912" s="936" t="s">
        <v>4331</v>
      </c>
      <c r="C912" s="1016">
        <v>829</v>
      </c>
      <c r="D912" s="978" t="s">
        <v>1393</v>
      </c>
      <c r="E912" s="919"/>
      <c r="F912" s="1053">
        <f t="shared" si="156"/>
        <v>0</v>
      </c>
      <c r="G912" s="919"/>
      <c r="H912" s="914">
        <f t="shared" si="152"/>
        <v>0</v>
      </c>
      <c r="I912" s="919"/>
      <c r="J912" s="914">
        <f t="shared" si="153"/>
        <v>0</v>
      </c>
      <c r="K912" s="914"/>
      <c r="L912" s="914">
        <f t="shared" si="154"/>
        <v>0</v>
      </c>
      <c r="M912" s="919"/>
      <c r="N912" s="914">
        <f t="shared" si="155"/>
        <v>0</v>
      </c>
      <c r="O912" s="919"/>
      <c r="P912" s="914">
        <f t="shared" si="157"/>
        <v>0</v>
      </c>
      <c r="Q912" s="919"/>
      <c r="R912" s="914">
        <f t="shared" si="158"/>
        <v>0</v>
      </c>
      <c r="S912" s="919"/>
      <c r="T912" s="914">
        <f t="shared" si="159"/>
        <v>0</v>
      </c>
      <c r="U912" s="915">
        <f t="shared" si="151"/>
        <v>0</v>
      </c>
      <c r="V912" s="914">
        <f t="shared" si="160"/>
        <v>0</v>
      </c>
    </row>
    <row r="913" spans="1:22" s="920" customFormat="1" ht="231.75" hidden="1" customHeight="1">
      <c r="A913" s="905"/>
      <c r="B913" s="943" t="s">
        <v>4125</v>
      </c>
      <c r="C913" s="1017">
        <f>Elec.Data!R814</f>
        <v>8869</v>
      </c>
      <c r="D913" s="908" t="s">
        <v>1393</v>
      </c>
      <c r="E913" s="919"/>
      <c r="F913" s="1053">
        <f t="shared" si="156"/>
        <v>0</v>
      </c>
      <c r="G913" s="919"/>
      <c r="H913" s="914">
        <f t="shared" si="152"/>
        <v>0</v>
      </c>
      <c r="I913" s="919"/>
      <c r="J913" s="914">
        <f t="shared" si="153"/>
        <v>0</v>
      </c>
      <c r="K913" s="914"/>
      <c r="L913" s="914">
        <f t="shared" si="154"/>
        <v>0</v>
      </c>
      <c r="M913" s="919"/>
      <c r="N913" s="914">
        <f t="shared" si="155"/>
        <v>0</v>
      </c>
      <c r="O913" s="919"/>
      <c r="P913" s="914">
        <f t="shared" ref="P913:P932" si="161">O913*C913</f>
        <v>0</v>
      </c>
      <c r="Q913" s="919"/>
      <c r="R913" s="914">
        <f t="shared" ref="R913:R932" si="162">Q913*C913</f>
        <v>0</v>
      </c>
      <c r="S913" s="919"/>
      <c r="T913" s="914">
        <f t="shared" ref="T913:T932" si="163">S913*C913</f>
        <v>0</v>
      </c>
      <c r="U913" s="915">
        <f t="shared" si="151"/>
        <v>0</v>
      </c>
      <c r="V913" s="914">
        <f t="shared" si="160"/>
        <v>0</v>
      </c>
    </row>
    <row r="914" spans="1:22" ht="231.75" hidden="1" customHeight="1">
      <c r="A914" s="916">
        <v>21.6</v>
      </c>
      <c r="B914" s="925" t="s">
        <v>4296</v>
      </c>
      <c r="C914" s="918"/>
      <c r="D914" s="898"/>
      <c r="E914" s="919"/>
      <c r="F914" s="1053">
        <f t="shared" si="156"/>
        <v>0</v>
      </c>
      <c r="G914" s="919"/>
      <c r="H914" s="914">
        <f t="shared" si="152"/>
        <v>0</v>
      </c>
      <c r="I914" s="919"/>
      <c r="J914" s="914">
        <f t="shared" si="153"/>
        <v>0</v>
      </c>
      <c r="K914" s="914"/>
      <c r="L914" s="914">
        <f t="shared" si="154"/>
        <v>0</v>
      </c>
      <c r="M914" s="919"/>
      <c r="N914" s="914">
        <f t="shared" si="155"/>
        <v>0</v>
      </c>
      <c r="O914" s="919"/>
      <c r="P914" s="914">
        <f t="shared" si="161"/>
        <v>0</v>
      </c>
      <c r="Q914" s="919"/>
      <c r="R914" s="914">
        <f t="shared" si="162"/>
        <v>0</v>
      </c>
      <c r="S914" s="919"/>
      <c r="T914" s="914">
        <f t="shared" si="163"/>
        <v>0</v>
      </c>
      <c r="U914" s="915">
        <f t="shared" ref="U914:U976" si="164">G914+I914+M914+O914+Q914+S914+E914+K914</f>
        <v>0</v>
      </c>
      <c r="V914" s="914">
        <f t="shared" si="160"/>
        <v>0</v>
      </c>
    </row>
    <row r="915" spans="1:22" ht="231.75" hidden="1" customHeight="1">
      <c r="A915" s="975"/>
      <c r="B915" s="917" t="s">
        <v>570</v>
      </c>
      <c r="C915" s="918">
        <f>DATA!K3950</f>
        <v>2809.79</v>
      </c>
      <c r="D915" s="898" t="s">
        <v>1393</v>
      </c>
      <c r="E915" s="919"/>
      <c r="F915" s="1053">
        <f t="shared" si="156"/>
        <v>0</v>
      </c>
      <c r="G915" s="919"/>
      <c r="H915" s="914">
        <f t="shared" ref="H915:H976" si="165">C915*G915</f>
        <v>0</v>
      </c>
      <c r="I915" s="919"/>
      <c r="J915" s="914">
        <f t="shared" ref="J915:J976" si="166">I915*C915</f>
        <v>0</v>
      </c>
      <c r="K915" s="914"/>
      <c r="L915" s="914">
        <f t="shared" ref="L915:L977" si="167">K915*C915</f>
        <v>0</v>
      </c>
      <c r="M915" s="919"/>
      <c r="N915" s="914">
        <f t="shared" ref="N915:N976" si="168">M915*C915</f>
        <v>0</v>
      </c>
      <c r="O915" s="919"/>
      <c r="P915" s="914">
        <f t="shared" si="161"/>
        <v>0</v>
      </c>
      <c r="Q915" s="919"/>
      <c r="R915" s="914">
        <f t="shared" si="162"/>
        <v>0</v>
      </c>
      <c r="S915" s="919"/>
      <c r="T915" s="914">
        <f t="shared" si="163"/>
        <v>0</v>
      </c>
      <c r="U915" s="915">
        <f t="shared" si="164"/>
        <v>0</v>
      </c>
      <c r="V915" s="914">
        <f t="shared" si="160"/>
        <v>0</v>
      </c>
    </row>
    <row r="916" spans="1:22" ht="231.75" hidden="1" customHeight="1">
      <c r="A916" s="946"/>
      <c r="B916" s="906" t="s">
        <v>3780</v>
      </c>
      <c r="C916" s="913">
        <f>DATA!K3983</f>
        <v>3379.5</v>
      </c>
      <c r="D916" s="908" t="s">
        <v>1393</v>
      </c>
      <c r="E916" s="919"/>
      <c r="F916" s="1053">
        <f t="shared" si="156"/>
        <v>0</v>
      </c>
      <c r="G916" s="919"/>
      <c r="H916" s="914">
        <f t="shared" si="165"/>
        <v>0</v>
      </c>
      <c r="I916" s="919"/>
      <c r="J916" s="914">
        <f t="shared" si="166"/>
        <v>0</v>
      </c>
      <c r="K916" s="914"/>
      <c r="L916" s="914">
        <f t="shared" si="167"/>
        <v>0</v>
      </c>
      <c r="M916" s="919"/>
      <c r="N916" s="914">
        <f t="shared" si="168"/>
        <v>0</v>
      </c>
      <c r="O916" s="919"/>
      <c r="P916" s="914">
        <f t="shared" si="161"/>
        <v>0</v>
      </c>
      <c r="Q916" s="919"/>
      <c r="R916" s="914">
        <f t="shared" si="162"/>
        <v>0</v>
      </c>
      <c r="S916" s="919"/>
      <c r="T916" s="914">
        <f t="shared" si="163"/>
        <v>0</v>
      </c>
      <c r="U916" s="915">
        <f t="shared" si="164"/>
        <v>0</v>
      </c>
      <c r="V916" s="914">
        <f t="shared" si="160"/>
        <v>0</v>
      </c>
    </row>
    <row r="917" spans="1:22" ht="231.75" hidden="1" customHeight="1">
      <c r="A917" s="946"/>
      <c r="B917" s="906" t="s">
        <v>3684</v>
      </c>
      <c r="C917" s="913">
        <f>DATA!K3966</f>
        <v>2770.94</v>
      </c>
      <c r="D917" s="908"/>
      <c r="E917" s="919"/>
      <c r="F917" s="1053">
        <f t="shared" si="156"/>
        <v>0</v>
      </c>
      <c r="G917" s="919"/>
      <c r="H917" s="914">
        <f t="shared" si="165"/>
        <v>0</v>
      </c>
      <c r="I917" s="919"/>
      <c r="J917" s="914">
        <f t="shared" si="166"/>
        <v>0</v>
      </c>
      <c r="K917" s="914"/>
      <c r="L917" s="914">
        <f t="shared" si="167"/>
        <v>0</v>
      </c>
      <c r="M917" s="919"/>
      <c r="N917" s="914">
        <f t="shared" si="168"/>
        <v>0</v>
      </c>
      <c r="O917" s="919"/>
      <c r="P917" s="914">
        <f t="shared" si="161"/>
        <v>0</v>
      </c>
      <c r="Q917" s="919"/>
      <c r="R917" s="914">
        <f t="shared" si="162"/>
        <v>0</v>
      </c>
      <c r="S917" s="919"/>
      <c r="T917" s="914">
        <f t="shared" si="163"/>
        <v>0</v>
      </c>
      <c r="U917" s="915">
        <f t="shared" si="164"/>
        <v>0</v>
      </c>
      <c r="V917" s="914">
        <f t="shared" si="160"/>
        <v>0</v>
      </c>
    </row>
    <row r="918" spans="1:22" ht="231.75" hidden="1" customHeight="1">
      <c r="A918" s="946"/>
      <c r="B918" s="906" t="s">
        <v>1895</v>
      </c>
      <c r="C918" s="921">
        <f>DATA!K3932</f>
        <v>2832.98</v>
      </c>
      <c r="D918" s="908" t="s">
        <v>1393</v>
      </c>
      <c r="E918" s="919"/>
      <c r="F918" s="1053">
        <f t="shared" si="156"/>
        <v>0</v>
      </c>
      <c r="G918" s="919"/>
      <c r="H918" s="914">
        <f t="shared" si="165"/>
        <v>0</v>
      </c>
      <c r="I918" s="919"/>
      <c r="J918" s="914">
        <f t="shared" si="166"/>
        <v>0</v>
      </c>
      <c r="K918" s="914"/>
      <c r="L918" s="914">
        <f t="shared" si="167"/>
        <v>0</v>
      </c>
      <c r="M918" s="919"/>
      <c r="N918" s="914">
        <f t="shared" si="168"/>
        <v>0</v>
      </c>
      <c r="O918" s="919"/>
      <c r="P918" s="914">
        <f t="shared" si="161"/>
        <v>0</v>
      </c>
      <c r="Q918" s="919"/>
      <c r="R918" s="914">
        <f t="shared" si="162"/>
        <v>0</v>
      </c>
      <c r="S918" s="919"/>
      <c r="T918" s="914">
        <f t="shared" si="163"/>
        <v>0</v>
      </c>
      <c r="U918" s="915">
        <f t="shared" si="164"/>
        <v>0</v>
      </c>
      <c r="V918" s="914">
        <f t="shared" si="160"/>
        <v>0</v>
      </c>
    </row>
    <row r="919" spans="1:22" ht="231.75" hidden="1" customHeight="1">
      <c r="A919" s="946"/>
      <c r="B919" s="906" t="s">
        <v>6698</v>
      </c>
      <c r="C919" s="906">
        <v>135</v>
      </c>
      <c r="D919" s="908" t="s">
        <v>1393</v>
      </c>
      <c r="E919" s="914"/>
      <c r="F919" s="1053">
        <f t="shared" si="156"/>
        <v>0</v>
      </c>
      <c r="G919" s="914"/>
      <c r="H919" s="914">
        <f t="shared" si="165"/>
        <v>0</v>
      </c>
      <c r="I919" s="914"/>
      <c r="J919" s="914">
        <f t="shared" si="166"/>
        <v>0</v>
      </c>
      <c r="K919" s="914"/>
      <c r="L919" s="914">
        <f t="shared" si="167"/>
        <v>0</v>
      </c>
      <c r="M919" s="914"/>
      <c r="N919" s="914">
        <f t="shared" si="168"/>
        <v>0</v>
      </c>
      <c r="O919" s="914"/>
      <c r="P919" s="914">
        <f t="shared" si="161"/>
        <v>0</v>
      </c>
      <c r="Q919" s="914"/>
      <c r="R919" s="914">
        <f t="shared" si="162"/>
        <v>0</v>
      </c>
      <c r="S919" s="914"/>
      <c r="T919" s="914">
        <f t="shared" si="163"/>
        <v>0</v>
      </c>
      <c r="U919" s="915">
        <f t="shared" si="164"/>
        <v>0</v>
      </c>
      <c r="V919" s="914">
        <f t="shared" si="160"/>
        <v>0</v>
      </c>
    </row>
    <row r="920" spans="1:22" ht="231.75" hidden="1" customHeight="1">
      <c r="A920" s="946"/>
      <c r="B920" s="906" t="s">
        <v>4695</v>
      </c>
      <c r="C920" s="906">
        <f>Elec.Data!K958</f>
        <v>704.13</v>
      </c>
      <c r="D920" s="908" t="s">
        <v>1393</v>
      </c>
      <c r="E920" s="914"/>
      <c r="F920" s="1053">
        <f t="shared" si="156"/>
        <v>0</v>
      </c>
      <c r="G920" s="914"/>
      <c r="H920" s="914">
        <f t="shared" si="165"/>
        <v>0</v>
      </c>
      <c r="I920" s="914"/>
      <c r="J920" s="914">
        <f t="shared" si="166"/>
        <v>0</v>
      </c>
      <c r="K920" s="914"/>
      <c r="L920" s="914">
        <f t="shared" si="167"/>
        <v>0</v>
      </c>
      <c r="M920" s="914"/>
      <c r="N920" s="914">
        <f t="shared" si="168"/>
        <v>0</v>
      </c>
      <c r="O920" s="914"/>
      <c r="P920" s="914">
        <f t="shared" si="161"/>
        <v>0</v>
      </c>
      <c r="Q920" s="914"/>
      <c r="R920" s="914">
        <f t="shared" si="162"/>
        <v>0</v>
      </c>
      <c r="S920" s="914"/>
      <c r="T920" s="914">
        <f t="shared" si="163"/>
        <v>0</v>
      </c>
      <c r="U920" s="915">
        <f t="shared" si="164"/>
        <v>0</v>
      </c>
      <c r="V920" s="914">
        <f t="shared" si="160"/>
        <v>0</v>
      </c>
    </row>
    <row r="921" spans="1:22" ht="231.75" hidden="1" customHeight="1">
      <c r="A921" s="946"/>
      <c r="B921" s="906" t="s">
        <v>4661</v>
      </c>
      <c r="C921" s="906">
        <f>Elec.Data!K304</f>
        <v>529.20000000000005</v>
      </c>
      <c r="D921" s="908" t="s">
        <v>1393</v>
      </c>
      <c r="E921" s="914"/>
      <c r="F921" s="1053">
        <f t="shared" si="156"/>
        <v>0</v>
      </c>
      <c r="G921" s="914"/>
      <c r="H921" s="914">
        <f t="shared" si="165"/>
        <v>0</v>
      </c>
      <c r="I921" s="914"/>
      <c r="J921" s="914">
        <f t="shared" si="166"/>
        <v>0</v>
      </c>
      <c r="K921" s="914"/>
      <c r="L921" s="914">
        <f t="shared" si="167"/>
        <v>0</v>
      </c>
      <c r="M921" s="914"/>
      <c r="N921" s="914">
        <f t="shared" si="168"/>
        <v>0</v>
      </c>
      <c r="O921" s="914"/>
      <c r="P921" s="914">
        <f t="shared" si="161"/>
        <v>0</v>
      </c>
      <c r="Q921" s="914"/>
      <c r="R921" s="914">
        <f t="shared" si="162"/>
        <v>0</v>
      </c>
      <c r="S921" s="914"/>
      <c r="T921" s="914">
        <f t="shared" si="163"/>
        <v>0</v>
      </c>
      <c r="U921" s="915">
        <f t="shared" si="164"/>
        <v>0</v>
      </c>
      <c r="V921" s="914">
        <f t="shared" si="160"/>
        <v>0</v>
      </c>
    </row>
    <row r="922" spans="1:22" ht="231.75" hidden="1" customHeight="1">
      <c r="A922" s="946"/>
      <c r="B922" s="906" t="s">
        <v>6528</v>
      </c>
      <c r="C922" s="906">
        <f>Elec.Data!Y806</f>
        <v>4121.67</v>
      </c>
      <c r="D922" s="908" t="s">
        <v>1393</v>
      </c>
      <c r="E922" s="914"/>
      <c r="F922" s="1053">
        <f t="shared" si="156"/>
        <v>0</v>
      </c>
      <c r="G922" s="914"/>
      <c r="H922" s="914">
        <f t="shared" si="165"/>
        <v>0</v>
      </c>
      <c r="I922" s="914"/>
      <c r="J922" s="914">
        <f t="shared" si="166"/>
        <v>0</v>
      </c>
      <c r="K922" s="914"/>
      <c r="L922" s="914">
        <f t="shared" si="167"/>
        <v>0</v>
      </c>
      <c r="M922" s="914"/>
      <c r="N922" s="914">
        <f t="shared" si="168"/>
        <v>0</v>
      </c>
      <c r="O922" s="914"/>
      <c r="P922" s="914">
        <f t="shared" si="161"/>
        <v>0</v>
      </c>
      <c r="Q922" s="914"/>
      <c r="R922" s="914">
        <f t="shared" si="162"/>
        <v>0</v>
      </c>
      <c r="S922" s="914"/>
      <c r="T922" s="914">
        <f t="shared" si="163"/>
        <v>0</v>
      </c>
      <c r="U922" s="915">
        <f t="shared" si="164"/>
        <v>0</v>
      </c>
      <c r="V922" s="914">
        <f t="shared" si="160"/>
        <v>0</v>
      </c>
    </row>
    <row r="923" spans="1:22" ht="231.75" hidden="1" customHeight="1">
      <c r="A923" s="946"/>
      <c r="B923" s="906" t="s">
        <v>6699</v>
      </c>
      <c r="C923" s="906">
        <v>250</v>
      </c>
      <c r="D923" s="908" t="str">
        <f>D922</f>
        <v>Each</v>
      </c>
      <c r="E923" s="914"/>
      <c r="F923" s="1053">
        <f t="shared" si="156"/>
        <v>0</v>
      </c>
      <c r="G923" s="914"/>
      <c r="H923" s="914">
        <f t="shared" si="165"/>
        <v>0</v>
      </c>
      <c r="I923" s="914"/>
      <c r="J923" s="914">
        <f t="shared" si="166"/>
        <v>0</v>
      </c>
      <c r="K923" s="914"/>
      <c r="L923" s="914">
        <f t="shared" si="167"/>
        <v>0</v>
      </c>
      <c r="M923" s="914"/>
      <c r="N923" s="914">
        <f t="shared" si="168"/>
        <v>0</v>
      </c>
      <c r="O923" s="914"/>
      <c r="P923" s="914">
        <f t="shared" si="161"/>
        <v>0</v>
      </c>
      <c r="Q923" s="914"/>
      <c r="R923" s="914">
        <f t="shared" si="162"/>
        <v>0</v>
      </c>
      <c r="S923" s="914"/>
      <c r="T923" s="914">
        <f t="shared" si="163"/>
        <v>0</v>
      </c>
      <c r="U923" s="915">
        <f t="shared" si="164"/>
        <v>0</v>
      </c>
      <c r="V923" s="914">
        <f t="shared" si="160"/>
        <v>0</v>
      </c>
    </row>
    <row r="924" spans="1:22" ht="231.75" hidden="1" customHeight="1">
      <c r="A924" s="946"/>
      <c r="B924" s="925" t="s">
        <v>5518</v>
      </c>
      <c r="C924" s="1018">
        <v>5508</v>
      </c>
      <c r="D924" s="898" t="s">
        <v>2273</v>
      </c>
      <c r="E924" s="919"/>
      <c r="F924" s="1053">
        <f t="shared" si="156"/>
        <v>0</v>
      </c>
      <c r="G924" s="919"/>
      <c r="H924" s="914">
        <f t="shared" si="165"/>
        <v>0</v>
      </c>
      <c r="I924" s="919"/>
      <c r="J924" s="914">
        <f t="shared" si="166"/>
        <v>0</v>
      </c>
      <c r="K924" s="914"/>
      <c r="L924" s="914">
        <f t="shared" si="167"/>
        <v>0</v>
      </c>
      <c r="M924" s="919"/>
      <c r="N924" s="914">
        <f t="shared" si="168"/>
        <v>0</v>
      </c>
      <c r="O924" s="919"/>
      <c r="P924" s="914">
        <f t="shared" si="161"/>
        <v>0</v>
      </c>
      <c r="Q924" s="919"/>
      <c r="R924" s="914">
        <f t="shared" si="162"/>
        <v>0</v>
      </c>
      <c r="S924" s="919"/>
      <c r="T924" s="914">
        <f t="shared" si="163"/>
        <v>0</v>
      </c>
      <c r="U924" s="915">
        <f t="shared" si="164"/>
        <v>0</v>
      </c>
      <c r="V924" s="914">
        <f t="shared" si="160"/>
        <v>0</v>
      </c>
    </row>
    <row r="925" spans="1:22" ht="231.75" hidden="1" customHeight="1">
      <c r="A925" s="946"/>
      <c r="B925" s="906" t="s">
        <v>4690</v>
      </c>
      <c r="C925" s="906">
        <f>DATA!K3738</f>
        <v>95.19</v>
      </c>
      <c r="D925" s="908" t="s">
        <v>2273</v>
      </c>
      <c r="E925" s="919"/>
      <c r="F925" s="1053">
        <f t="shared" si="156"/>
        <v>0</v>
      </c>
      <c r="G925" s="919"/>
      <c r="H925" s="914">
        <f t="shared" si="165"/>
        <v>0</v>
      </c>
      <c r="I925" s="919"/>
      <c r="J925" s="914">
        <f t="shared" si="166"/>
        <v>0</v>
      </c>
      <c r="K925" s="914"/>
      <c r="L925" s="914">
        <f t="shared" si="167"/>
        <v>0</v>
      </c>
      <c r="M925" s="919"/>
      <c r="N925" s="914">
        <f t="shared" si="168"/>
        <v>0</v>
      </c>
      <c r="O925" s="919"/>
      <c r="P925" s="914">
        <f t="shared" si="161"/>
        <v>0</v>
      </c>
      <c r="Q925" s="919"/>
      <c r="R925" s="914">
        <f t="shared" si="162"/>
        <v>0</v>
      </c>
      <c r="S925" s="919"/>
      <c r="T925" s="914">
        <f t="shared" si="163"/>
        <v>0</v>
      </c>
      <c r="U925" s="915">
        <f t="shared" si="164"/>
        <v>0</v>
      </c>
      <c r="V925" s="914">
        <f t="shared" si="160"/>
        <v>0</v>
      </c>
    </row>
    <row r="926" spans="1:22" ht="231.75" hidden="1" customHeight="1">
      <c r="A926" s="946"/>
      <c r="B926" s="924" t="s">
        <v>4658</v>
      </c>
      <c r="C926" s="906"/>
      <c r="D926" s="908"/>
      <c r="E926" s="909"/>
      <c r="F926" s="1053">
        <f t="shared" si="156"/>
        <v>0</v>
      </c>
      <c r="G926" s="914"/>
      <c r="H926" s="914">
        <f t="shared" si="165"/>
        <v>0</v>
      </c>
      <c r="I926" s="914"/>
      <c r="J926" s="914">
        <f t="shared" si="166"/>
        <v>0</v>
      </c>
      <c r="K926" s="914"/>
      <c r="L926" s="914">
        <f t="shared" si="167"/>
        <v>0</v>
      </c>
      <c r="M926" s="914"/>
      <c r="N926" s="914">
        <f t="shared" si="168"/>
        <v>0</v>
      </c>
      <c r="O926" s="914"/>
      <c r="P926" s="914">
        <f t="shared" si="161"/>
        <v>0</v>
      </c>
      <c r="Q926" s="914"/>
      <c r="R926" s="914">
        <f t="shared" si="162"/>
        <v>0</v>
      </c>
      <c r="S926" s="914"/>
      <c r="T926" s="914">
        <f t="shared" si="163"/>
        <v>0</v>
      </c>
      <c r="U926" s="915">
        <f t="shared" si="164"/>
        <v>0</v>
      </c>
      <c r="V926" s="914">
        <f t="shared" si="160"/>
        <v>0</v>
      </c>
    </row>
    <row r="927" spans="1:22" ht="231.75" hidden="1" customHeight="1">
      <c r="A927" s="946"/>
      <c r="B927" s="906" t="s">
        <v>4659</v>
      </c>
      <c r="C927" s="906">
        <v>213.71</v>
      </c>
      <c r="D927" s="908" t="s">
        <v>823</v>
      </c>
      <c r="E927" s="909"/>
      <c r="F927" s="1053">
        <f t="shared" si="156"/>
        <v>0</v>
      </c>
      <c r="G927" s="914"/>
      <c r="H927" s="914">
        <f t="shared" si="165"/>
        <v>0</v>
      </c>
      <c r="I927" s="914"/>
      <c r="J927" s="914">
        <f t="shared" si="166"/>
        <v>0</v>
      </c>
      <c r="K927" s="914"/>
      <c r="L927" s="914">
        <f t="shared" si="167"/>
        <v>0</v>
      </c>
      <c r="M927" s="914"/>
      <c r="N927" s="914">
        <f t="shared" si="168"/>
        <v>0</v>
      </c>
      <c r="O927" s="914"/>
      <c r="P927" s="914">
        <f t="shared" si="161"/>
        <v>0</v>
      </c>
      <c r="Q927" s="914"/>
      <c r="R927" s="914">
        <f t="shared" si="162"/>
        <v>0</v>
      </c>
      <c r="S927" s="914"/>
      <c r="T927" s="914">
        <f t="shared" si="163"/>
        <v>0</v>
      </c>
      <c r="U927" s="915">
        <f t="shared" si="164"/>
        <v>0</v>
      </c>
      <c r="V927" s="914">
        <f t="shared" si="160"/>
        <v>0</v>
      </c>
    </row>
    <row r="928" spans="1:22" ht="231.75" hidden="1" customHeight="1">
      <c r="A928" s="946"/>
      <c r="B928" s="906" t="s">
        <v>4660</v>
      </c>
      <c r="C928" s="906">
        <v>297.85000000000002</v>
      </c>
      <c r="D928" s="908" t="s">
        <v>823</v>
      </c>
      <c r="E928" s="909"/>
      <c r="F928" s="1053">
        <f t="shared" si="156"/>
        <v>0</v>
      </c>
      <c r="G928" s="914"/>
      <c r="H928" s="914">
        <f t="shared" si="165"/>
        <v>0</v>
      </c>
      <c r="I928" s="914"/>
      <c r="J928" s="914">
        <f t="shared" si="166"/>
        <v>0</v>
      </c>
      <c r="K928" s="914"/>
      <c r="L928" s="914">
        <f t="shared" si="167"/>
        <v>0</v>
      </c>
      <c r="M928" s="914"/>
      <c r="N928" s="914">
        <f t="shared" si="168"/>
        <v>0</v>
      </c>
      <c r="O928" s="914"/>
      <c r="P928" s="914">
        <f t="shared" si="161"/>
        <v>0</v>
      </c>
      <c r="Q928" s="914"/>
      <c r="R928" s="914">
        <f t="shared" si="162"/>
        <v>0</v>
      </c>
      <c r="S928" s="914"/>
      <c r="T928" s="914">
        <f t="shared" si="163"/>
        <v>0</v>
      </c>
      <c r="U928" s="915">
        <f t="shared" si="164"/>
        <v>0</v>
      </c>
      <c r="V928" s="914">
        <f t="shared" si="160"/>
        <v>0</v>
      </c>
    </row>
    <row r="929" spans="1:22" s="1022" customFormat="1" ht="231.75" hidden="1" customHeight="1">
      <c r="A929" s="946"/>
      <c r="B929" s="1019" t="s">
        <v>4708</v>
      </c>
      <c r="C929" s="1020">
        <v>7945</v>
      </c>
      <c r="D929" s="1021" t="s">
        <v>2273</v>
      </c>
      <c r="E929" s="985"/>
      <c r="F929" s="1053">
        <f t="shared" si="156"/>
        <v>0</v>
      </c>
      <c r="G929" s="985"/>
      <c r="H929" s="914">
        <f t="shared" si="165"/>
        <v>0</v>
      </c>
      <c r="I929" s="985"/>
      <c r="J929" s="914">
        <f t="shared" si="166"/>
        <v>0</v>
      </c>
      <c r="K929" s="914"/>
      <c r="L929" s="914">
        <f t="shared" si="167"/>
        <v>0</v>
      </c>
      <c r="M929" s="985"/>
      <c r="N929" s="914">
        <f t="shared" si="168"/>
        <v>0</v>
      </c>
      <c r="O929" s="985"/>
      <c r="P929" s="914">
        <f t="shared" si="161"/>
        <v>0</v>
      </c>
      <c r="Q929" s="985"/>
      <c r="R929" s="914">
        <f t="shared" si="162"/>
        <v>0</v>
      </c>
      <c r="S929" s="985"/>
      <c r="T929" s="914">
        <f t="shared" si="163"/>
        <v>0</v>
      </c>
      <c r="U929" s="915">
        <f t="shared" si="164"/>
        <v>0</v>
      </c>
      <c r="V929" s="914">
        <f t="shared" si="160"/>
        <v>0</v>
      </c>
    </row>
    <row r="930" spans="1:22" ht="231.75" hidden="1" customHeight="1">
      <c r="A930" s="946"/>
      <c r="B930" s="1023" t="s">
        <v>4696</v>
      </c>
      <c r="C930" s="1024"/>
      <c r="D930" s="984"/>
      <c r="E930" s="985"/>
      <c r="F930" s="1053">
        <f t="shared" si="156"/>
        <v>0</v>
      </c>
      <c r="G930" s="985"/>
      <c r="H930" s="914">
        <f t="shared" si="165"/>
        <v>0</v>
      </c>
      <c r="I930" s="985"/>
      <c r="J930" s="914">
        <f t="shared" si="166"/>
        <v>0</v>
      </c>
      <c r="K930" s="914"/>
      <c r="L930" s="914">
        <f t="shared" si="167"/>
        <v>0</v>
      </c>
      <c r="M930" s="985"/>
      <c r="N930" s="914">
        <f t="shared" si="168"/>
        <v>0</v>
      </c>
      <c r="O930" s="985"/>
      <c r="P930" s="914">
        <f t="shared" si="161"/>
        <v>0</v>
      </c>
      <c r="Q930" s="985"/>
      <c r="R930" s="914">
        <f t="shared" si="162"/>
        <v>0</v>
      </c>
      <c r="S930" s="985"/>
      <c r="T930" s="914">
        <f t="shared" si="163"/>
        <v>0</v>
      </c>
      <c r="U930" s="915">
        <f t="shared" si="164"/>
        <v>0</v>
      </c>
      <c r="V930" s="914">
        <f t="shared" si="160"/>
        <v>0</v>
      </c>
    </row>
    <row r="931" spans="1:22" ht="231.75" hidden="1" customHeight="1">
      <c r="A931" s="946"/>
      <c r="B931" s="1025" t="s">
        <v>6574</v>
      </c>
      <c r="C931" s="1026">
        <v>2701</v>
      </c>
      <c r="D931" s="984" t="s">
        <v>1427</v>
      </c>
      <c r="E931" s="985"/>
      <c r="F931" s="1053">
        <f t="shared" ref="F931:F985" si="169">E931*C931</f>
        <v>0</v>
      </c>
      <c r="G931" s="985"/>
      <c r="H931" s="914">
        <f t="shared" si="165"/>
        <v>0</v>
      </c>
      <c r="I931" s="985"/>
      <c r="J931" s="914">
        <f t="shared" si="166"/>
        <v>0</v>
      </c>
      <c r="K931" s="914"/>
      <c r="L931" s="914">
        <f t="shared" si="167"/>
        <v>0</v>
      </c>
      <c r="M931" s="985"/>
      <c r="N931" s="914">
        <f t="shared" si="168"/>
        <v>0</v>
      </c>
      <c r="O931" s="985"/>
      <c r="P931" s="914">
        <f t="shared" si="161"/>
        <v>0</v>
      </c>
      <c r="Q931" s="985"/>
      <c r="R931" s="914">
        <f t="shared" si="162"/>
        <v>0</v>
      </c>
      <c r="S931" s="985"/>
      <c r="T931" s="914">
        <f t="shared" si="163"/>
        <v>0</v>
      </c>
      <c r="U931" s="915">
        <f t="shared" si="164"/>
        <v>0</v>
      </c>
      <c r="V931" s="914">
        <f t="shared" si="160"/>
        <v>0</v>
      </c>
    </row>
    <row r="932" spans="1:22" ht="231.75" hidden="1" customHeight="1">
      <c r="A932" s="946"/>
      <c r="B932" s="970" t="s">
        <v>4693</v>
      </c>
      <c r="C932" s="1026">
        <v>990</v>
      </c>
      <c r="D932" s="984" t="s">
        <v>1427</v>
      </c>
      <c r="E932" s="985"/>
      <c r="F932" s="1053">
        <f t="shared" si="169"/>
        <v>0</v>
      </c>
      <c r="G932" s="985"/>
      <c r="H932" s="914">
        <f t="shared" si="165"/>
        <v>0</v>
      </c>
      <c r="I932" s="985"/>
      <c r="J932" s="914">
        <f t="shared" si="166"/>
        <v>0</v>
      </c>
      <c r="K932" s="914"/>
      <c r="L932" s="914">
        <f t="shared" si="167"/>
        <v>0</v>
      </c>
      <c r="M932" s="985"/>
      <c r="N932" s="914">
        <f t="shared" si="168"/>
        <v>0</v>
      </c>
      <c r="O932" s="985"/>
      <c r="P932" s="914">
        <f t="shared" si="161"/>
        <v>0</v>
      </c>
      <c r="Q932" s="985"/>
      <c r="R932" s="914">
        <f t="shared" si="162"/>
        <v>0</v>
      </c>
      <c r="S932" s="985"/>
      <c r="T932" s="914">
        <f t="shared" si="163"/>
        <v>0</v>
      </c>
      <c r="U932" s="915">
        <f t="shared" si="164"/>
        <v>0</v>
      </c>
      <c r="V932" s="914">
        <f t="shared" si="160"/>
        <v>0</v>
      </c>
    </row>
    <row r="933" spans="1:22" ht="141.75" customHeight="1">
      <c r="A933" s="946"/>
      <c r="B933" s="1057" t="s">
        <v>6721</v>
      </c>
      <c r="C933" s="1026"/>
      <c r="D933" s="984"/>
      <c r="E933" s="985"/>
      <c r="F933" s="1053">
        <f t="shared" si="169"/>
        <v>0</v>
      </c>
      <c r="G933" s="985"/>
      <c r="H933" s="914">
        <f t="shared" si="165"/>
        <v>0</v>
      </c>
      <c r="I933" s="985"/>
      <c r="J933" s="914">
        <f t="shared" si="166"/>
        <v>0</v>
      </c>
      <c r="K933" s="914"/>
      <c r="L933" s="914">
        <f t="shared" si="167"/>
        <v>0</v>
      </c>
      <c r="M933" s="985"/>
      <c r="N933" s="914">
        <f t="shared" si="168"/>
        <v>0</v>
      </c>
      <c r="O933" s="985"/>
      <c r="P933" s="914"/>
      <c r="Q933" s="985"/>
      <c r="R933" s="914"/>
      <c r="S933" s="985"/>
      <c r="T933" s="914"/>
      <c r="U933" s="915">
        <f t="shared" si="164"/>
        <v>0</v>
      </c>
      <c r="V933" s="914">
        <f t="shared" si="160"/>
        <v>0</v>
      </c>
    </row>
    <row r="934" spans="1:22" ht="209.25" customHeight="1">
      <c r="A934" s="979">
        <v>1</v>
      </c>
      <c r="B934" s="970" t="s">
        <v>6930</v>
      </c>
      <c r="C934" s="1026">
        <v>561</v>
      </c>
      <c r="D934" s="984" t="s">
        <v>823</v>
      </c>
      <c r="E934" s="985">
        <v>50</v>
      </c>
      <c r="F934" s="1053">
        <f t="shared" si="169"/>
        <v>28050</v>
      </c>
      <c r="G934" s="985"/>
      <c r="H934" s="914">
        <f t="shared" si="165"/>
        <v>0</v>
      </c>
      <c r="I934" s="985"/>
      <c r="J934" s="914">
        <f t="shared" si="166"/>
        <v>0</v>
      </c>
      <c r="K934" s="914"/>
      <c r="L934" s="914">
        <f t="shared" si="167"/>
        <v>0</v>
      </c>
      <c r="M934" s="985"/>
      <c r="N934" s="914">
        <f t="shared" si="168"/>
        <v>0</v>
      </c>
      <c r="O934" s="985"/>
      <c r="P934" s="914"/>
      <c r="Q934" s="985"/>
      <c r="R934" s="914"/>
      <c r="S934" s="985"/>
      <c r="T934" s="914"/>
      <c r="U934" s="915">
        <f t="shared" si="164"/>
        <v>50</v>
      </c>
      <c r="V934" s="914">
        <f t="shared" si="160"/>
        <v>28050</v>
      </c>
    </row>
    <row r="935" spans="1:22" ht="318" customHeight="1">
      <c r="A935" s="979">
        <f>A934+1</f>
        <v>2</v>
      </c>
      <c r="B935" s="970" t="s">
        <v>6759</v>
      </c>
      <c r="C935" s="1026">
        <v>346</v>
      </c>
      <c r="D935" s="984" t="s">
        <v>1752</v>
      </c>
      <c r="E935" s="985">
        <v>2</v>
      </c>
      <c r="F935" s="1053">
        <f>E935*C935</f>
        <v>692</v>
      </c>
      <c r="G935" s="985"/>
      <c r="H935" s="914">
        <f t="shared" si="165"/>
        <v>0</v>
      </c>
      <c r="I935" s="985"/>
      <c r="J935" s="914">
        <f t="shared" si="166"/>
        <v>0</v>
      </c>
      <c r="K935" s="914"/>
      <c r="L935" s="914">
        <f t="shared" si="167"/>
        <v>0</v>
      </c>
      <c r="M935" s="985"/>
      <c r="N935" s="914">
        <f t="shared" si="168"/>
        <v>0</v>
      </c>
      <c r="O935" s="985"/>
      <c r="P935" s="914"/>
      <c r="Q935" s="985"/>
      <c r="R935" s="914"/>
      <c r="S935" s="985"/>
      <c r="T935" s="914"/>
      <c r="U935" s="915">
        <f t="shared" si="164"/>
        <v>2</v>
      </c>
      <c r="V935" s="914">
        <f t="shared" si="160"/>
        <v>692</v>
      </c>
    </row>
    <row r="936" spans="1:22" ht="344.25" customHeight="1">
      <c r="A936" s="979">
        <f t="shared" ref="A936:A944" si="170">A935+1</f>
        <v>3</v>
      </c>
      <c r="B936" s="970" t="s">
        <v>6758</v>
      </c>
      <c r="C936" s="1026">
        <v>439</v>
      </c>
      <c r="D936" s="984" t="s">
        <v>1752</v>
      </c>
      <c r="E936" s="985">
        <v>2</v>
      </c>
      <c r="F936" s="1053">
        <f t="shared" si="169"/>
        <v>878</v>
      </c>
      <c r="G936" s="985"/>
      <c r="H936" s="914">
        <f t="shared" si="165"/>
        <v>0</v>
      </c>
      <c r="I936" s="985"/>
      <c r="J936" s="914">
        <f t="shared" si="166"/>
        <v>0</v>
      </c>
      <c r="K936" s="914"/>
      <c r="L936" s="914">
        <f t="shared" si="167"/>
        <v>0</v>
      </c>
      <c r="M936" s="985"/>
      <c r="N936" s="914">
        <f t="shared" si="168"/>
        <v>0</v>
      </c>
      <c r="O936" s="985"/>
      <c r="P936" s="914"/>
      <c r="Q936" s="985"/>
      <c r="R936" s="914"/>
      <c r="S936" s="985"/>
      <c r="T936" s="914"/>
      <c r="U936" s="915">
        <f t="shared" si="164"/>
        <v>2</v>
      </c>
      <c r="V936" s="914">
        <f t="shared" si="160"/>
        <v>878</v>
      </c>
    </row>
    <row r="937" spans="1:22" ht="258" customHeight="1">
      <c r="A937" s="979">
        <f t="shared" si="170"/>
        <v>4</v>
      </c>
      <c r="B937" s="970" t="s">
        <v>6743</v>
      </c>
      <c r="C937" s="1026">
        <f>O.data!F10</f>
        <v>896.26</v>
      </c>
      <c r="D937" s="984" t="s">
        <v>823</v>
      </c>
      <c r="E937" s="985">
        <v>8.5</v>
      </c>
      <c r="F937" s="1053">
        <f t="shared" si="169"/>
        <v>7618.21</v>
      </c>
      <c r="G937" s="985">
        <v>9</v>
      </c>
      <c r="H937" s="914">
        <f t="shared" si="165"/>
        <v>8066.34</v>
      </c>
      <c r="I937" s="985"/>
      <c r="J937" s="914">
        <f t="shared" si="166"/>
        <v>0</v>
      </c>
      <c r="K937" s="914"/>
      <c r="L937" s="914">
        <f t="shared" si="167"/>
        <v>0</v>
      </c>
      <c r="M937" s="985"/>
      <c r="N937" s="914">
        <f t="shared" si="168"/>
        <v>0</v>
      </c>
      <c r="O937" s="985"/>
      <c r="P937" s="914"/>
      <c r="Q937" s="985"/>
      <c r="R937" s="914"/>
      <c r="S937" s="985"/>
      <c r="T937" s="914"/>
      <c r="U937" s="915">
        <f t="shared" si="164"/>
        <v>17.5</v>
      </c>
      <c r="V937" s="914">
        <f t="shared" si="160"/>
        <v>15684.55</v>
      </c>
    </row>
    <row r="938" spans="1:22" ht="284.25" customHeight="1">
      <c r="A938" s="979">
        <f t="shared" si="170"/>
        <v>5</v>
      </c>
      <c r="B938" s="970" t="s">
        <v>6744</v>
      </c>
      <c r="C938" s="1026">
        <f>O.data!F58</f>
        <v>798.92</v>
      </c>
      <c r="D938" s="984" t="s">
        <v>823</v>
      </c>
      <c r="E938" s="1183">
        <v>50</v>
      </c>
      <c r="F938" s="1053">
        <f t="shared" si="169"/>
        <v>39946</v>
      </c>
      <c r="G938" s="985"/>
      <c r="H938" s="914">
        <f t="shared" si="165"/>
        <v>0</v>
      </c>
      <c r="I938" s="985"/>
      <c r="J938" s="914">
        <f t="shared" si="166"/>
        <v>0</v>
      </c>
      <c r="K938" s="914"/>
      <c r="L938" s="914">
        <f t="shared" si="167"/>
        <v>0</v>
      </c>
      <c r="M938" s="985"/>
      <c r="N938" s="914">
        <f t="shared" si="168"/>
        <v>0</v>
      </c>
      <c r="O938" s="985"/>
      <c r="P938" s="914"/>
      <c r="Q938" s="985"/>
      <c r="R938" s="914"/>
      <c r="S938" s="985"/>
      <c r="T938" s="914"/>
      <c r="U938" s="915">
        <f t="shared" si="164"/>
        <v>50</v>
      </c>
      <c r="V938" s="914">
        <f t="shared" si="160"/>
        <v>39946</v>
      </c>
    </row>
    <row r="939" spans="1:22" ht="273" customHeight="1">
      <c r="A939" s="979">
        <f t="shared" si="170"/>
        <v>6</v>
      </c>
      <c r="B939" s="970" t="s">
        <v>6717</v>
      </c>
      <c r="C939" s="1026"/>
      <c r="D939" s="984"/>
      <c r="E939" s="985"/>
      <c r="F939" s="1053">
        <f t="shared" si="169"/>
        <v>0</v>
      </c>
      <c r="G939" s="985"/>
      <c r="H939" s="914">
        <f t="shared" si="165"/>
        <v>0</v>
      </c>
      <c r="I939" s="985"/>
      <c r="J939" s="914">
        <f t="shared" si="166"/>
        <v>0</v>
      </c>
      <c r="K939" s="914"/>
      <c r="L939" s="914">
        <f t="shared" si="167"/>
        <v>0</v>
      </c>
      <c r="M939" s="985"/>
      <c r="N939" s="914">
        <f t="shared" si="168"/>
        <v>0</v>
      </c>
      <c r="O939" s="985"/>
      <c r="P939" s="914"/>
      <c r="Q939" s="985"/>
      <c r="R939" s="914"/>
      <c r="S939" s="985"/>
      <c r="T939" s="914"/>
      <c r="U939" s="915">
        <f t="shared" si="164"/>
        <v>0</v>
      </c>
      <c r="V939" s="914">
        <f t="shared" si="160"/>
        <v>0</v>
      </c>
    </row>
    <row r="940" spans="1:22" ht="108" customHeight="1">
      <c r="A940" s="979"/>
      <c r="B940" s="970" t="s">
        <v>6718</v>
      </c>
      <c r="C940" s="1026">
        <v>419.6</v>
      </c>
      <c r="D940" s="984" t="s">
        <v>1389</v>
      </c>
      <c r="E940" s="985">
        <v>2</v>
      </c>
      <c r="F940" s="1053">
        <f t="shared" si="169"/>
        <v>839.2</v>
      </c>
      <c r="G940" s="985"/>
      <c r="H940" s="914">
        <f t="shared" si="165"/>
        <v>0</v>
      </c>
      <c r="I940" s="985"/>
      <c r="J940" s="914">
        <f t="shared" si="166"/>
        <v>0</v>
      </c>
      <c r="K940" s="914"/>
      <c r="L940" s="914">
        <f t="shared" si="167"/>
        <v>0</v>
      </c>
      <c r="M940" s="985"/>
      <c r="N940" s="914">
        <f t="shared" si="168"/>
        <v>0</v>
      </c>
      <c r="O940" s="985"/>
      <c r="P940" s="914"/>
      <c r="Q940" s="985"/>
      <c r="R940" s="914"/>
      <c r="S940" s="985"/>
      <c r="T940" s="914"/>
      <c r="U940" s="915">
        <f t="shared" si="164"/>
        <v>2</v>
      </c>
      <c r="V940" s="914">
        <f t="shared" si="160"/>
        <v>839.2</v>
      </c>
    </row>
    <row r="941" spans="1:22" ht="265.5" customHeight="1">
      <c r="A941" s="979">
        <f>A939+1</f>
        <v>7</v>
      </c>
      <c r="B941" s="970" t="s">
        <v>6952</v>
      </c>
      <c r="C941" s="1026">
        <f>building!C947</f>
        <v>1627.62</v>
      </c>
      <c r="D941" s="984" t="s">
        <v>1389</v>
      </c>
      <c r="E941" s="985">
        <v>1</v>
      </c>
      <c r="F941" s="1053">
        <f t="shared" si="169"/>
        <v>1627.62</v>
      </c>
      <c r="G941" s="985"/>
      <c r="H941" s="914">
        <f t="shared" si="165"/>
        <v>0</v>
      </c>
      <c r="I941" s="985"/>
      <c r="J941" s="914">
        <f t="shared" si="166"/>
        <v>0</v>
      </c>
      <c r="K941" s="914"/>
      <c r="L941" s="914">
        <f t="shared" si="167"/>
        <v>0</v>
      </c>
      <c r="M941" s="985"/>
      <c r="N941" s="914">
        <f t="shared" si="168"/>
        <v>0</v>
      </c>
      <c r="O941" s="985"/>
      <c r="P941" s="914"/>
      <c r="Q941" s="985"/>
      <c r="R941" s="914"/>
      <c r="S941" s="985"/>
      <c r="T941" s="914"/>
      <c r="U941" s="915">
        <f t="shared" si="164"/>
        <v>1</v>
      </c>
      <c r="V941" s="914">
        <f t="shared" si="160"/>
        <v>1627.62</v>
      </c>
    </row>
    <row r="942" spans="1:22" ht="318" customHeight="1">
      <c r="A942" s="979">
        <f t="shared" si="170"/>
        <v>8</v>
      </c>
      <c r="B942" s="970" t="s">
        <v>6953</v>
      </c>
      <c r="C942" s="1026">
        <f>building!C948</f>
        <v>6523.34</v>
      </c>
      <c r="D942" s="984" t="s">
        <v>1389</v>
      </c>
      <c r="E942" s="985">
        <v>1</v>
      </c>
      <c r="F942" s="1053">
        <f t="shared" si="169"/>
        <v>6523.34</v>
      </c>
      <c r="G942" s="985"/>
      <c r="H942" s="914">
        <f t="shared" si="165"/>
        <v>0</v>
      </c>
      <c r="I942" s="985"/>
      <c r="J942" s="914">
        <f t="shared" si="166"/>
        <v>0</v>
      </c>
      <c r="K942" s="914"/>
      <c r="L942" s="914">
        <f t="shared" si="167"/>
        <v>0</v>
      </c>
      <c r="M942" s="985"/>
      <c r="N942" s="914">
        <f t="shared" si="168"/>
        <v>0</v>
      </c>
      <c r="O942" s="985"/>
      <c r="P942" s="914"/>
      <c r="Q942" s="985"/>
      <c r="R942" s="914"/>
      <c r="S942" s="985"/>
      <c r="T942" s="914"/>
      <c r="U942" s="915">
        <f t="shared" si="164"/>
        <v>1</v>
      </c>
      <c r="V942" s="914">
        <f t="shared" si="160"/>
        <v>6523.34</v>
      </c>
    </row>
    <row r="943" spans="1:22" ht="310.5" customHeight="1">
      <c r="A943" s="979">
        <f t="shared" si="170"/>
        <v>9</v>
      </c>
      <c r="B943" s="970" t="s">
        <v>6719</v>
      </c>
      <c r="C943" s="1026">
        <v>18342</v>
      </c>
      <c r="D943" s="984" t="s">
        <v>1389</v>
      </c>
      <c r="E943" s="985">
        <v>1</v>
      </c>
      <c r="F943" s="1053">
        <f t="shared" si="169"/>
        <v>18342</v>
      </c>
      <c r="G943" s="985"/>
      <c r="H943" s="914">
        <f t="shared" si="165"/>
        <v>0</v>
      </c>
      <c r="I943" s="985"/>
      <c r="J943" s="914">
        <f t="shared" si="166"/>
        <v>0</v>
      </c>
      <c r="K943" s="914"/>
      <c r="L943" s="914">
        <f t="shared" si="167"/>
        <v>0</v>
      </c>
      <c r="M943" s="985"/>
      <c r="N943" s="914">
        <f t="shared" si="168"/>
        <v>0</v>
      </c>
      <c r="O943" s="985"/>
      <c r="P943" s="914"/>
      <c r="Q943" s="985"/>
      <c r="R943" s="914"/>
      <c r="S943" s="985"/>
      <c r="T943" s="914"/>
      <c r="U943" s="915">
        <f t="shared" si="164"/>
        <v>1</v>
      </c>
      <c r="V943" s="914">
        <f t="shared" si="160"/>
        <v>18342</v>
      </c>
    </row>
    <row r="944" spans="1:22" ht="276.75" customHeight="1">
      <c r="A944" s="979">
        <f t="shared" si="170"/>
        <v>10</v>
      </c>
      <c r="B944" s="970" t="s">
        <v>6572</v>
      </c>
      <c r="C944" s="1026"/>
      <c r="D944" s="984"/>
      <c r="E944" s="985"/>
      <c r="F944" s="1053">
        <f t="shared" si="169"/>
        <v>0</v>
      </c>
      <c r="G944" s="985"/>
      <c r="H944" s="914">
        <f t="shared" si="165"/>
        <v>0</v>
      </c>
      <c r="I944" s="985"/>
      <c r="J944" s="914">
        <f t="shared" si="166"/>
        <v>0</v>
      </c>
      <c r="K944" s="914"/>
      <c r="L944" s="914">
        <f t="shared" si="167"/>
        <v>0</v>
      </c>
      <c r="M944" s="985"/>
      <c r="N944" s="914">
        <f t="shared" si="168"/>
        <v>0</v>
      </c>
      <c r="O944" s="985"/>
      <c r="P944" s="914"/>
      <c r="Q944" s="985"/>
      <c r="R944" s="914"/>
      <c r="S944" s="985"/>
      <c r="T944" s="914"/>
      <c r="U944" s="915">
        <f t="shared" si="164"/>
        <v>0</v>
      </c>
      <c r="V944" s="914">
        <f t="shared" si="160"/>
        <v>0</v>
      </c>
    </row>
    <row r="945" spans="1:22" ht="138" customHeight="1">
      <c r="A945" s="979"/>
      <c r="B945" s="970" t="s">
        <v>6741</v>
      </c>
      <c r="C945" s="1026">
        <v>28000</v>
      </c>
      <c r="D945" s="984" t="s">
        <v>1389</v>
      </c>
      <c r="E945" s="985">
        <v>1</v>
      </c>
      <c r="F945" s="1053">
        <f t="shared" si="169"/>
        <v>28000</v>
      </c>
      <c r="G945" s="985"/>
      <c r="H945" s="914">
        <f t="shared" si="165"/>
        <v>0</v>
      </c>
      <c r="I945" s="985"/>
      <c r="J945" s="914">
        <f t="shared" si="166"/>
        <v>0</v>
      </c>
      <c r="K945" s="914"/>
      <c r="L945" s="914">
        <f t="shared" si="167"/>
        <v>0</v>
      </c>
      <c r="M945" s="985"/>
      <c r="N945" s="914">
        <f t="shared" si="168"/>
        <v>0</v>
      </c>
      <c r="O945" s="985"/>
      <c r="P945" s="914"/>
      <c r="Q945" s="985"/>
      <c r="R945" s="914"/>
      <c r="S945" s="985"/>
      <c r="T945" s="914"/>
      <c r="U945" s="915">
        <f t="shared" si="164"/>
        <v>1</v>
      </c>
      <c r="V945" s="914">
        <f t="shared" si="160"/>
        <v>28000</v>
      </c>
    </row>
    <row r="946" spans="1:22" ht="284.25" customHeight="1">
      <c r="A946" s="979">
        <f>A944+1</f>
        <v>11</v>
      </c>
      <c r="B946" s="970" t="s">
        <v>6757</v>
      </c>
      <c r="C946" s="1026">
        <v>128</v>
      </c>
      <c r="D946" s="984" t="s">
        <v>1389</v>
      </c>
      <c r="E946" s="1183">
        <v>24</v>
      </c>
      <c r="F946" s="1053">
        <f t="shared" si="169"/>
        <v>3072</v>
      </c>
      <c r="G946" s="985"/>
      <c r="H946" s="914">
        <f t="shared" si="165"/>
        <v>0</v>
      </c>
      <c r="I946" s="985"/>
      <c r="J946" s="914">
        <f t="shared" si="166"/>
        <v>0</v>
      </c>
      <c r="K946" s="914"/>
      <c r="L946" s="914">
        <f t="shared" si="167"/>
        <v>0</v>
      </c>
      <c r="M946" s="985"/>
      <c r="N946" s="914">
        <f t="shared" si="168"/>
        <v>0</v>
      </c>
      <c r="O946" s="985"/>
      <c r="P946" s="914"/>
      <c r="Q946" s="985"/>
      <c r="R946" s="914"/>
      <c r="S946" s="985"/>
      <c r="T946" s="914"/>
      <c r="U946" s="915">
        <f t="shared" si="164"/>
        <v>24</v>
      </c>
      <c r="V946" s="914">
        <f t="shared" si="160"/>
        <v>3072</v>
      </c>
    </row>
    <row r="947" spans="1:22" ht="119.25" customHeight="1">
      <c r="A947" s="946"/>
      <c r="B947" s="1057" t="s">
        <v>6720</v>
      </c>
      <c r="C947" s="1026"/>
      <c r="D947" s="984"/>
      <c r="E947" s="985"/>
      <c r="F947" s="1053">
        <f t="shared" si="169"/>
        <v>0</v>
      </c>
      <c r="G947" s="985"/>
      <c r="H947" s="914">
        <f t="shared" si="165"/>
        <v>0</v>
      </c>
      <c r="I947" s="985"/>
      <c r="J947" s="914">
        <f t="shared" si="166"/>
        <v>0</v>
      </c>
      <c r="K947" s="914"/>
      <c r="L947" s="914">
        <f t="shared" si="167"/>
        <v>0</v>
      </c>
      <c r="M947" s="985"/>
      <c r="N947" s="914">
        <f t="shared" si="168"/>
        <v>0</v>
      </c>
      <c r="O947" s="985"/>
      <c r="P947" s="914"/>
      <c r="Q947" s="985"/>
      <c r="R947" s="914"/>
      <c r="S947" s="985"/>
      <c r="T947" s="914"/>
      <c r="U947" s="915">
        <f t="shared" si="164"/>
        <v>0</v>
      </c>
      <c r="V947" s="914">
        <f t="shared" si="160"/>
        <v>0</v>
      </c>
    </row>
    <row r="948" spans="1:22" ht="273" customHeight="1">
      <c r="A948" s="979">
        <v>1</v>
      </c>
      <c r="B948" s="970" t="s">
        <v>6722</v>
      </c>
      <c r="C948" s="1026">
        <v>35300</v>
      </c>
      <c r="D948" s="984" t="s">
        <v>1389</v>
      </c>
      <c r="E948" s="985"/>
      <c r="F948" s="1053">
        <f t="shared" si="169"/>
        <v>0</v>
      </c>
      <c r="G948" s="985">
        <v>2</v>
      </c>
      <c r="H948" s="914">
        <f t="shared" si="165"/>
        <v>70600</v>
      </c>
      <c r="I948" s="985"/>
      <c r="J948" s="914">
        <f t="shared" si="166"/>
        <v>0</v>
      </c>
      <c r="K948" s="914"/>
      <c r="L948" s="914">
        <f t="shared" si="167"/>
        <v>0</v>
      </c>
      <c r="M948" s="985"/>
      <c r="N948" s="914">
        <f t="shared" si="168"/>
        <v>0</v>
      </c>
      <c r="O948" s="985"/>
      <c r="P948" s="914"/>
      <c r="Q948" s="985"/>
      <c r="R948" s="914"/>
      <c r="S948" s="985"/>
      <c r="T948" s="914"/>
      <c r="U948" s="915">
        <f t="shared" si="164"/>
        <v>2</v>
      </c>
      <c r="V948" s="914">
        <f t="shared" si="160"/>
        <v>70600</v>
      </c>
    </row>
    <row r="949" spans="1:22" ht="321.75" customHeight="1">
      <c r="A949" s="979">
        <f>A948+1</f>
        <v>2</v>
      </c>
      <c r="B949" s="970" t="s">
        <v>6723</v>
      </c>
      <c r="C949" s="1026">
        <v>15147</v>
      </c>
      <c r="D949" s="984" t="s">
        <v>1427</v>
      </c>
      <c r="E949" s="985"/>
      <c r="F949" s="1053">
        <f t="shared" si="169"/>
        <v>0</v>
      </c>
      <c r="G949" s="985">
        <v>2</v>
      </c>
      <c r="H949" s="914">
        <f t="shared" si="165"/>
        <v>30294</v>
      </c>
      <c r="I949" s="985"/>
      <c r="J949" s="914">
        <f t="shared" si="166"/>
        <v>0</v>
      </c>
      <c r="K949" s="914"/>
      <c r="L949" s="914">
        <f t="shared" si="167"/>
        <v>0</v>
      </c>
      <c r="M949" s="985"/>
      <c r="N949" s="914">
        <f t="shared" si="168"/>
        <v>0</v>
      </c>
      <c r="O949" s="985"/>
      <c r="P949" s="914"/>
      <c r="Q949" s="985"/>
      <c r="R949" s="914"/>
      <c r="S949" s="985"/>
      <c r="T949" s="914"/>
      <c r="U949" s="915">
        <f t="shared" si="164"/>
        <v>2</v>
      </c>
      <c r="V949" s="914">
        <f t="shared" si="160"/>
        <v>30294</v>
      </c>
    </row>
    <row r="950" spans="1:22" ht="366.75" customHeight="1">
      <c r="A950" s="979">
        <f t="shared" ref="A950:A952" si="171">A949+1</f>
        <v>3</v>
      </c>
      <c r="B950" s="970" t="s">
        <v>6724</v>
      </c>
      <c r="C950" s="1026">
        <v>11056.1</v>
      </c>
      <c r="D950" s="984" t="s">
        <v>1389</v>
      </c>
      <c r="E950" s="985"/>
      <c r="F950" s="1053">
        <f t="shared" si="169"/>
        <v>0</v>
      </c>
      <c r="G950" s="985">
        <v>2</v>
      </c>
      <c r="H950" s="914">
        <f t="shared" si="165"/>
        <v>22112.2</v>
      </c>
      <c r="I950" s="985"/>
      <c r="J950" s="914">
        <f t="shared" si="166"/>
        <v>0</v>
      </c>
      <c r="K950" s="914"/>
      <c r="L950" s="914">
        <f t="shared" si="167"/>
        <v>0</v>
      </c>
      <c r="M950" s="985"/>
      <c r="N950" s="914">
        <f t="shared" si="168"/>
        <v>0</v>
      </c>
      <c r="O950" s="985"/>
      <c r="P950" s="914"/>
      <c r="Q950" s="985"/>
      <c r="R950" s="914"/>
      <c r="S950" s="985"/>
      <c r="T950" s="914"/>
      <c r="U950" s="915">
        <f t="shared" si="164"/>
        <v>2</v>
      </c>
      <c r="V950" s="914">
        <f t="shared" si="160"/>
        <v>22112.2</v>
      </c>
    </row>
    <row r="951" spans="1:22" ht="231.75" customHeight="1">
      <c r="A951" s="979">
        <f t="shared" si="171"/>
        <v>4</v>
      </c>
      <c r="B951" s="970" t="s">
        <v>6742</v>
      </c>
      <c r="C951" s="1026">
        <f>O.data!F34</f>
        <v>630.97</v>
      </c>
      <c r="D951" s="984" t="s">
        <v>823</v>
      </c>
      <c r="E951" s="985"/>
      <c r="F951" s="1053"/>
      <c r="G951" s="985">
        <v>4.5</v>
      </c>
      <c r="H951" s="914">
        <f t="shared" si="165"/>
        <v>2839.37</v>
      </c>
      <c r="I951" s="985"/>
      <c r="J951" s="914">
        <f t="shared" si="166"/>
        <v>0</v>
      </c>
      <c r="K951" s="1060">
        <v>6</v>
      </c>
      <c r="L951" s="914">
        <f t="shared" si="167"/>
        <v>3785.82</v>
      </c>
      <c r="M951" s="985"/>
      <c r="N951" s="914">
        <f t="shared" si="168"/>
        <v>0</v>
      </c>
      <c r="O951" s="985"/>
      <c r="P951" s="914"/>
      <c r="Q951" s="985"/>
      <c r="R951" s="914"/>
      <c r="S951" s="985"/>
      <c r="T951" s="914"/>
      <c r="U951" s="915">
        <f t="shared" si="164"/>
        <v>10.5</v>
      </c>
      <c r="V951" s="914">
        <f t="shared" si="160"/>
        <v>6625.19</v>
      </c>
    </row>
    <row r="952" spans="1:22" ht="295.5" customHeight="1">
      <c r="A952" s="979">
        <f t="shared" si="171"/>
        <v>5</v>
      </c>
      <c r="B952" s="970" t="s">
        <v>6725</v>
      </c>
      <c r="C952" s="1026"/>
      <c r="D952" s="984"/>
      <c r="E952" s="985"/>
      <c r="F952" s="1053">
        <f t="shared" si="169"/>
        <v>0</v>
      </c>
      <c r="G952" s="985"/>
      <c r="H952" s="914">
        <f t="shared" si="165"/>
        <v>0</v>
      </c>
      <c r="I952" s="985"/>
      <c r="J952" s="914">
        <f t="shared" si="166"/>
        <v>0</v>
      </c>
      <c r="K952" s="914"/>
      <c r="L952" s="914">
        <f t="shared" si="167"/>
        <v>0</v>
      </c>
      <c r="M952" s="985"/>
      <c r="N952" s="914">
        <f t="shared" si="168"/>
        <v>0</v>
      </c>
      <c r="O952" s="985"/>
      <c r="P952" s="914"/>
      <c r="Q952" s="985"/>
      <c r="R952" s="914"/>
      <c r="S952" s="985"/>
      <c r="T952" s="914"/>
      <c r="U952" s="915">
        <f t="shared" si="164"/>
        <v>0</v>
      </c>
      <c r="V952" s="914">
        <f t="shared" si="160"/>
        <v>0</v>
      </c>
    </row>
    <row r="953" spans="1:22" ht="130.5" customHeight="1">
      <c r="A953" s="946"/>
      <c r="B953" s="970" t="s">
        <v>6567</v>
      </c>
      <c r="C953" s="1026">
        <v>474</v>
      </c>
      <c r="D953" s="984" t="s">
        <v>1389</v>
      </c>
      <c r="E953" s="985"/>
      <c r="F953" s="1053">
        <f t="shared" si="169"/>
        <v>0</v>
      </c>
      <c r="G953" s="985">
        <v>2</v>
      </c>
      <c r="H953" s="914">
        <f t="shared" si="165"/>
        <v>948</v>
      </c>
      <c r="I953" s="985"/>
      <c r="J953" s="914">
        <f t="shared" si="166"/>
        <v>0</v>
      </c>
      <c r="K953" s="914"/>
      <c r="L953" s="914">
        <f t="shared" si="167"/>
        <v>0</v>
      </c>
      <c r="M953" s="985"/>
      <c r="N953" s="914">
        <f t="shared" si="168"/>
        <v>0</v>
      </c>
      <c r="O953" s="985"/>
      <c r="P953" s="914"/>
      <c r="Q953" s="985"/>
      <c r="R953" s="914"/>
      <c r="S953" s="985"/>
      <c r="T953" s="914"/>
      <c r="U953" s="915">
        <f t="shared" si="164"/>
        <v>2</v>
      </c>
      <c r="V953" s="914">
        <f t="shared" si="160"/>
        <v>948</v>
      </c>
    </row>
    <row r="954" spans="1:22" ht="130.5" customHeight="1">
      <c r="A954" s="946"/>
      <c r="B954" s="970" t="s">
        <v>6568</v>
      </c>
      <c r="C954" s="1026">
        <v>291</v>
      </c>
      <c r="D954" s="984" t="s">
        <v>1389</v>
      </c>
      <c r="E954" s="985"/>
      <c r="F954" s="1053">
        <f t="shared" si="169"/>
        <v>0</v>
      </c>
      <c r="G954" s="985">
        <v>3</v>
      </c>
      <c r="H954" s="914">
        <f t="shared" si="165"/>
        <v>873</v>
      </c>
      <c r="I954" s="985"/>
      <c r="J954" s="914">
        <f t="shared" si="166"/>
        <v>0</v>
      </c>
      <c r="K954" s="914"/>
      <c r="L954" s="914">
        <f t="shared" si="167"/>
        <v>0</v>
      </c>
      <c r="M954" s="985"/>
      <c r="N954" s="914">
        <f t="shared" si="168"/>
        <v>0</v>
      </c>
      <c r="O954" s="985"/>
      <c r="P954" s="914"/>
      <c r="Q954" s="985"/>
      <c r="R954" s="914"/>
      <c r="S954" s="985"/>
      <c r="T954" s="914"/>
      <c r="U954" s="915">
        <f t="shared" si="164"/>
        <v>3</v>
      </c>
      <c r="V954" s="914">
        <f t="shared" si="160"/>
        <v>873</v>
      </c>
    </row>
    <row r="955" spans="1:22" ht="130.5" customHeight="1">
      <c r="A955" s="946"/>
      <c r="B955" s="970" t="s">
        <v>6569</v>
      </c>
      <c r="C955" s="1026">
        <v>881.7</v>
      </c>
      <c r="D955" s="984" t="s">
        <v>1389</v>
      </c>
      <c r="E955" s="985"/>
      <c r="F955" s="1053">
        <f t="shared" si="169"/>
        <v>0</v>
      </c>
      <c r="G955" s="985">
        <v>2</v>
      </c>
      <c r="H955" s="914">
        <f t="shared" si="165"/>
        <v>1763.4</v>
      </c>
      <c r="I955" s="985"/>
      <c r="J955" s="914">
        <f t="shared" si="166"/>
        <v>0</v>
      </c>
      <c r="K955" s="914"/>
      <c r="L955" s="914">
        <f t="shared" si="167"/>
        <v>0</v>
      </c>
      <c r="M955" s="985"/>
      <c r="N955" s="914">
        <f t="shared" si="168"/>
        <v>0</v>
      </c>
      <c r="O955" s="985"/>
      <c r="P955" s="914"/>
      <c r="Q955" s="985"/>
      <c r="R955" s="914"/>
      <c r="S955" s="985"/>
      <c r="T955" s="914"/>
      <c r="U955" s="915">
        <f t="shared" si="164"/>
        <v>2</v>
      </c>
      <c r="V955" s="914">
        <f t="shared" si="160"/>
        <v>1763.4</v>
      </c>
    </row>
    <row r="956" spans="1:22" ht="130.5" customHeight="1">
      <c r="A956" s="946"/>
      <c r="B956" s="970" t="s">
        <v>6570</v>
      </c>
      <c r="C956" s="1026">
        <v>4013</v>
      </c>
      <c r="D956" s="984" t="s">
        <v>1389</v>
      </c>
      <c r="E956" s="985"/>
      <c r="F956" s="1053">
        <f t="shared" si="169"/>
        <v>0</v>
      </c>
      <c r="G956" s="985">
        <v>2</v>
      </c>
      <c r="H956" s="914">
        <f t="shared" si="165"/>
        <v>8026</v>
      </c>
      <c r="I956" s="985"/>
      <c r="J956" s="914">
        <f t="shared" si="166"/>
        <v>0</v>
      </c>
      <c r="K956" s="914"/>
      <c r="L956" s="914">
        <f t="shared" si="167"/>
        <v>0</v>
      </c>
      <c r="M956" s="985"/>
      <c r="N956" s="914">
        <f t="shared" si="168"/>
        <v>0</v>
      </c>
      <c r="O956" s="985"/>
      <c r="P956" s="914"/>
      <c r="Q956" s="985"/>
      <c r="R956" s="914"/>
      <c r="S956" s="985"/>
      <c r="T956" s="914"/>
      <c r="U956" s="915">
        <f t="shared" si="164"/>
        <v>2</v>
      </c>
      <c r="V956" s="914">
        <f t="shared" si="160"/>
        <v>8026</v>
      </c>
    </row>
    <row r="957" spans="1:22" ht="130.5" customHeight="1">
      <c r="A957" s="946"/>
      <c r="B957" s="970" t="s">
        <v>6571</v>
      </c>
      <c r="C957" s="1026">
        <v>119</v>
      </c>
      <c r="D957" s="984" t="s">
        <v>1389</v>
      </c>
      <c r="E957" s="985"/>
      <c r="F957" s="1053">
        <f t="shared" si="169"/>
        <v>0</v>
      </c>
      <c r="G957" s="985">
        <v>2</v>
      </c>
      <c r="H957" s="914">
        <f t="shared" si="165"/>
        <v>238</v>
      </c>
      <c r="I957" s="985"/>
      <c r="J957" s="914">
        <f t="shared" si="166"/>
        <v>0</v>
      </c>
      <c r="K957" s="914"/>
      <c r="L957" s="914">
        <f t="shared" si="167"/>
        <v>0</v>
      </c>
      <c r="M957" s="985"/>
      <c r="N957" s="914">
        <f t="shared" si="168"/>
        <v>0</v>
      </c>
      <c r="O957" s="985"/>
      <c r="P957" s="914"/>
      <c r="Q957" s="985"/>
      <c r="R957" s="914"/>
      <c r="S957" s="985"/>
      <c r="T957" s="914"/>
      <c r="U957" s="915">
        <f t="shared" si="164"/>
        <v>2</v>
      </c>
      <c r="V957" s="914">
        <f t="shared" si="160"/>
        <v>238</v>
      </c>
    </row>
    <row r="958" spans="1:22" ht="130.5" customHeight="1">
      <c r="A958" s="946"/>
      <c r="B958" s="970" t="s">
        <v>6726</v>
      </c>
      <c r="C958" s="1026">
        <v>374</v>
      </c>
      <c r="D958" s="984" t="s">
        <v>1389</v>
      </c>
      <c r="E958" s="985"/>
      <c r="F958" s="1053">
        <f t="shared" si="169"/>
        <v>0</v>
      </c>
      <c r="G958" s="985">
        <v>1</v>
      </c>
      <c r="H958" s="914">
        <f t="shared" si="165"/>
        <v>374</v>
      </c>
      <c r="I958" s="985"/>
      <c r="J958" s="914">
        <f t="shared" si="166"/>
        <v>0</v>
      </c>
      <c r="K958" s="914"/>
      <c r="L958" s="914">
        <f t="shared" si="167"/>
        <v>0</v>
      </c>
      <c r="M958" s="985"/>
      <c r="N958" s="914">
        <f t="shared" si="168"/>
        <v>0</v>
      </c>
      <c r="O958" s="985"/>
      <c r="P958" s="914"/>
      <c r="Q958" s="985"/>
      <c r="R958" s="914"/>
      <c r="S958" s="985"/>
      <c r="T958" s="914"/>
      <c r="U958" s="915">
        <f t="shared" si="164"/>
        <v>1</v>
      </c>
      <c r="V958" s="914">
        <f t="shared" si="160"/>
        <v>374</v>
      </c>
    </row>
    <row r="959" spans="1:22" ht="160.5" customHeight="1">
      <c r="A959" s="946"/>
      <c r="B959" s="970" t="str">
        <f>building!B965</f>
        <v>g) 50mm dia Elbow PWD SR P-51/2023-24</v>
      </c>
      <c r="C959" s="1026">
        <f>building!C965</f>
        <v>128</v>
      </c>
      <c r="D959" s="984" t="s">
        <v>1389</v>
      </c>
      <c r="E959" s="985"/>
      <c r="F959" s="1053">
        <f t="shared" si="169"/>
        <v>0</v>
      </c>
      <c r="G959" s="985">
        <v>2</v>
      </c>
      <c r="H959" s="914">
        <f t="shared" si="165"/>
        <v>256</v>
      </c>
      <c r="I959" s="985"/>
      <c r="J959" s="914">
        <f t="shared" si="166"/>
        <v>0</v>
      </c>
      <c r="K959" s="914"/>
      <c r="L959" s="914">
        <f t="shared" si="167"/>
        <v>0</v>
      </c>
      <c r="M959" s="985"/>
      <c r="N959" s="914">
        <f t="shared" si="168"/>
        <v>0</v>
      </c>
      <c r="O959" s="985"/>
      <c r="P959" s="914"/>
      <c r="Q959" s="985"/>
      <c r="R959" s="914"/>
      <c r="S959" s="985"/>
      <c r="T959" s="914"/>
      <c r="U959" s="915">
        <f t="shared" si="164"/>
        <v>2</v>
      </c>
      <c r="V959" s="914">
        <f t="shared" si="160"/>
        <v>256</v>
      </c>
    </row>
    <row r="960" spans="1:22" ht="160.5" customHeight="1">
      <c r="A960" s="946"/>
      <c r="B960" s="970" t="str">
        <f>building!B966</f>
        <v>h)50mmm dia GI union   PWD SR P-51/2023-24</v>
      </c>
      <c r="C960" s="1026">
        <v>266.3</v>
      </c>
      <c r="D960" s="984" t="s">
        <v>1389</v>
      </c>
      <c r="E960" s="985"/>
      <c r="F960" s="1053">
        <f t="shared" si="169"/>
        <v>0</v>
      </c>
      <c r="G960" s="985">
        <v>3</v>
      </c>
      <c r="H960" s="914">
        <f t="shared" si="165"/>
        <v>798.9</v>
      </c>
      <c r="I960" s="985"/>
      <c r="J960" s="914">
        <f t="shared" si="166"/>
        <v>0</v>
      </c>
      <c r="K960" s="914"/>
      <c r="L960" s="914">
        <f t="shared" si="167"/>
        <v>0</v>
      </c>
      <c r="M960" s="985"/>
      <c r="N960" s="914">
        <f t="shared" si="168"/>
        <v>0</v>
      </c>
      <c r="O960" s="985"/>
      <c r="P960" s="914"/>
      <c r="Q960" s="985"/>
      <c r="R960" s="914"/>
      <c r="S960" s="985"/>
      <c r="T960" s="914"/>
      <c r="U960" s="915">
        <f t="shared" si="164"/>
        <v>3</v>
      </c>
      <c r="V960" s="914">
        <f t="shared" si="160"/>
        <v>798.9</v>
      </c>
    </row>
    <row r="961" spans="1:22" ht="160.5" customHeight="1">
      <c r="A961" s="946"/>
      <c r="B961" s="970" t="str">
        <f>building!B967</f>
        <v>i) 50mm dia  GI bend    PWD SR P-51/2023-24</v>
      </c>
      <c r="C961" s="1026">
        <v>116.3</v>
      </c>
      <c r="D961" s="984" t="s">
        <v>1389</v>
      </c>
      <c r="E961" s="985"/>
      <c r="F961" s="1053">
        <f t="shared" si="169"/>
        <v>0</v>
      </c>
      <c r="G961" s="985">
        <v>2</v>
      </c>
      <c r="H961" s="914">
        <f t="shared" si="165"/>
        <v>232.6</v>
      </c>
      <c r="I961" s="985"/>
      <c r="J961" s="914">
        <f t="shared" si="166"/>
        <v>0</v>
      </c>
      <c r="K961" s="914"/>
      <c r="L961" s="914">
        <f t="shared" si="167"/>
        <v>0</v>
      </c>
      <c r="M961" s="985"/>
      <c r="N961" s="914">
        <f t="shared" si="168"/>
        <v>0</v>
      </c>
      <c r="O961" s="985"/>
      <c r="P961" s="914"/>
      <c r="Q961" s="985"/>
      <c r="R961" s="914"/>
      <c r="S961" s="985"/>
      <c r="T961" s="914"/>
      <c r="U961" s="915">
        <f t="shared" si="164"/>
        <v>2</v>
      </c>
      <c r="V961" s="914">
        <f t="shared" si="160"/>
        <v>232.6</v>
      </c>
    </row>
    <row r="962" spans="1:22" ht="160.5" customHeight="1">
      <c r="A962" s="946"/>
      <c r="B962" s="970" t="str">
        <f>building!B968</f>
        <v>j) 50mm GI Tee   PWD SR P-51/2023-24</v>
      </c>
      <c r="C962" s="1026">
        <v>139.80000000000001</v>
      </c>
      <c r="D962" s="984" t="s">
        <v>1389</v>
      </c>
      <c r="E962" s="985"/>
      <c r="F962" s="1053">
        <f t="shared" si="169"/>
        <v>0</v>
      </c>
      <c r="G962" s="985">
        <v>1</v>
      </c>
      <c r="H962" s="914">
        <f t="shared" si="165"/>
        <v>139.80000000000001</v>
      </c>
      <c r="I962" s="985"/>
      <c r="J962" s="914">
        <f t="shared" si="166"/>
        <v>0</v>
      </c>
      <c r="K962" s="914"/>
      <c r="L962" s="914">
        <f t="shared" si="167"/>
        <v>0</v>
      </c>
      <c r="M962" s="985"/>
      <c r="N962" s="914">
        <f t="shared" si="168"/>
        <v>0</v>
      </c>
      <c r="O962" s="985"/>
      <c r="P962" s="914"/>
      <c r="Q962" s="985"/>
      <c r="R962" s="914"/>
      <c r="S962" s="985"/>
      <c r="T962" s="914"/>
      <c r="U962" s="915">
        <f t="shared" si="164"/>
        <v>1</v>
      </c>
      <c r="V962" s="914">
        <f t="shared" si="160"/>
        <v>139.80000000000001</v>
      </c>
    </row>
    <row r="963" spans="1:22" ht="160.5" customHeight="1">
      <c r="A963" s="946"/>
      <c r="B963" s="970" t="str">
        <f>building!B969</f>
        <v>k)50mm diaGI  coupling  PWD SR P-52/2023-24</v>
      </c>
      <c r="C963" s="1026">
        <v>69.8</v>
      </c>
      <c r="D963" s="984" t="s">
        <v>1389</v>
      </c>
      <c r="E963" s="985"/>
      <c r="F963" s="1053">
        <f t="shared" si="169"/>
        <v>0</v>
      </c>
      <c r="G963" s="985">
        <v>3</v>
      </c>
      <c r="H963" s="914">
        <f t="shared" si="165"/>
        <v>209.4</v>
      </c>
      <c r="I963" s="985"/>
      <c r="J963" s="914">
        <f t="shared" si="166"/>
        <v>0</v>
      </c>
      <c r="K963" s="914"/>
      <c r="L963" s="914">
        <f t="shared" si="167"/>
        <v>0</v>
      </c>
      <c r="M963" s="985"/>
      <c r="N963" s="914">
        <f t="shared" si="168"/>
        <v>0</v>
      </c>
      <c r="O963" s="985"/>
      <c r="P963" s="914"/>
      <c r="Q963" s="985"/>
      <c r="R963" s="914"/>
      <c r="S963" s="985"/>
      <c r="T963" s="914"/>
      <c r="U963" s="915">
        <f t="shared" si="164"/>
        <v>3</v>
      </c>
      <c r="V963" s="914">
        <f t="shared" si="160"/>
        <v>209.4</v>
      </c>
    </row>
    <row r="964" spans="1:22" ht="160.5" customHeight="1">
      <c r="A964" s="946"/>
      <c r="B964" s="970" t="str">
        <f>building!B970</f>
        <v>l)50mm dia GI MTA Qtn</v>
      </c>
      <c r="C964" s="1026">
        <v>205</v>
      </c>
      <c r="D964" s="984" t="s">
        <v>1389</v>
      </c>
      <c r="E964" s="985"/>
      <c r="F964" s="1053">
        <f t="shared" si="169"/>
        <v>0</v>
      </c>
      <c r="G964" s="985">
        <v>2</v>
      </c>
      <c r="H964" s="914">
        <f t="shared" si="165"/>
        <v>410</v>
      </c>
      <c r="I964" s="985"/>
      <c r="J964" s="914">
        <f t="shared" si="166"/>
        <v>0</v>
      </c>
      <c r="K964" s="914"/>
      <c r="L964" s="914">
        <f t="shared" si="167"/>
        <v>0</v>
      </c>
      <c r="M964" s="985"/>
      <c r="N964" s="914">
        <f t="shared" si="168"/>
        <v>0</v>
      </c>
      <c r="O964" s="985"/>
      <c r="P964" s="914"/>
      <c r="Q964" s="985"/>
      <c r="R964" s="914"/>
      <c r="S964" s="985"/>
      <c r="T964" s="914"/>
      <c r="U964" s="915">
        <f t="shared" si="164"/>
        <v>2</v>
      </c>
      <c r="V964" s="914">
        <f t="shared" si="160"/>
        <v>410</v>
      </c>
    </row>
    <row r="965" spans="1:22" ht="160.5" customHeight="1">
      <c r="A965" s="946"/>
      <c r="B965" s="970" t="str">
        <f>building!B971</f>
        <v>m) 50mm dia Hex Nipple   PWD SR P-53/2023-24</v>
      </c>
      <c r="C965" s="1026">
        <v>87</v>
      </c>
      <c r="D965" s="984" t="s">
        <v>1389</v>
      </c>
      <c r="E965" s="985"/>
      <c r="F965" s="1053">
        <f t="shared" si="169"/>
        <v>0</v>
      </c>
      <c r="G965" s="985">
        <v>2</v>
      </c>
      <c r="H965" s="914">
        <f t="shared" si="165"/>
        <v>174</v>
      </c>
      <c r="I965" s="985"/>
      <c r="J965" s="914">
        <f t="shared" si="166"/>
        <v>0</v>
      </c>
      <c r="K965" s="914"/>
      <c r="L965" s="914">
        <f t="shared" si="167"/>
        <v>0</v>
      </c>
      <c r="M965" s="985"/>
      <c r="N965" s="914">
        <f t="shared" si="168"/>
        <v>0</v>
      </c>
      <c r="O965" s="985"/>
      <c r="P965" s="914"/>
      <c r="Q965" s="985"/>
      <c r="R965" s="914"/>
      <c r="S965" s="985"/>
      <c r="T965" s="914"/>
      <c r="U965" s="915">
        <f t="shared" si="164"/>
        <v>2</v>
      </c>
      <c r="V965" s="914">
        <f t="shared" ref="V965:V999" si="172">U965*C965</f>
        <v>174</v>
      </c>
    </row>
    <row r="966" spans="1:22" ht="160.5" customHeight="1">
      <c r="A966" s="946"/>
      <c r="B966" s="970" t="str">
        <f>building!B972</f>
        <v>n) 50mm dia Gun Metal Gate valve  PWD SR P-53/2023-24</v>
      </c>
      <c r="C966" s="1026">
        <v>1241</v>
      </c>
      <c r="D966" s="984" t="s">
        <v>1389</v>
      </c>
      <c r="E966" s="985"/>
      <c r="F966" s="1053">
        <f t="shared" si="169"/>
        <v>0</v>
      </c>
      <c r="G966" s="985">
        <v>1</v>
      </c>
      <c r="H966" s="914">
        <f t="shared" si="165"/>
        <v>1241</v>
      </c>
      <c r="I966" s="985"/>
      <c r="J966" s="914">
        <f t="shared" si="166"/>
        <v>0</v>
      </c>
      <c r="K966" s="914"/>
      <c r="L966" s="914">
        <f t="shared" si="167"/>
        <v>0</v>
      </c>
      <c r="M966" s="985"/>
      <c r="N966" s="914">
        <f t="shared" si="168"/>
        <v>0</v>
      </c>
      <c r="O966" s="985"/>
      <c r="P966" s="914"/>
      <c r="Q966" s="985"/>
      <c r="R966" s="914"/>
      <c r="S966" s="985"/>
      <c r="T966" s="914"/>
      <c r="U966" s="915">
        <f t="shared" si="164"/>
        <v>1</v>
      </c>
      <c r="V966" s="914">
        <f t="shared" si="172"/>
        <v>1241</v>
      </c>
    </row>
    <row r="967" spans="1:22" ht="160.5" customHeight="1">
      <c r="A967" s="946"/>
      <c r="B967" s="970" t="str">
        <f>building!B973</f>
        <v>o) 32mm dia Gun Metal Gate valve PWD SR P-53/2023-24</v>
      </c>
      <c r="C967" s="1026">
        <v>760</v>
      </c>
      <c r="D967" s="984" t="s">
        <v>1389</v>
      </c>
      <c r="E967" s="985"/>
      <c r="F967" s="1053">
        <f t="shared" si="169"/>
        <v>0</v>
      </c>
      <c r="G967" s="985">
        <v>1</v>
      </c>
      <c r="H967" s="914">
        <f t="shared" si="165"/>
        <v>760</v>
      </c>
      <c r="I967" s="985"/>
      <c r="J967" s="914">
        <f t="shared" si="166"/>
        <v>0</v>
      </c>
      <c r="K967" s="914"/>
      <c r="L967" s="914">
        <f t="shared" si="167"/>
        <v>0</v>
      </c>
      <c r="M967" s="985"/>
      <c r="N967" s="914">
        <f t="shared" si="168"/>
        <v>0</v>
      </c>
      <c r="O967" s="985"/>
      <c r="P967" s="914"/>
      <c r="Q967" s="985"/>
      <c r="R967" s="914"/>
      <c r="S967" s="985"/>
      <c r="T967" s="914"/>
      <c r="U967" s="915">
        <f t="shared" si="164"/>
        <v>1</v>
      </c>
      <c r="V967" s="914">
        <f t="shared" si="172"/>
        <v>760</v>
      </c>
    </row>
    <row r="968" spans="1:22" ht="231.75" customHeight="1">
      <c r="A968" s="979">
        <f>A952+1</f>
        <v>6</v>
      </c>
      <c r="B968" s="970" t="s">
        <v>6730</v>
      </c>
      <c r="C968" s="1026"/>
      <c r="D968" s="984"/>
      <c r="E968" s="985"/>
      <c r="F968" s="1053">
        <f t="shared" si="169"/>
        <v>0</v>
      </c>
      <c r="G968" s="985"/>
      <c r="H968" s="914">
        <f t="shared" si="165"/>
        <v>0</v>
      </c>
      <c r="I968" s="985"/>
      <c r="J968" s="914">
        <f t="shared" si="166"/>
        <v>0</v>
      </c>
      <c r="K968" s="914"/>
      <c r="L968" s="914">
        <f t="shared" si="167"/>
        <v>0</v>
      </c>
      <c r="M968" s="985"/>
      <c r="N968" s="914">
        <f t="shared" si="168"/>
        <v>0</v>
      </c>
      <c r="O968" s="985"/>
      <c r="P968" s="914"/>
      <c r="Q968" s="985"/>
      <c r="R968" s="914"/>
      <c r="S968" s="985"/>
      <c r="T968" s="914"/>
      <c r="U968" s="915">
        <f t="shared" si="164"/>
        <v>0</v>
      </c>
      <c r="V968" s="914">
        <f t="shared" si="172"/>
        <v>0</v>
      </c>
    </row>
    <row r="969" spans="1:22" ht="145.5" customHeight="1">
      <c r="A969" s="946"/>
      <c r="B969" s="970" t="s">
        <v>6728</v>
      </c>
      <c r="C969" s="1026">
        <f>O.data!F123</f>
        <v>226.38</v>
      </c>
      <c r="D969" s="984" t="s">
        <v>823</v>
      </c>
      <c r="E969" s="985"/>
      <c r="F969" s="1053">
        <f t="shared" si="169"/>
        <v>0</v>
      </c>
      <c r="G969" s="985">
        <v>30</v>
      </c>
      <c r="H969" s="914">
        <f t="shared" si="165"/>
        <v>6791.4</v>
      </c>
      <c r="I969" s="985"/>
      <c r="J969" s="914">
        <f t="shared" si="166"/>
        <v>0</v>
      </c>
      <c r="K969" s="914"/>
      <c r="L969" s="914">
        <f t="shared" si="167"/>
        <v>0</v>
      </c>
      <c r="M969" s="985"/>
      <c r="N969" s="914">
        <f t="shared" si="168"/>
        <v>0</v>
      </c>
      <c r="O969" s="985"/>
      <c r="P969" s="914"/>
      <c r="Q969" s="985"/>
      <c r="R969" s="914"/>
      <c r="S969" s="985"/>
      <c r="T969" s="914"/>
      <c r="U969" s="915">
        <f t="shared" si="164"/>
        <v>30</v>
      </c>
      <c r="V969" s="914">
        <f t="shared" si="172"/>
        <v>6791.4</v>
      </c>
    </row>
    <row r="970" spans="1:22" ht="231.75" customHeight="1">
      <c r="A970" s="979">
        <f>A968+1</f>
        <v>7</v>
      </c>
      <c r="B970" s="970" t="s">
        <v>6729</v>
      </c>
      <c r="C970" s="1026"/>
      <c r="D970" s="984"/>
      <c r="E970" s="985"/>
      <c r="F970" s="1053">
        <f t="shared" si="169"/>
        <v>0</v>
      </c>
      <c r="G970" s="985"/>
      <c r="H970" s="914">
        <f t="shared" si="165"/>
        <v>0</v>
      </c>
      <c r="I970" s="985"/>
      <c r="J970" s="914">
        <f t="shared" si="166"/>
        <v>0</v>
      </c>
      <c r="K970" s="914"/>
      <c r="L970" s="914">
        <f t="shared" si="167"/>
        <v>0</v>
      </c>
      <c r="M970" s="985"/>
      <c r="N970" s="914">
        <f t="shared" si="168"/>
        <v>0</v>
      </c>
      <c r="O970" s="985"/>
      <c r="P970" s="914"/>
      <c r="Q970" s="985"/>
      <c r="R970" s="914"/>
      <c r="S970" s="985"/>
      <c r="T970" s="914"/>
      <c r="U970" s="915">
        <f t="shared" si="164"/>
        <v>0</v>
      </c>
      <c r="V970" s="914">
        <f t="shared" si="172"/>
        <v>0</v>
      </c>
    </row>
    <row r="971" spans="1:22" ht="179.25" customHeight="1">
      <c r="A971" s="946"/>
      <c r="B971" s="970" t="s">
        <v>6731</v>
      </c>
      <c r="C971" s="1026">
        <v>350</v>
      </c>
      <c r="D971" s="984" t="s">
        <v>1389</v>
      </c>
      <c r="E971" s="985"/>
      <c r="F971" s="1053">
        <f t="shared" si="169"/>
        <v>0</v>
      </c>
      <c r="G971" s="985">
        <v>1</v>
      </c>
      <c r="H971" s="914">
        <f t="shared" si="165"/>
        <v>350</v>
      </c>
      <c r="I971" s="985"/>
      <c r="J971" s="914">
        <f t="shared" si="166"/>
        <v>0</v>
      </c>
      <c r="K971" s="914"/>
      <c r="L971" s="914">
        <f t="shared" si="167"/>
        <v>0</v>
      </c>
      <c r="M971" s="985"/>
      <c r="N971" s="914">
        <f t="shared" si="168"/>
        <v>0</v>
      </c>
      <c r="O971" s="985"/>
      <c r="P971" s="914"/>
      <c r="Q971" s="985"/>
      <c r="R971" s="914"/>
      <c r="S971" s="985"/>
      <c r="T971" s="914"/>
      <c r="U971" s="915">
        <f t="shared" si="164"/>
        <v>1</v>
      </c>
      <c r="V971" s="914">
        <f t="shared" si="172"/>
        <v>350</v>
      </c>
    </row>
    <row r="972" spans="1:22" ht="231.75" customHeight="1">
      <c r="A972" s="946"/>
      <c r="B972" s="970" t="s">
        <v>6732</v>
      </c>
      <c r="C972" s="1026">
        <v>201</v>
      </c>
      <c r="D972" s="984" t="s">
        <v>1389</v>
      </c>
      <c r="E972" s="985"/>
      <c r="F972" s="1053">
        <f t="shared" si="169"/>
        <v>0</v>
      </c>
      <c r="G972" s="985">
        <v>1</v>
      </c>
      <c r="H972" s="914">
        <f t="shared" si="165"/>
        <v>201</v>
      </c>
      <c r="I972" s="985"/>
      <c r="J972" s="914">
        <f t="shared" si="166"/>
        <v>0</v>
      </c>
      <c r="K972" s="914"/>
      <c r="L972" s="914">
        <f t="shared" si="167"/>
        <v>0</v>
      </c>
      <c r="M972" s="985"/>
      <c r="N972" s="914">
        <f t="shared" si="168"/>
        <v>0</v>
      </c>
      <c r="O972" s="985"/>
      <c r="P972" s="914"/>
      <c r="Q972" s="985"/>
      <c r="R972" s="914"/>
      <c r="S972" s="985"/>
      <c r="T972" s="914"/>
      <c r="U972" s="915">
        <f t="shared" si="164"/>
        <v>1</v>
      </c>
      <c r="V972" s="914">
        <f t="shared" si="172"/>
        <v>201</v>
      </c>
    </row>
    <row r="973" spans="1:22" ht="198" customHeight="1">
      <c r="A973" s="946"/>
      <c r="B973" s="970" t="s">
        <v>6754</v>
      </c>
      <c r="C973" s="1026">
        <v>169</v>
      </c>
      <c r="D973" s="984" t="s">
        <v>1389</v>
      </c>
      <c r="E973" s="985"/>
      <c r="F973" s="1053">
        <f t="shared" si="169"/>
        <v>0</v>
      </c>
      <c r="G973" s="985">
        <v>4</v>
      </c>
      <c r="H973" s="914">
        <f t="shared" si="165"/>
        <v>676</v>
      </c>
      <c r="I973" s="985"/>
      <c r="J973" s="914">
        <f t="shared" si="166"/>
        <v>0</v>
      </c>
      <c r="K973" s="914"/>
      <c r="L973" s="914">
        <f t="shared" si="167"/>
        <v>0</v>
      </c>
      <c r="M973" s="985"/>
      <c r="N973" s="914">
        <f t="shared" si="168"/>
        <v>0</v>
      </c>
      <c r="O973" s="985"/>
      <c r="P973" s="914"/>
      <c r="Q973" s="985"/>
      <c r="R973" s="914"/>
      <c r="S973" s="985"/>
      <c r="T973" s="914"/>
      <c r="U973" s="915">
        <f t="shared" si="164"/>
        <v>4</v>
      </c>
      <c r="V973" s="914">
        <f t="shared" si="172"/>
        <v>676</v>
      </c>
    </row>
    <row r="974" spans="1:22" ht="205.5" customHeight="1">
      <c r="A974" s="946"/>
      <c r="B974" s="970" t="s">
        <v>6755</v>
      </c>
      <c r="C974" s="1026">
        <v>89.4</v>
      </c>
      <c r="D974" s="984" t="s">
        <v>1389</v>
      </c>
      <c r="E974" s="985"/>
      <c r="F974" s="1053">
        <f t="shared" si="169"/>
        <v>0</v>
      </c>
      <c r="G974" s="985">
        <v>1</v>
      </c>
      <c r="H974" s="914">
        <f t="shared" si="165"/>
        <v>89.4</v>
      </c>
      <c r="I974" s="985"/>
      <c r="J974" s="914">
        <f t="shared" si="166"/>
        <v>0</v>
      </c>
      <c r="K974" s="914"/>
      <c r="L974" s="914">
        <f t="shared" si="167"/>
        <v>0</v>
      </c>
      <c r="M974" s="985"/>
      <c r="N974" s="914">
        <f t="shared" si="168"/>
        <v>0</v>
      </c>
      <c r="O974" s="985"/>
      <c r="P974" s="914"/>
      <c r="Q974" s="985"/>
      <c r="R974" s="914"/>
      <c r="S974" s="985"/>
      <c r="T974" s="914"/>
      <c r="U974" s="915">
        <f t="shared" si="164"/>
        <v>1</v>
      </c>
      <c r="V974" s="914">
        <f t="shared" si="172"/>
        <v>89.4</v>
      </c>
    </row>
    <row r="975" spans="1:22" ht="231.75" customHeight="1">
      <c r="A975" s="946"/>
      <c r="B975" s="970" t="s">
        <v>6756</v>
      </c>
      <c r="C975" s="1026">
        <v>64.7</v>
      </c>
      <c r="D975" s="984" t="s">
        <v>1389</v>
      </c>
      <c r="E975" s="985"/>
      <c r="F975" s="1053">
        <f t="shared" si="169"/>
        <v>0</v>
      </c>
      <c r="G975" s="985">
        <v>1</v>
      </c>
      <c r="H975" s="914">
        <f t="shared" si="165"/>
        <v>64.7</v>
      </c>
      <c r="I975" s="985"/>
      <c r="J975" s="914">
        <f t="shared" si="166"/>
        <v>0</v>
      </c>
      <c r="K975" s="914"/>
      <c r="L975" s="914">
        <f t="shared" si="167"/>
        <v>0</v>
      </c>
      <c r="M975" s="985"/>
      <c r="N975" s="914">
        <f t="shared" si="168"/>
        <v>0</v>
      </c>
      <c r="O975" s="985"/>
      <c r="P975" s="914"/>
      <c r="Q975" s="985"/>
      <c r="R975" s="914"/>
      <c r="S975" s="985"/>
      <c r="T975" s="914"/>
      <c r="U975" s="915">
        <f t="shared" si="164"/>
        <v>1</v>
      </c>
      <c r="V975" s="914">
        <f t="shared" si="172"/>
        <v>64.7</v>
      </c>
    </row>
    <row r="976" spans="1:22" ht="115.5" customHeight="1">
      <c r="A976" s="946"/>
      <c r="B976" s="1057" t="s">
        <v>6733</v>
      </c>
      <c r="C976" s="1026"/>
      <c r="D976" s="984"/>
      <c r="E976" s="985"/>
      <c r="F976" s="1053">
        <f t="shared" si="169"/>
        <v>0</v>
      </c>
      <c r="G976" s="985"/>
      <c r="H976" s="914">
        <f t="shared" si="165"/>
        <v>0</v>
      </c>
      <c r="I976" s="985"/>
      <c r="J976" s="914">
        <f t="shared" si="166"/>
        <v>0</v>
      </c>
      <c r="K976" s="914"/>
      <c r="L976" s="914">
        <f t="shared" si="167"/>
        <v>0</v>
      </c>
      <c r="M976" s="985"/>
      <c r="N976" s="914">
        <f t="shared" si="168"/>
        <v>0</v>
      </c>
      <c r="O976" s="985"/>
      <c r="P976" s="914"/>
      <c r="Q976" s="985"/>
      <c r="R976" s="914"/>
      <c r="S976" s="985"/>
      <c r="T976" s="914"/>
      <c r="U976" s="915">
        <f t="shared" si="164"/>
        <v>0</v>
      </c>
      <c r="V976" s="914">
        <f t="shared" si="172"/>
        <v>0</v>
      </c>
    </row>
    <row r="977" spans="1:22" ht="231.75" customHeight="1">
      <c r="A977" s="979">
        <v>1</v>
      </c>
      <c r="B977" s="970" t="s">
        <v>6734</v>
      </c>
      <c r="C977" s="1026"/>
      <c r="D977" s="984"/>
      <c r="E977" s="985"/>
      <c r="F977" s="1053">
        <f t="shared" si="169"/>
        <v>0</v>
      </c>
      <c r="G977" s="985"/>
      <c r="H977" s="914">
        <f t="shared" ref="H977:H985" si="173">C977*G977</f>
        <v>0</v>
      </c>
      <c r="I977" s="985"/>
      <c r="J977" s="914">
        <f t="shared" ref="J977:J984" si="174">I977*C977</f>
        <v>0</v>
      </c>
      <c r="K977" s="914"/>
      <c r="L977" s="914">
        <f t="shared" si="167"/>
        <v>0</v>
      </c>
      <c r="M977" s="985"/>
      <c r="N977" s="914">
        <f t="shared" ref="N977:N985" si="175">M977*C977</f>
        <v>0</v>
      </c>
      <c r="O977" s="985"/>
      <c r="P977" s="914"/>
      <c r="Q977" s="985"/>
      <c r="R977" s="914"/>
      <c r="S977" s="985"/>
      <c r="T977" s="914"/>
      <c r="U977" s="915">
        <f t="shared" ref="U977:U999" si="176">G977+I977+M977+O977+Q977+S977+E977+K977</f>
        <v>0</v>
      </c>
      <c r="V977" s="914">
        <f t="shared" si="172"/>
        <v>0</v>
      </c>
    </row>
    <row r="978" spans="1:22" ht="231.75" customHeight="1">
      <c r="A978" s="979">
        <f>A977+1</f>
        <v>2</v>
      </c>
      <c r="B978" s="970" t="s">
        <v>6752</v>
      </c>
      <c r="C978" s="1026">
        <v>1179</v>
      </c>
      <c r="D978" s="984" t="s">
        <v>1389</v>
      </c>
      <c r="E978" s="985"/>
      <c r="F978" s="1053">
        <f t="shared" si="169"/>
        <v>0</v>
      </c>
      <c r="G978" s="985"/>
      <c r="H978" s="914">
        <f t="shared" si="173"/>
        <v>0</v>
      </c>
      <c r="I978" s="985">
        <v>39</v>
      </c>
      <c r="J978" s="914">
        <f t="shared" si="174"/>
        <v>45981</v>
      </c>
      <c r="K978" s="914"/>
      <c r="L978" s="914">
        <f t="shared" ref="L978:L999" si="177">K978*C978</f>
        <v>0</v>
      </c>
      <c r="M978" s="985"/>
      <c r="N978" s="914">
        <f t="shared" si="175"/>
        <v>0</v>
      </c>
      <c r="O978" s="985"/>
      <c r="P978" s="914"/>
      <c r="Q978" s="985"/>
      <c r="R978" s="914"/>
      <c r="S978" s="985"/>
      <c r="T978" s="914"/>
      <c r="U978" s="915">
        <f t="shared" si="176"/>
        <v>39</v>
      </c>
      <c r="V978" s="914">
        <f t="shared" si="172"/>
        <v>45981</v>
      </c>
    </row>
    <row r="979" spans="1:22" ht="404.25" customHeight="1">
      <c r="A979" s="979">
        <f t="shared" ref="A979:A981" si="178">A978+1</f>
        <v>3</v>
      </c>
      <c r="B979" s="970" t="s">
        <v>6738</v>
      </c>
      <c r="C979" s="1026">
        <v>450</v>
      </c>
      <c r="D979" s="984" t="s">
        <v>1389</v>
      </c>
      <c r="E979" s="985"/>
      <c r="F979" s="1053">
        <f t="shared" si="169"/>
        <v>0</v>
      </c>
      <c r="G979" s="985"/>
      <c r="H979" s="914">
        <f t="shared" si="173"/>
        <v>0</v>
      </c>
      <c r="I979" s="985">
        <v>12</v>
      </c>
      <c r="J979" s="914">
        <f t="shared" si="174"/>
        <v>5400</v>
      </c>
      <c r="K979" s="914"/>
      <c r="L979" s="914">
        <f t="shared" si="177"/>
        <v>0</v>
      </c>
      <c r="M979" s="985"/>
      <c r="N979" s="914">
        <f t="shared" si="175"/>
        <v>0</v>
      </c>
      <c r="O979" s="985"/>
      <c r="P979" s="914"/>
      <c r="Q979" s="985"/>
      <c r="R979" s="914"/>
      <c r="S979" s="985"/>
      <c r="T979" s="914"/>
      <c r="U979" s="915">
        <f t="shared" si="176"/>
        <v>12</v>
      </c>
      <c r="V979" s="914">
        <f t="shared" si="172"/>
        <v>5400</v>
      </c>
    </row>
    <row r="980" spans="1:22" ht="351.75" customHeight="1">
      <c r="A980" s="979">
        <f t="shared" si="178"/>
        <v>4</v>
      </c>
      <c r="B980" s="970" t="s">
        <v>6735</v>
      </c>
      <c r="C980" s="1026">
        <v>500</v>
      </c>
      <c r="D980" s="984" t="s">
        <v>1389</v>
      </c>
      <c r="E980" s="985"/>
      <c r="F980" s="1053">
        <f t="shared" si="169"/>
        <v>0</v>
      </c>
      <c r="G980" s="985"/>
      <c r="H980" s="914">
        <f t="shared" si="173"/>
        <v>0</v>
      </c>
      <c r="I980" s="985">
        <v>1</v>
      </c>
      <c r="J980" s="914">
        <f t="shared" si="174"/>
        <v>500</v>
      </c>
      <c r="K980" s="914"/>
      <c r="L980" s="914">
        <f t="shared" si="177"/>
        <v>0</v>
      </c>
      <c r="M980" s="985"/>
      <c r="N980" s="914">
        <f t="shared" si="175"/>
        <v>0</v>
      </c>
      <c r="O980" s="985"/>
      <c r="P980" s="914"/>
      <c r="Q980" s="985"/>
      <c r="R980" s="914"/>
      <c r="S980" s="985"/>
      <c r="T980" s="914"/>
      <c r="U980" s="915">
        <f t="shared" si="176"/>
        <v>1</v>
      </c>
      <c r="V980" s="914">
        <f t="shared" si="172"/>
        <v>500</v>
      </c>
    </row>
    <row r="981" spans="1:22" ht="318" customHeight="1">
      <c r="A981" s="979">
        <f t="shared" si="178"/>
        <v>5</v>
      </c>
      <c r="B981" s="970" t="s">
        <v>6736</v>
      </c>
      <c r="C981" s="1026"/>
      <c r="D981" s="984"/>
      <c r="E981" s="985"/>
      <c r="F981" s="1053">
        <f t="shared" si="169"/>
        <v>0</v>
      </c>
      <c r="G981" s="985"/>
      <c r="H981" s="914">
        <f t="shared" si="173"/>
        <v>0</v>
      </c>
      <c r="I981" s="985"/>
      <c r="J981" s="914">
        <f t="shared" si="174"/>
        <v>0</v>
      </c>
      <c r="K981" s="914"/>
      <c r="L981" s="914">
        <f t="shared" si="177"/>
        <v>0</v>
      </c>
      <c r="M981" s="985"/>
      <c r="N981" s="914">
        <f t="shared" si="175"/>
        <v>0</v>
      </c>
      <c r="O981" s="985"/>
      <c r="P981" s="914"/>
      <c r="Q981" s="985"/>
      <c r="R981" s="914"/>
      <c r="S981" s="985"/>
      <c r="T981" s="914"/>
      <c r="U981" s="915">
        <f t="shared" si="176"/>
        <v>0</v>
      </c>
      <c r="V981" s="914">
        <f t="shared" si="172"/>
        <v>0</v>
      </c>
    </row>
    <row r="982" spans="1:22" ht="231.75" customHeight="1">
      <c r="A982" s="946"/>
      <c r="B982" s="970" t="s">
        <v>6753</v>
      </c>
      <c r="C982" s="1026">
        <v>12975</v>
      </c>
      <c r="D982" s="984" t="s">
        <v>1389</v>
      </c>
      <c r="E982" s="985"/>
      <c r="F982" s="1053">
        <f t="shared" si="169"/>
        <v>0</v>
      </c>
      <c r="G982" s="985"/>
      <c r="H982" s="914">
        <f t="shared" si="173"/>
        <v>0</v>
      </c>
      <c r="I982" s="985">
        <v>1</v>
      </c>
      <c r="J982" s="914">
        <f t="shared" si="174"/>
        <v>12975</v>
      </c>
      <c r="K982" s="914"/>
      <c r="L982" s="914">
        <f t="shared" si="177"/>
        <v>0</v>
      </c>
      <c r="M982" s="985"/>
      <c r="N982" s="914">
        <f t="shared" si="175"/>
        <v>0</v>
      </c>
      <c r="O982" s="985"/>
      <c r="P982" s="914"/>
      <c r="Q982" s="985"/>
      <c r="R982" s="914"/>
      <c r="S982" s="985"/>
      <c r="T982" s="914"/>
      <c r="U982" s="915">
        <f t="shared" si="176"/>
        <v>1</v>
      </c>
      <c r="V982" s="914">
        <f t="shared" si="172"/>
        <v>12975</v>
      </c>
    </row>
    <row r="983" spans="1:22" ht="273" customHeight="1">
      <c r="A983" s="979">
        <f>A981+1</f>
        <v>6</v>
      </c>
      <c r="B983" s="970" t="s">
        <v>6737</v>
      </c>
      <c r="C983" s="1026">
        <v>550</v>
      </c>
      <c r="D983" s="984" t="s">
        <v>1389</v>
      </c>
      <c r="E983" s="985"/>
      <c r="F983" s="1053">
        <f t="shared" si="169"/>
        <v>0</v>
      </c>
      <c r="G983" s="985"/>
      <c r="H983" s="914">
        <f t="shared" si="173"/>
        <v>0</v>
      </c>
      <c r="I983" s="985">
        <v>20</v>
      </c>
      <c r="J983" s="914">
        <f t="shared" si="174"/>
        <v>11000</v>
      </c>
      <c r="K983" s="914"/>
      <c r="L983" s="914">
        <f t="shared" si="177"/>
        <v>0</v>
      </c>
      <c r="M983" s="985"/>
      <c r="N983" s="914">
        <f t="shared" si="175"/>
        <v>0</v>
      </c>
      <c r="O983" s="985"/>
      <c r="P983" s="914"/>
      <c r="Q983" s="985"/>
      <c r="R983" s="914"/>
      <c r="S983" s="985"/>
      <c r="T983" s="914"/>
      <c r="U983" s="915">
        <f t="shared" si="176"/>
        <v>20</v>
      </c>
      <c r="V983" s="914">
        <f t="shared" si="172"/>
        <v>11000</v>
      </c>
    </row>
    <row r="984" spans="1:22" ht="304.5" customHeight="1">
      <c r="A984" s="979">
        <f>A983+1</f>
        <v>7</v>
      </c>
      <c r="B984" s="970" t="s">
        <v>6745</v>
      </c>
      <c r="C984" s="1026">
        <v>8748</v>
      </c>
      <c r="D984" s="984" t="s">
        <v>1389</v>
      </c>
      <c r="E984" s="985"/>
      <c r="F984" s="1053">
        <f t="shared" si="169"/>
        <v>0</v>
      </c>
      <c r="G984" s="985"/>
      <c r="H984" s="914">
        <f t="shared" si="173"/>
        <v>0</v>
      </c>
      <c r="I984" s="985">
        <v>2</v>
      </c>
      <c r="J984" s="914">
        <f t="shared" si="174"/>
        <v>17496</v>
      </c>
      <c r="K984" s="914"/>
      <c r="L984" s="914">
        <f t="shared" si="177"/>
        <v>0</v>
      </c>
      <c r="M984" s="985"/>
      <c r="N984" s="914">
        <f t="shared" si="175"/>
        <v>0</v>
      </c>
      <c r="O984" s="985"/>
      <c r="P984" s="914"/>
      <c r="Q984" s="985"/>
      <c r="R984" s="914"/>
      <c r="S984" s="985"/>
      <c r="T984" s="914"/>
      <c r="U984" s="915">
        <f t="shared" si="176"/>
        <v>2</v>
      </c>
      <c r="V984" s="914">
        <f t="shared" si="172"/>
        <v>17496</v>
      </c>
    </row>
    <row r="985" spans="1:22" ht="408" customHeight="1">
      <c r="A985" s="979">
        <f>A984+1</f>
        <v>8</v>
      </c>
      <c r="B985" s="970" t="s">
        <v>4708</v>
      </c>
      <c r="C985" s="1026">
        <f>building!C934</f>
        <v>7945</v>
      </c>
      <c r="D985" s="984" t="s">
        <v>2273</v>
      </c>
      <c r="E985" s="985"/>
      <c r="F985" s="1053">
        <f t="shared" si="169"/>
        <v>0</v>
      </c>
      <c r="G985" s="985"/>
      <c r="H985" s="914">
        <f t="shared" si="173"/>
        <v>0</v>
      </c>
      <c r="I985" s="985">
        <v>7.2</v>
      </c>
      <c r="J985" s="914">
        <f t="shared" ref="J985:J991" si="179">I985*C985</f>
        <v>57204</v>
      </c>
      <c r="K985" s="914"/>
      <c r="L985" s="914">
        <f t="shared" si="177"/>
        <v>0</v>
      </c>
      <c r="M985" s="985"/>
      <c r="N985" s="914">
        <f t="shared" si="175"/>
        <v>0</v>
      </c>
      <c r="O985" s="985"/>
      <c r="P985" s="914"/>
      <c r="Q985" s="985"/>
      <c r="R985" s="914"/>
      <c r="S985" s="985"/>
      <c r="T985" s="914"/>
      <c r="U985" s="915">
        <f t="shared" si="176"/>
        <v>7.2</v>
      </c>
      <c r="V985" s="914">
        <f t="shared" si="172"/>
        <v>57204</v>
      </c>
    </row>
    <row r="986" spans="1:22" ht="321.75" customHeight="1">
      <c r="A986" s="979">
        <f t="shared" ref="A986:A991" si="180">A985+1</f>
        <v>9</v>
      </c>
      <c r="B986" s="970" t="s">
        <v>6747</v>
      </c>
      <c r="C986" s="1026">
        <v>1545</v>
      </c>
      <c r="D986" s="984" t="s">
        <v>2273</v>
      </c>
      <c r="E986" s="985"/>
      <c r="F986" s="1053"/>
      <c r="G986" s="985"/>
      <c r="H986" s="914"/>
      <c r="I986" s="985">
        <v>59.29</v>
      </c>
      <c r="J986" s="914">
        <f t="shared" si="179"/>
        <v>91603.05</v>
      </c>
      <c r="K986" s="914"/>
      <c r="L986" s="914">
        <f t="shared" si="177"/>
        <v>0</v>
      </c>
      <c r="M986" s="985"/>
      <c r="N986" s="914"/>
      <c r="O986" s="985"/>
      <c r="P986" s="914"/>
      <c r="Q986" s="985"/>
      <c r="R986" s="914"/>
      <c r="S986" s="985"/>
      <c r="T986" s="914"/>
      <c r="U986" s="915">
        <f t="shared" si="176"/>
        <v>59.29</v>
      </c>
      <c r="V986" s="914">
        <f t="shared" si="172"/>
        <v>91603.05</v>
      </c>
    </row>
    <row r="987" spans="1:22" ht="231.75" customHeight="1">
      <c r="A987" s="979">
        <f t="shared" si="180"/>
        <v>10</v>
      </c>
      <c r="B987" s="970" t="s">
        <v>6748</v>
      </c>
      <c r="C987" s="1026">
        <v>190.4</v>
      </c>
      <c r="D987" s="984" t="s">
        <v>823</v>
      </c>
      <c r="E987" s="985"/>
      <c r="F987" s="1053"/>
      <c r="G987" s="985"/>
      <c r="H987" s="914"/>
      <c r="I987" s="985">
        <v>32.22</v>
      </c>
      <c r="J987" s="914">
        <f t="shared" si="179"/>
        <v>6134.69</v>
      </c>
      <c r="K987" s="914"/>
      <c r="L987" s="914">
        <f t="shared" si="177"/>
        <v>0</v>
      </c>
      <c r="M987" s="985"/>
      <c r="N987" s="914"/>
      <c r="O987" s="985"/>
      <c r="P987" s="914"/>
      <c r="Q987" s="985"/>
      <c r="R987" s="914"/>
      <c r="S987" s="985"/>
      <c r="T987" s="914"/>
      <c r="U987" s="915">
        <f t="shared" si="176"/>
        <v>32.22</v>
      </c>
      <c r="V987" s="914">
        <f t="shared" si="172"/>
        <v>6134.69</v>
      </c>
    </row>
    <row r="988" spans="1:22" ht="408" customHeight="1">
      <c r="A988" s="979">
        <f t="shared" si="180"/>
        <v>11</v>
      </c>
      <c r="B988" s="970" t="s">
        <v>7062</v>
      </c>
      <c r="C988" s="1026">
        <f>56370+4940</f>
        <v>61310</v>
      </c>
      <c r="D988" s="984" t="s">
        <v>1026</v>
      </c>
      <c r="E988" s="985"/>
      <c r="F988" s="1053"/>
      <c r="G988" s="985"/>
      <c r="H988" s="914"/>
      <c r="I988" s="985">
        <v>5</v>
      </c>
      <c r="J988" s="914">
        <f t="shared" si="179"/>
        <v>306550</v>
      </c>
      <c r="K988" s="914"/>
      <c r="L988" s="914">
        <f t="shared" si="177"/>
        <v>0</v>
      </c>
      <c r="M988" s="985"/>
      <c r="N988" s="914"/>
      <c r="O988" s="985"/>
      <c r="P988" s="914"/>
      <c r="Q988" s="985"/>
      <c r="R988" s="914"/>
      <c r="S988" s="985"/>
      <c r="T988" s="914"/>
      <c r="U988" s="915">
        <f t="shared" si="176"/>
        <v>5</v>
      </c>
      <c r="V988" s="914">
        <f t="shared" si="172"/>
        <v>306550</v>
      </c>
    </row>
    <row r="989" spans="1:22" ht="408" customHeight="1">
      <c r="A989" s="979">
        <f t="shared" si="180"/>
        <v>12</v>
      </c>
      <c r="B989" s="970" t="s">
        <v>6749</v>
      </c>
      <c r="C989" s="1026">
        <v>6230</v>
      </c>
      <c r="D989" s="984" t="s">
        <v>1389</v>
      </c>
      <c r="E989" s="985"/>
      <c r="F989" s="1053"/>
      <c r="G989" s="985"/>
      <c r="H989" s="914"/>
      <c r="I989" s="985">
        <v>5</v>
      </c>
      <c r="J989" s="914">
        <f t="shared" si="179"/>
        <v>31150</v>
      </c>
      <c r="K989" s="914"/>
      <c r="L989" s="914">
        <f t="shared" si="177"/>
        <v>0</v>
      </c>
      <c r="M989" s="985"/>
      <c r="N989" s="914"/>
      <c r="O989" s="985"/>
      <c r="P989" s="914"/>
      <c r="Q989" s="985"/>
      <c r="R989" s="914"/>
      <c r="S989" s="985"/>
      <c r="T989" s="914"/>
      <c r="U989" s="915">
        <f t="shared" si="176"/>
        <v>5</v>
      </c>
      <c r="V989" s="914">
        <f t="shared" si="172"/>
        <v>31150</v>
      </c>
    </row>
    <row r="990" spans="1:22" ht="359.25" customHeight="1">
      <c r="A990" s="979">
        <f t="shared" si="180"/>
        <v>13</v>
      </c>
      <c r="B990" s="970" t="s">
        <v>6750</v>
      </c>
      <c r="C990" s="1026">
        <v>2511</v>
      </c>
      <c r="D990" s="984" t="s">
        <v>1389</v>
      </c>
      <c r="E990" s="985"/>
      <c r="F990" s="1053"/>
      <c r="G990" s="985"/>
      <c r="H990" s="914"/>
      <c r="I990" s="1183">
        <v>8</v>
      </c>
      <c r="J990" s="914">
        <f t="shared" si="179"/>
        <v>20088</v>
      </c>
      <c r="K990" s="914"/>
      <c r="L990" s="914">
        <f t="shared" si="177"/>
        <v>0</v>
      </c>
      <c r="M990" s="985"/>
      <c r="N990" s="914"/>
      <c r="O990" s="985"/>
      <c r="P990" s="914"/>
      <c r="Q990" s="985"/>
      <c r="R990" s="914"/>
      <c r="S990" s="985"/>
      <c r="T990" s="914"/>
      <c r="U990" s="915">
        <f t="shared" si="176"/>
        <v>8</v>
      </c>
      <c r="V990" s="914">
        <f t="shared" si="172"/>
        <v>20088</v>
      </c>
    </row>
    <row r="991" spans="1:22" ht="325.5" customHeight="1">
      <c r="A991" s="979">
        <f t="shared" si="180"/>
        <v>14</v>
      </c>
      <c r="B991" s="970" t="s">
        <v>6751</v>
      </c>
      <c r="C991" s="1026">
        <v>922</v>
      </c>
      <c r="D991" s="984" t="s">
        <v>230</v>
      </c>
      <c r="E991" s="985"/>
      <c r="F991" s="1053"/>
      <c r="G991" s="985"/>
      <c r="H991" s="914"/>
      <c r="I991" s="1183">
        <v>26.46</v>
      </c>
      <c r="J991" s="914">
        <f t="shared" si="179"/>
        <v>24396.12</v>
      </c>
      <c r="K991" s="914"/>
      <c r="L991" s="914">
        <f t="shared" si="177"/>
        <v>0</v>
      </c>
      <c r="M991" s="985"/>
      <c r="N991" s="914"/>
      <c r="O991" s="985"/>
      <c r="P991" s="914"/>
      <c r="Q991" s="985"/>
      <c r="R991" s="914"/>
      <c r="S991" s="985"/>
      <c r="T991" s="914"/>
      <c r="U991" s="915">
        <f t="shared" si="176"/>
        <v>26.46</v>
      </c>
      <c r="V991" s="914">
        <f t="shared" si="172"/>
        <v>24396.12</v>
      </c>
    </row>
    <row r="992" spans="1:22" ht="138" customHeight="1">
      <c r="A992" s="946"/>
      <c r="B992" s="1057" t="s">
        <v>6760</v>
      </c>
      <c r="C992" s="1026"/>
      <c r="D992" s="984"/>
      <c r="E992" s="985"/>
      <c r="F992" s="1053"/>
      <c r="G992" s="985"/>
      <c r="H992" s="914"/>
      <c r="I992" s="985"/>
      <c r="J992" s="914"/>
      <c r="K992" s="914"/>
      <c r="L992" s="914">
        <f t="shared" si="177"/>
        <v>0</v>
      </c>
      <c r="M992" s="985"/>
      <c r="N992" s="914"/>
      <c r="O992" s="985"/>
      <c r="P992" s="914"/>
      <c r="Q992" s="985"/>
      <c r="R992" s="914"/>
      <c r="S992" s="985"/>
      <c r="T992" s="914"/>
      <c r="U992" s="915">
        <f t="shared" si="176"/>
        <v>0</v>
      </c>
      <c r="V992" s="914">
        <f t="shared" si="172"/>
        <v>0</v>
      </c>
    </row>
    <row r="993" spans="1:22" ht="408" customHeight="1">
      <c r="A993" s="979">
        <v>1</v>
      </c>
      <c r="B993" s="970" t="s">
        <v>6904</v>
      </c>
      <c r="C993" s="1026">
        <v>671200</v>
      </c>
      <c r="D993" s="984" t="s">
        <v>279</v>
      </c>
      <c r="E993" s="985"/>
      <c r="F993" s="1053"/>
      <c r="G993" s="985"/>
      <c r="H993" s="914"/>
      <c r="I993" s="985"/>
      <c r="J993" s="914"/>
      <c r="K993" s="1060">
        <v>1</v>
      </c>
      <c r="L993" s="914">
        <f t="shared" si="177"/>
        <v>671200</v>
      </c>
      <c r="M993" s="985"/>
      <c r="N993" s="914"/>
      <c r="O993" s="985"/>
      <c r="P993" s="914"/>
      <c r="Q993" s="985"/>
      <c r="R993" s="914"/>
      <c r="S993" s="985"/>
      <c r="T993" s="914"/>
      <c r="U993" s="915">
        <f t="shared" si="176"/>
        <v>1</v>
      </c>
      <c r="V993" s="914">
        <f t="shared" si="172"/>
        <v>671200</v>
      </c>
    </row>
    <row r="994" spans="1:22" ht="231.75" customHeight="1">
      <c r="A994" s="979">
        <f>A993+1</f>
        <v>2</v>
      </c>
      <c r="B994" s="970" t="s">
        <v>6931</v>
      </c>
      <c r="C994" s="1026">
        <v>443</v>
      </c>
      <c r="D994" s="984" t="s">
        <v>823</v>
      </c>
      <c r="E994" s="985"/>
      <c r="F994" s="1053"/>
      <c r="G994" s="985"/>
      <c r="H994" s="914"/>
      <c r="I994" s="985"/>
      <c r="J994" s="914"/>
      <c r="K994" s="1184">
        <v>50</v>
      </c>
      <c r="L994" s="914">
        <f t="shared" si="177"/>
        <v>22150</v>
      </c>
      <c r="M994" s="985"/>
      <c r="N994" s="914"/>
      <c r="O994" s="985"/>
      <c r="P994" s="914"/>
      <c r="Q994" s="985"/>
      <c r="R994" s="914"/>
      <c r="S994" s="985"/>
      <c r="T994" s="914"/>
      <c r="U994" s="915">
        <f t="shared" si="176"/>
        <v>50</v>
      </c>
      <c r="V994" s="914">
        <f t="shared" si="172"/>
        <v>22150</v>
      </c>
    </row>
    <row r="995" spans="1:22" ht="318" customHeight="1">
      <c r="A995" s="979">
        <f>A994+1</f>
        <v>3</v>
      </c>
      <c r="B995" s="970" t="s">
        <v>6761</v>
      </c>
      <c r="C995" s="1026">
        <v>335</v>
      </c>
      <c r="D995" s="984" t="s">
        <v>1752</v>
      </c>
      <c r="E995" s="985"/>
      <c r="F995" s="1053"/>
      <c r="G995" s="985"/>
      <c r="H995" s="914"/>
      <c r="I995" s="985"/>
      <c r="J995" s="914"/>
      <c r="K995" s="1060">
        <v>6</v>
      </c>
      <c r="L995" s="914">
        <f t="shared" si="177"/>
        <v>2010</v>
      </c>
      <c r="M995" s="985"/>
      <c r="N995" s="914"/>
      <c r="O995" s="985"/>
      <c r="P995" s="914"/>
      <c r="Q995" s="985"/>
      <c r="R995" s="914"/>
      <c r="S995" s="985"/>
      <c r="T995" s="914"/>
      <c r="U995" s="915">
        <f t="shared" si="176"/>
        <v>6</v>
      </c>
      <c r="V995" s="914">
        <f t="shared" si="172"/>
        <v>2010</v>
      </c>
    </row>
    <row r="996" spans="1:22" ht="336.75" customHeight="1">
      <c r="A996" s="979">
        <f t="shared" ref="A996:A999" si="181">A995+1</f>
        <v>4</v>
      </c>
      <c r="B996" s="970" t="s">
        <v>6762</v>
      </c>
      <c r="C996" s="1026">
        <v>426</v>
      </c>
      <c r="D996" s="984" t="s">
        <v>1752</v>
      </c>
      <c r="E996" s="985"/>
      <c r="F996" s="1053"/>
      <c r="G996" s="985"/>
      <c r="H996" s="914"/>
      <c r="I996" s="985"/>
      <c r="J996" s="914"/>
      <c r="K996" s="1060">
        <v>6</v>
      </c>
      <c r="L996" s="914">
        <f t="shared" si="177"/>
        <v>2556</v>
      </c>
      <c r="M996" s="985"/>
      <c r="N996" s="914"/>
      <c r="O996" s="985"/>
      <c r="P996" s="914"/>
      <c r="Q996" s="985"/>
      <c r="R996" s="914"/>
      <c r="S996" s="985"/>
      <c r="T996" s="914"/>
      <c r="U996" s="915">
        <f t="shared" si="176"/>
        <v>6</v>
      </c>
      <c r="V996" s="914">
        <f t="shared" si="172"/>
        <v>2556</v>
      </c>
    </row>
    <row r="997" spans="1:22" ht="231.75" customHeight="1">
      <c r="A997" s="979">
        <f t="shared" si="181"/>
        <v>5</v>
      </c>
      <c r="B997" s="970" t="s">
        <v>6789</v>
      </c>
      <c r="C997" s="1026">
        <f>O.data!F82</f>
        <v>533.63</v>
      </c>
      <c r="D997" s="984" t="s">
        <v>823</v>
      </c>
      <c r="E997" s="985"/>
      <c r="F997" s="1053"/>
      <c r="G997" s="985"/>
      <c r="H997" s="914"/>
      <c r="I997" s="985"/>
      <c r="J997" s="914"/>
      <c r="K997" s="1060">
        <v>12</v>
      </c>
      <c r="L997" s="914">
        <f t="shared" si="177"/>
        <v>6403.56</v>
      </c>
      <c r="M997" s="985"/>
      <c r="N997" s="914"/>
      <c r="O997" s="985"/>
      <c r="P997" s="914"/>
      <c r="Q997" s="985"/>
      <c r="R997" s="914"/>
      <c r="S997" s="985"/>
      <c r="T997" s="914"/>
      <c r="U997" s="915">
        <f t="shared" si="176"/>
        <v>12</v>
      </c>
      <c r="V997" s="914">
        <f t="shared" si="172"/>
        <v>6403.56</v>
      </c>
    </row>
    <row r="998" spans="1:22" ht="408" customHeight="1">
      <c r="A998" s="979">
        <f t="shared" si="181"/>
        <v>6</v>
      </c>
      <c r="B998" s="970" t="s">
        <v>6905</v>
      </c>
      <c r="C998" s="1026">
        <v>1117.1600000000001</v>
      </c>
      <c r="D998" s="984" t="s">
        <v>230</v>
      </c>
      <c r="E998" s="985"/>
      <c r="F998" s="1053"/>
      <c r="G998" s="985"/>
      <c r="H998" s="914"/>
      <c r="I998" s="985"/>
      <c r="J998" s="914"/>
      <c r="K998" s="1184">
        <v>15</v>
      </c>
      <c r="L998" s="914">
        <f t="shared" si="177"/>
        <v>16757.400000000001</v>
      </c>
      <c r="M998" s="985"/>
      <c r="N998" s="914"/>
      <c r="O998" s="985"/>
      <c r="P998" s="914"/>
      <c r="Q998" s="985"/>
      <c r="R998" s="914"/>
      <c r="S998" s="985"/>
      <c r="T998" s="914"/>
      <c r="U998" s="915">
        <f t="shared" si="176"/>
        <v>15</v>
      </c>
      <c r="V998" s="914">
        <f t="shared" si="172"/>
        <v>16757.400000000001</v>
      </c>
    </row>
    <row r="999" spans="1:22" ht="408" customHeight="1">
      <c r="A999" s="979">
        <f t="shared" si="181"/>
        <v>7</v>
      </c>
      <c r="B999" s="970" t="s">
        <v>7001</v>
      </c>
      <c r="C999" s="1026">
        <v>162</v>
      </c>
      <c r="D999" s="984" t="s">
        <v>823</v>
      </c>
      <c r="E999" s="985"/>
      <c r="F999" s="1053"/>
      <c r="G999" s="985"/>
      <c r="H999" s="914"/>
      <c r="I999" s="985"/>
      <c r="J999" s="914"/>
      <c r="K999" s="1060">
        <v>50</v>
      </c>
      <c r="L999" s="914">
        <f t="shared" si="177"/>
        <v>8100</v>
      </c>
      <c r="M999" s="985"/>
      <c r="N999" s="914"/>
      <c r="O999" s="985"/>
      <c r="P999" s="914"/>
      <c r="Q999" s="985"/>
      <c r="R999" s="914"/>
      <c r="S999" s="985"/>
      <c r="T999" s="914"/>
      <c r="U999" s="915">
        <f t="shared" si="176"/>
        <v>50</v>
      </c>
      <c r="V999" s="914">
        <f t="shared" si="172"/>
        <v>8100</v>
      </c>
    </row>
    <row r="1000" spans="1:22" s="1159" customFormat="1" ht="156.75" customHeight="1">
      <c r="A1000" s="1151"/>
      <c r="B1000" s="1152" t="s">
        <v>2235</v>
      </c>
      <c r="C1000" s="1153">
        <f>ROUND(DATA!K1206,2)</f>
        <v>0</v>
      </c>
      <c r="D1000" s="1154"/>
      <c r="E1000" s="910"/>
      <c r="F1000" s="1155">
        <f>SUM(F6:F999)</f>
        <v>137266.12</v>
      </c>
      <c r="G1000" s="1156"/>
      <c r="H1000" s="1155">
        <f>SUM(H6:H999)</f>
        <v>158528.51</v>
      </c>
      <c r="I1000" s="1155"/>
      <c r="J1000" s="1155">
        <f>SUM(J6:J999)</f>
        <v>711286</v>
      </c>
      <c r="K1000" s="1155"/>
      <c r="L1000" s="1155">
        <f>SUM(L6:L999)</f>
        <v>813420.62</v>
      </c>
      <c r="M1000" s="1157"/>
      <c r="N1000" s="1155">
        <f>SUM(N6:N999)</f>
        <v>164631.5</v>
      </c>
      <c r="O1000" s="1157"/>
      <c r="P1000" s="1155">
        <f>SUM(P6:P932)</f>
        <v>0</v>
      </c>
      <c r="Q1000" s="1157"/>
      <c r="R1000" s="1155">
        <f>SUM(R6:R999)</f>
        <v>107329.4</v>
      </c>
      <c r="S1000" s="1157"/>
      <c r="T1000" s="1155">
        <f>SUM(T6:T999)</f>
        <v>193841.74</v>
      </c>
      <c r="U1000" s="1158">
        <f>G1000+I1000+M1000+O1000+Q1000+S1000</f>
        <v>0</v>
      </c>
      <c r="V1000" s="1155">
        <f>SUM(V6:V999)</f>
        <v>2286303.91</v>
      </c>
    </row>
    <row r="1001" spans="1:22" ht="119.25" customHeight="1">
      <c r="A1001" s="931"/>
      <c r="B1001" s="1027"/>
      <c r="C1001" s="1028"/>
      <c r="D1001" s="1004"/>
      <c r="E1001" s="1029"/>
      <c r="F1001" s="1053">
        <f t="shared" ref="F1001:F1032" si="182">E1001*C1001</f>
        <v>0</v>
      </c>
      <c r="G1001" s="919"/>
      <c r="H1001" s="914">
        <f t="shared" ref="H1001:H1032" si="183">G1001*C1001</f>
        <v>0</v>
      </c>
      <c r="I1001" s="919"/>
      <c r="J1001" s="914">
        <f t="shared" ref="J1001:J1032" si="184">I1001*C1001</f>
        <v>0</v>
      </c>
      <c r="K1001" s="914"/>
      <c r="L1001" s="914"/>
      <c r="M1001" s="919"/>
      <c r="N1001" s="914">
        <f t="shared" ref="N1001:N1032" si="185">M1001*C1001</f>
        <v>0</v>
      </c>
      <c r="O1001" s="919"/>
      <c r="P1001" s="914">
        <f t="shared" ref="P1001:P1032" si="186">O1001*C1001</f>
        <v>0</v>
      </c>
      <c r="Q1001" s="919"/>
      <c r="R1001" s="914">
        <f t="shared" ref="R1001:R1032" si="187">Q1001*C1001</f>
        <v>0</v>
      </c>
      <c r="S1001" s="919"/>
      <c r="T1001" s="914">
        <f t="shared" ref="T1001:T1032" si="188">S1001*C1001</f>
        <v>0</v>
      </c>
      <c r="U1001" s="915">
        <f>G1001+I1001+M1001+O1001+Q1001+S1001</f>
        <v>0</v>
      </c>
      <c r="V1001" s="914">
        <f>U1001*C1001</f>
        <v>0</v>
      </c>
    </row>
    <row r="1002" spans="1:22" ht="231.75" customHeight="1">
      <c r="A1002" s="931"/>
      <c r="B1002" s="906" t="s">
        <v>2041</v>
      </c>
      <c r="C1002" s="1028"/>
      <c r="D1002" s="908" t="s">
        <v>1393</v>
      </c>
      <c r="E1002" s="909"/>
      <c r="F1002" s="1053">
        <f t="shared" si="182"/>
        <v>0</v>
      </c>
      <c r="G1002" s="919"/>
      <c r="H1002" s="914">
        <f t="shared" si="183"/>
        <v>0</v>
      </c>
      <c r="I1002" s="919"/>
      <c r="J1002" s="914">
        <f t="shared" si="184"/>
        <v>0</v>
      </c>
      <c r="K1002" s="914"/>
      <c r="L1002" s="914"/>
      <c r="M1002" s="919"/>
      <c r="N1002" s="914">
        <f t="shared" si="185"/>
        <v>0</v>
      </c>
      <c r="O1002" s="919"/>
      <c r="P1002" s="914">
        <f t="shared" si="186"/>
        <v>0</v>
      </c>
      <c r="Q1002" s="919"/>
      <c r="R1002" s="914">
        <f t="shared" si="187"/>
        <v>0</v>
      </c>
      <c r="S1002" s="919"/>
      <c r="T1002" s="914">
        <f t="shared" si="188"/>
        <v>0</v>
      </c>
      <c r="U1002" s="915">
        <f>G1002+I1002+M1002+O1002+Q1002+S1002</f>
        <v>0</v>
      </c>
      <c r="V1002" s="914">
        <f>U1002*C1002</f>
        <v>0</v>
      </c>
    </row>
    <row r="1003" spans="1:22" ht="231.75" customHeight="1">
      <c r="A1003" s="1030"/>
      <c r="B1003" s="1031" t="s">
        <v>595</v>
      </c>
      <c r="C1003" s="1032"/>
      <c r="D1003" s="1033" t="s">
        <v>1393</v>
      </c>
      <c r="E1003" s="1034"/>
      <c r="F1003" s="1054">
        <f t="shared" si="182"/>
        <v>0</v>
      </c>
      <c r="G1003" s="1035"/>
      <c r="H1003" s="1036">
        <f t="shared" si="183"/>
        <v>0</v>
      </c>
      <c r="I1003" s="1035"/>
      <c r="J1003" s="1036">
        <f t="shared" si="184"/>
        <v>0</v>
      </c>
      <c r="K1003" s="1036"/>
      <c r="L1003" s="1036"/>
      <c r="M1003" s="1035"/>
      <c r="N1003" s="1036">
        <f t="shared" si="185"/>
        <v>0</v>
      </c>
      <c r="O1003" s="1035"/>
      <c r="P1003" s="1036">
        <f t="shared" si="186"/>
        <v>0</v>
      </c>
      <c r="Q1003" s="1035"/>
      <c r="R1003" s="1036">
        <f t="shared" si="187"/>
        <v>0</v>
      </c>
      <c r="S1003" s="1035"/>
      <c r="T1003" s="1036">
        <f t="shared" si="188"/>
        <v>0</v>
      </c>
      <c r="U1003" s="899"/>
      <c r="V1003" s="1058">
        <f>F1000+H1000+J1000+N1000+R1000+T1000+L1000</f>
        <v>2286303.89</v>
      </c>
    </row>
    <row r="1004" spans="1:22" ht="231.75" customHeight="1">
      <c r="A1004" s="1037"/>
      <c r="B1004" s="1038" t="s">
        <v>596</v>
      </c>
      <c r="C1004" s="1039">
        <f>DATA!K2492</f>
        <v>4881.1899999999996</v>
      </c>
      <c r="D1004" s="1040" t="s">
        <v>2273</v>
      </c>
      <c r="E1004" s="1041"/>
      <c r="F1004" s="1055">
        <f t="shared" si="182"/>
        <v>0</v>
      </c>
      <c r="G1004" s="1042"/>
      <c r="H1004" s="1043">
        <f t="shared" si="183"/>
        <v>0</v>
      </c>
      <c r="I1004" s="1042"/>
      <c r="J1004" s="1043">
        <f t="shared" si="184"/>
        <v>0</v>
      </c>
      <c r="K1004" s="1043"/>
      <c r="L1004" s="1043"/>
      <c r="M1004" s="1042"/>
      <c r="N1004" s="1043">
        <f t="shared" si="185"/>
        <v>0</v>
      </c>
      <c r="O1004" s="1042"/>
      <c r="P1004" s="1043">
        <f t="shared" si="186"/>
        <v>0</v>
      </c>
      <c r="Q1004" s="1042"/>
      <c r="R1004" s="1043">
        <f t="shared" si="187"/>
        <v>0</v>
      </c>
      <c r="S1004" s="1042"/>
      <c r="T1004" s="1043">
        <f t="shared" si="188"/>
        <v>0</v>
      </c>
      <c r="U1004" s="915">
        <f t="shared" ref="U1004:U1035" si="189">G1004+I1004+M1004+O1004+Q1004+S1004</f>
        <v>0</v>
      </c>
      <c r="V1004" s="1043">
        <f>V1000-V1003</f>
        <v>0.02</v>
      </c>
    </row>
    <row r="1005" spans="1:22" ht="231.75" customHeight="1">
      <c r="A1005" s="1037"/>
      <c r="B1005" s="1038" t="s">
        <v>1891</v>
      </c>
      <c r="C1005" s="1039">
        <f>DATA!K2515</f>
        <v>5175.3599999999997</v>
      </c>
      <c r="D1005" s="1040" t="s">
        <v>2273</v>
      </c>
      <c r="E1005" s="1041"/>
      <c r="F1005" s="1055">
        <f t="shared" si="182"/>
        <v>0</v>
      </c>
      <c r="G1005" s="1042"/>
      <c r="H1005" s="1043">
        <f t="shared" si="183"/>
        <v>0</v>
      </c>
      <c r="I1005" s="1042"/>
      <c r="J1005" s="1043">
        <f t="shared" si="184"/>
        <v>0</v>
      </c>
      <c r="K1005" s="1043"/>
      <c r="L1005" s="1043"/>
      <c r="M1005" s="1042"/>
      <c r="N1005" s="1043">
        <f t="shared" si="185"/>
        <v>0</v>
      </c>
      <c r="O1005" s="1042"/>
      <c r="P1005" s="1043">
        <f t="shared" si="186"/>
        <v>0</v>
      </c>
      <c r="Q1005" s="1042"/>
      <c r="R1005" s="1043">
        <f t="shared" si="187"/>
        <v>0</v>
      </c>
      <c r="S1005" s="1042"/>
      <c r="T1005" s="1043">
        <f t="shared" si="188"/>
        <v>0</v>
      </c>
      <c r="U1005" s="915">
        <f t="shared" si="189"/>
        <v>0</v>
      </c>
      <c r="V1005" s="1043">
        <f t="shared" ref="V1005:V1036" si="190">U1005*C1005</f>
        <v>0</v>
      </c>
    </row>
    <row r="1006" spans="1:22" ht="231.75" customHeight="1">
      <c r="A1006" s="1037"/>
      <c r="B1006" s="1038" t="s">
        <v>2196</v>
      </c>
      <c r="C1006" s="1039">
        <f>DATA!R2580</f>
        <v>4457.7700000000004</v>
      </c>
      <c r="D1006" s="1040" t="s">
        <v>2273</v>
      </c>
      <c r="E1006" s="1041"/>
      <c r="F1006" s="1055">
        <f t="shared" si="182"/>
        <v>0</v>
      </c>
      <c r="G1006" s="1042"/>
      <c r="H1006" s="1043">
        <f t="shared" si="183"/>
        <v>0</v>
      </c>
      <c r="I1006" s="1042"/>
      <c r="J1006" s="1043">
        <f t="shared" si="184"/>
        <v>0</v>
      </c>
      <c r="K1006" s="1043"/>
      <c r="L1006" s="1043"/>
      <c r="M1006" s="1042"/>
      <c r="N1006" s="1043">
        <f t="shared" si="185"/>
        <v>0</v>
      </c>
      <c r="O1006" s="1042"/>
      <c r="P1006" s="1043">
        <f t="shared" si="186"/>
        <v>0</v>
      </c>
      <c r="Q1006" s="1042"/>
      <c r="R1006" s="1043">
        <f t="shared" si="187"/>
        <v>0</v>
      </c>
      <c r="S1006" s="1042"/>
      <c r="T1006" s="1043">
        <f t="shared" si="188"/>
        <v>0</v>
      </c>
      <c r="U1006" s="915">
        <f t="shared" si="189"/>
        <v>0</v>
      </c>
      <c r="V1006" s="1043">
        <f t="shared" si="190"/>
        <v>0</v>
      </c>
    </row>
    <row r="1007" spans="1:22" ht="231.75" customHeight="1">
      <c r="A1007" s="1037"/>
      <c r="B1007" s="1038" t="s">
        <v>2197</v>
      </c>
      <c r="C1007" s="1039"/>
      <c r="D1007" s="1040" t="s">
        <v>2273</v>
      </c>
      <c r="E1007" s="1041"/>
      <c r="F1007" s="1055">
        <f t="shared" si="182"/>
        <v>0</v>
      </c>
      <c r="G1007" s="1042"/>
      <c r="H1007" s="1043">
        <f t="shared" si="183"/>
        <v>0</v>
      </c>
      <c r="I1007" s="1042"/>
      <c r="J1007" s="1043">
        <f t="shared" si="184"/>
        <v>0</v>
      </c>
      <c r="K1007" s="1043"/>
      <c r="L1007" s="1043"/>
      <c r="M1007" s="1042"/>
      <c r="N1007" s="1043">
        <f t="shared" si="185"/>
        <v>0</v>
      </c>
      <c r="O1007" s="1042"/>
      <c r="P1007" s="1043">
        <f t="shared" si="186"/>
        <v>0</v>
      </c>
      <c r="Q1007" s="1042"/>
      <c r="R1007" s="1043">
        <f t="shared" si="187"/>
        <v>0</v>
      </c>
      <c r="S1007" s="1042"/>
      <c r="T1007" s="1043">
        <f t="shared" si="188"/>
        <v>0</v>
      </c>
      <c r="U1007" s="915">
        <f t="shared" si="189"/>
        <v>0</v>
      </c>
      <c r="V1007" s="1043">
        <f t="shared" si="190"/>
        <v>0</v>
      </c>
    </row>
    <row r="1008" spans="1:22" ht="231.75" customHeight="1">
      <c r="A1008" s="1037"/>
      <c r="B1008" s="1038" t="s">
        <v>2822</v>
      </c>
      <c r="C1008" s="1039"/>
      <c r="D1008" s="1040" t="s">
        <v>2273</v>
      </c>
      <c r="E1008" s="1041"/>
      <c r="F1008" s="1055">
        <f t="shared" si="182"/>
        <v>0</v>
      </c>
      <c r="G1008" s="1042"/>
      <c r="H1008" s="1043">
        <f t="shared" si="183"/>
        <v>0</v>
      </c>
      <c r="I1008" s="1042"/>
      <c r="J1008" s="1043">
        <f t="shared" si="184"/>
        <v>0</v>
      </c>
      <c r="K1008" s="1043"/>
      <c r="L1008" s="1043"/>
      <c r="M1008" s="1042"/>
      <c r="N1008" s="1043">
        <f t="shared" si="185"/>
        <v>0</v>
      </c>
      <c r="O1008" s="1042"/>
      <c r="P1008" s="1043">
        <f t="shared" si="186"/>
        <v>0</v>
      </c>
      <c r="Q1008" s="1042"/>
      <c r="R1008" s="1043">
        <f t="shared" si="187"/>
        <v>0</v>
      </c>
      <c r="S1008" s="1042"/>
      <c r="T1008" s="1043">
        <f t="shared" si="188"/>
        <v>0</v>
      </c>
      <c r="U1008" s="915">
        <f t="shared" si="189"/>
        <v>0</v>
      </c>
      <c r="V1008" s="1043">
        <f t="shared" si="190"/>
        <v>0</v>
      </c>
    </row>
    <row r="1009" spans="1:22" ht="231.75" customHeight="1">
      <c r="A1009" s="1037"/>
      <c r="B1009" s="1038" t="s">
        <v>674</v>
      </c>
      <c r="C1009" s="1039"/>
      <c r="D1009" s="1040" t="s">
        <v>2273</v>
      </c>
      <c r="E1009" s="1041"/>
      <c r="F1009" s="1055">
        <f t="shared" si="182"/>
        <v>0</v>
      </c>
      <c r="G1009" s="1042"/>
      <c r="H1009" s="1043">
        <f t="shared" si="183"/>
        <v>0</v>
      </c>
      <c r="I1009" s="1042"/>
      <c r="J1009" s="1043">
        <f t="shared" si="184"/>
        <v>0</v>
      </c>
      <c r="K1009" s="1043"/>
      <c r="L1009" s="1043"/>
      <c r="M1009" s="1042"/>
      <c r="N1009" s="1043">
        <f t="shared" si="185"/>
        <v>0</v>
      </c>
      <c r="O1009" s="1042"/>
      <c r="P1009" s="1043">
        <f t="shared" si="186"/>
        <v>0</v>
      </c>
      <c r="Q1009" s="1042"/>
      <c r="R1009" s="1043">
        <f t="shared" si="187"/>
        <v>0</v>
      </c>
      <c r="S1009" s="1042"/>
      <c r="T1009" s="1043">
        <f t="shared" si="188"/>
        <v>0</v>
      </c>
      <c r="U1009" s="915">
        <f t="shared" si="189"/>
        <v>0</v>
      </c>
      <c r="V1009" s="1043">
        <f t="shared" si="190"/>
        <v>0</v>
      </c>
    </row>
    <row r="1010" spans="1:22" ht="231.75" customHeight="1">
      <c r="A1010" s="1037"/>
      <c r="B1010" s="1038" t="s">
        <v>676</v>
      </c>
      <c r="C1010" s="1039"/>
      <c r="D1010" s="1040" t="s">
        <v>2273</v>
      </c>
      <c r="E1010" s="1041"/>
      <c r="F1010" s="1055">
        <f t="shared" si="182"/>
        <v>0</v>
      </c>
      <c r="G1010" s="1042"/>
      <c r="H1010" s="1043">
        <f t="shared" si="183"/>
        <v>0</v>
      </c>
      <c r="I1010" s="1042"/>
      <c r="J1010" s="1043">
        <f t="shared" si="184"/>
        <v>0</v>
      </c>
      <c r="K1010" s="1043"/>
      <c r="L1010" s="1043"/>
      <c r="M1010" s="1042"/>
      <c r="N1010" s="1043">
        <f t="shared" si="185"/>
        <v>0</v>
      </c>
      <c r="O1010" s="1042"/>
      <c r="P1010" s="1043">
        <f t="shared" si="186"/>
        <v>0</v>
      </c>
      <c r="Q1010" s="1042"/>
      <c r="R1010" s="1043">
        <f t="shared" si="187"/>
        <v>0</v>
      </c>
      <c r="S1010" s="1042"/>
      <c r="T1010" s="1043">
        <f t="shared" si="188"/>
        <v>0</v>
      </c>
      <c r="U1010" s="915">
        <f t="shared" si="189"/>
        <v>0</v>
      </c>
      <c r="V1010" s="1043">
        <f t="shared" si="190"/>
        <v>0</v>
      </c>
    </row>
    <row r="1011" spans="1:22" ht="231.75" customHeight="1">
      <c r="A1011" s="1037"/>
      <c r="B1011" s="1038" t="s">
        <v>597</v>
      </c>
      <c r="C1011" s="1039">
        <f>DATA!L1794</f>
        <v>0</v>
      </c>
      <c r="D1011" s="1040" t="s">
        <v>1393</v>
      </c>
      <c r="E1011" s="1041"/>
      <c r="F1011" s="1055">
        <f t="shared" si="182"/>
        <v>0</v>
      </c>
      <c r="G1011" s="1042"/>
      <c r="H1011" s="1043">
        <f t="shared" si="183"/>
        <v>0</v>
      </c>
      <c r="I1011" s="1042"/>
      <c r="J1011" s="1043">
        <f t="shared" si="184"/>
        <v>0</v>
      </c>
      <c r="K1011" s="1043"/>
      <c r="L1011" s="1043"/>
      <c r="M1011" s="1042"/>
      <c r="N1011" s="1043">
        <f t="shared" si="185"/>
        <v>0</v>
      </c>
      <c r="O1011" s="1042"/>
      <c r="P1011" s="1043">
        <f t="shared" si="186"/>
        <v>0</v>
      </c>
      <c r="Q1011" s="1042"/>
      <c r="R1011" s="1043">
        <f t="shared" si="187"/>
        <v>0</v>
      </c>
      <c r="S1011" s="1042"/>
      <c r="T1011" s="1043">
        <f t="shared" si="188"/>
        <v>0</v>
      </c>
      <c r="U1011" s="915">
        <f t="shared" si="189"/>
        <v>0</v>
      </c>
      <c r="V1011" s="1043">
        <f t="shared" si="190"/>
        <v>0</v>
      </c>
    </row>
    <row r="1012" spans="1:22" ht="231.75" customHeight="1">
      <c r="A1012" s="1037"/>
      <c r="B1012" s="1038" t="s">
        <v>2453</v>
      </c>
      <c r="C1012" s="1039">
        <f>DATA!K2435</f>
        <v>1481.72</v>
      </c>
      <c r="D1012" s="1040" t="s">
        <v>2273</v>
      </c>
      <c r="E1012" s="1041"/>
      <c r="F1012" s="1055">
        <f t="shared" si="182"/>
        <v>0</v>
      </c>
      <c r="G1012" s="1042"/>
      <c r="H1012" s="1043">
        <f t="shared" si="183"/>
        <v>0</v>
      </c>
      <c r="I1012" s="1042"/>
      <c r="J1012" s="1043">
        <f t="shared" si="184"/>
        <v>0</v>
      </c>
      <c r="K1012" s="1043"/>
      <c r="L1012" s="1043"/>
      <c r="M1012" s="1042"/>
      <c r="N1012" s="1043">
        <f t="shared" si="185"/>
        <v>0</v>
      </c>
      <c r="O1012" s="1042"/>
      <c r="P1012" s="1043">
        <f t="shared" si="186"/>
        <v>0</v>
      </c>
      <c r="Q1012" s="1042"/>
      <c r="R1012" s="1043">
        <f t="shared" si="187"/>
        <v>0</v>
      </c>
      <c r="S1012" s="1042"/>
      <c r="T1012" s="1043">
        <f t="shared" si="188"/>
        <v>0</v>
      </c>
      <c r="U1012" s="915">
        <f t="shared" si="189"/>
        <v>0</v>
      </c>
      <c r="V1012" s="1043">
        <f t="shared" si="190"/>
        <v>0</v>
      </c>
    </row>
    <row r="1013" spans="1:22" ht="231.75" customHeight="1">
      <c r="A1013" s="1037"/>
      <c r="B1013" s="1038" t="s">
        <v>598</v>
      </c>
      <c r="C1013" s="1039">
        <f>DATA!R1230</f>
        <v>1486.13</v>
      </c>
      <c r="D1013" s="1040" t="s">
        <v>2273</v>
      </c>
      <c r="E1013" s="1041"/>
      <c r="F1013" s="1055">
        <f t="shared" si="182"/>
        <v>0</v>
      </c>
      <c r="G1013" s="1042"/>
      <c r="H1013" s="1043">
        <f t="shared" si="183"/>
        <v>0</v>
      </c>
      <c r="I1013" s="1042"/>
      <c r="J1013" s="1043">
        <f t="shared" si="184"/>
        <v>0</v>
      </c>
      <c r="K1013" s="1043"/>
      <c r="L1013" s="1043"/>
      <c r="M1013" s="1042"/>
      <c r="N1013" s="1043">
        <f t="shared" si="185"/>
        <v>0</v>
      </c>
      <c r="O1013" s="1042"/>
      <c r="P1013" s="1043">
        <f t="shared" si="186"/>
        <v>0</v>
      </c>
      <c r="Q1013" s="1042"/>
      <c r="R1013" s="1043">
        <f t="shared" si="187"/>
        <v>0</v>
      </c>
      <c r="S1013" s="1042"/>
      <c r="T1013" s="1043">
        <f t="shared" si="188"/>
        <v>0</v>
      </c>
      <c r="U1013" s="915">
        <f t="shared" si="189"/>
        <v>0</v>
      </c>
      <c r="V1013" s="1043">
        <f t="shared" si="190"/>
        <v>0</v>
      </c>
    </row>
    <row r="1014" spans="1:22" ht="231.75" customHeight="1">
      <c r="A1014" s="1037"/>
      <c r="B1014" s="1038" t="s">
        <v>5032</v>
      </c>
      <c r="C1014" s="1039">
        <f>DATA!R1272</f>
        <v>1256.21</v>
      </c>
      <c r="D1014" s="1040" t="s">
        <v>2273</v>
      </c>
      <c r="E1014" s="1041"/>
      <c r="F1014" s="1055">
        <f t="shared" si="182"/>
        <v>0</v>
      </c>
      <c r="G1014" s="1042"/>
      <c r="H1014" s="1043">
        <f t="shared" si="183"/>
        <v>0</v>
      </c>
      <c r="I1014" s="1042"/>
      <c r="J1014" s="1043">
        <f t="shared" si="184"/>
        <v>0</v>
      </c>
      <c r="K1014" s="1043"/>
      <c r="L1014" s="1043"/>
      <c r="M1014" s="1042"/>
      <c r="N1014" s="1043">
        <f t="shared" si="185"/>
        <v>0</v>
      </c>
      <c r="O1014" s="1042"/>
      <c r="P1014" s="1043">
        <f t="shared" si="186"/>
        <v>0</v>
      </c>
      <c r="Q1014" s="1042"/>
      <c r="R1014" s="1043">
        <f t="shared" si="187"/>
        <v>0</v>
      </c>
      <c r="S1014" s="1042"/>
      <c r="T1014" s="1043">
        <f t="shared" si="188"/>
        <v>0</v>
      </c>
      <c r="U1014" s="915">
        <f t="shared" si="189"/>
        <v>0</v>
      </c>
      <c r="V1014" s="1043">
        <f t="shared" si="190"/>
        <v>0</v>
      </c>
    </row>
    <row r="1015" spans="1:22" ht="231.75" customHeight="1">
      <c r="A1015" s="1037"/>
      <c r="B1015" s="1038" t="s">
        <v>1165</v>
      </c>
      <c r="C1015" s="1039">
        <f>DATA!R2442</f>
        <v>1656.02</v>
      </c>
      <c r="D1015" s="1040" t="s">
        <v>2273</v>
      </c>
      <c r="E1015" s="1041"/>
      <c r="F1015" s="1055">
        <f t="shared" si="182"/>
        <v>0</v>
      </c>
      <c r="G1015" s="1042"/>
      <c r="H1015" s="1043">
        <f t="shared" si="183"/>
        <v>0</v>
      </c>
      <c r="I1015" s="1042"/>
      <c r="J1015" s="1043">
        <f t="shared" si="184"/>
        <v>0</v>
      </c>
      <c r="K1015" s="1043"/>
      <c r="L1015" s="1043"/>
      <c r="M1015" s="1042"/>
      <c r="N1015" s="1043">
        <f t="shared" si="185"/>
        <v>0</v>
      </c>
      <c r="O1015" s="1042"/>
      <c r="P1015" s="1043">
        <f t="shared" si="186"/>
        <v>0</v>
      </c>
      <c r="Q1015" s="1042"/>
      <c r="R1015" s="1043">
        <f t="shared" si="187"/>
        <v>0</v>
      </c>
      <c r="S1015" s="1042"/>
      <c r="T1015" s="1043">
        <f t="shared" si="188"/>
        <v>0</v>
      </c>
      <c r="U1015" s="915">
        <f t="shared" si="189"/>
        <v>0</v>
      </c>
      <c r="V1015" s="1043">
        <f t="shared" si="190"/>
        <v>0</v>
      </c>
    </row>
    <row r="1016" spans="1:22" ht="231.75" customHeight="1">
      <c r="A1016" s="1037"/>
      <c r="B1016" s="1038" t="s">
        <v>3066</v>
      </c>
      <c r="C1016" s="1039">
        <f>DATA!AD1257</f>
        <v>1627.91</v>
      </c>
      <c r="D1016" s="1040" t="s">
        <v>2273</v>
      </c>
      <c r="E1016" s="1041"/>
      <c r="F1016" s="1055">
        <f t="shared" si="182"/>
        <v>0</v>
      </c>
      <c r="G1016" s="1042"/>
      <c r="H1016" s="1043">
        <f t="shared" si="183"/>
        <v>0</v>
      </c>
      <c r="I1016" s="1042"/>
      <c r="J1016" s="1043">
        <f t="shared" si="184"/>
        <v>0</v>
      </c>
      <c r="K1016" s="1043"/>
      <c r="L1016" s="1043"/>
      <c r="M1016" s="1042"/>
      <c r="N1016" s="1043">
        <f t="shared" si="185"/>
        <v>0</v>
      </c>
      <c r="O1016" s="1042"/>
      <c r="P1016" s="1043">
        <f t="shared" si="186"/>
        <v>0</v>
      </c>
      <c r="Q1016" s="1042"/>
      <c r="R1016" s="1043">
        <f t="shared" si="187"/>
        <v>0</v>
      </c>
      <c r="S1016" s="1042"/>
      <c r="T1016" s="1043">
        <f t="shared" si="188"/>
        <v>0</v>
      </c>
      <c r="U1016" s="915">
        <f t="shared" si="189"/>
        <v>0</v>
      </c>
      <c r="V1016" s="1043">
        <f t="shared" si="190"/>
        <v>0</v>
      </c>
    </row>
    <row r="1017" spans="1:22" ht="231.75" customHeight="1">
      <c r="A1017" s="1037"/>
      <c r="B1017" s="923" t="s">
        <v>2194</v>
      </c>
      <c r="C1017" s="1039">
        <f>DATA!K1442</f>
        <v>278.27999999999997</v>
      </c>
      <c r="D1017" s="1040" t="s">
        <v>2273</v>
      </c>
      <c r="E1017" s="1041"/>
      <c r="F1017" s="1055">
        <f t="shared" si="182"/>
        <v>0</v>
      </c>
      <c r="G1017" s="1042"/>
      <c r="H1017" s="1043">
        <f t="shared" si="183"/>
        <v>0</v>
      </c>
      <c r="I1017" s="1042"/>
      <c r="J1017" s="1043">
        <f t="shared" si="184"/>
        <v>0</v>
      </c>
      <c r="K1017" s="1043"/>
      <c r="L1017" s="1043"/>
      <c r="M1017" s="1042"/>
      <c r="N1017" s="1043">
        <f t="shared" si="185"/>
        <v>0</v>
      </c>
      <c r="O1017" s="1042"/>
      <c r="P1017" s="1043">
        <f t="shared" si="186"/>
        <v>0</v>
      </c>
      <c r="Q1017" s="1042"/>
      <c r="R1017" s="1043">
        <f t="shared" si="187"/>
        <v>0</v>
      </c>
      <c r="S1017" s="1042"/>
      <c r="T1017" s="1043">
        <f t="shared" si="188"/>
        <v>0</v>
      </c>
      <c r="U1017" s="915">
        <f t="shared" si="189"/>
        <v>0</v>
      </c>
      <c r="V1017" s="1043">
        <f t="shared" si="190"/>
        <v>0</v>
      </c>
    </row>
    <row r="1018" spans="1:22" ht="231.75" customHeight="1">
      <c r="A1018" s="1037"/>
      <c r="B1018" s="923" t="s">
        <v>2195</v>
      </c>
      <c r="C1018" s="1039">
        <f>5000*8.2</f>
        <v>41000</v>
      </c>
      <c r="D1018" s="1040" t="s">
        <v>1393</v>
      </c>
      <c r="E1018" s="1041"/>
      <c r="F1018" s="1055">
        <f t="shared" si="182"/>
        <v>0</v>
      </c>
      <c r="G1018" s="1042"/>
      <c r="H1018" s="1043">
        <f t="shared" si="183"/>
        <v>0</v>
      </c>
      <c r="I1018" s="1042"/>
      <c r="J1018" s="1043">
        <f t="shared" si="184"/>
        <v>0</v>
      </c>
      <c r="K1018" s="1043"/>
      <c r="L1018" s="1043"/>
      <c r="M1018" s="1042"/>
      <c r="N1018" s="1043">
        <f t="shared" si="185"/>
        <v>0</v>
      </c>
      <c r="O1018" s="1042"/>
      <c r="P1018" s="1043">
        <f t="shared" si="186"/>
        <v>0</v>
      </c>
      <c r="Q1018" s="1042"/>
      <c r="R1018" s="1043">
        <f t="shared" si="187"/>
        <v>0</v>
      </c>
      <c r="S1018" s="1042"/>
      <c r="T1018" s="1043">
        <f t="shared" si="188"/>
        <v>0</v>
      </c>
      <c r="U1018" s="915">
        <f t="shared" si="189"/>
        <v>0</v>
      </c>
      <c r="V1018" s="1043">
        <f t="shared" si="190"/>
        <v>0</v>
      </c>
    </row>
    <row r="1019" spans="1:22" ht="231.75" customHeight="1">
      <c r="A1019" s="1037"/>
      <c r="B1019" s="923" t="str">
        <f>DATA!O2626</f>
        <v>T.W DOOR SHUTTER TWO LEAVES(1200 X 2100 mm ) with Brass Fittings</v>
      </c>
      <c r="C1019" s="1039">
        <f>DATA!R2654</f>
        <v>7153.15</v>
      </c>
      <c r="D1019" s="1040" t="s">
        <v>2273</v>
      </c>
      <c r="E1019" s="1041"/>
      <c r="F1019" s="1055">
        <f t="shared" si="182"/>
        <v>0</v>
      </c>
      <c r="G1019" s="1042"/>
      <c r="H1019" s="1043">
        <f t="shared" si="183"/>
        <v>0</v>
      </c>
      <c r="I1019" s="1042"/>
      <c r="J1019" s="1043">
        <f t="shared" si="184"/>
        <v>0</v>
      </c>
      <c r="K1019" s="1043"/>
      <c r="L1019" s="1043"/>
      <c r="M1019" s="1042"/>
      <c r="N1019" s="1043">
        <f t="shared" si="185"/>
        <v>0</v>
      </c>
      <c r="O1019" s="1042"/>
      <c r="P1019" s="1043">
        <f t="shared" si="186"/>
        <v>0</v>
      </c>
      <c r="Q1019" s="1042"/>
      <c r="R1019" s="1043">
        <f t="shared" si="187"/>
        <v>0</v>
      </c>
      <c r="S1019" s="1042"/>
      <c r="T1019" s="1043">
        <f t="shared" si="188"/>
        <v>0</v>
      </c>
      <c r="U1019" s="915">
        <f t="shared" si="189"/>
        <v>0</v>
      </c>
      <c r="V1019" s="1043">
        <f t="shared" si="190"/>
        <v>0</v>
      </c>
    </row>
    <row r="1020" spans="1:22" ht="231.75" customHeight="1">
      <c r="A1020" s="1037"/>
      <c r="B1020" s="923" t="s">
        <v>1733</v>
      </c>
      <c r="C1020" s="1039">
        <f>DATA!R1124</f>
        <v>5284.06</v>
      </c>
      <c r="D1020" s="1040" t="s">
        <v>2273</v>
      </c>
      <c r="E1020" s="1041"/>
      <c r="F1020" s="1055">
        <f t="shared" si="182"/>
        <v>0</v>
      </c>
      <c r="G1020" s="1042"/>
      <c r="H1020" s="1043">
        <f t="shared" si="183"/>
        <v>0</v>
      </c>
      <c r="I1020" s="1042"/>
      <c r="J1020" s="1043">
        <f t="shared" si="184"/>
        <v>0</v>
      </c>
      <c r="K1020" s="1043"/>
      <c r="L1020" s="1043"/>
      <c r="M1020" s="1042"/>
      <c r="N1020" s="1043">
        <f t="shared" si="185"/>
        <v>0</v>
      </c>
      <c r="O1020" s="1042"/>
      <c r="P1020" s="1043">
        <f t="shared" si="186"/>
        <v>0</v>
      </c>
      <c r="Q1020" s="1042"/>
      <c r="R1020" s="1043">
        <f t="shared" si="187"/>
        <v>0</v>
      </c>
      <c r="S1020" s="1042"/>
      <c r="T1020" s="1043">
        <f t="shared" si="188"/>
        <v>0</v>
      </c>
      <c r="U1020" s="915">
        <f t="shared" si="189"/>
        <v>0</v>
      </c>
      <c r="V1020" s="1043">
        <f t="shared" si="190"/>
        <v>0</v>
      </c>
    </row>
    <row r="1021" spans="1:22" ht="231.75" customHeight="1">
      <c r="A1021" s="1037"/>
      <c r="B1021" s="923" t="s">
        <v>3307</v>
      </c>
      <c r="C1021" s="1039">
        <f>DATA!R3204</f>
        <v>0</v>
      </c>
      <c r="D1021" s="1040" t="s">
        <v>2273</v>
      </c>
      <c r="E1021" s="1041"/>
      <c r="F1021" s="1055">
        <f t="shared" si="182"/>
        <v>0</v>
      </c>
      <c r="G1021" s="1042"/>
      <c r="H1021" s="1043">
        <f t="shared" si="183"/>
        <v>0</v>
      </c>
      <c r="I1021" s="1042"/>
      <c r="J1021" s="1043">
        <f t="shared" si="184"/>
        <v>0</v>
      </c>
      <c r="K1021" s="1043"/>
      <c r="L1021" s="1043"/>
      <c r="M1021" s="1042"/>
      <c r="N1021" s="1043">
        <f t="shared" si="185"/>
        <v>0</v>
      </c>
      <c r="O1021" s="1042"/>
      <c r="P1021" s="1043">
        <f t="shared" si="186"/>
        <v>0</v>
      </c>
      <c r="Q1021" s="1042"/>
      <c r="R1021" s="1043">
        <f t="shared" si="187"/>
        <v>0</v>
      </c>
      <c r="S1021" s="1042"/>
      <c r="T1021" s="1043">
        <f t="shared" si="188"/>
        <v>0</v>
      </c>
      <c r="U1021" s="915">
        <f t="shared" si="189"/>
        <v>0</v>
      </c>
      <c r="V1021" s="1043">
        <f t="shared" si="190"/>
        <v>0</v>
      </c>
    </row>
    <row r="1022" spans="1:22" ht="231.75" customHeight="1">
      <c r="A1022" s="1037"/>
      <c r="B1022" s="923" t="s">
        <v>3308</v>
      </c>
      <c r="C1022" s="1039">
        <f>DATA!R3272</f>
        <v>6427.34</v>
      </c>
      <c r="D1022" s="1040" t="s">
        <v>2273</v>
      </c>
      <c r="E1022" s="1041"/>
      <c r="F1022" s="1055">
        <f t="shared" si="182"/>
        <v>0</v>
      </c>
      <c r="G1022" s="1042"/>
      <c r="H1022" s="1043">
        <f t="shared" si="183"/>
        <v>0</v>
      </c>
      <c r="I1022" s="1042"/>
      <c r="J1022" s="1043">
        <f t="shared" si="184"/>
        <v>0</v>
      </c>
      <c r="K1022" s="1043"/>
      <c r="L1022" s="1043"/>
      <c r="M1022" s="1042"/>
      <c r="N1022" s="1043">
        <f t="shared" si="185"/>
        <v>0</v>
      </c>
      <c r="O1022" s="1042"/>
      <c r="P1022" s="1043">
        <f t="shared" si="186"/>
        <v>0</v>
      </c>
      <c r="Q1022" s="1042"/>
      <c r="R1022" s="1043">
        <f t="shared" si="187"/>
        <v>0</v>
      </c>
      <c r="S1022" s="1042"/>
      <c r="T1022" s="1043">
        <f t="shared" si="188"/>
        <v>0</v>
      </c>
      <c r="U1022" s="915">
        <f t="shared" si="189"/>
        <v>0</v>
      </c>
      <c r="V1022" s="1043">
        <f t="shared" si="190"/>
        <v>0</v>
      </c>
    </row>
    <row r="1023" spans="1:22" ht="231.75" customHeight="1">
      <c r="A1023" s="1037"/>
      <c r="B1023" s="923" t="s">
        <v>3309</v>
      </c>
      <c r="C1023" s="1039" t="str">
        <f>DATA!K3332</f>
        <v>============</v>
      </c>
      <c r="D1023" s="1040" t="s">
        <v>2273</v>
      </c>
      <c r="E1023" s="1041"/>
      <c r="F1023" s="1055" t="e">
        <f t="shared" si="182"/>
        <v>#VALUE!</v>
      </c>
      <c r="G1023" s="1042"/>
      <c r="H1023" s="1043" t="e">
        <f t="shared" si="183"/>
        <v>#VALUE!</v>
      </c>
      <c r="I1023" s="1042"/>
      <c r="J1023" s="1043" t="e">
        <f t="shared" si="184"/>
        <v>#VALUE!</v>
      </c>
      <c r="K1023" s="1043"/>
      <c r="L1023" s="1043"/>
      <c r="M1023" s="1042"/>
      <c r="N1023" s="1043" t="e">
        <f t="shared" si="185"/>
        <v>#VALUE!</v>
      </c>
      <c r="O1023" s="1042"/>
      <c r="P1023" s="1043" t="e">
        <f t="shared" si="186"/>
        <v>#VALUE!</v>
      </c>
      <c r="Q1023" s="1042"/>
      <c r="R1023" s="1043" t="e">
        <f t="shared" si="187"/>
        <v>#VALUE!</v>
      </c>
      <c r="S1023" s="1042"/>
      <c r="T1023" s="1043" t="e">
        <f t="shared" si="188"/>
        <v>#VALUE!</v>
      </c>
      <c r="U1023" s="915">
        <f t="shared" si="189"/>
        <v>0</v>
      </c>
      <c r="V1023" s="1043" t="e">
        <f t="shared" si="190"/>
        <v>#VALUE!</v>
      </c>
    </row>
    <row r="1024" spans="1:22" ht="231.75" customHeight="1">
      <c r="A1024" s="1037"/>
      <c r="B1024" s="1044" t="s">
        <v>6700</v>
      </c>
      <c r="C1024" s="1039">
        <f>DATA!R3339</f>
        <v>5240.6000000000004</v>
      </c>
      <c r="D1024" s="1040" t="s">
        <v>2273</v>
      </c>
      <c r="E1024" s="1041"/>
      <c r="F1024" s="1055">
        <f t="shared" si="182"/>
        <v>0</v>
      </c>
      <c r="G1024" s="1042"/>
      <c r="H1024" s="1043">
        <f t="shared" si="183"/>
        <v>0</v>
      </c>
      <c r="I1024" s="1042"/>
      <c r="J1024" s="1043">
        <f t="shared" si="184"/>
        <v>0</v>
      </c>
      <c r="K1024" s="1043"/>
      <c r="L1024" s="1043"/>
      <c r="M1024" s="1042"/>
      <c r="N1024" s="1043">
        <f t="shared" si="185"/>
        <v>0</v>
      </c>
      <c r="O1024" s="1042"/>
      <c r="P1024" s="1043">
        <f t="shared" si="186"/>
        <v>0</v>
      </c>
      <c r="Q1024" s="1042"/>
      <c r="R1024" s="1043">
        <f t="shared" si="187"/>
        <v>0</v>
      </c>
      <c r="S1024" s="1042"/>
      <c r="T1024" s="1043">
        <f t="shared" si="188"/>
        <v>0</v>
      </c>
      <c r="U1024" s="915">
        <f t="shared" si="189"/>
        <v>0</v>
      </c>
      <c r="V1024" s="1043">
        <f t="shared" si="190"/>
        <v>0</v>
      </c>
    </row>
    <row r="1025" spans="1:22" ht="231.75" customHeight="1">
      <c r="A1025" s="1037"/>
      <c r="B1025" s="1044" t="s">
        <v>6701</v>
      </c>
      <c r="C1025" s="1039">
        <f>DATA!R3452</f>
        <v>6101.29</v>
      </c>
      <c r="D1025" s="1040" t="s">
        <v>2273</v>
      </c>
      <c r="E1025" s="1041"/>
      <c r="F1025" s="1055">
        <f t="shared" si="182"/>
        <v>0</v>
      </c>
      <c r="G1025" s="1042"/>
      <c r="H1025" s="1043">
        <f t="shared" si="183"/>
        <v>0</v>
      </c>
      <c r="I1025" s="1042"/>
      <c r="J1025" s="1043">
        <f t="shared" si="184"/>
        <v>0</v>
      </c>
      <c r="K1025" s="1043"/>
      <c r="L1025" s="1043"/>
      <c r="M1025" s="1042"/>
      <c r="N1025" s="1043">
        <f t="shared" si="185"/>
        <v>0</v>
      </c>
      <c r="O1025" s="1042"/>
      <c r="P1025" s="1043">
        <f t="shared" si="186"/>
        <v>0</v>
      </c>
      <c r="Q1025" s="1042"/>
      <c r="R1025" s="1043">
        <f t="shared" si="187"/>
        <v>0</v>
      </c>
      <c r="S1025" s="1042"/>
      <c r="T1025" s="1043">
        <f t="shared" si="188"/>
        <v>0</v>
      </c>
      <c r="U1025" s="915">
        <f t="shared" si="189"/>
        <v>0</v>
      </c>
      <c r="V1025" s="1043">
        <f t="shared" si="190"/>
        <v>0</v>
      </c>
    </row>
    <row r="1026" spans="1:22" ht="231.75" customHeight="1">
      <c r="A1026" s="1037"/>
      <c r="B1026" s="1038" t="s">
        <v>3939</v>
      </c>
      <c r="C1026" s="1039">
        <f>DATA!K3434</f>
        <v>5266.65</v>
      </c>
      <c r="D1026" s="1040" t="s">
        <v>2273</v>
      </c>
      <c r="E1026" s="1041"/>
      <c r="F1026" s="1055">
        <f t="shared" si="182"/>
        <v>0</v>
      </c>
      <c r="G1026" s="1042"/>
      <c r="H1026" s="1043">
        <f t="shared" si="183"/>
        <v>0</v>
      </c>
      <c r="I1026" s="1042"/>
      <c r="J1026" s="1043">
        <f t="shared" si="184"/>
        <v>0</v>
      </c>
      <c r="K1026" s="1043"/>
      <c r="L1026" s="1043"/>
      <c r="M1026" s="1042"/>
      <c r="N1026" s="1043">
        <f t="shared" si="185"/>
        <v>0</v>
      </c>
      <c r="O1026" s="1042"/>
      <c r="P1026" s="1043">
        <f t="shared" si="186"/>
        <v>0</v>
      </c>
      <c r="Q1026" s="1042"/>
      <c r="R1026" s="1043">
        <f t="shared" si="187"/>
        <v>0</v>
      </c>
      <c r="S1026" s="1042"/>
      <c r="T1026" s="1043">
        <f t="shared" si="188"/>
        <v>0</v>
      </c>
      <c r="U1026" s="915">
        <f t="shared" si="189"/>
        <v>0</v>
      </c>
      <c r="V1026" s="1043">
        <f t="shared" si="190"/>
        <v>0</v>
      </c>
    </row>
    <row r="1027" spans="1:22" ht="231.75" customHeight="1">
      <c r="A1027" s="1037"/>
      <c r="B1027" s="923" t="s">
        <v>3310</v>
      </c>
      <c r="C1027" s="1039">
        <f>DATA!R3374</f>
        <v>5759.98</v>
      </c>
      <c r="D1027" s="1040" t="s">
        <v>2273</v>
      </c>
      <c r="E1027" s="1041"/>
      <c r="F1027" s="1055">
        <f t="shared" si="182"/>
        <v>0</v>
      </c>
      <c r="G1027" s="1042"/>
      <c r="H1027" s="1043">
        <f t="shared" si="183"/>
        <v>0</v>
      </c>
      <c r="I1027" s="1042"/>
      <c r="J1027" s="1043">
        <f t="shared" si="184"/>
        <v>0</v>
      </c>
      <c r="K1027" s="1043"/>
      <c r="L1027" s="1043"/>
      <c r="M1027" s="1042"/>
      <c r="N1027" s="1043">
        <f t="shared" si="185"/>
        <v>0</v>
      </c>
      <c r="O1027" s="1042"/>
      <c r="P1027" s="1043">
        <f t="shared" si="186"/>
        <v>0</v>
      </c>
      <c r="Q1027" s="1042"/>
      <c r="R1027" s="1043">
        <f t="shared" si="187"/>
        <v>0</v>
      </c>
      <c r="S1027" s="1042"/>
      <c r="T1027" s="1043">
        <f t="shared" si="188"/>
        <v>0</v>
      </c>
      <c r="U1027" s="915">
        <f t="shared" si="189"/>
        <v>0</v>
      </c>
      <c r="V1027" s="1043">
        <f t="shared" si="190"/>
        <v>0</v>
      </c>
    </row>
    <row r="1028" spans="1:22" ht="231.75" customHeight="1">
      <c r="A1028" s="1037"/>
      <c r="B1028" s="923" t="s">
        <v>3311</v>
      </c>
      <c r="C1028" s="1039" t="str">
        <f>DATA!R3409</f>
        <v>=</v>
      </c>
      <c r="D1028" s="1040" t="s">
        <v>2273</v>
      </c>
      <c r="E1028" s="1041"/>
      <c r="F1028" s="1055" t="e">
        <f t="shared" si="182"/>
        <v>#VALUE!</v>
      </c>
      <c r="G1028" s="1042"/>
      <c r="H1028" s="1043" t="e">
        <f t="shared" si="183"/>
        <v>#VALUE!</v>
      </c>
      <c r="I1028" s="1042"/>
      <c r="J1028" s="1043" t="e">
        <f t="shared" si="184"/>
        <v>#VALUE!</v>
      </c>
      <c r="K1028" s="1043"/>
      <c r="L1028" s="1043"/>
      <c r="M1028" s="1042"/>
      <c r="N1028" s="1043" t="e">
        <f t="shared" si="185"/>
        <v>#VALUE!</v>
      </c>
      <c r="O1028" s="1042"/>
      <c r="P1028" s="1043" t="e">
        <f t="shared" si="186"/>
        <v>#VALUE!</v>
      </c>
      <c r="Q1028" s="1042"/>
      <c r="R1028" s="1043" t="e">
        <f t="shared" si="187"/>
        <v>#VALUE!</v>
      </c>
      <c r="S1028" s="1042"/>
      <c r="T1028" s="1043" t="e">
        <f t="shared" si="188"/>
        <v>#VALUE!</v>
      </c>
      <c r="U1028" s="915">
        <f t="shared" si="189"/>
        <v>0</v>
      </c>
      <c r="V1028" s="1043" t="e">
        <f t="shared" si="190"/>
        <v>#VALUE!</v>
      </c>
    </row>
    <row r="1029" spans="1:22" ht="231.75" customHeight="1">
      <c r="A1029" s="1037"/>
      <c r="B1029" s="923" t="s">
        <v>3312</v>
      </c>
      <c r="C1029" s="1039">
        <f>DATA!R3306</f>
        <v>0</v>
      </c>
      <c r="D1029" s="1040" t="s">
        <v>2273</v>
      </c>
      <c r="E1029" s="1041"/>
      <c r="F1029" s="1055">
        <f t="shared" si="182"/>
        <v>0</v>
      </c>
      <c r="G1029" s="1042"/>
      <c r="H1029" s="1043">
        <f t="shared" si="183"/>
        <v>0</v>
      </c>
      <c r="I1029" s="1042"/>
      <c r="J1029" s="1043">
        <f t="shared" si="184"/>
        <v>0</v>
      </c>
      <c r="K1029" s="1043"/>
      <c r="L1029" s="1043"/>
      <c r="M1029" s="1042"/>
      <c r="N1029" s="1043">
        <f t="shared" si="185"/>
        <v>0</v>
      </c>
      <c r="O1029" s="1042"/>
      <c r="P1029" s="1043">
        <f t="shared" si="186"/>
        <v>0</v>
      </c>
      <c r="Q1029" s="1042"/>
      <c r="R1029" s="1043">
        <f t="shared" si="187"/>
        <v>0</v>
      </c>
      <c r="S1029" s="1042"/>
      <c r="T1029" s="1043">
        <f t="shared" si="188"/>
        <v>0</v>
      </c>
      <c r="U1029" s="915">
        <f t="shared" si="189"/>
        <v>0</v>
      </c>
      <c r="V1029" s="1043">
        <f t="shared" si="190"/>
        <v>0</v>
      </c>
    </row>
    <row r="1030" spans="1:22" ht="231.75" customHeight="1">
      <c r="A1030" s="1037"/>
      <c r="B1030" s="923" t="s">
        <v>3313</v>
      </c>
      <c r="C1030" s="1039">
        <f>DATA!R3340</f>
        <v>0</v>
      </c>
      <c r="D1030" s="1040" t="s">
        <v>2273</v>
      </c>
      <c r="E1030" s="1041"/>
      <c r="F1030" s="1055">
        <f t="shared" si="182"/>
        <v>0</v>
      </c>
      <c r="G1030" s="1042"/>
      <c r="H1030" s="1043">
        <f t="shared" si="183"/>
        <v>0</v>
      </c>
      <c r="I1030" s="1042"/>
      <c r="J1030" s="1043">
        <f t="shared" si="184"/>
        <v>0</v>
      </c>
      <c r="K1030" s="1043"/>
      <c r="L1030" s="1043"/>
      <c r="M1030" s="1042"/>
      <c r="N1030" s="1043">
        <f t="shared" si="185"/>
        <v>0</v>
      </c>
      <c r="O1030" s="1042"/>
      <c r="P1030" s="1043">
        <f t="shared" si="186"/>
        <v>0</v>
      </c>
      <c r="Q1030" s="1042"/>
      <c r="R1030" s="1043">
        <f t="shared" si="187"/>
        <v>0</v>
      </c>
      <c r="S1030" s="1042"/>
      <c r="T1030" s="1043">
        <f t="shared" si="188"/>
        <v>0</v>
      </c>
      <c r="U1030" s="915">
        <f t="shared" si="189"/>
        <v>0</v>
      </c>
      <c r="V1030" s="1043">
        <f t="shared" si="190"/>
        <v>0</v>
      </c>
    </row>
    <row r="1031" spans="1:22" ht="231.75" customHeight="1">
      <c r="A1031" s="1037"/>
      <c r="B1031" s="923" t="s">
        <v>3058</v>
      </c>
      <c r="C1031" s="1039">
        <f>Elec.Data!K649</f>
        <v>1345.34</v>
      </c>
      <c r="D1031" s="1040" t="s">
        <v>1393</v>
      </c>
      <c r="E1031" s="1041"/>
      <c r="F1031" s="1055">
        <f t="shared" si="182"/>
        <v>0</v>
      </c>
      <c r="G1031" s="1042"/>
      <c r="H1031" s="1043">
        <f t="shared" si="183"/>
        <v>0</v>
      </c>
      <c r="I1031" s="1042"/>
      <c r="J1031" s="1043">
        <f t="shared" si="184"/>
        <v>0</v>
      </c>
      <c r="K1031" s="1043"/>
      <c r="L1031" s="1043"/>
      <c r="M1031" s="1042"/>
      <c r="N1031" s="1043">
        <f t="shared" si="185"/>
        <v>0</v>
      </c>
      <c r="O1031" s="1042"/>
      <c r="P1031" s="1043">
        <f t="shared" si="186"/>
        <v>0</v>
      </c>
      <c r="Q1031" s="1042"/>
      <c r="R1031" s="1043">
        <f t="shared" si="187"/>
        <v>0</v>
      </c>
      <c r="S1031" s="1042"/>
      <c r="T1031" s="1043">
        <f t="shared" si="188"/>
        <v>0</v>
      </c>
      <c r="U1031" s="915">
        <f t="shared" si="189"/>
        <v>0</v>
      </c>
      <c r="V1031" s="1043">
        <f t="shared" si="190"/>
        <v>0</v>
      </c>
    </row>
    <row r="1032" spans="1:22" ht="231.75" customHeight="1">
      <c r="A1032" s="1037"/>
      <c r="B1032" s="923" t="s">
        <v>3059</v>
      </c>
      <c r="C1032" s="1039">
        <f>Elec.Data!K715</f>
        <v>165</v>
      </c>
      <c r="D1032" s="1040" t="s">
        <v>823</v>
      </c>
      <c r="E1032" s="1041"/>
      <c r="F1032" s="1055">
        <f t="shared" si="182"/>
        <v>0</v>
      </c>
      <c r="G1032" s="1042"/>
      <c r="H1032" s="1043">
        <f t="shared" si="183"/>
        <v>0</v>
      </c>
      <c r="I1032" s="1042"/>
      <c r="J1032" s="1043">
        <f t="shared" si="184"/>
        <v>0</v>
      </c>
      <c r="K1032" s="1043"/>
      <c r="L1032" s="1043"/>
      <c r="M1032" s="1042"/>
      <c r="N1032" s="1043">
        <f t="shared" si="185"/>
        <v>0</v>
      </c>
      <c r="O1032" s="1042"/>
      <c r="P1032" s="1043">
        <f t="shared" si="186"/>
        <v>0</v>
      </c>
      <c r="Q1032" s="1042"/>
      <c r="R1032" s="1043">
        <f t="shared" si="187"/>
        <v>0</v>
      </c>
      <c r="S1032" s="1042"/>
      <c r="T1032" s="1043">
        <f t="shared" si="188"/>
        <v>0</v>
      </c>
      <c r="U1032" s="915">
        <f t="shared" si="189"/>
        <v>0</v>
      </c>
      <c r="V1032" s="1043">
        <f t="shared" si="190"/>
        <v>0</v>
      </c>
    </row>
    <row r="1033" spans="1:22" ht="231.75" customHeight="1">
      <c r="A1033" s="1037"/>
      <c r="B1033" s="1037" t="s">
        <v>2486</v>
      </c>
      <c r="C1033" s="1039">
        <f>Elec.Data!K636</f>
        <v>3091.3</v>
      </c>
      <c r="D1033" s="1040" t="s">
        <v>1393</v>
      </c>
      <c r="E1033" s="1041"/>
      <c r="F1033" s="1055">
        <f t="shared" ref="F1033:F1064" si="191">E1033*C1033</f>
        <v>0</v>
      </c>
      <c r="G1033" s="1042"/>
      <c r="H1033" s="1043">
        <f t="shared" ref="H1033:H1064" si="192">G1033*C1033</f>
        <v>0</v>
      </c>
      <c r="I1033" s="1042"/>
      <c r="J1033" s="1043">
        <f t="shared" ref="J1033:J1064" si="193">I1033*C1033</f>
        <v>0</v>
      </c>
      <c r="K1033" s="1043"/>
      <c r="L1033" s="1043"/>
      <c r="M1033" s="1042"/>
      <c r="N1033" s="1043">
        <f t="shared" ref="N1033:N1064" si="194">M1033*C1033</f>
        <v>0</v>
      </c>
      <c r="O1033" s="1042"/>
      <c r="P1033" s="1043">
        <f t="shared" ref="P1033:P1064" si="195">O1033*C1033</f>
        <v>0</v>
      </c>
      <c r="Q1033" s="1042"/>
      <c r="R1033" s="1043">
        <f t="shared" ref="R1033:R1064" si="196">Q1033*C1033</f>
        <v>0</v>
      </c>
      <c r="S1033" s="1042"/>
      <c r="T1033" s="1043">
        <f t="shared" ref="T1033:T1064" si="197">S1033*C1033</f>
        <v>0</v>
      </c>
      <c r="U1033" s="915">
        <f t="shared" si="189"/>
        <v>0</v>
      </c>
      <c r="V1033" s="1043">
        <f t="shared" si="190"/>
        <v>0</v>
      </c>
    </row>
    <row r="1034" spans="1:22" ht="231.75" customHeight="1">
      <c r="A1034" s="1037"/>
      <c r="B1034" s="923" t="s">
        <v>3062</v>
      </c>
      <c r="C1034" s="1039">
        <f>DATA!K2982</f>
        <v>0</v>
      </c>
      <c r="D1034" s="1040" t="s">
        <v>2273</v>
      </c>
      <c r="E1034" s="1041"/>
      <c r="F1034" s="1055">
        <f t="shared" si="191"/>
        <v>0</v>
      </c>
      <c r="G1034" s="1042"/>
      <c r="H1034" s="1043">
        <f t="shared" si="192"/>
        <v>0</v>
      </c>
      <c r="I1034" s="1042"/>
      <c r="J1034" s="1043">
        <f t="shared" si="193"/>
        <v>0</v>
      </c>
      <c r="K1034" s="1043"/>
      <c r="L1034" s="1043"/>
      <c r="M1034" s="1042"/>
      <c r="N1034" s="1043">
        <f t="shared" si="194"/>
        <v>0</v>
      </c>
      <c r="O1034" s="1042"/>
      <c r="P1034" s="1043">
        <f t="shared" si="195"/>
        <v>0</v>
      </c>
      <c r="Q1034" s="1042"/>
      <c r="R1034" s="1043">
        <f t="shared" si="196"/>
        <v>0</v>
      </c>
      <c r="S1034" s="1042"/>
      <c r="T1034" s="1043">
        <f t="shared" si="197"/>
        <v>0</v>
      </c>
      <c r="U1034" s="915">
        <f t="shared" si="189"/>
        <v>0</v>
      </c>
      <c r="V1034" s="1043">
        <f t="shared" si="190"/>
        <v>0</v>
      </c>
    </row>
    <row r="1035" spans="1:22" ht="231.75" customHeight="1">
      <c r="A1035" s="1037"/>
      <c r="B1035" s="923" t="s">
        <v>3060</v>
      </c>
      <c r="C1035" s="1039">
        <f>DATA!K2845</f>
        <v>2806.82</v>
      </c>
      <c r="D1035" s="1040" t="s">
        <v>2273</v>
      </c>
      <c r="E1035" s="1041"/>
      <c r="F1035" s="1055">
        <f t="shared" si="191"/>
        <v>0</v>
      </c>
      <c r="G1035" s="1042"/>
      <c r="H1035" s="1043">
        <f t="shared" si="192"/>
        <v>0</v>
      </c>
      <c r="I1035" s="1042"/>
      <c r="J1035" s="1043">
        <f t="shared" si="193"/>
        <v>0</v>
      </c>
      <c r="K1035" s="1043"/>
      <c r="L1035" s="1043"/>
      <c r="M1035" s="1042"/>
      <c r="N1035" s="1043">
        <f t="shared" si="194"/>
        <v>0</v>
      </c>
      <c r="O1035" s="1042"/>
      <c r="P1035" s="1043">
        <f t="shared" si="195"/>
        <v>0</v>
      </c>
      <c r="Q1035" s="1042"/>
      <c r="R1035" s="1043">
        <f t="shared" si="196"/>
        <v>0</v>
      </c>
      <c r="S1035" s="1042"/>
      <c r="T1035" s="1043">
        <f t="shared" si="197"/>
        <v>0</v>
      </c>
      <c r="U1035" s="915">
        <f t="shared" si="189"/>
        <v>0</v>
      </c>
      <c r="V1035" s="1043">
        <f t="shared" si="190"/>
        <v>0</v>
      </c>
    </row>
    <row r="1036" spans="1:22" ht="231.75" customHeight="1">
      <c r="A1036" s="1037"/>
      <c r="B1036" s="923" t="s">
        <v>3061</v>
      </c>
      <c r="C1036" s="1039">
        <f>DATA!R2988</f>
        <v>2727.46</v>
      </c>
      <c r="D1036" s="1040" t="s">
        <v>2273</v>
      </c>
      <c r="E1036" s="1041"/>
      <c r="F1036" s="1055">
        <f t="shared" si="191"/>
        <v>0</v>
      </c>
      <c r="G1036" s="1042"/>
      <c r="H1036" s="1043">
        <f t="shared" si="192"/>
        <v>0</v>
      </c>
      <c r="I1036" s="1042"/>
      <c r="J1036" s="1043">
        <f t="shared" si="193"/>
        <v>0</v>
      </c>
      <c r="K1036" s="1043"/>
      <c r="L1036" s="1043"/>
      <c r="M1036" s="1042"/>
      <c r="N1036" s="1043">
        <f t="shared" si="194"/>
        <v>0</v>
      </c>
      <c r="O1036" s="1042"/>
      <c r="P1036" s="1043">
        <f t="shared" si="195"/>
        <v>0</v>
      </c>
      <c r="Q1036" s="1042"/>
      <c r="R1036" s="1043">
        <f t="shared" si="196"/>
        <v>0</v>
      </c>
      <c r="S1036" s="1042"/>
      <c r="T1036" s="1043">
        <f t="shared" si="197"/>
        <v>0</v>
      </c>
      <c r="U1036" s="915">
        <f t="shared" ref="U1036:U1067" si="198">G1036+I1036+M1036+O1036+Q1036+S1036</f>
        <v>0</v>
      </c>
      <c r="V1036" s="1043">
        <f t="shared" si="190"/>
        <v>0</v>
      </c>
    </row>
    <row r="1037" spans="1:22" ht="231.75" customHeight="1">
      <c r="A1037" s="1037"/>
      <c r="B1037" s="923" t="s">
        <v>3063</v>
      </c>
      <c r="C1037" s="1039">
        <f>DATA!K3085</f>
        <v>2971.33</v>
      </c>
      <c r="D1037" s="1040" t="s">
        <v>2273</v>
      </c>
      <c r="E1037" s="1041"/>
      <c r="F1037" s="1055">
        <f t="shared" si="191"/>
        <v>0</v>
      </c>
      <c r="G1037" s="1042"/>
      <c r="H1037" s="1043">
        <f t="shared" si="192"/>
        <v>0</v>
      </c>
      <c r="I1037" s="1042"/>
      <c r="J1037" s="1043">
        <f t="shared" si="193"/>
        <v>0</v>
      </c>
      <c r="K1037" s="1043"/>
      <c r="L1037" s="1043"/>
      <c r="M1037" s="1042"/>
      <c r="N1037" s="1043">
        <f t="shared" si="194"/>
        <v>0</v>
      </c>
      <c r="O1037" s="1042"/>
      <c r="P1037" s="1043">
        <f t="shared" si="195"/>
        <v>0</v>
      </c>
      <c r="Q1037" s="1042"/>
      <c r="R1037" s="1043">
        <f t="shared" si="196"/>
        <v>0</v>
      </c>
      <c r="S1037" s="1042"/>
      <c r="T1037" s="1043">
        <f t="shared" si="197"/>
        <v>0</v>
      </c>
      <c r="U1037" s="915">
        <f t="shared" si="198"/>
        <v>0</v>
      </c>
      <c r="V1037" s="1043">
        <f t="shared" ref="V1037:V1068" si="199">U1037*C1037</f>
        <v>0</v>
      </c>
    </row>
    <row r="1038" spans="1:22" ht="231.75" customHeight="1">
      <c r="A1038" s="1037"/>
      <c r="B1038" s="923" t="s">
        <v>3064</v>
      </c>
      <c r="C1038" s="1039">
        <f>DATA!K3066</f>
        <v>3103.82</v>
      </c>
      <c r="D1038" s="1040" t="s">
        <v>2273</v>
      </c>
      <c r="E1038" s="1041"/>
      <c r="F1038" s="1055">
        <f t="shared" si="191"/>
        <v>0</v>
      </c>
      <c r="G1038" s="1042"/>
      <c r="H1038" s="1043">
        <f t="shared" si="192"/>
        <v>0</v>
      </c>
      <c r="I1038" s="1042"/>
      <c r="J1038" s="1043">
        <f t="shared" si="193"/>
        <v>0</v>
      </c>
      <c r="K1038" s="1043"/>
      <c r="L1038" s="1043"/>
      <c r="M1038" s="1042"/>
      <c r="N1038" s="1043">
        <f t="shared" si="194"/>
        <v>0</v>
      </c>
      <c r="O1038" s="1042"/>
      <c r="P1038" s="1043">
        <f t="shared" si="195"/>
        <v>0</v>
      </c>
      <c r="Q1038" s="1042"/>
      <c r="R1038" s="1043">
        <f t="shared" si="196"/>
        <v>0</v>
      </c>
      <c r="S1038" s="1042"/>
      <c r="T1038" s="1043">
        <f t="shared" si="197"/>
        <v>0</v>
      </c>
      <c r="U1038" s="915">
        <f t="shared" si="198"/>
        <v>0</v>
      </c>
      <c r="V1038" s="1043">
        <f t="shared" si="199"/>
        <v>0</v>
      </c>
    </row>
    <row r="1039" spans="1:22" ht="231.75" customHeight="1">
      <c r="A1039" s="1037"/>
      <c r="B1039" s="923" t="s">
        <v>3065</v>
      </c>
      <c r="C1039" s="1039">
        <f>DATA!R3073</f>
        <v>2912.21</v>
      </c>
      <c r="D1039" s="1040" t="s">
        <v>2273</v>
      </c>
      <c r="E1039" s="1041"/>
      <c r="F1039" s="1055">
        <f t="shared" si="191"/>
        <v>0</v>
      </c>
      <c r="G1039" s="1042"/>
      <c r="H1039" s="1043">
        <f t="shared" si="192"/>
        <v>0</v>
      </c>
      <c r="I1039" s="1042"/>
      <c r="J1039" s="1043">
        <f t="shared" si="193"/>
        <v>0</v>
      </c>
      <c r="K1039" s="1043"/>
      <c r="L1039" s="1043"/>
      <c r="M1039" s="1042"/>
      <c r="N1039" s="1043">
        <f t="shared" si="194"/>
        <v>0</v>
      </c>
      <c r="O1039" s="1042"/>
      <c r="P1039" s="1043">
        <f t="shared" si="195"/>
        <v>0</v>
      </c>
      <c r="Q1039" s="1042"/>
      <c r="R1039" s="1043">
        <f t="shared" si="196"/>
        <v>0</v>
      </c>
      <c r="S1039" s="1042"/>
      <c r="T1039" s="1043">
        <f t="shared" si="197"/>
        <v>0</v>
      </c>
      <c r="U1039" s="915">
        <f t="shared" si="198"/>
        <v>0</v>
      </c>
      <c r="V1039" s="1043">
        <f t="shared" si="199"/>
        <v>0</v>
      </c>
    </row>
    <row r="1040" spans="1:22" ht="231.75" customHeight="1">
      <c r="A1040" s="1037"/>
      <c r="B1040" s="1045" t="s">
        <v>562</v>
      </c>
      <c r="C1040" s="1039">
        <f>DATA!K2877</f>
        <v>2189.9299999999998</v>
      </c>
      <c r="D1040" s="1040" t="s">
        <v>2273</v>
      </c>
      <c r="E1040" s="1041"/>
      <c r="F1040" s="1055">
        <f t="shared" si="191"/>
        <v>0</v>
      </c>
      <c r="G1040" s="1042"/>
      <c r="H1040" s="1043">
        <f t="shared" si="192"/>
        <v>0</v>
      </c>
      <c r="I1040" s="1042"/>
      <c r="J1040" s="1043">
        <f t="shared" si="193"/>
        <v>0</v>
      </c>
      <c r="K1040" s="1043"/>
      <c r="L1040" s="1043"/>
      <c r="M1040" s="1042"/>
      <c r="N1040" s="1043">
        <f t="shared" si="194"/>
        <v>0</v>
      </c>
      <c r="O1040" s="1042"/>
      <c r="P1040" s="1043">
        <f t="shared" si="195"/>
        <v>0</v>
      </c>
      <c r="Q1040" s="1042"/>
      <c r="R1040" s="1043">
        <f t="shared" si="196"/>
        <v>0</v>
      </c>
      <c r="S1040" s="1042"/>
      <c r="T1040" s="1043">
        <f t="shared" si="197"/>
        <v>0</v>
      </c>
      <c r="U1040" s="915">
        <f t="shared" si="198"/>
        <v>0</v>
      </c>
      <c r="V1040" s="1043">
        <f t="shared" si="199"/>
        <v>0</v>
      </c>
    </row>
    <row r="1041" spans="1:22" ht="231.75" customHeight="1">
      <c r="A1041" s="1037"/>
      <c r="B1041" s="923" t="s">
        <v>2829</v>
      </c>
      <c r="C1041" s="1039">
        <f>DATA!K1154</f>
        <v>123.92</v>
      </c>
      <c r="D1041" s="1040"/>
      <c r="E1041" s="1041"/>
      <c r="F1041" s="1055">
        <f t="shared" si="191"/>
        <v>0</v>
      </c>
      <c r="G1041" s="1042"/>
      <c r="H1041" s="1043">
        <f t="shared" si="192"/>
        <v>0</v>
      </c>
      <c r="I1041" s="1042"/>
      <c r="J1041" s="1043">
        <f t="shared" si="193"/>
        <v>0</v>
      </c>
      <c r="K1041" s="1043"/>
      <c r="L1041" s="1043"/>
      <c r="M1041" s="1042"/>
      <c r="N1041" s="1043">
        <f t="shared" si="194"/>
        <v>0</v>
      </c>
      <c r="O1041" s="1042"/>
      <c r="P1041" s="1043">
        <f t="shared" si="195"/>
        <v>0</v>
      </c>
      <c r="Q1041" s="1042"/>
      <c r="R1041" s="1043">
        <f t="shared" si="196"/>
        <v>0</v>
      </c>
      <c r="S1041" s="1042"/>
      <c r="T1041" s="1043">
        <f t="shared" si="197"/>
        <v>0</v>
      </c>
      <c r="U1041" s="915">
        <f t="shared" si="198"/>
        <v>0</v>
      </c>
      <c r="V1041" s="1043">
        <f t="shared" si="199"/>
        <v>0</v>
      </c>
    </row>
    <row r="1042" spans="1:22" ht="231.75" customHeight="1">
      <c r="A1042" s="1037"/>
      <c r="B1042" s="923" t="s">
        <v>2830</v>
      </c>
      <c r="C1042" s="1039">
        <f>DATA!K1167</f>
        <v>194.22</v>
      </c>
      <c r="D1042" s="1040"/>
      <c r="E1042" s="1041"/>
      <c r="F1042" s="1055">
        <f t="shared" si="191"/>
        <v>0</v>
      </c>
      <c r="G1042" s="1042"/>
      <c r="H1042" s="1043">
        <f t="shared" si="192"/>
        <v>0</v>
      </c>
      <c r="I1042" s="1042"/>
      <c r="J1042" s="1043">
        <f t="shared" si="193"/>
        <v>0</v>
      </c>
      <c r="K1042" s="1043"/>
      <c r="L1042" s="1043"/>
      <c r="M1042" s="1042"/>
      <c r="N1042" s="1043">
        <f t="shared" si="194"/>
        <v>0</v>
      </c>
      <c r="O1042" s="1042"/>
      <c r="P1042" s="1043">
        <f t="shared" si="195"/>
        <v>0</v>
      </c>
      <c r="Q1042" s="1042"/>
      <c r="R1042" s="1043">
        <f t="shared" si="196"/>
        <v>0</v>
      </c>
      <c r="S1042" s="1042"/>
      <c r="T1042" s="1043">
        <f t="shared" si="197"/>
        <v>0</v>
      </c>
      <c r="U1042" s="915">
        <f t="shared" si="198"/>
        <v>0</v>
      </c>
      <c r="V1042" s="1043">
        <f t="shared" si="199"/>
        <v>0</v>
      </c>
    </row>
    <row r="1043" spans="1:22" ht="231.75" customHeight="1">
      <c r="A1043" s="1037"/>
      <c r="B1043" s="923" t="s">
        <v>1667</v>
      </c>
      <c r="C1043" s="1039">
        <f>DATA!K2448</f>
        <v>766.92</v>
      </c>
      <c r="D1043" s="1040"/>
      <c r="E1043" s="1041"/>
      <c r="F1043" s="1055">
        <f t="shared" si="191"/>
        <v>0</v>
      </c>
      <c r="G1043" s="1042"/>
      <c r="H1043" s="1043">
        <f t="shared" si="192"/>
        <v>0</v>
      </c>
      <c r="I1043" s="1042"/>
      <c r="J1043" s="1043">
        <f t="shared" si="193"/>
        <v>0</v>
      </c>
      <c r="K1043" s="1043"/>
      <c r="L1043" s="1043"/>
      <c r="M1043" s="1042"/>
      <c r="N1043" s="1043">
        <f t="shared" si="194"/>
        <v>0</v>
      </c>
      <c r="O1043" s="1042"/>
      <c r="P1043" s="1043">
        <f t="shared" si="195"/>
        <v>0</v>
      </c>
      <c r="Q1043" s="1042"/>
      <c r="R1043" s="1043">
        <f t="shared" si="196"/>
        <v>0</v>
      </c>
      <c r="S1043" s="1042"/>
      <c r="T1043" s="1043">
        <f t="shared" si="197"/>
        <v>0</v>
      </c>
      <c r="U1043" s="915">
        <f t="shared" si="198"/>
        <v>0</v>
      </c>
      <c r="V1043" s="1043">
        <f t="shared" si="199"/>
        <v>0</v>
      </c>
    </row>
    <row r="1044" spans="1:22" ht="231.75" customHeight="1">
      <c r="A1044" s="1037"/>
      <c r="B1044" s="923" t="s">
        <v>1668</v>
      </c>
      <c r="C1044" s="1039">
        <f>DATA!K2798</f>
        <v>1715.82</v>
      </c>
      <c r="D1044" s="1040"/>
      <c r="E1044" s="1041"/>
      <c r="F1044" s="1055">
        <f t="shared" si="191"/>
        <v>0</v>
      </c>
      <c r="G1044" s="1042"/>
      <c r="H1044" s="1043">
        <f t="shared" si="192"/>
        <v>0</v>
      </c>
      <c r="I1044" s="1042"/>
      <c r="J1044" s="1043">
        <f t="shared" si="193"/>
        <v>0</v>
      </c>
      <c r="K1044" s="1043"/>
      <c r="L1044" s="1043"/>
      <c r="M1044" s="1042"/>
      <c r="N1044" s="1043">
        <f t="shared" si="194"/>
        <v>0</v>
      </c>
      <c r="O1044" s="1042"/>
      <c r="P1044" s="1043">
        <f t="shared" si="195"/>
        <v>0</v>
      </c>
      <c r="Q1044" s="1042"/>
      <c r="R1044" s="1043">
        <f t="shared" si="196"/>
        <v>0</v>
      </c>
      <c r="S1044" s="1042"/>
      <c r="T1044" s="1043">
        <f t="shared" si="197"/>
        <v>0</v>
      </c>
      <c r="U1044" s="915">
        <f t="shared" si="198"/>
        <v>0</v>
      </c>
      <c r="V1044" s="1043">
        <f t="shared" si="199"/>
        <v>0</v>
      </c>
    </row>
    <row r="1045" spans="1:22" ht="231.75" customHeight="1">
      <c r="A1045" s="1037"/>
      <c r="B1045" s="1045" t="s">
        <v>6702</v>
      </c>
      <c r="C1045" s="1039">
        <f>Elec.Data!K180</f>
        <v>2743.5</v>
      </c>
      <c r="D1045" s="1040"/>
      <c r="E1045" s="1041"/>
      <c r="F1045" s="1055">
        <f t="shared" si="191"/>
        <v>0</v>
      </c>
      <c r="G1045" s="1042"/>
      <c r="H1045" s="1043">
        <f t="shared" si="192"/>
        <v>0</v>
      </c>
      <c r="I1045" s="1042"/>
      <c r="J1045" s="1043">
        <f t="shared" si="193"/>
        <v>0</v>
      </c>
      <c r="K1045" s="1043"/>
      <c r="L1045" s="1043"/>
      <c r="M1045" s="1042"/>
      <c r="N1045" s="1043">
        <f t="shared" si="194"/>
        <v>0</v>
      </c>
      <c r="O1045" s="1042"/>
      <c r="P1045" s="1043">
        <f t="shared" si="195"/>
        <v>0</v>
      </c>
      <c r="Q1045" s="1042"/>
      <c r="R1045" s="1043">
        <f t="shared" si="196"/>
        <v>0</v>
      </c>
      <c r="S1045" s="1042"/>
      <c r="T1045" s="1043">
        <f t="shared" si="197"/>
        <v>0</v>
      </c>
      <c r="U1045" s="915">
        <f t="shared" si="198"/>
        <v>0</v>
      </c>
      <c r="V1045" s="1043">
        <f t="shared" si="199"/>
        <v>0</v>
      </c>
    </row>
    <row r="1046" spans="1:22" ht="231.75" customHeight="1">
      <c r="A1046" s="1037"/>
      <c r="B1046" s="1045" t="s">
        <v>6703</v>
      </c>
      <c r="C1046" s="1039">
        <f>Elec.Data!K192</f>
        <v>2743.5</v>
      </c>
      <c r="D1046" s="1040"/>
      <c r="E1046" s="1041"/>
      <c r="F1046" s="1055">
        <f t="shared" si="191"/>
        <v>0</v>
      </c>
      <c r="G1046" s="1042"/>
      <c r="H1046" s="1043">
        <f t="shared" si="192"/>
        <v>0</v>
      </c>
      <c r="I1046" s="1042"/>
      <c r="J1046" s="1043">
        <f t="shared" si="193"/>
        <v>0</v>
      </c>
      <c r="K1046" s="1043"/>
      <c r="L1046" s="1043"/>
      <c r="M1046" s="1042"/>
      <c r="N1046" s="1043">
        <f t="shared" si="194"/>
        <v>0</v>
      </c>
      <c r="O1046" s="1042"/>
      <c r="P1046" s="1043">
        <f t="shared" si="195"/>
        <v>0</v>
      </c>
      <c r="Q1046" s="1042"/>
      <c r="R1046" s="1043">
        <f t="shared" si="196"/>
        <v>0</v>
      </c>
      <c r="S1046" s="1042"/>
      <c r="T1046" s="1043">
        <f t="shared" si="197"/>
        <v>0</v>
      </c>
      <c r="U1046" s="915">
        <f t="shared" si="198"/>
        <v>0</v>
      </c>
      <c r="V1046" s="1043">
        <f t="shared" si="199"/>
        <v>0</v>
      </c>
    </row>
    <row r="1047" spans="1:22" ht="231.75" customHeight="1">
      <c r="A1047" s="1037"/>
      <c r="B1047" s="1045" t="s">
        <v>6704</v>
      </c>
      <c r="C1047" s="1039">
        <f>Elec.Data!K213</f>
        <v>2815.5</v>
      </c>
      <c r="D1047" s="1040"/>
      <c r="E1047" s="1041"/>
      <c r="F1047" s="1055">
        <f t="shared" si="191"/>
        <v>0</v>
      </c>
      <c r="G1047" s="1042"/>
      <c r="H1047" s="1043">
        <f t="shared" si="192"/>
        <v>0</v>
      </c>
      <c r="I1047" s="1042"/>
      <c r="J1047" s="1043">
        <f t="shared" si="193"/>
        <v>0</v>
      </c>
      <c r="K1047" s="1043"/>
      <c r="L1047" s="1043"/>
      <c r="M1047" s="1042"/>
      <c r="N1047" s="1043">
        <f t="shared" si="194"/>
        <v>0</v>
      </c>
      <c r="O1047" s="1042"/>
      <c r="P1047" s="1043">
        <f t="shared" si="195"/>
        <v>0</v>
      </c>
      <c r="Q1047" s="1042"/>
      <c r="R1047" s="1043">
        <f t="shared" si="196"/>
        <v>0</v>
      </c>
      <c r="S1047" s="1042"/>
      <c r="T1047" s="1043">
        <f t="shared" si="197"/>
        <v>0</v>
      </c>
      <c r="U1047" s="915">
        <f t="shared" si="198"/>
        <v>0</v>
      </c>
      <c r="V1047" s="1043">
        <f t="shared" si="199"/>
        <v>0</v>
      </c>
    </row>
    <row r="1048" spans="1:22" ht="231.75" customHeight="1">
      <c r="A1048" s="1037"/>
      <c r="B1048" s="1045" t="s">
        <v>6705</v>
      </c>
      <c r="C1048" s="1039">
        <f>Elec.Data!K232</f>
        <v>5167</v>
      </c>
      <c r="D1048" s="1040"/>
      <c r="E1048" s="1041"/>
      <c r="F1048" s="1055">
        <f t="shared" si="191"/>
        <v>0</v>
      </c>
      <c r="G1048" s="1042"/>
      <c r="H1048" s="1043">
        <f t="shared" si="192"/>
        <v>0</v>
      </c>
      <c r="I1048" s="1042"/>
      <c r="J1048" s="1043">
        <f t="shared" si="193"/>
        <v>0</v>
      </c>
      <c r="K1048" s="1043"/>
      <c r="L1048" s="1043"/>
      <c r="M1048" s="1042"/>
      <c r="N1048" s="1043">
        <f t="shared" si="194"/>
        <v>0</v>
      </c>
      <c r="O1048" s="1042"/>
      <c r="P1048" s="1043">
        <f t="shared" si="195"/>
        <v>0</v>
      </c>
      <c r="Q1048" s="1042"/>
      <c r="R1048" s="1043">
        <f t="shared" si="196"/>
        <v>0</v>
      </c>
      <c r="S1048" s="1042"/>
      <c r="T1048" s="1043">
        <f t="shared" si="197"/>
        <v>0</v>
      </c>
      <c r="U1048" s="915">
        <f t="shared" si="198"/>
        <v>0</v>
      </c>
      <c r="V1048" s="1043">
        <f t="shared" si="199"/>
        <v>0</v>
      </c>
    </row>
    <row r="1049" spans="1:22" ht="231.75" customHeight="1">
      <c r="A1049" s="1037"/>
      <c r="B1049" s="1045" t="s">
        <v>2386</v>
      </c>
      <c r="C1049" s="1039">
        <f>Elec.Data!K261</f>
        <v>232.9</v>
      </c>
      <c r="D1049" s="1040"/>
      <c r="E1049" s="1041"/>
      <c r="F1049" s="1055">
        <f t="shared" si="191"/>
        <v>0</v>
      </c>
      <c r="G1049" s="1042"/>
      <c r="H1049" s="1043">
        <f t="shared" si="192"/>
        <v>0</v>
      </c>
      <c r="I1049" s="1042"/>
      <c r="J1049" s="1043">
        <f t="shared" si="193"/>
        <v>0</v>
      </c>
      <c r="K1049" s="1043"/>
      <c r="L1049" s="1043"/>
      <c r="M1049" s="1042"/>
      <c r="N1049" s="1043">
        <f t="shared" si="194"/>
        <v>0</v>
      </c>
      <c r="O1049" s="1042"/>
      <c r="P1049" s="1043">
        <f t="shared" si="195"/>
        <v>0</v>
      </c>
      <c r="Q1049" s="1042"/>
      <c r="R1049" s="1043">
        <f t="shared" si="196"/>
        <v>0</v>
      </c>
      <c r="S1049" s="1042"/>
      <c r="T1049" s="1043">
        <f t="shared" si="197"/>
        <v>0</v>
      </c>
      <c r="U1049" s="915">
        <f t="shared" si="198"/>
        <v>0</v>
      </c>
      <c r="V1049" s="1043">
        <f t="shared" si="199"/>
        <v>0</v>
      </c>
    </row>
    <row r="1050" spans="1:22" ht="231.75" customHeight="1">
      <c r="A1050" s="1037"/>
      <c r="B1050" s="1045" t="s">
        <v>2936</v>
      </c>
      <c r="C1050" s="1039">
        <f>Elec.Data!K274</f>
        <v>272.89999999999998</v>
      </c>
      <c r="D1050" s="1040"/>
      <c r="E1050" s="1041"/>
      <c r="F1050" s="1055">
        <f t="shared" si="191"/>
        <v>0</v>
      </c>
      <c r="G1050" s="1042"/>
      <c r="H1050" s="1043">
        <f t="shared" si="192"/>
        <v>0</v>
      </c>
      <c r="I1050" s="1042"/>
      <c r="J1050" s="1043">
        <f t="shared" si="193"/>
        <v>0</v>
      </c>
      <c r="K1050" s="1043"/>
      <c r="L1050" s="1043"/>
      <c r="M1050" s="1042"/>
      <c r="N1050" s="1043">
        <f t="shared" si="194"/>
        <v>0</v>
      </c>
      <c r="O1050" s="1042"/>
      <c r="P1050" s="1043">
        <f t="shared" si="195"/>
        <v>0</v>
      </c>
      <c r="Q1050" s="1042"/>
      <c r="R1050" s="1043">
        <f t="shared" si="196"/>
        <v>0</v>
      </c>
      <c r="S1050" s="1042"/>
      <c r="T1050" s="1043">
        <f t="shared" si="197"/>
        <v>0</v>
      </c>
      <c r="U1050" s="915">
        <f t="shared" si="198"/>
        <v>0</v>
      </c>
      <c r="V1050" s="1043">
        <f t="shared" si="199"/>
        <v>0</v>
      </c>
    </row>
    <row r="1051" spans="1:22" ht="231.75" customHeight="1">
      <c r="A1051" s="1037"/>
      <c r="B1051" s="1045" t="s">
        <v>2326</v>
      </c>
      <c r="C1051" s="1039">
        <f>Elec.Data!K288</f>
        <v>407.08</v>
      </c>
      <c r="D1051" s="1040"/>
      <c r="E1051" s="1041"/>
      <c r="F1051" s="1055">
        <f t="shared" si="191"/>
        <v>0</v>
      </c>
      <c r="G1051" s="1042"/>
      <c r="H1051" s="1043">
        <f t="shared" si="192"/>
        <v>0</v>
      </c>
      <c r="I1051" s="1042"/>
      <c r="J1051" s="1043">
        <f t="shared" si="193"/>
        <v>0</v>
      </c>
      <c r="K1051" s="1043"/>
      <c r="L1051" s="1043"/>
      <c r="M1051" s="1042"/>
      <c r="N1051" s="1043">
        <f t="shared" si="194"/>
        <v>0</v>
      </c>
      <c r="O1051" s="1042"/>
      <c r="P1051" s="1043">
        <f t="shared" si="195"/>
        <v>0</v>
      </c>
      <c r="Q1051" s="1042"/>
      <c r="R1051" s="1043">
        <f t="shared" si="196"/>
        <v>0</v>
      </c>
      <c r="S1051" s="1042"/>
      <c r="T1051" s="1043">
        <f t="shared" si="197"/>
        <v>0</v>
      </c>
      <c r="U1051" s="915">
        <f t="shared" si="198"/>
        <v>0</v>
      </c>
      <c r="V1051" s="1043">
        <f t="shared" si="199"/>
        <v>0</v>
      </c>
    </row>
    <row r="1052" spans="1:22" ht="231.75" customHeight="1">
      <c r="A1052" s="1037"/>
      <c r="B1052" s="1045" t="s">
        <v>2747</v>
      </c>
      <c r="C1052" s="1039">
        <f>Elec.Data!K342</f>
        <v>1372.85</v>
      </c>
      <c r="D1052" s="1040"/>
      <c r="E1052" s="1041"/>
      <c r="F1052" s="1055">
        <f t="shared" si="191"/>
        <v>0</v>
      </c>
      <c r="G1052" s="1042"/>
      <c r="H1052" s="1043">
        <f t="shared" si="192"/>
        <v>0</v>
      </c>
      <c r="I1052" s="1042"/>
      <c r="J1052" s="1043">
        <f t="shared" si="193"/>
        <v>0</v>
      </c>
      <c r="K1052" s="1043"/>
      <c r="L1052" s="1043"/>
      <c r="M1052" s="1042"/>
      <c r="N1052" s="1043">
        <f t="shared" si="194"/>
        <v>0</v>
      </c>
      <c r="O1052" s="1042"/>
      <c r="P1052" s="1043">
        <f t="shared" si="195"/>
        <v>0</v>
      </c>
      <c r="Q1052" s="1042"/>
      <c r="R1052" s="1043">
        <f t="shared" si="196"/>
        <v>0</v>
      </c>
      <c r="S1052" s="1042"/>
      <c r="T1052" s="1043">
        <f t="shared" si="197"/>
        <v>0</v>
      </c>
      <c r="U1052" s="915">
        <f t="shared" si="198"/>
        <v>0</v>
      </c>
      <c r="V1052" s="1043">
        <f t="shared" si="199"/>
        <v>0</v>
      </c>
    </row>
    <row r="1053" spans="1:22" ht="231.75" customHeight="1">
      <c r="A1053" s="1037"/>
      <c r="B1053" s="1045" t="s">
        <v>2396</v>
      </c>
      <c r="C1053" s="1039">
        <f>Elec.Data!K353</f>
        <v>1062.8499999999999</v>
      </c>
      <c r="D1053" s="1040"/>
      <c r="E1053" s="1041"/>
      <c r="F1053" s="1055">
        <f t="shared" si="191"/>
        <v>0</v>
      </c>
      <c r="G1053" s="1042"/>
      <c r="H1053" s="1043">
        <f t="shared" si="192"/>
        <v>0</v>
      </c>
      <c r="I1053" s="1042"/>
      <c r="J1053" s="1043">
        <f t="shared" si="193"/>
        <v>0</v>
      </c>
      <c r="K1053" s="1043"/>
      <c r="L1053" s="1043"/>
      <c r="M1053" s="1042"/>
      <c r="N1053" s="1043">
        <f t="shared" si="194"/>
        <v>0</v>
      </c>
      <c r="O1053" s="1042"/>
      <c r="P1053" s="1043">
        <f t="shared" si="195"/>
        <v>0</v>
      </c>
      <c r="Q1053" s="1042"/>
      <c r="R1053" s="1043">
        <f t="shared" si="196"/>
        <v>0</v>
      </c>
      <c r="S1053" s="1042"/>
      <c r="T1053" s="1043">
        <f t="shared" si="197"/>
        <v>0</v>
      </c>
      <c r="U1053" s="915">
        <f t="shared" si="198"/>
        <v>0</v>
      </c>
      <c r="V1053" s="1043">
        <f t="shared" si="199"/>
        <v>0</v>
      </c>
    </row>
    <row r="1054" spans="1:22" ht="231.75" customHeight="1">
      <c r="A1054" s="1037"/>
      <c r="B1054" s="1045" t="s">
        <v>3405</v>
      </c>
      <c r="C1054" s="1039">
        <f>Elec.Data!K364</f>
        <v>1768.94</v>
      </c>
      <c r="D1054" s="1040"/>
      <c r="E1054" s="1041"/>
      <c r="F1054" s="1055">
        <f t="shared" si="191"/>
        <v>0</v>
      </c>
      <c r="G1054" s="1042"/>
      <c r="H1054" s="1043">
        <f t="shared" si="192"/>
        <v>0</v>
      </c>
      <c r="I1054" s="1042"/>
      <c r="J1054" s="1043">
        <f t="shared" si="193"/>
        <v>0</v>
      </c>
      <c r="K1054" s="1043"/>
      <c r="L1054" s="1043"/>
      <c r="M1054" s="1042"/>
      <c r="N1054" s="1043">
        <f t="shared" si="194"/>
        <v>0</v>
      </c>
      <c r="O1054" s="1042"/>
      <c r="P1054" s="1043">
        <f t="shared" si="195"/>
        <v>0</v>
      </c>
      <c r="Q1054" s="1042"/>
      <c r="R1054" s="1043">
        <f t="shared" si="196"/>
        <v>0</v>
      </c>
      <c r="S1054" s="1042"/>
      <c r="T1054" s="1043">
        <f t="shared" si="197"/>
        <v>0</v>
      </c>
      <c r="U1054" s="915">
        <f t="shared" si="198"/>
        <v>0</v>
      </c>
      <c r="V1054" s="1043">
        <f t="shared" si="199"/>
        <v>0</v>
      </c>
    </row>
    <row r="1055" spans="1:22" ht="231.75" customHeight="1">
      <c r="A1055" s="1037"/>
      <c r="B1055" s="1045" t="s">
        <v>2280</v>
      </c>
      <c r="C1055" s="1039">
        <f>Elec.Data!K379</f>
        <v>2195.34</v>
      </c>
      <c r="D1055" s="1040"/>
      <c r="E1055" s="1041"/>
      <c r="F1055" s="1055">
        <f t="shared" si="191"/>
        <v>0</v>
      </c>
      <c r="G1055" s="1042"/>
      <c r="H1055" s="1043">
        <f t="shared" si="192"/>
        <v>0</v>
      </c>
      <c r="I1055" s="1042"/>
      <c r="J1055" s="1043">
        <f t="shared" si="193"/>
        <v>0</v>
      </c>
      <c r="K1055" s="1043"/>
      <c r="L1055" s="1043"/>
      <c r="M1055" s="1042"/>
      <c r="N1055" s="1043">
        <f t="shared" si="194"/>
        <v>0</v>
      </c>
      <c r="O1055" s="1042"/>
      <c r="P1055" s="1043">
        <f t="shared" si="195"/>
        <v>0</v>
      </c>
      <c r="Q1055" s="1042"/>
      <c r="R1055" s="1043">
        <f t="shared" si="196"/>
        <v>0</v>
      </c>
      <c r="S1055" s="1042"/>
      <c r="T1055" s="1043">
        <f t="shared" si="197"/>
        <v>0</v>
      </c>
      <c r="U1055" s="915">
        <f t="shared" si="198"/>
        <v>0</v>
      </c>
      <c r="V1055" s="1043">
        <f t="shared" si="199"/>
        <v>0</v>
      </c>
    </row>
    <row r="1056" spans="1:22" ht="231.75" customHeight="1">
      <c r="A1056" s="1037"/>
      <c r="B1056" s="1045" t="s">
        <v>2572</v>
      </c>
      <c r="C1056" s="1039">
        <f>Elec.Data!K402</f>
        <v>4248.34</v>
      </c>
      <c r="D1056" s="1040"/>
      <c r="E1056" s="1041"/>
      <c r="F1056" s="1055">
        <f t="shared" si="191"/>
        <v>0</v>
      </c>
      <c r="G1056" s="1042"/>
      <c r="H1056" s="1043">
        <f t="shared" si="192"/>
        <v>0</v>
      </c>
      <c r="I1056" s="1042"/>
      <c r="J1056" s="1043">
        <f t="shared" si="193"/>
        <v>0</v>
      </c>
      <c r="K1056" s="1043"/>
      <c r="L1056" s="1043"/>
      <c r="M1056" s="1042"/>
      <c r="N1056" s="1043">
        <f t="shared" si="194"/>
        <v>0</v>
      </c>
      <c r="O1056" s="1042"/>
      <c r="P1056" s="1043">
        <f t="shared" si="195"/>
        <v>0</v>
      </c>
      <c r="Q1056" s="1042"/>
      <c r="R1056" s="1043">
        <f t="shared" si="196"/>
        <v>0</v>
      </c>
      <c r="S1056" s="1042"/>
      <c r="T1056" s="1043">
        <f t="shared" si="197"/>
        <v>0</v>
      </c>
      <c r="U1056" s="915">
        <f t="shared" si="198"/>
        <v>0</v>
      </c>
      <c r="V1056" s="1043">
        <f t="shared" si="199"/>
        <v>0</v>
      </c>
    </row>
    <row r="1057" spans="1:22" ht="231.75" customHeight="1">
      <c r="A1057" s="1037"/>
      <c r="B1057" s="1045" t="s">
        <v>3113</v>
      </c>
      <c r="C1057" s="1039">
        <f>Elec.Data!K390</f>
        <v>3466.34</v>
      </c>
      <c r="D1057" s="1040"/>
      <c r="E1057" s="1041"/>
      <c r="F1057" s="1055">
        <f t="shared" si="191"/>
        <v>0</v>
      </c>
      <c r="G1057" s="1042"/>
      <c r="H1057" s="1043">
        <f t="shared" si="192"/>
        <v>0</v>
      </c>
      <c r="I1057" s="1042"/>
      <c r="J1057" s="1043">
        <f t="shared" si="193"/>
        <v>0</v>
      </c>
      <c r="K1057" s="1043"/>
      <c r="L1057" s="1043"/>
      <c r="M1057" s="1042"/>
      <c r="N1057" s="1043">
        <f t="shared" si="194"/>
        <v>0</v>
      </c>
      <c r="O1057" s="1042"/>
      <c r="P1057" s="1043">
        <f t="shared" si="195"/>
        <v>0</v>
      </c>
      <c r="Q1057" s="1042"/>
      <c r="R1057" s="1043">
        <f t="shared" si="196"/>
        <v>0</v>
      </c>
      <c r="S1057" s="1042"/>
      <c r="T1057" s="1043">
        <f t="shared" si="197"/>
        <v>0</v>
      </c>
      <c r="U1057" s="915">
        <f t="shared" si="198"/>
        <v>0</v>
      </c>
      <c r="V1057" s="1043">
        <f t="shared" si="199"/>
        <v>0</v>
      </c>
    </row>
    <row r="1058" spans="1:22" ht="231.75" customHeight="1">
      <c r="A1058" s="1037"/>
      <c r="B1058" s="1045" t="s">
        <v>3328</v>
      </c>
      <c r="C1058" s="1039">
        <f>Elec.Data!K414</f>
        <v>0</v>
      </c>
      <c r="D1058" s="1040"/>
      <c r="E1058" s="1041"/>
      <c r="F1058" s="1055">
        <f t="shared" si="191"/>
        <v>0</v>
      </c>
      <c r="G1058" s="1042"/>
      <c r="H1058" s="1043">
        <f t="shared" si="192"/>
        <v>0</v>
      </c>
      <c r="I1058" s="1042"/>
      <c r="J1058" s="1043">
        <f t="shared" si="193"/>
        <v>0</v>
      </c>
      <c r="K1058" s="1043"/>
      <c r="L1058" s="1043"/>
      <c r="M1058" s="1042"/>
      <c r="N1058" s="1043">
        <f t="shared" si="194"/>
        <v>0</v>
      </c>
      <c r="O1058" s="1042"/>
      <c r="P1058" s="1043">
        <f t="shared" si="195"/>
        <v>0</v>
      </c>
      <c r="Q1058" s="1042"/>
      <c r="R1058" s="1043">
        <f t="shared" si="196"/>
        <v>0</v>
      </c>
      <c r="S1058" s="1042"/>
      <c r="T1058" s="1043">
        <f t="shared" si="197"/>
        <v>0</v>
      </c>
      <c r="U1058" s="915">
        <f t="shared" si="198"/>
        <v>0</v>
      </c>
      <c r="V1058" s="1043">
        <f t="shared" si="199"/>
        <v>0</v>
      </c>
    </row>
    <row r="1059" spans="1:22" ht="231.75" customHeight="1">
      <c r="A1059" s="1037"/>
      <c r="B1059" s="1045" t="s">
        <v>3347</v>
      </c>
      <c r="C1059" s="1039">
        <f>Elec.Data!K432</f>
        <v>0</v>
      </c>
      <c r="D1059" s="1040"/>
      <c r="E1059" s="1041"/>
      <c r="F1059" s="1055">
        <f t="shared" si="191"/>
        <v>0</v>
      </c>
      <c r="G1059" s="1042"/>
      <c r="H1059" s="1043">
        <f t="shared" si="192"/>
        <v>0</v>
      </c>
      <c r="I1059" s="1042"/>
      <c r="J1059" s="1043">
        <f t="shared" si="193"/>
        <v>0</v>
      </c>
      <c r="K1059" s="1043"/>
      <c r="L1059" s="1043"/>
      <c r="M1059" s="1042"/>
      <c r="N1059" s="1043">
        <f t="shared" si="194"/>
        <v>0</v>
      </c>
      <c r="O1059" s="1042"/>
      <c r="P1059" s="1043">
        <f t="shared" si="195"/>
        <v>0</v>
      </c>
      <c r="Q1059" s="1042"/>
      <c r="R1059" s="1043">
        <f t="shared" si="196"/>
        <v>0</v>
      </c>
      <c r="S1059" s="1042"/>
      <c r="T1059" s="1043">
        <f t="shared" si="197"/>
        <v>0</v>
      </c>
      <c r="U1059" s="915">
        <f t="shared" si="198"/>
        <v>0</v>
      </c>
      <c r="V1059" s="1043">
        <f t="shared" si="199"/>
        <v>0</v>
      </c>
    </row>
    <row r="1060" spans="1:22" ht="231.75" customHeight="1">
      <c r="A1060" s="1037"/>
      <c r="B1060" s="1045" t="s">
        <v>2282</v>
      </c>
      <c r="C1060" s="1039">
        <f>Elec.Data!K502</f>
        <v>0</v>
      </c>
      <c r="D1060" s="1040"/>
      <c r="E1060" s="1041"/>
      <c r="F1060" s="1055">
        <f t="shared" si="191"/>
        <v>0</v>
      </c>
      <c r="G1060" s="1042"/>
      <c r="H1060" s="1043">
        <f t="shared" si="192"/>
        <v>0</v>
      </c>
      <c r="I1060" s="1042"/>
      <c r="J1060" s="1043">
        <f t="shared" si="193"/>
        <v>0</v>
      </c>
      <c r="K1060" s="1043"/>
      <c r="L1060" s="1043"/>
      <c r="M1060" s="1042"/>
      <c r="N1060" s="1043">
        <f t="shared" si="194"/>
        <v>0</v>
      </c>
      <c r="O1060" s="1042"/>
      <c r="P1060" s="1043">
        <f t="shared" si="195"/>
        <v>0</v>
      </c>
      <c r="Q1060" s="1042"/>
      <c r="R1060" s="1043">
        <f t="shared" si="196"/>
        <v>0</v>
      </c>
      <c r="S1060" s="1042"/>
      <c r="T1060" s="1043">
        <f t="shared" si="197"/>
        <v>0</v>
      </c>
      <c r="U1060" s="915">
        <f t="shared" si="198"/>
        <v>0</v>
      </c>
      <c r="V1060" s="1043">
        <f t="shared" si="199"/>
        <v>0</v>
      </c>
    </row>
    <row r="1061" spans="1:22" ht="231.75" customHeight="1">
      <c r="A1061" s="1037"/>
      <c r="B1061" s="1045" t="s">
        <v>2283</v>
      </c>
      <c r="C1061" s="1039">
        <f>Elec.Data!K517</f>
        <v>0</v>
      </c>
      <c r="D1061" s="1040"/>
      <c r="E1061" s="1041"/>
      <c r="F1061" s="1055">
        <f t="shared" si="191"/>
        <v>0</v>
      </c>
      <c r="G1061" s="1042"/>
      <c r="H1061" s="1043">
        <f t="shared" si="192"/>
        <v>0</v>
      </c>
      <c r="I1061" s="1042"/>
      <c r="J1061" s="1043">
        <f t="shared" si="193"/>
        <v>0</v>
      </c>
      <c r="K1061" s="1043"/>
      <c r="L1061" s="1043"/>
      <c r="M1061" s="1042"/>
      <c r="N1061" s="1043">
        <f t="shared" si="194"/>
        <v>0</v>
      </c>
      <c r="O1061" s="1042"/>
      <c r="P1061" s="1043">
        <f t="shared" si="195"/>
        <v>0</v>
      </c>
      <c r="Q1061" s="1042"/>
      <c r="R1061" s="1043">
        <f t="shared" si="196"/>
        <v>0</v>
      </c>
      <c r="S1061" s="1042"/>
      <c r="T1061" s="1043">
        <f t="shared" si="197"/>
        <v>0</v>
      </c>
      <c r="U1061" s="915">
        <f t="shared" si="198"/>
        <v>0</v>
      </c>
      <c r="V1061" s="1043">
        <f t="shared" si="199"/>
        <v>0</v>
      </c>
    </row>
    <row r="1062" spans="1:22" ht="231.75" customHeight="1">
      <c r="A1062" s="1037"/>
      <c r="B1062" s="1045" t="s">
        <v>2284</v>
      </c>
      <c r="C1062" s="1039">
        <f>Elec.Data!K535</f>
        <v>0</v>
      </c>
      <c r="D1062" s="1040"/>
      <c r="E1062" s="1041"/>
      <c r="F1062" s="1055">
        <f t="shared" si="191"/>
        <v>0</v>
      </c>
      <c r="G1062" s="1042"/>
      <c r="H1062" s="1043">
        <f t="shared" si="192"/>
        <v>0</v>
      </c>
      <c r="I1062" s="1042"/>
      <c r="J1062" s="1043">
        <f t="shared" si="193"/>
        <v>0</v>
      </c>
      <c r="K1062" s="1043"/>
      <c r="L1062" s="1043"/>
      <c r="M1062" s="1042"/>
      <c r="N1062" s="1043">
        <f t="shared" si="194"/>
        <v>0</v>
      </c>
      <c r="O1062" s="1042"/>
      <c r="P1062" s="1043">
        <f t="shared" si="195"/>
        <v>0</v>
      </c>
      <c r="Q1062" s="1042"/>
      <c r="R1062" s="1043">
        <f t="shared" si="196"/>
        <v>0</v>
      </c>
      <c r="S1062" s="1042"/>
      <c r="T1062" s="1043">
        <f t="shared" si="197"/>
        <v>0</v>
      </c>
      <c r="U1062" s="915">
        <f t="shared" si="198"/>
        <v>0</v>
      </c>
      <c r="V1062" s="1043">
        <f t="shared" si="199"/>
        <v>0</v>
      </c>
    </row>
    <row r="1063" spans="1:22" ht="231.75" customHeight="1">
      <c r="A1063" s="1037"/>
      <c r="B1063" s="1045" t="s">
        <v>2285</v>
      </c>
      <c r="C1063" s="1039">
        <f>Elec.Data!K548</f>
        <v>0</v>
      </c>
      <c r="D1063" s="1040"/>
      <c r="E1063" s="1041"/>
      <c r="F1063" s="1055">
        <f t="shared" si="191"/>
        <v>0</v>
      </c>
      <c r="G1063" s="1042"/>
      <c r="H1063" s="1043">
        <f t="shared" si="192"/>
        <v>0</v>
      </c>
      <c r="I1063" s="1042"/>
      <c r="J1063" s="1043">
        <f t="shared" si="193"/>
        <v>0</v>
      </c>
      <c r="K1063" s="1043"/>
      <c r="L1063" s="1043"/>
      <c r="M1063" s="1042"/>
      <c r="N1063" s="1043">
        <f t="shared" si="194"/>
        <v>0</v>
      </c>
      <c r="O1063" s="1042"/>
      <c r="P1063" s="1043">
        <f t="shared" si="195"/>
        <v>0</v>
      </c>
      <c r="Q1063" s="1042"/>
      <c r="R1063" s="1043">
        <f t="shared" si="196"/>
        <v>0</v>
      </c>
      <c r="S1063" s="1042"/>
      <c r="T1063" s="1043">
        <f t="shared" si="197"/>
        <v>0</v>
      </c>
      <c r="U1063" s="915">
        <f t="shared" si="198"/>
        <v>0</v>
      </c>
      <c r="V1063" s="1043">
        <f t="shared" si="199"/>
        <v>0</v>
      </c>
    </row>
    <row r="1064" spans="1:22" ht="231.75" customHeight="1">
      <c r="A1064" s="1037"/>
      <c r="B1064" s="1045" t="s">
        <v>2404</v>
      </c>
      <c r="C1064" s="1039">
        <f>Elec.Data!K553</f>
        <v>0</v>
      </c>
      <c r="D1064" s="1040"/>
      <c r="E1064" s="1041"/>
      <c r="F1064" s="1055">
        <f t="shared" si="191"/>
        <v>0</v>
      </c>
      <c r="G1064" s="1042"/>
      <c r="H1064" s="1043">
        <f t="shared" si="192"/>
        <v>0</v>
      </c>
      <c r="I1064" s="1042"/>
      <c r="J1064" s="1043">
        <f t="shared" si="193"/>
        <v>0</v>
      </c>
      <c r="K1064" s="1043"/>
      <c r="L1064" s="1043"/>
      <c r="M1064" s="1042"/>
      <c r="N1064" s="1043">
        <f t="shared" si="194"/>
        <v>0</v>
      </c>
      <c r="O1064" s="1042"/>
      <c r="P1064" s="1043">
        <f t="shared" si="195"/>
        <v>0</v>
      </c>
      <c r="Q1064" s="1042"/>
      <c r="R1064" s="1043">
        <f t="shared" si="196"/>
        <v>0</v>
      </c>
      <c r="S1064" s="1042"/>
      <c r="T1064" s="1043">
        <f t="shared" si="197"/>
        <v>0</v>
      </c>
      <c r="U1064" s="915">
        <f t="shared" si="198"/>
        <v>0</v>
      </c>
      <c r="V1064" s="1043">
        <f t="shared" si="199"/>
        <v>0</v>
      </c>
    </row>
    <row r="1065" spans="1:22" ht="231.75" customHeight="1">
      <c r="A1065" s="1037"/>
      <c r="B1065" s="1045" t="s">
        <v>2392</v>
      </c>
      <c r="C1065" s="1039">
        <f>Elec.Data!K558</f>
        <v>0</v>
      </c>
      <c r="D1065" s="1040"/>
      <c r="E1065" s="1041"/>
      <c r="F1065" s="1055">
        <f t="shared" ref="F1065:F1096" si="200">E1065*C1065</f>
        <v>0</v>
      </c>
      <c r="G1065" s="1042"/>
      <c r="H1065" s="1043">
        <f t="shared" ref="H1065:H1096" si="201">G1065*C1065</f>
        <v>0</v>
      </c>
      <c r="I1065" s="1042"/>
      <c r="J1065" s="1043">
        <f t="shared" ref="J1065:J1096" si="202">I1065*C1065</f>
        <v>0</v>
      </c>
      <c r="K1065" s="1043"/>
      <c r="L1065" s="1043"/>
      <c r="M1065" s="1042"/>
      <c r="N1065" s="1043">
        <f t="shared" ref="N1065:N1096" si="203">M1065*C1065</f>
        <v>0</v>
      </c>
      <c r="O1065" s="1042"/>
      <c r="P1065" s="1043">
        <f t="shared" ref="P1065:P1096" si="204">O1065*C1065</f>
        <v>0</v>
      </c>
      <c r="Q1065" s="1042"/>
      <c r="R1065" s="1043">
        <f t="shared" ref="R1065:R1096" si="205">Q1065*C1065</f>
        <v>0</v>
      </c>
      <c r="S1065" s="1042"/>
      <c r="T1065" s="1043">
        <f t="shared" ref="T1065:T1096" si="206">S1065*C1065</f>
        <v>0</v>
      </c>
      <c r="U1065" s="915">
        <f t="shared" si="198"/>
        <v>0</v>
      </c>
      <c r="V1065" s="1043">
        <f t="shared" si="199"/>
        <v>0</v>
      </c>
    </row>
    <row r="1066" spans="1:22" ht="231.75" customHeight="1">
      <c r="A1066" s="1037"/>
      <c r="B1066" s="1045" t="s">
        <v>6706</v>
      </c>
      <c r="C1066" s="1039">
        <f>Elec.Data!K670</f>
        <v>0</v>
      </c>
      <c r="D1066" s="1040"/>
      <c r="E1066" s="1041"/>
      <c r="F1066" s="1055">
        <f t="shared" si="200"/>
        <v>0</v>
      </c>
      <c r="G1066" s="1042"/>
      <c r="H1066" s="1043">
        <f t="shared" si="201"/>
        <v>0</v>
      </c>
      <c r="I1066" s="1042"/>
      <c r="J1066" s="1043">
        <f t="shared" si="202"/>
        <v>0</v>
      </c>
      <c r="K1066" s="1043"/>
      <c r="L1066" s="1043"/>
      <c r="M1066" s="1042"/>
      <c r="N1066" s="1043">
        <f t="shared" si="203"/>
        <v>0</v>
      </c>
      <c r="O1066" s="1042"/>
      <c r="P1066" s="1043">
        <f t="shared" si="204"/>
        <v>0</v>
      </c>
      <c r="Q1066" s="1042"/>
      <c r="R1066" s="1043">
        <f t="shared" si="205"/>
        <v>0</v>
      </c>
      <c r="S1066" s="1042"/>
      <c r="T1066" s="1043">
        <f t="shared" si="206"/>
        <v>0</v>
      </c>
      <c r="U1066" s="915">
        <f t="shared" si="198"/>
        <v>0</v>
      </c>
      <c r="V1066" s="1043">
        <f t="shared" si="199"/>
        <v>0</v>
      </c>
    </row>
    <row r="1067" spans="1:22" ht="231.75" customHeight="1">
      <c r="A1067" s="1037"/>
      <c r="B1067" s="1045" t="s">
        <v>6707</v>
      </c>
      <c r="C1067" s="1039">
        <f>Elec.Data!K708</f>
        <v>0</v>
      </c>
      <c r="D1067" s="1040"/>
      <c r="E1067" s="1041"/>
      <c r="F1067" s="1055">
        <f t="shared" si="200"/>
        <v>0</v>
      </c>
      <c r="G1067" s="1042"/>
      <c r="H1067" s="1043">
        <f t="shared" si="201"/>
        <v>0</v>
      </c>
      <c r="I1067" s="1042"/>
      <c r="J1067" s="1043">
        <f t="shared" si="202"/>
        <v>0</v>
      </c>
      <c r="K1067" s="1043"/>
      <c r="L1067" s="1043"/>
      <c r="M1067" s="1042"/>
      <c r="N1067" s="1043">
        <f t="shared" si="203"/>
        <v>0</v>
      </c>
      <c r="O1067" s="1042"/>
      <c r="P1067" s="1043">
        <f t="shared" si="204"/>
        <v>0</v>
      </c>
      <c r="Q1067" s="1042"/>
      <c r="R1067" s="1043">
        <f t="shared" si="205"/>
        <v>0</v>
      </c>
      <c r="S1067" s="1042"/>
      <c r="T1067" s="1043">
        <f t="shared" si="206"/>
        <v>0</v>
      </c>
      <c r="U1067" s="915">
        <f t="shared" si="198"/>
        <v>0</v>
      </c>
      <c r="V1067" s="1043">
        <f t="shared" si="199"/>
        <v>0</v>
      </c>
    </row>
    <row r="1068" spans="1:22" ht="231.75" customHeight="1">
      <c r="A1068" s="1037"/>
      <c r="B1068" s="1045" t="s">
        <v>2286</v>
      </c>
      <c r="C1068" s="1039">
        <f>Elec.Data!K715</f>
        <v>165</v>
      </c>
      <c r="D1068" s="1040"/>
      <c r="E1068" s="1041"/>
      <c r="F1068" s="1055">
        <f t="shared" si="200"/>
        <v>0</v>
      </c>
      <c r="G1068" s="1042"/>
      <c r="H1068" s="1043">
        <f t="shared" si="201"/>
        <v>0</v>
      </c>
      <c r="I1068" s="1042"/>
      <c r="J1068" s="1043">
        <f t="shared" si="202"/>
        <v>0</v>
      </c>
      <c r="K1068" s="1043"/>
      <c r="L1068" s="1043"/>
      <c r="M1068" s="1042"/>
      <c r="N1068" s="1043">
        <f t="shared" si="203"/>
        <v>0</v>
      </c>
      <c r="O1068" s="1042"/>
      <c r="P1068" s="1043">
        <f t="shared" si="204"/>
        <v>0</v>
      </c>
      <c r="Q1068" s="1042"/>
      <c r="R1068" s="1043">
        <f t="shared" si="205"/>
        <v>0</v>
      </c>
      <c r="S1068" s="1042"/>
      <c r="T1068" s="1043">
        <f t="shared" si="206"/>
        <v>0</v>
      </c>
      <c r="U1068" s="915">
        <f t="shared" ref="U1068:U1103" si="207">G1068+I1068+M1068+O1068+Q1068+S1068</f>
        <v>0</v>
      </c>
      <c r="V1068" s="1043">
        <f t="shared" si="199"/>
        <v>0</v>
      </c>
    </row>
    <row r="1069" spans="1:22" ht="231.75" customHeight="1">
      <c r="A1069" s="1037"/>
      <c r="B1069" s="1045" t="s">
        <v>2299</v>
      </c>
      <c r="C1069" s="1039">
        <f>Elec.Data!K736</f>
        <v>0</v>
      </c>
      <c r="D1069" s="1040"/>
      <c r="E1069" s="1041"/>
      <c r="F1069" s="1055">
        <f t="shared" si="200"/>
        <v>0</v>
      </c>
      <c r="G1069" s="1042"/>
      <c r="H1069" s="1043">
        <f t="shared" si="201"/>
        <v>0</v>
      </c>
      <c r="I1069" s="1042"/>
      <c r="J1069" s="1043">
        <f t="shared" si="202"/>
        <v>0</v>
      </c>
      <c r="K1069" s="1043"/>
      <c r="L1069" s="1043"/>
      <c r="M1069" s="1042"/>
      <c r="N1069" s="1043">
        <f t="shared" si="203"/>
        <v>0</v>
      </c>
      <c r="O1069" s="1042"/>
      <c r="P1069" s="1043">
        <f t="shared" si="204"/>
        <v>0</v>
      </c>
      <c r="Q1069" s="1042"/>
      <c r="R1069" s="1043">
        <f t="shared" si="205"/>
        <v>0</v>
      </c>
      <c r="S1069" s="1042"/>
      <c r="T1069" s="1043">
        <f t="shared" si="206"/>
        <v>0</v>
      </c>
      <c r="U1069" s="915">
        <f t="shared" si="207"/>
        <v>0</v>
      </c>
      <c r="V1069" s="1043">
        <f t="shared" ref="V1069:V1100" si="208">U1069*C1069</f>
        <v>0</v>
      </c>
    </row>
    <row r="1070" spans="1:22" ht="231.75" customHeight="1">
      <c r="A1070" s="1037"/>
      <c r="B1070" s="1045" t="s">
        <v>3296</v>
      </c>
      <c r="C1070" s="1039">
        <f>Elec.Data!K753</f>
        <v>0</v>
      </c>
      <c r="D1070" s="1040"/>
      <c r="E1070" s="1041"/>
      <c r="F1070" s="1055">
        <f t="shared" si="200"/>
        <v>0</v>
      </c>
      <c r="G1070" s="1042"/>
      <c r="H1070" s="1043">
        <f t="shared" si="201"/>
        <v>0</v>
      </c>
      <c r="I1070" s="1042"/>
      <c r="J1070" s="1043">
        <f t="shared" si="202"/>
        <v>0</v>
      </c>
      <c r="K1070" s="1043"/>
      <c r="L1070" s="1043"/>
      <c r="M1070" s="1042"/>
      <c r="N1070" s="1043">
        <f t="shared" si="203"/>
        <v>0</v>
      </c>
      <c r="O1070" s="1042"/>
      <c r="P1070" s="1043">
        <f t="shared" si="204"/>
        <v>0</v>
      </c>
      <c r="Q1070" s="1042"/>
      <c r="R1070" s="1043">
        <f t="shared" si="205"/>
        <v>0</v>
      </c>
      <c r="S1070" s="1042"/>
      <c r="T1070" s="1043">
        <f t="shared" si="206"/>
        <v>0</v>
      </c>
      <c r="U1070" s="915">
        <f t="shared" si="207"/>
        <v>0</v>
      </c>
      <c r="V1070" s="1043">
        <f t="shared" si="208"/>
        <v>0</v>
      </c>
    </row>
    <row r="1071" spans="1:22" ht="231.75" customHeight="1">
      <c r="A1071" s="1037"/>
      <c r="B1071" s="1045" t="s">
        <v>2801</v>
      </c>
      <c r="C1071" s="1039">
        <f>Elec.Data!K788</f>
        <v>0</v>
      </c>
      <c r="D1071" s="1040"/>
      <c r="E1071" s="1041"/>
      <c r="F1071" s="1055">
        <f t="shared" si="200"/>
        <v>0</v>
      </c>
      <c r="G1071" s="1042"/>
      <c r="H1071" s="1043">
        <f t="shared" si="201"/>
        <v>0</v>
      </c>
      <c r="I1071" s="1042"/>
      <c r="J1071" s="1043">
        <f t="shared" si="202"/>
        <v>0</v>
      </c>
      <c r="K1071" s="1043"/>
      <c r="L1071" s="1043"/>
      <c r="M1071" s="1042"/>
      <c r="N1071" s="1043">
        <f t="shared" si="203"/>
        <v>0</v>
      </c>
      <c r="O1071" s="1042"/>
      <c r="P1071" s="1043">
        <f t="shared" si="204"/>
        <v>0</v>
      </c>
      <c r="Q1071" s="1042"/>
      <c r="R1071" s="1043">
        <f t="shared" si="205"/>
        <v>0</v>
      </c>
      <c r="S1071" s="1042"/>
      <c r="T1071" s="1043">
        <f t="shared" si="206"/>
        <v>0</v>
      </c>
      <c r="U1071" s="915">
        <f t="shared" si="207"/>
        <v>0</v>
      </c>
      <c r="V1071" s="1043">
        <f t="shared" si="208"/>
        <v>0</v>
      </c>
    </row>
    <row r="1072" spans="1:22" ht="231.75" customHeight="1">
      <c r="A1072" s="1037"/>
      <c r="B1072" s="1045" t="s">
        <v>3070</v>
      </c>
      <c r="C1072" s="1039">
        <f>Elec.Data!K819</f>
        <v>0</v>
      </c>
      <c r="D1072" s="1040"/>
      <c r="E1072" s="1041"/>
      <c r="F1072" s="1055">
        <f t="shared" si="200"/>
        <v>0</v>
      </c>
      <c r="G1072" s="1042"/>
      <c r="H1072" s="1043">
        <f t="shared" si="201"/>
        <v>0</v>
      </c>
      <c r="I1072" s="1042"/>
      <c r="J1072" s="1043">
        <f t="shared" si="202"/>
        <v>0</v>
      </c>
      <c r="K1072" s="1043"/>
      <c r="L1072" s="1043"/>
      <c r="M1072" s="1042"/>
      <c r="N1072" s="1043">
        <f t="shared" si="203"/>
        <v>0</v>
      </c>
      <c r="O1072" s="1042"/>
      <c r="P1072" s="1043">
        <f t="shared" si="204"/>
        <v>0</v>
      </c>
      <c r="Q1072" s="1042"/>
      <c r="R1072" s="1043">
        <f t="shared" si="205"/>
        <v>0</v>
      </c>
      <c r="S1072" s="1042"/>
      <c r="T1072" s="1043">
        <f t="shared" si="206"/>
        <v>0</v>
      </c>
      <c r="U1072" s="915">
        <f t="shared" si="207"/>
        <v>0</v>
      </c>
      <c r="V1072" s="1043">
        <f t="shared" si="208"/>
        <v>0</v>
      </c>
    </row>
    <row r="1073" spans="1:22" ht="231.75" customHeight="1">
      <c r="A1073" s="1037"/>
      <c r="B1073" s="1045" t="s">
        <v>1104</v>
      </c>
      <c r="C1073" s="1039">
        <f>Elec.Data!K845</f>
        <v>281.56</v>
      </c>
      <c r="D1073" s="1040"/>
      <c r="E1073" s="1041"/>
      <c r="F1073" s="1055">
        <f t="shared" si="200"/>
        <v>0</v>
      </c>
      <c r="G1073" s="1042"/>
      <c r="H1073" s="1043">
        <f t="shared" si="201"/>
        <v>0</v>
      </c>
      <c r="I1073" s="1042"/>
      <c r="J1073" s="1043">
        <f t="shared" si="202"/>
        <v>0</v>
      </c>
      <c r="K1073" s="1043"/>
      <c r="L1073" s="1043"/>
      <c r="M1073" s="1042"/>
      <c r="N1073" s="1043">
        <f t="shared" si="203"/>
        <v>0</v>
      </c>
      <c r="O1073" s="1042"/>
      <c r="P1073" s="1043">
        <f t="shared" si="204"/>
        <v>0</v>
      </c>
      <c r="Q1073" s="1042"/>
      <c r="R1073" s="1043">
        <f t="shared" si="205"/>
        <v>0</v>
      </c>
      <c r="S1073" s="1042"/>
      <c r="T1073" s="1043">
        <f t="shared" si="206"/>
        <v>0</v>
      </c>
      <c r="U1073" s="915">
        <f t="shared" si="207"/>
        <v>0</v>
      </c>
      <c r="V1073" s="1043">
        <f t="shared" si="208"/>
        <v>0</v>
      </c>
    </row>
    <row r="1074" spans="1:22" ht="231.75" customHeight="1">
      <c r="A1074" s="1037"/>
      <c r="B1074" s="1045" t="s">
        <v>2287</v>
      </c>
      <c r="C1074" s="1039">
        <f>Elec.Data!K863</f>
        <v>99.56</v>
      </c>
      <c r="D1074" s="1040"/>
      <c r="E1074" s="1041"/>
      <c r="F1074" s="1055">
        <f t="shared" si="200"/>
        <v>0</v>
      </c>
      <c r="G1074" s="1042"/>
      <c r="H1074" s="1043">
        <f t="shared" si="201"/>
        <v>0</v>
      </c>
      <c r="I1074" s="1042"/>
      <c r="J1074" s="1043">
        <f t="shared" si="202"/>
        <v>0</v>
      </c>
      <c r="K1074" s="1043"/>
      <c r="L1074" s="1043"/>
      <c r="M1074" s="1042"/>
      <c r="N1074" s="1043">
        <f t="shared" si="203"/>
        <v>0</v>
      </c>
      <c r="O1074" s="1042"/>
      <c r="P1074" s="1043">
        <f t="shared" si="204"/>
        <v>0</v>
      </c>
      <c r="Q1074" s="1042"/>
      <c r="R1074" s="1043">
        <f t="shared" si="205"/>
        <v>0</v>
      </c>
      <c r="S1074" s="1042"/>
      <c r="T1074" s="1043">
        <f t="shared" si="206"/>
        <v>0</v>
      </c>
      <c r="U1074" s="915">
        <f t="shared" si="207"/>
        <v>0</v>
      </c>
      <c r="V1074" s="1043">
        <f t="shared" si="208"/>
        <v>0</v>
      </c>
    </row>
    <row r="1075" spans="1:22" ht="231.75" customHeight="1">
      <c r="A1075" s="1037"/>
      <c r="B1075" s="1045" t="s">
        <v>2617</v>
      </c>
      <c r="C1075" s="1039">
        <f>Elec.Data!K870</f>
        <v>54.47</v>
      </c>
      <c r="D1075" s="1040"/>
      <c r="E1075" s="1041"/>
      <c r="F1075" s="1055">
        <f t="shared" si="200"/>
        <v>0</v>
      </c>
      <c r="G1075" s="1042"/>
      <c r="H1075" s="1043">
        <f t="shared" si="201"/>
        <v>0</v>
      </c>
      <c r="I1075" s="1042"/>
      <c r="J1075" s="1043">
        <f t="shared" si="202"/>
        <v>0</v>
      </c>
      <c r="K1075" s="1043"/>
      <c r="L1075" s="1043"/>
      <c r="M1075" s="1042"/>
      <c r="N1075" s="1043">
        <f t="shared" si="203"/>
        <v>0</v>
      </c>
      <c r="O1075" s="1042"/>
      <c r="P1075" s="1043">
        <f t="shared" si="204"/>
        <v>0</v>
      </c>
      <c r="Q1075" s="1042"/>
      <c r="R1075" s="1043">
        <f t="shared" si="205"/>
        <v>0</v>
      </c>
      <c r="S1075" s="1042"/>
      <c r="T1075" s="1043">
        <f t="shared" si="206"/>
        <v>0</v>
      </c>
      <c r="U1075" s="915">
        <f t="shared" si="207"/>
        <v>0</v>
      </c>
      <c r="V1075" s="1043">
        <f t="shared" si="208"/>
        <v>0</v>
      </c>
    </row>
    <row r="1076" spans="1:22" ht="231.75" customHeight="1">
      <c r="A1076" s="1037"/>
      <c r="B1076" s="1045" t="s">
        <v>2288</v>
      </c>
      <c r="C1076" s="1039">
        <f>Elec.Data!K895</f>
        <v>7349.5</v>
      </c>
      <c r="D1076" s="1040"/>
      <c r="E1076" s="1041"/>
      <c r="F1076" s="1055">
        <f t="shared" si="200"/>
        <v>0</v>
      </c>
      <c r="G1076" s="1042"/>
      <c r="H1076" s="1043">
        <f t="shared" si="201"/>
        <v>0</v>
      </c>
      <c r="I1076" s="1042"/>
      <c r="J1076" s="1043">
        <f t="shared" si="202"/>
        <v>0</v>
      </c>
      <c r="K1076" s="1043"/>
      <c r="L1076" s="1043"/>
      <c r="M1076" s="1042"/>
      <c r="N1076" s="1043">
        <f t="shared" si="203"/>
        <v>0</v>
      </c>
      <c r="O1076" s="1042"/>
      <c r="P1076" s="1043">
        <f t="shared" si="204"/>
        <v>0</v>
      </c>
      <c r="Q1076" s="1042"/>
      <c r="R1076" s="1043">
        <f t="shared" si="205"/>
        <v>0</v>
      </c>
      <c r="S1076" s="1042"/>
      <c r="T1076" s="1043">
        <f t="shared" si="206"/>
        <v>0</v>
      </c>
      <c r="U1076" s="915">
        <f t="shared" si="207"/>
        <v>0</v>
      </c>
      <c r="V1076" s="1043">
        <f t="shared" si="208"/>
        <v>0</v>
      </c>
    </row>
    <row r="1077" spans="1:22" ht="231.75" customHeight="1">
      <c r="A1077" s="1037"/>
      <c r="B1077" s="1045" t="s">
        <v>2421</v>
      </c>
      <c r="C1077" s="1039">
        <f>Elec.Data!K942</f>
        <v>623.42999999999995</v>
      </c>
      <c r="D1077" s="1040"/>
      <c r="E1077" s="1041"/>
      <c r="F1077" s="1055">
        <f t="shared" si="200"/>
        <v>0</v>
      </c>
      <c r="G1077" s="1042"/>
      <c r="H1077" s="1043">
        <f t="shared" si="201"/>
        <v>0</v>
      </c>
      <c r="I1077" s="1042"/>
      <c r="J1077" s="1043">
        <f t="shared" si="202"/>
        <v>0</v>
      </c>
      <c r="K1077" s="1043"/>
      <c r="L1077" s="1043"/>
      <c r="M1077" s="1042"/>
      <c r="N1077" s="1043">
        <f t="shared" si="203"/>
        <v>0</v>
      </c>
      <c r="O1077" s="1042"/>
      <c r="P1077" s="1043">
        <f t="shared" si="204"/>
        <v>0</v>
      </c>
      <c r="Q1077" s="1042"/>
      <c r="R1077" s="1043">
        <f t="shared" si="205"/>
        <v>0</v>
      </c>
      <c r="S1077" s="1042"/>
      <c r="T1077" s="1043">
        <f t="shared" si="206"/>
        <v>0</v>
      </c>
      <c r="U1077" s="915">
        <f t="shared" si="207"/>
        <v>0</v>
      </c>
      <c r="V1077" s="1043">
        <f t="shared" si="208"/>
        <v>0</v>
      </c>
    </row>
    <row r="1078" spans="1:22" ht="231.75" customHeight="1">
      <c r="A1078" s="1037"/>
      <c r="B1078" s="1046" t="s">
        <v>6708</v>
      </c>
      <c r="C1078" s="1039">
        <f>Elec.Data!K992</f>
        <v>921.2</v>
      </c>
      <c r="D1078" s="1040"/>
      <c r="E1078" s="1041"/>
      <c r="F1078" s="1055">
        <f t="shared" si="200"/>
        <v>0</v>
      </c>
      <c r="G1078" s="1042"/>
      <c r="H1078" s="1043">
        <f t="shared" si="201"/>
        <v>0</v>
      </c>
      <c r="I1078" s="1042"/>
      <c r="J1078" s="1043">
        <f t="shared" si="202"/>
        <v>0</v>
      </c>
      <c r="K1078" s="1043"/>
      <c r="L1078" s="1043"/>
      <c r="M1078" s="1042"/>
      <c r="N1078" s="1043">
        <f t="shared" si="203"/>
        <v>0</v>
      </c>
      <c r="O1078" s="1042"/>
      <c r="P1078" s="1043">
        <f t="shared" si="204"/>
        <v>0</v>
      </c>
      <c r="Q1078" s="1042"/>
      <c r="R1078" s="1043">
        <f t="shared" si="205"/>
        <v>0</v>
      </c>
      <c r="S1078" s="1042"/>
      <c r="T1078" s="1043">
        <f t="shared" si="206"/>
        <v>0</v>
      </c>
      <c r="U1078" s="915">
        <f t="shared" si="207"/>
        <v>0</v>
      </c>
      <c r="V1078" s="1043">
        <f t="shared" si="208"/>
        <v>0</v>
      </c>
    </row>
    <row r="1079" spans="1:22" ht="231.75" customHeight="1">
      <c r="A1079" s="1037"/>
      <c r="B1079" s="1045" t="s">
        <v>6709</v>
      </c>
      <c r="C1079" s="1039">
        <f>Elec.Data!K1018</f>
        <v>923.2</v>
      </c>
      <c r="D1079" s="1040"/>
      <c r="E1079" s="1041"/>
      <c r="F1079" s="1055">
        <f t="shared" si="200"/>
        <v>0</v>
      </c>
      <c r="G1079" s="1042"/>
      <c r="H1079" s="1043">
        <f t="shared" si="201"/>
        <v>0</v>
      </c>
      <c r="I1079" s="1042"/>
      <c r="J1079" s="1043">
        <f t="shared" si="202"/>
        <v>0</v>
      </c>
      <c r="K1079" s="1043"/>
      <c r="L1079" s="1043"/>
      <c r="M1079" s="1042"/>
      <c r="N1079" s="1043">
        <f t="shared" si="203"/>
        <v>0</v>
      </c>
      <c r="O1079" s="1042"/>
      <c r="P1079" s="1043">
        <f t="shared" si="204"/>
        <v>0</v>
      </c>
      <c r="Q1079" s="1042"/>
      <c r="R1079" s="1043">
        <f t="shared" si="205"/>
        <v>0</v>
      </c>
      <c r="S1079" s="1042"/>
      <c r="T1079" s="1043">
        <f t="shared" si="206"/>
        <v>0</v>
      </c>
      <c r="U1079" s="915">
        <f t="shared" si="207"/>
        <v>0</v>
      </c>
      <c r="V1079" s="1043">
        <f t="shared" si="208"/>
        <v>0</v>
      </c>
    </row>
    <row r="1080" spans="1:22" ht="231.75" customHeight="1">
      <c r="A1080" s="1037"/>
      <c r="B1080" s="1046" t="s">
        <v>6710</v>
      </c>
      <c r="C1080" s="1039">
        <f>Elec.Data!K1034</f>
        <v>961.2</v>
      </c>
      <c r="D1080" s="1040"/>
      <c r="E1080" s="1041"/>
      <c r="F1080" s="1055">
        <f t="shared" si="200"/>
        <v>0</v>
      </c>
      <c r="G1080" s="1042"/>
      <c r="H1080" s="1043">
        <f t="shared" si="201"/>
        <v>0</v>
      </c>
      <c r="I1080" s="1042"/>
      <c r="J1080" s="1043">
        <f t="shared" si="202"/>
        <v>0</v>
      </c>
      <c r="K1080" s="1043"/>
      <c r="L1080" s="1043"/>
      <c r="M1080" s="1042"/>
      <c r="N1080" s="1043">
        <f t="shared" si="203"/>
        <v>0</v>
      </c>
      <c r="O1080" s="1042"/>
      <c r="P1080" s="1043">
        <f t="shared" si="204"/>
        <v>0</v>
      </c>
      <c r="Q1080" s="1042"/>
      <c r="R1080" s="1043">
        <f t="shared" si="205"/>
        <v>0</v>
      </c>
      <c r="S1080" s="1042"/>
      <c r="T1080" s="1043">
        <f t="shared" si="206"/>
        <v>0</v>
      </c>
      <c r="U1080" s="915">
        <f t="shared" si="207"/>
        <v>0</v>
      </c>
      <c r="V1080" s="1043">
        <f t="shared" si="208"/>
        <v>0</v>
      </c>
    </row>
    <row r="1081" spans="1:22" ht="231.75" customHeight="1">
      <c r="A1081" s="1037"/>
      <c r="B1081" s="1046" t="s">
        <v>6711</v>
      </c>
      <c r="C1081" s="1039">
        <f>Elec.Data!K1056</f>
        <v>1008.2</v>
      </c>
      <c r="D1081" s="1040"/>
      <c r="E1081" s="1041"/>
      <c r="F1081" s="1055">
        <f t="shared" si="200"/>
        <v>0</v>
      </c>
      <c r="G1081" s="1042"/>
      <c r="H1081" s="1043">
        <f t="shared" si="201"/>
        <v>0</v>
      </c>
      <c r="I1081" s="1042"/>
      <c r="J1081" s="1043">
        <f t="shared" si="202"/>
        <v>0</v>
      </c>
      <c r="K1081" s="1043"/>
      <c r="L1081" s="1043"/>
      <c r="M1081" s="1042"/>
      <c r="N1081" s="1043">
        <f t="shared" si="203"/>
        <v>0</v>
      </c>
      <c r="O1081" s="1042"/>
      <c r="P1081" s="1043">
        <f t="shared" si="204"/>
        <v>0</v>
      </c>
      <c r="Q1081" s="1042"/>
      <c r="R1081" s="1043">
        <f t="shared" si="205"/>
        <v>0</v>
      </c>
      <c r="S1081" s="1042"/>
      <c r="T1081" s="1043">
        <f t="shared" si="206"/>
        <v>0</v>
      </c>
      <c r="U1081" s="915">
        <f t="shared" si="207"/>
        <v>0</v>
      </c>
      <c r="V1081" s="1043">
        <f t="shared" si="208"/>
        <v>0</v>
      </c>
    </row>
    <row r="1082" spans="1:22" ht="231.75" customHeight="1">
      <c r="A1082" s="1037"/>
      <c r="B1082" s="1046" t="s">
        <v>6712</v>
      </c>
      <c r="C1082" s="1039">
        <f>Elec.Data!K1076</f>
        <v>2206.1</v>
      </c>
      <c r="D1082" s="1040"/>
      <c r="E1082" s="1041"/>
      <c r="F1082" s="1055">
        <f t="shared" si="200"/>
        <v>0</v>
      </c>
      <c r="G1082" s="1042"/>
      <c r="H1082" s="1043">
        <f t="shared" si="201"/>
        <v>0</v>
      </c>
      <c r="I1082" s="1042"/>
      <c r="J1082" s="1043">
        <f t="shared" si="202"/>
        <v>0</v>
      </c>
      <c r="K1082" s="1043"/>
      <c r="L1082" s="1043"/>
      <c r="M1082" s="1042"/>
      <c r="N1082" s="1043">
        <f t="shared" si="203"/>
        <v>0</v>
      </c>
      <c r="O1082" s="1042"/>
      <c r="P1082" s="1043">
        <f t="shared" si="204"/>
        <v>0</v>
      </c>
      <c r="Q1082" s="1042"/>
      <c r="R1082" s="1043">
        <f t="shared" si="205"/>
        <v>0</v>
      </c>
      <c r="S1082" s="1042"/>
      <c r="T1082" s="1043">
        <f t="shared" si="206"/>
        <v>0</v>
      </c>
      <c r="U1082" s="915">
        <f t="shared" si="207"/>
        <v>0</v>
      </c>
      <c r="V1082" s="1043">
        <f t="shared" si="208"/>
        <v>0</v>
      </c>
    </row>
    <row r="1083" spans="1:22" ht="231.75" customHeight="1">
      <c r="A1083" s="1037"/>
      <c r="B1083" s="1046" t="s">
        <v>6713</v>
      </c>
      <c r="C1083" s="1039">
        <f>Elec.Data!K1095</f>
        <v>707.47</v>
      </c>
      <c r="D1083" s="1040"/>
      <c r="E1083" s="1041"/>
      <c r="F1083" s="1055">
        <f t="shared" si="200"/>
        <v>0</v>
      </c>
      <c r="G1083" s="1042"/>
      <c r="H1083" s="1043">
        <f t="shared" si="201"/>
        <v>0</v>
      </c>
      <c r="I1083" s="1042"/>
      <c r="J1083" s="1043">
        <f t="shared" si="202"/>
        <v>0</v>
      </c>
      <c r="K1083" s="1043"/>
      <c r="L1083" s="1043"/>
      <c r="M1083" s="1042"/>
      <c r="N1083" s="1043">
        <f t="shared" si="203"/>
        <v>0</v>
      </c>
      <c r="O1083" s="1042"/>
      <c r="P1083" s="1043">
        <f t="shared" si="204"/>
        <v>0</v>
      </c>
      <c r="Q1083" s="1042"/>
      <c r="R1083" s="1043">
        <f t="shared" si="205"/>
        <v>0</v>
      </c>
      <c r="S1083" s="1042"/>
      <c r="T1083" s="1043">
        <f t="shared" si="206"/>
        <v>0</v>
      </c>
      <c r="U1083" s="915">
        <f t="shared" si="207"/>
        <v>0</v>
      </c>
      <c r="V1083" s="1043">
        <f t="shared" si="208"/>
        <v>0</v>
      </c>
    </row>
    <row r="1084" spans="1:22" ht="231.75" customHeight="1">
      <c r="A1084" s="1037"/>
      <c r="B1084" s="1046" t="s">
        <v>6714</v>
      </c>
      <c r="C1084" s="1039">
        <f>Elec.Data!K1119</f>
        <v>131.16</v>
      </c>
      <c r="D1084" s="1040"/>
      <c r="E1084" s="1041"/>
      <c r="F1084" s="1055">
        <f t="shared" si="200"/>
        <v>0</v>
      </c>
      <c r="G1084" s="1042"/>
      <c r="H1084" s="1043">
        <f t="shared" si="201"/>
        <v>0</v>
      </c>
      <c r="I1084" s="1042"/>
      <c r="J1084" s="1043">
        <f t="shared" si="202"/>
        <v>0</v>
      </c>
      <c r="K1084" s="1043"/>
      <c r="L1084" s="1043"/>
      <c r="M1084" s="1042"/>
      <c r="N1084" s="1043">
        <f t="shared" si="203"/>
        <v>0</v>
      </c>
      <c r="O1084" s="1042"/>
      <c r="P1084" s="1043">
        <f t="shared" si="204"/>
        <v>0</v>
      </c>
      <c r="Q1084" s="1042"/>
      <c r="R1084" s="1043">
        <f t="shared" si="205"/>
        <v>0</v>
      </c>
      <c r="S1084" s="1042"/>
      <c r="T1084" s="1043">
        <f t="shared" si="206"/>
        <v>0</v>
      </c>
      <c r="U1084" s="915">
        <f t="shared" si="207"/>
        <v>0</v>
      </c>
      <c r="V1084" s="1043">
        <f t="shared" si="208"/>
        <v>0</v>
      </c>
    </row>
    <row r="1085" spans="1:22" ht="231.75" customHeight="1">
      <c r="A1085" s="1037"/>
      <c r="B1085" s="1045" t="s">
        <v>6715</v>
      </c>
      <c r="C1085" s="1039">
        <f>Elec.Data!K1130</f>
        <v>149.56</v>
      </c>
      <c r="D1085" s="1040"/>
      <c r="E1085" s="1041"/>
      <c r="F1085" s="1055">
        <f t="shared" si="200"/>
        <v>0</v>
      </c>
      <c r="G1085" s="1042"/>
      <c r="H1085" s="1043">
        <f t="shared" si="201"/>
        <v>0</v>
      </c>
      <c r="I1085" s="1042"/>
      <c r="J1085" s="1043">
        <f t="shared" si="202"/>
        <v>0</v>
      </c>
      <c r="K1085" s="1043"/>
      <c r="L1085" s="1043"/>
      <c r="M1085" s="1042"/>
      <c r="N1085" s="1043">
        <f t="shared" si="203"/>
        <v>0</v>
      </c>
      <c r="O1085" s="1042"/>
      <c r="P1085" s="1043">
        <f t="shared" si="204"/>
        <v>0</v>
      </c>
      <c r="Q1085" s="1042"/>
      <c r="R1085" s="1043">
        <f t="shared" si="205"/>
        <v>0</v>
      </c>
      <c r="S1085" s="1042"/>
      <c r="T1085" s="1043">
        <f t="shared" si="206"/>
        <v>0</v>
      </c>
      <c r="U1085" s="915">
        <f t="shared" si="207"/>
        <v>0</v>
      </c>
      <c r="V1085" s="1043">
        <f t="shared" si="208"/>
        <v>0</v>
      </c>
    </row>
    <row r="1086" spans="1:22" ht="231.75" customHeight="1">
      <c r="A1086" s="1037"/>
      <c r="B1086" s="1045" t="s">
        <v>2873</v>
      </c>
      <c r="C1086" s="1039">
        <f>DATA!R384</f>
        <v>23.04</v>
      </c>
      <c r="D1086" s="1040"/>
      <c r="E1086" s="1041"/>
      <c r="F1086" s="1055">
        <f t="shared" si="200"/>
        <v>0</v>
      </c>
      <c r="G1086" s="1042"/>
      <c r="H1086" s="1043">
        <f t="shared" si="201"/>
        <v>0</v>
      </c>
      <c r="I1086" s="1042"/>
      <c r="J1086" s="1043">
        <f t="shared" si="202"/>
        <v>0</v>
      </c>
      <c r="K1086" s="1043"/>
      <c r="L1086" s="1043"/>
      <c r="M1086" s="1042"/>
      <c r="N1086" s="1043">
        <f t="shared" si="203"/>
        <v>0</v>
      </c>
      <c r="O1086" s="1042"/>
      <c r="P1086" s="1043">
        <f t="shared" si="204"/>
        <v>0</v>
      </c>
      <c r="Q1086" s="1042"/>
      <c r="R1086" s="1043">
        <f t="shared" si="205"/>
        <v>0</v>
      </c>
      <c r="S1086" s="1042"/>
      <c r="T1086" s="1043">
        <f t="shared" si="206"/>
        <v>0</v>
      </c>
      <c r="U1086" s="915">
        <f t="shared" si="207"/>
        <v>0</v>
      </c>
      <c r="V1086" s="1043">
        <f t="shared" si="208"/>
        <v>0</v>
      </c>
    </row>
    <row r="1087" spans="1:22" ht="231.75" customHeight="1">
      <c r="A1087" s="1037"/>
      <c r="B1087" s="1045" t="s">
        <v>550</v>
      </c>
      <c r="C1087" s="1039">
        <f>C1086+C1089</f>
        <v>27.24</v>
      </c>
      <c r="D1087" s="1040"/>
      <c r="E1087" s="1041"/>
      <c r="F1087" s="1055">
        <f t="shared" si="200"/>
        <v>0</v>
      </c>
      <c r="G1087" s="1042"/>
      <c r="H1087" s="1043">
        <f t="shared" si="201"/>
        <v>0</v>
      </c>
      <c r="I1087" s="1042"/>
      <c r="J1087" s="1043">
        <f t="shared" si="202"/>
        <v>0</v>
      </c>
      <c r="K1087" s="1043"/>
      <c r="L1087" s="1043"/>
      <c r="M1087" s="1042"/>
      <c r="N1087" s="1043">
        <f t="shared" si="203"/>
        <v>0</v>
      </c>
      <c r="O1087" s="1042"/>
      <c r="P1087" s="1043">
        <f t="shared" si="204"/>
        <v>0</v>
      </c>
      <c r="Q1087" s="1042"/>
      <c r="R1087" s="1043">
        <f t="shared" si="205"/>
        <v>0</v>
      </c>
      <c r="S1087" s="1042"/>
      <c r="T1087" s="1043">
        <f t="shared" si="206"/>
        <v>0</v>
      </c>
      <c r="U1087" s="915">
        <f t="shared" si="207"/>
        <v>0</v>
      </c>
      <c r="V1087" s="1043">
        <f t="shared" si="208"/>
        <v>0</v>
      </c>
    </row>
    <row r="1088" spans="1:22" ht="231.75" customHeight="1">
      <c r="A1088" s="1037"/>
      <c r="B1088" s="1045" t="s">
        <v>5735</v>
      </c>
      <c r="C1088" s="1039">
        <f>DATA!R398</f>
        <v>33.549999999999997</v>
      </c>
      <c r="D1088" s="1040"/>
      <c r="E1088" s="1041"/>
      <c r="F1088" s="1055">
        <f t="shared" si="200"/>
        <v>0</v>
      </c>
      <c r="G1088" s="1042"/>
      <c r="H1088" s="1043">
        <f t="shared" si="201"/>
        <v>0</v>
      </c>
      <c r="I1088" s="1042"/>
      <c r="J1088" s="1043">
        <f t="shared" si="202"/>
        <v>0</v>
      </c>
      <c r="K1088" s="1043"/>
      <c r="L1088" s="1043"/>
      <c r="M1088" s="1042"/>
      <c r="N1088" s="1043">
        <f t="shared" si="203"/>
        <v>0</v>
      </c>
      <c r="O1088" s="1042"/>
      <c r="P1088" s="1043">
        <f t="shared" si="204"/>
        <v>0</v>
      </c>
      <c r="Q1088" s="1042"/>
      <c r="R1088" s="1043">
        <f t="shared" si="205"/>
        <v>0</v>
      </c>
      <c r="S1088" s="1042"/>
      <c r="T1088" s="1043">
        <f t="shared" si="206"/>
        <v>0</v>
      </c>
      <c r="U1088" s="915">
        <f t="shared" si="207"/>
        <v>0</v>
      </c>
      <c r="V1088" s="1043">
        <f t="shared" si="208"/>
        <v>0</v>
      </c>
    </row>
    <row r="1089" spans="1:22" ht="231.75" customHeight="1">
      <c r="A1089" s="1037"/>
      <c r="B1089" s="1045" t="s">
        <v>2874</v>
      </c>
      <c r="C1089" s="1039">
        <f>DATA!I3172</f>
        <v>4.2</v>
      </c>
      <c r="D1089" s="1040"/>
      <c r="E1089" s="1041"/>
      <c r="F1089" s="1055">
        <f t="shared" si="200"/>
        <v>0</v>
      </c>
      <c r="G1089" s="1042"/>
      <c r="H1089" s="1043">
        <f t="shared" si="201"/>
        <v>0</v>
      </c>
      <c r="I1089" s="1042"/>
      <c r="J1089" s="1043">
        <f t="shared" si="202"/>
        <v>0</v>
      </c>
      <c r="K1089" s="1043"/>
      <c r="L1089" s="1043"/>
      <c r="M1089" s="1042"/>
      <c r="N1089" s="1043">
        <f t="shared" si="203"/>
        <v>0</v>
      </c>
      <c r="O1089" s="1042"/>
      <c r="P1089" s="1043">
        <f t="shared" si="204"/>
        <v>0</v>
      </c>
      <c r="Q1089" s="1042"/>
      <c r="R1089" s="1043">
        <f t="shared" si="205"/>
        <v>0</v>
      </c>
      <c r="S1089" s="1042"/>
      <c r="T1089" s="1043">
        <f t="shared" si="206"/>
        <v>0</v>
      </c>
      <c r="U1089" s="915">
        <f t="shared" si="207"/>
        <v>0</v>
      </c>
      <c r="V1089" s="1043">
        <f t="shared" si="208"/>
        <v>0</v>
      </c>
    </row>
    <row r="1090" spans="1:22" ht="231.75" customHeight="1">
      <c r="A1090" s="1037"/>
      <c r="B1090" s="1045" t="s">
        <v>2875</v>
      </c>
      <c r="C1090" s="1039">
        <f>DATA!I3198</f>
        <v>9.1</v>
      </c>
      <c r="D1090" s="1040"/>
      <c r="E1090" s="1041"/>
      <c r="F1090" s="1055">
        <f t="shared" si="200"/>
        <v>0</v>
      </c>
      <c r="G1090" s="1042"/>
      <c r="H1090" s="1043">
        <f t="shared" si="201"/>
        <v>0</v>
      </c>
      <c r="I1090" s="1042"/>
      <c r="J1090" s="1043">
        <f t="shared" si="202"/>
        <v>0</v>
      </c>
      <c r="K1090" s="1043"/>
      <c r="L1090" s="1043"/>
      <c r="M1090" s="1042"/>
      <c r="N1090" s="1043">
        <f t="shared" si="203"/>
        <v>0</v>
      </c>
      <c r="O1090" s="1042"/>
      <c r="P1090" s="1043">
        <f t="shared" si="204"/>
        <v>0</v>
      </c>
      <c r="Q1090" s="1042"/>
      <c r="R1090" s="1043">
        <f t="shared" si="205"/>
        <v>0</v>
      </c>
      <c r="S1090" s="1042"/>
      <c r="T1090" s="1043">
        <f t="shared" si="206"/>
        <v>0</v>
      </c>
      <c r="U1090" s="915">
        <f t="shared" si="207"/>
        <v>0</v>
      </c>
      <c r="V1090" s="1043">
        <f t="shared" si="208"/>
        <v>0</v>
      </c>
    </row>
    <row r="1091" spans="1:22" ht="231.75" customHeight="1">
      <c r="A1091" s="1037"/>
      <c r="B1091" s="1045" t="s">
        <v>2876</v>
      </c>
      <c r="C1091" s="1039">
        <f>DATA!I3212</f>
        <v>9.85</v>
      </c>
      <c r="D1091" s="1040"/>
      <c r="E1091" s="1041"/>
      <c r="F1091" s="1055">
        <f t="shared" si="200"/>
        <v>0</v>
      </c>
      <c r="G1091" s="1042"/>
      <c r="H1091" s="1043">
        <f t="shared" si="201"/>
        <v>0</v>
      </c>
      <c r="I1091" s="1042"/>
      <c r="J1091" s="1043">
        <f t="shared" si="202"/>
        <v>0</v>
      </c>
      <c r="K1091" s="1043"/>
      <c r="L1091" s="1043"/>
      <c r="M1091" s="1042"/>
      <c r="N1091" s="1043">
        <f t="shared" si="203"/>
        <v>0</v>
      </c>
      <c r="O1091" s="1042"/>
      <c r="P1091" s="1043">
        <f t="shared" si="204"/>
        <v>0</v>
      </c>
      <c r="Q1091" s="1042"/>
      <c r="R1091" s="1043">
        <f t="shared" si="205"/>
        <v>0</v>
      </c>
      <c r="S1091" s="1042"/>
      <c r="T1091" s="1043">
        <f t="shared" si="206"/>
        <v>0</v>
      </c>
      <c r="U1091" s="915">
        <f t="shared" si="207"/>
        <v>0</v>
      </c>
      <c r="V1091" s="1043">
        <f t="shared" si="208"/>
        <v>0</v>
      </c>
    </row>
    <row r="1092" spans="1:22" ht="231.75" customHeight="1">
      <c r="A1092" s="1037"/>
      <c r="B1092" s="1045" t="s">
        <v>2870</v>
      </c>
      <c r="C1092" s="1039">
        <f>DATA!K3188</f>
        <v>70.89</v>
      </c>
      <c r="D1092" s="1040"/>
      <c r="E1092" s="1041"/>
      <c r="F1092" s="1055">
        <f t="shared" si="200"/>
        <v>0</v>
      </c>
      <c r="G1092" s="1042"/>
      <c r="H1092" s="1043">
        <f t="shared" si="201"/>
        <v>0</v>
      </c>
      <c r="I1092" s="1042"/>
      <c r="J1092" s="1043">
        <f t="shared" si="202"/>
        <v>0</v>
      </c>
      <c r="K1092" s="1043"/>
      <c r="L1092" s="1043"/>
      <c r="M1092" s="1042"/>
      <c r="N1092" s="1043">
        <f t="shared" si="203"/>
        <v>0</v>
      </c>
      <c r="O1092" s="1042"/>
      <c r="P1092" s="1043">
        <f t="shared" si="204"/>
        <v>0</v>
      </c>
      <c r="Q1092" s="1042"/>
      <c r="R1092" s="1043">
        <f t="shared" si="205"/>
        <v>0</v>
      </c>
      <c r="S1092" s="1042"/>
      <c r="T1092" s="1043">
        <f t="shared" si="206"/>
        <v>0</v>
      </c>
      <c r="U1092" s="915">
        <f t="shared" si="207"/>
        <v>0</v>
      </c>
      <c r="V1092" s="1043">
        <f t="shared" si="208"/>
        <v>0</v>
      </c>
    </row>
    <row r="1093" spans="1:22" ht="231.75" customHeight="1">
      <c r="A1093" s="1037"/>
      <c r="B1093" s="1045" t="s">
        <v>2871</v>
      </c>
      <c r="C1093" s="1039">
        <f>DATA!K3175</f>
        <v>135.6</v>
      </c>
      <c r="D1093" s="1040"/>
      <c r="E1093" s="1041"/>
      <c r="F1093" s="1055">
        <f t="shared" si="200"/>
        <v>0</v>
      </c>
      <c r="G1093" s="1042"/>
      <c r="H1093" s="1043">
        <f t="shared" si="201"/>
        <v>0</v>
      </c>
      <c r="I1093" s="1042"/>
      <c r="J1093" s="1043">
        <f t="shared" si="202"/>
        <v>0</v>
      </c>
      <c r="K1093" s="1043"/>
      <c r="L1093" s="1043"/>
      <c r="M1093" s="1042"/>
      <c r="N1093" s="1043">
        <f t="shared" si="203"/>
        <v>0</v>
      </c>
      <c r="O1093" s="1042"/>
      <c r="P1093" s="1043">
        <f t="shared" si="204"/>
        <v>0</v>
      </c>
      <c r="Q1093" s="1042"/>
      <c r="R1093" s="1043">
        <f t="shared" si="205"/>
        <v>0</v>
      </c>
      <c r="S1093" s="1042"/>
      <c r="T1093" s="1043">
        <f t="shared" si="206"/>
        <v>0</v>
      </c>
      <c r="U1093" s="915">
        <f t="shared" si="207"/>
        <v>0</v>
      </c>
      <c r="V1093" s="1043">
        <f t="shared" si="208"/>
        <v>0</v>
      </c>
    </row>
    <row r="1094" spans="1:22" ht="231.75" customHeight="1">
      <c r="A1094" s="1037"/>
      <c r="B1094" s="923" t="s">
        <v>5738</v>
      </c>
      <c r="C1094" s="1039">
        <f>DATA!K3202</f>
        <v>90.43</v>
      </c>
      <c r="D1094" s="1040"/>
      <c r="E1094" s="1041"/>
      <c r="F1094" s="1055">
        <f t="shared" si="200"/>
        <v>0</v>
      </c>
      <c r="G1094" s="1042"/>
      <c r="H1094" s="1043">
        <f t="shared" si="201"/>
        <v>0</v>
      </c>
      <c r="I1094" s="1042"/>
      <c r="J1094" s="1043">
        <f t="shared" si="202"/>
        <v>0</v>
      </c>
      <c r="K1094" s="1043"/>
      <c r="L1094" s="1043"/>
      <c r="M1094" s="1042"/>
      <c r="N1094" s="1043">
        <f t="shared" si="203"/>
        <v>0</v>
      </c>
      <c r="O1094" s="1042"/>
      <c r="P1094" s="1043">
        <f t="shared" si="204"/>
        <v>0</v>
      </c>
      <c r="Q1094" s="1042"/>
      <c r="R1094" s="1043">
        <f t="shared" si="205"/>
        <v>0</v>
      </c>
      <c r="S1094" s="1042"/>
      <c r="T1094" s="1043">
        <f t="shared" si="206"/>
        <v>0</v>
      </c>
      <c r="U1094" s="915">
        <f t="shared" si="207"/>
        <v>0</v>
      </c>
      <c r="V1094" s="1043">
        <f t="shared" si="208"/>
        <v>0</v>
      </c>
    </row>
    <row r="1095" spans="1:22" ht="231.75" customHeight="1">
      <c r="A1095" s="1037"/>
      <c r="B1095" s="923" t="s">
        <v>5777</v>
      </c>
      <c r="C1095" s="1039">
        <f>DATA!K3247</f>
        <v>139.97999999999999</v>
      </c>
      <c r="D1095" s="1040"/>
      <c r="E1095" s="1041"/>
      <c r="F1095" s="1055">
        <f t="shared" si="200"/>
        <v>0</v>
      </c>
      <c r="G1095" s="1042"/>
      <c r="H1095" s="1043">
        <f t="shared" si="201"/>
        <v>0</v>
      </c>
      <c r="I1095" s="1042"/>
      <c r="J1095" s="1043">
        <f t="shared" si="202"/>
        <v>0</v>
      </c>
      <c r="K1095" s="1043"/>
      <c r="L1095" s="1043"/>
      <c r="M1095" s="1042"/>
      <c r="N1095" s="1043">
        <f t="shared" si="203"/>
        <v>0</v>
      </c>
      <c r="O1095" s="1042"/>
      <c r="P1095" s="1043">
        <f t="shared" si="204"/>
        <v>0</v>
      </c>
      <c r="Q1095" s="1042"/>
      <c r="R1095" s="1043">
        <f t="shared" si="205"/>
        <v>0</v>
      </c>
      <c r="S1095" s="1042"/>
      <c r="T1095" s="1043">
        <f t="shared" si="206"/>
        <v>0</v>
      </c>
      <c r="U1095" s="915">
        <f t="shared" si="207"/>
        <v>0</v>
      </c>
      <c r="V1095" s="1043">
        <f t="shared" si="208"/>
        <v>0</v>
      </c>
    </row>
    <row r="1096" spans="1:22" ht="231.75" customHeight="1">
      <c r="A1096" s="1037"/>
      <c r="B1096" s="923" t="s">
        <v>5737</v>
      </c>
      <c r="C1096" s="1039">
        <f>DATA!K3216</f>
        <v>97.76</v>
      </c>
      <c r="D1096" s="1040"/>
      <c r="E1096" s="1041"/>
      <c r="F1096" s="1055">
        <f t="shared" si="200"/>
        <v>0</v>
      </c>
      <c r="G1096" s="1042"/>
      <c r="H1096" s="1043">
        <f t="shared" si="201"/>
        <v>0</v>
      </c>
      <c r="I1096" s="1042"/>
      <c r="J1096" s="1043">
        <f t="shared" si="202"/>
        <v>0</v>
      </c>
      <c r="K1096" s="1043"/>
      <c r="L1096" s="1043"/>
      <c r="M1096" s="1042"/>
      <c r="N1096" s="1043">
        <f t="shared" si="203"/>
        <v>0</v>
      </c>
      <c r="O1096" s="1042"/>
      <c r="P1096" s="1043">
        <f t="shared" si="204"/>
        <v>0</v>
      </c>
      <c r="Q1096" s="1042"/>
      <c r="R1096" s="1043">
        <f t="shared" si="205"/>
        <v>0</v>
      </c>
      <c r="S1096" s="1042"/>
      <c r="T1096" s="1043">
        <f t="shared" si="206"/>
        <v>0</v>
      </c>
      <c r="U1096" s="915">
        <f t="shared" si="207"/>
        <v>0</v>
      </c>
      <c r="V1096" s="1043">
        <f t="shared" si="208"/>
        <v>0</v>
      </c>
    </row>
    <row r="1097" spans="1:22" ht="231.75" customHeight="1">
      <c r="A1097" s="1037"/>
      <c r="B1097" s="923" t="s">
        <v>5779</v>
      </c>
      <c r="C1097" s="1039">
        <f>DATA!K3231</f>
        <v>159.19</v>
      </c>
      <c r="D1097" s="1040"/>
      <c r="E1097" s="1041"/>
      <c r="F1097" s="1055">
        <f t="shared" ref="F1097:F1103" si="209">E1097*C1097</f>
        <v>0</v>
      </c>
      <c r="G1097" s="1042"/>
      <c r="H1097" s="1043">
        <f t="shared" ref="H1097:H1103" si="210">G1097*C1097</f>
        <v>0</v>
      </c>
      <c r="I1097" s="1042"/>
      <c r="J1097" s="1043">
        <f t="shared" ref="J1097:J1103" si="211">I1097*C1097</f>
        <v>0</v>
      </c>
      <c r="K1097" s="1043"/>
      <c r="L1097" s="1043"/>
      <c r="M1097" s="1042"/>
      <c r="N1097" s="1043">
        <f t="shared" ref="N1097:N1103" si="212">M1097*C1097</f>
        <v>0</v>
      </c>
      <c r="O1097" s="1042"/>
      <c r="P1097" s="1043">
        <f t="shared" ref="P1097:P1103" si="213">O1097*C1097</f>
        <v>0</v>
      </c>
      <c r="Q1097" s="1042"/>
      <c r="R1097" s="1043">
        <f t="shared" ref="R1097:R1103" si="214">Q1097*C1097</f>
        <v>0</v>
      </c>
      <c r="S1097" s="1042"/>
      <c r="T1097" s="1043">
        <f t="shared" ref="T1097:T1103" si="215">S1097*C1097</f>
        <v>0</v>
      </c>
      <c r="U1097" s="915">
        <f t="shared" si="207"/>
        <v>0</v>
      </c>
      <c r="V1097" s="1043">
        <f t="shared" si="208"/>
        <v>0</v>
      </c>
    </row>
    <row r="1098" spans="1:22" ht="231.75" customHeight="1">
      <c r="A1098" s="1037"/>
      <c r="B1098" s="923" t="s">
        <v>2872</v>
      </c>
      <c r="C1098" s="1039">
        <f>DATA!K3275</f>
        <v>90.37</v>
      </c>
      <c r="D1098" s="1040"/>
      <c r="E1098" s="1041"/>
      <c r="F1098" s="1055">
        <f t="shared" si="209"/>
        <v>0</v>
      </c>
      <c r="G1098" s="1042"/>
      <c r="H1098" s="1043">
        <f t="shared" si="210"/>
        <v>0</v>
      </c>
      <c r="I1098" s="1042"/>
      <c r="J1098" s="1043">
        <f t="shared" si="211"/>
        <v>0</v>
      </c>
      <c r="K1098" s="1043"/>
      <c r="L1098" s="1043"/>
      <c r="M1098" s="1042"/>
      <c r="N1098" s="1043">
        <f t="shared" si="212"/>
        <v>0</v>
      </c>
      <c r="O1098" s="1042"/>
      <c r="P1098" s="1043">
        <f t="shared" si="213"/>
        <v>0</v>
      </c>
      <c r="Q1098" s="1042"/>
      <c r="R1098" s="1043">
        <f t="shared" si="214"/>
        <v>0</v>
      </c>
      <c r="S1098" s="1042"/>
      <c r="T1098" s="1043">
        <f t="shared" si="215"/>
        <v>0</v>
      </c>
      <c r="U1098" s="915">
        <f t="shared" si="207"/>
        <v>0</v>
      </c>
      <c r="V1098" s="1043">
        <f t="shared" si="208"/>
        <v>0</v>
      </c>
    </row>
    <row r="1099" spans="1:22" ht="231.75" customHeight="1">
      <c r="A1099" s="1037"/>
      <c r="B1099" s="923" t="s">
        <v>5736</v>
      </c>
      <c r="C1099" s="1039">
        <f>DATA!K3358</f>
        <v>165.57</v>
      </c>
      <c r="D1099" s="1040"/>
      <c r="E1099" s="1041"/>
      <c r="F1099" s="1055">
        <f t="shared" si="209"/>
        <v>0</v>
      </c>
      <c r="G1099" s="1042"/>
      <c r="H1099" s="1043">
        <f t="shared" si="210"/>
        <v>0</v>
      </c>
      <c r="I1099" s="1042"/>
      <c r="J1099" s="1043">
        <f t="shared" si="211"/>
        <v>0</v>
      </c>
      <c r="K1099" s="1043"/>
      <c r="L1099" s="1043"/>
      <c r="M1099" s="1042"/>
      <c r="N1099" s="1043">
        <f t="shared" si="212"/>
        <v>0</v>
      </c>
      <c r="O1099" s="1042"/>
      <c r="P1099" s="1043">
        <f t="shared" si="213"/>
        <v>0</v>
      </c>
      <c r="Q1099" s="1042"/>
      <c r="R1099" s="1043">
        <f t="shared" si="214"/>
        <v>0</v>
      </c>
      <c r="S1099" s="1042"/>
      <c r="T1099" s="1043">
        <f t="shared" si="215"/>
        <v>0</v>
      </c>
      <c r="U1099" s="915">
        <f t="shared" si="207"/>
        <v>0</v>
      </c>
      <c r="V1099" s="1043">
        <f t="shared" si="208"/>
        <v>0</v>
      </c>
    </row>
    <row r="1100" spans="1:22" ht="231.75" customHeight="1">
      <c r="A1100" s="1037"/>
      <c r="B1100" s="923" t="s">
        <v>5034</v>
      </c>
      <c r="C1100" s="1039">
        <f>DATA!K3371</f>
        <v>83.8</v>
      </c>
      <c r="D1100" s="1040"/>
      <c r="E1100" s="1041"/>
      <c r="F1100" s="1055">
        <f t="shared" si="209"/>
        <v>0</v>
      </c>
      <c r="G1100" s="1042"/>
      <c r="H1100" s="1043">
        <f t="shared" si="210"/>
        <v>0</v>
      </c>
      <c r="I1100" s="1042"/>
      <c r="J1100" s="1043">
        <f t="shared" si="211"/>
        <v>0</v>
      </c>
      <c r="K1100" s="1043"/>
      <c r="L1100" s="1043"/>
      <c r="M1100" s="1042"/>
      <c r="N1100" s="1043">
        <f t="shared" si="212"/>
        <v>0</v>
      </c>
      <c r="O1100" s="1042"/>
      <c r="P1100" s="1043">
        <f t="shared" si="213"/>
        <v>0</v>
      </c>
      <c r="Q1100" s="1042"/>
      <c r="R1100" s="1043">
        <f t="shared" si="214"/>
        <v>0</v>
      </c>
      <c r="S1100" s="1042"/>
      <c r="T1100" s="1043">
        <f t="shared" si="215"/>
        <v>0</v>
      </c>
      <c r="U1100" s="915">
        <f t="shared" si="207"/>
        <v>0</v>
      </c>
      <c r="V1100" s="1043">
        <f t="shared" si="208"/>
        <v>0</v>
      </c>
    </row>
    <row r="1101" spans="1:22" ht="231.75" customHeight="1">
      <c r="A1101" s="1037"/>
      <c r="B1101" s="923"/>
      <c r="C1101" s="1039"/>
      <c r="D1101" s="1040"/>
      <c r="E1101" s="1041"/>
      <c r="F1101" s="1055">
        <f t="shared" si="209"/>
        <v>0</v>
      </c>
      <c r="G1101" s="1042"/>
      <c r="H1101" s="1043">
        <f t="shared" si="210"/>
        <v>0</v>
      </c>
      <c r="I1101" s="1042"/>
      <c r="J1101" s="1043">
        <f t="shared" si="211"/>
        <v>0</v>
      </c>
      <c r="K1101" s="1043"/>
      <c r="L1101" s="1043"/>
      <c r="M1101" s="1042"/>
      <c r="N1101" s="1043">
        <f t="shared" si="212"/>
        <v>0</v>
      </c>
      <c r="O1101" s="1042"/>
      <c r="P1101" s="1043">
        <f t="shared" si="213"/>
        <v>0</v>
      </c>
      <c r="Q1101" s="1042"/>
      <c r="R1101" s="1043">
        <f t="shared" si="214"/>
        <v>0</v>
      </c>
      <c r="S1101" s="1042"/>
      <c r="T1101" s="1043">
        <f t="shared" si="215"/>
        <v>0</v>
      </c>
      <c r="U1101" s="915">
        <f t="shared" si="207"/>
        <v>0</v>
      </c>
      <c r="V1101" s="1043">
        <f t="shared" ref="V1101:V1103" si="216">U1101*C1101</f>
        <v>0</v>
      </c>
    </row>
    <row r="1102" spans="1:22" ht="231.75" customHeight="1">
      <c r="A1102" s="1037"/>
      <c r="B1102" s="923"/>
      <c r="C1102" s="1039"/>
      <c r="D1102" s="1040"/>
      <c r="E1102" s="1041"/>
      <c r="F1102" s="1055">
        <f t="shared" si="209"/>
        <v>0</v>
      </c>
      <c r="G1102" s="1042"/>
      <c r="H1102" s="1043">
        <f t="shared" si="210"/>
        <v>0</v>
      </c>
      <c r="I1102" s="1042"/>
      <c r="J1102" s="1043">
        <f t="shared" si="211"/>
        <v>0</v>
      </c>
      <c r="K1102" s="1043"/>
      <c r="L1102" s="1043"/>
      <c r="M1102" s="1042"/>
      <c r="N1102" s="1043">
        <f t="shared" si="212"/>
        <v>0</v>
      </c>
      <c r="O1102" s="1042"/>
      <c r="P1102" s="1043">
        <f t="shared" si="213"/>
        <v>0</v>
      </c>
      <c r="Q1102" s="1042"/>
      <c r="R1102" s="1043">
        <f t="shared" si="214"/>
        <v>0</v>
      </c>
      <c r="S1102" s="1042"/>
      <c r="T1102" s="1043">
        <f t="shared" si="215"/>
        <v>0</v>
      </c>
      <c r="U1102" s="915">
        <f t="shared" si="207"/>
        <v>0</v>
      </c>
      <c r="V1102" s="1043">
        <f t="shared" si="216"/>
        <v>0</v>
      </c>
    </row>
    <row r="1103" spans="1:22" ht="231.75" customHeight="1">
      <c r="A1103" s="1037"/>
      <c r="B1103" s="923" t="s">
        <v>5036</v>
      </c>
      <c r="C1103" s="1039"/>
      <c r="D1103" s="1040"/>
      <c r="E1103" s="1041"/>
      <c r="F1103" s="1055">
        <f t="shared" si="209"/>
        <v>0</v>
      </c>
      <c r="G1103" s="1042"/>
      <c r="H1103" s="1043">
        <f t="shared" si="210"/>
        <v>0</v>
      </c>
      <c r="I1103" s="1042"/>
      <c r="J1103" s="1043">
        <f t="shared" si="211"/>
        <v>0</v>
      </c>
      <c r="K1103" s="1043"/>
      <c r="L1103" s="1043"/>
      <c r="M1103" s="1042"/>
      <c r="N1103" s="1043">
        <f t="shared" si="212"/>
        <v>0</v>
      </c>
      <c r="O1103" s="1042"/>
      <c r="P1103" s="1043">
        <f t="shared" si="213"/>
        <v>0</v>
      </c>
      <c r="Q1103" s="1042"/>
      <c r="R1103" s="1043">
        <f t="shared" si="214"/>
        <v>0</v>
      </c>
      <c r="S1103" s="1042"/>
      <c r="T1103" s="1043">
        <f t="shared" si="215"/>
        <v>0</v>
      </c>
      <c r="U1103" s="915">
        <f t="shared" si="207"/>
        <v>0</v>
      </c>
      <c r="V1103" s="1043">
        <f t="shared" si="216"/>
        <v>0</v>
      </c>
    </row>
  </sheetData>
  <autoFilter ref="A4:V499"/>
  <mergeCells count="14">
    <mergeCell ref="Q2:R2"/>
    <mergeCell ref="S2:T2"/>
    <mergeCell ref="U2:V2"/>
    <mergeCell ref="E2:F2"/>
    <mergeCell ref="A1:V1"/>
    <mergeCell ref="A2:A3"/>
    <mergeCell ref="B2:B3"/>
    <mergeCell ref="C2:C3"/>
    <mergeCell ref="D2:D3"/>
    <mergeCell ref="G2:H2"/>
    <mergeCell ref="I2:J2"/>
    <mergeCell ref="M2:N2"/>
    <mergeCell ref="O2:P2"/>
    <mergeCell ref="K2:L2"/>
  </mergeCells>
  <printOptions horizontalCentered="1"/>
  <pageMargins left="0.23622047244094499" right="0.196850393700787" top="0.49" bottom="0.55118110236220497" header="0.27559055118110198" footer="0.27559055118110198"/>
  <pageSetup paperSize="5" scale="16" orientation="landscape" r:id="rId1"/>
  <headerFooter alignWithMargins="0">
    <oddHeader>Page &amp;P</oddHead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360"/>
  <sheetViews>
    <sheetView view="pageBreakPreview" topLeftCell="A210" zoomScaleNormal="85" zoomScaleSheetLayoutView="100" workbookViewId="0">
      <selection activeCell="H189" sqref="H189"/>
    </sheetView>
  </sheetViews>
  <sheetFormatPr defaultRowHeight="18.75"/>
  <cols>
    <col min="1" max="1" width="6.33203125" style="880" customWidth="1"/>
    <col min="2" max="2" width="32.33203125" style="729" customWidth="1"/>
    <col min="3" max="4" width="5.21875" style="878" bestFit="1" customWidth="1"/>
    <col min="5" max="7" width="9" style="729" bestFit="1" customWidth="1"/>
    <col min="8" max="8" width="10.6640625" style="737" customWidth="1"/>
    <col min="9" max="9" width="4.44140625" style="880" customWidth="1"/>
    <col min="10" max="255" width="8.88671875" style="729"/>
    <col min="256" max="256" width="5.88671875" style="729" customWidth="1"/>
    <col min="257" max="257" width="32.33203125" style="729" customWidth="1"/>
    <col min="258" max="258" width="5" style="729" bestFit="1" customWidth="1"/>
    <col min="259" max="259" width="2.5546875" style="729" bestFit="1" customWidth="1"/>
    <col min="260" max="260" width="5" style="729" bestFit="1" customWidth="1"/>
    <col min="261" max="263" width="9" style="729" bestFit="1" customWidth="1"/>
    <col min="264" max="264" width="10" style="729" customWidth="1"/>
    <col min="265" max="265" width="5" style="729" bestFit="1" customWidth="1"/>
    <col min="266" max="511" width="8.88671875" style="729"/>
    <col min="512" max="512" width="5.88671875" style="729" customWidth="1"/>
    <col min="513" max="513" width="32.33203125" style="729" customWidth="1"/>
    <col min="514" max="514" width="5" style="729" bestFit="1" customWidth="1"/>
    <col min="515" max="515" width="2.5546875" style="729" bestFit="1" customWidth="1"/>
    <col min="516" max="516" width="5" style="729" bestFit="1" customWidth="1"/>
    <col min="517" max="519" width="9" style="729" bestFit="1" customWidth="1"/>
    <col min="520" max="520" width="10" style="729" customWidth="1"/>
    <col min="521" max="521" width="5" style="729" bestFit="1" customWidth="1"/>
    <col min="522" max="767" width="8.88671875" style="729"/>
    <col min="768" max="768" width="5.88671875" style="729" customWidth="1"/>
    <col min="769" max="769" width="32.33203125" style="729" customWidth="1"/>
    <col min="770" max="770" width="5" style="729" bestFit="1" customWidth="1"/>
    <col min="771" max="771" width="2.5546875" style="729" bestFit="1" customWidth="1"/>
    <col min="772" max="772" width="5" style="729" bestFit="1" customWidth="1"/>
    <col min="773" max="775" width="9" style="729" bestFit="1" customWidth="1"/>
    <col min="776" max="776" width="10" style="729" customWidth="1"/>
    <col min="777" max="777" width="5" style="729" bestFit="1" customWidth="1"/>
    <col min="778" max="1023" width="8.88671875" style="729"/>
    <col min="1024" max="1024" width="5.88671875" style="729" customWidth="1"/>
    <col min="1025" max="1025" width="32.33203125" style="729" customWidth="1"/>
    <col min="1026" max="1026" width="5" style="729" bestFit="1" customWidth="1"/>
    <col min="1027" max="1027" width="2.5546875" style="729" bestFit="1" customWidth="1"/>
    <col min="1028" max="1028" width="5" style="729" bestFit="1" customWidth="1"/>
    <col min="1029" max="1031" width="9" style="729" bestFit="1" customWidth="1"/>
    <col min="1032" max="1032" width="10" style="729" customWidth="1"/>
    <col min="1033" max="1033" width="5" style="729" bestFit="1" customWidth="1"/>
    <col min="1034" max="1279" width="8.88671875" style="729"/>
    <col min="1280" max="1280" width="5.88671875" style="729" customWidth="1"/>
    <col min="1281" max="1281" width="32.33203125" style="729" customWidth="1"/>
    <col min="1282" max="1282" width="5" style="729" bestFit="1" customWidth="1"/>
    <col min="1283" max="1283" width="2.5546875" style="729" bestFit="1" customWidth="1"/>
    <col min="1284" max="1284" width="5" style="729" bestFit="1" customWidth="1"/>
    <col min="1285" max="1287" width="9" style="729" bestFit="1" customWidth="1"/>
    <col min="1288" max="1288" width="10" style="729" customWidth="1"/>
    <col min="1289" max="1289" width="5" style="729" bestFit="1" customWidth="1"/>
    <col min="1290" max="1535" width="8.88671875" style="729"/>
    <col min="1536" max="1536" width="5.88671875" style="729" customWidth="1"/>
    <col min="1537" max="1537" width="32.33203125" style="729" customWidth="1"/>
    <col min="1538" max="1538" width="5" style="729" bestFit="1" customWidth="1"/>
    <col min="1539" max="1539" width="2.5546875" style="729" bestFit="1" customWidth="1"/>
    <col min="1540" max="1540" width="5" style="729" bestFit="1" customWidth="1"/>
    <col min="1541" max="1543" width="9" style="729" bestFit="1" customWidth="1"/>
    <col min="1544" max="1544" width="10" style="729" customWidth="1"/>
    <col min="1545" max="1545" width="5" style="729" bestFit="1" customWidth="1"/>
    <col min="1546" max="1791" width="8.88671875" style="729"/>
    <col min="1792" max="1792" width="5.88671875" style="729" customWidth="1"/>
    <col min="1793" max="1793" width="32.33203125" style="729" customWidth="1"/>
    <col min="1794" max="1794" width="5" style="729" bestFit="1" customWidth="1"/>
    <col min="1795" max="1795" width="2.5546875" style="729" bestFit="1" customWidth="1"/>
    <col min="1796" max="1796" width="5" style="729" bestFit="1" customWidth="1"/>
    <col min="1797" max="1799" width="9" style="729" bestFit="1" customWidth="1"/>
    <col min="1800" max="1800" width="10" style="729" customWidth="1"/>
    <col min="1801" max="1801" width="5" style="729" bestFit="1" customWidth="1"/>
    <col min="1802" max="2047" width="8.88671875" style="729"/>
    <col min="2048" max="2048" width="5.88671875" style="729" customWidth="1"/>
    <col min="2049" max="2049" width="32.33203125" style="729" customWidth="1"/>
    <col min="2050" max="2050" width="5" style="729" bestFit="1" customWidth="1"/>
    <col min="2051" max="2051" width="2.5546875" style="729" bestFit="1" customWidth="1"/>
    <col min="2052" max="2052" width="5" style="729" bestFit="1" customWidth="1"/>
    <col min="2053" max="2055" width="9" style="729" bestFit="1" customWidth="1"/>
    <col min="2056" max="2056" width="10" style="729" customWidth="1"/>
    <col min="2057" max="2057" width="5" style="729" bestFit="1" customWidth="1"/>
    <col min="2058" max="2303" width="8.88671875" style="729"/>
    <col min="2304" max="2304" width="5.88671875" style="729" customWidth="1"/>
    <col min="2305" max="2305" width="32.33203125" style="729" customWidth="1"/>
    <col min="2306" max="2306" width="5" style="729" bestFit="1" customWidth="1"/>
    <col min="2307" max="2307" width="2.5546875" style="729" bestFit="1" customWidth="1"/>
    <col min="2308" max="2308" width="5" style="729" bestFit="1" customWidth="1"/>
    <col min="2309" max="2311" width="9" style="729" bestFit="1" customWidth="1"/>
    <col min="2312" max="2312" width="10" style="729" customWidth="1"/>
    <col min="2313" max="2313" width="5" style="729" bestFit="1" customWidth="1"/>
    <col min="2314" max="2559" width="8.88671875" style="729"/>
    <col min="2560" max="2560" width="5.88671875" style="729" customWidth="1"/>
    <col min="2561" max="2561" width="32.33203125" style="729" customWidth="1"/>
    <col min="2562" max="2562" width="5" style="729" bestFit="1" customWidth="1"/>
    <col min="2563" max="2563" width="2.5546875" style="729" bestFit="1" customWidth="1"/>
    <col min="2564" max="2564" width="5" style="729" bestFit="1" customWidth="1"/>
    <col min="2565" max="2567" width="9" style="729" bestFit="1" customWidth="1"/>
    <col min="2568" max="2568" width="10" style="729" customWidth="1"/>
    <col min="2569" max="2569" width="5" style="729" bestFit="1" customWidth="1"/>
    <col min="2570" max="2815" width="8.88671875" style="729"/>
    <col min="2816" max="2816" width="5.88671875" style="729" customWidth="1"/>
    <col min="2817" max="2817" width="32.33203125" style="729" customWidth="1"/>
    <col min="2818" max="2818" width="5" style="729" bestFit="1" customWidth="1"/>
    <col min="2819" max="2819" width="2.5546875" style="729" bestFit="1" customWidth="1"/>
    <col min="2820" max="2820" width="5" style="729" bestFit="1" customWidth="1"/>
    <col min="2821" max="2823" width="9" style="729" bestFit="1" customWidth="1"/>
    <col min="2824" max="2824" width="10" style="729" customWidth="1"/>
    <col min="2825" max="2825" width="5" style="729" bestFit="1" customWidth="1"/>
    <col min="2826" max="3071" width="8.88671875" style="729"/>
    <col min="3072" max="3072" width="5.88671875" style="729" customWidth="1"/>
    <col min="3073" max="3073" width="32.33203125" style="729" customWidth="1"/>
    <col min="3074" max="3074" width="5" style="729" bestFit="1" customWidth="1"/>
    <col min="3075" max="3075" width="2.5546875" style="729" bestFit="1" customWidth="1"/>
    <col min="3076" max="3076" width="5" style="729" bestFit="1" customWidth="1"/>
    <col min="3077" max="3079" width="9" style="729" bestFit="1" customWidth="1"/>
    <col min="3080" max="3080" width="10" style="729" customWidth="1"/>
    <col min="3081" max="3081" width="5" style="729" bestFit="1" customWidth="1"/>
    <col min="3082" max="3327" width="8.88671875" style="729"/>
    <col min="3328" max="3328" width="5.88671875" style="729" customWidth="1"/>
    <col min="3329" max="3329" width="32.33203125" style="729" customWidth="1"/>
    <col min="3330" max="3330" width="5" style="729" bestFit="1" customWidth="1"/>
    <col min="3331" max="3331" width="2.5546875" style="729" bestFit="1" customWidth="1"/>
    <col min="3332" max="3332" width="5" style="729" bestFit="1" customWidth="1"/>
    <col min="3333" max="3335" width="9" style="729" bestFit="1" customWidth="1"/>
    <col min="3336" max="3336" width="10" style="729" customWidth="1"/>
    <col min="3337" max="3337" width="5" style="729" bestFit="1" customWidth="1"/>
    <col min="3338" max="3583" width="8.88671875" style="729"/>
    <col min="3584" max="3584" width="5.88671875" style="729" customWidth="1"/>
    <col min="3585" max="3585" width="32.33203125" style="729" customWidth="1"/>
    <col min="3586" max="3586" width="5" style="729" bestFit="1" customWidth="1"/>
    <col min="3587" max="3587" width="2.5546875" style="729" bestFit="1" customWidth="1"/>
    <col min="3588" max="3588" width="5" style="729" bestFit="1" customWidth="1"/>
    <col min="3589" max="3591" width="9" style="729" bestFit="1" customWidth="1"/>
    <col min="3592" max="3592" width="10" style="729" customWidth="1"/>
    <col min="3593" max="3593" width="5" style="729" bestFit="1" customWidth="1"/>
    <col min="3594" max="3839" width="8.88671875" style="729"/>
    <col min="3840" max="3840" width="5.88671875" style="729" customWidth="1"/>
    <col min="3841" max="3841" width="32.33203125" style="729" customWidth="1"/>
    <col min="3842" max="3842" width="5" style="729" bestFit="1" customWidth="1"/>
    <col min="3843" max="3843" width="2.5546875" style="729" bestFit="1" customWidth="1"/>
    <col min="3844" max="3844" width="5" style="729" bestFit="1" customWidth="1"/>
    <col min="3845" max="3847" width="9" style="729" bestFit="1" customWidth="1"/>
    <col min="3848" max="3848" width="10" style="729" customWidth="1"/>
    <col min="3849" max="3849" width="5" style="729" bestFit="1" customWidth="1"/>
    <col min="3850" max="4095" width="8.88671875" style="729"/>
    <col min="4096" max="4096" width="5.88671875" style="729" customWidth="1"/>
    <col min="4097" max="4097" width="32.33203125" style="729" customWidth="1"/>
    <col min="4098" max="4098" width="5" style="729" bestFit="1" customWidth="1"/>
    <col min="4099" max="4099" width="2.5546875" style="729" bestFit="1" customWidth="1"/>
    <col min="4100" max="4100" width="5" style="729" bestFit="1" customWidth="1"/>
    <col min="4101" max="4103" width="9" style="729" bestFit="1" customWidth="1"/>
    <col min="4104" max="4104" width="10" style="729" customWidth="1"/>
    <col min="4105" max="4105" width="5" style="729" bestFit="1" customWidth="1"/>
    <col min="4106" max="4351" width="8.88671875" style="729"/>
    <col min="4352" max="4352" width="5.88671875" style="729" customWidth="1"/>
    <col min="4353" max="4353" width="32.33203125" style="729" customWidth="1"/>
    <col min="4354" max="4354" width="5" style="729" bestFit="1" customWidth="1"/>
    <col min="4355" max="4355" width="2.5546875" style="729" bestFit="1" customWidth="1"/>
    <col min="4356" max="4356" width="5" style="729" bestFit="1" customWidth="1"/>
    <col min="4357" max="4359" width="9" style="729" bestFit="1" customWidth="1"/>
    <col min="4360" max="4360" width="10" style="729" customWidth="1"/>
    <col min="4361" max="4361" width="5" style="729" bestFit="1" customWidth="1"/>
    <col min="4362" max="4607" width="8.88671875" style="729"/>
    <col min="4608" max="4608" width="5.88671875" style="729" customWidth="1"/>
    <col min="4609" max="4609" width="32.33203125" style="729" customWidth="1"/>
    <col min="4610" max="4610" width="5" style="729" bestFit="1" customWidth="1"/>
    <col min="4611" max="4611" width="2.5546875" style="729" bestFit="1" customWidth="1"/>
    <col min="4612" max="4612" width="5" style="729" bestFit="1" customWidth="1"/>
    <col min="4613" max="4615" width="9" style="729" bestFit="1" customWidth="1"/>
    <col min="4616" max="4616" width="10" style="729" customWidth="1"/>
    <col min="4617" max="4617" width="5" style="729" bestFit="1" customWidth="1"/>
    <col min="4618" max="4863" width="8.88671875" style="729"/>
    <col min="4864" max="4864" width="5.88671875" style="729" customWidth="1"/>
    <col min="4865" max="4865" width="32.33203125" style="729" customWidth="1"/>
    <col min="4866" max="4866" width="5" style="729" bestFit="1" customWidth="1"/>
    <col min="4867" max="4867" width="2.5546875" style="729" bestFit="1" customWidth="1"/>
    <col min="4868" max="4868" width="5" style="729" bestFit="1" customWidth="1"/>
    <col min="4869" max="4871" width="9" style="729" bestFit="1" customWidth="1"/>
    <col min="4872" max="4872" width="10" style="729" customWidth="1"/>
    <col min="4873" max="4873" width="5" style="729" bestFit="1" customWidth="1"/>
    <col min="4874" max="5119" width="8.88671875" style="729"/>
    <col min="5120" max="5120" width="5.88671875" style="729" customWidth="1"/>
    <col min="5121" max="5121" width="32.33203125" style="729" customWidth="1"/>
    <col min="5122" max="5122" width="5" style="729" bestFit="1" customWidth="1"/>
    <col min="5123" max="5123" width="2.5546875" style="729" bestFit="1" customWidth="1"/>
    <col min="5124" max="5124" width="5" style="729" bestFit="1" customWidth="1"/>
    <col min="5125" max="5127" width="9" style="729" bestFit="1" customWidth="1"/>
    <col min="5128" max="5128" width="10" style="729" customWidth="1"/>
    <col min="5129" max="5129" width="5" style="729" bestFit="1" customWidth="1"/>
    <col min="5130" max="5375" width="8.88671875" style="729"/>
    <col min="5376" max="5376" width="5.88671875" style="729" customWidth="1"/>
    <col min="5377" max="5377" width="32.33203125" style="729" customWidth="1"/>
    <col min="5378" max="5378" width="5" style="729" bestFit="1" customWidth="1"/>
    <col min="5379" max="5379" width="2.5546875" style="729" bestFit="1" customWidth="1"/>
    <col min="5380" max="5380" width="5" style="729" bestFit="1" customWidth="1"/>
    <col min="5381" max="5383" width="9" style="729" bestFit="1" customWidth="1"/>
    <col min="5384" max="5384" width="10" style="729" customWidth="1"/>
    <col min="5385" max="5385" width="5" style="729" bestFit="1" customWidth="1"/>
    <col min="5386" max="5631" width="8.88671875" style="729"/>
    <col min="5632" max="5632" width="5.88671875" style="729" customWidth="1"/>
    <col min="5633" max="5633" width="32.33203125" style="729" customWidth="1"/>
    <col min="5634" max="5634" width="5" style="729" bestFit="1" customWidth="1"/>
    <col min="5635" max="5635" width="2.5546875" style="729" bestFit="1" customWidth="1"/>
    <col min="5636" max="5636" width="5" style="729" bestFit="1" customWidth="1"/>
    <col min="5637" max="5639" width="9" style="729" bestFit="1" customWidth="1"/>
    <col min="5640" max="5640" width="10" style="729" customWidth="1"/>
    <col min="5641" max="5641" width="5" style="729" bestFit="1" customWidth="1"/>
    <col min="5642" max="5887" width="8.88671875" style="729"/>
    <col min="5888" max="5888" width="5.88671875" style="729" customWidth="1"/>
    <col min="5889" max="5889" width="32.33203125" style="729" customWidth="1"/>
    <col min="5890" max="5890" width="5" style="729" bestFit="1" customWidth="1"/>
    <col min="5891" max="5891" width="2.5546875" style="729" bestFit="1" customWidth="1"/>
    <col min="5892" max="5892" width="5" style="729" bestFit="1" customWidth="1"/>
    <col min="5893" max="5895" width="9" style="729" bestFit="1" customWidth="1"/>
    <col min="5896" max="5896" width="10" style="729" customWidth="1"/>
    <col min="5897" max="5897" width="5" style="729" bestFit="1" customWidth="1"/>
    <col min="5898" max="6143" width="8.88671875" style="729"/>
    <col min="6144" max="6144" width="5.88671875" style="729" customWidth="1"/>
    <col min="6145" max="6145" width="32.33203125" style="729" customWidth="1"/>
    <col min="6146" max="6146" width="5" style="729" bestFit="1" customWidth="1"/>
    <col min="6147" max="6147" width="2.5546875" style="729" bestFit="1" customWidth="1"/>
    <col min="6148" max="6148" width="5" style="729" bestFit="1" customWidth="1"/>
    <col min="6149" max="6151" width="9" style="729" bestFit="1" customWidth="1"/>
    <col min="6152" max="6152" width="10" style="729" customWidth="1"/>
    <col min="6153" max="6153" width="5" style="729" bestFit="1" customWidth="1"/>
    <col min="6154" max="6399" width="8.88671875" style="729"/>
    <col min="6400" max="6400" width="5.88671875" style="729" customWidth="1"/>
    <col min="6401" max="6401" width="32.33203125" style="729" customWidth="1"/>
    <col min="6402" max="6402" width="5" style="729" bestFit="1" customWidth="1"/>
    <col min="6403" max="6403" width="2.5546875" style="729" bestFit="1" customWidth="1"/>
    <col min="6404" max="6404" width="5" style="729" bestFit="1" customWidth="1"/>
    <col min="6405" max="6407" width="9" style="729" bestFit="1" customWidth="1"/>
    <col min="6408" max="6408" width="10" style="729" customWidth="1"/>
    <col min="6409" max="6409" width="5" style="729" bestFit="1" customWidth="1"/>
    <col min="6410" max="6655" width="8.88671875" style="729"/>
    <col min="6656" max="6656" width="5.88671875" style="729" customWidth="1"/>
    <col min="6657" max="6657" width="32.33203125" style="729" customWidth="1"/>
    <col min="6658" max="6658" width="5" style="729" bestFit="1" customWidth="1"/>
    <col min="6659" max="6659" width="2.5546875" style="729" bestFit="1" customWidth="1"/>
    <col min="6660" max="6660" width="5" style="729" bestFit="1" customWidth="1"/>
    <col min="6661" max="6663" width="9" style="729" bestFit="1" customWidth="1"/>
    <col min="6664" max="6664" width="10" style="729" customWidth="1"/>
    <col min="6665" max="6665" width="5" style="729" bestFit="1" customWidth="1"/>
    <col min="6666" max="6911" width="8.88671875" style="729"/>
    <col min="6912" max="6912" width="5.88671875" style="729" customWidth="1"/>
    <col min="6913" max="6913" width="32.33203125" style="729" customWidth="1"/>
    <col min="6914" max="6914" width="5" style="729" bestFit="1" customWidth="1"/>
    <col min="6915" max="6915" width="2.5546875" style="729" bestFit="1" customWidth="1"/>
    <col min="6916" max="6916" width="5" style="729" bestFit="1" customWidth="1"/>
    <col min="6917" max="6919" width="9" style="729" bestFit="1" customWidth="1"/>
    <col min="6920" max="6920" width="10" style="729" customWidth="1"/>
    <col min="6921" max="6921" width="5" style="729" bestFit="1" customWidth="1"/>
    <col min="6922" max="7167" width="8.88671875" style="729"/>
    <col min="7168" max="7168" width="5.88671875" style="729" customWidth="1"/>
    <col min="7169" max="7169" width="32.33203125" style="729" customWidth="1"/>
    <col min="7170" max="7170" width="5" style="729" bestFit="1" customWidth="1"/>
    <col min="7171" max="7171" width="2.5546875" style="729" bestFit="1" customWidth="1"/>
    <col min="7172" max="7172" width="5" style="729" bestFit="1" customWidth="1"/>
    <col min="7173" max="7175" width="9" style="729" bestFit="1" customWidth="1"/>
    <col min="7176" max="7176" width="10" style="729" customWidth="1"/>
    <col min="7177" max="7177" width="5" style="729" bestFit="1" customWidth="1"/>
    <col min="7178" max="7423" width="8.88671875" style="729"/>
    <col min="7424" max="7424" width="5.88671875" style="729" customWidth="1"/>
    <col min="7425" max="7425" width="32.33203125" style="729" customWidth="1"/>
    <col min="7426" max="7426" width="5" style="729" bestFit="1" customWidth="1"/>
    <col min="7427" max="7427" width="2.5546875" style="729" bestFit="1" customWidth="1"/>
    <col min="7428" max="7428" width="5" style="729" bestFit="1" customWidth="1"/>
    <col min="7429" max="7431" width="9" style="729" bestFit="1" customWidth="1"/>
    <col min="7432" max="7432" width="10" style="729" customWidth="1"/>
    <col min="7433" max="7433" width="5" style="729" bestFit="1" customWidth="1"/>
    <col min="7434" max="7679" width="8.88671875" style="729"/>
    <col min="7680" max="7680" width="5.88671875" style="729" customWidth="1"/>
    <col min="7681" max="7681" width="32.33203125" style="729" customWidth="1"/>
    <col min="7682" max="7682" width="5" style="729" bestFit="1" customWidth="1"/>
    <col min="7683" max="7683" width="2.5546875" style="729" bestFit="1" customWidth="1"/>
    <col min="7684" max="7684" width="5" style="729" bestFit="1" customWidth="1"/>
    <col min="7685" max="7687" width="9" style="729" bestFit="1" customWidth="1"/>
    <col min="7688" max="7688" width="10" style="729" customWidth="1"/>
    <col min="7689" max="7689" width="5" style="729" bestFit="1" customWidth="1"/>
    <col min="7690" max="7935" width="8.88671875" style="729"/>
    <col min="7936" max="7936" width="5.88671875" style="729" customWidth="1"/>
    <col min="7937" max="7937" width="32.33203125" style="729" customWidth="1"/>
    <col min="7938" max="7938" width="5" style="729" bestFit="1" customWidth="1"/>
    <col min="7939" max="7939" width="2.5546875" style="729" bestFit="1" customWidth="1"/>
    <col min="7940" max="7940" width="5" style="729" bestFit="1" customWidth="1"/>
    <col min="7941" max="7943" width="9" style="729" bestFit="1" customWidth="1"/>
    <col min="7944" max="7944" width="10" style="729" customWidth="1"/>
    <col min="7945" max="7945" width="5" style="729" bestFit="1" customWidth="1"/>
    <col min="7946" max="8191" width="8.88671875" style="729"/>
    <col min="8192" max="8192" width="5.88671875" style="729" customWidth="1"/>
    <col min="8193" max="8193" width="32.33203125" style="729" customWidth="1"/>
    <col min="8194" max="8194" width="5" style="729" bestFit="1" customWidth="1"/>
    <col min="8195" max="8195" width="2.5546875" style="729" bestFit="1" customWidth="1"/>
    <col min="8196" max="8196" width="5" style="729" bestFit="1" customWidth="1"/>
    <col min="8197" max="8199" width="9" style="729" bestFit="1" customWidth="1"/>
    <col min="8200" max="8200" width="10" style="729" customWidth="1"/>
    <col min="8201" max="8201" width="5" style="729" bestFit="1" customWidth="1"/>
    <col min="8202" max="8447" width="8.88671875" style="729"/>
    <col min="8448" max="8448" width="5.88671875" style="729" customWidth="1"/>
    <col min="8449" max="8449" width="32.33203125" style="729" customWidth="1"/>
    <col min="8450" max="8450" width="5" style="729" bestFit="1" customWidth="1"/>
    <col min="8451" max="8451" width="2.5546875" style="729" bestFit="1" customWidth="1"/>
    <col min="8452" max="8452" width="5" style="729" bestFit="1" customWidth="1"/>
    <col min="8453" max="8455" width="9" style="729" bestFit="1" customWidth="1"/>
    <col min="8456" max="8456" width="10" style="729" customWidth="1"/>
    <col min="8457" max="8457" width="5" style="729" bestFit="1" customWidth="1"/>
    <col min="8458" max="8703" width="8.88671875" style="729"/>
    <col min="8704" max="8704" width="5.88671875" style="729" customWidth="1"/>
    <col min="8705" max="8705" width="32.33203125" style="729" customWidth="1"/>
    <col min="8706" max="8706" width="5" style="729" bestFit="1" customWidth="1"/>
    <col min="8707" max="8707" width="2.5546875" style="729" bestFit="1" customWidth="1"/>
    <col min="8708" max="8708" width="5" style="729" bestFit="1" customWidth="1"/>
    <col min="8709" max="8711" width="9" style="729" bestFit="1" customWidth="1"/>
    <col min="8712" max="8712" width="10" style="729" customWidth="1"/>
    <col min="8713" max="8713" width="5" style="729" bestFit="1" customWidth="1"/>
    <col min="8714" max="8959" width="8.88671875" style="729"/>
    <col min="8960" max="8960" width="5.88671875" style="729" customWidth="1"/>
    <col min="8961" max="8961" width="32.33203125" style="729" customWidth="1"/>
    <col min="8962" max="8962" width="5" style="729" bestFit="1" customWidth="1"/>
    <col min="8963" max="8963" width="2.5546875" style="729" bestFit="1" customWidth="1"/>
    <col min="8964" max="8964" width="5" style="729" bestFit="1" customWidth="1"/>
    <col min="8965" max="8967" width="9" style="729" bestFit="1" customWidth="1"/>
    <col min="8968" max="8968" width="10" style="729" customWidth="1"/>
    <col min="8969" max="8969" width="5" style="729" bestFit="1" customWidth="1"/>
    <col min="8970" max="9215" width="8.88671875" style="729"/>
    <col min="9216" max="9216" width="5.88671875" style="729" customWidth="1"/>
    <col min="9217" max="9217" width="32.33203125" style="729" customWidth="1"/>
    <col min="9218" max="9218" width="5" style="729" bestFit="1" customWidth="1"/>
    <col min="9219" max="9219" width="2.5546875" style="729" bestFit="1" customWidth="1"/>
    <col min="9220" max="9220" width="5" style="729" bestFit="1" customWidth="1"/>
    <col min="9221" max="9223" width="9" style="729" bestFit="1" customWidth="1"/>
    <col min="9224" max="9224" width="10" style="729" customWidth="1"/>
    <col min="9225" max="9225" width="5" style="729" bestFit="1" customWidth="1"/>
    <col min="9226" max="9471" width="8.88671875" style="729"/>
    <col min="9472" max="9472" width="5.88671875" style="729" customWidth="1"/>
    <col min="9473" max="9473" width="32.33203125" style="729" customWidth="1"/>
    <col min="9474" max="9474" width="5" style="729" bestFit="1" customWidth="1"/>
    <col min="9475" max="9475" width="2.5546875" style="729" bestFit="1" customWidth="1"/>
    <col min="9476" max="9476" width="5" style="729" bestFit="1" customWidth="1"/>
    <col min="9477" max="9479" width="9" style="729" bestFit="1" customWidth="1"/>
    <col min="9480" max="9480" width="10" style="729" customWidth="1"/>
    <col min="9481" max="9481" width="5" style="729" bestFit="1" customWidth="1"/>
    <col min="9482" max="9727" width="8.88671875" style="729"/>
    <col min="9728" max="9728" width="5.88671875" style="729" customWidth="1"/>
    <col min="9729" max="9729" width="32.33203125" style="729" customWidth="1"/>
    <col min="9730" max="9730" width="5" style="729" bestFit="1" customWidth="1"/>
    <col min="9731" max="9731" width="2.5546875" style="729" bestFit="1" customWidth="1"/>
    <col min="9732" max="9732" width="5" style="729" bestFit="1" customWidth="1"/>
    <col min="9733" max="9735" width="9" style="729" bestFit="1" customWidth="1"/>
    <col min="9736" max="9736" width="10" style="729" customWidth="1"/>
    <col min="9737" max="9737" width="5" style="729" bestFit="1" customWidth="1"/>
    <col min="9738" max="9983" width="8.88671875" style="729"/>
    <col min="9984" max="9984" width="5.88671875" style="729" customWidth="1"/>
    <col min="9985" max="9985" width="32.33203125" style="729" customWidth="1"/>
    <col min="9986" max="9986" width="5" style="729" bestFit="1" customWidth="1"/>
    <col min="9987" max="9987" width="2.5546875" style="729" bestFit="1" customWidth="1"/>
    <col min="9988" max="9988" width="5" style="729" bestFit="1" customWidth="1"/>
    <col min="9989" max="9991" width="9" style="729" bestFit="1" customWidth="1"/>
    <col min="9992" max="9992" width="10" style="729" customWidth="1"/>
    <col min="9993" max="9993" width="5" style="729" bestFit="1" customWidth="1"/>
    <col min="9994" max="10239" width="8.88671875" style="729"/>
    <col min="10240" max="10240" width="5.88671875" style="729" customWidth="1"/>
    <col min="10241" max="10241" width="32.33203125" style="729" customWidth="1"/>
    <col min="10242" max="10242" width="5" style="729" bestFit="1" customWidth="1"/>
    <col min="10243" max="10243" width="2.5546875" style="729" bestFit="1" customWidth="1"/>
    <col min="10244" max="10244" width="5" style="729" bestFit="1" customWidth="1"/>
    <col min="10245" max="10247" width="9" style="729" bestFit="1" customWidth="1"/>
    <col min="10248" max="10248" width="10" style="729" customWidth="1"/>
    <col min="10249" max="10249" width="5" style="729" bestFit="1" customWidth="1"/>
    <col min="10250" max="10495" width="8.88671875" style="729"/>
    <col min="10496" max="10496" width="5.88671875" style="729" customWidth="1"/>
    <col min="10497" max="10497" width="32.33203125" style="729" customWidth="1"/>
    <col min="10498" max="10498" width="5" style="729" bestFit="1" customWidth="1"/>
    <col min="10499" max="10499" width="2.5546875" style="729" bestFit="1" customWidth="1"/>
    <col min="10500" max="10500" width="5" style="729" bestFit="1" customWidth="1"/>
    <col min="10501" max="10503" width="9" style="729" bestFit="1" customWidth="1"/>
    <col min="10504" max="10504" width="10" style="729" customWidth="1"/>
    <col min="10505" max="10505" width="5" style="729" bestFit="1" customWidth="1"/>
    <col min="10506" max="10751" width="8.88671875" style="729"/>
    <col min="10752" max="10752" width="5.88671875" style="729" customWidth="1"/>
    <col min="10753" max="10753" width="32.33203125" style="729" customWidth="1"/>
    <col min="10754" max="10754" width="5" style="729" bestFit="1" customWidth="1"/>
    <col min="10755" max="10755" width="2.5546875" style="729" bestFit="1" customWidth="1"/>
    <col min="10756" max="10756" width="5" style="729" bestFit="1" customWidth="1"/>
    <col min="10757" max="10759" width="9" style="729" bestFit="1" customWidth="1"/>
    <col min="10760" max="10760" width="10" style="729" customWidth="1"/>
    <col min="10761" max="10761" width="5" style="729" bestFit="1" customWidth="1"/>
    <col min="10762" max="11007" width="8.88671875" style="729"/>
    <col min="11008" max="11008" width="5.88671875" style="729" customWidth="1"/>
    <col min="11009" max="11009" width="32.33203125" style="729" customWidth="1"/>
    <col min="11010" max="11010" width="5" style="729" bestFit="1" customWidth="1"/>
    <col min="11011" max="11011" width="2.5546875" style="729" bestFit="1" customWidth="1"/>
    <col min="11012" max="11012" width="5" style="729" bestFit="1" customWidth="1"/>
    <col min="11013" max="11015" width="9" style="729" bestFit="1" customWidth="1"/>
    <col min="11016" max="11016" width="10" style="729" customWidth="1"/>
    <col min="11017" max="11017" width="5" style="729" bestFit="1" customWidth="1"/>
    <col min="11018" max="11263" width="8.88671875" style="729"/>
    <col min="11264" max="11264" width="5.88671875" style="729" customWidth="1"/>
    <col min="11265" max="11265" width="32.33203125" style="729" customWidth="1"/>
    <col min="11266" max="11266" width="5" style="729" bestFit="1" customWidth="1"/>
    <col min="11267" max="11267" width="2.5546875" style="729" bestFit="1" customWidth="1"/>
    <col min="11268" max="11268" width="5" style="729" bestFit="1" customWidth="1"/>
    <col min="11269" max="11271" width="9" style="729" bestFit="1" customWidth="1"/>
    <col min="11272" max="11272" width="10" style="729" customWidth="1"/>
    <col min="11273" max="11273" width="5" style="729" bestFit="1" customWidth="1"/>
    <col min="11274" max="11519" width="8.88671875" style="729"/>
    <col min="11520" max="11520" width="5.88671875" style="729" customWidth="1"/>
    <col min="11521" max="11521" width="32.33203125" style="729" customWidth="1"/>
    <col min="11522" max="11522" width="5" style="729" bestFit="1" customWidth="1"/>
    <col min="11523" max="11523" width="2.5546875" style="729" bestFit="1" customWidth="1"/>
    <col min="11524" max="11524" width="5" style="729" bestFit="1" customWidth="1"/>
    <col min="11525" max="11527" width="9" style="729" bestFit="1" customWidth="1"/>
    <col min="11528" max="11528" width="10" style="729" customWidth="1"/>
    <col min="11529" max="11529" width="5" style="729" bestFit="1" customWidth="1"/>
    <col min="11530" max="11775" width="8.88671875" style="729"/>
    <col min="11776" max="11776" width="5.88671875" style="729" customWidth="1"/>
    <col min="11777" max="11777" width="32.33203125" style="729" customWidth="1"/>
    <col min="11778" max="11778" width="5" style="729" bestFit="1" customWidth="1"/>
    <col min="11779" max="11779" width="2.5546875" style="729" bestFit="1" customWidth="1"/>
    <col min="11780" max="11780" width="5" style="729" bestFit="1" customWidth="1"/>
    <col min="11781" max="11783" width="9" style="729" bestFit="1" customWidth="1"/>
    <col min="11784" max="11784" width="10" style="729" customWidth="1"/>
    <col min="11785" max="11785" width="5" style="729" bestFit="1" customWidth="1"/>
    <col min="11786" max="12031" width="8.88671875" style="729"/>
    <col min="12032" max="12032" width="5.88671875" style="729" customWidth="1"/>
    <col min="12033" max="12033" width="32.33203125" style="729" customWidth="1"/>
    <col min="12034" max="12034" width="5" style="729" bestFit="1" customWidth="1"/>
    <col min="12035" max="12035" width="2.5546875" style="729" bestFit="1" customWidth="1"/>
    <col min="12036" max="12036" width="5" style="729" bestFit="1" customWidth="1"/>
    <col min="12037" max="12039" width="9" style="729" bestFit="1" customWidth="1"/>
    <col min="12040" max="12040" width="10" style="729" customWidth="1"/>
    <col min="12041" max="12041" width="5" style="729" bestFit="1" customWidth="1"/>
    <col min="12042" max="12287" width="8.88671875" style="729"/>
    <col min="12288" max="12288" width="5.88671875" style="729" customWidth="1"/>
    <col min="12289" max="12289" width="32.33203125" style="729" customWidth="1"/>
    <col min="12290" max="12290" width="5" style="729" bestFit="1" customWidth="1"/>
    <col min="12291" max="12291" width="2.5546875" style="729" bestFit="1" customWidth="1"/>
    <col min="12292" max="12292" width="5" style="729" bestFit="1" customWidth="1"/>
    <col min="12293" max="12295" width="9" style="729" bestFit="1" customWidth="1"/>
    <col min="12296" max="12296" width="10" style="729" customWidth="1"/>
    <col min="12297" max="12297" width="5" style="729" bestFit="1" customWidth="1"/>
    <col min="12298" max="12543" width="8.88671875" style="729"/>
    <col min="12544" max="12544" width="5.88671875" style="729" customWidth="1"/>
    <col min="12545" max="12545" width="32.33203125" style="729" customWidth="1"/>
    <col min="12546" max="12546" width="5" style="729" bestFit="1" customWidth="1"/>
    <col min="12547" max="12547" width="2.5546875" style="729" bestFit="1" customWidth="1"/>
    <col min="12548" max="12548" width="5" style="729" bestFit="1" customWidth="1"/>
    <col min="12549" max="12551" width="9" style="729" bestFit="1" customWidth="1"/>
    <col min="12552" max="12552" width="10" style="729" customWidth="1"/>
    <col min="12553" max="12553" width="5" style="729" bestFit="1" customWidth="1"/>
    <col min="12554" max="12799" width="8.88671875" style="729"/>
    <col min="12800" max="12800" width="5.88671875" style="729" customWidth="1"/>
    <col min="12801" max="12801" width="32.33203125" style="729" customWidth="1"/>
    <col min="12802" max="12802" width="5" style="729" bestFit="1" customWidth="1"/>
    <col min="12803" max="12803" width="2.5546875" style="729" bestFit="1" customWidth="1"/>
    <col min="12804" max="12804" width="5" style="729" bestFit="1" customWidth="1"/>
    <col min="12805" max="12807" width="9" style="729" bestFit="1" customWidth="1"/>
    <col min="12808" max="12808" width="10" style="729" customWidth="1"/>
    <col min="12809" max="12809" width="5" style="729" bestFit="1" customWidth="1"/>
    <col min="12810" max="13055" width="8.88671875" style="729"/>
    <col min="13056" max="13056" width="5.88671875" style="729" customWidth="1"/>
    <col min="13057" max="13057" width="32.33203125" style="729" customWidth="1"/>
    <col min="13058" max="13058" width="5" style="729" bestFit="1" customWidth="1"/>
    <col min="13059" max="13059" width="2.5546875" style="729" bestFit="1" customWidth="1"/>
    <col min="13060" max="13060" width="5" style="729" bestFit="1" customWidth="1"/>
    <col min="13061" max="13063" width="9" style="729" bestFit="1" customWidth="1"/>
    <col min="13064" max="13064" width="10" style="729" customWidth="1"/>
    <col min="13065" max="13065" width="5" style="729" bestFit="1" customWidth="1"/>
    <col min="13066" max="13311" width="8.88671875" style="729"/>
    <col min="13312" max="13312" width="5.88671875" style="729" customWidth="1"/>
    <col min="13313" max="13313" width="32.33203125" style="729" customWidth="1"/>
    <col min="13314" max="13314" width="5" style="729" bestFit="1" customWidth="1"/>
    <col min="13315" max="13315" width="2.5546875" style="729" bestFit="1" customWidth="1"/>
    <col min="13316" max="13316" width="5" style="729" bestFit="1" customWidth="1"/>
    <col min="13317" max="13319" width="9" style="729" bestFit="1" customWidth="1"/>
    <col min="13320" max="13320" width="10" style="729" customWidth="1"/>
    <col min="13321" max="13321" width="5" style="729" bestFit="1" customWidth="1"/>
    <col min="13322" max="13567" width="8.88671875" style="729"/>
    <col min="13568" max="13568" width="5.88671875" style="729" customWidth="1"/>
    <col min="13569" max="13569" width="32.33203125" style="729" customWidth="1"/>
    <col min="13570" max="13570" width="5" style="729" bestFit="1" customWidth="1"/>
    <col min="13571" max="13571" width="2.5546875" style="729" bestFit="1" customWidth="1"/>
    <col min="13572" max="13572" width="5" style="729" bestFit="1" customWidth="1"/>
    <col min="13573" max="13575" width="9" style="729" bestFit="1" customWidth="1"/>
    <col min="13576" max="13576" width="10" style="729" customWidth="1"/>
    <col min="13577" max="13577" width="5" style="729" bestFit="1" customWidth="1"/>
    <col min="13578" max="13823" width="8.88671875" style="729"/>
    <col min="13824" max="13824" width="5.88671875" style="729" customWidth="1"/>
    <col min="13825" max="13825" width="32.33203125" style="729" customWidth="1"/>
    <col min="13826" max="13826" width="5" style="729" bestFit="1" customWidth="1"/>
    <col min="13827" max="13827" width="2.5546875" style="729" bestFit="1" customWidth="1"/>
    <col min="13828" max="13828" width="5" style="729" bestFit="1" customWidth="1"/>
    <col min="13829" max="13831" width="9" style="729" bestFit="1" customWidth="1"/>
    <col min="13832" max="13832" width="10" style="729" customWidth="1"/>
    <col min="13833" max="13833" width="5" style="729" bestFit="1" customWidth="1"/>
    <col min="13834" max="14079" width="8.88671875" style="729"/>
    <col min="14080" max="14080" width="5.88671875" style="729" customWidth="1"/>
    <col min="14081" max="14081" width="32.33203125" style="729" customWidth="1"/>
    <col min="14082" max="14082" width="5" style="729" bestFit="1" customWidth="1"/>
    <col min="14083" max="14083" width="2.5546875" style="729" bestFit="1" customWidth="1"/>
    <col min="14084" max="14084" width="5" style="729" bestFit="1" customWidth="1"/>
    <col min="14085" max="14087" width="9" style="729" bestFit="1" customWidth="1"/>
    <col min="14088" max="14088" width="10" style="729" customWidth="1"/>
    <col min="14089" max="14089" width="5" style="729" bestFit="1" customWidth="1"/>
    <col min="14090" max="14335" width="8.88671875" style="729"/>
    <col min="14336" max="14336" width="5.88671875" style="729" customWidth="1"/>
    <col min="14337" max="14337" width="32.33203125" style="729" customWidth="1"/>
    <col min="14338" max="14338" width="5" style="729" bestFit="1" customWidth="1"/>
    <col min="14339" max="14339" width="2.5546875" style="729" bestFit="1" customWidth="1"/>
    <col min="14340" max="14340" width="5" style="729" bestFit="1" customWidth="1"/>
    <col min="14341" max="14343" width="9" style="729" bestFit="1" customWidth="1"/>
    <col min="14344" max="14344" width="10" style="729" customWidth="1"/>
    <col min="14345" max="14345" width="5" style="729" bestFit="1" customWidth="1"/>
    <col min="14346" max="14591" width="8.88671875" style="729"/>
    <col min="14592" max="14592" width="5.88671875" style="729" customWidth="1"/>
    <col min="14593" max="14593" width="32.33203125" style="729" customWidth="1"/>
    <col min="14594" max="14594" width="5" style="729" bestFit="1" customWidth="1"/>
    <col min="14595" max="14595" width="2.5546875" style="729" bestFit="1" customWidth="1"/>
    <col min="14596" max="14596" width="5" style="729" bestFit="1" customWidth="1"/>
    <col min="14597" max="14599" width="9" style="729" bestFit="1" customWidth="1"/>
    <col min="14600" max="14600" width="10" style="729" customWidth="1"/>
    <col min="14601" max="14601" width="5" style="729" bestFit="1" customWidth="1"/>
    <col min="14602" max="14847" width="8.88671875" style="729"/>
    <col min="14848" max="14848" width="5.88671875" style="729" customWidth="1"/>
    <col min="14849" max="14849" width="32.33203125" style="729" customWidth="1"/>
    <col min="14850" max="14850" width="5" style="729" bestFit="1" customWidth="1"/>
    <col min="14851" max="14851" width="2.5546875" style="729" bestFit="1" customWidth="1"/>
    <col min="14852" max="14852" width="5" style="729" bestFit="1" customWidth="1"/>
    <col min="14853" max="14855" width="9" style="729" bestFit="1" customWidth="1"/>
    <col min="14856" max="14856" width="10" style="729" customWidth="1"/>
    <col min="14857" max="14857" width="5" style="729" bestFit="1" customWidth="1"/>
    <col min="14858" max="15103" width="8.88671875" style="729"/>
    <col min="15104" max="15104" width="5.88671875" style="729" customWidth="1"/>
    <col min="15105" max="15105" width="32.33203125" style="729" customWidth="1"/>
    <col min="15106" max="15106" width="5" style="729" bestFit="1" customWidth="1"/>
    <col min="15107" max="15107" width="2.5546875" style="729" bestFit="1" customWidth="1"/>
    <col min="15108" max="15108" width="5" style="729" bestFit="1" customWidth="1"/>
    <col min="15109" max="15111" width="9" style="729" bestFit="1" customWidth="1"/>
    <col min="15112" max="15112" width="10" style="729" customWidth="1"/>
    <col min="15113" max="15113" width="5" style="729" bestFit="1" customWidth="1"/>
    <col min="15114" max="15359" width="8.88671875" style="729"/>
    <col min="15360" max="15360" width="5.88671875" style="729" customWidth="1"/>
    <col min="15361" max="15361" width="32.33203125" style="729" customWidth="1"/>
    <col min="15362" max="15362" width="5" style="729" bestFit="1" customWidth="1"/>
    <col min="15363" max="15363" width="2.5546875" style="729" bestFit="1" customWidth="1"/>
    <col min="15364" max="15364" width="5" style="729" bestFit="1" customWidth="1"/>
    <col min="15365" max="15367" width="9" style="729" bestFit="1" customWidth="1"/>
    <col min="15368" max="15368" width="10" style="729" customWidth="1"/>
    <col min="15369" max="15369" width="5" style="729" bestFit="1" customWidth="1"/>
    <col min="15370" max="15615" width="8.88671875" style="729"/>
    <col min="15616" max="15616" width="5.88671875" style="729" customWidth="1"/>
    <col min="15617" max="15617" width="32.33203125" style="729" customWidth="1"/>
    <col min="15618" max="15618" width="5" style="729" bestFit="1" customWidth="1"/>
    <col min="15619" max="15619" width="2.5546875" style="729" bestFit="1" customWidth="1"/>
    <col min="15620" max="15620" width="5" style="729" bestFit="1" customWidth="1"/>
    <col min="15621" max="15623" width="9" style="729" bestFit="1" customWidth="1"/>
    <col min="15624" max="15624" width="10" style="729" customWidth="1"/>
    <col min="15625" max="15625" width="5" style="729" bestFit="1" customWidth="1"/>
    <col min="15626" max="15871" width="8.88671875" style="729"/>
    <col min="15872" max="15872" width="5.88671875" style="729" customWidth="1"/>
    <col min="15873" max="15873" width="32.33203125" style="729" customWidth="1"/>
    <col min="15874" max="15874" width="5" style="729" bestFit="1" customWidth="1"/>
    <col min="15875" max="15875" width="2.5546875" style="729" bestFit="1" customWidth="1"/>
    <col min="15876" max="15876" width="5" style="729" bestFit="1" customWidth="1"/>
    <col min="15877" max="15879" width="9" style="729" bestFit="1" customWidth="1"/>
    <col min="15880" max="15880" width="10" style="729" customWidth="1"/>
    <col min="15881" max="15881" width="5" style="729" bestFit="1" customWidth="1"/>
    <col min="15882" max="16127" width="8.88671875" style="729"/>
    <col min="16128" max="16128" width="5.88671875" style="729" customWidth="1"/>
    <col min="16129" max="16129" width="32.33203125" style="729" customWidth="1"/>
    <col min="16130" max="16130" width="5" style="729" bestFit="1" customWidth="1"/>
    <col min="16131" max="16131" width="2.5546875" style="729" bestFit="1" customWidth="1"/>
    <col min="16132" max="16132" width="5" style="729" bestFit="1" customWidth="1"/>
    <col min="16133" max="16135" width="9" style="729" bestFit="1" customWidth="1"/>
    <col min="16136" max="16136" width="10" style="729" customWidth="1"/>
    <col min="16137" max="16137" width="5" style="729" bestFit="1" customWidth="1"/>
    <col min="16138" max="16384" width="8.88671875" style="729"/>
  </cols>
  <sheetData>
    <row r="1" spans="1:9" ht="53.25" customHeight="1">
      <c r="A1" s="1293" t="s">
        <v>5793</v>
      </c>
      <c r="B1" s="1294"/>
      <c r="C1" s="1294"/>
      <c r="D1" s="1294"/>
      <c r="E1" s="1294"/>
      <c r="F1" s="1294"/>
      <c r="G1" s="1294"/>
      <c r="H1" s="1294"/>
      <c r="I1" s="1295"/>
    </row>
    <row r="2" spans="1:9" ht="30.75" customHeight="1">
      <c r="A2" s="1296" t="s">
        <v>5794</v>
      </c>
      <c r="B2" s="1296"/>
      <c r="C2" s="1296"/>
      <c r="D2" s="1296"/>
      <c r="E2" s="1296"/>
      <c r="F2" s="1296"/>
      <c r="G2" s="1296"/>
      <c r="H2" s="1296"/>
      <c r="I2" s="1296"/>
    </row>
    <row r="3" spans="1:9" s="731" customFormat="1" ht="25.5" customHeight="1">
      <c r="A3" s="730" t="s">
        <v>5795</v>
      </c>
      <c r="B3" s="1189" t="s">
        <v>5796</v>
      </c>
      <c r="C3" s="1297" t="s">
        <v>1865</v>
      </c>
      <c r="D3" s="1297"/>
      <c r="E3" s="1189" t="s">
        <v>5797</v>
      </c>
      <c r="F3" s="1189" t="s">
        <v>1548</v>
      </c>
      <c r="G3" s="1189" t="s">
        <v>5798</v>
      </c>
      <c r="H3" s="1297" t="s">
        <v>1581</v>
      </c>
      <c r="I3" s="1297"/>
    </row>
    <row r="4" spans="1:9" s="737" customFormat="1" ht="75">
      <c r="A4" s="732">
        <v>1.1000000000000001</v>
      </c>
      <c r="B4" s="733" t="s">
        <v>5799</v>
      </c>
      <c r="C4" s="734"/>
      <c r="D4" s="734"/>
      <c r="E4" s="735"/>
      <c r="F4" s="735"/>
      <c r="G4" s="735"/>
      <c r="H4" s="735"/>
      <c r="I4" s="736"/>
    </row>
    <row r="5" spans="1:9" s="737" customFormat="1">
      <c r="A5" s="738"/>
      <c r="B5" s="735" t="s">
        <v>5800</v>
      </c>
      <c r="C5" s="734">
        <v>1</v>
      </c>
      <c r="D5" s="734">
        <v>3</v>
      </c>
      <c r="E5" s="739">
        <f>1.35+0.3</f>
        <v>1.65</v>
      </c>
      <c r="F5" s="739">
        <v>1.65</v>
      </c>
      <c r="G5" s="739">
        <v>1.8</v>
      </c>
      <c r="H5" s="739">
        <f>PRODUCT(C5:G5)</f>
        <v>14.7</v>
      </c>
      <c r="I5" s="736"/>
    </row>
    <row r="6" spans="1:9" s="737" customFormat="1">
      <c r="A6" s="738"/>
      <c r="B6" s="735" t="s">
        <v>5801</v>
      </c>
      <c r="C6" s="734">
        <v>1</v>
      </c>
      <c r="D6" s="734">
        <v>7</v>
      </c>
      <c r="E6" s="739">
        <f>1.65+0.3</f>
        <v>1.95</v>
      </c>
      <c r="F6" s="739">
        <v>1.95</v>
      </c>
      <c r="G6" s="739">
        <v>1.8</v>
      </c>
      <c r="H6" s="739">
        <f t="shared" ref="H6:H10" si="0">PRODUCT(C6:G6)</f>
        <v>47.91</v>
      </c>
      <c r="I6" s="736"/>
    </row>
    <row r="7" spans="1:9" s="737" customFormat="1">
      <c r="A7" s="738"/>
      <c r="B7" s="735" t="s">
        <v>5802</v>
      </c>
      <c r="C7" s="734">
        <v>1</v>
      </c>
      <c r="D7" s="734">
        <v>4</v>
      </c>
      <c r="E7" s="739">
        <f>1.9+0.3</f>
        <v>2.2000000000000002</v>
      </c>
      <c r="F7" s="739">
        <v>2.2000000000000002</v>
      </c>
      <c r="G7" s="739">
        <v>1.8</v>
      </c>
      <c r="H7" s="739">
        <f t="shared" si="0"/>
        <v>34.85</v>
      </c>
      <c r="I7" s="736"/>
    </row>
    <row r="8" spans="1:9" s="737" customFormat="1">
      <c r="A8" s="738"/>
      <c r="B8" s="735" t="s">
        <v>5803</v>
      </c>
      <c r="C8" s="734">
        <v>1</v>
      </c>
      <c r="D8" s="734">
        <v>4</v>
      </c>
      <c r="E8" s="739">
        <f>2.2+0.3</f>
        <v>2.5</v>
      </c>
      <c r="F8" s="739">
        <v>2.5</v>
      </c>
      <c r="G8" s="739">
        <v>1.8</v>
      </c>
      <c r="H8" s="739">
        <f t="shared" si="0"/>
        <v>45</v>
      </c>
      <c r="I8" s="736"/>
    </row>
    <row r="9" spans="1:9" s="737" customFormat="1">
      <c r="A9" s="738"/>
      <c r="B9" s="735" t="s">
        <v>5804</v>
      </c>
      <c r="C9" s="734">
        <v>1</v>
      </c>
      <c r="D9" s="734">
        <v>2</v>
      </c>
      <c r="E9" s="739">
        <f>1.2+0.3</f>
        <v>1.5</v>
      </c>
      <c r="F9" s="739">
        <v>1.5</v>
      </c>
      <c r="G9" s="739">
        <v>1.8</v>
      </c>
      <c r="H9" s="739">
        <f t="shared" si="0"/>
        <v>8.1</v>
      </c>
      <c r="I9" s="736"/>
    </row>
    <row r="10" spans="1:9" s="737" customFormat="1">
      <c r="A10" s="738"/>
      <c r="B10" s="735" t="s">
        <v>5805</v>
      </c>
      <c r="C10" s="734">
        <v>1</v>
      </c>
      <c r="D10" s="734">
        <v>1</v>
      </c>
      <c r="E10" s="739">
        <f>1.65+0.3</f>
        <v>1.95</v>
      </c>
      <c r="F10" s="739">
        <f>2.1+0.3</f>
        <v>2.4</v>
      </c>
      <c r="G10" s="739">
        <v>1.8</v>
      </c>
      <c r="H10" s="739">
        <f t="shared" si="0"/>
        <v>8.42</v>
      </c>
      <c r="I10" s="736"/>
    </row>
    <row r="11" spans="1:9" s="737" customFormat="1">
      <c r="A11" s="738"/>
      <c r="B11" s="757" t="s">
        <v>5806</v>
      </c>
      <c r="C11" s="734"/>
      <c r="D11" s="734"/>
      <c r="E11" s="739"/>
      <c r="F11" s="739"/>
      <c r="G11" s="739"/>
      <c r="H11" s="739"/>
      <c r="I11" s="736"/>
    </row>
    <row r="12" spans="1:9" s="737" customFormat="1" ht="23.25" customHeight="1">
      <c r="A12" s="738"/>
      <c r="B12" s="735" t="s">
        <v>5807</v>
      </c>
      <c r="C12" s="734">
        <v>1</v>
      </c>
      <c r="D12" s="734">
        <v>2</v>
      </c>
      <c r="E12" s="739">
        <f>4.92+0.23+0.52+0.23+0.23</f>
        <v>6.13</v>
      </c>
      <c r="F12" s="739">
        <v>0.38</v>
      </c>
      <c r="G12" s="739">
        <v>0.2</v>
      </c>
      <c r="H12" s="739">
        <f t="shared" ref="H12:H22" si="1">PRODUCT(C12:G12)</f>
        <v>0.93</v>
      </c>
      <c r="I12" s="736"/>
    </row>
    <row r="13" spans="1:9" s="737" customFormat="1" ht="20.25" customHeight="1">
      <c r="A13" s="738"/>
      <c r="B13" s="740" t="s">
        <v>7081</v>
      </c>
      <c r="C13" s="734">
        <v>1</v>
      </c>
      <c r="D13" s="734">
        <v>2</v>
      </c>
      <c r="E13" s="739">
        <f>3.6</f>
        <v>3.6</v>
      </c>
      <c r="F13" s="739">
        <v>0.38</v>
      </c>
      <c r="G13" s="739">
        <v>0.2</v>
      </c>
      <c r="H13" s="739">
        <f t="shared" si="1"/>
        <v>0.55000000000000004</v>
      </c>
      <c r="I13" s="736"/>
    </row>
    <row r="14" spans="1:9" s="788" customFormat="1" ht="20.25" customHeight="1">
      <c r="A14" s="789"/>
      <c r="B14" s="1223" t="s">
        <v>5809</v>
      </c>
      <c r="C14" s="785">
        <v>1</v>
      </c>
      <c r="D14" s="785">
        <v>2</v>
      </c>
      <c r="E14" s="786">
        <f>3.485+0.46</f>
        <v>3.95</v>
      </c>
      <c r="F14" s="786">
        <v>0.38</v>
      </c>
      <c r="G14" s="786">
        <v>0.2</v>
      </c>
      <c r="H14" s="786"/>
      <c r="I14" s="787"/>
    </row>
    <row r="15" spans="1:9" s="788" customFormat="1" ht="20.25" customHeight="1">
      <c r="A15" s="789"/>
      <c r="B15" s="1223" t="s">
        <v>5810</v>
      </c>
      <c r="C15" s="785">
        <v>1</v>
      </c>
      <c r="D15" s="785">
        <v>1</v>
      </c>
      <c r="E15" s="786">
        <f>4.25+0.23+0.75+0.23</f>
        <v>5.46</v>
      </c>
      <c r="F15" s="786">
        <v>0.38</v>
      </c>
      <c r="G15" s="786">
        <v>0.2</v>
      </c>
      <c r="H15" s="786"/>
      <c r="I15" s="787"/>
    </row>
    <row r="16" spans="1:9" s="788" customFormat="1" ht="20.25" customHeight="1">
      <c r="A16" s="789"/>
      <c r="B16" s="1223" t="s">
        <v>5811</v>
      </c>
      <c r="C16" s="785">
        <v>1</v>
      </c>
      <c r="D16" s="785">
        <v>1</v>
      </c>
      <c r="E16" s="786">
        <f>2.18+0.23</f>
        <v>2.41</v>
      </c>
      <c r="F16" s="786">
        <v>0.38</v>
      </c>
      <c r="G16" s="786">
        <v>0.2</v>
      </c>
      <c r="H16" s="786"/>
      <c r="I16" s="787"/>
    </row>
    <row r="17" spans="1:9" s="737" customFormat="1" ht="22.5" customHeight="1">
      <c r="A17" s="738"/>
      <c r="B17" s="735" t="s">
        <v>5812</v>
      </c>
      <c r="C17" s="734">
        <v>1</v>
      </c>
      <c r="D17" s="734">
        <v>3</v>
      </c>
      <c r="E17" s="739">
        <f>3.6</f>
        <v>3.6</v>
      </c>
      <c r="F17" s="739">
        <v>0.38</v>
      </c>
      <c r="G17" s="739">
        <v>0.2</v>
      </c>
      <c r="H17" s="739">
        <f t="shared" si="1"/>
        <v>0.82</v>
      </c>
      <c r="I17" s="736"/>
    </row>
    <row r="18" spans="1:9" s="737" customFormat="1" ht="21.75" customHeight="1">
      <c r="A18" s="738"/>
      <c r="B18" s="740" t="s">
        <v>5813</v>
      </c>
      <c r="C18" s="734">
        <v>1</v>
      </c>
      <c r="D18" s="734">
        <v>5</v>
      </c>
      <c r="E18" s="739">
        <f>3.52</f>
        <v>3.52</v>
      </c>
      <c r="F18" s="739">
        <v>0.38</v>
      </c>
      <c r="G18" s="739">
        <v>0.2</v>
      </c>
      <c r="H18" s="739">
        <f t="shared" si="1"/>
        <v>1.34</v>
      </c>
      <c r="I18" s="736"/>
    </row>
    <row r="19" spans="1:9" s="737" customFormat="1" ht="21.75" customHeight="1">
      <c r="A19" s="738"/>
      <c r="B19" s="740" t="s">
        <v>5814</v>
      </c>
      <c r="C19" s="734">
        <v>1</v>
      </c>
      <c r="D19" s="734">
        <v>4</v>
      </c>
      <c r="E19" s="739">
        <f>2.78</f>
        <v>2.78</v>
      </c>
      <c r="F19" s="739">
        <v>0.38</v>
      </c>
      <c r="G19" s="739">
        <v>0.2</v>
      </c>
      <c r="H19" s="739">
        <f t="shared" si="1"/>
        <v>0.85</v>
      </c>
      <c r="I19" s="736"/>
    </row>
    <row r="20" spans="1:9" s="737" customFormat="1" ht="21.75" customHeight="1">
      <c r="A20" s="738"/>
      <c r="B20" s="740" t="s">
        <v>5815</v>
      </c>
      <c r="C20" s="734">
        <v>1</v>
      </c>
      <c r="D20" s="734">
        <v>4</v>
      </c>
      <c r="E20" s="739">
        <f>2.4</f>
        <v>2.4</v>
      </c>
      <c r="F20" s="739">
        <v>0.38</v>
      </c>
      <c r="G20" s="739">
        <v>0.2</v>
      </c>
      <c r="H20" s="739">
        <f t="shared" si="1"/>
        <v>0.73</v>
      </c>
      <c r="I20" s="736"/>
    </row>
    <row r="21" spans="1:9" s="737" customFormat="1" ht="21.75" customHeight="1">
      <c r="A21" s="738"/>
      <c r="B21" s="740" t="s">
        <v>5816</v>
      </c>
      <c r="C21" s="734">
        <v>1</v>
      </c>
      <c r="D21" s="734">
        <v>1</v>
      </c>
      <c r="E21" s="739">
        <f>3.52</f>
        <v>3.52</v>
      </c>
      <c r="F21" s="739">
        <v>0.38</v>
      </c>
      <c r="G21" s="739">
        <v>0.2</v>
      </c>
      <c r="H21" s="739">
        <f t="shared" si="1"/>
        <v>0.27</v>
      </c>
      <c r="I21" s="736"/>
    </row>
    <row r="22" spans="1:9" s="737" customFormat="1" ht="21.75" customHeight="1">
      <c r="A22" s="738"/>
      <c r="B22" s="740" t="s">
        <v>5817</v>
      </c>
      <c r="C22" s="734">
        <v>1</v>
      </c>
      <c r="D22" s="734">
        <v>3</v>
      </c>
      <c r="E22" s="739">
        <v>2.4</v>
      </c>
      <c r="F22" s="739">
        <v>0.38</v>
      </c>
      <c r="G22" s="739">
        <v>0.2</v>
      </c>
      <c r="H22" s="739">
        <f t="shared" si="1"/>
        <v>0.55000000000000004</v>
      </c>
      <c r="I22" s="736"/>
    </row>
    <row r="23" spans="1:9" s="737" customFormat="1">
      <c r="A23" s="738"/>
      <c r="B23" s="757" t="s">
        <v>5818</v>
      </c>
      <c r="C23" s="734"/>
      <c r="D23" s="734"/>
      <c r="E23" s="739"/>
      <c r="F23" s="739"/>
      <c r="G23" s="739"/>
      <c r="H23" s="739"/>
      <c r="I23" s="736"/>
    </row>
    <row r="24" spans="1:9" s="737" customFormat="1" ht="23.25" customHeight="1">
      <c r="A24" s="738"/>
      <c r="B24" s="735" t="s">
        <v>5807</v>
      </c>
      <c r="C24" s="734">
        <v>1</v>
      </c>
      <c r="D24" s="734">
        <v>2</v>
      </c>
      <c r="E24" s="739">
        <f>4.92+0.23+0.52+0.23+0.23</f>
        <v>6.13</v>
      </c>
      <c r="F24" s="739">
        <v>0.38</v>
      </c>
      <c r="G24" s="739">
        <v>0.2</v>
      </c>
      <c r="H24" s="739">
        <f t="shared" ref="H24:H34" si="2">PRODUCT(C24:G24)</f>
        <v>0.93</v>
      </c>
      <c r="I24" s="736"/>
    </row>
    <row r="25" spans="1:9" s="737" customFormat="1" ht="20.25" customHeight="1">
      <c r="A25" s="738"/>
      <c r="B25" s="740" t="s">
        <v>5810</v>
      </c>
      <c r="C25" s="734">
        <v>1</v>
      </c>
      <c r="D25" s="734">
        <v>1</v>
      </c>
      <c r="E25" s="739">
        <f>4.25+0.23+0.75+0.23</f>
        <v>5.46</v>
      </c>
      <c r="F25" s="739">
        <v>0.38</v>
      </c>
      <c r="G25" s="739">
        <v>0.2</v>
      </c>
      <c r="H25" s="739">
        <f>PRODUCT(C25:G25)</f>
        <v>0.41</v>
      </c>
      <c r="I25" s="736"/>
    </row>
    <row r="26" spans="1:9" s="737" customFormat="1" ht="20.25" customHeight="1">
      <c r="A26" s="738"/>
      <c r="B26" s="740" t="s">
        <v>5809</v>
      </c>
      <c r="C26" s="734">
        <v>1</v>
      </c>
      <c r="D26" s="734">
        <v>2</v>
      </c>
      <c r="E26" s="739">
        <f>3.485+0.46</f>
        <v>3.95</v>
      </c>
      <c r="F26" s="739">
        <v>0.38</v>
      </c>
      <c r="G26" s="739">
        <v>0.2</v>
      </c>
      <c r="H26" s="739">
        <f t="shared" si="2"/>
        <v>0.6</v>
      </c>
      <c r="I26" s="736"/>
    </row>
    <row r="27" spans="1:9" s="737" customFormat="1" ht="20.25" customHeight="1">
      <c r="A27" s="738"/>
      <c r="B27" s="740" t="s">
        <v>5819</v>
      </c>
      <c r="C27" s="734">
        <v>1</v>
      </c>
      <c r="D27" s="734">
        <v>1</v>
      </c>
      <c r="E27" s="739">
        <v>1.2</v>
      </c>
      <c r="F27" s="739">
        <v>0.38</v>
      </c>
      <c r="G27" s="739">
        <v>0.2</v>
      </c>
      <c r="H27" s="739">
        <f t="shared" si="2"/>
        <v>0.09</v>
      </c>
      <c r="I27" s="736"/>
    </row>
    <row r="28" spans="1:9" s="737" customFormat="1" ht="20.25" customHeight="1">
      <c r="A28" s="738"/>
      <c r="B28" s="740" t="s">
        <v>5811</v>
      </c>
      <c r="C28" s="734">
        <v>1</v>
      </c>
      <c r="D28" s="734">
        <v>1</v>
      </c>
      <c r="E28" s="739">
        <f>2.18+0.23</f>
        <v>2.41</v>
      </c>
      <c r="F28" s="739">
        <v>0.38</v>
      </c>
      <c r="G28" s="739">
        <v>0.2</v>
      </c>
      <c r="H28" s="739">
        <f t="shared" si="2"/>
        <v>0.18</v>
      </c>
      <c r="I28" s="736"/>
    </row>
    <row r="29" spans="1:9" s="737" customFormat="1" ht="21.75" customHeight="1">
      <c r="A29" s="738"/>
      <c r="B29" s="740" t="s">
        <v>5820</v>
      </c>
      <c r="C29" s="734">
        <v>1</v>
      </c>
      <c r="D29" s="734">
        <v>2</v>
      </c>
      <c r="E29" s="739">
        <f>0.23+3.64+0.23+1.443+0.23+1.292+0.23</f>
        <v>7.3</v>
      </c>
      <c r="F29" s="739">
        <v>0.38</v>
      </c>
      <c r="G29" s="739">
        <v>0.2</v>
      </c>
      <c r="H29" s="739">
        <f t="shared" si="2"/>
        <v>1.1100000000000001</v>
      </c>
      <c r="I29" s="736"/>
    </row>
    <row r="30" spans="1:9" s="737" customFormat="1" ht="21.75" customHeight="1">
      <c r="A30" s="738"/>
      <c r="B30" s="740" t="s">
        <v>5821</v>
      </c>
      <c r="C30" s="734">
        <v>1</v>
      </c>
      <c r="D30" s="734">
        <v>2</v>
      </c>
      <c r="E30" s="739">
        <f>0.23+3.64+0.23+3.63+0.23</f>
        <v>7.96</v>
      </c>
      <c r="F30" s="739">
        <v>0.38</v>
      </c>
      <c r="G30" s="739">
        <v>0.2</v>
      </c>
      <c r="H30" s="739">
        <f t="shared" si="2"/>
        <v>1.21</v>
      </c>
      <c r="I30" s="736"/>
    </row>
    <row r="31" spans="1:9" s="737" customFormat="1" ht="21.75" customHeight="1">
      <c r="A31" s="738"/>
      <c r="B31" s="740" t="s">
        <v>5822</v>
      </c>
      <c r="C31" s="734">
        <v>1</v>
      </c>
      <c r="D31" s="734">
        <v>1</v>
      </c>
      <c r="E31" s="739">
        <f>0.23+1.592+0.23+1.177+0.23+1.442+0.23+1.177+0.23</f>
        <v>6.54</v>
      </c>
      <c r="F31" s="739">
        <v>0.38</v>
      </c>
      <c r="G31" s="739">
        <v>0.2</v>
      </c>
      <c r="H31" s="739">
        <f t="shared" si="2"/>
        <v>0.5</v>
      </c>
      <c r="I31" s="736"/>
    </row>
    <row r="32" spans="1:9" s="737" customFormat="1" ht="21.75" customHeight="1">
      <c r="A32" s="738"/>
      <c r="B32" s="740" t="s">
        <v>5823</v>
      </c>
      <c r="C32" s="734">
        <v>1</v>
      </c>
      <c r="D32" s="734">
        <v>1</v>
      </c>
      <c r="E32" s="739">
        <v>1.18</v>
      </c>
      <c r="F32" s="739">
        <v>0.38</v>
      </c>
      <c r="G32" s="739">
        <v>0.2</v>
      </c>
      <c r="H32" s="739">
        <f t="shared" si="2"/>
        <v>0.09</v>
      </c>
      <c r="I32" s="736"/>
    </row>
    <row r="33" spans="1:9" s="737" customFormat="1" ht="21" customHeight="1">
      <c r="A33" s="738"/>
      <c r="B33" s="740" t="s">
        <v>7079</v>
      </c>
      <c r="C33" s="734">
        <v>1</v>
      </c>
      <c r="D33" s="734">
        <v>1</v>
      </c>
      <c r="E33" s="739">
        <v>1.44</v>
      </c>
      <c r="F33" s="739">
        <v>0.38</v>
      </c>
      <c r="G33" s="739">
        <v>0.2</v>
      </c>
      <c r="H33" s="739">
        <f t="shared" si="2"/>
        <v>0.11</v>
      </c>
      <c r="I33" s="736"/>
    </row>
    <row r="34" spans="1:9" s="737" customFormat="1" ht="21" customHeight="1">
      <c r="A34" s="738"/>
      <c r="B34" s="740" t="s">
        <v>7080</v>
      </c>
      <c r="C34" s="734">
        <v>1</v>
      </c>
      <c r="D34" s="734">
        <v>1</v>
      </c>
      <c r="E34" s="739">
        <f>1.292+0.23+1.443</f>
        <v>2.97</v>
      </c>
      <c r="F34" s="739">
        <v>0.45</v>
      </c>
      <c r="G34" s="739">
        <v>0.2</v>
      </c>
      <c r="H34" s="739">
        <f t="shared" si="2"/>
        <v>0.27</v>
      </c>
      <c r="I34" s="736"/>
    </row>
    <row r="35" spans="1:9" s="737" customFormat="1" ht="21.75" customHeight="1">
      <c r="A35" s="738"/>
      <c r="B35" s="735" t="s">
        <v>5826</v>
      </c>
      <c r="C35" s="734"/>
      <c r="D35" s="734"/>
      <c r="E35" s="739"/>
      <c r="F35" s="739"/>
      <c r="G35" s="739"/>
      <c r="H35" s="739"/>
      <c r="I35" s="736"/>
    </row>
    <row r="36" spans="1:9" s="737" customFormat="1" ht="18.75" customHeight="1">
      <c r="A36" s="738"/>
      <c r="B36" s="735" t="s">
        <v>5800</v>
      </c>
      <c r="C36" s="734">
        <v>-1</v>
      </c>
      <c r="D36" s="734">
        <v>3</v>
      </c>
      <c r="E36" s="739">
        <v>0.38</v>
      </c>
      <c r="F36" s="739">
        <v>0.23</v>
      </c>
      <c r="G36" s="739">
        <v>0.2</v>
      </c>
      <c r="H36" s="739">
        <f>PRODUCT(C36:G36)</f>
        <v>-0.05</v>
      </c>
      <c r="I36" s="736"/>
    </row>
    <row r="37" spans="1:9" s="737" customFormat="1" ht="18.75" customHeight="1">
      <c r="A37" s="738"/>
      <c r="B37" s="735" t="s">
        <v>5801</v>
      </c>
      <c r="C37" s="734">
        <v>-1</v>
      </c>
      <c r="D37" s="734">
        <v>7</v>
      </c>
      <c r="E37" s="739">
        <v>0.38</v>
      </c>
      <c r="F37" s="739">
        <v>0.23</v>
      </c>
      <c r="G37" s="739">
        <v>0.2</v>
      </c>
      <c r="H37" s="739">
        <f t="shared" ref="H37:H41" si="3">PRODUCT(C37:G37)</f>
        <v>-0.12</v>
      </c>
      <c r="I37" s="736"/>
    </row>
    <row r="38" spans="1:9" s="737" customFormat="1" ht="18.75" customHeight="1">
      <c r="A38" s="738"/>
      <c r="B38" s="735" t="s">
        <v>5802</v>
      </c>
      <c r="C38" s="734">
        <v>-1</v>
      </c>
      <c r="D38" s="734">
        <v>4</v>
      </c>
      <c r="E38" s="739">
        <v>0.38</v>
      </c>
      <c r="F38" s="739">
        <v>0.23</v>
      </c>
      <c r="G38" s="739">
        <v>0.2</v>
      </c>
      <c r="H38" s="739">
        <f t="shared" si="3"/>
        <v>-7.0000000000000007E-2</v>
      </c>
      <c r="I38" s="736"/>
    </row>
    <row r="39" spans="1:9" s="737" customFormat="1" ht="18.75" customHeight="1">
      <c r="A39" s="738"/>
      <c r="B39" s="735" t="s">
        <v>5803</v>
      </c>
      <c r="C39" s="734">
        <v>-1</v>
      </c>
      <c r="D39" s="734">
        <v>4</v>
      </c>
      <c r="E39" s="739">
        <v>0.38</v>
      </c>
      <c r="F39" s="739">
        <v>0.23</v>
      </c>
      <c r="G39" s="739">
        <v>0.2</v>
      </c>
      <c r="H39" s="739">
        <f t="shared" si="3"/>
        <v>-7.0000000000000007E-2</v>
      </c>
      <c r="I39" s="736"/>
    </row>
    <row r="40" spans="1:9" s="737" customFormat="1" ht="18.75" customHeight="1">
      <c r="A40" s="738"/>
      <c r="B40" s="735" t="s">
        <v>5804</v>
      </c>
      <c r="C40" s="734">
        <v>-1</v>
      </c>
      <c r="D40" s="734">
        <v>2</v>
      </c>
      <c r="E40" s="739">
        <v>0.3</v>
      </c>
      <c r="F40" s="739">
        <v>0.23</v>
      </c>
      <c r="G40" s="739">
        <v>0.2</v>
      </c>
      <c r="H40" s="739">
        <f t="shared" si="3"/>
        <v>-0.03</v>
      </c>
      <c r="I40" s="736"/>
    </row>
    <row r="41" spans="1:9" s="737" customFormat="1" ht="18.75" customHeight="1">
      <c r="A41" s="738"/>
      <c r="B41" s="735" t="s">
        <v>5805</v>
      </c>
      <c r="C41" s="734">
        <v>-1</v>
      </c>
      <c r="D41" s="734">
        <v>1</v>
      </c>
      <c r="E41" s="739">
        <v>0.38</v>
      </c>
      <c r="F41" s="739">
        <v>0.23</v>
      </c>
      <c r="G41" s="739">
        <v>0.2</v>
      </c>
      <c r="H41" s="739">
        <f t="shared" si="3"/>
        <v>-0.02</v>
      </c>
      <c r="I41" s="736"/>
    </row>
    <row r="42" spans="1:9" s="737" customFormat="1" ht="18.75" customHeight="1">
      <c r="A42" s="738"/>
      <c r="B42" s="735" t="s">
        <v>5827</v>
      </c>
      <c r="C42" s="734">
        <v>1</v>
      </c>
      <c r="D42" s="734">
        <v>1</v>
      </c>
      <c r="E42" s="739">
        <f>3.52+0.46</f>
        <v>3.98</v>
      </c>
      <c r="F42" s="739">
        <v>1</v>
      </c>
      <c r="G42" s="739">
        <v>0.3</v>
      </c>
      <c r="H42" s="739">
        <f>PRODUCT(C42:G42)</f>
        <v>1.19</v>
      </c>
      <c r="I42" s="736"/>
    </row>
    <row r="43" spans="1:9" s="737" customFormat="1" ht="18.75" customHeight="1">
      <c r="A43" s="738"/>
      <c r="B43" s="735" t="s">
        <v>5828</v>
      </c>
      <c r="C43" s="734">
        <v>1</v>
      </c>
      <c r="D43" s="734">
        <v>1</v>
      </c>
      <c r="E43" s="739">
        <f>2.4+0.46</f>
        <v>2.86</v>
      </c>
      <c r="F43" s="739">
        <v>1</v>
      </c>
      <c r="G43" s="739">
        <v>0.3</v>
      </c>
      <c r="H43" s="739">
        <f>PRODUCT(C43:G43)</f>
        <v>0.86</v>
      </c>
      <c r="I43" s="736"/>
    </row>
    <row r="44" spans="1:9" s="737" customFormat="1" ht="18.75" customHeight="1">
      <c r="A44" s="738"/>
      <c r="B44" s="735" t="s">
        <v>5829</v>
      </c>
      <c r="C44" s="734">
        <v>1</v>
      </c>
      <c r="D44" s="734">
        <v>10</v>
      </c>
      <c r="E44" s="739">
        <v>1.36</v>
      </c>
      <c r="F44" s="739">
        <v>1.36</v>
      </c>
      <c r="G44" s="739">
        <v>0.6</v>
      </c>
      <c r="H44" s="739">
        <f>PRODUCT(C44:G44)</f>
        <v>11.1</v>
      </c>
      <c r="I44" s="736"/>
    </row>
    <row r="45" spans="1:9" s="737" customFormat="1" ht="18.75" customHeight="1">
      <c r="A45" s="738"/>
      <c r="B45" s="735"/>
      <c r="C45" s="734"/>
      <c r="D45" s="734"/>
      <c r="E45" s="739"/>
      <c r="F45" s="739"/>
      <c r="G45" s="741"/>
      <c r="H45" s="742">
        <f>SUM(H5:H44)</f>
        <v>183.31</v>
      </c>
      <c r="I45" s="743"/>
    </row>
    <row r="46" spans="1:9" s="737" customFormat="1" ht="18.75" customHeight="1">
      <c r="A46" s="738"/>
      <c r="B46" s="744"/>
      <c r="C46" s="734"/>
      <c r="D46" s="734"/>
      <c r="E46" s="739"/>
      <c r="F46" s="739"/>
      <c r="G46" s="745" t="s">
        <v>4209</v>
      </c>
      <c r="H46" s="742">
        <f>ROUNDUP(H45,1)</f>
        <v>183.4</v>
      </c>
      <c r="I46" s="743" t="s">
        <v>5830</v>
      </c>
    </row>
    <row r="47" spans="1:9" s="737" customFormat="1" ht="64.5" customHeight="1">
      <c r="A47" s="732">
        <v>2.1</v>
      </c>
      <c r="B47" s="733" t="s">
        <v>5831</v>
      </c>
      <c r="C47" s="734"/>
      <c r="D47" s="734"/>
      <c r="E47" s="739"/>
      <c r="F47" s="739"/>
      <c r="G47" s="739"/>
      <c r="H47" s="739"/>
      <c r="I47" s="736"/>
    </row>
    <row r="48" spans="1:9" s="737" customFormat="1">
      <c r="A48" s="738"/>
      <c r="B48" s="735" t="s">
        <v>5800</v>
      </c>
      <c r="C48" s="734">
        <v>1</v>
      </c>
      <c r="D48" s="734">
        <v>3</v>
      </c>
      <c r="E48" s="739">
        <f>1.35+0.3</f>
        <v>1.65</v>
      </c>
      <c r="F48" s="739">
        <v>1.65</v>
      </c>
      <c r="G48" s="739">
        <v>0.15</v>
      </c>
      <c r="H48" s="739">
        <f>PRODUCT(C48:G48)</f>
        <v>1.23</v>
      </c>
      <c r="I48" s="736"/>
    </row>
    <row r="49" spans="1:9" s="737" customFormat="1">
      <c r="A49" s="738"/>
      <c r="B49" s="735" t="s">
        <v>5801</v>
      </c>
      <c r="C49" s="734">
        <v>1</v>
      </c>
      <c r="D49" s="734">
        <v>7</v>
      </c>
      <c r="E49" s="739">
        <f>1.65+0.3</f>
        <v>1.95</v>
      </c>
      <c r="F49" s="739">
        <v>1.95</v>
      </c>
      <c r="G49" s="739">
        <v>0.15</v>
      </c>
      <c r="H49" s="739">
        <f t="shared" ref="H49:H53" si="4">PRODUCT(C49:G49)</f>
        <v>3.99</v>
      </c>
      <c r="I49" s="736"/>
    </row>
    <row r="50" spans="1:9" s="737" customFormat="1">
      <c r="A50" s="738"/>
      <c r="B50" s="735" t="s">
        <v>5802</v>
      </c>
      <c r="C50" s="734">
        <v>1</v>
      </c>
      <c r="D50" s="734">
        <v>4</v>
      </c>
      <c r="E50" s="739">
        <f>1.9+0.3</f>
        <v>2.2000000000000002</v>
      </c>
      <c r="F50" s="739">
        <v>2.2000000000000002</v>
      </c>
      <c r="G50" s="739">
        <v>0.15</v>
      </c>
      <c r="H50" s="739">
        <f t="shared" si="4"/>
        <v>2.9</v>
      </c>
      <c r="I50" s="736"/>
    </row>
    <row r="51" spans="1:9" s="737" customFormat="1">
      <c r="A51" s="738"/>
      <c r="B51" s="735" t="s">
        <v>5803</v>
      </c>
      <c r="C51" s="734">
        <v>1</v>
      </c>
      <c r="D51" s="734">
        <v>4</v>
      </c>
      <c r="E51" s="739">
        <f>2.2+0.3</f>
        <v>2.5</v>
      </c>
      <c r="F51" s="739">
        <v>2.5</v>
      </c>
      <c r="G51" s="739">
        <v>0.15</v>
      </c>
      <c r="H51" s="739">
        <f t="shared" si="4"/>
        <v>3.75</v>
      </c>
      <c r="I51" s="736"/>
    </row>
    <row r="52" spans="1:9" s="737" customFormat="1">
      <c r="A52" s="738"/>
      <c r="B52" s="735" t="s">
        <v>5804</v>
      </c>
      <c r="C52" s="734">
        <v>1</v>
      </c>
      <c r="D52" s="734">
        <v>2</v>
      </c>
      <c r="E52" s="739">
        <f>1.2+0.3</f>
        <v>1.5</v>
      </c>
      <c r="F52" s="739">
        <v>1.5</v>
      </c>
      <c r="G52" s="739">
        <v>0.15</v>
      </c>
      <c r="H52" s="739">
        <f t="shared" si="4"/>
        <v>0.68</v>
      </c>
      <c r="I52" s="736"/>
    </row>
    <row r="53" spans="1:9" s="737" customFormat="1">
      <c r="A53" s="738"/>
      <c r="B53" s="735" t="s">
        <v>5805</v>
      </c>
      <c r="C53" s="734">
        <v>1</v>
      </c>
      <c r="D53" s="734">
        <v>1</v>
      </c>
      <c r="E53" s="739">
        <f>1.65+0.3</f>
        <v>1.95</v>
      </c>
      <c r="F53" s="739">
        <f>2.1+0.3</f>
        <v>2.4</v>
      </c>
      <c r="G53" s="739">
        <v>0.15</v>
      </c>
      <c r="H53" s="739">
        <f t="shared" si="4"/>
        <v>0.7</v>
      </c>
      <c r="I53" s="736"/>
    </row>
    <row r="54" spans="1:9" s="737" customFormat="1">
      <c r="A54" s="738"/>
      <c r="B54" s="735" t="s">
        <v>5806</v>
      </c>
      <c r="C54" s="734"/>
      <c r="D54" s="734"/>
      <c r="E54" s="739"/>
      <c r="F54" s="739"/>
      <c r="G54" s="739"/>
      <c r="H54" s="739"/>
      <c r="I54" s="736"/>
    </row>
    <row r="55" spans="1:9" s="737" customFormat="1" ht="23.25" customHeight="1">
      <c r="A55" s="738"/>
      <c r="B55" s="735" t="s">
        <v>5807</v>
      </c>
      <c r="C55" s="734">
        <v>1</v>
      </c>
      <c r="D55" s="734">
        <v>2</v>
      </c>
      <c r="E55" s="739">
        <f>4.92+0.23+0.52+0.23+0.23</f>
        <v>6.13</v>
      </c>
      <c r="F55" s="739">
        <v>0.38</v>
      </c>
      <c r="G55" s="739">
        <v>0.1</v>
      </c>
      <c r="H55" s="739">
        <f t="shared" ref="H55:H65" si="5">PRODUCT(C55:G55)</f>
        <v>0.47</v>
      </c>
      <c r="I55" s="736"/>
    </row>
    <row r="56" spans="1:9" s="737" customFormat="1" ht="20.25" customHeight="1">
      <c r="A56" s="738"/>
      <c r="B56" s="740" t="s">
        <v>5808</v>
      </c>
      <c r="C56" s="734">
        <v>1</v>
      </c>
      <c r="D56" s="734">
        <v>2</v>
      </c>
      <c r="E56" s="739">
        <f>3.6</f>
        <v>3.6</v>
      </c>
      <c r="F56" s="739">
        <v>0.38</v>
      </c>
      <c r="G56" s="739">
        <v>0.1</v>
      </c>
      <c r="H56" s="739">
        <f t="shared" si="5"/>
        <v>0.27</v>
      </c>
      <c r="I56" s="736"/>
    </row>
    <row r="57" spans="1:9" s="788" customFormat="1" ht="20.25" customHeight="1">
      <c r="A57" s="789"/>
      <c r="B57" s="1223" t="s">
        <v>5809</v>
      </c>
      <c r="C57" s="785">
        <v>1</v>
      </c>
      <c r="D57" s="785">
        <v>2</v>
      </c>
      <c r="E57" s="786">
        <f>3.485+0.46</f>
        <v>3.95</v>
      </c>
      <c r="F57" s="786">
        <v>0.38</v>
      </c>
      <c r="G57" s="786">
        <v>0.1</v>
      </c>
      <c r="H57" s="786"/>
      <c r="I57" s="787"/>
    </row>
    <row r="58" spans="1:9" s="788" customFormat="1" ht="20.25" customHeight="1">
      <c r="A58" s="789"/>
      <c r="B58" s="1223" t="s">
        <v>5810</v>
      </c>
      <c r="C58" s="785">
        <v>1</v>
      </c>
      <c r="D58" s="785">
        <v>1</v>
      </c>
      <c r="E58" s="786">
        <f>4.25+0.23+0.75+0.23</f>
        <v>5.46</v>
      </c>
      <c r="F58" s="786">
        <v>0.38</v>
      </c>
      <c r="G58" s="786">
        <v>0.1</v>
      </c>
      <c r="H58" s="786"/>
      <c r="I58" s="787"/>
    </row>
    <row r="59" spans="1:9" s="788" customFormat="1" ht="20.25" customHeight="1">
      <c r="A59" s="789"/>
      <c r="B59" s="1223" t="s">
        <v>5811</v>
      </c>
      <c r="C59" s="785">
        <v>1</v>
      </c>
      <c r="D59" s="785">
        <v>1</v>
      </c>
      <c r="E59" s="786">
        <f>2.18+0.23</f>
        <v>2.41</v>
      </c>
      <c r="F59" s="786">
        <v>0.38</v>
      </c>
      <c r="G59" s="786">
        <v>0.1</v>
      </c>
      <c r="H59" s="786"/>
      <c r="I59" s="787"/>
    </row>
    <row r="60" spans="1:9" s="737" customFormat="1" ht="22.5" customHeight="1">
      <c r="A60" s="738"/>
      <c r="B60" s="735" t="s">
        <v>5812</v>
      </c>
      <c r="C60" s="734">
        <v>1</v>
      </c>
      <c r="D60" s="734">
        <v>3</v>
      </c>
      <c r="E60" s="739">
        <f>3.6</f>
        <v>3.6</v>
      </c>
      <c r="F60" s="739">
        <v>0.38</v>
      </c>
      <c r="G60" s="739">
        <v>0.1</v>
      </c>
      <c r="H60" s="739">
        <f t="shared" si="5"/>
        <v>0.41</v>
      </c>
      <c r="I60" s="736"/>
    </row>
    <row r="61" spans="1:9" s="737" customFormat="1" ht="21.75" customHeight="1">
      <c r="A61" s="738"/>
      <c r="B61" s="740" t="s">
        <v>5813</v>
      </c>
      <c r="C61" s="734">
        <v>1</v>
      </c>
      <c r="D61" s="734">
        <v>5</v>
      </c>
      <c r="E61" s="739">
        <f>3.52</f>
        <v>3.52</v>
      </c>
      <c r="F61" s="739">
        <v>0.38</v>
      </c>
      <c r="G61" s="739">
        <v>0.1</v>
      </c>
      <c r="H61" s="739">
        <f t="shared" si="5"/>
        <v>0.67</v>
      </c>
      <c r="I61" s="736"/>
    </row>
    <row r="62" spans="1:9" s="737" customFormat="1" ht="21.75" customHeight="1">
      <c r="A62" s="738"/>
      <c r="B62" s="740" t="s">
        <v>5814</v>
      </c>
      <c r="C62" s="734">
        <v>1</v>
      </c>
      <c r="D62" s="734">
        <v>4</v>
      </c>
      <c r="E62" s="739">
        <f>2.78</f>
        <v>2.78</v>
      </c>
      <c r="F62" s="739">
        <v>0.38</v>
      </c>
      <c r="G62" s="739">
        <v>0.1</v>
      </c>
      <c r="H62" s="739">
        <f t="shared" si="5"/>
        <v>0.42</v>
      </c>
      <c r="I62" s="736"/>
    </row>
    <row r="63" spans="1:9" s="737" customFormat="1" ht="21.75" customHeight="1">
      <c r="A63" s="738"/>
      <c r="B63" s="740" t="s">
        <v>5815</v>
      </c>
      <c r="C63" s="734">
        <v>1</v>
      </c>
      <c r="D63" s="734">
        <v>4</v>
      </c>
      <c r="E63" s="739">
        <f>2.4</f>
        <v>2.4</v>
      </c>
      <c r="F63" s="739">
        <v>0.38</v>
      </c>
      <c r="G63" s="739">
        <v>0.1</v>
      </c>
      <c r="H63" s="739">
        <f t="shared" si="5"/>
        <v>0.36</v>
      </c>
      <c r="I63" s="736"/>
    </row>
    <row r="64" spans="1:9" s="737" customFormat="1" ht="21.75" customHeight="1">
      <c r="A64" s="738"/>
      <c r="B64" s="740" t="s">
        <v>5816</v>
      </c>
      <c r="C64" s="734">
        <v>1</v>
      </c>
      <c r="D64" s="734">
        <v>1</v>
      </c>
      <c r="E64" s="739">
        <f>3.52</f>
        <v>3.52</v>
      </c>
      <c r="F64" s="739">
        <v>0.38</v>
      </c>
      <c r="G64" s="739">
        <v>0.1</v>
      </c>
      <c r="H64" s="739">
        <f t="shared" si="5"/>
        <v>0.13</v>
      </c>
      <c r="I64" s="736"/>
    </row>
    <row r="65" spans="1:9" s="737" customFormat="1" ht="21.75" customHeight="1">
      <c r="A65" s="738"/>
      <c r="B65" s="740" t="s">
        <v>5817</v>
      </c>
      <c r="C65" s="734">
        <v>1</v>
      </c>
      <c r="D65" s="734">
        <v>3</v>
      </c>
      <c r="E65" s="739">
        <v>2.4</v>
      </c>
      <c r="F65" s="739">
        <v>0.38</v>
      </c>
      <c r="G65" s="739">
        <v>0.1</v>
      </c>
      <c r="H65" s="739">
        <f t="shared" si="5"/>
        <v>0.27</v>
      </c>
      <c r="I65" s="736"/>
    </row>
    <row r="66" spans="1:9" s="737" customFormat="1">
      <c r="A66" s="738"/>
      <c r="B66" s="735" t="s">
        <v>5818</v>
      </c>
      <c r="C66" s="734"/>
      <c r="D66" s="734"/>
      <c r="E66" s="739"/>
      <c r="F66" s="739"/>
      <c r="G66" s="739"/>
      <c r="H66" s="739"/>
      <c r="I66" s="736"/>
    </row>
    <row r="67" spans="1:9" s="737" customFormat="1" ht="23.25" customHeight="1">
      <c r="A67" s="738"/>
      <c r="B67" s="735" t="s">
        <v>5807</v>
      </c>
      <c r="C67" s="734">
        <v>1</v>
      </c>
      <c r="D67" s="734">
        <v>2</v>
      </c>
      <c r="E67" s="739">
        <f>4.92+0.23+0.52+0.23+0.23</f>
        <v>6.13</v>
      </c>
      <c r="F67" s="739">
        <v>0.38</v>
      </c>
      <c r="G67" s="739">
        <v>0.1</v>
      </c>
      <c r="H67" s="739">
        <f t="shared" ref="H67:H77" si="6">PRODUCT(C67:G67)</f>
        <v>0.47</v>
      </c>
      <c r="I67" s="736"/>
    </row>
    <row r="68" spans="1:9" s="737" customFormat="1" ht="20.25" customHeight="1">
      <c r="A68" s="738"/>
      <c r="B68" s="740" t="s">
        <v>5809</v>
      </c>
      <c r="C68" s="734">
        <v>1</v>
      </c>
      <c r="D68" s="734">
        <v>2</v>
      </c>
      <c r="E68" s="739">
        <f>3.485+0.46</f>
        <v>3.95</v>
      </c>
      <c r="F68" s="739">
        <v>0.38</v>
      </c>
      <c r="G68" s="739">
        <v>0.1</v>
      </c>
      <c r="H68" s="739">
        <f t="shared" si="6"/>
        <v>0.3</v>
      </c>
      <c r="I68" s="736"/>
    </row>
    <row r="69" spans="1:9" s="737" customFormat="1" ht="20.25" customHeight="1">
      <c r="A69" s="738"/>
      <c r="B69" s="740" t="s">
        <v>5819</v>
      </c>
      <c r="C69" s="734">
        <v>1</v>
      </c>
      <c r="D69" s="734">
        <v>1</v>
      </c>
      <c r="E69" s="739">
        <v>1.2</v>
      </c>
      <c r="F69" s="739">
        <v>0.38</v>
      </c>
      <c r="G69" s="739">
        <v>0.1</v>
      </c>
      <c r="H69" s="739">
        <f t="shared" si="6"/>
        <v>0.05</v>
      </c>
      <c r="I69" s="736"/>
    </row>
    <row r="70" spans="1:9" s="737" customFormat="1" ht="20.25" customHeight="1">
      <c r="A70" s="738"/>
      <c r="B70" s="740" t="s">
        <v>5810</v>
      </c>
      <c r="C70" s="734">
        <v>1</v>
      </c>
      <c r="D70" s="734">
        <v>1</v>
      </c>
      <c r="E70" s="739">
        <f>4.25+0.23+0.75+0.23</f>
        <v>5.46</v>
      </c>
      <c r="F70" s="739">
        <v>0.38</v>
      </c>
      <c r="G70" s="739">
        <v>0.1</v>
      </c>
      <c r="H70" s="739">
        <f t="shared" si="6"/>
        <v>0.21</v>
      </c>
      <c r="I70" s="736"/>
    </row>
    <row r="71" spans="1:9" s="737" customFormat="1" ht="20.25" customHeight="1">
      <c r="A71" s="738"/>
      <c r="B71" s="740" t="s">
        <v>5811</v>
      </c>
      <c r="C71" s="734">
        <v>1</v>
      </c>
      <c r="D71" s="734">
        <v>1</v>
      </c>
      <c r="E71" s="739">
        <f>2.18+0.23</f>
        <v>2.41</v>
      </c>
      <c r="F71" s="739">
        <v>0.38</v>
      </c>
      <c r="G71" s="739">
        <v>0.1</v>
      </c>
      <c r="H71" s="739">
        <f t="shared" si="6"/>
        <v>0.09</v>
      </c>
      <c r="I71" s="736"/>
    </row>
    <row r="72" spans="1:9" s="737" customFormat="1" ht="21.75" customHeight="1">
      <c r="A72" s="738"/>
      <c r="B72" s="740" t="s">
        <v>5820</v>
      </c>
      <c r="C72" s="734">
        <v>1</v>
      </c>
      <c r="D72" s="734">
        <v>2</v>
      </c>
      <c r="E72" s="739">
        <f>0.23+3.64+0.23+1.443+0.23+1.292+0.23</f>
        <v>7.3</v>
      </c>
      <c r="F72" s="739">
        <v>0.38</v>
      </c>
      <c r="G72" s="739">
        <v>0.1</v>
      </c>
      <c r="H72" s="739">
        <f t="shared" si="6"/>
        <v>0.55000000000000004</v>
      </c>
      <c r="I72" s="736"/>
    </row>
    <row r="73" spans="1:9" s="737" customFormat="1" ht="21.75" customHeight="1">
      <c r="A73" s="738"/>
      <c r="B73" s="740" t="s">
        <v>5821</v>
      </c>
      <c r="C73" s="734">
        <v>1</v>
      </c>
      <c r="D73" s="734">
        <v>2</v>
      </c>
      <c r="E73" s="739">
        <f>0.23+3.64+0.23+3.63+0.23</f>
        <v>7.96</v>
      </c>
      <c r="F73" s="739">
        <v>0.38</v>
      </c>
      <c r="G73" s="739">
        <v>0.1</v>
      </c>
      <c r="H73" s="739">
        <f t="shared" si="6"/>
        <v>0.6</v>
      </c>
      <c r="I73" s="736"/>
    </row>
    <row r="74" spans="1:9" s="737" customFormat="1" ht="21.75" customHeight="1">
      <c r="A74" s="738"/>
      <c r="B74" s="740" t="s">
        <v>5822</v>
      </c>
      <c r="C74" s="734">
        <v>1</v>
      </c>
      <c r="D74" s="734">
        <v>1</v>
      </c>
      <c r="E74" s="739">
        <f>0.23+1.592+0.23+1.177+0.23+1.442+0.23+1.177+0.23</f>
        <v>6.54</v>
      </c>
      <c r="F74" s="739">
        <v>0.38</v>
      </c>
      <c r="G74" s="739">
        <v>0.1</v>
      </c>
      <c r="H74" s="739">
        <f t="shared" si="6"/>
        <v>0.25</v>
      </c>
      <c r="I74" s="736"/>
    </row>
    <row r="75" spans="1:9" s="737" customFormat="1" ht="21.75" customHeight="1">
      <c r="A75" s="738"/>
      <c r="B75" s="740" t="s">
        <v>5823</v>
      </c>
      <c r="C75" s="734">
        <v>1</v>
      </c>
      <c r="D75" s="734">
        <v>1</v>
      </c>
      <c r="E75" s="739">
        <v>1.18</v>
      </c>
      <c r="F75" s="739">
        <v>0.38</v>
      </c>
      <c r="G75" s="739">
        <v>0.1</v>
      </c>
      <c r="H75" s="739">
        <f t="shared" si="6"/>
        <v>0.04</v>
      </c>
      <c r="I75" s="736"/>
    </row>
    <row r="76" spans="1:9" s="737" customFormat="1" ht="21.75" customHeight="1">
      <c r="A76" s="738"/>
      <c r="B76" s="740" t="s">
        <v>7079</v>
      </c>
      <c r="C76" s="734">
        <v>1</v>
      </c>
      <c r="D76" s="734">
        <v>1</v>
      </c>
      <c r="E76" s="739">
        <v>1.44</v>
      </c>
      <c r="F76" s="739">
        <v>0.38</v>
      </c>
      <c r="G76" s="739">
        <v>0.1</v>
      </c>
      <c r="H76" s="739">
        <f t="shared" si="6"/>
        <v>0.05</v>
      </c>
      <c r="I76" s="736"/>
    </row>
    <row r="77" spans="1:9" s="737" customFormat="1">
      <c r="A77" s="738"/>
      <c r="B77" s="740" t="s">
        <v>7080</v>
      </c>
      <c r="C77" s="734">
        <v>1</v>
      </c>
      <c r="D77" s="734">
        <v>1</v>
      </c>
      <c r="E77" s="739">
        <f>1.292+0.23+1.443</f>
        <v>2.97</v>
      </c>
      <c r="F77" s="739">
        <v>0.45</v>
      </c>
      <c r="G77" s="739">
        <v>0.1</v>
      </c>
      <c r="H77" s="739">
        <f t="shared" si="6"/>
        <v>0.13</v>
      </c>
      <c r="I77" s="736"/>
    </row>
    <row r="78" spans="1:9" s="737" customFormat="1">
      <c r="A78" s="738"/>
      <c r="B78" s="735" t="s">
        <v>5826</v>
      </c>
      <c r="C78" s="734"/>
      <c r="D78" s="734"/>
      <c r="E78" s="739"/>
      <c r="F78" s="739"/>
      <c r="G78" s="739"/>
      <c r="H78" s="739"/>
      <c r="I78" s="736"/>
    </row>
    <row r="79" spans="1:9" s="737" customFormat="1">
      <c r="A79" s="738"/>
      <c r="B79" s="735" t="s">
        <v>5800</v>
      </c>
      <c r="C79" s="734">
        <v>-1</v>
      </c>
      <c r="D79" s="734">
        <v>3</v>
      </c>
      <c r="E79" s="739">
        <v>0.38</v>
      </c>
      <c r="F79" s="739">
        <v>0.23</v>
      </c>
      <c r="G79" s="739">
        <v>0.1</v>
      </c>
      <c r="H79" s="739">
        <f>PRODUCT(C79:G79)</f>
        <v>-0.03</v>
      </c>
      <c r="I79" s="736"/>
    </row>
    <row r="80" spans="1:9" s="737" customFormat="1">
      <c r="A80" s="738"/>
      <c r="B80" s="735" t="s">
        <v>5801</v>
      </c>
      <c r="C80" s="734">
        <v>-1</v>
      </c>
      <c r="D80" s="734">
        <v>7</v>
      </c>
      <c r="E80" s="739">
        <v>0.38</v>
      </c>
      <c r="F80" s="739">
        <v>0.23</v>
      </c>
      <c r="G80" s="739">
        <v>0.1</v>
      </c>
      <c r="H80" s="739">
        <f t="shared" ref="H80:H84" si="7">PRODUCT(C80:G80)</f>
        <v>-0.06</v>
      </c>
      <c r="I80" s="736"/>
    </row>
    <row r="81" spans="1:9" s="737" customFormat="1">
      <c r="A81" s="738"/>
      <c r="B81" s="735" t="s">
        <v>5802</v>
      </c>
      <c r="C81" s="734">
        <v>-1</v>
      </c>
      <c r="D81" s="734">
        <v>4</v>
      </c>
      <c r="E81" s="739">
        <v>0.38</v>
      </c>
      <c r="F81" s="739">
        <v>0.23</v>
      </c>
      <c r="G81" s="739">
        <v>0.1</v>
      </c>
      <c r="H81" s="739">
        <f t="shared" si="7"/>
        <v>-0.03</v>
      </c>
      <c r="I81" s="736"/>
    </row>
    <row r="82" spans="1:9" s="737" customFormat="1">
      <c r="A82" s="738"/>
      <c r="B82" s="735" t="s">
        <v>5803</v>
      </c>
      <c r="C82" s="734">
        <v>-1</v>
      </c>
      <c r="D82" s="734">
        <v>4</v>
      </c>
      <c r="E82" s="739">
        <v>0.38</v>
      </c>
      <c r="F82" s="739">
        <v>0.23</v>
      </c>
      <c r="G82" s="739">
        <v>0.1</v>
      </c>
      <c r="H82" s="739">
        <f t="shared" si="7"/>
        <v>-0.03</v>
      </c>
      <c r="I82" s="736"/>
    </row>
    <row r="83" spans="1:9" s="737" customFormat="1">
      <c r="A83" s="738"/>
      <c r="B83" s="735" t="s">
        <v>5804</v>
      </c>
      <c r="C83" s="734">
        <v>-1</v>
      </c>
      <c r="D83" s="734">
        <v>2</v>
      </c>
      <c r="E83" s="739">
        <v>0.3</v>
      </c>
      <c r="F83" s="739">
        <v>0.23</v>
      </c>
      <c r="G83" s="739">
        <v>0.1</v>
      </c>
      <c r="H83" s="739">
        <f t="shared" si="7"/>
        <v>-0.01</v>
      </c>
      <c r="I83" s="736"/>
    </row>
    <row r="84" spans="1:9" s="737" customFormat="1">
      <c r="A84" s="738"/>
      <c r="B84" s="735" t="s">
        <v>5805</v>
      </c>
      <c r="C84" s="734">
        <v>-1</v>
      </c>
      <c r="D84" s="734">
        <v>1</v>
      </c>
      <c r="E84" s="739">
        <v>0.38</v>
      </c>
      <c r="F84" s="739">
        <v>0.23</v>
      </c>
      <c r="G84" s="739">
        <v>0.1</v>
      </c>
      <c r="H84" s="739">
        <f t="shared" si="7"/>
        <v>-0.01</v>
      </c>
      <c r="I84" s="736"/>
    </row>
    <row r="85" spans="1:9" s="737" customFormat="1">
      <c r="A85" s="738"/>
      <c r="B85" s="735" t="s">
        <v>5827</v>
      </c>
      <c r="C85" s="734">
        <v>1</v>
      </c>
      <c r="D85" s="734">
        <v>1</v>
      </c>
      <c r="E85" s="739">
        <f>3.52+0.46</f>
        <v>3.98</v>
      </c>
      <c r="F85" s="739">
        <v>1</v>
      </c>
      <c r="G85" s="739">
        <v>0.1</v>
      </c>
      <c r="H85" s="739">
        <f>PRODUCT(C85:G85)</f>
        <v>0.4</v>
      </c>
      <c r="I85" s="736"/>
    </row>
    <row r="86" spans="1:9" s="737" customFormat="1">
      <c r="A86" s="738"/>
      <c r="B86" s="735" t="s">
        <v>5828</v>
      </c>
      <c r="C86" s="734">
        <v>1</v>
      </c>
      <c r="D86" s="734">
        <v>1</v>
      </c>
      <c r="E86" s="739">
        <f>2.4+0.46</f>
        <v>2.86</v>
      </c>
      <c r="F86" s="739">
        <v>1</v>
      </c>
      <c r="G86" s="739">
        <v>0.1</v>
      </c>
      <c r="H86" s="739">
        <f>PRODUCT(C86:G86)</f>
        <v>0.28999999999999998</v>
      </c>
      <c r="I86" s="736"/>
    </row>
    <row r="87" spans="1:9" s="737" customFormat="1">
      <c r="A87" s="738"/>
      <c r="B87" s="735" t="s">
        <v>5829</v>
      </c>
      <c r="C87" s="734">
        <v>1</v>
      </c>
      <c r="D87" s="734">
        <v>10</v>
      </c>
      <c r="E87" s="739">
        <v>1.36</v>
      </c>
      <c r="F87" s="739">
        <v>1.36</v>
      </c>
      <c r="G87" s="739">
        <v>0.1</v>
      </c>
      <c r="H87" s="739">
        <f>PRODUCT(C87:G87)</f>
        <v>1.85</v>
      </c>
      <c r="I87" s="736"/>
    </row>
    <row r="88" spans="1:9" s="737" customFormat="1">
      <c r="A88" s="738"/>
      <c r="B88" s="735" t="s">
        <v>5832</v>
      </c>
      <c r="C88" s="734">
        <v>1</v>
      </c>
      <c r="D88" s="734">
        <v>1</v>
      </c>
      <c r="E88" s="739">
        <v>3.6</v>
      </c>
      <c r="F88" s="739">
        <v>3.64</v>
      </c>
      <c r="G88" s="739">
        <v>0.15</v>
      </c>
      <c r="H88" s="739">
        <f>PRODUCT(C88:G88)</f>
        <v>1.97</v>
      </c>
      <c r="I88" s="736"/>
    </row>
    <row r="89" spans="1:9" s="737" customFormat="1">
      <c r="A89" s="738"/>
      <c r="B89" s="735" t="s">
        <v>5833</v>
      </c>
      <c r="C89" s="734">
        <v>1</v>
      </c>
      <c r="D89" s="734">
        <v>1</v>
      </c>
      <c r="E89" s="739">
        <v>1.44</v>
      </c>
      <c r="F89" s="739">
        <v>1.33</v>
      </c>
      <c r="G89" s="739">
        <v>0.15</v>
      </c>
      <c r="H89" s="739">
        <f>PRODUCT(C89:G89)</f>
        <v>0.28999999999999998</v>
      </c>
      <c r="I89" s="736"/>
    </row>
    <row r="90" spans="1:9" s="737" customFormat="1">
      <c r="A90" s="738"/>
      <c r="B90" s="735" t="s">
        <v>5834</v>
      </c>
      <c r="C90" s="734">
        <v>1</v>
      </c>
      <c r="D90" s="734">
        <v>1</v>
      </c>
      <c r="E90" s="739">
        <v>1.44</v>
      </c>
      <c r="F90" s="739">
        <v>0.68</v>
      </c>
      <c r="G90" s="739">
        <v>0.15</v>
      </c>
      <c r="H90" s="739">
        <f t="shared" ref="H90:H104" si="8">PRODUCT(C90:G90)</f>
        <v>0.15</v>
      </c>
      <c r="I90" s="736"/>
    </row>
    <row r="91" spans="1:9" s="737" customFormat="1">
      <c r="A91" s="738"/>
      <c r="B91" s="735" t="s">
        <v>5835</v>
      </c>
      <c r="C91" s="734">
        <v>1</v>
      </c>
      <c r="D91" s="734">
        <v>1</v>
      </c>
      <c r="E91" s="739">
        <v>1.44</v>
      </c>
      <c r="F91" s="739">
        <v>1.06</v>
      </c>
      <c r="G91" s="739">
        <v>0.15</v>
      </c>
      <c r="H91" s="739">
        <f t="shared" si="8"/>
        <v>0.23</v>
      </c>
      <c r="I91" s="736"/>
    </row>
    <row r="92" spans="1:9" s="737" customFormat="1">
      <c r="A92" s="738"/>
      <c r="B92" s="735" t="s">
        <v>5836</v>
      </c>
      <c r="C92" s="734">
        <v>1</v>
      </c>
      <c r="D92" s="734">
        <v>1</v>
      </c>
      <c r="E92" s="739">
        <v>1.29</v>
      </c>
      <c r="F92" s="739">
        <v>1.33</v>
      </c>
      <c r="G92" s="739">
        <v>0.15</v>
      </c>
      <c r="H92" s="739">
        <f t="shared" si="8"/>
        <v>0.26</v>
      </c>
      <c r="I92" s="736"/>
    </row>
    <row r="93" spans="1:9" s="737" customFormat="1">
      <c r="A93" s="738"/>
      <c r="B93" s="735" t="s">
        <v>5835</v>
      </c>
      <c r="C93" s="734">
        <v>1</v>
      </c>
      <c r="D93" s="734">
        <v>1</v>
      </c>
      <c r="E93" s="739">
        <v>1.29</v>
      </c>
      <c r="F93" s="739">
        <f>0.68+0.23+1.058</f>
        <v>1.97</v>
      </c>
      <c r="G93" s="739">
        <v>0.15</v>
      </c>
      <c r="H93" s="739">
        <f t="shared" si="8"/>
        <v>0.38</v>
      </c>
      <c r="I93" s="736"/>
    </row>
    <row r="94" spans="1:9" s="737" customFormat="1">
      <c r="A94" s="738"/>
      <c r="B94" s="735" t="s">
        <v>5837</v>
      </c>
      <c r="C94" s="734">
        <v>1</v>
      </c>
      <c r="D94" s="734">
        <v>1</v>
      </c>
      <c r="E94" s="739">
        <v>3.6</v>
      </c>
      <c r="F94" s="739">
        <v>3.49</v>
      </c>
      <c r="G94" s="739">
        <v>0.15</v>
      </c>
      <c r="H94" s="739">
        <f t="shared" si="8"/>
        <v>1.88</v>
      </c>
      <c r="I94" s="736"/>
    </row>
    <row r="95" spans="1:9" s="737" customFormat="1">
      <c r="A95" s="738"/>
      <c r="B95" s="735" t="s">
        <v>5838</v>
      </c>
      <c r="C95" s="734">
        <v>1</v>
      </c>
      <c r="D95" s="734">
        <v>1</v>
      </c>
      <c r="E95" s="739">
        <v>3.52</v>
      </c>
      <c r="F95" s="739">
        <v>3.64</v>
      </c>
      <c r="G95" s="739">
        <v>0.15</v>
      </c>
      <c r="H95" s="739">
        <f t="shared" si="8"/>
        <v>1.92</v>
      </c>
      <c r="I95" s="736"/>
    </row>
    <row r="96" spans="1:9" s="737" customFormat="1">
      <c r="A96" s="738"/>
      <c r="B96" s="735" t="s">
        <v>5838</v>
      </c>
      <c r="C96" s="734">
        <v>1</v>
      </c>
      <c r="D96" s="734">
        <v>1</v>
      </c>
      <c r="E96" s="739">
        <v>2.78</v>
      </c>
      <c r="F96" s="739">
        <v>3.64</v>
      </c>
      <c r="G96" s="739">
        <v>0.15</v>
      </c>
      <c r="H96" s="739">
        <f t="shared" si="8"/>
        <v>1.52</v>
      </c>
      <c r="I96" s="736"/>
    </row>
    <row r="97" spans="1:9" s="737" customFormat="1">
      <c r="A97" s="738"/>
      <c r="B97" s="735" t="s">
        <v>5838</v>
      </c>
      <c r="C97" s="734">
        <v>1</v>
      </c>
      <c r="D97" s="734">
        <v>1</v>
      </c>
      <c r="E97" s="739">
        <v>3.52</v>
      </c>
      <c r="F97" s="739">
        <v>3.63</v>
      </c>
      <c r="G97" s="739">
        <v>0.15</v>
      </c>
      <c r="H97" s="739">
        <f t="shared" si="8"/>
        <v>1.92</v>
      </c>
      <c r="I97" s="736"/>
    </row>
    <row r="98" spans="1:9" s="737" customFormat="1">
      <c r="A98" s="738"/>
      <c r="B98" s="735" t="s">
        <v>5838</v>
      </c>
      <c r="C98" s="734">
        <v>1</v>
      </c>
      <c r="D98" s="734">
        <v>1</v>
      </c>
      <c r="E98" s="739">
        <v>2.78</v>
      </c>
      <c r="F98" s="739">
        <v>3.63</v>
      </c>
      <c r="G98" s="739">
        <v>0.15</v>
      </c>
      <c r="H98" s="739">
        <f t="shared" si="8"/>
        <v>1.51</v>
      </c>
      <c r="I98" s="736"/>
    </row>
    <row r="99" spans="1:9" s="737" customFormat="1">
      <c r="A99" s="738"/>
      <c r="B99" s="735" t="s">
        <v>5838</v>
      </c>
      <c r="C99" s="734">
        <v>1</v>
      </c>
      <c r="D99" s="734">
        <v>1</v>
      </c>
      <c r="E99" s="739">
        <v>3.52</v>
      </c>
      <c r="F99" s="739">
        <v>1.35</v>
      </c>
      <c r="G99" s="739">
        <v>0.15</v>
      </c>
      <c r="H99" s="739">
        <f t="shared" si="8"/>
        <v>0.71</v>
      </c>
      <c r="I99" s="736"/>
    </row>
    <row r="100" spans="1:9" s="737" customFormat="1">
      <c r="A100" s="738"/>
      <c r="B100" s="735" t="s">
        <v>5839</v>
      </c>
      <c r="C100" s="734">
        <v>1</v>
      </c>
      <c r="D100" s="734">
        <v>1</v>
      </c>
      <c r="E100" s="739">
        <v>3.52</v>
      </c>
      <c r="F100" s="739">
        <f>1.24+1.95+0.23</f>
        <v>3.42</v>
      </c>
      <c r="G100" s="739">
        <v>0.15</v>
      </c>
      <c r="H100" s="739">
        <f t="shared" si="8"/>
        <v>1.81</v>
      </c>
      <c r="I100" s="736"/>
    </row>
    <row r="101" spans="1:9" s="737" customFormat="1">
      <c r="A101" s="738"/>
      <c r="B101" s="735" t="s">
        <v>5840</v>
      </c>
      <c r="C101" s="734">
        <v>1</v>
      </c>
      <c r="D101" s="734">
        <v>1</v>
      </c>
      <c r="E101" s="739">
        <v>2.78</v>
      </c>
      <c r="F101" s="739">
        <v>4.25</v>
      </c>
      <c r="G101" s="739">
        <v>0.15</v>
      </c>
      <c r="H101" s="739">
        <f t="shared" si="8"/>
        <v>1.77</v>
      </c>
      <c r="I101" s="736"/>
    </row>
    <row r="102" spans="1:9" s="737" customFormat="1">
      <c r="A102" s="738"/>
      <c r="B102" s="735" t="s">
        <v>5841</v>
      </c>
      <c r="C102" s="734">
        <v>1</v>
      </c>
      <c r="D102" s="734">
        <v>1</v>
      </c>
      <c r="E102" s="739">
        <v>2.4</v>
      </c>
      <c r="F102" s="739">
        <f>4.92+0.23+0.52</f>
        <v>5.67</v>
      </c>
      <c r="G102" s="739">
        <v>0.15</v>
      </c>
      <c r="H102" s="739">
        <f t="shared" si="8"/>
        <v>2.04</v>
      </c>
      <c r="I102" s="736"/>
    </row>
    <row r="103" spans="1:9" s="737" customFormat="1">
      <c r="A103" s="738"/>
      <c r="B103" s="735" t="s">
        <v>5842</v>
      </c>
      <c r="C103" s="734">
        <v>1</v>
      </c>
      <c r="D103" s="734">
        <v>1</v>
      </c>
      <c r="E103" s="739">
        <v>2.4</v>
      </c>
      <c r="F103" s="739">
        <f>1.177+1.442+0.23</f>
        <v>2.85</v>
      </c>
      <c r="G103" s="739">
        <v>0.15</v>
      </c>
      <c r="H103" s="739">
        <f t="shared" si="8"/>
        <v>1.03</v>
      </c>
      <c r="I103" s="736"/>
    </row>
    <row r="104" spans="1:9" s="737" customFormat="1">
      <c r="A104" s="738"/>
      <c r="B104" s="735" t="s">
        <v>5843</v>
      </c>
      <c r="C104" s="734">
        <v>1</v>
      </c>
      <c r="D104" s="734">
        <v>1</v>
      </c>
      <c r="E104" s="739">
        <v>2.4</v>
      </c>
      <c r="F104" s="739">
        <f>1.177+0.23+1.592</f>
        <v>3</v>
      </c>
      <c r="G104" s="739">
        <v>0.15</v>
      </c>
      <c r="H104" s="739">
        <f t="shared" si="8"/>
        <v>1.08</v>
      </c>
      <c r="I104" s="736"/>
    </row>
    <row r="105" spans="1:9" s="737" customFormat="1">
      <c r="A105" s="738"/>
      <c r="B105" s="735"/>
      <c r="C105" s="734"/>
      <c r="D105" s="734"/>
      <c r="E105" s="739"/>
      <c r="F105" s="739"/>
      <c r="G105" s="742" t="s">
        <v>2235</v>
      </c>
      <c r="H105" s="742">
        <f>SUM(H48:H104)</f>
        <v>41.83</v>
      </c>
      <c r="I105" s="736"/>
    </row>
    <row r="106" spans="1:9" s="737" customFormat="1" ht="19.5">
      <c r="A106" s="738"/>
      <c r="B106" s="735"/>
      <c r="C106" s="734"/>
      <c r="D106" s="734"/>
      <c r="E106" s="739"/>
      <c r="F106" s="739"/>
      <c r="G106" s="742" t="s">
        <v>4209</v>
      </c>
      <c r="H106" s="742">
        <f>ROUNDUP(H105,1)</f>
        <v>41.9</v>
      </c>
      <c r="I106" s="743" t="s">
        <v>5830</v>
      </c>
    </row>
    <row r="107" spans="1:9" s="737" customFormat="1" ht="42" customHeight="1">
      <c r="A107" s="732">
        <v>3.1</v>
      </c>
      <c r="B107" s="733" t="s">
        <v>5844</v>
      </c>
      <c r="C107" s="734"/>
      <c r="D107" s="734"/>
      <c r="E107" s="739"/>
      <c r="F107" s="739"/>
      <c r="G107" s="739"/>
      <c r="H107" s="739"/>
      <c r="I107" s="736"/>
    </row>
    <row r="108" spans="1:9" s="737" customFormat="1">
      <c r="A108" s="738"/>
      <c r="B108" s="735" t="s">
        <v>5800</v>
      </c>
      <c r="C108" s="734">
        <v>1</v>
      </c>
      <c r="D108" s="734">
        <v>3</v>
      </c>
      <c r="E108" s="739">
        <f>1.35+0.3</f>
        <v>1.65</v>
      </c>
      <c r="F108" s="739">
        <v>1.65</v>
      </c>
      <c r="G108" s="739">
        <v>0.1</v>
      </c>
      <c r="H108" s="739">
        <f>PRODUCT(C108:G108)</f>
        <v>0.82</v>
      </c>
      <c r="I108" s="736"/>
    </row>
    <row r="109" spans="1:9" s="737" customFormat="1">
      <c r="A109" s="738"/>
      <c r="B109" s="735" t="s">
        <v>5801</v>
      </c>
      <c r="C109" s="734">
        <v>1</v>
      </c>
      <c r="D109" s="734">
        <v>7</v>
      </c>
      <c r="E109" s="739">
        <f>1.65+0.3</f>
        <v>1.95</v>
      </c>
      <c r="F109" s="739">
        <v>1.95</v>
      </c>
      <c r="G109" s="739">
        <v>0.1</v>
      </c>
      <c r="H109" s="739">
        <f t="shared" ref="H109:H113" si="9">PRODUCT(C109:G109)</f>
        <v>2.66</v>
      </c>
      <c r="I109" s="736"/>
    </row>
    <row r="110" spans="1:9" s="737" customFormat="1">
      <c r="A110" s="738"/>
      <c r="B110" s="735" t="s">
        <v>5802</v>
      </c>
      <c r="C110" s="734">
        <v>1</v>
      </c>
      <c r="D110" s="734">
        <v>4</v>
      </c>
      <c r="E110" s="739">
        <f>1.9+0.3</f>
        <v>2.2000000000000002</v>
      </c>
      <c r="F110" s="739">
        <v>2.2000000000000002</v>
      </c>
      <c r="G110" s="739">
        <v>0.1</v>
      </c>
      <c r="H110" s="739">
        <f t="shared" si="9"/>
        <v>1.94</v>
      </c>
      <c r="I110" s="736"/>
    </row>
    <row r="111" spans="1:9" s="737" customFormat="1">
      <c r="A111" s="738"/>
      <c r="B111" s="735" t="s">
        <v>5803</v>
      </c>
      <c r="C111" s="734">
        <v>1</v>
      </c>
      <c r="D111" s="734">
        <v>4</v>
      </c>
      <c r="E111" s="739">
        <f>2.2+0.3</f>
        <v>2.5</v>
      </c>
      <c r="F111" s="739">
        <v>2.5</v>
      </c>
      <c r="G111" s="739">
        <v>0.1</v>
      </c>
      <c r="H111" s="739">
        <f t="shared" si="9"/>
        <v>2.5</v>
      </c>
      <c r="I111" s="736"/>
    </row>
    <row r="112" spans="1:9" s="737" customFormat="1">
      <c r="A112" s="738"/>
      <c r="B112" s="735" t="s">
        <v>5804</v>
      </c>
      <c r="C112" s="734">
        <v>1</v>
      </c>
      <c r="D112" s="734">
        <v>2</v>
      </c>
      <c r="E112" s="739">
        <f>1.2+0.3</f>
        <v>1.5</v>
      </c>
      <c r="F112" s="739">
        <v>1.5</v>
      </c>
      <c r="G112" s="739">
        <v>0.1</v>
      </c>
      <c r="H112" s="739">
        <f t="shared" si="9"/>
        <v>0.45</v>
      </c>
      <c r="I112" s="736"/>
    </row>
    <row r="113" spans="1:9" s="737" customFormat="1">
      <c r="A113" s="738"/>
      <c r="B113" s="735" t="s">
        <v>5805</v>
      </c>
      <c r="C113" s="734">
        <v>1</v>
      </c>
      <c r="D113" s="734">
        <v>1</v>
      </c>
      <c r="E113" s="739">
        <f>1.65+0.3</f>
        <v>1.95</v>
      </c>
      <c r="F113" s="739">
        <f>2.1+0.3</f>
        <v>2.4</v>
      </c>
      <c r="G113" s="739">
        <v>0.1</v>
      </c>
      <c r="H113" s="739">
        <f t="shared" si="9"/>
        <v>0.47</v>
      </c>
      <c r="I113" s="736"/>
    </row>
    <row r="114" spans="1:9" s="737" customFormat="1">
      <c r="A114" s="738"/>
      <c r="B114" s="735" t="s">
        <v>5806</v>
      </c>
      <c r="C114" s="734"/>
      <c r="D114" s="734"/>
      <c r="E114" s="739"/>
      <c r="F114" s="739"/>
      <c r="G114" s="739"/>
      <c r="H114" s="739"/>
      <c r="I114" s="736"/>
    </row>
    <row r="115" spans="1:9" s="737" customFormat="1" ht="23.25" customHeight="1">
      <c r="A115" s="738"/>
      <c r="B115" s="735" t="s">
        <v>5807</v>
      </c>
      <c r="C115" s="734">
        <v>1</v>
      </c>
      <c r="D115" s="734">
        <v>2</v>
      </c>
      <c r="E115" s="739">
        <f>4.92+0.23+0.52+0.23+0.23</f>
        <v>6.13</v>
      </c>
      <c r="F115" s="739">
        <v>0.38</v>
      </c>
      <c r="G115" s="739">
        <v>0.1</v>
      </c>
      <c r="H115" s="739">
        <f t="shared" ref="H115:H125" si="10">PRODUCT(C115:G115)</f>
        <v>0.47</v>
      </c>
      <c r="I115" s="736"/>
    </row>
    <row r="116" spans="1:9" s="737" customFormat="1" ht="20.25" customHeight="1">
      <c r="A116" s="738"/>
      <c r="B116" s="740" t="s">
        <v>5808</v>
      </c>
      <c r="C116" s="734">
        <v>1</v>
      </c>
      <c r="D116" s="734">
        <v>2</v>
      </c>
      <c r="E116" s="739">
        <f>3.6</f>
        <v>3.6</v>
      </c>
      <c r="F116" s="739">
        <v>0.38</v>
      </c>
      <c r="G116" s="739">
        <v>0.1</v>
      </c>
      <c r="H116" s="739">
        <f t="shared" si="10"/>
        <v>0.27</v>
      </c>
      <c r="I116" s="736"/>
    </row>
    <row r="117" spans="1:9" s="788" customFormat="1" ht="20.25" customHeight="1">
      <c r="A117" s="789"/>
      <c r="B117" s="1223" t="s">
        <v>5809</v>
      </c>
      <c r="C117" s="785">
        <v>1</v>
      </c>
      <c r="D117" s="785">
        <v>2</v>
      </c>
      <c r="E117" s="786">
        <f>3.485+0.46</f>
        <v>3.95</v>
      </c>
      <c r="F117" s="786">
        <v>0.38</v>
      </c>
      <c r="G117" s="786">
        <v>0.1</v>
      </c>
      <c r="H117" s="786"/>
      <c r="I117" s="787"/>
    </row>
    <row r="118" spans="1:9" s="788" customFormat="1" ht="20.25" customHeight="1">
      <c r="A118" s="789"/>
      <c r="B118" s="1223" t="s">
        <v>5810</v>
      </c>
      <c r="C118" s="785">
        <v>1</v>
      </c>
      <c r="D118" s="785">
        <v>1</v>
      </c>
      <c r="E118" s="786">
        <f>4.25+0.23+0.75+0.23</f>
        <v>5.46</v>
      </c>
      <c r="F118" s="786">
        <v>0.38</v>
      </c>
      <c r="G118" s="786">
        <v>0.1</v>
      </c>
      <c r="H118" s="786"/>
      <c r="I118" s="787"/>
    </row>
    <row r="119" spans="1:9" s="788" customFormat="1" ht="20.25" customHeight="1">
      <c r="A119" s="789"/>
      <c r="B119" s="1223" t="s">
        <v>5811</v>
      </c>
      <c r="C119" s="785">
        <v>1</v>
      </c>
      <c r="D119" s="785">
        <v>1</v>
      </c>
      <c r="E119" s="786">
        <f>2.18+0.23</f>
        <v>2.41</v>
      </c>
      <c r="F119" s="786">
        <v>0.38</v>
      </c>
      <c r="G119" s="786">
        <v>0.1</v>
      </c>
      <c r="H119" s="786"/>
      <c r="I119" s="787"/>
    </row>
    <row r="120" spans="1:9" s="737" customFormat="1" ht="22.5" customHeight="1">
      <c r="A120" s="738"/>
      <c r="B120" s="735" t="s">
        <v>5812</v>
      </c>
      <c r="C120" s="734">
        <v>1</v>
      </c>
      <c r="D120" s="734">
        <v>3</v>
      </c>
      <c r="E120" s="739">
        <f>3.6</f>
        <v>3.6</v>
      </c>
      <c r="F120" s="739">
        <v>0.38</v>
      </c>
      <c r="G120" s="739">
        <v>0.1</v>
      </c>
      <c r="H120" s="739">
        <f t="shared" si="10"/>
        <v>0.41</v>
      </c>
      <c r="I120" s="736"/>
    </row>
    <row r="121" spans="1:9" s="737" customFormat="1" ht="21.75" customHeight="1">
      <c r="A121" s="738"/>
      <c r="B121" s="740" t="s">
        <v>5813</v>
      </c>
      <c r="C121" s="734">
        <v>1</v>
      </c>
      <c r="D121" s="734">
        <v>5</v>
      </c>
      <c r="E121" s="739">
        <f>3.52</f>
        <v>3.52</v>
      </c>
      <c r="F121" s="739">
        <v>0.38</v>
      </c>
      <c r="G121" s="739">
        <v>0.1</v>
      </c>
      <c r="H121" s="739">
        <f t="shared" si="10"/>
        <v>0.67</v>
      </c>
      <c r="I121" s="736"/>
    </row>
    <row r="122" spans="1:9" s="737" customFormat="1" ht="21.75" customHeight="1">
      <c r="A122" s="738"/>
      <c r="B122" s="740" t="s">
        <v>5814</v>
      </c>
      <c r="C122" s="734">
        <v>1</v>
      </c>
      <c r="D122" s="734">
        <v>4</v>
      </c>
      <c r="E122" s="739">
        <f>2.78</f>
        <v>2.78</v>
      </c>
      <c r="F122" s="739">
        <v>0.38</v>
      </c>
      <c r="G122" s="739">
        <v>0.1</v>
      </c>
      <c r="H122" s="739">
        <f t="shared" si="10"/>
        <v>0.42</v>
      </c>
      <c r="I122" s="736"/>
    </row>
    <row r="123" spans="1:9" s="737" customFormat="1" ht="21.75" customHeight="1">
      <c r="A123" s="738"/>
      <c r="B123" s="740" t="s">
        <v>5815</v>
      </c>
      <c r="C123" s="734">
        <v>1</v>
      </c>
      <c r="D123" s="734">
        <v>4</v>
      </c>
      <c r="E123" s="739">
        <f>2.4</f>
        <v>2.4</v>
      </c>
      <c r="F123" s="739">
        <v>0.38</v>
      </c>
      <c r="G123" s="739">
        <v>0.1</v>
      </c>
      <c r="H123" s="739">
        <f t="shared" si="10"/>
        <v>0.36</v>
      </c>
      <c r="I123" s="736"/>
    </row>
    <row r="124" spans="1:9" s="737" customFormat="1" ht="21.75" customHeight="1">
      <c r="A124" s="738"/>
      <c r="B124" s="740" t="s">
        <v>5816</v>
      </c>
      <c r="C124" s="734">
        <v>1</v>
      </c>
      <c r="D124" s="734">
        <v>1</v>
      </c>
      <c r="E124" s="739">
        <f>3.52</f>
        <v>3.52</v>
      </c>
      <c r="F124" s="739">
        <v>0.38</v>
      </c>
      <c r="G124" s="739">
        <v>0.1</v>
      </c>
      <c r="H124" s="739">
        <f t="shared" si="10"/>
        <v>0.13</v>
      </c>
      <c r="I124" s="736"/>
    </row>
    <row r="125" spans="1:9" s="737" customFormat="1" ht="21.75" customHeight="1">
      <c r="A125" s="738"/>
      <c r="B125" s="740" t="s">
        <v>5817</v>
      </c>
      <c r="C125" s="734">
        <v>1</v>
      </c>
      <c r="D125" s="734">
        <v>3</v>
      </c>
      <c r="E125" s="739">
        <v>2.4</v>
      </c>
      <c r="F125" s="739">
        <v>0.38</v>
      </c>
      <c r="G125" s="739">
        <v>0.1</v>
      </c>
      <c r="H125" s="739">
        <f t="shared" si="10"/>
        <v>0.27</v>
      </c>
      <c r="I125" s="736"/>
    </row>
    <row r="126" spans="1:9" s="737" customFormat="1">
      <c r="A126" s="738"/>
      <c r="B126" s="735" t="s">
        <v>5818</v>
      </c>
      <c r="C126" s="734"/>
      <c r="D126" s="734"/>
      <c r="E126" s="739"/>
      <c r="F126" s="739"/>
      <c r="G126" s="739"/>
      <c r="H126" s="739"/>
      <c r="I126" s="736"/>
    </row>
    <row r="127" spans="1:9" s="737" customFormat="1" ht="23.25" customHeight="1">
      <c r="A127" s="738"/>
      <c r="B127" s="735" t="s">
        <v>5807</v>
      </c>
      <c r="C127" s="734">
        <v>1</v>
      </c>
      <c r="D127" s="734">
        <v>2</v>
      </c>
      <c r="E127" s="739">
        <f>4.92+0.23+0.52+0.23+0.23</f>
        <v>6.13</v>
      </c>
      <c r="F127" s="739">
        <v>0.38</v>
      </c>
      <c r="G127" s="739">
        <v>0.1</v>
      </c>
      <c r="H127" s="739">
        <f t="shared" ref="H127:H137" si="11">PRODUCT(C127:G127)</f>
        <v>0.47</v>
      </c>
      <c r="I127" s="736"/>
    </row>
    <row r="128" spans="1:9" s="737" customFormat="1" ht="20.25" customHeight="1">
      <c r="A128" s="738"/>
      <c r="B128" s="740" t="s">
        <v>5809</v>
      </c>
      <c r="C128" s="734">
        <v>1</v>
      </c>
      <c r="D128" s="734">
        <v>2</v>
      </c>
      <c r="E128" s="739">
        <f>3.485+0.46</f>
        <v>3.95</v>
      </c>
      <c r="F128" s="739">
        <v>0.38</v>
      </c>
      <c r="G128" s="739">
        <v>0.1</v>
      </c>
      <c r="H128" s="739">
        <f t="shared" si="11"/>
        <v>0.3</v>
      </c>
      <c r="I128" s="736"/>
    </row>
    <row r="129" spans="1:9" s="737" customFormat="1" ht="20.25" customHeight="1">
      <c r="A129" s="738"/>
      <c r="B129" s="740" t="s">
        <v>5819</v>
      </c>
      <c r="C129" s="734">
        <v>1</v>
      </c>
      <c r="D129" s="734">
        <v>1</v>
      </c>
      <c r="E129" s="739">
        <v>1.2</v>
      </c>
      <c r="F129" s="739">
        <v>0.38</v>
      </c>
      <c r="G129" s="739">
        <v>0.1</v>
      </c>
      <c r="H129" s="739">
        <f t="shared" si="11"/>
        <v>0.05</v>
      </c>
      <c r="I129" s="736"/>
    </row>
    <row r="130" spans="1:9" s="737" customFormat="1" ht="20.25" customHeight="1">
      <c r="A130" s="738"/>
      <c r="B130" s="740" t="s">
        <v>5810</v>
      </c>
      <c r="C130" s="734">
        <v>1</v>
      </c>
      <c r="D130" s="734">
        <v>1</v>
      </c>
      <c r="E130" s="739">
        <f>4.25+0.23+0.75+0.23</f>
        <v>5.46</v>
      </c>
      <c r="F130" s="739">
        <v>0.38</v>
      </c>
      <c r="G130" s="739">
        <v>0.1</v>
      </c>
      <c r="H130" s="739">
        <f t="shared" si="11"/>
        <v>0.21</v>
      </c>
      <c r="I130" s="736"/>
    </row>
    <row r="131" spans="1:9" s="737" customFormat="1" ht="20.25" customHeight="1">
      <c r="A131" s="738"/>
      <c r="B131" s="740" t="s">
        <v>5811</v>
      </c>
      <c r="C131" s="734">
        <v>1</v>
      </c>
      <c r="D131" s="734">
        <v>1</v>
      </c>
      <c r="E131" s="739">
        <f>2.18+0.23</f>
        <v>2.41</v>
      </c>
      <c r="F131" s="739">
        <v>0.38</v>
      </c>
      <c r="G131" s="739">
        <v>0.1</v>
      </c>
      <c r="H131" s="739">
        <f t="shared" si="11"/>
        <v>0.09</v>
      </c>
      <c r="I131" s="736"/>
    </row>
    <row r="132" spans="1:9" s="737" customFormat="1" ht="21.75" customHeight="1">
      <c r="A132" s="738"/>
      <c r="B132" s="740" t="s">
        <v>5820</v>
      </c>
      <c r="C132" s="734">
        <v>1</v>
      </c>
      <c r="D132" s="734">
        <v>2</v>
      </c>
      <c r="E132" s="739">
        <f>0.23+3.64+0.23+1.443+0.23+1.292+0.23</f>
        <v>7.3</v>
      </c>
      <c r="F132" s="739">
        <v>0.38</v>
      </c>
      <c r="G132" s="739">
        <v>0.1</v>
      </c>
      <c r="H132" s="739">
        <f t="shared" si="11"/>
        <v>0.55000000000000004</v>
      </c>
      <c r="I132" s="736"/>
    </row>
    <row r="133" spans="1:9" s="737" customFormat="1" ht="21.75" customHeight="1">
      <c r="A133" s="738"/>
      <c r="B133" s="740" t="s">
        <v>5821</v>
      </c>
      <c r="C133" s="734">
        <v>1</v>
      </c>
      <c r="D133" s="734">
        <v>2</v>
      </c>
      <c r="E133" s="739">
        <f>0.23+3.64+0.23+3.63+0.23</f>
        <v>7.96</v>
      </c>
      <c r="F133" s="739">
        <v>0.38</v>
      </c>
      <c r="G133" s="739">
        <v>0.1</v>
      </c>
      <c r="H133" s="739">
        <f t="shared" si="11"/>
        <v>0.6</v>
      </c>
      <c r="I133" s="736"/>
    </row>
    <row r="134" spans="1:9" s="737" customFormat="1" ht="21.75" customHeight="1">
      <c r="A134" s="738"/>
      <c r="B134" s="740" t="s">
        <v>5822</v>
      </c>
      <c r="C134" s="734">
        <v>1</v>
      </c>
      <c r="D134" s="734">
        <v>1</v>
      </c>
      <c r="E134" s="739">
        <f>0.23+1.592+0.23+1.177+0.23+1.442+0.23+1.177+0.23</f>
        <v>6.54</v>
      </c>
      <c r="F134" s="739">
        <v>0.38</v>
      </c>
      <c r="G134" s="739">
        <v>0.1</v>
      </c>
      <c r="H134" s="739">
        <f t="shared" si="11"/>
        <v>0.25</v>
      </c>
      <c r="I134" s="736"/>
    </row>
    <row r="135" spans="1:9" s="737" customFormat="1" ht="21.75" customHeight="1">
      <c r="A135" s="738"/>
      <c r="B135" s="740" t="s">
        <v>5823</v>
      </c>
      <c r="C135" s="734">
        <v>1</v>
      </c>
      <c r="D135" s="734">
        <v>1</v>
      </c>
      <c r="E135" s="739">
        <v>1.18</v>
      </c>
      <c r="F135" s="739">
        <v>0.38</v>
      </c>
      <c r="G135" s="739">
        <v>0.1</v>
      </c>
      <c r="H135" s="739">
        <f t="shared" si="11"/>
        <v>0.04</v>
      </c>
      <c r="I135" s="736"/>
    </row>
    <row r="136" spans="1:9" s="737" customFormat="1" ht="21.75" customHeight="1">
      <c r="A136" s="738"/>
      <c r="B136" s="740" t="s">
        <v>5824</v>
      </c>
      <c r="C136" s="734">
        <v>1</v>
      </c>
      <c r="D136" s="734">
        <v>1</v>
      </c>
      <c r="E136" s="739">
        <v>1.44</v>
      </c>
      <c r="F136" s="739">
        <v>0.38</v>
      </c>
      <c r="G136" s="739">
        <v>0.1</v>
      </c>
      <c r="H136" s="739">
        <f t="shared" si="11"/>
        <v>0.05</v>
      </c>
      <c r="I136" s="736"/>
    </row>
    <row r="137" spans="1:9" s="737" customFormat="1">
      <c r="A137" s="738"/>
      <c r="B137" s="740" t="s">
        <v>5825</v>
      </c>
      <c r="C137" s="734">
        <v>1</v>
      </c>
      <c r="D137" s="734">
        <v>1</v>
      </c>
      <c r="E137" s="739">
        <f>1.292+0.23+1.443</f>
        <v>2.97</v>
      </c>
      <c r="F137" s="739">
        <v>0.45</v>
      </c>
      <c r="G137" s="739">
        <v>0.1</v>
      </c>
      <c r="H137" s="739">
        <f t="shared" si="11"/>
        <v>0.13</v>
      </c>
      <c r="I137" s="736"/>
    </row>
    <row r="138" spans="1:9" s="737" customFormat="1">
      <c r="A138" s="738"/>
      <c r="B138" s="735" t="s">
        <v>5826</v>
      </c>
      <c r="C138" s="734"/>
      <c r="D138" s="734"/>
      <c r="E138" s="739"/>
      <c r="F138" s="739"/>
      <c r="G138" s="739"/>
      <c r="H138" s="739"/>
      <c r="I138" s="736"/>
    </row>
    <row r="139" spans="1:9" s="737" customFormat="1">
      <c r="A139" s="738"/>
      <c r="B139" s="735" t="s">
        <v>5800</v>
      </c>
      <c r="C139" s="734">
        <v>-1</v>
      </c>
      <c r="D139" s="734">
        <v>3</v>
      </c>
      <c r="E139" s="739">
        <v>0.38</v>
      </c>
      <c r="F139" s="739">
        <v>0.23</v>
      </c>
      <c r="G139" s="739">
        <v>0.1</v>
      </c>
      <c r="H139" s="739">
        <f>PRODUCT(C139:G139)</f>
        <v>-0.03</v>
      </c>
      <c r="I139" s="736"/>
    </row>
    <row r="140" spans="1:9" s="737" customFormat="1">
      <c r="A140" s="738"/>
      <c r="B140" s="735" t="s">
        <v>5801</v>
      </c>
      <c r="C140" s="734">
        <v>-1</v>
      </c>
      <c r="D140" s="734">
        <v>7</v>
      </c>
      <c r="E140" s="739">
        <v>0.38</v>
      </c>
      <c r="F140" s="739">
        <v>0.23</v>
      </c>
      <c r="G140" s="739">
        <v>0.1</v>
      </c>
      <c r="H140" s="739">
        <f t="shared" ref="H140:H144" si="12">PRODUCT(C140:G140)</f>
        <v>-0.06</v>
      </c>
      <c r="I140" s="736"/>
    </row>
    <row r="141" spans="1:9" s="737" customFormat="1">
      <c r="A141" s="738"/>
      <c r="B141" s="735" t="s">
        <v>5802</v>
      </c>
      <c r="C141" s="734">
        <v>-1</v>
      </c>
      <c r="D141" s="734">
        <v>4</v>
      </c>
      <c r="E141" s="739">
        <v>0.38</v>
      </c>
      <c r="F141" s="739">
        <v>0.23</v>
      </c>
      <c r="G141" s="739">
        <v>0.1</v>
      </c>
      <c r="H141" s="739">
        <f t="shared" si="12"/>
        <v>-0.03</v>
      </c>
      <c r="I141" s="736"/>
    </row>
    <row r="142" spans="1:9" s="737" customFormat="1">
      <c r="A142" s="738"/>
      <c r="B142" s="735" t="s">
        <v>5803</v>
      </c>
      <c r="C142" s="734">
        <v>-1</v>
      </c>
      <c r="D142" s="734">
        <v>4</v>
      </c>
      <c r="E142" s="739">
        <v>0.38</v>
      </c>
      <c r="F142" s="739">
        <v>0.23</v>
      </c>
      <c r="G142" s="739">
        <v>0.1</v>
      </c>
      <c r="H142" s="739">
        <f t="shared" si="12"/>
        <v>-0.03</v>
      </c>
      <c r="I142" s="736"/>
    </row>
    <row r="143" spans="1:9" s="737" customFormat="1">
      <c r="A143" s="738"/>
      <c r="B143" s="735" t="s">
        <v>5804</v>
      </c>
      <c r="C143" s="734">
        <v>-1</v>
      </c>
      <c r="D143" s="734">
        <v>2</v>
      </c>
      <c r="E143" s="739">
        <v>0.3</v>
      </c>
      <c r="F143" s="739">
        <v>0.23</v>
      </c>
      <c r="G143" s="739">
        <v>0.1</v>
      </c>
      <c r="H143" s="739">
        <f t="shared" si="12"/>
        <v>-0.01</v>
      </c>
      <c r="I143" s="736"/>
    </row>
    <row r="144" spans="1:9" s="737" customFormat="1">
      <c r="A144" s="738"/>
      <c r="B144" s="735" t="s">
        <v>5805</v>
      </c>
      <c r="C144" s="734">
        <v>-1</v>
      </c>
      <c r="D144" s="734">
        <v>1</v>
      </c>
      <c r="E144" s="739">
        <v>0.38</v>
      </c>
      <c r="F144" s="739">
        <v>0.23</v>
      </c>
      <c r="G144" s="739">
        <v>0.1</v>
      </c>
      <c r="H144" s="739">
        <f t="shared" si="12"/>
        <v>-0.01</v>
      </c>
      <c r="I144" s="736"/>
    </row>
    <row r="145" spans="1:9" s="737" customFormat="1">
      <c r="A145" s="738"/>
      <c r="B145" s="735" t="s">
        <v>5827</v>
      </c>
      <c r="C145" s="734">
        <v>1</v>
      </c>
      <c r="D145" s="734">
        <v>1</v>
      </c>
      <c r="E145" s="739">
        <f>3.52+0.46</f>
        <v>3.98</v>
      </c>
      <c r="F145" s="739">
        <v>1</v>
      </c>
      <c r="G145" s="739">
        <v>0.1</v>
      </c>
      <c r="H145" s="739">
        <f>PRODUCT(C145:G145)</f>
        <v>0.4</v>
      </c>
      <c r="I145" s="736"/>
    </row>
    <row r="146" spans="1:9" s="737" customFormat="1">
      <c r="A146" s="738"/>
      <c r="B146" s="735" t="s">
        <v>5828</v>
      </c>
      <c r="C146" s="734">
        <v>1</v>
      </c>
      <c r="D146" s="734">
        <v>1</v>
      </c>
      <c r="E146" s="739">
        <f>2.4+0.46</f>
        <v>2.86</v>
      </c>
      <c r="F146" s="739">
        <v>1</v>
      </c>
      <c r="G146" s="739">
        <v>0.1</v>
      </c>
      <c r="H146" s="739">
        <f>PRODUCT(C146:G146)</f>
        <v>0.28999999999999998</v>
      </c>
      <c r="I146" s="736"/>
    </row>
    <row r="147" spans="1:9" s="737" customFormat="1">
      <c r="A147" s="738"/>
      <c r="B147" s="735" t="s">
        <v>5829</v>
      </c>
      <c r="C147" s="734">
        <v>1</v>
      </c>
      <c r="D147" s="734">
        <v>10</v>
      </c>
      <c r="E147" s="739">
        <v>1.36</v>
      </c>
      <c r="F147" s="739">
        <v>1.36</v>
      </c>
      <c r="G147" s="739">
        <v>0.1</v>
      </c>
      <c r="H147" s="739">
        <f>PRODUCT(C147:G147)</f>
        <v>1.85</v>
      </c>
      <c r="I147" s="736"/>
    </row>
    <row r="148" spans="1:9" s="737" customFormat="1">
      <c r="A148" s="738"/>
      <c r="B148" s="735"/>
      <c r="C148" s="734"/>
      <c r="D148" s="734"/>
      <c r="E148" s="739"/>
      <c r="F148" s="739"/>
      <c r="G148" s="739" t="s">
        <v>2235</v>
      </c>
      <c r="H148" s="742">
        <f>SUM(H108:H147)</f>
        <v>16.95</v>
      </c>
      <c r="I148" s="736"/>
    </row>
    <row r="149" spans="1:9" s="737" customFormat="1" ht="19.5">
      <c r="A149" s="738"/>
      <c r="B149" s="735"/>
      <c r="C149" s="734"/>
      <c r="D149" s="734"/>
      <c r="E149" s="739"/>
      <c r="F149" s="739"/>
      <c r="G149" s="745" t="s">
        <v>4209</v>
      </c>
      <c r="H149" s="742">
        <f>ROUNDUP(H148,1)</f>
        <v>17</v>
      </c>
      <c r="I149" s="743" t="s">
        <v>5830</v>
      </c>
    </row>
    <row r="150" spans="1:9" s="737" customFormat="1" ht="61.5" customHeight="1">
      <c r="A150" s="732">
        <v>6.2</v>
      </c>
      <c r="B150" s="733" t="s">
        <v>6975</v>
      </c>
      <c r="C150" s="734"/>
      <c r="D150" s="734"/>
      <c r="E150" s="739"/>
      <c r="F150" s="739"/>
      <c r="G150" s="739"/>
      <c r="H150" s="739"/>
      <c r="I150" s="736"/>
    </row>
    <row r="151" spans="1:9" s="737" customFormat="1" ht="23.25" customHeight="1">
      <c r="A151" s="738"/>
      <c r="B151" s="735" t="s">
        <v>5807</v>
      </c>
      <c r="C151" s="734">
        <v>1</v>
      </c>
      <c r="D151" s="734">
        <v>2</v>
      </c>
      <c r="E151" s="739">
        <f>4.92+0.23+0.52+0.23+0.23</f>
        <v>6.13</v>
      </c>
      <c r="F151" s="739">
        <v>0.23</v>
      </c>
      <c r="G151" s="739">
        <v>0.9</v>
      </c>
      <c r="H151" s="739">
        <f t="shared" ref="H151:H161" si="13">PRODUCT(C151:G151)</f>
        <v>2.54</v>
      </c>
      <c r="I151" s="736"/>
    </row>
    <row r="152" spans="1:9" s="737" customFormat="1" ht="20.25" customHeight="1">
      <c r="A152" s="738"/>
      <c r="B152" s="740" t="s">
        <v>5808</v>
      </c>
      <c r="C152" s="734">
        <v>1</v>
      </c>
      <c r="D152" s="734">
        <v>2</v>
      </c>
      <c r="E152" s="739">
        <f>3.6</f>
        <v>3.6</v>
      </c>
      <c r="F152" s="739">
        <v>0.23</v>
      </c>
      <c r="G152" s="739">
        <v>0.9</v>
      </c>
      <c r="H152" s="739">
        <f t="shared" si="13"/>
        <v>1.49</v>
      </c>
      <c r="I152" s="736"/>
    </row>
    <row r="153" spans="1:9" s="788" customFormat="1" ht="20.25" customHeight="1">
      <c r="A153" s="789"/>
      <c r="B153" s="1223" t="s">
        <v>5809</v>
      </c>
      <c r="C153" s="785">
        <v>1</v>
      </c>
      <c r="D153" s="785">
        <v>2</v>
      </c>
      <c r="E153" s="786">
        <f>3.485+0.46</f>
        <v>3.95</v>
      </c>
      <c r="F153" s="786">
        <v>0.23</v>
      </c>
      <c r="G153" s="786">
        <v>0.9</v>
      </c>
      <c r="H153" s="786"/>
      <c r="I153" s="787"/>
    </row>
    <row r="154" spans="1:9" s="788" customFormat="1" ht="20.25" customHeight="1">
      <c r="A154" s="789"/>
      <c r="B154" s="1223" t="s">
        <v>5810</v>
      </c>
      <c r="C154" s="785">
        <v>1</v>
      </c>
      <c r="D154" s="785">
        <v>1</v>
      </c>
      <c r="E154" s="786">
        <f>4.25+0.23+0.75+0.23</f>
        <v>5.46</v>
      </c>
      <c r="F154" s="786">
        <v>0.23</v>
      </c>
      <c r="G154" s="786">
        <v>0.9</v>
      </c>
      <c r="H154" s="786"/>
      <c r="I154" s="787"/>
    </row>
    <row r="155" spans="1:9" s="788" customFormat="1" ht="20.25" customHeight="1">
      <c r="A155" s="789"/>
      <c r="B155" s="1223" t="s">
        <v>5811</v>
      </c>
      <c r="C155" s="785">
        <v>1</v>
      </c>
      <c r="D155" s="785">
        <v>1</v>
      </c>
      <c r="E155" s="786">
        <f>2.18+0.23</f>
        <v>2.41</v>
      </c>
      <c r="F155" s="786">
        <v>0.23</v>
      </c>
      <c r="G155" s="786">
        <v>0.9</v>
      </c>
      <c r="H155" s="786"/>
      <c r="I155" s="787"/>
    </row>
    <row r="156" spans="1:9" s="737" customFormat="1" ht="22.5" customHeight="1">
      <c r="A156" s="738"/>
      <c r="B156" s="735" t="s">
        <v>5812</v>
      </c>
      <c r="C156" s="734">
        <v>1</v>
      </c>
      <c r="D156" s="734">
        <v>3</v>
      </c>
      <c r="E156" s="739">
        <f>3.6</f>
        <v>3.6</v>
      </c>
      <c r="F156" s="739">
        <v>0.23</v>
      </c>
      <c r="G156" s="739">
        <v>0.9</v>
      </c>
      <c r="H156" s="739">
        <f t="shared" si="13"/>
        <v>2.2400000000000002</v>
      </c>
      <c r="I156" s="736"/>
    </row>
    <row r="157" spans="1:9" s="737" customFormat="1" ht="21.75" customHeight="1">
      <c r="A157" s="738"/>
      <c r="B157" s="740" t="s">
        <v>5813</v>
      </c>
      <c r="C157" s="734">
        <v>1</v>
      </c>
      <c r="D157" s="734">
        <v>5</v>
      </c>
      <c r="E157" s="739">
        <f>3.52</f>
        <v>3.52</v>
      </c>
      <c r="F157" s="739">
        <v>0.23</v>
      </c>
      <c r="G157" s="739">
        <v>0.9</v>
      </c>
      <c r="H157" s="739">
        <f t="shared" si="13"/>
        <v>3.64</v>
      </c>
      <c r="I157" s="736"/>
    </row>
    <row r="158" spans="1:9" s="737" customFormat="1" ht="21.75" customHeight="1">
      <c r="A158" s="738"/>
      <c r="B158" s="740" t="s">
        <v>5814</v>
      </c>
      <c r="C158" s="734">
        <v>1</v>
      </c>
      <c r="D158" s="734">
        <v>4</v>
      </c>
      <c r="E158" s="739">
        <f>2.78</f>
        <v>2.78</v>
      </c>
      <c r="F158" s="739">
        <v>0.23</v>
      </c>
      <c r="G158" s="739">
        <v>0.9</v>
      </c>
      <c r="H158" s="739">
        <f t="shared" si="13"/>
        <v>2.2999999999999998</v>
      </c>
      <c r="I158" s="736"/>
    </row>
    <row r="159" spans="1:9" s="737" customFormat="1" ht="21.75" customHeight="1">
      <c r="A159" s="738"/>
      <c r="B159" s="740" t="s">
        <v>5815</v>
      </c>
      <c r="C159" s="734">
        <v>1</v>
      </c>
      <c r="D159" s="734">
        <v>4</v>
      </c>
      <c r="E159" s="739">
        <f>2.4</f>
        <v>2.4</v>
      </c>
      <c r="F159" s="739">
        <v>0.23</v>
      </c>
      <c r="G159" s="739">
        <v>0.9</v>
      </c>
      <c r="H159" s="739">
        <f t="shared" si="13"/>
        <v>1.99</v>
      </c>
      <c r="I159" s="736"/>
    </row>
    <row r="160" spans="1:9" s="737" customFormat="1" ht="21.75" customHeight="1">
      <c r="A160" s="738"/>
      <c r="B160" s="740" t="s">
        <v>5816</v>
      </c>
      <c r="C160" s="734">
        <v>1</v>
      </c>
      <c r="D160" s="734">
        <v>1</v>
      </c>
      <c r="E160" s="739">
        <f>3.52</f>
        <v>3.52</v>
      </c>
      <c r="F160" s="739">
        <v>0.23</v>
      </c>
      <c r="G160" s="739">
        <v>0.9</v>
      </c>
      <c r="H160" s="739">
        <f t="shared" si="13"/>
        <v>0.73</v>
      </c>
      <c r="I160" s="736"/>
    </row>
    <row r="161" spans="1:9" s="737" customFormat="1" ht="21.75" customHeight="1">
      <c r="A161" s="738"/>
      <c r="B161" s="740" t="s">
        <v>5817</v>
      </c>
      <c r="C161" s="734">
        <v>1</v>
      </c>
      <c r="D161" s="734">
        <v>3</v>
      </c>
      <c r="E161" s="739">
        <v>2.4</v>
      </c>
      <c r="F161" s="739">
        <v>0.23</v>
      </c>
      <c r="G161" s="739">
        <v>0.9</v>
      </c>
      <c r="H161" s="739">
        <f t="shared" si="13"/>
        <v>1.49</v>
      </c>
      <c r="I161" s="736"/>
    </row>
    <row r="162" spans="1:9" s="737" customFormat="1">
      <c r="A162" s="738"/>
      <c r="B162" s="735" t="s">
        <v>5818</v>
      </c>
      <c r="C162" s="734"/>
      <c r="D162" s="734"/>
      <c r="E162" s="739"/>
      <c r="F162" s="739"/>
      <c r="G162" s="739"/>
      <c r="H162" s="739"/>
      <c r="I162" s="736"/>
    </row>
    <row r="163" spans="1:9" s="737" customFormat="1" ht="23.25" customHeight="1">
      <c r="A163" s="738"/>
      <c r="B163" s="735" t="s">
        <v>5807</v>
      </c>
      <c r="C163" s="734">
        <v>1</v>
      </c>
      <c r="D163" s="734">
        <v>2</v>
      </c>
      <c r="E163" s="739">
        <f>4.92+0.23+0.52+0.23+0.23</f>
        <v>6.13</v>
      </c>
      <c r="F163" s="739">
        <v>0.23</v>
      </c>
      <c r="G163" s="739">
        <v>0.9</v>
      </c>
      <c r="H163" s="739">
        <f t="shared" ref="H163:H173" si="14">PRODUCT(C163:G163)</f>
        <v>2.54</v>
      </c>
      <c r="I163" s="736"/>
    </row>
    <row r="164" spans="1:9" s="737" customFormat="1" ht="20.25" customHeight="1">
      <c r="A164" s="738"/>
      <c r="B164" s="740" t="s">
        <v>5809</v>
      </c>
      <c r="C164" s="734">
        <v>1</v>
      </c>
      <c r="D164" s="734">
        <v>2</v>
      </c>
      <c r="E164" s="739">
        <f>3.485+0.46</f>
        <v>3.95</v>
      </c>
      <c r="F164" s="739">
        <v>0.23</v>
      </c>
      <c r="G164" s="739">
        <v>0.9</v>
      </c>
      <c r="H164" s="739">
        <f t="shared" si="14"/>
        <v>1.64</v>
      </c>
      <c r="I164" s="736"/>
    </row>
    <row r="165" spans="1:9" s="737" customFormat="1" ht="20.25" customHeight="1">
      <c r="A165" s="738"/>
      <c r="B165" s="740" t="s">
        <v>5819</v>
      </c>
      <c r="C165" s="734">
        <v>1</v>
      </c>
      <c r="D165" s="734">
        <v>1</v>
      </c>
      <c r="E165" s="739">
        <v>1.2</v>
      </c>
      <c r="F165" s="739">
        <v>0.23</v>
      </c>
      <c r="G165" s="739">
        <v>0.9</v>
      </c>
      <c r="H165" s="739">
        <f t="shared" si="14"/>
        <v>0.25</v>
      </c>
      <c r="I165" s="736"/>
    </row>
    <row r="166" spans="1:9" s="737" customFormat="1" ht="20.25" customHeight="1">
      <c r="A166" s="738"/>
      <c r="B166" s="740" t="s">
        <v>5810</v>
      </c>
      <c r="C166" s="734">
        <v>1</v>
      </c>
      <c r="D166" s="734">
        <v>1</v>
      </c>
      <c r="E166" s="739">
        <f>4.25+0.23+0.75+0.23</f>
        <v>5.46</v>
      </c>
      <c r="F166" s="739">
        <v>0.23</v>
      </c>
      <c r="G166" s="739">
        <v>0.9</v>
      </c>
      <c r="H166" s="739">
        <f t="shared" si="14"/>
        <v>1.1299999999999999</v>
      </c>
      <c r="I166" s="736"/>
    </row>
    <row r="167" spans="1:9" s="737" customFormat="1" ht="20.25" customHeight="1">
      <c r="A167" s="738"/>
      <c r="B167" s="740" t="s">
        <v>5811</v>
      </c>
      <c r="C167" s="734">
        <v>1</v>
      </c>
      <c r="D167" s="734">
        <v>1</v>
      </c>
      <c r="E167" s="739">
        <f>2.18+0.23</f>
        <v>2.41</v>
      </c>
      <c r="F167" s="739">
        <v>0.23</v>
      </c>
      <c r="G167" s="739">
        <v>0.9</v>
      </c>
      <c r="H167" s="739">
        <f t="shared" si="14"/>
        <v>0.5</v>
      </c>
      <c r="I167" s="736"/>
    </row>
    <row r="168" spans="1:9" s="737" customFormat="1" ht="21.75" customHeight="1">
      <c r="A168" s="738"/>
      <c r="B168" s="740" t="s">
        <v>5820</v>
      </c>
      <c r="C168" s="734">
        <v>1</v>
      </c>
      <c r="D168" s="734">
        <v>2</v>
      </c>
      <c r="E168" s="739">
        <f>0.23+3.64+0.23+1.443+0.23+1.292+0.23</f>
        <v>7.3</v>
      </c>
      <c r="F168" s="739">
        <v>0.23</v>
      </c>
      <c r="G168" s="739">
        <v>0.9</v>
      </c>
      <c r="H168" s="739">
        <f t="shared" si="14"/>
        <v>3.02</v>
      </c>
      <c r="I168" s="736"/>
    </row>
    <row r="169" spans="1:9" s="737" customFormat="1" ht="21.75" customHeight="1">
      <c r="A169" s="738"/>
      <c r="B169" s="740" t="s">
        <v>5821</v>
      </c>
      <c r="C169" s="734">
        <v>1</v>
      </c>
      <c r="D169" s="734">
        <v>2</v>
      </c>
      <c r="E169" s="739">
        <f>0.23+3.64+0.23+3.63+0.23</f>
        <v>7.96</v>
      </c>
      <c r="F169" s="739">
        <v>0.23</v>
      </c>
      <c r="G169" s="739">
        <v>0.9</v>
      </c>
      <c r="H169" s="739">
        <f t="shared" si="14"/>
        <v>3.3</v>
      </c>
      <c r="I169" s="736"/>
    </row>
    <row r="170" spans="1:9" s="737" customFormat="1" ht="21.75" customHeight="1">
      <c r="A170" s="738"/>
      <c r="B170" s="740" t="s">
        <v>5822</v>
      </c>
      <c r="C170" s="734">
        <v>1</v>
      </c>
      <c r="D170" s="734">
        <v>1</v>
      </c>
      <c r="E170" s="739">
        <f>0.23+1.592+0.23+1.177+0.23+1.442+0.23+1.177+0.23</f>
        <v>6.54</v>
      </c>
      <c r="F170" s="739">
        <v>0.23</v>
      </c>
      <c r="G170" s="739">
        <v>0.9</v>
      </c>
      <c r="H170" s="739">
        <f t="shared" si="14"/>
        <v>1.35</v>
      </c>
      <c r="I170" s="736"/>
    </row>
    <row r="171" spans="1:9" s="737" customFormat="1" ht="21.75" customHeight="1">
      <c r="A171" s="738"/>
      <c r="B171" s="740" t="s">
        <v>5823</v>
      </c>
      <c r="C171" s="734">
        <v>1</v>
      </c>
      <c r="D171" s="734">
        <v>1</v>
      </c>
      <c r="E171" s="739">
        <v>1.18</v>
      </c>
      <c r="F171" s="739">
        <v>0.23</v>
      </c>
      <c r="G171" s="739">
        <v>0.9</v>
      </c>
      <c r="H171" s="739">
        <f t="shared" si="14"/>
        <v>0.24</v>
      </c>
      <c r="I171" s="736"/>
    </row>
    <row r="172" spans="1:9" s="737" customFormat="1" ht="21.75" customHeight="1">
      <c r="A172" s="738"/>
      <c r="B172" s="740" t="s">
        <v>5824</v>
      </c>
      <c r="C172" s="734">
        <v>1</v>
      </c>
      <c r="D172" s="734">
        <v>1</v>
      </c>
      <c r="E172" s="739">
        <v>1.44</v>
      </c>
      <c r="F172" s="739">
        <v>0.23</v>
      </c>
      <c r="G172" s="739">
        <v>0.9</v>
      </c>
      <c r="H172" s="739">
        <f t="shared" si="14"/>
        <v>0.3</v>
      </c>
      <c r="I172" s="736"/>
    </row>
    <row r="173" spans="1:9" s="737" customFormat="1">
      <c r="A173" s="738"/>
      <c r="B173" s="740" t="s">
        <v>5825</v>
      </c>
      <c r="C173" s="734">
        <v>1</v>
      </c>
      <c r="D173" s="734">
        <v>1</v>
      </c>
      <c r="E173" s="739">
        <f>1.292+0.23+1.443</f>
        <v>2.97</v>
      </c>
      <c r="F173" s="739">
        <v>0.23</v>
      </c>
      <c r="G173" s="739">
        <v>0.9</v>
      </c>
      <c r="H173" s="739">
        <f t="shared" si="14"/>
        <v>0.61</v>
      </c>
      <c r="I173" s="736"/>
    </row>
    <row r="174" spans="1:9" s="737" customFormat="1">
      <c r="A174" s="738"/>
      <c r="B174" s="735" t="s">
        <v>5826</v>
      </c>
      <c r="C174" s="734"/>
      <c r="D174" s="734"/>
      <c r="E174" s="739"/>
      <c r="F174" s="739"/>
      <c r="G174" s="739"/>
      <c r="H174" s="739"/>
      <c r="I174" s="736"/>
    </row>
    <row r="175" spans="1:9" s="737" customFormat="1">
      <c r="A175" s="738"/>
      <c r="B175" s="735" t="s">
        <v>5800</v>
      </c>
      <c r="C175" s="734">
        <v>-1</v>
      </c>
      <c r="D175" s="734">
        <v>3</v>
      </c>
      <c r="E175" s="739">
        <v>0.38</v>
      </c>
      <c r="F175" s="739">
        <v>0.23</v>
      </c>
      <c r="G175" s="739">
        <v>0.9</v>
      </c>
      <c r="H175" s="739">
        <f>PRODUCT(C175:G175)</f>
        <v>-0.24</v>
      </c>
      <c r="I175" s="736"/>
    </row>
    <row r="176" spans="1:9" s="737" customFormat="1">
      <c r="A176" s="738"/>
      <c r="B176" s="735" t="s">
        <v>5801</v>
      </c>
      <c r="C176" s="734">
        <v>-1</v>
      </c>
      <c r="D176" s="734">
        <v>7</v>
      </c>
      <c r="E176" s="739">
        <v>0.38</v>
      </c>
      <c r="F176" s="739">
        <v>0.23</v>
      </c>
      <c r="G176" s="739">
        <v>0.9</v>
      </c>
      <c r="H176" s="739">
        <f t="shared" ref="H176:H180" si="15">PRODUCT(C176:G176)</f>
        <v>-0.55000000000000004</v>
      </c>
      <c r="I176" s="736"/>
    </row>
    <row r="177" spans="1:9" s="737" customFormat="1">
      <c r="A177" s="738"/>
      <c r="B177" s="735" t="s">
        <v>5802</v>
      </c>
      <c r="C177" s="734">
        <v>-1</v>
      </c>
      <c r="D177" s="734">
        <v>4</v>
      </c>
      <c r="E177" s="739">
        <v>0.38</v>
      </c>
      <c r="F177" s="739">
        <v>0.23</v>
      </c>
      <c r="G177" s="739">
        <v>0.9</v>
      </c>
      <c r="H177" s="739">
        <f t="shared" si="15"/>
        <v>-0.31</v>
      </c>
      <c r="I177" s="736"/>
    </row>
    <row r="178" spans="1:9" s="737" customFormat="1">
      <c r="A178" s="738"/>
      <c r="B178" s="735" t="s">
        <v>5803</v>
      </c>
      <c r="C178" s="734">
        <v>-1</v>
      </c>
      <c r="D178" s="734">
        <v>4</v>
      </c>
      <c r="E178" s="739">
        <v>0.38</v>
      </c>
      <c r="F178" s="739">
        <v>0.23</v>
      </c>
      <c r="G178" s="739">
        <v>0.9</v>
      </c>
      <c r="H178" s="739">
        <f t="shared" si="15"/>
        <v>-0.31</v>
      </c>
      <c r="I178" s="736"/>
    </row>
    <row r="179" spans="1:9" s="737" customFormat="1">
      <c r="A179" s="738"/>
      <c r="B179" s="735" t="s">
        <v>5804</v>
      </c>
      <c r="C179" s="734">
        <v>-1</v>
      </c>
      <c r="D179" s="734">
        <v>2</v>
      </c>
      <c r="E179" s="739">
        <v>0.3</v>
      </c>
      <c r="F179" s="739">
        <v>0.23</v>
      </c>
      <c r="G179" s="739">
        <v>0.9</v>
      </c>
      <c r="H179" s="739">
        <f t="shared" si="15"/>
        <v>-0.12</v>
      </c>
      <c r="I179" s="736"/>
    </row>
    <row r="180" spans="1:9" s="737" customFormat="1">
      <c r="A180" s="738"/>
      <c r="B180" s="735" t="s">
        <v>5805</v>
      </c>
      <c r="C180" s="734">
        <v>-1</v>
      </c>
      <c r="D180" s="734">
        <v>1</v>
      </c>
      <c r="E180" s="739">
        <v>0.38</v>
      </c>
      <c r="F180" s="739">
        <v>0.23</v>
      </c>
      <c r="G180" s="739">
        <v>0.9</v>
      </c>
      <c r="H180" s="739">
        <f t="shared" si="15"/>
        <v>-0.08</v>
      </c>
      <c r="I180" s="736"/>
    </row>
    <row r="181" spans="1:9" s="737" customFormat="1">
      <c r="A181" s="738"/>
      <c r="B181" s="735" t="s">
        <v>5827</v>
      </c>
      <c r="C181" s="734">
        <v>1</v>
      </c>
      <c r="D181" s="734">
        <v>1</v>
      </c>
      <c r="E181" s="739">
        <f>3.52+0.46</f>
        <v>3.98</v>
      </c>
      <c r="F181" s="739">
        <v>0.9</v>
      </c>
      <c r="G181" s="739">
        <v>0.3</v>
      </c>
      <c r="H181" s="739">
        <f>PRODUCT(C181:G181)</f>
        <v>1.07</v>
      </c>
      <c r="I181" s="736"/>
    </row>
    <row r="182" spans="1:9" s="737" customFormat="1">
      <c r="A182" s="738"/>
      <c r="B182" s="735"/>
      <c r="C182" s="734">
        <v>1</v>
      </c>
      <c r="D182" s="734">
        <v>1</v>
      </c>
      <c r="E182" s="739">
        <f t="shared" ref="E182:E183" si="16">3.52+0.46</f>
        <v>3.98</v>
      </c>
      <c r="F182" s="739">
        <v>0.6</v>
      </c>
      <c r="G182" s="739">
        <v>0.15</v>
      </c>
      <c r="H182" s="739">
        <f t="shared" ref="H182:H183" si="17">PRODUCT(C182:G182)</f>
        <v>0.36</v>
      </c>
      <c r="I182" s="736"/>
    </row>
    <row r="183" spans="1:9" s="737" customFormat="1">
      <c r="A183" s="738"/>
      <c r="B183" s="735"/>
      <c r="C183" s="734">
        <v>1</v>
      </c>
      <c r="D183" s="734">
        <v>1</v>
      </c>
      <c r="E183" s="739">
        <f t="shared" si="16"/>
        <v>3.98</v>
      </c>
      <c r="F183" s="739">
        <v>0.3</v>
      </c>
      <c r="G183" s="739">
        <v>0.15</v>
      </c>
      <c r="H183" s="739">
        <f t="shared" si="17"/>
        <v>0.18</v>
      </c>
      <c r="I183" s="736"/>
    </row>
    <row r="184" spans="1:9" s="737" customFormat="1">
      <c r="A184" s="738"/>
      <c r="B184" s="735" t="s">
        <v>5828</v>
      </c>
      <c r="C184" s="734">
        <v>1</v>
      </c>
      <c r="D184" s="734">
        <v>1</v>
      </c>
      <c r="E184" s="739">
        <f>2.4+0.46</f>
        <v>2.86</v>
      </c>
      <c r="F184" s="739">
        <v>1</v>
      </c>
      <c r="G184" s="739">
        <v>0.3</v>
      </c>
      <c r="H184" s="739">
        <f>PRODUCT(C184:G184)</f>
        <v>0.86</v>
      </c>
      <c r="I184" s="736"/>
    </row>
    <row r="185" spans="1:9" s="737" customFormat="1">
      <c r="A185" s="738"/>
      <c r="B185" s="735"/>
      <c r="C185" s="734">
        <v>1</v>
      </c>
      <c r="D185" s="734">
        <v>1</v>
      </c>
      <c r="E185" s="739">
        <f t="shared" ref="E185:E186" si="18">2.4+0.46</f>
        <v>2.86</v>
      </c>
      <c r="F185" s="739">
        <v>0.6</v>
      </c>
      <c r="G185" s="739">
        <v>0.15</v>
      </c>
      <c r="H185" s="739">
        <f t="shared" ref="H185:H186" si="19">PRODUCT(C185:G185)</f>
        <v>0.26</v>
      </c>
      <c r="I185" s="736"/>
    </row>
    <row r="186" spans="1:9" s="737" customFormat="1">
      <c r="A186" s="738"/>
      <c r="B186" s="735"/>
      <c r="C186" s="734">
        <v>1</v>
      </c>
      <c r="D186" s="734">
        <v>1</v>
      </c>
      <c r="E186" s="739">
        <f t="shared" si="18"/>
        <v>2.86</v>
      </c>
      <c r="F186" s="739">
        <v>0.3</v>
      </c>
      <c r="G186" s="739">
        <v>0.15</v>
      </c>
      <c r="H186" s="739">
        <f t="shared" si="19"/>
        <v>0.13</v>
      </c>
      <c r="I186" s="736"/>
    </row>
    <row r="187" spans="1:9" s="737" customFormat="1">
      <c r="A187" s="738"/>
      <c r="B187" s="735" t="s">
        <v>5829</v>
      </c>
      <c r="C187" s="734">
        <v>1</v>
      </c>
      <c r="D187" s="734">
        <v>10</v>
      </c>
      <c r="E187" s="739">
        <v>3.32</v>
      </c>
      <c r="F187" s="739">
        <v>0.23</v>
      </c>
      <c r="G187" s="739">
        <v>1</v>
      </c>
      <c r="H187" s="739">
        <f>PRODUCT(C187:G187)</f>
        <v>7.64</v>
      </c>
      <c r="I187" s="736"/>
    </row>
    <row r="188" spans="1:9" s="737" customFormat="1">
      <c r="A188" s="738"/>
      <c r="B188" s="735"/>
      <c r="C188" s="734"/>
      <c r="D188" s="734"/>
      <c r="E188" s="739"/>
      <c r="F188" s="739"/>
      <c r="G188" s="739"/>
      <c r="H188" s="742">
        <f>SUM(H151:H187)</f>
        <v>40.19</v>
      </c>
      <c r="I188" s="736"/>
    </row>
    <row r="189" spans="1:9" s="737" customFormat="1">
      <c r="A189" s="732"/>
      <c r="B189" s="735"/>
      <c r="C189" s="746"/>
      <c r="D189" s="746"/>
      <c r="E189" s="742"/>
      <c r="F189" s="742"/>
      <c r="G189" s="742" t="s">
        <v>4209</v>
      </c>
      <c r="H189" s="742">
        <f>ROUNDUP(H188,1)</f>
        <v>40.200000000000003</v>
      </c>
      <c r="I189" s="736" t="s">
        <v>2142</v>
      </c>
    </row>
    <row r="190" spans="1:9" ht="42.75" customHeight="1">
      <c r="A190" s="730">
        <v>9.1999999999999993</v>
      </c>
      <c r="B190" s="747" t="s">
        <v>6976</v>
      </c>
      <c r="C190" s="748"/>
      <c r="D190" s="748"/>
      <c r="E190" s="749"/>
      <c r="F190" s="749"/>
      <c r="G190" s="749"/>
      <c r="H190" s="739"/>
      <c r="I190" s="750"/>
    </row>
    <row r="191" spans="1:9">
      <c r="A191" s="730" t="s">
        <v>2598</v>
      </c>
      <c r="B191" s="751" t="s">
        <v>5845</v>
      </c>
      <c r="C191" s="1189"/>
      <c r="D191" s="1189"/>
      <c r="E191" s="752"/>
      <c r="F191" s="752"/>
      <c r="G191" s="752"/>
      <c r="H191" s="742"/>
      <c r="I191" s="750"/>
    </row>
    <row r="192" spans="1:9" ht="20.25" customHeight="1">
      <c r="A192" s="753"/>
      <c r="B192" s="754" t="s">
        <v>5846</v>
      </c>
      <c r="C192" s="748">
        <v>1</v>
      </c>
      <c r="D192" s="748">
        <v>1</v>
      </c>
      <c r="E192" s="749">
        <v>51.78</v>
      </c>
      <c r="F192" s="749">
        <v>0.23</v>
      </c>
      <c r="G192" s="749">
        <v>3</v>
      </c>
      <c r="H192" s="739">
        <f t="shared" ref="H192:H211" si="20">PRODUCT(C192:G192)</f>
        <v>35.729999999999997</v>
      </c>
      <c r="I192" s="750"/>
    </row>
    <row r="193" spans="1:9">
      <c r="A193" s="753"/>
      <c r="B193" s="755" t="s">
        <v>5847</v>
      </c>
      <c r="C193" s="748">
        <v>1</v>
      </c>
      <c r="D193" s="748">
        <v>-1</v>
      </c>
      <c r="E193" s="749">
        <v>3.52</v>
      </c>
      <c r="F193" s="749">
        <v>0.23</v>
      </c>
      <c r="G193" s="749">
        <v>2.1</v>
      </c>
      <c r="H193" s="739">
        <f t="shared" si="20"/>
        <v>-1.7</v>
      </c>
      <c r="I193" s="750"/>
    </row>
    <row r="194" spans="1:9">
      <c r="A194" s="753"/>
      <c r="B194" s="755" t="s">
        <v>5848</v>
      </c>
      <c r="C194" s="748">
        <v>1</v>
      </c>
      <c r="D194" s="748">
        <v>-1</v>
      </c>
      <c r="E194" s="749">
        <v>2.78</v>
      </c>
      <c r="F194" s="749">
        <v>0.23</v>
      </c>
      <c r="G194" s="749">
        <v>2.1</v>
      </c>
      <c r="H194" s="739">
        <f t="shared" si="20"/>
        <v>-1.34</v>
      </c>
      <c r="I194" s="750"/>
    </row>
    <row r="195" spans="1:9">
      <c r="A195" s="753"/>
      <c r="B195" s="755" t="s">
        <v>5849</v>
      </c>
      <c r="C195" s="748">
        <v>1</v>
      </c>
      <c r="D195" s="748">
        <v>-1</v>
      </c>
      <c r="E195" s="749">
        <v>2.4</v>
      </c>
      <c r="F195" s="749">
        <v>0.23</v>
      </c>
      <c r="G195" s="749">
        <v>2.1</v>
      </c>
      <c r="H195" s="739">
        <f t="shared" si="20"/>
        <v>-1.1599999999999999</v>
      </c>
      <c r="I195" s="750"/>
    </row>
    <row r="196" spans="1:9">
      <c r="A196" s="753"/>
      <c r="B196" s="756" t="s">
        <v>5850</v>
      </c>
      <c r="C196" s="748"/>
      <c r="D196" s="748"/>
      <c r="E196" s="749"/>
      <c r="F196" s="749"/>
      <c r="G196" s="749"/>
      <c r="H196" s="739"/>
      <c r="I196" s="750"/>
    </row>
    <row r="197" spans="1:9" ht="20.25" customHeight="1">
      <c r="A197" s="753"/>
      <c r="B197" s="754" t="s">
        <v>5851</v>
      </c>
      <c r="C197" s="748">
        <v>1</v>
      </c>
      <c r="D197" s="748">
        <v>1</v>
      </c>
      <c r="E197" s="749">
        <v>4.0199999999999996</v>
      </c>
      <c r="F197" s="749">
        <v>0.23</v>
      </c>
      <c r="G197" s="749">
        <v>3</v>
      </c>
      <c r="H197" s="739">
        <f t="shared" si="20"/>
        <v>2.77</v>
      </c>
      <c r="I197" s="750"/>
    </row>
    <row r="198" spans="1:9" ht="20.25" customHeight="1">
      <c r="A198" s="753"/>
      <c r="B198" s="754" t="s">
        <v>5852</v>
      </c>
      <c r="C198" s="748">
        <v>1</v>
      </c>
      <c r="D198" s="748">
        <v>1</v>
      </c>
      <c r="E198" s="749">
        <v>5.23</v>
      </c>
      <c r="F198" s="749">
        <v>0.23</v>
      </c>
      <c r="G198" s="749">
        <v>3</v>
      </c>
      <c r="H198" s="739">
        <f t="shared" si="20"/>
        <v>3.61</v>
      </c>
      <c r="I198" s="750"/>
    </row>
    <row r="199" spans="1:9" ht="46.5" customHeight="1">
      <c r="A199" s="753"/>
      <c r="B199" s="755" t="s">
        <v>5853</v>
      </c>
      <c r="C199" s="748">
        <v>1</v>
      </c>
      <c r="D199" s="748">
        <v>1</v>
      </c>
      <c r="E199" s="749">
        <v>12.21</v>
      </c>
      <c r="F199" s="749">
        <v>0.23</v>
      </c>
      <c r="G199" s="749">
        <v>3</v>
      </c>
      <c r="H199" s="739">
        <f t="shared" si="20"/>
        <v>8.42</v>
      </c>
      <c r="I199" s="750"/>
    </row>
    <row r="200" spans="1:9" ht="22.5" customHeight="1">
      <c r="A200" s="753"/>
      <c r="B200" s="756" t="s">
        <v>5854</v>
      </c>
      <c r="C200" s="748"/>
      <c r="D200" s="748"/>
      <c r="E200" s="749"/>
      <c r="F200" s="749"/>
      <c r="G200" s="749"/>
      <c r="H200" s="739"/>
      <c r="I200" s="750"/>
    </row>
    <row r="201" spans="1:9">
      <c r="A201" s="753"/>
      <c r="B201" s="755" t="s">
        <v>5855</v>
      </c>
      <c r="C201" s="748">
        <v>1</v>
      </c>
      <c r="D201" s="748">
        <v>1</v>
      </c>
      <c r="E201" s="749">
        <v>3.52</v>
      </c>
      <c r="F201" s="749">
        <v>0.23</v>
      </c>
      <c r="G201" s="749">
        <v>3</v>
      </c>
      <c r="H201" s="739">
        <f t="shared" si="20"/>
        <v>2.4300000000000002</v>
      </c>
      <c r="I201" s="750"/>
    </row>
    <row r="202" spans="1:9">
      <c r="A202" s="753"/>
      <c r="B202" s="755" t="s">
        <v>5856</v>
      </c>
      <c r="C202" s="748">
        <v>1</v>
      </c>
      <c r="D202" s="748">
        <v>2</v>
      </c>
      <c r="E202" s="749">
        <v>2.4</v>
      </c>
      <c r="F202" s="749">
        <v>0.23</v>
      </c>
      <c r="G202" s="749">
        <v>3</v>
      </c>
      <c r="H202" s="739">
        <f t="shared" si="20"/>
        <v>3.31</v>
      </c>
      <c r="I202" s="750"/>
    </row>
    <row r="203" spans="1:9">
      <c r="A203" s="753"/>
      <c r="B203" s="755" t="s">
        <v>5857</v>
      </c>
      <c r="C203" s="748">
        <v>1</v>
      </c>
      <c r="D203" s="748">
        <v>1</v>
      </c>
      <c r="E203" s="749">
        <v>3.6</v>
      </c>
      <c r="F203" s="749">
        <v>0.23</v>
      </c>
      <c r="G203" s="749">
        <v>3</v>
      </c>
      <c r="H203" s="739">
        <f t="shared" si="20"/>
        <v>2.48</v>
      </c>
      <c r="I203" s="750"/>
    </row>
    <row r="204" spans="1:9">
      <c r="A204" s="753"/>
      <c r="B204" s="755" t="s">
        <v>5858</v>
      </c>
      <c r="C204" s="748"/>
      <c r="D204" s="748"/>
      <c r="E204" s="749"/>
      <c r="F204" s="749"/>
      <c r="G204" s="749"/>
      <c r="H204" s="739"/>
      <c r="I204" s="750"/>
    </row>
    <row r="205" spans="1:9">
      <c r="A205" s="753"/>
      <c r="B205" s="755" t="s">
        <v>5859</v>
      </c>
      <c r="C205" s="748">
        <v>1</v>
      </c>
      <c r="D205" s="748">
        <v>2</v>
      </c>
      <c r="E205" s="749">
        <v>2.4</v>
      </c>
      <c r="F205" s="749">
        <v>0.45</v>
      </c>
      <c r="G205" s="749">
        <v>0.12</v>
      </c>
      <c r="H205" s="739">
        <f t="shared" si="20"/>
        <v>0.26</v>
      </c>
      <c r="I205" s="750"/>
    </row>
    <row r="206" spans="1:9">
      <c r="A206" s="753"/>
      <c r="B206" s="755" t="s">
        <v>5860</v>
      </c>
      <c r="C206" s="748">
        <v>1</v>
      </c>
      <c r="D206" s="748">
        <v>1</v>
      </c>
      <c r="E206" s="749">
        <v>1.2</v>
      </c>
      <c r="F206" s="749">
        <v>0.15</v>
      </c>
      <c r="G206" s="749">
        <v>0.12</v>
      </c>
      <c r="H206" s="739">
        <f t="shared" si="20"/>
        <v>0.02</v>
      </c>
      <c r="I206" s="750"/>
    </row>
    <row r="207" spans="1:9">
      <c r="A207" s="753"/>
      <c r="B207" s="755" t="s">
        <v>5861</v>
      </c>
      <c r="C207" s="748">
        <v>1</v>
      </c>
      <c r="D207" s="748">
        <v>1</v>
      </c>
      <c r="E207" s="749">
        <v>5.82</v>
      </c>
      <c r="F207" s="749">
        <v>0.6</v>
      </c>
      <c r="G207" s="749">
        <v>0.12</v>
      </c>
      <c r="H207" s="739">
        <f t="shared" si="20"/>
        <v>0.42</v>
      </c>
      <c r="I207" s="750"/>
    </row>
    <row r="208" spans="1:9">
      <c r="A208" s="753"/>
      <c r="B208" s="755" t="s">
        <v>5861</v>
      </c>
      <c r="C208" s="748">
        <v>1</v>
      </c>
      <c r="D208" s="748">
        <v>1</v>
      </c>
      <c r="E208" s="749">
        <v>1.8</v>
      </c>
      <c r="F208" s="749">
        <v>0.6</v>
      </c>
      <c r="G208" s="749">
        <v>0.12</v>
      </c>
      <c r="H208" s="739">
        <f t="shared" si="20"/>
        <v>0.13</v>
      </c>
      <c r="I208" s="750"/>
    </row>
    <row r="209" spans="1:9">
      <c r="A209" s="753"/>
      <c r="B209" s="755" t="s">
        <v>5862</v>
      </c>
      <c r="C209" s="748">
        <v>1</v>
      </c>
      <c r="D209" s="748">
        <v>2</v>
      </c>
      <c r="E209" s="749">
        <v>1.5</v>
      </c>
      <c r="F209" s="749">
        <v>0.45</v>
      </c>
      <c r="G209" s="749">
        <v>0.12</v>
      </c>
      <c r="H209" s="739">
        <f t="shared" si="20"/>
        <v>0.16</v>
      </c>
      <c r="I209" s="750"/>
    </row>
    <row r="210" spans="1:9">
      <c r="A210" s="753"/>
      <c r="B210" s="755" t="s">
        <v>5862</v>
      </c>
      <c r="C210" s="748">
        <v>1</v>
      </c>
      <c r="D210" s="748">
        <v>1</v>
      </c>
      <c r="E210" s="749">
        <v>1.35</v>
      </c>
      <c r="F210" s="749">
        <v>0.42</v>
      </c>
      <c r="G210" s="749">
        <v>0.12</v>
      </c>
      <c r="H210" s="739">
        <f t="shared" si="20"/>
        <v>7.0000000000000007E-2</v>
      </c>
      <c r="I210" s="750"/>
    </row>
    <row r="211" spans="1:9">
      <c r="A211" s="753"/>
      <c r="B211" s="755" t="s">
        <v>5862</v>
      </c>
      <c r="C211" s="748">
        <v>1</v>
      </c>
      <c r="D211" s="748">
        <v>1</v>
      </c>
      <c r="E211" s="749">
        <v>1.1000000000000001</v>
      </c>
      <c r="F211" s="749">
        <v>0.6</v>
      </c>
      <c r="G211" s="749">
        <v>0.12</v>
      </c>
      <c r="H211" s="739">
        <f t="shared" si="20"/>
        <v>0.08</v>
      </c>
      <c r="I211" s="750"/>
    </row>
    <row r="212" spans="1:9">
      <c r="A212" s="753"/>
      <c r="B212" s="751" t="s">
        <v>5863</v>
      </c>
      <c r="C212" s="748"/>
      <c r="D212" s="748"/>
      <c r="E212" s="749"/>
      <c r="F212" s="749"/>
      <c r="G212" s="749"/>
      <c r="H212" s="739"/>
      <c r="I212" s="750"/>
    </row>
    <row r="213" spans="1:9">
      <c r="A213" s="753"/>
      <c r="B213" s="754" t="s">
        <v>5864</v>
      </c>
      <c r="C213" s="748">
        <v>-1</v>
      </c>
      <c r="D213" s="748">
        <v>1</v>
      </c>
      <c r="E213" s="749">
        <v>1.5</v>
      </c>
      <c r="F213" s="749">
        <v>0.23</v>
      </c>
      <c r="G213" s="749">
        <v>2.1</v>
      </c>
      <c r="H213" s="739">
        <f t="shared" ref="H213:H223" si="21">PRODUCT(C213:G213)</f>
        <v>-0.72</v>
      </c>
      <c r="I213" s="750"/>
    </row>
    <row r="214" spans="1:9">
      <c r="A214" s="753"/>
      <c r="B214" s="754" t="s">
        <v>5865</v>
      </c>
      <c r="C214" s="748">
        <v>-1</v>
      </c>
      <c r="D214" s="748">
        <v>1</v>
      </c>
      <c r="E214" s="749">
        <v>1.2</v>
      </c>
      <c r="F214" s="749">
        <v>0.23</v>
      </c>
      <c r="G214" s="749">
        <v>2.1</v>
      </c>
      <c r="H214" s="739">
        <f t="shared" si="21"/>
        <v>-0.57999999999999996</v>
      </c>
      <c r="I214" s="750"/>
    </row>
    <row r="215" spans="1:9">
      <c r="A215" s="753"/>
      <c r="B215" s="754" t="s">
        <v>5866</v>
      </c>
      <c r="C215" s="748">
        <v>-1</v>
      </c>
      <c r="D215" s="748">
        <v>2</v>
      </c>
      <c r="E215" s="749">
        <v>1.2</v>
      </c>
      <c r="F215" s="749">
        <v>0.23</v>
      </c>
      <c r="G215" s="749">
        <v>2.1</v>
      </c>
      <c r="H215" s="739">
        <f t="shared" si="21"/>
        <v>-1.1599999999999999</v>
      </c>
      <c r="I215" s="750"/>
    </row>
    <row r="216" spans="1:9">
      <c r="A216" s="753"/>
      <c r="B216" s="754" t="s">
        <v>5798</v>
      </c>
      <c r="C216" s="748">
        <v>-1</v>
      </c>
      <c r="D216" s="748">
        <v>1</v>
      </c>
      <c r="E216" s="749">
        <v>0.9</v>
      </c>
      <c r="F216" s="749">
        <v>0.23</v>
      </c>
      <c r="G216" s="749">
        <v>2.1</v>
      </c>
      <c r="H216" s="739">
        <f t="shared" si="21"/>
        <v>-0.43</v>
      </c>
      <c r="I216" s="750"/>
    </row>
    <row r="217" spans="1:9">
      <c r="A217" s="753"/>
      <c r="B217" s="754" t="s">
        <v>5867</v>
      </c>
      <c r="C217" s="748">
        <v>-1</v>
      </c>
      <c r="D217" s="748">
        <v>1</v>
      </c>
      <c r="E217" s="749">
        <v>1</v>
      </c>
      <c r="F217" s="749">
        <v>0.23</v>
      </c>
      <c r="G217" s="749">
        <v>2.1</v>
      </c>
      <c r="H217" s="739">
        <f>PRODUCT(C217:G217)</f>
        <v>-0.48</v>
      </c>
      <c r="I217" s="750"/>
    </row>
    <row r="218" spans="1:9">
      <c r="A218" s="753"/>
      <c r="B218" s="754" t="s">
        <v>5868</v>
      </c>
      <c r="C218" s="748">
        <v>-1</v>
      </c>
      <c r="D218" s="748">
        <v>1</v>
      </c>
      <c r="E218" s="749">
        <v>1</v>
      </c>
      <c r="F218" s="749">
        <v>0.23</v>
      </c>
      <c r="G218" s="749">
        <v>2.1</v>
      </c>
      <c r="H218" s="739">
        <f t="shared" ref="H218:H219" si="22">PRODUCT(C218:G218)</f>
        <v>-0.48</v>
      </c>
      <c r="I218" s="750"/>
    </row>
    <row r="219" spans="1:9">
      <c r="A219" s="753"/>
      <c r="B219" s="754" t="s">
        <v>5869</v>
      </c>
      <c r="C219" s="748">
        <v>-1</v>
      </c>
      <c r="D219" s="748">
        <v>1</v>
      </c>
      <c r="E219" s="749">
        <v>1</v>
      </c>
      <c r="F219" s="749">
        <v>0.23</v>
      </c>
      <c r="G219" s="749">
        <v>0.6</v>
      </c>
      <c r="H219" s="739">
        <f t="shared" si="22"/>
        <v>-0.14000000000000001</v>
      </c>
      <c r="I219" s="750"/>
    </row>
    <row r="220" spans="1:9">
      <c r="A220" s="753"/>
      <c r="B220" s="754" t="s">
        <v>5870</v>
      </c>
      <c r="C220" s="748">
        <v>-1</v>
      </c>
      <c r="D220" s="748">
        <v>1</v>
      </c>
      <c r="E220" s="749">
        <v>1.5</v>
      </c>
      <c r="F220" s="749">
        <v>0.23</v>
      </c>
      <c r="G220" s="749">
        <v>2</v>
      </c>
      <c r="H220" s="739">
        <f t="shared" si="21"/>
        <v>-0.69</v>
      </c>
      <c r="I220" s="750"/>
    </row>
    <row r="221" spans="1:9">
      <c r="A221" s="753"/>
      <c r="B221" s="754" t="s">
        <v>5871</v>
      </c>
      <c r="C221" s="748">
        <v>-1</v>
      </c>
      <c r="D221" s="748">
        <v>1</v>
      </c>
      <c r="E221" s="749">
        <v>0.9</v>
      </c>
      <c r="F221" s="749">
        <v>0.23</v>
      </c>
      <c r="G221" s="749">
        <v>2</v>
      </c>
      <c r="H221" s="739">
        <f t="shared" si="21"/>
        <v>-0.41</v>
      </c>
      <c r="I221" s="750"/>
    </row>
    <row r="222" spans="1:9">
      <c r="A222" s="753"/>
      <c r="B222" s="754" t="s">
        <v>5872</v>
      </c>
      <c r="C222" s="748">
        <v>-1</v>
      </c>
      <c r="D222" s="748">
        <v>3</v>
      </c>
      <c r="E222" s="749">
        <v>1.8</v>
      </c>
      <c r="F222" s="749">
        <v>0.23</v>
      </c>
      <c r="G222" s="749">
        <v>1.35</v>
      </c>
      <c r="H222" s="739">
        <f t="shared" si="21"/>
        <v>-1.68</v>
      </c>
      <c r="I222" s="750"/>
    </row>
    <row r="223" spans="1:9">
      <c r="A223" s="753"/>
      <c r="B223" s="754" t="s">
        <v>5873</v>
      </c>
      <c r="C223" s="748">
        <v>-1</v>
      </c>
      <c r="D223" s="748">
        <v>3</v>
      </c>
      <c r="E223" s="749">
        <v>1.5</v>
      </c>
      <c r="F223" s="749">
        <v>0.23</v>
      </c>
      <c r="G223" s="749">
        <v>1.35</v>
      </c>
      <c r="H223" s="739">
        <f t="shared" si="21"/>
        <v>-1.4</v>
      </c>
      <c r="I223" s="750"/>
    </row>
    <row r="224" spans="1:9">
      <c r="A224" s="753"/>
      <c r="B224" s="754" t="s">
        <v>5874</v>
      </c>
      <c r="C224" s="748">
        <v>-1</v>
      </c>
      <c r="D224" s="748">
        <v>1</v>
      </c>
      <c r="E224" s="749">
        <v>1.5</v>
      </c>
      <c r="F224" s="749">
        <v>0.23</v>
      </c>
      <c r="G224" s="749">
        <v>1.35</v>
      </c>
      <c r="H224" s="739">
        <f>PRODUCT(C224:G224)</f>
        <v>-0.47</v>
      </c>
      <c r="I224" s="750"/>
    </row>
    <row r="225" spans="1:9">
      <c r="A225" s="753"/>
      <c r="B225" s="754" t="s">
        <v>5875</v>
      </c>
      <c r="C225" s="748">
        <v>-1</v>
      </c>
      <c r="D225" s="748">
        <v>3</v>
      </c>
      <c r="E225" s="749">
        <v>0.75</v>
      </c>
      <c r="F225" s="749">
        <v>0.23</v>
      </c>
      <c r="G225" s="749">
        <v>0.75</v>
      </c>
      <c r="H225" s="739">
        <f>PRODUCT(C225:G225)</f>
        <v>-0.39</v>
      </c>
      <c r="I225" s="750"/>
    </row>
    <row r="226" spans="1:9">
      <c r="A226" s="753"/>
      <c r="B226" s="754" t="s">
        <v>5876</v>
      </c>
      <c r="C226" s="748">
        <v>-1</v>
      </c>
      <c r="D226" s="748">
        <v>1</v>
      </c>
      <c r="E226" s="749">
        <v>1.2</v>
      </c>
      <c r="F226" s="749">
        <v>0.23</v>
      </c>
      <c r="G226" s="749">
        <v>0.75</v>
      </c>
      <c r="H226" s="739">
        <f>PRODUCT(C226:G226)</f>
        <v>-0.21</v>
      </c>
      <c r="I226" s="750"/>
    </row>
    <row r="227" spans="1:9">
      <c r="A227" s="753"/>
      <c r="B227" s="751" t="s">
        <v>5877</v>
      </c>
      <c r="C227" s="748"/>
      <c r="D227" s="748"/>
      <c r="E227" s="749"/>
      <c r="F227" s="749"/>
      <c r="G227" s="749"/>
      <c r="H227" s="739"/>
      <c r="I227" s="750"/>
    </row>
    <row r="228" spans="1:9">
      <c r="A228" s="753"/>
      <c r="B228" s="754" t="s">
        <v>5870</v>
      </c>
      <c r="C228" s="748">
        <v>-1</v>
      </c>
      <c r="D228" s="748">
        <v>1</v>
      </c>
      <c r="E228" s="749">
        <f>1.5+0.46</f>
        <v>1.96</v>
      </c>
      <c r="F228" s="749">
        <v>0.23</v>
      </c>
      <c r="G228" s="749">
        <v>0.05</v>
      </c>
      <c r="H228" s="739">
        <f t="shared" ref="H228:H231" si="23">PRODUCT(C228:G228)</f>
        <v>-0.02</v>
      </c>
      <c r="I228" s="750"/>
    </row>
    <row r="229" spans="1:9">
      <c r="A229" s="753"/>
      <c r="B229" s="754" t="s">
        <v>5871</v>
      </c>
      <c r="C229" s="748">
        <v>-1</v>
      </c>
      <c r="D229" s="748">
        <v>1</v>
      </c>
      <c r="E229" s="749">
        <f>0.9+0.46</f>
        <v>1.36</v>
      </c>
      <c r="F229" s="749">
        <v>0.23</v>
      </c>
      <c r="G229" s="749">
        <v>0.05</v>
      </c>
      <c r="H229" s="739">
        <f t="shared" si="23"/>
        <v>-0.02</v>
      </c>
      <c r="I229" s="750"/>
    </row>
    <row r="230" spans="1:9">
      <c r="A230" s="753"/>
      <c r="B230" s="754" t="s">
        <v>5872</v>
      </c>
      <c r="C230" s="748">
        <v>-1</v>
      </c>
      <c r="D230" s="748">
        <v>3</v>
      </c>
      <c r="E230" s="749">
        <f>1.8+0.46</f>
        <v>2.2599999999999998</v>
      </c>
      <c r="F230" s="749">
        <v>0.23</v>
      </c>
      <c r="G230" s="749">
        <v>0.05</v>
      </c>
      <c r="H230" s="739">
        <f t="shared" si="23"/>
        <v>-0.08</v>
      </c>
      <c r="I230" s="750"/>
    </row>
    <row r="231" spans="1:9">
      <c r="A231" s="753"/>
      <c r="B231" s="754" t="s">
        <v>5873</v>
      </c>
      <c r="C231" s="748">
        <v>-1</v>
      </c>
      <c r="D231" s="748">
        <v>3</v>
      </c>
      <c r="E231" s="749">
        <f>1.5+0.46</f>
        <v>1.96</v>
      </c>
      <c r="F231" s="749">
        <v>0.23</v>
      </c>
      <c r="G231" s="749">
        <v>0.05</v>
      </c>
      <c r="H231" s="739">
        <f t="shared" si="23"/>
        <v>-7.0000000000000007E-2</v>
      </c>
      <c r="I231" s="750"/>
    </row>
    <row r="232" spans="1:9">
      <c r="A232" s="753"/>
      <c r="B232" s="754" t="s">
        <v>5874</v>
      </c>
      <c r="C232" s="748">
        <v>-1</v>
      </c>
      <c r="D232" s="748">
        <v>1</v>
      </c>
      <c r="E232" s="749">
        <f>1.5+0.46</f>
        <v>1.96</v>
      </c>
      <c r="F232" s="749">
        <v>0.23</v>
      </c>
      <c r="G232" s="749">
        <v>0.05</v>
      </c>
      <c r="H232" s="739">
        <f>PRODUCT(C232:G232)</f>
        <v>-0.02</v>
      </c>
      <c r="I232" s="750"/>
    </row>
    <row r="233" spans="1:9">
      <c r="A233" s="753"/>
      <c r="B233" s="754" t="s">
        <v>5875</v>
      </c>
      <c r="C233" s="748">
        <v>-1</v>
      </c>
      <c r="D233" s="748">
        <v>3</v>
      </c>
      <c r="E233" s="749">
        <f>0.75+0.46</f>
        <v>1.21</v>
      </c>
      <c r="F233" s="749">
        <v>0.23</v>
      </c>
      <c r="G233" s="749">
        <v>0.05</v>
      </c>
      <c r="H233" s="739">
        <f>PRODUCT(C233:G233)</f>
        <v>-0.04</v>
      </c>
      <c r="I233" s="750"/>
    </row>
    <row r="234" spans="1:9">
      <c r="A234" s="753"/>
      <c r="B234" s="754" t="s">
        <v>5876</v>
      </c>
      <c r="C234" s="748">
        <v>-1</v>
      </c>
      <c r="D234" s="748">
        <v>1</v>
      </c>
      <c r="E234" s="749">
        <f>1.2+0.46</f>
        <v>1.66</v>
      </c>
      <c r="F234" s="749">
        <v>0.23</v>
      </c>
      <c r="G234" s="749">
        <v>0.05</v>
      </c>
      <c r="H234" s="739">
        <f>PRODUCT(C234:G234)</f>
        <v>-0.02</v>
      </c>
      <c r="I234" s="750"/>
    </row>
    <row r="235" spans="1:9">
      <c r="A235" s="753"/>
      <c r="B235" s="751" t="s">
        <v>5878</v>
      </c>
      <c r="C235" s="748"/>
      <c r="D235" s="748"/>
      <c r="E235" s="749"/>
      <c r="F235" s="749"/>
      <c r="G235" s="749"/>
      <c r="H235" s="739"/>
      <c r="I235" s="750"/>
    </row>
    <row r="236" spans="1:9">
      <c r="A236" s="753"/>
      <c r="B236" s="754" t="s">
        <v>5870</v>
      </c>
      <c r="C236" s="748">
        <v>-1</v>
      </c>
      <c r="D236" s="748">
        <v>1</v>
      </c>
      <c r="E236" s="749">
        <f>1.5+0.46</f>
        <v>1.96</v>
      </c>
      <c r="F236" s="749">
        <v>0.23</v>
      </c>
      <c r="G236" s="749">
        <v>0.15</v>
      </c>
      <c r="H236" s="739">
        <f t="shared" ref="H236:H239" si="24">PRODUCT(C236:G236)</f>
        <v>-7.0000000000000007E-2</v>
      </c>
      <c r="I236" s="750"/>
    </row>
    <row r="237" spans="1:9">
      <c r="A237" s="753"/>
      <c r="B237" s="754" t="s">
        <v>5871</v>
      </c>
      <c r="C237" s="748">
        <v>-1</v>
      </c>
      <c r="D237" s="748">
        <v>1</v>
      </c>
      <c r="E237" s="749">
        <f>0.9+0.46</f>
        <v>1.36</v>
      </c>
      <c r="F237" s="749">
        <v>0.23</v>
      </c>
      <c r="G237" s="749">
        <v>0.15</v>
      </c>
      <c r="H237" s="739">
        <f t="shared" si="24"/>
        <v>-0.05</v>
      </c>
      <c r="I237" s="750"/>
    </row>
    <row r="238" spans="1:9">
      <c r="A238" s="753"/>
      <c r="B238" s="754" t="s">
        <v>5872</v>
      </c>
      <c r="C238" s="748">
        <v>-1</v>
      </c>
      <c r="D238" s="748">
        <v>3</v>
      </c>
      <c r="E238" s="749">
        <f>1.8+0.46</f>
        <v>2.2599999999999998</v>
      </c>
      <c r="F238" s="749">
        <v>0.23</v>
      </c>
      <c r="G238" s="749">
        <v>0.15</v>
      </c>
      <c r="H238" s="739">
        <f t="shared" si="24"/>
        <v>-0.23</v>
      </c>
      <c r="I238" s="750"/>
    </row>
    <row r="239" spans="1:9">
      <c r="A239" s="753"/>
      <c r="B239" s="754" t="s">
        <v>5873</v>
      </c>
      <c r="C239" s="748">
        <v>-1</v>
      </c>
      <c r="D239" s="748">
        <v>3</v>
      </c>
      <c r="E239" s="749">
        <f>1.5+0.46</f>
        <v>1.96</v>
      </c>
      <c r="F239" s="749">
        <v>0.23</v>
      </c>
      <c r="G239" s="749">
        <v>0.15</v>
      </c>
      <c r="H239" s="739">
        <f t="shared" si="24"/>
        <v>-0.2</v>
      </c>
      <c r="I239" s="750"/>
    </row>
    <row r="240" spans="1:9">
      <c r="A240" s="753"/>
      <c r="B240" s="754" t="s">
        <v>5874</v>
      </c>
      <c r="C240" s="748">
        <v>-1</v>
      </c>
      <c r="D240" s="748">
        <v>1</v>
      </c>
      <c r="E240" s="749">
        <f>1.5+0.46</f>
        <v>1.96</v>
      </c>
      <c r="F240" s="749">
        <v>0.23</v>
      </c>
      <c r="G240" s="749">
        <v>0.15</v>
      </c>
      <c r="H240" s="739">
        <f>PRODUCT(C240:G240)</f>
        <v>-7.0000000000000007E-2</v>
      </c>
      <c r="I240" s="750"/>
    </row>
    <row r="241" spans="1:9">
      <c r="A241" s="753"/>
      <c r="B241" s="754" t="s">
        <v>5875</v>
      </c>
      <c r="C241" s="748">
        <v>-1</v>
      </c>
      <c r="D241" s="748">
        <v>3</v>
      </c>
      <c r="E241" s="749">
        <f>0.75+0.46</f>
        <v>1.21</v>
      </c>
      <c r="F241" s="749">
        <v>0.23</v>
      </c>
      <c r="G241" s="749">
        <v>0.15</v>
      </c>
      <c r="H241" s="739">
        <f>PRODUCT(C241:G241)</f>
        <v>-0.13</v>
      </c>
      <c r="I241" s="750"/>
    </row>
    <row r="242" spans="1:9">
      <c r="A242" s="753"/>
      <c r="B242" s="754" t="s">
        <v>5876</v>
      </c>
      <c r="C242" s="748">
        <v>-1</v>
      </c>
      <c r="D242" s="748">
        <v>1</v>
      </c>
      <c r="E242" s="749">
        <f>1.2+0.46</f>
        <v>1.66</v>
      </c>
      <c r="F242" s="749">
        <v>0.23</v>
      </c>
      <c r="G242" s="749">
        <v>0.15</v>
      </c>
      <c r="H242" s="739">
        <f>PRODUCT(C242:G242)</f>
        <v>-0.06</v>
      </c>
      <c r="I242" s="750"/>
    </row>
    <row r="243" spans="1:9">
      <c r="A243" s="753"/>
      <c r="B243" s="754" t="s">
        <v>5864</v>
      </c>
      <c r="C243" s="748">
        <v>-1</v>
      </c>
      <c r="D243" s="748">
        <v>1</v>
      </c>
      <c r="E243" s="749">
        <v>1.96</v>
      </c>
      <c r="F243" s="749">
        <v>0.23</v>
      </c>
      <c r="G243" s="749">
        <v>0.15</v>
      </c>
      <c r="H243" s="739">
        <f t="shared" ref="H243:H246" si="25">PRODUCT(C243:G243)</f>
        <v>-7.0000000000000007E-2</v>
      </c>
      <c r="I243" s="750"/>
    </row>
    <row r="244" spans="1:9">
      <c r="A244" s="753"/>
      <c r="B244" s="754" t="s">
        <v>5865</v>
      </c>
      <c r="C244" s="748">
        <v>-1</v>
      </c>
      <c r="D244" s="748">
        <v>1</v>
      </c>
      <c r="E244" s="749">
        <f>1.2+0.46</f>
        <v>1.66</v>
      </c>
      <c r="F244" s="749">
        <v>0.23</v>
      </c>
      <c r="G244" s="749">
        <v>0.15</v>
      </c>
      <c r="H244" s="739">
        <f t="shared" si="25"/>
        <v>-0.06</v>
      </c>
      <c r="I244" s="750"/>
    </row>
    <row r="245" spans="1:9">
      <c r="A245" s="753"/>
      <c r="B245" s="754" t="s">
        <v>5866</v>
      </c>
      <c r="C245" s="748">
        <v>-1</v>
      </c>
      <c r="D245" s="748">
        <v>2</v>
      </c>
      <c r="E245" s="749">
        <f>1.2+0.46</f>
        <v>1.66</v>
      </c>
      <c r="F245" s="749">
        <v>0.23</v>
      </c>
      <c r="G245" s="749">
        <v>0.15</v>
      </c>
      <c r="H245" s="739">
        <f t="shared" si="25"/>
        <v>-0.11</v>
      </c>
      <c r="I245" s="750"/>
    </row>
    <row r="246" spans="1:9">
      <c r="A246" s="753"/>
      <c r="B246" s="754" t="s">
        <v>5798</v>
      </c>
      <c r="C246" s="748">
        <v>-1</v>
      </c>
      <c r="D246" s="748">
        <v>1</v>
      </c>
      <c r="E246" s="749">
        <f>0.9+0.46</f>
        <v>1.36</v>
      </c>
      <c r="F246" s="749">
        <v>0.23</v>
      </c>
      <c r="G246" s="749">
        <v>0.15</v>
      </c>
      <c r="H246" s="739">
        <f t="shared" si="25"/>
        <v>-0.05</v>
      </c>
      <c r="I246" s="750"/>
    </row>
    <row r="247" spans="1:9">
      <c r="A247" s="753"/>
      <c r="B247" s="754" t="s">
        <v>5867</v>
      </c>
      <c r="C247" s="748">
        <v>-1</v>
      </c>
      <c r="D247" s="748">
        <v>2</v>
      </c>
      <c r="E247" s="749">
        <f>1+0.46</f>
        <v>1.46</v>
      </c>
      <c r="F247" s="749">
        <v>0.23</v>
      </c>
      <c r="G247" s="749">
        <v>0.15</v>
      </c>
      <c r="H247" s="739">
        <f>PRODUCT(C247:G247)</f>
        <v>-0.1</v>
      </c>
      <c r="I247" s="750"/>
    </row>
    <row r="248" spans="1:9">
      <c r="A248" s="753"/>
      <c r="B248" s="751" t="s">
        <v>5879</v>
      </c>
      <c r="C248" s="748"/>
      <c r="D248" s="748"/>
      <c r="E248" s="749"/>
      <c r="F248" s="749"/>
      <c r="G248" s="749"/>
      <c r="H248" s="739"/>
      <c r="I248" s="750"/>
    </row>
    <row r="249" spans="1:9">
      <c r="A249" s="753"/>
      <c r="B249" s="754" t="s">
        <v>5880</v>
      </c>
      <c r="C249" s="748">
        <v>-1</v>
      </c>
      <c r="D249" s="748">
        <v>18</v>
      </c>
      <c r="E249" s="749">
        <v>0.23</v>
      </c>
      <c r="F249" s="749">
        <v>0.3</v>
      </c>
      <c r="G249" s="749">
        <v>3</v>
      </c>
      <c r="H249" s="739">
        <f t="shared" ref="H249:H252" si="26">PRODUCT(C249:G249)</f>
        <v>-3.73</v>
      </c>
      <c r="I249" s="750"/>
    </row>
    <row r="250" spans="1:9">
      <c r="A250" s="753"/>
      <c r="B250" s="754" t="s">
        <v>5881</v>
      </c>
      <c r="C250" s="748">
        <v>-1</v>
      </c>
      <c r="D250" s="748">
        <v>5</v>
      </c>
      <c r="E250" s="749">
        <v>0.23</v>
      </c>
      <c r="F250" s="749">
        <v>0.3</v>
      </c>
      <c r="G250" s="749">
        <v>3</v>
      </c>
      <c r="H250" s="739">
        <f t="shared" si="26"/>
        <v>-1.04</v>
      </c>
      <c r="I250" s="750"/>
    </row>
    <row r="251" spans="1:9">
      <c r="A251" s="753"/>
      <c r="B251" s="754" t="s">
        <v>5882</v>
      </c>
      <c r="C251" s="748">
        <v>-1</v>
      </c>
      <c r="D251" s="748">
        <v>5</v>
      </c>
      <c r="E251" s="749">
        <v>0.23</v>
      </c>
      <c r="F251" s="749">
        <v>0.3</v>
      </c>
      <c r="G251" s="749">
        <v>3</v>
      </c>
      <c r="H251" s="739">
        <f t="shared" si="26"/>
        <v>-1.04</v>
      </c>
      <c r="I251" s="750"/>
    </row>
    <row r="252" spans="1:9">
      <c r="A252" s="753"/>
      <c r="B252" s="754" t="s">
        <v>5883</v>
      </c>
      <c r="C252" s="748">
        <v>-1</v>
      </c>
      <c r="D252" s="748">
        <v>3</v>
      </c>
      <c r="E252" s="749">
        <v>2.2599999999999998</v>
      </c>
      <c r="F252" s="749">
        <v>0.23</v>
      </c>
      <c r="G252" s="749">
        <v>0.15</v>
      </c>
      <c r="H252" s="739">
        <f t="shared" si="26"/>
        <v>-0.23</v>
      </c>
      <c r="I252" s="750"/>
    </row>
    <row r="253" spans="1:9">
      <c r="A253" s="753"/>
      <c r="B253" s="754"/>
      <c r="C253" s="748"/>
      <c r="D253" s="748"/>
      <c r="E253" s="749"/>
      <c r="F253" s="749"/>
      <c r="G253" s="752" t="s">
        <v>2235</v>
      </c>
      <c r="H253" s="742">
        <f>SUM(H192:H252)</f>
        <v>38.94</v>
      </c>
      <c r="I253" s="750"/>
    </row>
    <row r="254" spans="1:9">
      <c r="A254" s="732"/>
      <c r="B254" s="735"/>
      <c r="C254" s="746"/>
      <c r="D254" s="746"/>
      <c r="E254" s="742"/>
      <c r="F254" s="742"/>
      <c r="G254" s="742" t="s">
        <v>4209</v>
      </c>
      <c r="H254" s="742">
        <f>ROUNDUP(H253,1)</f>
        <v>39</v>
      </c>
      <c r="I254" s="736" t="s">
        <v>2142</v>
      </c>
    </row>
    <row r="255" spans="1:9">
      <c r="A255" s="753" t="s">
        <v>3182</v>
      </c>
      <c r="B255" s="751" t="s">
        <v>5884</v>
      </c>
      <c r="C255" s="748"/>
      <c r="D255" s="748"/>
      <c r="E255" s="749"/>
      <c r="F255" s="749"/>
      <c r="G255" s="749"/>
      <c r="H255" s="739"/>
      <c r="I255" s="750"/>
    </row>
    <row r="256" spans="1:9" ht="24" customHeight="1">
      <c r="A256" s="753"/>
      <c r="B256" s="754" t="s">
        <v>5885</v>
      </c>
      <c r="C256" s="748">
        <v>1</v>
      </c>
      <c r="D256" s="748">
        <v>1</v>
      </c>
      <c r="E256" s="749">
        <v>51.78</v>
      </c>
      <c r="F256" s="749">
        <v>0.23</v>
      </c>
      <c r="G256" s="749">
        <v>2.75</v>
      </c>
      <c r="H256" s="739">
        <f t="shared" ref="H256:H289" si="27">PRODUCT(C256:G256)</f>
        <v>32.75</v>
      </c>
      <c r="I256" s="750"/>
    </row>
    <row r="257" spans="1:9" ht="23.25" customHeight="1">
      <c r="A257" s="753"/>
      <c r="B257" s="751" t="s">
        <v>5850</v>
      </c>
      <c r="C257" s="748"/>
      <c r="D257" s="748"/>
      <c r="E257" s="749"/>
      <c r="F257" s="749"/>
      <c r="G257" s="749"/>
      <c r="H257" s="739"/>
      <c r="I257" s="750"/>
    </row>
    <row r="258" spans="1:9" ht="20.25" customHeight="1">
      <c r="A258" s="753"/>
      <c r="B258" s="755" t="s">
        <v>5886</v>
      </c>
      <c r="C258" s="748">
        <v>1</v>
      </c>
      <c r="D258" s="748">
        <v>2</v>
      </c>
      <c r="E258" s="749">
        <v>10.55</v>
      </c>
      <c r="F258" s="749">
        <v>0.23</v>
      </c>
      <c r="G258" s="749">
        <f>G256</f>
        <v>2.75</v>
      </c>
      <c r="H258" s="739">
        <f>PRODUCT(C258:G258)</f>
        <v>13.35</v>
      </c>
      <c r="I258" s="750"/>
    </row>
    <row r="259" spans="1:9" ht="20.25" customHeight="1">
      <c r="A259" s="753"/>
      <c r="B259" s="755" t="s">
        <v>5887</v>
      </c>
      <c r="C259" s="748">
        <v>1</v>
      </c>
      <c r="D259" s="748">
        <v>1</v>
      </c>
      <c r="E259" s="749">
        <v>8.98</v>
      </c>
      <c r="F259" s="749">
        <v>0.23</v>
      </c>
      <c r="G259" s="749">
        <v>2.75</v>
      </c>
      <c r="H259" s="739">
        <f>PRODUCT(C259:G259)</f>
        <v>5.68</v>
      </c>
      <c r="I259" s="750"/>
    </row>
    <row r="260" spans="1:9">
      <c r="A260" s="753"/>
      <c r="B260" s="751" t="s">
        <v>5854</v>
      </c>
      <c r="C260" s="748"/>
      <c r="D260" s="748"/>
      <c r="E260" s="749"/>
      <c r="F260" s="749"/>
      <c r="G260" s="749"/>
      <c r="H260" s="739"/>
      <c r="I260" s="750"/>
    </row>
    <row r="261" spans="1:9">
      <c r="A261" s="753"/>
      <c r="B261" s="754" t="s">
        <v>5888</v>
      </c>
      <c r="C261" s="748">
        <v>1</v>
      </c>
      <c r="D261" s="748">
        <v>2</v>
      </c>
      <c r="E261" s="749">
        <v>1.5</v>
      </c>
      <c r="F261" s="749">
        <v>0.23</v>
      </c>
      <c r="G261" s="749">
        <f>G258</f>
        <v>2.75</v>
      </c>
      <c r="H261" s="739">
        <f t="shared" si="27"/>
        <v>1.9</v>
      </c>
      <c r="I261" s="750"/>
    </row>
    <row r="262" spans="1:9">
      <c r="A262" s="753"/>
      <c r="B262" s="754" t="s">
        <v>5889</v>
      </c>
      <c r="C262" s="748">
        <v>1</v>
      </c>
      <c r="D262" s="748">
        <v>1</v>
      </c>
      <c r="E262" s="749">
        <v>4.0999999999999996</v>
      </c>
      <c r="F262" s="749">
        <v>0.23</v>
      </c>
      <c r="G262" s="749">
        <v>2.75</v>
      </c>
      <c r="H262" s="739">
        <f t="shared" si="27"/>
        <v>2.59</v>
      </c>
      <c r="I262" s="750"/>
    </row>
    <row r="263" spans="1:9">
      <c r="A263" s="753"/>
      <c r="B263" s="754" t="s">
        <v>5890</v>
      </c>
      <c r="C263" s="748">
        <v>1</v>
      </c>
      <c r="D263" s="748">
        <v>1</v>
      </c>
      <c r="E263" s="749">
        <v>2.4</v>
      </c>
      <c r="F263" s="749">
        <v>0.23</v>
      </c>
      <c r="G263" s="749">
        <f>G261</f>
        <v>2.75</v>
      </c>
      <c r="H263" s="739">
        <f t="shared" si="27"/>
        <v>1.52</v>
      </c>
      <c r="I263" s="750"/>
    </row>
    <row r="264" spans="1:9">
      <c r="A264" s="753"/>
      <c r="B264" s="754" t="s">
        <v>5891</v>
      </c>
      <c r="C264" s="748">
        <v>1</v>
      </c>
      <c r="D264" s="748">
        <v>4</v>
      </c>
      <c r="E264" s="749">
        <v>0.23</v>
      </c>
      <c r="F264" s="749">
        <v>0.23</v>
      </c>
      <c r="G264" s="749">
        <v>1.5</v>
      </c>
      <c r="H264" s="739">
        <f t="shared" si="27"/>
        <v>0.32</v>
      </c>
      <c r="I264" s="750"/>
    </row>
    <row r="265" spans="1:9">
      <c r="A265" s="753"/>
      <c r="B265" s="754" t="s">
        <v>5858</v>
      </c>
      <c r="C265" s="748"/>
      <c r="D265" s="748"/>
      <c r="E265" s="749"/>
      <c r="F265" s="749"/>
      <c r="G265" s="749"/>
      <c r="H265" s="739"/>
      <c r="I265" s="750"/>
    </row>
    <row r="266" spans="1:9">
      <c r="A266" s="753"/>
      <c r="B266" s="754" t="s">
        <v>5892</v>
      </c>
      <c r="C266" s="748">
        <v>1</v>
      </c>
      <c r="D266" s="748">
        <v>1</v>
      </c>
      <c r="E266" s="749">
        <v>1.25</v>
      </c>
      <c r="F266" s="749">
        <v>0.6</v>
      </c>
      <c r="G266" s="749">
        <v>0.12</v>
      </c>
      <c r="H266" s="739">
        <f t="shared" si="27"/>
        <v>0.09</v>
      </c>
      <c r="I266" s="750"/>
    </row>
    <row r="267" spans="1:9">
      <c r="A267" s="753"/>
      <c r="B267" s="754" t="s">
        <v>5893</v>
      </c>
      <c r="C267" s="748">
        <v>1</v>
      </c>
      <c r="D267" s="748">
        <v>1</v>
      </c>
      <c r="E267" s="749">
        <v>2.52</v>
      </c>
      <c r="F267" s="749">
        <v>0.6</v>
      </c>
      <c r="G267" s="749">
        <v>0.12</v>
      </c>
      <c r="H267" s="739">
        <f t="shared" si="27"/>
        <v>0.18</v>
      </c>
      <c r="I267" s="750"/>
    </row>
    <row r="268" spans="1:9">
      <c r="A268" s="753"/>
      <c r="B268" s="754" t="s">
        <v>5894</v>
      </c>
      <c r="C268" s="748">
        <v>1</v>
      </c>
      <c r="D268" s="748">
        <v>1</v>
      </c>
      <c r="E268" s="749">
        <v>1.5</v>
      </c>
      <c r="F268" s="749">
        <v>0.45</v>
      </c>
      <c r="G268" s="749">
        <v>0.12</v>
      </c>
      <c r="H268" s="739">
        <f t="shared" si="27"/>
        <v>0.08</v>
      </c>
      <c r="I268" s="750"/>
    </row>
    <row r="269" spans="1:9">
      <c r="A269" s="753"/>
      <c r="B269" s="754" t="s">
        <v>5895</v>
      </c>
      <c r="C269" s="748">
        <v>1</v>
      </c>
      <c r="D269" s="748">
        <v>1</v>
      </c>
      <c r="E269" s="749">
        <v>1.5</v>
      </c>
      <c r="F269" s="749">
        <v>0.6</v>
      </c>
      <c r="G269" s="749">
        <v>0.12</v>
      </c>
      <c r="H269" s="739">
        <f t="shared" si="27"/>
        <v>0.11</v>
      </c>
      <c r="I269" s="750"/>
    </row>
    <row r="270" spans="1:9">
      <c r="A270" s="753"/>
      <c r="B270" s="754" t="s">
        <v>5895</v>
      </c>
      <c r="C270" s="748">
        <v>1</v>
      </c>
      <c r="D270" s="748">
        <v>1</v>
      </c>
      <c r="E270" s="749">
        <v>1.0900000000000001</v>
      </c>
      <c r="F270" s="749">
        <v>0.45</v>
      </c>
      <c r="G270" s="749">
        <v>0.12</v>
      </c>
      <c r="H270" s="739">
        <f t="shared" si="27"/>
        <v>0.06</v>
      </c>
      <c r="I270" s="750"/>
    </row>
    <row r="271" spans="1:9">
      <c r="A271" s="753"/>
      <c r="B271" s="754" t="s">
        <v>5896</v>
      </c>
      <c r="C271" s="748">
        <v>1</v>
      </c>
      <c r="D271" s="748">
        <v>2</v>
      </c>
      <c r="E271" s="749">
        <v>1.35</v>
      </c>
      <c r="F271" s="749">
        <v>0.6</v>
      </c>
      <c r="G271" s="749">
        <v>0.12</v>
      </c>
      <c r="H271" s="739">
        <f t="shared" si="27"/>
        <v>0.19</v>
      </c>
      <c r="I271" s="750"/>
    </row>
    <row r="272" spans="1:9">
      <c r="A272" s="753"/>
      <c r="B272" s="754" t="s">
        <v>5897</v>
      </c>
      <c r="C272" s="748">
        <v>1</v>
      </c>
      <c r="D272" s="748">
        <v>2</v>
      </c>
      <c r="E272" s="749">
        <v>1.5</v>
      </c>
      <c r="F272" s="749">
        <v>0.3</v>
      </c>
      <c r="G272" s="749">
        <v>0.12</v>
      </c>
      <c r="H272" s="739">
        <f t="shared" si="27"/>
        <v>0.11</v>
      </c>
      <c r="I272" s="750"/>
    </row>
    <row r="273" spans="1:9">
      <c r="A273" s="753"/>
      <c r="B273" s="754" t="s">
        <v>5898</v>
      </c>
      <c r="C273" s="748">
        <v>1</v>
      </c>
      <c r="D273" s="748">
        <v>1</v>
      </c>
      <c r="E273" s="749">
        <v>1.05</v>
      </c>
      <c r="F273" s="749">
        <v>0.3</v>
      </c>
      <c r="G273" s="749">
        <v>0.12</v>
      </c>
      <c r="H273" s="739">
        <f t="shared" si="27"/>
        <v>0.04</v>
      </c>
      <c r="I273" s="750"/>
    </row>
    <row r="274" spans="1:9">
      <c r="A274" s="753"/>
      <c r="B274" s="754" t="s">
        <v>5899</v>
      </c>
      <c r="C274" s="748">
        <v>1</v>
      </c>
      <c r="D274" s="748">
        <v>1</v>
      </c>
      <c r="E274" s="749">
        <v>2.36</v>
      </c>
      <c r="F274" s="749">
        <v>0.4</v>
      </c>
      <c r="G274" s="749">
        <v>0.12</v>
      </c>
      <c r="H274" s="739">
        <f t="shared" si="27"/>
        <v>0.11</v>
      </c>
      <c r="I274" s="750"/>
    </row>
    <row r="275" spans="1:9">
      <c r="A275" s="753"/>
      <c r="B275" s="754" t="s">
        <v>5900</v>
      </c>
      <c r="C275" s="748">
        <v>1</v>
      </c>
      <c r="D275" s="748">
        <v>1</v>
      </c>
      <c r="E275" s="749">
        <v>1.65</v>
      </c>
      <c r="F275" s="749">
        <v>0.4</v>
      </c>
      <c r="G275" s="749">
        <v>0.12</v>
      </c>
      <c r="H275" s="739">
        <f t="shared" si="27"/>
        <v>0.08</v>
      </c>
      <c r="I275" s="750"/>
    </row>
    <row r="276" spans="1:9">
      <c r="A276" s="753"/>
      <c r="B276" s="754" t="s">
        <v>5901</v>
      </c>
      <c r="C276" s="748">
        <v>1</v>
      </c>
      <c r="D276" s="748">
        <v>1</v>
      </c>
      <c r="E276" s="749">
        <v>1.03</v>
      </c>
      <c r="F276" s="749">
        <v>0.45</v>
      </c>
      <c r="G276" s="749">
        <v>0.12</v>
      </c>
      <c r="H276" s="739">
        <f t="shared" si="27"/>
        <v>0.06</v>
      </c>
      <c r="I276" s="750"/>
    </row>
    <row r="277" spans="1:9">
      <c r="A277" s="753"/>
      <c r="B277" s="754" t="s">
        <v>5901</v>
      </c>
      <c r="C277" s="748">
        <v>1</v>
      </c>
      <c r="D277" s="748">
        <v>1</v>
      </c>
      <c r="E277" s="749">
        <v>1.61</v>
      </c>
      <c r="F277" s="749">
        <v>0.6</v>
      </c>
      <c r="G277" s="749">
        <v>0.12</v>
      </c>
      <c r="H277" s="739">
        <f t="shared" si="27"/>
        <v>0.12</v>
      </c>
      <c r="I277" s="750"/>
    </row>
    <row r="278" spans="1:9">
      <c r="A278" s="753"/>
      <c r="B278" s="754" t="s">
        <v>5901</v>
      </c>
      <c r="C278" s="748">
        <v>1</v>
      </c>
      <c r="D278" s="748">
        <v>1</v>
      </c>
      <c r="E278" s="749">
        <v>0.79</v>
      </c>
      <c r="F278" s="749">
        <v>0.3</v>
      </c>
      <c r="G278" s="749">
        <v>0.12</v>
      </c>
      <c r="H278" s="739">
        <f t="shared" si="27"/>
        <v>0.03</v>
      </c>
      <c r="I278" s="750"/>
    </row>
    <row r="279" spans="1:9">
      <c r="A279" s="753"/>
      <c r="B279" s="754" t="s">
        <v>5901</v>
      </c>
      <c r="C279" s="748">
        <v>1</v>
      </c>
      <c r="D279" s="748">
        <v>1</v>
      </c>
      <c r="E279" s="749">
        <v>0.79</v>
      </c>
      <c r="F279" s="749">
        <v>0.45</v>
      </c>
      <c r="G279" s="749">
        <v>0.12</v>
      </c>
      <c r="H279" s="739">
        <f t="shared" si="27"/>
        <v>0.04</v>
      </c>
      <c r="I279" s="750"/>
    </row>
    <row r="280" spans="1:9">
      <c r="A280" s="753"/>
      <c r="B280" s="751" t="s">
        <v>5902</v>
      </c>
      <c r="C280" s="748"/>
      <c r="D280" s="748"/>
      <c r="E280" s="749"/>
      <c r="F280" s="749"/>
      <c r="G280" s="749"/>
      <c r="H280" s="739"/>
      <c r="I280" s="750"/>
    </row>
    <row r="281" spans="1:9">
      <c r="A281" s="753"/>
      <c r="B281" s="754" t="s">
        <v>5865</v>
      </c>
      <c r="C281" s="748">
        <v>-1</v>
      </c>
      <c r="D281" s="748">
        <v>1</v>
      </c>
      <c r="E281" s="749">
        <v>1.2</v>
      </c>
      <c r="F281" s="749">
        <v>0.23</v>
      </c>
      <c r="G281" s="749">
        <v>2.2000000000000002</v>
      </c>
      <c r="H281" s="739">
        <f t="shared" ref="H281" si="28">PRODUCT(C281:G281)</f>
        <v>-0.61</v>
      </c>
      <c r="I281" s="750"/>
    </row>
    <row r="282" spans="1:9">
      <c r="A282" s="753"/>
      <c r="B282" s="754" t="s">
        <v>5903</v>
      </c>
      <c r="C282" s="748">
        <v>-1</v>
      </c>
      <c r="D282" s="748">
        <v>1</v>
      </c>
      <c r="E282" s="749">
        <v>1.05</v>
      </c>
      <c r="F282" s="749">
        <v>0.23</v>
      </c>
      <c r="G282" s="749">
        <v>2.1</v>
      </c>
      <c r="H282" s="739">
        <f t="shared" si="27"/>
        <v>-0.51</v>
      </c>
      <c r="I282" s="750"/>
    </row>
    <row r="283" spans="1:9">
      <c r="A283" s="753"/>
      <c r="B283" s="754" t="s">
        <v>5798</v>
      </c>
      <c r="C283" s="748">
        <v>-1</v>
      </c>
      <c r="D283" s="748">
        <v>4</v>
      </c>
      <c r="E283" s="749">
        <v>0.9</v>
      </c>
      <c r="F283" s="749">
        <v>0.23</v>
      </c>
      <c r="G283" s="749">
        <v>2.1</v>
      </c>
      <c r="H283" s="739">
        <f t="shared" si="27"/>
        <v>-1.74</v>
      </c>
      <c r="I283" s="750"/>
    </row>
    <row r="284" spans="1:9">
      <c r="A284" s="753"/>
      <c r="B284" s="754" t="s">
        <v>5904</v>
      </c>
      <c r="C284" s="748">
        <v>-1</v>
      </c>
      <c r="D284" s="748">
        <v>1</v>
      </c>
      <c r="E284" s="749">
        <v>0.9</v>
      </c>
      <c r="F284" s="749">
        <v>0.23</v>
      </c>
      <c r="G284" s="749">
        <v>2.1</v>
      </c>
      <c r="H284" s="739">
        <f t="shared" si="27"/>
        <v>-0.43</v>
      </c>
      <c r="I284" s="750"/>
    </row>
    <row r="285" spans="1:9">
      <c r="A285" s="753"/>
      <c r="B285" s="754" t="s">
        <v>5905</v>
      </c>
      <c r="C285" s="748">
        <v>-1</v>
      </c>
      <c r="D285" s="748">
        <v>1</v>
      </c>
      <c r="E285" s="749">
        <v>0.9</v>
      </c>
      <c r="F285" s="749">
        <v>0.23</v>
      </c>
      <c r="G285" s="749">
        <v>2.1</v>
      </c>
      <c r="H285" s="739">
        <f t="shared" si="27"/>
        <v>-0.43</v>
      </c>
      <c r="I285" s="750"/>
    </row>
    <row r="286" spans="1:9">
      <c r="A286" s="753"/>
      <c r="B286" s="754" t="s">
        <v>5906</v>
      </c>
      <c r="C286" s="748">
        <v>-1</v>
      </c>
      <c r="D286" s="748">
        <v>1</v>
      </c>
      <c r="E286" s="749">
        <v>1.35</v>
      </c>
      <c r="F286" s="749">
        <v>0.23</v>
      </c>
      <c r="G286" s="749">
        <v>2</v>
      </c>
      <c r="H286" s="739">
        <f t="shared" si="27"/>
        <v>-0.62</v>
      </c>
      <c r="I286" s="750"/>
    </row>
    <row r="287" spans="1:9">
      <c r="A287" s="753"/>
      <c r="B287" s="754" t="s">
        <v>5907</v>
      </c>
      <c r="C287" s="748">
        <v>-1</v>
      </c>
      <c r="D287" s="748">
        <v>1</v>
      </c>
      <c r="E287" s="749">
        <v>1.8</v>
      </c>
      <c r="F287" s="749">
        <v>0.23</v>
      </c>
      <c r="G287" s="749">
        <v>2</v>
      </c>
      <c r="H287" s="739">
        <f t="shared" si="27"/>
        <v>-0.83</v>
      </c>
      <c r="I287" s="750"/>
    </row>
    <row r="288" spans="1:9">
      <c r="A288" s="753"/>
      <c r="B288" s="754" t="s">
        <v>5908</v>
      </c>
      <c r="C288" s="748">
        <v>-1</v>
      </c>
      <c r="D288" s="748">
        <v>1</v>
      </c>
      <c r="E288" s="749">
        <v>1.8</v>
      </c>
      <c r="F288" s="749">
        <v>0.23</v>
      </c>
      <c r="G288" s="749">
        <v>1.65</v>
      </c>
      <c r="H288" s="739">
        <f t="shared" si="27"/>
        <v>-0.68</v>
      </c>
      <c r="I288" s="750"/>
    </row>
    <row r="289" spans="1:9">
      <c r="A289" s="753"/>
      <c r="B289" s="754" t="s">
        <v>5873</v>
      </c>
      <c r="C289" s="748">
        <v>-1</v>
      </c>
      <c r="D289" s="748">
        <v>6</v>
      </c>
      <c r="E289" s="749">
        <v>1.5</v>
      </c>
      <c r="F289" s="749">
        <v>0.23</v>
      </c>
      <c r="G289" s="749">
        <v>1.35</v>
      </c>
      <c r="H289" s="739">
        <f t="shared" si="27"/>
        <v>-2.79</v>
      </c>
      <c r="I289" s="750"/>
    </row>
    <row r="290" spans="1:9" s="737" customFormat="1">
      <c r="A290" s="738"/>
      <c r="B290" s="735" t="s">
        <v>5909</v>
      </c>
      <c r="C290" s="734">
        <v>-1</v>
      </c>
      <c r="D290" s="734">
        <v>3</v>
      </c>
      <c r="E290" s="739">
        <v>1.2</v>
      </c>
      <c r="F290" s="739">
        <v>0.23</v>
      </c>
      <c r="G290" s="739">
        <v>1.35</v>
      </c>
      <c r="H290" s="739">
        <f>PRODUCT(C290:G290)</f>
        <v>-1.1200000000000001</v>
      </c>
      <c r="I290" s="736"/>
    </row>
    <row r="291" spans="1:9" s="737" customFormat="1">
      <c r="A291" s="738"/>
      <c r="B291" s="735" t="s">
        <v>5910</v>
      </c>
      <c r="C291" s="734">
        <v>-1</v>
      </c>
      <c r="D291" s="734">
        <v>1</v>
      </c>
      <c r="E291" s="739">
        <v>1.5</v>
      </c>
      <c r="F291" s="739">
        <v>0.23</v>
      </c>
      <c r="G291" s="739">
        <v>1.05</v>
      </c>
      <c r="H291" s="739">
        <f>PRODUCT(C291:G291)</f>
        <v>-0.36</v>
      </c>
      <c r="I291" s="736"/>
    </row>
    <row r="292" spans="1:9" s="737" customFormat="1">
      <c r="A292" s="738"/>
      <c r="B292" s="735" t="s">
        <v>5911</v>
      </c>
      <c r="C292" s="734">
        <v>-1</v>
      </c>
      <c r="D292" s="734">
        <v>2</v>
      </c>
      <c r="E292" s="739">
        <v>1</v>
      </c>
      <c r="F292" s="739">
        <v>0.23</v>
      </c>
      <c r="G292" s="739">
        <v>1.05</v>
      </c>
      <c r="H292" s="739">
        <f>PRODUCT(C292:G292)</f>
        <v>-0.48</v>
      </c>
      <c r="I292" s="736"/>
    </row>
    <row r="293" spans="1:9" s="737" customFormat="1">
      <c r="A293" s="738"/>
      <c r="B293" s="735" t="s">
        <v>5912</v>
      </c>
      <c r="C293" s="734">
        <v>-1</v>
      </c>
      <c r="D293" s="734">
        <v>1</v>
      </c>
      <c r="E293" s="739">
        <v>1</v>
      </c>
      <c r="F293" s="739">
        <v>0.23</v>
      </c>
      <c r="G293" s="739">
        <v>1.35</v>
      </c>
      <c r="H293" s="739">
        <f>PRODUCT(C293:G293)</f>
        <v>-0.31</v>
      </c>
      <c r="I293" s="736"/>
    </row>
    <row r="294" spans="1:9" s="737" customFormat="1">
      <c r="A294" s="738"/>
      <c r="B294" s="735" t="s">
        <v>5875</v>
      </c>
      <c r="C294" s="734">
        <v>-1</v>
      </c>
      <c r="D294" s="734">
        <v>3</v>
      </c>
      <c r="E294" s="739">
        <v>0.75</v>
      </c>
      <c r="F294" s="739">
        <v>0.23</v>
      </c>
      <c r="G294" s="739">
        <v>0.75</v>
      </c>
      <c r="H294" s="739">
        <f>PRODUCT(C294:G294)</f>
        <v>-0.39</v>
      </c>
      <c r="I294" s="736"/>
    </row>
    <row r="295" spans="1:9">
      <c r="A295" s="753"/>
      <c r="B295" s="751" t="s">
        <v>5877</v>
      </c>
      <c r="C295" s="748"/>
      <c r="D295" s="748"/>
      <c r="E295" s="749"/>
      <c r="F295" s="749"/>
      <c r="G295" s="749"/>
      <c r="H295" s="739"/>
      <c r="I295" s="750"/>
    </row>
    <row r="296" spans="1:9">
      <c r="A296" s="753"/>
      <c r="B296" s="754" t="s">
        <v>5906</v>
      </c>
      <c r="C296" s="748">
        <v>-1</v>
      </c>
      <c r="D296" s="748">
        <v>1</v>
      </c>
      <c r="E296" s="749">
        <f>1.35+0.46</f>
        <v>1.81</v>
      </c>
      <c r="F296" s="749">
        <v>0.23</v>
      </c>
      <c r="G296" s="749">
        <v>0.05</v>
      </c>
      <c r="H296" s="739">
        <f t="shared" ref="H296:H299" si="29">PRODUCT(C296:G296)</f>
        <v>-0.02</v>
      </c>
      <c r="I296" s="750"/>
    </row>
    <row r="297" spans="1:9">
      <c r="A297" s="753"/>
      <c r="B297" s="754" t="s">
        <v>5907</v>
      </c>
      <c r="C297" s="748">
        <v>-1</v>
      </c>
      <c r="D297" s="748">
        <v>1</v>
      </c>
      <c r="E297" s="749">
        <f>1.8+0.46</f>
        <v>2.2599999999999998</v>
      </c>
      <c r="F297" s="749">
        <v>0.23</v>
      </c>
      <c r="G297" s="749">
        <v>0.05</v>
      </c>
      <c r="H297" s="739">
        <f t="shared" si="29"/>
        <v>-0.03</v>
      </c>
      <c r="I297" s="750"/>
    </row>
    <row r="298" spans="1:9">
      <c r="A298" s="753"/>
      <c r="B298" s="754" t="s">
        <v>5908</v>
      </c>
      <c r="C298" s="748">
        <v>-1</v>
      </c>
      <c r="D298" s="748">
        <v>1</v>
      </c>
      <c r="E298" s="749">
        <f>1.8+0.46</f>
        <v>2.2599999999999998</v>
      </c>
      <c r="F298" s="749">
        <v>0.23</v>
      </c>
      <c r="G298" s="749">
        <v>0.05</v>
      </c>
      <c r="H298" s="739">
        <f t="shared" si="29"/>
        <v>-0.03</v>
      </c>
      <c r="I298" s="750"/>
    </row>
    <row r="299" spans="1:9">
      <c r="A299" s="753"/>
      <c r="B299" s="754" t="s">
        <v>5873</v>
      </c>
      <c r="C299" s="748">
        <v>-1</v>
      </c>
      <c r="D299" s="748">
        <v>6</v>
      </c>
      <c r="E299" s="749">
        <f>1.5+0.46</f>
        <v>1.96</v>
      </c>
      <c r="F299" s="749">
        <v>0.23</v>
      </c>
      <c r="G299" s="749">
        <v>0.05</v>
      </c>
      <c r="H299" s="739">
        <f t="shared" si="29"/>
        <v>-0.14000000000000001</v>
      </c>
      <c r="I299" s="750"/>
    </row>
    <row r="300" spans="1:9" s="737" customFormat="1">
      <c r="A300" s="738"/>
      <c r="B300" s="735" t="s">
        <v>5909</v>
      </c>
      <c r="C300" s="734">
        <v>-1</v>
      </c>
      <c r="D300" s="734">
        <v>3</v>
      </c>
      <c r="E300" s="739">
        <v>1.66</v>
      </c>
      <c r="F300" s="739">
        <v>0.23</v>
      </c>
      <c r="G300" s="749">
        <v>0.05</v>
      </c>
      <c r="H300" s="739">
        <f>PRODUCT(C300:G300)</f>
        <v>-0.06</v>
      </c>
      <c r="I300" s="736"/>
    </row>
    <row r="301" spans="1:9" s="737" customFormat="1">
      <c r="A301" s="738"/>
      <c r="B301" s="735" t="s">
        <v>5910</v>
      </c>
      <c r="C301" s="734">
        <v>-1</v>
      </c>
      <c r="D301" s="734">
        <v>1</v>
      </c>
      <c r="E301" s="739">
        <f>1.5+0.46</f>
        <v>1.96</v>
      </c>
      <c r="F301" s="739">
        <v>0.23</v>
      </c>
      <c r="G301" s="749">
        <v>0.05</v>
      </c>
      <c r="H301" s="739">
        <f>PRODUCT(C301:G301)</f>
        <v>-0.02</v>
      </c>
      <c r="I301" s="736"/>
    </row>
    <row r="302" spans="1:9" s="737" customFormat="1">
      <c r="A302" s="738"/>
      <c r="B302" s="735" t="s">
        <v>5911</v>
      </c>
      <c r="C302" s="734">
        <v>-1</v>
      </c>
      <c r="D302" s="734">
        <v>2</v>
      </c>
      <c r="E302" s="739">
        <f>1+0.46</f>
        <v>1.46</v>
      </c>
      <c r="F302" s="739">
        <v>0.23</v>
      </c>
      <c r="G302" s="749">
        <v>0.05</v>
      </c>
      <c r="H302" s="739">
        <f>PRODUCT(C302:G302)</f>
        <v>-0.03</v>
      </c>
      <c r="I302" s="736"/>
    </row>
    <row r="303" spans="1:9" s="737" customFormat="1">
      <c r="A303" s="738"/>
      <c r="B303" s="735" t="s">
        <v>5912</v>
      </c>
      <c r="C303" s="734">
        <v>-1</v>
      </c>
      <c r="D303" s="734">
        <v>1</v>
      </c>
      <c r="E303" s="739">
        <f>1+0.46</f>
        <v>1.46</v>
      </c>
      <c r="F303" s="739">
        <v>0.23</v>
      </c>
      <c r="G303" s="749">
        <v>0.05</v>
      </c>
      <c r="H303" s="739">
        <f>PRODUCT(C303:G303)</f>
        <v>-0.02</v>
      </c>
      <c r="I303" s="736"/>
    </row>
    <row r="304" spans="1:9" s="737" customFormat="1">
      <c r="A304" s="738"/>
      <c r="B304" s="735" t="s">
        <v>5875</v>
      </c>
      <c r="C304" s="734">
        <v>-1</v>
      </c>
      <c r="D304" s="734">
        <v>3</v>
      </c>
      <c r="E304" s="739">
        <f>0.75+0.46</f>
        <v>1.21</v>
      </c>
      <c r="F304" s="739">
        <v>0.23</v>
      </c>
      <c r="G304" s="749">
        <v>0.05</v>
      </c>
      <c r="H304" s="739">
        <f>PRODUCT(C304:G304)</f>
        <v>-0.04</v>
      </c>
      <c r="I304" s="736"/>
    </row>
    <row r="305" spans="1:9" s="737" customFormat="1">
      <c r="A305" s="738"/>
      <c r="B305" s="757" t="s">
        <v>5878</v>
      </c>
      <c r="C305" s="734"/>
      <c r="D305" s="734"/>
      <c r="E305" s="739"/>
      <c r="F305" s="739"/>
      <c r="G305" s="739"/>
      <c r="H305" s="739"/>
      <c r="I305" s="736"/>
    </row>
    <row r="306" spans="1:9">
      <c r="A306" s="753"/>
      <c r="B306" s="754" t="s">
        <v>5906</v>
      </c>
      <c r="C306" s="748">
        <v>-1</v>
      </c>
      <c r="D306" s="748">
        <v>1</v>
      </c>
      <c r="E306" s="749">
        <f>1.35+0.46</f>
        <v>1.81</v>
      </c>
      <c r="F306" s="749">
        <v>0.23</v>
      </c>
      <c r="G306" s="749">
        <v>0.15</v>
      </c>
      <c r="H306" s="739">
        <f t="shared" ref="H306:H309" si="30">PRODUCT(C306:G306)</f>
        <v>-0.06</v>
      </c>
      <c r="I306" s="750"/>
    </row>
    <row r="307" spans="1:9">
      <c r="A307" s="753"/>
      <c r="B307" s="754" t="s">
        <v>5907</v>
      </c>
      <c r="C307" s="748">
        <v>-1</v>
      </c>
      <c r="D307" s="748">
        <v>1</v>
      </c>
      <c r="E307" s="749">
        <f>1.8+0.46</f>
        <v>2.2599999999999998</v>
      </c>
      <c r="F307" s="749">
        <v>0.23</v>
      </c>
      <c r="G307" s="749">
        <v>0.15</v>
      </c>
      <c r="H307" s="739">
        <f t="shared" si="30"/>
        <v>-0.08</v>
      </c>
      <c r="I307" s="750"/>
    </row>
    <row r="308" spans="1:9">
      <c r="A308" s="753"/>
      <c r="B308" s="754" t="s">
        <v>5908</v>
      </c>
      <c r="C308" s="748">
        <v>-1</v>
      </c>
      <c r="D308" s="748">
        <v>1</v>
      </c>
      <c r="E308" s="749">
        <f>1.8+0.46</f>
        <v>2.2599999999999998</v>
      </c>
      <c r="F308" s="749">
        <v>0.23</v>
      </c>
      <c r="G308" s="749">
        <v>0.15</v>
      </c>
      <c r="H308" s="739">
        <f t="shared" si="30"/>
        <v>-0.08</v>
      </c>
      <c r="I308" s="750"/>
    </row>
    <row r="309" spans="1:9">
      <c r="A309" s="753"/>
      <c r="B309" s="754" t="s">
        <v>5873</v>
      </c>
      <c r="C309" s="748">
        <v>-1</v>
      </c>
      <c r="D309" s="748">
        <v>6</v>
      </c>
      <c r="E309" s="749">
        <f>1.5+0.46</f>
        <v>1.96</v>
      </c>
      <c r="F309" s="749">
        <v>0.23</v>
      </c>
      <c r="G309" s="749">
        <v>0.15</v>
      </c>
      <c r="H309" s="739">
        <f t="shared" si="30"/>
        <v>-0.41</v>
      </c>
      <c r="I309" s="750"/>
    </row>
    <row r="310" spans="1:9" s="737" customFormat="1">
      <c r="A310" s="738"/>
      <c r="B310" s="735" t="s">
        <v>5909</v>
      </c>
      <c r="C310" s="734">
        <v>-1</v>
      </c>
      <c r="D310" s="734">
        <v>3</v>
      </c>
      <c r="E310" s="739">
        <v>1.66</v>
      </c>
      <c r="F310" s="739">
        <v>0.23</v>
      </c>
      <c r="G310" s="749">
        <v>0.15</v>
      </c>
      <c r="H310" s="739">
        <f>PRODUCT(C310:G310)</f>
        <v>-0.17</v>
      </c>
      <c r="I310" s="736"/>
    </row>
    <row r="311" spans="1:9" s="737" customFormat="1">
      <c r="A311" s="738"/>
      <c r="B311" s="735" t="s">
        <v>5910</v>
      </c>
      <c r="C311" s="734">
        <v>-1</v>
      </c>
      <c r="D311" s="734">
        <v>1</v>
      </c>
      <c r="E311" s="739">
        <f>1.5+0.46</f>
        <v>1.96</v>
      </c>
      <c r="F311" s="739">
        <v>0.23</v>
      </c>
      <c r="G311" s="749">
        <v>0.15</v>
      </c>
      <c r="H311" s="739">
        <f>PRODUCT(C311:G311)</f>
        <v>-7.0000000000000007E-2</v>
      </c>
      <c r="I311" s="736"/>
    </row>
    <row r="312" spans="1:9" s="737" customFormat="1">
      <c r="A312" s="738"/>
      <c r="B312" s="735" t="s">
        <v>5911</v>
      </c>
      <c r="C312" s="734">
        <v>-1</v>
      </c>
      <c r="D312" s="734">
        <v>2</v>
      </c>
      <c r="E312" s="739">
        <f>1+0.46</f>
        <v>1.46</v>
      </c>
      <c r="F312" s="739">
        <v>0.23</v>
      </c>
      <c r="G312" s="749">
        <v>0.15</v>
      </c>
      <c r="H312" s="739">
        <f>PRODUCT(C312:G312)</f>
        <v>-0.1</v>
      </c>
      <c r="I312" s="736"/>
    </row>
    <row r="313" spans="1:9" s="737" customFormat="1">
      <c r="A313" s="738"/>
      <c r="B313" s="735" t="s">
        <v>5912</v>
      </c>
      <c r="C313" s="734">
        <v>-1</v>
      </c>
      <c r="D313" s="734">
        <v>1</v>
      </c>
      <c r="E313" s="739">
        <f>1+0.46</f>
        <v>1.46</v>
      </c>
      <c r="F313" s="739">
        <v>0.23</v>
      </c>
      <c r="G313" s="749">
        <v>0.15</v>
      </c>
      <c r="H313" s="739">
        <f>PRODUCT(C313:G313)</f>
        <v>-0.05</v>
      </c>
      <c r="I313" s="736"/>
    </row>
    <row r="314" spans="1:9" s="737" customFormat="1">
      <c r="A314" s="738"/>
      <c r="B314" s="735" t="s">
        <v>5875</v>
      </c>
      <c r="C314" s="734">
        <v>-1</v>
      </c>
      <c r="D314" s="734">
        <v>3</v>
      </c>
      <c r="E314" s="739">
        <f>0.75+0.46</f>
        <v>1.21</v>
      </c>
      <c r="F314" s="739">
        <v>0.23</v>
      </c>
      <c r="G314" s="749">
        <v>0.15</v>
      </c>
      <c r="H314" s="739">
        <f>PRODUCT(C314:G314)</f>
        <v>-0.13</v>
      </c>
      <c r="I314" s="736"/>
    </row>
    <row r="315" spans="1:9">
      <c r="A315" s="753"/>
      <c r="B315" s="754" t="s">
        <v>5865</v>
      </c>
      <c r="C315" s="748">
        <v>-1</v>
      </c>
      <c r="D315" s="748">
        <v>1</v>
      </c>
      <c r="E315" s="749">
        <v>1.2</v>
      </c>
      <c r="F315" s="749">
        <v>0.23</v>
      </c>
      <c r="G315" s="749">
        <v>0.15</v>
      </c>
      <c r="H315" s="739">
        <f t="shared" ref="H315:H319" si="31">PRODUCT(C315:G315)</f>
        <v>-0.04</v>
      </c>
      <c r="I315" s="750"/>
    </row>
    <row r="316" spans="1:9">
      <c r="A316" s="753"/>
      <c r="B316" s="754" t="s">
        <v>5903</v>
      </c>
      <c r="C316" s="748">
        <v>-1</v>
      </c>
      <c r="D316" s="748">
        <v>1</v>
      </c>
      <c r="E316" s="749">
        <v>1.05</v>
      </c>
      <c r="F316" s="749">
        <v>0.23</v>
      </c>
      <c r="G316" s="749">
        <v>0.15</v>
      </c>
      <c r="H316" s="739">
        <f t="shared" si="31"/>
        <v>-0.04</v>
      </c>
      <c r="I316" s="750"/>
    </row>
    <row r="317" spans="1:9">
      <c r="A317" s="753"/>
      <c r="B317" s="754" t="s">
        <v>5798</v>
      </c>
      <c r="C317" s="748">
        <v>-1</v>
      </c>
      <c r="D317" s="748">
        <v>4</v>
      </c>
      <c r="E317" s="749">
        <v>0.9</v>
      </c>
      <c r="F317" s="749">
        <v>0.23</v>
      </c>
      <c r="G317" s="749">
        <v>0.15</v>
      </c>
      <c r="H317" s="739">
        <f t="shared" si="31"/>
        <v>-0.12</v>
      </c>
      <c r="I317" s="750"/>
    </row>
    <row r="318" spans="1:9">
      <c r="A318" s="753"/>
      <c r="B318" s="754" t="s">
        <v>5904</v>
      </c>
      <c r="C318" s="748">
        <v>-1</v>
      </c>
      <c r="D318" s="748">
        <v>1</v>
      </c>
      <c r="E318" s="749">
        <v>0.9</v>
      </c>
      <c r="F318" s="749">
        <v>0.23</v>
      </c>
      <c r="G318" s="749">
        <v>0.15</v>
      </c>
      <c r="H318" s="739">
        <f t="shared" si="31"/>
        <v>-0.03</v>
      </c>
      <c r="I318" s="750"/>
    </row>
    <row r="319" spans="1:9">
      <c r="A319" s="753"/>
      <c r="B319" s="754" t="s">
        <v>5905</v>
      </c>
      <c r="C319" s="748">
        <v>-1</v>
      </c>
      <c r="D319" s="748">
        <v>1</v>
      </c>
      <c r="E319" s="749">
        <v>0.9</v>
      </c>
      <c r="F319" s="749">
        <v>0.23</v>
      </c>
      <c r="G319" s="749">
        <v>0.15</v>
      </c>
      <c r="H319" s="739">
        <f t="shared" si="31"/>
        <v>-0.03</v>
      </c>
      <c r="I319" s="750"/>
    </row>
    <row r="320" spans="1:9">
      <c r="A320" s="753"/>
      <c r="B320" s="751" t="s">
        <v>5879</v>
      </c>
      <c r="C320" s="748"/>
      <c r="D320" s="748"/>
      <c r="E320" s="749"/>
      <c r="F320" s="749"/>
      <c r="G320" s="749"/>
      <c r="H320" s="739"/>
      <c r="I320" s="750"/>
    </row>
    <row r="321" spans="1:9">
      <c r="A321" s="753"/>
      <c r="B321" s="754" t="s">
        <v>5880</v>
      </c>
      <c r="C321" s="748">
        <v>-1</v>
      </c>
      <c r="D321" s="748">
        <v>18</v>
      </c>
      <c r="E321" s="749">
        <v>0.23</v>
      </c>
      <c r="F321" s="749">
        <v>0.3</v>
      </c>
      <c r="G321" s="749">
        <v>3</v>
      </c>
      <c r="H321" s="739">
        <f t="shared" ref="H321:H322" si="32">PRODUCT(C321:G321)</f>
        <v>-3.73</v>
      </c>
      <c r="I321" s="750"/>
    </row>
    <row r="322" spans="1:9">
      <c r="A322" s="753"/>
      <c r="B322" s="754" t="s">
        <v>5881</v>
      </c>
      <c r="C322" s="748">
        <v>-1</v>
      </c>
      <c r="D322" s="748">
        <v>5</v>
      </c>
      <c r="E322" s="749">
        <v>0.23</v>
      </c>
      <c r="F322" s="749">
        <v>0.3</v>
      </c>
      <c r="G322" s="749">
        <v>3</v>
      </c>
      <c r="H322" s="739">
        <f t="shared" si="32"/>
        <v>-1.04</v>
      </c>
      <c r="I322" s="750"/>
    </row>
    <row r="323" spans="1:9">
      <c r="A323" s="753"/>
      <c r="B323" s="754" t="s">
        <v>5882</v>
      </c>
      <c r="C323" s="748"/>
      <c r="D323" s="748"/>
      <c r="E323" s="749"/>
      <c r="F323" s="749"/>
      <c r="G323" s="749"/>
      <c r="H323" s="739"/>
      <c r="I323" s="750"/>
    </row>
    <row r="324" spans="1:9">
      <c r="A324" s="753"/>
      <c r="B324" s="754" t="s">
        <v>5883</v>
      </c>
      <c r="C324" s="748">
        <v>-1</v>
      </c>
      <c r="D324" s="748">
        <v>3</v>
      </c>
      <c r="E324" s="749">
        <v>2.2599999999999998</v>
      </c>
      <c r="F324" s="749">
        <v>0.23</v>
      </c>
      <c r="G324" s="749">
        <v>0.15</v>
      </c>
      <c r="H324" s="739">
        <f t="shared" ref="H324" si="33">PRODUCT(C324:G324)</f>
        <v>-0.23</v>
      </c>
      <c r="I324" s="750"/>
    </row>
    <row r="325" spans="1:9">
      <c r="A325" s="753"/>
      <c r="B325" s="754"/>
      <c r="C325" s="748"/>
      <c r="D325" s="748"/>
      <c r="E325" s="749"/>
      <c r="F325" s="749"/>
      <c r="G325" s="752" t="s">
        <v>2235</v>
      </c>
      <c r="H325" s="742">
        <f>SUM(H256:H324)</f>
        <v>41.31</v>
      </c>
      <c r="I325" s="750"/>
    </row>
    <row r="326" spans="1:9">
      <c r="A326" s="732"/>
      <c r="B326" s="735"/>
      <c r="C326" s="746"/>
      <c r="D326" s="746"/>
      <c r="E326" s="742"/>
      <c r="F326" s="742"/>
      <c r="G326" s="742" t="s">
        <v>4209</v>
      </c>
      <c r="H326" s="742">
        <f>ROUNDUP(H325,1)</f>
        <v>41.4</v>
      </c>
      <c r="I326" s="736" t="s">
        <v>2142</v>
      </c>
    </row>
    <row r="327" spans="1:9">
      <c r="A327" s="753" t="s">
        <v>2268</v>
      </c>
      <c r="B327" s="751" t="s">
        <v>5913</v>
      </c>
      <c r="C327" s="748"/>
      <c r="D327" s="748"/>
      <c r="E327" s="749"/>
      <c r="F327" s="749"/>
      <c r="G327" s="749"/>
      <c r="H327" s="739"/>
      <c r="I327" s="750"/>
    </row>
    <row r="328" spans="1:9">
      <c r="A328" s="753"/>
      <c r="B328" s="754" t="s">
        <v>5914</v>
      </c>
      <c r="C328" s="748">
        <v>1</v>
      </c>
      <c r="D328" s="748">
        <v>1</v>
      </c>
      <c r="E328" s="749">
        <v>51.78</v>
      </c>
      <c r="F328" s="749">
        <v>0.23</v>
      </c>
      <c r="G328" s="749">
        <v>1.2</v>
      </c>
      <c r="H328" s="739">
        <f t="shared" ref="H328:H329" si="34">PRODUCT(C328:G328)</f>
        <v>14.29</v>
      </c>
      <c r="I328" s="750"/>
    </row>
    <row r="329" spans="1:9">
      <c r="A329" s="753"/>
      <c r="B329" s="754" t="s">
        <v>5915</v>
      </c>
      <c r="C329" s="748">
        <v>-1</v>
      </c>
      <c r="D329" s="748">
        <v>1</v>
      </c>
      <c r="E329" s="749">
        <v>2.4</v>
      </c>
      <c r="F329" s="749">
        <v>0.23</v>
      </c>
      <c r="G329" s="749">
        <v>1.2</v>
      </c>
      <c r="H329" s="739">
        <f t="shared" si="34"/>
        <v>-0.66</v>
      </c>
      <c r="I329" s="750"/>
    </row>
    <row r="330" spans="1:9">
      <c r="A330" s="753"/>
      <c r="B330" s="754" t="s">
        <v>5916</v>
      </c>
      <c r="C330" s="748">
        <v>1</v>
      </c>
      <c r="D330" s="748">
        <v>1</v>
      </c>
      <c r="E330" s="749">
        <v>18.18</v>
      </c>
      <c r="F330" s="749">
        <v>0.23</v>
      </c>
      <c r="G330" s="749">
        <v>2.65</v>
      </c>
      <c r="H330" s="739">
        <f>PRODUCT(C330:G330)</f>
        <v>11.08</v>
      </c>
      <c r="I330" s="750"/>
    </row>
    <row r="331" spans="1:9">
      <c r="A331" s="753"/>
      <c r="B331" s="754" t="s">
        <v>5917</v>
      </c>
      <c r="C331" s="748">
        <v>1</v>
      </c>
      <c r="D331" s="748">
        <v>8</v>
      </c>
      <c r="E331" s="749">
        <v>0.23</v>
      </c>
      <c r="F331" s="749">
        <v>0.23</v>
      </c>
      <c r="G331" s="749">
        <v>0.45</v>
      </c>
      <c r="H331" s="739">
        <f>PRODUCT(C331:G331)</f>
        <v>0.19</v>
      </c>
      <c r="I331" s="750"/>
    </row>
    <row r="332" spans="1:9">
      <c r="A332" s="753"/>
      <c r="B332" s="751" t="s">
        <v>5902</v>
      </c>
      <c r="C332" s="748"/>
      <c r="D332" s="748"/>
      <c r="E332" s="749"/>
      <c r="F332" s="749"/>
      <c r="G332" s="749"/>
      <c r="H332" s="739"/>
      <c r="I332" s="750"/>
    </row>
    <row r="333" spans="1:9">
      <c r="A333" s="753"/>
      <c r="B333" s="754" t="s">
        <v>5905</v>
      </c>
      <c r="C333" s="748">
        <v>-1</v>
      </c>
      <c r="D333" s="748">
        <v>1</v>
      </c>
      <c r="E333" s="749">
        <v>0.9</v>
      </c>
      <c r="F333" s="749">
        <v>0.23</v>
      </c>
      <c r="G333" s="749">
        <v>2.1</v>
      </c>
      <c r="H333" s="739">
        <f t="shared" ref="H333:H334" si="35">PRODUCT(C333:G333)</f>
        <v>-0.43</v>
      </c>
      <c r="I333" s="750"/>
    </row>
    <row r="334" spans="1:9">
      <c r="A334" s="753"/>
      <c r="B334" s="754" t="s">
        <v>5873</v>
      </c>
      <c r="C334" s="748">
        <v>-1</v>
      </c>
      <c r="D334" s="748">
        <v>2</v>
      </c>
      <c r="E334" s="749">
        <v>1.5</v>
      </c>
      <c r="F334" s="749">
        <v>0.23</v>
      </c>
      <c r="G334" s="749">
        <v>1.35</v>
      </c>
      <c r="H334" s="739">
        <f t="shared" si="35"/>
        <v>-0.93</v>
      </c>
      <c r="I334" s="750"/>
    </row>
    <row r="335" spans="1:9" s="737" customFormat="1">
      <c r="A335" s="738"/>
      <c r="B335" s="735" t="s">
        <v>5918</v>
      </c>
      <c r="C335" s="734">
        <v>-1</v>
      </c>
      <c r="D335" s="734">
        <v>1</v>
      </c>
      <c r="E335" s="739">
        <v>0.6</v>
      </c>
      <c r="F335" s="739">
        <v>0.23</v>
      </c>
      <c r="G335" s="739">
        <v>1.35</v>
      </c>
      <c r="H335" s="739">
        <f>PRODUCT(C335:G335)</f>
        <v>-0.19</v>
      </c>
      <c r="I335" s="736"/>
    </row>
    <row r="336" spans="1:9" s="737" customFormat="1">
      <c r="A336" s="738"/>
      <c r="B336" s="735" t="s">
        <v>5912</v>
      </c>
      <c r="C336" s="734">
        <v>-1</v>
      </c>
      <c r="D336" s="734">
        <v>1</v>
      </c>
      <c r="E336" s="739">
        <v>1</v>
      </c>
      <c r="F336" s="739">
        <v>0.23</v>
      </c>
      <c r="G336" s="749">
        <v>0.05</v>
      </c>
      <c r="H336" s="739">
        <f>PRODUCT(C336:G336)</f>
        <v>-0.01</v>
      </c>
      <c r="I336" s="736"/>
    </row>
    <row r="337" spans="1:9">
      <c r="A337" s="753"/>
      <c r="B337" s="751" t="s">
        <v>5877</v>
      </c>
      <c r="C337" s="748"/>
      <c r="D337" s="748"/>
      <c r="E337" s="749"/>
      <c r="F337" s="749"/>
      <c r="G337" s="749"/>
      <c r="H337" s="739"/>
      <c r="I337" s="750"/>
    </row>
    <row r="338" spans="1:9">
      <c r="A338" s="753"/>
      <c r="B338" s="754" t="s">
        <v>5905</v>
      </c>
      <c r="C338" s="748">
        <v>-1</v>
      </c>
      <c r="D338" s="748">
        <v>1</v>
      </c>
      <c r="E338" s="749">
        <f>0.9+0.46</f>
        <v>1.36</v>
      </c>
      <c r="F338" s="749">
        <v>0.23</v>
      </c>
      <c r="G338" s="749">
        <v>0.05</v>
      </c>
      <c r="H338" s="739">
        <f t="shared" ref="H338:H339" si="36">PRODUCT(C338:G338)</f>
        <v>-0.02</v>
      </c>
      <c r="I338" s="750"/>
    </row>
    <row r="339" spans="1:9">
      <c r="A339" s="753"/>
      <c r="B339" s="754" t="s">
        <v>5873</v>
      </c>
      <c r="C339" s="748">
        <v>-1</v>
      </c>
      <c r="D339" s="748">
        <v>2</v>
      </c>
      <c r="E339" s="749">
        <f>1.5+0.46</f>
        <v>1.96</v>
      </c>
      <c r="F339" s="749">
        <v>0.23</v>
      </c>
      <c r="G339" s="749">
        <v>0.05</v>
      </c>
      <c r="H339" s="739">
        <f t="shared" si="36"/>
        <v>-0.05</v>
      </c>
      <c r="I339" s="750"/>
    </row>
    <row r="340" spans="1:9" s="737" customFormat="1">
      <c r="A340" s="738"/>
      <c r="B340" s="735" t="s">
        <v>5918</v>
      </c>
      <c r="C340" s="734">
        <v>-1</v>
      </c>
      <c r="D340" s="734">
        <v>1</v>
      </c>
      <c r="E340" s="739">
        <f>0.6+0.46</f>
        <v>1.06</v>
      </c>
      <c r="F340" s="739">
        <v>0.23</v>
      </c>
      <c r="G340" s="749">
        <v>0.05</v>
      </c>
      <c r="H340" s="739">
        <f>PRODUCT(C340:G340)</f>
        <v>-0.01</v>
      </c>
      <c r="I340" s="736"/>
    </row>
    <row r="341" spans="1:9" s="737" customFormat="1">
      <c r="A341" s="738"/>
      <c r="B341" s="735" t="s">
        <v>5912</v>
      </c>
      <c r="C341" s="734">
        <v>-1</v>
      </c>
      <c r="D341" s="734">
        <v>1</v>
      </c>
      <c r="E341" s="739">
        <f>1+0.46</f>
        <v>1.46</v>
      </c>
      <c r="F341" s="739">
        <v>0.23</v>
      </c>
      <c r="G341" s="749">
        <v>0.05</v>
      </c>
      <c r="H341" s="739">
        <f>PRODUCT(C341:G341)</f>
        <v>-0.02</v>
      </c>
      <c r="I341" s="736"/>
    </row>
    <row r="342" spans="1:9" s="737" customFormat="1">
      <c r="A342" s="738"/>
      <c r="B342" s="757" t="s">
        <v>5878</v>
      </c>
      <c r="C342" s="734"/>
      <c r="D342" s="734"/>
      <c r="E342" s="739"/>
      <c r="F342" s="739"/>
      <c r="G342" s="739"/>
      <c r="H342" s="739"/>
      <c r="I342" s="736"/>
    </row>
    <row r="343" spans="1:9">
      <c r="A343" s="753"/>
      <c r="B343" s="754" t="s">
        <v>5905</v>
      </c>
      <c r="C343" s="748">
        <v>-1</v>
      </c>
      <c r="D343" s="748">
        <v>1</v>
      </c>
      <c r="E343" s="749">
        <f>0.9+0.46</f>
        <v>1.36</v>
      </c>
      <c r="F343" s="749">
        <v>0.23</v>
      </c>
      <c r="G343" s="749">
        <v>0.15</v>
      </c>
      <c r="H343" s="739">
        <f t="shared" ref="H343:H344" si="37">PRODUCT(C343:G343)</f>
        <v>-0.05</v>
      </c>
      <c r="I343" s="750"/>
    </row>
    <row r="344" spans="1:9">
      <c r="A344" s="753"/>
      <c r="B344" s="754" t="s">
        <v>5873</v>
      </c>
      <c r="C344" s="748">
        <v>-1</v>
      </c>
      <c r="D344" s="748">
        <v>2</v>
      </c>
      <c r="E344" s="749">
        <f>1.5+0.46</f>
        <v>1.96</v>
      </c>
      <c r="F344" s="749">
        <v>0.23</v>
      </c>
      <c r="G344" s="749">
        <v>0.15</v>
      </c>
      <c r="H344" s="739">
        <f t="shared" si="37"/>
        <v>-0.14000000000000001</v>
      </c>
      <c r="I344" s="750"/>
    </row>
    <row r="345" spans="1:9" s="737" customFormat="1">
      <c r="A345" s="738"/>
      <c r="B345" s="735" t="s">
        <v>5918</v>
      </c>
      <c r="C345" s="734">
        <v>-1</v>
      </c>
      <c r="D345" s="734">
        <v>1</v>
      </c>
      <c r="E345" s="739">
        <f>0.6+0.46</f>
        <v>1.06</v>
      </c>
      <c r="F345" s="739">
        <v>0.23</v>
      </c>
      <c r="G345" s="749">
        <v>0.15</v>
      </c>
      <c r="H345" s="739">
        <f>PRODUCT(C345:G345)</f>
        <v>-0.04</v>
      </c>
      <c r="I345" s="736"/>
    </row>
    <row r="346" spans="1:9" s="737" customFormat="1">
      <c r="A346" s="738"/>
      <c r="B346" s="735" t="s">
        <v>5912</v>
      </c>
      <c r="C346" s="734">
        <v>-1</v>
      </c>
      <c r="D346" s="734">
        <v>1</v>
      </c>
      <c r="E346" s="739">
        <f>1+0.46</f>
        <v>1.46</v>
      </c>
      <c r="F346" s="739">
        <v>0.23</v>
      </c>
      <c r="G346" s="749">
        <v>0.15</v>
      </c>
      <c r="H346" s="739">
        <f>PRODUCT(C346:G346)</f>
        <v>-0.05</v>
      </c>
      <c r="I346" s="736"/>
    </row>
    <row r="347" spans="1:9">
      <c r="A347" s="753"/>
      <c r="B347" s="751" t="s">
        <v>5879</v>
      </c>
      <c r="C347" s="748"/>
      <c r="D347" s="748"/>
      <c r="E347" s="749"/>
      <c r="F347" s="749"/>
      <c r="G347" s="749"/>
      <c r="H347" s="739"/>
      <c r="I347" s="750"/>
    </row>
    <row r="348" spans="1:9">
      <c r="A348" s="753"/>
      <c r="B348" s="754" t="s">
        <v>5880</v>
      </c>
      <c r="C348" s="748">
        <v>-1</v>
      </c>
      <c r="D348" s="748">
        <v>18</v>
      </c>
      <c r="E348" s="749">
        <v>0.23</v>
      </c>
      <c r="F348" s="749">
        <v>0.3</v>
      </c>
      <c r="G348" s="749">
        <v>3</v>
      </c>
      <c r="H348" s="739">
        <f t="shared" ref="H348:H349" si="38">PRODUCT(C348:G348)</f>
        <v>-3.73</v>
      </c>
      <c r="I348" s="750"/>
    </row>
    <row r="349" spans="1:9">
      <c r="A349" s="753"/>
      <c r="B349" s="754" t="s">
        <v>5881</v>
      </c>
      <c r="C349" s="748">
        <v>-1</v>
      </c>
      <c r="D349" s="748">
        <v>5</v>
      </c>
      <c r="E349" s="749">
        <v>0.23</v>
      </c>
      <c r="F349" s="749">
        <v>0.3</v>
      </c>
      <c r="G349" s="749">
        <v>3</v>
      </c>
      <c r="H349" s="739">
        <f t="shared" si="38"/>
        <v>-1.04</v>
      </c>
      <c r="I349" s="750"/>
    </row>
    <row r="350" spans="1:9">
      <c r="A350" s="753"/>
      <c r="B350" s="754"/>
      <c r="C350" s="748"/>
      <c r="D350" s="748"/>
      <c r="E350" s="749"/>
      <c r="F350" s="749"/>
      <c r="G350" s="752" t="s">
        <v>2235</v>
      </c>
      <c r="H350" s="742">
        <f>SUM(H328:H349)</f>
        <v>18.190000000000001</v>
      </c>
      <c r="I350" s="750"/>
    </row>
    <row r="351" spans="1:9">
      <c r="A351" s="732"/>
      <c r="B351" s="735"/>
      <c r="C351" s="746"/>
      <c r="D351" s="746"/>
      <c r="E351" s="742"/>
      <c r="F351" s="742"/>
      <c r="G351" s="742" t="s">
        <v>4209</v>
      </c>
      <c r="H351" s="742">
        <f>ROUNDUP(H350,1)</f>
        <v>18.2</v>
      </c>
      <c r="I351" s="736" t="s">
        <v>2142</v>
      </c>
    </row>
    <row r="352" spans="1:9" ht="65.25" customHeight="1">
      <c r="A352" s="730">
        <v>10.199999999999999</v>
      </c>
      <c r="B352" s="747" t="s">
        <v>6977</v>
      </c>
      <c r="C352" s="748"/>
      <c r="D352" s="748"/>
      <c r="E352" s="749"/>
      <c r="F352" s="749"/>
      <c r="G352" s="749"/>
      <c r="H352" s="739"/>
      <c r="I352" s="750"/>
    </row>
    <row r="353" spans="1:9">
      <c r="A353" s="730" t="s">
        <v>3182</v>
      </c>
      <c r="B353" s="751" t="s">
        <v>5845</v>
      </c>
      <c r="C353" s="748"/>
      <c r="D353" s="748"/>
      <c r="E353" s="749"/>
      <c r="F353" s="749"/>
      <c r="G353" s="749"/>
      <c r="H353" s="739"/>
      <c r="I353" s="750"/>
    </row>
    <row r="354" spans="1:9" ht="21" customHeight="1">
      <c r="A354" s="753"/>
      <c r="B354" s="751" t="s">
        <v>5854</v>
      </c>
      <c r="C354" s="748"/>
      <c r="D354" s="748"/>
      <c r="E354" s="749"/>
      <c r="F354" s="749"/>
      <c r="G354" s="749"/>
      <c r="H354" s="739"/>
      <c r="I354" s="750"/>
    </row>
    <row r="355" spans="1:9" ht="22.5" customHeight="1">
      <c r="A355" s="753"/>
      <c r="B355" s="755" t="s">
        <v>5919</v>
      </c>
      <c r="C355" s="748">
        <v>1</v>
      </c>
      <c r="D355" s="748">
        <v>2</v>
      </c>
      <c r="E355" s="749">
        <v>3.6</v>
      </c>
      <c r="F355" s="749"/>
      <c r="G355" s="749">
        <f>3.3-0.15</f>
        <v>3.15</v>
      </c>
      <c r="H355" s="739">
        <f t="shared" ref="H355:H372" si="39">PRODUCT(C355:G355)</f>
        <v>22.68</v>
      </c>
      <c r="I355" s="750"/>
    </row>
    <row r="356" spans="1:9" ht="22.5" customHeight="1">
      <c r="A356" s="753"/>
      <c r="B356" s="755" t="s">
        <v>5920</v>
      </c>
      <c r="C356" s="748">
        <v>1</v>
      </c>
      <c r="D356" s="748">
        <v>1</v>
      </c>
      <c r="E356" s="749">
        <v>1.2</v>
      </c>
      <c r="F356" s="749"/>
      <c r="G356" s="749">
        <f t="shared" ref="G356:G358" si="40">3.3-0.15</f>
        <v>3.15</v>
      </c>
      <c r="H356" s="739">
        <f t="shared" si="39"/>
        <v>3.78</v>
      </c>
      <c r="I356" s="750"/>
    </row>
    <row r="357" spans="1:9" ht="21" customHeight="1">
      <c r="A357" s="753"/>
      <c r="B357" s="754" t="s">
        <v>5921</v>
      </c>
      <c r="C357" s="748">
        <v>1</v>
      </c>
      <c r="D357" s="748">
        <v>2</v>
      </c>
      <c r="E357" s="749">
        <v>2.0699999999999998</v>
      </c>
      <c r="F357" s="749"/>
      <c r="G357" s="749">
        <f t="shared" si="40"/>
        <v>3.15</v>
      </c>
      <c r="H357" s="739">
        <f t="shared" si="39"/>
        <v>13.04</v>
      </c>
      <c r="I357" s="750"/>
    </row>
    <row r="358" spans="1:9" ht="19.5" customHeight="1">
      <c r="A358" s="753"/>
      <c r="B358" s="755" t="s">
        <v>5861</v>
      </c>
      <c r="C358" s="748">
        <v>1</v>
      </c>
      <c r="D358" s="748">
        <v>1</v>
      </c>
      <c r="E358" s="749">
        <v>1.8</v>
      </c>
      <c r="F358" s="749"/>
      <c r="G358" s="749">
        <f t="shared" si="40"/>
        <v>3.15</v>
      </c>
      <c r="H358" s="739">
        <f t="shared" si="39"/>
        <v>5.67</v>
      </c>
      <c r="I358" s="750"/>
    </row>
    <row r="359" spans="1:9" ht="19.5" customHeight="1">
      <c r="A359" s="753"/>
      <c r="B359" s="756" t="s">
        <v>5850</v>
      </c>
      <c r="C359" s="748"/>
      <c r="D359" s="748"/>
      <c r="E359" s="749"/>
      <c r="F359" s="749"/>
      <c r="G359" s="749"/>
      <c r="H359" s="739"/>
      <c r="I359" s="750"/>
    </row>
    <row r="360" spans="1:9">
      <c r="A360" s="753"/>
      <c r="B360" s="755" t="s">
        <v>5922</v>
      </c>
      <c r="C360" s="748">
        <v>1</v>
      </c>
      <c r="D360" s="748">
        <v>2</v>
      </c>
      <c r="E360" s="749">
        <v>1.5</v>
      </c>
      <c r="F360" s="749"/>
      <c r="G360" s="749">
        <v>3.15</v>
      </c>
      <c r="H360" s="739">
        <f t="shared" si="39"/>
        <v>9.4499999999999993</v>
      </c>
      <c r="I360" s="750"/>
    </row>
    <row r="361" spans="1:9">
      <c r="A361" s="753"/>
      <c r="B361" s="755" t="s">
        <v>5923</v>
      </c>
      <c r="C361" s="748">
        <v>1</v>
      </c>
      <c r="D361" s="748">
        <v>1</v>
      </c>
      <c r="E361" s="749">
        <v>1.35</v>
      </c>
      <c r="F361" s="749"/>
      <c r="G361" s="749">
        <v>3.15</v>
      </c>
      <c r="H361" s="739">
        <f t="shared" si="39"/>
        <v>4.25</v>
      </c>
      <c r="I361" s="750"/>
    </row>
    <row r="362" spans="1:9">
      <c r="A362" s="753"/>
      <c r="B362" s="755" t="s">
        <v>5861</v>
      </c>
      <c r="C362" s="748">
        <v>1</v>
      </c>
      <c r="D362" s="748">
        <v>1</v>
      </c>
      <c r="E362" s="749">
        <v>1.05</v>
      </c>
      <c r="F362" s="749"/>
      <c r="G362" s="749">
        <v>3.15</v>
      </c>
      <c r="H362" s="739">
        <f t="shared" si="39"/>
        <v>3.31</v>
      </c>
      <c r="I362" s="750"/>
    </row>
    <row r="363" spans="1:9">
      <c r="A363" s="753"/>
      <c r="B363" s="754" t="s">
        <v>5921</v>
      </c>
      <c r="C363" s="748">
        <v>1</v>
      </c>
      <c r="D363" s="748">
        <v>1</v>
      </c>
      <c r="E363" s="749">
        <v>3.12</v>
      </c>
      <c r="F363" s="749"/>
      <c r="G363" s="749">
        <v>3.15</v>
      </c>
      <c r="H363" s="739">
        <f t="shared" si="39"/>
        <v>9.83</v>
      </c>
      <c r="I363" s="750"/>
    </row>
    <row r="364" spans="1:9">
      <c r="A364" s="753"/>
      <c r="B364" s="754" t="s">
        <v>5924</v>
      </c>
      <c r="C364" s="748">
        <v>1</v>
      </c>
      <c r="D364" s="748">
        <v>1</v>
      </c>
      <c r="E364" s="749">
        <v>3.64</v>
      </c>
      <c r="F364" s="749"/>
      <c r="G364" s="749">
        <v>3</v>
      </c>
      <c r="H364" s="739">
        <f t="shared" si="39"/>
        <v>10.92</v>
      </c>
      <c r="I364" s="750"/>
    </row>
    <row r="365" spans="1:9">
      <c r="A365" s="753"/>
      <c r="B365" s="754" t="s">
        <v>5862</v>
      </c>
      <c r="C365" s="748">
        <v>1</v>
      </c>
      <c r="D365" s="748">
        <v>1</v>
      </c>
      <c r="E365" s="749">
        <v>0.75</v>
      </c>
      <c r="F365" s="749"/>
      <c r="G365" s="749">
        <v>2.1</v>
      </c>
      <c r="H365" s="739">
        <f t="shared" si="39"/>
        <v>1.58</v>
      </c>
      <c r="I365" s="750"/>
    </row>
    <row r="366" spans="1:9">
      <c r="A366" s="753"/>
      <c r="B366" s="751" t="s">
        <v>5925</v>
      </c>
      <c r="C366" s="748"/>
      <c r="D366" s="748"/>
      <c r="E366" s="749"/>
      <c r="F366" s="749"/>
      <c r="G366" s="749"/>
      <c r="H366" s="739"/>
      <c r="I366" s="750"/>
    </row>
    <row r="367" spans="1:9">
      <c r="A367" s="753"/>
      <c r="B367" s="754" t="s">
        <v>5926</v>
      </c>
      <c r="C367" s="748">
        <v>1</v>
      </c>
      <c r="D367" s="748">
        <v>2</v>
      </c>
      <c r="E367" s="749">
        <v>0.45</v>
      </c>
      <c r="F367" s="749"/>
      <c r="G367" s="749">
        <v>2.1</v>
      </c>
      <c r="H367" s="739">
        <f t="shared" si="39"/>
        <v>1.89</v>
      </c>
      <c r="I367" s="750"/>
    </row>
    <row r="368" spans="1:9">
      <c r="A368" s="753"/>
      <c r="B368" s="754" t="s">
        <v>5862</v>
      </c>
      <c r="C368" s="748">
        <v>1</v>
      </c>
      <c r="D368" s="748">
        <v>4</v>
      </c>
      <c r="E368" s="749">
        <v>0.45</v>
      </c>
      <c r="F368" s="749"/>
      <c r="G368" s="749">
        <v>2.1</v>
      </c>
      <c r="H368" s="739">
        <f t="shared" si="39"/>
        <v>3.78</v>
      </c>
      <c r="I368" s="750"/>
    </row>
    <row r="369" spans="1:9">
      <c r="A369" s="753"/>
      <c r="B369" s="754" t="s">
        <v>5927</v>
      </c>
      <c r="C369" s="748">
        <v>1</v>
      </c>
      <c r="D369" s="748">
        <v>2</v>
      </c>
      <c r="E369" s="749">
        <v>0.6</v>
      </c>
      <c r="F369" s="749"/>
      <c r="G369" s="749">
        <v>2.1</v>
      </c>
      <c r="H369" s="739">
        <f t="shared" si="39"/>
        <v>2.52</v>
      </c>
      <c r="I369" s="750"/>
    </row>
    <row r="370" spans="1:9">
      <c r="A370" s="753"/>
      <c r="B370" s="751" t="s">
        <v>5902</v>
      </c>
      <c r="C370" s="748"/>
      <c r="D370" s="748"/>
      <c r="E370" s="749"/>
      <c r="F370" s="749"/>
      <c r="G370" s="749"/>
      <c r="H370" s="739">
        <f t="shared" si="39"/>
        <v>0</v>
      </c>
      <c r="I370" s="750"/>
    </row>
    <row r="371" spans="1:9">
      <c r="A371" s="753"/>
      <c r="B371" s="754" t="s">
        <v>5928</v>
      </c>
      <c r="C371" s="748">
        <v>-1</v>
      </c>
      <c r="D371" s="748">
        <v>2</v>
      </c>
      <c r="E371" s="749">
        <v>0.75</v>
      </c>
      <c r="F371" s="749"/>
      <c r="G371" s="749">
        <v>2.1</v>
      </c>
      <c r="H371" s="739">
        <f t="shared" si="39"/>
        <v>-3.15</v>
      </c>
      <c r="I371" s="750"/>
    </row>
    <row r="372" spans="1:9">
      <c r="A372" s="753"/>
      <c r="B372" s="754" t="s">
        <v>5866</v>
      </c>
      <c r="C372" s="748">
        <v>-1</v>
      </c>
      <c r="D372" s="748">
        <v>1</v>
      </c>
      <c r="E372" s="749">
        <v>1.2</v>
      </c>
      <c r="F372" s="749"/>
      <c r="G372" s="749">
        <v>2.1</v>
      </c>
      <c r="H372" s="739">
        <f t="shared" si="39"/>
        <v>-2.52</v>
      </c>
      <c r="I372" s="750"/>
    </row>
    <row r="373" spans="1:9">
      <c r="A373" s="753"/>
      <c r="B373" s="751" t="s">
        <v>5878</v>
      </c>
      <c r="C373" s="748"/>
      <c r="D373" s="748"/>
      <c r="E373" s="749"/>
      <c r="F373" s="749"/>
      <c r="G373" s="749"/>
      <c r="H373" s="739"/>
      <c r="I373" s="750"/>
    </row>
    <row r="374" spans="1:9">
      <c r="A374" s="753"/>
      <c r="B374" s="754" t="s">
        <v>5928</v>
      </c>
      <c r="C374" s="748">
        <v>-1</v>
      </c>
      <c r="D374" s="748">
        <v>2</v>
      </c>
      <c r="E374" s="749">
        <f>0.75+0.46</f>
        <v>1.21</v>
      </c>
      <c r="F374" s="749"/>
      <c r="G374" s="749">
        <v>0.15</v>
      </c>
      <c r="H374" s="739">
        <f t="shared" ref="H374:H381" si="41">PRODUCT(C374:G374)</f>
        <v>-0.36</v>
      </c>
      <c r="I374" s="750"/>
    </row>
    <row r="375" spans="1:9">
      <c r="A375" s="753"/>
      <c r="B375" s="754" t="s">
        <v>5866</v>
      </c>
      <c r="C375" s="748">
        <v>-1</v>
      </c>
      <c r="D375" s="748">
        <v>1</v>
      </c>
      <c r="E375" s="749">
        <f>1.2+0.46</f>
        <v>1.66</v>
      </c>
      <c r="F375" s="749"/>
      <c r="G375" s="749">
        <v>0.15</v>
      </c>
      <c r="H375" s="739">
        <f t="shared" si="41"/>
        <v>-0.25</v>
      </c>
      <c r="I375" s="750"/>
    </row>
    <row r="376" spans="1:9">
      <c r="A376" s="753"/>
      <c r="B376" s="754" t="s">
        <v>5924</v>
      </c>
      <c r="C376" s="748">
        <v>-1</v>
      </c>
      <c r="D376" s="748">
        <v>1</v>
      </c>
      <c r="E376" s="749">
        <v>3.64</v>
      </c>
      <c r="F376" s="749"/>
      <c r="G376" s="749">
        <v>0.15</v>
      </c>
      <c r="H376" s="739">
        <f t="shared" si="41"/>
        <v>-0.55000000000000004</v>
      </c>
      <c r="I376" s="750"/>
    </row>
    <row r="377" spans="1:9">
      <c r="A377" s="753"/>
      <c r="B377" s="754" t="s">
        <v>5860</v>
      </c>
      <c r="C377" s="748">
        <v>-1</v>
      </c>
      <c r="D377" s="748">
        <v>1</v>
      </c>
      <c r="E377" s="749">
        <v>1.2</v>
      </c>
      <c r="F377" s="758"/>
      <c r="G377" s="749">
        <v>0.15</v>
      </c>
      <c r="H377" s="739">
        <f t="shared" si="41"/>
        <v>-0.18</v>
      </c>
      <c r="I377" s="750"/>
    </row>
    <row r="378" spans="1:9">
      <c r="A378" s="738"/>
      <c r="B378" s="755" t="s">
        <v>5861</v>
      </c>
      <c r="C378" s="748">
        <v>-1</v>
      </c>
      <c r="D378" s="748">
        <v>1</v>
      </c>
      <c r="E378" s="749">
        <v>2.4</v>
      </c>
      <c r="F378" s="749"/>
      <c r="G378" s="749">
        <v>0.15</v>
      </c>
      <c r="H378" s="739">
        <f t="shared" si="41"/>
        <v>-0.36</v>
      </c>
      <c r="I378" s="750"/>
    </row>
    <row r="379" spans="1:9">
      <c r="A379" s="738"/>
      <c r="B379" s="755" t="s">
        <v>5861</v>
      </c>
      <c r="C379" s="748">
        <v>-1</v>
      </c>
      <c r="D379" s="748">
        <v>1</v>
      </c>
      <c r="E379" s="749">
        <v>1.8</v>
      </c>
      <c r="F379" s="749"/>
      <c r="G379" s="749">
        <v>0.15</v>
      </c>
      <c r="H379" s="739">
        <f t="shared" si="41"/>
        <v>-0.27</v>
      </c>
      <c r="I379" s="750"/>
    </row>
    <row r="380" spans="1:9">
      <c r="A380" s="738"/>
      <c r="B380" s="755" t="s">
        <v>5861</v>
      </c>
      <c r="C380" s="748">
        <v>-1</v>
      </c>
      <c r="D380" s="748">
        <v>1</v>
      </c>
      <c r="E380" s="749">
        <v>1.05</v>
      </c>
      <c r="F380" s="749"/>
      <c r="G380" s="749">
        <v>0.15</v>
      </c>
      <c r="H380" s="739">
        <f t="shared" si="41"/>
        <v>-0.16</v>
      </c>
      <c r="I380" s="750"/>
    </row>
    <row r="381" spans="1:9">
      <c r="A381" s="738"/>
      <c r="B381" s="754" t="s">
        <v>5921</v>
      </c>
      <c r="C381" s="748">
        <v>-1</v>
      </c>
      <c r="D381" s="748">
        <v>2</v>
      </c>
      <c r="E381" s="749">
        <v>1.5</v>
      </c>
      <c r="F381" s="749"/>
      <c r="G381" s="749">
        <v>0.15</v>
      </c>
      <c r="H381" s="739">
        <f t="shared" si="41"/>
        <v>-0.45</v>
      </c>
      <c r="I381" s="750"/>
    </row>
    <row r="382" spans="1:9">
      <c r="A382" s="753"/>
      <c r="B382" s="754"/>
      <c r="C382" s="748"/>
      <c r="D382" s="748"/>
      <c r="E382" s="749"/>
      <c r="F382" s="749"/>
      <c r="G382" s="752" t="s">
        <v>2235</v>
      </c>
      <c r="H382" s="742">
        <f>SUM(H355:H381)</f>
        <v>84.45</v>
      </c>
      <c r="I382" s="750"/>
    </row>
    <row r="383" spans="1:9">
      <c r="A383" s="732"/>
      <c r="B383" s="735"/>
      <c r="C383" s="746"/>
      <c r="D383" s="746"/>
      <c r="E383" s="742"/>
      <c r="F383" s="742"/>
      <c r="G383" s="742" t="s">
        <v>4209</v>
      </c>
      <c r="H383" s="742">
        <f>ROUNDUP(H382,1)</f>
        <v>84.5</v>
      </c>
      <c r="I383" s="736" t="s">
        <v>2273</v>
      </c>
    </row>
    <row r="384" spans="1:9">
      <c r="A384" s="732"/>
      <c r="B384" s="735"/>
      <c r="C384" s="746"/>
      <c r="D384" s="746"/>
      <c r="E384" s="742"/>
      <c r="F384" s="742"/>
      <c r="G384" s="742"/>
      <c r="H384" s="742"/>
      <c r="I384" s="736"/>
    </row>
    <row r="385" spans="1:9">
      <c r="A385" s="730" t="s">
        <v>2268</v>
      </c>
      <c r="B385" s="751" t="s">
        <v>5884</v>
      </c>
      <c r="C385" s="748"/>
      <c r="D385" s="748"/>
      <c r="E385" s="749"/>
      <c r="F385" s="749"/>
      <c r="G385" s="749"/>
      <c r="H385" s="739"/>
      <c r="I385" s="750"/>
    </row>
    <row r="386" spans="1:9" ht="21" customHeight="1">
      <c r="A386" s="753"/>
      <c r="B386" s="751" t="s">
        <v>5854</v>
      </c>
      <c r="C386" s="748"/>
      <c r="D386" s="748"/>
      <c r="E386" s="749"/>
      <c r="F386" s="749"/>
      <c r="G386" s="749"/>
      <c r="H386" s="739"/>
      <c r="I386" s="750"/>
    </row>
    <row r="387" spans="1:9" ht="37.5">
      <c r="A387" s="753"/>
      <c r="B387" s="755" t="s">
        <v>5929</v>
      </c>
      <c r="C387" s="748">
        <v>1</v>
      </c>
      <c r="D387" s="748">
        <v>3</v>
      </c>
      <c r="E387" s="749">
        <v>3.6</v>
      </c>
      <c r="F387" s="749"/>
      <c r="G387" s="749">
        <v>3.15</v>
      </c>
      <c r="H387" s="739">
        <f t="shared" ref="H387:H408" si="42">PRODUCT(C387:G387)</f>
        <v>34.020000000000003</v>
      </c>
      <c r="I387" s="750"/>
    </row>
    <row r="388" spans="1:9">
      <c r="A388" s="753"/>
      <c r="B388" s="754" t="s">
        <v>5930</v>
      </c>
      <c r="C388" s="748">
        <v>1</v>
      </c>
      <c r="D388" s="748">
        <v>1</v>
      </c>
      <c r="E388" s="749">
        <v>2.78</v>
      </c>
      <c r="F388" s="749"/>
      <c r="G388" s="749">
        <v>3.15</v>
      </c>
      <c r="H388" s="739">
        <f t="shared" si="42"/>
        <v>8.76</v>
      </c>
      <c r="I388" s="750"/>
    </row>
    <row r="389" spans="1:9">
      <c r="A389" s="753"/>
      <c r="B389" s="754" t="s">
        <v>5931</v>
      </c>
      <c r="C389" s="748">
        <v>1</v>
      </c>
      <c r="D389" s="748">
        <v>1</v>
      </c>
      <c r="E389" s="749">
        <v>0.79</v>
      </c>
      <c r="F389" s="749"/>
      <c r="G389" s="749">
        <v>3.15</v>
      </c>
      <c r="H389" s="739">
        <f t="shared" si="42"/>
        <v>2.4900000000000002</v>
      </c>
      <c r="I389" s="750"/>
    </row>
    <row r="390" spans="1:9">
      <c r="A390" s="753"/>
      <c r="B390" s="754" t="s">
        <v>5897</v>
      </c>
      <c r="C390" s="748">
        <v>1</v>
      </c>
      <c r="D390" s="748">
        <v>1</v>
      </c>
      <c r="E390" s="749">
        <v>2.9</v>
      </c>
      <c r="F390" s="749"/>
      <c r="G390" s="749">
        <v>3.15</v>
      </c>
      <c r="H390" s="739">
        <f t="shared" si="42"/>
        <v>9.14</v>
      </c>
      <c r="I390" s="750"/>
    </row>
    <row r="391" spans="1:9">
      <c r="A391" s="753"/>
      <c r="B391" s="754" t="s">
        <v>5834</v>
      </c>
      <c r="C391" s="748">
        <v>1</v>
      </c>
      <c r="D391" s="748">
        <v>1</v>
      </c>
      <c r="E391" s="749">
        <v>2.52</v>
      </c>
      <c r="F391" s="749"/>
      <c r="G391" s="749">
        <v>3.15</v>
      </c>
      <c r="H391" s="739">
        <f t="shared" si="42"/>
        <v>7.94</v>
      </c>
      <c r="I391" s="750"/>
    </row>
    <row r="392" spans="1:9">
      <c r="A392" s="753"/>
      <c r="B392" s="754" t="s">
        <v>5833</v>
      </c>
      <c r="C392" s="748">
        <v>1</v>
      </c>
      <c r="D392" s="748">
        <v>1</v>
      </c>
      <c r="E392" s="749">
        <v>1.5</v>
      </c>
      <c r="F392" s="749"/>
      <c r="G392" s="749">
        <v>3.15</v>
      </c>
      <c r="H392" s="739">
        <f t="shared" si="42"/>
        <v>4.7300000000000004</v>
      </c>
      <c r="I392" s="750"/>
    </row>
    <row r="393" spans="1:9" ht="19.5" customHeight="1">
      <c r="A393" s="753"/>
      <c r="B393" s="756" t="s">
        <v>5850</v>
      </c>
      <c r="C393" s="748"/>
      <c r="D393" s="748"/>
      <c r="E393" s="749"/>
      <c r="F393" s="749"/>
      <c r="G393" s="749"/>
      <c r="H393" s="739"/>
      <c r="I393" s="750"/>
    </row>
    <row r="394" spans="1:9">
      <c r="A394" s="753"/>
      <c r="B394" s="754" t="s">
        <v>5932</v>
      </c>
      <c r="C394" s="748">
        <v>1</v>
      </c>
      <c r="D394" s="748">
        <v>2</v>
      </c>
      <c r="E394" s="749">
        <v>1.5</v>
      </c>
      <c r="F394" s="749"/>
      <c r="G394" s="749">
        <v>3.15</v>
      </c>
      <c r="H394" s="739">
        <f t="shared" si="42"/>
        <v>9.4499999999999993</v>
      </c>
      <c r="I394" s="750"/>
    </row>
    <row r="395" spans="1:9">
      <c r="A395" s="753"/>
      <c r="B395" s="754" t="s">
        <v>5931</v>
      </c>
      <c r="C395" s="748">
        <v>1</v>
      </c>
      <c r="D395" s="748">
        <v>1</v>
      </c>
      <c r="E395" s="749">
        <v>0.9</v>
      </c>
      <c r="F395" s="749"/>
      <c r="G395" s="749">
        <v>3.15</v>
      </c>
      <c r="H395" s="739">
        <f t="shared" si="42"/>
        <v>2.84</v>
      </c>
      <c r="I395" s="750"/>
    </row>
    <row r="396" spans="1:9">
      <c r="A396" s="753"/>
      <c r="B396" s="754" t="s">
        <v>5933</v>
      </c>
      <c r="C396" s="748">
        <v>1</v>
      </c>
      <c r="D396" s="748">
        <v>1</v>
      </c>
      <c r="E396" s="749">
        <v>3.61</v>
      </c>
      <c r="F396" s="749"/>
      <c r="G396" s="749">
        <v>3.15</v>
      </c>
      <c r="H396" s="739">
        <f t="shared" si="42"/>
        <v>11.37</v>
      </c>
      <c r="I396" s="750"/>
    </row>
    <row r="397" spans="1:9">
      <c r="A397" s="753"/>
      <c r="B397" s="754" t="s">
        <v>5833</v>
      </c>
      <c r="C397" s="748">
        <v>1</v>
      </c>
      <c r="D397" s="748">
        <v>1</v>
      </c>
      <c r="E397" s="749">
        <v>1.8</v>
      </c>
      <c r="F397" s="749"/>
      <c r="G397" s="749">
        <v>3.15</v>
      </c>
      <c r="H397" s="739">
        <f t="shared" si="42"/>
        <v>5.67</v>
      </c>
      <c r="I397" s="750"/>
    </row>
    <row r="398" spans="1:9">
      <c r="A398" s="753"/>
      <c r="B398" s="754" t="s">
        <v>5934</v>
      </c>
      <c r="C398" s="748">
        <v>1</v>
      </c>
      <c r="D398" s="748">
        <v>1</v>
      </c>
      <c r="E398" s="749">
        <v>3.5</v>
      </c>
      <c r="F398" s="749"/>
      <c r="G398" s="749">
        <v>3.15</v>
      </c>
      <c r="H398" s="739">
        <f t="shared" si="42"/>
        <v>11.03</v>
      </c>
      <c r="I398" s="750"/>
    </row>
    <row r="399" spans="1:9">
      <c r="A399" s="753"/>
      <c r="B399" s="754" t="s">
        <v>5935</v>
      </c>
      <c r="C399" s="748">
        <v>1</v>
      </c>
      <c r="D399" s="748">
        <v>1</v>
      </c>
      <c r="E399" s="749">
        <v>0.6</v>
      </c>
      <c r="F399" s="749"/>
      <c r="G399" s="749">
        <v>3.15</v>
      </c>
      <c r="H399" s="739">
        <f t="shared" si="42"/>
        <v>1.89</v>
      </c>
      <c r="I399" s="750"/>
    </row>
    <row r="400" spans="1:9">
      <c r="A400" s="753"/>
      <c r="B400" s="754" t="s">
        <v>5936</v>
      </c>
      <c r="C400" s="748">
        <v>1</v>
      </c>
      <c r="D400" s="748">
        <v>1</v>
      </c>
      <c r="E400" s="749">
        <v>5.93</v>
      </c>
      <c r="F400" s="749"/>
      <c r="G400" s="749">
        <v>1.2</v>
      </c>
      <c r="H400" s="739">
        <f t="shared" si="42"/>
        <v>7.12</v>
      </c>
      <c r="I400" s="750"/>
    </row>
    <row r="401" spans="1:9">
      <c r="A401" s="753"/>
      <c r="B401" s="751" t="s">
        <v>5925</v>
      </c>
      <c r="C401" s="748"/>
      <c r="D401" s="748"/>
      <c r="E401" s="749"/>
      <c r="F401" s="749"/>
      <c r="G401" s="749"/>
      <c r="H401" s="739"/>
      <c r="I401" s="750"/>
    </row>
    <row r="402" spans="1:9">
      <c r="A402" s="753"/>
      <c r="B402" s="754" t="s">
        <v>5937</v>
      </c>
      <c r="C402" s="748">
        <v>1</v>
      </c>
      <c r="D402" s="748">
        <v>1</v>
      </c>
      <c r="E402" s="749">
        <v>0.45</v>
      </c>
      <c r="F402" s="749"/>
      <c r="G402" s="749">
        <v>2.1</v>
      </c>
      <c r="H402" s="739">
        <f t="shared" si="42"/>
        <v>0.95</v>
      </c>
      <c r="I402" s="750"/>
    </row>
    <row r="403" spans="1:9">
      <c r="A403" s="753"/>
      <c r="B403" s="754" t="s">
        <v>5937</v>
      </c>
      <c r="C403" s="748">
        <v>1</v>
      </c>
      <c r="D403" s="748">
        <v>2</v>
      </c>
      <c r="E403" s="749">
        <v>0.6</v>
      </c>
      <c r="F403" s="749"/>
      <c r="G403" s="749">
        <v>2.1</v>
      </c>
      <c r="H403" s="739">
        <f t="shared" si="42"/>
        <v>2.52</v>
      </c>
      <c r="I403" s="750"/>
    </row>
    <row r="404" spans="1:9">
      <c r="A404" s="753"/>
      <c r="B404" s="754" t="s">
        <v>5938</v>
      </c>
      <c r="C404" s="748">
        <v>1</v>
      </c>
      <c r="D404" s="748">
        <v>1</v>
      </c>
      <c r="E404" s="749">
        <v>0.6</v>
      </c>
      <c r="F404" s="749"/>
      <c r="G404" s="749">
        <v>2.1</v>
      </c>
      <c r="H404" s="739">
        <f t="shared" si="42"/>
        <v>1.26</v>
      </c>
      <c r="I404" s="750"/>
    </row>
    <row r="405" spans="1:9">
      <c r="A405" s="753"/>
      <c r="B405" s="754" t="s">
        <v>5938</v>
      </c>
      <c r="C405" s="748">
        <v>1</v>
      </c>
      <c r="D405" s="748">
        <v>1</v>
      </c>
      <c r="E405" s="749">
        <v>0.45</v>
      </c>
      <c r="F405" s="749"/>
      <c r="G405" s="749">
        <v>2.1</v>
      </c>
      <c r="H405" s="739">
        <f t="shared" si="42"/>
        <v>0.95</v>
      </c>
      <c r="I405" s="750"/>
    </row>
    <row r="406" spans="1:9">
      <c r="A406" s="753"/>
      <c r="B406" s="754" t="s">
        <v>5939</v>
      </c>
      <c r="C406" s="748">
        <v>1</v>
      </c>
      <c r="D406" s="748">
        <v>1</v>
      </c>
      <c r="E406" s="749">
        <v>0.6</v>
      </c>
      <c r="F406" s="749"/>
      <c r="G406" s="749">
        <v>2.1</v>
      </c>
      <c r="H406" s="739">
        <f t="shared" si="42"/>
        <v>1.26</v>
      </c>
      <c r="I406" s="750"/>
    </row>
    <row r="407" spans="1:9">
      <c r="A407" s="753"/>
      <c r="B407" s="754" t="s">
        <v>5931</v>
      </c>
      <c r="C407" s="748">
        <v>1</v>
      </c>
      <c r="D407" s="748">
        <v>1</v>
      </c>
      <c r="E407" s="749">
        <v>0.6</v>
      </c>
      <c r="F407" s="749"/>
      <c r="G407" s="749">
        <v>2.1</v>
      </c>
      <c r="H407" s="739">
        <f t="shared" si="42"/>
        <v>1.26</v>
      </c>
      <c r="I407" s="750"/>
    </row>
    <row r="408" spans="1:9">
      <c r="A408" s="753"/>
      <c r="B408" s="754" t="s">
        <v>5940</v>
      </c>
      <c r="C408" s="748">
        <v>2</v>
      </c>
      <c r="D408" s="748">
        <v>2</v>
      </c>
      <c r="E408" s="749">
        <v>0.6</v>
      </c>
      <c r="F408" s="749"/>
      <c r="G408" s="749">
        <v>0.9</v>
      </c>
      <c r="H408" s="739">
        <f t="shared" si="42"/>
        <v>2.16</v>
      </c>
      <c r="I408" s="750"/>
    </row>
    <row r="409" spans="1:9">
      <c r="A409" s="753"/>
      <c r="B409" s="751" t="s">
        <v>5902</v>
      </c>
      <c r="C409" s="748"/>
      <c r="D409" s="748"/>
      <c r="E409" s="749"/>
      <c r="F409" s="749"/>
      <c r="G409" s="749"/>
      <c r="H409" s="739"/>
      <c r="I409" s="750"/>
    </row>
    <row r="410" spans="1:9">
      <c r="A410" s="753"/>
      <c r="B410" s="754" t="s">
        <v>5928</v>
      </c>
      <c r="C410" s="748">
        <v>-1</v>
      </c>
      <c r="D410" s="748">
        <v>3</v>
      </c>
      <c r="E410" s="749">
        <v>0.75</v>
      </c>
      <c r="F410" s="749"/>
      <c r="G410" s="749">
        <v>2.1</v>
      </c>
      <c r="H410" s="739">
        <f t="shared" ref="H410:H411" si="43">PRODUCT(C410:G410)</f>
        <v>-4.7300000000000004</v>
      </c>
      <c r="I410" s="750"/>
    </row>
    <row r="411" spans="1:9">
      <c r="A411" s="753"/>
      <c r="B411" s="754" t="s">
        <v>5798</v>
      </c>
      <c r="C411" s="748">
        <v>-1</v>
      </c>
      <c r="D411" s="748">
        <v>1</v>
      </c>
      <c r="E411" s="749">
        <v>0.9</v>
      </c>
      <c r="F411" s="749"/>
      <c r="G411" s="749">
        <v>2.1</v>
      </c>
      <c r="H411" s="739">
        <f t="shared" si="43"/>
        <v>-1.89</v>
      </c>
      <c r="I411" s="750"/>
    </row>
    <row r="412" spans="1:9">
      <c r="A412" s="753"/>
      <c r="B412" s="751" t="s">
        <v>5878</v>
      </c>
      <c r="C412" s="748"/>
      <c r="D412" s="748"/>
      <c r="E412" s="749"/>
      <c r="F412" s="749"/>
      <c r="G412" s="749"/>
      <c r="H412" s="739"/>
      <c r="I412" s="750"/>
    </row>
    <row r="413" spans="1:9">
      <c r="A413" s="753"/>
      <c r="B413" s="754" t="s">
        <v>5928</v>
      </c>
      <c r="C413" s="748">
        <v>-1</v>
      </c>
      <c r="D413" s="748">
        <v>3</v>
      </c>
      <c r="E413" s="749">
        <f>0.75+0.46</f>
        <v>1.21</v>
      </c>
      <c r="F413" s="749"/>
      <c r="G413" s="749">
        <v>0.15</v>
      </c>
      <c r="H413" s="739">
        <f t="shared" ref="H413:H420" si="44">PRODUCT(C413:G413)</f>
        <v>-0.54</v>
      </c>
      <c r="I413" s="750"/>
    </row>
    <row r="414" spans="1:9">
      <c r="A414" s="753"/>
      <c r="B414" s="754" t="s">
        <v>5798</v>
      </c>
      <c r="C414" s="748">
        <v>-1</v>
      </c>
      <c r="D414" s="748">
        <v>1</v>
      </c>
      <c r="E414" s="749">
        <f>0.9+0.46</f>
        <v>1.36</v>
      </c>
      <c r="F414" s="749"/>
      <c r="G414" s="749">
        <v>0.15</v>
      </c>
      <c r="H414" s="739">
        <f t="shared" si="44"/>
        <v>-0.2</v>
      </c>
      <c r="I414" s="750"/>
    </row>
    <row r="415" spans="1:9">
      <c r="A415" s="753"/>
      <c r="B415" s="754" t="s">
        <v>5938</v>
      </c>
      <c r="C415" s="748">
        <v>-1</v>
      </c>
      <c r="D415" s="748">
        <v>1</v>
      </c>
      <c r="E415" s="749">
        <v>1.65</v>
      </c>
      <c r="F415" s="749"/>
      <c r="G415" s="749">
        <v>0.15</v>
      </c>
      <c r="H415" s="739">
        <f t="shared" si="44"/>
        <v>-0.25</v>
      </c>
      <c r="I415" s="750"/>
    </row>
    <row r="416" spans="1:9">
      <c r="A416" s="753"/>
      <c r="B416" s="754" t="s">
        <v>5941</v>
      </c>
      <c r="C416" s="748">
        <v>-1</v>
      </c>
      <c r="D416" s="748">
        <v>2</v>
      </c>
      <c r="E416" s="749">
        <v>3.6</v>
      </c>
      <c r="F416" s="749"/>
      <c r="G416" s="749">
        <v>0.15</v>
      </c>
      <c r="H416" s="739">
        <f t="shared" si="44"/>
        <v>-1.08</v>
      </c>
      <c r="I416" s="750"/>
    </row>
    <row r="417" spans="1:9">
      <c r="A417" s="753"/>
      <c r="B417" s="754" t="s">
        <v>5938</v>
      </c>
      <c r="C417" s="748">
        <v>-1</v>
      </c>
      <c r="D417" s="748">
        <v>1</v>
      </c>
      <c r="E417" s="749">
        <v>1.5</v>
      </c>
      <c r="F417" s="749"/>
      <c r="G417" s="749">
        <v>0.15</v>
      </c>
      <c r="H417" s="739">
        <f t="shared" si="44"/>
        <v>-0.23</v>
      </c>
      <c r="I417" s="750"/>
    </row>
    <row r="418" spans="1:9">
      <c r="A418" s="753"/>
      <c r="B418" s="754" t="s">
        <v>5939</v>
      </c>
      <c r="C418" s="748">
        <v>-1</v>
      </c>
      <c r="D418" s="748">
        <v>1</v>
      </c>
      <c r="E418" s="749">
        <v>2.9</v>
      </c>
      <c r="F418" s="758"/>
      <c r="G418" s="749">
        <v>0.15</v>
      </c>
      <c r="H418" s="739">
        <f t="shared" si="44"/>
        <v>-0.44</v>
      </c>
      <c r="I418" s="750"/>
    </row>
    <row r="419" spans="1:9">
      <c r="A419" s="753"/>
      <c r="B419" s="754" t="s">
        <v>5931</v>
      </c>
      <c r="C419" s="748">
        <v>-1</v>
      </c>
      <c r="D419" s="748">
        <v>1</v>
      </c>
      <c r="E419" s="749">
        <v>2.78</v>
      </c>
      <c r="F419" s="758"/>
      <c r="G419" s="749">
        <v>0.15</v>
      </c>
      <c r="H419" s="739">
        <f t="shared" si="44"/>
        <v>-0.42</v>
      </c>
      <c r="I419" s="750"/>
    </row>
    <row r="420" spans="1:9">
      <c r="A420" s="753"/>
      <c r="B420" s="754" t="s">
        <v>5931</v>
      </c>
      <c r="C420" s="748">
        <v>-1</v>
      </c>
      <c r="D420" s="748">
        <v>1</v>
      </c>
      <c r="E420" s="749">
        <v>1.02</v>
      </c>
      <c r="F420" s="758"/>
      <c r="G420" s="749">
        <v>0.15</v>
      </c>
      <c r="H420" s="739">
        <f t="shared" si="44"/>
        <v>-0.15</v>
      </c>
      <c r="I420" s="750"/>
    </row>
    <row r="421" spans="1:9">
      <c r="A421" s="753"/>
      <c r="B421" s="754"/>
      <c r="C421" s="748"/>
      <c r="D421" s="748"/>
      <c r="E421" s="749"/>
      <c r="F421" s="749"/>
      <c r="G421" s="752" t="s">
        <v>2235</v>
      </c>
      <c r="H421" s="739">
        <f>SUM(H387:H398)</f>
        <v>107.44</v>
      </c>
      <c r="I421" s="750"/>
    </row>
    <row r="422" spans="1:9">
      <c r="A422" s="732"/>
      <c r="B422" s="735"/>
      <c r="C422" s="746"/>
      <c r="D422" s="746"/>
      <c r="E422" s="742"/>
      <c r="F422" s="742"/>
      <c r="G422" s="742" t="s">
        <v>4209</v>
      </c>
      <c r="H422" s="742">
        <f>ROUNDUP(H421,1)</f>
        <v>107.5</v>
      </c>
      <c r="I422" s="736" t="s">
        <v>2273</v>
      </c>
    </row>
    <row r="423" spans="1:9">
      <c r="A423" s="732"/>
      <c r="B423" s="735"/>
      <c r="C423" s="746"/>
      <c r="D423" s="746"/>
      <c r="E423" s="742"/>
      <c r="F423" s="742"/>
      <c r="G423" s="742"/>
      <c r="H423" s="742"/>
      <c r="I423" s="736"/>
    </row>
    <row r="424" spans="1:9">
      <c r="A424" s="730" t="s">
        <v>2997</v>
      </c>
      <c r="B424" s="751" t="s">
        <v>5942</v>
      </c>
      <c r="C424" s="748"/>
      <c r="D424" s="748"/>
      <c r="E424" s="749"/>
      <c r="F424" s="749"/>
      <c r="G424" s="749"/>
      <c r="H424" s="739"/>
      <c r="I424" s="750"/>
    </row>
    <row r="425" spans="1:9">
      <c r="A425" s="753"/>
      <c r="B425" s="754" t="s">
        <v>5943</v>
      </c>
      <c r="C425" s="748">
        <v>1</v>
      </c>
      <c r="D425" s="748">
        <v>1</v>
      </c>
      <c r="E425" s="749">
        <v>18.18</v>
      </c>
      <c r="F425" s="749"/>
      <c r="G425" s="749">
        <v>0.45</v>
      </c>
      <c r="H425" s="739">
        <f>PRODUCT(C425:G425)</f>
        <v>8.18</v>
      </c>
      <c r="I425" s="750"/>
    </row>
    <row r="426" spans="1:9">
      <c r="A426" s="753"/>
      <c r="B426" s="754" t="s">
        <v>5944</v>
      </c>
      <c r="C426" s="748">
        <v>-1</v>
      </c>
      <c r="D426" s="748">
        <v>8</v>
      </c>
      <c r="E426" s="749">
        <v>0.23</v>
      </c>
      <c r="F426" s="749"/>
      <c r="G426" s="749">
        <v>0.45</v>
      </c>
      <c r="H426" s="739">
        <f>PRODUCT(C426:G426)</f>
        <v>-0.83</v>
      </c>
      <c r="I426" s="750"/>
    </row>
    <row r="427" spans="1:9">
      <c r="A427" s="753"/>
      <c r="B427" s="754"/>
      <c r="C427" s="748"/>
      <c r="D427" s="748"/>
      <c r="E427" s="749"/>
      <c r="F427" s="749"/>
      <c r="G427" s="752" t="s">
        <v>2235</v>
      </c>
      <c r="H427" s="742">
        <f>H425+H426</f>
        <v>7.35</v>
      </c>
      <c r="I427" s="750"/>
    </row>
    <row r="428" spans="1:9">
      <c r="A428" s="732"/>
      <c r="B428" s="735"/>
      <c r="C428" s="746"/>
      <c r="D428" s="746"/>
      <c r="E428" s="742"/>
      <c r="F428" s="742"/>
      <c r="G428" s="742" t="s">
        <v>4209</v>
      </c>
      <c r="H428" s="742">
        <f>ROUNDUP(H427,1)</f>
        <v>7.4</v>
      </c>
      <c r="I428" s="736" t="s">
        <v>2273</v>
      </c>
    </row>
    <row r="429" spans="1:9">
      <c r="A429" s="753"/>
      <c r="B429" s="754"/>
      <c r="C429" s="748"/>
      <c r="D429" s="748"/>
      <c r="E429" s="749"/>
      <c r="F429" s="749"/>
      <c r="G429" s="749"/>
      <c r="H429" s="739"/>
      <c r="I429" s="750"/>
    </row>
    <row r="430" spans="1:9" ht="57.75" customHeight="1">
      <c r="A430" s="730">
        <v>11.2</v>
      </c>
      <c r="B430" s="759" t="s">
        <v>6978</v>
      </c>
      <c r="C430" s="748"/>
      <c r="D430" s="748"/>
      <c r="E430" s="749"/>
      <c r="F430" s="749"/>
      <c r="G430" s="749"/>
      <c r="H430" s="739"/>
      <c r="I430" s="750"/>
    </row>
    <row r="431" spans="1:9" ht="21.75" customHeight="1">
      <c r="A431" s="753" t="s">
        <v>2598</v>
      </c>
      <c r="B431" s="754" t="s">
        <v>5945</v>
      </c>
      <c r="C431" s="748"/>
      <c r="D431" s="748"/>
      <c r="E431" s="749"/>
      <c r="F431" s="749"/>
      <c r="G431" s="749"/>
      <c r="H431" s="739"/>
      <c r="I431" s="750"/>
    </row>
    <row r="432" spans="1:9" ht="21" customHeight="1">
      <c r="A432" s="753"/>
      <c r="B432" s="754" t="s">
        <v>5946</v>
      </c>
      <c r="C432" s="748">
        <v>1</v>
      </c>
      <c r="D432" s="748">
        <v>1</v>
      </c>
      <c r="E432" s="749">
        <v>0.45</v>
      </c>
      <c r="F432" s="749"/>
      <c r="G432" s="749">
        <v>2.1</v>
      </c>
      <c r="H432" s="739">
        <f>PRODUCT(C432:G432)</f>
        <v>0.95</v>
      </c>
      <c r="I432" s="750"/>
    </row>
    <row r="433" spans="1:9" ht="21" customHeight="1">
      <c r="A433" s="753"/>
      <c r="B433" s="754" t="s">
        <v>5947</v>
      </c>
      <c r="C433" s="748">
        <v>1</v>
      </c>
      <c r="D433" s="748">
        <v>2</v>
      </c>
      <c r="E433" s="749">
        <v>0.45</v>
      </c>
      <c r="F433" s="749"/>
      <c r="G433" s="749">
        <v>2.1</v>
      </c>
      <c r="H433" s="739">
        <f>PRODUCT(C433:G433)</f>
        <v>1.89</v>
      </c>
      <c r="I433" s="750"/>
    </row>
    <row r="434" spans="1:9" ht="21" customHeight="1">
      <c r="A434" s="753"/>
      <c r="B434" s="754" t="s">
        <v>5861</v>
      </c>
      <c r="C434" s="748">
        <v>1</v>
      </c>
      <c r="D434" s="748">
        <v>6</v>
      </c>
      <c r="E434" s="749">
        <v>0.6</v>
      </c>
      <c r="F434" s="749"/>
      <c r="G434" s="749">
        <v>2.1</v>
      </c>
      <c r="H434" s="739">
        <f>PRODUCT(C434:G434)</f>
        <v>7.56</v>
      </c>
      <c r="I434" s="750"/>
    </row>
    <row r="435" spans="1:9" ht="21" customHeight="1">
      <c r="A435" s="753"/>
      <c r="B435" s="754" t="s">
        <v>5948</v>
      </c>
      <c r="C435" s="748">
        <v>1</v>
      </c>
      <c r="D435" s="748">
        <v>2</v>
      </c>
      <c r="E435" s="749">
        <v>0.45</v>
      </c>
      <c r="F435" s="749"/>
      <c r="G435" s="749">
        <v>2.1</v>
      </c>
      <c r="H435" s="739">
        <f>PRODUCT(C435:G435)</f>
        <v>1.89</v>
      </c>
      <c r="I435" s="750"/>
    </row>
    <row r="436" spans="1:9">
      <c r="A436" s="753"/>
      <c r="B436" s="754"/>
      <c r="C436" s="748"/>
      <c r="D436" s="748"/>
      <c r="E436" s="749"/>
      <c r="F436" s="749"/>
      <c r="G436" s="749" t="s">
        <v>2235</v>
      </c>
      <c r="H436" s="739">
        <f>SUM(H432:H435)</f>
        <v>12.29</v>
      </c>
      <c r="I436" s="750"/>
    </row>
    <row r="437" spans="1:9">
      <c r="A437" s="753"/>
      <c r="B437" s="754"/>
      <c r="C437" s="748"/>
      <c r="D437" s="748"/>
      <c r="E437" s="749"/>
      <c r="F437" s="749"/>
      <c r="G437" s="742" t="s">
        <v>4209</v>
      </c>
      <c r="H437" s="742">
        <f>ROUNDUP(H436,1)</f>
        <v>12.3</v>
      </c>
      <c r="I437" s="736" t="s">
        <v>2273</v>
      </c>
    </row>
    <row r="438" spans="1:9">
      <c r="A438" s="753" t="s">
        <v>5949</v>
      </c>
      <c r="B438" s="754" t="s">
        <v>5884</v>
      </c>
      <c r="C438" s="748"/>
      <c r="D438" s="748"/>
      <c r="E438" s="749"/>
      <c r="F438" s="749"/>
      <c r="G438" s="749"/>
      <c r="H438" s="739"/>
      <c r="I438" s="750"/>
    </row>
    <row r="439" spans="1:9">
      <c r="A439" s="753"/>
      <c r="B439" s="754" t="s">
        <v>5950</v>
      </c>
      <c r="C439" s="748">
        <v>2</v>
      </c>
      <c r="D439" s="748">
        <v>3</v>
      </c>
      <c r="E439" s="749">
        <v>0.6</v>
      </c>
      <c r="F439" s="749"/>
      <c r="G439" s="749">
        <v>2.1</v>
      </c>
      <c r="H439" s="739">
        <f>PRODUCT(C439:G439)</f>
        <v>7.56</v>
      </c>
      <c r="I439" s="750"/>
    </row>
    <row r="440" spans="1:9">
      <c r="A440" s="753"/>
      <c r="B440" s="754" t="s">
        <v>5951</v>
      </c>
      <c r="C440" s="748">
        <v>1</v>
      </c>
      <c r="D440" s="748">
        <v>2</v>
      </c>
      <c r="E440" s="749">
        <v>0.3</v>
      </c>
      <c r="F440" s="749"/>
      <c r="G440" s="749">
        <v>1.2</v>
      </c>
      <c r="H440" s="739">
        <f>PRODUCT(C440:G440)</f>
        <v>0.72</v>
      </c>
      <c r="I440" s="750"/>
    </row>
    <row r="441" spans="1:9">
      <c r="A441" s="753"/>
      <c r="B441" s="754" t="s">
        <v>5931</v>
      </c>
      <c r="C441" s="748">
        <v>2</v>
      </c>
      <c r="D441" s="748">
        <v>2</v>
      </c>
      <c r="E441" s="749">
        <v>0.6</v>
      </c>
      <c r="F441" s="749"/>
      <c r="G441" s="749">
        <v>2.1</v>
      </c>
      <c r="H441" s="739">
        <f>PRODUCT(C441:G441)</f>
        <v>5.04</v>
      </c>
      <c r="I441" s="750"/>
    </row>
    <row r="442" spans="1:9">
      <c r="A442" s="753"/>
      <c r="B442" s="754"/>
      <c r="C442" s="748"/>
      <c r="D442" s="748"/>
      <c r="E442" s="749"/>
      <c r="F442" s="749"/>
      <c r="G442" s="749" t="s">
        <v>2235</v>
      </c>
      <c r="H442" s="739">
        <f>SUM(H439:H441)</f>
        <v>13.32</v>
      </c>
      <c r="I442" s="750"/>
    </row>
    <row r="443" spans="1:9">
      <c r="A443" s="732"/>
      <c r="B443" s="735"/>
      <c r="C443" s="746"/>
      <c r="D443" s="746"/>
      <c r="E443" s="742"/>
      <c r="F443" s="742"/>
      <c r="G443" s="742" t="s">
        <v>4209</v>
      </c>
      <c r="H443" s="742">
        <f>ROUNDUP(H442,1)</f>
        <v>13.4</v>
      </c>
      <c r="I443" s="736" t="s">
        <v>2273</v>
      </c>
    </row>
    <row r="444" spans="1:9" s="737" customFormat="1" ht="24" customHeight="1">
      <c r="A444" s="738">
        <v>13.1</v>
      </c>
      <c r="B444" s="735" t="s">
        <v>5952</v>
      </c>
      <c r="C444" s="734"/>
      <c r="D444" s="734"/>
      <c r="E444" s="739"/>
      <c r="F444" s="739"/>
      <c r="G444" s="739"/>
      <c r="H444" s="739"/>
      <c r="I444" s="736"/>
    </row>
    <row r="445" spans="1:9" s="737" customFormat="1">
      <c r="A445" s="738"/>
      <c r="B445" s="735" t="s">
        <v>5953</v>
      </c>
      <c r="C445" s="734">
        <v>1</v>
      </c>
      <c r="D445" s="734">
        <v>1</v>
      </c>
      <c r="E445" s="739">
        <v>3.3</v>
      </c>
      <c r="F445" s="739">
        <v>2.9</v>
      </c>
      <c r="G445" s="739">
        <v>0.35</v>
      </c>
      <c r="H445" s="739">
        <f t="shared" ref="H445:H453" si="45">PRODUCT(C445:G445)</f>
        <v>3.35</v>
      </c>
      <c r="I445" s="736"/>
    </row>
    <row r="446" spans="1:9" s="737" customFormat="1">
      <c r="A446" s="738"/>
      <c r="B446" s="735" t="s">
        <v>5837</v>
      </c>
      <c r="C446" s="734">
        <v>1</v>
      </c>
      <c r="D446" s="734">
        <v>1</v>
      </c>
      <c r="E446" s="739">
        <v>3.6</v>
      </c>
      <c r="F446" s="739">
        <v>3.6</v>
      </c>
      <c r="G446" s="739">
        <v>0.35</v>
      </c>
      <c r="H446" s="739">
        <f t="shared" si="45"/>
        <v>4.54</v>
      </c>
      <c r="I446" s="736"/>
    </row>
    <row r="447" spans="1:9" s="737" customFormat="1">
      <c r="A447" s="738"/>
      <c r="B447" s="735" t="s">
        <v>5954</v>
      </c>
      <c r="C447" s="734">
        <v>1</v>
      </c>
      <c r="D447" s="734">
        <v>1</v>
      </c>
      <c r="E447" s="739">
        <v>3.42</v>
      </c>
      <c r="F447" s="739">
        <v>3.6</v>
      </c>
      <c r="G447" s="739">
        <v>0.35</v>
      </c>
      <c r="H447" s="739">
        <f t="shared" si="45"/>
        <v>4.3099999999999996</v>
      </c>
      <c r="I447" s="736"/>
    </row>
    <row r="448" spans="1:9" s="737" customFormat="1">
      <c r="A448" s="738"/>
      <c r="B448" s="735" t="s">
        <v>5955</v>
      </c>
      <c r="C448" s="734">
        <v>1</v>
      </c>
      <c r="D448" s="734">
        <v>1</v>
      </c>
      <c r="E448" s="739">
        <v>3.6</v>
      </c>
      <c r="F448" s="739">
        <v>3.31</v>
      </c>
      <c r="G448" s="739">
        <v>0.35</v>
      </c>
      <c r="H448" s="739">
        <f t="shared" si="45"/>
        <v>4.17</v>
      </c>
      <c r="I448" s="736"/>
    </row>
    <row r="449" spans="1:9" s="737" customFormat="1">
      <c r="A449" s="738"/>
      <c r="B449" s="735" t="s">
        <v>5956</v>
      </c>
      <c r="C449" s="734">
        <v>1</v>
      </c>
      <c r="D449" s="734">
        <v>1</v>
      </c>
      <c r="E449" s="739">
        <v>6.53</v>
      </c>
      <c r="F449" s="739">
        <v>7.5</v>
      </c>
      <c r="G449" s="739">
        <v>0.35</v>
      </c>
      <c r="H449" s="739">
        <f t="shared" si="45"/>
        <v>17.14</v>
      </c>
      <c r="I449" s="736"/>
    </row>
    <row r="450" spans="1:9" s="737" customFormat="1">
      <c r="A450" s="738"/>
      <c r="B450" s="735" t="s">
        <v>5957</v>
      </c>
      <c r="C450" s="734">
        <v>1</v>
      </c>
      <c r="D450" s="734">
        <v>1</v>
      </c>
      <c r="E450" s="739">
        <v>3.3</v>
      </c>
      <c r="F450" s="739">
        <v>1.58</v>
      </c>
      <c r="G450" s="739">
        <v>0.35</v>
      </c>
      <c r="H450" s="739">
        <f t="shared" si="45"/>
        <v>1.82</v>
      </c>
      <c r="I450" s="736"/>
    </row>
    <row r="451" spans="1:9" s="737" customFormat="1">
      <c r="A451" s="738"/>
      <c r="B451" s="735" t="s">
        <v>5958</v>
      </c>
      <c r="C451" s="734">
        <v>1</v>
      </c>
      <c r="D451" s="734">
        <v>1</v>
      </c>
      <c r="E451" s="739">
        <v>3</v>
      </c>
      <c r="F451" s="739">
        <v>5.23</v>
      </c>
      <c r="G451" s="739">
        <v>0.35</v>
      </c>
      <c r="H451" s="739">
        <f t="shared" si="45"/>
        <v>5.49</v>
      </c>
      <c r="I451" s="736"/>
    </row>
    <row r="452" spans="1:9" s="737" customFormat="1">
      <c r="A452" s="738"/>
      <c r="B452" s="735" t="s">
        <v>5849</v>
      </c>
      <c r="C452" s="734">
        <v>1</v>
      </c>
      <c r="D452" s="734">
        <v>1</v>
      </c>
      <c r="E452" s="739">
        <v>2.4</v>
      </c>
      <c r="F452" s="739">
        <v>2.0299999999999998</v>
      </c>
      <c r="G452" s="739">
        <v>0.35</v>
      </c>
      <c r="H452" s="739">
        <f t="shared" si="45"/>
        <v>1.71</v>
      </c>
      <c r="I452" s="736"/>
    </row>
    <row r="453" spans="1:9" s="737" customFormat="1">
      <c r="A453" s="738"/>
      <c r="B453" s="735" t="s">
        <v>5959</v>
      </c>
      <c r="C453" s="734">
        <v>1</v>
      </c>
      <c r="D453" s="734">
        <v>1</v>
      </c>
      <c r="E453" s="739">
        <v>6.43</v>
      </c>
      <c r="F453" s="739">
        <v>2.4</v>
      </c>
      <c r="G453" s="739">
        <v>0.35</v>
      </c>
      <c r="H453" s="739">
        <f t="shared" si="45"/>
        <v>5.4</v>
      </c>
      <c r="I453" s="736"/>
    </row>
    <row r="454" spans="1:9" s="737" customFormat="1">
      <c r="A454" s="738"/>
      <c r="B454" s="735" t="s">
        <v>5960</v>
      </c>
      <c r="C454" s="734">
        <v>1</v>
      </c>
      <c r="D454" s="734">
        <v>1</v>
      </c>
      <c r="E454" s="739">
        <v>2.4</v>
      </c>
      <c r="F454" s="739">
        <v>1.39</v>
      </c>
      <c r="G454" s="739">
        <v>0.35</v>
      </c>
      <c r="H454" s="739">
        <f>PRODUCT(C454:G454)</f>
        <v>1.17</v>
      </c>
      <c r="I454" s="736"/>
    </row>
    <row r="455" spans="1:9" s="737" customFormat="1">
      <c r="A455" s="738"/>
      <c r="B455" s="735" t="s">
        <v>5961</v>
      </c>
      <c r="C455" s="734">
        <v>1</v>
      </c>
      <c r="D455" s="734">
        <v>1</v>
      </c>
      <c r="E455" s="739">
        <v>2.4</v>
      </c>
      <c r="F455" s="739">
        <v>1.5</v>
      </c>
      <c r="G455" s="739">
        <v>0.35</v>
      </c>
      <c r="H455" s="739">
        <f>PRODUCT(C455:G455)</f>
        <v>1.26</v>
      </c>
      <c r="I455" s="736"/>
    </row>
    <row r="456" spans="1:9" s="737" customFormat="1">
      <c r="A456" s="738"/>
      <c r="B456" s="735"/>
      <c r="C456" s="734"/>
      <c r="D456" s="734"/>
      <c r="E456" s="739"/>
      <c r="F456" s="739"/>
      <c r="G456" s="739"/>
      <c r="H456" s="739">
        <f>SUM(H445:H455)</f>
        <v>50.36</v>
      </c>
      <c r="I456" s="736"/>
    </row>
    <row r="457" spans="1:9" s="737" customFormat="1">
      <c r="A457" s="738"/>
      <c r="B457" s="735"/>
      <c r="C457" s="734"/>
      <c r="D457" s="734"/>
      <c r="E457" s="739"/>
      <c r="F457" s="739"/>
      <c r="G457" s="742" t="s">
        <v>4209</v>
      </c>
      <c r="H457" s="742">
        <f>ROUNDUP(H456,1)</f>
        <v>50.4</v>
      </c>
      <c r="I457" s="736" t="s">
        <v>2142</v>
      </c>
    </row>
    <row r="458" spans="1:9" ht="25.5" customHeight="1">
      <c r="A458" s="732" t="s">
        <v>5962</v>
      </c>
      <c r="B458" s="747" t="s">
        <v>5963</v>
      </c>
      <c r="C458" s="748"/>
      <c r="D458" s="748"/>
      <c r="E458" s="749"/>
      <c r="F458" s="749"/>
      <c r="G458" s="749"/>
      <c r="H458" s="739"/>
      <c r="I458" s="750"/>
    </row>
    <row r="459" spans="1:9" s="731" customFormat="1">
      <c r="A459" s="730" t="s">
        <v>2598</v>
      </c>
      <c r="B459" s="751" t="s">
        <v>5845</v>
      </c>
      <c r="C459" s="1189"/>
      <c r="D459" s="1189"/>
      <c r="E459" s="752"/>
      <c r="F459" s="752"/>
      <c r="G459" s="752"/>
      <c r="H459" s="742"/>
      <c r="I459" s="750"/>
    </row>
    <row r="460" spans="1:9">
      <c r="A460" s="753"/>
      <c r="B460" s="754" t="s">
        <v>5964</v>
      </c>
      <c r="C460" s="748"/>
      <c r="D460" s="748"/>
      <c r="E460" s="749"/>
      <c r="F460" s="749"/>
      <c r="G460" s="749"/>
      <c r="H460" s="739"/>
      <c r="I460" s="750"/>
    </row>
    <row r="461" spans="1:9">
      <c r="A461" s="753"/>
      <c r="B461" s="754" t="s">
        <v>5965</v>
      </c>
      <c r="C461" s="748">
        <v>2</v>
      </c>
      <c r="D461" s="748">
        <v>4</v>
      </c>
      <c r="E461" s="749">
        <v>1.25</v>
      </c>
      <c r="F461" s="749">
        <v>0.6</v>
      </c>
      <c r="G461" s="749"/>
      <c r="H461" s="739">
        <f>PRODUCT(C461:G461)</f>
        <v>6</v>
      </c>
      <c r="I461" s="750"/>
    </row>
    <row r="462" spans="1:9">
      <c r="A462" s="753"/>
      <c r="B462" s="754" t="s">
        <v>5966</v>
      </c>
      <c r="C462" s="748"/>
      <c r="D462" s="748"/>
      <c r="E462" s="749"/>
      <c r="F462" s="749"/>
      <c r="G462" s="749"/>
      <c r="H462" s="739"/>
      <c r="I462" s="750"/>
    </row>
    <row r="463" spans="1:9">
      <c r="A463" s="753"/>
      <c r="B463" s="754" t="s">
        <v>5967</v>
      </c>
      <c r="C463" s="748">
        <v>1</v>
      </c>
      <c r="D463" s="748">
        <v>4</v>
      </c>
      <c r="E463" s="749">
        <v>1.25</v>
      </c>
      <c r="F463" s="749">
        <v>0.45</v>
      </c>
      <c r="G463" s="749"/>
      <c r="H463" s="739">
        <f>PRODUCT(C463:G463)</f>
        <v>2.25</v>
      </c>
      <c r="I463" s="750"/>
    </row>
    <row r="464" spans="1:9">
      <c r="A464" s="753"/>
      <c r="B464" s="754" t="s">
        <v>5968</v>
      </c>
      <c r="C464" s="748">
        <v>1</v>
      </c>
      <c r="D464" s="748">
        <v>4</v>
      </c>
      <c r="E464" s="749">
        <v>1.05</v>
      </c>
      <c r="F464" s="749">
        <v>0.45</v>
      </c>
      <c r="G464" s="749"/>
      <c r="H464" s="739">
        <f>PRODUCT(C464:G464)</f>
        <v>1.89</v>
      </c>
      <c r="I464" s="750"/>
    </row>
    <row r="465" spans="1:9">
      <c r="A465" s="753"/>
      <c r="B465" s="754" t="s">
        <v>5969</v>
      </c>
      <c r="C465" s="748"/>
      <c r="D465" s="748"/>
      <c r="E465" s="749"/>
      <c r="F465" s="749"/>
      <c r="G465" s="749"/>
      <c r="H465" s="739"/>
      <c r="I465" s="750"/>
    </row>
    <row r="466" spans="1:9">
      <c r="A466" s="753"/>
      <c r="B466" s="754" t="s">
        <v>5967</v>
      </c>
      <c r="C466" s="748">
        <v>1</v>
      </c>
      <c r="D466" s="748">
        <v>4</v>
      </c>
      <c r="E466" s="749">
        <v>1.25</v>
      </c>
      <c r="F466" s="749">
        <v>0.41499999999999998</v>
      </c>
      <c r="G466" s="749"/>
      <c r="H466" s="739">
        <f>PRODUCT(C466:G466)</f>
        <v>2.08</v>
      </c>
      <c r="I466" s="750"/>
    </row>
    <row r="467" spans="1:9">
      <c r="A467" s="753"/>
      <c r="B467" s="754" t="s">
        <v>5967</v>
      </c>
      <c r="C467" s="748">
        <v>1</v>
      </c>
      <c r="D467" s="748">
        <v>4</v>
      </c>
      <c r="E467" s="749">
        <v>1.05</v>
      </c>
      <c r="F467" s="749">
        <v>0.41499999999999998</v>
      </c>
      <c r="G467" s="749"/>
      <c r="H467" s="739">
        <f>PRODUCT(C467:G467)</f>
        <v>1.74</v>
      </c>
      <c r="I467" s="750"/>
    </row>
    <row r="468" spans="1:9">
      <c r="A468" s="753"/>
      <c r="B468" s="754" t="s">
        <v>5968</v>
      </c>
      <c r="C468" s="748">
        <v>1</v>
      </c>
      <c r="D468" s="748">
        <v>4</v>
      </c>
      <c r="E468" s="749">
        <v>1</v>
      </c>
      <c r="F468" s="749">
        <v>0.3</v>
      </c>
      <c r="G468" s="749"/>
      <c r="H468" s="739">
        <f>PRODUCT(C468:G468)</f>
        <v>1.2</v>
      </c>
      <c r="I468" s="750"/>
    </row>
    <row r="469" spans="1:9">
      <c r="A469" s="753"/>
      <c r="B469" s="754" t="s">
        <v>5970</v>
      </c>
      <c r="C469" s="748">
        <v>2</v>
      </c>
      <c r="D469" s="748">
        <v>4</v>
      </c>
      <c r="E469" s="749">
        <v>1.05</v>
      </c>
      <c r="F469" s="749">
        <v>0.41499999999999998</v>
      </c>
      <c r="G469" s="749"/>
      <c r="H469" s="739">
        <f>PRODUCT(C469:G469)</f>
        <v>3.49</v>
      </c>
      <c r="I469" s="750"/>
    </row>
    <row r="470" spans="1:9">
      <c r="A470" s="730"/>
      <c r="B470" s="754"/>
      <c r="C470" s="1189"/>
      <c r="D470" s="1189"/>
      <c r="E470" s="752"/>
      <c r="F470" s="752"/>
      <c r="G470" s="749" t="s">
        <v>2235</v>
      </c>
      <c r="H470" s="739">
        <f>SUM(H474:H485)</f>
        <v>16.04</v>
      </c>
      <c r="I470" s="750"/>
    </row>
    <row r="471" spans="1:9">
      <c r="A471" s="732"/>
      <c r="B471" s="735"/>
      <c r="C471" s="746"/>
      <c r="D471" s="746"/>
      <c r="E471" s="742"/>
      <c r="F471" s="742"/>
      <c r="G471" s="742" t="s">
        <v>4209</v>
      </c>
      <c r="H471" s="742">
        <f>ROUNDUP(H470,1)</f>
        <v>16.100000000000001</v>
      </c>
      <c r="I471" s="736" t="s">
        <v>2273</v>
      </c>
    </row>
    <row r="472" spans="1:9">
      <c r="A472" s="753" t="s">
        <v>3182</v>
      </c>
      <c r="B472" s="754" t="s">
        <v>5884</v>
      </c>
      <c r="C472" s="748"/>
      <c r="D472" s="748"/>
      <c r="E472" s="749"/>
      <c r="F472" s="749"/>
      <c r="G472" s="749"/>
      <c r="H472" s="739"/>
      <c r="I472" s="750"/>
    </row>
    <row r="473" spans="1:9">
      <c r="A473" s="753"/>
      <c r="B473" s="754" t="s">
        <v>5971</v>
      </c>
      <c r="C473" s="748"/>
      <c r="D473" s="748"/>
      <c r="E473" s="749"/>
      <c r="F473" s="749"/>
      <c r="G473" s="749"/>
      <c r="H473" s="739"/>
      <c r="I473" s="750"/>
    </row>
    <row r="474" spans="1:9">
      <c r="A474" s="753"/>
      <c r="B474" s="754" t="s">
        <v>5972</v>
      </c>
      <c r="C474" s="748">
        <v>1</v>
      </c>
      <c r="D474" s="748">
        <v>2</v>
      </c>
      <c r="E474" s="749">
        <v>1.25</v>
      </c>
      <c r="F474" s="749">
        <v>0.6</v>
      </c>
      <c r="G474" s="749"/>
      <c r="H474" s="739">
        <f>PRODUCT(C474:G474)</f>
        <v>1.5</v>
      </c>
      <c r="I474" s="750"/>
    </row>
    <row r="475" spans="1:9">
      <c r="A475" s="753"/>
      <c r="B475" s="754" t="s">
        <v>5973</v>
      </c>
      <c r="C475" s="748">
        <v>1</v>
      </c>
      <c r="D475" s="748">
        <v>4</v>
      </c>
      <c r="E475" s="749">
        <v>1.05</v>
      </c>
      <c r="F475" s="749">
        <v>0.45</v>
      </c>
      <c r="G475" s="749"/>
      <c r="H475" s="739">
        <f>PRODUCT(C475:G475)</f>
        <v>1.89</v>
      </c>
      <c r="I475" s="750"/>
    </row>
    <row r="476" spans="1:9">
      <c r="A476" s="753"/>
      <c r="B476" s="754" t="s">
        <v>5974</v>
      </c>
      <c r="C476" s="748"/>
      <c r="D476" s="748"/>
      <c r="E476" s="749"/>
      <c r="F476" s="749"/>
      <c r="G476" s="749"/>
      <c r="H476" s="739"/>
      <c r="I476" s="750"/>
    </row>
    <row r="477" spans="1:9">
      <c r="A477" s="753"/>
      <c r="B477" s="754" t="s">
        <v>5975</v>
      </c>
      <c r="C477" s="748">
        <v>1</v>
      </c>
      <c r="D477" s="748">
        <v>2</v>
      </c>
      <c r="E477" s="749">
        <v>1.25</v>
      </c>
      <c r="F477" s="749">
        <v>0.6</v>
      </c>
      <c r="G477" s="749"/>
      <c r="H477" s="739">
        <f>PRODUCT(C477:G477)</f>
        <v>1.5</v>
      </c>
      <c r="I477" s="750"/>
    </row>
    <row r="478" spans="1:9">
      <c r="A478" s="753"/>
      <c r="B478" s="754" t="s">
        <v>5973</v>
      </c>
      <c r="C478" s="748">
        <v>1</v>
      </c>
      <c r="D478" s="748">
        <v>4</v>
      </c>
      <c r="E478" s="749">
        <v>0.95</v>
      </c>
      <c r="F478" s="749">
        <v>0.6</v>
      </c>
      <c r="G478" s="749"/>
      <c r="H478" s="739">
        <f>PRODUCT(C478:G478)</f>
        <v>2.2799999999999998</v>
      </c>
      <c r="I478" s="750"/>
    </row>
    <row r="479" spans="1:9">
      <c r="A479" s="753"/>
      <c r="B479" s="754" t="s">
        <v>5976</v>
      </c>
      <c r="C479" s="748">
        <v>2</v>
      </c>
      <c r="D479" s="748">
        <v>2</v>
      </c>
      <c r="E479" s="749">
        <v>0.95</v>
      </c>
      <c r="F479" s="749">
        <v>0.3</v>
      </c>
      <c r="G479" s="749"/>
      <c r="H479" s="739">
        <f>PRODUCT(C479:G479)</f>
        <v>1.1399999999999999</v>
      </c>
      <c r="I479" s="750"/>
    </row>
    <row r="480" spans="1:9">
      <c r="A480" s="753"/>
      <c r="B480" s="754" t="s">
        <v>5977</v>
      </c>
      <c r="C480" s="748"/>
      <c r="D480" s="748"/>
      <c r="E480" s="749"/>
      <c r="F480" s="749"/>
      <c r="G480" s="749"/>
      <c r="H480" s="739"/>
      <c r="I480" s="750"/>
    </row>
    <row r="481" spans="1:9">
      <c r="A481" s="753"/>
      <c r="B481" s="754" t="s">
        <v>5973</v>
      </c>
      <c r="C481" s="748">
        <v>1</v>
      </c>
      <c r="D481" s="748">
        <v>4</v>
      </c>
      <c r="E481" s="749">
        <v>0.95</v>
      </c>
      <c r="F481" s="749">
        <v>0.2</v>
      </c>
      <c r="G481" s="749"/>
      <c r="H481" s="739">
        <f>PRODUCT(C481:G481)</f>
        <v>0.76</v>
      </c>
      <c r="I481" s="750"/>
    </row>
    <row r="482" spans="1:9">
      <c r="A482" s="753"/>
      <c r="B482" s="754" t="s">
        <v>5973</v>
      </c>
      <c r="C482" s="748">
        <v>1</v>
      </c>
      <c r="D482" s="748">
        <v>4</v>
      </c>
      <c r="E482" s="749">
        <v>1.24</v>
      </c>
      <c r="F482" s="749">
        <v>0.45</v>
      </c>
      <c r="G482" s="749"/>
      <c r="H482" s="739">
        <f>PRODUCT(C482:G482)</f>
        <v>2.23</v>
      </c>
      <c r="I482" s="750"/>
    </row>
    <row r="483" spans="1:9">
      <c r="A483" s="753"/>
      <c r="B483" s="754" t="s">
        <v>5978</v>
      </c>
      <c r="C483" s="748"/>
      <c r="D483" s="748"/>
      <c r="E483" s="749"/>
      <c r="F483" s="749"/>
      <c r="G483" s="749"/>
      <c r="H483" s="739"/>
      <c r="I483" s="750"/>
    </row>
    <row r="484" spans="1:9">
      <c r="A484" s="753"/>
      <c r="B484" s="754" t="s">
        <v>5979</v>
      </c>
      <c r="C484" s="748">
        <v>1</v>
      </c>
      <c r="D484" s="748">
        <v>4</v>
      </c>
      <c r="E484" s="749">
        <v>0.77500000000000002</v>
      </c>
      <c r="F484" s="749">
        <v>0.6</v>
      </c>
      <c r="G484" s="749"/>
      <c r="H484" s="739">
        <f>PRODUCT(C484:G484)</f>
        <v>1.86</v>
      </c>
      <c r="I484" s="750"/>
    </row>
    <row r="485" spans="1:9">
      <c r="A485" s="753"/>
      <c r="B485" s="754" t="s">
        <v>5980</v>
      </c>
      <c r="C485" s="748">
        <v>1</v>
      </c>
      <c r="D485" s="748">
        <v>4</v>
      </c>
      <c r="E485" s="749">
        <v>1.2</v>
      </c>
      <c r="F485" s="749">
        <v>0.6</v>
      </c>
      <c r="G485" s="749"/>
      <c r="H485" s="739">
        <f>PRODUCT(C485:G485)</f>
        <v>2.88</v>
      </c>
      <c r="I485" s="750"/>
    </row>
    <row r="486" spans="1:9">
      <c r="A486" s="753"/>
      <c r="B486" s="754"/>
      <c r="C486" s="748"/>
      <c r="D486" s="748"/>
      <c r="E486" s="749"/>
      <c r="F486" s="749"/>
      <c r="G486" s="749" t="s">
        <v>2235</v>
      </c>
      <c r="H486" s="739">
        <f>SUM(H461:H469)</f>
        <v>18.649999999999999</v>
      </c>
      <c r="I486" s="750"/>
    </row>
    <row r="487" spans="1:9">
      <c r="A487" s="732"/>
      <c r="B487" s="735"/>
      <c r="C487" s="746"/>
      <c r="D487" s="746"/>
      <c r="E487" s="742"/>
      <c r="F487" s="742"/>
      <c r="G487" s="742" t="s">
        <v>4209</v>
      </c>
      <c r="H487" s="742">
        <f>ROUNDUP(H486,1)</f>
        <v>18.7</v>
      </c>
      <c r="I487" s="736" t="s">
        <v>2273</v>
      </c>
    </row>
    <row r="488" spans="1:9" s="737" customFormat="1" ht="47.25" customHeight="1">
      <c r="A488" s="732">
        <v>21.2</v>
      </c>
      <c r="B488" s="733" t="s">
        <v>5981</v>
      </c>
      <c r="C488" s="734"/>
      <c r="D488" s="734"/>
      <c r="E488" s="739"/>
      <c r="F488" s="739"/>
      <c r="G488" s="739"/>
      <c r="H488" s="739"/>
      <c r="I488" s="736"/>
    </row>
    <row r="489" spans="1:9" s="737" customFormat="1" ht="37.5">
      <c r="A489" s="732"/>
      <c r="B489" s="760" t="s">
        <v>5982</v>
      </c>
      <c r="C489" s="734"/>
      <c r="D489" s="734"/>
      <c r="E489" s="735"/>
      <c r="F489" s="735"/>
      <c r="G489" s="739"/>
      <c r="H489" s="739"/>
      <c r="I489" s="736"/>
    </row>
    <row r="490" spans="1:9" s="737" customFormat="1">
      <c r="A490" s="732"/>
      <c r="B490" s="761" t="s">
        <v>5983</v>
      </c>
      <c r="C490" s="762">
        <v>1</v>
      </c>
      <c r="D490" s="762">
        <v>2</v>
      </c>
      <c r="E490" s="763">
        <v>0.1</v>
      </c>
      <c r="F490" s="763">
        <v>0.15</v>
      </c>
      <c r="G490" s="764">
        <v>2.1</v>
      </c>
      <c r="H490" s="765">
        <f t="shared" ref="H490:H497" si="46">PRODUCT(C490:G490)</f>
        <v>6.3E-2</v>
      </c>
      <c r="I490" s="736"/>
    </row>
    <row r="491" spans="1:9" s="737" customFormat="1">
      <c r="A491" s="732"/>
      <c r="B491" s="761" t="s">
        <v>5984</v>
      </c>
      <c r="C491" s="762">
        <v>1</v>
      </c>
      <c r="D491" s="762">
        <v>2</v>
      </c>
      <c r="E491" s="763">
        <v>0.1</v>
      </c>
      <c r="F491" s="763">
        <v>0.15</v>
      </c>
      <c r="G491" s="764">
        <v>2.1</v>
      </c>
      <c r="H491" s="765">
        <f>PRODUCT(C491:G491)</f>
        <v>6.3E-2</v>
      </c>
      <c r="I491" s="736"/>
    </row>
    <row r="492" spans="1:9" s="737" customFormat="1">
      <c r="A492" s="732"/>
      <c r="B492" s="761" t="s">
        <v>5866</v>
      </c>
      <c r="C492" s="762">
        <v>2</v>
      </c>
      <c r="D492" s="762">
        <v>2</v>
      </c>
      <c r="E492" s="763">
        <v>0.1</v>
      </c>
      <c r="F492" s="763">
        <v>7.4999999999999997E-2</v>
      </c>
      <c r="G492" s="764">
        <v>2.1</v>
      </c>
      <c r="H492" s="765">
        <f t="shared" si="46"/>
        <v>6.3E-2</v>
      </c>
      <c r="I492" s="736"/>
    </row>
    <row r="493" spans="1:9" s="737" customFormat="1">
      <c r="A493" s="732"/>
      <c r="B493" s="761" t="s">
        <v>5798</v>
      </c>
      <c r="C493" s="762">
        <v>1</v>
      </c>
      <c r="D493" s="762">
        <v>2</v>
      </c>
      <c r="E493" s="763">
        <v>0.1</v>
      </c>
      <c r="F493" s="763">
        <v>7.4999999999999997E-2</v>
      </c>
      <c r="G493" s="764">
        <v>2.1</v>
      </c>
      <c r="H493" s="765">
        <f t="shared" si="46"/>
        <v>3.2000000000000001E-2</v>
      </c>
      <c r="I493" s="736"/>
    </row>
    <row r="494" spans="1:9" s="737" customFormat="1">
      <c r="A494" s="732"/>
      <c r="B494" s="761" t="s">
        <v>5985</v>
      </c>
      <c r="C494" s="762">
        <v>2</v>
      </c>
      <c r="D494" s="762">
        <v>2</v>
      </c>
      <c r="E494" s="763">
        <v>0.1</v>
      </c>
      <c r="F494" s="763">
        <v>7.4999999999999997E-2</v>
      </c>
      <c r="G494" s="764">
        <v>2.1</v>
      </c>
      <c r="H494" s="765">
        <f t="shared" si="46"/>
        <v>6.3E-2</v>
      </c>
      <c r="I494" s="736"/>
    </row>
    <row r="495" spans="1:9" s="737" customFormat="1">
      <c r="A495" s="732"/>
      <c r="B495" s="761" t="s">
        <v>5798</v>
      </c>
      <c r="C495" s="762">
        <v>4</v>
      </c>
      <c r="D495" s="762">
        <v>2</v>
      </c>
      <c r="E495" s="763">
        <v>0.1</v>
      </c>
      <c r="F495" s="763">
        <v>7.4999999999999997E-2</v>
      </c>
      <c r="G495" s="764">
        <v>2.1</v>
      </c>
      <c r="H495" s="765">
        <f t="shared" si="46"/>
        <v>0.126</v>
      </c>
      <c r="I495" s="736"/>
    </row>
    <row r="496" spans="1:9" s="737" customFormat="1">
      <c r="A496" s="732"/>
      <c r="B496" s="761" t="s">
        <v>5904</v>
      </c>
      <c r="C496" s="762">
        <v>1</v>
      </c>
      <c r="D496" s="762">
        <v>2</v>
      </c>
      <c r="E496" s="763">
        <v>0.1</v>
      </c>
      <c r="F496" s="763">
        <v>7.4999999999999997E-2</v>
      </c>
      <c r="G496" s="764">
        <v>2.1</v>
      </c>
      <c r="H496" s="765">
        <f t="shared" si="46"/>
        <v>3.2000000000000001E-2</v>
      </c>
      <c r="I496" s="736"/>
    </row>
    <row r="497" spans="1:9" s="737" customFormat="1">
      <c r="A497" s="732"/>
      <c r="B497" s="761" t="s">
        <v>5905</v>
      </c>
      <c r="C497" s="762">
        <v>2</v>
      </c>
      <c r="D497" s="762">
        <v>2</v>
      </c>
      <c r="E497" s="763">
        <v>0.1</v>
      </c>
      <c r="F497" s="763">
        <v>7.4999999999999997E-2</v>
      </c>
      <c r="G497" s="764">
        <v>2.1</v>
      </c>
      <c r="H497" s="765">
        <f t="shared" si="46"/>
        <v>6.3E-2</v>
      </c>
      <c r="I497" s="736"/>
    </row>
    <row r="498" spans="1:9" s="737" customFormat="1">
      <c r="A498" s="732"/>
      <c r="B498" s="733"/>
      <c r="C498" s="734"/>
      <c r="D498" s="734"/>
      <c r="E498" s="739"/>
      <c r="F498" s="739"/>
      <c r="G498" s="739" t="s">
        <v>2235</v>
      </c>
      <c r="H498" s="765">
        <f>SUM(H490:H497)</f>
        <v>0.505</v>
      </c>
      <c r="I498" s="736"/>
    </row>
    <row r="499" spans="1:9" s="737" customFormat="1">
      <c r="A499" s="732"/>
      <c r="B499" s="733"/>
      <c r="C499" s="734"/>
      <c r="D499" s="734"/>
      <c r="E499" s="739"/>
      <c r="F499" s="739"/>
      <c r="G499" s="742" t="s">
        <v>4209</v>
      </c>
      <c r="H499" s="766">
        <f>H498</f>
        <v>0.505</v>
      </c>
      <c r="I499" s="736" t="s">
        <v>2142</v>
      </c>
    </row>
    <row r="500" spans="1:9" s="737" customFormat="1" ht="31.5" customHeight="1">
      <c r="A500" s="732"/>
      <c r="B500" s="733" t="s">
        <v>5986</v>
      </c>
      <c r="C500" s="734"/>
      <c r="D500" s="734"/>
      <c r="E500" s="739"/>
      <c r="F500" s="739"/>
      <c r="G500" s="742"/>
      <c r="H500" s="742"/>
      <c r="I500" s="736"/>
    </row>
    <row r="501" spans="1:9" s="737" customFormat="1">
      <c r="A501" s="732"/>
      <c r="B501" s="761" t="s">
        <v>5987</v>
      </c>
      <c r="C501" s="762"/>
      <c r="D501" s="762"/>
      <c r="E501" s="761"/>
      <c r="F501" s="761"/>
      <c r="G501" s="739"/>
      <c r="H501" s="739"/>
      <c r="I501" s="736"/>
    </row>
    <row r="502" spans="1:9" s="737" customFormat="1">
      <c r="A502" s="732"/>
      <c r="B502" s="761" t="s">
        <v>5988</v>
      </c>
      <c r="C502" s="762">
        <v>1</v>
      </c>
      <c r="D502" s="762">
        <v>1</v>
      </c>
      <c r="E502" s="763">
        <v>1.5</v>
      </c>
      <c r="F502" s="763">
        <v>0.15</v>
      </c>
      <c r="G502" s="763">
        <v>0.1</v>
      </c>
      <c r="H502" s="765">
        <f>PRODUCT(C502:G502)</f>
        <v>2.3E-2</v>
      </c>
      <c r="I502" s="736"/>
    </row>
    <row r="503" spans="1:9" s="737" customFormat="1">
      <c r="A503" s="732"/>
      <c r="B503" s="761" t="s">
        <v>5989</v>
      </c>
      <c r="C503" s="762">
        <v>1</v>
      </c>
      <c r="D503" s="762">
        <v>1</v>
      </c>
      <c r="E503" s="763">
        <v>1.5</v>
      </c>
      <c r="F503" s="763">
        <v>0.15</v>
      </c>
      <c r="G503" s="763">
        <v>0.05</v>
      </c>
      <c r="H503" s="765">
        <f t="shared" ref="H503:H519" si="47">PRODUCT(C503:G503)</f>
        <v>1.0999999999999999E-2</v>
      </c>
      <c r="I503" s="736"/>
    </row>
    <row r="504" spans="1:9" s="737" customFormat="1">
      <c r="A504" s="732"/>
      <c r="B504" s="761" t="s">
        <v>5990</v>
      </c>
      <c r="C504" s="762">
        <v>1</v>
      </c>
      <c r="D504" s="762">
        <v>1</v>
      </c>
      <c r="E504" s="763">
        <v>1.2</v>
      </c>
      <c r="F504" s="763">
        <v>0.1</v>
      </c>
      <c r="G504" s="763">
        <v>7.4999999999999997E-2</v>
      </c>
      <c r="H504" s="765">
        <f t="shared" si="47"/>
        <v>8.9999999999999993E-3</v>
      </c>
      <c r="I504" s="736"/>
    </row>
    <row r="505" spans="1:9" s="737" customFormat="1">
      <c r="A505" s="732"/>
      <c r="B505" s="761" t="s">
        <v>5989</v>
      </c>
      <c r="C505" s="762">
        <v>1</v>
      </c>
      <c r="D505" s="762">
        <v>1</v>
      </c>
      <c r="E505" s="763">
        <v>1.2</v>
      </c>
      <c r="F505" s="763">
        <v>0.1</v>
      </c>
      <c r="G505" s="763">
        <v>0.05</v>
      </c>
      <c r="H505" s="765">
        <f t="shared" si="47"/>
        <v>6.0000000000000001E-3</v>
      </c>
      <c r="I505" s="736"/>
    </row>
    <row r="506" spans="1:9" s="737" customFormat="1">
      <c r="A506" s="732"/>
      <c r="B506" s="767" t="s">
        <v>5866</v>
      </c>
      <c r="C506" s="762">
        <v>1</v>
      </c>
      <c r="D506" s="762">
        <v>2</v>
      </c>
      <c r="E506" s="763">
        <v>1.2</v>
      </c>
      <c r="F506" s="763">
        <v>0.1</v>
      </c>
      <c r="G506" s="763">
        <v>7.4999999999999997E-2</v>
      </c>
      <c r="H506" s="765">
        <f t="shared" si="47"/>
        <v>1.7999999999999999E-2</v>
      </c>
      <c r="I506" s="736"/>
    </row>
    <row r="507" spans="1:9" s="737" customFormat="1">
      <c r="A507" s="732"/>
      <c r="B507" s="761" t="s">
        <v>5989</v>
      </c>
      <c r="C507" s="762">
        <v>1</v>
      </c>
      <c r="D507" s="762">
        <v>2</v>
      </c>
      <c r="E507" s="763">
        <v>1.2</v>
      </c>
      <c r="F507" s="763">
        <v>0.1</v>
      </c>
      <c r="G507" s="763">
        <v>0.05</v>
      </c>
      <c r="H507" s="765">
        <f t="shared" si="47"/>
        <v>1.2E-2</v>
      </c>
      <c r="I507" s="736"/>
    </row>
    <row r="508" spans="1:9" s="737" customFormat="1">
      <c r="A508" s="732"/>
      <c r="B508" s="761" t="s">
        <v>5798</v>
      </c>
      <c r="C508" s="762">
        <v>1</v>
      </c>
      <c r="D508" s="762">
        <v>1</v>
      </c>
      <c r="E508" s="763">
        <v>0.9</v>
      </c>
      <c r="F508" s="763">
        <v>0.1</v>
      </c>
      <c r="G508" s="763">
        <v>7.4999999999999997E-2</v>
      </c>
      <c r="H508" s="765">
        <f t="shared" si="47"/>
        <v>7.0000000000000001E-3</v>
      </c>
      <c r="I508" s="736"/>
    </row>
    <row r="509" spans="1:9" s="737" customFormat="1">
      <c r="A509" s="732"/>
      <c r="B509" s="761" t="s">
        <v>5989</v>
      </c>
      <c r="C509" s="762">
        <v>1</v>
      </c>
      <c r="D509" s="762">
        <v>1</v>
      </c>
      <c r="E509" s="763">
        <v>0.9</v>
      </c>
      <c r="F509" s="763">
        <v>0.1</v>
      </c>
      <c r="G509" s="763">
        <v>0.05</v>
      </c>
      <c r="H509" s="765">
        <f t="shared" si="47"/>
        <v>5.0000000000000001E-3</v>
      </c>
      <c r="I509" s="736"/>
    </row>
    <row r="510" spans="1:9" s="737" customFormat="1">
      <c r="A510" s="732"/>
      <c r="B510" s="761" t="s">
        <v>5991</v>
      </c>
      <c r="C510" s="762">
        <v>1</v>
      </c>
      <c r="D510" s="762">
        <v>1</v>
      </c>
      <c r="E510" s="763">
        <v>1.2</v>
      </c>
      <c r="F510" s="763">
        <v>0.1</v>
      </c>
      <c r="G510" s="763">
        <v>0.15</v>
      </c>
      <c r="H510" s="765">
        <f t="shared" si="47"/>
        <v>1.7999999999999999E-2</v>
      </c>
      <c r="I510" s="736"/>
    </row>
    <row r="511" spans="1:9" s="737" customFormat="1">
      <c r="A511" s="732"/>
      <c r="B511" s="761" t="s">
        <v>5992</v>
      </c>
      <c r="C511" s="762">
        <v>1</v>
      </c>
      <c r="D511" s="762">
        <v>1</v>
      </c>
      <c r="E511" s="763">
        <v>1.2</v>
      </c>
      <c r="F511" s="763">
        <v>0.15</v>
      </c>
      <c r="G511" s="763">
        <v>0.05</v>
      </c>
      <c r="H511" s="765">
        <f t="shared" si="47"/>
        <v>8.9999999999999993E-3</v>
      </c>
      <c r="I511" s="736"/>
    </row>
    <row r="512" spans="1:9" s="737" customFormat="1">
      <c r="A512" s="732"/>
      <c r="B512" s="761" t="s">
        <v>5993</v>
      </c>
      <c r="C512" s="762">
        <v>1</v>
      </c>
      <c r="D512" s="762">
        <v>1</v>
      </c>
      <c r="E512" s="763">
        <v>1.05</v>
      </c>
      <c r="F512" s="763">
        <v>0.1</v>
      </c>
      <c r="G512" s="763">
        <v>0.15</v>
      </c>
      <c r="H512" s="765">
        <f t="shared" si="47"/>
        <v>1.6E-2</v>
      </c>
      <c r="I512" s="736"/>
    </row>
    <row r="513" spans="1:9" s="737" customFormat="1">
      <c r="A513" s="732"/>
      <c r="B513" s="761" t="s">
        <v>5992</v>
      </c>
      <c r="C513" s="762">
        <v>1</v>
      </c>
      <c r="D513" s="762">
        <v>1</v>
      </c>
      <c r="E513" s="763">
        <v>1.05</v>
      </c>
      <c r="F513" s="763">
        <v>0.15</v>
      </c>
      <c r="G513" s="763">
        <v>0.05</v>
      </c>
      <c r="H513" s="765">
        <f t="shared" si="47"/>
        <v>8.0000000000000002E-3</v>
      </c>
      <c r="I513" s="736"/>
    </row>
    <row r="514" spans="1:9" s="737" customFormat="1">
      <c r="A514" s="732"/>
      <c r="B514" s="761" t="s">
        <v>5798</v>
      </c>
      <c r="C514" s="762">
        <v>1</v>
      </c>
      <c r="D514" s="762">
        <v>4</v>
      </c>
      <c r="E514" s="763">
        <v>0.9</v>
      </c>
      <c r="F514" s="763">
        <v>0.1</v>
      </c>
      <c r="G514" s="763">
        <v>7.4999999999999997E-2</v>
      </c>
      <c r="H514" s="765">
        <f t="shared" si="47"/>
        <v>2.7E-2</v>
      </c>
      <c r="I514" s="736"/>
    </row>
    <row r="515" spans="1:9" s="737" customFormat="1">
      <c r="A515" s="732"/>
      <c r="B515" s="761" t="s">
        <v>5989</v>
      </c>
      <c r="C515" s="762">
        <v>1</v>
      </c>
      <c r="D515" s="762">
        <v>4</v>
      </c>
      <c r="E515" s="763">
        <v>0.9</v>
      </c>
      <c r="F515" s="763">
        <v>0.1</v>
      </c>
      <c r="G515" s="763">
        <v>0.05</v>
      </c>
      <c r="H515" s="765">
        <f t="shared" si="47"/>
        <v>1.7999999999999999E-2</v>
      </c>
      <c r="I515" s="736"/>
    </row>
    <row r="516" spans="1:9" s="737" customFormat="1">
      <c r="A516" s="732"/>
      <c r="B516" s="761" t="s">
        <v>5904</v>
      </c>
      <c r="C516" s="762">
        <v>1</v>
      </c>
      <c r="D516" s="762">
        <v>1</v>
      </c>
      <c r="E516" s="763">
        <v>0.9</v>
      </c>
      <c r="F516" s="763">
        <v>0.1</v>
      </c>
      <c r="G516" s="763">
        <v>7.4999999999999997E-2</v>
      </c>
      <c r="H516" s="765">
        <f t="shared" si="47"/>
        <v>7.0000000000000001E-3</v>
      </c>
      <c r="I516" s="736"/>
    </row>
    <row r="517" spans="1:9" s="737" customFormat="1">
      <c r="A517" s="732"/>
      <c r="B517" s="761" t="s">
        <v>5989</v>
      </c>
      <c r="C517" s="762">
        <v>1</v>
      </c>
      <c r="D517" s="762">
        <v>1</v>
      </c>
      <c r="E517" s="763">
        <v>0.9</v>
      </c>
      <c r="F517" s="763">
        <v>0.1</v>
      </c>
      <c r="G517" s="763">
        <v>0.05</v>
      </c>
      <c r="H517" s="765">
        <f t="shared" si="47"/>
        <v>5.0000000000000001E-3</v>
      </c>
      <c r="I517" s="736"/>
    </row>
    <row r="518" spans="1:9" s="737" customFormat="1">
      <c r="A518" s="732"/>
      <c r="B518" s="761" t="s">
        <v>5905</v>
      </c>
      <c r="C518" s="762">
        <v>1</v>
      </c>
      <c r="D518" s="762">
        <v>1</v>
      </c>
      <c r="E518" s="763">
        <v>0.9</v>
      </c>
      <c r="F518" s="763">
        <v>0.1</v>
      </c>
      <c r="G518" s="763">
        <v>7.4999999999999997E-2</v>
      </c>
      <c r="H518" s="765">
        <f t="shared" si="47"/>
        <v>7.0000000000000001E-3</v>
      </c>
      <c r="I518" s="736"/>
    </row>
    <row r="519" spans="1:9" s="737" customFormat="1">
      <c r="A519" s="732"/>
      <c r="B519" s="761" t="s">
        <v>5989</v>
      </c>
      <c r="C519" s="762">
        <v>1</v>
      </c>
      <c r="D519" s="762">
        <v>1</v>
      </c>
      <c r="E519" s="763">
        <v>0.9</v>
      </c>
      <c r="F519" s="763">
        <v>0.1</v>
      </c>
      <c r="G519" s="763">
        <v>0.05</v>
      </c>
      <c r="H519" s="765">
        <f t="shared" si="47"/>
        <v>5.0000000000000001E-3</v>
      </c>
      <c r="I519" s="736"/>
    </row>
    <row r="520" spans="1:9" s="737" customFormat="1">
      <c r="A520" s="738"/>
      <c r="B520" s="735" t="s">
        <v>5870</v>
      </c>
      <c r="C520" s="734">
        <v>1</v>
      </c>
      <c r="D520" s="734">
        <v>2</v>
      </c>
      <c r="E520" s="739">
        <v>1.5</v>
      </c>
      <c r="F520" s="765">
        <v>7.4999999999999997E-2</v>
      </c>
      <c r="G520" s="763">
        <v>7.4999999999999997E-2</v>
      </c>
      <c r="H520" s="765">
        <f>PRODUCT(C520:G520)</f>
        <v>1.7000000000000001E-2</v>
      </c>
      <c r="I520" s="736"/>
    </row>
    <row r="521" spans="1:9" s="737" customFormat="1">
      <c r="A521" s="738"/>
      <c r="B521" s="735"/>
      <c r="C521" s="734">
        <v>1</v>
      </c>
      <c r="D521" s="734">
        <v>2</v>
      </c>
      <c r="E521" s="739">
        <v>2</v>
      </c>
      <c r="F521" s="765">
        <v>7.4999999999999997E-2</v>
      </c>
      <c r="G521" s="763">
        <v>7.4999999999999997E-2</v>
      </c>
      <c r="H521" s="765">
        <f>PRODUCT(C521:G521)</f>
        <v>2.3E-2</v>
      </c>
      <c r="I521" s="736"/>
    </row>
    <row r="522" spans="1:9" s="737" customFormat="1">
      <c r="A522" s="738"/>
      <c r="B522" s="735" t="s">
        <v>5871</v>
      </c>
      <c r="C522" s="734">
        <v>1</v>
      </c>
      <c r="D522" s="734">
        <v>2</v>
      </c>
      <c r="E522" s="739">
        <v>0.9</v>
      </c>
      <c r="F522" s="765">
        <v>7.4999999999999997E-2</v>
      </c>
      <c r="G522" s="763">
        <v>7.4999999999999997E-2</v>
      </c>
      <c r="H522" s="765">
        <f>PRODUCT(C522:G522)</f>
        <v>0.01</v>
      </c>
      <c r="I522" s="736"/>
    </row>
    <row r="523" spans="1:9" s="737" customFormat="1">
      <c r="A523" s="738"/>
      <c r="B523" s="735"/>
      <c r="C523" s="734">
        <v>1</v>
      </c>
      <c r="D523" s="734">
        <v>2</v>
      </c>
      <c r="E523" s="739">
        <v>2</v>
      </c>
      <c r="F523" s="765">
        <v>7.4999999999999997E-2</v>
      </c>
      <c r="G523" s="763">
        <v>7.4999999999999997E-2</v>
      </c>
      <c r="H523" s="765">
        <f>PRODUCT(C523:G523)</f>
        <v>2.3E-2</v>
      </c>
      <c r="I523" s="736"/>
    </row>
    <row r="524" spans="1:9" s="737" customFormat="1">
      <c r="A524" s="738"/>
      <c r="B524" s="735"/>
      <c r="C524" s="734"/>
      <c r="D524" s="734"/>
      <c r="E524" s="739"/>
      <c r="F524" s="739"/>
      <c r="G524" s="739" t="s">
        <v>2235</v>
      </c>
      <c r="H524" s="765">
        <f>SUM(H502:H523)</f>
        <v>0.28399999999999997</v>
      </c>
      <c r="I524" s="736"/>
    </row>
    <row r="525" spans="1:9" s="737" customFormat="1">
      <c r="A525" s="738"/>
      <c r="B525" s="735"/>
      <c r="C525" s="734"/>
      <c r="D525" s="734"/>
      <c r="E525" s="739"/>
      <c r="F525" s="739"/>
      <c r="G525" s="742" t="s">
        <v>4209</v>
      </c>
      <c r="H525" s="766">
        <f>H524</f>
        <v>0.28399999999999997</v>
      </c>
      <c r="I525" s="736" t="s">
        <v>2142</v>
      </c>
    </row>
    <row r="526" spans="1:9" ht="44.25" customHeight="1">
      <c r="A526" s="732">
        <v>23.3</v>
      </c>
      <c r="B526" s="747" t="s">
        <v>5994</v>
      </c>
      <c r="C526" s="748"/>
      <c r="D526" s="748"/>
      <c r="E526" s="749"/>
      <c r="F526" s="749"/>
      <c r="G526" s="749"/>
      <c r="H526" s="739"/>
      <c r="I526" s="750"/>
    </row>
    <row r="527" spans="1:9">
      <c r="A527" s="753"/>
      <c r="B527" s="754" t="s">
        <v>5864</v>
      </c>
      <c r="C527" s="748">
        <v>1</v>
      </c>
      <c r="D527" s="748">
        <v>2</v>
      </c>
      <c r="E527" s="749"/>
      <c r="F527" s="749"/>
      <c r="G527" s="749"/>
      <c r="H527" s="739">
        <f>PRODUCT(C527:G527)</f>
        <v>2</v>
      </c>
      <c r="I527" s="750"/>
    </row>
    <row r="528" spans="1:9">
      <c r="A528" s="753"/>
      <c r="B528" s="754" t="s">
        <v>5865</v>
      </c>
      <c r="C528" s="748">
        <v>1</v>
      </c>
      <c r="D528" s="748">
        <v>1</v>
      </c>
      <c r="E528" s="749"/>
      <c r="F528" s="749"/>
      <c r="G528" s="749"/>
      <c r="H528" s="739">
        <f>PRODUCT(C528:G528)</f>
        <v>1</v>
      </c>
      <c r="I528" s="750"/>
    </row>
    <row r="529" spans="1:9">
      <c r="A529" s="753"/>
      <c r="B529" s="754" t="s">
        <v>5903</v>
      </c>
      <c r="C529" s="748">
        <v>1</v>
      </c>
      <c r="D529" s="748">
        <v>1</v>
      </c>
      <c r="E529" s="749"/>
      <c r="F529" s="749"/>
      <c r="G529" s="749"/>
      <c r="H529" s="739">
        <f>PRODUCT(C529:G529)</f>
        <v>1</v>
      </c>
      <c r="I529" s="750"/>
    </row>
    <row r="530" spans="1:9">
      <c r="A530" s="753"/>
      <c r="B530" s="754" t="s">
        <v>5798</v>
      </c>
      <c r="C530" s="748">
        <v>1</v>
      </c>
      <c r="D530" s="748">
        <v>5</v>
      </c>
      <c r="E530" s="749"/>
      <c r="F530" s="749"/>
      <c r="G530" s="749"/>
      <c r="H530" s="739">
        <f>PRODUCT(C530:G530)</f>
        <v>5</v>
      </c>
      <c r="I530" s="750"/>
    </row>
    <row r="531" spans="1:9">
      <c r="A531" s="753"/>
      <c r="B531" s="754" t="s">
        <v>5866</v>
      </c>
      <c r="C531" s="748">
        <v>1</v>
      </c>
      <c r="D531" s="748">
        <v>2</v>
      </c>
      <c r="E531" s="749"/>
      <c r="F531" s="749"/>
      <c r="G531" s="749"/>
      <c r="H531" s="739">
        <f t="shared" ref="H531:H533" si="48">PRODUCT(C531:G531)</f>
        <v>2</v>
      </c>
      <c r="I531" s="750"/>
    </row>
    <row r="532" spans="1:9">
      <c r="A532" s="753"/>
      <c r="B532" s="754" t="s">
        <v>5904</v>
      </c>
      <c r="C532" s="748">
        <v>1</v>
      </c>
      <c r="D532" s="748">
        <v>1</v>
      </c>
      <c r="E532" s="749"/>
      <c r="F532" s="749"/>
      <c r="G532" s="749"/>
      <c r="H532" s="739">
        <f t="shared" si="48"/>
        <v>1</v>
      </c>
      <c r="I532" s="750"/>
    </row>
    <row r="533" spans="1:9">
      <c r="A533" s="753"/>
      <c r="B533" s="754" t="s">
        <v>5905</v>
      </c>
      <c r="C533" s="748">
        <v>1</v>
      </c>
      <c r="D533" s="748">
        <v>2</v>
      </c>
      <c r="E533" s="749"/>
      <c r="F533" s="749"/>
      <c r="G533" s="749"/>
      <c r="H533" s="739">
        <f t="shared" si="48"/>
        <v>2</v>
      </c>
      <c r="I533" s="750"/>
    </row>
    <row r="534" spans="1:9">
      <c r="A534" s="753"/>
      <c r="B534" s="754"/>
      <c r="C534" s="748"/>
      <c r="D534" s="748"/>
      <c r="E534" s="749"/>
      <c r="F534" s="749"/>
      <c r="G534" s="752" t="s">
        <v>2235</v>
      </c>
      <c r="H534" s="742">
        <f>SUM(H527:H533)</f>
        <v>14</v>
      </c>
      <c r="I534" s="750" t="s">
        <v>1427</v>
      </c>
    </row>
    <row r="535" spans="1:9" ht="34.5" customHeight="1">
      <c r="A535" s="732">
        <v>25</v>
      </c>
      <c r="B535" s="747" t="s">
        <v>5995</v>
      </c>
      <c r="C535" s="748"/>
      <c r="D535" s="748"/>
      <c r="E535" s="749"/>
      <c r="F535" s="749"/>
      <c r="G535" s="749"/>
      <c r="H535" s="739"/>
      <c r="I535" s="750"/>
    </row>
    <row r="536" spans="1:9">
      <c r="A536" s="753"/>
      <c r="B536" s="754" t="s">
        <v>5864</v>
      </c>
      <c r="C536" s="748">
        <v>6</v>
      </c>
      <c r="D536" s="748">
        <v>2</v>
      </c>
      <c r="E536" s="749"/>
      <c r="F536" s="749"/>
      <c r="G536" s="749"/>
      <c r="H536" s="739">
        <f t="shared" ref="H536:H542" si="49">PRODUCT(C536:G536)</f>
        <v>12</v>
      </c>
      <c r="I536" s="750"/>
    </row>
    <row r="537" spans="1:9">
      <c r="A537" s="753"/>
      <c r="B537" s="754" t="s">
        <v>5865</v>
      </c>
      <c r="C537" s="748">
        <v>6</v>
      </c>
      <c r="D537" s="748">
        <v>1</v>
      </c>
      <c r="E537" s="749"/>
      <c r="F537" s="749"/>
      <c r="G537" s="749"/>
      <c r="H537" s="739">
        <f t="shared" si="49"/>
        <v>6</v>
      </c>
      <c r="I537" s="750"/>
    </row>
    <row r="538" spans="1:9">
      <c r="A538" s="753"/>
      <c r="B538" s="754" t="s">
        <v>5903</v>
      </c>
      <c r="C538" s="748">
        <v>6</v>
      </c>
      <c r="D538" s="748">
        <v>1</v>
      </c>
      <c r="E538" s="749"/>
      <c r="F538" s="749"/>
      <c r="G538" s="749"/>
      <c r="H538" s="739">
        <f t="shared" si="49"/>
        <v>6</v>
      </c>
      <c r="I538" s="750"/>
    </row>
    <row r="539" spans="1:9">
      <c r="A539" s="753"/>
      <c r="B539" s="754" t="s">
        <v>5798</v>
      </c>
      <c r="C539" s="748">
        <v>6</v>
      </c>
      <c r="D539" s="748">
        <v>5</v>
      </c>
      <c r="E539" s="749"/>
      <c r="F539" s="749"/>
      <c r="G539" s="749"/>
      <c r="H539" s="739">
        <f t="shared" si="49"/>
        <v>30</v>
      </c>
      <c r="I539" s="750"/>
    </row>
    <row r="540" spans="1:9">
      <c r="A540" s="753"/>
      <c r="B540" s="754" t="s">
        <v>5866</v>
      </c>
      <c r="C540" s="748">
        <v>6</v>
      </c>
      <c r="D540" s="748">
        <v>2</v>
      </c>
      <c r="E540" s="749"/>
      <c r="F540" s="749"/>
      <c r="G540" s="749"/>
      <c r="H540" s="739">
        <f t="shared" si="49"/>
        <v>12</v>
      </c>
      <c r="I540" s="750"/>
    </row>
    <row r="541" spans="1:9">
      <c r="A541" s="753"/>
      <c r="B541" s="754" t="s">
        <v>5904</v>
      </c>
      <c r="C541" s="748">
        <v>6</v>
      </c>
      <c r="D541" s="748">
        <v>1</v>
      </c>
      <c r="E541" s="749"/>
      <c r="F541" s="749"/>
      <c r="G541" s="749"/>
      <c r="H541" s="739">
        <f t="shared" si="49"/>
        <v>6</v>
      </c>
      <c r="I541" s="750"/>
    </row>
    <row r="542" spans="1:9">
      <c r="A542" s="753"/>
      <c r="B542" s="754" t="s">
        <v>5905</v>
      </c>
      <c r="C542" s="748">
        <v>6</v>
      </c>
      <c r="D542" s="748">
        <v>2</v>
      </c>
      <c r="E542" s="749"/>
      <c r="F542" s="749"/>
      <c r="G542" s="749"/>
      <c r="H542" s="739">
        <f t="shared" si="49"/>
        <v>12</v>
      </c>
      <c r="I542" s="750"/>
    </row>
    <row r="543" spans="1:9">
      <c r="A543" s="753"/>
      <c r="B543" s="754"/>
      <c r="C543" s="748"/>
      <c r="D543" s="748"/>
      <c r="E543" s="749"/>
      <c r="F543" s="749"/>
      <c r="G543" s="752" t="s">
        <v>2235</v>
      </c>
      <c r="H543" s="742">
        <f>SUM(H536:H542)</f>
        <v>84</v>
      </c>
      <c r="I543" s="750" t="s">
        <v>1427</v>
      </c>
    </row>
    <row r="544" spans="1:9" s="737" customFormat="1" ht="48.75" customHeight="1">
      <c r="A544" s="732">
        <v>26</v>
      </c>
      <c r="B544" s="733" t="s">
        <v>5996</v>
      </c>
      <c r="C544" s="734"/>
      <c r="D544" s="734"/>
      <c r="E544" s="739"/>
      <c r="F544" s="739"/>
      <c r="G544" s="739"/>
      <c r="H544" s="739"/>
      <c r="I544" s="736"/>
    </row>
    <row r="545" spans="1:9" s="737" customFormat="1">
      <c r="A545" s="738"/>
      <c r="B545" s="735" t="s">
        <v>5832</v>
      </c>
      <c r="C545" s="734">
        <v>1</v>
      </c>
      <c r="D545" s="734">
        <v>1</v>
      </c>
      <c r="E545" s="739">
        <v>3.6</v>
      </c>
      <c r="F545" s="739">
        <v>3.64</v>
      </c>
      <c r="G545" s="739">
        <v>0.1</v>
      </c>
      <c r="H545" s="739">
        <f>PRODUCT(C545:G545)</f>
        <v>1.31</v>
      </c>
      <c r="I545" s="736"/>
    </row>
    <row r="546" spans="1:9" s="737" customFormat="1">
      <c r="A546" s="738"/>
      <c r="B546" s="735" t="s">
        <v>5833</v>
      </c>
      <c r="C546" s="734">
        <v>1</v>
      </c>
      <c r="D546" s="734">
        <v>1</v>
      </c>
      <c r="E546" s="739">
        <v>1.44</v>
      </c>
      <c r="F546" s="739">
        <v>1.33</v>
      </c>
      <c r="G546" s="739">
        <v>0.1</v>
      </c>
      <c r="H546" s="739">
        <f>PRODUCT(C546:G546)</f>
        <v>0.19</v>
      </c>
      <c r="I546" s="736"/>
    </row>
    <row r="547" spans="1:9" s="737" customFormat="1">
      <c r="A547" s="738"/>
      <c r="B547" s="735" t="s">
        <v>5834</v>
      </c>
      <c r="C547" s="734">
        <v>1</v>
      </c>
      <c r="D547" s="734">
        <v>1</v>
      </c>
      <c r="E547" s="739">
        <v>1.44</v>
      </c>
      <c r="F547" s="739">
        <v>0.68</v>
      </c>
      <c r="G547" s="739">
        <v>0.1</v>
      </c>
      <c r="H547" s="739">
        <f t="shared" ref="H547:H561" si="50">PRODUCT(C547:G547)</f>
        <v>0.1</v>
      </c>
      <c r="I547" s="736"/>
    </row>
    <row r="548" spans="1:9" s="737" customFormat="1">
      <c r="A548" s="738"/>
      <c r="B548" s="735" t="s">
        <v>5835</v>
      </c>
      <c r="C548" s="734">
        <v>1</v>
      </c>
      <c r="D548" s="734">
        <v>1</v>
      </c>
      <c r="E548" s="739">
        <v>1.44</v>
      </c>
      <c r="F548" s="739">
        <v>1.06</v>
      </c>
      <c r="G548" s="739">
        <v>0.1</v>
      </c>
      <c r="H548" s="739">
        <f t="shared" si="50"/>
        <v>0.15</v>
      </c>
      <c r="I548" s="736"/>
    </row>
    <row r="549" spans="1:9" s="737" customFormat="1">
      <c r="A549" s="738"/>
      <c r="B549" s="735" t="s">
        <v>5836</v>
      </c>
      <c r="C549" s="734">
        <v>1</v>
      </c>
      <c r="D549" s="734">
        <v>1</v>
      </c>
      <c r="E549" s="739">
        <v>1.29</v>
      </c>
      <c r="F549" s="739">
        <v>1.33</v>
      </c>
      <c r="G549" s="739">
        <v>0.1</v>
      </c>
      <c r="H549" s="739">
        <f t="shared" si="50"/>
        <v>0.17</v>
      </c>
      <c r="I549" s="736"/>
    </row>
    <row r="550" spans="1:9" s="737" customFormat="1">
      <c r="A550" s="738"/>
      <c r="B550" s="735" t="s">
        <v>5835</v>
      </c>
      <c r="C550" s="734">
        <v>1</v>
      </c>
      <c r="D550" s="734">
        <v>1</v>
      </c>
      <c r="E550" s="739">
        <v>1.29</v>
      </c>
      <c r="F550" s="739">
        <f>0.68+0.23+1.058</f>
        <v>1.97</v>
      </c>
      <c r="G550" s="739">
        <v>0.1</v>
      </c>
      <c r="H550" s="739">
        <f t="shared" si="50"/>
        <v>0.25</v>
      </c>
      <c r="I550" s="736"/>
    </row>
    <row r="551" spans="1:9" s="737" customFormat="1">
      <c r="A551" s="738"/>
      <c r="B551" s="735" t="s">
        <v>5837</v>
      </c>
      <c r="C551" s="734">
        <v>1</v>
      </c>
      <c r="D551" s="734">
        <v>1</v>
      </c>
      <c r="E551" s="739">
        <v>3.6</v>
      </c>
      <c r="F551" s="739">
        <v>3.49</v>
      </c>
      <c r="G551" s="739">
        <v>0.1</v>
      </c>
      <c r="H551" s="739">
        <f t="shared" si="50"/>
        <v>1.26</v>
      </c>
      <c r="I551" s="736"/>
    </row>
    <row r="552" spans="1:9" s="737" customFormat="1">
      <c r="A552" s="738"/>
      <c r="B552" s="735" t="s">
        <v>5838</v>
      </c>
      <c r="C552" s="734">
        <v>1</v>
      </c>
      <c r="D552" s="734">
        <v>1</v>
      </c>
      <c r="E552" s="739">
        <v>3.52</v>
      </c>
      <c r="F552" s="739">
        <v>3.64</v>
      </c>
      <c r="G552" s="739">
        <v>0.1</v>
      </c>
      <c r="H552" s="739">
        <f t="shared" si="50"/>
        <v>1.28</v>
      </c>
      <c r="I552" s="736"/>
    </row>
    <row r="553" spans="1:9" s="737" customFormat="1">
      <c r="A553" s="738"/>
      <c r="B553" s="735" t="s">
        <v>5838</v>
      </c>
      <c r="C553" s="734">
        <v>1</v>
      </c>
      <c r="D553" s="734">
        <v>1</v>
      </c>
      <c r="E553" s="739">
        <v>2.78</v>
      </c>
      <c r="F553" s="739">
        <v>3.64</v>
      </c>
      <c r="G553" s="739">
        <v>0.1</v>
      </c>
      <c r="H553" s="739">
        <f t="shared" si="50"/>
        <v>1.01</v>
      </c>
      <c r="I553" s="736"/>
    </row>
    <row r="554" spans="1:9" s="737" customFormat="1">
      <c r="A554" s="738"/>
      <c r="B554" s="735" t="s">
        <v>5838</v>
      </c>
      <c r="C554" s="734">
        <v>1</v>
      </c>
      <c r="D554" s="734">
        <v>1</v>
      </c>
      <c r="E554" s="739">
        <v>3.52</v>
      </c>
      <c r="F554" s="739">
        <v>3.63</v>
      </c>
      <c r="G554" s="739">
        <v>0.1</v>
      </c>
      <c r="H554" s="739">
        <f t="shared" si="50"/>
        <v>1.28</v>
      </c>
      <c r="I554" s="736"/>
    </row>
    <row r="555" spans="1:9" s="737" customFormat="1">
      <c r="A555" s="738"/>
      <c r="B555" s="735" t="s">
        <v>5838</v>
      </c>
      <c r="C555" s="734">
        <v>1</v>
      </c>
      <c r="D555" s="734">
        <v>1</v>
      </c>
      <c r="E555" s="739">
        <v>2.78</v>
      </c>
      <c r="F555" s="739">
        <v>3.63</v>
      </c>
      <c r="G555" s="739">
        <v>0.1</v>
      </c>
      <c r="H555" s="739">
        <f t="shared" si="50"/>
        <v>1.01</v>
      </c>
      <c r="I555" s="736"/>
    </row>
    <row r="556" spans="1:9" s="737" customFormat="1">
      <c r="A556" s="738"/>
      <c r="B556" s="735" t="s">
        <v>5838</v>
      </c>
      <c r="C556" s="734">
        <v>1</v>
      </c>
      <c r="D556" s="734">
        <v>1</v>
      </c>
      <c r="E556" s="739">
        <v>3.52</v>
      </c>
      <c r="F556" s="739">
        <v>1.35</v>
      </c>
      <c r="G556" s="739">
        <v>0.1</v>
      </c>
      <c r="H556" s="739">
        <f t="shared" si="50"/>
        <v>0.48</v>
      </c>
      <c r="I556" s="736"/>
    </row>
    <row r="557" spans="1:9" s="737" customFormat="1">
      <c r="A557" s="738"/>
      <c r="B557" s="735" t="s">
        <v>5839</v>
      </c>
      <c r="C557" s="734">
        <v>1</v>
      </c>
      <c r="D557" s="734">
        <v>1</v>
      </c>
      <c r="E557" s="739">
        <v>3.52</v>
      </c>
      <c r="F557" s="739">
        <f>1.24+1.95+0.23</f>
        <v>3.42</v>
      </c>
      <c r="G557" s="739">
        <v>0.1</v>
      </c>
      <c r="H557" s="739">
        <f t="shared" si="50"/>
        <v>1.2</v>
      </c>
      <c r="I557" s="736"/>
    </row>
    <row r="558" spans="1:9" s="737" customFormat="1">
      <c r="A558" s="738"/>
      <c r="B558" s="735" t="s">
        <v>5840</v>
      </c>
      <c r="C558" s="734">
        <v>1</v>
      </c>
      <c r="D558" s="734">
        <v>1</v>
      </c>
      <c r="E558" s="739">
        <v>2.78</v>
      </c>
      <c r="F558" s="739">
        <v>4.25</v>
      </c>
      <c r="G558" s="739">
        <v>0.1</v>
      </c>
      <c r="H558" s="739">
        <f t="shared" si="50"/>
        <v>1.18</v>
      </c>
      <c r="I558" s="736"/>
    </row>
    <row r="559" spans="1:9" s="737" customFormat="1">
      <c r="A559" s="738"/>
      <c r="B559" s="735" t="s">
        <v>5841</v>
      </c>
      <c r="C559" s="734">
        <v>1</v>
      </c>
      <c r="D559" s="734">
        <v>1</v>
      </c>
      <c r="E559" s="739">
        <v>2.4</v>
      </c>
      <c r="F559" s="739">
        <f>4.92+0.23+0.52</f>
        <v>5.67</v>
      </c>
      <c r="G559" s="739">
        <v>0.1</v>
      </c>
      <c r="H559" s="739">
        <f t="shared" si="50"/>
        <v>1.36</v>
      </c>
      <c r="I559" s="736"/>
    </row>
    <row r="560" spans="1:9" s="737" customFormat="1">
      <c r="A560" s="738"/>
      <c r="B560" s="735" t="s">
        <v>5842</v>
      </c>
      <c r="C560" s="734">
        <v>1</v>
      </c>
      <c r="D560" s="734">
        <v>1</v>
      </c>
      <c r="E560" s="739">
        <v>2.4</v>
      </c>
      <c r="F560" s="739">
        <f>1.177+1.442+0.23</f>
        <v>2.85</v>
      </c>
      <c r="G560" s="739">
        <v>0.1</v>
      </c>
      <c r="H560" s="739">
        <f t="shared" si="50"/>
        <v>0.68</v>
      </c>
      <c r="I560" s="736"/>
    </row>
    <row r="561" spans="1:9" s="737" customFormat="1">
      <c r="A561" s="738"/>
      <c r="B561" s="735" t="s">
        <v>5843</v>
      </c>
      <c r="C561" s="734">
        <v>1</v>
      </c>
      <c r="D561" s="734">
        <v>1</v>
      </c>
      <c r="E561" s="739">
        <v>2.4</v>
      </c>
      <c r="F561" s="739">
        <f>1.177+0.23+1.592</f>
        <v>3</v>
      </c>
      <c r="G561" s="739">
        <v>0.1</v>
      </c>
      <c r="H561" s="739">
        <f t="shared" si="50"/>
        <v>0.72</v>
      </c>
      <c r="I561" s="736"/>
    </row>
    <row r="562" spans="1:9" s="737" customFormat="1">
      <c r="A562" s="738"/>
      <c r="B562" s="735"/>
      <c r="C562" s="734"/>
      <c r="D562" s="734"/>
      <c r="E562" s="739"/>
      <c r="F562" s="739"/>
      <c r="G562" s="739"/>
      <c r="H562" s="739">
        <f>SUM(H545:H561)</f>
        <v>13.63</v>
      </c>
      <c r="I562" s="736"/>
    </row>
    <row r="563" spans="1:9" s="737" customFormat="1">
      <c r="A563" s="732"/>
      <c r="B563" s="735"/>
      <c r="C563" s="746"/>
      <c r="D563" s="746"/>
      <c r="E563" s="742"/>
      <c r="F563" s="742"/>
      <c r="G563" s="742" t="s">
        <v>4209</v>
      </c>
      <c r="H563" s="742">
        <f>ROUNDUP(H562,1)</f>
        <v>13.7</v>
      </c>
      <c r="I563" s="736" t="s">
        <v>2142</v>
      </c>
    </row>
    <row r="564" spans="1:9" ht="48.75" customHeight="1">
      <c r="A564" s="730">
        <v>28</v>
      </c>
      <c r="B564" s="747" t="s">
        <v>5997</v>
      </c>
      <c r="C564" s="748"/>
      <c r="D564" s="748"/>
      <c r="E564" s="749"/>
      <c r="F564" s="749"/>
      <c r="G564" s="749"/>
      <c r="H564" s="739"/>
      <c r="I564" s="750"/>
    </row>
    <row r="565" spans="1:9">
      <c r="A565" s="753"/>
      <c r="B565" s="754" t="s">
        <v>5998</v>
      </c>
      <c r="C565" s="748">
        <v>1</v>
      </c>
      <c r="D565" s="748">
        <v>12</v>
      </c>
      <c r="E565" s="749">
        <v>1.06</v>
      </c>
      <c r="F565" s="749">
        <v>1.06</v>
      </c>
      <c r="G565" s="749"/>
      <c r="H565" s="739">
        <f>PRODUCT(C565:G565)</f>
        <v>13.48</v>
      </c>
      <c r="I565" s="750"/>
    </row>
    <row r="566" spans="1:9">
      <c r="A566" s="753"/>
      <c r="B566" s="754"/>
      <c r="C566" s="748"/>
      <c r="D566" s="748"/>
      <c r="E566" s="749"/>
      <c r="F566" s="749"/>
      <c r="G566" s="749"/>
      <c r="H566" s="742">
        <f>SUM(H565:H565)</f>
        <v>13.48</v>
      </c>
      <c r="I566" s="750"/>
    </row>
    <row r="567" spans="1:9">
      <c r="A567" s="732"/>
      <c r="B567" s="735"/>
      <c r="C567" s="746"/>
      <c r="D567" s="746"/>
      <c r="E567" s="742"/>
      <c r="F567" s="742"/>
      <c r="G567" s="742" t="s">
        <v>4209</v>
      </c>
      <c r="H567" s="742">
        <f>ROUNDUP(H566,1)</f>
        <v>13.5</v>
      </c>
      <c r="I567" s="736" t="s">
        <v>2273</v>
      </c>
    </row>
    <row r="568" spans="1:9" ht="26.25" customHeight="1">
      <c r="A568" s="732">
        <v>31</v>
      </c>
      <c r="B568" s="749" t="s">
        <v>1697</v>
      </c>
      <c r="C568" s="748"/>
      <c r="D568" s="748"/>
      <c r="E568" s="749"/>
      <c r="F568" s="749"/>
      <c r="G568" s="749"/>
      <c r="H568" s="739"/>
      <c r="I568" s="750"/>
    </row>
    <row r="569" spans="1:9">
      <c r="A569" s="753"/>
      <c r="B569" s="754" t="s">
        <v>5999</v>
      </c>
      <c r="C569" s="748">
        <v>1</v>
      </c>
      <c r="D569" s="748">
        <v>1</v>
      </c>
      <c r="E569" s="749">
        <v>2.4</v>
      </c>
      <c r="F569" s="749">
        <f>1.65+0.115+1.8+0.115</f>
        <v>3.68</v>
      </c>
      <c r="G569" s="749">
        <v>0.2</v>
      </c>
      <c r="H569" s="739">
        <f>PRODUCT(C569:G569)</f>
        <v>1.77</v>
      </c>
      <c r="I569" s="750"/>
    </row>
    <row r="570" spans="1:9">
      <c r="A570" s="753"/>
      <c r="B570" s="754" t="s">
        <v>6000</v>
      </c>
      <c r="C570" s="748">
        <v>1</v>
      </c>
      <c r="D570" s="748">
        <v>1</v>
      </c>
      <c r="E570" s="749">
        <v>2.37</v>
      </c>
      <c r="F570" s="749">
        <v>1.5</v>
      </c>
      <c r="G570" s="749">
        <v>0.2</v>
      </c>
      <c r="H570" s="739">
        <f>PRODUCT(C570:G570)</f>
        <v>0.71</v>
      </c>
      <c r="I570" s="750"/>
    </row>
    <row r="571" spans="1:9">
      <c r="A571" s="753"/>
      <c r="B571" s="754" t="s">
        <v>5836</v>
      </c>
      <c r="C571" s="748">
        <v>1</v>
      </c>
      <c r="D571" s="748">
        <v>1</v>
      </c>
      <c r="E571" s="749">
        <v>1.5</v>
      </c>
      <c r="F571" s="749">
        <v>1.35</v>
      </c>
      <c r="G571" s="749">
        <v>0.35</v>
      </c>
      <c r="H571" s="739">
        <f>PRODUCT(C571:G571)</f>
        <v>0.71</v>
      </c>
      <c r="I571" s="750"/>
    </row>
    <row r="572" spans="1:9">
      <c r="A572" s="753"/>
      <c r="B572" s="754" t="s">
        <v>6001</v>
      </c>
      <c r="C572" s="748">
        <v>1</v>
      </c>
      <c r="D572" s="748">
        <v>1</v>
      </c>
      <c r="E572" s="749">
        <v>12.44</v>
      </c>
      <c r="F572" s="749">
        <v>13.45</v>
      </c>
      <c r="G572" s="749">
        <v>0.08</v>
      </c>
      <c r="H572" s="739">
        <f>PRODUCT(C572:G572)</f>
        <v>13.39</v>
      </c>
      <c r="I572" s="750"/>
    </row>
    <row r="573" spans="1:9">
      <c r="A573" s="753"/>
      <c r="B573" s="754" t="s">
        <v>6954</v>
      </c>
      <c r="C573" s="748">
        <v>1</v>
      </c>
      <c r="D573" s="748">
        <v>1</v>
      </c>
      <c r="E573" s="749">
        <v>51.78</v>
      </c>
      <c r="F573" s="749">
        <v>0.08</v>
      </c>
      <c r="G573" s="749">
        <v>0.08</v>
      </c>
      <c r="H573" s="739">
        <f>PRODUCT(C573:G573)</f>
        <v>0.33</v>
      </c>
      <c r="I573" s="750"/>
    </row>
    <row r="574" spans="1:9">
      <c r="A574" s="753"/>
      <c r="B574" s="754"/>
      <c r="C574" s="748"/>
      <c r="D574" s="748"/>
      <c r="E574" s="749"/>
      <c r="F574" s="749"/>
      <c r="G574" s="749"/>
      <c r="H574" s="742">
        <f>SUM(H569:H573)</f>
        <v>16.91</v>
      </c>
      <c r="I574" s="750"/>
    </row>
    <row r="575" spans="1:9">
      <c r="A575" s="732"/>
      <c r="B575" s="735"/>
      <c r="C575" s="746"/>
      <c r="D575" s="746"/>
      <c r="E575" s="742"/>
      <c r="F575" s="742"/>
      <c r="G575" s="742" t="s">
        <v>4209</v>
      </c>
      <c r="H575" s="742">
        <f>ROUNDUP(H574,1)</f>
        <v>17</v>
      </c>
      <c r="I575" s="736" t="s">
        <v>2142</v>
      </c>
    </row>
    <row r="576" spans="1:9" s="737" customFormat="1" ht="23.25" customHeight="1">
      <c r="A576" s="732">
        <v>33</v>
      </c>
      <c r="B576" s="733" t="s">
        <v>1002</v>
      </c>
      <c r="C576" s="734"/>
      <c r="D576" s="734"/>
      <c r="E576" s="739"/>
      <c r="F576" s="739"/>
      <c r="G576" s="739"/>
      <c r="H576" s="739"/>
      <c r="I576" s="736"/>
    </row>
    <row r="577" spans="1:9" s="737" customFormat="1">
      <c r="A577" s="738"/>
      <c r="B577" s="757" t="s">
        <v>6002</v>
      </c>
      <c r="C577" s="734"/>
      <c r="D577" s="734"/>
      <c r="E577" s="739"/>
      <c r="F577" s="739"/>
      <c r="G577" s="739"/>
      <c r="H577" s="739"/>
      <c r="I577" s="736"/>
    </row>
    <row r="578" spans="1:9" s="737" customFormat="1">
      <c r="A578" s="738"/>
      <c r="B578" s="757" t="s">
        <v>6003</v>
      </c>
      <c r="C578" s="734"/>
      <c r="D578" s="734"/>
      <c r="E578" s="739"/>
      <c r="F578" s="739"/>
      <c r="G578" s="739"/>
      <c r="H578" s="739"/>
      <c r="I578" s="736"/>
    </row>
    <row r="579" spans="1:9" s="737" customFormat="1">
      <c r="A579" s="738"/>
      <c r="B579" s="735" t="s">
        <v>5838</v>
      </c>
      <c r="C579" s="734">
        <v>1</v>
      </c>
      <c r="D579" s="734">
        <v>1</v>
      </c>
      <c r="E579" s="739">
        <f>(6.53+7.5)*2</f>
        <v>28.06</v>
      </c>
      <c r="F579" s="739"/>
      <c r="G579" s="739">
        <f>3.3-0.125</f>
        <v>3.18</v>
      </c>
      <c r="H579" s="739">
        <f t="shared" ref="H579:H632" si="51">PRODUCT(C579:G579)</f>
        <v>89.23</v>
      </c>
      <c r="I579" s="736"/>
    </row>
    <row r="580" spans="1:9" s="737" customFormat="1">
      <c r="A580" s="738"/>
      <c r="B580" s="735" t="s">
        <v>5838</v>
      </c>
      <c r="C580" s="734">
        <v>1</v>
      </c>
      <c r="D580" s="734">
        <v>2</v>
      </c>
      <c r="E580" s="739">
        <v>1.58</v>
      </c>
      <c r="F580" s="739"/>
      <c r="G580" s="739">
        <f>3.3-0.125</f>
        <v>3.18</v>
      </c>
      <c r="H580" s="739">
        <f t="shared" si="51"/>
        <v>10.050000000000001</v>
      </c>
      <c r="I580" s="736"/>
    </row>
    <row r="581" spans="1:9" s="737" customFormat="1">
      <c r="A581" s="738"/>
      <c r="B581" s="735" t="s">
        <v>6004</v>
      </c>
      <c r="C581" s="734">
        <v>-1</v>
      </c>
      <c r="D581" s="734">
        <v>3</v>
      </c>
      <c r="E581" s="739">
        <v>1.8</v>
      </c>
      <c r="F581" s="739"/>
      <c r="G581" s="739">
        <v>1.35</v>
      </c>
      <c r="H581" s="739">
        <f t="shared" si="51"/>
        <v>-7.29</v>
      </c>
      <c r="I581" s="736"/>
    </row>
    <row r="582" spans="1:9" s="737" customFormat="1">
      <c r="A582" s="738"/>
      <c r="B582" s="735" t="s">
        <v>6005</v>
      </c>
      <c r="C582" s="734">
        <v>-1</v>
      </c>
      <c r="D582" s="734">
        <v>1</v>
      </c>
      <c r="E582" s="739">
        <v>1.5</v>
      </c>
      <c r="F582" s="739"/>
      <c r="G582" s="739">
        <v>2</v>
      </c>
      <c r="H582" s="739">
        <f t="shared" si="51"/>
        <v>-3</v>
      </c>
      <c r="I582" s="736"/>
    </row>
    <row r="583" spans="1:9" s="737" customFormat="1">
      <c r="A583" s="738"/>
      <c r="B583" s="735" t="s">
        <v>6006</v>
      </c>
      <c r="C583" s="734">
        <v>-1</v>
      </c>
      <c r="D583" s="734">
        <v>1</v>
      </c>
      <c r="E583" s="739">
        <v>1.5</v>
      </c>
      <c r="F583" s="739"/>
      <c r="G583" s="739">
        <v>2.1</v>
      </c>
      <c r="H583" s="739">
        <f t="shared" si="51"/>
        <v>-3.15</v>
      </c>
      <c r="I583" s="736"/>
    </row>
    <row r="584" spans="1:9" s="737" customFormat="1">
      <c r="A584" s="738"/>
      <c r="B584" s="735" t="s">
        <v>6007</v>
      </c>
      <c r="C584" s="734">
        <v>-1</v>
      </c>
      <c r="D584" s="734">
        <v>1</v>
      </c>
      <c r="E584" s="739">
        <v>0.9</v>
      </c>
      <c r="F584" s="739"/>
      <c r="G584" s="739">
        <v>2.1</v>
      </c>
      <c r="H584" s="739">
        <f t="shared" si="51"/>
        <v>-1.89</v>
      </c>
      <c r="I584" s="736"/>
    </row>
    <row r="585" spans="1:9" s="737" customFormat="1">
      <c r="A585" s="738"/>
      <c r="B585" s="735" t="s">
        <v>6008</v>
      </c>
      <c r="C585" s="734">
        <v>-1</v>
      </c>
      <c r="D585" s="734">
        <v>1</v>
      </c>
      <c r="E585" s="739">
        <v>2.2200000000000002</v>
      </c>
      <c r="F585" s="739"/>
      <c r="G585" s="739">
        <v>2.1</v>
      </c>
      <c r="H585" s="739">
        <f t="shared" si="51"/>
        <v>-4.66</v>
      </c>
      <c r="I585" s="736"/>
    </row>
    <row r="586" spans="1:9" s="737" customFormat="1">
      <c r="A586" s="738"/>
      <c r="B586" s="735" t="s">
        <v>6009</v>
      </c>
      <c r="C586" s="734">
        <v>1</v>
      </c>
      <c r="D586" s="734">
        <v>3</v>
      </c>
      <c r="E586" s="739">
        <f>(1.35+1.8)*2</f>
        <v>6.3</v>
      </c>
      <c r="F586" s="739">
        <v>0.15</v>
      </c>
      <c r="G586" s="739"/>
      <c r="H586" s="739">
        <f t="shared" si="51"/>
        <v>2.84</v>
      </c>
      <c r="I586" s="736"/>
    </row>
    <row r="587" spans="1:9" s="737" customFormat="1">
      <c r="A587" s="738"/>
      <c r="B587" s="735" t="s">
        <v>6010</v>
      </c>
      <c r="C587" s="734">
        <v>1</v>
      </c>
      <c r="D587" s="734">
        <v>1</v>
      </c>
      <c r="E587" s="739">
        <f>(2+1.5)*2</f>
        <v>7</v>
      </c>
      <c r="F587" s="739">
        <v>0.15</v>
      </c>
      <c r="G587" s="739"/>
      <c r="H587" s="739">
        <f t="shared" si="51"/>
        <v>1.05</v>
      </c>
      <c r="I587" s="736"/>
    </row>
    <row r="588" spans="1:9" s="737" customFormat="1">
      <c r="A588" s="738"/>
      <c r="B588" s="735" t="s">
        <v>6011</v>
      </c>
      <c r="C588" s="734">
        <v>1</v>
      </c>
      <c r="D588" s="734">
        <v>1</v>
      </c>
      <c r="E588" s="739">
        <f>(4.2+1.5)</f>
        <v>5.7</v>
      </c>
      <c r="F588" s="739">
        <v>0.23</v>
      </c>
      <c r="G588" s="739"/>
      <c r="H588" s="739">
        <f t="shared" si="51"/>
        <v>1.31</v>
      </c>
      <c r="I588" s="736"/>
    </row>
    <row r="589" spans="1:9" s="737" customFormat="1">
      <c r="A589" s="738"/>
      <c r="B589" s="735" t="s">
        <v>6012</v>
      </c>
      <c r="C589" s="734">
        <v>1</v>
      </c>
      <c r="D589" s="734">
        <v>1</v>
      </c>
      <c r="E589" s="739">
        <f>(4.2+0.9)</f>
        <v>5.0999999999999996</v>
      </c>
      <c r="F589" s="739">
        <v>0.23</v>
      </c>
      <c r="G589" s="739"/>
      <c r="H589" s="739">
        <f t="shared" si="51"/>
        <v>1.17</v>
      </c>
      <c r="I589" s="736"/>
    </row>
    <row r="590" spans="1:9" s="737" customFormat="1">
      <c r="A590" s="738"/>
      <c r="B590" s="735" t="s">
        <v>6013</v>
      </c>
      <c r="C590" s="734">
        <v>1</v>
      </c>
      <c r="D590" s="734">
        <v>1</v>
      </c>
      <c r="E590" s="739">
        <f>(4.2+2.22)</f>
        <v>6.42</v>
      </c>
      <c r="F590" s="739">
        <v>0.23</v>
      </c>
      <c r="G590" s="739"/>
      <c r="H590" s="739">
        <f t="shared" si="51"/>
        <v>1.48</v>
      </c>
      <c r="I590" s="736"/>
    </row>
    <row r="591" spans="1:9" s="737" customFormat="1">
      <c r="A591" s="738"/>
      <c r="B591" s="735" t="s">
        <v>6014</v>
      </c>
      <c r="C591" s="734">
        <v>1</v>
      </c>
      <c r="D591" s="734">
        <v>1</v>
      </c>
      <c r="E591" s="739">
        <f>(3.52+2.9)*2</f>
        <v>12.84</v>
      </c>
      <c r="F591" s="739"/>
      <c r="G591" s="739">
        <f>3.3-0.125</f>
        <v>3.18</v>
      </c>
      <c r="H591" s="739">
        <f t="shared" si="51"/>
        <v>40.83</v>
      </c>
      <c r="I591" s="736"/>
    </row>
    <row r="592" spans="1:9" s="737" customFormat="1">
      <c r="A592" s="738"/>
      <c r="B592" s="735" t="s">
        <v>6006</v>
      </c>
      <c r="C592" s="734">
        <v>-1</v>
      </c>
      <c r="D592" s="734">
        <v>1</v>
      </c>
      <c r="E592" s="739">
        <v>1.5</v>
      </c>
      <c r="F592" s="739"/>
      <c r="G592" s="739">
        <v>2.1</v>
      </c>
      <c r="H592" s="739">
        <f t="shared" si="51"/>
        <v>-3.15</v>
      </c>
      <c r="I592" s="736"/>
    </row>
    <row r="593" spans="1:9" s="737" customFormat="1">
      <c r="A593" s="738"/>
      <c r="B593" s="735" t="s">
        <v>6005</v>
      </c>
      <c r="C593" s="734">
        <v>-1</v>
      </c>
      <c r="D593" s="734">
        <v>1</v>
      </c>
      <c r="E593" s="739">
        <v>1.5</v>
      </c>
      <c r="F593" s="739"/>
      <c r="G593" s="739">
        <v>2</v>
      </c>
      <c r="H593" s="739">
        <f t="shared" si="51"/>
        <v>-3</v>
      </c>
      <c r="I593" s="736"/>
    </row>
    <row r="594" spans="1:9" s="737" customFormat="1">
      <c r="A594" s="738"/>
      <c r="B594" s="735" t="s">
        <v>6010</v>
      </c>
      <c r="C594" s="734">
        <v>1</v>
      </c>
      <c r="D594" s="734">
        <v>1</v>
      </c>
      <c r="E594" s="739">
        <f>(2+1.5)*2</f>
        <v>7</v>
      </c>
      <c r="F594" s="739">
        <v>0.1</v>
      </c>
      <c r="G594" s="739"/>
      <c r="H594" s="739">
        <f t="shared" si="51"/>
        <v>0.7</v>
      </c>
      <c r="I594" s="736"/>
    </row>
    <row r="595" spans="1:9" s="737" customFormat="1">
      <c r="A595" s="738"/>
      <c r="B595" s="735" t="s">
        <v>5955</v>
      </c>
      <c r="C595" s="734">
        <v>1</v>
      </c>
      <c r="D595" s="734">
        <v>1</v>
      </c>
      <c r="E595" s="739">
        <f>(3.6+3.64)*2</f>
        <v>14.48</v>
      </c>
      <c r="F595" s="739"/>
      <c r="G595" s="739">
        <v>3.18</v>
      </c>
      <c r="H595" s="739">
        <f t="shared" si="51"/>
        <v>46.05</v>
      </c>
      <c r="I595" s="736"/>
    </row>
    <row r="596" spans="1:9" s="737" customFormat="1">
      <c r="A596" s="738"/>
      <c r="B596" s="735" t="s">
        <v>6015</v>
      </c>
      <c r="C596" s="734">
        <v>-1</v>
      </c>
      <c r="D596" s="734">
        <v>2</v>
      </c>
      <c r="E596" s="739">
        <v>1.5</v>
      </c>
      <c r="F596" s="739"/>
      <c r="G596" s="739">
        <v>1.35</v>
      </c>
      <c r="H596" s="739">
        <f t="shared" si="51"/>
        <v>-4.05</v>
      </c>
      <c r="I596" s="736"/>
    </row>
    <row r="597" spans="1:9" s="737" customFormat="1">
      <c r="A597" s="738"/>
      <c r="B597" s="735" t="s">
        <v>6016</v>
      </c>
      <c r="C597" s="734">
        <v>-1</v>
      </c>
      <c r="D597" s="734">
        <v>1</v>
      </c>
      <c r="E597" s="739">
        <v>1.2</v>
      </c>
      <c r="F597" s="739"/>
      <c r="G597" s="739">
        <v>2.1</v>
      </c>
      <c r="H597" s="739">
        <f t="shared" si="51"/>
        <v>-2.52</v>
      </c>
      <c r="I597" s="736"/>
    </row>
    <row r="598" spans="1:9" s="737" customFormat="1">
      <c r="A598" s="738"/>
      <c r="B598" s="735" t="s">
        <v>6008</v>
      </c>
      <c r="C598" s="734">
        <v>-1</v>
      </c>
      <c r="D598" s="734">
        <v>1</v>
      </c>
      <c r="E598" s="739">
        <v>0.91</v>
      </c>
      <c r="F598" s="739"/>
      <c r="G598" s="739">
        <v>2.1</v>
      </c>
      <c r="H598" s="739">
        <f t="shared" si="51"/>
        <v>-1.91</v>
      </c>
      <c r="I598" s="736"/>
    </row>
    <row r="599" spans="1:9" s="737" customFormat="1">
      <c r="A599" s="738"/>
      <c r="B599" s="735" t="s">
        <v>6017</v>
      </c>
      <c r="C599" s="734">
        <v>1</v>
      </c>
      <c r="D599" s="734">
        <v>2</v>
      </c>
      <c r="E599" s="739">
        <f>(1.35+1.5)*2</f>
        <v>5.7</v>
      </c>
      <c r="F599" s="739">
        <v>0.15</v>
      </c>
      <c r="G599" s="739"/>
      <c r="H599" s="739">
        <f t="shared" si="51"/>
        <v>1.71</v>
      </c>
      <c r="I599" s="736"/>
    </row>
    <row r="600" spans="1:9" s="737" customFormat="1">
      <c r="A600" s="738"/>
      <c r="B600" s="735" t="s">
        <v>6018</v>
      </c>
      <c r="C600" s="734">
        <v>1</v>
      </c>
      <c r="D600" s="734">
        <v>1</v>
      </c>
      <c r="E600" s="739">
        <f>(4.2+1.2)</f>
        <v>5.4</v>
      </c>
      <c r="F600" s="739">
        <v>0.12</v>
      </c>
      <c r="G600" s="739"/>
      <c r="H600" s="739">
        <f t="shared" si="51"/>
        <v>0.65</v>
      </c>
      <c r="I600" s="736"/>
    </row>
    <row r="601" spans="1:9" s="737" customFormat="1">
      <c r="A601" s="738"/>
      <c r="B601" s="735" t="s">
        <v>6013</v>
      </c>
      <c r="C601" s="734">
        <v>1</v>
      </c>
      <c r="D601" s="734">
        <v>1</v>
      </c>
      <c r="E601" s="739">
        <f>(4.2+0.91)</f>
        <v>5.1100000000000003</v>
      </c>
      <c r="F601" s="739">
        <v>0.12</v>
      </c>
      <c r="G601" s="739"/>
      <c r="H601" s="739">
        <f t="shared" si="51"/>
        <v>0.61</v>
      </c>
      <c r="I601" s="736"/>
    </row>
    <row r="602" spans="1:9" s="737" customFormat="1">
      <c r="A602" s="738"/>
      <c r="B602" s="735" t="s">
        <v>6019</v>
      </c>
      <c r="C602" s="734">
        <v>1</v>
      </c>
      <c r="D602" s="734">
        <v>1</v>
      </c>
      <c r="E602" s="739">
        <f>(1.35+1.5)*2</f>
        <v>5.7</v>
      </c>
      <c r="F602" s="739"/>
      <c r="G602" s="739">
        <v>3.18</v>
      </c>
      <c r="H602" s="739">
        <f t="shared" si="51"/>
        <v>18.13</v>
      </c>
      <c r="I602" s="736"/>
    </row>
    <row r="603" spans="1:9" s="737" customFormat="1">
      <c r="A603" s="738"/>
      <c r="B603" s="735" t="s">
        <v>6020</v>
      </c>
      <c r="C603" s="734">
        <v>-1</v>
      </c>
      <c r="D603" s="734">
        <v>1</v>
      </c>
      <c r="E603" s="739">
        <v>0.75</v>
      </c>
      <c r="F603" s="739"/>
      <c r="G603" s="739">
        <v>2.1</v>
      </c>
      <c r="H603" s="739">
        <f t="shared" si="51"/>
        <v>-1.58</v>
      </c>
      <c r="I603" s="736"/>
    </row>
    <row r="604" spans="1:9" s="737" customFormat="1">
      <c r="A604" s="738"/>
      <c r="B604" s="735" t="s">
        <v>6021</v>
      </c>
      <c r="C604" s="734">
        <v>-1</v>
      </c>
      <c r="D604" s="734">
        <v>2</v>
      </c>
      <c r="E604" s="739">
        <v>0.75</v>
      </c>
      <c r="F604" s="739"/>
      <c r="G604" s="739">
        <v>0.75</v>
      </c>
      <c r="H604" s="739">
        <f t="shared" si="51"/>
        <v>-1.1299999999999999</v>
      </c>
      <c r="I604" s="736"/>
    </row>
    <row r="605" spans="1:9" s="737" customFormat="1" ht="22.5" customHeight="1">
      <c r="A605" s="738"/>
      <c r="B605" s="735" t="s">
        <v>6022</v>
      </c>
      <c r="C605" s="734">
        <v>1</v>
      </c>
      <c r="D605" s="734">
        <v>2</v>
      </c>
      <c r="E605" s="739">
        <f>(0.75+0.75)*2</f>
        <v>3</v>
      </c>
      <c r="F605" s="739">
        <v>0.15</v>
      </c>
      <c r="G605" s="739"/>
      <c r="H605" s="739">
        <f t="shared" si="51"/>
        <v>0.9</v>
      </c>
      <c r="I605" s="736"/>
    </row>
    <row r="606" spans="1:9" s="737" customFormat="1" ht="20.25" customHeight="1">
      <c r="A606" s="738"/>
      <c r="B606" s="735" t="s">
        <v>6023</v>
      </c>
      <c r="C606" s="734">
        <v>1</v>
      </c>
      <c r="D606" s="734">
        <v>1</v>
      </c>
      <c r="E606" s="739">
        <f>(4.2+0.75)</f>
        <v>4.95</v>
      </c>
      <c r="F606" s="739">
        <v>0.12</v>
      </c>
      <c r="G606" s="739"/>
      <c r="H606" s="739">
        <f t="shared" si="51"/>
        <v>0.59</v>
      </c>
      <c r="I606" s="736"/>
    </row>
    <row r="607" spans="1:9" s="737" customFormat="1">
      <c r="A607" s="738"/>
      <c r="B607" s="735" t="s">
        <v>6024</v>
      </c>
      <c r="C607" s="734">
        <v>1</v>
      </c>
      <c r="D607" s="734">
        <v>1</v>
      </c>
      <c r="E607" s="739">
        <f>(0.91+1.5)*2</f>
        <v>4.82</v>
      </c>
      <c r="F607" s="739"/>
      <c r="G607" s="739">
        <v>3.18</v>
      </c>
      <c r="H607" s="739">
        <f t="shared" si="51"/>
        <v>15.33</v>
      </c>
      <c r="I607" s="736"/>
    </row>
    <row r="608" spans="1:9" s="737" customFormat="1">
      <c r="A608" s="738"/>
      <c r="B608" s="735" t="s">
        <v>6025</v>
      </c>
      <c r="C608" s="734">
        <v>1</v>
      </c>
      <c r="D608" s="734">
        <v>1</v>
      </c>
      <c r="E608" s="739">
        <f>1.5+0.115</f>
        <v>1.62</v>
      </c>
      <c r="F608" s="739"/>
      <c r="G608" s="739">
        <v>3.18</v>
      </c>
      <c r="H608" s="739">
        <f t="shared" si="51"/>
        <v>5.15</v>
      </c>
      <c r="I608" s="736"/>
    </row>
    <row r="609" spans="1:9" s="737" customFormat="1">
      <c r="A609" s="738"/>
      <c r="B609" s="735" t="s">
        <v>6020</v>
      </c>
      <c r="C609" s="734">
        <v>-1</v>
      </c>
      <c r="D609" s="734">
        <v>1</v>
      </c>
      <c r="E609" s="739">
        <v>0.75</v>
      </c>
      <c r="F609" s="739"/>
      <c r="G609" s="739">
        <v>2.1</v>
      </c>
      <c r="H609" s="739">
        <f t="shared" si="51"/>
        <v>-1.58</v>
      </c>
      <c r="I609" s="736"/>
    </row>
    <row r="610" spans="1:9" s="737" customFormat="1">
      <c r="A610" s="738"/>
      <c r="B610" s="735" t="s">
        <v>5836</v>
      </c>
      <c r="C610" s="734">
        <v>1</v>
      </c>
      <c r="D610" s="734">
        <v>1</v>
      </c>
      <c r="E610" s="739">
        <f>(1.35+1.5)*2</f>
        <v>5.7</v>
      </c>
      <c r="F610" s="739"/>
      <c r="G610" s="739">
        <v>3.18</v>
      </c>
      <c r="H610" s="739">
        <f t="shared" si="51"/>
        <v>18.13</v>
      </c>
      <c r="I610" s="736"/>
    </row>
    <row r="611" spans="1:9" s="737" customFormat="1">
      <c r="A611" s="738"/>
      <c r="B611" s="735" t="s">
        <v>6020</v>
      </c>
      <c r="C611" s="734">
        <v>-1</v>
      </c>
      <c r="D611" s="734">
        <v>1</v>
      </c>
      <c r="E611" s="739">
        <v>0.75</v>
      </c>
      <c r="F611" s="739"/>
      <c r="G611" s="739">
        <v>2.1</v>
      </c>
      <c r="H611" s="739">
        <f t="shared" si="51"/>
        <v>-1.58</v>
      </c>
      <c r="I611" s="736"/>
    </row>
    <row r="612" spans="1:9" s="737" customFormat="1">
      <c r="A612" s="738"/>
      <c r="B612" s="735" t="s">
        <v>6021</v>
      </c>
      <c r="C612" s="734">
        <v>-1</v>
      </c>
      <c r="D612" s="734">
        <v>2</v>
      </c>
      <c r="E612" s="739">
        <v>0.75</v>
      </c>
      <c r="F612" s="739"/>
      <c r="G612" s="739">
        <v>0.75</v>
      </c>
      <c r="H612" s="739">
        <f t="shared" si="51"/>
        <v>-1.1299999999999999</v>
      </c>
      <c r="I612" s="736"/>
    </row>
    <row r="613" spans="1:9" s="737" customFormat="1" ht="22.5" customHeight="1">
      <c r="A613" s="738"/>
      <c r="B613" s="735" t="s">
        <v>6022</v>
      </c>
      <c r="C613" s="734">
        <v>1</v>
      </c>
      <c r="D613" s="734">
        <v>2</v>
      </c>
      <c r="E613" s="739">
        <f>(0.75+0.75)*2</f>
        <v>3</v>
      </c>
      <c r="F613" s="739">
        <v>0.15</v>
      </c>
      <c r="G613" s="739"/>
      <c r="H613" s="739">
        <f t="shared" si="51"/>
        <v>0.9</v>
      </c>
      <c r="I613" s="736"/>
    </row>
    <row r="614" spans="1:9" s="737" customFormat="1" ht="20.25" customHeight="1">
      <c r="A614" s="738"/>
      <c r="B614" s="735" t="s">
        <v>6023</v>
      </c>
      <c r="C614" s="734">
        <v>1</v>
      </c>
      <c r="D614" s="734">
        <v>1</v>
      </c>
      <c r="E614" s="739">
        <f>(4.2+0.75)</f>
        <v>4.95</v>
      </c>
      <c r="F614" s="739">
        <v>0.12</v>
      </c>
      <c r="G614" s="739"/>
      <c r="H614" s="739">
        <f t="shared" si="51"/>
        <v>0.59</v>
      </c>
      <c r="I614" s="736"/>
    </row>
    <row r="615" spans="1:9" s="737" customFormat="1">
      <c r="A615" s="738"/>
      <c r="B615" s="735" t="s">
        <v>6026</v>
      </c>
      <c r="C615" s="734">
        <v>1</v>
      </c>
      <c r="D615" s="734">
        <v>1</v>
      </c>
      <c r="E615" s="739">
        <v>1.35</v>
      </c>
      <c r="F615" s="739"/>
      <c r="G615" s="739">
        <v>3.18</v>
      </c>
      <c r="H615" s="739">
        <f t="shared" si="51"/>
        <v>4.29</v>
      </c>
      <c r="I615" s="736"/>
    </row>
    <row r="616" spans="1:9" s="737" customFormat="1">
      <c r="A616" s="738"/>
      <c r="B616" s="735" t="s">
        <v>5860</v>
      </c>
      <c r="C616" s="734">
        <v>1</v>
      </c>
      <c r="D616" s="734">
        <v>1</v>
      </c>
      <c r="E616" s="739">
        <f>(3.6*4)</f>
        <v>14.4</v>
      </c>
      <c r="F616" s="739"/>
      <c r="G616" s="739">
        <v>3.18</v>
      </c>
      <c r="H616" s="739">
        <f t="shared" si="51"/>
        <v>45.79</v>
      </c>
      <c r="I616" s="736"/>
    </row>
    <row r="617" spans="1:9" s="737" customFormat="1">
      <c r="A617" s="738"/>
      <c r="B617" s="735" t="s">
        <v>6015</v>
      </c>
      <c r="C617" s="734">
        <v>-1</v>
      </c>
      <c r="D617" s="734">
        <v>1</v>
      </c>
      <c r="E617" s="739">
        <v>1.5</v>
      </c>
      <c r="F617" s="739"/>
      <c r="G617" s="739">
        <v>1.35</v>
      </c>
      <c r="H617" s="739">
        <f t="shared" si="51"/>
        <v>-2.0299999999999998</v>
      </c>
      <c r="I617" s="736"/>
    </row>
    <row r="618" spans="1:9" s="737" customFormat="1">
      <c r="A618" s="738"/>
      <c r="B618" s="735" t="s">
        <v>6027</v>
      </c>
      <c r="C618" s="734">
        <v>-1</v>
      </c>
      <c r="D618" s="734">
        <v>1</v>
      </c>
      <c r="E618" s="739">
        <v>1.5</v>
      </c>
      <c r="F618" s="739"/>
      <c r="G618" s="739">
        <v>1.35</v>
      </c>
      <c r="H618" s="739">
        <f t="shared" si="51"/>
        <v>-2.0299999999999998</v>
      </c>
      <c r="I618" s="736"/>
    </row>
    <row r="619" spans="1:9" s="737" customFormat="1">
      <c r="A619" s="738"/>
      <c r="B619" s="735" t="s">
        <v>6016</v>
      </c>
      <c r="C619" s="734">
        <v>-1</v>
      </c>
      <c r="D619" s="734">
        <v>1</v>
      </c>
      <c r="E619" s="739">
        <v>1.2</v>
      </c>
      <c r="F619" s="739"/>
      <c r="G619" s="739">
        <v>2.1</v>
      </c>
      <c r="H619" s="739">
        <f t="shared" si="51"/>
        <v>-2.52</v>
      </c>
      <c r="I619" s="736"/>
    </row>
    <row r="620" spans="1:9" s="737" customFormat="1">
      <c r="A620" s="738"/>
      <c r="B620" s="735" t="s">
        <v>6017</v>
      </c>
      <c r="C620" s="734">
        <v>1</v>
      </c>
      <c r="D620" s="734">
        <v>1</v>
      </c>
      <c r="E620" s="739">
        <f>(1.35+1.5)*2</f>
        <v>5.7</v>
      </c>
      <c r="F620" s="739">
        <v>0.15</v>
      </c>
      <c r="G620" s="739"/>
      <c r="H620" s="739">
        <f t="shared" si="51"/>
        <v>0.86</v>
      </c>
      <c r="I620" s="736"/>
    </row>
    <row r="621" spans="1:9" s="737" customFormat="1">
      <c r="A621" s="738"/>
      <c r="B621" s="735" t="s">
        <v>6028</v>
      </c>
      <c r="C621" s="734">
        <v>1</v>
      </c>
      <c r="D621" s="734">
        <v>1</v>
      </c>
      <c r="E621" s="739">
        <f>(1.35+1.5)*2</f>
        <v>5.7</v>
      </c>
      <c r="F621" s="739">
        <v>0.15</v>
      </c>
      <c r="G621" s="739"/>
      <c r="H621" s="739">
        <f t="shared" si="51"/>
        <v>0.86</v>
      </c>
      <c r="I621" s="736"/>
    </row>
    <row r="622" spans="1:9" s="737" customFormat="1">
      <c r="A622" s="738"/>
      <c r="B622" s="735" t="s">
        <v>6018</v>
      </c>
      <c r="C622" s="734">
        <v>1</v>
      </c>
      <c r="D622" s="734">
        <v>1</v>
      </c>
      <c r="E622" s="739">
        <f>(4.2+1.2)</f>
        <v>5.4</v>
      </c>
      <c r="F622" s="739">
        <v>0.23</v>
      </c>
      <c r="G622" s="739"/>
      <c r="H622" s="739">
        <f t="shared" si="51"/>
        <v>1.24</v>
      </c>
      <c r="I622" s="736"/>
    </row>
    <row r="623" spans="1:9" s="737" customFormat="1">
      <c r="A623" s="738"/>
      <c r="B623" s="735" t="s">
        <v>6029</v>
      </c>
      <c r="C623" s="734">
        <v>1</v>
      </c>
      <c r="D623" s="734">
        <v>1</v>
      </c>
      <c r="E623" s="739">
        <f>(4.015+2.4)*2</f>
        <v>12.83</v>
      </c>
      <c r="F623" s="739"/>
      <c r="G623" s="739">
        <v>3.18</v>
      </c>
      <c r="H623" s="739">
        <f t="shared" si="51"/>
        <v>40.799999999999997</v>
      </c>
      <c r="I623" s="736"/>
    </row>
    <row r="624" spans="1:9" s="737" customFormat="1">
      <c r="A624" s="738"/>
      <c r="B624" s="735" t="s">
        <v>6030</v>
      </c>
      <c r="C624" s="734">
        <v>-1</v>
      </c>
      <c r="D624" s="734">
        <v>1</v>
      </c>
      <c r="E624" s="739">
        <v>1.2</v>
      </c>
      <c r="F624" s="739"/>
      <c r="G624" s="739">
        <v>0.75</v>
      </c>
      <c r="H624" s="739">
        <f t="shared" si="51"/>
        <v>-0.9</v>
      </c>
      <c r="I624" s="736"/>
    </row>
    <row r="625" spans="1:9" s="737" customFormat="1">
      <c r="A625" s="738"/>
      <c r="B625" s="735" t="s">
        <v>6007</v>
      </c>
      <c r="C625" s="734">
        <v>-1</v>
      </c>
      <c r="D625" s="734">
        <v>1</v>
      </c>
      <c r="E625" s="739">
        <v>0.9</v>
      </c>
      <c r="F625" s="739"/>
      <c r="G625" s="739">
        <v>2.1</v>
      </c>
      <c r="H625" s="739">
        <f t="shared" si="51"/>
        <v>-1.89</v>
      </c>
      <c r="I625" s="736"/>
    </row>
    <row r="626" spans="1:9" s="737" customFormat="1" ht="22.5" customHeight="1">
      <c r="A626" s="738"/>
      <c r="B626" s="735" t="s">
        <v>6031</v>
      </c>
      <c r="C626" s="734">
        <v>1</v>
      </c>
      <c r="D626" s="734">
        <v>1</v>
      </c>
      <c r="E626" s="739">
        <f>(1.2+0.75)*2</f>
        <v>3.9</v>
      </c>
      <c r="F626" s="739">
        <v>0.15</v>
      </c>
      <c r="G626" s="739"/>
      <c r="H626" s="739">
        <f t="shared" si="51"/>
        <v>0.59</v>
      </c>
      <c r="I626" s="736"/>
    </row>
    <row r="627" spans="1:9" s="737" customFormat="1">
      <c r="A627" s="738"/>
      <c r="B627" s="735" t="s">
        <v>6012</v>
      </c>
      <c r="C627" s="734">
        <v>1</v>
      </c>
      <c r="D627" s="734">
        <v>1</v>
      </c>
      <c r="E627" s="739">
        <f>(4.2+0.9)</f>
        <v>5.0999999999999996</v>
      </c>
      <c r="F627" s="739">
        <v>0.23</v>
      </c>
      <c r="G627" s="739"/>
      <c r="H627" s="739">
        <f t="shared" si="51"/>
        <v>1.17</v>
      </c>
      <c r="I627" s="736"/>
    </row>
    <row r="628" spans="1:9" s="737" customFormat="1">
      <c r="A628" s="738"/>
      <c r="B628" s="735" t="s">
        <v>5843</v>
      </c>
      <c r="C628" s="734">
        <v>1</v>
      </c>
      <c r="D628" s="734">
        <v>2</v>
      </c>
      <c r="E628" s="739">
        <f>(2.065+1.5)*2</f>
        <v>7.13</v>
      </c>
      <c r="F628" s="739"/>
      <c r="G628" s="739">
        <v>3.18</v>
      </c>
      <c r="H628" s="739">
        <f t="shared" si="51"/>
        <v>45.35</v>
      </c>
      <c r="I628" s="736"/>
    </row>
    <row r="629" spans="1:9" s="737" customFormat="1">
      <c r="A629" s="738"/>
      <c r="B629" s="735" t="s">
        <v>6032</v>
      </c>
      <c r="C629" s="734">
        <v>-1</v>
      </c>
      <c r="D629" s="734">
        <v>2</v>
      </c>
      <c r="E629" s="739">
        <v>1</v>
      </c>
      <c r="F629" s="739"/>
      <c r="G629" s="739">
        <v>2.1</v>
      </c>
      <c r="H629" s="739">
        <f t="shared" si="51"/>
        <v>-4.2</v>
      </c>
      <c r="I629" s="736"/>
    </row>
    <row r="630" spans="1:9" s="737" customFormat="1">
      <c r="A630" s="738"/>
      <c r="B630" s="735" t="s">
        <v>6021</v>
      </c>
      <c r="C630" s="734">
        <v>-1</v>
      </c>
      <c r="D630" s="734">
        <v>1</v>
      </c>
      <c r="E630" s="739">
        <v>0.75</v>
      </c>
      <c r="F630" s="739"/>
      <c r="G630" s="739">
        <v>0.75</v>
      </c>
      <c r="H630" s="739">
        <f t="shared" si="51"/>
        <v>-0.56000000000000005</v>
      </c>
      <c r="I630" s="736"/>
    </row>
    <row r="631" spans="1:9" s="737" customFormat="1" ht="22.5" customHeight="1">
      <c r="A631" s="738"/>
      <c r="B631" s="735" t="s">
        <v>6022</v>
      </c>
      <c r="C631" s="734">
        <v>1</v>
      </c>
      <c r="D631" s="734">
        <v>1</v>
      </c>
      <c r="E631" s="739">
        <f>(0.75+0.75)*2</f>
        <v>3</v>
      </c>
      <c r="F631" s="739">
        <v>0.15</v>
      </c>
      <c r="G631" s="739"/>
      <c r="H631" s="739">
        <f t="shared" si="51"/>
        <v>0.45</v>
      </c>
      <c r="I631" s="736"/>
    </row>
    <row r="632" spans="1:9" s="737" customFormat="1" ht="20.25" customHeight="1">
      <c r="A632" s="738"/>
      <c r="B632" s="735" t="s">
        <v>6033</v>
      </c>
      <c r="C632" s="734">
        <v>1</v>
      </c>
      <c r="D632" s="734">
        <v>2</v>
      </c>
      <c r="E632" s="739">
        <f>(4.2+1)</f>
        <v>5.2</v>
      </c>
      <c r="F632" s="739">
        <v>0.23</v>
      </c>
      <c r="G632" s="739"/>
      <c r="H632" s="739">
        <f t="shared" si="51"/>
        <v>2.39</v>
      </c>
      <c r="I632" s="736"/>
    </row>
    <row r="633" spans="1:9">
      <c r="A633" s="753"/>
      <c r="B633" s="751" t="s">
        <v>6034</v>
      </c>
      <c r="C633" s="748"/>
      <c r="D633" s="748"/>
      <c r="E633" s="749"/>
      <c r="F633" s="749"/>
      <c r="G633" s="749"/>
      <c r="H633" s="739"/>
      <c r="I633" s="750"/>
    </row>
    <row r="634" spans="1:9">
      <c r="A634" s="753"/>
      <c r="B634" s="754" t="s">
        <v>5926</v>
      </c>
      <c r="C634" s="748">
        <v>2</v>
      </c>
      <c r="D634" s="748">
        <v>2</v>
      </c>
      <c r="E634" s="749">
        <v>0.45</v>
      </c>
      <c r="F634" s="749"/>
      <c r="G634" s="749">
        <v>2.1</v>
      </c>
      <c r="H634" s="739">
        <f t="shared" ref="H634:H636" si="52">PRODUCT(C634:G634)</f>
        <v>3.78</v>
      </c>
      <c r="I634" s="750"/>
    </row>
    <row r="635" spans="1:9">
      <c r="A635" s="753"/>
      <c r="B635" s="754" t="s">
        <v>5862</v>
      </c>
      <c r="C635" s="748">
        <v>2</v>
      </c>
      <c r="D635" s="748">
        <v>4</v>
      </c>
      <c r="E635" s="749">
        <v>0.45</v>
      </c>
      <c r="F635" s="749"/>
      <c r="G635" s="749">
        <v>2.1</v>
      </c>
      <c r="H635" s="739">
        <f t="shared" si="52"/>
        <v>7.56</v>
      </c>
      <c r="I635" s="750"/>
    </row>
    <row r="636" spans="1:9">
      <c r="A636" s="753"/>
      <c r="B636" s="754" t="s">
        <v>5927</v>
      </c>
      <c r="C636" s="748">
        <v>2</v>
      </c>
      <c r="D636" s="748">
        <v>2</v>
      </c>
      <c r="E636" s="749">
        <v>0.6</v>
      </c>
      <c r="F636" s="749"/>
      <c r="G636" s="749">
        <v>2.1</v>
      </c>
      <c r="H636" s="739">
        <f t="shared" si="52"/>
        <v>5.04</v>
      </c>
      <c r="I636" s="750"/>
    </row>
    <row r="637" spans="1:9">
      <c r="A637" s="753"/>
      <c r="B637" s="751" t="s">
        <v>6035</v>
      </c>
      <c r="C637" s="748"/>
      <c r="D637" s="748"/>
      <c r="E637" s="749"/>
      <c r="F637" s="749"/>
      <c r="G637" s="749"/>
      <c r="H637" s="739"/>
      <c r="I637" s="750"/>
    </row>
    <row r="638" spans="1:9" ht="21" customHeight="1">
      <c r="A638" s="753"/>
      <c r="B638" s="754" t="s">
        <v>5946</v>
      </c>
      <c r="C638" s="748">
        <v>2</v>
      </c>
      <c r="D638" s="748">
        <v>1</v>
      </c>
      <c r="E638" s="749">
        <v>0.45</v>
      </c>
      <c r="F638" s="749"/>
      <c r="G638" s="749">
        <v>2.1</v>
      </c>
      <c r="H638" s="739">
        <f>PRODUCT(C638:G638)</f>
        <v>1.89</v>
      </c>
      <c r="I638" s="750"/>
    </row>
    <row r="639" spans="1:9" ht="21" customHeight="1">
      <c r="A639" s="753"/>
      <c r="B639" s="754" t="s">
        <v>5947</v>
      </c>
      <c r="C639" s="748">
        <v>2</v>
      </c>
      <c r="D639" s="748">
        <v>2</v>
      </c>
      <c r="E639" s="749">
        <v>0.45</v>
      </c>
      <c r="F639" s="749"/>
      <c r="G639" s="749">
        <v>2.1</v>
      </c>
      <c r="H639" s="739">
        <f>PRODUCT(C639:G639)</f>
        <v>3.78</v>
      </c>
      <c r="I639" s="750"/>
    </row>
    <row r="640" spans="1:9" ht="21" customHeight="1">
      <c r="A640" s="753"/>
      <c r="B640" s="754" t="s">
        <v>5861</v>
      </c>
      <c r="C640" s="748">
        <v>2</v>
      </c>
      <c r="D640" s="748">
        <v>6</v>
      </c>
      <c r="E640" s="749">
        <v>0.6</v>
      </c>
      <c r="F640" s="749"/>
      <c r="G640" s="749">
        <v>2.1</v>
      </c>
      <c r="H640" s="739">
        <f>PRODUCT(C640:G640)</f>
        <v>15.12</v>
      </c>
      <c r="I640" s="750"/>
    </row>
    <row r="641" spans="1:9" ht="21" customHeight="1">
      <c r="A641" s="753"/>
      <c r="B641" s="754" t="s">
        <v>5948</v>
      </c>
      <c r="C641" s="748">
        <v>2</v>
      </c>
      <c r="D641" s="748">
        <v>2</v>
      </c>
      <c r="E641" s="749">
        <v>0.45</v>
      </c>
      <c r="F641" s="749"/>
      <c r="G641" s="749">
        <v>2.1</v>
      </c>
      <c r="H641" s="739">
        <f>PRODUCT(C641:G641)</f>
        <v>3.78</v>
      </c>
      <c r="I641" s="750"/>
    </row>
    <row r="642" spans="1:9">
      <c r="A642" s="753"/>
      <c r="B642" s="751" t="s">
        <v>6036</v>
      </c>
      <c r="C642" s="748"/>
      <c r="D642" s="748"/>
      <c r="E642" s="749"/>
      <c r="F642" s="749"/>
      <c r="G642" s="749"/>
      <c r="H642" s="739"/>
      <c r="I642" s="750"/>
    </row>
    <row r="643" spans="1:9">
      <c r="A643" s="753"/>
      <c r="B643" s="735" t="s">
        <v>6037</v>
      </c>
      <c r="C643" s="748">
        <v>1</v>
      </c>
      <c r="D643" s="748">
        <v>2</v>
      </c>
      <c r="E643" s="749">
        <v>3.6</v>
      </c>
      <c r="F643" s="749">
        <v>0.6</v>
      </c>
      <c r="G643" s="749"/>
      <c r="H643" s="739">
        <f t="shared" ref="H643:H646" si="53">PRODUCT(C643:G643)</f>
        <v>4.32</v>
      </c>
      <c r="I643" s="750"/>
    </row>
    <row r="644" spans="1:9">
      <c r="A644" s="753"/>
      <c r="B644" s="735" t="s">
        <v>5838</v>
      </c>
      <c r="C644" s="748">
        <v>1</v>
      </c>
      <c r="D644" s="748">
        <v>1</v>
      </c>
      <c r="E644" s="749">
        <f>1.5+0.115+1.5</f>
        <v>3.12</v>
      </c>
      <c r="F644" s="749">
        <v>0.45</v>
      </c>
      <c r="G644" s="749"/>
      <c r="H644" s="739">
        <f t="shared" si="53"/>
        <v>1.4</v>
      </c>
      <c r="I644" s="750"/>
    </row>
    <row r="645" spans="1:9">
      <c r="A645" s="753"/>
      <c r="B645" s="735" t="s">
        <v>5838</v>
      </c>
      <c r="C645" s="748">
        <v>1</v>
      </c>
      <c r="D645" s="748">
        <v>1</v>
      </c>
      <c r="E645" s="749">
        <v>1.5</v>
      </c>
      <c r="F645" s="749">
        <v>0.6</v>
      </c>
      <c r="G645" s="749"/>
      <c r="H645" s="739">
        <f t="shared" si="53"/>
        <v>0.9</v>
      </c>
      <c r="I645" s="750"/>
    </row>
    <row r="646" spans="1:9">
      <c r="A646" s="753"/>
      <c r="B646" s="735" t="s">
        <v>5927</v>
      </c>
      <c r="C646" s="748">
        <v>1</v>
      </c>
      <c r="D646" s="748">
        <v>1</v>
      </c>
      <c r="E646" s="749">
        <f>(2.4+4.02)*2</f>
        <v>12.84</v>
      </c>
      <c r="F646" s="749">
        <v>0.6</v>
      </c>
      <c r="G646" s="749"/>
      <c r="H646" s="739">
        <f t="shared" si="53"/>
        <v>7.7</v>
      </c>
      <c r="I646" s="750"/>
    </row>
    <row r="647" spans="1:9" s="737" customFormat="1">
      <c r="A647" s="738"/>
      <c r="B647" s="757" t="s">
        <v>6038</v>
      </c>
      <c r="C647" s="734"/>
      <c r="D647" s="734"/>
      <c r="E647" s="739"/>
      <c r="F647" s="739"/>
      <c r="G647" s="739"/>
      <c r="H647" s="739"/>
      <c r="I647" s="736"/>
    </row>
    <row r="648" spans="1:9" s="737" customFormat="1">
      <c r="A648" s="738"/>
      <c r="B648" s="735" t="s">
        <v>5957</v>
      </c>
      <c r="C648" s="734">
        <v>1</v>
      </c>
      <c r="D648" s="734">
        <v>1</v>
      </c>
      <c r="E648" s="739">
        <f>(5.18+5.18+3.52)</f>
        <v>13.88</v>
      </c>
      <c r="F648" s="739"/>
      <c r="G648" s="739">
        <v>2.92</v>
      </c>
      <c r="H648" s="739">
        <f t="shared" ref="H648:H731" si="54">PRODUCT(C648:G648)</f>
        <v>40.53</v>
      </c>
      <c r="I648" s="736"/>
    </row>
    <row r="649" spans="1:9" s="737" customFormat="1">
      <c r="A649" s="738"/>
      <c r="B649" s="735" t="s">
        <v>6039</v>
      </c>
      <c r="C649" s="734">
        <v>-1</v>
      </c>
      <c r="D649" s="734">
        <v>1</v>
      </c>
      <c r="E649" s="739">
        <v>1.05</v>
      </c>
      <c r="F649" s="739"/>
      <c r="G649" s="739">
        <v>2.1</v>
      </c>
      <c r="H649" s="739">
        <f t="shared" si="54"/>
        <v>-2.21</v>
      </c>
      <c r="I649" s="736"/>
    </row>
    <row r="650" spans="1:9" s="737" customFormat="1">
      <c r="A650" s="738"/>
      <c r="B650" s="735" t="s">
        <v>6040</v>
      </c>
      <c r="C650" s="734">
        <v>-1</v>
      </c>
      <c r="D650" s="734">
        <v>1</v>
      </c>
      <c r="E650" s="739">
        <v>0.9</v>
      </c>
      <c r="F650" s="739"/>
      <c r="G650" s="739">
        <v>2.1</v>
      </c>
      <c r="H650" s="739">
        <f t="shared" si="54"/>
        <v>-1.89</v>
      </c>
      <c r="I650" s="736"/>
    </row>
    <row r="651" spans="1:9" s="737" customFormat="1">
      <c r="A651" s="738"/>
      <c r="B651" s="735" t="s">
        <v>6041</v>
      </c>
      <c r="C651" s="734">
        <v>-1</v>
      </c>
      <c r="D651" s="734">
        <v>1</v>
      </c>
      <c r="E651" s="739">
        <v>0.6</v>
      </c>
      <c r="F651" s="739"/>
      <c r="G651" s="739">
        <v>1.35</v>
      </c>
      <c r="H651" s="739">
        <f t="shared" si="54"/>
        <v>-0.81</v>
      </c>
      <c r="I651" s="736"/>
    </row>
    <row r="652" spans="1:9" s="737" customFormat="1">
      <c r="A652" s="738"/>
      <c r="B652" s="735" t="s">
        <v>6042</v>
      </c>
      <c r="C652" s="734">
        <v>-1</v>
      </c>
      <c r="D652" s="734">
        <v>1</v>
      </c>
      <c r="E652" s="739">
        <v>1.35</v>
      </c>
      <c r="F652" s="739"/>
      <c r="G652" s="739">
        <v>2.1</v>
      </c>
      <c r="H652" s="739">
        <f t="shared" si="54"/>
        <v>-2.84</v>
      </c>
      <c r="I652" s="736"/>
    </row>
    <row r="653" spans="1:9" s="737" customFormat="1">
      <c r="A653" s="738"/>
      <c r="B653" s="735" t="s">
        <v>6043</v>
      </c>
      <c r="C653" s="734">
        <v>1</v>
      </c>
      <c r="D653" s="734">
        <v>1</v>
      </c>
      <c r="E653" s="739">
        <f>(4.2+1.05)</f>
        <v>5.25</v>
      </c>
      <c r="F653" s="739">
        <v>0.23</v>
      </c>
      <c r="G653" s="739"/>
      <c r="H653" s="739">
        <f t="shared" si="54"/>
        <v>1.21</v>
      </c>
      <c r="I653" s="736"/>
    </row>
    <row r="654" spans="1:9" s="737" customFormat="1">
      <c r="A654" s="738"/>
      <c r="B654" s="735" t="s">
        <v>6044</v>
      </c>
      <c r="C654" s="734">
        <v>1</v>
      </c>
      <c r="D654" s="734">
        <v>1</v>
      </c>
      <c r="E654" s="739">
        <f>(4.2+0.9)</f>
        <v>5.0999999999999996</v>
      </c>
      <c r="F654" s="739">
        <v>0.23</v>
      </c>
      <c r="G654" s="739"/>
      <c r="H654" s="739">
        <f t="shared" si="54"/>
        <v>1.17</v>
      </c>
      <c r="I654" s="736"/>
    </row>
    <row r="655" spans="1:9" s="737" customFormat="1">
      <c r="A655" s="738"/>
      <c r="B655" s="735" t="s">
        <v>6045</v>
      </c>
      <c r="C655" s="734">
        <v>1</v>
      </c>
      <c r="D655" s="734">
        <v>1</v>
      </c>
      <c r="E655" s="739">
        <f>(0.6+1.35)*2</f>
        <v>3.9</v>
      </c>
      <c r="F655" s="739">
        <v>0.15</v>
      </c>
      <c r="G655" s="739"/>
      <c r="H655" s="739">
        <f t="shared" si="54"/>
        <v>0.59</v>
      </c>
      <c r="I655" s="736"/>
    </row>
    <row r="656" spans="1:9" s="737" customFormat="1">
      <c r="A656" s="738"/>
      <c r="B656" s="735" t="s">
        <v>6046</v>
      </c>
      <c r="C656" s="734">
        <v>1</v>
      </c>
      <c r="D656" s="734">
        <v>1</v>
      </c>
      <c r="E656" s="739">
        <f>(4.2+1.35)</f>
        <v>5.55</v>
      </c>
      <c r="F656" s="739">
        <v>0.23</v>
      </c>
      <c r="G656" s="739"/>
      <c r="H656" s="739">
        <f t="shared" si="54"/>
        <v>1.28</v>
      </c>
      <c r="I656" s="736"/>
    </row>
    <row r="657" spans="1:9" s="737" customFormat="1">
      <c r="A657" s="738"/>
      <c r="B657" s="735" t="s">
        <v>5900</v>
      </c>
      <c r="C657" s="734">
        <v>1</v>
      </c>
      <c r="D657" s="734">
        <v>1</v>
      </c>
      <c r="E657" s="739">
        <f>(3.905+3.52+3.905)</f>
        <v>11.33</v>
      </c>
      <c r="F657" s="739"/>
      <c r="G657" s="739">
        <v>2.92</v>
      </c>
      <c r="H657" s="739">
        <f t="shared" si="54"/>
        <v>33.08</v>
      </c>
      <c r="I657" s="736"/>
    </row>
    <row r="658" spans="1:9" s="737" customFormat="1">
      <c r="A658" s="738"/>
      <c r="B658" s="735" t="s">
        <v>6040</v>
      </c>
      <c r="C658" s="734">
        <v>-1</v>
      </c>
      <c r="D658" s="734">
        <v>1</v>
      </c>
      <c r="E658" s="739">
        <v>0.9</v>
      </c>
      <c r="F658" s="739"/>
      <c r="G658" s="739">
        <v>2.1</v>
      </c>
      <c r="H658" s="739">
        <f t="shared" si="54"/>
        <v>-1.89</v>
      </c>
      <c r="I658" s="736"/>
    </row>
    <row r="659" spans="1:9" s="737" customFormat="1">
      <c r="A659" s="738"/>
      <c r="B659" s="735" t="s">
        <v>6007</v>
      </c>
      <c r="C659" s="734">
        <v>-1</v>
      </c>
      <c r="D659" s="734">
        <v>3</v>
      </c>
      <c r="E659" s="739">
        <v>0.9</v>
      </c>
      <c r="F659" s="739"/>
      <c r="G659" s="739">
        <v>2.1</v>
      </c>
      <c r="H659" s="739">
        <f t="shared" si="54"/>
        <v>-5.67</v>
      </c>
      <c r="I659" s="736"/>
    </row>
    <row r="660" spans="1:9" s="737" customFormat="1">
      <c r="A660" s="738"/>
      <c r="B660" s="735" t="s">
        <v>6047</v>
      </c>
      <c r="C660" s="734">
        <v>-1</v>
      </c>
      <c r="D660" s="734">
        <v>1</v>
      </c>
      <c r="E660" s="739">
        <v>1.95</v>
      </c>
      <c r="F660" s="739"/>
      <c r="G660" s="739">
        <v>2</v>
      </c>
      <c r="H660" s="739">
        <f t="shared" si="54"/>
        <v>-3.9</v>
      </c>
      <c r="I660" s="736"/>
    </row>
    <row r="661" spans="1:9" s="737" customFormat="1">
      <c r="A661" s="738"/>
      <c r="B661" s="735" t="s">
        <v>6044</v>
      </c>
      <c r="C661" s="734">
        <v>1</v>
      </c>
      <c r="D661" s="734">
        <v>1</v>
      </c>
      <c r="E661" s="739">
        <f>(4.2+0.9)</f>
        <v>5.0999999999999996</v>
      </c>
      <c r="F661" s="739">
        <v>0.23</v>
      </c>
      <c r="G661" s="739"/>
      <c r="H661" s="739">
        <f t="shared" si="54"/>
        <v>1.17</v>
      </c>
      <c r="I661" s="736"/>
    </row>
    <row r="662" spans="1:9" s="737" customFormat="1">
      <c r="A662" s="738"/>
      <c r="B662" s="735" t="s">
        <v>6012</v>
      </c>
      <c r="C662" s="734">
        <v>1</v>
      </c>
      <c r="D662" s="734">
        <v>1</v>
      </c>
      <c r="E662" s="739">
        <f>(4.2+0.9)</f>
        <v>5.0999999999999996</v>
      </c>
      <c r="F662" s="739">
        <v>0.23</v>
      </c>
      <c r="G662" s="739"/>
      <c r="H662" s="739">
        <f t="shared" si="54"/>
        <v>1.17</v>
      </c>
      <c r="I662" s="736"/>
    </row>
    <row r="663" spans="1:9" s="737" customFormat="1">
      <c r="A663" s="738"/>
      <c r="B663" s="735" t="s">
        <v>6048</v>
      </c>
      <c r="C663" s="734">
        <v>1</v>
      </c>
      <c r="D663" s="734">
        <v>1</v>
      </c>
      <c r="E663" s="739">
        <f>(1.95+2)*2</f>
        <v>7.9</v>
      </c>
      <c r="F663" s="739">
        <v>0.15</v>
      </c>
      <c r="G663" s="739"/>
      <c r="H663" s="739">
        <f t="shared" si="54"/>
        <v>1.19</v>
      </c>
      <c r="I663" s="736"/>
    </row>
    <row r="664" spans="1:9" s="737" customFormat="1">
      <c r="A664" s="738"/>
      <c r="B664" s="735" t="s">
        <v>6049</v>
      </c>
      <c r="C664" s="734">
        <v>1</v>
      </c>
      <c r="D664" s="734">
        <v>1</v>
      </c>
      <c r="E664" s="739">
        <f>(3.15+1.35)*2</f>
        <v>9</v>
      </c>
      <c r="F664" s="739"/>
      <c r="G664" s="739">
        <v>2.92</v>
      </c>
      <c r="H664" s="739">
        <f t="shared" si="54"/>
        <v>26.28</v>
      </c>
      <c r="I664" s="736"/>
    </row>
    <row r="665" spans="1:9" s="737" customFormat="1">
      <c r="A665" s="738"/>
      <c r="B665" s="735" t="s">
        <v>6040</v>
      </c>
      <c r="C665" s="734">
        <v>-1</v>
      </c>
      <c r="D665" s="734">
        <v>1</v>
      </c>
      <c r="E665" s="739">
        <v>0.9</v>
      </c>
      <c r="F665" s="739"/>
      <c r="G665" s="739">
        <v>2.1</v>
      </c>
      <c r="H665" s="739">
        <f t="shared" si="54"/>
        <v>-1.89</v>
      </c>
      <c r="I665" s="736"/>
    </row>
    <row r="666" spans="1:9" s="737" customFormat="1">
      <c r="A666" s="738"/>
      <c r="B666" s="735" t="s">
        <v>6047</v>
      </c>
      <c r="C666" s="734">
        <v>-1</v>
      </c>
      <c r="D666" s="734">
        <v>1</v>
      </c>
      <c r="E666" s="739">
        <v>1.95</v>
      </c>
      <c r="F666" s="739"/>
      <c r="G666" s="739">
        <v>2</v>
      </c>
      <c r="H666" s="739">
        <f t="shared" si="54"/>
        <v>-3.9</v>
      </c>
      <c r="I666" s="736"/>
    </row>
    <row r="667" spans="1:9" s="737" customFormat="1">
      <c r="A667" s="738"/>
      <c r="B667" s="735" t="s">
        <v>6050</v>
      </c>
      <c r="C667" s="734">
        <v>-1</v>
      </c>
      <c r="D667" s="734">
        <v>1</v>
      </c>
      <c r="E667" s="739">
        <v>3.15</v>
      </c>
      <c r="F667" s="739"/>
      <c r="G667" s="739">
        <v>1.2</v>
      </c>
      <c r="H667" s="739">
        <f t="shared" si="54"/>
        <v>-3.78</v>
      </c>
      <c r="I667" s="736"/>
    </row>
    <row r="668" spans="1:9" s="737" customFormat="1">
      <c r="A668" s="738"/>
      <c r="B668" s="735" t="s">
        <v>6051</v>
      </c>
      <c r="C668" s="734">
        <v>1</v>
      </c>
      <c r="D668" s="734">
        <v>1</v>
      </c>
      <c r="E668" s="739">
        <f>(3.15+1.2)*2</f>
        <v>8.6999999999999993</v>
      </c>
      <c r="F668" s="739">
        <v>0.12</v>
      </c>
      <c r="G668" s="739"/>
      <c r="H668" s="739">
        <f t="shared" si="54"/>
        <v>1.04</v>
      </c>
      <c r="I668" s="736"/>
    </row>
    <row r="669" spans="1:9" s="737" customFormat="1">
      <c r="A669" s="738"/>
      <c r="B669" s="735" t="s">
        <v>6048</v>
      </c>
      <c r="C669" s="734">
        <v>1</v>
      </c>
      <c r="D669" s="734">
        <v>1</v>
      </c>
      <c r="E669" s="739">
        <f>(1.95+2)*2</f>
        <v>7.9</v>
      </c>
      <c r="F669" s="739">
        <v>0.15</v>
      </c>
      <c r="G669" s="739"/>
      <c r="H669" s="739">
        <f t="shared" si="54"/>
        <v>1.19</v>
      </c>
      <c r="I669" s="736"/>
    </row>
    <row r="670" spans="1:9" s="737" customFormat="1">
      <c r="A670" s="738"/>
      <c r="B670" s="735" t="s">
        <v>6052</v>
      </c>
      <c r="C670" s="734">
        <v>1</v>
      </c>
      <c r="D670" s="734">
        <v>1</v>
      </c>
      <c r="E670" s="739">
        <f>(3.6+3.755)*2</f>
        <v>14.71</v>
      </c>
      <c r="F670" s="739"/>
      <c r="G670" s="739">
        <v>2.92</v>
      </c>
      <c r="H670" s="739">
        <f>PRODUCT(C670:G670)</f>
        <v>42.95</v>
      </c>
      <c r="I670" s="736"/>
    </row>
    <row r="671" spans="1:9" s="737" customFormat="1">
      <c r="A671" s="738"/>
      <c r="B671" s="735" t="s">
        <v>6015</v>
      </c>
      <c r="C671" s="734">
        <v>-1</v>
      </c>
      <c r="D671" s="734">
        <v>2</v>
      </c>
      <c r="E671" s="739">
        <v>1.5</v>
      </c>
      <c r="F671" s="739"/>
      <c r="G671" s="739">
        <v>1.35</v>
      </c>
      <c r="H671" s="739">
        <f t="shared" ref="H671:H676" si="55">PRODUCT(C671:G671)</f>
        <v>-4.05</v>
      </c>
      <c r="I671" s="736"/>
    </row>
    <row r="672" spans="1:9" s="737" customFormat="1">
      <c r="A672" s="738"/>
      <c r="B672" s="735" t="s">
        <v>6020</v>
      </c>
      <c r="C672" s="734">
        <v>-1</v>
      </c>
      <c r="D672" s="734">
        <v>1</v>
      </c>
      <c r="E672" s="739">
        <v>0.75</v>
      </c>
      <c r="F672" s="739"/>
      <c r="G672" s="739">
        <v>2.1</v>
      </c>
      <c r="H672" s="739">
        <f t="shared" si="55"/>
        <v>-1.58</v>
      </c>
      <c r="I672" s="736"/>
    </row>
    <row r="673" spans="1:9" s="737" customFormat="1">
      <c r="A673" s="738"/>
      <c r="B673" s="735" t="s">
        <v>6042</v>
      </c>
      <c r="C673" s="734">
        <v>-1</v>
      </c>
      <c r="D673" s="734">
        <v>1</v>
      </c>
      <c r="E673" s="739">
        <v>1.0900000000000001</v>
      </c>
      <c r="F673" s="739"/>
      <c r="G673" s="739">
        <v>2.1</v>
      </c>
      <c r="H673" s="739">
        <f t="shared" si="55"/>
        <v>-2.29</v>
      </c>
      <c r="I673" s="736"/>
    </row>
    <row r="674" spans="1:9" s="737" customFormat="1">
      <c r="A674" s="738"/>
      <c r="B674" s="735" t="s">
        <v>6017</v>
      </c>
      <c r="C674" s="734">
        <v>1</v>
      </c>
      <c r="D674" s="734">
        <v>2</v>
      </c>
      <c r="E674" s="739">
        <f>(1.35+1.5)*2</f>
        <v>5.7</v>
      </c>
      <c r="F674" s="739">
        <v>0.15</v>
      </c>
      <c r="G674" s="739"/>
      <c r="H674" s="739">
        <f t="shared" si="55"/>
        <v>1.71</v>
      </c>
      <c r="I674" s="736"/>
    </row>
    <row r="675" spans="1:9" s="737" customFormat="1">
      <c r="A675" s="738"/>
      <c r="B675" s="735" t="s">
        <v>6023</v>
      </c>
      <c r="C675" s="734">
        <v>1</v>
      </c>
      <c r="D675" s="734">
        <v>1</v>
      </c>
      <c r="E675" s="739">
        <f>(4.2+0.75)</f>
        <v>4.95</v>
      </c>
      <c r="F675" s="739">
        <v>0.12</v>
      </c>
      <c r="G675" s="739"/>
      <c r="H675" s="739">
        <f t="shared" si="55"/>
        <v>0.59</v>
      </c>
      <c r="I675" s="736"/>
    </row>
    <row r="676" spans="1:9" s="737" customFormat="1">
      <c r="A676" s="738"/>
      <c r="B676" s="735" t="s">
        <v>6046</v>
      </c>
      <c r="C676" s="734">
        <v>1</v>
      </c>
      <c r="D676" s="734">
        <v>1</v>
      </c>
      <c r="E676" s="739">
        <f>(4.2+1.085)</f>
        <v>5.29</v>
      </c>
      <c r="F676" s="739">
        <v>0.12</v>
      </c>
      <c r="G676" s="739"/>
      <c r="H676" s="739">
        <f t="shared" si="55"/>
        <v>0.63</v>
      </c>
      <c r="I676" s="736"/>
    </row>
    <row r="677" spans="1:9" s="737" customFormat="1">
      <c r="A677" s="738"/>
      <c r="B677" s="735" t="s">
        <v>6053</v>
      </c>
      <c r="C677" s="734">
        <v>1</v>
      </c>
      <c r="D677" s="734">
        <v>1</v>
      </c>
      <c r="E677" s="739">
        <f>(1.95+1.5)*2</f>
        <v>6.9</v>
      </c>
      <c r="F677" s="739"/>
      <c r="G677" s="739">
        <v>2.92</v>
      </c>
      <c r="H677" s="739">
        <f>PRODUCT(C677:G677)</f>
        <v>20.149999999999999</v>
      </c>
      <c r="I677" s="736"/>
    </row>
    <row r="678" spans="1:9" s="737" customFormat="1">
      <c r="A678" s="738"/>
      <c r="B678" s="735" t="s">
        <v>6020</v>
      </c>
      <c r="C678" s="734">
        <v>-1</v>
      </c>
      <c r="D678" s="734">
        <v>1</v>
      </c>
      <c r="E678" s="739">
        <v>0.75</v>
      </c>
      <c r="F678" s="739"/>
      <c r="G678" s="739">
        <v>2.1</v>
      </c>
      <c r="H678" s="739">
        <f t="shared" ref="H678:H681" si="56">PRODUCT(C678:G678)</f>
        <v>-1.58</v>
      </c>
      <c r="I678" s="736"/>
    </row>
    <row r="679" spans="1:9" s="737" customFormat="1">
      <c r="A679" s="738"/>
      <c r="B679" s="735" t="s">
        <v>6021</v>
      </c>
      <c r="C679" s="734">
        <v>-1</v>
      </c>
      <c r="D679" s="734">
        <v>1</v>
      </c>
      <c r="E679" s="739">
        <v>0.75</v>
      </c>
      <c r="F679" s="739"/>
      <c r="G679" s="739">
        <v>0.75</v>
      </c>
      <c r="H679" s="739">
        <f>PRODUCT(C679:G679)</f>
        <v>-0.56000000000000005</v>
      </c>
      <c r="I679" s="736"/>
    </row>
    <row r="680" spans="1:9" s="737" customFormat="1">
      <c r="A680" s="738"/>
      <c r="B680" s="735" t="s">
        <v>6023</v>
      </c>
      <c r="C680" s="734">
        <v>1</v>
      </c>
      <c r="D680" s="734">
        <v>1</v>
      </c>
      <c r="E680" s="739">
        <f>(4.2+0.75)</f>
        <v>4.95</v>
      </c>
      <c r="F680" s="739">
        <v>0.12</v>
      </c>
      <c r="G680" s="739"/>
      <c r="H680" s="739">
        <f t="shared" si="56"/>
        <v>0.59</v>
      </c>
      <c r="I680" s="736"/>
    </row>
    <row r="681" spans="1:9" s="737" customFormat="1" ht="22.5" customHeight="1">
      <c r="A681" s="738"/>
      <c r="B681" s="735" t="s">
        <v>6022</v>
      </c>
      <c r="C681" s="734">
        <v>1</v>
      </c>
      <c r="D681" s="734">
        <v>1</v>
      </c>
      <c r="E681" s="739">
        <f>(0.75+0.75)*2</f>
        <v>3</v>
      </c>
      <c r="F681" s="739">
        <v>0.15</v>
      </c>
      <c r="G681" s="739"/>
      <c r="H681" s="739">
        <f t="shared" si="56"/>
        <v>0.45</v>
      </c>
      <c r="I681" s="736"/>
    </row>
    <row r="682" spans="1:9" s="737" customFormat="1">
      <c r="A682" s="738"/>
      <c r="B682" s="735" t="s">
        <v>6054</v>
      </c>
      <c r="C682" s="734">
        <v>1</v>
      </c>
      <c r="D682" s="734">
        <v>1</v>
      </c>
      <c r="E682" s="739">
        <f>(1.085+0.45+1.5)*2</f>
        <v>6.07</v>
      </c>
      <c r="F682" s="739"/>
      <c r="G682" s="739">
        <v>2.92</v>
      </c>
      <c r="H682" s="739">
        <f>PRODUCT(C682:G682)</f>
        <v>17.72</v>
      </c>
      <c r="I682" s="736"/>
    </row>
    <row r="683" spans="1:9" s="737" customFormat="1">
      <c r="A683" s="738"/>
      <c r="B683" s="735" t="s">
        <v>6042</v>
      </c>
      <c r="C683" s="734">
        <v>-1</v>
      </c>
      <c r="D683" s="734">
        <v>1</v>
      </c>
      <c r="E683" s="739">
        <v>1.0900000000000001</v>
      </c>
      <c r="F683" s="739"/>
      <c r="G683" s="739">
        <v>2.1</v>
      </c>
      <c r="H683" s="739">
        <f t="shared" ref="H683:H684" si="57">PRODUCT(C683:G683)</f>
        <v>-2.29</v>
      </c>
      <c r="I683" s="736"/>
    </row>
    <row r="684" spans="1:9" s="737" customFormat="1">
      <c r="A684" s="738"/>
      <c r="B684" s="735" t="s">
        <v>6007</v>
      </c>
      <c r="C684" s="734">
        <v>-1</v>
      </c>
      <c r="D684" s="734">
        <v>1</v>
      </c>
      <c r="E684" s="739">
        <v>0.9</v>
      </c>
      <c r="F684" s="739"/>
      <c r="G684" s="739">
        <v>2.1</v>
      </c>
      <c r="H684" s="739">
        <f t="shared" si="57"/>
        <v>-1.89</v>
      </c>
      <c r="I684" s="736"/>
    </row>
    <row r="685" spans="1:9" s="737" customFormat="1">
      <c r="A685" s="738"/>
      <c r="B685" s="735" t="s">
        <v>6055</v>
      </c>
      <c r="C685" s="734">
        <v>1</v>
      </c>
      <c r="D685" s="734">
        <v>1</v>
      </c>
      <c r="E685" s="739">
        <f>(3.6+3.6)*2</f>
        <v>14.4</v>
      </c>
      <c r="F685" s="739"/>
      <c r="G685" s="739">
        <v>2.92</v>
      </c>
      <c r="H685" s="739">
        <f>PRODUCT(C685:G685)</f>
        <v>42.05</v>
      </c>
      <c r="I685" s="736"/>
    </row>
    <row r="686" spans="1:9" s="737" customFormat="1">
      <c r="A686" s="738"/>
      <c r="B686" s="735" t="s">
        <v>6015</v>
      </c>
      <c r="C686" s="734">
        <v>-1</v>
      </c>
      <c r="D686" s="734">
        <v>2</v>
      </c>
      <c r="E686" s="739">
        <v>1.5</v>
      </c>
      <c r="F686" s="739"/>
      <c r="G686" s="739">
        <v>1.35</v>
      </c>
      <c r="H686" s="739">
        <f t="shared" ref="H686:H689" si="58">PRODUCT(C686:G686)</f>
        <v>-4.05</v>
      </c>
      <c r="I686" s="736"/>
    </row>
    <row r="687" spans="1:9" s="737" customFormat="1">
      <c r="A687" s="738"/>
      <c r="B687" s="735" t="s">
        <v>6007</v>
      </c>
      <c r="C687" s="734">
        <v>-1</v>
      </c>
      <c r="D687" s="734">
        <v>1</v>
      </c>
      <c r="E687" s="739">
        <v>0.9</v>
      </c>
      <c r="F687" s="739"/>
      <c r="G687" s="739">
        <v>2.1</v>
      </c>
      <c r="H687" s="739">
        <f t="shared" si="58"/>
        <v>-1.89</v>
      </c>
      <c r="I687" s="736"/>
    </row>
    <row r="688" spans="1:9" s="737" customFormat="1">
      <c r="A688" s="738"/>
      <c r="B688" s="735" t="s">
        <v>6017</v>
      </c>
      <c r="C688" s="734">
        <v>1</v>
      </c>
      <c r="D688" s="734">
        <v>2</v>
      </c>
      <c r="E688" s="739">
        <f>(1.35+1.5)*2</f>
        <v>5.7</v>
      </c>
      <c r="F688" s="739">
        <v>0.15</v>
      </c>
      <c r="G688" s="739"/>
      <c r="H688" s="739">
        <f t="shared" si="58"/>
        <v>1.71</v>
      </c>
      <c r="I688" s="736"/>
    </row>
    <row r="689" spans="1:9" s="737" customFormat="1">
      <c r="A689" s="738"/>
      <c r="B689" s="735" t="s">
        <v>6012</v>
      </c>
      <c r="C689" s="734">
        <v>1</v>
      </c>
      <c r="D689" s="734">
        <v>1</v>
      </c>
      <c r="E689" s="739">
        <f>(4.2+0.9)</f>
        <v>5.0999999999999996</v>
      </c>
      <c r="F689" s="739">
        <v>0.12</v>
      </c>
      <c r="G689" s="739"/>
      <c r="H689" s="739">
        <f t="shared" si="58"/>
        <v>0.61</v>
      </c>
      <c r="I689" s="736"/>
    </row>
    <row r="690" spans="1:9" s="737" customFormat="1">
      <c r="A690" s="738"/>
      <c r="B690" s="735" t="s">
        <v>5836</v>
      </c>
      <c r="C690" s="734">
        <v>1</v>
      </c>
      <c r="D690" s="734">
        <v>1</v>
      </c>
      <c r="E690" s="739">
        <f>(1.5+1.35)*2</f>
        <v>5.7</v>
      </c>
      <c r="F690" s="739"/>
      <c r="G690" s="739">
        <v>2.92</v>
      </c>
      <c r="H690" s="739">
        <f>PRODUCT(C690:G690)</f>
        <v>16.64</v>
      </c>
      <c r="I690" s="736"/>
    </row>
    <row r="691" spans="1:9" s="737" customFormat="1">
      <c r="A691" s="738"/>
      <c r="B691" s="735" t="s">
        <v>6020</v>
      </c>
      <c r="C691" s="734">
        <v>-1</v>
      </c>
      <c r="D691" s="734">
        <v>1</v>
      </c>
      <c r="E691" s="739">
        <v>0.75</v>
      </c>
      <c r="F691" s="739"/>
      <c r="G691" s="739">
        <v>2.1</v>
      </c>
      <c r="H691" s="739">
        <f t="shared" ref="H691" si="59">PRODUCT(C691:G691)</f>
        <v>-1.58</v>
      </c>
      <c r="I691" s="736"/>
    </row>
    <row r="692" spans="1:9" s="737" customFormat="1">
      <c r="A692" s="738"/>
      <c r="B692" s="735" t="s">
        <v>6021</v>
      </c>
      <c r="C692" s="734">
        <v>-1</v>
      </c>
      <c r="D692" s="734">
        <v>1</v>
      </c>
      <c r="E692" s="739">
        <v>0.75</v>
      </c>
      <c r="F692" s="739"/>
      <c r="G692" s="739">
        <v>0.75</v>
      </c>
      <c r="H692" s="739">
        <f>PRODUCT(C692:G692)</f>
        <v>-0.56000000000000005</v>
      </c>
      <c r="I692" s="736"/>
    </row>
    <row r="693" spans="1:9" s="737" customFormat="1">
      <c r="A693" s="738"/>
      <c r="B693" s="735" t="s">
        <v>6023</v>
      </c>
      <c r="C693" s="734">
        <v>1</v>
      </c>
      <c r="D693" s="734">
        <v>1</v>
      </c>
      <c r="E693" s="739">
        <f>(4.2+0.75)</f>
        <v>4.95</v>
      </c>
      <c r="F693" s="739">
        <v>0.12</v>
      </c>
      <c r="G693" s="739"/>
      <c r="H693" s="739">
        <f t="shared" ref="H693:H694" si="60">PRODUCT(C693:G693)</f>
        <v>0.59</v>
      </c>
      <c r="I693" s="736"/>
    </row>
    <row r="694" spans="1:9" s="737" customFormat="1" ht="22.5" customHeight="1">
      <c r="A694" s="738"/>
      <c r="B694" s="735" t="s">
        <v>6022</v>
      </c>
      <c r="C694" s="734">
        <v>1</v>
      </c>
      <c r="D694" s="734">
        <v>1</v>
      </c>
      <c r="E694" s="739">
        <f>(0.75+0.75)*2</f>
        <v>3</v>
      </c>
      <c r="F694" s="739">
        <v>0.15</v>
      </c>
      <c r="G694" s="739"/>
      <c r="H694" s="739">
        <f t="shared" si="60"/>
        <v>0.45</v>
      </c>
      <c r="I694" s="736"/>
    </row>
    <row r="695" spans="1:9" s="737" customFormat="1">
      <c r="A695" s="738"/>
      <c r="B695" s="735" t="s">
        <v>6056</v>
      </c>
      <c r="C695" s="734">
        <v>1</v>
      </c>
      <c r="D695" s="734">
        <v>1</v>
      </c>
      <c r="E695" s="739">
        <f>(1.985+1.35)*2</f>
        <v>6.67</v>
      </c>
      <c r="F695" s="739"/>
      <c r="G695" s="739">
        <v>2.92</v>
      </c>
      <c r="H695" s="739">
        <f>PRODUCT(C695:G695)</f>
        <v>19.48</v>
      </c>
      <c r="I695" s="736"/>
    </row>
    <row r="696" spans="1:9" s="737" customFormat="1">
      <c r="A696" s="738"/>
      <c r="B696" s="735" t="s">
        <v>6042</v>
      </c>
      <c r="C696" s="734">
        <v>-1</v>
      </c>
      <c r="D696" s="734">
        <v>1</v>
      </c>
      <c r="E696" s="739">
        <v>1.35</v>
      </c>
      <c r="F696" s="739"/>
      <c r="G696" s="739">
        <v>2.1</v>
      </c>
      <c r="H696" s="739">
        <f t="shared" ref="H696:H698" si="61">PRODUCT(C696:G696)</f>
        <v>-2.84</v>
      </c>
      <c r="I696" s="736"/>
    </row>
    <row r="697" spans="1:9" s="737" customFormat="1">
      <c r="A697" s="738"/>
      <c r="B697" s="735" t="s">
        <v>6007</v>
      </c>
      <c r="C697" s="734">
        <v>-1</v>
      </c>
      <c r="D697" s="734">
        <v>1</v>
      </c>
      <c r="E697" s="739">
        <v>0.9</v>
      </c>
      <c r="F697" s="739"/>
      <c r="G697" s="739">
        <v>2.1</v>
      </c>
      <c r="H697" s="739">
        <f t="shared" si="61"/>
        <v>-1.89</v>
      </c>
      <c r="I697" s="736"/>
    </row>
    <row r="698" spans="1:9" s="737" customFormat="1">
      <c r="A698" s="738"/>
      <c r="B698" s="735" t="s">
        <v>6020</v>
      </c>
      <c r="C698" s="734">
        <v>-1</v>
      </c>
      <c r="D698" s="734">
        <v>1</v>
      </c>
      <c r="E698" s="739">
        <v>0.75</v>
      </c>
      <c r="F698" s="739"/>
      <c r="G698" s="739">
        <v>2.1</v>
      </c>
      <c r="H698" s="739">
        <f t="shared" si="61"/>
        <v>-1.58</v>
      </c>
      <c r="I698" s="736"/>
    </row>
    <row r="699" spans="1:9" s="737" customFormat="1">
      <c r="A699" s="738"/>
      <c r="B699" s="735" t="s">
        <v>6057</v>
      </c>
      <c r="C699" s="734">
        <v>1</v>
      </c>
      <c r="D699" s="734">
        <v>1</v>
      </c>
      <c r="E699" s="739">
        <f>(4.045+2.895)*2</f>
        <v>13.88</v>
      </c>
      <c r="F699" s="739"/>
      <c r="G699" s="739">
        <v>2.92</v>
      </c>
      <c r="H699" s="739">
        <f>PRODUCT(C699:G699)</f>
        <v>40.53</v>
      </c>
      <c r="I699" s="736"/>
    </row>
    <row r="700" spans="1:9" s="737" customFormat="1">
      <c r="A700" s="738"/>
      <c r="B700" s="735" t="s">
        <v>6008</v>
      </c>
      <c r="C700" s="734">
        <v>-1</v>
      </c>
      <c r="D700" s="734">
        <v>1</v>
      </c>
      <c r="E700" s="739">
        <v>2.2000000000000002</v>
      </c>
      <c r="F700" s="739"/>
      <c r="G700" s="739">
        <v>2.1</v>
      </c>
      <c r="H700" s="739">
        <f t="shared" ref="H700:H703" si="62">PRODUCT(C700:G700)</f>
        <v>-4.62</v>
      </c>
      <c r="I700" s="736"/>
    </row>
    <row r="701" spans="1:9" s="737" customFormat="1">
      <c r="A701" s="738"/>
      <c r="B701" s="735" t="s">
        <v>6007</v>
      </c>
      <c r="C701" s="734">
        <v>-1</v>
      </c>
      <c r="D701" s="734">
        <v>1</v>
      </c>
      <c r="E701" s="739">
        <v>0.9</v>
      </c>
      <c r="F701" s="739"/>
      <c r="G701" s="739">
        <v>2.1</v>
      </c>
      <c r="H701" s="739">
        <f t="shared" si="62"/>
        <v>-1.89</v>
      </c>
      <c r="I701" s="736"/>
    </row>
    <row r="702" spans="1:9" s="737" customFormat="1">
      <c r="A702" s="738"/>
      <c r="B702" s="735" t="s">
        <v>6013</v>
      </c>
      <c r="C702" s="734">
        <v>1</v>
      </c>
      <c r="D702" s="734">
        <v>1</v>
      </c>
      <c r="E702" s="739">
        <f>(4.2+2.2)</f>
        <v>6.4</v>
      </c>
      <c r="F702" s="739">
        <v>0.23</v>
      </c>
      <c r="G702" s="739"/>
      <c r="H702" s="739">
        <f t="shared" si="62"/>
        <v>1.47</v>
      </c>
      <c r="I702" s="736"/>
    </row>
    <row r="703" spans="1:9" s="737" customFormat="1">
      <c r="A703" s="738"/>
      <c r="B703" s="735" t="s">
        <v>6012</v>
      </c>
      <c r="C703" s="734">
        <v>1</v>
      </c>
      <c r="D703" s="734">
        <v>1</v>
      </c>
      <c r="E703" s="739">
        <f>(4.2+0.9)</f>
        <v>5.0999999999999996</v>
      </c>
      <c r="F703" s="739">
        <v>0.12</v>
      </c>
      <c r="G703" s="739"/>
      <c r="H703" s="739">
        <f t="shared" si="62"/>
        <v>0.61</v>
      </c>
      <c r="I703" s="736"/>
    </row>
    <row r="704" spans="1:9" s="737" customFormat="1">
      <c r="A704" s="738"/>
      <c r="B704" s="735" t="s">
        <v>6058</v>
      </c>
      <c r="C704" s="734">
        <v>1</v>
      </c>
      <c r="D704" s="734">
        <v>1</v>
      </c>
      <c r="E704" s="739">
        <f>(2.63+2.515)*2</f>
        <v>10.29</v>
      </c>
      <c r="F704" s="739"/>
      <c r="G704" s="739">
        <v>2.92</v>
      </c>
      <c r="H704" s="739">
        <f>PRODUCT(C704:G704)</f>
        <v>30.05</v>
      </c>
      <c r="I704" s="736"/>
    </row>
    <row r="705" spans="1:9" s="737" customFormat="1">
      <c r="A705" s="738"/>
      <c r="B705" s="735" t="s">
        <v>6008</v>
      </c>
      <c r="C705" s="734">
        <v>-1</v>
      </c>
      <c r="D705" s="734">
        <v>1</v>
      </c>
      <c r="E705" s="739">
        <v>2.2000000000000002</v>
      </c>
      <c r="F705" s="739"/>
      <c r="G705" s="739">
        <v>2.1</v>
      </c>
      <c r="H705" s="739">
        <f t="shared" ref="H705:H707" si="63">PRODUCT(C705:G705)</f>
        <v>-4.62</v>
      </c>
      <c r="I705" s="736"/>
    </row>
    <row r="706" spans="1:9" s="737" customFormat="1">
      <c r="A706" s="738"/>
      <c r="B706" s="735" t="s">
        <v>6020</v>
      </c>
      <c r="C706" s="734">
        <v>-1</v>
      </c>
      <c r="D706" s="734">
        <v>1</v>
      </c>
      <c r="E706" s="739">
        <v>0.75</v>
      </c>
      <c r="F706" s="739"/>
      <c r="G706" s="739">
        <v>2.1</v>
      </c>
      <c r="H706" s="739">
        <f t="shared" si="63"/>
        <v>-1.58</v>
      </c>
      <c r="I706" s="736"/>
    </row>
    <row r="707" spans="1:9" s="737" customFormat="1">
      <c r="A707" s="738"/>
      <c r="B707" s="735" t="s">
        <v>6023</v>
      </c>
      <c r="C707" s="734">
        <v>1</v>
      </c>
      <c r="D707" s="734">
        <v>1</v>
      </c>
      <c r="E707" s="739">
        <f>(4.2+0.75)</f>
        <v>4.95</v>
      </c>
      <c r="F707" s="739">
        <v>0.12</v>
      </c>
      <c r="G707" s="739"/>
      <c r="H707" s="739">
        <f t="shared" si="63"/>
        <v>0.59</v>
      </c>
      <c r="I707" s="736"/>
    </row>
    <row r="708" spans="1:9" s="737" customFormat="1">
      <c r="A708" s="738"/>
      <c r="B708" s="735" t="s">
        <v>6059</v>
      </c>
      <c r="C708" s="734">
        <v>1</v>
      </c>
      <c r="D708" s="734">
        <v>1</v>
      </c>
      <c r="E708" s="739">
        <f>(1.8+1.5)*2</f>
        <v>6.6</v>
      </c>
      <c r="F708" s="739"/>
      <c r="G708" s="739">
        <v>2.92</v>
      </c>
      <c r="H708" s="739">
        <f>PRODUCT(C708:G708)</f>
        <v>19.27</v>
      </c>
      <c r="I708" s="736"/>
    </row>
    <row r="709" spans="1:9" s="737" customFormat="1">
      <c r="A709" s="738"/>
      <c r="B709" s="735" t="s">
        <v>6020</v>
      </c>
      <c r="C709" s="734">
        <v>-1</v>
      </c>
      <c r="D709" s="734">
        <v>1</v>
      </c>
      <c r="E709" s="739">
        <v>0.75</v>
      </c>
      <c r="F709" s="739"/>
      <c r="G709" s="739">
        <v>2.1</v>
      </c>
      <c r="H709" s="739">
        <f t="shared" ref="H709" si="64">PRODUCT(C709:G709)</f>
        <v>-1.58</v>
      </c>
      <c r="I709" s="736"/>
    </row>
    <row r="710" spans="1:9" s="737" customFormat="1">
      <c r="A710" s="738"/>
      <c r="B710" s="735" t="s">
        <v>6021</v>
      </c>
      <c r="C710" s="734">
        <v>-1</v>
      </c>
      <c r="D710" s="734">
        <v>1</v>
      </c>
      <c r="E710" s="739">
        <v>0.75</v>
      </c>
      <c r="F710" s="739"/>
      <c r="G710" s="739">
        <v>0.75</v>
      </c>
      <c r="H710" s="739">
        <f>PRODUCT(C710:G710)</f>
        <v>-0.56000000000000005</v>
      </c>
      <c r="I710" s="736"/>
    </row>
    <row r="711" spans="1:9" s="737" customFormat="1">
      <c r="A711" s="738"/>
      <c r="B711" s="735" t="s">
        <v>6023</v>
      </c>
      <c r="C711" s="734">
        <v>1</v>
      </c>
      <c r="D711" s="734">
        <v>1</v>
      </c>
      <c r="E711" s="739">
        <f>(4.2+0.75)</f>
        <v>4.95</v>
      </c>
      <c r="F711" s="739">
        <v>0.12</v>
      </c>
      <c r="G711" s="739"/>
      <c r="H711" s="739">
        <f t="shared" ref="H711:H712" si="65">PRODUCT(C711:G711)</f>
        <v>0.59</v>
      </c>
      <c r="I711" s="736"/>
    </row>
    <row r="712" spans="1:9" s="737" customFormat="1" ht="22.5" customHeight="1">
      <c r="A712" s="738"/>
      <c r="B712" s="735" t="s">
        <v>6022</v>
      </c>
      <c r="C712" s="734">
        <v>1</v>
      </c>
      <c r="D712" s="734">
        <v>1</v>
      </c>
      <c r="E712" s="739">
        <f>(0.75+0.75)*2</f>
        <v>3</v>
      </c>
      <c r="F712" s="739">
        <v>0.15</v>
      </c>
      <c r="G712" s="739"/>
      <c r="H712" s="739">
        <f t="shared" si="65"/>
        <v>0.45</v>
      </c>
      <c r="I712" s="736"/>
    </row>
    <row r="713" spans="1:9" s="737" customFormat="1">
      <c r="A713" s="738"/>
      <c r="B713" s="735" t="s">
        <v>5901</v>
      </c>
      <c r="C713" s="734">
        <v>1</v>
      </c>
      <c r="D713" s="734">
        <v>1</v>
      </c>
      <c r="E713" s="739">
        <f>(3.605+2.78)*2</f>
        <v>12.77</v>
      </c>
      <c r="F713" s="739"/>
      <c r="G713" s="739">
        <v>2.92</v>
      </c>
      <c r="H713" s="739">
        <f t="shared" si="54"/>
        <v>37.29</v>
      </c>
      <c r="I713" s="736"/>
    </row>
    <row r="714" spans="1:9" s="737" customFormat="1">
      <c r="A714" s="738"/>
      <c r="B714" s="735" t="s">
        <v>6007</v>
      </c>
      <c r="C714" s="734">
        <v>-1</v>
      </c>
      <c r="D714" s="734">
        <v>1</v>
      </c>
      <c r="E714" s="739">
        <v>0.9</v>
      </c>
      <c r="F714" s="739"/>
      <c r="G714" s="739">
        <v>2.1</v>
      </c>
      <c r="H714" s="739">
        <f t="shared" si="54"/>
        <v>-1.89</v>
      </c>
      <c r="I714" s="736"/>
    </row>
    <row r="715" spans="1:9" s="737" customFormat="1">
      <c r="A715" s="738"/>
      <c r="B715" s="735" t="s">
        <v>6060</v>
      </c>
      <c r="C715" s="734">
        <v>-1</v>
      </c>
      <c r="D715" s="734">
        <v>1</v>
      </c>
      <c r="E715" s="739">
        <v>0.9</v>
      </c>
      <c r="F715" s="739"/>
      <c r="G715" s="739">
        <v>2.1</v>
      </c>
      <c r="H715" s="739">
        <f t="shared" si="54"/>
        <v>-1.89</v>
      </c>
      <c r="I715" s="736"/>
    </row>
    <row r="716" spans="1:9" s="737" customFormat="1">
      <c r="A716" s="738"/>
      <c r="B716" s="735" t="s">
        <v>6061</v>
      </c>
      <c r="C716" s="734">
        <v>-1</v>
      </c>
      <c r="D716" s="734">
        <v>1</v>
      </c>
      <c r="E716" s="739">
        <v>1.5</v>
      </c>
      <c r="F716" s="739"/>
      <c r="G716" s="739">
        <v>1.35</v>
      </c>
      <c r="H716" s="739">
        <f t="shared" si="54"/>
        <v>-2.0299999999999998</v>
      </c>
      <c r="I716" s="736"/>
    </row>
    <row r="717" spans="1:9" s="737" customFormat="1">
      <c r="A717" s="738"/>
      <c r="B717" s="735" t="s">
        <v>6012</v>
      </c>
      <c r="C717" s="734">
        <v>1</v>
      </c>
      <c r="D717" s="734">
        <v>1</v>
      </c>
      <c r="E717" s="739">
        <f>(4.2+0.9)</f>
        <v>5.0999999999999996</v>
      </c>
      <c r="F717" s="739">
        <v>0.12</v>
      </c>
      <c r="G717" s="739"/>
      <c r="H717" s="739">
        <f t="shared" si="54"/>
        <v>0.61</v>
      </c>
      <c r="I717" s="736"/>
    </row>
    <row r="718" spans="1:9" s="737" customFormat="1">
      <c r="A718" s="738"/>
      <c r="B718" s="735" t="s">
        <v>6062</v>
      </c>
      <c r="C718" s="734">
        <v>1</v>
      </c>
      <c r="D718" s="734">
        <v>1</v>
      </c>
      <c r="E718" s="739">
        <f>(4.2+0.9)</f>
        <v>5.0999999999999996</v>
      </c>
      <c r="F718" s="739">
        <v>0.12</v>
      </c>
      <c r="G718" s="739"/>
      <c r="H718" s="739">
        <f t="shared" si="54"/>
        <v>0.61</v>
      </c>
      <c r="I718" s="736"/>
    </row>
    <row r="719" spans="1:9" s="737" customFormat="1">
      <c r="A719" s="738"/>
      <c r="B719" s="735" t="s">
        <v>6063</v>
      </c>
      <c r="C719" s="734">
        <v>1</v>
      </c>
      <c r="D719" s="734">
        <v>1</v>
      </c>
      <c r="E719" s="739">
        <f>(1.35+1.5)*2</f>
        <v>5.7</v>
      </c>
      <c r="F719" s="739">
        <v>0.15</v>
      </c>
      <c r="G719" s="739"/>
      <c r="H719" s="739">
        <f t="shared" si="54"/>
        <v>0.86</v>
      </c>
      <c r="I719" s="736"/>
    </row>
    <row r="720" spans="1:9" s="737" customFormat="1">
      <c r="A720" s="738"/>
      <c r="B720" s="735" t="s">
        <v>6025</v>
      </c>
      <c r="C720" s="734">
        <v>1</v>
      </c>
      <c r="D720" s="734">
        <v>1</v>
      </c>
      <c r="E720" s="739">
        <f>(0.9+1.655)*2</f>
        <v>5.1100000000000003</v>
      </c>
      <c r="F720" s="739"/>
      <c r="G720" s="739">
        <v>2.92</v>
      </c>
      <c r="H720" s="739">
        <f t="shared" si="54"/>
        <v>14.92</v>
      </c>
      <c r="I720" s="736"/>
    </row>
    <row r="721" spans="1:9" s="737" customFormat="1">
      <c r="A721" s="738"/>
      <c r="B721" s="735" t="s">
        <v>6060</v>
      </c>
      <c r="C721" s="734">
        <v>-1</v>
      </c>
      <c r="D721" s="734">
        <v>1</v>
      </c>
      <c r="E721" s="739">
        <v>0.9</v>
      </c>
      <c r="F721" s="739"/>
      <c r="G721" s="739">
        <v>2.1</v>
      </c>
      <c r="H721" s="739">
        <f t="shared" si="54"/>
        <v>-1.89</v>
      </c>
      <c r="I721" s="736"/>
    </row>
    <row r="722" spans="1:9" s="737" customFormat="1">
      <c r="A722" s="738"/>
      <c r="B722" s="735" t="s">
        <v>6008</v>
      </c>
      <c r="C722" s="734">
        <v>-1</v>
      </c>
      <c r="D722" s="734">
        <v>1</v>
      </c>
      <c r="E722" s="739">
        <v>0.9</v>
      </c>
      <c r="F722" s="739"/>
      <c r="G722" s="739">
        <v>2.1</v>
      </c>
      <c r="H722" s="739">
        <f t="shared" si="54"/>
        <v>-1.89</v>
      </c>
      <c r="I722" s="736"/>
    </row>
    <row r="723" spans="1:9" s="737" customFormat="1">
      <c r="A723" s="738"/>
      <c r="B723" s="735" t="s">
        <v>6013</v>
      </c>
      <c r="C723" s="734">
        <v>1</v>
      </c>
      <c r="D723" s="734">
        <v>1</v>
      </c>
      <c r="E723" s="739">
        <f>(4.2+0.9)</f>
        <v>5.0999999999999996</v>
      </c>
      <c r="F723" s="739">
        <v>0.12</v>
      </c>
      <c r="G723" s="739"/>
      <c r="H723" s="739">
        <f t="shared" si="54"/>
        <v>0.61</v>
      </c>
      <c r="I723" s="736"/>
    </row>
    <row r="724" spans="1:9" s="737" customFormat="1">
      <c r="A724" s="738"/>
      <c r="B724" s="735" t="s">
        <v>5834</v>
      </c>
      <c r="C724" s="734">
        <v>1</v>
      </c>
      <c r="D724" s="734">
        <v>1</v>
      </c>
      <c r="E724" s="739">
        <f>(2.515+1.65)*2</f>
        <v>8.33</v>
      </c>
      <c r="F724" s="739"/>
      <c r="G724" s="739">
        <v>2.92</v>
      </c>
      <c r="H724" s="739">
        <f t="shared" si="54"/>
        <v>24.32</v>
      </c>
      <c r="I724" s="736"/>
    </row>
    <row r="725" spans="1:9" s="737" customFormat="1">
      <c r="A725" s="738"/>
      <c r="B725" s="735" t="s">
        <v>6008</v>
      </c>
      <c r="C725" s="734">
        <v>-1</v>
      </c>
      <c r="D725" s="734">
        <v>1</v>
      </c>
      <c r="E725" s="739">
        <v>0.9</v>
      </c>
      <c r="F725" s="739"/>
      <c r="G725" s="739">
        <v>2.1</v>
      </c>
      <c r="H725" s="739">
        <f t="shared" si="54"/>
        <v>-1.89</v>
      </c>
      <c r="I725" s="736"/>
    </row>
    <row r="726" spans="1:9" s="737" customFormat="1">
      <c r="A726" s="738"/>
      <c r="B726" s="735" t="s">
        <v>6064</v>
      </c>
      <c r="C726" s="734">
        <v>-1</v>
      </c>
      <c r="D726" s="734">
        <v>2</v>
      </c>
      <c r="E726" s="739">
        <v>1</v>
      </c>
      <c r="F726" s="739"/>
      <c r="G726" s="739">
        <v>1.05</v>
      </c>
      <c r="H726" s="739">
        <f t="shared" si="54"/>
        <v>-2.1</v>
      </c>
      <c r="I726" s="736"/>
    </row>
    <row r="727" spans="1:9" s="737" customFormat="1">
      <c r="A727" s="738"/>
      <c r="B727" s="735" t="s">
        <v>6065</v>
      </c>
      <c r="C727" s="734">
        <v>-1</v>
      </c>
      <c r="D727" s="734">
        <v>1</v>
      </c>
      <c r="E727" s="739">
        <v>1.05</v>
      </c>
      <c r="F727" s="739"/>
      <c r="G727" s="739">
        <v>1.05</v>
      </c>
      <c r="H727" s="739">
        <f t="shared" si="54"/>
        <v>-1.1000000000000001</v>
      </c>
      <c r="I727" s="736"/>
    </row>
    <row r="728" spans="1:9" s="737" customFormat="1">
      <c r="A728" s="738"/>
      <c r="B728" s="735" t="s">
        <v>6013</v>
      </c>
      <c r="C728" s="734">
        <v>1</v>
      </c>
      <c r="D728" s="734">
        <v>1</v>
      </c>
      <c r="E728" s="739">
        <f>(4.2+0.9)</f>
        <v>5.0999999999999996</v>
      </c>
      <c r="F728" s="739">
        <v>0.12</v>
      </c>
      <c r="G728" s="739"/>
      <c r="H728" s="739">
        <f t="shared" si="54"/>
        <v>0.61</v>
      </c>
      <c r="I728" s="736"/>
    </row>
    <row r="729" spans="1:9" s="737" customFormat="1">
      <c r="A729" s="738"/>
      <c r="B729" s="735" t="s">
        <v>6066</v>
      </c>
      <c r="C729" s="734">
        <v>1</v>
      </c>
      <c r="D729" s="734">
        <v>2</v>
      </c>
      <c r="E729" s="739">
        <f>(1+1.05)*2</f>
        <v>4.0999999999999996</v>
      </c>
      <c r="F729" s="739">
        <v>0.15</v>
      </c>
      <c r="G729" s="739"/>
      <c r="H729" s="739">
        <f t="shared" si="54"/>
        <v>1.23</v>
      </c>
      <c r="I729" s="736"/>
    </row>
    <row r="730" spans="1:9" s="737" customFormat="1">
      <c r="A730" s="738"/>
      <c r="B730" s="735" t="s">
        <v>6067</v>
      </c>
      <c r="C730" s="734">
        <v>1</v>
      </c>
      <c r="D730" s="734">
        <v>1</v>
      </c>
      <c r="E730" s="739">
        <f>(1.05+1.05)*2</f>
        <v>4.2</v>
      </c>
      <c r="F730" s="739">
        <v>0.12</v>
      </c>
      <c r="G730" s="739"/>
      <c r="H730" s="739">
        <f t="shared" si="54"/>
        <v>0.5</v>
      </c>
      <c r="I730" s="736"/>
    </row>
    <row r="731" spans="1:9" s="737" customFormat="1">
      <c r="A731" s="738"/>
      <c r="B731" s="735" t="s">
        <v>6068</v>
      </c>
      <c r="C731" s="734">
        <v>1</v>
      </c>
      <c r="D731" s="734">
        <v>1</v>
      </c>
      <c r="E731" s="739">
        <f>(2.56+3.765)*2</f>
        <v>12.65</v>
      </c>
      <c r="F731" s="739"/>
      <c r="G731" s="739">
        <v>2.92</v>
      </c>
      <c r="H731" s="739">
        <f t="shared" si="54"/>
        <v>36.94</v>
      </c>
      <c r="I731" s="736"/>
    </row>
    <row r="732" spans="1:9" s="737" customFormat="1">
      <c r="A732" s="738"/>
      <c r="B732" s="735" t="s">
        <v>6039</v>
      </c>
      <c r="C732" s="734">
        <v>-1</v>
      </c>
      <c r="D732" s="734">
        <v>1</v>
      </c>
      <c r="E732" s="739">
        <v>1.05</v>
      </c>
      <c r="F732" s="739"/>
      <c r="G732" s="739">
        <v>2.1</v>
      </c>
      <c r="H732" s="739">
        <f t="shared" ref="H732:H737" si="66">PRODUCT(C732:G732)</f>
        <v>-2.21</v>
      </c>
      <c r="I732" s="736"/>
    </row>
    <row r="733" spans="1:9" s="737" customFormat="1">
      <c r="A733" s="738"/>
      <c r="B733" s="735" t="s">
        <v>6069</v>
      </c>
      <c r="C733" s="734">
        <v>-1</v>
      </c>
      <c r="D733" s="734">
        <v>1</v>
      </c>
      <c r="E733" s="739">
        <v>0.9</v>
      </c>
      <c r="F733" s="739"/>
      <c r="G733" s="739">
        <v>2.1</v>
      </c>
      <c r="H733" s="739">
        <f t="shared" si="66"/>
        <v>-1.89</v>
      </c>
      <c r="I733" s="736"/>
    </row>
    <row r="734" spans="1:9" s="737" customFormat="1">
      <c r="A734" s="738"/>
      <c r="B734" s="735" t="s">
        <v>6070</v>
      </c>
      <c r="C734" s="734">
        <v>-1</v>
      </c>
      <c r="D734" s="734">
        <v>1</v>
      </c>
      <c r="E734" s="739">
        <v>0.6</v>
      </c>
      <c r="F734" s="739"/>
      <c r="G734" s="739">
        <v>1.35</v>
      </c>
      <c r="H734" s="739">
        <f t="shared" si="66"/>
        <v>-0.81</v>
      </c>
      <c r="I734" s="736"/>
    </row>
    <row r="735" spans="1:9" s="737" customFormat="1">
      <c r="A735" s="738"/>
      <c r="B735" s="735" t="s">
        <v>6043</v>
      </c>
      <c r="C735" s="734">
        <v>1</v>
      </c>
      <c r="D735" s="734">
        <v>1</v>
      </c>
      <c r="E735" s="739">
        <f>(4.2+1.05)</f>
        <v>5.25</v>
      </c>
      <c r="F735" s="739">
        <v>0.23</v>
      </c>
      <c r="G735" s="739"/>
      <c r="H735" s="739">
        <f t="shared" si="66"/>
        <v>1.21</v>
      </c>
      <c r="I735" s="736"/>
    </row>
    <row r="736" spans="1:9" s="737" customFormat="1">
      <c r="A736" s="738"/>
      <c r="B736" s="735" t="s">
        <v>6071</v>
      </c>
      <c r="C736" s="734">
        <v>1</v>
      </c>
      <c r="D736" s="734">
        <v>1</v>
      </c>
      <c r="E736" s="739">
        <f>(4.2+0.9)</f>
        <v>5.0999999999999996</v>
      </c>
      <c r="F736" s="739">
        <v>0.23</v>
      </c>
      <c r="G736" s="739"/>
      <c r="H736" s="739">
        <f t="shared" si="66"/>
        <v>1.17</v>
      </c>
      <c r="I736" s="736"/>
    </row>
    <row r="737" spans="1:9" s="737" customFormat="1">
      <c r="A737" s="738"/>
      <c r="B737" s="735" t="s">
        <v>6072</v>
      </c>
      <c r="C737" s="734">
        <v>1</v>
      </c>
      <c r="D737" s="734">
        <v>1</v>
      </c>
      <c r="E737" s="739">
        <f>(0.6+1.35)*2</f>
        <v>3.9</v>
      </c>
      <c r="F737" s="739">
        <v>0.15</v>
      </c>
      <c r="G737" s="739"/>
      <c r="H737" s="739">
        <f t="shared" si="66"/>
        <v>0.59</v>
      </c>
      <c r="I737" s="736"/>
    </row>
    <row r="738" spans="1:9">
      <c r="A738" s="753"/>
      <c r="B738" s="751" t="s">
        <v>6034</v>
      </c>
      <c r="C738" s="748"/>
      <c r="D738" s="748"/>
      <c r="E738" s="749"/>
      <c r="F738" s="749"/>
      <c r="G738" s="749"/>
      <c r="H738" s="739"/>
      <c r="I738" s="750"/>
    </row>
    <row r="739" spans="1:9">
      <c r="A739" s="753"/>
      <c r="B739" s="754" t="s">
        <v>5937</v>
      </c>
      <c r="C739" s="748">
        <v>2</v>
      </c>
      <c r="D739" s="748">
        <v>1</v>
      </c>
      <c r="E739" s="749">
        <v>0.45</v>
      </c>
      <c r="F739" s="749"/>
      <c r="G739" s="749">
        <v>2.1</v>
      </c>
      <c r="H739" s="739">
        <f t="shared" ref="H739:H745" si="67">PRODUCT(C739:G739)</f>
        <v>1.89</v>
      </c>
      <c r="I739" s="750"/>
    </row>
    <row r="740" spans="1:9">
      <c r="A740" s="753"/>
      <c r="B740" s="754" t="s">
        <v>5937</v>
      </c>
      <c r="C740" s="748">
        <v>2</v>
      </c>
      <c r="D740" s="748">
        <v>2</v>
      </c>
      <c r="E740" s="749">
        <v>0.6</v>
      </c>
      <c r="F740" s="749"/>
      <c r="G740" s="749">
        <v>2.1</v>
      </c>
      <c r="H740" s="739">
        <f t="shared" si="67"/>
        <v>5.04</v>
      </c>
      <c r="I740" s="750"/>
    </row>
    <row r="741" spans="1:9">
      <c r="A741" s="753"/>
      <c r="B741" s="754" t="s">
        <v>5938</v>
      </c>
      <c r="C741" s="748">
        <v>2</v>
      </c>
      <c r="D741" s="748">
        <v>1</v>
      </c>
      <c r="E741" s="749">
        <v>0.6</v>
      </c>
      <c r="F741" s="749"/>
      <c r="G741" s="749">
        <v>2.1</v>
      </c>
      <c r="H741" s="739">
        <f t="shared" si="67"/>
        <v>2.52</v>
      </c>
      <c r="I741" s="750"/>
    </row>
    <row r="742" spans="1:9">
      <c r="A742" s="753"/>
      <c r="B742" s="754" t="s">
        <v>5938</v>
      </c>
      <c r="C742" s="748">
        <v>2</v>
      </c>
      <c r="D742" s="748">
        <v>1</v>
      </c>
      <c r="E742" s="749">
        <v>0.45</v>
      </c>
      <c r="F742" s="749"/>
      <c r="G742" s="749">
        <v>2.1</v>
      </c>
      <c r="H742" s="739">
        <f t="shared" si="67"/>
        <v>1.89</v>
      </c>
      <c r="I742" s="750"/>
    </row>
    <row r="743" spans="1:9">
      <c r="A743" s="753"/>
      <c r="B743" s="754" t="s">
        <v>5939</v>
      </c>
      <c r="C743" s="748">
        <v>2</v>
      </c>
      <c r="D743" s="748">
        <v>1</v>
      </c>
      <c r="E743" s="749">
        <v>0.6</v>
      </c>
      <c r="F743" s="749"/>
      <c r="G743" s="749">
        <v>2.1</v>
      </c>
      <c r="H743" s="739">
        <f t="shared" si="67"/>
        <v>2.52</v>
      </c>
      <c r="I743" s="750"/>
    </row>
    <row r="744" spans="1:9">
      <c r="A744" s="753"/>
      <c r="B744" s="754" t="s">
        <v>5931</v>
      </c>
      <c r="C744" s="748">
        <v>2</v>
      </c>
      <c r="D744" s="748">
        <v>1</v>
      </c>
      <c r="E744" s="749">
        <v>0.6</v>
      </c>
      <c r="F744" s="749"/>
      <c r="G744" s="749">
        <v>2.1</v>
      </c>
      <c r="H744" s="739">
        <f t="shared" si="67"/>
        <v>2.52</v>
      </c>
      <c r="I744" s="750"/>
    </row>
    <row r="745" spans="1:9">
      <c r="A745" s="753"/>
      <c r="B745" s="754" t="s">
        <v>5940</v>
      </c>
      <c r="C745" s="748">
        <v>2</v>
      </c>
      <c r="D745" s="748">
        <v>2</v>
      </c>
      <c r="E745" s="749">
        <v>0.6</v>
      </c>
      <c r="F745" s="749"/>
      <c r="G745" s="749">
        <v>0.9</v>
      </c>
      <c r="H745" s="739">
        <f t="shared" si="67"/>
        <v>2.16</v>
      </c>
      <c r="I745" s="750"/>
    </row>
    <row r="746" spans="1:9" s="737" customFormat="1">
      <c r="A746" s="738"/>
      <c r="B746" s="757" t="s">
        <v>6035</v>
      </c>
      <c r="C746" s="734"/>
      <c r="D746" s="734"/>
      <c r="E746" s="739"/>
      <c r="F746" s="739"/>
      <c r="G746" s="739"/>
      <c r="H746" s="739"/>
      <c r="I746" s="736"/>
    </row>
    <row r="747" spans="1:9">
      <c r="A747" s="753"/>
      <c r="B747" s="754" t="s">
        <v>5950</v>
      </c>
      <c r="C747" s="748">
        <v>4</v>
      </c>
      <c r="D747" s="748">
        <v>3</v>
      </c>
      <c r="E747" s="749">
        <v>0.6</v>
      </c>
      <c r="F747" s="749"/>
      <c r="G747" s="749">
        <v>2.1</v>
      </c>
      <c r="H747" s="739">
        <f>PRODUCT(C747:G747)</f>
        <v>15.12</v>
      </c>
      <c r="I747" s="750"/>
    </row>
    <row r="748" spans="1:9">
      <c r="A748" s="753"/>
      <c r="B748" s="754" t="s">
        <v>5951</v>
      </c>
      <c r="C748" s="748">
        <v>2</v>
      </c>
      <c r="D748" s="748">
        <v>2</v>
      </c>
      <c r="E748" s="749">
        <v>0.3</v>
      </c>
      <c r="F748" s="749"/>
      <c r="G748" s="749">
        <v>1.2</v>
      </c>
      <c r="H748" s="739">
        <f>PRODUCT(C748:G748)</f>
        <v>1.44</v>
      </c>
      <c r="I748" s="750"/>
    </row>
    <row r="749" spans="1:9">
      <c r="A749" s="753"/>
      <c r="B749" s="754" t="s">
        <v>5931</v>
      </c>
      <c r="C749" s="748">
        <v>4</v>
      </c>
      <c r="D749" s="748">
        <v>2</v>
      </c>
      <c r="E749" s="749">
        <v>0.6</v>
      </c>
      <c r="F749" s="749"/>
      <c r="G749" s="749">
        <v>2.1</v>
      </c>
      <c r="H749" s="739">
        <f>PRODUCT(C749:G749)</f>
        <v>10.08</v>
      </c>
      <c r="I749" s="750"/>
    </row>
    <row r="750" spans="1:9">
      <c r="A750" s="753"/>
      <c r="B750" s="751" t="s">
        <v>6036</v>
      </c>
      <c r="C750" s="748"/>
      <c r="D750" s="748"/>
      <c r="E750" s="749"/>
      <c r="F750" s="749"/>
      <c r="G750" s="749"/>
      <c r="H750" s="739">
        <f t="shared" ref="H750" si="68">PRODUCT(C750:G750)</f>
        <v>0</v>
      </c>
      <c r="I750" s="750"/>
    </row>
    <row r="751" spans="1:9">
      <c r="A751" s="753"/>
      <c r="B751" s="754" t="s">
        <v>6073</v>
      </c>
      <c r="C751" s="748">
        <v>1</v>
      </c>
      <c r="D751" s="748">
        <v>2</v>
      </c>
      <c r="E751" s="749">
        <v>3.6</v>
      </c>
      <c r="F751" s="749">
        <v>0.6</v>
      </c>
      <c r="G751" s="749"/>
      <c r="H751" s="739">
        <f>PRODUCT(C751:G751)</f>
        <v>4.32</v>
      </c>
      <c r="I751" s="750"/>
    </row>
    <row r="752" spans="1:9">
      <c r="A752" s="753"/>
      <c r="B752" s="754" t="s">
        <v>6074</v>
      </c>
      <c r="C752" s="748">
        <v>1</v>
      </c>
      <c r="D752" s="748">
        <v>1</v>
      </c>
      <c r="E752" s="749">
        <v>1.24</v>
      </c>
      <c r="F752" s="749">
        <v>0.6</v>
      </c>
      <c r="G752" s="749"/>
      <c r="H752" s="739">
        <f t="shared" ref="H752:H753" si="69">PRODUCT(C752:G752)</f>
        <v>0.74</v>
      </c>
      <c r="I752" s="750"/>
    </row>
    <row r="753" spans="1:9">
      <c r="A753" s="753"/>
      <c r="B753" s="754" t="s">
        <v>5900</v>
      </c>
      <c r="C753" s="748">
        <v>1</v>
      </c>
      <c r="D753" s="748">
        <v>1</v>
      </c>
      <c r="E753" s="749">
        <v>1.65</v>
      </c>
      <c r="F753" s="749">
        <v>0.6</v>
      </c>
      <c r="G753" s="749"/>
      <c r="H753" s="739">
        <f t="shared" si="69"/>
        <v>0.99</v>
      </c>
      <c r="I753" s="750"/>
    </row>
    <row r="754" spans="1:9">
      <c r="A754" s="753"/>
      <c r="B754" s="754" t="s">
        <v>6075</v>
      </c>
      <c r="C754" s="748">
        <v>1</v>
      </c>
      <c r="D754" s="748">
        <v>1</v>
      </c>
      <c r="E754" s="749">
        <v>2.36</v>
      </c>
      <c r="F754" s="749">
        <v>0.6</v>
      </c>
      <c r="G754" s="749"/>
      <c r="H754" s="739">
        <f>PRODUCT(C754:G754)</f>
        <v>1.42</v>
      </c>
      <c r="I754" s="750"/>
    </row>
    <row r="755" spans="1:9">
      <c r="A755" s="753"/>
      <c r="B755" s="735" t="s">
        <v>6076</v>
      </c>
      <c r="C755" s="748">
        <v>1</v>
      </c>
      <c r="D755" s="748">
        <v>1</v>
      </c>
      <c r="E755" s="749">
        <v>2.56</v>
      </c>
      <c r="F755" s="749">
        <v>0.6</v>
      </c>
      <c r="G755" s="749"/>
      <c r="H755" s="739">
        <f t="shared" ref="H755:H775" si="70">PRODUCT(C755:G755)</f>
        <v>1.54</v>
      </c>
      <c r="I755" s="750"/>
    </row>
    <row r="756" spans="1:9">
      <c r="A756" s="753"/>
      <c r="B756" s="735" t="s">
        <v>6077</v>
      </c>
      <c r="C756" s="748">
        <v>1</v>
      </c>
      <c r="D756" s="748">
        <v>1</v>
      </c>
      <c r="E756" s="749">
        <v>2.78</v>
      </c>
      <c r="F756" s="749">
        <v>0.86</v>
      </c>
      <c r="G756" s="749"/>
      <c r="H756" s="739">
        <f t="shared" si="70"/>
        <v>2.39</v>
      </c>
      <c r="I756" s="750"/>
    </row>
    <row r="757" spans="1:9">
      <c r="A757" s="753"/>
      <c r="B757" s="735" t="s">
        <v>5931</v>
      </c>
      <c r="C757" s="748">
        <v>1</v>
      </c>
      <c r="D757" s="748">
        <v>1</v>
      </c>
      <c r="E757" s="749">
        <v>3.61</v>
      </c>
      <c r="F757" s="749">
        <v>0.6</v>
      </c>
      <c r="G757" s="749"/>
      <c r="H757" s="739">
        <f t="shared" si="70"/>
        <v>2.17</v>
      </c>
      <c r="I757" s="750"/>
    </row>
    <row r="758" spans="1:9">
      <c r="A758" s="753"/>
      <c r="B758" s="735" t="s">
        <v>5940</v>
      </c>
      <c r="C758" s="748">
        <v>1</v>
      </c>
      <c r="D758" s="748">
        <v>1</v>
      </c>
      <c r="E758" s="749">
        <f>2.11+1.58+2.11</f>
        <v>5.8</v>
      </c>
      <c r="F758" s="749">
        <v>0.6</v>
      </c>
      <c r="G758" s="749"/>
      <c r="H758" s="739">
        <f t="shared" si="70"/>
        <v>3.48</v>
      </c>
      <c r="I758" s="750"/>
    </row>
    <row r="759" spans="1:9">
      <c r="A759" s="753"/>
      <c r="B759" s="735" t="s">
        <v>6078</v>
      </c>
      <c r="C759" s="748">
        <v>1</v>
      </c>
      <c r="D759" s="748">
        <v>1</v>
      </c>
      <c r="E759" s="749">
        <v>0.79</v>
      </c>
      <c r="F759" s="749">
        <v>0.86</v>
      </c>
      <c r="G759" s="749"/>
      <c r="H759" s="739">
        <f t="shared" si="70"/>
        <v>0.68</v>
      </c>
      <c r="I759" s="750"/>
    </row>
    <row r="760" spans="1:9" s="737" customFormat="1">
      <c r="A760" s="738"/>
      <c r="B760" s="735" t="s">
        <v>6079</v>
      </c>
      <c r="C760" s="734">
        <v>1</v>
      </c>
      <c r="D760" s="734">
        <v>1</v>
      </c>
      <c r="E760" s="739">
        <f>(5.67+2.4)*2</f>
        <v>16.14</v>
      </c>
      <c r="F760" s="739"/>
      <c r="G760" s="739">
        <f>3*3.3</f>
        <v>9.9</v>
      </c>
      <c r="H760" s="739">
        <f t="shared" si="70"/>
        <v>159.79</v>
      </c>
      <c r="I760" s="736"/>
    </row>
    <row r="761" spans="1:9" s="737" customFormat="1">
      <c r="A761" s="738"/>
      <c r="B761" s="768" t="s">
        <v>6080</v>
      </c>
      <c r="C761" s="734">
        <v>1</v>
      </c>
      <c r="D761" s="734">
        <v>2</v>
      </c>
      <c r="E761" s="739">
        <v>2.4</v>
      </c>
      <c r="F761" s="739"/>
      <c r="G761" s="739">
        <v>3.3</v>
      </c>
      <c r="H761" s="739">
        <f t="shared" si="70"/>
        <v>15.84</v>
      </c>
      <c r="I761" s="736"/>
    </row>
    <row r="762" spans="1:9" s="737" customFormat="1">
      <c r="A762" s="738"/>
      <c r="B762" s="735" t="s">
        <v>6069</v>
      </c>
      <c r="C762" s="734">
        <v>-1</v>
      </c>
      <c r="D762" s="734">
        <v>2</v>
      </c>
      <c r="E762" s="739">
        <v>0.9</v>
      </c>
      <c r="F762" s="739"/>
      <c r="G762" s="739">
        <v>2.1</v>
      </c>
      <c r="H762" s="739">
        <f t="shared" si="70"/>
        <v>-3.78</v>
      </c>
      <c r="I762" s="736"/>
    </row>
    <row r="763" spans="1:9" s="737" customFormat="1">
      <c r="A763" s="738"/>
      <c r="B763" s="735" t="s">
        <v>6070</v>
      </c>
      <c r="C763" s="734">
        <v>-1</v>
      </c>
      <c r="D763" s="734">
        <v>1</v>
      </c>
      <c r="E763" s="739">
        <v>0.6</v>
      </c>
      <c r="F763" s="739"/>
      <c r="G763" s="739">
        <v>1.35</v>
      </c>
      <c r="H763" s="739">
        <f t="shared" si="70"/>
        <v>-0.81</v>
      </c>
      <c r="I763" s="736"/>
    </row>
    <row r="764" spans="1:9" s="737" customFormat="1">
      <c r="A764" s="738"/>
      <c r="B764" s="735" t="s">
        <v>6027</v>
      </c>
      <c r="C764" s="734">
        <v>-1</v>
      </c>
      <c r="D764" s="734">
        <v>1</v>
      </c>
      <c r="E764" s="739">
        <v>1.5</v>
      </c>
      <c r="F764" s="739"/>
      <c r="G764" s="739">
        <v>1.35</v>
      </c>
      <c r="H764" s="739">
        <f t="shared" si="70"/>
        <v>-2.0299999999999998</v>
      </c>
      <c r="I764" s="736"/>
    </row>
    <row r="765" spans="1:9" s="737" customFormat="1">
      <c r="A765" s="738"/>
      <c r="B765" s="735" t="s">
        <v>6015</v>
      </c>
      <c r="C765" s="734">
        <v>-1</v>
      </c>
      <c r="D765" s="734">
        <v>4</v>
      </c>
      <c r="E765" s="739">
        <v>1.5</v>
      </c>
      <c r="F765" s="739"/>
      <c r="G765" s="739">
        <v>1.35</v>
      </c>
      <c r="H765" s="739">
        <f t="shared" si="70"/>
        <v>-8.1</v>
      </c>
      <c r="I765" s="736"/>
    </row>
    <row r="766" spans="1:9" s="737" customFormat="1">
      <c r="A766" s="738"/>
      <c r="B766" s="735" t="s">
        <v>6041</v>
      </c>
      <c r="C766" s="734">
        <v>-1</v>
      </c>
      <c r="D766" s="734">
        <v>2</v>
      </c>
      <c r="E766" s="739">
        <v>0.6</v>
      </c>
      <c r="F766" s="739"/>
      <c r="G766" s="739">
        <v>1.35</v>
      </c>
      <c r="H766" s="739">
        <f t="shared" si="70"/>
        <v>-1.62</v>
      </c>
      <c r="I766" s="736"/>
    </row>
    <row r="767" spans="1:9" s="737" customFormat="1">
      <c r="A767" s="738"/>
      <c r="B767" s="735" t="s">
        <v>6081</v>
      </c>
      <c r="C767" s="734">
        <v>-1</v>
      </c>
      <c r="D767" s="734">
        <v>2</v>
      </c>
      <c r="E767" s="739">
        <v>1</v>
      </c>
      <c r="F767" s="739"/>
      <c r="G767" s="739">
        <v>1.35</v>
      </c>
      <c r="H767" s="739">
        <f t="shared" si="70"/>
        <v>-2.7</v>
      </c>
      <c r="I767" s="736"/>
    </row>
    <row r="768" spans="1:9" s="737" customFormat="1">
      <c r="A768" s="738"/>
      <c r="B768" s="735" t="s">
        <v>6040</v>
      </c>
      <c r="C768" s="734">
        <v>-1</v>
      </c>
      <c r="D768" s="734">
        <v>1</v>
      </c>
      <c r="E768" s="739">
        <v>0.9</v>
      </c>
      <c r="F768" s="739"/>
      <c r="G768" s="739">
        <v>2.1</v>
      </c>
      <c r="H768" s="739">
        <f t="shared" si="70"/>
        <v>-1.89</v>
      </c>
      <c r="I768" s="736"/>
    </row>
    <row r="769" spans="1:9" s="737" customFormat="1">
      <c r="A769" s="738"/>
      <c r="B769" s="735" t="s">
        <v>6071</v>
      </c>
      <c r="C769" s="734">
        <v>1</v>
      </c>
      <c r="D769" s="734">
        <v>2</v>
      </c>
      <c r="E769" s="739">
        <f>(4.2+0.9)</f>
        <v>5.0999999999999996</v>
      </c>
      <c r="F769" s="739">
        <v>0.23</v>
      </c>
      <c r="G769" s="739"/>
      <c r="H769" s="739">
        <f t="shared" si="70"/>
        <v>2.35</v>
      </c>
      <c r="I769" s="736"/>
    </row>
    <row r="770" spans="1:9" s="737" customFormat="1">
      <c r="A770" s="738"/>
      <c r="B770" s="735" t="s">
        <v>6072</v>
      </c>
      <c r="C770" s="734">
        <v>1</v>
      </c>
      <c r="D770" s="734">
        <v>1</v>
      </c>
      <c r="E770" s="739">
        <f>(0.6+1.35)*2</f>
        <v>3.9</v>
      </c>
      <c r="F770" s="739">
        <v>0.15</v>
      </c>
      <c r="G770" s="739"/>
      <c r="H770" s="739">
        <f t="shared" si="70"/>
        <v>0.59</v>
      </c>
      <c r="I770" s="736"/>
    </row>
    <row r="771" spans="1:9" s="737" customFormat="1">
      <c r="A771" s="738"/>
      <c r="B771" s="735" t="s">
        <v>6028</v>
      </c>
      <c r="C771" s="734">
        <v>1</v>
      </c>
      <c r="D771" s="734">
        <v>1</v>
      </c>
      <c r="E771" s="739">
        <f>(1.5+1.35)*2</f>
        <v>5.7</v>
      </c>
      <c r="F771" s="739">
        <v>0.15</v>
      </c>
      <c r="G771" s="739"/>
      <c r="H771" s="739">
        <f t="shared" si="70"/>
        <v>0.86</v>
      </c>
      <c r="I771" s="736"/>
    </row>
    <row r="772" spans="1:9" s="737" customFormat="1">
      <c r="A772" s="738"/>
      <c r="B772" s="735" t="s">
        <v>6017</v>
      </c>
      <c r="C772" s="734">
        <v>1</v>
      </c>
      <c r="D772" s="734">
        <v>4</v>
      </c>
      <c r="E772" s="739">
        <f>(1.5+1.35)*2</f>
        <v>5.7</v>
      </c>
      <c r="F772" s="739">
        <v>0.15</v>
      </c>
      <c r="G772" s="739"/>
      <c r="H772" s="739">
        <f t="shared" si="70"/>
        <v>3.42</v>
      </c>
      <c r="I772" s="736"/>
    </row>
    <row r="773" spans="1:9" s="737" customFormat="1">
      <c r="A773" s="738"/>
      <c r="B773" s="735" t="s">
        <v>6045</v>
      </c>
      <c r="C773" s="734">
        <v>1</v>
      </c>
      <c r="D773" s="734">
        <v>2</v>
      </c>
      <c r="E773" s="739">
        <f>(0.6+1.35)*2</f>
        <v>3.9</v>
      </c>
      <c r="F773" s="739">
        <v>0.15</v>
      </c>
      <c r="G773" s="739"/>
      <c r="H773" s="739">
        <f t="shared" si="70"/>
        <v>1.17</v>
      </c>
      <c r="I773" s="736"/>
    </row>
    <row r="774" spans="1:9" s="737" customFormat="1">
      <c r="A774" s="738"/>
      <c r="B774" s="735" t="s">
        <v>6082</v>
      </c>
      <c r="C774" s="734">
        <v>1</v>
      </c>
      <c r="D774" s="734">
        <v>2</v>
      </c>
      <c r="E774" s="739">
        <f>(1+1.35)*2</f>
        <v>4.7</v>
      </c>
      <c r="F774" s="739">
        <v>0.15</v>
      </c>
      <c r="G774" s="739"/>
      <c r="H774" s="739">
        <f t="shared" si="70"/>
        <v>1.41</v>
      </c>
      <c r="I774" s="736"/>
    </row>
    <row r="775" spans="1:9" s="737" customFormat="1">
      <c r="A775" s="738"/>
      <c r="B775" s="735" t="s">
        <v>6044</v>
      </c>
      <c r="C775" s="734">
        <v>1</v>
      </c>
      <c r="D775" s="734">
        <v>1</v>
      </c>
      <c r="E775" s="765">
        <f>(4.2+0.9)</f>
        <v>5.0999999999999996</v>
      </c>
      <c r="F775" s="739">
        <v>0.23</v>
      </c>
      <c r="G775" s="739"/>
      <c r="H775" s="739">
        <f t="shared" si="70"/>
        <v>1.17</v>
      </c>
      <c r="I775" s="736"/>
    </row>
    <row r="776" spans="1:9" s="737" customFormat="1">
      <c r="A776" s="738"/>
      <c r="B776" s="735"/>
      <c r="C776" s="734"/>
      <c r="D776" s="734"/>
      <c r="E776" s="765"/>
      <c r="F776" s="739"/>
      <c r="G776" s="742" t="s">
        <v>2235</v>
      </c>
      <c r="H776" s="742">
        <f>SUM(H578:H775)</f>
        <v>1028.69</v>
      </c>
      <c r="I776" s="736"/>
    </row>
    <row r="777" spans="1:9" s="737" customFormat="1">
      <c r="A777" s="738"/>
      <c r="B777" s="757" t="s">
        <v>6083</v>
      </c>
      <c r="C777" s="734"/>
      <c r="D777" s="734"/>
      <c r="E777" s="739"/>
      <c r="F777" s="739"/>
      <c r="G777" s="739"/>
      <c r="H777" s="739"/>
      <c r="I777" s="736"/>
    </row>
    <row r="778" spans="1:9" s="737" customFormat="1">
      <c r="A778" s="738"/>
      <c r="B778" s="735" t="s">
        <v>6084</v>
      </c>
      <c r="C778" s="734">
        <v>1</v>
      </c>
      <c r="D778" s="734">
        <v>1</v>
      </c>
      <c r="E778" s="739">
        <v>53.28</v>
      </c>
      <c r="F778" s="739"/>
      <c r="G778" s="739">
        <f>1.5+3.3</f>
        <v>4.8</v>
      </c>
      <c r="H778" s="739">
        <f>PRODUCT(C778:G778)</f>
        <v>255.74</v>
      </c>
      <c r="I778" s="736"/>
    </row>
    <row r="779" spans="1:9" s="737" customFormat="1">
      <c r="A779" s="738"/>
      <c r="B779" s="735" t="s">
        <v>6085</v>
      </c>
      <c r="C779" s="734">
        <v>1</v>
      </c>
      <c r="D779" s="734">
        <v>1</v>
      </c>
      <c r="E779" s="739">
        <v>51.78</v>
      </c>
      <c r="F779" s="739"/>
      <c r="G779" s="739">
        <f>3.05+1.2+0.23</f>
        <v>4.4800000000000004</v>
      </c>
      <c r="H779" s="739">
        <f>PRODUCT(C779:G779)</f>
        <v>231.97</v>
      </c>
      <c r="I779" s="736"/>
    </row>
    <row r="780" spans="1:9" s="737" customFormat="1">
      <c r="A780" s="738"/>
      <c r="B780" s="735" t="s">
        <v>6955</v>
      </c>
      <c r="C780" s="734">
        <v>1</v>
      </c>
      <c r="D780" s="734">
        <v>1</v>
      </c>
      <c r="E780" s="739">
        <v>51.78</v>
      </c>
      <c r="F780" s="739"/>
      <c r="G780" s="739">
        <v>1.43</v>
      </c>
      <c r="H780" s="739">
        <f t="shared" ref="H780:H844" si="71">PRODUCT(C780:G780)</f>
        <v>74.05</v>
      </c>
      <c r="I780" s="736"/>
    </row>
    <row r="781" spans="1:9" s="737" customFormat="1">
      <c r="A781" s="738"/>
      <c r="B781" s="735" t="s">
        <v>6086</v>
      </c>
      <c r="C781" s="734">
        <v>1</v>
      </c>
      <c r="D781" s="734">
        <v>1</v>
      </c>
      <c r="E781" s="739">
        <v>19.03</v>
      </c>
      <c r="F781" s="739"/>
      <c r="G781" s="739">
        <v>2.7</v>
      </c>
      <c r="H781" s="739">
        <f t="shared" si="71"/>
        <v>51.38</v>
      </c>
      <c r="I781" s="736"/>
    </row>
    <row r="782" spans="1:9" s="737" customFormat="1">
      <c r="A782" s="738"/>
      <c r="B782" s="735" t="s">
        <v>6087</v>
      </c>
      <c r="C782" s="734">
        <v>1</v>
      </c>
      <c r="D782" s="734">
        <v>1</v>
      </c>
      <c r="E782" s="739">
        <v>19.03</v>
      </c>
      <c r="F782" s="739"/>
      <c r="G782" s="739">
        <f>0.45+0.115</f>
        <v>0.56999999999999995</v>
      </c>
      <c r="H782" s="739">
        <f t="shared" si="71"/>
        <v>10.85</v>
      </c>
      <c r="I782" s="736"/>
    </row>
    <row r="783" spans="1:9" s="737" customFormat="1">
      <c r="A783" s="738"/>
      <c r="B783" s="735" t="s">
        <v>6088</v>
      </c>
      <c r="C783" s="734">
        <v>2</v>
      </c>
      <c r="D783" s="734">
        <v>6</v>
      </c>
      <c r="E783" s="739">
        <v>0.12</v>
      </c>
      <c r="F783" s="739"/>
      <c r="G783" s="739">
        <f>0.45+0.115</f>
        <v>0.56999999999999995</v>
      </c>
      <c r="H783" s="739">
        <f t="shared" si="71"/>
        <v>0.82</v>
      </c>
      <c r="I783" s="736"/>
    </row>
    <row r="784" spans="1:9" s="737" customFormat="1">
      <c r="A784" s="738"/>
      <c r="B784" s="735" t="s">
        <v>6089</v>
      </c>
      <c r="C784" s="734">
        <v>1</v>
      </c>
      <c r="D784" s="734">
        <v>1</v>
      </c>
      <c r="E784" s="739">
        <f>2.18+0.23+3.52+0.23</f>
        <v>6.16</v>
      </c>
      <c r="F784" s="739"/>
      <c r="G784" s="739">
        <v>1.2</v>
      </c>
      <c r="H784" s="739">
        <f t="shared" si="71"/>
        <v>7.39</v>
      </c>
      <c r="I784" s="736"/>
    </row>
    <row r="785" spans="1:9" s="737" customFormat="1">
      <c r="A785" s="738"/>
      <c r="B785" s="757" t="s">
        <v>5863</v>
      </c>
      <c r="C785" s="734"/>
      <c r="D785" s="734"/>
      <c r="E785" s="739"/>
      <c r="F785" s="739"/>
      <c r="G785" s="739"/>
      <c r="H785" s="739"/>
      <c r="I785" s="736"/>
    </row>
    <row r="786" spans="1:9" s="737" customFormat="1">
      <c r="A786" s="738"/>
      <c r="B786" s="735" t="s">
        <v>6090</v>
      </c>
      <c r="C786" s="734">
        <v>-1</v>
      </c>
      <c r="D786" s="734">
        <v>1</v>
      </c>
      <c r="E786" s="739">
        <v>3.52</v>
      </c>
      <c r="F786" s="739"/>
      <c r="G786" s="739">
        <v>2.1</v>
      </c>
      <c r="H786" s="739">
        <f t="shared" si="71"/>
        <v>-7.39</v>
      </c>
      <c r="I786" s="736"/>
    </row>
    <row r="787" spans="1:9" s="737" customFormat="1">
      <c r="A787" s="738"/>
      <c r="B787" s="735" t="s">
        <v>6091</v>
      </c>
      <c r="C787" s="734">
        <v>-1</v>
      </c>
      <c r="D787" s="734">
        <v>1</v>
      </c>
      <c r="E787" s="739">
        <v>2.78</v>
      </c>
      <c r="F787" s="739"/>
      <c r="G787" s="739">
        <v>2.1</v>
      </c>
      <c r="H787" s="739">
        <f t="shared" si="71"/>
        <v>-5.84</v>
      </c>
      <c r="I787" s="736"/>
    </row>
    <row r="788" spans="1:9" s="737" customFormat="1">
      <c r="A788" s="738"/>
      <c r="B788" s="735" t="s">
        <v>6092</v>
      </c>
      <c r="C788" s="734">
        <v>-1</v>
      </c>
      <c r="D788" s="734">
        <v>1</v>
      </c>
      <c r="E788" s="739">
        <v>2.4</v>
      </c>
      <c r="F788" s="739"/>
      <c r="G788" s="739">
        <v>2.1</v>
      </c>
      <c r="H788" s="739">
        <f t="shared" si="71"/>
        <v>-5.04</v>
      </c>
      <c r="I788" s="736"/>
    </row>
    <row r="789" spans="1:9" s="737" customFormat="1">
      <c r="A789" s="738"/>
      <c r="B789" s="735" t="s">
        <v>5874</v>
      </c>
      <c r="C789" s="734">
        <v>-1</v>
      </c>
      <c r="D789" s="734">
        <v>1</v>
      </c>
      <c r="E789" s="739">
        <v>1.5</v>
      </c>
      <c r="F789" s="739"/>
      <c r="G789" s="739">
        <v>1.35</v>
      </c>
      <c r="H789" s="739">
        <f t="shared" si="71"/>
        <v>-2.0299999999999998</v>
      </c>
      <c r="I789" s="736"/>
    </row>
    <row r="790" spans="1:9" s="737" customFormat="1">
      <c r="A790" s="738"/>
      <c r="B790" s="735" t="s">
        <v>5872</v>
      </c>
      <c r="C790" s="734">
        <v>-1</v>
      </c>
      <c r="D790" s="734">
        <v>2</v>
      </c>
      <c r="E790" s="739">
        <v>1.8</v>
      </c>
      <c r="F790" s="739"/>
      <c r="G790" s="739">
        <v>1.35</v>
      </c>
      <c r="H790" s="739">
        <f>PRODUCT(C790:G790)</f>
        <v>-4.8600000000000003</v>
      </c>
      <c r="I790" s="736"/>
    </row>
    <row r="791" spans="1:9" s="737" customFormat="1">
      <c r="A791" s="738"/>
      <c r="B791" s="735" t="s">
        <v>5908</v>
      </c>
      <c r="C791" s="734">
        <v>-1</v>
      </c>
      <c r="D791" s="734">
        <v>1</v>
      </c>
      <c r="E791" s="739">
        <v>1.8</v>
      </c>
      <c r="F791" s="739"/>
      <c r="G791" s="739">
        <v>1.65</v>
      </c>
      <c r="H791" s="739">
        <f>PRODUCT(C791:G791)</f>
        <v>-2.97</v>
      </c>
      <c r="I791" s="736"/>
    </row>
    <row r="792" spans="1:9" s="737" customFormat="1">
      <c r="A792" s="738"/>
      <c r="B792" s="735" t="s">
        <v>5873</v>
      </c>
      <c r="C792" s="734">
        <v>-1</v>
      </c>
      <c r="D792" s="734">
        <v>9</v>
      </c>
      <c r="E792" s="739">
        <v>1.5</v>
      </c>
      <c r="F792" s="739"/>
      <c r="G792" s="739">
        <v>1.35</v>
      </c>
      <c r="H792" s="739">
        <f>PRODUCT(C792:G792)</f>
        <v>-18.23</v>
      </c>
      <c r="I792" s="736"/>
    </row>
    <row r="793" spans="1:9" s="737" customFormat="1">
      <c r="A793" s="738"/>
      <c r="B793" s="735" t="s">
        <v>5906</v>
      </c>
      <c r="C793" s="734">
        <v>-1</v>
      </c>
      <c r="D793" s="734">
        <v>1</v>
      </c>
      <c r="E793" s="739">
        <v>1.35</v>
      </c>
      <c r="F793" s="739"/>
      <c r="G793" s="739">
        <v>2</v>
      </c>
      <c r="H793" s="739">
        <f t="shared" si="71"/>
        <v>-2.7</v>
      </c>
      <c r="I793" s="736"/>
    </row>
    <row r="794" spans="1:9" s="737" customFormat="1">
      <c r="A794" s="738"/>
      <c r="B794" s="735" t="s">
        <v>5907</v>
      </c>
      <c r="C794" s="734">
        <v>-1</v>
      </c>
      <c r="D794" s="734">
        <v>1</v>
      </c>
      <c r="E794" s="739">
        <v>1.8</v>
      </c>
      <c r="F794" s="739"/>
      <c r="G794" s="739">
        <v>1.35</v>
      </c>
      <c r="H794" s="739">
        <f t="shared" si="71"/>
        <v>-2.4300000000000002</v>
      </c>
      <c r="I794" s="736"/>
    </row>
    <row r="795" spans="1:9" s="737" customFormat="1">
      <c r="A795" s="738"/>
      <c r="B795" s="735" t="s">
        <v>5912</v>
      </c>
      <c r="C795" s="734">
        <v>-1</v>
      </c>
      <c r="D795" s="734">
        <v>1</v>
      </c>
      <c r="E795" s="739">
        <v>1</v>
      </c>
      <c r="F795" s="739"/>
      <c r="G795" s="739">
        <v>1.35</v>
      </c>
      <c r="H795" s="739">
        <f t="shared" si="71"/>
        <v>-1.35</v>
      </c>
      <c r="I795" s="736"/>
    </row>
    <row r="796" spans="1:9" s="737" customFormat="1">
      <c r="A796" s="738"/>
      <c r="B796" s="735" t="s">
        <v>5910</v>
      </c>
      <c r="C796" s="734">
        <v>-1</v>
      </c>
      <c r="D796" s="734">
        <v>1</v>
      </c>
      <c r="E796" s="739">
        <v>1.5</v>
      </c>
      <c r="F796" s="739"/>
      <c r="G796" s="739">
        <v>1.05</v>
      </c>
      <c r="H796" s="739">
        <f t="shared" si="71"/>
        <v>-1.58</v>
      </c>
      <c r="I796" s="736"/>
    </row>
    <row r="797" spans="1:9" s="737" customFormat="1">
      <c r="A797" s="738"/>
      <c r="B797" s="735" t="s">
        <v>5911</v>
      </c>
      <c r="C797" s="734">
        <v>-1</v>
      </c>
      <c r="D797" s="734">
        <v>2</v>
      </c>
      <c r="E797" s="739">
        <v>1</v>
      </c>
      <c r="F797" s="739"/>
      <c r="G797" s="739">
        <v>1.05</v>
      </c>
      <c r="H797" s="739">
        <f t="shared" si="71"/>
        <v>-2.1</v>
      </c>
      <c r="I797" s="736"/>
    </row>
    <row r="798" spans="1:9" s="737" customFormat="1">
      <c r="A798" s="738"/>
      <c r="B798" s="735" t="s">
        <v>5875</v>
      </c>
      <c r="C798" s="734">
        <v>-1</v>
      </c>
      <c r="D798" s="734">
        <v>6</v>
      </c>
      <c r="E798" s="739">
        <v>0.75</v>
      </c>
      <c r="F798" s="739"/>
      <c r="G798" s="739">
        <v>0.75</v>
      </c>
      <c r="H798" s="739">
        <f t="shared" si="71"/>
        <v>-3.38</v>
      </c>
      <c r="I798" s="736"/>
    </row>
    <row r="799" spans="1:9" s="737" customFormat="1">
      <c r="A799" s="738"/>
      <c r="B799" s="735" t="s">
        <v>5876</v>
      </c>
      <c r="C799" s="734">
        <v>-1</v>
      </c>
      <c r="D799" s="734">
        <v>1</v>
      </c>
      <c r="E799" s="739">
        <v>1.2</v>
      </c>
      <c r="F799" s="739"/>
      <c r="G799" s="739">
        <v>0.75</v>
      </c>
      <c r="H799" s="739">
        <f t="shared" si="71"/>
        <v>-0.9</v>
      </c>
      <c r="I799" s="736"/>
    </row>
    <row r="800" spans="1:9" s="737" customFormat="1">
      <c r="A800" s="738"/>
      <c r="B800" s="735" t="s">
        <v>5867</v>
      </c>
      <c r="C800" s="734">
        <v>-1</v>
      </c>
      <c r="D800" s="734">
        <v>2</v>
      </c>
      <c r="E800" s="739">
        <v>1</v>
      </c>
      <c r="F800" s="739"/>
      <c r="G800" s="739">
        <v>2.1</v>
      </c>
      <c r="H800" s="739">
        <f t="shared" si="71"/>
        <v>-4.2</v>
      </c>
      <c r="I800" s="736"/>
    </row>
    <row r="801" spans="1:9" s="737" customFormat="1">
      <c r="A801" s="738"/>
      <c r="B801" s="735" t="s">
        <v>6093</v>
      </c>
      <c r="C801" s="734"/>
      <c r="D801" s="734"/>
      <c r="E801" s="739"/>
      <c r="F801" s="739"/>
      <c r="G801" s="739"/>
      <c r="H801" s="739"/>
      <c r="I801" s="736"/>
    </row>
    <row r="802" spans="1:9" s="737" customFormat="1">
      <c r="A802" s="738"/>
      <c r="B802" s="735" t="s">
        <v>5874</v>
      </c>
      <c r="C802" s="734">
        <v>1</v>
      </c>
      <c r="D802" s="734">
        <v>1</v>
      </c>
      <c r="E802" s="739">
        <f>(1.5+1.35)*2</f>
        <v>5.7</v>
      </c>
      <c r="F802" s="739">
        <v>0.12</v>
      </c>
      <c r="G802" s="739"/>
      <c r="H802" s="739">
        <f t="shared" ref="H802" si="72">PRODUCT(C802:G802)</f>
        <v>0.68</v>
      </c>
      <c r="I802" s="736"/>
    </row>
    <row r="803" spans="1:9" s="737" customFormat="1">
      <c r="A803" s="738"/>
      <c r="B803" s="735" t="s">
        <v>5872</v>
      </c>
      <c r="C803" s="734">
        <v>1</v>
      </c>
      <c r="D803" s="734">
        <v>2</v>
      </c>
      <c r="E803" s="739">
        <f>(1.8+1.35)*2</f>
        <v>6.3</v>
      </c>
      <c r="F803" s="739">
        <v>0.12</v>
      </c>
      <c r="G803" s="739"/>
      <c r="H803" s="739">
        <f>PRODUCT(C803:G803)</f>
        <v>1.51</v>
      </c>
      <c r="I803" s="736"/>
    </row>
    <row r="804" spans="1:9" s="737" customFormat="1">
      <c r="A804" s="738"/>
      <c r="B804" s="735" t="s">
        <v>5908</v>
      </c>
      <c r="C804" s="734">
        <v>1</v>
      </c>
      <c r="D804" s="734">
        <v>1</v>
      </c>
      <c r="E804" s="739">
        <f>(1.8+1.5)*2</f>
        <v>6.6</v>
      </c>
      <c r="F804" s="739">
        <v>0.12</v>
      </c>
      <c r="G804" s="739"/>
      <c r="H804" s="739">
        <f>PRODUCT(C804:G804)</f>
        <v>0.79</v>
      </c>
      <c r="I804" s="736"/>
    </row>
    <row r="805" spans="1:9" s="737" customFormat="1">
      <c r="A805" s="738"/>
      <c r="B805" s="735" t="s">
        <v>5873</v>
      </c>
      <c r="C805" s="734">
        <v>1</v>
      </c>
      <c r="D805" s="734">
        <v>9</v>
      </c>
      <c r="E805" s="739">
        <f>(1.35+1.5)*2</f>
        <v>5.7</v>
      </c>
      <c r="F805" s="739">
        <v>0.12</v>
      </c>
      <c r="G805" s="739"/>
      <c r="H805" s="739">
        <f>PRODUCT(C805:G805)</f>
        <v>6.16</v>
      </c>
      <c r="I805" s="736"/>
    </row>
    <row r="806" spans="1:9" s="737" customFormat="1">
      <c r="A806" s="738"/>
      <c r="B806" s="735" t="s">
        <v>5906</v>
      </c>
      <c r="C806" s="734">
        <v>1</v>
      </c>
      <c r="D806" s="734">
        <v>1</v>
      </c>
      <c r="E806" s="739">
        <f>(1.35+2)*2</f>
        <v>6.7</v>
      </c>
      <c r="F806" s="739">
        <v>0.12</v>
      </c>
      <c r="G806" s="739"/>
      <c r="H806" s="739">
        <f t="shared" ref="H806:H813" si="73">PRODUCT(C806:G806)</f>
        <v>0.8</v>
      </c>
      <c r="I806" s="736"/>
    </row>
    <row r="807" spans="1:9" s="737" customFormat="1">
      <c r="A807" s="738"/>
      <c r="B807" s="735" t="s">
        <v>5907</v>
      </c>
      <c r="C807" s="734">
        <v>1</v>
      </c>
      <c r="D807" s="734">
        <v>1</v>
      </c>
      <c r="E807" s="739">
        <f>(1.8+1.35)*2</f>
        <v>6.3</v>
      </c>
      <c r="F807" s="739">
        <v>0.12</v>
      </c>
      <c r="G807" s="739"/>
      <c r="H807" s="739">
        <f t="shared" si="73"/>
        <v>0.76</v>
      </c>
      <c r="I807" s="736"/>
    </row>
    <row r="808" spans="1:9" s="737" customFormat="1">
      <c r="A808" s="738"/>
      <c r="B808" s="735" t="s">
        <v>5912</v>
      </c>
      <c r="C808" s="734">
        <v>1</v>
      </c>
      <c r="D808" s="734">
        <v>1</v>
      </c>
      <c r="E808" s="739">
        <f>(1+1.35)*2</f>
        <v>4.7</v>
      </c>
      <c r="F808" s="739">
        <v>0.12</v>
      </c>
      <c r="G808" s="739"/>
      <c r="H808" s="739">
        <f t="shared" si="73"/>
        <v>0.56000000000000005</v>
      </c>
      <c r="I808" s="736"/>
    </row>
    <row r="809" spans="1:9" s="737" customFormat="1">
      <c r="A809" s="738"/>
      <c r="B809" s="735" t="s">
        <v>5910</v>
      </c>
      <c r="C809" s="734">
        <v>1</v>
      </c>
      <c r="D809" s="734">
        <v>1</v>
      </c>
      <c r="E809" s="739">
        <f>(1.5+1.05)*2</f>
        <v>5.0999999999999996</v>
      </c>
      <c r="F809" s="739">
        <v>0.12</v>
      </c>
      <c r="G809" s="739"/>
      <c r="H809" s="739">
        <f t="shared" si="73"/>
        <v>0.61</v>
      </c>
      <c r="I809" s="736"/>
    </row>
    <row r="810" spans="1:9" s="737" customFormat="1">
      <c r="A810" s="738"/>
      <c r="B810" s="735" t="s">
        <v>5911</v>
      </c>
      <c r="C810" s="734">
        <v>1</v>
      </c>
      <c r="D810" s="734">
        <v>2</v>
      </c>
      <c r="E810" s="739">
        <f>(1+1.05)*2</f>
        <v>4.0999999999999996</v>
      </c>
      <c r="F810" s="739">
        <v>0.12</v>
      </c>
      <c r="G810" s="739"/>
      <c r="H810" s="739">
        <f t="shared" si="73"/>
        <v>0.98</v>
      </c>
      <c r="I810" s="736"/>
    </row>
    <row r="811" spans="1:9" s="737" customFormat="1">
      <c r="A811" s="738"/>
      <c r="B811" s="735" t="s">
        <v>5875</v>
      </c>
      <c r="C811" s="734">
        <v>1</v>
      </c>
      <c r="D811" s="734">
        <v>6</v>
      </c>
      <c r="E811" s="739">
        <f>4*0.75</f>
        <v>3</v>
      </c>
      <c r="F811" s="739">
        <v>0.12</v>
      </c>
      <c r="G811" s="739"/>
      <c r="H811" s="739">
        <f t="shared" si="73"/>
        <v>2.16</v>
      </c>
      <c r="I811" s="736"/>
    </row>
    <row r="812" spans="1:9" s="737" customFormat="1">
      <c r="A812" s="738"/>
      <c r="B812" s="735" t="s">
        <v>5876</v>
      </c>
      <c r="C812" s="734">
        <v>1</v>
      </c>
      <c r="D812" s="734">
        <v>1</v>
      </c>
      <c r="E812" s="739">
        <f>(1.2+0.75)*2</f>
        <v>3.9</v>
      </c>
      <c r="F812" s="739">
        <v>0.12</v>
      </c>
      <c r="G812" s="739"/>
      <c r="H812" s="739">
        <f t="shared" si="73"/>
        <v>0.47</v>
      </c>
      <c r="I812" s="736"/>
    </row>
    <row r="813" spans="1:9" s="737" customFormat="1">
      <c r="A813" s="738"/>
      <c r="B813" s="735" t="s">
        <v>5867</v>
      </c>
      <c r="C813" s="734">
        <v>1</v>
      </c>
      <c r="D813" s="734">
        <v>2</v>
      </c>
      <c r="E813" s="739">
        <f>4.2+1</f>
        <v>5.2</v>
      </c>
      <c r="F813" s="739">
        <v>0.12</v>
      </c>
      <c r="G813" s="739"/>
      <c r="H813" s="739">
        <f t="shared" si="73"/>
        <v>1.25</v>
      </c>
      <c r="I813" s="736"/>
    </row>
    <row r="814" spans="1:9">
      <c r="A814" s="753"/>
      <c r="B814" s="751" t="s">
        <v>6094</v>
      </c>
      <c r="C814" s="748"/>
      <c r="D814" s="748"/>
      <c r="E814" s="749"/>
      <c r="F814" s="749"/>
      <c r="G814" s="749"/>
      <c r="H814" s="739"/>
      <c r="I814" s="750"/>
    </row>
    <row r="815" spans="1:9">
      <c r="A815" s="753"/>
      <c r="B815" s="754" t="s">
        <v>6002</v>
      </c>
      <c r="C815" s="748"/>
      <c r="D815" s="748"/>
      <c r="E815" s="749"/>
      <c r="F815" s="749"/>
      <c r="G815" s="749"/>
      <c r="H815" s="739"/>
      <c r="I815" s="750"/>
    </row>
    <row r="816" spans="1:9">
      <c r="A816" s="753"/>
      <c r="B816" s="754" t="s">
        <v>5872</v>
      </c>
      <c r="C816" s="748">
        <v>1</v>
      </c>
      <c r="D816" s="748">
        <v>1</v>
      </c>
      <c r="E816" s="749">
        <f>1.8+0.46</f>
        <v>2.2599999999999998</v>
      </c>
      <c r="F816" s="749">
        <v>0.6</v>
      </c>
      <c r="G816" s="749"/>
      <c r="H816" s="739">
        <f t="shared" ref="H816:H817" si="74">PRODUCT(C816:G816)</f>
        <v>1.36</v>
      </c>
      <c r="I816" s="750"/>
    </row>
    <row r="817" spans="1:9">
      <c r="A817" s="753"/>
      <c r="B817" s="754" t="s">
        <v>5873</v>
      </c>
      <c r="C817" s="748">
        <v>1</v>
      </c>
      <c r="D817" s="748">
        <v>3</v>
      </c>
      <c r="E817" s="749">
        <f>1.5+0.46</f>
        <v>1.96</v>
      </c>
      <c r="F817" s="749">
        <v>0.6</v>
      </c>
      <c r="G817" s="749"/>
      <c r="H817" s="739">
        <f t="shared" si="74"/>
        <v>3.53</v>
      </c>
      <c r="I817" s="750"/>
    </row>
    <row r="818" spans="1:9">
      <c r="A818" s="753"/>
      <c r="B818" s="754" t="s">
        <v>5874</v>
      </c>
      <c r="C818" s="748">
        <v>1</v>
      </c>
      <c r="D818" s="748">
        <v>2</v>
      </c>
      <c r="E818" s="749">
        <f>1.5+0.46</f>
        <v>1.96</v>
      </c>
      <c r="F818" s="749">
        <v>0.6</v>
      </c>
      <c r="G818" s="749"/>
      <c r="H818" s="739">
        <f>PRODUCT(C818:G818)</f>
        <v>2.35</v>
      </c>
      <c r="I818" s="750"/>
    </row>
    <row r="819" spans="1:9">
      <c r="A819" s="753"/>
      <c r="B819" s="754" t="s">
        <v>6095</v>
      </c>
      <c r="C819" s="748">
        <v>1</v>
      </c>
      <c r="D819" s="748">
        <v>1</v>
      </c>
      <c r="E819" s="749">
        <v>5.5</v>
      </c>
      <c r="F819" s="749">
        <v>0.6</v>
      </c>
      <c r="G819" s="749"/>
      <c r="H819" s="739">
        <f>PRODUCT(C819:G819)</f>
        <v>3.3</v>
      </c>
      <c r="I819" s="750"/>
    </row>
    <row r="820" spans="1:9">
      <c r="A820" s="753"/>
      <c r="B820" s="754" t="s">
        <v>6096</v>
      </c>
      <c r="C820" s="748">
        <v>1</v>
      </c>
      <c r="D820" s="748">
        <v>1</v>
      </c>
      <c r="E820" s="749">
        <v>9.6199999999999992</v>
      </c>
      <c r="F820" s="749">
        <v>0.75</v>
      </c>
      <c r="G820" s="749"/>
      <c r="H820" s="739">
        <f>PRODUCT(C820:G820)</f>
        <v>7.22</v>
      </c>
      <c r="I820" s="750"/>
    </row>
    <row r="821" spans="1:9">
      <c r="A821" s="753"/>
      <c r="B821" s="754" t="s">
        <v>6097</v>
      </c>
      <c r="C821" s="748">
        <v>8</v>
      </c>
      <c r="D821" s="748">
        <v>2</v>
      </c>
      <c r="E821" s="749">
        <v>0.6</v>
      </c>
      <c r="F821" s="749"/>
      <c r="G821" s="749">
        <v>7.0000000000000007E-2</v>
      </c>
      <c r="H821" s="739">
        <f t="shared" ref="H821:H822" si="75">PRODUCT(C821:G821)</f>
        <v>0.67</v>
      </c>
      <c r="I821" s="750"/>
    </row>
    <row r="822" spans="1:9">
      <c r="A822" s="753"/>
      <c r="B822" s="754" t="s">
        <v>6097</v>
      </c>
      <c r="C822" s="748">
        <v>1</v>
      </c>
      <c r="D822" s="748">
        <v>2</v>
      </c>
      <c r="E822" s="749">
        <v>0.75</v>
      </c>
      <c r="F822" s="749"/>
      <c r="G822" s="749">
        <v>0.1</v>
      </c>
      <c r="H822" s="739">
        <f t="shared" si="75"/>
        <v>0.15</v>
      </c>
      <c r="I822" s="750"/>
    </row>
    <row r="823" spans="1:9">
      <c r="A823" s="753"/>
      <c r="B823" s="754" t="s">
        <v>6098</v>
      </c>
      <c r="C823" s="748"/>
      <c r="D823" s="748"/>
      <c r="E823" s="749"/>
      <c r="F823" s="749"/>
      <c r="G823" s="749"/>
      <c r="H823" s="739"/>
      <c r="I823" s="750"/>
    </row>
    <row r="824" spans="1:9">
      <c r="A824" s="753"/>
      <c r="B824" s="754" t="s">
        <v>5908</v>
      </c>
      <c r="C824" s="748">
        <v>1</v>
      </c>
      <c r="D824" s="748">
        <v>1</v>
      </c>
      <c r="E824" s="749">
        <f>1.8+0.46</f>
        <v>2.2599999999999998</v>
      </c>
      <c r="F824" s="749">
        <v>0.6</v>
      </c>
      <c r="G824" s="749"/>
      <c r="H824" s="739">
        <f t="shared" ref="H824:H826" si="76">PRODUCT(C824:G824)</f>
        <v>1.36</v>
      </c>
      <c r="I824" s="750"/>
    </row>
    <row r="825" spans="1:9">
      <c r="A825" s="753"/>
      <c r="B825" s="754" t="s">
        <v>5873</v>
      </c>
      <c r="C825" s="748">
        <v>1</v>
      </c>
      <c r="D825" s="748">
        <v>5</v>
      </c>
      <c r="E825" s="749">
        <f>1.5+0.46</f>
        <v>1.96</v>
      </c>
      <c r="F825" s="749">
        <v>0.6</v>
      </c>
      <c r="G825" s="749"/>
      <c r="H825" s="739">
        <f t="shared" si="76"/>
        <v>5.88</v>
      </c>
      <c r="I825" s="750"/>
    </row>
    <row r="826" spans="1:9">
      <c r="A826" s="753"/>
      <c r="B826" s="754" t="s">
        <v>5911</v>
      </c>
      <c r="C826" s="748">
        <v>1</v>
      </c>
      <c r="D826" s="748">
        <v>2</v>
      </c>
      <c r="E826" s="749">
        <v>1.46</v>
      </c>
      <c r="F826" s="749">
        <v>0.6</v>
      </c>
      <c r="G826" s="749"/>
      <c r="H826" s="739">
        <f t="shared" si="76"/>
        <v>1.75</v>
      </c>
      <c r="I826" s="750"/>
    </row>
    <row r="827" spans="1:9">
      <c r="A827" s="753"/>
      <c r="B827" s="754" t="s">
        <v>5912</v>
      </c>
      <c r="C827" s="748">
        <v>1</v>
      </c>
      <c r="D827" s="748">
        <v>1</v>
      </c>
      <c r="E827" s="749">
        <f>1.5+0.46</f>
        <v>1.96</v>
      </c>
      <c r="F827" s="749">
        <v>0.6</v>
      </c>
      <c r="G827" s="749"/>
      <c r="H827" s="739">
        <f>PRODUCT(C827:G827)</f>
        <v>1.18</v>
      </c>
      <c r="I827" s="750"/>
    </row>
    <row r="828" spans="1:9">
      <c r="A828" s="753"/>
      <c r="B828" s="754" t="s">
        <v>6099</v>
      </c>
      <c r="C828" s="748">
        <v>1</v>
      </c>
      <c r="D828" s="748">
        <v>1</v>
      </c>
      <c r="E828" s="749">
        <v>6.1</v>
      </c>
      <c r="F828" s="749">
        <v>0.6</v>
      </c>
      <c r="G828" s="749"/>
      <c r="H828" s="739">
        <f>PRODUCT(C828:G828)</f>
        <v>3.66</v>
      </c>
      <c r="I828" s="750"/>
    </row>
    <row r="829" spans="1:9">
      <c r="A829" s="753"/>
      <c r="B829" s="754" t="s">
        <v>6100</v>
      </c>
      <c r="C829" s="748">
        <v>1</v>
      </c>
      <c r="D829" s="748">
        <v>1</v>
      </c>
      <c r="E829" s="749">
        <v>3.8</v>
      </c>
      <c r="F829" s="749">
        <v>0.9</v>
      </c>
      <c r="G829" s="749"/>
      <c r="H829" s="739">
        <f>PRODUCT(C829:G829)</f>
        <v>3.42</v>
      </c>
      <c r="I829" s="750"/>
    </row>
    <row r="830" spans="1:9">
      <c r="A830" s="753"/>
      <c r="B830" s="754" t="s">
        <v>6101</v>
      </c>
      <c r="C830" s="748">
        <v>1</v>
      </c>
      <c r="D830" s="748">
        <v>1</v>
      </c>
      <c r="E830" s="749">
        <f>0.23+2.78+0.23+2.4+0.23</f>
        <v>5.87</v>
      </c>
      <c r="F830" s="749">
        <v>0.75</v>
      </c>
      <c r="G830" s="749"/>
      <c r="H830" s="739"/>
      <c r="I830" s="750"/>
    </row>
    <row r="831" spans="1:9">
      <c r="A831" s="753"/>
      <c r="B831" s="754" t="s">
        <v>6097</v>
      </c>
      <c r="C831" s="748">
        <v>9</v>
      </c>
      <c r="D831" s="748">
        <v>2</v>
      </c>
      <c r="E831" s="749">
        <v>0.6</v>
      </c>
      <c r="F831" s="749"/>
      <c r="G831" s="749">
        <v>7.0000000000000007E-2</v>
      </c>
      <c r="H831" s="739">
        <f t="shared" ref="H831:H837" si="77">PRODUCT(C831:G831)</f>
        <v>0.76</v>
      </c>
      <c r="I831" s="750"/>
    </row>
    <row r="832" spans="1:9">
      <c r="A832" s="753"/>
      <c r="B832" s="754" t="s">
        <v>6097</v>
      </c>
      <c r="C832" s="748">
        <v>2</v>
      </c>
      <c r="D832" s="748">
        <v>2</v>
      </c>
      <c r="E832" s="749">
        <v>0.75</v>
      </c>
      <c r="F832" s="749"/>
      <c r="G832" s="749">
        <v>0.1</v>
      </c>
      <c r="H832" s="739">
        <f t="shared" si="77"/>
        <v>0.3</v>
      </c>
      <c r="I832" s="750"/>
    </row>
    <row r="833" spans="1:9">
      <c r="A833" s="753"/>
      <c r="B833" s="754" t="s">
        <v>6102</v>
      </c>
      <c r="C833" s="748"/>
      <c r="D833" s="748"/>
      <c r="E833" s="749"/>
      <c r="F833" s="749"/>
      <c r="G833" s="749"/>
      <c r="H833" s="739"/>
      <c r="I833" s="750"/>
    </row>
    <row r="834" spans="1:9">
      <c r="A834" s="753"/>
      <c r="B834" s="754" t="s">
        <v>5873</v>
      </c>
      <c r="C834" s="748">
        <v>1</v>
      </c>
      <c r="D834" s="748">
        <v>1</v>
      </c>
      <c r="E834" s="749">
        <v>2.2599999999999998</v>
      </c>
      <c r="F834" s="749">
        <v>0.6</v>
      </c>
      <c r="G834" s="749"/>
      <c r="H834" s="739">
        <f t="shared" si="77"/>
        <v>1.36</v>
      </c>
      <c r="I834" s="750"/>
    </row>
    <row r="835" spans="1:9">
      <c r="A835" s="753"/>
      <c r="B835" s="754" t="s">
        <v>6103</v>
      </c>
      <c r="C835" s="748">
        <v>1</v>
      </c>
      <c r="D835" s="748">
        <v>1</v>
      </c>
      <c r="E835" s="749">
        <v>2.68</v>
      </c>
      <c r="F835" s="749">
        <v>0.9</v>
      </c>
      <c r="G835" s="749"/>
      <c r="H835" s="739">
        <f t="shared" si="77"/>
        <v>2.41</v>
      </c>
      <c r="I835" s="750"/>
    </row>
    <row r="836" spans="1:9">
      <c r="A836" s="753"/>
      <c r="B836" s="754" t="s">
        <v>5912</v>
      </c>
      <c r="C836" s="748">
        <v>1</v>
      </c>
      <c r="D836" s="748">
        <v>1</v>
      </c>
      <c r="E836" s="749">
        <v>1.46</v>
      </c>
      <c r="F836" s="749">
        <v>0.6</v>
      </c>
      <c r="G836" s="749"/>
      <c r="H836" s="739">
        <f t="shared" si="77"/>
        <v>0.88</v>
      </c>
      <c r="I836" s="750"/>
    </row>
    <row r="837" spans="1:9">
      <c r="A837" s="753"/>
      <c r="B837" s="754" t="s">
        <v>6097</v>
      </c>
      <c r="C837" s="748">
        <v>3</v>
      </c>
      <c r="D837" s="748">
        <v>2</v>
      </c>
      <c r="E837" s="749">
        <v>0.6</v>
      </c>
      <c r="F837" s="749"/>
      <c r="G837" s="749">
        <v>7.0000000000000007E-2</v>
      </c>
      <c r="H837" s="739">
        <f t="shared" si="77"/>
        <v>0.25</v>
      </c>
      <c r="I837" s="750"/>
    </row>
    <row r="838" spans="1:9" s="737" customFormat="1">
      <c r="A838" s="738"/>
      <c r="B838" s="735" t="s">
        <v>6104</v>
      </c>
      <c r="C838" s="734">
        <v>1</v>
      </c>
      <c r="D838" s="734">
        <v>12</v>
      </c>
      <c r="E838" s="739">
        <v>4.24</v>
      </c>
      <c r="F838" s="739"/>
      <c r="G838" s="739">
        <v>0.75</v>
      </c>
      <c r="H838" s="739">
        <f t="shared" si="71"/>
        <v>38.159999999999997</v>
      </c>
      <c r="I838" s="736"/>
    </row>
    <row r="839" spans="1:9" s="737" customFormat="1">
      <c r="A839" s="738"/>
      <c r="B839" s="735" t="s">
        <v>6105</v>
      </c>
      <c r="C839" s="734">
        <v>1</v>
      </c>
      <c r="D839" s="734">
        <v>1</v>
      </c>
      <c r="E839" s="739">
        <v>4.2</v>
      </c>
      <c r="F839" s="739"/>
      <c r="G839" s="739">
        <v>0.45</v>
      </c>
      <c r="H839" s="739">
        <f t="shared" si="71"/>
        <v>1.89</v>
      </c>
      <c r="I839" s="736"/>
    </row>
    <row r="840" spans="1:9" s="737" customFormat="1">
      <c r="A840" s="738"/>
      <c r="B840" s="735" t="s">
        <v>6105</v>
      </c>
      <c r="C840" s="734">
        <v>1</v>
      </c>
      <c r="D840" s="734">
        <v>1</v>
      </c>
      <c r="E840" s="739">
        <v>7.8</v>
      </c>
      <c r="F840" s="739"/>
      <c r="G840" s="739">
        <v>0.45</v>
      </c>
      <c r="H840" s="739">
        <f t="shared" si="71"/>
        <v>3.51</v>
      </c>
      <c r="I840" s="736"/>
    </row>
    <row r="841" spans="1:9" s="737" customFormat="1">
      <c r="A841" s="738"/>
      <c r="B841" s="735"/>
      <c r="C841" s="734"/>
      <c r="D841" s="734"/>
      <c r="E841" s="739"/>
      <c r="F841" s="739"/>
      <c r="G841" s="742" t="s">
        <v>2235</v>
      </c>
      <c r="H841" s="742">
        <f>SUM(H778:H840)</f>
        <v>669.28</v>
      </c>
      <c r="I841" s="736"/>
    </row>
    <row r="842" spans="1:9" s="737" customFormat="1">
      <c r="A842" s="738"/>
      <c r="B842" s="735"/>
      <c r="C842" s="734"/>
      <c r="D842" s="734"/>
      <c r="E842" s="739"/>
      <c r="F842" s="739"/>
      <c r="G842" s="742"/>
      <c r="H842" s="739"/>
      <c r="I842" s="736"/>
    </row>
    <row r="843" spans="1:9" s="737" customFormat="1">
      <c r="A843" s="738"/>
      <c r="B843" s="735" t="s">
        <v>6003</v>
      </c>
      <c r="C843" s="734">
        <v>1</v>
      </c>
      <c r="D843" s="734">
        <v>1</v>
      </c>
      <c r="E843" s="739">
        <f>H776</f>
        <v>1028.69</v>
      </c>
      <c r="F843" s="739"/>
      <c r="G843" s="739"/>
      <c r="H843" s="739">
        <f t="shared" si="71"/>
        <v>1028.69</v>
      </c>
      <c r="I843" s="736"/>
    </row>
    <row r="844" spans="1:9" s="737" customFormat="1">
      <c r="A844" s="732"/>
      <c r="B844" s="735" t="s">
        <v>6083</v>
      </c>
      <c r="C844" s="734">
        <v>1</v>
      </c>
      <c r="D844" s="734">
        <v>1</v>
      </c>
      <c r="E844" s="739">
        <f>H841</f>
        <v>669.28</v>
      </c>
      <c r="F844" s="742"/>
      <c r="G844" s="742"/>
      <c r="H844" s="739">
        <f t="shared" si="71"/>
        <v>669.28</v>
      </c>
      <c r="I844" s="736"/>
    </row>
    <row r="845" spans="1:9" s="737" customFormat="1">
      <c r="A845" s="732"/>
      <c r="B845" s="735"/>
      <c r="C845" s="746"/>
      <c r="D845" s="746"/>
      <c r="E845" s="742"/>
      <c r="F845" s="742"/>
      <c r="G845" s="742"/>
      <c r="H845" s="742">
        <f>SUM(H843:H844)</f>
        <v>1697.97</v>
      </c>
      <c r="I845" s="736"/>
    </row>
    <row r="846" spans="1:9" s="737" customFormat="1">
      <c r="A846" s="732"/>
      <c r="B846" s="735"/>
      <c r="C846" s="746"/>
      <c r="D846" s="746"/>
      <c r="E846" s="742"/>
      <c r="F846" s="742"/>
      <c r="G846" s="742" t="s">
        <v>4209</v>
      </c>
      <c r="H846" s="742">
        <f>ROUNDUP(H845,1)</f>
        <v>1698</v>
      </c>
      <c r="I846" s="736" t="s">
        <v>2273</v>
      </c>
    </row>
    <row r="847" spans="1:9">
      <c r="A847" s="732">
        <v>34</v>
      </c>
      <c r="B847" s="735" t="s">
        <v>6106</v>
      </c>
      <c r="C847" s="746"/>
      <c r="D847" s="746"/>
      <c r="E847" s="742"/>
      <c r="F847" s="742"/>
      <c r="G847" s="742"/>
      <c r="H847" s="742"/>
      <c r="I847" s="736"/>
    </row>
    <row r="848" spans="1:9">
      <c r="A848" s="732"/>
      <c r="B848" s="735" t="s">
        <v>6107</v>
      </c>
      <c r="C848" s="734">
        <v>1</v>
      </c>
      <c r="D848" s="734">
        <v>12</v>
      </c>
      <c r="E848" s="739">
        <v>2.4</v>
      </c>
      <c r="F848" s="739"/>
      <c r="G848" s="739">
        <v>0.75</v>
      </c>
      <c r="H848" s="739">
        <f>PRODUCT(C848:G848)</f>
        <v>21.6</v>
      </c>
      <c r="I848" s="736"/>
    </row>
    <row r="849" spans="1:11">
      <c r="A849" s="753"/>
      <c r="B849" s="754"/>
      <c r="C849" s="748"/>
      <c r="D849" s="748"/>
      <c r="E849" s="749"/>
      <c r="F849" s="749"/>
      <c r="G849" s="749"/>
      <c r="H849" s="742">
        <f>SUM(H848:H848)</f>
        <v>21.6</v>
      </c>
      <c r="I849" s="750"/>
    </row>
    <row r="850" spans="1:11">
      <c r="A850" s="732"/>
      <c r="B850" s="735"/>
      <c r="C850" s="746"/>
      <c r="D850" s="746"/>
      <c r="E850" s="742"/>
      <c r="F850" s="742"/>
      <c r="G850" s="742" t="s">
        <v>4209</v>
      </c>
      <c r="H850" s="742">
        <f>ROUNDUP(H849,1)</f>
        <v>21.6</v>
      </c>
      <c r="I850" s="736" t="s">
        <v>2273</v>
      </c>
    </row>
    <row r="851" spans="1:11" s="737" customFormat="1" ht="318.75" customHeight="1">
      <c r="A851" s="732" t="s">
        <v>6956</v>
      </c>
      <c r="B851" s="1289" t="s">
        <v>6957</v>
      </c>
      <c r="C851" s="1289"/>
      <c r="D851" s="1289"/>
      <c r="E851" s="1289"/>
      <c r="F851" s="1289"/>
      <c r="G851" s="739"/>
      <c r="H851" s="739"/>
      <c r="I851" s="736"/>
      <c r="K851" s="737" t="s">
        <v>6958</v>
      </c>
    </row>
    <row r="852" spans="1:11" s="737" customFormat="1" ht="20.25" customHeight="1">
      <c r="A852" s="738"/>
      <c r="B852" s="757" t="s">
        <v>5845</v>
      </c>
      <c r="C852" s="734"/>
      <c r="D852" s="734"/>
      <c r="E852" s="739"/>
      <c r="F852" s="739"/>
      <c r="G852" s="739"/>
      <c r="H852" s="739"/>
      <c r="I852" s="736"/>
    </row>
    <row r="853" spans="1:11" s="737" customFormat="1">
      <c r="A853" s="738"/>
      <c r="B853" s="735" t="s">
        <v>5838</v>
      </c>
      <c r="C853" s="734">
        <v>1</v>
      </c>
      <c r="D853" s="734">
        <v>1</v>
      </c>
      <c r="E853" s="739">
        <v>6.53</v>
      </c>
      <c r="F853" s="739">
        <v>7.5</v>
      </c>
      <c r="G853" s="739"/>
      <c r="H853" s="739">
        <f t="shared" ref="H853:H865" si="78">PRODUCT(C853:G853)</f>
        <v>48.98</v>
      </c>
      <c r="I853" s="736"/>
    </row>
    <row r="854" spans="1:11" s="737" customFormat="1">
      <c r="A854" s="738"/>
      <c r="B854" s="735" t="s">
        <v>5838</v>
      </c>
      <c r="C854" s="734">
        <v>1</v>
      </c>
      <c r="D854" s="734">
        <v>1</v>
      </c>
      <c r="E854" s="739">
        <v>3.52</v>
      </c>
      <c r="F854" s="739">
        <v>1.58</v>
      </c>
      <c r="G854" s="739"/>
      <c r="H854" s="739">
        <f t="shared" si="78"/>
        <v>5.56</v>
      </c>
      <c r="I854" s="736"/>
    </row>
    <row r="855" spans="1:11" s="737" customFormat="1">
      <c r="A855" s="738"/>
      <c r="B855" s="735" t="s">
        <v>5955</v>
      </c>
      <c r="C855" s="734">
        <v>1</v>
      </c>
      <c r="D855" s="734">
        <v>1</v>
      </c>
      <c r="E855" s="739">
        <v>3.6</v>
      </c>
      <c r="F855" s="739">
        <v>3.64</v>
      </c>
      <c r="G855" s="739"/>
      <c r="H855" s="739">
        <f t="shared" si="78"/>
        <v>13.1</v>
      </c>
      <c r="I855" s="736"/>
    </row>
    <row r="856" spans="1:11" s="737" customFormat="1">
      <c r="A856" s="738"/>
      <c r="B856" s="735" t="s">
        <v>5860</v>
      </c>
      <c r="C856" s="734">
        <v>1</v>
      </c>
      <c r="D856" s="734">
        <v>1</v>
      </c>
      <c r="E856" s="739">
        <v>3.6</v>
      </c>
      <c r="F856" s="739">
        <v>3.6</v>
      </c>
      <c r="G856" s="739"/>
      <c r="H856" s="739">
        <f t="shared" si="78"/>
        <v>12.96</v>
      </c>
      <c r="I856" s="736"/>
    </row>
    <row r="857" spans="1:11" s="737" customFormat="1">
      <c r="A857" s="738"/>
      <c r="B857" s="735" t="s">
        <v>6108</v>
      </c>
      <c r="C857" s="734">
        <v>1</v>
      </c>
      <c r="D857" s="734">
        <v>1</v>
      </c>
      <c r="E857" s="739">
        <v>3.6</v>
      </c>
      <c r="F857" s="739">
        <v>3.42</v>
      </c>
      <c r="G857" s="739"/>
      <c r="H857" s="739">
        <f t="shared" si="78"/>
        <v>12.31</v>
      </c>
      <c r="I857" s="736"/>
    </row>
    <row r="858" spans="1:11" s="737" customFormat="1">
      <c r="A858" s="738"/>
      <c r="B858" s="735" t="s">
        <v>6109</v>
      </c>
      <c r="C858" s="734">
        <v>1</v>
      </c>
      <c r="D858" s="734">
        <v>1</v>
      </c>
      <c r="E858" s="739">
        <v>3.52</v>
      </c>
      <c r="F858" s="739">
        <f>2.9+0.75</f>
        <v>3.65</v>
      </c>
      <c r="G858" s="739"/>
      <c r="H858" s="739">
        <f t="shared" si="78"/>
        <v>12.85</v>
      </c>
      <c r="I858" s="736"/>
    </row>
    <row r="859" spans="1:11" s="737" customFormat="1">
      <c r="A859" s="738"/>
      <c r="B859" s="735" t="s">
        <v>5848</v>
      </c>
      <c r="C859" s="734">
        <v>1</v>
      </c>
      <c r="D859" s="734">
        <v>1</v>
      </c>
      <c r="E859" s="739">
        <v>2.78</v>
      </c>
      <c r="F859" s="739">
        <v>5.23</v>
      </c>
      <c r="G859" s="739"/>
      <c r="H859" s="739">
        <f t="shared" si="78"/>
        <v>14.54</v>
      </c>
      <c r="I859" s="736"/>
    </row>
    <row r="860" spans="1:11" s="737" customFormat="1">
      <c r="A860" s="738"/>
      <c r="B860" s="735" t="s">
        <v>5849</v>
      </c>
      <c r="C860" s="734">
        <v>1</v>
      </c>
      <c r="D860" s="734">
        <v>1</v>
      </c>
      <c r="E860" s="739">
        <v>2.4</v>
      </c>
      <c r="F860" s="739">
        <v>2.78</v>
      </c>
      <c r="G860" s="739"/>
      <c r="H860" s="739">
        <f t="shared" si="78"/>
        <v>6.67</v>
      </c>
      <c r="I860" s="736"/>
    </row>
    <row r="861" spans="1:11" s="737" customFormat="1">
      <c r="A861" s="738"/>
      <c r="B861" s="735" t="s">
        <v>5841</v>
      </c>
      <c r="C861" s="734">
        <v>1</v>
      </c>
      <c r="D861" s="734">
        <v>1</v>
      </c>
      <c r="E861" s="739">
        <v>2.4</v>
      </c>
      <c r="F861" s="739">
        <v>6.42</v>
      </c>
      <c r="G861" s="739"/>
      <c r="H861" s="739">
        <f t="shared" si="78"/>
        <v>15.41</v>
      </c>
      <c r="I861" s="736"/>
    </row>
    <row r="862" spans="1:11" s="737" customFormat="1">
      <c r="A862" s="738"/>
      <c r="B862" s="735" t="s">
        <v>6110</v>
      </c>
      <c r="C862" s="734">
        <v>1</v>
      </c>
      <c r="D862" s="734">
        <v>2</v>
      </c>
      <c r="E862" s="739">
        <v>2.0699999999999998</v>
      </c>
      <c r="F862" s="739">
        <v>1.5</v>
      </c>
      <c r="G862" s="739"/>
      <c r="H862" s="739">
        <f t="shared" si="78"/>
        <v>6.21</v>
      </c>
      <c r="I862" s="736"/>
    </row>
    <row r="863" spans="1:11" s="737" customFormat="1">
      <c r="A863" s="738"/>
      <c r="B863" s="735" t="s">
        <v>6111</v>
      </c>
      <c r="C863" s="734">
        <v>2</v>
      </c>
      <c r="D863" s="734">
        <v>2</v>
      </c>
      <c r="E863" s="739">
        <v>4.0199999999999996</v>
      </c>
      <c r="F863" s="739">
        <v>1.05</v>
      </c>
      <c r="G863" s="739"/>
      <c r="H863" s="739">
        <f t="shared" si="78"/>
        <v>16.88</v>
      </c>
      <c r="I863" s="736"/>
    </row>
    <row r="864" spans="1:11" s="737" customFormat="1">
      <c r="A864" s="738"/>
      <c r="B864" s="735" t="s">
        <v>6112</v>
      </c>
      <c r="C864" s="734">
        <v>1</v>
      </c>
      <c r="D864" s="734">
        <v>1</v>
      </c>
      <c r="E864" s="739">
        <v>2.4</v>
      </c>
      <c r="F864" s="739">
        <v>1.2</v>
      </c>
      <c r="G864" s="739"/>
      <c r="H864" s="739">
        <f t="shared" si="78"/>
        <v>2.88</v>
      </c>
      <c r="I864" s="736"/>
    </row>
    <row r="865" spans="1:9" s="737" customFormat="1">
      <c r="A865" s="738"/>
      <c r="B865" s="735" t="s">
        <v>6113</v>
      </c>
      <c r="C865" s="734">
        <v>1</v>
      </c>
      <c r="D865" s="734">
        <v>1</v>
      </c>
      <c r="E865" s="739">
        <v>2.4</v>
      </c>
      <c r="F865" s="739">
        <v>1.35</v>
      </c>
      <c r="G865" s="739"/>
      <c r="H865" s="739">
        <f t="shared" si="78"/>
        <v>3.24</v>
      </c>
      <c r="I865" s="736"/>
    </row>
    <row r="866" spans="1:9" s="737" customFormat="1">
      <c r="A866" s="738"/>
      <c r="B866" s="757" t="s">
        <v>6115</v>
      </c>
      <c r="C866" s="734"/>
      <c r="D866" s="734"/>
      <c r="E866" s="739"/>
      <c r="F866" s="739"/>
      <c r="G866" s="739"/>
      <c r="H866" s="739">
        <f t="shared" ref="H866:H870" si="79">PRODUCT(C866:G866)</f>
        <v>0</v>
      </c>
      <c r="I866" s="736"/>
    </row>
    <row r="867" spans="1:9" s="737" customFormat="1">
      <c r="A867" s="738"/>
      <c r="B867" s="735" t="s">
        <v>6037</v>
      </c>
      <c r="C867" s="734">
        <v>1</v>
      </c>
      <c r="D867" s="734">
        <v>2</v>
      </c>
      <c r="E867" s="739">
        <v>3.6</v>
      </c>
      <c r="F867" s="739">
        <v>0.6</v>
      </c>
      <c r="G867" s="739"/>
      <c r="H867" s="739">
        <f t="shared" si="79"/>
        <v>4.32</v>
      </c>
      <c r="I867" s="736"/>
    </row>
    <row r="868" spans="1:9" s="737" customFormat="1">
      <c r="A868" s="738"/>
      <c r="B868" s="735" t="s">
        <v>5838</v>
      </c>
      <c r="C868" s="734">
        <v>1</v>
      </c>
      <c r="D868" s="734">
        <v>1</v>
      </c>
      <c r="E868" s="739">
        <f>1.5+0.115+1.5</f>
        <v>3.12</v>
      </c>
      <c r="F868" s="739">
        <v>0.45</v>
      </c>
      <c r="G868" s="739"/>
      <c r="H868" s="739">
        <f t="shared" si="79"/>
        <v>1.4</v>
      </c>
      <c r="I868" s="736"/>
    </row>
    <row r="869" spans="1:9" s="737" customFormat="1">
      <c r="A869" s="738"/>
      <c r="B869" s="735" t="s">
        <v>5838</v>
      </c>
      <c r="C869" s="734">
        <v>1</v>
      </c>
      <c r="D869" s="734">
        <v>1</v>
      </c>
      <c r="E869" s="739">
        <v>1.5</v>
      </c>
      <c r="F869" s="739">
        <v>0.6</v>
      </c>
      <c r="G869" s="739"/>
      <c r="H869" s="739">
        <f t="shared" si="79"/>
        <v>0.9</v>
      </c>
      <c r="I869" s="736"/>
    </row>
    <row r="870" spans="1:9" s="737" customFormat="1">
      <c r="A870" s="738"/>
      <c r="B870" s="735" t="s">
        <v>5927</v>
      </c>
      <c r="C870" s="734">
        <v>1</v>
      </c>
      <c r="D870" s="734">
        <v>1</v>
      </c>
      <c r="E870" s="739">
        <f>(2.4+4.02)*2</f>
        <v>12.84</v>
      </c>
      <c r="F870" s="739">
        <v>0.6</v>
      </c>
      <c r="G870" s="739"/>
      <c r="H870" s="739">
        <f t="shared" si="79"/>
        <v>7.7</v>
      </c>
      <c r="I870" s="736"/>
    </row>
    <row r="871" spans="1:9" s="737" customFormat="1">
      <c r="A871" s="738"/>
      <c r="B871" s="757" t="s">
        <v>6038</v>
      </c>
      <c r="C871" s="734"/>
      <c r="D871" s="734"/>
      <c r="E871" s="739"/>
      <c r="F871" s="739"/>
      <c r="G871" s="739"/>
      <c r="H871" s="739"/>
      <c r="I871" s="736"/>
    </row>
    <row r="872" spans="1:9" s="737" customFormat="1">
      <c r="A872" s="738"/>
      <c r="B872" s="735" t="s">
        <v>5957</v>
      </c>
      <c r="C872" s="734">
        <v>1</v>
      </c>
      <c r="D872" s="734">
        <v>1</v>
      </c>
      <c r="E872" s="739">
        <v>3.74</v>
      </c>
      <c r="F872" s="739">
        <v>5.18</v>
      </c>
      <c r="G872" s="739"/>
      <c r="H872" s="739">
        <f t="shared" ref="H872:H880" si="80">PRODUCT(C872:G872)</f>
        <v>19.37</v>
      </c>
      <c r="I872" s="736"/>
    </row>
    <row r="873" spans="1:9" s="737" customFormat="1">
      <c r="A873" s="738"/>
      <c r="B873" s="735" t="s">
        <v>5900</v>
      </c>
      <c r="C873" s="734">
        <v>1</v>
      </c>
      <c r="D873" s="734">
        <v>1</v>
      </c>
      <c r="E873" s="739">
        <v>3.52</v>
      </c>
      <c r="F873" s="739">
        <v>3.91</v>
      </c>
      <c r="G873" s="739"/>
      <c r="H873" s="739">
        <f t="shared" si="80"/>
        <v>13.76</v>
      </c>
      <c r="I873" s="736"/>
    </row>
    <row r="874" spans="1:9" s="737" customFormat="1">
      <c r="A874" s="738"/>
      <c r="B874" s="735" t="s">
        <v>6116</v>
      </c>
      <c r="C874" s="734">
        <v>1</v>
      </c>
      <c r="D874" s="734">
        <v>1</v>
      </c>
      <c r="E874" s="739">
        <v>3.15</v>
      </c>
      <c r="F874" s="739">
        <v>1.35</v>
      </c>
      <c r="G874" s="739"/>
      <c r="H874" s="739">
        <f t="shared" si="80"/>
        <v>4.25</v>
      </c>
      <c r="I874" s="736"/>
    </row>
    <row r="875" spans="1:9" s="737" customFormat="1">
      <c r="A875" s="738"/>
      <c r="B875" s="735" t="s">
        <v>5931</v>
      </c>
      <c r="C875" s="734">
        <v>1</v>
      </c>
      <c r="D875" s="734">
        <v>1</v>
      </c>
      <c r="E875" s="739">
        <v>2.78</v>
      </c>
      <c r="F875" s="739">
        <v>3.61</v>
      </c>
      <c r="G875" s="739"/>
      <c r="H875" s="739">
        <f t="shared" si="80"/>
        <v>10.039999999999999</v>
      </c>
      <c r="I875" s="736"/>
    </row>
    <row r="876" spans="1:9" s="737" customFormat="1">
      <c r="A876" s="738"/>
      <c r="B876" s="735" t="s">
        <v>5834</v>
      </c>
      <c r="C876" s="734">
        <v>1</v>
      </c>
      <c r="D876" s="734">
        <v>1</v>
      </c>
      <c r="E876" s="739">
        <v>2.52</v>
      </c>
      <c r="F876" s="739">
        <v>1.65</v>
      </c>
      <c r="G876" s="739"/>
      <c r="H876" s="739">
        <f t="shared" si="80"/>
        <v>4.16</v>
      </c>
      <c r="I876" s="736"/>
    </row>
    <row r="877" spans="1:9" s="737" customFormat="1">
      <c r="A877" s="738"/>
      <c r="B877" s="735" t="s">
        <v>5835</v>
      </c>
      <c r="C877" s="734">
        <v>1</v>
      </c>
      <c r="D877" s="734">
        <v>1</v>
      </c>
      <c r="E877" s="739">
        <v>2.2200000000000002</v>
      </c>
      <c r="F877" s="739">
        <v>0.9</v>
      </c>
      <c r="G877" s="739"/>
      <c r="H877" s="739">
        <f t="shared" si="80"/>
        <v>2</v>
      </c>
      <c r="I877" s="736"/>
    </row>
    <row r="878" spans="1:9" s="737" customFormat="1">
      <c r="A878" s="738"/>
      <c r="B878" s="735" t="s">
        <v>5935</v>
      </c>
      <c r="C878" s="734">
        <v>1</v>
      </c>
      <c r="D878" s="734">
        <v>1</v>
      </c>
      <c r="E878" s="739">
        <v>2.56</v>
      </c>
      <c r="F878" s="739">
        <v>3.77</v>
      </c>
      <c r="G878" s="739"/>
      <c r="H878" s="739">
        <f t="shared" si="80"/>
        <v>9.65</v>
      </c>
      <c r="I878" s="736"/>
    </row>
    <row r="879" spans="1:9" s="737" customFormat="1">
      <c r="A879" s="738"/>
      <c r="B879" s="735" t="s">
        <v>6117</v>
      </c>
      <c r="C879" s="734">
        <v>1</v>
      </c>
      <c r="D879" s="734">
        <v>1</v>
      </c>
      <c r="E879" s="739">
        <v>3.6</v>
      </c>
      <c r="F879" s="739">
        <v>3.9</v>
      </c>
      <c r="G879" s="739"/>
      <c r="H879" s="739">
        <f t="shared" si="80"/>
        <v>14.04</v>
      </c>
      <c r="I879" s="736"/>
    </row>
    <row r="880" spans="1:9" s="737" customFormat="1">
      <c r="A880" s="738"/>
      <c r="B880" s="735" t="s">
        <v>6108</v>
      </c>
      <c r="C880" s="734">
        <v>1</v>
      </c>
      <c r="D880" s="734">
        <v>1</v>
      </c>
      <c r="E880" s="739">
        <v>3.6</v>
      </c>
      <c r="F880" s="739">
        <v>3.42</v>
      </c>
      <c r="G880" s="739"/>
      <c r="H880" s="739">
        <f t="shared" si="80"/>
        <v>12.31</v>
      </c>
      <c r="I880" s="736"/>
    </row>
    <row r="881" spans="1:9" s="737" customFormat="1">
      <c r="A881" s="738"/>
      <c r="B881" s="735" t="s">
        <v>6118</v>
      </c>
      <c r="C881" s="734">
        <v>1</v>
      </c>
      <c r="D881" s="734">
        <v>1</v>
      </c>
      <c r="E881" s="739">
        <v>3.6</v>
      </c>
      <c r="F881" s="739">
        <v>3.6</v>
      </c>
      <c r="G881" s="739"/>
      <c r="H881" s="739">
        <f>PRODUCT(C881:G881)</f>
        <v>12.96</v>
      </c>
      <c r="I881" s="736"/>
    </row>
    <row r="882" spans="1:9" s="737" customFormat="1">
      <c r="A882" s="738"/>
      <c r="B882" s="735" t="s">
        <v>6119</v>
      </c>
      <c r="C882" s="734">
        <v>1</v>
      </c>
      <c r="D882" s="734">
        <v>1</v>
      </c>
      <c r="E882" s="739">
        <v>2.9</v>
      </c>
      <c r="F882" s="739">
        <v>4.5</v>
      </c>
      <c r="G882" s="739"/>
      <c r="H882" s="739">
        <f>PRODUCT(C882:G882)</f>
        <v>13.05</v>
      </c>
      <c r="I882" s="736"/>
    </row>
    <row r="883" spans="1:9" s="737" customFormat="1">
      <c r="A883" s="738"/>
      <c r="B883" s="735" t="s">
        <v>6119</v>
      </c>
      <c r="C883" s="734">
        <v>1</v>
      </c>
      <c r="D883" s="734">
        <v>1</v>
      </c>
      <c r="E883" s="739">
        <v>2.63</v>
      </c>
      <c r="F883" s="739">
        <v>2.52</v>
      </c>
      <c r="G883" s="739"/>
      <c r="H883" s="739">
        <f>PRODUCT(C883:G883)</f>
        <v>6.63</v>
      </c>
      <c r="I883" s="736"/>
    </row>
    <row r="884" spans="1:9" s="737" customFormat="1">
      <c r="A884" s="738"/>
      <c r="B884" s="735" t="s">
        <v>5833</v>
      </c>
      <c r="C884" s="734">
        <v>1</v>
      </c>
      <c r="D884" s="734">
        <v>1</v>
      </c>
      <c r="E884" s="739">
        <v>1.5</v>
      </c>
      <c r="F884" s="739">
        <v>1.8</v>
      </c>
      <c r="G884" s="739"/>
      <c r="H884" s="739">
        <f>PRODUCT(C884:G884)</f>
        <v>2.7</v>
      </c>
      <c r="I884" s="736"/>
    </row>
    <row r="885" spans="1:9" s="737" customFormat="1">
      <c r="A885" s="738"/>
      <c r="B885" s="735" t="s">
        <v>5849</v>
      </c>
      <c r="C885" s="734">
        <v>1</v>
      </c>
      <c r="D885" s="734">
        <v>1</v>
      </c>
      <c r="E885" s="739">
        <v>1.62</v>
      </c>
      <c r="F885" s="739">
        <v>2.4</v>
      </c>
      <c r="G885" s="739"/>
      <c r="H885" s="739">
        <f>PRODUCT(C885:G885)</f>
        <v>3.89</v>
      </c>
      <c r="I885" s="736"/>
    </row>
    <row r="886" spans="1:9" s="737" customFormat="1">
      <c r="A886" s="738"/>
      <c r="B886" s="757" t="s">
        <v>6115</v>
      </c>
      <c r="C886" s="734"/>
      <c r="D886" s="734"/>
      <c r="E886" s="739"/>
      <c r="F886" s="739"/>
      <c r="G886" s="739"/>
      <c r="H886" s="739">
        <f t="shared" ref="H886" si="81">PRODUCT(C886:G886)</f>
        <v>0</v>
      </c>
      <c r="I886" s="736"/>
    </row>
    <row r="887" spans="1:9" s="737" customFormat="1">
      <c r="A887" s="738"/>
      <c r="B887" s="735" t="s">
        <v>6073</v>
      </c>
      <c r="C887" s="734">
        <v>1</v>
      </c>
      <c r="D887" s="734">
        <v>2</v>
      </c>
      <c r="E887" s="739">
        <v>3.6</v>
      </c>
      <c r="F887" s="739">
        <v>0.6</v>
      </c>
      <c r="G887" s="739"/>
      <c r="H887" s="739">
        <f>PRODUCT(C887:G887)</f>
        <v>4.32</v>
      </c>
      <c r="I887" s="736"/>
    </row>
    <row r="888" spans="1:9" s="737" customFormat="1">
      <c r="A888" s="738"/>
      <c r="B888" s="735" t="s">
        <v>6074</v>
      </c>
      <c r="C888" s="734">
        <v>1</v>
      </c>
      <c r="D888" s="734">
        <v>1</v>
      </c>
      <c r="E888" s="739">
        <v>1.24</v>
      </c>
      <c r="F888" s="739">
        <v>0.6</v>
      </c>
      <c r="G888" s="739"/>
      <c r="H888" s="739">
        <f t="shared" ref="H888:H889" si="82">PRODUCT(C888:G888)</f>
        <v>0.74</v>
      </c>
      <c r="I888" s="736"/>
    </row>
    <row r="889" spans="1:9" s="737" customFormat="1">
      <c r="A889" s="738"/>
      <c r="B889" s="735" t="s">
        <v>5900</v>
      </c>
      <c r="C889" s="734">
        <v>1</v>
      </c>
      <c r="D889" s="734">
        <v>1</v>
      </c>
      <c r="E889" s="739">
        <v>1.65</v>
      </c>
      <c r="F889" s="739">
        <v>0.6</v>
      </c>
      <c r="G889" s="739"/>
      <c r="H889" s="739">
        <f t="shared" si="82"/>
        <v>0.99</v>
      </c>
      <c r="I889" s="736"/>
    </row>
    <row r="890" spans="1:9" s="737" customFormat="1">
      <c r="A890" s="738"/>
      <c r="B890" s="735" t="s">
        <v>6075</v>
      </c>
      <c r="C890" s="734">
        <v>1</v>
      </c>
      <c r="D890" s="734">
        <v>1</v>
      </c>
      <c r="E890" s="739">
        <v>2.36</v>
      </c>
      <c r="F890" s="739">
        <v>0.6</v>
      </c>
      <c r="G890" s="739"/>
      <c r="H890" s="739">
        <f>PRODUCT(C890:G890)</f>
        <v>1.42</v>
      </c>
      <c r="I890" s="736"/>
    </row>
    <row r="891" spans="1:9" s="737" customFormat="1">
      <c r="A891" s="738"/>
      <c r="B891" s="735" t="s">
        <v>6076</v>
      </c>
      <c r="C891" s="734">
        <v>1</v>
      </c>
      <c r="D891" s="734">
        <v>1</v>
      </c>
      <c r="E891" s="739">
        <v>2.56</v>
      </c>
      <c r="F891" s="739">
        <v>0.6</v>
      </c>
      <c r="G891" s="739"/>
      <c r="H891" s="739">
        <f t="shared" ref="H891:H895" si="83">PRODUCT(C891:G891)</f>
        <v>1.54</v>
      </c>
      <c r="I891" s="736"/>
    </row>
    <row r="892" spans="1:9" s="737" customFormat="1">
      <c r="A892" s="738"/>
      <c r="B892" s="735" t="s">
        <v>6077</v>
      </c>
      <c r="C892" s="734">
        <v>1</v>
      </c>
      <c r="D892" s="734">
        <v>1</v>
      </c>
      <c r="E892" s="739">
        <v>2.78</v>
      </c>
      <c r="F892" s="739">
        <v>0.86</v>
      </c>
      <c r="G892" s="739"/>
      <c r="H892" s="739">
        <f t="shared" si="83"/>
        <v>2.39</v>
      </c>
      <c r="I892" s="736"/>
    </row>
    <row r="893" spans="1:9" s="737" customFormat="1">
      <c r="A893" s="738"/>
      <c r="B893" s="735" t="s">
        <v>5931</v>
      </c>
      <c r="C893" s="734">
        <v>1</v>
      </c>
      <c r="D893" s="734">
        <v>1</v>
      </c>
      <c r="E893" s="739">
        <v>3.61</v>
      </c>
      <c r="F893" s="739">
        <v>0.6</v>
      </c>
      <c r="G893" s="739"/>
      <c r="H893" s="739">
        <f t="shared" si="83"/>
        <v>2.17</v>
      </c>
      <c r="I893" s="736"/>
    </row>
    <row r="894" spans="1:9" s="737" customFormat="1">
      <c r="A894" s="738"/>
      <c r="B894" s="735" t="s">
        <v>5940</v>
      </c>
      <c r="C894" s="734">
        <v>1</v>
      </c>
      <c r="D894" s="734">
        <v>1</v>
      </c>
      <c r="E894" s="739">
        <f>2.11+1.58+2.11</f>
        <v>5.8</v>
      </c>
      <c r="F894" s="739">
        <v>0.6</v>
      </c>
      <c r="G894" s="739"/>
      <c r="H894" s="739">
        <f t="shared" si="83"/>
        <v>3.48</v>
      </c>
      <c r="I894" s="736"/>
    </row>
    <row r="895" spans="1:9" s="737" customFormat="1">
      <c r="A895" s="738"/>
      <c r="B895" s="735" t="s">
        <v>6078</v>
      </c>
      <c r="C895" s="734">
        <v>1</v>
      </c>
      <c r="D895" s="734">
        <v>1</v>
      </c>
      <c r="E895" s="739">
        <v>0.79</v>
      </c>
      <c r="F895" s="739">
        <v>0.86</v>
      </c>
      <c r="G895" s="739"/>
      <c r="H895" s="739">
        <f t="shared" si="83"/>
        <v>0.68</v>
      </c>
      <c r="I895" s="736"/>
    </row>
    <row r="896" spans="1:9" s="737" customFormat="1">
      <c r="A896" s="738"/>
      <c r="B896" s="757" t="s">
        <v>6102</v>
      </c>
      <c r="C896" s="734"/>
      <c r="D896" s="734"/>
      <c r="E896" s="739"/>
      <c r="F896" s="739"/>
      <c r="G896" s="739"/>
      <c r="H896" s="739"/>
      <c r="I896" s="736"/>
    </row>
    <row r="897" spans="1:11" s="737" customFormat="1">
      <c r="A897" s="738"/>
      <c r="B897" s="735" t="s">
        <v>6120</v>
      </c>
      <c r="C897" s="734">
        <v>1</v>
      </c>
      <c r="D897" s="734">
        <v>1</v>
      </c>
      <c r="E897" s="739">
        <v>6.43</v>
      </c>
      <c r="F897" s="739">
        <v>2.4</v>
      </c>
      <c r="G897" s="739"/>
      <c r="H897" s="739">
        <f t="shared" ref="H897" si="84">PRODUCT(C897:G897)</f>
        <v>15.43</v>
      </c>
      <c r="I897" s="736"/>
    </row>
    <row r="898" spans="1:11" s="737" customFormat="1" ht="21.75" customHeight="1">
      <c r="A898" s="738"/>
      <c r="B898" s="735"/>
      <c r="C898" s="734"/>
      <c r="D898" s="734"/>
      <c r="E898" s="739"/>
      <c r="F898" s="739"/>
      <c r="G898" s="739"/>
      <c r="H898" s="742">
        <f>SUM(H853:H897)</f>
        <v>347.88</v>
      </c>
      <c r="I898" s="736"/>
    </row>
    <row r="899" spans="1:11" s="737" customFormat="1" ht="21.75" customHeight="1">
      <c r="A899" s="732"/>
      <c r="B899" s="735"/>
      <c r="C899" s="746"/>
      <c r="D899" s="746"/>
      <c r="E899" s="742"/>
      <c r="F899" s="742"/>
      <c r="G899" s="742" t="s">
        <v>4209</v>
      </c>
      <c r="H899" s="742">
        <f>ROUNDUP(H898,1)</f>
        <v>347.9</v>
      </c>
      <c r="I899" s="736" t="s">
        <v>2273</v>
      </c>
    </row>
    <row r="900" spans="1:11" s="737" customFormat="1" ht="32.25" customHeight="1">
      <c r="A900" s="732">
        <v>35</v>
      </c>
      <c r="B900" s="1289" t="s">
        <v>6959</v>
      </c>
      <c r="C900" s="1289"/>
      <c r="D900" s="1289"/>
      <c r="E900" s="1289"/>
      <c r="F900" s="1289"/>
      <c r="G900" s="739"/>
      <c r="H900" s="739"/>
      <c r="I900" s="736"/>
      <c r="K900" s="737" t="s">
        <v>6958</v>
      </c>
    </row>
    <row r="901" spans="1:11" s="737" customFormat="1" ht="20.25" customHeight="1">
      <c r="A901" s="738"/>
      <c r="B901" s="757" t="s">
        <v>5845</v>
      </c>
      <c r="C901" s="734"/>
      <c r="D901" s="734"/>
      <c r="E901" s="739"/>
      <c r="F901" s="739"/>
      <c r="G901" s="739"/>
      <c r="H901" s="739"/>
      <c r="I901" s="736"/>
    </row>
    <row r="902" spans="1:11" s="737" customFormat="1">
      <c r="A902" s="738"/>
      <c r="B902" s="757" t="s">
        <v>6114</v>
      </c>
      <c r="C902" s="734"/>
      <c r="D902" s="734"/>
      <c r="E902" s="739"/>
      <c r="F902" s="739"/>
      <c r="G902" s="739"/>
      <c r="H902" s="739"/>
      <c r="I902" s="736"/>
    </row>
    <row r="903" spans="1:11" s="737" customFormat="1">
      <c r="A903" s="738"/>
      <c r="B903" s="735" t="s">
        <v>5872</v>
      </c>
      <c r="C903" s="734">
        <v>1</v>
      </c>
      <c r="D903" s="734">
        <v>1</v>
      </c>
      <c r="E903" s="739">
        <f>1.8+0.46</f>
        <v>2.2599999999999998</v>
      </c>
      <c r="F903" s="739">
        <v>0.6</v>
      </c>
      <c r="G903" s="739"/>
      <c r="H903" s="739">
        <f t="shared" ref="H903:H904" si="85">PRODUCT(C903:G903)</f>
        <v>1.36</v>
      </c>
      <c r="I903" s="736"/>
    </row>
    <row r="904" spans="1:11" s="737" customFormat="1">
      <c r="A904" s="738"/>
      <c r="B904" s="735" t="s">
        <v>5873</v>
      </c>
      <c r="C904" s="734">
        <v>1</v>
      </c>
      <c r="D904" s="734">
        <v>3</v>
      </c>
      <c r="E904" s="739">
        <f>1.5+0.46</f>
        <v>1.96</v>
      </c>
      <c r="F904" s="739">
        <v>0.6</v>
      </c>
      <c r="G904" s="739"/>
      <c r="H904" s="739">
        <f t="shared" si="85"/>
        <v>3.53</v>
      </c>
      <c r="I904" s="736"/>
    </row>
    <row r="905" spans="1:11" s="737" customFormat="1">
      <c r="A905" s="738"/>
      <c r="B905" s="735" t="s">
        <v>5874</v>
      </c>
      <c r="C905" s="734">
        <v>1</v>
      </c>
      <c r="D905" s="734">
        <v>2</v>
      </c>
      <c r="E905" s="739">
        <f>1.5+0.46</f>
        <v>1.96</v>
      </c>
      <c r="F905" s="739">
        <v>0.6</v>
      </c>
      <c r="G905" s="739"/>
      <c r="H905" s="739">
        <f>PRODUCT(C905:G905)</f>
        <v>2.35</v>
      </c>
      <c r="I905" s="736"/>
    </row>
    <row r="906" spans="1:11" s="737" customFormat="1">
      <c r="A906" s="738"/>
      <c r="B906" s="735" t="s">
        <v>6095</v>
      </c>
      <c r="C906" s="734">
        <v>1</v>
      </c>
      <c r="D906" s="734">
        <v>1</v>
      </c>
      <c r="E906" s="739">
        <v>5.5</v>
      </c>
      <c r="F906" s="739">
        <v>0.6</v>
      </c>
      <c r="G906" s="739"/>
      <c r="H906" s="739">
        <f>PRODUCT(C906:G906)</f>
        <v>3.3</v>
      </c>
      <c r="I906" s="736"/>
    </row>
    <row r="907" spans="1:11" s="737" customFormat="1">
      <c r="A907" s="738"/>
      <c r="B907" s="735" t="s">
        <v>6096</v>
      </c>
      <c r="C907" s="734">
        <v>1</v>
      </c>
      <c r="D907" s="734">
        <v>1</v>
      </c>
      <c r="E907" s="739">
        <v>9.6199999999999992</v>
      </c>
      <c r="F907" s="739">
        <v>0.75</v>
      </c>
      <c r="G907" s="739"/>
      <c r="H907" s="739">
        <f>PRODUCT(C907:G907)</f>
        <v>7.22</v>
      </c>
      <c r="I907" s="736"/>
    </row>
    <row r="908" spans="1:11" s="737" customFormat="1">
      <c r="A908" s="738"/>
      <c r="B908" s="735" t="s">
        <v>6097</v>
      </c>
      <c r="C908" s="734">
        <v>8</v>
      </c>
      <c r="D908" s="734">
        <v>2</v>
      </c>
      <c r="E908" s="739">
        <v>0.6</v>
      </c>
      <c r="F908" s="739"/>
      <c r="G908" s="739">
        <v>7.0000000000000007E-2</v>
      </c>
      <c r="H908" s="739">
        <f t="shared" ref="H908:H909" si="86">PRODUCT(C908:G908)</f>
        <v>0.67</v>
      </c>
      <c r="I908" s="736"/>
    </row>
    <row r="909" spans="1:11" s="737" customFormat="1">
      <c r="A909" s="738"/>
      <c r="B909" s="735" t="s">
        <v>6097</v>
      </c>
      <c r="C909" s="734">
        <v>1</v>
      </c>
      <c r="D909" s="734">
        <v>2</v>
      </c>
      <c r="E909" s="739">
        <v>0.75</v>
      </c>
      <c r="F909" s="739"/>
      <c r="G909" s="739">
        <v>0.1</v>
      </c>
      <c r="H909" s="739">
        <f t="shared" si="86"/>
        <v>0.15</v>
      </c>
      <c r="I909" s="736"/>
    </row>
    <row r="910" spans="1:11" s="737" customFormat="1">
      <c r="A910" s="738"/>
      <c r="B910" s="757" t="s">
        <v>6038</v>
      </c>
      <c r="C910" s="734"/>
      <c r="D910" s="734"/>
      <c r="E910" s="739"/>
      <c r="F910" s="739"/>
      <c r="G910" s="739"/>
      <c r="H910" s="739"/>
      <c r="I910" s="736"/>
    </row>
    <row r="911" spans="1:11" s="737" customFormat="1">
      <c r="A911" s="738"/>
      <c r="B911" s="757" t="s">
        <v>6114</v>
      </c>
      <c r="C911" s="734"/>
      <c r="D911" s="734"/>
      <c r="E911" s="739"/>
      <c r="F911" s="739"/>
      <c r="G911" s="739"/>
      <c r="H911" s="739"/>
      <c r="I911" s="736"/>
    </row>
    <row r="912" spans="1:11" s="737" customFormat="1">
      <c r="A912" s="738"/>
      <c r="B912" s="735" t="s">
        <v>5908</v>
      </c>
      <c r="C912" s="734">
        <v>1</v>
      </c>
      <c r="D912" s="734">
        <v>1</v>
      </c>
      <c r="E912" s="739">
        <f>1.8+0.46</f>
        <v>2.2599999999999998</v>
      </c>
      <c r="F912" s="739">
        <v>0.6</v>
      </c>
      <c r="G912" s="739"/>
      <c r="H912" s="739">
        <f t="shared" ref="H912:H914" si="87">PRODUCT(C912:G912)</f>
        <v>1.36</v>
      </c>
      <c r="I912" s="736"/>
    </row>
    <row r="913" spans="1:9" s="737" customFormat="1">
      <c r="A913" s="738"/>
      <c r="B913" s="735" t="s">
        <v>5873</v>
      </c>
      <c r="C913" s="734">
        <v>1</v>
      </c>
      <c r="D913" s="734">
        <v>5</v>
      </c>
      <c r="E913" s="739">
        <f>1.5+0.46</f>
        <v>1.96</v>
      </c>
      <c r="F913" s="739">
        <v>0.6</v>
      </c>
      <c r="G913" s="739"/>
      <c r="H913" s="739">
        <f t="shared" si="87"/>
        <v>5.88</v>
      </c>
      <c r="I913" s="736"/>
    </row>
    <row r="914" spans="1:9" s="737" customFormat="1">
      <c r="A914" s="738"/>
      <c r="B914" s="735" t="s">
        <v>5911</v>
      </c>
      <c r="C914" s="734">
        <v>1</v>
      </c>
      <c r="D914" s="734">
        <v>2</v>
      </c>
      <c r="E914" s="739">
        <v>1.46</v>
      </c>
      <c r="F914" s="739">
        <v>0.6</v>
      </c>
      <c r="G914" s="739"/>
      <c r="H914" s="739">
        <f t="shared" si="87"/>
        <v>1.75</v>
      </c>
      <c r="I914" s="736"/>
    </row>
    <row r="915" spans="1:9" s="737" customFormat="1">
      <c r="A915" s="738"/>
      <c r="B915" s="735" t="s">
        <v>5912</v>
      </c>
      <c r="C915" s="734">
        <v>1</v>
      </c>
      <c r="D915" s="734">
        <v>1</v>
      </c>
      <c r="E915" s="739">
        <f>1.5+0.46</f>
        <v>1.96</v>
      </c>
      <c r="F915" s="739">
        <v>0.6</v>
      </c>
      <c r="G915" s="739"/>
      <c r="H915" s="739">
        <f>PRODUCT(C915:G915)</f>
        <v>1.18</v>
      </c>
      <c r="I915" s="736"/>
    </row>
    <row r="916" spans="1:9" s="737" customFormat="1">
      <c r="A916" s="738"/>
      <c r="B916" s="735" t="s">
        <v>6099</v>
      </c>
      <c r="C916" s="734">
        <v>1</v>
      </c>
      <c r="D916" s="734">
        <v>1</v>
      </c>
      <c r="E916" s="739">
        <v>6.1</v>
      </c>
      <c r="F916" s="739">
        <v>0.6</v>
      </c>
      <c r="G916" s="739"/>
      <c r="H916" s="739">
        <f>PRODUCT(C916:G916)</f>
        <v>3.66</v>
      </c>
      <c r="I916" s="736"/>
    </row>
    <row r="917" spans="1:9" s="737" customFormat="1">
      <c r="A917" s="738"/>
      <c r="B917" s="735" t="s">
        <v>6100</v>
      </c>
      <c r="C917" s="734">
        <v>1</v>
      </c>
      <c r="D917" s="734">
        <v>1</v>
      </c>
      <c r="E917" s="739">
        <v>3.8</v>
      </c>
      <c r="F917" s="739">
        <v>0.9</v>
      </c>
      <c r="G917" s="739"/>
      <c r="H917" s="739">
        <f>PRODUCT(C917:G917)</f>
        <v>3.42</v>
      </c>
      <c r="I917" s="736"/>
    </row>
    <row r="918" spans="1:9" s="737" customFormat="1">
      <c r="A918" s="738"/>
      <c r="B918" s="735" t="s">
        <v>6101</v>
      </c>
      <c r="C918" s="734">
        <v>1</v>
      </c>
      <c r="D918" s="734">
        <v>1</v>
      </c>
      <c r="E918" s="739">
        <f>0.23+2.78+0.23+2.4+0.23</f>
        <v>5.87</v>
      </c>
      <c r="F918" s="739">
        <v>0.75</v>
      </c>
      <c r="G918" s="739"/>
      <c r="H918" s="739">
        <f>PRODUCT(C918:G918)</f>
        <v>4.4000000000000004</v>
      </c>
      <c r="I918" s="736"/>
    </row>
    <row r="919" spans="1:9" s="737" customFormat="1">
      <c r="A919" s="738"/>
      <c r="B919" s="735" t="s">
        <v>6097</v>
      </c>
      <c r="C919" s="734">
        <v>9</v>
      </c>
      <c r="D919" s="734">
        <v>2</v>
      </c>
      <c r="E919" s="739">
        <v>0.6</v>
      </c>
      <c r="F919" s="739"/>
      <c r="G919" s="739">
        <v>7.0000000000000007E-2</v>
      </c>
      <c r="H919" s="739">
        <f t="shared" ref="H919:H920" si="88">PRODUCT(C919:G919)</f>
        <v>0.76</v>
      </c>
      <c r="I919" s="736"/>
    </row>
    <row r="920" spans="1:9" s="737" customFormat="1">
      <c r="A920" s="738"/>
      <c r="B920" s="735" t="s">
        <v>6097</v>
      </c>
      <c r="C920" s="734">
        <v>2</v>
      </c>
      <c r="D920" s="734">
        <v>2</v>
      </c>
      <c r="E920" s="739">
        <v>0.75</v>
      </c>
      <c r="F920" s="739"/>
      <c r="G920" s="739">
        <v>0.1</v>
      </c>
      <c r="H920" s="739">
        <f t="shared" si="88"/>
        <v>0.3</v>
      </c>
      <c r="I920" s="736"/>
    </row>
    <row r="921" spans="1:9" s="737" customFormat="1">
      <c r="A921" s="738"/>
      <c r="B921" s="757" t="s">
        <v>6102</v>
      </c>
      <c r="C921" s="734"/>
      <c r="D921" s="734"/>
      <c r="E921" s="739"/>
      <c r="F921" s="739"/>
      <c r="G921" s="739"/>
      <c r="H921" s="739"/>
      <c r="I921" s="736"/>
    </row>
    <row r="922" spans="1:9" s="737" customFormat="1">
      <c r="A922" s="738"/>
      <c r="B922" s="735" t="s">
        <v>5873</v>
      </c>
      <c r="C922" s="734">
        <v>1</v>
      </c>
      <c r="D922" s="734">
        <v>2</v>
      </c>
      <c r="E922" s="739">
        <v>2.2599999999999998</v>
      </c>
      <c r="F922" s="739">
        <v>0.6</v>
      </c>
      <c r="G922" s="739"/>
      <c r="H922" s="739">
        <f t="shared" ref="H922:H924" si="89">PRODUCT(C922:G922)</f>
        <v>2.71</v>
      </c>
      <c r="I922" s="736"/>
    </row>
    <row r="923" spans="1:9" s="737" customFormat="1">
      <c r="A923" s="738"/>
      <c r="B923" s="735" t="s">
        <v>6103</v>
      </c>
      <c r="C923" s="734">
        <v>1</v>
      </c>
      <c r="D923" s="734">
        <v>1</v>
      </c>
      <c r="E923" s="739">
        <v>2.68</v>
      </c>
      <c r="F923" s="739">
        <v>0.9</v>
      </c>
      <c r="G923" s="739"/>
      <c r="H923" s="739">
        <f t="shared" si="89"/>
        <v>2.41</v>
      </c>
      <c r="I923" s="736"/>
    </row>
    <row r="924" spans="1:9" s="737" customFormat="1">
      <c r="A924" s="738"/>
      <c r="B924" s="735" t="s">
        <v>5912</v>
      </c>
      <c r="C924" s="734">
        <v>1</v>
      </c>
      <c r="D924" s="734">
        <v>1</v>
      </c>
      <c r="E924" s="739">
        <v>1.46</v>
      </c>
      <c r="F924" s="739">
        <v>0.6</v>
      </c>
      <c r="G924" s="739"/>
      <c r="H924" s="739">
        <f t="shared" si="89"/>
        <v>0.88</v>
      </c>
      <c r="I924" s="736"/>
    </row>
    <row r="925" spans="1:9" s="737" customFormat="1" ht="21.75" customHeight="1">
      <c r="A925" s="738"/>
      <c r="B925" s="735"/>
      <c r="C925" s="734"/>
      <c r="D925" s="734"/>
      <c r="E925" s="739"/>
      <c r="F925" s="739"/>
      <c r="G925" s="739"/>
      <c r="H925" s="742">
        <f>SUM(H902:H924)</f>
        <v>47.29</v>
      </c>
      <c r="I925" s="736"/>
    </row>
    <row r="926" spans="1:9" s="737" customFormat="1" ht="21.75" customHeight="1">
      <c r="A926" s="732"/>
      <c r="B926" s="735"/>
      <c r="C926" s="746"/>
      <c r="D926" s="746"/>
      <c r="E926" s="742"/>
      <c r="F926" s="742"/>
      <c r="G926" s="742" t="s">
        <v>4209</v>
      </c>
      <c r="H926" s="742">
        <f>ROUNDUP(H925,1)</f>
        <v>47.3</v>
      </c>
      <c r="I926" s="736" t="s">
        <v>2273</v>
      </c>
    </row>
    <row r="927" spans="1:9" s="737" customFormat="1" ht="56.25">
      <c r="A927" s="732">
        <v>36</v>
      </c>
      <c r="B927" s="733" t="s">
        <v>6121</v>
      </c>
      <c r="C927" s="734"/>
      <c r="D927" s="734"/>
      <c r="E927" s="739"/>
      <c r="F927" s="739"/>
      <c r="G927" s="739"/>
      <c r="H927" s="739"/>
      <c r="I927" s="736"/>
    </row>
    <row r="928" spans="1:9" s="737" customFormat="1">
      <c r="A928" s="732" t="s">
        <v>2598</v>
      </c>
      <c r="B928" s="735" t="s">
        <v>6122</v>
      </c>
      <c r="C928" s="734"/>
      <c r="D928" s="734"/>
      <c r="E928" s="739"/>
      <c r="F928" s="739"/>
      <c r="G928" s="739"/>
      <c r="H928" s="739"/>
      <c r="I928" s="736"/>
    </row>
    <row r="929" spans="1:9" s="737" customFormat="1">
      <c r="A929" s="738"/>
      <c r="B929" s="735" t="s">
        <v>6123</v>
      </c>
      <c r="C929" s="734">
        <v>1</v>
      </c>
      <c r="D929" s="734">
        <v>1</v>
      </c>
      <c r="E929" s="739">
        <v>51.78</v>
      </c>
      <c r="F929" s="739"/>
      <c r="G929" s="739"/>
      <c r="H929" s="739">
        <f>PRODUCT(C929:G929)</f>
        <v>51.78</v>
      </c>
      <c r="I929" s="736"/>
    </row>
    <row r="930" spans="1:9" s="737" customFormat="1">
      <c r="A930" s="738"/>
      <c r="B930" s="735" t="s">
        <v>6124</v>
      </c>
      <c r="C930" s="734">
        <v>1</v>
      </c>
      <c r="D930" s="734">
        <v>1</v>
      </c>
      <c r="E930" s="739">
        <v>51.78</v>
      </c>
      <c r="F930" s="739"/>
      <c r="G930" s="739"/>
      <c r="H930" s="739">
        <f>PRODUCT(C930:G930)</f>
        <v>51.78</v>
      </c>
      <c r="I930" s="736"/>
    </row>
    <row r="931" spans="1:9" s="737" customFormat="1">
      <c r="A931" s="738"/>
      <c r="B931" s="735" t="s">
        <v>6125</v>
      </c>
      <c r="C931" s="734">
        <v>1</v>
      </c>
      <c r="D931" s="734">
        <v>1</v>
      </c>
      <c r="E931" s="739">
        <v>18.11</v>
      </c>
      <c r="F931" s="739"/>
      <c r="G931" s="739"/>
      <c r="H931" s="739">
        <f>PRODUCT(C931:G931)</f>
        <v>18.11</v>
      </c>
      <c r="I931" s="736"/>
    </row>
    <row r="932" spans="1:9" s="737" customFormat="1">
      <c r="A932" s="738"/>
      <c r="B932" s="735"/>
      <c r="C932" s="734"/>
      <c r="D932" s="734"/>
      <c r="E932" s="739"/>
      <c r="F932" s="739"/>
      <c r="G932" s="739"/>
      <c r="H932" s="742">
        <f>SUM(H929:H931)</f>
        <v>121.67</v>
      </c>
      <c r="I932" s="736"/>
    </row>
    <row r="933" spans="1:9" s="737" customFormat="1">
      <c r="A933" s="732"/>
      <c r="B933" s="735"/>
      <c r="C933" s="746"/>
      <c r="D933" s="746"/>
      <c r="E933" s="742"/>
      <c r="F933" s="742"/>
      <c r="G933" s="742" t="s">
        <v>4209</v>
      </c>
      <c r="H933" s="742">
        <f>ROUNDUP(H932,1)</f>
        <v>121.7</v>
      </c>
      <c r="I933" s="736" t="s">
        <v>823</v>
      </c>
    </row>
    <row r="934" spans="1:9" s="737" customFormat="1">
      <c r="A934" s="732" t="s">
        <v>3182</v>
      </c>
      <c r="B934" s="735" t="s">
        <v>6126</v>
      </c>
      <c r="C934" s="734"/>
      <c r="D934" s="734"/>
      <c r="E934" s="739"/>
      <c r="F934" s="739"/>
      <c r="G934" s="739"/>
      <c r="H934" s="739"/>
      <c r="I934" s="736"/>
    </row>
    <row r="935" spans="1:9" s="737" customFormat="1">
      <c r="A935" s="738"/>
      <c r="B935" s="735" t="s">
        <v>6124</v>
      </c>
      <c r="C935" s="734">
        <v>1</v>
      </c>
      <c r="D935" s="734">
        <v>1</v>
      </c>
      <c r="E935" s="739">
        <f>E930</f>
        <v>51.78</v>
      </c>
      <c r="F935" s="739"/>
      <c r="G935" s="739"/>
      <c r="H935" s="739">
        <f t="shared" ref="H935:H939" si="90">PRODUCT(C935:G935)</f>
        <v>51.78</v>
      </c>
      <c r="I935" s="736"/>
    </row>
    <row r="936" spans="1:9" s="737" customFormat="1">
      <c r="A936" s="738"/>
      <c r="B936" s="735" t="s">
        <v>6127</v>
      </c>
      <c r="C936" s="734">
        <v>1</v>
      </c>
      <c r="D936" s="734">
        <v>1</v>
      </c>
      <c r="E936" s="739">
        <f>E929</f>
        <v>51.78</v>
      </c>
      <c r="F936" s="739"/>
      <c r="G936" s="739"/>
      <c r="H936" s="739">
        <f t="shared" si="90"/>
        <v>51.78</v>
      </c>
      <c r="I936" s="736"/>
    </row>
    <row r="937" spans="1:9" s="737" customFormat="1">
      <c r="A937" s="738"/>
      <c r="B937" s="735" t="s">
        <v>6128</v>
      </c>
      <c r="C937" s="734">
        <v>1</v>
      </c>
      <c r="D937" s="734">
        <v>1</v>
      </c>
      <c r="E937" s="739">
        <f>E930</f>
        <v>51.78</v>
      </c>
      <c r="F937" s="739"/>
      <c r="G937" s="739"/>
      <c r="H937" s="739">
        <f t="shared" si="90"/>
        <v>51.78</v>
      </c>
      <c r="I937" s="736"/>
    </row>
    <row r="938" spans="1:9" s="737" customFormat="1">
      <c r="A938" s="738"/>
      <c r="B938" s="735" t="s">
        <v>6129</v>
      </c>
      <c r="C938" s="734">
        <v>1</v>
      </c>
      <c r="D938" s="734">
        <v>6</v>
      </c>
      <c r="E938" s="739">
        <v>3</v>
      </c>
      <c r="F938" s="739"/>
      <c r="G938" s="739"/>
      <c r="H938" s="739">
        <f t="shared" si="90"/>
        <v>18</v>
      </c>
      <c r="I938" s="736"/>
    </row>
    <row r="939" spans="1:9" s="737" customFormat="1" ht="21.75" customHeight="1">
      <c r="A939" s="738"/>
      <c r="B939" s="735" t="s">
        <v>6130</v>
      </c>
      <c r="C939" s="734">
        <v>1</v>
      </c>
      <c r="D939" s="734">
        <v>1</v>
      </c>
      <c r="E939" s="739">
        <f>E931</f>
        <v>18.11</v>
      </c>
      <c r="F939" s="739"/>
      <c r="G939" s="739"/>
      <c r="H939" s="739">
        <f t="shared" si="90"/>
        <v>18.11</v>
      </c>
      <c r="I939" s="736"/>
    </row>
    <row r="940" spans="1:9" s="737" customFormat="1">
      <c r="A940" s="738"/>
      <c r="B940" s="735"/>
      <c r="C940" s="734"/>
      <c r="D940" s="734"/>
      <c r="E940" s="739"/>
      <c r="F940" s="739"/>
      <c r="G940" s="739"/>
      <c r="H940" s="742">
        <f>SUM(H935:H939)</f>
        <v>191.45</v>
      </c>
      <c r="I940" s="736"/>
    </row>
    <row r="941" spans="1:9" s="737" customFormat="1">
      <c r="A941" s="732"/>
      <c r="B941" s="735"/>
      <c r="C941" s="746"/>
      <c r="D941" s="746"/>
      <c r="E941" s="742"/>
      <c r="F941" s="742"/>
      <c r="G941" s="742" t="s">
        <v>4209</v>
      </c>
      <c r="H941" s="742">
        <f>ROUNDUP(H940,1)</f>
        <v>191.5</v>
      </c>
      <c r="I941" s="736" t="s">
        <v>823</v>
      </c>
    </row>
    <row r="942" spans="1:9" s="737" customFormat="1">
      <c r="A942" s="732" t="s">
        <v>2268</v>
      </c>
      <c r="B942" s="735" t="s">
        <v>6131</v>
      </c>
      <c r="C942" s="734"/>
      <c r="D942" s="734"/>
      <c r="E942" s="739"/>
      <c r="F942" s="739"/>
      <c r="G942" s="739"/>
      <c r="H942" s="739"/>
      <c r="I942" s="736"/>
    </row>
    <row r="943" spans="1:9" s="737" customFormat="1">
      <c r="A943" s="738"/>
      <c r="B943" s="735" t="s">
        <v>6124</v>
      </c>
      <c r="C943" s="734">
        <v>1</v>
      </c>
      <c r="D943" s="734">
        <v>1</v>
      </c>
      <c r="E943" s="739">
        <f>E935</f>
        <v>51.78</v>
      </c>
      <c r="F943" s="739"/>
      <c r="G943" s="739"/>
      <c r="H943" s="739">
        <f t="shared" ref="H943" si="91">PRODUCT(C943:G943)</f>
        <v>51.78</v>
      </c>
      <c r="I943" s="736"/>
    </row>
    <row r="944" spans="1:9" s="737" customFormat="1">
      <c r="A944" s="738"/>
      <c r="B944" s="757" t="s">
        <v>6114</v>
      </c>
      <c r="C944" s="734"/>
      <c r="D944" s="734"/>
      <c r="E944" s="739"/>
      <c r="F944" s="739"/>
      <c r="G944" s="739"/>
      <c r="H944" s="739"/>
      <c r="I944" s="736"/>
    </row>
    <row r="945" spans="1:9" s="737" customFormat="1">
      <c r="A945" s="738"/>
      <c r="B945" s="735" t="s">
        <v>5872</v>
      </c>
      <c r="C945" s="734">
        <v>1</v>
      </c>
      <c r="D945" s="734">
        <v>1</v>
      </c>
      <c r="E945" s="739">
        <f>1.8+0.46+1.2</f>
        <v>3.46</v>
      </c>
      <c r="F945" s="739"/>
      <c r="G945" s="739"/>
      <c r="H945" s="739">
        <f t="shared" ref="H945:H946" si="92">PRODUCT(C945:G945)</f>
        <v>3.46</v>
      </c>
      <c r="I945" s="736"/>
    </row>
    <row r="946" spans="1:9" s="737" customFormat="1">
      <c r="A946" s="738"/>
      <c r="B946" s="735" t="s">
        <v>5873</v>
      </c>
      <c r="C946" s="734">
        <v>1</v>
      </c>
      <c r="D946" s="734">
        <v>3</v>
      </c>
      <c r="E946" s="739">
        <f>1.5+0.46+1.2</f>
        <v>3.16</v>
      </c>
      <c r="F946" s="739"/>
      <c r="G946" s="739"/>
      <c r="H946" s="739">
        <f t="shared" si="92"/>
        <v>9.48</v>
      </c>
      <c r="I946" s="736"/>
    </row>
    <row r="947" spans="1:9" s="737" customFormat="1">
      <c r="A947" s="738"/>
      <c r="B947" s="735" t="s">
        <v>5874</v>
      </c>
      <c r="C947" s="734">
        <v>1</v>
      </c>
      <c r="D947" s="734">
        <v>2</v>
      </c>
      <c r="E947" s="739">
        <f>1.5+0.46+1.2</f>
        <v>3.16</v>
      </c>
      <c r="F947" s="739"/>
      <c r="G947" s="739"/>
      <c r="H947" s="739">
        <f>PRODUCT(C947:G947)</f>
        <v>6.32</v>
      </c>
      <c r="I947" s="736"/>
    </row>
    <row r="948" spans="1:9" s="737" customFormat="1">
      <c r="A948" s="738"/>
      <c r="B948" s="735" t="s">
        <v>6095</v>
      </c>
      <c r="C948" s="734">
        <v>1</v>
      </c>
      <c r="D948" s="734">
        <v>1</v>
      </c>
      <c r="E948" s="739">
        <f>5.5+1.2</f>
        <v>6.7</v>
      </c>
      <c r="F948" s="739"/>
      <c r="G948" s="739"/>
      <c r="H948" s="739">
        <f>PRODUCT(C948:G948)</f>
        <v>6.7</v>
      </c>
      <c r="I948" s="736"/>
    </row>
    <row r="949" spans="1:9" s="737" customFormat="1">
      <c r="A949" s="738"/>
      <c r="B949" s="735" t="s">
        <v>6096</v>
      </c>
      <c r="C949" s="734">
        <v>1</v>
      </c>
      <c r="D949" s="734">
        <v>1</v>
      </c>
      <c r="E949" s="739">
        <f>9.62+1.4</f>
        <v>11.02</v>
      </c>
      <c r="F949" s="739"/>
      <c r="G949" s="739"/>
      <c r="H949" s="739">
        <f>PRODUCT(C949:G949)</f>
        <v>11.02</v>
      </c>
      <c r="I949" s="736"/>
    </row>
    <row r="950" spans="1:9" s="737" customFormat="1">
      <c r="A950" s="738"/>
      <c r="B950" s="735" t="s">
        <v>5908</v>
      </c>
      <c r="C950" s="734">
        <v>1</v>
      </c>
      <c r="D950" s="734">
        <v>1</v>
      </c>
      <c r="E950" s="739">
        <f>1.8+0.46+1.2</f>
        <v>3.46</v>
      </c>
      <c r="F950" s="739"/>
      <c r="G950" s="739"/>
      <c r="H950" s="739">
        <f t="shared" ref="H950:H952" si="93">PRODUCT(C950:G950)</f>
        <v>3.46</v>
      </c>
      <c r="I950" s="736"/>
    </row>
    <row r="951" spans="1:9" s="737" customFormat="1">
      <c r="A951" s="738"/>
      <c r="B951" s="735" t="s">
        <v>5873</v>
      </c>
      <c r="C951" s="734">
        <v>1</v>
      </c>
      <c r="D951" s="734">
        <v>5</v>
      </c>
      <c r="E951" s="739">
        <f>1.5+0.46+1.2</f>
        <v>3.16</v>
      </c>
      <c r="F951" s="739"/>
      <c r="G951" s="739"/>
      <c r="H951" s="739">
        <f t="shared" si="93"/>
        <v>15.8</v>
      </c>
      <c r="I951" s="736"/>
    </row>
    <row r="952" spans="1:9" s="737" customFormat="1">
      <c r="A952" s="738"/>
      <c r="B952" s="735" t="s">
        <v>5911</v>
      </c>
      <c r="C952" s="734">
        <v>1</v>
      </c>
      <c r="D952" s="734">
        <v>2</v>
      </c>
      <c r="E952" s="739">
        <f>1.46+1.2</f>
        <v>2.66</v>
      </c>
      <c r="F952" s="739"/>
      <c r="G952" s="739"/>
      <c r="H952" s="739">
        <f t="shared" si="93"/>
        <v>5.32</v>
      </c>
      <c r="I952" s="736"/>
    </row>
    <row r="953" spans="1:9" s="737" customFormat="1">
      <c r="A953" s="738"/>
      <c r="B953" s="735" t="s">
        <v>5912</v>
      </c>
      <c r="C953" s="734">
        <v>1</v>
      </c>
      <c r="D953" s="734">
        <v>1</v>
      </c>
      <c r="E953" s="739">
        <f>1.5+0.46+1.2</f>
        <v>3.16</v>
      </c>
      <c r="F953" s="739"/>
      <c r="G953" s="739"/>
      <c r="H953" s="739">
        <f>PRODUCT(C953:G953)</f>
        <v>3.16</v>
      </c>
      <c r="I953" s="736"/>
    </row>
    <row r="954" spans="1:9" s="737" customFormat="1">
      <c r="A954" s="738"/>
      <c r="B954" s="735" t="s">
        <v>6099</v>
      </c>
      <c r="C954" s="734">
        <v>1</v>
      </c>
      <c r="D954" s="734">
        <v>1</v>
      </c>
      <c r="E954" s="739">
        <f>6.1+1.2</f>
        <v>7.3</v>
      </c>
      <c r="F954" s="739"/>
      <c r="G954" s="739"/>
      <c r="H954" s="739">
        <f>PRODUCT(C954:G954)</f>
        <v>7.3</v>
      </c>
      <c r="I954" s="736"/>
    </row>
    <row r="955" spans="1:9" s="737" customFormat="1">
      <c r="A955" s="738"/>
      <c r="B955" s="735" t="s">
        <v>6100</v>
      </c>
      <c r="C955" s="734">
        <v>1</v>
      </c>
      <c r="D955" s="734">
        <v>1</v>
      </c>
      <c r="E955" s="739">
        <f>3.8+1.2</f>
        <v>5</v>
      </c>
      <c r="F955" s="739"/>
      <c r="G955" s="739"/>
      <c r="H955" s="739">
        <f>PRODUCT(C955:G955)</f>
        <v>5</v>
      </c>
      <c r="I955" s="736"/>
    </row>
    <row r="956" spans="1:9" s="737" customFormat="1">
      <c r="A956" s="738"/>
      <c r="B956" s="735" t="s">
        <v>5873</v>
      </c>
      <c r="C956" s="734">
        <v>1</v>
      </c>
      <c r="D956" s="734">
        <v>1</v>
      </c>
      <c r="E956" s="739">
        <f>2.26+1.2</f>
        <v>3.46</v>
      </c>
      <c r="F956" s="739"/>
      <c r="G956" s="739"/>
      <c r="H956" s="739">
        <f t="shared" ref="H956:H958" si="94">PRODUCT(C956:G956)</f>
        <v>3.46</v>
      </c>
      <c r="I956" s="736"/>
    </row>
    <row r="957" spans="1:9" s="737" customFormat="1">
      <c r="A957" s="738"/>
      <c r="B957" s="735" t="s">
        <v>6103</v>
      </c>
      <c r="C957" s="734">
        <v>1</v>
      </c>
      <c r="D957" s="734">
        <v>1</v>
      </c>
      <c r="E957" s="739">
        <f>2.68+1.8</f>
        <v>4.4800000000000004</v>
      </c>
      <c r="F957" s="739"/>
      <c r="G957" s="739"/>
      <c r="H957" s="739">
        <f t="shared" si="94"/>
        <v>4.4800000000000004</v>
      </c>
      <c r="I957" s="736"/>
    </row>
    <row r="958" spans="1:9" s="737" customFormat="1">
      <c r="A958" s="738"/>
      <c r="B958" s="735" t="s">
        <v>5912</v>
      </c>
      <c r="C958" s="734">
        <v>1</v>
      </c>
      <c r="D958" s="734">
        <v>1</v>
      </c>
      <c r="E958" s="739">
        <f>1.46+1.2</f>
        <v>2.66</v>
      </c>
      <c r="F958" s="739"/>
      <c r="G958" s="739"/>
      <c r="H958" s="739">
        <f t="shared" si="94"/>
        <v>2.66</v>
      </c>
      <c r="I958" s="736"/>
    </row>
    <row r="959" spans="1:9" s="737" customFormat="1">
      <c r="A959" s="738"/>
      <c r="B959" s="735"/>
      <c r="C959" s="734"/>
      <c r="D959" s="734"/>
      <c r="E959" s="739"/>
      <c r="F959" s="739"/>
      <c r="G959" s="739"/>
      <c r="H959" s="742">
        <f>SUM(H943:H958)</f>
        <v>139.4</v>
      </c>
      <c r="I959" s="736"/>
    </row>
    <row r="960" spans="1:9" s="737" customFormat="1">
      <c r="A960" s="732"/>
      <c r="B960" s="735"/>
      <c r="C960" s="746"/>
      <c r="D960" s="746"/>
      <c r="E960" s="742"/>
      <c r="F960" s="742"/>
      <c r="G960" s="742" t="s">
        <v>4209</v>
      </c>
      <c r="H960" s="742">
        <f>ROUNDUP(H959,1)</f>
        <v>139.4</v>
      </c>
      <c r="I960" s="736" t="s">
        <v>823</v>
      </c>
    </row>
    <row r="961" spans="1:9" s="737" customFormat="1" ht="42.75" customHeight="1">
      <c r="A961" s="732">
        <v>39</v>
      </c>
      <c r="B961" s="733" t="s">
        <v>6132</v>
      </c>
      <c r="C961" s="734"/>
      <c r="D961" s="734"/>
      <c r="E961" s="735"/>
      <c r="F961" s="735"/>
      <c r="G961" s="735"/>
      <c r="H961" s="735"/>
      <c r="I961" s="736"/>
    </row>
    <row r="962" spans="1:9" s="737" customFormat="1" ht="21" customHeight="1">
      <c r="A962" s="732"/>
      <c r="B962" s="733" t="s">
        <v>6002</v>
      </c>
      <c r="C962" s="734"/>
      <c r="D962" s="734"/>
      <c r="E962" s="735"/>
      <c r="F962" s="735" t="s">
        <v>6960</v>
      </c>
      <c r="G962" s="735"/>
      <c r="H962" s="735"/>
      <c r="I962" s="736"/>
    </row>
    <row r="963" spans="1:9" s="737" customFormat="1">
      <c r="A963" s="738"/>
      <c r="B963" s="735" t="s">
        <v>5872</v>
      </c>
      <c r="C963" s="734">
        <v>1</v>
      </c>
      <c r="D963" s="734">
        <v>3</v>
      </c>
      <c r="E963" s="739">
        <v>1.8</v>
      </c>
      <c r="F963" s="739">
        <v>30</v>
      </c>
      <c r="G963" s="739">
        <v>1.35</v>
      </c>
      <c r="H963" s="739">
        <f>PRODUCT(C963:G963)</f>
        <v>218.7</v>
      </c>
      <c r="I963" s="736"/>
    </row>
    <row r="964" spans="1:9" s="737" customFormat="1">
      <c r="A964" s="738"/>
      <c r="B964" s="735" t="s">
        <v>5873</v>
      </c>
      <c r="C964" s="734">
        <v>1</v>
      </c>
      <c r="D964" s="734">
        <v>3</v>
      </c>
      <c r="E964" s="739">
        <v>1.5</v>
      </c>
      <c r="F964" s="739">
        <v>30</v>
      </c>
      <c r="G964" s="739">
        <v>1.35</v>
      </c>
      <c r="H964" s="739">
        <f t="shared" ref="H964:H982" si="95">PRODUCT(C964:G964)</f>
        <v>182.25</v>
      </c>
      <c r="I964" s="736"/>
    </row>
    <row r="965" spans="1:9" s="737" customFormat="1">
      <c r="A965" s="738"/>
      <c r="B965" s="735" t="s">
        <v>5909</v>
      </c>
      <c r="C965" s="734">
        <v>1</v>
      </c>
      <c r="D965" s="734">
        <v>1</v>
      </c>
      <c r="E965" s="739">
        <v>1.2</v>
      </c>
      <c r="F965" s="739">
        <v>30</v>
      </c>
      <c r="G965" s="739">
        <v>1.35</v>
      </c>
      <c r="H965" s="739">
        <f t="shared" si="95"/>
        <v>48.6</v>
      </c>
      <c r="I965" s="736"/>
    </row>
    <row r="966" spans="1:9" s="737" customFormat="1">
      <c r="A966" s="738"/>
      <c r="B966" s="735" t="s">
        <v>5870</v>
      </c>
      <c r="C966" s="734">
        <v>1</v>
      </c>
      <c r="D966" s="734">
        <v>1</v>
      </c>
      <c r="E966" s="739">
        <v>1.5</v>
      </c>
      <c r="F966" s="739">
        <v>30</v>
      </c>
      <c r="G966" s="739">
        <v>2</v>
      </c>
      <c r="H966" s="739">
        <f t="shared" si="95"/>
        <v>90</v>
      </c>
      <c r="I966" s="736"/>
    </row>
    <row r="967" spans="1:9" s="737" customFormat="1">
      <c r="A967" s="738"/>
      <c r="B967" s="735" t="s">
        <v>5871</v>
      </c>
      <c r="C967" s="734">
        <v>1</v>
      </c>
      <c r="D967" s="734">
        <v>1</v>
      </c>
      <c r="E967" s="739">
        <v>0.9</v>
      </c>
      <c r="F967" s="739">
        <v>30</v>
      </c>
      <c r="G967" s="739">
        <v>2</v>
      </c>
      <c r="H967" s="739">
        <f t="shared" si="95"/>
        <v>54</v>
      </c>
      <c r="I967" s="736"/>
    </row>
    <row r="968" spans="1:9" s="737" customFormat="1">
      <c r="A968" s="738"/>
      <c r="B968" s="735" t="s">
        <v>5874</v>
      </c>
      <c r="C968" s="734">
        <v>1</v>
      </c>
      <c r="D968" s="734">
        <v>2</v>
      </c>
      <c r="E968" s="739">
        <v>1.5</v>
      </c>
      <c r="F968" s="739">
        <v>30</v>
      </c>
      <c r="G968" s="739">
        <v>1.35</v>
      </c>
      <c r="H968" s="739">
        <f t="shared" si="95"/>
        <v>121.5</v>
      </c>
      <c r="I968" s="736"/>
    </row>
    <row r="969" spans="1:9" s="737" customFormat="1">
      <c r="A969" s="738"/>
      <c r="B969" s="735" t="s">
        <v>5875</v>
      </c>
      <c r="C969" s="734">
        <v>1</v>
      </c>
      <c r="D969" s="734">
        <v>3</v>
      </c>
      <c r="E969" s="739">
        <v>0.75</v>
      </c>
      <c r="F969" s="739">
        <v>30</v>
      </c>
      <c r="G969" s="739">
        <v>0.75</v>
      </c>
      <c r="H969" s="739">
        <f t="shared" si="95"/>
        <v>50.63</v>
      </c>
      <c r="I969" s="736"/>
    </row>
    <row r="970" spans="1:9" s="737" customFormat="1">
      <c r="A970" s="738"/>
      <c r="B970" s="735" t="s">
        <v>5876</v>
      </c>
      <c r="C970" s="734">
        <v>1</v>
      </c>
      <c r="D970" s="734">
        <v>1</v>
      </c>
      <c r="E970" s="739">
        <v>1.2</v>
      </c>
      <c r="F970" s="739">
        <v>30</v>
      </c>
      <c r="G970" s="739">
        <v>0.75</v>
      </c>
      <c r="H970" s="739">
        <f t="shared" si="95"/>
        <v>27</v>
      </c>
      <c r="I970" s="736"/>
    </row>
    <row r="971" spans="1:9" s="737" customFormat="1">
      <c r="A971" s="738"/>
      <c r="B971" s="735" t="s">
        <v>6038</v>
      </c>
      <c r="C971" s="734"/>
      <c r="D971" s="734"/>
      <c r="E971" s="739"/>
      <c r="F971" s="739">
        <v>30</v>
      </c>
      <c r="G971" s="739"/>
      <c r="H971" s="739"/>
      <c r="I971" s="736"/>
    </row>
    <row r="972" spans="1:9" s="737" customFormat="1">
      <c r="A972" s="738"/>
      <c r="B972" s="735" t="s">
        <v>5908</v>
      </c>
      <c r="C972" s="734">
        <v>1</v>
      </c>
      <c r="D972" s="734">
        <v>1</v>
      </c>
      <c r="E972" s="739">
        <v>1.8</v>
      </c>
      <c r="F972" s="739">
        <v>30</v>
      </c>
      <c r="G972" s="739">
        <v>1.65</v>
      </c>
      <c r="H972" s="739">
        <f t="shared" ref="H972:H977" si="96">PRODUCT(C972:G972)</f>
        <v>89.1</v>
      </c>
      <c r="I972" s="736"/>
    </row>
    <row r="973" spans="1:9" s="737" customFormat="1">
      <c r="A973" s="738"/>
      <c r="B973" s="735" t="s">
        <v>5873</v>
      </c>
      <c r="C973" s="734">
        <v>1</v>
      </c>
      <c r="D973" s="734">
        <v>6</v>
      </c>
      <c r="E973" s="739">
        <v>1.5</v>
      </c>
      <c r="F973" s="739">
        <v>30</v>
      </c>
      <c r="G973" s="739">
        <v>1.35</v>
      </c>
      <c r="H973" s="739">
        <f t="shared" si="96"/>
        <v>364.5</v>
      </c>
      <c r="I973" s="736"/>
    </row>
    <row r="974" spans="1:9" s="737" customFormat="1">
      <c r="A974" s="738"/>
      <c r="B974" s="735" t="s">
        <v>5918</v>
      </c>
      <c r="C974" s="734">
        <v>1</v>
      </c>
      <c r="D974" s="734">
        <v>2</v>
      </c>
      <c r="E974" s="739">
        <v>0.6</v>
      </c>
      <c r="F974" s="739">
        <v>30</v>
      </c>
      <c r="G974" s="739">
        <v>1.35</v>
      </c>
      <c r="H974" s="739">
        <f t="shared" si="96"/>
        <v>48.6</v>
      </c>
      <c r="I974" s="736"/>
    </row>
    <row r="975" spans="1:9" s="737" customFormat="1">
      <c r="A975" s="738"/>
      <c r="B975" s="735" t="s">
        <v>6133</v>
      </c>
      <c r="C975" s="734">
        <v>1</v>
      </c>
      <c r="D975" s="734">
        <v>1</v>
      </c>
      <c r="E975" s="739">
        <v>1.95</v>
      </c>
      <c r="F975" s="739">
        <v>30</v>
      </c>
      <c r="G975" s="739">
        <v>2</v>
      </c>
      <c r="H975" s="739">
        <f t="shared" si="96"/>
        <v>117</v>
      </c>
      <c r="I975" s="736"/>
    </row>
    <row r="976" spans="1:9" s="737" customFormat="1">
      <c r="A976" s="738"/>
      <c r="B976" s="735" t="s">
        <v>5906</v>
      </c>
      <c r="C976" s="734">
        <v>1</v>
      </c>
      <c r="D976" s="734">
        <v>1</v>
      </c>
      <c r="E976" s="739">
        <v>1.35</v>
      </c>
      <c r="F976" s="739">
        <v>30</v>
      </c>
      <c r="G976" s="739">
        <v>2</v>
      </c>
      <c r="H976" s="739">
        <f t="shared" si="96"/>
        <v>81</v>
      </c>
      <c r="I976" s="736"/>
    </row>
    <row r="977" spans="1:9" s="737" customFormat="1">
      <c r="A977" s="738"/>
      <c r="B977" s="735" t="s">
        <v>5907</v>
      </c>
      <c r="C977" s="734">
        <v>1</v>
      </c>
      <c r="D977" s="734">
        <v>1</v>
      </c>
      <c r="E977" s="739">
        <v>1.8</v>
      </c>
      <c r="F977" s="739">
        <v>30</v>
      </c>
      <c r="G977" s="739">
        <v>2</v>
      </c>
      <c r="H977" s="739">
        <f t="shared" si="96"/>
        <v>108</v>
      </c>
      <c r="I977" s="736"/>
    </row>
    <row r="978" spans="1:9" s="737" customFormat="1">
      <c r="A978" s="738"/>
      <c r="B978" s="735" t="s">
        <v>5910</v>
      </c>
      <c r="C978" s="734">
        <v>1</v>
      </c>
      <c r="D978" s="734">
        <v>1</v>
      </c>
      <c r="E978" s="739">
        <v>1.5</v>
      </c>
      <c r="F978" s="739">
        <v>30</v>
      </c>
      <c r="G978" s="739">
        <v>1.05</v>
      </c>
      <c r="H978" s="739">
        <f t="shared" si="95"/>
        <v>47.25</v>
      </c>
      <c r="I978" s="736"/>
    </row>
    <row r="979" spans="1:9" s="737" customFormat="1">
      <c r="A979" s="738"/>
      <c r="B979" s="735" t="s">
        <v>5911</v>
      </c>
      <c r="C979" s="734">
        <v>1</v>
      </c>
      <c r="D979" s="734">
        <v>2</v>
      </c>
      <c r="E979" s="739">
        <v>1</v>
      </c>
      <c r="F979" s="739">
        <v>30</v>
      </c>
      <c r="G979" s="739">
        <v>1.05</v>
      </c>
      <c r="H979" s="739">
        <f t="shared" si="95"/>
        <v>63</v>
      </c>
      <c r="I979" s="736"/>
    </row>
    <row r="980" spans="1:9" s="737" customFormat="1">
      <c r="A980" s="738"/>
      <c r="B980" s="735" t="s">
        <v>6134</v>
      </c>
      <c r="C980" s="734">
        <v>1</v>
      </c>
      <c r="D980" s="734">
        <v>1</v>
      </c>
      <c r="E980" s="739">
        <v>1.05</v>
      </c>
      <c r="F980" s="739">
        <v>30</v>
      </c>
      <c r="G980" s="739">
        <v>1.05</v>
      </c>
      <c r="H980" s="739">
        <f t="shared" si="95"/>
        <v>33.08</v>
      </c>
      <c r="I980" s="736"/>
    </row>
    <row r="981" spans="1:9" s="737" customFormat="1">
      <c r="A981" s="738"/>
      <c r="B981" s="735" t="s">
        <v>5912</v>
      </c>
      <c r="C981" s="734">
        <v>1</v>
      </c>
      <c r="D981" s="734">
        <v>2</v>
      </c>
      <c r="E981" s="739">
        <v>1</v>
      </c>
      <c r="F981" s="739">
        <v>30</v>
      </c>
      <c r="G981" s="739">
        <v>1.35</v>
      </c>
      <c r="H981" s="739">
        <f>PRODUCT(C981:G981)</f>
        <v>81</v>
      </c>
      <c r="I981" s="736"/>
    </row>
    <row r="982" spans="1:9" s="737" customFormat="1">
      <c r="A982" s="738"/>
      <c r="B982" s="735" t="s">
        <v>5875</v>
      </c>
      <c r="C982" s="734">
        <v>1</v>
      </c>
      <c r="D982" s="734">
        <v>3</v>
      </c>
      <c r="E982" s="739">
        <v>0.75</v>
      </c>
      <c r="F982" s="739">
        <v>30</v>
      </c>
      <c r="G982" s="739">
        <v>0.75</v>
      </c>
      <c r="H982" s="739">
        <f t="shared" si="95"/>
        <v>50.63</v>
      </c>
      <c r="I982" s="736"/>
    </row>
    <row r="983" spans="1:9" s="737" customFormat="1" ht="20.25" customHeight="1">
      <c r="A983" s="738"/>
      <c r="B983" s="735" t="s">
        <v>6135</v>
      </c>
      <c r="C983" s="734">
        <v>1</v>
      </c>
      <c r="D983" s="734">
        <v>1</v>
      </c>
      <c r="E983" s="739">
        <v>3.15</v>
      </c>
      <c r="F983" s="739">
        <v>40</v>
      </c>
      <c r="G983" s="739">
        <v>1.5</v>
      </c>
      <c r="H983" s="739">
        <f>PRODUCT(C983:G983)</f>
        <v>189</v>
      </c>
      <c r="I983" s="736"/>
    </row>
    <row r="984" spans="1:9" s="737" customFormat="1">
      <c r="A984" s="738"/>
      <c r="B984" s="735" t="s">
        <v>6102</v>
      </c>
      <c r="C984" s="734"/>
      <c r="D984" s="734"/>
      <c r="E984" s="739"/>
      <c r="F984" s="739"/>
      <c r="G984" s="739"/>
      <c r="H984" s="739"/>
      <c r="I984" s="736"/>
    </row>
    <row r="985" spans="1:9" s="737" customFormat="1">
      <c r="A985" s="738"/>
      <c r="B985" s="735" t="s">
        <v>5873</v>
      </c>
      <c r="C985" s="734">
        <v>1</v>
      </c>
      <c r="D985" s="734">
        <v>2</v>
      </c>
      <c r="E985" s="739">
        <v>1.5</v>
      </c>
      <c r="F985" s="739">
        <v>30</v>
      </c>
      <c r="G985" s="739">
        <v>1.35</v>
      </c>
      <c r="H985" s="739">
        <f t="shared" ref="H985:H986" si="97">PRODUCT(C985:G985)</f>
        <v>121.5</v>
      </c>
      <c r="I985" s="736"/>
    </row>
    <row r="986" spans="1:9" s="737" customFormat="1">
      <c r="A986" s="738"/>
      <c r="B986" s="735" t="s">
        <v>5918</v>
      </c>
      <c r="C986" s="734">
        <v>1</v>
      </c>
      <c r="D986" s="734">
        <v>1</v>
      </c>
      <c r="E986" s="739">
        <v>0.6</v>
      </c>
      <c r="F986" s="739">
        <v>30</v>
      </c>
      <c r="G986" s="739">
        <v>1.35</v>
      </c>
      <c r="H986" s="739">
        <f t="shared" si="97"/>
        <v>24.3</v>
      </c>
      <c r="I986" s="736"/>
    </row>
    <row r="987" spans="1:9" s="737" customFormat="1">
      <c r="A987" s="738"/>
      <c r="B987" s="735" t="s">
        <v>5912</v>
      </c>
      <c r="C987" s="734">
        <v>1</v>
      </c>
      <c r="D987" s="734">
        <v>1</v>
      </c>
      <c r="E987" s="739">
        <v>1</v>
      </c>
      <c r="F987" s="739">
        <v>30</v>
      </c>
      <c r="G987" s="739">
        <v>1.35</v>
      </c>
      <c r="H987" s="739">
        <f>PRODUCT(C987:G987)</f>
        <v>40.5</v>
      </c>
      <c r="I987" s="736"/>
    </row>
    <row r="988" spans="1:9" s="737" customFormat="1">
      <c r="A988" s="738"/>
      <c r="B988" s="735" t="s">
        <v>6136</v>
      </c>
      <c r="C988" s="734">
        <v>1</v>
      </c>
      <c r="D988" s="734">
        <v>1</v>
      </c>
      <c r="E988" s="739">
        <v>1</v>
      </c>
      <c r="F988" s="739">
        <v>40</v>
      </c>
      <c r="G988" s="739">
        <v>2.1</v>
      </c>
      <c r="H988" s="739">
        <f>PRODUCT(C988:G988)</f>
        <v>84</v>
      </c>
      <c r="I988" s="736"/>
    </row>
    <row r="989" spans="1:9" s="737" customFormat="1">
      <c r="A989" s="738"/>
      <c r="B989" s="735" t="s">
        <v>6137</v>
      </c>
      <c r="C989" s="734">
        <v>1</v>
      </c>
      <c r="D989" s="734">
        <v>1</v>
      </c>
      <c r="E989" s="739">
        <v>3</v>
      </c>
      <c r="F989" s="739">
        <v>40</v>
      </c>
      <c r="G989" s="739">
        <v>1.5</v>
      </c>
      <c r="H989" s="739">
        <f>PRODUCT(C989:G989)</f>
        <v>180</v>
      </c>
      <c r="I989" s="736"/>
    </row>
    <row r="990" spans="1:9" s="737" customFormat="1">
      <c r="A990" s="738"/>
      <c r="B990" s="735"/>
      <c r="C990" s="734"/>
      <c r="D990" s="734"/>
      <c r="E990" s="739"/>
      <c r="F990" s="739"/>
      <c r="G990" s="739"/>
      <c r="H990" s="739">
        <f>SUM(H963:H989)</f>
        <v>2515.14</v>
      </c>
      <c r="I990" s="736"/>
    </row>
    <row r="991" spans="1:9" s="737" customFormat="1">
      <c r="A991" s="732"/>
      <c r="B991" s="735"/>
      <c r="C991" s="746"/>
      <c r="D991" s="746"/>
      <c r="E991" s="742"/>
      <c r="F991" s="742"/>
      <c r="G991" s="742" t="s">
        <v>4209</v>
      </c>
      <c r="H991" s="742">
        <f>ROUNDUP(H990,1)</f>
        <v>2515.1999999999998</v>
      </c>
      <c r="I991" s="736" t="s">
        <v>1637</v>
      </c>
    </row>
    <row r="992" spans="1:9" s="737" customFormat="1">
      <c r="A992" s="732">
        <v>238.1</v>
      </c>
      <c r="B992" s="735" t="s">
        <v>6537</v>
      </c>
      <c r="C992" s="746"/>
      <c r="D992" s="746"/>
      <c r="E992" s="742"/>
      <c r="F992" s="742"/>
      <c r="G992" s="742"/>
      <c r="H992" s="742"/>
      <c r="I992" s="736"/>
    </row>
    <row r="993" spans="1:9" s="737" customFormat="1">
      <c r="A993" s="732"/>
      <c r="B993" s="735" t="s">
        <v>6538</v>
      </c>
      <c r="C993" s="734">
        <v>1</v>
      </c>
      <c r="D993" s="734">
        <v>1</v>
      </c>
      <c r="E993" s="739">
        <f>H991</f>
        <v>2515.1999999999998</v>
      </c>
      <c r="F993" s="742"/>
      <c r="G993" s="742"/>
      <c r="H993" s="739">
        <f>PRODUCT(C993:G993)</f>
        <v>2515.1999999999998</v>
      </c>
      <c r="I993" s="736"/>
    </row>
    <row r="994" spans="1:9" s="737" customFormat="1">
      <c r="A994" s="732"/>
      <c r="B994" s="735"/>
      <c r="C994" s="746"/>
      <c r="D994" s="746"/>
      <c r="E994" s="742"/>
      <c r="F994" s="742"/>
      <c r="G994" s="742"/>
      <c r="H994" s="766">
        <f>H993/1000</f>
        <v>2.5150000000000001</v>
      </c>
      <c r="I994" s="736" t="s">
        <v>525</v>
      </c>
    </row>
    <row r="995" spans="1:9" s="737" customFormat="1" ht="25.5" customHeight="1">
      <c r="A995" s="732">
        <v>40</v>
      </c>
      <c r="B995" s="733" t="s">
        <v>6138</v>
      </c>
      <c r="C995" s="734"/>
      <c r="D995" s="734"/>
      <c r="E995" s="739"/>
      <c r="F995" s="739" t="s">
        <v>6139</v>
      </c>
      <c r="G995" s="739"/>
      <c r="H995" s="739"/>
      <c r="I995" s="736"/>
    </row>
    <row r="996" spans="1:9" s="737" customFormat="1" ht="18.75" customHeight="1">
      <c r="A996" s="732"/>
      <c r="B996" s="733" t="s">
        <v>6002</v>
      </c>
      <c r="C996" s="734"/>
      <c r="D996" s="734"/>
      <c r="E996" s="739"/>
      <c r="F996" s="739"/>
      <c r="G996" s="739"/>
      <c r="H996" s="739"/>
      <c r="I996" s="736"/>
    </row>
    <row r="997" spans="1:9" s="737" customFormat="1">
      <c r="A997" s="738"/>
      <c r="B997" s="735" t="s">
        <v>5866</v>
      </c>
      <c r="C997" s="734">
        <v>1</v>
      </c>
      <c r="D997" s="734">
        <v>2</v>
      </c>
      <c r="E997" s="739">
        <v>1.2</v>
      </c>
      <c r="F997" s="739">
        <v>2.6</v>
      </c>
      <c r="G997" s="739">
        <v>2.1</v>
      </c>
      <c r="H997" s="739">
        <f>PRODUCT(C997:G997)</f>
        <v>13.1</v>
      </c>
      <c r="I997" s="736"/>
    </row>
    <row r="998" spans="1:9" s="737" customFormat="1">
      <c r="A998" s="738"/>
      <c r="B998" s="735" t="s">
        <v>5798</v>
      </c>
      <c r="C998" s="734">
        <v>1</v>
      </c>
      <c r="D998" s="734">
        <v>1</v>
      </c>
      <c r="E998" s="739">
        <v>0.9</v>
      </c>
      <c r="F998" s="739">
        <v>2.6</v>
      </c>
      <c r="G998" s="739">
        <v>2.1</v>
      </c>
      <c r="H998" s="739">
        <f t="shared" ref="H998:H1001" si="98">PRODUCT(C998:G998)</f>
        <v>4.91</v>
      </c>
      <c r="I998" s="736"/>
    </row>
    <row r="999" spans="1:9" s="737" customFormat="1">
      <c r="A999" s="738"/>
      <c r="B999" s="733" t="s">
        <v>6098</v>
      </c>
      <c r="C999" s="734"/>
      <c r="D999" s="734"/>
      <c r="E999" s="739"/>
      <c r="F999" s="739"/>
      <c r="G999" s="739"/>
      <c r="H999" s="739"/>
      <c r="I999" s="736"/>
    </row>
    <row r="1000" spans="1:9" s="737" customFormat="1">
      <c r="A1000" s="738"/>
      <c r="B1000" s="735" t="s">
        <v>5798</v>
      </c>
      <c r="C1000" s="734">
        <v>1</v>
      </c>
      <c r="D1000" s="734">
        <v>4</v>
      </c>
      <c r="E1000" s="739">
        <v>0.9</v>
      </c>
      <c r="F1000" s="739">
        <v>2.6</v>
      </c>
      <c r="G1000" s="739">
        <v>2.1</v>
      </c>
      <c r="H1000" s="739">
        <f t="shared" si="98"/>
        <v>19.66</v>
      </c>
      <c r="I1000" s="736"/>
    </row>
    <row r="1001" spans="1:9" s="737" customFormat="1">
      <c r="A1001" s="738"/>
      <c r="B1001" s="735" t="s">
        <v>6961</v>
      </c>
      <c r="C1001" s="734">
        <v>1</v>
      </c>
      <c r="D1001" s="734">
        <v>2</v>
      </c>
      <c r="E1001" s="739">
        <v>0.9</v>
      </c>
      <c r="F1001" s="739">
        <v>2.6</v>
      </c>
      <c r="G1001" s="739">
        <v>2.1</v>
      </c>
      <c r="H1001" s="739">
        <f t="shared" si="98"/>
        <v>9.83</v>
      </c>
      <c r="I1001" s="736"/>
    </row>
    <row r="1002" spans="1:9" s="737" customFormat="1">
      <c r="A1002" s="738"/>
      <c r="B1002" s="735"/>
      <c r="C1002" s="734"/>
      <c r="D1002" s="734"/>
      <c r="E1002" s="739"/>
      <c r="F1002" s="739"/>
      <c r="G1002" s="739"/>
      <c r="H1002" s="742">
        <f>SUM(H997:H1001)</f>
        <v>47.5</v>
      </c>
      <c r="I1002" s="736"/>
    </row>
    <row r="1003" spans="1:9" s="737" customFormat="1">
      <c r="A1003" s="732"/>
      <c r="B1003" s="735"/>
      <c r="C1003" s="746"/>
      <c r="D1003" s="746"/>
      <c r="E1003" s="742"/>
      <c r="F1003" s="742"/>
      <c r="G1003" s="742" t="s">
        <v>4209</v>
      </c>
      <c r="H1003" s="742">
        <f>ROUNDUP(H1002,1)</f>
        <v>47.5</v>
      </c>
      <c r="I1003" s="736" t="s">
        <v>2273</v>
      </c>
    </row>
    <row r="1004" spans="1:9" s="737" customFormat="1" ht="24.75" customHeight="1">
      <c r="A1004" s="732">
        <v>41</v>
      </c>
      <c r="B1004" s="733" t="s">
        <v>6140</v>
      </c>
      <c r="C1004" s="734"/>
      <c r="D1004" s="734"/>
      <c r="E1004" s="739"/>
      <c r="F1004" s="739"/>
      <c r="G1004" s="739"/>
      <c r="H1004" s="739"/>
      <c r="I1004" s="736"/>
    </row>
    <row r="1005" spans="1:9" s="737" customFormat="1" ht="21.75" customHeight="1">
      <c r="A1005" s="732"/>
      <c r="B1005" s="733" t="s">
        <v>6002</v>
      </c>
      <c r="C1005" s="734"/>
      <c r="D1005" s="734"/>
      <c r="E1005" s="735"/>
      <c r="F1005" s="735" t="s">
        <v>6139</v>
      </c>
      <c r="G1005" s="735"/>
      <c r="H1005" s="735"/>
      <c r="I1005" s="736"/>
    </row>
    <row r="1006" spans="1:9" s="737" customFormat="1">
      <c r="A1006" s="738"/>
      <c r="B1006" s="735" t="s">
        <v>5872</v>
      </c>
      <c r="C1006" s="734">
        <v>1</v>
      </c>
      <c r="D1006" s="734">
        <v>3</v>
      </c>
      <c r="E1006" s="739">
        <v>1.8</v>
      </c>
      <c r="F1006" s="739">
        <v>1</v>
      </c>
      <c r="G1006" s="739">
        <v>1.35</v>
      </c>
      <c r="H1006" s="739">
        <f>PRODUCT(C1006:G1006)</f>
        <v>7.29</v>
      </c>
      <c r="I1006" s="736"/>
    </row>
    <row r="1007" spans="1:9" s="737" customFormat="1">
      <c r="A1007" s="738"/>
      <c r="B1007" s="735" t="s">
        <v>5873</v>
      </c>
      <c r="C1007" s="734">
        <v>1</v>
      </c>
      <c r="D1007" s="734">
        <v>3</v>
      </c>
      <c r="E1007" s="739">
        <v>1.5</v>
      </c>
      <c r="F1007" s="739">
        <v>1</v>
      </c>
      <c r="G1007" s="739">
        <v>1.35</v>
      </c>
      <c r="H1007" s="739">
        <f t="shared" ref="H1007:H1014" si="99">PRODUCT(C1007:G1007)</f>
        <v>6.08</v>
      </c>
      <c r="I1007" s="736"/>
    </row>
    <row r="1008" spans="1:9" s="737" customFormat="1">
      <c r="A1008" s="738"/>
      <c r="B1008" s="735" t="s">
        <v>5870</v>
      </c>
      <c r="C1008" s="734">
        <v>1</v>
      </c>
      <c r="D1008" s="734">
        <v>1</v>
      </c>
      <c r="E1008" s="739">
        <v>1.5</v>
      </c>
      <c r="F1008" s="739">
        <v>1</v>
      </c>
      <c r="G1008" s="739">
        <v>2</v>
      </c>
      <c r="H1008" s="739">
        <f t="shared" si="99"/>
        <v>3</v>
      </c>
      <c r="I1008" s="736"/>
    </row>
    <row r="1009" spans="1:9" s="737" customFormat="1">
      <c r="A1009" s="738"/>
      <c r="B1009" s="735" t="s">
        <v>5871</v>
      </c>
      <c r="C1009" s="734">
        <v>1</v>
      </c>
      <c r="D1009" s="734">
        <v>1</v>
      </c>
      <c r="E1009" s="739">
        <v>0.9</v>
      </c>
      <c r="F1009" s="739">
        <v>1</v>
      </c>
      <c r="G1009" s="739">
        <v>2</v>
      </c>
      <c r="H1009" s="739">
        <f t="shared" si="99"/>
        <v>1.8</v>
      </c>
      <c r="I1009" s="736"/>
    </row>
    <row r="1010" spans="1:9" s="737" customFormat="1">
      <c r="A1010" s="738"/>
      <c r="B1010" s="735" t="s">
        <v>5874</v>
      </c>
      <c r="C1010" s="734">
        <v>1</v>
      </c>
      <c r="D1010" s="734">
        <v>2</v>
      </c>
      <c r="E1010" s="739">
        <v>1.5</v>
      </c>
      <c r="F1010" s="739">
        <v>1</v>
      </c>
      <c r="G1010" s="739">
        <v>1.35</v>
      </c>
      <c r="H1010" s="739">
        <f t="shared" si="99"/>
        <v>4.05</v>
      </c>
      <c r="I1010" s="736"/>
    </row>
    <row r="1011" spans="1:9" s="737" customFormat="1">
      <c r="A1011" s="738"/>
      <c r="B1011" s="735" t="s">
        <v>5875</v>
      </c>
      <c r="C1011" s="734">
        <v>1</v>
      </c>
      <c r="D1011" s="734">
        <v>3</v>
      </c>
      <c r="E1011" s="739">
        <v>0.75</v>
      </c>
      <c r="F1011" s="739">
        <v>1</v>
      </c>
      <c r="G1011" s="739">
        <v>0.75</v>
      </c>
      <c r="H1011" s="739">
        <f t="shared" si="99"/>
        <v>1.69</v>
      </c>
      <c r="I1011" s="736"/>
    </row>
    <row r="1012" spans="1:9" s="737" customFormat="1">
      <c r="A1012" s="738"/>
      <c r="B1012" s="735" t="s">
        <v>5876</v>
      </c>
      <c r="C1012" s="734">
        <v>1</v>
      </c>
      <c r="D1012" s="734">
        <v>1</v>
      </c>
      <c r="E1012" s="739">
        <v>1.2</v>
      </c>
      <c r="F1012" s="739">
        <v>1</v>
      </c>
      <c r="G1012" s="739">
        <v>0.75</v>
      </c>
      <c r="H1012" s="739">
        <f t="shared" si="99"/>
        <v>0.9</v>
      </c>
      <c r="I1012" s="736"/>
    </row>
    <row r="1013" spans="1:9" s="737" customFormat="1">
      <c r="A1013" s="738"/>
      <c r="B1013" s="735" t="s">
        <v>6141</v>
      </c>
      <c r="C1013" s="734">
        <v>1</v>
      </c>
      <c r="D1013" s="734">
        <v>1</v>
      </c>
      <c r="E1013" s="739">
        <v>5.5</v>
      </c>
      <c r="F1013" s="739">
        <v>1</v>
      </c>
      <c r="G1013" s="739">
        <v>0.9</v>
      </c>
      <c r="H1013" s="739">
        <f t="shared" si="99"/>
        <v>4.95</v>
      </c>
      <c r="I1013" s="736"/>
    </row>
    <row r="1014" spans="1:9" s="737" customFormat="1">
      <c r="A1014" s="738"/>
      <c r="B1014" s="735" t="s">
        <v>6141</v>
      </c>
      <c r="C1014" s="734">
        <v>1</v>
      </c>
      <c r="D1014" s="734">
        <v>1</v>
      </c>
      <c r="E1014" s="739">
        <v>10.5</v>
      </c>
      <c r="F1014" s="739">
        <v>1</v>
      </c>
      <c r="G1014" s="739">
        <v>0.9</v>
      </c>
      <c r="H1014" s="739">
        <f t="shared" si="99"/>
        <v>9.4499999999999993</v>
      </c>
      <c r="I1014" s="736"/>
    </row>
    <row r="1015" spans="1:9" s="737" customFormat="1">
      <c r="A1015" s="738"/>
      <c r="B1015" s="735" t="s">
        <v>6038</v>
      </c>
      <c r="C1015" s="734"/>
      <c r="D1015" s="734"/>
      <c r="E1015" s="739"/>
      <c r="F1015" s="739"/>
      <c r="G1015" s="739"/>
      <c r="H1015" s="739"/>
      <c r="I1015" s="736"/>
    </row>
    <row r="1016" spans="1:9" s="737" customFormat="1">
      <c r="A1016" s="738"/>
      <c r="B1016" s="735" t="s">
        <v>5908</v>
      </c>
      <c r="C1016" s="734">
        <v>1</v>
      </c>
      <c r="D1016" s="734">
        <v>1</v>
      </c>
      <c r="E1016" s="739">
        <v>1.8</v>
      </c>
      <c r="F1016" s="739">
        <v>1</v>
      </c>
      <c r="G1016" s="739">
        <v>1.65</v>
      </c>
      <c r="H1016" s="739">
        <f t="shared" ref="H1016:H1024" si="100">PRODUCT(C1016:G1016)</f>
        <v>2.97</v>
      </c>
      <c r="I1016" s="736"/>
    </row>
    <row r="1017" spans="1:9" s="737" customFormat="1">
      <c r="A1017" s="738"/>
      <c r="B1017" s="735" t="s">
        <v>5873</v>
      </c>
      <c r="C1017" s="734">
        <v>1</v>
      </c>
      <c r="D1017" s="734">
        <v>6</v>
      </c>
      <c r="E1017" s="739">
        <v>1.5</v>
      </c>
      <c r="F1017" s="739">
        <v>1</v>
      </c>
      <c r="G1017" s="739">
        <v>1.35</v>
      </c>
      <c r="H1017" s="739">
        <f t="shared" si="100"/>
        <v>12.15</v>
      </c>
      <c r="I1017" s="736"/>
    </row>
    <row r="1018" spans="1:9" s="737" customFormat="1">
      <c r="A1018" s="738"/>
      <c r="B1018" s="735" t="s">
        <v>5918</v>
      </c>
      <c r="C1018" s="734">
        <v>1</v>
      </c>
      <c r="D1018" s="734">
        <v>2</v>
      </c>
      <c r="E1018" s="739">
        <v>0.6</v>
      </c>
      <c r="F1018" s="739">
        <v>1</v>
      </c>
      <c r="G1018" s="739">
        <v>1.35</v>
      </c>
      <c r="H1018" s="739">
        <f t="shared" si="100"/>
        <v>1.62</v>
      </c>
      <c r="I1018" s="736"/>
    </row>
    <row r="1019" spans="1:9" s="737" customFormat="1">
      <c r="A1019" s="738"/>
      <c r="B1019" s="735" t="s">
        <v>6133</v>
      </c>
      <c r="C1019" s="734">
        <v>1</v>
      </c>
      <c r="D1019" s="734">
        <v>1</v>
      </c>
      <c r="E1019" s="739">
        <v>1.95</v>
      </c>
      <c r="F1019" s="739">
        <v>1</v>
      </c>
      <c r="G1019" s="739">
        <v>2</v>
      </c>
      <c r="H1019" s="739">
        <f t="shared" si="100"/>
        <v>3.9</v>
      </c>
      <c r="I1019" s="736"/>
    </row>
    <row r="1020" spans="1:9" s="737" customFormat="1">
      <c r="A1020" s="738"/>
      <c r="B1020" s="735" t="s">
        <v>5906</v>
      </c>
      <c r="C1020" s="734">
        <v>1</v>
      </c>
      <c r="D1020" s="734">
        <v>1</v>
      </c>
      <c r="E1020" s="739">
        <v>1.35</v>
      </c>
      <c r="F1020" s="739">
        <v>1</v>
      </c>
      <c r="G1020" s="739">
        <v>2</v>
      </c>
      <c r="H1020" s="739">
        <f t="shared" si="100"/>
        <v>2.7</v>
      </c>
      <c r="I1020" s="736"/>
    </row>
    <row r="1021" spans="1:9" s="737" customFormat="1">
      <c r="A1021" s="738"/>
      <c r="B1021" s="735" t="s">
        <v>5907</v>
      </c>
      <c r="C1021" s="734">
        <v>1</v>
      </c>
      <c r="D1021" s="734">
        <v>1</v>
      </c>
      <c r="E1021" s="739">
        <v>1.8</v>
      </c>
      <c r="F1021" s="739">
        <v>1</v>
      </c>
      <c r="G1021" s="739">
        <v>2</v>
      </c>
      <c r="H1021" s="739">
        <f t="shared" si="100"/>
        <v>3.6</v>
      </c>
      <c r="I1021" s="736"/>
    </row>
    <row r="1022" spans="1:9" s="737" customFormat="1">
      <c r="A1022" s="738"/>
      <c r="B1022" s="735" t="s">
        <v>5910</v>
      </c>
      <c r="C1022" s="734">
        <v>1</v>
      </c>
      <c r="D1022" s="734">
        <v>1</v>
      </c>
      <c r="E1022" s="739">
        <v>1.5</v>
      </c>
      <c r="F1022" s="739">
        <v>1</v>
      </c>
      <c r="G1022" s="739">
        <v>1.05</v>
      </c>
      <c r="H1022" s="739">
        <f t="shared" si="100"/>
        <v>1.58</v>
      </c>
      <c r="I1022" s="736"/>
    </row>
    <row r="1023" spans="1:9" s="737" customFormat="1">
      <c r="A1023" s="738"/>
      <c r="B1023" s="735" t="s">
        <v>5911</v>
      </c>
      <c r="C1023" s="734">
        <v>1</v>
      </c>
      <c r="D1023" s="734">
        <v>2</v>
      </c>
      <c r="E1023" s="739">
        <v>1</v>
      </c>
      <c r="F1023" s="739">
        <v>1</v>
      </c>
      <c r="G1023" s="739">
        <v>1.05</v>
      </c>
      <c r="H1023" s="739">
        <f t="shared" si="100"/>
        <v>2.1</v>
      </c>
      <c r="I1023" s="736"/>
    </row>
    <row r="1024" spans="1:9" s="737" customFormat="1">
      <c r="A1024" s="738"/>
      <c r="B1024" s="735" t="s">
        <v>6134</v>
      </c>
      <c r="C1024" s="734">
        <v>1</v>
      </c>
      <c r="D1024" s="734">
        <v>1</v>
      </c>
      <c r="E1024" s="739">
        <v>1.05</v>
      </c>
      <c r="F1024" s="739">
        <v>1</v>
      </c>
      <c r="G1024" s="739">
        <v>1.05</v>
      </c>
      <c r="H1024" s="739">
        <f t="shared" si="100"/>
        <v>1.1000000000000001</v>
      </c>
      <c r="I1024" s="736"/>
    </row>
    <row r="1025" spans="1:9" s="737" customFormat="1">
      <c r="A1025" s="738"/>
      <c r="B1025" s="735" t="s">
        <v>5912</v>
      </c>
      <c r="C1025" s="734">
        <v>1</v>
      </c>
      <c r="D1025" s="734">
        <v>1</v>
      </c>
      <c r="E1025" s="739">
        <v>1</v>
      </c>
      <c r="F1025" s="739">
        <v>1</v>
      </c>
      <c r="G1025" s="739">
        <v>1.35</v>
      </c>
      <c r="H1025" s="739">
        <f>PRODUCT(C1025:G1025)</f>
        <v>1.35</v>
      </c>
      <c r="I1025" s="736"/>
    </row>
    <row r="1026" spans="1:9" s="737" customFormat="1">
      <c r="A1026" s="738"/>
      <c r="B1026" s="735" t="s">
        <v>5875</v>
      </c>
      <c r="C1026" s="734">
        <v>1</v>
      </c>
      <c r="D1026" s="734">
        <v>3</v>
      </c>
      <c r="E1026" s="739">
        <v>0.75</v>
      </c>
      <c r="F1026" s="739">
        <v>1</v>
      </c>
      <c r="G1026" s="739">
        <v>0.75</v>
      </c>
      <c r="H1026" s="739">
        <f t="shared" ref="H1026:H1027" si="101">PRODUCT(C1026:G1026)</f>
        <v>1.69</v>
      </c>
      <c r="I1026" s="736"/>
    </row>
    <row r="1027" spans="1:9" s="737" customFormat="1" ht="20.25" customHeight="1">
      <c r="A1027" s="738"/>
      <c r="B1027" s="735" t="s">
        <v>6135</v>
      </c>
      <c r="C1027" s="734">
        <v>1</v>
      </c>
      <c r="D1027" s="734">
        <v>1</v>
      </c>
      <c r="E1027" s="739">
        <v>3.15</v>
      </c>
      <c r="F1027" s="739">
        <v>1</v>
      </c>
      <c r="G1027" s="739">
        <v>1.5</v>
      </c>
      <c r="H1027" s="739">
        <f t="shared" si="101"/>
        <v>4.7300000000000004</v>
      </c>
      <c r="I1027" s="736"/>
    </row>
    <row r="1028" spans="1:9" s="737" customFormat="1">
      <c r="A1028" s="738"/>
      <c r="B1028" s="735" t="s">
        <v>6102</v>
      </c>
      <c r="C1028" s="734"/>
      <c r="D1028" s="734"/>
      <c r="E1028" s="739"/>
      <c r="F1028" s="739"/>
      <c r="G1028" s="739"/>
      <c r="H1028" s="739"/>
      <c r="I1028" s="736"/>
    </row>
    <row r="1029" spans="1:9" s="737" customFormat="1">
      <c r="A1029" s="738"/>
      <c r="B1029" s="735" t="s">
        <v>5873</v>
      </c>
      <c r="C1029" s="734">
        <v>1</v>
      </c>
      <c r="D1029" s="734">
        <v>2</v>
      </c>
      <c r="E1029" s="739">
        <v>1.5</v>
      </c>
      <c r="F1029" s="739">
        <v>1</v>
      </c>
      <c r="G1029" s="739">
        <v>1.35</v>
      </c>
      <c r="H1029" s="739">
        <f t="shared" ref="H1029:H1030" si="102">PRODUCT(C1029:G1029)</f>
        <v>4.05</v>
      </c>
      <c r="I1029" s="736"/>
    </row>
    <row r="1030" spans="1:9" s="737" customFormat="1">
      <c r="A1030" s="738"/>
      <c r="B1030" s="735" t="s">
        <v>5918</v>
      </c>
      <c r="C1030" s="734">
        <v>1</v>
      </c>
      <c r="D1030" s="734">
        <v>1</v>
      </c>
      <c r="E1030" s="739">
        <v>0.6</v>
      </c>
      <c r="F1030" s="739">
        <v>1</v>
      </c>
      <c r="G1030" s="739">
        <v>1.35</v>
      </c>
      <c r="H1030" s="739">
        <f t="shared" si="102"/>
        <v>0.81</v>
      </c>
      <c r="I1030" s="736"/>
    </row>
    <row r="1031" spans="1:9" s="737" customFormat="1">
      <c r="A1031" s="738"/>
      <c r="B1031" s="735" t="s">
        <v>5912</v>
      </c>
      <c r="C1031" s="734">
        <v>1</v>
      </c>
      <c r="D1031" s="734">
        <v>1</v>
      </c>
      <c r="E1031" s="739">
        <v>1</v>
      </c>
      <c r="F1031" s="739">
        <v>1</v>
      </c>
      <c r="G1031" s="739">
        <v>1.35</v>
      </c>
      <c r="H1031" s="739">
        <f>PRODUCT(C1031:G1031)</f>
        <v>1.35</v>
      </c>
      <c r="I1031" s="736"/>
    </row>
    <row r="1032" spans="1:9" s="737" customFormat="1">
      <c r="A1032" s="738"/>
      <c r="B1032" s="735" t="s">
        <v>6136</v>
      </c>
      <c r="C1032" s="734">
        <v>1</v>
      </c>
      <c r="D1032" s="734">
        <v>1</v>
      </c>
      <c r="E1032" s="739">
        <v>1</v>
      </c>
      <c r="F1032" s="739">
        <v>1.5</v>
      </c>
      <c r="G1032" s="739">
        <v>2.1</v>
      </c>
      <c r="H1032" s="739">
        <f>PRODUCT(C1032:G1032)</f>
        <v>3.15</v>
      </c>
      <c r="I1032" s="736"/>
    </row>
    <row r="1033" spans="1:9" s="737" customFormat="1">
      <c r="A1033" s="738"/>
      <c r="B1033" s="735" t="s">
        <v>6137</v>
      </c>
      <c r="C1033" s="734">
        <v>1</v>
      </c>
      <c r="D1033" s="734">
        <v>1</v>
      </c>
      <c r="E1033" s="739">
        <v>3</v>
      </c>
      <c r="F1033" s="739">
        <v>1.5</v>
      </c>
      <c r="G1033" s="739">
        <v>1.5</v>
      </c>
      <c r="H1033" s="739">
        <f>PRODUCT(C1033:G1033)</f>
        <v>6.75</v>
      </c>
      <c r="I1033" s="736"/>
    </row>
    <row r="1034" spans="1:9" s="731" customFormat="1">
      <c r="A1034" s="730"/>
      <c r="B1034" s="751" t="s">
        <v>6142</v>
      </c>
      <c r="C1034" s="1189"/>
      <c r="D1034" s="1189"/>
      <c r="E1034" s="752"/>
      <c r="F1034" s="752"/>
      <c r="G1034" s="752"/>
      <c r="H1034" s="742"/>
      <c r="I1034" s="750"/>
    </row>
    <row r="1035" spans="1:9">
      <c r="A1035" s="753"/>
      <c r="B1035" s="754" t="s">
        <v>5964</v>
      </c>
      <c r="C1035" s="748"/>
      <c r="D1035" s="748"/>
      <c r="E1035" s="749"/>
      <c r="F1035" s="749"/>
      <c r="G1035" s="749"/>
      <c r="H1035" s="739"/>
      <c r="I1035" s="750"/>
    </row>
    <row r="1036" spans="1:9">
      <c r="A1036" s="753"/>
      <c r="B1036" s="754" t="s">
        <v>5965</v>
      </c>
      <c r="C1036" s="748">
        <v>4</v>
      </c>
      <c r="D1036" s="748">
        <v>4</v>
      </c>
      <c r="E1036" s="749">
        <v>1.25</v>
      </c>
      <c r="F1036" s="749">
        <v>0.6</v>
      </c>
      <c r="G1036" s="749"/>
      <c r="H1036" s="739">
        <f>PRODUCT(C1036:G1036)</f>
        <v>12</v>
      </c>
      <c r="I1036" s="750"/>
    </row>
    <row r="1037" spans="1:9">
      <c r="A1037" s="753"/>
      <c r="B1037" s="754" t="s">
        <v>5966</v>
      </c>
      <c r="C1037" s="748"/>
      <c r="D1037" s="748"/>
      <c r="E1037" s="749"/>
      <c r="F1037" s="749"/>
      <c r="G1037" s="749"/>
      <c r="H1037" s="739"/>
      <c r="I1037" s="750"/>
    </row>
    <row r="1038" spans="1:9">
      <c r="A1038" s="753"/>
      <c r="B1038" s="754" t="s">
        <v>5967</v>
      </c>
      <c r="C1038" s="748">
        <v>2</v>
      </c>
      <c r="D1038" s="748">
        <v>4</v>
      </c>
      <c r="E1038" s="749">
        <v>1.25</v>
      </c>
      <c r="F1038" s="749">
        <v>0.45</v>
      </c>
      <c r="G1038" s="749"/>
      <c r="H1038" s="739">
        <f>PRODUCT(C1038:G1038)</f>
        <v>4.5</v>
      </c>
      <c r="I1038" s="750"/>
    </row>
    <row r="1039" spans="1:9">
      <c r="A1039" s="753"/>
      <c r="B1039" s="754" t="s">
        <v>5968</v>
      </c>
      <c r="C1039" s="748">
        <v>2</v>
      </c>
      <c r="D1039" s="748">
        <v>4</v>
      </c>
      <c r="E1039" s="749">
        <v>1.05</v>
      </c>
      <c r="F1039" s="749">
        <v>0.45</v>
      </c>
      <c r="G1039" s="749"/>
      <c r="H1039" s="739">
        <f>PRODUCT(C1039:G1039)</f>
        <v>3.78</v>
      </c>
      <c r="I1039" s="750"/>
    </row>
    <row r="1040" spans="1:9">
      <c r="A1040" s="753"/>
      <c r="B1040" s="754" t="s">
        <v>5969</v>
      </c>
      <c r="C1040" s="748"/>
      <c r="D1040" s="748"/>
      <c r="E1040" s="749"/>
      <c r="F1040" s="749"/>
      <c r="G1040" s="749"/>
      <c r="H1040" s="739"/>
      <c r="I1040" s="750"/>
    </row>
    <row r="1041" spans="1:9">
      <c r="A1041" s="753"/>
      <c r="B1041" s="754" t="s">
        <v>5967</v>
      </c>
      <c r="C1041" s="748">
        <v>2</v>
      </c>
      <c r="D1041" s="748">
        <v>4</v>
      </c>
      <c r="E1041" s="749">
        <v>1.25</v>
      </c>
      <c r="F1041" s="749">
        <v>0.41499999999999998</v>
      </c>
      <c r="G1041" s="749"/>
      <c r="H1041" s="739">
        <f>PRODUCT(C1041:G1041)</f>
        <v>4.1500000000000004</v>
      </c>
      <c r="I1041" s="750"/>
    </row>
    <row r="1042" spans="1:9">
      <c r="A1042" s="753"/>
      <c r="B1042" s="754" t="s">
        <v>5967</v>
      </c>
      <c r="C1042" s="748">
        <v>2</v>
      </c>
      <c r="D1042" s="748">
        <v>4</v>
      </c>
      <c r="E1042" s="749">
        <v>1.05</v>
      </c>
      <c r="F1042" s="749">
        <v>0.41499999999999998</v>
      </c>
      <c r="G1042" s="749"/>
      <c r="H1042" s="739">
        <f>PRODUCT(C1042:G1042)</f>
        <v>3.49</v>
      </c>
      <c r="I1042" s="750"/>
    </row>
    <row r="1043" spans="1:9">
      <c r="A1043" s="753"/>
      <c r="B1043" s="754" t="s">
        <v>5968</v>
      </c>
      <c r="C1043" s="748">
        <v>2</v>
      </c>
      <c r="D1043" s="748">
        <v>4</v>
      </c>
      <c r="E1043" s="749">
        <v>1</v>
      </c>
      <c r="F1043" s="749">
        <v>0.3</v>
      </c>
      <c r="G1043" s="749"/>
      <c r="H1043" s="739">
        <f>PRODUCT(C1043:G1043)</f>
        <v>2.4</v>
      </c>
      <c r="I1043" s="750"/>
    </row>
    <row r="1044" spans="1:9">
      <c r="A1044" s="753"/>
      <c r="B1044" s="754" t="s">
        <v>5970</v>
      </c>
      <c r="C1044" s="748">
        <v>4</v>
      </c>
      <c r="D1044" s="748">
        <v>4</v>
      </c>
      <c r="E1044" s="749">
        <v>1.05</v>
      </c>
      <c r="F1044" s="749">
        <v>0.41499999999999998</v>
      </c>
      <c r="G1044" s="749"/>
      <c r="H1044" s="739">
        <f>PRODUCT(C1044:G1044)</f>
        <v>6.97</v>
      </c>
      <c r="I1044" s="750"/>
    </row>
    <row r="1045" spans="1:9">
      <c r="A1045" s="753"/>
      <c r="B1045" s="754" t="s">
        <v>5971</v>
      </c>
      <c r="C1045" s="748"/>
      <c r="D1045" s="748"/>
      <c r="E1045" s="749"/>
      <c r="F1045" s="749"/>
      <c r="G1045" s="749"/>
      <c r="H1045" s="739"/>
      <c r="I1045" s="750"/>
    </row>
    <row r="1046" spans="1:9">
      <c r="A1046" s="753"/>
      <c r="B1046" s="754" t="s">
        <v>5972</v>
      </c>
      <c r="C1046" s="748">
        <v>2</v>
      </c>
      <c r="D1046" s="748">
        <v>2</v>
      </c>
      <c r="E1046" s="749">
        <v>1.25</v>
      </c>
      <c r="F1046" s="749">
        <v>0.6</v>
      </c>
      <c r="G1046" s="749"/>
      <c r="H1046" s="739">
        <f>PRODUCT(C1046:G1046)</f>
        <v>3</v>
      </c>
      <c r="I1046" s="750"/>
    </row>
    <row r="1047" spans="1:9">
      <c r="A1047" s="753"/>
      <c r="B1047" s="754" t="s">
        <v>5973</v>
      </c>
      <c r="C1047" s="748">
        <v>2</v>
      </c>
      <c r="D1047" s="748">
        <v>4</v>
      </c>
      <c r="E1047" s="749">
        <v>1.05</v>
      </c>
      <c r="F1047" s="749">
        <v>0.45</v>
      </c>
      <c r="G1047" s="749"/>
      <c r="H1047" s="739">
        <f>PRODUCT(C1047:G1047)</f>
        <v>3.78</v>
      </c>
      <c r="I1047" s="750"/>
    </row>
    <row r="1048" spans="1:9">
      <c r="A1048" s="753"/>
      <c r="B1048" s="754" t="s">
        <v>5974</v>
      </c>
      <c r="C1048" s="748"/>
      <c r="D1048" s="748"/>
      <c r="E1048" s="749"/>
      <c r="F1048" s="749"/>
      <c r="G1048" s="749"/>
      <c r="H1048" s="739"/>
      <c r="I1048" s="750"/>
    </row>
    <row r="1049" spans="1:9">
      <c r="A1049" s="753"/>
      <c r="B1049" s="754" t="s">
        <v>5975</v>
      </c>
      <c r="C1049" s="748">
        <v>2</v>
      </c>
      <c r="D1049" s="748">
        <v>2</v>
      </c>
      <c r="E1049" s="749">
        <v>1.25</v>
      </c>
      <c r="F1049" s="749">
        <v>0.6</v>
      </c>
      <c r="G1049" s="749"/>
      <c r="H1049" s="739">
        <f>PRODUCT(C1049:G1049)</f>
        <v>3</v>
      </c>
      <c r="I1049" s="750"/>
    </row>
    <row r="1050" spans="1:9">
      <c r="A1050" s="753"/>
      <c r="B1050" s="754" t="s">
        <v>5973</v>
      </c>
      <c r="C1050" s="748">
        <v>2</v>
      </c>
      <c r="D1050" s="748">
        <v>4</v>
      </c>
      <c r="E1050" s="749">
        <v>0.95</v>
      </c>
      <c r="F1050" s="749">
        <v>0.6</v>
      </c>
      <c r="G1050" s="749"/>
      <c r="H1050" s="739">
        <f>PRODUCT(C1050:G1050)</f>
        <v>4.5599999999999996</v>
      </c>
      <c r="I1050" s="750"/>
    </row>
    <row r="1051" spans="1:9">
      <c r="A1051" s="753"/>
      <c r="B1051" s="754" t="s">
        <v>5976</v>
      </c>
      <c r="C1051" s="748">
        <v>4</v>
      </c>
      <c r="D1051" s="748">
        <v>2</v>
      </c>
      <c r="E1051" s="749">
        <v>0.95</v>
      </c>
      <c r="F1051" s="749">
        <v>0.3</v>
      </c>
      <c r="G1051" s="749"/>
      <c r="H1051" s="739">
        <f>PRODUCT(C1051:G1051)</f>
        <v>2.2799999999999998</v>
      </c>
      <c r="I1051" s="750"/>
    </row>
    <row r="1052" spans="1:9">
      <c r="A1052" s="753"/>
      <c r="B1052" s="754" t="s">
        <v>5977</v>
      </c>
      <c r="C1052" s="748"/>
      <c r="D1052" s="748"/>
      <c r="E1052" s="749"/>
      <c r="F1052" s="749"/>
      <c r="G1052" s="749"/>
      <c r="H1052" s="739"/>
      <c r="I1052" s="750"/>
    </row>
    <row r="1053" spans="1:9">
      <c r="A1053" s="753"/>
      <c r="B1053" s="754" t="s">
        <v>5973</v>
      </c>
      <c r="C1053" s="748">
        <v>2</v>
      </c>
      <c r="D1053" s="748">
        <v>4</v>
      </c>
      <c r="E1053" s="749">
        <v>0.95</v>
      </c>
      <c r="F1053" s="749">
        <v>0.2</v>
      </c>
      <c r="G1053" s="749"/>
      <c r="H1053" s="739">
        <f>PRODUCT(C1053:G1053)</f>
        <v>1.52</v>
      </c>
      <c r="I1053" s="750"/>
    </row>
    <row r="1054" spans="1:9">
      <c r="A1054" s="753"/>
      <c r="B1054" s="754" t="s">
        <v>5973</v>
      </c>
      <c r="C1054" s="748">
        <v>2</v>
      </c>
      <c r="D1054" s="748">
        <v>4</v>
      </c>
      <c r="E1054" s="749">
        <v>1.24</v>
      </c>
      <c r="F1054" s="749">
        <v>0.45</v>
      </c>
      <c r="G1054" s="749"/>
      <c r="H1054" s="739">
        <f>PRODUCT(C1054:G1054)</f>
        <v>4.46</v>
      </c>
      <c r="I1054" s="750"/>
    </row>
    <row r="1055" spans="1:9">
      <c r="A1055" s="753"/>
      <c r="B1055" s="754" t="s">
        <v>5978</v>
      </c>
      <c r="C1055" s="748"/>
      <c r="D1055" s="748"/>
      <c r="E1055" s="749"/>
      <c r="F1055" s="749"/>
      <c r="G1055" s="749"/>
      <c r="H1055" s="739"/>
      <c r="I1055" s="750"/>
    </row>
    <row r="1056" spans="1:9">
      <c r="A1056" s="753"/>
      <c r="B1056" s="754" t="s">
        <v>5979</v>
      </c>
      <c r="C1056" s="748">
        <v>2</v>
      </c>
      <c r="D1056" s="748">
        <v>4</v>
      </c>
      <c r="E1056" s="749">
        <v>0.77500000000000002</v>
      </c>
      <c r="F1056" s="749">
        <v>0.6</v>
      </c>
      <c r="G1056" s="749"/>
      <c r="H1056" s="739">
        <f>PRODUCT(C1056:G1056)</f>
        <v>3.72</v>
      </c>
      <c r="I1056" s="750"/>
    </row>
    <row r="1057" spans="1:9" s="737" customFormat="1">
      <c r="A1057" s="738"/>
      <c r="B1057" s="735" t="s">
        <v>5980</v>
      </c>
      <c r="C1057" s="734">
        <v>2</v>
      </c>
      <c r="D1057" s="734">
        <v>4</v>
      </c>
      <c r="E1057" s="739">
        <v>1.2</v>
      </c>
      <c r="F1057" s="739">
        <v>0.6</v>
      </c>
      <c r="G1057" s="739"/>
      <c r="H1057" s="739">
        <f>PRODUCT(C1057:G1057)</f>
        <v>5.76</v>
      </c>
      <c r="I1057" s="736"/>
    </row>
    <row r="1058" spans="1:9" s="737" customFormat="1">
      <c r="A1058" s="738"/>
      <c r="B1058" s="735" t="s">
        <v>6143</v>
      </c>
      <c r="C1058" s="734"/>
      <c r="D1058" s="734"/>
      <c r="E1058" s="739"/>
      <c r="F1058" s="739"/>
      <c r="G1058" s="739"/>
      <c r="H1058" s="739">
        <f t="shared" ref="H1058:H1064" si="103">PRODUCT(C1058:G1058)</f>
        <v>0</v>
      </c>
      <c r="I1058" s="736"/>
    </row>
    <row r="1059" spans="1:9" s="737" customFormat="1">
      <c r="A1059" s="738"/>
      <c r="B1059" s="735" t="s">
        <v>6144</v>
      </c>
      <c r="C1059" s="734">
        <v>1</v>
      </c>
      <c r="D1059" s="734">
        <v>1</v>
      </c>
      <c r="E1059" s="739">
        <v>3.14</v>
      </c>
      <c r="F1059" s="739">
        <v>0.11</v>
      </c>
      <c r="G1059" s="739">
        <f>H1937</f>
        <v>69.7</v>
      </c>
      <c r="H1059" s="739">
        <f t="shared" si="103"/>
        <v>24.07</v>
      </c>
      <c r="I1059" s="736"/>
    </row>
    <row r="1060" spans="1:9" s="737" customFormat="1">
      <c r="A1060" s="738"/>
      <c r="B1060" s="735" t="s">
        <v>6145</v>
      </c>
      <c r="C1060" s="734">
        <v>1</v>
      </c>
      <c r="D1060" s="734">
        <v>1</v>
      </c>
      <c r="E1060" s="739">
        <v>3.14</v>
      </c>
      <c r="F1060" s="739">
        <v>0.11</v>
      </c>
      <c r="G1060" s="739">
        <f>H1975</f>
        <v>41.2</v>
      </c>
      <c r="H1060" s="739">
        <f t="shared" si="103"/>
        <v>14.23</v>
      </c>
      <c r="I1060" s="736"/>
    </row>
    <row r="1061" spans="1:9" s="737" customFormat="1">
      <c r="A1061" s="738"/>
      <c r="B1061" s="735" t="s">
        <v>6146</v>
      </c>
      <c r="C1061" s="734">
        <v>1</v>
      </c>
      <c r="D1061" s="734">
        <v>1</v>
      </c>
      <c r="E1061" s="739">
        <v>3.14</v>
      </c>
      <c r="F1061" s="765">
        <v>7.4999999999999997E-2</v>
      </c>
      <c r="G1061" s="739">
        <f>H1982</f>
        <v>58.5</v>
      </c>
      <c r="H1061" s="739">
        <f t="shared" si="103"/>
        <v>13.78</v>
      </c>
      <c r="I1061" s="736"/>
    </row>
    <row r="1062" spans="1:9" s="737" customFormat="1">
      <c r="A1062" s="738"/>
      <c r="B1062" s="735" t="s">
        <v>6147</v>
      </c>
      <c r="C1062" s="734">
        <v>1</v>
      </c>
      <c r="D1062" s="734">
        <v>1</v>
      </c>
      <c r="E1062" s="739">
        <v>3.14</v>
      </c>
      <c r="F1062" s="739">
        <v>0.05</v>
      </c>
      <c r="G1062" s="739">
        <f>H1984</f>
        <v>12</v>
      </c>
      <c r="H1062" s="739">
        <f t="shared" si="103"/>
        <v>1.88</v>
      </c>
      <c r="I1062" s="736"/>
    </row>
    <row r="1063" spans="1:9" s="737" customFormat="1">
      <c r="A1063" s="738"/>
      <c r="B1063" s="735" t="s">
        <v>6148</v>
      </c>
      <c r="C1063" s="734">
        <v>1</v>
      </c>
      <c r="D1063" s="734">
        <v>1</v>
      </c>
      <c r="E1063" s="739">
        <v>3.14</v>
      </c>
      <c r="F1063" s="765">
        <v>3.2000000000000001E-2</v>
      </c>
      <c r="G1063" s="739">
        <f>H1096</f>
        <v>12.5</v>
      </c>
      <c r="H1063" s="739">
        <f t="shared" si="103"/>
        <v>1.26</v>
      </c>
      <c r="I1063" s="736"/>
    </row>
    <row r="1064" spans="1:9" s="737" customFormat="1">
      <c r="A1064" s="738"/>
      <c r="B1064" s="735" t="s">
        <v>6149</v>
      </c>
      <c r="C1064" s="734">
        <v>1</v>
      </c>
      <c r="D1064" s="734">
        <v>1</v>
      </c>
      <c r="E1064" s="739">
        <v>3.14</v>
      </c>
      <c r="F1064" s="765">
        <v>2.5000000000000001E-2</v>
      </c>
      <c r="G1064" s="739">
        <f>H1103</f>
        <v>102.9</v>
      </c>
      <c r="H1064" s="739">
        <f t="shared" si="103"/>
        <v>8.08</v>
      </c>
      <c r="I1064" s="736"/>
    </row>
    <row r="1065" spans="1:9" s="737" customFormat="1">
      <c r="A1065" s="738"/>
      <c r="B1065" s="735"/>
      <c r="C1065" s="734"/>
      <c r="D1065" s="734"/>
      <c r="E1065" s="739"/>
      <c r="F1065" s="739"/>
      <c r="G1065" s="739"/>
      <c r="H1065" s="742">
        <f>SUM(H1005:H1064)</f>
        <v>227.48</v>
      </c>
      <c r="I1065" s="736"/>
    </row>
    <row r="1066" spans="1:9" s="737" customFormat="1">
      <c r="A1066" s="732"/>
      <c r="B1066" s="735"/>
      <c r="C1066" s="746"/>
      <c r="D1066" s="746"/>
      <c r="E1066" s="742"/>
      <c r="F1066" s="742"/>
      <c r="G1066" s="742" t="s">
        <v>4209</v>
      </c>
      <c r="H1066" s="742">
        <f>ROUNDUP(H1065,1)</f>
        <v>227.5</v>
      </c>
      <c r="I1066" s="736" t="s">
        <v>2273</v>
      </c>
    </row>
    <row r="1067" spans="1:9" s="737" customFormat="1">
      <c r="A1067" s="732">
        <v>46</v>
      </c>
      <c r="B1067" s="739" t="s">
        <v>6150</v>
      </c>
      <c r="C1067" s="734"/>
      <c r="D1067" s="734"/>
      <c r="E1067" s="739"/>
      <c r="F1067" s="739"/>
      <c r="G1067" s="739"/>
      <c r="H1067" s="739"/>
      <c r="I1067" s="736"/>
    </row>
    <row r="1068" spans="1:9" s="737" customFormat="1">
      <c r="A1068" s="738"/>
      <c r="B1068" s="735" t="s">
        <v>5972</v>
      </c>
      <c r="C1068" s="734">
        <v>2</v>
      </c>
      <c r="D1068" s="734">
        <v>2</v>
      </c>
      <c r="E1068" s="739">
        <v>1.2</v>
      </c>
      <c r="F1068" s="739"/>
      <c r="G1068" s="739"/>
      <c r="H1068" s="739">
        <f>PRODUCT(C1068:G1068)</f>
        <v>4.8</v>
      </c>
      <c r="I1068" s="736"/>
    </row>
    <row r="1069" spans="1:9" s="737" customFormat="1">
      <c r="A1069" s="738"/>
      <c r="B1069" s="735"/>
      <c r="C1069" s="734"/>
      <c r="D1069" s="734"/>
      <c r="E1069" s="739"/>
      <c r="F1069" s="739"/>
      <c r="G1069" s="742" t="s">
        <v>2235</v>
      </c>
      <c r="H1069" s="742">
        <f>ROUNDUP(H1068,1)</f>
        <v>4.8</v>
      </c>
      <c r="I1069" s="736" t="s">
        <v>823</v>
      </c>
    </row>
    <row r="1070" spans="1:9" s="737" customFormat="1">
      <c r="A1070" s="732">
        <v>47</v>
      </c>
      <c r="B1070" s="739" t="s">
        <v>6151</v>
      </c>
      <c r="C1070" s="734"/>
      <c r="D1070" s="734"/>
      <c r="E1070" s="739"/>
      <c r="F1070" s="739"/>
      <c r="G1070" s="739"/>
      <c r="H1070" s="739"/>
      <c r="I1070" s="736"/>
    </row>
    <row r="1071" spans="1:9" s="737" customFormat="1">
      <c r="A1071" s="738"/>
      <c r="B1071" s="735" t="s">
        <v>6152</v>
      </c>
      <c r="C1071" s="734">
        <v>1</v>
      </c>
      <c r="D1071" s="734">
        <v>7</v>
      </c>
      <c r="E1071" s="739">
        <v>1</v>
      </c>
      <c r="F1071" s="739"/>
      <c r="G1071" s="739"/>
      <c r="H1071" s="739">
        <f>PRODUCT(C1071:G1071)</f>
        <v>7</v>
      </c>
      <c r="I1071" s="736"/>
    </row>
    <row r="1072" spans="1:9" s="737" customFormat="1">
      <c r="A1072" s="738"/>
      <c r="B1072" s="735"/>
      <c r="C1072" s="734"/>
      <c r="D1072" s="734"/>
      <c r="E1072" s="739"/>
      <c r="F1072" s="739"/>
      <c r="G1072" s="742" t="s">
        <v>2235</v>
      </c>
      <c r="H1072" s="742">
        <f>ROUNDUP(H1071,1)</f>
        <v>7</v>
      </c>
      <c r="I1072" s="736" t="s">
        <v>1427</v>
      </c>
    </row>
    <row r="1073" spans="1:9" s="737" customFormat="1">
      <c r="A1073" s="738"/>
      <c r="B1073" s="735"/>
      <c r="C1073" s="734"/>
      <c r="D1073" s="734"/>
      <c r="E1073" s="739"/>
      <c r="F1073" s="739"/>
      <c r="G1073" s="739"/>
      <c r="H1073" s="739"/>
      <c r="I1073" s="736"/>
    </row>
    <row r="1074" spans="1:9" s="737" customFormat="1">
      <c r="A1074" s="732">
        <v>48</v>
      </c>
      <c r="B1074" s="739" t="s">
        <v>6153</v>
      </c>
      <c r="C1074" s="734"/>
      <c r="D1074" s="734"/>
      <c r="E1074" s="739"/>
      <c r="F1074" s="739"/>
      <c r="G1074" s="739"/>
      <c r="H1074" s="739"/>
      <c r="I1074" s="736"/>
    </row>
    <row r="1075" spans="1:9" s="737" customFormat="1">
      <c r="A1075" s="738"/>
      <c r="B1075" s="735" t="s">
        <v>6154</v>
      </c>
      <c r="C1075" s="734">
        <v>1</v>
      </c>
      <c r="D1075" s="734">
        <v>2</v>
      </c>
      <c r="E1075" s="739"/>
      <c r="F1075" s="739"/>
      <c r="G1075" s="739"/>
      <c r="H1075" s="739">
        <f>PRODUCT(C1075:G1075)</f>
        <v>2</v>
      </c>
      <c r="I1075" s="736"/>
    </row>
    <row r="1076" spans="1:9" s="737" customFormat="1">
      <c r="A1076" s="738"/>
      <c r="B1076" s="735" t="s">
        <v>6155</v>
      </c>
      <c r="C1076" s="734">
        <v>1</v>
      </c>
      <c r="D1076" s="734">
        <v>2</v>
      </c>
      <c r="E1076" s="739"/>
      <c r="F1076" s="739"/>
      <c r="G1076" s="739"/>
      <c r="H1076" s="739">
        <f>PRODUCT(C1076:G1076)</f>
        <v>2</v>
      </c>
      <c r="I1076" s="736"/>
    </row>
    <row r="1077" spans="1:9" s="737" customFormat="1">
      <c r="A1077" s="738"/>
      <c r="B1077" s="735" t="s">
        <v>6156</v>
      </c>
      <c r="C1077" s="734">
        <v>1</v>
      </c>
      <c r="D1077" s="734">
        <v>2</v>
      </c>
      <c r="E1077" s="739"/>
      <c r="F1077" s="739"/>
      <c r="G1077" s="739"/>
      <c r="H1077" s="739">
        <f>PRODUCT(C1077:G1077)</f>
        <v>2</v>
      </c>
      <c r="I1077" s="736"/>
    </row>
    <row r="1078" spans="1:9" s="737" customFormat="1">
      <c r="A1078" s="738"/>
      <c r="B1078" s="735" t="s">
        <v>5843</v>
      </c>
      <c r="C1078" s="734">
        <v>1</v>
      </c>
      <c r="D1078" s="734">
        <v>2</v>
      </c>
      <c r="E1078" s="739"/>
      <c r="F1078" s="739"/>
      <c r="G1078" s="739"/>
      <c r="H1078" s="739">
        <f>PRODUCT(C1078:G1078)</f>
        <v>2</v>
      </c>
      <c r="I1078" s="736"/>
    </row>
    <row r="1079" spans="1:9" s="737" customFormat="1">
      <c r="A1079" s="738"/>
      <c r="B1079" s="735"/>
      <c r="C1079" s="734"/>
      <c r="D1079" s="734"/>
      <c r="E1079" s="739"/>
      <c r="F1079" s="739"/>
      <c r="G1079" s="742" t="s">
        <v>2235</v>
      </c>
      <c r="H1079" s="742">
        <f>SUM(H1075:H1078)</f>
        <v>8</v>
      </c>
      <c r="I1079" s="736" t="s">
        <v>1427</v>
      </c>
    </row>
    <row r="1080" spans="1:9" s="737" customFormat="1" ht="50.25" customHeight="1">
      <c r="A1080" s="732">
        <v>49</v>
      </c>
      <c r="B1080" s="733" t="s">
        <v>6157</v>
      </c>
      <c r="C1080" s="734"/>
      <c r="D1080" s="734"/>
      <c r="E1080" s="739"/>
      <c r="F1080" s="739"/>
      <c r="G1080" s="739"/>
      <c r="H1080" s="739"/>
      <c r="I1080" s="736"/>
    </row>
    <row r="1081" spans="1:9" s="737" customFormat="1" ht="27.75" customHeight="1">
      <c r="A1081" s="738"/>
      <c r="B1081" s="740" t="s">
        <v>6158</v>
      </c>
      <c r="C1081" s="734">
        <v>18</v>
      </c>
      <c r="D1081" s="734">
        <v>2</v>
      </c>
      <c r="E1081" s="739"/>
      <c r="F1081" s="739"/>
      <c r="G1081" s="739"/>
      <c r="H1081" s="739">
        <f>PRODUCT(C1081:G1081)</f>
        <v>36</v>
      </c>
      <c r="I1081" s="736"/>
    </row>
    <row r="1082" spans="1:9" s="737" customFormat="1" ht="21" customHeight="1">
      <c r="A1082" s="738"/>
      <c r="B1082" s="735" t="s">
        <v>6159</v>
      </c>
      <c r="C1082" s="734">
        <v>13</v>
      </c>
      <c r="D1082" s="734">
        <v>2</v>
      </c>
      <c r="E1082" s="739"/>
      <c r="F1082" s="739"/>
      <c r="G1082" s="739"/>
      <c r="H1082" s="739">
        <f>PRODUCT(C1082:G1082)</f>
        <v>26</v>
      </c>
      <c r="I1082" s="736"/>
    </row>
    <row r="1083" spans="1:9" s="737" customFormat="1">
      <c r="A1083" s="738"/>
      <c r="B1083" s="735"/>
      <c r="C1083" s="734"/>
      <c r="D1083" s="734"/>
      <c r="E1083" s="739"/>
      <c r="F1083" s="739"/>
      <c r="G1083" s="742" t="s">
        <v>2235</v>
      </c>
      <c r="H1083" s="742">
        <f>H1081+H1082</f>
        <v>62</v>
      </c>
      <c r="I1083" s="736" t="s">
        <v>1427</v>
      </c>
    </row>
    <row r="1084" spans="1:9" s="737" customFormat="1" ht="24.75" customHeight="1">
      <c r="A1084" s="732">
        <v>50.3</v>
      </c>
      <c r="B1084" s="733" t="s">
        <v>6160</v>
      </c>
      <c r="C1084" s="734"/>
      <c r="D1084" s="734"/>
      <c r="E1084" s="739"/>
      <c r="F1084" s="739"/>
      <c r="G1084" s="739"/>
      <c r="H1084" s="739"/>
      <c r="I1084" s="736"/>
    </row>
    <row r="1085" spans="1:9" s="737" customFormat="1">
      <c r="A1085" s="738"/>
      <c r="B1085" s="735" t="s">
        <v>6161</v>
      </c>
      <c r="C1085" s="734">
        <v>1</v>
      </c>
      <c r="D1085" s="734">
        <v>5</v>
      </c>
      <c r="E1085" s="739"/>
      <c r="F1085" s="739"/>
      <c r="G1085" s="739"/>
      <c r="H1085" s="742">
        <f>PRODUCT(C1085:G1085)</f>
        <v>5</v>
      </c>
      <c r="I1085" s="736" t="s">
        <v>1427</v>
      </c>
    </row>
    <row r="1086" spans="1:9" s="737" customFormat="1">
      <c r="A1086" s="738"/>
      <c r="B1086" s="735"/>
      <c r="C1086" s="734"/>
      <c r="D1086" s="734"/>
      <c r="E1086" s="739"/>
      <c r="F1086" s="739"/>
      <c r="G1086" s="739"/>
      <c r="H1086" s="739"/>
      <c r="I1086" s="736"/>
    </row>
    <row r="1087" spans="1:9" s="737" customFormat="1">
      <c r="A1087" s="732">
        <v>50.4</v>
      </c>
      <c r="B1087" s="739" t="s">
        <v>2184</v>
      </c>
      <c r="C1087" s="734"/>
      <c r="D1087" s="734"/>
      <c r="E1087" s="739"/>
      <c r="F1087" s="739"/>
      <c r="G1087" s="739"/>
      <c r="H1087" s="739"/>
      <c r="I1087" s="736"/>
    </row>
    <row r="1088" spans="1:9" s="737" customFormat="1">
      <c r="A1088" s="738"/>
      <c r="B1088" s="735" t="s">
        <v>6162</v>
      </c>
      <c r="C1088" s="734">
        <v>1</v>
      </c>
      <c r="D1088" s="734">
        <v>5</v>
      </c>
      <c r="E1088" s="739"/>
      <c r="F1088" s="739"/>
      <c r="G1088" s="739"/>
      <c r="H1088" s="742">
        <f>H1085</f>
        <v>5</v>
      </c>
      <c r="I1088" s="736" t="s">
        <v>1427</v>
      </c>
    </row>
    <row r="1089" spans="1:9" s="737" customFormat="1">
      <c r="A1089" s="738"/>
      <c r="B1089" s="735"/>
      <c r="C1089" s="734"/>
      <c r="D1089" s="734"/>
      <c r="E1089" s="739"/>
      <c r="F1089" s="739"/>
      <c r="G1089" s="739"/>
      <c r="H1089" s="739"/>
      <c r="I1089" s="736"/>
    </row>
    <row r="1090" spans="1:9" s="737" customFormat="1" ht="37.5">
      <c r="A1090" s="732">
        <v>50.5</v>
      </c>
      <c r="B1090" s="733" t="s">
        <v>6163</v>
      </c>
      <c r="C1090" s="734"/>
      <c r="D1090" s="734"/>
      <c r="E1090" s="739"/>
      <c r="F1090" s="739"/>
      <c r="G1090" s="739"/>
      <c r="H1090" s="739"/>
      <c r="I1090" s="736"/>
    </row>
    <row r="1091" spans="1:9" s="737" customFormat="1">
      <c r="A1091" s="738"/>
      <c r="B1091" s="735" t="s">
        <v>6164</v>
      </c>
      <c r="C1091" s="734">
        <v>1</v>
      </c>
      <c r="D1091" s="734">
        <v>1</v>
      </c>
      <c r="E1091" s="739"/>
      <c r="F1091" s="739"/>
      <c r="G1091" s="739"/>
      <c r="H1091" s="742">
        <v>1</v>
      </c>
      <c r="I1091" s="736" t="s">
        <v>1389</v>
      </c>
    </row>
    <row r="1092" spans="1:9" s="737" customFormat="1">
      <c r="A1092" s="738"/>
      <c r="B1092" s="735" t="s">
        <v>6165</v>
      </c>
      <c r="C1092" s="734"/>
      <c r="D1092" s="734"/>
      <c r="E1092" s="739"/>
      <c r="F1092" s="739"/>
      <c r="G1092" s="739"/>
      <c r="H1092" s="739"/>
      <c r="I1092" s="736"/>
    </row>
    <row r="1093" spans="1:9" s="737" customFormat="1" ht="37.5">
      <c r="A1093" s="732">
        <v>52.2</v>
      </c>
      <c r="B1093" s="733" t="s">
        <v>6166</v>
      </c>
      <c r="C1093" s="734"/>
      <c r="D1093" s="734"/>
      <c r="E1093" s="739"/>
      <c r="F1093" s="739"/>
      <c r="G1093" s="739"/>
      <c r="H1093" s="739"/>
      <c r="I1093" s="736"/>
    </row>
    <row r="1094" spans="1:9" s="737" customFormat="1">
      <c r="A1094" s="732" t="s">
        <v>2598</v>
      </c>
      <c r="B1094" s="735" t="s">
        <v>6167</v>
      </c>
      <c r="C1094" s="734"/>
      <c r="D1094" s="734"/>
      <c r="E1094" s="739"/>
      <c r="F1094" s="739"/>
      <c r="G1094" s="739"/>
      <c r="H1094" s="739"/>
      <c r="I1094" s="736"/>
    </row>
    <row r="1095" spans="1:9" s="737" customFormat="1" ht="21" customHeight="1">
      <c r="A1095" s="738"/>
      <c r="B1095" s="735" t="s">
        <v>6168</v>
      </c>
      <c r="C1095" s="734">
        <v>1</v>
      </c>
      <c r="D1095" s="734">
        <v>1</v>
      </c>
      <c r="E1095" s="739">
        <v>12.5</v>
      </c>
      <c r="F1095" s="739"/>
      <c r="G1095" s="739"/>
      <c r="H1095" s="739">
        <f>PRODUCT(C1095:G1095)</f>
        <v>12.5</v>
      </c>
      <c r="I1095" s="736"/>
    </row>
    <row r="1096" spans="1:9" s="737" customFormat="1">
      <c r="A1096" s="738"/>
      <c r="B1096" s="735"/>
      <c r="C1096" s="734"/>
      <c r="D1096" s="734"/>
      <c r="E1096" s="739"/>
      <c r="F1096" s="739"/>
      <c r="G1096" s="742" t="s">
        <v>2235</v>
      </c>
      <c r="H1096" s="742">
        <f>H1095</f>
        <v>12.5</v>
      </c>
      <c r="I1096" s="736" t="s">
        <v>823</v>
      </c>
    </row>
    <row r="1097" spans="1:9" s="737" customFormat="1">
      <c r="A1097" s="732" t="s">
        <v>3182</v>
      </c>
      <c r="B1097" s="735" t="s">
        <v>6169</v>
      </c>
      <c r="C1097" s="734"/>
      <c r="D1097" s="734"/>
      <c r="E1097" s="739"/>
      <c r="F1097" s="739"/>
      <c r="G1097" s="739"/>
      <c r="H1097" s="739"/>
      <c r="I1097" s="736"/>
    </row>
    <row r="1098" spans="1:9" s="737" customFormat="1">
      <c r="A1098" s="738"/>
      <c r="B1098" s="735" t="s">
        <v>6170</v>
      </c>
      <c r="C1098" s="734">
        <v>1</v>
      </c>
      <c r="D1098" s="734">
        <v>2</v>
      </c>
      <c r="E1098" s="739">
        <v>6.18</v>
      </c>
      <c r="F1098" s="739"/>
      <c r="G1098" s="739"/>
      <c r="H1098" s="739">
        <f>PRODUCT(C1098:G1098)</f>
        <v>12.36</v>
      </c>
      <c r="I1098" s="736"/>
    </row>
    <row r="1099" spans="1:9" s="737" customFormat="1">
      <c r="A1099" s="738"/>
      <c r="B1099" s="735" t="s">
        <v>6171</v>
      </c>
      <c r="C1099" s="734">
        <v>1</v>
      </c>
      <c r="D1099" s="734">
        <v>2</v>
      </c>
      <c r="E1099" s="739">
        <v>9.23</v>
      </c>
      <c r="F1099" s="739"/>
      <c r="G1099" s="739"/>
      <c r="H1099" s="739">
        <f>PRODUCT(C1099:G1099)</f>
        <v>18.46</v>
      </c>
      <c r="I1099" s="736"/>
    </row>
    <row r="1100" spans="1:9" s="737" customFormat="1">
      <c r="A1100" s="738"/>
      <c r="B1100" s="735" t="s">
        <v>6172</v>
      </c>
      <c r="C1100" s="734">
        <v>1</v>
      </c>
      <c r="D1100" s="734">
        <v>1</v>
      </c>
      <c r="E1100" s="739">
        <v>33.520000000000003</v>
      </c>
      <c r="F1100" s="739"/>
      <c r="G1100" s="739"/>
      <c r="H1100" s="739">
        <f>PRODUCT(C1100:G1100)</f>
        <v>33.520000000000003</v>
      </c>
      <c r="I1100" s="736"/>
    </row>
    <row r="1101" spans="1:9" s="737" customFormat="1">
      <c r="A1101" s="738"/>
      <c r="B1101" s="735" t="s">
        <v>6173</v>
      </c>
      <c r="C1101" s="734">
        <v>1</v>
      </c>
      <c r="D1101" s="734">
        <v>1</v>
      </c>
      <c r="E1101" s="739">
        <v>38.549999999999997</v>
      </c>
      <c r="F1101" s="739"/>
      <c r="G1101" s="739"/>
      <c r="H1101" s="739">
        <f>PRODUCT(C1101:G1101)</f>
        <v>38.549999999999997</v>
      </c>
      <c r="I1101" s="736"/>
    </row>
    <row r="1102" spans="1:9" s="737" customFormat="1">
      <c r="A1102" s="738"/>
      <c r="B1102" s="735"/>
      <c r="C1102" s="734"/>
      <c r="D1102" s="734"/>
      <c r="E1102" s="739"/>
      <c r="F1102" s="739"/>
      <c r="G1102" s="739"/>
      <c r="H1102" s="739">
        <f>SUM(H1098:H1101)</f>
        <v>102.89</v>
      </c>
      <c r="I1102" s="736"/>
    </row>
    <row r="1103" spans="1:9" s="737" customFormat="1">
      <c r="A1103" s="738"/>
      <c r="B1103" s="735"/>
      <c r="C1103" s="734"/>
      <c r="D1103" s="734"/>
      <c r="E1103" s="739"/>
      <c r="F1103" s="739"/>
      <c r="G1103" s="742" t="s">
        <v>2235</v>
      </c>
      <c r="H1103" s="742">
        <f>ROUNDUP(H1102,1)</f>
        <v>102.9</v>
      </c>
      <c r="I1103" s="736" t="s">
        <v>823</v>
      </c>
    </row>
    <row r="1104" spans="1:9" s="737" customFormat="1" ht="56.25">
      <c r="A1104" s="732">
        <v>52.1</v>
      </c>
      <c r="B1104" s="733" t="s">
        <v>6174</v>
      </c>
      <c r="C1104" s="734"/>
      <c r="D1104" s="734"/>
      <c r="E1104" s="739"/>
      <c r="F1104" s="739"/>
      <c r="G1104" s="739"/>
      <c r="H1104" s="739"/>
      <c r="I1104" s="736"/>
    </row>
    <row r="1105" spans="1:9" s="737" customFormat="1" ht="19.5" customHeight="1">
      <c r="A1105" s="738"/>
      <c r="B1105" s="735" t="s">
        <v>6175</v>
      </c>
      <c r="C1105" s="734">
        <v>1</v>
      </c>
      <c r="D1105" s="734">
        <v>5</v>
      </c>
      <c r="E1105" s="739">
        <v>3.7</v>
      </c>
      <c r="F1105" s="739"/>
      <c r="G1105" s="739"/>
      <c r="H1105" s="742">
        <f>PRODUCT(C1105:G1105)</f>
        <v>18.5</v>
      </c>
      <c r="I1105" s="736" t="s">
        <v>823</v>
      </c>
    </row>
    <row r="1106" spans="1:9" s="737" customFormat="1" ht="20.25" customHeight="1">
      <c r="A1106" s="738"/>
      <c r="B1106" s="735" t="s">
        <v>6176</v>
      </c>
      <c r="C1106" s="734"/>
      <c r="D1106" s="734"/>
      <c r="E1106" s="739"/>
      <c r="F1106" s="739"/>
      <c r="G1106" s="739"/>
      <c r="H1106" s="739"/>
      <c r="I1106" s="736"/>
    </row>
    <row r="1107" spans="1:9" s="737" customFormat="1" ht="37.5">
      <c r="A1107" s="732">
        <v>57.2</v>
      </c>
      <c r="B1107" s="733" t="s">
        <v>6177</v>
      </c>
      <c r="C1107" s="734"/>
      <c r="D1107" s="734"/>
      <c r="E1107" s="739"/>
      <c r="F1107" s="739"/>
      <c r="G1107" s="739"/>
      <c r="H1107" s="739"/>
      <c r="I1107" s="736"/>
    </row>
    <row r="1108" spans="1:9" s="737" customFormat="1">
      <c r="A1108" s="738"/>
      <c r="B1108" s="735" t="s">
        <v>6178</v>
      </c>
      <c r="C1108" s="734">
        <v>1</v>
      </c>
      <c r="D1108" s="734">
        <v>3</v>
      </c>
      <c r="E1108" s="739"/>
      <c r="F1108" s="739"/>
      <c r="G1108" s="739"/>
      <c r="H1108" s="739">
        <f>PRODUCT(C1108:G1108)</f>
        <v>3</v>
      </c>
      <c r="I1108" s="736"/>
    </row>
    <row r="1109" spans="1:9" s="737" customFormat="1">
      <c r="A1109" s="738"/>
      <c r="B1109" s="735" t="s">
        <v>6179</v>
      </c>
      <c r="C1109" s="734">
        <v>1</v>
      </c>
      <c r="D1109" s="734">
        <v>2</v>
      </c>
      <c r="E1109" s="739"/>
      <c r="F1109" s="739"/>
      <c r="G1109" s="739"/>
      <c r="H1109" s="739">
        <f>PRODUCT(C1109:G1109)</f>
        <v>2</v>
      </c>
      <c r="I1109" s="736"/>
    </row>
    <row r="1110" spans="1:9" s="737" customFormat="1">
      <c r="A1110" s="738"/>
      <c r="B1110" s="735"/>
      <c r="C1110" s="734"/>
      <c r="D1110" s="734"/>
      <c r="E1110" s="739"/>
      <c r="F1110" s="739"/>
      <c r="G1110" s="742" t="s">
        <v>2235</v>
      </c>
      <c r="H1110" s="742">
        <f>SUM(H1108:H1109)</f>
        <v>5</v>
      </c>
      <c r="I1110" s="736" t="s">
        <v>1427</v>
      </c>
    </row>
    <row r="1111" spans="1:9" s="737" customFormat="1">
      <c r="A1111" s="732">
        <v>60</v>
      </c>
      <c r="B1111" s="739" t="s">
        <v>1518</v>
      </c>
      <c r="C1111" s="734"/>
      <c r="D1111" s="734"/>
      <c r="E1111" s="739"/>
      <c r="F1111" s="739"/>
      <c r="G1111" s="739"/>
      <c r="H1111" s="739"/>
      <c r="I1111" s="736"/>
    </row>
    <row r="1112" spans="1:9" s="737" customFormat="1">
      <c r="A1112" s="738"/>
      <c r="B1112" s="735" t="s">
        <v>6180</v>
      </c>
      <c r="C1112" s="734">
        <v>2</v>
      </c>
      <c r="D1112" s="734">
        <v>2</v>
      </c>
      <c r="E1112" s="739"/>
      <c r="F1112" s="739"/>
      <c r="G1112" s="739"/>
      <c r="H1112" s="739">
        <f>PRODUCT(C1112:G1112)</f>
        <v>4</v>
      </c>
      <c r="I1112" s="736"/>
    </row>
    <row r="1113" spans="1:9" s="737" customFormat="1">
      <c r="A1113" s="738"/>
      <c r="B1113" s="735" t="s">
        <v>6181</v>
      </c>
      <c r="C1113" s="734">
        <v>5</v>
      </c>
      <c r="D1113" s="734">
        <v>2</v>
      </c>
      <c r="E1113" s="739"/>
      <c r="F1113" s="739"/>
      <c r="G1113" s="739"/>
      <c r="H1113" s="739">
        <f>PRODUCT(C1113:G1113)</f>
        <v>10</v>
      </c>
      <c r="I1113" s="736"/>
    </row>
    <row r="1114" spans="1:9" s="737" customFormat="1">
      <c r="A1114" s="738"/>
      <c r="B1114" s="735" t="s">
        <v>5931</v>
      </c>
      <c r="C1114" s="734">
        <v>1</v>
      </c>
      <c r="D1114" s="734">
        <v>1</v>
      </c>
      <c r="E1114" s="739"/>
      <c r="F1114" s="739"/>
      <c r="G1114" s="739"/>
      <c r="H1114" s="739">
        <f>PRODUCT(C1114:G1114)</f>
        <v>1</v>
      </c>
      <c r="I1114" s="736"/>
    </row>
    <row r="1115" spans="1:9" s="737" customFormat="1">
      <c r="A1115" s="738"/>
      <c r="B1115" s="735" t="s">
        <v>6182</v>
      </c>
      <c r="C1115" s="734">
        <v>1</v>
      </c>
      <c r="D1115" s="734">
        <v>1</v>
      </c>
      <c r="E1115" s="739"/>
      <c r="F1115" s="739"/>
      <c r="G1115" s="739"/>
      <c r="H1115" s="739">
        <f>PRODUCT(C1115:G1115)</f>
        <v>1</v>
      </c>
      <c r="I1115" s="736"/>
    </row>
    <row r="1116" spans="1:9" s="737" customFormat="1">
      <c r="A1116" s="738"/>
      <c r="B1116" s="735"/>
      <c r="C1116" s="734"/>
      <c r="D1116" s="734"/>
      <c r="E1116" s="739"/>
      <c r="F1116" s="739"/>
      <c r="G1116" s="742" t="s">
        <v>2235</v>
      </c>
      <c r="H1116" s="742">
        <f>SUM(H1112:H1115)</f>
        <v>16</v>
      </c>
      <c r="I1116" s="736" t="s">
        <v>1427</v>
      </c>
    </row>
    <row r="1117" spans="1:9" s="776" customFormat="1" ht="38.25" customHeight="1">
      <c r="A1117" s="769">
        <v>59.5</v>
      </c>
      <c r="B1117" s="770" t="s">
        <v>1301</v>
      </c>
      <c r="C1117" s="769"/>
      <c r="D1117" s="769"/>
      <c r="E1117" s="771"/>
      <c r="F1117" s="772"/>
      <c r="G1117" s="773"/>
      <c r="H1117" s="774"/>
      <c r="I1117" s="775"/>
    </row>
    <row r="1118" spans="1:9" s="776" customFormat="1" ht="21" customHeight="1">
      <c r="A1118" s="769"/>
      <c r="B1118" s="777" t="s">
        <v>6183</v>
      </c>
      <c r="C1118" s="769">
        <v>1</v>
      </c>
      <c r="D1118" s="769">
        <v>4</v>
      </c>
      <c r="E1118" s="771"/>
      <c r="F1118" s="772"/>
      <c r="G1118" s="773"/>
      <c r="H1118" s="774">
        <f>PRODUCT(C1118:G1118)</f>
        <v>4</v>
      </c>
      <c r="I1118" s="775"/>
    </row>
    <row r="1119" spans="1:9" s="776" customFormat="1" ht="21" customHeight="1">
      <c r="A1119" s="769"/>
      <c r="B1119" s="770" t="s">
        <v>6184</v>
      </c>
      <c r="C1119" s="769">
        <v>1</v>
      </c>
      <c r="D1119" s="769">
        <v>2</v>
      </c>
      <c r="E1119" s="771"/>
      <c r="F1119" s="772"/>
      <c r="G1119" s="773"/>
      <c r="H1119" s="774">
        <f>PRODUCT(C1119:G1119)</f>
        <v>2</v>
      </c>
      <c r="I1119" s="775"/>
    </row>
    <row r="1120" spans="1:9" s="776" customFormat="1" ht="21" customHeight="1">
      <c r="A1120" s="769"/>
      <c r="B1120" s="770"/>
      <c r="C1120" s="769"/>
      <c r="D1120" s="769"/>
      <c r="E1120" s="771"/>
      <c r="F1120" s="772"/>
      <c r="G1120" s="778" t="s">
        <v>2235</v>
      </c>
      <c r="H1120" s="779">
        <f>SUM(H1118:H1119)</f>
        <v>6</v>
      </c>
      <c r="I1120" s="780" t="s">
        <v>1427</v>
      </c>
    </row>
    <row r="1121" spans="1:9" s="737" customFormat="1">
      <c r="A1121" s="738"/>
      <c r="B1121" s="735" t="s">
        <v>4694</v>
      </c>
      <c r="C1121" s="734"/>
      <c r="D1121" s="734"/>
      <c r="E1121" s="739"/>
      <c r="F1121" s="739"/>
      <c r="G1121" s="739"/>
      <c r="H1121" s="739"/>
      <c r="I1121" s="736"/>
    </row>
    <row r="1122" spans="1:9" s="737" customFormat="1" ht="37.5">
      <c r="A1122" s="732">
        <v>69.099999999999994</v>
      </c>
      <c r="B1122" s="733" t="s">
        <v>6185</v>
      </c>
      <c r="C1122" s="734"/>
      <c r="D1122" s="734"/>
      <c r="E1122" s="739"/>
      <c r="F1122" s="739"/>
      <c r="G1122" s="739"/>
      <c r="H1122" s="739"/>
      <c r="I1122" s="736"/>
    </row>
    <row r="1123" spans="1:9" s="737" customFormat="1">
      <c r="A1123" s="738"/>
      <c r="B1123" s="735" t="s">
        <v>5964</v>
      </c>
      <c r="C1123" s="734">
        <v>1</v>
      </c>
      <c r="D1123" s="734">
        <v>2</v>
      </c>
      <c r="E1123" s="739"/>
      <c r="F1123" s="739"/>
      <c r="G1123" s="739"/>
      <c r="H1123" s="739">
        <f t="shared" ref="H1123:H1129" si="104">PRODUCT(C1123:G1123)</f>
        <v>2</v>
      </c>
      <c r="I1123" s="736"/>
    </row>
    <row r="1124" spans="1:9" s="737" customFormat="1">
      <c r="A1124" s="738"/>
      <c r="B1124" s="735" t="s">
        <v>5966</v>
      </c>
      <c r="C1124" s="734">
        <v>1</v>
      </c>
      <c r="D1124" s="734">
        <v>2</v>
      </c>
      <c r="E1124" s="739"/>
      <c r="F1124" s="739"/>
      <c r="G1124" s="739"/>
      <c r="H1124" s="739">
        <f t="shared" si="104"/>
        <v>2</v>
      </c>
      <c r="I1124" s="736"/>
    </row>
    <row r="1125" spans="1:9" s="737" customFormat="1">
      <c r="A1125" s="738"/>
      <c r="B1125" s="735" t="s">
        <v>5969</v>
      </c>
      <c r="C1125" s="734">
        <v>1</v>
      </c>
      <c r="D1125" s="734">
        <v>5</v>
      </c>
      <c r="E1125" s="739"/>
      <c r="F1125" s="739"/>
      <c r="G1125" s="739"/>
      <c r="H1125" s="739">
        <f t="shared" si="104"/>
        <v>5</v>
      </c>
      <c r="I1125" s="736"/>
    </row>
    <row r="1126" spans="1:9" s="737" customFormat="1">
      <c r="A1126" s="738"/>
      <c r="B1126" s="735" t="s">
        <v>6186</v>
      </c>
      <c r="C1126" s="734">
        <v>1</v>
      </c>
      <c r="D1126" s="734">
        <v>3</v>
      </c>
      <c r="E1126" s="739"/>
      <c r="F1126" s="739"/>
      <c r="G1126" s="739"/>
      <c r="H1126" s="739">
        <f t="shared" si="104"/>
        <v>3</v>
      </c>
      <c r="I1126" s="736"/>
    </row>
    <row r="1127" spans="1:9" s="737" customFormat="1">
      <c r="A1127" s="738"/>
      <c r="B1127" s="735" t="s">
        <v>6187</v>
      </c>
      <c r="C1127" s="734">
        <v>1</v>
      </c>
      <c r="D1127" s="734">
        <v>1</v>
      </c>
      <c r="E1127" s="739"/>
      <c r="F1127" s="739"/>
      <c r="G1127" s="739"/>
      <c r="H1127" s="739">
        <f t="shared" si="104"/>
        <v>1</v>
      </c>
      <c r="I1127" s="736"/>
    </row>
    <row r="1128" spans="1:9" s="737" customFormat="1">
      <c r="A1128" s="738"/>
      <c r="B1128" s="735" t="s">
        <v>6188</v>
      </c>
      <c r="C1128" s="734">
        <v>1</v>
      </c>
      <c r="D1128" s="734">
        <v>1</v>
      </c>
      <c r="E1128" s="739"/>
      <c r="F1128" s="739"/>
      <c r="G1128" s="739"/>
      <c r="H1128" s="739">
        <f t="shared" si="104"/>
        <v>1</v>
      </c>
      <c r="I1128" s="736"/>
    </row>
    <row r="1129" spans="1:9" s="737" customFormat="1">
      <c r="A1129" s="738"/>
      <c r="B1129" s="735" t="s">
        <v>5899</v>
      </c>
      <c r="C1129" s="734">
        <v>1</v>
      </c>
      <c r="D1129" s="734">
        <v>1</v>
      </c>
      <c r="E1129" s="739"/>
      <c r="F1129" s="739"/>
      <c r="G1129" s="739"/>
      <c r="H1129" s="739">
        <f t="shared" si="104"/>
        <v>1</v>
      </c>
      <c r="I1129" s="736"/>
    </row>
    <row r="1130" spans="1:9" s="737" customFormat="1">
      <c r="A1130" s="738"/>
      <c r="B1130" s="735"/>
      <c r="C1130" s="734"/>
      <c r="D1130" s="734"/>
      <c r="E1130" s="739"/>
      <c r="F1130" s="739"/>
      <c r="G1130" s="742" t="s">
        <v>2235</v>
      </c>
      <c r="H1130" s="742">
        <f>SUM(H1123:H1129)</f>
        <v>15</v>
      </c>
      <c r="I1130" s="736" t="s">
        <v>1427</v>
      </c>
    </row>
    <row r="1131" spans="1:9" s="737" customFormat="1" ht="37.5">
      <c r="A1131" s="732">
        <v>72</v>
      </c>
      <c r="B1131" s="733" t="s">
        <v>6189</v>
      </c>
      <c r="C1131" s="734"/>
      <c r="D1131" s="734"/>
      <c r="E1131" s="739"/>
      <c r="F1131" s="739"/>
      <c r="G1131" s="739"/>
      <c r="H1131" s="739"/>
      <c r="I1131" s="736"/>
    </row>
    <row r="1132" spans="1:9" s="737" customFormat="1">
      <c r="A1132" s="738"/>
      <c r="B1132" s="735" t="s">
        <v>5964</v>
      </c>
      <c r="C1132" s="734">
        <v>1</v>
      </c>
      <c r="D1132" s="734">
        <v>2</v>
      </c>
      <c r="E1132" s="739"/>
      <c r="F1132" s="739"/>
      <c r="G1132" s="739"/>
      <c r="H1132" s="739">
        <f t="shared" ref="H1132:H1141" si="105">PRODUCT(C1132:G1132)</f>
        <v>2</v>
      </c>
      <c r="I1132" s="736"/>
    </row>
    <row r="1133" spans="1:9" s="737" customFormat="1">
      <c r="A1133" s="738"/>
      <c r="B1133" s="735" t="s">
        <v>6190</v>
      </c>
      <c r="C1133" s="734">
        <v>1</v>
      </c>
      <c r="D1133" s="734">
        <v>2</v>
      </c>
      <c r="E1133" s="739"/>
      <c r="F1133" s="739"/>
      <c r="G1133" s="739"/>
      <c r="H1133" s="739">
        <f t="shared" si="105"/>
        <v>2</v>
      </c>
      <c r="I1133" s="736"/>
    </row>
    <row r="1134" spans="1:9" s="737" customFormat="1">
      <c r="A1134" s="738"/>
      <c r="B1134" s="735" t="s">
        <v>5969</v>
      </c>
      <c r="C1134" s="734">
        <v>1</v>
      </c>
      <c r="D1134" s="734">
        <v>8</v>
      </c>
      <c r="E1134" s="739"/>
      <c r="F1134" s="739"/>
      <c r="G1134" s="739"/>
      <c r="H1134" s="739">
        <f t="shared" si="105"/>
        <v>8</v>
      </c>
      <c r="I1134" s="736"/>
    </row>
    <row r="1135" spans="1:9" s="737" customFormat="1">
      <c r="A1135" s="738"/>
      <c r="B1135" s="735" t="s">
        <v>6191</v>
      </c>
      <c r="C1135" s="734">
        <v>1</v>
      </c>
      <c r="D1135" s="734">
        <v>1</v>
      </c>
      <c r="E1135" s="739"/>
      <c r="F1135" s="739"/>
      <c r="G1135" s="739"/>
      <c r="H1135" s="739">
        <f t="shared" si="105"/>
        <v>1</v>
      </c>
      <c r="I1135" s="736"/>
    </row>
    <row r="1136" spans="1:9" s="737" customFormat="1">
      <c r="A1136" s="738"/>
      <c r="B1136" s="735" t="s">
        <v>6192</v>
      </c>
      <c r="C1136" s="734">
        <v>1</v>
      </c>
      <c r="D1136" s="734">
        <v>2</v>
      </c>
      <c r="E1136" s="739"/>
      <c r="F1136" s="739"/>
      <c r="G1136" s="739"/>
      <c r="H1136" s="739">
        <f t="shared" si="105"/>
        <v>2</v>
      </c>
      <c r="I1136" s="736"/>
    </row>
    <row r="1137" spans="1:9" s="737" customFormat="1">
      <c r="A1137" s="738"/>
      <c r="B1137" s="735" t="s">
        <v>6193</v>
      </c>
      <c r="C1137" s="734">
        <v>1</v>
      </c>
      <c r="D1137" s="734">
        <v>1</v>
      </c>
      <c r="E1137" s="739"/>
      <c r="F1137" s="739"/>
      <c r="G1137" s="739"/>
      <c r="H1137" s="739">
        <f t="shared" si="105"/>
        <v>1</v>
      </c>
      <c r="I1137" s="736"/>
    </row>
    <row r="1138" spans="1:9" s="737" customFormat="1">
      <c r="A1138" s="738"/>
      <c r="B1138" s="735" t="s">
        <v>6194</v>
      </c>
      <c r="C1138" s="734">
        <v>1</v>
      </c>
      <c r="D1138" s="734">
        <v>3</v>
      </c>
      <c r="E1138" s="739"/>
      <c r="F1138" s="739"/>
      <c r="G1138" s="739"/>
      <c r="H1138" s="739">
        <f t="shared" si="105"/>
        <v>3</v>
      </c>
      <c r="I1138" s="736"/>
    </row>
    <row r="1139" spans="1:9" s="737" customFormat="1">
      <c r="A1139" s="738"/>
      <c r="B1139" s="735" t="s">
        <v>6195</v>
      </c>
      <c r="C1139" s="734">
        <v>1</v>
      </c>
      <c r="D1139" s="734">
        <v>4</v>
      </c>
      <c r="E1139" s="739"/>
      <c r="F1139" s="739"/>
      <c r="G1139" s="739"/>
      <c r="H1139" s="739">
        <f t="shared" si="105"/>
        <v>4</v>
      </c>
      <c r="I1139" s="736"/>
    </row>
    <row r="1140" spans="1:9" s="737" customFormat="1">
      <c r="A1140" s="738"/>
      <c r="B1140" s="735" t="s">
        <v>5953</v>
      </c>
      <c r="C1140" s="734">
        <v>1</v>
      </c>
      <c r="D1140" s="734">
        <v>1</v>
      </c>
      <c r="E1140" s="739"/>
      <c r="F1140" s="739"/>
      <c r="G1140" s="739"/>
      <c r="H1140" s="739">
        <f t="shared" si="105"/>
        <v>1</v>
      </c>
      <c r="I1140" s="736"/>
    </row>
    <row r="1141" spans="1:9" s="737" customFormat="1">
      <c r="A1141" s="738"/>
      <c r="B1141" s="735" t="s">
        <v>6196</v>
      </c>
      <c r="C1141" s="734">
        <v>1</v>
      </c>
      <c r="D1141" s="734">
        <v>2</v>
      </c>
      <c r="E1141" s="739"/>
      <c r="F1141" s="739"/>
      <c r="G1141" s="739"/>
      <c r="H1141" s="739">
        <f t="shared" si="105"/>
        <v>2</v>
      </c>
      <c r="I1141" s="736"/>
    </row>
    <row r="1142" spans="1:9" s="737" customFormat="1">
      <c r="A1142" s="738"/>
      <c r="B1142" s="735"/>
      <c r="C1142" s="734"/>
      <c r="D1142" s="734"/>
      <c r="E1142" s="739"/>
      <c r="F1142" s="739"/>
      <c r="G1142" s="742" t="s">
        <v>2235</v>
      </c>
      <c r="H1142" s="742">
        <f>SUM(H1132:H1141)</f>
        <v>26</v>
      </c>
      <c r="I1142" s="736" t="s">
        <v>1427</v>
      </c>
    </row>
    <row r="1143" spans="1:9" s="737" customFormat="1">
      <c r="A1143" s="732">
        <v>74</v>
      </c>
      <c r="B1143" s="739" t="s">
        <v>901</v>
      </c>
      <c r="C1143" s="734"/>
      <c r="D1143" s="734"/>
      <c r="E1143" s="739"/>
      <c r="F1143" s="739"/>
      <c r="G1143" s="739"/>
      <c r="H1143" s="739"/>
      <c r="I1143" s="736"/>
    </row>
    <row r="1144" spans="1:9" s="737" customFormat="1">
      <c r="A1144" s="738"/>
      <c r="B1144" s="735" t="s">
        <v>5964</v>
      </c>
      <c r="C1144" s="734">
        <v>1</v>
      </c>
      <c r="D1144" s="734">
        <v>2</v>
      </c>
      <c r="E1144" s="739"/>
      <c r="F1144" s="739"/>
      <c r="G1144" s="739"/>
      <c r="H1144" s="739">
        <f t="shared" ref="H1144:H1152" si="106">PRODUCT(C1144:G1144)</f>
        <v>2</v>
      </c>
      <c r="I1144" s="736"/>
    </row>
    <row r="1145" spans="1:9" s="737" customFormat="1">
      <c r="A1145" s="738"/>
      <c r="B1145" s="735" t="s">
        <v>6190</v>
      </c>
      <c r="C1145" s="734">
        <v>1</v>
      </c>
      <c r="D1145" s="734">
        <v>2</v>
      </c>
      <c r="E1145" s="739"/>
      <c r="F1145" s="739"/>
      <c r="G1145" s="739"/>
      <c r="H1145" s="739">
        <f t="shared" si="106"/>
        <v>2</v>
      </c>
      <c r="I1145" s="736"/>
    </row>
    <row r="1146" spans="1:9" s="737" customFormat="1">
      <c r="A1146" s="738"/>
      <c r="B1146" s="735" t="s">
        <v>5969</v>
      </c>
      <c r="C1146" s="734">
        <v>1</v>
      </c>
      <c r="D1146" s="734">
        <v>8</v>
      </c>
      <c r="E1146" s="739"/>
      <c r="F1146" s="739"/>
      <c r="G1146" s="739"/>
      <c r="H1146" s="739">
        <f t="shared" si="106"/>
        <v>8</v>
      </c>
      <c r="I1146" s="736"/>
    </row>
    <row r="1147" spans="1:9" s="737" customFormat="1">
      <c r="A1147" s="738"/>
      <c r="B1147" s="735" t="s">
        <v>6191</v>
      </c>
      <c r="C1147" s="734">
        <v>1</v>
      </c>
      <c r="D1147" s="734">
        <v>1</v>
      </c>
      <c r="E1147" s="739"/>
      <c r="F1147" s="739"/>
      <c r="G1147" s="739"/>
      <c r="H1147" s="739">
        <f t="shared" si="106"/>
        <v>1</v>
      </c>
      <c r="I1147" s="736"/>
    </row>
    <row r="1148" spans="1:9" s="737" customFormat="1">
      <c r="A1148" s="738"/>
      <c r="B1148" s="735" t="s">
        <v>6192</v>
      </c>
      <c r="C1148" s="734">
        <v>1</v>
      </c>
      <c r="D1148" s="734">
        <v>2</v>
      </c>
      <c r="E1148" s="739"/>
      <c r="F1148" s="739"/>
      <c r="G1148" s="739"/>
      <c r="H1148" s="739">
        <f t="shared" si="106"/>
        <v>2</v>
      </c>
      <c r="I1148" s="736"/>
    </row>
    <row r="1149" spans="1:9" s="737" customFormat="1">
      <c r="A1149" s="738"/>
      <c r="B1149" s="735" t="s">
        <v>6193</v>
      </c>
      <c r="C1149" s="734">
        <v>1</v>
      </c>
      <c r="D1149" s="734">
        <v>1</v>
      </c>
      <c r="E1149" s="739"/>
      <c r="F1149" s="739"/>
      <c r="G1149" s="739"/>
      <c r="H1149" s="739">
        <f t="shared" si="106"/>
        <v>1</v>
      </c>
      <c r="I1149" s="736"/>
    </row>
    <row r="1150" spans="1:9" s="737" customFormat="1">
      <c r="A1150" s="738"/>
      <c r="B1150" s="735" t="s">
        <v>6195</v>
      </c>
      <c r="C1150" s="734">
        <v>1</v>
      </c>
      <c r="D1150" s="734">
        <v>4</v>
      </c>
      <c r="E1150" s="739"/>
      <c r="F1150" s="739"/>
      <c r="G1150" s="739"/>
      <c r="H1150" s="739">
        <f t="shared" si="106"/>
        <v>4</v>
      </c>
      <c r="I1150" s="736"/>
    </row>
    <row r="1151" spans="1:9" s="737" customFormat="1">
      <c r="A1151" s="738"/>
      <c r="B1151" s="735" t="s">
        <v>5953</v>
      </c>
      <c r="C1151" s="734">
        <v>1</v>
      </c>
      <c r="D1151" s="734">
        <v>1</v>
      </c>
      <c r="E1151" s="739"/>
      <c r="F1151" s="739"/>
      <c r="G1151" s="739"/>
      <c r="H1151" s="739">
        <f t="shared" si="106"/>
        <v>1</v>
      </c>
      <c r="I1151" s="736"/>
    </row>
    <row r="1152" spans="1:9" s="737" customFormat="1">
      <c r="A1152" s="738"/>
      <c r="B1152" s="735" t="s">
        <v>6196</v>
      </c>
      <c r="C1152" s="734">
        <v>1</v>
      </c>
      <c r="D1152" s="734">
        <v>2</v>
      </c>
      <c r="E1152" s="739"/>
      <c r="F1152" s="739"/>
      <c r="G1152" s="739"/>
      <c r="H1152" s="739">
        <f t="shared" si="106"/>
        <v>2</v>
      </c>
      <c r="I1152" s="736"/>
    </row>
    <row r="1153" spans="1:9" s="737" customFormat="1">
      <c r="A1153" s="738"/>
      <c r="B1153" s="735"/>
      <c r="C1153" s="734"/>
      <c r="D1153" s="734"/>
      <c r="E1153" s="739"/>
      <c r="F1153" s="739"/>
      <c r="G1153" s="742" t="s">
        <v>2235</v>
      </c>
      <c r="H1153" s="742">
        <f>SUM(H1144:H1152)</f>
        <v>23</v>
      </c>
      <c r="I1153" s="736" t="s">
        <v>1427</v>
      </c>
    </row>
    <row r="1154" spans="1:9" s="737" customFormat="1" ht="45" customHeight="1">
      <c r="A1154" s="732">
        <v>76</v>
      </c>
      <c r="B1154" s="733" t="s">
        <v>6981</v>
      </c>
      <c r="C1154" s="734"/>
      <c r="D1154" s="734"/>
      <c r="E1154" s="739"/>
      <c r="F1154" s="739"/>
      <c r="G1154" s="739"/>
      <c r="H1154" s="739"/>
      <c r="I1154" s="736"/>
    </row>
    <row r="1155" spans="1:9" s="737" customFormat="1" ht="25.5" customHeight="1">
      <c r="A1155" s="738"/>
      <c r="B1155" s="735" t="s">
        <v>6197</v>
      </c>
      <c r="C1155" s="734">
        <v>1</v>
      </c>
      <c r="D1155" s="734">
        <v>2</v>
      </c>
      <c r="E1155" s="739">
        <v>15</v>
      </c>
      <c r="F1155" s="739"/>
      <c r="G1155" s="739"/>
      <c r="H1155" s="742">
        <f>PRODUCT(C1155:G1155)</f>
        <v>30</v>
      </c>
      <c r="I1155" s="736" t="s">
        <v>823</v>
      </c>
    </row>
    <row r="1156" spans="1:9" s="737" customFormat="1" ht="37.5">
      <c r="A1156" s="732">
        <v>77.3</v>
      </c>
      <c r="B1156" s="733" t="s">
        <v>6198</v>
      </c>
      <c r="C1156" s="734"/>
      <c r="D1156" s="734"/>
      <c r="E1156" s="739"/>
      <c r="F1156" s="739"/>
      <c r="G1156" s="739"/>
      <c r="H1156" s="739"/>
      <c r="I1156" s="736"/>
    </row>
    <row r="1157" spans="1:9" s="737" customFormat="1">
      <c r="A1157" s="738"/>
      <c r="B1157" s="735" t="s">
        <v>5964</v>
      </c>
      <c r="C1157" s="734">
        <v>1</v>
      </c>
      <c r="D1157" s="734">
        <v>2</v>
      </c>
      <c r="E1157" s="739"/>
      <c r="F1157" s="739"/>
      <c r="G1157" s="739"/>
      <c r="H1157" s="739">
        <f>PRODUCT(C1157:G1157)</f>
        <v>2</v>
      </c>
      <c r="I1157" s="736"/>
    </row>
    <row r="1158" spans="1:9" s="737" customFormat="1">
      <c r="A1158" s="738"/>
      <c r="B1158" s="735" t="s">
        <v>5966</v>
      </c>
      <c r="C1158" s="734">
        <v>1</v>
      </c>
      <c r="D1158" s="734">
        <v>2</v>
      </c>
      <c r="E1158" s="739"/>
      <c r="F1158" s="739"/>
      <c r="G1158" s="739"/>
      <c r="H1158" s="739">
        <f>PRODUCT(C1158:G1158)</f>
        <v>2</v>
      </c>
      <c r="I1158" s="736"/>
    </row>
    <row r="1159" spans="1:9" s="737" customFormat="1">
      <c r="A1159" s="738"/>
      <c r="B1159" s="735" t="s">
        <v>5969</v>
      </c>
      <c r="C1159" s="734">
        <v>1</v>
      </c>
      <c r="D1159" s="734">
        <v>2</v>
      </c>
      <c r="E1159" s="739"/>
      <c r="F1159" s="739"/>
      <c r="G1159" s="739"/>
      <c r="H1159" s="739">
        <f>PRODUCT(C1159:G1159)</f>
        <v>2</v>
      </c>
      <c r="I1159" s="736"/>
    </row>
    <row r="1160" spans="1:9" s="737" customFormat="1">
      <c r="A1160" s="738"/>
      <c r="B1160" s="735" t="s">
        <v>6199</v>
      </c>
      <c r="C1160" s="734">
        <v>1</v>
      </c>
      <c r="D1160" s="734">
        <v>2</v>
      </c>
      <c r="E1160" s="739"/>
      <c r="F1160" s="739"/>
      <c r="G1160" s="739"/>
      <c r="H1160" s="739">
        <f>PRODUCT(C1160:G1160)</f>
        <v>2</v>
      </c>
      <c r="I1160" s="736"/>
    </row>
    <row r="1161" spans="1:9" s="737" customFormat="1">
      <c r="A1161" s="738"/>
      <c r="B1161" s="735" t="s">
        <v>5977</v>
      </c>
      <c r="C1161" s="734">
        <v>1</v>
      </c>
      <c r="D1161" s="734">
        <v>1</v>
      </c>
      <c r="E1161" s="739"/>
      <c r="F1161" s="739"/>
      <c r="G1161" s="739"/>
      <c r="H1161" s="739">
        <f>PRODUCT(C1161:G1161)</f>
        <v>1</v>
      </c>
      <c r="I1161" s="736"/>
    </row>
    <row r="1162" spans="1:9" s="737" customFormat="1">
      <c r="A1162" s="738"/>
      <c r="B1162" s="735"/>
      <c r="C1162" s="734"/>
      <c r="D1162" s="734"/>
      <c r="E1162" s="739"/>
      <c r="F1162" s="739"/>
      <c r="G1162" s="742" t="s">
        <v>2235</v>
      </c>
      <c r="H1162" s="742">
        <f>SUM(H1157:H1161)</f>
        <v>9</v>
      </c>
      <c r="I1162" s="736" t="s">
        <v>1427</v>
      </c>
    </row>
    <row r="1163" spans="1:9" s="737" customFormat="1" ht="37.5">
      <c r="A1163" s="732">
        <v>77.400000000000006</v>
      </c>
      <c r="B1163" s="733" t="s">
        <v>6200</v>
      </c>
      <c r="C1163" s="734"/>
      <c r="D1163" s="734"/>
      <c r="E1163" s="739"/>
      <c r="F1163" s="739"/>
      <c r="G1163" s="739"/>
      <c r="H1163" s="739"/>
      <c r="I1163" s="736"/>
    </row>
    <row r="1164" spans="1:9" s="737" customFormat="1">
      <c r="A1164" s="738"/>
      <c r="B1164" s="735" t="s">
        <v>6201</v>
      </c>
      <c r="C1164" s="734"/>
      <c r="D1164" s="734"/>
      <c r="E1164" s="739"/>
      <c r="F1164" s="739"/>
      <c r="G1164" s="739"/>
      <c r="H1164" s="739"/>
      <c r="I1164" s="736"/>
    </row>
    <row r="1165" spans="1:9" s="737" customFormat="1">
      <c r="A1165" s="738"/>
      <c r="B1165" s="735" t="s">
        <v>385</v>
      </c>
      <c r="C1165" s="734">
        <v>1</v>
      </c>
      <c r="D1165" s="734">
        <v>2</v>
      </c>
      <c r="E1165" s="739">
        <v>5.8</v>
      </c>
      <c r="F1165" s="739"/>
      <c r="G1165" s="739"/>
      <c r="H1165" s="739">
        <f>PRODUCT(C1165:G1165)</f>
        <v>11.6</v>
      </c>
      <c r="I1165" s="736"/>
    </row>
    <row r="1166" spans="1:9" s="737" customFormat="1">
      <c r="A1166" s="738"/>
      <c r="B1166" s="735" t="s">
        <v>6202</v>
      </c>
      <c r="C1166" s="734">
        <v>1</v>
      </c>
      <c r="D1166" s="734">
        <v>3</v>
      </c>
      <c r="E1166" s="739">
        <v>12.5</v>
      </c>
      <c r="F1166" s="739"/>
      <c r="G1166" s="739"/>
      <c r="H1166" s="739">
        <f>PRODUCT(C1166:G1166)</f>
        <v>37.5</v>
      </c>
      <c r="I1166" s="736"/>
    </row>
    <row r="1167" spans="1:9" s="737" customFormat="1">
      <c r="A1167" s="738"/>
      <c r="B1167" s="735" t="s">
        <v>6203</v>
      </c>
      <c r="C1167" s="734"/>
      <c r="D1167" s="734"/>
      <c r="E1167" s="739"/>
      <c r="F1167" s="739"/>
      <c r="G1167" s="739"/>
      <c r="H1167" s="739"/>
      <c r="I1167" s="736"/>
    </row>
    <row r="1168" spans="1:9" s="737" customFormat="1">
      <c r="A1168" s="738"/>
      <c r="B1168" s="735" t="s">
        <v>6202</v>
      </c>
      <c r="C1168" s="734">
        <v>1</v>
      </c>
      <c r="D1168" s="734">
        <v>2</v>
      </c>
      <c r="E1168" s="739">
        <v>5.8</v>
      </c>
      <c r="F1168" s="739"/>
      <c r="G1168" s="739"/>
      <c r="H1168" s="739">
        <f>PRODUCT(C1168:G1168)</f>
        <v>11.6</v>
      </c>
      <c r="I1168" s="736"/>
    </row>
    <row r="1169" spans="1:9" s="737" customFormat="1">
      <c r="A1169" s="738"/>
      <c r="B1169" s="735" t="s">
        <v>385</v>
      </c>
      <c r="C1169" s="734">
        <v>1</v>
      </c>
      <c r="D1169" s="734">
        <v>2</v>
      </c>
      <c r="E1169" s="739">
        <v>12.5</v>
      </c>
      <c r="F1169" s="739"/>
      <c r="G1169" s="739"/>
      <c r="H1169" s="739">
        <f>PRODUCT(C1169:G1169)</f>
        <v>25</v>
      </c>
      <c r="I1169" s="736"/>
    </row>
    <row r="1170" spans="1:9" s="737" customFormat="1">
      <c r="A1170" s="738"/>
      <c r="B1170" s="735"/>
      <c r="C1170" s="734"/>
      <c r="D1170" s="734"/>
      <c r="E1170" s="739"/>
      <c r="F1170" s="739"/>
      <c r="G1170" s="742" t="s">
        <v>2235</v>
      </c>
      <c r="H1170" s="742">
        <f>SUM(H1165:H1169)</f>
        <v>85.7</v>
      </c>
      <c r="I1170" s="736" t="s">
        <v>823</v>
      </c>
    </row>
    <row r="1171" spans="1:9" s="737" customFormat="1" ht="43.5" customHeight="1">
      <c r="A1171" s="732">
        <v>78</v>
      </c>
      <c r="B1171" s="733" t="s">
        <v>6204</v>
      </c>
      <c r="C1171" s="734"/>
      <c r="D1171" s="734"/>
      <c r="E1171" s="739"/>
      <c r="F1171" s="739"/>
      <c r="G1171" s="739"/>
      <c r="H1171" s="739"/>
      <c r="I1171" s="736"/>
    </row>
    <row r="1172" spans="1:9" s="737" customFormat="1">
      <c r="A1172" s="738"/>
      <c r="B1172" s="735" t="s">
        <v>6205</v>
      </c>
      <c r="C1172" s="734">
        <v>1</v>
      </c>
      <c r="D1172" s="734">
        <v>2</v>
      </c>
      <c r="E1172" s="739"/>
      <c r="F1172" s="739"/>
      <c r="G1172" s="739"/>
      <c r="H1172" s="739">
        <f>PRODUCT(C1172:G1172)</f>
        <v>2</v>
      </c>
      <c r="I1172" s="736" t="s">
        <v>1389</v>
      </c>
    </row>
    <row r="1173" spans="1:9" s="737" customFormat="1" ht="44.25" customHeight="1">
      <c r="A1173" s="732">
        <v>86</v>
      </c>
      <c r="B1173" s="733" t="s">
        <v>6206</v>
      </c>
      <c r="C1173" s="734"/>
      <c r="D1173" s="734"/>
      <c r="E1173" s="739"/>
      <c r="F1173" s="739"/>
      <c r="G1173" s="739"/>
      <c r="H1173" s="739"/>
      <c r="I1173" s="736"/>
    </row>
    <row r="1174" spans="1:9" s="737" customFormat="1">
      <c r="A1174" s="738"/>
      <c r="B1174" s="735" t="s">
        <v>6207</v>
      </c>
      <c r="C1174" s="734">
        <v>1</v>
      </c>
      <c r="D1174" s="734">
        <v>1</v>
      </c>
      <c r="E1174" s="739">
        <v>13.45</v>
      </c>
      <c r="F1174" s="739">
        <v>12.44</v>
      </c>
      <c r="G1174" s="739"/>
      <c r="H1174" s="739">
        <f>PRODUCT(C1174:G1174)</f>
        <v>167.32</v>
      </c>
      <c r="I1174" s="736"/>
    </row>
    <row r="1175" spans="1:9" s="737" customFormat="1">
      <c r="A1175" s="738"/>
      <c r="B1175" s="735" t="s">
        <v>6208</v>
      </c>
      <c r="C1175" s="734">
        <v>1</v>
      </c>
      <c r="D1175" s="734">
        <v>1</v>
      </c>
      <c r="E1175" s="739">
        <v>10.5</v>
      </c>
      <c r="F1175" s="739">
        <v>1.35</v>
      </c>
      <c r="G1175" s="739"/>
      <c r="H1175" s="739">
        <f>PRODUCT(C1175:G1175)</f>
        <v>14.18</v>
      </c>
      <c r="I1175" s="736"/>
    </row>
    <row r="1176" spans="1:9" s="737" customFormat="1">
      <c r="A1176" s="738"/>
      <c r="B1176" s="735"/>
      <c r="C1176" s="734"/>
      <c r="D1176" s="734"/>
      <c r="E1176" s="739"/>
      <c r="F1176" s="739"/>
      <c r="G1176" s="739"/>
      <c r="H1176" s="742">
        <f>SUM(H1174:H1175)</f>
        <v>181.5</v>
      </c>
      <c r="I1176" s="736"/>
    </row>
    <row r="1177" spans="1:9" s="737" customFormat="1">
      <c r="A1177" s="732"/>
      <c r="B1177" s="735"/>
      <c r="C1177" s="746"/>
      <c r="D1177" s="746"/>
      <c r="E1177" s="742"/>
      <c r="F1177" s="742"/>
      <c r="G1177" s="742" t="s">
        <v>4209</v>
      </c>
      <c r="H1177" s="742">
        <f>ROUNDUP(H1176,1)</f>
        <v>181.5</v>
      </c>
      <c r="I1177" s="736" t="s">
        <v>6209</v>
      </c>
    </row>
    <row r="1178" spans="1:9" s="737" customFormat="1">
      <c r="A1178" s="738"/>
      <c r="B1178" s="735" t="s">
        <v>2879</v>
      </c>
      <c r="C1178" s="734"/>
      <c r="D1178" s="734"/>
      <c r="E1178" s="739"/>
      <c r="F1178" s="739"/>
      <c r="G1178" s="739"/>
      <c r="H1178" s="739"/>
      <c r="I1178" s="736"/>
    </row>
    <row r="1179" spans="1:9" s="737" customFormat="1" ht="37.5">
      <c r="A1179" s="781" t="s">
        <v>6210</v>
      </c>
      <c r="B1179" s="782" t="s">
        <v>6211</v>
      </c>
      <c r="C1179" s="734"/>
      <c r="D1179" s="734"/>
      <c r="E1179" s="739"/>
      <c r="F1179" s="739"/>
      <c r="G1179" s="739"/>
      <c r="H1179" s="739"/>
      <c r="I1179" s="736"/>
    </row>
    <row r="1180" spans="1:9" s="737" customFormat="1">
      <c r="A1180" s="738"/>
      <c r="B1180" s="735" t="s">
        <v>5953</v>
      </c>
      <c r="C1180" s="734">
        <v>1</v>
      </c>
      <c r="D1180" s="734">
        <v>1</v>
      </c>
      <c r="E1180" s="739">
        <v>3.3</v>
      </c>
      <c r="F1180" s="739">
        <v>2.9</v>
      </c>
      <c r="G1180" s="739">
        <v>0.8</v>
      </c>
      <c r="H1180" s="739">
        <f t="shared" ref="H1180:H1188" si="107">PRODUCT(C1180:G1180)</f>
        <v>7.66</v>
      </c>
      <c r="I1180" s="736"/>
    </row>
    <row r="1181" spans="1:9" s="737" customFormat="1">
      <c r="A1181" s="738"/>
      <c r="B1181" s="735" t="s">
        <v>5837</v>
      </c>
      <c r="C1181" s="734">
        <v>1</v>
      </c>
      <c r="D1181" s="734">
        <v>1</v>
      </c>
      <c r="E1181" s="739">
        <v>3.6</v>
      </c>
      <c r="F1181" s="739">
        <v>3.6</v>
      </c>
      <c r="G1181" s="739">
        <v>0.8</v>
      </c>
      <c r="H1181" s="739">
        <f t="shared" si="107"/>
        <v>10.37</v>
      </c>
      <c r="I1181" s="736"/>
    </row>
    <row r="1182" spans="1:9" s="737" customFormat="1">
      <c r="A1182" s="738"/>
      <c r="B1182" s="735" t="s">
        <v>5954</v>
      </c>
      <c r="C1182" s="734">
        <v>1</v>
      </c>
      <c r="D1182" s="734">
        <v>1</v>
      </c>
      <c r="E1182" s="739">
        <v>3.42</v>
      </c>
      <c r="F1182" s="739">
        <v>3.6</v>
      </c>
      <c r="G1182" s="739">
        <v>0.8</v>
      </c>
      <c r="H1182" s="739">
        <f t="shared" si="107"/>
        <v>9.85</v>
      </c>
      <c r="I1182" s="736"/>
    </row>
    <row r="1183" spans="1:9" s="737" customFormat="1">
      <c r="A1183" s="738"/>
      <c r="B1183" s="735" t="s">
        <v>5955</v>
      </c>
      <c r="C1183" s="734">
        <v>1</v>
      </c>
      <c r="D1183" s="734">
        <v>1</v>
      </c>
      <c r="E1183" s="739">
        <v>3.6</v>
      </c>
      <c r="F1183" s="739">
        <v>3.31</v>
      </c>
      <c r="G1183" s="739">
        <v>0.8</v>
      </c>
      <c r="H1183" s="739">
        <f t="shared" si="107"/>
        <v>9.5299999999999994</v>
      </c>
      <c r="I1183" s="736"/>
    </row>
    <row r="1184" spans="1:9" s="737" customFormat="1">
      <c r="A1184" s="738"/>
      <c r="B1184" s="735" t="s">
        <v>5956</v>
      </c>
      <c r="C1184" s="734">
        <v>1</v>
      </c>
      <c r="D1184" s="734">
        <v>1</v>
      </c>
      <c r="E1184" s="739">
        <v>6.53</v>
      </c>
      <c r="F1184" s="739">
        <v>7.5</v>
      </c>
      <c r="G1184" s="739">
        <v>0.8</v>
      </c>
      <c r="H1184" s="739">
        <f t="shared" si="107"/>
        <v>39.18</v>
      </c>
      <c r="I1184" s="736"/>
    </row>
    <row r="1185" spans="1:9" s="737" customFormat="1">
      <c r="A1185" s="738"/>
      <c r="B1185" s="735" t="s">
        <v>5957</v>
      </c>
      <c r="C1185" s="734">
        <v>1</v>
      </c>
      <c r="D1185" s="734">
        <v>1</v>
      </c>
      <c r="E1185" s="739">
        <v>3.3</v>
      </c>
      <c r="F1185" s="739">
        <v>1.58</v>
      </c>
      <c r="G1185" s="739">
        <v>0.8</v>
      </c>
      <c r="H1185" s="739">
        <f t="shared" si="107"/>
        <v>4.17</v>
      </c>
      <c r="I1185" s="736"/>
    </row>
    <row r="1186" spans="1:9" s="737" customFormat="1">
      <c r="A1186" s="738"/>
      <c r="B1186" s="735" t="s">
        <v>5958</v>
      </c>
      <c r="C1186" s="734">
        <v>1</v>
      </c>
      <c r="D1186" s="734">
        <v>1</v>
      </c>
      <c r="E1186" s="739">
        <v>3</v>
      </c>
      <c r="F1186" s="739">
        <v>5.23</v>
      </c>
      <c r="G1186" s="739">
        <v>0.8</v>
      </c>
      <c r="H1186" s="739">
        <f t="shared" si="107"/>
        <v>12.55</v>
      </c>
      <c r="I1186" s="736"/>
    </row>
    <row r="1187" spans="1:9" s="737" customFormat="1">
      <c r="A1187" s="738"/>
      <c r="B1187" s="735" t="s">
        <v>5849</v>
      </c>
      <c r="C1187" s="734">
        <v>1</v>
      </c>
      <c r="D1187" s="734">
        <v>1</v>
      </c>
      <c r="E1187" s="739">
        <v>2.4</v>
      </c>
      <c r="F1187" s="739">
        <v>2.0299999999999998</v>
      </c>
      <c r="G1187" s="739">
        <v>0.8</v>
      </c>
      <c r="H1187" s="739">
        <f t="shared" si="107"/>
        <v>3.9</v>
      </c>
      <c r="I1187" s="736"/>
    </row>
    <row r="1188" spans="1:9" s="737" customFormat="1">
      <c r="A1188" s="738"/>
      <c r="B1188" s="735" t="s">
        <v>5959</v>
      </c>
      <c r="C1188" s="734">
        <v>1</v>
      </c>
      <c r="D1188" s="734">
        <v>1</v>
      </c>
      <c r="E1188" s="739">
        <v>6.43</v>
      </c>
      <c r="F1188" s="739">
        <v>2.4</v>
      </c>
      <c r="G1188" s="739">
        <v>0.8</v>
      </c>
      <c r="H1188" s="739">
        <f t="shared" si="107"/>
        <v>12.35</v>
      </c>
      <c r="I1188" s="736"/>
    </row>
    <row r="1189" spans="1:9" s="737" customFormat="1">
      <c r="A1189" s="738"/>
      <c r="B1189" s="735" t="s">
        <v>5960</v>
      </c>
      <c r="C1189" s="734">
        <v>1</v>
      </c>
      <c r="D1189" s="734">
        <v>1</v>
      </c>
      <c r="E1189" s="739">
        <v>2.4</v>
      </c>
      <c r="F1189" s="739">
        <v>1.39</v>
      </c>
      <c r="G1189" s="739">
        <v>0.8</v>
      </c>
      <c r="H1189" s="739">
        <f>PRODUCT(C1189:G1189)</f>
        <v>2.67</v>
      </c>
      <c r="I1189" s="736"/>
    </row>
    <row r="1190" spans="1:9" s="737" customFormat="1">
      <c r="A1190" s="738"/>
      <c r="B1190" s="735" t="s">
        <v>5961</v>
      </c>
      <c r="C1190" s="734">
        <v>1</v>
      </c>
      <c r="D1190" s="734">
        <v>1</v>
      </c>
      <c r="E1190" s="739">
        <v>2.4</v>
      </c>
      <c r="F1190" s="739">
        <v>1.5</v>
      </c>
      <c r="G1190" s="739">
        <v>0.8</v>
      </c>
      <c r="H1190" s="739">
        <f>PRODUCT(C1190:G1190)</f>
        <v>2.88</v>
      </c>
      <c r="I1190" s="736"/>
    </row>
    <row r="1191" spans="1:9" s="737" customFormat="1">
      <c r="A1191" s="738"/>
      <c r="B1191" s="735"/>
      <c r="C1191" s="734"/>
      <c r="D1191" s="734"/>
      <c r="E1191" s="739"/>
      <c r="F1191" s="739"/>
      <c r="G1191" s="739"/>
      <c r="H1191" s="742">
        <f>SUM(H1180:H1190)</f>
        <v>115.11</v>
      </c>
      <c r="I1191" s="736"/>
    </row>
    <row r="1192" spans="1:9" s="737" customFormat="1">
      <c r="A1192" s="738"/>
      <c r="B1192" s="735"/>
      <c r="C1192" s="734"/>
      <c r="D1192" s="734"/>
      <c r="E1192" s="739"/>
      <c r="F1192" s="739"/>
      <c r="G1192" s="742" t="s">
        <v>4209</v>
      </c>
      <c r="H1192" s="742">
        <f>ROUNDUP(H1191,1)</f>
        <v>115.2</v>
      </c>
      <c r="I1192" s="736" t="s">
        <v>2142</v>
      </c>
    </row>
    <row r="1193" spans="1:9" s="737" customFormat="1" ht="45" customHeight="1">
      <c r="A1193" s="732" t="s">
        <v>6212</v>
      </c>
      <c r="B1193" s="733" t="s">
        <v>6213</v>
      </c>
      <c r="C1193" s="734"/>
      <c r="D1193" s="734"/>
      <c r="E1193" s="739"/>
      <c r="F1193" s="739"/>
      <c r="G1193" s="739"/>
      <c r="H1193" s="739"/>
      <c r="I1193" s="736"/>
    </row>
    <row r="1194" spans="1:9" s="737" customFormat="1" ht="19.5" customHeight="1">
      <c r="A1194" s="732" t="s">
        <v>2598</v>
      </c>
      <c r="B1194" s="733" t="s">
        <v>6214</v>
      </c>
      <c r="C1194" s="734"/>
      <c r="D1194" s="734"/>
      <c r="E1194" s="739"/>
      <c r="F1194" s="739"/>
      <c r="G1194" s="739"/>
      <c r="H1194" s="739"/>
      <c r="I1194" s="736"/>
    </row>
    <row r="1195" spans="1:9" s="737" customFormat="1">
      <c r="A1195" s="738"/>
      <c r="B1195" s="735" t="s">
        <v>5800</v>
      </c>
      <c r="C1195" s="734">
        <v>1</v>
      </c>
      <c r="D1195" s="734">
        <v>3</v>
      </c>
      <c r="E1195" s="739">
        <v>1.35</v>
      </c>
      <c r="F1195" s="739">
        <v>1.35</v>
      </c>
      <c r="G1195" s="739">
        <v>0.35</v>
      </c>
      <c r="H1195" s="739">
        <f>PRODUCT(C1195:G1195)</f>
        <v>1.91</v>
      </c>
      <c r="I1195" s="736"/>
    </row>
    <row r="1196" spans="1:9" s="737" customFormat="1">
      <c r="A1196" s="738"/>
      <c r="B1196" s="735" t="s">
        <v>5801</v>
      </c>
      <c r="C1196" s="734">
        <v>1</v>
      </c>
      <c r="D1196" s="734">
        <v>7</v>
      </c>
      <c r="E1196" s="739">
        <v>1.65</v>
      </c>
      <c r="F1196" s="739">
        <v>1.65</v>
      </c>
      <c r="G1196" s="739">
        <v>0.4</v>
      </c>
      <c r="H1196" s="739">
        <f t="shared" ref="H1196:H1200" si="108">PRODUCT(C1196:G1196)</f>
        <v>7.62</v>
      </c>
      <c r="I1196" s="736"/>
    </row>
    <row r="1197" spans="1:9" s="737" customFormat="1">
      <c r="A1197" s="738"/>
      <c r="B1197" s="735" t="s">
        <v>5802</v>
      </c>
      <c r="C1197" s="734">
        <v>1</v>
      </c>
      <c r="D1197" s="734">
        <v>4</v>
      </c>
      <c r="E1197" s="739">
        <v>1.9</v>
      </c>
      <c r="F1197" s="739">
        <v>1.9</v>
      </c>
      <c r="G1197" s="739">
        <v>0.45</v>
      </c>
      <c r="H1197" s="739">
        <f t="shared" si="108"/>
        <v>6.5</v>
      </c>
      <c r="I1197" s="736"/>
    </row>
    <row r="1198" spans="1:9" s="737" customFormat="1">
      <c r="A1198" s="738"/>
      <c r="B1198" s="735" t="s">
        <v>5803</v>
      </c>
      <c r="C1198" s="734">
        <v>1</v>
      </c>
      <c r="D1198" s="734">
        <v>4</v>
      </c>
      <c r="E1198" s="739">
        <v>2.2000000000000002</v>
      </c>
      <c r="F1198" s="739">
        <v>2.2000000000000002</v>
      </c>
      <c r="G1198" s="739">
        <v>0.5</v>
      </c>
      <c r="H1198" s="739">
        <f t="shared" si="108"/>
        <v>9.68</v>
      </c>
      <c r="I1198" s="736"/>
    </row>
    <row r="1199" spans="1:9" s="737" customFormat="1">
      <c r="A1199" s="738"/>
      <c r="B1199" s="735" t="s">
        <v>5804</v>
      </c>
      <c r="C1199" s="734">
        <v>1</v>
      </c>
      <c r="D1199" s="734">
        <v>3</v>
      </c>
      <c r="E1199" s="739">
        <v>1.2</v>
      </c>
      <c r="F1199" s="739">
        <v>1.2</v>
      </c>
      <c r="G1199" s="739">
        <v>0.3</v>
      </c>
      <c r="H1199" s="739">
        <f t="shared" si="108"/>
        <v>1.3</v>
      </c>
      <c r="I1199" s="736"/>
    </row>
    <row r="1200" spans="1:9" s="737" customFormat="1">
      <c r="A1200" s="738"/>
      <c r="B1200" s="735" t="s">
        <v>5805</v>
      </c>
      <c r="C1200" s="734">
        <v>1</v>
      </c>
      <c r="D1200" s="734">
        <v>1</v>
      </c>
      <c r="E1200" s="739">
        <v>1.65</v>
      </c>
      <c r="F1200" s="739">
        <v>2.1</v>
      </c>
      <c r="G1200" s="739">
        <v>0.4</v>
      </c>
      <c r="H1200" s="739">
        <f t="shared" si="108"/>
        <v>1.39</v>
      </c>
      <c r="I1200" s="736"/>
    </row>
    <row r="1201" spans="1:9" s="737" customFormat="1">
      <c r="A1201" s="738"/>
      <c r="B1201" s="735" t="s">
        <v>6215</v>
      </c>
      <c r="C1201" s="734"/>
      <c r="D1201" s="734"/>
      <c r="E1201" s="739"/>
      <c r="F1201" s="739"/>
      <c r="G1201" s="739"/>
      <c r="H1201" s="739"/>
      <c r="I1201" s="736"/>
    </row>
    <row r="1202" spans="1:9" s="737" customFormat="1">
      <c r="A1202" s="738"/>
      <c r="B1202" s="735" t="s">
        <v>5800</v>
      </c>
      <c r="C1202" s="734">
        <v>1</v>
      </c>
      <c r="D1202" s="734">
        <v>3</v>
      </c>
      <c r="E1202" s="739">
        <v>0.38</v>
      </c>
      <c r="F1202" s="739">
        <v>0.23</v>
      </c>
      <c r="G1202" s="739">
        <v>1</v>
      </c>
      <c r="H1202" s="739">
        <f>PRODUCT(C1202:G1202)</f>
        <v>0.26</v>
      </c>
      <c r="I1202" s="736"/>
    </row>
    <row r="1203" spans="1:9" s="737" customFormat="1">
      <c r="A1203" s="738"/>
      <c r="B1203" s="735" t="s">
        <v>5801</v>
      </c>
      <c r="C1203" s="734">
        <v>1</v>
      </c>
      <c r="D1203" s="734">
        <v>7</v>
      </c>
      <c r="E1203" s="739">
        <v>0.38</v>
      </c>
      <c r="F1203" s="739">
        <v>0.23</v>
      </c>
      <c r="G1203" s="739">
        <v>1</v>
      </c>
      <c r="H1203" s="739">
        <f t="shared" ref="H1203:H1207" si="109">PRODUCT(C1203:G1203)</f>
        <v>0.61</v>
      </c>
      <c r="I1203" s="736"/>
    </row>
    <row r="1204" spans="1:9" s="737" customFormat="1">
      <c r="A1204" s="738"/>
      <c r="B1204" s="735" t="s">
        <v>5802</v>
      </c>
      <c r="C1204" s="734">
        <v>1</v>
      </c>
      <c r="D1204" s="734">
        <v>4</v>
      </c>
      <c r="E1204" s="739">
        <v>0.38</v>
      </c>
      <c r="F1204" s="739">
        <v>0.23</v>
      </c>
      <c r="G1204" s="739">
        <v>1</v>
      </c>
      <c r="H1204" s="739">
        <f t="shared" si="109"/>
        <v>0.35</v>
      </c>
      <c r="I1204" s="736"/>
    </row>
    <row r="1205" spans="1:9" s="737" customFormat="1">
      <c r="A1205" s="738"/>
      <c r="B1205" s="735" t="s">
        <v>5803</v>
      </c>
      <c r="C1205" s="734">
        <v>1</v>
      </c>
      <c r="D1205" s="734">
        <v>4</v>
      </c>
      <c r="E1205" s="739">
        <v>0.38</v>
      </c>
      <c r="F1205" s="739">
        <v>0.23</v>
      </c>
      <c r="G1205" s="739">
        <v>1</v>
      </c>
      <c r="H1205" s="739">
        <f t="shared" si="109"/>
        <v>0.35</v>
      </c>
      <c r="I1205" s="736"/>
    </row>
    <row r="1206" spans="1:9" s="737" customFormat="1">
      <c r="A1206" s="738"/>
      <c r="B1206" s="735" t="s">
        <v>5804</v>
      </c>
      <c r="C1206" s="734">
        <v>1</v>
      </c>
      <c r="D1206" s="734">
        <v>3</v>
      </c>
      <c r="E1206" s="739">
        <v>0.3</v>
      </c>
      <c r="F1206" s="739">
        <v>0.23</v>
      </c>
      <c r="G1206" s="739">
        <v>1</v>
      </c>
      <c r="H1206" s="739">
        <f t="shared" si="109"/>
        <v>0.21</v>
      </c>
      <c r="I1206" s="736"/>
    </row>
    <row r="1207" spans="1:9" s="737" customFormat="1">
      <c r="A1207" s="738"/>
      <c r="B1207" s="735" t="s">
        <v>5805</v>
      </c>
      <c r="C1207" s="734">
        <v>1</v>
      </c>
      <c r="D1207" s="734">
        <v>1</v>
      </c>
      <c r="E1207" s="739">
        <v>0.38</v>
      </c>
      <c r="F1207" s="739">
        <v>0.23</v>
      </c>
      <c r="G1207" s="739">
        <v>1</v>
      </c>
      <c r="H1207" s="739">
        <f t="shared" si="109"/>
        <v>0.09</v>
      </c>
      <c r="I1207" s="736"/>
    </row>
    <row r="1208" spans="1:9" s="737" customFormat="1" ht="18.75" customHeight="1">
      <c r="A1208" s="738"/>
      <c r="B1208" s="735" t="s">
        <v>5806</v>
      </c>
      <c r="C1208" s="734"/>
      <c r="D1208" s="734"/>
      <c r="E1208" s="739"/>
      <c r="F1208" s="739"/>
      <c r="G1208" s="739"/>
      <c r="H1208" s="739"/>
      <c r="I1208" s="736"/>
    </row>
    <row r="1209" spans="1:9" s="737" customFormat="1" ht="20.25" customHeight="1">
      <c r="A1209" s="738"/>
      <c r="B1209" s="740" t="s">
        <v>5808</v>
      </c>
      <c r="C1209" s="734">
        <v>1</v>
      </c>
      <c r="D1209" s="734">
        <v>2</v>
      </c>
      <c r="E1209" s="739">
        <f>3.6</f>
        <v>3.6</v>
      </c>
      <c r="F1209" s="739">
        <v>0.23</v>
      </c>
      <c r="G1209" s="739">
        <v>0.35</v>
      </c>
      <c r="H1209" s="739">
        <f t="shared" ref="H1209:H1216" si="110">PRODUCT(C1209:G1209)</f>
        <v>0.57999999999999996</v>
      </c>
      <c r="I1209" s="736"/>
    </row>
    <row r="1210" spans="1:9" s="737" customFormat="1" ht="20.25" customHeight="1">
      <c r="A1210" s="738"/>
      <c r="B1210" s="740" t="s">
        <v>5811</v>
      </c>
      <c r="C1210" s="734">
        <v>1</v>
      </c>
      <c r="D1210" s="734">
        <v>1</v>
      </c>
      <c r="E1210" s="739">
        <f>2.18+0.23</f>
        <v>2.41</v>
      </c>
      <c r="F1210" s="739">
        <v>0.23</v>
      </c>
      <c r="G1210" s="739">
        <v>0.35</v>
      </c>
      <c r="H1210" s="739">
        <f t="shared" si="110"/>
        <v>0.19</v>
      </c>
      <c r="I1210" s="736"/>
    </row>
    <row r="1211" spans="1:9" s="737" customFormat="1" ht="22.5" customHeight="1">
      <c r="A1211" s="738"/>
      <c r="B1211" s="735" t="s">
        <v>5812</v>
      </c>
      <c r="C1211" s="734">
        <v>1</v>
      </c>
      <c r="D1211" s="734">
        <v>3</v>
      </c>
      <c r="E1211" s="739">
        <f>3.6</f>
        <v>3.6</v>
      </c>
      <c r="F1211" s="739">
        <v>0.23</v>
      </c>
      <c r="G1211" s="739">
        <v>0.35</v>
      </c>
      <c r="H1211" s="739">
        <f t="shared" si="110"/>
        <v>0.87</v>
      </c>
      <c r="I1211" s="736"/>
    </row>
    <row r="1212" spans="1:9" s="737" customFormat="1" ht="21.75" customHeight="1">
      <c r="A1212" s="738"/>
      <c r="B1212" s="740" t="s">
        <v>5813</v>
      </c>
      <c r="C1212" s="734">
        <v>1</v>
      </c>
      <c r="D1212" s="734">
        <v>5</v>
      </c>
      <c r="E1212" s="739">
        <f>3.52</f>
        <v>3.52</v>
      </c>
      <c r="F1212" s="739">
        <v>0.23</v>
      </c>
      <c r="G1212" s="739">
        <v>0.35</v>
      </c>
      <c r="H1212" s="739">
        <f t="shared" si="110"/>
        <v>1.42</v>
      </c>
      <c r="I1212" s="736"/>
    </row>
    <row r="1213" spans="1:9" s="737" customFormat="1" ht="21.75" customHeight="1">
      <c r="A1213" s="738"/>
      <c r="B1213" s="740" t="s">
        <v>5814</v>
      </c>
      <c r="C1213" s="734">
        <v>1</v>
      </c>
      <c r="D1213" s="734">
        <v>4</v>
      </c>
      <c r="E1213" s="739">
        <f>2.78</f>
        <v>2.78</v>
      </c>
      <c r="F1213" s="739">
        <v>0.23</v>
      </c>
      <c r="G1213" s="739">
        <v>0.35</v>
      </c>
      <c r="H1213" s="739">
        <f t="shared" si="110"/>
        <v>0.9</v>
      </c>
      <c r="I1213" s="736"/>
    </row>
    <row r="1214" spans="1:9" s="737" customFormat="1" ht="21.75" customHeight="1">
      <c r="A1214" s="738"/>
      <c r="B1214" s="740" t="s">
        <v>5815</v>
      </c>
      <c r="C1214" s="734">
        <v>1</v>
      </c>
      <c r="D1214" s="734">
        <v>4</v>
      </c>
      <c r="E1214" s="739">
        <f>2.4</f>
        <v>2.4</v>
      </c>
      <c r="F1214" s="739">
        <v>0.23</v>
      </c>
      <c r="G1214" s="739">
        <v>0.35</v>
      </c>
      <c r="H1214" s="739">
        <f t="shared" si="110"/>
        <v>0.77</v>
      </c>
      <c r="I1214" s="736"/>
    </row>
    <row r="1215" spans="1:9" s="737" customFormat="1" ht="21.75" customHeight="1">
      <c r="A1215" s="738"/>
      <c r="B1215" s="740" t="s">
        <v>5816</v>
      </c>
      <c r="C1215" s="734">
        <v>1</v>
      </c>
      <c r="D1215" s="734">
        <v>1</v>
      </c>
      <c r="E1215" s="739">
        <f>3.52</f>
        <v>3.52</v>
      </c>
      <c r="F1215" s="739">
        <v>0.23</v>
      </c>
      <c r="G1215" s="739">
        <v>0.23</v>
      </c>
      <c r="H1215" s="739">
        <f t="shared" si="110"/>
        <v>0.19</v>
      </c>
      <c r="I1215" s="736"/>
    </row>
    <row r="1216" spans="1:9" s="737" customFormat="1" ht="21.75" customHeight="1">
      <c r="A1216" s="738"/>
      <c r="B1216" s="740" t="s">
        <v>5817</v>
      </c>
      <c r="C1216" s="734">
        <v>1</v>
      </c>
      <c r="D1216" s="734">
        <v>3</v>
      </c>
      <c r="E1216" s="739">
        <v>2.4</v>
      </c>
      <c r="F1216" s="739">
        <v>0.23</v>
      </c>
      <c r="G1216" s="739">
        <v>0.23</v>
      </c>
      <c r="H1216" s="739">
        <f t="shared" si="110"/>
        <v>0.38</v>
      </c>
      <c r="I1216" s="736"/>
    </row>
    <row r="1217" spans="1:9" s="737" customFormat="1">
      <c r="A1217" s="738"/>
      <c r="B1217" s="735" t="s">
        <v>5818</v>
      </c>
      <c r="C1217" s="734"/>
      <c r="D1217" s="734"/>
      <c r="E1217" s="739"/>
      <c r="F1217" s="739"/>
      <c r="G1217" s="739"/>
      <c r="H1217" s="739"/>
      <c r="I1217" s="736"/>
    </row>
    <row r="1218" spans="1:9" s="737" customFormat="1" ht="23.25" customHeight="1">
      <c r="A1218" s="738"/>
      <c r="B1218" s="735" t="s">
        <v>5807</v>
      </c>
      <c r="C1218" s="734">
        <v>1</v>
      </c>
      <c r="D1218" s="734">
        <v>2</v>
      </c>
      <c r="E1218" s="739">
        <f>4.92+0.23+0.52+0.23+0.23</f>
        <v>6.13</v>
      </c>
      <c r="F1218" s="739">
        <v>0.23</v>
      </c>
      <c r="G1218" s="739">
        <v>0.35</v>
      </c>
      <c r="H1218" s="739">
        <f t="shared" ref="H1218:H1228" si="111">PRODUCT(C1218:G1218)</f>
        <v>0.99</v>
      </c>
      <c r="I1218" s="736"/>
    </row>
    <row r="1219" spans="1:9" s="737" customFormat="1" ht="20.25" customHeight="1">
      <c r="A1219" s="738"/>
      <c r="B1219" s="740" t="s">
        <v>5809</v>
      </c>
      <c r="C1219" s="734">
        <v>1</v>
      </c>
      <c r="D1219" s="734">
        <v>2</v>
      </c>
      <c r="E1219" s="739">
        <f>3.485+0.46</f>
        <v>3.95</v>
      </c>
      <c r="F1219" s="739">
        <v>0.23</v>
      </c>
      <c r="G1219" s="739">
        <v>0.35</v>
      </c>
      <c r="H1219" s="739">
        <f t="shared" si="111"/>
        <v>0.64</v>
      </c>
      <c r="I1219" s="736"/>
    </row>
    <row r="1220" spans="1:9" s="737" customFormat="1" ht="20.25" customHeight="1">
      <c r="A1220" s="738"/>
      <c r="B1220" s="740" t="s">
        <v>5819</v>
      </c>
      <c r="C1220" s="734">
        <v>1</v>
      </c>
      <c r="D1220" s="734">
        <v>1</v>
      </c>
      <c r="E1220" s="739">
        <v>1.2</v>
      </c>
      <c r="F1220" s="739">
        <v>0.23</v>
      </c>
      <c r="G1220" s="739">
        <v>0.35</v>
      </c>
      <c r="H1220" s="739">
        <f t="shared" si="111"/>
        <v>0.1</v>
      </c>
      <c r="I1220" s="736"/>
    </row>
    <row r="1221" spans="1:9" s="737" customFormat="1" ht="20.25" customHeight="1">
      <c r="A1221" s="738"/>
      <c r="B1221" s="740" t="s">
        <v>5810</v>
      </c>
      <c r="C1221" s="734">
        <v>1</v>
      </c>
      <c r="D1221" s="734">
        <v>1</v>
      </c>
      <c r="E1221" s="739">
        <f>4.25+0.23+0.75+0.23</f>
        <v>5.46</v>
      </c>
      <c r="F1221" s="739">
        <v>0.23</v>
      </c>
      <c r="G1221" s="739">
        <v>0.35</v>
      </c>
      <c r="H1221" s="739">
        <f t="shared" si="111"/>
        <v>0.44</v>
      </c>
      <c r="I1221" s="736"/>
    </row>
    <row r="1222" spans="1:9" s="737" customFormat="1" ht="20.25" customHeight="1">
      <c r="A1222" s="738"/>
      <c r="B1222" s="740" t="s">
        <v>5811</v>
      </c>
      <c r="C1222" s="734">
        <v>1</v>
      </c>
      <c r="D1222" s="734">
        <v>1</v>
      </c>
      <c r="E1222" s="739">
        <f>2.18+0.23</f>
        <v>2.41</v>
      </c>
      <c r="F1222" s="739">
        <v>0.23</v>
      </c>
      <c r="G1222" s="739">
        <v>0.35</v>
      </c>
      <c r="H1222" s="739">
        <f t="shared" si="111"/>
        <v>0.19</v>
      </c>
      <c r="I1222" s="736"/>
    </row>
    <row r="1223" spans="1:9" s="737" customFormat="1" ht="21.75" customHeight="1">
      <c r="A1223" s="738"/>
      <c r="B1223" s="740" t="s">
        <v>5820</v>
      </c>
      <c r="C1223" s="734">
        <v>1</v>
      </c>
      <c r="D1223" s="734">
        <v>2</v>
      </c>
      <c r="E1223" s="739">
        <f>0.23+3.64+0.23+1.443+0.23+1.292+0.23</f>
        <v>7.3</v>
      </c>
      <c r="F1223" s="739">
        <v>0.23</v>
      </c>
      <c r="G1223" s="739">
        <v>0.35</v>
      </c>
      <c r="H1223" s="739">
        <f t="shared" si="111"/>
        <v>1.18</v>
      </c>
      <c r="I1223" s="736"/>
    </row>
    <row r="1224" spans="1:9" s="737" customFormat="1" ht="21.75" customHeight="1">
      <c r="A1224" s="738"/>
      <c r="B1224" s="740" t="s">
        <v>5821</v>
      </c>
      <c r="C1224" s="734">
        <v>1</v>
      </c>
      <c r="D1224" s="734">
        <v>2</v>
      </c>
      <c r="E1224" s="739">
        <f>0.23+3.64+0.23+3.63+0.23</f>
        <v>7.96</v>
      </c>
      <c r="F1224" s="739">
        <v>0.23</v>
      </c>
      <c r="G1224" s="739">
        <v>0.35</v>
      </c>
      <c r="H1224" s="739">
        <f t="shared" si="111"/>
        <v>1.28</v>
      </c>
      <c r="I1224" s="736"/>
    </row>
    <row r="1225" spans="1:9" s="737" customFormat="1" ht="21.75" customHeight="1">
      <c r="A1225" s="738"/>
      <c r="B1225" s="740" t="s">
        <v>5822</v>
      </c>
      <c r="C1225" s="734">
        <v>1</v>
      </c>
      <c r="D1225" s="734">
        <v>1</v>
      </c>
      <c r="E1225" s="739">
        <f>0.23+1.592+0.23+1.177+0.23+1.442+0.23+1.177+0.23</f>
        <v>6.54</v>
      </c>
      <c r="F1225" s="739">
        <v>0.23</v>
      </c>
      <c r="G1225" s="739">
        <v>0.35</v>
      </c>
      <c r="H1225" s="739">
        <f t="shared" si="111"/>
        <v>0.53</v>
      </c>
      <c r="I1225" s="736"/>
    </row>
    <row r="1226" spans="1:9" s="737" customFormat="1" ht="21.75" customHeight="1">
      <c r="A1226" s="738"/>
      <c r="B1226" s="740" t="s">
        <v>5823</v>
      </c>
      <c r="C1226" s="734">
        <v>1</v>
      </c>
      <c r="D1226" s="734">
        <v>1</v>
      </c>
      <c r="E1226" s="739">
        <v>1.18</v>
      </c>
      <c r="F1226" s="739">
        <v>0.23</v>
      </c>
      <c r="G1226" s="739">
        <v>0.23</v>
      </c>
      <c r="H1226" s="739">
        <f t="shared" si="111"/>
        <v>0.06</v>
      </c>
      <c r="I1226" s="736"/>
    </row>
    <row r="1227" spans="1:9" s="737" customFormat="1" ht="21.75" customHeight="1">
      <c r="A1227" s="738"/>
      <c r="B1227" s="740" t="s">
        <v>5824</v>
      </c>
      <c r="C1227" s="734">
        <v>1</v>
      </c>
      <c r="D1227" s="734">
        <v>1</v>
      </c>
      <c r="E1227" s="739">
        <v>1.44</v>
      </c>
      <c r="F1227" s="739">
        <v>0.23</v>
      </c>
      <c r="G1227" s="739">
        <v>0.23</v>
      </c>
      <c r="H1227" s="739">
        <f t="shared" si="111"/>
        <v>0.08</v>
      </c>
      <c r="I1227" s="736"/>
    </row>
    <row r="1228" spans="1:9" s="737" customFormat="1">
      <c r="A1228" s="738"/>
      <c r="B1228" s="740" t="s">
        <v>5825</v>
      </c>
      <c r="C1228" s="734">
        <v>1</v>
      </c>
      <c r="D1228" s="734">
        <v>1</v>
      </c>
      <c r="E1228" s="739">
        <f>1.292+0.23+1.443</f>
        <v>2.97</v>
      </c>
      <c r="F1228" s="739">
        <v>0.23</v>
      </c>
      <c r="G1228" s="739">
        <v>0.3</v>
      </c>
      <c r="H1228" s="739">
        <f t="shared" si="111"/>
        <v>0.2</v>
      </c>
      <c r="I1228" s="736"/>
    </row>
    <row r="1229" spans="1:9" s="737" customFormat="1">
      <c r="A1229" s="738"/>
      <c r="B1229" s="735" t="s">
        <v>6216</v>
      </c>
      <c r="C1229" s="734"/>
      <c r="D1229" s="734"/>
      <c r="E1229" s="739"/>
      <c r="F1229" s="739"/>
      <c r="G1229" s="739"/>
      <c r="H1229" s="739"/>
      <c r="I1229" s="736"/>
    </row>
    <row r="1230" spans="1:9" s="737" customFormat="1">
      <c r="A1230" s="738"/>
      <c r="B1230" s="735" t="s">
        <v>5800</v>
      </c>
      <c r="C1230" s="734">
        <v>1</v>
      </c>
      <c r="D1230" s="734">
        <v>3</v>
      </c>
      <c r="E1230" s="739">
        <v>0.38</v>
      </c>
      <c r="F1230" s="739">
        <v>0.23</v>
      </c>
      <c r="G1230" s="739">
        <v>0.85</v>
      </c>
      <c r="H1230" s="739">
        <f>PRODUCT(C1230:G1230)</f>
        <v>0.22</v>
      </c>
      <c r="I1230" s="736"/>
    </row>
    <row r="1231" spans="1:9" s="737" customFormat="1">
      <c r="A1231" s="738"/>
      <c r="B1231" s="735" t="s">
        <v>5801</v>
      </c>
      <c r="C1231" s="734">
        <v>1</v>
      </c>
      <c r="D1231" s="734">
        <v>7</v>
      </c>
      <c r="E1231" s="739">
        <v>0.38</v>
      </c>
      <c r="F1231" s="739">
        <v>0.23</v>
      </c>
      <c r="G1231" s="739">
        <v>0.85</v>
      </c>
      <c r="H1231" s="739">
        <f t="shared" ref="H1231:H1235" si="112">PRODUCT(C1231:G1231)</f>
        <v>0.52</v>
      </c>
      <c r="I1231" s="736"/>
    </row>
    <row r="1232" spans="1:9" s="737" customFormat="1">
      <c r="A1232" s="738"/>
      <c r="B1232" s="735" t="s">
        <v>5802</v>
      </c>
      <c r="C1232" s="734">
        <v>1</v>
      </c>
      <c r="D1232" s="734">
        <v>4</v>
      </c>
      <c r="E1232" s="739">
        <v>0.38</v>
      </c>
      <c r="F1232" s="739">
        <v>0.23</v>
      </c>
      <c r="G1232" s="739">
        <v>0.85</v>
      </c>
      <c r="H1232" s="739">
        <f t="shared" si="112"/>
        <v>0.3</v>
      </c>
      <c r="I1232" s="736"/>
    </row>
    <row r="1233" spans="1:9" s="737" customFormat="1">
      <c r="A1233" s="738"/>
      <c r="B1233" s="735" t="s">
        <v>5803</v>
      </c>
      <c r="C1233" s="734">
        <v>1</v>
      </c>
      <c r="D1233" s="734">
        <v>4</v>
      </c>
      <c r="E1233" s="739">
        <v>0.38</v>
      </c>
      <c r="F1233" s="739">
        <v>0.23</v>
      </c>
      <c r="G1233" s="739">
        <v>0.85</v>
      </c>
      <c r="H1233" s="739">
        <f t="shared" si="112"/>
        <v>0.3</v>
      </c>
      <c r="I1233" s="736"/>
    </row>
    <row r="1234" spans="1:9" s="737" customFormat="1">
      <c r="A1234" s="738"/>
      <c r="B1234" s="735" t="s">
        <v>5804</v>
      </c>
      <c r="C1234" s="734">
        <v>1</v>
      </c>
      <c r="D1234" s="734">
        <v>3</v>
      </c>
      <c r="E1234" s="739">
        <v>0.3</v>
      </c>
      <c r="F1234" s="739">
        <v>0.23</v>
      </c>
      <c r="G1234" s="739">
        <v>0.85</v>
      </c>
      <c r="H1234" s="739">
        <f t="shared" si="112"/>
        <v>0.18</v>
      </c>
      <c r="I1234" s="736"/>
    </row>
    <row r="1235" spans="1:9" s="737" customFormat="1">
      <c r="A1235" s="738"/>
      <c r="B1235" s="735" t="s">
        <v>5805</v>
      </c>
      <c r="C1235" s="734">
        <v>1</v>
      </c>
      <c r="D1235" s="734">
        <v>1</v>
      </c>
      <c r="E1235" s="739">
        <v>0.38</v>
      </c>
      <c r="F1235" s="739">
        <v>0.23</v>
      </c>
      <c r="G1235" s="739">
        <v>0.85</v>
      </c>
      <c r="H1235" s="739">
        <f t="shared" si="112"/>
        <v>7.0000000000000007E-2</v>
      </c>
      <c r="I1235" s="736"/>
    </row>
    <row r="1236" spans="1:9" s="737" customFormat="1">
      <c r="A1236" s="738"/>
      <c r="B1236" s="735" t="s">
        <v>6217</v>
      </c>
      <c r="C1236" s="734"/>
      <c r="D1236" s="734"/>
      <c r="E1236" s="739"/>
      <c r="F1236" s="739"/>
      <c r="G1236" s="739"/>
      <c r="H1236" s="739"/>
      <c r="I1236" s="736"/>
    </row>
    <row r="1237" spans="1:9" s="737" customFormat="1" ht="20.25" customHeight="1">
      <c r="A1237" s="738"/>
      <c r="B1237" s="740" t="s">
        <v>6218</v>
      </c>
      <c r="C1237" s="734">
        <v>1</v>
      </c>
      <c r="D1237" s="734">
        <v>2</v>
      </c>
      <c r="E1237" s="739">
        <f>3.6</f>
        <v>3.6</v>
      </c>
      <c r="F1237" s="739">
        <v>0.23</v>
      </c>
      <c r="G1237" s="739">
        <v>0.15</v>
      </c>
      <c r="H1237" s="739">
        <f t="shared" ref="H1237:H1244" si="113">PRODUCT(C1237:G1237)</f>
        <v>0.25</v>
      </c>
      <c r="I1237" s="736"/>
    </row>
    <row r="1238" spans="1:9" s="737" customFormat="1" ht="20.25" customHeight="1">
      <c r="A1238" s="738"/>
      <c r="B1238" s="740" t="s">
        <v>6219</v>
      </c>
      <c r="C1238" s="734">
        <v>1</v>
      </c>
      <c r="D1238" s="734">
        <v>1</v>
      </c>
      <c r="E1238" s="739">
        <f>2.18+0.23</f>
        <v>2.41</v>
      </c>
      <c r="F1238" s="739">
        <v>0.23</v>
      </c>
      <c r="G1238" s="739">
        <v>0.15</v>
      </c>
      <c r="H1238" s="739">
        <f t="shared" si="113"/>
        <v>0.08</v>
      </c>
      <c r="I1238" s="736"/>
    </row>
    <row r="1239" spans="1:9" s="737" customFormat="1" ht="22.5" customHeight="1">
      <c r="A1239" s="738"/>
      <c r="B1239" s="735" t="s">
        <v>6220</v>
      </c>
      <c r="C1239" s="734">
        <v>1</v>
      </c>
      <c r="D1239" s="734">
        <v>3</v>
      </c>
      <c r="E1239" s="739">
        <f>3.6</f>
        <v>3.6</v>
      </c>
      <c r="F1239" s="739">
        <v>0.23</v>
      </c>
      <c r="G1239" s="739">
        <v>0.15</v>
      </c>
      <c r="H1239" s="739">
        <f t="shared" si="113"/>
        <v>0.37</v>
      </c>
      <c r="I1239" s="736"/>
    </row>
    <row r="1240" spans="1:9" s="737" customFormat="1" ht="21.75" customHeight="1">
      <c r="A1240" s="738"/>
      <c r="B1240" s="740" t="s">
        <v>6221</v>
      </c>
      <c r="C1240" s="734">
        <v>1</v>
      </c>
      <c r="D1240" s="734">
        <v>5</v>
      </c>
      <c r="E1240" s="739">
        <f>3.52</f>
        <v>3.52</v>
      </c>
      <c r="F1240" s="739">
        <v>0.23</v>
      </c>
      <c r="G1240" s="739">
        <v>0.15</v>
      </c>
      <c r="H1240" s="739">
        <f t="shared" si="113"/>
        <v>0.61</v>
      </c>
      <c r="I1240" s="736"/>
    </row>
    <row r="1241" spans="1:9" s="737" customFormat="1" ht="21.75" customHeight="1">
      <c r="A1241" s="738"/>
      <c r="B1241" s="740" t="s">
        <v>6222</v>
      </c>
      <c r="C1241" s="734">
        <v>1</v>
      </c>
      <c r="D1241" s="734">
        <v>4</v>
      </c>
      <c r="E1241" s="739">
        <f>2.78</f>
        <v>2.78</v>
      </c>
      <c r="F1241" s="739">
        <v>0.23</v>
      </c>
      <c r="G1241" s="739">
        <v>0.15</v>
      </c>
      <c r="H1241" s="739">
        <f t="shared" si="113"/>
        <v>0.38</v>
      </c>
      <c r="I1241" s="736"/>
    </row>
    <row r="1242" spans="1:9" s="737" customFormat="1" ht="21.75" customHeight="1">
      <c r="A1242" s="738"/>
      <c r="B1242" s="740" t="s">
        <v>6223</v>
      </c>
      <c r="C1242" s="734">
        <v>1</v>
      </c>
      <c r="D1242" s="734">
        <v>4</v>
      </c>
      <c r="E1242" s="739">
        <f>2.4</f>
        <v>2.4</v>
      </c>
      <c r="F1242" s="739">
        <v>0.23</v>
      </c>
      <c r="G1242" s="739">
        <v>0.15</v>
      </c>
      <c r="H1242" s="739">
        <f t="shared" si="113"/>
        <v>0.33</v>
      </c>
      <c r="I1242" s="736"/>
    </row>
    <row r="1243" spans="1:9" s="737" customFormat="1" ht="21.75" customHeight="1">
      <c r="A1243" s="738"/>
      <c r="B1243" s="740" t="s">
        <v>6224</v>
      </c>
      <c r="C1243" s="734">
        <v>1</v>
      </c>
      <c r="D1243" s="734">
        <v>1</v>
      </c>
      <c r="E1243" s="739">
        <f>3.52</f>
        <v>3.52</v>
      </c>
      <c r="F1243" s="739">
        <v>0.23</v>
      </c>
      <c r="G1243" s="739">
        <v>0.15</v>
      </c>
      <c r="H1243" s="739">
        <f t="shared" si="113"/>
        <v>0.12</v>
      </c>
      <c r="I1243" s="736"/>
    </row>
    <row r="1244" spans="1:9" s="737" customFormat="1" ht="21.75" customHeight="1">
      <c r="A1244" s="738"/>
      <c r="B1244" s="740" t="s">
        <v>6225</v>
      </c>
      <c r="C1244" s="734">
        <v>1</v>
      </c>
      <c r="D1244" s="734">
        <v>3</v>
      </c>
      <c r="E1244" s="739">
        <v>2.4</v>
      </c>
      <c r="F1244" s="739">
        <v>0.23</v>
      </c>
      <c r="G1244" s="739">
        <v>0.15</v>
      </c>
      <c r="H1244" s="739">
        <f t="shared" si="113"/>
        <v>0.25</v>
      </c>
      <c r="I1244" s="736"/>
    </row>
    <row r="1245" spans="1:9" s="737" customFormat="1">
      <c r="A1245" s="738"/>
      <c r="B1245" s="735" t="s">
        <v>6226</v>
      </c>
      <c r="C1245" s="734"/>
      <c r="D1245" s="734"/>
      <c r="E1245" s="739"/>
      <c r="F1245" s="739"/>
      <c r="G1245" s="739"/>
      <c r="H1245" s="739"/>
      <c r="I1245" s="736"/>
    </row>
    <row r="1246" spans="1:9" s="737" customFormat="1" ht="23.25" customHeight="1">
      <c r="A1246" s="738"/>
      <c r="B1246" s="735" t="s">
        <v>6227</v>
      </c>
      <c r="C1246" s="734">
        <v>1</v>
      </c>
      <c r="D1246" s="734">
        <v>2</v>
      </c>
      <c r="E1246" s="739">
        <f>4.92+0.23+0.52+0.23+0.23</f>
        <v>6.13</v>
      </c>
      <c r="F1246" s="739">
        <v>0.23</v>
      </c>
      <c r="G1246" s="739">
        <v>0.15</v>
      </c>
      <c r="H1246" s="739">
        <f t="shared" ref="H1246:H1256" si="114">PRODUCT(C1246:G1246)</f>
        <v>0.42</v>
      </c>
      <c r="I1246" s="736"/>
    </row>
    <row r="1247" spans="1:9" s="737" customFormat="1" ht="20.25" customHeight="1">
      <c r="A1247" s="738"/>
      <c r="B1247" s="740" t="s">
        <v>6228</v>
      </c>
      <c r="C1247" s="734">
        <v>1</v>
      </c>
      <c r="D1247" s="734">
        <v>2</v>
      </c>
      <c r="E1247" s="739">
        <f>3.485+0.46</f>
        <v>3.95</v>
      </c>
      <c r="F1247" s="739">
        <v>0.23</v>
      </c>
      <c r="G1247" s="739">
        <v>0.15</v>
      </c>
      <c r="H1247" s="739">
        <f t="shared" si="114"/>
        <v>0.27</v>
      </c>
      <c r="I1247" s="736"/>
    </row>
    <row r="1248" spans="1:9" s="737" customFormat="1" ht="20.25" customHeight="1">
      <c r="A1248" s="738"/>
      <c r="B1248" s="740" t="s">
        <v>6229</v>
      </c>
      <c r="C1248" s="734">
        <v>1</v>
      </c>
      <c r="D1248" s="734">
        <v>1</v>
      </c>
      <c r="E1248" s="739">
        <v>1.2</v>
      </c>
      <c r="F1248" s="739">
        <v>0.23</v>
      </c>
      <c r="G1248" s="739">
        <v>0.15</v>
      </c>
      <c r="H1248" s="739">
        <f t="shared" si="114"/>
        <v>0.04</v>
      </c>
      <c r="I1248" s="736"/>
    </row>
    <row r="1249" spans="1:9" s="737" customFormat="1" ht="20.25" customHeight="1">
      <c r="A1249" s="738"/>
      <c r="B1249" s="740" t="s">
        <v>5848</v>
      </c>
      <c r="C1249" s="734">
        <v>1</v>
      </c>
      <c r="D1249" s="734">
        <v>1</v>
      </c>
      <c r="E1249" s="739">
        <f>4.25+0.23+0.75+0.23</f>
        <v>5.46</v>
      </c>
      <c r="F1249" s="739">
        <v>0.23</v>
      </c>
      <c r="G1249" s="739">
        <v>0.15</v>
      </c>
      <c r="H1249" s="739">
        <f t="shared" si="114"/>
        <v>0.19</v>
      </c>
      <c r="I1249" s="736"/>
    </row>
    <row r="1250" spans="1:9" s="737" customFormat="1" ht="20.25" customHeight="1">
      <c r="A1250" s="738"/>
      <c r="B1250" s="740" t="s">
        <v>6230</v>
      </c>
      <c r="C1250" s="734">
        <v>1</v>
      </c>
      <c r="D1250" s="734">
        <v>1</v>
      </c>
      <c r="E1250" s="739">
        <f>2.18+0.23</f>
        <v>2.41</v>
      </c>
      <c r="F1250" s="739">
        <v>0.23</v>
      </c>
      <c r="G1250" s="739">
        <v>0.15</v>
      </c>
      <c r="H1250" s="739">
        <f t="shared" si="114"/>
        <v>0.08</v>
      </c>
      <c r="I1250" s="736"/>
    </row>
    <row r="1251" spans="1:9" s="737" customFormat="1" ht="21.75" customHeight="1">
      <c r="A1251" s="738"/>
      <c r="B1251" s="740" t="s">
        <v>6231</v>
      </c>
      <c r="C1251" s="734">
        <v>1</v>
      </c>
      <c r="D1251" s="734">
        <v>2</v>
      </c>
      <c r="E1251" s="739">
        <f>0.23+3.64+0.23+1.443+0.23+1.292+0.23</f>
        <v>7.3</v>
      </c>
      <c r="F1251" s="739">
        <v>0.23</v>
      </c>
      <c r="G1251" s="739">
        <v>0.15</v>
      </c>
      <c r="H1251" s="739">
        <f t="shared" si="114"/>
        <v>0.5</v>
      </c>
      <c r="I1251" s="736"/>
    </row>
    <row r="1252" spans="1:9" s="737" customFormat="1" ht="21.75" customHeight="1">
      <c r="A1252" s="738"/>
      <c r="B1252" s="740" t="s">
        <v>6232</v>
      </c>
      <c r="C1252" s="734">
        <v>1</v>
      </c>
      <c r="D1252" s="734">
        <v>2</v>
      </c>
      <c r="E1252" s="739">
        <f>0.23+3.64+0.23+3.63+0.23</f>
        <v>7.96</v>
      </c>
      <c r="F1252" s="739">
        <v>0.23</v>
      </c>
      <c r="G1252" s="739">
        <v>0.15</v>
      </c>
      <c r="H1252" s="739">
        <f t="shared" si="114"/>
        <v>0.55000000000000004</v>
      </c>
      <c r="I1252" s="736"/>
    </row>
    <row r="1253" spans="1:9" s="737" customFormat="1" ht="21.75" customHeight="1">
      <c r="A1253" s="738"/>
      <c r="B1253" s="740" t="s">
        <v>6233</v>
      </c>
      <c r="C1253" s="734">
        <v>1</v>
      </c>
      <c r="D1253" s="734">
        <v>1</v>
      </c>
      <c r="E1253" s="739">
        <f>0.23+1.592+0.23+1.177+0.23+1.442+0.23+1.177+0.23</f>
        <v>6.54</v>
      </c>
      <c r="F1253" s="739">
        <v>0.23</v>
      </c>
      <c r="G1253" s="739">
        <v>0.15</v>
      </c>
      <c r="H1253" s="739">
        <f t="shared" si="114"/>
        <v>0.23</v>
      </c>
      <c r="I1253" s="736"/>
    </row>
    <row r="1254" spans="1:9" s="737" customFormat="1" ht="21.75" customHeight="1">
      <c r="A1254" s="738"/>
      <c r="B1254" s="740" t="s">
        <v>6234</v>
      </c>
      <c r="C1254" s="734">
        <v>1</v>
      </c>
      <c r="D1254" s="734">
        <v>1</v>
      </c>
      <c r="E1254" s="739">
        <v>1.18</v>
      </c>
      <c r="F1254" s="739">
        <v>0.23</v>
      </c>
      <c r="G1254" s="739">
        <v>0.15</v>
      </c>
      <c r="H1254" s="739">
        <f t="shared" si="114"/>
        <v>0.04</v>
      </c>
      <c r="I1254" s="736"/>
    </row>
    <row r="1255" spans="1:9" s="737" customFormat="1" ht="21.75" customHeight="1">
      <c r="A1255" s="738"/>
      <c r="B1255" s="740" t="s">
        <v>6235</v>
      </c>
      <c r="C1255" s="734">
        <v>1</v>
      </c>
      <c r="D1255" s="734">
        <v>1</v>
      </c>
      <c r="E1255" s="739">
        <v>1.44</v>
      </c>
      <c r="F1255" s="739">
        <v>0.23</v>
      </c>
      <c r="G1255" s="739">
        <v>0.15</v>
      </c>
      <c r="H1255" s="739">
        <f t="shared" si="114"/>
        <v>0.05</v>
      </c>
      <c r="I1255" s="736"/>
    </row>
    <row r="1256" spans="1:9" s="737" customFormat="1">
      <c r="A1256" s="738"/>
      <c r="B1256" s="740" t="s">
        <v>6236</v>
      </c>
      <c r="C1256" s="734">
        <v>1</v>
      </c>
      <c r="D1256" s="734">
        <v>1</v>
      </c>
      <c r="E1256" s="739">
        <f>1.292+0.23+1.443</f>
        <v>2.97</v>
      </c>
      <c r="F1256" s="739">
        <v>0.23</v>
      </c>
      <c r="G1256" s="739">
        <v>0.15</v>
      </c>
      <c r="H1256" s="739">
        <f t="shared" si="114"/>
        <v>0.1</v>
      </c>
      <c r="I1256" s="736"/>
    </row>
    <row r="1257" spans="1:9" s="737" customFormat="1">
      <c r="A1257" s="738"/>
      <c r="B1257" s="1187" t="s">
        <v>6962</v>
      </c>
      <c r="C1257" s="734"/>
      <c r="D1257" s="734"/>
      <c r="E1257" s="739"/>
      <c r="F1257" s="739"/>
      <c r="G1257" s="739"/>
      <c r="H1257" s="739"/>
      <c r="I1257" s="736"/>
    </row>
    <row r="1258" spans="1:9" s="737" customFormat="1">
      <c r="A1258" s="738"/>
      <c r="B1258" s="735" t="s">
        <v>5832</v>
      </c>
      <c r="C1258" s="734">
        <v>1</v>
      </c>
      <c r="D1258" s="734">
        <v>1</v>
      </c>
      <c r="E1258" s="739">
        <v>3.6</v>
      </c>
      <c r="F1258" s="739">
        <v>3.64</v>
      </c>
      <c r="G1258" s="739">
        <v>0.08</v>
      </c>
      <c r="H1258" s="739">
        <f>PRODUCT(C1258:G1258)</f>
        <v>1.05</v>
      </c>
      <c r="I1258" s="736"/>
    </row>
    <row r="1259" spans="1:9" s="737" customFormat="1">
      <c r="A1259" s="738"/>
      <c r="B1259" s="735" t="s">
        <v>5834</v>
      </c>
      <c r="C1259" s="734">
        <v>1</v>
      </c>
      <c r="D1259" s="734">
        <v>1</v>
      </c>
      <c r="E1259" s="739">
        <v>1.44</v>
      </c>
      <c r="F1259" s="739">
        <v>0.68</v>
      </c>
      <c r="G1259" s="739">
        <v>0.08</v>
      </c>
      <c r="H1259" s="739">
        <f t="shared" ref="H1259:H1272" si="115">PRODUCT(C1259:G1259)</f>
        <v>0.08</v>
      </c>
      <c r="I1259" s="736"/>
    </row>
    <row r="1260" spans="1:9" s="737" customFormat="1">
      <c r="A1260" s="738"/>
      <c r="B1260" s="735" t="s">
        <v>5835</v>
      </c>
      <c r="C1260" s="734">
        <v>1</v>
      </c>
      <c r="D1260" s="734">
        <v>1</v>
      </c>
      <c r="E1260" s="739">
        <v>1.44</v>
      </c>
      <c r="F1260" s="739">
        <v>1.06</v>
      </c>
      <c r="G1260" s="739">
        <v>0.08</v>
      </c>
      <c r="H1260" s="739">
        <f t="shared" si="115"/>
        <v>0.12</v>
      </c>
      <c r="I1260" s="736"/>
    </row>
    <row r="1261" spans="1:9" s="737" customFormat="1">
      <c r="A1261" s="738"/>
      <c r="B1261" s="735" t="s">
        <v>5835</v>
      </c>
      <c r="C1261" s="734">
        <v>1</v>
      </c>
      <c r="D1261" s="734">
        <v>1</v>
      </c>
      <c r="E1261" s="739">
        <v>1.29</v>
      </c>
      <c r="F1261" s="739">
        <f>0.68+0.23+1.058</f>
        <v>1.97</v>
      </c>
      <c r="G1261" s="739">
        <v>0.08</v>
      </c>
      <c r="H1261" s="739">
        <f t="shared" si="115"/>
        <v>0.2</v>
      </c>
      <c r="I1261" s="736"/>
    </row>
    <row r="1262" spans="1:9" s="737" customFormat="1">
      <c r="A1262" s="738"/>
      <c r="B1262" s="735" t="s">
        <v>5837</v>
      </c>
      <c r="C1262" s="734">
        <v>1</v>
      </c>
      <c r="D1262" s="734">
        <v>1</v>
      </c>
      <c r="E1262" s="739">
        <v>3.6</v>
      </c>
      <c r="F1262" s="739">
        <v>3.49</v>
      </c>
      <c r="G1262" s="739">
        <v>0.08</v>
      </c>
      <c r="H1262" s="739">
        <f t="shared" si="115"/>
        <v>1.01</v>
      </c>
      <c r="I1262" s="736"/>
    </row>
    <row r="1263" spans="1:9" s="737" customFormat="1">
      <c r="A1263" s="738"/>
      <c r="B1263" s="735" t="s">
        <v>5838</v>
      </c>
      <c r="C1263" s="734">
        <v>1</v>
      </c>
      <c r="D1263" s="734">
        <v>1</v>
      </c>
      <c r="E1263" s="739">
        <v>3.52</v>
      </c>
      <c r="F1263" s="739">
        <v>3.64</v>
      </c>
      <c r="G1263" s="739">
        <v>0.08</v>
      </c>
      <c r="H1263" s="739">
        <f t="shared" si="115"/>
        <v>1.03</v>
      </c>
      <c r="I1263" s="736"/>
    </row>
    <row r="1264" spans="1:9" s="737" customFormat="1">
      <c r="A1264" s="738"/>
      <c r="B1264" s="735" t="s">
        <v>5838</v>
      </c>
      <c r="C1264" s="734">
        <v>1</v>
      </c>
      <c r="D1264" s="734">
        <v>1</v>
      </c>
      <c r="E1264" s="739">
        <v>2.78</v>
      </c>
      <c r="F1264" s="739">
        <v>3.64</v>
      </c>
      <c r="G1264" s="739">
        <v>0.08</v>
      </c>
      <c r="H1264" s="739">
        <f t="shared" si="115"/>
        <v>0.81</v>
      </c>
      <c r="I1264" s="736"/>
    </row>
    <row r="1265" spans="1:9" s="737" customFormat="1">
      <c r="A1265" s="738"/>
      <c r="B1265" s="735" t="s">
        <v>5838</v>
      </c>
      <c r="C1265" s="734">
        <v>1</v>
      </c>
      <c r="D1265" s="734">
        <v>1</v>
      </c>
      <c r="E1265" s="739">
        <v>3.52</v>
      </c>
      <c r="F1265" s="739">
        <v>3.63</v>
      </c>
      <c r="G1265" s="739">
        <v>0.08</v>
      </c>
      <c r="H1265" s="739">
        <f t="shared" si="115"/>
        <v>1.02</v>
      </c>
      <c r="I1265" s="736"/>
    </row>
    <row r="1266" spans="1:9" s="737" customFormat="1">
      <c r="A1266" s="738"/>
      <c r="B1266" s="735" t="s">
        <v>5838</v>
      </c>
      <c r="C1266" s="734">
        <v>1</v>
      </c>
      <c r="D1266" s="734">
        <v>1</v>
      </c>
      <c r="E1266" s="739">
        <v>2.78</v>
      </c>
      <c r="F1266" s="739">
        <v>3.63</v>
      </c>
      <c r="G1266" s="739">
        <v>0.08</v>
      </c>
      <c r="H1266" s="739">
        <f t="shared" si="115"/>
        <v>0.81</v>
      </c>
      <c r="I1266" s="736"/>
    </row>
    <row r="1267" spans="1:9" s="737" customFormat="1">
      <c r="A1267" s="738"/>
      <c r="B1267" s="735" t="s">
        <v>5838</v>
      </c>
      <c r="C1267" s="734">
        <v>1</v>
      </c>
      <c r="D1267" s="734">
        <v>1</v>
      </c>
      <c r="E1267" s="739">
        <v>3.52</v>
      </c>
      <c r="F1267" s="739">
        <v>1.35</v>
      </c>
      <c r="G1267" s="739">
        <v>0.08</v>
      </c>
      <c r="H1267" s="739">
        <f t="shared" si="115"/>
        <v>0.38</v>
      </c>
      <c r="I1267" s="736"/>
    </row>
    <row r="1268" spans="1:9" s="737" customFormat="1">
      <c r="A1268" s="738"/>
      <c r="B1268" s="735" t="s">
        <v>5839</v>
      </c>
      <c r="C1268" s="734">
        <v>1</v>
      </c>
      <c r="D1268" s="734">
        <v>1</v>
      </c>
      <c r="E1268" s="739">
        <v>3.52</v>
      </c>
      <c r="F1268" s="739">
        <f>1.24+1.95+0.23</f>
        <v>3.42</v>
      </c>
      <c r="G1268" s="739">
        <v>0.08</v>
      </c>
      <c r="H1268" s="739">
        <f t="shared" si="115"/>
        <v>0.96</v>
      </c>
      <c r="I1268" s="736"/>
    </row>
    <row r="1269" spans="1:9" s="737" customFormat="1">
      <c r="A1269" s="738"/>
      <c r="B1269" s="735" t="s">
        <v>5840</v>
      </c>
      <c r="C1269" s="734">
        <v>1</v>
      </c>
      <c r="D1269" s="734">
        <v>1</v>
      </c>
      <c r="E1269" s="739">
        <v>2.78</v>
      </c>
      <c r="F1269" s="739">
        <v>4.25</v>
      </c>
      <c r="G1269" s="739">
        <v>0.08</v>
      </c>
      <c r="H1269" s="739">
        <f t="shared" si="115"/>
        <v>0.95</v>
      </c>
      <c r="I1269" s="736"/>
    </row>
    <row r="1270" spans="1:9" s="737" customFormat="1">
      <c r="A1270" s="738"/>
      <c r="B1270" s="735" t="s">
        <v>5841</v>
      </c>
      <c r="C1270" s="734">
        <v>1</v>
      </c>
      <c r="D1270" s="734">
        <v>1</v>
      </c>
      <c r="E1270" s="739">
        <v>2.4</v>
      </c>
      <c r="F1270" s="739">
        <f>4.92+0.23+0.52</f>
        <v>5.67</v>
      </c>
      <c r="G1270" s="739">
        <v>0.08</v>
      </c>
      <c r="H1270" s="739">
        <f t="shared" si="115"/>
        <v>1.0900000000000001</v>
      </c>
      <c r="I1270" s="736"/>
    </row>
    <row r="1271" spans="1:9" s="737" customFormat="1">
      <c r="A1271" s="738"/>
      <c r="B1271" s="735" t="s">
        <v>5842</v>
      </c>
      <c r="C1271" s="734">
        <v>1</v>
      </c>
      <c r="D1271" s="734">
        <v>1</v>
      </c>
      <c r="E1271" s="739">
        <v>2.4</v>
      </c>
      <c r="F1271" s="739">
        <f>1.177+1.442+0.23</f>
        <v>2.85</v>
      </c>
      <c r="G1271" s="739">
        <v>0.08</v>
      </c>
      <c r="H1271" s="739">
        <f t="shared" si="115"/>
        <v>0.55000000000000004</v>
      </c>
      <c r="I1271" s="736"/>
    </row>
    <row r="1272" spans="1:9" s="737" customFormat="1">
      <c r="A1272" s="738"/>
      <c r="B1272" s="735" t="s">
        <v>5843</v>
      </c>
      <c r="C1272" s="734">
        <v>1</v>
      </c>
      <c r="D1272" s="734">
        <v>1</v>
      </c>
      <c r="E1272" s="739">
        <v>2.4</v>
      </c>
      <c r="F1272" s="739">
        <f>1.177+0.23+1.592</f>
        <v>3</v>
      </c>
      <c r="G1272" s="739">
        <v>0.08</v>
      </c>
      <c r="H1272" s="739">
        <f t="shared" si="115"/>
        <v>0.57999999999999996</v>
      </c>
      <c r="I1272" s="736"/>
    </row>
    <row r="1273" spans="1:9" s="737" customFormat="1">
      <c r="A1273" s="738"/>
      <c r="B1273" s="735"/>
      <c r="C1273" s="734"/>
      <c r="D1273" s="734"/>
      <c r="E1273" s="739"/>
      <c r="F1273" s="739"/>
      <c r="G1273" s="739"/>
      <c r="H1273" s="742">
        <f>SUM(H1195:H1272)</f>
        <v>58.35</v>
      </c>
      <c r="I1273" s="736"/>
    </row>
    <row r="1274" spans="1:9" s="737" customFormat="1">
      <c r="A1274" s="738"/>
      <c r="B1274" s="735"/>
      <c r="C1274" s="734"/>
      <c r="D1274" s="734"/>
      <c r="E1274" s="739"/>
      <c r="F1274" s="739"/>
      <c r="G1274" s="742" t="s">
        <v>4209</v>
      </c>
      <c r="H1274" s="742">
        <f>ROUNDUP(H1273,1)</f>
        <v>58.4</v>
      </c>
      <c r="I1274" s="736" t="s">
        <v>2142</v>
      </c>
    </row>
    <row r="1275" spans="1:9" s="737" customFormat="1">
      <c r="A1275" s="732" t="s">
        <v>3182</v>
      </c>
      <c r="B1275" s="735" t="s">
        <v>6237</v>
      </c>
      <c r="C1275" s="734"/>
      <c r="D1275" s="734"/>
      <c r="E1275" s="739"/>
      <c r="F1275" s="739"/>
      <c r="G1275" s="739"/>
      <c r="H1275" s="739"/>
      <c r="I1275" s="736"/>
    </row>
    <row r="1276" spans="1:9" s="737" customFormat="1">
      <c r="A1276" s="738"/>
      <c r="B1276" s="735" t="s">
        <v>6238</v>
      </c>
      <c r="C1276" s="734"/>
      <c r="D1276" s="734"/>
      <c r="E1276" s="739"/>
      <c r="F1276" s="739"/>
      <c r="G1276" s="739"/>
      <c r="H1276" s="739"/>
      <c r="I1276" s="736"/>
    </row>
    <row r="1277" spans="1:9" s="737" customFormat="1">
      <c r="A1277" s="738"/>
      <c r="B1277" s="735" t="s">
        <v>5800</v>
      </c>
      <c r="C1277" s="734">
        <v>1</v>
      </c>
      <c r="D1277" s="734">
        <v>3</v>
      </c>
      <c r="E1277" s="739">
        <v>0.38</v>
      </c>
      <c r="F1277" s="739">
        <v>0.23</v>
      </c>
      <c r="G1277" s="739">
        <f>3.3-0.35</f>
        <v>2.95</v>
      </c>
      <c r="H1277" s="739">
        <f>PRODUCT(C1277:G1277)</f>
        <v>0.77</v>
      </c>
      <c r="I1277" s="736"/>
    </row>
    <row r="1278" spans="1:9" s="737" customFormat="1">
      <c r="A1278" s="738"/>
      <c r="B1278" s="735" t="s">
        <v>5801</v>
      </c>
      <c r="C1278" s="734">
        <v>1</v>
      </c>
      <c r="D1278" s="734">
        <v>7</v>
      </c>
      <c r="E1278" s="739">
        <v>0.38</v>
      </c>
      <c r="F1278" s="739">
        <v>0.23</v>
      </c>
      <c r="G1278" s="739">
        <f t="shared" ref="G1278:G1282" si="116">3.3-0.35</f>
        <v>2.95</v>
      </c>
      <c r="H1278" s="739">
        <f t="shared" ref="H1278:H1327" si="117">PRODUCT(C1278:G1278)</f>
        <v>1.8</v>
      </c>
      <c r="I1278" s="736"/>
    </row>
    <row r="1279" spans="1:9" s="737" customFormat="1">
      <c r="A1279" s="738"/>
      <c r="B1279" s="735" t="s">
        <v>5802</v>
      </c>
      <c r="C1279" s="734">
        <v>1</v>
      </c>
      <c r="D1279" s="734">
        <v>4</v>
      </c>
      <c r="E1279" s="739">
        <v>0.38</v>
      </c>
      <c r="F1279" s="739">
        <v>0.23</v>
      </c>
      <c r="G1279" s="739">
        <f t="shared" si="116"/>
        <v>2.95</v>
      </c>
      <c r="H1279" s="739">
        <f t="shared" si="117"/>
        <v>1.03</v>
      </c>
      <c r="I1279" s="736"/>
    </row>
    <row r="1280" spans="1:9" s="737" customFormat="1">
      <c r="A1280" s="738"/>
      <c r="B1280" s="735" t="s">
        <v>5803</v>
      </c>
      <c r="C1280" s="734">
        <v>1</v>
      </c>
      <c r="D1280" s="734">
        <v>4</v>
      </c>
      <c r="E1280" s="739">
        <v>0.38</v>
      </c>
      <c r="F1280" s="739">
        <v>0.23</v>
      </c>
      <c r="G1280" s="739">
        <f t="shared" si="116"/>
        <v>2.95</v>
      </c>
      <c r="H1280" s="739">
        <f t="shared" si="117"/>
        <v>1.03</v>
      </c>
      <c r="I1280" s="736"/>
    </row>
    <row r="1281" spans="1:9" s="737" customFormat="1">
      <c r="A1281" s="738"/>
      <c r="B1281" s="735" t="s">
        <v>5804</v>
      </c>
      <c r="C1281" s="734">
        <v>1</v>
      </c>
      <c r="D1281" s="734">
        <v>1</v>
      </c>
      <c r="E1281" s="739">
        <v>0.3</v>
      </c>
      <c r="F1281" s="739">
        <v>0.23</v>
      </c>
      <c r="G1281" s="739">
        <f t="shared" si="116"/>
        <v>2.95</v>
      </c>
      <c r="H1281" s="739">
        <f t="shared" si="117"/>
        <v>0.2</v>
      </c>
      <c r="I1281" s="736"/>
    </row>
    <row r="1282" spans="1:9" s="737" customFormat="1">
      <c r="A1282" s="738"/>
      <c r="B1282" s="735" t="s">
        <v>5805</v>
      </c>
      <c r="C1282" s="734">
        <v>1</v>
      </c>
      <c r="D1282" s="734">
        <v>1</v>
      </c>
      <c r="E1282" s="739">
        <v>0.38</v>
      </c>
      <c r="F1282" s="739">
        <v>0.23</v>
      </c>
      <c r="G1282" s="739">
        <f t="shared" si="116"/>
        <v>2.95</v>
      </c>
      <c r="H1282" s="739">
        <f t="shared" si="117"/>
        <v>0.26</v>
      </c>
      <c r="I1282" s="736"/>
    </row>
    <row r="1283" spans="1:9" s="737" customFormat="1">
      <c r="A1283" s="738"/>
      <c r="B1283" s="735" t="s">
        <v>6239</v>
      </c>
      <c r="C1283" s="734">
        <v>1</v>
      </c>
      <c r="D1283" s="734">
        <v>1</v>
      </c>
      <c r="E1283" s="739">
        <f>2.86</f>
        <v>2.86</v>
      </c>
      <c r="F1283" s="739">
        <v>0.23</v>
      </c>
      <c r="G1283" s="739">
        <v>0.4</v>
      </c>
      <c r="H1283" s="739">
        <f t="shared" si="117"/>
        <v>0.26</v>
      </c>
      <c r="I1283" s="736"/>
    </row>
    <row r="1284" spans="1:9" s="737" customFormat="1">
      <c r="A1284" s="738"/>
      <c r="B1284" s="735" t="s">
        <v>6240</v>
      </c>
      <c r="C1284" s="734">
        <v>1</v>
      </c>
      <c r="D1284" s="734">
        <v>1</v>
      </c>
      <c r="E1284" s="739">
        <v>5.2</v>
      </c>
      <c r="F1284" s="739">
        <v>0.23</v>
      </c>
      <c r="G1284" s="739">
        <v>0.4</v>
      </c>
      <c r="H1284" s="739">
        <f t="shared" si="117"/>
        <v>0.48</v>
      </c>
      <c r="I1284" s="736"/>
    </row>
    <row r="1285" spans="1:9" s="737" customFormat="1">
      <c r="A1285" s="738"/>
      <c r="B1285" s="735" t="s">
        <v>6241</v>
      </c>
      <c r="C1285" s="734">
        <v>1</v>
      </c>
      <c r="D1285" s="734">
        <v>1</v>
      </c>
      <c r="E1285" s="739">
        <v>2.4</v>
      </c>
      <c r="F1285" s="739">
        <v>1.2</v>
      </c>
      <c r="G1285" s="739">
        <v>0.15</v>
      </c>
      <c r="H1285" s="739">
        <f t="shared" si="117"/>
        <v>0.43</v>
      </c>
      <c r="I1285" s="736"/>
    </row>
    <row r="1286" spans="1:9" s="737" customFormat="1">
      <c r="A1286" s="738"/>
      <c r="B1286" s="735" t="s">
        <v>6242</v>
      </c>
      <c r="C1286" s="734">
        <v>1</v>
      </c>
      <c r="D1286" s="734">
        <v>1</v>
      </c>
      <c r="E1286" s="739">
        <v>2.4</v>
      </c>
      <c r="F1286" s="739">
        <f>1.62+0.23</f>
        <v>1.85</v>
      </c>
      <c r="G1286" s="739">
        <v>0.15</v>
      </c>
      <c r="H1286" s="739">
        <f t="shared" si="117"/>
        <v>0.67</v>
      </c>
      <c r="I1286" s="736"/>
    </row>
    <row r="1287" spans="1:9" s="737" customFormat="1">
      <c r="A1287" s="738"/>
      <c r="B1287" s="735" t="s">
        <v>6243</v>
      </c>
      <c r="C1287" s="734">
        <v>1</v>
      </c>
      <c r="D1287" s="734">
        <v>2</v>
      </c>
      <c r="E1287" s="739">
        <v>4</v>
      </c>
      <c r="F1287" s="739">
        <v>1.05</v>
      </c>
      <c r="G1287" s="739">
        <v>0.15</v>
      </c>
      <c r="H1287" s="739">
        <f t="shared" si="117"/>
        <v>1.26</v>
      </c>
      <c r="I1287" s="736"/>
    </row>
    <row r="1288" spans="1:9" s="737" customFormat="1">
      <c r="A1288" s="738"/>
      <c r="B1288" s="735" t="s">
        <v>6244</v>
      </c>
      <c r="C1288" s="734">
        <v>21</v>
      </c>
      <c r="D1288" s="734">
        <v>0.5</v>
      </c>
      <c r="E1288" s="739">
        <v>1.05</v>
      </c>
      <c r="F1288" s="739">
        <v>0.3</v>
      </c>
      <c r="G1288" s="739">
        <v>0.15</v>
      </c>
      <c r="H1288" s="739">
        <f t="shared" si="117"/>
        <v>0.5</v>
      </c>
      <c r="I1288" s="736"/>
    </row>
    <row r="1289" spans="1:9" s="737" customFormat="1">
      <c r="A1289" s="738"/>
      <c r="B1289" s="740" t="s">
        <v>6245</v>
      </c>
      <c r="C1289" s="734"/>
      <c r="D1289" s="734"/>
      <c r="E1289" s="739"/>
      <c r="F1289" s="739"/>
      <c r="G1289" s="739"/>
      <c r="H1289" s="739"/>
      <c r="I1289" s="736"/>
    </row>
    <row r="1290" spans="1:9" s="737" customFormat="1">
      <c r="A1290" s="738"/>
      <c r="B1290" s="740" t="s">
        <v>6246</v>
      </c>
      <c r="C1290" s="734">
        <v>1</v>
      </c>
      <c r="D1290" s="734">
        <v>1</v>
      </c>
      <c r="E1290" s="739">
        <v>9.6199999999999992</v>
      </c>
      <c r="F1290" s="739">
        <v>0.23</v>
      </c>
      <c r="G1290" s="739">
        <v>0.35</v>
      </c>
      <c r="H1290" s="739">
        <f t="shared" si="117"/>
        <v>0.77</v>
      </c>
      <c r="I1290" s="736"/>
    </row>
    <row r="1291" spans="1:9" s="737" customFormat="1">
      <c r="A1291" s="738"/>
      <c r="B1291" s="740" t="s">
        <v>6247</v>
      </c>
      <c r="C1291" s="734">
        <v>1</v>
      </c>
      <c r="D1291" s="734">
        <v>1</v>
      </c>
      <c r="E1291" s="739">
        <v>7.81</v>
      </c>
      <c r="F1291" s="739">
        <v>0.23</v>
      </c>
      <c r="G1291" s="739">
        <v>0.35</v>
      </c>
      <c r="H1291" s="739">
        <f t="shared" si="117"/>
        <v>0.63</v>
      </c>
      <c r="I1291" s="736"/>
    </row>
    <row r="1292" spans="1:9" s="737" customFormat="1">
      <c r="A1292" s="738"/>
      <c r="B1292" s="740" t="s">
        <v>6248</v>
      </c>
      <c r="C1292" s="734">
        <v>1</v>
      </c>
      <c r="D1292" s="734">
        <v>1</v>
      </c>
      <c r="E1292" s="739">
        <v>2.4</v>
      </c>
      <c r="F1292" s="739">
        <v>0.23</v>
      </c>
      <c r="G1292" s="739">
        <v>0.35</v>
      </c>
      <c r="H1292" s="739">
        <f t="shared" si="117"/>
        <v>0.19</v>
      </c>
      <c r="I1292" s="736"/>
    </row>
    <row r="1293" spans="1:9" s="737" customFormat="1">
      <c r="A1293" s="738"/>
      <c r="B1293" s="740" t="s">
        <v>6249</v>
      </c>
      <c r="C1293" s="734">
        <v>1</v>
      </c>
      <c r="D1293" s="734">
        <v>1</v>
      </c>
      <c r="E1293" s="739">
        <v>6.99</v>
      </c>
      <c r="F1293" s="739">
        <v>0.23</v>
      </c>
      <c r="G1293" s="739">
        <v>0.35</v>
      </c>
      <c r="H1293" s="739">
        <f t="shared" si="117"/>
        <v>0.56000000000000005</v>
      </c>
      <c r="I1293" s="736"/>
    </row>
    <row r="1294" spans="1:9" s="737" customFormat="1">
      <c r="A1294" s="738"/>
      <c r="B1294" s="740" t="s">
        <v>6250</v>
      </c>
      <c r="C1294" s="734">
        <v>1</v>
      </c>
      <c r="D1294" s="734">
        <v>1</v>
      </c>
      <c r="E1294" s="739">
        <v>4.0599999999999996</v>
      </c>
      <c r="F1294" s="739">
        <v>0.23</v>
      </c>
      <c r="G1294" s="739">
        <v>0.6</v>
      </c>
      <c r="H1294" s="739">
        <f t="shared" si="117"/>
        <v>0.56000000000000005</v>
      </c>
      <c r="I1294" s="736"/>
    </row>
    <row r="1295" spans="1:9" s="737" customFormat="1">
      <c r="A1295" s="738"/>
      <c r="B1295" s="740" t="s">
        <v>6251</v>
      </c>
      <c r="C1295" s="734">
        <v>1</v>
      </c>
      <c r="D1295" s="734">
        <v>1</v>
      </c>
      <c r="E1295" s="739">
        <v>2.4</v>
      </c>
      <c r="F1295" s="739">
        <v>0.23</v>
      </c>
      <c r="G1295" s="739">
        <v>0.23</v>
      </c>
      <c r="H1295" s="739">
        <f t="shared" si="117"/>
        <v>0.13</v>
      </c>
      <c r="I1295" s="736"/>
    </row>
    <row r="1296" spans="1:9" s="737" customFormat="1">
      <c r="A1296" s="738"/>
      <c r="B1296" s="740" t="s">
        <v>6252</v>
      </c>
      <c r="C1296" s="734">
        <v>1</v>
      </c>
      <c r="D1296" s="734">
        <v>1</v>
      </c>
      <c r="E1296" s="739">
        <v>13.45</v>
      </c>
      <c r="F1296" s="739">
        <v>0.23</v>
      </c>
      <c r="G1296" s="739">
        <v>0.45</v>
      </c>
      <c r="H1296" s="739">
        <f t="shared" si="117"/>
        <v>1.39</v>
      </c>
      <c r="I1296" s="736"/>
    </row>
    <row r="1297" spans="1:9" s="737" customFormat="1">
      <c r="A1297" s="738"/>
      <c r="B1297" s="740" t="s">
        <v>6253</v>
      </c>
      <c r="C1297" s="734">
        <v>-1</v>
      </c>
      <c r="D1297" s="734">
        <v>1</v>
      </c>
      <c r="E1297" s="739">
        <v>2.4</v>
      </c>
      <c r="F1297" s="739">
        <v>0.23</v>
      </c>
      <c r="G1297" s="739">
        <v>0.1</v>
      </c>
      <c r="H1297" s="739">
        <f t="shared" si="117"/>
        <v>-0.06</v>
      </c>
      <c r="I1297" s="736"/>
    </row>
    <row r="1298" spans="1:9" s="737" customFormat="1">
      <c r="A1298" s="738"/>
      <c r="B1298" s="740" t="s">
        <v>6254</v>
      </c>
      <c r="C1298" s="734">
        <v>1</v>
      </c>
      <c r="D1298" s="734">
        <v>1</v>
      </c>
      <c r="E1298" s="739">
        <v>13.45</v>
      </c>
      <c r="F1298" s="739">
        <v>0.23</v>
      </c>
      <c r="G1298" s="739">
        <v>0.35</v>
      </c>
      <c r="H1298" s="739">
        <f t="shared" si="117"/>
        <v>1.08</v>
      </c>
      <c r="I1298" s="736"/>
    </row>
    <row r="1299" spans="1:9" s="737" customFormat="1">
      <c r="A1299" s="738"/>
      <c r="B1299" s="740" t="s">
        <v>6253</v>
      </c>
      <c r="C1299" s="734">
        <v>-1</v>
      </c>
      <c r="D1299" s="734">
        <v>1</v>
      </c>
      <c r="E1299" s="739">
        <v>3.52</v>
      </c>
      <c r="F1299" s="739">
        <v>0.23</v>
      </c>
      <c r="G1299" s="739">
        <v>0.05</v>
      </c>
      <c r="H1299" s="739">
        <f t="shared" si="117"/>
        <v>-0.04</v>
      </c>
      <c r="I1299" s="736"/>
    </row>
    <row r="1300" spans="1:9" s="737" customFormat="1">
      <c r="A1300" s="738"/>
      <c r="B1300" s="740" t="s">
        <v>6253</v>
      </c>
      <c r="C1300" s="734">
        <v>-1</v>
      </c>
      <c r="D1300" s="734">
        <v>1</v>
      </c>
      <c r="E1300" s="739">
        <v>2.4</v>
      </c>
      <c r="F1300" s="739">
        <v>0.23</v>
      </c>
      <c r="G1300" s="739">
        <v>0.05</v>
      </c>
      <c r="H1300" s="739">
        <f t="shared" si="117"/>
        <v>-0.03</v>
      </c>
      <c r="I1300" s="736"/>
    </row>
    <row r="1301" spans="1:9" s="737" customFormat="1">
      <c r="A1301" s="738"/>
      <c r="B1301" s="740" t="s">
        <v>5849</v>
      </c>
      <c r="C1301" s="734">
        <v>1</v>
      </c>
      <c r="D1301" s="734">
        <v>1</v>
      </c>
      <c r="E1301" s="739">
        <v>2.4</v>
      </c>
      <c r="F1301" s="739">
        <v>0.23</v>
      </c>
      <c r="G1301" s="739">
        <v>0.35</v>
      </c>
      <c r="H1301" s="739">
        <f t="shared" si="117"/>
        <v>0.19</v>
      </c>
      <c r="I1301" s="736"/>
    </row>
    <row r="1302" spans="1:9" s="737" customFormat="1">
      <c r="A1302" s="738"/>
      <c r="B1302" s="740" t="s">
        <v>6255</v>
      </c>
      <c r="C1302" s="734">
        <v>1</v>
      </c>
      <c r="D1302" s="734">
        <v>1</v>
      </c>
      <c r="E1302" s="739">
        <v>3.52</v>
      </c>
      <c r="F1302" s="739">
        <v>0.23</v>
      </c>
      <c r="G1302" s="739">
        <v>0.23</v>
      </c>
      <c r="H1302" s="739">
        <f t="shared" si="117"/>
        <v>0.19</v>
      </c>
      <c r="I1302" s="736"/>
    </row>
    <row r="1303" spans="1:9" s="737" customFormat="1">
      <c r="A1303" s="738"/>
      <c r="B1303" s="740" t="s">
        <v>6256</v>
      </c>
      <c r="C1303" s="734">
        <v>1</v>
      </c>
      <c r="D1303" s="734">
        <v>1</v>
      </c>
      <c r="E1303" s="739">
        <v>11.01</v>
      </c>
      <c r="F1303" s="739">
        <v>0.23</v>
      </c>
      <c r="G1303" s="739">
        <v>0.35</v>
      </c>
      <c r="H1303" s="739">
        <f t="shared" si="117"/>
        <v>0.89</v>
      </c>
      <c r="I1303" s="736"/>
    </row>
    <row r="1304" spans="1:9" s="737" customFormat="1">
      <c r="A1304" s="738"/>
      <c r="B1304" s="740" t="s">
        <v>6257</v>
      </c>
      <c r="C1304" s="734">
        <v>1</v>
      </c>
      <c r="D1304" s="734">
        <v>1</v>
      </c>
      <c r="E1304" s="739">
        <v>13.19</v>
      </c>
      <c r="F1304" s="739">
        <v>0.23</v>
      </c>
      <c r="G1304" s="739">
        <v>0.35</v>
      </c>
      <c r="H1304" s="739">
        <f t="shared" si="117"/>
        <v>1.06</v>
      </c>
      <c r="I1304" s="736"/>
    </row>
    <row r="1305" spans="1:9" s="737" customFormat="1">
      <c r="A1305" s="738"/>
      <c r="B1305" s="740" t="s">
        <v>6258</v>
      </c>
      <c r="C1305" s="734">
        <v>1</v>
      </c>
      <c r="D1305" s="734">
        <v>1</v>
      </c>
      <c r="E1305" s="739">
        <v>4.09</v>
      </c>
      <c r="F1305" s="739">
        <v>0.23</v>
      </c>
      <c r="G1305" s="739">
        <v>0.1</v>
      </c>
      <c r="H1305" s="739">
        <f t="shared" si="117"/>
        <v>0.09</v>
      </c>
      <c r="I1305" s="736"/>
    </row>
    <row r="1306" spans="1:9" s="737" customFormat="1">
      <c r="A1306" s="738"/>
      <c r="B1306" s="740" t="s">
        <v>6259</v>
      </c>
      <c r="C1306" s="734">
        <v>-1</v>
      </c>
      <c r="D1306" s="734">
        <v>1</v>
      </c>
      <c r="E1306" s="739">
        <v>2.1800000000000002</v>
      </c>
      <c r="F1306" s="739">
        <v>0.23</v>
      </c>
      <c r="G1306" s="739">
        <v>0.12</v>
      </c>
      <c r="H1306" s="739">
        <f t="shared" si="117"/>
        <v>-0.06</v>
      </c>
      <c r="I1306" s="736"/>
    </row>
    <row r="1307" spans="1:9" s="737" customFormat="1">
      <c r="A1307" s="738"/>
      <c r="B1307" s="740" t="s">
        <v>6260</v>
      </c>
      <c r="C1307" s="734">
        <v>1</v>
      </c>
      <c r="D1307" s="734">
        <v>1</v>
      </c>
      <c r="E1307" s="739">
        <v>13.19</v>
      </c>
      <c r="F1307" s="739">
        <v>0.23</v>
      </c>
      <c r="G1307" s="739">
        <v>0.35</v>
      </c>
      <c r="H1307" s="739">
        <f t="shared" si="117"/>
        <v>1.06</v>
      </c>
      <c r="I1307" s="736"/>
    </row>
    <row r="1308" spans="1:9" s="737" customFormat="1">
      <c r="A1308" s="738"/>
      <c r="B1308" s="740" t="s">
        <v>6261</v>
      </c>
      <c r="C1308" s="734">
        <v>1</v>
      </c>
      <c r="D1308" s="734">
        <v>1</v>
      </c>
      <c r="E1308" s="739">
        <v>12.44</v>
      </c>
      <c r="F1308" s="739">
        <v>0.23</v>
      </c>
      <c r="G1308" s="739">
        <v>0.35</v>
      </c>
      <c r="H1308" s="739">
        <f t="shared" si="117"/>
        <v>1</v>
      </c>
      <c r="I1308" s="736"/>
    </row>
    <row r="1309" spans="1:9" s="737" customFormat="1">
      <c r="A1309" s="738"/>
      <c r="B1309" s="740" t="s">
        <v>6258</v>
      </c>
      <c r="C1309" s="734">
        <v>1</v>
      </c>
      <c r="D1309" s="734">
        <v>1</v>
      </c>
      <c r="E1309" s="739">
        <v>4.71</v>
      </c>
      <c r="F1309" s="739">
        <v>0.23</v>
      </c>
      <c r="G1309" s="739">
        <v>0.1</v>
      </c>
      <c r="H1309" s="739">
        <f t="shared" si="117"/>
        <v>0.11</v>
      </c>
      <c r="I1309" s="736"/>
    </row>
    <row r="1310" spans="1:9" s="737" customFormat="1">
      <c r="A1310" s="738"/>
      <c r="B1310" s="740" t="s">
        <v>6262</v>
      </c>
      <c r="C1310" s="734">
        <v>1</v>
      </c>
      <c r="D1310" s="734">
        <v>1</v>
      </c>
      <c r="E1310" s="739">
        <v>12.44</v>
      </c>
      <c r="F1310" s="739">
        <v>0.23</v>
      </c>
      <c r="G1310" s="739">
        <v>0.35</v>
      </c>
      <c r="H1310" s="739">
        <f t="shared" si="117"/>
        <v>1</v>
      </c>
      <c r="I1310" s="736"/>
    </row>
    <row r="1311" spans="1:9" s="737" customFormat="1">
      <c r="A1311" s="738"/>
      <c r="B1311" s="740" t="s">
        <v>6258</v>
      </c>
      <c r="C1311" s="734">
        <v>1</v>
      </c>
      <c r="D1311" s="734">
        <v>1</v>
      </c>
      <c r="E1311" s="739">
        <v>4.71</v>
      </c>
      <c r="F1311" s="739">
        <v>0.23</v>
      </c>
      <c r="G1311" s="739">
        <v>0.1</v>
      </c>
      <c r="H1311" s="739">
        <f t="shared" si="117"/>
        <v>0.11</v>
      </c>
      <c r="I1311" s="736"/>
    </row>
    <row r="1312" spans="1:9" s="737" customFormat="1" ht="21" customHeight="1">
      <c r="A1312" s="738"/>
      <c r="B1312" s="740" t="s">
        <v>6263</v>
      </c>
      <c r="C1312" s="734"/>
      <c r="D1312" s="734"/>
      <c r="E1312" s="739"/>
      <c r="F1312" s="739"/>
      <c r="G1312" s="765"/>
      <c r="H1312" s="739"/>
      <c r="I1312" s="736"/>
    </row>
    <row r="1313" spans="1:9" s="737" customFormat="1">
      <c r="A1313" s="738"/>
      <c r="B1313" s="740" t="s">
        <v>6264</v>
      </c>
      <c r="C1313" s="734">
        <v>1</v>
      </c>
      <c r="D1313" s="734">
        <v>1</v>
      </c>
      <c r="E1313" s="739">
        <v>3.52</v>
      </c>
      <c r="F1313" s="739">
        <v>1.95</v>
      </c>
      <c r="G1313" s="765">
        <v>0.125</v>
      </c>
      <c r="H1313" s="739">
        <f t="shared" si="117"/>
        <v>0.86</v>
      </c>
      <c r="I1313" s="736"/>
    </row>
    <row r="1314" spans="1:9" s="737" customFormat="1">
      <c r="A1314" s="738"/>
      <c r="B1314" s="740" t="s">
        <v>6265</v>
      </c>
      <c r="C1314" s="734">
        <v>1</v>
      </c>
      <c r="D1314" s="734">
        <v>1</v>
      </c>
      <c r="E1314" s="739">
        <v>3.52</v>
      </c>
      <c r="F1314" s="739">
        <v>2.82</v>
      </c>
      <c r="G1314" s="765">
        <v>0.125</v>
      </c>
      <c r="H1314" s="739">
        <f t="shared" si="117"/>
        <v>1.24</v>
      </c>
      <c r="I1314" s="736"/>
    </row>
    <row r="1315" spans="1:9" s="737" customFormat="1">
      <c r="A1315" s="738"/>
      <c r="B1315" s="740" t="s">
        <v>5837</v>
      </c>
      <c r="C1315" s="734">
        <v>1</v>
      </c>
      <c r="D1315" s="734">
        <v>1</v>
      </c>
      <c r="E1315" s="739">
        <v>3.6</v>
      </c>
      <c r="F1315" s="739">
        <v>3.49</v>
      </c>
      <c r="G1315" s="765">
        <v>0.125</v>
      </c>
      <c r="H1315" s="739">
        <f t="shared" si="117"/>
        <v>1.57</v>
      </c>
      <c r="I1315" s="736"/>
    </row>
    <row r="1316" spans="1:9" s="737" customFormat="1">
      <c r="A1316" s="738"/>
      <c r="B1316" s="740" t="s">
        <v>6266</v>
      </c>
      <c r="C1316" s="734">
        <v>1</v>
      </c>
      <c r="D1316" s="734">
        <v>1</v>
      </c>
      <c r="E1316" s="739">
        <v>1.39</v>
      </c>
      <c r="F1316" s="739">
        <v>2.37</v>
      </c>
      <c r="G1316" s="765">
        <v>0.15</v>
      </c>
      <c r="H1316" s="739">
        <f t="shared" si="117"/>
        <v>0.49</v>
      </c>
      <c r="I1316" s="736"/>
    </row>
    <row r="1317" spans="1:9" s="737" customFormat="1">
      <c r="A1317" s="738"/>
      <c r="B1317" s="740" t="s">
        <v>6266</v>
      </c>
      <c r="C1317" s="734">
        <v>1</v>
      </c>
      <c r="D1317" s="734">
        <v>1</v>
      </c>
      <c r="E1317" s="739">
        <v>1.35</v>
      </c>
      <c r="F1317" s="739">
        <v>1.5</v>
      </c>
      <c r="G1317" s="765">
        <v>0.15</v>
      </c>
      <c r="H1317" s="739">
        <f t="shared" si="117"/>
        <v>0.3</v>
      </c>
      <c r="I1317" s="736"/>
    </row>
    <row r="1318" spans="1:9" s="737" customFormat="1">
      <c r="A1318" s="738"/>
      <c r="B1318" s="740" t="s">
        <v>6267</v>
      </c>
      <c r="C1318" s="734">
        <v>1</v>
      </c>
      <c r="D1318" s="734">
        <v>1</v>
      </c>
      <c r="E1318" s="739">
        <v>1</v>
      </c>
      <c r="F1318" s="739">
        <v>1.39</v>
      </c>
      <c r="G1318" s="765">
        <v>0.125</v>
      </c>
      <c r="H1318" s="739">
        <f t="shared" si="117"/>
        <v>0.17</v>
      </c>
      <c r="I1318" s="736"/>
    </row>
    <row r="1319" spans="1:9" s="737" customFormat="1">
      <c r="A1319" s="738"/>
      <c r="B1319" s="740" t="s">
        <v>6267</v>
      </c>
      <c r="C1319" s="734">
        <v>1</v>
      </c>
      <c r="D1319" s="734">
        <v>1</v>
      </c>
      <c r="E1319" s="739">
        <v>2.0299999999999998</v>
      </c>
      <c r="F1319" s="739">
        <v>1.35</v>
      </c>
      <c r="G1319" s="765">
        <v>0.125</v>
      </c>
      <c r="H1319" s="739">
        <f t="shared" si="117"/>
        <v>0.34</v>
      </c>
      <c r="I1319" s="736"/>
    </row>
    <row r="1320" spans="1:9" s="737" customFormat="1">
      <c r="A1320" s="738"/>
      <c r="B1320" s="740" t="s">
        <v>5832</v>
      </c>
      <c r="C1320" s="734">
        <v>1</v>
      </c>
      <c r="D1320" s="734">
        <v>1</v>
      </c>
      <c r="E1320" s="739">
        <v>3.6</v>
      </c>
      <c r="F1320" s="739">
        <v>3.64</v>
      </c>
      <c r="G1320" s="765">
        <v>0.125</v>
      </c>
      <c r="H1320" s="739">
        <f t="shared" si="117"/>
        <v>1.64</v>
      </c>
      <c r="I1320" s="736"/>
    </row>
    <row r="1321" spans="1:9" s="737" customFormat="1">
      <c r="A1321" s="738"/>
      <c r="B1321" s="740" t="s">
        <v>5838</v>
      </c>
      <c r="C1321" s="734">
        <v>1</v>
      </c>
      <c r="D1321" s="734">
        <v>1</v>
      </c>
      <c r="E1321" s="739">
        <v>3.52</v>
      </c>
      <c r="F1321" s="739">
        <v>3.63</v>
      </c>
      <c r="G1321" s="765">
        <v>0.125</v>
      </c>
      <c r="H1321" s="739">
        <f t="shared" si="117"/>
        <v>1.6</v>
      </c>
      <c r="I1321" s="736"/>
    </row>
    <row r="1322" spans="1:9" s="737" customFormat="1">
      <c r="A1322" s="738"/>
      <c r="B1322" s="740" t="s">
        <v>5838</v>
      </c>
      <c r="C1322" s="734">
        <v>1</v>
      </c>
      <c r="D1322" s="734">
        <v>1</v>
      </c>
      <c r="E1322" s="739">
        <v>3.52</v>
      </c>
      <c r="F1322" s="739">
        <v>3.64</v>
      </c>
      <c r="G1322" s="765">
        <v>0.125</v>
      </c>
      <c r="H1322" s="739">
        <f t="shared" si="117"/>
        <v>1.6</v>
      </c>
      <c r="I1322" s="736"/>
    </row>
    <row r="1323" spans="1:9" s="737" customFormat="1">
      <c r="A1323" s="738"/>
      <c r="B1323" s="740" t="s">
        <v>5838</v>
      </c>
      <c r="C1323" s="734">
        <v>1</v>
      </c>
      <c r="D1323" s="734">
        <v>2</v>
      </c>
      <c r="E1323" s="739">
        <v>2.78</v>
      </c>
      <c r="F1323" s="739">
        <v>3.64</v>
      </c>
      <c r="G1323" s="765">
        <v>0.125</v>
      </c>
      <c r="H1323" s="739">
        <f t="shared" si="117"/>
        <v>2.5299999999999998</v>
      </c>
      <c r="I1323" s="736"/>
    </row>
    <row r="1324" spans="1:9" s="737" customFormat="1">
      <c r="A1324" s="738"/>
      <c r="B1324" s="735" t="s">
        <v>5848</v>
      </c>
      <c r="C1324" s="734">
        <v>1</v>
      </c>
      <c r="D1324" s="734">
        <v>1</v>
      </c>
      <c r="E1324" s="739">
        <v>2.78</v>
      </c>
      <c r="F1324" s="739">
        <v>4.25</v>
      </c>
      <c r="G1324" s="765">
        <v>0.125</v>
      </c>
      <c r="H1324" s="739">
        <f t="shared" si="117"/>
        <v>1.48</v>
      </c>
      <c r="I1324" s="736"/>
    </row>
    <row r="1325" spans="1:9" s="737" customFormat="1">
      <c r="A1325" s="738"/>
      <c r="B1325" s="735" t="s">
        <v>5849</v>
      </c>
      <c r="C1325" s="734">
        <v>1</v>
      </c>
      <c r="D1325" s="734">
        <v>1</v>
      </c>
      <c r="E1325" s="739">
        <v>2.4</v>
      </c>
      <c r="F1325" s="739">
        <v>1.43</v>
      </c>
      <c r="G1325" s="765">
        <v>0.125</v>
      </c>
      <c r="H1325" s="739">
        <f t="shared" si="117"/>
        <v>0.43</v>
      </c>
      <c r="I1325" s="736"/>
    </row>
    <row r="1326" spans="1:9" s="737" customFormat="1">
      <c r="A1326" s="738"/>
      <c r="B1326" s="735" t="s">
        <v>5842</v>
      </c>
      <c r="C1326" s="734">
        <v>1</v>
      </c>
      <c r="D1326" s="734">
        <v>1</v>
      </c>
      <c r="E1326" s="739">
        <v>2.4</v>
      </c>
      <c r="F1326" s="739">
        <v>2.21</v>
      </c>
      <c r="G1326" s="765">
        <v>0.125</v>
      </c>
      <c r="H1326" s="739">
        <f t="shared" si="117"/>
        <v>0.66</v>
      </c>
      <c r="I1326" s="736"/>
    </row>
    <row r="1327" spans="1:9" s="737" customFormat="1">
      <c r="A1327" s="738"/>
      <c r="B1327" s="735" t="s">
        <v>6268</v>
      </c>
      <c r="C1327" s="734">
        <v>1</v>
      </c>
      <c r="D1327" s="734">
        <v>1</v>
      </c>
      <c r="E1327" s="739">
        <v>2.4</v>
      </c>
      <c r="F1327" s="739">
        <v>3.64</v>
      </c>
      <c r="G1327" s="765">
        <v>0.15</v>
      </c>
      <c r="H1327" s="739">
        <f t="shared" si="117"/>
        <v>1.31</v>
      </c>
      <c r="I1327" s="736"/>
    </row>
    <row r="1328" spans="1:9">
      <c r="A1328" s="753"/>
      <c r="B1328" s="751" t="s">
        <v>5877</v>
      </c>
      <c r="C1328" s="748"/>
      <c r="D1328" s="748"/>
      <c r="E1328" s="749"/>
      <c r="F1328" s="749"/>
      <c r="G1328" s="749"/>
      <c r="H1328" s="739"/>
      <c r="I1328" s="750"/>
    </row>
    <row r="1329" spans="1:9">
      <c r="A1329" s="753"/>
      <c r="B1329" s="754" t="s">
        <v>5870</v>
      </c>
      <c r="C1329" s="748">
        <v>1</v>
      </c>
      <c r="D1329" s="748">
        <v>1</v>
      </c>
      <c r="E1329" s="749">
        <f>1.5+0.46</f>
        <v>1.96</v>
      </c>
      <c r="F1329" s="749">
        <v>0.23</v>
      </c>
      <c r="G1329" s="749">
        <v>0.05</v>
      </c>
      <c r="H1329" s="739">
        <f t="shared" ref="H1329:H1332" si="118">PRODUCT(C1329:G1329)</f>
        <v>0.02</v>
      </c>
      <c r="I1329" s="750"/>
    </row>
    <row r="1330" spans="1:9">
      <c r="A1330" s="753"/>
      <c r="B1330" s="754" t="s">
        <v>5871</v>
      </c>
      <c r="C1330" s="748">
        <v>1</v>
      </c>
      <c r="D1330" s="748">
        <v>1</v>
      </c>
      <c r="E1330" s="749">
        <f>0.9+0.46</f>
        <v>1.36</v>
      </c>
      <c r="F1330" s="749">
        <v>0.23</v>
      </c>
      <c r="G1330" s="749">
        <v>0.05</v>
      </c>
      <c r="H1330" s="739">
        <f t="shared" si="118"/>
        <v>0.02</v>
      </c>
      <c r="I1330" s="750"/>
    </row>
    <row r="1331" spans="1:9">
      <c r="A1331" s="753"/>
      <c r="B1331" s="754" t="s">
        <v>5872</v>
      </c>
      <c r="C1331" s="748">
        <v>1</v>
      </c>
      <c r="D1331" s="748">
        <v>3</v>
      </c>
      <c r="E1331" s="749">
        <f>1.8+0.46</f>
        <v>2.2599999999999998</v>
      </c>
      <c r="F1331" s="749">
        <v>0.23</v>
      </c>
      <c r="G1331" s="749">
        <v>0.05</v>
      </c>
      <c r="H1331" s="739">
        <f t="shared" si="118"/>
        <v>0.08</v>
      </c>
      <c r="I1331" s="750"/>
    </row>
    <row r="1332" spans="1:9">
      <c r="A1332" s="753"/>
      <c r="B1332" s="754" t="s">
        <v>5873</v>
      </c>
      <c r="C1332" s="748">
        <v>1</v>
      </c>
      <c r="D1332" s="748">
        <v>3</v>
      </c>
      <c r="E1332" s="749">
        <f>1.5+0.46</f>
        <v>1.96</v>
      </c>
      <c r="F1332" s="749">
        <v>0.23</v>
      </c>
      <c r="G1332" s="749">
        <v>0.05</v>
      </c>
      <c r="H1332" s="739">
        <f t="shared" si="118"/>
        <v>7.0000000000000007E-2</v>
      </c>
      <c r="I1332" s="750"/>
    </row>
    <row r="1333" spans="1:9">
      <c r="A1333" s="753"/>
      <c r="B1333" s="754" t="s">
        <v>5874</v>
      </c>
      <c r="C1333" s="748">
        <v>1</v>
      </c>
      <c r="D1333" s="748">
        <v>1</v>
      </c>
      <c r="E1333" s="749">
        <f>1.5+0.46</f>
        <v>1.96</v>
      </c>
      <c r="F1333" s="749">
        <v>0.23</v>
      </c>
      <c r="G1333" s="749">
        <v>0.05</v>
      </c>
      <c r="H1333" s="739">
        <f>PRODUCT(C1333:G1333)</f>
        <v>0.02</v>
      </c>
      <c r="I1333" s="750"/>
    </row>
    <row r="1334" spans="1:9">
      <c r="A1334" s="753"/>
      <c r="B1334" s="754" t="s">
        <v>5875</v>
      </c>
      <c r="C1334" s="748">
        <v>1</v>
      </c>
      <c r="D1334" s="748">
        <v>3</v>
      </c>
      <c r="E1334" s="749">
        <f>0.75+0.46</f>
        <v>1.21</v>
      </c>
      <c r="F1334" s="749">
        <v>0.23</v>
      </c>
      <c r="G1334" s="749">
        <v>0.05</v>
      </c>
      <c r="H1334" s="739">
        <f>PRODUCT(C1334:G1334)</f>
        <v>0.04</v>
      </c>
      <c r="I1334" s="750"/>
    </row>
    <row r="1335" spans="1:9">
      <c r="A1335" s="753"/>
      <c r="B1335" s="754" t="s">
        <v>5876</v>
      </c>
      <c r="C1335" s="748">
        <v>1</v>
      </c>
      <c r="D1335" s="748">
        <v>1</v>
      </c>
      <c r="E1335" s="749">
        <f>1.2+0.46</f>
        <v>1.66</v>
      </c>
      <c r="F1335" s="749">
        <v>0.23</v>
      </c>
      <c r="G1335" s="749">
        <v>0.05</v>
      </c>
      <c r="H1335" s="739">
        <f>PRODUCT(C1335:G1335)</f>
        <v>0.02</v>
      </c>
      <c r="I1335" s="750"/>
    </row>
    <row r="1336" spans="1:9">
      <c r="A1336" s="753"/>
      <c r="B1336" s="751" t="s">
        <v>5878</v>
      </c>
      <c r="C1336" s="748"/>
      <c r="D1336" s="748"/>
      <c r="E1336" s="749"/>
      <c r="F1336" s="749"/>
      <c r="G1336" s="749"/>
      <c r="H1336" s="739"/>
      <c r="I1336" s="750"/>
    </row>
    <row r="1337" spans="1:9">
      <c r="A1337" s="753"/>
      <c r="B1337" s="754" t="s">
        <v>5870</v>
      </c>
      <c r="C1337" s="748">
        <v>1</v>
      </c>
      <c r="D1337" s="748">
        <v>1</v>
      </c>
      <c r="E1337" s="749">
        <f>1.5+0.46</f>
        <v>1.96</v>
      </c>
      <c r="F1337" s="749">
        <v>0.23</v>
      </c>
      <c r="G1337" s="749">
        <v>0.15</v>
      </c>
      <c r="H1337" s="739">
        <f t="shared" ref="H1337:H1340" si="119">PRODUCT(C1337:G1337)</f>
        <v>7.0000000000000007E-2</v>
      </c>
      <c r="I1337" s="750"/>
    </row>
    <row r="1338" spans="1:9">
      <c r="A1338" s="753"/>
      <c r="B1338" s="754" t="s">
        <v>5871</v>
      </c>
      <c r="C1338" s="748">
        <v>1</v>
      </c>
      <c r="D1338" s="748">
        <v>1</v>
      </c>
      <c r="E1338" s="749">
        <f>0.9+0.46</f>
        <v>1.36</v>
      </c>
      <c r="F1338" s="749">
        <v>0.23</v>
      </c>
      <c r="G1338" s="749">
        <v>0.15</v>
      </c>
      <c r="H1338" s="739">
        <f t="shared" si="119"/>
        <v>0.05</v>
      </c>
      <c r="I1338" s="750"/>
    </row>
    <row r="1339" spans="1:9">
      <c r="A1339" s="753"/>
      <c r="B1339" s="754" t="s">
        <v>5872</v>
      </c>
      <c r="C1339" s="748">
        <v>1</v>
      </c>
      <c r="D1339" s="748">
        <v>3</v>
      </c>
      <c r="E1339" s="749">
        <f>1.8+0.46</f>
        <v>2.2599999999999998</v>
      </c>
      <c r="F1339" s="749">
        <v>0.23</v>
      </c>
      <c r="G1339" s="749">
        <v>0.15</v>
      </c>
      <c r="H1339" s="739">
        <f t="shared" si="119"/>
        <v>0.23</v>
      </c>
      <c r="I1339" s="750"/>
    </row>
    <row r="1340" spans="1:9">
      <c r="A1340" s="753"/>
      <c r="B1340" s="754" t="s">
        <v>5873</v>
      </c>
      <c r="C1340" s="748">
        <v>1</v>
      </c>
      <c r="D1340" s="748">
        <v>3</v>
      </c>
      <c r="E1340" s="749">
        <f>1.5+0.46</f>
        <v>1.96</v>
      </c>
      <c r="F1340" s="749">
        <v>0.23</v>
      </c>
      <c r="G1340" s="749">
        <v>0.15</v>
      </c>
      <c r="H1340" s="739">
        <f t="shared" si="119"/>
        <v>0.2</v>
      </c>
      <c r="I1340" s="750"/>
    </row>
    <row r="1341" spans="1:9">
      <c r="A1341" s="753"/>
      <c r="B1341" s="754" t="s">
        <v>5874</v>
      </c>
      <c r="C1341" s="748">
        <v>1</v>
      </c>
      <c r="D1341" s="748">
        <v>1</v>
      </c>
      <c r="E1341" s="749">
        <f>1.5+0.46</f>
        <v>1.96</v>
      </c>
      <c r="F1341" s="749">
        <v>0.23</v>
      </c>
      <c r="G1341" s="749">
        <v>0.15</v>
      </c>
      <c r="H1341" s="739">
        <f>PRODUCT(C1341:G1341)</f>
        <v>7.0000000000000007E-2</v>
      </c>
      <c r="I1341" s="750"/>
    </row>
    <row r="1342" spans="1:9">
      <c r="A1342" s="753"/>
      <c r="B1342" s="754" t="s">
        <v>5875</v>
      </c>
      <c r="C1342" s="748">
        <v>1</v>
      </c>
      <c r="D1342" s="748">
        <v>3</v>
      </c>
      <c r="E1342" s="749">
        <f>0.75+0.46</f>
        <v>1.21</v>
      </c>
      <c r="F1342" s="749">
        <v>0.23</v>
      </c>
      <c r="G1342" s="749">
        <v>0.15</v>
      </c>
      <c r="H1342" s="739">
        <f>PRODUCT(C1342:G1342)</f>
        <v>0.13</v>
      </c>
      <c r="I1342" s="750"/>
    </row>
    <row r="1343" spans="1:9">
      <c r="A1343" s="753"/>
      <c r="B1343" s="754" t="s">
        <v>5876</v>
      </c>
      <c r="C1343" s="748">
        <v>1</v>
      </c>
      <c r="D1343" s="748">
        <v>1</v>
      </c>
      <c r="E1343" s="749">
        <f>1.2+0.46</f>
        <v>1.66</v>
      </c>
      <c r="F1343" s="749">
        <v>0.23</v>
      </c>
      <c r="G1343" s="749">
        <v>0.15</v>
      </c>
      <c r="H1343" s="739">
        <f>PRODUCT(C1343:G1343)</f>
        <v>0.06</v>
      </c>
      <c r="I1343" s="750"/>
    </row>
    <row r="1344" spans="1:9">
      <c r="A1344" s="753"/>
      <c r="B1344" s="754" t="s">
        <v>5864</v>
      </c>
      <c r="C1344" s="748">
        <v>1</v>
      </c>
      <c r="D1344" s="748">
        <v>1</v>
      </c>
      <c r="E1344" s="749">
        <v>1.96</v>
      </c>
      <c r="F1344" s="749">
        <v>0.23</v>
      </c>
      <c r="G1344" s="749">
        <v>0.15</v>
      </c>
      <c r="H1344" s="739">
        <f t="shared" ref="H1344:H1347" si="120">PRODUCT(C1344:G1344)</f>
        <v>7.0000000000000007E-2</v>
      </c>
      <c r="I1344" s="750"/>
    </row>
    <row r="1345" spans="1:9">
      <c r="A1345" s="753"/>
      <c r="B1345" s="754" t="s">
        <v>5865</v>
      </c>
      <c r="C1345" s="748">
        <v>1</v>
      </c>
      <c r="D1345" s="748">
        <v>1</v>
      </c>
      <c r="E1345" s="749">
        <f>1.2+0.46</f>
        <v>1.66</v>
      </c>
      <c r="F1345" s="749">
        <v>0.23</v>
      </c>
      <c r="G1345" s="749">
        <v>0.15</v>
      </c>
      <c r="H1345" s="739">
        <f t="shared" si="120"/>
        <v>0.06</v>
      </c>
      <c r="I1345" s="750"/>
    </row>
    <row r="1346" spans="1:9">
      <c r="A1346" s="753"/>
      <c r="B1346" s="754" t="s">
        <v>5866</v>
      </c>
      <c r="C1346" s="748">
        <v>1</v>
      </c>
      <c r="D1346" s="748">
        <v>2</v>
      </c>
      <c r="E1346" s="749">
        <f>1.2+0.46</f>
        <v>1.66</v>
      </c>
      <c r="F1346" s="749">
        <v>0.23</v>
      </c>
      <c r="G1346" s="749">
        <v>0.15</v>
      </c>
      <c r="H1346" s="739">
        <f t="shared" si="120"/>
        <v>0.11</v>
      </c>
      <c r="I1346" s="750"/>
    </row>
    <row r="1347" spans="1:9">
      <c r="A1347" s="753"/>
      <c r="B1347" s="754" t="s">
        <v>5798</v>
      </c>
      <c r="C1347" s="748">
        <v>1</v>
      </c>
      <c r="D1347" s="748">
        <v>1</v>
      </c>
      <c r="E1347" s="749">
        <f>0.9+0.46</f>
        <v>1.36</v>
      </c>
      <c r="F1347" s="749">
        <v>0.23</v>
      </c>
      <c r="G1347" s="749">
        <v>0.15</v>
      </c>
      <c r="H1347" s="739">
        <f t="shared" si="120"/>
        <v>0.05</v>
      </c>
      <c r="I1347" s="750"/>
    </row>
    <row r="1348" spans="1:9">
      <c r="A1348" s="753"/>
      <c r="B1348" s="754" t="s">
        <v>5867</v>
      </c>
      <c r="C1348" s="748">
        <v>1</v>
      </c>
      <c r="D1348" s="748">
        <v>2</v>
      </c>
      <c r="E1348" s="749">
        <f>1+0.46</f>
        <v>1.46</v>
      </c>
      <c r="F1348" s="749">
        <v>0.23</v>
      </c>
      <c r="G1348" s="749">
        <v>0.15</v>
      </c>
      <c r="H1348" s="739">
        <f>PRODUCT(C1348:G1348)</f>
        <v>0.1</v>
      </c>
      <c r="I1348" s="750"/>
    </row>
    <row r="1349" spans="1:9">
      <c r="A1349" s="753"/>
      <c r="B1349" s="754" t="s">
        <v>5928</v>
      </c>
      <c r="C1349" s="748">
        <v>1</v>
      </c>
      <c r="D1349" s="748">
        <v>2</v>
      </c>
      <c r="E1349" s="749">
        <f>0.75+0.46</f>
        <v>1.21</v>
      </c>
      <c r="F1349" s="749">
        <v>0.12</v>
      </c>
      <c r="G1349" s="749">
        <v>0.15</v>
      </c>
      <c r="H1349" s="739">
        <f t="shared" ref="H1349:H1356" si="121">PRODUCT(C1349:G1349)</f>
        <v>0.04</v>
      </c>
      <c r="I1349" s="750"/>
    </row>
    <row r="1350" spans="1:9">
      <c r="A1350" s="753"/>
      <c r="B1350" s="754" t="s">
        <v>5866</v>
      </c>
      <c r="C1350" s="748">
        <v>1</v>
      </c>
      <c r="D1350" s="748">
        <v>1</v>
      </c>
      <c r="E1350" s="749">
        <f>1.2+0.46</f>
        <v>1.66</v>
      </c>
      <c r="F1350" s="749">
        <v>0.12</v>
      </c>
      <c r="G1350" s="749">
        <v>0.15</v>
      </c>
      <c r="H1350" s="739">
        <f t="shared" si="121"/>
        <v>0.03</v>
      </c>
      <c r="I1350" s="750"/>
    </row>
    <row r="1351" spans="1:9">
      <c r="A1351" s="753"/>
      <c r="B1351" s="754" t="s">
        <v>5924</v>
      </c>
      <c r="C1351" s="748">
        <v>1</v>
      </c>
      <c r="D1351" s="748">
        <v>1</v>
      </c>
      <c r="E1351" s="749">
        <v>3.64</v>
      </c>
      <c r="F1351" s="749">
        <v>0.12</v>
      </c>
      <c r="G1351" s="749">
        <v>0.15</v>
      </c>
      <c r="H1351" s="739">
        <f t="shared" si="121"/>
        <v>7.0000000000000007E-2</v>
      </c>
      <c r="I1351" s="750"/>
    </row>
    <row r="1352" spans="1:9">
      <c r="A1352" s="753"/>
      <c r="B1352" s="754" t="s">
        <v>5860</v>
      </c>
      <c r="C1352" s="748">
        <v>1</v>
      </c>
      <c r="D1352" s="748">
        <v>1</v>
      </c>
      <c r="E1352" s="749">
        <v>1.2</v>
      </c>
      <c r="F1352" s="749">
        <v>0.12</v>
      </c>
      <c r="G1352" s="749">
        <v>0.15</v>
      </c>
      <c r="H1352" s="739">
        <f t="shared" si="121"/>
        <v>0.02</v>
      </c>
      <c r="I1352" s="750"/>
    </row>
    <row r="1353" spans="1:9">
      <c r="A1353" s="738"/>
      <c r="B1353" s="755" t="s">
        <v>5861</v>
      </c>
      <c r="C1353" s="748">
        <v>1</v>
      </c>
      <c r="D1353" s="748">
        <v>1</v>
      </c>
      <c r="E1353" s="749">
        <v>2.4</v>
      </c>
      <c r="F1353" s="749">
        <v>0.12</v>
      </c>
      <c r="G1353" s="749">
        <v>0.15</v>
      </c>
      <c r="H1353" s="739">
        <f t="shared" si="121"/>
        <v>0.04</v>
      </c>
      <c r="I1353" s="750"/>
    </row>
    <row r="1354" spans="1:9">
      <c r="A1354" s="738"/>
      <c r="B1354" s="755" t="s">
        <v>5861</v>
      </c>
      <c r="C1354" s="748">
        <v>1</v>
      </c>
      <c r="D1354" s="748">
        <v>1</v>
      </c>
      <c r="E1354" s="749">
        <v>1.8</v>
      </c>
      <c r="F1354" s="749">
        <v>0.12</v>
      </c>
      <c r="G1354" s="749">
        <v>0.15</v>
      </c>
      <c r="H1354" s="739">
        <f t="shared" si="121"/>
        <v>0.03</v>
      </c>
      <c r="I1354" s="750"/>
    </row>
    <row r="1355" spans="1:9">
      <c r="A1355" s="738"/>
      <c r="B1355" s="755" t="s">
        <v>5861</v>
      </c>
      <c r="C1355" s="748">
        <v>1</v>
      </c>
      <c r="D1355" s="748">
        <v>1</v>
      </c>
      <c r="E1355" s="749">
        <v>1.05</v>
      </c>
      <c r="F1355" s="749">
        <v>0.12</v>
      </c>
      <c r="G1355" s="749">
        <v>0.15</v>
      </c>
      <c r="H1355" s="739">
        <f t="shared" si="121"/>
        <v>0.02</v>
      </c>
      <c r="I1355" s="750"/>
    </row>
    <row r="1356" spans="1:9">
      <c r="A1356" s="738"/>
      <c r="B1356" s="754" t="s">
        <v>5921</v>
      </c>
      <c r="C1356" s="748">
        <v>1</v>
      </c>
      <c r="D1356" s="748">
        <v>2</v>
      </c>
      <c r="E1356" s="749">
        <v>1.5</v>
      </c>
      <c r="F1356" s="749">
        <v>0.12</v>
      </c>
      <c r="G1356" s="749">
        <v>0.15</v>
      </c>
      <c r="H1356" s="739">
        <f t="shared" si="121"/>
        <v>0.05</v>
      </c>
      <c r="I1356" s="750"/>
    </row>
    <row r="1357" spans="1:9">
      <c r="A1357" s="753"/>
      <c r="B1357" s="751" t="s">
        <v>6269</v>
      </c>
      <c r="C1357" s="748"/>
      <c r="D1357" s="748"/>
      <c r="E1357" s="749"/>
      <c r="F1357" s="749"/>
      <c r="G1357" s="749"/>
      <c r="H1357" s="739"/>
      <c r="I1357" s="750"/>
    </row>
    <row r="1358" spans="1:9">
      <c r="A1358" s="753"/>
      <c r="B1358" s="754" t="s">
        <v>5872</v>
      </c>
      <c r="C1358" s="748">
        <v>1</v>
      </c>
      <c r="D1358" s="748">
        <v>1</v>
      </c>
      <c r="E1358" s="749">
        <f>1.8+0.46</f>
        <v>2.2599999999999998</v>
      </c>
      <c r="F1358" s="749">
        <v>0.6</v>
      </c>
      <c r="G1358" s="758">
        <v>6.5000000000000002E-2</v>
      </c>
      <c r="H1358" s="739">
        <f t="shared" ref="H1358:H1359" si="122">PRODUCT(C1358:G1358)</f>
        <v>0.09</v>
      </c>
      <c r="I1358" s="750"/>
    </row>
    <row r="1359" spans="1:9">
      <c r="A1359" s="753"/>
      <c r="B1359" s="754" t="s">
        <v>5873</v>
      </c>
      <c r="C1359" s="748">
        <v>1</v>
      </c>
      <c r="D1359" s="748">
        <v>3</v>
      </c>
      <c r="E1359" s="749">
        <f>1.5+0.46</f>
        <v>1.96</v>
      </c>
      <c r="F1359" s="749">
        <v>0.6</v>
      </c>
      <c r="G1359" s="758">
        <v>6.5000000000000002E-2</v>
      </c>
      <c r="H1359" s="739">
        <f t="shared" si="122"/>
        <v>0.23</v>
      </c>
      <c r="I1359" s="750"/>
    </row>
    <row r="1360" spans="1:9">
      <c r="A1360" s="753"/>
      <c r="B1360" s="754" t="s">
        <v>5874</v>
      </c>
      <c r="C1360" s="748">
        <v>1</v>
      </c>
      <c r="D1360" s="748">
        <v>2</v>
      </c>
      <c r="E1360" s="749">
        <f>1.5+0.46</f>
        <v>1.96</v>
      </c>
      <c r="F1360" s="749">
        <v>0.6</v>
      </c>
      <c r="G1360" s="758">
        <v>6.5000000000000002E-2</v>
      </c>
      <c r="H1360" s="739">
        <f>PRODUCT(C1360:G1360)</f>
        <v>0.15</v>
      </c>
      <c r="I1360" s="750"/>
    </row>
    <row r="1361" spans="1:10">
      <c r="A1361" s="753"/>
      <c r="B1361" s="754" t="s">
        <v>6095</v>
      </c>
      <c r="C1361" s="748">
        <v>1</v>
      </c>
      <c r="D1361" s="748">
        <v>1</v>
      </c>
      <c r="E1361" s="749">
        <v>5.5</v>
      </c>
      <c r="F1361" s="749">
        <v>0.6</v>
      </c>
      <c r="G1361" s="758">
        <v>6.5000000000000002E-2</v>
      </c>
      <c r="H1361" s="739">
        <f>PRODUCT(C1361:G1361)</f>
        <v>0.21</v>
      </c>
      <c r="I1361" s="750"/>
    </row>
    <row r="1362" spans="1:10">
      <c r="A1362" s="753"/>
      <c r="B1362" s="754" t="s">
        <v>6096</v>
      </c>
      <c r="C1362" s="748">
        <v>1</v>
      </c>
      <c r="D1362" s="748">
        <v>1</v>
      </c>
      <c r="E1362" s="749">
        <v>9.6199999999999992</v>
      </c>
      <c r="F1362" s="749">
        <v>0.75</v>
      </c>
      <c r="G1362" s="749">
        <v>0.1</v>
      </c>
      <c r="H1362" s="739">
        <f>PRODUCT(C1362:G1362)</f>
        <v>0.72</v>
      </c>
      <c r="I1362" s="750"/>
    </row>
    <row r="1363" spans="1:10">
      <c r="A1363" s="753"/>
      <c r="B1363" s="751" t="s">
        <v>6270</v>
      </c>
      <c r="C1363" s="748"/>
      <c r="D1363" s="748"/>
      <c r="E1363" s="749"/>
      <c r="F1363" s="749"/>
      <c r="G1363" s="749"/>
      <c r="H1363" s="739"/>
      <c r="I1363" s="750"/>
    </row>
    <row r="1364" spans="1:10">
      <c r="A1364" s="753"/>
      <c r="B1364" s="735" t="s">
        <v>6037</v>
      </c>
      <c r="C1364" s="748">
        <v>1</v>
      </c>
      <c r="D1364" s="748">
        <v>2</v>
      </c>
      <c r="E1364" s="749">
        <v>3.6</v>
      </c>
      <c r="F1364" s="749">
        <v>0.6</v>
      </c>
      <c r="G1364" s="758">
        <v>6.5000000000000002E-2</v>
      </c>
      <c r="H1364" s="739">
        <f t="shared" ref="H1364:H1367" si="123">PRODUCT(C1364:G1364)</f>
        <v>0.28000000000000003</v>
      </c>
      <c r="I1364" s="750"/>
    </row>
    <row r="1365" spans="1:10">
      <c r="A1365" s="753"/>
      <c r="B1365" s="735" t="s">
        <v>5838</v>
      </c>
      <c r="C1365" s="748">
        <v>1</v>
      </c>
      <c r="D1365" s="748">
        <v>1</v>
      </c>
      <c r="E1365" s="749">
        <f>1.5+0.115+1.5</f>
        <v>3.12</v>
      </c>
      <c r="F1365" s="749">
        <v>0.45</v>
      </c>
      <c r="G1365" s="758">
        <v>6.5000000000000002E-2</v>
      </c>
      <c r="H1365" s="739">
        <f t="shared" si="123"/>
        <v>0.09</v>
      </c>
      <c r="I1365" s="750"/>
    </row>
    <row r="1366" spans="1:10">
      <c r="A1366" s="753"/>
      <c r="B1366" s="735" t="s">
        <v>5838</v>
      </c>
      <c r="C1366" s="748">
        <v>1</v>
      </c>
      <c r="D1366" s="748">
        <v>1</v>
      </c>
      <c r="E1366" s="749">
        <v>1.5</v>
      </c>
      <c r="F1366" s="749">
        <v>0.6</v>
      </c>
      <c r="G1366" s="758">
        <v>6.5000000000000002E-2</v>
      </c>
      <c r="H1366" s="739">
        <f t="shared" si="123"/>
        <v>0.06</v>
      </c>
      <c r="I1366" s="750"/>
    </row>
    <row r="1367" spans="1:10">
      <c r="A1367" s="753"/>
      <c r="B1367" s="735" t="s">
        <v>5927</v>
      </c>
      <c r="C1367" s="748">
        <v>1</v>
      </c>
      <c r="D1367" s="748">
        <v>1</v>
      </c>
      <c r="E1367" s="749">
        <f>(2.4+4.02)*2</f>
        <v>12.84</v>
      </c>
      <c r="F1367" s="749">
        <v>0.6</v>
      </c>
      <c r="G1367" s="758">
        <v>6.5000000000000002E-2</v>
      </c>
      <c r="H1367" s="739">
        <f t="shared" si="123"/>
        <v>0.5</v>
      </c>
      <c r="I1367" s="750"/>
    </row>
    <row r="1368" spans="1:10" s="737" customFormat="1">
      <c r="A1368" s="738"/>
      <c r="B1368" s="735"/>
      <c r="C1368" s="734"/>
      <c r="D1368" s="734"/>
      <c r="E1368" s="739"/>
      <c r="F1368" s="739"/>
      <c r="G1368" s="739"/>
      <c r="H1368" s="742">
        <f>SUM(H1276:H1367)</f>
        <v>39.83</v>
      </c>
      <c r="I1368" s="736"/>
      <c r="J1368" s="737">
        <v>36.4</v>
      </c>
    </row>
    <row r="1369" spans="1:10" s="737" customFormat="1" ht="19.5" customHeight="1">
      <c r="A1369" s="732"/>
      <c r="B1369" s="735"/>
      <c r="C1369" s="746"/>
      <c r="D1369" s="746"/>
      <c r="E1369" s="742"/>
      <c r="F1369" s="742"/>
      <c r="G1369" s="742" t="s">
        <v>4209</v>
      </c>
      <c r="H1369" s="742">
        <f>ROUNDUP(H1368,1)</f>
        <v>39.9</v>
      </c>
      <c r="I1369" s="736" t="s">
        <v>2142</v>
      </c>
    </row>
    <row r="1370" spans="1:10" s="737" customFormat="1">
      <c r="A1370" s="732" t="s">
        <v>2268</v>
      </c>
      <c r="B1370" s="735" t="s">
        <v>5884</v>
      </c>
      <c r="C1370" s="734"/>
      <c r="D1370" s="734"/>
      <c r="E1370" s="739"/>
      <c r="F1370" s="739"/>
      <c r="G1370" s="739"/>
      <c r="H1370" s="739"/>
      <c r="I1370" s="736"/>
    </row>
    <row r="1371" spans="1:10" s="737" customFormat="1">
      <c r="A1371" s="738"/>
      <c r="B1371" s="735" t="s">
        <v>6238</v>
      </c>
      <c r="C1371" s="734"/>
      <c r="D1371" s="734"/>
      <c r="E1371" s="739"/>
      <c r="F1371" s="739"/>
      <c r="G1371" s="739"/>
      <c r="H1371" s="739"/>
      <c r="I1371" s="736"/>
    </row>
    <row r="1372" spans="1:10" s="737" customFormat="1">
      <c r="A1372" s="738"/>
      <c r="B1372" s="735" t="s">
        <v>5800</v>
      </c>
      <c r="C1372" s="734">
        <v>1</v>
      </c>
      <c r="D1372" s="734">
        <v>3</v>
      </c>
      <c r="E1372" s="739">
        <v>0.38</v>
      </c>
      <c r="F1372" s="739">
        <v>0.23</v>
      </c>
      <c r="G1372" s="739">
        <f>3.05-0.35</f>
        <v>2.7</v>
      </c>
      <c r="H1372" s="739">
        <f>PRODUCT(C1372:G1372)</f>
        <v>0.71</v>
      </c>
      <c r="I1372" s="736"/>
    </row>
    <row r="1373" spans="1:10" s="737" customFormat="1">
      <c r="A1373" s="738"/>
      <c r="B1373" s="735" t="s">
        <v>5801</v>
      </c>
      <c r="C1373" s="734">
        <v>1</v>
      </c>
      <c r="D1373" s="734">
        <v>7</v>
      </c>
      <c r="E1373" s="739">
        <v>0.38</v>
      </c>
      <c r="F1373" s="739">
        <v>0.23</v>
      </c>
      <c r="G1373" s="739">
        <f t="shared" ref="G1373:G1376" si="124">3.05-0.35</f>
        <v>2.7</v>
      </c>
      <c r="H1373" s="739">
        <f t="shared" ref="H1373:H1381" si="125">PRODUCT(C1373:G1373)</f>
        <v>1.65</v>
      </c>
      <c r="I1373" s="736"/>
    </row>
    <row r="1374" spans="1:10" s="737" customFormat="1">
      <c r="A1374" s="738"/>
      <c r="B1374" s="735" t="s">
        <v>5802</v>
      </c>
      <c r="C1374" s="734">
        <v>1</v>
      </c>
      <c r="D1374" s="734">
        <v>4</v>
      </c>
      <c r="E1374" s="739">
        <v>0.38</v>
      </c>
      <c r="F1374" s="739">
        <v>0.23</v>
      </c>
      <c r="G1374" s="739">
        <f t="shared" si="124"/>
        <v>2.7</v>
      </c>
      <c r="H1374" s="739">
        <f t="shared" si="125"/>
        <v>0.94</v>
      </c>
      <c r="I1374" s="736"/>
    </row>
    <row r="1375" spans="1:10" s="737" customFormat="1">
      <c r="A1375" s="738"/>
      <c r="B1375" s="735" t="s">
        <v>5803</v>
      </c>
      <c r="C1375" s="734">
        <v>1</v>
      </c>
      <c r="D1375" s="734">
        <v>4</v>
      </c>
      <c r="E1375" s="739">
        <v>0.38</v>
      </c>
      <c r="F1375" s="739">
        <v>0.23</v>
      </c>
      <c r="G1375" s="739">
        <f t="shared" si="124"/>
        <v>2.7</v>
      </c>
      <c r="H1375" s="739">
        <f t="shared" si="125"/>
        <v>0.94</v>
      </c>
      <c r="I1375" s="736"/>
    </row>
    <row r="1376" spans="1:10" s="737" customFormat="1">
      <c r="A1376" s="738"/>
      <c r="B1376" s="735" t="s">
        <v>5805</v>
      </c>
      <c r="C1376" s="734">
        <v>1</v>
      </c>
      <c r="D1376" s="734">
        <v>1</v>
      </c>
      <c r="E1376" s="739">
        <v>0.38</v>
      </c>
      <c r="F1376" s="739">
        <v>0.23</v>
      </c>
      <c r="G1376" s="739">
        <f t="shared" si="124"/>
        <v>2.7</v>
      </c>
      <c r="H1376" s="739">
        <f t="shared" si="125"/>
        <v>0.24</v>
      </c>
      <c r="I1376" s="736"/>
    </row>
    <row r="1377" spans="1:9" s="737" customFormat="1">
      <c r="A1377" s="738"/>
      <c r="B1377" s="735" t="s">
        <v>6240</v>
      </c>
      <c r="C1377" s="734">
        <v>1</v>
      </c>
      <c r="D1377" s="734">
        <v>1</v>
      </c>
      <c r="E1377" s="739">
        <v>5.2</v>
      </c>
      <c r="F1377" s="739">
        <v>0.23</v>
      </c>
      <c r="G1377" s="739">
        <v>0.4</v>
      </c>
      <c r="H1377" s="739">
        <f t="shared" si="125"/>
        <v>0.48</v>
      </c>
      <c r="I1377" s="736"/>
    </row>
    <row r="1378" spans="1:9" s="737" customFormat="1">
      <c r="A1378" s="738"/>
      <c r="B1378" s="735" t="s">
        <v>6241</v>
      </c>
      <c r="C1378" s="734">
        <v>1</v>
      </c>
      <c r="D1378" s="734">
        <v>1</v>
      </c>
      <c r="E1378" s="739">
        <v>2.4</v>
      </c>
      <c r="F1378" s="739">
        <v>1.2</v>
      </c>
      <c r="G1378" s="739">
        <v>0.15</v>
      </c>
      <c r="H1378" s="739">
        <f t="shared" si="125"/>
        <v>0.43</v>
      </c>
      <c r="I1378" s="736"/>
    </row>
    <row r="1379" spans="1:9" s="737" customFormat="1">
      <c r="A1379" s="738"/>
      <c r="B1379" s="735" t="s">
        <v>6242</v>
      </c>
      <c r="C1379" s="734">
        <v>1</v>
      </c>
      <c r="D1379" s="734">
        <v>1</v>
      </c>
      <c r="E1379" s="739">
        <v>2.4</v>
      </c>
      <c r="F1379" s="739">
        <f>1.62+0.23</f>
        <v>1.85</v>
      </c>
      <c r="G1379" s="739">
        <v>0.15</v>
      </c>
      <c r="H1379" s="739">
        <f t="shared" si="125"/>
        <v>0.67</v>
      </c>
      <c r="I1379" s="736"/>
    </row>
    <row r="1380" spans="1:9" s="737" customFormat="1">
      <c r="A1380" s="738"/>
      <c r="B1380" s="735" t="s">
        <v>6271</v>
      </c>
      <c r="C1380" s="734">
        <v>1</v>
      </c>
      <c r="D1380" s="734">
        <v>2</v>
      </c>
      <c r="E1380" s="739">
        <v>4</v>
      </c>
      <c r="F1380" s="739">
        <v>1.05</v>
      </c>
      <c r="G1380" s="739">
        <v>0.15</v>
      </c>
      <c r="H1380" s="739">
        <f t="shared" si="125"/>
        <v>1.26</v>
      </c>
      <c r="I1380" s="736"/>
    </row>
    <row r="1381" spans="1:9" s="737" customFormat="1">
      <c r="A1381" s="738"/>
      <c r="B1381" s="735" t="s">
        <v>6244</v>
      </c>
      <c r="C1381" s="734">
        <v>21</v>
      </c>
      <c r="D1381" s="734">
        <v>0.5</v>
      </c>
      <c r="E1381" s="739">
        <v>1.05</v>
      </c>
      <c r="F1381" s="739">
        <v>0.3</v>
      </c>
      <c r="G1381" s="739">
        <v>0.15</v>
      </c>
      <c r="H1381" s="739">
        <f t="shared" si="125"/>
        <v>0.5</v>
      </c>
      <c r="I1381" s="736"/>
    </row>
    <row r="1382" spans="1:9" s="737" customFormat="1">
      <c r="A1382" s="738"/>
      <c r="B1382" s="740" t="s">
        <v>6245</v>
      </c>
      <c r="C1382" s="734"/>
      <c r="D1382" s="734"/>
      <c r="E1382" s="739"/>
      <c r="F1382" s="739"/>
      <c r="G1382" s="739"/>
      <c r="H1382" s="739"/>
      <c r="I1382" s="736"/>
    </row>
    <row r="1383" spans="1:9" s="737" customFormat="1">
      <c r="A1383" s="738"/>
      <c r="B1383" s="740" t="s">
        <v>6246</v>
      </c>
      <c r="C1383" s="734">
        <v>1</v>
      </c>
      <c r="D1383" s="734">
        <v>1</v>
      </c>
      <c r="E1383" s="739">
        <v>5.41</v>
      </c>
      <c r="F1383" s="739">
        <v>0.23</v>
      </c>
      <c r="G1383" s="739">
        <v>0.35</v>
      </c>
      <c r="H1383" s="739">
        <f t="shared" ref="H1383:H1397" si="126">PRODUCT(C1383:G1383)</f>
        <v>0.44</v>
      </c>
      <c r="I1383" s="736"/>
    </row>
    <row r="1384" spans="1:9" s="737" customFormat="1">
      <c r="A1384" s="738"/>
      <c r="B1384" s="740" t="s">
        <v>6247</v>
      </c>
      <c r="C1384" s="734">
        <v>1</v>
      </c>
      <c r="D1384" s="734">
        <v>1</v>
      </c>
      <c r="E1384" s="739">
        <v>7.35</v>
      </c>
      <c r="F1384" s="739">
        <v>0.23</v>
      </c>
      <c r="G1384" s="739">
        <v>0.35</v>
      </c>
      <c r="H1384" s="739">
        <f t="shared" si="126"/>
        <v>0.59</v>
      </c>
      <c r="I1384" s="736"/>
    </row>
    <row r="1385" spans="1:9" s="737" customFormat="1">
      <c r="A1385" s="738"/>
      <c r="B1385" s="740" t="s">
        <v>6248</v>
      </c>
      <c r="C1385" s="734">
        <v>1</v>
      </c>
      <c r="D1385" s="734">
        <v>1</v>
      </c>
      <c r="E1385" s="739">
        <v>2.4</v>
      </c>
      <c r="F1385" s="739">
        <v>0.23</v>
      </c>
      <c r="G1385" s="739">
        <v>0.35</v>
      </c>
      <c r="H1385" s="739">
        <f t="shared" si="126"/>
        <v>0.19</v>
      </c>
      <c r="I1385" s="736"/>
    </row>
    <row r="1386" spans="1:9" s="737" customFormat="1">
      <c r="A1386" s="738"/>
      <c r="B1386" s="740" t="s">
        <v>6249</v>
      </c>
      <c r="C1386" s="734">
        <v>1</v>
      </c>
      <c r="D1386" s="734">
        <v>1</v>
      </c>
      <c r="E1386" s="739">
        <v>6.53</v>
      </c>
      <c r="F1386" s="739">
        <v>0.23</v>
      </c>
      <c r="G1386" s="739">
        <v>0.35</v>
      </c>
      <c r="H1386" s="739">
        <f t="shared" si="126"/>
        <v>0.53</v>
      </c>
      <c r="I1386" s="736"/>
    </row>
    <row r="1387" spans="1:9" s="737" customFormat="1">
      <c r="A1387" s="738"/>
      <c r="B1387" s="740" t="s">
        <v>6250</v>
      </c>
      <c r="C1387" s="734">
        <v>1</v>
      </c>
      <c r="D1387" s="734">
        <v>1</v>
      </c>
      <c r="E1387" s="739">
        <v>3.6</v>
      </c>
      <c r="F1387" s="739">
        <v>0.23</v>
      </c>
      <c r="G1387" s="739">
        <v>0.35</v>
      </c>
      <c r="H1387" s="739">
        <f t="shared" si="126"/>
        <v>0.28999999999999998</v>
      </c>
      <c r="I1387" s="736"/>
    </row>
    <row r="1388" spans="1:9" s="737" customFormat="1">
      <c r="A1388" s="738"/>
      <c r="B1388" s="740" t="s">
        <v>6251</v>
      </c>
      <c r="C1388" s="734">
        <v>1</v>
      </c>
      <c r="D1388" s="734">
        <v>1</v>
      </c>
      <c r="E1388" s="739">
        <v>2.4</v>
      </c>
      <c r="F1388" s="739">
        <v>0.23</v>
      </c>
      <c r="G1388" s="739">
        <v>0.23</v>
      </c>
      <c r="H1388" s="739">
        <f t="shared" si="126"/>
        <v>0.13</v>
      </c>
      <c r="I1388" s="736"/>
    </row>
    <row r="1389" spans="1:9" s="737" customFormat="1" ht="20.25" customHeight="1">
      <c r="A1389" s="738"/>
      <c r="B1389" s="740" t="s">
        <v>6252</v>
      </c>
      <c r="C1389" s="734">
        <v>1</v>
      </c>
      <c r="D1389" s="734">
        <v>1</v>
      </c>
      <c r="E1389" s="739">
        <v>12.99</v>
      </c>
      <c r="F1389" s="739">
        <v>0.23</v>
      </c>
      <c r="G1389" s="739">
        <v>0.35</v>
      </c>
      <c r="H1389" s="739">
        <f t="shared" si="126"/>
        <v>1.05</v>
      </c>
      <c r="I1389" s="736"/>
    </row>
    <row r="1390" spans="1:9" s="737" customFormat="1">
      <c r="A1390" s="738"/>
      <c r="B1390" s="740" t="s">
        <v>6258</v>
      </c>
      <c r="C1390" s="734">
        <v>1</v>
      </c>
      <c r="D1390" s="734">
        <v>1</v>
      </c>
      <c r="E1390" s="739">
        <v>6.53</v>
      </c>
      <c r="F1390" s="739">
        <v>0.23</v>
      </c>
      <c r="G1390" s="739">
        <v>0.1</v>
      </c>
      <c r="H1390" s="739">
        <f t="shared" si="126"/>
        <v>0.15</v>
      </c>
      <c r="I1390" s="736"/>
    </row>
    <row r="1391" spans="1:9" s="737" customFormat="1">
      <c r="A1391" s="738"/>
      <c r="B1391" s="740" t="s">
        <v>6254</v>
      </c>
      <c r="C1391" s="734">
        <v>1</v>
      </c>
      <c r="D1391" s="734">
        <v>1</v>
      </c>
      <c r="E1391" s="739">
        <v>12.99</v>
      </c>
      <c r="F1391" s="739">
        <v>0.23</v>
      </c>
      <c r="G1391" s="739">
        <v>0.35</v>
      </c>
      <c r="H1391" s="739">
        <f t="shared" si="126"/>
        <v>1.05</v>
      </c>
      <c r="I1391" s="736"/>
    </row>
    <row r="1392" spans="1:9" s="737" customFormat="1">
      <c r="A1392" s="738"/>
      <c r="B1392" s="740" t="s">
        <v>6272</v>
      </c>
      <c r="C1392" s="734">
        <v>1</v>
      </c>
      <c r="D1392" s="734">
        <v>1</v>
      </c>
      <c r="E1392" s="739">
        <v>3.52</v>
      </c>
      <c r="F1392" s="739">
        <v>0.23</v>
      </c>
      <c r="G1392" s="739">
        <v>0.23</v>
      </c>
      <c r="H1392" s="739">
        <f t="shared" si="126"/>
        <v>0.19</v>
      </c>
      <c r="I1392" s="736"/>
    </row>
    <row r="1393" spans="1:9" s="737" customFormat="1">
      <c r="A1393" s="738"/>
      <c r="B1393" s="740" t="s">
        <v>6256</v>
      </c>
      <c r="C1393" s="734">
        <v>1</v>
      </c>
      <c r="D1393" s="734">
        <v>1</v>
      </c>
      <c r="E1393" s="739">
        <v>11.01</v>
      </c>
      <c r="F1393" s="739">
        <v>0.23</v>
      </c>
      <c r="G1393" s="739">
        <v>0.35</v>
      </c>
      <c r="H1393" s="739">
        <f t="shared" si="126"/>
        <v>0.89</v>
      </c>
      <c r="I1393" s="736"/>
    </row>
    <row r="1394" spans="1:9" s="737" customFormat="1">
      <c r="A1394" s="738"/>
      <c r="B1394" s="740" t="s">
        <v>6257</v>
      </c>
      <c r="C1394" s="734">
        <v>1</v>
      </c>
      <c r="D1394" s="734">
        <v>1</v>
      </c>
      <c r="E1394" s="739">
        <v>11.01</v>
      </c>
      <c r="F1394" s="739">
        <v>0.23</v>
      </c>
      <c r="G1394" s="739">
        <v>0.35</v>
      </c>
      <c r="H1394" s="739">
        <f t="shared" si="126"/>
        <v>0.89</v>
      </c>
      <c r="I1394" s="736"/>
    </row>
    <row r="1395" spans="1:9" s="737" customFormat="1">
      <c r="A1395" s="738"/>
      <c r="B1395" s="740" t="s">
        <v>6260</v>
      </c>
      <c r="C1395" s="734">
        <v>1</v>
      </c>
      <c r="D1395" s="734">
        <v>1</v>
      </c>
      <c r="E1395" s="739">
        <v>12.44</v>
      </c>
      <c r="F1395" s="739">
        <v>0.23</v>
      </c>
      <c r="G1395" s="739">
        <v>0.35</v>
      </c>
      <c r="H1395" s="739">
        <f t="shared" si="126"/>
        <v>1</v>
      </c>
      <c r="I1395" s="736"/>
    </row>
    <row r="1396" spans="1:9" s="737" customFormat="1">
      <c r="A1396" s="738"/>
      <c r="B1396" s="740" t="s">
        <v>6273</v>
      </c>
      <c r="C1396" s="734">
        <v>1</v>
      </c>
      <c r="D1396" s="734">
        <v>2</v>
      </c>
      <c r="E1396" s="739">
        <v>12.44</v>
      </c>
      <c r="F1396" s="739">
        <v>0.23</v>
      </c>
      <c r="G1396" s="739">
        <v>0.35</v>
      </c>
      <c r="H1396" s="739">
        <f t="shared" si="126"/>
        <v>2</v>
      </c>
      <c r="I1396" s="736"/>
    </row>
    <row r="1397" spans="1:9" s="737" customFormat="1">
      <c r="A1397" s="738"/>
      <c r="B1397" s="740" t="s">
        <v>6258</v>
      </c>
      <c r="C1397" s="734">
        <v>1</v>
      </c>
      <c r="D1397" s="734">
        <v>2</v>
      </c>
      <c r="E1397" s="739">
        <v>6.13</v>
      </c>
      <c r="F1397" s="739">
        <v>0.23</v>
      </c>
      <c r="G1397" s="739">
        <v>0.1</v>
      </c>
      <c r="H1397" s="739">
        <f t="shared" si="126"/>
        <v>0.28000000000000003</v>
      </c>
      <c r="I1397" s="736"/>
    </row>
    <row r="1398" spans="1:9" s="737" customFormat="1" ht="21" customHeight="1">
      <c r="A1398" s="738"/>
      <c r="B1398" s="740" t="s">
        <v>6263</v>
      </c>
      <c r="C1398" s="734"/>
      <c r="D1398" s="734"/>
      <c r="E1398" s="739"/>
      <c r="F1398" s="739"/>
      <c r="G1398" s="765"/>
      <c r="H1398" s="739"/>
      <c r="I1398" s="736"/>
    </row>
    <row r="1399" spans="1:9" s="737" customFormat="1">
      <c r="A1399" s="738"/>
      <c r="B1399" s="740" t="s">
        <v>6274</v>
      </c>
      <c r="C1399" s="734">
        <v>1</v>
      </c>
      <c r="D1399" s="734">
        <v>1</v>
      </c>
      <c r="E1399" s="739">
        <v>3.6</v>
      </c>
      <c r="F1399" s="739">
        <v>3.49</v>
      </c>
      <c r="G1399" s="765">
        <v>0.125</v>
      </c>
      <c r="H1399" s="739">
        <f>PRODUCT(C1399:G1399)</f>
        <v>1.57</v>
      </c>
      <c r="I1399" s="736"/>
    </row>
    <row r="1400" spans="1:9" s="737" customFormat="1">
      <c r="A1400" s="738"/>
      <c r="B1400" s="740" t="s">
        <v>6266</v>
      </c>
      <c r="C1400" s="734">
        <v>1</v>
      </c>
      <c r="D1400" s="734">
        <v>1</v>
      </c>
      <c r="E1400" s="739">
        <v>3.6</v>
      </c>
      <c r="F1400" s="739">
        <v>2.97</v>
      </c>
      <c r="G1400" s="765">
        <v>0.125</v>
      </c>
      <c r="H1400" s="739">
        <f>PRODUCT(C1400:G1400)</f>
        <v>1.34</v>
      </c>
      <c r="I1400" s="736"/>
    </row>
    <row r="1401" spans="1:9" s="737" customFormat="1">
      <c r="A1401" s="738"/>
      <c r="B1401" s="740" t="s">
        <v>6275</v>
      </c>
      <c r="C1401" s="734">
        <v>1</v>
      </c>
      <c r="D1401" s="734">
        <v>1</v>
      </c>
      <c r="E1401" s="739">
        <v>3.6</v>
      </c>
      <c r="F1401" s="739">
        <v>3.64</v>
      </c>
      <c r="G1401" s="765">
        <v>0.125</v>
      </c>
      <c r="H1401" s="739">
        <f t="shared" ref="H1401:H1411" si="127">PRODUCT(C1401:G1401)</f>
        <v>1.64</v>
      </c>
      <c r="I1401" s="736"/>
    </row>
    <row r="1402" spans="1:9" s="737" customFormat="1">
      <c r="A1402" s="738"/>
      <c r="B1402" s="740" t="s">
        <v>6075</v>
      </c>
      <c r="C1402" s="734">
        <v>1</v>
      </c>
      <c r="D1402" s="734">
        <v>1</v>
      </c>
      <c r="E1402" s="739">
        <v>3.52</v>
      </c>
      <c r="F1402" s="739">
        <v>2.82</v>
      </c>
      <c r="G1402" s="765">
        <v>0.125</v>
      </c>
      <c r="H1402" s="739">
        <f t="shared" si="127"/>
        <v>1.24</v>
      </c>
      <c r="I1402" s="736"/>
    </row>
    <row r="1403" spans="1:9" s="737" customFormat="1">
      <c r="A1403" s="738"/>
      <c r="B1403" s="740" t="s">
        <v>6075</v>
      </c>
      <c r="C1403" s="734">
        <v>1</v>
      </c>
      <c r="D1403" s="734">
        <v>1</v>
      </c>
      <c r="E1403" s="739">
        <v>3.52</v>
      </c>
      <c r="F1403" s="739">
        <v>3.63</v>
      </c>
      <c r="G1403" s="765">
        <v>0.125</v>
      </c>
      <c r="H1403" s="739">
        <f t="shared" si="127"/>
        <v>1.6</v>
      </c>
      <c r="I1403" s="736"/>
    </row>
    <row r="1404" spans="1:9" s="737" customFormat="1">
      <c r="A1404" s="738"/>
      <c r="B1404" s="740" t="s">
        <v>5900</v>
      </c>
      <c r="C1404" s="734">
        <v>1</v>
      </c>
      <c r="D1404" s="734">
        <v>1</v>
      </c>
      <c r="E1404" s="739">
        <v>3.52</v>
      </c>
      <c r="F1404" s="739">
        <v>3.64</v>
      </c>
      <c r="G1404" s="765">
        <v>0.125</v>
      </c>
      <c r="H1404" s="739">
        <f t="shared" si="127"/>
        <v>1.6</v>
      </c>
      <c r="I1404" s="736"/>
    </row>
    <row r="1405" spans="1:9" s="737" customFormat="1">
      <c r="A1405" s="738"/>
      <c r="B1405" s="740" t="s">
        <v>6276</v>
      </c>
      <c r="C1405" s="734">
        <v>1</v>
      </c>
      <c r="D1405" s="734">
        <v>1</v>
      </c>
      <c r="E1405" s="739">
        <v>3.52</v>
      </c>
      <c r="F1405" s="739">
        <v>1.24</v>
      </c>
      <c r="G1405" s="765">
        <v>0.125</v>
      </c>
      <c r="H1405" s="739">
        <f t="shared" si="127"/>
        <v>0.55000000000000004</v>
      </c>
      <c r="I1405" s="736"/>
    </row>
    <row r="1406" spans="1:9" s="737" customFormat="1">
      <c r="A1406" s="738"/>
      <c r="B1406" s="740" t="s">
        <v>6277</v>
      </c>
      <c r="C1406" s="734">
        <v>1</v>
      </c>
      <c r="D1406" s="734">
        <v>1</v>
      </c>
      <c r="E1406" s="739">
        <v>2.78</v>
      </c>
      <c r="F1406" s="739">
        <v>4.25</v>
      </c>
      <c r="G1406" s="765">
        <v>0.125</v>
      </c>
      <c r="H1406" s="739">
        <f t="shared" si="127"/>
        <v>1.48</v>
      </c>
      <c r="I1406" s="736"/>
    </row>
    <row r="1407" spans="1:9" s="737" customFormat="1" ht="20.25" customHeight="1">
      <c r="A1407" s="738"/>
      <c r="B1407" s="740" t="s">
        <v>6057</v>
      </c>
      <c r="C1407" s="734">
        <v>1</v>
      </c>
      <c r="D1407" s="734">
        <v>1</v>
      </c>
      <c r="E1407" s="739">
        <v>2.78</v>
      </c>
      <c r="F1407" s="739">
        <v>3.63</v>
      </c>
      <c r="G1407" s="765">
        <v>0.125</v>
      </c>
      <c r="H1407" s="739">
        <f t="shared" si="127"/>
        <v>1.26</v>
      </c>
      <c r="I1407" s="736"/>
    </row>
    <row r="1408" spans="1:9" s="737" customFormat="1" ht="20.25" customHeight="1">
      <c r="A1408" s="738"/>
      <c r="B1408" s="740" t="s">
        <v>5901</v>
      </c>
      <c r="C1408" s="734">
        <v>1</v>
      </c>
      <c r="D1408" s="734">
        <v>1</v>
      </c>
      <c r="E1408" s="739">
        <v>2.78</v>
      </c>
      <c r="F1408" s="739">
        <v>3.64</v>
      </c>
      <c r="G1408" s="765">
        <v>0.125</v>
      </c>
      <c r="H1408" s="739">
        <f t="shared" si="127"/>
        <v>1.26</v>
      </c>
      <c r="I1408" s="736"/>
    </row>
    <row r="1409" spans="1:9" s="737" customFormat="1">
      <c r="A1409" s="738"/>
      <c r="B1409" s="735" t="s">
        <v>5849</v>
      </c>
      <c r="C1409" s="734">
        <v>1</v>
      </c>
      <c r="D1409" s="734">
        <v>1</v>
      </c>
      <c r="E1409" s="739">
        <v>2.4</v>
      </c>
      <c r="F1409" s="739">
        <v>1.43</v>
      </c>
      <c r="G1409" s="765">
        <v>0.125</v>
      </c>
      <c r="H1409" s="739">
        <f t="shared" si="127"/>
        <v>0.43</v>
      </c>
      <c r="I1409" s="736"/>
    </row>
    <row r="1410" spans="1:9" s="737" customFormat="1">
      <c r="A1410" s="738"/>
      <c r="B1410" s="735" t="s">
        <v>6278</v>
      </c>
      <c r="C1410" s="734">
        <v>1</v>
      </c>
      <c r="D1410" s="734">
        <v>1</v>
      </c>
      <c r="E1410" s="739">
        <v>2.4</v>
      </c>
      <c r="F1410" s="739">
        <v>2.21</v>
      </c>
      <c r="G1410" s="765">
        <v>0.125</v>
      </c>
      <c r="H1410" s="739">
        <f t="shared" si="127"/>
        <v>0.66</v>
      </c>
      <c r="I1410" s="736"/>
    </row>
    <row r="1411" spans="1:9" s="737" customFormat="1">
      <c r="A1411" s="738"/>
      <c r="B1411" s="735" t="s">
        <v>6279</v>
      </c>
      <c r="C1411" s="734">
        <v>1</v>
      </c>
      <c r="D1411" s="734">
        <v>1</v>
      </c>
      <c r="E1411" s="739">
        <v>2.4</v>
      </c>
      <c r="F1411" s="739">
        <v>2.78</v>
      </c>
      <c r="G1411" s="765">
        <v>0.125</v>
      </c>
      <c r="H1411" s="739">
        <f t="shared" si="127"/>
        <v>0.83</v>
      </c>
      <c r="I1411" s="736"/>
    </row>
    <row r="1412" spans="1:9">
      <c r="A1412" s="753"/>
      <c r="B1412" s="751" t="s">
        <v>5877</v>
      </c>
      <c r="C1412" s="748"/>
      <c r="D1412" s="748"/>
      <c r="E1412" s="749"/>
      <c r="F1412" s="749"/>
      <c r="G1412" s="749"/>
      <c r="H1412" s="739"/>
      <c r="I1412" s="750"/>
    </row>
    <row r="1413" spans="1:9">
      <c r="A1413" s="753"/>
      <c r="B1413" s="754" t="s">
        <v>5906</v>
      </c>
      <c r="C1413" s="748">
        <v>1</v>
      </c>
      <c r="D1413" s="748">
        <v>1</v>
      </c>
      <c r="E1413" s="749">
        <f>1.35+0.46</f>
        <v>1.81</v>
      </c>
      <c r="F1413" s="749">
        <v>0.23</v>
      </c>
      <c r="G1413" s="749">
        <v>0.05</v>
      </c>
      <c r="H1413" s="739">
        <f t="shared" ref="H1413:H1416" si="128">PRODUCT(C1413:G1413)</f>
        <v>0.02</v>
      </c>
      <c r="I1413" s="750"/>
    </row>
    <row r="1414" spans="1:9">
      <c r="A1414" s="753"/>
      <c r="B1414" s="754" t="s">
        <v>5907</v>
      </c>
      <c r="C1414" s="748">
        <v>1</v>
      </c>
      <c r="D1414" s="748">
        <v>1</v>
      </c>
      <c r="E1414" s="749">
        <f>1.8+0.46</f>
        <v>2.2599999999999998</v>
      </c>
      <c r="F1414" s="749">
        <v>0.23</v>
      </c>
      <c r="G1414" s="749">
        <v>0.05</v>
      </c>
      <c r="H1414" s="739">
        <f t="shared" si="128"/>
        <v>0.03</v>
      </c>
      <c r="I1414" s="750"/>
    </row>
    <row r="1415" spans="1:9">
      <c r="A1415" s="753"/>
      <c r="B1415" s="754" t="s">
        <v>5908</v>
      </c>
      <c r="C1415" s="748">
        <v>1</v>
      </c>
      <c r="D1415" s="748">
        <v>1</v>
      </c>
      <c r="E1415" s="749">
        <f>1.8+0.46</f>
        <v>2.2599999999999998</v>
      </c>
      <c r="F1415" s="749">
        <v>0.23</v>
      </c>
      <c r="G1415" s="749">
        <v>0.05</v>
      </c>
      <c r="H1415" s="739">
        <f t="shared" si="128"/>
        <v>0.03</v>
      </c>
      <c r="I1415" s="750"/>
    </row>
    <row r="1416" spans="1:9">
      <c r="A1416" s="753"/>
      <c r="B1416" s="754" t="s">
        <v>5873</v>
      </c>
      <c r="C1416" s="748">
        <v>1</v>
      </c>
      <c r="D1416" s="748">
        <v>6</v>
      </c>
      <c r="E1416" s="749">
        <f>1.5+0.46</f>
        <v>1.96</v>
      </c>
      <c r="F1416" s="749">
        <v>0.23</v>
      </c>
      <c r="G1416" s="749">
        <v>0.05</v>
      </c>
      <c r="H1416" s="739">
        <f t="shared" si="128"/>
        <v>0.14000000000000001</v>
      </c>
      <c r="I1416" s="750"/>
    </row>
    <row r="1417" spans="1:9" s="737" customFormat="1">
      <c r="A1417" s="738"/>
      <c r="B1417" s="735" t="s">
        <v>5909</v>
      </c>
      <c r="C1417" s="748">
        <v>1</v>
      </c>
      <c r="D1417" s="734">
        <v>3</v>
      </c>
      <c r="E1417" s="739">
        <v>1.66</v>
      </c>
      <c r="F1417" s="739">
        <v>0.23</v>
      </c>
      <c r="G1417" s="749">
        <v>0.05</v>
      </c>
      <c r="H1417" s="739">
        <f>PRODUCT(C1417:G1417)</f>
        <v>0.06</v>
      </c>
      <c r="I1417" s="736"/>
    </row>
    <row r="1418" spans="1:9" s="737" customFormat="1">
      <c r="A1418" s="738"/>
      <c r="B1418" s="735" t="s">
        <v>5910</v>
      </c>
      <c r="C1418" s="748">
        <v>1</v>
      </c>
      <c r="D1418" s="734">
        <v>1</v>
      </c>
      <c r="E1418" s="739">
        <f>1.5+0.46</f>
        <v>1.96</v>
      </c>
      <c r="F1418" s="739">
        <v>0.23</v>
      </c>
      <c r="G1418" s="749">
        <v>0.05</v>
      </c>
      <c r="H1418" s="739">
        <f>PRODUCT(C1418:G1418)</f>
        <v>0.02</v>
      </c>
      <c r="I1418" s="736"/>
    </row>
    <row r="1419" spans="1:9" s="737" customFormat="1">
      <c r="A1419" s="738"/>
      <c r="B1419" s="735" t="s">
        <v>5911</v>
      </c>
      <c r="C1419" s="748">
        <v>1</v>
      </c>
      <c r="D1419" s="734">
        <v>2</v>
      </c>
      <c r="E1419" s="739">
        <f>1+0.46</f>
        <v>1.46</v>
      </c>
      <c r="F1419" s="739">
        <v>0.23</v>
      </c>
      <c r="G1419" s="749">
        <v>0.05</v>
      </c>
      <c r="H1419" s="739">
        <f>PRODUCT(C1419:G1419)</f>
        <v>0.03</v>
      </c>
      <c r="I1419" s="736"/>
    </row>
    <row r="1420" spans="1:9" s="737" customFormat="1">
      <c r="A1420" s="738"/>
      <c r="B1420" s="735" t="s">
        <v>5912</v>
      </c>
      <c r="C1420" s="748">
        <v>1</v>
      </c>
      <c r="D1420" s="734">
        <v>1</v>
      </c>
      <c r="E1420" s="739">
        <f>1+0.46</f>
        <v>1.46</v>
      </c>
      <c r="F1420" s="739">
        <v>0.23</v>
      </c>
      <c r="G1420" s="749">
        <v>0.05</v>
      </c>
      <c r="H1420" s="739">
        <f>PRODUCT(C1420:G1420)</f>
        <v>0.02</v>
      </c>
      <c r="I1420" s="736"/>
    </row>
    <row r="1421" spans="1:9" s="737" customFormat="1">
      <c r="A1421" s="738"/>
      <c r="B1421" s="735" t="s">
        <v>5875</v>
      </c>
      <c r="C1421" s="748">
        <v>1</v>
      </c>
      <c r="D1421" s="734">
        <v>3</v>
      </c>
      <c r="E1421" s="739">
        <f>0.75+0.46</f>
        <v>1.21</v>
      </c>
      <c r="F1421" s="739">
        <v>0.23</v>
      </c>
      <c r="G1421" s="749">
        <v>0.05</v>
      </c>
      <c r="H1421" s="739">
        <f>PRODUCT(C1421:G1421)</f>
        <v>0.04</v>
      </c>
      <c r="I1421" s="736"/>
    </row>
    <row r="1422" spans="1:9" s="737" customFormat="1">
      <c r="A1422" s="738"/>
      <c r="B1422" s="757" t="s">
        <v>5878</v>
      </c>
      <c r="C1422" s="734"/>
      <c r="D1422" s="734"/>
      <c r="E1422" s="739"/>
      <c r="F1422" s="739"/>
      <c r="G1422" s="739"/>
      <c r="H1422" s="739"/>
      <c r="I1422" s="736"/>
    </row>
    <row r="1423" spans="1:9">
      <c r="A1423" s="753"/>
      <c r="B1423" s="754" t="s">
        <v>5906</v>
      </c>
      <c r="C1423" s="748">
        <v>1</v>
      </c>
      <c r="D1423" s="748">
        <v>1</v>
      </c>
      <c r="E1423" s="749">
        <f>1.35+0.46</f>
        <v>1.81</v>
      </c>
      <c r="F1423" s="749">
        <v>0.23</v>
      </c>
      <c r="G1423" s="749">
        <v>0.15</v>
      </c>
      <c r="H1423" s="739">
        <f t="shared" ref="H1423:H1426" si="129">PRODUCT(C1423:G1423)</f>
        <v>0.06</v>
      </c>
      <c r="I1423" s="750"/>
    </row>
    <row r="1424" spans="1:9">
      <c r="A1424" s="753"/>
      <c r="B1424" s="754" t="s">
        <v>5907</v>
      </c>
      <c r="C1424" s="748">
        <v>1</v>
      </c>
      <c r="D1424" s="748">
        <v>1</v>
      </c>
      <c r="E1424" s="749">
        <f>1.8+0.46</f>
        <v>2.2599999999999998</v>
      </c>
      <c r="F1424" s="749">
        <v>0.23</v>
      </c>
      <c r="G1424" s="749">
        <v>0.15</v>
      </c>
      <c r="H1424" s="739">
        <f t="shared" si="129"/>
        <v>0.08</v>
      </c>
      <c r="I1424" s="750"/>
    </row>
    <row r="1425" spans="1:9">
      <c r="A1425" s="753"/>
      <c r="B1425" s="754" t="s">
        <v>5908</v>
      </c>
      <c r="C1425" s="748">
        <v>1</v>
      </c>
      <c r="D1425" s="748">
        <v>1</v>
      </c>
      <c r="E1425" s="749">
        <f>1.8+0.46</f>
        <v>2.2599999999999998</v>
      </c>
      <c r="F1425" s="749">
        <v>0.23</v>
      </c>
      <c r="G1425" s="749">
        <v>0.15</v>
      </c>
      <c r="H1425" s="739">
        <f t="shared" si="129"/>
        <v>0.08</v>
      </c>
      <c r="I1425" s="750"/>
    </row>
    <row r="1426" spans="1:9">
      <c r="A1426" s="753"/>
      <c r="B1426" s="754" t="s">
        <v>5873</v>
      </c>
      <c r="C1426" s="748">
        <v>1</v>
      </c>
      <c r="D1426" s="748">
        <v>6</v>
      </c>
      <c r="E1426" s="749">
        <f>1.5+0.46</f>
        <v>1.96</v>
      </c>
      <c r="F1426" s="749">
        <v>0.23</v>
      </c>
      <c r="G1426" s="749">
        <v>0.15</v>
      </c>
      <c r="H1426" s="739">
        <f t="shared" si="129"/>
        <v>0.41</v>
      </c>
      <c r="I1426" s="750"/>
    </row>
    <row r="1427" spans="1:9" s="737" customFormat="1">
      <c r="A1427" s="738"/>
      <c r="B1427" s="735" t="s">
        <v>5909</v>
      </c>
      <c r="C1427" s="748">
        <v>1</v>
      </c>
      <c r="D1427" s="734">
        <v>3</v>
      </c>
      <c r="E1427" s="739">
        <v>1.66</v>
      </c>
      <c r="F1427" s="739">
        <v>0.23</v>
      </c>
      <c r="G1427" s="749">
        <v>0.15</v>
      </c>
      <c r="H1427" s="739">
        <f>PRODUCT(C1427:G1427)</f>
        <v>0.17</v>
      </c>
      <c r="I1427" s="736"/>
    </row>
    <row r="1428" spans="1:9" s="737" customFormat="1">
      <c r="A1428" s="738"/>
      <c r="B1428" s="735" t="s">
        <v>5910</v>
      </c>
      <c r="C1428" s="748">
        <v>1</v>
      </c>
      <c r="D1428" s="734">
        <v>1</v>
      </c>
      <c r="E1428" s="739">
        <f>1.5+0.46</f>
        <v>1.96</v>
      </c>
      <c r="F1428" s="739">
        <v>0.23</v>
      </c>
      <c r="G1428" s="749">
        <v>0.15</v>
      </c>
      <c r="H1428" s="739">
        <f>PRODUCT(C1428:G1428)</f>
        <v>7.0000000000000007E-2</v>
      </c>
      <c r="I1428" s="736"/>
    </row>
    <row r="1429" spans="1:9" s="737" customFormat="1">
      <c r="A1429" s="738"/>
      <c r="B1429" s="735" t="s">
        <v>5911</v>
      </c>
      <c r="C1429" s="748">
        <v>1</v>
      </c>
      <c r="D1429" s="734">
        <v>2</v>
      </c>
      <c r="E1429" s="739">
        <f>1+0.46</f>
        <v>1.46</v>
      </c>
      <c r="F1429" s="739">
        <v>0.23</v>
      </c>
      <c r="G1429" s="749">
        <v>0.15</v>
      </c>
      <c r="H1429" s="739">
        <f>PRODUCT(C1429:G1429)</f>
        <v>0.1</v>
      </c>
      <c r="I1429" s="736"/>
    </row>
    <row r="1430" spans="1:9" s="737" customFormat="1">
      <c r="A1430" s="738"/>
      <c r="B1430" s="735" t="s">
        <v>5912</v>
      </c>
      <c r="C1430" s="748">
        <v>1</v>
      </c>
      <c r="D1430" s="734">
        <v>1</v>
      </c>
      <c r="E1430" s="739">
        <f>1+0.46</f>
        <v>1.46</v>
      </c>
      <c r="F1430" s="739">
        <v>0.23</v>
      </c>
      <c r="G1430" s="749">
        <v>0.15</v>
      </c>
      <c r="H1430" s="739">
        <f>PRODUCT(C1430:G1430)</f>
        <v>0.05</v>
      </c>
      <c r="I1430" s="736"/>
    </row>
    <row r="1431" spans="1:9" s="737" customFormat="1">
      <c r="A1431" s="738"/>
      <c r="B1431" s="735" t="s">
        <v>5875</v>
      </c>
      <c r="C1431" s="748">
        <v>1</v>
      </c>
      <c r="D1431" s="734">
        <v>3</v>
      </c>
      <c r="E1431" s="739">
        <f>0.75+0.46</f>
        <v>1.21</v>
      </c>
      <c r="F1431" s="739">
        <v>0.23</v>
      </c>
      <c r="G1431" s="749">
        <v>0.15</v>
      </c>
      <c r="H1431" s="739">
        <f>PRODUCT(C1431:G1431)</f>
        <v>0.13</v>
      </c>
      <c r="I1431" s="736"/>
    </row>
    <row r="1432" spans="1:9">
      <c r="A1432" s="753"/>
      <c r="B1432" s="754" t="s">
        <v>5865</v>
      </c>
      <c r="C1432" s="748">
        <v>1</v>
      </c>
      <c r="D1432" s="748">
        <v>1</v>
      </c>
      <c r="E1432" s="749">
        <v>1.2</v>
      </c>
      <c r="F1432" s="749">
        <v>0.23</v>
      </c>
      <c r="G1432" s="749">
        <v>0.15</v>
      </c>
      <c r="H1432" s="739">
        <f t="shared" ref="H1432:H1444" si="130">PRODUCT(C1432:G1432)</f>
        <v>0.04</v>
      </c>
      <c r="I1432" s="750"/>
    </row>
    <row r="1433" spans="1:9">
      <c r="A1433" s="753"/>
      <c r="B1433" s="754" t="s">
        <v>5903</v>
      </c>
      <c r="C1433" s="748">
        <v>1</v>
      </c>
      <c r="D1433" s="748">
        <v>1</v>
      </c>
      <c r="E1433" s="749">
        <v>1.05</v>
      </c>
      <c r="F1433" s="749">
        <v>0.23</v>
      </c>
      <c r="G1433" s="749">
        <v>0.15</v>
      </c>
      <c r="H1433" s="739">
        <f t="shared" si="130"/>
        <v>0.04</v>
      </c>
      <c r="I1433" s="750"/>
    </row>
    <row r="1434" spans="1:9">
      <c r="A1434" s="753"/>
      <c r="B1434" s="754" t="s">
        <v>5798</v>
      </c>
      <c r="C1434" s="748">
        <v>1</v>
      </c>
      <c r="D1434" s="748">
        <v>4</v>
      </c>
      <c r="E1434" s="749">
        <v>0.9</v>
      </c>
      <c r="F1434" s="749">
        <v>0.23</v>
      </c>
      <c r="G1434" s="749">
        <v>0.15</v>
      </c>
      <c r="H1434" s="739">
        <f t="shared" si="130"/>
        <v>0.12</v>
      </c>
      <c r="I1434" s="750"/>
    </row>
    <row r="1435" spans="1:9">
      <c r="A1435" s="753"/>
      <c r="B1435" s="754" t="s">
        <v>5904</v>
      </c>
      <c r="C1435" s="748">
        <v>1</v>
      </c>
      <c r="D1435" s="748">
        <v>1</v>
      </c>
      <c r="E1435" s="749">
        <v>0.9</v>
      </c>
      <c r="F1435" s="749">
        <v>0.23</v>
      </c>
      <c r="G1435" s="749">
        <v>0.15</v>
      </c>
      <c r="H1435" s="739">
        <f t="shared" si="130"/>
        <v>0.03</v>
      </c>
      <c r="I1435" s="750"/>
    </row>
    <row r="1436" spans="1:9">
      <c r="A1436" s="753"/>
      <c r="B1436" s="754" t="s">
        <v>5905</v>
      </c>
      <c r="C1436" s="748">
        <v>1</v>
      </c>
      <c r="D1436" s="748">
        <v>1</v>
      </c>
      <c r="E1436" s="749">
        <v>0.9</v>
      </c>
      <c r="F1436" s="749">
        <v>0.23</v>
      </c>
      <c r="G1436" s="749">
        <v>0.15</v>
      </c>
      <c r="H1436" s="739">
        <f t="shared" si="130"/>
        <v>0.03</v>
      </c>
      <c r="I1436" s="750"/>
    </row>
    <row r="1437" spans="1:9">
      <c r="A1437" s="753"/>
      <c r="B1437" s="754" t="s">
        <v>5928</v>
      </c>
      <c r="C1437" s="748">
        <v>1</v>
      </c>
      <c r="D1437" s="748">
        <v>3</v>
      </c>
      <c r="E1437" s="749">
        <f>0.75+0.46</f>
        <v>1.21</v>
      </c>
      <c r="F1437" s="749">
        <v>0.12</v>
      </c>
      <c r="G1437" s="749">
        <v>0.15</v>
      </c>
      <c r="H1437" s="739">
        <f t="shared" si="130"/>
        <v>7.0000000000000007E-2</v>
      </c>
      <c r="I1437" s="750"/>
    </row>
    <row r="1438" spans="1:9">
      <c r="A1438" s="753"/>
      <c r="B1438" s="754" t="s">
        <v>5798</v>
      </c>
      <c r="C1438" s="748">
        <v>1</v>
      </c>
      <c r="D1438" s="748">
        <v>1</v>
      </c>
      <c r="E1438" s="749">
        <f>0.9+0.46</f>
        <v>1.36</v>
      </c>
      <c r="F1438" s="749">
        <v>0.12</v>
      </c>
      <c r="G1438" s="749">
        <v>0.15</v>
      </c>
      <c r="H1438" s="739">
        <f t="shared" si="130"/>
        <v>0.02</v>
      </c>
      <c r="I1438" s="750"/>
    </row>
    <row r="1439" spans="1:9">
      <c r="A1439" s="753"/>
      <c r="B1439" s="754" t="s">
        <v>5938</v>
      </c>
      <c r="C1439" s="748">
        <v>1</v>
      </c>
      <c r="D1439" s="748">
        <v>1</v>
      </c>
      <c r="E1439" s="749">
        <v>1.65</v>
      </c>
      <c r="F1439" s="749">
        <v>0.12</v>
      </c>
      <c r="G1439" s="749">
        <v>0.15</v>
      </c>
      <c r="H1439" s="739">
        <f t="shared" si="130"/>
        <v>0.03</v>
      </c>
      <c r="I1439" s="750"/>
    </row>
    <row r="1440" spans="1:9">
      <c r="A1440" s="753"/>
      <c r="B1440" s="754" t="s">
        <v>5941</v>
      </c>
      <c r="C1440" s="748">
        <v>1</v>
      </c>
      <c r="D1440" s="748">
        <v>2</v>
      </c>
      <c r="E1440" s="749">
        <v>3.6</v>
      </c>
      <c r="F1440" s="749">
        <v>0.12</v>
      </c>
      <c r="G1440" s="749">
        <v>0.15</v>
      </c>
      <c r="H1440" s="739">
        <f t="shared" si="130"/>
        <v>0.13</v>
      </c>
      <c r="I1440" s="750"/>
    </row>
    <row r="1441" spans="1:9">
      <c r="A1441" s="753"/>
      <c r="B1441" s="754" t="s">
        <v>5938</v>
      </c>
      <c r="C1441" s="748">
        <v>1</v>
      </c>
      <c r="D1441" s="748">
        <v>1</v>
      </c>
      <c r="E1441" s="749">
        <v>1.5</v>
      </c>
      <c r="F1441" s="749">
        <v>0.12</v>
      </c>
      <c r="G1441" s="749">
        <v>0.15</v>
      </c>
      <c r="H1441" s="739">
        <f t="shared" si="130"/>
        <v>0.03</v>
      </c>
      <c r="I1441" s="750"/>
    </row>
    <row r="1442" spans="1:9">
      <c r="A1442" s="753"/>
      <c r="B1442" s="754" t="s">
        <v>5939</v>
      </c>
      <c r="C1442" s="748">
        <v>1</v>
      </c>
      <c r="D1442" s="748">
        <v>1</v>
      </c>
      <c r="E1442" s="749">
        <v>2.9</v>
      </c>
      <c r="F1442" s="749">
        <v>0.12</v>
      </c>
      <c r="G1442" s="749">
        <v>0.15</v>
      </c>
      <c r="H1442" s="739">
        <f t="shared" si="130"/>
        <v>0.05</v>
      </c>
      <c r="I1442" s="750"/>
    </row>
    <row r="1443" spans="1:9">
      <c r="A1443" s="753"/>
      <c r="B1443" s="754" t="s">
        <v>5931</v>
      </c>
      <c r="C1443" s="748">
        <v>1</v>
      </c>
      <c r="D1443" s="748">
        <v>1</v>
      </c>
      <c r="E1443" s="749">
        <v>2.78</v>
      </c>
      <c r="F1443" s="749">
        <v>0.12</v>
      </c>
      <c r="G1443" s="749">
        <v>0.15</v>
      </c>
      <c r="H1443" s="739">
        <f t="shared" si="130"/>
        <v>0.05</v>
      </c>
      <c r="I1443" s="750"/>
    </row>
    <row r="1444" spans="1:9">
      <c r="A1444" s="753"/>
      <c r="B1444" s="754" t="s">
        <v>5931</v>
      </c>
      <c r="C1444" s="748">
        <v>1</v>
      </c>
      <c r="D1444" s="748">
        <v>1</v>
      </c>
      <c r="E1444" s="749">
        <v>1.02</v>
      </c>
      <c r="F1444" s="749">
        <v>0.12</v>
      </c>
      <c r="G1444" s="749">
        <v>0.15</v>
      </c>
      <c r="H1444" s="739">
        <f t="shared" si="130"/>
        <v>0.02</v>
      </c>
      <c r="I1444" s="750"/>
    </row>
    <row r="1445" spans="1:9" s="737" customFormat="1">
      <c r="A1445" s="738"/>
      <c r="B1445" s="735" t="s">
        <v>6280</v>
      </c>
      <c r="C1445" s="734">
        <v>1</v>
      </c>
      <c r="D1445" s="734">
        <v>1</v>
      </c>
      <c r="E1445" s="765">
        <v>2.0950000000000002</v>
      </c>
      <c r="F1445" s="739">
        <v>0.23</v>
      </c>
      <c r="G1445" s="739">
        <v>0.15</v>
      </c>
      <c r="H1445" s="739">
        <f>PRODUCT(C1445:G1445)</f>
        <v>7.0000000000000007E-2</v>
      </c>
      <c r="I1445" s="736"/>
    </row>
    <row r="1446" spans="1:9">
      <c r="A1446" s="753"/>
      <c r="B1446" s="751" t="s">
        <v>6281</v>
      </c>
      <c r="C1446" s="748"/>
      <c r="D1446" s="748"/>
      <c r="E1446" s="749"/>
      <c r="F1446" s="749"/>
      <c r="G1446" s="749"/>
      <c r="H1446" s="739"/>
      <c r="I1446" s="750"/>
    </row>
    <row r="1447" spans="1:9">
      <c r="A1447" s="753"/>
      <c r="B1447" s="754" t="s">
        <v>5908</v>
      </c>
      <c r="C1447" s="748">
        <v>1</v>
      </c>
      <c r="D1447" s="748">
        <v>1</v>
      </c>
      <c r="E1447" s="749">
        <f>1.8+0.46</f>
        <v>2.2599999999999998</v>
      </c>
      <c r="F1447" s="749">
        <v>0.6</v>
      </c>
      <c r="G1447" s="758">
        <v>6.5000000000000002E-2</v>
      </c>
      <c r="H1447" s="739">
        <f t="shared" ref="H1447:H1449" si="131">PRODUCT(C1447:G1447)</f>
        <v>0.09</v>
      </c>
      <c r="I1447" s="750"/>
    </row>
    <row r="1448" spans="1:9">
      <c r="A1448" s="753"/>
      <c r="B1448" s="754" t="s">
        <v>5873</v>
      </c>
      <c r="C1448" s="748">
        <v>1</v>
      </c>
      <c r="D1448" s="748">
        <v>5</v>
      </c>
      <c r="E1448" s="749">
        <f>1.5+0.46</f>
        <v>1.96</v>
      </c>
      <c r="F1448" s="749">
        <v>0.6</v>
      </c>
      <c r="G1448" s="758">
        <v>6.5000000000000002E-2</v>
      </c>
      <c r="H1448" s="739">
        <f t="shared" si="131"/>
        <v>0.38</v>
      </c>
      <c r="I1448" s="750"/>
    </row>
    <row r="1449" spans="1:9">
      <c r="A1449" s="753"/>
      <c r="B1449" s="754" t="s">
        <v>5911</v>
      </c>
      <c r="C1449" s="748">
        <v>1</v>
      </c>
      <c r="D1449" s="748">
        <v>2</v>
      </c>
      <c r="E1449" s="749">
        <v>1.46</v>
      </c>
      <c r="F1449" s="749">
        <v>0.6</v>
      </c>
      <c r="G1449" s="758">
        <v>6.5000000000000002E-2</v>
      </c>
      <c r="H1449" s="739">
        <f t="shared" si="131"/>
        <v>0.11</v>
      </c>
      <c r="I1449" s="750"/>
    </row>
    <row r="1450" spans="1:9">
      <c r="A1450" s="753"/>
      <c r="B1450" s="754" t="s">
        <v>5912</v>
      </c>
      <c r="C1450" s="748">
        <v>1</v>
      </c>
      <c r="D1450" s="748">
        <v>1</v>
      </c>
      <c r="E1450" s="749">
        <f>1.5+0.46</f>
        <v>1.96</v>
      </c>
      <c r="F1450" s="749">
        <v>0.6</v>
      </c>
      <c r="G1450" s="758">
        <v>6.5000000000000002E-2</v>
      </c>
      <c r="H1450" s="739">
        <f>PRODUCT(C1450:G1450)</f>
        <v>0.08</v>
      </c>
      <c r="I1450" s="750"/>
    </row>
    <row r="1451" spans="1:9">
      <c r="A1451" s="753"/>
      <c r="B1451" s="754" t="s">
        <v>6099</v>
      </c>
      <c r="C1451" s="748">
        <v>1</v>
      </c>
      <c r="D1451" s="748">
        <v>1</v>
      </c>
      <c r="E1451" s="749">
        <v>6.1</v>
      </c>
      <c r="F1451" s="749">
        <v>0.6</v>
      </c>
      <c r="G1451" s="758">
        <v>6.5000000000000002E-2</v>
      </c>
      <c r="H1451" s="739">
        <f>PRODUCT(C1451:G1451)</f>
        <v>0.24</v>
      </c>
      <c r="I1451" s="750"/>
    </row>
    <row r="1452" spans="1:9">
      <c r="A1452" s="753"/>
      <c r="B1452" s="754" t="s">
        <v>6100</v>
      </c>
      <c r="C1452" s="748">
        <v>1</v>
      </c>
      <c r="D1452" s="748">
        <v>1</v>
      </c>
      <c r="E1452" s="749">
        <v>3.8</v>
      </c>
      <c r="F1452" s="749">
        <v>0.9</v>
      </c>
      <c r="G1452" s="758">
        <v>6.5000000000000002E-2</v>
      </c>
      <c r="H1452" s="739">
        <f>PRODUCT(C1452:G1452)</f>
        <v>0.22</v>
      </c>
      <c r="I1452" s="750"/>
    </row>
    <row r="1453" spans="1:9">
      <c r="A1453" s="753"/>
      <c r="B1453" s="754" t="s">
        <v>6282</v>
      </c>
      <c r="C1453" s="748">
        <v>1</v>
      </c>
      <c r="D1453" s="748">
        <v>1</v>
      </c>
      <c r="E1453" s="749">
        <f>0.23+2.78+0.23+2.4+0.23</f>
        <v>5.87</v>
      </c>
      <c r="F1453" s="749">
        <v>0.75</v>
      </c>
      <c r="G1453" s="758">
        <v>0.1</v>
      </c>
      <c r="H1453" s="739">
        <f>PRODUCT(C1453:G1453)</f>
        <v>0.44</v>
      </c>
      <c r="I1453" s="750"/>
    </row>
    <row r="1454" spans="1:9">
      <c r="A1454" s="753"/>
      <c r="B1454" s="751" t="s">
        <v>6270</v>
      </c>
      <c r="C1454" s="748"/>
      <c r="D1454" s="748"/>
      <c r="E1454" s="749"/>
      <c r="F1454" s="749"/>
      <c r="G1454" s="749"/>
      <c r="H1454" s="739"/>
      <c r="I1454" s="750"/>
    </row>
    <row r="1455" spans="1:9">
      <c r="A1455" s="753"/>
      <c r="B1455" s="754" t="s">
        <v>6073</v>
      </c>
      <c r="C1455" s="748">
        <v>1</v>
      </c>
      <c r="D1455" s="748">
        <v>2</v>
      </c>
      <c r="E1455" s="749">
        <v>3.6</v>
      </c>
      <c r="F1455" s="749">
        <v>0.6</v>
      </c>
      <c r="G1455" s="749">
        <v>0.05</v>
      </c>
      <c r="H1455" s="739">
        <f>PRODUCT(C1455:G1455)</f>
        <v>0.22</v>
      </c>
      <c r="I1455" s="750"/>
    </row>
    <row r="1456" spans="1:9">
      <c r="A1456" s="753"/>
      <c r="B1456" s="754" t="s">
        <v>6074</v>
      </c>
      <c r="C1456" s="748">
        <v>1</v>
      </c>
      <c r="D1456" s="748">
        <v>1</v>
      </c>
      <c r="E1456" s="749">
        <v>1.24</v>
      </c>
      <c r="F1456" s="749">
        <v>0.6</v>
      </c>
      <c r="G1456" s="749">
        <v>0.05</v>
      </c>
      <c r="H1456" s="739">
        <f t="shared" ref="H1456:H1457" si="132">PRODUCT(C1456:G1456)</f>
        <v>0.04</v>
      </c>
      <c r="I1456" s="750"/>
    </row>
    <row r="1457" spans="1:10">
      <c r="A1457" s="753"/>
      <c r="B1457" s="754" t="s">
        <v>5900</v>
      </c>
      <c r="C1457" s="748">
        <v>1</v>
      </c>
      <c r="D1457" s="748">
        <v>1</v>
      </c>
      <c r="E1457" s="749">
        <v>1.65</v>
      </c>
      <c r="F1457" s="749">
        <v>0.6</v>
      </c>
      <c r="G1457" s="749">
        <v>0.05</v>
      </c>
      <c r="H1457" s="739">
        <f t="shared" si="132"/>
        <v>0.05</v>
      </c>
      <c r="I1457" s="750"/>
    </row>
    <row r="1458" spans="1:10">
      <c r="A1458" s="753"/>
      <c r="B1458" s="754" t="s">
        <v>6075</v>
      </c>
      <c r="C1458" s="748">
        <v>1</v>
      </c>
      <c r="D1458" s="748">
        <v>1</v>
      </c>
      <c r="E1458" s="749">
        <v>2.36</v>
      </c>
      <c r="F1458" s="749">
        <v>0.6</v>
      </c>
      <c r="G1458" s="749">
        <v>0.05</v>
      </c>
      <c r="H1458" s="739">
        <f>PRODUCT(C1458:G1458)</f>
        <v>7.0000000000000007E-2</v>
      </c>
      <c r="I1458" s="750"/>
    </row>
    <row r="1459" spans="1:10">
      <c r="A1459" s="753"/>
      <c r="B1459" s="735" t="s">
        <v>6076</v>
      </c>
      <c r="C1459" s="748">
        <v>1</v>
      </c>
      <c r="D1459" s="748">
        <v>1</v>
      </c>
      <c r="E1459" s="749">
        <v>2.56</v>
      </c>
      <c r="F1459" s="749">
        <v>0.6</v>
      </c>
      <c r="G1459" s="749">
        <v>0.05</v>
      </c>
      <c r="H1459" s="739">
        <f t="shared" ref="H1459:H1463" si="133">PRODUCT(C1459:G1459)</f>
        <v>0.08</v>
      </c>
      <c r="I1459" s="750"/>
    </row>
    <row r="1460" spans="1:10">
      <c r="A1460" s="753"/>
      <c r="B1460" s="735" t="s">
        <v>6077</v>
      </c>
      <c r="C1460" s="748">
        <v>1</v>
      </c>
      <c r="D1460" s="748">
        <v>1</v>
      </c>
      <c r="E1460" s="749">
        <v>2.78</v>
      </c>
      <c r="F1460" s="749">
        <v>0.86</v>
      </c>
      <c r="G1460" s="749">
        <v>0.05</v>
      </c>
      <c r="H1460" s="739">
        <f t="shared" si="133"/>
        <v>0.12</v>
      </c>
      <c r="I1460" s="750"/>
    </row>
    <row r="1461" spans="1:10">
      <c r="A1461" s="753"/>
      <c r="B1461" s="735" t="s">
        <v>5931</v>
      </c>
      <c r="C1461" s="748">
        <v>1</v>
      </c>
      <c r="D1461" s="748">
        <v>1</v>
      </c>
      <c r="E1461" s="749">
        <v>3.61</v>
      </c>
      <c r="F1461" s="749">
        <v>0.6</v>
      </c>
      <c r="G1461" s="749">
        <v>0.05</v>
      </c>
      <c r="H1461" s="739">
        <f t="shared" si="133"/>
        <v>0.11</v>
      </c>
      <c r="I1461" s="750"/>
    </row>
    <row r="1462" spans="1:10">
      <c r="A1462" s="753"/>
      <c r="B1462" s="735" t="s">
        <v>5940</v>
      </c>
      <c r="C1462" s="748">
        <v>1</v>
      </c>
      <c r="D1462" s="748">
        <v>1</v>
      </c>
      <c r="E1462" s="749">
        <f>2.11+1.58+2.11</f>
        <v>5.8</v>
      </c>
      <c r="F1462" s="749">
        <v>0.6</v>
      </c>
      <c r="G1462" s="749">
        <v>0.05</v>
      </c>
      <c r="H1462" s="739">
        <f t="shared" si="133"/>
        <v>0.17</v>
      </c>
      <c r="I1462" s="750"/>
    </row>
    <row r="1463" spans="1:10">
      <c r="A1463" s="753"/>
      <c r="B1463" s="735" t="s">
        <v>6078</v>
      </c>
      <c r="C1463" s="748">
        <v>1</v>
      </c>
      <c r="D1463" s="748">
        <v>1</v>
      </c>
      <c r="E1463" s="749">
        <v>0.79</v>
      </c>
      <c r="F1463" s="749">
        <v>0.86</v>
      </c>
      <c r="G1463" s="749">
        <v>0.05</v>
      </c>
      <c r="H1463" s="739">
        <f t="shared" si="133"/>
        <v>0.03</v>
      </c>
      <c r="I1463" s="750"/>
    </row>
    <row r="1464" spans="1:10" s="737" customFormat="1">
      <c r="A1464" s="738"/>
      <c r="B1464" s="735"/>
      <c r="C1464" s="734"/>
      <c r="D1464" s="734"/>
      <c r="E1464" s="739"/>
      <c r="F1464" s="739"/>
      <c r="G1464" s="739"/>
      <c r="H1464" s="742">
        <f>SUM(H1371:H1463)</f>
        <v>37.67</v>
      </c>
      <c r="I1464" s="736"/>
    </row>
    <row r="1465" spans="1:10" s="737" customFormat="1">
      <c r="A1465" s="732"/>
      <c r="B1465" s="735"/>
      <c r="C1465" s="746"/>
      <c r="D1465" s="746"/>
      <c r="E1465" s="742"/>
      <c r="F1465" s="742"/>
      <c r="G1465" s="742" t="s">
        <v>4209</v>
      </c>
      <c r="H1465" s="742">
        <f>ROUNDUP(H1464,1)</f>
        <v>37.700000000000003</v>
      </c>
      <c r="I1465" s="736" t="s">
        <v>2142</v>
      </c>
      <c r="J1465" s="737">
        <v>34.5</v>
      </c>
    </row>
    <row r="1466" spans="1:10" s="737" customFormat="1" ht="21.75" customHeight="1">
      <c r="A1466" s="732" t="s">
        <v>2997</v>
      </c>
      <c r="B1466" s="735" t="s">
        <v>5913</v>
      </c>
      <c r="C1466" s="734"/>
      <c r="D1466" s="734"/>
      <c r="E1466" s="739"/>
      <c r="F1466" s="739"/>
      <c r="G1466" s="739"/>
      <c r="H1466" s="739"/>
      <c r="I1466" s="736"/>
    </row>
    <row r="1467" spans="1:10" s="737" customFormat="1" ht="21.75" customHeight="1">
      <c r="A1467" s="732"/>
      <c r="B1467" s="735" t="s">
        <v>6283</v>
      </c>
      <c r="C1467" s="734"/>
      <c r="D1467" s="734"/>
      <c r="E1467" s="739"/>
      <c r="F1467" s="739"/>
      <c r="G1467" s="739"/>
      <c r="H1467" s="739"/>
      <c r="I1467" s="736"/>
    </row>
    <row r="1468" spans="1:10" s="737" customFormat="1">
      <c r="A1468" s="738"/>
      <c r="B1468" s="735" t="s">
        <v>5800</v>
      </c>
      <c r="C1468" s="734">
        <v>1</v>
      </c>
      <c r="D1468" s="734">
        <v>3</v>
      </c>
      <c r="E1468" s="739">
        <v>0.38</v>
      </c>
      <c r="F1468" s="739">
        <v>0.23</v>
      </c>
      <c r="G1468" s="739">
        <v>1.2</v>
      </c>
      <c r="H1468" s="739">
        <f>PRODUCT(C1468:G1468)</f>
        <v>0.31</v>
      </c>
      <c r="I1468" s="736"/>
    </row>
    <row r="1469" spans="1:10" s="737" customFormat="1">
      <c r="A1469" s="738"/>
      <c r="B1469" s="735" t="s">
        <v>5801</v>
      </c>
      <c r="C1469" s="734">
        <v>1</v>
      </c>
      <c r="D1469" s="734">
        <v>7</v>
      </c>
      <c r="E1469" s="739">
        <v>0.38</v>
      </c>
      <c r="F1469" s="739">
        <v>0.23</v>
      </c>
      <c r="G1469" s="739">
        <v>1.2</v>
      </c>
      <c r="H1469" s="739">
        <f t="shared" ref="H1469:H1471" si="134">PRODUCT(C1469:G1469)</f>
        <v>0.73</v>
      </c>
      <c r="I1469" s="736"/>
    </row>
    <row r="1470" spans="1:10" s="737" customFormat="1">
      <c r="A1470" s="738"/>
      <c r="B1470" s="735" t="s">
        <v>5803</v>
      </c>
      <c r="C1470" s="734">
        <v>1</v>
      </c>
      <c r="D1470" s="734">
        <v>4</v>
      </c>
      <c r="E1470" s="739">
        <v>0.38</v>
      </c>
      <c r="F1470" s="739">
        <v>0.23</v>
      </c>
      <c r="G1470" s="739">
        <v>1.2</v>
      </c>
      <c r="H1470" s="739">
        <f t="shared" si="134"/>
        <v>0.42</v>
      </c>
      <c r="I1470" s="736"/>
    </row>
    <row r="1471" spans="1:10" s="737" customFormat="1">
      <c r="A1471" s="738"/>
      <c r="B1471" s="735" t="s">
        <v>5805</v>
      </c>
      <c r="C1471" s="734">
        <v>1</v>
      </c>
      <c r="D1471" s="734">
        <v>1</v>
      </c>
      <c r="E1471" s="739">
        <v>0.38</v>
      </c>
      <c r="F1471" s="739">
        <v>0.23</v>
      </c>
      <c r="G1471" s="739">
        <v>1.2</v>
      </c>
      <c r="H1471" s="739">
        <f t="shared" si="134"/>
        <v>0.1</v>
      </c>
      <c r="I1471" s="736"/>
    </row>
    <row r="1472" spans="1:10" s="737" customFormat="1">
      <c r="A1472" s="738"/>
      <c r="B1472" s="735" t="s">
        <v>6284</v>
      </c>
      <c r="C1472" s="734"/>
      <c r="D1472" s="734"/>
      <c r="E1472" s="739"/>
      <c r="F1472" s="739"/>
      <c r="G1472" s="739"/>
      <c r="H1472" s="739"/>
      <c r="I1472" s="736"/>
    </row>
    <row r="1473" spans="1:9" s="737" customFormat="1">
      <c r="A1473" s="738"/>
      <c r="B1473" s="735" t="s">
        <v>5802</v>
      </c>
      <c r="C1473" s="734">
        <v>1</v>
      </c>
      <c r="D1473" s="734">
        <v>4</v>
      </c>
      <c r="E1473" s="739">
        <v>0.38</v>
      </c>
      <c r="F1473" s="739">
        <v>0.23</v>
      </c>
      <c r="G1473" s="739">
        <f t="shared" ref="G1473" si="135">3.05-0.35</f>
        <v>2.7</v>
      </c>
      <c r="H1473" s="739">
        <f t="shared" ref="H1473:H1476" si="136">PRODUCT(C1473:G1473)</f>
        <v>0.94</v>
      </c>
      <c r="I1473" s="736"/>
    </row>
    <row r="1474" spans="1:9" s="737" customFormat="1">
      <c r="A1474" s="738"/>
      <c r="B1474" s="735" t="s">
        <v>6285</v>
      </c>
      <c r="C1474" s="734">
        <v>1</v>
      </c>
      <c r="D1474" s="734">
        <v>2</v>
      </c>
      <c r="E1474" s="739">
        <v>6.13</v>
      </c>
      <c r="F1474" s="739">
        <v>0.23</v>
      </c>
      <c r="G1474" s="739">
        <v>0.45</v>
      </c>
      <c r="H1474" s="739">
        <f t="shared" si="136"/>
        <v>1.27</v>
      </c>
      <c r="I1474" s="736"/>
    </row>
    <row r="1475" spans="1:9" s="737" customFormat="1">
      <c r="A1475" s="738"/>
      <c r="B1475" s="735" t="s">
        <v>6286</v>
      </c>
      <c r="C1475" s="734">
        <v>1</v>
      </c>
      <c r="D1475" s="734">
        <v>2</v>
      </c>
      <c r="E1475" s="739">
        <v>2.4</v>
      </c>
      <c r="F1475" s="739">
        <v>0.23</v>
      </c>
      <c r="G1475" s="739">
        <v>0.35</v>
      </c>
      <c r="H1475" s="739">
        <f t="shared" si="136"/>
        <v>0.39</v>
      </c>
      <c r="I1475" s="736"/>
    </row>
    <row r="1476" spans="1:9" s="737" customFormat="1">
      <c r="A1476" s="738"/>
      <c r="B1476" s="735" t="s">
        <v>6287</v>
      </c>
      <c r="C1476" s="734">
        <v>1</v>
      </c>
      <c r="D1476" s="734">
        <v>1</v>
      </c>
      <c r="E1476" s="739">
        <v>5.67</v>
      </c>
      <c r="F1476" s="739">
        <v>2.4</v>
      </c>
      <c r="G1476" s="765">
        <v>0.125</v>
      </c>
      <c r="H1476" s="739">
        <f t="shared" si="136"/>
        <v>1.7</v>
      </c>
      <c r="I1476" s="736"/>
    </row>
    <row r="1477" spans="1:9" s="737" customFormat="1">
      <c r="A1477" s="738"/>
      <c r="B1477" s="757" t="s">
        <v>5877</v>
      </c>
      <c r="C1477" s="734"/>
      <c r="D1477" s="734"/>
      <c r="E1477" s="739"/>
      <c r="F1477" s="739"/>
      <c r="G1477" s="739"/>
      <c r="H1477" s="739"/>
      <c r="I1477" s="736"/>
    </row>
    <row r="1478" spans="1:9" s="737" customFormat="1">
      <c r="A1478" s="738"/>
      <c r="B1478" s="735" t="s">
        <v>5905</v>
      </c>
      <c r="C1478" s="734">
        <v>1</v>
      </c>
      <c r="D1478" s="734">
        <v>1</v>
      </c>
      <c r="E1478" s="739">
        <f>0.9+0.46</f>
        <v>1.36</v>
      </c>
      <c r="F1478" s="739">
        <v>0.23</v>
      </c>
      <c r="G1478" s="739">
        <v>0.05</v>
      </c>
      <c r="H1478" s="739">
        <f t="shared" ref="H1478:H1479" si="137">PRODUCT(C1478:G1478)</f>
        <v>0.02</v>
      </c>
      <c r="I1478" s="736"/>
    </row>
    <row r="1479" spans="1:9" s="737" customFormat="1">
      <c r="A1479" s="738"/>
      <c r="B1479" s="735" t="s">
        <v>5873</v>
      </c>
      <c r="C1479" s="734">
        <v>1</v>
      </c>
      <c r="D1479" s="734">
        <v>2</v>
      </c>
      <c r="E1479" s="739">
        <f>1.5+0.46</f>
        <v>1.96</v>
      </c>
      <c r="F1479" s="739">
        <v>0.23</v>
      </c>
      <c r="G1479" s="739">
        <v>0.05</v>
      </c>
      <c r="H1479" s="739">
        <f t="shared" si="137"/>
        <v>0.05</v>
      </c>
      <c r="I1479" s="736"/>
    </row>
    <row r="1480" spans="1:9" s="737" customFormat="1">
      <c r="A1480" s="738"/>
      <c r="B1480" s="735" t="s">
        <v>5918</v>
      </c>
      <c r="C1480" s="734">
        <v>1</v>
      </c>
      <c r="D1480" s="734">
        <v>1</v>
      </c>
      <c r="E1480" s="739">
        <f>0.6+0.46</f>
        <v>1.06</v>
      </c>
      <c r="F1480" s="739">
        <v>0.23</v>
      </c>
      <c r="G1480" s="739">
        <v>0.05</v>
      </c>
      <c r="H1480" s="739">
        <f>PRODUCT(C1480:G1480)</f>
        <v>0.01</v>
      </c>
      <c r="I1480" s="736"/>
    </row>
    <row r="1481" spans="1:9" s="737" customFormat="1">
      <c r="A1481" s="738"/>
      <c r="B1481" s="735" t="s">
        <v>5912</v>
      </c>
      <c r="C1481" s="734">
        <v>1</v>
      </c>
      <c r="D1481" s="734">
        <v>1</v>
      </c>
      <c r="E1481" s="739">
        <f>1+0.46</f>
        <v>1.46</v>
      </c>
      <c r="F1481" s="739">
        <v>0.23</v>
      </c>
      <c r="G1481" s="739">
        <v>0.05</v>
      </c>
      <c r="H1481" s="739">
        <f>PRODUCT(C1481:G1481)</f>
        <v>0.02</v>
      </c>
      <c r="I1481" s="736"/>
    </row>
    <row r="1482" spans="1:9" s="737" customFormat="1">
      <c r="A1482" s="738"/>
      <c r="B1482" s="757" t="s">
        <v>5878</v>
      </c>
      <c r="C1482" s="734"/>
      <c r="D1482" s="734"/>
      <c r="E1482" s="739"/>
      <c r="F1482" s="739"/>
      <c r="G1482" s="739"/>
      <c r="H1482" s="739"/>
      <c r="I1482" s="736"/>
    </row>
    <row r="1483" spans="1:9" s="737" customFormat="1">
      <c r="A1483" s="738"/>
      <c r="B1483" s="735" t="s">
        <v>5905</v>
      </c>
      <c r="C1483" s="734">
        <v>1</v>
      </c>
      <c r="D1483" s="734">
        <v>1</v>
      </c>
      <c r="E1483" s="739">
        <f>0.9+0.46</f>
        <v>1.36</v>
      </c>
      <c r="F1483" s="739">
        <v>0.23</v>
      </c>
      <c r="G1483" s="739">
        <v>0.15</v>
      </c>
      <c r="H1483" s="739">
        <f t="shared" ref="H1483:H1484" si="138">PRODUCT(C1483:G1483)</f>
        <v>0.05</v>
      </c>
      <c r="I1483" s="736"/>
    </row>
    <row r="1484" spans="1:9" s="737" customFormat="1">
      <c r="A1484" s="738"/>
      <c r="B1484" s="735" t="s">
        <v>5873</v>
      </c>
      <c r="C1484" s="734">
        <v>1</v>
      </c>
      <c r="D1484" s="734">
        <v>2</v>
      </c>
      <c r="E1484" s="739">
        <f>1.5+0.46</f>
        <v>1.96</v>
      </c>
      <c r="F1484" s="739">
        <v>0.23</v>
      </c>
      <c r="G1484" s="739">
        <v>0.15</v>
      </c>
      <c r="H1484" s="739">
        <f t="shared" si="138"/>
        <v>0.14000000000000001</v>
      </c>
      <c r="I1484" s="736"/>
    </row>
    <row r="1485" spans="1:9" s="737" customFormat="1">
      <c r="A1485" s="738"/>
      <c r="B1485" s="735" t="s">
        <v>5918</v>
      </c>
      <c r="C1485" s="734">
        <v>1</v>
      </c>
      <c r="D1485" s="734">
        <v>1</v>
      </c>
      <c r="E1485" s="739">
        <f>0.6+0.46</f>
        <v>1.06</v>
      </c>
      <c r="F1485" s="739">
        <v>0.23</v>
      </c>
      <c r="G1485" s="739">
        <v>0.15</v>
      </c>
      <c r="H1485" s="739">
        <f>PRODUCT(C1485:G1485)</f>
        <v>0.04</v>
      </c>
      <c r="I1485" s="736"/>
    </row>
    <row r="1486" spans="1:9" s="737" customFormat="1">
      <c r="A1486" s="738"/>
      <c r="B1486" s="735" t="s">
        <v>5912</v>
      </c>
      <c r="C1486" s="734">
        <v>1</v>
      </c>
      <c r="D1486" s="734">
        <v>1</v>
      </c>
      <c r="E1486" s="739">
        <f>1+0.46</f>
        <v>1.46</v>
      </c>
      <c r="F1486" s="739">
        <v>0.23</v>
      </c>
      <c r="G1486" s="739">
        <v>0.15</v>
      </c>
      <c r="H1486" s="739">
        <f>PRODUCT(C1486:G1486)</f>
        <v>0.05</v>
      </c>
      <c r="I1486" s="736"/>
    </row>
    <row r="1487" spans="1:9" s="737" customFormat="1">
      <c r="A1487" s="738"/>
      <c r="B1487" s="757" t="s">
        <v>6281</v>
      </c>
      <c r="C1487" s="734"/>
      <c r="D1487" s="734"/>
      <c r="E1487" s="739"/>
      <c r="F1487" s="739"/>
      <c r="G1487" s="739"/>
      <c r="H1487" s="739"/>
      <c r="I1487" s="736"/>
    </row>
    <row r="1488" spans="1:9" s="737" customFormat="1">
      <c r="A1488" s="738"/>
      <c r="B1488" s="735" t="s">
        <v>5873</v>
      </c>
      <c r="C1488" s="734">
        <v>1</v>
      </c>
      <c r="D1488" s="734">
        <v>2</v>
      </c>
      <c r="E1488" s="739">
        <v>2.2599999999999998</v>
      </c>
      <c r="F1488" s="739">
        <v>0.6</v>
      </c>
      <c r="G1488" s="765">
        <v>6.5000000000000002E-2</v>
      </c>
      <c r="H1488" s="739">
        <f t="shared" ref="H1488:H1490" si="139">PRODUCT(C1488:G1488)</f>
        <v>0.18</v>
      </c>
      <c r="I1488" s="736"/>
    </row>
    <row r="1489" spans="1:10" s="737" customFormat="1">
      <c r="A1489" s="738"/>
      <c r="B1489" s="735" t="s">
        <v>6103</v>
      </c>
      <c r="C1489" s="734">
        <v>1</v>
      </c>
      <c r="D1489" s="734">
        <v>1</v>
      </c>
      <c r="E1489" s="739">
        <v>2.68</v>
      </c>
      <c r="F1489" s="739">
        <v>0.9</v>
      </c>
      <c r="G1489" s="765">
        <v>6.5000000000000002E-2</v>
      </c>
      <c r="H1489" s="739">
        <f t="shared" si="139"/>
        <v>0.16</v>
      </c>
      <c r="I1489" s="736"/>
    </row>
    <row r="1490" spans="1:10" s="737" customFormat="1">
      <c r="A1490" s="738"/>
      <c r="B1490" s="735" t="s">
        <v>5912</v>
      </c>
      <c r="C1490" s="734">
        <v>1</v>
      </c>
      <c r="D1490" s="734">
        <v>1</v>
      </c>
      <c r="E1490" s="739">
        <v>1.46</v>
      </c>
      <c r="F1490" s="739">
        <v>0.6</v>
      </c>
      <c r="G1490" s="765">
        <v>6.5000000000000002E-2</v>
      </c>
      <c r="H1490" s="739">
        <f t="shared" si="139"/>
        <v>0.06</v>
      </c>
      <c r="I1490" s="736"/>
    </row>
    <row r="1491" spans="1:10" s="737" customFormat="1">
      <c r="A1491" s="738"/>
      <c r="B1491" s="735"/>
      <c r="C1491" s="734"/>
      <c r="D1491" s="734"/>
      <c r="E1491" s="739"/>
      <c r="F1491" s="739"/>
      <c r="G1491" s="739"/>
      <c r="H1491" s="742">
        <f>SUM(H1467:H1490)</f>
        <v>6.64</v>
      </c>
      <c r="I1491" s="736"/>
    </row>
    <row r="1492" spans="1:10" s="737" customFormat="1">
      <c r="A1492" s="732"/>
      <c r="B1492" s="735"/>
      <c r="C1492" s="746"/>
      <c r="D1492" s="746"/>
      <c r="E1492" s="742"/>
      <c r="F1492" s="742"/>
      <c r="G1492" s="742" t="s">
        <v>4209</v>
      </c>
      <c r="H1492" s="742">
        <f>ROUNDUP(H1491,1)</f>
        <v>6.7</v>
      </c>
      <c r="I1492" s="736" t="s">
        <v>2142</v>
      </c>
      <c r="J1492" s="737">
        <v>4.8</v>
      </c>
    </row>
    <row r="1493" spans="1:10" s="737" customFormat="1" ht="76.5" customHeight="1">
      <c r="A1493" s="732">
        <v>18.100000000000001</v>
      </c>
      <c r="B1493" s="733" t="s">
        <v>6288</v>
      </c>
      <c r="C1493" s="734"/>
      <c r="D1493" s="734"/>
      <c r="E1493" s="739"/>
      <c r="F1493" s="739"/>
      <c r="G1493" s="739"/>
      <c r="H1493" s="739"/>
      <c r="I1493" s="736"/>
    </row>
    <row r="1494" spans="1:10" s="737" customFormat="1" ht="22.5" customHeight="1">
      <c r="A1494" s="738" t="s">
        <v>2598</v>
      </c>
      <c r="B1494" s="735" t="s">
        <v>6289</v>
      </c>
      <c r="C1494" s="734"/>
      <c r="D1494" s="734"/>
      <c r="E1494" s="739"/>
      <c r="F1494" s="739"/>
      <c r="G1494" s="739"/>
      <c r="H1494" s="739"/>
      <c r="I1494" s="736"/>
    </row>
    <row r="1495" spans="1:10" s="737" customFormat="1">
      <c r="A1495" s="738"/>
      <c r="B1495" s="735" t="s">
        <v>5800</v>
      </c>
      <c r="C1495" s="734">
        <v>1</v>
      </c>
      <c r="D1495" s="734">
        <v>3</v>
      </c>
      <c r="E1495" s="739">
        <f>4*1.35</f>
        <v>5.4</v>
      </c>
      <c r="F1495" s="739"/>
      <c r="G1495" s="739">
        <v>0.35</v>
      </c>
      <c r="H1495" s="739">
        <f>PRODUCT(C1495:G1495)</f>
        <v>5.67</v>
      </c>
      <c r="I1495" s="736"/>
    </row>
    <row r="1496" spans="1:10" s="737" customFormat="1">
      <c r="A1496" s="738"/>
      <c r="B1496" s="735" t="s">
        <v>5801</v>
      </c>
      <c r="C1496" s="734">
        <v>1</v>
      </c>
      <c r="D1496" s="734">
        <v>7</v>
      </c>
      <c r="E1496" s="739">
        <f>4*1.65</f>
        <v>6.6</v>
      </c>
      <c r="F1496" s="739"/>
      <c r="G1496" s="739">
        <v>0.4</v>
      </c>
      <c r="H1496" s="739">
        <f t="shared" ref="H1496:H1500" si="140">PRODUCT(C1496:G1496)</f>
        <v>18.48</v>
      </c>
      <c r="I1496" s="736"/>
    </row>
    <row r="1497" spans="1:10" s="737" customFormat="1">
      <c r="A1497" s="738"/>
      <c r="B1497" s="735" t="s">
        <v>5802</v>
      </c>
      <c r="C1497" s="734">
        <v>1</v>
      </c>
      <c r="D1497" s="734">
        <v>4</v>
      </c>
      <c r="E1497" s="739">
        <f>4*1.9</f>
        <v>7.6</v>
      </c>
      <c r="F1497" s="739"/>
      <c r="G1497" s="739">
        <v>0.45</v>
      </c>
      <c r="H1497" s="739">
        <f t="shared" si="140"/>
        <v>13.68</v>
      </c>
      <c r="I1497" s="736"/>
    </row>
    <row r="1498" spans="1:10" s="737" customFormat="1">
      <c r="A1498" s="738"/>
      <c r="B1498" s="735" t="s">
        <v>5803</v>
      </c>
      <c r="C1498" s="734">
        <v>1</v>
      </c>
      <c r="D1498" s="734">
        <v>4</v>
      </c>
      <c r="E1498" s="739">
        <f>4*2.2</f>
        <v>8.8000000000000007</v>
      </c>
      <c r="F1498" s="739"/>
      <c r="G1498" s="739">
        <v>0.5</v>
      </c>
      <c r="H1498" s="739">
        <f t="shared" si="140"/>
        <v>17.600000000000001</v>
      </c>
      <c r="I1498" s="736"/>
    </row>
    <row r="1499" spans="1:10" s="737" customFormat="1">
      <c r="A1499" s="738"/>
      <c r="B1499" s="735" t="s">
        <v>5804</v>
      </c>
      <c r="C1499" s="734">
        <v>1</v>
      </c>
      <c r="D1499" s="734">
        <v>3</v>
      </c>
      <c r="E1499" s="739">
        <f>4*1.2</f>
        <v>4.8</v>
      </c>
      <c r="F1499" s="739"/>
      <c r="G1499" s="739">
        <v>0.3</v>
      </c>
      <c r="H1499" s="739">
        <f t="shared" si="140"/>
        <v>4.32</v>
      </c>
      <c r="I1499" s="736"/>
    </row>
    <row r="1500" spans="1:10" s="737" customFormat="1">
      <c r="A1500" s="738"/>
      <c r="B1500" s="735" t="s">
        <v>5805</v>
      </c>
      <c r="C1500" s="734">
        <v>1</v>
      </c>
      <c r="D1500" s="734">
        <v>1</v>
      </c>
      <c r="E1500" s="739">
        <f>(2.1+1.65)*2</f>
        <v>7.5</v>
      </c>
      <c r="F1500" s="739"/>
      <c r="G1500" s="739">
        <v>0.4</v>
      </c>
      <c r="H1500" s="739">
        <f t="shared" si="140"/>
        <v>3</v>
      </c>
      <c r="I1500" s="736"/>
    </row>
    <row r="1501" spans="1:10" s="737" customFormat="1" ht="18.75" customHeight="1">
      <c r="A1501" s="738"/>
      <c r="B1501" s="735" t="s">
        <v>5806</v>
      </c>
      <c r="C1501" s="734"/>
      <c r="D1501" s="734"/>
      <c r="E1501" s="739"/>
      <c r="F1501" s="739"/>
      <c r="G1501" s="739"/>
      <c r="H1501" s="739"/>
      <c r="I1501" s="736"/>
    </row>
    <row r="1502" spans="1:10" s="737" customFormat="1" ht="20.25" customHeight="1">
      <c r="A1502" s="738"/>
      <c r="B1502" s="740" t="s">
        <v>5808</v>
      </c>
      <c r="C1502" s="734">
        <v>2</v>
      </c>
      <c r="D1502" s="734">
        <v>2</v>
      </c>
      <c r="E1502" s="739">
        <f>3.6</f>
        <v>3.6</v>
      </c>
      <c r="F1502" s="739"/>
      <c r="G1502" s="739">
        <v>0.35</v>
      </c>
      <c r="H1502" s="739">
        <f t="shared" ref="H1502:H1509" si="141">PRODUCT(C1502:G1502)</f>
        <v>5.04</v>
      </c>
      <c r="I1502" s="736"/>
    </row>
    <row r="1503" spans="1:10" s="737" customFormat="1" ht="20.25" customHeight="1">
      <c r="A1503" s="738"/>
      <c r="B1503" s="740" t="s">
        <v>5811</v>
      </c>
      <c r="C1503" s="734">
        <v>2</v>
      </c>
      <c r="D1503" s="734">
        <v>1</v>
      </c>
      <c r="E1503" s="739">
        <f>2.18+0.23</f>
        <v>2.41</v>
      </c>
      <c r="F1503" s="739"/>
      <c r="G1503" s="739">
        <v>0.35</v>
      </c>
      <c r="H1503" s="739">
        <f t="shared" si="141"/>
        <v>1.69</v>
      </c>
      <c r="I1503" s="736"/>
    </row>
    <row r="1504" spans="1:10" s="737" customFormat="1" ht="22.5" customHeight="1">
      <c r="A1504" s="738"/>
      <c r="B1504" s="735" t="s">
        <v>5812</v>
      </c>
      <c r="C1504" s="734">
        <v>2</v>
      </c>
      <c r="D1504" s="734">
        <v>3</v>
      </c>
      <c r="E1504" s="739">
        <f>3.6</f>
        <v>3.6</v>
      </c>
      <c r="F1504" s="739"/>
      <c r="G1504" s="739">
        <v>0.35</v>
      </c>
      <c r="H1504" s="739">
        <f t="shared" si="141"/>
        <v>7.56</v>
      </c>
      <c r="I1504" s="736"/>
    </row>
    <row r="1505" spans="1:9" s="737" customFormat="1" ht="21.75" customHeight="1">
      <c r="A1505" s="738"/>
      <c r="B1505" s="740" t="s">
        <v>5813</v>
      </c>
      <c r="C1505" s="734">
        <v>2</v>
      </c>
      <c r="D1505" s="734">
        <v>5</v>
      </c>
      <c r="E1505" s="739">
        <f>3.52</f>
        <v>3.52</v>
      </c>
      <c r="F1505" s="739"/>
      <c r="G1505" s="739">
        <v>0.35</v>
      </c>
      <c r="H1505" s="739">
        <f t="shared" si="141"/>
        <v>12.32</v>
      </c>
      <c r="I1505" s="736"/>
    </row>
    <row r="1506" spans="1:9" s="737" customFormat="1" ht="21.75" customHeight="1">
      <c r="A1506" s="738"/>
      <c r="B1506" s="740" t="s">
        <v>5814</v>
      </c>
      <c r="C1506" s="734">
        <v>2</v>
      </c>
      <c r="D1506" s="734">
        <v>4</v>
      </c>
      <c r="E1506" s="739">
        <f>2.78</f>
        <v>2.78</v>
      </c>
      <c r="F1506" s="739"/>
      <c r="G1506" s="739">
        <v>0.35</v>
      </c>
      <c r="H1506" s="739">
        <f t="shared" si="141"/>
        <v>7.78</v>
      </c>
      <c r="I1506" s="736"/>
    </row>
    <row r="1507" spans="1:9" s="737" customFormat="1" ht="21.75" customHeight="1">
      <c r="A1507" s="738"/>
      <c r="B1507" s="740" t="s">
        <v>5815</v>
      </c>
      <c r="C1507" s="734">
        <v>2</v>
      </c>
      <c r="D1507" s="734">
        <v>4</v>
      </c>
      <c r="E1507" s="739">
        <f>2.4</f>
        <v>2.4</v>
      </c>
      <c r="F1507" s="739"/>
      <c r="G1507" s="739">
        <v>0.35</v>
      </c>
      <c r="H1507" s="739">
        <f t="shared" si="141"/>
        <v>6.72</v>
      </c>
      <c r="I1507" s="736"/>
    </row>
    <row r="1508" spans="1:9" s="737" customFormat="1" ht="21.75" customHeight="1">
      <c r="A1508" s="738"/>
      <c r="B1508" s="740" t="s">
        <v>5816</v>
      </c>
      <c r="C1508" s="734">
        <v>2</v>
      </c>
      <c r="D1508" s="734">
        <v>1</v>
      </c>
      <c r="E1508" s="739">
        <f>3.52</f>
        <v>3.52</v>
      </c>
      <c r="F1508" s="739"/>
      <c r="G1508" s="739">
        <v>0.23</v>
      </c>
      <c r="H1508" s="739">
        <f t="shared" si="141"/>
        <v>1.62</v>
      </c>
      <c r="I1508" s="736"/>
    </row>
    <row r="1509" spans="1:9" s="737" customFormat="1" ht="21.75" customHeight="1">
      <c r="A1509" s="738"/>
      <c r="B1509" s="740" t="s">
        <v>5817</v>
      </c>
      <c r="C1509" s="734">
        <v>2</v>
      </c>
      <c r="D1509" s="734">
        <v>3</v>
      </c>
      <c r="E1509" s="739">
        <v>2.4</v>
      </c>
      <c r="F1509" s="739"/>
      <c r="G1509" s="739">
        <v>0.23</v>
      </c>
      <c r="H1509" s="739">
        <f t="shared" si="141"/>
        <v>3.31</v>
      </c>
      <c r="I1509" s="736"/>
    </row>
    <row r="1510" spans="1:9" s="737" customFormat="1">
      <c r="A1510" s="738"/>
      <c r="B1510" s="735" t="s">
        <v>5818</v>
      </c>
      <c r="C1510" s="734"/>
      <c r="D1510" s="734"/>
      <c r="E1510" s="739"/>
      <c r="F1510" s="739"/>
      <c r="G1510" s="739"/>
      <c r="H1510" s="739"/>
      <c r="I1510" s="736"/>
    </row>
    <row r="1511" spans="1:9" s="737" customFormat="1" ht="23.25" customHeight="1">
      <c r="A1511" s="738"/>
      <c r="B1511" s="735" t="s">
        <v>5807</v>
      </c>
      <c r="C1511" s="734">
        <v>2</v>
      </c>
      <c r="D1511" s="734">
        <v>2</v>
      </c>
      <c r="E1511" s="739">
        <f>4.92+0.23+0.52+0.23+0.23</f>
        <v>6.13</v>
      </c>
      <c r="F1511" s="739"/>
      <c r="G1511" s="739">
        <v>0.35</v>
      </c>
      <c r="H1511" s="739">
        <f t="shared" ref="H1511:H1521" si="142">PRODUCT(C1511:G1511)</f>
        <v>8.58</v>
      </c>
      <c r="I1511" s="736"/>
    </row>
    <row r="1512" spans="1:9" s="737" customFormat="1" ht="20.25" customHeight="1">
      <c r="A1512" s="738"/>
      <c r="B1512" s="740" t="s">
        <v>5809</v>
      </c>
      <c r="C1512" s="734">
        <v>2</v>
      </c>
      <c r="D1512" s="734">
        <v>2</v>
      </c>
      <c r="E1512" s="739">
        <f>3.485+0.46</f>
        <v>3.95</v>
      </c>
      <c r="F1512" s="739"/>
      <c r="G1512" s="739">
        <v>0.35</v>
      </c>
      <c r="H1512" s="739">
        <f t="shared" si="142"/>
        <v>5.53</v>
      </c>
      <c r="I1512" s="736"/>
    </row>
    <row r="1513" spans="1:9" s="737" customFormat="1" ht="20.25" customHeight="1">
      <c r="A1513" s="738"/>
      <c r="B1513" s="740" t="s">
        <v>5819</v>
      </c>
      <c r="C1513" s="734">
        <v>2</v>
      </c>
      <c r="D1513" s="734">
        <v>1</v>
      </c>
      <c r="E1513" s="739">
        <v>1.2</v>
      </c>
      <c r="F1513" s="739"/>
      <c r="G1513" s="739">
        <v>0.35</v>
      </c>
      <c r="H1513" s="739">
        <f t="shared" si="142"/>
        <v>0.84</v>
      </c>
      <c r="I1513" s="736"/>
    </row>
    <row r="1514" spans="1:9" s="737" customFormat="1" ht="20.25" customHeight="1">
      <c r="A1514" s="738"/>
      <c r="B1514" s="740" t="s">
        <v>5810</v>
      </c>
      <c r="C1514" s="734">
        <v>2</v>
      </c>
      <c r="D1514" s="734">
        <v>1</v>
      </c>
      <c r="E1514" s="739">
        <f>4.25+0.23+0.75+0.23</f>
        <v>5.46</v>
      </c>
      <c r="F1514" s="739"/>
      <c r="G1514" s="739">
        <v>0.35</v>
      </c>
      <c r="H1514" s="739">
        <f t="shared" si="142"/>
        <v>3.82</v>
      </c>
      <c r="I1514" s="736"/>
    </row>
    <row r="1515" spans="1:9" s="737" customFormat="1" ht="20.25" customHeight="1">
      <c r="A1515" s="738"/>
      <c r="B1515" s="740" t="s">
        <v>5811</v>
      </c>
      <c r="C1515" s="734">
        <v>2</v>
      </c>
      <c r="D1515" s="734">
        <v>1</v>
      </c>
      <c r="E1515" s="739">
        <f>2.18+0.23</f>
        <v>2.41</v>
      </c>
      <c r="F1515" s="739"/>
      <c r="G1515" s="739">
        <v>0.35</v>
      </c>
      <c r="H1515" s="739">
        <f t="shared" si="142"/>
        <v>1.69</v>
      </c>
      <c r="I1515" s="736"/>
    </row>
    <row r="1516" spans="1:9" s="737" customFormat="1" ht="21.75" customHeight="1">
      <c r="A1516" s="738"/>
      <c r="B1516" s="740" t="s">
        <v>5820</v>
      </c>
      <c r="C1516" s="734">
        <v>2</v>
      </c>
      <c r="D1516" s="734">
        <v>2</v>
      </c>
      <c r="E1516" s="739">
        <f>0.23+3.64+0.23+1.443+0.23+1.292+0.23</f>
        <v>7.3</v>
      </c>
      <c r="F1516" s="739"/>
      <c r="G1516" s="739">
        <v>0.35</v>
      </c>
      <c r="H1516" s="739">
        <f t="shared" si="142"/>
        <v>10.220000000000001</v>
      </c>
      <c r="I1516" s="736"/>
    </row>
    <row r="1517" spans="1:9" s="737" customFormat="1" ht="21.75" customHeight="1">
      <c r="A1517" s="738"/>
      <c r="B1517" s="740" t="s">
        <v>5821</v>
      </c>
      <c r="C1517" s="734">
        <v>2</v>
      </c>
      <c r="D1517" s="734">
        <v>2</v>
      </c>
      <c r="E1517" s="739">
        <f>0.23+3.64+0.23+3.63+0.23</f>
        <v>7.96</v>
      </c>
      <c r="F1517" s="739"/>
      <c r="G1517" s="739">
        <v>0.35</v>
      </c>
      <c r="H1517" s="739">
        <f t="shared" si="142"/>
        <v>11.14</v>
      </c>
      <c r="I1517" s="736"/>
    </row>
    <row r="1518" spans="1:9" s="737" customFormat="1" ht="21.75" customHeight="1">
      <c r="A1518" s="738"/>
      <c r="B1518" s="740" t="s">
        <v>5822</v>
      </c>
      <c r="C1518" s="734">
        <v>2</v>
      </c>
      <c r="D1518" s="734">
        <v>1</v>
      </c>
      <c r="E1518" s="739">
        <f>0.23+1.592+0.23+1.177+0.23+1.442+0.23+1.177+0.23</f>
        <v>6.54</v>
      </c>
      <c r="F1518" s="739"/>
      <c r="G1518" s="739">
        <v>0.35</v>
      </c>
      <c r="H1518" s="739">
        <f t="shared" si="142"/>
        <v>4.58</v>
      </c>
      <c r="I1518" s="736"/>
    </row>
    <row r="1519" spans="1:9" s="737" customFormat="1" ht="21.75" customHeight="1">
      <c r="A1519" s="738"/>
      <c r="B1519" s="740" t="s">
        <v>5823</v>
      </c>
      <c r="C1519" s="734">
        <v>2</v>
      </c>
      <c r="D1519" s="734">
        <v>1</v>
      </c>
      <c r="E1519" s="739">
        <v>1.18</v>
      </c>
      <c r="F1519" s="739"/>
      <c r="G1519" s="739">
        <v>0.23</v>
      </c>
      <c r="H1519" s="739">
        <f t="shared" si="142"/>
        <v>0.54</v>
      </c>
      <c r="I1519" s="736"/>
    </row>
    <row r="1520" spans="1:9" s="737" customFormat="1" ht="21.75" customHeight="1">
      <c r="A1520" s="738"/>
      <c r="B1520" s="740" t="s">
        <v>5824</v>
      </c>
      <c r="C1520" s="734">
        <v>2</v>
      </c>
      <c r="D1520" s="734">
        <v>1</v>
      </c>
      <c r="E1520" s="739">
        <v>1.44</v>
      </c>
      <c r="F1520" s="739"/>
      <c r="G1520" s="739">
        <v>0.23</v>
      </c>
      <c r="H1520" s="739">
        <f t="shared" si="142"/>
        <v>0.66</v>
      </c>
      <c r="I1520" s="736"/>
    </row>
    <row r="1521" spans="1:9" s="737" customFormat="1">
      <c r="A1521" s="738"/>
      <c r="B1521" s="740" t="s">
        <v>5825</v>
      </c>
      <c r="C1521" s="734">
        <v>2</v>
      </c>
      <c r="D1521" s="734">
        <v>1</v>
      </c>
      <c r="E1521" s="739">
        <f>1.292+0.23+1.443</f>
        <v>2.97</v>
      </c>
      <c r="F1521" s="739"/>
      <c r="G1521" s="739">
        <v>0.3</v>
      </c>
      <c r="H1521" s="739">
        <f t="shared" si="142"/>
        <v>1.78</v>
      </c>
      <c r="I1521" s="736"/>
    </row>
    <row r="1522" spans="1:9" s="737" customFormat="1">
      <c r="A1522" s="738"/>
      <c r="B1522" s="735" t="s">
        <v>6239</v>
      </c>
      <c r="C1522" s="734">
        <v>2</v>
      </c>
      <c r="D1522" s="734">
        <v>1</v>
      </c>
      <c r="E1522" s="739">
        <f>2.86</f>
        <v>2.86</v>
      </c>
      <c r="F1522" s="739"/>
      <c r="G1522" s="739">
        <v>0.4</v>
      </c>
      <c r="H1522" s="739">
        <f>PRODUCT(C1522:G1522)</f>
        <v>2.29</v>
      </c>
      <c r="I1522" s="736"/>
    </row>
    <row r="1523" spans="1:9" s="737" customFormat="1">
      <c r="A1523" s="738"/>
      <c r="B1523" s="735" t="s">
        <v>6217</v>
      </c>
      <c r="C1523" s="734"/>
      <c r="D1523" s="734"/>
      <c r="E1523" s="739"/>
      <c r="F1523" s="739"/>
      <c r="G1523" s="739"/>
      <c r="H1523" s="739"/>
      <c r="I1523" s="736"/>
    </row>
    <row r="1524" spans="1:9" s="737" customFormat="1" ht="20.25" customHeight="1">
      <c r="A1524" s="738"/>
      <c r="B1524" s="740" t="s">
        <v>6218</v>
      </c>
      <c r="C1524" s="734">
        <v>2</v>
      </c>
      <c r="D1524" s="734">
        <v>2</v>
      </c>
      <c r="E1524" s="739">
        <f>3.6</f>
        <v>3.6</v>
      </c>
      <c r="F1524" s="739"/>
      <c r="G1524" s="739">
        <v>0.15</v>
      </c>
      <c r="H1524" s="739">
        <f t="shared" ref="H1524:H1531" si="143">PRODUCT(C1524:G1524)</f>
        <v>2.16</v>
      </c>
      <c r="I1524" s="736"/>
    </row>
    <row r="1525" spans="1:9" s="737" customFormat="1" ht="20.25" customHeight="1">
      <c r="A1525" s="738"/>
      <c r="B1525" s="740" t="s">
        <v>6219</v>
      </c>
      <c r="C1525" s="734">
        <v>2</v>
      </c>
      <c r="D1525" s="734">
        <v>1</v>
      </c>
      <c r="E1525" s="739">
        <f>2.18+0.23</f>
        <v>2.41</v>
      </c>
      <c r="F1525" s="739"/>
      <c r="G1525" s="739">
        <v>0.15</v>
      </c>
      <c r="H1525" s="739">
        <f t="shared" si="143"/>
        <v>0.72</v>
      </c>
      <c r="I1525" s="736"/>
    </row>
    <row r="1526" spans="1:9" s="737" customFormat="1" ht="22.5" customHeight="1">
      <c r="A1526" s="738"/>
      <c r="B1526" s="735" t="s">
        <v>6220</v>
      </c>
      <c r="C1526" s="734">
        <v>2</v>
      </c>
      <c r="D1526" s="734">
        <v>3</v>
      </c>
      <c r="E1526" s="739">
        <f>3.6</f>
        <v>3.6</v>
      </c>
      <c r="F1526" s="739"/>
      <c r="G1526" s="739">
        <v>0.15</v>
      </c>
      <c r="H1526" s="739">
        <f t="shared" si="143"/>
        <v>3.24</v>
      </c>
      <c r="I1526" s="736"/>
    </row>
    <row r="1527" spans="1:9" s="737" customFormat="1" ht="21.75" customHeight="1">
      <c r="A1527" s="738"/>
      <c r="B1527" s="740" t="s">
        <v>6221</v>
      </c>
      <c r="C1527" s="734">
        <v>2</v>
      </c>
      <c r="D1527" s="734">
        <v>5</v>
      </c>
      <c r="E1527" s="739">
        <f>3.52</f>
        <v>3.52</v>
      </c>
      <c r="F1527" s="739"/>
      <c r="G1527" s="739">
        <v>0.15</v>
      </c>
      <c r="H1527" s="739">
        <f t="shared" si="143"/>
        <v>5.28</v>
      </c>
      <c r="I1527" s="736"/>
    </row>
    <row r="1528" spans="1:9" s="737" customFormat="1" ht="21.75" customHeight="1">
      <c r="A1528" s="738"/>
      <c r="B1528" s="740" t="s">
        <v>6222</v>
      </c>
      <c r="C1528" s="734">
        <v>2</v>
      </c>
      <c r="D1528" s="734">
        <v>4</v>
      </c>
      <c r="E1528" s="739">
        <f>2.78</f>
        <v>2.78</v>
      </c>
      <c r="F1528" s="739"/>
      <c r="G1528" s="739">
        <v>0.15</v>
      </c>
      <c r="H1528" s="739">
        <f t="shared" si="143"/>
        <v>3.34</v>
      </c>
      <c r="I1528" s="736"/>
    </row>
    <row r="1529" spans="1:9" s="737" customFormat="1" ht="21.75" customHeight="1">
      <c r="A1529" s="738"/>
      <c r="B1529" s="740" t="s">
        <v>6223</v>
      </c>
      <c r="C1529" s="734">
        <v>2</v>
      </c>
      <c r="D1529" s="734">
        <v>4</v>
      </c>
      <c r="E1529" s="739">
        <f>2.4</f>
        <v>2.4</v>
      </c>
      <c r="F1529" s="739"/>
      <c r="G1529" s="739">
        <v>0.15</v>
      </c>
      <c r="H1529" s="739">
        <f t="shared" si="143"/>
        <v>2.88</v>
      </c>
      <c r="I1529" s="736"/>
    </row>
    <row r="1530" spans="1:9" s="737" customFormat="1" ht="21.75" customHeight="1">
      <c r="A1530" s="738"/>
      <c r="B1530" s="740" t="s">
        <v>6224</v>
      </c>
      <c r="C1530" s="734">
        <v>2</v>
      </c>
      <c r="D1530" s="734">
        <v>1</v>
      </c>
      <c r="E1530" s="739">
        <f>3.52</f>
        <v>3.52</v>
      </c>
      <c r="F1530" s="739"/>
      <c r="G1530" s="739">
        <v>0.15</v>
      </c>
      <c r="H1530" s="739">
        <f t="shared" si="143"/>
        <v>1.06</v>
      </c>
      <c r="I1530" s="736"/>
    </row>
    <row r="1531" spans="1:9" s="737" customFormat="1" ht="21.75" customHeight="1">
      <c r="A1531" s="738"/>
      <c r="B1531" s="740" t="s">
        <v>6225</v>
      </c>
      <c r="C1531" s="734">
        <v>2</v>
      </c>
      <c r="D1531" s="734">
        <v>3</v>
      </c>
      <c r="E1531" s="739">
        <v>2.4</v>
      </c>
      <c r="F1531" s="739"/>
      <c r="G1531" s="739">
        <v>0.15</v>
      </c>
      <c r="H1531" s="739">
        <f t="shared" si="143"/>
        <v>2.16</v>
      </c>
      <c r="I1531" s="736"/>
    </row>
    <row r="1532" spans="1:9" s="737" customFormat="1">
      <c r="A1532" s="738"/>
      <c r="B1532" s="735" t="s">
        <v>6226</v>
      </c>
      <c r="C1532" s="734"/>
      <c r="D1532" s="734"/>
      <c r="E1532" s="739"/>
      <c r="F1532" s="739"/>
      <c r="G1532" s="739"/>
      <c r="H1532" s="739"/>
      <c r="I1532" s="736"/>
    </row>
    <row r="1533" spans="1:9" s="737" customFormat="1" ht="23.25" customHeight="1">
      <c r="A1533" s="738"/>
      <c r="B1533" s="735" t="s">
        <v>6227</v>
      </c>
      <c r="C1533" s="734">
        <v>2</v>
      </c>
      <c r="D1533" s="734">
        <v>2</v>
      </c>
      <c r="E1533" s="739">
        <f>4.92+0.23+0.52+0.23+0.23</f>
        <v>6.13</v>
      </c>
      <c r="F1533" s="739"/>
      <c r="G1533" s="739">
        <v>0.15</v>
      </c>
      <c r="H1533" s="739">
        <f t="shared" ref="H1533:H1543" si="144">PRODUCT(C1533:G1533)</f>
        <v>3.68</v>
      </c>
      <c r="I1533" s="736"/>
    </row>
    <row r="1534" spans="1:9" s="737" customFormat="1" ht="20.25" customHeight="1">
      <c r="A1534" s="738"/>
      <c r="B1534" s="740" t="s">
        <v>6228</v>
      </c>
      <c r="C1534" s="734">
        <v>2</v>
      </c>
      <c r="D1534" s="734">
        <v>2</v>
      </c>
      <c r="E1534" s="739">
        <f>3.485+0.46</f>
        <v>3.95</v>
      </c>
      <c r="F1534" s="739"/>
      <c r="G1534" s="739">
        <v>0.15</v>
      </c>
      <c r="H1534" s="739">
        <f t="shared" si="144"/>
        <v>2.37</v>
      </c>
      <c r="I1534" s="736"/>
    </row>
    <row r="1535" spans="1:9" s="737" customFormat="1" ht="20.25" customHeight="1">
      <c r="A1535" s="738"/>
      <c r="B1535" s="740" t="s">
        <v>6229</v>
      </c>
      <c r="C1535" s="734">
        <v>2</v>
      </c>
      <c r="D1535" s="734">
        <v>1</v>
      </c>
      <c r="E1535" s="739">
        <v>1.2</v>
      </c>
      <c r="F1535" s="739"/>
      <c r="G1535" s="739">
        <v>0.15</v>
      </c>
      <c r="H1535" s="739">
        <f t="shared" si="144"/>
        <v>0.36</v>
      </c>
      <c r="I1535" s="736"/>
    </row>
    <row r="1536" spans="1:9" s="737" customFormat="1" ht="20.25" customHeight="1">
      <c r="A1536" s="738"/>
      <c r="B1536" s="740" t="s">
        <v>5848</v>
      </c>
      <c r="C1536" s="734">
        <v>2</v>
      </c>
      <c r="D1536" s="734">
        <v>1</v>
      </c>
      <c r="E1536" s="739">
        <f>4.25+0.23+0.75+0.23</f>
        <v>5.46</v>
      </c>
      <c r="F1536" s="739"/>
      <c r="G1536" s="739">
        <v>0.15</v>
      </c>
      <c r="H1536" s="739">
        <f t="shared" si="144"/>
        <v>1.64</v>
      </c>
      <c r="I1536" s="736"/>
    </row>
    <row r="1537" spans="1:10" s="737" customFormat="1" ht="20.25" customHeight="1">
      <c r="A1537" s="738"/>
      <c r="B1537" s="740" t="s">
        <v>6230</v>
      </c>
      <c r="C1537" s="734">
        <v>2</v>
      </c>
      <c r="D1537" s="734">
        <v>1</v>
      </c>
      <c r="E1537" s="739">
        <f>2.18+0.23</f>
        <v>2.41</v>
      </c>
      <c r="F1537" s="739"/>
      <c r="G1537" s="739">
        <v>0.15</v>
      </c>
      <c r="H1537" s="739">
        <f t="shared" si="144"/>
        <v>0.72</v>
      </c>
      <c r="I1537" s="736"/>
    </row>
    <row r="1538" spans="1:10" s="737" customFormat="1" ht="21.75" customHeight="1">
      <c r="A1538" s="738"/>
      <c r="B1538" s="740" t="s">
        <v>6231</v>
      </c>
      <c r="C1538" s="734">
        <v>2</v>
      </c>
      <c r="D1538" s="734">
        <v>2</v>
      </c>
      <c r="E1538" s="739">
        <f>0.23+3.64+0.23+1.443+0.23+1.292+0.23</f>
        <v>7.3</v>
      </c>
      <c r="F1538" s="739"/>
      <c r="G1538" s="739">
        <v>0.15</v>
      </c>
      <c r="H1538" s="739">
        <f t="shared" si="144"/>
        <v>4.38</v>
      </c>
      <c r="I1538" s="736"/>
    </row>
    <row r="1539" spans="1:10" s="737" customFormat="1" ht="21.75" customHeight="1">
      <c r="A1539" s="738"/>
      <c r="B1539" s="740" t="s">
        <v>6232</v>
      </c>
      <c r="C1539" s="734">
        <v>2</v>
      </c>
      <c r="D1539" s="734">
        <v>2</v>
      </c>
      <c r="E1539" s="739">
        <f>0.23+3.64+0.23+3.63+0.23</f>
        <v>7.96</v>
      </c>
      <c r="F1539" s="739"/>
      <c r="G1539" s="739">
        <v>0.15</v>
      </c>
      <c r="H1539" s="739">
        <f t="shared" si="144"/>
        <v>4.78</v>
      </c>
      <c r="I1539" s="736"/>
    </row>
    <row r="1540" spans="1:10" s="737" customFormat="1" ht="21.75" customHeight="1">
      <c r="A1540" s="738"/>
      <c r="B1540" s="740" t="s">
        <v>6233</v>
      </c>
      <c r="C1540" s="734">
        <v>2</v>
      </c>
      <c r="D1540" s="734">
        <v>1</v>
      </c>
      <c r="E1540" s="739">
        <f>0.23+1.592+0.23+1.177+0.23+1.442+0.23+1.177+0.23</f>
        <v>6.54</v>
      </c>
      <c r="F1540" s="739"/>
      <c r="G1540" s="739">
        <v>0.15</v>
      </c>
      <c r="H1540" s="739">
        <f t="shared" si="144"/>
        <v>1.96</v>
      </c>
      <c r="I1540" s="736"/>
    </row>
    <row r="1541" spans="1:10" s="737" customFormat="1" ht="21.75" customHeight="1">
      <c r="A1541" s="738"/>
      <c r="B1541" s="740" t="s">
        <v>6234</v>
      </c>
      <c r="C1541" s="734">
        <v>2</v>
      </c>
      <c r="D1541" s="734">
        <v>1</v>
      </c>
      <c r="E1541" s="739">
        <v>1.18</v>
      </c>
      <c r="F1541" s="739"/>
      <c r="G1541" s="739">
        <v>0.15</v>
      </c>
      <c r="H1541" s="739">
        <f t="shared" si="144"/>
        <v>0.35</v>
      </c>
      <c r="I1541" s="736"/>
    </row>
    <row r="1542" spans="1:10" s="737" customFormat="1" ht="21.75" customHeight="1">
      <c r="A1542" s="738"/>
      <c r="B1542" s="740" t="s">
        <v>6235</v>
      </c>
      <c r="C1542" s="734">
        <v>2</v>
      </c>
      <c r="D1542" s="734">
        <v>1</v>
      </c>
      <c r="E1542" s="739">
        <v>1.44</v>
      </c>
      <c r="F1542" s="739"/>
      <c r="G1542" s="739">
        <v>0.15</v>
      </c>
      <c r="H1542" s="739">
        <f t="shared" si="144"/>
        <v>0.43</v>
      </c>
      <c r="I1542" s="736"/>
    </row>
    <row r="1543" spans="1:10" s="737" customFormat="1">
      <c r="A1543" s="738"/>
      <c r="B1543" s="740" t="s">
        <v>6236</v>
      </c>
      <c r="C1543" s="734">
        <v>2</v>
      </c>
      <c r="D1543" s="734">
        <v>1</v>
      </c>
      <c r="E1543" s="739">
        <f>1.292+0.23+1.443</f>
        <v>2.97</v>
      </c>
      <c r="F1543" s="739"/>
      <c r="G1543" s="739">
        <v>0.15</v>
      </c>
      <c r="H1543" s="739">
        <f t="shared" si="144"/>
        <v>0.89</v>
      </c>
      <c r="I1543" s="736"/>
    </row>
    <row r="1544" spans="1:10" s="737" customFormat="1">
      <c r="A1544" s="738"/>
      <c r="B1544" s="735"/>
      <c r="C1544" s="734"/>
      <c r="D1544" s="734"/>
      <c r="E1544" s="739"/>
      <c r="F1544" s="739"/>
      <c r="G1544" s="739"/>
      <c r="H1544" s="742">
        <f>SUM(H1494:H1543)</f>
        <v>202.86</v>
      </c>
      <c r="I1544" s="736"/>
    </row>
    <row r="1545" spans="1:10" s="737" customFormat="1">
      <c r="A1545" s="732"/>
      <c r="B1545" s="735"/>
      <c r="C1545" s="746"/>
      <c r="D1545" s="746"/>
      <c r="E1545" s="742"/>
      <c r="F1545" s="742"/>
      <c r="G1545" s="742" t="s">
        <v>4209</v>
      </c>
      <c r="H1545" s="742">
        <f>ROUNDUP(H1544,1)</f>
        <v>202.9</v>
      </c>
      <c r="I1545" s="736" t="s">
        <v>2273</v>
      </c>
      <c r="J1545" s="737">
        <v>140.30000000000001</v>
      </c>
    </row>
    <row r="1546" spans="1:10" s="737" customFormat="1" ht="60" customHeight="1">
      <c r="A1546" s="738" t="s">
        <v>3182</v>
      </c>
      <c r="B1546" s="733" t="s">
        <v>6290</v>
      </c>
      <c r="C1546" s="734"/>
      <c r="D1546" s="734"/>
      <c r="E1546" s="735"/>
      <c r="F1546" s="735"/>
      <c r="G1546" s="735"/>
      <c r="H1546" s="735"/>
      <c r="I1546" s="736"/>
    </row>
    <row r="1547" spans="1:10" s="737" customFormat="1">
      <c r="A1547" s="732"/>
      <c r="B1547" s="735" t="s">
        <v>6237</v>
      </c>
      <c r="C1547" s="734"/>
      <c r="D1547" s="734"/>
      <c r="E1547" s="739"/>
      <c r="F1547" s="739"/>
      <c r="G1547" s="739"/>
      <c r="H1547" s="739"/>
      <c r="I1547" s="736"/>
    </row>
    <row r="1548" spans="1:10" s="737" customFormat="1">
      <c r="A1548" s="738"/>
      <c r="B1548" s="735" t="s">
        <v>6240</v>
      </c>
      <c r="C1548" s="734">
        <v>2</v>
      </c>
      <c r="D1548" s="734">
        <v>1</v>
      </c>
      <c r="E1548" s="739">
        <v>5.2</v>
      </c>
      <c r="F1548" s="739"/>
      <c r="G1548" s="739">
        <v>0.4</v>
      </c>
      <c r="H1548" s="739">
        <f t="shared" ref="H1548:H1555" si="145">PRODUCT(C1548:G1548)</f>
        <v>4.16</v>
      </c>
      <c r="I1548" s="736"/>
    </row>
    <row r="1549" spans="1:10" s="737" customFormat="1">
      <c r="A1549" s="738"/>
      <c r="B1549" s="735" t="s">
        <v>6291</v>
      </c>
      <c r="C1549" s="734">
        <v>1</v>
      </c>
      <c r="D1549" s="734">
        <v>1</v>
      </c>
      <c r="E1549" s="739">
        <v>5.2</v>
      </c>
      <c r="F1549" s="739">
        <v>0.23</v>
      </c>
      <c r="G1549" s="739"/>
      <c r="H1549" s="739">
        <f t="shared" si="145"/>
        <v>1.2</v>
      </c>
      <c r="I1549" s="736"/>
    </row>
    <row r="1550" spans="1:10" s="737" customFormat="1">
      <c r="A1550" s="738"/>
      <c r="B1550" s="735" t="s">
        <v>6241</v>
      </c>
      <c r="C1550" s="734">
        <v>1</v>
      </c>
      <c r="D1550" s="734">
        <v>1</v>
      </c>
      <c r="E1550" s="739">
        <v>2.4</v>
      </c>
      <c r="F1550" s="739">
        <v>1.2</v>
      </c>
      <c r="G1550" s="739"/>
      <c r="H1550" s="739">
        <f t="shared" si="145"/>
        <v>2.88</v>
      </c>
      <c r="I1550" s="736"/>
    </row>
    <row r="1551" spans="1:10" s="737" customFormat="1">
      <c r="A1551" s="738"/>
      <c r="B1551" s="735" t="s">
        <v>6242</v>
      </c>
      <c r="C1551" s="734">
        <v>1</v>
      </c>
      <c r="D1551" s="734">
        <v>1</v>
      </c>
      <c r="E1551" s="739">
        <v>2.4</v>
      </c>
      <c r="F1551" s="739">
        <f>1.62+0.23</f>
        <v>1.85</v>
      </c>
      <c r="G1551" s="739"/>
      <c r="H1551" s="739">
        <f t="shared" si="145"/>
        <v>4.4400000000000004</v>
      </c>
      <c r="I1551" s="736"/>
    </row>
    <row r="1552" spans="1:10" s="737" customFormat="1">
      <c r="A1552" s="738"/>
      <c r="B1552" s="735" t="s">
        <v>6243</v>
      </c>
      <c r="C1552" s="734">
        <v>1</v>
      </c>
      <c r="D1552" s="734">
        <v>2</v>
      </c>
      <c r="E1552" s="739">
        <v>4</v>
      </c>
      <c r="F1552" s="739">
        <v>1.05</v>
      </c>
      <c r="G1552" s="739"/>
      <c r="H1552" s="739">
        <f t="shared" si="145"/>
        <v>8.4</v>
      </c>
      <c r="I1552" s="736"/>
    </row>
    <row r="1553" spans="1:9" s="737" customFormat="1">
      <c r="A1553" s="738"/>
      <c r="B1553" s="735" t="s">
        <v>6097</v>
      </c>
      <c r="C1553" s="734">
        <v>1</v>
      </c>
      <c r="D1553" s="734">
        <v>2</v>
      </c>
      <c r="E1553" s="739">
        <v>4</v>
      </c>
      <c r="F1553" s="739"/>
      <c r="G1553" s="739">
        <v>0.15</v>
      </c>
      <c r="H1553" s="739">
        <f t="shared" si="145"/>
        <v>1.2</v>
      </c>
      <c r="I1553" s="736"/>
    </row>
    <row r="1554" spans="1:9" s="737" customFormat="1">
      <c r="A1554" s="738"/>
      <c r="B1554" s="735" t="s">
        <v>6292</v>
      </c>
      <c r="C1554" s="734">
        <v>21</v>
      </c>
      <c r="D1554" s="734">
        <v>1</v>
      </c>
      <c r="E1554" s="739">
        <v>1.05</v>
      </c>
      <c r="F1554" s="739"/>
      <c r="G1554" s="739">
        <v>0.15</v>
      </c>
      <c r="H1554" s="739">
        <f t="shared" si="145"/>
        <v>3.31</v>
      </c>
      <c r="I1554" s="736"/>
    </row>
    <row r="1555" spans="1:9" s="737" customFormat="1">
      <c r="A1555" s="738"/>
      <c r="B1555" s="735" t="s">
        <v>6097</v>
      </c>
      <c r="C1555" s="734">
        <v>21</v>
      </c>
      <c r="D1555" s="734">
        <v>0.5</v>
      </c>
      <c r="E1555" s="739">
        <v>0.3</v>
      </c>
      <c r="F1555" s="739">
        <v>0.15</v>
      </c>
      <c r="G1555" s="739"/>
      <c r="H1555" s="739">
        <f t="shared" si="145"/>
        <v>0.47</v>
      </c>
      <c r="I1555" s="736"/>
    </row>
    <row r="1556" spans="1:9" s="737" customFormat="1">
      <c r="A1556" s="738"/>
      <c r="B1556" s="740" t="s">
        <v>6245</v>
      </c>
      <c r="C1556" s="734"/>
      <c r="D1556" s="734"/>
      <c r="E1556" s="739"/>
      <c r="F1556" s="739"/>
      <c r="G1556" s="739"/>
      <c r="H1556" s="739"/>
      <c r="I1556" s="736"/>
    </row>
    <row r="1557" spans="1:9" s="737" customFormat="1">
      <c r="A1557" s="738"/>
      <c r="B1557" s="740" t="s">
        <v>6293</v>
      </c>
      <c r="C1557" s="734">
        <v>1</v>
      </c>
      <c r="D1557" s="734">
        <v>1</v>
      </c>
      <c r="E1557" s="739">
        <v>51.78</v>
      </c>
      <c r="F1557" s="739"/>
      <c r="G1557" s="739">
        <v>0.35</v>
      </c>
      <c r="H1557" s="739">
        <f t="shared" ref="H1557:H1600" si="146">PRODUCT(C1557:G1557)</f>
        <v>18.12</v>
      </c>
      <c r="I1557" s="736"/>
    </row>
    <row r="1558" spans="1:9" s="737" customFormat="1">
      <c r="A1558" s="738"/>
      <c r="B1558" s="740" t="s">
        <v>6294</v>
      </c>
      <c r="C1558" s="734">
        <v>1</v>
      </c>
      <c r="D1558" s="734">
        <v>1</v>
      </c>
      <c r="E1558" s="739">
        <v>6.13</v>
      </c>
      <c r="F1558" s="739"/>
      <c r="G1558" s="739">
        <v>0.1</v>
      </c>
      <c r="H1558" s="739">
        <f t="shared" si="146"/>
        <v>0.61</v>
      </c>
      <c r="I1558" s="736"/>
    </row>
    <row r="1559" spans="1:9" s="737" customFormat="1">
      <c r="A1559" s="738"/>
      <c r="B1559" s="740" t="s">
        <v>6295</v>
      </c>
      <c r="C1559" s="734">
        <v>-1</v>
      </c>
      <c r="D1559" s="734">
        <v>1</v>
      </c>
      <c r="E1559" s="739">
        <v>3.52</v>
      </c>
      <c r="F1559" s="739"/>
      <c r="G1559" s="739">
        <v>0.05</v>
      </c>
      <c r="H1559" s="739">
        <f t="shared" si="146"/>
        <v>-0.18</v>
      </c>
      <c r="I1559" s="736"/>
    </row>
    <row r="1560" spans="1:9" s="737" customFormat="1">
      <c r="A1560" s="738"/>
      <c r="B1560" s="740" t="s">
        <v>6296</v>
      </c>
      <c r="C1560" s="734">
        <v>-1</v>
      </c>
      <c r="D1560" s="734">
        <v>1</v>
      </c>
      <c r="E1560" s="739">
        <v>2.4</v>
      </c>
      <c r="F1560" s="739"/>
      <c r="G1560" s="739">
        <v>0.05</v>
      </c>
      <c r="H1560" s="739">
        <f t="shared" si="146"/>
        <v>-0.12</v>
      </c>
      <c r="I1560" s="736"/>
    </row>
    <row r="1561" spans="1:9" s="737" customFormat="1">
      <c r="A1561" s="738"/>
      <c r="B1561" s="740" t="s">
        <v>6264</v>
      </c>
      <c r="C1561" s="734">
        <v>1</v>
      </c>
      <c r="D1561" s="734">
        <v>1</v>
      </c>
      <c r="E1561" s="739">
        <v>10.94</v>
      </c>
      <c r="F1561" s="739"/>
      <c r="G1561" s="739">
        <v>0.35</v>
      </c>
      <c r="H1561" s="739">
        <f t="shared" si="146"/>
        <v>3.83</v>
      </c>
      <c r="I1561" s="736"/>
    </row>
    <row r="1562" spans="1:9" s="737" customFormat="1">
      <c r="A1562" s="738"/>
      <c r="B1562" s="740" t="s">
        <v>6297</v>
      </c>
      <c r="C1562" s="734">
        <v>-1</v>
      </c>
      <c r="D1562" s="734">
        <v>1</v>
      </c>
      <c r="E1562" s="739">
        <v>1.95</v>
      </c>
      <c r="F1562" s="739"/>
      <c r="G1562" s="739">
        <v>0.12</v>
      </c>
      <c r="H1562" s="739">
        <f t="shared" si="146"/>
        <v>-0.23</v>
      </c>
      <c r="I1562" s="736"/>
    </row>
    <row r="1563" spans="1:9" s="737" customFormat="1">
      <c r="A1563" s="738"/>
      <c r="B1563" s="740" t="s">
        <v>6265</v>
      </c>
      <c r="C1563" s="734">
        <v>1</v>
      </c>
      <c r="D1563" s="734">
        <v>1</v>
      </c>
      <c r="E1563" s="739">
        <v>12.68</v>
      </c>
      <c r="F1563" s="739"/>
      <c r="G1563" s="739">
        <v>0.35</v>
      </c>
      <c r="H1563" s="739">
        <f t="shared" si="146"/>
        <v>4.4400000000000004</v>
      </c>
      <c r="I1563" s="736"/>
    </row>
    <row r="1564" spans="1:9" s="737" customFormat="1">
      <c r="A1564" s="738"/>
      <c r="B1564" s="740" t="s">
        <v>5837</v>
      </c>
      <c r="C1564" s="734">
        <v>1</v>
      </c>
      <c r="D1564" s="734">
        <v>1</v>
      </c>
      <c r="E1564" s="739">
        <v>14.17</v>
      </c>
      <c r="F1564" s="739"/>
      <c r="G1564" s="739">
        <v>0.35</v>
      </c>
      <c r="H1564" s="739">
        <f t="shared" si="146"/>
        <v>4.96</v>
      </c>
      <c r="I1564" s="736"/>
    </row>
    <row r="1565" spans="1:9" s="737" customFormat="1">
      <c r="A1565" s="738"/>
      <c r="B1565" s="740" t="s">
        <v>6298</v>
      </c>
      <c r="C1565" s="734">
        <v>1</v>
      </c>
      <c r="D1565" s="734">
        <v>1</v>
      </c>
      <c r="E1565" s="739">
        <v>3.6</v>
      </c>
      <c r="F1565" s="739"/>
      <c r="G1565" s="739">
        <v>0.25</v>
      </c>
      <c r="H1565" s="739">
        <f t="shared" si="146"/>
        <v>0.9</v>
      </c>
      <c r="I1565" s="736"/>
    </row>
    <row r="1566" spans="1:9" s="737" customFormat="1">
      <c r="A1566" s="738"/>
      <c r="B1566" s="740" t="s">
        <v>5955</v>
      </c>
      <c r="C1566" s="734">
        <v>1</v>
      </c>
      <c r="D1566" s="734">
        <v>1</v>
      </c>
      <c r="E1566" s="739">
        <v>14.48</v>
      </c>
      <c r="F1566" s="739"/>
      <c r="G1566" s="739">
        <v>0.35</v>
      </c>
      <c r="H1566" s="739">
        <f t="shared" si="146"/>
        <v>5.07</v>
      </c>
      <c r="I1566" s="736"/>
    </row>
    <row r="1567" spans="1:9" s="737" customFormat="1">
      <c r="A1567" s="738"/>
      <c r="B1567" s="740" t="s">
        <v>6298</v>
      </c>
      <c r="C1567" s="734">
        <v>1</v>
      </c>
      <c r="D1567" s="734">
        <v>1</v>
      </c>
      <c r="E1567" s="739">
        <v>3.6</v>
      </c>
      <c r="F1567" s="739"/>
      <c r="G1567" s="739">
        <v>0.1</v>
      </c>
      <c r="H1567" s="739">
        <f t="shared" si="146"/>
        <v>0.36</v>
      </c>
      <c r="I1567" s="736"/>
    </row>
    <row r="1568" spans="1:9" s="737" customFormat="1">
      <c r="A1568" s="738"/>
      <c r="B1568" s="740" t="s">
        <v>6299</v>
      </c>
      <c r="C1568" s="734">
        <v>1</v>
      </c>
      <c r="D1568" s="734">
        <v>1</v>
      </c>
      <c r="E1568" s="739">
        <v>5.7</v>
      </c>
      <c r="F1568" s="739"/>
      <c r="G1568" s="739">
        <v>0.35</v>
      </c>
      <c r="H1568" s="739">
        <f t="shared" si="146"/>
        <v>2</v>
      </c>
      <c r="I1568" s="736"/>
    </row>
    <row r="1569" spans="1:9" s="737" customFormat="1">
      <c r="A1569" s="738"/>
      <c r="B1569" s="740" t="s">
        <v>6298</v>
      </c>
      <c r="C1569" s="734">
        <v>1</v>
      </c>
      <c r="D1569" s="734">
        <v>1</v>
      </c>
      <c r="E1569" s="739">
        <v>1.81</v>
      </c>
      <c r="F1569" s="739"/>
      <c r="G1569" s="739">
        <v>0.25</v>
      </c>
      <c r="H1569" s="739">
        <f t="shared" si="146"/>
        <v>0.45</v>
      </c>
      <c r="I1569" s="736"/>
    </row>
    <row r="1570" spans="1:9" s="737" customFormat="1">
      <c r="A1570" s="738"/>
      <c r="B1570" s="740" t="s">
        <v>6298</v>
      </c>
      <c r="C1570" s="734">
        <v>1</v>
      </c>
      <c r="D1570" s="734">
        <v>1</v>
      </c>
      <c r="E1570" s="739">
        <v>1.73</v>
      </c>
      <c r="F1570" s="739"/>
      <c r="G1570" s="739">
        <v>0.25</v>
      </c>
      <c r="H1570" s="739">
        <f t="shared" si="146"/>
        <v>0.43</v>
      </c>
      <c r="I1570" s="736"/>
    </row>
    <row r="1571" spans="1:9" s="737" customFormat="1">
      <c r="A1571" s="738"/>
      <c r="B1571" s="740" t="s">
        <v>6300</v>
      </c>
      <c r="C1571" s="734">
        <v>1</v>
      </c>
      <c r="D1571" s="734">
        <v>1</v>
      </c>
      <c r="E1571" s="739">
        <v>6.67</v>
      </c>
      <c r="F1571" s="739"/>
      <c r="G1571" s="739">
        <v>0.45</v>
      </c>
      <c r="H1571" s="739">
        <f t="shared" si="146"/>
        <v>3</v>
      </c>
      <c r="I1571" s="736"/>
    </row>
    <row r="1572" spans="1:9" s="737" customFormat="1">
      <c r="A1572" s="738"/>
      <c r="B1572" s="740" t="s">
        <v>6297</v>
      </c>
      <c r="C1572" s="734">
        <v>-1</v>
      </c>
      <c r="D1572" s="734">
        <v>1</v>
      </c>
      <c r="E1572" s="739">
        <v>1.95</v>
      </c>
      <c r="F1572" s="739"/>
      <c r="G1572" s="739">
        <v>0.1</v>
      </c>
      <c r="H1572" s="739">
        <f t="shared" si="146"/>
        <v>-0.2</v>
      </c>
      <c r="I1572" s="736"/>
    </row>
    <row r="1573" spans="1:9" s="737" customFormat="1">
      <c r="A1573" s="738"/>
      <c r="B1573" s="740" t="s">
        <v>6297</v>
      </c>
      <c r="C1573" s="734">
        <v>-1</v>
      </c>
      <c r="D1573" s="734">
        <v>1</v>
      </c>
      <c r="E1573" s="739">
        <v>1.39</v>
      </c>
      <c r="F1573" s="739"/>
      <c r="G1573" s="739">
        <v>0.1</v>
      </c>
      <c r="H1573" s="739">
        <f t="shared" si="146"/>
        <v>-0.14000000000000001</v>
      </c>
      <c r="I1573" s="736"/>
    </row>
    <row r="1574" spans="1:9" s="737" customFormat="1">
      <c r="A1574" s="738"/>
      <c r="B1574" s="740" t="s">
        <v>6301</v>
      </c>
      <c r="C1574" s="734">
        <v>1</v>
      </c>
      <c r="D1574" s="734">
        <v>1</v>
      </c>
      <c r="E1574" s="739">
        <v>5</v>
      </c>
      <c r="F1574" s="739"/>
      <c r="G1574" s="739">
        <v>0.35</v>
      </c>
      <c r="H1574" s="739">
        <f t="shared" si="146"/>
        <v>1.75</v>
      </c>
      <c r="I1574" s="736"/>
    </row>
    <row r="1575" spans="1:9" s="737" customFormat="1">
      <c r="A1575" s="738"/>
      <c r="B1575" s="740" t="s">
        <v>6298</v>
      </c>
      <c r="C1575" s="734">
        <v>1</v>
      </c>
      <c r="D1575" s="734">
        <v>1</v>
      </c>
      <c r="E1575" s="739">
        <v>1.85</v>
      </c>
      <c r="F1575" s="739"/>
      <c r="G1575" s="739">
        <v>0.1</v>
      </c>
      <c r="H1575" s="739">
        <f t="shared" si="146"/>
        <v>0.19</v>
      </c>
      <c r="I1575" s="736"/>
    </row>
    <row r="1576" spans="1:9" s="737" customFormat="1">
      <c r="A1576" s="738"/>
      <c r="B1576" s="740" t="s">
        <v>6298</v>
      </c>
      <c r="C1576" s="734">
        <v>1</v>
      </c>
      <c r="D1576" s="734">
        <v>1</v>
      </c>
      <c r="E1576" s="739">
        <v>1.58</v>
      </c>
      <c r="F1576" s="739"/>
      <c r="G1576" s="739">
        <v>0.1</v>
      </c>
      <c r="H1576" s="739">
        <f t="shared" si="146"/>
        <v>0.16</v>
      </c>
      <c r="I1576" s="736"/>
    </row>
    <row r="1577" spans="1:9" s="737" customFormat="1">
      <c r="A1577" s="738"/>
      <c r="B1577" s="740" t="s">
        <v>6302</v>
      </c>
      <c r="C1577" s="734">
        <v>1</v>
      </c>
      <c r="D1577" s="734">
        <v>1</v>
      </c>
      <c r="E1577" s="739">
        <v>6.44</v>
      </c>
      <c r="F1577" s="739"/>
      <c r="G1577" s="739">
        <v>0.45</v>
      </c>
      <c r="H1577" s="739">
        <f t="shared" si="146"/>
        <v>2.9</v>
      </c>
      <c r="I1577" s="736"/>
    </row>
    <row r="1578" spans="1:9" s="737" customFormat="1">
      <c r="A1578" s="738"/>
      <c r="B1578" s="740" t="s">
        <v>6298</v>
      </c>
      <c r="C1578" s="734">
        <v>1</v>
      </c>
      <c r="D1578" s="734">
        <v>1</v>
      </c>
      <c r="E1578" s="739">
        <v>2.1</v>
      </c>
      <c r="F1578" s="739"/>
      <c r="G1578" s="739">
        <v>0.15</v>
      </c>
      <c r="H1578" s="739">
        <f t="shared" si="146"/>
        <v>0.32</v>
      </c>
      <c r="I1578" s="736"/>
    </row>
    <row r="1579" spans="1:9" s="737" customFormat="1">
      <c r="A1579" s="738"/>
      <c r="B1579" s="740" t="s">
        <v>6298</v>
      </c>
      <c r="C1579" s="734">
        <v>1</v>
      </c>
      <c r="D1579" s="734">
        <v>1</v>
      </c>
      <c r="E1579" s="739">
        <v>1.58</v>
      </c>
      <c r="F1579" s="739"/>
      <c r="G1579" s="739">
        <v>0.15</v>
      </c>
      <c r="H1579" s="739">
        <f t="shared" si="146"/>
        <v>0.24</v>
      </c>
      <c r="I1579" s="736"/>
    </row>
    <row r="1580" spans="1:9" s="737" customFormat="1">
      <c r="A1580" s="738"/>
      <c r="B1580" s="740" t="s">
        <v>5838</v>
      </c>
      <c r="C1580" s="734">
        <v>1</v>
      </c>
      <c r="D1580" s="734">
        <v>1</v>
      </c>
      <c r="E1580" s="739">
        <v>14.3</v>
      </c>
      <c r="F1580" s="739"/>
      <c r="G1580" s="739">
        <v>0.35</v>
      </c>
      <c r="H1580" s="739">
        <f t="shared" si="146"/>
        <v>5.01</v>
      </c>
      <c r="I1580" s="736"/>
    </row>
    <row r="1581" spans="1:9" s="737" customFormat="1">
      <c r="A1581" s="738"/>
      <c r="B1581" s="740" t="s">
        <v>6298</v>
      </c>
      <c r="C1581" s="734">
        <v>1</v>
      </c>
      <c r="D1581" s="734">
        <v>1</v>
      </c>
      <c r="E1581" s="739">
        <v>4.09</v>
      </c>
      <c r="F1581" s="739"/>
      <c r="G1581" s="739">
        <v>0.1</v>
      </c>
      <c r="H1581" s="739">
        <f t="shared" si="146"/>
        <v>0.41</v>
      </c>
      <c r="I1581" s="736"/>
    </row>
    <row r="1582" spans="1:9" s="737" customFormat="1">
      <c r="A1582" s="738"/>
      <c r="B1582" s="740" t="s">
        <v>6298</v>
      </c>
      <c r="C1582" s="734">
        <v>1</v>
      </c>
      <c r="D1582" s="734">
        <v>1</v>
      </c>
      <c r="E1582" s="739">
        <v>3.98</v>
      </c>
      <c r="F1582" s="739"/>
      <c r="G1582" s="739">
        <v>0.1</v>
      </c>
      <c r="H1582" s="739">
        <f t="shared" si="146"/>
        <v>0.4</v>
      </c>
      <c r="I1582" s="736"/>
    </row>
    <row r="1583" spans="1:9" s="737" customFormat="1">
      <c r="A1583" s="738"/>
      <c r="B1583" s="740" t="s">
        <v>5838</v>
      </c>
      <c r="C1583" s="734">
        <v>1</v>
      </c>
      <c r="D1583" s="734">
        <v>1</v>
      </c>
      <c r="E1583" s="739">
        <v>11.31</v>
      </c>
      <c r="F1583" s="739"/>
      <c r="G1583" s="739">
        <v>0.35</v>
      </c>
      <c r="H1583" s="739">
        <f t="shared" si="146"/>
        <v>3.96</v>
      </c>
      <c r="I1583" s="736"/>
    </row>
    <row r="1584" spans="1:9" s="737" customFormat="1">
      <c r="A1584" s="738"/>
      <c r="B1584" s="740" t="s">
        <v>6303</v>
      </c>
      <c r="C1584" s="734">
        <v>-1</v>
      </c>
      <c r="D1584" s="734">
        <v>1</v>
      </c>
      <c r="E1584" s="739">
        <v>3.52</v>
      </c>
      <c r="F1584" s="739"/>
      <c r="G1584" s="739">
        <v>0.1</v>
      </c>
      <c r="H1584" s="739">
        <f t="shared" si="146"/>
        <v>-0.35</v>
      </c>
      <c r="I1584" s="736"/>
    </row>
    <row r="1585" spans="1:9" s="737" customFormat="1">
      <c r="A1585" s="738"/>
      <c r="B1585" s="740" t="s">
        <v>6298</v>
      </c>
      <c r="C1585" s="734">
        <v>1</v>
      </c>
      <c r="D1585" s="734">
        <v>1</v>
      </c>
      <c r="E1585" s="739">
        <v>3.98</v>
      </c>
      <c r="F1585" s="739"/>
      <c r="G1585" s="739">
        <v>0.1</v>
      </c>
      <c r="H1585" s="739">
        <f t="shared" si="146"/>
        <v>0.4</v>
      </c>
      <c r="I1585" s="736"/>
    </row>
    <row r="1586" spans="1:9" s="737" customFormat="1">
      <c r="A1586" s="738"/>
      <c r="B1586" s="740" t="s">
        <v>5838</v>
      </c>
      <c r="C1586" s="734">
        <v>1</v>
      </c>
      <c r="D1586" s="734">
        <v>1</v>
      </c>
      <c r="E1586" s="739">
        <v>12.84</v>
      </c>
      <c r="F1586" s="739"/>
      <c r="G1586" s="739">
        <v>0.35</v>
      </c>
      <c r="H1586" s="739">
        <f t="shared" si="146"/>
        <v>4.49</v>
      </c>
      <c r="I1586" s="736"/>
    </row>
    <row r="1587" spans="1:9" s="737" customFormat="1">
      <c r="A1587" s="738"/>
      <c r="B1587" s="740" t="s">
        <v>6298</v>
      </c>
      <c r="C1587" s="734">
        <v>1</v>
      </c>
      <c r="D1587" s="734">
        <v>1</v>
      </c>
      <c r="E1587" s="739">
        <v>3.24</v>
      </c>
      <c r="F1587" s="739"/>
      <c r="G1587" s="739">
        <v>0.1</v>
      </c>
      <c r="H1587" s="739">
        <f t="shared" si="146"/>
        <v>0.32</v>
      </c>
      <c r="I1587" s="736"/>
    </row>
    <row r="1588" spans="1:9" s="737" customFormat="1">
      <c r="A1588" s="738"/>
      <c r="B1588" s="740" t="s">
        <v>5838</v>
      </c>
      <c r="C1588" s="734">
        <v>1</v>
      </c>
      <c r="D1588" s="734">
        <v>1</v>
      </c>
      <c r="E1588" s="739">
        <v>12.82</v>
      </c>
      <c r="F1588" s="739"/>
      <c r="G1588" s="739">
        <v>0.35</v>
      </c>
      <c r="H1588" s="739">
        <f t="shared" si="146"/>
        <v>4.49</v>
      </c>
      <c r="I1588" s="736"/>
    </row>
    <row r="1589" spans="1:9" s="737" customFormat="1">
      <c r="A1589" s="738"/>
      <c r="B1589" s="740" t="s">
        <v>6298</v>
      </c>
      <c r="C1589" s="734">
        <v>1</v>
      </c>
      <c r="D1589" s="734">
        <v>1</v>
      </c>
      <c r="E1589" s="739">
        <v>3.24</v>
      </c>
      <c r="F1589" s="739"/>
      <c r="G1589" s="739">
        <v>0.1</v>
      </c>
      <c r="H1589" s="739">
        <f t="shared" si="146"/>
        <v>0.32</v>
      </c>
      <c r="I1589" s="736"/>
    </row>
    <row r="1590" spans="1:9" s="737" customFormat="1">
      <c r="A1590" s="738"/>
      <c r="B1590" s="740" t="s">
        <v>6276</v>
      </c>
      <c r="C1590" s="734">
        <v>1</v>
      </c>
      <c r="D1590" s="734">
        <v>1</v>
      </c>
      <c r="E1590" s="739">
        <v>9.51</v>
      </c>
      <c r="F1590" s="739"/>
      <c r="G1590" s="739">
        <v>0.35</v>
      </c>
      <c r="H1590" s="739">
        <f t="shared" si="146"/>
        <v>3.33</v>
      </c>
      <c r="I1590" s="736"/>
    </row>
    <row r="1591" spans="1:9" s="737" customFormat="1">
      <c r="A1591" s="738"/>
      <c r="B1591" s="740" t="s">
        <v>6303</v>
      </c>
      <c r="C1591" s="734">
        <v>-1</v>
      </c>
      <c r="D1591" s="734">
        <v>1</v>
      </c>
      <c r="E1591" s="739">
        <v>3.52</v>
      </c>
      <c r="F1591" s="739"/>
      <c r="G1591" s="739">
        <v>0.1</v>
      </c>
      <c r="H1591" s="739">
        <f t="shared" si="146"/>
        <v>-0.35</v>
      </c>
      <c r="I1591" s="736"/>
    </row>
    <row r="1592" spans="1:9" s="737" customFormat="1">
      <c r="A1592" s="738"/>
      <c r="B1592" s="740" t="s">
        <v>5843</v>
      </c>
      <c r="C1592" s="734">
        <v>1</v>
      </c>
      <c r="D1592" s="734">
        <v>1</v>
      </c>
      <c r="E1592" s="739">
        <v>12.08</v>
      </c>
      <c r="F1592" s="739"/>
      <c r="G1592" s="739">
        <v>0.35</v>
      </c>
      <c r="H1592" s="739">
        <f t="shared" si="146"/>
        <v>4.2300000000000004</v>
      </c>
      <c r="I1592" s="736"/>
    </row>
    <row r="1593" spans="1:9" s="737" customFormat="1">
      <c r="A1593" s="738"/>
      <c r="B1593" s="740" t="s">
        <v>6303</v>
      </c>
      <c r="C1593" s="734">
        <v>-1</v>
      </c>
      <c r="D1593" s="734">
        <v>1</v>
      </c>
      <c r="E1593" s="739">
        <v>2.4</v>
      </c>
      <c r="F1593" s="739"/>
      <c r="G1593" s="739">
        <v>0.05</v>
      </c>
      <c r="H1593" s="739">
        <f t="shared" si="146"/>
        <v>-0.12</v>
      </c>
      <c r="I1593" s="736"/>
    </row>
    <row r="1594" spans="1:9" s="737" customFormat="1">
      <c r="A1594" s="738"/>
      <c r="B1594" s="740" t="s">
        <v>6304</v>
      </c>
      <c r="C1594" s="734">
        <v>1</v>
      </c>
      <c r="D1594" s="734">
        <v>1</v>
      </c>
      <c r="E1594" s="739">
        <v>9.2200000000000006</v>
      </c>
      <c r="F1594" s="739"/>
      <c r="G1594" s="739">
        <v>0.35</v>
      </c>
      <c r="H1594" s="739">
        <f t="shared" si="146"/>
        <v>3.23</v>
      </c>
      <c r="I1594" s="736"/>
    </row>
    <row r="1595" spans="1:9" s="737" customFormat="1">
      <c r="A1595" s="738"/>
      <c r="B1595" s="740" t="s">
        <v>6303</v>
      </c>
      <c r="C1595" s="734">
        <v>-1</v>
      </c>
      <c r="D1595" s="734">
        <v>1</v>
      </c>
      <c r="E1595" s="739">
        <v>2.4</v>
      </c>
      <c r="F1595" s="739"/>
      <c r="G1595" s="739">
        <v>0.1</v>
      </c>
      <c r="H1595" s="739">
        <f t="shared" si="146"/>
        <v>-0.24</v>
      </c>
      <c r="I1595" s="736"/>
    </row>
    <row r="1596" spans="1:9" s="737" customFormat="1">
      <c r="A1596" s="738"/>
      <c r="B1596" s="740" t="s">
        <v>6305</v>
      </c>
      <c r="C1596" s="734">
        <v>1</v>
      </c>
      <c r="D1596" s="734">
        <v>1</v>
      </c>
      <c r="E1596" s="739">
        <v>7.66</v>
      </c>
      <c r="F1596" s="739"/>
      <c r="G1596" s="739">
        <v>0.45</v>
      </c>
      <c r="H1596" s="739">
        <f t="shared" si="146"/>
        <v>3.45</v>
      </c>
      <c r="I1596" s="736"/>
    </row>
    <row r="1597" spans="1:9" s="737" customFormat="1">
      <c r="A1597" s="738"/>
      <c r="B1597" s="740" t="s">
        <v>6303</v>
      </c>
      <c r="C1597" s="734">
        <v>-1</v>
      </c>
      <c r="D1597" s="734">
        <v>2</v>
      </c>
      <c r="E1597" s="739">
        <v>2.4</v>
      </c>
      <c r="F1597" s="739"/>
      <c r="G1597" s="739">
        <v>0.1</v>
      </c>
      <c r="H1597" s="739">
        <f t="shared" si="146"/>
        <v>-0.48</v>
      </c>
      <c r="I1597" s="736"/>
    </row>
    <row r="1598" spans="1:9" s="737" customFormat="1" ht="21" customHeight="1">
      <c r="A1598" s="738"/>
      <c r="B1598" s="740" t="s">
        <v>6263</v>
      </c>
      <c r="C1598" s="734">
        <v>1</v>
      </c>
      <c r="D1598" s="734">
        <v>1</v>
      </c>
      <c r="E1598" s="739">
        <v>13.45</v>
      </c>
      <c r="F1598" s="739">
        <v>12.44</v>
      </c>
      <c r="G1598" s="765"/>
      <c r="H1598" s="739">
        <f t="shared" si="146"/>
        <v>167.32</v>
      </c>
      <c r="I1598" s="736"/>
    </row>
    <row r="1599" spans="1:9" s="737" customFormat="1">
      <c r="A1599" s="738"/>
      <c r="B1599" s="740" t="s">
        <v>6306</v>
      </c>
      <c r="C1599" s="734">
        <v>-1</v>
      </c>
      <c r="D1599" s="734">
        <v>1</v>
      </c>
      <c r="E1599" s="739">
        <v>3.6</v>
      </c>
      <c r="F1599" s="739">
        <v>2.1800000000000002</v>
      </c>
      <c r="G1599" s="765"/>
      <c r="H1599" s="739">
        <f t="shared" si="146"/>
        <v>-7.85</v>
      </c>
      <c r="I1599" s="736"/>
    </row>
    <row r="1600" spans="1:9" s="737" customFormat="1">
      <c r="A1600" s="738"/>
      <c r="B1600" s="740" t="s">
        <v>6307</v>
      </c>
      <c r="C1600" s="734">
        <v>-1</v>
      </c>
      <c r="D1600" s="734">
        <v>1</v>
      </c>
      <c r="E1600" s="739">
        <v>4.01</v>
      </c>
      <c r="F1600" s="739">
        <v>2.4</v>
      </c>
      <c r="G1600" s="765"/>
      <c r="H1600" s="739">
        <f t="shared" si="146"/>
        <v>-9.6199999999999992</v>
      </c>
      <c r="I1600" s="736"/>
    </row>
    <row r="1601" spans="1:9">
      <c r="A1601" s="753"/>
      <c r="B1601" s="751" t="s">
        <v>5877</v>
      </c>
      <c r="C1601" s="748"/>
      <c r="D1601" s="748"/>
      <c r="E1601" s="749"/>
      <c r="F1601" s="749"/>
      <c r="G1601" s="749"/>
      <c r="H1601" s="739"/>
      <c r="I1601" s="750"/>
    </row>
    <row r="1602" spans="1:9">
      <c r="A1602" s="753"/>
      <c r="B1602" s="754" t="s">
        <v>5870</v>
      </c>
      <c r="C1602" s="748">
        <v>2</v>
      </c>
      <c r="D1602" s="748">
        <v>1</v>
      </c>
      <c r="E1602" s="749">
        <f>1.5+0.46</f>
        <v>1.96</v>
      </c>
      <c r="F1602" s="749"/>
      <c r="G1602" s="749">
        <v>0.05</v>
      </c>
      <c r="H1602" s="739">
        <f t="shared" ref="H1602:H1605" si="147">PRODUCT(C1602:G1602)</f>
        <v>0.2</v>
      </c>
      <c r="I1602" s="750"/>
    </row>
    <row r="1603" spans="1:9">
      <c r="A1603" s="753"/>
      <c r="B1603" s="754" t="s">
        <v>5871</v>
      </c>
      <c r="C1603" s="748">
        <v>2</v>
      </c>
      <c r="D1603" s="748">
        <v>1</v>
      </c>
      <c r="E1603" s="749">
        <f>0.9+0.46</f>
        <v>1.36</v>
      </c>
      <c r="F1603" s="749"/>
      <c r="G1603" s="749">
        <v>0.05</v>
      </c>
      <c r="H1603" s="739">
        <f t="shared" si="147"/>
        <v>0.14000000000000001</v>
      </c>
      <c r="I1603" s="750"/>
    </row>
    <row r="1604" spans="1:9">
      <c r="A1604" s="753"/>
      <c r="B1604" s="754" t="s">
        <v>5872</v>
      </c>
      <c r="C1604" s="748">
        <v>2</v>
      </c>
      <c r="D1604" s="748">
        <v>3</v>
      </c>
      <c r="E1604" s="749">
        <f>1.8+0.46</f>
        <v>2.2599999999999998</v>
      </c>
      <c r="F1604" s="749"/>
      <c r="G1604" s="749">
        <v>0.05</v>
      </c>
      <c r="H1604" s="739">
        <f t="shared" si="147"/>
        <v>0.68</v>
      </c>
      <c r="I1604" s="750"/>
    </row>
    <row r="1605" spans="1:9">
      <c r="A1605" s="753"/>
      <c r="B1605" s="754" t="s">
        <v>5873</v>
      </c>
      <c r="C1605" s="748">
        <v>2</v>
      </c>
      <c r="D1605" s="748">
        <v>3</v>
      </c>
      <c r="E1605" s="749">
        <f>1.5+0.46</f>
        <v>1.96</v>
      </c>
      <c r="F1605" s="749"/>
      <c r="G1605" s="749">
        <v>0.05</v>
      </c>
      <c r="H1605" s="739">
        <f t="shared" si="147"/>
        <v>0.59</v>
      </c>
      <c r="I1605" s="750"/>
    </row>
    <row r="1606" spans="1:9">
      <c r="A1606" s="753"/>
      <c r="B1606" s="754" t="s">
        <v>5874</v>
      </c>
      <c r="C1606" s="748">
        <v>2</v>
      </c>
      <c r="D1606" s="748">
        <v>1</v>
      </c>
      <c r="E1606" s="749">
        <f>1.5+0.46</f>
        <v>1.96</v>
      </c>
      <c r="F1606" s="749"/>
      <c r="G1606" s="749">
        <v>0.05</v>
      </c>
      <c r="H1606" s="739">
        <f>PRODUCT(C1606:G1606)</f>
        <v>0.2</v>
      </c>
      <c r="I1606" s="750"/>
    </row>
    <row r="1607" spans="1:9">
      <c r="A1607" s="753"/>
      <c r="B1607" s="754" t="s">
        <v>5875</v>
      </c>
      <c r="C1607" s="748">
        <v>2</v>
      </c>
      <c r="D1607" s="748">
        <v>3</v>
      </c>
      <c r="E1607" s="749">
        <f>0.75+0.46</f>
        <v>1.21</v>
      </c>
      <c r="F1607" s="749"/>
      <c r="G1607" s="749">
        <v>0.05</v>
      </c>
      <c r="H1607" s="739">
        <f>PRODUCT(C1607:G1607)</f>
        <v>0.36</v>
      </c>
      <c r="I1607" s="750"/>
    </row>
    <row r="1608" spans="1:9">
      <c r="A1608" s="753"/>
      <c r="B1608" s="754" t="s">
        <v>5876</v>
      </c>
      <c r="C1608" s="748">
        <v>2</v>
      </c>
      <c r="D1608" s="748">
        <v>1</v>
      </c>
      <c r="E1608" s="749">
        <f>1.2+0.46</f>
        <v>1.66</v>
      </c>
      <c r="F1608" s="749"/>
      <c r="G1608" s="749">
        <v>0.05</v>
      </c>
      <c r="H1608" s="739">
        <f>PRODUCT(C1608:G1608)</f>
        <v>0.17</v>
      </c>
      <c r="I1608" s="750"/>
    </row>
    <row r="1609" spans="1:9">
      <c r="A1609" s="753"/>
      <c r="B1609" s="751" t="s">
        <v>5878</v>
      </c>
      <c r="C1609" s="748"/>
      <c r="D1609" s="748"/>
      <c r="E1609" s="749"/>
      <c r="F1609" s="749"/>
      <c r="G1609" s="749"/>
      <c r="H1609" s="739"/>
      <c r="I1609" s="750"/>
    </row>
    <row r="1610" spans="1:9">
      <c r="A1610" s="753"/>
      <c r="B1610" s="754" t="s">
        <v>5870</v>
      </c>
      <c r="C1610" s="748">
        <v>2</v>
      </c>
      <c r="D1610" s="748">
        <v>1</v>
      </c>
      <c r="E1610" s="749">
        <f>1.5+0.46</f>
        <v>1.96</v>
      </c>
      <c r="F1610" s="749"/>
      <c r="G1610" s="749">
        <v>0.15</v>
      </c>
      <c r="H1610" s="739">
        <f t="shared" ref="H1610:H1613" si="148">PRODUCT(C1610:G1610)</f>
        <v>0.59</v>
      </c>
      <c r="I1610" s="750"/>
    </row>
    <row r="1611" spans="1:9">
      <c r="A1611" s="753"/>
      <c r="B1611" s="754" t="s">
        <v>5871</v>
      </c>
      <c r="C1611" s="748">
        <v>2</v>
      </c>
      <c r="D1611" s="748">
        <v>1</v>
      </c>
      <c r="E1611" s="749">
        <f>0.9+0.46</f>
        <v>1.36</v>
      </c>
      <c r="F1611" s="749"/>
      <c r="G1611" s="749">
        <v>0.15</v>
      </c>
      <c r="H1611" s="739">
        <f t="shared" si="148"/>
        <v>0.41</v>
      </c>
      <c r="I1611" s="750"/>
    </row>
    <row r="1612" spans="1:9">
      <c r="A1612" s="753"/>
      <c r="B1612" s="754" t="s">
        <v>5872</v>
      </c>
      <c r="C1612" s="748">
        <v>2</v>
      </c>
      <c r="D1612" s="748">
        <v>3</v>
      </c>
      <c r="E1612" s="749">
        <f>1.8+0.46</f>
        <v>2.2599999999999998</v>
      </c>
      <c r="F1612" s="749"/>
      <c r="G1612" s="749">
        <v>0.15</v>
      </c>
      <c r="H1612" s="739">
        <f t="shared" si="148"/>
        <v>2.0299999999999998</v>
      </c>
      <c r="I1612" s="750"/>
    </row>
    <row r="1613" spans="1:9">
      <c r="A1613" s="753"/>
      <c r="B1613" s="754" t="s">
        <v>5873</v>
      </c>
      <c r="C1613" s="748">
        <v>2</v>
      </c>
      <c r="D1613" s="748">
        <v>3</v>
      </c>
      <c r="E1613" s="749">
        <f>1.5+0.46</f>
        <v>1.96</v>
      </c>
      <c r="F1613" s="749"/>
      <c r="G1613" s="749">
        <v>0.15</v>
      </c>
      <c r="H1613" s="739">
        <f t="shared" si="148"/>
        <v>1.76</v>
      </c>
      <c r="I1613" s="750"/>
    </row>
    <row r="1614" spans="1:9">
      <c r="A1614" s="753"/>
      <c r="B1614" s="754" t="s">
        <v>5874</v>
      </c>
      <c r="C1614" s="748">
        <v>2</v>
      </c>
      <c r="D1614" s="748">
        <v>1</v>
      </c>
      <c r="E1614" s="749">
        <f>1.5+0.46</f>
        <v>1.96</v>
      </c>
      <c r="F1614" s="749"/>
      <c r="G1614" s="749">
        <v>0.15</v>
      </c>
      <c r="H1614" s="739">
        <f>PRODUCT(C1614:G1614)</f>
        <v>0.59</v>
      </c>
      <c r="I1614" s="750"/>
    </row>
    <row r="1615" spans="1:9">
      <c r="A1615" s="753"/>
      <c r="B1615" s="754" t="s">
        <v>5875</v>
      </c>
      <c r="C1615" s="748">
        <v>2</v>
      </c>
      <c r="D1615" s="748">
        <v>3</v>
      </c>
      <c r="E1615" s="749">
        <f>0.75+0.46</f>
        <v>1.21</v>
      </c>
      <c r="F1615" s="749"/>
      <c r="G1615" s="749">
        <v>0.15</v>
      </c>
      <c r="H1615" s="739">
        <f>PRODUCT(C1615:G1615)</f>
        <v>1.0900000000000001</v>
      </c>
      <c r="I1615" s="750"/>
    </row>
    <row r="1616" spans="1:9">
      <c r="A1616" s="753"/>
      <c r="B1616" s="754" t="s">
        <v>5876</v>
      </c>
      <c r="C1616" s="748">
        <v>2</v>
      </c>
      <c r="D1616" s="748">
        <v>1</v>
      </c>
      <c r="E1616" s="749">
        <f>1.2+0.46</f>
        <v>1.66</v>
      </c>
      <c r="F1616" s="749"/>
      <c r="G1616" s="749">
        <v>0.15</v>
      </c>
      <c r="H1616" s="739">
        <f>PRODUCT(C1616:G1616)</f>
        <v>0.5</v>
      </c>
      <c r="I1616" s="750"/>
    </row>
    <row r="1617" spans="1:9">
      <c r="A1617" s="753"/>
      <c r="B1617" s="754" t="s">
        <v>5864</v>
      </c>
      <c r="C1617" s="748">
        <v>2</v>
      </c>
      <c r="D1617" s="748">
        <v>1</v>
      </c>
      <c r="E1617" s="749">
        <v>1.96</v>
      </c>
      <c r="F1617" s="749"/>
      <c r="G1617" s="749">
        <v>0.15</v>
      </c>
      <c r="H1617" s="739">
        <f t="shared" ref="H1617:H1620" si="149">PRODUCT(C1617:G1617)</f>
        <v>0.59</v>
      </c>
      <c r="I1617" s="750"/>
    </row>
    <row r="1618" spans="1:9">
      <c r="A1618" s="753"/>
      <c r="B1618" s="754" t="s">
        <v>5865</v>
      </c>
      <c r="C1618" s="748">
        <v>2</v>
      </c>
      <c r="D1618" s="748">
        <v>1</v>
      </c>
      <c r="E1618" s="749">
        <f>1.2+0.46</f>
        <v>1.66</v>
      </c>
      <c r="F1618" s="749"/>
      <c r="G1618" s="749">
        <v>0.15</v>
      </c>
      <c r="H1618" s="739">
        <f t="shared" si="149"/>
        <v>0.5</v>
      </c>
      <c r="I1618" s="750"/>
    </row>
    <row r="1619" spans="1:9">
      <c r="A1619" s="753"/>
      <c r="B1619" s="754" t="s">
        <v>5866</v>
      </c>
      <c r="C1619" s="748">
        <v>2</v>
      </c>
      <c r="D1619" s="748">
        <v>2</v>
      </c>
      <c r="E1619" s="749">
        <f>1.2+0.46</f>
        <v>1.66</v>
      </c>
      <c r="F1619" s="749"/>
      <c r="G1619" s="749">
        <v>0.15</v>
      </c>
      <c r="H1619" s="739">
        <f t="shared" si="149"/>
        <v>1</v>
      </c>
      <c r="I1619" s="750"/>
    </row>
    <row r="1620" spans="1:9">
      <c r="A1620" s="753"/>
      <c r="B1620" s="754" t="s">
        <v>5798</v>
      </c>
      <c r="C1620" s="748">
        <v>2</v>
      </c>
      <c r="D1620" s="748">
        <v>1</v>
      </c>
      <c r="E1620" s="749">
        <f>0.9+0.46</f>
        <v>1.36</v>
      </c>
      <c r="F1620" s="749"/>
      <c r="G1620" s="749">
        <v>0.15</v>
      </c>
      <c r="H1620" s="739">
        <f t="shared" si="149"/>
        <v>0.41</v>
      </c>
      <c r="I1620" s="750"/>
    </row>
    <row r="1621" spans="1:9">
      <c r="A1621" s="753"/>
      <c r="B1621" s="754" t="s">
        <v>5867</v>
      </c>
      <c r="C1621" s="748">
        <v>2</v>
      </c>
      <c r="D1621" s="748">
        <v>2</v>
      </c>
      <c r="E1621" s="749">
        <f>1+0.46</f>
        <v>1.46</v>
      </c>
      <c r="F1621" s="749"/>
      <c r="G1621" s="749">
        <v>0.15</v>
      </c>
      <c r="H1621" s="739">
        <f>PRODUCT(C1621:G1621)</f>
        <v>0.88</v>
      </c>
      <c r="I1621" s="750"/>
    </row>
    <row r="1622" spans="1:9">
      <c r="A1622" s="753"/>
      <c r="B1622" s="754" t="s">
        <v>5928</v>
      </c>
      <c r="C1622" s="748">
        <v>2</v>
      </c>
      <c r="D1622" s="748">
        <v>2</v>
      </c>
      <c r="E1622" s="749">
        <f>0.75+0.46</f>
        <v>1.21</v>
      </c>
      <c r="F1622" s="749"/>
      <c r="G1622" s="749">
        <v>0.15</v>
      </c>
      <c r="H1622" s="739">
        <f t="shared" ref="H1622:H1629" si="150">PRODUCT(C1622:G1622)</f>
        <v>0.73</v>
      </c>
      <c r="I1622" s="750"/>
    </row>
    <row r="1623" spans="1:9">
      <c r="A1623" s="753"/>
      <c r="B1623" s="754" t="s">
        <v>5866</v>
      </c>
      <c r="C1623" s="748">
        <v>2</v>
      </c>
      <c r="D1623" s="748">
        <v>1</v>
      </c>
      <c r="E1623" s="749">
        <f>1.2+0.46</f>
        <v>1.66</v>
      </c>
      <c r="F1623" s="749"/>
      <c r="G1623" s="749">
        <v>0.15</v>
      </c>
      <c r="H1623" s="739">
        <f t="shared" si="150"/>
        <v>0.5</v>
      </c>
      <c r="I1623" s="750"/>
    </row>
    <row r="1624" spans="1:9">
      <c r="A1624" s="753"/>
      <c r="B1624" s="754" t="s">
        <v>5924</v>
      </c>
      <c r="C1624" s="748">
        <v>2</v>
      </c>
      <c r="D1624" s="748">
        <v>1</v>
      </c>
      <c r="E1624" s="749">
        <v>3.64</v>
      </c>
      <c r="F1624" s="749"/>
      <c r="G1624" s="749">
        <v>0.15</v>
      </c>
      <c r="H1624" s="739">
        <f t="shared" si="150"/>
        <v>1.0900000000000001</v>
      </c>
      <c r="I1624" s="750"/>
    </row>
    <row r="1625" spans="1:9">
      <c r="A1625" s="753"/>
      <c r="B1625" s="754" t="s">
        <v>5860</v>
      </c>
      <c r="C1625" s="748">
        <v>2</v>
      </c>
      <c r="D1625" s="748">
        <v>1</v>
      </c>
      <c r="E1625" s="749">
        <v>1.2</v>
      </c>
      <c r="F1625" s="749"/>
      <c r="G1625" s="749">
        <v>0.15</v>
      </c>
      <c r="H1625" s="739">
        <f t="shared" si="150"/>
        <v>0.36</v>
      </c>
      <c r="I1625" s="750"/>
    </row>
    <row r="1626" spans="1:9">
      <c r="A1626" s="738"/>
      <c r="B1626" s="755" t="s">
        <v>5861</v>
      </c>
      <c r="C1626" s="748">
        <v>2</v>
      </c>
      <c r="D1626" s="748">
        <v>1</v>
      </c>
      <c r="E1626" s="749">
        <v>2.4</v>
      </c>
      <c r="F1626" s="749"/>
      <c r="G1626" s="749">
        <v>0.15</v>
      </c>
      <c r="H1626" s="739">
        <f t="shared" si="150"/>
        <v>0.72</v>
      </c>
      <c r="I1626" s="750"/>
    </row>
    <row r="1627" spans="1:9">
      <c r="A1627" s="738"/>
      <c r="B1627" s="755" t="s">
        <v>5861</v>
      </c>
      <c r="C1627" s="748">
        <v>2</v>
      </c>
      <c r="D1627" s="748">
        <v>1</v>
      </c>
      <c r="E1627" s="749">
        <v>1.8</v>
      </c>
      <c r="F1627" s="749"/>
      <c r="G1627" s="749">
        <v>0.15</v>
      </c>
      <c r="H1627" s="739">
        <f t="shared" si="150"/>
        <v>0.54</v>
      </c>
      <c r="I1627" s="750"/>
    </row>
    <row r="1628" spans="1:9">
      <c r="A1628" s="738"/>
      <c r="B1628" s="755" t="s">
        <v>5861</v>
      </c>
      <c r="C1628" s="748">
        <v>2</v>
      </c>
      <c r="D1628" s="748">
        <v>1</v>
      </c>
      <c r="E1628" s="749">
        <v>1.05</v>
      </c>
      <c r="F1628" s="749"/>
      <c r="G1628" s="749">
        <v>0.15</v>
      </c>
      <c r="H1628" s="739">
        <f t="shared" si="150"/>
        <v>0.32</v>
      </c>
      <c r="I1628" s="750"/>
    </row>
    <row r="1629" spans="1:9">
      <c r="A1629" s="738"/>
      <c r="B1629" s="754" t="s">
        <v>5921</v>
      </c>
      <c r="C1629" s="748">
        <v>2</v>
      </c>
      <c r="D1629" s="748">
        <v>2</v>
      </c>
      <c r="E1629" s="749">
        <v>1.5</v>
      </c>
      <c r="F1629" s="749"/>
      <c r="G1629" s="749">
        <v>0.15</v>
      </c>
      <c r="H1629" s="739">
        <f t="shared" si="150"/>
        <v>0.9</v>
      </c>
      <c r="I1629" s="750"/>
    </row>
    <row r="1630" spans="1:9">
      <c r="A1630" s="753"/>
      <c r="B1630" s="751" t="s">
        <v>6270</v>
      </c>
      <c r="C1630" s="748"/>
      <c r="D1630" s="748"/>
      <c r="E1630" s="749"/>
      <c r="F1630" s="749"/>
      <c r="G1630" s="749"/>
      <c r="H1630" s="739"/>
      <c r="I1630" s="750"/>
    </row>
    <row r="1631" spans="1:9">
      <c r="A1631" s="753"/>
      <c r="B1631" s="735" t="s">
        <v>6037</v>
      </c>
      <c r="C1631" s="748">
        <v>1</v>
      </c>
      <c r="D1631" s="748">
        <v>2</v>
      </c>
      <c r="E1631" s="749">
        <v>3.6</v>
      </c>
      <c r="F1631" s="749">
        <v>0.6</v>
      </c>
      <c r="G1631" s="758"/>
      <c r="H1631" s="739">
        <f t="shared" ref="H1631:H1634" si="151">PRODUCT(C1631:G1631)</f>
        <v>4.32</v>
      </c>
      <c r="I1631" s="750"/>
    </row>
    <row r="1632" spans="1:9">
      <c r="A1632" s="753"/>
      <c r="B1632" s="735" t="s">
        <v>5838</v>
      </c>
      <c r="C1632" s="748">
        <v>1</v>
      </c>
      <c r="D1632" s="748">
        <v>1</v>
      </c>
      <c r="E1632" s="749">
        <f>1.5+0.115+1.5</f>
        <v>3.12</v>
      </c>
      <c r="F1632" s="749">
        <v>0.45</v>
      </c>
      <c r="G1632" s="758"/>
      <c r="H1632" s="739">
        <f t="shared" si="151"/>
        <v>1.4</v>
      </c>
      <c r="I1632" s="750"/>
    </row>
    <row r="1633" spans="1:9">
      <c r="A1633" s="753"/>
      <c r="B1633" s="735" t="s">
        <v>5838</v>
      </c>
      <c r="C1633" s="748">
        <v>1</v>
      </c>
      <c r="D1633" s="748">
        <v>1</v>
      </c>
      <c r="E1633" s="749">
        <v>1.5</v>
      </c>
      <c r="F1633" s="749">
        <v>0.6</v>
      </c>
      <c r="G1633" s="758"/>
      <c r="H1633" s="739">
        <f t="shared" si="151"/>
        <v>0.9</v>
      </c>
      <c r="I1633" s="750"/>
    </row>
    <row r="1634" spans="1:9">
      <c r="A1634" s="753"/>
      <c r="B1634" s="735" t="s">
        <v>5927</v>
      </c>
      <c r="C1634" s="748">
        <v>1</v>
      </c>
      <c r="D1634" s="748">
        <v>1</v>
      </c>
      <c r="E1634" s="749">
        <f>(2.4+4.02)*2</f>
        <v>12.84</v>
      </c>
      <c r="F1634" s="749">
        <v>0.6</v>
      </c>
      <c r="G1634" s="758"/>
      <c r="H1634" s="739">
        <f t="shared" si="151"/>
        <v>7.7</v>
      </c>
      <c r="I1634" s="750"/>
    </row>
    <row r="1635" spans="1:9" s="737" customFormat="1">
      <c r="A1635" s="738"/>
      <c r="B1635" s="735" t="s">
        <v>5884</v>
      </c>
      <c r="C1635" s="734"/>
      <c r="D1635" s="734"/>
      <c r="E1635" s="739"/>
      <c r="F1635" s="739"/>
      <c r="G1635" s="739"/>
      <c r="H1635" s="739"/>
      <c r="I1635" s="736"/>
    </row>
    <row r="1636" spans="1:9" s="737" customFormat="1">
      <c r="A1636" s="738"/>
      <c r="B1636" s="735" t="s">
        <v>6240</v>
      </c>
      <c r="C1636" s="734">
        <v>2</v>
      </c>
      <c r="D1636" s="734">
        <v>1</v>
      </c>
      <c r="E1636" s="739">
        <v>5.2</v>
      </c>
      <c r="F1636" s="739"/>
      <c r="G1636" s="739">
        <v>0.4</v>
      </c>
      <c r="H1636" s="739">
        <f t="shared" ref="H1636:H1643" si="152">PRODUCT(C1636:G1636)</f>
        <v>4.16</v>
      </c>
      <c r="I1636" s="736"/>
    </row>
    <row r="1637" spans="1:9" s="737" customFormat="1">
      <c r="A1637" s="738"/>
      <c r="B1637" s="735" t="s">
        <v>6291</v>
      </c>
      <c r="C1637" s="734">
        <v>1</v>
      </c>
      <c r="D1637" s="734">
        <v>1</v>
      </c>
      <c r="E1637" s="739">
        <v>5.2</v>
      </c>
      <c r="F1637" s="739">
        <v>0.23</v>
      </c>
      <c r="G1637" s="739"/>
      <c r="H1637" s="739">
        <f t="shared" si="152"/>
        <v>1.2</v>
      </c>
      <c r="I1637" s="736"/>
    </row>
    <row r="1638" spans="1:9" s="737" customFormat="1">
      <c r="A1638" s="738"/>
      <c r="B1638" s="735" t="s">
        <v>6241</v>
      </c>
      <c r="C1638" s="734">
        <v>1</v>
      </c>
      <c r="D1638" s="734">
        <v>1</v>
      </c>
      <c r="E1638" s="739">
        <v>2.4</v>
      </c>
      <c r="F1638" s="739">
        <v>1.2</v>
      </c>
      <c r="G1638" s="739"/>
      <c r="H1638" s="739">
        <f t="shared" si="152"/>
        <v>2.88</v>
      </c>
      <c r="I1638" s="736"/>
    </row>
    <row r="1639" spans="1:9" s="737" customFormat="1">
      <c r="A1639" s="738"/>
      <c r="B1639" s="735" t="s">
        <v>6242</v>
      </c>
      <c r="C1639" s="734">
        <v>1</v>
      </c>
      <c r="D1639" s="734">
        <v>1</v>
      </c>
      <c r="E1639" s="739">
        <v>2.4</v>
      </c>
      <c r="F1639" s="739">
        <f>1.62+0.23</f>
        <v>1.85</v>
      </c>
      <c r="G1639" s="739"/>
      <c r="H1639" s="739">
        <f t="shared" si="152"/>
        <v>4.4400000000000004</v>
      </c>
      <c r="I1639" s="736"/>
    </row>
    <row r="1640" spans="1:9" s="737" customFormat="1">
      <c r="A1640" s="738"/>
      <c r="B1640" s="735" t="s">
        <v>6243</v>
      </c>
      <c r="C1640" s="734">
        <v>1</v>
      </c>
      <c r="D1640" s="734">
        <v>2</v>
      </c>
      <c r="E1640" s="739">
        <v>4</v>
      </c>
      <c r="F1640" s="739">
        <v>1.05</v>
      </c>
      <c r="G1640" s="739"/>
      <c r="H1640" s="739">
        <f t="shared" si="152"/>
        <v>8.4</v>
      </c>
      <c r="I1640" s="736"/>
    </row>
    <row r="1641" spans="1:9" s="737" customFormat="1">
      <c r="A1641" s="738"/>
      <c r="B1641" s="735" t="s">
        <v>6097</v>
      </c>
      <c r="C1641" s="734">
        <v>1</v>
      </c>
      <c r="D1641" s="734">
        <v>2</v>
      </c>
      <c r="E1641" s="739">
        <v>4</v>
      </c>
      <c r="F1641" s="739"/>
      <c r="G1641" s="739">
        <v>0.15</v>
      </c>
      <c r="H1641" s="739">
        <f t="shared" si="152"/>
        <v>1.2</v>
      </c>
      <c r="I1641" s="736"/>
    </row>
    <row r="1642" spans="1:9" s="737" customFormat="1">
      <c r="A1642" s="738"/>
      <c r="B1642" s="735" t="s">
        <v>6292</v>
      </c>
      <c r="C1642" s="734">
        <v>21</v>
      </c>
      <c r="D1642" s="734">
        <v>1</v>
      </c>
      <c r="E1642" s="739">
        <v>1.05</v>
      </c>
      <c r="F1642" s="739"/>
      <c r="G1642" s="739">
        <v>0.15</v>
      </c>
      <c r="H1642" s="739">
        <f t="shared" si="152"/>
        <v>3.31</v>
      </c>
      <c r="I1642" s="736"/>
    </row>
    <row r="1643" spans="1:9" s="737" customFormat="1">
      <c r="A1643" s="738"/>
      <c r="B1643" s="735" t="s">
        <v>6097</v>
      </c>
      <c r="C1643" s="734">
        <v>21</v>
      </c>
      <c r="D1643" s="734">
        <v>0.5</v>
      </c>
      <c r="E1643" s="739">
        <v>0.3</v>
      </c>
      <c r="F1643" s="739">
        <v>0.15</v>
      </c>
      <c r="G1643" s="739"/>
      <c r="H1643" s="739">
        <f t="shared" si="152"/>
        <v>0.47</v>
      </c>
      <c r="I1643" s="736"/>
    </row>
    <row r="1644" spans="1:9" s="737" customFormat="1">
      <c r="A1644" s="738"/>
      <c r="B1644" s="740" t="s">
        <v>6245</v>
      </c>
      <c r="C1644" s="734"/>
      <c r="D1644" s="734"/>
      <c r="E1644" s="739"/>
      <c r="F1644" s="739"/>
      <c r="G1644" s="739"/>
      <c r="H1644" s="739"/>
      <c r="I1644" s="736"/>
    </row>
    <row r="1645" spans="1:9" s="737" customFormat="1">
      <c r="A1645" s="738"/>
      <c r="B1645" s="740" t="s">
        <v>6293</v>
      </c>
      <c r="C1645" s="734">
        <v>1</v>
      </c>
      <c r="D1645" s="734">
        <v>1</v>
      </c>
      <c r="E1645" s="739">
        <v>51.78</v>
      </c>
      <c r="F1645" s="739"/>
      <c r="G1645" s="739">
        <v>0.35</v>
      </c>
      <c r="H1645" s="739">
        <f t="shared" ref="H1645:H1670" si="153">PRODUCT(C1645:G1645)</f>
        <v>18.12</v>
      </c>
      <c r="I1645" s="736"/>
    </row>
    <row r="1646" spans="1:9" s="737" customFormat="1">
      <c r="A1646" s="738"/>
      <c r="B1646" s="740" t="s">
        <v>6298</v>
      </c>
      <c r="C1646" s="734">
        <v>1</v>
      </c>
      <c r="D1646" s="734">
        <v>1</v>
      </c>
      <c r="E1646" s="739">
        <v>6.13</v>
      </c>
      <c r="F1646" s="739"/>
      <c r="G1646" s="739">
        <v>0.1</v>
      </c>
      <c r="H1646" s="739">
        <f t="shared" si="153"/>
        <v>0.61</v>
      </c>
      <c r="I1646" s="736"/>
    </row>
    <row r="1647" spans="1:9" s="737" customFormat="1">
      <c r="A1647" s="738"/>
      <c r="B1647" s="740" t="s">
        <v>6055</v>
      </c>
      <c r="C1647" s="734">
        <v>1</v>
      </c>
      <c r="D1647" s="734">
        <v>1</v>
      </c>
      <c r="E1647" s="739">
        <v>14.17</v>
      </c>
      <c r="F1647" s="739"/>
      <c r="G1647" s="739">
        <v>0.35</v>
      </c>
      <c r="H1647" s="739">
        <f t="shared" si="153"/>
        <v>4.96</v>
      </c>
      <c r="I1647" s="736"/>
    </row>
    <row r="1648" spans="1:9" s="737" customFormat="1">
      <c r="A1648" s="738"/>
      <c r="B1648" s="740" t="s">
        <v>6052</v>
      </c>
      <c r="C1648" s="734">
        <v>1</v>
      </c>
      <c r="D1648" s="734">
        <v>1</v>
      </c>
      <c r="E1648" s="739">
        <v>14.48</v>
      </c>
      <c r="F1648" s="739"/>
      <c r="G1648" s="739">
        <v>0.35</v>
      </c>
      <c r="H1648" s="739">
        <f t="shared" si="153"/>
        <v>5.07</v>
      </c>
      <c r="I1648" s="736"/>
    </row>
    <row r="1649" spans="1:9" s="737" customFormat="1">
      <c r="A1649" s="738"/>
      <c r="B1649" s="740" t="s">
        <v>6308</v>
      </c>
      <c r="C1649" s="734">
        <v>1</v>
      </c>
      <c r="D1649" s="734">
        <v>1</v>
      </c>
      <c r="E1649" s="739">
        <v>13.13</v>
      </c>
      <c r="F1649" s="739"/>
      <c r="G1649" s="739">
        <v>0.35</v>
      </c>
      <c r="H1649" s="739">
        <f t="shared" si="153"/>
        <v>4.5999999999999996</v>
      </c>
      <c r="I1649" s="736"/>
    </row>
    <row r="1650" spans="1:9" s="737" customFormat="1">
      <c r="A1650" s="738"/>
      <c r="B1650" s="740" t="s">
        <v>5899</v>
      </c>
      <c r="C1650" s="734">
        <v>1</v>
      </c>
      <c r="D1650" s="734">
        <v>1</v>
      </c>
      <c r="E1650" s="739">
        <v>12.68</v>
      </c>
      <c r="F1650" s="739"/>
      <c r="G1650" s="739">
        <v>0.35</v>
      </c>
      <c r="H1650" s="739">
        <f t="shared" si="153"/>
        <v>4.4400000000000004</v>
      </c>
      <c r="I1650" s="736"/>
    </row>
    <row r="1651" spans="1:9" s="737" customFormat="1">
      <c r="A1651" s="738"/>
      <c r="B1651" s="740" t="s">
        <v>5899</v>
      </c>
      <c r="C1651" s="734">
        <v>1</v>
      </c>
      <c r="D1651" s="734">
        <v>1</v>
      </c>
      <c r="E1651" s="739">
        <v>14.3</v>
      </c>
      <c r="F1651" s="739"/>
      <c r="G1651" s="739">
        <v>0.35</v>
      </c>
      <c r="H1651" s="739">
        <f t="shared" si="153"/>
        <v>5.01</v>
      </c>
      <c r="I1651" s="736"/>
    </row>
    <row r="1652" spans="1:9" s="737" customFormat="1">
      <c r="A1652" s="738"/>
      <c r="B1652" s="740" t="s">
        <v>6298</v>
      </c>
      <c r="C1652" s="734">
        <v>1</v>
      </c>
      <c r="D1652" s="734">
        <v>1</v>
      </c>
      <c r="E1652" s="739">
        <v>3.98</v>
      </c>
      <c r="F1652" s="739"/>
      <c r="G1652" s="739">
        <v>0.1</v>
      </c>
      <c r="H1652" s="739">
        <f t="shared" si="153"/>
        <v>0.4</v>
      </c>
      <c r="I1652" s="736"/>
    </row>
    <row r="1653" spans="1:9" s="737" customFormat="1">
      <c r="A1653" s="738"/>
      <c r="B1653" s="740" t="s">
        <v>6309</v>
      </c>
      <c r="C1653" s="734">
        <v>1</v>
      </c>
      <c r="D1653" s="734">
        <v>1</v>
      </c>
      <c r="E1653" s="739">
        <v>11.39</v>
      </c>
      <c r="F1653" s="739"/>
      <c r="G1653" s="739">
        <v>0.35</v>
      </c>
      <c r="H1653" s="739">
        <f t="shared" si="153"/>
        <v>3.99</v>
      </c>
      <c r="I1653" s="736"/>
    </row>
    <row r="1654" spans="1:9" s="737" customFormat="1">
      <c r="A1654" s="738"/>
      <c r="B1654" s="740" t="s">
        <v>6298</v>
      </c>
      <c r="C1654" s="734">
        <v>1</v>
      </c>
      <c r="D1654" s="734">
        <v>1</v>
      </c>
      <c r="E1654" s="739">
        <v>3.98</v>
      </c>
      <c r="F1654" s="739"/>
      <c r="G1654" s="739">
        <v>0.1</v>
      </c>
      <c r="H1654" s="739">
        <f t="shared" si="153"/>
        <v>0.4</v>
      </c>
      <c r="I1654" s="736"/>
    </row>
    <row r="1655" spans="1:9" s="737" customFormat="1">
      <c r="A1655" s="738"/>
      <c r="B1655" s="740" t="s">
        <v>6297</v>
      </c>
      <c r="C1655" s="734">
        <v>-1</v>
      </c>
      <c r="D1655" s="734">
        <v>1</v>
      </c>
      <c r="E1655" s="739">
        <v>3.52</v>
      </c>
      <c r="F1655" s="739"/>
      <c r="G1655" s="739">
        <v>0.12</v>
      </c>
      <c r="H1655" s="739">
        <f t="shared" si="153"/>
        <v>-0.42</v>
      </c>
      <c r="I1655" s="736"/>
    </row>
    <row r="1656" spans="1:9" s="737" customFormat="1">
      <c r="A1656" s="738"/>
      <c r="B1656" s="740" t="s">
        <v>5935</v>
      </c>
      <c r="C1656" s="734">
        <v>1</v>
      </c>
      <c r="D1656" s="734">
        <v>1</v>
      </c>
      <c r="E1656" s="739">
        <v>14.06</v>
      </c>
      <c r="F1656" s="739"/>
      <c r="G1656" s="739">
        <v>0.35</v>
      </c>
      <c r="H1656" s="739">
        <f t="shared" si="153"/>
        <v>4.92</v>
      </c>
      <c r="I1656" s="736"/>
    </row>
    <row r="1657" spans="1:9" s="737" customFormat="1">
      <c r="A1657" s="738"/>
      <c r="B1657" s="740" t="s">
        <v>6298</v>
      </c>
      <c r="C1657" s="734">
        <v>1</v>
      </c>
      <c r="D1657" s="734">
        <v>1</v>
      </c>
      <c r="E1657" s="739">
        <v>4.71</v>
      </c>
      <c r="F1657" s="739"/>
      <c r="G1657" s="739">
        <v>0.1</v>
      </c>
      <c r="H1657" s="739">
        <f t="shared" si="153"/>
        <v>0.47</v>
      </c>
      <c r="I1657" s="736"/>
    </row>
    <row r="1658" spans="1:9" s="737" customFormat="1">
      <c r="A1658" s="738"/>
      <c r="B1658" s="740" t="s">
        <v>6057</v>
      </c>
      <c r="C1658" s="734">
        <v>1</v>
      </c>
      <c r="D1658" s="734">
        <v>1</v>
      </c>
      <c r="E1658" s="739">
        <v>12.82</v>
      </c>
      <c r="F1658" s="739"/>
      <c r="G1658" s="739">
        <v>0.35</v>
      </c>
      <c r="H1658" s="739">
        <f t="shared" si="153"/>
        <v>4.49</v>
      </c>
      <c r="I1658" s="736"/>
    </row>
    <row r="1659" spans="1:9" s="737" customFormat="1">
      <c r="A1659" s="738"/>
      <c r="B1659" s="740" t="s">
        <v>6298</v>
      </c>
      <c r="C1659" s="734">
        <v>1</v>
      </c>
      <c r="D1659" s="734">
        <v>1</v>
      </c>
      <c r="E1659" s="739">
        <v>3.24</v>
      </c>
      <c r="F1659" s="739"/>
      <c r="G1659" s="739">
        <v>0.1</v>
      </c>
      <c r="H1659" s="739">
        <f t="shared" si="153"/>
        <v>0.32</v>
      </c>
      <c r="I1659" s="736"/>
    </row>
    <row r="1660" spans="1:9" s="737" customFormat="1">
      <c r="A1660" s="738"/>
      <c r="B1660" s="740" t="s">
        <v>5901</v>
      </c>
      <c r="C1660" s="734">
        <v>1</v>
      </c>
      <c r="D1660" s="734">
        <v>1</v>
      </c>
      <c r="E1660" s="739">
        <v>12.84</v>
      </c>
      <c r="F1660" s="739"/>
      <c r="G1660" s="739">
        <v>0.35</v>
      </c>
      <c r="H1660" s="739">
        <f t="shared" si="153"/>
        <v>4.49</v>
      </c>
      <c r="I1660" s="736"/>
    </row>
    <row r="1661" spans="1:9" s="737" customFormat="1">
      <c r="A1661" s="738"/>
      <c r="B1661" s="740" t="s">
        <v>6298</v>
      </c>
      <c r="C1661" s="734">
        <v>1</v>
      </c>
      <c r="D1661" s="734">
        <v>1</v>
      </c>
      <c r="E1661" s="739">
        <v>3.24</v>
      </c>
      <c r="F1661" s="739"/>
      <c r="G1661" s="739">
        <v>0.1</v>
      </c>
      <c r="H1661" s="739">
        <f t="shared" si="153"/>
        <v>0.32</v>
      </c>
      <c r="I1661" s="736"/>
    </row>
    <row r="1662" spans="1:9" s="737" customFormat="1">
      <c r="A1662" s="738"/>
      <c r="B1662" s="740" t="s">
        <v>6279</v>
      </c>
      <c r="C1662" s="734">
        <v>1</v>
      </c>
      <c r="D1662" s="734">
        <v>1</v>
      </c>
      <c r="E1662" s="739">
        <v>12.08</v>
      </c>
      <c r="F1662" s="739"/>
      <c r="G1662" s="739">
        <v>0.35</v>
      </c>
      <c r="H1662" s="739">
        <f t="shared" si="153"/>
        <v>4.2300000000000004</v>
      </c>
      <c r="I1662" s="736"/>
    </row>
    <row r="1663" spans="1:9" s="737" customFormat="1">
      <c r="A1663" s="738"/>
      <c r="B1663" s="740" t="s">
        <v>6278</v>
      </c>
      <c r="C1663" s="734">
        <v>1</v>
      </c>
      <c r="D1663" s="734">
        <v>1</v>
      </c>
      <c r="E1663" s="739">
        <v>9.2200000000000006</v>
      </c>
      <c r="F1663" s="739"/>
      <c r="G1663" s="739">
        <v>0.35</v>
      </c>
      <c r="H1663" s="739">
        <f t="shared" si="153"/>
        <v>3.23</v>
      </c>
      <c r="I1663" s="736"/>
    </row>
    <row r="1664" spans="1:9" s="737" customFormat="1">
      <c r="A1664" s="738"/>
      <c r="B1664" s="740" t="s">
        <v>6305</v>
      </c>
      <c r="C1664" s="734">
        <v>1</v>
      </c>
      <c r="D1664" s="734">
        <v>1</v>
      </c>
      <c r="E1664" s="739">
        <v>7.66</v>
      </c>
      <c r="F1664" s="739"/>
      <c r="G1664" s="739">
        <v>0.45</v>
      </c>
      <c r="H1664" s="739">
        <f>PRODUCT(C1664:G1664)</f>
        <v>3.45</v>
      </c>
      <c r="I1664" s="736"/>
    </row>
    <row r="1665" spans="1:9" s="737" customFormat="1">
      <c r="A1665" s="738"/>
      <c r="B1665" s="740" t="s">
        <v>6303</v>
      </c>
      <c r="C1665" s="734">
        <v>-1</v>
      </c>
      <c r="D1665" s="734">
        <v>2</v>
      </c>
      <c r="E1665" s="739">
        <v>2.4</v>
      </c>
      <c r="F1665" s="739"/>
      <c r="G1665" s="739">
        <v>0.1</v>
      </c>
      <c r="H1665" s="739">
        <f>PRODUCT(C1665:G1665)</f>
        <v>-0.48</v>
      </c>
      <c r="I1665" s="736"/>
    </row>
    <row r="1666" spans="1:9" s="737" customFormat="1">
      <c r="A1666" s="738"/>
      <c r="B1666" s="740" t="s">
        <v>6276</v>
      </c>
      <c r="C1666" s="734">
        <v>1</v>
      </c>
      <c r="D1666" s="734">
        <v>1</v>
      </c>
      <c r="E1666" s="739">
        <v>9.51</v>
      </c>
      <c r="F1666" s="739"/>
      <c r="G1666" s="739">
        <v>0.35</v>
      </c>
      <c r="H1666" s="739">
        <f t="shared" si="153"/>
        <v>3.33</v>
      </c>
      <c r="I1666" s="736"/>
    </row>
    <row r="1667" spans="1:9" s="737" customFormat="1">
      <c r="A1667" s="738"/>
      <c r="B1667" s="740" t="s">
        <v>6303</v>
      </c>
      <c r="C1667" s="734">
        <v>-1</v>
      </c>
      <c r="D1667" s="734">
        <v>1</v>
      </c>
      <c r="E1667" s="739">
        <v>2.4</v>
      </c>
      <c r="F1667" s="739"/>
      <c r="G1667" s="739">
        <v>0.05</v>
      </c>
      <c r="H1667" s="739">
        <f t="shared" si="153"/>
        <v>-0.12</v>
      </c>
      <c r="I1667" s="736"/>
    </row>
    <row r="1668" spans="1:9" s="737" customFormat="1" ht="21" customHeight="1">
      <c r="A1668" s="738"/>
      <c r="B1668" s="740" t="s">
        <v>6263</v>
      </c>
      <c r="C1668" s="734">
        <v>1</v>
      </c>
      <c r="D1668" s="734">
        <v>1</v>
      </c>
      <c r="E1668" s="739">
        <v>13.45</v>
      </c>
      <c r="F1668" s="739">
        <v>12.44</v>
      </c>
      <c r="G1668" s="765"/>
      <c r="H1668" s="739">
        <f t="shared" si="153"/>
        <v>167.32</v>
      </c>
      <c r="I1668" s="736"/>
    </row>
    <row r="1669" spans="1:9" s="737" customFormat="1">
      <c r="A1669" s="738"/>
      <c r="B1669" s="740" t="s">
        <v>6306</v>
      </c>
      <c r="C1669" s="734">
        <v>-1</v>
      </c>
      <c r="D1669" s="734">
        <v>1</v>
      </c>
      <c r="E1669" s="739">
        <v>7.58</v>
      </c>
      <c r="F1669" s="739">
        <v>1.66</v>
      </c>
      <c r="G1669" s="765"/>
      <c r="H1669" s="739">
        <f t="shared" si="153"/>
        <v>-12.58</v>
      </c>
      <c r="I1669" s="736"/>
    </row>
    <row r="1670" spans="1:9" s="737" customFormat="1">
      <c r="A1670" s="738"/>
      <c r="B1670" s="740" t="s">
        <v>6307</v>
      </c>
      <c r="C1670" s="734">
        <v>-1</v>
      </c>
      <c r="D1670" s="734">
        <v>1</v>
      </c>
      <c r="E1670" s="739">
        <v>4.01</v>
      </c>
      <c r="F1670" s="739">
        <v>2.4</v>
      </c>
      <c r="G1670" s="765"/>
      <c r="H1670" s="739">
        <f t="shared" si="153"/>
        <v>-9.6199999999999992</v>
      </c>
      <c r="I1670" s="736"/>
    </row>
    <row r="1671" spans="1:9">
      <c r="A1671" s="753"/>
      <c r="B1671" s="751" t="s">
        <v>5877</v>
      </c>
      <c r="C1671" s="748"/>
      <c r="D1671" s="748"/>
      <c r="E1671" s="749"/>
      <c r="F1671" s="749"/>
      <c r="G1671" s="749"/>
      <c r="H1671" s="739"/>
      <c r="I1671" s="750"/>
    </row>
    <row r="1672" spans="1:9">
      <c r="A1672" s="753"/>
      <c r="B1672" s="754" t="s">
        <v>5906</v>
      </c>
      <c r="C1672" s="748">
        <v>2</v>
      </c>
      <c r="D1672" s="748">
        <v>1</v>
      </c>
      <c r="E1672" s="749">
        <f>1.35+0.46</f>
        <v>1.81</v>
      </c>
      <c r="F1672" s="749"/>
      <c r="G1672" s="749">
        <v>0.05</v>
      </c>
      <c r="H1672" s="739">
        <f t="shared" ref="H1672:H1675" si="154">PRODUCT(C1672:G1672)</f>
        <v>0.18</v>
      </c>
      <c r="I1672" s="750"/>
    </row>
    <row r="1673" spans="1:9">
      <c r="A1673" s="753"/>
      <c r="B1673" s="754" t="s">
        <v>5907</v>
      </c>
      <c r="C1673" s="748">
        <v>2</v>
      </c>
      <c r="D1673" s="748">
        <v>1</v>
      </c>
      <c r="E1673" s="749">
        <f>1.8+0.46</f>
        <v>2.2599999999999998</v>
      </c>
      <c r="F1673" s="749"/>
      <c r="G1673" s="749">
        <v>0.05</v>
      </c>
      <c r="H1673" s="739">
        <f t="shared" si="154"/>
        <v>0.23</v>
      </c>
      <c r="I1673" s="750"/>
    </row>
    <row r="1674" spans="1:9">
      <c r="A1674" s="753"/>
      <c r="B1674" s="754" t="s">
        <v>5908</v>
      </c>
      <c r="C1674" s="748">
        <v>2</v>
      </c>
      <c r="D1674" s="748">
        <v>1</v>
      </c>
      <c r="E1674" s="749">
        <f>1.8+0.46</f>
        <v>2.2599999999999998</v>
      </c>
      <c r="F1674" s="749"/>
      <c r="G1674" s="749">
        <v>0.05</v>
      </c>
      <c r="H1674" s="739">
        <f t="shared" si="154"/>
        <v>0.23</v>
      </c>
      <c r="I1674" s="750"/>
    </row>
    <row r="1675" spans="1:9">
      <c r="A1675" s="753"/>
      <c r="B1675" s="754" t="s">
        <v>5873</v>
      </c>
      <c r="C1675" s="748">
        <v>2</v>
      </c>
      <c r="D1675" s="748">
        <v>6</v>
      </c>
      <c r="E1675" s="749">
        <f>1.5+0.46</f>
        <v>1.96</v>
      </c>
      <c r="F1675" s="749"/>
      <c r="G1675" s="749">
        <v>0.05</v>
      </c>
      <c r="H1675" s="739">
        <f t="shared" si="154"/>
        <v>1.18</v>
      </c>
      <c r="I1675" s="750"/>
    </row>
    <row r="1676" spans="1:9" s="737" customFormat="1">
      <c r="A1676" s="738"/>
      <c r="B1676" s="735" t="s">
        <v>5909</v>
      </c>
      <c r="C1676" s="748">
        <v>2</v>
      </c>
      <c r="D1676" s="734">
        <v>3</v>
      </c>
      <c r="E1676" s="739">
        <v>1.66</v>
      </c>
      <c r="F1676" s="739"/>
      <c r="G1676" s="749">
        <v>0.05</v>
      </c>
      <c r="H1676" s="739">
        <f>PRODUCT(C1676:G1676)</f>
        <v>0.5</v>
      </c>
      <c r="I1676" s="736"/>
    </row>
    <row r="1677" spans="1:9" s="737" customFormat="1">
      <c r="A1677" s="738"/>
      <c r="B1677" s="735" t="s">
        <v>5910</v>
      </c>
      <c r="C1677" s="748">
        <v>2</v>
      </c>
      <c r="D1677" s="734">
        <v>1</v>
      </c>
      <c r="E1677" s="739">
        <f>1.5+0.46</f>
        <v>1.96</v>
      </c>
      <c r="F1677" s="739"/>
      <c r="G1677" s="749">
        <v>0.05</v>
      </c>
      <c r="H1677" s="739">
        <f>PRODUCT(C1677:G1677)</f>
        <v>0.2</v>
      </c>
      <c r="I1677" s="736"/>
    </row>
    <row r="1678" spans="1:9" s="737" customFormat="1">
      <c r="A1678" s="738"/>
      <c r="B1678" s="735" t="s">
        <v>5911</v>
      </c>
      <c r="C1678" s="748">
        <v>2</v>
      </c>
      <c r="D1678" s="734">
        <v>2</v>
      </c>
      <c r="E1678" s="739">
        <f>1+0.46</f>
        <v>1.46</v>
      </c>
      <c r="F1678" s="739"/>
      <c r="G1678" s="749">
        <v>0.05</v>
      </c>
      <c r="H1678" s="739">
        <f>PRODUCT(C1678:G1678)</f>
        <v>0.28999999999999998</v>
      </c>
      <c r="I1678" s="736"/>
    </row>
    <row r="1679" spans="1:9" s="737" customFormat="1">
      <c r="A1679" s="738"/>
      <c r="B1679" s="735" t="s">
        <v>5912</v>
      </c>
      <c r="C1679" s="748">
        <v>2</v>
      </c>
      <c r="D1679" s="734">
        <v>1</v>
      </c>
      <c r="E1679" s="739">
        <f>1+0.46</f>
        <v>1.46</v>
      </c>
      <c r="F1679" s="739"/>
      <c r="G1679" s="749">
        <v>0.05</v>
      </c>
      <c r="H1679" s="739">
        <f>PRODUCT(C1679:G1679)</f>
        <v>0.15</v>
      </c>
      <c r="I1679" s="736"/>
    </row>
    <row r="1680" spans="1:9" s="737" customFormat="1">
      <c r="A1680" s="738"/>
      <c r="B1680" s="735" t="s">
        <v>5875</v>
      </c>
      <c r="C1680" s="748">
        <v>2</v>
      </c>
      <c r="D1680" s="734">
        <v>3</v>
      </c>
      <c r="E1680" s="739">
        <f>0.75+0.46</f>
        <v>1.21</v>
      </c>
      <c r="F1680" s="739"/>
      <c r="G1680" s="749">
        <v>0.05</v>
      </c>
      <c r="H1680" s="739">
        <f>PRODUCT(C1680:G1680)</f>
        <v>0.36</v>
      </c>
      <c r="I1680" s="736"/>
    </row>
    <row r="1681" spans="1:9" s="737" customFormat="1">
      <c r="A1681" s="738"/>
      <c r="B1681" s="757" t="s">
        <v>5878</v>
      </c>
      <c r="C1681" s="734"/>
      <c r="D1681" s="734"/>
      <c r="E1681" s="739"/>
      <c r="F1681" s="739"/>
      <c r="G1681" s="739"/>
      <c r="H1681" s="739"/>
      <c r="I1681" s="736"/>
    </row>
    <row r="1682" spans="1:9">
      <c r="A1682" s="753"/>
      <c r="B1682" s="754" t="s">
        <v>5906</v>
      </c>
      <c r="C1682" s="748">
        <v>2</v>
      </c>
      <c r="D1682" s="748">
        <v>1</v>
      </c>
      <c r="E1682" s="749">
        <f>1.35+0.46</f>
        <v>1.81</v>
      </c>
      <c r="F1682" s="749"/>
      <c r="G1682" s="749">
        <v>0.15</v>
      </c>
      <c r="H1682" s="739">
        <f t="shared" ref="H1682:H1685" si="155">PRODUCT(C1682:G1682)</f>
        <v>0.54</v>
      </c>
      <c r="I1682" s="750"/>
    </row>
    <row r="1683" spans="1:9">
      <c r="A1683" s="753"/>
      <c r="B1683" s="754" t="s">
        <v>5907</v>
      </c>
      <c r="C1683" s="748">
        <v>2</v>
      </c>
      <c r="D1683" s="748">
        <v>1</v>
      </c>
      <c r="E1683" s="749">
        <f>1.8+0.46</f>
        <v>2.2599999999999998</v>
      </c>
      <c r="F1683" s="749"/>
      <c r="G1683" s="749">
        <v>0.15</v>
      </c>
      <c r="H1683" s="739">
        <f t="shared" si="155"/>
        <v>0.68</v>
      </c>
      <c r="I1683" s="750"/>
    </row>
    <row r="1684" spans="1:9">
      <c r="A1684" s="753"/>
      <c r="B1684" s="754" t="s">
        <v>5908</v>
      </c>
      <c r="C1684" s="748">
        <v>2</v>
      </c>
      <c r="D1684" s="748">
        <v>1</v>
      </c>
      <c r="E1684" s="749">
        <f>1.8+0.46</f>
        <v>2.2599999999999998</v>
      </c>
      <c r="F1684" s="749"/>
      <c r="G1684" s="749">
        <v>0.15</v>
      </c>
      <c r="H1684" s="739">
        <f t="shared" si="155"/>
        <v>0.68</v>
      </c>
      <c r="I1684" s="750"/>
    </row>
    <row r="1685" spans="1:9">
      <c r="A1685" s="753"/>
      <c r="B1685" s="754" t="s">
        <v>5873</v>
      </c>
      <c r="C1685" s="748">
        <v>2</v>
      </c>
      <c r="D1685" s="748">
        <v>6</v>
      </c>
      <c r="E1685" s="749">
        <f>1.5+0.46</f>
        <v>1.96</v>
      </c>
      <c r="F1685" s="749"/>
      <c r="G1685" s="749">
        <v>0.15</v>
      </c>
      <c r="H1685" s="739">
        <f t="shared" si="155"/>
        <v>3.53</v>
      </c>
      <c r="I1685" s="750"/>
    </row>
    <row r="1686" spans="1:9" s="737" customFormat="1">
      <c r="A1686" s="738"/>
      <c r="B1686" s="735" t="s">
        <v>5909</v>
      </c>
      <c r="C1686" s="748">
        <v>2</v>
      </c>
      <c r="D1686" s="734">
        <v>3</v>
      </c>
      <c r="E1686" s="739">
        <v>1.66</v>
      </c>
      <c r="F1686" s="739"/>
      <c r="G1686" s="749">
        <v>0.15</v>
      </c>
      <c r="H1686" s="739">
        <f>PRODUCT(C1686:G1686)</f>
        <v>1.49</v>
      </c>
      <c r="I1686" s="736"/>
    </row>
    <row r="1687" spans="1:9" s="737" customFormat="1">
      <c r="A1687" s="738"/>
      <c r="B1687" s="735" t="s">
        <v>5910</v>
      </c>
      <c r="C1687" s="748">
        <v>2</v>
      </c>
      <c r="D1687" s="734">
        <v>1</v>
      </c>
      <c r="E1687" s="739">
        <f>1.5+0.46</f>
        <v>1.96</v>
      </c>
      <c r="F1687" s="739"/>
      <c r="G1687" s="749">
        <v>0.15</v>
      </c>
      <c r="H1687" s="739">
        <f>PRODUCT(C1687:G1687)</f>
        <v>0.59</v>
      </c>
      <c r="I1687" s="736"/>
    </row>
    <row r="1688" spans="1:9" s="737" customFormat="1">
      <c r="A1688" s="738"/>
      <c r="B1688" s="735" t="s">
        <v>5911</v>
      </c>
      <c r="C1688" s="748">
        <v>2</v>
      </c>
      <c r="D1688" s="734">
        <v>2</v>
      </c>
      <c r="E1688" s="739">
        <f>1+0.46</f>
        <v>1.46</v>
      </c>
      <c r="F1688" s="739"/>
      <c r="G1688" s="749">
        <v>0.15</v>
      </c>
      <c r="H1688" s="739">
        <f>PRODUCT(C1688:G1688)</f>
        <v>0.88</v>
      </c>
      <c r="I1688" s="736"/>
    </row>
    <row r="1689" spans="1:9" s="737" customFormat="1">
      <c r="A1689" s="738"/>
      <c r="B1689" s="735" t="s">
        <v>5912</v>
      </c>
      <c r="C1689" s="748">
        <v>2</v>
      </c>
      <c r="D1689" s="734">
        <v>1</v>
      </c>
      <c r="E1689" s="739">
        <f>1+0.46</f>
        <v>1.46</v>
      </c>
      <c r="F1689" s="739"/>
      <c r="G1689" s="749">
        <v>0.15</v>
      </c>
      <c r="H1689" s="739">
        <f>PRODUCT(C1689:G1689)</f>
        <v>0.44</v>
      </c>
      <c r="I1689" s="736"/>
    </row>
    <row r="1690" spans="1:9" s="737" customFormat="1">
      <c r="A1690" s="738"/>
      <c r="B1690" s="735" t="s">
        <v>5875</v>
      </c>
      <c r="C1690" s="748">
        <v>2</v>
      </c>
      <c r="D1690" s="734">
        <v>3</v>
      </c>
      <c r="E1690" s="739">
        <f>0.75+0.46</f>
        <v>1.21</v>
      </c>
      <c r="F1690" s="739"/>
      <c r="G1690" s="749">
        <v>0.15</v>
      </c>
      <c r="H1690" s="739">
        <f>PRODUCT(C1690:G1690)</f>
        <v>1.0900000000000001</v>
      </c>
      <c r="I1690" s="736"/>
    </row>
    <row r="1691" spans="1:9">
      <c r="A1691" s="753"/>
      <c r="B1691" s="754" t="s">
        <v>5865</v>
      </c>
      <c r="C1691" s="748">
        <v>2</v>
      </c>
      <c r="D1691" s="748">
        <v>1</v>
      </c>
      <c r="E1691" s="749">
        <v>1.2</v>
      </c>
      <c r="F1691" s="749"/>
      <c r="G1691" s="749">
        <v>0.15</v>
      </c>
      <c r="H1691" s="739">
        <f t="shared" ref="H1691:H1703" si="156">PRODUCT(C1691:G1691)</f>
        <v>0.36</v>
      </c>
      <c r="I1691" s="750"/>
    </row>
    <row r="1692" spans="1:9">
      <c r="A1692" s="753"/>
      <c r="B1692" s="754" t="s">
        <v>5903</v>
      </c>
      <c r="C1692" s="748">
        <v>2</v>
      </c>
      <c r="D1692" s="748">
        <v>1</v>
      </c>
      <c r="E1692" s="749">
        <v>1.05</v>
      </c>
      <c r="F1692" s="749"/>
      <c r="G1692" s="749">
        <v>0.15</v>
      </c>
      <c r="H1692" s="739">
        <f t="shared" si="156"/>
        <v>0.32</v>
      </c>
      <c r="I1692" s="750"/>
    </row>
    <row r="1693" spans="1:9">
      <c r="A1693" s="753"/>
      <c r="B1693" s="754" t="s">
        <v>5798</v>
      </c>
      <c r="C1693" s="748">
        <v>2</v>
      </c>
      <c r="D1693" s="748">
        <v>4</v>
      </c>
      <c r="E1693" s="749">
        <v>0.9</v>
      </c>
      <c r="F1693" s="749"/>
      <c r="G1693" s="749">
        <v>0.15</v>
      </c>
      <c r="H1693" s="739">
        <f t="shared" si="156"/>
        <v>1.08</v>
      </c>
      <c r="I1693" s="750"/>
    </row>
    <row r="1694" spans="1:9">
      <c r="A1694" s="753"/>
      <c r="B1694" s="754" t="s">
        <v>5904</v>
      </c>
      <c r="C1694" s="748">
        <v>2</v>
      </c>
      <c r="D1694" s="748">
        <v>1</v>
      </c>
      <c r="E1694" s="749">
        <v>0.9</v>
      </c>
      <c r="F1694" s="749"/>
      <c r="G1694" s="749">
        <v>0.15</v>
      </c>
      <c r="H1694" s="739">
        <f t="shared" si="156"/>
        <v>0.27</v>
      </c>
      <c r="I1694" s="750"/>
    </row>
    <row r="1695" spans="1:9">
      <c r="A1695" s="753"/>
      <c r="B1695" s="754" t="s">
        <v>5905</v>
      </c>
      <c r="C1695" s="748">
        <v>2</v>
      </c>
      <c r="D1695" s="748">
        <v>1</v>
      </c>
      <c r="E1695" s="749">
        <v>0.9</v>
      </c>
      <c r="F1695" s="749"/>
      <c r="G1695" s="749">
        <v>0.15</v>
      </c>
      <c r="H1695" s="739">
        <f t="shared" si="156"/>
        <v>0.27</v>
      </c>
      <c r="I1695" s="750"/>
    </row>
    <row r="1696" spans="1:9">
      <c r="A1696" s="753"/>
      <c r="B1696" s="754" t="s">
        <v>5928</v>
      </c>
      <c r="C1696" s="748">
        <v>2</v>
      </c>
      <c r="D1696" s="748">
        <v>3</v>
      </c>
      <c r="E1696" s="749">
        <f>0.75+0.46</f>
        <v>1.21</v>
      </c>
      <c r="F1696" s="749"/>
      <c r="G1696" s="749">
        <v>0.15</v>
      </c>
      <c r="H1696" s="739">
        <f t="shared" si="156"/>
        <v>1.0900000000000001</v>
      </c>
      <c r="I1696" s="750"/>
    </row>
    <row r="1697" spans="1:9">
      <c r="A1697" s="753"/>
      <c r="B1697" s="754" t="s">
        <v>5798</v>
      </c>
      <c r="C1697" s="748">
        <v>2</v>
      </c>
      <c r="D1697" s="748">
        <v>1</v>
      </c>
      <c r="E1697" s="749">
        <f>0.9+0.46</f>
        <v>1.36</v>
      </c>
      <c r="F1697" s="749"/>
      <c r="G1697" s="749">
        <v>0.15</v>
      </c>
      <c r="H1697" s="739">
        <f t="shared" si="156"/>
        <v>0.41</v>
      </c>
      <c r="I1697" s="750"/>
    </row>
    <row r="1698" spans="1:9">
      <c r="A1698" s="753"/>
      <c r="B1698" s="754" t="s">
        <v>5938</v>
      </c>
      <c r="C1698" s="748">
        <v>2</v>
      </c>
      <c r="D1698" s="748">
        <v>1</v>
      </c>
      <c r="E1698" s="749">
        <v>1.65</v>
      </c>
      <c r="F1698" s="749"/>
      <c r="G1698" s="749">
        <v>0.15</v>
      </c>
      <c r="H1698" s="739">
        <f t="shared" si="156"/>
        <v>0.5</v>
      </c>
      <c r="I1698" s="750"/>
    </row>
    <row r="1699" spans="1:9">
      <c r="A1699" s="753"/>
      <c r="B1699" s="754" t="s">
        <v>5941</v>
      </c>
      <c r="C1699" s="748">
        <v>2</v>
      </c>
      <c r="D1699" s="748">
        <v>2</v>
      </c>
      <c r="E1699" s="749">
        <v>3.6</v>
      </c>
      <c r="F1699" s="749"/>
      <c r="G1699" s="749">
        <v>0.15</v>
      </c>
      <c r="H1699" s="739">
        <f t="shared" si="156"/>
        <v>2.16</v>
      </c>
      <c r="I1699" s="750"/>
    </row>
    <row r="1700" spans="1:9">
      <c r="A1700" s="753"/>
      <c r="B1700" s="754" t="s">
        <v>5938</v>
      </c>
      <c r="C1700" s="748">
        <v>2</v>
      </c>
      <c r="D1700" s="748">
        <v>1</v>
      </c>
      <c r="E1700" s="749">
        <v>1.5</v>
      </c>
      <c r="F1700" s="749"/>
      <c r="G1700" s="749">
        <v>0.15</v>
      </c>
      <c r="H1700" s="739">
        <f t="shared" si="156"/>
        <v>0.45</v>
      </c>
      <c r="I1700" s="750"/>
    </row>
    <row r="1701" spans="1:9">
      <c r="A1701" s="753"/>
      <c r="B1701" s="754" t="s">
        <v>5939</v>
      </c>
      <c r="C1701" s="748">
        <v>2</v>
      </c>
      <c r="D1701" s="748">
        <v>1</v>
      </c>
      <c r="E1701" s="749">
        <v>2.9</v>
      </c>
      <c r="F1701" s="749"/>
      <c r="G1701" s="749">
        <v>0.15</v>
      </c>
      <c r="H1701" s="739">
        <f t="shared" si="156"/>
        <v>0.87</v>
      </c>
      <c r="I1701" s="750"/>
    </row>
    <row r="1702" spans="1:9">
      <c r="A1702" s="753"/>
      <c r="B1702" s="754" t="s">
        <v>5931</v>
      </c>
      <c r="C1702" s="748">
        <v>2</v>
      </c>
      <c r="D1702" s="748">
        <v>1</v>
      </c>
      <c r="E1702" s="749">
        <v>2.78</v>
      </c>
      <c r="F1702" s="749"/>
      <c r="G1702" s="749">
        <v>0.15</v>
      </c>
      <c r="H1702" s="739">
        <f t="shared" si="156"/>
        <v>0.83</v>
      </c>
      <c r="I1702" s="750"/>
    </row>
    <row r="1703" spans="1:9">
      <c r="A1703" s="753"/>
      <c r="B1703" s="754" t="s">
        <v>5931</v>
      </c>
      <c r="C1703" s="748">
        <v>2</v>
      </c>
      <c r="D1703" s="748">
        <v>1</v>
      </c>
      <c r="E1703" s="749">
        <v>1.02</v>
      </c>
      <c r="F1703" s="749"/>
      <c r="G1703" s="749">
        <v>0.15</v>
      </c>
      <c r="H1703" s="739">
        <f t="shared" si="156"/>
        <v>0.31</v>
      </c>
      <c r="I1703" s="750"/>
    </row>
    <row r="1704" spans="1:9" s="737" customFormat="1">
      <c r="A1704" s="738"/>
      <c r="B1704" s="735" t="s">
        <v>6280</v>
      </c>
      <c r="C1704" s="748">
        <v>2</v>
      </c>
      <c r="D1704" s="734">
        <v>1</v>
      </c>
      <c r="E1704" s="765">
        <v>2.0950000000000002</v>
      </c>
      <c r="F1704" s="739"/>
      <c r="G1704" s="739">
        <v>0.15</v>
      </c>
      <c r="H1704" s="739">
        <f>PRODUCT(C1704:G1704)</f>
        <v>0.63</v>
      </c>
      <c r="I1704" s="736"/>
    </row>
    <row r="1705" spans="1:9">
      <c r="A1705" s="753"/>
      <c r="B1705" s="751" t="s">
        <v>6270</v>
      </c>
      <c r="C1705" s="748"/>
      <c r="D1705" s="748"/>
      <c r="E1705" s="749"/>
      <c r="F1705" s="749"/>
      <c r="G1705" s="749"/>
      <c r="H1705" s="739"/>
      <c r="I1705" s="750"/>
    </row>
    <row r="1706" spans="1:9">
      <c r="A1706" s="753"/>
      <c r="B1706" s="754" t="s">
        <v>6073</v>
      </c>
      <c r="C1706" s="748">
        <v>1</v>
      </c>
      <c r="D1706" s="748">
        <v>2</v>
      </c>
      <c r="E1706" s="749">
        <v>3.6</v>
      </c>
      <c r="F1706" s="749">
        <v>0.6</v>
      </c>
      <c r="G1706" s="749"/>
      <c r="H1706" s="739">
        <f>PRODUCT(C1706:G1706)</f>
        <v>4.32</v>
      </c>
      <c r="I1706" s="750"/>
    </row>
    <row r="1707" spans="1:9">
      <c r="A1707" s="753"/>
      <c r="B1707" s="754" t="s">
        <v>6074</v>
      </c>
      <c r="C1707" s="748">
        <v>1</v>
      </c>
      <c r="D1707" s="748">
        <v>1</v>
      </c>
      <c r="E1707" s="749">
        <v>1.24</v>
      </c>
      <c r="F1707" s="749">
        <v>0.6</v>
      </c>
      <c r="G1707" s="749"/>
      <c r="H1707" s="739">
        <f t="shared" ref="H1707:H1708" si="157">PRODUCT(C1707:G1707)</f>
        <v>0.74</v>
      </c>
      <c r="I1707" s="750"/>
    </row>
    <row r="1708" spans="1:9">
      <c r="A1708" s="753"/>
      <c r="B1708" s="754" t="s">
        <v>5900</v>
      </c>
      <c r="C1708" s="748">
        <v>1</v>
      </c>
      <c r="D1708" s="748">
        <v>1</v>
      </c>
      <c r="E1708" s="749">
        <v>1.65</v>
      </c>
      <c r="F1708" s="749">
        <v>0.6</v>
      </c>
      <c r="G1708" s="749"/>
      <c r="H1708" s="739">
        <f t="shared" si="157"/>
        <v>0.99</v>
      </c>
      <c r="I1708" s="750"/>
    </row>
    <row r="1709" spans="1:9">
      <c r="A1709" s="753"/>
      <c r="B1709" s="754" t="s">
        <v>6075</v>
      </c>
      <c r="C1709" s="748">
        <v>1</v>
      </c>
      <c r="D1709" s="748">
        <v>1</v>
      </c>
      <c r="E1709" s="749">
        <v>2.36</v>
      </c>
      <c r="F1709" s="749">
        <v>0.6</v>
      </c>
      <c r="G1709" s="749"/>
      <c r="H1709" s="739">
        <f>PRODUCT(C1709:G1709)</f>
        <v>1.42</v>
      </c>
      <c r="I1709" s="750"/>
    </row>
    <row r="1710" spans="1:9">
      <c r="A1710" s="753"/>
      <c r="B1710" s="735" t="s">
        <v>6076</v>
      </c>
      <c r="C1710" s="748">
        <v>1</v>
      </c>
      <c r="D1710" s="748">
        <v>1</v>
      </c>
      <c r="E1710" s="749">
        <v>2.56</v>
      </c>
      <c r="F1710" s="749">
        <v>0.6</v>
      </c>
      <c r="G1710" s="749"/>
      <c r="H1710" s="739">
        <f t="shared" ref="H1710:H1714" si="158">PRODUCT(C1710:G1710)</f>
        <v>1.54</v>
      </c>
      <c r="I1710" s="750"/>
    </row>
    <row r="1711" spans="1:9">
      <c r="A1711" s="753"/>
      <c r="B1711" s="735" t="s">
        <v>6077</v>
      </c>
      <c r="C1711" s="748">
        <v>1</v>
      </c>
      <c r="D1711" s="748">
        <v>1</v>
      </c>
      <c r="E1711" s="749">
        <v>2.78</v>
      </c>
      <c r="F1711" s="749">
        <v>0.86</v>
      </c>
      <c r="G1711" s="749"/>
      <c r="H1711" s="739">
        <f t="shared" si="158"/>
        <v>2.39</v>
      </c>
      <c r="I1711" s="750"/>
    </row>
    <row r="1712" spans="1:9">
      <c r="A1712" s="753"/>
      <c r="B1712" s="735" t="s">
        <v>5931</v>
      </c>
      <c r="C1712" s="748">
        <v>1</v>
      </c>
      <c r="D1712" s="748">
        <v>1</v>
      </c>
      <c r="E1712" s="749">
        <v>3.61</v>
      </c>
      <c r="F1712" s="749">
        <v>0.6</v>
      </c>
      <c r="G1712" s="749"/>
      <c r="H1712" s="739">
        <f t="shared" si="158"/>
        <v>2.17</v>
      </c>
      <c r="I1712" s="750"/>
    </row>
    <row r="1713" spans="1:9">
      <c r="A1713" s="753"/>
      <c r="B1713" s="735" t="s">
        <v>5940</v>
      </c>
      <c r="C1713" s="748">
        <v>1</v>
      </c>
      <c r="D1713" s="748">
        <v>1</v>
      </c>
      <c r="E1713" s="749">
        <f>2.11+1.58+2.11</f>
        <v>5.8</v>
      </c>
      <c r="F1713" s="749">
        <v>0.6</v>
      </c>
      <c r="G1713" s="749"/>
      <c r="H1713" s="739">
        <f t="shared" si="158"/>
        <v>3.48</v>
      </c>
      <c r="I1713" s="750"/>
    </row>
    <row r="1714" spans="1:9">
      <c r="A1714" s="753"/>
      <c r="B1714" s="735" t="s">
        <v>6078</v>
      </c>
      <c r="C1714" s="748">
        <v>1</v>
      </c>
      <c r="D1714" s="748">
        <v>1</v>
      </c>
      <c r="E1714" s="749">
        <v>0.79</v>
      </c>
      <c r="F1714" s="749">
        <v>0.86</v>
      </c>
      <c r="G1714" s="749"/>
      <c r="H1714" s="739">
        <f t="shared" si="158"/>
        <v>0.68</v>
      </c>
      <c r="I1714" s="750"/>
    </row>
    <row r="1715" spans="1:9">
      <c r="A1715" s="753"/>
      <c r="B1715" s="735" t="s">
        <v>6310</v>
      </c>
      <c r="C1715" s="748"/>
      <c r="D1715" s="748"/>
      <c r="E1715" s="749"/>
      <c r="F1715" s="749"/>
      <c r="G1715" s="749"/>
      <c r="H1715" s="739"/>
      <c r="I1715" s="750"/>
    </row>
    <row r="1716" spans="1:9" s="737" customFormat="1">
      <c r="A1716" s="738"/>
      <c r="B1716" s="735" t="s">
        <v>6285</v>
      </c>
      <c r="C1716" s="734">
        <v>2</v>
      </c>
      <c r="D1716" s="734">
        <v>2</v>
      </c>
      <c r="E1716" s="739">
        <v>6.13</v>
      </c>
      <c r="F1716" s="739"/>
      <c r="G1716" s="739">
        <v>0.45</v>
      </c>
      <c r="H1716" s="739">
        <f t="shared" ref="H1716:H1718" si="159">PRODUCT(C1716:G1716)</f>
        <v>11.03</v>
      </c>
      <c r="I1716" s="736"/>
    </row>
    <row r="1717" spans="1:9" s="737" customFormat="1">
      <c r="A1717" s="738"/>
      <c r="B1717" s="735" t="s">
        <v>6286</v>
      </c>
      <c r="C1717" s="734">
        <v>2</v>
      </c>
      <c r="D1717" s="734">
        <v>2</v>
      </c>
      <c r="E1717" s="739">
        <v>2.4</v>
      </c>
      <c r="F1717" s="739"/>
      <c r="G1717" s="739">
        <v>0.35</v>
      </c>
      <c r="H1717" s="739">
        <f t="shared" si="159"/>
        <v>3.36</v>
      </c>
      <c r="I1717" s="736"/>
    </row>
    <row r="1718" spans="1:9" s="737" customFormat="1">
      <c r="A1718" s="738"/>
      <c r="B1718" s="735" t="s">
        <v>6287</v>
      </c>
      <c r="C1718" s="734">
        <v>1</v>
      </c>
      <c r="D1718" s="734">
        <v>1</v>
      </c>
      <c r="E1718" s="739">
        <v>5.67</v>
      </c>
      <c r="F1718" s="739">
        <v>2.4</v>
      </c>
      <c r="G1718" s="765"/>
      <c r="H1718" s="739">
        <f t="shared" si="159"/>
        <v>13.61</v>
      </c>
      <c r="I1718" s="736"/>
    </row>
    <row r="1719" spans="1:9" s="737" customFormat="1">
      <c r="A1719" s="738"/>
      <c r="B1719" s="757" t="s">
        <v>5877</v>
      </c>
      <c r="C1719" s="734"/>
      <c r="D1719" s="734"/>
      <c r="E1719" s="739"/>
      <c r="F1719" s="739"/>
      <c r="G1719" s="739"/>
      <c r="H1719" s="739"/>
      <c r="I1719" s="736"/>
    </row>
    <row r="1720" spans="1:9" s="737" customFormat="1">
      <c r="A1720" s="738"/>
      <c r="B1720" s="735" t="s">
        <v>5905</v>
      </c>
      <c r="C1720" s="734">
        <v>2</v>
      </c>
      <c r="D1720" s="734">
        <v>1</v>
      </c>
      <c r="E1720" s="739">
        <f>0.9+0.46</f>
        <v>1.36</v>
      </c>
      <c r="F1720" s="739"/>
      <c r="G1720" s="739">
        <v>0.05</v>
      </c>
      <c r="H1720" s="739">
        <f t="shared" ref="H1720:H1721" si="160">PRODUCT(C1720:G1720)</f>
        <v>0.14000000000000001</v>
      </c>
      <c r="I1720" s="736"/>
    </row>
    <row r="1721" spans="1:9" s="737" customFormat="1">
      <c r="A1721" s="738"/>
      <c r="B1721" s="735" t="s">
        <v>5873</v>
      </c>
      <c r="C1721" s="734">
        <v>2</v>
      </c>
      <c r="D1721" s="734">
        <v>2</v>
      </c>
      <c r="E1721" s="739">
        <f>1.5+0.46</f>
        <v>1.96</v>
      </c>
      <c r="F1721" s="739"/>
      <c r="G1721" s="739">
        <v>0.05</v>
      </c>
      <c r="H1721" s="739">
        <f t="shared" si="160"/>
        <v>0.39</v>
      </c>
      <c r="I1721" s="736"/>
    </row>
    <row r="1722" spans="1:9" s="737" customFormat="1">
      <c r="A1722" s="738"/>
      <c r="B1722" s="735" t="s">
        <v>5918</v>
      </c>
      <c r="C1722" s="734">
        <v>2</v>
      </c>
      <c r="D1722" s="734">
        <v>1</v>
      </c>
      <c r="E1722" s="739">
        <f>0.6+0.46</f>
        <v>1.06</v>
      </c>
      <c r="F1722" s="739"/>
      <c r="G1722" s="739">
        <v>0.05</v>
      </c>
      <c r="H1722" s="739">
        <f>PRODUCT(C1722:G1722)</f>
        <v>0.11</v>
      </c>
      <c r="I1722" s="736"/>
    </row>
    <row r="1723" spans="1:9" s="737" customFormat="1">
      <c r="A1723" s="738"/>
      <c r="B1723" s="735" t="s">
        <v>5912</v>
      </c>
      <c r="C1723" s="734">
        <v>2</v>
      </c>
      <c r="D1723" s="734">
        <v>1</v>
      </c>
      <c r="E1723" s="739">
        <f>1+0.46</f>
        <v>1.46</v>
      </c>
      <c r="F1723" s="739"/>
      <c r="G1723" s="739">
        <v>0.05</v>
      </c>
      <c r="H1723" s="739">
        <f>PRODUCT(C1723:G1723)</f>
        <v>0.15</v>
      </c>
      <c r="I1723" s="736"/>
    </row>
    <row r="1724" spans="1:9" s="737" customFormat="1">
      <c r="A1724" s="738"/>
      <c r="B1724" s="757" t="s">
        <v>5878</v>
      </c>
      <c r="C1724" s="734"/>
      <c r="D1724" s="734"/>
      <c r="E1724" s="739"/>
      <c r="F1724" s="739"/>
      <c r="G1724" s="739"/>
      <c r="H1724" s="739"/>
      <c r="I1724" s="736"/>
    </row>
    <row r="1725" spans="1:9" s="737" customFormat="1">
      <c r="A1725" s="738"/>
      <c r="B1725" s="735" t="s">
        <v>5905</v>
      </c>
      <c r="C1725" s="734">
        <v>2</v>
      </c>
      <c r="D1725" s="734">
        <v>1</v>
      </c>
      <c r="E1725" s="739">
        <f>0.9+0.46</f>
        <v>1.36</v>
      </c>
      <c r="F1725" s="739"/>
      <c r="G1725" s="739">
        <v>0.15</v>
      </c>
      <c r="H1725" s="739">
        <f t="shared" ref="H1725:H1726" si="161">PRODUCT(C1725:G1725)</f>
        <v>0.41</v>
      </c>
      <c r="I1725" s="736"/>
    </row>
    <row r="1726" spans="1:9" s="737" customFormat="1">
      <c r="A1726" s="738"/>
      <c r="B1726" s="735" t="s">
        <v>5873</v>
      </c>
      <c r="C1726" s="734">
        <v>2</v>
      </c>
      <c r="D1726" s="734">
        <v>2</v>
      </c>
      <c r="E1726" s="739">
        <f>1.5+0.46</f>
        <v>1.96</v>
      </c>
      <c r="F1726" s="739"/>
      <c r="G1726" s="739">
        <v>0.15</v>
      </c>
      <c r="H1726" s="739">
        <f t="shared" si="161"/>
        <v>1.18</v>
      </c>
      <c r="I1726" s="736"/>
    </row>
    <row r="1727" spans="1:9" s="737" customFormat="1">
      <c r="A1727" s="738"/>
      <c r="B1727" s="735" t="s">
        <v>5918</v>
      </c>
      <c r="C1727" s="734">
        <v>2</v>
      </c>
      <c r="D1727" s="734">
        <v>1</v>
      </c>
      <c r="E1727" s="739">
        <f>0.6+0.46</f>
        <v>1.06</v>
      </c>
      <c r="F1727" s="739"/>
      <c r="G1727" s="739">
        <v>0.15</v>
      </c>
      <c r="H1727" s="739">
        <f>PRODUCT(C1727:G1727)</f>
        <v>0.32</v>
      </c>
      <c r="I1727" s="736"/>
    </row>
    <row r="1728" spans="1:9" s="737" customFormat="1">
      <c r="A1728" s="738"/>
      <c r="B1728" s="735" t="s">
        <v>5912</v>
      </c>
      <c r="C1728" s="734">
        <v>2</v>
      </c>
      <c r="D1728" s="734">
        <v>1</v>
      </c>
      <c r="E1728" s="739">
        <f>1+0.46</f>
        <v>1.46</v>
      </c>
      <c r="F1728" s="739"/>
      <c r="G1728" s="739">
        <v>0.15</v>
      </c>
      <c r="H1728" s="739">
        <f>PRODUCT(C1728:G1728)</f>
        <v>0.44</v>
      </c>
      <c r="I1728" s="736"/>
    </row>
    <row r="1729" spans="1:10" s="737" customFormat="1" ht="21" customHeight="1">
      <c r="A1729" s="738"/>
      <c r="B1729" s="735"/>
      <c r="C1729" s="734"/>
      <c r="D1729" s="734"/>
      <c r="E1729" s="739"/>
      <c r="F1729" s="739"/>
      <c r="G1729" s="739"/>
      <c r="H1729" s="742">
        <f>SUM(H1547:H1728)</f>
        <v>608.11</v>
      </c>
      <c r="I1729" s="736"/>
    </row>
    <row r="1730" spans="1:10" s="737" customFormat="1" ht="24" customHeight="1">
      <c r="A1730" s="732"/>
      <c r="B1730" s="735"/>
      <c r="C1730" s="746"/>
      <c r="D1730" s="746"/>
      <c r="E1730" s="742"/>
      <c r="F1730" s="742"/>
      <c r="G1730" s="742" t="s">
        <v>4209</v>
      </c>
      <c r="H1730" s="742">
        <f>ROUNDUP(H1729,1)</f>
        <v>608.20000000000005</v>
      </c>
      <c r="I1730" s="736" t="s">
        <v>2273</v>
      </c>
      <c r="J1730" s="737">
        <v>420</v>
      </c>
    </row>
    <row r="1731" spans="1:10" s="737" customFormat="1" ht="37.5">
      <c r="A1731" s="732" t="s">
        <v>1946</v>
      </c>
      <c r="B1731" s="733" t="s">
        <v>6311</v>
      </c>
      <c r="C1731" s="734"/>
      <c r="D1731" s="734"/>
      <c r="E1731" s="739"/>
      <c r="F1731" s="739"/>
      <c r="G1731" s="739"/>
      <c r="H1731" s="739"/>
      <c r="I1731" s="736"/>
    </row>
    <row r="1732" spans="1:10" s="737" customFormat="1" ht="22.5" customHeight="1">
      <c r="A1732" s="738"/>
      <c r="B1732" s="735" t="s">
        <v>6215</v>
      </c>
      <c r="C1732" s="734"/>
      <c r="D1732" s="734"/>
      <c r="E1732" s="739"/>
      <c r="F1732" s="739"/>
      <c r="G1732" s="739"/>
      <c r="H1732" s="739"/>
      <c r="I1732" s="736"/>
    </row>
    <row r="1733" spans="1:10" s="737" customFormat="1">
      <c r="A1733" s="738"/>
      <c r="B1733" s="735" t="s">
        <v>5800</v>
      </c>
      <c r="C1733" s="734">
        <v>1</v>
      </c>
      <c r="D1733" s="734">
        <v>3</v>
      </c>
      <c r="E1733" s="739">
        <f>(0.23+0.38)*2</f>
        <v>1.22</v>
      </c>
      <c r="F1733" s="739"/>
      <c r="G1733" s="739">
        <v>1</v>
      </c>
      <c r="H1733" s="739">
        <f>PRODUCT(C1733:G1733)</f>
        <v>3.66</v>
      </c>
      <c r="I1733" s="736"/>
    </row>
    <row r="1734" spans="1:10" s="737" customFormat="1">
      <c r="A1734" s="738"/>
      <c r="B1734" s="735" t="s">
        <v>5801</v>
      </c>
      <c r="C1734" s="734">
        <v>1</v>
      </c>
      <c r="D1734" s="734">
        <v>7</v>
      </c>
      <c r="E1734" s="739">
        <f t="shared" ref="E1734:E1738" si="162">(0.23+0.38)*2</f>
        <v>1.22</v>
      </c>
      <c r="F1734" s="739"/>
      <c r="G1734" s="739">
        <v>1</v>
      </c>
      <c r="H1734" s="739">
        <f t="shared" ref="H1734:H1738" si="163">PRODUCT(C1734:G1734)</f>
        <v>8.5399999999999991</v>
      </c>
      <c r="I1734" s="736"/>
    </row>
    <row r="1735" spans="1:10" s="737" customFormat="1">
      <c r="A1735" s="738"/>
      <c r="B1735" s="735" t="s">
        <v>5802</v>
      </c>
      <c r="C1735" s="734">
        <v>1</v>
      </c>
      <c r="D1735" s="734">
        <v>4</v>
      </c>
      <c r="E1735" s="739">
        <f t="shared" si="162"/>
        <v>1.22</v>
      </c>
      <c r="F1735" s="739"/>
      <c r="G1735" s="739">
        <v>1</v>
      </c>
      <c r="H1735" s="739">
        <f t="shared" si="163"/>
        <v>4.88</v>
      </c>
      <c r="I1735" s="736"/>
    </row>
    <row r="1736" spans="1:10" s="737" customFormat="1">
      <c r="A1736" s="738"/>
      <c r="B1736" s="735" t="s">
        <v>5803</v>
      </c>
      <c r="C1736" s="734">
        <v>1</v>
      </c>
      <c r="D1736" s="734">
        <v>4</v>
      </c>
      <c r="E1736" s="739">
        <f t="shared" si="162"/>
        <v>1.22</v>
      </c>
      <c r="F1736" s="739"/>
      <c r="G1736" s="739">
        <v>1</v>
      </c>
      <c r="H1736" s="739">
        <f t="shared" si="163"/>
        <v>4.88</v>
      </c>
      <c r="I1736" s="736"/>
    </row>
    <row r="1737" spans="1:10" s="737" customFormat="1">
      <c r="A1737" s="738"/>
      <c r="B1737" s="735" t="s">
        <v>5804</v>
      </c>
      <c r="C1737" s="734">
        <v>1</v>
      </c>
      <c r="D1737" s="734">
        <v>3</v>
      </c>
      <c r="E1737" s="739">
        <f>(0.23+0.3)*2</f>
        <v>1.06</v>
      </c>
      <c r="F1737" s="739"/>
      <c r="G1737" s="739">
        <v>1</v>
      </c>
      <c r="H1737" s="739">
        <f t="shared" si="163"/>
        <v>3.18</v>
      </c>
      <c r="I1737" s="736"/>
    </row>
    <row r="1738" spans="1:10" s="737" customFormat="1">
      <c r="A1738" s="738"/>
      <c r="B1738" s="735" t="s">
        <v>5805</v>
      </c>
      <c r="C1738" s="734">
        <v>1</v>
      </c>
      <c r="D1738" s="734">
        <v>1</v>
      </c>
      <c r="E1738" s="739">
        <f t="shared" si="162"/>
        <v>1.22</v>
      </c>
      <c r="F1738" s="739"/>
      <c r="G1738" s="739">
        <v>1</v>
      </c>
      <c r="H1738" s="739">
        <f t="shared" si="163"/>
        <v>1.22</v>
      </c>
      <c r="I1738" s="736"/>
    </row>
    <row r="1739" spans="1:10" s="737" customFormat="1">
      <c r="A1739" s="738"/>
      <c r="B1739" s="735" t="s">
        <v>6216</v>
      </c>
      <c r="C1739" s="734"/>
      <c r="D1739" s="734"/>
      <c r="E1739" s="739"/>
      <c r="F1739" s="739"/>
      <c r="G1739" s="739"/>
      <c r="H1739" s="739"/>
      <c r="I1739" s="736"/>
    </row>
    <row r="1740" spans="1:10" s="737" customFormat="1">
      <c r="A1740" s="738"/>
      <c r="B1740" s="735" t="s">
        <v>5800</v>
      </c>
      <c r="C1740" s="734">
        <v>1</v>
      </c>
      <c r="D1740" s="734">
        <v>3</v>
      </c>
      <c r="E1740" s="739">
        <f>(0.23+0.38)*2</f>
        <v>1.22</v>
      </c>
      <c r="F1740" s="739"/>
      <c r="G1740" s="739">
        <v>0.85</v>
      </c>
      <c r="H1740" s="739">
        <f>PRODUCT(C1740:G1740)</f>
        <v>3.11</v>
      </c>
      <c r="I1740" s="736"/>
    </row>
    <row r="1741" spans="1:10" s="737" customFormat="1">
      <c r="A1741" s="738"/>
      <c r="B1741" s="735" t="s">
        <v>5801</v>
      </c>
      <c r="C1741" s="734">
        <v>1</v>
      </c>
      <c r="D1741" s="734">
        <v>7</v>
      </c>
      <c r="E1741" s="739">
        <f t="shared" ref="E1741:E1745" si="164">(0.23+0.38)*2</f>
        <v>1.22</v>
      </c>
      <c r="F1741" s="739"/>
      <c r="G1741" s="739">
        <v>0.85</v>
      </c>
      <c r="H1741" s="739">
        <f t="shared" ref="H1741:H1745" si="165">PRODUCT(C1741:G1741)</f>
        <v>7.26</v>
      </c>
      <c r="I1741" s="736"/>
    </row>
    <row r="1742" spans="1:10" s="737" customFormat="1">
      <c r="A1742" s="738"/>
      <c r="B1742" s="735" t="s">
        <v>5802</v>
      </c>
      <c r="C1742" s="734">
        <v>1</v>
      </c>
      <c r="D1742" s="734">
        <v>4</v>
      </c>
      <c r="E1742" s="739">
        <f t="shared" si="164"/>
        <v>1.22</v>
      </c>
      <c r="F1742" s="739"/>
      <c r="G1742" s="739">
        <v>0.85</v>
      </c>
      <c r="H1742" s="739">
        <f t="shared" si="165"/>
        <v>4.1500000000000004</v>
      </c>
      <c r="I1742" s="736"/>
    </row>
    <row r="1743" spans="1:10" s="737" customFormat="1">
      <c r="A1743" s="738"/>
      <c r="B1743" s="735" t="s">
        <v>5803</v>
      </c>
      <c r="C1743" s="734">
        <v>1</v>
      </c>
      <c r="D1743" s="734">
        <v>4</v>
      </c>
      <c r="E1743" s="739">
        <f t="shared" si="164"/>
        <v>1.22</v>
      </c>
      <c r="F1743" s="739"/>
      <c r="G1743" s="739">
        <v>0.85</v>
      </c>
      <c r="H1743" s="739">
        <f t="shared" si="165"/>
        <v>4.1500000000000004</v>
      </c>
      <c r="I1743" s="736"/>
    </row>
    <row r="1744" spans="1:10" s="737" customFormat="1">
      <c r="A1744" s="738"/>
      <c r="B1744" s="735" t="s">
        <v>5804</v>
      </c>
      <c r="C1744" s="734">
        <v>1</v>
      </c>
      <c r="D1744" s="734">
        <v>3</v>
      </c>
      <c r="E1744" s="739">
        <f>(0.23+0.3)*2</f>
        <v>1.06</v>
      </c>
      <c r="F1744" s="739"/>
      <c r="G1744" s="739">
        <v>0.85</v>
      </c>
      <c r="H1744" s="739">
        <f t="shared" si="165"/>
        <v>2.7</v>
      </c>
      <c r="I1744" s="736"/>
    </row>
    <row r="1745" spans="1:9" s="737" customFormat="1">
      <c r="A1745" s="738"/>
      <c r="B1745" s="735" t="s">
        <v>5805</v>
      </c>
      <c r="C1745" s="734">
        <v>1</v>
      </c>
      <c r="D1745" s="734">
        <v>1</v>
      </c>
      <c r="E1745" s="739">
        <f t="shared" si="164"/>
        <v>1.22</v>
      </c>
      <c r="F1745" s="739"/>
      <c r="G1745" s="739">
        <v>0.85</v>
      </c>
      <c r="H1745" s="739">
        <f t="shared" si="165"/>
        <v>1.04</v>
      </c>
      <c r="I1745" s="736"/>
    </row>
    <row r="1746" spans="1:9" s="737" customFormat="1">
      <c r="A1746" s="738"/>
      <c r="B1746" s="735" t="s">
        <v>6312</v>
      </c>
      <c r="C1746" s="734"/>
      <c r="D1746" s="734"/>
      <c r="E1746" s="739"/>
      <c r="F1746" s="739"/>
      <c r="G1746" s="739"/>
      <c r="H1746" s="739"/>
      <c r="I1746" s="736"/>
    </row>
    <row r="1747" spans="1:9" s="737" customFormat="1">
      <c r="A1747" s="738"/>
      <c r="B1747" s="735" t="s">
        <v>5800</v>
      </c>
      <c r="C1747" s="734">
        <v>1</v>
      </c>
      <c r="D1747" s="734">
        <v>3</v>
      </c>
      <c r="E1747" s="739">
        <f>(0.23+0.38)*2</f>
        <v>1.22</v>
      </c>
      <c r="F1747" s="739"/>
      <c r="G1747" s="739">
        <f>3.3-0.35</f>
        <v>2.95</v>
      </c>
      <c r="H1747" s="739">
        <f t="shared" ref="H1747:H1752" si="166">PRODUCT(C1747:G1747)</f>
        <v>10.8</v>
      </c>
      <c r="I1747" s="736"/>
    </row>
    <row r="1748" spans="1:9" s="737" customFormat="1">
      <c r="A1748" s="738"/>
      <c r="B1748" s="735" t="s">
        <v>5801</v>
      </c>
      <c r="C1748" s="734">
        <v>1</v>
      </c>
      <c r="D1748" s="734">
        <v>7</v>
      </c>
      <c r="E1748" s="739">
        <f t="shared" ref="E1748:E1752" si="167">(0.23+0.38)*2</f>
        <v>1.22</v>
      </c>
      <c r="F1748" s="739"/>
      <c r="G1748" s="739">
        <f t="shared" ref="G1748:G1752" si="168">3.3-0.35</f>
        <v>2.95</v>
      </c>
      <c r="H1748" s="739">
        <f t="shared" si="166"/>
        <v>25.19</v>
      </c>
      <c r="I1748" s="736"/>
    </row>
    <row r="1749" spans="1:9" s="737" customFormat="1">
      <c r="A1749" s="738"/>
      <c r="B1749" s="735" t="s">
        <v>5802</v>
      </c>
      <c r="C1749" s="734">
        <v>1</v>
      </c>
      <c r="D1749" s="734">
        <v>4</v>
      </c>
      <c r="E1749" s="739">
        <f t="shared" si="167"/>
        <v>1.22</v>
      </c>
      <c r="F1749" s="739"/>
      <c r="G1749" s="739">
        <f t="shared" si="168"/>
        <v>2.95</v>
      </c>
      <c r="H1749" s="739">
        <f t="shared" si="166"/>
        <v>14.4</v>
      </c>
      <c r="I1749" s="736"/>
    </row>
    <row r="1750" spans="1:9" s="737" customFormat="1">
      <c r="A1750" s="738"/>
      <c r="B1750" s="735" t="s">
        <v>5803</v>
      </c>
      <c r="C1750" s="734">
        <v>1</v>
      </c>
      <c r="D1750" s="734">
        <v>4</v>
      </c>
      <c r="E1750" s="739">
        <f t="shared" si="167"/>
        <v>1.22</v>
      </c>
      <c r="F1750" s="739"/>
      <c r="G1750" s="739">
        <f t="shared" si="168"/>
        <v>2.95</v>
      </c>
      <c r="H1750" s="739">
        <f t="shared" si="166"/>
        <v>14.4</v>
      </c>
      <c r="I1750" s="736"/>
    </row>
    <row r="1751" spans="1:9" s="737" customFormat="1">
      <c r="A1751" s="738"/>
      <c r="B1751" s="735" t="s">
        <v>5804</v>
      </c>
      <c r="C1751" s="734">
        <v>1</v>
      </c>
      <c r="D1751" s="734">
        <v>1</v>
      </c>
      <c r="E1751" s="739">
        <f>(0.23+0.3)*2</f>
        <v>1.06</v>
      </c>
      <c r="F1751" s="739"/>
      <c r="G1751" s="739">
        <f t="shared" si="168"/>
        <v>2.95</v>
      </c>
      <c r="H1751" s="739">
        <f t="shared" si="166"/>
        <v>3.13</v>
      </c>
      <c r="I1751" s="736"/>
    </row>
    <row r="1752" spans="1:9" s="737" customFormat="1">
      <c r="A1752" s="738"/>
      <c r="B1752" s="735" t="s">
        <v>5805</v>
      </c>
      <c r="C1752" s="734">
        <v>1</v>
      </c>
      <c r="D1752" s="734">
        <v>1</v>
      </c>
      <c r="E1752" s="739">
        <f t="shared" si="167"/>
        <v>1.22</v>
      </c>
      <c r="F1752" s="739"/>
      <c r="G1752" s="739">
        <f t="shared" si="168"/>
        <v>2.95</v>
      </c>
      <c r="H1752" s="739">
        <f t="shared" si="166"/>
        <v>3.6</v>
      </c>
      <c r="I1752" s="736"/>
    </row>
    <row r="1753" spans="1:9">
      <c r="A1753" s="753"/>
      <c r="B1753" s="754" t="s">
        <v>6313</v>
      </c>
      <c r="C1753" s="748"/>
      <c r="D1753" s="748"/>
      <c r="E1753" s="749"/>
      <c r="F1753" s="749"/>
      <c r="G1753" s="749"/>
      <c r="H1753" s="739"/>
      <c r="I1753" s="750"/>
    </row>
    <row r="1754" spans="1:9">
      <c r="A1754" s="753"/>
      <c r="B1754" s="754" t="s">
        <v>5872</v>
      </c>
      <c r="C1754" s="748">
        <v>1</v>
      </c>
      <c r="D1754" s="748">
        <v>1</v>
      </c>
      <c r="E1754" s="749">
        <f>1.8+0.46</f>
        <v>2.2599999999999998</v>
      </c>
      <c r="F1754" s="749">
        <v>0.6</v>
      </c>
      <c r="G1754" s="758"/>
      <c r="H1754" s="739">
        <f t="shared" ref="H1754:H1755" si="169">PRODUCT(C1754:G1754)</f>
        <v>1.36</v>
      </c>
      <c r="I1754" s="750"/>
    </row>
    <row r="1755" spans="1:9">
      <c r="A1755" s="753"/>
      <c r="B1755" s="754" t="s">
        <v>5873</v>
      </c>
      <c r="C1755" s="748">
        <v>1</v>
      </c>
      <c r="D1755" s="748">
        <v>3</v>
      </c>
      <c r="E1755" s="749">
        <f>1.5+0.46</f>
        <v>1.96</v>
      </c>
      <c r="F1755" s="749">
        <v>0.6</v>
      </c>
      <c r="G1755" s="758"/>
      <c r="H1755" s="739">
        <f t="shared" si="169"/>
        <v>3.53</v>
      </c>
      <c r="I1755" s="750"/>
    </row>
    <row r="1756" spans="1:9">
      <c r="A1756" s="753"/>
      <c r="B1756" s="754" t="s">
        <v>5874</v>
      </c>
      <c r="C1756" s="748">
        <v>1</v>
      </c>
      <c r="D1756" s="748">
        <v>2</v>
      </c>
      <c r="E1756" s="749">
        <f>1.5+0.46</f>
        <v>1.96</v>
      </c>
      <c r="F1756" s="749">
        <v>0.6</v>
      </c>
      <c r="G1756" s="758"/>
      <c r="H1756" s="739">
        <f>PRODUCT(C1756:G1756)</f>
        <v>2.35</v>
      </c>
      <c r="I1756" s="750"/>
    </row>
    <row r="1757" spans="1:9">
      <c r="A1757" s="753"/>
      <c r="B1757" s="754" t="s">
        <v>6095</v>
      </c>
      <c r="C1757" s="748">
        <v>1</v>
      </c>
      <c r="D1757" s="748">
        <v>1</v>
      </c>
      <c r="E1757" s="749">
        <v>5.5</v>
      </c>
      <c r="F1757" s="749">
        <v>0.6</v>
      </c>
      <c r="G1757" s="758"/>
      <c r="H1757" s="739">
        <f>PRODUCT(C1757:G1757)</f>
        <v>3.3</v>
      </c>
      <c r="I1757" s="750"/>
    </row>
    <row r="1758" spans="1:9">
      <c r="A1758" s="753"/>
      <c r="B1758" s="754" t="s">
        <v>6096</v>
      </c>
      <c r="C1758" s="748">
        <v>1</v>
      </c>
      <c r="D1758" s="748">
        <v>1</v>
      </c>
      <c r="E1758" s="749">
        <v>9.6199999999999992</v>
      </c>
      <c r="F1758" s="749">
        <v>0.75</v>
      </c>
      <c r="G1758" s="749"/>
      <c r="H1758" s="739">
        <f>PRODUCT(C1758:G1758)</f>
        <v>7.22</v>
      </c>
      <c r="I1758" s="750"/>
    </row>
    <row r="1759" spans="1:9">
      <c r="A1759" s="753"/>
      <c r="B1759" s="754" t="s">
        <v>6097</v>
      </c>
      <c r="C1759" s="748">
        <v>2</v>
      </c>
      <c r="D1759" s="748">
        <v>7</v>
      </c>
      <c r="E1759" s="749">
        <v>0.6</v>
      </c>
      <c r="F1759" s="749"/>
      <c r="G1759" s="749">
        <v>7.0000000000000007E-2</v>
      </c>
      <c r="H1759" s="739">
        <f t="shared" ref="H1759:H1760" si="170">PRODUCT(C1759:G1759)</f>
        <v>0.59</v>
      </c>
      <c r="I1759" s="750"/>
    </row>
    <row r="1760" spans="1:9">
      <c r="A1760" s="753"/>
      <c r="B1760" s="754" t="s">
        <v>6097</v>
      </c>
      <c r="C1760" s="748">
        <v>2</v>
      </c>
      <c r="D1760" s="748">
        <v>1</v>
      </c>
      <c r="E1760" s="749">
        <v>0.75</v>
      </c>
      <c r="F1760" s="749"/>
      <c r="G1760" s="749">
        <v>0.1</v>
      </c>
      <c r="H1760" s="739">
        <f t="shared" si="170"/>
        <v>0.15</v>
      </c>
      <c r="I1760" s="750"/>
    </row>
    <row r="1761" spans="1:9" s="737" customFormat="1">
      <c r="A1761" s="738"/>
      <c r="B1761" s="735" t="s">
        <v>6314</v>
      </c>
      <c r="C1761" s="734"/>
      <c r="D1761" s="734"/>
      <c r="E1761" s="739"/>
      <c r="F1761" s="739"/>
      <c r="G1761" s="739"/>
      <c r="H1761" s="739"/>
      <c r="I1761" s="736"/>
    </row>
    <row r="1762" spans="1:9" s="737" customFormat="1">
      <c r="A1762" s="738"/>
      <c r="B1762" s="735" t="s">
        <v>5800</v>
      </c>
      <c r="C1762" s="734">
        <v>1</v>
      </c>
      <c r="D1762" s="734">
        <v>3</v>
      </c>
      <c r="E1762" s="739">
        <f>(0.23+0.38)*2</f>
        <v>1.22</v>
      </c>
      <c r="F1762" s="739"/>
      <c r="G1762" s="739">
        <v>2.7</v>
      </c>
      <c r="H1762" s="739">
        <f t="shared" ref="H1762:H1767" si="171">PRODUCT(C1762:G1762)</f>
        <v>9.8800000000000008</v>
      </c>
      <c r="I1762" s="736"/>
    </row>
    <row r="1763" spans="1:9" s="737" customFormat="1">
      <c r="A1763" s="738"/>
      <c r="B1763" s="735" t="s">
        <v>5801</v>
      </c>
      <c r="C1763" s="734">
        <v>1</v>
      </c>
      <c r="D1763" s="734">
        <v>7</v>
      </c>
      <c r="E1763" s="739">
        <f t="shared" ref="E1763:E1767" si="172">(0.23+0.38)*2</f>
        <v>1.22</v>
      </c>
      <c r="F1763" s="739"/>
      <c r="G1763" s="739">
        <v>2.7</v>
      </c>
      <c r="H1763" s="739">
        <f t="shared" si="171"/>
        <v>23.06</v>
      </c>
      <c r="I1763" s="736"/>
    </row>
    <row r="1764" spans="1:9" s="737" customFormat="1">
      <c r="A1764" s="738"/>
      <c r="B1764" s="735" t="s">
        <v>5802</v>
      </c>
      <c r="C1764" s="734">
        <v>1</v>
      </c>
      <c r="D1764" s="734">
        <v>4</v>
      </c>
      <c r="E1764" s="739">
        <f t="shared" si="172"/>
        <v>1.22</v>
      </c>
      <c r="F1764" s="739"/>
      <c r="G1764" s="739">
        <v>2.7</v>
      </c>
      <c r="H1764" s="739">
        <f t="shared" si="171"/>
        <v>13.18</v>
      </c>
      <c r="I1764" s="736"/>
    </row>
    <row r="1765" spans="1:9" s="737" customFormat="1">
      <c r="A1765" s="738"/>
      <c r="B1765" s="735" t="s">
        <v>5803</v>
      </c>
      <c r="C1765" s="734">
        <v>1</v>
      </c>
      <c r="D1765" s="734">
        <v>4</v>
      </c>
      <c r="E1765" s="739">
        <f t="shared" si="172"/>
        <v>1.22</v>
      </c>
      <c r="F1765" s="739"/>
      <c r="G1765" s="739">
        <v>2.7</v>
      </c>
      <c r="H1765" s="739">
        <f t="shared" si="171"/>
        <v>13.18</v>
      </c>
      <c r="I1765" s="736"/>
    </row>
    <row r="1766" spans="1:9" s="737" customFormat="1">
      <c r="A1766" s="738"/>
      <c r="B1766" s="735" t="s">
        <v>5804</v>
      </c>
      <c r="C1766" s="734">
        <v>1</v>
      </c>
      <c r="D1766" s="734">
        <v>1</v>
      </c>
      <c r="E1766" s="739">
        <f>(0.23+0.3)*2</f>
        <v>1.06</v>
      </c>
      <c r="F1766" s="739"/>
      <c r="G1766" s="739">
        <v>2.7</v>
      </c>
      <c r="H1766" s="739">
        <f t="shared" si="171"/>
        <v>2.86</v>
      </c>
      <c r="I1766" s="736"/>
    </row>
    <row r="1767" spans="1:9" s="737" customFormat="1">
      <c r="A1767" s="738"/>
      <c r="B1767" s="735" t="s">
        <v>5805</v>
      </c>
      <c r="C1767" s="734">
        <v>1</v>
      </c>
      <c r="D1767" s="734">
        <v>1</v>
      </c>
      <c r="E1767" s="739">
        <f t="shared" si="172"/>
        <v>1.22</v>
      </c>
      <c r="F1767" s="739"/>
      <c r="G1767" s="739">
        <v>2.7</v>
      </c>
      <c r="H1767" s="739">
        <f t="shared" si="171"/>
        <v>3.29</v>
      </c>
      <c r="I1767" s="736"/>
    </row>
    <row r="1768" spans="1:9">
      <c r="A1768" s="753"/>
      <c r="B1768" s="754" t="s">
        <v>6315</v>
      </c>
      <c r="C1768" s="748"/>
      <c r="D1768" s="748"/>
      <c r="E1768" s="749"/>
      <c r="F1768" s="749"/>
      <c r="G1768" s="749"/>
      <c r="H1768" s="739"/>
      <c r="I1768" s="750"/>
    </row>
    <row r="1769" spans="1:9">
      <c r="A1769" s="753"/>
      <c r="B1769" s="754" t="s">
        <v>5908</v>
      </c>
      <c r="C1769" s="748">
        <v>1</v>
      </c>
      <c r="D1769" s="748">
        <v>1</v>
      </c>
      <c r="E1769" s="749">
        <f>1.8+0.46</f>
        <v>2.2599999999999998</v>
      </c>
      <c r="F1769" s="749">
        <v>0.6</v>
      </c>
      <c r="G1769" s="758"/>
      <c r="H1769" s="739">
        <f t="shared" ref="H1769:H1771" si="173">PRODUCT(C1769:G1769)</f>
        <v>1.36</v>
      </c>
      <c r="I1769" s="750"/>
    </row>
    <row r="1770" spans="1:9">
      <c r="A1770" s="753"/>
      <c r="B1770" s="754" t="s">
        <v>5873</v>
      </c>
      <c r="C1770" s="748">
        <v>1</v>
      </c>
      <c r="D1770" s="748">
        <v>5</v>
      </c>
      <c r="E1770" s="749">
        <f>1.5+0.46</f>
        <v>1.96</v>
      </c>
      <c r="F1770" s="749">
        <v>0.6</v>
      </c>
      <c r="G1770" s="758"/>
      <c r="H1770" s="739">
        <f t="shared" si="173"/>
        <v>5.88</v>
      </c>
      <c r="I1770" s="750"/>
    </row>
    <row r="1771" spans="1:9">
      <c r="A1771" s="753"/>
      <c r="B1771" s="754" t="s">
        <v>5911</v>
      </c>
      <c r="C1771" s="748">
        <v>1</v>
      </c>
      <c r="D1771" s="748">
        <v>2</v>
      </c>
      <c r="E1771" s="749">
        <v>1.46</v>
      </c>
      <c r="F1771" s="749">
        <v>0.6</v>
      </c>
      <c r="G1771" s="758"/>
      <c r="H1771" s="739">
        <f t="shared" si="173"/>
        <v>1.75</v>
      </c>
      <c r="I1771" s="750"/>
    </row>
    <row r="1772" spans="1:9">
      <c r="A1772" s="753"/>
      <c r="B1772" s="754" t="s">
        <v>5912</v>
      </c>
      <c r="C1772" s="748">
        <v>1</v>
      </c>
      <c r="D1772" s="748">
        <v>1</v>
      </c>
      <c r="E1772" s="749">
        <f>1.5+0.46</f>
        <v>1.96</v>
      </c>
      <c r="F1772" s="749">
        <v>0.6</v>
      </c>
      <c r="G1772" s="758"/>
      <c r="H1772" s="739">
        <f>PRODUCT(C1772:G1772)</f>
        <v>1.18</v>
      </c>
      <c r="I1772" s="750"/>
    </row>
    <row r="1773" spans="1:9">
      <c r="A1773" s="753"/>
      <c r="B1773" s="754" t="s">
        <v>6099</v>
      </c>
      <c r="C1773" s="748">
        <v>1</v>
      </c>
      <c r="D1773" s="748">
        <v>1</v>
      </c>
      <c r="E1773" s="749">
        <v>6.1</v>
      </c>
      <c r="F1773" s="749">
        <v>0.6</v>
      </c>
      <c r="G1773" s="758"/>
      <c r="H1773" s="739">
        <f>PRODUCT(C1773:G1773)</f>
        <v>3.66</v>
      </c>
      <c r="I1773" s="750"/>
    </row>
    <row r="1774" spans="1:9">
      <c r="A1774" s="753"/>
      <c r="B1774" s="754" t="s">
        <v>6100</v>
      </c>
      <c r="C1774" s="748">
        <v>1</v>
      </c>
      <c r="D1774" s="748">
        <v>1</v>
      </c>
      <c r="E1774" s="749">
        <v>3.8</v>
      </c>
      <c r="F1774" s="749">
        <v>0.9</v>
      </c>
      <c r="G1774" s="758"/>
      <c r="H1774" s="739">
        <f>PRODUCT(C1774:G1774)</f>
        <v>3.42</v>
      </c>
      <c r="I1774" s="750"/>
    </row>
    <row r="1775" spans="1:9">
      <c r="A1775" s="753"/>
      <c r="B1775" s="754" t="s">
        <v>6282</v>
      </c>
      <c r="C1775" s="748">
        <v>1</v>
      </c>
      <c r="D1775" s="748">
        <v>1</v>
      </c>
      <c r="E1775" s="749">
        <f>0.23+2.78+0.23+2.4+0.23</f>
        <v>5.87</v>
      </c>
      <c r="F1775" s="749">
        <v>0.75</v>
      </c>
      <c r="G1775" s="758"/>
      <c r="H1775" s="739">
        <f>PRODUCT(C1775:G1775)</f>
        <v>4.4000000000000004</v>
      </c>
      <c r="I1775" s="750"/>
    </row>
    <row r="1776" spans="1:9">
      <c r="A1776" s="753"/>
      <c r="B1776" s="754" t="s">
        <v>6316</v>
      </c>
      <c r="C1776" s="748">
        <v>2</v>
      </c>
      <c r="D1776" s="748">
        <v>11</v>
      </c>
      <c r="E1776" s="749">
        <v>0.6</v>
      </c>
      <c r="F1776" s="749"/>
      <c r="G1776" s="749">
        <v>7.0000000000000007E-2</v>
      </c>
      <c r="H1776" s="739">
        <f t="shared" ref="H1776:H1777" si="174">PRODUCT(C1776:G1776)</f>
        <v>0.92</v>
      </c>
      <c r="I1776" s="750"/>
    </row>
    <row r="1777" spans="1:9">
      <c r="A1777" s="753"/>
      <c r="B1777" s="754" t="s">
        <v>6097</v>
      </c>
      <c r="C1777" s="748">
        <v>2</v>
      </c>
      <c r="D1777" s="748">
        <v>1</v>
      </c>
      <c r="E1777" s="749">
        <v>0.75</v>
      </c>
      <c r="F1777" s="749"/>
      <c r="G1777" s="749">
        <v>0.1</v>
      </c>
      <c r="H1777" s="739">
        <f t="shared" si="174"/>
        <v>0.15</v>
      </c>
      <c r="I1777" s="750"/>
    </row>
    <row r="1778" spans="1:9" s="737" customFormat="1" ht="21.75" customHeight="1">
      <c r="A1778" s="732"/>
      <c r="B1778" s="735" t="s">
        <v>6283</v>
      </c>
      <c r="C1778" s="734"/>
      <c r="D1778" s="734"/>
      <c r="E1778" s="739"/>
      <c r="F1778" s="739"/>
      <c r="G1778" s="739"/>
      <c r="H1778" s="739"/>
      <c r="I1778" s="736"/>
    </row>
    <row r="1779" spans="1:9" s="737" customFormat="1">
      <c r="A1779" s="738"/>
      <c r="B1779" s="735" t="s">
        <v>5800</v>
      </c>
      <c r="C1779" s="734">
        <v>1</v>
      </c>
      <c r="D1779" s="734">
        <v>3</v>
      </c>
      <c r="E1779" s="739">
        <v>1.22</v>
      </c>
      <c r="F1779" s="739"/>
      <c r="G1779" s="739">
        <v>1.2</v>
      </c>
      <c r="H1779" s="739">
        <f>PRODUCT(C1779:G1779)</f>
        <v>4.3899999999999997</v>
      </c>
      <c r="I1779" s="736"/>
    </row>
    <row r="1780" spans="1:9" s="737" customFormat="1">
      <c r="A1780" s="738"/>
      <c r="B1780" s="735" t="s">
        <v>5801</v>
      </c>
      <c r="C1780" s="734">
        <v>1</v>
      </c>
      <c r="D1780" s="734">
        <v>7</v>
      </c>
      <c r="E1780" s="739">
        <v>1.22</v>
      </c>
      <c r="F1780" s="739"/>
      <c r="G1780" s="739">
        <v>1.2</v>
      </c>
      <c r="H1780" s="739">
        <f t="shared" ref="H1780:H1782" si="175">PRODUCT(C1780:G1780)</f>
        <v>10.25</v>
      </c>
      <c r="I1780" s="736"/>
    </row>
    <row r="1781" spans="1:9" s="737" customFormat="1">
      <c r="A1781" s="738"/>
      <c r="B1781" s="735" t="s">
        <v>5803</v>
      </c>
      <c r="C1781" s="734">
        <v>1</v>
      </c>
      <c r="D1781" s="734">
        <v>4</v>
      </c>
      <c r="E1781" s="739">
        <v>1.22</v>
      </c>
      <c r="F1781" s="739"/>
      <c r="G1781" s="739">
        <v>1.2</v>
      </c>
      <c r="H1781" s="739">
        <f t="shared" si="175"/>
        <v>5.86</v>
      </c>
      <c r="I1781" s="736"/>
    </row>
    <row r="1782" spans="1:9" s="737" customFormat="1">
      <c r="A1782" s="738"/>
      <c r="B1782" s="735" t="s">
        <v>5805</v>
      </c>
      <c r="C1782" s="734">
        <v>1</v>
      </c>
      <c r="D1782" s="734">
        <v>1</v>
      </c>
      <c r="E1782" s="739">
        <v>1.22</v>
      </c>
      <c r="F1782" s="739"/>
      <c r="G1782" s="739">
        <v>1.2</v>
      </c>
      <c r="H1782" s="739">
        <f t="shared" si="175"/>
        <v>1.46</v>
      </c>
      <c r="I1782" s="736"/>
    </row>
    <row r="1783" spans="1:9" s="737" customFormat="1">
      <c r="A1783" s="738"/>
      <c r="B1783" s="735" t="s">
        <v>6284</v>
      </c>
      <c r="C1783" s="734"/>
      <c r="D1783" s="734"/>
      <c r="E1783" s="739"/>
      <c r="F1783" s="739"/>
      <c r="G1783" s="739"/>
      <c r="H1783" s="739"/>
      <c r="I1783" s="736"/>
    </row>
    <row r="1784" spans="1:9" s="737" customFormat="1">
      <c r="A1784" s="738"/>
      <c r="B1784" s="735" t="s">
        <v>5802</v>
      </c>
      <c r="C1784" s="734">
        <v>1</v>
      </c>
      <c r="D1784" s="734">
        <v>4</v>
      </c>
      <c r="E1784" s="739">
        <v>1.22</v>
      </c>
      <c r="F1784" s="739"/>
      <c r="G1784" s="739">
        <v>2.5</v>
      </c>
      <c r="H1784" s="739">
        <f>PRODUCT(C1784:G1784)</f>
        <v>12.2</v>
      </c>
      <c r="I1784" s="736"/>
    </row>
    <row r="1785" spans="1:9" s="737" customFormat="1">
      <c r="A1785" s="738"/>
      <c r="B1785" s="735" t="s">
        <v>6317</v>
      </c>
      <c r="C1785" s="734"/>
      <c r="D1785" s="734"/>
      <c r="E1785" s="739"/>
      <c r="F1785" s="739"/>
      <c r="G1785" s="739"/>
      <c r="H1785" s="739"/>
      <c r="I1785" s="736"/>
    </row>
    <row r="1786" spans="1:9" s="737" customFormat="1">
      <c r="A1786" s="738"/>
      <c r="B1786" s="735" t="s">
        <v>5873</v>
      </c>
      <c r="C1786" s="734">
        <v>1</v>
      </c>
      <c r="D1786" s="734">
        <v>2</v>
      </c>
      <c r="E1786" s="739">
        <v>2.2599999999999998</v>
      </c>
      <c r="F1786" s="739">
        <v>0.6</v>
      </c>
      <c r="G1786" s="765"/>
      <c r="H1786" s="739">
        <f t="shared" ref="H1786:H1790" si="176">PRODUCT(C1786:G1786)</f>
        <v>2.71</v>
      </c>
      <c r="I1786" s="736"/>
    </row>
    <row r="1787" spans="1:9" s="737" customFormat="1">
      <c r="A1787" s="738"/>
      <c r="B1787" s="735" t="s">
        <v>6103</v>
      </c>
      <c r="C1787" s="734">
        <v>1</v>
      </c>
      <c r="D1787" s="734">
        <v>1</v>
      </c>
      <c r="E1787" s="739">
        <v>2.68</v>
      </c>
      <c r="F1787" s="739">
        <v>0.9</v>
      </c>
      <c r="G1787" s="765"/>
      <c r="H1787" s="739">
        <f t="shared" si="176"/>
        <v>2.41</v>
      </c>
      <c r="I1787" s="736"/>
    </row>
    <row r="1788" spans="1:9" s="737" customFormat="1">
      <c r="A1788" s="738"/>
      <c r="B1788" s="735" t="s">
        <v>5912</v>
      </c>
      <c r="C1788" s="734">
        <v>1</v>
      </c>
      <c r="D1788" s="734">
        <v>1</v>
      </c>
      <c r="E1788" s="739">
        <v>1.46</v>
      </c>
      <c r="F1788" s="739">
        <v>0.6</v>
      </c>
      <c r="G1788" s="765"/>
      <c r="H1788" s="739">
        <f t="shared" si="176"/>
        <v>0.88</v>
      </c>
      <c r="I1788" s="736"/>
    </row>
    <row r="1789" spans="1:9">
      <c r="A1789" s="753"/>
      <c r="B1789" s="754" t="s">
        <v>6097</v>
      </c>
      <c r="C1789" s="748">
        <v>2</v>
      </c>
      <c r="D1789" s="748">
        <v>3</v>
      </c>
      <c r="E1789" s="749">
        <v>0.6</v>
      </c>
      <c r="F1789" s="749"/>
      <c r="G1789" s="749">
        <v>7.0000000000000007E-2</v>
      </c>
      <c r="H1789" s="739">
        <f t="shared" si="176"/>
        <v>0.25</v>
      </c>
      <c r="I1789" s="750"/>
    </row>
    <row r="1790" spans="1:9">
      <c r="A1790" s="753"/>
      <c r="B1790" s="754" t="s">
        <v>6097</v>
      </c>
      <c r="C1790" s="748">
        <v>2</v>
      </c>
      <c r="D1790" s="748">
        <v>1</v>
      </c>
      <c r="E1790" s="749">
        <v>0.9</v>
      </c>
      <c r="F1790" s="749"/>
      <c r="G1790" s="749">
        <v>7.0000000000000007E-2</v>
      </c>
      <c r="H1790" s="739">
        <f t="shared" si="176"/>
        <v>0.13</v>
      </c>
      <c r="I1790" s="750"/>
    </row>
    <row r="1791" spans="1:9" s="737" customFormat="1">
      <c r="A1791" s="738"/>
      <c r="B1791" s="735"/>
      <c r="C1791" s="734"/>
      <c r="D1791" s="734"/>
      <c r="E1791" s="739"/>
      <c r="F1791" s="739"/>
      <c r="G1791" s="739"/>
      <c r="H1791" s="742">
        <f>SUM(H1732:H1790)</f>
        <v>267.5</v>
      </c>
      <c r="I1791" s="736"/>
    </row>
    <row r="1792" spans="1:9" s="737" customFormat="1">
      <c r="A1792" s="732"/>
      <c r="B1792" s="735"/>
      <c r="C1792" s="746"/>
      <c r="D1792" s="746"/>
      <c r="E1792" s="742"/>
      <c r="F1792" s="742"/>
      <c r="G1792" s="742" t="s">
        <v>4209</v>
      </c>
      <c r="H1792" s="742">
        <f>ROUNDUP(H1791,1)</f>
        <v>267.5</v>
      </c>
      <c r="I1792" s="736" t="s">
        <v>2273</v>
      </c>
    </row>
    <row r="1793" spans="1:9" s="737" customFormat="1" ht="43.5" customHeight="1">
      <c r="A1793" s="732" t="s">
        <v>3510</v>
      </c>
      <c r="B1793" s="733" t="s">
        <v>6968</v>
      </c>
      <c r="C1793" s="734"/>
      <c r="D1793" s="734"/>
      <c r="E1793" s="739"/>
      <c r="F1793" s="739"/>
      <c r="G1793" s="739"/>
      <c r="H1793" s="739"/>
      <c r="I1793" s="736"/>
    </row>
    <row r="1794" spans="1:9" s="737" customFormat="1">
      <c r="A1794" s="738"/>
      <c r="B1794" s="735" t="s">
        <v>6318</v>
      </c>
      <c r="C1794" s="734">
        <v>1</v>
      </c>
      <c r="D1794" s="734">
        <v>2</v>
      </c>
      <c r="E1794" s="739">
        <v>0.75</v>
      </c>
      <c r="F1794" s="739"/>
      <c r="G1794" s="739">
        <v>2.1</v>
      </c>
      <c r="H1794" s="739">
        <f>PRODUCT(C1794:G1794)</f>
        <v>3.15</v>
      </c>
      <c r="I1794" s="736"/>
    </row>
    <row r="1795" spans="1:9" s="737" customFormat="1">
      <c r="A1795" s="738"/>
      <c r="B1795" s="735" t="s">
        <v>5867</v>
      </c>
      <c r="C1795" s="734">
        <v>1</v>
      </c>
      <c r="D1795" s="734">
        <v>2</v>
      </c>
      <c r="E1795" s="739">
        <v>1</v>
      </c>
      <c r="F1795" s="739"/>
      <c r="G1795" s="739">
        <v>2.1</v>
      </c>
      <c r="H1795" s="739">
        <f>PRODUCT(C1795:G1795)</f>
        <v>4.2</v>
      </c>
      <c r="I1795" s="736"/>
    </row>
    <row r="1796" spans="1:9" s="737" customFormat="1">
      <c r="A1796" s="738"/>
      <c r="B1796" s="735" t="s">
        <v>385</v>
      </c>
      <c r="C1796" s="734">
        <v>1</v>
      </c>
      <c r="D1796" s="734">
        <v>3</v>
      </c>
      <c r="E1796" s="739">
        <v>0.75</v>
      </c>
      <c r="F1796" s="739"/>
      <c r="G1796" s="739">
        <v>2.1</v>
      </c>
      <c r="H1796" s="739">
        <f>PRODUCT(C1796:G1796)</f>
        <v>4.7300000000000004</v>
      </c>
      <c r="I1796" s="736"/>
    </row>
    <row r="1797" spans="1:9" s="737" customFormat="1">
      <c r="A1797" s="738"/>
      <c r="B1797" s="735"/>
      <c r="C1797" s="734"/>
      <c r="D1797" s="734"/>
      <c r="E1797" s="739"/>
      <c r="F1797" s="739"/>
      <c r="G1797" s="739"/>
      <c r="H1797" s="742">
        <f>SUM(H1794:H1796)</f>
        <v>12.08</v>
      </c>
      <c r="I1797" s="736"/>
    </row>
    <row r="1798" spans="1:9" s="737" customFormat="1">
      <c r="A1798" s="732"/>
      <c r="B1798" s="735"/>
      <c r="C1798" s="746"/>
      <c r="D1798" s="746"/>
      <c r="E1798" s="742"/>
      <c r="F1798" s="742"/>
      <c r="G1798" s="742" t="s">
        <v>4209</v>
      </c>
      <c r="H1798" s="742">
        <f>ROUNDUP(H1797,1)</f>
        <v>12.1</v>
      </c>
      <c r="I1798" s="736" t="s">
        <v>2273</v>
      </c>
    </row>
    <row r="1799" spans="1:9" s="788" customFormat="1" ht="131.25" hidden="1">
      <c r="A1799" s="783" t="s">
        <v>6319</v>
      </c>
      <c r="B1799" s="784" t="s">
        <v>6320</v>
      </c>
      <c r="C1799" s="785"/>
      <c r="D1799" s="785"/>
      <c r="E1799" s="786"/>
      <c r="F1799" s="786"/>
      <c r="G1799" s="786"/>
      <c r="H1799" s="786"/>
      <c r="I1799" s="787"/>
    </row>
    <row r="1800" spans="1:9" s="788" customFormat="1" hidden="1">
      <c r="A1800" s="789"/>
      <c r="B1800" s="790" t="s">
        <v>6321</v>
      </c>
      <c r="C1800" s="785"/>
      <c r="D1800" s="785"/>
      <c r="E1800" s="786"/>
      <c r="F1800" s="786"/>
      <c r="G1800" s="786"/>
      <c r="H1800" s="786"/>
      <c r="I1800" s="787"/>
    </row>
    <row r="1801" spans="1:9" s="788" customFormat="1" hidden="1">
      <c r="A1801" s="789"/>
      <c r="B1801" s="790" t="s">
        <v>5837</v>
      </c>
      <c r="C1801" s="785">
        <v>1</v>
      </c>
      <c r="D1801" s="785">
        <v>2</v>
      </c>
      <c r="E1801" s="786">
        <v>1.35</v>
      </c>
      <c r="F1801" s="786">
        <v>2.0499999999999998</v>
      </c>
      <c r="G1801" s="786"/>
      <c r="H1801" s="786">
        <f t="shared" ref="H1801:H1811" si="177">PRODUCT(C1801:G1801)</f>
        <v>5.54</v>
      </c>
      <c r="I1801" s="787"/>
    </row>
    <row r="1802" spans="1:9" s="788" customFormat="1" hidden="1">
      <c r="A1802" s="789"/>
      <c r="B1802" s="790" t="s">
        <v>6156</v>
      </c>
      <c r="C1802" s="785"/>
      <c r="D1802" s="785"/>
      <c r="E1802" s="786"/>
      <c r="F1802" s="786"/>
      <c r="G1802" s="786"/>
      <c r="H1802" s="786">
        <f t="shared" si="177"/>
        <v>0</v>
      </c>
      <c r="I1802" s="787"/>
    </row>
    <row r="1803" spans="1:9" s="788" customFormat="1" hidden="1">
      <c r="A1803" s="789"/>
      <c r="B1803" s="790" t="s">
        <v>6322</v>
      </c>
      <c r="C1803" s="785">
        <v>1</v>
      </c>
      <c r="D1803" s="785">
        <v>1</v>
      </c>
      <c r="E1803" s="786">
        <v>1.35</v>
      </c>
      <c r="F1803" s="786">
        <v>2.0499999999999998</v>
      </c>
      <c r="G1803" s="786"/>
      <c r="H1803" s="786">
        <f t="shared" si="177"/>
        <v>2.77</v>
      </c>
      <c r="I1803" s="787"/>
    </row>
    <row r="1804" spans="1:9" s="788" customFormat="1" hidden="1">
      <c r="A1804" s="789"/>
      <c r="B1804" s="790" t="s">
        <v>5965</v>
      </c>
      <c r="C1804" s="785">
        <v>1</v>
      </c>
      <c r="D1804" s="785">
        <v>1</v>
      </c>
      <c r="E1804" s="786">
        <v>1.05</v>
      </c>
      <c r="F1804" s="786">
        <v>2.0499999999999998</v>
      </c>
      <c r="G1804" s="786"/>
      <c r="H1804" s="786">
        <f t="shared" si="177"/>
        <v>2.15</v>
      </c>
      <c r="I1804" s="787"/>
    </row>
    <row r="1805" spans="1:9" s="788" customFormat="1" hidden="1">
      <c r="A1805" s="789"/>
      <c r="B1805" s="790" t="s">
        <v>5969</v>
      </c>
      <c r="C1805" s="785"/>
      <c r="D1805" s="785"/>
      <c r="E1805" s="786"/>
      <c r="F1805" s="786"/>
      <c r="G1805" s="786"/>
      <c r="H1805" s="786">
        <f t="shared" si="177"/>
        <v>0</v>
      </c>
      <c r="I1805" s="787"/>
    </row>
    <row r="1806" spans="1:9" s="788" customFormat="1" hidden="1">
      <c r="A1806" s="789"/>
      <c r="B1806" s="790" t="s">
        <v>6323</v>
      </c>
      <c r="C1806" s="785">
        <v>1</v>
      </c>
      <c r="D1806" s="785">
        <v>1</v>
      </c>
      <c r="E1806" s="786">
        <v>1.35</v>
      </c>
      <c r="F1806" s="786">
        <v>2.0499999999999998</v>
      </c>
      <c r="G1806" s="786"/>
      <c r="H1806" s="786">
        <f t="shared" si="177"/>
        <v>2.77</v>
      </c>
      <c r="I1806" s="787"/>
    </row>
    <row r="1807" spans="1:9" s="788" customFormat="1" hidden="1">
      <c r="A1807" s="789"/>
      <c r="B1807" s="790" t="s">
        <v>6324</v>
      </c>
      <c r="C1807" s="785">
        <v>1</v>
      </c>
      <c r="D1807" s="785">
        <v>1</v>
      </c>
      <c r="E1807" s="786">
        <v>1.05</v>
      </c>
      <c r="F1807" s="786">
        <v>2.0499999999999998</v>
      </c>
      <c r="G1807" s="786"/>
      <c r="H1807" s="786">
        <f t="shared" si="177"/>
        <v>2.15</v>
      </c>
      <c r="I1807" s="787"/>
    </row>
    <row r="1808" spans="1:9" s="788" customFormat="1" hidden="1">
      <c r="A1808" s="789"/>
      <c r="B1808" s="790" t="s">
        <v>6325</v>
      </c>
      <c r="C1808" s="785">
        <v>1</v>
      </c>
      <c r="D1808" s="785">
        <v>2</v>
      </c>
      <c r="E1808" s="786">
        <v>1.1499999999999999</v>
      </c>
      <c r="F1808" s="786">
        <v>2.0499999999999998</v>
      </c>
      <c r="G1808" s="786"/>
      <c r="H1808" s="786">
        <f t="shared" si="177"/>
        <v>4.72</v>
      </c>
      <c r="I1808" s="787"/>
    </row>
    <row r="1809" spans="1:9" s="788" customFormat="1" hidden="1">
      <c r="A1809" s="789"/>
      <c r="B1809" s="790" t="s">
        <v>6326</v>
      </c>
      <c r="C1809" s="785"/>
      <c r="D1809" s="785"/>
      <c r="E1809" s="786"/>
      <c r="F1809" s="786"/>
      <c r="G1809" s="786"/>
      <c r="H1809" s="786">
        <f t="shared" si="177"/>
        <v>0</v>
      </c>
      <c r="I1809" s="787"/>
    </row>
    <row r="1810" spans="1:9" s="788" customFormat="1" hidden="1">
      <c r="A1810" s="789"/>
      <c r="B1810" s="790" t="s">
        <v>6327</v>
      </c>
      <c r="C1810" s="785">
        <v>1</v>
      </c>
      <c r="D1810" s="785">
        <v>1</v>
      </c>
      <c r="E1810" s="786">
        <v>1.65</v>
      </c>
      <c r="F1810" s="786">
        <v>2.0499999999999998</v>
      </c>
      <c r="G1810" s="786"/>
      <c r="H1810" s="786">
        <f t="shared" si="177"/>
        <v>3.38</v>
      </c>
      <c r="I1810" s="787"/>
    </row>
    <row r="1811" spans="1:9" s="788" customFormat="1" hidden="1">
      <c r="A1811" s="789"/>
      <c r="B1811" s="790" t="s">
        <v>5973</v>
      </c>
      <c r="C1811" s="785">
        <v>1</v>
      </c>
      <c r="D1811" s="785">
        <v>1</v>
      </c>
      <c r="E1811" s="786">
        <v>1.05</v>
      </c>
      <c r="F1811" s="786">
        <v>2.0499999999999998</v>
      </c>
      <c r="G1811" s="786"/>
      <c r="H1811" s="786">
        <f t="shared" si="177"/>
        <v>2.15</v>
      </c>
      <c r="I1811" s="787"/>
    </row>
    <row r="1812" spans="1:9" s="788" customFormat="1" hidden="1">
      <c r="A1812" s="789"/>
      <c r="B1812" s="790" t="s">
        <v>6328</v>
      </c>
      <c r="C1812" s="785"/>
      <c r="D1812" s="785"/>
      <c r="E1812" s="786"/>
      <c r="F1812" s="786"/>
      <c r="G1812" s="786"/>
      <c r="H1812" s="786"/>
      <c r="I1812" s="787"/>
    </row>
    <row r="1813" spans="1:9" s="788" customFormat="1" hidden="1">
      <c r="A1813" s="789"/>
      <c r="B1813" s="790" t="s">
        <v>5972</v>
      </c>
      <c r="C1813" s="785">
        <v>1</v>
      </c>
      <c r="D1813" s="785">
        <v>1</v>
      </c>
      <c r="E1813" s="786">
        <v>1.35</v>
      </c>
      <c r="F1813" s="786">
        <v>2.0499999999999998</v>
      </c>
      <c r="G1813" s="786"/>
      <c r="H1813" s="786">
        <f>PRODUCT(C1813:G1813)</f>
        <v>2.77</v>
      </c>
      <c r="I1813" s="787"/>
    </row>
    <row r="1814" spans="1:9" s="788" customFormat="1" hidden="1">
      <c r="A1814" s="789"/>
      <c r="B1814" s="790" t="s">
        <v>5965</v>
      </c>
      <c r="C1814" s="785">
        <v>1</v>
      </c>
      <c r="D1814" s="785">
        <v>1</v>
      </c>
      <c r="E1814" s="786">
        <v>1.05</v>
      </c>
      <c r="F1814" s="786">
        <v>2.0499999999999998</v>
      </c>
      <c r="G1814" s="786"/>
      <c r="H1814" s="786">
        <f>PRODUCT(C1814:G1814)</f>
        <v>2.15</v>
      </c>
      <c r="I1814" s="787"/>
    </row>
    <row r="1815" spans="1:9" s="788" customFormat="1" hidden="1">
      <c r="A1815" s="789"/>
      <c r="B1815" s="790"/>
      <c r="C1815" s="785"/>
      <c r="D1815" s="785"/>
      <c r="E1815" s="786"/>
      <c r="F1815" s="786"/>
      <c r="G1815" s="786"/>
      <c r="H1815" s="791"/>
      <c r="I1815" s="787"/>
    </row>
    <row r="1816" spans="1:9" s="788" customFormat="1" hidden="1">
      <c r="A1816" s="789"/>
      <c r="B1816" s="790"/>
      <c r="C1816" s="785"/>
      <c r="D1816" s="785"/>
      <c r="E1816" s="786"/>
      <c r="F1816" s="786"/>
      <c r="G1816" s="791" t="s">
        <v>4209</v>
      </c>
      <c r="H1816" s="791"/>
      <c r="I1816" s="787"/>
    </row>
    <row r="1817" spans="1:9" s="788" customFormat="1" hidden="1">
      <c r="A1817" s="789"/>
      <c r="B1817" s="790"/>
      <c r="C1817" s="785"/>
      <c r="D1817" s="785"/>
      <c r="E1817" s="786"/>
      <c r="F1817" s="786"/>
      <c r="G1817" s="786"/>
      <c r="H1817" s="791"/>
      <c r="I1817" s="787"/>
    </row>
    <row r="1818" spans="1:9" s="737" customFormat="1" ht="61.5" customHeight="1">
      <c r="A1818" s="732" t="s">
        <v>6329</v>
      </c>
      <c r="B1818" s="1289" t="s">
        <v>6330</v>
      </c>
      <c r="C1818" s="1289"/>
      <c r="D1818" s="1289"/>
      <c r="E1818" s="1289"/>
      <c r="F1818" s="735"/>
      <c r="G1818" s="735"/>
      <c r="H1818" s="735"/>
      <c r="I1818" s="736"/>
    </row>
    <row r="1819" spans="1:9" s="737" customFormat="1" ht="21.75" customHeight="1">
      <c r="A1819" s="732" t="s">
        <v>2598</v>
      </c>
      <c r="B1819" s="735" t="s">
        <v>6331</v>
      </c>
      <c r="C1819" s="734"/>
      <c r="D1819" s="734"/>
      <c r="E1819" s="735"/>
      <c r="F1819" s="735"/>
      <c r="G1819" s="735"/>
      <c r="H1819" s="735"/>
      <c r="I1819" s="736"/>
    </row>
    <row r="1820" spans="1:9" s="737" customFormat="1">
      <c r="A1820" s="738"/>
      <c r="B1820" s="735" t="s">
        <v>5866</v>
      </c>
      <c r="C1820" s="734">
        <v>1</v>
      </c>
      <c r="D1820" s="734">
        <v>1</v>
      </c>
      <c r="E1820" s="739">
        <v>0.9</v>
      </c>
      <c r="F1820" s="739"/>
      <c r="G1820" s="739">
        <v>2.0499999999999998</v>
      </c>
      <c r="H1820" s="739">
        <f>PRODUCT(C1820:G1820)</f>
        <v>1.85</v>
      </c>
      <c r="I1820" s="736"/>
    </row>
    <row r="1821" spans="1:9" s="737" customFormat="1">
      <c r="A1821" s="738"/>
      <c r="B1821" s="735"/>
      <c r="C1821" s="734"/>
      <c r="D1821" s="734"/>
      <c r="E1821" s="739"/>
      <c r="F1821" s="739"/>
      <c r="G1821" s="739"/>
      <c r="H1821" s="742">
        <f>H1820</f>
        <v>1.85</v>
      </c>
      <c r="I1821" s="736"/>
    </row>
    <row r="1822" spans="1:9" s="737" customFormat="1">
      <c r="A1822" s="738"/>
      <c r="B1822" s="735"/>
      <c r="C1822" s="734"/>
      <c r="D1822" s="734"/>
      <c r="E1822" s="739"/>
      <c r="F1822" s="739"/>
      <c r="G1822" s="742" t="s">
        <v>4209</v>
      </c>
      <c r="H1822" s="742">
        <f>ROUNDUP(H1821,1)</f>
        <v>1.9</v>
      </c>
      <c r="I1822" s="736" t="s">
        <v>2273</v>
      </c>
    </row>
    <row r="1823" spans="1:9" s="737" customFormat="1">
      <c r="A1823" s="738"/>
      <c r="B1823" s="735"/>
      <c r="C1823" s="734"/>
      <c r="D1823" s="734"/>
      <c r="E1823" s="739"/>
      <c r="F1823" s="739"/>
      <c r="G1823" s="742"/>
      <c r="H1823" s="742"/>
      <c r="I1823" s="736"/>
    </row>
    <row r="1824" spans="1:9" s="737" customFormat="1">
      <c r="A1824" s="732" t="s">
        <v>3182</v>
      </c>
      <c r="B1824" s="735" t="s">
        <v>6332</v>
      </c>
      <c r="C1824" s="734"/>
      <c r="D1824" s="734"/>
      <c r="E1824" s="739"/>
      <c r="F1824" s="739"/>
      <c r="G1824" s="742"/>
      <c r="H1824" s="742"/>
      <c r="I1824" s="736"/>
    </row>
    <row r="1825" spans="1:9" s="737" customFormat="1">
      <c r="A1825" s="738"/>
      <c r="B1825" s="735" t="s">
        <v>5798</v>
      </c>
      <c r="C1825" s="734">
        <v>1</v>
      </c>
      <c r="D1825" s="734">
        <v>5</v>
      </c>
      <c r="E1825" s="739">
        <v>0.8</v>
      </c>
      <c r="F1825" s="739"/>
      <c r="G1825" s="739">
        <v>2.0499999999999998</v>
      </c>
      <c r="H1825" s="739">
        <f>PRODUCT(C1825:G1825)</f>
        <v>8.1999999999999993</v>
      </c>
      <c r="I1825" s="736"/>
    </row>
    <row r="1826" spans="1:9" s="737" customFormat="1">
      <c r="A1826" s="738"/>
      <c r="B1826" s="735"/>
      <c r="C1826" s="734"/>
      <c r="D1826" s="734"/>
      <c r="E1826" s="739"/>
      <c r="F1826" s="739"/>
      <c r="G1826" s="742"/>
      <c r="H1826" s="742">
        <f>SUM(H1825:H1825)</f>
        <v>8.1999999999999993</v>
      </c>
      <c r="I1826" s="736"/>
    </row>
    <row r="1827" spans="1:9" s="737" customFormat="1">
      <c r="A1827" s="738"/>
      <c r="B1827" s="735"/>
      <c r="C1827" s="734"/>
      <c r="D1827" s="734"/>
      <c r="E1827" s="739"/>
      <c r="F1827" s="739"/>
      <c r="G1827" s="742" t="s">
        <v>4209</v>
      </c>
      <c r="H1827" s="742">
        <f>ROUNDUP(H1826,1)</f>
        <v>8.1999999999999993</v>
      </c>
      <c r="I1827" s="736" t="s">
        <v>2273</v>
      </c>
    </row>
    <row r="1828" spans="1:9" s="737" customFormat="1" ht="129" customHeight="1">
      <c r="A1828" s="732" t="s">
        <v>6333</v>
      </c>
      <c r="B1828" s="1289" t="s">
        <v>6963</v>
      </c>
      <c r="C1828" s="1289"/>
      <c r="D1828" s="1289"/>
      <c r="E1828" s="1289"/>
      <c r="F1828" s="1289"/>
      <c r="G1828" s="739"/>
      <c r="H1828" s="739"/>
      <c r="I1828" s="736"/>
    </row>
    <row r="1829" spans="1:9" s="737" customFormat="1" ht="21.75" customHeight="1">
      <c r="A1829" s="732"/>
      <c r="B1829" s="733" t="s">
        <v>6002</v>
      </c>
      <c r="C1829" s="734"/>
      <c r="D1829" s="734"/>
      <c r="E1829" s="735"/>
      <c r="F1829" s="735"/>
      <c r="G1829" s="735"/>
      <c r="H1829" s="735"/>
      <c r="I1829" s="736"/>
    </row>
    <row r="1830" spans="1:9" s="737" customFormat="1">
      <c r="A1830" s="738"/>
      <c r="B1830" s="735" t="s">
        <v>5872</v>
      </c>
      <c r="C1830" s="734">
        <v>1</v>
      </c>
      <c r="D1830" s="734">
        <v>3</v>
      </c>
      <c r="E1830" s="739">
        <v>1.8</v>
      </c>
      <c r="F1830" s="739"/>
      <c r="G1830" s="739">
        <v>1.35</v>
      </c>
      <c r="H1830" s="739">
        <f>PRODUCT(C1830:G1830)</f>
        <v>7.29</v>
      </c>
      <c r="I1830" s="736"/>
    </row>
    <row r="1831" spans="1:9" s="737" customFormat="1">
      <c r="A1831" s="738"/>
      <c r="B1831" s="735" t="s">
        <v>5873</v>
      </c>
      <c r="C1831" s="734">
        <v>1</v>
      </c>
      <c r="D1831" s="734">
        <v>3</v>
      </c>
      <c r="E1831" s="739">
        <v>1.5</v>
      </c>
      <c r="F1831" s="739"/>
      <c r="G1831" s="739">
        <v>1.35</v>
      </c>
      <c r="H1831" s="739">
        <f t="shared" ref="H1831:H1833" si="178">PRODUCT(C1831:G1831)</f>
        <v>6.08</v>
      </c>
      <c r="I1831" s="736"/>
    </row>
    <row r="1832" spans="1:9" s="737" customFormat="1">
      <c r="A1832" s="738"/>
      <c r="B1832" s="735" t="s">
        <v>5909</v>
      </c>
      <c r="C1832" s="734">
        <v>1</v>
      </c>
      <c r="D1832" s="734">
        <v>1</v>
      </c>
      <c r="E1832" s="739">
        <v>1.2</v>
      </c>
      <c r="F1832" s="739"/>
      <c r="G1832" s="739">
        <v>1.35</v>
      </c>
      <c r="H1832" s="739">
        <f t="shared" si="178"/>
        <v>1.62</v>
      </c>
      <c r="I1832" s="736"/>
    </row>
    <row r="1833" spans="1:9" s="737" customFormat="1">
      <c r="A1833" s="738"/>
      <c r="B1833" s="735" t="s">
        <v>5874</v>
      </c>
      <c r="C1833" s="734">
        <v>1</v>
      </c>
      <c r="D1833" s="734">
        <v>2</v>
      </c>
      <c r="E1833" s="739">
        <v>1.5</v>
      </c>
      <c r="F1833" s="739"/>
      <c r="G1833" s="739">
        <v>1.35</v>
      </c>
      <c r="H1833" s="739">
        <f t="shared" si="178"/>
        <v>4.05</v>
      </c>
      <c r="I1833" s="736"/>
    </row>
    <row r="1834" spans="1:9" s="737" customFormat="1">
      <c r="A1834" s="738"/>
      <c r="B1834" s="735" t="s">
        <v>6038</v>
      </c>
      <c r="C1834" s="734"/>
      <c r="D1834" s="734"/>
      <c r="E1834" s="739"/>
      <c r="F1834" s="739"/>
      <c r="G1834" s="739"/>
      <c r="H1834" s="739"/>
      <c r="I1834" s="736"/>
    </row>
    <row r="1835" spans="1:9" s="737" customFormat="1">
      <c r="A1835" s="738"/>
      <c r="B1835" s="735" t="s">
        <v>5908</v>
      </c>
      <c r="C1835" s="734">
        <v>1</v>
      </c>
      <c r="D1835" s="734">
        <v>1</v>
      </c>
      <c r="E1835" s="739">
        <v>1.8</v>
      </c>
      <c r="F1835" s="739"/>
      <c r="G1835" s="739">
        <v>1.65</v>
      </c>
      <c r="H1835" s="739">
        <f t="shared" ref="H1835:H1843" si="179">PRODUCT(C1835:G1835)</f>
        <v>2.97</v>
      </c>
      <c r="I1835" s="736"/>
    </row>
    <row r="1836" spans="1:9" s="737" customFormat="1">
      <c r="A1836" s="738"/>
      <c r="B1836" s="735" t="s">
        <v>5873</v>
      </c>
      <c r="C1836" s="734">
        <v>1</v>
      </c>
      <c r="D1836" s="734">
        <v>6</v>
      </c>
      <c r="E1836" s="739">
        <v>1.5</v>
      </c>
      <c r="F1836" s="739"/>
      <c r="G1836" s="739">
        <v>1.35</v>
      </c>
      <c r="H1836" s="739">
        <f t="shared" si="179"/>
        <v>12.15</v>
      </c>
      <c r="I1836" s="736"/>
    </row>
    <row r="1837" spans="1:9" s="737" customFormat="1">
      <c r="A1837" s="738"/>
      <c r="B1837" s="735" t="s">
        <v>5918</v>
      </c>
      <c r="C1837" s="734">
        <v>1</v>
      </c>
      <c r="D1837" s="734">
        <v>2</v>
      </c>
      <c r="E1837" s="739">
        <v>0.6</v>
      </c>
      <c r="F1837" s="739"/>
      <c r="G1837" s="739">
        <v>1.35</v>
      </c>
      <c r="H1837" s="739">
        <f t="shared" si="179"/>
        <v>1.62</v>
      </c>
      <c r="I1837" s="736"/>
    </row>
    <row r="1838" spans="1:9" s="737" customFormat="1">
      <c r="A1838" s="738"/>
      <c r="B1838" s="735" t="s">
        <v>6133</v>
      </c>
      <c r="C1838" s="734">
        <v>1</v>
      </c>
      <c r="D1838" s="734">
        <v>1</v>
      </c>
      <c r="E1838" s="739">
        <v>1.95</v>
      </c>
      <c r="F1838" s="739"/>
      <c r="G1838" s="739">
        <v>2</v>
      </c>
      <c r="H1838" s="739">
        <f t="shared" si="179"/>
        <v>3.9</v>
      </c>
      <c r="I1838" s="736"/>
    </row>
    <row r="1839" spans="1:9" s="737" customFormat="1">
      <c r="A1839" s="738"/>
      <c r="B1839" s="735" t="s">
        <v>5906</v>
      </c>
      <c r="C1839" s="734">
        <v>1</v>
      </c>
      <c r="D1839" s="734">
        <v>1</v>
      </c>
      <c r="E1839" s="739">
        <v>1.35</v>
      </c>
      <c r="F1839" s="739"/>
      <c r="G1839" s="739">
        <v>2</v>
      </c>
      <c r="H1839" s="739">
        <f t="shared" si="179"/>
        <v>2.7</v>
      </c>
      <c r="I1839" s="736"/>
    </row>
    <row r="1840" spans="1:9" s="737" customFormat="1">
      <c r="A1840" s="738"/>
      <c r="B1840" s="735" t="s">
        <v>5907</v>
      </c>
      <c r="C1840" s="734">
        <v>1</v>
      </c>
      <c r="D1840" s="734">
        <v>1</v>
      </c>
      <c r="E1840" s="739">
        <v>1.8</v>
      </c>
      <c r="F1840" s="739"/>
      <c r="G1840" s="739">
        <v>2</v>
      </c>
      <c r="H1840" s="739">
        <f t="shared" si="179"/>
        <v>3.6</v>
      </c>
      <c r="I1840" s="736"/>
    </row>
    <row r="1841" spans="1:9" s="737" customFormat="1">
      <c r="A1841" s="738"/>
      <c r="B1841" s="735" t="s">
        <v>5910</v>
      </c>
      <c r="C1841" s="734">
        <v>1</v>
      </c>
      <c r="D1841" s="734">
        <v>1</v>
      </c>
      <c r="E1841" s="739">
        <v>1.5</v>
      </c>
      <c r="F1841" s="739"/>
      <c r="G1841" s="739">
        <v>1.05</v>
      </c>
      <c r="H1841" s="739">
        <f t="shared" si="179"/>
        <v>1.58</v>
      </c>
      <c r="I1841" s="736"/>
    </row>
    <row r="1842" spans="1:9" s="737" customFormat="1">
      <c r="A1842" s="738"/>
      <c r="B1842" s="735" t="s">
        <v>5911</v>
      </c>
      <c r="C1842" s="734">
        <v>1</v>
      </c>
      <c r="D1842" s="734">
        <v>2</v>
      </c>
      <c r="E1842" s="739">
        <v>1</v>
      </c>
      <c r="F1842" s="739"/>
      <c r="G1842" s="739">
        <v>1.05</v>
      </c>
      <c r="H1842" s="739">
        <f t="shared" si="179"/>
        <v>2.1</v>
      </c>
      <c r="I1842" s="736"/>
    </row>
    <row r="1843" spans="1:9" s="737" customFormat="1">
      <c r="A1843" s="738"/>
      <c r="B1843" s="735" t="s">
        <v>6134</v>
      </c>
      <c r="C1843" s="734">
        <v>1</v>
      </c>
      <c r="D1843" s="734">
        <v>1</v>
      </c>
      <c r="E1843" s="739">
        <v>1.05</v>
      </c>
      <c r="F1843" s="739"/>
      <c r="G1843" s="739">
        <v>1.05</v>
      </c>
      <c r="H1843" s="739">
        <f t="shared" si="179"/>
        <v>1.1000000000000001</v>
      </c>
      <c r="I1843" s="736"/>
    </row>
    <row r="1844" spans="1:9" s="737" customFormat="1">
      <c r="A1844" s="738"/>
      <c r="B1844" s="735" t="s">
        <v>5912</v>
      </c>
      <c r="C1844" s="734">
        <v>1</v>
      </c>
      <c r="D1844" s="734">
        <v>2</v>
      </c>
      <c r="E1844" s="739">
        <v>1</v>
      </c>
      <c r="F1844" s="739"/>
      <c r="G1844" s="739">
        <v>1.35</v>
      </c>
      <c r="H1844" s="739">
        <f>PRODUCT(C1844:G1844)</f>
        <v>2.7</v>
      </c>
      <c r="I1844" s="736"/>
    </row>
    <row r="1845" spans="1:9" s="737" customFormat="1">
      <c r="A1845" s="738"/>
      <c r="B1845" s="735" t="s">
        <v>6102</v>
      </c>
      <c r="C1845" s="734"/>
      <c r="D1845" s="734"/>
      <c r="E1845" s="739"/>
      <c r="F1845" s="739"/>
      <c r="G1845" s="739"/>
      <c r="H1845" s="739"/>
      <c r="I1845" s="736"/>
    </row>
    <row r="1846" spans="1:9" s="737" customFormat="1">
      <c r="A1846" s="738"/>
      <c r="B1846" s="735" t="s">
        <v>5873</v>
      </c>
      <c r="C1846" s="734">
        <v>1</v>
      </c>
      <c r="D1846" s="734">
        <v>2</v>
      </c>
      <c r="E1846" s="739">
        <v>1.5</v>
      </c>
      <c r="F1846" s="739"/>
      <c r="G1846" s="739">
        <v>1.35</v>
      </c>
      <c r="H1846" s="739">
        <f t="shared" ref="H1846:H1847" si="180">PRODUCT(C1846:G1846)</f>
        <v>4.05</v>
      </c>
      <c r="I1846" s="736"/>
    </row>
    <row r="1847" spans="1:9" s="737" customFormat="1">
      <c r="A1847" s="738"/>
      <c r="B1847" s="735" t="s">
        <v>5918</v>
      </c>
      <c r="C1847" s="734">
        <v>1</v>
      </c>
      <c r="D1847" s="734">
        <v>1</v>
      </c>
      <c r="E1847" s="739">
        <v>0.6</v>
      </c>
      <c r="F1847" s="739"/>
      <c r="G1847" s="739">
        <v>1.35</v>
      </c>
      <c r="H1847" s="739">
        <f t="shared" si="180"/>
        <v>0.81</v>
      </c>
      <c r="I1847" s="736"/>
    </row>
    <row r="1848" spans="1:9" s="737" customFormat="1">
      <c r="A1848" s="738"/>
      <c r="B1848" s="735" t="s">
        <v>5912</v>
      </c>
      <c r="C1848" s="734">
        <v>1</v>
      </c>
      <c r="D1848" s="734">
        <v>1</v>
      </c>
      <c r="E1848" s="739">
        <v>1</v>
      </c>
      <c r="F1848" s="739"/>
      <c r="G1848" s="739">
        <v>1.35</v>
      </c>
      <c r="H1848" s="739">
        <f>PRODUCT(C1848:G1848)</f>
        <v>1.35</v>
      </c>
      <c r="I1848" s="736"/>
    </row>
    <row r="1849" spans="1:9" s="737" customFormat="1">
      <c r="A1849" s="738"/>
      <c r="B1849" s="735"/>
      <c r="C1849" s="734"/>
      <c r="D1849" s="734"/>
      <c r="E1849" s="739"/>
      <c r="F1849" s="739"/>
      <c r="G1849" s="739"/>
      <c r="H1849" s="742">
        <f>SUM(H1829:H1848)</f>
        <v>59.67</v>
      </c>
      <c r="I1849" s="736"/>
    </row>
    <row r="1850" spans="1:9" s="737" customFormat="1">
      <c r="A1850" s="738"/>
      <c r="B1850" s="735"/>
      <c r="C1850" s="734"/>
      <c r="D1850" s="734"/>
      <c r="E1850" s="739"/>
      <c r="F1850" s="739"/>
      <c r="G1850" s="742" t="s">
        <v>4209</v>
      </c>
      <c r="H1850" s="742">
        <f>ROUNDUP(H1849,1)</f>
        <v>59.7</v>
      </c>
      <c r="I1850" s="736" t="s">
        <v>2273</v>
      </c>
    </row>
    <row r="1851" spans="1:9" s="737" customFormat="1" ht="128.25" customHeight="1">
      <c r="A1851" s="732" t="s">
        <v>6334</v>
      </c>
      <c r="B1851" s="1298" t="s">
        <v>6335</v>
      </c>
      <c r="C1851" s="1298"/>
      <c r="D1851" s="1298"/>
      <c r="E1851" s="1298"/>
      <c r="F1851" s="739"/>
      <c r="G1851" s="739"/>
      <c r="H1851" s="739"/>
      <c r="I1851" s="736"/>
    </row>
    <row r="1852" spans="1:9" s="737" customFormat="1" ht="21.75" customHeight="1">
      <c r="A1852" s="732"/>
      <c r="B1852" s="733" t="s">
        <v>6002</v>
      </c>
      <c r="C1852" s="734"/>
      <c r="D1852" s="734"/>
      <c r="E1852" s="735"/>
      <c r="F1852" s="735"/>
      <c r="G1852" s="735"/>
      <c r="H1852" s="735"/>
      <c r="I1852" s="736"/>
    </row>
    <row r="1853" spans="1:9" s="737" customFormat="1">
      <c r="A1853" s="738"/>
      <c r="B1853" s="735" t="s">
        <v>5875</v>
      </c>
      <c r="C1853" s="734">
        <v>1</v>
      </c>
      <c r="D1853" s="734">
        <v>3</v>
      </c>
      <c r="E1853" s="739">
        <v>0.75</v>
      </c>
      <c r="F1853" s="739"/>
      <c r="G1853" s="739">
        <v>0.75</v>
      </c>
      <c r="H1853" s="739">
        <f>PRODUCT(C1853:G1853)</f>
        <v>1.69</v>
      </c>
      <c r="I1853" s="736"/>
    </row>
    <row r="1854" spans="1:9" s="737" customFormat="1">
      <c r="A1854" s="738"/>
      <c r="B1854" s="735" t="s">
        <v>5876</v>
      </c>
      <c r="C1854" s="734">
        <v>1</v>
      </c>
      <c r="D1854" s="734">
        <v>1</v>
      </c>
      <c r="E1854" s="739">
        <v>1.2</v>
      </c>
      <c r="F1854" s="739"/>
      <c r="G1854" s="739">
        <v>0.75</v>
      </c>
      <c r="H1854" s="739">
        <f>PRODUCT(C1854:G1854)</f>
        <v>0.9</v>
      </c>
      <c r="I1854" s="736"/>
    </row>
    <row r="1855" spans="1:9" s="737" customFormat="1">
      <c r="A1855" s="738"/>
      <c r="B1855" s="735" t="s">
        <v>6038</v>
      </c>
      <c r="C1855" s="734"/>
      <c r="D1855" s="734"/>
      <c r="E1855" s="739"/>
      <c r="F1855" s="739"/>
      <c r="G1855" s="739"/>
      <c r="H1855" s="739"/>
      <c r="I1855" s="736"/>
    </row>
    <row r="1856" spans="1:9" s="737" customFormat="1">
      <c r="A1856" s="738"/>
      <c r="B1856" s="735" t="s">
        <v>5875</v>
      </c>
      <c r="C1856" s="734">
        <v>1</v>
      </c>
      <c r="D1856" s="734">
        <v>3</v>
      </c>
      <c r="E1856" s="739">
        <v>0.75</v>
      </c>
      <c r="F1856" s="739"/>
      <c r="G1856" s="739">
        <v>0.75</v>
      </c>
      <c r="H1856" s="739">
        <f>PRODUCT(C1856:G1856)</f>
        <v>1.69</v>
      </c>
      <c r="I1856" s="736"/>
    </row>
    <row r="1857" spans="1:9" s="737" customFormat="1">
      <c r="A1857" s="738"/>
      <c r="B1857" s="735"/>
      <c r="C1857" s="734"/>
      <c r="D1857" s="734"/>
      <c r="E1857" s="739"/>
      <c r="F1857" s="739"/>
      <c r="G1857" s="739"/>
      <c r="H1857" s="742">
        <f>SUM(H1852:H1856)</f>
        <v>4.28</v>
      </c>
      <c r="I1857" s="736"/>
    </row>
    <row r="1858" spans="1:9" s="737" customFormat="1">
      <c r="A1858" s="738"/>
      <c r="B1858" s="735"/>
      <c r="C1858" s="734"/>
      <c r="D1858" s="734"/>
      <c r="E1858" s="739"/>
      <c r="F1858" s="739"/>
      <c r="G1858" s="742" t="s">
        <v>4209</v>
      </c>
      <c r="H1858" s="742">
        <f>ROUNDUP(H1857,1)</f>
        <v>4.3</v>
      </c>
      <c r="I1858" s="736" t="s">
        <v>2273</v>
      </c>
    </row>
    <row r="1859" spans="1:9" s="737" customFormat="1" ht="49.5" customHeight="1">
      <c r="A1859" s="732">
        <v>29.8</v>
      </c>
      <c r="B1859" s="733" t="s">
        <v>6336</v>
      </c>
      <c r="C1859" s="734"/>
      <c r="D1859" s="734"/>
      <c r="E1859" s="739"/>
      <c r="F1859" s="739"/>
      <c r="G1859" s="739"/>
      <c r="H1859" s="739"/>
      <c r="I1859" s="736"/>
    </row>
    <row r="1860" spans="1:9" s="737" customFormat="1">
      <c r="A1860" s="738"/>
      <c r="B1860" s="735" t="s">
        <v>5845</v>
      </c>
      <c r="C1860" s="734"/>
      <c r="D1860" s="734"/>
      <c r="E1860" s="739"/>
      <c r="F1860" s="739"/>
      <c r="G1860" s="739"/>
      <c r="H1860" s="739"/>
      <c r="I1860" s="736"/>
    </row>
    <row r="1861" spans="1:9" s="737" customFormat="1">
      <c r="A1861" s="738"/>
      <c r="B1861" s="735" t="s">
        <v>6337</v>
      </c>
      <c r="C1861" s="734">
        <v>1</v>
      </c>
      <c r="D1861" s="734">
        <v>2</v>
      </c>
      <c r="E1861" s="739">
        <f>(1.35+1.5)*2</f>
        <v>5.7</v>
      </c>
      <c r="F1861" s="739"/>
      <c r="G1861" s="739">
        <v>2.1</v>
      </c>
      <c r="H1861" s="739">
        <f t="shared" ref="H1861:H1882" si="181">PRODUCT(C1861:G1861)</f>
        <v>23.94</v>
      </c>
      <c r="I1861" s="736"/>
    </row>
    <row r="1862" spans="1:9" s="737" customFormat="1">
      <c r="A1862" s="738"/>
      <c r="B1862" s="735" t="s">
        <v>6020</v>
      </c>
      <c r="C1862" s="734">
        <v>-1</v>
      </c>
      <c r="D1862" s="734">
        <v>2</v>
      </c>
      <c r="E1862" s="739">
        <v>0.75</v>
      </c>
      <c r="F1862" s="739"/>
      <c r="G1862" s="739">
        <v>2.1</v>
      </c>
      <c r="H1862" s="739">
        <f t="shared" si="181"/>
        <v>-3.15</v>
      </c>
      <c r="I1862" s="736"/>
    </row>
    <row r="1863" spans="1:9" s="737" customFormat="1">
      <c r="A1863" s="738"/>
      <c r="B1863" s="735" t="s">
        <v>6093</v>
      </c>
      <c r="C1863" s="734">
        <v>2</v>
      </c>
      <c r="D1863" s="734">
        <v>2</v>
      </c>
      <c r="E1863" s="739">
        <v>0.12</v>
      </c>
      <c r="F1863" s="739"/>
      <c r="G1863" s="739">
        <v>2.1</v>
      </c>
      <c r="H1863" s="739">
        <f t="shared" si="181"/>
        <v>1.01</v>
      </c>
      <c r="I1863" s="736"/>
    </row>
    <row r="1864" spans="1:9" s="737" customFormat="1">
      <c r="A1864" s="738"/>
      <c r="B1864" s="735" t="s">
        <v>6338</v>
      </c>
      <c r="C1864" s="734">
        <v>1</v>
      </c>
      <c r="D1864" s="734">
        <v>2</v>
      </c>
      <c r="E1864" s="739">
        <f>0.9+1.2</f>
        <v>2.1</v>
      </c>
      <c r="F1864" s="739"/>
      <c r="G1864" s="739">
        <v>1</v>
      </c>
      <c r="H1864" s="739">
        <f t="shared" si="181"/>
        <v>4.2</v>
      </c>
      <c r="I1864" s="736"/>
    </row>
    <row r="1865" spans="1:9" s="737" customFormat="1">
      <c r="A1865" s="738"/>
      <c r="B1865" s="735" t="s">
        <v>5843</v>
      </c>
      <c r="C1865" s="734">
        <v>1</v>
      </c>
      <c r="D1865" s="734">
        <v>2</v>
      </c>
      <c r="E1865" s="739">
        <f>(2.065+1.5)*2</f>
        <v>7.13</v>
      </c>
      <c r="F1865" s="739"/>
      <c r="G1865" s="739">
        <v>1.8</v>
      </c>
      <c r="H1865" s="739">
        <f t="shared" si="181"/>
        <v>25.67</v>
      </c>
      <c r="I1865" s="736"/>
    </row>
    <row r="1866" spans="1:9" s="737" customFormat="1">
      <c r="A1866" s="738"/>
      <c r="B1866" s="735" t="s">
        <v>6032</v>
      </c>
      <c r="C1866" s="734">
        <v>-1</v>
      </c>
      <c r="D1866" s="734">
        <v>2</v>
      </c>
      <c r="E1866" s="739">
        <v>1</v>
      </c>
      <c r="F1866" s="739"/>
      <c r="G1866" s="739">
        <v>1.8</v>
      </c>
      <c r="H1866" s="739">
        <f t="shared" si="181"/>
        <v>-3.6</v>
      </c>
      <c r="I1866" s="736"/>
    </row>
    <row r="1867" spans="1:9" s="737" customFormat="1">
      <c r="A1867" s="738"/>
      <c r="B1867" s="735" t="s">
        <v>6093</v>
      </c>
      <c r="C1867" s="734">
        <v>2</v>
      </c>
      <c r="D1867" s="734">
        <v>2</v>
      </c>
      <c r="E1867" s="739">
        <v>0.23</v>
      </c>
      <c r="F1867" s="739"/>
      <c r="G1867" s="739">
        <v>1.8</v>
      </c>
      <c r="H1867" s="739">
        <f t="shared" si="181"/>
        <v>1.66</v>
      </c>
      <c r="I1867" s="736"/>
    </row>
    <row r="1868" spans="1:9" s="737" customFormat="1">
      <c r="A1868" s="738"/>
      <c r="B1868" s="735" t="s">
        <v>5884</v>
      </c>
      <c r="C1868" s="734"/>
      <c r="D1868" s="734"/>
      <c r="E1868" s="739"/>
      <c r="F1868" s="739"/>
      <c r="G1868" s="739"/>
      <c r="H1868" s="739"/>
      <c r="I1868" s="736"/>
    </row>
    <row r="1869" spans="1:9" s="737" customFormat="1">
      <c r="A1869" s="738"/>
      <c r="B1869" s="735" t="s">
        <v>6235</v>
      </c>
      <c r="C1869" s="734">
        <v>1</v>
      </c>
      <c r="D1869" s="734">
        <v>1</v>
      </c>
      <c r="E1869" s="739">
        <f>(1.95+1.5)*2</f>
        <v>6.9</v>
      </c>
      <c r="F1869" s="739"/>
      <c r="G1869" s="739">
        <v>2.1</v>
      </c>
      <c r="H1869" s="739">
        <f t="shared" si="181"/>
        <v>14.49</v>
      </c>
      <c r="I1869" s="736"/>
    </row>
    <row r="1870" spans="1:9" s="737" customFormat="1">
      <c r="A1870" s="738"/>
      <c r="B1870" s="735" t="s">
        <v>6020</v>
      </c>
      <c r="C1870" s="734">
        <v>-1</v>
      </c>
      <c r="D1870" s="734">
        <v>1</v>
      </c>
      <c r="E1870" s="739">
        <v>0.75</v>
      </c>
      <c r="F1870" s="739"/>
      <c r="G1870" s="739">
        <v>2.1</v>
      </c>
      <c r="H1870" s="739">
        <f t="shared" si="181"/>
        <v>-1.58</v>
      </c>
      <c r="I1870" s="736"/>
    </row>
    <row r="1871" spans="1:9" s="737" customFormat="1">
      <c r="A1871" s="738"/>
      <c r="B1871" s="735" t="s">
        <v>6093</v>
      </c>
      <c r="C1871" s="734">
        <v>1</v>
      </c>
      <c r="D1871" s="734">
        <v>2</v>
      </c>
      <c r="E1871" s="739">
        <v>0.12</v>
      </c>
      <c r="F1871" s="739"/>
      <c r="G1871" s="739">
        <v>2.1</v>
      </c>
      <c r="H1871" s="739">
        <f t="shared" si="181"/>
        <v>0.5</v>
      </c>
      <c r="I1871" s="736"/>
    </row>
    <row r="1872" spans="1:9" s="737" customFormat="1">
      <c r="A1872" s="738"/>
      <c r="B1872" s="735" t="s">
        <v>6339</v>
      </c>
      <c r="C1872" s="734">
        <v>1</v>
      </c>
      <c r="D1872" s="734">
        <v>1</v>
      </c>
      <c r="E1872" s="739">
        <f>(1.5+1.35)*2</f>
        <v>5.7</v>
      </c>
      <c r="F1872" s="739"/>
      <c r="G1872" s="739">
        <v>2.1</v>
      </c>
      <c r="H1872" s="739">
        <f t="shared" si="181"/>
        <v>11.97</v>
      </c>
      <c r="I1872" s="736"/>
    </row>
    <row r="1873" spans="1:9" s="737" customFormat="1">
      <c r="A1873" s="738"/>
      <c r="B1873" s="735" t="s">
        <v>6020</v>
      </c>
      <c r="C1873" s="734">
        <v>-1</v>
      </c>
      <c r="D1873" s="734">
        <v>1</v>
      </c>
      <c r="E1873" s="739">
        <v>0.75</v>
      </c>
      <c r="F1873" s="739"/>
      <c r="G1873" s="739">
        <v>2.1</v>
      </c>
      <c r="H1873" s="739">
        <f t="shared" si="181"/>
        <v>-1.58</v>
      </c>
      <c r="I1873" s="736"/>
    </row>
    <row r="1874" spans="1:9" s="737" customFormat="1">
      <c r="A1874" s="738"/>
      <c r="B1874" s="735" t="s">
        <v>6093</v>
      </c>
      <c r="C1874" s="734">
        <v>1</v>
      </c>
      <c r="D1874" s="734">
        <v>2</v>
      </c>
      <c r="E1874" s="739">
        <v>0.12</v>
      </c>
      <c r="F1874" s="739"/>
      <c r="G1874" s="739">
        <v>2.1</v>
      </c>
      <c r="H1874" s="739">
        <f t="shared" si="181"/>
        <v>0.5</v>
      </c>
      <c r="I1874" s="736"/>
    </row>
    <row r="1875" spans="1:9" s="737" customFormat="1">
      <c r="A1875" s="738"/>
      <c r="B1875" s="735" t="s">
        <v>6338</v>
      </c>
      <c r="C1875" s="734">
        <v>1</v>
      </c>
      <c r="D1875" s="734">
        <v>1</v>
      </c>
      <c r="E1875" s="739">
        <f>1.085+1.2</f>
        <v>2.29</v>
      </c>
      <c r="F1875" s="739"/>
      <c r="G1875" s="739">
        <v>1</v>
      </c>
      <c r="H1875" s="739">
        <f t="shared" si="181"/>
        <v>2.29</v>
      </c>
      <c r="I1875" s="736"/>
    </row>
    <row r="1876" spans="1:9" s="737" customFormat="1">
      <c r="A1876" s="738"/>
      <c r="B1876" s="735" t="s">
        <v>6059</v>
      </c>
      <c r="C1876" s="734">
        <v>1</v>
      </c>
      <c r="D1876" s="734">
        <v>1</v>
      </c>
      <c r="E1876" s="739">
        <f>(1.8+1.5)*2</f>
        <v>6.6</v>
      </c>
      <c r="F1876" s="739"/>
      <c r="G1876" s="739">
        <v>2.1</v>
      </c>
      <c r="H1876" s="739">
        <f t="shared" si="181"/>
        <v>13.86</v>
      </c>
      <c r="I1876" s="736"/>
    </row>
    <row r="1877" spans="1:9" s="737" customFormat="1">
      <c r="A1877" s="738"/>
      <c r="B1877" s="735" t="s">
        <v>6020</v>
      </c>
      <c r="C1877" s="734">
        <v>-1</v>
      </c>
      <c r="D1877" s="734">
        <v>1</v>
      </c>
      <c r="E1877" s="739">
        <v>0.75</v>
      </c>
      <c r="F1877" s="739"/>
      <c r="G1877" s="739">
        <v>2.1</v>
      </c>
      <c r="H1877" s="739">
        <f t="shared" si="181"/>
        <v>-1.58</v>
      </c>
      <c r="I1877" s="736"/>
    </row>
    <row r="1878" spans="1:9" s="737" customFormat="1">
      <c r="A1878" s="738"/>
      <c r="B1878" s="735" t="s">
        <v>6093</v>
      </c>
      <c r="C1878" s="734">
        <v>1</v>
      </c>
      <c r="D1878" s="734">
        <v>2</v>
      </c>
      <c r="E1878" s="739">
        <v>0.12</v>
      </c>
      <c r="F1878" s="739"/>
      <c r="G1878" s="739">
        <v>2.1</v>
      </c>
      <c r="H1878" s="739">
        <f t="shared" si="181"/>
        <v>0.5</v>
      </c>
      <c r="I1878" s="736"/>
    </row>
    <row r="1879" spans="1:9" s="737" customFormat="1">
      <c r="A1879" s="738"/>
      <c r="B1879" s="735" t="s">
        <v>6182</v>
      </c>
      <c r="C1879" s="734">
        <v>1</v>
      </c>
      <c r="D1879" s="734">
        <v>1</v>
      </c>
      <c r="E1879" s="739">
        <f>(2.515+1.65)*2</f>
        <v>8.33</v>
      </c>
      <c r="F1879" s="739"/>
      <c r="G1879" s="739">
        <v>2.1</v>
      </c>
      <c r="H1879" s="739">
        <f t="shared" si="181"/>
        <v>17.489999999999998</v>
      </c>
      <c r="I1879" s="736"/>
    </row>
    <row r="1880" spans="1:9" s="737" customFormat="1">
      <c r="A1880" s="738"/>
      <c r="B1880" s="735" t="s">
        <v>6008</v>
      </c>
      <c r="C1880" s="734">
        <v>-1</v>
      </c>
      <c r="D1880" s="734">
        <v>1</v>
      </c>
      <c r="E1880" s="739">
        <v>0.9</v>
      </c>
      <c r="F1880" s="739"/>
      <c r="G1880" s="739">
        <v>2.1</v>
      </c>
      <c r="H1880" s="739">
        <f t="shared" si="181"/>
        <v>-1.89</v>
      </c>
      <c r="I1880" s="736"/>
    </row>
    <row r="1881" spans="1:9" s="737" customFormat="1">
      <c r="A1881" s="738"/>
      <c r="B1881" s="735" t="s">
        <v>6093</v>
      </c>
      <c r="C1881" s="734">
        <v>1</v>
      </c>
      <c r="D1881" s="734">
        <v>2</v>
      </c>
      <c r="E1881" s="739">
        <v>0.12</v>
      </c>
      <c r="F1881" s="739"/>
      <c r="G1881" s="739">
        <v>2.1</v>
      </c>
      <c r="H1881" s="739">
        <f t="shared" si="181"/>
        <v>0.5</v>
      </c>
      <c r="I1881" s="736"/>
    </row>
    <row r="1882" spans="1:9" s="737" customFormat="1">
      <c r="A1882" s="738"/>
      <c r="B1882" s="735" t="s">
        <v>6340</v>
      </c>
      <c r="C1882" s="734">
        <v>1</v>
      </c>
      <c r="D1882" s="734">
        <v>1</v>
      </c>
      <c r="E1882" s="739">
        <f>2.105+2.105+2.78</f>
        <v>6.99</v>
      </c>
      <c r="F1882" s="739"/>
      <c r="G1882" s="739">
        <v>0.6</v>
      </c>
      <c r="H1882" s="739">
        <f t="shared" si="181"/>
        <v>4.1900000000000004</v>
      </c>
      <c r="I1882" s="736"/>
    </row>
    <row r="1883" spans="1:9" s="737" customFormat="1">
      <c r="A1883" s="738"/>
      <c r="B1883" s="735"/>
      <c r="C1883" s="734"/>
      <c r="D1883" s="734"/>
      <c r="E1883" s="739"/>
      <c r="F1883" s="739"/>
      <c r="G1883" s="739"/>
      <c r="H1883" s="742">
        <f>SUM(H1861:H1882)</f>
        <v>109.39</v>
      </c>
      <c r="I1883" s="736"/>
    </row>
    <row r="1884" spans="1:9" s="737" customFormat="1">
      <c r="A1884" s="738"/>
      <c r="B1884" s="735"/>
      <c r="C1884" s="734"/>
      <c r="D1884" s="734"/>
      <c r="E1884" s="739"/>
      <c r="F1884" s="739"/>
      <c r="G1884" s="742" t="s">
        <v>4209</v>
      </c>
      <c r="H1884" s="742">
        <f>ROUNDUP(H1883,1)</f>
        <v>109.4</v>
      </c>
      <c r="I1884" s="736" t="s">
        <v>2273</v>
      </c>
    </row>
    <row r="1885" spans="1:9" s="737" customFormat="1" ht="56.25">
      <c r="A1885" s="732">
        <v>29.9</v>
      </c>
      <c r="B1885" s="733" t="s">
        <v>6341</v>
      </c>
      <c r="C1885" s="734"/>
      <c r="D1885" s="734"/>
      <c r="E1885" s="739"/>
      <c r="F1885" s="739"/>
      <c r="G1885" s="739"/>
      <c r="H1885" s="739"/>
      <c r="I1885" s="736"/>
    </row>
    <row r="1886" spans="1:9" s="737" customFormat="1">
      <c r="A1886" s="738"/>
      <c r="B1886" s="735" t="s">
        <v>5845</v>
      </c>
      <c r="C1886" s="734"/>
      <c r="D1886" s="734"/>
      <c r="E1886" s="739"/>
      <c r="F1886" s="739"/>
      <c r="G1886" s="739"/>
      <c r="H1886" s="739"/>
      <c r="I1886" s="736"/>
    </row>
    <row r="1887" spans="1:9" s="737" customFormat="1">
      <c r="A1887" s="738"/>
      <c r="B1887" s="735" t="s">
        <v>6337</v>
      </c>
      <c r="C1887" s="734">
        <v>1</v>
      </c>
      <c r="D1887" s="734">
        <v>2</v>
      </c>
      <c r="E1887" s="739">
        <v>1.5</v>
      </c>
      <c r="F1887" s="739">
        <v>1.35</v>
      </c>
      <c r="G1887" s="739"/>
      <c r="H1887" s="739">
        <f t="shared" ref="H1887:H1899" si="182">PRODUCT(C1887:G1887)</f>
        <v>4.05</v>
      </c>
      <c r="I1887" s="736"/>
    </row>
    <row r="1888" spans="1:9" s="737" customFormat="1">
      <c r="A1888" s="738"/>
      <c r="B1888" s="735" t="s">
        <v>6342</v>
      </c>
      <c r="C1888" s="734">
        <v>1</v>
      </c>
      <c r="D1888" s="734">
        <v>2</v>
      </c>
      <c r="E1888" s="739">
        <v>0.75</v>
      </c>
      <c r="F1888" s="739">
        <v>0.12</v>
      </c>
      <c r="G1888" s="739"/>
      <c r="H1888" s="739">
        <f t="shared" si="182"/>
        <v>0.18</v>
      </c>
      <c r="I1888" s="736"/>
    </row>
    <row r="1889" spans="1:9" s="737" customFormat="1">
      <c r="A1889" s="738"/>
      <c r="B1889" s="735" t="s">
        <v>5843</v>
      </c>
      <c r="C1889" s="734">
        <v>1</v>
      </c>
      <c r="D1889" s="734">
        <v>2</v>
      </c>
      <c r="E1889" s="739">
        <v>2.0699999999999998</v>
      </c>
      <c r="F1889" s="739">
        <v>1.5</v>
      </c>
      <c r="G1889" s="739"/>
      <c r="H1889" s="739">
        <f t="shared" si="182"/>
        <v>6.21</v>
      </c>
      <c r="I1889" s="736"/>
    </row>
    <row r="1890" spans="1:9" s="737" customFormat="1">
      <c r="A1890" s="738"/>
      <c r="B1890" s="735" t="s">
        <v>6342</v>
      </c>
      <c r="C1890" s="734">
        <v>1</v>
      </c>
      <c r="D1890" s="734">
        <v>2</v>
      </c>
      <c r="E1890" s="739">
        <v>1</v>
      </c>
      <c r="F1890" s="739">
        <v>0.12</v>
      </c>
      <c r="G1890" s="739"/>
      <c r="H1890" s="739">
        <f t="shared" si="182"/>
        <v>0.24</v>
      </c>
      <c r="I1890" s="736"/>
    </row>
    <row r="1891" spans="1:9" s="737" customFormat="1">
      <c r="A1891" s="738"/>
      <c r="B1891" s="735" t="s">
        <v>5884</v>
      </c>
      <c r="C1891" s="734"/>
      <c r="D1891" s="734"/>
      <c r="E1891" s="739"/>
      <c r="F1891" s="739"/>
      <c r="G1891" s="739"/>
      <c r="H1891" s="739"/>
      <c r="I1891" s="736"/>
    </row>
    <row r="1892" spans="1:9" s="737" customFormat="1">
      <c r="A1892" s="738"/>
      <c r="B1892" s="735" t="s">
        <v>6235</v>
      </c>
      <c r="C1892" s="734">
        <v>1</v>
      </c>
      <c r="D1892" s="734">
        <v>1</v>
      </c>
      <c r="E1892" s="739">
        <v>1.95</v>
      </c>
      <c r="F1892" s="739">
        <v>1.5</v>
      </c>
      <c r="G1892" s="739"/>
      <c r="H1892" s="739">
        <f t="shared" si="182"/>
        <v>2.93</v>
      </c>
      <c r="I1892" s="736"/>
    </row>
    <row r="1893" spans="1:9" s="737" customFormat="1">
      <c r="A1893" s="738"/>
      <c r="B1893" s="735" t="s">
        <v>6342</v>
      </c>
      <c r="C1893" s="734">
        <v>1</v>
      </c>
      <c r="D1893" s="734">
        <v>1</v>
      </c>
      <c r="E1893" s="739">
        <v>0.75</v>
      </c>
      <c r="F1893" s="739">
        <v>0.12</v>
      </c>
      <c r="G1893" s="739"/>
      <c r="H1893" s="739">
        <f t="shared" si="182"/>
        <v>0.09</v>
      </c>
      <c r="I1893" s="736"/>
    </row>
    <row r="1894" spans="1:9" s="737" customFormat="1">
      <c r="A1894" s="738"/>
      <c r="B1894" s="735" t="s">
        <v>6339</v>
      </c>
      <c r="C1894" s="734">
        <v>1</v>
      </c>
      <c r="D1894" s="734">
        <v>1</v>
      </c>
      <c r="E1894" s="739">
        <v>1.5</v>
      </c>
      <c r="F1894" s="739">
        <v>1.35</v>
      </c>
      <c r="G1894" s="739"/>
      <c r="H1894" s="739">
        <f t="shared" si="182"/>
        <v>2.0299999999999998</v>
      </c>
      <c r="I1894" s="736"/>
    </row>
    <row r="1895" spans="1:9" s="737" customFormat="1">
      <c r="A1895" s="738"/>
      <c r="B1895" s="735" t="s">
        <v>6342</v>
      </c>
      <c r="C1895" s="734">
        <v>1</v>
      </c>
      <c r="D1895" s="734">
        <v>1</v>
      </c>
      <c r="E1895" s="739">
        <v>0.75</v>
      </c>
      <c r="F1895" s="739">
        <v>0.12</v>
      </c>
      <c r="G1895" s="739"/>
      <c r="H1895" s="739">
        <f t="shared" si="182"/>
        <v>0.09</v>
      </c>
      <c r="I1895" s="736"/>
    </row>
    <row r="1896" spans="1:9" s="737" customFormat="1">
      <c r="A1896" s="738"/>
      <c r="B1896" s="735" t="s">
        <v>6059</v>
      </c>
      <c r="C1896" s="734">
        <v>1</v>
      </c>
      <c r="D1896" s="734">
        <v>1</v>
      </c>
      <c r="E1896" s="739">
        <v>1.8</v>
      </c>
      <c r="F1896" s="739">
        <v>1.5</v>
      </c>
      <c r="G1896" s="739"/>
      <c r="H1896" s="739">
        <f t="shared" si="182"/>
        <v>2.7</v>
      </c>
      <c r="I1896" s="736"/>
    </row>
    <row r="1897" spans="1:9" s="737" customFormat="1">
      <c r="A1897" s="738"/>
      <c r="B1897" s="735" t="s">
        <v>6342</v>
      </c>
      <c r="C1897" s="734">
        <v>1</v>
      </c>
      <c r="D1897" s="734">
        <v>1</v>
      </c>
      <c r="E1897" s="739">
        <v>0.75</v>
      </c>
      <c r="F1897" s="739">
        <v>0.12</v>
      </c>
      <c r="G1897" s="739"/>
      <c r="H1897" s="739">
        <f t="shared" si="182"/>
        <v>0.09</v>
      </c>
      <c r="I1897" s="736"/>
    </row>
    <row r="1898" spans="1:9" s="737" customFormat="1">
      <c r="A1898" s="738"/>
      <c r="B1898" s="735" t="s">
        <v>6182</v>
      </c>
      <c r="C1898" s="734">
        <v>1</v>
      </c>
      <c r="D1898" s="734">
        <v>1</v>
      </c>
      <c r="E1898" s="739">
        <v>2.52</v>
      </c>
      <c r="F1898" s="739">
        <v>1.65</v>
      </c>
      <c r="G1898" s="739"/>
      <c r="H1898" s="739">
        <f t="shared" si="182"/>
        <v>4.16</v>
      </c>
      <c r="I1898" s="736"/>
    </row>
    <row r="1899" spans="1:9" s="737" customFormat="1">
      <c r="A1899" s="738"/>
      <c r="B1899" s="735" t="s">
        <v>6342</v>
      </c>
      <c r="C1899" s="734">
        <v>1</v>
      </c>
      <c r="D1899" s="734">
        <v>1</v>
      </c>
      <c r="E1899" s="739">
        <v>0.9</v>
      </c>
      <c r="F1899" s="739">
        <v>0.12</v>
      </c>
      <c r="G1899" s="739"/>
      <c r="H1899" s="739">
        <f t="shared" si="182"/>
        <v>0.11</v>
      </c>
      <c r="I1899" s="736"/>
    </row>
    <row r="1900" spans="1:9" s="737" customFormat="1">
      <c r="A1900" s="738"/>
      <c r="B1900" s="735"/>
      <c r="C1900" s="734"/>
      <c r="D1900" s="734"/>
      <c r="E1900" s="739"/>
      <c r="F1900" s="739"/>
      <c r="G1900" s="739"/>
      <c r="H1900" s="742">
        <f>SUM(H1886:H1899)</f>
        <v>22.88</v>
      </c>
      <c r="I1900" s="736"/>
    </row>
    <row r="1901" spans="1:9" s="737" customFormat="1">
      <c r="A1901" s="738"/>
      <c r="B1901" s="735"/>
      <c r="C1901" s="734"/>
      <c r="D1901" s="734"/>
      <c r="E1901" s="739"/>
      <c r="F1901" s="739"/>
      <c r="G1901" s="742" t="s">
        <v>4209</v>
      </c>
      <c r="H1901" s="742">
        <f>ROUNDUP(H1900,1)</f>
        <v>22.9</v>
      </c>
      <c r="I1901" s="736" t="s">
        <v>2273</v>
      </c>
    </row>
    <row r="1902" spans="1:9" s="737" customFormat="1" ht="151.5" customHeight="1">
      <c r="A1902" s="732" t="s">
        <v>6343</v>
      </c>
      <c r="B1902" s="1289" t="s">
        <v>6344</v>
      </c>
      <c r="C1902" s="1289"/>
      <c r="D1902" s="1289"/>
      <c r="E1902" s="1289"/>
      <c r="F1902" s="1289"/>
      <c r="G1902" s="739"/>
      <c r="H1902" s="739"/>
      <c r="I1902" s="736"/>
    </row>
    <row r="1903" spans="1:9" s="737" customFormat="1">
      <c r="A1903" s="738"/>
      <c r="B1903" s="735" t="s">
        <v>6345</v>
      </c>
      <c r="C1903" s="734">
        <v>1</v>
      </c>
      <c r="D1903" s="734">
        <v>1</v>
      </c>
      <c r="E1903" s="739">
        <v>12.44</v>
      </c>
      <c r="F1903" s="739">
        <v>13.45</v>
      </c>
      <c r="G1903" s="739"/>
      <c r="H1903" s="739">
        <f t="shared" ref="H1903:H1908" si="183">PRODUCT(C1903:G1903)</f>
        <v>167.32</v>
      </c>
      <c r="I1903" s="736"/>
    </row>
    <row r="1904" spans="1:9" s="737" customFormat="1">
      <c r="A1904" s="738"/>
      <c r="B1904" s="735" t="s">
        <v>6346</v>
      </c>
      <c r="C1904" s="734">
        <v>1</v>
      </c>
      <c r="D1904" s="734">
        <v>1</v>
      </c>
      <c r="E1904" s="739">
        <f>(E1903+F1903)*2</f>
        <v>51.78</v>
      </c>
      <c r="F1904" s="739"/>
      <c r="G1904" s="739">
        <v>0.23</v>
      </c>
      <c r="H1904" s="739">
        <f t="shared" si="183"/>
        <v>11.91</v>
      </c>
      <c r="I1904" s="736"/>
    </row>
    <row r="1905" spans="1:9" s="737" customFormat="1">
      <c r="A1905" s="738"/>
      <c r="B1905" s="735" t="s">
        <v>6347</v>
      </c>
      <c r="C1905" s="734">
        <v>1</v>
      </c>
      <c r="D1905" s="734">
        <v>1</v>
      </c>
      <c r="E1905" s="739">
        <v>4.8</v>
      </c>
      <c r="F1905" s="739">
        <v>2.1800000000000002</v>
      </c>
      <c r="G1905" s="739"/>
      <c r="H1905" s="739">
        <f t="shared" si="183"/>
        <v>10.46</v>
      </c>
      <c r="I1905" s="736"/>
    </row>
    <row r="1906" spans="1:9" s="737" customFormat="1">
      <c r="A1906" s="738"/>
      <c r="B1906" s="735" t="s">
        <v>6346</v>
      </c>
      <c r="C1906" s="734">
        <v>1</v>
      </c>
      <c r="D1906" s="734">
        <v>1</v>
      </c>
      <c r="E1906" s="739">
        <f>(E1905+F1905)*2</f>
        <v>13.96</v>
      </c>
      <c r="F1906" s="739"/>
      <c r="G1906" s="739">
        <v>0.23</v>
      </c>
      <c r="H1906" s="739">
        <f t="shared" si="183"/>
        <v>3.21</v>
      </c>
      <c r="I1906" s="736"/>
    </row>
    <row r="1907" spans="1:9" s="737" customFormat="1">
      <c r="A1907" s="738"/>
      <c r="B1907" s="735" t="s">
        <v>6348</v>
      </c>
      <c r="C1907" s="734">
        <v>1</v>
      </c>
      <c r="D1907" s="734">
        <v>1</v>
      </c>
      <c r="E1907" s="739">
        <v>6.13</v>
      </c>
      <c r="F1907" s="739">
        <v>2.4</v>
      </c>
      <c r="G1907" s="739"/>
      <c r="H1907" s="739">
        <f t="shared" si="183"/>
        <v>14.71</v>
      </c>
      <c r="I1907" s="736"/>
    </row>
    <row r="1908" spans="1:9" s="737" customFormat="1">
      <c r="A1908" s="738"/>
      <c r="B1908" s="735" t="s">
        <v>6346</v>
      </c>
      <c r="C1908" s="734">
        <v>1</v>
      </c>
      <c r="D1908" s="734">
        <v>1</v>
      </c>
      <c r="E1908" s="739">
        <f>(E1907+F1907)*2</f>
        <v>17.059999999999999</v>
      </c>
      <c r="F1908" s="739"/>
      <c r="G1908" s="739">
        <v>0.23</v>
      </c>
      <c r="H1908" s="739">
        <f t="shared" si="183"/>
        <v>3.92</v>
      </c>
      <c r="I1908" s="736"/>
    </row>
    <row r="1909" spans="1:9" s="737" customFormat="1">
      <c r="A1909" s="738"/>
      <c r="B1909" s="735"/>
      <c r="C1909" s="734"/>
      <c r="D1909" s="734"/>
      <c r="E1909" s="739"/>
      <c r="F1909" s="739"/>
      <c r="G1909" s="739"/>
      <c r="H1909" s="742">
        <f>SUM(H1903:H1908)</f>
        <v>211.53</v>
      </c>
      <c r="I1909" s="736"/>
    </row>
    <row r="1910" spans="1:9" s="737" customFormat="1">
      <c r="A1910" s="738"/>
      <c r="B1910" s="735"/>
      <c r="C1910" s="734"/>
      <c r="D1910" s="734"/>
      <c r="E1910" s="739"/>
      <c r="F1910" s="739"/>
      <c r="G1910" s="742" t="s">
        <v>4209</v>
      </c>
      <c r="H1910" s="742">
        <f>ROUNDUP(H1909,1)</f>
        <v>211.6</v>
      </c>
      <c r="I1910" s="736" t="s">
        <v>2273</v>
      </c>
    </row>
    <row r="1911" spans="1:9" s="737" customFormat="1" ht="42" customHeight="1">
      <c r="A1911" s="732">
        <v>35.1</v>
      </c>
      <c r="B1911" s="733" t="s">
        <v>6349</v>
      </c>
      <c r="C1911" s="734"/>
      <c r="D1911" s="734"/>
      <c r="E1911" s="739"/>
      <c r="F1911" s="739"/>
      <c r="G1911" s="739"/>
      <c r="H1911" s="739"/>
      <c r="I1911" s="736"/>
    </row>
    <row r="1912" spans="1:9" s="737" customFormat="1">
      <c r="A1912" s="738"/>
      <c r="B1912" s="735" t="s">
        <v>5884</v>
      </c>
      <c r="C1912" s="734"/>
      <c r="D1912" s="734"/>
      <c r="E1912" s="739"/>
      <c r="F1912" s="739"/>
      <c r="G1912" s="739"/>
      <c r="H1912" s="739"/>
      <c r="I1912" s="736"/>
    </row>
    <row r="1913" spans="1:9" s="737" customFormat="1">
      <c r="A1913" s="738"/>
      <c r="B1913" s="735" t="s">
        <v>6235</v>
      </c>
      <c r="C1913" s="734">
        <v>1</v>
      </c>
      <c r="D1913" s="734">
        <v>1</v>
      </c>
      <c r="E1913" s="739">
        <v>2.37</v>
      </c>
      <c r="F1913" s="739">
        <v>1.5</v>
      </c>
      <c r="G1913" s="739"/>
      <c r="H1913" s="739">
        <f t="shared" ref="H1913:H1920" si="184">PRODUCT(C1913:G1913)</f>
        <v>3.56</v>
      </c>
      <c r="I1913" s="736"/>
    </row>
    <row r="1914" spans="1:9" s="737" customFormat="1">
      <c r="A1914" s="738"/>
      <c r="B1914" s="735" t="s">
        <v>6350</v>
      </c>
      <c r="C1914" s="734">
        <v>1</v>
      </c>
      <c r="D1914" s="734">
        <v>1</v>
      </c>
      <c r="E1914" s="739">
        <f>(E1913+F1913)*2</f>
        <v>7.74</v>
      </c>
      <c r="F1914" s="739"/>
      <c r="G1914" s="739">
        <v>0.25</v>
      </c>
      <c r="H1914" s="739">
        <f t="shared" si="184"/>
        <v>1.94</v>
      </c>
      <c r="I1914" s="736"/>
    </row>
    <row r="1915" spans="1:9" s="737" customFormat="1">
      <c r="A1915" s="738"/>
      <c r="B1915" s="735" t="s">
        <v>6339</v>
      </c>
      <c r="C1915" s="734">
        <v>1</v>
      </c>
      <c r="D1915" s="734">
        <v>1</v>
      </c>
      <c r="E1915" s="739">
        <v>1.5</v>
      </c>
      <c r="F1915" s="739">
        <v>1.35</v>
      </c>
      <c r="G1915" s="739"/>
      <c r="H1915" s="739">
        <f t="shared" si="184"/>
        <v>2.0299999999999998</v>
      </c>
      <c r="I1915" s="736"/>
    </row>
    <row r="1916" spans="1:9" s="737" customFormat="1">
      <c r="A1916" s="738"/>
      <c r="B1916" s="735" t="s">
        <v>6350</v>
      </c>
      <c r="C1916" s="734">
        <v>1</v>
      </c>
      <c r="D1916" s="734">
        <v>1</v>
      </c>
      <c r="E1916" s="739">
        <f>(E1915+F1915)*2</f>
        <v>5.7</v>
      </c>
      <c r="F1916" s="739"/>
      <c r="G1916" s="739">
        <v>0.45</v>
      </c>
      <c r="H1916" s="739">
        <f t="shared" si="184"/>
        <v>2.57</v>
      </c>
      <c r="I1916" s="736"/>
    </row>
    <row r="1917" spans="1:9" s="737" customFormat="1">
      <c r="A1917" s="738"/>
      <c r="B1917" s="735" t="s">
        <v>6059</v>
      </c>
      <c r="C1917" s="734">
        <v>1</v>
      </c>
      <c r="D1917" s="734">
        <v>1</v>
      </c>
      <c r="E1917" s="739">
        <v>1.8</v>
      </c>
      <c r="F1917" s="739">
        <v>1.5</v>
      </c>
      <c r="G1917" s="739"/>
      <c r="H1917" s="739">
        <f t="shared" si="184"/>
        <v>2.7</v>
      </c>
      <c r="I1917" s="736"/>
    </row>
    <row r="1918" spans="1:9" s="737" customFormat="1">
      <c r="A1918" s="738"/>
      <c r="B1918" s="735" t="s">
        <v>6350</v>
      </c>
      <c r="C1918" s="734">
        <v>1</v>
      </c>
      <c r="D1918" s="734">
        <v>1</v>
      </c>
      <c r="E1918" s="739">
        <f>(E1917+F1917)*2</f>
        <v>6.6</v>
      </c>
      <c r="F1918" s="739"/>
      <c r="G1918" s="739">
        <v>0.25</v>
      </c>
      <c r="H1918" s="739">
        <f t="shared" si="184"/>
        <v>1.65</v>
      </c>
      <c r="I1918" s="736"/>
    </row>
    <row r="1919" spans="1:9" s="737" customFormat="1">
      <c r="A1919" s="738"/>
      <c r="B1919" s="735" t="s">
        <v>6182</v>
      </c>
      <c r="C1919" s="734">
        <v>1</v>
      </c>
      <c r="D1919" s="734">
        <v>1</v>
      </c>
      <c r="E1919" s="739">
        <v>2.52</v>
      </c>
      <c r="F1919" s="739">
        <v>1.65</v>
      </c>
      <c r="G1919" s="739"/>
      <c r="H1919" s="739">
        <f t="shared" si="184"/>
        <v>4.16</v>
      </c>
      <c r="I1919" s="736"/>
    </row>
    <row r="1920" spans="1:9" s="737" customFormat="1">
      <c r="A1920" s="738"/>
      <c r="B1920" s="735" t="s">
        <v>6350</v>
      </c>
      <c r="C1920" s="734">
        <v>1</v>
      </c>
      <c r="D1920" s="734">
        <v>1</v>
      </c>
      <c r="E1920" s="739">
        <f>(E1919+F1919)*2</f>
        <v>8.34</v>
      </c>
      <c r="F1920" s="739"/>
      <c r="G1920" s="739">
        <v>0.25</v>
      </c>
      <c r="H1920" s="739">
        <f t="shared" si="184"/>
        <v>2.09</v>
      </c>
      <c r="I1920" s="736"/>
    </row>
    <row r="1921" spans="1:9" s="737" customFormat="1">
      <c r="A1921" s="738"/>
      <c r="B1921" s="735"/>
      <c r="C1921" s="734"/>
      <c r="D1921" s="734"/>
      <c r="E1921" s="739"/>
      <c r="F1921" s="739"/>
      <c r="G1921" s="739"/>
      <c r="H1921" s="742">
        <f>SUM(H1913:H1920)</f>
        <v>20.7</v>
      </c>
      <c r="I1921" s="736"/>
    </row>
    <row r="1922" spans="1:9" s="737" customFormat="1">
      <c r="A1922" s="738"/>
      <c r="B1922" s="735"/>
      <c r="C1922" s="734"/>
      <c r="D1922" s="734"/>
      <c r="E1922" s="739"/>
      <c r="F1922" s="739"/>
      <c r="G1922" s="742" t="s">
        <v>4209</v>
      </c>
      <c r="H1922" s="742">
        <f>ROUNDUP(H1921,1)</f>
        <v>20.7</v>
      </c>
      <c r="I1922" s="736" t="s">
        <v>2273</v>
      </c>
    </row>
    <row r="1923" spans="1:9" s="737" customFormat="1" ht="58.5" customHeight="1">
      <c r="A1923" s="732" t="s">
        <v>4329</v>
      </c>
      <c r="B1923" s="733" t="s">
        <v>6351</v>
      </c>
      <c r="C1923" s="734"/>
      <c r="D1923" s="734"/>
      <c r="E1923" s="735"/>
      <c r="F1923" s="735"/>
      <c r="G1923" s="735"/>
      <c r="H1923" s="735"/>
      <c r="I1923" s="736"/>
    </row>
    <row r="1924" spans="1:9" s="737" customFormat="1" ht="24.75" customHeight="1">
      <c r="A1924" s="738"/>
      <c r="B1924" s="735" t="s">
        <v>6352</v>
      </c>
      <c r="C1924" s="734">
        <v>1</v>
      </c>
      <c r="D1924" s="734">
        <v>1</v>
      </c>
      <c r="E1924" s="739">
        <f>H843</f>
        <v>1028.69</v>
      </c>
      <c r="F1924" s="735"/>
      <c r="G1924" s="735"/>
      <c r="H1924" s="739">
        <f>PRODUCT(C1924:G1924)</f>
        <v>1028.69</v>
      </c>
      <c r="I1924" s="736"/>
    </row>
    <row r="1925" spans="1:9" s="737" customFormat="1" ht="24.75" customHeight="1">
      <c r="A1925" s="738"/>
      <c r="B1925" s="735" t="s">
        <v>6964</v>
      </c>
      <c r="C1925" s="734">
        <v>1</v>
      </c>
      <c r="D1925" s="734">
        <v>1</v>
      </c>
      <c r="E1925" s="739">
        <f>H899</f>
        <v>347.9</v>
      </c>
      <c r="F1925" s="735"/>
      <c r="G1925" s="735"/>
      <c r="H1925" s="739">
        <f>PRODUCT(C1925:G1925)</f>
        <v>347.9</v>
      </c>
      <c r="I1925" s="736"/>
    </row>
    <row r="1926" spans="1:9" s="737" customFormat="1" ht="24" customHeight="1">
      <c r="A1926" s="738"/>
      <c r="B1926" s="735"/>
      <c r="C1926" s="734"/>
      <c r="D1926" s="734"/>
      <c r="E1926" s="739"/>
      <c r="F1926" s="735"/>
      <c r="G1926" s="735"/>
      <c r="H1926" s="739">
        <f>SUM(H1924:H1925)</f>
        <v>1376.59</v>
      </c>
      <c r="I1926" s="736"/>
    </row>
    <row r="1927" spans="1:9" s="737" customFormat="1" ht="23.25" customHeight="1">
      <c r="A1927" s="732"/>
      <c r="B1927" s="735"/>
      <c r="C1927" s="746"/>
      <c r="D1927" s="746"/>
      <c r="E1927" s="757"/>
      <c r="F1927" s="757"/>
      <c r="G1927" s="757" t="s">
        <v>4209</v>
      </c>
      <c r="H1927" s="742">
        <f>ROUNDUP(H1926,1)</f>
        <v>1376.6</v>
      </c>
      <c r="I1927" s="736" t="s">
        <v>2273</v>
      </c>
    </row>
    <row r="1928" spans="1:9" s="737" customFormat="1" ht="81.75" customHeight="1">
      <c r="A1928" s="732" t="s">
        <v>6353</v>
      </c>
      <c r="B1928" s="733" t="s">
        <v>6354</v>
      </c>
      <c r="C1928" s="734"/>
      <c r="D1928" s="734"/>
      <c r="E1928" s="735"/>
      <c r="F1928" s="735"/>
      <c r="G1928" s="735"/>
      <c r="H1928" s="735"/>
      <c r="I1928" s="736"/>
    </row>
    <row r="1929" spans="1:9" s="737" customFormat="1">
      <c r="A1929" s="738"/>
      <c r="B1929" s="735"/>
      <c r="C1929" s="734">
        <v>1</v>
      </c>
      <c r="D1929" s="734">
        <v>6</v>
      </c>
      <c r="E1929" s="735"/>
      <c r="F1929" s="735"/>
      <c r="G1929" s="735"/>
      <c r="H1929" s="742">
        <f>PRODUCT(C1929:G1929)</f>
        <v>6</v>
      </c>
      <c r="I1929" s="736" t="s">
        <v>1427</v>
      </c>
    </row>
    <row r="1930" spans="1:9" s="737" customFormat="1">
      <c r="A1930" s="732" t="s">
        <v>6355</v>
      </c>
      <c r="B1930" s="739" t="s">
        <v>315</v>
      </c>
      <c r="C1930" s="734"/>
      <c r="D1930" s="734"/>
      <c r="E1930" s="735"/>
      <c r="F1930" s="735"/>
      <c r="G1930" s="735"/>
      <c r="H1930" s="735"/>
      <c r="I1930" s="736"/>
    </row>
    <row r="1931" spans="1:9" s="737" customFormat="1">
      <c r="A1931" s="738"/>
      <c r="B1931" s="735" t="s">
        <v>6356</v>
      </c>
      <c r="C1931" s="734">
        <v>1</v>
      </c>
      <c r="D1931" s="734">
        <v>6</v>
      </c>
      <c r="E1931" s="739">
        <v>3</v>
      </c>
      <c r="F1931" s="735"/>
      <c r="G1931" s="735"/>
      <c r="H1931" s="739">
        <f>PRODUCT(C1931:G1931)</f>
        <v>18</v>
      </c>
      <c r="I1931" s="736" t="s">
        <v>823</v>
      </c>
    </row>
    <row r="1932" spans="1:9" s="737" customFormat="1" ht="60" customHeight="1">
      <c r="A1932" s="732" t="s">
        <v>6357</v>
      </c>
      <c r="B1932" s="733" t="s">
        <v>6358</v>
      </c>
      <c r="C1932" s="734"/>
      <c r="D1932" s="734"/>
      <c r="E1932" s="735"/>
      <c r="F1932" s="735"/>
      <c r="G1932" s="735"/>
      <c r="H1932" s="735"/>
      <c r="I1932" s="736"/>
    </row>
    <row r="1933" spans="1:9" s="737" customFormat="1">
      <c r="A1933" s="738"/>
      <c r="B1933" s="735" t="s">
        <v>6359</v>
      </c>
      <c r="C1933" s="734">
        <v>1</v>
      </c>
      <c r="D1933" s="734">
        <v>6</v>
      </c>
      <c r="E1933" s="739">
        <f>1.5+3.6+3.6</f>
        <v>8.6999999999999993</v>
      </c>
      <c r="F1933" s="735"/>
      <c r="G1933" s="735"/>
      <c r="H1933" s="739">
        <f>PRODUCT(C1933:G1933)</f>
        <v>52.2</v>
      </c>
      <c r="I1933" s="736"/>
    </row>
    <row r="1934" spans="1:9" s="737" customFormat="1">
      <c r="A1934" s="738"/>
      <c r="B1934" s="735" t="s">
        <v>6360</v>
      </c>
      <c r="C1934" s="734">
        <v>1</v>
      </c>
      <c r="D1934" s="734">
        <v>6</v>
      </c>
      <c r="E1934" s="739">
        <v>2.5</v>
      </c>
      <c r="F1934" s="735"/>
      <c r="G1934" s="735"/>
      <c r="H1934" s="739">
        <f>PRODUCT(C1934:G1934)</f>
        <v>15</v>
      </c>
      <c r="I1934" s="736"/>
    </row>
    <row r="1935" spans="1:9" s="737" customFormat="1">
      <c r="A1935" s="738"/>
      <c r="B1935" s="735" t="s">
        <v>6361</v>
      </c>
      <c r="C1935" s="734">
        <v>1</v>
      </c>
      <c r="D1935" s="734">
        <v>1</v>
      </c>
      <c r="E1935" s="735">
        <v>2.5</v>
      </c>
      <c r="F1935" s="735"/>
      <c r="G1935" s="735"/>
      <c r="H1935" s="739">
        <f>PRODUCT(C1935:G1935)</f>
        <v>2.5</v>
      </c>
      <c r="I1935" s="736"/>
    </row>
    <row r="1936" spans="1:9" s="737" customFormat="1">
      <c r="A1936" s="738"/>
      <c r="B1936" s="735"/>
      <c r="C1936" s="734"/>
      <c r="D1936" s="734"/>
      <c r="E1936" s="735"/>
      <c r="F1936" s="735"/>
      <c r="G1936" s="735"/>
      <c r="H1936" s="742">
        <f>SUM(H1933:H1935)</f>
        <v>69.7</v>
      </c>
      <c r="I1936" s="736"/>
    </row>
    <row r="1937" spans="1:9" s="737" customFormat="1">
      <c r="A1937" s="732"/>
      <c r="B1937" s="735"/>
      <c r="C1937" s="746"/>
      <c r="D1937" s="746"/>
      <c r="E1937" s="757"/>
      <c r="F1937" s="757"/>
      <c r="G1937" s="757" t="s">
        <v>4209</v>
      </c>
      <c r="H1937" s="742">
        <f>ROUNDUP(H1936,1)</f>
        <v>69.7</v>
      </c>
      <c r="I1937" s="736" t="s">
        <v>823</v>
      </c>
    </row>
    <row r="1938" spans="1:9" s="737" customFormat="1" ht="114" customHeight="1">
      <c r="A1938" s="732" t="s">
        <v>6362</v>
      </c>
      <c r="B1938" s="1289" t="s">
        <v>6363</v>
      </c>
      <c r="C1938" s="1289"/>
      <c r="D1938" s="1289"/>
      <c r="E1938" s="1289"/>
      <c r="F1938" s="735"/>
      <c r="G1938" s="735"/>
      <c r="H1938" s="735"/>
      <c r="I1938" s="736"/>
    </row>
    <row r="1939" spans="1:9" s="737" customFormat="1">
      <c r="A1939" s="738"/>
      <c r="B1939" s="735" t="s">
        <v>6364</v>
      </c>
      <c r="C1939" s="734">
        <v>1</v>
      </c>
      <c r="D1939" s="734">
        <v>2</v>
      </c>
      <c r="E1939" s="739">
        <v>4.3499999999999996</v>
      </c>
      <c r="F1939" s="735"/>
      <c r="G1939" s="735"/>
      <c r="H1939" s="739">
        <f t="shared" ref="H1939:H1943" si="185">PRODUCT(C1939:G1939)</f>
        <v>8.6999999999999993</v>
      </c>
      <c r="I1939" s="736"/>
    </row>
    <row r="1940" spans="1:9" s="737" customFormat="1">
      <c r="A1940" s="738"/>
      <c r="B1940" s="735" t="s">
        <v>6268</v>
      </c>
      <c r="C1940" s="734">
        <v>1</v>
      </c>
      <c r="D1940" s="734">
        <v>2</v>
      </c>
      <c r="E1940" s="739">
        <v>4.3</v>
      </c>
      <c r="F1940" s="735"/>
      <c r="G1940" s="735"/>
      <c r="H1940" s="739">
        <f t="shared" si="185"/>
        <v>8.6</v>
      </c>
      <c r="I1940" s="736"/>
    </row>
    <row r="1941" spans="1:9" s="737" customFormat="1">
      <c r="A1941" s="738"/>
      <c r="B1941" s="735" t="s">
        <v>6365</v>
      </c>
      <c r="C1941" s="734">
        <v>1</v>
      </c>
      <c r="D1941" s="734">
        <v>1</v>
      </c>
      <c r="E1941" s="739">
        <v>4.5</v>
      </c>
      <c r="F1941" s="735"/>
      <c r="G1941" s="735"/>
      <c r="H1941" s="739">
        <f>PRODUCT(C1941:G1941)</f>
        <v>4.5</v>
      </c>
      <c r="I1941" s="736"/>
    </row>
    <row r="1942" spans="1:9" s="737" customFormat="1">
      <c r="A1942" s="738"/>
      <c r="B1942" s="735" t="s">
        <v>6059</v>
      </c>
      <c r="C1942" s="734">
        <v>1</v>
      </c>
      <c r="D1942" s="734">
        <v>1</v>
      </c>
      <c r="E1942" s="739">
        <v>3.8</v>
      </c>
      <c r="F1942" s="735"/>
      <c r="G1942" s="735"/>
      <c r="H1942" s="739">
        <f>PRODUCT(C1942:G1942)</f>
        <v>3.8</v>
      </c>
      <c r="I1942" s="736"/>
    </row>
    <row r="1943" spans="1:9" s="737" customFormat="1">
      <c r="A1943" s="738"/>
      <c r="B1943" s="735" t="s">
        <v>6366</v>
      </c>
      <c r="C1943" s="734">
        <v>1</v>
      </c>
      <c r="D1943" s="734">
        <v>1</v>
      </c>
      <c r="E1943" s="739">
        <v>3.5</v>
      </c>
      <c r="F1943" s="735"/>
      <c r="G1943" s="735"/>
      <c r="H1943" s="739">
        <f t="shared" si="185"/>
        <v>3.5</v>
      </c>
      <c r="I1943" s="736"/>
    </row>
    <row r="1944" spans="1:9" s="737" customFormat="1">
      <c r="A1944" s="738"/>
      <c r="B1944" s="735" t="s">
        <v>6367</v>
      </c>
      <c r="C1944" s="734">
        <v>1</v>
      </c>
      <c r="D1944" s="734">
        <v>1</v>
      </c>
      <c r="E1944" s="739">
        <v>9.1</v>
      </c>
      <c r="F1944" s="735"/>
      <c r="G1944" s="735"/>
      <c r="H1944" s="739">
        <f>PRODUCT(C1944:G1944)</f>
        <v>9.1</v>
      </c>
      <c r="I1944" s="736"/>
    </row>
    <row r="1945" spans="1:9" s="737" customFormat="1">
      <c r="A1945" s="738"/>
      <c r="B1945" s="735"/>
      <c r="C1945" s="734"/>
      <c r="D1945" s="734"/>
      <c r="E1945" s="735"/>
      <c r="F1945" s="735"/>
      <c r="G1945" s="735"/>
      <c r="H1945" s="742">
        <f>SUM(H1939:H1944)</f>
        <v>38.200000000000003</v>
      </c>
      <c r="I1945" s="736"/>
    </row>
    <row r="1946" spans="1:9" s="737" customFormat="1">
      <c r="A1946" s="732"/>
      <c r="B1946" s="735"/>
      <c r="C1946" s="746"/>
      <c r="D1946" s="746"/>
      <c r="E1946" s="757"/>
      <c r="F1946" s="757"/>
      <c r="G1946" s="757" t="s">
        <v>4209</v>
      </c>
      <c r="H1946" s="742">
        <f>ROUNDUP(H1945,1)</f>
        <v>38.200000000000003</v>
      </c>
      <c r="I1946" s="736" t="s">
        <v>823</v>
      </c>
    </row>
    <row r="1947" spans="1:9" s="737" customFormat="1" ht="42.75" customHeight="1">
      <c r="A1947" s="732" t="s">
        <v>6368</v>
      </c>
      <c r="B1947" s="733" t="s">
        <v>6369</v>
      </c>
      <c r="C1947" s="734"/>
      <c r="D1947" s="734"/>
      <c r="E1947" s="735"/>
      <c r="F1947" s="735"/>
      <c r="G1947" s="735"/>
      <c r="H1947" s="735"/>
      <c r="I1947" s="736"/>
    </row>
    <row r="1948" spans="1:9" s="737" customFormat="1">
      <c r="A1948" s="738"/>
      <c r="B1948" s="735" t="s">
        <v>6370</v>
      </c>
      <c r="C1948" s="734">
        <v>1</v>
      </c>
      <c r="D1948" s="734">
        <v>4</v>
      </c>
      <c r="E1948" s="735"/>
      <c r="F1948" s="735"/>
      <c r="G1948" s="735"/>
      <c r="H1948" s="739">
        <f>PRODUCT(C1948:G1948)</f>
        <v>4</v>
      </c>
      <c r="I1948" s="736"/>
    </row>
    <row r="1949" spans="1:9" s="737" customFormat="1">
      <c r="A1949" s="738"/>
      <c r="B1949" s="735" t="s">
        <v>6371</v>
      </c>
      <c r="C1949" s="734">
        <v>1</v>
      </c>
      <c r="D1949" s="734">
        <v>3</v>
      </c>
      <c r="E1949" s="735"/>
      <c r="F1949" s="735"/>
      <c r="G1949" s="735"/>
      <c r="H1949" s="739">
        <f>PRODUCT(C1949:G1949)</f>
        <v>3</v>
      </c>
      <c r="I1949" s="736"/>
    </row>
    <row r="1950" spans="1:9" s="737" customFormat="1">
      <c r="A1950" s="738"/>
      <c r="B1950" s="735"/>
      <c r="C1950" s="734"/>
      <c r="D1950" s="734"/>
      <c r="E1950" s="735"/>
      <c r="F1950" s="735"/>
      <c r="G1950" s="757" t="s">
        <v>2235</v>
      </c>
      <c r="H1950" s="742">
        <f>SUM(H1948:H1949)</f>
        <v>7</v>
      </c>
      <c r="I1950" s="736" t="s">
        <v>1427</v>
      </c>
    </row>
    <row r="1951" spans="1:9" s="737" customFormat="1" ht="100.5" customHeight="1">
      <c r="A1951" s="732" t="s">
        <v>6372</v>
      </c>
      <c r="B1951" s="1289" t="s">
        <v>6373</v>
      </c>
      <c r="C1951" s="1289"/>
      <c r="D1951" s="1289"/>
      <c r="E1951" s="1289"/>
      <c r="F1951" s="735"/>
      <c r="G1951" s="735"/>
      <c r="H1951" s="735"/>
      <c r="I1951" s="736"/>
    </row>
    <row r="1952" spans="1:9" s="737" customFormat="1">
      <c r="A1952" s="738"/>
      <c r="B1952" s="735" t="s">
        <v>6374</v>
      </c>
      <c r="C1952" s="734">
        <v>1</v>
      </c>
      <c r="D1952" s="734">
        <v>2</v>
      </c>
      <c r="E1952" s="735"/>
      <c r="F1952" s="735"/>
      <c r="G1952" s="735"/>
      <c r="H1952" s="739">
        <f>PRODUCT(C1952:G1952)</f>
        <v>2</v>
      </c>
      <c r="I1952" s="736"/>
    </row>
    <row r="1953" spans="1:9" s="737" customFormat="1">
      <c r="A1953" s="738"/>
      <c r="B1953" s="735" t="s">
        <v>6375</v>
      </c>
      <c r="C1953" s="734">
        <v>1</v>
      </c>
      <c r="D1953" s="734">
        <v>1</v>
      </c>
      <c r="E1953" s="735"/>
      <c r="F1953" s="735"/>
      <c r="G1953" s="735"/>
      <c r="H1953" s="739">
        <v>1</v>
      </c>
      <c r="I1953" s="736"/>
    </row>
    <row r="1954" spans="1:9" s="737" customFormat="1">
      <c r="A1954" s="738"/>
      <c r="B1954" s="735" t="s">
        <v>6268</v>
      </c>
      <c r="C1954" s="734">
        <v>2</v>
      </c>
      <c r="D1954" s="734">
        <v>2</v>
      </c>
      <c r="E1954" s="735"/>
      <c r="F1954" s="735"/>
      <c r="G1954" s="735"/>
      <c r="H1954" s="739">
        <f>PRODUCT(C1954:G1954)</f>
        <v>4</v>
      </c>
      <c r="I1954" s="736"/>
    </row>
    <row r="1955" spans="1:9" s="737" customFormat="1">
      <c r="A1955" s="738"/>
      <c r="B1955" s="735" t="s">
        <v>6365</v>
      </c>
      <c r="C1955" s="734">
        <v>1</v>
      </c>
      <c r="D1955" s="734">
        <v>2</v>
      </c>
      <c r="E1955" s="735"/>
      <c r="F1955" s="735"/>
      <c r="G1955" s="735"/>
      <c r="H1955" s="739">
        <f>PRODUCT(C1955:G1955)</f>
        <v>2</v>
      </c>
      <c r="I1955" s="736"/>
    </row>
    <row r="1956" spans="1:9" s="737" customFormat="1">
      <c r="A1956" s="738"/>
      <c r="B1956" s="735" t="s">
        <v>6059</v>
      </c>
      <c r="C1956" s="734">
        <v>1</v>
      </c>
      <c r="D1956" s="734">
        <v>2</v>
      </c>
      <c r="E1956" s="735"/>
      <c r="F1956" s="735"/>
      <c r="G1956" s="735"/>
      <c r="H1956" s="739">
        <f>PRODUCT(C1956:G1956)</f>
        <v>2</v>
      </c>
      <c r="I1956" s="736"/>
    </row>
    <row r="1957" spans="1:9" s="737" customFormat="1">
      <c r="A1957" s="738"/>
      <c r="B1957" s="735" t="s">
        <v>6375</v>
      </c>
      <c r="C1957" s="734">
        <v>1</v>
      </c>
      <c r="D1957" s="734">
        <v>1</v>
      </c>
      <c r="E1957" s="735"/>
      <c r="F1957" s="735"/>
      <c r="G1957" s="735"/>
      <c r="H1957" s="739">
        <v>1</v>
      </c>
      <c r="I1957" s="736"/>
    </row>
    <row r="1958" spans="1:9" s="737" customFormat="1">
      <c r="A1958" s="738"/>
      <c r="B1958" s="735" t="s">
        <v>6367</v>
      </c>
      <c r="C1958" s="734">
        <v>1</v>
      </c>
      <c r="D1958" s="734">
        <v>2</v>
      </c>
      <c r="E1958" s="735"/>
      <c r="F1958" s="735"/>
      <c r="G1958" s="735"/>
      <c r="H1958" s="739">
        <v>1</v>
      </c>
      <c r="I1958" s="736"/>
    </row>
    <row r="1959" spans="1:9" s="737" customFormat="1">
      <c r="A1959" s="738"/>
      <c r="B1959" s="735"/>
      <c r="C1959" s="734"/>
      <c r="D1959" s="734"/>
      <c r="E1959" s="735"/>
      <c r="F1959" s="735"/>
      <c r="G1959" s="757" t="s">
        <v>2235</v>
      </c>
      <c r="H1959" s="742">
        <f>SUM(H1952:H1958)</f>
        <v>13</v>
      </c>
      <c r="I1959" s="736" t="s">
        <v>1427</v>
      </c>
    </row>
    <row r="1960" spans="1:9" s="737" customFormat="1" ht="91.5" customHeight="1">
      <c r="A1960" s="732" t="s">
        <v>6376</v>
      </c>
      <c r="B1960" s="1289" t="s">
        <v>6377</v>
      </c>
      <c r="C1960" s="1289"/>
      <c r="D1960" s="1289"/>
      <c r="E1960" s="1289"/>
      <c r="F1960" s="735"/>
      <c r="G1960" s="735"/>
      <c r="H1960" s="735"/>
      <c r="I1960" s="736"/>
    </row>
    <row r="1961" spans="1:9" s="737" customFormat="1">
      <c r="A1961" s="738"/>
      <c r="B1961" s="735" t="s">
        <v>6180</v>
      </c>
      <c r="C1961" s="734">
        <v>1</v>
      </c>
      <c r="D1961" s="734">
        <v>2</v>
      </c>
      <c r="E1961" s="735"/>
      <c r="F1961" s="735"/>
      <c r="G1961" s="735"/>
      <c r="H1961" s="739">
        <f>PRODUCT(C1961:G1961)</f>
        <v>2</v>
      </c>
      <c r="I1961" s="736"/>
    </row>
    <row r="1962" spans="1:9" s="737" customFormat="1">
      <c r="A1962" s="738"/>
      <c r="B1962" s="735" t="s">
        <v>6181</v>
      </c>
      <c r="C1962" s="734">
        <v>1</v>
      </c>
      <c r="D1962" s="734">
        <v>3</v>
      </c>
      <c r="E1962" s="735"/>
      <c r="F1962" s="735"/>
      <c r="G1962" s="735"/>
      <c r="H1962" s="739">
        <f>PRODUCT(C1962:G1962)</f>
        <v>3</v>
      </c>
      <c r="I1962" s="736"/>
    </row>
    <row r="1963" spans="1:9" s="737" customFormat="1">
      <c r="A1963" s="738"/>
      <c r="B1963" s="735"/>
      <c r="C1963" s="734"/>
      <c r="D1963" s="734"/>
      <c r="E1963" s="735"/>
      <c r="F1963" s="735"/>
      <c r="G1963" s="757" t="s">
        <v>2235</v>
      </c>
      <c r="H1963" s="742">
        <f>H1961+H1962</f>
        <v>5</v>
      </c>
      <c r="I1963" s="736" t="s">
        <v>1427</v>
      </c>
    </row>
    <row r="1964" spans="1:9" s="737" customFormat="1" ht="65.25" customHeight="1">
      <c r="A1964" s="732" t="s">
        <v>6378</v>
      </c>
      <c r="B1964" s="733" t="s">
        <v>6379</v>
      </c>
      <c r="C1964" s="734"/>
      <c r="D1964" s="734"/>
      <c r="E1964" s="735"/>
      <c r="F1964" s="735"/>
      <c r="G1964" s="735"/>
      <c r="H1964" s="735"/>
      <c r="I1964" s="736"/>
    </row>
    <row r="1965" spans="1:9" s="737" customFormat="1">
      <c r="A1965" s="738"/>
      <c r="B1965" s="735" t="s">
        <v>6339</v>
      </c>
      <c r="C1965" s="734">
        <v>1</v>
      </c>
      <c r="D1965" s="734">
        <v>1</v>
      </c>
      <c r="E1965" s="735"/>
      <c r="F1965" s="735"/>
      <c r="G1965" s="735"/>
      <c r="H1965" s="739">
        <f>PRODUCT(C1965:G1965)</f>
        <v>1</v>
      </c>
      <c r="I1965" s="736" t="s">
        <v>1389</v>
      </c>
    </row>
    <row r="1966" spans="1:9" s="737" customFormat="1" ht="75">
      <c r="A1966" s="732" t="s">
        <v>6380</v>
      </c>
      <c r="B1966" s="733" t="s">
        <v>6381</v>
      </c>
      <c r="C1966" s="734"/>
      <c r="D1966" s="734"/>
      <c r="E1966" s="735"/>
      <c r="F1966" s="735"/>
      <c r="G1966" s="735"/>
      <c r="H1966" s="735"/>
      <c r="I1966" s="736"/>
    </row>
    <row r="1967" spans="1:9" s="737" customFormat="1" ht="23.25" customHeight="1">
      <c r="A1967" s="738"/>
      <c r="B1967" s="735" t="s">
        <v>6339</v>
      </c>
      <c r="C1967" s="734">
        <v>1</v>
      </c>
      <c r="D1967" s="734">
        <v>1</v>
      </c>
      <c r="E1967" s="735"/>
      <c r="F1967" s="735"/>
      <c r="G1967" s="735"/>
      <c r="H1967" s="742">
        <f>D1967</f>
        <v>1</v>
      </c>
      <c r="I1967" s="736" t="s">
        <v>1389</v>
      </c>
    </row>
    <row r="1968" spans="1:9" s="737" customFormat="1" ht="57.75" customHeight="1">
      <c r="A1968" s="732">
        <v>58.3</v>
      </c>
      <c r="B1968" s="733" t="s">
        <v>6382</v>
      </c>
      <c r="C1968" s="734"/>
      <c r="D1968" s="734"/>
      <c r="E1968" s="735"/>
      <c r="F1968" s="735"/>
      <c r="G1968" s="735"/>
      <c r="H1968" s="735"/>
      <c r="I1968" s="736"/>
    </row>
    <row r="1969" spans="1:12" s="737" customFormat="1">
      <c r="A1969" s="732" t="s">
        <v>2598</v>
      </c>
      <c r="B1969" s="735" t="s">
        <v>6383</v>
      </c>
      <c r="C1969" s="734"/>
      <c r="D1969" s="734"/>
      <c r="E1969" s="735"/>
      <c r="F1969" s="735"/>
      <c r="G1969" s="735"/>
      <c r="H1969" s="735"/>
      <c r="I1969" s="736"/>
    </row>
    <row r="1970" spans="1:12" s="737" customFormat="1">
      <c r="A1970" s="738"/>
      <c r="B1970" s="735" t="s">
        <v>6384</v>
      </c>
      <c r="C1970" s="734"/>
      <c r="D1970" s="734"/>
      <c r="E1970" s="735"/>
      <c r="F1970" s="735"/>
      <c r="G1970" s="735"/>
      <c r="H1970" s="735"/>
      <c r="I1970" s="736"/>
    </row>
    <row r="1971" spans="1:12" s="737" customFormat="1">
      <c r="A1971" s="738"/>
      <c r="B1971" s="735" t="s">
        <v>6385</v>
      </c>
      <c r="C1971" s="734">
        <v>1</v>
      </c>
      <c r="D1971" s="734">
        <v>3</v>
      </c>
      <c r="E1971" s="739">
        <v>8</v>
      </c>
      <c r="F1971" s="735"/>
      <c r="G1971" s="735"/>
      <c r="H1971" s="739">
        <f>PRODUCT(C1971:G1971)</f>
        <v>24</v>
      </c>
      <c r="I1971" s="736"/>
    </row>
    <row r="1972" spans="1:12" s="737" customFormat="1">
      <c r="A1972" s="738"/>
      <c r="B1972" s="735" t="s">
        <v>6386</v>
      </c>
      <c r="C1972" s="734">
        <v>1</v>
      </c>
      <c r="D1972" s="734">
        <v>3</v>
      </c>
      <c r="E1972" s="735">
        <v>1.05</v>
      </c>
      <c r="F1972" s="735"/>
      <c r="G1972" s="735"/>
      <c r="H1972" s="739">
        <f>PRODUCT(C1972:G1972)</f>
        <v>3.15</v>
      </c>
      <c r="I1972" s="736"/>
    </row>
    <row r="1973" spans="1:12" s="737" customFormat="1">
      <c r="A1973" s="738"/>
      <c r="B1973" s="735" t="s">
        <v>6186</v>
      </c>
      <c r="C1973" s="734">
        <v>1</v>
      </c>
      <c r="D1973" s="734">
        <v>4</v>
      </c>
      <c r="E1973" s="739">
        <v>3.5</v>
      </c>
      <c r="F1973" s="735"/>
      <c r="G1973" s="735"/>
      <c r="H1973" s="739">
        <f>PRODUCT(C1973:G1973)</f>
        <v>14</v>
      </c>
      <c r="I1973" s="736"/>
    </row>
    <row r="1974" spans="1:12" s="737" customFormat="1">
      <c r="A1974" s="738"/>
      <c r="B1974" s="735"/>
      <c r="C1974" s="734"/>
      <c r="D1974" s="734"/>
      <c r="E1974" s="735"/>
      <c r="F1974" s="735"/>
      <c r="G1974" s="735"/>
      <c r="H1974" s="739">
        <f>SUM(H1971:H1973)</f>
        <v>41.15</v>
      </c>
      <c r="I1974" s="736"/>
    </row>
    <row r="1975" spans="1:12" s="737" customFormat="1">
      <c r="A1975" s="738"/>
      <c r="B1975" s="735"/>
      <c r="C1975" s="734"/>
      <c r="D1975" s="734"/>
      <c r="E1975" s="735"/>
      <c r="F1975" s="735"/>
      <c r="G1975" s="735"/>
      <c r="H1975" s="742">
        <f>ROUNDUP(H1974,1)</f>
        <v>41.2</v>
      </c>
      <c r="I1975" s="736" t="s">
        <v>823</v>
      </c>
    </row>
    <row r="1976" spans="1:12" s="737" customFormat="1">
      <c r="A1976" s="738" t="s">
        <v>3182</v>
      </c>
      <c r="B1976" s="739" t="s">
        <v>6387</v>
      </c>
      <c r="C1976" s="734"/>
      <c r="D1976" s="734"/>
      <c r="E1976" s="735"/>
      <c r="F1976" s="735"/>
      <c r="G1976" s="735"/>
      <c r="H1976" s="735"/>
      <c r="I1976" s="736"/>
    </row>
    <row r="1977" spans="1:12" s="737" customFormat="1">
      <c r="A1977" s="738"/>
      <c r="B1977" s="735" t="s">
        <v>6388</v>
      </c>
      <c r="C1977" s="734"/>
      <c r="D1977" s="734"/>
      <c r="E1977" s="735"/>
      <c r="F1977" s="735"/>
      <c r="G1977" s="735"/>
      <c r="H1977" s="735"/>
      <c r="I1977" s="736"/>
    </row>
    <row r="1978" spans="1:12" s="737" customFormat="1">
      <c r="A1978" s="738"/>
      <c r="B1978" s="735" t="s">
        <v>6359</v>
      </c>
      <c r="C1978" s="734">
        <v>1</v>
      </c>
      <c r="D1978" s="734">
        <v>5</v>
      </c>
      <c r="E1978" s="739">
        <f>E1971</f>
        <v>8</v>
      </c>
      <c r="F1978" s="735"/>
      <c r="G1978" s="735"/>
      <c r="H1978" s="739">
        <f t="shared" ref="H1978:H1980" si="186">PRODUCT(C1978:G1978)</f>
        <v>40</v>
      </c>
      <c r="I1978" s="736"/>
    </row>
    <row r="1979" spans="1:12" s="737" customFormat="1">
      <c r="A1979" s="738"/>
      <c r="B1979" s="735" t="s">
        <v>6389</v>
      </c>
      <c r="C1979" s="734">
        <v>1</v>
      </c>
      <c r="D1979" s="734">
        <v>5</v>
      </c>
      <c r="E1979" s="739">
        <v>0.9</v>
      </c>
      <c r="F1979" s="735"/>
      <c r="G1979" s="735"/>
      <c r="H1979" s="739">
        <f t="shared" si="186"/>
        <v>4.5</v>
      </c>
      <c r="I1979" s="736"/>
    </row>
    <row r="1980" spans="1:12" s="737" customFormat="1">
      <c r="A1980" s="738"/>
      <c r="B1980" s="735" t="s">
        <v>6390</v>
      </c>
      <c r="C1980" s="734">
        <v>1</v>
      </c>
      <c r="D1980" s="734">
        <v>4</v>
      </c>
      <c r="E1980" s="739">
        <v>3.5</v>
      </c>
      <c r="F1980" s="735"/>
      <c r="G1980" s="735"/>
      <c r="H1980" s="739">
        <f t="shared" si="186"/>
        <v>14</v>
      </c>
      <c r="I1980" s="736"/>
    </row>
    <row r="1981" spans="1:12" s="737" customFormat="1">
      <c r="A1981" s="738"/>
      <c r="B1981" s="735"/>
      <c r="C1981" s="734"/>
      <c r="D1981" s="734"/>
      <c r="E1981" s="735"/>
      <c r="F1981" s="735"/>
      <c r="G1981" s="735"/>
      <c r="H1981" s="739">
        <f>SUM(H1978:H1980)</f>
        <v>58.5</v>
      </c>
      <c r="I1981" s="736"/>
    </row>
    <row r="1982" spans="1:12" s="737" customFormat="1">
      <c r="A1982" s="738"/>
      <c r="B1982" s="735"/>
      <c r="C1982" s="734"/>
      <c r="D1982" s="734"/>
      <c r="E1982" s="735"/>
      <c r="F1982" s="735"/>
      <c r="G1982" s="735"/>
      <c r="H1982" s="742">
        <f>ROUNDUP(H1981,1)</f>
        <v>58.5</v>
      </c>
      <c r="I1982" s="736" t="s">
        <v>823</v>
      </c>
    </row>
    <row r="1983" spans="1:12" s="737" customFormat="1" ht="69" customHeight="1">
      <c r="A1983" s="732">
        <v>58.4</v>
      </c>
      <c r="B1983" s="733" t="s">
        <v>6391</v>
      </c>
      <c r="C1983" s="734"/>
      <c r="D1983" s="734"/>
      <c r="E1983" s="735"/>
      <c r="F1983" s="735"/>
      <c r="G1983" s="735"/>
      <c r="H1983" s="735"/>
      <c r="I1983" s="736"/>
      <c r="L1983" s="737" t="s">
        <v>6965</v>
      </c>
    </row>
    <row r="1984" spans="1:12" s="737" customFormat="1" ht="26.25" customHeight="1">
      <c r="A1984" s="738"/>
      <c r="B1984" s="735" t="s">
        <v>6392</v>
      </c>
      <c r="C1984" s="734">
        <v>1</v>
      </c>
      <c r="D1984" s="734">
        <v>6</v>
      </c>
      <c r="E1984" s="739">
        <v>2</v>
      </c>
      <c r="F1984" s="735"/>
      <c r="G1984" s="735"/>
      <c r="H1984" s="739">
        <f>PRODUCT(C1984:G1984)</f>
        <v>12</v>
      </c>
      <c r="I1984" s="792" t="s">
        <v>823</v>
      </c>
    </row>
    <row r="1985" spans="1:9" s="737" customFormat="1" ht="58.5" customHeight="1">
      <c r="A1985" s="732" t="s">
        <v>6393</v>
      </c>
      <c r="B1985" s="1289" t="s">
        <v>6394</v>
      </c>
      <c r="C1985" s="1289"/>
      <c r="D1985" s="1289"/>
      <c r="E1985" s="1289"/>
      <c r="F1985" s="735"/>
      <c r="G1985" s="735"/>
      <c r="H1985" s="735"/>
      <c r="I1985" s="736"/>
    </row>
    <row r="1986" spans="1:9" s="737" customFormat="1">
      <c r="A1986" s="732" t="s">
        <v>2598</v>
      </c>
      <c r="B1986" s="735" t="s">
        <v>2133</v>
      </c>
      <c r="C1986" s="734"/>
      <c r="D1986" s="734"/>
      <c r="E1986" s="735"/>
      <c r="F1986" s="735"/>
      <c r="G1986" s="735"/>
      <c r="H1986" s="735"/>
      <c r="I1986" s="736"/>
    </row>
    <row r="1987" spans="1:9" s="737" customFormat="1">
      <c r="A1987" s="732"/>
      <c r="B1987" s="757" t="s">
        <v>6002</v>
      </c>
      <c r="C1987" s="734"/>
      <c r="D1987" s="734"/>
      <c r="E1987" s="735"/>
      <c r="F1987" s="735"/>
      <c r="G1987" s="735"/>
      <c r="H1987" s="735"/>
      <c r="I1987" s="736"/>
    </row>
    <row r="1988" spans="1:9" s="737" customFormat="1">
      <c r="A1988" s="732"/>
      <c r="B1988" s="757" t="s">
        <v>6395</v>
      </c>
      <c r="C1988" s="734"/>
      <c r="D1988" s="734"/>
      <c r="E1988" s="735"/>
      <c r="F1988" s="735"/>
      <c r="G1988" s="735"/>
      <c r="H1988" s="735"/>
      <c r="I1988" s="736"/>
    </row>
    <row r="1989" spans="1:9" s="737" customFormat="1">
      <c r="A1989" s="738"/>
      <c r="B1989" s="735" t="s">
        <v>5837</v>
      </c>
      <c r="C1989" s="734">
        <v>1</v>
      </c>
      <c r="D1989" s="734">
        <v>2</v>
      </c>
      <c r="E1989" s="735"/>
      <c r="F1989" s="735"/>
      <c r="G1989" s="735"/>
      <c r="H1989" s="739">
        <f t="shared" ref="H1989:H2005" si="187">PRODUCT(C1989:G1989)</f>
        <v>2</v>
      </c>
      <c r="I1989" s="736"/>
    </row>
    <row r="1990" spans="1:9" s="737" customFormat="1">
      <c r="A1990" s="738"/>
      <c r="B1990" s="735" t="s">
        <v>6396</v>
      </c>
      <c r="C1990" s="734">
        <v>1</v>
      </c>
      <c r="D1990" s="734">
        <v>1</v>
      </c>
      <c r="E1990" s="735"/>
      <c r="F1990" s="735"/>
      <c r="G1990" s="735"/>
      <c r="H1990" s="739">
        <f t="shared" si="187"/>
        <v>1</v>
      </c>
      <c r="I1990" s="736"/>
    </row>
    <row r="1991" spans="1:9" s="737" customFormat="1">
      <c r="A1991" s="738"/>
      <c r="B1991" s="735" t="s">
        <v>5955</v>
      </c>
      <c r="C1991" s="734">
        <v>1</v>
      </c>
      <c r="D1991" s="734">
        <v>2</v>
      </c>
      <c r="E1991" s="735"/>
      <c r="F1991" s="735"/>
      <c r="G1991" s="735"/>
      <c r="H1991" s="739">
        <f t="shared" si="187"/>
        <v>2</v>
      </c>
      <c r="I1991" s="736"/>
    </row>
    <row r="1992" spans="1:9" s="737" customFormat="1">
      <c r="A1992" s="738"/>
      <c r="B1992" s="735" t="s">
        <v>5838</v>
      </c>
      <c r="C1992" s="734">
        <v>1</v>
      </c>
      <c r="D1992" s="734">
        <v>8</v>
      </c>
      <c r="E1992" s="735"/>
      <c r="F1992" s="735"/>
      <c r="G1992" s="735"/>
      <c r="H1992" s="739">
        <f t="shared" si="187"/>
        <v>8</v>
      </c>
      <c r="I1992" s="736"/>
    </row>
    <row r="1993" spans="1:9" s="737" customFormat="1">
      <c r="A1993" s="738"/>
      <c r="B1993" s="735" t="s">
        <v>5958</v>
      </c>
      <c r="C1993" s="734">
        <v>1</v>
      </c>
      <c r="D1993" s="734">
        <v>2</v>
      </c>
      <c r="E1993" s="735"/>
      <c r="F1993" s="735"/>
      <c r="G1993" s="735"/>
      <c r="H1993" s="739">
        <f t="shared" si="187"/>
        <v>2</v>
      </c>
      <c r="I1993" s="736"/>
    </row>
    <row r="1994" spans="1:9" s="737" customFormat="1">
      <c r="A1994" s="738"/>
      <c r="B1994" s="735" t="s">
        <v>6304</v>
      </c>
      <c r="C1994" s="734">
        <v>1</v>
      </c>
      <c r="D1994" s="734">
        <v>2</v>
      </c>
      <c r="E1994" s="735"/>
      <c r="F1994" s="735"/>
      <c r="G1994" s="735"/>
      <c r="H1994" s="739">
        <f t="shared" si="187"/>
        <v>2</v>
      </c>
      <c r="I1994" s="736"/>
    </row>
    <row r="1995" spans="1:9" s="737" customFormat="1">
      <c r="A1995" s="738"/>
      <c r="B1995" s="735" t="s">
        <v>5953</v>
      </c>
      <c r="C1995" s="734">
        <v>1</v>
      </c>
      <c r="D1995" s="734">
        <v>1</v>
      </c>
      <c r="E1995" s="735"/>
      <c r="F1995" s="735"/>
      <c r="G1995" s="735"/>
      <c r="H1995" s="739">
        <f t="shared" si="187"/>
        <v>1</v>
      </c>
      <c r="I1995" s="736"/>
    </row>
    <row r="1996" spans="1:9" s="737" customFormat="1">
      <c r="A1996" s="738"/>
      <c r="B1996" s="735" t="s">
        <v>6901</v>
      </c>
      <c r="C1996" s="734">
        <v>1</v>
      </c>
      <c r="D1996" s="734">
        <v>1</v>
      </c>
      <c r="E1996" s="735"/>
      <c r="F1996" s="735"/>
      <c r="G1996" s="735"/>
      <c r="H1996" s="739">
        <f t="shared" si="187"/>
        <v>1</v>
      </c>
      <c r="I1996" s="736"/>
    </row>
    <row r="1997" spans="1:9" s="737" customFormat="1">
      <c r="A1997" s="738"/>
      <c r="B1997" s="757" t="s">
        <v>6098</v>
      </c>
      <c r="C1997" s="734"/>
      <c r="D1997" s="734"/>
      <c r="E1997" s="735"/>
      <c r="F1997" s="735"/>
      <c r="G1997" s="735"/>
      <c r="H1997" s="739"/>
      <c r="I1997" s="736"/>
    </row>
    <row r="1998" spans="1:9" s="737" customFormat="1">
      <c r="A1998" s="738"/>
      <c r="B1998" s="735" t="s">
        <v>5899</v>
      </c>
      <c r="C1998" s="734">
        <v>1</v>
      </c>
      <c r="D1998" s="734">
        <v>3</v>
      </c>
      <c r="E1998" s="735"/>
      <c r="F1998" s="735"/>
      <c r="G1998" s="735"/>
      <c r="H1998" s="739">
        <f t="shared" si="187"/>
        <v>3</v>
      </c>
      <c r="I1998" s="736"/>
    </row>
    <row r="1999" spans="1:9" s="737" customFormat="1">
      <c r="A1999" s="738"/>
      <c r="B1999" s="735" t="s">
        <v>6309</v>
      </c>
      <c r="C1999" s="734">
        <v>1</v>
      </c>
      <c r="D1999" s="734">
        <v>2</v>
      </c>
      <c r="E1999" s="735"/>
      <c r="F1999" s="735"/>
      <c r="G1999" s="735"/>
      <c r="H1999" s="739">
        <f t="shared" si="187"/>
        <v>2</v>
      </c>
      <c r="I1999" s="736"/>
    </row>
    <row r="2000" spans="1:9" s="737" customFormat="1">
      <c r="A2000" s="738"/>
      <c r="B2000" s="735" t="s">
        <v>6052</v>
      </c>
      <c r="C2000" s="734">
        <v>1</v>
      </c>
      <c r="D2000" s="734">
        <v>2</v>
      </c>
      <c r="E2000" s="735"/>
      <c r="F2000" s="735"/>
      <c r="G2000" s="735"/>
      <c r="H2000" s="739">
        <f t="shared" si="187"/>
        <v>2</v>
      </c>
      <c r="I2000" s="736"/>
    </row>
    <row r="2001" spans="1:9" s="737" customFormat="1">
      <c r="A2001" s="738"/>
      <c r="B2001" s="735" t="s">
        <v>6397</v>
      </c>
      <c r="C2001" s="734">
        <v>2</v>
      </c>
      <c r="D2001" s="734">
        <v>2</v>
      </c>
      <c r="E2001" s="735"/>
      <c r="F2001" s="735"/>
      <c r="G2001" s="735"/>
      <c r="H2001" s="739">
        <f t="shared" si="187"/>
        <v>4</v>
      </c>
      <c r="I2001" s="736"/>
    </row>
    <row r="2002" spans="1:9" s="737" customFormat="1">
      <c r="A2002" s="738"/>
      <c r="B2002" s="735" t="s">
        <v>6398</v>
      </c>
      <c r="C2002" s="734">
        <v>1</v>
      </c>
      <c r="D2002" s="734">
        <v>1</v>
      </c>
      <c r="E2002" s="735"/>
      <c r="F2002" s="735"/>
      <c r="G2002" s="735"/>
      <c r="H2002" s="739">
        <f t="shared" si="187"/>
        <v>1</v>
      </c>
      <c r="I2002" s="736"/>
    </row>
    <row r="2003" spans="1:9" s="737" customFormat="1">
      <c r="A2003" s="738"/>
      <c r="B2003" s="735" t="s">
        <v>5901</v>
      </c>
      <c r="C2003" s="734">
        <v>1</v>
      </c>
      <c r="D2003" s="734">
        <v>2</v>
      </c>
      <c r="E2003" s="735"/>
      <c r="F2003" s="735"/>
      <c r="G2003" s="735"/>
      <c r="H2003" s="739">
        <f t="shared" si="187"/>
        <v>2</v>
      </c>
      <c r="I2003" s="736"/>
    </row>
    <row r="2004" spans="1:9" s="737" customFormat="1">
      <c r="A2004" s="738"/>
      <c r="B2004" s="735" t="s">
        <v>6399</v>
      </c>
      <c r="C2004" s="734">
        <v>1</v>
      </c>
      <c r="D2004" s="734">
        <v>1</v>
      </c>
      <c r="E2004" s="735"/>
      <c r="F2004" s="735"/>
      <c r="G2004" s="735"/>
      <c r="H2004" s="739">
        <f t="shared" si="187"/>
        <v>1</v>
      </c>
      <c r="I2004" s="736"/>
    </row>
    <row r="2005" spans="1:9" s="737" customFormat="1">
      <c r="A2005" s="738"/>
      <c r="B2005" s="735" t="s">
        <v>6068</v>
      </c>
      <c r="C2005" s="734">
        <v>1</v>
      </c>
      <c r="D2005" s="734">
        <v>2</v>
      </c>
      <c r="E2005" s="735"/>
      <c r="F2005" s="735"/>
      <c r="G2005" s="735"/>
      <c r="H2005" s="739">
        <f t="shared" si="187"/>
        <v>2</v>
      </c>
      <c r="I2005" s="736"/>
    </row>
    <row r="2006" spans="1:9" s="737" customFormat="1">
      <c r="A2006" s="738"/>
      <c r="B2006" s="757" t="s">
        <v>6400</v>
      </c>
      <c r="C2006" s="734"/>
      <c r="D2006" s="734"/>
      <c r="E2006" s="735"/>
      <c r="F2006" s="735"/>
      <c r="G2006" s="735"/>
      <c r="H2006" s="739"/>
      <c r="I2006" s="736"/>
    </row>
    <row r="2007" spans="1:9" s="737" customFormat="1">
      <c r="A2007" s="738"/>
      <c r="B2007" s="735" t="s">
        <v>6401</v>
      </c>
      <c r="C2007" s="734">
        <v>1</v>
      </c>
      <c r="D2007" s="734">
        <v>1</v>
      </c>
      <c r="E2007" s="735"/>
      <c r="F2007" s="735"/>
      <c r="G2007" s="735"/>
      <c r="H2007" s="739">
        <f t="shared" ref="H2007:H2016" si="188">PRODUCT(C2007:G2007)</f>
        <v>1</v>
      </c>
      <c r="I2007" s="736"/>
    </row>
    <row r="2008" spans="1:9" s="737" customFormat="1">
      <c r="A2008" s="738"/>
      <c r="B2008" s="735" t="s">
        <v>6268</v>
      </c>
      <c r="C2008" s="734">
        <v>1</v>
      </c>
      <c r="D2008" s="734">
        <v>1</v>
      </c>
      <c r="E2008" s="735"/>
      <c r="F2008" s="735"/>
      <c r="G2008" s="735"/>
      <c r="H2008" s="739">
        <f t="shared" si="188"/>
        <v>1</v>
      </c>
      <c r="I2008" s="736"/>
    </row>
    <row r="2009" spans="1:9" s="737" customFormat="1">
      <c r="A2009" s="738"/>
      <c r="B2009" s="735" t="s">
        <v>6402</v>
      </c>
      <c r="C2009" s="734">
        <v>1</v>
      </c>
      <c r="D2009" s="734">
        <v>1</v>
      </c>
      <c r="E2009" s="735"/>
      <c r="F2009" s="735"/>
      <c r="G2009" s="735"/>
      <c r="H2009" s="739">
        <f t="shared" si="188"/>
        <v>1</v>
      </c>
      <c r="I2009" s="736"/>
    </row>
    <row r="2010" spans="1:9" s="737" customFormat="1">
      <c r="A2010" s="738"/>
      <c r="B2010" s="735" t="s">
        <v>6403</v>
      </c>
      <c r="C2010" s="734">
        <v>1</v>
      </c>
      <c r="D2010" s="734">
        <v>2</v>
      </c>
      <c r="E2010" s="735"/>
      <c r="F2010" s="735"/>
      <c r="G2010" s="735"/>
      <c r="H2010" s="739">
        <f t="shared" si="188"/>
        <v>2</v>
      </c>
      <c r="I2010" s="736"/>
    </row>
    <row r="2011" spans="1:9" s="737" customFormat="1">
      <c r="A2011" s="738"/>
      <c r="B2011" s="735" t="s">
        <v>6404</v>
      </c>
      <c r="C2011" s="734">
        <v>1</v>
      </c>
      <c r="D2011" s="734">
        <v>1</v>
      </c>
      <c r="E2011" s="735"/>
      <c r="F2011" s="735"/>
      <c r="G2011" s="735"/>
      <c r="H2011" s="739">
        <f t="shared" si="188"/>
        <v>1</v>
      </c>
      <c r="I2011" s="736"/>
    </row>
    <row r="2012" spans="1:9" s="737" customFormat="1">
      <c r="A2012" s="738"/>
      <c r="B2012" s="735" t="s">
        <v>5734</v>
      </c>
      <c r="C2012" s="734">
        <v>2</v>
      </c>
      <c r="D2012" s="734">
        <v>3</v>
      </c>
      <c r="E2012" s="735"/>
      <c r="F2012" s="735"/>
      <c r="G2012" s="735"/>
      <c r="H2012" s="739">
        <f t="shared" si="188"/>
        <v>6</v>
      </c>
      <c r="I2012" s="736"/>
    </row>
    <row r="2013" spans="1:9" s="737" customFormat="1">
      <c r="A2013" s="738"/>
      <c r="B2013" s="735" t="s">
        <v>6405</v>
      </c>
      <c r="C2013" s="734">
        <v>1</v>
      </c>
      <c r="D2013" s="734">
        <v>2</v>
      </c>
      <c r="E2013" s="735"/>
      <c r="F2013" s="735"/>
      <c r="G2013" s="735"/>
      <c r="H2013" s="739">
        <f t="shared" si="188"/>
        <v>2</v>
      </c>
      <c r="I2013" s="736"/>
    </row>
    <row r="2014" spans="1:9" s="737" customFormat="1">
      <c r="A2014" s="738"/>
      <c r="B2014" s="735" t="s">
        <v>6406</v>
      </c>
      <c r="C2014" s="734">
        <v>1</v>
      </c>
      <c r="D2014" s="734">
        <v>8</v>
      </c>
      <c r="E2014" s="735"/>
      <c r="F2014" s="735"/>
      <c r="G2014" s="735"/>
      <c r="H2014" s="739">
        <f t="shared" si="188"/>
        <v>8</v>
      </c>
      <c r="I2014" s="736"/>
    </row>
    <row r="2015" spans="1:9" s="737" customFormat="1">
      <c r="A2015" s="738"/>
      <c r="B2015" s="735" t="s">
        <v>6407</v>
      </c>
      <c r="C2015" s="734">
        <v>1</v>
      </c>
      <c r="D2015" s="734">
        <v>4</v>
      </c>
      <c r="E2015" s="735"/>
      <c r="F2015" s="735"/>
      <c r="G2015" s="735"/>
      <c r="H2015" s="739">
        <f t="shared" si="188"/>
        <v>4</v>
      </c>
      <c r="I2015" s="736"/>
    </row>
    <row r="2016" spans="1:9" s="737" customFormat="1">
      <c r="A2016" s="738"/>
      <c r="B2016" s="735" t="s">
        <v>6408</v>
      </c>
      <c r="C2016" s="734">
        <v>1</v>
      </c>
      <c r="D2016" s="734">
        <v>1</v>
      </c>
      <c r="E2016" s="735"/>
      <c r="F2016" s="735"/>
      <c r="G2016" s="735"/>
      <c r="H2016" s="739">
        <f t="shared" si="188"/>
        <v>1</v>
      </c>
      <c r="I2016" s="736"/>
    </row>
    <row r="2017" spans="1:9" s="737" customFormat="1">
      <c r="A2017" s="738"/>
      <c r="B2017" s="735"/>
      <c r="C2017" s="734"/>
      <c r="D2017" s="734"/>
      <c r="E2017" s="735"/>
      <c r="F2017" s="735"/>
      <c r="G2017" s="757" t="s">
        <v>2235</v>
      </c>
      <c r="H2017" s="742">
        <f>SUM(H1989:H2016)</f>
        <v>63</v>
      </c>
      <c r="I2017" s="736" t="s">
        <v>1427</v>
      </c>
    </row>
    <row r="2018" spans="1:9" s="737" customFormat="1">
      <c r="A2018" s="738"/>
      <c r="B2018" s="735"/>
      <c r="C2018" s="734"/>
      <c r="D2018" s="734"/>
      <c r="E2018" s="735"/>
      <c r="F2018" s="735"/>
      <c r="G2018" s="735"/>
      <c r="H2018" s="735"/>
      <c r="I2018" s="736"/>
    </row>
    <row r="2019" spans="1:9" s="737" customFormat="1">
      <c r="A2019" s="732" t="s">
        <v>3182</v>
      </c>
      <c r="B2019" s="733" t="s">
        <v>1265</v>
      </c>
      <c r="C2019" s="734"/>
      <c r="D2019" s="734"/>
      <c r="E2019" s="735"/>
      <c r="F2019" s="735"/>
      <c r="G2019" s="735"/>
      <c r="H2019" s="735"/>
      <c r="I2019" s="736"/>
    </row>
    <row r="2020" spans="1:9" s="737" customFormat="1">
      <c r="A2020" s="732"/>
      <c r="B2020" s="757" t="s">
        <v>6002</v>
      </c>
      <c r="C2020" s="734"/>
      <c r="D2020" s="734"/>
      <c r="E2020" s="735"/>
      <c r="F2020" s="735"/>
      <c r="G2020" s="735"/>
      <c r="H2020" s="735"/>
      <c r="I2020" s="736"/>
    </row>
    <row r="2021" spans="1:9" s="737" customFormat="1">
      <c r="A2021" s="738"/>
      <c r="B2021" s="735" t="s">
        <v>6409</v>
      </c>
      <c r="C2021" s="734">
        <v>1</v>
      </c>
      <c r="D2021" s="734">
        <v>2</v>
      </c>
      <c r="E2021" s="735"/>
      <c r="F2021" s="735"/>
      <c r="G2021" s="735"/>
      <c r="H2021" s="739">
        <f>PRODUCT(C2021:G2021)</f>
        <v>2</v>
      </c>
      <c r="I2021" s="736"/>
    </row>
    <row r="2022" spans="1:9" s="737" customFormat="1">
      <c r="A2022" s="738"/>
      <c r="B2022" s="735" t="s">
        <v>6410</v>
      </c>
      <c r="C2022" s="734">
        <v>1</v>
      </c>
      <c r="D2022" s="734">
        <v>2</v>
      </c>
      <c r="E2022" s="735"/>
      <c r="F2022" s="735"/>
      <c r="G2022" s="735"/>
      <c r="H2022" s="739">
        <f>PRODUCT(C2022:G2022)</f>
        <v>2</v>
      </c>
      <c r="I2022" s="736"/>
    </row>
    <row r="2023" spans="1:9" s="737" customFormat="1">
      <c r="A2023" s="738"/>
      <c r="B2023" s="735" t="s">
        <v>6411</v>
      </c>
      <c r="C2023" s="734">
        <v>1</v>
      </c>
      <c r="D2023" s="734">
        <v>2</v>
      </c>
      <c r="E2023" s="735"/>
      <c r="F2023" s="735"/>
      <c r="G2023" s="735"/>
      <c r="H2023" s="739">
        <f>PRODUCT(C2023:G2023)</f>
        <v>2</v>
      </c>
      <c r="I2023" s="736"/>
    </row>
    <row r="2024" spans="1:9" s="737" customFormat="1">
      <c r="A2024" s="738"/>
      <c r="B2024" s="735" t="s">
        <v>5838</v>
      </c>
      <c r="C2024" s="734">
        <v>1</v>
      </c>
      <c r="D2024" s="734">
        <v>4</v>
      </c>
      <c r="E2024" s="735"/>
      <c r="F2024" s="735"/>
      <c r="G2024" s="735"/>
      <c r="H2024" s="739">
        <f>PRODUCT(C2024:G2024)</f>
        <v>4</v>
      </c>
      <c r="I2024" s="736"/>
    </row>
    <row r="2025" spans="1:9" s="737" customFormat="1">
      <c r="A2025" s="738"/>
      <c r="B2025" s="735" t="s">
        <v>5953</v>
      </c>
      <c r="C2025" s="734">
        <v>1</v>
      </c>
      <c r="D2025" s="734">
        <v>1</v>
      </c>
      <c r="E2025" s="735"/>
      <c r="F2025" s="735"/>
      <c r="G2025" s="735"/>
      <c r="H2025" s="739">
        <f t="shared" ref="H2025:H2040" si="189">PRODUCT(C2025:G2025)</f>
        <v>1</v>
      </c>
      <c r="I2025" s="736"/>
    </row>
    <row r="2026" spans="1:9" s="737" customFormat="1">
      <c r="A2026" s="738"/>
      <c r="B2026" s="735" t="s">
        <v>5958</v>
      </c>
      <c r="C2026" s="734">
        <v>1</v>
      </c>
      <c r="D2026" s="734">
        <v>1</v>
      </c>
      <c r="E2026" s="735"/>
      <c r="F2026" s="735"/>
      <c r="G2026" s="735"/>
      <c r="H2026" s="739">
        <f t="shared" si="189"/>
        <v>1</v>
      </c>
      <c r="I2026" s="736"/>
    </row>
    <row r="2027" spans="1:9" s="737" customFormat="1">
      <c r="A2027" s="738"/>
      <c r="B2027" s="735" t="s">
        <v>6304</v>
      </c>
      <c r="C2027" s="734">
        <v>1</v>
      </c>
      <c r="D2027" s="734">
        <v>1</v>
      </c>
      <c r="E2027" s="735"/>
      <c r="F2027" s="735"/>
      <c r="G2027" s="735"/>
      <c r="H2027" s="739">
        <f t="shared" si="189"/>
        <v>1</v>
      </c>
      <c r="I2027" s="736"/>
    </row>
    <row r="2028" spans="1:9" s="737" customFormat="1">
      <c r="A2028" s="738"/>
      <c r="B2028" s="735" t="s">
        <v>6268</v>
      </c>
      <c r="C2028" s="734">
        <v>1</v>
      </c>
      <c r="D2028" s="734">
        <v>2</v>
      </c>
      <c r="E2028" s="735"/>
      <c r="F2028" s="735"/>
      <c r="G2028" s="735"/>
      <c r="H2028" s="739">
        <f t="shared" si="189"/>
        <v>2</v>
      </c>
      <c r="I2028" s="736"/>
    </row>
    <row r="2029" spans="1:9" s="737" customFormat="1">
      <c r="A2029" s="738"/>
      <c r="B2029" s="735" t="s">
        <v>6411</v>
      </c>
      <c r="C2029" s="734">
        <v>1</v>
      </c>
      <c r="D2029" s="734">
        <v>2</v>
      </c>
      <c r="E2029" s="735"/>
      <c r="F2029" s="735"/>
      <c r="G2029" s="735"/>
      <c r="H2029" s="739">
        <f t="shared" si="189"/>
        <v>2</v>
      </c>
      <c r="I2029" s="736"/>
    </row>
    <row r="2030" spans="1:9" s="737" customFormat="1">
      <c r="A2030" s="738"/>
      <c r="B2030" s="757" t="s">
        <v>6098</v>
      </c>
      <c r="C2030" s="734"/>
      <c r="D2030" s="734"/>
      <c r="E2030" s="735"/>
      <c r="F2030" s="735"/>
      <c r="G2030" s="735"/>
      <c r="H2030" s="739"/>
      <c r="I2030" s="736"/>
    </row>
    <row r="2031" spans="1:9" s="737" customFormat="1">
      <c r="A2031" s="738"/>
      <c r="B2031" s="735" t="s">
        <v>5899</v>
      </c>
      <c r="C2031" s="734">
        <v>1</v>
      </c>
      <c r="D2031" s="734">
        <v>2</v>
      </c>
      <c r="E2031" s="735"/>
      <c r="F2031" s="735"/>
      <c r="G2031" s="735"/>
      <c r="H2031" s="739">
        <f t="shared" si="189"/>
        <v>2</v>
      </c>
      <c r="I2031" s="736"/>
    </row>
    <row r="2032" spans="1:9" s="737" customFormat="1">
      <c r="A2032" s="738"/>
      <c r="B2032" s="735" t="s">
        <v>6309</v>
      </c>
      <c r="C2032" s="734">
        <v>1</v>
      </c>
      <c r="D2032" s="734">
        <v>1</v>
      </c>
      <c r="E2032" s="735"/>
      <c r="F2032" s="735"/>
      <c r="G2032" s="735"/>
      <c r="H2032" s="739">
        <f t="shared" si="189"/>
        <v>1</v>
      </c>
      <c r="I2032" s="736"/>
    </row>
    <row r="2033" spans="1:9" s="737" customFormat="1">
      <c r="A2033" s="738"/>
      <c r="B2033" s="735" t="s">
        <v>6068</v>
      </c>
      <c r="C2033" s="734">
        <v>1</v>
      </c>
      <c r="D2033" s="734">
        <v>1</v>
      </c>
      <c r="E2033" s="735"/>
      <c r="F2033" s="735"/>
      <c r="G2033" s="735"/>
      <c r="H2033" s="739">
        <f>PRODUCT(C2033:G2033)</f>
        <v>1</v>
      </c>
      <c r="I2033" s="736"/>
    </row>
    <row r="2034" spans="1:9" s="737" customFormat="1">
      <c r="A2034" s="738"/>
      <c r="B2034" s="735" t="s">
        <v>6052</v>
      </c>
      <c r="C2034" s="734">
        <v>1</v>
      </c>
      <c r="D2034" s="734">
        <v>2</v>
      </c>
      <c r="E2034" s="735"/>
      <c r="F2034" s="735"/>
      <c r="G2034" s="735"/>
      <c r="H2034" s="739">
        <f t="shared" si="189"/>
        <v>2</v>
      </c>
      <c r="I2034" s="736"/>
    </row>
    <row r="2035" spans="1:9" s="737" customFormat="1">
      <c r="A2035" s="738"/>
      <c r="B2035" s="735" t="s">
        <v>6412</v>
      </c>
      <c r="C2035" s="734">
        <v>1</v>
      </c>
      <c r="D2035" s="734">
        <v>2</v>
      </c>
      <c r="E2035" s="735"/>
      <c r="F2035" s="735"/>
      <c r="G2035" s="735"/>
      <c r="H2035" s="739">
        <f t="shared" si="189"/>
        <v>2</v>
      </c>
      <c r="I2035" s="736"/>
    </row>
    <row r="2036" spans="1:9" s="737" customFormat="1">
      <c r="A2036" s="738"/>
      <c r="B2036" s="735" t="s">
        <v>6413</v>
      </c>
      <c r="C2036" s="734">
        <v>1</v>
      </c>
      <c r="D2036" s="734">
        <v>2</v>
      </c>
      <c r="E2036" s="735"/>
      <c r="F2036" s="735"/>
      <c r="G2036" s="735"/>
      <c r="H2036" s="739">
        <f t="shared" si="189"/>
        <v>2</v>
      </c>
      <c r="I2036" s="736"/>
    </row>
    <row r="2037" spans="1:9" s="737" customFormat="1">
      <c r="A2037" s="738"/>
      <c r="B2037" s="735" t="s">
        <v>6397</v>
      </c>
      <c r="C2037" s="734">
        <v>1</v>
      </c>
      <c r="D2037" s="734">
        <v>2</v>
      </c>
      <c r="E2037" s="735"/>
      <c r="F2037" s="735"/>
      <c r="G2037" s="735"/>
      <c r="H2037" s="739">
        <f t="shared" si="189"/>
        <v>2</v>
      </c>
      <c r="I2037" s="736"/>
    </row>
    <row r="2038" spans="1:9" s="737" customFormat="1">
      <c r="A2038" s="738"/>
      <c r="B2038" s="735" t="s">
        <v>6414</v>
      </c>
      <c r="C2038" s="734">
        <v>1</v>
      </c>
      <c r="D2038" s="734">
        <v>2</v>
      </c>
      <c r="E2038" s="735"/>
      <c r="F2038" s="735"/>
      <c r="G2038" s="735"/>
      <c r="H2038" s="739">
        <f t="shared" si="189"/>
        <v>2</v>
      </c>
      <c r="I2038" s="736"/>
    </row>
    <row r="2039" spans="1:9" s="737" customFormat="1">
      <c r="A2039" s="738"/>
      <c r="B2039" s="735" t="s">
        <v>6415</v>
      </c>
      <c r="C2039" s="734">
        <v>1</v>
      </c>
      <c r="D2039" s="734">
        <v>1</v>
      </c>
      <c r="E2039" s="735"/>
      <c r="F2039" s="735"/>
      <c r="G2039" s="735"/>
      <c r="H2039" s="739">
        <f t="shared" si="189"/>
        <v>1</v>
      </c>
      <c r="I2039" s="736"/>
    </row>
    <row r="2040" spans="1:9" s="737" customFormat="1">
      <c r="A2040" s="738"/>
      <c r="B2040" s="735" t="s">
        <v>6399</v>
      </c>
      <c r="C2040" s="734">
        <v>1</v>
      </c>
      <c r="D2040" s="734">
        <v>1</v>
      </c>
      <c r="E2040" s="735"/>
      <c r="F2040" s="735"/>
      <c r="G2040" s="735"/>
      <c r="H2040" s="739">
        <f t="shared" si="189"/>
        <v>1</v>
      </c>
      <c r="I2040" s="736"/>
    </row>
    <row r="2041" spans="1:9" s="737" customFormat="1">
      <c r="A2041" s="738"/>
      <c r="B2041" s="735"/>
      <c r="C2041" s="734"/>
      <c r="D2041" s="734"/>
      <c r="E2041" s="735"/>
      <c r="F2041" s="735"/>
      <c r="G2041" s="757" t="s">
        <v>2235</v>
      </c>
      <c r="H2041" s="742">
        <f>SUM(H2021:H2040)</f>
        <v>33</v>
      </c>
      <c r="I2041" s="736" t="s">
        <v>1427</v>
      </c>
    </row>
    <row r="2042" spans="1:9" s="737" customFormat="1" ht="37.5">
      <c r="A2042" s="738" t="s">
        <v>1946</v>
      </c>
      <c r="B2042" s="733" t="s">
        <v>296</v>
      </c>
      <c r="C2042" s="734"/>
      <c r="D2042" s="734"/>
      <c r="E2042" s="735"/>
      <c r="F2042" s="735"/>
      <c r="G2042" s="735"/>
      <c r="H2042" s="735"/>
      <c r="I2042" s="736"/>
    </row>
    <row r="2043" spans="1:9" s="737" customFormat="1">
      <c r="A2043" s="738"/>
      <c r="B2043" s="735" t="s">
        <v>6416</v>
      </c>
      <c r="C2043" s="734">
        <v>1</v>
      </c>
      <c r="D2043" s="734">
        <v>1</v>
      </c>
      <c r="E2043" s="735"/>
      <c r="F2043" s="735"/>
      <c r="G2043" s="735"/>
      <c r="H2043" s="739">
        <f>PRODUCT(C2043:G2043)</f>
        <v>1</v>
      </c>
      <c r="I2043" s="736"/>
    </row>
    <row r="2044" spans="1:9" s="737" customFormat="1">
      <c r="A2044" s="738"/>
      <c r="B2044" s="735" t="s">
        <v>5832</v>
      </c>
      <c r="C2044" s="734">
        <v>1</v>
      </c>
      <c r="D2044" s="734">
        <v>1</v>
      </c>
      <c r="E2044" s="735"/>
      <c r="F2044" s="735"/>
      <c r="G2044" s="735"/>
      <c r="H2044" s="739">
        <f>PRODUCT(C2044:G2044)</f>
        <v>1</v>
      </c>
      <c r="I2044" s="736"/>
    </row>
    <row r="2045" spans="1:9" s="737" customFormat="1">
      <c r="A2045" s="738"/>
      <c r="B2045" s="735" t="s">
        <v>5837</v>
      </c>
      <c r="C2045" s="734">
        <v>1</v>
      </c>
      <c r="D2045" s="734">
        <v>1</v>
      </c>
      <c r="E2045" s="735"/>
      <c r="F2045" s="735"/>
      <c r="G2045" s="735"/>
      <c r="H2045" s="739">
        <f>PRODUCT(C2045:G2045)</f>
        <v>1</v>
      </c>
      <c r="I2045" s="736"/>
    </row>
    <row r="2046" spans="1:9" s="737" customFormat="1">
      <c r="A2046" s="738"/>
      <c r="B2046" s="735"/>
      <c r="C2046" s="734"/>
      <c r="D2046" s="734"/>
      <c r="E2046" s="735"/>
      <c r="F2046" s="735"/>
      <c r="G2046" s="757" t="s">
        <v>2235</v>
      </c>
      <c r="H2046" s="742">
        <f>SUM(H2043:H2045)</f>
        <v>3</v>
      </c>
      <c r="I2046" s="736" t="s">
        <v>1427</v>
      </c>
    </row>
    <row r="2047" spans="1:9" s="737" customFormat="1" ht="71.25" customHeight="1">
      <c r="A2047" s="732" t="s">
        <v>6417</v>
      </c>
      <c r="B2047" s="1289" t="s">
        <v>6418</v>
      </c>
      <c r="C2047" s="1289"/>
      <c r="D2047" s="1289"/>
      <c r="E2047" s="1289"/>
      <c r="F2047" s="735"/>
      <c r="G2047" s="735"/>
      <c r="H2047" s="735"/>
      <c r="I2047" s="736"/>
    </row>
    <row r="2048" spans="1:9" s="737" customFormat="1">
      <c r="A2048" s="738"/>
      <c r="B2048" s="735" t="s">
        <v>5832</v>
      </c>
      <c r="C2048" s="734">
        <v>1</v>
      </c>
      <c r="D2048" s="734">
        <v>2</v>
      </c>
      <c r="E2048" s="739"/>
      <c r="F2048" s="739"/>
      <c r="G2048" s="739"/>
      <c r="H2048" s="739">
        <f t="shared" ref="H2048:H2057" si="190">PRODUCT(C2048:G2048)</f>
        <v>2</v>
      </c>
      <c r="I2048" s="736"/>
    </row>
    <row r="2049" spans="1:9" s="737" customFormat="1">
      <c r="A2049" s="738"/>
      <c r="B2049" s="735" t="s">
        <v>5837</v>
      </c>
      <c r="C2049" s="734">
        <v>1</v>
      </c>
      <c r="D2049" s="734">
        <v>2</v>
      </c>
      <c r="E2049" s="739"/>
      <c r="F2049" s="739"/>
      <c r="G2049" s="739"/>
      <c r="H2049" s="739">
        <f t="shared" si="190"/>
        <v>2</v>
      </c>
      <c r="I2049" s="736"/>
    </row>
    <row r="2050" spans="1:9" s="737" customFormat="1">
      <c r="A2050" s="738"/>
      <c r="B2050" s="735" t="s">
        <v>5838</v>
      </c>
      <c r="C2050" s="734">
        <v>1</v>
      </c>
      <c r="D2050" s="734">
        <v>8</v>
      </c>
      <c r="E2050" s="739"/>
      <c r="F2050" s="739"/>
      <c r="G2050" s="739"/>
      <c r="H2050" s="739">
        <f t="shared" si="190"/>
        <v>8</v>
      </c>
      <c r="I2050" s="736"/>
    </row>
    <row r="2051" spans="1:9" s="737" customFormat="1">
      <c r="A2051" s="738"/>
      <c r="B2051" s="735" t="s">
        <v>6304</v>
      </c>
      <c r="C2051" s="734">
        <v>1</v>
      </c>
      <c r="D2051" s="734">
        <v>1</v>
      </c>
      <c r="E2051" s="739"/>
      <c r="F2051" s="739"/>
      <c r="G2051" s="739"/>
      <c r="H2051" s="739">
        <f t="shared" si="190"/>
        <v>1</v>
      </c>
      <c r="I2051" s="736"/>
    </row>
    <row r="2052" spans="1:9" s="737" customFormat="1">
      <c r="A2052" s="738"/>
      <c r="B2052" s="735" t="s">
        <v>6052</v>
      </c>
      <c r="C2052" s="734">
        <v>1</v>
      </c>
      <c r="D2052" s="734">
        <v>1</v>
      </c>
      <c r="E2052" s="739"/>
      <c r="F2052" s="739"/>
      <c r="G2052" s="739"/>
      <c r="H2052" s="739">
        <f t="shared" si="190"/>
        <v>1</v>
      </c>
      <c r="I2052" s="736"/>
    </row>
    <row r="2053" spans="1:9" s="737" customFormat="1">
      <c r="A2053" s="738"/>
      <c r="B2053" s="735" t="s">
        <v>6397</v>
      </c>
      <c r="C2053" s="734">
        <v>1</v>
      </c>
      <c r="D2053" s="734">
        <v>2</v>
      </c>
      <c r="E2053" s="739"/>
      <c r="F2053" s="739"/>
      <c r="G2053" s="739"/>
      <c r="H2053" s="739">
        <f t="shared" si="190"/>
        <v>2</v>
      </c>
      <c r="I2053" s="736"/>
    </row>
    <row r="2054" spans="1:9" s="737" customFormat="1">
      <c r="A2054" s="738"/>
      <c r="B2054" s="735" t="s">
        <v>6419</v>
      </c>
      <c r="C2054" s="734">
        <v>1</v>
      </c>
      <c r="D2054" s="734">
        <v>1</v>
      </c>
      <c r="E2054" s="739"/>
      <c r="F2054" s="739"/>
      <c r="G2054" s="739"/>
      <c r="H2054" s="739">
        <f t="shared" si="190"/>
        <v>1</v>
      </c>
      <c r="I2054" s="736"/>
    </row>
    <row r="2055" spans="1:9" s="737" customFormat="1">
      <c r="A2055" s="738"/>
      <c r="B2055" s="735" t="s">
        <v>6420</v>
      </c>
      <c r="C2055" s="734">
        <v>1</v>
      </c>
      <c r="D2055" s="734">
        <v>5</v>
      </c>
      <c r="E2055" s="739"/>
      <c r="F2055" s="739"/>
      <c r="G2055" s="739"/>
      <c r="H2055" s="739">
        <f t="shared" si="190"/>
        <v>5</v>
      </c>
      <c r="I2055" s="736"/>
    </row>
    <row r="2056" spans="1:9" s="737" customFormat="1">
      <c r="A2056" s="738"/>
      <c r="B2056" s="735" t="s">
        <v>5953</v>
      </c>
      <c r="C2056" s="734">
        <v>1</v>
      </c>
      <c r="D2056" s="734">
        <v>1</v>
      </c>
      <c r="E2056" s="739"/>
      <c r="F2056" s="739"/>
      <c r="G2056" s="739"/>
      <c r="H2056" s="739">
        <f t="shared" si="190"/>
        <v>1</v>
      </c>
      <c r="I2056" s="736"/>
    </row>
    <row r="2057" spans="1:9" s="737" customFormat="1">
      <c r="A2057" s="738"/>
      <c r="B2057" s="735" t="s">
        <v>6068</v>
      </c>
      <c r="C2057" s="734">
        <v>1</v>
      </c>
      <c r="D2057" s="734">
        <v>2</v>
      </c>
      <c r="E2057" s="739"/>
      <c r="F2057" s="739"/>
      <c r="G2057" s="739"/>
      <c r="H2057" s="739">
        <f t="shared" si="190"/>
        <v>2</v>
      </c>
      <c r="I2057" s="736"/>
    </row>
    <row r="2058" spans="1:9" s="737" customFormat="1">
      <c r="A2058" s="738"/>
      <c r="B2058" s="735"/>
      <c r="C2058" s="734"/>
      <c r="D2058" s="734"/>
      <c r="E2058" s="739"/>
      <c r="F2058" s="739"/>
      <c r="G2058" s="742" t="s">
        <v>2235</v>
      </c>
      <c r="H2058" s="742">
        <f>SUM(H2048:H2057)</f>
        <v>25</v>
      </c>
      <c r="I2058" s="736" t="s">
        <v>1427</v>
      </c>
    </row>
    <row r="2059" spans="1:9" s="737" customFormat="1" ht="76.5" customHeight="1">
      <c r="A2059" s="732">
        <v>66.099999999999994</v>
      </c>
      <c r="B2059" s="1289" t="s">
        <v>6421</v>
      </c>
      <c r="C2059" s="1289"/>
      <c r="D2059" s="1289"/>
      <c r="E2059" s="1289"/>
      <c r="F2059" s="735"/>
      <c r="G2059" s="735"/>
      <c r="H2059" s="739"/>
      <c r="I2059" s="736"/>
    </row>
    <row r="2060" spans="1:9" s="737" customFormat="1">
      <c r="A2060" s="738"/>
      <c r="B2060" s="735" t="s">
        <v>6422</v>
      </c>
      <c r="C2060" s="734">
        <v>1</v>
      </c>
      <c r="D2060" s="734">
        <v>3</v>
      </c>
      <c r="E2060" s="735"/>
      <c r="F2060" s="735"/>
      <c r="G2060" s="735"/>
      <c r="H2060" s="739">
        <f t="shared" ref="H2060:H2086" si="191">PRODUCT(C2060:G2060)</f>
        <v>3</v>
      </c>
      <c r="I2060" s="736" t="s">
        <v>1427</v>
      </c>
    </row>
    <row r="2061" spans="1:9" s="737" customFormat="1" ht="93" customHeight="1">
      <c r="A2061" s="732" t="s">
        <v>6423</v>
      </c>
      <c r="B2061" s="1289" t="s">
        <v>6424</v>
      </c>
      <c r="C2061" s="1289"/>
      <c r="D2061" s="1289"/>
      <c r="E2061" s="1289"/>
      <c r="F2061" s="735"/>
      <c r="G2061" s="735"/>
      <c r="H2061" s="739"/>
      <c r="I2061" s="736"/>
    </row>
    <row r="2062" spans="1:9" s="737" customFormat="1">
      <c r="A2062" s="738"/>
      <c r="B2062" s="735" t="s">
        <v>5838</v>
      </c>
      <c r="C2062" s="734">
        <v>1</v>
      </c>
      <c r="D2062" s="734">
        <v>4</v>
      </c>
      <c r="E2062" s="735"/>
      <c r="F2062" s="735"/>
      <c r="G2062" s="735"/>
      <c r="H2062" s="739">
        <f>PRODUCT(C2062:G2062)</f>
        <v>4</v>
      </c>
      <c r="I2062" s="736"/>
    </row>
    <row r="2063" spans="1:9" s="737" customFormat="1">
      <c r="A2063" s="738"/>
      <c r="B2063" s="735" t="s">
        <v>5832</v>
      </c>
      <c r="C2063" s="734">
        <v>1</v>
      </c>
      <c r="D2063" s="734">
        <v>1</v>
      </c>
      <c r="E2063" s="735"/>
      <c r="F2063" s="735"/>
      <c r="G2063" s="735"/>
      <c r="H2063" s="739">
        <f>PRODUCT(C2063:G2063)</f>
        <v>1</v>
      </c>
      <c r="I2063" s="736"/>
    </row>
    <row r="2064" spans="1:9" s="737" customFormat="1">
      <c r="A2064" s="738"/>
      <c r="B2064" s="735" t="s">
        <v>5837</v>
      </c>
      <c r="C2064" s="734">
        <v>1</v>
      </c>
      <c r="D2064" s="734">
        <v>1</v>
      </c>
      <c r="E2064" s="735"/>
      <c r="F2064" s="735"/>
      <c r="G2064" s="735"/>
      <c r="H2064" s="739">
        <f>PRODUCT(C2064:G2064)</f>
        <v>1</v>
      </c>
      <c r="I2064" s="736"/>
    </row>
    <row r="2065" spans="1:9" s="737" customFormat="1">
      <c r="A2065" s="738"/>
      <c r="B2065" s="735" t="s">
        <v>6304</v>
      </c>
      <c r="C2065" s="734">
        <v>1</v>
      </c>
      <c r="D2065" s="734">
        <v>1</v>
      </c>
      <c r="E2065" s="735"/>
      <c r="F2065" s="735"/>
      <c r="G2065" s="735"/>
      <c r="H2065" s="739">
        <f>PRODUCT(C2065:G2065)</f>
        <v>1</v>
      </c>
      <c r="I2065" s="736"/>
    </row>
    <row r="2066" spans="1:9" s="737" customFormat="1">
      <c r="A2066" s="738"/>
      <c r="B2066" s="735" t="s">
        <v>5899</v>
      </c>
      <c r="C2066" s="734">
        <v>1</v>
      </c>
      <c r="D2066" s="734">
        <v>2</v>
      </c>
      <c r="E2066" s="735"/>
      <c r="F2066" s="735"/>
      <c r="G2066" s="735"/>
      <c r="H2066" s="739">
        <f t="shared" si="191"/>
        <v>2</v>
      </c>
      <c r="I2066" s="736"/>
    </row>
    <row r="2067" spans="1:9" s="737" customFormat="1">
      <c r="A2067" s="738"/>
      <c r="B2067" s="735" t="s">
        <v>6309</v>
      </c>
      <c r="C2067" s="734">
        <v>1</v>
      </c>
      <c r="D2067" s="734">
        <v>1</v>
      </c>
      <c r="E2067" s="735"/>
      <c r="F2067" s="735"/>
      <c r="G2067" s="735"/>
      <c r="H2067" s="739">
        <f t="shared" si="191"/>
        <v>1</v>
      </c>
      <c r="I2067" s="736"/>
    </row>
    <row r="2068" spans="1:9" s="737" customFormat="1">
      <c r="A2068" s="738"/>
      <c r="B2068" s="735" t="s">
        <v>6052</v>
      </c>
      <c r="C2068" s="734">
        <v>1</v>
      </c>
      <c r="D2068" s="734">
        <v>2</v>
      </c>
      <c r="E2068" s="735"/>
      <c r="F2068" s="735"/>
      <c r="G2068" s="735"/>
      <c r="H2068" s="739">
        <f t="shared" si="191"/>
        <v>2</v>
      </c>
      <c r="I2068" s="736"/>
    </row>
    <row r="2069" spans="1:9" s="737" customFormat="1">
      <c r="A2069" s="738"/>
      <c r="B2069" s="735" t="s">
        <v>6397</v>
      </c>
      <c r="C2069" s="734">
        <v>1</v>
      </c>
      <c r="D2069" s="734">
        <v>2</v>
      </c>
      <c r="E2069" s="735"/>
      <c r="F2069" s="735"/>
      <c r="G2069" s="735"/>
      <c r="H2069" s="739">
        <f t="shared" si="191"/>
        <v>2</v>
      </c>
      <c r="I2069" s="736"/>
    </row>
    <row r="2070" spans="1:9" s="737" customFormat="1">
      <c r="A2070" s="738"/>
      <c r="B2070" s="735" t="s">
        <v>6419</v>
      </c>
      <c r="C2070" s="734">
        <v>1</v>
      </c>
      <c r="D2070" s="734">
        <v>1</v>
      </c>
      <c r="E2070" s="735"/>
      <c r="F2070" s="735"/>
      <c r="G2070" s="735"/>
      <c r="H2070" s="739">
        <f t="shared" si="191"/>
        <v>1</v>
      </c>
      <c r="I2070" s="736"/>
    </row>
    <row r="2071" spans="1:9" s="737" customFormat="1">
      <c r="A2071" s="738"/>
      <c r="B2071" s="735" t="s">
        <v>5901</v>
      </c>
      <c r="C2071" s="734">
        <v>1</v>
      </c>
      <c r="D2071" s="734">
        <v>2</v>
      </c>
      <c r="E2071" s="735"/>
      <c r="F2071" s="735"/>
      <c r="G2071" s="735"/>
      <c r="H2071" s="739">
        <f t="shared" si="191"/>
        <v>2</v>
      </c>
      <c r="I2071" s="736"/>
    </row>
    <row r="2072" spans="1:9" s="737" customFormat="1">
      <c r="A2072" s="738"/>
      <c r="B2072" s="735" t="s">
        <v>6068</v>
      </c>
      <c r="C2072" s="734">
        <v>1</v>
      </c>
      <c r="D2072" s="734">
        <v>1</v>
      </c>
      <c r="E2072" s="735"/>
      <c r="F2072" s="735"/>
      <c r="G2072" s="735"/>
      <c r="H2072" s="739">
        <f>PRODUCT(C2072:G2072)</f>
        <v>1</v>
      </c>
      <c r="I2072" s="736"/>
    </row>
    <row r="2073" spans="1:9" s="737" customFormat="1">
      <c r="A2073" s="738"/>
      <c r="B2073" s="735" t="s">
        <v>6399</v>
      </c>
      <c r="C2073" s="734">
        <v>1</v>
      </c>
      <c r="D2073" s="734">
        <v>1</v>
      </c>
      <c r="E2073" s="735"/>
      <c r="F2073" s="735"/>
      <c r="G2073" s="735"/>
      <c r="H2073" s="739">
        <f t="shared" si="191"/>
        <v>1</v>
      </c>
      <c r="I2073" s="736"/>
    </row>
    <row r="2074" spans="1:9" s="737" customFormat="1">
      <c r="A2074" s="738"/>
      <c r="B2074" s="735"/>
      <c r="C2074" s="734"/>
      <c r="D2074" s="734"/>
      <c r="E2074" s="735"/>
      <c r="F2074" s="735"/>
      <c r="G2074" s="742" t="s">
        <v>2235</v>
      </c>
      <c r="H2074" s="742">
        <f>SUM(H2062:H2073)</f>
        <v>19</v>
      </c>
      <c r="I2074" s="736" t="s">
        <v>1427</v>
      </c>
    </row>
    <row r="2075" spans="1:9" s="737" customFormat="1" ht="96" customHeight="1">
      <c r="A2075" s="732" t="s">
        <v>6425</v>
      </c>
      <c r="B2075" s="1289" t="s">
        <v>6426</v>
      </c>
      <c r="C2075" s="1289"/>
      <c r="D2075" s="1289"/>
      <c r="E2075" s="1289"/>
      <c r="F2075" s="735"/>
      <c r="G2075" s="735"/>
      <c r="H2075" s="739"/>
      <c r="I2075" s="736"/>
    </row>
    <row r="2076" spans="1:9" s="737" customFormat="1">
      <c r="A2076" s="738"/>
      <c r="B2076" s="735" t="s">
        <v>5837</v>
      </c>
      <c r="C2076" s="734">
        <v>1</v>
      </c>
      <c r="D2076" s="734">
        <v>3</v>
      </c>
      <c r="E2076" s="735"/>
      <c r="F2076" s="735"/>
      <c r="G2076" s="735"/>
      <c r="H2076" s="739">
        <f>PRODUCT(C2076:G2076)</f>
        <v>3</v>
      </c>
      <c r="I2076" s="736"/>
    </row>
    <row r="2077" spans="1:9" s="737" customFormat="1">
      <c r="A2077" s="738"/>
      <c r="B2077" s="735" t="s">
        <v>5832</v>
      </c>
      <c r="C2077" s="734">
        <v>1</v>
      </c>
      <c r="D2077" s="734">
        <v>3</v>
      </c>
      <c r="E2077" s="735"/>
      <c r="F2077" s="735"/>
      <c r="G2077" s="735"/>
      <c r="H2077" s="739">
        <f>PRODUCT(C2077:G2077)</f>
        <v>3</v>
      </c>
      <c r="I2077" s="736"/>
    </row>
    <row r="2078" spans="1:9" s="737" customFormat="1">
      <c r="A2078" s="738"/>
      <c r="B2078" s="735" t="s">
        <v>5838</v>
      </c>
      <c r="C2078" s="734">
        <v>1</v>
      </c>
      <c r="D2078" s="734">
        <v>4</v>
      </c>
      <c r="E2078" s="735"/>
      <c r="F2078" s="735"/>
      <c r="G2078" s="735"/>
      <c r="H2078" s="739">
        <f>PRODUCT(C2078:G2078)</f>
        <v>4</v>
      </c>
      <c r="I2078" s="736"/>
    </row>
    <row r="2079" spans="1:9" s="737" customFormat="1">
      <c r="A2079" s="738"/>
      <c r="B2079" s="735" t="s">
        <v>5899</v>
      </c>
      <c r="C2079" s="734">
        <v>1</v>
      </c>
      <c r="D2079" s="734">
        <v>4</v>
      </c>
      <c r="E2079" s="735"/>
      <c r="F2079" s="735"/>
      <c r="G2079" s="735"/>
      <c r="H2079" s="739">
        <f t="shared" si="191"/>
        <v>4</v>
      </c>
      <c r="I2079" s="736"/>
    </row>
    <row r="2080" spans="1:9" s="737" customFormat="1">
      <c r="A2080" s="738"/>
      <c r="B2080" s="735" t="s">
        <v>6309</v>
      </c>
      <c r="C2080" s="734">
        <v>1</v>
      </c>
      <c r="D2080" s="734">
        <v>2</v>
      </c>
      <c r="E2080" s="735"/>
      <c r="F2080" s="735"/>
      <c r="G2080" s="735"/>
      <c r="H2080" s="739">
        <f t="shared" si="191"/>
        <v>2</v>
      </c>
      <c r="I2080" s="736"/>
    </row>
    <row r="2081" spans="1:9" s="737" customFormat="1">
      <c r="A2081" s="738"/>
      <c r="B2081" s="735" t="s">
        <v>6068</v>
      </c>
      <c r="C2081" s="734">
        <v>1</v>
      </c>
      <c r="D2081" s="734">
        <v>1</v>
      </c>
      <c r="E2081" s="735"/>
      <c r="F2081" s="735"/>
      <c r="G2081" s="735"/>
      <c r="H2081" s="739">
        <f>PRODUCT(C2081:G2081)</f>
        <v>1</v>
      </c>
      <c r="I2081" s="736"/>
    </row>
    <row r="2082" spans="1:9" s="737" customFormat="1">
      <c r="A2082" s="738"/>
      <c r="B2082" s="735" t="s">
        <v>6052</v>
      </c>
      <c r="C2082" s="734">
        <v>1</v>
      </c>
      <c r="D2082" s="734">
        <v>2</v>
      </c>
      <c r="E2082" s="735"/>
      <c r="F2082" s="735"/>
      <c r="G2082" s="735"/>
      <c r="H2082" s="739">
        <f t="shared" si="191"/>
        <v>2</v>
      </c>
      <c r="I2082" s="736"/>
    </row>
    <row r="2083" spans="1:9" s="737" customFormat="1">
      <c r="A2083" s="738"/>
      <c r="B2083" s="735" t="s">
        <v>6397</v>
      </c>
      <c r="C2083" s="734">
        <v>1</v>
      </c>
      <c r="D2083" s="734">
        <v>2</v>
      </c>
      <c r="E2083" s="735"/>
      <c r="F2083" s="735"/>
      <c r="G2083" s="735"/>
      <c r="H2083" s="739">
        <f t="shared" si="191"/>
        <v>2</v>
      </c>
      <c r="I2083" s="736"/>
    </row>
    <row r="2084" spans="1:9" s="737" customFormat="1">
      <c r="A2084" s="738"/>
      <c r="B2084" s="735" t="s">
        <v>6419</v>
      </c>
      <c r="C2084" s="734">
        <v>1</v>
      </c>
      <c r="D2084" s="734">
        <v>1</v>
      </c>
      <c r="E2084" s="735"/>
      <c r="F2084" s="735"/>
      <c r="G2084" s="735"/>
      <c r="H2084" s="739">
        <f t="shared" si="191"/>
        <v>1</v>
      </c>
      <c r="I2084" s="736"/>
    </row>
    <row r="2085" spans="1:9" s="737" customFormat="1">
      <c r="A2085" s="738"/>
      <c r="B2085" s="735" t="s">
        <v>5901</v>
      </c>
      <c r="C2085" s="734">
        <v>1</v>
      </c>
      <c r="D2085" s="734">
        <v>2</v>
      </c>
      <c r="E2085" s="735"/>
      <c r="F2085" s="735"/>
      <c r="G2085" s="735"/>
      <c r="H2085" s="739">
        <f t="shared" si="191"/>
        <v>2</v>
      </c>
      <c r="I2085" s="736"/>
    </row>
    <row r="2086" spans="1:9" s="737" customFormat="1">
      <c r="A2086" s="738"/>
      <c r="B2086" s="735" t="s">
        <v>6399</v>
      </c>
      <c r="C2086" s="734">
        <v>1</v>
      </c>
      <c r="D2086" s="734">
        <v>2</v>
      </c>
      <c r="E2086" s="735"/>
      <c r="F2086" s="735"/>
      <c r="G2086" s="735"/>
      <c r="H2086" s="739">
        <f t="shared" si="191"/>
        <v>2</v>
      </c>
      <c r="I2086" s="736"/>
    </row>
    <row r="2087" spans="1:9" s="737" customFormat="1">
      <c r="A2087" s="738"/>
      <c r="B2087" s="735"/>
      <c r="C2087" s="734"/>
      <c r="D2087" s="734"/>
      <c r="E2087" s="735"/>
      <c r="F2087" s="735"/>
      <c r="G2087" s="742" t="s">
        <v>2235</v>
      </c>
      <c r="H2087" s="742">
        <f>SUM(H2076:H2086)</f>
        <v>26</v>
      </c>
      <c r="I2087" s="736" t="s">
        <v>1427</v>
      </c>
    </row>
    <row r="2088" spans="1:9" s="737" customFormat="1" ht="72" customHeight="1">
      <c r="A2088" s="732" t="s">
        <v>6427</v>
      </c>
      <c r="B2088" s="733" t="s">
        <v>6428</v>
      </c>
      <c r="C2088" s="734"/>
      <c r="D2088" s="734"/>
      <c r="E2088" s="735"/>
      <c r="F2088" s="735"/>
      <c r="G2088" s="735"/>
      <c r="H2088" s="739"/>
      <c r="I2088" s="736"/>
    </row>
    <row r="2089" spans="1:9" s="737" customFormat="1">
      <c r="A2089" s="738"/>
      <c r="B2089" s="735" t="s">
        <v>6429</v>
      </c>
      <c r="C2089" s="734">
        <v>1</v>
      </c>
      <c r="D2089" s="734">
        <v>1</v>
      </c>
      <c r="E2089" s="739">
        <f>H2058</f>
        <v>25</v>
      </c>
      <c r="F2089" s="739"/>
      <c r="G2089" s="739"/>
      <c r="H2089" s="739">
        <f t="shared" ref="H2089" si="192">PRODUCT(C2089:G2089)</f>
        <v>25</v>
      </c>
      <c r="I2089" s="736"/>
    </row>
    <row r="2090" spans="1:9" s="737" customFormat="1">
      <c r="A2090" s="738"/>
      <c r="B2090" s="735"/>
      <c r="C2090" s="734"/>
      <c r="D2090" s="734"/>
      <c r="E2090" s="739"/>
      <c r="F2090" s="739"/>
      <c r="G2090" s="742" t="s">
        <v>2235</v>
      </c>
      <c r="H2090" s="742">
        <f>SUM(H2089:H2089)</f>
        <v>25</v>
      </c>
      <c r="I2090" s="736" t="s">
        <v>1427</v>
      </c>
    </row>
    <row r="2091" spans="1:9" s="776" customFormat="1" ht="42.75" customHeight="1">
      <c r="A2091" s="769">
        <v>70.099999999999994</v>
      </c>
      <c r="B2091" s="770" t="s">
        <v>6430</v>
      </c>
      <c r="C2091" s="769"/>
      <c r="D2091" s="769"/>
      <c r="E2091" s="771"/>
      <c r="F2091" s="772"/>
      <c r="G2091" s="773"/>
      <c r="H2091" s="774"/>
      <c r="I2091" s="775"/>
    </row>
    <row r="2092" spans="1:9" s="737" customFormat="1">
      <c r="A2092" s="738"/>
      <c r="B2092" s="735" t="s">
        <v>6401</v>
      </c>
      <c r="C2092" s="734">
        <v>1</v>
      </c>
      <c r="D2092" s="734">
        <v>1</v>
      </c>
      <c r="E2092" s="735"/>
      <c r="F2092" s="735"/>
      <c r="G2092" s="735"/>
      <c r="H2092" s="739">
        <f t="shared" ref="H2092:H2097" si="193">PRODUCT(C2092:G2092)</f>
        <v>1</v>
      </c>
      <c r="I2092" s="736"/>
    </row>
    <row r="2093" spans="1:9" s="737" customFormat="1">
      <c r="A2093" s="738"/>
      <c r="B2093" s="735" t="s">
        <v>6268</v>
      </c>
      <c r="C2093" s="734">
        <v>1</v>
      </c>
      <c r="D2093" s="734">
        <v>1</v>
      </c>
      <c r="E2093" s="735"/>
      <c r="F2093" s="735"/>
      <c r="G2093" s="735"/>
      <c r="H2093" s="739">
        <f t="shared" si="193"/>
        <v>1</v>
      </c>
      <c r="I2093" s="736"/>
    </row>
    <row r="2094" spans="1:9" s="737" customFormat="1">
      <c r="A2094" s="738"/>
      <c r="B2094" s="735" t="s">
        <v>6402</v>
      </c>
      <c r="C2094" s="734">
        <v>1</v>
      </c>
      <c r="D2094" s="734">
        <v>1</v>
      </c>
      <c r="E2094" s="735"/>
      <c r="F2094" s="735"/>
      <c r="G2094" s="735"/>
      <c r="H2094" s="739">
        <f t="shared" si="193"/>
        <v>1</v>
      </c>
      <c r="I2094" s="736"/>
    </row>
    <row r="2095" spans="1:9" s="737" customFormat="1">
      <c r="A2095" s="738"/>
      <c r="B2095" s="735" t="s">
        <v>6403</v>
      </c>
      <c r="C2095" s="734">
        <v>1</v>
      </c>
      <c r="D2095" s="734">
        <v>2</v>
      </c>
      <c r="E2095" s="735"/>
      <c r="F2095" s="735"/>
      <c r="G2095" s="735"/>
      <c r="H2095" s="739">
        <f t="shared" si="193"/>
        <v>2</v>
      </c>
      <c r="I2095" s="736"/>
    </row>
    <row r="2096" spans="1:9" s="737" customFormat="1">
      <c r="A2096" s="738"/>
      <c r="B2096" s="735" t="s">
        <v>6404</v>
      </c>
      <c r="C2096" s="734">
        <v>1</v>
      </c>
      <c r="D2096" s="734">
        <v>1</v>
      </c>
      <c r="E2096" s="735"/>
      <c r="F2096" s="735"/>
      <c r="G2096" s="735"/>
      <c r="H2096" s="739">
        <f t="shared" si="193"/>
        <v>1</v>
      </c>
      <c r="I2096" s="736"/>
    </row>
    <row r="2097" spans="1:17" s="737" customFormat="1">
      <c r="A2097" s="738"/>
      <c r="B2097" s="735" t="s">
        <v>5734</v>
      </c>
      <c r="C2097" s="734">
        <v>2</v>
      </c>
      <c r="D2097" s="734">
        <v>3</v>
      </c>
      <c r="E2097" s="735"/>
      <c r="F2097" s="735"/>
      <c r="G2097" s="735"/>
      <c r="H2097" s="739">
        <f t="shared" si="193"/>
        <v>6</v>
      </c>
      <c r="I2097" s="736"/>
    </row>
    <row r="2098" spans="1:17" s="776" customFormat="1" ht="21" customHeight="1">
      <c r="A2098" s="769"/>
      <c r="B2098" s="770"/>
      <c r="C2098" s="769"/>
      <c r="D2098" s="769"/>
      <c r="E2098" s="793"/>
      <c r="F2098" s="772"/>
      <c r="G2098" s="778" t="s">
        <v>2235</v>
      </c>
      <c r="H2098" s="779">
        <f>SUM(H2092:H2097)</f>
        <v>12</v>
      </c>
      <c r="I2098" s="775" t="s">
        <v>1427</v>
      </c>
    </row>
    <row r="2099" spans="1:17" s="796" customFormat="1" ht="48" customHeight="1">
      <c r="A2099" s="794" t="s">
        <v>6431</v>
      </c>
      <c r="B2099" s="1290" t="s">
        <v>6432</v>
      </c>
      <c r="C2099" s="1290"/>
      <c r="D2099" s="1290"/>
      <c r="E2099" s="795"/>
      <c r="F2099" s="795"/>
      <c r="G2099" s="795"/>
      <c r="H2099" s="795"/>
      <c r="I2099" s="736"/>
      <c r="L2099" s="797"/>
      <c r="M2099" s="797"/>
      <c r="N2099" s="797"/>
      <c r="O2099" s="797"/>
      <c r="P2099" s="797"/>
      <c r="Q2099" s="776"/>
    </row>
    <row r="2100" spans="1:17" s="796" customFormat="1" ht="21.75" customHeight="1">
      <c r="A2100" s="794"/>
      <c r="B2100" s="798" t="s">
        <v>6433</v>
      </c>
      <c r="C2100" s="799">
        <v>1</v>
      </c>
      <c r="D2100" s="800">
        <v>4</v>
      </c>
      <c r="E2100" s="795"/>
      <c r="F2100" s="795"/>
      <c r="G2100" s="795"/>
      <c r="H2100" s="795">
        <f>PRODUCT(C2100:G2100)</f>
        <v>4</v>
      </c>
      <c r="I2100" s="736"/>
      <c r="L2100" s="797"/>
      <c r="M2100" s="797"/>
      <c r="N2100" s="797"/>
      <c r="O2100" s="797"/>
      <c r="P2100" s="797"/>
      <c r="Q2100" s="776"/>
    </row>
    <row r="2101" spans="1:17" s="796" customFormat="1" ht="21.75" customHeight="1">
      <c r="A2101" s="794"/>
      <c r="B2101" s="798"/>
      <c r="C2101" s="799"/>
      <c r="D2101" s="800"/>
      <c r="E2101" s="795"/>
      <c r="F2101" s="795"/>
      <c r="G2101" s="801" t="s">
        <v>2235</v>
      </c>
      <c r="H2101" s="801">
        <f>SUM(H2100:H2100)</f>
        <v>4</v>
      </c>
      <c r="I2101" s="1194" t="s">
        <v>1427</v>
      </c>
      <c r="L2101" s="797"/>
      <c r="M2101" s="797"/>
      <c r="N2101" s="797"/>
      <c r="O2101" s="797"/>
      <c r="P2101" s="797"/>
      <c r="Q2101" s="776"/>
    </row>
    <row r="2102" spans="1:17" s="776" customFormat="1" ht="43.5" customHeight="1">
      <c r="A2102" s="769">
        <v>70.5</v>
      </c>
      <c r="B2102" s="802" t="s">
        <v>6434</v>
      </c>
      <c r="C2102" s="769"/>
      <c r="D2102" s="769"/>
      <c r="E2102" s="771"/>
      <c r="F2102" s="772"/>
      <c r="G2102" s="773"/>
      <c r="H2102" s="774"/>
      <c r="I2102" s="775"/>
    </row>
    <row r="2103" spans="1:17" s="737" customFormat="1">
      <c r="A2103" s="732"/>
      <c r="B2103" s="757" t="s">
        <v>6002</v>
      </c>
      <c r="C2103" s="734"/>
      <c r="D2103" s="734"/>
      <c r="E2103" s="735"/>
      <c r="F2103" s="735"/>
      <c r="G2103" s="735"/>
      <c r="H2103" s="735"/>
      <c r="I2103" s="736"/>
    </row>
    <row r="2104" spans="1:17" s="737" customFormat="1">
      <c r="A2104" s="738"/>
      <c r="B2104" s="735" t="s">
        <v>5837</v>
      </c>
      <c r="C2104" s="734">
        <v>1</v>
      </c>
      <c r="D2104" s="734">
        <v>2</v>
      </c>
      <c r="E2104" s="735"/>
      <c r="F2104" s="735"/>
      <c r="G2104" s="735"/>
      <c r="H2104" s="739">
        <f t="shared" ref="H2104:H2111" si="194">PRODUCT(C2104:G2104)</f>
        <v>2</v>
      </c>
      <c r="I2104" s="736"/>
    </row>
    <row r="2105" spans="1:17" s="737" customFormat="1">
      <c r="A2105" s="738"/>
      <c r="B2105" s="735" t="s">
        <v>6396</v>
      </c>
      <c r="C2105" s="734">
        <v>1</v>
      </c>
      <c r="D2105" s="734">
        <v>1</v>
      </c>
      <c r="E2105" s="735"/>
      <c r="F2105" s="735"/>
      <c r="G2105" s="735"/>
      <c r="H2105" s="739">
        <f t="shared" si="194"/>
        <v>1</v>
      </c>
      <c r="I2105" s="736"/>
    </row>
    <row r="2106" spans="1:17" s="737" customFormat="1">
      <c r="A2106" s="738"/>
      <c r="B2106" s="735" t="s">
        <v>5955</v>
      </c>
      <c r="C2106" s="734">
        <v>1</v>
      </c>
      <c r="D2106" s="734">
        <v>2</v>
      </c>
      <c r="E2106" s="735"/>
      <c r="F2106" s="735"/>
      <c r="G2106" s="735"/>
      <c r="H2106" s="739">
        <f t="shared" si="194"/>
        <v>2</v>
      </c>
      <c r="I2106" s="736"/>
    </row>
    <row r="2107" spans="1:17" s="737" customFormat="1">
      <c r="A2107" s="738"/>
      <c r="B2107" s="735" t="s">
        <v>5838</v>
      </c>
      <c r="C2107" s="734">
        <v>1</v>
      </c>
      <c r="D2107" s="734">
        <v>8</v>
      </c>
      <c r="E2107" s="735"/>
      <c r="F2107" s="735"/>
      <c r="G2107" s="735"/>
      <c r="H2107" s="739">
        <f t="shared" si="194"/>
        <v>8</v>
      </c>
      <c r="I2107" s="736"/>
    </row>
    <row r="2108" spans="1:17" s="737" customFormat="1">
      <c r="A2108" s="738"/>
      <c r="B2108" s="735" t="s">
        <v>5958</v>
      </c>
      <c r="C2108" s="734">
        <v>1</v>
      </c>
      <c r="D2108" s="734">
        <v>2</v>
      </c>
      <c r="E2108" s="735"/>
      <c r="F2108" s="735"/>
      <c r="G2108" s="735"/>
      <c r="H2108" s="739">
        <f t="shared" si="194"/>
        <v>2</v>
      </c>
      <c r="I2108" s="736"/>
    </row>
    <row r="2109" spans="1:17" s="737" customFormat="1">
      <c r="A2109" s="738"/>
      <c r="B2109" s="735" t="s">
        <v>6304</v>
      </c>
      <c r="C2109" s="734">
        <v>1</v>
      </c>
      <c r="D2109" s="734">
        <v>2</v>
      </c>
      <c r="E2109" s="735"/>
      <c r="F2109" s="735"/>
      <c r="G2109" s="735"/>
      <c r="H2109" s="739">
        <f t="shared" si="194"/>
        <v>2</v>
      </c>
      <c r="I2109" s="736"/>
    </row>
    <row r="2110" spans="1:17" s="737" customFormat="1">
      <c r="A2110" s="738"/>
      <c r="B2110" s="735" t="s">
        <v>5953</v>
      </c>
      <c r="C2110" s="734">
        <v>1</v>
      </c>
      <c r="D2110" s="734">
        <v>1</v>
      </c>
      <c r="E2110" s="735"/>
      <c r="F2110" s="735"/>
      <c r="G2110" s="735"/>
      <c r="H2110" s="739">
        <f t="shared" si="194"/>
        <v>1</v>
      </c>
      <c r="I2110" s="736"/>
    </row>
    <row r="2111" spans="1:17" s="737" customFormat="1">
      <c r="A2111" s="738"/>
      <c r="B2111" s="735" t="s">
        <v>6902</v>
      </c>
      <c r="C2111" s="734">
        <v>1</v>
      </c>
      <c r="D2111" s="734">
        <v>1</v>
      </c>
      <c r="E2111" s="735"/>
      <c r="F2111" s="735"/>
      <c r="G2111" s="735"/>
      <c r="H2111" s="739">
        <f t="shared" si="194"/>
        <v>1</v>
      </c>
      <c r="I2111" s="736"/>
    </row>
    <row r="2112" spans="1:17" s="737" customFormat="1">
      <c r="A2112" s="738"/>
      <c r="B2112" s="757" t="s">
        <v>6098</v>
      </c>
      <c r="C2112" s="734"/>
      <c r="D2112" s="734"/>
      <c r="E2112" s="735"/>
      <c r="F2112" s="735"/>
      <c r="G2112" s="735"/>
      <c r="H2112" s="739"/>
      <c r="I2112" s="736"/>
    </row>
    <row r="2113" spans="1:9" s="737" customFormat="1">
      <c r="A2113" s="738"/>
      <c r="B2113" s="735" t="s">
        <v>5899</v>
      </c>
      <c r="C2113" s="734">
        <v>1</v>
      </c>
      <c r="D2113" s="734">
        <v>3</v>
      </c>
      <c r="E2113" s="735"/>
      <c r="F2113" s="735"/>
      <c r="G2113" s="735"/>
      <c r="H2113" s="739">
        <f t="shared" ref="H2113:H2120" si="195">PRODUCT(C2113:G2113)</f>
        <v>3</v>
      </c>
      <c r="I2113" s="736"/>
    </row>
    <row r="2114" spans="1:9" s="737" customFormat="1">
      <c r="A2114" s="738"/>
      <c r="B2114" s="735" t="s">
        <v>6309</v>
      </c>
      <c r="C2114" s="734">
        <v>1</v>
      </c>
      <c r="D2114" s="734">
        <v>2</v>
      </c>
      <c r="E2114" s="735"/>
      <c r="F2114" s="735"/>
      <c r="G2114" s="735"/>
      <c r="H2114" s="739">
        <f t="shared" si="195"/>
        <v>2</v>
      </c>
      <c r="I2114" s="736"/>
    </row>
    <row r="2115" spans="1:9" s="737" customFormat="1">
      <c r="A2115" s="738"/>
      <c r="B2115" s="735" t="s">
        <v>6052</v>
      </c>
      <c r="C2115" s="734">
        <v>1</v>
      </c>
      <c r="D2115" s="734">
        <v>2</v>
      </c>
      <c r="E2115" s="735"/>
      <c r="F2115" s="735"/>
      <c r="G2115" s="735"/>
      <c r="H2115" s="739">
        <f t="shared" si="195"/>
        <v>2</v>
      </c>
      <c r="I2115" s="736"/>
    </row>
    <row r="2116" spans="1:9" s="737" customFormat="1">
      <c r="A2116" s="738"/>
      <c r="B2116" s="735" t="s">
        <v>6397</v>
      </c>
      <c r="C2116" s="734">
        <v>2</v>
      </c>
      <c r="D2116" s="734">
        <v>2</v>
      </c>
      <c r="E2116" s="735"/>
      <c r="F2116" s="735"/>
      <c r="G2116" s="735"/>
      <c r="H2116" s="739">
        <f t="shared" si="195"/>
        <v>4</v>
      </c>
      <c r="I2116" s="736"/>
    </row>
    <row r="2117" spans="1:9" s="737" customFormat="1">
      <c r="A2117" s="738"/>
      <c r="B2117" s="735" t="s">
        <v>6398</v>
      </c>
      <c r="C2117" s="734">
        <v>1</v>
      </c>
      <c r="D2117" s="734">
        <v>1</v>
      </c>
      <c r="E2117" s="735"/>
      <c r="F2117" s="735"/>
      <c r="G2117" s="735"/>
      <c r="H2117" s="739">
        <f t="shared" si="195"/>
        <v>1</v>
      </c>
      <c r="I2117" s="736"/>
    </row>
    <row r="2118" spans="1:9" s="737" customFormat="1">
      <c r="A2118" s="738"/>
      <c r="B2118" s="735" t="s">
        <v>5901</v>
      </c>
      <c r="C2118" s="734">
        <v>1</v>
      </c>
      <c r="D2118" s="734">
        <v>2</v>
      </c>
      <c r="E2118" s="735"/>
      <c r="F2118" s="735"/>
      <c r="G2118" s="735"/>
      <c r="H2118" s="739">
        <f t="shared" si="195"/>
        <v>2</v>
      </c>
      <c r="I2118" s="736"/>
    </row>
    <row r="2119" spans="1:9" s="737" customFormat="1">
      <c r="A2119" s="738"/>
      <c r="B2119" s="735" t="s">
        <v>6399</v>
      </c>
      <c r="C2119" s="734">
        <v>1</v>
      </c>
      <c r="D2119" s="734">
        <v>1</v>
      </c>
      <c r="E2119" s="735"/>
      <c r="F2119" s="735"/>
      <c r="G2119" s="735"/>
      <c r="H2119" s="739">
        <f t="shared" si="195"/>
        <v>1</v>
      </c>
      <c r="I2119" s="736"/>
    </row>
    <row r="2120" spans="1:9" s="737" customFormat="1">
      <c r="A2120" s="738"/>
      <c r="B2120" s="735" t="s">
        <v>6068</v>
      </c>
      <c r="C2120" s="734">
        <v>1</v>
      </c>
      <c r="D2120" s="734">
        <v>2</v>
      </c>
      <c r="E2120" s="735"/>
      <c r="F2120" s="735"/>
      <c r="G2120" s="735"/>
      <c r="H2120" s="739">
        <f t="shared" si="195"/>
        <v>2</v>
      </c>
      <c r="I2120" s="736"/>
    </row>
    <row r="2121" spans="1:9" s="776" customFormat="1" ht="21" customHeight="1">
      <c r="A2121" s="769"/>
      <c r="B2121" s="770"/>
      <c r="C2121" s="769"/>
      <c r="D2121" s="769"/>
      <c r="E2121" s="793"/>
      <c r="F2121" s="772"/>
      <c r="G2121" s="778" t="s">
        <v>2235</v>
      </c>
      <c r="H2121" s="779">
        <f>SUM(H2103:H2120)</f>
        <v>36</v>
      </c>
      <c r="I2121" s="775" t="s">
        <v>1427</v>
      </c>
    </row>
    <row r="2122" spans="1:9" s="776" customFormat="1" ht="21" customHeight="1">
      <c r="A2122" s="769"/>
      <c r="B2122" s="770" t="s">
        <v>6435</v>
      </c>
      <c r="C2122" s="769"/>
      <c r="D2122" s="769"/>
      <c r="E2122" s="771"/>
      <c r="F2122" s="772"/>
      <c r="G2122" s="773"/>
      <c r="H2122" s="774"/>
      <c r="I2122" s="775"/>
    </row>
    <row r="2123" spans="1:9" s="776" customFormat="1" ht="21" customHeight="1">
      <c r="A2123" s="769"/>
      <c r="B2123" s="803" t="s">
        <v>6436</v>
      </c>
      <c r="C2123" s="769"/>
      <c r="D2123" s="769"/>
      <c r="E2123" s="771"/>
      <c r="F2123" s="772"/>
      <c r="G2123" s="773"/>
      <c r="H2123" s="774"/>
      <c r="I2123" s="775"/>
    </row>
    <row r="2124" spans="1:9" s="737" customFormat="1">
      <c r="A2124" s="732"/>
      <c r="B2124" s="757" t="s">
        <v>6002</v>
      </c>
      <c r="C2124" s="734"/>
      <c r="D2124" s="734"/>
      <c r="E2124" s="735"/>
      <c r="F2124" s="735"/>
      <c r="G2124" s="735"/>
      <c r="H2124" s="735"/>
      <c r="I2124" s="736"/>
    </row>
    <row r="2125" spans="1:9" s="737" customFormat="1">
      <c r="A2125" s="738"/>
      <c r="B2125" s="735" t="s">
        <v>6409</v>
      </c>
      <c r="C2125" s="734">
        <v>1</v>
      </c>
      <c r="D2125" s="734">
        <v>2</v>
      </c>
      <c r="E2125" s="735"/>
      <c r="F2125" s="735"/>
      <c r="G2125" s="735"/>
      <c r="H2125" s="739">
        <f>PRODUCT(C2125:G2125)</f>
        <v>2</v>
      </c>
      <c r="I2125" s="736"/>
    </row>
    <row r="2126" spans="1:9" s="737" customFormat="1">
      <c r="A2126" s="738"/>
      <c r="B2126" s="735" t="s">
        <v>6410</v>
      </c>
      <c r="C2126" s="734">
        <v>1</v>
      </c>
      <c r="D2126" s="734">
        <v>2</v>
      </c>
      <c r="E2126" s="735"/>
      <c r="F2126" s="735"/>
      <c r="G2126" s="735"/>
      <c r="H2126" s="739">
        <f>PRODUCT(C2126:G2126)</f>
        <v>2</v>
      </c>
      <c r="I2126" s="736"/>
    </row>
    <row r="2127" spans="1:9" s="737" customFormat="1">
      <c r="A2127" s="738"/>
      <c r="B2127" s="735" t="s">
        <v>6411</v>
      </c>
      <c r="C2127" s="734">
        <v>1</v>
      </c>
      <c r="D2127" s="734">
        <v>2</v>
      </c>
      <c r="E2127" s="735"/>
      <c r="F2127" s="735"/>
      <c r="G2127" s="735"/>
      <c r="H2127" s="739">
        <f>PRODUCT(C2127:G2127)</f>
        <v>2</v>
      </c>
      <c r="I2127" s="736"/>
    </row>
    <row r="2128" spans="1:9" s="737" customFormat="1">
      <c r="A2128" s="738"/>
      <c r="B2128" s="735" t="s">
        <v>5838</v>
      </c>
      <c r="C2128" s="734">
        <v>1</v>
      </c>
      <c r="D2128" s="734">
        <v>4</v>
      </c>
      <c r="E2128" s="735"/>
      <c r="F2128" s="735"/>
      <c r="G2128" s="735"/>
      <c r="H2128" s="739">
        <f>PRODUCT(C2128:G2128)</f>
        <v>4</v>
      </c>
      <c r="I2128" s="736"/>
    </row>
    <row r="2129" spans="1:9" s="737" customFormat="1">
      <c r="A2129" s="738"/>
      <c r="B2129" s="735" t="s">
        <v>5953</v>
      </c>
      <c r="C2129" s="734">
        <v>1</v>
      </c>
      <c r="D2129" s="734">
        <v>1</v>
      </c>
      <c r="E2129" s="735"/>
      <c r="F2129" s="735"/>
      <c r="G2129" s="735"/>
      <c r="H2129" s="739">
        <f t="shared" ref="H2129:H2133" si="196">PRODUCT(C2129:G2129)</f>
        <v>1</v>
      </c>
      <c r="I2129" s="736"/>
    </row>
    <row r="2130" spans="1:9" s="737" customFormat="1">
      <c r="A2130" s="738"/>
      <c r="B2130" s="735" t="s">
        <v>5958</v>
      </c>
      <c r="C2130" s="734">
        <v>1</v>
      </c>
      <c r="D2130" s="734">
        <v>1</v>
      </c>
      <c r="E2130" s="735"/>
      <c r="F2130" s="735"/>
      <c r="G2130" s="735"/>
      <c r="H2130" s="739">
        <f t="shared" si="196"/>
        <v>1</v>
      </c>
      <c r="I2130" s="736"/>
    </row>
    <row r="2131" spans="1:9" s="737" customFormat="1">
      <c r="A2131" s="738"/>
      <c r="B2131" s="735" t="s">
        <v>6304</v>
      </c>
      <c r="C2131" s="734">
        <v>1</v>
      </c>
      <c r="D2131" s="734">
        <v>1</v>
      </c>
      <c r="E2131" s="735"/>
      <c r="F2131" s="735"/>
      <c r="G2131" s="735"/>
      <c r="H2131" s="739">
        <f t="shared" si="196"/>
        <v>1</v>
      </c>
      <c r="I2131" s="736"/>
    </row>
    <row r="2132" spans="1:9" s="737" customFormat="1">
      <c r="A2132" s="738"/>
      <c r="B2132" s="735" t="s">
        <v>6268</v>
      </c>
      <c r="C2132" s="734">
        <v>1</v>
      </c>
      <c r="D2132" s="734">
        <v>2</v>
      </c>
      <c r="E2132" s="735"/>
      <c r="F2132" s="735"/>
      <c r="G2132" s="735"/>
      <c r="H2132" s="739">
        <f t="shared" si="196"/>
        <v>2</v>
      </c>
      <c r="I2132" s="736"/>
    </row>
    <row r="2133" spans="1:9" s="737" customFormat="1">
      <c r="A2133" s="738"/>
      <c r="B2133" s="735" t="s">
        <v>6411</v>
      </c>
      <c r="C2133" s="734">
        <v>1</v>
      </c>
      <c r="D2133" s="734">
        <v>2</v>
      </c>
      <c r="E2133" s="735"/>
      <c r="F2133" s="735"/>
      <c r="G2133" s="735"/>
      <c r="H2133" s="739">
        <f t="shared" si="196"/>
        <v>2</v>
      </c>
      <c r="I2133" s="736"/>
    </row>
    <row r="2134" spans="1:9" s="737" customFormat="1">
      <c r="A2134" s="738"/>
      <c r="B2134" s="757" t="s">
        <v>6098</v>
      </c>
      <c r="C2134" s="734"/>
      <c r="D2134" s="734"/>
      <c r="E2134" s="735"/>
      <c r="F2134" s="735"/>
      <c r="G2134" s="735"/>
      <c r="H2134" s="739"/>
      <c r="I2134" s="736"/>
    </row>
    <row r="2135" spans="1:9" s="737" customFormat="1">
      <c r="A2135" s="738"/>
      <c r="B2135" s="735" t="s">
        <v>5899</v>
      </c>
      <c r="C2135" s="734">
        <v>1</v>
      </c>
      <c r="D2135" s="734">
        <v>2</v>
      </c>
      <c r="E2135" s="735"/>
      <c r="F2135" s="735"/>
      <c r="G2135" s="735"/>
      <c r="H2135" s="739">
        <f t="shared" ref="H2135:H2136" si="197">PRODUCT(C2135:G2135)</f>
        <v>2</v>
      </c>
      <c r="I2135" s="736"/>
    </row>
    <row r="2136" spans="1:9" s="737" customFormat="1">
      <c r="A2136" s="738"/>
      <c r="B2136" s="735" t="s">
        <v>6309</v>
      </c>
      <c r="C2136" s="734">
        <v>1</v>
      </c>
      <c r="D2136" s="734">
        <v>1</v>
      </c>
      <c r="E2136" s="735"/>
      <c r="F2136" s="735"/>
      <c r="G2136" s="735"/>
      <c r="H2136" s="739">
        <f t="shared" si="197"/>
        <v>1</v>
      </c>
      <c r="I2136" s="736"/>
    </row>
    <row r="2137" spans="1:9" s="737" customFormat="1">
      <c r="A2137" s="738"/>
      <c r="B2137" s="735" t="s">
        <v>6068</v>
      </c>
      <c r="C2137" s="734">
        <v>1</v>
      </c>
      <c r="D2137" s="734">
        <v>1</v>
      </c>
      <c r="E2137" s="735"/>
      <c r="F2137" s="735"/>
      <c r="G2137" s="735"/>
      <c r="H2137" s="739">
        <f>PRODUCT(C2137:G2137)</f>
        <v>1</v>
      </c>
      <c r="I2137" s="736"/>
    </row>
    <row r="2138" spans="1:9" s="737" customFormat="1">
      <c r="A2138" s="738"/>
      <c r="B2138" s="735" t="s">
        <v>6052</v>
      </c>
      <c r="C2138" s="734">
        <v>1</v>
      </c>
      <c r="D2138" s="734">
        <v>2</v>
      </c>
      <c r="E2138" s="735"/>
      <c r="F2138" s="735"/>
      <c r="G2138" s="735"/>
      <c r="H2138" s="739">
        <f t="shared" ref="H2138:H2144" si="198">PRODUCT(C2138:G2138)</f>
        <v>2</v>
      </c>
      <c r="I2138" s="736"/>
    </row>
    <row r="2139" spans="1:9" s="737" customFormat="1">
      <c r="A2139" s="738"/>
      <c r="B2139" s="735" t="s">
        <v>6412</v>
      </c>
      <c r="C2139" s="734">
        <v>1</v>
      </c>
      <c r="D2139" s="734">
        <v>2</v>
      </c>
      <c r="E2139" s="735"/>
      <c r="F2139" s="735"/>
      <c r="G2139" s="735"/>
      <c r="H2139" s="739">
        <f t="shared" si="198"/>
        <v>2</v>
      </c>
      <c r="I2139" s="736"/>
    </row>
    <row r="2140" spans="1:9" s="737" customFormat="1">
      <c r="A2140" s="738"/>
      <c r="B2140" s="735" t="s">
        <v>6413</v>
      </c>
      <c r="C2140" s="734">
        <v>1</v>
      </c>
      <c r="D2140" s="734">
        <v>2</v>
      </c>
      <c r="E2140" s="735"/>
      <c r="F2140" s="735"/>
      <c r="G2140" s="735"/>
      <c r="H2140" s="739">
        <f t="shared" si="198"/>
        <v>2</v>
      </c>
      <c r="I2140" s="736"/>
    </row>
    <row r="2141" spans="1:9" s="737" customFormat="1">
      <c r="A2141" s="738"/>
      <c r="B2141" s="735" t="s">
        <v>6397</v>
      </c>
      <c r="C2141" s="734">
        <v>1</v>
      </c>
      <c r="D2141" s="734">
        <v>2</v>
      </c>
      <c r="E2141" s="735"/>
      <c r="F2141" s="735"/>
      <c r="G2141" s="735"/>
      <c r="H2141" s="739">
        <f t="shared" si="198"/>
        <v>2</v>
      </c>
      <c r="I2141" s="736"/>
    </row>
    <row r="2142" spans="1:9" s="737" customFormat="1">
      <c r="A2142" s="738"/>
      <c r="B2142" s="735" t="s">
        <v>6414</v>
      </c>
      <c r="C2142" s="734">
        <v>1</v>
      </c>
      <c r="D2142" s="734">
        <v>2</v>
      </c>
      <c r="E2142" s="735"/>
      <c r="F2142" s="735"/>
      <c r="G2142" s="735"/>
      <c r="H2142" s="739">
        <f t="shared" si="198"/>
        <v>2</v>
      </c>
      <c r="I2142" s="736"/>
    </row>
    <row r="2143" spans="1:9" s="737" customFormat="1">
      <c r="A2143" s="738"/>
      <c r="B2143" s="735" t="s">
        <v>6415</v>
      </c>
      <c r="C2143" s="734">
        <v>1</v>
      </c>
      <c r="D2143" s="734">
        <v>1</v>
      </c>
      <c r="E2143" s="735"/>
      <c r="F2143" s="735"/>
      <c r="G2143" s="735"/>
      <c r="H2143" s="739">
        <f t="shared" si="198"/>
        <v>1</v>
      </c>
      <c r="I2143" s="736"/>
    </row>
    <row r="2144" spans="1:9" s="737" customFormat="1">
      <c r="A2144" s="738"/>
      <c r="B2144" s="735" t="s">
        <v>6399</v>
      </c>
      <c r="C2144" s="734">
        <v>1</v>
      </c>
      <c r="D2144" s="734">
        <v>1</v>
      </c>
      <c r="E2144" s="735"/>
      <c r="F2144" s="735"/>
      <c r="G2144" s="735"/>
      <c r="H2144" s="739">
        <f t="shared" si="198"/>
        <v>1</v>
      </c>
      <c r="I2144" s="736"/>
    </row>
    <row r="2145" spans="1:9" s="776" customFormat="1" ht="21" customHeight="1">
      <c r="A2145" s="769"/>
      <c r="B2145" s="770"/>
      <c r="C2145" s="769"/>
      <c r="D2145" s="769"/>
      <c r="E2145" s="793"/>
      <c r="F2145" s="772"/>
      <c r="G2145" s="778" t="s">
        <v>2235</v>
      </c>
      <c r="H2145" s="779">
        <f>SUM(H2124:H2144)</f>
        <v>33</v>
      </c>
      <c r="I2145" s="775" t="s">
        <v>1427</v>
      </c>
    </row>
    <row r="2146" spans="1:9" s="776" customFormat="1" ht="21" customHeight="1">
      <c r="A2146" s="769"/>
      <c r="B2146" s="770"/>
      <c r="C2146" s="769"/>
      <c r="D2146" s="769"/>
      <c r="E2146" s="793"/>
      <c r="F2146" s="772"/>
      <c r="G2146" s="778"/>
      <c r="H2146" s="779"/>
      <c r="I2146" s="775"/>
    </row>
    <row r="2147" spans="1:9" s="776" customFormat="1" ht="21" customHeight="1">
      <c r="A2147" s="769"/>
      <c r="B2147" s="803" t="s">
        <v>6437</v>
      </c>
      <c r="C2147" s="769"/>
      <c r="D2147" s="769"/>
      <c r="E2147" s="771"/>
      <c r="F2147" s="772"/>
      <c r="G2147" s="773"/>
      <c r="H2147" s="774"/>
      <c r="I2147" s="775"/>
    </row>
    <row r="2148" spans="1:9" s="776" customFormat="1" ht="21" customHeight="1">
      <c r="A2148" s="769"/>
      <c r="B2148" s="770" t="s">
        <v>6438</v>
      </c>
      <c r="C2148" s="769">
        <v>1</v>
      </c>
      <c r="D2148" s="769">
        <v>1</v>
      </c>
      <c r="E2148" s="774">
        <f>H2098</f>
        <v>12</v>
      </c>
      <c r="F2148" s="804"/>
      <c r="G2148" s="773"/>
      <c r="H2148" s="774">
        <f>ROUND(PRODUCT(C2148:G2148),2)</f>
        <v>12</v>
      </c>
      <c r="I2148" s="775"/>
    </row>
    <row r="2149" spans="1:9" s="776" customFormat="1" ht="21" customHeight="1">
      <c r="A2149" s="769"/>
      <c r="B2149" s="770"/>
      <c r="C2149" s="769"/>
      <c r="D2149" s="769"/>
      <c r="E2149" s="793"/>
      <c r="F2149" s="772"/>
      <c r="G2149" s="778" t="s">
        <v>2235</v>
      </c>
      <c r="H2149" s="779">
        <f>SUM(H2148:H2148)</f>
        <v>12</v>
      </c>
      <c r="I2149" s="775" t="s">
        <v>1427</v>
      </c>
    </row>
    <row r="2150" spans="1:9" s="737" customFormat="1" ht="68.25" customHeight="1">
      <c r="A2150" s="732">
        <v>77.099999999999994</v>
      </c>
      <c r="B2150" s="1289" t="s">
        <v>6439</v>
      </c>
      <c r="C2150" s="1289"/>
      <c r="D2150" s="1289"/>
      <c r="E2150" s="1289"/>
      <c r="F2150" s="735"/>
      <c r="G2150" s="735"/>
      <c r="H2150" s="735"/>
      <c r="I2150" s="736"/>
    </row>
    <row r="2151" spans="1:9" s="737" customFormat="1">
      <c r="A2151" s="738"/>
      <c r="B2151" s="805" t="s">
        <v>6052</v>
      </c>
      <c r="C2151" s="734">
        <v>1</v>
      </c>
      <c r="D2151" s="734">
        <v>1</v>
      </c>
      <c r="E2151" s="739">
        <v>25</v>
      </c>
      <c r="F2151" s="735"/>
      <c r="G2151" s="735"/>
      <c r="H2151" s="739">
        <f t="shared" ref="H2151:H2159" si="199">PRODUCT(C2151:G2151)</f>
        <v>25</v>
      </c>
      <c r="I2151" s="736"/>
    </row>
    <row r="2152" spans="1:9" s="737" customFormat="1">
      <c r="A2152" s="738"/>
      <c r="B2152" s="805" t="s">
        <v>6440</v>
      </c>
      <c r="C2152" s="734">
        <v>1</v>
      </c>
      <c r="D2152" s="734">
        <v>1</v>
      </c>
      <c r="E2152" s="739">
        <v>11.5</v>
      </c>
      <c r="F2152" s="735"/>
      <c r="G2152" s="735"/>
      <c r="H2152" s="739">
        <f t="shared" si="199"/>
        <v>11.5</v>
      </c>
      <c r="I2152" s="736"/>
    </row>
    <row r="2153" spans="1:9" s="737" customFormat="1">
      <c r="A2153" s="738"/>
      <c r="B2153" s="805" t="s">
        <v>6397</v>
      </c>
      <c r="C2153" s="734">
        <v>1</v>
      </c>
      <c r="D2153" s="734">
        <v>2</v>
      </c>
      <c r="E2153" s="739">
        <v>12</v>
      </c>
      <c r="F2153" s="735"/>
      <c r="G2153" s="735"/>
      <c r="H2153" s="739">
        <f t="shared" si="199"/>
        <v>24</v>
      </c>
      <c r="I2153" s="736"/>
    </row>
    <row r="2154" spans="1:9" s="737" customFormat="1">
      <c r="A2154" s="738"/>
      <c r="B2154" s="805" t="s">
        <v>5901</v>
      </c>
      <c r="C2154" s="734">
        <v>1</v>
      </c>
      <c r="D2154" s="734">
        <v>1</v>
      </c>
      <c r="E2154" s="739">
        <v>18</v>
      </c>
      <c r="F2154" s="735"/>
      <c r="G2154" s="735"/>
      <c r="H2154" s="739">
        <f t="shared" si="199"/>
        <v>18</v>
      </c>
      <c r="I2154" s="736"/>
    </row>
    <row r="2155" spans="1:9" s="737" customFormat="1">
      <c r="A2155" s="738"/>
      <c r="B2155" s="805" t="s">
        <v>6441</v>
      </c>
      <c r="C2155" s="734">
        <v>1</v>
      </c>
      <c r="D2155" s="734">
        <v>1</v>
      </c>
      <c r="E2155" s="739">
        <v>25</v>
      </c>
      <c r="F2155" s="735"/>
      <c r="G2155" s="735"/>
      <c r="H2155" s="739">
        <f t="shared" si="199"/>
        <v>25</v>
      </c>
      <c r="I2155" s="736"/>
    </row>
    <row r="2156" spans="1:9" s="737" customFormat="1">
      <c r="A2156" s="738"/>
      <c r="B2156" s="805" t="s">
        <v>6442</v>
      </c>
      <c r="C2156" s="734">
        <v>1</v>
      </c>
      <c r="D2156" s="734">
        <v>2</v>
      </c>
      <c r="E2156" s="739">
        <v>8.5</v>
      </c>
      <c r="F2156" s="735"/>
      <c r="G2156" s="735"/>
      <c r="H2156" s="739">
        <f t="shared" si="199"/>
        <v>17</v>
      </c>
      <c r="I2156" s="736"/>
    </row>
    <row r="2157" spans="1:9" s="737" customFormat="1">
      <c r="A2157" s="738"/>
      <c r="B2157" s="805" t="s">
        <v>6443</v>
      </c>
      <c r="C2157" s="734">
        <v>1</v>
      </c>
      <c r="D2157" s="734">
        <v>2</v>
      </c>
      <c r="E2157" s="739">
        <v>12.5</v>
      </c>
      <c r="F2157" s="735"/>
      <c r="G2157" s="735"/>
      <c r="H2157" s="739">
        <f t="shared" si="199"/>
        <v>25</v>
      </c>
      <c r="I2157" s="736"/>
    </row>
    <row r="2158" spans="1:9" s="737" customFormat="1">
      <c r="A2158" s="738"/>
      <c r="B2158" s="805" t="s">
        <v>5956</v>
      </c>
      <c r="C2158" s="734">
        <v>1</v>
      </c>
      <c r="D2158" s="734">
        <v>5</v>
      </c>
      <c r="E2158" s="739">
        <v>10</v>
      </c>
      <c r="F2158" s="735"/>
      <c r="G2158" s="735"/>
      <c r="H2158" s="739">
        <f t="shared" si="199"/>
        <v>50</v>
      </c>
      <c r="I2158" s="736"/>
    </row>
    <row r="2159" spans="1:9" s="737" customFormat="1">
      <c r="A2159" s="738"/>
      <c r="B2159" s="805" t="s">
        <v>6902</v>
      </c>
      <c r="C2159" s="734">
        <v>1</v>
      </c>
      <c r="D2159" s="734">
        <v>1</v>
      </c>
      <c r="E2159" s="739">
        <v>15</v>
      </c>
      <c r="F2159" s="735"/>
      <c r="G2159" s="735"/>
      <c r="H2159" s="739">
        <f t="shared" si="199"/>
        <v>15</v>
      </c>
      <c r="I2159" s="736"/>
    </row>
    <row r="2160" spans="1:9" s="737" customFormat="1">
      <c r="A2160" s="738"/>
      <c r="B2160" s="735"/>
      <c r="C2160" s="734"/>
      <c r="D2160" s="734"/>
      <c r="E2160" s="735"/>
      <c r="F2160" s="735"/>
      <c r="G2160" s="757" t="s">
        <v>2235</v>
      </c>
      <c r="H2160" s="742">
        <f>SUM(H2151:H2159)</f>
        <v>210.5</v>
      </c>
      <c r="I2160" s="736" t="s">
        <v>823</v>
      </c>
    </row>
    <row r="2161" spans="1:9" s="737" customFormat="1" ht="103.5" customHeight="1">
      <c r="A2161" s="732">
        <v>77.599999999999994</v>
      </c>
      <c r="B2161" s="733" t="s">
        <v>6444</v>
      </c>
      <c r="C2161" s="734"/>
      <c r="D2161" s="734"/>
      <c r="E2161" s="735"/>
      <c r="F2161" s="735"/>
      <c r="G2161" s="735"/>
      <c r="H2161" s="739"/>
      <c r="I2161" s="736"/>
    </row>
    <row r="2162" spans="1:9" s="737" customFormat="1">
      <c r="A2162" s="738"/>
      <c r="B2162" s="735" t="s">
        <v>6445</v>
      </c>
      <c r="C2162" s="734"/>
      <c r="D2162" s="734"/>
      <c r="E2162" s="735"/>
      <c r="F2162" s="735"/>
      <c r="G2162" s="735"/>
      <c r="H2162" s="739"/>
      <c r="I2162" s="736"/>
    </row>
    <row r="2163" spans="1:9" s="737" customFormat="1">
      <c r="A2163" s="738"/>
      <c r="B2163" s="735" t="s">
        <v>6117</v>
      </c>
      <c r="C2163" s="734">
        <v>1</v>
      </c>
      <c r="D2163" s="734">
        <v>1</v>
      </c>
      <c r="E2163" s="739">
        <v>22</v>
      </c>
      <c r="F2163" s="735"/>
      <c r="G2163" s="735"/>
      <c r="H2163" s="739">
        <f>PRODUCT(C2163:G2163)</f>
        <v>22</v>
      </c>
      <c r="I2163" s="736"/>
    </row>
    <row r="2164" spans="1:9" s="737" customFormat="1">
      <c r="A2164" s="738"/>
      <c r="B2164" s="735" t="s">
        <v>6446</v>
      </c>
      <c r="C2164" s="734">
        <v>1</v>
      </c>
      <c r="D2164" s="734">
        <v>2</v>
      </c>
      <c r="E2164" s="739">
        <v>12</v>
      </c>
      <c r="F2164" s="735"/>
      <c r="G2164" s="735"/>
      <c r="H2164" s="739">
        <f>PRODUCT(C2164:G2164)</f>
        <v>24</v>
      </c>
      <c r="I2164" s="736"/>
    </row>
    <row r="2165" spans="1:9" s="737" customFormat="1">
      <c r="A2165" s="738"/>
      <c r="B2165" s="735" t="s">
        <v>5860</v>
      </c>
      <c r="C2165" s="734">
        <v>1</v>
      </c>
      <c r="D2165" s="734">
        <v>1</v>
      </c>
      <c r="E2165" s="739">
        <v>18</v>
      </c>
      <c r="F2165" s="735"/>
      <c r="G2165" s="735"/>
      <c r="H2165" s="739">
        <f>PRODUCT(C2165:G2165)</f>
        <v>18</v>
      </c>
      <c r="I2165" s="736"/>
    </row>
    <row r="2166" spans="1:9" s="737" customFormat="1">
      <c r="A2166" s="738"/>
      <c r="B2166" s="735" t="s">
        <v>6156</v>
      </c>
      <c r="C2166" s="734">
        <v>1</v>
      </c>
      <c r="D2166" s="734">
        <v>1</v>
      </c>
      <c r="E2166" s="739">
        <v>21</v>
      </c>
      <c r="F2166" s="735"/>
      <c r="G2166" s="735"/>
      <c r="H2166" s="739">
        <f>PRODUCT(C2166:G2166)</f>
        <v>21</v>
      </c>
      <c r="I2166" s="736"/>
    </row>
    <row r="2167" spans="1:9" s="737" customFormat="1">
      <c r="A2167" s="738"/>
      <c r="B2167" s="735" t="s">
        <v>5862</v>
      </c>
      <c r="C2167" s="734">
        <v>1</v>
      </c>
      <c r="D2167" s="734">
        <v>4</v>
      </c>
      <c r="E2167" s="739">
        <v>16</v>
      </c>
      <c r="F2167" s="735"/>
      <c r="G2167" s="735"/>
      <c r="H2167" s="739">
        <f>PRODUCT(C2167:G2167)</f>
        <v>64</v>
      </c>
      <c r="I2167" s="736"/>
    </row>
    <row r="2168" spans="1:9" s="737" customFormat="1">
      <c r="A2168" s="738"/>
      <c r="B2168" s="735"/>
      <c r="C2168" s="734"/>
      <c r="D2168" s="734"/>
      <c r="E2168" s="735"/>
      <c r="F2168" s="735"/>
      <c r="G2168" s="735"/>
      <c r="H2168" s="742">
        <f>SUM(H2163:H2167)</f>
        <v>149</v>
      </c>
      <c r="I2168" s="736" t="s">
        <v>823</v>
      </c>
    </row>
    <row r="2169" spans="1:9" s="737" customFormat="1" ht="75">
      <c r="A2169" s="732">
        <v>99.1</v>
      </c>
      <c r="B2169" s="733" t="s">
        <v>6532</v>
      </c>
      <c r="C2169" s="734"/>
      <c r="D2169" s="734"/>
      <c r="E2169" s="735"/>
      <c r="F2169" s="735"/>
      <c r="G2169" s="735"/>
      <c r="H2169" s="735"/>
      <c r="I2169" s="736"/>
    </row>
    <row r="2170" spans="1:9" s="737" customFormat="1">
      <c r="A2170" s="732"/>
      <c r="B2170" s="735" t="s">
        <v>6447</v>
      </c>
      <c r="C2170" s="734"/>
      <c r="D2170" s="734"/>
      <c r="E2170" s="735"/>
      <c r="F2170" s="735"/>
      <c r="G2170" s="735"/>
      <c r="H2170" s="735"/>
      <c r="I2170" s="736"/>
    </row>
    <row r="2171" spans="1:9" s="737" customFormat="1">
      <c r="A2171" s="738"/>
      <c r="B2171" s="735" t="s">
        <v>5864</v>
      </c>
      <c r="C2171" s="734">
        <v>1</v>
      </c>
      <c r="D2171" s="734">
        <v>1</v>
      </c>
      <c r="E2171" s="739">
        <v>1.4</v>
      </c>
      <c r="F2171" s="735"/>
      <c r="G2171" s="735">
        <v>2.0499999999999998</v>
      </c>
      <c r="H2171" s="739">
        <f>PRODUCT(C2171:G2171)</f>
        <v>2.87</v>
      </c>
      <c r="I2171" s="736"/>
    </row>
    <row r="2172" spans="1:9" s="737" customFormat="1">
      <c r="A2172" s="738"/>
      <c r="B2172" s="735"/>
      <c r="C2172" s="734"/>
      <c r="D2172" s="734"/>
      <c r="E2172" s="735"/>
      <c r="F2172" s="735"/>
      <c r="G2172" s="735"/>
      <c r="H2172" s="742">
        <f>ROUNDUP(H2171,1)</f>
        <v>2.9</v>
      </c>
      <c r="I2172" s="736" t="s">
        <v>2273</v>
      </c>
    </row>
    <row r="2173" spans="1:9" s="737" customFormat="1" ht="59.25" customHeight="1">
      <c r="A2173" s="732">
        <v>99.1</v>
      </c>
      <c r="B2173" s="782" t="s">
        <v>6533</v>
      </c>
      <c r="C2173" s="734"/>
      <c r="D2173" s="734"/>
      <c r="E2173" s="735"/>
      <c r="F2173" s="735"/>
      <c r="G2173" s="735"/>
      <c r="H2173" s="735"/>
      <c r="I2173" s="736"/>
    </row>
    <row r="2174" spans="1:9" s="737" customFormat="1">
      <c r="A2174" s="732" t="s">
        <v>3182</v>
      </c>
      <c r="B2174" s="735" t="s">
        <v>6448</v>
      </c>
      <c r="C2174" s="734"/>
      <c r="D2174" s="734"/>
      <c r="E2174" s="735"/>
      <c r="F2174" s="735"/>
      <c r="G2174" s="735"/>
      <c r="H2174" s="735"/>
      <c r="I2174" s="736"/>
    </row>
    <row r="2175" spans="1:9" s="737" customFormat="1">
      <c r="A2175" s="738"/>
      <c r="B2175" s="735" t="s">
        <v>6969</v>
      </c>
      <c r="C2175" s="734">
        <v>1</v>
      </c>
      <c r="D2175" s="734">
        <v>3</v>
      </c>
      <c r="E2175" s="739">
        <v>1.1000000000000001</v>
      </c>
      <c r="F2175" s="735"/>
      <c r="G2175" s="735">
        <v>2.0499999999999998</v>
      </c>
      <c r="H2175" s="739">
        <f>PRODUCT(C2175:G2175)</f>
        <v>6.77</v>
      </c>
      <c r="I2175" s="736"/>
    </row>
    <row r="2176" spans="1:9" s="737" customFormat="1">
      <c r="A2176" s="738"/>
      <c r="B2176" s="735"/>
      <c r="C2176" s="734"/>
      <c r="D2176" s="734"/>
      <c r="E2176" s="739"/>
      <c r="F2176" s="735"/>
      <c r="G2176" s="735"/>
      <c r="H2176" s="742">
        <f>ROUNDUP(H2175,1)</f>
        <v>6.8</v>
      </c>
      <c r="I2176" s="736" t="s">
        <v>2273</v>
      </c>
    </row>
    <row r="2177" spans="1:9" s="737" customFormat="1">
      <c r="A2177" s="732" t="s">
        <v>2268</v>
      </c>
      <c r="B2177" s="735" t="s">
        <v>6530</v>
      </c>
      <c r="C2177" s="734"/>
      <c r="D2177" s="734"/>
      <c r="E2177" s="739"/>
      <c r="F2177" s="735"/>
      <c r="G2177" s="735"/>
      <c r="H2177" s="742"/>
      <c r="I2177" s="736"/>
    </row>
    <row r="2178" spans="1:9" s="737" customFormat="1">
      <c r="A2178" s="738"/>
      <c r="B2178" s="735" t="s">
        <v>5903</v>
      </c>
      <c r="C2178" s="734">
        <v>1</v>
      </c>
      <c r="D2178" s="734">
        <v>1</v>
      </c>
      <c r="E2178" s="739">
        <v>0.95</v>
      </c>
      <c r="F2178" s="735"/>
      <c r="G2178" s="735">
        <v>2.0499999999999998</v>
      </c>
      <c r="H2178" s="739">
        <f>PRODUCT(C2178:G2178)</f>
        <v>1.95</v>
      </c>
      <c r="I2178" s="736"/>
    </row>
    <row r="2179" spans="1:9" s="737" customFormat="1">
      <c r="A2179" s="738"/>
      <c r="B2179" s="735"/>
      <c r="C2179" s="734"/>
      <c r="D2179" s="734"/>
      <c r="E2179" s="735"/>
      <c r="F2179" s="735"/>
      <c r="G2179" s="735"/>
      <c r="H2179" s="742">
        <f>ROUNDUP(H2178,1)</f>
        <v>2</v>
      </c>
      <c r="I2179" s="736" t="s">
        <v>2273</v>
      </c>
    </row>
    <row r="2180" spans="1:9" s="737" customFormat="1" ht="59.25" customHeight="1">
      <c r="A2180" s="732">
        <v>99.1</v>
      </c>
      <c r="B2180" s="733" t="s">
        <v>6534</v>
      </c>
      <c r="C2180" s="734"/>
      <c r="D2180" s="734"/>
      <c r="E2180" s="735"/>
      <c r="F2180" s="735"/>
      <c r="G2180" s="735"/>
      <c r="H2180" s="735"/>
      <c r="I2180" s="736"/>
    </row>
    <row r="2181" spans="1:9" s="737" customFormat="1">
      <c r="A2181" s="732" t="s">
        <v>2997</v>
      </c>
      <c r="B2181" s="735" t="s">
        <v>6529</v>
      </c>
      <c r="C2181" s="734"/>
      <c r="D2181" s="734"/>
      <c r="E2181" s="739"/>
      <c r="F2181" s="735"/>
      <c r="G2181" s="735"/>
      <c r="H2181" s="742"/>
      <c r="I2181" s="736"/>
    </row>
    <row r="2182" spans="1:9" s="737" customFormat="1" ht="21" customHeight="1">
      <c r="A2182" s="738"/>
      <c r="B2182" s="735" t="s">
        <v>5905</v>
      </c>
      <c r="C2182" s="734">
        <v>1</v>
      </c>
      <c r="D2182" s="734">
        <v>2</v>
      </c>
      <c r="E2182" s="739">
        <v>0.85</v>
      </c>
      <c r="F2182" s="735"/>
      <c r="G2182" s="735">
        <v>2.0499999999999998</v>
      </c>
      <c r="H2182" s="739">
        <f>PRODUCT(C2182:G2182)</f>
        <v>3.49</v>
      </c>
      <c r="I2182" s="736"/>
    </row>
    <row r="2183" spans="1:9" s="737" customFormat="1" ht="21.75" customHeight="1">
      <c r="A2183" s="738"/>
      <c r="B2183" s="735"/>
      <c r="C2183" s="734"/>
      <c r="D2183" s="734"/>
      <c r="E2183" s="735"/>
      <c r="F2183" s="735"/>
      <c r="G2183" s="735"/>
      <c r="H2183" s="742">
        <f>ROUNDUP(H2182,1)</f>
        <v>3.5</v>
      </c>
      <c r="I2183" s="736" t="s">
        <v>2273</v>
      </c>
    </row>
    <row r="2184" spans="1:9" s="737" customFormat="1" ht="45.75" customHeight="1">
      <c r="A2184" s="732">
        <v>112.1</v>
      </c>
      <c r="B2184" s="733" t="s">
        <v>6449</v>
      </c>
      <c r="C2184" s="734"/>
      <c r="D2184" s="734"/>
      <c r="E2184" s="735"/>
      <c r="F2184" s="735"/>
      <c r="G2184" s="735"/>
      <c r="H2184" s="735"/>
      <c r="I2184" s="736"/>
    </row>
    <row r="2185" spans="1:9" s="737" customFormat="1" ht="21" customHeight="1">
      <c r="A2185" s="738"/>
      <c r="B2185" s="735" t="s">
        <v>5931</v>
      </c>
      <c r="C2185" s="734">
        <v>1</v>
      </c>
      <c r="D2185" s="734">
        <v>1</v>
      </c>
      <c r="E2185" s="735"/>
      <c r="F2185" s="735"/>
      <c r="G2185" s="735"/>
      <c r="H2185" s="739">
        <f>PRODUCT(C2185:G2185)</f>
        <v>1</v>
      </c>
      <c r="I2185" s="736"/>
    </row>
    <row r="2186" spans="1:9" s="737" customFormat="1" ht="21" customHeight="1">
      <c r="A2186" s="738"/>
      <c r="B2186" s="735"/>
      <c r="C2186" s="734"/>
      <c r="D2186" s="734"/>
      <c r="E2186" s="735"/>
      <c r="F2186" s="735"/>
      <c r="G2186" s="757" t="s">
        <v>2235</v>
      </c>
      <c r="H2186" s="742">
        <f>SUM(H2185)</f>
        <v>1</v>
      </c>
      <c r="I2186" s="736" t="s">
        <v>1389</v>
      </c>
    </row>
    <row r="2187" spans="1:9" s="737" customFormat="1" ht="41.25" customHeight="1">
      <c r="A2187" s="732">
        <v>367</v>
      </c>
      <c r="B2187" s="733" t="s">
        <v>6450</v>
      </c>
      <c r="C2187" s="734"/>
      <c r="D2187" s="734"/>
      <c r="E2187" s="735"/>
      <c r="F2187" s="806" t="s">
        <v>6139</v>
      </c>
      <c r="G2187" s="735"/>
      <c r="H2187" s="735"/>
      <c r="I2187" s="736"/>
    </row>
    <row r="2188" spans="1:9" s="737" customFormat="1">
      <c r="A2188" s="738"/>
      <c r="B2188" s="735" t="s">
        <v>5864</v>
      </c>
      <c r="C2188" s="734">
        <v>1</v>
      </c>
      <c r="D2188" s="734">
        <v>1</v>
      </c>
      <c r="E2188" s="739">
        <v>1.5</v>
      </c>
      <c r="F2188" s="739">
        <v>2.25</v>
      </c>
      <c r="G2188" s="739">
        <v>2.1</v>
      </c>
      <c r="H2188" s="739">
        <f>PRODUCT(C2188:G2188)</f>
        <v>7.09</v>
      </c>
      <c r="I2188" s="736"/>
    </row>
    <row r="2189" spans="1:9" s="737" customFormat="1">
      <c r="A2189" s="738"/>
      <c r="B2189" s="735" t="s">
        <v>5865</v>
      </c>
      <c r="C2189" s="734">
        <v>1</v>
      </c>
      <c r="D2189" s="734">
        <v>2</v>
      </c>
      <c r="E2189" s="739">
        <v>1.2</v>
      </c>
      <c r="F2189" s="739">
        <v>2.25</v>
      </c>
      <c r="G2189" s="739">
        <v>2.2000000000000002</v>
      </c>
      <c r="H2189" s="739">
        <f>PRODUCT(C2189:G2189)</f>
        <v>11.88</v>
      </c>
      <c r="I2189" s="736"/>
    </row>
    <row r="2190" spans="1:9" s="737" customFormat="1">
      <c r="A2190" s="738"/>
      <c r="B2190" s="735" t="s">
        <v>5903</v>
      </c>
      <c r="C2190" s="734">
        <v>1</v>
      </c>
      <c r="D2190" s="734">
        <v>1</v>
      </c>
      <c r="E2190" s="739">
        <v>1.05</v>
      </c>
      <c r="F2190" s="739">
        <v>2.25</v>
      </c>
      <c r="G2190" s="739">
        <v>2.1</v>
      </c>
      <c r="H2190" s="739">
        <f>PRODUCT(C2190:G2190)</f>
        <v>4.96</v>
      </c>
      <c r="I2190" s="736"/>
    </row>
    <row r="2191" spans="1:9" s="737" customFormat="1">
      <c r="A2191" s="738"/>
      <c r="B2191" s="735" t="s">
        <v>5905</v>
      </c>
      <c r="C2191" s="734">
        <v>1</v>
      </c>
      <c r="D2191" s="734">
        <v>2</v>
      </c>
      <c r="E2191" s="739">
        <v>0.9</v>
      </c>
      <c r="F2191" s="739">
        <v>2.25</v>
      </c>
      <c r="G2191" s="739">
        <v>2.1</v>
      </c>
      <c r="H2191" s="739">
        <f>PRODUCT(C2191:G2191)</f>
        <v>8.51</v>
      </c>
      <c r="I2191" s="736"/>
    </row>
    <row r="2192" spans="1:9" s="737" customFormat="1">
      <c r="A2192" s="738"/>
      <c r="B2192" s="735" t="s">
        <v>5870</v>
      </c>
      <c r="C2192" s="734">
        <v>1</v>
      </c>
      <c r="D2192" s="734">
        <v>1</v>
      </c>
      <c r="E2192" s="739">
        <v>1.5</v>
      </c>
      <c r="F2192" s="739">
        <v>2.25</v>
      </c>
      <c r="G2192" s="739">
        <v>2</v>
      </c>
      <c r="H2192" s="739">
        <f t="shared" ref="H2192:H2194" si="200">PRODUCT(C2192:G2192)</f>
        <v>6.75</v>
      </c>
      <c r="I2192" s="736"/>
    </row>
    <row r="2193" spans="1:9" s="737" customFormat="1">
      <c r="A2193" s="738"/>
      <c r="B2193" s="735" t="s">
        <v>5871</v>
      </c>
      <c r="C2193" s="734">
        <v>1</v>
      </c>
      <c r="D2193" s="734">
        <v>1</v>
      </c>
      <c r="E2193" s="739">
        <v>0.9</v>
      </c>
      <c r="F2193" s="739">
        <v>2.25</v>
      </c>
      <c r="G2193" s="739">
        <v>2</v>
      </c>
      <c r="H2193" s="739">
        <f t="shared" si="200"/>
        <v>4.05</v>
      </c>
      <c r="I2193" s="736"/>
    </row>
    <row r="2194" spans="1:9" s="737" customFormat="1">
      <c r="A2194" s="738"/>
      <c r="B2194" s="735" t="s">
        <v>6967</v>
      </c>
      <c r="C2194" s="734">
        <v>1</v>
      </c>
      <c r="D2194" s="734">
        <v>1</v>
      </c>
      <c r="E2194" s="739">
        <v>1.22</v>
      </c>
      <c r="F2194" s="739">
        <v>2.25</v>
      </c>
      <c r="G2194" s="739">
        <v>2.1</v>
      </c>
      <c r="H2194" s="739">
        <f t="shared" si="200"/>
        <v>5.76</v>
      </c>
      <c r="I2194" s="736"/>
    </row>
    <row r="2195" spans="1:9" s="737" customFormat="1">
      <c r="A2195" s="738"/>
      <c r="B2195" s="735"/>
      <c r="C2195" s="734"/>
      <c r="D2195" s="734"/>
      <c r="E2195" s="735"/>
      <c r="F2195" s="735"/>
      <c r="G2195" s="735"/>
      <c r="H2195" s="742">
        <f>SUM(H2188:H2194)</f>
        <v>49</v>
      </c>
      <c r="I2195" s="736"/>
    </row>
    <row r="2196" spans="1:9" s="737" customFormat="1">
      <c r="A2196" s="738"/>
      <c r="B2196" s="735"/>
      <c r="C2196" s="734"/>
      <c r="D2196" s="734"/>
      <c r="E2196" s="735"/>
      <c r="F2196" s="735"/>
      <c r="G2196" s="757" t="s">
        <v>2235</v>
      </c>
      <c r="H2196" s="742">
        <f>ROUNDUP(H2195,1)</f>
        <v>49</v>
      </c>
      <c r="I2196" s="736" t="s">
        <v>2273</v>
      </c>
    </row>
    <row r="2197" spans="1:9" s="737" customFormat="1" ht="49.5" customHeight="1">
      <c r="A2197" s="807">
        <v>378.1</v>
      </c>
      <c r="B2197" s="733" t="s">
        <v>6451</v>
      </c>
      <c r="C2197" s="734"/>
      <c r="D2197" s="734"/>
      <c r="E2197" s="735"/>
      <c r="F2197" s="735"/>
      <c r="G2197" s="735"/>
      <c r="H2197" s="735"/>
      <c r="I2197" s="736"/>
    </row>
    <row r="2198" spans="1:9" s="737" customFormat="1">
      <c r="A2198" s="738"/>
      <c r="B2198" s="735" t="s">
        <v>5845</v>
      </c>
      <c r="C2198" s="734"/>
      <c r="D2198" s="734"/>
      <c r="E2198" s="735"/>
      <c r="F2198" s="735"/>
      <c r="G2198" s="735"/>
      <c r="H2198" s="735"/>
      <c r="I2198" s="736"/>
    </row>
    <row r="2199" spans="1:9" s="737" customFormat="1">
      <c r="A2199" s="738"/>
      <c r="B2199" s="735" t="s">
        <v>5837</v>
      </c>
      <c r="C2199" s="734">
        <v>1</v>
      </c>
      <c r="D2199" s="734">
        <v>1</v>
      </c>
      <c r="E2199" s="739">
        <v>3.6</v>
      </c>
      <c r="F2199" s="739">
        <v>3.6</v>
      </c>
      <c r="G2199" s="735"/>
      <c r="H2199" s="739">
        <f t="shared" ref="H2199:H2208" si="201">PRODUCT(C2199:G2199)</f>
        <v>12.96</v>
      </c>
      <c r="I2199" s="736"/>
    </row>
    <row r="2200" spans="1:9" s="737" customFormat="1">
      <c r="A2200" s="738"/>
      <c r="B2200" s="735" t="s">
        <v>6346</v>
      </c>
      <c r="C2200" s="734">
        <v>1</v>
      </c>
      <c r="D2200" s="734">
        <v>1</v>
      </c>
      <c r="E2200" s="739">
        <v>13.5</v>
      </c>
      <c r="F2200" s="735"/>
      <c r="G2200" s="739">
        <v>0.1</v>
      </c>
      <c r="H2200" s="739">
        <f t="shared" si="201"/>
        <v>1.35</v>
      </c>
      <c r="I2200" s="736"/>
    </row>
    <row r="2201" spans="1:9" s="737" customFormat="1">
      <c r="A2201" s="738"/>
      <c r="B2201" s="735" t="s">
        <v>6396</v>
      </c>
      <c r="C2201" s="734">
        <v>1</v>
      </c>
      <c r="D2201" s="734">
        <v>1</v>
      </c>
      <c r="E2201" s="735">
        <v>1.9850000000000001</v>
      </c>
      <c r="F2201" s="735">
        <v>1.35</v>
      </c>
      <c r="G2201" s="739"/>
      <c r="H2201" s="739">
        <f t="shared" si="201"/>
        <v>2.68</v>
      </c>
      <c r="I2201" s="736"/>
    </row>
    <row r="2202" spans="1:9" s="737" customFormat="1">
      <c r="A2202" s="738"/>
      <c r="B2202" s="735" t="s">
        <v>6346</v>
      </c>
      <c r="C2202" s="734">
        <v>1</v>
      </c>
      <c r="D2202" s="734">
        <v>1</v>
      </c>
      <c r="E2202" s="739">
        <f>(E2201+F2201)*2</f>
        <v>6.67</v>
      </c>
      <c r="F2202" s="735"/>
      <c r="G2202" s="739">
        <v>0.1</v>
      </c>
      <c r="H2202" s="739">
        <f t="shared" si="201"/>
        <v>0.67</v>
      </c>
      <c r="I2202" s="736"/>
    </row>
    <row r="2203" spans="1:9" s="737" customFormat="1">
      <c r="A2203" s="738"/>
      <c r="B2203" s="735" t="s">
        <v>5955</v>
      </c>
      <c r="C2203" s="734">
        <v>1</v>
      </c>
      <c r="D2203" s="734">
        <v>1</v>
      </c>
      <c r="E2203" s="739">
        <v>3.6</v>
      </c>
      <c r="F2203" s="735">
        <v>3.64</v>
      </c>
      <c r="G2203" s="739"/>
      <c r="H2203" s="739">
        <f t="shared" si="201"/>
        <v>13.1</v>
      </c>
      <c r="I2203" s="736"/>
    </row>
    <row r="2204" spans="1:9" s="737" customFormat="1">
      <c r="A2204" s="738"/>
      <c r="B2204" s="735" t="s">
        <v>6346</v>
      </c>
      <c r="C2204" s="734">
        <v>1</v>
      </c>
      <c r="D2204" s="734">
        <v>1</v>
      </c>
      <c r="E2204" s="735">
        <f>(E2203+F2203)*2</f>
        <v>14.48</v>
      </c>
      <c r="F2204" s="735"/>
      <c r="G2204" s="739">
        <v>0.1</v>
      </c>
      <c r="H2204" s="739">
        <f t="shared" si="201"/>
        <v>1.45</v>
      </c>
      <c r="I2204" s="736"/>
    </row>
    <row r="2205" spans="1:9" s="737" customFormat="1">
      <c r="A2205" s="738"/>
      <c r="B2205" s="735" t="s">
        <v>6396</v>
      </c>
      <c r="C2205" s="734">
        <v>1</v>
      </c>
      <c r="D2205" s="734">
        <v>1</v>
      </c>
      <c r="E2205" s="735">
        <v>1.115</v>
      </c>
      <c r="F2205" s="735">
        <f>1.5+0.115</f>
        <v>1.615</v>
      </c>
      <c r="G2205" s="739"/>
      <c r="H2205" s="739">
        <f t="shared" si="201"/>
        <v>1.8</v>
      </c>
      <c r="I2205" s="736"/>
    </row>
    <row r="2206" spans="1:9" s="737" customFormat="1">
      <c r="A2206" s="738"/>
      <c r="B2206" s="735" t="s">
        <v>6346</v>
      </c>
      <c r="C2206" s="734">
        <v>1</v>
      </c>
      <c r="D2206" s="734">
        <v>1</v>
      </c>
      <c r="E2206" s="739">
        <f>(E2205+F2205)*2</f>
        <v>5.46</v>
      </c>
      <c r="F2206" s="735"/>
      <c r="G2206" s="739">
        <v>0.1</v>
      </c>
      <c r="H2206" s="739">
        <f t="shared" si="201"/>
        <v>0.55000000000000004</v>
      </c>
      <c r="I2206" s="736"/>
    </row>
    <row r="2207" spans="1:9" s="737" customFormat="1">
      <c r="A2207" s="738"/>
      <c r="B2207" s="735" t="s">
        <v>6029</v>
      </c>
      <c r="C2207" s="734">
        <v>1</v>
      </c>
      <c r="D2207" s="734">
        <v>1</v>
      </c>
      <c r="E2207" s="739">
        <v>2.4</v>
      </c>
      <c r="F2207" s="735">
        <f>3.08+0.45</f>
        <v>3.53</v>
      </c>
      <c r="G2207" s="739"/>
      <c r="H2207" s="739">
        <f t="shared" si="201"/>
        <v>8.4700000000000006</v>
      </c>
      <c r="I2207" s="736"/>
    </row>
    <row r="2208" spans="1:9" s="737" customFormat="1">
      <c r="A2208" s="738"/>
      <c r="B2208" s="735" t="s">
        <v>6346</v>
      </c>
      <c r="C2208" s="734">
        <v>1</v>
      </c>
      <c r="D2208" s="734">
        <v>1</v>
      </c>
      <c r="E2208" s="735">
        <f>(E2207+F2207)*2</f>
        <v>11.86</v>
      </c>
      <c r="F2208" s="735"/>
      <c r="G2208" s="739">
        <v>0.1</v>
      </c>
      <c r="H2208" s="739">
        <f t="shared" si="201"/>
        <v>1.19</v>
      </c>
      <c r="I2208" s="736"/>
    </row>
    <row r="2209" spans="1:9" s="737" customFormat="1">
      <c r="A2209" s="808"/>
      <c r="B2209" s="761" t="s">
        <v>5838</v>
      </c>
      <c r="C2209" s="762">
        <v>1</v>
      </c>
      <c r="D2209" s="762">
        <v>1</v>
      </c>
      <c r="E2209" s="761">
        <v>6.53</v>
      </c>
      <c r="F2209" s="764">
        <v>9.1</v>
      </c>
      <c r="G2209" s="764"/>
      <c r="H2209" s="764">
        <f>PRODUCT(C2209:G2209)</f>
        <v>59.42</v>
      </c>
      <c r="I2209" s="809"/>
    </row>
    <row r="2210" spans="1:9" s="737" customFormat="1">
      <c r="A2210" s="808"/>
      <c r="B2210" s="761" t="s">
        <v>6346</v>
      </c>
      <c r="C2210" s="762">
        <v>1</v>
      </c>
      <c r="D2210" s="762">
        <v>1</v>
      </c>
      <c r="E2210" s="761">
        <f>(E2209+F2209)*2</f>
        <v>31.26</v>
      </c>
      <c r="F2210" s="761"/>
      <c r="G2210" s="764">
        <v>0.1</v>
      </c>
      <c r="H2210" s="764">
        <f>PRODUCT(C2210:G2210)</f>
        <v>3.13</v>
      </c>
      <c r="I2210" s="809"/>
    </row>
    <row r="2211" spans="1:9" s="737" customFormat="1">
      <c r="A2211" s="738"/>
      <c r="B2211" s="735" t="s">
        <v>5884</v>
      </c>
      <c r="C2211" s="734"/>
      <c r="D2211" s="734"/>
      <c r="E2211" s="735"/>
      <c r="F2211" s="735"/>
      <c r="G2211" s="735"/>
      <c r="H2211" s="739"/>
      <c r="I2211" s="736"/>
    </row>
    <row r="2212" spans="1:9" s="737" customFormat="1">
      <c r="A2212" s="738"/>
      <c r="B2212" s="735" t="s">
        <v>6117</v>
      </c>
      <c r="C2212" s="734">
        <v>1</v>
      </c>
      <c r="D2212" s="734">
        <v>1</v>
      </c>
      <c r="E2212" s="739">
        <v>3.6</v>
      </c>
      <c r="F2212" s="739">
        <v>3.76</v>
      </c>
      <c r="G2212" s="735"/>
      <c r="H2212" s="739">
        <f>PRODUCT(C2212:G2212)</f>
        <v>13.54</v>
      </c>
      <c r="I2212" s="736"/>
    </row>
    <row r="2213" spans="1:9" s="737" customFormat="1">
      <c r="A2213" s="738"/>
      <c r="B2213" s="735" t="s">
        <v>6346</v>
      </c>
      <c r="C2213" s="734">
        <v>1</v>
      </c>
      <c r="D2213" s="734">
        <v>1</v>
      </c>
      <c r="E2213" s="735">
        <f>(E2212+F2212)*2</f>
        <v>14.72</v>
      </c>
      <c r="F2213" s="735"/>
      <c r="G2213" s="739">
        <v>0.1</v>
      </c>
      <c r="H2213" s="739">
        <f t="shared" ref="H2213:H2231" si="202">PRODUCT(C2213:G2213)</f>
        <v>1.47</v>
      </c>
      <c r="I2213" s="736"/>
    </row>
    <row r="2214" spans="1:9" s="737" customFormat="1">
      <c r="A2214" s="738"/>
      <c r="B2214" s="735" t="s">
        <v>6396</v>
      </c>
      <c r="C2214" s="734">
        <v>1</v>
      </c>
      <c r="D2214" s="734">
        <v>1</v>
      </c>
      <c r="E2214" s="735">
        <v>1.54</v>
      </c>
      <c r="F2214" s="735">
        <f>1.5+0.115</f>
        <v>1.615</v>
      </c>
      <c r="G2214" s="739"/>
      <c r="H2214" s="739">
        <f t="shared" si="202"/>
        <v>2.4900000000000002</v>
      </c>
      <c r="I2214" s="736"/>
    </row>
    <row r="2215" spans="1:9" s="737" customFormat="1">
      <c r="A2215" s="738"/>
      <c r="B2215" s="735" t="s">
        <v>6346</v>
      </c>
      <c r="C2215" s="734">
        <v>1</v>
      </c>
      <c r="D2215" s="734">
        <v>1</v>
      </c>
      <c r="E2215" s="739">
        <f>(E2214+F2214)*2</f>
        <v>6.31</v>
      </c>
      <c r="F2215" s="735"/>
      <c r="G2215" s="739">
        <v>0.1</v>
      </c>
      <c r="H2215" s="739">
        <f t="shared" si="202"/>
        <v>0.63</v>
      </c>
      <c r="I2215" s="736"/>
    </row>
    <row r="2216" spans="1:9" s="737" customFormat="1">
      <c r="A2216" s="738"/>
      <c r="B2216" s="735" t="s">
        <v>6055</v>
      </c>
      <c r="C2216" s="734">
        <v>1</v>
      </c>
      <c r="D2216" s="734">
        <v>1</v>
      </c>
      <c r="E2216" s="739">
        <v>3.6</v>
      </c>
      <c r="F2216" s="739">
        <v>3.6</v>
      </c>
      <c r="G2216" s="739"/>
      <c r="H2216" s="739">
        <f t="shared" si="202"/>
        <v>12.96</v>
      </c>
      <c r="I2216" s="736"/>
    </row>
    <row r="2217" spans="1:9" s="737" customFormat="1">
      <c r="A2217" s="738"/>
      <c r="B2217" s="735" t="s">
        <v>6346</v>
      </c>
      <c r="C2217" s="734">
        <v>1</v>
      </c>
      <c r="D2217" s="734">
        <v>1</v>
      </c>
      <c r="E2217" s="739">
        <f>(E2216+F2216)*2</f>
        <v>14.4</v>
      </c>
      <c r="F2217" s="735"/>
      <c r="G2217" s="739">
        <v>0.1</v>
      </c>
      <c r="H2217" s="739">
        <f t="shared" si="202"/>
        <v>1.44</v>
      </c>
      <c r="I2217" s="736"/>
    </row>
    <row r="2218" spans="1:9" s="737" customFormat="1">
      <c r="A2218" s="738"/>
      <c r="B2218" s="735" t="s">
        <v>6396</v>
      </c>
      <c r="C2218" s="734">
        <v>1</v>
      </c>
      <c r="D2218" s="734">
        <v>1</v>
      </c>
      <c r="E2218" s="735">
        <v>1.9850000000000001</v>
      </c>
      <c r="F2218" s="735">
        <v>1.35</v>
      </c>
      <c r="G2218" s="739"/>
      <c r="H2218" s="739">
        <f t="shared" si="202"/>
        <v>2.68</v>
      </c>
      <c r="I2218" s="736"/>
    </row>
    <row r="2219" spans="1:9" s="737" customFormat="1">
      <c r="A2219" s="738"/>
      <c r="B2219" s="735" t="s">
        <v>6346</v>
      </c>
      <c r="C2219" s="734">
        <v>1</v>
      </c>
      <c r="D2219" s="734">
        <v>1</v>
      </c>
      <c r="E2219" s="739">
        <f>(E2218+F2218)*2</f>
        <v>6.67</v>
      </c>
      <c r="F2219" s="735"/>
      <c r="G2219" s="739">
        <v>0.1</v>
      </c>
      <c r="H2219" s="739">
        <f t="shared" si="202"/>
        <v>0.67</v>
      </c>
      <c r="I2219" s="736"/>
    </row>
    <row r="2220" spans="1:9" s="737" customFormat="1">
      <c r="A2220" s="738"/>
      <c r="B2220" s="735" t="s">
        <v>6057</v>
      </c>
      <c r="C2220" s="734">
        <v>1</v>
      </c>
      <c r="D2220" s="734">
        <v>1</v>
      </c>
      <c r="E2220" s="739">
        <v>4.05</v>
      </c>
      <c r="F2220" s="739">
        <v>2.9</v>
      </c>
      <c r="G2220" s="739"/>
      <c r="H2220" s="739">
        <f t="shared" si="202"/>
        <v>11.75</v>
      </c>
      <c r="I2220" s="736"/>
    </row>
    <row r="2221" spans="1:9" s="737" customFormat="1">
      <c r="A2221" s="738"/>
      <c r="B2221" s="735" t="s">
        <v>6346</v>
      </c>
      <c r="C2221" s="734">
        <v>1</v>
      </c>
      <c r="D2221" s="734">
        <v>1</v>
      </c>
      <c r="E2221" s="739">
        <f>(E2220+F2220)*2</f>
        <v>13.9</v>
      </c>
      <c r="F2221" s="735"/>
      <c r="G2221" s="739">
        <v>0.1</v>
      </c>
      <c r="H2221" s="739">
        <f t="shared" si="202"/>
        <v>1.39</v>
      </c>
      <c r="I2221" s="736"/>
    </row>
    <row r="2222" spans="1:9" s="737" customFormat="1">
      <c r="A2222" s="738"/>
      <c r="B2222" s="735" t="s">
        <v>6452</v>
      </c>
      <c r="C2222" s="734">
        <v>1</v>
      </c>
      <c r="D2222" s="734">
        <v>1</v>
      </c>
      <c r="E2222" s="739">
        <v>2.63</v>
      </c>
      <c r="F2222" s="739">
        <v>2.52</v>
      </c>
      <c r="G2222" s="739"/>
      <c r="H2222" s="739">
        <f t="shared" si="202"/>
        <v>6.63</v>
      </c>
      <c r="I2222" s="736"/>
    </row>
    <row r="2223" spans="1:9" s="737" customFormat="1">
      <c r="A2223" s="738"/>
      <c r="B2223" s="735" t="s">
        <v>6346</v>
      </c>
      <c r="C2223" s="734">
        <v>1</v>
      </c>
      <c r="D2223" s="734">
        <v>1</v>
      </c>
      <c r="E2223" s="739">
        <f>(E2222+F2222)*2</f>
        <v>10.3</v>
      </c>
      <c r="F2223" s="735"/>
      <c r="G2223" s="739">
        <v>0.1</v>
      </c>
      <c r="H2223" s="739">
        <f t="shared" si="202"/>
        <v>1.03</v>
      </c>
      <c r="I2223" s="736"/>
    </row>
    <row r="2224" spans="1:9" s="737" customFormat="1">
      <c r="A2224" s="738"/>
      <c r="B2224" s="735" t="s">
        <v>5899</v>
      </c>
      <c r="C2224" s="734">
        <v>1</v>
      </c>
      <c r="D2224" s="734">
        <v>1</v>
      </c>
      <c r="E2224" s="735">
        <v>3.52</v>
      </c>
      <c r="F2224" s="735">
        <v>5.18</v>
      </c>
      <c r="G2224" s="739"/>
      <c r="H2224" s="739">
        <f t="shared" si="202"/>
        <v>18.23</v>
      </c>
      <c r="I2224" s="736"/>
    </row>
    <row r="2225" spans="1:9" s="737" customFormat="1">
      <c r="A2225" s="738"/>
      <c r="B2225" s="735" t="s">
        <v>6346</v>
      </c>
      <c r="C2225" s="734">
        <v>1</v>
      </c>
      <c r="D2225" s="734">
        <v>1</v>
      </c>
      <c r="E2225" s="739">
        <f>(E2224+F2224)*2</f>
        <v>17.399999999999999</v>
      </c>
      <c r="F2225" s="735"/>
      <c r="G2225" s="739">
        <v>0.1</v>
      </c>
      <c r="H2225" s="739">
        <f t="shared" si="202"/>
        <v>1.74</v>
      </c>
      <c r="I2225" s="736"/>
    </row>
    <row r="2226" spans="1:9" s="737" customFormat="1">
      <c r="A2226" s="738"/>
      <c r="B2226" s="735" t="s">
        <v>6309</v>
      </c>
      <c r="C2226" s="734">
        <v>1</v>
      </c>
      <c r="D2226" s="734">
        <v>1</v>
      </c>
      <c r="E2226" s="735">
        <v>3.52</v>
      </c>
      <c r="F2226" s="735">
        <v>3.91</v>
      </c>
      <c r="G2226" s="739"/>
      <c r="H2226" s="739">
        <f t="shared" si="202"/>
        <v>13.76</v>
      </c>
      <c r="I2226" s="736"/>
    </row>
    <row r="2227" spans="1:9" s="737" customFormat="1">
      <c r="A2227" s="738"/>
      <c r="B2227" s="735" t="s">
        <v>6346</v>
      </c>
      <c r="C2227" s="734">
        <v>1</v>
      </c>
      <c r="D2227" s="734">
        <v>1</v>
      </c>
      <c r="E2227" s="739">
        <f>(E2226+F2226)*2</f>
        <v>14.86</v>
      </c>
      <c r="F2227" s="735"/>
      <c r="G2227" s="739">
        <v>0.1</v>
      </c>
      <c r="H2227" s="739">
        <f t="shared" si="202"/>
        <v>1.49</v>
      </c>
      <c r="I2227" s="736"/>
    </row>
    <row r="2228" spans="1:9" s="737" customFormat="1">
      <c r="A2228" s="738"/>
      <c r="B2228" s="735" t="s">
        <v>5931</v>
      </c>
      <c r="C2228" s="734">
        <v>1</v>
      </c>
      <c r="D2228" s="734">
        <v>1</v>
      </c>
      <c r="E2228" s="735">
        <v>2.78</v>
      </c>
      <c r="F2228" s="735">
        <v>3.61</v>
      </c>
      <c r="G2228" s="739"/>
      <c r="H2228" s="739">
        <f t="shared" si="202"/>
        <v>10.039999999999999</v>
      </c>
      <c r="I2228" s="736"/>
    </row>
    <row r="2229" spans="1:9" s="737" customFormat="1">
      <c r="A2229" s="738"/>
      <c r="B2229" s="735" t="s">
        <v>6346</v>
      </c>
      <c r="C2229" s="734">
        <v>1</v>
      </c>
      <c r="D2229" s="734">
        <v>1</v>
      </c>
      <c r="E2229" s="739">
        <f>(E2228+F2228)*2</f>
        <v>12.78</v>
      </c>
      <c r="F2229" s="735"/>
      <c r="G2229" s="739">
        <v>0.1</v>
      </c>
      <c r="H2229" s="739">
        <f t="shared" si="202"/>
        <v>1.28</v>
      </c>
      <c r="I2229" s="736"/>
    </row>
    <row r="2230" spans="1:9" s="737" customFormat="1">
      <c r="A2230" s="738"/>
      <c r="B2230" s="735" t="s">
        <v>6453</v>
      </c>
      <c r="C2230" s="734">
        <v>1</v>
      </c>
      <c r="D2230" s="734">
        <v>1</v>
      </c>
      <c r="E2230" s="735">
        <v>2.56</v>
      </c>
      <c r="F2230" s="735">
        <v>3.77</v>
      </c>
      <c r="G2230" s="739"/>
      <c r="H2230" s="739">
        <f t="shared" si="202"/>
        <v>9.65</v>
      </c>
      <c r="I2230" s="736"/>
    </row>
    <row r="2231" spans="1:9" s="737" customFormat="1">
      <c r="A2231" s="738"/>
      <c r="B2231" s="735" t="s">
        <v>6346</v>
      </c>
      <c r="C2231" s="734">
        <v>1</v>
      </c>
      <c r="D2231" s="734">
        <v>1</v>
      </c>
      <c r="E2231" s="739">
        <f>(E2230+F2230)*2</f>
        <v>12.66</v>
      </c>
      <c r="F2231" s="735"/>
      <c r="G2231" s="739">
        <v>0.1</v>
      </c>
      <c r="H2231" s="739">
        <f t="shared" si="202"/>
        <v>1.27</v>
      </c>
      <c r="I2231" s="736"/>
    </row>
    <row r="2232" spans="1:9" s="737" customFormat="1">
      <c r="A2232" s="738"/>
      <c r="B2232" s="735"/>
      <c r="C2232" s="734"/>
      <c r="D2232" s="734"/>
      <c r="E2232" s="735"/>
      <c r="F2232" s="735"/>
      <c r="G2232" s="735"/>
      <c r="H2232" s="742">
        <f>SUM(H2199:H2231)</f>
        <v>220.91</v>
      </c>
      <c r="I2232" s="736"/>
    </row>
    <row r="2233" spans="1:9" s="737" customFormat="1" ht="22.5" customHeight="1">
      <c r="A2233" s="738"/>
      <c r="B2233" s="735"/>
      <c r="C2233" s="734"/>
      <c r="D2233" s="734"/>
      <c r="E2233" s="735"/>
      <c r="F2233" s="735"/>
      <c r="G2233" s="757" t="s">
        <v>4209</v>
      </c>
      <c r="H2233" s="742">
        <f>ROUNDUP(H2232,1)</f>
        <v>221</v>
      </c>
      <c r="I2233" s="736" t="s">
        <v>2273</v>
      </c>
    </row>
    <row r="2234" spans="1:9" s="737" customFormat="1" ht="96.75" customHeight="1">
      <c r="A2234" s="732">
        <v>361</v>
      </c>
      <c r="B2234" s="1291" t="s">
        <v>6454</v>
      </c>
      <c r="C2234" s="1291"/>
      <c r="D2234" s="1291"/>
      <c r="E2234" s="1291"/>
      <c r="F2234" s="735"/>
      <c r="G2234" s="735"/>
      <c r="H2234" s="735"/>
      <c r="I2234" s="736"/>
    </row>
    <row r="2235" spans="1:9" s="737" customFormat="1" ht="22.5" customHeight="1">
      <c r="A2235" s="732"/>
      <c r="B2235" s="740" t="s">
        <v>6455</v>
      </c>
      <c r="C2235" s="734">
        <v>1</v>
      </c>
      <c r="D2235" s="734">
        <v>1</v>
      </c>
      <c r="E2235" s="739">
        <f>5.67+0.23</f>
        <v>5.9</v>
      </c>
      <c r="F2235" s="739">
        <v>2.4</v>
      </c>
      <c r="G2235" s="735"/>
      <c r="H2235" s="739">
        <f t="shared" ref="H2235:H2239" si="203">PRODUCT(C2235:G2235)</f>
        <v>14.16</v>
      </c>
      <c r="I2235" s="736"/>
    </row>
    <row r="2236" spans="1:9" s="737" customFormat="1" ht="22.5" customHeight="1">
      <c r="A2236" s="732"/>
      <c r="B2236" s="740" t="s">
        <v>6456</v>
      </c>
      <c r="C2236" s="734">
        <v>1</v>
      </c>
      <c r="D2236" s="734">
        <v>4</v>
      </c>
      <c r="E2236" s="739">
        <f>2.4+0.46</f>
        <v>2.86</v>
      </c>
      <c r="F2236" s="739">
        <v>0.45</v>
      </c>
      <c r="G2236" s="735"/>
      <c r="H2236" s="739">
        <f t="shared" si="203"/>
        <v>5.15</v>
      </c>
      <c r="I2236" s="736"/>
    </row>
    <row r="2237" spans="1:9" s="737" customFormat="1" ht="22.5" customHeight="1">
      <c r="A2237" s="732"/>
      <c r="B2237" s="740" t="s">
        <v>6457</v>
      </c>
      <c r="C2237" s="734">
        <v>1</v>
      </c>
      <c r="D2237" s="734">
        <v>4</v>
      </c>
      <c r="E2237" s="739">
        <f>3.52+0.46</f>
        <v>3.98</v>
      </c>
      <c r="F2237" s="739">
        <v>0.45</v>
      </c>
      <c r="G2237" s="735"/>
      <c r="H2237" s="739">
        <f t="shared" si="203"/>
        <v>7.16</v>
      </c>
      <c r="I2237" s="736"/>
    </row>
    <row r="2238" spans="1:9" s="737" customFormat="1" ht="22.5" customHeight="1">
      <c r="A2238" s="732"/>
      <c r="B2238" s="740" t="s">
        <v>6458</v>
      </c>
      <c r="C2238" s="734">
        <v>1</v>
      </c>
      <c r="D2238" s="734">
        <v>1</v>
      </c>
      <c r="E2238" s="739">
        <v>5.5</v>
      </c>
      <c r="F2238" s="739">
        <v>1.2</v>
      </c>
      <c r="G2238" s="735"/>
      <c r="H2238" s="739">
        <f t="shared" si="203"/>
        <v>6.6</v>
      </c>
      <c r="I2238" s="736"/>
    </row>
    <row r="2239" spans="1:9" s="737" customFormat="1" ht="22.5" customHeight="1">
      <c r="A2239" s="732"/>
      <c r="B2239" s="740" t="s">
        <v>6459</v>
      </c>
      <c r="C2239" s="734">
        <v>1</v>
      </c>
      <c r="D2239" s="734">
        <v>1</v>
      </c>
      <c r="E2239" s="739">
        <v>10.5</v>
      </c>
      <c r="F2239" s="739">
        <v>1.35</v>
      </c>
      <c r="G2239" s="735"/>
      <c r="H2239" s="739">
        <f t="shared" si="203"/>
        <v>14.18</v>
      </c>
      <c r="I2239" s="736"/>
    </row>
    <row r="2240" spans="1:9" s="737" customFormat="1">
      <c r="A2240" s="808"/>
      <c r="B2240" s="761" t="s">
        <v>5953</v>
      </c>
      <c r="C2240" s="762">
        <v>1</v>
      </c>
      <c r="D2240" s="762">
        <v>1</v>
      </c>
      <c r="E2240" s="764">
        <v>3.52</v>
      </c>
      <c r="F2240" s="764">
        <v>2.9</v>
      </c>
      <c r="G2240" s="764"/>
      <c r="H2240" s="764">
        <f t="shared" ref="H2240:H2241" si="204">PRODUCT(C2240:G2240)</f>
        <v>10.210000000000001</v>
      </c>
      <c r="I2240" s="809"/>
    </row>
    <row r="2241" spans="1:9" s="737" customFormat="1">
      <c r="A2241" s="808"/>
      <c r="B2241" s="761" t="s">
        <v>6346</v>
      </c>
      <c r="C2241" s="762">
        <v>1</v>
      </c>
      <c r="D2241" s="762">
        <v>1</v>
      </c>
      <c r="E2241" s="761">
        <f>(E2240+F2240)*2</f>
        <v>12.84</v>
      </c>
      <c r="F2241" s="761"/>
      <c r="G2241" s="764">
        <v>0.1</v>
      </c>
      <c r="H2241" s="764">
        <f t="shared" si="204"/>
        <v>1.28</v>
      </c>
      <c r="I2241" s="809"/>
    </row>
    <row r="2242" spans="1:9" s="737" customFormat="1" ht="21" customHeight="1">
      <c r="A2242" s="738"/>
      <c r="B2242" s="735" t="s">
        <v>6467</v>
      </c>
      <c r="C2242" s="734">
        <v>1</v>
      </c>
      <c r="D2242" s="734">
        <v>1</v>
      </c>
      <c r="E2242" s="739">
        <f>2.105+2.105+2.78</f>
        <v>6.99</v>
      </c>
      <c r="F2242" s="735"/>
      <c r="G2242" s="739">
        <v>0.6</v>
      </c>
      <c r="H2242" s="739">
        <f>PRODUCT(C2242:G2242)</f>
        <v>4.1900000000000004</v>
      </c>
      <c r="I2242" s="736"/>
    </row>
    <row r="2243" spans="1:9" s="737" customFormat="1">
      <c r="A2243" s="738"/>
      <c r="B2243" s="735"/>
      <c r="C2243" s="734"/>
      <c r="D2243" s="734"/>
      <c r="E2243" s="735"/>
      <c r="F2243" s="735"/>
      <c r="G2243" s="735"/>
      <c r="H2243" s="742">
        <f>SUM(H2235:H2242)</f>
        <v>62.93</v>
      </c>
      <c r="I2243" s="736"/>
    </row>
    <row r="2244" spans="1:9" s="737" customFormat="1">
      <c r="A2244" s="738"/>
      <c r="B2244" s="735"/>
      <c r="C2244" s="734"/>
      <c r="D2244" s="734"/>
      <c r="E2244" s="735"/>
      <c r="F2244" s="735"/>
      <c r="G2244" s="757" t="s">
        <v>4209</v>
      </c>
      <c r="H2244" s="742">
        <f>ROUNDUP(H2243,1)</f>
        <v>63</v>
      </c>
      <c r="I2244" s="736" t="s">
        <v>2273</v>
      </c>
    </row>
    <row r="2245" spans="1:9" s="737" customFormat="1" ht="29.25" customHeight="1">
      <c r="A2245" s="738"/>
      <c r="B2245" s="735" t="s">
        <v>6970</v>
      </c>
      <c r="C2245" s="734"/>
      <c r="D2245" s="734"/>
      <c r="E2245" s="735"/>
      <c r="F2245" s="735"/>
      <c r="G2245" s="757"/>
      <c r="H2245" s="742"/>
      <c r="I2245" s="736"/>
    </row>
    <row r="2246" spans="1:9" s="737" customFormat="1">
      <c r="A2246" s="738"/>
      <c r="B2246" s="735" t="s">
        <v>6464</v>
      </c>
      <c r="C2246" s="734">
        <v>1</v>
      </c>
      <c r="D2246" s="734">
        <v>1</v>
      </c>
      <c r="E2246" s="739">
        <v>2.87</v>
      </c>
      <c r="F2246" s="739">
        <v>5.23</v>
      </c>
      <c r="G2246" s="735"/>
      <c r="H2246" s="739">
        <f>PRODUCT(C2246:G2246)</f>
        <v>15.01</v>
      </c>
      <c r="I2246" s="736"/>
    </row>
    <row r="2247" spans="1:9" s="737" customFormat="1">
      <c r="A2247" s="738"/>
      <c r="B2247" s="735" t="s">
        <v>6460</v>
      </c>
      <c r="C2247" s="734">
        <v>1</v>
      </c>
      <c r="D2247" s="734">
        <v>20</v>
      </c>
      <c r="E2247" s="739">
        <v>1.05</v>
      </c>
      <c r="F2247" s="735">
        <v>0.45</v>
      </c>
      <c r="G2247" s="735"/>
      <c r="H2247" s="739">
        <f>PRODUCT(C2247:G2247)</f>
        <v>9.4499999999999993</v>
      </c>
      <c r="I2247" s="736"/>
    </row>
    <row r="2248" spans="1:9" s="737" customFormat="1">
      <c r="A2248" s="738"/>
      <c r="B2248" s="735" t="s">
        <v>6461</v>
      </c>
      <c r="C2248" s="734">
        <v>1</v>
      </c>
      <c r="D2248" s="734">
        <v>1</v>
      </c>
      <c r="E2248" s="739">
        <v>2.4</v>
      </c>
      <c r="F2248" s="739">
        <v>1.2</v>
      </c>
      <c r="G2248" s="735"/>
      <c r="H2248" s="739">
        <f>PRODUCT(C2248:G2248)</f>
        <v>2.88</v>
      </c>
      <c r="I2248" s="736"/>
    </row>
    <row r="2249" spans="1:9" s="737" customFormat="1">
      <c r="A2249" s="738"/>
      <c r="B2249" s="735" t="s">
        <v>6462</v>
      </c>
      <c r="C2249" s="734">
        <v>1</v>
      </c>
      <c r="D2249" s="734">
        <v>21</v>
      </c>
      <c r="E2249" s="739">
        <v>1.05</v>
      </c>
      <c r="F2249" s="735">
        <v>0.45</v>
      </c>
      <c r="G2249" s="735"/>
      <c r="H2249" s="739">
        <f>PRODUCT(C2249:G2249)</f>
        <v>9.92</v>
      </c>
      <c r="I2249" s="736"/>
    </row>
    <row r="2250" spans="1:9" s="737" customFormat="1">
      <c r="A2250" s="738"/>
      <c r="B2250" s="735" t="s">
        <v>6461</v>
      </c>
      <c r="C2250" s="734">
        <v>1</v>
      </c>
      <c r="D2250" s="734">
        <v>1</v>
      </c>
      <c r="E2250" s="739">
        <v>2.4</v>
      </c>
      <c r="F2250" s="739">
        <v>1.2</v>
      </c>
      <c r="G2250" s="735"/>
      <c r="H2250" s="739">
        <f t="shared" ref="H2250" si="205">PRODUCT(C2250:G2250)</f>
        <v>2.88</v>
      </c>
      <c r="I2250" s="736"/>
    </row>
    <row r="2251" spans="1:9" s="737" customFormat="1">
      <c r="A2251" s="738"/>
      <c r="B2251" s="735" t="s">
        <v>6463</v>
      </c>
      <c r="C2251" s="734">
        <v>1</v>
      </c>
      <c r="D2251" s="734">
        <v>1</v>
      </c>
      <c r="E2251" s="739">
        <v>2.4</v>
      </c>
      <c r="F2251" s="739">
        <v>1.62</v>
      </c>
      <c r="G2251" s="735"/>
      <c r="H2251" s="739">
        <f>PRODUCT(C2251:G2251)</f>
        <v>3.89</v>
      </c>
      <c r="I2251" s="736"/>
    </row>
    <row r="2252" spans="1:9" s="737" customFormat="1">
      <c r="A2252" s="738"/>
      <c r="B2252" s="735"/>
      <c r="C2252" s="734"/>
      <c r="D2252" s="734"/>
      <c r="E2252" s="739"/>
      <c r="F2252" s="739"/>
      <c r="G2252" s="735"/>
      <c r="H2252" s="739">
        <f>SUM(H2246:H2251)</f>
        <v>44.03</v>
      </c>
      <c r="I2252" s="736"/>
    </row>
    <row r="2253" spans="1:9" s="737" customFormat="1">
      <c r="A2253" s="738"/>
      <c r="B2253" s="735"/>
      <c r="C2253" s="734"/>
      <c r="D2253" s="734"/>
      <c r="E2253" s="739"/>
      <c r="F2253" s="739"/>
      <c r="G2253" s="757" t="s">
        <v>4209</v>
      </c>
      <c r="H2253" s="742">
        <f>ROUNDUP(H2252,1)</f>
        <v>44.1</v>
      </c>
      <c r="I2253" s="736" t="s">
        <v>2273</v>
      </c>
    </row>
    <row r="2254" spans="1:9" s="737" customFormat="1" ht="48.75" customHeight="1">
      <c r="A2254" s="732">
        <v>383</v>
      </c>
      <c r="B2254" s="733" t="s">
        <v>6465</v>
      </c>
      <c r="C2254" s="734"/>
      <c r="D2254" s="734"/>
      <c r="E2254" s="735"/>
      <c r="F2254" s="735"/>
      <c r="G2254" s="735"/>
      <c r="H2254" s="735"/>
      <c r="I2254" s="736"/>
    </row>
    <row r="2255" spans="1:9" s="737" customFormat="1" ht="22.5" customHeight="1">
      <c r="A2255" s="738"/>
      <c r="B2255" s="735" t="s">
        <v>5931</v>
      </c>
      <c r="C2255" s="734">
        <v>1</v>
      </c>
      <c r="D2255" s="734">
        <v>1</v>
      </c>
      <c r="E2255" s="735"/>
      <c r="F2255" s="735"/>
      <c r="G2255" s="735"/>
      <c r="H2255" s="739">
        <v>1</v>
      </c>
      <c r="I2255" s="736" t="s">
        <v>1389</v>
      </c>
    </row>
    <row r="2256" spans="1:9" s="737" customFormat="1" ht="75">
      <c r="A2256" s="732">
        <v>379.6</v>
      </c>
      <c r="B2256" s="740" t="s">
        <v>6466</v>
      </c>
      <c r="C2256" s="734"/>
      <c r="D2256" s="734"/>
      <c r="E2256" s="735"/>
      <c r="F2256" s="735"/>
      <c r="G2256" s="735"/>
      <c r="H2256" s="735"/>
      <c r="I2256" s="736"/>
    </row>
    <row r="2257" spans="1:9" s="737" customFormat="1" ht="37.5">
      <c r="A2257" s="732">
        <f>[16]dsp!A147</f>
        <v>383.1</v>
      </c>
      <c r="B2257" s="733" t="s">
        <v>6468</v>
      </c>
      <c r="C2257" s="734"/>
      <c r="D2257" s="734"/>
      <c r="E2257" s="735"/>
      <c r="F2257" s="735"/>
      <c r="G2257" s="735"/>
      <c r="H2257" s="739"/>
      <c r="I2257" s="736"/>
    </row>
    <row r="2258" spans="1:9" s="737" customFormat="1">
      <c r="A2258" s="738"/>
      <c r="B2258" s="735" t="s">
        <v>5901</v>
      </c>
      <c r="C2258" s="734">
        <v>1</v>
      </c>
      <c r="D2258" s="734">
        <v>1</v>
      </c>
      <c r="E2258" s="739">
        <v>6.16</v>
      </c>
      <c r="F2258" s="735"/>
      <c r="G2258" s="735"/>
      <c r="H2258" s="742">
        <f>PRODUCT(C2258:G2258)</f>
        <v>6.16</v>
      </c>
      <c r="I2258" s="736"/>
    </row>
    <row r="2259" spans="1:9" s="737" customFormat="1">
      <c r="A2259" s="732"/>
      <c r="B2259" s="735"/>
      <c r="C2259" s="746"/>
      <c r="D2259" s="746"/>
      <c r="E2259" s="757"/>
      <c r="F2259" s="757"/>
      <c r="G2259" s="757" t="s">
        <v>4209</v>
      </c>
      <c r="H2259" s="742">
        <f>ROUNDUP(H2258,1)</f>
        <v>6.2</v>
      </c>
      <c r="I2259" s="736" t="s">
        <v>823</v>
      </c>
    </row>
    <row r="2260" spans="1:9" s="737" customFormat="1">
      <c r="A2260" s="738"/>
      <c r="B2260" s="735"/>
      <c r="C2260" s="734"/>
      <c r="D2260" s="734"/>
      <c r="E2260" s="735"/>
      <c r="F2260" s="735"/>
      <c r="G2260" s="735"/>
      <c r="H2260" s="739"/>
      <c r="I2260" s="736"/>
    </row>
    <row r="2261" spans="1:9" s="737" customFormat="1">
      <c r="A2261" s="732">
        <v>384</v>
      </c>
      <c r="B2261" s="733" t="s">
        <v>6469</v>
      </c>
      <c r="C2261" s="734"/>
      <c r="D2261" s="734"/>
      <c r="E2261" s="735"/>
      <c r="F2261" s="735"/>
      <c r="G2261" s="735"/>
      <c r="H2261" s="757"/>
      <c r="I2261" s="736"/>
    </row>
    <row r="2262" spans="1:9" s="737" customFormat="1">
      <c r="A2262" s="738"/>
      <c r="B2262" s="735" t="s">
        <v>6339</v>
      </c>
      <c r="C2262" s="734">
        <v>1</v>
      </c>
      <c r="D2262" s="734">
        <v>2</v>
      </c>
      <c r="E2262" s="735"/>
      <c r="F2262" s="735"/>
      <c r="G2262" s="735"/>
      <c r="H2262" s="742">
        <f>PRODUCT(C2262:G2262)</f>
        <v>2</v>
      </c>
      <c r="I2262" s="736" t="s">
        <v>1427</v>
      </c>
    </row>
    <row r="2263" spans="1:9" s="737" customFormat="1">
      <c r="A2263" s="732">
        <v>444.1</v>
      </c>
      <c r="B2263" s="735" t="s">
        <v>6470</v>
      </c>
      <c r="C2263" s="734"/>
      <c r="D2263" s="734"/>
      <c r="E2263" s="735"/>
      <c r="F2263" s="735"/>
      <c r="G2263" s="735"/>
      <c r="H2263" s="735"/>
      <c r="I2263" s="736"/>
    </row>
    <row r="2264" spans="1:9" s="737" customFormat="1">
      <c r="A2264" s="738"/>
      <c r="B2264" s="735" t="s">
        <v>49</v>
      </c>
      <c r="C2264" s="734">
        <v>1</v>
      </c>
      <c r="D2264" s="734">
        <v>5</v>
      </c>
      <c r="E2264" s="735"/>
      <c r="F2264" s="735"/>
      <c r="G2264" s="735"/>
      <c r="H2264" s="739">
        <f>PRODUCT(C2264:G2264)</f>
        <v>5</v>
      </c>
      <c r="I2264" s="736"/>
    </row>
    <row r="2265" spans="1:9" s="737" customFormat="1">
      <c r="A2265" s="738"/>
      <c r="B2265" s="735" t="s">
        <v>6471</v>
      </c>
      <c r="C2265" s="734">
        <v>1</v>
      </c>
      <c r="D2265" s="734">
        <v>1</v>
      </c>
      <c r="E2265" s="735"/>
      <c r="F2265" s="735"/>
      <c r="G2265" s="735"/>
      <c r="H2265" s="739">
        <f>PRODUCT(C2265:G2265)</f>
        <v>1</v>
      </c>
      <c r="I2265" s="736"/>
    </row>
    <row r="2266" spans="1:9" s="737" customFormat="1">
      <c r="A2266" s="738"/>
      <c r="B2266" s="735"/>
      <c r="C2266" s="734"/>
      <c r="D2266" s="734"/>
      <c r="E2266" s="735"/>
      <c r="F2266" s="735"/>
      <c r="G2266" s="735"/>
      <c r="H2266" s="742">
        <f>H2264+H2265</f>
        <v>6</v>
      </c>
      <c r="I2266" s="736" t="s">
        <v>1427</v>
      </c>
    </row>
    <row r="2267" spans="1:9" s="737" customFormat="1" ht="105.75" customHeight="1">
      <c r="A2267" s="732">
        <v>77.2</v>
      </c>
      <c r="B2267" s="1291" t="s">
        <v>6472</v>
      </c>
      <c r="C2267" s="1291"/>
      <c r="D2267" s="1291"/>
      <c r="E2267" s="1291"/>
      <c r="F2267" s="735"/>
      <c r="G2267" s="735"/>
      <c r="H2267" s="735"/>
      <c r="I2267" s="736"/>
    </row>
    <row r="2268" spans="1:9" s="737" customFormat="1">
      <c r="A2268" s="738"/>
      <c r="B2268" s="735" t="s">
        <v>6117</v>
      </c>
      <c r="C2268" s="734">
        <v>1</v>
      </c>
      <c r="D2268" s="734">
        <v>1</v>
      </c>
      <c r="E2268" s="735"/>
      <c r="F2268" s="735"/>
      <c r="G2268" s="735"/>
      <c r="H2268" s="739">
        <f>PRODUCT(C2268:G2268)</f>
        <v>1</v>
      </c>
      <c r="I2268" s="736"/>
    </row>
    <row r="2269" spans="1:9" s="737" customFormat="1">
      <c r="A2269" s="738"/>
      <c r="B2269" s="735" t="s">
        <v>6446</v>
      </c>
      <c r="C2269" s="734">
        <v>1</v>
      </c>
      <c r="D2269" s="734">
        <v>2</v>
      </c>
      <c r="E2269" s="735"/>
      <c r="F2269" s="735"/>
      <c r="G2269" s="735"/>
      <c r="H2269" s="739">
        <f>PRODUCT(C2269:G2269)</f>
        <v>2</v>
      </c>
      <c r="I2269" s="736"/>
    </row>
    <row r="2270" spans="1:9" s="737" customFormat="1">
      <c r="A2270" s="738"/>
      <c r="B2270" s="735" t="s">
        <v>5860</v>
      </c>
      <c r="C2270" s="734">
        <v>1</v>
      </c>
      <c r="D2270" s="734">
        <v>1</v>
      </c>
      <c r="E2270" s="735"/>
      <c r="F2270" s="735"/>
      <c r="G2270" s="735"/>
      <c r="H2270" s="739">
        <f>PRODUCT(C2270:G2270)</f>
        <v>1</v>
      </c>
      <c r="I2270" s="736"/>
    </row>
    <row r="2271" spans="1:9" s="737" customFormat="1">
      <c r="A2271" s="738"/>
      <c r="B2271" s="735" t="s">
        <v>6156</v>
      </c>
      <c r="C2271" s="734">
        <v>1</v>
      </c>
      <c r="D2271" s="734">
        <v>1</v>
      </c>
      <c r="E2271" s="735"/>
      <c r="F2271" s="735"/>
      <c r="G2271" s="735"/>
      <c r="H2271" s="739">
        <f>PRODUCT(C2271:G2271)</f>
        <v>1</v>
      </c>
      <c r="I2271" s="736"/>
    </row>
    <row r="2272" spans="1:9" s="737" customFormat="1">
      <c r="A2272" s="738"/>
      <c r="B2272" s="735" t="s">
        <v>5862</v>
      </c>
      <c r="C2272" s="734">
        <v>1</v>
      </c>
      <c r="D2272" s="734">
        <v>4</v>
      </c>
      <c r="E2272" s="735"/>
      <c r="F2272" s="735"/>
      <c r="G2272" s="735"/>
      <c r="H2272" s="739">
        <f>PRODUCT(C2272:G2272)</f>
        <v>4</v>
      </c>
      <c r="I2272" s="736"/>
    </row>
    <row r="2273" spans="1:9" s="737" customFormat="1">
      <c r="A2273" s="736"/>
      <c r="B2273" s="735"/>
      <c r="C2273" s="734"/>
      <c r="D2273" s="734"/>
      <c r="E2273" s="735"/>
      <c r="F2273" s="735"/>
      <c r="G2273" s="735"/>
      <c r="H2273" s="742">
        <f>SUM(H2268:H2272)</f>
        <v>9</v>
      </c>
      <c r="I2273" s="736" t="s">
        <v>1427</v>
      </c>
    </row>
    <row r="2274" spans="1:9" s="737" customFormat="1" ht="56.25">
      <c r="A2274" s="810" t="s">
        <v>6473</v>
      </c>
      <c r="B2274" s="798" t="s">
        <v>3809</v>
      </c>
      <c r="C2274" s="734"/>
      <c r="D2274" s="734"/>
      <c r="E2274" s="735"/>
      <c r="F2274" s="735"/>
      <c r="G2274" s="735"/>
      <c r="H2274" s="735"/>
      <c r="I2274" s="736"/>
    </row>
    <row r="2275" spans="1:9" s="737" customFormat="1" ht="26.25" customHeight="1">
      <c r="A2275" s="736"/>
      <c r="B2275" s="798" t="s">
        <v>3810</v>
      </c>
      <c r="C2275" s="734"/>
      <c r="D2275" s="734"/>
      <c r="E2275" s="735"/>
      <c r="F2275" s="735"/>
      <c r="G2275" s="735"/>
      <c r="H2275" s="735"/>
      <c r="I2275" s="736"/>
    </row>
    <row r="2276" spans="1:9" s="737" customFormat="1" ht="26.25" customHeight="1">
      <c r="A2276" s="736"/>
      <c r="B2276" s="798" t="s">
        <v>6971</v>
      </c>
      <c r="C2276" s="734">
        <v>1</v>
      </c>
      <c r="D2276" s="734">
        <v>1</v>
      </c>
      <c r="E2276" s="739">
        <v>10</v>
      </c>
      <c r="F2276" s="811"/>
      <c r="G2276" s="735"/>
      <c r="H2276" s="742">
        <f>PRODUCT(C2276:G2276)</f>
        <v>10</v>
      </c>
      <c r="I2276" s="736" t="s">
        <v>823</v>
      </c>
    </row>
    <row r="2277" spans="1:9" s="737" customFormat="1" ht="26.25" customHeight="1">
      <c r="A2277" s="736"/>
      <c r="B2277" s="798" t="s">
        <v>3972</v>
      </c>
      <c r="C2277" s="734"/>
      <c r="D2277" s="734"/>
      <c r="E2277" s="739"/>
      <c r="F2277" s="735"/>
      <c r="G2277" s="735"/>
      <c r="H2277" s="735"/>
      <c r="I2277" s="736"/>
    </row>
    <row r="2278" spans="1:9" s="737" customFormat="1" ht="23.25" customHeight="1">
      <c r="A2278" s="736"/>
      <c r="B2278" s="798" t="s">
        <v>6972</v>
      </c>
      <c r="C2278" s="734">
        <v>1</v>
      </c>
      <c r="D2278" s="734">
        <v>1</v>
      </c>
      <c r="E2278" s="739">
        <v>60</v>
      </c>
      <c r="F2278" s="735"/>
      <c r="G2278" s="735"/>
      <c r="H2278" s="742">
        <f>PRODUCT(C2278:G2278)</f>
        <v>60</v>
      </c>
      <c r="I2278" s="736" t="s">
        <v>823</v>
      </c>
    </row>
    <row r="2279" spans="1:9" s="737" customFormat="1">
      <c r="A2279" s="812"/>
      <c r="B2279" s="811"/>
      <c r="C2279" s="813"/>
      <c r="D2279" s="813"/>
      <c r="E2279" s="811"/>
      <c r="F2279" s="811"/>
      <c r="G2279" s="811"/>
      <c r="H2279" s="811"/>
      <c r="I2279" s="812"/>
    </row>
    <row r="2280" spans="1:9" s="737" customFormat="1" ht="43.5" customHeight="1">
      <c r="A2280" s="812" t="s">
        <v>6474</v>
      </c>
      <c r="B2280" s="814" t="s">
        <v>6475</v>
      </c>
      <c r="C2280" s="813"/>
      <c r="D2280" s="813"/>
      <c r="E2280" s="811"/>
      <c r="F2280" s="811"/>
      <c r="G2280" s="811"/>
      <c r="H2280" s="811"/>
      <c r="I2280" s="812"/>
    </row>
    <row r="2281" spans="1:9" s="737" customFormat="1" ht="21.75" customHeight="1">
      <c r="A2281" s="812"/>
      <c r="B2281" s="811" t="s">
        <v>6476</v>
      </c>
      <c r="C2281" s="815">
        <v>1</v>
      </c>
      <c r="D2281" s="815">
        <v>3</v>
      </c>
      <c r="E2281" s="811"/>
      <c r="F2281" s="811"/>
      <c r="G2281" s="811"/>
      <c r="H2281" s="742">
        <f>PRODUCT(C2281:G2281)</f>
        <v>3</v>
      </c>
      <c r="I2281" s="736" t="s">
        <v>1427</v>
      </c>
    </row>
    <row r="2282" spans="1:9" s="737" customFormat="1" ht="37.5">
      <c r="A2282" s="812" t="s">
        <v>6477</v>
      </c>
      <c r="B2282" s="814" t="s">
        <v>6475</v>
      </c>
      <c r="C2282" s="815"/>
      <c r="D2282" s="815"/>
      <c r="E2282" s="811"/>
      <c r="F2282" s="811"/>
      <c r="G2282" s="811"/>
      <c r="H2282" s="811"/>
      <c r="I2282" s="812"/>
    </row>
    <row r="2283" spans="1:9" s="737" customFormat="1">
      <c r="A2283" s="812"/>
      <c r="B2283" s="811" t="s">
        <v>6478</v>
      </c>
      <c r="C2283" s="815">
        <v>1</v>
      </c>
      <c r="D2283" s="815">
        <v>2</v>
      </c>
      <c r="E2283" s="811"/>
      <c r="F2283" s="811"/>
      <c r="G2283" s="811"/>
      <c r="H2283" s="742">
        <f>PRODUCT(C2283:G2283)</f>
        <v>2</v>
      </c>
      <c r="I2283" s="736" t="s">
        <v>1427</v>
      </c>
    </row>
    <row r="2284" spans="1:9" s="737" customFormat="1">
      <c r="A2284" s="812"/>
      <c r="B2284" s="811"/>
      <c r="C2284" s="815"/>
      <c r="D2284" s="815"/>
      <c r="E2284" s="811"/>
      <c r="F2284" s="811"/>
      <c r="G2284" s="811"/>
      <c r="H2284" s="811"/>
      <c r="I2284" s="812"/>
    </row>
    <row r="2285" spans="1:9" s="737" customFormat="1" ht="66.75" customHeight="1">
      <c r="A2285" s="816">
        <v>73.099999999999994</v>
      </c>
      <c r="B2285" s="814" t="s">
        <v>6973</v>
      </c>
      <c r="C2285" s="815"/>
      <c r="D2285" s="815"/>
      <c r="E2285" s="811"/>
      <c r="F2285" s="811"/>
      <c r="G2285" s="811"/>
      <c r="H2285" s="811"/>
      <c r="I2285" s="812"/>
    </row>
    <row r="2286" spans="1:9" s="737" customFormat="1">
      <c r="A2286" s="812"/>
      <c r="B2286" s="811" t="s">
        <v>6390</v>
      </c>
      <c r="C2286" s="815">
        <v>1</v>
      </c>
      <c r="D2286" s="815">
        <v>1</v>
      </c>
      <c r="E2286" s="811"/>
      <c r="F2286" s="811"/>
      <c r="G2286" s="811"/>
      <c r="H2286" s="739">
        <f>PRODUCT(C2286:G2286)</f>
        <v>1</v>
      </c>
      <c r="I2286" s="812"/>
    </row>
    <row r="2287" spans="1:9" s="737" customFormat="1">
      <c r="A2287" s="812"/>
      <c r="B2287" s="811" t="s">
        <v>6479</v>
      </c>
      <c r="C2287" s="815">
        <v>1</v>
      </c>
      <c r="D2287" s="815">
        <v>1</v>
      </c>
      <c r="E2287" s="811"/>
      <c r="F2287" s="811"/>
      <c r="G2287" s="811"/>
      <c r="H2287" s="739">
        <f>PRODUCT(C2287:G2287)</f>
        <v>1</v>
      </c>
      <c r="I2287" s="812"/>
    </row>
    <row r="2288" spans="1:9" s="737" customFormat="1">
      <c r="A2288" s="812"/>
      <c r="B2288" s="811"/>
      <c r="C2288" s="815"/>
      <c r="D2288" s="815"/>
      <c r="E2288" s="811"/>
      <c r="F2288" s="811"/>
      <c r="G2288" s="811"/>
      <c r="H2288" s="817">
        <f>SUM(H2286:H2287)</f>
        <v>2</v>
      </c>
      <c r="I2288" s="736" t="s">
        <v>1427</v>
      </c>
    </row>
    <row r="2289" spans="1:9" s="737" customFormat="1" ht="66" customHeight="1">
      <c r="A2289" s="812" t="s">
        <v>6480</v>
      </c>
      <c r="B2289" s="814" t="s">
        <v>6481</v>
      </c>
      <c r="C2289" s="815"/>
      <c r="D2289" s="815"/>
      <c r="E2289" s="811"/>
      <c r="F2289" s="811"/>
      <c r="G2289" s="811"/>
      <c r="H2289" s="811"/>
      <c r="I2289" s="812"/>
    </row>
    <row r="2290" spans="1:9" s="737" customFormat="1">
      <c r="A2290" s="812"/>
      <c r="B2290" s="811" t="s">
        <v>6482</v>
      </c>
      <c r="C2290" s="815">
        <v>1</v>
      </c>
      <c r="D2290" s="815">
        <v>1</v>
      </c>
      <c r="E2290" s="818">
        <f>[17]DSP!$G$867</f>
        <v>18.204000000000001</v>
      </c>
      <c r="F2290" s="811"/>
      <c r="G2290" s="817"/>
      <c r="H2290" s="765">
        <f>PRODUCT(C2290:G2290)</f>
        <v>18.204000000000001</v>
      </c>
      <c r="I2290" s="812" t="s">
        <v>858</v>
      </c>
    </row>
    <row r="2291" spans="1:9" s="737" customFormat="1" ht="75">
      <c r="A2291" s="819">
        <v>238</v>
      </c>
      <c r="B2291" s="814" t="s">
        <v>6483</v>
      </c>
      <c r="C2291" s="815"/>
      <c r="D2291" s="815"/>
      <c r="E2291" s="811"/>
      <c r="F2291" s="811"/>
      <c r="G2291" s="811"/>
      <c r="H2291" s="811"/>
      <c r="I2291" s="812"/>
    </row>
    <row r="2292" spans="1:9" s="737" customFormat="1">
      <c r="A2292" s="812"/>
      <c r="B2292" s="811" t="s">
        <v>6484</v>
      </c>
      <c r="C2292" s="815">
        <v>1</v>
      </c>
      <c r="D2292" s="815">
        <v>1</v>
      </c>
      <c r="E2292" s="818">
        <f>H2290</f>
        <v>18.204000000000001</v>
      </c>
      <c r="F2292" s="811"/>
      <c r="G2292" s="811"/>
      <c r="H2292" s="766">
        <f>PRODUCT(C2292:G2292)</f>
        <v>18.204000000000001</v>
      </c>
      <c r="I2292" s="812" t="str">
        <f>I2290</f>
        <v>M.T</v>
      </c>
    </row>
    <row r="2293" spans="1:9" s="737" customFormat="1">
      <c r="A2293" s="812"/>
      <c r="B2293" s="811"/>
      <c r="C2293" s="813"/>
      <c r="D2293" s="813"/>
      <c r="E2293" s="811"/>
      <c r="F2293" s="811"/>
      <c r="G2293" s="811"/>
      <c r="H2293" s="820"/>
      <c r="I2293" s="812"/>
    </row>
    <row r="2294" spans="1:9" s="737" customFormat="1" ht="75" customHeight="1">
      <c r="A2294" s="816">
        <v>80.099999999999994</v>
      </c>
      <c r="B2294" s="1282" t="s">
        <v>6485</v>
      </c>
      <c r="C2294" s="1282"/>
      <c r="D2294" s="1282"/>
      <c r="E2294" s="1282"/>
      <c r="F2294" s="811"/>
      <c r="G2294" s="811"/>
      <c r="H2294" s="820"/>
      <c r="I2294" s="812"/>
    </row>
    <row r="2295" spans="1:9" s="737" customFormat="1">
      <c r="A2295" s="812"/>
      <c r="B2295" s="811" t="s">
        <v>6486</v>
      </c>
      <c r="C2295" s="815">
        <v>1</v>
      </c>
      <c r="D2295" s="815">
        <v>2</v>
      </c>
      <c r="E2295" s="811"/>
      <c r="F2295" s="811"/>
      <c r="G2295" s="811"/>
      <c r="H2295" s="739">
        <f>PRODUCT(C2295:G2295)</f>
        <v>2</v>
      </c>
      <c r="I2295" s="812" t="s">
        <v>1393</v>
      </c>
    </row>
    <row r="2296" spans="1:9" s="737" customFormat="1" ht="91.5" customHeight="1">
      <c r="A2296" s="812"/>
      <c r="B2296" s="1292" t="s">
        <v>6541</v>
      </c>
      <c r="C2296" s="1292"/>
      <c r="D2296" s="1292"/>
      <c r="E2296" s="1292"/>
      <c r="F2296" s="1292"/>
      <c r="G2296" s="811"/>
      <c r="H2296" s="820"/>
      <c r="I2296" s="812"/>
    </row>
    <row r="2297" spans="1:9" s="737" customFormat="1" ht="21" customHeight="1">
      <c r="A2297" s="812"/>
      <c r="B2297" s="821" t="s">
        <v>6487</v>
      </c>
      <c r="C2297" s="815">
        <v>1</v>
      </c>
      <c r="D2297" s="815">
        <v>1</v>
      </c>
      <c r="E2297" s="811">
        <v>6</v>
      </c>
      <c r="F2297" s="811"/>
      <c r="G2297" s="811"/>
      <c r="H2297" s="739">
        <f>PRODUCT(C2297:G2297)</f>
        <v>6</v>
      </c>
      <c r="I2297" s="812" t="s">
        <v>823</v>
      </c>
    </row>
    <row r="2298" spans="1:9" s="737" customFormat="1" ht="166.5" customHeight="1">
      <c r="A2298" s="812"/>
      <c r="B2298" s="1292" t="s">
        <v>6488</v>
      </c>
      <c r="C2298" s="1292"/>
      <c r="D2298" s="1292"/>
      <c r="E2298" s="1292"/>
      <c r="F2298" s="1292"/>
      <c r="G2298" s="811"/>
      <c r="H2298" s="820"/>
      <c r="I2298" s="812"/>
    </row>
    <row r="2299" spans="1:9" s="737" customFormat="1">
      <c r="A2299" s="812"/>
      <c r="B2299" s="811" t="s">
        <v>6489</v>
      </c>
      <c r="C2299" s="815">
        <v>1</v>
      </c>
      <c r="D2299" s="815">
        <v>1</v>
      </c>
      <c r="E2299" s="811"/>
      <c r="F2299" s="811"/>
      <c r="G2299" s="811"/>
      <c r="H2299" s="739">
        <f>PRODUCT(C2299:G2299)</f>
        <v>1</v>
      </c>
      <c r="I2299" s="812"/>
    </row>
    <row r="2300" spans="1:9" s="737" customFormat="1">
      <c r="A2300" s="812"/>
      <c r="B2300" s="811" t="s">
        <v>6490</v>
      </c>
      <c r="C2300" s="815">
        <v>1</v>
      </c>
      <c r="D2300" s="815">
        <v>1</v>
      </c>
      <c r="E2300" s="811"/>
      <c r="F2300" s="811"/>
      <c r="G2300" s="811"/>
      <c r="H2300" s="739">
        <f>PRODUCT(C2300:G2300)</f>
        <v>1</v>
      </c>
      <c r="I2300" s="812"/>
    </row>
    <row r="2301" spans="1:9" s="737" customFormat="1">
      <c r="A2301" s="812"/>
      <c r="B2301" s="811"/>
      <c r="C2301" s="815"/>
      <c r="D2301" s="815"/>
      <c r="E2301" s="811"/>
      <c r="F2301" s="811"/>
      <c r="G2301" s="811"/>
      <c r="H2301" s="822">
        <f>SUM(H2299:H2300)</f>
        <v>2</v>
      </c>
      <c r="I2301" s="812" t="s">
        <v>1427</v>
      </c>
    </row>
    <row r="2302" spans="1:9" s="737" customFormat="1" ht="151.5" customHeight="1">
      <c r="A2302" s="812"/>
      <c r="B2302" s="1282" t="s">
        <v>6491</v>
      </c>
      <c r="C2302" s="1282"/>
      <c r="D2302" s="1282"/>
      <c r="E2302" s="1282"/>
      <c r="F2302" s="1282"/>
      <c r="G2302" s="811"/>
      <c r="H2302" s="820"/>
      <c r="I2302" s="812"/>
    </row>
    <row r="2303" spans="1:9" s="737" customFormat="1" ht="24.75" customHeight="1">
      <c r="A2303" s="812"/>
      <c r="B2303" s="811" t="s">
        <v>6492</v>
      </c>
      <c r="C2303" s="815">
        <v>1</v>
      </c>
      <c r="D2303" s="815">
        <v>2</v>
      </c>
      <c r="E2303" s="811">
        <v>30</v>
      </c>
      <c r="F2303" s="811"/>
      <c r="G2303" s="811"/>
      <c r="H2303" s="739">
        <f>PRODUCT(C2303:G2303)</f>
        <v>60</v>
      </c>
      <c r="I2303" s="812" t="s">
        <v>823</v>
      </c>
    </row>
    <row r="2304" spans="1:9" s="737" customFormat="1" ht="150.75" customHeight="1">
      <c r="A2304" s="816">
        <v>238.1</v>
      </c>
      <c r="B2304" s="1282" t="s">
        <v>6493</v>
      </c>
      <c r="C2304" s="1282"/>
      <c r="D2304" s="1282"/>
      <c r="E2304" s="1282"/>
      <c r="F2304" s="1282"/>
      <c r="G2304" s="811"/>
      <c r="H2304" s="818"/>
      <c r="I2304" s="812"/>
    </row>
    <row r="2305" spans="1:17" s="737" customFormat="1" ht="21.75" customHeight="1">
      <c r="A2305" s="812"/>
      <c r="B2305" s="811" t="s">
        <v>6494</v>
      </c>
      <c r="C2305" s="815">
        <v>1</v>
      </c>
      <c r="D2305" s="815">
        <v>1</v>
      </c>
      <c r="E2305" s="811"/>
      <c r="F2305" s="811"/>
      <c r="G2305" s="811"/>
      <c r="H2305" s="823">
        <f>H991</f>
        <v>2515.1999999999998</v>
      </c>
      <c r="I2305" s="812"/>
    </row>
    <row r="2306" spans="1:17" s="737" customFormat="1" ht="21.75" customHeight="1">
      <c r="A2306" s="812"/>
      <c r="B2306" s="811"/>
      <c r="C2306" s="813"/>
      <c r="D2306" s="813"/>
      <c r="E2306" s="811"/>
      <c r="F2306" s="811"/>
      <c r="G2306" s="811"/>
      <c r="H2306" s="820">
        <f>H2305/1000</f>
        <v>2.5150000000000001</v>
      </c>
      <c r="I2306" s="812" t="s">
        <v>858</v>
      </c>
    </row>
    <row r="2307" spans="1:17" s="737" customFormat="1" ht="98.25" customHeight="1">
      <c r="A2307" s="812"/>
      <c r="B2307" s="1282" t="s">
        <v>6495</v>
      </c>
      <c r="C2307" s="1282"/>
      <c r="D2307" s="1282"/>
      <c r="E2307" s="1282"/>
      <c r="F2307" s="1282"/>
      <c r="G2307" s="811"/>
      <c r="H2307" s="818"/>
      <c r="I2307" s="812"/>
    </row>
    <row r="2308" spans="1:17" s="737" customFormat="1">
      <c r="A2308" s="812"/>
      <c r="B2308" s="811" t="s">
        <v>6496</v>
      </c>
      <c r="C2308" s="815">
        <v>1</v>
      </c>
      <c r="D2308" s="815">
        <v>4</v>
      </c>
      <c r="E2308" s="811"/>
      <c r="F2308" s="811"/>
      <c r="G2308" s="811"/>
      <c r="H2308" s="811">
        <f>PRODUCT(C2308:G2308)</f>
        <v>4</v>
      </c>
      <c r="I2308" s="812"/>
    </row>
    <row r="2309" spans="1:17" s="737" customFormat="1">
      <c r="A2309" s="812"/>
      <c r="B2309" s="811" t="s">
        <v>6497</v>
      </c>
      <c r="C2309" s="815">
        <v>1</v>
      </c>
      <c r="D2309" s="815">
        <v>3</v>
      </c>
      <c r="E2309" s="811"/>
      <c r="F2309" s="811"/>
      <c r="G2309" s="811"/>
      <c r="H2309" s="811">
        <f>PRODUCT(C2309:G2309)</f>
        <v>3</v>
      </c>
      <c r="I2309" s="812"/>
    </row>
    <row r="2310" spans="1:17" s="737" customFormat="1">
      <c r="A2310" s="812"/>
      <c r="B2310" s="811"/>
      <c r="C2310" s="813"/>
      <c r="D2310" s="813"/>
      <c r="E2310" s="811"/>
      <c r="F2310" s="811"/>
      <c r="G2310" s="811"/>
      <c r="H2310" s="817">
        <f>SUM(H2308:H2309)</f>
        <v>7</v>
      </c>
      <c r="I2310" s="812" t="s">
        <v>1427</v>
      </c>
    </row>
    <row r="2311" spans="1:17" s="737" customFormat="1" ht="123.75" customHeight="1">
      <c r="A2311" s="812"/>
      <c r="B2311" s="1282" t="s">
        <v>6498</v>
      </c>
      <c r="C2311" s="1282"/>
      <c r="D2311" s="1282"/>
      <c r="E2311" s="1282"/>
      <c r="F2311" s="1282"/>
      <c r="G2311" s="811"/>
      <c r="H2311" s="811"/>
      <c r="I2311" s="812"/>
    </row>
    <row r="2312" spans="1:17" s="737" customFormat="1" ht="21" customHeight="1">
      <c r="A2312" s="738"/>
      <c r="B2312" s="735" t="s">
        <v>6499</v>
      </c>
      <c r="C2312" s="734">
        <v>1</v>
      </c>
      <c r="D2312" s="734">
        <v>1</v>
      </c>
      <c r="E2312" s="739">
        <f>H841</f>
        <v>669.28</v>
      </c>
      <c r="F2312" s="739"/>
      <c r="G2312" s="739"/>
      <c r="H2312" s="739">
        <f t="shared" ref="H2312:H2313" si="206">PRODUCT(C2312:G2312)</f>
        <v>669.28</v>
      </c>
      <c r="I2312" s="736"/>
    </row>
    <row r="2313" spans="1:17" s="737" customFormat="1" ht="21" customHeight="1">
      <c r="A2313" s="738"/>
      <c r="B2313" s="735" t="s">
        <v>6974</v>
      </c>
      <c r="C2313" s="734">
        <v>1</v>
      </c>
      <c r="D2313" s="734">
        <v>1</v>
      </c>
      <c r="E2313" s="739">
        <f>H926</f>
        <v>47.3</v>
      </c>
      <c r="F2313" s="739"/>
      <c r="G2313" s="739"/>
      <c r="H2313" s="739">
        <f t="shared" si="206"/>
        <v>47.3</v>
      </c>
      <c r="I2313" s="736"/>
    </row>
    <row r="2314" spans="1:17" s="737" customFormat="1" ht="21" customHeight="1">
      <c r="A2314" s="746"/>
      <c r="B2314" s="735"/>
      <c r="C2314" s="746"/>
      <c r="D2314" s="746"/>
      <c r="E2314" s="742"/>
      <c r="F2314" s="742"/>
      <c r="G2314" s="742" t="s">
        <v>4209</v>
      </c>
      <c r="H2314" s="742">
        <f>SUM(H2312:H2313)</f>
        <v>716.58</v>
      </c>
      <c r="I2314" s="735" t="s">
        <v>230</v>
      </c>
    </row>
    <row r="2315" spans="1:17" s="776" customFormat="1" ht="104.25" customHeight="1">
      <c r="A2315" s="769"/>
      <c r="B2315" s="825" t="s">
        <v>7007</v>
      </c>
      <c r="C2315" s="769">
        <v>2</v>
      </c>
      <c r="D2315" s="769">
        <v>2</v>
      </c>
      <c r="E2315" s="771"/>
      <c r="F2315" s="772"/>
      <c r="G2315" s="778"/>
      <c r="H2315" s="779">
        <f>PRODUCT(C2315:G2315)</f>
        <v>4</v>
      </c>
      <c r="I2315" s="780" t="s">
        <v>1427</v>
      </c>
      <c r="L2315" s="824"/>
      <c r="M2315" s="824"/>
      <c r="N2315" s="824"/>
      <c r="O2315" s="824"/>
      <c r="P2315" s="824"/>
      <c r="Q2315" s="824"/>
    </row>
    <row r="2316" spans="1:17" s="776" customFormat="1" ht="81.75" customHeight="1">
      <c r="A2316" s="769"/>
      <c r="B2316" s="770" t="s">
        <v>6500</v>
      </c>
      <c r="C2316" s="769">
        <v>1</v>
      </c>
      <c r="D2316" s="769">
        <v>7</v>
      </c>
      <c r="E2316" s="771"/>
      <c r="F2316" s="772"/>
      <c r="G2316" s="778"/>
      <c r="H2316" s="779">
        <f>PRODUCT(C2316:G2316)</f>
        <v>7</v>
      </c>
      <c r="I2316" s="780" t="s">
        <v>1427</v>
      </c>
      <c r="L2316" s="824"/>
      <c r="M2316" s="824"/>
      <c r="N2316" s="824"/>
      <c r="O2316" s="824"/>
      <c r="P2316" s="824"/>
      <c r="Q2316" s="824"/>
    </row>
    <row r="2317" spans="1:17" s="830" customFormat="1" ht="107.25" customHeight="1">
      <c r="A2317" s="826"/>
      <c r="B2317" s="827" t="s">
        <v>6501</v>
      </c>
      <c r="C2317" s="826"/>
      <c r="D2317" s="826"/>
      <c r="E2317" s="828"/>
      <c r="F2317" s="828"/>
      <c r="G2317" s="829"/>
      <c r="H2317" s="829"/>
      <c r="I2317" s="1195"/>
    </row>
    <row r="2318" spans="1:17" s="830" customFormat="1" ht="27" customHeight="1">
      <c r="A2318" s="826"/>
      <c r="B2318" s="827" t="s">
        <v>6502</v>
      </c>
      <c r="C2318" s="826">
        <v>1</v>
      </c>
      <c r="D2318" s="826">
        <v>12</v>
      </c>
      <c r="E2318" s="828"/>
      <c r="F2318" s="828"/>
      <c r="G2318" s="829"/>
      <c r="H2318" s="828">
        <f>PRODUCT(C2318:G2318)</f>
        <v>12</v>
      </c>
      <c r="I2318" s="1195" t="s">
        <v>1427</v>
      </c>
    </row>
    <row r="2319" spans="1:17" s="776" customFormat="1" ht="117" customHeight="1">
      <c r="A2319" s="769"/>
      <c r="B2319" s="770" t="s">
        <v>6503</v>
      </c>
      <c r="C2319" s="769"/>
      <c r="D2319" s="769"/>
      <c r="E2319" s="771"/>
      <c r="F2319" s="772"/>
      <c r="G2319" s="778"/>
      <c r="H2319" s="779"/>
      <c r="I2319" s="780"/>
      <c r="J2319" s="776" t="s">
        <v>6504</v>
      </c>
      <c r="L2319" s="824"/>
      <c r="M2319" s="824"/>
      <c r="N2319" s="824"/>
      <c r="O2319" s="824"/>
      <c r="P2319" s="824"/>
      <c r="Q2319" s="824"/>
    </row>
    <row r="2320" spans="1:17" s="776" customFormat="1" ht="52.5" customHeight="1">
      <c r="A2320" s="769"/>
      <c r="B2320" s="802" t="s">
        <v>6505</v>
      </c>
      <c r="C2320" s="769">
        <v>1</v>
      </c>
      <c r="D2320" s="769">
        <v>7</v>
      </c>
      <c r="E2320" s="769"/>
      <c r="F2320" s="772"/>
      <c r="G2320" s="772"/>
      <c r="H2320" s="779">
        <f>PRODUCT(C2320:G2320)</f>
        <v>7</v>
      </c>
      <c r="I2320" s="780" t="s">
        <v>1427</v>
      </c>
      <c r="L2320" s="824"/>
      <c r="M2320" s="824"/>
      <c r="N2320" s="824"/>
      <c r="O2320" s="824"/>
      <c r="P2320" s="824"/>
      <c r="Q2320" s="824"/>
    </row>
    <row r="2321" spans="1:14" s="835" customFormat="1" ht="87.75" customHeight="1">
      <c r="A2321" s="831"/>
      <c r="B2321" s="832" t="s">
        <v>6506</v>
      </c>
      <c r="C2321" s="769"/>
      <c r="D2321" s="769"/>
      <c r="E2321" s="774"/>
      <c r="F2321" s="804"/>
      <c r="G2321" s="804"/>
      <c r="H2321" s="833"/>
      <c r="I2321" s="834"/>
      <c r="J2321" s="776"/>
      <c r="K2321" s="776"/>
      <c r="L2321" s="776"/>
      <c r="M2321" s="776"/>
      <c r="N2321" s="776"/>
    </row>
    <row r="2322" spans="1:14" s="835" customFormat="1" ht="21" customHeight="1">
      <c r="A2322" s="831"/>
      <c r="B2322" s="836" t="s">
        <v>6507</v>
      </c>
      <c r="C2322" s="831">
        <v>1</v>
      </c>
      <c r="D2322" s="831">
        <v>7</v>
      </c>
      <c r="E2322" s="837">
        <v>2.1</v>
      </c>
      <c r="F2322" s="837"/>
      <c r="G2322" s="837"/>
      <c r="H2322" s="838">
        <f>PRODUCT(C2322:G2322)</f>
        <v>14.7</v>
      </c>
      <c r="I2322" s="834"/>
      <c r="J2322" s="776"/>
      <c r="K2322" s="776"/>
      <c r="L2322" s="776"/>
      <c r="M2322" s="776"/>
      <c r="N2322" s="776"/>
    </row>
    <row r="2323" spans="1:14" s="835" customFormat="1" ht="21" customHeight="1">
      <c r="A2323" s="831"/>
      <c r="B2323" s="839"/>
      <c r="C2323" s="831"/>
      <c r="D2323" s="831"/>
      <c r="E2323" s="837"/>
      <c r="F2323" s="837"/>
      <c r="G2323" s="837" t="s">
        <v>2235</v>
      </c>
      <c r="H2323" s="840">
        <f>SUM(H2322:H2322)</f>
        <v>14.7</v>
      </c>
      <c r="I2323" s="841" t="s">
        <v>823</v>
      </c>
      <c r="J2323" s="776"/>
      <c r="K2323" s="776"/>
      <c r="L2323" s="776"/>
      <c r="M2323" s="776"/>
      <c r="N2323" s="776"/>
    </row>
    <row r="2324" spans="1:14" s="843" customFormat="1" ht="38.25" customHeight="1">
      <c r="A2324" s="842"/>
      <c r="B2324" s="798" t="s">
        <v>6508</v>
      </c>
      <c r="C2324" s="769"/>
      <c r="D2324" s="769"/>
      <c r="E2324" s="793"/>
      <c r="F2324" s="772"/>
      <c r="G2324" s="773"/>
      <c r="H2324" s="774"/>
      <c r="I2324" s="780"/>
      <c r="J2324" s="776"/>
      <c r="K2324" s="776"/>
      <c r="L2324" s="776"/>
      <c r="M2324" s="776"/>
      <c r="N2324" s="776"/>
    </row>
    <row r="2325" spans="1:14" s="776" customFormat="1" ht="21" customHeight="1">
      <c r="A2325" s="769"/>
      <c r="B2325" s="825" t="s">
        <v>6509</v>
      </c>
      <c r="C2325" s="769">
        <v>1</v>
      </c>
      <c r="D2325" s="769">
        <v>1</v>
      </c>
      <c r="E2325" s="793">
        <f>H1922</f>
        <v>20.7</v>
      </c>
      <c r="F2325" s="793"/>
      <c r="G2325" s="774"/>
      <c r="H2325" s="774">
        <f t="shared" ref="H2325" si="207">PRODUCT(C2325:G2325)</f>
        <v>20.7</v>
      </c>
      <c r="I2325" s="780"/>
    </row>
    <row r="2326" spans="1:14" s="776" customFormat="1" ht="21" customHeight="1">
      <c r="A2326" s="769"/>
      <c r="B2326" s="825"/>
      <c r="C2326" s="769"/>
      <c r="D2326" s="769"/>
      <c r="E2326" s="793"/>
      <c r="F2326" s="793"/>
      <c r="G2326" s="779" t="s">
        <v>2235</v>
      </c>
      <c r="H2326" s="779">
        <f>SUM(H2325:H2325)</f>
        <v>20.7</v>
      </c>
      <c r="I2326" s="844" t="s">
        <v>2273</v>
      </c>
    </row>
    <row r="2327" spans="1:14" s="1193" customFormat="1" ht="147.75" customHeight="1">
      <c r="A2327" s="815"/>
      <c r="B2327" s="1284" t="s">
        <v>6510</v>
      </c>
      <c r="C2327" s="1284"/>
      <c r="D2327" s="1284"/>
      <c r="E2327" s="1284"/>
      <c r="F2327" s="1201"/>
      <c r="G2327" s="1201"/>
      <c r="H2327" s="1201"/>
      <c r="I2327" s="1201"/>
    </row>
    <row r="2328" spans="1:14" s="1193" customFormat="1" ht="24" customHeight="1">
      <c r="A2328" s="815"/>
      <c r="B2328" s="1196" t="s">
        <v>6511</v>
      </c>
      <c r="C2328" s="815">
        <v>1</v>
      </c>
      <c r="D2328" s="815">
        <v>7</v>
      </c>
      <c r="E2328" s="811"/>
      <c r="F2328" s="811"/>
      <c r="G2328" s="811"/>
      <c r="H2328" s="1199">
        <f>PRODUCT(C2328:G2328)</f>
        <v>7</v>
      </c>
      <c r="I2328" s="1200" t="s">
        <v>1427</v>
      </c>
    </row>
    <row r="2329" spans="1:14" s="1188" customFormat="1" ht="77.25" customHeight="1">
      <c r="A2329" s="815"/>
      <c r="B2329" s="1286" t="s">
        <v>6985</v>
      </c>
      <c r="C2329" s="1287"/>
      <c r="D2329" s="1287"/>
      <c r="E2329" s="1288"/>
      <c r="F2329" s="811"/>
      <c r="G2329" s="811"/>
      <c r="H2329" s="1192"/>
      <c r="I2329" s="812"/>
    </row>
    <row r="2330" spans="1:14" s="1188" customFormat="1" ht="24" customHeight="1">
      <c r="A2330" s="815"/>
      <c r="B2330" s="1196" t="s">
        <v>6986</v>
      </c>
      <c r="C2330" s="815">
        <v>1</v>
      </c>
      <c r="D2330" s="815">
        <v>2</v>
      </c>
      <c r="E2330" s="811"/>
      <c r="F2330" s="811"/>
      <c r="G2330" s="811"/>
      <c r="H2330" s="1199">
        <f>PRODUCT(C2330:G2330)</f>
        <v>2</v>
      </c>
      <c r="I2330" s="1200" t="s">
        <v>1427</v>
      </c>
    </row>
    <row r="2331" spans="1:14" s="849" customFormat="1" ht="67.5" customHeight="1">
      <c r="A2331" s="845"/>
      <c r="B2331" s="1282" t="s">
        <v>6987</v>
      </c>
      <c r="C2331" s="1282"/>
      <c r="D2331" s="1282"/>
      <c r="E2331" s="846"/>
      <c r="F2331" s="846"/>
      <c r="G2331" s="847"/>
      <c r="H2331" s="848"/>
      <c r="I2331" s="1197"/>
    </row>
    <row r="2332" spans="1:14" s="854" customFormat="1" ht="24" customHeight="1">
      <c r="A2332" s="850"/>
      <c r="B2332" s="851" t="s">
        <v>6513</v>
      </c>
      <c r="C2332" s="852">
        <v>1</v>
      </c>
      <c r="D2332" s="845">
        <v>2</v>
      </c>
      <c r="E2332" s="853"/>
      <c r="F2332" s="853"/>
      <c r="G2332" s="848"/>
      <c r="H2332" s="853">
        <f>PRODUCT(C2332:G2332)</f>
        <v>2</v>
      </c>
      <c r="I2332" s="1197"/>
    </row>
    <row r="2333" spans="1:14" s="854" customFormat="1" ht="24" customHeight="1">
      <c r="A2333" s="850"/>
      <c r="B2333" s="851" t="s">
        <v>6514</v>
      </c>
      <c r="C2333" s="852">
        <v>1</v>
      </c>
      <c r="D2333" s="845">
        <v>3</v>
      </c>
      <c r="E2333" s="853"/>
      <c r="F2333" s="853"/>
      <c r="G2333" s="848"/>
      <c r="H2333" s="853">
        <f>PRODUCT(C2333:G2333)</f>
        <v>3</v>
      </c>
      <c r="I2333" s="1197"/>
    </row>
    <row r="2334" spans="1:14" s="854" customFormat="1" ht="24" customHeight="1">
      <c r="A2334" s="850"/>
      <c r="B2334" s="851"/>
      <c r="C2334" s="852"/>
      <c r="D2334" s="845"/>
      <c r="E2334" s="853"/>
      <c r="F2334" s="853"/>
      <c r="G2334" s="848" t="s">
        <v>2235</v>
      </c>
      <c r="H2334" s="848">
        <f>SUM(H2332:H2333)</f>
        <v>5</v>
      </c>
      <c r="I2334" s="1197" t="s">
        <v>1427</v>
      </c>
    </row>
    <row r="2335" spans="1:14" s="849" customFormat="1" ht="67.5" customHeight="1">
      <c r="A2335" s="845"/>
      <c r="B2335" s="1282" t="s">
        <v>6512</v>
      </c>
      <c r="C2335" s="1282"/>
      <c r="D2335" s="1282"/>
      <c r="E2335" s="846"/>
      <c r="F2335" s="846"/>
      <c r="G2335" s="847"/>
      <c r="H2335" s="848"/>
      <c r="I2335" s="1197"/>
    </row>
    <row r="2336" spans="1:14" s="854" customFormat="1" ht="24" customHeight="1">
      <c r="A2336" s="850"/>
      <c r="B2336" s="851" t="s">
        <v>6513</v>
      </c>
      <c r="C2336" s="852">
        <v>1</v>
      </c>
      <c r="D2336" s="845">
        <v>4</v>
      </c>
      <c r="E2336" s="853"/>
      <c r="F2336" s="853"/>
      <c r="G2336" s="848"/>
      <c r="H2336" s="853">
        <f>PRODUCT(C2336:G2336)</f>
        <v>4</v>
      </c>
      <c r="I2336" s="1197"/>
    </row>
    <row r="2337" spans="1:9" s="854" customFormat="1" ht="24" customHeight="1">
      <c r="A2337" s="850"/>
      <c r="B2337" s="851" t="s">
        <v>6514</v>
      </c>
      <c r="C2337" s="852">
        <v>1</v>
      </c>
      <c r="D2337" s="845">
        <v>3</v>
      </c>
      <c r="E2337" s="853"/>
      <c r="F2337" s="853"/>
      <c r="G2337" s="848"/>
      <c r="H2337" s="853">
        <f>PRODUCT(C2337:G2337)</f>
        <v>3</v>
      </c>
      <c r="I2337" s="1197"/>
    </row>
    <row r="2338" spans="1:9" s="854" customFormat="1" ht="24" customHeight="1">
      <c r="A2338" s="850"/>
      <c r="B2338" s="851"/>
      <c r="C2338" s="852"/>
      <c r="D2338" s="845"/>
      <c r="E2338" s="853"/>
      <c r="F2338" s="853"/>
      <c r="G2338" s="848" t="s">
        <v>2235</v>
      </c>
      <c r="H2338" s="848">
        <f>SUM(H2336:H2337)</f>
        <v>7</v>
      </c>
      <c r="I2338" s="1197" t="s">
        <v>1427</v>
      </c>
    </row>
    <row r="2339" spans="1:9" s="857" customFormat="1" ht="267" customHeight="1">
      <c r="A2339" s="855"/>
      <c r="B2339" s="1285" t="s">
        <v>6515</v>
      </c>
      <c r="C2339" s="1285"/>
      <c r="D2339" s="1285"/>
      <c r="E2339" s="1285"/>
      <c r="F2339" s="1285"/>
      <c r="G2339" s="856"/>
      <c r="H2339" s="856"/>
      <c r="I2339" s="1198"/>
    </row>
    <row r="2340" spans="1:9" s="862" customFormat="1" ht="22.5" customHeight="1">
      <c r="A2340" s="858"/>
      <c r="B2340" s="859" t="s">
        <v>6002</v>
      </c>
      <c r="C2340" s="762"/>
      <c r="D2340" s="762"/>
      <c r="E2340" s="860"/>
      <c r="F2340" s="860"/>
      <c r="G2340" s="861"/>
      <c r="H2340" s="861"/>
      <c r="I2340" s="761"/>
    </row>
    <row r="2341" spans="1:9" s="737" customFormat="1">
      <c r="A2341" s="738"/>
      <c r="B2341" s="735" t="s">
        <v>6141</v>
      </c>
      <c r="C2341" s="734">
        <v>1</v>
      </c>
      <c r="D2341" s="734">
        <v>1</v>
      </c>
      <c r="E2341" s="739">
        <v>6</v>
      </c>
      <c r="F2341" s="739"/>
      <c r="G2341" s="739">
        <v>0.9</v>
      </c>
      <c r="H2341" s="739">
        <f t="shared" ref="H2341:H2342" si="208">PRODUCT(C2341:G2341)</f>
        <v>5.4</v>
      </c>
      <c r="I2341" s="736"/>
    </row>
    <row r="2342" spans="1:9" s="737" customFormat="1">
      <c r="A2342" s="738"/>
      <c r="B2342" s="735" t="s">
        <v>6141</v>
      </c>
      <c r="C2342" s="734">
        <v>1</v>
      </c>
      <c r="D2342" s="734">
        <v>1</v>
      </c>
      <c r="E2342" s="739">
        <v>12</v>
      </c>
      <c r="F2342" s="739"/>
      <c r="G2342" s="739">
        <v>0.9</v>
      </c>
      <c r="H2342" s="739">
        <f t="shared" si="208"/>
        <v>10.8</v>
      </c>
      <c r="I2342" s="736"/>
    </row>
    <row r="2343" spans="1:9" s="862" customFormat="1" ht="22.5" customHeight="1">
      <c r="A2343" s="858"/>
      <c r="B2343" s="863" t="s">
        <v>6516</v>
      </c>
      <c r="C2343" s="762">
        <v>1</v>
      </c>
      <c r="D2343" s="762">
        <v>1</v>
      </c>
      <c r="E2343" s="861">
        <v>4.4000000000000004</v>
      </c>
      <c r="F2343" s="860"/>
      <c r="G2343" s="861">
        <v>1</v>
      </c>
      <c r="H2343" s="861">
        <f>PRODUCT(C2343:G2343)</f>
        <v>4.4000000000000004</v>
      </c>
      <c r="I2343" s="761"/>
    </row>
    <row r="2344" spans="1:9" s="862" customFormat="1" ht="22.5" customHeight="1">
      <c r="A2344" s="858"/>
      <c r="B2344" s="863" t="s">
        <v>6517</v>
      </c>
      <c r="C2344" s="762">
        <v>1</v>
      </c>
      <c r="D2344" s="762">
        <v>1</v>
      </c>
      <c r="E2344" s="861">
        <v>4.2</v>
      </c>
      <c r="F2344" s="860"/>
      <c r="G2344" s="861">
        <v>1</v>
      </c>
      <c r="H2344" s="861">
        <f>PRODUCT(C2344:G2344)</f>
        <v>4.2</v>
      </c>
      <c r="I2344" s="761"/>
    </row>
    <row r="2345" spans="1:9" s="862" customFormat="1" ht="22.5" customHeight="1">
      <c r="A2345" s="858"/>
      <c r="B2345" s="863" t="s">
        <v>6518</v>
      </c>
      <c r="C2345" s="762">
        <v>1</v>
      </c>
      <c r="D2345" s="762">
        <v>2</v>
      </c>
      <c r="E2345" s="861">
        <v>0.45</v>
      </c>
      <c r="F2345" s="860"/>
      <c r="G2345" s="861">
        <v>1</v>
      </c>
      <c r="H2345" s="861">
        <f>PRODUCT(C2345:G2345)</f>
        <v>0.9</v>
      </c>
      <c r="I2345" s="761"/>
    </row>
    <row r="2346" spans="1:9" s="862" customFormat="1" ht="22.5" customHeight="1">
      <c r="A2346" s="858"/>
      <c r="B2346" s="859" t="s">
        <v>6098</v>
      </c>
      <c r="C2346" s="762"/>
      <c r="D2346" s="762"/>
      <c r="E2346" s="860"/>
      <c r="F2346" s="860"/>
      <c r="G2346" s="861"/>
      <c r="H2346" s="861"/>
      <c r="I2346" s="761"/>
    </row>
    <row r="2347" spans="1:9" s="862" customFormat="1" ht="22.5" customHeight="1">
      <c r="A2347" s="858"/>
      <c r="B2347" s="863" t="s">
        <v>6519</v>
      </c>
      <c r="C2347" s="762">
        <v>1</v>
      </c>
      <c r="D2347" s="762">
        <v>1</v>
      </c>
      <c r="E2347" s="861">
        <v>4.4000000000000004</v>
      </c>
      <c r="F2347" s="860"/>
      <c r="G2347" s="861">
        <v>1</v>
      </c>
      <c r="H2347" s="861">
        <f>PRODUCT(C2347:G2347)</f>
        <v>4.4000000000000004</v>
      </c>
      <c r="I2347" s="761"/>
    </row>
    <row r="2348" spans="1:9" s="862" customFormat="1" ht="22.5" customHeight="1">
      <c r="A2348" s="858"/>
      <c r="B2348" s="863" t="s">
        <v>6520</v>
      </c>
      <c r="C2348" s="762">
        <v>1</v>
      </c>
      <c r="D2348" s="762">
        <v>1</v>
      </c>
      <c r="E2348" s="861">
        <v>4.2</v>
      </c>
      <c r="F2348" s="860"/>
      <c r="G2348" s="861">
        <v>1</v>
      </c>
      <c r="H2348" s="861">
        <f>PRODUCT(C2348:G2348)</f>
        <v>4.2</v>
      </c>
      <c r="I2348" s="761"/>
    </row>
    <row r="2349" spans="1:9" s="862" customFormat="1" ht="22.5" customHeight="1">
      <c r="A2349" s="858"/>
      <c r="B2349" s="863" t="s">
        <v>6518</v>
      </c>
      <c r="C2349" s="762">
        <v>1</v>
      </c>
      <c r="D2349" s="762">
        <v>2</v>
      </c>
      <c r="E2349" s="861">
        <v>0.45</v>
      </c>
      <c r="F2349" s="860"/>
      <c r="G2349" s="861">
        <v>1</v>
      </c>
      <c r="H2349" s="861">
        <f>PRODUCT(C2349:G2349)</f>
        <v>0.9</v>
      </c>
      <c r="I2349" s="761"/>
    </row>
    <row r="2350" spans="1:9" s="737" customFormat="1" ht="22.5" customHeight="1">
      <c r="A2350" s="811"/>
      <c r="B2350" s="811" t="s">
        <v>6113</v>
      </c>
      <c r="C2350" s="815">
        <v>1</v>
      </c>
      <c r="D2350" s="815">
        <v>1</v>
      </c>
      <c r="E2350" s="811">
        <v>2</v>
      </c>
      <c r="F2350" s="811"/>
      <c r="G2350" s="861">
        <v>1</v>
      </c>
      <c r="H2350" s="861">
        <f>PRODUCT(C2350:G2350)</f>
        <v>2</v>
      </c>
      <c r="I2350" s="811"/>
    </row>
    <row r="2351" spans="1:9" s="737" customFormat="1" ht="22.5" customHeight="1">
      <c r="A2351" s="811"/>
      <c r="B2351" s="811"/>
      <c r="C2351" s="815"/>
      <c r="D2351" s="815"/>
      <c r="E2351" s="811"/>
      <c r="F2351" s="811"/>
      <c r="G2351" s="864" t="s">
        <v>2235</v>
      </c>
      <c r="H2351" s="864">
        <f>SUM(H2340:H2350)</f>
        <v>37.200000000000003</v>
      </c>
      <c r="I2351" s="811" t="s">
        <v>823</v>
      </c>
    </row>
    <row r="2352" spans="1:9" s="737" customFormat="1" ht="130.5" customHeight="1">
      <c r="A2352" s="811"/>
      <c r="B2352" s="1282" t="s">
        <v>6521</v>
      </c>
      <c r="C2352" s="1282"/>
      <c r="D2352" s="1282"/>
      <c r="E2352" s="1282"/>
      <c r="F2352" s="1282"/>
      <c r="G2352" s="811"/>
      <c r="H2352" s="811"/>
      <c r="I2352" s="811"/>
    </row>
    <row r="2353" spans="1:11" ht="24" customHeight="1">
      <c r="A2353" s="865"/>
      <c r="B2353" s="865" t="s">
        <v>6522</v>
      </c>
      <c r="C2353" s="866">
        <v>1</v>
      </c>
      <c r="D2353" s="866">
        <v>1</v>
      </c>
      <c r="E2353" s="865">
        <f>H1924</f>
        <v>1028.69</v>
      </c>
      <c r="F2353" s="865"/>
      <c r="G2353" s="865"/>
      <c r="H2353" s="861">
        <f>PRODUCT(C2353:G2353)</f>
        <v>1028.69</v>
      </c>
      <c r="I2353" s="865" t="s">
        <v>2273</v>
      </c>
    </row>
    <row r="2354" spans="1:11" s="869" customFormat="1" ht="135.75" customHeight="1">
      <c r="A2354" s="867"/>
      <c r="B2354" s="1282" t="s">
        <v>6523</v>
      </c>
      <c r="C2354" s="1282"/>
      <c r="D2354" s="1282"/>
      <c r="E2354" s="1282"/>
      <c r="F2354" s="1282"/>
      <c r="G2354" s="868"/>
      <c r="H2354" s="868"/>
      <c r="I2354" s="868"/>
      <c r="J2354" s="869">
        <v>1008</v>
      </c>
      <c r="K2354" s="869" t="s">
        <v>6524</v>
      </c>
    </row>
    <row r="2355" spans="1:11" s="877" customFormat="1" ht="24" customHeight="1">
      <c r="A2355" s="870"/>
      <c r="B2355" s="871" t="s">
        <v>383</v>
      </c>
      <c r="C2355" s="872">
        <v>1</v>
      </c>
      <c r="D2355" s="873">
        <v>2</v>
      </c>
      <c r="E2355" s="874"/>
      <c r="F2355" s="874"/>
      <c r="G2355" s="874"/>
      <c r="H2355" s="875">
        <f>PRODUCT(C2355:G2355)</f>
        <v>2</v>
      </c>
      <c r="I2355" s="876" t="s">
        <v>1427</v>
      </c>
    </row>
    <row r="2356" spans="1:11">
      <c r="A2356" s="729"/>
      <c r="I2356" s="729"/>
    </row>
    <row r="2357" spans="1:11">
      <c r="A2357" s="729"/>
      <c r="I2357" s="729"/>
    </row>
    <row r="2358" spans="1:11">
      <c r="A2358" s="729"/>
      <c r="I2358" s="729"/>
    </row>
    <row r="2359" spans="1:11">
      <c r="A2359" s="729"/>
      <c r="I2359" s="729"/>
    </row>
    <row r="2360" spans="1:11" s="879" customFormat="1" ht="23.25" customHeight="1">
      <c r="A2360" s="1283" t="s">
        <v>6525</v>
      </c>
      <c r="B2360" s="1283"/>
      <c r="C2360" s="1283"/>
      <c r="D2360" s="1283"/>
      <c r="E2360" s="1283"/>
      <c r="F2360" s="1283"/>
      <c r="G2360" s="1283"/>
      <c r="H2360" s="1283"/>
      <c r="I2360" s="1283"/>
    </row>
  </sheetData>
  <mergeCells count="37">
    <mergeCell ref="B1985:E1985"/>
    <mergeCell ref="A1:I1"/>
    <mergeCell ref="A2:I2"/>
    <mergeCell ref="C3:D3"/>
    <mergeCell ref="H3:I3"/>
    <mergeCell ref="B1818:E1818"/>
    <mergeCell ref="B1828:F1828"/>
    <mergeCell ref="B1851:E1851"/>
    <mergeCell ref="B1902:F1902"/>
    <mergeCell ref="B1951:E1951"/>
    <mergeCell ref="B1960:E1960"/>
    <mergeCell ref="B900:F900"/>
    <mergeCell ref="B851:F851"/>
    <mergeCell ref="B1938:E1938"/>
    <mergeCell ref="B2302:F2302"/>
    <mergeCell ref="B2047:E2047"/>
    <mergeCell ref="B2059:E2059"/>
    <mergeCell ref="B2061:E2061"/>
    <mergeCell ref="B2075:E2075"/>
    <mergeCell ref="B2099:D2099"/>
    <mergeCell ref="B2150:E2150"/>
    <mergeCell ref="B2234:E2234"/>
    <mergeCell ref="B2267:E2267"/>
    <mergeCell ref="B2294:E2294"/>
    <mergeCell ref="B2296:F2296"/>
    <mergeCell ref="B2298:F2298"/>
    <mergeCell ref="B2352:F2352"/>
    <mergeCell ref="B2354:F2354"/>
    <mergeCell ref="A2360:I2360"/>
    <mergeCell ref="B2304:F2304"/>
    <mergeCell ref="B2307:F2307"/>
    <mergeCell ref="B2311:F2311"/>
    <mergeCell ref="B2327:E2327"/>
    <mergeCell ref="B2331:D2331"/>
    <mergeCell ref="B2339:F2339"/>
    <mergeCell ref="B2335:D2335"/>
    <mergeCell ref="B2329:E2329"/>
  </mergeCells>
  <pageMargins left="0.56999999999999995" right="0.41" top="0.55000000000000004" bottom="0.42" header="0.16" footer="0.31496062992126"/>
  <pageSetup paperSize="9" scale="85" orientation="portrait" r:id="rId1"/>
  <headerFooter>
    <oddHeader>Page &amp;P</oddHeader>
  </headerFooter>
  <colBreaks count="1" manualBreakCount="1">
    <brk id="9" max="1048575" man="1"/>
  </col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J38"/>
  <sheetViews>
    <sheetView tabSelected="1" view="pageBreakPreview" zoomScale="90" zoomScaleNormal="75" zoomScaleSheetLayoutView="90" workbookViewId="0">
      <selection activeCell="I5" sqref="I5"/>
    </sheetView>
  </sheetViews>
  <sheetFormatPr defaultRowHeight="35.1" customHeight="1"/>
  <cols>
    <col min="1" max="1" width="7.6640625" style="24" customWidth="1"/>
    <col min="2" max="2" width="6.6640625" style="24" customWidth="1"/>
    <col min="3" max="3" width="39.6640625" style="24" customWidth="1"/>
    <col min="4" max="4" width="15.6640625" style="24" customWidth="1"/>
    <col min="5" max="5" width="6.44140625" style="24" customWidth="1"/>
    <col min="6" max="6" width="16.6640625" style="24" customWidth="1"/>
    <col min="7" max="7" width="15.44140625" style="24" customWidth="1"/>
    <col min="8" max="8" width="14.21875" style="24" customWidth="1"/>
    <col min="9" max="9" width="14.77734375" style="24" customWidth="1"/>
    <col min="10" max="10" width="14.21875" style="24" customWidth="1"/>
    <col min="11" max="255" width="8.88671875" style="24"/>
    <col min="256" max="256" width="8" style="24" customWidth="1"/>
    <col min="257" max="257" width="6.6640625" style="24" customWidth="1"/>
    <col min="258" max="258" width="43" style="24" customWidth="1"/>
    <col min="259" max="259" width="15.6640625" style="24" customWidth="1"/>
    <col min="260" max="260" width="6.44140625" style="24" customWidth="1"/>
    <col min="261" max="261" width="18.5546875" style="24" customWidth="1"/>
    <col min="262" max="262" width="19.109375" style="24" customWidth="1"/>
    <col min="263" max="263" width="19" style="24" customWidth="1"/>
    <col min="264" max="264" width="10" style="24" bestFit="1" customWidth="1"/>
    <col min="265" max="265" width="34.109375" style="24" customWidth="1"/>
    <col min="266" max="511" width="8.88671875" style="24"/>
    <col min="512" max="512" width="8" style="24" customWidth="1"/>
    <col min="513" max="513" width="6.6640625" style="24" customWidth="1"/>
    <col min="514" max="514" width="43" style="24" customWidth="1"/>
    <col min="515" max="515" width="15.6640625" style="24" customWidth="1"/>
    <col min="516" max="516" width="6.44140625" style="24" customWidth="1"/>
    <col min="517" max="517" width="18.5546875" style="24" customWidth="1"/>
    <col min="518" max="518" width="19.109375" style="24" customWidth="1"/>
    <col min="519" max="519" width="19" style="24" customWidth="1"/>
    <col min="520" max="520" width="10" style="24" bestFit="1" customWidth="1"/>
    <col min="521" max="521" width="34.109375" style="24" customWidth="1"/>
    <col min="522" max="767" width="8.88671875" style="24"/>
    <col min="768" max="768" width="8" style="24" customWidth="1"/>
    <col min="769" max="769" width="6.6640625" style="24" customWidth="1"/>
    <col min="770" max="770" width="43" style="24" customWidth="1"/>
    <col min="771" max="771" width="15.6640625" style="24" customWidth="1"/>
    <col min="772" max="772" width="6.44140625" style="24" customWidth="1"/>
    <col min="773" max="773" width="18.5546875" style="24" customWidth="1"/>
    <col min="774" max="774" width="19.109375" style="24" customWidth="1"/>
    <col min="775" max="775" width="19" style="24" customWidth="1"/>
    <col min="776" max="776" width="10" style="24" bestFit="1" customWidth="1"/>
    <col min="777" max="777" width="34.109375" style="24" customWidth="1"/>
    <col min="778" max="1023" width="8.88671875" style="24"/>
    <col min="1024" max="1024" width="8" style="24" customWidth="1"/>
    <col min="1025" max="1025" width="6.6640625" style="24" customWidth="1"/>
    <col min="1026" max="1026" width="43" style="24" customWidth="1"/>
    <col min="1027" max="1027" width="15.6640625" style="24" customWidth="1"/>
    <col min="1028" max="1028" width="6.44140625" style="24" customWidth="1"/>
    <col min="1029" max="1029" width="18.5546875" style="24" customWidth="1"/>
    <col min="1030" max="1030" width="19.109375" style="24" customWidth="1"/>
    <col min="1031" max="1031" width="19" style="24" customWidth="1"/>
    <col min="1032" max="1032" width="10" style="24" bestFit="1" customWidth="1"/>
    <col min="1033" max="1033" width="34.109375" style="24" customWidth="1"/>
    <col min="1034" max="1279" width="8.88671875" style="24"/>
    <col min="1280" max="1280" width="8" style="24" customWidth="1"/>
    <col min="1281" max="1281" width="6.6640625" style="24" customWidth="1"/>
    <col min="1282" max="1282" width="43" style="24" customWidth="1"/>
    <col min="1283" max="1283" width="15.6640625" style="24" customWidth="1"/>
    <col min="1284" max="1284" width="6.44140625" style="24" customWidth="1"/>
    <col min="1285" max="1285" width="18.5546875" style="24" customWidth="1"/>
    <col min="1286" max="1286" width="19.109375" style="24" customWidth="1"/>
    <col min="1287" max="1287" width="19" style="24" customWidth="1"/>
    <col min="1288" max="1288" width="10" style="24" bestFit="1" customWidth="1"/>
    <col min="1289" max="1289" width="34.109375" style="24" customWidth="1"/>
    <col min="1290" max="1535" width="8.88671875" style="24"/>
    <col min="1536" max="1536" width="8" style="24" customWidth="1"/>
    <col min="1537" max="1537" width="6.6640625" style="24" customWidth="1"/>
    <col min="1538" max="1538" width="43" style="24" customWidth="1"/>
    <col min="1539" max="1539" width="15.6640625" style="24" customWidth="1"/>
    <col min="1540" max="1540" width="6.44140625" style="24" customWidth="1"/>
    <col min="1541" max="1541" width="18.5546875" style="24" customWidth="1"/>
    <col min="1542" max="1542" width="19.109375" style="24" customWidth="1"/>
    <col min="1543" max="1543" width="19" style="24" customWidth="1"/>
    <col min="1544" max="1544" width="10" style="24" bestFit="1" customWidth="1"/>
    <col min="1545" max="1545" width="34.109375" style="24" customWidth="1"/>
    <col min="1546" max="1791" width="8.88671875" style="24"/>
    <col min="1792" max="1792" width="8" style="24" customWidth="1"/>
    <col min="1793" max="1793" width="6.6640625" style="24" customWidth="1"/>
    <col min="1794" max="1794" width="43" style="24" customWidth="1"/>
    <col min="1795" max="1795" width="15.6640625" style="24" customWidth="1"/>
    <col min="1796" max="1796" width="6.44140625" style="24" customWidth="1"/>
    <col min="1797" max="1797" width="18.5546875" style="24" customWidth="1"/>
    <col min="1798" max="1798" width="19.109375" style="24" customWidth="1"/>
    <col min="1799" max="1799" width="19" style="24" customWidth="1"/>
    <col min="1800" max="1800" width="10" style="24" bestFit="1" customWidth="1"/>
    <col min="1801" max="1801" width="34.109375" style="24" customWidth="1"/>
    <col min="1802" max="2047" width="8.88671875" style="24"/>
    <col min="2048" max="2048" width="8" style="24" customWidth="1"/>
    <col min="2049" max="2049" width="6.6640625" style="24" customWidth="1"/>
    <col min="2050" max="2050" width="43" style="24" customWidth="1"/>
    <col min="2051" max="2051" width="15.6640625" style="24" customWidth="1"/>
    <col min="2052" max="2052" width="6.44140625" style="24" customWidth="1"/>
    <col min="2053" max="2053" width="18.5546875" style="24" customWidth="1"/>
    <col min="2054" max="2054" width="19.109375" style="24" customWidth="1"/>
    <col min="2055" max="2055" width="19" style="24" customWidth="1"/>
    <col min="2056" max="2056" width="10" style="24" bestFit="1" customWidth="1"/>
    <col min="2057" max="2057" width="34.109375" style="24" customWidth="1"/>
    <col min="2058" max="2303" width="8.88671875" style="24"/>
    <col min="2304" max="2304" width="8" style="24" customWidth="1"/>
    <col min="2305" max="2305" width="6.6640625" style="24" customWidth="1"/>
    <col min="2306" max="2306" width="43" style="24" customWidth="1"/>
    <col min="2307" max="2307" width="15.6640625" style="24" customWidth="1"/>
    <col min="2308" max="2308" width="6.44140625" style="24" customWidth="1"/>
    <col min="2309" max="2309" width="18.5546875" style="24" customWidth="1"/>
    <col min="2310" max="2310" width="19.109375" style="24" customWidth="1"/>
    <col min="2311" max="2311" width="19" style="24" customWidth="1"/>
    <col min="2312" max="2312" width="10" style="24" bestFit="1" customWidth="1"/>
    <col min="2313" max="2313" width="34.109375" style="24" customWidth="1"/>
    <col min="2314" max="2559" width="8.88671875" style="24"/>
    <col min="2560" max="2560" width="8" style="24" customWidth="1"/>
    <col min="2561" max="2561" width="6.6640625" style="24" customWidth="1"/>
    <col min="2562" max="2562" width="43" style="24" customWidth="1"/>
    <col min="2563" max="2563" width="15.6640625" style="24" customWidth="1"/>
    <col min="2564" max="2564" width="6.44140625" style="24" customWidth="1"/>
    <col min="2565" max="2565" width="18.5546875" style="24" customWidth="1"/>
    <col min="2566" max="2566" width="19.109375" style="24" customWidth="1"/>
    <col min="2567" max="2567" width="19" style="24" customWidth="1"/>
    <col min="2568" max="2568" width="10" style="24" bestFit="1" customWidth="1"/>
    <col min="2569" max="2569" width="34.109375" style="24" customWidth="1"/>
    <col min="2570" max="2815" width="8.88671875" style="24"/>
    <col min="2816" max="2816" width="8" style="24" customWidth="1"/>
    <col min="2817" max="2817" width="6.6640625" style="24" customWidth="1"/>
    <col min="2818" max="2818" width="43" style="24" customWidth="1"/>
    <col min="2819" max="2819" width="15.6640625" style="24" customWidth="1"/>
    <col min="2820" max="2820" width="6.44140625" style="24" customWidth="1"/>
    <col min="2821" max="2821" width="18.5546875" style="24" customWidth="1"/>
    <col min="2822" max="2822" width="19.109375" style="24" customWidth="1"/>
    <col min="2823" max="2823" width="19" style="24" customWidth="1"/>
    <col min="2824" max="2824" width="10" style="24" bestFit="1" customWidth="1"/>
    <col min="2825" max="2825" width="34.109375" style="24" customWidth="1"/>
    <col min="2826" max="3071" width="8.88671875" style="24"/>
    <col min="3072" max="3072" width="8" style="24" customWidth="1"/>
    <col min="3073" max="3073" width="6.6640625" style="24" customWidth="1"/>
    <col min="3074" max="3074" width="43" style="24" customWidth="1"/>
    <col min="3075" max="3075" width="15.6640625" style="24" customWidth="1"/>
    <col min="3076" max="3076" width="6.44140625" style="24" customWidth="1"/>
    <col min="3077" max="3077" width="18.5546875" style="24" customWidth="1"/>
    <col min="3078" max="3078" width="19.109375" style="24" customWidth="1"/>
    <col min="3079" max="3079" width="19" style="24" customWidth="1"/>
    <col min="3080" max="3080" width="10" style="24" bestFit="1" customWidth="1"/>
    <col min="3081" max="3081" width="34.109375" style="24" customWidth="1"/>
    <col min="3082" max="3327" width="8.88671875" style="24"/>
    <col min="3328" max="3328" width="8" style="24" customWidth="1"/>
    <col min="3329" max="3329" width="6.6640625" style="24" customWidth="1"/>
    <col min="3330" max="3330" width="43" style="24" customWidth="1"/>
    <col min="3331" max="3331" width="15.6640625" style="24" customWidth="1"/>
    <col min="3332" max="3332" width="6.44140625" style="24" customWidth="1"/>
    <col min="3333" max="3333" width="18.5546875" style="24" customWidth="1"/>
    <col min="3334" max="3334" width="19.109375" style="24" customWidth="1"/>
    <col min="3335" max="3335" width="19" style="24" customWidth="1"/>
    <col min="3336" max="3336" width="10" style="24" bestFit="1" customWidth="1"/>
    <col min="3337" max="3337" width="34.109375" style="24" customWidth="1"/>
    <col min="3338" max="3583" width="8.88671875" style="24"/>
    <col min="3584" max="3584" width="8" style="24" customWidth="1"/>
    <col min="3585" max="3585" width="6.6640625" style="24" customWidth="1"/>
    <col min="3586" max="3586" width="43" style="24" customWidth="1"/>
    <col min="3587" max="3587" width="15.6640625" style="24" customWidth="1"/>
    <col min="3588" max="3588" width="6.44140625" style="24" customWidth="1"/>
    <col min="3589" max="3589" width="18.5546875" style="24" customWidth="1"/>
    <col min="3590" max="3590" width="19.109375" style="24" customWidth="1"/>
    <col min="3591" max="3591" width="19" style="24" customWidth="1"/>
    <col min="3592" max="3592" width="10" style="24" bestFit="1" customWidth="1"/>
    <col min="3593" max="3593" width="34.109375" style="24" customWidth="1"/>
    <col min="3594" max="3839" width="8.88671875" style="24"/>
    <col min="3840" max="3840" width="8" style="24" customWidth="1"/>
    <col min="3841" max="3841" width="6.6640625" style="24" customWidth="1"/>
    <col min="3842" max="3842" width="43" style="24" customWidth="1"/>
    <col min="3843" max="3843" width="15.6640625" style="24" customWidth="1"/>
    <col min="3844" max="3844" width="6.44140625" style="24" customWidth="1"/>
    <col min="3845" max="3845" width="18.5546875" style="24" customWidth="1"/>
    <col min="3846" max="3846" width="19.109375" style="24" customWidth="1"/>
    <col min="3847" max="3847" width="19" style="24" customWidth="1"/>
    <col min="3848" max="3848" width="10" style="24" bestFit="1" customWidth="1"/>
    <col min="3849" max="3849" width="34.109375" style="24" customWidth="1"/>
    <col min="3850" max="4095" width="8.88671875" style="24"/>
    <col min="4096" max="4096" width="8" style="24" customWidth="1"/>
    <col min="4097" max="4097" width="6.6640625" style="24" customWidth="1"/>
    <col min="4098" max="4098" width="43" style="24" customWidth="1"/>
    <col min="4099" max="4099" width="15.6640625" style="24" customWidth="1"/>
    <col min="4100" max="4100" width="6.44140625" style="24" customWidth="1"/>
    <col min="4101" max="4101" width="18.5546875" style="24" customWidth="1"/>
    <col min="4102" max="4102" width="19.109375" style="24" customWidth="1"/>
    <col min="4103" max="4103" width="19" style="24" customWidth="1"/>
    <col min="4104" max="4104" width="10" style="24" bestFit="1" customWidth="1"/>
    <col min="4105" max="4105" width="34.109375" style="24" customWidth="1"/>
    <col min="4106" max="4351" width="8.88671875" style="24"/>
    <col min="4352" max="4352" width="8" style="24" customWidth="1"/>
    <col min="4353" max="4353" width="6.6640625" style="24" customWidth="1"/>
    <col min="4354" max="4354" width="43" style="24" customWidth="1"/>
    <col min="4355" max="4355" width="15.6640625" style="24" customWidth="1"/>
    <col min="4356" max="4356" width="6.44140625" style="24" customWidth="1"/>
    <col min="4357" max="4357" width="18.5546875" style="24" customWidth="1"/>
    <col min="4358" max="4358" width="19.109375" style="24" customWidth="1"/>
    <col min="4359" max="4359" width="19" style="24" customWidth="1"/>
    <col min="4360" max="4360" width="10" style="24" bestFit="1" customWidth="1"/>
    <col min="4361" max="4361" width="34.109375" style="24" customWidth="1"/>
    <col min="4362" max="4607" width="8.88671875" style="24"/>
    <col min="4608" max="4608" width="8" style="24" customWidth="1"/>
    <col min="4609" max="4609" width="6.6640625" style="24" customWidth="1"/>
    <col min="4610" max="4610" width="43" style="24" customWidth="1"/>
    <col min="4611" max="4611" width="15.6640625" style="24" customWidth="1"/>
    <col min="4612" max="4612" width="6.44140625" style="24" customWidth="1"/>
    <col min="4613" max="4613" width="18.5546875" style="24" customWidth="1"/>
    <col min="4614" max="4614" width="19.109375" style="24" customWidth="1"/>
    <col min="4615" max="4615" width="19" style="24" customWidth="1"/>
    <col min="4616" max="4616" width="10" style="24" bestFit="1" customWidth="1"/>
    <col min="4617" max="4617" width="34.109375" style="24" customWidth="1"/>
    <col min="4618" max="4863" width="8.88671875" style="24"/>
    <col min="4864" max="4864" width="8" style="24" customWidth="1"/>
    <col min="4865" max="4865" width="6.6640625" style="24" customWidth="1"/>
    <col min="4866" max="4866" width="43" style="24" customWidth="1"/>
    <col min="4867" max="4867" width="15.6640625" style="24" customWidth="1"/>
    <col min="4868" max="4868" width="6.44140625" style="24" customWidth="1"/>
    <col min="4869" max="4869" width="18.5546875" style="24" customWidth="1"/>
    <col min="4870" max="4870" width="19.109375" style="24" customWidth="1"/>
    <col min="4871" max="4871" width="19" style="24" customWidth="1"/>
    <col min="4872" max="4872" width="10" style="24" bestFit="1" customWidth="1"/>
    <col min="4873" max="4873" width="34.109375" style="24" customWidth="1"/>
    <col min="4874" max="5119" width="8.88671875" style="24"/>
    <col min="5120" max="5120" width="8" style="24" customWidth="1"/>
    <col min="5121" max="5121" width="6.6640625" style="24" customWidth="1"/>
    <col min="5122" max="5122" width="43" style="24" customWidth="1"/>
    <col min="5123" max="5123" width="15.6640625" style="24" customWidth="1"/>
    <col min="5124" max="5124" width="6.44140625" style="24" customWidth="1"/>
    <col min="5125" max="5125" width="18.5546875" style="24" customWidth="1"/>
    <col min="5126" max="5126" width="19.109375" style="24" customWidth="1"/>
    <col min="5127" max="5127" width="19" style="24" customWidth="1"/>
    <col min="5128" max="5128" width="10" style="24" bestFit="1" customWidth="1"/>
    <col min="5129" max="5129" width="34.109375" style="24" customWidth="1"/>
    <col min="5130" max="5375" width="8.88671875" style="24"/>
    <col min="5376" max="5376" width="8" style="24" customWidth="1"/>
    <col min="5377" max="5377" width="6.6640625" style="24" customWidth="1"/>
    <col min="5378" max="5378" width="43" style="24" customWidth="1"/>
    <col min="5379" max="5379" width="15.6640625" style="24" customWidth="1"/>
    <col min="5380" max="5380" width="6.44140625" style="24" customWidth="1"/>
    <col min="5381" max="5381" width="18.5546875" style="24" customWidth="1"/>
    <col min="5382" max="5382" width="19.109375" style="24" customWidth="1"/>
    <col min="5383" max="5383" width="19" style="24" customWidth="1"/>
    <col min="5384" max="5384" width="10" style="24" bestFit="1" customWidth="1"/>
    <col min="5385" max="5385" width="34.109375" style="24" customWidth="1"/>
    <col min="5386" max="5631" width="8.88671875" style="24"/>
    <col min="5632" max="5632" width="8" style="24" customWidth="1"/>
    <col min="5633" max="5633" width="6.6640625" style="24" customWidth="1"/>
    <col min="5634" max="5634" width="43" style="24" customWidth="1"/>
    <col min="5635" max="5635" width="15.6640625" style="24" customWidth="1"/>
    <col min="5636" max="5636" width="6.44140625" style="24" customWidth="1"/>
    <col min="5637" max="5637" width="18.5546875" style="24" customWidth="1"/>
    <col min="5638" max="5638" width="19.109375" style="24" customWidth="1"/>
    <col min="5639" max="5639" width="19" style="24" customWidth="1"/>
    <col min="5640" max="5640" width="10" style="24" bestFit="1" customWidth="1"/>
    <col min="5641" max="5641" width="34.109375" style="24" customWidth="1"/>
    <col min="5642" max="5887" width="8.88671875" style="24"/>
    <col min="5888" max="5888" width="8" style="24" customWidth="1"/>
    <col min="5889" max="5889" width="6.6640625" style="24" customWidth="1"/>
    <col min="5890" max="5890" width="43" style="24" customWidth="1"/>
    <col min="5891" max="5891" width="15.6640625" style="24" customWidth="1"/>
    <col min="5892" max="5892" width="6.44140625" style="24" customWidth="1"/>
    <col min="5893" max="5893" width="18.5546875" style="24" customWidth="1"/>
    <col min="5894" max="5894" width="19.109375" style="24" customWidth="1"/>
    <col min="5895" max="5895" width="19" style="24" customWidth="1"/>
    <col min="5896" max="5896" width="10" style="24" bestFit="1" customWidth="1"/>
    <col min="5897" max="5897" width="34.109375" style="24" customWidth="1"/>
    <col min="5898" max="6143" width="8.88671875" style="24"/>
    <col min="6144" max="6144" width="8" style="24" customWidth="1"/>
    <col min="6145" max="6145" width="6.6640625" style="24" customWidth="1"/>
    <col min="6146" max="6146" width="43" style="24" customWidth="1"/>
    <col min="6147" max="6147" width="15.6640625" style="24" customWidth="1"/>
    <col min="6148" max="6148" width="6.44140625" style="24" customWidth="1"/>
    <col min="6149" max="6149" width="18.5546875" style="24" customWidth="1"/>
    <col min="6150" max="6150" width="19.109375" style="24" customWidth="1"/>
    <col min="6151" max="6151" width="19" style="24" customWidth="1"/>
    <col min="6152" max="6152" width="10" style="24" bestFit="1" customWidth="1"/>
    <col min="6153" max="6153" width="34.109375" style="24" customWidth="1"/>
    <col min="6154" max="6399" width="8.88671875" style="24"/>
    <col min="6400" max="6400" width="8" style="24" customWidth="1"/>
    <col min="6401" max="6401" width="6.6640625" style="24" customWidth="1"/>
    <col min="6402" max="6402" width="43" style="24" customWidth="1"/>
    <col min="6403" max="6403" width="15.6640625" style="24" customWidth="1"/>
    <col min="6404" max="6404" width="6.44140625" style="24" customWidth="1"/>
    <col min="6405" max="6405" width="18.5546875" style="24" customWidth="1"/>
    <col min="6406" max="6406" width="19.109375" style="24" customWidth="1"/>
    <col min="6407" max="6407" width="19" style="24" customWidth="1"/>
    <col min="6408" max="6408" width="10" style="24" bestFit="1" customWidth="1"/>
    <col min="6409" max="6409" width="34.109375" style="24" customWidth="1"/>
    <col min="6410" max="6655" width="8.88671875" style="24"/>
    <col min="6656" max="6656" width="8" style="24" customWidth="1"/>
    <col min="6657" max="6657" width="6.6640625" style="24" customWidth="1"/>
    <col min="6658" max="6658" width="43" style="24" customWidth="1"/>
    <col min="6659" max="6659" width="15.6640625" style="24" customWidth="1"/>
    <col min="6660" max="6660" width="6.44140625" style="24" customWidth="1"/>
    <col min="6661" max="6661" width="18.5546875" style="24" customWidth="1"/>
    <col min="6662" max="6662" width="19.109375" style="24" customWidth="1"/>
    <col min="6663" max="6663" width="19" style="24" customWidth="1"/>
    <col min="6664" max="6664" width="10" style="24" bestFit="1" customWidth="1"/>
    <col min="6665" max="6665" width="34.109375" style="24" customWidth="1"/>
    <col min="6666" max="6911" width="8.88671875" style="24"/>
    <col min="6912" max="6912" width="8" style="24" customWidth="1"/>
    <col min="6913" max="6913" width="6.6640625" style="24" customWidth="1"/>
    <col min="6914" max="6914" width="43" style="24" customWidth="1"/>
    <col min="6915" max="6915" width="15.6640625" style="24" customWidth="1"/>
    <col min="6916" max="6916" width="6.44140625" style="24" customWidth="1"/>
    <col min="6917" max="6917" width="18.5546875" style="24" customWidth="1"/>
    <col min="6918" max="6918" width="19.109375" style="24" customWidth="1"/>
    <col min="6919" max="6919" width="19" style="24" customWidth="1"/>
    <col min="6920" max="6920" width="10" style="24" bestFit="1" customWidth="1"/>
    <col min="6921" max="6921" width="34.109375" style="24" customWidth="1"/>
    <col min="6922" max="7167" width="8.88671875" style="24"/>
    <col min="7168" max="7168" width="8" style="24" customWidth="1"/>
    <col min="7169" max="7169" width="6.6640625" style="24" customWidth="1"/>
    <col min="7170" max="7170" width="43" style="24" customWidth="1"/>
    <col min="7171" max="7171" width="15.6640625" style="24" customWidth="1"/>
    <col min="7172" max="7172" width="6.44140625" style="24" customWidth="1"/>
    <col min="7173" max="7173" width="18.5546875" style="24" customWidth="1"/>
    <col min="7174" max="7174" width="19.109375" style="24" customWidth="1"/>
    <col min="7175" max="7175" width="19" style="24" customWidth="1"/>
    <col min="7176" max="7176" width="10" style="24" bestFit="1" customWidth="1"/>
    <col min="7177" max="7177" width="34.109375" style="24" customWidth="1"/>
    <col min="7178" max="7423" width="8.88671875" style="24"/>
    <col min="7424" max="7424" width="8" style="24" customWidth="1"/>
    <col min="7425" max="7425" width="6.6640625" style="24" customWidth="1"/>
    <col min="7426" max="7426" width="43" style="24" customWidth="1"/>
    <col min="7427" max="7427" width="15.6640625" style="24" customWidth="1"/>
    <col min="7428" max="7428" width="6.44140625" style="24" customWidth="1"/>
    <col min="7429" max="7429" width="18.5546875" style="24" customWidth="1"/>
    <col min="7430" max="7430" width="19.109375" style="24" customWidth="1"/>
    <col min="7431" max="7431" width="19" style="24" customWidth="1"/>
    <col min="7432" max="7432" width="10" style="24" bestFit="1" customWidth="1"/>
    <col min="7433" max="7433" width="34.109375" style="24" customWidth="1"/>
    <col min="7434" max="7679" width="8.88671875" style="24"/>
    <col min="7680" max="7680" width="8" style="24" customWidth="1"/>
    <col min="7681" max="7681" width="6.6640625" style="24" customWidth="1"/>
    <col min="7682" max="7682" width="43" style="24" customWidth="1"/>
    <col min="7683" max="7683" width="15.6640625" style="24" customWidth="1"/>
    <col min="7684" max="7684" width="6.44140625" style="24" customWidth="1"/>
    <col min="7685" max="7685" width="18.5546875" style="24" customWidth="1"/>
    <col min="7686" max="7686" width="19.109375" style="24" customWidth="1"/>
    <col min="7687" max="7687" width="19" style="24" customWidth="1"/>
    <col min="7688" max="7688" width="10" style="24" bestFit="1" customWidth="1"/>
    <col min="7689" max="7689" width="34.109375" style="24" customWidth="1"/>
    <col min="7690" max="7935" width="8.88671875" style="24"/>
    <col min="7936" max="7936" width="8" style="24" customWidth="1"/>
    <col min="7937" max="7937" width="6.6640625" style="24" customWidth="1"/>
    <col min="7938" max="7938" width="43" style="24" customWidth="1"/>
    <col min="7939" max="7939" width="15.6640625" style="24" customWidth="1"/>
    <col min="7940" max="7940" width="6.44140625" style="24" customWidth="1"/>
    <col min="7941" max="7941" width="18.5546875" style="24" customWidth="1"/>
    <col min="7942" max="7942" width="19.109375" style="24" customWidth="1"/>
    <col min="7943" max="7943" width="19" style="24" customWidth="1"/>
    <col min="7944" max="7944" width="10" style="24" bestFit="1" customWidth="1"/>
    <col min="7945" max="7945" width="34.109375" style="24" customWidth="1"/>
    <col min="7946" max="8191" width="8.88671875" style="24"/>
    <col min="8192" max="8192" width="8" style="24" customWidth="1"/>
    <col min="8193" max="8193" width="6.6640625" style="24" customWidth="1"/>
    <col min="8194" max="8194" width="43" style="24" customWidth="1"/>
    <col min="8195" max="8195" width="15.6640625" style="24" customWidth="1"/>
    <col min="8196" max="8196" width="6.44140625" style="24" customWidth="1"/>
    <col min="8197" max="8197" width="18.5546875" style="24" customWidth="1"/>
    <col min="8198" max="8198" width="19.109375" style="24" customWidth="1"/>
    <col min="8199" max="8199" width="19" style="24" customWidth="1"/>
    <col min="8200" max="8200" width="10" style="24" bestFit="1" customWidth="1"/>
    <col min="8201" max="8201" width="34.109375" style="24" customWidth="1"/>
    <col min="8202" max="8447" width="8.88671875" style="24"/>
    <col min="8448" max="8448" width="8" style="24" customWidth="1"/>
    <col min="8449" max="8449" width="6.6640625" style="24" customWidth="1"/>
    <col min="8450" max="8450" width="43" style="24" customWidth="1"/>
    <col min="8451" max="8451" width="15.6640625" style="24" customWidth="1"/>
    <col min="8452" max="8452" width="6.44140625" style="24" customWidth="1"/>
    <col min="8453" max="8453" width="18.5546875" style="24" customWidth="1"/>
    <col min="8454" max="8454" width="19.109375" style="24" customWidth="1"/>
    <col min="8455" max="8455" width="19" style="24" customWidth="1"/>
    <col min="8456" max="8456" width="10" style="24" bestFit="1" customWidth="1"/>
    <col min="8457" max="8457" width="34.109375" style="24" customWidth="1"/>
    <col min="8458" max="8703" width="8.88671875" style="24"/>
    <col min="8704" max="8704" width="8" style="24" customWidth="1"/>
    <col min="8705" max="8705" width="6.6640625" style="24" customWidth="1"/>
    <col min="8706" max="8706" width="43" style="24" customWidth="1"/>
    <col min="8707" max="8707" width="15.6640625" style="24" customWidth="1"/>
    <col min="8708" max="8708" width="6.44140625" style="24" customWidth="1"/>
    <col min="8709" max="8709" width="18.5546875" style="24" customWidth="1"/>
    <col min="8710" max="8710" width="19.109375" style="24" customWidth="1"/>
    <col min="8711" max="8711" width="19" style="24" customWidth="1"/>
    <col min="8712" max="8712" width="10" style="24" bestFit="1" customWidth="1"/>
    <col min="8713" max="8713" width="34.109375" style="24" customWidth="1"/>
    <col min="8714" max="8959" width="8.88671875" style="24"/>
    <col min="8960" max="8960" width="8" style="24" customWidth="1"/>
    <col min="8961" max="8961" width="6.6640625" style="24" customWidth="1"/>
    <col min="8962" max="8962" width="43" style="24" customWidth="1"/>
    <col min="8963" max="8963" width="15.6640625" style="24" customWidth="1"/>
    <col min="8964" max="8964" width="6.44140625" style="24" customWidth="1"/>
    <col min="8965" max="8965" width="18.5546875" style="24" customWidth="1"/>
    <col min="8966" max="8966" width="19.109375" style="24" customWidth="1"/>
    <col min="8967" max="8967" width="19" style="24" customWidth="1"/>
    <col min="8968" max="8968" width="10" style="24" bestFit="1" customWidth="1"/>
    <col min="8969" max="8969" width="34.109375" style="24" customWidth="1"/>
    <col min="8970" max="9215" width="8.88671875" style="24"/>
    <col min="9216" max="9216" width="8" style="24" customWidth="1"/>
    <col min="9217" max="9217" width="6.6640625" style="24" customWidth="1"/>
    <col min="9218" max="9218" width="43" style="24" customWidth="1"/>
    <col min="9219" max="9219" width="15.6640625" style="24" customWidth="1"/>
    <col min="9220" max="9220" width="6.44140625" style="24" customWidth="1"/>
    <col min="9221" max="9221" width="18.5546875" style="24" customWidth="1"/>
    <col min="9222" max="9222" width="19.109375" style="24" customWidth="1"/>
    <col min="9223" max="9223" width="19" style="24" customWidth="1"/>
    <col min="9224" max="9224" width="10" style="24" bestFit="1" customWidth="1"/>
    <col min="9225" max="9225" width="34.109375" style="24" customWidth="1"/>
    <col min="9226" max="9471" width="8.88671875" style="24"/>
    <col min="9472" max="9472" width="8" style="24" customWidth="1"/>
    <col min="9473" max="9473" width="6.6640625" style="24" customWidth="1"/>
    <col min="9474" max="9474" width="43" style="24" customWidth="1"/>
    <col min="9475" max="9475" width="15.6640625" style="24" customWidth="1"/>
    <col min="9476" max="9476" width="6.44140625" style="24" customWidth="1"/>
    <col min="9477" max="9477" width="18.5546875" style="24" customWidth="1"/>
    <col min="9478" max="9478" width="19.109375" style="24" customWidth="1"/>
    <col min="9479" max="9479" width="19" style="24" customWidth="1"/>
    <col min="9480" max="9480" width="10" style="24" bestFit="1" customWidth="1"/>
    <col min="9481" max="9481" width="34.109375" style="24" customWidth="1"/>
    <col min="9482" max="9727" width="8.88671875" style="24"/>
    <col min="9728" max="9728" width="8" style="24" customWidth="1"/>
    <col min="9729" max="9729" width="6.6640625" style="24" customWidth="1"/>
    <col min="9730" max="9730" width="43" style="24" customWidth="1"/>
    <col min="9731" max="9731" width="15.6640625" style="24" customWidth="1"/>
    <col min="9732" max="9732" width="6.44140625" style="24" customWidth="1"/>
    <col min="9733" max="9733" width="18.5546875" style="24" customWidth="1"/>
    <col min="9734" max="9734" width="19.109375" style="24" customWidth="1"/>
    <col min="9735" max="9735" width="19" style="24" customWidth="1"/>
    <col min="9736" max="9736" width="10" style="24" bestFit="1" customWidth="1"/>
    <col min="9737" max="9737" width="34.109375" style="24" customWidth="1"/>
    <col min="9738" max="9983" width="8.88671875" style="24"/>
    <col min="9984" max="9984" width="8" style="24" customWidth="1"/>
    <col min="9985" max="9985" width="6.6640625" style="24" customWidth="1"/>
    <col min="9986" max="9986" width="43" style="24" customWidth="1"/>
    <col min="9987" max="9987" width="15.6640625" style="24" customWidth="1"/>
    <col min="9988" max="9988" width="6.44140625" style="24" customWidth="1"/>
    <col min="9989" max="9989" width="18.5546875" style="24" customWidth="1"/>
    <col min="9990" max="9990" width="19.109375" style="24" customWidth="1"/>
    <col min="9991" max="9991" width="19" style="24" customWidth="1"/>
    <col min="9992" max="9992" width="10" style="24" bestFit="1" customWidth="1"/>
    <col min="9993" max="9993" width="34.109375" style="24" customWidth="1"/>
    <col min="9994" max="10239" width="8.88671875" style="24"/>
    <col min="10240" max="10240" width="8" style="24" customWidth="1"/>
    <col min="10241" max="10241" width="6.6640625" style="24" customWidth="1"/>
    <col min="10242" max="10242" width="43" style="24" customWidth="1"/>
    <col min="10243" max="10243" width="15.6640625" style="24" customWidth="1"/>
    <col min="10244" max="10244" width="6.44140625" style="24" customWidth="1"/>
    <col min="10245" max="10245" width="18.5546875" style="24" customWidth="1"/>
    <col min="10246" max="10246" width="19.109375" style="24" customWidth="1"/>
    <col min="10247" max="10247" width="19" style="24" customWidth="1"/>
    <col min="10248" max="10248" width="10" style="24" bestFit="1" customWidth="1"/>
    <col min="10249" max="10249" width="34.109375" style="24" customWidth="1"/>
    <col min="10250" max="10495" width="8.88671875" style="24"/>
    <col min="10496" max="10496" width="8" style="24" customWidth="1"/>
    <col min="10497" max="10497" width="6.6640625" style="24" customWidth="1"/>
    <col min="10498" max="10498" width="43" style="24" customWidth="1"/>
    <col min="10499" max="10499" width="15.6640625" style="24" customWidth="1"/>
    <col min="10500" max="10500" width="6.44140625" style="24" customWidth="1"/>
    <col min="10501" max="10501" width="18.5546875" style="24" customWidth="1"/>
    <col min="10502" max="10502" width="19.109375" style="24" customWidth="1"/>
    <col min="10503" max="10503" width="19" style="24" customWidth="1"/>
    <col min="10504" max="10504" width="10" style="24" bestFit="1" customWidth="1"/>
    <col min="10505" max="10505" width="34.109375" style="24" customWidth="1"/>
    <col min="10506" max="10751" width="8.88671875" style="24"/>
    <col min="10752" max="10752" width="8" style="24" customWidth="1"/>
    <col min="10753" max="10753" width="6.6640625" style="24" customWidth="1"/>
    <col min="10754" max="10754" width="43" style="24" customWidth="1"/>
    <col min="10755" max="10755" width="15.6640625" style="24" customWidth="1"/>
    <col min="10756" max="10756" width="6.44140625" style="24" customWidth="1"/>
    <col min="10757" max="10757" width="18.5546875" style="24" customWidth="1"/>
    <col min="10758" max="10758" width="19.109375" style="24" customWidth="1"/>
    <col min="10759" max="10759" width="19" style="24" customWidth="1"/>
    <col min="10760" max="10760" width="10" style="24" bestFit="1" customWidth="1"/>
    <col min="10761" max="10761" width="34.109375" style="24" customWidth="1"/>
    <col min="10762" max="11007" width="8.88671875" style="24"/>
    <col min="11008" max="11008" width="8" style="24" customWidth="1"/>
    <col min="11009" max="11009" width="6.6640625" style="24" customWidth="1"/>
    <col min="11010" max="11010" width="43" style="24" customWidth="1"/>
    <col min="11011" max="11011" width="15.6640625" style="24" customWidth="1"/>
    <col min="11012" max="11012" width="6.44140625" style="24" customWidth="1"/>
    <col min="11013" max="11013" width="18.5546875" style="24" customWidth="1"/>
    <col min="11014" max="11014" width="19.109375" style="24" customWidth="1"/>
    <col min="11015" max="11015" width="19" style="24" customWidth="1"/>
    <col min="11016" max="11016" width="10" style="24" bestFit="1" customWidth="1"/>
    <col min="11017" max="11017" width="34.109375" style="24" customWidth="1"/>
    <col min="11018" max="11263" width="8.88671875" style="24"/>
    <col min="11264" max="11264" width="8" style="24" customWidth="1"/>
    <col min="11265" max="11265" width="6.6640625" style="24" customWidth="1"/>
    <col min="11266" max="11266" width="43" style="24" customWidth="1"/>
    <col min="11267" max="11267" width="15.6640625" style="24" customWidth="1"/>
    <col min="11268" max="11268" width="6.44140625" style="24" customWidth="1"/>
    <col min="11269" max="11269" width="18.5546875" style="24" customWidth="1"/>
    <col min="11270" max="11270" width="19.109375" style="24" customWidth="1"/>
    <col min="11271" max="11271" width="19" style="24" customWidth="1"/>
    <col min="11272" max="11272" width="10" style="24" bestFit="1" customWidth="1"/>
    <col min="11273" max="11273" width="34.109375" style="24" customWidth="1"/>
    <col min="11274" max="11519" width="8.88671875" style="24"/>
    <col min="11520" max="11520" width="8" style="24" customWidth="1"/>
    <col min="11521" max="11521" width="6.6640625" style="24" customWidth="1"/>
    <col min="11522" max="11522" width="43" style="24" customWidth="1"/>
    <col min="11523" max="11523" width="15.6640625" style="24" customWidth="1"/>
    <col min="11524" max="11524" width="6.44140625" style="24" customWidth="1"/>
    <col min="11525" max="11525" width="18.5546875" style="24" customWidth="1"/>
    <col min="11526" max="11526" width="19.109375" style="24" customWidth="1"/>
    <col min="11527" max="11527" width="19" style="24" customWidth="1"/>
    <col min="11528" max="11528" width="10" style="24" bestFit="1" customWidth="1"/>
    <col min="11529" max="11529" width="34.109375" style="24" customWidth="1"/>
    <col min="11530" max="11775" width="8.88671875" style="24"/>
    <col min="11776" max="11776" width="8" style="24" customWidth="1"/>
    <col min="11777" max="11777" width="6.6640625" style="24" customWidth="1"/>
    <col min="11778" max="11778" width="43" style="24" customWidth="1"/>
    <col min="11779" max="11779" width="15.6640625" style="24" customWidth="1"/>
    <col min="11780" max="11780" width="6.44140625" style="24" customWidth="1"/>
    <col min="11781" max="11781" width="18.5546875" style="24" customWidth="1"/>
    <col min="11782" max="11782" width="19.109375" style="24" customWidth="1"/>
    <col min="11783" max="11783" width="19" style="24" customWidth="1"/>
    <col min="11784" max="11784" width="10" style="24" bestFit="1" customWidth="1"/>
    <col min="11785" max="11785" width="34.109375" style="24" customWidth="1"/>
    <col min="11786" max="12031" width="8.88671875" style="24"/>
    <col min="12032" max="12032" width="8" style="24" customWidth="1"/>
    <col min="12033" max="12033" width="6.6640625" style="24" customWidth="1"/>
    <col min="12034" max="12034" width="43" style="24" customWidth="1"/>
    <col min="12035" max="12035" width="15.6640625" style="24" customWidth="1"/>
    <col min="12036" max="12036" width="6.44140625" style="24" customWidth="1"/>
    <col min="12037" max="12037" width="18.5546875" style="24" customWidth="1"/>
    <col min="12038" max="12038" width="19.109375" style="24" customWidth="1"/>
    <col min="12039" max="12039" width="19" style="24" customWidth="1"/>
    <col min="12040" max="12040" width="10" style="24" bestFit="1" customWidth="1"/>
    <col min="12041" max="12041" width="34.109375" style="24" customWidth="1"/>
    <col min="12042" max="12287" width="8.88671875" style="24"/>
    <col min="12288" max="12288" width="8" style="24" customWidth="1"/>
    <col min="12289" max="12289" width="6.6640625" style="24" customWidth="1"/>
    <col min="12290" max="12290" width="43" style="24" customWidth="1"/>
    <col min="12291" max="12291" width="15.6640625" style="24" customWidth="1"/>
    <col min="12292" max="12292" width="6.44140625" style="24" customWidth="1"/>
    <col min="12293" max="12293" width="18.5546875" style="24" customWidth="1"/>
    <col min="12294" max="12294" width="19.109375" style="24" customWidth="1"/>
    <col min="12295" max="12295" width="19" style="24" customWidth="1"/>
    <col min="12296" max="12296" width="10" style="24" bestFit="1" customWidth="1"/>
    <col min="12297" max="12297" width="34.109375" style="24" customWidth="1"/>
    <col min="12298" max="12543" width="8.88671875" style="24"/>
    <col min="12544" max="12544" width="8" style="24" customWidth="1"/>
    <col min="12545" max="12545" width="6.6640625" style="24" customWidth="1"/>
    <col min="12546" max="12546" width="43" style="24" customWidth="1"/>
    <col min="12547" max="12547" width="15.6640625" style="24" customWidth="1"/>
    <col min="12548" max="12548" width="6.44140625" style="24" customWidth="1"/>
    <col min="12549" max="12549" width="18.5546875" style="24" customWidth="1"/>
    <col min="12550" max="12550" width="19.109375" style="24" customWidth="1"/>
    <col min="12551" max="12551" width="19" style="24" customWidth="1"/>
    <col min="12552" max="12552" width="10" style="24" bestFit="1" customWidth="1"/>
    <col min="12553" max="12553" width="34.109375" style="24" customWidth="1"/>
    <col min="12554" max="12799" width="8.88671875" style="24"/>
    <col min="12800" max="12800" width="8" style="24" customWidth="1"/>
    <col min="12801" max="12801" width="6.6640625" style="24" customWidth="1"/>
    <col min="12802" max="12802" width="43" style="24" customWidth="1"/>
    <col min="12803" max="12803" width="15.6640625" style="24" customWidth="1"/>
    <col min="12804" max="12804" width="6.44140625" style="24" customWidth="1"/>
    <col min="12805" max="12805" width="18.5546875" style="24" customWidth="1"/>
    <col min="12806" max="12806" width="19.109375" style="24" customWidth="1"/>
    <col min="12807" max="12807" width="19" style="24" customWidth="1"/>
    <col min="12808" max="12808" width="10" style="24" bestFit="1" customWidth="1"/>
    <col min="12809" max="12809" width="34.109375" style="24" customWidth="1"/>
    <col min="12810" max="13055" width="8.88671875" style="24"/>
    <col min="13056" max="13056" width="8" style="24" customWidth="1"/>
    <col min="13057" max="13057" width="6.6640625" style="24" customWidth="1"/>
    <col min="13058" max="13058" width="43" style="24" customWidth="1"/>
    <col min="13059" max="13059" width="15.6640625" style="24" customWidth="1"/>
    <col min="13060" max="13060" width="6.44140625" style="24" customWidth="1"/>
    <col min="13061" max="13061" width="18.5546875" style="24" customWidth="1"/>
    <col min="13062" max="13062" width="19.109375" style="24" customWidth="1"/>
    <col min="13063" max="13063" width="19" style="24" customWidth="1"/>
    <col min="13064" max="13064" width="10" style="24" bestFit="1" customWidth="1"/>
    <col min="13065" max="13065" width="34.109375" style="24" customWidth="1"/>
    <col min="13066" max="13311" width="8.88671875" style="24"/>
    <col min="13312" max="13312" width="8" style="24" customWidth="1"/>
    <col min="13313" max="13313" width="6.6640625" style="24" customWidth="1"/>
    <col min="13314" max="13314" width="43" style="24" customWidth="1"/>
    <col min="13315" max="13315" width="15.6640625" style="24" customWidth="1"/>
    <col min="13316" max="13316" width="6.44140625" style="24" customWidth="1"/>
    <col min="13317" max="13317" width="18.5546875" style="24" customWidth="1"/>
    <col min="13318" max="13318" width="19.109375" style="24" customWidth="1"/>
    <col min="13319" max="13319" width="19" style="24" customWidth="1"/>
    <col min="13320" max="13320" width="10" style="24" bestFit="1" customWidth="1"/>
    <col min="13321" max="13321" width="34.109375" style="24" customWidth="1"/>
    <col min="13322" max="13567" width="8.88671875" style="24"/>
    <col min="13568" max="13568" width="8" style="24" customWidth="1"/>
    <col min="13569" max="13569" width="6.6640625" style="24" customWidth="1"/>
    <col min="13570" max="13570" width="43" style="24" customWidth="1"/>
    <col min="13571" max="13571" width="15.6640625" style="24" customWidth="1"/>
    <col min="13572" max="13572" width="6.44140625" style="24" customWidth="1"/>
    <col min="13573" max="13573" width="18.5546875" style="24" customWidth="1"/>
    <col min="13574" max="13574" width="19.109375" style="24" customWidth="1"/>
    <col min="13575" max="13575" width="19" style="24" customWidth="1"/>
    <col min="13576" max="13576" width="10" style="24" bestFit="1" customWidth="1"/>
    <col min="13577" max="13577" width="34.109375" style="24" customWidth="1"/>
    <col min="13578" max="13823" width="8.88671875" style="24"/>
    <col min="13824" max="13824" width="8" style="24" customWidth="1"/>
    <col min="13825" max="13825" width="6.6640625" style="24" customWidth="1"/>
    <col min="13826" max="13826" width="43" style="24" customWidth="1"/>
    <col min="13827" max="13827" width="15.6640625" style="24" customWidth="1"/>
    <col min="13828" max="13828" width="6.44140625" style="24" customWidth="1"/>
    <col min="13829" max="13829" width="18.5546875" style="24" customWidth="1"/>
    <col min="13830" max="13830" width="19.109375" style="24" customWidth="1"/>
    <col min="13831" max="13831" width="19" style="24" customWidth="1"/>
    <col min="13832" max="13832" width="10" style="24" bestFit="1" customWidth="1"/>
    <col min="13833" max="13833" width="34.109375" style="24" customWidth="1"/>
    <col min="13834" max="14079" width="8.88671875" style="24"/>
    <col min="14080" max="14080" width="8" style="24" customWidth="1"/>
    <col min="14081" max="14081" width="6.6640625" style="24" customWidth="1"/>
    <col min="14082" max="14082" width="43" style="24" customWidth="1"/>
    <col min="14083" max="14083" width="15.6640625" style="24" customWidth="1"/>
    <col min="14084" max="14084" width="6.44140625" style="24" customWidth="1"/>
    <col min="14085" max="14085" width="18.5546875" style="24" customWidth="1"/>
    <col min="14086" max="14086" width="19.109375" style="24" customWidth="1"/>
    <col min="14087" max="14087" width="19" style="24" customWidth="1"/>
    <col min="14088" max="14088" width="10" style="24" bestFit="1" customWidth="1"/>
    <col min="14089" max="14089" width="34.109375" style="24" customWidth="1"/>
    <col min="14090" max="14335" width="8.88671875" style="24"/>
    <col min="14336" max="14336" width="8" style="24" customWidth="1"/>
    <col min="14337" max="14337" width="6.6640625" style="24" customWidth="1"/>
    <col min="14338" max="14338" width="43" style="24" customWidth="1"/>
    <col min="14339" max="14339" width="15.6640625" style="24" customWidth="1"/>
    <col min="14340" max="14340" width="6.44140625" style="24" customWidth="1"/>
    <col min="14341" max="14341" width="18.5546875" style="24" customWidth="1"/>
    <col min="14342" max="14342" width="19.109375" style="24" customWidth="1"/>
    <col min="14343" max="14343" width="19" style="24" customWidth="1"/>
    <col min="14344" max="14344" width="10" style="24" bestFit="1" customWidth="1"/>
    <col min="14345" max="14345" width="34.109375" style="24" customWidth="1"/>
    <col min="14346" max="14591" width="8.88671875" style="24"/>
    <col min="14592" max="14592" width="8" style="24" customWidth="1"/>
    <col min="14593" max="14593" width="6.6640625" style="24" customWidth="1"/>
    <col min="14594" max="14594" width="43" style="24" customWidth="1"/>
    <col min="14595" max="14595" width="15.6640625" style="24" customWidth="1"/>
    <col min="14596" max="14596" width="6.44140625" style="24" customWidth="1"/>
    <col min="14597" max="14597" width="18.5546875" style="24" customWidth="1"/>
    <col min="14598" max="14598" width="19.109375" style="24" customWidth="1"/>
    <col min="14599" max="14599" width="19" style="24" customWidth="1"/>
    <col min="14600" max="14600" width="10" style="24" bestFit="1" customWidth="1"/>
    <col min="14601" max="14601" width="34.109375" style="24" customWidth="1"/>
    <col min="14602" max="14847" width="8.88671875" style="24"/>
    <col min="14848" max="14848" width="8" style="24" customWidth="1"/>
    <col min="14849" max="14849" width="6.6640625" style="24" customWidth="1"/>
    <col min="14850" max="14850" width="43" style="24" customWidth="1"/>
    <col min="14851" max="14851" width="15.6640625" style="24" customWidth="1"/>
    <col min="14852" max="14852" width="6.44140625" style="24" customWidth="1"/>
    <col min="14853" max="14853" width="18.5546875" style="24" customWidth="1"/>
    <col min="14854" max="14854" width="19.109375" style="24" customWidth="1"/>
    <col min="14855" max="14855" width="19" style="24" customWidth="1"/>
    <col min="14856" max="14856" width="10" style="24" bestFit="1" customWidth="1"/>
    <col min="14857" max="14857" width="34.109375" style="24" customWidth="1"/>
    <col min="14858" max="15103" width="8.88671875" style="24"/>
    <col min="15104" max="15104" width="8" style="24" customWidth="1"/>
    <col min="15105" max="15105" width="6.6640625" style="24" customWidth="1"/>
    <col min="15106" max="15106" width="43" style="24" customWidth="1"/>
    <col min="15107" max="15107" width="15.6640625" style="24" customWidth="1"/>
    <col min="15108" max="15108" width="6.44140625" style="24" customWidth="1"/>
    <col min="15109" max="15109" width="18.5546875" style="24" customWidth="1"/>
    <col min="15110" max="15110" width="19.109375" style="24" customWidth="1"/>
    <col min="15111" max="15111" width="19" style="24" customWidth="1"/>
    <col min="15112" max="15112" width="10" style="24" bestFit="1" customWidth="1"/>
    <col min="15113" max="15113" width="34.109375" style="24" customWidth="1"/>
    <col min="15114" max="15359" width="8.88671875" style="24"/>
    <col min="15360" max="15360" width="8" style="24" customWidth="1"/>
    <col min="15361" max="15361" width="6.6640625" style="24" customWidth="1"/>
    <col min="15362" max="15362" width="43" style="24" customWidth="1"/>
    <col min="15363" max="15363" width="15.6640625" style="24" customWidth="1"/>
    <col min="15364" max="15364" width="6.44140625" style="24" customWidth="1"/>
    <col min="15365" max="15365" width="18.5546875" style="24" customWidth="1"/>
    <col min="15366" max="15366" width="19.109375" style="24" customWidth="1"/>
    <col min="15367" max="15367" width="19" style="24" customWidth="1"/>
    <col min="15368" max="15368" width="10" style="24" bestFit="1" customWidth="1"/>
    <col min="15369" max="15369" width="34.109375" style="24" customWidth="1"/>
    <col min="15370" max="15615" width="8.88671875" style="24"/>
    <col min="15616" max="15616" width="8" style="24" customWidth="1"/>
    <col min="15617" max="15617" width="6.6640625" style="24" customWidth="1"/>
    <col min="15618" max="15618" width="43" style="24" customWidth="1"/>
    <col min="15619" max="15619" width="15.6640625" style="24" customWidth="1"/>
    <col min="15620" max="15620" width="6.44140625" style="24" customWidth="1"/>
    <col min="15621" max="15621" width="18.5546875" style="24" customWidth="1"/>
    <col min="15622" max="15622" width="19.109375" style="24" customWidth="1"/>
    <col min="15623" max="15623" width="19" style="24" customWidth="1"/>
    <col min="15624" max="15624" width="10" style="24" bestFit="1" customWidth="1"/>
    <col min="15625" max="15625" width="34.109375" style="24" customWidth="1"/>
    <col min="15626" max="15871" width="8.88671875" style="24"/>
    <col min="15872" max="15872" width="8" style="24" customWidth="1"/>
    <col min="15873" max="15873" width="6.6640625" style="24" customWidth="1"/>
    <col min="15874" max="15874" width="43" style="24" customWidth="1"/>
    <col min="15875" max="15875" width="15.6640625" style="24" customWidth="1"/>
    <col min="15876" max="15876" width="6.44140625" style="24" customWidth="1"/>
    <col min="15877" max="15877" width="18.5546875" style="24" customWidth="1"/>
    <col min="15878" max="15878" width="19.109375" style="24" customWidth="1"/>
    <col min="15879" max="15879" width="19" style="24" customWidth="1"/>
    <col min="15880" max="15880" width="10" style="24" bestFit="1" customWidth="1"/>
    <col min="15881" max="15881" width="34.109375" style="24" customWidth="1"/>
    <col min="15882" max="16127" width="8.88671875" style="24"/>
    <col min="16128" max="16128" width="8" style="24" customWidth="1"/>
    <col min="16129" max="16129" width="6.6640625" style="24" customWidth="1"/>
    <col min="16130" max="16130" width="43" style="24" customWidth="1"/>
    <col min="16131" max="16131" width="15.6640625" style="24" customWidth="1"/>
    <col min="16132" max="16132" width="6.44140625" style="24" customWidth="1"/>
    <col min="16133" max="16133" width="18.5546875" style="24" customWidth="1"/>
    <col min="16134" max="16134" width="19.109375" style="24" customWidth="1"/>
    <col min="16135" max="16135" width="19" style="24" customWidth="1"/>
    <col min="16136" max="16136" width="10" style="24" bestFit="1" customWidth="1"/>
    <col min="16137" max="16137" width="34.109375" style="24" customWidth="1"/>
    <col min="16138" max="16384" width="8.88671875" style="24"/>
  </cols>
  <sheetData>
    <row r="1" spans="1:8" ht="36" customHeight="1">
      <c r="A1" s="1307" t="s">
        <v>6544</v>
      </c>
      <c r="B1" s="1307"/>
      <c r="C1" s="1307"/>
      <c r="D1" s="1307"/>
      <c r="E1" s="1307"/>
      <c r="F1" s="1307"/>
    </row>
    <row r="2" spans="1:8" ht="70.5" customHeight="1">
      <c r="A2" s="1308" t="str">
        <f>DSP!A1</f>
        <v>Name of Work: Construction of DSP camp office cum Residence with development works at Cuddalore New town in Cuddalore District</v>
      </c>
      <c r="B2" s="1308"/>
      <c r="C2" s="1308"/>
      <c r="D2" s="1308"/>
      <c r="E2" s="1308"/>
      <c r="F2" s="1308"/>
    </row>
    <row r="3" spans="1:8" s="882" customFormat="1" ht="39.950000000000003" customHeight="1">
      <c r="A3" s="881" t="s">
        <v>6545</v>
      </c>
      <c r="B3" s="881" t="s">
        <v>1034</v>
      </c>
      <c r="C3" s="881" t="s">
        <v>1769</v>
      </c>
      <c r="D3" s="881" t="s">
        <v>97</v>
      </c>
      <c r="E3" s="881" t="s">
        <v>221</v>
      </c>
      <c r="F3" s="881" t="s">
        <v>970</v>
      </c>
    </row>
    <row r="4" spans="1:8" s="882" customFormat="1" ht="33" customHeight="1">
      <c r="A4" s="881"/>
      <c r="B4" s="881"/>
      <c r="C4" s="881" t="s">
        <v>6546</v>
      </c>
      <c r="D4" s="1304" t="s">
        <v>6585</v>
      </c>
      <c r="E4" s="1304"/>
      <c r="F4" s="1304"/>
    </row>
    <row r="5" spans="1:8" s="882" customFormat="1" ht="38.25" customHeight="1">
      <c r="A5" s="883">
        <v>1</v>
      </c>
      <c r="B5" s="884">
        <v>1</v>
      </c>
      <c r="C5" s="884" t="s">
        <v>4685</v>
      </c>
      <c r="D5" s="1300">
        <f>building!F1006</f>
        <v>9980415.1400000006</v>
      </c>
      <c r="E5" s="1301"/>
      <c r="F5" s="884">
        <f>D5</f>
        <v>9980415.1400000006</v>
      </c>
    </row>
    <row r="6" spans="1:8" s="882" customFormat="1" ht="36" customHeight="1">
      <c r="A6" s="883"/>
      <c r="B6" s="885"/>
      <c r="C6" s="1304" t="s">
        <v>6547</v>
      </c>
      <c r="D6" s="1304"/>
      <c r="E6" s="1304"/>
      <c r="F6" s="886">
        <f>SUM(F5:F5)</f>
        <v>9980415.1400000006</v>
      </c>
      <c r="H6" s="1210">
        <v>9751661.7799999993</v>
      </c>
    </row>
    <row r="7" spans="1:8" s="882" customFormat="1" ht="37.5" customHeight="1">
      <c r="A7" s="883">
        <f>A5+1</f>
        <v>2</v>
      </c>
      <c r="B7" s="885">
        <v>1</v>
      </c>
      <c r="C7" s="884" t="s">
        <v>6573</v>
      </c>
      <c r="D7" s="1300">
        <f>building!H1006</f>
        <v>140253.23000000001</v>
      </c>
      <c r="E7" s="1301"/>
      <c r="F7" s="884">
        <f>B7*D7</f>
        <v>140253.23000000001</v>
      </c>
      <c r="H7" s="882">
        <v>251171.47</v>
      </c>
    </row>
    <row r="8" spans="1:8" s="882" customFormat="1" ht="37.5" hidden="1" customHeight="1">
      <c r="A8" s="883">
        <f>A7+1</f>
        <v>3</v>
      </c>
      <c r="B8" s="885">
        <v>1</v>
      </c>
      <c r="C8" s="884" t="s">
        <v>6578</v>
      </c>
      <c r="D8" s="1300">
        <f>building!J1006</f>
        <v>0</v>
      </c>
      <c r="E8" s="1301"/>
      <c r="F8" s="884">
        <f t="shared" ref="F8:F18" si="0">B8*D8</f>
        <v>0</v>
      </c>
    </row>
    <row r="9" spans="1:8" s="882" customFormat="1" ht="37.5" customHeight="1">
      <c r="A9" s="883">
        <f>A7+1</f>
        <v>3</v>
      </c>
      <c r="B9" s="885">
        <v>1</v>
      </c>
      <c r="C9" s="884" t="s">
        <v>6579</v>
      </c>
      <c r="D9" s="1300">
        <f>building!L1006</f>
        <v>810778.25</v>
      </c>
      <c r="E9" s="1301"/>
      <c r="F9" s="884">
        <f t="shared" si="0"/>
        <v>810778.25</v>
      </c>
      <c r="H9" s="882">
        <v>810778.25</v>
      </c>
    </row>
    <row r="10" spans="1:8" s="882" customFormat="1" ht="37.5" customHeight="1">
      <c r="A10" s="883">
        <f t="shared" ref="A10:A18" si="1">A9+1</f>
        <v>4</v>
      </c>
      <c r="B10" s="885">
        <v>1</v>
      </c>
      <c r="C10" s="884" t="s">
        <v>6580</v>
      </c>
      <c r="D10" s="1300">
        <f>building!N1006</f>
        <v>109752.64</v>
      </c>
      <c r="E10" s="1301"/>
      <c r="F10" s="884">
        <f t="shared" si="0"/>
        <v>109752.64</v>
      </c>
      <c r="H10" s="882">
        <v>109752.64</v>
      </c>
    </row>
    <row r="11" spans="1:8" s="882" customFormat="1" ht="37.5" customHeight="1">
      <c r="A11" s="883">
        <f t="shared" si="1"/>
        <v>5</v>
      </c>
      <c r="B11" s="885">
        <v>1</v>
      </c>
      <c r="C11" s="884" t="s">
        <v>6790</v>
      </c>
      <c r="D11" s="1300">
        <f>building!P1006</f>
        <v>796044.51</v>
      </c>
      <c r="E11" s="1301"/>
      <c r="F11" s="884">
        <f t="shared" si="0"/>
        <v>796044.51</v>
      </c>
      <c r="H11" s="882">
        <v>785559.13</v>
      </c>
    </row>
    <row r="12" spans="1:8" s="882" customFormat="1" ht="37.5" customHeight="1">
      <c r="A12" s="883">
        <f t="shared" si="1"/>
        <v>6</v>
      </c>
      <c r="B12" s="885">
        <v>1</v>
      </c>
      <c r="C12" s="884" t="s">
        <v>6577</v>
      </c>
      <c r="D12" s="1300">
        <f>'DEV-2'!R1000</f>
        <v>107329.4</v>
      </c>
      <c r="E12" s="1301"/>
      <c r="F12" s="884">
        <f t="shared" si="0"/>
        <v>107329.4</v>
      </c>
      <c r="H12" s="882">
        <v>116615.25</v>
      </c>
    </row>
    <row r="13" spans="1:8" s="882" customFormat="1" ht="34.5" customHeight="1">
      <c r="A13" s="883">
        <f t="shared" si="1"/>
        <v>7</v>
      </c>
      <c r="B13" s="885">
        <v>1</v>
      </c>
      <c r="C13" s="884" t="s">
        <v>6566</v>
      </c>
      <c r="D13" s="1300">
        <f>'DEV-2'!T1000</f>
        <v>193841.74</v>
      </c>
      <c r="E13" s="1301"/>
      <c r="F13" s="884">
        <f t="shared" si="0"/>
        <v>193841.74</v>
      </c>
      <c r="H13" s="882">
        <v>266169.59000000003</v>
      </c>
    </row>
    <row r="14" spans="1:8" s="882" customFormat="1" ht="39" customHeight="1">
      <c r="A14" s="883">
        <f t="shared" si="1"/>
        <v>8</v>
      </c>
      <c r="B14" s="885">
        <v>1</v>
      </c>
      <c r="C14" s="884" t="s">
        <v>6548</v>
      </c>
      <c r="D14" s="1300">
        <f>'DEV-2'!F1000</f>
        <v>137266.12</v>
      </c>
      <c r="E14" s="1301"/>
      <c r="F14" s="884">
        <f>B14*D14</f>
        <v>137266.12</v>
      </c>
      <c r="H14" s="882">
        <v>115540.92</v>
      </c>
    </row>
    <row r="15" spans="1:8" s="882" customFormat="1" ht="43.5" customHeight="1">
      <c r="A15" s="883">
        <f t="shared" si="1"/>
        <v>9</v>
      </c>
      <c r="B15" s="885">
        <v>1</v>
      </c>
      <c r="C15" s="884" t="s">
        <v>6941</v>
      </c>
      <c r="D15" s="1300">
        <f>'DEV-2'!H1000</f>
        <v>158528.51</v>
      </c>
      <c r="E15" s="1301"/>
      <c r="F15" s="884">
        <f t="shared" si="0"/>
        <v>158528.51</v>
      </c>
      <c r="H15" s="882">
        <v>158528.51</v>
      </c>
    </row>
    <row r="16" spans="1:8" s="882" customFormat="1" ht="49.5" customHeight="1">
      <c r="A16" s="883">
        <f t="shared" si="1"/>
        <v>10</v>
      </c>
      <c r="B16" s="885">
        <v>1</v>
      </c>
      <c r="C16" s="884" t="s">
        <v>6746</v>
      </c>
      <c r="D16" s="1300">
        <f>'DEV-2'!J1000</f>
        <v>711286</v>
      </c>
      <c r="E16" s="1301"/>
      <c r="F16" s="884">
        <f t="shared" si="0"/>
        <v>711286</v>
      </c>
      <c r="H16" s="882">
        <v>658088.28</v>
      </c>
    </row>
    <row r="17" spans="1:10" s="882" customFormat="1" ht="49.5" customHeight="1">
      <c r="A17" s="883">
        <f t="shared" si="1"/>
        <v>11</v>
      </c>
      <c r="B17" s="885">
        <v>1</v>
      </c>
      <c r="C17" s="884" t="s">
        <v>6906</v>
      </c>
      <c r="D17" s="1300">
        <f>'DEV-2'!L1000</f>
        <v>813420.62</v>
      </c>
      <c r="E17" s="1301"/>
      <c r="F17" s="884">
        <f t="shared" si="0"/>
        <v>813420.62</v>
      </c>
      <c r="H17" s="882">
        <v>830163.91</v>
      </c>
    </row>
    <row r="18" spans="1:10" s="882" customFormat="1" ht="39" customHeight="1">
      <c r="A18" s="883">
        <f t="shared" si="1"/>
        <v>12</v>
      </c>
      <c r="B18" s="885">
        <v>1</v>
      </c>
      <c r="C18" s="884" t="s">
        <v>6740</v>
      </c>
      <c r="D18" s="1300">
        <f>'DEV-2'!N1000</f>
        <v>164631.5</v>
      </c>
      <c r="E18" s="1301"/>
      <c r="F18" s="884">
        <f t="shared" si="0"/>
        <v>164631.5</v>
      </c>
      <c r="H18" s="882">
        <v>161914.29999999999</v>
      </c>
    </row>
    <row r="19" spans="1:10" s="882" customFormat="1" ht="38.25" customHeight="1">
      <c r="A19" s="883"/>
      <c r="B19" s="885"/>
      <c r="C19" s="1304" t="s">
        <v>6549</v>
      </c>
      <c r="D19" s="1304"/>
      <c r="E19" s="1304"/>
      <c r="F19" s="886">
        <f>SUM(F6:F18)</f>
        <v>14123547.66</v>
      </c>
      <c r="G19" s="882">
        <f>Abstract!F268</f>
        <v>14123547.619999999</v>
      </c>
      <c r="H19" s="1210">
        <f>SUM(H6:H18)</f>
        <v>14015944.029999999</v>
      </c>
      <c r="I19" s="882">
        <f>F19-G19</f>
        <v>0.04</v>
      </c>
    </row>
    <row r="20" spans="1:10" s="893" customFormat="1" ht="34.5" customHeight="1">
      <c r="A20" s="890">
        <f>A24+1</f>
        <v>14</v>
      </c>
      <c r="B20" s="891"/>
      <c r="C20" s="892" t="s">
        <v>6551</v>
      </c>
      <c r="D20" s="1305" t="s">
        <v>654</v>
      </c>
      <c r="E20" s="1306"/>
      <c r="F20" s="891">
        <v>37500</v>
      </c>
      <c r="H20" s="893">
        <v>37500</v>
      </c>
    </row>
    <row r="21" spans="1:10" s="893" customFormat="1" ht="72" customHeight="1">
      <c r="A21" s="890">
        <f>A20+1</f>
        <v>15</v>
      </c>
      <c r="B21" s="891"/>
      <c r="C21" s="892" t="s">
        <v>6552</v>
      </c>
      <c r="D21" s="1303" t="s">
        <v>654</v>
      </c>
      <c r="E21" s="1303"/>
      <c r="F21" s="891">
        <v>250000</v>
      </c>
      <c r="H21" s="893">
        <v>265000</v>
      </c>
    </row>
    <row r="22" spans="1:10" s="893" customFormat="1" ht="51" customHeight="1">
      <c r="A22" s="890">
        <f>+A21+1</f>
        <v>16</v>
      </c>
      <c r="B22" s="891"/>
      <c r="C22" s="892" t="s">
        <v>6553</v>
      </c>
      <c r="D22" s="1303" t="s">
        <v>654</v>
      </c>
      <c r="E22" s="1303"/>
      <c r="F22" s="891">
        <v>200000</v>
      </c>
      <c r="H22" s="893">
        <v>200000</v>
      </c>
    </row>
    <row r="23" spans="1:10" s="882" customFormat="1" ht="30" customHeight="1">
      <c r="A23" s="883"/>
      <c r="B23" s="884"/>
      <c r="C23" s="1304" t="s">
        <v>6549</v>
      </c>
      <c r="D23" s="1304"/>
      <c r="E23" s="1304"/>
      <c r="F23" s="886">
        <f>SUM(F19:F22)</f>
        <v>14611047.66</v>
      </c>
      <c r="H23" s="1210">
        <f>SUM(H19:H22)</f>
        <v>14518444.029999999</v>
      </c>
    </row>
    <row r="24" spans="1:10" s="882" customFormat="1" ht="38.25" customHeight="1">
      <c r="A24" s="883">
        <f>A18+1</f>
        <v>13</v>
      </c>
      <c r="B24" s="887"/>
      <c r="C24" s="888" t="s">
        <v>6550</v>
      </c>
      <c r="D24" s="1304"/>
      <c r="E24" s="1304"/>
      <c r="F24" s="884">
        <f>F23*18%</f>
        <v>2629988.58</v>
      </c>
      <c r="H24" s="882">
        <f>H23*18%</f>
        <v>2613319.9300000002</v>
      </c>
      <c r="I24" s="889"/>
    </row>
    <row r="25" spans="1:10" s="893" customFormat="1" ht="30" customHeight="1">
      <c r="A25" s="890"/>
      <c r="B25" s="891"/>
      <c r="C25" s="1299" t="s">
        <v>6554</v>
      </c>
      <c r="D25" s="1299"/>
      <c r="E25" s="1299"/>
      <c r="F25" s="894">
        <f>SUM(F23:F24)</f>
        <v>17241036.239999998</v>
      </c>
      <c r="H25" s="1211">
        <f>SUM(H23:H24)</f>
        <v>17131763.960000001</v>
      </c>
    </row>
    <row r="26" spans="1:10" s="893" customFormat="1" ht="36" customHeight="1">
      <c r="A26" s="890">
        <f>+A22+1</f>
        <v>17</v>
      </c>
      <c r="B26" s="895"/>
      <c r="C26" s="892" t="s">
        <v>6555</v>
      </c>
      <c r="D26" s="1302" t="s">
        <v>6556</v>
      </c>
      <c r="E26" s="1302"/>
      <c r="F26" s="891">
        <f>F23*1%</f>
        <v>146110.48000000001</v>
      </c>
      <c r="H26" s="893">
        <f>H23*1%</f>
        <v>145184.44</v>
      </c>
    </row>
    <row r="27" spans="1:10" s="893" customFormat="1" ht="58.5" customHeight="1">
      <c r="A27" s="890">
        <f>+A26+1</f>
        <v>18</v>
      </c>
      <c r="B27" s="895"/>
      <c r="C27" s="892" t="s">
        <v>7051</v>
      </c>
      <c r="D27" s="1302" t="s">
        <v>6556</v>
      </c>
      <c r="E27" s="1302"/>
      <c r="F27" s="891">
        <f>F23*1%</f>
        <v>146110.48000000001</v>
      </c>
      <c r="H27" s="893">
        <f>H23*1%+944.96</f>
        <v>146129.4</v>
      </c>
      <c r="I27" s="893">
        <v>146129.4</v>
      </c>
      <c r="J27" s="893">
        <f>I27-H27</f>
        <v>0</v>
      </c>
    </row>
    <row r="28" spans="1:10" s="893" customFormat="1" ht="36" customHeight="1">
      <c r="A28" s="890">
        <f>A27+1</f>
        <v>19</v>
      </c>
      <c r="B28" s="895"/>
      <c r="C28" s="892" t="s">
        <v>7050</v>
      </c>
      <c r="D28" s="1302" t="s">
        <v>6557</v>
      </c>
      <c r="E28" s="1302"/>
      <c r="F28" s="891">
        <f>F23*5%</f>
        <v>730552.38</v>
      </c>
      <c r="H28" s="893">
        <f>H23*5%</f>
        <v>725922.2</v>
      </c>
    </row>
    <row r="29" spans="1:10" s="893" customFormat="1" ht="31.5" customHeight="1">
      <c r="A29" s="890"/>
      <c r="B29" s="891"/>
      <c r="C29" s="1299" t="s">
        <v>6558</v>
      </c>
      <c r="D29" s="1299"/>
      <c r="E29" s="1299"/>
      <c r="F29" s="894">
        <f>SUM(F25:F28)</f>
        <v>18263809.579999998</v>
      </c>
      <c r="H29" s="1211">
        <f>SUM(H25:H28)</f>
        <v>18149000</v>
      </c>
    </row>
    <row r="30" spans="1:10" s="893" customFormat="1" ht="34.5" customHeight="1">
      <c r="A30" s="890">
        <f>A28+1</f>
        <v>20</v>
      </c>
      <c r="B30" s="895"/>
      <c r="C30" s="892" t="s">
        <v>6559</v>
      </c>
      <c r="D30" s="1303" t="s">
        <v>654</v>
      </c>
      <c r="E30" s="1303"/>
      <c r="F30" s="891">
        <v>100000</v>
      </c>
      <c r="H30" s="893">
        <v>100000</v>
      </c>
    </row>
    <row r="31" spans="1:10" s="893" customFormat="1" ht="34.5" customHeight="1">
      <c r="A31" s="890">
        <f>A30+1</f>
        <v>21</v>
      </c>
      <c r="B31" s="895"/>
      <c r="C31" s="892" t="s">
        <v>6560</v>
      </c>
      <c r="D31" s="1303" t="s">
        <v>654</v>
      </c>
      <c r="E31" s="1303"/>
      <c r="F31" s="891">
        <v>150000</v>
      </c>
      <c r="H31" s="893">
        <v>200000</v>
      </c>
    </row>
    <row r="32" spans="1:10" s="893" customFormat="1" ht="59.25" customHeight="1">
      <c r="A32" s="890">
        <f>A31+1</f>
        <v>22</v>
      </c>
      <c r="B32" s="895"/>
      <c r="C32" s="892" t="s">
        <v>6561</v>
      </c>
      <c r="D32" s="1303" t="s">
        <v>654</v>
      </c>
      <c r="E32" s="1303"/>
      <c r="F32" s="891">
        <v>50000</v>
      </c>
      <c r="H32" s="893">
        <v>100000</v>
      </c>
    </row>
    <row r="33" spans="1:8" s="893" customFormat="1" ht="34.5" customHeight="1">
      <c r="A33" s="890">
        <f>A32+1</f>
        <v>23</v>
      </c>
      <c r="B33" s="895"/>
      <c r="C33" s="892" t="s">
        <v>6562</v>
      </c>
      <c r="D33" s="1303" t="s">
        <v>654</v>
      </c>
      <c r="E33" s="1303"/>
      <c r="F33" s="891">
        <v>50000</v>
      </c>
      <c r="H33" s="893">
        <v>100000</v>
      </c>
    </row>
    <row r="34" spans="1:8" s="893" customFormat="1" ht="34.5" customHeight="1">
      <c r="A34" s="896"/>
      <c r="B34" s="895"/>
      <c r="C34" s="1299" t="s">
        <v>6563</v>
      </c>
      <c r="D34" s="1299"/>
      <c r="E34" s="1299"/>
      <c r="F34" s="894">
        <f>SUM(F29:F33)</f>
        <v>18613809.579999998</v>
      </c>
      <c r="H34" s="1211">
        <f>SUM(H29:H33)</f>
        <v>18649000</v>
      </c>
    </row>
    <row r="35" spans="1:8" s="882" customFormat="1" ht="34.5" customHeight="1">
      <c r="A35" s="24"/>
      <c r="B35" s="24"/>
      <c r="C35" s="24"/>
      <c r="D35" s="1309" t="s">
        <v>6783</v>
      </c>
      <c r="E35" s="1309"/>
      <c r="F35" s="1139">
        <f>ROUNDUP(F34,-3)</f>
        <v>18614000</v>
      </c>
      <c r="H35" s="882">
        <v>18649000</v>
      </c>
    </row>
    <row r="36" spans="1:8" ht="32.25" customHeight="1">
      <c r="H36" s="24">
        <f>H35-F35</f>
        <v>35000</v>
      </c>
    </row>
    <row r="37" spans="1:8" s="897" customFormat="1" ht="32.25" customHeight="1">
      <c r="C37" s="897" t="s">
        <v>6584</v>
      </c>
      <c r="E37" s="897" t="s">
        <v>6583</v>
      </c>
    </row>
    <row r="38" spans="1:8" ht="23.25" customHeight="1"/>
  </sheetData>
  <mergeCells count="34">
    <mergeCell ref="D35:E35"/>
    <mergeCell ref="D8:E8"/>
    <mergeCell ref="D5:E5"/>
    <mergeCell ref="D17:E17"/>
    <mergeCell ref="D11:E11"/>
    <mergeCell ref="D21:E21"/>
    <mergeCell ref="D22:E22"/>
    <mergeCell ref="D9:E9"/>
    <mergeCell ref="D12:E12"/>
    <mergeCell ref="D13:E13"/>
    <mergeCell ref="D15:E15"/>
    <mergeCell ref="D16:E16"/>
    <mergeCell ref="D14:E14"/>
    <mergeCell ref="D31:E31"/>
    <mergeCell ref="D32:E32"/>
    <mergeCell ref="D33:E33"/>
    <mergeCell ref="A1:F1"/>
    <mergeCell ref="A2:F2"/>
    <mergeCell ref="D4:F4"/>
    <mergeCell ref="C6:E6"/>
    <mergeCell ref="D7:E7"/>
    <mergeCell ref="C34:E34"/>
    <mergeCell ref="D10:E10"/>
    <mergeCell ref="D18:E18"/>
    <mergeCell ref="C25:E25"/>
    <mergeCell ref="D26:E26"/>
    <mergeCell ref="D27:E27"/>
    <mergeCell ref="D28:E28"/>
    <mergeCell ref="C29:E29"/>
    <mergeCell ref="D30:E30"/>
    <mergeCell ref="C19:E19"/>
    <mergeCell ref="D24:E24"/>
    <mergeCell ref="C23:E23"/>
    <mergeCell ref="D20:E20"/>
  </mergeCells>
  <printOptions horizontalCentered="1"/>
  <pageMargins left="0.24" right="0.41" top="0.75" bottom="0.5" header="0.43307086614173201" footer="0.27559055118110198"/>
  <pageSetup paperSize="9" scale="80" orientation="portrait" r:id="rId1"/>
  <headerFooter alignWithMargins="0">
    <oddHeader>&amp;R&amp;P</oddHead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F73"/>
  <sheetViews>
    <sheetView showZeros="0" topLeftCell="A61" workbookViewId="0">
      <selection activeCell="C15" sqref="C15"/>
    </sheetView>
  </sheetViews>
  <sheetFormatPr defaultRowHeight="15.75"/>
  <cols>
    <col min="3" max="3" width="50.5546875" customWidth="1"/>
  </cols>
  <sheetData>
    <row r="3" spans="1:6" ht="18.75">
      <c r="A3" s="122"/>
      <c r="B3" s="122"/>
      <c r="C3" s="122"/>
      <c r="D3" s="122"/>
      <c r="E3" s="122"/>
      <c r="F3" s="122"/>
    </row>
    <row r="4" spans="1:6" ht="18.75">
      <c r="A4" s="122"/>
      <c r="B4" s="122"/>
      <c r="C4" s="122"/>
      <c r="D4" s="122"/>
      <c r="E4" s="122"/>
      <c r="F4" s="122"/>
    </row>
    <row r="5" spans="1:6" ht="18.75">
      <c r="A5" s="122"/>
      <c r="B5" s="122"/>
      <c r="C5" s="121" t="s">
        <v>5620</v>
      </c>
      <c r="D5" s="122"/>
      <c r="E5" s="122"/>
      <c r="F5" s="122"/>
    </row>
    <row r="6" spans="1:6">
      <c r="A6" s="133"/>
      <c r="B6" s="134"/>
      <c r="C6" s="135" t="s">
        <v>5621</v>
      </c>
      <c r="D6" s="136"/>
      <c r="E6" s="137"/>
      <c r="F6" s="138"/>
    </row>
    <row r="7" spans="1:6">
      <c r="A7" s="133"/>
      <c r="B7" s="134"/>
      <c r="C7" s="139" t="s">
        <v>5622</v>
      </c>
      <c r="D7" s="136"/>
      <c r="E7" s="137"/>
      <c r="F7" s="133"/>
    </row>
    <row r="8" spans="1:6">
      <c r="A8" s="133"/>
      <c r="B8" s="134"/>
      <c r="C8" s="140" t="s">
        <v>4141</v>
      </c>
      <c r="D8" s="136"/>
      <c r="E8" s="137"/>
      <c r="F8" s="133"/>
    </row>
    <row r="9" spans="1:6">
      <c r="A9" s="133"/>
      <c r="B9" s="134"/>
      <c r="C9" s="139" t="s">
        <v>5171</v>
      </c>
      <c r="D9" s="136">
        <f>4.5*6.42*2</f>
        <v>57.78</v>
      </c>
      <c r="E9" s="137"/>
      <c r="F9" s="133"/>
    </row>
    <row r="10" spans="1:6">
      <c r="A10" s="133"/>
      <c r="B10" s="134"/>
      <c r="C10" s="139" t="s">
        <v>5172</v>
      </c>
      <c r="D10" s="136">
        <f>4.5*1*2</f>
        <v>9</v>
      </c>
      <c r="E10" s="137">
        <f>5/12</f>
        <v>0.42</v>
      </c>
      <c r="F10" s="133"/>
    </row>
    <row r="11" spans="1:6">
      <c r="A11" s="133"/>
      <c r="B11" s="134"/>
      <c r="C11" s="139" t="s">
        <v>5173</v>
      </c>
      <c r="D11" s="136">
        <f>4.5*1*2</f>
        <v>9</v>
      </c>
      <c r="E11" s="137"/>
      <c r="F11" s="133"/>
    </row>
    <row r="12" spans="1:6">
      <c r="A12" s="133"/>
      <c r="B12" s="134"/>
      <c r="C12" s="139" t="s">
        <v>5174</v>
      </c>
      <c r="D12" s="136">
        <f>6.42*1*2</f>
        <v>12.84</v>
      </c>
      <c r="E12" s="137"/>
      <c r="F12" s="133"/>
    </row>
    <row r="13" spans="1:6">
      <c r="A13" s="133"/>
      <c r="B13" s="134"/>
      <c r="C13" s="139" t="s">
        <v>5175</v>
      </c>
      <c r="D13" s="136">
        <f>SUM(D9:D12)</f>
        <v>88.62</v>
      </c>
      <c r="E13" s="137"/>
      <c r="F13" s="133"/>
    </row>
    <row r="14" spans="1:6">
      <c r="A14" s="133"/>
      <c r="B14" s="134"/>
      <c r="C14" s="140"/>
      <c r="D14" s="136">
        <f>D13*10%</f>
        <v>8.86</v>
      </c>
      <c r="E14" s="137"/>
      <c r="F14" s="133"/>
    </row>
    <row r="15" spans="1:6">
      <c r="A15" s="133"/>
      <c r="B15" s="134"/>
      <c r="C15" s="139" t="s">
        <v>5176</v>
      </c>
      <c r="D15" s="136">
        <f>SUM(D13:D14)</f>
        <v>97.48</v>
      </c>
      <c r="E15" s="137"/>
      <c r="F15" s="133"/>
    </row>
    <row r="16" spans="1:6">
      <c r="A16" s="144"/>
      <c r="B16" s="134"/>
      <c r="C16" s="140" t="s">
        <v>5177</v>
      </c>
      <c r="D16" s="136">
        <f>D15*1.17</f>
        <v>114.05</v>
      </c>
      <c r="E16" s="137"/>
      <c r="F16" s="133"/>
    </row>
    <row r="17" spans="1:6">
      <c r="A17" s="133"/>
      <c r="B17" s="134"/>
      <c r="C17" s="139" t="s">
        <v>5178</v>
      </c>
      <c r="D17" s="136"/>
      <c r="E17" s="137"/>
      <c r="F17" s="133"/>
    </row>
    <row r="18" spans="1:6">
      <c r="A18" s="133"/>
      <c r="B18" s="134"/>
      <c r="C18" s="139"/>
      <c r="D18" s="136"/>
      <c r="E18" s="137"/>
      <c r="F18" s="133"/>
    </row>
    <row r="19" spans="1:6">
      <c r="A19" s="133">
        <v>81.099999999999994</v>
      </c>
      <c r="B19" s="134" t="s">
        <v>909</v>
      </c>
      <c r="C19" s="139" t="s">
        <v>5075</v>
      </c>
      <c r="D19" s="136">
        <v>51.4</v>
      </c>
      <c r="E19" s="137" t="s">
        <v>909</v>
      </c>
      <c r="F19" s="133"/>
    </row>
    <row r="20" spans="1:6">
      <c r="A20" s="144"/>
      <c r="B20" s="134"/>
      <c r="C20" s="140" t="s">
        <v>4149</v>
      </c>
      <c r="D20" s="136"/>
      <c r="E20" s="137"/>
      <c r="F20" s="133">
        <f t="shared" ref="F20:F65" si="0">D20*A20</f>
        <v>0</v>
      </c>
    </row>
    <row r="21" spans="1:6">
      <c r="A21" s="133"/>
      <c r="B21" s="134"/>
      <c r="C21" s="139" t="s">
        <v>4150</v>
      </c>
      <c r="D21" s="136"/>
      <c r="E21" s="137"/>
      <c r="F21" s="133">
        <f t="shared" si="0"/>
        <v>0</v>
      </c>
    </row>
    <row r="22" spans="1:6">
      <c r="A22" s="133"/>
      <c r="B22" s="134"/>
      <c r="C22" s="139" t="s">
        <v>4815</v>
      </c>
      <c r="D22" s="136"/>
      <c r="E22" s="137"/>
      <c r="F22" s="133">
        <f t="shared" si="0"/>
        <v>0</v>
      </c>
    </row>
    <row r="23" spans="1:6">
      <c r="A23" s="133"/>
      <c r="B23" s="134"/>
      <c r="C23" s="139" t="s">
        <v>4773</v>
      </c>
      <c r="D23" s="136"/>
      <c r="E23" s="137"/>
      <c r="F23" s="133">
        <f t="shared" si="0"/>
        <v>0</v>
      </c>
    </row>
    <row r="24" spans="1:6">
      <c r="A24" s="133"/>
      <c r="B24" s="134"/>
      <c r="C24" s="139" t="s">
        <v>4814</v>
      </c>
      <c r="D24" s="136"/>
      <c r="E24" s="137"/>
      <c r="F24" s="133">
        <f t="shared" si="0"/>
        <v>0</v>
      </c>
    </row>
    <row r="25" spans="1:6" ht="31.5">
      <c r="A25" s="133"/>
      <c r="B25" s="134"/>
      <c r="C25" s="139" t="s">
        <v>5179</v>
      </c>
      <c r="D25" s="136"/>
      <c r="E25" s="137"/>
      <c r="F25" s="133">
        <f t="shared" si="0"/>
        <v>0</v>
      </c>
    </row>
    <row r="26" spans="1:6">
      <c r="A26" s="133"/>
      <c r="B26" s="134"/>
      <c r="C26" s="139" t="s">
        <v>5180</v>
      </c>
      <c r="D26" s="136"/>
      <c r="E26" s="137"/>
      <c r="F26" s="133">
        <f t="shared" si="0"/>
        <v>0</v>
      </c>
    </row>
    <row r="27" spans="1:6">
      <c r="A27" s="133"/>
      <c r="B27" s="134"/>
      <c r="C27" s="139" t="s">
        <v>5181</v>
      </c>
      <c r="D27" s="136"/>
      <c r="E27" s="137"/>
      <c r="F27" s="133">
        <f t="shared" si="0"/>
        <v>0</v>
      </c>
    </row>
    <row r="28" spans="1:6">
      <c r="A28" s="133">
        <v>35</v>
      </c>
      <c r="B28" s="134" t="s">
        <v>909</v>
      </c>
      <c r="C28" s="139" t="s">
        <v>5076</v>
      </c>
      <c r="D28" s="136">
        <f>D19</f>
        <v>51.4</v>
      </c>
      <c r="E28" s="137" t="s">
        <v>909</v>
      </c>
      <c r="F28" s="133">
        <f t="shared" si="0"/>
        <v>1799</v>
      </c>
    </row>
    <row r="29" spans="1:6">
      <c r="A29" s="133"/>
      <c r="B29" s="134"/>
      <c r="C29" s="140" t="s">
        <v>4158</v>
      </c>
      <c r="D29" s="136"/>
      <c r="E29" s="137"/>
      <c r="F29" s="133">
        <f t="shared" si="0"/>
        <v>0</v>
      </c>
    </row>
    <row r="30" spans="1:6">
      <c r="A30" s="133"/>
      <c r="B30" s="134"/>
      <c r="C30" s="139" t="s">
        <v>4159</v>
      </c>
      <c r="D30" s="136"/>
      <c r="E30" s="137"/>
      <c r="F30" s="133">
        <f t="shared" si="0"/>
        <v>0</v>
      </c>
    </row>
    <row r="31" spans="1:6">
      <c r="A31" s="133"/>
      <c r="B31" s="134"/>
      <c r="C31" s="139" t="s">
        <v>4160</v>
      </c>
      <c r="D31" s="136"/>
      <c r="E31" s="137"/>
      <c r="F31" s="133">
        <f t="shared" si="0"/>
        <v>0</v>
      </c>
    </row>
    <row r="32" spans="1:6">
      <c r="A32" s="133"/>
      <c r="B32" s="134"/>
      <c r="C32" s="139" t="s">
        <v>5182</v>
      </c>
      <c r="D32" s="136"/>
      <c r="E32" s="137"/>
      <c r="F32" s="133">
        <f t="shared" si="0"/>
        <v>0</v>
      </c>
    </row>
    <row r="33" spans="1:6">
      <c r="A33" s="133"/>
      <c r="B33" s="134"/>
      <c r="C33" s="139" t="s">
        <v>5183</v>
      </c>
      <c r="D33" s="136"/>
      <c r="E33" s="137"/>
      <c r="F33" s="133">
        <f t="shared" si="0"/>
        <v>0</v>
      </c>
    </row>
    <row r="34" spans="1:6">
      <c r="A34" s="133"/>
      <c r="B34" s="134"/>
      <c r="C34" s="139" t="s">
        <v>5184</v>
      </c>
      <c r="D34" s="136"/>
      <c r="E34" s="137"/>
      <c r="F34" s="133">
        <f t="shared" si="0"/>
        <v>0</v>
      </c>
    </row>
    <row r="35" spans="1:6" ht="31.5">
      <c r="A35" s="133"/>
      <c r="B35" s="134"/>
      <c r="C35" s="139" t="s">
        <v>5185</v>
      </c>
      <c r="D35" s="136"/>
      <c r="E35" s="137"/>
      <c r="F35" s="133">
        <f t="shared" si="0"/>
        <v>0</v>
      </c>
    </row>
    <row r="36" spans="1:6">
      <c r="A36" s="133"/>
      <c r="B36" s="134"/>
      <c r="C36" s="139" t="s">
        <v>5186</v>
      </c>
      <c r="D36" s="136"/>
      <c r="E36" s="137"/>
      <c r="F36" s="133">
        <f t="shared" si="0"/>
        <v>0</v>
      </c>
    </row>
    <row r="37" spans="1:6">
      <c r="A37" s="133"/>
      <c r="B37" s="134"/>
      <c r="C37" s="139" t="s">
        <v>5187</v>
      </c>
      <c r="D37" s="136"/>
      <c r="E37" s="137"/>
      <c r="F37" s="133">
        <f t="shared" si="0"/>
        <v>0</v>
      </c>
    </row>
    <row r="38" spans="1:6">
      <c r="A38" s="133"/>
      <c r="B38" s="134"/>
      <c r="C38" s="139" t="s">
        <v>5188</v>
      </c>
      <c r="D38" s="136"/>
      <c r="E38" s="137"/>
      <c r="F38" s="133">
        <f t="shared" si="0"/>
        <v>0</v>
      </c>
    </row>
    <row r="39" spans="1:6">
      <c r="A39" s="133"/>
      <c r="B39" s="134"/>
      <c r="C39" s="139"/>
      <c r="D39" s="136"/>
      <c r="E39" s="137"/>
      <c r="F39" s="133">
        <f t="shared" si="0"/>
        <v>0</v>
      </c>
    </row>
    <row r="40" spans="1:6">
      <c r="A40" s="133"/>
      <c r="B40" s="134"/>
      <c r="C40" s="139" t="s">
        <v>5189</v>
      </c>
      <c r="D40" s="136"/>
      <c r="E40" s="137"/>
      <c r="F40" s="133">
        <f t="shared" si="0"/>
        <v>0</v>
      </c>
    </row>
    <row r="41" spans="1:6">
      <c r="A41" s="133"/>
      <c r="B41" s="134"/>
      <c r="C41" s="139"/>
      <c r="D41" s="136"/>
      <c r="E41" s="137"/>
      <c r="F41" s="133">
        <f t="shared" si="0"/>
        <v>0</v>
      </c>
    </row>
    <row r="42" spans="1:6">
      <c r="A42" s="133">
        <v>2</v>
      </c>
      <c r="B42" s="134" t="s">
        <v>909</v>
      </c>
      <c r="C42" s="139" t="s">
        <v>5080</v>
      </c>
      <c r="D42" s="136">
        <v>526</v>
      </c>
      <c r="E42" s="137" t="s">
        <v>909</v>
      </c>
      <c r="F42" s="133">
        <f t="shared" si="0"/>
        <v>1052</v>
      </c>
    </row>
    <row r="43" spans="1:6">
      <c r="A43" s="133">
        <v>6.2</v>
      </c>
      <c r="B43" s="134" t="s">
        <v>909</v>
      </c>
      <c r="C43" s="139" t="s">
        <v>5081</v>
      </c>
      <c r="D43" s="136">
        <v>10</v>
      </c>
      <c r="E43" s="137" t="s">
        <v>909</v>
      </c>
      <c r="F43" s="133">
        <f t="shared" si="0"/>
        <v>62</v>
      </c>
    </row>
    <row r="44" spans="1:6">
      <c r="A44" s="133">
        <v>3.66</v>
      </c>
      <c r="B44" s="139" t="s">
        <v>823</v>
      </c>
      <c r="C44" s="139" t="s">
        <v>5623</v>
      </c>
      <c r="D44" s="136">
        <v>114</v>
      </c>
      <c r="E44" s="137" t="s">
        <v>823</v>
      </c>
      <c r="F44" s="133">
        <f t="shared" si="0"/>
        <v>417.24</v>
      </c>
    </row>
    <row r="45" spans="1:6">
      <c r="A45" s="133">
        <v>15.4</v>
      </c>
      <c r="B45" s="139" t="s">
        <v>909</v>
      </c>
      <c r="C45" s="139" t="s">
        <v>5624</v>
      </c>
      <c r="D45" s="136">
        <v>51.4</v>
      </c>
      <c r="E45" s="137" t="s">
        <v>909</v>
      </c>
      <c r="F45" s="133">
        <f t="shared" si="0"/>
        <v>791.56</v>
      </c>
    </row>
    <row r="46" spans="1:6">
      <c r="A46" s="133">
        <v>3</v>
      </c>
      <c r="B46" s="139" t="s">
        <v>1026</v>
      </c>
      <c r="C46" s="139" t="s">
        <v>5059</v>
      </c>
      <c r="D46" s="136">
        <v>696.43</v>
      </c>
      <c r="E46" s="137" t="s">
        <v>1393</v>
      </c>
      <c r="F46" s="133">
        <f t="shared" si="0"/>
        <v>2089.29</v>
      </c>
    </row>
    <row r="47" spans="1:6">
      <c r="A47" s="123">
        <v>1</v>
      </c>
      <c r="B47" s="124" t="s">
        <v>1026</v>
      </c>
      <c r="C47" s="128" t="s">
        <v>5305</v>
      </c>
      <c r="D47" s="123">
        <v>76.849999999999994</v>
      </c>
      <c r="E47" s="126" t="s">
        <v>1393</v>
      </c>
      <c r="F47" s="133">
        <f t="shared" si="0"/>
        <v>76.849999999999994</v>
      </c>
    </row>
    <row r="48" spans="1:6">
      <c r="A48" s="123">
        <v>3</v>
      </c>
      <c r="B48" s="124" t="s">
        <v>1026</v>
      </c>
      <c r="C48" s="128" t="s">
        <v>5625</v>
      </c>
      <c r="D48" s="123">
        <v>188.4</v>
      </c>
      <c r="E48" s="126" t="s">
        <v>1393</v>
      </c>
      <c r="F48" s="133">
        <f t="shared" si="0"/>
        <v>565.20000000000005</v>
      </c>
    </row>
    <row r="49" spans="1:6">
      <c r="A49" s="123">
        <v>1</v>
      </c>
      <c r="B49" s="124" t="s">
        <v>557</v>
      </c>
      <c r="C49" s="128" t="s">
        <v>5626</v>
      </c>
      <c r="D49" s="123">
        <v>84.4</v>
      </c>
      <c r="E49" s="126" t="s">
        <v>1393</v>
      </c>
      <c r="F49" s="133">
        <f t="shared" si="0"/>
        <v>84.4</v>
      </c>
    </row>
    <row r="50" spans="1:6">
      <c r="A50" s="123">
        <v>1</v>
      </c>
      <c r="B50" s="124" t="s">
        <v>1026</v>
      </c>
      <c r="C50" s="128" t="s">
        <v>5061</v>
      </c>
      <c r="D50" s="123">
        <v>67.150000000000006</v>
      </c>
      <c r="E50" s="126" t="s">
        <v>1393</v>
      </c>
      <c r="F50" s="133">
        <f t="shared" si="0"/>
        <v>67.150000000000006</v>
      </c>
    </row>
    <row r="51" spans="1:6">
      <c r="A51" s="123">
        <v>1</v>
      </c>
      <c r="B51" s="124" t="s">
        <v>1026</v>
      </c>
      <c r="C51" s="128" t="s">
        <v>5062</v>
      </c>
      <c r="D51" s="123">
        <v>37.65</v>
      </c>
      <c r="E51" s="126" t="s">
        <v>1393</v>
      </c>
      <c r="F51" s="133">
        <f t="shared" si="0"/>
        <v>37.65</v>
      </c>
    </row>
    <row r="52" spans="1:6">
      <c r="A52" s="132">
        <v>1</v>
      </c>
      <c r="B52" s="124" t="s">
        <v>557</v>
      </c>
      <c r="C52" s="249" t="s">
        <v>5627</v>
      </c>
      <c r="D52" s="250">
        <v>575</v>
      </c>
      <c r="E52" s="126" t="s">
        <v>1393</v>
      </c>
      <c r="F52" s="133">
        <f t="shared" si="0"/>
        <v>575</v>
      </c>
    </row>
    <row r="53" spans="1:6">
      <c r="A53" s="123">
        <v>1</v>
      </c>
      <c r="B53" s="124" t="s">
        <v>557</v>
      </c>
      <c r="C53" s="128" t="s">
        <v>5628</v>
      </c>
      <c r="D53" s="250">
        <v>256</v>
      </c>
      <c r="E53" s="126" t="s">
        <v>1393</v>
      </c>
      <c r="F53" s="133">
        <f t="shared" si="0"/>
        <v>256</v>
      </c>
    </row>
    <row r="54" spans="1:6">
      <c r="A54" s="123">
        <v>200</v>
      </c>
      <c r="B54" s="124" t="s">
        <v>4177</v>
      </c>
      <c r="C54" s="128" t="s">
        <v>5063</v>
      </c>
      <c r="D54" s="250">
        <v>1</v>
      </c>
      <c r="E54" s="126" t="s">
        <v>4177</v>
      </c>
      <c r="F54" s="133">
        <f t="shared" si="0"/>
        <v>200</v>
      </c>
    </row>
    <row r="55" spans="1:6">
      <c r="A55" s="123"/>
      <c r="B55" s="124"/>
      <c r="C55" s="128" t="s">
        <v>4179</v>
      </c>
      <c r="D55" s="250">
        <v>0</v>
      </c>
      <c r="E55" s="126"/>
      <c r="F55" s="133">
        <f t="shared" si="0"/>
        <v>0</v>
      </c>
    </row>
    <row r="56" spans="1:6">
      <c r="A56" s="123"/>
      <c r="B56" s="124"/>
      <c r="C56" s="128" t="s">
        <v>5064</v>
      </c>
      <c r="D56" s="250">
        <v>0</v>
      </c>
      <c r="E56" s="126"/>
      <c r="F56" s="133">
        <f t="shared" si="0"/>
        <v>0</v>
      </c>
    </row>
    <row r="57" spans="1:6">
      <c r="A57" s="123">
        <v>10.3</v>
      </c>
      <c r="B57" s="124" t="s">
        <v>823</v>
      </c>
      <c r="C57" s="128" t="s">
        <v>5065</v>
      </c>
      <c r="D57" s="250">
        <v>20</v>
      </c>
      <c r="E57" s="126" t="s">
        <v>823</v>
      </c>
      <c r="F57" s="133">
        <f t="shared" si="0"/>
        <v>206</v>
      </c>
    </row>
    <row r="58" spans="1:6">
      <c r="A58" s="123">
        <v>0.7</v>
      </c>
      <c r="B58" s="124" t="s">
        <v>4467</v>
      </c>
      <c r="C58" s="128" t="s">
        <v>5066</v>
      </c>
      <c r="D58" s="250">
        <v>1260</v>
      </c>
      <c r="E58" s="126" t="s">
        <v>4467</v>
      </c>
      <c r="F58" s="133">
        <f t="shared" si="0"/>
        <v>882</v>
      </c>
    </row>
    <row r="59" spans="1:6">
      <c r="A59" s="123">
        <v>3</v>
      </c>
      <c r="B59" s="124" t="s">
        <v>1427</v>
      </c>
      <c r="C59" s="128" t="s">
        <v>5067</v>
      </c>
      <c r="D59" s="250">
        <v>17.86</v>
      </c>
      <c r="E59" s="129" t="s">
        <v>1706</v>
      </c>
      <c r="F59" s="133">
        <f t="shared" si="0"/>
        <v>53.58</v>
      </c>
    </row>
    <row r="60" spans="1:6">
      <c r="A60" s="123">
        <v>1</v>
      </c>
      <c r="B60" s="124" t="s">
        <v>145</v>
      </c>
      <c r="C60" s="128" t="s">
        <v>5068</v>
      </c>
      <c r="D60" s="250">
        <v>90</v>
      </c>
      <c r="E60" s="126" t="s">
        <v>145</v>
      </c>
      <c r="F60" s="133">
        <f t="shared" si="0"/>
        <v>90</v>
      </c>
    </row>
    <row r="61" spans="1:6">
      <c r="A61" s="133">
        <v>5</v>
      </c>
      <c r="B61" s="134" t="s">
        <v>3430</v>
      </c>
      <c r="C61" s="139" t="s">
        <v>5069</v>
      </c>
      <c r="D61" s="136">
        <v>9.8000000000000007</v>
      </c>
      <c r="E61" s="137" t="s">
        <v>3430</v>
      </c>
      <c r="F61" s="133">
        <f t="shared" si="0"/>
        <v>49</v>
      </c>
    </row>
    <row r="62" spans="1:6">
      <c r="A62" s="133">
        <v>35</v>
      </c>
      <c r="B62" s="134" t="s">
        <v>909</v>
      </c>
      <c r="C62" s="139" t="s">
        <v>5070</v>
      </c>
      <c r="D62" s="136">
        <v>47.8</v>
      </c>
      <c r="E62" s="137" t="s">
        <v>909</v>
      </c>
      <c r="F62" s="133">
        <f t="shared" si="0"/>
        <v>1673</v>
      </c>
    </row>
    <row r="63" spans="1:6">
      <c r="A63" s="133">
        <v>2</v>
      </c>
      <c r="B63" s="134" t="s">
        <v>1427</v>
      </c>
      <c r="C63" s="139" t="s">
        <v>5071</v>
      </c>
      <c r="D63" s="136">
        <v>988</v>
      </c>
      <c r="E63" s="137" t="s">
        <v>1706</v>
      </c>
      <c r="F63" s="133">
        <f t="shared" si="0"/>
        <v>1976</v>
      </c>
    </row>
    <row r="64" spans="1:6">
      <c r="A64" s="133">
        <v>50</v>
      </c>
      <c r="B64" s="134" t="s">
        <v>4184</v>
      </c>
      <c r="C64" s="139" t="s">
        <v>5072</v>
      </c>
      <c r="D64" s="136">
        <v>10</v>
      </c>
      <c r="E64" s="137" t="s">
        <v>4186</v>
      </c>
      <c r="F64" s="133">
        <f t="shared" si="0"/>
        <v>500</v>
      </c>
    </row>
    <row r="65" spans="1:6" ht="47.25">
      <c r="A65" s="123">
        <v>9</v>
      </c>
      <c r="B65" s="124" t="s">
        <v>4187</v>
      </c>
      <c r="C65" s="128" t="s">
        <v>5629</v>
      </c>
      <c r="D65" s="126">
        <v>56.7</v>
      </c>
      <c r="E65" s="126" t="s">
        <v>4188</v>
      </c>
      <c r="F65" s="133">
        <f t="shared" si="0"/>
        <v>510.3</v>
      </c>
    </row>
    <row r="66" spans="1:6">
      <c r="A66" s="123"/>
      <c r="B66" s="134"/>
      <c r="C66" s="139" t="s">
        <v>4189</v>
      </c>
      <c r="D66" s="136"/>
      <c r="E66" s="137"/>
      <c r="F66" s="133"/>
    </row>
    <row r="67" spans="1:6">
      <c r="A67" s="123"/>
      <c r="B67" s="134"/>
      <c r="C67" s="139"/>
      <c r="D67" s="136" t="s">
        <v>2235</v>
      </c>
      <c r="E67" s="137"/>
      <c r="F67" s="138">
        <f>SUM(F20:F66)</f>
        <v>14013.22</v>
      </c>
    </row>
    <row r="68" spans="1:6" ht="31.5">
      <c r="A68" s="158"/>
      <c r="B68" s="134"/>
      <c r="C68" s="139" t="s">
        <v>4190</v>
      </c>
      <c r="D68" s="136"/>
      <c r="E68" s="137"/>
      <c r="F68" s="133">
        <f>F67*2/100</f>
        <v>280.26</v>
      </c>
    </row>
    <row r="69" spans="1:6" ht="18.75">
      <c r="A69" s="122"/>
      <c r="B69" s="134"/>
      <c r="C69" s="139"/>
      <c r="D69" s="136"/>
      <c r="E69" s="137"/>
      <c r="F69" s="138">
        <f>SUM(F67:F68)</f>
        <v>14293.48</v>
      </c>
    </row>
    <row r="70" spans="1:6" ht="18.75">
      <c r="A70" s="122"/>
      <c r="B70" s="124"/>
      <c r="C70" s="128" t="s">
        <v>4191</v>
      </c>
      <c r="D70" s="126"/>
      <c r="E70" s="126"/>
      <c r="F70" s="123">
        <v>400</v>
      </c>
    </row>
    <row r="71" spans="1:6" ht="18.75">
      <c r="A71" s="122"/>
      <c r="B71" s="124"/>
      <c r="C71" s="128" t="s">
        <v>4192</v>
      </c>
      <c r="D71" s="126"/>
      <c r="E71" s="126"/>
      <c r="F71" s="123">
        <v>400</v>
      </c>
    </row>
    <row r="72" spans="1:6" ht="18.75">
      <c r="A72" s="122"/>
      <c r="B72" s="124"/>
      <c r="C72" s="128"/>
      <c r="D72" s="126"/>
      <c r="E72" s="126"/>
      <c r="F72" s="130">
        <f>SUM(F69:F71)</f>
        <v>15093.48</v>
      </c>
    </row>
    <row r="73" spans="1:6" ht="18.75">
      <c r="A73" s="122"/>
      <c r="B73" s="157"/>
      <c r="C73" s="128"/>
      <c r="D73" s="126"/>
      <c r="E73" s="125" t="s">
        <v>5023</v>
      </c>
      <c r="F73" s="159">
        <v>15100</v>
      </c>
    </row>
  </sheetData>
  <pageMargins left="0.7" right="0.7" top="0.75" bottom="0.75" header="0.3" footer="0.3"/>
  <pageSetup paperSize="9" orientation="portrait" verticalDpi="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G2303"/>
  <sheetViews>
    <sheetView view="pageBreakPreview" topLeftCell="A2288" zoomScaleSheetLayoutView="100" workbookViewId="0">
      <selection activeCell="A2301" sqref="A2301:XFD2301"/>
    </sheetView>
  </sheetViews>
  <sheetFormatPr defaultRowHeight="15.75"/>
  <cols>
    <col min="1" max="1" width="9.109375" style="252" customWidth="1"/>
    <col min="2" max="2" width="8.88671875" style="252"/>
    <col min="3" max="3" width="41" style="1162" customWidth="1"/>
    <col min="4" max="4" width="10.21875" style="252" customWidth="1"/>
    <col min="5" max="5" width="8.88671875" style="252"/>
    <col min="6" max="6" width="11.33203125" style="252" customWidth="1"/>
    <col min="7" max="258" width="8.88671875" style="252"/>
    <col min="259" max="259" width="39.77734375" style="252" bestFit="1" customWidth="1"/>
    <col min="260" max="260" width="9.5546875" style="252" customWidth="1"/>
    <col min="261" max="261" width="8.88671875" style="252"/>
    <col min="262" max="262" width="10.77734375" style="252" customWidth="1"/>
    <col min="263" max="514" width="8.88671875" style="252"/>
    <col min="515" max="515" width="39.77734375" style="252" bestFit="1" customWidth="1"/>
    <col min="516" max="516" width="9.5546875" style="252" customWidth="1"/>
    <col min="517" max="517" width="8.88671875" style="252"/>
    <col min="518" max="518" width="10.77734375" style="252" customWidth="1"/>
    <col min="519" max="770" width="8.88671875" style="252"/>
    <col min="771" max="771" width="39.77734375" style="252" bestFit="1" customWidth="1"/>
    <col min="772" max="772" width="9.5546875" style="252" customWidth="1"/>
    <col min="773" max="773" width="8.88671875" style="252"/>
    <col min="774" max="774" width="10.77734375" style="252" customWidth="1"/>
    <col min="775" max="1026" width="8.88671875" style="252"/>
    <col min="1027" max="1027" width="39.77734375" style="252" bestFit="1" customWidth="1"/>
    <col min="1028" max="1028" width="9.5546875" style="252" customWidth="1"/>
    <col min="1029" max="1029" width="8.88671875" style="252"/>
    <col min="1030" max="1030" width="10.77734375" style="252" customWidth="1"/>
    <col min="1031" max="1282" width="8.88671875" style="252"/>
    <col min="1283" max="1283" width="39.77734375" style="252" bestFit="1" customWidth="1"/>
    <col min="1284" max="1284" width="9.5546875" style="252" customWidth="1"/>
    <col min="1285" max="1285" width="8.88671875" style="252"/>
    <col min="1286" max="1286" width="10.77734375" style="252" customWidth="1"/>
    <col min="1287" max="1538" width="8.88671875" style="252"/>
    <col min="1539" max="1539" width="39.77734375" style="252" bestFit="1" customWidth="1"/>
    <col min="1540" max="1540" width="9.5546875" style="252" customWidth="1"/>
    <col min="1541" max="1541" width="8.88671875" style="252"/>
    <col min="1542" max="1542" width="10.77734375" style="252" customWidth="1"/>
    <col min="1543" max="1794" width="8.88671875" style="252"/>
    <col min="1795" max="1795" width="39.77734375" style="252" bestFit="1" customWidth="1"/>
    <col min="1796" max="1796" width="9.5546875" style="252" customWidth="1"/>
    <col min="1797" max="1797" width="8.88671875" style="252"/>
    <col min="1798" max="1798" width="10.77734375" style="252" customWidth="1"/>
    <col min="1799" max="2050" width="8.88671875" style="252"/>
    <col min="2051" max="2051" width="39.77734375" style="252" bestFit="1" customWidth="1"/>
    <col min="2052" max="2052" width="9.5546875" style="252" customWidth="1"/>
    <col min="2053" max="2053" width="8.88671875" style="252"/>
    <col min="2054" max="2054" width="10.77734375" style="252" customWidth="1"/>
    <col min="2055" max="2306" width="8.88671875" style="252"/>
    <col min="2307" max="2307" width="39.77734375" style="252" bestFit="1" customWidth="1"/>
    <col min="2308" max="2308" width="9.5546875" style="252" customWidth="1"/>
    <col min="2309" max="2309" width="8.88671875" style="252"/>
    <col min="2310" max="2310" width="10.77734375" style="252" customWidth="1"/>
    <col min="2311" max="2562" width="8.88671875" style="252"/>
    <col min="2563" max="2563" width="39.77734375" style="252" bestFit="1" customWidth="1"/>
    <col min="2564" max="2564" width="9.5546875" style="252" customWidth="1"/>
    <col min="2565" max="2565" width="8.88671875" style="252"/>
    <col min="2566" max="2566" width="10.77734375" style="252" customWidth="1"/>
    <col min="2567" max="2818" width="8.88671875" style="252"/>
    <col min="2819" max="2819" width="39.77734375" style="252" bestFit="1" customWidth="1"/>
    <col min="2820" max="2820" width="9.5546875" style="252" customWidth="1"/>
    <col min="2821" max="2821" width="8.88671875" style="252"/>
    <col min="2822" max="2822" width="10.77734375" style="252" customWidth="1"/>
    <col min="2823" max="3074" width="8.88671875" style="252"/>
    <col min="3075" max="3075" width="39.77734375" style="252" bestFit="1" customWidth="1"/>
    <col min="3076" max="3076" width="9.5546875" style="252" customWidth="1"/>
    <col min="3077" max="3077" width="8.88671875" style="252"/>
    <col min="3078" max="3078" width="10.77734375" style="252" customWidth="1"/>
    <col min="3079" max="3330" width="8.88671875" style="252"/>
    <col min="3331" max="3331" width="39.77734375" style="252" bestFit="1" customWidth="1"/>
    <col min="3332" max="3332" width="9.5546875" style="252" customWidth="1"/>
    <col min="3333" max="3333" width="8.88671875" style="252"/>
    <col min="3334" max="3334" width="10.77734375" style="252" customWidth="1"/>
    <col min="3335" max="3586" width="8.88671875" style="252"/>
    <col min="3587" max="3587" width="39.77734375" style="252" bestFit="1" customWidth="1"/>
    <col min="3588" max="3588" width="9.5546875" style="252" customWidth="1"/>
    <col min="3589" max="3589" width="8.88671875" style="252"/>
    <col min="3590" max="3590" width="10.77734375" style="252" customWidth="1"/>
    <col min="3591" max="3842" width="8.88671875" style="252"/>
    <col min="3843" max="3843" width="39.77734375" style="252" bestFit="1" customWidth="1"/>
    <col min="3844" max="3844" width="9.5546875" style="252" customWidth="1"/>
    <col min="3845" max="3845" width="8.88671875" style="252"/>
    <col min="3846" max="3846" width="10.77734375" style="252" customWidth="1"/>
    <col min="3847" max="4098" width="8.88671875" style="252"/>
    <col min="4099" max="4099" width="39.77734375" style="252" bestFit="1" customWidth="1"/>
    <col min="4100" max="4100" width="9.5546875" style="252" customWidth="1"/>
    <col min="4101" max="4101" width="8.88671875" style="252"/>
    <col min="4102" max="4102" width="10.77734375" style="252" customWidth="1"/>
    <col min="4103" max="4354" width="8.88671875" style="252"/>
    <col min="4355" max="4355" width="39.77734375" style="252" bestFit="1" customWidth="1"/>
    <col min="4356" max="4356" width="9.5546875" style="252" customWidth="1"/>
    <col min="4357" max="4357" width="8.88671875" style="252"/>
    <col min="4358" max="4358" width="10.77734375" style="252" customWidth="1"/>
    <col min="4359" max="4610" width="8.88671875" style="252"/>
    <col min="4611" max="4611" width="39.77734375" style="252" bestFit="1" customWidth="1"/>
    <col min="4612" max="4612" width="9.5546875" style="252" customWidth="1"/>
    <col min="4613" max="4613" width="8.88671875" style="252"/>
    <col min="4614" max="4614" width="10.77734375" style="252" customWidth="1"/>
    <col min="4615" max="4866" width="8.88671875" style="252"/>
    <col min="4867" max="4867" width="39.77734375" style="252" bestFit="1" customWidth="1"/>
    <col min="4868" max="4868" width="9.5546875" style="252" customWidth="1"/>
    <col min="4869" max="4869" width="8.88671875" style="252"/>
    <col min="4870" max="4870" width="10.77734375" style="252" customWidth="1"/>
    <col min="4871" max="5122" width="8.88671875" style="252"/>
    <col min="5123" max="5123" width="39.77734375" style="252" bestFit="1" customWidth="1"/>
    <col min="5124" max="5124" width="9.5546875" style="252" customWidth="1"/>
    <col min="5125" max="5125" width="8.88671875" style="252"/>
    <col min="5126" max="5126" width="10.77734375" style="252" customWidth="1"/>
    <col min="5127" max="5378" width="8.88671875" style="252"/>
    <col min="5379" max="5379" width="39.77734375" style="252" bestFit="1" customWidth="1"/>
    <col min="5380" max="5380" width="9.5546875" style="252" customWidth="1"/>
    <col min="5381" max="5381" width="8.88671875" style="252"/>
    <col min="5382" max="5382" width="10.77734375" style="252" customWidth="1"/>
    <col min="5383" max="5634" width="8.88671875" style="252"/>
    <col min="5635" max="5635" width="39.77734375" style="252" bestFit="1" customWidth="1"/>
    <col min="5636" max="5636" width="9.5546875" style="252" customWidth="1"/>
    <col min="5637" max="5637" width="8.88671875" style="252"/>
    <col min="5638" max="5638" width="10.77734375" style="252" customWidth="1"/>
    <col min="5639" max="5890" width="8.88671875" style="252"/>
    <col min="5891" max="5891" width="39.77734375" style="252" bestFit="1" customWidth="1"/>
    <col min="5892" max="5892" width="9.5546875" style="252" customWidth="1"/>
    <col min="5893" max="5893" width="8.88671875" style="252"/>
    <col min="5894" max="5894" width="10.77734375" style="252" customWidth="1"/>
    <col min="5895" max="6146" width="8.88671875" style="252"/>
    <col min="6147" max="6147" width="39.77734375" style="252" bestFit="1" customWidth="1"/>
    <col min="6148" max="6148" width="9.5546875" style="252" customWidth="1"/>
    <col min="6149" max="6149" width="8.88671875" style="252"/>
    <col min="6150" max="6150" width="10.77734375" style="252" customWidth="1"/>
    <col min="6151" max="6402" width="8.88671875" style="252"/>
    <col min="6403" max="6403" width="39.77734375" style="252" bestFit="1" customWidth="1"/>
    <col min="6404" max="6404" width="9.5546875" style="252" customWidth="1"/>
    <col min="6405" max="6405" width="8.88671875" style="252"/>
    <col min="6406" max="6406" width="10.77734375" style="252" customWidth="1"/>
    <col min="6407" max="6658" width="8.88671875" style="252"/>
    <col min="6659" max="6659" width="39.77734375" style="252" bestFit="1" customWidth="1"/>
    <col min="6660" max="6660" width="9.5546875" style="252" customWidth="1"/>
    <col min="6661" max="6661" width="8.88671875" style="252"/>
    <col min="6662" max="6662" width="10.77734375" style="252" customWidth="1"/>
    <col min="6663" max="6914" width="8.88671875" style="252"/>
    <col min="6915" max="6915" width="39.77734375" style="252" bestFit="1" customWidth="1"/>
    <col min="6916" max="6916" width="9.5546875" style="252" customWidth="1"/>
    <col min="6917" max="6917" width="8.88671875" style="252"/>
    <col min="6918" max="6918" width="10.77734375" style="252" customWidth="1"/>
    <col min="6919" max="7170" width="8.88671875" style="252"/>
    <col min="7171" max="7171" width="39.77734375" style="252" bestFit="1" customWidth="1"/>
    <col min="7172" max="7172" width="9.5546875" style="252" customWidth="1"/>
    <col min="7173" max="7173" width="8.88671875" style="252"/>
    <col min="7174" max="7174" width="10.77734375" style="252" customWidth="1"/>
    <col min="7175" max="7426" width="8.88671875" style="252"/>
    <col min="7427" max="7427" width="39.77734375" style="252" bestFit="1" customWidth="1"/>
    <col min="7428" max="7428" width="9.5546875" style="252" customWidth="1"/>
    <col min="7429" max="7429" width="8.88671875" style="252"/>
    <col min="7430" max="7430" width="10.77734375" style="252" customWidth="1"/>
    <col min="7431" max="7682" width="8.88671875" style="252"/>
    <col min="7683" max="7683" width="39.77734375" style="252" bestFit="1" customWidth="1"/>
    <col min="7684" max="7684" width="9.5546875" style="252" customWidth="1"/>
    <col min="7685" max="7685" width="8.88671875" style="252"/>
    <col min="7686" max="7686" width="10.77734375" style="252" customWidth="1"/>
    <col min="7687" max="7938" width="8.88671875" style="252"/>
    <col min="7939" max="7939" width="39.77734375" style="252" bestFit="1" customWidth="1"/>
    <col min="7940" max="7940" width="9.5546875" style="252" customWidth="1"/>
    <col min="7941" max="7941" width="8.88671875" style="252"/>
    <col min="7942" max="7942" width="10.77734375" style="252" customWidth="1"/>
    <col min="7943" max="8194" width="8.88671875" style="252"/>
    <col min="8195" max="8195" width="39.77734375" style="252" bestFit="1" customWidth="1"/>
    <col min="8196" max="8196" width="9.5546875" style="252" customWidth="1"/>
    <col min="8197" max="8197" width="8.88671875" style="252"/>
    <col min="8198" max="8198" width="10.77734375" style="252" customWidth="1"/>
    <col min="8199" max="8450" width="8.88671875" style="252"/>
    <col min="8451" max="8451" width="39.77734375" style="252" bestFit="1" customWidth="1"/>
    <col min="8452" max="8452" width="9.5546875" style="252" customWidth="1"/>
    <col min="8453" max="8453" width="8.88671875" style="252"/>
    <col min="8454" max="8454" width="10.77734375" style="252" customWidth="1"/>
    <col min="8455" max="8706" width="8.88671875" style="252"/>
    <col min="8707" max="8707" width="39.77734375" style="252" bestFit="1" customWidth="1"/>
    <col min="8708" max="8708" width="9.5546875" style="252" customWidth="1"/>
    <col min="8709" max="8709" width="8.88671875" style="252"/>
    <col min="8710" max="8710" width="10.77734375" style="252" customWidth="1"/>
    <col min="8711" max="8962" width="8.88671875" style="252"/>
    <col min="8963" max="8963" width="39.77734375" style="252" bestFit="1" customWidth="1"/>
    <col min="8964" max="8964" width="9.5546875" style="252" customWidth="1"/>
    <col min="8965" max="8965" width="8.88671875" style="252"/>
    <col min="8966" max="8966" width="10.77734375" style="252" customWidth="1"/>
    <col min="8967" max="9218" width="8.88671875" style="252"/>
    <col min="9219" max="9219" width="39.77734375" style="252" bestFit="1" customWidth="1"/>
    <col min="9220" max="9220" width="9.5546875" style="252" customWidth="1"/>
    <col min="9221" max="9221" width="8.88671875" style="252"/>
    <col min="9222" max="9222" width="10.77734375" style="252" customWidth="1"/>
    <col min="9223" max="9474" width="8.88671875" style="252"/>
    <col min="9475" max="9475" width="39.77734375" style="252" bestFit="1" customWidth="1"/>
    <col min="9476" max="9476" width="9.5546875" style="252" customWidth="1"/>
    <col min="9477" max="9477" width="8.88671875" style="252"/>
    <col min="9478" max="9478" width="10.77734375" style="252" customWidth="1"/>
    <col min="9479" max="9730" width="8.88671875" style="252"/>
    <col min="9731" max="9731" width="39.77734375" style="252" bestFit="1" customWidth="1"/>
    <col min="9732" max="9732" width="9.5546875" style="252" customWidth="1"/>
    <col min="9733" max="9733" width="8.88671875" style="252"/>
    <col min="9734" max="9734" width="10.77734375" style="252" customWidth="1"/>
    <col min="9735" max="9986" width="8.88671875" style="252"/>
    <col min="9987" max="9987" width="39.77734375" style="252" bestFit="1" customWidth="1"/>
    <col min="9988" max="9988" width="9.5546875" style="252" customWidth="1"/>
    <col min="9989" max="9989" width="8.88671875" style="252"/>
    <col min="9990" max="9990" width="10.77734375" style="252" customWidth="1"/>
    <col min="9991" max="10242" width="8.88671875" style="252"/>
    <col min="10243" max="10243" width="39.77734375" style="252" bestFit="1" customWidth="1"/>
    <col min="10244" max="10244" width="9.5546875" style="252" customWidth="1"/>
    <col min="10245" max="10245" width="8.88671875" style="252"/>
    <col min="10246" max="10246" width="10.77734375" style="252" customWidth="1"/>
    <col min="10247" max="10498" width="8.88671875" style="252"/>
    <col min="10499" max="10499" width="39.77734375" style="252" bestFit="1" customWidth="1"/>
    <col min="10500" max="10500" width="9.5546875" style="252" customWidth="1"/>
    <col min="10501" max="10501" width="8.88671875" style="252"/>
    <col min="10502" max="10502" width="10.77734375" style="252" customWidth="1"/>
    <col min="10503" max="10754" width="8.88671875" style="252"/>
    <col min="10755" max="10755" width="39.77734375" style="252" bestFit="1" customWidth="1"/>
    <col min="10756" max="10756" width="9.5546875" style="252" customWidth="1"/>
    <col min="10757" max="10757" width="8.88671875" style="252"/>
    <col min="10758" max="10758" width="10.77734375" style="252" customWidth="1"/>
    <col min="10759" max="11010" width="8.88671875" style="252"/>
    <col min="11011" max="11011" width="39.77734375" style="252" bestFit="1" customWidth="1"/>
    <col min="11012" max="11012" width="9.5546875" style="252" customWidth="1"/>
    <col min="11013" max="11013" width="8.88671875" style="252"/>
    <col min="11014" max="11014" width="10.77734375" style="252" customWidth="1"/>
    <col min="11015" max="11266" width="8.88671875" style="252"/>
    <col min="11267" max="11267" width="39.77734375" style="252" bestFit="1" customWidth="1"/>
    <col min="11268" max="11268" width="9.5546875" style="252" customWidth="1"/>
    <col min="11269" max="11269" width="8.88671875" style="252"/>
    <col min="11270" max="11270" width="10.77734375" style="252" customWidth="1"/>
    <col min="11271" max="11522" width="8.88671875" style="252"/>
    <col min="11523" max="11523" width="39.77734375" style="252" bestFit="1" customWidth="1"/>
    <col min="11524" max="11524" width="9.5546875" style="252" customWidth="1"/>
    <col min="11525" max="11525" width="8.88671875" style="252"/>
    <col min="11526" max="11526" width="10.77734375" style="252" customWidth="1"/>
    <col min="11527" max="11778" width="8.88671875" style="252"/>
    <col min="11779" max="11779" width="39.77734375" style="252" bestFit="1" customWidth="1"/>
    <col min="11780" max="11780" width="9.5546875" style="252" customWidth="1"/>
    <col min="11781" max="11781" width="8.88671875" style="252"/>
    <col min="11782" max="11782" width="10.77734375" style="252" customWidth="1"/>
    <col min="11783" max="12034" width="8.88671875" style="252"/>
    <col min="12035" max="12035" width="39.77734375" style="252" bestFit="1" customWidth="1"/>
    <col min="12036" max="12036" width="9.5546875" style="252" customWidth="1"/>
    <col min="12037" max="12037" width="8.88671875" style="252"/>
    <col min="12038" max="12038" width="10.77734375" style="252" customWidth="1"/>
    <col min="12039" max="12290" width="8.88671875" style="252"/>
    <col min="12291" max="12291" width="39.77734375" style="252" bestFit="1" customWidth="1"/>
    <col min="12292" max="12292" width="9.5546875" style="252" customWidth="1"/>
    <col min="12293" max="12293" width="8.88671875" style="252"/>
    <col min="12294" max="12294" width="10.77734375" style="252" customWidth="1"/>
    <col min="12295" max="12546" width="8.88671875" style="252"/>
    <col min="12547" max="12547" width="39.77734375" style="252" bestFit="1" customWidth="1"/>
    <col min="12548" max="12548" width="9.5546875" style="252" customWidth="1"/>
    <col min="12549" max="12549" width="8.88671875" style="252"/>
    <col min="12550" max="12550" width="10.77734375" style="252" customWidth="1"/>
    <col min="12551" max="12802" width="8.88671875" style="252"/>
    <col min="12803" max="12803" width="39.77734375" style="252" bestFit="1" customWidth="1"/>
    <col min="12804" max="12804" width="9.5546875" style="252" customWidth="1"/>
    <col min="12805" max="12805" width="8.88671875" style="252"/>
    <col min="12806" max="12806" width="10.77734375" style="252" customWidth="1"/>
    <col min="12807" max="13058" width="8.88671875" style="252"/>
    <col min="13059" max="13059" width="39.77734375" style="252" bestFit="1" customWidth="1"/>
    <col min="13060" max="13060" width="9.5546875" style="252" customWidth="1"/>
    <col min="13061" max="13061" width="8.88671875" style="252"/>
    <col min="13062" max="13062" width="10.77734375" style="252" customWidth="1"/>
    <col min="13063" max="13314" width="8.88671875" style="252"/>
    <col min="13315" max="13315" width="39.77734375" style="252" bestFit="1" customWidth="1"/>
    <col min="13316" max="13316" width="9.5546875" style="252" customWidth="1"/>
    <col min="13317" max="13317" width="8.88671875" style="252"/>
    <col min="13318" max="13318" width="10.77734375" style="252" customWidth="1"/>
    <col min="13319" max="13570" width="8.88671875" style="252"/>
    <col min="13571" max="13571" width="39.77734375" style="252" bestFit="1" customWidth="1"/>
    <col min="13572" max="13572" width="9.5546875" style="252" customWidth="1"/>
    <col min="13573" max="13573" width="8.88671875" style="252"/>
    <col min="13574" max="13574" width="10.77734375" style="252" customWidth="1"/>
    <col min="13575" max="13826" width="8.88671875" style="252"/>
    <col min="13827" max="13827" width="39.77734375" style="252" bestFit="1" customWidth="1"/>
    <col min="13828" max="13828" width="9.5546875" style="252" customWidth="1"/>
    <col min="13829" max="13829" width="8.88671875" style="252"/>
    <col min="13830" max="13830" width="10.77734375" style="252" customWidth="1"/>
    <col min="13831" max="14082" width="8.88671875" style="252"/>
    <col min="14083" max="14083" width="39.77734375" style="252" bestFit="1" customWidth="1"/>
    <col min="14084" max="14084" width="9.5546875" style="252" customWidth="1"/>
    <col min="14085" max="14085" width="8.88671875" style="252"/>
    <col min="14086" max="14086" width="10.77734375" style="252" customWidth="1"/>
    <col min="14087" max="14338" width="8.88671875" style="252"/>
    <col min="14339" max="14339" width="39.77734375" style="252" bestFit="1" customWidth="1"/>
    <col min="14340" max="14340" width="9.5546875" style="252" customWidth="1"/>
    <col min="14341" max="14341" width="8.88671875" style="252"/>
    <col min="14342" max="14342" width="10.77734375" style="252" customWidth="1"/>
    <col min="14343" max="14594" width="8.88671875" style="252"/>
    <col min="14595" max="14595" width="39.77734375" style="252" bestFit="1" customWidth="1"/>
    <col min="14596" max="14596" width="9.5546875" style="252" customWidth="1"/>
    <col min="14597" max="14597" width="8.88671875" style="252"/>
    <col min="14598" max="14598" width="10.77734375" style="252" customWidth="1"/>
    <col min="14599" max="14850" width="8.88671875" style="252"/>
    <col min="14851" max="14851" width="39.77734375" style="252" bestFit="1" customWidth="1"/>
    <col min="14852" max="14852" width="9.5546875" style="252" customWidth="1"/>
    <col min="14853" max="14853" width="8.88671875" style="252"/>
    <col min="14854" max="14854" width="10.77734375" style="252" customWidth="1"/>
    <col min="14855" max="15106" width="8.88671875" style="252"/>
    <col min="15107" max="15107" width="39.77734375" style="252" bestFit="1" customWidth="1"/>
    <col min="15108" max="15108" width="9.5546875" style="252" customWidth="1"/>
    <col min="15109" max="15109" width="8.88671875" style="252"/>
    <col min="15110" max="15110" width="10.77734375" style="252" customWidth="1"/>
    <col min="15111" max="15362" width="8.88671875" style="252"/>
    <col min="15363" max="15363" width="39.77734375" style="252" bestFit="1" customWidth="1"/>
    <col min="15364" max="15364" width="9.5546875" style="252" customWidth="1"/>
    <col min="15365" max="15365" width="8.88671875" style="252"/>
    <col min="15366" max="15366" width="10.77734375" style="252" customWidth="1"/>
    <col min="15367" max="15618" width="8.88671875" style="252"/>
    <col min="15619" max="15619" width="39.77734375" style="252" bestFit="1" customWidth="1"/>
    <col min="15620" max="15620" width="9.5546875" style="252" customWidth="1"/>
    <col min="15621" max="15621" width="8.88671875" style="252"/>
    <col min="15622" max="15622" width="10.77734375" style="252" customWidth="1"/>
    <col min="15623" max="15874" width="8.88671875" style="252"/>
    <col min="15875" max="15875" width="39.77734375" style="252" bestFit="1" customWidth="1"/>
    <col min="15876" max="15876" width="9.5546875" style="252" customWidth="1"/>
    <col min="15877" max="15877" width="8.88671875" style="252"/>
    <col min="15878" max="15878" width="10.77734375" style="252" customWidth="1"/>
    <col min="15879" max="16130" width="8.88671875" style="252"/>
    <col min="16131" max="16131" width="39.77734375" style="252" bestFit="1" customWidth="1"/>
    <col min="16132" max="16132" width="9.5546875" style="252" customWidth="1"/>
    <col min="16133" max="16133" width="8.88671875" style="252"/>
    <col min="16134" max="16134" width="10.77734375" style="252" customWidth="1"/>
    <col min="16135" max="16384" width="8.88671875" style="252"/>
  </cols>
  <sheetData>
    <row r="1" spans="1:6">
      <c r="C1" s="1161" t="s">
        <v>245</v>
      </c>
      <c r="E1" s="296"/>
    </row>
    <row r="2" spans="1:6">
      <c r="C2" s="1162" t="s">
        <v>649</v>
      </c>
      <c r="E2" s="296"/>
    </row>
    <row r="3" spans="1:6">
      <c r="A3" s="1204" t="s">
        <v>1578</v>
      </c>
      <c r="B3" s="252" t="s">
        <v>971</v>
      </c>
      <c r="C3" s="1161" t="str">
        <f>DATA!O3</f>
        <v>CUDDALORE</v>
      </c>
      <c r="E3" s="276"/>
    </row>
    <row r="4" spans="1:6">
      <c r="A4" s="358" t="s">
        <v>1579</v>
      </c>
      <c r="B4" s="358" t="s">
        <v>1579</v>
      </c>
      <c r="C4" s="1162" t="s">
        <v>1579</v>
      </c>
      <c r="D4" s="358" t="s">
        <v>1579</v>
      </c>
      <c r="E4" s="358" t="s">
        <v>1579</v>
      </c>
      <c r="F4" s="358" t="s">
        <v>1579</v>
      </c>
    </row>
    <row r="5" spans="1:6">
      <c r="A5" s="1204" t="s">
        <v>1581</v>
      </c>
      <c r="B5" s="252" t="s">
        <v>971</v>
      </c>
      <c r="C5" s="1161" t="s">
        <v>1582</v>
      </c>
      <c r="D5" s="1207" t="s">
        <v>1583</v>
      </c>
      <c r="E5" s="1207" t="s">
        <v>1584</v>
      </c>
      <c r="F5" s="1207" t="s">
        <v>1585</v>
      </c>
    </row>
    <row r="6" spans="1:6">
      <c r="A6" s="358" t="s">
        <v>1579</v>
      </c>
      <c r="B6" s="358" t="s">
        <v>1579</v>
      </c>
      <c r="C6" s="1162" t="s">
        <v>1579</v>
      </c>
      <c r="D6" s="358" t="s">
        <v>1579</v>
      </c>
      <c r="E6" s="358" t="s">
        <v>1579</v>
      </c>
      <c r="F6" s="358" t="s">
        <v>1579</v>
      </c>
    </row>
    <row r="7" spans="1:6">
      <c r="E7" s="296"/>
    </row>
    <row r="8" spans="1:6">
      <c r="B8" s="252" t="s">
        <v>2241</v>
      </c>
      <c r="C8" s="1162" t="s">
        <v>2242</v>
      </c>
      <c r="E8" s="296"/>
    </row>
    <row r="9" spans="1:6">
      <c r="C9" s="1162" t="s">
        <v>1579</v>
      </c>
      <c r="E9" s="296"/>
    </row>
    <row r="10" spans="1:6">
      <c r="A10" s="252">
        <v>0.96</v>
      </c>
      <c r="B10" s="252" t="s">
        <v>858</v>
      </c>
      <c r="C10" s="1162" t="s">
        <v>859</v>
      </c>
      <c r="D10" s="252">
        <v>6040</v>
      </c>
      <c r="E10" s="296" t="s">
        <v>858</v>
      </c>
      <c r="F10" s="252">
        <v>5798.4</v>
      </c>
    </row>
    <row r="11" spans="1:6">
      <c r="A11" s="252">
        <v>1</v>
      </c>
      <c r="B11" s="252" t="s">
        <v>866</v>
      </c>
      <c r="C11" s="1162" t="s">
        <v>867</v>
      </c>
      <c r="D11" s="252">
        <v>1846.1</v>
      </c>
      <c r="E11" s="296" t="s">
        <v>866</v>
      </c>
      <c r="F11" s="252">
        <v>1846.1</v>
      </c>
    </row>
    <row r="12" spans="1:6">
      <c r="A12" s="252">
        <v>1</v>
      </c>
      <c r="B12" s="252" t="s">
        <v>866</v>
      </c>
      <c r="C12" s="1162" t="s">
        <v>871</v>
      </c>
      <c r="D12" s="252">
        <v>116</v>
      </c>
      <c r="E12" s="296" t="s">
        <v>866</v>
      </c>
      <c r="F12" s="252">
        <v>116</v>
      </c>
    </row>
    <row r="13" spans="1:6">
      <c r="B13" s="252" t="s">
        <v>446</v>
      </c>
      <c r="C13" s="1162" t="s">
        <v>447</v>
      </c>
      <c r="D13" s="252" t="s">
        <v>971</v>
      </c>
      <c r="E13" s="296" t="s">
        <v>446</v>
      </c>
      <c r="F13" s="358">
        <v>0</v>
      </c>
    </row>
    <row r="14" spans="1:6">
      <c r="E14" s="296"/>
      <c r="F14" s="252" t="s">
        <v>1579</v>
      </c>
    </row>
    <row r="15" spans="1:6">
      <c r="C15" s="1162" t="s">
        <v>1509</v>
      </c>
      <c r="E15" s="296"/>
      <c r="F15" s="358">
        <v>7760.5</v>
      </c>
    </row>
    <row r="16" spans="1:6">
      <c r="E16" s="296"/>
      <c r="F16" s="252" t="s">
        <v>1579</v>
      </c>
    </row>
    <row r="17" spans="1:6">
      <c r="B17" s="252" t="s">
        <v>2241</v>
      </c>
      <c r="C17" s="1162" t="s">
        <v>119</v>
      </c>
      <c r="E17" s="296"/>
    </row>
    <row r="18" spans="1:6">
      <c r="C18" s="1162" t="s">
        <v>1579</v>
      </c>
      <c r="E18" s="296"/>
    </row>
    <row r="19" spans="1:6">
      <c r="A19" s="252">
        <v>0.72</v>
      </c>
      <c r="B19" s="252" t="s">
        <v>858</v>
      </c>
      <c r="C19" s="1162" t="s">
        <v>859</v>
      </c>
      <c r="D19" s="252">
        <v>6040</v>
      </c>
      <c r="E19" s="296" t="s">
        <v>858</v>
      </c>
      <c r="F19" s="252">
        <v>4348.8</v>
      </c>
    </row>
    <row r="20" spans="1:6">
      <c r="A20" s="252">
        <v>1</v>
      </c>
      <c r="B20" s="252" t="s">
        <v>866</v>
      </c>
      <c r="C20" s="1162" t="s">
        <v>867</v>
      </c>
      <c r="D20" s="252">
        <v>1846.1</v>
      </c>
      <c r="E20" s="296" t="s">
        <v>866</v>
      </c>
      <c r="F20" s="252">
        <v>1846.1</v>
      </c>
    </row>
    <row r="21" spans="1:6">
      <c r="A21" s="252">
        <v>1</v>
      </c>
      <c r="B21" s="252" t="s">
        <v>866</v>
      </c>
      <c r="C21" s="1162" t="s">
        <v>871</v>
      </c>
      <c r="D21" s="252">
        <v>116</v>
      </c>
      <c r="E21" s="296" t="s">
        <v>866</v>
      </c>
      <c r="F21" s="252">
        <v>116</v>
      </c>
    </row>
    <row r="22" spans="1:6">
      <c r="B22" s="252" t="s">
        <v>446</v>
      </c>
      <c r="C22" s="1162" t="s">
        <v>447</v>
      </c>
      <c r="D22" s="252" t="s">
        <v>971</v>
      </c>
      <c r="E22" s="296" t="s">
        <v>446</v>
      </c>
      <c r="F22" s="358">
        <v>0</v>
      </c>
    </row>
    <row r="23" spans="1:6">
      <c r="E23" s="296"/>
      <c r="F23" s="252" t="s">
        <v>1579</v>
      </c>
    </row>
    <row r="24" spans="1:6">
      <c r="C24" s="1162" t="s">
        <v>1509</v>
      </c>
      <c r="E24" s="296"/>
      <c r="F24" s="358">
        <v>6310.9</v>
      </c>
    </row>
    <row r="25" spans="1:6">
      <c r="E25" s="296"/>
      <c r="F25" s="252" t="s">
        <v>1579</v>
      </c>
    </row>
    <row r="26" spans="1:6">
      <c r="B26" s="252" t="s">
        <v>2241</v>
      </c>
      <c r="C26" s="1162" t="s">
        <v>1348</v>
      </c>
      <c r="E26" s="296"/>
    </row>
    <row r="27" spans="1:6">
      <c r="C27" s="1162" t="s">
        <v>1579</v>
      </c>
      <c r="E27" s="296"/>
    </row>
    <row r="28" spans="1:6">
      <c r="A28" s="252">
        <v>0.48</v>
      </c>
      <c r="B28" s="252" t="s">
        <v>858</v>
      </c>
      <c r="C28" s="1162" t="s">
        <v>859</v>
      </c>
      <c r="D28" s="252">
        <v>6040</v>
      </c>
      <c r="E28" s="296" t="s">
        <v>858</v>
      </c>
      <c r="F28" s="252">
        <v>2899.2</v>
      </c>
    </row>
    <row r="29" spans="1:6">
      <c r="A29" s="252">
        <v>1</v>
      </c>
      <c r="B29" s="252" t="s">
        <v>866</v>
      </c>
      <c r="C29" s="1162" t="s">
        <v>867</v>
      </c>
      <c r="D29" s="252">
        <v>1846.1</v>
      </c>
      <c r="E29" s="296" t="s">
        <v>866</v>
      </c>
      <c r="F29" s="252">
        <v>1846.1</v>
      </c>
    </row>
    <row r="30" spans="1:6">
      <c r="A30" s="252">
        <v>1</v>
      </c>
      <c r="B30" s="252" t="s">
        <v>866</v>
      </c>
      <c r="C30" s="1162" t="s">
        <v>871</v>
      </c>
      <c r="D30" s="252">
        <v>116</v>
      </c>
      <c r="E30" s="296" t="s">
        <v>866</v>
      </c>
      <c r="F30" s="252">
        <v>116</v>
      </c>
    </row>
    <row r="31" spans="1:6">
      <c r="B31" s="252" t="s">
        <v>446</v>
      </c>
      <c r="C31" s="1162" t="s">
        <v>447</v>
      </c>
      <c r="D31" s="252" t="s">
        <v>971</v>
      </c>
      <c r="E31" s="296" t="s">
        <v>446</v>
      </c>
      <c r="F31" s="358">
        <v>0</v>
      </c>
    </row>
    <row r="32" spans="1:6">
      <c r="E32" s="296"/>
      <c r="F32" s="252" t="s">
        <v>1579</v>
      </c>
    </row>
    <row r="33" spans="1:6">
      <c r="C33" s="1162" t="s">
        <v>1509</v>
      </c>
      <c r="E33" s="296"/>
      <c r="F33" s="358">
        <v>4861.3</v>
      </c>
    </row>
    <row r="34" spans="1:6">
      <c r="E34" s="296"/>
      <c r="F34" s="252" t="s">
        <v>1579</v>
      </c>
    </row>
    <row r="35" spans="1:6">
      <c r="B35" s="252" t="s">
        <v>2241</v>
      </c>
      <c r="C35" s="1162" t="s">
        <v>1302</v>
      </c>
      <c r="E35" s="296"/>
    </row>
    <row r="36" spans="1:6">
      <c r="A36" s="252">
        <v>0.36</v>
      </c>
      <c r="B36" s="252" t="s">
        <v>858</v>
      </c>
      <c r="C36" s="1162" t="s">
        <v>859</v>
      </c>
      <c r="D36" s="252">
        <v>6040</v>
      </c>
      <c r="E36" s="296" t="s">
        <v>858</v>
      </c>
      <c r="F36" s="252">
        <v>2174.4</v>
      </c>
    </row>
    <row r="37" spans="1:6">
      <c r="A37" s="252">
        <v>1</v>
      </c>
      <c r="B37" s="252" t="s">
        <v>866</v>
      </c>
      <c r="C37" s="1162" t="s">
        <v>867</v>
      </c>
      <c r="D37" s="252">
        <v>1846.1</v>
      </c>
      <c r="E37" s="296" t="s">
        <v>866</v>
      </c>
      <c r="F37" s="252">
        <v>1846.1</v>
      </c>
    </row>
    <row r="38" spans="1:6">
      <c r="A38" s="252">
        <v>1</v>
      </c>
      <c r="B38" s="252" t="s">
        <v>866</v>
      </c>
      <c r="C38" s="1162" t="s">
        <v>871</v>
      </c>
      <c r="D38" s="252">
        <v>116</v>
      </c>
      <c r="E38" s="296" t="s">
        <v>866</v>
      </c>
      <c r="F38" s="252">
        <v>116</v>
      </c>
    </row>
    <row r="39" spans="1:6">
      <c r="B39" s="252" t="s">
        <v>446</v>
      </c>
      <c r="C39" s="1162" t="s">
        <v>447</v>
      </c>
      <c r="D39" s="252" t="s">
        <v>971</v>
      </c>
      <c r="E39" s="296" t="s">
        <v>446</v>
      </c>
      <c r="F39" s="358">
        <v>0</v>
      </c>
    </row>
    <row r="40" spans="1:6">
      <c r="E40" s="296"/>
      <c r="F40" s="252" t="s">
        <v>1579</v>
      </c>
    </row>
    <row r="41" spans="1:6">
      <c r="C41" s="1162" t="s">
        <v>1509</v>
      </c>
      <c r="E41" s="296"/>
      <c r="F41" s="358">
        <v>4136.5</v>
      </c>
    </row>
    <row r="42" spans="1:6">
      <c r="E42" s="296"/>
      <c r="F42" s="252" t="s">
        <v>1579</v>
      </c>
    </row>
    <row r="43" spans="1:6">
      <c r="B43" s="252" t="s">
        <v>2241</v>
      </c>
      <c r="C43" s="1162" t="s">
        <v>1617</v>
      </c>
      <c r="E43" s="296"/>
    </row>
    <row r="44" spans="1:6">
      <c r="A44" s="356"/>
      <c r="C44" s="1162" t="s">
        <v>1579</v>
      </c>
      <c r="E44" s="296"/>
    </row>
    <row r="45" spans="1:6">
      <c r="A45" s="252">
        <v>0.28799999999999998</v>
      </c>
      <c r="B45" s="252" t="s">
        <v>858</v>
      </c>
      <c r="C45" s="1162" t="s">
        <v>859</v>
      </c>
      <c r="D45" s="252">
        <v>6040</v>
      </c>
      <c r="E45" s="296" t="s">
        <v>858</v>
      </c>
      <c r="F45" s="252">
        <v>1739.52</v>
      </c>
    </row>
    <row r="46" spans="1:6">
      <c r="A46" s="252">
        <v>1</v>
      </c>
      <c r="B46" s="252" t="s">
        <v>866</v>
      </c>
      <c r="C46" s="1162" t="s">
        <v>867</v>
      </c>
      <c r="D46" s="252">
        <v>1846.1</v>
      </c>
      <c r="E46" s="296" t="s">
        <v>866</v>
      </c>
      <c r="F46" s="252">
        <v>1846.1</v>
      </c>
    </row>
    <row r="47" spans="1:6">
      <c r="A47" s="252">
        <v>1</v>
      </c>
      <c r="B47" s="252" t="s">
        <v>866</v>
      </c>
      <c r="C47" s="1162" t="s">
        <v>871</v>
      </c>
      <c r="D47" s="252">
        <v>116</v>
      </c>
      <c r="E47" s="296" t="s">
        <v>866</v>
      </c>
      <c r="F47" s="252">
        <v>116</v>
      </c>
    </row>
    <row r="48" spans="1:6">
      <c r="B48" s="252" t="s">
        <v>446</v>
      </c>
      <c r="C48" s="1162" t="s">
        <v>447</v>
      </c>
      <c r="D48" s="252" t="s">
        <v>971</v>
      </c>
      <c r="E48" s="296" t="s">
        <v>446</v>
      </c>
      <c r="F48" s="358">
        <v>0</v>
      </c>
    </row>
    <row r="49" spans="1:6">
      <c r="E49" s="296"/>
      <c r="F49" s="252" t="s">
        <v>1579</v>
      </c>
    </row>
    <row r="50" spans="1:6">
      <c r="C50" s="1162" t="s">
        <v>1509</v>
      </c>
      <c r="E50" s="296"/>
      <c r="F50" s="358">
        <v>3701.62</v>
      </c>
    </row>
    <row r="51" spans="1:6">
      <c r="E51" s="296"/>
      <c r="F51" s="252" t="s">
        <v>1579</v>
      </c>
    </row>
    <row r="52" spans="1:6">
      <c r="B52" s="252" t="s">
        <v>2241</v>
      </c>
      <c r="C52" s="1162" t="s">
        <v>1623</v>
      </c>
      <c r="E52" s="296"/>
    </row>
    <row r="53" spans="1:6">
      <c r="C53" s="1162" t="s">
        <v>1579</v>
      </c>
      <c r="E53" s="296"/>
    </row>
    <row r="54" spans="1:6">
      <c r="A54" s="252">
        <v>0.24</v>
      </c>
      <c r="B54" s="252" t="s">
        <v>858</v>
      </c>
      <c r="C54" s="1162" t="s">
        <v>859</v>
      </c>
      <c r="D54" s="252">
        <v>6040</v>
      </c>
      <c r="E54" s="296" t="s">
        <v>858</v>
      </c>
      <c r="F54" s="252">
        <v>1449.6</v>
      </c>
    </row>
    <row r="55" spans="1:6">
      <c r="A55" s="252">
        <v>1</v>
      </c>
      <c r="B55" s="252" t="s">
        <v>866</v>
      </c>
      <c r="C55" s="1162" t="s">
        <v>867</v>
      </c>
      <c r="D55" s="252">
        <v>1846.1</v>
      </c>
      <c r="E55" s="296" t="s">
        <v>866</v>
      </c>
      <c r="F55" s="252">
        <v>1846.1</v>
      </c>
    </row>
    <row r="56" spans="1:6">
      <c r="A56" s="252">
        <v>1</v>
      </c>
      <c r="B56" s="252" t="s">
        <v>866</v>
      </c>
      <c r="C56" s="1162" t="s">
        <v>871</v>
      </c>
      <c r="D56" s="252">
        <v>116</v>
      </c>
      <c r="E56" s="296" t="s">
        <v>866</v>
      </c>
      <c r="F56" s="252">
        <v>116</v>
      </c>
    </row>
    <row r="57" spans="1:6">
      <c r="B57" s="252" t="s">
        <v>446</v>
      </c>
      <c r="C57" s="1162" t="s">
        <v>447</v>
      </c>
      <c r="D57" s="252" t="s">
        <v>971</v>
      </c>
      <c r="E57" s="296" t="s">
        <v>446</v>
      </c>
      <c r="F57" s="252">
        <v>0</v>
      </c>
    </row>
    <row r="58" spans="1:6">
      <c r="A58" s="356"/>
      <c r="E58" s="296"/>
      <c r="F58" s="252" t="s">
        <v>1579</v>
      </c>
    </row>
    <row r="59" spans="1:6">
      <c r="C59" s="1162" t="s">
        <v>1509</v>
      </c>
      <c r="E59" s="296"/>
      <c r="F59" s="252">
        <v>3411.7</v>
      </c>
    </row>
    <row r="60" spans="1:6">
      <c r="A60" s="252" t="s">
        <v>971</v>
      </c>
      <c r="E60" s="296"/>
    </row>
    <row r="61" spans="1:6">
      <c r="E61" s="296"/>
      <c r="F61" s="252" t="s">
        <v>1579</v>
      </c>
    </row>
    <row r="62" spans="1:6">
      <c r="B62" s="252" t="s">
        <v>2241</v>
      </c>
      <c r="C62" s="1162" t="s">
        <v>2070</v>
      </c>
      <c r="E62" s="296"/>
      <c r="F62" s="358"/>
    </row>
    <row r="63" spans="1:6">
      <c r="A63" s="375"/>
      <c r="C63" s="1162" t="s">
        <v>1579</v>
      </c>
      <c r="E63" s="296"/>
    </row>
    <row r="64" spans="1:6">
      <c r="A64" s="252">
        <v>0.20599999999999999</v>
      </c>
      <c r="B64" s="252" t="s">
        <v>858</v>
      </c>
      <c r="C64" s="1162" t="s">
        <v>859</v>
      </c>
      <c r="D64" s="252">
        <v>6040</v>
      </c>
      <c r="E64" s="296" t="s">
        <v>858</v>
      </c>
      <c r="F64" s="252">
        <v>1244.24</v>
      </c>
    </row>
    <row r="65" spans="1:6">
      <c r="A65" s="252">
        <v>1</v>
      </c>
      <c r="B65" s="252" t="s">
        <v>866</v>
      </c>
      <c r="C65" s="1162" t="s">
        <v>867</v>
      </c>
      <c r="D65" s="252">
        <v>1846.1</v>
      </c>
      <c r="E65" s="296" t="s">
        <v>866</v>
      </c>
      <c r="F65" s="252">
        <v>1846.1</v>
      </c>
    </row>
    <row r="66" spans="1:6">
      <c r="A66" s="252">
        <v>1</v>
      </c>
      <c r="B66" s="252" t="s">
        <v>866</v>
      </c>
      <c r="C66" s="1162" t="s">
        <v>871</v>
      </c>
      <c r="D66" s="358">
        <v>116</v>
      </c>
      <c r="E66" s="296" t="s">
        <v>866</v>
      </c>
      <c r="F66" s="252">
        <v>116</v>
      </c>
    </row>
    <row r="67" spans="1:6">
      <c r="B67" s="252" t="s">
        <v>446</v>
      </c>
      <c r="C67" s="1162" t="s">
        <v>447</v>
      </c>
      <c r="D67" s="252" t="s">
        <v>971</v>
      </c>
      <c r="E67" s="296" t="s">
        <v>446</v>
      </c>
      <c r="F67" s="252">
        <v>0</v>
      </c>
    </row>
    <row r="68" spans="1:6">
      <c r="E68" s="296"/>
      <c r="F68" s="252" t="s">
        <v>1579</v>
      </c>
    </row>
    <row r="69" spans="1:6">
      <c r="C69" s="1162" t="s">
        <v>1509</v>
      </c>
      <c r="E69" s="296"/>
      <c r="F69" s="296">
        <v>3206.34</v>
      </c>
    </row>
    <row r="70" spans="1:6">
      <c r="E70" s="296"/>
      <c r="F70" s="252" t="s">
        <v>1579</v>
      </c>
    </row>
    <row r="71" spans="1:6">
      <c r="B71" s="252" t="s">
        <v>2241</v>
      </c>
      <c r="C71" s="1162" t="s">
        <v>1624</v>
      </c>
      <c r="E71" s="296"/>
    </row>
    <row r="72" spans="1:6">
      <c r="C72" s="1162" t="s">
        <v>1579</v>
      </c>
      <c r="E72" s="296"/>
    </row>
    <row r="73" spans="1:6">
      <c r="A73" s="252">
        <v>0.18</v>
      </c>
      <c r="B73" s="252" t="s">
        <v>858</v>
      </c>
      <c r="C73" s="1162" t="s">
        <v>859</v>
      </c>
      <c r="D73" s="252">
        <v>6040</v>
      </c>
      <c r="E73" s="296" t="s">
        <v>858</v>
      </c>
      <c r="F73" s="252">
        <v>1087.2</v>
      </c>
    </row>
    <row r="74" spans="1:6">
      <c r="A74" s="356">
        <v>1</v>
      </c>
      <c r="B74" s="252" t="s">
        <v>866</v>
      </c>
      <c r="C74" s="1162" t="s">
        <v>867</v>
      </c>
      <c r="D74" s="252">
        <v>1846.1</v>
      </c>
      <c r="E74" s="296" t="s">
        <v>866</v>
      </c>
      <c r="F74" s="252">
        <v>1846.1</v>
      </c>
    </row>
    <row r="75" spans="1:6">
      <c r="A75" s="356">
        <v>1</v>
      </c>
      <c r="B75" s="252" t="s">
        <v>866</v>
      </c>
      <c r="C75" s="1162" t="s">
        <v>871</v>
      </c>
      <c r="D75" s="252">
        <v>116</v>
      </c>
      <c r="E75" s="296" t="s">
        <v>866</v>
      </c>
      <c r="F75" s="252">
        <v>116</v>
      </c>
    </row>
    <row r="76" spans="1:6">
      <c r="B76" s="252" t="s">
        <v>446</v>
      </c>
      <c r="C76" s="1162" t="s">
        <v>447</v>
      </c>
      <c r="D76" s="252" t="s">
        <v>971</v>
      </c>
      <c r="E76" s="296" t="s">
        <v>446</v>
      </c>
      <c r="F76" s="252">
        <v>0</v>
      </c>
    </row>
    <row r="77" spans="1:6">
      <c r="E77" s="296"/>
      <c r="F77" s="252" t="s">
        <v>1579</v>
      </c>
    </row>
    <row r="78" spans="1:6">
      <c r="C78" s="1162" t="s">
        <v>1509</v>
      </c>
      <c r="E78" s="296"/>
      <c r="F78" s="252">
        <v>3049.3</v>
      </c>
    </row>
    <row r="79" spans="1:6">
      <c r="E79" s="296"/>
      <c r="F79" s="252" t="s">
        <v>1579</v>
      </c>
    </row>
    <row r="80" spans="1:6">
      <c r="A80" s="252">
        <v>1.1000000000000001</v>
      </c>
      <c r="B80" s="252" t="s">
        <v>971</v>
      </c>
      <c r="C80" s="1162" t="s">
        <v>1419</v>
      </c>
      <c r="E80" s="296"/>
      <c r="F80" s="358"/>
    </row>
    <row r="81" spans="1:6">
      <c r="A81" s="1205" t="s">
        <v>971</v>
      </c>
      <c r="C81" s="1162" t="s">
        <v>1475</v>
      </c>
      <c r="E81" s="296"/>
    </row>
    <row r="82" spans="1:6">
      <c r="A82" s="252">
        <v>10</v>
      </c>
      <c r="B82" s="252" t="s">
        <v>866</v>
      </c>
      <c r="C82" s="1162" t="s">
        <v>1173</v>
      </c>
      <c r="D82" s="252">
        <v>112.05</v>
      </c>
      <c r="E82" s="296" t="s">
        <v>866</v>
      </c>
      <c r="F82" s="252">
        <v>1120.5</v>
      </c>
    </row>
    <row r="83" spans="1:6">
      <c r="A83" s="252">
        <v>10</v>
      </c>
      <c r="B83" s="252" t="s">
        <v>866</v>
      </c>
      <c r="C83" s="1162" t="s">
        <v>2002</v>
      </c>
      <c r="D83" s="252">
        <v>112.05</v>
      </c>
      <c r="E83" s="296" t="s">
        <v>866</v>
      </c>
      <c r="F83" s="252">
        <v>1120.5</v>
      </c>
    </row>
    <row r="84" spans="1:6">
      <c r="A84" s="252">
        <v>10</v>
      </c>
      <c r="B84" s="252" t="s">
        <v>866</v>
      </c>
      <c r="C84" s="1162" t="s">
        <v>2004</v>
      </c>
      <c r="D84" s="252">
        <v>12.98</v>
      </c>
      <c r="E84" s="296" t="s">
        <v>866</v>
      </c>
      <c r="F84" s="252">
        <v>129.80000000000001</v>
      </c>
    </row>
    <row r="85" spans="1:6">
      <c r="B85" s="252" t="s">
        <v>446</v>
      </c>
      <c r="C85" s="1162" t="s">
        <v>447</v>
      </c>
      <c r="E85" s="296" t="s">
        <v>446</v>
      </c>
      <c r="F85" s="252">
        <v>0</v>
      </c>
    </row>
    <row r="86" spans="1:6">
      <c r="E86" s="296"/>
      <c r="F86" s="252" t="s">
        <v>1579</v>
      </c>
    </row>
    <row r="87" spans="1:6">
      <c r="C87" s="1162" t="s">
        <v>611</v>
      </c>
      <c r="E87" s="296"/>
      <c r="F87" s="252">
        <v>2370.8000000000002</v>
      </c>
    </row>
    <row r="88" spans="1:6">
      <c r="E88" s="296"/>
      <c r="F88" s="252" t="s">
        <v>1579</v>
      </c>
    </row>
    <row r="89" spans="1:6">
      <c r="A89" s="356"/>
      <c r="C89" s="1162" t="s">
        <v>2040</v>
      </c>
      <c r="D89" s="252" t="s">
        <v>1394</v>
      </c>
      <c r="E89" s="296"/>
      <c r="F89" s="252">
        <v>237.08</v>
      </c>
    </row>
    <row r="90" spans="1:6">
      <c r="D90" s="252" t="s">
        <v>1357</v>
      </c>
      <c r="E90" s="296"/>
      <c r="F90" s="252">
        <v>247.63</v>
      </c>
    </row>
    <row r="91" spans="1:6">
      <c r="A91" s="252" t="s">
        <v>1519</v>
      </c>
      <c r="C91" s="1162" t="s">
        <v>1932</v>
      </c>
      <c r="D91" s="252" t="s">
        <v>1394</v>
      </c>
      <c r="E91" s="296"/>
      <c r="F91" s="252">
        <v>224.1</v>
      </c>
    </row>
    <row r="92" spans="1:6">
      <c r="D92" s="252" t="s">
        <v>1357</v>
      </c>
      <c r="E92" s="296"/>
      <c r="F92" s="252">
        <v>234.65</v>
      </c>
    </row>
    <row r="93" spans="1:6">
      <c r="A93" s="252" t="s">
        <v>2086</v>
      </c>
      <c r="B93" s="252" t="s">
        <v>971</v>
      </c>
      <c r="C93" s="1162" t="s">
        <v>7011</v>
      </c>
      <c r="E93" s="296"/>
      <c r="F93" s="518"/>
    </row>
    <row r="94" spans="1:6">
      <c r="A94" s="252" t="s">
        <v>971</v>
      </c>
      <c r="C94" s="1162" t="s">
        <v>1579</v>
      </c>
      <c r="E94" s="296"/>
      <c r="F94" s="518"/>
    </row>
    <row r="95" spans="1:6">
      <c r="A95" s="252">
        <v>10</v>
      </c>
      <c r="B95" s="252" t="s">
        <v>866</v>
      </c>
      <c r="C95" s="1162" t="s">
        <v>378</v>
      </c>
      <c r="D95" s="252">
        <v>166.9</v>
      </c>
      <c r="E95" s="296" t="s">
        <v>866</v>
      </c>
      <c r="F95" s="252">
        <v>1669</v>
      </c>
    </row>
    <row r="96" spans="1:6">
      <c r="A96" s="252">
        <v>10</v>
      </c>
      <c r="B96" s="252" t="s">
        <v>866</v>
      </c>
      <c r="C96" s="1162" t="s">
        <v>2002</v>
      </c>
      <c r="D96" s="252">
        <v>166.9</v>
      </c>
      <c r="E96" s="296" t="s">
        <v>866</v>
      </c>
      <c r="F96" s="518">
        <v>1669</v>
      </c>
    </row>
    <row r="97" spans="1:6">
      <c r="A97" s="252">
        <v>10</v>
      </c>
      <c r="B97" s="252" t="s">
        <v>866</v>
      </c>
      <c r="C97" s="1162" t="s">
        <v>2004</v>
      </c>
      <c r="D97" s="252">
        <v>12.98</v>
      </c>
      <c r="E97" s="296" t="s">
        <v>866</v>
      </c>
      <c r="F97" s="518">
        <v>129.80000000000001</v>
      </c>
    </row>
    <row r="98" spans="1:6">
      <c r="B98" s="252" t="s">
        <v>446</v>
      </c>
      <c r="C98" s="1162" t="s">
        <v>447</v>
      </c>
      <c r="E98" s="296" t="s">
        <v>446</v>
      </c>
      <c r="F98" s="518">
        <v>0</v>
      </c>
    </row>
    <row r="99" spans="1:6" ht="16.5" thickBot="1">
      <c r="E99" s="296"/>
      <c r="F99" s="518" t="s">
        <v>1579</v>
      </c>
    </row>
    <row r="100" spans="1:6" ht="16.5" thickTop="1">
      <c r="C100" s="1162" t="s">
        <v>611</v>
      </c>
      <c r="E100" s="296"/>
      <c r="F100" s="1160">
        <v>3467.8</v>
      </c>
    </row>
    <row r="101" spans="1:6" ht="16.5" thickBot="1">
      <c r="E101" s="296"/>
      <c r="F101" s="520" t="s">
        <v>1579</v>
      </c>
    </row>
    <row r="102" spans="1:6" ht="16.5" thickTop="1">
      <c r="C102" s="1162" t="s">
        <v>2040</v>
      </c>
      <c r="D102" s="252" t="s">
        <v>1394</v>
      </c>
      <c r="F102" s="252">
        <v>346.78</v>
      </c>
    </row>
    <row r="103" spans="1:6">
      <c r="A103" s="369"/>
      <c r="D103" s="252" t="s">
        <v>1357</v>
      </c>
      <c r="E103" s="296"/>
      <c r="F103" s="252">
        <v>357.33</v>
      </c>
    </row>
    <row r="104" spans="1:6">
      <c r="E104" s="296"/>
    </row>
    <row r="105" spans="1:6">
      <c r="A105" s="252">
        <v>1.7</v>
      </c>
      <c r="C105" s="1162" t="s">
        <v>653</v>
      </c>
      <c r="D105" s="252" t="s">
        <v>1394</v>
      </c>
      <c r="E105" s="296"/>
      <c r="F105" s="252">
        <v>333.8</v>
      </c>
    </row>
    <row r="106" spans="1:6">
      <c r="D106" s="252" t="s">
        <v>1357</v>
      </c>
      <c r="E106" s="296"/>
      <c r="F106" s="252">
        <v>344.35</v>
      </c>
    </row>
    <row r="107" spans="1:6">
      <c r="A107" s="510"/>
      <c r="B107" s="510"/>
      <c r="C107" s="262"/>
      <c r="D107" s="510"/>
      <c r="E107" s="312"/>
      <c r="F107" s="510"/>
    </row>
    <row r="108" spans="1:6">
      <c r="D108" s="510"/>
      <c r="E108" s="296"/>
    </row>
    <row r="109" spans="1:6">
      <c r="A109" s="252">
        <v>1.4</v>
      </c>
      <c r="B109" s="252" t="s">
        <v>971</v>
      </c>
      <c r="C109" s="1162" t="s">
        <v>7012</v>
      </c>
      <c r="D109" s="510"/>
      <c r="E109" s="296"/>
    </row>
    <row r="110" spans="1:6">
      <c r="D110" s="510"/>
      <c r="E110" s="296"/>
    </row>
    <row r="111" spans="1:6">
      <c r="A111" s="252">
        <v>10</v>
      </c>
      <c r="B111" s="252" t="s">
        <v>866</v>
      </c>
      <c r="C111" s="1162" t="s">
        <v>1173</v>
      </c>
      <c r="D111" s="510">
        <v>112.05</v>
      </c>
      <c r="E111" s="296" t="s">
        <v>866</v>
      </c>
      <c r="F111" s="252">
        <v>1120.5</v>
      </c>
    </row>
    <row r="112" spans="1:6">
      <c r="A112" s="252">
        <v>10</v>
      </c>
      <c r="B112" s="252" t="s">
        <v>866</v>
      </c>
      <c r="C112" s="1162" t="s">
        <v>2004</v>
      </c>
      <c r="D112" s="510">
        <v>12.98</v>
      </c>
      <c r="E112" s="296" t="s">
        <v>866</v>
      </c>
      <c r="F112" s="252">
        <v>129.80000000000001</v>
      </c>
    </row>
    <row r="113" spans="1:6">
      <c r="B113" s="252" t="s">
        <v>446</v>
      </c>
      <c r="C113" s="1162" t="s">
        <v>447</v>
      </c>
      <c r="D113" s="510"/>
      <c r="E113" s="296" t="s">
        <v>446</v>
      </c>
      <c r="F113" s="252">
        <v>0</v>
      </c>
    </row>
    <row r="114" spans="1:6">
      <c r="D114" s="510"/>
      <c r="E114" s="296"/>
      <c r="F114" s="252" t="s">
        <v>1579</v>
      </c>
    </row>
    <row r="115" spans="1:6">
      <c r="C115" s="1162" t="s">
        <v>611</v>
      </c>
      <c r="D115" s="510"/>
      <c r="E115" s="296"/>
      <c r="F115" s="252">
        <v>1250.3</v>
      </c>
    </row>
    <row r="116" spans="1:6">
      <c r="E116" s="296"/>
      <c r="F116" s="252" t="s">
        <v>1579</v>
      </c>
    </row>
    <row r="117" spans="1:6">
      <c r="E117" s="296"/>
      <c r="F117" s="252">
        <v>125.03</v>
      </c>
    </row>
    <row r="118" spans="1:6">
      <c r="E118" s="296"/>
    </row>
    <row r="119" spans="1:6">
      <c r="A119" s="252">
        <v>1.5</v>
      </c>
      <c r="C119" s="1162" t="s">
        <v>2026</v>
      </c>
      <c r="D119" s="252" t="s">
        <v>1394</v>
      </c>
      <c r="E119" s="296"/>
      <c r="F119" s="252">
        <v>112.05</v>
      </c>
    </row>
    <row r="120" spans="1:6">
      <c r="A120" s="1205"/>
      <c r="D120" s="252" t="s">
        <v>1357</v>
      </c>
      <c r="E120" s="296"/>
      <c r="F120" s="252">
        <v>122.6</v>
      </c>
    </row>
    <row r="121" spans="1:6">
      <c r="D121" s="252" t="s">
        <v>3777</v>
      </c>
      <c r="E121" s="296"/>
      <c r="F121" s="252">
        <v>133.15</v>
      </c>
    </row>
    <row r="122" spans="1:6">
      <c r="D122" s="252" t="s">
        <v>3778</v>
      </c>
      <c r="E122" s="296"/>
      <c r="F122" s="252">
        <v>143.69999999999999</v>
      </c>
    </row>
    <row r="123" spans="1:6">
      <c r="A123" s="252">
        <v>1.8</v>
      </c>
      <c r="C123" s="1162" t="s">
        <v>5652</v>
      </c>
      <c r="E123" s="296"/>
    </row>
    <row r="124" spans="1:6">
      <c r="E124" s="296"/>
    </row>
    <row r="125" spans="1:6">
      <c r="A125" s="252">
        <v>10</v>
      </c>
      <c r="B125" s="252" t="s">
        <v>866</v>
      </c>
      <c r="C125" s="1162" t="s">
        <v>378</v>
      </c>
      <c r="D125" s="252">
        <v>166.9</v>
      </c>
      <c r="E125" s="296" t="s">
        <v>866</v>
      </c>
      <c r="F125" s="358">
        <v>1669</v>
      </c>
    </row>
    <row r="126" spans="1:6">
      <c r="B126" s="252" t="s">
        <v>654</v>
      </c>
      <c r="E126" s="296" t="s">
        <v>654</v>
      </c>
      <c r="F126" s="252">
        <v>0</v>
      </c>
    </row>
    <row r="127" spans="1:6">
      <c r="E127" s="296"/>
      <c r="F127" s="358" t="s">
        <v>1579</v>
      </c>
    </row>
    <row r="128" spans="1:6">
      <c r="A128" s="1205"/>
      <c r="C128" s="1162" t="s">
        <v>611</v>
      </c>
      <c r="E128" s="296"/>
      <c r="F128" s="252">
        <v>1669</v>
      </c>
    </row>
    <row r="129" spans="1:6">
      <c r="E129" s="296"/>
      <c r="F129" s="252" t="s">
        <v>1579</v>
      </c>
    </row>
    <row r="130" spans="1:6">
      <c r="C130" s="1162" t="s">
        <v>7013</v>
      </c>
      <c r="D130" s="252" t="s">
        <v>1394</v>
      </c>
      <c r="E130" s="296"/>
      <c r="F130" s="252">
        <v>166.9</v>
      </c>
    </row>
    <row r="131" spans="1:6">
      <c r="D131" s="252" t="s">
        <v>1357</v>
      </c>
      <c r="E131" s="296"/>
      <c r="F131" s="252">
        <v>177.45</v>
      </c>
    </row>
    <row r="132" spans="1:6">
      <c r="E132" s="296"/>
    </row>
    <row r="133" spans="1:6">
      <c r="A133" s="252">
        <v>1.6</v>
      </c>
      <c r="C133" s="1162" t="s">
        <v>793</v>
      </c>
      <c r="E133" s="296"/>
    </row>
    <row r="134" spans="1:6">
      <c r="C134" s="1162" t="s">
        <v>379</v>
      </c>
      <c r="D134" s="252" t="s">
        <v>1394</v>
      </c>
      <c r="E134" s="296"/>
      <c r="F134" s="252">
        <v>168.08</v>
      </c>
    </row>
    <row r="135" spans="1:6">
      <c r="A135" s="252" t="s">
        <v>971</v>
      </c>
      <c r="C135" s="1162" t="s">
        <v>380</v>
      </c>
      <c r="D135" s="252" t="s">
        <v>1357</v>
      </c>
      <c r="E135" s="296"/>
      <c r="F135" s="358">
        <v>178.63</v>
      </c>
    </row>
    <row r="136" spans="1:6">
      <c r="E136" s="296"/>
      <c r="F136" s="252" t="s">
        <v>2046</v>
      </c>
    </row>
    <row r="137" spans="1:6">
      <c r="C137" s="1162" t="s">
        <v>3720</v>
      </c>
      <c r="D137" s="252" t="s">
        <v>1394</v>
      </c>
      <c r="E137" s="296"/>
      <c r="F137" s="358">
        <v>140.06</v>
      </c>
    </row>
    <row r="138" spans="1:6">
      <c r="A138" s="252" t="s">
        <v>381</v>
      </c>
      <c r="B138" s="252" t="s">
        <v>2241</v>
      </c>
      <c r="C138" s="1162" t="s">
        <v>382</v>
      </c>
      <c r="E138" s="296"/>
    </row>
    <row r="139" spans="1:6">
      <c r="C139" s="1162" t="s">
        <v>7014</v>
      </c>
      <c r="E139" s="296"/>
      <c r="F139" s="358"/>
    </row>
    <row r="140" spans="1:6">
      <c r="A140" s="1205"/>
      <c r="C140" s="1162" t="s">
        <v>1579</v>
      </c>
      <c r="E140" s="296"/>
    </row>
    <row r="141" spans="1:6">
      <c r="A141" s="252">
        <v>1</v>
      </c>
      <c r="B141" s="252" t="s">
        <v>866</v>
      </c>
      <c r="C141" s="1162" t="s">
        <v>376</v>
      </c>
      <c r="D141" s="252">
        <v>1846.1</v>
      </c>
      <c r="E141" s="296" t="s">
        <v>866</v>
      </c>
      <c r="F141" s="252">
        <v>1846.1</v>
      </c>
    </row>
    <row r="142" spans="1:6">
      <c r="A142" s="252">
        <v>1</v>
      </c>
      <c r="B142" s="252" t="s">
        <v>866</v>
      </c>
      <c r="C142" s="1162" t="s">
        <v>1349</v>
      </c>
      <c r="D142" s="252">
        <v>34.200000000000003</v>
      </c>
      <c r="E142" s="296" t="s">
        <v>866</v>
      </c>
      <c r="F142" s="252">
        <v>34.200000000000003</v>
      </c>
    </row>
    <row r="143" spans="1:6">
      <c r="B143" s="252" t="s">
        <v>446</v>
      </c>
      <c r="C143" s="1162" t="s">
        <v>447</v>
      </c>
      <c r="D143" s="252" t="s">
        <v>971</v>
      </c>
      <c r="E143" s="296" t="s">
        <v>446</v>
      </c>
      <c r="F143" s="252">
        <v>0</v>
      </c>
    </row>
    <row r="144" spans="1:6">
      <c r="E144" s="296"/>
      <c r="F144" s="252" t="s">
        <v>1579</v>
      </c>
    </row>
    <row r="145" spans="1:6">
      <c r="C145" s="1162" t="s">
        <v>193</v>
      </c>
      <c r="E145" s="296"/>
      <c r="F145" s="252">
        <v>1880.3</v>
      </c>
    </row>
    <row r="146" spans="1:6">
      <c r="E146" s="296"/>
      <c r="F146" s="252" t="s">
        <v>1579</v>
      </c>
    </row>
    <row r="147" spans="1:6">
      <c r="C147" s="1162" t="s">
        <v>971</v>
      </c>
      <c r="E147" s="1205"/>
      <c r="F147" s="358" t="s">
        <v>971</v>
      </c>
    </row>
    <row r="148" spans="1:6">
      <c r="E148" s="1205"/>
      <c r="F148" s="252" t="s">
        <v>971</v>
      </c>
    </row>
    <row r="149" spans="1:6">
      <c r="A149" s="1205">
        <v>2.6</v>
      </c>
      <c r="B149" s="252" t="s">
        <v>2241</v>
      </c>
      <c r="C149" s="1162" t="s">
        <v>1167</v>
      </c>
      <c r="E149" s="1205"/>
    </row>
    <row r="150" spans="1:6">
      <c r="C150" s="1162" t="s">
        <v>1579</v>
      </c>
      <c r="E150" s="1205"/>
    </row>
    <row r="151" spans="1:6">
      <c r="A151" s="252">
        <v>1</v>
      </c>
      <c r="B151" s="252" t="s">
        <v>866</v>
      </c>
      <c r="C151" s="1162" t="s">
        <v>1086</v>
      </c>
      <c r="D151" s="252">
        <v>1577.9</v>
      </c>
      <c r="E151" s="1205" t="s">
        <v>866</v>
      </c>
      <c r="F151" s="252">
        <v>1577.9</v>
      </c>
    </row>
    <row r="152" spans="1:6">
      <c r="A152" s="252">
        <v>1</v>
      </c>
      <c r="B152" s="252" t="s">
        <v>866</v>
      </c>
      <c r="C152" s="1162" t="s">
        <v>1349</v>
      </c>
      <c r="D152" s="252">
        <v>38.950000000000003</v>
      </c>
      <c r="E152" s="1205" t="s">
        <v>866</v>
      </c>
      <c r="F152" s="252">
        <v>38.950000000000003</v>
      </c>
    </row>
    <row r="153" spans="1:6">
      <c r="B153" s="252" t="s">
        <v>446</v>
      </c>
      <c r="C153" s="1162" t="s">
        <v>447</v>
      </c>
      <c r="D153" s="407" t="s">
        <v>971</v>
      </c>
      <c r="E153" s="1205" t="s">
        <v>446</v>
      </c>
      <c r="F153" s="252">
        <v>0</v>
      </c>
    </row>
    <row r="154" spans="1:6">
      <c r="D154" s="407"/>
      <c r="E154" s="1205"/>
      <c r="F154" s="252" t="s">
        <v>1579</v>
      </c>
    </row>
    <row r="155" spans="1:6">
      <c r="C155" s="1162" t="s">
        <v>193</v>
      </c>
      <c r="D155" s="407"/>
      <c r="E155" s="1205"/>
      <c r="F155" s="252">
        <v>1616.85</v>
      </c>
    </row>
    <row r="156" spans="1:6">
      <c r="D156" s="407"/>
      <c r="E156" s="1205"/>
      <c r="F156" s="252" t="s">
        <v>1579</v>
      </c>
    </row>
    <row r="157" spans="1:6">
      <c r="A157" s="252">
        <v>2.7</v>
      </c>
      <c r="B157" s="252" t="s">
        <v>2241</v>
      </c>
      <c r="C157" s="1162" t="s">
        <v>1982</v>
      </c>
      <c r="E157" s="1205"/>
      <c r="F157" s="358"/>
    </row>
    <row r="158" spans="1:6">
      <c r="C158" s="1162" t="s">
        <v>1579</v>
      </c>
      <c r="E158" s="1205"/>
    </row>
    <row r="159" spans="1:6">
      <c r="A159" s="252">
        <v>1</v>
      </c>
      <c r="B159" s="252" t="s">
        <v>866</v>
      </c>
      <c r="C159" s="1162" t="s">
        <v>829</v>
      </c>
      <c r="D159" s="252">
        <v>1997.1</v>
      </c>
      <c r="E159" s="1205" t="s">
        <v>866</v>
      </c>
      <c r="F159" s="358">
        <v>1997.1</v>
      </c>
    </row>
    <row r="160" spans="1:6">
      <c r="A160" s="252">
        <v>1</v>
      </c>
      <c r="B160" s="252" t="s">
        <v>866</v>
      </c>
      <c r="C160" s="1162" t="s">
        <v>1349</v>
      </c>
      <c r="D160" s="252">
        <v>38.950000000000003</v>
      </c>
      <c r="E160" s="1205" t="s">
        <v>866</v>
      </c>
      <c r="F160" s="252">
        <v>38.950000000000003</v>
      </c>
    </row>
    <row r="161" spans="1:6">
      <c r="B161" s="252" t="s">
        <v>446</v>
      </c>
      <c r="C161" s="1162" t="s">
        <v>447</v>
      </c>
      <c r="D161" s="252" t="s">
        <v>971</v>
      </c>
      <c r="E161" s="1205" t="s">
        <v>446</v>
      </c>
      <c r="F161" s="358">
        <v>0</v>
      </c>
    </row>
    <row r="162" spans="1:6">
      <c r="A162" s="1205"/>
      <c r="E162" s="296"/>
      <c r="F162" s="407" t="s">
        <v>1579</v>
      </c>
    </row>
    <row r="163" spans="1:6">
      <c r="C163" s="1162" t="s">
        <v>193</v>
      </c>
      <c r="E163" s="296"/>
      <c r="F163" s="252">
        <v>2036.05</v>
      </c>
    </row>
    <row r="164" spans="1:6">
      <c r="A164" s="1205"/>
      <c r="E164" s="1205"/>
      <c r="F164" s="252" t="s">
        <v>1579</v>
      </c>
    </row>
    <row r="165" spans="1:6">
      <c r="C165" s="1162" t="s">
        <v>971</v>
      </c>
      <c r="E165" s="1205"/>
    </row>
    <row r="166" spans="1:6">
      <c r="A166" s="252" t="s">
        <v>663</v>
      </c>
      <c r="B166" s="252" t="s">
        <v>2241</v>
      </c>
      <c r="C166" s="1162" t="s">
        <v>664</v>
      </c>
      <c r="E166" s="1205"/>
      <c r="F166" s="358"/>
    </row>
    <row r="167" spans="1:6">
      <c r="C167" s="1162" t="s">
        <v>666</v>
      </c>
      <c r="E167" s="1205"/>
    </row>
    <row r="168" spans="1:6">
      <c r="B168" s="296"/>
      <c r="C168" s="1162" t="s">
        <v>1579</v>
      </c>
    </row>
    <row r="169" spans="1:6">
      <c r="A169" s="252">
        <v>9</v>
      </c>
      <c r="B169" s="252" t="s">
        <v>866</v>
      </c>
      <c r="C169" s="1162" t="s">
        <v>1630</v>
      </c>
      <c r="D169" s="252">
        <v>1577.9</v>
      </c>
      <c r="E169" s="252" t="s">
        <v>866</v>
      </c>
      <c r="F169" s="252">
        <v>14201.1</v>
      </c>
    </row>
    <row r="170" spans="1:6">
      <c r="A170" s="252">
        <v>4.5</v>
      </c>
      <c r="B170" s="296" t="s">
        <v>866</v>
      </c>
      <c r="C170" s="1162" t="s">
        <v>1617</v>
      </c>
      <c r="D170" s="252">
        <v>3701.62</v>
      </c>
      <c r="E170" s="296" t="s">
        <v>866</v>
      </c>
      <c r="F170" s="252">
        <v>16657.29</v>
      </c>
    </row>
    <row r="171" spans="1:6">
      <c r="A171" s="252">
        <v>1.8</v>
      </c>
      <c r="B171" s="296" t="s">
        <v>865</v>
      </c>
      <c r="C171" s="1162" t="s">
        <v>1704</v>
      </c>
      <c r="D171" s="252">
        <v>932</v>
      </c>
      <c r="E171" s="296" t="s">
        <v>865</v>
      </c>
      <c r="F171" s="252">
        <v>1677.6</v>
      </c>
    </row>
    <row r="172" spans="1:6">
      <c r="A172" s="252">
        <v>17.7</v>
      </c>
      <c r="B172" s="296" t="s">
        <v>865</v>
      </c>
      <c r="C172" s="1162" t="s">
        <v>1893</v>
      </c>
      <c r="D172" s="252">
        <v>651</v>
      </c>
      <c r="E172" s="296" t="s">
        <v>865</v>
      </c>
      <c r="F172" s="252">
        <v>11522.7</v>
      </c>
    </row>
    <row r="173" spans="1:6">
      <c r="A173" s="252">
        <v>14.1</v>
      </c>
      <c r="B173" s="296" t="s">
        <v>865</v>
      </c>
      <c r="C173" s="1162" t="s">
        <v>317</v>
      </c>
      <c r="D173" s="252">
        <v>534</v>
      </c>
      <c r="E173" s="296" t="s">
        <v>865</v>
      </c>
      <c r="F173" s="252">
        <v>7529.4</v>
      </c>
    </row>
    <row r="174" spans="1:6">
      <c r="B174" s="252" t="s">
        <v>446</v>
      </c>
      <c r="C174" s="1162" t="s">
        <v>447</v>
      </c>
      <c r="E174" s="252" t="s">
        <v>446</v>
      </c>
      <c r="F174" s="252">
        <v>0</v>
      </c>
    </row>
    <row r="175" spans="1:6">
      <c r="B175" s="296"/>
      <c r="E175" s="296"/>
      <c r="F175" s="252" t="s">
        <v>1579</v>
      </c>
    </row>
    <row r="176" spans="1:6">
      <c r="F176" s="358">
        <v>51588.09</v>
      </c>
    </row>
    <row r="177" spans="1:6">
      <c r="C177" s="1162" t="s">
        <v>611</v>
      </c>
      <c r="F177" s="252" t="s">
        <v>1579</v>
      </c>
    </row>
    <row r="178" spans="1:6">
      <c r="F178" s="358">
        <v>5158.8100000000004</v>
      </c>
    </row>
    <row r="179" spans="1:6">
      <c r="C179" s="1162" t="s">
        <v>770</v>
      </c>
      <c r="F179" s="252" t="s">
        <v>2046</v>
      </c>
    </row>
    <row r="180" spans="1:6">
      <c r="F180" s="358"/>
    </row>
    <row r="181" spans="1:6">
      <c r="A181" s="252" t="s">
        <v>684</v>
      </c>
      <c r="B181" s="252" t="s">
        <v>2241</v>
      </c>
      <c r="C181" s="1162" t="s">
        <v>7015</v>
      </c>
    </row>
    <row r="182" spans="1:6">
      <c r="C182" s="1162" t="s">
        <v>1480</v>
      </c>
    </row>
    <row r="183" spans="1:6">
      <c r="C183" s="1162" t="s">
        <v>1579</v>
      </c>
    </row>
    <row r="184" spans="1:6">
      <c r="A184" s="252">
        <v>9</v>
      </c>
      <c r="B184" s="252" t="s">
        <v>866</v>
      </c>
      <c r="C184" s="1162" t="s">
        <v>688</v>
      </c>
      <c r="D184" s="252">
        <v>1997.1</v>
      </c>
      <c r="E184" s="296" t="s">
        <v>866</v>
      </c>
      <c r="F184" s="252">
        <v>17973.900000000001</v>
      </c>
    </row>
    <row r="185" spans="1:6">
      <c r="A185" s="252">
        <v>4.5</v>
      </c>
      <c r="B185" s="252" t="s">
        <v>866</v>
      </c>
      <c r="C185" s="1162" t="s">
        <v>119</v>
      </c>
      <c r="D185" s="252">
        <v>6310.9</v>
      </c>
      <c r="E185" s="296" t="s">
        <v>866</v>
      </c>
      <c r="F185" s="358">
        <v>28399.05</v>
      </c>
    </row>
    <row r="186" spans="1:6">
      <c r="A186" s="369">
        <v>1.8</v>
      </c>
      <c r="B186" s="252" t="s">
        <v>865</v>
      </c>
      <c r="C186" s="1162" t="s">
        <v>1704</v>
      </c>
      <c r="D186" s="252">
        <v>932</v>
      </c>
      <c r="E186" s="296" t="s">
        <v>865</v>
      </c>
      <c r="F186" s="252">
        <v>1677.6</v>
      </c>
    </row>
    <row r="187" spans="1:6">
      <c r="A187" s="252">
        <v>17.7</v>
      </c>
      <c r="B187" s="252" t="s">
        <v>865</v>
      </c>
      <c r="C187" s="1162" t="s">
        <v>1893</v>
      </c>
      <c r="D187" s="252">
        <v>651</v>
      </c>
      <c r="E187" s="296" t="s">
        <v>865</v>
      </c>
      <c r="F187" s="252">
        <v>11522.7</v>
      </c>
    </row>
    <row r="188" spans="1:6">
      <c r="A188" s="252">
        <v>14.1</v>
      </c>
      <c r="B188" s="252" t="s">
        <v>865</v>
      </c>
      <c r="C188" s="1162" t="s">
        <v>317</v>
      </c>
      <c r="D188" s="252">
        <v>534</v>
      </c>
      <c r="E188" s="296" t="s">
        <v>865</v>
      </c>
      <c r="F188" s="252">
        <v>7529.4</v>
      </c>
    </row>
    <row r="189" spans="1:6">
      <c r="B189" s="252" t="s">
        <v>446</v>
      </c>
      <c r="C189" s="1162" t="s">
        <v>447</v>
      </c>
      <c r="E189" s="296" t="s">
        <v>446</v>
      </c>
      <c r="F189" s="252">
        <v>0</v>
      </c>
    </row>
    <row r="190" spans="1:6">
      <c r="E190" s="296"/>
      <c r="F190" s="252" t="s">
        <v>1579</v>
      </c>
    </row>
    <row r="191" spans="1:6">
      <c r="E191" s="296"/>
      <c r="F191" s="252">
        <v>67102.649999999994</v>
      </c>
    </row>
    <row r="192" spans="1:6">
      <c r="C192" s="1162" t="s">
        <v>611</v>
      </c>
      <c r="E192" s="296"/>
      <c r="F192" s="252" t="s">
        <v>1579</v>
      </c>
    </row>
    <row r="193" spans="1:6">
      <c r="E193" s="296"/>
      <c r="F193" s="252">
        <v>6710.27</v>
      </c>
    </row>
    <row r="194" spans="1:6">
      <c r="C194" s="1162" t="s">
        <v>770</v>
      </c>
      <c r="D194" s="358"/>
      <c r="E194" s="296"/>
      <c r="F194" s="252" t="s">
        <v>2046</v>
      </c>
    </row>
    <row r="195" spans="1:6">
      <c r="E195" s="296"/>
    </row>
    <row r="196" spans="1:6">
      <c r="A196" s="252" t="s">
        <v>2062</v>
      </c>
      <c r="B196" s="252" t="s">
        <v>2241</v>
      </c>
      <c r="C196" s="1162" t="s">
        <v>1250</v>
      </c>
      <c r="E196" s="296"/>
    </row>
    <row r="197" spans="1:6">
      <c r="C197" s="1162" t="s">
        <v>2063</v>
      </c>
      <c r="E197" s="296"/>
    </row>
    <row r="198" spans="1:6">
      <c r="C198" s="1162" t="s">
        <v>1579</v>
      </c>
      <c r="E198" s="296"/>
    </row>
    <row r="199" spans="1:6">
      <c r="A199" s="252">
        <v>9</v>
      </c>
      <c r="B199" s="252" t="s">
        <v>866</v>
      </c>
      <c r="C199" s="1162" t="s">
        <v>1802</v>
      </c>
      <c r="D199" s="252">
        <v>801.98</v>
      </c>
      <c r="E199" s="296" t="s">
        <v>866</v>
      </c>
      <c r="F199" s="252">
        <v>7217.82</v>
      </c>
    </row>
    <row r="200" spans="1:6">
      <c r="A200" s="252">
        <v>4.5</v>
      </c>
      <c r="B200" s="252" t="s">
        <v>866</v>
      </c>
      <c r="C200" s="1162" t="s">
        <v>1624</v>
      </c>
      <c r="D200" s="252">
        <v>3049.3</v>
      </c>
      <c r="E200" s="296" t="s">
        <v>866</v>
      </c>
      <c r="F200" s="252">
        <v>13721.85</v>
      </c>
    </row>
    <row r="201" spans="1:6">
      <c r="A201" s="252">
        <v>1.8</v>
      </c>
      <c r="B201" s="252" t="s">
        <v>865</v>
      </c>
      <c r="C201" s="1162" t="s">
        <v>1704</v>
      </c>
      <c r="D201" s="252">
        <v>932</v>
      </c>
      <c r="E201" s="296" t="s">
        <v>865</v>
      </c>
      <c r="F201" s="252">
        <v>1677.6</v>
      </c>
    </row>
    <row r="202" spans="1:6">
      <c r="A202" s="252">
        <v>17.7</v>
      </c>
      <c r="B202" s="252" t="s">
        <v>865</v>
      </c>
      <c r="C202" s="1162" t="s">
        <v>1893</v>
      </c>
      <c r="D202" s="252">
        <v>651</v>
      </c>
      <c r="E202" s="296" t="s">
        <v>865</v>
      </c>
      <c r="F202" s="358">
        <v>11522.7</v>
      </c>
    </row>
    <row r="203" spans="1:6">
      <c r="A203" s="252">
        <v>14.1</v>
      </c>
      <c r="B203" s="252" t="s">
        <v>865</v>
      </c>
      <c r="C203" s="1162" t="s">
        <v>317</v>
      </c>
      <c r="D203" s="252">
        <v>534</v>
      </c>
      <c r="E203" s="296" t="s">
        <v>865</v>
      </c>
      <c r="F203" s="252">
        <v>7529.4</v>
      </c>
    </row>
    <row r="204" spans="1:6">
      <c r="B204" s="252" t="s">
        <v>446</v>
      </c>
      <c r="C204" s="1162" t="s">
        <v>447</v>
      </c>
      <c r="D204" s="296"/>
      <c r="E204" s="296" t="s">
        <v>446</v>
      </c>
      <c r="F204" s="358">
        <v>0</v>
      </c>
    </row>
    <row r="205" spans="1:6">
      <c r="E205" s="296"/>
      <c r="F205" s="252" t="s">
        <v>1579</v>
      </c>
    </row>
    <row r="206" spans="1:6">
      <c r="E206" s="296"/>
      <c r="F206" s="252">
        <v>41669.370000000003</v>
      </c>
    </row>
    <row r="207" spans="1:6">
      <c r="C207" s="1162" t="s">
        <v>611</v>
      </c>
      <c r="E207" s="296"/>
      <c r="F207" s="252" t="s">
        <v>1579</v>
      </c>
    </row>
    <row r="208" spans="1:6">
      <c r="E208" s="296"/>
      <c r="F208" s="252">
        <v>4166.9399999999996</v>
      </c>
    </row>
    <row r="209" spans="1:6">
      <c r="C209" s="1162" t="s">
        <v>770</v>
      </c>
      <c r="E209" s="296"/>
      <c r="F209" s="252" t="s">
        <v>2046</v>
      </c>
    </row>
    <row r="210" spans="1:6">
      <c r="E210" s="296"/>
      <c r="F210" s="358"/>
    </row>
    <row r="211" spans="1:6">
      <c r="A211" s="252" t="s">
        <v>636</v>
      </c>
      <c r="C211" s="1162" t="s">
        <v>7016</v>
      </c>
      <c r="E211" s="252" t="s">
        <v>1105</v>
      </c>
      <c r="F211" s="252">
        <v>719</v>
      </c>
    </row>
    <row r="212" spans="1:6">
      <c r="C212" s="1162" t="s">
        <v>4859</v>
      </c>
      <c r="D212" s="296"/>
      <c r="E212" s="296"/>
      <c r="F212" s="358" t="s">
        <v>2046</v>
      </c>
    </row>
    <row r="213" spans="1:6">
      <c r="E213" s="296"/>
    </row>
    <row r="214" spans="1:6">
      <c r="A214" s="252" t="s">
        <v>1948</v>
      </c>
      <c r="B214" s="252" t="s">
        <v>2241</v>
      </c>
      <c r="C214" s="1162" t="s">
        <v>1949</v>
      </c>
      <c r="E214" s="296"/>
      <c r="F214" s="252">
        <v>493.24</v>
      </c>
    </row>
    <row r="215" spans="1:6">
      <c r="A215" s="296"/>
      <c r="B215" s="296"/>
      <c r="C215" s="1162" t="s">
        <v>2228</v>
      </c>
      <c r="E215" s="296"/>
    </row>
    <row r="216" spans="1:6">
      <c r="C216" s="1162" t="s">
        <v>1579</v>
      </c>
      <c r="E216" s="296"/>
    </row>
    <row r="217" spans="1:6">
      <c r="A217" s="252">
        <v>1</v>
      </c>
      <c r="B217" s="252" t="s">
        <v>866</v>
      </c>
      <c r="C217" s="1162" t="s">
        <v>5603</v>
      </c>
      <c r="D217" s="252">
        <v>38.950000000000003</v>
      </c>
      <c r="E217" s="296" t="s">
        <v>866</v>
      </c>
      <c r="F217" s="252">
        <v>38.950000000000003</v>
      </c>
    </row>
    <row r="218" spans="1:6">
      <c r="E218" s="296"/>
      <c r="F218" s="252" t="s">
        <v>2046</v>
      </c>
    </row>
    <row r="219" spans="1:6">
      <c r="E219" s="296"/>
    </row>
    <row r="220" spans="1:6">
      <c r="B220" s="252" t="s">
        <v>971</v>
      </c>
      <c r="C220" s="1162" t="s">
        <v>133</v>
      </c>
      <c r="D220" s="377"/>
      <c r="E220" s="296"/>
    </row>
    <row r="221" spans="1:6">
      <c r="C221" s="1162" t="s">
        <v>1260</v>
      </c>
      <c r="E221" s="296"/>
    </row>
    <row r="222" spans="1:6">
      <c r="C222" s="1162" t="s">
        <v>1261</v>
      </c>
      <c r="E222" s="296"/>
    </row>
    <row r="223" spans="1:6">
      <c r="C223" s="1162" t="s">
        <v>1020</v>
      </c>
      <c r="E223" s="296"/>
    </row>
    <row r="224" spans="1:6">
      <c r="C224" s="1162" t="s">
        <v>1021</v>
      </c>
      <c r="E224" s="296"/>
    </row>
    <row r="225" spans="1:6">
      <c r="C225" s="1162" t="s">
        <v>1243</v>
      </c>
      <c r="E225" s="296"/>
    </row>
    <row r="226" spans="1:6">
      <c r="C226" s="1162" t="s">
        <v>1142</v>
      </c>
      <c r="E226" s="296"/>
    </row>
    <row r="227" spans="1:6">
      <c r="C227" s="1162" t="s">
        <v>1579</v>
      </c>
      <c r="D227" s="252" t="s">
        <v>1579</v>
      </c>
      <c r="E227" s="296"/>
    </row>
    <row r="228" spans="1:6">
      <c r="B228" s="252" t="s">
        <v>686</v>
      </c>
      <c r="C228" s="1162" t="s">
        <v>608</v>
      </c>
      <c r="E228" s="296"/>
    </row>
    <row r="229" spans="1:6">
      <c r="C229" s="1162" t="s">
        <v>2271</v>
      </c>
      <c r="E229" s="296"/>
      <c r="F229" s="377"/>
    </row>
    <row r="230" spans="1:6">
      <c r="A230" s="252">
        <v>10</v>
      </c>
      <c r="B230" s="252" t="s">
        <v>2273</v>
      </c>
      <c r="C230" s="1162" t="s">
        <v>555</v>
      </c>
      <c r="D230" s="252">
        <v>376.7</v>
      </c>
      <c r="E230" s="296" t="s">
        <v>2273</v>
      </c>
      <c r="F230" s="252">
        <v>3767</v>
      </c>
    </row>
    <row r="231" spans="1:6">
      <c r="A231" s="252">
        <v>1</v>
      </c>
      <c r="B231" s="252" t="s">
        <v>557</v>
      </c>
      <c r="C231" s="1162" t="s">
        <v>558</v>
      </c>
      <c r="D231" s="252">
        <v>999</v>
      </c>
      <c r="E231" s="296" t="s">
        <v>1393</v>
      </c>
      <c r="F231" s="377">
        <v>999</v>
      </c>
    </row>
    <row r="232" spans="1:6">
      <c r="A232" s="252">
        <v>1</v>
      </c>
      <c r="B232" s="252" t="s">
        <v>557</v>
      </c>
      <c r="C232" s="1162" t="s">
        <v>820</v>
      </c>
      <c r="D232" s="252">
        <v>651</v>
      </c>
      <c r="E232" s="296" t="s">
        <v>1393</v>
      </c>
      <c r="F232" s="252">
        <v>651</v>
      </c>
    </row>
    <row r="233" spans="1:6">
      <c r="B233" s="252" t="s">
        <v>446</v>
      </c>
      <c r="C233" s="1162" t="s">
        <v>59</v>
      </c>
      <c r="E233" s="296" t="s">
        <v>446</v>
      </c>
      <c r="F233" s="252">
        <v>120</v>
      </c>
    </row>
    <row r="234" spans="1:6">
      <c r="C234" s="1162" t="s">
        <v>927</v>
      </c>
      <c r="D234" s="377"/>
      <c r="E234" s="296"/>
      <c r="F234" s="252" t="s">
        <v>1579</v>
      </c>
    </row>
    <row r="235" spans="1:6">
      <c r="C235" s="1162" t="s">
        <v>1056</v>
      </c>
      <c r="E235" s="296"/>
      <c r="F235" s="252">
        <v>5537</v>
      </c>
    </row>
    <row r="236" spans="1:6">
      <c r="E236" s="296"/>
      <c r="F236" s="252" t="s">
        <v>1579</v>
      </c>
    </row>
    <row r="237" spans="1:6">
      <c r="C237" s="1162" t="s">
        <v>500</v>
      </c>
      <c r="E237" s="296"/>
      <c r="F237" s="252">
        <v>553.70000000000005</v>
      </c>
    </row>
    <row r="238" spans="1:6">
      <c r="C238" s="1162" t="s">
        <v>383</v>
      </c>
      <c r="D238" s="252">
        <v>553.70000000000005</v>
      </c>
      <c r="E238" s="296">
        <v>2.4</v>
      </c>
      <c r="F238" s="252">
        <v>556.1</v>
      </c>
    </row>
    <row r="239" spans="1:6">
      <c r="C239" s="1162" t="s">
        <v>385</v>
      </c>
      <c r="D239" s="252">
        <v>556.1</v>
      </c>
      <c r="E239" s="296">
        <v>4.72</v>
      </c>
      <c r="F239" s="252">
        <v>560.82000000000005</v>
      </c>
    </row>
    <row r="240" spans="1:6">
      <c r="C240" s="1162" t="s">
        <v>2222</v>
      </c>
      <c r="D240" s="252">
        <v>560.82000000000005</v>
      </c>
      <c r="E240" s="296">
        <v>4.72</v>
      </c>
      <c r="F240" s="252">
        <v>565.54</v>
      </c>
    </row>
    <row r="241" spans="1:6">
      <c r="C241" s="1162" t="s">
        <v>377</v>
      </c>
      <c r="D241" s="252">
        <v>565.54</v>
      </c>
      <c r="E241" s="296">
        <v>4.72</v>
      </c>
      <c r="F241" s="377">
        <v>570.26</v>
      </c>
    </row>
    <row r="242" spans="1:6">
      <c r="C242" s="1162" t="s">
        <v>1359</v>
      </c>
      <c r="D242" s="252">
        <v>570.26</v>
      </c>
      <c r="E242" s="296">
        <v>4.72</v>
      </c>
      <c r="F242" s="252">
        <v>574.98</v>
      </c>
    </row>
    <row r="243" spans="1:6">
      <c r="C243" s="1162" t="s">
        <v>3552</v>
      </c>
      <c r="D243" s="252">
        <v>574.98</v>
      </c>
      <c r="E243" s="296">
        <v>4.72</v>
      </c>
      <c r="F243" s="377">
        <v>579.70000000000005</v>
      </c>
    </row>
    <row r="244" spans="1:6">
      <c r="C244" s="1162" t="s">
        <v>3553</v>
      </c>
      <c r="D244" s="252">
        <v>579.70000000000005</v>
      </c>
      <c r="E244" s="296">
        <v>4.72</v>
      </c>
      <c r="F244" s="252">
        <v>584.41999999999996</v>
      </c>
    </row>
    <row r="245" spans="1:6">
      <c r="C245" s="1162" t="s">
        <v>3554</v>
      </c>
      <c r="D245" s="252">
        <v>584.41999999999996</v>
      </c>
      <c r="E245" s="296">
        <v>4.72</v>
      </c>
      <c r="F245" s="252">
        <v>589.14</v>
      </c>
    </row>
    <row r="246" spans="1:6">
      <c r="C246" s="1162" t="s">
        <v>3555</v>
      </c>
      <c r="D246" s="252">
        <v>589.14</v>
      </c>
      <c r="E246" s="296">
        <v>4.72</v>
      </c>
      <c r="F246" s="252">
        <v>593.86</v>
      </c>
    </row>
    <row r="247" spans="1:6">
      <c r="C247" s="1162">
        <v>9</v>
      </c>
      <c r="D247" s="252">
        <v>593.86</v>
      </c>
      <c r="E247" s="296">
        <v>4.72</v>
      </c>
      <c r="F247" s="252">
        <v>598.58000000000004</v>
      </c>
    </row>
    <row r="248" spans="1:6">
      <c r="E248" s="296"/>
    </row>
    <row r="249" spans="1:6">
      <c r="A249" s="296"/>
      <c r="B249" s="296"/>
      <c r="E249" s="296"/>
      <c r="F249" s="296"/>
    </row>
    <row r="250" spans="1:6">
      <c r="A250" s="252">
        <v>15.2</v>
      </c>
      <c r="B250" s="252" t="s">
        <v>686</v>
      </c>
      <c r="C250" s="1162" t="s">
        <v>783</v>
      </c>
      <c r="E250" s="296"/>
      <c r="F250" s="296">
        <v>579.70000000000005</v>
      </c>
    </row>
    <row r="251" spans="1:6">
      <c r="C251" s="1162" t="s">
        <v>2271</v>
      </c>
      <c r="E251" s="296"/>
      <c r="F251" s="296"/>
    </row>
    <row r="252" spans="1:6">
      <c r="A252" s="252">
        <v>1</v>
      </c>
      <c r="B252" s="252" t="s">
        <v>2273</v>
      </c>
      <c r="C252" s="1162" t="s">
        <v>555</v>
      </c>
      <c r="D252" s="252">
        <v>408</v>
      </c>
      <c r="E252" s="296" t="s">
        <v>2273</v>
      </c>
      <c r="F252" s="296">
        <v>408</v>
      </c>
    </row>
    <row r="253" spans="1:6">
      <c r="A253" s="252">
        <v>0.75</v>
      </c>
      <c r="B253" s="252" t="s">
        <v>557</v>
      </c>
      <c r="C253" s="1162" t="s">
        <v>558</v>
      </c>
      <c r="D253" s="252">
        <v>999</v>
      </c>
      <c r="E253" s="296" t="s">
        <v>1393</v>
      </c>
      <c r="F253" s="296">
        <v>749.25</v>
      </c>
    </row>
    <row r="254" spans="1:6">
      <c r="A254" s="252">
        <v>0.75</v>
      </c>
      <c r="B254" s="252" t="s">
        <v>557</v>
      </c>
      <c r="C254" s="1162" t="s">
        <v>820</v>
      </c>
      <c r="D254" s="377">
        <v>651</v>
      </c>
      <c r="E254" s="296" t="s">
        <v>1393</v>
      </c>
      <c r="F254" s="296">
        <v>488.25</v>
      </c>
    </row>
    <row r="255" spans="1:6">
      <c r="A255" s="252">
        <v>0.5</v>
      </c>
      <c r="B255" s="252" t="s">
        <v>557</v>
      </c>
      <c r="C255" s="1162" t="s">
        <v>2033</v>
      </c>
      <c r="D255" s="252">
        <v>738</v>
      </c>
      <c r="E255" s="296" t="s">
        <v>1393</v>
      </c>
      <c r="F255" s="296">
        <v>369</v>
      </c>
    </row>
    <row r="256" spans="1:6">
      <c r="B256" s="252" t="s">
        <v>446</v>
      </c>
      <c r="C256" s="1162" t="s">
        <v>59</v>
      </c>
      <c r="D256" s="377"/>
      <c r="E256" s="296" t="s">
        <v>446</v>
      </c>
      <c r="F256" s="252">
        <v>53.5</v>
      </c>
    </row>
    <row r="257" spans="1:6">
      <c r="C257" s="1162" t="s">
        <v>927</v>
      </c>
      <c r="E257" s="296"/>
      <c r="F257" s="252" t="s">
        <v>1579</v>
      </c>
    </row>
    <row r="258" spans="1:6">
      <c r="C258" s="1162" t="s">
        <v>1742</v>
      </c>
      <c r="E258" s="296"/>
      <c r="F258" s="252">
        <v>2068</v>
      </c>
    </row>
    <row r="259" spans="1:6">
      <c r="E259" s="296"/>
      <c r="F259" s="252" t="s">
        <v>1579</v>
      </c>
    </row>
    <row r="260" spans="1:6">
      <c r="C260" s="1162" t="s">
        <v>383</v>
      </c>
      <c r="D260" s="252">
        <v>2068</v>
      </c>
      <c r="E260" s="296">
        <v>4.79</v>
      </c>
      <c r="F260" s="252">
        <v>2072.79</v>
      </c>
    </row>
    <row r="261" spans="1:6">
      <c r="C261" s="1162" t="s">
        <v>385</v>
      </c>
      <c r="D261" s="252">
        <v>2072.79</v>
      </c>
      <c r="E261" s="296">
        <v>9.44</v>
      </c>
      <c r="F261" s="252">
        <v>2082.23</v>
      </c>
    </row>
    <row r="262" spans="1:6">
      <c r="C262" s="1162" t="s">
        <v>2222</v>
      </c>
      <c r="D262" s="252">
        <v>2082.23</v>
      </c>
      <c r="E262" s="296">
        <v>9.44</v>
      </c>
      <c r="F262" s="252">
        <v>2091.67</v>
      </c>
    </row>
    <row r="263" spans="1:6">
      <c r="C263" s="1162" t="s">
        <v>377</v>
      </c>
      <c r="D263" s="252">
        <v>2091.67</v>
      </c>
      <c r="E263" s="296">
        <v>9.44</v>
      </c>
      <c r="F263" s="377">
        <v>2101.11</v>
      </c>
    </row>
    <row r="264" spans="1:6">
      <c r="C264" s="1162" t="s">
        <v>1359</v>
      </c>
      <c r="D264" s="252">
        <v>2101.11</v>
      </c>
      <c r="E264" s="296">
        <v>9.44</v>
      </c>
      <c r="F264" s="252">
        <v>2110.5500000000002</v>
      </c>
    </row>
    <row r="265" spans="1:6">
      <c r="A265" s="252">
        <v>15.1</v>
      </c>
      <c r="B265" s="252" t="s">
        <v>1749</v>
      </c>
      <c r="C265" s="1162" t="s">
        <v>7017</v>
      </c>
      <c r="E265" s="296"/>
      <c r="F265" s="377"/>
    </row>
    <row r="266" spans="1:6">
      <c r="C266" s="1162" t="s">
        <v>2271</v>
      </c>
      <c r="E266" s="296"/>
    </row>
    <row r="267" spans="1:6">
      <c r="A267" s="252">
        <v>10</v>
      </c>
      <c r="B267" s="252" t="s">
        <v>2273</v>
      </c>
      <c r="C267" s="1162" t="s">
        <v>4066</v>
      </c>
      <c r="D267" s="252">
        <v>376.7</v>
      </c>
      <c r="E267" s="296" t="s">
        <v>2273</v>
      </c>
      <c r="F267" s="252">
        <v>3767</v>
      </c>
    </row>
    <row r="268" spans="1:6">
      <c r="A268" s="1205">
        <v>0.12</v>
      </c>
      <c r="B268" s="252" t="s">
        <v>866</v>
      </c>
      <c r="C268" s="1162" t="s">
        <v>781</v>
      </c>
      <c r="D268" s="252">
        <v>4861.3</v>
      </c>
      <c r="E268" s="296" t="s">
        <v>866</v>
      </c>
      <c r="F268" s="252">
        <v>583.36</v>
      </c>
    </row>
    <row r="269" spans="1:6">
      <c r="A269" s="252">
        <v>1</v>
      </c>
      <c r="B269" s="252" t="s">
        <v>557</v>
      </c>
      <c r="C269" s="1162" t="s">
        <v>558</v>
      </c>
      <c r="D269" s="252">
        <v>999</v>
      </c>
      <c r="E269" s="296" t="s">
        <v>1393</v>
      </c>
      <c r="F269" s="252">
        <v>999</v>
      </c>
    </row>
    <row r="270" spans="1:6">
      <c r="A270" s="252">
        <v>1</v>
      </c>
      <c r="B270" s="252" t="s">
        <v>557</v>
      </c>
      <c r="C270" s="1162" t="s">
        <v>820</v>
      </c>
      <c r="D270" s="252">
        <v>651</v>
      </c>
      <c r="E270" s="296" t="s">
        <v>1393</v>
      </c>
      <c r="F270" s="252">
        <v>651</v>
      </c>
    </row>
    <row r="271" spans="1:6">
      <c r="B271" s="252" t="s">
        <v>446</v>
      </c>
      <c r="C271" s="1162" t="s">
        <v>59</v>
      </c>
      <c r="E271" s="296" t="s">
        <v>446</v>
      </c>
      <c r="F271" s="252">
        <v>0.33</v>
      </c>
    </row>
    <row r="272" spans="1:6">
      <c r="C272" s="1162" t="s">
        <v>927</v>
      </c>
      <c r="E272" s="296"/>
      <c r="F272" s="358" t="s">
        <v>1579</v>
      </c>
    </row>
    <row r="273" spans="1:6">
      <c r="A273" s="369"/>
      <c r="C273" s="1162" t="s">
        <v>404</v>
      </c>
      <c r="E273" s="296"/>
      <c r="F273" s="252">
        <v>6000.69</v>
      </c>
    </row>
    <row r="274" spans="1:6">
      <c r="E274" s="296"/>
      <c r="F274" s="252" t="s">
        <v>1579</v>
      </c>
    </row>
    <row r="275" spans="1:6">
      <c r="C275" s="1162" t="s">
        <v>408</v>
      </c>
      <c r="E275" s="296"/>
      <c r="F275" s="252">
        <v>600.07000000000005</v>
      </c>
    </row>
    <row r="276" spans="1:6">
      <c r="C276" s="1162" t="s">
        <v>383</v>
      </c>
      <c r="D276" s="252">
        <v>600.07000000000005</v>
      </c>
      <c r="E276" s="296">
        <v>2.4</v>
      </c>
      <c r="F276" s="252">
        <v>602.47</v>
      </c>
    </row>
    <row r="277" spans="1:6">
      <c r="C277" s="1162" t="s">
        <v>385</v>
      </c>
      <c r="D277" s="252">
        <v>602.47</v>
      </c>
      <c r="E277" s="296">
        <v>4.72</v>
      </c>
      <c r="F277" s="252">
        <v>607.19000000000005</v>
      </c>
    </row>
    <row r="278" spans="1:6">
      <c r="C278" s="1162" t="s">
        <v>2222</v>
      </c>
      <c r="D278" s="252">
        <v>607.19000000000005</v>
      </c>
      <c r="E278" s="296">
        <v>4.72</v>
      </c>
      <c r="F278" s="252">
        <v>611.91</v>
      </c>
    </row>
    <row r="279" spans="1:6">
      <c r="C279" s="1162" t="s">
        <v>377</v>
      </c>
      <c r="D279" s="252">
        <v>611.91</v>
      </c>
      <c r="E279" s="296">
        <v>4.72</v>
      </c>
      <c r="F279" s="252">
        <v>616.63</v>
      </c>
    </row>
    <row r="280" spans="1:6">
      <c r="C280" s="1162" t="s">
        <v>1359</v>
      </c>
      <c r="D280" s="252">
        <v>616.63</v>
      </c>
      <c r="E280" s="296">
        <v>4.72</v>
      </c>
      <c r="F280" s="358">
        <v>621.35</v>
      </c>
    </row>
    <row r="281" spans="1:6">
      <c r="E281" s="296"/>
    </row>
    <row r="282" spans="1:6">
      <c r="A282" s="252">
        <v>21.2</v>
      </c>
      <c r="C282" s="1162" t="s">
        <v>1720</v>
      </c>
      <c r="E282" s="296"/>
      <c r="F282" s="358"/>
    </row>
    <row r="283" spans="1:6">
      <c r="C283" s="1162" t="s">
        <v>1579</v>
      </c>
      <c r="E283" s="296"/>
    </row>
    <row r="284" spans="1:6">
      <c r="A284" s="1205"/>
      <c r="B284" s="252" t="s">
        <v>154</v>
      </c>
      <c r="C284" s="1162" t="s">
        <v>1364</v>
      </c>
      <c r="E284" s="296"/>
      <c r="F284" s="252" t="s">
        <v>971</v>
      </c>
    </row>
    <row r="285" spans="1:6">
      <c r="C285" s="1162" t="s">
        <v>1579</v>
      </c>
      <c r="E285" s="296"/>
      <c r="F285" s="252" t="s">
        <v>971</v>
      </c>
    </row>
    <row r="286" spans="1:6">
      <c r="A286" s="252">
        <v>1</v>
      </c>
      <c r="B286" s="252" t="s">
        <v>866</v>
      </c>
      <c r="C286" s="1162" t="s">
        <v>1561</v>
      </c>
      <c r="D286" s="358">
        <v>13690</v>
      </c>
      <c r="E286" s="296" t="s">
        <v>866</v>
      </c>
      <c r="F286" s="252">
        <v>13690</v>
      </c>
    </row>
    <row r="287" spans="1:6">
      <c r="A287" s="316">
        <v>1</v>
      </c>
      <c r="B287" s="252" t="s">
        <v>866</v>
      </c>
      <c r="C287" s="1162" t="s">
        <v>1364</v>
      </c>
      <c r="D287" s="252">
        <v>111600</v>
      </c>
      <c r="E287" s="296" t="s">
        <v>866</v>
      </c>
      <c r="F287" s="252">
        <v>111600</v>
      </c>
    </row>
    <row r="288" spans="1:6">
      <c r="E288" s="296"/>
      <c r="F288" s="252" t="s">
        <v>2046</v>
      </c>
    </row>
    <row r="289" spans="1:6">
      <c r="C289" s="1162" t="s">
        <v>1562</v>
      </c>
      <c r="E289" s="296"/>
      <c r="F289" s="252">
        <v>125290</v>
      </c>
    </row>
    <row r="290" spans="1:6">
      <c r="A290" s="316"/>
      <c r="E290" s="296"/>
      <c r="F290" s="252" t="s">
        <v>2046</v>
      </c>
    </row>
    <row r="291" spans="1:6">
      <c r="B291" s="252" t="s">
        <v>1548</v>
      </c>
      <c r="C291" s="1162" t="s">
        <v>1563</v>
      </c>
      <c r="E291" s="296"/>
      <c r="F291" s="252" t="s">
        <v>971</v>
      </c>
    </row>
    <row r="292" spans="1:6">
      <c r="C292" s="1162" t="s">
        <v>1579</v>
      </c>
      <c r="E292" s="296"/>
    </row>
    <row r="293" spans="1:6">
      <c r="A293" s="252">
        <v>1</v>
      </c>
      <c r="B293" s="252" t="s">
        <v>866</v>
      </c>
      <c r="C293" s="1162" t="s">
        <v>1561</v>
      </c>
      <c r="D293" s="252">
        <v>13690</v>
      </c>
      <c r="E293" s="296" t="s">
        <v>866</v>
      </c>
      <c r="F293" s="358">
        <v>13690</v>
      </c>
    </row>
    <row r="294" spans="1:6">
      <c r="A294" s="261">
        <v>1</v>
      </c>
      <c r="B294" s="261" t="s">
        <v>866</v>
      </c>
      <c r="C294" s="1206" t="s">
        <v>1364</v>
      </c>
      <c r="D294" s="261">
        <v>99400</v>
      </c>
      <c r="E294" s="261" t="s">
        <v>866</v>
      </c>
      <c r="F294" s="261">
        <v>99400</v>
      </c>
    </row>
    <row r="295" spans="1:6">
      <c r="A295" s="261"/>
      <c r="B295" s="261"/>
      <c r="C295" s="1206"/>
      <c r="D295" s="261"/>
      <c r="E295" s="261"/>
      <c r="F295" s="261" t="s">
        <v>2046</v>
      </c>
    </row>
    <row r="296" spans="1:6">
      <c r="A296" s="261"/>
      <c r="B296" s="261"/>
      <c r="C296" s="1206" t="s">
        <v>1564</v>
      </c>
      <c r="D296" s="261"/>
      <c r="E296" s="261"/>
      <c r="F296" s="261">
        <v>113090</v>
      </c>
    </row>
    <row r="297" spans="1:6">
      <c r="A297" s="265"/>
      <c r="B297" s="261"/>
      <c r="C297" s="1206"/>
      <c r="D297" s="261"/>
      <c r="E297" s="261"/>
      <c r="F297" s="261" t="s">
        <v>2046</v>
      </c>
    </row>
    <row r="298" spans="1:6">
      <c r="A298" s="261"/>
      <c r="B298" s="261"/>
      <c r="C298" s="1206"/>
      <c r="D298" s="261"/>
      <c r="E298" s="261"/>
      <c r="F298" s="261"/>
    </row>
    <row r="299" spans="1:6">
      <c r="A299" s="261">
        <v>23.3</v>
      </c>
      <c r="B299" s="261"/>
      <c r="C299" s="1206" t="s">
        <v>2277</v>
      </c>
      <c r="D299" s="261" t="s">
        <v>4210</v>
      </c>
      <c r="E299" s="261"/>
      <c r="F299" s="261">
        <v>52</v>
      </c>
    </row>
    <row r="300" spans="1:6">
      <c r="A300" s="261"/>
      <c r="B300" s="261"/>
      <c r="C300" s="1206"/>
      <c r="D300" s="261"/>
      <c r="E300" s="261"/>
      <c r="F300" s="261"/>
    </row>
    <row r="301" spans="1:6">
      <c r="A301" s="261"/>
      <c r="B301" s="261"/>
      <c r="C301" s="1206"/>
      <c r="D301" s="261"/>
      <c r="E301" s="261"/>
      <c r="F301" s="261"/>
    </row>
    <row r="302" spans="1:6">
      <c r="A302" s="267" t="s">
        <v>1435</v>
      </c>
      <c r="B302" s="261" t="s">
        <v>2241</v>
      </c>
      <c r="C302" s="1206" t="s">
        <v>7018</v>
      </c>
      <c r="D302" s="261"/>
      <c r="E302" s="261"/>
      <c r="F302" s="261"/>
    </row>
    <row r="303" spans="1:6">
      <c r="A303" s="261"/>
      <c r="B303" s="261"/>
      <c r="C303" s="1206" t="s">
        <v>1436</v>
      </c>
      <c r="D303" s="261"/>
      <c r="E303" s="261"/>
      <c r="F303" s="261"/>
    </row>
    <row r="304" spans="1:6">
      <c r="A304" s="261"/>
      <c r="B304" s="261"/>
      <c r="C304" s="1206" t="s">
        <v>1579</v>
      </c>
      <c r="D304" s="261" t="s">
        <v>1579</v>
      </c>
      <c r="E304" s="261"/>
      <c r="F304" s="261"/>
    </row>
    <row r="305" spans="1:6">
      <c r="A305" s="261">
        <v>0.53339999999999999</v>
      </c>
      <c r="B305" s="261" t="s">
        <v>2273</v>
      </c>
      <c r="C305" s="1206" t="s">
        <v>5781</v>
      </c>
      <c r="D305" s="261">
        <v>306.89999999999998</v>
      </c>
      <c r="E305" s="261" t="s">
        <v>2273</v>
      </c>
      <c r="F305" s="261">
        <v>163.69999999999999</v>
      </c>
    </row>
    <row r="306" spans="1:6">
      <c r="A306" s="261">
        <v>4.24</v>
      </c>
      <c r="B306" s="261" t="s">
        <v>823</v>
      </c>
      <c r="C306" s="268" t="s">
        <v>4211</v>
      </c>
      <c r="D306" s="261">
        <v>35.61</v>
      </c>
      <c r="E306" s="261" t="s">
        <v>823</v>
      </c>
      <c r="F306" s="261">
        <v>150.99</v>
      </c>
    </row>
    <row r="307" spans="1:6">
      <c r="A307" s="267">
        <v>16</v>
      </c>
      <c r="B307" s="261" t="s">
        <v>557</v>
      </c>
      <c r="C307" s="268" t="s">
        <v>4212</v>
      </c>
      <c r="D307" s="261">
        <v>1</v>
      </c>
      <c r="E307" s="261" t="s">
        <v>1393</v>
      </c>
      <c r="F307" s="261">
        <v>16</v>
      </c>
    </row>
    <row r="308" spans="1:6">
      <c r="A308" s="261">
        <v>0.53339999999999999</v>
      </c>
      <c r="B308" s="261" t="s">
        <v>2273</v>
      </c>
      <c r="C308" s="1206" t="s">
        <v>704</v>
      </c>
      <c r="D308" s="261">
        <v>215.74</v>
      </c>
      <c r="E308" s="261" t="s">
        <v>2273</v>
      </c>
      <c r="F308" s="261">
        <v>115.08</v>
      </c>
    </row>
    <row r="309" spans="1:6">
      <c r="A309" s="261"/>
      <c r="B309" s="261" t="s">
        <v>446</v>
      </c>
      <c r="C309" s="1206" t="s">
        <v>2261</v>
      </c>
      <c r="D309" s="261"/>
      <c r="E309" s="261" t="s">
        <v>446</v>
      </c>
      <c r="F309" s="261"/>
    </row>
    <row r="310" spans="1:6">
      <c r="A310" s="261"/>
      <c r="B310" s="261"/>
      <c r="C310" s="1206" t="s">
        <v>2262</v>
      </c>
      <c r="D310" s="261"/>
      <c r="E310" s="261"/>
      <c r="F310" s="261"/>
    </row>
    <row r="311" spans="1:6">
      <c r="A311" s="261"/>
      <c r="B311" s="261"/>
      <c r="C311" s="1206"/>
      <c r="D311" s="261"/>
      <c r="E311" s="261"/>
      <c r="F311" s="261" t="s">
        <v>1579</v>
      </c>
    </row>
    <row r="312" spans="1:6">
      <c r="A312" s="261"/>
      <c r="B312" s="261"/>
      <c r="C312" s="1206" t="s">
        <v>1686</v>
      </c>
      <c r="D312" s="261"/>
      <c r="E312" s="261"/>
      <c r="F312" s="261">
        <v>445.77</v>
      </c>
    </row>
    <row r="313" spans="1:6">
      <c r="A313" s="261"/>
      <c r="B313" s="261"/>
      <c r="C313" s="262"/>
      <c r="D313" s="261"/>
      <c r="E313" s="261"/>
      <c r="F313" s="261" t="s">
        <v>1579</v>
      </c>
    </row>
    <row r="314" spans="1:6">
      <c r="A314" s="261"/>
      <c r="B314" s="261"/>
      <c r="C314" s="1206" t="s">
        <v>1687</v>
      </c>
      <c r="D314" s="261"/>
      <c r="E314" s="261"/>
      <c r="F314" s="261">
        <v>835.7</v>
      </c>
    </row>
    <row r="315" spans="1:6">
      <c r="A315" s="261" t="s">
        <v>971</v>
      </c>
      <c r="B315" s="261"/>
      <c r="C315" s="1206"/>
      <c r="D315" s="261"/>
      <c r="E315" s="261"/>
      <c r="F315" s="261" t="s">
        <v>2046</v>
      </c>
    </row>
    <row r="316" spans="1:6">
      <c r="A316" s="261" t="s">
        <v>971</v>
      </c>
      <c r="B316" s="261" t="s">
        <v>971</v>
      </c>
      <c r="C316" s="1206" t="s">
        <v>971</v>
      </c>
      <c r="D316" s="261"/>
      <c r="E316" s="261"/>
      <c r="F316" s="261"/>
    </row>
    <row r="317" spans="1:6">
      <c r="A317" s="261" t="s">
        <v>1790</v>
      </c>
      <c r="B317" s="261" t="s">
        <v>2241</v>
      </c>
      <c r="C317" s="1206" t="s">
        <v>1485</v>
      </c>
      <c r="D317" s="261"/>
      <c r="E317" s="261"/>
      <c r="F317" s="261"/>
    </row>
    <row r="318" spans="1:6">
      <c r="A318" s="261"/>
      <c r="B318" s="261"/>
      <c r="C318" s="262" t="s">
        <v>159</v>
      </c>
      <c r="D318" s="261"/>
      <c r="E318" s="261"/>
      <c r="F318" s="261"/>
    </row>
    <row r="319" spans="1:6">
      <c r="A319" s="261"/>
      <c r="B319" s="261"/>
      <c r="C319" s="268" t="s">
        <v>1579</v>
      </c>
      <c r="D319" s="261"/>
      <c r="E319" s="261"/>
      <c r="F319" s="261"/>
    </row>
    <row r="320" spans="1:6">
      <c r="A320" s="261">
        <v>1</v>
      </c>
      <c r="B320" s="261" t="s">
        <v>1637</v>
      </c>
      <c r="C320" s="262" t="s">
        <v>4887</v>
      </c>
      <c r="D320" s="261">
        <v>69.599999999999994</v>
      </c>
      <c r="E320" s="261" t="s">
        <v>1637</v>
      </c>
      <c r="F320" s="261">
        <v>69.599999999999994</v>
      </c>
    </row>
    <row r="321" spans="1:6">
      <c r="A321" s="261"/>
      <c r="B321" s="261"/>
      <c r="C321" s="1206"/>
      <c r="D321" s="261"/>
      <c r="E321" s="261"/>
      <c r="F321" s="261" t="s">
        <v>2046</v>
      </c>
    </row>
    <row r="322" spans="1:6">
      <c r="A322" s="261">
        <v>39</v>
      </c>
      <c r="B322" s="261"/>
      <c r="C322" s="1206" t="s">
        <v>4888</v>
      </c>
      <c r="D322" s="261">
        <v>70.150000000000006</v>
      </c>
      <c r="E322" s="261" t="s">
        <v>1637</v>
      </c>
      <c r="F322" s="261">
        <v>70.150000000000006</v>
      </c>
    </row>
    <row r="323" spans="1:6">
      <c r="A323" s="261" t="s">
        <v>442</v>
      </c>
      <c r="B323" s="261" t="s">
        <v>2241</v>
      </c>
      <c r="C323" s="1206" t="s">
        <v>4213</v>
      </c>
      <c r="D323" s="261" t="s">
        <v>971</v>
      </c>
      <c r="E323" s="261" t="s">
        <v>1708</v>
      </c>
      <c r="F323" s="261">
        <v>9.6</v>
      </c>
    </row>
    <row r="324" spans="1:6">
      <c r="A324" s="265"/>
      <c r="B324" s="261"/>
      <c r="C324" s="1206" t="s">
        <v>259</v>
      </c>
      <c r="D324" s="261"/>
      <c r="E324" s="261"/>
      <c r="F324" s="261" t="s">
        <v>2046</v>
      </c>
    </row>
    <row r="325" spans="1:6">
      <c r="A325" s="261"/>
      <c r="B325" s="261"/>
      <c r="C325" s="1206"/>
      <c r="D325" s="261"/>
      <c r="E325" s="261"/>
      <c r="F325" s="261"/>
    </row>
    <row r="326" spans="1:6">
      <c r="A326" s="261" t="s">
        <v>663</v>
      </c>
      <c r="B326" s="261" t="s">
        <v>2241</v>
      </c>
      <c r="C326" s="1206" t="s">
        <v>664</v>
      </c>
      <c r="D326" s="261"/>
      <c r="E326" s="261"/>
      <c r="F326" s="261"/>
    </row>
    <row r="327" spans="1:6">
      <c r="A327" s="265"/>
      <c r="B327" s="261"/>
      <c r="C327" s="1206" t="s">
        <v>666</v>
      </c>
      <c r="D327" s="261"/>
      <c r="E327" s="261"/>
      <c r="F327" s="261"/>
    </row>
    <row r="328" spans="1:6">
      <c r="A328" s="261"/>
      <c r="B328" s="261"/>
      <c r="C328" s="1206" t="s">
        <v>1579</v>
      </c>
      <c r="D328" s="261"/>
      <c r="E328" s="261"/>
      <c r="F328" s="261"/>
    </row>
    <row r="329" spans="1:6">
      <c r="A329" s="261">
        <v>9</v>
      </c>
      <c r="B329" s="261" t="s">
        <v>866</v>
      </c>
      <c r="C329" s="268" t="s">
        <v>1630</v>
      </c>
      <c r="D329" s="261">
        <v>1577.9</v>
      </c>
      <c r="E329" s="261" t="s">
        <v>866</v>
      </c>
      <c r="F329" s="261">
        <v>14201.1</v>
      </c>
    </row>
    <row r="330" spans="1:6">
      <c r="A330" s="261">
        <v>4.5</v>
      </c>
      <c r="B330" s="261" t="s">
        <v>866</v>
      </c>
      <c r="C330" s="1206" t="s">
        <v>1617</v>
      </c>
      <c r="D330" s="261">
        <v>3701.62</v>
      </c>
      <c r="E330" s="261" t="s">
        <v>866</v>
      </c>
      <c r="F330" s="261">
        <v>16657.29</v>
      </c>
    </row>
    <row r="331" spans="1:6">
      <c r="A331" s="261">
        <v>1.8</v>
      </c>
      <c r="B331" s="261" t="s">
        <v>865</v>
      </c>
      <c r="C331" s="1206" t="s">
        <v>1704</v>
      </c>
      <c r="D331" s="261">
        <v>932</v>
      </c>
      <c r="E331" s="261" t="s">
        <v>865</v>
      </c>
      <c r="F331" s="261">
        <v>1677.6</v>
      </c>
    </row>
    <row r="332" spans="1:6">
      <c r="A332" s="261">
        <v>17.7</v>
      </c>
      <c r="B332" s="261" t="s">
        <v>865</v>
      </c>
      <c r="C332" s="1206" t="s">
        <v>1893</v>
      </c>
      <c r="D332" s="261">
        <v>651</v>
      </c>
      <c r="E332" s="261" t="s">
        <v>865</v>
      </c>
      <c r="F332" s="270">
        <v>11522.7</v>
      </c>
    </row>
    <row r="333" spans="1:6">
      <c r="A333" s="261">
        <v>14.1</v>
      </c>
      <c r="B333" s="261" t="s">
        <v>865</v>
      </c>
      <c r="C333" s="1206" t="s">
        <v>317</v>
      </c>
      <c r="D333" s="261">
        <v>534</v>
      </c>
      <c r="E333" s="261" t="s">
        <v>865</v>
      </c>
      <c r="F333" s="261">
        <v>7529.4</v>
      </c>
    </row>
    <row r="334" spans="1:6">
      <c r="A334" s="261"/>
      <c r="B334" s="261" t="s">
        <v>446</v>
      </c>
      <c r="C334" s="1206" t="s">
        <v>447</v>
      </c>
      <c r="D334" s="261"/>
      <c r="E334" s="261" t="s">
        <v>446</v>
      </c>
      <c r="F334" s="261">
        <v>0</v>
      </c>
    </row>
    <row r="335" spans="1:6">
      <c r="A335" s="261"/>
      <c r="B335" s="261"/>
      <c r="C335" s="262"/>
      <c r="D335" s="261"/>
      <c r="E335" s="261"/>
      <c r="F335" s="261" t="s">
        <v>1579</v>
      </c>
    </row>
    <row r="336" spans="1:6">
      <c r="A336" s="261"/>
      <c r="B336" s="261"/>
      <c r="C336" s="1206"/>
      <c r="D336" s="261"/>
      <c r="E336" s="261"/>
      <c r="F336" s="261">
        <v>51588.09</v>
      </c>
    </row>
    <row r="337" spans="1:6">
      <c r="A337" s="261"/>
      <c r="B337" s="261"/>
      <c r="C337" s="1206" t="s">
        <v>611</v>
      </c>
      <c r="D337" s="261"/>
      <c r="E337" s="261"/>
      <c r="F337" s="261" t="s">
        <v>1579</v>
      </c>
    </row>
    <row r="338" spans="1:6">
      <c r="A338" s="261"/>
      <c r="B338" s="261"/>
      <c r="C338" s="262"/>
      <c r="D338" s="261"/>
      <c r="E338" s="261"/>
      <c r="F338" s="261">
        <v>5158.8100000000004</v>
      </c>
    </row>
    <row r="339" spans="1:6">
      <c r="A339" s="261"/>
      <c r="B339" s="261"/>
      <c r="C339" s="262" t="s">
        <v>770</v>
      </c>
      <c r="D339" s="261"/>
      <c r="E339" s="261"/>
      <c r="F339" s="261" t="s">
        <v>2046</v>
      </c>
    </row>
    <row r="340" spans="1:6">
      <c r="A340" s="261"/>
      <c r="B340" s="261"/>
      <c r="C340" s="1206"/>
      <c r="D340" s="261"/>
      <c r="E340" s="261"/>
      <c r="F340" s="261"/>
    </row>
    <row r="341" spans="1:6">
      <c r="A341" s="261" t="s">
        <v>224</v>
      </c>
      <c r="B341" s="261" t="s">
        <v>2241</v>
      </c>
      <c r="C341" s="1206" t="s">
        <v>1913</v>
      </c>
      <c r="D341" s="261"/>
      <c r="E341" s="261"/>
      <c r="F341" s="270"/>
    </row>
    <row r="342" spans="1:6">
      <c r="A342" s="261"/>
      <c r="B342" s="261"/>
      <c r="C342" s="1206" t="s">
        <v>929</v>
      </c>
      <c r="D342" s="261"/>
      <c r="E342" s="261"/>
      <c r="F342" s="261"/>
    </row>
    <row r="343" spans="1:6">
      <c r="C343" s="1162" t="s">
        <v>1579</v>
      </c>
    </row>
    <row r="344" spans="1:6">
      <c r="A344" s="252">
        <v>0.22</v>
      </c>
      <c r="B344" s="252" t="s">
        <v>866</v>
      </c>
      <c r="C344" s="1162" t="s">
        <v>1302</v>
      </c>
      <c r="D344" s="252">
        <v>4136.5</v>
      </c>
      <c r="E344" s="252" t="s">
        <v>866</v>
      </c>
      <c r="F344" s="252">
        <v>910.03</v>
      </c>
    </row>
    <row r="345" spans="1:6">
      <c r="A345" s="252">
        <v>2.2000000000000002</v>
      </c>
      <c r="B345" s="252" t="s">
        <v>766</v>
      </c>
      <c r="C345" s="1162" t="s">
        <v>2000</v>
      </c>
      <c r="D345" s="252">
        <v>999</v>
      </c>
      <c r="E345" s="252" t="s">
        <v>766</v>
      </c>
      <c r="F345" s="252">
        <v>2197.8000000000002</v>
      </c>
    </row>
    <row r="346" spans="1:6">
      <c r="A346" s="252">
        <v>0.5</v>
      </c>
      <c r="B346" s="252" t="s">
        <v>766</v>
      </c>
      <c r="C346" s="1162" t="s">
        <v>930</v>
      </c>
      <c r="D346" s="252">
        <v>651</v>
      </c>
      <c r="E346" s="252" t="s">
        <v>766</v>
      </c>
      <c r="F346" s="252">
        <v>325.5</v>
      </c>
    </row>
    <row r="347" spans="1:6">
      <c r="A347" s="252">
        <v>3.2</v>
      </c>
      <c r="B347" s="252" t="s">
        <v>766</v>
      </c>
      <c r="C347" s="1162" t="s">
        <v>317</v>
      </c>
      <c r="D347" s="252">
        <v>534</v>
      </c>
      <c r="E347" s="252" t="s">
        <v>766</v>
      </c>
      <c r="F347" s="252">
        <v>1708.8</v>
      </c>
    </row>
    <row r="348" spans="1:6">
      <c r="B348" s="252" t="s">
        <v>446</v>
      </c>
      <c r="C348" s="1163" t="s">
        <v>447</v>
      </c>
      <c r="D348" s="252" t="s">
        <v>971</v>
      </c>
      <c r="E348" s="586" t="s">
        <v>446</v>
      </c>
      <c r="F348" s="586">
        <v>5</v>
      </c>
    </row>
    <row r="349" spans="1:6">
      <c r="C349" s="1163"/>
      <c r="F349" s="252" t="s">
        <v>1579</v>
      </c>
    </row>
    <row r="350" spans="1:6">
      <c r="C350" s="1163" t="s">
        <v>438</v>
      </c>
      <c r="E350" s="586"/>
      <c r="F350" s="586">
        <v>5147.13</v>
      </c>
    </row>
    <row r="351" spans="1:6">
      <c r="A351" s="252" t="s">
        <v>971</v>
      </c>
      <c r="C351" s="1163"/>
      <c r="F351" s="252" t="s">
        <v>1579</v>
      </c>
    </row>
    <row r="352" spans="1:6">
      <c r="C352" s="1162" t="s">
        <v>549</v>
      </c>
      <c r="F352" s="252">
        <v>514.71</v>
      </c>
    </row>
    <row r="353" spans="1:6">
      <c r="A353" s="261"/>
      <c r="B353" s="261"/>
      <c r="C353" s="1206"/>
      <c r="D353" s="261"/>
      <c r="E353" s="261"/>
      <c r="F353" s="261"/>
    </row>
    <row r="354" spans="1:6">
      <c r="A354" s="261"/>
      <c r="B354" s="261"/>
      <c r="C354" s="1206"/>
      <c r="D354" s="261"/>
      <c r="E354" s="261"/>
      <c r="F354" s="261"/>
    </row>
    <row r="355" spans="1:6">
      <c r="A355" s="261" t="s">
        <v>206</v>
      </c>
      <c r="B355" s="261" t="s">
        <v>2241</v>
      </c>
      <c r="C355" s="1206" t="s">
        <v>1913</v>
      </c>
      <c r="D355" s="261"/>
      <c r="E355" s="261"/>
      <c r="F355" s="261"/>
    </row>
    <row r="356" spans="1:6">
      <c r="A356" s="261"/>
      <c r="B356" s="261"/>
      <c r="C356" s="1206" t="s">
        <v>2223</v>
      </c>
      <c r="D356" s="261"/>
      <c r="E356" s="261"/>
      <c r="F356" s="261"/>
    </row>
    <row r="357" spans="1:6">
      <c r="A357" s="261"/>
      <c r="B357" s="261"/>
      <c r="C357" s="262" t="s">
        <v>1682</v>
      </c>
      <c r="D357" s="261"/>
      <c r="E357" s="261"/>
      <c r="F357" s="261"/>
    </row>
    <row r="358" spans="1:6">
      <c r="A358" s="261"/>
      <c r="B358" s="261"/>
      <c r="C358" s="1206" t="s">
        <v>7019</v>
      </c>
      <c r="D358" s="261"/>
      <c r="E358" s="261"/>
      <c r="F358" s="261"/>
    </row>
    <row r="359" spans="1:6">
      <c r="A359" s="261"/>
      <c r="B359" s="261"/>
      <c r="C359" s="1206" t="s">
        <v>1579</v>
      </c>
      <c r="D359" s="261"/>
      <c r="E359" s="261"/>
      <c r="F359" s="261"/>
    </row>
    <row r="360" spans="1:6">
      <c r="A360" s="261">
        <v>0.24</v>
      </c>
      <c r="B360" s="261" t="s">
        <v>866</v>
      </c>
      <c r="C360" s="1206" t="s">
        <v>1683</v>
      </c>
      <c r="D360" s="261">
        <v>1281.77</v>
      </c>
      <c r="E360" s="261" t="s">
        <v>866</v>
      </c>
      <c r="F360" s="261">
        <v>307.62</v>
      </c>
    </row>
    <row r="361" spans="1:6">
      <c r="A361" s="261">
        <v>0.11700000000000001</v>
      </c>
      <c r="B361" s="261" t="s">
        <v>858</v>
      </c>
      <c r="C361" s="1206" t="s">
        <v>859</v>
      </c>
      <c r="D361" s="252">
        <v>6040</v>
      </c>
      <c r="E361" s="261" t="s">
        <v>858</v>
      </c>
      <c r="F361" s="261">
        <v>706.68</v>
      </c>
    </row>
    <row r="362" spans="1:6">
      <c r="A362" s="261">
        <v>0.5</v>
      </c>
      <c r="B362" s="261" t="s">
        <v>766</v>
      </c>
      <c r="C362" s="1164" t="s">
        <v>2000</v>
      </c>
      <c r="D362" s="261">
        <v>999</v>
      </c>
      <c r="E362" s="261" t="s">
        <v>766</v>
      </c>
      <c r="F362" s="261">
        <v>499.5</v>
      </c>
    </row>
    <row r="363" spans="1:6">
      <c r="A363" s="375">
        <v>1.1000000000000001</v>
      </c>
      <c r="B363" s="252" t="s">
        <v>766</v>
      </c>
      <c r="C363" s="1162" t="s">
        <v>930</v>
      </c>
      <c r="D363" s="252">
        <v>651</v>
      </c>
      <c r="E363" s="296" t="s">
        <v>766</v>
      </c>
      <c r="F363" s="252">
        <v>716.1</v>
      </c>
    </row>
    <row r="364" spans="1:6">
      <c r="A364" s="252">
        <v>4.3</v>
      </c>
      <c r="B364" s="252" t="s">
        <v>766</v>
      </c>
      <c r="C364" s="1162" t="s">
        <v>317</v>
      </c>
      <c r="D364" s="252">
        <v>534</v>
      </c>
      <c r="E364" s="296" t="s">
        <v>766</v>
      </c>
      <c r="F364" s="252">
        <v>2296.1999999999998</v>
      </c>
    </row>
    <row r="365" spans="1:6">
      <c r="B365" s="252" t="s">
        <v>446</v>
      </c>
      <c r="C365" s="1162" t="s">
        <v>447</v>
      </c>
      <c r="E365" s="296" t="s">
        <v>446</v>
      </c>
      <c r="F365" s="252">
        <v>0</v>
      </c>
    </row>
    <row r="366" spans="1:6">
      <c r="E366" s="296"/>
      <c r="F366" s="252" t="s">
        <v>1579</v>
      </c>
    </row>
    <row r="367" spans="1:6">
      <c r="C367" s="1162" t="s">
        <v>438</v>
      </c>
      <c r="E367" s="296"/>
      <c r="F367" s="252">
        <v>4526.1000000000004</v>
      </c>
    </row>
    <row r="368" spans="1:6">
      <c r="A368" s="510"/>
      <c r="B368" s="510"/>
      <c r="C368" s="268"/>
      <c r="D368" s="510"/>
      <c r="E368" s="312"/>
      <c r="F368" s="510" t="s">
        <v>1579</v>
      </c>
    </row>
    <row r="369" spans="1:6">
      <c r="C369" s="1162" t="s">
        <v>549</v>
      </c>
      <c r="D369" s="510"/>
      <c r="E369" s="296"/>
      <c r="F369" s="252">
        <v>452.61</v>
      </c>
    </row>
    <row r="370" spans="1:6">
      <c r="D370" s="510"/>
      <c r="E370" s="1205"/>
    </row>
    <row r="371" spans="1:6">
      <c r="A371" s="510" t="s">
        <v>1929</v>
      </c>
      <c r="B371" s="510" t="s">
        <v>2241</v>
      </c>
      <c r="C371" s="1162" t="s">
        <v>7020</v>
      </c>
      <c r="D371" s="510"/>
      <c r="E371" s="296"/>
      <c r="F371" s="510"/>
    </row>
    <row r="372" spans="1:6">
      <c r="C372" s="1162" t="s">
        <v>1930</v>
      </c>
      <c r="D372" s="510"/>
      <c r="E372" s="1205"/>
    </row>
    <row r="373" spans="1:6">
      <c r="C373" s="1162" t="s">
        <v>1931</v>
      </c>
      <c r="D373" s="510"/>
      <c r="E373" s="296"/>
      <c r="F373" s="510"/>
    </row>
    <row r="374" spans="1:6">
      <c r="C374" s="1162" t="s">
        <v>753</v>
      </c>
      <c r="D374" s="510"/>
      <c r="E374" s="296"/>
    </row>
    <row r="375" spans="1:6">
      <c r="C375" s="1162" t="s">
        <v>746</v>
      </c>
      <c r="D375" s="510"/>
      <c r="E375" s="296"/>
    </row>
    <row r="376" spans="1:6">
      <c r="C376" s="1162" t="s">
        <v>1579</v>
      </c>
      <c r="D376" s="510"/>
      <c r="E376" s="296"/>
    </row>
    <row r="377" spans="1:6">
      <c r="A377" s="252">
        <v>12.8</v>
      </c>
      <c r="B377" s="252" t="s">
        <v>866</v>
      </c>
      <c r="C377" s="1162" t="s">
        <v>747</v>
      </c>
      <c r="D377" s="510">
        <v>801.98</v>
      </c>
      <c r="E377" s="296" t="s">
        <v>866</v>
      </c>
      <c r="F377" s="252">
        <v>10265.34</v>
      </c>
    </row>
    <row r="378" spans="1:6">
      <c r="A378" s="252">
        <v>5</v>
      </c>
      <c r="B378" s="252" t="s">
        <v>866</v>
      </c>
      <c r="C378" s="1162" t="s">
        <v>748</v>
      </c>
      <c r="D378" s="252">
        <v>1170.8</v>
      </c>
      <c r="E378" s="296" t="s">
        <v>866</v>
      </c>
      <c r="F378" s="252">
        <v>5854</v>
      </c>
    </row>
    <row r="379" spans="1:6">
      <c r="A379" s="252">
        <v>1.8</v>
      </c>
      <c r="B379" s="252" t="s">
        <v>766</v>
      </c>
      <c r="C379" s="1162" t="s">
        <v>2000</v>
      </c>
      <c r="D379" s="252">
        <v>999</v>
      </c>
      <c r="E379" s="296" t="s">
        <v>766</v>
      </c>
      <c r="F379" s="358">
        <v>1798.2</v>
      </c>
    </row>
    <row r="380" spans="1:6">
      <c r="A380" s="252">
        <v>17.7</v>
      </c>
      <c r="B380" s="252" t="s">
        <v>766</v>
      </c>
      <c r="C380" s="1162" t="s">
        <v>930</v>
      </c>
      <c r="D380" s="252">
        <v>651</v>
      </c>
      <c r="E380" s="296" t="s">
        <v>766</v>
      </c>
      <c r="F380" s="252">
        <v>11522.7</v>
      </c>
    </row>
    <row r="381" spans="1:6">
      <c r="A381" s="252">
        <v>14.1</v>
      </c>
      <c r="B381" s="252" t="s">
        <v>766</v>
      </c>
      <c r="C381" s="1162" t="s">
        <v>317</v>
      </c>
      <c r="D381" s="252">
        <v>534</v>
      </c>
      <c r="E381" s="296" t="s">
        <v>766</v>
      </c>
      <c r="F381" s="358">
        <v>7529.4</v>
      </c>
    </row>
    <row r="382" spans="1:6">
      <c r="A382" s="261"/>
      <c r="B382" s="261" t="s">
        <v>446</v>
      </c>
      <c r="C382" s="1206" t="s">
        <v>447</v>
      </c>
      <c r="D382" s="261"/>
      <c r="E382" s="261" t="s">
        <v>446</v>
      </c>
      <c r="F382" s="261">
        <v>0</v>
      </c>
    </row>
    <row r="383" spans="1:6">
      <c r="A383" s="261"/>
      <c r="B383" s="261"/>
      <c r="C383" s="1206"/>
      <c r="D383" s="261"/>
      <c r="E383" s="261"/>
      <c r="F383" s="261" t="s">
        <v>1579</v>
      </c>
    </row>
    <row r="384" spans="1:6">
      <c r="A384" s="261"/>
      <c r="B384" s="261"/>
      <c r="C384" s="1206" t="s">
        <v>611</v>
      </c>
      <c r="D384" s="264"/>
      <c r="E384" s="261"/>
      <c r="F384" s="261">
        <v>36969.64</v>
      </c>
    </row>
    <row r="385" spans="1:6">
      <c r="A385" s="261"/>
      <c r="B385" s="261"/>
      <c r="C385" s="1206"/>
      <c r="D385" s="261"/>
      <c r="E385" s="261"/>
      <c r="F385" s="261" t="s">
        <v>1579</v>
      </c>
    </row>
    <row r="386" spans="1:6">
      <c r="A386" s="261"/>
      <c r="B386" s="261"/>
      <c r="C386" s="1206" t="s">
        <v>770</v>
      </c>
      <c r="D386" s="261"/>
      <c r="E386" s="261"/>
      <c r="F386" s="261">
        <v>3696.96</v>
      </c>
    </row>
    <row r="387" spans="1:6">
      <c r="A387" s="261"/>
      <c r="B387" s="261"/>
      <c r="C387" s="1206"/>
      <c r="D387" s="261"/>
      <c r="E387" s="261"/>
      <c r="F387" s="261" t="s">
        <v>2046</v>
      </c>
    </row>
    <row r="388" spans="1:6">
      <c r="A388" s="261"/>
      <c r="B388" s="261"/>
      <c r="C388" s="1206"/>
      <c r="D388" s="261"/>
      <c r="E388" s="261"/>
      <c r="F388" s="261"/>
    </row>
    <row r="389" spans="1:6">
      <c r="A389" s="261"/>
      <c r="B389" s="261" t="s">
        <v>672</v>
      </c>
      <c r="C389" s="1206" t="s">
        <v>749</v>
      </c>
      <c r="D389" s="261"/>
      <c r="E389" s="261"/>
      <c r="F389" s="261"/>
    </row>
    <row r="390" spans="1:6">
      <c r="A390" s="261"/>
      <c r="B390" s="261"/>
      <c r="C390" s="262" t="s">
        <v>750</v>
      </c>
      <c r="D390" s="269"/>
      <c r="E390" s="261"/>
      <c r="F390" s="261"/>
    </row>
    <row r="391" spans="1:6">
      <c r="A391" s="261"/>
      <c r="B391" s="261"/>
      <c r="C391" s="262" t="s">
        <v>1579</v>
      </c>
      <c r="D391" s="269"/>
      <c r="E391" s="261"/>
      <c r="F391" s="261"/>
    </row>
    <row r="392" spans="1:6">
      <c r="A392" s="261">
        <v>0.04</v>
      </c>
      <c r="B392" s="261" t="s">
        <v>866</v>
      </c>
      <c r="C392" s="262" t="s">
        <v>751</v>
      </c>
      <c r="D392" s="261">
        <v>4861.3</v>
      </c>
      <c r="E392" s="261" t="s">
        <v>866</v>
      </c>
      <c r="F392" s="261">
        <v>194.45</v>
      </c>
    </row>
    <row r="393" spans="1:6">
      <c r="A393" s="252">
        <v>2.2000000000000002</v>
      </c>
      <c r="B393" s="252" t="s">
        <v>766</v>
      </c>
      <c r="C393" s="1162" t="s">
        <v>1704</v>
      </c>
      <c r="D393" s="252">
        <v>932</v>
      </c>
      <c r="E393" s="296" t="s">
        <v>766</v>
      </c>
      <c r="F393" s="252">
        <v>2050.4</v>
      </c>
    </row>
    <row r="394" spans="1:6">
      <c r="A394" s="252">
        <v>0.5</v>
      </c>
      <c r="B394" s="252" t="s">
        <v>766</v>
      </c>
      <c r="C394" s="1162" t="s">
        <v>1893</v>
      </c>
      <c r="D394" s="252">
        <v>651</v>
      </c>
      <c r="E394" s="296" t="s">
        <v>766</v>
      </c>
      <c r="F394" s="358">
        <v>325.5</v>
      </c>
    </row>
    <row r="395" spans="1:6">
      <c r="A395" s="719">
        <v>1.1000000000000001</v>
      </c>
      <c r="B395" s="268" t="s">
        <v>766</v>
      </c>
      <c r="C395" s="268" t="s">
        <v>317</v>
      </c>
      <c r="D395" s="268">
        <v>534</v>
      </c>
      <c r="E395" s="389" t="s">
        <v>766</v>
      </c>
      <c r="F395" s="268">
        <v>587.4</v>
      </c>
    </row>
    <row r="396" spans="1:6">
      <c r="A396" s="531"/>
      <c r="B396" s="268" t="s">
        <v>446</v>
      </c>
      <c r="C396" s="268" t="s">
        <v>447</v>
      </c>
      <c r="D396" s="268"/>
      <c r="E396" s="389" t="s">
        <v>446</v>
      </c>
      <c r="F396" s="268">
        <v>0</v>
      </c>
    </row>
    <row r="397" spans="1:6">
      <c r="A397" s="531"/>
      <c r="B397" s="268"/>
      <c r="C397" s="268"/>
      <c r="D397" s="268"/>
      <c r="E397" s="389"/>
      <c r="F397" s="268" t="s">
        <v>1579</v>
      </c>
    </row>
    <row r="398" spans="1:6">
      <c r="A398" s="268"/>
      <c r="B398" s="268"/>
      <c r="C398" s="268" t="s">
        <v>438</v>
      </c>
      <c r="D398" s="268"/>
      <c r="E398" s="389"/>
      <c r="F398" s="268">
        <v>3157.75</v>
      </c>
    </row>
    <row r="399" spans="1:6">
      <c r="A399" s="531"/>
      <c r="B399" s="268"/>
      <c r="C399" s="268"/>
      <c r="D399" s="268"/>
      <c r="E399" s="389"/>
      <c r="F399" s="268" t="s">
        <v>1579</v>
      </c>
    </row>
    <row r="400" spans="1:6">
      <c r="A400" s="531"/>
      <c r="B400" s="268"/>
      <c r="C400" s="268" t="s">
        <v>549</v>
      </c>
      <c r="D400" s="268"/>
      <c r="E400" s="389"/>
      <c r="F400" s="268">
        <v>315.77999999999997</v>
      </c>
    </row>
    <row r="401" spans="1:6">
      <c r="A401" s="531"/>
      <c r="B401" s="268"/>
      <c r="C401" s="268"/>
      <c r="D401" s="268"/>
      <c r="E401" s="389"/>
      <c r="F401" s="268" t="s">
        <v>2046</v>
      </c>
    </row>
    <row r="402" spans="1:6">
      <c r="A402" s="268"/>
      <c r="B402" s="268"/>
      <c r="C402" s="268"/>
      <c r="D402" s="268"/>
      <c r="E402" s="389"/>
      <c r="F402" s="532"/>
    </row>
    <row r="403" spans="1:6">
      <c r="A403" s="268">
        <v>32.1</v>
      </c>
      <c r="B403" s="268" t="s">
        <v>2241</v>
      </c>
      <c r="C403" s="268" t="s">
        <v>752</v>
      </c>
      <c r="D403" s="268"/>
      <c r="E403" s="389"/>
      <c r="F403" s="268"/>
    </row>
    <row r="404" spans="1:6">
      <c r="A404" s="268"/>
      <c r="B404" s="268"/>
      <c r="C404" s="268" t="s">
        <v>1476</v>
      </c>
      <c r="D404" s="268"/>
      <c r="E404" s="389"/>
      <c r="F404" s="532"/>
    </row>
    <row r="405" spans="1:6">
      <c r="A405" s="268"/>
      <c r="B405" s="268"/>
      <c r="C405" s="268" t="s">
        <v>680</v>
      </c>
      <c r="D405" s="268"/>
      <c r="E405" s="389"/>
      <c r="F405" s="268"/>
    </row>
    <row r="406" spans="1:6">
      <c r="A406" s="720"/>
      <c r="B406" s="492"/>
      <c r="C406" s="1165" t="s">
        <v>1958</v>
      </c>
      <c r="D406" s="492"/>
      <c r="E406" s="493"/>
      <c r="F406" s="492"/>
    </row>
    <row r="407" spans="1:6">
      <c r="A407" s="494"/>
      <c r="C407" s="1162" t="s">
        <v>1288</v>
      </c>
      <c r="E407" s="296"/>
    </row>
    <row r="408" spans="1:6">
      <c r="A408" s="494"/>
      <c r="C408" s="1162" t="s">
        <v>1579</v>
      </c>
      <c r="E408" s="296"/>
    </row>
    <row r="409" spans="1:6">
      <c r="A409" s="494">
        <v>190</v>
      </c>
      <c r="B409" s="252" t="s">
        <v>1865</v>
      </c>
      <c r="C409" s="1162" t="s">
        <v>3868</v>
      </c>
      <c r="D409" s="252">
        <v>16106</v>
      </c>
      <c r="E409" s="296" t="s">
        <v>1474</v>
      </c>
      <c r="F409" s="252">
        <v>3060.14</v>
      </c>
    </row>
    <row r="410" spans="1:6">
      <c r="A410" s="494">
        <v>0.12</v>
      </c>
      <c r="B410" s="252" t="s">
        <v>866</v>
      </c>
      <c r="C410" s="1162" t="s">
        <v>1868</v>
      </c>
      <c r="D410" s="252">
        <v>4861.3</v>
      </c>
      <c r="E410" s="296" t="s">
        <v>866</v>
      </c>
      <c r="F410" s="296">
        <v>583.36</v>
      </c>
    </row>
    <row r="411" spans="1:6">
      <c r="A411" s="494">
        <v>10</v>
      </c>
      <c r="B411" s="252" t="s">
        <v>606</v>
      </c>
      <c r="C411" s="1162" t="s">
        <v>1290</v>
      </c>
      <c r="D411" s="252">
        <v>315.77999999999997</v>
      </c>
      <c r="E411" s="296" t="s">
        <v>606</v>
      </c>
      <c r="F411" s="252">
        <v>3157.8</v>
      </c>
    </row>
    <row r="412" spans="1:6">
      <c r="A412" s="494">
        <v>1.54</v>
      </c>
      <c r="B412" s="252" t="s">
        <v>1637</v>
      </c>
      <c r="C412" s="1162" t="s">
        <v>960</v>
      </c>
      <c r="D412" s="252">
        <v>42.7</v>
      </c>
      <c r="E412" s="296" t="s">
        <v>1637</v>
      </c>
      <c r="F412" s="252">
        <v>65.760000000000005</v>
      </c>
    </row>
    <row r="413" spans="1:6">
      <c r="A413" s="494">
        <v>1.1000000000000001</v>
      </c>
      <c r="B413" s="252" t="s">
        <v>766</v>
      </c>
      <c r="C413" s="1162" t="s">
        <v>2000</v>
      </c>
      <c r="D413" s="252">
        <v>999</v>
      </c>
      <c r="E413" s="296" t="s">
        <v>766</v>
      </c>
      <c r="F413" s="252">
        <v>1098.9000000000001</v>
      </c>
    </row>
    <row r="414" spans="1:6">
      <c r="A414" s="494">
        <v>2.1</v>
      </c>
      <c r="B414" s="252" t="s">
        <v>766</v>
      </c>
      <c r="C414" s="1162" t="s">
        <v>1704</v>
      </c>
      <c r="D414" s="252">
        <v>932</v>
      </c>
      <c r="E414" s="296" t="s">
        <v>766</v>
      </c>
      <c r="F414" s="252">
        <v>1957.2</v>
      </c>
    </row>
    <row r="415" spans="1:6">
      <c r="A415" s="494">
        <v>2.2000000000000002</v>
      </c>
      <c r="B415" s="252" t="s">
        <v>766</v>
      </c>
      <c r="C415" s="1162" t="s">
        <v>1893</v>
      </c>
      <c r="D415" s="252">
        <v>651</v>
      </c>
      <c r="E415" s="296" t="s">
        <v>766</v>
      </c>
      <c r="F415" s="358">
        <v>1432.2</v>
      </c>
    </row>
    <row r="416" spans="1:6">
      <c r="A416" s="494">
        <v>1.1000000000000001</v>
      </c>
      <c r="B416" s="252" t="s">
        <v>766</v>
      </c>
      <c r="C416" s="1162" t="s">
        <v>317</v>
      </c>
      <c r="D416" s="252">
        <v>534</v>
      </c>
      <c r="E416" s="296" t="s">
        <v>766</v>
      </c>
      <c r="F416" s="252">
        <v>587.4</v>
      </c>
    </row>
    <row r="417" spans="1:6">
      <c r="A417" s="494"/>
      <c r="B417" s="252" t="s">
        <v>446</v>
      </c>
      <c r="C417" s="1162" t="s">
        <v>447</v>
      </c>
      <c r="E417" s="296" t="s">
        <v>446</v>
      </c>
      <c r="F417" s="358">
        <v>0</v>
      </c>
    </row>
    <row r="418" spans="1:6">
      <c r="A418" s="375"/>
      <c r="E418" s="296"/>
      <c r="F418" s="252" t="s">
        <v>1579</v>
      </c>
    </row>
    <row r="419" spans="1:6">
      <c r="A419" s="385"/>
      <c r="C419" s="1162" t="s">
        <v>438</v>
      </c>
      <c r="E419" s="296"/>
      <c r="F419" s="252">
        <v>11942.76</v>
      </c>
    </row>
    <row r="420" spans="1:6">
      <c r="E420" s="296"/>
      <c r="F420" s="252" t="s">
        <v>1579</v>
      </c>
    </row>
    <row r="421" spans="1:6">
      <c r="C421" s="1162" t="s">
        <v>549</v>
      </c>
      <c r="E421" s="296"/>
      <c r="F421" s="252">
        <v>1194.28</v>
      </c>
    </row>
    <row r="422" spans="1:6">
      <c r="E422" s="296"/>
      <c r="F422" s="252" t="s">
        <v>2046</v>
      </c>
    </row>
    <row r="423" spans="1:6">
      <c r="E423" s="296"/>
    </row>
    <row r="424" spans="1:6">
      <c r="E424" s="296"/>
      <c r="F424" s="358"/>
    </row>
    <row r="425" spans="1:6">
      <c r="A425" s="252">
        <v>32.200000000000003</v>
      </c>
      <c r="B425" s="252" t="s">
        <v>2241</v>
      </c>
      <c r="C425" s="1162" t="s">
        <v>752</v>
      </c>
      <c r="E425" s="296"/>
    </row>
    <row r="426" spans="1:6">
      <c r="A426" s="375"/>
      <c r="C426" s="1162" t="s">
        <v>1476</v>
      </c>
      <c r="E426" s="296"/>
    </row>
    <row r="427" spans="1:6">
      <c r="C427" s="1162" t="s">
        <v>680</v>
      </c>
      <c r="E427" s="296"/>
    </row>
    <row r="428" spans="1:6">
      <c r="A428" s="1205"/>
      <c r="C428" s="1162" t="s">
        <v>1958</v>
      </c>
      <c r="E428" s="296"/>
    </row>
    <row r="429" spans="1:6">
      <c r="C429" s="1162" t="s">
        <v>1288</v>
      </c>
      <c r="E429" s="296"/>
    </row>
    <row r="430" spans="1:6">
      <c r="C430" s="1162" t="s">
        <v>1579</v>
      </c>
      <c r="E430" s="296"/>
    </row>
    <row r="431" spans="1:6">
      <c r="A431" s="252">
        <v>190</v>
      </c>
      <c r="B431" s="252" t="s">
        <v>1865</v>
      </c>
      <c r="C431" s="1162" t="s">
        <v>1560</v>
      </c>
      <c r="D431" s="252">
        <v>16106</v>
      </c>
      <c r="E431" s="296" t="s">
        <v>1474</v>
      </c>
      <c r="F431" s="252">
        <v>3060.14</v>
      </c>
    </row>
    <row r="432" spans="1:6">
      <c r="A432" s="252">
        <v>0.12</v>
      </c>
      <c r="B432" s="252" t="s">
        <v>866</v>
      </c>
      <c r="C432" s="1162" t="s">
        <v>1868</v>
      </c>
      <c r="D432" s="252">
        <v>4861.3</v>
      </c>
      <c r="E432" s="296" t="s">
        <v>866</v>
      </c>
      <c r="F432" s="252">
        <v>583.36</v>
      </c>
    </row>
    <row r="433" spans="1:6">
      <c r="A433" s="252">
        <v>10</v>
      </c>
      <c r="B433" s="252" t="s">
        <v>606</v>
      </c>
      <c r="C433" s="1162" t="s">
        <v>1290</v>
      </c>
      <c r="D433" s="252">
        <v>315.77999999999997</v>
      </c>
      <c r="E433" s="296" t="s">
        <v>606</v>
      </c>
      <c r="F433" s="252">
        <v>3157.8</v>
      </c>
    </row>
    <row r="434" spans="1:6">
      <c r="A434" s="252">
        <v>5.8</v>
      </c>
      <c r="B434" s="252" t="s">
        <v>1637</v>
      </c>
      <c r="C434" s="1162" t="s">
        <v>960</v>
      </c>
      <c r="D434" s="252">
        <v>42.7</v>
      </c>
      <c r="E434" s="296" t="s">
        <v>1637</v>
      </c>
      <c r="F434" s="252">
        <v>247.66</v>
      </c>
    </row>
    <row r="435" spans="1:6">
      <c r="A435" s="252">
        <v>1.1000000000000001</v>
      </c>
      <c r="B435" s="252" t="s">
        <v>766</v>
      </c>
      <c r="C435" s="1162" t="s">
        <v>2000</v>
      </c>
      <c r="D435" s="252">
        <v>999</v>
      </c>
      <c r="E435" s="296" t="s">
        <v>766</v>
      </c>
      <c r="F435" s="252">
        <v>1098.9000000000001</v>
      </c>
    </row>
    <row r="436" spans="1:6">
      <c r="A436" s="252">
        <v>2.1</v>
      </c>
      <c r="B436" s="252" t="s">
        <v>766</v>
      </c>
      <c r="C436" s="1162" t="s">
        <v>1704</v>
      </c>
      <c r="D436" s="252">
        <v>932</v>
      </c>
      <c r="E436" s="296" t="s">
        <v>766</v>
      </c>
      <c r="F436" s="252">
        <v>1957.2</v>
      </c>
    </row>
    <row r="437" spans="1:6">
      <c r="A437" s="252">
        <v>2.2000000000000002</v>
      </c>
      <c r="B437" s="252" t="s">
        <v>766</v>
      </c>
      <c r="C437" s="1162" t="s">
        <v>1893</v>
      </c>
      <c r="D437" s="252">
        <v>651</v>
      </c>
      <c r="E437" s="296" t="s">
        <v>766</v>
      </c>
      <c r="F437" s="358">
        <v>1432.2</v>
      </c>
    </row>
    <row r="438" spans="1:6">
      <c r="A438" s="252">
        <v>1.1000000000000001</v>
      </c>
      <c r="B438" s="252" t="s">
        <v>766</v>
      </c>
      <c r="C438" s="1162" t="s">
        <v>317</v>
      </c>
      <c r="D438" s="252">
        <v>534</v>
      </c>
      <c r="E438" s="296" t="s">
        <v>766</v>
      </c>
      <c r="F438" s="252">
        <v>587.4</v>
      </c>
    </row>
    <row r="439" spans="1:6">
      <c r="B439" s="252" t="s">
        <v>446</v>
      </c>
      <c r="C439" s="1162" t="s">
        <v>447</v>
      </c>
      <c r="E439" s="296" t="s">
        <v>446</v>
      </c>
      <c r="F439" s="358">
        <v>0</v>
      </c>
    </row>
    <row r="440" spans="1:6">
      <c r="E440" s="296"/>
      <c r="F440" s="252" t="s">
        <v>1579</v>
      </c>
    </row>
    <row r="441" spans="1:6">
      <c r="C441" s="1162" t="s">
        <v>438</v>
      </c>
      <c r="E441" s="296"/>
      <c r="F441" s="358">
        <v>12124.66</v>
      </c>
    </row>
    <row r="442" spans="1:6">
      <c r="A442" s="1205"/>
      <c r="E442" s="296"/>
      <c r="F442" s="252" t="s">
        <v>1579</v>
      </c>
    </row>
    <row r="443" spans="1:6">
      <c r="C443" s="1162" t="s">
        <v>549</v>
      </c>
      <c r="E443" s="296"/>
      <c r="F443" s="252">
        <v>1212.47</v>
      </c>
    </row>
    <row r="444" spans="1:6">
      <c r="E444" s="296"/>
      <c r="F444" s="252" t="s">
        <v>2046</v>
      </c>
    </row>
    <row r="445" spans="1:6">
      <c r="E445" s="296"/>
    </row>
    <row r="446" spans="1:6">
      <c r="A446" s="252" t="s">
        <v>1291</v>
      </c>
      <c r="B446" s="252" t="s">
        <v>2241</v>
      </c>
      <c r="C446" s="1162" t="s">
        <v>4</v>
      </c>
      <c r="E446" s="296"/>
    </row>
    <row r="447" spans="1:6">
      <c r="C447" s="1162" t="s">
        <v>1579</v>
      </c>
      <c r="E447" s="296"/>
    </row>
    <row r="448" spans="1:6">
      <c r="A448" s="252">
        <v>0.14000000000000001</v>
      </c>
      <c r="B448" s="252" t="s">
        <v>866</v>
      </c>
      <c r="C448" s="1162" t="s">
        <v>1617</v>
      </c>
      <c r="D448" s="252">
        <v>3701.62</v>
      </c>
      <c r="E448" s="296" t="s">
        <v>866</v>
      </c>
      <c r="F448" s="252">
        <v>518.23</v>
      </c>
    </row>
    <row r="449" spans="1:6">
      <c r="A449" s="252">
        <v>1.1000000000000001</v>
      </c>
      <c r="B449" s="252" t="s">
        <v>865</v>
      </c>
      <c r="C449" s="1162" t="s">
        <v>2000</v>
      </c>
      <c r="D449" s="252">
        <v>999</v>
      </c>
      <c r="E449" s="296" t="s">
        <v>865</v>
      </c>
      <c r="F449" s="252">
        <v>1098.9000000000001</v>
      </c>
    </row>
    <row r="450" spans="1:6">
      <c r="A450" s="252">
        <v>0.5</v>
      </c>
      <c r="B450" s="252" t="s">
        <v>865</v>
      </c>
      <c r="C450" s="1162" t="s">
        <v>1893</v>
      </c>
      <c r="D450" s="252">
        <v>651</v>
      </c>
      <c r="E450" s="296" t="s">
        <v>865</v>
      </c>
      <c r="F450" s="252">
        <v>325.5</v>
      </c>
    </row>
    <row r="451" spans="1:6">
      <c r="A451" s="252">
        <v>1.1000000000000001</v>
      </c>
      <c r="B451" s="252" t="s">
        <v>865</v>
      </c>
      <c r="C451" s="1162" t="s">
        <v>317</v>
      </c>
      <c r="D451" s="252">
        <v>534</v>
      </c>
      <c r="E451" s="296" t="s">
        <v>865</v>
      </c>
      <c r="F451" s="358">
        <v>587.4</v>
      </c>
    </row>
    <row r="452" spans="1:6">
      <c r="B452" s="252" t="s">
        <v>446</v>
      </c>
      <c r="C452" s="1162" t="s">
        <v>447</v>
      </c>
      <c r="D452" s="252" t="s">
        <v>971</v>
      </c>
      <c r="E452" s="296" t="s">
        <v>446</v>
      </c>
      <c r="F452" s="252">
        <v>5</v>
      </c>
    </row>
    <row r="453" spans="1:6">
      <c r="E453" s="296"/>
      <c r="F453" s="358" t="s">
        <v>1579</v>
      </c>
    </row>
    <row r="454" spans="1:6">
      <c r="C454" s="1162" t="s">
        <v>438</v>
      </c>
      <c r="E454" s="296"/>
      <c r="F454" s="252">
        <v>2535.0300000000002</v>
      </c>
    </row>
    <row r="455" spans="1:6">
      <c r="E455" s="296"/>
      <c r="F455" s="358" t="s">
        <v>1579</v>
      </c>
    </row>
    <row r="456" spans="1:6">
      <c r="A456" s="375"/>
      <c r="C456" s="1162" t="s">
        <v>549</v>
      </c>
      <c r="E456" s="296"/>
      <c r="F456" s="252">
        <v>253.5</v>
      </c>
    </row>
    <row r="457" spans="1:6">
      <c r="A457" s="252" t="s">
        <v>971</v>
      </c>
      <c r="E457" s="296"/>
    </row>
    <row r="458" spans="1:6">
      <c r="E458" s="296"/>
      <c r="F458" s="252" t="s">
        <v>2046</v>
      </c>
    </row>
    <row r="459" spans="1:6">
      <c r="A459" s="252" t="s">
        <v>5</v>
      </c>
      <c r="B459" s="252" t="s">
        <v>2241</v>
      </c>
      <c r="C459" s="1162" t="s">
        <v>6</v>
      </c>
      <c r="E459" s="296"/>
    </row>
    <row r="460" spans="1:6">
      <c r="C460" s="1162" t="s">
        <v>1579</v>
      </c>
      <c r="E460" s="296"/>
    </row>
    <row r="461" spans="1:6">
      <c r="A461" s="252">
        <v>0.14000000000000001</v>
      </c>
      <c r="B461" s="252" t="s">
        <v>866</v>
      </c>
      <c r="C461" s="1162" t="s">
        <v>1302</v>
      </c>
      <c r="D461" s="252">
        <v>4136.5</v>
      </c>
      <c r="E461" s="296" t="s">
        <v>866</v>
      </c>
      <c r="F461" s="252">
        <v>579.11</v>
      </c>
    </row>
    <row r="462" spans="1:6">
      <c r="A462" s="252">
        <v>1.1000000000000001</v>
      </c>
      <c r="B462" s="252" t="s">
        <v>865</v>
      </c>
      <c r="C462" s="1162" t="s">
        <v>2000</v>
      </c>
      <c r="D462" s="252">
        <v>999</v>
      </c>
      <c r="E462" s="296" t="s">
        <v>865</v>
      </c>
      <c r="F462" s="252">
        <v>1098.9000000000001</v>
      </c>
    </row>
    <row r="463" spans="1:6">
      <c r="A463" s="252">
        <v>0.5</v>
      </c>
      <c r="B463" s="252" t="s">
        <v>865</v>
      </c>
      <c r="C463" s="1162" t="s">
        <v>1893</v>
      </c>
      <c r="D463" s="252">
        <v>651</v>
      </c>
      <c r="E463" s="296" t="s">
        <v>865</v>
      </c>
      <c r="F463" s="252">
        <v>325.5</v>
      </c>
    </row>
    <row r="464" spans="1:6">
      <c r="A464" s="252">
        <v>1.1000000000000001</v>
      </c>
      <c r="B464" s="252" t="s">
        <v>865</v>
      </c>
      <c r="C464" s="1162" t="s">
        <v>317</v>
      </c>
      <c r="D464" s="252">
        <v>534</v>
      </c>
      <c r="E464" s="296" t="s">
        <v>865</v>
      </c>
      <c r="F464" s="252">
        <v>587.4</v>
      </c>
    </row>
    <row r="465" spans="1:6">
      <c r="B465" s="252" t="s">
        <v>446</v>
      </c>
      <c r="C465" s="1162" t="s">
        <v>447</v>
      </c>
      <c r="D465" s="252" t="s">
        <v>971</v>
      </c>
      <c r="E465" s="296" t="s">
        <v>446</v>
      </c>
      <c r="F465" s="358">
        <v>5</v>
      </c>
    </row>
    <row r="466" spans="1:6">
      <c r="E466" s="296"/>
    </row>
    <row r="467" spans="1:6">
      <c r="E467" s="296"/>
      <c r="F467" s="358" t="s">
        <v>1579</v>
      </c>
    </row>
    <row r="468" spans="1:6">
      <c r="C468" s="1162" t="s">
        <v>438</v>
      </c>
      <c r="E468" s="296"/>
      <c r="F468" s="252">
        <v>2595.91</v>
      </c>
    </row>
    <row r="469" spans="1:6">
      <c r="E469" s="296"/>
      <c r="F469" s="358" t="s">
        <v>1579</v>
      </c>
    </row>
    <row r="470" spans="1:6">
      <c r="A470" s="369"/>
      <c r="C470" s="1162" t="s">
        <v>549</v>
      </c>
      <c r="E470" s="296"/>
      <c r="F470" s="252">
        <v>259.58999999999997</v>
      </c>
    </row>
    <row r="471" spans="1:6">
      <c r="E471" s="296"/>
      <c r="F471" s="252" t="s">
        <v>2046</v>
      </c>
    </row>
    <row r="472" spans="1:6">
      <c r="A472" s="252" t="s">
        <v>7</v>
      </c>
      <c r="B472" s="252" t="s">
        <v>2241</v>
      </c>
      <c r="C472" s="1162" t="s">
        <v>8</v>
      </c>
      <c r="E472" s="296"/>
    </row>
    <row r="473" spans="1:6">
      <c r="C473" s="1162" t="s">
        <v>1579</v>
      </c>
      <c r="E473" s="296"/>
    </row>
    <row r="474" spans="1:6">
      <c r="A474" s="252">
        <v>0.1</v>
      </c>
      <c r="B474" s="252" t="s">
        <v>866</v>
      </c>
      <c r="C474" s="1162" t="s">
        <v>1348</v>
      </c>
      <c r="D474" s="252">
        <v>4861.3</v>
      </c>
      <c r="E474" s="296" t="s">
        <v>866</v>
      </c>
      <c r="F474" s="252">
        <v>486.13</v>
      </c>
    </row>
    <row r="475" spans="1:6">
      <c r="A475" s="252">
        <v>1.1000000000000001</v>
      </c>
      <c r="B475" s="252" t="s">
        <v>865</v>
      </c>
      <c r="C475" s="1162" t="s">
        <v>2000</v>
      </c>
      <c r="D475" s="252">
        <v>999</v>
      </c>
      <c r="E475" s="296" t="s">
        <v>865</v>
      </c>
      <c r="F475" s="252">
        <v>1098.9000000000001</v>
      </c>
    </row>
    <row r="476" spans="1:6">
      <c r="A476" s="252">
        <v>1.1000000000000001</v>
      </c>
      <c r="B476" s="252" t="s">
        <v>865</v>
      </c>
      <c r="C476" s="1162" t="s">
        <v>1893</v>
      </c>
      <c r="D476" s="252">
        <v>651</v>
      </c>
      <c r="E476" s="296" t="s">
        <v>865</v>
      </c>
      <c r="F476" s="252">
        <v>716.1</v>
      </c>
    </row>
    <row r="477" spans="1:6">
      <c r="A477" s="252">
        <v>1.1000000000000001</v>
      </c>
      <c r="B477" s="252" t="s">
        <v>865</v>
      </c>
      <c r="C477" s="1162" t="s">
        <v>317</v>
      </c>
      <c r="D477" s="252">
        <v>534</v>
      </c>
      <c r="E477" s="296" t="s">
        <v>865</v>
      </c>
      <c r="F477" s="252">
        <v>587.4</v>
      </c>
    </row>
    <row r="478" spans="1:6">
      <c r="B478" s="252" t="s">
        <v>446</v>
      </c>
      <c r="C478" s="1162" t="s">
        <v>447</v>
      </c>
      <c r="D478" s="252" t="s">
        <v>971</v>
      </c>
      <c r="E478" s="296" t="s">
        <v>446</v>
      </c>
      <c r="F478" s="252">
        <v>5</v>
      </c>
    </row>
    <row r="479" spans="1:6">
      <c r="E479" s="296"/>
      <c r="F479" s="252" t="s">
        <v>1579</v>
      </c>
    </row>
    <row r="480" spans="1:6">
      <c r="C480" s="1162" t="s">
        <v>438</v>
      </c>
      <c r="E480" s="296"/>
      <c r="F480" s="252">
        <v>2893.53</v>
      </c>
    </row>
    <row r="481" spans="1:6">
      <c r="E481" s="296"/>
      <c r="F481" s="358" t="s">
        <v>1579</v>
      </c>
    </row>
    <row r="482" spans="1:6">
      <c r="C482" s="1162" t="s">
        <v>549</v>
      </c>
      <c r="E482" s="296"/>
      <c r="F482" s="252">
        <v>289.35000000000002</v>
      </c>
    </row>
    <row r="483" spans="1:6">
      <c r="E483" s="296"/>
      <c r="F483" s="358" t="s">
        <v>2046</v>
      </c>
    </row>
    <row r="484" spans="1:6">
      <c r="E484" s="296"/>
    </row>
    <row r="485" spans="1:6">
      <c r="B485" s="252" t="s">
        <v>2241</v>
      </c>
      <c r="C485" s="1162" t="s">
        <v>839</v>
      </c>
      <c r="E485" s="296"/>
    </row>
    <row r="486" spans="1:6">
      <c r="C486" s="1162" t="s">
        <v>840</v>
      </c>
      <c r="E486" s="296"/>
    </row>
    <row r="487" spans="1:6">
      <c r="C487" s="1162" t="s">
        <v>841</v>
      </c>
      <c r="E487" s="296"/>
    </row>
    <row r="488" spans="1:6">
      <c r="C488" s="1162" t="s">
        <v>1579</v>
      </c>
      <c r="E488" s="296"/>
    </row>
    <row r="489" spans="1:6">
      <c r="A489" s="252">
        <v>0.14000000000000001</v>
      </c>
      <c r="B489" s="252" t="s">
        <v>866</v>
      </c>
      <c r="C489" s="1162" t="s">
        <v>1348</v>
      </c>
      <c r="D489" s="296">
        <v>4861.3</v>
      </c>
      <c r="E489" s="296" t="s">
        <v>866</v>
      </c>
      <c r="F489" s="252">
        <v>680.58</v>
      </c>
    </row>
    <row r="490" spans="1:6">
      <c r="A490" s="252">
        <v>1.1000000000000001</v>
      </c>
      <c r="B490" s="252" t="s">
        <v>865</v>
      </c>
      <c r="C490" s="1162" t="s">
        <v>2000</v>
      </c>
      <c r="D490" s="252">
        <v>999</v>
      </c>
      <c r="E490" s="296" t="s">
        <v>865</v>
      </c>
      <c r="F490" s="358">
        <v>1098.9000000000001</v>
      </c>
    </row>
    <row r="491" spans="1:6">
      <c r="A491" s="252">
        <v>0.5</v>
      </c>
      <c r="B491" s="252" t="s">
        <v>865</v>
      </c>
      <c r="C491" s="1162" t="s">
        <v>1893</v>
      </c>
      <c r="D491" s="252">
        <v>651</v>
      </c>
      <c r="E491" s="296" t="s">
        <v>865</v>
      </c>
      <c r="F491" s="252">
        <v>325.5</v>
      </c>
    </row>
    <row r="492" spans="1:6">
      <c r="A492" s="252">
        <v>1.1000000000000001</v>
      </c>
      <c r="B492" s="252" t="s">
        <v>865</v>
      </c>
      <c r="C492" s="1162" t="s">
        <v>317</v>
      </c>
      <c r="D492" s="252">
        <v>534</v>
      </c>
      <c r="E492" s="296" t="s">
        <v>865</v>
      </c>
      <c r="F492" s="358">
        <v>587.4</v>
      </c>
    </row>
    <row r="493" spans="1:6">
      <c r="A493" s="252">
        <v>2</v>
      </c>
      <c r="B493" s="252" t="s">
        <v>1637</v>
      </c>
      <c r="C493" s="1162" t="s">
        <v>842</v>
      </c>
      <c r="D493" s="252">
        <v>42.7</v>
      </c>
      <c r="E493" s="296" t="s">
        <v>1637</v>
      </c>
      <c r="F493" s="252">
        <v>85.4</v>
      </c>
    </row>
    <row r="494" spans="1:6">
      <c r="B494" s="252" t="s">
        <v>446</v>
      </c>
      <c r="C494" s="1162" t="s">
        <v>447</v>
      </c>
      <c r="D494" s="252" t="s">
        <v>971</v>
      </c>
      <c r="E494" s="296" t="s">
        <v>446</v>
      </c>
      <c r="F494" s="358">
        <v>5</v>
      </c>
    </row>
    <row r="495" spans="1:6">
      <c r="A495" s="1205"/>
      <c r="E495" s="296"/>
      <c r="F495" s="252" t="s">
        <v>1579</v>
      </c>
    </row>
    <row r="496" spans="1:6">
      <c r="A496" s="252" t="s">
        <v>971</v>
      </c>
      <c r="C496" s="1162" t="s">
        <v>438</v>
      </c>
      <c r="E496" s="296"/>
      <c r="F496" s="252">
        <v>2782.78</v>
      </c>
    </row>
    <row r="497" spans="1:6">
      <c r="E497" s="296"/>
      <c r="F497" s="252" t="s">
        <v>1579</v>
      </c>
    </row>
    <row r="498" spans="1:6">
      <c r="C498" s="1162" t="s">
        <v>549</v>
      </c>
      <c r="E498" s="296"/>
      <c r="F498" s="252">
        <v>278.27999999999997</v>
      </c>
    </row>
    <row r="499" spans="1:6">
      <c r="E499" s="296"/>
      <c r="F499" s="252" t="s">
        <v>2046</v>
      </c>
    </row>
    <row r="500" spans="1:6">
      <c r="C500" s="1162" t="s">
        <v>971</v>
      </c>
      <c r="E500" s="296"/>
    </row>
    <row r="501" spans="1:6">
      <c r="E501" s="296"/>
    </row>
    <row r="502" spans="1:6">
      <c r="A502" s="252" t="s">
        <v>843</v>
      </c>
      <c r="B502" s="252" t="s">
        <v>2241</v>
      </c>
      <c r="C502" s="1162" t="s">
        <v>844</v>
      </c>
      <c r="D502" s="296"/>
      <c r="E502" s="296"/>
    </row>
    <row r="503" spans="1:6">
      <c r="C503" s="1162" t="s">
        <v>1355</v>
      </c>
      <c r="E503" s="296"/>
      <c r="F503" s="358"/>
    </row>
    <row r="504" spans="1:6">
      <c r="C504" s="1162" t="s">
        <v>1356</v>
      </c>
      <c r="E504" s="296"/>
    </row>
    <row r="505" spans="1:6">
      <c r="C505" s="1162" t="s">
        <v>695</v>
      </c>
      <c r="E505" s="296"/>
      <c r="F505" s="358"/>
    </row>
    <row r="506" spans="1:6">
      <c r="C506" s="1162" t="s">
        <v>1579</v>
      </c>
      <c r="D506" s="252" t="s">
        <v>1579</v>
      </c>
      <c r="E506" s="296"/>
    </row>
    <row r="507" spans="1:6">
      <c r="B507" s="252" t="s">
        <v>1898</v>
      </c>
      <c r="C507" s="1162" t="s">
        <v>696</v>
      </c>
      <c r="E507" s="296"/>
      <c r="F507" s="358"/>
    </row>
    <row r="508" spans="1:6">
      <c r="A508" s="1205"/>
      <c r="B508" s="252" t="s">
        <v>1579</v>
      </c>
      <c r="C508" s="1162" t="s">
        <v>1579</v>
      </c>
      <c r="E508" s="296"/>
    </row>
    <row r="509" spans="1:6">
      <c r="A509" s="252">
        <v>1.4E-2</v>
      </c>
      <c r="B509" s="252" t="s">
        <v>2142</v>
      </c>
      <c r="C509" s="1162" t="s">
        <v>697</v>
      </c>
      <c r="D509" s="252">
        <v>3701.62</v>
      </c>
      <c r="E509" s="296" t="s">
        <v>2142</v>
      </c>
      <c r="F509" s="252">
        <v>51.82</v>
      </c>
    </row>
    <row r="510" spans="1:6">
      <c r="A510" s="252">
        <v>0.3</v>
      </c>
      <c r="B510" s="252" t="s">
        <v>557</v>
      </c>
      <c r="C510" s="1162" t="s">
        <v>698</v>
      </c>
      <c r="D510" s="252">
        <v>999</v>
      </c>
      <c r="E510" s="296" t="s">
        <v>557</v>
      </c>
      <c r="F510" s="252">
        <v>299.7</v>
      </c>
    </row>
    <row r="511" spans="1:6">
      <c r="A511" s="252">
        <v>0.3</v>
      </c>
      <c r="B511" s="252" t="s">
        <v>557</v>
      </c>
      <c r="C511" s="1162" t="s">
        <v>820</v>
      </c>
      <c r="D511" s="252">
        <v>651</v>
      </c>
      <c r="E511" s="296" t="s">
        <v>557</v>
      </c>
      <c r="F511" s="252">
        <v>195.3</v>
      </c>
    </row>
    <row r="512" spans="1:6">
      <c r="B512" s="252" t="s">
        <v>446</v>
      </c>
      <c r="C512" s="1162" t="s">
        <v>2261</v>
      </c>
      <c r="E512" s="296" t="s">
        <v>446</v>
      </c>
      <c r="F512" s="252">
        <v>0</v>
      </c>
    </row>
    <row r="513" spans="1:6">
      <c r="E513" s="296"/>
      <c r="F513" s="252" t="s">
        <v>1579</v>
      </c>
    </row>
    <row r="514" spans="1:6">
      <c r="C514" s="1162" t="s">
        <v>699</v>
      </c>
      <c r="E514" s="296"/>
      <c r="F514" s="252">
        <v>546.82000000000005</v>
      </c>
    </row>
    <row r="515" spans="1:6">
      <c r="D515" s="296"/>
      <c r="E515" s="296"/>
      <c r="F515" s="252" t="s">
        <v>1579</v>
      </c>
    </row>
    <row r="516" spans="1:6">
      <c r="C516" s="1162" t="s">
        <v>700</v>
      </c>
      <c r="E516" s="296"/>
      <c r="F516" s="358">
        <v>80.77</v>
      </c>
    </row>
    <row r="517" spans="1:6">
      <c r="A517" s="252" t="s">
        <v>971</v>
      </c>
      <c r="E517" s="296"/>
    </row>
    <row r="518" spans="1:6">
      <c r="E518" s="296"/>
      <c r="F518" s="358" t="s">
        <v>2046</v>
      </c>
    </row>
    <row r="519" spans="1:6">
      <c r="B519" s="252" t="s">
        <v>517</v>
      </c>
      <c r="C519" s="1162" t="s">
        <v>701</v>
      </c>
      <c r="E519" s="296"/>
    </row>
    <row r="520" spans="1:6">
      <c r="B520" s="252" t="s">
        <v>1579</v>
      </c>
      <c r="C520" s="1162" t="s">
        <v>1579</v>
      </c>
      <c r="E520" s="296"/>
      <c r="F520" s="358"/>
    </row>
    <row r="521" spans="1:6">
      <c r="A521" s="252">
        <v>7.0000000000000001E-3</v>
      </c>
      <c r="B521" s="296" t="s">
        <v>2142</v>
      </c>
      <c r="C521" s="1162" t="s">
        <v>697</v>
      </c>
      <c r="D521" s="252">
        <v>3701.62</v>
      </c>
      <c r="E521" s="252" t="s">
        <v>2142</v>
      </c>
      <c r="F521" s="252">
        <v>25.91</v>
      </c>
    </row>
    <row r="522" spans="1:6">
      <c r="A522" s="252">
        <v>0.2</v>
      </c>
      <c r="B522" s="252" t="s">
        <v>557</v>
      </c>
      <c r="C522" s="1162" t="s">
        <v>698</v>
      </c>
      <c r="D522" s="252">
        <v>999</v>
      </c>
      <c r="E522" s="252" t="s">
        <v>557</v>
      </c>
      <c r="F522" s="252">
        <v>199.8</v>
      </c>
    </row>
    <row r="523" spans="1:6">
      <c r="A523" s="252">
        <v>0.2</v>
      </c>
      <c r="B523" s="252" t="s">
        <v>557</v>
      </c>
      <c r="C523" s="1162" t="s">
        <v>820</v>
      </c>
      <c r="D523" s="252">
        <v>651</v>
      </c>
      <c r="E523" s="252" t="s">
        <v>557</v>
      </c>
      <c r="F523" s="252">
        <v>130.19999999999999</v>
      </c>
    </row>
    <row r="524" spans="1:6">
      <c r="C524" s="1162" t="s">
        <v>2261</v>
      </c>
      <c r="F524" s="252">
        <v>0</v>
      </c>
    </row>
    <row r="525" spans="1:6">
      <c r="B525" s="296"/>
      <c r="C525" s="268"/>
      <c r="F525" s="252" t="s">
        <v>1579</v>
      </c>
    </row>
    <row r="526" spans="1:6">
      <c r="C526" s="1162" t="s">
        <v>699</v>
      </c>
      <c r="F526" s="252">
        <v>355.91</v>
      </c>
    </row>
    <row r="527" spans="1:6">
      <c r="B527" s="296"/>
      <c r="E527" s="296"/>
      <c r="F527" s="252" t="s">
        <v>1579</v>
      </c>
    </row>
    <row r="528" spans="1:6">
      <c r="B528" s="296"/>
      <c r="C528" s="1162" t="s">
        <v>700</v>
      </c>
      <c r="E528" s="296"/>
      <c r="F528" s="252">
        <v>52.57</v>
      </c>
    </row>
    <row r="529" spans="1:6">
      <c r="B529" s="296"/>
      <c r="C529" s="268"/>
      <c r="E529" s="296"/>
      <c r="F529" s="252" t="s">
        <v>2046</v>
      </c>
    </row>
    <row r="531" spans="1:6">
      <c r="B531" s="296"/>
      <c r="E531" s="296"/>
    </row>
    <row r="532" spans="1:6">
      <c r="B532" s="252" t="s">
        <v>313</v>
      </c>
      <c r="C532" s="1162" t="s">
        <v>935</v>
      </c>
    </row>
    <row r="533" spans="1:6">
      <c r="B533" s="252" t="s">
        <v>1579</v>
      </c>
      <c r="C533" s="1162" t="s">
        <v>1579</v>
      </c>
    </row>
    <row r="534" spans="1:6">
      <c r="A534" s="252">
        <v>4.7000000000000002E-3</v>
      </c>
      <c r="B534" s="252" t="s">
        <v>2142</v>
      </c>
      <c r="C534" s="1162" t="s">
        <v>697</v>
      </c>
      <c r="D534" s="252">
        <v>3701.62</v>
      </c>
      <c r="E534" s="252" t="s">
        <v>2142</v>
      </c>
      <c r="F534" s="252">
        <v>17.399999999999999</v>
      </c>
    </row>
    <row r="535" spans="1:6">
      <c r="A535" s="252">
        <v>0.15</v>
      </c>
      <c r="B535" s="252" t="s">
        <v>557</v>
      </c>
      <c r="C535" s="1162" t="s">
        <v>698</v>
      </c>
      <c r="D535" s="252">
        <v>999</v>
      </c>
      <c r="E535" s="252" t="s">
        <v>557</v>
      </c>
      <c r="F535" s="252">
        <v>149.85</v>
      </c>
    </row>
    <row r="536" spans="1:6">
      <c r="A536" s="252">
        <v>0.15</v>
      </c>
      <c r="B536" s="252" t="s">
        <v>557</v>
      </c>
      <c r="C536" s="1162" t="s">
        <v>820</v>
      </c>
      <c r="D536" s="252">
        <v>651</v>
      </c>
      <c r="E536" s="252" t="s">
        <v>557</v>
      </c>
      <c r="F536" s="252">
        <v>97.65</v>
      </c>
    </row>
    <row r="537" spans="1:6">
      <c r="B537" s="296"/>
      <c r="C537" s="268" t="s">
        <v>2261</v>
      </c>
      <c r="E537" s="296"/>
      <c r="F537" s="252">
        <v>0</v>
      </c>
    </row>
    <row r="538" spans="1:6">
      <c r="B538" s="296"/>
      <c r="E538" s="296"/>
      <c r="F538" s="252" t="s">
        <v>1579</v>
      </c>
    </row>
    <row r="539" spans="1:6">
      <c r="B539" s="296"/>
      <c r="C539" s="1162" t="s">
        <v>699</v>
      </c>
      <c r="E539" s="296"/>
      <c r="F539" s="252">
        <v>264.89999999999998</v>
      </c>
    </row>
    <row r="540" spans="1:6">
      <c r="F540" s="252" t="s">
        <v>1579</v>
      </c>
    </row>
    <row r="541" spans="1:6">
      <c r="C541" s="1162" t="s">
        <v>700</v>
      </c>
      <c r="F541" s="358">
        <v>39.130000000000003</v>
      </c>
    </row>
    <row r="542" spans="1:6">
      <c r="F542" s="252" t="s">
        <v>2046</v>
      </c>
    </row>
    <row r="543" spans="1:6">
      <c r="F543" s="358"/>
    </row>
    <row r="544" spans="1:6">
      <c r="A544" s="252">
        <v>37.1</v>
      </c>
      <c r="B544" s="252" t="s">
        <v>2241</v>
      </c>
      <c r="C544" s="1162" t="s">
        <v>392</v>
      </c>
    </row>
    <row r="545" spans="1:6">
      <c r="C545" s="1162" t="s">
        <v>1579</v>
      </c>
      <c r="F545" s="358"/>
    </row>
    <row r="546" spans="1:6">
      <c r="A546" s="1205">
        <v>0.09</v>
      </c>
      <c r="B546" s="252" t="s">
        <v>866</v>
      </c>
      <c r="C546" s="1162" t="s">
        <v>1995</v>
      </c>
      <c r="D546" s="252">
        <v>1348</v>
      </c>
      <c r="E546" s="296" t="s">
        <v>866</v>
      </c>
      <c r="F546" s="252">
        <v>121.32</v>
      </c>
    </row>
    <row r="547" spans="1:6">
      <c r="A547" s="252">
        <v>2.2000000000000002</v>
      </c>
      <c r="B547" s="252" t="s">
        <v>865</v>
      </c>
      <c r="C547" s="1162" t="s">
        <v>1704</v>
      </c>
      <c r="D547" s="252">
        <v>932</v>
      </c>
      <c r="E547" s="296" t="s">
        <v>865</v>
      </c>
      <c r="F547" s="252">
        <v>2050.4</v>
      </c>
    </row>
    <row r="548" spans="1:6">
      <c r="A548" s="252">
        <v>0.5</v>
      </c>
      <c r="B548" s="252" t="s">
        <v>865</v>
      </c>
      <c r="C548" s="1162" t="s">
        <v>1893</v>
      </c>
      <c r="D548" s="252">
        <v>651</v>
      </c>
      <c r="E548" s="296" t="s">
        <v>865</v>
      </c>
      <c r="F548" s="252">
        <v>325.5</v>
      </c>
    </row>
    <row r="549" spans="1:6">
      <c r="A549" s="252">
        <v>3.8</v>
      </c>
      <c r="B549" s="252" t="s">
        <v>865</v>
      </c>
      <c r="C549" s="1162" t="s">
        <v>317</v>
      </c>
      <c r="D549" s="252">
        <v>534</v>
      </c>
      <c r="E549" s="296" t="s">
        <v>865</v>
      </c>
      <c r="F549" s="252">
        <v>2029.2</v>
      </c>
    </row>
    <row r="550" spans="1:6">
      <c r="B550" s="252" t="s">
        <v>446</v>
      </c>
      <c r="C550" s="1162" t="s">
        <v>502</v>
      </c>
      <c r="D550" s="252" t="s">
        <v>971</v>
      </c>
      <c r="E550" s="296" t="s">
        <v>446</v>
      </c>
      <c r="F550" s="252">
        <v>1.5</v>
      </c>
    </row>
    <row r="551" spans="1:6">
      <c r="E551" s="296"/>
      <c r="F551" s="252" t="s">
        <v>1579</v>
      </c>
    </row>
    <row r="552" spans="1:6">
      <c r="C552" s="1162" t="s">
        <v>1830</v>
      </c>
      <c r="E552" s="296"/>
      <c r="F552" s="358">
        <v>4527.92</v>
      </c>
    </row>
    <row r="553" spans="1:6">
      <c r="E553" s="296"/>
      <c r="F553" s="252" t="s">
        <v>1579</v>
      </c>
    </row>
    <row r="554" spans="1:6">
      <c r="C554" s="1162" t="s">
        <v>549</v>
      </c>
      <c r="E554" s="296"/>
      <c r="F554" s="358">
        <v>45.28</v>
      </c>
    </row>
    <row r="555" spans="1:6">
      <c r="A555" s="1205"/>
      <c r="E555" s="296"/>
      <c r="F555" s="252" t="s">
        <v>2046</v>
      </c>
    </row>
    <row r="556" spans="1:6">
      <c r="A556" s="252" t="s">
        <v>1369</v>
      </c>
      <c r="B556" s="252" t="s">
        <v>2241</v>
      </c>
      <c r="C556" s="1162" t="s">
        <v>490</v>
      </c>
      <c r="E556" s="296"/>
    </row>
    <row r="557" spans="1:6">
      <c r="C557" s="1162" t="s">
        <v>1371</v>
      </c>
      <c r="E557" s="296"/>
    </row>
    <row r="558" spans="1:6">
      <c r="C558" s="1162" t="s">
        <v>1960</v>
      </c>
      <c r="E558" s="296"/>
    </row>
    <row r="559" spans="1:6">
      <c r="C559" s="1162" t="s">
        <v>1579</v>
      </c>
      <c r="E559" s="296"/>
    </row>
    <row r="560" spans="1:6">
      <c r="A560" s="252">
        <v>1.44</v>
      </c>
      <c r="B560" s="252" t="s">
        <v>1233</v>
      </c>
      <c r="C560" s="1162" t="s">
        <v>1174</v>
      </c>
      <c r="D560" s="252">
        <v>147.5</v>
      </c>
      <c r="E560" s="296" t="s">
        <v>1233</v>
      </c>
      <c r="F560" s="252">
        <v>212.4</v>
      </c>
    </row>
    <row r="561" spans="1:6">
      <c r="A561" s="252">
        <v>0.7</v>
      </c>
      <c r="B561" s="252" t="s">
        <v>766</v>
      </c>
      <c r="C561" s="1162" t="s">
        <v>1175</v>
      </c>
      <c r="D561" s="252">
        <v>797</v>
      </c>
      <c r="E561" s="296" t="s">
        <v>766</v>
      </c>
      <c r="F561" s="358">
        <v>557.9</v>
      </c>
    </row>
    <row r="562" spans="1:6">
      <c r="A562" s="252">
        <v>2.5499999999999998</v>
      </c>
      <c r="B562" s="252" t="s">
        <v>1233</v>
      </c>
      <c r="C562" s="1162" t="s">
        <v>1176</v>
      </c>
      <c r="D562" s="252">
        <v>238.9</v>
      </c>
      <c r="E562" s="296" t="s">
        <v>1233</v>
      </c>
      <c r="F562" s="252">
        <v>609.20000000000005</v>
      </c>
    </row>
    <row r="563" spans="1:6">
      <c r="A563" s="252">
        <v>1.2</v>
      </c>
      <c r="B563" s="252" t="s">
        <v>766</v>
      </c>
      <c r="C563" s="1162" t="s">
        <v>1175</v>
      </c>
      <c r="D563" s="252">
        <v>797</v>
      </c>
      <c r="E563" s="296" t="s">
        <v>766</v>
      </c>
      <c r="F563" s="358">
        <v>956.4</v>
      </c>
    </row>
    <row r="564" spans="1:6">
      <c r="B564" s="252" t="s">
        <v>446</v>
      </c>
      <c r="C564" s="268" t="s">
        <v>1177</v>
      </c>
      <c r="D564" s="252" t="s">
        <v>971</v>
      </c>
      <c r="E564" s="296" t="s">
        <v>446</v>
      </c>
      <c r="F564" s="252">
        <v>1.5</v>
      </c>
    </row>
    <row r="565" spans="1:6">
      <c r="E565" s="296"/>
      <c r="F565" s="252" t="s">
        <v>1579</v>
      </c>
    </row>
    <row r="566" spans="1:6">
      <c r="C566" s="1162" t="s">
        <v>438</v>
      </c>
      <c r="E566" s="296"/>
      <c r="F566" s="252">
        <v>2337.4</v>
      </c>
    </row>
    <row r="567" spans="1:6">
      <c r="E567" s="296"/>
      <c r="F567" s="252" t="s">
        <v>1579</v>
      </c>
    </row>
    <row r="568" spans="1:6">
      <c r="C568" s="1162" t="s">
        <v>549</v>
      </c>
      <c r="E568" s="296"/>
      <c r="F568" s="252">
        <v>233.74</v>
      </c>
    </row>
    <row r="569" spans="1:6">
      <c r="A569" s="252" t="s">
        <v>971</v>
      </c>
      <c r="E569" s="296"/>
    </row>
    <row r="570" spans="1:6">
      <c r="E570" s="296"/>
      <c r="F570" s="252" t="s">
        <v>2046</v>
      </c>
    </row>
    <row r="571" spans="1:6">
      <c r="A571" s="252">
        <v>41</v>
      </c>
      <c r="B571" s="252" t="s">
        <v>2241</v>
      </c>
      <c r="C571" s="1162" t="s">
        <v>1370</v>
      </c>
      <c r="E571" s="296"/>
    </row>
    <row r="572" spans="1:6">
      <c r="C572" s="1162" t="s">
        <v>1041</v>
      </c>
      <c r="E572" s="296"/>
    </row>
    <row r="573" spans="1:6">
      <c r="C573" s="268" t="s">
        <v>1232</v>
      </c>
      <c r="E573" s="296"/>
    </row>
    <row r="574" spans="1:6">
      <c r="C574" s="1162" t="s">
        <v>1579</v>
      </c>
      <c r="E574" s="296"/>
    </row>
    <row r="575" spans="1:6">
      <c r="A575" s="252">
        <v>2.2200000000000002</v>
      </c>
      <c r="B575" s="252" t="s">
        <v>1233</v>
      </c>
      <c r="C575" s="1162" t="s">
        <v>1176</v>
      </c>
      <c r="D575" s="252">
        <v>227.6</v>
      </c>
      <c r="E575" s="296" t="s">
        <v>1233</v>
      </c>
      <c r="F575" s="407">
        <v>505.27</v>
      </c>
    </row>
    <row r="576" spans="1:6">
      <c r="A576" s="252">
        <v>1.1000000000000001</v>
      </c>
      <c r="B576" s="252" t="s">
        <v>766</v>
      </c>
      <c r="C576" s="1162" t="s">
        <v>1175</v>
      </c>
      <c r="D576" s="252">
        <v>797</v>
      </c>
      <c r="E576" s="296" t="s">
        <v>766</v>
      </c>
      <c r="F576" s="252">
        <v>876.7</v>
      </c>
    </row>
    <row r="577" spans="1:6">
      <c r="B577" s="252" t="s">
        <v>446</v>
      </c>
      <c r="C577" s="1162" t="s">
        <v>1177</v>
      </c>
      <c r="D577" s="252" t="s">
        <v>971</v>
      </c>
      <c r="E577" s="296" t="s">
        <v>446</v>
      </c>
      <c r="F577" s="358">
        <v>1.5</v>
      </c>
    </row>
    <row r="578" spans="1:6">
      <c r="E578" s="296"/>
      <c r="F578" s="252" t="s">
        <v>1579</v>
      </c>
    </row>
    <row r="579" spans="1:6">
      <c r="C579" s="1162" t="s">
        <v>438</v>
      </c>
      <c r="E579" s="296"/>
      <c r="F579" s="358">
        <v>1383.47</v>
      </c>
    </row>
    <row r="580" spans="1:6">
      <c r="A580" s="261"/>
      <c r="B580" s="261"/>
      <c r="C580" s="262"/>
      <c r="D580" s="261"/>
      <c r="E580" s="261"/>
      <c r="F580" s="261" t="s">
        <v>1579</v>
      </c>
    </row>
    <row r="581" spans="1:6">
      <c r="A581" s="261"/>
      <c r="B581" s="261"/>
      <c r="C581" s="1206" t="s">
        <v>549</v>
      </c>
      <c r="D581" s="261"/>
      <c r="E581" s="261"/>
      <c r="F581" s="261">
        <v>138.35</v>
      </c>
    </row>
    <row r="582" spans="1:6">
      <c r="A582" s="261"/>
      <c r="B582" s="261"/>
      <c r="C582" s="262"/>
      <c r="D582" s="261"/>
      <c r="E582" s="261"/>
      <c r="F582" s="261"/>
    </row>
    <row r="583" spans="1:6">
      <c r="A583" s="261"/>
      <c r="B583" s="261"/>
      <c r="C583" s="262"/>
      <c r="D583" s="261"/>
      <c r="E583" s="261"/>
      <c r="F583" s="261"/>
    </row>
    <row r="584" spans="1:6">
      <c r="A584" s="261">
        <v>238</v>
      </c>
      <c r="B584" s="261" t="s">
        <v>2241</v>
      </c>
      <c r="C584" s="262" t="s">
        <v>583</v>
      </c>
      <c r="D584" s="261"/>
      <c r="E584" s="261"/>
      <c r="F584" s="261"/>
    </row>
    <row r="585" spans="1:6">
      <c r="A585" s="261"/>
      <c r="B585" s="261"/>
      <c r="C585" s="1206" t="s">
        <v>1961</v>
      </c>
      <c r="D585" s="261"/>
      <c r="E585" s="261"/>
      <c r="F585" s="261"/>
    </row>
    <row r="586" spans="1:6">
      <c r="A586" s="261"/>
      <c r="B586" s="261"/>
      <c r="C586" s="1206" t="s">
        <v>1579</v>
      </c>
      <c r="D586" s="261"/>
      <c r="E586" s="261"/>
      <c r="F586" s="261"/>
    </row>
    <row r="587" spans="1:6">
      <c r="A587" s="261">
        <v>20</v>
      </c>
      <c r="B587" s="261" t="s">
        <v>1233</v>
      </c>
      <c r="C587" s="1206" t="s">
        <v>7022</v>
      </c>
      <c r="D587" s="261">
        <v>116.2</v>
      </c>
      <c r="E587" s="261" t="s">
        <v>1233</v>
      </c>
      <c r="F587" s="261">
        <v>2324</v>
      </c>
    </row>
    <row r="588" spans="1:6">
      <c r="A588" s="261"/>
      <c r="B588" s="261"/>
      <c r="C588" s="262" t="s">
        <v>585</v>
      </c>
      <c r="D588" s="261"/>
      <c r="E588" s="261"/>
      <c r="F588" s="261" t="s">
        <v>971</v>
      </c>
    </row>
    <row r="589" spans="1:6">
      <c r="A589" s="261">
        <v>50</v>
      </c>
      <c r="B589" s="261" t="s">
        <v>1637</v>
      </c>
      <c r="C589" s="268" t="s">
        <v>859</v>
      </c>
      <c r="D589" s="261">
        <v>6.04</v>
      </c>
      <c r="E589" s="261" t="s">
        <v>1637</v>
      </c>
      <c r="F589" s="261">
        <v>302</v>
      </c>
    </row>
    <row r="590" spans="1:6">
      <c r="A590" s="261">
        <v>1</v>
      </c>
      <c r="B590" s="261" t="s">
        <v>446</v>
      </c>
      <c r="C590" s="262" t="s">
        <v>586</v>
      </c>
      <c r="D590" s="261">
        <v>75</v>
      </c>
      <c r="E590" s="261" t="s">
        <v>446</v>
      </c>
      <c r="F590" s="261">
        <v>75</v>
      </c>
    </row>
    <row r="591" spans="1:6">
      <c r="A591" s="261">
        <v>1</v>
      </c>
      <c r="B591" s="261" t="s">
        <v>446</v>
      </c>
      <c r="C591" s="1206" t="s">
        <v>587</v>
      </c>
      <c r="D591" s="261">
        <v>40</v>
      </c>
      <c r="E591" s="261" t="s">
        <v>446</v>
      </c>
      <c r="F591" s="261">
        <v>40</v>
      </c>
    </row>
    <row r="592" spans="1:6">
      <c r="A592" s="261">
        <v>2.5</v>
      </c>
      <c r="B592" s="261" t="s">
        <v>446</v>
      </c>
      <c r="C592" s="1206" t="s">
        <v>588</v>
      </c>
      <c r="D592" s="261">
        <v>772</v>
      </c>
      <c r="E592" s="261" t="s">
        <v>446</v>
      </c>
      <c r="F592" s="261">
        <v>1930</v>
      </c>
    </row>
    <row r="593" spans="1:6">
      <c r="A593" s="261"/>
      <c r="B593" s="261" t="s">
        <v>446</v>
      </c>
      <c r="C593" s="1206" t="s">
        <v>503</v>
      </c>
      <c r="D593" s="261"/>
      <c r="E593" s="261" t="s">
        <v>446</v>
      </c>
      <c r="F593" s="261">
        <v>1.5</v>
      </c>
    </row>
    <row r="594" spans="1:6">
      <c r="A594" s="261"/>
      <c r="B594" s="261"/>
      <c r="C594" s="1206"/>
      <c r="D594" s="261"/>
      <c r="E594" s="261"/>
      <c r="F594" s="261" t="s">
        <v>1579</v>
      </c>
    </row>
    <row r="595" spans="1:6">
      <c r="A595" s="261"/>
      <c r="B595" s="261"/>
      <c r="C595" s="1206" t="s">
        <v>589</v>
      </c>
      <c r="D595" s="261"/>
      <c r="E595" s="261"/>
      <c r="F595" s="261">
        <v>4672.5</v>
      </c>
    </row>
    <row r="596" spans="1:6">
      <c r="A596" s="265"/>
      <c r="B596" s="261"/>
      <c r="C596" s="1206"/>
      <c r="D596" s="261"/>
      <c r="E596" s="261"/>
      <c r="F596" s="261" t="s">
        <v>1579</v>
      </c>
    </row>
    <row r="597" spans="1:6">
      <c r="A597" s="261" t="s">
        <v>2029</v>
      </c>
      <c r="B597" s="261" t="s">
        <v>2241</v>
      </c>
      <c r="C597" s="1206" t="s">
        <v>2030</v>
      </c>
      <c r="D597" s="261"/>
      <c r="E597" s="261"/>
      <c r="F597" s="261"/>
    </row>
    <row r="598" spans="1:6">
      <c r="A598" s="261"/>
      <c r="B598" s="261"/>
      <c r="C598" s="1206" t="s">
        <v>1206</v>
      </c>
      <c r="D598" s="261"/>
      <c r="E598" s="261"/>
      <c r="F598" s="261"/>
    </row>
    <row r="599" spans="1:6">
      <c r="A599" s="261"/>
      <c r="B599" s="261"/>
      <c r="C599" s="268" t="s">
        <v>1207</v>
      </c>
      <c r="D599" s="261"/>
      <c r="E599" s="261" t="s">
        <v>971</v>
      </c>
      <c r="F599" s="261"/>
    </row>
    <row r="600" spans="1:6">
      <c r="A600" s="261"/>
      <c r="B600" s="261"/>
      <c r="C600" s="1206" t="s">
        <v>1103</v>
      </c>
      <c r="D600" s="261"/>
      <c r="E600" s="261"/>
      <c r="F600" s="261"/>
    </row>
    <row r="601" spans="1:6">
      <c r="A601" s="261"/>
      <c r="B601" s="261"/>
      <c r="C601" s="1206" t="s">
        <v>1022</v>
      </c>
      <c r="D601" s="261"/>
      <c r="E601" s="261"/>
      <c r="F601" s="261"/>
    </row>
    <row r="602" spans="1:6">
      <c r="A602" s="261"/>
      <c r="B602" s="261"/>
      <c r="C602" s="1206" t="s">
        <v>1804</v>
      </c>
      <c r="D602" s="261"/>
      <c r="E602" s="261"/>
      <c r="F602" s="270"/>
    </row>
    <row r="603" spans="1:6">
      <c r="A603" s="261"/>
      <c r="B603" s="261"/>
      <c r="C603" s="1206" t="s">
        <v>275</v>
      </c>
      <c r="D603" s="261"/>
      <c r="E603" s="261"/>
      <c r="F603" s="261"/>
    </row>
    <row r="604" spans="1:6">
      <c r="A604" s="261"/>
      <c r="B604" s="261"/>
      <c r="C604" s="262" t="s">
        <v>276</v>
      </c>
      <c r="D604" s="261"/>
      <c r="E604" s="261"/>
      <c r="F604" s="261"/>
    </row>
    <row r="605" spans="1:6">
      <c r="A605" s="261"/>
      <c r="B605" s="261"/>
      <c r="C605" s="1206" t="s">
        <v>277</v>
      </c>
      <c r="D605" s="261"/>
      <c r="E605" s="261"/>
      <c r="F605" s="261"/>
    </row>
    <row r="606" spans="1:6">
      <c r="A606" s="261"/>
      <c r="B606" s="261"/>
      <c r="C606" s="1206" t="s">
        <v>2046</v>
      </c>
      <c r="D606" s="261"/>
      <c r="E606" s="261"/>
      <c r="F606" s="261"/>
    </row>
    <row r="607" spans="1:6">
      <c r="A607" s="261"/>
      <c r="B607" s="261"/>
      <c r="C607" s="1206"/>
      <c r="D607" s="261"/>
      <c r="E607" s="261"/>
      <c r="F607" s="261"/>
    </row>
    <row r="608" spans="1:6">
      <c r="A608" s="261">
        <v>1</v>
      </c>
      <c r="B608" s="261" t="s">
        <v>823</v>
      </c>
      <c r="C608" s="1206" t="s">
        <v>3496</v>
      </c>
      <c r="D608" s="261">
        <v>45.72</v>
      </c>
      <c r="E608" s="261" t="s">
        <v>823</v>
      </c>
      <c r="F608" s="261">
        <v>45.72</v>
      </c>
    </row>
    <row r="609" spans="1:6">
      <c r="A609" s="261">
        <v>1</v>
      </c>
      <c r="B609" s="261" t="s">
        <v>279</v>
      </c>
      <c r="C609" s="1206" t="s">
        <v>1151</v>
      </c>
      <c r="D609" s="261">
        <v>5</v>
      </c>
      <c r="E609" s="261" t="s">
        <v>279</v>
      </c>
      <c r="F609" s="261">
        <v>5</v>
      </c>
    </row>
    <row r="610" spans="1:6">
      <c r="A610" s="261"/>
      <c r="B610" s="261" t="s">
        <v>446</v>
      </c>
      <c r="C610" s="1206" t="s">
        <v>504</v>
      </c>
      <c r="D610" s="261"/>
      <c r="E610" s="261" t="s">
        <v>446</v>
      </c>
      <c r="F610" s="261">
        <v>7.28</v>
      </c>
    </row>
    <row r="611" spans="1:6">
      <c r="A611" s="261"/>
      <c r="B611" s="261"/>
      <c r="C611" s="1206"/>
      <c r="D611" s="296"/>
      <c r="E611" s="261"/>
      <c r="F611" s="261" t="s">
        <v>1579</v>
      </c>
    </row>
    <row r="612" spans="1:6">
      <c r="A612" s="261"/>
      <c r="B612" s="261"/>
      <c r="C612" s="1206" t="s">
        <v>1631</v>
      </c>
      <c r="D612" s="296"/>
      <c r="E612" s="261"/>
      <c r="F612" s="261">
        <v>58</v>
      </c>
    </row>
    <row r="613" spans="1:6">
      <c r="A613" s="261"/>
      <c r="B613" s="261"/>
      <c r="C613" s="1206"/>
      <c r="D613" s="261"/>
      <c r="E613" s="261"/>
      <c r="F613" s="261" t="s">
        <v>2046</v>
      </c>
    </row>
    <row r="614" spans="1:6">
      <c r="A614" s="261" t="s">
        <v>1632</v>
      </c>
      <c r="B614" s="261" t="s">
        <v>2241</v>
      </c>
      <c r="C614" s="1206" t="s">
        <v>7023</v>
      </c>
      <c r="D614" s="261"/>
      <c r="E614" s="261"/>
      <c r="F614" s="261"/>
    </row>
    <row r="615" spans="1:6">
      <c r="A615" s="261"/>
      <c r="B615" s="261"/>
      <c r="C615" s="1206" t="s">
        <v>399</v>
      </c>
      <c r="D615" s="261"/>
      <c r="E615" s="261"/>
      <c r="F615" s="261"/>
    </row>
    <row r="616" spans="1:6">
      <c r="A616" s="261"/>
      <c r="B616" s="261"/>
      <c r="C616" s="262" t="s">
        <v>400</v>
      </c>
      <c r="D616" s="261"/>
      <c r="E616" s="261"/>
      <c r="F616" s="261"/>
    </row>
    <row r="617" spans="1:6">
      <c r="A617" s="261"/>
      <c r="B617" s="261"/>
      <c r="C617" s="1206" t="s">
        <v>397</v>
      </c>
      <c r="D617" s="261"/>
      <c r="E617" s="261"/>
      <c r="F617" s="261"/>
    </row>
    <row r="618" spans="1:6">
      <c r="A618" s="261"/>
      <c r="B618" s="261"/>
      <c r="C618" s="1206" t="s">
        <v>1751</v>
      </c>
      <c r="D618" s="261"/>
      <c r="E618" s="261"/>
      <c r="F618" s="261"/>
    </row>
    <row r="619" spans="1:6">
      <c r="A619" s="261"/>
      <c r="B619" s="261"/>
      <c r="C619" s="1206" t="s">
        <v>1579</v>
      </c>
      <c r="D619" s="261" t="s">
        <v>1579</v>
      </c>
      <c r="E619" s="261"/>
      <c r="F619" s="261"/>
    </row>
    <row r="620" spans="1:6">
      <c r="A620" s="261">
        <v>1</v>
      </c>
      <c r="B620" s="261" t="s">
        <v>1752</v>
      </c>
      <c r="C620" s="1206" t="s">
        <v>1545</v>
      </c>
      <c r="D620" s="261">
        <v>85</v>
      </c>
      <c r="E620" s="261" t="s">
        <v>1393</v>
      </c>
      <c r="F620" s="261">
        <v>85</v>
      </c>
    </row>
    <row r="621" spans="1:6">
      <c r="A621" s="261"/>
      <c r="B621" s="261" t="s">
        <v>446</v>
      </c>
      <c r="C621" s="1206" t="s">
        <v>1546</v>
      </c>
      <c r="D621" s="261"/>
      <c r="E621" s="261" t="s">
        <v>446</v>
      </c>
      <c r="F621" s="261">
        <v>7.5</v>
      </c>
    </row>
    <row r="622" spans="1:6">
      <c r="A622" s="261"/>
      <c r="B622" s="261" t="s">
        <v>446</v>
      </c>
      <c r="C622" s="1206" t="s">
        <v>620</v>
      </c>
      <c r="D622" s="261"/>
      <c r="E622" s="261" t="s">
        <v>446</v>
      </c>
      <c r="F622" s="270">
        <v>2.5</v>
      </c>
    </row>
    <row r="623" spans="1:6">
      <c r="A623" s="261"/>
      <c r="B623" s="261"/>
      <c r="C623" s="1206" t="s">
        <v>621</v>
      </c>
      <c r="D623" s="261"/>
      <c r="E623" s="261"/>
      <c r="F623" s="261" t="s">
        <v>1579</v>
      </c>
    </row>
    <row r="624" spans="1:6">
      <c r="A624" s="261"/>
      <c r="B624" s="261"/>
      <c r="C624" s="262" t="s">
        <v>1631</v>
      </c>
      <c r="D624" s="261"/>
      <c r="E624" s="261"/>
      <c r="F624" s="261">
        <v>95</v>
      </c>
    </row>
    <row r="625" spans="1:6">
      <c r="A625" s="261"/>
      <c r="B625" s="261"/>
      <c r="C625" s="1206"/>
      <c r="D625" s="261"/>
      <c r="E625" s="261"/>
      <c r="F625" s="261" t="s">
        <v>2046</v>
      </c>
    </row>
    <row r="626" spans="1:6">
      <c r="A626" s="261" t="s">
        <v>622</v>
      </c>
      <c r="B626" s="261" t="s">
        <v>2241</v>
      </c>
      <c r="C626" s="1206" t="s">
        <v>7024</v>
      </c>
      <c r="D626" s="261"/>
      <c r="E626" s="261"/>
      <c r="F626" s="261"/>
    </row>
    <row r="627" spans="1:6">
      <c r="A627" s="261"/>
      <c r="B627" s="261"/>
      <c r="C627" s="1206" t="s">
        <v>623</v>
      </c>
      <c r="D627" s="261"/>
      <c r="E627" s="261"/>
      <c r="F627" s="261" t="s">
        <v>971</v>
      </c>
    </row>
    <row r="628" spans="1:6">
      <c r="A628" s="261"/>
      <c r="B628" s="261"/>
      <c r="C628" s="1206" t="s">
        <v>1579</v>
      </c>
      <c r="D628" s="261"/>
      <c r="E628" s="261"/>
      <c r="F628" s="261"/>
    </row>
    <row r="629" spans="1:6">
      <c r="A629" s="261">
        <v>1</v>
      </c>
      <c r="B629" s="261" t="s">
        <v>1752</v>
      </c>
      <c r="C629" s="1206" t="s">
        <v>624</v>
      </c>
      <c r="D629" s="261">
        <v>50</v>
      </c>
      <c r="E629" s="261" t="s">
        <v>1393</v>
      </c>
      <c r="F629" s="261">
        <v>50</v>
      </c>
    </row>
    <row r="630" spans="1:6">
      <c r="A630" s="261"/>
      <c r="B630" s="261" t="s">
        <v>446</v>
      </c>
      <c r="C630" s="1206" t="s">
        <v>625</v>
      </c>
      <c r="D630" s="261"/>
      <c r="E630" s="261" t="s">
        <v>446</v>
      </c>
      <c r="F630" s="261">
        <v>5</v>
      </c>
    </row>
    <row r="631" spans="1:6">
      <c r="A631" s="261"/>
      <c r="B631" s="261"/>
      <c r="C631" s="1206"/>
      <c r="D631" s="261"/>
      <c r="E631" s="261"/>
      <c r="F631" s="261" t="s">
        <v>1579</v>
      </c>
    </row>
    <row r="632" spans="1:6">
      <c r="A632" s="261"/>
      <c r="B632" s="261"/>
      <c r="C632" s="1206" t="s">
        <v>626</v>
      </c>
      <c r="D632" s="261"/>
      <c r="E632" s="261"/>
      <c r="F632" s="261">
        <v>55</v>
      </c>
    </row>
    <row r="633" spans="1:6">
      <c r="A633" s="261"/>
      <c r="B633" s="261"/>
      <c r="C633" s="1206"/>
      <c r="D633" s="261"/>
      <c r="E633" s="261"/>
      <c r="F633" s="261" t="s">
        <v>2046</v>
      </c>
    </row>
    <row r="634" spans="1:6">
      <c r="A634" s="261" t="s">
        <v>2139</v>
      </c>
      <c r="B634" s="261" t="s">
        <v>2241</v>
      </c>
      <c r="C634" s="1206" t="s">
        <v>7025</v>
      </c>
      <c r="D634" s="261"/>
      <c r="E634" s="261"/>
      <c r="F634" s="261"/>
    </row>
    <row r="635" spans="1:6">
      <c r="A635" s="261"/>
      <c r="B635" s="261"/>
      <c r="C635" s="1206" t="s">
        <v>1579</v>
      </c>
      <c r="D635" s="261" t="s">
        <v>1579</v>
      </c>
      <c r="E635" s="261"/>
      <c r="F635" s="261"/>
    </row>
    <row r="636" spans="1:6">
      <c r="A636" s="261">
        <v>1</v>
      </c>
      <c r="B636" s="261" t="s">
        <v>1752</v>
      </c>
      <c r="C636" s="1206" t="s">
        <v>2140</v>
      </c>
      <c r="D636" s="261">
        <v>1.2</v>
      </c>
      <c r="E636" s="261" t="s">
        <v>1393</v>
      </c>
      <c r="F636" s="261">
        <v>1.2</v>
      </c>
    </row>
    <row r="637" spans="1:6">
      <c r="A637" s="261"/>
      <c r="B637" s="261" t="s">
        <v>446</v>
      </c>
      <c r="C637" s="1206" t="s">
        <v>625</v>
      </c>
      <c r="D637" s="261"/>
      <c r="E637" s="261" t="s">
        <v>446</v>
      </c>
      <c r="F637" s="261">
        <v>0.3</v>
      </c>
    </row>
    <row r="638" spans="1:6">
      <c r="A638" s="261"/>
      <c r="B638" s="261"/>
      <c r="C638" s="1206"/>
      <c r="D638" s="261"/>
      <c r="E638" s="261"/>
      <c r="F638" s="261" t="s">
        <v>1579</v>
      </c>
    </row>
    <row r="639" spans="1:6">
      <c r="C639" s="1162" t="s">
        <v>626</v>
      </c>
      <c r="F639" s="252">
        <v>1.5</v>
      </c>
    </row>
    <row r="640" spans="1:6">
      <c r="A640" s="252" t="s">
        <v>971</v>
      </c>
      <c r="F640" s="252" t="s">
        <v>1579</v>
      </c>
    </row>
    <row r="641" spans="1:6">
      <c r="A641" s="252">
        <v>50.1</v>
      </c>
      <c r="B641" s="252" t="s">
        <v>2241</v>
      </c>
      <c r="C641" s="1162" t="s">
        <v>2156</v>
      </c>
    </row>
    <row r="642" spans="1:6">
      <c r="C642" s="1162" t="s">
        <v>12</v>
      </c>
    </row>
    <row r="643" spans="1:6">
      <c r="C643" s="1162" t="s">
        <v>41</v>
      </c>
    </row>
    <row r="644" spans="1:6">
      <c r="C644" s="1162" t="s">
        <v>42</v>
      </c>
    </row>
    <row r="645" spans="1:6">
      <c r="C645" s="1162" t="s">
        <v>43</v>
      </c>
    </row>
    <row r="646" spans="1:6">
      <c r="C646" s="1162" t="s">
        <v>1579</v>
      </c>
      <c r="D646" s="252" t="s">
        <v>1579</v>
      </c>
    </row>
    <row r="647" spans="1:6">
      <c r="A647" s="252">
        <v>9</v>
      </c>
      <c r="B647" s="252" t="s">
        <v>2142</v>
      </c>
      <c r="C647" s="1162" t="s">
        <v>1567</v>
      </c>
      <c r="D647" s="252">
        <v>1997.1</v>
      </c>
      <c r="E647" s="252" t="s">
        <v>2142</v>
      </c>
      <c r="F647" s="252">
        <v>17973.900000000001</v>
      </c>
    </row>
    <row r="648" spans="1:6">
      <c r="A648" s="252">
        <v>4.5</v>
      </c>
      <c r="B648" s="252" t="s">
        <v>2142</v>
      </c>
      <c r="C648" s="1162" t="s">
        <v>1568</v>
      </c>
      <c r="D648" s="252">
        <v>4861.3</v>
      </c>
      <c r="E648" s="252" t="s">
        <v>2142</v>
      </c>
      <c r="F648" s="252">
        <v>21875.85</v>
      </c>
    </row>
    <row r="649" spans="1:6">
      <c r="A649" s="252">
        <v>1.8</v>
      </c>
      <c r="B649" s="252" t="s">
        <v>557</v>
      </c>
      <c r="C649" s="1162" t="s">
        <v>1569</v>
      </c>
      <c r="D649" s="252">
        <v>932</v>
      </c>
      <c r="E649" s="252" t="s">
        <v>1393</v>
      </c>
      <c r="F649" s="252">
        <v>1677.6</v>
      </c>
    </row>
    <row r="650" spans="1:6">
      <c r="A650" s="252">
        <v>17.7</v>
      </c>
      <c r="B650" s="252" t="s">
        <v>557</v>
      </c>
      <c r="C650" s="1162" t="s">
        <v>820</v>
      </c>
      <c r="D650" s="252">
        <v>651</v>
      </c>
      <c r="E650" s="252" t="s">
        <v>1393</v>
      </c>
      <c r="F650" s="252">
        <v>11522.7</v>
      </c>
    </row>
    <row r="651" spans="1:6">
      <c r="A651" s="252">
        <v>14.1</v>
      </c>
      <c r="B651" s="252" t="s">
        <v>557</v>
      </c>
      <c r="C651" s="1162" t="s">
        <v>1367</v>
      </c>
      <c r="D651" s="252">
        <v>534</v>
      </c>
      <c r="E651" s="252" t="s">
        <v>1393</v>
      </c>
      <c r="F651" s="252">
        <v>7529.4</v>
      </c>
    </row>
    <row r="652" spans="1:6">
      <c r="F652" s="252" t="s">
        <v>1579</v>
      </c>
    </row>
    <row r="653" spans="1:6">
      <c r="C653" s="1162" t="s">
        <v>1570</v>
      </c>
      <c r="F653" s="252">
        <v>60579.45</v>
      </c>
    </row>
    <row r="654" spans="1:6">
      <c r="F654" s="252" t="s">
        <v>1579</v>
      </c>
    </row>
    <row r="655" spans="1:6">
      <c r="C655" s="1162" t="s">
        <v>1571</v>
      </c>
      <c r="F655" s="252">
        <v>6057.95</v>
      </c>
    </row>
    <row r="656" spans="1:6">
      <c r="F656" s="252" t="s">
        <v>2046</v>
      </c>
    </row>
    <row r="658" spans="1:6">
      <c r="B658" s="252" t="s">
        <v>672</v>
      </c>
      <c r="C658" s="1162" t="s">
        <v>1143</v>
      </c>
    </row>
    <row r="659" spans="1:6">
      <c r="C659" s="1162" t="s">
        <v>7026</v>
      </c>
    </row>
    <row r="660" spans="1:6">
      <c r="C660" s="1162" t="s">
        <v>1579</v>
      </c>
      <c r="D660" s="252" t="s">
        <v>1579</v>
      </c>
    </row>
    <row r="662" spans="1:6">
      <c r="A662" s="252">
        <v>0.314</v>
      </c>
      <c r="B662" s="252" t="s">
        <v>2142</v>
      </c>
      <c r="C662" s="1162" t="s">
        <v>439</v>
      </c>
      <c r="D662" s="252">
        <v>6057.95</v>
      </c>
      <c r="E662" s="252" t="s">
        <v>2142</v>
      </c>
      <c r="F662" s="252">
        <v>1902.2</v>
      </c>
    </row>
    <row r="663" spans="1:6">
      <c r="A663" s="252">
        <v>18</v>
      </c>
      <c r="B663" s="252" t="s">
        <v>557</v>
      </c>
      <c r="C663" s="1162" t="s">
        <v>4216</v>
      </c>
      <c r="D663" s="252">
        <v>41.87</v>
      </c>
      <c r="E663" s="252" t="s">
        <v>1393</v>
      </c>
      <c r="F663" s="252">
        <v>753.66</v>
      </c>
    </row>
    <row r="664" spans="1:6">
      <c r="A664" s="252">
        <v>18</v>
      </c>
      <c r="B664" s="252" t="s">
        <v>557</v>
      </c>
      <c r="C664" s="1162" t="s">
        <v>536</v>
      </c>
      <c r="D664" s="252">
        <v>1</v>
      </c>
      <c r="E664" s="252" t="s">
        <v>1393</v>
      </c>
      <c r="F664" s="252">
        <v>18</v>
      </c>
    </row>
    <row r="665" spans="1:6">
      <c r="A665" s="252">
        <v>18</v>
      </c>
      <c r="B665" s="252" t="s">
        <v>557</v>
      </c>
      <c r="C665" s="1162" t="s">
        <v>537</v>
      </c>
      <c r="D665" s="252">
        <v>2</v>
      </c>
      <c r="E665" s="252" t="s">
        <v>1393</v>
      </c>
      <c r="F665" s="252">
        <v>36</v>
      </c>
    </row>
    <row r="666" spans="1:6">
      <c r="F666" s="252" t="s">
        <v>1579</v>
      </c>
    </row>
    <row r="667" spans="1:6">
      <c r="C667" s="1162" t="s">
        <v>1940</v>
      </c>
      <c r="F667" s="252">
        <v>2709.86</v>
      </c>
    </row>
    <row r="668" spans="1:6">
      <c r="F668" s="252" t="s">
        <v>1579</v>
      </c>
    </row>
    <row r="669" spans="1:6">
      <c r="C669" s="1162" t="s">
        <v>1941</v>
      </c>
      <c r="F669" s="252">
        <v>431.51</v>
      </c>
    </row>
    <row r="670" spans="1:6">
      <c r="F670" s="252" t="s">
        <v>2046</v>
      </c>
    </row>
    <row r="671" spans="1:6">
      <c r="A671" s="252" t="s">
        <v>2166</v>
      </c>
      <c r="B671" s="252" t="s">
        <v>672</v>
      </c>
      <c r="C671" s="1162" t="s">
        <v>1143</v>
      </c>
    </row>
    <row r="672" spans="1:6">
      <c r="C672" s="1162" t="s">
        <v>7027</v>
      </c>
    </row>
    <row r="673" spans="1:6">
      <c r="C673" s="1162" t="s">
        <v>1579</v>
      </c>
      <c r="D673" s="252" t="s">
        <v>1579</v>
      </c>
    </row>
    <row r="674" spans="1:6">
      <c r="A674" s="252">
        <v>0.40500000000000003</v>
      </c>
      <c r="B674" s="252" t="s">
        <v>2142</v>
      </c>
      <c r="C674" s="1162" t="s">
        <v>439</v>
      </c>
      <c r="D674" s="252">
        <v>6178</v>
      </c>
      <c r="E674" s="252" t="s">
        <v>2142</v>
      </c>
      <c r="F674" s="252">
        <v>2502.09</v>
      </c>
    </row>
    <row r="675" spans="1:6">
      <c r="A675" s="252" t="s">
        <v>971</v>
      </c>
      <c r="B675" s="252" t="s">
        <v>971</v>
      </c>
      <c r="C675" s="1162" t="s">
        <v>1640</v>
      </c>
      <c r="D675" s="252" t="s">
        <v>654</v>
      </c>
      <c r="F675" s="252" t="s">
        <v>971</v>
      </c>
    </row>
    <row r="676" spans="1:6">
      <c r="F676" s="252" t="s">
        <v>1579</v>
      </c>
    </row>
    <row r="677" spans="1:6">
      <c r="C677" s="1162" t="s">
        <v>1641</v>
      </c>
      <c r="F677" s="252">
        <v>2502.09</v>
      </c>
    </row>
    <row r="678" spans="1:6">
      <c r="F678" s="252" t="s">
        <v>1579</v>
      </c>
    </row>
    <row r="679" spans="1:6">
      <c r="C679" s="1162" t="s">
        <v>1642</v>
      </c>
      <c r="F679" s="252">
        <v>278.01</v>
      </c>
    </row>
    <row r="680" spans="1:6">
      <c r="F680" s="252" t="s">
        <v>2046</v>
      </c>
    </row>
    <row r="681" spans="1:6">
      <c r="A681" s="252" t="s">
        <v>1400</v>
      </c>
      <c r="C681" s="1162" t="s">
        <v>466</v>
      </c>
    </row>
    <row r="682" spans="1:6">
      <c r="C682" s="1162" t="s">
        <v>1579</v>
      </c>
    </row>
    <row r="683" spans="1:6">
      <c r="A683" s="252">
        <v>4.32</v>
      </c>
      <c r="B683" s="252" t="s">
        <v>866</v>
      </c>
      <c r="C683" s="1162" t="s">
        <v>354</v>
      </c>
      <c r="D683" s="252">
        <v>112.05</v>
      </c>
      <c r="E683" s="252" t="s">
        <v>866</v>
      </c>
      <c r="F683" s="252">
        <v>484.06</v>
      </c>
    </row>
    <row r="684" spans="1:6">
      <c r="A684" s="252">
        <v>1.44</v>
      </c>
      <c r="B684" s="252" t="s">
        <v>866</v>
      </c>
      <c r="C684" s="1162" t="s">
        <v>467</v>
      </c>
      <c r="D684" s="252">
        <v>69.099999999999994</v>
      </c>
      <c r="E684" s="252" t="s">
        <v>866</v>
      </c>
      <c r="F684" s="252">
        <v>99.5</v>
      </c>
    </row>
    <row r="685" spans="1:6">
      <c r="A685" s="252">
        <v>1.44</v>
      </c>
      <c r="B685" s="252" t="s">
        <v>866</v>
      </c>
      <c r="C685" s="1162" t="s">
        <v>468</v>
      </c>
      <c r="D685" s="252">
        <v>389</v>
      </c>
      <c r="E685" s="252" t="s">
        <v>866</v>
      </c>
      <c r="F685" s="252">
        <v>560.16</v>
      </c>
    </row>
    <row r="686" spans="1:6">
      <c r="A686" s="252">
        <v>1.44</v>
      </c>
      <c r="B686" s="252" t="s">
        <v>866</v>
      </c>
      <c r="C686" s="1162" t="s">
        <v>469</v>
      </c>
      <c r="D686" s="252">
        <v>1846.1</v>
      </c>
      <c r="E686" s="252" t="s">
        <v>866</v>
      </c>
      <c r="F686" s="252">
        <v>2658.38</v>
      </c>
    </row>
    <row r="687" spans="1:6">
      <c r="A687" s="252">
        <v>2.88</v>
      </c>
      <c r="B687" s="252" t="s">
        <v>866</v>
      </c>
      <c r="C687" s="1162" t="s">
        <v>470</v>
      </c>
      <c r="D687" s="252">
        <v>10</v>
      </c>
      <c r="E687" s="252" t="s">
        <v>866</v>
      </c>
      <c r="F687" s="252">
        <v>28.8</v>
      </c>
    </row>
    <row r="688" spans="1:6">
      <c r="A688" s="252">
        <v>20</v>
      </c>
      <c r="B688" s="252" t="s">
        <v>255</v>
      </c>
      <c r="C688" s="1162" t="s">
        <v>1616</v>
      </c>
      <c r="D688" s="252">
        <v>46.1</v>
      </c>
      <c r="E688" s="252" t="s">
        <v>255</v>
      </c>
      <c r="F688" s="252">
        <v>922</v>
      </c>
    </row>
    <row r="689" spans="1:6">
      <c r="A689" s="252">
        <v>42</v>
      </c>
      <c r="B689" s="252" t="s">
        <v>2186</v>
      </c>
      <c r="C689" s="1162" t="s">
        <v>4897</v>
      </c>
      <c r="D689" s="252">
        <v>17.5</v>
      </c>
      <c r="E689" s="252" t="s">
        <v>2186</v>
      </c>
      <c r="F689" s="252">
        <v>735</v>
      </c>
    </row>
    <row r="690" spans="1:6">
      <c r="A690" s="252">
        <v>4.32</v>
      </c>
      <c r="B690" s="252" t="s">
        <v>866</v>
      </c>
      <c r="C690" s="1162" t="s">
        <v>1609</v>
      </c>
      <c r="D690" s="252">
        <v>38.950000000000003</v>
      </c>
      <c r="E690" s="252" t="s">
        <v>866</v>
      </c>
      <c r="F690" s="252">
        <v>168.26</v>
      </c>
    </row>
    <row r="691" spans="1:6">
      <c r="A691" s="252" t="s">
        <v>730</v>
      </c>
      <c r="C691" s="1162" t="s">
        <v>1016</v>
      </c>
      <c r="F691" s="252">
        <v>2000</v>
      </c>
    </row>
    <row r="692" spans="1:6">
      <c r="F692" s="252" t="s">
        <v>1579</v>
      </c>
    </row>
    <row r="693" spans="1:6">
      <c r="C693" s="1162" t="s">
        <v>1017</v>
      </c>
      <c r="F693" s="252">
        <v>7656.16</v>
      </c>
    </row>
    <row r="694" spans="1:6">
      <c r="F694" s="252" t="s">
        <v>1579</v>
      </c>
    </row>
    <row r="695" spans="1:6">
      <c r="C695" s="1162" t="s">
        <v>1396</v>
      </c>
      <c r="F695" s="252">
        <v>382.81</v>
      </c>
    </row>
    <row r="696" spans="1:6">
      <c r="F696" s="252" t="s">
        <v>2046</v>
      </c>
    </row>
    <row r="698" spans="1:6">
      <c r="A698" s="252" t="s">
        <v>1018</v>
      </c>
      <c r="C698" s="1162" t="s">
        <v>1311</v>
      </c>
    </row>
    <row r="699" spans="1:6">
      <c r="C699" s="1162" t="s">
        <v>1579</v>
      </c>
    </row>
    <row r="700" spans="1:6">
      <c r="A700" s="252">
        <v>0.1</v>
      </c>
      <c r="B700" s="252" t="s">
        <v>866</v>
      </c>
      <c r="C700" s="1162" t="s">
        <v>354</v>
      </c>
      <c r="D700" s="252">
        <v>224.1</v>
      </c>
      <c r="E700" s="252" t="s">
        <v>866</v>
      </c>
      <c r="F700" s="252">
        <v>22.41</v>
      </c>
    </row>
    <row r="701" spans="1:6">
      <c r="A701" s="252">
        <v>6.3</v>
      </c>
      <c r="B701" s="252" t="s">
        <v>2186</v>
      </c>
      <c r="C701" s="1162" t="s">
        <v>5450</v>
      </c>
      <c r="D701" s="252">
        <v>34.6</v>
      </c>
      <c r="E701" s="252" t="s">
        <v>2186</v>
      </c>
      <c r="F701" s="252">
        <v>217.98</v>
      </c>
    </row>
    <row r="702" spans="1:6">
      <c r="A702" s="252">
        <v>6.3</v>
      </c>
      <c r="B702" s="252" t="s">
        <v>2186</v>
      </c>
      <c r="C702" s="1162" t="s">
        <v>1134</v>
      </c>
      <c r="D702" s="252">
        <v>17.5</v>
      </c>
      <c r="E702" s="252" t="s">
        <v>2186</v>
      </c>
      <c r="F702" s="252">
        <v>110.25</v>
      </c>
    </row>
    <row r="703" spans="1:6">
      <c r="A703" s="252">
        <v>3.15</v>
      </c>
      <c r="B703" s="252" t="s">
        <v>230</v>
      </c>
      <c r="C703" s="1162" t="s">
        <v>633</v>
      </c>
      <c r="D703" s="252">
        <v>40.65</v>
      </c>
      <c r="E703" s="252" t="s">
        <v>230</v>
      </c>
      <c r="F703" s="252">
        <v>128.05000000000001</v>
      </c>
    </row>
    <row r="704" spans="1:6">
      <c r="A704" s="252">
        <v>0.25</v>
      </c>
      <c r="B704" s="252" t="s">
        <v>1752</v>
      </c>
      <c r="C704" s="1162" t="s">
        <v>634</v>
      </c>
      <c r="D704" s="252">
        <v>932</v>
      </c>
      <c r="E704" s="252" t="s">
        <v>1752</v>
      </c>
      <c r="F704" s="252">
        <v>233</v>
      </c>
    </row>
    <row r="705" spans="1:6">
      <c r="A705" s="252">
        <v>0.2</v>
      </c>
      <c r="B705" s="252" t="s">
        <v>1752</v>
      </c>
      <c r="C705" s="1162" t="s">
        <v>635</v>
      </c>
      <c r="D705" s="252">
        <v>866</v>
      </c>
      <c r="E705" s="252" t="s">
        <v>1752</v>
      </c>
      <c r="F705" s="252">
        <v>173.2</v>
      </c>
    </row>
    <row r="706" spans="1:6">
      <c r="C706" s="1162" t="s">
        <v>505</v>
      </c>
      <c r="D706" s="252" t="s">
        <v>971</v>
      </c>
      <c r="E706" s="252" t="s">
        <v>971</v>
      </c>
      <c r="F706" s="252">
        <v>0</v>
      </c>
    </row>
    <row r="707" spans="1:6">
      <c r="E707" s="252" t="s">
        <v>971</v>
      </c>
      <c r="F707" s="252" t="s">
        <v>1579</v>
      </c>
    </row>
    <row r="708" spans="1:6">
      <c r="A708" s="252" t="s">
        <v>971</v>
      </c>
      <c r="B708" s="252" t="s">
        <v>971</v>
      </c>
      <c r="C708" s="1162" t="s">
        <v>1396</v>
      </c>
      <c r="F708" s="252">
        <v>884.89</v>
      </c>
    </row>
    <row r="709" spans="1:6">
      <c r="C709" s="1162" t="s">
        <v>971</v>
      </c>
      <c r="F709" s="252" t="s">
        <v>1579</v>
      </c>
    </row>
    <row r="711" spans="1:6">
      <c r="A711" s="252" t="s">
        <v>590</v>
      </c>
      <c r="C711" s="1162" t="s">
        <v>926</v>
      </c>
    </row>
    <row r="712" spans="1:6">
      <c r="C712" s="1162" t="s">
        <v>1579</v>
      </c>
    </row>
    <row r="713" spans="1:6">
      <c r="A713" s="252">
        <v>0.48599999999999999</v>
      </c>
      <c r="B713" s="252" t="s">
        <v>1336</v>
      </c>
      <c r="C713" s="1162" t="s">
        <v>354</v>
      </c>
      <c r="D713" s="252">
        <v>112.05</v>
      </c>
      <c r="E713" s="252" t="s">
        <v>1336</v>
      </c>
      <c r="F713" s="252">
        <v>54.46</v>
      </c>
    </row>
    <row r="714" spans="1:6">
      <c r="A714" s="252">
        <v>0.48599999999999999</v>
      </c>
      <c r="B714" s="252" t="s">
        <v>1336</v>
      </c>
      <c r="C714" s="1162" t="s">
        <v>355</v>
      </c>
      <c r="D714" s="252">
        <v>5158.8100000000004</v>
      </c>
      <c r="E714" s="252" t="s">
        <v>1336</v>
      </c>
      <c r="F714" s="252">
        <v>2507.1799999999998</v>
      </c>
    </row>
    <row r="715" spans="1:6">
      <c r="A715" s="252">
        <v>81.75</v>
      </c>
      <c r="B715" s="252" t="s">
        <v>356</v>
      </c>
      <c r="C715" s="1162" t="s">
        <v>357</v>
      </c>
      <c r="D715" s="252">
        <v>53</v>
      </c>
      <c r="E715" s="252" t="s">
        <v>356</v>
      </c>
      <c r="F715" s="252">
        <v>4332.75</v>
      </c>
    </row>
    <row r="716" spans="1:6">
      <c r="A716" s="252">
        <v>7.2</v>
      </c>
      <c r="B716" s="252" t="s">
        <v>356</v>
      </c>
      <c r="C716" s="1162" t="s">
        <v>358</v>
      </c>
      <c r="D716" s="252">
        <v>53</v>
      </c>
      <c r="E716" s="252" t="s">
        <v>356</v>
      </c>
      <c r="F716" s="252">
        <v>381.6</v>
      </c>
    </row>
    <row r="717" spans="1:6">
      <c r="A717" s="252">
        <v>43.68</v>
      </c>
      <c r="B717" s="252" t="s">
        <v>356</v>
      </c>
      <c r="C717" s="1162" t="s">
        <v>1549</v>
      </c>
      <c r="D717" s="252">
        <v>53</v>
      </c>
      <c r="E717" s="252" t="s">
        <v>356</v>
      </c>
      <c r="F717" s="252">
        <v>2315.04</v>
      </c>
    </row>
    <row r="718" spans="1:6">
      <c r="A718" s="252">
        <v>132.63</v>
      </c>
      <c r="B718" s="252" t="s">
        <v>356</v>
      </c>
      <c r="C718" s="1162" t="s">
        <v>1550</v>
      </c>
      <c r="D718" s="252">
        <v>55.35</v>
      </c>
      <c r="E718" s="252" t="s">
        <v>356</v>
      </c>
      <c r="F718" s="252">
        <v>7341.07</v>
      </c>
    </row>
    <row r="719" spans="1:6">
      <c r="A719" s="252">
        <v>2.2000000000000002</v>
      </c>
      <c r="B719" s="252" t="s">
        <v>230</v>
      </c>
      <c r="C719" s="1162" t="s">
        <v>7028</v>
      </c>
      <c r="D719" s="252">
        <v>970</v>
      </c>
      <c r="E719" s="252" t="s">
        <v>230</v>
      </c>
      <c r="F719" s="252">
        <v>2134</v>
      </c>
    </row>
    <row r="720" spans="1:6">
      <c r="A720" s="252" t="s">
        <v>654</v>
      </c>
      <c r="C720" s="1162" t="s">
        <v>1551</v>
      </c>
      <c r="D720" s="252" t="s">
        <v>654</v>
      </c>
      <c r="F720" s="252">
        <v>250</v>
      </c>
    </row>
    <row r="721" spans="1:6">
      <c r="A721" s="252" t="s">
        <v>654</v>
      </c>
      <c r="C721" s="1162" t="s">
        <v>1395</v>
      </c>
      <c r="D721" s="252" t="s">
        <v>654</v>
      </c>
      <c r="F721" s="252">
        <v>20.47</v>
      </c>
    </row>
    <row r="722" spans="1:6">
      <c r="F722" s="252" t="s">
        <v>1579</v>
      </c>
    </row>
    <row r="723" spans="1:6">
      <c r="F723" s="252">
        <v>19336.57</v>
      </c>
    </row>
    <row r="724" spans="1:6">
      <c r="F724" s="252" t="s">
        <v>1579</v>
      </c>
    </row>
    <row r="726" spans="1:6">
      <c r="A726" s="252">
        <v>86</v>
      </c>
      <c r="C726" s="1162" t="s">
        <v>2050</v>
      </c>
      <c r="F726" s="252">
        <v>33.9</v>
      </c>
    </row>
    <row r="728" spans="1:6">
      <c r="A728" s="252">
        <v>52</v>
      </c>
      <c r="B728" s="252" t="s">
        <v>2241</v>
      </c>
      <c r="C728" s="1162" t="s">
        <v>99</v>
      </c>
    </row>
    <row r="729" spans="1:6">
      <c r="C729" s="1162" t="s">
        <v>2159</v>
      </c>
    </row>
    <row r="730" spans="1:6">
      <c r="C730" s="1162" t="s">
        <v>2160</v>
      </c>
    </row>
    <row r="731" spans="1:6">
      <c r="C731" s="1162" t="s">
        <v>1401</v>
      </c>
    </row>
    <row r="732" spans="1:6">
      <c r="C732" s="1162" t="s">
        <v>1402</v>
      </c>
    </row>
    <row r="733" spans="1:6">
      <c r="C733" s="1162" t="s">
        <v>1346</v>
      </c>
    </row>
    <row r="734" spans="1:6">
      <c r="C734" s="1162" t="s">
        <v>1347</v>
      </c>
    </row>
    <row r="735" spans="1:6">
      <c r="C735" s="1162" t="s">
        <v>707</v>
      </c>
    </row>
    <row r="736" spans="1:6">
      <c r="C736" s="1162" t="s">
        <v>2046</v>
      </c>
      <c r="D736" s="252" t="s">
        <v>2046</v>
      </c>
    </row>
    <row r="737" spans="1:6">
      <c r="B737" s="252" t="s">
        <v>2241</v>
      </c>
      <c r="C737" s="1162" t="s">
        <v>914</v>
      </c>
    </row>
    <row r="738" spans="1:6">
      <c r="C738" s="1162" t="s">
        <v>803</v>
      </c>
    </row>
    <row r="739" spans="1:6">
      <c r="B739" s="252" t="s">
        <v>313</v>
      </c>
      <c r="C739" s="1162" t="s">
        <v>804</v>
      </c>
    </row>
    <row r="740" spans="1:6">
      <c r="C740" s="1162" t="s">
        <v>1579</v>
      </c>
    </row>
    <row r="741" spans="1:6">
      <c r="A741" s="252">
        <v>1</v>
      </c>
      <c r="B741" s="252" t="s">
        <v>823</v>
      </c>
      <c r="C741" s="1162" t="s">
        <v>615</v>
      </c>
      <c r="D741" s="252">
        <v>26</v>
      </c>
      <c r="E741" s="252" t="s">
        <v>823</v>
      </c>
      <c r="F741" s="252">
        <v>26</v>
      </c>
    </row>
    <row r="742" spans="1:6">
      <c r="A742" s="252">
        <v>1</v>
      </c>
      <c r="B742" s="252" t="s">
        <v>446</v>
      </c>
      <c r="C742" s="1162" t="s">
        <v>1793</v>
      </c>
      <c r="D742" s="252">
        <v>18.2</v>
      </c>
      <c r="E742" s="252" t="s">
        <v>446</v>
      </c>
      <c r="F742" s="252">
        <v>18.2</v>
      </c>
    </row>
    <row r="743" spans="1:6">
      <c r="A743" s="252">
        <v>1</v>
      </c>
      <c r="B743" s="252" t="s">
        <v>823</v>
      </c>
      <c r="C743" s="1162" t="s">
        <v>161</v>
      </c>
      <c r="D743" s="252">
        <v>185.41</v>
      </c>
      <c r="E743" s="252" t="s">
        <v>823</v>
      </c>
      <c r="F743" s="252">
        <v>185.41</v>
      </c>
    </row>
    <row r="744" spans="1:6">
      <c r="D744" s="252" t="s">
        <v>971</v>
      </c>
      <c r="F744" s="252" t="s">
        <v>1579</v>
      </c>
    </row>
    <row r="745" spans="1:6">
      <c r="C745" s="1162" t="s">
        <v>374</v>
      </c>
      <c r="F745" s="252">
        <v>229.61</v>
      </c>
    </row>
    <row r="746" spans="1:6">
      <c r="C746" s="1162" t="s">
        <v>971</v>
      </c>
      <c r="D746" s="252" t="s">
        <v>971</v>
      </c>
      <c r="F746" s="252" t="s">
        <v>2046</v>
      </c>
    </row>
    <row r="747" spans="1:6">
      <c r="B747" s="252" t="s">
        <v>517</v>
      </c>
      <c r="C747" s="1162" t="s">
        <v>739</v>
      </c>
    </row>
    <row r="748" spans="1:6">
      <c r="C748" s="1162" t="s">
        <v>1579</v>
      </c>
    </row>
    <row r="749" spans="1:6">
      <c r="A749" s="252">
        <v>1</v>
      </c>
      <c r="B749" s="252" t="s">
        <v>823</v>
      </c>
      <c r="C749" s="1162" t="s">
        <v>740</v>
      </c>
      <c r="D749" s="252">
        <v>35</v>
      </c>
      <c r="E749" s="252" t="s">
        <v>823</v>
      </c>
      <c r="F749" s="252">
        <v>35</v>
      </c>
    </row>
    <row r="750" spans="1:6">
      <c r="A750" s="252">
        <v>1</v>
      </c>
      <c r="B750" s="252" t="s">
        <v>446</v>
      </c>
      <c r="C750" s="1162" t="s">
        <v>890</v>
      </c>
      <c r="D750" s="252">
        <v>14</v>
      </c>
      <c r="E750" s="252" t="s">
        <v>446</v>
      </c>
      <c r="F750" s="252">
        <v>14</v>
      </c>
    </row>
    <row r="751" spans="1:6">
      <c r="A751" s="252">
        <v>1</v>
      </c>
      <c r="B751" s="252" t="s">
        <v>823</v>
      </c>
      <c r="C751" s="1162" t="s">
        <v>161</v>
      </c>
      <c r="D751" s="252">
        <v>185.47</v>
      </c>
      <c r="E751" s="252" t="s">
        <v>823</v>
      </c>
      <c r="F751" s="252">
        <v>185.47</v>
      </c>
    </row>
    <row r="752" spans="1:6">
      <c r="D752" s="252" t="s">
        <v>971</v>
      </c>
      <c r="F752" s="252" t="s">
        <v>1579</v>
      </c>
    </row>
    <row r="753" spans="1:6">
      <c r="C753" s="1162" t="s">
        <v>374</v>
      </c>
      <c r="F753" s="252">
        <v>234.47</v>
      </c>
    </row>
    <row r="754" spans="1:6">
      <c r="D754" s="252" t="s">
        <v>971</v>
      </c>
      <c r="F754" s="252" t="s">
        <v>2046</v>
      </c>
    </row>
    <row r="755" spans="1:6">
      <c r="B755" s="252" t="s">
        <v>1898</v>
      </c>
      <c r="C755" s="1162" t="s">
        <v>372</v>
      </c>
    </row>
    <row r="756" spans="1:6">
      <c r="C756" s="1162" t="s">
        <v>1579</v>
      </c>
    </row>
    <row r="757" spans="1:6">
      <c r="A757" s="252">
        <v>1</v>
      </c>
      <c r="B757" s="252" t="s">
        <v>823</v>
      </c>
      <c r="C757" s="1162" t="s">
        <v>1663</v>
      </c>
      <c r="D757" s="252">
        <v>52</v>
      </c>
      <c r="E757" s="252" t="s">
        <v>823</v>
      </c>
      <c r="F757" s="252">
        <v>52</v>
      </c>
    </row>
    <row r="758" spans="1:6">
      <c r="A758" s="252">
        <v>1</v>
      </c>
      <c r="B758" s="252" t="s">
        <v>446</v>
      </c>
      <c r="C758" s="1162" t="s">
        <v>1664</v>
      </c>
      <c r="D758" s="252">
        <v>10.4</v>
      </c>
      <c r="E758" s="252" t="s">
        <v>446</v>
      </c>
      <c r="F758" s="252">
        <v>10.4</v>
      </c>
    </row>
    <row r="759" spans="1:6">
      <c r="A759" s="252">
        <v>1</v>
      </c>
      <c r="B759" s="252" t="s">
        <v>823</v>
      </c>
      <c r="C759" s="1162" t="s">
        <v>161</v>
      </c>
      <c r="D759" s="252">
        <v>190.32</v>
      </c>
      <c r="E759" s="252" t="s">
        <v>823</v>
      </c>
      <c r="F759" s="252">
        <v>190.32</v>
      </c>
    </row>
    <row r="760" spans="1:6">
      <c r="D760" s="252" t="s">
        <v>971</v>
      </c>
      <c r="F760" s="252" t="s">
        <v>1579</v>
      </c>
    </row>
    <row r="761" spans="1:6">
      <c r="C761" s="1162" t="s">
        <v>374</v>
      </c>
      <c r="F761" s="252">
        <v>252.72</v>
      </c>
    </row>
    <row r="762" spans="1:6">
      <c r="D762" s="252" t="s">
        <v>971</v>
      </c>
      <c r="F762" s="252" t="s">
        <v>2046</v>
      </c>
    </row>
    <row r="764" spans="1:6">
      <c r="B764" s="252" t="s">
        <v>1898</v>
      </c>
      <c r="C764" s="1162" t="s">
        <v>3580</v>
      </c>
    </row>
    <row r="765" spans="1:6">
      <c r="C765" s="1162" t="s">
        <v>1579</v>
      </c>
    </row>
    <row r="766" spans="1:6">
      <c r="A766" s="252">
        <v>1</v>
      </c>
      <c r="B766" s="252" t="s">
        <v>823</v>
      </c>
      <c r="C766" s="1162" t="s">
        <v>3581</v>
      </c>
      <c r="D766" s="252">
        <v>82</v>
      </c>
      <c r="E766" s="252" t="s">
        <v>823</v>
      </c>
      <c r="F766" s="252">
        <v>82</v>
      </c>
    </row>
    <row r="767" spans="1:6">
      <c r="A767" s="252">
        <v>1</v>
      </c>
      <c r="B767" s="252" t="s">
        <v>446</v>
      </c>
      <c r="C767" s="1162" t="s">
        <v>1664</v>
      </c>
      <c r="D767" s="252">
        <v>16.399999999999999</v>
      </c>
      <c r="E767" s="252" t="s">
        <v>446</v>
      </c>
      <c r="F767" s="252">
        <v>16.399999999999999</v>
      </c>
    </row>
    <row r="768" spans="1:6">
      <c r="A768" s="252">
        <v>1</v>
      </c>
      <c r="B768" s="252" t="s">
        <v>823</v>
      </c>
      <c r="C768" s="1162" t="s">
        <v>161</v>
      </c>
      <c r="D768" s="252">
        <v>190.32</v>
      </c>
      <c r="E768" s="252" t="s">
        <v>823</v>
      </c>
      <c r="F768" s="252">
        <v>190.32</v>
      </c>
    </row>
    <row r="769" spans="1:6">
      <c r="D769" s="252" t="s">
        <v>971</v>
      </c>
      <c r="F769" s="252" t="s">
        <v>1579</v>
      </c>
    </row>
    <row r="770" spans="1:6">
      <c r="C770" s="1162" t="s">
        <v>374</v>
      </c>
      <c r="F770" s="252">
        <v>288.72000000000003</v>
      </c>
    </row>
    <row r="771" spans="1:6">
      <c r="D771" s="252" t="s">
        <v>971</v>
      </c>
      <c r="F771" s="252" t="s">
        <v>2046</v>
      </c>
    </row>
    <row r="773" spans="1:6">
      <c r="A773" s="252">
        <v>52.1</v>
      </c>
      <c r="C773" s="1162" t="s">
        <v>2191</v>
      </c>
    </row>
    <row r="775" spans="1:6">
      <c r="C775" s="1162" t="s">
        <v>2038</v>
      </c>
    </row>
    <row r="776" spans="1:6">
      <c r="C776" s="1162" t="s">
        <v>2192</v>
      </c>
    </row>
    <row r="777" spans="1:6">
      <c r="C777" s="1162" t="s">
        <v>1579</v>
      </c>
    </row>
    <row r="778" spans="1:6">
      <c r="A778" s="252">
        <v>30</v>
      </c>
      <c r="B778" s="252" t="s">
        <v>1763</v>
      </c>
      <c r="C778" s="1162" t="s">
        <v>147</v>
      </c>
      <c r="D778" s="252">
        <v>17.3</v>
      </c>
      <c r="E778" s="252" t="s">
        <v>1763</v>
      </c>
      <c r="F778" s="252">
        <v>519</v>
      </c>
    </row>
    <row r="779" spans="1:6">
      <c r="A779" s="252">
        <v>8</v>
      </c>
      <c r="B779" s="252" t="s">
        <v>865</v>
      </c>
      <c r="C779" s="1162" t="s">
        <v>2135</v>
      </c>
      <c r="D779" s="252">
        <v>8.9</v>
      </c>
      <c r="E779" s="252" t="s">
        <v>865</v>
      </c>
      <c r="F779" s="252">
        <v>71.2</v>
      </c>
    </row>
    <row r="780" spans="1:6">
      <c r="A780" s="252">
        <v>8</v>
      </c>
      <c r="B780" s="252" t="s">
        <v>865</v>
      </c>
      <c r="C780" s="1162" t="s">
        <v>464</v>
      </c>
      <c r="D780" s="252">
        <v>12.85</v>
      </c>
      <c r="E780" s="252" t="s">
        <v>865</v>
      </c>
      <c r="F780" s="252">
        <v>102.8</v>
      </c>
    </row>
    <row r="781" spans="1:6">
      <c r="A781" s="252">
        <v>3</v>
      </c>
      <c r="B781" s="252" t="s">
        <v>865</v>
      </c>
      <c r="C781" s="1162" t="s">
        <v>1837</v>
      </c>
      <c r="D781" s="252">
        <v>738</v>
      </c>
      <c r="E781" s="252" t="s">
        <v>865</v>
      </c>
      <c r="F781" s="252">
        <v>2214</v>
      </c>
    </row>
    <row r="782" spans="1:6">
      <c r="A782" s="252">
        <v>1</v>
      </c>
      <c r="B782" s="252" t="s">
        <v>865</v>
      </c>
      <c r="C782" s="1162" t="s">
        <v>1375</v>
      </c>
      <c r="D782" s="252">
        <v>999</v>
      </c>
      <c r="E782" s="252" t="s">
        <v>865</v>
      </c>
      <c r="F782" s="252">
        <v>999</v>
      </c>
    </row>
    <row r="783" spans="1:6">
      <c r="A783" s="252">
        <v>2</v>
      </c>
      <c r="B783" s="252" t="s">
        <v>865</v>
      </c>
      <c r="C783" s="1162" t="s">
        <v>1893</v>
      </c>
      <c r="D783" s="252">
        <v>651</v>
      </c>
      <c r="E783" s="252" t="s">
        <v>865</v>
      </c>
      <c r="F783" s="252">
        <v>1302</v>
      </c>
    </row>
    <row r="784" spans="1:6">
      <c r="A784" s="252">
        <v>1</v>
      </c>
      <c r="B784" s="252" t="s">
        <v>865</v>
      </c>
      <c r="C784" s="1162" t="s">
        <v>317</v>
      </c>
      <c r="D784" s="252">
        <v>534</v>
      </c>
      <c r="E784" s="252" t="s">
        <v>865</v>
      </c>
      <c r="F784" s="252">
        <v>534</v>
      </c>
    </row>
    <row r="785" spans="1:6">
      <c r="F785" s="252" t="s">
        <v>1579</v>
      </c>
    </row>
    <row r="786" spans="1:6">
      <c r="C786" s="1162" t="s">
        <v>1842</v>
      </c>
      <c r="F786" s="252">
        <v>5742</v>
      </c>
    </row>
    <row r="787" spans="1:6">
      <c r="F787" s="252" t="s">
        <v>1579</v>
      </c>
    </row>
    <row r="788" spans="1:6">
      <c r="C788" s="1162" t="s">
        <v>1538</v>
      </c>
      <c r="F788" s="252">
        <v>191.4</v>
      </c>
    </row>
    <row r="789" spans="1:6">
      <c r="F789" s="252" t="s">
        <v>1579</v>
      </c>
    </row>
    <row r="791" spans="1:6">
      <c r="C791" s="1162" t="s">
        <v>334</v>
      </c>
    </row>
    <row r="792" spans="1:6">
      <c r="C792" s="1162" t="s">
        <v>1579</v>
      </c>
    </row>
    <row r="793" spans="1:6">
      <c r="A793" s="252">
        <v>1</v>
      </c>
      <c r="B793" s="252" t="s">
        <v>823</v>
      </c>
      <c r="C793" s="1162" t="s">
        <v>335</v>
      </c>
      <c r="D793" s="252">
        <v>98.6</v>
      </c>
      <c r="E793" s="252" t="s">
        <v>823</v>
      </c>
      <c r="F793" s="252">
        <v>98.6</v>
      </c>
    </row>
    <row r="794" spans="1:6">
      <c r="A794" s="252">
        <v>1</v>
      </c>
      <c r="B794" s="252" t="s">
        <v>446</v>
      </c>
      <c r="C794" s="1162" t="s">
        <v>336</v>
      </c>
      <c r="D794" s="252">
        <v>19.72</v>
      </c>
      <c r="E794" s="252" t="s">
        <v>446</v>
      </c>
      <c r="F794" s="252">
        <v>19.72</v>
      </c>
    </row>
    <row r="795" spans="1:6">
      <c r="A795" s="252">
        <v>1</v>
      </c>
      <c r="B795" s="252" t="s">
        <v>823</v>
      </c>
      <c r="C795" s="1162" t="s">
        <v>161</v>
      </c>
      <c r="D795" s="252">
        <v>191.4</v>
      </c>
      <c r="E795" s="252" t="s">
        <v>823</v>
      </c>
      <c r="F795" s="252">
        <v>191.4</v>
      </c>
    </row>
    <row r="796" spans="1:6">
      <c r="C796" s="1162" t="s">
        <v>1072</v>
      </c>
      <c r="E796" s="252" t="s">
        <v>446</v>
      </c>
      <c r="F796" s="252">
        <v>1.72</v>
      </c>
    </row>
    <row r="797" spans="1:6">
      <c r="F797" s="252" t="s">
        <v>1579</v>
      </c>
    </row>
    <row r="798" spans="1:6">
      <c r="C798" s="1162" t="s">
        <v>374</v>
      </c>
      <c r="F798" s="252">
        <v>311.44</v>
      </c>
    </row>
    <row r="799" spans="1:6">
      <c r="F799" s="252" t="s">
        <v>2046</v>
      </c>
    </row>
    <row r="802" spans="1:6">
      <c r="A802" s="252">
        <v>53.1</v>
      </c>
      <c r="B802" s="252" t="s">
        <v>2241</v>
      </c>
      <c r="C802" s="1162" t="s">
        <v>2209</v>
      </c>
    </row>
    <row r="803" spans="1:6">
      <c r="C803" s="1162" t="s">
        <v>7029</v>
      </c>
    </row>
    <row r="804" spans="1:6">
      <c r="C804" s="1162" t="s">
        <v>1138</v>
      </c>
    </row>
    <row r="805" spans="1:6">
      <c r="C805" s="1162" t="s">
        <v>1139</v>
      </c>
    </row>
    <row r="806" spans="1:6">
      <c r="C806" s="1162" t="s">
        <v>1579</v>
      </c>
    </row>
    <row r="807" spans="1:6">
      <c r="A807" s="252">
        <v>1</v>
      </c>
      <c r="B807" s="252" t="s">
        <v>865</v>
      </c>
      <c r="C807" s="1162" t="s">
        <v>7030</v>
      </c>
      <c r="D807" s="252">
        <v>1672</v>
      </c>
      <c r="E807" s="252" t="s">
        <v>865</v>
      </c>
      <c r="F807" s="252">
        <v>1672</v>
      </c>
    </row>
    <row r="810" spans="1:6">
      <c r="A810" s="252">
        <v>1</v>
      </c>
      <c r="B810" s="252" t="s">
        <v>865</v>
      </c>
      <c r="C810" s="1162" t="s">
        <v>7031</v>
      </c>
      <c r="D810" s="252">
        <v>-169</v>
      </c>
      <c r="E810" s="252" t="s">
        <v>865</v>
      </c>
      <c r="F810" s="252">
        <v>-169</v>
      </c>
    </row>
    <row r="812" spans="1:6">
      <c r="A812" s="252">
        <v>1</v>
      </c>
      <c r="B812" s="252" t="s">
        <v>865</v>
      </c>
      <c r="C812" s="1162" t="s">
        <v>2124</v>
      </c>
      <c r="D812" s="252">
        <v>250</v>
      </c>
      <c r="E812" s="252" t="s">
        <v>865</v>
      </c>
      <c r="F812" s="252">
        <v>250</v>
      </c>
    </row>
    <row r="814" spans="1:6">
      <c r="A814" s="252">
        <v>0.5</v>
      </c>
      <c r="B814" s="252" t="s">
        <v>865</v>
      </c>
      <c r="C814" s="1162" t="s">
        <v>2094</v>
      </c>
      <c r="D814" s="252">
        <v>866</v>
      </c>
      <c r="E814" s="252" t="s">
        <v>865</v>
      </c>
      <c r="F814" s="252">
        <v>433</v>
      </c>
    </row>
    <row r="815" spans="1:6">
      <c r="A815" s="252">
        <v>1</v>
      </c>
      <c r="B815" s="252" t="s">
        <v>865</v>
      </c>
      <c r="C815" s="1162" t="s">
        <v>1893</v>
      </c>
      <c r="D815" s="252">
        <v>651</v>
      </c>
      <c r="E815" s="252" t="s">
        <v>865</v>
      </c>
      <c r="F815" s="252">
        <v>651</v>
      </c>
    </row>
    <row r="816" spans="1:6">
      <c r="A816" s="252">
        <v>0.5</v>
      </c>
      <c r="B816" s="252" t="s">
        <v>865</v>
      </c>
      <c r="C816" s="1162" t="s">
        <v>2000</v>
      </c>
      <c r="D816" s="252">
        <v>999</v>
      </c>
      <c r="E816" s="252" t="s">
        <v>865</v>
      </c>
      <c r="F816" s="252">
        <v>499.5</v>
      </c>
    </row>
    <row r="817" spans="1:6">
      <c r="B817" s="252" t="s">
        <v>446</v>
      </c>
      <c r="C817" s="1162" t="s">
        <v>1140</v>
      </c>
      <c r="E817" s="252" t="s">
        <v>446</v>
      </c>
      <c r="F817" s="252">
        <v>0.82</v>
      </c>
    </row>
    <row r="818" spans="1:6">
      <c r="F818" s="252" t="s">
        <v>1579</v>
      </c>
    </row>
    <row r="819" spans="1:6">
      <c r="C819" s="1162" t="s">
        <v>1743</v>
      </c>
      <c r="F819" s="252">
        <v>3337.32</v>
      </c>
    </row>
    <row r="820" spans="1:6">
      <c r="F820" s="252" t="s">
        <v>1579</v>
      </c>
    </row>
    <row r="821" spans="1:6">
      <c r="A821" s="252" t="s">
        <v>1397</v>
      </c>
      <c r="C821" s="1162" t="s">
        <v>1398</v>
      </c>
      <c r="E821" s="252" t="s">
        <v>1393</v>
      </c>
      <c r="F821" s="252">
        <v>967.5</v>
      </c>
    </row>
    <row r="822" spans="1:6">
      <c r="C822" s="1162" t="s">
        <v>7032</v>
      </c>
      <c r="E822" s="252" t="s">
        <v>1393</v>
      </c>
      <c r="F822" s="252">
        <v>1864</v>
      </c>
    </row>
    <row r="823" spans="1:6">
      <c r="A823" s="252" t="s">
        <v>1399</v>
      </c>
      <c r="C823" s="1162" t="s">
        <v>1005</v>
      </c>
      <c r="E823" s="252" t="s">
        <v>1393</v>
      </c>
      <c r="F823" s="252">
        <v>30</v>
      </c>
    </row>
    <row r="825" spans="1:6" ht="78.75">
      <c r="C825" s="268" t="s">
        <v>6982</v>
      </c>
    </row>
    <row r="827" spans="1:6">
      <c r="A827" s="252">
        <v>9.5</v>
      </c>
      <c r="B827" s="252" t="s">
        <v>1637</v>
      </c>
      <c r="C827" s="1162" t="s">
        <v>6980</v>
      </c>
      <c r="D827" s="252">
        <v>615</v>
      </c>
      <c r="E827" s="252" t="s">
        <v>1637</v>
      </c>
      <c r="F827" s="252">
        <v>5842.5</v>
      </c>
    </row>
    <row r="828" spans="1:6">
      <c r="A828" s="252">
        <v>0.5</v>
      </c>
      <c r="B828" s="252" t="s">
        <v>1637</v>
      </c>
      <c r="C828" s="1162" t="s">
        <v>5543</v>
      </c>
      <c r="D828" s="252">
        <v>21.3</v>
      </c>
      <c r="F828" s="252">
        <v>10.65</v>
      </c>
    </row>
    <row r="829" spans="1:6">
      <c r="C829" s="1162" t="s">
        <v>1814</v>
      </c>
      <c r="F829" s="252">
        <v>1464</v>
      </c>
    </row>
    <row r="830" spans="1:6">
      <c r="C830" s="1162" t="s">
        <v>2261</v>
      </c>
      <c r="F830" s="252">
        <v>3.2</v>
      </c>
    </row>
    <row r="831" spans="1:6">
      <c r="C831" s="1162" t="s">
        <v>3350</v>
      </c>
      <c r="F831" s="252">
        <v>7320.35</v>
      </c>
    </row>
    <row r="832" spans="1:6">
      <c r="C832" s="1162" t="s">
        <v>2739</v>
      </c>
      <c r="F832" s="252">
        <v>81.34</v>
      </c>
    </row>
    <row r="834" spans="1:6">
      <c r="C834" s="1162" t="s">
        <v>2633</v>
      </c>
    </row>
    <row r="835" spans="1:6">
      <c r="A835" s="252">
        <v>1</v>
      </c>
      <c r="C835" s="1162" t="s">
        <v>2575</v>
      </c>
      <c r="D835" s="252">
        <v>820</v>
      </c>
      <c r="E835" s="252" t="s">
        <v>1389</v>
      </c>
      <c r="F835" s="252">
        <v>820</v>
      </c>
    </row>
    <row r="836" spans="1:6">
      <c r="A836" s="252">
        <v>1</v>
      </c>
      <c r="C836" s="1162" t="s">
        <v>3054</v>
      </c>
      <c r="D836" s="252">
        <v>644</v>
      </c>
      <c r="E836" s="252" t="s">
        <v>1389</v>
      </c>
      <c r="F836" s="252">
        <v>644</v>
      </c>
    </row>
    <row r="837" spans="1:6">
      <c r="F837" s="252">
        <v>1464</v>
      </c>
    </row>
    <row r="838" spans="1:6">
      <c r="A838" s="252" t="s">
        <v>2634</v>
      </c>
    </row>
    <row r="840" spans="1:6">
      <c r="C840" s="1162" t="s">
        <v>2613</v>
      </c>
    </row>
    <row r="841" spans="1:6">
      <c r="C841" s="1162" t="s">
        <v>2614</v>
      </c>
      <c r="F841" s="252">
        <v>89.76</v>
      </c>
    </row>
    <row r="842" spans="1:6">
      <c r="A842" s="252">
        <v>1</v>
      </c>
      <c r="B842" s="252" t="s">
        <v>823</v>
      </c>
      <c r="C842" s="1162" t="s">
        <v>4019</v>
      </c>
      <c r="D842" s="252">
        <v>20</v>
      </c>
      <c r="E842" s="252" t="s">
        <v>823</v>
      </c>
      <c r="F842" s="252">
        <v>20</v>
      </c>
    </row>
    <row r="843" spans="1:6">
      <c r="A843" s="252">
        <v>1</v>
      </c>
      <c r="B843" s="252" t="s">
        <v>823</v>
      </c>
      <c r="C843" s="1162" t="s">
        <v>4280</v>
      </c>
      <c r="D843" s="252">
        <v>29.8</v>
      </c>
      <c r="E843" s="252" t="s">
        <v>823</v>
      </c>
      <c r="F843" s="252">
        <v>29.8</v>
      </c>
    </row>
    <row r="844" spans="1:6">
      <c r="F844" s="252">
        <v>99.56</v>
      </c>
    </row>
    <row r="845" spans="1:6">
      <c r="C845" s="1162" t="s">
        <v>2616</v>
      </c>
    </row>
    <row r="847" spans="1:6">
      <c r="C847" s="1162" t="s">
        <v>2617</v>
      </c>
    </row>
    <row r="848" spans="1:6">
      <c r="A848" s="252">
        <v>1</v>
      </c>
      <c r="B848" s="252" t="s">
        <v>1389</v>
      </c>
      <c r="C848" s="1162" t="s">
        <v>4994</v>
      </c>
      <c r="D848" s="252">
        <v>37.1</v>
      </c>
      <c r="E848" s="252" t="s">
        <v>1389</v>
      </c>
      <c r="F848" s="252">
        <v>37.1</v>
      </c>
    </row>
    <row r="849" spans="1:6">
      <c r="A849" s="252">
        <v>1.4999999999999999E-2</v>
      </c>
      <c r="B849" s="252" t="s">
        <v>2273</v>
      </c>
      <c r="C849" s="1162" t="s">
        <v>3447</v>
      </c>
      <c r="D849" s="252">
        <v>661</v>
      </c>
      <c r="E849" s="252" t="s">
        <v>2273</v>
      </c>
      <c r="F849" s="252">
        <v>9.92</v>
      </c>
    </row>
    <row r="850" spans="1:6">
      <c r="C850" s="1162" t="s">
        <v>3437</v>
      </c>
      <c r="E850" s="252" t="s">
        <v>654</v>
      </c>
      <c r="F850" s="252">
        <v>7.45</v>
      </c>
    </row>
    <row r="851" spans="1:6">
      <c r="C851" s="1162" t="s">
        <v>1058</v>
      </c>
      <c r="F851" s="252">
        <v>54.47</v>
      </c>
    </row>
    <row r="853" spans="1:6">
      <c r="C853" s="1162" t="s">
        <v>3438</v>
      </c>
    </row>
    <row r="855" spans="1:6" ht="63">
      <c r="C855" s="268" t="s">
        <v>7033</v>
      </c>
    </row>
    <row r="857" spans="1:6">
      <c r="A857" s="252">
        <v>1</v>
      </c>
      <c r="B857" s="252" t="s">
        <v>1389</v>
      </c>
      <c r="C857" s="1162" t="s">
        <v>4995</v>
      </c>
      <c r="D857" s="252">
        <v>13.8</v>
      </c>
      <c r="E857" s="252" t="s">
        <v>1389</v>
      </c>
      <c r="F857" s="252">
        <v>13.8</v>
      </c>
    </row>
    <row r="858" spans="1:6">
      <c r="A858" s="252">
        <v>0.01</v>
      </c>
      <c r="B858" s="252" t="s">
        <v>3439</v>
      </c>
      <c r="C858" s="1162" t="s">
        <v>3447</v>
      </c>
      <c r="D858" s="252">
        <v>661</v>
      </c>
      <c r="E858" s="252" t="s">
        <v>2273</v>
      </c>
      <c r="F858" s="252">
        <v>6.61</v>
      </c>
    </row>
    <row r="859" spans="1:6">
      <c r="A859" s="252">
        <v>1</v>
      </c>
      <c r="B859" s="252" t="s">
        <v>1389</v>
      </c>
      <c r="C859" s="1162" t="s">
        <v>3440</v>
      </c>
      <c r="D859" s="252">
        <v>49.5</v>
      </c>
      <c r="E859" s="252" t="s">
        <v>1389</v>
      </c>
      <c r="F859" s="252">
        <v>49.5</v>
      </c>
    </row>
    <row r="860" spans="1:6">
      <c r="C860" s="1162" t="s">
        <v>3441</v>
      </c>
      <c r="D860" s="252" t="s">
        <v>654</v>
      </c>
      <c r="F860" s="252">
        <v>7.1</v>
      </c>
    </row>
    <row r="861" spans="1:6">
      <c r="C861" s="1162" t="s">
        <v>3442</v>
      </c>
      <c r="F861" s="252">
        <v>77.010000000000005</v>
      </c>
    </row>
    <row r="863" spans="1:6">
      <c r="A863" s="252">
        <v>77.400000000000006</v>
      </c>
      <c r="C863" s="1162" t="s">
        <v>1714</v>
      </c>
    </row>
    <row r="864" spans="1:6">
      <c r="C864" s="1162" t="s">
        <v>794</v>
      </c>
    </row>
    <row r="865" spans="1:6">
      <c r="A865" s="252">
        <v>90</v>
      </c>
      <c r="B865" s="252" t="s">
        <v>369</v>
      </c>
      <c r="C865" s="1162" t="s">
        <v>4904</v>
      </c>
      <c r="D865" s="252">
        <v>20</v>
      </c>
      <c r="E865" s="252" t="s">
        <v>369</v>
      </c>
      <c r="F865" s="252">
        <v>1800</v>
      </c>
    </row>
    <row r="866" spans="1:6">
      <c r="A866" s="252">
        <v>0.15</v>
      </c>
      <c r="B866" s="252" t="s">
        <v>525</v>
      </c>
      <c r="C866" s="1162" t="s">
        <v>859</v>
      </c>
      <c r="D866" s="252">
        <v>6040</v>
      </c>
      <c r="E866" s="252" t="s">
        <v>525</v>
      </c>
      <c r="F866" s="252">
        <v>906</v>
      </c>
    </row>
    <row r="867" spans="1:6">
      <c r="A867" s="252">
        <v>1</v>
      </c>
      <c r="B867" s="252" t="s">
        <v>766</v>
      </c>
      <c r="C867" s="1162" t="s">
        <v>368</v>
      </c>
      <c r="D867" s="252">
        <v>826</v>
      </c>
      <c r="E867" s="252" t="s">
        <v>766</v>
      </c>
      <c r="F867" s="252">
        <v>826</v>
      </c>
    </row>
    <row r="868" spans="1:6">
      <c r="A868" s="252">
        <v>2</v>
      </c>
      <c r="B868" s="252" t="s">
        <v>766</v>
      </c>
      <c r="C868" s="1162" t="s">
        <v>1704</v>
      </c>
      <c r="D868" s="252">
        <v>932</v>
      </c>
      <c r="E868" s="252" t="s">
        <v>766</v>
      </c>
      <c r="F868" s="252">
        <v>1864</v>
      </c>
    </row>
    <row r="869" spans="1:6">
      <c r="A869" s="252">
        <v>4</v>
      </c>
      <c r="B869" s="252" t="s">
        <v>766</v>
      </c>
      <c r="C869" s="1162" t="s">
        <v>4577</v>
      </c>
      <c r="D869" s="252">
        <v>644</v>
      </c>
      <c r="E869" s="252" t="s">
        <v>766</v>
      </c>
      <c r="F869" s="252">
        <v>2576</v>
      </c>
    </row>
    <row r="870" spans="1:6">
      <c r="C870" s="1162" t="s">
        <v>370</v>
      </c>
      <c r="F870" s="252">
        <v>11.5</v>
      </c>
    </row>
    <row r="871" spans="1:6">
      <c r="F871" s="252" t="s">
        <v>1579</v>
      </c>
    </row>
    <row r="872" spans="1:6">
      <c r="C872" s="1162" t="s">
        <v>2257</v>
      </c>
      <c r="F872" s="252">
        <v>7983.5</v>
      </c>
    </row>
    <row r="873" spans="1:6">
      <c r="F873" s="252" t="s">
        <v>1579</v>
      </c>
    </row>
    <row r="874" spans="1:6">
      <c r="C874" s="1162" t="s">
        <v>1119</v>
      </c>
      <c r="F874" s="252">
        <v>88.71</v>
      </c>
    </row>
    <row r="875" spans="1:6">
      <c r="F875" s="252" t="s">
        <v>2046</v>
      </c>
    </row>
    <row r="876" spans="1:6">
      <c r="C876" s="1162" t="s">
        <v>2636</v>
      </c>
    </row>
    <row r="878" spans="1:6" ht="63">
      <c r="C878" s="268" t="s">
        <v>2637</v>
      </c>
    </row>
    <row r="879" spans="1:6">
      <c r="A879" s="252">
        <v>2.5</v>
      </c>
      <c r="B879" s="252" t="s">
        <v>823</v>
      </c>
      <c r="C879" s="1162" t="s">
        <v>4971</v>
      </c>
      <c r="D879" s="252">
        <v>163</v>
      </c>
      <c r="E879" s="252" t="s">
        <v>823</v>
      </c>
      <c r="F879" s="252">
        <v>407.5</v>
      </c>
    </row>
    <row r="880" spans="1:6">
      <c r="A880" s="252">
        <v>1</v>
      </c>
      <c r="B880" s="252" t="s">
        <v>823</v>
      </c>
      <c r="C880" s="1162" t="s">
        <v>4595</v>
      </c>
      <c r="D880" s="252">
        <v>98.6</v>
      </c>
      <c r="E880" s="252" t="s">
        <v>823</v>
      </c>
      <c r="F880" s="252">
        <v>98.6</v>
      </c>
    </row>
    <row r="881" spans="1:6">
      <c r="A881" s="252">
        <v>1</v>
      </c>
      <c r="B881" s="252" t="s">
        <v>823</v>
      </c>
      <c r="C881" s="1162" t="s">
        <v>4596</v>
      </c>
      <c r="D881" s="252">
        <v>69.8</v>
      </c>
      <c r="E881" s="252" t="s">
        <v>823</v>
      </c>
      <c r="F881" s="252">
        <v>69.8</v>
      </c>
    </row>
    <row r="882" spans="1:6">
      <c r="A882" s="252">
        <v>1</v>
      </c>
      <c r="B882" s="252" t="s">
        <v>1389</v>
      </c>
      <c r="C882" s="1162" t="s">
        <v>4597</v>
      </c>
      <c r="D882" s="252">
        <v>52</v>
      </c>
      <c r="E882" s="252" t="s">
        <v>1389</v>
      </c>
      <c r="F882" s="252">
        <v>52</v>
      </c>
    </row>
    <row r="883" spans="1:6">
      <c r="A883" s="252">
        <v>1</v>
      </c>
      <c r="B883" s="252" t="s">
        <v>279</v>
      </c>
      <c r="C883" s="1162" t="s">
        <v>2641</v>
      </c>
      <c r="D883" s="252">
        <v>24.1</v>
      </c>
      <c r="E883" s="252" t="s">
        <v>279</v>
      </c>
      <c r="F883" s="252">
        <v>24.1</v>
      </c>
    </row>
    <row r="884" spans="1:6">
      <c r="A884" s="252">
        <v>1</v>
      </c>
      <c r="B884" s="252" t="s">
        <v>654</v>
      </c>
      <c r="C884" s="1162" t="s">
        <v>4651</v>
      </c>
      <c r="D884" s="252">
        <v>447</v>
      </c>
      <c r="E884" s="252" t="s">
        <v>654</v>
      </c>
      <c r="F884" s="252">
        <v>447</v>
      </c>
    </row>
    <row r="885" spans="1:6">
      <c r="A885" s="252">
        <v>1</v>
      </c>
      <c r="B885" s="252" t="s">
        <v>1389</v>
      </c>
      <c r="C885" s="1162" t="s">
        <v>2643</v>
      </c>
      <c r="D885" s="252">
        <v>100</v>
      </c>
      <c r="E885" s="252" t="s">
        <v>1389</v>
      </c>
      <c r="F885" s="252">
        <v>100</v>
      </c>
    </row>
    <row r="886" spans="1:6">
      <c r="A886" s="252">
        <v>40</v>
      </c>
      <c r="B886" s="252" t="s">
        <v>1637</v>
      </c>
      <c r="C886" s="1162" t="s">
        <v>5545</v>
      </c>
      <c r="D886" s="252">
        <v>5</v>
      </c>
      <c r="E886" s="252" t="s">
        <v>1637</v>
      </c>
      <c r="F886" s="252">
        <v>200</v>
      </c>
    </row>
    <row r="887" spans="1:6">
      <c r="A887" s="252">
        <v>2</v>
      </c>
      <c r="B887" s="252" t="s">
        <v>1389</v>
      </c>
      <c r="C887" s="1162" t="s">
        <v>4598</v>
      </c>
      <c r="D887" s="252">
        <v>13.6</v>
      </c>
      <c r="E887" s="252" t="s">
        <v>1389</v>
      </c>
      <c r="F887" s="252">
        <v>27.2</v>
      </c>
    </row>
    <row r="888" spans="1:6">
      <c r="A888" s="252">
        <v>4</v>
      </c>
      <c r="B888" s="252" t="s">
        <v>1389</v>
      </c>
      <c r="C888" s="1162" t="s">
        <v>4599</v>
      </c>
      <c r="D888" s="252">
        <v>13.6</v>
      </c>
      <c r="E888" s="252" t="s">
        <v>1389</v>
      </c>
      <c r="F888" s="252">
        <v>54.4</v>
      </c>
    </row>
    <row r="889" spans="1:6">
      <c r="A889" s="252">
        <v>10</v>
      </c>
      <c r="B889" s="252" t="s">
        <v>1637</v>
      </c>
      <c r="C889" s="1162" t="s">
        <v>5546</v>
      </c>
      <c r="D889" s="252">
        <v>3.7</v>
      </c>
      <c r="E889" s="252" t="s">
        <v>1637</v>
      </c>
      <c r="F889" s="252">
        <v>37</v>
      </c>
    </row>
    <row r="890" spans="1:6">
      <c r="C890" s="1162" t="s">
        <v>2261</v>
      </c>
      <c r="F890" s="252">
        <v>10</v>
      </c>
    </row>
    <row r="891" spans="1:6">
      <c r="C891" s="1162" t="s">
        <v>911</v>
      </c>
      <c r="F891" s="252">
        <v>1470</v>
      </c>
    </row>
    <row r="892" spans="1:6">
      <c r="C892" s="1162" t="s">
        <v>1058</v>
      </c>
      <c r="F892" s="252">
        <v>2997.6</v>
      </c>
    </row>
    <row r="894" spans="1:6">
      <c r="C894" s="1162" t="s">
        <v>911</v>
      </c>
    </row>
    <row r="895" spans="1:6">
      <c r="A895" s="252">
        <v>1</v>
      </c>
      <c r="B895" s="252" t="s">
        <v>1389</v>
      </c>
      <c r="C895" s="1162" t="s">
        <v>2744</v>
      </c>
      <c r="D895" s="252">
        <v>826</v>
      </c>
      <c r="E895" s="252" t="s">
        <v>1389</v>
      </c>
      <c r="F895" s="252">
        <v>826</v>
      </c>
    </row>
    <row r="896" spans="1:6">
      <c r="A896" s="252">
        <v>1</v>
      </c>
      <c r="B896" s="252" t="s">
        <v>1389</v>
      </c>
      <c r="C896" s="1162" t="s">
        <v>3054</v>
      </c>
      <c r="D896" s="252">
        <v>644</v>
      </c>
      <c r="E896" s="252" t="s">
        <v>1389</v>
      </c>
      <c r="F896" s="252">
        <v>644</v>
      </c>
    </row>
    <row r="897" spans="1:6">
      <c r="F897" s="252">
        <v>1470</v>
      </c>
    </row>
    <row r="898" spans="1:6" ht="78.75">
      <c r="C898" s="268" t="s">
        <v>2697</v>
      </c>
    </row>
    <row r="899" spans="1:6">
      <c r="A899" s="252">
        <v>1</v>
      </c>
      <c r="B899" s="252" t="s">
        <v>1389</v>
      </c>
      <c r="C899" s="1162" t="s">
        <v>4975</v>
      </c>
      <c r="D899" s="252">
        <v>85.2</v>
      </c>
      <c r="E899" s="252" t="s">
        <v>1389</v>
      </c>
      <c r="F899" s="252">
        <v>85.2</v>
      </c>
    </row>
    <row r="900" spans="1:6">
      <c r="A900" s="252">
        <v>1</v>
      </c>
      <c r="B900" s="252" t="s">
        <v>1389</v>
      </c>
      <c r="C900" s="1162" t="s">
        <v>2699</v>
      </c>
      <c r="D900" s="252">
        <v>31.28</v>
      </c>
      <c r="E900" s="252" t="s">
        <v>1389</v>
      </c>
      <c r="F900" s="252">
        <v>31.28</v>
      </c>
    </row>
    <row r="901" spans="1:6">
      <c r="C901" s="1162" t="s">
        <v>911</v>
      </c>
      <c r="F901" s="252">
        <v>447.25</v>
      </c>
    </row>
    <row r="902" spans="1:6">
      <c r="C902" s="1162" t="s">
        <v>2700</v>
      </c>
      <c r="D902" s="252" t="s">
        <v>654</v>
      </c>
      <c r="F902" s="252">
        <v>9.27</v>
      </c>
    </row>
    <row r="903" spans="1:6">
      <c r="C903" s="1162" t="s">
        <v>1058</v>
      </c>
      <c r="F903" s="252">
        <v>573</v>
      </c>
    </row>
    <row r="905" spans="1:6">
      <c r="C905" s="1162" t="s">
        <v>2701</v>
      </c>
      <c r="D905" s="252">
        <v>104280</v>
      </c>
      <c r="E905" s="252">
        <v>2.9999999999999997E-4</v>
      </c>
      <c r="F905" s="252">
        <v>31.28</v>
      </c>
    </row>
    <row r="907" spans="1:6">
      <c r="C907" s="1162" t="s">
        <v>140</v>
      </c>
    </row>
    <row r="908" spans="1:6">
      <c r="A908" s="252">
        <v>1</v>
      </c>
      <c r="B908" s="252" t="s">
        <v>1389</v>
      </c>
      <c r="C908" s="1162" t="s">
        <v>2744</v>
      </c>
      <c r="D908" s="252">
        <v>826</v>
      </c>
      <c r="E908" s="252" t="s">
        <v>1389</v>
      </c>
      <c r="F908" s="252">
        <v>826</v>
      </c>
    </row>
    <row r="909" spans="1:6">
      <c r="A909" s="252">
        <v>1</v>
      </c>
      <c r="B909" s="252" t="s">
        <v>1389</v>
      </c>
      <c r="C909" s="1162" t="s">
        <v>2575</v>
      </c>
      <c r="D909" s="252">
        <v>820</v>
      </c>
      <c r="E909" s="252" t="s">
        <v>1389</v>
      </c>
      <c r="F909" s="252">
        <v>820</v>
      </c>
    </row>
    <row r="910" spans="1:6">
      <c r="A910" s="252">
        <v>3</v>
      </c>
      <c r="B910" s="252" t="s">
        <v>1389</v>
      </c>
      <c r="C910" s="1162" t="s">
        <v>2321</v>
      </c>
      <c r="D910" s="252">
        <v>644</v>
      </c>
      <c r="E910" s="252" t="s">
        <v>1389</v>
      </c>
      <c r="F910" s="252">
        <v>1932</v>
      </c>
    </row>
    <row r="911" spans="1:6">
      <c r="C911" s="1162" t="s">
        <v>2650</v>
      </c>
      <c r="F911" s="252">
        <v>3578</v>
      </c>
    </row>
    <row r="912" spans="1:6">
      <c r="C912" s="1162" t="s">
        <v>2770</v>
      </c>
      <c r="F912" s="252">
        <v>447.25</v>
      </c>
    </row>
    <row r="914" spans="1:6">
      <c r="C914" s="1162" t="s">
        <v>2651</v>
      </c>
    </row>
    <row r="915" spans="1:6">
      <c r="C915" s="1162" t="s">
        <v>2652</v>
      </c>
    </row>
    <row r="917" spans="1:6" ht="78.75">
      <c r="C917" s="268" t="s">
        <v>2657</v>
      </c>
    </row>
    <row r="918" spans="1:6">
      <c r="A918" s="252">
        <v>3</v>
      </c>
      <c r="B918" s="252" t="s">
        <v>1389</v>
      </c>
      <c r="C918" s="1162" t="s">
        <v>4975</v>
      </c>
      <c r="D918" s="252">
        <v>85.2</v>
      </c>
      <c r="E918" s="252" t="s">
        <v>1393</v>
      </c>
      <c r="F918" s="252">
        <v>255.6</v>
      </c>
    </row>
    <row r="919" spans="1:6">
      <c r="A919" s="252">
        <v>1</v>
      </c>
      <c r="B919" s="252" t="s">
        <v>1389</v>
      </c>
      <c r="C919" s="1162" t="s">
        <v>3165</v>
      </c>
      <c r="D919" s="252">
        <v>62.57</v>
      </c>
      <c r="E919" s="252" t="s">
        <v>1389</v>
      </c>
      <c r="F919" s="252">
        <v>62.57</v>
      </c>
    </row>
    <row r="920" spans="1:6">
      <c r="C920" s="1162" t="s">
        <v>911</v>
      </c>
      <c r="F920" s="252">
        <v>527.75</v>
      </c>
    </row>
    <row r="921" spans="1:6">
      <c r="C921" s="1162" t="s">
        <v>2700</v>
      </c>
      <c r="D921" s="252" t="s">
        <v>654</v>
      </c>
      <c r="F921" s="252">
        <v>6.2</v>
      </c>
    </row>
    <row r="922" spans="1:6">
      <c r="C922" s="1162" t="s">
        <v>1058</v>
      </c>
      <c r="F922" s="252">
        <v>852.12</v>
      </c>
    </row>
    <row r="924" spans="1:6">
      <c r="C924" s="1162" t="s">
        <v>3165</v>
      </c>
      <c r="D924" s="252">
        <v>104280</v>
      </c>
      <c r="E924" s="252">
        <v>5.9999999999999995E-4</v>
      </c>
      <c r="F924" s="252">
        <v>62.57</v>
      </c>
    </row>
    <row r="926" spans="1:6">
      <c r="C926" s="1162" t="s">
        <v>140</v>
      </c>
    </row>
    <row r="927" spans="1:6">
      <c r="A927" s="252">
        <v>1</v>
      </c>
      <c r="B927" s="252" t="s">
        <v>1389</v>
      </c>
      <c r="C927" s="1162" t="s">
        <v>2744</v>
      </c>
      <c r="D927" s="252">
        <v>826</v>
      </c>
      <c r="E927" s="252" t="s">
        <v>1389</v>
      </c>
      <c r="F927" s="252">
        <v>826</v>
      </c>
    </row>
    <row r="928" spans="1:6">
      <c r="A928" s="252">
        <v>1</v>
      </c>
      <c r="B928" s="252" t="s">
        <v>1389</v>
      </c>
      <c r="C928" s="1162" t="s">
        <v>2575</v>
      </c>
      <c r="D928" s="252">
        <v>820</v>
      </c>
      <c r="E928" s="252" t="s">
        <v>1389</v>
      </c>
      <c r="F928" s="252">
        <v>820</v>
      </c>
    </row>
    <row r="929" spans="1:6">
      <c r="A929" s="252">
        <v>4</v>
      </c>
      <c r="B929" s="252" t="s">
        <v>1389</v>
      </c>
      <c r="C929" s="1162" t="s">
        <v>2321</v>
      </c>
      <c r="D929" s="252">
        <v>644</v>
      </c>
      <c r="E929" s="252" t="s">
        <v>1389</v>
      </c>
      <c r="F929" s="252">
        <v>2576</v>
      </c>
    </row>
    <row r="930" spans="1:6">
      <c r="C930" s="1162" t="s">
        <v>2650</v>
      </c>
      <c r="F930" s="252">
        <v>4222</v>
      </c>
    </row>
    <row r="931" spans="1:6">
      <c r="C931" s="1162" t="s">
        <v>2864</v>
      </c>
      <c r="F931" s="252">
        <v>527.75</v>
      </c>
    </row>
    <row r="933" spans="1:6">
      <c r="C933" s="1162" t="s">
        <v>2365</v>
      </c>
    </row>
    <row r="934" spans="1:6">
      <c r="C934" s="1162" t="s">
        <v>971</v>
      </c>
    </row>
    <row r="935" spans="1:6">
      <c r="A935" s="252">
        <v>1</v>
      </c>
      <c r="B935" s="252" t="s">
        <v>1389</v>
      </c>
      <c r="C935" s="1162" t="s">
        <v>4270</v>
      </c>
      <c r="D935" s="252">
        <v>1520</v>
      </c>
      <c r="E935" s="252" t="s">
        <v>1389</v>
      </c>
      <c r="F935" s="252">
        <v>1520</v>
      </c>
    </row>
    <row r="936" spans="1:6">
      <c r="A936" s="252">
        <v>3</v>
      </c>
      <c r="B936" s="252" t="s">
        <v>1389</v>
      </c>
      <c r="C936" s="1162" t="s">
        <v>4977</v>
      </c>
      <c r="D936" s="252">
        <v>128</v>
      </c>
      <c r="E936" s="252" t="s">
        <v>1389</v>
      </c>
      <c r="F936" s="252">
        <v>384</v>
      </c>
    </row>
    <row r="937" spans="1:6">
      <c r="C937" s="1162" t="s">
        <v>2484</v>
      </c>
      <c r="F937" s="252">
        <v>811.8</v>
      </c>
    </row>
    <row r="938" spans="1:6">
      <c r="C938" s="1162" t="s">
        <v>2261</v>
      </c>
      <c r="F938" s="252">
        <v>2</v>
      </c>
    </row>
    <row r="939" spans="1:6">
      <c r="C939" s="1162" t="s">
        <v>2485</v>
      </c>
      <c r="F939" s="252">
        <v>2717.8</v>
      </c>
    </row>
    <row r="941" spans="1:6">
      <c r="C941" s="1162" t="s">
        <v>2364</v>
      </c>
    </row>
    <row r="943" spans="1:6">
      <c r="C943" s="1162" t="s">
        <v>2486</v>
      </c>
    </row>
    <row r="945" spans="1:6">
      <c r="A945" s="252">
        <v>1</v>
      </c>
      <c r="B945" s="252" t="s">
        <v>1389</v>
      </c>
      <c r="C945" s="1162" t="s">
        <v>4272</v>
      </c>
      <c r="D945" s="252">
        <v>1876</v>
      </c>
      <c r="E945" s="252" t="s">
        <v>1389</v>
      </c>
      <c r="F945" s="252">
        <v>1876</v>
      </c>
    </row>
    <row r="946" spans="1:6">
      <c r="A946" s="252">
        <v>3</v>
      </c>
      <c r="B946" s="252" t="s">
        <v>1389</v>
      </c>
      <c r="C946" s="1162" t="s">
        <v>4271</v>
      </c>
      <c r="D946" s="252">
        <v>128</v>
      </c>
      <c r="E946" s="252" t="s">
        <v>1389</v>
      </c>
      <c r="F946" s="252">
        <v>384</v>
      </c>
    </row>
    <row r="947" spans="1:6">
      <c r="C947" s="1162" t="s">
        <v>2832</v>
      </c>
      <c r="F947" s="252">
        <v>826.3</v>
      </c>
    </row>
    <row r="948" spans="1:6">
      <c r="C948" s="1162" t="s">
        <v>2261</v>
      </c>
      <c r="F948" s="252">
        <v>5</v>
      </c>
    </row>
    <row r="949" spans="1:6">
      <c r="C949" s="1162" t="s">
        <v>2833</v>
      </c>
      <c r="F949" s="252">
        <v>3091.3</v>
      </c>
    </row>
    <row r="951" spans="1:6">
      <c r="C951" s="1162" t="s">
        <v>2834</v>
      </c>
    </row>
    <row r="953" spans="1:6">
      <c r="C953" s="1162" t="s">
        <v>2835</v>
      </c>
    </row>
    <row r="955" spans="1:6" ht="94.5">
      <c r="C955" s="268" t="s">
        <v>7034</v>
      </c>
    </row>
    <row r="957" spans="1:6">
      <c r="A957" s="252">
        <v>3</v>
      </c>
      <c r="B957" s="252" t="s">
        <v>1389</v>
      </c>
      <c r="C957" s="1162" t="s">
        <v>2836</v>
      </c>
      <c r="D957" s="252">
        <v>85.2</v>
      </c>
      <c r="E957" s="252" t="s">
        <v>1389</v>
      </c>
      <c r="F957" s="252">
        <v>255.6</v>
      </c>
    </row>
    <row r="958" spans="1:6">
      <c r="A958" s="252">
        <v>1</v>
      </c>
      <c r="B958" s="252" t="s">
        <v>1389</v>
      </c>
      <c r="C958" s="1162" t="s">
        <v>2837</v>
      </c>
      <c r="D958" s="252">
        <v>351.95</v>
      </c>
      <c r="E958" s="252" t="s">
        <v>1389</v>
      </c>
      <c r="F958" s="252">
        <v>351.95</v>
      </c>
    </row>
    <row r="959" spans="1:6">
      <c r="A959" s="252">
        <v>1</v>
      </c>
      <c r="B959" s="252" t="s">
        <v>1389</v>
      </c>
      <c r="C959" s="1162" t="s">
        <v>2359</v>
      </c>
      <c r="D959" s="252">
        <v>25</v>
      </c>
      <c r="E959" s="252" t="s">
        <v>2360</v>
      </c>
      <c r="F959" s="252">
        <v>25</v>
      </c>
    </row>
    <row r="960" spans="1:6">
      <c r="C960" s="1162" t="s">
        <v>140</v>
      </c>
      <c r="F960" s="252">
        <v>704.67</v>
      </c>
    </row>
    <row r="961" spans="1:6">
      <c r="C961" s="1162" t="s">
        <v>2361</v>
      </c>
      <c r="F961" s="252">
        <v>8.1199999999999992</v>
      </c>
    </row>
    <row r="962" spans="1:6">
      <c r="C962" s="1162" t="s">
        <v>2362</v>
      </c>
      <c r="F962" s="252">
        <v>1345.34</v>
      </c>
    </row>
    <row r="964" spans="1:6">
      <c r="C964" s="1162" t="s">
        <v>2838</v>
      </c>
      <c r="D964" s="252">
        <v>104280</v>
      </c>
      <c r="E964" s="252">
        <v>3.375E-3</v>
      </c>
      <c r="F964" s="252">
        <v>351.95</v>
      </c>
    </row>
    <row r="966" spans="1:6">
      <c r="C966" s="1162" t="s">
        <v>911</v>
      </c>
    </row>
    <row r="967" spans="1:6">
      <c r="A967" s="252">
        <v>1</v>
      </c>
      <c r="B967" s="252" t="s">
        <v>1389</v>
      </c>
      <c r="C967" s="1162" t="s">
        <v>2744</v>
      </c>
      <c r="D967" s="252">
        <v>826</v>
      </c>
      <c r="E967" s="252" t="s">
        <v>1389</v>
      </c>
      <c r="F967" s="252">
        <v>826</v>
      </c>
    </row>
    <row r="968" spans="1:6">
      <c r="A968" s="252">
        <v>2</v>
      </c>
      <c r="B968" s="252" t="s">
        <v>1389</v>
      </c>
      <c r="C968" s="1162" t="s">
        <v>2576</v>
      </c>
      <c r="D968" s="252">
        <v>644</v>
      </c>
      <c r="E968" s="252" t="s">
        <v>1389</v>
      </c>
      <c r="F968" s="252">
        <v>1288</v>
      </c>
    </row>
    <row r="969" spans="1:6">
      <c r="C969" s="1162" t="s">
        <v>2839</v>
      </c>
      <c r="F969" s="252">
        <v>2114</v>
      </c>
    </row>
    <row r="970" spans="1:6">
      <c r="C970" s="1162" t="s">
        <v>2770</v>
      </c>
      <c r="F970" s="252">
        <v>704.67</v>
      </c>
    </row>
    <row r="972" spans="1:6">
      <c r="B972" s="252">
        <v>4.2</v>
      </c>
      <c r="C972" s="1162" t="s">
        <v>3977</v>
      </c>
    </row>
    <row r="973" spans="1:6">
      <c r="A973" s="252">
        <v>5</v>
      </c>
      <c r="B973" s="252" t="s">
        <v>1336</v>
      </c>
      <c r="C973" s="1162" t="s">
        <v>7035</v>
      </c>
      <c r="D973" s="252">
        <v>1997.1</v>
      </c>
      <c r="F973" s="252">
        <v>9985.5</v>
      </c>
    </row>
    <row r="974" spans="1:6">
      <c r="A974" s="252">
        <v>3.3</v>
      </c>
      <c r="B974" s="252" t="s">
        <v>1336</v>
      </c>
      <c r="C974" s="1162" t="s">
        <v>7036</v>
      </c>
      <c r="D974" s="252">
        <v>1707.1</v>
      </c>
      <c r="F974" s="252">
        <v>5633.43</v>
      </c>
    </row>
    <row r="975" spans="1:6">
      <c r="A975" s="252">
        <v>4.79</v>
      </c>
      <c r="B975" s="252" t="s">
        <v>1336</v>
      </c>
      <c r="C975" s="1162" t="s">
        <v>7037</v>
      </c>
      <c r="D975" s="252">
        <v>1846.1</v>
      </c>
      <c r="F975" s="252">
        <v>8842.82</v>
      </c>
    </row>
    <row r="976" spans="1:6">
      <c r="A976" s="252">
        <v>4</v>
      </c>
      <c r="B976" s="252" t="s">
        <v>525</v>
      </c>
      <c r="C976" s="1162" t="s">
        <v>387</v>
      </c>
      <c r="D976" s="252">
        <v>6040</v>
      </c>
      <c r="F976" s="252">
        <v>24160</v>
      </c>
    </row>
    <row r="977" spans="1:6">
      <c r="A977" s="252">
        <v>40</v>
      </c>
      <c r="B977" s="252" t="s">
        <v>1637</v>
      </c>
      <c r="C977" s="1162" t="s">
        <v>3994</v>
      </c>
      <c r="D977" s="252">
        <v>43.2</v>
      </c>
      <c r="F977" s="252">
        <v>1728</v>
      </c>
    </row>
    <row r="978" spans="1:6">
      <c r="A978" s="252">
        <v>3.5</v>
      </c>
      <c r="B978" s="252" t="s">
        <v>1427</v>
      </c>
      <c r="C978" s="1162" t="s">
        <v>462</v>
      </c>
      <c r="D978" s="252">
        <v>932</v>
      </c>
      <c r="F978" s="252">
        <v>3262</v>
      </c>
    </row>
    <row r="979" spans="1:6">
      <c r="A979" s="252">
        <v>21.2</v>
      </c>
      <c r="B979" s="252" t="s">
        <v>1427</v>
      </c>
      <c r="C979" s="1162" t="s">
        <v>3453</v>
      </c>
      <c r="D979" s="252">
        <v>651</v>
      </c>
      <c r="F979" s="252">
        <v>13801.2</v>
      </c>
    </row>
    <row r="980" spans="1:6">
      <c r="A980" s="252">
        <v>35.299999999999997</v>
      </c>
      <c r="B980" s="252" t="s">
        <v>1427</v>
      </c>
      <c r="C980" s="1162" t="s">
        <v>3454</v>
      </c>
      <c r="D980" s="252">
        <v>534</v>
      </c>
      <c r="F980" s="252">
        <v>18850.2</v>
      </c>
    </row>
    <row r="981" spans="1:6">
      <c r="C981" s="1162" t="s">
        <v>3989</v>
      </c>
      <c r="F981" s="252">
        <v>86263.15</v>
      </c>
    </row>
    <row r="982" spans="1:6">
      <c r="C982" s="1162" t="s">
        <v>3990</v>
      </c>
      <c r="F982" s="252">
        <v>8626.32</v>
      </c>
    </row>
    <row r="983" spans="1:6">
      <c r="A983" s="252">
        <v>1</v>
      </c>
      <c r="B983" s="252" t="s">
        <v>1336</v>
      </c>
      <c r="C983" s="1162" t="s">
        <v>4016</v>
      </c>
      <c r="D983" s="252">
        <v>94.2</v>
      </c>
      <c r="F983" s="252">
        <v>94.2</v>
      </c>
    </row>
    <row r="984" spans="1:6">
      <c r="C984" s="1162" t="s">
        <v>3991</v>
      </c>
      <c r="F984" s="252">
        <v>8720.52</v>
      </c>
    </row>
    <row r="985" spans="1:6">
      <c r="A985" s="252" t="s">
        <v>654</v>
      </c>
      <c r="C985" s="1162" t="s">
        <v>3992</v>
      </c>
      <c r="D985" s="252" t="s">
        <v>654</v>
      </c>
      <c r="F985" s="252">
        <v>43.6</v>
      </c>
    </row>
    <row r="986" spans="1:6">
      <c r="C986" s="1162" t="s">
        <v>3578</v>
      </c>
      <c r="F986" s="252">
        <v>8764.1200000000008</v>
      </c>
    </row>
    <row r="987" spans="1:6">
      <c r="F987" s="252" t="s">
        <v>1579</v>
      </c>
    </row>
    <row r="988" spans="1:6">
      <c r="C988" s="1162" t="s">
        <v>383</v>
      </c>
      <c r="F988" s="252">
        <v>8883.9699999999993</v>
      </c>
    </row>
    <row r="989" spans="1:6">
      <c r="C989" s="1162" t="s">
        <v>385</v>
      </c>
      <c r="F989" s="252">
        <v>9120.07</v>
      </c>
    </row>
    <row r="990" spans="1:6">
      <c r="C990" s="1162" t="s">
        <v>2222</v>
      </c>
      <c r="F990" s="252">
        <v>9356.17</v>
      </c>
    </row>
    <row r="991" spans="1:6">
      <c r="C991" s="1162" t="s">
        <v>377</v>
      </c>
      <c r="F991" s="252">
        <v>9592.27</v>
      </c>
    </row>
    <row r="992" spans="1:6">
      <c r="C992" s="1162" t="s">
        <v>1525</v>
      </c>
      <c r="F992" s="252">
        <v>9828.3700000000008</v>
      </c>
    </row>
    <row r="993" spans="1:6">
      <c r="F993" s="252">
        <v>10064.469999999999</v>
      </c>
    </row>
    <row r="994" spans="1:6">
      <c r="C994" s="1162" t="s">
        <v>4328</v>
      </c>
    </row>
    <row r="995" spans="1:6">
      <c r="A995" s="252">
        <v>6.5</v>
      </c>
      <c r="B995" s="252" t="s">
        <v>2241</v>
      </c>
      <c r="C995" s="1162" t="s">
        <v>3734</v>
      </c>
    </row>
    <row r="996" spans="1:6">
      <c r="C996" s="1162" t="s">
        <v>3735</v>
      </c>
    </row>
    <row r="997" spans="1:6">
      <c r="C997" s="1162" t="s">
        <v>1579</v>
      </c>
    </row>
    <row r="998" spans="1:6">
      <c r="A998" s="252">
        <v>1300</v>
      </c>
      <c r="B998" s="252" t="s">
        <v>1420</v>
      </c>
      <c r="C998" s="1162" t="s">
        <v>3735</v>
      </c>
      <c r="D998" s="252">
        <v>6959.15</v>
      </c>
      <c r="E998" s="252" t="s">
        <v>1587</v>
      </c>
      <c r="F998" s="252">
        <v>9046.9</v>
      </c>
    </row>
    <row r="999" spans="1:6">
      <c r="A999" s="252">
        <v>0.71</v>
      </c>
      <c r="B999" s="252" t="s">
        <v>866</v>
      </c>
      <c r="C999" s="1162" t="s">
        <v>1617</v>
      </c>
      <c r="D999" s="252">
        <v>3701.62</v>
      </c>
      <c r="E999" s="252" t="s">
        <v>866</v>
      </c>
      <c r="F999" s="252">
        <v>2620.75</v>
      </c>
    </row>
    <row r="1000" spans="1:6">
      <c r="A1000" s="252">
        <v>1</v>
      </c>
      <c r="B1000" s="252" t="s">
        <v>865</v>
      </c>
      <c r="C1000" s="1162" t="s">
        <v>2000</v>
      </c>
      <c r="D1000" s="252">
        <v>999</v>
      </c>
      <c r="E1000" s="252" t="s">
        <v>865</v>
      </c>
      <c r="F1000" s="252">
        <v>999</v>
      </c>
    </row>
    <row r="1001" spans="1:6">
      <c r="A1001" s="252">
        <v>3</v>
      </c>
      <c r="B1001" s="252" t="s">
        <v>865</v>
      </c>
      <c r="C1001" s="1162" t="s">
        <v>1704</v>
      </c>
      <c r="D1001" s="252">
        <v>932</v>
      </c>
      <c r="E1001" s="252" t="s">
        <v>865</v>
      </c>
      <c r="F1001" s="252">
        <v>2796</v>
      </c>
    </row>
    <row r="1002" spans="1:6">
      <c r="A1002" s="252">
        <v>2</v>
      </c>
      <c r="B1002" s="252" t="s">
        <v>865</v>
      </c>
      <c r="C1002" s="1162" t="s">
        <v>1893</v>
      </c>
      <c r="D1002" s="252">
        <v>651</v>
      </c>
      <c r="E1002" s="252" t="s">
        <v>865</v>
      </c>
      <c r="F1002" s="252">
        <v>1302</v>
      </c>
    </row>
    <row r="1003" spans="1:6">
      <c r="A1003" s="252">
        <v>6</v>
      </c>
      <c r="B1003" s="252" t="s">
        <v>865</v>
      </c>
      <c r="C1003" s="1162" t="s">
        <v>317</v>
      </c>
      <c r="D1003" s="252">
        <v>534</v>
      </c>
      <c r="E1003" s="252" t="s">
        <v>865</v>
      </c>
      <c r="F1003" s="252">
        <v>3204</v>
      </c>
    </row>
    <row r="1004" spans="1:6">
      <c r="B1004" s="252" t="s">
        <v>446</v>
      </c>
      <c r="C1004" s="1162" t="s">
        <v>447</v>
      </c>
      <c r="E1004" s="252" t="s">
        <v>446</v>
      </c>
      <c r="F1004" s="252">
        <v>5</v>
      </c>
    </row>
    <row r="1005" spans="1:6">
      <c r="F1005" s="252" t="s">
        <v>1579</v>
      </c>
    </row>
    <row r="1006" spans="1:6">
      <c r="C1006" s="1162" t="s">
        <v>3736</v>
      </c>
      <c r="F1006" s="252">
        <v>19973.650000000001</v>
      </c>
    </row>
    <row r="1007" spans="1:6">
      <c r="F1007" s="252" t="s">
        <v>1579</v>
      </c>
    </row>
    <row r="1008" spans="1:6">
      <c r="C1008" s="1162" t="s">
        <v>770</v>
      </c>
      <c r="F1008" s="252">
        <v>7053.64</v>
      </c>
    </row>
    <row r="1009" spans="1:6">
      <c r="F1009" s="252" t="s">
        <v>2046</v>
      </c>
    </row>
    <row r="1010" spans="1:6">
      <c r="C1010" s="1162" t="s">
        <v>383</v>
      </c>
      <c r="F1010" s="252">
        <v>7132.54</v>
      </c>
    </row>
    <row r="1011" spans="1:6">
      <c r="C1011" s="1162" t="s">
        <v>385</v>
      </c>
      <c r="F1011" s="252">
        <v>7291.74</v>
      </c>
    </row>
    <row r="1012" spans="1:6">
      <c r="C1012" s="1162" t="s">
        <v>2222</v>
      </c>
      <c r="F1012" s="252">
        <v>7450.94</v>
      </c>
    </row>
    <row r="1013" spans="1:6">
      <c r="C1013" s="1162" t="s">
        <v>377</v>
      </c>
      <c r="F1013" s="252">
        <v>7610.14</v>
      </c>
    </row>
    <row r="1014" spans="1:6">
      <c r="C1014" s="1162" t="s">
        <v>485</v>
      </c>
      <c r="F1014" s="252">
        <v>7769.34</v>
      </c>
    </row>
    <row r="1019" spans="1:6">
      <c r="A1019" s="252">
        <v>9</v>
      </c>
      <c r="B1019" s="252" t="s">
        <v>2241</v>
      </c>
      <c r="C1019" s="1162" t="s">
        <v>3737</v>
      </c>
    </row>
    <row r="1020" spans="1:6">
      <c r="C1020" s="1162" t="s">
        <v>3735</v>
      </c>
    </row>
    <row r="1021" spans="1:6">
      <c r="C1021" s="1162" t="s">
        <v>1579</v>
      </c>
    </row>
    <row r="1022" spans="1:6">
      <c r="A1022" s="252">
        <v>1300</v>
      </c>
      <c r="B1022" s="252" t="s">
        <v>1420</v>
      </c>
      <c r="C1022" s="1162" t="s">
        <v>3735</v>
      </c>
      <c r="D1022" s="252">
        <v>6959.15</v>
      </c>
      <c r="E1022" s="252" t="s">
        <v>1587</v>
      </c>
      <c r="F1022" s="252">
        <v>9046.9</v>
      </c>
    </row>
    <row r="1023" spans="1:6">
      <c r="A1023" s="252">
        <v>0.71</v>
      </c>
      <c r="B1023" s="252" t="s">
        <v>866</v>
      </c>
      <c r="C1023" s="1162" t="s">
        <v>1623</v>
      </c>
      <c r="D1023" s="252">
        <v>3411.7</v>
      </c>
      <c r="E1023" s="252" t="s">
        <v>866</v>
      </c>
      <c r="F1023" s="252">
        <v>2415.48</v>
      </c>
    </row>
    <row r="1024" spans="1:6">
      <c r="A1024" s="252">
        <v>1</v>
      </c>
      <c r="B1024" s="252" t="s">
        <v>865</v>
      </c>
      <c r="C1024" s="1162" t="s">
        <v>2000</v>
      </c>
      <c r="D1024" s="252">
        <v>999</v>
      </c>
      <c r="E1024" s="252" t="s">
        <v>865</v>
      </c>
      <c r="F1024" s="252">
        <v>999</v>
      </c>
    </row>
    <row r="1027" spans="1:6">
      <c r="A1027" s="252">
        <v>3</v>
      </c>
      <c r="B1027" s="252" t="s">
        <v>865</v>
      </c>
      <c r="C1027" s="1162" t="s">
        <v>1704</v>
      </c>
      <c r="D1027" s="252">
        <v>932</v>
      </c>
      <c r="E1027" s="252" t="s">
        <v>865</v>
      </c>
      <c r="F1027" s="252">
        <v>2796</v>
      </c>
    </row>
    <row r="1028" spans="1:6">
      <c r="A1028" s="252">
        <v>2</v>
      </c>
      <c r="B1028" s="252" t="s">
        <v>865</v>
      </c>
      <c r="C1028" s="1162" t="s">
        <v>1893</v>
      </c>
      <c r="D1028" s="252">
        <v>651</v>
      </c>
      <c r="E1028" s="252" t="s">
        <v>865</v>
      </c>
      <c r="F1028" s="252">
        <v>1302</v>
      </c>
    </row>
    <row r="1029" spans="1:6">
      <c r="A1029" s="252">
        <v>6</v>
      </c>
      <c r="B1029" s="252" t="s">
        <v>865</v>
      </c>
      <c r="C1029" s="1162" t="s">
        <v>317</v>
      </c>
      <c r="D1029" s="252">
        <v>534</v>
      </c>
      <c r="E1029" s="252" t="s">
        <v>865</v>
      </c>
      <c r="F1029" s="252">
        <v>3204</v>
      </c>
    </row>
    <row r="1030" spans="1:6">
      <c r="B1030" s="252" t="s">
        <v>446</v>
      </c>
      <c r="C1030" s="1162" t="s">
        <v>447</v>
      </c>
      <c r="E1030" s="252" t="s">
        <v>446</v>
      </c>
      <c r="F1030" s="252">
        <v>5</v>
      </c>
    </row>
    <row r="1031" spans="1:6">
      <c r="F1031" s="252" t="s">
        <v>1579</v>
      </c>
    </row>
    <row r="1032" spans="1:6">
      <c r="C1032" s="1162" t="s">
        <v>611</v>
      </c>
      <c r="F1032" s="252">
        <v>19768.38</v>
      </c>
    </row>
    <row r="1033" spans="1:6">
      <c r="F1033" s="252" t="s">
        <v>1579</v>
      </c>
    </row>
    <row r="1034" spans="1:6">
      <c r="C1034" s="1162" t="s">
        <v>770</v>
      </c>
      <c r="F1034" s="252">
        <v>6981.15</v>
      </c>
    </row>
    <row r="1035" spans="1:6">
      <c r="F1035" s="252" t="s">
        <v>2046</v>
      </c>
    </row>
    <row r="1036" spans="1:6">
      <c r="C1036" s="1162" t="s">
        <v>383</v>
      </c>
      <c r="F1036" s="252">
        <v>7060.05</v>
      </c>
    </row>
    <row r="1037" spans="1:6">
      <c r="C1037" s="1162" t="s">
        <v>385</v>
      </c>
      <c r="F1037" s="252">
        <v>7219.25</v>
      </c>
    </row>
    <row r="1038" spans="1:6">
      <c r="C1038" s="1162" t="s">
        <v>2222</v>
      </c>
      <c r="F1038" s="252">
        <v>7378.45</v>
      </c>
    </row>
    <row r="1039" spans="1:6">
      <c r="C1039" s="1162" t="s">
        <v>377</v>
      </c>
      <c r="F1039" s="252">
        <v>7537.65</v>
      </c>
    </row>
    <row r="1040" spans="1:6">
      <c r="A1040" s="252" t="s">
        <v>971</v>
      </c>
      <c r="C1040" s="1162" t="s">
        <v>485</v>
      </c>
      <c r="F1040" s="252">
        <v>7696.85</v>
      </c>
    </row>
    <row r="1041" spans="1:6">
      <c r="A1041" s="252">
        <v>27</v>
      </c>
      <c r="B1041" s="252" t="s">
        <v>2241</v>
      </c>
      <c r="C1041" s="1162" t="s">
        <v>3738</v>
      </c>
      <c r="F1041" s="252">
        <v>7856.05</v>
      </c>
    </row>
    <row r="1042" spans="1:6">
      <c r="C1042" s="1162" t="s">
        <v>3735</v>
      </c>
    </row>
    <row r="1043" spans="1:6">
      <c r="C1043" s="1162" t="s">
        <v>1579</v>
      </c>
    </row>
    <row r="1044" spans="1:6">
      <c r="A1044" s="252">
        <v>1300</v>
      </c>
      <c r="B1044" s="252" t="s">
        <v>1420</v>
      </c>
      <c r="C1044" s="1162" t="s">
        <v>3735</v>
      </c>
      <c r="D1044" s="252">
        <v>6959.15</v>
      </c>
      <c r="E1044" s="252" t="s">
        <v>1587</v>
      </c>
      <c r="F1044" s="252">
        <v>9046.9</v>
      </c>
    </row>
    <row r="1045" spans="1:6">
      <c r="A1045" s="252">
        <v>0.71</v>
      </c>
      <c r="B1045" s="252" t="s">
        <v>866</v>
      </c>
      <c r="C1045" s="1162" t="s">
        <v>1302</v>
      </c>
      <c r="D1045" s="252">
        <v>4136.5</v>
      </c>
      <c r="E1045" s="252" t="s">
        <v>866</v>
      </c>
      <c r="F1045" s="252">
        <v>2928.64</v>
      </c>
    </row>
    <row r="1046" spans="1:6">
      <c r="A1046" s="252">
        <v>1</v>
      </c>
      <c r="B1046" s="252" t="s">
        <v>865</v>
      </c>
      <c r="C1046" s="1162" t="s">
        <v>2000</v>
      </c>
      <c r="D1046" s="252">
        <v>999</v>
      </c>
      <c r="E1046" s="252" t="s">
        <v>865</v>
      </c>
      <c r="F1046" s="252">
        <v>999</v>
      </c>
    </row>
    <row r="1047" spans="1:6">
      <c r="A1047" s="252">
        <v>3</v>
      </c>
      <c r="B1047" s="252" t="s">
        <v>865</v>
      </c>
      <c r="C1047" s="1162" t="s">
        <v>1704</v>
      </c>
      <c r="D1047" s="252">
        <v>932</v>
      </c>
      <c r="E1047" s="252" t="s">
        <v>865</v>
      </c>
      <c r="F1047" s="252">
        <v>2796</v>
      </c>
    </row>
    <row r="1048" spans="1:6">
      <c r="A1048" s="252">
        <v>2</v>
      </c>
      <c r="B1048" s="252" t="s">
        <v>865</v>
      </c>
      <c r="C1048" s="1162" t="s">
        <v>1893</v>
      </c>
      <c r="D1048" s="252">
        <v>651</v>
      </c>
      <c r="E1048" s="252" t="s">
        <v>865</v>
      </c>
      <c r="F1048" s="252">
        <v>1302</v>
      </c>
    </row>
    <row r="1049" spans="1:6">
      <c r="A1049" s="252">
        <v>6</v>
      </c>
      <c r="B1049" s="252" t="s">
        <v>865</v>
      </c>
      <c r="C1049" s="1162" t="s">
        <v>317</v>
      </c>
      <c r="D1049" s="252">
        <v>534</v>
      </c>
      <c r="E1049" s="252" t="s">
        <v>865</v>
      </c>
      <c r="F1049" s="252">
        <v>3204</v>
      </c>
    </row>
    <row r="1050" spans="1:6">
      <c r="B1050" s="252" t="s">
        <v>446</v>
      </c>
      <c r="C1050" s="1162" t="s">
        <v>447</v>
      </c>
      <c r="E1050" s="252" t="s">
        <v>446</v>
      </c>
      <c r="F1050" s="252">
        <v>5</v>
      </c>
    </row>
    <row r="1051" spans="1:6">
      <c r="F1051" s="252" t="s">
        <v>1579</v>
      </c>
    </row>
    <row r="1052" spans="1:6">
      <c r="C1052" s="1162" t="s">
        <v>611</v>
      </c>
      <c r="F1052" s="252">
        <v>20281.54</v>
      </c>
    </row>
    <row r="1053" spans="1:6">
      <c r="F1053" s="252" t="s">
        <v>1579</v>
      </c>
    </row>
    <row r="1054" spans="1:6">
      <c r="C1054" s="1162" t="s">
        <v>770</v>
      </c>
      <c r="F1054" s="252">
        <v>7162.37</v>
      </c>
    </row>
    <row r="1055" spans="1:6">
      <c r="F1055" s="252" t="s">
        <v>2046</v>
      </c>
    </row>
    <row r="1056" spans="1:6">
      <c r="C1056" s="1162" t="s">
        <v>383</v>
      </c>
      <c r="F1056" s="252">
        <v>7241.27</v>
      </c>
    </row>
    <row r="1057" spans="1:6">
      <c r="C1057" s="1162" t="s">
        <v>385</v>
      </c>
      <c r="F1057" s="252">
        <v>7400.47</v>
      </c>
    </row>
    <row r="1058" spans="1:6">
      <c r="C1058" s="1162" t="s">
        <v>2222</v>
      </c>
      <c r="F1058" s="252">
        <v>7559.67</v>
      </c>
    </row>
    <row r="1059" spans="1:6">
      <c r="C1059" s="1162" t="s">
        <v>377</v>
      </c>
      <c r="F1059" s="252">
        <v>7718.87</v>
      </c>
    </row>
    <row r="1060" spans="1:6">
      <c r="C1060" s="1162" t="s">
        <v>485</v>
      </c>
      <c r="F1060" s="252">
        <v>7878.07</v>
      </c>
    </row>
    <row r="1061" spans="1:6">
      <c r="C1061" s="1162" t="s">
        <v>1823</v>
      </c>
      <c r="F1061" s="252">
        <v>7480.07</v>
      </c>
    </row>
    <row r="1064" spans="1:6">
      <c r="C1064" s="1162" t="s">
        <v>1825</v>
      </c>
    </row>
    <row r="1065" spans="1:6">
      <c r="C1065" s="1162" t="s">
        <v>1579</v>
      </c>
    </row>
    <row r="1066" spans="1:6">
      <c r="A1066" s="252">
        <v>10</v>
      </c>
      <c r="B1066" s="252" t="s">
        <v>2241</v>
      </c>
      <c r="C1066" s="1162" t="s">
        <v>3739</v>
      </c>
    </row>
    <row r="1067" spans="1:6">
      <c r="C1067" s="1162" t="s">
        <v>3735</v>
      </c>
    </row>
    <row r="1068" spans="1:6">
      <c r="C1068" s="1162" t="s">
        <v>1579</v>
      </c>
    </row>
    <row r="1069" spans="1:6">
      <c r="A1069" s="252">
        <v>1300</v>
      </c>
      <c r="B1069" s="252" t="s">
        <v>1420</v>
      </c>
      <c r="C1069" s="1162" t="s">
        <v>3735</v>
      </c>
      <c r="D1069" s="252">
        <v>6959.15</v>
      </c>
      <c r="E1069" s="252" t="s">
        <v>1587</v>
      </c>
      <c r="F1069" s="252">
        <v>9046.9</v>
      </c>
    </row>
    <row r="1070" spans="1:6">
      <c r="A1070" s="252">
        <v>0.71</v>
      </c>
      <c r="B1070" s="252" t="s">
        <v>866</v>
      </c>
      <c r="C1070" s="1162" t="s">
        <v>1302</v>
      </c>
      <c r="D1070" s="252">
        <v>4136.5</v>
      </c>
      <c r="E1070" s="252" t="s">
        <v>866</v>
      </c>
      <c r="F1070" s="252">
        <v>2928.64</v>
      </c>
    </row>
    <row r="1071" spans="1:6">
      <c r="A1071" s="252">
        <v>1</v>
      </c>
      <c r="B1071" s="252" t="s">
        <v>865</v>
      </c>
      <c r="C1071" s="1162" t="s">
        <v>2000</v>
      </c>
      <c r="D1071" s="252">
        <v>999</v>
      </c>
      <c r="E1071" s="252" t="s">
        <v>865</v>
      </c>
      <c r="F1071" s="252">
        <v>999</v>
      </c>
    </row>
    <row r="1072" spans="1:6">
      <c r="A1072" s="252">
        <v>3</v>
      </c>
      <c r="B1072" s="252" t="s">
        <v>865</v>
      </c>
      <c r="C1072" s="1162" t="s">
        <v>1704</v>
      </c>
      <c r="D1072" s="252">
        <v>932</v>
      </c>
      <c r="E1072" s="252" t="s">
        <v>865</v>
      </c>
      <c r="F1072" s="252">
        <v>2796</v>
      </c>
    </row>
    <row r="1073" spans="1:6">
      <c r="A1073" s="252">
        <v>2</v>
      </c>
      <c r="B1073" s="252" t="s">
        <v>865</v>
      </c>
      <c r="C1073" s="1162" t="s">
        <v>1893</v>
      </c>
      <c r="D1073" s="252">
        <v>651</v>
      </c>
      <c r="E1073" s="252" t="s">
        <v>865</v>
      </c>
      <c r="F1073" s="252">
        <v>1302</v>
      </c>
    </row>
    <row r="1074" spans="1:6">
      <c r="A1074" s="252">
        <v>6</v>
      </c>
      <c r="B1074" s="252" t="s">
        <v>865</v>
      </c>
      <c r="C1074" s="1162" t="s">
        <v>317</v>
      </c>
      <c r="D1074" s="252">
        <v>534</v>
      </c>
      <c r="E1074" s="252" t="s">
        <v>865</v>
      </c>
      <c r="F1074" s="252">
        <v>3204</v>
      </c>
    </row>
    <row r="1075" spans="1:6">
      <c r="B1075" s="252" t="s">
        <v>446</v>
      </c>
      <c r="C1075" s="1162" t="s">
        <v>447</v>
      </c>
      <c r="D1075" s="252" t="s">
        <v>971</v>
      </c>
      <c r="E1075" s="252" t="s">
        <v>446</v>
      </c>
      <c r="F1075" s="252">
        <v>5</v>
      </c>
    </row>
    <row r="1076" spans="1:6">
      <c r="F1076" s="252" t="s">
        <v>1579</v>
      </c>
    </row>
    <row r="1077" spans="1:6">
      <c r="C1077" s="1162" t="s">
        <v>611</v>
      </c>
      <c r="F1077" s="252">
        <v>20281.54</v>
      </c>
    </row>
    <row r="1078" spans="1:6">
      <c r="F1078" s="252" t="s">
        <v>1579</v>
      </c>
    </row>
    <row r="1079" spans="1:6">
      <c r="C1079" s="1162" t="s">
        <v>770</v>
      </c>
      <c r="F1079" s="252">
        <v>7162.37</v>
      </c>
    </row>
    <row r="1080" spans="1:6">
      <c r="F1080" s="252" t="s">
        <v>2046</v>
      </c>
    </row>
    <row r="1082" spans="1:6">
      <c r="B1082" s="252" t="s">
        <v>672</v>
      </c>
      <c r="C1082" s="1162" t="s">
        <v>2898</v>
      </c>
    </row>
    <row r="1083" spans="1:6">
      <c r="C1083" s="1162" t="s">
        <v>1579</v>
      </c>
    </row>
    <row r="1084" spans="1:6">
      <c r="A1084" s="252">
        <v>1.1000000000000001</v>
      </c>
      <c r="B1084" s="252" t="s">
        <v>866</v>
      </c>
      <c r="C1084" s="1162" t="s">
        <v>1115</v>
      </c>
      <c r="D1084" s="252">
        <v>7162.37</v>
      </c>
      <c r="E1084" s="252" t="s">
        <v>866</v>
      </c>
      <c r="F1084" s="252">
        <v>7878.61</v>
      </c>
    </row>
    <row r="1085" spans="1:6">
      <c r="A1085" s="252">
        <v>1</v>
      </c>
      <c r="B1085" s="252" t="s">
        <v>766</v>
      </c>
      <c r="C1085" s="1162" t="s">
        <v>2000</v>
      </c>
      <c r="D1085" s="252">
        <v>999</v>
      </c>
      <c r="E1085" s="252" t="s">
        <v>865</v>
      </c>
      <c r="F1085" s="252">
        <v>999</v>
      </c>
    </row>
    <row r="1086" spans="1:6">
      <c r="B1086" s="252" t="s">
        <v>446</v>
      </c>
      <c r="C1086" s="1162" t="s">
        <v>447</v>
      </c>
      <c r="D1086" s="252" t="s">
        <v>971</v>
      </c>
      <c r="E1086" s="252" t="s">
        <v>446</v>
      </c>
      <c r="F1086" s="252">
        <v>0</v>
      </c>
    </row>
    <row r="1087" spans="1:6">
      <c r="F1087" s="252" t="s">
        <v>1579</v>
      </c>
    </row>
    <row r="1088" spans="1:6">
      <c r="C1088" s="1162" t="s">
        <v>438</v>
      </c>
      <c r="F1088" s="252">
        <v>8877.61</v>
      </c>
    </row>
    <row r="1089" spans="1:6">
      <c r="F1089" s="252" t="s">
        <v>1579</v>
      </c>
    </row>
    <row r="1090" spans="1:6">
      <c r="C1090" s="1162" t="s">
        <v>549</v>
      </c>
      <c r="F1090" s="252">
        <v>887.76</v>
      </c>
    </row>
    <row r="1091" spans="1:6">
      <c r="F1091" s="252" t="s">
        <v>2046</v>
      </c>
    </row>
    <row r="1092" spans="1:6">
      <c r="C1092" s="1162" t="s">
        <v>383</v>
      </c>
      <c r="E1092" s="252">
        <v>8.68</v>
      </c>
      <c r="F1092" s="252">
        <v>896.44</v>
      </c>
    </row>
    <row r="1093" spans="1:6">
      <c r="C1093" s="1162" t="s">
        <v>385</v>
      </c>
      <c r="E1093" s="252">
        <v>17.510000000000002</v>
      </c>
      <c r="F1093" s="252">
        <v>913.95</v>
      </c>
    </row>
    <row r="1094" spans="1:6">
      <c r="C1094" s="1162" t="s">
        <v>2222</v>
      </c>
      <c r="E1094" s="252">
        <v>17.510000000000002</v>
      </c>
      <c r="F1094" s="252">
        <v>931.46</v>
      </c>
    </row>
    <row r="1095" spans="1:6">
      <c r="C1095" s="1162" t="s">
        <v>377</v>
      </c>
      <c r="E1095" s="252">
        <v>17.510000000000002</v>
      </c>
      <c r="F1095" s="252">
        <v>948.97</v>
      </c>
    </row>
    <row r="1096" spans="1:6">
      <c r="C1096" s="1162" t="s">
        <v>1525</v>
      </c>
      <c r="E1096" s="252">
        <v>17.510000000000002</v>
      </c>
      <c r="F1096" s="252">
        <v>966.48</v>
      </c>
    </row>
    <row r="1097" spans="1:6">
      <c r="A1097" s="252">
        <v>11</v>
      </c>
      <c r="B1097" s="252" t="s">
        <v>2241</v>
      </c>
      <c r="C1097" s="1162" t="s">
        <v>3740</v>
      </c>
    </row>
    <row r="1098" spans="1:6">
      <c r="C1098" s="1162" t="s">
        <v>3735</v>
      </c>
    </row>
    <row r="1099" spans="1:6">
      <c r="C1099" s="1162" t="s">
        <v>1579</v>
      </c>
    </row>
    <row r="1100" spans="1:6">
      <c r="A1100" s="252">
        <v>1300</v>
      </c>
      <c r="B1100" s="252" t="s">
        <v>1420</v>
      </c>
      <c r="C1100" s="1162" t="s">
        <v>3735</v>
      </c>
      <c r="D1100" s="252">
        <v>6959.15</v>
      </c>
      <c r="E1100" s="252" t="s">
        <v>1526</v>
      </c>
      <c r="F1100" s="252">
        <v>9046.9</v>
      </c>
    </row>
    <row r="1101" spans="1:6">
      <c r="A1101" s="252">
        <v>0.71</v>
      </c>
      <c r="B1101" s="252" t="s">
        <v>866</v>
      </c>
      <c r="C1101" s="1162" t="s">
        <v>1302</v>
      </c>
      <c r="D1101" s="252">
        <v>4136.5</v>
      </c>
      <c r="E1101" s="252" t="s">
        <v>866</v>
      </c>
      <c r="F1101" s="252">
        <v>2928.64</v>
      </c>
    </row>
    <row r="1102" spans="1:6">
      <c r="A1102" s="252">
        <v>1</v>
      </c>
      <c r="B1102" s="252" t="s">
        <v>865</v>
      </c>
      <c r="C1102" s="1162" t="s">
        <v>2000</v>
      </c>
      <c r="D1102" s="252">
        <v>999</v>
      </c>
      <c r="E1102" s="252" t="s">
        <v>865</v>
      </c>
      <c r="F1102" s="252">
        <v>999</v>
      </c>
    </row>
    <row r="1103" spans="1:6">
      <c r="A1103" s="252">
        <v>3</v>
      </c>
      <c r="B1103" s="252" t="s">
        <v>865</v>
      </c>
      <c r="C1103" s="1162" t="s">
        <v>1704</v>
      </c>
      <c r="D1103" s="252">
        <v>932</v>
      </c>
      <c r="E1103" s="252" t="s">
        <v>865</v>
      </c>
      <c r="F1103" s="252">
        <v>2796</v>
      </c>
    </row>
    <row r="1104" spans="1:6">
      <c r="A1104" s="252">
        <v>2</v>
      </c>
      <c r="B1104" s="252" t="s">
        <v>865</v>
      </c>
      <c r="C1104" s="1162" t="s">
        <v>1893</v>
      </c>
      <c r="D1104" s="252">
        <v>651</v>
      </c>
      <c r="E1104" s="252" t="s">
        <v>865</v>
      </c>
      <c r="F1104" s="252">
        <v>1302</v>
      </c>
    </row>
    <row r="1105" spans="1:6">
      <c r="A1105" s="252">
        <v>6</v>
      </c>
      <c r="B1105" s="252" t="s">
        <v>865</v>
      </c>
      <c r="C1105" s="1162" t="s">
        <v>317</v>
      </c>
      <c r="D1105" s="252">
        <v>534</v>
      </c>
      <c r="E1105" s="252" t="s">
        <v>865</v>
      </c>
      <c r="F1105" s="252">
        <v>3204</v>
      </c>
    </row>
    <row r="1106" spans="1:6">
      <c r="B1106" s="252" t="s">
        <v>446</v>
      </c>
      <c r="C1106" s="1162" t="s">
        <v>447</v>
      </c>
      <c r="D1106" s="252" t="s">
        <v>971</v>
      </c>
      <c r="E1106" s="252" t="s">
        <v>446</v>
      </c>
      <c r="F1106" s="252">
        <v>5</v>
      </c>
    </row>
    <row r="1107" spans="1:6">
      <c r="F1107" s="252" t="s">
        <v>1579</v>
      </c>
    </row>
    <row r="1108" spans="1:6">
      <c r="C1108" s="1162" t="s">
        <v>611</v>
      </c>
      <c r="F1108" s="252">
        <v>20281.54</v>
      </c>
    </row>
    <row r="1109" spans="1:6">
      <c r="F1109" s="252" t="s">
        <v>1579</v>
      </c>
    </row>
    <row r="1110" spans="1:6">
      <c r="C1110" s="1162" t="s">
        <v>770</v>
      </c>
      <c r="F1110" s="252">
        <v>7162.37</v>
      </c>
    </row>
    <row r="1111" spans="1:6">
      <c r="F1111" s="252" t="s">
        <v>2046</v>
      </c>
    </row>
    <row r="1112" spans="1:6">
      <c r="A1112" s="252" t="s">
        <v>246</v>
      </c>
    </row>
    <row r="1114" spans="1:6">
      <c r="B1114" s="252" t="s">
        <v>1532</v>
      </c>
      <c r="C1114" s="1162" t="s">
        <v>428</v>
      </c>
    </row>
    <row r="1115" spans="1:6">
      <c r="C1115" s="1162" t="s">
        <v>1579</v>
      </c>
    </row>
    <row r="1116" spans="1:6">
      <c r="A1116" s="252">
        <v>0.7</v>
      </c>
      <c r="B1116" s="252" t="s">
        <v>866</v>
      </c>
      <c r="C1116" s="1162" t="s">
        <v>2269</v>
      </c>
      <c r="D1116" s="252">
        <v>7162.37</v>
      </c>
      <c r="E1116" s="252" t="s">
        <v>865</v>
      </c>
      <c r="F1116" s="252">
        <v>5013.66</v>
      </c>
    </row>
    <row r="1117" spans="1:6">
      <c r="A1117" s="252">
        <v>1</v>
      </c>
      <c r="B1117" s="252" t="s">
        <v>766</v>
      </c>
      <c r="C1117" s="1162" t="s">
        <v>2000</v>
      </c>
      <c r="D1117" s="252">
        <v>999</v>
      </c>
      <c r="E1117" s="252" t="s">
        <v>865</v>
      </c>
      <c r="F1117" s="252">
        <v>999</v>
      </c>
    </row>
    <row r="1118" spans="1:6">
      <c r="B1118" s="252" t="s">
        <v>446</v>
      </c>
      <c r="C1118" s="1162" t="s">
        <v>447</v>
      </c>
      <c r="D1118" s="252" t="s">
        <v>971</v>
      </c>
      <c r="E1118" s="252" t="s">
        <v>446</v>
      </c>
      <c r="F1118" s="252">
        <v>0</v>
      </c>
    </row>
    <row r="1119" spans="1:6">
      <c r="F1119" s="252" t="s">
        <v>1579</v>
      </c>
    </row>
    <row r="1120" spans="1:6">
      <c r="C1120" s="1162" t="s">
        <v>438</v>
      </c>
      <c r="F1120" s="252">
        <v>6012.66</v>
      </c>
    </row>
    <row r="1121" spans="1:6">
      <c r="F1121" s="252" t="s">
        <v>1579</v>
      </c>
    </row>
    <row r="1122" spans="1:6">
      <c r="C1122" s="1162" t="s">
        <v>549</v>
      </c>
      <c r="F1122" s="252">
        <v>601.27</v>
      </c>
    </row>
    <row r="1123" spans="1:6">
      <c r="F1123" s="252" t="s">
        <v>2046</v>
      </c>
    </row>
    <row r="1124" spans="1:6">
      <c r="C1124" s="1162" t="s">
        <v>383</v>
      </c>
      <c r="E1124" s="252">
        <v>5.52</v>
      </c>
      <c r="F1124" s="252">
        <v>606.79</v>
      </c>
    </row>
    <row r="1125" spans="1:6">
      <c r="C1125" s="1162" t="s">
        <v>385</v>
      </c>
      <c r="E1125" s="252">
        <v>11.14</v>
      </c>
      <c r="F1125" s="252">
        <v>617.92999999999995</v>
      </c>
    </row>
    <row r="1126" spans="1:6">
      <c r="C1126" s="1162" t="s">
        <v>2222</v>
      </c>
      <c r="E1126" s="252">
        <v>11.14</v>
      </c>
      <c r="F1126" s="252">
        <v>629.07000000000005</v>
      </c>
    </row>
    <row r="1127" spans="1:6">
      <c r="C1127" s="1162" t="s">
        <v>377</v>
      </c>
      <c r="E1127" s="252">
        <v>11.14</v>
      </c>
      <c r="F1127" s="252">
        <v>640.21</v>
      </c>
    </row>
    <row r="1128" spans="1:6">
      <c r="C1128" s="1162" t="s">
        <v>830</v>
      </c>
      <c r="E1128" s="252">
        <v>11.14</v>
      </c>
      <c r="F1128" s="252">
        <v>651.35</v>
      </c>
    </row>
    <row r="1130" spans="1:6">
      <c r="B1130" s="252" t="s">
        <v>1532</v>
      </c>
      <c r="C1130" s="1162" t="s">
        <v>428</v>
      </c>
    </row>
    <row r="1131" spans="1:6">
      <c r="C1131" s="1162" t="s">
        <v>1579</v>
      </c>
    </row>
    <row r="1132" spans="1:6">
      <c r="A1132" s="252">
        <v>0.7</v>
      </c>
      <c r="B1132" s="252" t="s">
        <v>866</v>
      </c>
      <c r="C1132" s="1162" t="s">
        <v>2269</v>
      </c>
      <c r="D1132" s="252">
        <v>6959.15</v>
      </c>
      <c r="E1132" s="252" t="s">
        <v>865</v>
      </c>
      <c r="F1132" s="252">
        <v>4871.41</v>
      </c>
    </row>
    <row r="1133" spans="1:6">
      <c r="A1133" s="252">
        <v>1</v>
      </c>
      <c r="B1133" s="252" t="s">
        <v>766</v>
      </c>
      <c r="C1133" s="1162" t="s">
        <v>2000</v>
      </c>
      <c r="D1133" s="252">
        <v>999</v>
      </c>
      <c r="E1133" s="252" t="s">
        <v>865</v>
      </c>
      <c r="F1133" s="252">
        <v>999</v>
      </c>
    </row>
    <row r="1134" spans="1:6">
      <c r="B1134" s="252" t="s">
        <v>446</v>
      </c>
      <c r="C1134" s="1162" t="s">
        <v>447</v>
      </c>
      <c r="D1134" s="252" t="s">
        <v>971</v>
      </c>
      <c r="E1134" s="252" t="s">
        <v>446</v>
      </c>
      <c r="F1134" s="252">
        <v>5</v>
      </c>
    </row>
    <row r="1135" spans="1:6">
      <c r="F1135" s="252" t="s">
        <v>1579</v>
      </c>
    </row>
    <row r="1136" spans="1:6">
      <c r="C1136" s="1162" t="s">
        <v>438</v>
      </c>
      <c r="F1136" s="252">
        <v>5875.41</v>
      </c>
    </row>
    <row r="1137" spans="1:6">
      <c r="F1137" s="252" t="s">
        <v>1579</v>
      </c>
    </row>
    <row r="1138" spans="1:6">
      <c r="C1138" s="1162" t="s">
        <v>549</v>
      </c>
      <c r="F1138" s="252">
        <v>587.54</v>
      </c>
    </row>
    <row r="1139" spans="1:6">
      <c r="F1139" s="252" t="s">
        <v>2046</v>
      </c>
    </row>
    <row r="1140" spans="1:6">
      <c r="C1140" s="1162" t="s">
        <v>383</v>
      </c>
      <c r="E1140" s="252">
        <v>5.52</v>
      </c>
      <c r="F1140" s="252">
        <v>614.77</v>
      </c>
    </row>
    <row r="1141" spans="1:6">
      <c r="C1141" s="1162" t="s">
        <v>385</v>
      </c>
      <c r="E1141" s="252">
        <v>11.14</v>
      </c>
      <c r="F1141" s="252">
        <v>615.51</v>
      </c>
    </row>
    <row r="1142" spans="1:6">
      <c r="C1142" s="1162" t="s">
        <v>2222</v>
      </c>
      <c r="E1142" s="252">
        <v>11.14</v>
      </c>
      <c r="F1142" s="252">
        <v>619.38</v>
      </c>
    </row>
    <row r="1143" spans="1:6">
      <c r="C1143" s="1162" t="s">
        <v>377</v>
      </c>
      <c r="E1143" s="252">
        <v>11.14</v>
      </c>
      <c r="F1143" s="252">
        <v>623.25</v>
      </c>
    </row>
    <row r="1144" spans="1:6">
      <c r="C1144" s="1162" t="s">
        <v>830</v>
      </c>
      <c r="E1144" s="252">
        <v>11.14</v>
      </c>
      <c r="F1144" s="252">
        <v>627.12</v>
      </c>
    </row>
    <row r="1146" spans="1:6">
      <c r="B1146" s="252" t="s">
        <v>2241</v>
      </c>
      <c r="C1146" s="1162" t="s">
        <v>839</v>
      </c>
    </row>
    <row r="1147" spans="1:6">
      <c r="C1147" s="1162" t="s">
        <v>840</v>
      </c>
    </row>
    <row r="1148" spans="1:6">
      <c r="C1148" s="1162" t="s">
        <v>841</v>
      </c>
    </row>
    <row r="1149" spans="1:6">
      <c r="C1149" s="1162" t="s">
        <v>1579</v>
      </c>
    </row>
    <row r="1150" spans="1:6">
      <c r="A1150" s="252">
        <v>0.14000000000000001</v>
      </c>
      <c r="B1150" s="252" t="s">
        <v>866</v>
      </c>
      <c r="C1150" s="1162" t="s">
        <v>1348</v>
      </c>
      <c r="D1150" s="252">
        <v>4861.3</v>
      </c>
      <c r="E1150" s="252" t="s">
        <v>866</v>
      </c>
      <c r="F1150" s="252">
        <v>680.58</v>
      </c>
    </row>
    <row r="1151" spans="1:6">
      <c r="A1151" s="252">
        <v>1.1000000000000001</v>
      </c>
      <c r="B1151" s="252" t="s">
        <v>865</v>
      </c>
      <c r="C1151" s="1162" t="s">
        <v>2000</v>
      </c>
      <c r="D1151" s="252">
        <v>999</v>
      </c>
      <c r="E1151" s="252" t="s">
        <v>865</v>
      </c>
      <c r="F1151" s="252">
        <v>1098.9000000000001</v>
      </c>
    </row>
    <row r="1152" spans="1:6">
      <c r="A1152" s="252">
        <v>0.5</v>
      </c>
      <c r="B1152" s="252" t="s">
        <v>865</v>
      </c>
      <c r="C1152" s="1162" t="s">
        <v>1893</v>
      </c>
      <c r="D1152" s="252">
        <v>651</v>
      </c>
      <c r="E1152" s="252" t="s">
        <v>865</v>
      </c>
      <c r="F1152" s="252">
        <v>325.5</v>
      </c>
    </row>
    <row r="1153" spans="1:6">
      <c r="A1153" s="252">
        <v>1.1000000000000001</v>
      </c>
      <c r="B1153" s="252" t="s">
        <v>865</v>
      </c>
      <c r="C1153" s="1162" t="s">
        <v>317</v>
      </c>
      <c r="D1153" s="252">
        <v>534</v>
      </c>
      <c r="E1153" s="252" t="s">
        <v>865</v>
      </c>
      <c r="F1153" s="252">
        <v>587.4</v>
      </c>
    </row>
    <row r="1154" spans="1:6">
      <c r="A1154" s="252">
        <v>2</v>
      </c>
      <c r="B1154" s="252" t="s">
        <v>1637</v>
      </c>
      <c r="C1154" s="1162" t="s">
        <v>842</v>
      </c>
      <c r="D1154" s="252">
        <v>42.7</v>
      </c>
      <c r="E1154" s="252" t="s">
        <v>1637</v>
      </c>
      <c r="F1154" s="252">
        <v>85.4</v>
      </c>
    </row>
    <row r="1155" spans="1:6">
      <c r="B1155" s="252" t="s">
        <v>446</v>
      </c>
      <c r="C1155" s="1162" t="s">
        <v>447</v>
      </c>
      <c r="D1155" s="252" t="s">
        <v>971</v>
      </c>
      <c r="E1155" s="252" t="s">
        <v>446</v>
      </c>
      <c r="F1155" s="252">
        <v>5</v>
      </c>
    </row>
    <row r="1156" spans="1:6">
      <c r="F1156" s="252" t="s">
        <v>1579</v>
      </c>
    </row>
    <row r="1157" spans="1:6">
      <c r="A1157" s="252" t="s">
        <v>971</v>
      </c>
      <c r="C1157" s="1162" t="s">
        <v>438</v>
      </c>
      <c r="F1157" s="252">
        <v>2782.78</v>
      </c>
    </row>
    <row r="1158" spans="1:6">
      <c r="F1158" s="252" t="s">
        <v>1579</v>
      </c>
    </row>
    <row r="1159" spans="1:6">
      <c r="C1159" s="1162" t="s">
        <v>549</v>
      </c>
      <c r="F1159" s="252">
        <v>278.27999999999997</v>
      </c>
    </row>
    <row r="1161" spans="1:6">
      <c r="A1161" s="252" t="s">
        <v>381</v>
      </c>
      <c r="B1161" s="252" t="s">
        <v>2241</v>
      </c>
      <c r="C1161" s="1162" t="s">
        <v>382</v>
      </c>
    </row>
    <row r="1162" spans="1:6">
      <c r="C1162" s="1162" t="s">
        <v>7038</v>
      </c>
    </row>
    <row r="1163" spans="1:6">
      <c r="C1163" s="1162" t="s">
        <v>1579</v>
      </c>
    </row>
    <row r="1164" spans="1:6">
      <c r="A1164" s="252">
        <v>1</v>
      </c>
      <c r="B1164" s="252" t="s">
        <v>866</v>
      </c>
      <c r="C1164" s="1162" t="s">
        <v>1912</v>
      </c>
      <c r="D1164" s="252">
        <v>389</v>
      </c>
      <c r="E1164" s="252" t="s">
        <v>866</v>
      </c>
      <c r="F1164" s="252">
        <v>389</v>
      </c>
    </row>
    <row r="1165" spans="1:6">
      <c r="A1165" s="252">
        <v>1</v>
      </c>
      <c r="B1165" s="252" t="s">
        <v>866</v>
      </c>
      <c r="C1165" s="1162" t="s">
        <v>1349</v>
      </c>
      <c r="D1165" s="252">
        <v>38.950000000000003</v>
      </c>
      <c r="E1165" s="252" t="s">
        <v>866</v>
      </c>
      <c r="F1165" s="252">
        <v>38.950000000000003</v>
      </c>
    </row>
    <row r="1166" spans="1:6">
      <c r="B1166" s="252" t="s">
        <v>446</v>
      </c>
      <c r="C1166" s="1162" t="s">
        <v>447</v>
      </c>
      <c r="D1166" s="252" t="s">
        <v>971</v>
      </c>
      <c r="E1166" s="252" t="s">
        <v>446</v>
      </c>
      <c r="F1166" s="252">
        <v>0</v>
      </c>
    </row>
    <row r="1167" spans="1:6">
      <c r="F1167" s="252" t="s">
        <v>1579</v>
      </c>
    </row>
    <row r="1168" spans="1:6">
      <c r="C1168" s="1162" t="s">
        <v>1509</v>
      </c>
      <c r="F1168" s="252">
        <v>427.95</v>
      </c>
    </row>
    <row r="1169" spans="1:6">
      <c r="C1169" s="1162" t="s">
        <v>2018</v>
      </c>
      <c r="F1169" s="252" t="s">
        <v>1579</v>
      </c>
    </row>
    <row r="1171" spans="1:6">
      <c r="A1171" s="252" t="s">
        <v>663</v>
      </c>
      <c r="B1171" s="252" t="s">
        <v>2241</v>
      </c>
      <c r="C1171" s="1162" t="s">
        <v>210</v>
      </c>
    </row>
    <row r="1172" spans="1:6">
      <c r="C1172" s="1162" t="s">
        <v>666</v>
      </c>
    </row>
    <row r="1173" spans="1:6">
      <c r="C1173" s="1162" t="s">
        <v>1579</v>
      </c>
    </row>
    <row r="1174" spans="1:6">
      <c r="A1174" s="252">
        <v>9</v>
      </c>
      <c r="B1174" s="252" t="s">
        <v>866</v>
      </c>
      <c r="C1174" s="1162" t="s">
        <v>1630</v>
      </c>
      <c r="D1174" s="252">
        <v>1577.9</v>
      </c>
      <c r="E1174" s="252" t="s">
        <v>866</v>
      </c>
      <c r="F1174" s="252">
        <v>14201.1</v>
      </c>
    </row>
    <row r="1175" spans="1:6">
      <c r="A1175" s="252">
        <v>4.5</v>
      </c>
      <c r="B1175" s="252" t="s">
        <v>866</v>
      </c>
      <c r="C1175" s="1162" t="s">
        <v>1348</v>
      </c>
      <c r="D1175" s="252">
        <v>4861.3</v>
      </c>
      <c r="E1175" s="252" t="s">
        <v>866</v>
      </c>
      <c r="F1175" s="252">
        <v>21875.85</v>
      </c>
    </row>
    <row r="1176" spans="1:6">
      <c r="A1176" s="252">
        <v>1.8</v>
      </c>
      <c r="B1176" s="252" t="s">
        <v>865</v>
      </c>
      <c r="C1176" s="1162" t="s">
        <v>1704</v>
      </c>
      <c r="D1176" s="252">
        <v>932</v>
      </c>
      <c r="E1176" s="252" t="s">
        <v>865</v>
      </c>
      <c r="F1176" s="252">
        <v>1677.6</v>
      </c>
    </row>
    <row r="1177" spans="1:6">
      <c r="A1177" s="252">
        <v>17.7</v>
      </c>
      <c r="B1177" s="252" t="s">
        <v>865</v>
      </c>
      <c r="C1177" s="1162" t="s">
        <v>1893</v>
      </c>
      <c r="D1177" s="252">
        <v>651</v>
      </c>
      <c r="E1177" s="252" t="s">
        <v>865</v>
      </c>
      <c r="F1177" s="252">
        <v>11522.7</v>
      </c>
    </row>
    <row r="1178" spans="1:6">
      <c r="A1178" s="252">
        <v>14.1</v>
      </c>
      <c r="B1178" s="252" t="s">
        <v>865</v>
      </c>
      <c r="C1178" s="1162" t="s">
        <v>317</v>
      </c>
      <c r="D1178" s="252">
        <v>534</v>
      </c>
      <c r="E1178" s="252" t="s">
        <v>865</v>
      </c>
      <c r="F1178" s="252">
        <v>7529.4</v>
      </c>
    </row>
    <row r="1179" spans="1:6">
      <c r="B1179" s="252" t="s">
        <v>446</v>
      </c>
      <c r="C1179" s="1162" t="s">
        <v>447</v>
      </c>
      <c r="E1179" s="252" t="s">
        <v>446</v>
      </c>
      <c r="F1179" s="252">
        <v>0</v>
      </c>
    </row>
    <row r="1180" spans="1:6">
      <c r="F1180" s="252" t="s">
        <v>1579</v>
      </c>
    </row>
    <row r="1181" spans="1:6">
      <c r="C1181" s="1162" t="s">
        <v>611</v>
      </c>
      <c r="F1181" s="252">
        <v>56806.65</v>
      </c>
    </row>
    <row r="1182" spans="1:6">
      <c r="F1182" s="252" t="s">
        <v>1579</v>
      </c>
    </row>
    <row r="1183" spans="1:6">
      <c r="C1183" s="1162" t="s">
        <v>770</v>
      </c>
      <c r="F1183" s="252">
        <v>5680.67</v>
      </c>
    </row>
    <row r="1184" spans="1:6">
      <c r="F1184" s="252" t="s">
        <v>2046</v>
      </c>
    </row>
    <row r="1185" spans="1:6">
      <c r="C1185" s="1162" t="s">
        <v>1327</v>
      </c>
    </row>
    <row r="1186" spans="1:6">
      <c r="A1186" s="252">
        <v>98.5</v>
      </c>
      <c r="B1186" s="252" t="s">
        <v>1763</v>
      </c>
      <c r="C1186" s="1162" t="s">
        <v>4906</v>
      </c>
      <c r="D1186" s="252">
        <v>5.04</v>
      </c>
      <c r="E1186" s="252" t="s">
        <v>1763</v>
      </c>
      <c r="F1186" s="252">
        <v>496.44</v>
      </c>
    </row>
    <row r="1187" spans="1:6">
      <c r="A1187" s="252">
        <v>0.3</v>
      </c>
      <c r="B1187" s="252" t="s">
        <v>1763</v>
      </c>
      <c r="C1187" s="1162" t="s">
        <v>271</v>
      </c>
      <c r="D1187" s="252">
        <v>976</v>
      </c>
      <c r="E1187" s="252" t="s">
        <v>1393</v>
      </c>
      <c r="F1187" s="252">
        <v>292.8</v>
      </c>
    </row>
    <row r="1188" spans="1:6">
      <c r="A1188" s="252">
        <v>0.3</v>
      </c>
      <c r="B1188" s="252" t="s">
        <v>1763</v>
      </c>
      <c r="C1188" s="1162" t="s">
        <v>651</v>
      </c>
      <c r="D1188" s="252">
        <v>651</v>
      </c>
      <c r="E1188" s="252" t="s">
        <v>1393</v>
      </c>
      <c r="F1188" s="252">
        <v>195.3</v>
      </c>
    </row>
    <row r="1189" spans="1:6">
      <c r="C1189" s="1162" t="s">
        <v>13</v>
      </c>
      <c r="F1189" s="252">
        <v>0.9</v>
      </c>
    </row>
    <row r="1190" spans="1:6">
      <c r="C1190" s="1162" t="s">
        <v>3529</v>
      </c>
      <c r="F1190" s="252">
        <v>985.44</v>
      </c>
    </row>
    <row r="1191" spans="1:6">
      <c r="C1191" s="1162" t="s">
        <v>3530</v>
      </c>
      <c r="F1191" s="252">
        <v>98.54</v>
      </c>
    </row>
    <row r="1192" spans="1:6">
      <c r="C1192" s="1162" t="s">
        <v>3531</v>
      </c>
      <c r="F1192" s="252">
        <v>32.85</v>
      </c>
    </row>
    <row r="1193" spans="1:6">
      <c r="B1193" s="252" t="s">
        <v>725</v>
      </c>
      <c r="C1193" s="1162" t="s">
        <v>721</v>
      </c>
      <c r="D1193" s="252">
        <v>848.08</v>
      </c>
    </row>
    <row r="1195" spans="1:6">
      <c r="B1195" s="252" t="s">
        <v>517</v>
      </c>
      <c r="C1195" s="1162" t="s">
        <v>722</v>
      </c>
      <c r="D1195" s="252">
        <v>946.62</v>
      </c>
    </row>
    <row r="1197" spans="1:6">
      <c r="B1197" s="252" t="s">
        <v>313</v>
      </c>
      <c r="C1197" s="1162" t="s">
        <v>723</v>
      </c>
      <c r="D1197" s="252">
        <v>1135.94</v>
      </c>
    </row>
    <row r="1199" spans="1:6">
      <c r="B1199" s="252" t="s">
        <v>726</v>
      </c>
      <c r="C1199" s="1162" t="s">
        <v>724</v>
      </c>
      <c r="D1199" s="252">
        <v>1041.28</v>
      </c>
    </row>
    <row r="1201" spans="1:6">
      <c r="C1201" s="1162" t="s">
        <v>3794</v>
      </c>
      <c r="D1201" s="252">
        <v>2271.88</v>
      </c>
    </row>
    <row r="1203" spans="1:6">
      <c r="C1203" s="1162" t="s">
        <v>3797</v>
      </c>
      <c r="D1203" s="252">
        <v>1419.93</v>
      </c>
    </row>
    <row r="1205" spans="1:6">
      <c r="C1205" s="1162" t="s">
        <v>3584</v>
      </c>
      <c r="D1205" s="252">
        <v>1893.24</v>
      </c>
    </row>
    <row r="1207" spans="1:6" ht="47.25">
      <c r="A1207" s="252" t="s">
        <v>877</v>
      </c>
      <c r="C1207" s="268" t="s">
        <v>1225</v>
      </c>
    </row>
    <row r="1208" spans="1:6">
      <c r="C1208" s="1162" t="s">
        <v>1579</v>
      </c>
      <c r="D1208" s="252" t="s">
        <v>1579</v>
      </c>
      <c r="E1208" s="252" t="s">
        <v>1579</v>
      </c>
    </row>
    <row r="1210" spans="1:6">
      <c r="C1210" s="1162" t="s">
        <v>1991</v>
      </c>
    </row>
    <row r="1212" spans="1:6">
      <c r="C1212" s="1162" t="s">
        <v>1992</v>
      </c>
    </row>
    <row r="1213" spans="1:6">
      <c r="C1213" s="1162" t="s">
        <v>451</v>
      </c>
    </row>
    <row r="1214" spans="1:6">
      <c r="C1214" s="1162" t="s">
        <v>452</v>
      </c>
    </row>
    <row r="1215" spans="1:6">
      <c r="C1215" s="1162" t="s">
        <v>453</v>
      </c>
    </row>
    <row r="1216" spans="1:6">
      <c r="C1216" s="1162" t="s">
        <v>878</v>
      </c>
      <c r="E1216" s="252" t="s">
        <v>971</v>
      </c>
      <c r="F1216" s="252">
        <v>3.7699999999999997E-2</v>
      </c>
    </row>
    <row r="1217" spans="1:6">
      <c r="C1217" s="1162" t="s">
        <v>449</v>
      </c>
      <c r="E1217" s="252" t="s">
        <v>971</v>
      </c>
      <c r="F1217" s="252" t="s">
        <v>971</v>
      </c>
    </row>
    <row r="1218" spans="1:6">
      <c r="C1218" s="1162" t="s">
        <v>1822</v>
      </c>
      <c r="F1218" s="252" t="s">
        <v>971</v>
      </c>
    </row>
    <row r="1220" spans="1:6">
      <c r="A1220" s="252">
        <v>1.18E-2</v>
      </c>
      <c r="B1220" s="252" t="s">
        <v>866</v>
      </c>
      <c r="C1220" s="1162" t="s">
        <v>689</v>
      </c>
      <c r="D1220" s="252">
        <v>111600</v>
      </c>
      <c r="E1220" s="252" t="s">
        <v>866</v>
      </c>
      <c r="F1220" s="252">
        <v>1316.88</v>
      </c>
    </row>
    <row r="1221" spans="1:6">
      <c r="A1221" s="252">
        <v>3.7699999999999997E-2</v>
      </c>
      <c r="B1221" s="252" t="s">
        <v>866</v>
      </c>
      <c r="C1221" s="1162" t="s">
        <v>690</v>
      </c>
      <c r="D1221" s="252">
        <v>99400</v>
      </c>
      <c r="E1221" s="252" t="s">
        <v>866</v>
      </c>
      <c r="F1221" s="252">
        <v>3747.38</v>
      </c>
    </row>
    <row r="1222" spans="1:6">
      <c r="A1222" s="252">
        <v>1.8550000000000001E-2</v>
      </c>
      <c r="B1222" s="252" t="s">
        <v>866</v>
      </c>
      <c r="C1222" s="1162" t="s">
        <v>883</v>
      </c>
      <c r="D1222" s="252">
        <v>13690</v>
      </c>
      <c r="E1222" s="252" t="s">
        <v>866</v>
      </c>
      <c r="F1222" s="252">
        <v>253.95</v>
      </c>
    </row>
    <row r="1223" spans="1:6">
      <c r="A1223" s="252">
        <v>1.36</v>
      </c>
      <c r="B1223" s="252" t="s">
        <v>606</v>
      </c>
      <c r="C1223" s="1162" t="s">
        <v>1226</v>
      </c>
      <c r="D1223" s="252">
        <v>387.4</v>
      </c>
      <c r="E1223" s="252" t="s">
        <v>606</v>
      </c>
      <c r="F1223" s="252">
        <v>526.86</v>
      </c>
    </row>
    <row r="1224" spans="1:6">
      <c r="A1224" s="252">
        <v>2.0499999999999998</v>
      </c>
      <c r="B1224" s="252" t="s">
        <v>606</v>
      </c>
      <c r="C1224" s="1162" t="s">
        <v>1499</v>
      </c>
      <c r="D1224" s="252">
        <v>1281</v>
      </c>
      <c r="E1224" s="252" t="s">
        <v>606</v>
      </c>
      <c r="F1224" s="252">
        <v>2626.05</v>
      </c>
    </row>
    <row r="1225" spans="1:6">
      <c r="A1225" s="252">
        <v>2</v>
      </c>
      <c r="B1225" s="252" t="s">
        <v>865</v>
      </c>
      <c r="C1225" s="1162" t="s">
        <v>5470</v>
      </c>
      <c r="D1225" s="252">
        <v>57</v>
      </c>
      <c r="E1225" s="252" t="s">
        <v>865</v>
      </c>
      <c r="F1225" s="252">
        <v>114</v>
      </c>
    </row>
    <row r="1226" spans="1:6">
      <c r="A1226" s="252">
        <v>6</v>
      </c>
      <c r="B1226" s="252" t="s">
        <v>865</v>
      </c>
      <c r="C1226" s="1162" t="s">
        <v>1338</v>
      </c>
      <c r="D1226" s="252">
        <v>49.35</v>
      </c>
      <c r="E1226" s="252" t="s">
        <v>865</v>
      </c>
      <c r="F1226" s="252">
        <v>296.10000000000002</v>
      </c>
    </row>
    <row r="1227" spans="1:6">
      <c r="A1227" s="252">
        <v>2</v>
      </c>
      <c r="B1227" s="252" t="s">
        <v>865</v>
      </c>
      <c r="C1227" s="1162" t="s">
        <v>1385</v>
      </c>
      <c r="D1227" s="252">
        <v>60.9</v>
      </c>
      <c r="E1227" s="252" t="s">
        <v>865</v>
      </c>
      <c r="F1227" s="252">
        <v>121.8</v>
      </c>
    </row>
    <row r="1228" spans="1:6">
      <c r="A1228" s="252">
        <v>1</v>
      </c>
      <c r="B1228" s="252" t="s">
        <v>865</v>
      </c>
      <c r="C1228" s="1162" t="s">
        <v>1412</v>
      </c>
      <c r="D1228" s="252">
        <v>63.2</v>
      </c>
      <c r="E1228" s="252" t="s">
        <v>865</v>
      </c>
      <c r="F1228" s="252">
        <v>63.2</v>
      </c>
    </row>
    <row r="1229" spans="1:6">
      <c r="A1229" s="252">
        <v>6.55</v>
      </c>
      <c r="B1229" s="252" t="s">
        <v>606</v>
      </c>
      <c r="C1229" s="1162" t="s">
        <v>1340</v>
      </c>
      <c r="D1229" s="252">
        <v>233.74</v>
      </c>
      <c r="E1229" s="252" t="s">
        <v>606</v>
      </c>
      <c r="F1229" s="252">
        <v>1531</v>
      </c>
    </row>
    <row r="1230" spans="1:6">
      <c r="A1230" s="252">
        <v>50</v>
      </c>
      <c r="B1230" s="252" t="s">
        <v>1427</v>
      </c>
      <c r="C1230" s="1162" t="s">
        <v>1330</v>
      </c>
      <c r="D1230" s="252">
        <v>2.41</v>
      </c>
      <c r="F1230" s="252">
        <v>120.5</v>
      </c>
    </row>
    <row r="1231" spans="1:6">
      <c r="F1231" s="252" t="s">
        <v>1579</v>
      </c>
    </row>
    <row r="1232" spans="1:6">
      <c r="C1232" s="1162" t="s">
        <v>1410</v>
      </c>
      <c r="F1232" s="252">
        <v>10717.72</v>
      </c>
    </row>
    <row r="1233" spans="1:6">
      <c r="B1233" s="252" t="s">
        <v>971</v>
      </c>
      <c r="F1233" s="252" t="s">
        <v>1579</v>
      </c>
    </row>
    <row r="1234" spans="1:6">
      <c r="C1234" s="1162" t="s">
        <v>549</v>
      </c>
      <c r="F1234" s="252">
        <v>4253.0600000000004</v>
      </c>
    </row>
    <row r="1235" spans="1:6">
      <c r="F1235" s="252" t="s">
        <v>2046</v>
      </c>
    </row>
    <row r="1236" spans="1:6">
      <c r="A1236" s="252" t="s">
        <v>1333</v>
      </c>
      <c r="B1236" s="252" t="s">
        <v>2241</v>
      </c>
      <c r="C1236" s="1162" t="s">
        <v>252</v>
      </c>
    </row>
    <row r="1237" spans="1:6">
      <c r="C1237" s="1162" t="s">
        <v>253</v>
      </c>
    </row>
    <row r="1238" spans="1:6">
      <c r="C1238" s="1162" t="s">
        <v>1464</v>
      </c>
    </row>
    <row r="1239" spans="1:6">
      <c r="C1239" s="1162" t="s">
        <v>1579</v>
      </c>
    </row>
    <row r="1241" spans="1:6">
      <c r="C1241" s="1162" t="s">
        <v>641</v>
      </c>
    </row>
    <row r="1242" spans="1:6">
      <c r="C1242" s="1162" t="s">
        <v>642</v>
      </c>
    </row>
    <row r="1243" spans="1:6">
      <c r="E1243" s="252" t="s">
        <v>1579</v>
      </c>
    </row>
    <row r="1244" spans="1:6">
      <c r="C1244" s="1162" t="s">
        <v>643</v>
      </c>
    </row>
    <row r="1245" spans="1:6">
      <c r="C1245" s="1162" t="s">
        <v>644</v>
      </c>
      <c r="F1245" s="252">
        <v>2.1999999999999999E-2</v>
      </c>
    </row>
    <row r="1246" spans="1:6">
      <c r="E1246" s="252" t="s">
        <v>971</v>
      </c>
      <c r="F1246" s="252" t="s">
        <v>1579</v>
      </c>
    </row>
    <row r="1247" spans="1:6">
      <c r="C1247" s="1162" t="s">
        <v>856</v>
      </c>
      <c r="E1247" s="252" t="s">
        <v>971</v>
      </c>
      <c r="F1247" s="252">
        <v>1.3100000000000001E-2</v>
      </c>
    </row>
    <row r="1248" spans="1:6">
      <c r="C1248" s="1162" t="s">
        <v>2143</v>
      </c>
      <c r="E1248" s="252" t="s">
        <v>971</v>
      </c>
      <c r="F1248" s="252">
        <v>3.3999999999999998E-3</v>
      </c>
    </row>
    <row r="1249" spans="1:6">
      <c r="F1249" s="252" t="s">
        <v>1579</v>
      </c>
    </row>
    <row r="1250" spans="1:6">
      <c r="F1250" s="252">
        <v>1.6500000000000001E-2</v>
      </c>
    </row>
    <row r="1251" spans="1:6">
      <c r="F1251" s="252" t="s">
        <v>1579</v>
      </c>
    </row>
    <row r="1252" spans="1:6">
      <c r="A1252" s="252">
        <v>1.15E-2</v>
      </c>
      <c r="B1252" s="252" t="s">
        <v>866</v>
      </c>
      <c r="C1252" s="1162" t="s">
        <v>305</v>
      </c>
      <c r="D1252" s="252">
        <v>111600</v>
      </c>
      <c r="E1252" s="252" t="s">
        <v>866</v>
      </c>
      <c r="F1252" s="252">
        <v>1283.4000000000001</v>
      </c>
    </row>
    <row r="1253" spans="1:6">
      <c r="A1253" s="252">
        <v>2.1999999999999999E-2</v>
      </c>
      <c r="B1253" s="252" t="s">
        <v>866</v>
      </c>
      <c r="C1253" s="1162" t="s">
        <v>306</v>
      </c>
      <c r="D1253" s="252">
        <v>99400</v>
      </c>
      <c r="E1253" s="252" t="s">
        <v>866</v>
      </c>
      <c r="F1253" s="252">
        <v>2186.8000000000002</v>
      </c>
    </row>
    <row r="1254" spans="1:6">
      <c r="A1254" s="252">
        <v>1.6500000000000001E-2</v>
      </c>
      <c r="B1254" s="252" t="s">
        <v>866</v>
      </c>
      <c r="C1254" s="1162" t="s">
        <v>307</v>
      </c>
      <c r="D1254" s="252">
        <v>95000</v>
      </c>
      <c r="E1254" s="252" t="s">
        <v>866</v>
      </c>
      <c r="F1254" s="252">
        <v>1567.5</v>
      </c>
    </row>
    <row r="1255" spans="1:6">
      <c r="C1255" s="1162" t="s">
        <v>443</v>
      </c>
      <c r="D1255" s="252" t="s">
        <v>971</v>
      </c>
      <c r="F1255" s="252" t="s">
        <v>971</v>
      </c>
    </row>
    <row r="1256" spans="1:6">
      <c r="A1256" s="252">
        <v>1.64</v>
      </c>
      <c r="B1256" s="252" t="s">
        <v>606</v>
      </c>
      <c r="C1256" s="1162" t="s">
        <v>444</v>
      </c>
      <c r="D1256" s="252">
        <v>1537</v>
      </c>
      <c r="E1256" s="252" t="s">
        <v>606</v>
      </c>
      <c r="F1256" s="252">
        <v>2520.6799999999998</v>
      </c>
    </row>
    <row r="1257" spans="1:6">
      <c r="A1257" s="252">
        <v>1</v>
      </c>
      <c r="B1257" s="252" t="s">
        <v>766</v>
      </c>
      <c r="C1257" s="1162" t="s">
        <v>1132</v>
      </c>
      <c r="D1257" s="252">
        <v>57.65</v>
      </c>
      <c r="E1257" s="252" t="s">
        <v>865</v>
      </c>
      <c r="F1257" s="252">
        <v>57.65</v>
      </c>
    </row>
    <row r="1258" spans="1:6">
      <c r="A1258" s="252">
        <v>3</v>
      </c>
      <c r="B1258" s="252" t="s">
        <v>865</v>
      </c>
      <c r="C1258" s="1162" t="s">
        <v>5606</v>
      </c>
      <c r="D1258" s="252">
        <v>89.6</v>
      </c>
      <c r="E1258" s="252" t="s">
        <v>865</v>
      </c>
      <c r="F1258" s="252">
        <v>268.8</v>
      </c>
    </row>
    <row r="1259" spans="1:6">
      <c r="A1259" s="252">
        <v>2</v>
      </c>
      <c r="B1259" s="252" t="s">
        <v>865</v>
      </c>
      <c r="C1259" s="1162" t="s">
        <v>5607</v>
      </c>
      <c r="D1259" s="252">
        <v>64.8</v>
      </c>
      <c r="E1259" s="252" t="s">
        <v>865</v>
      </c>
      <c r="F1259" s="252">
        <v>129.6</v>
      </c>
    </row>
    <row r="1260" spans="1:6">
      <c r="A1260" s="252">
        <v>1</v>
      </c>
      <c r="B1260" s="252" t="s">
        <v>865</v>
      </c>
      <c r="C1260" s="1162" t="s">
        <v>5608</v>
      </c>
      <c r="D1260" s="252">
        <v>181</v>
      </c>
      <c r="E1260" s="252" t="s">
        <v>865</v>
      </c>
      <c r="F1260" s="252">
        <v>181</v>
      </c>
    </row>
    <row r="1261" spans="1:6">
      <c r="A1261" s="252">
        <v>1</v>
      </c>
      <c r="B1261" s="252" t="s">
        <v>865</v>
      </c>
      <c r="C1261" s="1162" t="s">
        <v>1460</v>
      </c>
      <c r="D1261" s="252">
        <v>7.3</v>
      </c>
      <c r="E1261" s="252" t="s">
        <v>865</v>
      </c>
      <c r="F1261" s="252">
        <v>7.3</v>
      </c>
    </row>
    <row r="1262" spans="1:6">
      <c r="A1262" s="252">
        <v>1</v>
      </c>
      <c r="B1262" s="252" t="s">
        <v>865</v>
      </c>
      <c r="C1262" s="1162" t="s">
        <v>5609</v>
      </c>
      <c r="D1262" s="252">
        <v>49.55</v>
      </c>
      <c r="E1262" s="252" t="s">
        <v>865</v>
      </c>
      <c r="F1262" s="252">
        <v>49.55</v>
      </c>
    </row>
    <row r="1263" spans="1:6">
      <c r="A1263" s="252">
        <v>10</v>
      </c>
      <c r="B1263" s="252" t="s">
        <v>1026</v>
      </c>
      <c r="C1263" s="1162" t="s">
        <v>5449</v>
      </c>
      <c r="D1263" s="252">
        <v>2.41</v>
      </c>
      <c r="E1263" s="252" t="s">
        <v>865</v>
      </c>
      <c r="F1263" s="252">
        <v>24.1</v>
      </c>
    </row>
    <row r="1264" spans="1:6">
      <c r="F1264" s="252" t="s">
        <v>1579</v>
      </c>
    </row>
    <row r="1265" spans="1:6">
      <c r="C1265" s="1162" t="s">
        <v>2144</v>
      </c>
      <c r="F1265" s="252">
        <v>8276.3799999999992</v>
      </c>
    </row>
    <row r="1266" spans="1:6">
      <c r="F1266" s="252" t="s">
        <v>1579</v>
      </c>
    </row>
    <row r="1267" spans="1:6">
      <c r="C1267" s="1162" t="s">
        <v>5039</v>
      </c>
      <c r="F1267" s="252">
        <v>5046.57</v>
      </c>
    </row>
    <row r="1268" spans="1:6">
      <c r="F1268" s="252" t="s">
        <v>2046</v>
      </c>
    </row>
    <row r="1269" spans="1:6">
      <c r="C1269" s="1162" t="s">
        <v>3937</v>
      </c>
    </row>
    <row r="1271" spans="1:6">
      <c r="A1271" s="296" t="s">
        <v>455</v>
      </c>
    </row>
    <row r="1272" spans="1:6">
      <c r="A1272" s="296" t="s">
        <v>1923</v>
      </c>
      <c r="D1272" s="316">
        <v>2.2800000000000001E-2</v>
      </c>
    </row>
    <row r="1273" spans="1:6">
      <c r="A1273" s="296" t="s">
        <v>1924</v>
      </c>
      <c r="D1273" s="316">
        <v>2.3599999999999999E-2</v>
      </c>
    </row>
    <row r="1274" spans="1:6">
      <c r="B1274" s="252" t="s">
        <v>2066</v>
      </c>
      <c r="D1274" s="316">
        <v>1.18E-2</v>
      </c>
    </row>
    <row r="1275" spans="1:6">
      <c r="D1275" s="316">
        <v>3.5400000000000001E-2</v>
      </c>
    </row>
    <row r="1278" spans="1:6">
      <c r="A1278" s="252" t="s">
        <v>2067</v>
      </c>
      <c r="D1278" s="316">
        <v>2.5899999999999999E-2</v>
      </c>
    </row>
    <row r="1279" spans="1:6">
      <c r="A1279" s="252" t="s">
        <v>418</v>
      </c>
      <c r="D1279" s="316">
        <v>6.4999999999999997E-3</v>
      </c>
      <c r="F1279" s="252">
        <v>-126587.98</v>
      </c>
    </row>
    <row r="1280" spans="1:6">
      <c r="D1280" s="316">
        <v>3.2399999999999998E-2</v>
      </c>
    </row>
    <row r="1281" spans="1:6">
      <c r="C1281" s="1162" t="s">
        <v>1615</v>
      </c>
    </row>
    <row r="1283" spans="1:6">
      <c r="A1283" s="316">
        <v>2.2800000000000001E-2</v>
      </c>
      <c r="B1283" s="252" t="s">
        <v>866</v>
      </c>
      <c r="C1283" s="1162" t="s">
        <v>3114</v>
      </c>
      <c r="D1283" s="252">
        <v>111600</v>
      </c>
      <c r="E1283" s="252" t="s">
        <v>866</v>
      </c>
      <c r="F1283" s="252">
        <v>2544.48</v>
      </c>
    </row>
    <row r="1284" spans="1:6">
      <c r="A1284" s="316">
        <v>3.5400000000000001E-2</v>
      </c>
      <c r="B1284" s="252" t="s">
        <v>866</v>
      </c>
      <c r="C1284" s="1162" t="s">
        <v>2478</v>
      </c>
      <c r="D1284" s="252">
        <v>99400</v>
      </c>
      <c r="E1284" s="252" t="s">
        <v>866</v>
      </c>
      <c r="F1284" s="252">
        <v>3518.76</v>
      </c>
    </row>
    <row r="1285" spans="1:6">
      <c r="A1285" s="316">
        <v>3.2300000000000002E-2</v>
      </c>
      <c r="B1285" s="252" t="s">
        <v>866</v>
      </c>
      <c r="C1285" s="1162" t="s">
        <v>4913</v>
      </c>
      <c r="D1285" s="252">
        <v>107000</v>
      </c>
      <c r="E1285" s="252" t="s">
        <v>866</v>
      </c>
      <c r="F1285" s="252">
        <v>3456.1</v>
      </c>
    </row>
    <row r="1286" spans="1:6">
      <c r="A1286" s="316">
        <v>2.835</v>
      </c>
      <c r="B1286" s="252" t="s">
        <v>606</v>
      </c>
      <c r="C1286" s="1162" t="s">
        <v>880</v>
      </c>
      <c r="D1286" s="252">
        <v>1537</v>
      </c>
      <c r="E1286" s="252" t="s">
        <v>606</v>
      </c>
      <c r="F1286" s="252">
        <v>4357.3999999999996</v>
      </c>
    </row>
    <row r="1287" spans="1:6">
      <c r="A1287" s="252">
        <v>2</v>
      </c>
      <c r="B1287" s="252" t="s">
        <v>1865</v>
      </c>
      <c r="C1287" s="1162" t="s">
        <v>3726</v>
      </c>
      <c r="D1287" s="252">
        <v>254.5</v>
      </c>
      <c r="E1287" s="252" t="s">
        <v>1393</v>
      </c>
      <c r="F1287" s="252">
        <v>509</v>
      </c>
    </row>
    <row r="1288" spans="1:6">
      <c r="A1288" s="252">
        <v>6</v>
      </c>
      <c r="B1288" s="252" t="s">
        <v>1865</v>
      </c>
      <c r="C1288" s="1162" t="s">
        <v>3727</v>
      </c>
      <c r="D1288" s="252">
        <v>214.1</v>
      </c>
      <c r="E1288" s="252" t="s">
        <v>1393</v>
      </c>
      <c r="F1288" s="252">
        <v>1284.5999999999999</v>
      </c>
    </row>
    <row r="1289" spans="1:6">
      <c r="A1289" s="252">
        <v>4</v>
      </c>
      <c r="B1289" s="252" t="s">
        <v>1865</v>
      </c>
      <c r="C1289" s="1162" t="s">
        <v>3728</v>
      </c>
      <c r="D1289" s="252">
        <v>408</v>
      </c>
      <c r="E1289" s="252" t="s">
        <v>1393</v>
      </c>
      <c r="F1289" s="252">
        <v>1632</v>
      </c>
    </row>
    <row r="1290" spans="1:6">
      <c r="A1290" s="252">
        <v>1</v>
      </c>
      <c r="B1290" s="252" t="s">
        <v>1865</v>
      </c>
      <c r="C1290" s="1162" t="s">
        <v>3729</v>
      </c>
      <c r="D1290" s="252">
        <v>836</v>
      </c>
      <c r="E1290" s="252" t="s">
        <v>1393</v>
      </c>
      <c r="F1290" s="252">
        <v>836</v>
      </c>
    </row>
    <row r="1291" spans="1:6">
      <c r="A1291" s="252">
        <v>2</v>
      </c>
      <c r="B1291" s="252" t="s">
        <v>1865</v>
      </c>
      <c r="C1291" s="1162" t="s">
        <v>5251</v>
      </c>
      <c r="D1291" s="252">
        <v>7.3</v>
      </c>
      <c r="E1291" s="252" t="s">
        <v>1393</v>
      </c>
      <c r="F1291" s="252">
        <v>14.6</v>
      </c>
    </row>
    <row r="1292" spans="1:6">
      <c r="A1292" s="252">
        <v>2</v>
      </c>
      <c r="B1292" s="252" t="s">
        <v>1865</v>
      </c>
      <c r="C1292" s="1162" t="s">
        <v>4914</v>
      </c>
      <c r="D1292" s="252">
        <v>49.55</v>
      </c>
      <c r="E1292" s="252" t="s">
        <v>1393</v>
      </c>
      <c r="F1292" s="252">
        <v>99.1</v>
      </c>
    </row>
    <row r="1293" spans="1:6">
      <c r="A1293" s="252">
        <v>118</v>
      </c>
      <c r="C1293" s="1162" t="s">
        <v>1137</v>
      </c>
      <c r="D1293" s="252">
        <v>2.41</v>
      </c>
      <c r="F1293" s="252">
        <v>284.38</v>
      </c>
    </row>
    <row r="1295" spans="1:6">
      <c r="C1295" s="1162" t="s">
        <v>549</v>
      </c>
      <c r="F1295" s="252">
        <v>18536.419999999998</v>
      </c>
    </row>
    <row r="1296" spans="1:6">
      <c r="F1296" s="252" t="s">
        <v>146</v>
      </c>
    </row>
    <row r="1297" spans="1:6">
      <c r="C1297" s="1162" t="s">
        <v>2073</v>
      </c>
      <c r="F1297" s="252">
        <v>6538.42</v>
      </c>
    </row>
    <row r="1298" spans="1:6">
      <c r="F1298" s="252" t="s">
        <v>146</v>
      </c>
    </row>
    <row r="1299" spans="1:6">
      <c r="C1299" s="1162" t="s">
        <v>3938</v>
      </c>
    </row>
    <row r="1301" spans="1:6">
      <c r="A1301" s="252" t="s">
        <v>1862</v>
      </c>
    </row>
    <row r="1302" spans="1:6">
      <c r="A1302" s="252" t="s">
        <v>1923</v>
      </c>
      <c r="D1302" s="316">
        <v>2.2800000000000001E-2</v>
      </c>
    </row>
    <row r="1303" spans="1:6">
      <c r="A1303" s="252" t="s">
        <v>1863</v>
      </c>
      <c r="D1303" s="316">
        <v>1.8599999999999998E-2</v>
      </c>
    </row>
    <row r="1304" spans="1:6">
      <c r="B1304" s="252" t="s">
        <v>402</v>
      </c>
      <c r="D1304" s="316">
        <v>9.2999999999999992E-3</v>
      </c>
    </row>
    <row r="1305" spans="1:6">
      <c r="D1305" s="316">
        <v>2.7900000000000001E-2</v>
      </c>
    </row>
    <row r="1306" spans="1:6">
      <c r="D1306" s="316"/>
    </row>
    <row r="1307" spans="1:6">
      <c r="D1307" s="316"/>
    </row>
    <row r="1308" spans="1:6">
      <c r="A1308" s="252" t="s">
        <v>401</v>
      </c>
      <c r="D1308" s="316">
        <v>1.9E-2</v>
      </c>
    </row>
    <row r="1309" spans="1:6">
      <c r="A1309" s="252" t="s">
        <v>347</v>
      </c>
      <c r="D1309" s="316">
        <v>4.7999999999999996E-3</v>
      </c>
    </row>
    <row r="1310" spans="1:6">
      <c r="D1310" s="316">
        <v>2.3800000000000002E-2</v>
      </c>
    </row>
    <row r="1311" spans="1:6">
      <c r="C1311" s="1162" t="s">
        <v>1615</v>
      </c>
    </row>
    <row r="1313" spans="1:6">
      <c r="A1313" s="400">
        <v>2.2800000000000001E-2</v>
      </c>
      <c r="B1313" s="252" t="s">
        <v>866</v>
      </c>
      <c r="C1313" s="1162" t="s">
        <v>2477</v>
      </c>
      <c r="D1313" s="252">
        <v>111600</v>
      </c>
      <c r="E1313" s="252" t="s">
        <v>866</v>
      </c>
      <c r="F1313" s="252">
        <v>2544.48</v>
      </c>
    </row>
    <row r="1314" spans="1:6">
      <c r="A1314" s="400">
        <v>2.7900000000000001E-2</v>
      </c>
      <c r="B1314" s="252" t="s">
        <v>866</v>
      </c>
      <c r="C1314" s="1162" t="s">
        <v>2478</v>
      </c>
      <c r="D1314" s="252">
        <v>99400</v>
      </c>
      <c r="E1314" s="252" t="s">
        <v>866</v>
      </c>
      <c r="F1314" s="252">
        <v>2773.26</v>
      </c>
    </row>
    <row r="1315" spans="1:6">
      <c r="A1315" s="400">
        <v>2.3800000000000002E-2</v>
      </c>
      <c r="B1315" s="252" t="s">
        <v>866</v>
      </c>
      <c r="C1315" s="1162" t="s">
        <v>3936</v>
      </c>
      <c r="D1315" s="252">
        <v>107000</v>
      </c>
      <c r="E1315" s="252" t="s">
        <v>866</v>
      </c>
      <c r="F1315" s="252">
        <v>2546.6</v>
      </c>
    </row>
    <row r="1316" spans="1:6">
      <c r="A1316" s="400">
        <v>2.23</v>
      </c>
      <c r="B1316" s="252" t="s">
        <v>606</v>
      </c>
      <c r="C1316" s="1162" t="s">
        <v>880</v>
      </c>
      <c r="D1316" s="252">
        <v>1537</v>
      </c>
      <c r="E1316" s="252" t="s">
        <v>606</v>
      </c>
      <c r="F1316" s="252">
        <v>3427.51</v>
      </c>
    </row>
    <row r="1317" spans="1:6">
      <c r="A1317" s="252">
        <v>2</v>
      </c>
      <c r="B1317" s="252" t="s">
        <v>1865</v>
      </c>
      <c r="C1317" s="1162" t="s">
        <v>3726</v>
      </c>
      <c r="D1317" s="252">
        <v>254.5</v>
      </c>
      <c r="E1317" s="252" t="s">
        <v>1393</v>
      </c>
      <c r="F1317" s="252">
        <v>509</v>
      </c>
    </row>
    <row r="1318" spans="1:6">
      <c r="A1318" s="252">
        <v>6</v>
      </c>
      <c r="B1318" s="252" t="s">
        <v>1865</v>
      </c>
      <c r="C1318" s="1162" t="s">
        <v>3727</v>
      </c>
      <c r="D1318" s="252">
        <v>214.1</v>
      </c>
      <c r="E1318" s="252" t="s">
        <v>1393</v>
      </c>
      <c r="F1318" s="252">
        <v>1284.5999999999999</v>
      </c>
    </row>
    <row r="1319" spans="1:6">
      <c r="A1319" s="252">
        <v>4</v>
      </c>
      <c r="B1319" s="252" t="s">
        <v>1865</v>
      </c>
      <c r="C1319" s="1162" t="s">
        <v>3728</v>
      </c>
      <c r="D1319" s="252">
        <v>408</v>
      </c>
      <c r="E1319" s="252" t="s">
        <v>1393</v>
      </c>
      <c r="F1319" s="252">
        <v>1632</v>
      </c>
    </row>
    <row r="1320" spans="1:6">
      <c r="A1320" s="252">
        <v>1</v>
      </c>
      <c r="B1320" s="252" t="s">
        <v>1865</v>
      </c>
      <c r="C1320" s="1162" t="s">
        <v>3729</v>
      </c>
      <c r="D1320" s="252">
        <v>836</v>
      </c>
      <c r="E1320" s="252" t="s">
        <v>1393</v>
      </c>
      <c r="F1320" s="252">
        <v>836</v>
      </c>
    </row>
    <row r="1321" spans="1:6">
      <c r="A1321" s="252">
        <v>2</v>
      </c>
      <c r="B1321" s="252" t="s">
        <v>1865</v>
      </c>
      <c r="C1321" s="1162" t="s">
        <v>1971</v>
      </c>
      <c r="D1321" s="252">
        <v>7.3</v>
      </c>
      <c r="E1321" s="252" t="s">
        <v>1393</v>
      </c>
      <c r="F1321" s="252">
        <v>14.6</v>
      </c>
    </row>
    <row r="1322" spans="1:6">
      <c r="A1322" s="252">
        <v>2</v>
      </c>
      <c r="B1322" s="252" t="s">
        <v>1865</v>
      </c>
      <c r="C1322" s="1162" t="s">
        <v>1973</v>
      </c>
      <c r="D1322" s="252">
        <v>49.55</v>
      </c>
      <c r="E1322" s="252" t="s">
        <v>1393</v>
      </c>
      <c r="F1322" s="252">
        <v>99.1</v>
      </c>
    </row>
    <row r="1323" spans="1:6">
      <c r="A1323" s="252">
        <v>118</v>
      </c>
      <c r="C1323" s="1162" t="s">
        <v>1137</v>
      </c>
      <c r="D1323" s="252">
        <v>2.41</v>
      </c>
      <c r="F1323" s="252">
        <v>284.38</v>
      </c>
    </row>
    <row r="1324" spans="1:6">
      <c r="F1324" s="252" t="s">
        <v>146</v>
      </c>
    </row>
    <row r="1325" spans="1:6">
      <c r="C1325" s="1162" t="s">
        <v>549</v>
      </c>
      <c r="F1325" s="252">
        <v>15951.53</v>
      </c>
    </row>
    <row r="1326" spans="1:6">
      <c r="F1326" s="252" t="s">
        <v>146</v>
      </c>
    </row>
    <row r="1327" spans="1:6">
      <c r="C1327" s="1162" t="s">
        <v>639</v>
      </c>
      <c r="F1327" s="252">
        <v>7153.15</v>
      </c>
    </row>
    <row r="1328" spans="1:6">
      <c r="F1328" s="252" t="s">
        <v>146</v>
      </c>
    </row>
    <row r="1330" spans="1:6">
      <c r="C1330" s="252"/>
    </row>
    <row r="1331" spans="1:6">
      <c r="A1331" s="252" t="s">
        <v>561</v>
      </c>
      <c r="B1331" s="252" t="s">
        <v>2241</v>
      </c>
      <c r="C1331" s="252" t="s">
        <v>252</v>
      </c>
    </row>
    <row r="1332" spans="1:6">
      <c r="C1332" s="252" t="s">
        <v>253</v>
      </c>
    </row>
    <row r="1333" spans="1:6">
      <c r="C1333" s="252" t="s">
        <v>1463</v>
      </c>
    </row>
    <row r="1334" spans="1:6">
      <c r="C1334" s="252" t="s">
        <v>1579</v>
      </c>
    </row>
    <row r="1335" spans="1:6">
      <c r="C1335" s="252" t="s">
        <v>89</v>
      </c>
    </row>
    <row r="1336" spans="1:6">
      <c r="C1336" s="252" t="s">
        <v>90</v>
      </c>
    </row>
    <row r="1337" spans="1:6">
      <c r="C1337" s="252"/>
      <c r="E1337" s="252" t="s">
        <v>1579</v>
      </c>
    </row>
    <row r="1338" spans="1:6">
      <c r="C1338" s="252" t="s">
        <v>1168</v>
      </c>
      <c r="F1338" s="400"/>
    </row>
    <row r="1339" spans="1:6">
      <c r="C1339" s="252" t="s">
        <v>1997</v>
      </c>
      <c r="F1339" s="400">
        <v>2.4E-2</v>
      </c>
    </row>
    <row r="1340" spans="1:6">
      <c r="C1340" s="252"/>
      <c r="E1340" s="252" t="s">
        <v>971</v>
      </c>
      <c r="F1340" s="400" t="s">
        <v>1579</v>
      </c>
    </row>
    <row r="1341" spans="1:6">
      <c r="C1341" s="252" t="s">
        <v>1998</v>
      </c>
      <c r="E1341" s="252" t="s">
        <v>971</v>
      </c>
      <c r="F1341" s="400">
        <v>1.4999999999999999E-2</v>
      </c>
    </row>
    <row r="1342" spans="1:6">
      <c r="C1342" s="252" t="s">
        <v>1758</v>
      </c>
      <c r="E1342" s="252" t="s">
        <v>971</v>
      </c>
      <c r="F1342" s="400">
        <v>5.0000000000000001E-3</v>
      </c>
    </row>
    <row r="1343" spans="1:6">
      <c r="C1343" s="252"/>
      <c r="F1343" s="400" t="s">
        <v>1579</v>
      </c>
    </row>
    <row r="1344" spans="1:6">
      <c r="C1344" s="252"/>
      <c r="F1344" s="400">
        <v>1.9E-2</v>
      </c>
    </row>
    <row r="1345" spans="1:6">
      <c r="C1345" s="252"/>
      <c r="F1345" s="400" t="s">
        <v>1579</v>
      </c>
    </row>
    <row r="1346" spans="1:6">
      <c r="C1346" s="252"/>
    </row>
    <row r="1347" spans="1:6">
      <c r="C1347" s="252"/>
    </row>
    <row r="1348" spans="1:6">
      <c r="A1348" s="316">
        <v>1.0999999999999999E-2</v>
      </c>
      <c r="B1348" s="252" t="s">
        <v>866</v>
      </c>
      <c r="C1348" s="252" t="s">
        <v>305</v>
      </c>
      <c r="D1348" s="252">
        <v>111600</v>
      </c>
      <c r="E1348" s="252" t="s">
        <v>866</v>
      </c>
      <c r="F1348" s="252">
        <f>D1348*A1348</f>
        <v>1227.5999999999999</v>
      </c>
    </row>
    <row r="1349" spans="1:6">
      <c r="A1349" s="316">
        <v>2.4E-2</v>
      </c>
      <c r="B1349" s="252" t="s">
        <v>866</v>
      </c>
      <c r="C1349" s="252" t="s">
        <v>306</v>
      </c>
      <c r="D1349" s="252">
        <v>99400</v>
      </c>
      <c r="E1349" s="252" t="s">
        <v>866</v>
      </c>
      <c r="F1349" s="252">
        <f t="shared" ref="F1349:F1361" si="0">D1349*A1349</f>
        <v>2385.6</v>
      </c>
    </row>
    <row r="1350" spans="1:6">
      <c r="A1350" s="316">
        <v>1.9E-2</v>
      </c>
      <c r="B1350" s="252" t="s">
        <v>866</v>
      </c>
      <c r="C1350" s="252" t="s">
        <v>307</v>
      </c>
      <c r="D1350" s="252">
        <v>95000</v>
      </c>
      <c r="E1350" s="252" t="s">
        <v>866</v>
      </c>
      <c r="F1350" s="252">
        <f t="shared" si="0"/>
        <v>1805</v>
      </c>
    </row>
    <row r="1351" spans="1:6">
      <c r="C1351" s="252" t="s">
        <v>443</v>
      </c>
      <c r="D1351" s="252" t="s">
        <v>971</v>
      </c>
    </row>
    <row r="1352" spans="1:6">
      <c r="A1352" s="356">
        <v>1.823</v>
      </c>
      <c r="B1352" s="252" t="s">
        <v>606</v>
      </c>
      <c r="C1352" s="252" t="s">
        <v>444</v>
      </c>
      <c r="D1352" s="252">
        <v>1537</v>
      </c>
      <c r="E1352" s="252" t="s">
        <v>606</v>
      </c>
      <c r="F1352" s="252">
        <f t="shared" si="0"/>
        <v>2801.95</v>
      </c>
    </row>
    <row r="1353" spans="1:6">
      <c r="A1353" s="252">
        <v>1</v>
      </c>
      <c r="B1353" s="252" t="s">
        <v>766</v>
      </c>
      <c r="C1353" s="268" t="s">
        <v>5605</v>
      </c>
      <c r="D1353" s="252">
        <v>57.65</v>
      </c>
      <c r="E1353" s="252" t="s">
        <v>865</v>
      </c>
      <c r="F1353" s="252">
        <f t="shared" si="0"/>
        <v>57.65</v>
      </c>
    </row>
    <row r="1354" spans="1:6">
      <c r="A1354" s="252">
        <v>3</v>
      </c>
      <c r="B1354" s="252" t="s">
        <v>865</v>
      </c>
      <c r="C1354" s="274" t="s">
        <v>3727</v>
      </c>
      <c r="D1354" s="252">
        <v>214.1</v>
      </c>
      <c r="E1354" s="252" t="s">
        <v>865</v>
      </c>
      <c r="F1354" s="252">
        <f t="shared" si="0"/>
        <v>642.29999999999995</v>
      </c>
    </row>
    <row r="1355" spans="1:6">
      <c r="A1355" s="252">
        <v>2</v>
      </c>
      <c r="B1355" s="252" t="s">
        <v>865</v>
      </c>
      <c r="C1355" s="274" t="s">
        <v>3728</v>
      </c>
      <c r="D1355" s="252">
        <v>408</v>
      </c>
      <c r="E1355" s="252" t="s">
        <v>865</v>
      </c>
      <c r="F1355" s="252">
        <f t="shared" si="0"/>
        <v>816</v>
      </c>
    </row>
    <row r="1356" spans="1:6">
      <c r="A1356" s="252">
        <v>2</v>
      </c>
      <c r="B1356" s="252" t="s">
        <v>1865</v>
      </c>
      <c r="C1356" s="274" t="s">
        <v>3726</v>
      </c>
      <c r="D1356" s="252">
        <v>254.5</v>
      </c>
      <c r="E1356" s="252" t="s">
        <v>1393</v>
      </c>
      <c r="F1356" s="252">
        <f t="shared" si="0"/>
        <v>509</v>
      </c>
    </row>
    <row r="1357" spans="1:6">
      <c r="A1357" s="252">
        <v>1</v>
      </c>
      <c r="B1357" s="252" t="s">
        <v>1865</v>
      </c>
      <c r="C1357" s="274" t="s">
        <v>3729</v>
      </c>
      <c r="D1357" s="252">
        <v>836</v>
      </c>
      <c r="E1357" s="252" t="s">
        <v>1393</v>
      </c>
      <c r="F1357" s="252">
        <f t="shared" si="0"/>
        <v>836</v>
      </c>
    </row>
    <row r="1358" spans="1:6">
      <c r="A1358" s="252">
        <v>1</v>
      </c>
      <c r="B1358" s="252" t="s">
        <v>865</v>
      </c>
      <c r="C1358" s="252" t="s">
        <v>5608</v>
      </c>
      <c r="D1358" s="252">
        <v>181</v>
      </c>
      <c r="E1358" s="252" t="s">
        <v>865</v>
      </c>
      <c r="F1358" s="252">
        <f t="shared" si="0"/>
        <v>181</v>
      </c>
    </row>
    <row r="1359" spans="1:6">
      <c r="A1359" s="252">
        <v>1</v>
      </c>
      <c r="B1359" s="252" t="s">
        <v>865</v>
      </c>
      <c r="C1359" s="252" t="s">
        <v>1460</v>
      </c>
      <c r="D1359" s="252">
        <v>7.3</v>
      </c>
      <c r="E1359" s="252" t="s">
        <v>865</v>
      </c>
      <c r="F1359" s="252">
        <f t="shared" si="0"/>
        <v>7.3</v>
      </c>
    </row>
    <row r="1360" spans="1:6">
      <c r="A1360" s="252">
        <v>1</v>
      </c>
      <c r="B1360" s="252" t="s">
        <v>865</v>
      </c>
      <c r="C1360" s="252" t="s">
        <v>5609</v>
      </c>
      <c r="D1360" s="252">
        <v>49.55</v>
      </c>
      <c r="E1360" s="252" t="s">
        <v>865</v>
      </c>
      <c r="F1360" s="252">
        <f t="shared" si="0"/>
        <v>49.55</v>
      </c>
    </row>
    <row r="1361" spans="1:6">
      <c r="A1361" s="252">
        <v>64</v>
      </c>
      <c r="B1361" s="252" t="s">
        <v>1026</v>
      </c>
      <c r="C1361" s="252" t="s">
        <v>5449</v>
      </c>
      <c r="D1361" s="252">
        <v>2.41</v>
      </c>
      <c r="E1361" s="252" t="s">
        <v>158</v>
      </c>
      <c r="F1361" s="252">
        <f t="shared" si="0"/>
        <v>154.24</v>
      </c>
    </row>
    <row r="1362" spans="1:6">
      <c r="C1362" s="252" t="s">
        <v>1461</v>
      </c>
      <c r="F1362" s="252">
        <f>SUM(F1347:F1361)</f>
        <v>11473.19</v>
      </c>
    </row>
    <row r="1363" spans="1:6">
      <c r="C1363" s="252"/>
      <c r="F1363" s="252" t="s">
        <v>1579</v>
      </c>
    </row>
    <row r="1364" spans="1:6">
      <c r="C1364" s="252" t="s">
        <v>549</v>
      </c>
      <c r="F1364" s="252">
        <f>F1362/A1352</f>
        <v>6293.58</v>
      </c>
    </row>
    <row r="1365" spans="1:6">
      <c r="A1365" s="252" t="s">
        <v>971</v>
      </c>
      <c r="C1365" s="252"/>
    </row>
    <row r="1366" spans="1:6">
      <c r="C1366" s="252"/>
    </row>
    <row r="1367" spans="1:6" ht="78.75">
      <c r="C1367" s="268" t="s">
        <v>6982</v>
      </c>
    </row>
    <row r="1368" spans="1:6">
      <c r="C1368" s="252"/>
    </row>
    <row r="1369" spans="1:6" ht="31.5">
      <c r="A1369" s="252">
        <v>9.5</v>
      </c>
      <c r="B1369" s="252" t="s">
        <v>1637</v>
      </c>
      <c r="C1369" s="268" t="s">
        <v>6980</v>
      </c>
      <c r="D1369" s="252">
        <v>615</v>
      </c>
      <c r="E1369" s="252" t="s">
        <v>1637</v>
      </c>
      <c r="F1369" s="252">
        <v>5842.5</v>
      </c>
    </row>
    <row r="1370" spans="1:6">
      <c r="A1370" s="252">
        <v>0.5</v>
      </c>
      <c r="B1370" s="252" t="s">
        <v>1637</v>
      </c>
      <c r="C1370" s="252" t="s">
        <v>5543</v>
      </c>
      <c r="D1370" s="252">
        <v>21.3</v>
      </c>
      <c r="F1370" s="252">
        <v>10.65</v>
      </c>
    </row>
    <row r="1371" spans="1:6">
      <c r="C1371" s="252" t="s">
        <v>1814</v>
      </c>
      <c r="F1371" s="252">
        <v>1464</v>
      </c>
    </row>
    <row r="1372" spans="1:6">
      <c r="C1372" s="252" t="s">
        <v>2261</v>
      </c>
      <c r="F1372" s="252">
        <v>3.2</v>
      </c>
    </row>
    <row r="1373" spans="1:6">
      <c r="C1373" s="252" t="s">
        <v>3350</v>
      </c>
      <c r="F1373" s="252">
        <v>7320.35</v>
      </c>
    </row>
    <row r="1374" spans="1:6">
      <c r="C1374" s="252" t="s">
        <v>2739</v>
      </c>
      <c r="F1374" s="252">
        <v>81.34</v>
      </c>
    </row>
    <row r="1375" spans="1:6">
      <c r="C1375" s="252"/>
    </row>
    <row r="1376" spans="1:6">
      <c r="C1376" s="252" t="s">
        <v>2633</v>
      </c>
    </row>
    <row r="1377" spans="1:6">
      <c r="A1377" s="252">
        <v>1</v>
      </c>
      <c r="C1377" s="252" t="s">
        <v>2575</v>
      </c>
      <c r="D1377" s="252">
        <v>820</v>
      </c>
      <c r="E1377" s="252" t="s">
        <v>1389</v>
      </c>
      <c r="F1377" s="252">
        <v>820</v>
      </c>
    </row>
    <row r="1378" spans="1:6">
      <c r="A1378" s="252">
        <v>1</v>
      </c>
      <c r="C1378" s="252" t="s">
        <v>3054</v>
      </c>
      <c r="D1378" s="252">
        <v>644</v>
      </c>
      <c r="E1378" s="252" t="s">
        <v>1389</v>
      </c>
      <c r="F1378" s="252">
        <v>644</v>
      </c>
    </row>
    <row r="1379" spans="1:6">
      <c r="C1379" s="252"/>
      <c r="F1379" s="252">
        <v>1464</v>
      </c>
    </row>
    <row r="1380" spans="1:6">
      <c r="C1380" s="252"/>
    </row>
    <row r="1381" spans="1:6" ht="47.25">
      <c r="C1381" s="268" t="s">
        <v>4643</v>
      </c>
    </row>
    <row r="1382" spans="1:6">
      <c r="A1382" s="252">
        <v>1.5</v>
      </c>
      <c r="B1382" s="252" t="s">
        <v>823</v>
      </c>
      <c r="C1382" s="268" t="s">
        <v>4288</v>
      </c>
      <c r="D1382" s="252">
        <v>128</v>
      </c>
      <c r="E1382" s="252" t="s">
        <v>823</v>
      </c>
      <c r="F1382" s="252">
        <v>192</v>
      </c>
    </row>
    <row r="1383" spans="1:6">
      <c r="A1383" s="252">
        <v>2</v>
      </c>
      <c r="B1383" s="252" t="s">
        <v>1986</v>
      </c>
      <c r="C1383" s="268" t="s">
        <v>2850</v>
      </c>
      <c r="D1383" s="252">
        <v>35</v>
      </c>
      <c r="E1383" s="252" t="s">
        <v>1986</v>
      </c>
      <c r="F1383" s="252">
        <v>70</v>
      </c>
    </row>
    <row r="1384" spans="1:6">
      <c r="A1384" s="252">
        <v>8</v>
      </c>
      <c r="B1384" s="252" t="s">
        <v>823</v>
      </c>
      <c r="C1384" s="268" t="s">
        <v>2852</v>
      </c>
      <c r="D1384" s="252">
        <v>25.75</v>
      </c>
      <c r="E1384" s="252" t="s">
        <v>3280</v>
      </c>
      <c r="F1384" s="252">
        <v>206</v>
      </c>
    </row>
    <row r="1385" spans="1:6" ht="47.25">
      <c r="A1385" s="252">
        <v>1</v>
      </c>
      <c r="B1385" s="252" t="s">
        <v>1389</v>
      </c>
      <c r="C1385" s="268" t="s">
        <v>2853</v>
      </c>
      <c r="D1385" s="252">
        <v>1781.67</v>
      </c>
      <c r="E1385" s="252" t="s">
        <v>1393</v>
      </c>
      <c r="F1385" s="252">
        <v>1781.67</v>
      </c>
    </row>
    <row r="1386" spans="1:6" ht="31.5">
      <c r="C1386" s="268" t="s">
        <v>2480</v>
      </c>
      <c r="D1386" s="252" t="s">
        <v>654</v>
      </c>
      <c r="F1386" s="252">
        <v>16</v>
      </c>
    </row>
    <row r="1387" spans="1:6">
      <c r="C1387" s="252" t="s">
        <v>2362</v>
      </c>
      <c r="F1387" s="252">
        <v>2265.67</v>
      </c>
    </row>
    <row r="1388" spans="1:6">
      <c r="C1388" s="252"/>
    </row>
    <row r="1389" spans="1:6">
      <c r="C1389" s="252" t="s">
        <v>2481</v>
      </c>
    </row>
    <row r="1390" spans="1:6">
      <c r="A1390" s="252">
        <v>1</v>
      </c>
      <c r="B1390" s="252" t="s">
        <v>1389</v>
      </c>
      <c r="C1390" s="252" t="s">
        <v>2695</v>
      </c>
      <c r="D1390" s="252">
        <v>947</v>
      </c>
      <c r="E1390" s="252" t="s">
        <v>1389</v>
      </c>
      <c r="F1390" s="252">
        <v>947</v>
      </c>
    </row>
    <row r="1391" spans="1:6">
      <c r="A1391" s="252">
        <v>1</v>
      </c>
      <c r="B1391" s="252" t="s">
        <v>1389</v>
      </c>
      <c r="C1391" s="252" t="s">
        <v>2744</v>
      </c>
      <c r="D1391" s="252">
        <v>826</v>
      </c>
      <c r="E1391" s="252" t="s">
        <v>1389</v>
      </c>
      <c r="F1391" s="252">
        <v>826</v>
      </c>
    </row>
    <row r="1392" spans="1:6">
      <c r="A1392" s="252">
        <v>2</v>
      </c>
      <c r="B1392" s="252" t="s">
        <v>1389</v>
      </c>
      <c r="C1392" s="252" t="s">
        <v>2575</v>
      </c>
      <c r="D1392" s="252">
        <v>820</v>
      </c>
      <c r="E1392" s="252" t="s">
        <v>1389</v>
      </c>
      <c r="F1392" s="252">
        <v>1640</v>
      </c>
    </row>
    <row r="1393" spans="1:6">
      <c r="A1393" s="252">
        <v>3</v>
      </c>
      <c r="B1393" s="252" t="s">
        <v>1389</v>
      </c>
      <c r="C1393" s="252" t="s">
        <v>2321</v>
      </c>
      <c r="D1393" s="252">
        <v>644</v>
      </c>
      <c r="E1393" s="252" t="s">
        <v>1389</v>
      </c>
      <c r="F1393" s="252">
        <v>1932</v>
      </c>
    </row>
    <row r="1394" spans="1:6">
      <c r="C1394" s="252" t="s">
        <v>2839</v>
      </c>
      <c r="F1394" s="252">
        <v>5345</v>
      </c>
    </row>
    <row r="1395" spans="1:6">
      <c r="C1395" s="252" t="s">
        <v>2770</v>
      </c>
      <c r="F1395" s="252">
        <v>1781.67</v>
      </c>
    </row>
    <row r="1396" spans="1:6">
      <c r="C1396" s="252"/>
    </row>
    <row r="1397" spans="1:6">
      <c r="C1397" s="252" t="s">
        <v>6994</v>
      </c>
    </row>
    <row r="1398" spans="1:6">
      <c r="C1398" s="252"/>
    </row>
    <row r="1399" spans="1:6">
      <c r="A1399" s="252">
        <v>1</v>
      </c>
      <c r="B1399" s="252" t="s">
        <v>1389</v>
      </c>
      <c r="C1399" s="252" t="s">
        <v>6995</v>
      </c>
      <c r="D1399" s="252">
        <v>1243</v>
      </c>
      <c r="E1399" s="252" t="s">
        <v>1389</v>
      </c>
      <c r="F1399" s="252">
        <v>1243</v>
      </c>
    </row>
    <row r="1400" spans="1:6">
      <c r="A1400" s="252">
        <v>1</v>
      </c>
      <c r="B1400" s="252" t="s">
        <v>1389</v>
      </c>
      <c r="C1400" s="252" t="s">
        <v>911</v>
      </c>
      <c r="D1400" s="252">
        <v>2265.67</v>
      </c>
      <c r="E1400" s="252" t="s">
        <v>1389</v>
      </c>
      <c r="F1400" s="252">
        <v>2265.67</v>
      </c>
    </row>
    <row r="1401" spans="1:6">
      <c r="C1401" s="252" t="s">
        <v>2261</v>
      </c>
    </row>
    <row r="1402" spans="1:6">
      <c r="C1402" s="252" t="s">
        <v>1058</v>
      </c>
      <c r="F1402" s="252">
        <v>3508.67</v>
      </c>
    </row>
    <row r="1403" spans="1:6">
      <c r="C1403" s="252"/>
    </row>
    <row r="1404" spans="1:6">
      <c r="C1404" s="252" t="s">
        <v>4880</v>
      </c>
      <c r="E1404" s="252">
        <v>3325</v>
      </c>
      <c r="F1404" s="252" t="s">
        <v>606</v>
      </c>
    </row>
    <row r="1406" spans="1:6">
      <c r="A1406" s="252">
        <v>29.5</v>
      </c>
      <c r="B1406" s="252" t="s">
        <v>2241</v>
      </c>
      <c r="C1406" s="1162" t="s">
        <v>1805</v>
      </c>
    </row>
    <row r="1407" spans="1:6">
      <c r="C1407" s="1162" t="s">
        <v>855</v>
      </c>
    </row>
    <row r="1408" spans="1:6">
      <c r="C1408" s="1162" t="s">
        <v>1927</v>
      </c>
    </row>
    <row r="1409" spans="1:6">
      <c r="C1409" s="1162" t="s">
        <v>1579</v>
      </c>
      <c r="D1409" s="252" t="s">
        <v>1579</v>
      </c>
    </row>
    <row r="1410" spans="1:6">
      <c r="A1410" s="252">
        <v>10</v>
      </c>
      <c r="B1410" s="252" t="s">
        <v>606</v>
      </c>
      <c r="C1410" s="1162" t="s">
        <v>1928</v>
      </c>
      <c r="D1410" s="252">
        <v>377.86</v>
      </c>
      <c r="E1410" s="252" t="s">
        <v>606</v>
      </c>
      <c r="F1410" s="252">
        <v>3778.6</v>
      </c>
    </row>
    <row r="1411" spans="1:6">
      <c r="A1411" s="252">
        <v>0.21</v>
      </c>
      <c r="B1411" s="252" t="s">
        <v>866</v>
      </c>
      <c r="C1411" s="1162" t="s">
        <v>1868</v>
      </c>
      <c r="D1411" s="252">
        <v>4861.3</v>
      </c>
      <c r="E1411" s="252" t="s">
        <v>866</v>
      </c>
      <c r="F1411" s="252">
        <v>1020.87</v>
      </c>
    </row>
    <row r="1412" spans="1:6">
      <c r="C1412" s="1162" t="s">
        <v>1869</v>
      </c>
      <c r="D1412" s="252" t="s">
        <v>971</v>
      </c>
      <c r="F1412" s="252" t="s">
        <v>971</v>
      </c>
    </row>
    <row r="1413" spans="1:6">
      <c r="A1413" s="252">
        <v>1.1000000000000001</v>
      </c>
      <c r="B1413" s="252" t="s">
        <v>766</v>
      </c>
      <c r="C1413" s="1162" t="s">
        <v>2000</v>
      </c>
      <c r="D1413" s="252">
        <v>999</v>
      </c>
      <c r="E1413" s="252" t="s">
        <v>766</v>
      </c>
      <c r="F1413" s="252">
        <v>1098.9000000000001</v>
      </c>
    </row>
    <row r="1414" spans="1:6">
      <c r="A1414" s="252">
        <v>1.1000000000000001</v>
      </c>
      <c r="B1414" s="252" t="s">
        <v>766</v>
      </c>
      <c r="C1414" s="1162" t="s">
        <v>1704</v>
      </c>
      <c r="D1414" s="252">
        <v>932</v>
      </c>
      <c r="E1414" s="252" t="s">
        <v>766</v>
      </c>
      <c r="F1414" s="252">
        <v>1025.2</v>
      </c>
    </row>
    <row r="1415" spans="1:6">
      <c r="A1415" s="252">
        <v>2.2000000000000002</v>
      </c>
      <c r="B1415" s="252" t="s">
        <v>766</v>
      </c>
      <c r="C1415" s="1162" t="s">
        <v>1893</v>
      </c>
      <c r="D1415" s="252">
        <v>651</v>
      </c>
      <c r="E1415" s="252" t="s">
        <v>766</v>
      </c>
      <c r="F1415" s="252">
        <v>1432.2</v>
      </c>
    </row>
    <row r="1416" spans="1:6">
      <c r="A1416" s="252">
        <v>2.2000000000000002</v>
      </c>
      <c r="B1416" s="252" t="s">
        <v>766</v>
      </c>
      <c r="C1416" s="1162" t="s">
        <v>317</v>
      </c>
      <c r="D1416" s="252">
        <v>534</v>
      </c>
      <c r="E1416" s="252" t="s">
        <v>766</v>
      </c>
      <c r="F1416" s="252">
        <v>1174.8</v>
      </c>
    </row>
    <row r="1417" spans="1:6">
      <c r="A1417" s="252">
        <v>20</v>
      </c>
      <c r="B1417" s="252" t="s">
        <v>1637</v>
      </c>
      <c r="C1417" s="1162" t="s">
        <v>859</v>
      </c>
      <c r="D1417" s="252">
        <v>6040</v>
      </c>
      <c r="E1417" s="252" t="s">
        <v>858</v>
      </c>
      <c r="F1417" s="252">
        <v>120.8</v>
      </c>
    </row>
    <row r="1418" spans="1:6">
      <c r="A1418" s="252">
        <v>2</v>
      </c>
      <c r="B1418" s="252" t="s">
        <v>1637</v>
      </c>
      <c r="C1418" s="1162" t="s">
        <v>4214</v>
      </c>
      <c r="D1418" s="252">
        <v>36.1</v>
      </c>
      <c r="E1418" s="252" t="s">
        <v>1637</v>
      </c>
      <c r="F1418" s="252">
        <v>72.2</v>
      </c>
    </row>
    <row r="1419" spans="1:6">
      <c r="A1419" s="252">
        <v>1.6</v>
      </c>
      <c r="B1419" s="252" t="s">
        <v>766</v>
      </c>
      <c r="C1419" s="1162" t="s">
        <v>1704</v>
      </c>
      <c r="D1419" s="252">
        <v>932</v>
      </c>
      <c r="E1419" s="252" t="s">
        <v>766</v>
      </c>
      <c r="F1419" s="252">
        <v>1491.2</v>
      </c>
    </row>
    <row r="1420" spans="1:6">
      <c r="A1420" s="252">
        <v>0.5</v>
      </c>
      <c r="B1420" s="252" t="s">
        <v>766</v>
      </c>
      <c r="C1420" s="1162" t="s">
        <v>1893</v>
      </c>
      <c r="D1420" s="252">
        <v>651</v>
      </c>
      <c r="E1420" s="252" t="s">
        <v>766</v>
      </c>
      <c r="F1420" s="252">
        <v>325.5</v>
      </c>
    </row>
    <row r="1421" spans="1:6">
      <c r="A1421" s="252">
        <v>1.1000000000000001</v>
      </c>
      <c r="B1421" s="252" t="s">
        <v>766</v>
      </c>
      <c r="C1421" s="1162" t="s">
        <v>317</v>
      </c>
      <c r="D1421" s="252">
        <v>534</v>
      </c>
      <c r="E1421" s="252" t="s">
        <v>766</v>
      </c>
      <c r="F1421" s="252">
        <v>587.4</v>
      </c>
    </row>
    <row r="1422" spans="1:6">
      <c r="B1422" s="252" t="s">
        <v>446</v>
      </c>
      <c r="C1422" s="1162" t="s">
        <v>447</v>
      </c>
      <c r="E1422" s="252" t="s">
        <v>446</v>
      </c>
      <c r="F1422" s="252">
        <v>0</v>
      </c>
    </row>
    <row r="1423" spans="1:6">
      <c r="F1423" s="252" t="s">
        <v>1579</v>
      </c>
    </row>
    <row r="1424" spans="1:6">
      <c r="C1424" s="1162" t="s">
        <v>438</v>
      </c>
      <c r="F1424" s="252">
        <v>12127.67</v>
      </c>
    </row>
    <row r="1425" spans="1:6">
      <c r="F1425" s="252" t="s">
        <v>1579</v>
      </c>
    </row>
    <row r="1426" spans="1:6">
      <c r="C1426" s="1162" t="s">
        <v>549</v>
      </c>
      <c r="F1426" s="252">
        <v>1212.77</v>
      </c>
    </row>
    <row r="1427" spans="1:6">
      <c r="F1427" s="252" t="s">
        <v>2046</v>
      </c>
    </row>
    <row r="1428" spans="1:6">
      <c r="A1428" s="252">
        <v>29.4</v>
      </c>
      <c r="B1428" s="252" t="s">
        <v>2241</v>
      </c>
      <c r="C1428" s="1162" t="s">
        <v>1087</v>
      </c>
    </row>
    <row r="1429" spans="1:6">
      <c r="C1429" s="1162" t="s">
        <v>1088</v>
      </c>
    </row>
    <row r="1430" spans="1:6">
      <c r="C1430" s="1162" t="s">
        <v>1579</v>
      </c>
    </row>
    <row r="1431" spans="1:6">
      <c r="A1431" s="252">
        <v>1.86</v>
      </c>
      <c r="B1431" s="252" t="s">
        <v>606</v>
      </c>
      <c r="C1431" s="1162" t="s">
        <v>1089</v>
      </c>
      <c r="D1431" s="252">
        <v>415</v>
      </c>
      <c r="E1431" s="252" t="s">
        <v>606</v>
      </c>
      <c r="F1431" s="252">
        <v>771.9</v>
      </c>
    </row>
    <row r="1432" spans="1:6">
      <c r="A1432" s="252">
        <v>0.4</v>
      </c>
      <c r="B1432" s="252" t="s">
        <v>1637</v>
      </c>
      <c r="C1432" s="1162" t="s">
        <v>2072</v>
      </c>
      <c r="D1432" s="252">
        <v>36.1</v>
      </c>
      <c r="E1432" s="252" t="s">
        <v>1637</v>
      </c>
      <c r="F1432" s="252">
        <v>14.44</v>
      </c>
    </row>
    <row r="1433" spans="1:6">
      <c r="A1433" s="252">
        <v>0.02</v>
      </c>
      <c r="B1433" s="252" t="s">
        <v>866</v>
      </c>
      <c r="C1433" s="1162" t="s">
        <v>414</v>
      </c>
      <c r="D1433" s="252">
        <v>6310.9</v>
      </c>
      <c r="E1433" s="252" t="s">
        <v>866</v>
      </c>
      <c r="F1433" s="252">
        <v>126.22</v>
      </c>
    </row>
    <row r="1434" spans="1:6">
      <c r="A1434" s="252">
        <v>1</v>
      </c>
      <c r="B1434" s="252" t="s">
        <v>766</v>
      </c>
      <c r="C1434" s="1162" t="s">
        <v>2000</v>
      </c>
      <c r="D1434" s="252">
        <v>999</v>
      </c>
      <c r="E1434" s="252" t="s">
        <v>766</v>
      </c>
      <c r="F1434" s="252">
        <v>999</v>
      </c>
    </row>
    <row r="1435" spans="1:6">
      <c r="A1435" s="252">
        <v>1</v>
      </c>
      <c r="B1435" s="252" t="s">
        <v>766</v>
      </c>
      <c r="C1435" s="1162" t="s">
        <v>1680</v>
      </c>
      <c r="D1435" s="252">
        <v>651</v>
      </c>
      <c r="E1435" s="252" t="s">
        <v>766</v>
      </c>
      <c r="F1435" s="252">
        <v>651</v>
      </c>
    </row>
    <row r="1436" spans="1:6">
      <c r="B1436" s="252" t="s">
        <v>446</v>
      </c>
      <c r="C1436" s="1162" t="s">
        <v>447</v>
      </c>
      <c r="E1436" s="252" t="s">
        <v>446</v>
      </c>
    </row>
    <row r="1437" spans="1:6">
      <c r="F1437" s="252" t="s">
        <v>1579</v>
      </c>
    </row>
    <row r="1438" spans="1:6">
      <c r="C1438" s="1162" t="s">
        <v>1681</v>
      </c>
      <c r="F1438" s="252">
        <v>2562.56</v>
      </c>
    </row>
    <row r="1439" spans="1:6">
      <c r="F1439" s="252" t="s">
        <v>1579</v>
      </c>
    </row>
    <row r="1440" spans="1:6">
      <c r="C1440" s="1162" t="s">
        <v>549</v>
      </c>
      <c r="F1440" s="252">
        <v>1377.72</v>
      </c>
    </row>
    <row r="1441" spans="1:6">
      <c r="F1441" s="252" t="s">
        <v>2046</v>
      </c>
    </row>
    <row r="1442" spans="1:6">
      <c r="C1442" s="1162" t="s">
        <v>2017</v>
      </c>
    </row>
    <row r="1444" spans="1:6">
      <c r="A1444" s="252" t="s">
        <v>2018</v>
      </c>
      <c r="C1444" s="1162" t="s">
        <v>2019</v>
      </c>
    </row>
    <row r="1445" spans="1:6">
      <c r="C1445" s="1162" t="s">
        <v>349</v>
      </c>
    </row>
    <row r="1447" spans="1:6">
      <c r="A1447" s="252">
        <v>1.96</v>
      </c>
      <c r="B1447" s="252" t="s">
        <v>2142</v>
      </c>
      <c r="C1447" s="1162" t="s">
        <v>350</v>
      </c>
      <c r="D1447" s="252">
        <v>6057.95</v>
      </c>
      <c r="E1447" s="252" t="s">
        <v>866</v>
      </c>
      <c r="F1447" s="252">
        <v>11873.58</v>
      </c>
    </row>
    <row r="1448" spans="1:6">
      <c r="A1448" s="252">
        <v>2</v>
      </c>
      <c r="B1448" s="252" t="s">
        <v>1389</v>
      </c>
      <c r="C1448" s="1162" t="s">
        <v>351</v>
      </c>
      <c r="D1448" s="252">
        <v>999</v>
      </c>
      <c r="E1448" s="252" t="s">
        <v>865</v>
      </c>
      <c r="F1448" s="252">
        <v>1998</v>
      </c>
    </row>
    <row r="1449" spans="1:6">
      <c r="A1449" s="252">
        <v>2</v>
      </c>
      <c r="B1449" s="252" t="s">
        <v>1389</v>
      </c>
      <c r="C1449" s="1162" t="s">
        <v>352</v>
      </c>
      <c r="D1449" s="252">
        <v>534</v>
      </c>
      <c r="E1449" s="252" t="s">
        <v>865</v>
      </c>
      <c r="F1449" s="252">
        <v>1068</v>
      </c>
    </row>
    <row r="1450" spans="1:6">
      <c r="A1450" s="252">
        <v>0.28000000000000003</v>
      </c>
      <c r="B1450" s="252" t="s">
        <v>2273</v>
      </c>
      <c r="C1450" s="1162" t="s">
        <v>353</v>
      </c>
      <c r="D1450" s="252">
        <v>848.08</v>
      </c>
      <c r="E1450" s="252" t="s">
        <v>865</v>
      </c>
      <c r="F1450" s="252">
        <v>237.46</v>
      </c>
    </row>
    <row r="1451" spans="1:6">
      <c r="A1451" s="252">
        <v>500</v>
      </c>
      <c r="B1451" s="252" t="s">
        <v>1389</v>
      </c>
      <c r="C1451" s="1162" t="s">
        <v>2137</v>
      </c>
      <c r="D1451" s="252">
        <v>2</v>
      </c>
      <c r="E1451" s="252" t="s">
        <v>865</v>
      </c>
      <c r="F1451" s="252">
        <v>1000</v>
      </c>
    </row>
    <row r="1452" spans="1:6">
      <c r="A1452" s="252">
        <v>8.5</v>
      </c>
      <c r="B1452" s="252" t="s">
        <v>2138</v>
      </c>
      <c r="C1452" s="1162" t="s">
        <v>4217</v>
      </c>
      <c r="D1452" s="252">
        <v>43.6</v>
      </c>
      <c r="E1452" s="252" t="s">
        <v>2138</v>
      </c>
      <c r="F1452" s="252">
        <v>370.6</v>
      </c>
    </row>
    <row r="1453" spans="1:6">
      <c r="C1453" s="1162" t="s">
        <v>2261</v>
      </c>
      <c r="F1453" s="252">
        <v>1.96</v>
      </c>
    </row>
    <row r="1454" spans="1:6">
      <c r="D1454" s="252" t="s">
        <v>1721</v>
      </c>
      <c r="F1454" s="252">
        <v>16549.599999999999</v>
      </c>
    </row>
    <row r="1455" spans="1:6">
      <c r="F1455" s="252" t="s">
        <v>1579</v>
      </c>
    </row>
    <row r="1456" spans="1:6">
      <c r="D1456" s="252" t="s">
        <v>1722</v>
      </c>
      <c r="F1456" s="252">
        <v>422.18</v>
      </c>
    </row>
    <row r="1457" spans="1:6">
      <c r="F1457" s="252" t="s">
        <v>2046</v>
      </c>
    </row>
    <row r="1458" spans="1:6">
      <c r="A1458" s="252">
        <v>52</v>
      </c>
      <c r="B1458" s="1162" t="s">
        <v>2241</v>
      </c>
      <c r="C1458" s="252" t="s">
        <v>99</v>
      </c>
    </row>
    <row r="1459" spans="1:6">
      <c r="B1459" s="1162"/>
      <c r="C1459" s="252" t="s">
        <v>2159</v>
      </c>
    </row>
    <row r="1460" spans="1:6">
      <c r="B1460" s="1162"/>
      <c r="C1460" s="252" t="s">
        <v>2160</v>
      </c>
    </row>
    <row r="1461" spans="1:6">
      <c r="B1461" s="1162"/>
      <c r="C1461" s="252" t="s">
        <v>1401</v>
      </c>
    </row>
    <row r="1462" spans="1:6">
      <c r="B1462" s="1162"/>
      <c r="C1462" s="252" t="s">
        <v>1402</v>
      </c>
    </row>
    <row r="1463" spans="1:6">
      <c r="B1463" s="1162"/>
      <c r="C1463" s="252" t="s">
        <v>720</v>
      </c>
    </row>
    <row r="1464" spans="1:6">
      <c r="B1464" s="1162"/>
      <c r="C1464" s="252" t="s">
        <v>1347</v>
      </c>
    </row>
    <row r="1465" spans="1:6">
      <c r="B1465" s="1162"/>
      <c r="C1465" s="252" t="s">
        <v>707</v>
      </c>
    </row>
    <row r="1466" spans="1:6">
      <c r="B1466" s="1162"/>
      <c r="C1466" s="252" t="s">
        <v>2046</v>
      </c>
      <c r="D1466" s="252" t="s">
        <v>2046</v>
      </c>
    </row>
    <row r="1467" spans="1:6">
      <c r="B1467" s="1162" t="s">
        <v>2241</v>
      </c>
      <c r="C1467" s="252" t="s">
        <v>914</v>
      </c>
    </row>
    <row r="1468" spans="1:6">
      <c r="B1468" s="1162"/>
      <c r="C1468" s="252" t="s">
        <v>803</v>
      </c>
    </row>
    <row r="1469" spans="1:6">
      <c r="B1469" s="1162" t="s">
        <v>313</v>
      </c>
      <c r="C1469" s="252" t="s">
        <v>804</v>
      </c>
    </row>
    <row r="1470" spans="1:6">
      <c r="B1470" s="1162"/>
      <c r="C1470" s="252" t="s">
        <v>1579</v>
      </c>
    </row>
    <row r="1471" spans="1:6">
      <c r="A1471" s="252">
        <v>1</v>
      </c>
      <c r="B1471" s="1162" t="s">
        <v>823</v>
      </c>
      <c r="C1471" s="252" t="s">
        <v>615</v>
      </c>
      <c r="D1471" s="252">
        <v>26</v>
      </c>
      <c r="E1471" s="252" t="s">
        <v>823</v>
      </c>
      <c r="F1471" s="252">
        <v>26</v>
      </c>
    </row>
    <row r="1472" spans="1:6">
      <c r="A1472" s="252">
        <v>1</v>
      </c>
      <c r="B1472" s="1162" t="s">
        <v>446</v>
      </c>
      <c r="C1472" s="252" t="s">
        <v>1793</v>
      </c>
      <c r="D1472" s="252">
        <v>18.2</v>
      </c>
      <c r="E1472" s="252" t="s">
        <v>446</v>
      </c>
      <c r="F1472" s="252">
        <v>18.2</v>
      </c>
    </row>
    <row r="1473" spans="1:7">
      <c r="A1473" s="252">
        <v>1</v>
      </c>
      <c r="B1473" s="1162" t="s">
        <v>823</v>
      </c>
      <c r="C1473" s="252" t="s">
        <v>161</v>
      </c>
      <c r="D1473" s="252">
        <v>187.41</v>
      </c>
      <c r="E1473" s="252" t="s">
        <v>823</v>
      </c>
      <c r="F1473" s="252">
        <v>187.41</v>
      </c>
    </row>
    <row r="1474" spans="1:7">
      <c r="B1474" s="1162"/>
      <c r="C1474" s="252"/>
      <c r="D1474" s="252" t="s">
        <v>971</v>
      </c>
    </row>
    <row r="1475" spans="1:7">
      <c r="B1475" s="1162"/>
      <c r="C1475" s="252" t="s">
        <v>374</v>
      </c>
      <c r="F1475" s="252">
        <v>231.61</v>
      </c>
    </row>
    <row r="1476" spans="1:7">
      <c r="D1476" s="252" t="s">
        <v>971</v>
      </c>
      <c r="E1476" s="252" t="s">
        <v>971</v>
      </c>
      <c r="G1476" s="252" t="s">
        <v>2046</v>
      </c>
    </row>
    <row r="1477" spans="1:7">
      <c r="B1477" s="252" t="s">
        <v>2241</v>
      </c>
      <c r="C1477" s="1162" t="s">
        <v>2209</v>
      </c>
    </row>
    <row r="1478" spans="1:7">
      <c r="C1478" s="1162" t="s">
        <v>7039</v>
      </c>
    </row>
    <row r="1479" spans="1:7">
      <c r="C1479" s="1162" t="s">
        <v>1138</v>
      </c>
    </row>
    <row r="1480" spans="1:7">
      <c r="C1480" s="1162" t="s">
        <v>1139</v>
      </c>
    </row>
    <row r="1481" spans="1:7">
      <c r="C1481" s="1162" t="s">
        <v>1579</v>
      </c>
    </row>
    <row r="1482" spans="1:7">
      <c r="A1482" s="252">
        <v>1</v>
      </c>
      <c r="B1482" s="252" t="s">
        <v>865</v>
      </c>
      <c r="C1482" s="1162" t="s">
        <v>4584</v>
      </c>
      <c r="D1482" s="252">
        <v>1672</v>
      </c>
      <c r="E1482" s="252" t="s">
        <v>865</v>
      </c>
      <c r="F1482" s="252">
        <v>1672</v>
      </c>
    </row>
    <row r="1485" spans="1:7">
      <c r="A1485" s="252">
        <v>1</v>
      </c>
      <c r="B1485" s="252" t="s">
        <v>865</v>
      </c>
      <c r="C1485" s="1162" t="s">
        <v>2123</v>
      </c>
      <c r="D1485" s="252">
        <v>-169</v>
      </c>
      <c r="E1485" s="252" t="s">
        <v>865</v>
      </c>
      <c r="F1485" s="252">
        <v>-169</v>
      </c>
    </row>
    <row r="1487" spans="1:7">
      <c r="A1487" s="252">
        <v>1</v>
      </c>
      <c r="B1487" s="252" t="s">
        <v>865</v>
      </c>
      <c r="C1487" s="1162" t="s">
        <v>2124</v>
      </c>
      <c r="D1487" s="252">
        <v>250</v>
      </c>
      <c r="E1487" s="252" t="s">
        <v>865</v>
      </c>
      <c r="F1487" s="252">
        <v>250</v>
      </c>
    </row>
    <row r="1489" spans="1:6">
      <c r="A1489" s="252">
        <v>0.5</v>
      </c>
      <c r="B1489" s="252" t="s">
        <v>865</v>
      </c>
      <c r="C1489" s="1162" t="s">
        <v>2094</v>
      </c>
      <c r="D1489" s="252">
        <v>866</v>
      </c>
      <c r="E1489" s="252" t="s">
        <v>865</v>
      </c>
      <c r="F1489" s="252">
        <v>433</v>
      </c>
    </row>
    <row r="1490" spans="1:6">
      <c r="A1490" s="252">
        <v>1</v>
      </c>
      <c r="B1490" s="252" t="s">
        <v>865</v>
      </c>
      <c r="C1490" s="1162" t="s">
        <v>1893</v>
      </c>
      <c r="D1490" s="252">
        <v>651</v>
      </c>
      <c r="E1490" s="252" t="s">
        <v>865</v>
      </c>
      <c r="F1490" s="252">
        <v>651</v>
      </c>
    </row>
    <row r="1491" spans="1:6">
      <c r="A1491" s="252">
        <v>0.5</v>
      </c>
      <c r="B1491" s="252" t="s">
        <v>865</v>
      </c>
      <c r="C1491" s="1162" t="s">
        <v>2000</v>
      </c>
      <c r="D1491" s="252">
        <v>999</v>
      </c>
      <c r="E1491" s="252" t="s">
        <v>865</v>
      </c>
      <c r="F1491" s="252">
        <v>499.5</v>
      </c>
    </row>
    <row r="1492" spans="1:6">
      <c r="B1492" s="252" t="s">
        <v>446</v>
      </c>
      <c r="C1492" s="1162" t="s">
        <v>1140</v>
      </c>
      <c r="E1492" s="252" t="s">
        <v>446</v>
      </c>
      <c r="F1492" s="252">
        <v>0.82</v>
      </c>
    </row>
    <row r="1493" spans="1:6">
      <c r="F1493" s="252" t="s">
        <v>1579</v>
      </c>
    </row>
    <row r="1494" spans="1:6">
      <c r="C1494" s="1162" t="s">
        <v>1743</v>
      </c>
      <c r="F1494" s="252">
        <v>3337.32</v>
      </c>
    </row>
    <row r="1495" spans="1:6">
      <c r="F1495" s="252" t="s">
        <v>1579</v>
      </c>
    </row>
    <row r="1496" spans="1:6">
      <c r="A1496" s="252" t="s">
        <v>711</v>
      </c>
      <c r="B1496" s="252" t="s">
        <v>2241</v>
      </c>
      <c r="C1496" s="1162" t="s">
        <v>805</v>
      </c>
    </row>
    <row r="1497" spans="1:6">
      <c r="C1497" s="1162" t="s">
        <v>160</v>
      </c>
    </row>
    <row r="1498" spans="1:6">
      <c r="C1498" s="1162" t="s">
        <v>1579</v>
      </c>
    </row>
    <row r="1499" spans="1:6">
      <c r="B1499" s="252" t="s">
        <v>686</v>
      </c>
      <c r="C1499" s="1162" t="s">
        <v>40</v>
      </c>
    </row>
    <row r="1500" spans="1:6">
      <c r="C1500" s="1162" t="s">
        <v>7040</v>
      </c>
    </row>
    <row r="1501" spans="1:6">
      <c r="C1501" s="1162" t="s">
        <v>942</v>
      </c>
    </row>
    <row r="1502" spans="1:6">
      <c r="C1502" s="1162" t="s">
        <v>943</v>
      </c>
    </row>
    <row r="1503" spans="1:6">
      <c r="C1503" s="1162" t="s">
        <v>2095</v>
      </c>
    </row>
    <row r="1504" spans="1:6">
      <c r="C1504" s="1162" t="s">
        <v>2096</v>
      </c>
    </row>
    <row r="1505" spans="1:6">
      <c r="C1505" s="1162" t="s">
        <v>198</v>
      </c>
    </row>
    <row r="1506" spans="1:6">
      <c r="C1506" s="1162" t="s">
        <v>1579</v>
      </c>
    </row>
    <row r="1507" spans="1:6">
      <c r="A1507" s="252">
        <v>3</v>
      </c>
      <c r="B1507" s="252" t="s">
        <v>1763</v>
      </c>
      <c r="C1507" s="1162" t="s">
        <v>2097</v>
      </c>
      <c r="D1507" s="252">
        <v>193.05</v>
      </c>
      <c r="E1507" s="252" t="s">
        <v>1763</v>
      </c>
      <c r="F1507" s="252">
        <v>579.15</v>
      </c>
    </row>
    <row r="1508" spans="1:6">
      <c r="A1508" s="252">
        <v>1</v>
      </c>
      <c r="B1508" s="252" t="s">
        <v>766</v>
      </c>
      <c r="C1508" s="1162" t="s">
        <v>667</v>
      </c>
      <c r="D1508" s="252">
        <v>76</v>
      </c>
      <c r="E1508" s="252" t="s">
        <v>1708</v>
      </c>
      <c r="F1508" s="252">
        <v>76</v>
      </c>
    </row>
    <row r="1509" spans="1:6">
      <c r="A1509" s="252">
        <v>1</v>
      </c>
      <c r="B1509" s="252" t="s">
        <v>766</v>
      </c>
      <c r="C1509" s="1162" t="s">
        <v>668</v>
      </c>
      <c r="D1509" s="252">
        <v>82.3</v>
      </c>
      <c r="E1509" s="252" t="s">
        <v>1708</v>
      </c>
      <c r="F1509" s="252">
        <v>82.3</v>
      </c>
    </row>
    <row r="1510" spans="1:6">
      <c r="A1510" s="252">
        <v>1</v>
      </c>
      <c r="B1510" s="252" t="s">
        <v>766</v>
      </c>
      <c r="C1510" s="1162" t="s">
        <v>4115</v>
      </c>
      <c r="D1510" s="252">
        <v>187.8</v>
      </c>
      <c r="E1510" s="252" t="s">
        <v>1708</v>
      </c>
      <c r="F1510" s="252">
        <v>187.8</v>
      </c>
    </row>
    <row r="1511" spans="1:6">
      <c r="A1511" s="252">
        <v>0.5</v>
      </c>
      <c r="B1511" s="252" t="s">
        <v>865</v>
      </c>
      <c r="C1511" s="1162" t="s">
        <v>2094</v>
      </c>
      <c r="D1511" s="252">
        <v>866</v>
      </c>
      <c r="E1511" s="252" t="s">
        <v>1708</v>
      </c>
      <c r="F1511" s="252">
        <v>433</v>
      </c>
    </row>
    <row r="1512" spans="1:6">
      <c r="A1512" s="252">
        <v>0.5</v>
      </c>
      <c r="B1512" s="252" t="s">
        <v>865</v>
      </c>
      <c r="C1512" s="1162" t="s">
        <v>1704</v>
      </c>
      <c r="D1512" s="252">
        <v>932</v>
      </c>
      <c r="E1512" s="252" t="s">
        <v>1708</v>
      </c>
      <c r="F1512" s="252">
        <v>466</v>
      </c>
    </row>
    <row r="1513" spans="1:6">
      <c r="A1513" s="252">
        <v>0.5</v>
      </c>
      <c r="B1513" s="252" t="s">
        <v>865</v>
      </c>
      <c r="C1513" s="1162" t="s">
        <v>1893</v>
      </c>
      <c r="D1513" s="252">
        <v>651</v>
      </c>
      <c r="E1513" s="252" t="s">
        <v>1708</v>
      </c>
      <c r="F1513" s="252">
        <v>325.5</v>
      </c>
    </row>
    <row r="1514" spans="1:6">
      <c r="B1514" s="252" t="s">
        <v>446</v>
      </c>
      <c r="C1514" s="1162" t="s">
        <v>1516</v>
      </c>
      <c r="D1514" s="252">
        <v>2.79</v>
      </c>
      <c r="E1514" s="252" t="s">
        <v>446</v>
      </c>
      <c r="F1514" s="252">
        <v>2.79</v>
      </c>
    </row>
    <row r="1515" spans="1:6">
      <c r="C1515" s="1162" t="s">
        <v>83</v>
      </c>
    </row>
    <row r="1516" spans="1:6">
      <c r="C1516" s="1162" t="s">
        <v>190</v>
      </c>
    </row>
    <row r="1517" spans="1:6">
      <c r="C1517" s="1162" t="s">
        <v>731</v>
      </c>
      <c r="E1517" s="252" t="s">
        <v>446</v>
      </c>
      <c r="F1517" s="252">
        <v>0.12</v>
      </c>
    </row>
    <row r="1518" spans="1:6">
      <c r="F1518" s="252" t="s">
        <v>1579</v>
      </c>
    </row>
    <row r="1519" spans="1:6">
      <c r="C1519" s="1162" t="s">
        <v>1312</v>
      </c>
      <c r="F1519" s="252">
        <v>2152.66</v>
      </c>
    </row>
    <row r="1520" spans="1:6">
      <c r="F1520" s="252" t="s">
        <v>1579</v>
      </c>
    </row>
    <row r="1521" spans="1:6">
      <c r="C1521" s="1162" t="s">
        <v>1538</v>
      </c>
      <c r="F1521" s="252">
        <v>717.55</v>
      </c>
    </row>
    <row r="1522" spans="1:6">
      <c r="F1522" s="252" t="s">
        <v>1579</v>
      </c>
    </row>
    <row r="1523" spans="1:6">
      <c r="A1523" s="252" t="s">
        <v>732</v>
      </c>
      <c r="B1523" s="252" t="s">
        <v>281</v>
      </c>
      <c r="C1523" s="1162" t="s">
        <v>733</v>
      </c>
    </row>
    <row r="1524" spans="1:6">
      <c r="C1524" s="1162" t="s">
        <v>7041</v>
      </c>
    </row>
    <row r="1525" spans="1:6">
      <c r="C1525" s="1162" t="s">
        <v>942</v>
      </c>
    </row>
    <row r="1526" spans="1:6">
      <c r="C1526" s="1162" t="s">
        <v>734</v>
      </c>
    </row>
    <row r="1527" spans="1:6">
      <c r="C1527" s="1162" t="s">
        <v>538</v>
      </c>
    </row>
    <row r="1528" spans="1:6">
      <c r="C1528" s="1162" t="s">
        <v>2096</v>
      </c>
    </row>
    <row r="1529" spans="1:6">
      <c r="C1529" s="1162" t="s">
        <v>198</v>
      </c>
    </row>
    <row r="1530" spans="1:6">
      <c r="C1530" s="1162" t="s">
        <v>1579</v>
      </c>
    </row>
    <row r="1531" spans="1:6">
      <c r="A1531" s="252">
        <v>3</v>
      </c>
      <c r="B1531" s="252" t="s">
        <v>1763</v>
      </c>
      <c r="C1531" s="1162" t="s">
        <v>999</v>
      </c>
      <c r="D1531" s="252">
        <v>115.85</v>
      </c>
      <c r="E1531" s="252" t="s">
        <v>1763</v>
      </c>
      <c r="F1531" s="252">
        <v>347.55</v>
      </c>
    </row>
    <row r="1532" spans="1:6">
      <c r="A1532" s="252">
        <v>1</v>
      </c>
      <c r="B1532" s="252" t="s">
        <v>766</v>
      </c>
      <c r="C1532" s="1162" t="s">
        <v>1000</v>
      </c>
      <c r="D1532" s="252">
        <v>45</v>
      </c>
      <c r="E1532" s="252" t="s">
        <v>1708</v>
      </c>
      <c r="F1532" s="252">
        <v>45</v>
      </c>
    </row>
    <row r="1533" spans="1:6">
      <c r="A1533" s="252">
        <v>1</v>
      </c>
      <c r="B1533" s="252" t="s">
        <v>766</v>
      </c>
      <c r="C1533" s="1162" t="s">
        <v>1001</v>
      </c>
      <c r="D1533" s="252">
        <v>55.5</v>
      </c>
      <c r="E1533" s="252" t="s">
        <v>1708</v>
      </c>
      <c r="F1533" s="252">
        <v>55.5</v>
      </c>
    </row>
    <row r="1534" spans="1:6">
      <c r="A1534" s="252">
        <v>1</v>
      </c>
      <c r="B1534" s="252" t="s">
        <v>766</v>
      </c>
      <c r="C1534" s="1162" t="s">
        <v>84</v>
      </c>
      <c r="D1534" s="252">
        <v>125.2</v>
      </c>
      <c r="E1534" s="252" t="s">
        <v>1708</v>
      </c>
      <c r="F1534" s="252">
        <v>125.2</v>
      </c>
    </row>
    <row r="1535" spans="1:6">
      <c r="A1535" s="252">
        <v>0.5</v>
      </c>
      <c r="B1535" s="252" t="s">
        <v>865</v>
      </c>
      <c r="C1535" s="1162" t="s">
        <v>2094</v>
      </c>
      <c r="D1535" s="252">
        <v>866</v>
      </c>
      <c r="E1535" s="252" t="s">
        <v>1708</v>
      </c>
      <c r="F1535" s="252">
        <v>433</v>
      </c>
    </row>
    <row r="1536" spans="1:6">
      <c r="A1536" s="252">
        <v>0.5</v>
      </c>
      <c r="B1536" s="252" t="s">
        <v>865</v>
      </c>
      <c r="C1536" s="1162" t="s">
        <v>1704</v>
      </c>
      <c r="D1536" s="252">
        <v>932</v>
      </c>
      <c r="E1536" s="252" t="s">
        <v>1708</v>
      </c>
      <c r="F1536" s="252">
        <v>466</v>
      </c>
    </row>
    <row r="1537" spans="1:6">
      <c r="A1537" s="252">
        <v>0.5</v>
      </c>
      <c r="B1537" s="252" t="s">
        <v>865</v>
      </c>
      <c r="C1537" s="1162" t="s">
        <v>1893</v>
      </c>
      <c r="D1537" s="252">
        <v>651</v>
      </c>
      <c r="E1537" s="252" t="s">
        <v>1708</v>
      </c>
      <c r="F1537" s="252">
        <v>325.5</v>
      </c>
    </row>
    <row r="1538" spans="1:6">
      <c r="B1538" s="252" t="s">
        <v>446</v>
      </c>
      <c r="C1538" s="1162" t="s">
        <v>1516</v>
      </c>
      <c r="D1538" s="252" t="s">
        <v>971</v>
      </c>
      <c r="E1538" s="252" t="s">
        <v>446</v>
      </c>
      <c r="F1538" s="252">
        <v>2.73</v>
      </c>
    </row>
    <row r="1539" spans="1:6">
      <c r="C1539" s="1162" t="s">
        <v>83</v>
      </c>
    </row>
    <row r="1540" spans="1:6">
      <c r="C1540" s="1162" t="s">
        <v>190</v>
      </c>
    </row>
    <row r="1541" spans="1:6">
      <c r="C1541" s="1162" t="s">
        <v>731</v>
      </c>
      <c r="E1541" s="252" t="s">
        <v>446</v>
      </c>
      <c r="F1541" s="252">
        <v>0.27</v>
      </c>
    </row>
    <row r="1542" spans="1:6">
      <c r="F1542" s="252" t="s">
        <v>1579</v>
      </c>
    </row>
    <row r="1543" spans="1:6">
      <c r="C1543" s="1162" t="s">
        <v>1312</v>
      </c>
      <c r="F1543" s="252">
        <v>1800.75</v>
      </c>
    </row>
    <row r="1544" spans="1:6">
      <c r="F1544" s="252" t="s">
        <v>1579</v>
      </c>
    </row>
    <row r="1545" spans="1:6">
      <c r="C1545" s="1162" t="s">
        <v>1538</v>
      </c>
      <c r="F1545" s="252">
        <v>600.25</v>
      </c>
    </row>
    <row r="1546" spans="1:6">
      <c r="F1546" s="252" t="s">
        <v>1579</v>
      </c>
    </row>
    <row r="1547" spans="1:6">
      <c r="A1547" s="252" t="s">
        <v>85</v>
      </c>
      <c r="C1547" s="1162" t="s">
        <v>205</v>
      </c>
    </row>
    <row r="1548" spans="1:6">
      <c r="C1548" s="1162" t="s">
        <v>1811</v>
      </c>
    </row>
    <row r="1549" spans="1:6">
      <c r="A1549" s="252" t="s">
        <v>971</v>
      </c>
      <c r="C1549" s="1162" t="s">
        <v>2185</v>
      </c>
    </row>
    <row r="1550" spans="1:6">
      <c r="C1550" s="1162" t="s">
        <v>1579</v>
      </c>
    </row>
    <row r="1551" spans="1:6">
      <c r="A1551" s="252">
        <v>3</v>
      </c>
      <c r="B1551" s="252" t="s">
        <v>2186</v>
      </c>
      <c r="C1551" s="1162" t="s">
        <v>2187</v>
      </c>
      <c r="D1551" s="252">
        <v>120.54</v>
      </c>
      <c r="E1551" s="252" t="s">
        <v>2186</v>
      </c>
      <c r="F1551" s="252">
        <v>361.62</v>
      </c>
    </row>
    <row r="1552" spans="1:6">
      <c r="A1552" s="252">
        <v>1</v>
      </c>
      <c r="B1552" s="252" t="s">
        <v>1752</v>
      </c>
      <c r="C1552" s="1162" t="s">
        <v>2188</v>
      </c>
      <c r="D1552" s="252">
        <v>82.3</v>
      </c>
      <c r="E1552" s="252" t="s">
        <v>1752</v>
      </c>
      <c r="F1552" s="252">
        <v>82.3</v>
      </c>
    </row>
    <row r="1553" spans="1:6">
      <c r="A1553" s="252">
        <v>1</v>
      </c>
      <c r="B1553" s="252" t="s">
        <v>1752</v>
      </c>
      <c r="C1553" s="1162" t="s">
        <v>2189</v>
      </c>
      <c r="D1553" s="252">
        <v>8</v>
      </c>
      <c r="E1553" s="252" t="s">
        <v>1752</v>
      </c>
      <c r="F1553" s="252">
        <v>8</v>
      </c>
    </row>
    <row r="1554" spans="1:6">
      <c r="A1554" s="252" t="s">
        <v>730</v>
      </c>
      <c r="C1554" s="1162" t="s">
        <v>2190</v>
      </c>
      <c r="D1554" s="252" t="s">
        <v>730</v>
      </c>
      <c r="F1554" s="252">
        <v>2.08</v>
      </c>
    </row>
    <row r="1555" spans="1:6">
      <c r="F1555" s="252" t="s">
        <v>1579</v>
      </c>
    </row>
    <row r="1556" spans="1:6">
      <c r="C1556" s="1162" t="s">
        <v>393</v>
      </c>
      <c r="F1556" s="252">
        <v>454</v>
      </c>
    </row>
    <row r="1557" spans="1:6">
      <c r="F1557" s="252" t="s">
        <v>1579</v>
      </c>
    </row>
    <row r="1559" spans="1:6">
      <c r="A1559" s="252" t="s">
        <v>394</v>
      </c>
      <c r="B1559" s="252" t="s">
        <v>2241</v>
      </c>
      <c r="C1559" s="1162" t="s">
        <v>1129</v>
      </c>
    </row>
    <row r="1560" spans="1:6">
      <c r="C1560" s="1162" t="s">
        <v>291</v>
      </c>
    </row>
    <row r="1561" spans="1:6">
      <c r="C1561" s="1162" t="s">
        <v>1579</v>
      </c>
    </row>
    <row r="1562" spans="1:6">
      <c r="A1562" s="252">
        <v>1</v>
      </c>
      <c r="B1562" s="252" t="s">
        <v>865</v>
      </c>
      <c r="C1562" s="1162" t="s">
        <v>291</v>
      </c>
      <c r="D1562" s="252">
        <v>170.35</v>
      </c>
      <c r="E1562" s="252" t="s">
        <v>865</v>
      </c>
      <c r="F1562" s="252">
        <v>170.35</v>
      </c>
    </row>
    <row r="1563" spans="1:6">
      <c r="A1563" s="252">
        <v>0.05</v>
      </c>
      <c r="B1563" s="252" t="s">
        <v>866</v>
      </c>
      <c r="C1563" s="1162" t="s">
        <v>1171</v>
      </c>
      <c r="D1563" s="252">
        <v>4094.04</v>
      </c>
      <c r="E1563" s="252" t="s">
        <v>866</v>
      </c>
      <c r="F1563" s="252">
        <v>204.7</v>
      </c>
    </row>
    <row r="1564" spans="1:6">
      <c r="A1564" s="252">
        <v>0.5</v>
      </c>
      <c r="B1564" s="252" t="s">
        <v>865</v>
      </c>
      <c r="C1564" s="1162" t="s">
        <v>2094</v>
      </c>
      <c r="D1564" s="252">
        <v>866</v>
      </c>
      <c r="E1564" s="252" t="s">
        <v>865</v>
      </c>
      <c r="F1564" s="252">
        <v>433</v>
      </c>
    </row>
    <row r="1565" spans="1:6">
      <c r="A1565" s="252">
        <v>1</v>
      </c>
      <c r="B1565" s="252" t="s">
        <v>865</v>
      </c>
      <c r="C1565" s="1162" t="s">
        <v>1893</v>
      </c>
      <c r="D1565" s="252">
        <v>651</v>
      </c>
      <c r="E1565" s="252" t="s">
        <v>865</v>
      </c>
      <c r="F1565" s="252">
        <v>651</v>
      </c>
    </row>
    <row r="1566" spans="1:6">
      <c r="A1566" s="252">
        <v>1</v>
      </c>
      <c r="B1566" s="252" t="s">
        <v>865</v>
      </c>
      <c r="C1566" s="1162" t="s">
        <v>317</v>
      </c>
      <c r="D1566" s="252">
        <v>534</v>
      </c>
      <c r="E1566" s="252" t="s">
        <v>865</v>
      </c>
      <c r="F1566" s="252">
        <v>534</v>
      </c>
    </row>
    <row r="1567" spans="1:6">
      <c r="B1567" s="252" t="s">
        <v>446</v>
      </c>
      <c r="C1567" s="1162" t="s">
        <v>447</v>
      </c>
      <c r="D1567" s="252" t="s">
        <v>971</v>
      </c>
      <c r="E1567" s="252" t="s">
        <v>446</v>
      </c>
      <c r="F1567" s="252">
        <v>0.54</v>
      </c>
    </row>
    <row r="1568" spans="1:6">
      <c r="C1568" s="1162" t="s">
        <v>971</v>
      </c>
      <c r="F1568" s="252" t="s">
        <v>1579</v>
      </c>
    </row>
    <row r="1569" spans="1:6">
      <c r="C1569" s="1162" t="s">
        <v>1743</v>
      </c>
      <c r="F1569" s="252">
        <v>1993.59</v>
      </c>
    </row>
    <row r="1570" spans="1:6">
      <c r="F1570" s="252" t="s">
        <v>2046</v>
      </c>
    </row>
    <row r="1571" spans="1:6">
      <c r="A1571" s="252" t="s">
        <v>1172</v>
      </c>
      <c r="B1571" s="252" t="s">
        <v>2241</v>
      </c>
      <c r="C1571" s="1162" t="s">
        <v>2215</v>
      </c>
    </row>
    <row r="1572" spans="1:6">
      <c r="C1572" s="1162" t="s">
        <v>2111</v>
      </c>
    </row>
    <row r="1573" spans="1:6">
      <c r="C1573" s="1162" t="s">
        <v>1579</v>
      </c>
    </row>
    <row r="1574" spans="1:6">
      <c r="A1574" s="252">
        <v>1</v>
      </c>
      <c r="B1574" s="252" t="s">
        <v>865</v>
      </c>
      <c r="C1574" s="1162" t="s">
        <v>2216</v>
      </c>
      <c r="D1574" s="252">
        <v>156</v>
      </c>
      <c r="E1574" s="252" t="s">
        <v>865</v>
      </c>
      <c r="F1574" s="252">
        <v>156</v>
      </c>
    </row>
    <row r="1575" spans="1:6">
      <c r="B1575" s="252" t="s">
        <v>446</v>
      </c>
      <c r="C1575" s="1162" t="s">
        <v>1678</v>
      </c>
      <c r="E1575" s="252" t="s">
        <v>446</v>
      </c>
      <c r="F1575" s="252">
        <v>4</v>
      </c>
    </row>
    <row r="1576" spans="1:6">
      <c r="E1576" s="252" t="s">
        <v>971</v>
      </c>
      <c r="F1576" s="252" t="s">
        <v>1579</v>
      </c>
    </row>
    <row r="1577" spans="1:6">
      <c r="C1577" s="1162" t="s">
        <v>1743</v>
      </c>
      <c r="F1577" s="252">
        <v>160</v>
      </c>
    </row>
    <row r="1578" spans="1:6">
      <c r="F1578" s="252" t="s">
        <v>1579</v>
      </c>
    </row>
    <row r="1579" spans="1:6">
      <c r="C1579" s="1162" t="s">
        <v>1620</v>
      </c>
    </row>
    <row r="1580" spans="1:6">
      <c r="C1580" s="1162" t="s">
        <v>1324</v>
      </c>
    </row>
    <row r="1582" spans="1:6">
      <c r="A1582" s="252">
        <v>2</v>
      </c>
      <c r="B1582" s="252" t="s">
        <v>823</v>
      </c>
      <c r="C1582" s="1162" t="s">
        <v>4917</v>
      </c>
      <c r="D1582" s="252">
        <v>96.6</v>
      </c>
      <c r="E1582" s="252" t="s">
        <v>823</v>
      </c>
      <c r="F1582" s="252">
        <v>193.2</v>
      </c>
    </row>
    <row r="1583" spans="1:6">
      <c r="A1583" s="252">
        <v>1</v>
      </c>
      <c r="B1583" s="252" t="s">
        <v>557</v>
      </c>
      <c r="C1583" s="1162" t="s">
        <v>1325</v>
      </c>
      <c r="D1583" s="252">
        <v>34.299999999999997</v>
      </c>
      <c r="E1583" s="252" t="s">
        <v>1393</v>
      </c>
      <c r="F1583" s="252">
        <v>34.299999999999997</v>
      </c>
    </row>
    <row r="1584" spans="1:6">
      <c r="C1584" s="1162" t="s">
        <v>1341</v>
      </c>
      <c r="E1584" s="252" t="s">
        <v>446</v>
      </c>
      <c r="F1584" s="252">
        <v>1.4</v>
      </c>
    </row>
    <row r="1585" spans="1:6">
      <c r="C1585" s="1162" t="s">
        <v>1342</v>
      </c>
      <c r="F1585" s="252">
        <v>228.9</v>
      </c>
    </row>
    <row r="1587" spans="1:6">
      <c r="C1587" s="1162" t="s">
        <v>1701</v>
      </c>
      <c r="F1587" s="252">
        <v>114.45</v>
      </c>
    </row>
    <row r="1589" spans="1:6">
      <c r="C1589" s="1162" t="s">
        <v>2847</v>
      </c>
    </row>
    <row r="1591" spans="1:6">
      <c r="C1591" s="1162" t="s">
        <v>4999</v>
      </c>
      <c r="D1591" s="252">
        <v>1265</v>
      </c>
      <c r="E1591" s="252" t="s">
        <v>1389</v>
      </c>
      <c r="F1591" s="252">
        <v>1265</v>
      </c>
    </row>
    <row r="1592" spans="1:6">
      <c r="C1592" s="1162" t="s">
        <v>2452</v>
      </c>
      <c r="D1592" s="252">
        <v>337.6</v>
      </c>
      <c r="E1592" s="252" t="s">
        <v>1389</v>
      </c>
      <c r="F1592" s="252">
        <v>337.6</v>
      </c>
    </row>
    <row r="1593" spans="1:6">
      <c r="C1593" s="1162" t="s">
        <v>7042</v>
      </c>
      <c r="F1593" s="252">
        <v>31.6</v>
      </c>
    </row>
    <row r="1594" spans="1:6">
      <c r="C1594" s="1162" t="s">
        <v>2842</v>
      </c>
      <c r="F1594" s="252">
        <v>13.7</v>
      </c>
    </row>
    <row r="1595" spans="1:6">
      <c r="C1595" s="1162" t="s">
        <v>2843</v>
      </c>
      <c r="F1595" s="252">
        <v>528.5</v>
      </c>
    </row>
    <row r="1596" spans="1:6">
      <c r="C1596" s="1162" t="s">
        <v>2844</v>
      </c>
      <c r="F1596" s="252">
        <v>2176.4</v>
      </c>
    </row>
    <row r="1598" spans="1:6">
      <c r="C1598" s="1162" t="s">
        <v>2848</v>
      </c>
    </row>
    <row r="1599" spans="1:6">
      <c r="A1599" s="252">
        <v>1</v>
      </c>
      <c r="B1599" s="252" t="s">
        <v>1389</v>
      </c>
      <c r="C1599" s="1162" t="s">
        <v>5000</v>
      </c>
      <c r="D1599" s="252">
        <v>1553</v>
      </c>
      <c r="E1599" s="252" t="s">
        <v>1389</v>
      </c>
      <c r="F1599" s="252">
        <v>1553</v>
      </c>
    </row>
    <row r="1600" spans="1:6">
      <c r="A1600" s="252">
        <v>1</v>
      </c>
      <c r="B1600" s="252" t="s">
        <v>1389</v>
      </c>
      <c r="C1600" s="1162" t="s">
        <v>5001</v>
      </c>
      <c r="D1600" s="252">
        <v>185.9</v>
      </c>
      <c r="E1600" s="252" t="s">
        <v>1389</v>
      </c>
      <c r="F1600" s="252">
        <v>185.9</v>
      </c>
    </row>
    <row r="1601" spans="1:6">
      <c r="C1601" s="1162" t="s">
        <v>2844</v>
      </c>
      <c r="F1601" s="252">
        <v>1739.7</v>
      </c>
    </row>
    <row r="1603" spans="1:6" ht="126">
      <c r="C1603" s="268" t="s">
        <v>3162</v>
      </c>
    </row>
    <row r="1604" spans="1:6">
      <c r="A1604" s="252">
        <v>180</v>
      </c>
      <c r="B1604" s="252" t="s">
        <v>823</v>
      </c>
      <c r="C1604" s="1162" t="s">
        <v>4959</v>
      </c>
      <c r="D1604" s="252">
        <v>40.950000000000003</v>
      </c>
      <c r="E1604" s="252" t="s">
        <v>2529</v>
      </c>
      <c r="F1604" s="252">
        <v>7371</v>
      </c>
    </row>
    <row r="1605" spans="1:6">
      <c r="A1605" s="252">
        <v>90</v>
      </c>
      <c r="B1605" s="252" t="s">
        <v>823</v>
      </c>
      <c r="C1605" s="1162" t="s">
        <v>2354</v>
      </c>
      <c r="D1605" s="252">
        <v>20</v>
      </c>
      <c r="E1605" s="252" t="s">
        <v>823</v>
      </c>
      <c r="F1605" s="252">
        <v>1800</v>
      </c>
    </row>
    <row r="1606" spans="1:6">
      <c r="A1606" s="252">
        <v>3</v>
      </c>
      <c r="B1606" s="252" t="s">
        <v>2622</v>
      </c>
      <c r="C1606" s="1162" t="s">
        <v>387</v>
      </c>
      <c r="D1606" s="252">
        <v>302</v>
      </c>
      <c r="E1606" s="252" t="s">
        <v>2622</v>
      </c>
      <c r="F1606" s="252">
        <v>906</v>
      </c>
    </row>
    <row r="1607" spans="1:6">
      <c r="A1607" s="252">
        <v>90</v>
      </c>
      <c r="B1607" s="252" t="s">
        <v>823</v>
      </c>
      <c r="C1607" s="1162" t="s">
        <v>3882</v>
      </c>
      <c r="D1607" s="252">
        <v>25.75</v>
      </c>
      <c r="E1607" s="252" t="s">
        <v>2529</v>
      </c>
      <c r="F1607" s="252">
        <v>2317.5</v>
      </c>
    </row>
    <row r="1608" spans="1:6">
      <c r="C1608" s="1162" t="s">
        <v>911</v>
      </c>
      <c r="F1608" s="252">
        <v>12075</v>
      </c>
    </row>
    <row r="1609" spans="1:6">
      <c r="C1609" s="1162" t="s">
        <v>2261</v>
      </c>
      <c r="F1609" s="252">
        <v>91.5</v>
      </c>
    </row>
    <row r="1610" spans="1:6">
      <c r="C1610" s="1162" t="s">
        <v>2383</v>
      </c>
      <c r="F1610" s="252">
        <v>24561</v>
      </c>
    </row>
    <row r="1611" spans="1:6">
      <c r="C1611" s="1162" t="s">
        <v>2384</v>
      </c>
      <c r="F1611" s="252">
        <v>272.89999999999998</v>
      </c>
    </row>
    <row r="1614" spans="1:6">
      <c r="C1614" s="1162" t="s">
        <v>3164</v>
      </c>
    </row>
    <row r="1615" spans="1:6">
      <c r="C1615" s="1162" t="s">
        <v>2326</v>
      </c>
    </row>
    <row r="1617" spans="1:6" ht="126">
      <c r="C1617" s="268" t="s">
        <v>2335</v>
      </c>
    </row>
    <row r="1618" spans="1:6">
      <c r="A1618" s="252">
        <v>360</v>
      </c>
      <c r="C1618" s="1162" t="s">
        <v>4594</v>
      </c>
      <c r="D1618" s="252">
        <v>40.950000000000003</v>
      </c>
      <c r="E1618" s="252" t="s">
        <v>2529</v>
      </c>
      <c r="F1618" s="252">
        <v>14742</v>
      </c>
    </row>
    <row r="1619" spans="1:6">
      <c r="A1619" s="252">
        <v>90</v>
      </c>
      <c r="C1619" s="1162" t="s">
        <v>4960</v>
      </c>
      <c r="D1619" s="252">
        <v>29.8</v>
      </c>
      <c r="E1619" s="252" t="s">
        <v>823</v>
      </c>
      <c r="F1619" s="252">
        <v>2682</v>
      </c>
    </row>
    <row r="1620" spans="1:6">
      <c r="A1620" s="252">
        <v>3</v>
      </c>
      <c r="C1620" s="1162" t="s">
        <v>387</v>
      </c>
      <c r="D1620" s="252">
        <v>302</v>
      </c>
      <c r="E1620" s="252" t="s">
        <v>2622</v>
      </c>
      <c r="F1620" s="252">
        <v>906</v>
      </c>
    </row>
    <row r="1621" spans="1:6">
      <c r="A1621" s="252">
        <v>90</v>
      </c>
      <c r="C1621" s="1162" t="s">
        <v>4267</v>
      </c>
      <c r="D1621" s="252">
        <v>25.75</v>
      </c>
      <c r="E1621" s="252" t="s">
        <v>2529</v>
      </c>
      <c r="F1621" s="252">
        <v>2317.5</v>
      </c>
    </row>
    <row r="1622" spans="1:6">
      <c r="C1622" s="1162" t="s">
        <v>911</v>
      </c>
      <c r="F1622" s="252">
        <v>15892.5</v>
      </c>
    </row>
    <row r="1623" spans="1:6">
      <c r="C1623" s="1162" t="s">
        <v>2261</v>
      </c>
      <c r="F1623" s="252">
        <v>97.5</v>
      </c>
    </row>
    <row r="1624" spans="1:6">
      <c r="C1624" s="1162" t="s">
        <v>2383</v>
      </c>
      <c r="F1624" s="252">
        <v>36637.5</v>
      </c>
    </row>
    <row r="1625" spans="1:6">
      <c r="C1625" s="1162" t="s">
        <v>2384</v>
      </c>
      <c r="F1625" s="252">
        <v>407.08</v>
      </c>
    </row>
    <row r="1627" spans="1:6">
      <c r="C1627" s="1162" t="s">
        <v>2337</v>
      </c>
    </row>
    <row r="1628" spans="1:6">
      <c r="C1628" s="1162" t="s">
        <v>4962</v>
      </c>
      <c r="D1628" s="252">
        <v>15892.5</v>
      </c>
    </row>
    <row r="1629" spans="1:6">
      <c r="C1629" s="1162">
        <v>15892.5</v>
      </c>
    </row>
    <row r="1632" spans="1:6">
      <c r="C1632" s="1162" t="s">
        <v>2338</v>
      </c>
    </row>
    <row r="1633" spans="1:6">
      <c r="C1633" s="1162" t="s">
        <v>2339</v>
      </c>
    </row>
    <row r="1635" spans="1:6">
      <c r="C1635" s="1162" t="s">
        <v>4623</v>
      </c>
    </row>
    <row r="1637" spans="1:6" ht="63">
      <c r="C1637" s="268" t="s">
        <v>2341</v>
      </c>
    </row>
    <row r="1638" spans="1:6">
      <c r="A1638" s="252">
        <v>1</v>
      </c>
      <c r="B1638" s="252" t="s">
        <v>1389</v>
      </c>
      <c r="C1638" s="1162" t="s">
        <v>4965</v>
      </c>
      <c r="D1638" s="252">
        <v>277.60000000000002</v>
      </c>
      <c r="E1638" s="252" t="s">
        <v>1389</v>
      </c>
      <c r="F1638" s="252">
        <v>277.60000000000002</v>
      </c>
    </row>
    <row r="1639" spans="1:6">
      <c r="C1639" s="1162" t="s">
        <v>2261</v>
      </c>
      <c r="F1639" s="252">
        <v>13.47</v>
      </c>
    </row>
    <row r="1640" spans="1:6">
      <c r="C1640" s="1162" t="s">
        <v>911</v>
      </c>
      <c r="F1640" s="252">
        <v>238.13</v>
      </c>
    </row>
    <row r="1641" spans="1:6">
      <c r="C1641" s="1162" t="s">
        <v>2342</v>
      </c>
      <c r="F1641" s="252">
        <v>529.20000000000005</v>
      </c>
    </row>
    <row r="1644" spans="1:6">
      <c r="C1644" s="1162" t="s">
        <v>2343</v>
      </c>
    </row>
    <row r="1645" spans="1:6">
      <c r="A1645" s="252">
        <v>2</v>
      </c>
      <c r="B1645" s="252" t="s">
        <v>1389</v>
      </c>
      <c r="C1645" s="1162" t="s">
        <v>2575</v>
      </c>
      <c r="D1645" s="252">
        <v>820</v>
      </c>
      <c r="E1645" s="252" t="s">
        <v>1389</v>
      </c>
      <c r="F1645" s="252">
        <v>1640</v>
      </c>
    </row>
    <row r="1646" spans="1:6">
      <c r="A1646" s="252">
        <v>3</v>
      </c>
      <c r="B1646" s="252" t="s">
        <v>1389</v>
      </c>
      <c r="C1646" s="1162" t="s">
        <v>2576</v>
      </c>
      <c r="D1646" s="252">
        <v>644</v>
      </c>
      <c r="E1646" s="252" t="s">
        <v>1389</v>
      </c>
      <c r="F1646" s="252">
        <v>1932</v>
      </c>
    </row>
    <row r="1647" spans="1:6">
      <c r="C1647" s="1162" t="s">
        <v>3417</v>
      </c>
      <c r="F1647" s="252">
        <v>3572</v>
      </c>
    </row>
    <row r="1648" spans="1:6">
      <c r="C1648" s="1162" t="s">
        <v>2770</v>
      </c>
      <c r="F1648" s="252">
        <v>238.13</v>
      </c>
    </row>
    <row r="1651" spans="1:6" ht="126">
      <c r="C1651" s="268" t="s">
        <v>2382</v>
      </c>
    </row>
    <row r="1653" spans="1:6">
      <c r="A1653" s="252">
        <v>180</v>
      </c>
      <c r="B1653" s="252" t="s">
        <v>823</v>
      </c>
      <c r="C1653" s="1162" t="s">
        <v>2528</v>
      </c>
      <c r="D1653" s="252">
        <v>16.55</v>
      </c>
      <c r="E1653" s="252" t="s">
        <v>823</v>
      </c>
      <c r="F1653" s="252">
        <v>2979</v>
      </c>
    </row>
    <row r="1654" spans="1:6">
      <c r="A1654" s="252">
        <v>90</v>
      </c>
      <c r="B1654" s="252" t="s">
        <v>823</v>
      </c>
      <c r="C1654" s="1162" t="s">
        <v>2354</v>
      </c>
      <c r="D1654" s="252">
        <v>20</v>
      </c>
      <c r="E1654" s="252" t="s">
        <v>823</v>
      </c>
      <c r="F1654" s="252">
        <v>1800</v>
      </c>
    </row>
    <row r="1655" spans="1:6">
      <c r="A1655" s="252">
        <v>3</v>
      </c>
      <c r="B1655" s="252" t="s">
        <v>2622</v>
      </c>
      <c r="C1655" s="1162" t="s">
        <v>387</v>
      </c>
      <c r="D1655" s="252">
        <v>302</v>
      </c>
      <c r="E1655" s="252" t="s">
        <v>2622</v>
      </c>
      <c r="F1655" s="252">
        <v>906</v>
      </c>
    </row>
    <row r="1656" spans="1:6">
      <c r="A1656" s="252">
        <v>90</v>
      </c>
      <c r="B1656" s="252" t="s">
        <v>823</v>
      </c>
      <c r="C1656" s="1162" t="s">
        <v>2628</v>
      </c>
      <c r="D1656" s="252">
        <v>16.55</v>
      </c>
      <c r="E1656" s="252" t="s">
        <v>2529</v>
      </c>
      <c r="F1656" s="252">
        <v>1489.5</v>
      </c>
    </row>
    <row r="1657" spans="1:6">
      <c r="C1657" s="1162" t="s">
        <v>911</v>
      </c>
      <c r="F1657" s="252">
        <v>12075</v>
      </c>
    </row>
    <row r="1658" spans="1:6">
      <c r="F1658" s="252">
        <v>19249.5</v>
      </c>
    </row>
    <row r="1659" spans="1:6">
      <c r="C1659" s="1162" t="s">
        <v>2261</v>
      </c>
      <c r="F1659" s="252">
        <v>91.5</v>
      </c>
    </row>
    <row r="1660" spans="1:6">
      <c r="C1660" s="1162" t="s">
        <v>2383</v>
      </c>
      <c r="F1660" s="252">
        <v>19341</v>
      </c>
    </row>
    <row r="1661" spans="1:6">
      <c r="C1661" s="1162" t="s">
        <v>2384</v>
      </c>
      <c r="F1661" s="252">
        <v>214.9</v>
      </c>
    </row>
    <row r="1663" spans="1:6">
      <c r="C1663" s="1162" t="s">
        <v>2385</v>
      </c>
    </row>
    <row r="1664" spans="1:6">
      <c r="C1664" s="1162" t="s">
        <v>2386</v>
      </c>
    </row>
    <row r="1666" spans="1:6" ht="126">
      <c r="C1666" s="268" t="s">
        <v>2984</v>
      </c>
    </row>
    <row r="1668" spans="1:6">
      <c r="C1668" s="1162" t="s">
        <v>2985</v>
      </c>
      <c r="F1668" s="252">
        <v>19249.5</v>
      </c>
    </row>
    <row r="1669" spans="1:6">
      <c r="A1669" s="252">
        <v>180</v>
      </c>
      <c r="B1669" s="252" t="s">
        <v>823</v>
      </c>
      <c r="C1669" s="1162" t="s">
        <v>4958</v>
      </c>
      <c r="D1669" s="252">
        <v>25.75</v>
      </c>
      <c r="E1669" s="252" t="s">
        <v>823</v>
      </c>
      <c r="F1669" s="252">
        <v>4635</v>
      </c>
    </row>
    <row r="1670" spans="1:6">
      <c r="A1670" s="252">
        <v>180</v>
      </c>
      <c r="B1670" s="252" t="s">
        <v>823</v>
      </c>
      <c r="C1670" s="1162" t="s">
        <v>2933</v>
      </c>
      <c r="D1670" s="252">
        <v>16.55</v>
      </c>
      <c r="E1670" s="252" t="s">
        <v>2529</v>
      </c>
      <c r="F1670" s="252">
        <v>2979</v>
      </c>
    </row>
    <row r="1671" spans="1:6">
      <c r="C1671" s="1162" t="s">
        <v>2261</v>
      </c>
      <c r="F1671" s="252">
        <v>55.5</v>
      </c>
    </row>
    <row r="1672" spans="1:6">
      <c r="C1672" s="1162" t="s">
        <v>2934</v>
      </c>
      <c r="F1672" s="252">
        <v>20961</v>
      </c>
    </row>
    <row r="1673" spans="1:6">
      <c r="C1673" s="1162" t="s">
        <v>2384</v>
      </c>
      <c r="F1673" s="252">
        <v>232.9</v>
      </c>
    </row>
    <row r="1675" spans="1:6" ht="47.25">
      <c r="C1675" s="268" t="s">
        <v>3359</v>
      </c>
    </row>
    <row r="1677" spans="1:6" ht="141.75">
      <c r="C1677" s="268" t="s">
        <v>2890</v>
      </c>
    </row>
    <row r="1679" spans="1:6">
      <c r="A1679" s="252">
        <v>360</v>
      </c>
      <c r="B1679" s="252" t="s">
        <v>823</v>
      </c>
      <c r="C1679" s="1162" t="s">
        <v>3886</v>
      </c>
      <c r="D1679" s="252">
        <v>40.950000000000003</v>
      </c>
      <c r="E1679" s="252" t="s">
        <v>823</v>
      </c>
      <c r="F1679" s="252">
        <v>14742</v>
      </c>
    </row>
    <row r="1680" spans="1:6">
      <c r="A1680" s="252">
        <v>4</v>
      </c>
      <c r="B1680" s="252" t="s">
        <v>1637</v>
      </c>
      <c r="C1680" s="1162" t="s">
        <v>3314</v>
      </c>
      <c r="D1680" s="252">
        <v>101.5</v>
      </c>
      <c r="E1680" s="252" t="s">
        <v>1637</v>
      </c>
      <c r="F1680" s="252">
        <v>406</v>
      </c>
    </row>
    <row r="1681" spans="1:6">
      <c r="A1681" s="252">
        <v>360</v>
      </c>
      <c r="B1681" s="252" t="s">
        <v>1393</v>
      </c>
      <c r="C1681" s="1162" t="s">
        <v>2691</v>
      </c>
      <c r="D1681" s="252">
        <v>0.55000000000000004</v>
      </c>
      <c r="E1681" s="252" t="s">
        <v>1393</v>
      </c>
      <c r="F1681" s="252">
        <v>198</v>
      </c>
    </row>
    <row r="1682" spans="1:6">
      <c r="A1682" s="252">
        <v>1.5</v>
      </c>
      <c r="B1682" s="252" t="s">
        <v>1637</v>
      </c>
      <c r="C1682" s="1162" t="s">
        <v>2692</v>
      </c>
      <c r="D1682" s="252">
        <v>101.5</v>
      </c>
      <c r="E1682" s="252" t="s">
        <v>1637</v>
      </c>
      <c r="F1682" s="252">
        <v>152.25</v>
      </c>
    </row>
    <row r="1683" spans="1:6">
      <c r="C1683" s="1162" t="s">
        <v>4630</v>
      </c>
      <c r="F1683" s="252">
        <v>9256.5</v>
      </c>
    </row>
    <row r="1684" spans="1:6">
      <c r="C1684" s="1162" t="s">
        <v>2693</v>
      </c>
      <c r="F1684" s="252">
        <v>22.25</v>
      </c>
    </row>
    <row r="1685" spans="1:6">
      <c r="C1685" s="1162" t="s">
        <v>2694</v>
      </c>
      <c r="F1685" s="252">
        <v>24777</v>
      </c>
    </row>
    <row r="1686" spans="1:6">
      <c r="C1686" s="1162" t="s">
        <v>2384</v>
      </c>
      <c r="F1686" s="252">
        <v>275.3</v>
      </c>
    </row>
    <row r="1688" spans="1:6">
      <c r="C1688" s="1162" t="s">
        <v>1162</v>
      </c>
    </row>
    <row r="1689" spans="1:6">
      <c r="A1689" s="252">
        <v>0.47</v>
      </c>
      <c r="B1689" s="252" t="s">
        <v>2142</v>
      </c>
      <c r="C1689" s="1162" t="s">
        <v>354</v>
      </c>
      <c r="D1689" s="252">
        <v>224.1</v>
      </c>
      <c r="E1689" s="252" t="s">
        <v>1393</v>
      </c>
      <c r="F1689" s="252">
        <v>105.33</v>
      </c>
    </row>
    <row r="1690" spans="1:6">
      <c r="A1690" s="252">
        <v>2</v>
      </c>
      <c r="F1690" s="252">
        <v>0</v>
      </c>
    </row>
    <row r="1691" spans="1:6">
      <c r="A1691" s="252">
        <v>0.24</v>
      </c>
      <c r="B1691" s="252" t="s">
        <v>2142</v>
      </c>
      <c r="C1691" s="1162" t="s">
        <v>1163</v>
      </c>
      <c r="D1691" s="252">
        <v>1577.9</v>
      </c>
      <c r="E1691" s="252" t="s">
        <v>1393</v>
      </c>
      <c r="F1691" s="252">
        <v>378.7</v>
      </c>
    </row>
    <row r="1692" spans="1:6">
      <c r="A1692" s="252">
        <v>0.79</v>
      </c>
      <c r="B1692" s="252" t="s">
        <v>2273</v>
      </c>
      <c r="C1692" s="1162" t="s">
        <v>4907</v>
      </c>
      <c r="D1692" s="252">
        <v>1659.25</v>
      </c>
      <c r="E1692" s="252" t="s">
        <v>446</v>
      </c>
      <c r="F1692" s="252">
        <v>1310.81</v>
      </c>
    </row>
    <row r="1693" spans="1:6">
      <c r="A1693" s="252">
        <v>0.24</v>
      </c>
      <c r="B1693" s="252" t="s">
        <v>2142</v>
      </c>
      <c r="C1693" s="1162" t="s">
        <v>908</v>
      </c>
      <c r="D1693" s="252">
        <v>1846.1</v>
      </c>
      <c r="F1693" s="252">
        <v>443.06</v>
      </c>
    </row>
    <row r="1694" spans="1:6">
      <c r="C1694" s="1162" t="s">
        <v>2261</v>
      </c>
      <c r="F1694" s="252" t="s">
        <v>1304</v>
      </c>
    </row>
    <row r="1695" spans="1:6">
      <c r="F1695" s="252">
        <v>2237.9</v>
      </c>
    </row>
    <row r="1696" spans="1:6">
      <c r="F1696" s="252" t="s">
        <v>3999</v>
      </c>
    </row>
    <row r="1697" spans="1:6">
      <c r="F1697" s="252">
        <v>0</v>
      </c>
    </row>
    <row r="1698" spans="1:6">
      <c r="C1698" s="1162" t="s">
        <v>1305</v>
      </c>
    </row>
    <row r="1699" spans="1:6">
      <c r="A1699" s="252">
        <v>1</v>
      </c>
      <c r="B1699" s="252" t="s">
        <v>2142</v>
      </c>
      <c r="C1699" s="1162" t="s">
        <v>911</v>
      </c>
      <c r="D1699" s="252">
        <v>398.52</v>
      </c>
      <c r="E1699" s="252" t="s">
        <v>1393</v>
      </c>
      <c r="F1699" s="252">
        <v>398.52</v>
      </c>
    </row>
    <row r="1700" spans="1:6">
      <c r="A1700" s="252">
        <v>7.0999999999999994E-2</v>
      </c>
      <c r="B1700" s="252" t="s">
        <v>2142</v>
      </c>
      <c r="C1700" s="1162" t="s">
        <v>1163</v>
      </c>
      <c r="D1700" s="252">
        <v>1577.9</v>
      </c>
      <c r="E1700" s="252" t="s">
        <v>1393</v>
      </c>
      <c r="F1700" s="252">
        <v>112.03</v>
      </c>
    </row>
    <row r="1701" spans="1:6">
      <c r="F1701" s="252" t="s">
        <v>1304</v>
      </c>
    </row>
    <row r="1702" spans="1:6">
      <c r="F1702" s="252">
        <v>510.55</v>
      </c>
    </row>
    <row r="1703" spans="1:6">
      <c r="F1703" s="252" t="s">
        <v>1304</v>
      </c>
    </row>
    <row r="1704" spans="1:6">
      <c r="A1704" s="252">
        <v>0.25</v>
      </c>
      <c r="B1704" s="252" t="s">
        <v>1389</v>
      </c>
      <c r="C1704" s="1162" t="s">
        <v>1306</v>
      </c>
      <c r="D1704" s="252">
        <v>932</v>
      </c>
      <c r="F1704" s="252">
        <v>233</v>
      </c>
    </row>
    <row r="1705" spans="1:6">
      <c r="A1705" s="252">
        <v>1</v>
      </c>
      <c r="B1705" s="252" t="s">
        <v>1389</v>
      </c>
      <c r="C1705" s="1162" t="s">
        <v>1307</v>
      </c>
      <c r="D1705" s="252">
        <v>651</v>
      </c>
      <c r="F1705" s="252">
        <v>651</v>
      </c>
    </row>
    <row r="1706" spans="1:6">
      <c r="A1706" s="252">
        <v>1</v>
      </c>
      <c r="B1706" s="252" t="s">
        <v>1389</v>
      </c>
      <c r="C1706" s="1162" t="s">
        <v>1308</v>
      </c>
      <c r="D1706" s="252" t="s">
        <v>654</v>
      </c>
      <c r="F1706" s="252">
        <v>88.4</v>
      </c>
    </row>
    <row r="1707" spans="1:6">
      <c r="F1707" s="252" t="s">
        <v>1304</v>
      </c>
    </row>
    <row r="1708" spans="1:6">
      <c r="F1708" s="252">
        <v>972.4</v>
      </c>
    </row>
    <row r="1709" spans="1:6">
      <c r="F1709" s="252" t="s">
        <v>1304</v>
      </c>
    </row>
    <row r="1710" spans="1:6">
      <c r="F1710" s="252">
        <v>398.52</v>
      </c>
    </row>
    <row r="1712" spans="1:6">
      <c r="C1712" s="252" t="s">
        <v>5468</v>
      </c>
      <c r="D1712" s="252">
        <v>398.3</v>
      </c>
      <c r="E1712" s="1162" t="s">
        <v>1706</v>
      </c>
      <c r="F1712" s="252">
        <v>398.3</v>
      </c>
    </row>
    <row r="1713" spans="1:6">
      <c r="C1713" s="252"/>
      <c r="E1713" s="1162"/>
    </row>
    <row r="1714" spans="1:6">
      <c r="C1714" s="252" t="s">
        <v>1286</v>
      </c>
      <c r="E1714" s="1162"/>
    </row>
    <row r="1715" spans="1:6">
      <c r="C1715" s="252" t="s">
        <v>5469</v>
      </c>
      <c r="D1715" s="252">
        <v>995</v>
      </c>
      <c r="E1715" s="1162" t="s">
        <v>1706</v>
      </c>
      <c r="F1715" s="252">
        <v>995</v>
      </c>
    </row>
    <row r="1716" spans="1:6">
      <c r="C1716" s="252" t="s">
        <v>1063</v>
      </c>
      <c r="D1716" s="252">
        <v>2176.4</v>
      </c>
      <c r="E1716" s="1162"/>
      <c r="F1716" s="252">
        <v>2176.4</v>
      </c>
    </row>
    <row r="1718" spans="1:6">
      <c r="C1718" s="1162" t="s">
        <v>1286</v>
      </c>
    </row>
    <row r="1719" spans="1:6">
      <c r="C1719" s="1162" t="s">
        <v>1287</v>
      </c>
    </row>
    <row r="1721" spans="1:6">
      <c r="A1721" s="252">
        <v>0.5</v>
      </c>
      <c r="C1721" s="1162" t="s">
        <v>1860</v>
      </c>
      <c r="E1721" s="252">
        <v>866</v>
      </c>
      <c r="F1721" s="252">
        <v>433</v>
      </c>
    </row>
    <row r="1722" spans="1:6">
      <c r="A1722" s="252">
        <v>0.5</v>
      </c>
      <c r="C1722" s="1162" t="s">
        <v>345</v>
      </c>
      <c r="E1722" s="252">
        <v>651</v>
      </c>
      <c r="F1722" s="252">
        <v>325.5</v>
      </c>
    </row>
    <row r="1723" spans="1:6">
      <c r="D1723" s="252" t="s">
        <v>1058</v>
      </c>
      <c r="F1723" s="252">
        <v>1753.5</v>
      </c>
    </row>
    <row r="1725" spans="1:6">
      <c r="B1725" s="252" t="s">
        <v>962</v>
      </c>
    </row>
    <row r="1727" spans="1:6">
      <c r="A1727" s="252">
        <v>5</v>
      </c>
      <c r="B1727" s="252" t="s">
        <v>963</v>
      </c>
      <c r="C1727" s="1162" t="s">
        <v>4247</v>
      </c>
      <c r="D1727" s="252">
        <v>160</v>
      </c>
      <c r="E1727" s="252" t="s">
        <v>964</v>
      </c>
      <c r="F1727" s="252">
        <v>800</v>
      </c>
    </row>
    <row r="1728" spans="1:6">
      <c r="A1728" s="252">
        <v>1</v>
      </c>
      <c r="B1728" s="252" t="s">
        <v>1389</v>
      </c>
      <c r="C1728" s="1162" t="s">
        <v>762</v>
      </c>
      <c r="D1728" s="252">
        <v>75</v>
      </c>
      <c r="E1728" s="252" t="s">
        <v>1393</v>
      </c>
      <c r="F1728" s="252">
        <v>75</v>
      </c>
    </row>
    <row r="1729" spans="1:6">
      <c r="A1729" s="252">
        <v>2.5</v>
      </c>
      <c r="B1729" s="252" t="s">
        <v>1389</v>
      </c>
      <c r="C1729" s="1162" t="s">
        <v>763</v>
      </c>
      <c r="D1729" s="252">
        <v>797</v>
      </c>
      <c r="E1729" s="252" t="s">
        <v>1389</v>
      </c>
      <c r="F1729" s="252">
        <v>1992.5</v>
      </c>
    </row>
    <row r="1730" spans="1:6">
      <c r="C1730" s="1162" t="s">
        <v>2261</v>
      </c>
      <c r="D1730" s="252" t="s">
        <v>446</v>
      </c>
      <c r="F1730" s="252">
        <v>0.25</v>
      </c>
    </row>
    <row r="1731" spans="1:6">
      <c r="F1731" s="252" t="s">
        <v>2046</v>
      </c>
    </row>
    <row r="1732" spans="1:6">
      <c r="D1732" s="252" t="s">
        <v>764</v>
      </c>
      <c r="E1732" s="252" t="s">
        <v>2046</v>
      </c>
      <c r="F1732" s="252">
        <v>2867.75</v>
      </c>
    </row>
    <row r="1733" spans="1:6">
      <c r="F1733" s="252" t="s">
        <v>2046</v>
      </c>
    </row>
    <row r="1734" spans="1:6">
      <c r="A1734" s="252" t="s">
        <v>1369</v>
      </c>
      <c r="B1734" s="252" t="s">
        <v>2241</v>
      </c>
      <c r="C1734" s="1162" t="s">
        <v>7043</v>
      </c>
    </row>
    <row r="1735" spans="1:6">
      <c r="C1735" s="1162" t="s">
        <v>1517</v>
      </c>
    </row>
    <row r="1736" spans="1:6">
      <c r="C1736" s="1162" t="s">
        <v>1195</v>
      </c>
    </row>
    <row r="1737" spans="1:6">
      <c r="C1737" s="1162" t="s">
        <v>1579</v>
      </c>
    </row>
    <row r="1738" spans="1:6">
      <c r="A1738" s="252">
        <v>1.4</v>
      </c>
      <c r="B1738" s="252" t="s">
        <v>1233</v>
      </c>
      <c r="C1738" s="1162" t="s">
        <v>4891</v>
      </c>
      <c r="D1738" s="252">
        <v>295.60000000000002</v>
      </c>
      <c r="E1738" s="252" t="s">
        <v>1233</v>
      </c>
      <c r="F1738" s="252">
        <v>413.84</v>
      </c>
    </row>
    <row r="1739" spans="1:6">
      <c r="A1739" s="252">
        <v>0.98</v>
      </c>
      <c r="B1739" s="252" t="s">
        <v>1233</v>
      </c>
      <c r="C1739" s="1162" t="s">
        <v>4892</v>
      </c>
      <c r="D1739" s="252">
        <v>147.5</v>
      </c>
      <c r="E1739" s="252" t="s">
        <v>1233</v>
      </c>
      <c r="F1739" s="252">
        <v>144.55000000000001</v>
      </c>
    </row>
    <row r="1740" spans="1:6">
      <c r="A1740" s="252">
        <v>2.2000000000000002</v>
      </c>
      <c r="B1740" s="252" t="s">
        <v>766</v>
      </c>
      <c r="C1740" s="1162" t="s">
        <v>1175</v>
      </c>
      <c r="D1740" s="252">
        <v>797</v>
      </c>
      <c r="E1740" s="252" t="s">
        <v>766</v>
      </c>
      <c r="F1740" s="252">
        <v>1753.4</v>
      </c>
    </row>
    <row r="1741" spans="1:6">
      <c r="B1741" s="252" t="s">
        <v>446</v>
      </c>
      <c r="C1741" s="1162" t="s">
        <v>1177</v>
      </c>
      <c r="D1741" s="252" t="s">
        <v>971</v>
      </c>
      <c r="E1741" s="252" t="s">
        <v>446</v>
      </c>
      <c r="F1741" s="252">
        <v>2.5499999999999998</v>
      </c>
    </row>
    <row r="1743" spans="1:6">
      <c r="C1743" s="1162" t="s">
        <v>438</v>
      </c>
      <c r="F1743" s="252">
        <v>2314.34</v>
      </c>
    </row>
    <row r="1744" spans="1:6">
      <c r="F1744" s="252" t="s">
        <v>1579</v>
      </c>
    </row>
    <row r="1745" spans="1:6">
      <c r="C1745" s="1162" t="s">
        <v>549</v>
      </c>
      <c r="F1745" s="252">
        <v>231.43</v>
      </c>
    </row>
    <row r="1746" spans="1:6">
      <c r="A1746" s="252" t="s">
        <v>971</v>
      </c>
    </row>
    <row r="1747" spans="1:6">
      <c r="A1747" s="252" t="s">
        <v>1369</v>
      </c>
      <c r="B1747" s="252" t="s">
        <v>2241</v>
      </c>
      <c r="C1747" s="1162" t="s">
        <v>7043</v>
      </c>
    </row>
    <row r="1748" spans="1:6">
      <c r="C1748" s="1162" t="s">
        <v>1517</v>
      </c>
    </row>
    <row r="1749" spans="1:6">
      <c r="C1749" s="1162" t="s">
        <v>7044</v>
      </c>
    </row>
    <row r="1750" spans="1:6">
      <c r="C1750" s="1162" t="s">
        <v>1579</v>
      </c>
    </row>
    <row r="1751" spans="1:6">
      <c r="A1751" s="252">
        <v>1.4</v>
      </c>
      <c r="B1751" s="252" t="s">
        <v>1233</v>
      </c>
      <c r="C1751" s="1162" t="s">
        <v>4891</v>
      </c>
      <c r="D1751" s="252">
        <v>303.8</v>
      </c>
      <c r="E1751" s="252" t="s">
        <v>1233</v>
      </c>
      <c r="F1751" s="252">
        <v>425.32</v>
      </c>
    </row>
    <row r="1752" spans="1:6">
      <c r="A1752" s="252">
        <v>0.98</v>
      </c>
      <c r="B1752" s="252" t="s">
        <v>1233</v>
      </c>
      <c r="C1752" s="1162" t="s">
        <v>4892</v>
      </c>
      <c r="D1752" s="252">
        <v>151.30000000000001</v>
      </c>
      <c r="E1752" s="252" t="s">
        <v>1233</v>
      </c>
      <c r="F1752" s="252">
        <v>148.27000000000001</v>
      </c>
    </row>
    <row r="1753" spans="1:6">
      <c r="A1753" s="252">
        <v>2.2000000000000002</v>
      </c>
      <c r="B1753" s="252" t="s">
        <v>766</v>
      </c>
      <c r="C1753" s="1162" t="s">
        <v>1175</v>
      </c>
      <c r="D1753" s="252">
        <v>797</v>
      </c>
      <c r="E1753" s="252" t="s">
        <v>766</v>
      </c>
      <c r="F1753" s="252">
        <v>1753.4</v>
      </c>
    </row>
    <row r="1754" spans="1:6">
      <c r="B1754" s="252" t="s">
        <v>446</v>
      </c>
      <c r="C1754" s="1162" t="s">
        <v>1177</v>
      </c>
      <c r="D1754" s="252" t="s">
        <v>971</v>
      </c>
      <c r="E1754" s="252" t="s">
        <v>446</v>
      </c>
      <c r="F1754" s="252">
        <v>2.85</v>
      </c>
    </row>
    <row r="1756" spans="1:6">
      <c r="C1756" s="1162" t="s">
        <v>438</v>
      </c>
      <c r="F1756" s="252">
        <v>2329.84</v>
      </c>
    </row>
    <row r="1757" spans="1:6">
      <c r="F1757" s="252" t="s">
        <v>1579</v>
      </c>
    </row>
    <row r="1758" spans="1:6">
      <c r="C1758" s="1162" t="s">
        <v>549</v>
      </c>
      <c r="F1758" s="252">
        <v>232.98</v>
      </c>
    </row>
    <row r="1759" spans="1:6">
      <c r="A1759" s="252" t="s">
        <v>971</v>
      </c>
    </row>
    <row r="1760" spans="1:6">
      <c r="C1760" s="1162" t="s">
        <v>3680</v>
      </c>
    </row>
    <row r="1761" spans="1:6">
      <c r="A1761" s="252">
        <v>1</v>
      </c>
      <c r="C1761" s="1162" t="s">
        <v>4588</v>
      </c>
      <c r="D1761" s="252">
        <v>17.2</v>
      </c>
      <c r="E1761" s="252" t="s">
        <v>1393</v>
      </c>
      <c r="F1761" s="252">
        <v>17.2</v>
      </c>
    </row>
    <row r="1762" spans="1:6">
      <c r="A1762" s="252">
        <v>1</v>
      </c>
      <c r="C1762" s="1162" t="s">
        <v>4587</v>
      </c>
      <c r="D1762" s="252">
        <v>8.5</v>
      </c>
      <c r="E1762" s="252" t="s">
        <v>1393</v>
      </c>
      <c r="F1762" s="252">
        <v>8.5</v>
      </c>
    </row>
    <row r="1763" spans="1:6">
      <c r="A1763" s="252">
        <v>0.125</v>
      </c>
      <c r="C1763" s="1162" t="s">
        <v>1229</v>
      </c>
      <c r="D1763" s="252">
        <v>866</v>
      </c>
      <c r="E1763" s="252" t="s">
        <v>1393</v>
      </c>
      <c r="F1763" s="252">
        <v>108.25</v>
      </c>
    </row>
    <row r="1764" spans="1:6">
      <c r="C1764" s="1162" t="s">
        <v>2261</v>
      </c>
      <c r="F1764" s="252">
        <v>4.37</v>
      </c>
    </row>
    <row r="1765" spans="1:6">
      <c r="C1765" s="1162" t="s">
        <v>2261</v>
      </c>
      <c r="F1765" s="252">
        <v>138.32</v>
      </c>
    </row>
    <row r="1766" spans="1:6">
      <c r="F1766" s="252">
        <v>51.32</v>
      </c>
    </row>
    <row r="1767" spans="1:6">
      <c r="C1767" s="1162" t="s">
        <v>7046</v>
      </c>
    </row>
    <row r="1768" spans="1:6">
      <c r="C1768" s="1162" t="s">
        <v>3654</v>
      </c>
    </row>
    <row r="1769" spans="1:6">
      <c r="C1769" s="1162" t="s">
        <v>3655</v>
      </c>
    </row>
    <row r="1770" spans="1:6">
      <c r="C1770" s="1162" t="s">
        <v>3656</v>
      </c>
    </row>
    <row r="1771" spans="1:6">
      <c r="C1771" s="1162" t="s">
        <v>1579</v>
      </c>
      <c r="D1771" s="252" t="s">
        <v>1579</v>
      </c>
    </row>
    <row r="1772" spans="1:6">
      <c r="A1772" s="252">
        <v>8</v>
      </c>
      <c r="B1772" s="252" t="s">
        <v>1865</v>
      </c>
      <c r="C1772" s="1162" t="s">
        <v>4252</v>
      </c>
      <c r="D1772" s="252">
        <v>4.0999999999999996</v>
      </c>
      <c r="E1772" s="252" t="s">
        <v>1393</v>
      </c>
      <c r="F1772" s="252">
        <v>32.799999999999997</v>
      </c>
    </row>
    <row r="1773" spans="1:6">
      <c r="A1773" s="252">
        <v>8</v>
      </c>
      <c r="B1773" s="252" t="s">
        <v>1865</v>
      </c>
      <c r="C1773" s="1162" t="s">
        <v>3657</v>
      </c>
      <c r="D1773" s="252">
        <v>3.69</v>
      </c>
      <c r="E1773" s="252" t="s">
        <v>1393</v>
      </c>
      <c r="F1773" s="252">
        <v>29.52</v>
      </c>
    </row>
    <row r="1774" spans="1:6">
      <c r="A1774" s="252">
        <v>8</v>
      </c>
      <c r="B1774" s="252" t="s">
        <v>1865</v>
      </c>
      <c r="C1774" s="1162" t="s">
        <v>3658</v>
      </c>
      <c r="D1774" s="252">
        <v>4.0999999999999996</v>
      </c>
      <c r="E1774" s="252" t="s">
        <v>1393</v>
      </c>
      <c r="F1774" s="252">
        <v>32.799999999999997</v>
      </c>
    </row>
    <row r="1775" spans="1:6">
      <c r="A1775" s="252">
        <v>0.75</v>
      </c>
      <c r="B1775" s="252" t="s">
        <v>1637</v>
      </c>
      <c r="C1775" s="1162" t="s">
        <v>3659</v>
      </c>
      <c r="D1775" s="252">
        <v>176.4</v>
      </c>
      <c r="E1775" s="252" t="s">
        <v>1393</v>
      </c>
      <c r="F1775" s="252">
        <v>132.30000000000001</v>
      </c>
    </row>
    <row r="1776" spans="1:6">
      <c r="A1776" s="252">
        <v>2.25</v>
      </c>
      <c r="B1776" s="252" t="s">
        <v>3660</v>
      </c>
      <c r="C1776" s="1162" t="s">
        <v>3661</v>
      </c>
      <c r="D1776" s="252">
        <v>140.41</v>
      </c>
      <c r="E1776" s="252" t="s">
        <v>3660</v>
      </c>
      <c r="F1776" s="252">
        <v>315.92</v>
      </c>
    </row>
    <row r="1777" spans="1:6">
      <c r="A1777" s="252">
        <v>4.5</v>
      </c>
      <c r="B1777" s="252" t="s">
        <v>3660</v>
      </c>
      <c r="C1777" s="1162" t="s">
        <v>3662</v>
      </c>
      <c r="D1777" s="252">
        <v>65</v>
      </c>
      <c r="E1777" s="252" t="s">
        <v>3660</v>
      </c>
      <c r="F1777" s="252">
        <v>292.5</v>
      </c>
    </row>
    <row r="1778" spans="1:6">
      <c r="A1778" s="252">
        <v>6</v>
      </c>
      <c r="B1778" s="252" t="s">
        <v>1865</v>
      </c>
      <c r="C1778" s="1162" t="s">
        <v>3663</v>
      </c>
      <c r="D1778" s="252">
        <v>8</v>
      </c>
      <c r="E1778" s="252" t="s">
        <v>1393</v>
      </c>
      <c r="F1778" s="252">
        <v>48</v>
      </c>
    </row>
    <row r="1779" spans="1:6">
      <c r="A1779" s="252">
        <v>6</v>
      </c>
      <c r="B1779" s="252" t="s">
        <v>1865</v>
      </c>
      <c r="C1779" s="1162" t="s">
        <v>3664</v>
      </c>
      <c r="D1779" s="252">
        <v>8.61</v>
      </c>
      <c r="E1779" s="252" t="s">
        <v>1393</v>
      </c>
      <c r="F1779" s="252">
        <v>51.66</v>
      </c>
    </row>
    <row r="1780" spans="1:6">
      <c r="A1780" s="252">
        <v>4</v>
      </c>
      <c r="B1780" s="252" t="s">
        <v>1865</v>
      </c>
      <c r="C1780" s="1162" t="s">
        <v>3665</v>
      </c>
      <c r="D1780" s="252">
        <v>8.61</v>
      </c>
      <c r="E1780" s="252" t="s">
        <v>1393</v>
      </c>
      <c r="F1780" s="252">
        <v>34.44</v>
      </c>
    </row>
    <row r="1781" spans="1:6">
      <c r="A1781" s="252">
        <v>300</v>
      </c>
      <c r="B1781" s="252" t="s">
        <v>3666</v>
      </c>
      <c r="C1781" s="1162" t="s">
        <v>3667</v>
      </c>
      <c r="D1781" s="252">
        <v>30</v>
      </c>
      <c r="E1781" s="252" t="s">
        <v>4225</v>
      </c>
      <c r="F1781" s="252">
        <v>90</v>
      </c>
    </row>
    <row r="1782" spans="1:6">
      <c r="A1782" s="252">
        <v>300</v>
      </c>
      <c r="B1782" s="252" t="s">
        <v>3666</v>
      </c>
      <c r="C1782" s="1162" t="s">
        <v>3668</v>
      </c>
      <c r="D1782" s="252">
        <v>44.99</v>
      </c>
      <c r="E1782" s="252" t="s">
        <v>4226</v>
      </c>
      <c r="F1782" s="252">
        <v>26.99</v>
      </c>
    </row>
    <row r="1783" spans="1:6">
      <c r="A1783" s="252">
        <v>1.5</v>
      </c>
      <c r="B1783" s="252" t="s">
        <v>1637</v>
      </c>
      <c r="C1783" s="1162" t="s">
        <v>3669</v>
      </c>
      <c r="D1783" s="252">
        <v>20.95</v>
      </c>
      <c r="E1783" s="252" t="s">
        <v>1637</v>
      </c>
      <c r="F1783" s="252">
        <v>31.43</v>
      </c>
    </row>
    <row r="1784" spans="1:6">
      <c r="A1784" s="252">
        <v>2.25</v>
      </c>
      <c r="B1784" s="252" t="s">
        <v>3660</v>
      </c>
      <c r="C1784" s="1162" t="s">
        <v>4253</v>
      </c>
      <c r="D1784" s="252">
        <v>212.41</v>
      </c>
      <c r="E1784" s="252" t="s">
        <v>3660</v>
      </c>
      <c r="F1784" s="252">
        <v>477.92</v>
      </c>
    </row>
    <row r="1785" spans="1:6">
      <c r="A1785" s="252">
        <v>0.75</v>
      </c>
      <c r="B1785" s="252" t="s">
        <v>3660</v>
      </c>
      <c r="C1785" s="1162" t="s">
        <v>3670</v>
      </c>
      <c r="D1785" s="252">
        <v>205.21</v>
      </c>
      <c r="E1785" s="252" t="s">
        <v>3660</v>
      </c>
      <c r="F1785" s="252">
        <v>153.91</v>
      </c>
    </row>
    <row r="1786" spans="1:6">
      <c r="A1786" s="252">
        <v>2.25</v>
      </c>
      <c r="B1786" s="252" t="s">
        <v>3660</v>
      </c>
      <c r="C1786" s="1162" t="s">
        <v>3671</v>
      </c>
      <c r="D1786" s="252">
        <v>185.21</v>
      </c>
      <c r="E1786" s="252" t="s">
        <v>3660</v>
      </c>
      <c r="F1786" s="252">
        <v>416.72</v>
      </c>
    </row>
    <row r="1787" spans="1:6">
      <c r="A1787" s="252">
        <v>500</v>
      </c>
      <c r="B1787" s="252" t="s">
        <v>3666</v>
      </c>
      <c r="C1787" s="1162" t="s">
        <v>3672</v>
      </c>
      <c r="D1787" s="252">
        <v>52.25</v>
      </c>
      <c r="E1787" s="252" t="s">
        <v>1637</v>
      </c>
      <c r="F1787" s="252">
        <v>26.13</v>
      </c>
    </row>
    <row r="1788" spans="1:6">
      <c r="A1788" s="252">
        <v>1</v>
      </c>
      <c r="B1788" s="252" t="s">
        <v>1865</v>
      </c>
      <c r="C1788" s="1162" t="s">
        <v>3673</v>
      </c>
      <c r="D1788" s="252">
        <v>131.21</v>
      </c>
      <c r="E1788" s="252" t="s">
        <v>4227</v>
      </c>
      <c r="F1788" s="252">
        <v>131.21</v>
      </c>
    </row>
    <row r="1789" spans="1:6">
      <c r="A1789" s="252">
        <v>1</v>
      </c>
      <c r="B1789" s="252" t="s">
        <v>1865</v>
      </c>
      <c r="C1789" s="1162" t="s">
        <v>3674</v>
      </c>
      <c r="D1789" s="252">
        <v>12.3</v>
      </c>
      <c r="E1789" s="252" t="s">
        <v>4227</v>
      </c>
      <c r="F1789" s="252">
        <v>12.3</v>
      </c>
    </row>
    <row r="1790" spans="1:6">
      <c r="A1790" s="252">
        <v>4</v>
      </c>
      <c r="B1790" s="252" t="s">
        <v>1865</v>
      </c>
      <c r="C1790" s="1162" t="s">
        <v>3675</v>
      </c>
      <c r="D1790" s="252">
        <v>797</v>
      </c>
      <c r="E1790" s="252" t="s">
        <v>1393</v>
      </c>
      <c r="F1790" s="252">
        <v>3188</v>
      </c>
    </row>
    <row r="1791" spans="1:6">
      <c r="A1791" s="252">
        <v>2</v>
      </c>
      <c r="B1791" s="252" t="s">
        <v>1865</v>
      </c>
      <c r="C1791" s="1162" t="s">
        <v>3676</v>
      </c>
      <c r="D1791" s="252">
        <v>772</v>
      </c>
      <c r="E1791" s="252" t="s">
        <v>1393</v>
      </c>
      <c r="F1791" s="252">
        <v>1544</v>
      </c>
    </row>
    <row r="1792" spans="1:6">
      <c r="A1792" s="252">
        <v>2</v>
      </c>
      <c r="B1792" s="252" t="s">
        <v>1865</v>
      </c>
      <c r="C1792" s="1162" t="s">
        <v>3677</v>
      </c>
      <c r="D1792" s="252">
        <v>534</v>
      </c>
      <c r="E1792" s="252" t="s">
        <v>1393</v>
      </c>
      <c r="F1792" s="252">
        <v>1068</v>
      </c>
    </row>
    <row r="1793" spans="1:6">
      <c r="C1793" s="1162" t="s">
        <v>3678</v>
      </c>
      <c r="F1793" s="252">
        <v>20</v>
      </c>
    </row>
    <row r="1794" spans="1:6">
      <c r="F1794" s="252" t="s">
        <v>3679</v>
      </c>
    </row>
    <row r="1795" spans="1:6">
      <c r="C1795" s="1162" t="s">
        <v>7047</v>
      </c>
      <c r="F1795" s="252">
        <v>8156.55</v>
      </c>
    </row>
    <row r="1796" spans="1:6">
      <c r="F1796" s="252" t="s">
        <v>2046</v>
      </c>
    </row>
    <row r="1797" spans="1:6">
      <c r="C1797" s="1162" t="s">
        <v>3215</v>
      </c>
      <c r="F1797" s="252">
        <v>1438.54</v>
      </c>
    </row>
    <row r="1800" spans="1:6">
      <c r="C1800" s="1162" t="s">
        <v>3605</v>
      </c>
      <c r="E1800" s="252" t="s">
        <v>3844</v>
      </c>
    </row>
    <row r="1803" spans="1:6">
      <c r="A1803" s="252">
        <v>10</v>
      </c>
      <c r="B1803" s="252" t="s">
        <v>606</v>
      </c>
      <c r="C1803" s="1162" t="s">
        <v>7048</v>
      </c>
      <c r="D1803" s="252">
        <v>421.3</v>
      </c>
      <c r="E1803" s="252" t="s">
        <v>606</v>
      </c>
      <c r="F1803" s="252">
        <v>4213</v>
      </c>
    </row>
    <row r="1804" spans="1:6">
      <c r="A1804" s="252">
        <v>0.21</v>
      </c>
      <c r="B1804" s="252" t="s">
        <v>866</v>
      </c>
      <c r="C1804" s="1162" t="s">
        <v>1868</v>
      </c>
      <c r="D1804" s="252">
        <v>4861.3</v>
      </c>
      <c r="E1804" s="252" t="s">
        <v>866</v>
      </c>
      <c r="F1804" s="252">
        <v>1020.87</v>
      </c>
    </row>
    <row r="1805" spans="1:6">
      <c r="A1805" s="252">
        <v>1.1000000000000001</v>
      </c>
      <c r="B1805" s="252" t="s">
        <v>766</v>
      </c>
      <c r="C1805" s="1162" t="s">
        <v>2000</v>
      </c>
      <c r="D1805" s="252">
        <v>999</v>
      </c>
      <c r="E1805" s="252" t="s">
        <v>766</v>
      </c>
      <c r="F1805" s="252">
        <v>1098.9000000000001</v>
      </c>
    </row>
    <row r="1806" spans="1:6">
      <c r="A1806" s="252">
        <v>1.1000000000000001</v>
      </c>
      <c r="B1806" s="252" t="s">
        <v>766</v>
      </c>
      <c r="C1806" s="1162" t="s">
        <v>1704</v>
      </c>
      <c r="D1806" s="252">
        <v>932</v>
      </c>
      <c r="E1806" s="252" t="s">
        <v>766</v>
      </c>
      <c r="F1806" s="252">
        <v>1025.2</v>
      </c>
    </row>
    <row r="1807" spans="1:6">
      <c r="A1807" s="252">
        <v>2.2000000000000002</v>
      </c>
      <c r="B1807" s="252" t="s">
        <v>766</v>
      </c>
      <c r="C1807" s="1162" t="s">
        <v>1893</v>
      </c>
      <c r="D1807" s="252">
        <v>651</v>
      </c>
      <c r="E1807" s="252" t="s">
        <v>766</v>
      </c>
      <c r="F1807" s="252">
        <v>1432.2</v>
      </c>
    </row>
    <row r="1808" spans="1:6">
      <c r="A1808" s="252">
        <v>2.2000000000000002</v>
      </c>
      <c r="B1808" s="252" t="s">
        <v>766</v>
      </c>
      <c r="C1808" s="1162" t="s">
        <v>317</v>
      </c>
      <c r="D1808" s="252">
        <v>534</v>
      </c>
      <c r="E1808" s="252" t="s">
        <v>766</v>
      </c>
      <c r="F1808" s="252">
        <v>1174.8</v>
      </c>
    </row>
    <row r="1809" spans="1:6">
      <c r="A1809" s="252">
        <v>20</v>
      </c>
      <c r="B1809" s="252" t="s">
        <v>1637</v>
      </c>
      <c r="C1809" s="1162" t="s">
        <v>859</v>
      </c>
      <c r="D1809" s="252">
        <v>6040</v>
      </c>
      <c r="E1809" s="252" t="s">
        <v>858</v>
      </c>
      <c r="F1809" s="252">
        <v>120.8</v>
      </c>
    </row>
    <row r="1810" spans="1:6">
      <c r="A1810" s="252">
        <v>2</v>
      </c>
      <c r="B1810" s="252" t="s">
        <v>1637</v>
      </c>
      <c r="C1810" s="1162" t="s">
        <v>1521</v>
      </c>
      <c r="D1810" s="252">
        <v>36.1</v>
      </c>
      <c r="E1810" s="252" t="s">
        <v>1637</v>
      </c>
      <c r="F1810" s="252">
        <v>72.2</v>
      </c>
    </row>
    <row r="1811" spans="1:6">
      <c r="A1811" s="252">
        <v>1.6</v>
      </c>
      <c r="B1811" s="252" t="s">
        <v>766</v>
      </c>
      <c r="C1811" s="1162" t="s">
        <v>1704</v>
      </c>
      <c r="D1811" s="252">
        <v>932</v>
      </c>
      <c r="E1811" s="252" t="s">
        <v>766</v>
      </c>
      <c r="F1811" s="252">
        <v>1491.2</v>
      </c>
    </row>
    <row r="1812" spans="1:6">
      <c r="A1812" s="252">
        <v>0.5</v>
      </c>
      <c r="B1812" s="252" t="s">
        <v>766</v>
      </c>
      <c r="C1812" s="1162" t="s">
        <v>1893</v>
      </c>
      <c r="D1812" s="252">
        <v>651</v>
      </c>
      <c r="E1812" s="252" t="s">
        <v>766</v>
      </c>
      <c r="F1812" s="252">
        <v>325.5</v>
      </c>
    </row>
    <row r="1813" spans="1:6">
      <c r="A1813" s="252">
        <v>1.1000000000000001</v>
      </c>
      <c r="B1813" s="252" t="s">
        <v>766</v>
      </c>
      <c r="C1813" s="1162" t="s">
        <v>317</v>
      </c>
      <c r="D1813" s="252">
        <v>534</v>
      </c>
      <c r="E1813" s="252" t="s">
        <v>766</v>
      </c>
      <c r="F1813" s="252">
        <v>587.4</v>
      </c>
    </row>
    <row r="1814" spans="1:6">
      <c r="B1814" s="252" t="s">
        <v>446</v>
      </c>
      <c r="C1814" s="1162" t="s">
        <v>447</v>
      </c>
      <c r="E1814" s="252" t="s">
        <v>446</v>
      </c>
      <c r="F1814" s="252">
        <v>0</v>
      </c>
    </row>
    <row r="1815" spans="1:6">
      <c r="A1815" s="252">
        <v>465</v>
      </c>
    </row>
    <row r="1816" spans="1:6">
      <c r="C1816" s="1162" t="s">
        <v>438</v>
      </c>
      <c r="F1816" s="252">
        <v>12562.07</v>
      </c>
    </row>
    <row r="1817" spans="1:6">
      <c r="F1817" s="252" t="s">
        <v>1579</v>
      </c>
    </row>
    <row r="1818" spans="1:6">
      <c r="C1818" s="1162" t="s">
        <v>549</v>
      </c>
      <c r="F1818" s="252">
        <v>1256.21</v>
      </c>
    </row>
    <row r="1821" spans="1:6">
      <c r="C1821" s="1162" t="s">
        <v>1520</v>
      </c>
    </row>
    <row r="1824" spans="1:6">
      <c r="A1824" s="252">
        <v>10</v>
      </c>
      <c r="B1824" s="252" t="s">
        <v>606</v>
      </c>
      <c r="C1824" s="1162" t="s">
        <v>7049</v>
      </c>
      <c r="D1824" s="252">
        <v>653</v>
      </c>
      <c r="E1824" s="252" t="s">
        <v>606</v>
      </c>
      <c r="F1824" s="252">
        <v>6530</v>
      </c>
    </row>
    <row r="1825" spans="1:6">
      <c r="A1825" s="252">
        <v>0.21</v>
      </c>
      <c r="B1825" s="252" t="s">
        <v>866</v>
      </c>
      <c r="C1825" s="1162" t="s">
        <v>1868</v>
      </c>
      <c r="D1825" s="252">
        <v>4861.3</v>
      </c>
      <c r="E1825" s="252" t="s">
        <v>866</v>
      </c>
      <c r="F1825" s="252">
        <v>1020.87</v>
      </c>
    </row>
    <row r="1826" spans="1:6">
      <c r="A1826" s="252">
        <v>1.1000000000000001</v>
      </c>
      <c r="B1826" s="252" t="s">
        <v>766</v>
      </c>
      <c r="C1826" s="1162" t="s">
        <v>2000</v>
      </c>
      <c r="D1826" s="252">
        <v>999</v>
      </c>
      <c r="E1826" s="252" t="s">
        <v>766</v>
      </c>
      <c r="F1826" s="252">
        <v>1098.9000000000001</v>
      </c>
    </row>
    <row r="1827" spans="1:6">
      <c r="A1827" s="252">
        <v>1.1000000000000001</v>
      </c>
      <c r="B1827" s="252" t="s">
        <v>766</v>
      </c>
      <c r="C1827" s="1162" t="s">
        <v>1704</v>
      </c>
      <c r="D1827" s="252">
        <v>932</v>
      </c>
      <c r="E1827" s="252" t="s">
        <v>766</v>
      </c>
      <c r="F1827" s="252">
        <v>1025.2</v>
      </c>
    </row>
    <row r="1828" spans="1:6">
      <c r="A1828" s="252">
        <v>2.2000000000000002</v>
      </c>
      <c r="B1828" s="252" t="s">
        <v>766</v>
      </c>
      <c r="C1828" s="1162" t="s">
        <v>1893</v>
      </c>
      <c r="D1828" s="252">
        <v>651</v>
      </c>
      <c r="E1828" s="252" t="s">
        <v>766</v>
      </c>
      <c r="F1828" s="252">
        <v>1432.2</v>
      </c>
    </row>
    <row r="1829" spans="1:6">
      <c r="A1829" s="252">
        <v>2.2000000000000002</v>
      </c>
      <c r="B1829" s="252" t="s">
        <v>766</v>
      </c>
      <c r="C1829" s="1162" t="s">
        <v>317</v>
      </c>
      <c r="D1829" s="252">
        <v>534</v>
      </c>
      <c r="E1829" s="252" t="s">
        <v>766</v>
      </c>
      <c r="F1829" s="252">
        <v>1174.8</v>
      </c>
    </row>
    <row r="1830" spans="1:6">
      <c r="A1830" s="252">
        <v>20</v>
      </c>
      <c r="B1830" s="252" t="s">
        <v>1637</v>
      </c>
      <c r="C1830" s="1162" t="s">
        <v>859</v>
      </c>
      <c r="D1830" s="252">
        <v>6040</v>
      </c>
      <c r="E1830" s="252" t="s">
        <v>858</v>
      </c>
      <c r="F1830" s="252">
        <v>120.8</v>
      </c>
    </row>
    <row r="1831" spans="1:6">
      <c r="A1831" s="252">
        <v>2</v>
      </c>
      <c r="B1831" s="252" t="s">
        <v>1637</v>
      </c>
      <c r="C1831" s="1162" t="s">
        <v>1092</v>
      </c>
      <c r="D1831" s="252">
        <v>24.93</v>
      </c>
      <c r="E1831" s="252" t="s">
        <v>1637</v>
      </c>
      <c r="F1831" s="252">
        <v>49.86</v>
      </c>
    </row>
    <row r="1832" spans="1:6">
      <c r="A1832" s="252">
        <v>1.6</v>
      </c>
      <c r="B1832" s="252" t="s">
        <v>766</v>
      </c>
      <c r="C1832" s="1162" t="s">
        <v>1704</v>
      </c>
      <c r="D1832" s="252">
        <v>932</v>
      </c>
      <c r="E1832" s="252" t="s">
        <v>766</v>
      </c>
      <c r="F1832" s="252">
        <v>1491.2</v>
      </c>
    </row>
    <row r="1833" spans="1:6">
      <c r="A1833" s="252">
        <v>0.5</v>
      </c>
      <c r="B1833" s="252" t="s">
        <v>766</v>
      </c>
      <c r="C1833" s="1162" t="s">
        <v>1893</v>
      </c>
      <c r="D1833" s="252">
        <v>651</v>
      </c>
      <c r="E1833" s="252" t="s">
        <v>766</v>
      </c>
      <c r="F1833" s="252">
        <v>325.5</v>
      </c>
    </row>
    <row r="1834" spans="1:6">
      <c r="A1834" s="252">
        <v>1.1000000000000001</v>
      </c>
      <c r="B1834" s="252" t="s">
        <v>766</v>
      </c>
      <c r="C1834" s="1162" t="s">
        <v>317</v>
      </c>
      <c r="D1834" s="252">
        <v>534</v>
      </c>
      <c r="E1834" s="252" t="s">
        <v>766</v>
      </c>
      <c r="F1834" s="252">
        <v>587.4</v>
      </c>
    </row>
    <row r="1835" spans="1:6">
      <c r="B1835" s="252" t="s">
        <v>446</v>
      </c>
      <c r="C1835" s="1162" t="s">
        <v>447</v>
      </c>
      <c r="E1835" s="252" t="s">
        <v>446</v>
      </c>
      <c r="F1835" s="252">
        <v>4.5999999999999996</v>
      </c>
    </row>
    <row r="1836" spans="1:6">
      <c r="F1836" s="252" t="s">
        <v>1579</v>
      </c>
    </row>
    <row r="1837" spans="1:6">
      <c r="C1837" s="1162" t="s">
        <v>438</v>
      </c>
      <c r="F1837" s="252">
        <v>14861.33</v>
      </c>
    </row>
    <row r="1838" spans="1:6">
      <c r="F1838" s="252" t="s">
        <v>1579</v>
      </c>
    </row>
    <row r="1839" spans="1:6">
      <c r="C1839" s="1162" t="s">
        <v>549</v>
      </c>
      <c r="F1839" s="252">
        <v>1486.13</v>
      </c>
    </row>
    <row r="1841" spans="1:6">
      <c r="C1841" s="1162" t="s">
        <v>4930</v>
      </c>
    </row>
    <row r="1842" spans="1:6">
      <c r="C1842" s="1162" t="s">
        <v>4620</v>
      </c>
      <c r="E1842" s="252">
        <v>2.23</v>
      </c>
    </row>
    <row r="1843" spans="1:6">
      <c r="A1843" s="252">
        <v>2.23</v>
      </c>
      <c r="B1843" s="252" t="s">
        <v>606</v>
      </c>
      <c r="C1843" s="1162" t="s">
        <v>3624</v>
      </c>
      <c r="D1843" s="252">
        <v>2255</v>
      </c>
      <c r="E1843" s="252" t="s">
        <v>606</v>
      </c>
      <c r="F1843" s="252">
        <v>5028.6499999999996</v>
      </c>
    </row>
    <row r="1844" spans="1:6">
      <c r="A1844" s="252">
        <v>2.23</v>
      </c>
      <c r="B1844" s="252" t="s">
        <v>606</v>
      </c>
      <c r="C1844" s="1162" t="s">
        <v>3625</v>
      </c>
      <c r="D1844" s="252">
        <v>330.2</v>
      </c>
      <c r="E1844" s="252" t="s">
        <v>606</v>
      </c>
      <c r="F1844" s="252">
        <v>736.35</v>
      </c>
    </row>
    <row r="1845" spans="1:6">
      <c r="A1845" s="252">
        <v>4</v>
      </c>
      <c r="B1845" s="252" t="s">
        <v>766</v>
      </c>
      <c r="C1845" s="1162" t="s">
        <v>3626</v>
      </c>
      <c r="D1845" s="252">
        <v>57.65</v>
      </c>
      <c r="E1845" s="252" t="s">
        <v>766</v>
      </c>
      <c r="F1845" s="252">
        <v>230.6</v>
      </c>
    </row>
    <row r="1846" spans="1:6">
      <c r="A1846" s="252">
        <v>6</v>
      </c>
      <c r="B1846" s="252" t="s">
        <v>766</v>
      </c>
      <c r="C1846" s="1162" t="s">
        <v>3627</v>
      </c>
      <c r="D1846" s="252">
        <v>89.6</v>
      </c>
      <c r="E1846" s="252" t="s">
        <v>766</v>
      </c>
      <c r="F1846" s="252">
        <v>537.6</v>
      </c>
    </row>
    <row r="1847" spans="1:6">
      <c r="A1847" s="252">
        <v>4</v>
      </c>
      <c r="B1847" s="252" t="s">
        <v>766</v>
      </c>
      <c r="C1847" s="1162" t="s">
        <v>3628</v>
      </c>
      <c r="D1847" s="252">
        <v>64.8</v>
      </c>
      <c r="E1847" s="252" t="s">
        <v>766</v>
      </c>
      <c r="F1847" s="252">
        <v>259.2</v>
      </c>
    </row>
    <row r="1848" spans="1:6">
      <c r="A1848" s="252">
        <v>1</v>
      </c>
      <c r="B1848" s="252" t="s">
        <v>766</v>
      </c>
      <c r="C1848" s="1162" t="s">
        <v>2445</v>
      </c>
      <c r="D1848" s="252">
        <v>181</v>
      </c>
      <c r="E1848" s="252" t="s">
        <v>766</v>
      </c>
      <c r="F1848" s="252">
        <v>181</v>
      </c>
    </row>
    <row r="1849" spans="1:6">
      <c r="A1849" s="252">
        <v>118</v>
      </c>
      <c r="B1849" s="252" t="s">
        <v>766</v>
      </c>
      <c r="C1849" s="1162" t="s">
        <v>3629</v>
      </c>
      <c r="D1849" s="252">
        <v>2.41</v>
      </c>
      <c r="E1849" s="252" t="s">
        <v>766</v>
      </c>
      <c r="F1849" s="252">
        <v>284.38</v>
      </c>
    </row>
    <row r="1850" spans="1:6">
      <c r="A1850" s="252">
        <v>2</v>
      </c>
      <c r="B1850" s="252" t="s">
        <v>766</v>
      </c>
      <c r="C1850" s="1162" t="s">
        <v>3630</v>
      </c>
      <c r="D1850" s="252">
        <v>23.1</v>
      </c>
      <c r="E1850" s="252" t="s">
        <v>766</v>
      </c>
      <c r="F1850" s="252">
        <v>46.2</v>
      </c>
    </row>
    <row r="1851" spans="1:6">
      <c r="A1851" s="252">
        <v>2</v>
      </c>
      <c r="B1851" s="252" t="s">
        <v>766</v>
      </c>
      <c r="C1851" s="1162" t="s">
        <v>3631</v>
      </c>
      <c r="D1851" s="252">
        <v>49.55</v>
      </c>
      <c r="E1851" s="252" t="s">
        <v>766</v>
      </c>
      <c r="F1851" s="252">
        <v>99.1</v>
      </c>
    </row>
    <row r="1852" spans="1:6">
      <c r="B1852" s="252" t="s">
        <v>606</v>
      </c>
      <c r="E1852" s="252" t="s">
        <v>606</v>
      </c>
      <c r="F1852" s="252">
        <v>0</v>
      </c>
    </row>
    <row r="1853" spans="1:6">
      <c r="C1853" s="1162" t="s">
        <v>3633</v>
      </c>
      <c r="F1853" s="252">
        <v>7403.08</v>
      </c>
    </row>
    <row r="1854" spans="1:6">
      <c r="C1854" s="1162" t="s">
        <v>3215</v>
      </c>
      <c r="F1854" s="252">
        <v>3319.77</v>
      </c>
    </row>
    <row r="1856" spans="1:6">
      <c r="C1856" s="1162" t="s">
        <v>3634</v>
      </c>
    </row>
    <row r="1857" spans="1:6">
      <c r="C1857" s="1162" t="s">
        <v>3758</v>
      </c>
      <c r="D1857" s="252">
        <v>1.82</v>
      </c>
    </row>
    <row r="1858" spans="1:6">
      <c r="A1858" s="252">
        <v>1.82</v>
      </c>
      <c r="B1858" s="252" t="s">
        <v>606</v>
      </c>
      <c r="C1858" s="1162" t="s">
        <v>3624</v>
      </c>
      <c r="D1858" s="252">
        <v>2255</v>
      </c>
      <c r="E1858" s="252" t="s">
        <v>606</v>
      </c>
      <c r="F1858" s="252">
        <v>4104.1000000000004</v>
      </c>
    </row>
    <row r="1859" spans="1:6">
      <c r="A1859" s="252">
        <v>1.82</v>
      </c>
      <c r="B1859" s="252" t="s">
        <v>606</v>
      </c>
      <c r="C1859" s="1162" t="s">
        <v>4583</v>
      </c>
      <c r="D1859" s="252">
        <v>214.1</v>
      </c>
      <c r="E1859" s="252" t="s">
        <v>606</v>
      </c>
      <c r="F1859" s="252">
        <v>389.66</v>
      </c>
    </row>
    <row r="1860" spans="1:6">
      <c r="A1860" s="252">
        <v>2</v>
      </c>
      <c r="B1860" s="252" t="s">
        <v>766</v>
      </c>
      <c r="C1860" s="1162" t="s">
        <v>3626</v>
      </c>
      <c r="D1860" s="252">
        <v>57.65</v>
      </c>
      <c r="E1860" s="252" t="s">
        <v>766</v>
      </c>
      <c r="F1860" s="252">
        <v>115.3</v>
      </c>
    </row>
    <row r="1861" spans="1:6">
      <c r="A1861" s="252">
        <v>3</v>
      </c>
      <c r="B1861" s="252" t="s">
        <v>766</v>
      </c>
      <c r="C1861" s="1162" t="s">
        <v>3627</v>
      </c>
      <c r="D1861" s="252">
        <v>89.6</v>
      </c>
      <c r="E1861" s="252" t="s">
        <v>766</v>
      </c>
      <c r="F1861" s="252">
        <v>268.8</v>
      </c>
    </row>
    <row r="1862" spans="1:6">
      <c r="A1862" s="252">
        <v>2</v>
      </c>
      <c r="B1862" s="252" t="s">
        <v>766</v>
      </c>
      <c r="C1862" s="1162" t="s">
        <v>3628</v>
      </c>
      <c r="D1862" s="252">
        <v>64.8</v>
      </c>
      <c r="E1862" s="252" t="s">
        <v>766</v>
      </c>
      <c r="F1862" s="252">
        <v>129.6</v>
      </c>
    </row>
    <row r="1863" spans="1:6">
      <c r="A1863" s="252">
        <v>1</v>
      </c>
      <c r="B1863" s="252" t="s">
        <v>766</v>
      </c>
      <c r="C1863" s="1162" t="s">
        <v>2445</v>
      </c>
      <c r="D1863" s="252">
        <v>181</v>
      </c>
      <c r="E1863" s="252" t="s">
        <v>766</v>
      </c>
      <c r="F1863" s="252">
        <v>181</v>
      </c>
    </row>
    <row r="1864" spans="1:6">
      <c r="A1864" s="252">
        <v>92</v>
      </c>
      <c r="B1864" s="252" t="s">
        <v>766</v>
      </c>
      <c r="C1864" s="1162" t="s">
        <v>3629</v>
      </c>
      <c r="D1864" s="252">
        <v>2.41</v>
      </c>
      <c r="E1864" s="252" t="s">
        <v>766</v>
      </c>
      <c r="F1864" s="252">
        <v>221.72</v>
      </c>
    </row>
    <row r="1865" spans="1:6">
      <c r="A1865" s="252">
        <v>1</v>
      </c>
      <c r="B1865" s="252" t="s">
        <v>766</v>
      </c>
      <c r="C1865" s="1162" t="s">
        <v>3630</v>
      </c>
      <c r="D1865" s="252">
        <v>23.1</v>
      </c>
      <c r="E1865" s="252" t="s">
        <v>766</v>
      </c>
      <c r="F1865" s="252">
        <v>23.1</v>
      </c>
    </row>
    <row r="1866" spans="1:6">
      <c r="A1866" s="252">
        <v>1</v>
      </c>
      <c r="B1866" s="252" t="s">
        <v>766</v>
      </c>
      <c r="C1866" s="1162" t="s">
        <v>3631</v>
      </c>
      <c r="D1866" s="252">
        <v>49.55</v>
      </c>
      <c r="E1866" s="252" t="s">
        <v>766</v>
      </c>
      <c r="F1866" s="252">
        <v>49.55</v>
      </c>
    </row>
    <row r="1867" spans="1:6">
      <c r="A1867" s="252">
        <v>0.35</v>
      </c>
      <c r="B1867" s="252" t="s">
        <v>606</v>
      </c>
      <c r="C1867" s="1162" t="s">
        <v>3750</v>
      </c>
      <c r="D1867" s="252">
        <v>233.74</v>
      </c>
      <c r="E1867" s="252" t="s">
        <v>606</v>
      </c>
    </row>
    <row r="1868" spans="1:6">
      <c r="C1868" s="1162" t="s">
        <v>3635</v>
      </c>
      <c r="F1868" s="252">
        <v>5482.83</v>
      </c>
    </row>
    <row r="1869" spans="1:6">
      <c r="C1869" s="1162" t="s">
        <v>3215</v>
      </c>
      <c r="F1869" s="252">
        <v>3012.54</v>
      </c>
    </row>
    <row r="1871" spans="1:6">
      <c r="C1871" s="1162" t="s">
        <v>4334</v>
      </c>
    </row>
    <row r="1872" spans="1:6">
      <c r="C1872" s="1162" t="s">
        <v>4619</v>
      </c>
      <c r="D1872" s="252">
        <v>1.62</v>
      </c>
    </row>
    <row r="1873" spans="1:6">
      <c r="A1873" s="252">
        <v>1.62</v>
      </c>
      <c r="B1873" s="252" t="s">
        <v>606</v>
      </c>
      <c r="C1873" s="1162" t="s">
        <v>4336</v>
      </c>
      <c r="D1873" s="252">
        <v>2255</v>
      </c>
      <c r="E1873" s="252" t="s">
        <v>606</v>
      </c>
      <c r="F1873" s="252">
        <v>3653.1</v>
      </c>
    </row>
    <row r="1874" spans="1:6">
      <c r="A1874" s="252">
        <v>1.62</v>
      </c>
      <c r="B1874" s="252" t="s">
        <v>606</v>
      </c>
      <c r="C1874" s="1162" t="s">
        <v>3856</v>
      </c>
      <c r="D1874" s="252">
        <v>214.1</v>
      </c>
      <c r="E1874" s="252" t="s">
        <v>606</v>
      </c>
      <c r="F1874" s="252">
        <v>346.84</v>
      </c>
    </row>
    <row r="1875" spans="1:6">
      <c r="A1875" s="252">
        <v>2</v>
      </c>
      <c r="B1875" s="252" t="s">
        <v>766</v>
      </c>
      <c r="C1875" s="1162" t="s">
        <v>3626</v>
      </c>
      <c r="D1875" s="252">
        <v>57.65</v>
      </c>
      <c r="E1875" s="252" t="s">
        <v>766</v>
      </c>
      <c r="F1875" s="252">
        <v>115.3</v>
      </c>
    </row>
    <row r="1876" spans="1:6">
      <c r="A1876" s="252">
        <v>3</v>
      </c>
      <c r="B1876" s="252" t="s">
        <v>766</v>
      </c>
      <c r="C1876" s="1162" t="s">
        <v>3627</v>
      </c>
      <c r="D1876" s="252">
        <v>89.6</v>
      </c>
      <c r="E1876" s="252" t="s">
        <v>766</v>
      </c>
      <c r="F1876" s="252">
        <v>268.8</v>
      </c>
    </row>
    <row r="1877" spans="1:6">
      <c r="A1877" s="252">
        <v>2</v>
      </c>
      <c r="B1877" s="252" t="s">
        <v>766</v>
      </c>
      <c r="C1877" s="1162" t="s">
        <v>3628</v>
      </c>
      <c r="D1877" s="252">
        <v>64.8</v>
      </c>
      <c r="E1877" s="252" t="s">
        <v>766</v>
      </c>
      <c r="F1877" s="252">
        <v>129.6</v>
      </c>
    </row>
    <row r="1878" spans="1:6">
      <c r="A1878" s="252">
        <v>1</v>
      </c>
      <c r="B1878" s="252" t="s">
        <v>766</v>
      </c>
      <c r="C1878" s="1162" t="s">
        <v>2445</v>
      </c>
      <c r="D1878" s="252">
        <v>181</v>
      </c>
      <c r="E1878" s="252" t="s">
        <v>766</v>
      </c>
      <c r="F1878" s="252">
        <v>181</v>
      </c>
    </row>
    <row r="1879" spans="1:6">
      <c r="A1879" s="252">
        <v>92</v>
      </c>
      <c r="B1879" s="252" t="s">
        <v>766</v>
      </c>
      <c r="C1879" s="1162" t="s">
        <v>3629</v>
      </c>
      <c r="D1879" s="252">
        <v>2.41</v>
      </c>
      <c r="E1879" s="252" t="s">
        <v>766</v>
      </c>
      <c r="F1879" s="252">
        <v>221.72</v>
      </c>
    </row>
    <row r="1880" spans="1:6">
      <c r="A1880" s="252">
        <v>1</v>
      </c>
      <c r="B1880" s="252" t="s">
        <v>766</v>
      </c>
      <c r="C1880" s="1162" t="s">
        <v>3630</v>
      </c>
      <c r="D1880" s="252">
        <v>23.1</v>
      </c>
      <c r="E1880" s="252" t="s">
        <v>766</v>
      </c>
      <c r="F1880" s="252">
        <v>23.1</v>
      </c>
    </row>
    <row r="1881" spans="1:6">
      <c r="A1881" s="252">
        <v>1</v>
      </c>
      <c r="B1881" s="252" t="s">
        <v>766</v>
      </c>
      <c r="C1881" s="1162" t="s">
        <v>3631</v>
      </c>
      <c r="D1881" s="252">
        <v>49.55</v>
      </c>
      <c r="E1881" s="252" t="s">
        <v>766</v>
      </c>
      <c r="F1881" s="252">
        <v>49.55</v>
      </c>
    </row>
    <row r="1882" spans="1:6">
      <c r="A1882" s="252">
        <v>0.35</v>
      </c>
      <c r="B1882" s="252" t="s">
        <v>606</v>
      </c>
      <c r="C1882" s="1162" t="s">
        <v>3750</v>
      </c>
      <c r="D1882" s="252">
        <v>233.74</v>
      </c>
      <c r="E1882" s="252" t="s">
        <v>606</v>
      </c>
    </row>
    <row r="1883" spans="1:6">
      <c r="C1883" s="1162" t="s">
        <v>4335</v>
      </c>
      <c r="F1883" s="252">
        <v>4989.01</v>
      </c>
    </row>
    <row r="1884" spans="1:6">
      <c r="C1884" s="1162" t="s">
        <v>3215</v>
      </c>
      <c r="F1884" s="252">
        <v>3079.64</v>
      </c>
    </row>
    <row r="1886" spans="1:6">
      <c r="A1886" s="252">
        <v>15.1</v>
      </c>
      <c r="B1886" s="252" t="s">
        <v>1749</v>
      </c>
      <c r="C1886" s="1162" t="s">
        <v>4228</v>
      </c>
    </row>
    <row r="1887" spans="1:6">
      <c r="C1887" s="1162" t="s">
        <v>2271</v>
      </c>
    </row>
    <row r="1888" spans="1:6">
      <c r="A1888" s="252">
        <v>10</v>
      </c>
      <c r="B1888" s="252" t="s">
        <v>2273</v>
      </c>
      <c r="C1888" s="1162" t="s">
        <v>4886</v>
      </c>
      <c r="D1888" s="252">
        <v>886</v>
      </c>
      <c r="E1888" s="252" t="s">
        <v>2273</v>
      </c>
      <c r="F1888" s="252">
        <v>8860</v>
      </c>
    </row>
    <row r="1889" spans="1:6">
      <c r="A1889" s="252">
        <v>0.12</v>
      </c>
      <c r="B1889" s="252" t="s">
        <v>866</v>
      </c>
      <c r="C1889" s="1162" t="s">
        <v>781</v>
      </c>
      <c r="D1889" s="252">
        <v>4861.3</v>
      </c>
      <c r="E1889" s="252" t="s">
        <v>866</v>
      </c>
      <c r="F1889" s="252">
        <v>583.36</v>
      </c>
    </row>
    <row r="1890" spans="1:6">
      <c r="A1890" s="252">
        <v>1</v>
      </c>
      <c r="B1890" s="252" t="s">
        <v>557</v>
      </c>
      <c r="C1890" s="1162" t="s">
        <v>558</v>
      </c>
      <c r="D1890" s="252">
        <v>999</v>
      </c>
      <c r="E1890" s="252" t="s">
        <v>1393</v>
      </c>
      <c r="F1890" s="252">
        <v>999</v>
      </c>
    </row>
    <row r="1891" spans="1:6">
      <c r="A1891" s="252">
        <v>1</v>
      </c>
      <c r="B1891" s="252" t="s">
        <v>557</v>
      </c>
      <c r="C1891" s="1162" t="s">
        <v>4622</v>
      </c>
      <c r="D1891" s="252">
        <v>651</v>
      </c>
      <c r="E1891" s="252" t="s">
        <v>1393</v>
      </c>
      <c r="F1891" s="252">
        <v>651</v>
      </c>
    </row>
    <row r="1892" spans="1:6">
      <c r="B1892" s="252" t="s">
        <v>446</v>
      </c>
      <c r="C1892" s="1162" t="s">
        <v>59</v>
      </c>
      <c r="E1892" s="252" t="s">
        <v>446</v>
      </c>
      <c r="F1892" s="252">
        <v>0.33</v>
      </c>
    </row>
    <row r="1893" spans="1:6">
      <c r="C1893" s="1162" t="s">
        <v>927</v>
      </c>
    </row>
    <row r="1894" spans="1:6">
      <c r="C1894" s="1162" t="s">
        <v>404</v>
      </c>
      <c r="F1894" s="252">
        <v>11093.69</v>
      </c>
    </row>
    <row r="1895" spans="1:6">
      <c r="F1895" s="252" t="s">
        <v>1579</v>
      </c>
    </row>
    <row r="1896" spans="1:6">
      <c r="C1896" s="1162" t="s">
        <v>408</v>
      </c>
      <c r="F1896" s="252">
        <v>1109.3699999999999</v>
      </c>
    </row>
    <row r="1897" spans="1:6">
      <c r="C1897" s="1162" t="s">
        <v>383</v>
      </c>
      <c r="E1897" s="252">
        <v>1.2</v>
      </c>
      <c r="F1897" s="252">
        <v>1110.57</v>
      </c>
    </row>
    <row r="1898" spans="1:6">
      <c r="C1898" s="1162" t="s">
        <v>385</v>
      </c>
      <c r="E1898" s="252">
        <v>2.36</v>
      </c>
      <c r="F1898" s="252">
        <v>1112.93</v>
      </c>
    </row>
    <row r="1899" spans="1:6">
      <c r="C1899" s="1162" t="s">
        <v>2222</v>
      </c>
      <c r="E1899" s="252">
        <v>2.36</v>
      </c>
      <c r="F1899" s="252">
        <v>1115.29</v>
      </c>
    </row>
    <row r="1900" spans="1:6">
      <c r="C1900" s="1162" t="s">
        <v>377</v>
      </c>
      <c r="E1900" s="252">
        <v>1.95</v>
      </c>
      <c r="F1900" s="252">
        <v>1117.24</v>
      </c>
    </row>
    <row r="1901" spans="1:6">
      <c r="C1901" s="1162" t="s">
        <v>1359</v>
      </c>
      <c r="E1901" s="252">
        <v>1.95</v>
      </c>
      <c r="F1901" s="252">
        <v>1119.19</v>
      </c>
    </row>
    <row r="1903" spans="1:6">
      <c r="C1903" s="1162" t="s">
        <v>3813</v>
      </c>
    </row>
    <row r="1904" spans="1:6">
      <c r="C1904" s="1162" t="s">
        <v>1579</v>
      </c>
    </row>
    <row r="1905" spans="1:6">
      <c r="B1905" s="252" t="s">
        <v>2241</v>
      </c>
      <c r="C1905" s="1162" t="s">
        <v>3814</v>
      </c>
    </row>
    <row r="1906" spans="1:6">
      <c r="C1906" s="1162" t="s">
        <v>3815</v>
      </c>
    </row>
    <row r="1907" spans="1:6">
      <c r="C1907" s="1162" t="s">
        <v>153</v>
      </c>
    </row>
    <row r="1908" spans="1:6">
      <c r="C1908" s="1162" t="s">
        <v>1579</v>
      </c>
    </row>
    <row r="1909" spans="1:6">
      <c r="B1909" s="252" t="s">
        <v>154</v>
      </c>
      <c r="C1909" s="1162" t="s">
        <v>3816</v>
      </c>
    </row>
    <row r="1910" spans="1:6">
      <c r="C1910" s="1162" t="s">
        <v>1579</v>
      </c>
    </row>
    <row r="1911" spans="1:6">
      <c r="A1911" s="252">
        <v>18.899999999999999</v>
      </c>
      <c r="B1911" s="252" t="s">
        <v>866</v>
      </c>
      <c r="C1911" s="1162" t="s">
        <v>614</v>
      </c>
      <c r="D1911" s="252">
        <v>224.1</v>
      </c>
      <c r="E1911" s="252" t="s">
        <v>866</v>
      </c>
      <c r="F1911" s="252">
        <v>4235.49</v>
      </c>
    </row>
    <row r="1912" spans="1:6">
      <c r="A1912" s="252">
        <v>18.63</v>
      </c>
      <c r="B1912" s="252" t="s">
        <v>866</v>
      </c>
      <c r="C1912" s="1162" t="s">
        <v>2148</v>
      </c>
      <c r="D1912" s="252">
        <v>38.950000000000003</v>
      </c>
      <c r="E1912" s="252" t="s">
        <v>866</v>
      </c>
      <c r="F1912" s="252">
        <v>725.64</v>
      </c>
    </row>
    <row r="1913" spans="1:6">
      <c r="A1913" s="252">
        <v>30</v>
      </c>
      <c r="B1913" s="252" t="s">
        <v>1763</v>
      </c>
      <c r="C1913" s="1162" t="s">
        <v>5540</v>
      </c>
      <c r="D1913" s="252">
        <v>288</v>
      </c>
      <c r="E1913" s="252" t="s">
        <v>1763</v>
      </c>
      <c r="F1913" s="252">
        <v>8640</v>
      </c>
    </row>
    <row r="1915" spans="1:6">
      <c r="A1915" s="252">
        <v>30</v>
      </c>
      <c r="B1915" s="252" t="s">
        <v>1763</v>
      </c>
      <c r="C1915" s="1162" t="s">
        <v>2149</v>
      </c>
      <c r="D1915" s="252">
        <v>21.01</v>
      </c>
      <c r="E1915" s="252" t="s">
        <v>1763</v>
      </c>
      <c r="F1915" s="252">
        <v>630.29999999999995</v>
      </c>
    </row>
    <row r="1916" spans="1:6">
      <c r="C1916" s="1162" t="s">
        <v>2150</v>
      </c>
    </row>
    <row r="1917" spans="1:6">
      <c r="C1917" s="1162" t="s">
        <v>2151</v>
      </c>
    </row>
    <row r="1918" spans="1:6">
      <c r="C1918" s="1162" t="s">
        <v>2152</v>
      </c>
    </row>
    <row r="1919" spans="1:6">
      <c r="C1919" s="1162" t="s">
        <v>5541</v>
      </c>
    </row>
    <row r="1921" spans="1:6">
      <c r="A1921" s="252">
        <v>5</v>
      </c>
      <c r="B1921" s="252" t="s">
        <v>766</v>
      </c>
      <c r="C1921" s="1162" t="s">
        <v>5037</v>
      </c>
      <c r="D1921" s="252">
        <v>44.99</v>
      </c>
      <c r="E1921" s="252" t="s">
        <v>766</v>
      </c>
      <c r="F1921" s="252">
        <v>224.95</v>
      </c>
    </row>
    <row r="1922" spans="1:6">
      <c r="A1922" s="252">
        <v>1</v>
      </c>
      <c r="B1922" s="252" t="s">
        <v>446</v>
      </c>
      <c r="C1922" s="1162" t="s">
        <v>1676</v>
      </c>
      <c r="D1922" s="252">
        <v>12.1</v>
      </c>
      <c r="E1922" s="252" t="s">
        <v>446</v>
      </c>
      <c r="F1922" s="252">
        <v>12.1</v>
      </c>
    </row>
    <row r="1923" spans="1:6">
      <c r="B1923" s="252" t="s">
        <v>446</v>
      </c>
      <c r="C1923" s="1162" t="s">
        <v>447</v>
      </c>
      <c r="E1923" s="252" t="s">
        <v>446</v>
      </c>
      <c r="F1923" s="252">
        <v>17.38</v>
      </c>
    </row>
    <row r="1925" spans="1:6">
      <c r="F1925" s="252" t="s">
        <v>1579</v>
      </c>
    </row>
    <row r="1926" spans="1:6">
      <c r="C1926" s="1162" t="s">
        <v>1537</v>
      </c>
      <c r="F1926" s="252">
        <v>14485.86</v>
      </c>
    </row>
    <row r="1927" spans="1:6">
      <c r="F1927" s="252" t="s">
        <v>1579</v>
      </c>
    </row>
    <row r="1928" spans="1:6">
      <c r="C1928" s="1162" t="s">
        <v>1538</v>
      </c>
      <c r="F1928" s="252">
        <v>482.86</v>
      </c>
    </row>
    <row r="1929" spans="1:6">
      <c r="F1929" s="252" t="s">
        <v>1579</v>
      </c>
    </row>
    <row r="1930" spans="1:6">
      <c r="B1930" s="252" t="s">
        <v>1548</v>
      </c>
      <c r="C1930" s="1162" t="s">
        <v>3817</v>
      </c>
    </row>
    <row r="1931" spans="1:6">
      <c r="C1931" s="1162" t="s">
        <v>1579</v>
      </c>
    </row>
    <row r="1932" spans="1:6">
      <c r="A1932" s="252">
        <v>18.899999999999999</v>
      </c>
      <c r="B1932" s="252" t="s">
        <v>866</v>
      </c>
      <c r="C1932" s="1162" t="s">
        <v>614</v>
      </c>
      <c r="D1932" s="252">
        <v>224.1</v>
      </c>
      <c r="E1932" s="252" t="s">
        <v>866</v>
      </c>
      <c r="F1932" s="252">
        <v>4235.49</v>
      </c>
    </row>
    <row r="1933" spans="1:6">
      <c r="A1933" s="252">
        <v>18.3</v>
      </c>
      <c r="B1933" s="252" t="s">
        <v>866</v>
      </c>
      <c r="C1933" s="1162" t="s">
        <v>2148</v>
      </c>
      <c r="D1933" s="252">
        <v>38.950000000000003</v>
      </c>
      <c r="E1933" s="252" t="s">
        <v>866</v>
      </c>
      <c r="F1933" s="252">
        <v>712.79</v>
      </c>
    </row>
    <row r="1934" spans="1:6">
      <c r="A1934" s="252">
        <v>30</v>
      </c>
      <c r="B1934" s="252" t="s">
        <v>1763</v>
      </c>
      <c r="C1934" s="1162" t="s">
        <v>5540</v>
      </c>
      <c r="D1934" s="252">
        <v>604.5</v>
      </c>
      <c r="E1934" s="252" t="s">
        <v>1763</v>
      </c>
      <c r="F1934" s="252">
        <v>18135</v>
      </c>
    </row>
    <row r="1936" spans="1:6">
      <c r="A1936" s="252">
        <v>30</v>
      </c>
      <c r="C1936" s="1162" t="s">
        <v>2149</v>
      </c>
      <c r="D1936" s="252">
        <v>29.7</v>
      </c>
      <c r="E1936" s="252" t="s">
        <v>1763</v>
      </c>
      <c r="F1936" s="252">
        <v>891</v>
      </c>
    </row>
    <row r="1937" spans="1:6">
      <c r="C1937" s="1162" t="s">
        <v>2150</v>
      </c>
    </row>
    <row r="1938" spans="1:6">
      <c r="C1938" s="1162" t="s">
        <v>2151</v>
      </c>
    </row>
    <row r="1939" spans="1:6">
      <c r="C1939" s="1162" t="s">
        <v>2152</v>
      </c>
    </row>
    <row r="1940" spans="1:6">
      <c r="C1940" s="1162" t="s">
        <v>5541</v>
      </c>
    </row>
    <row r="1942" spans="1:6">
      <c r="A1942" s="252">
        <v>5</v>
      </c>
      <c r="B1942" s="252" t="s">
        <v>446</v>
      </c>
      <c r="C1942" s="1162" t="s">
        <v>5037</v>
      </c>
      <c r="D1942" s="252">
        <v>44.99</v>
      </c>
      <c r="E1942" s="252" t="s">
        <v>766</v>
      </c>
      <c r="F1942" s="252">
        <v>224.95</v>
      </c>
    </row>
    <row r="1943" spans="1:6">
      <c r="A1943" s="252">
        <v>1</v>
      </c>
      <c r="C1943" s="1162" t="s">
        <v>1676</v>
      </c>
      <c r="D1943" s="252">
        <v>12.1</v>
      </c>
      <c r="E1943" s="252" t="s">
        <v>446</v>
      </c>
      <c r="F1943" s="252">
        <v>12.1</v>
      </c>
    </row>
    <row r="1944" spans="1:6">
      <c r="C1944" s="1162" t="s">
        <v>447</v>
      </c>
      <c r="E1944" s="252" t="s">
        <v>446</v>
      </c>
      <c r="F1944" s="252">
        <v>2.4900000000000002</v>
      </c>
    </row>
    <row r="1946" spans="1:6">
      <c r="C1946" s="1162" t="s">
        <v>1537</v>
      </c>
      <c r="F1946" s="252">
        <v>24213.82</v>
      </c>
    </row>
    <row r="1947" spans="1:6">
      <c r="F1947" s="252" t="s">
        <v>1579</v>
      </c>
    </row>
    <row r="1948" spans="1:6">
      <c r="C1948" s="1162" t="s">
        <v>1538</v>
      </c>
      <c r="F1948" s="252">
        <v>807.13</v>
      </c>
    </row>
    <row r="1950" spans="1:6">
      <c r="A1950" s="252">
        <v>57</v>
      </c>
      <c r="B1950" s="252" t="s">
        <v>2241</v>
      </c>
      <c r="C1950" s="1162" t="s">
        <v>7054</v>
      </c>
    </row>
    <row r="1951" spans="1:6">
      <c r="C1951" s="1162" t="s">
        <v>200</v>
      </c>
    </row>
    <row r="1952" spans="1:6">
      <c r="C1952" s="1162" t="s">
        <v>1764</v>
      </c>
    </row>
    <row r="1953" spans="1:6">
      <c r="C1953" s="1162" t="s">
        <v>1579</v>
      </c>
    </row>
    <row r="1954" spans="1:6">
      <c r="A1954" s="252">
        <v>1</v>
      </c>
      <c r="B1954" s="252" t="s">
        <v>780</v>
      </c>
      <c r="C1954" s="1162" t="s">
        <v>1118</v>
      </c>
      <c r="D1954" s="252">
        <v>3090</v>
      </c>
      <c r="E1954" s="252" t="s">
        <v>780</v>
      </c>
      <c r="F1954" s="252">
        <v>3090</v>
      </c>
    </row>
    <row r="1955" spans="1:6">
      <c r="C1955" s="1162" t="s">
        <v>1157</v>
      </c>
    </row>
    <row r="1956" spans="1:6">
      <c r="A1956" s="252">
        <v>1</v>
      </c>
      <c r="B1956" s="252" t="s">
        <v>865</v>
      </c>
      <c r="C1956" s="1162" t="s">
        <v>2000</v>
      </c>
      <c r="D1956" s="252">
        <v>999</v>
      </c>
      <c r="E1956" s="252" t="s">
        <v>865</v>
      </c>
      <c r="F1956" s="252">
        <v>999</v>
      </c>
    </row>
    <row r="1957" spans="1:6">
      <c r="A1957" s="252">
        <v>2</v>
      </c>
      <c r="B1957" s="252" t="s">
        <v>865</v>
      </c>
      <c r="C1957" s="1162" t="s">
        <v>2094</v>
      </c>
      <c r="D1957" s="252">
        <v>866</v>
      </c>
      <c r="E1957" s="252" t="s">
        <v>865</v>
      </c>
      <c r="F1957" s="252">
        <v>1732</v>
      </c>
    </row>
    <row r="1958" spans="1:6">
      <c r="A1958" s="252">
        <v>1</v>
      </c>
      <c r="B1958" s="252" t="s">
        <v>865</v>
      </c>
      <c r="C1958" s="1162" t="s">
        <v>317</v>
      </c>
      <c r="D1958" s="252">
        <v>534</v>
      </c>
      <c r="E1958" s="252" t="s">
        <v>865</v>
      </c>
      <c r="F1958" s="252">
        <v>534</v>
      </c>
    </row>
    <row r="1959" spans="1:6">
      <c r="C1959" s="1162" t="s">
        <v>710</v>
      </c>
    </row>
    <row r="1960" spans="1:6">
      <c r="A1960" s="252">
        <v>0.5</v>
      </c>
      <c r="B1960" s="252" t="s">
        <v>865</v>
      </c>
      <c r="C1960" s="1162" t="s">
        <v>2094</v>
      </c>
      <c r="D1960" s="252">
        <v>866</v>
      </c>
      <c r="E1960" s="252" t="s">
        <v>865</v>
      </c>
      <c r="F1960" s="252">
        <v>433</v>
      </c>
    </row>
    <row r="1961" spans="1:6">
      <c r="A1961" s="252">
        <v>0.5</v>
      </c>
      <c r="B1961" s="252" t="s">
        <v>865</v>
      </c>
      <c r="C1961" s="1162" t="s">
        <v>1893</v>
      </c>
      <c r="D1961" s="252">
        <v>651</v>
      </c>
      <c r="E1961" s="252" t="s">
        <v>865</v>
      </c>
      <c r="F1961" s="252">
        <v>325.5</v>
      </c>
    </row>
    <row r="1962" spans="1:6">
      <c r="C1962" s="1162" t="s">
        <v>4221</v>
      </c>
      <c r="D1962" s="252">
        <v>0</v>
      </c>
      <c r="F1962" s="252">
        <v>-164</v>
      </c>
    </row>
    <row r="1963" spans="1:6">
      <c r="C1963" s="1162" t="s">
        <v>4222</v>
      </c>
      <c r="F1963" s="252">
        <v>134.1</v>
      </c>
    </row>
    <row r="1964" spans="1:6">
      <c r="B1964" s="252" t="s">
        <v>446</v>
      </c>
      <c r="C1964" s="1162" t="s">
        <v>447</v>
      </c>
      <c r="E1964" s="252" t="s">
        <v>446</v>
      </c>
      <c r="F1964" s="252">
        <v>0.7</v>
      </c>
    </row>
    <row r="1965" spans="1:6">
      <c r="C1965" s="1162" t="s">
        <v>1743</v>
      </c>
    </row>
    <row r="1966" spans="1:6">
      <c r="F1966" s="252">
        <v>7084.3</v>
      </c>
    </row>
    <row r="1968" spans="1:6">
      <c r="A1968" s="252">
        <v>44.1</v>
      </c>
      <c r="B1968" s="252" t="s">
        <v>2241</v>
      </c>
      <c r="C1968" s="1162" t="s">
        <v>1589</v>
      </c>
    </row>
    <row r="1969" spans="1:6">
      <c r="C1969" s="1162" t="s">
        <v>1590</v>
      </c>
    </row>
    <row r="1970" spans="1:6">
      <c r="C1970" s="1162" t="s">
        <v>7055</v>
      </c>
    </row>
    <row r="1971" spans="1:6">
      <c r="C1971" s="1162" t="s">
        <v>1579</v>
      </c>
    </row>
    <row r="1972" spans="1:6">
      <c r="A1972" s="252">
        <v>3</v>
      </c>
      <c r="B1972" s="252" t="s">
        <v>1763</v>
      </c>
      <c r="C1972" s="1162" t="s">
        <v>2037</v>
      </c>
      <c r="D1972" s="252">
        <v>120.54</v>
      </c>
      <c r="E1972" s="252" t="s">
        <v>1763</v>
      </c>
      <c r="F1972" s="252">
        <v>361.62</v>
      </c>
    </row>
    <row r="1973" spans="1:6">
      <c r="A1973" s="252">
        <v>1</v>
      </c>
      <c r="B1973" s="252" t="s">
        <v>865</v>
      </c>
      <c r="C1973" s="1162" t="s">
        <v>2090</v>
      </c>
      <c r="D1973" s="252">
        <v>76</v>
      </c>
      <c r="E1973" s="252" t="s">
        <v>865</v>
      </c>
      <c r="F1973" s="252">
        <v>76</v>
      </c>
    </row>
    <row r="1974" spans="1:6">
      <c r="A1974" s="252">
        <v>1</v>
      </c>
      <c r="B1974" s="252" t="s">
        <v>865</v>
      </c>
      <c r="C1974" s="1162" t="s">
        <v>2091</v>
      </c>
      <c r="D1974" s="252">
        <v>83.4</v>
      </c>
      <c r="E1974" s="252" t="s">
        <v>865</v>
      </c>
      <c r="F1974" s="252">
        <v>83.4</v>
      </c>
    </row>
    <row r="1975" spans="1:6">
      <c r="A1975" s="252">
        <v>2</v>
      </c>
      <c r="B1975" s="252" t="s">
        <v>865</v>
      </c>
      <c r="C1975" s="1162" t="s">
        <v>2092</v>
      </c>
      <c r="D1975" s="252">
        <v>21.6</v>
      </c>
      <c r="E1975" s="252" t="s">
        <v>865</v>
      </c>
      <c r="F1975" s="252">
        <v>43.2</v>
      </c>
    </row>
    <row r="1976" spans="1:6">
      <c r="A1976" s="252">
        <v>1</v>
      </c>
      <c r="B1976" s="252" t="s">
        <v>865</v>
      </c>
      <c r="C1976" s="1162" t="s">
        <v>2093</v>
      </c>
      <c r="D1976" s="252">
        <v>32.1</v>
      </c>
      <c r="E1976" s="252" t="s">
        <v>865</v>
      </c>
      <c r="F1976" s="252">
        <v>32.1</v>
      </c>
    </row>
    <row r="1977" spans="1:6">
      <c r="A1977" s="252">
        <v>0.5</v>
      </c>
      <c r="B1977" s="252" t="s">
        <v>865</v>
      </c>
      <c r="C1977" s="1162" t="s">
        <v>2094</v>
      </c>
      <c r="D1977" s="252">
        <v>866</v>
      </c>
      <c r="E1977" s="252" t="s">
        <v>865</v>
      </c>
      <c r="F1977" s="252">
        <v>433</v>
      </c>
    </row>
    <row r="1978" spans="1:6">
      <c r="B1978" s="252" t="s">
        <v>446</v>
      </c>
      <c r="C1978" s="1162" t="s">
        <v>602</v>
      </c>
      <c r="E1978" s="252" t="s">
        <v>446</v>
      </c>
    </row>
    <row r="1979" spans="1:6">
      <c r="C1979" s="1162" t="s">
        <v>20</v>
      </c>
    </row>
    <row r="1980" spans="1:6">
      <c r="F1980" s="252" t="s">
        <v>1579</v>
      </c>
    </row>
    <row r="1981" spans="1:6">
      <c r="C1981" s="1162" t="s">
        <v>1312</v>
      </c>
      <c r="F1981" s="252">
        <v>1029.32</v>
      </c>
    </row>
    <row r="1982" spans="1:6">
      <c r="A1982" s="252" t="s">
        <v>971</v>
      </c>
    </row>
    <row r="1983" spans="1:6">
      <c r="F1983" s="252" t="s">
        <v>1579</v>
      </c>
    </row>
    <row r="1984" spans="1:6">
      <c r="C1984" s="1162" t="s">
        <v>1538</v>
      </c>
      <c r="F1984" s="252">
        <v>343.11</v>
      </c>
    </row>
    <row r="1986" spans="1:6">
      <c r="C1986" s="268" t="s">
        <v>4642</v>
      </c>
    </row>
    <row r="1987" spans="1:6" ht="47.25">
      <c r="C1987" s="268" t="s">
        <v>4643</v>
      </c>
    </row>
    <row r="1989" spans="1:6">
      <c r="A1989" s="252">
        <v>1.5</v>
      </c>
      <c r="B1989" s="252" t="s">
        <v>823</v>
      </c>
      <c r="C1989" s="1162" t="s">
        <v>4288</v>
      </c>
      <c r="D1989" s="252">
        <v>128</v>
      </c>
      <c r="E1989" s="252" t="s">
        <v>823</v>
      </c>
      <c r="F1989" s="252">
        <v>192</v>
      </c>
    </row>
    <row r="1990" spans="1:6">
      <c r="A1990" s="252">
        <v>2</v>
      </c>
      <c r="B1990" s="252" t="s">
        <v>1986</v>
      </c>
      <c r="C1990" s="1162" t="s">
        <v>2850</v>
      </c>
      <c r="D1990" s="252">
        <v>35</v>
      </c>
      <c r="E1990" s="252" t="s">
        <v>1986</v>
      </c>
      <c r="F1990" s="252">
        <v>70</v>
      </c>
    </row>
    <row r="1993" spans="1:6">
      <c r="A1993" s="252">
        <v>8</v>
      </c>
      <c r="B1993" s="252" t="s">
        <v>823</v>
      </c>
      <c r="C1993" s="1162" t="s">
        <v>2852</v>
      </c>
      <c r="D1993" s="252">
        <v>25.75</v>
      </c>
      <c r="E1993" s="252" t="s">
        <v>3280</v>
      </c>
      <c r="F1993" s="252">
        <v>206</v>
      </c>
    </row>
    <row r="1994" spans="1:6">
      <c r="A1994" s="252">
        <v>1</v>
      </c>
      <c r="B1994" s="252" t="s">
        <v>1389</v>
      </c>
      <c r="C1994" s="1162" t="s">
        <v>2853</v>
      </c>
      <c r="D1994" s="252">
        <v>1781.67</v>
      </c>
      <c r="E1994" s="252" t="s">
        <v>1393</v>
      </c>
      <c r="F1994" s="252">
        <v>1781.67</v>
      </c>
    </row>
    <row r="1995" spans="1:6">
      <c r="C1995" s="1162" t="s">
        <v>2480</v>
      </c>
      <c r="D1995" s="252" t="s">
        <v>654</v>
      </c>
      <c r="F1995" s="252">
        <v>16</v>
      </c>
    </row>
    <row r="1996" spans="1:6">
      <c r="C1996" s="1162" t="s">
        <v>2362</v>
      </c>
      <c r="F1996" s="252">
        <v>2265.67</v>
      </c>
    </row>
    <row r="1998" spans="1:6">
      <c r="C1998" s="1162" t="s">
        <v>2481</v>
      </c>
    </row>
    <row r="1999" spans="1:6">
      <c r="A1999" s="252">
        <v>1</v>
      </c>
      <c r="B1999" s="252" t="s">
        <v>1389</v>
      </c>
      <c r="C1999" s="1162" t="s">
        <v>2695</v>
      </c>
      <c r="D1999" s="252">
        <v>947</v>
      </c>
      <c r="E1999" s="252" t="s">
        <v>1389</v>
      </c>
      <c r="F1999" s="252">
        <v>947</v>
      </c>
    </row>
    <row r="2000" spans="1:6">
      <c r="A2000" s="252">
        <v>1</v>
      </c>
      <c r="B2000" s="252" t="s">
        <v>1389</v>
      </c>
      <c r="C2000" s="1162" t="s">
        <v>2744</v>
      </c>
      <c r="D2000" s="252">
        <v>826</v>
      </c>
      <c r="E2000" s="252" t="s">
        <v>1389</v>
      </c>
      <c r="F2000" s="252">
        <v>826</v>
      </c>
    </row>
    <row r="2001" spans="1:6">
      <c r="A2001" s="252">
        <v>2</v>
      </c>
      <c r="B2001" s="252" t="s">
        <v>1389</v>
      </c>
      <c r="C2001" s="1162" t="s">
        <v>2575</v>
      </c>
      <c r="D2001" s="252">
        <v>820</v>
      </c>
      <c r="E2001" s="252" t="s">
        <v>1389</v>
      </c>
      <c r="F2001" s="252">
        <v>1640</v>
      </c>
    </row>
    <row r="2002" spans="1:6">
      <c r="A2002" s="252">
        <v>3</v>
      </c>
      <c r="B2002" s="252" t="s">
        <v>1389</v>
      </c>
      <c r="C2002" s="1162" t="s">
        <v>2321</v>
      </c>
      <c r="D2002" s="252">
        <v>644</v>
      </c>
      <c r="E2002" s="252" t="s">
        <v>1389</v>
      </c>
      <c r="F2002" s="252">
        <v>1932</v>
      </c>
    </row>
    <row r="2003" spans="1:6">
      <c r="C2003" s="1162" t="s">
        <v>2839</v>
      </c>
      <c r="F2003" s="252">
        <v>5345</v>
      </c>
    </row>
    <row r="2004" spans="1:6">
      <c r="C2004" s="1162" t="s">
        <v>2770</v>
      </c>
      <c r="F2004" s="252">
        <v>1781.67</v>
      </c>
    </row>
    <row r="2007" spans="1:6">
      <c r="C2007" s="1162" t="s">
        <v>2364</v>
      </c>
    </row>
    <row r="2009" spans="1:6">
      <c r="C2009" s="1162" t="s">
        <v>4644</v>
      </c>
    </row>
    <row r="2011" spans="1:6">
      <c r="A2011" s="252">
        <v>1</v>
      </c>
      <c r="B2011" s="252" t="s">
        <v>1389</v>
      </c>
      <c r="C2011" s="1162" t="s">
        <v>5507</v>
      </c>
      <c r="D2011" s="252">
        <v>1193</v>
      </c>
      <c r="E2011" s="252" t="s">
        <v>1389</v>
      </c>
      <c r="F2011" s="252">
        <v>1193</v>
      </c>
    </row>
    <row r="2012" spans="1:6">
      <c r="A2012" s="252">
        <v>1</v>
      </c>
      <c r="B2012" s="252" t="s">
        <v>1389</v>
      </c>
      <c r="C2012" s="1162" t="s">
        <v>911</v>
      </c>
      <c r="D2012" s="252">
        <v>2265.67</v>
      </c>
      <c r="E2012" s="252" t="s">
        <v>1389</v>
      </c>
      <c r="F2012" s="252">
        <v>2265.67</v>
      </c>
    </row>
    <row r="2013" spans="1:6">
      <c r="C2013" s="1162" t="s">
        <v>2261</v>
      </c>
      <c r="F2013" s="252">
        <v>1.33</v>
      </c>
    </row>
    <row r="2014" spans="1:6">
      <c r="C2014" s="1162" t="s">
        <v>1058</v>
      </c>
      <c r="F2014" s="252">
        <v>3460</v>
      </c>
    </row>
    <row r="2016" spans="1:6">
      <c r="C2016" s="1162" t="s">
        <v>4607</v>
      </c>
    </row>
    <row r="2017" spans="1:6">
      <c r="A2017" s="252">
        <v>1</v>
      </c>
      <c r="B2017" s="252" t="s">
        <v>1389</v>
      </c>
      <c r="C2017" s="1162" t="s">
        <v>5511</v>
      </c>
      <c r="D2017" s="252">
        <v>391</v>
      </c>
      <c r="E2017" s="252" t="s">
        <v>1389</v>
      </c>
      <c r="F2017" s="252">
        <v>391</v>
      </c>
    </row>
    <row r="2018" spans="1:6">
      <c r="E2018" s="252" t="s">
        <v>1389</v>
      </c>
      <c r="F2018" s="252">
        <v>0</v>
      </c>
    </row>
    <row r="2019" spans="1:6">
      <c r="C2019" s="1162" t="s">
        <v>4635</v>
      </c>
      <c r="F2019" s="252">
        <v>312.93</v>
      </c>
    </row>
    <row r="2020" spans="1:6">
      <c r="C2020" s="1162" t="s">
        <v>2261</v>
      </c>
      <c r="F2020" s="252">
        <v>1.07</v>
      </c>
    </row>
    <row r="2021" spans="1:6">
      <c r="C2021" s="1162" t="s">
        <v>2844</v>
      </c>
      <c r="F2021" s="252">
        <v>705</v>
      </c>
    </row>
    <row r="2023" spans="1:6">
      <c r="C2023" s="1162" t="s">
        <v>2848</v>
      </c>
    </row>
    <row r="2024" spans="1:6">
      <c r="A2024" s="252">
        <v>1</v>
      </c>
      <c r="B2024" s="252" t="s">
        <v>1389</v>
      </c>
      <c r="C2024" s="1162" t="s">
        <v>5000</v>
      </c>
      <c r="D2024" s="252">
        <v>1366</v>
      </c>
      <c r="E2024" s="252" t="s">
        <v>1389</v>
      </c>
      <c r="F2024" s="252">
        <v>1366</v>
      </c>
    </row>
    <row r="2025" spans="1:6">
      <c r="A2025" s="252">
        <v>1</v>
      </c>
      <c r="B2025" s="252" t="s">
        <v>1389</v>
      </c>
      <c r="C2025" s="1162" t="s">
        <v>5001</v>
      </c>
      <c r="D2025" s="252">
        <v>185.9</v>
      </c>
      <c r="E2025" s="252" t="s">
        <v>1389</v>
      </c>
      <c r="F2025" s="252">
        <v>185.9</v>
      </c>
    </row>
    <row r="2026" spans="1:6">
      <c r="C2026" s="1162" t="s">
        <v>2844</v>
      </c>
      <c r="F2026" s="252">
        <v>1552.7</v>
      </c>
    </row>
    <row r="2028" spans="1:6" ht="78.75">
      <c r="C2028" s="268" t="s">
        <v>7060</v>
      </c>
    </row>
    <row r="2029" spans="1:6">
      <c r="A2029" s="252">
        <v>1</v>
      </c>
      <c r="B2029" s="252" t="s">
        <v>1389</v>
      </c>
      <c r="C2029" s="1162" t="s">
        <v>7061</v>
      </c>
      <c r="D2029" s="252">
        <v>5643</v>
      </c>
      <c r="E2029" s="252" t="s">
        <v>1389</v>
      </c>
      <c r="F2029" s="252">
        <v>5643</v>
      </c>
    </row>
    <row r="2030" spans="1:6">
      <c r="A2030" s="252">
        <v>1</v>
      </c>
      <c r="B2030" s="252" t="s">
        <v>1389</v>
      </c>
      <c r="C2030" s="1162" t="s">
        <v>4628</v>
      </c>
      <c r="D2030" s="252">
        <v>161.30000000000001</v>
      </c>
      <c r="E2030" s="252" t="s">
        <v>1389</v>
      </c>
      <c r="F2030" s="252">
        <v>161.30000000000001</v>
      </c>
    </row>
    <row r="2031" spans="1:6">
      <c r="C2031" s="1162" t="s">
        <v>2587</v>
      </c>
      <c r="F2031" s="252">
        <v>14.37</v>
      </c>
    </row>
    <row r="2032" spans="1:6">
      <c r="C2032" s="1162" t="s">
        <v>911</v>
      </c>
      <c r="F2032" s="252">
        <v>704.67</v>
      </c>
    </row>
    <row r="2033" spans="1:6">
      <c r="C2033" s="1162" t="s">
        <v>1058</v>
      </c>
      <c r="F2033" s="252">
        <v>6523.34</v>
      </c>
    </row>
    <row r="2035" spans="1:6">
      <c r="C2035" s="1162" t="s">
        <v>2652</v>
      </c>
    </row>
    <row r="2037" spans="1:6" ht="78.75">
      <c r="C2037" s="268" t="s">
        <v>7070</v>
      </c>
    </row>
    <row r="2038" spans="1:6">
      <c r="A2038" s="252">
        <v>3</v>
      </c>
      <c r="B2038" s="252" t="s">
        <v>1389</v>
      </c>
      <c r="C2038" s="1162" t="s">
        <v>7072</v>
      </c>
      <c r="D2038" s="252">
        <v>343.7</v>
      </c>
      <c r="E2038" s="252" t="s">
        <v>1393</v>
      </c>
      <c r="F2038" s="252">
        <v>1031.0999999999999</v>
      </c>
    </row>
    <row r="2039" spans="1:6">
      <c r="A2039" s="252">
        <v>1</v>
      </c>
      <c r="B2039" s="252" t="s">
        <v>1389</v>
      </c>
      <c r="C2039" s="1162" t="s">
        <v>3165</v>
      </c>
      <c r="D2039" s="252">
        <v>62.57</v>
      </c>
      <c r="E2039" s="252" t="s">
        <v>1389</v>
      </c>
      <c r="F2039" s="252">
        <v>62.57</v>
      </c>
    </row>
    <row r="2040" spans="1:6">
      <c r="C2040" s="1162" t="s">
        <v>911</v>
      </c>
      <c r="F2040" s="252">
        <v>527.75</v>
      </c>
    </row>
    <row r="2041" spans="1:6">
      <c r="C2041" s="1162" t="s">
        <v>2700</v>
      </c>
      <c r="D2041" s="252" t="s">
        <v>654</v>
      </c>
      <c r="F2041" s="252">
        <v>6.2</v>
      </c>
    </row>
    <row r="2042" spans="1:6">
      <c r="C2042" s="1162" t="s">
        <v>1058</v>
      </c>
      <c r="F2042" s="252">
        <v>1627.62</v>
      </c>
    </row>
    <row r="2044" spans="1:6">
      <c r="C2044" s="1162" t="s">
        <v>3165</v>
      </c>
      <c r="D2044" s="252">
        <v>104280</v>
      </c>
      <c r="E2044" s="252">
        <v>0</v>
      </c>
      <c r="F2044" s="252">
        <v>62.57</v>
      </c>
    </row>
    <row r="2046" spans="1:6">
      <c r="C2046" s="1162" t="s">
        <v>140</v>
      </c>
    </row>
    <row r="2047" spans="1:6">
      <c r="A2047" s="252">
        <v>1</v>
      </c>
      <c r="B2047" s="252" t="s">
        <v>1389</v>
      </c>
      <c r="C2047" s="1162" t="s">
        <v>2744</v>
      </c>
      <c r="D2047" s="252">
        <v>826</v>
      </c>
      <c r="E2047" s="252" t="s">
        <v>1389</v>
      </c>
      <c r="F2047" s="252">
        <v>826</v>
      </c>
    </row>
    <row r="2048" spans="1:6">
      <c r="A2048" s="252">
        <v>1</v>
      </c>
      <c r="B2048" s="252" t="s">
        <v>1389</v>
      </c>
      <c r="C2048" s="1162" t="s">
        <v>2575</v>
      </c>
      <c r="D2048" s="252">
        <v>820</v>
      </c>
      <c r="E2048" s="252" t="s">
        <v>1389</v>
      </c>
      <c r="F2048" s="252">
        <v>820</v>
      </c>
    </row>
    <row r="2049" spans="1:6">
      <c r="A2049" s="252">
        <v>4</v>
      </c>
      <c r="B2049" s="252" t="s">
        <v>1389</v>
      </c>
      <c r="C2049" s="1162" t="s">
        <v>2321</v>
      </c>
      <c r="D2049" s="252">
        <v>644</v>
      </c>
      <c r="E2049" s="252" t="s">
        <v>1389</v>
      </c>
      <c r="F2049" s="252">
        <v>2576</v>
      </c>
    </row>
    <row r="2050" spans="1:6">
      <c r="C2050" s="1162" t="s">
        <v>2650</v>
      </c>
      <c r="F2050" s="252">
        <v>4222</v>
      </c>
    </row>
    <row r="2051" spans="1:6">
      <c r="C2051" s="1162" t="s">
        <v>2864</v>
      </c>
      <c r="F2051" s="252">
        <v>527.75</v>
      </c>
    </row>
    <row r="2053" spans="1:6">
      <c r="A2053" s="252" t="s">
        <v>1136</v>
      </c>
      <c r="B2053" s="252" t="s">
        <v>2241</v>
      </c>
      <c r="C2053" s="1162" t="s">
        <v>81</v>
      </c>
    </row>
    <row r="2054" spans="1:6">
      <c r="C2054" s="1162" t="s">
        <v>1098</v>
      </c>
    </row>
    <row r="2055" spans="1:6">
      <c r="C2055" s="1162" t="s">
        <v>1099</v>
      </c>
    </row>
    <row r="2056" spans="1:6">
      <c r="C2056" s="1162" t="s">
        <v>1100</v>
      </c>
    </row>
    <row r="2057" spans="1:6">
      <c r="C2057" s="1162" t="s">
        <v>1579</v>
      </c>
    </row>
    <row r="2058" spans="1:6">
      <c r="A2058" s="252">
        <v>1</v>
      </c>
      <c r="B2058" s="252" t="s">
        <v>865</v>
      </c>
      <c r="C2058" s="1162" t="s">
        <v>709</v>
      </c>
      <c r="D2058" s="252">
        <v>1201</v>
      </c>
      <c r="E2058" s="252" t="s">
        <v>865</v>
      </c>
      <c r="F2058" s="252">
        <v>1201</v>
      </c>
    </row>
    <row r="2059" spans="1:6">
      <c r="A2059" s="252">
        <v>0.65</v>
      </c>
      <c r="B2059" s="252" t="s">
        <v>866</v>
      </c>
      <c r="C2059" s="1162" t="s">
        <v>247</v>
      </c>
      <c r="D2059" s="252">
        <v>224.1</v>
      </c>
      <c r="E2059" s="252" t="s">
        <v>866</v>
      </c>
      <c r="F2059" s="252">
        <v>145.66999999999999</v>
      </c>
    </row>
    <row r="2060" spans="1:6">
      <c r="A2060" s="252">
        <v>0.56999999999999995</v>
      </c>
      <c r="B2060" s="252" t="s">
        <v>866</v>
      </c>
      <c r="C2060" s="1162" t="s">
        <v>248</v>
      </c>
      <c r="D2060" s="252">
        <v>38.950000000000003</v>
      </c>
      <c r="E2060" s="252" t="s">
        <v>866</v>
      </c>
      <c r="F2060" s="252">
        <v>22.2</v>
      </c>
    </row>
    <row r="2061" spans="1:6">
      <c r="A2061" s="252">
        <v>8.1000000000000003E-2</v>
      </c>
      <c r="B2061" s="252" t="s">
        <v>866</v>
      </c>
      <c r="C2061" s="1162" t="s">
        <v>249</v>
      </c>
      <c r="D2061" s="252">
        <v>4094.04</v>
      </c>
      <c r="E2061" s="252" t="s">
        <v>866</v>
      </c>
      <c r="F2061" s="252">
        <v>331.62</v>
      </c>
    </row>
    <row r="2062" spans="1:6">
      <c r="A2062" s="252">
        <v>1</v>
      </c>
      <c r="B2062" s="252" t="s">
        <v>865</v>
      </c>
      <c r="C2062" s="1162" t="s">
        <v>2094</v>
      </c>
      <c r="D2062" s="252">
        <v>866</v>
      </c>
      <c r="E2062" s="252" t="s">
        <v>865</v>
      </c>
      <c r="F2062" s="252">
        <v>866</v>
      </c>
    </row>
    <row r="2063" spans="1:6">
      <c r="A2063" s="252">
        <v>0.5</v>
      </c>
      <c r="B2063" s="252" t="s">
        <v>865</v>
      </c>
      <c r="C2063" s="1162" t="s">
        <v>1704</v>
      </c>
      <c r="D2063" s="252">
        <v>932</v>
      </c>
      <c r="E2063" s="252" t="s">
        <v>865</v>
      </c>
      <c r="F2063" s="252">
        <v>466</v>
      </c>
    </row>
    <row r="2064" spans="1:6">
      <c r="A2064" s="252">
        <v>0.5</v>
      </c>
      <c r="B2064" s="252" t="s">
        <v>865</v>
      </c>
      <c r="C2064" s="1162" t="s">
        <v>1893</v>
      </c>
      <c r="D2064" s="252">
        <v>651</v>
      </c>
      <c r="E2064" s="252" t="s">
        <v>865</v>
      </c>
      <c r="F2064" s="252">
        <v>325.5</v>
      </c>
    </row>
    <row r="2065" spans="1:6">
      <c r="C2065" s="1162" t="s">
        <v>4221</v>
      </c>
      <c r="D2065" s="252" t="s">
        <v>7063</v>
      </c>
      <c r="F2065" s="252">
        <v>-164</v>
      </c>
    </row>
    <row r="2066" spans="1:6">
      <c r="C2066" s="1162" t="s">
        <v>4222</v>
      </c>
      <c r="F2066" s="252">
        <v>134.1</v>
      </c>
    </row>
    <row r="2067" spans="1:6">
      <c r="B2067" s="252" t="s">
        <v>654</v>
      </c>
      <c r="C2067" s="1162" t="s">
        <v>2261</v>
      </c>
      <c r="F2067" s="252">
        <v>0.32</v>
      </c>
    </row>
    <row r="2068" spans="1:6">
      <c r="C2068" s="1162" t="s">
        <v>1743</v>
      </c>
      <c r="F2068" s="252">
        <v>3328.41</v>
      </c>
    </row>
    <row r="2071" spans="1:6">
      <c r="A2071" s="252" t="s">
        <v>250</v>
      </c>
      <c r="B2071" s="252" t="s">
        <v>2241</v>
      </c>
      <c r="C2071" s="1162" t="s">
        <v>81</v>
      </c>
    </row>
    <row r="2072" spans="1:6">
      <c r="C2072" s="1162" t="s">
        <v>1098</v>
      </c>
    </row>
    <row r="2073" spans="1:6">
      <c r="C2073" s="1162" t="s">
        <v>1099</v>
      </c>
    </row>
    <row r="2074" spans="1:6">
      <c r="C2074" s="1162" t="s">
        <v>251</v>
      </c>
    </row>
    <row r="2075" spans="1:6">
      <c r="C2075" s="1162" t="s">
        <v>1579</v>
      </c>
    </row>
    <row r="2076" spans="1:6">
      <c r="A2076" s="252">
        <v>1</v>
      </c>
      <c r="B2076" s="252" t="s">
        <v>865</v>
      </c>
      <c r="C2076" s="1162" t="s">
        <v>709</v>
      </c>
      <c r="D2076" s="252">
        <v>1201</v>
      </c>
      <c r="E2076" s="252" t="s">
        <v>865</v>
      </c>
      <c r="F2076" s="252">
        <v>1201</v>
      </c>
    </row>
    <row r="2077" spans="1:6">
      <c r="A2077" s="252">
        <v>0.40500000000000003</v>
      </c>
      <c r="B2077" s="252" t="s">
        <v>866</v>
      </c>
      <c r="C2077" s="1162" t="s">
        <v>2206</v>
      </c>
      <c r="D2077" s="252">
        <v>3696.96</v>
      </c>
      <c r="E2077" s="252" t="s">
        <v>866</v>
      </c>
      <c r="F2077" s="252">
        <v>1497.27</v>
      </c>
    </row>
    <row r="2078" spans="1:6">
      <c r="C2078" s="1162" t="s">
        <v>1093</v>
      </c>
      <c r="D2078" s="252" t="s">
        <v>7063</v>
      </c>
      <c r="F2078" s="252" t="s">
        <v>971</v>
      </c>
    </row>
    <row r="2079" spans="1:6">
      <c r="A2079" s="252">
        <v>1.89</v>
      </c>
      <c r="B2079" s="252" t="s">
        <v>606</v>
      </c>
      <c r="C2079" s="1162" t="s">
        <v>261</v>
      </c>
      <c r="D2079" s="252">
        <v>278.27999999999997</v>
      </c>
      <c r="E2079" s="252" t="s">
        <v>606</v>
      </c>
      <c r="F2079" s="252">
        <v>525.95000000000005</v>
      </c>
    </row>
    <row r="2080" spans="1:6">
      <c r="C2080" s="1162" t="s">
        <v>262</v>
      </c>
      <c r="D2080" s="252" t="s">
        <v>7063</v>
      </c>
      <c r="F2080" s="252" t="s">
        <v>971</v>
      </c>
    </row>
    <row r="2081" spans="1:6">
      <c r="A2081" s="252">
        <v>8.1000000000000003E-2</v>
      </c>
      <c r="B2081" s="252" t="s">
        <v>866</v>
      </c>
      <c r="C2081" s="1162" t="s">
        <v>263</v>
      </c>
      <c r="D2081" s="252">
        <v>4094.04</v>
      </c>
      <c r="E2081" s="252" t="s">
        <v>866</v>
      </c>
      <c r="F2081" s="252">
        <v>331.62</v>
      </c>
    </row>
    <row r="2082" spans="1:6">
      <c r="C2082" s="1162" t="s">
        <v>264</v>
      </c>
    </row>
    <row r="2083" spans="1:6">
      <c r="A2083" s="252">
        <v>1</v>
      </c>
      <c r="B2083" s="252" t="s">
        <v>766</v>
      </c>
      <c r="C2083" s="1162" t="s">
        <v>2094</v>
      </c>
      <c r="D2083" s="252">
        <v>866</v>
      </c>
      <c r="E2083" s="252" t="s">
        <v>766</v>
      </c>
      <c r="F2083" s="252">
        <v>866</v>
      </c>
    </row>
    <row r="2084" spans="1:6">
      <c r="A2084" s="252">
        <v>0.5</v>
      </c>
      <c r="B2084" s="252" t="s">
        <v>865</v>
      </c>
      <c r="C2084" s="1162" t="s">
        <v>1704</v>
      </c>
      <c r="D2084" s="252">
        <v>932</v>
      </c>
      <c r="E2084" s="252" t="s">
        <v>865</v>
      </c>
      <c r="F2084" s="252">
        <v>466</v>
      </c>
    </row>
    <row r="2085" spans="1:6">
      <c r="A2085" s="252">
        <v>0.5</v>
      </c>
      <c r="B2085" s="252" t="s">
        <v>865</v>
      </c>
      <c r="C2085" s="1162" t="s">
        <v>1893</v>
      </c>
      <c r="D2085" s="252">
        <v>651</v>
      </c>
      <c r="E2085" s="252" t="s">
        <v>865</v>
      </c>
      <c r="F2085" s="252">
        <v>325.5</v>
      </c>
    </row>
    <row r="2086" spans="1:6">
      <c r="C2086" s="1162" t="s">
        <v>4221</v>
      </c>
      <c r="D2086" s="252" t="s">
        <v>7063</v>
      </c>
      <c r="F2086" s="252">
        <v>-164</v>
      </c>
    </row>
    <row r="2087" spans="1:6">
      <c r="C2087" s="1162" t="s">
        <v>4222</v>
      </c>
      <c r="F2087" s="252">
        <v>134.1</v>
      </c>
    </row>
    <row r="2088" spans="1:6">
      <c r="B2088" s="252" t="s">
        <v>654</v>
      </c>
      <c r="C2088" s="1162" t="s">
        <v>2261</v>
      </c>
      <c r="F2088" s="252">
        <v>0.47</v>
      </c>
    </row>
    <row r="2089" spans="1:6">
      <c r="C2089" s="1162" t="s">
        <v>1743</v>
      </c>
      <c r="F2089" s="252">
        <v>5183.91</v>
      </c>
    </row>
    <row r="2091" spans="1:6">
      <c r="C2091" s="1162" t="s">
        <v>2869</v>
      </c>
    </row>
    <row r="2093" spans="1:6" ht="189">
      <c r="C2093" s="268" t="s">
        <v>2375</v>
      </c>
    </row>
    <row r="2094" spans="1:6">
      <c r="A2094" s="252">
        <v>90</v>
      </c>
      <c r="B2094" s="252" t="s">
        <v>823</v>
      </c>
      <c r="C2094" s="1162" t="s">
        <v>3875</v>
      </c>
      <c r="D2094" s="252">
        <v>16.55</v>
      </c>
      <c r="E2094" s="252" t="s">
        <v>2529</v>
      </c>
      <c r="F2094" s="252">
        <v>1489.5</v>
      </c>
    </row>
    <row r="2095" spans="1:6">
      <c r="A2095" s="252">
        <v>45</v>
      </c>
      <c r="B2095" s="252" t="s">
        <v>823</v>
      </c>
      <c r="C2095" s="1162" t="s">
        <v>3870</v>
      </c>
      <c r="D2095" s="252">
        <v>20</v>
      </c>
      <c r="E2095" s="252" t="s">
        <v>2355</v>
      </c>
      <c r="F2095" s="252">
        <v>900</v>
      </c>
    </row>
    <row r="2096" spans="1:6">
      <c r="A2096" s="252">
        <v>20</v>
      </c>
      <c r="B2096" s="252" t="s">
        <v>1389</v>
      </c>
      <c r="C2096" s="1162" t="s">
        <v>3869</v>
      </c>
      <c r="D2096" s="252">
        <v>3.15</v>
      </c>
      <c r="E2096" s="252" t="s">
        <v>1389</v>
      </c>
      <c r="F2096" s="252">
        <v>63</v>
      </c>
    </row>
    <row r="2097" spans="1:6">
      <c r="A2097" s="252">
        <v>10</v>
      </c>
      <c r="B2097" s="252" t="s">
        <v>1389</v>
      </c>
      <c r="C2097" s="1162" t="s">
        <v>3877</v>
      </c>
      <c r="D2097" s="252">
        <v>1.34</v>
      </c>
      <c r="E2097" s="252" t="s">
        <v>1389</v>
      </c>
      <c r="F2097" s="252">
        <v>13.4</v>
      </c>
    </row>
    <row r="2098" spans="1:6">
      <c r="A2098" s="252">
        <v>1</v>
      </c>
      <c r="B2098" s="252" t="s">
        <v>1389</v>
      </c>
      <c r="C2098" s="1162" t="s">
        <v>3841</v>
      </c>
      <c r="D2098" s="252">
        <v>58</v>
      </c>
      <c r="E2098" s="252" t="s">
        <v>1389</v>
      </c>
      <c r="F2098" s="252">
        <v>58</v>
      </c>
    </row>
    <row r="2100" spans="1:6">
      <c r="A2100" s="252">
        <v>1.4999999999999999E-2</v>
      </c>
      <c r="B2100" s="252" t="s">
        <v>2273</v>
      </c>
      <c r="C2100" s="1162" t="s">
        <v>3871</v>
      </c>
      <c r="D2100" s="252">
        <v>661</v>
      </c>
      <c r="E2100" s="252" t="s">
        <v>2273</v>
      </c>
      <c r="F2100" s="252">
        <v>9.92</v>
      </c>
    </row>
    <row r="2101" spans="1:6">
      <c r="A2101" s="252">
        <v>10</v>
      </c>
      <c r="B2101" s="252" t="s">
        <v>1389</v>
      </c>
      <c r="C2101" s="1162" t="s">
        <v>3872</v>
      </c>
      <c r="D2101" s="252">
        <v>16.21</v>
      </c>
      <c r="E2101" s="252" t="s">
        <v>1389</v>
      </c>
      <c r="F2101" s="252">
        <v>162.1</v>
      </c>
    </row>
    <row r="2102" spans="1:6">
      <c r="A2102" s="252">
        <v>10</v>
      </c>
      <c r="B2102" s="252" t="s">
        <v>1389</v>
      </c>
      <c r="C2102" s="1162" t="s">
        <v>3873</v>
      </c>
      <c r="D2102" s="252">
        <v>13.8</v>
      </c>
      <c r="E2102" s="252" t="s">
        <v>1389</v>
      </c>
      <c r="F2102" s="252">
        <v>138</v>
      </c>
    </row>
    <row r="2103" spans="1:6">
      <c r="A2103" s="252">
        <v>10</v>
      </c>
      <c r="B2103" s="252" t="s">
        <v>1389</v>
      </c>
      <c r="C2103" s="1162" t="s">
        <v>3874</v>
      </c>
      <c r="D2103" s="252">
        <v>3.6</v>
      </c>
      <c r="E2103" s="252" t="s">
        <v>1389</v>
      </c>
      <c r="F2103" s="252">
        <v>36</v>
      </c>
    </row>
    <row r="2104" spans="1:6">
      <c r="A2104" s="252">
        <v>1.25</v>
      </c>
      <c r="B2104" s="252" t="s">
        <v>2622</v>
      </c>
      <c r="C2104" s="1162" t="s">
        <v>387</v>
      </c>
      <c r="D2104" s="252">
        <v>302</v>
      </c>
      <c r="E2104" s="252" t="s">
        <v>2622</v>
      </c>
      <c r="F2104" s="252">
        <v>377.5</v>
      </c>
    </row>
    <row r="2105" spans="1:6">
      <c r="A2105" s="252">
        <v>10</v>
      </c>
      <c r="B2105" s="252" t="s">
        <v>1389</v>
      </c>
      <c r="C2105" s="1162" t="s">
        <v>3841</v>
      </c>
      <c r="D2105" s="252">
        <v>58</v>
      </c>
      <c r="E2105" s="252" t="s">
        <v>1389</v>
      </c>
      <c r="F2105" s="252">
        <v>580</v>
      </c>
    </row>
    <row r="2106" spans="1:6">
      <c r="A2106" s="252">
        <v>0.15</v>
      </c>
      <c r="B2106" s="252" t="s">
        <v>2273</v>
      </c>
      <c r="C2106" s="1162" t="s">
        <v>3871</v>
      </c>
      <c r="D2106" s="252">
        <v>661</v>
      </c>
      <c r="E2106" s="252" t="s">
        <v>2273</v>
      </c>
      <c r="F2106" s="252">
        <v>99.15</v>
      </c>
    </row>
    <row r="2107" spans="1:6">
      <c r="A2107" s="252">
        <v>45</v>
      </c>
      <c r="B2107" s="252" t="s">
        <v>823</v>
      </c>
      <c r="C2107" s="1162" t="s">
        <v>3876</v>
      </c>
      <c r="D2107" s="252">
        <v>16.55</v>
      </c>
      <c r="E2107" s="252" t="s">
        <v>3280</v>
      </c>
      <c r="F2107" s="252">
        <v>744.75</v>
      </c>
    </row>
    <row r="2108" spans="1:6">
      <c r="A2108" s="252" t="s">
        <v>654</v>
      </c>
      <c r="C2108" s="1162" t="s">
        <v>911</v>
      </c>
      <c r="E2108" s="252" t="s">
        <v>654</v>
      </c>
      <c r="F2108" s="252">
        <v>12075</v>
      </c>
    </row>
    <row r="2109" spans="1:6">
      <c r="A2109" s="252" t="s">
        <v>654</v>
      </c>
      <c r="C2109" s="1162" t="s">
        <v>2261</v>
      </c>
      <c r="E2109" s="252" t="s">
        <v>654</v>
      </c>
      <c r="F2109" s="252">
        <v>40.6</v>
      </c>
    </row>
    <row r="2110" spans="1:6">
      <c r="C2110" s="1162" t="s">
        <v>3283</v>
      </c>
      <c r="F2110" s="252">
        <v>16786.919999999998</v>
      </c>
    </row>
    <row r="2111" spans="1:6">
      <c r="C2111" s="1162" t="s">
        <v>3285</v>
      </c>
      <c r="F2111" s="252">
        <v>1678.69</v>
      </c>
    </row>
    <row r="2113" spans="1:6">
      <c r="C2113" s="1162" t="s">
        <v>3287</v>
      </c>
    </row>
    <row r="2115" spans="1:6">
      <c r="C2115" s="1162" t="s">
        <v>3363</v>
      </c>
    </row>
    <row r="2117" spans="1:6">
      <c r="A2117" s="252">
        <v>1</v>
      </c>
      <c r="B2117" s="252" t="s">
        <v>1389</v>
      </c>
      <c r="C2117" s="1162" t="s">
        <v>3289</v>
      </c>
      <c r="D2117" s="252">
        <v>947</v>
      </c>
      <c r="E2117" s="252" t="s">
        <v>1389</v>
      </c>
      <c r="F2117" s="252">
        <v>947</v>
      </c>
    </row>
    <row r="2118" spans="1:6">
      <c r="A2118" s="252">
        <v>2</v>
      </c>
      <c r="B2118" s="252" t="s">
        <v>1389</v>
      </c>
      <c r="C2118" s="1162" t="s">
        <v>3290</v>
      </c>
      <c r="D2118" s="252">
        <v>826</v>
      </c>
      <c r="E2118" s="252" t="s">
        <v>1389</v>
      </c>
      <c r="F2118" s="252">
        <v>1652</v>
      </c>
    </row>
    <row r="2119" spans="1:6">
      <c r="A2119" s="252">
        <v>3</v>
      </c>
      <c r="B2119" s="252" t="s">
        <v>1389</v>
      </c>
      <c r="C2119" s="1162" t="s">
        <v>3291</v>
      </c>
      <c r="D2119" s="252">
        <v>820</v>
      </c>
      <c r="E2119" s="252" t="s">
        <v>1389</v>
      </c>
      <c r="F2119" s="252">
        <v>2460</v>
      </c>
    </row>
    <row r="2120" spans="1:6">
      <c r="A2120" s="252">
        <v>4</v>
      </c>
      <c r="B2120" s="252" t="s">
        <v>1389</v>
      </c>
      <c r="C2120" s="1162" t="s">
        <v>2321</v>
      </c>
      <c r="D2120" s="252">
        <v>644</v>
      </c>
      <c r="E2120" s="252" t="s">
        <v>1389</v>
      </c>
      <c r="F2120" s="252">
        <v>2576</v>
      </c>
    </row>
    <row r="2121" spans="1:6">
      <c r="C2121" s="1162" t="s">
        <v>3067</v>
      </c>
      <c r="D2121" s="252">
        <v>0</v>
      </c>
    </row>
    <row r="2122" spans="1:6">
      <c r="A2122" s="252">
        <v>2</v>
      </c>
      <c r="B2122" s="252" t="s">
        <v>1389</v>
      </c>
      <c r="C2122" s="1162" t="s">
        <v>7064</v>
      </c>
      <c r="D2122" s="252">
        <v>932</v>
      </c>
      <c r="E2122" s="252" t="s">
        <v>1389</v>
      </c>
      <c r="F2122" s="252">
        <v>1864</v>
      </c>
    </row>
    <row r="2123" spans="1:6">
      <c r="A2123" s="252">
        <v>4</v>
      </c>
      <c r="B2123" s="252" t="s">
        <v>1389</v>
      </c>
      <c r="C2123" s="1162" t="s">
        <v>3054</v>
      </c>
      <c r="D2123" s="252">
        <v>644</v>
      </c>
      <c r="E2123" s="252" t="s">
        <v>1389</v>
      </c>
      <c r="F2123" s="252">
        <v>2576</v>
      </c>
    </row>
    <row r="2124" spans="1:6">
      <c r="F2124" s="252">
        <v>12075</v>
      </c>
    </row>
    <row r="2126" spans="1:6">
      <c r="C2126" s="1162" t="s">
        <v>3068</v>
      </c>
    </row>
    <row r="2127" spans="1:6">
      <c r="C2127" s="1162" t="s">
        <v>3371</v>
      </c>
    </row>
    <row r="2129" spans="2:6" ht="204.75">
      <c r="C2129" s="268" t="s">
        <v>2471</v>
      </c>
    </row>
    <row r="2130" spans="2:6">
      <c r="C2130" s="1162" t="s">
        <v>2436</v>
      </c>
      <c r="F2130" s="252">
        <v>16746.32</v>
      </c>
    </row>
    <row r="2131" spans="2:6">
      <c r="C2131" s="1162" t="s">
        <v>2437</v>
      </c>
      <c r="F2131" s="252">
        <v>138</v>
      </c>
    </row>
    <row r="2132" spans="2:6">
      <c r="C2132" s="1162" t="s">
        <v>3689</v>
      </c>
      <c r="F2132" s="252">
        <v>166.5</v>
      </c>
    </row>
    <row r="2133" spans="2:6">
      <c r="C2133" s="1162" t="s">
        <v>2261</v>
      </c>
      <c r="F2133" s="252">
        <v>43.1</v>
      </c>
    </row>
    <row r="2134" spans="2:6">
      <c r="C2134" s="1162" t="s">
        <v>2415</v>
      </c>
      <c r="F2134" s="252">
        <v>16817.919999999998</v>
      </c>
    </row>
    <row r="2135" spans="2:6">
      <c r="C2135" s="1162" t="s">
        <v>2416</v>
      </c>
      <c r="F2135" s="252">
        <v>1681.79</v>
      </c>
    </row>
    <row r="2137" spans="2:6">
      <c r="C2137" s="1162" t="s">
        <v>2986</v>
      </c>
    </row>
    <row r="2138" spans="2:6">
      <c r="B2138" s="1162" t="s">
        <v>2987</v>
      </c>
    </row>
    <row r="2140" spans="2:6" ht="204.75">
      <c r="C2140" s="268" t="s">
        <v>3446</v>
      </c>
    </row>
    <row r="2141" spans="2:6">
      <c r="C2141" s="1162" t="s">
        <v>3370</v>
      </c>
      <c r="F2141" s="252">
        <v>16746.32</v>
      </c>
    </row>
    <row r="2142" spans="2:6">
      <c r="C2142" s="1162" t="s">
        <v>2961</v>
      </c>
      <c r="F2142" s="252">
        <v>138</v>
      </c>
    </row>
    <row r="2143" spans="2:6">
      <c r="C2143" s="1162" t="s">
        <v>2962</v>
      </c>
      <c r="F2143" s="252">
        <v>36</v>
      </c>
    </row>
    <row r="2144" spans="2:6">
      <c r="C2144" s="1162" t="s">
        <v>2963</v>
      </c>
      <c r="F2144" s="252">
        <v>162.1</v>
      </c>
    </row>
    <row r="2145" spans="1:6">
      <c r="C2145" s="1162" t="s">
        <v>3685</v>
      </c>
      <c r="F2145" s="252">
        <v>417</v>
      </c>
    </row>
    <row r="2146" spans="1:6">
      <c r="C2146" s="1162" t="s">
        <v>2964</v>
      </c>
      <c r="F2146" s="252">
        <v>90</v>
      </c>
    </row>
    <row r="2147" spans="1:6">
      <c r="C2147" s="1162" t="s">
        <v>3686</v>
      </c>
      <c r="F2147" s="252">
        <v>165</v>
      </c>
    </row>
    <row r="2148" spans="1:6">
      <c r="C2148" s="1162" t="s">
        <v>2261</v>
      </c>
      <c r="F2148" s="252">
        <v>32.200000000000003</v>
      </c>
    </row>
    <row r="2149" spans="1:6">
      <c r="C2149" s="1162" t="s">
        <v>2415</v>
      </c>
      <c r="F2149" s="252">
        <v>17114.419999999998</v>
      </c>
    </row>
    <row r="2150" spans="1:6">
      <c r="C2150" s="1162" t="s">
        <v>3137</v>
      </c>
      <c r="F2150" s="252">
        <v>1711.44</v>
      </c>
    </row>
    <row r="2152" spans="1:6">
      <c r="C2152" s="1162" t="s">
        <v>3138</v>
      </c>
    </row>
    <row r="2153" spans="1:6">
      <c r="C2153" s="1162" t="s">
        <v>3139</v>
      </c>
    </row>
    <row r="2154" spans="1:6" ht="173.25">
      <c r="C2154" s="268" t="s">
        <v>2759</v>
      </c>
    </row>
    <row r="2156" spans="1:6">
      <c r="A2156" s="252">
        <v>90</v>
      </c>
      <c r="B2156" s="252" t="s">
        <v>823</v>
      </c>
      <c r="C2156" s="1162" t="s">
        <v>3875</v>
      </c>
      <c r="D2156" s="252">
        <v>16.55</v>
      </c>
      <c r="E2156" s="252" t="s">
        <v>3280</v>
      </c>
      <c r="F2156" s="252">
        <v>1489.5</v>
      </c>
    </row>
    <row r="2157" spans="1:6">
      <c r="A2157" s="252">
        <v>45</v>
      </c>
      <c r="B2157" s="252" t="s">
        <v>823</v>
      </c>
      <c r="C2157" s="1162" t="s">
        <v>3870</v>
      </c>
      <c r="D2157" s="252">
        <v>20</v>
      </c>
      <c r="E2157" s="252" t="s">
        <v>823</v>
      </c>
      <c r="F2157" s="252">
        <v>900</v>
      </c>
    </row>
    <row r="2158" spans="1:6">
      <c r="A2158" s="252">
        <v>20</v>
      </c>
      <c r="B2158" s="252" t="s">
        <v>1389</v>
      </c>
      <c r="C2158" s="1162" t="s">
        <v>3869</v>
      </c>
      <c r="D2158" s="252">
        <v>3.15</v>
      </c>
      <c r="E2158" s="252" t="s">
        <v>1389</v>
      </c>
      <c r="F2158" s="252">
        <v>63</v>
      </c>
    </row>
    <row r="2159" spans="1:6">
      <c r="A2159" s="252">
        <v>10</v>
      </c>
      <c r="B2159" s="252" t="s">
        <v>1389</v>
      </c>
      <c r="C2159" s="1162" t="s">
        <v>3877</v>
      </c>
      <c r="D2159" s="252">
        <v>1.34</v>
      </c>
      <c r="E2159" s="252" t="s">
        <v>1389</v>
      </c>
      <c r="F2159" s="252">
        <v>13.4</v>
      </c>
    </row>
    <row r="2160" spans="1:6">
      <c r="A2160" s="252">
        <v>10</v>
      </c>
      <c r="B2160" s="252" t="s">
        <v>1389</v>
      </c>
      <c r="C2160" s="1162" t="s">
        <v>3874</v>
      </c>
      <c r="D2160" s="252">
        <v>3.6</v>
      </c>
      <c r="E2160" s="252" t="s">
        <v>1389</v>
      </c>
      <c r="F2160" s="252">
        <v>36</v>
      </c>
    </row>
    <row r="2161" spans="1:6">
      <c r="A2161" s="252">
        <v>10</v>
      </c>
      <c r="B2161" s="252" t="s">
        <v>1389</v>
      </c>
      <c r="C2161" s="1162" t="s">
        <v>3873</v>
      </c>
      <c r="D2161" s="252">
        <v>13.8</v>
      </c>
      <c r="E2161" s="252" t="s">
        <v>1389</v>
      </c>
      <c r="F2161" s="252">
        <v>138</v>
      </c>
    </row>
    <row r="2162" spans="1:6">
      <c r="A2162" s="252">
        <v>10</v>
      </c>
      <c r="B2162" s="252" t="s">
        <v>1389</v>
      </c>
      <c r="C2162" s="1162" t="s">
        <v>3872</v>
      </c>
      <c r="D2162" s="252">
        <v>16.21</v>
      </c>
      <c r="E2162" s="252" t="s">
        <v>1389</v>
      </c>
      <c r="F2162" s="252">
        <v>162.1</v>
      </c>
    </row>
    <row r="2163" spans="1:6">
      <c r="A2163" s="252">
        <v>10</v>
      </c>
      <c r="B2163" s="252" t="s">
        <v>1389</v>
      </c>
      <c r="C2163" s="1162" t="s">
        <v>3838</v>
      </c>
      <c r="D2163" s="252">
        <v>85</v>
      </c>
      <c r="E2163" s="252" t="s">
        <v>1389</v>
      </c>
      <c r="F2163" s="252">
        <v>850</v>
      </c>
    </row>
    <row r="2164" spans="1:6">
      <c r="A2164" s="252">
        <v>0.6</v>
      </c>
      <c r="B2164" s="252" t="s">
        <v>2273</v>
      </c>
      <c r="C2164" s="1162" t="s">
        <v>2625</v>
      </c>
      <c r="D2164" s="252">
        <v>661</v>
      </c>
      <c r="E2164" s="252" t="s">
        <v>2273</v>
      </c>
      <c r="F2164" s="252">
        <v>396.6</v>
      </c>
    </row>
    <row r="2165" spans="1:6">
      <c r="A2165" s="252">
        <v>1</v>
      </c>
      <c r="B2165" s="252" t="s">
        <v>1389</v>
      </c>
      <c r="C2165" s="1162" t="s">
        <v>3841</v>
      </c>
      <c r="D2165" s="252">
        <v>58</v>
      </c>
      <c r="E2165" s="252" t="s">
        <v>1389</v>
      </c>
      <c r="F2165" s="252">
        <v>58</v>
      </c>
    </row>
    <row r="2166" spans="1:6">
      <c r="A2166" s="252">
        <v>1.4999999999999999E-2</v>
      </c>
      <c r="B2166" s="252" t="s">
        <v>2273</v>
      </c>
      <c r="C2166" s="1162" t="s">
        <v>3871</v>
      </c>
      <c r="D2166" s="252">
        <v>661</v>
      </c>
      <c r="E2166" s="252" t="s">
        <v>2273</v>
      </c>
      <c r="F2166" s="252">
        <v>9.92</v>
      </c>
    </row>
    <row r="2167" spans="1:6">
      <c r="A2167" s="252">
        <v>1.25</v>
      </c>
      <c r="B2167" s="252" t="s">
        <v>2622</v>
      </c>
      <c r="C2167" s="1162" t="s">
        <v>387</v>
      </c>
      <c r="D2167" s="252">
        <v>302</v>
      </c>
      <c r="E2167" s="252" t="s">
        <v>2622</v>
      </c>
      <c r="F2167" s="252">
        <v>377.5</v>
      </c>
    </row>
    <row r="2168" spans="1:6">
      <c r="A2168" s="252">
        <v>45</v>
      </c>
      <c r="B2168" s="252" t="s">
        <v>823</v>
      </c>
      <c r="C2168" s="1162" t="s">
        <v>3876</v>
      </c>
      <c r="D2168" s="252">
        <v>16.55</v>
      </c>
      <c r="E2168" s="252" t="s">
        <v>3280</v>
      </c>
      <c r="F2168" s="252">
        <v>744.75</v>
      </c>
    </row>
    <row r="2169" spans="1:6">
      <c r="A2169" s="252" t="s">
        <v>654</v>
      </c>
      <c r="C2169" s="1162" t="s">
        <v>911</v>
      </c>
      <c r="F2169" s="252">
        <v>12075</v>
      </c>
    </row>
    <row r="2170" spans="1:6">
      <c r="A2170" s="252" t="s">
        <v>654</v>
      </c>
      <c r="C2170" s="1162" t="s">
        <v>2261</v>
      </c>
      <c r="F2170" s="252">
        <v>27.25</v>
      </c>
    </row>
    <row r="2171" spans="1:6">
      <c r="C2171" s="1162" t="s">
        <v>2415</v>
      </c>
      <c r="F2171" s="252">
        <v>17341.02</v>
      </c>
    </row>
    <row r="2172" spans="1:6">
      <c r="C2172" s="1162" t="s">
        <v>3137</v>
      </c>
      <c r="F2172" s="252">
        <v>1734.1</v>
      </c>
    </row>
    <row r="2173" spans="1:6">
      <c r="C2173" s="1162" t="s">
        <v>3445</v>
      </c>
    </row>
    <row r="2174" spans="1:6">
      <c r="C2174" s="1162" t="s">
        <v>2809</v>
      </c>
      <c r="D2174" s="252">
        <v>90</v>
      </c>
    </row>
    <row r="2175" spans="1:6">
      <c r="C2175" s="1162" t="s">
        <v>2810</v>
      </c>
      <c r="D2175" s="252">
        <v>8.2500000000000004E-2</v>
      </c>
    </row>
    <row r="2176" spans="1:6">
      <c r="C2176" s="1162" t="s">
        <v>7065</v>
      </c>
      <c r="D2176" s="252">
        <v>0.13500000000000001</v>
      </c>
      <c r="F2176" s="252">
        <v>147.27000000000001</v>
      </c>
    </row>
    <row r="2179" spans="1:6">
      <c r="C2179" s="1162" t="s">
        <v>2811</v>
      </c>
    </row>
    <row r="2180" spans="1:6">
      <c r="C2180" s="1162" t="s">
        <v>2812</v>
      </c>
    </row>
    <row r="2181" spans="1:6" ht="189">
      <c r="C2181" s="268" t="s">
        <v>2432</v>
      </c>
    </row>
    <row r="2182" spans="1:6">
      <c r="A2182" s="252">
        <v>90</v>
      </c>
      <c r="B2182" s="252" t="s">
        <v>823</v>
      </c>
      <c r="C2182" s="1162" t="s">
        <v>3875</v>
      </c>
      <c r="D2182" s="252">
        <v>16.55</v>
      </c>
      <c r="E2182" s="252" t="s">
        <v>2529</v>
      </c>
      <c r="F2182" s="252">
        <v>1489.5</v>
      </c>
    </row>
    <row r="2183" spans="1:6">
      <c r="A2183" s="252">
        <v>30</v>
      </c>
      <c r="B2183" s="252" t="s">
        <v>823</v>
      </c>
      <c r="C2183" s="1162" t="s">
        <v>3870</v>
      </c>
      <c r="D2183" s="252">
        <v>20</v>
      </c>
      <c r="E2183" s="252" t="s">
        <v>823</v>
      </c>
      <c r="F2183" s="252">
        <v>600</v>
      </c>
    </row>
    <row r="2184" spans="1:6">
      <c r="A2184" s="252">
        <v>10</v>
      </c>
      <c r="B2184" s="252" t="s">
        <v>1389</v>
      </c>
      <c r="C2184" s="1162" t="s">
        <v>3869</v>
      </c>
      <c r="D2184" s="252">
        <v>3.15</v>
      </c>
      <c r="E2184" s="252" t="s">
        <v>1389</v>
      </c>
      <c r="F2184" s="252">
        <v>31.5</v>
      </c>
    </row>
    <row r="2185" spans="1:6">
      <c r="A2185" s="252">
        <v>5</v>
      </c>
      <c r="B2185" s="252" t="s">
        <v>1389</v>
      </c>
      <c r="C2185" s="1162" t="s">
        <v>3877</v>
      </c>
      <c r="D2185" s="252">
        <v>1.34</v>
      </c>
      <c r="E2185" s="252" t="s">
        <v>1389</v>
      </c>
      <c r="F2185" s="252">
        <v>6.7</v>
      </c>
    </row>
    <row r="2186" spans="1:6">
      <c r="A2186" s="252">
        <v>10</v>
      </c>
      <c r="B2186" s="252" t="s">
        <v>1389</v>
      </c>
      <c r="C2186" s="1162" t="s">
        <v>3878</v>
      </c>
      <c r="D2186" s="252">
        <v>19.75</v>
      </c>
      <c r="E2186" s="252" t="s">
        <v>1389</v>
      </c>
      <c r="F2186" s="252">
        <v>197.5</v>
      </c>
    </row>
    <row r="2187" spans="1:6">
      <c r="A2187" s="252">
        <v>5</v>
      </c>
      <c r="B2187" s="252" t="s">
        <v>1389</v>
      </c>
      <c r="C2187" s="1162" t="s">
        <v>3873</v>
      </c>
      <c r="D2187" s="252">
        <v>13.8</v>
      </c>
      <c r="E2187" s="252" t="s">
        <v>1389</v>
      </c>
      <c r="F2187" s="252">
        <v>69</v>
      </c>
    </row>
    <row r="2188" spans="1:6">
      <c r="A2188" s="252">
        <v>5</v>
      </c>
      <c r="B2188" s="252" t="s">
        <v>1389</v>
      </c>
      <c r="C2188" s="1162" t="s">
        <v>3874</v>
      </c>
      <c r="D2188" s="252">
        <v>3.6</v>
      </c>
      <c r="E2188" s="252" t="s">
        <v>1389</v>
      </c>
      <c r="F2188" s="252">
        <v>18</v>
      </c>
    </row>
    <row r="2189" spans="1:6">
      <c r="A2189" s="252">
        <v>6</v>
      </c>
      <c r="B2189" s="252" t="s">
        <v>1389</v>
      </c>
      <c r="C2189" s="1162" t="s">
        <v>3841</v>
      </c>
      <c r="D2189" s="252">
        <v>58</v>
      </c>
      <c r="E2189" s="252" t="s">
        <v>1389</v>
      </c>
      <c r="F2189" s="252">
        <v>348</v>
      </c>
    </row>
    <row r="2190" spans="1:6">
      <c r="A2190" s="252">
        <v>0.09</v>
      </c>
      <c r="B2190" s="252" t="s">
        <v>2273</v>
      </c>
      <c r="C2190" s="1162" t="s">
        <v>3871</v>
      </c>
      <c r="D2190" s="252">
        <v>661</v>
      </c>
      <c r="E2190" s="252" t="s">
        <v>2273</v>
      </c>
      <c r="F2190" s="252">
        <v>59.49</v>
      </c>
    </row>
    <row r="2191" spans="1:6">
      <c r="A2191" s="252">
        <v>1.25</v>
      </c>
      <c r="B2191" s="252" t="s">
        <v>2622</v>
      </c>
      <c r="C2191" s="1162" t="s">
        <v>387</v>
      </c>
      <c r="D2191" s="252">
        <v>302</v>
      </c>
      <c r="E2191" s="252" t="s">
        <v>2622</v>
      </c>
      <c r="F2191" s="252">
        <v>377.5</v>
      </c>
    </row>
    <row r="2192" spans="1:6">
      <c r="A2192" s="252">
        <v>30</v>
      </c>
      <c r="B2192" s="252" t="s">
        <v>823</v>
      </c>
      <c r="C2192" s="1162" t="s">
        <v>3876</v>
      </c>
      <c r="D2192" s="252">
        <v>16.55</v>
      </c>
      <c r="E2192" s="252" t="s">
        <v>3280</v>
      </c>
      <c r="F2192" s="252">
        <v>496.5</v>
      </c>
    </row>
    <row r="2193" spans="1:6">
      <c r="C2193" s="1162" t="s">
        <v>911</v>
      </c>
      <c r="F2193" s="252">
        <v>12075</v>
      </c>
    </row>
    <row r="2194" spans="1:6">
      <c r="C2194" s="1162" t="s">
        <v>2261</v>
      </c>
      <c r="F2194" s="252">
        <v>24.28</v>
      </c>
    </row>
    <row r="2195" spans="1:6">
      <c r="C2195" s="1162" t="s">
        <v>2542</v>
      </c>
      <c r="F2195" s="252">
        <v>15792.97</v>
      </c>
    </row>
    <row r="2196" spans="1:6">
      <c r="C2196" s="1162" t="s">
        <v>3137</v>
      </c>
      <c r="F2196" s="252">
        <v>3158.59</v>
      </c>
    </row>
    <row r="2198" spans="1:6">
      <c r="C2198" s="1162" t="s">
        <v>2543</v>
      </c>
    </row>
    <row r="2199" spans="1:6">
      <c r="C2199" s="1162" t="s">
        <v>2544</v>
      </c>
    </row>
    <row r="2201" spans="1:6" ht="189">
      <c r="C2201" s="268" t="s">
        <v>2712</v>
      </c>
    </row>
    <row r="2202" spans="1:6">
      <c r="A2202" s="252">
        <v>90</v>
      </c>
      <c r="B2202" s="252" t="s">
        <v>823</v>
      </c>
      <c r="C2202" s="1162" t="s">
        <v>2528</v>
      </c>
      <c r="D2202" s="252">
        <v>16.55</v>
      </c>
      <c r="E2202" s="252" t="s">
        <v>3280</v>
      </c>
      <c r="F2202" s="252">
        <v>1489.5</v>
      </c>
    </row>
    <row r="2203" spans="1:6">
      <c r="A2203" s="252">
        <v>45</v>
      </c>
      <c r="B2203" s="252" t="s">
        <v>823</v>
      </c>
      <c r="C2203" s="1162" t="s">
        <v>2354</v>
      </c>
      <c r="D2203" s="252">
        <v>20</v>
      </c>
      <c r="E2203" s="252" t="s">
        <v>823</v>
      </c>
      <c r="F2203" s="252">
        <v>900</v>
      </c>
    </row>
    <row r="2204" spans="1:6">
      <c r="A2204" s="252">
        <v>20</v>
      </c>
      <c r="B2204" s="252" t="s">
        <v>1389</v>
      </c>
      <c r="C2204" s="1162" t="s">
        <v>2356</v>
      </c>
      <c r="D2204" s="252">
        <v>3.15</v>
      </c>
      <c r="E2204" s="252" t="s">
        <v>3368</v>
      </c>
      <c r="F2204" s="252">
        <v>63</v>
      </c>
    </row>
    <row r="2205" spans="1:6">
      <c r="A2205" s="252">
        <v>10</v>
      </c>
      <c r="B2205" s="252" t="s">
        <v>1389</v>
      </c>
      <c r="C2205" s="1162" t="s">
        <v>3365</v>
      </c>
      <c r="D2205" s="252">
        <v>1.34</v>
      </c>
      <c r="E2205" s="252" t="s">
        <v>3368</v>
      </c>
      <c r="F2205" s="252">
        <v>13.4</v>
      </c>
    </row>
    <row r="2206" spans="1:6">
      <c r="A2206" s="252">
        <v>1</v>
      </c>
      <c r="B2206" s="252" t="s">
        <v>1389</v>
      </c>
      <c r="C2206" s="1162" t="s">
        <v>3841</v>
      </c>
      <c r="D2206" s="252">
        <v>58</v>
      </c>
      <c r="E2206" s="252" t="s">
        <v>1389</v>
      </c>
      <c r="F2206" s="252">
        <v>58</v>
      </c>
    </row>
    <row r="2207" spans="1:6">
      <c r="A2207" s="252">
        <v>1.4999999999999999E-2</v>
      </c>
      <c r="B2207" s="252" t="s">
        <v>2273</v>
      </c>
      <c r="C2207" s="1162" t="s">
        <v>2541</v>
      </c>
      <c r="D2207" s="252">
        <v>661</v>
      </c>
      <c r="E2207" s="252" t="s">
        <v>2273</v>
      </c>
      <c r="F2207" s="252">
        <v>9.92</v>
      </c>
    </row>
    <row r="2208" spans="1:6">
      <c r="A2208" s="252">
        <v>15</v>
      </c>
      <c r="B2208" s="252" t="s">
        <v>1389</v>
      </c>
      <c r="C2208" s="1162" t="s">
        <v>3687</v>
      </c>
      <c r="D2208" s="252">
        <v>40.31</v>
      </c>
      <c r="E2208" s="252" t="s">
        <v>1389</v>
      </c>
      <c r="F2208" s="252">
        <v>604.65</v>
      </c>
    </row>
    <row r="2209" spans="1:6">
      <c r="A2209" s="252">
        <v>15</v>
      </c>
      <c r="B2209" s="252" t="s">
        <v>1389</v>
      </c>
      <c r="C2209" s="1162" t="s">
        <v>3841</v>
      </c>
      <c r="D2209" s="252">
        <v>58</v>
      </c>
      <c r="E2209" s="252" t="s">
        <v>1389</v>
      </c>
      <c r="F2209" s="252">
        <v>870</v>
      </c>
    </row>
    <row r="2210" spans="1:6">
      <c r="A2210" s="252">
        <v>0.22500000000000001</v>
      </c>
      <c r="B2210" s="252" t="s">
        <v>2273</v>
      </c>
      <c r="C2210" s="1162" t="s">
        <v>3871</v>
      </c>
      <c r="D2210" s="252">
        <v>661</v>
      </c>
      <c r="E2210" s="252" t="s">
        <v>2714</v>
      </c>
      <c r="F2210" s="252">
        <v>148.72999999999999</v>
      </c>
    </row>
    <row r="2211" spans="1:6">
      <c r="A2211" s="252">
        <v>1.25</v>
      </c>
      <c r="B2211" s="252" t="s">
        <v>2622</v>
      </c>
      <c r="C2211" s="1162" t="s">
        <v>387</v>
      </c>
      <c r="D2211" s="252">
        <v>302</v>
      </c>
      <c r="E2211" s="252" t="s">
        <v>2622</v>
      </c>
      <c r="F2211" s="252">
        <v>377.5</v>
      </c>
    </row>
    <row r="2212" spans="1:6">
      <c r="A2212" s="252">
        <v>45</v>
      </c>
      <c r="B2212" s="252" t="s">
        <v>2273</v>
      </c>
      <c r="C2212" s="1162" t="s">
        <v>3876</v>
      </c>
      <c r="D2212" s="252">
        <v>16.55</v>
      </c>
      <c r="E2212" s="252" t="s">
        <v>3280</v>
      </c>
      <c r="F2212" s="252">
        <v>744.75</v>
      </c>
    </row>
    <row r="2213" spans="1:6">
      <c r="C2213" s="1162" t="s">
        <v>911</v>
      </c>
      <c r="F2213" s="252">
        <v>12075</v>
      </c>
    </row>
    <row r="2214" spans="1:6">
      <c r="C2214" s="1162" t="s">
        <v>2261</v>
      </c>
      <c r="F2214" s="252">
        <v>65.12</v>
      </c>
    </row>
    <row r="2215" spans="1:6">
      <c r="C2215" s="1162" t="s">
        <v>2715</v>
      </c>
      <c r="F2215" s="252">
        <v>17419.57</v>
      </c>
    </row>
    <row r="2216" spans="1:6">
      <c r="C2216" s="1162" t="s">
        <v>3137</v>
      </c>
      <c r="F2216" s="252">
        <v>1161.3</v>
      </c>
    </row>
    <row r="2218" spans="1:6">
      <c r="C2218" s="1162" t="s">
        <v>2716</v>
      </c>
    </row>
    <row r="2219" spans="1:6">
      <c r="C2219" s="1162" t="s">
        <v>2717</v>
      </c>
    </row>
    <row r="2221" spans="1:6" ht="189">
      <c r="C2221" s="268" t="s">
        <v>2519</v>
      </c>
    </row>
    <row r="2223" spans="1:6">
      <c r="A2223" s="252">
        <v>5</v>
      </c>
      <c r="B2223" s="252" t="s">
        <v>823</v>
      </c>
      <c r="C2223" s="1162" t="s">
        <v>2528</v>
      </c>
      <c r="D2223" s="252">
        <v>16.55</v>
      </c>
      <c r="E2223" s="252" t="s">
        <v>2355</v>
      </c>
      <c r="F2223" s="252">
        <v>82.75</v>
      </c>
    </row>
    <row r="2224" spans="1:6">
      <c r="A2224" s="252">
        <v>2.5</v>
      </c>
      <c r="B2224" s="252" t="s">
        <v>823</v>
      </c>
      <c r="C2224" s="1162" t="s">
        <v>2354</v>
      </c>
      <c r="D2224" s="252">
        <v>20</v>
      </c>
      <c r="E2224" s="252" t="s">
        <v>823</v>
      </c>
      <c r="F2224" s="252">
        <v>50</v>
      </c>
    </row>
    <row r="2225" spans="1:6">
      <c r="A2225" s="252">
        <v>1</v>
      </c>
      <c r="B2225" s="252" t="s">
        <v>1389</v>
      </c>
      <c r="C2225" s="1162" t="s">
        <v>3879</v>
      </c>
      <c r="D2225" s="252">
        <v>40.31</v>
      </c>
      <c r="E2225" s="252" t="s">
        <v>1389</v>
      </c>
      <c r="F2225" s="252">
        <v>40.31</v>
      </c>
    </row>
    <row r="2226" spans="1:6">
      <c r="C2226" s="1162" t="s">
        <v>911</v>
      </c>
      <c r="F2226" s="252">
        <v>670.83</v>
      </c>
    </row>
    <row r="2227" spans="1:6">
      <c r="C2227" s="1162" t="s">
        <v>2261</v>
      </c>
      <c r="F2227" s="252">
        <v>20.77</v>
      </c>
    </row>
    <row r="2228" spans="1:6">
      <c r="C2228" s="1162" t="s">
        <v>3137</v>
      </c>
      <c r="F2228" s="252">
        <v>864.66</v>
      </c>
    </row>
    <row r="2230" spans="1:6">
      <c r="C2230" s="1162" t="s">
        <v>2520</v>
      </c>
    </row>
    <row r="2231" spans="1:6">
      <c r="C2231" s="1162" t="s">
        <v>2521</v>
      </c>
    </row>
    <row r="2233" spans="1:6" ht="78.75">
      <c r="C2233" s="268" t="s">
        <v>7066</v>
      </c>
    </row>
    <row r="2235" spans="1:6">
      <c r="A2235" s="252">
        <v>1</v>
      </c>
      <c r="B2235" s="252" t="s">
        <v>1389</v>
      </c>
      <c r="C2235" s="1162" t="s">
        <v>3118</v>
      </c>
      <c r="D2235" s="252">
        <v>54.5</v>
      </c>
      <c r="E2235" s="252" t="s">
        <v>1389</v>
      </c>
      <c r="F2235" s="252">
        <v>54.5</v>
      </c>
    </row>
    <row r="2236" spans="1:6">
      <c r="A2236" s="252">
        <v>1</v>
      </c>
      <c r="B2236" s="252" t="s">
        <v>1389</v>
      </c>
      <c r="C2236" s="1162" t="s">
        <v>3841</v>
      </c>
      <c r="D2236" s="252">
        <v>58</v>
      </c>
      <c r="E2236" s="252" t="s">
        <v>1389</v>
      </c>
      <c r="F2236" s="252">
        <v>58</v>
      </c>
    </row>
    <row r="2237" spans="1:6">
      <c r="A2237" s="252">
        <v>1.4999999999999999E-2</v>
      </c>
      <c r="B2237" s="252" t="s">
        <v>2273</v>
      </c>
      <c r="C2237" s="1162" t="s">
        <v>3120</v>
      </c>
      <c r="D2237" s="252">
        <v>661</v>
      </c>
      <c r="E2237" s="252" t="s">
        <v>2273</v>
      </c>
      <c r="F2237" s="252">
        <v>9.92</v>
      </c>
    </row>
    <row r="2238" spans="1:6">
      <c r="A2238" s="252" t="s">
        <v>654</v>
      </c>
      <c r="C2238" s="1162" t="s">
        <v>3121</v>
      </c>
      <c r="F2238" s="252">
        <v>12.05</v>
      </c>
    </row>
    <row r="2239" spans="1:6">
      <c r="C2239" s="1162" t="s">
        <v>1058</v>
      </c>
      <c r="F2239" s="252">
        <v>134.47</v>
      </c>
    </row>
    <row r="2241" spans="1:6">
      <c r="C2241" s="1162" t="s">
        <v>3862</v>
      </c>
    </row>
    <row r="2242" spans="1:6">
      <c r="A2242" s="252" t="s">
        <v>533</v>
      </c>
      <c r="B2242" s="252" t="s">
        <v>1898</v>
      </c>
      <c r="C2242" s="1162" t="s">
        <v>548</v>
      </c>
    </row>
    <row r="2243" spans="1:6">
      <c r="C2243" s="1162" t="s">
        <v>534</v>
      </c>
    </row>
    <row r="2244" spans="1:6">
      <c r="C2244" s="1162" t="s">
        <v>1579</v>
      </c>
    </row>
    <row r="2245" spans="1:6">
      <c r="A2245" s="252">
        <v>1</v>
      </c>
      <c r="B2245" s="252" t="s">
        <v>523</v>
      </c>
      <c r="C2245" s="1162" t="s">
        <v>524</v>
      </c>
      <c r="D2245" s="252">
        <v>58000</v>
      </c>
      <c r="E2245" s="252" t="s">
        <v>525</v>
      </c>
      <c r="F2245" s="252">
        <v>5800</v>
      </c>
    </row>
    <row r="2246" spans="1:6">
      <c r="A2246" s="252">
        <v>0.01</v>
      </c>
      <c r="B2246" s="252" t="s">
        <v>523</v>
      </c>
      <c r="C2246" s="1162" t="s">
        <v>4015</v>
      </c>
      <c r="D2246" s="252">
        <v>71428.570000000007</v>
      </c>
      <c r="E2246" s="252" t="s">
        <v>525</v>
      </c>
      <c r="F2246" s="252">
        <v>71.430000000000007</v>
      </c>
    </row>
    <row r="2247" spans="1:6">
      <c r="A2247" s="252">
        <v>3.5</v>
      </c>
      <c r="B2247" s="252" t="s">
        <v>766</v>
      </c>
      <c r="C2247" s="1162" t="s">
        <v>526</v>
      </c>
      <c r="D2247" s="252">
        <v>866</v>
      </c>
      <c r="E2247" s="252" t="s">
        <v>766</v>
      </c>
      <c r="F2247" s="252">
        <v>3031</v>
      </c>
    </row>
    <row r="2248" spans="1:6">
      <c r="B2248" s="252" t="s">
        <v>446</v>
      </c>
      <c r="C2248" s="1162" t="s">
        <v>447</v>
      </c>
      <c r="E2248" s="252" t="s">
        <v>446</v>
      </c>
      <c r="F2248" s="252">
        <v>0</v>
      </c>
    </row>
    <row r="2249" spans="1:6">
      <c r="F2249" s="252" t="s">
        <v>1579</v>
      </c>
    </row>
    <row r="2250" spans="1:6">
      <c r="C2250" s="1162" t="s">
        <v>529</v>
      </c>
      <c r="F2250" s="252">
        <v>8902.43</v>
      </c>
    </row>
    <row r="2251" spans="1:6">
      <c r="F2251" s="252" t="s">
        <v>1579</v>
      </c>
    </row>
    <row r="2252" spans="1:6">
      <c r="C2252" s="1162" t="s">
        <v>530</v>
      </c>
      <c r="F2252" s="252">
        <v>89024.3</v>
      </c>
    </row>
    <row r="2254" spans="1:6">
      <c r="C2254" s="1162" t="s">
        <v>3644</v>
      </c>
    </row>
    <row r="2255" spans="1:6">
      <c r="C2255" s="1162" t="s">
        <v>3206</v>
      </c>
    </row>
    <row r="2256" spans="1:6">
      <c r="C2256" s="1162" t="s">
        <v>3645</v>
      </c>
    </row>
    <row r="2257" spans="1:6">
      <c r="A2257" s="252">
        <v>0.1</v>
      </c>
      <c r="B2257" s="252" t="s">
        <v>1427</v>
      </c>
      <c r="C2257" s="1162" t="s">
        <v>650</v>
      </c>
      <c r="D2257" s="252">
        <v>881</v>
      </c>
      <c r="E2257" s="252" t="s">
        <v>1393</v>
      </c>
      <c r="F2257" s="252">
        <v>88.1</v>
      </c>
    </row>
    <row r="2258" spans="1:6">
      <c r="A2258" s="252">
        <v>0.1</v>
      </c>
      <c r="B2258" s="252" t="s">
        <v>3646</v>
      </c>
      <c r="C2258" s="1162" t="s">
        <v>345</v>
      </c>
      <c r="D2258" s="252">
        <v>651</v>
      </c>
      <c r="E2258" s="252" t="s">
        <v>1393</v>
      </c>
      <c r="F2258" s="252">
        <v>65.099999999999994</v>
      </c>
    </row>
    <row r="2259" spans="1:6">
      <c r="A2259" s="252">
        <v>10</v>
      </c>
      <c r="B2259" s="252" t="s">
        <v>3647</v>
      </c>
      <c r="C2259" s="1162" t="s">
        <v>4918</v>
      </c>
      <c r="D2259" s="252">
        <v>18.45</v>
      </c>
      <c r="E2259" s="252" t="s">
        <v>3648</v>
      </c>
      <c r="F2259" s="252">
        <v>1.85</v>
      </c>
    </row>
    <row r="2260" spans="1:6">
      <c r="A2260" s="252">
        <v>0.25</v>
      </c>
      <c r="B2260" s="252" t="s">
        <v>1427</v>
      </c>
      <c r="C2260" s="1162" t="s">
        <v>4919</v>
      </c>
      <c r="D2260" s="252">
        <v>3.6</v>
      </c>
      <c r="E2260" s="252" t="s">
        <v>1393</v>
      </c>
      <c r="F2260" s="252">
        <v>1</v>
      </c>
    </row>
    <row r="2261" spans="1:6">
      <c r="D2261" s="252" t="s">
        <v>3649</v>
      </c>
      <c r="F2261" s="252">
        <v>156.05000000000001</v>
      </c>
    </row>
    <row r="2263" spans="1:6">
      <c r="C2263" s="1162" t="s">
        <v>460</v>
      </c>
      <c r="D2263" s="252" t="s">
        <v>3650</v>
      </c>
      <c r="E2263" s="252" t="s">
        <v>3650</v>
      </c>
      <c r="F2263" s="252" t="s">
        <v>3651</v>
      </c>
    </row>
    <row r="2264" spans="1:6">
      <c r="D2264" s="252">
        <v>331</v>
      </c>
      <c r="E2264" s="252">
        <v>331</v>
      </c>
      <c r="F2264" s="252">
        <v>283</v>
      </c>
    </row>
    <row r="2265" spans="1:6">
      <c r="C2265" s="1162" t="s">
        <v>3652</v>
      </c>
      <c r="D2265" s="252">
        <v>156.05000000000001</v>
      </c>
      <c r="E2265" s="252">
        <v>156.05000000000001</v>
      </c>
      <c r="F2265" s="252">
        <v>156.05000000000001</v>
      </c>
    </row>
    <row r="2266" spans="1:6">
      <c r="C2266" s="1162" t="s">
        <v>1814</v>
      </c>
      <c r="D2266" s="252">
        <v>487.05</v>
      </c>
      <c r="E2266" s="252">
        <v>487.05</v>
      </c>
      <c r="F2266" s="252">
        <v>439.05</v>
      </c>
    </row>
    <row r="2267" spans="1:6">
      <c r="D2267" s="252">
        <v>488</v>
      </c>
      <c r="E2267" s="252">
        <v>488</v>
      </c>
      <c r="F2267" s="252">
        <v>440</v>
      </c>
    </row>
    <row r="2269" spans="1:6">
      <c r="A2269" s="252">
        <v>29.5</v>
      </c>
      <c r="B2269" s="252" t="s">
        <v>2241</v>
      </c>
      <c r="C2269" s="1162" t="s">
        <v>5615</v>
      </c>
    </row>
    <row r="2270" spans="1:6">
      <c r="C2270" s="1162" t="s">
        <v>3808</v>
      </c>
    </row>
    <row r="2272" spans="1:6">
      <c r="C2272" s="1162" t="s">
        <v>1579</v>
      </c>
      <c r="D2272" s="252" t="s">
        <v>1579</v>
      </c>
      <c r="E2272" s="252">
        <v>591.59</v>
      </c>
    </row>
    <row r="2273" spans="1:6">
      <c r="A2273" s="252">
        <v>10</v>
      </c>
      <c r="B2273" s="252" t="s">
        <v>606</v>
      </c>
      <c r="C2273" s="1162" t="s">
        <v>5616</v>
      </c>
      <c r="D2273" s="252">
        <v>1462</v>
      </c>
      <c r="E2273" s="252" t="s">
        <v>606</v>
      </c>
      <c r="F2273" s="252">
        <v>14620</v>
      </c>
    </row>
    <row r="2274" spans="1:6">
      <c r="A2274" s="252">
        <v>0.21</v>
      </c>
      <c r="B2274" s="252" t="s">
        <v>866</v>
      </c>
      <c r="C2274" s="1162" t="s">
        <v>1868</v>
      </c>
      <c r="D2274" s="252">
        <v>4861.3</v>
      </c>
      <c r="E2274" s="252" t="s">
        <v>866</v>
      </c>
      <c r="F2274" s="252">
        <v>1020.87</v>
      </c>
    </row>
    <row r="2275" spans="1:6">
      <c r="C2275" s="1162" t="s">
        <v>1869</v>
      </c>
      <c r="D2275" s="252" t="s">
        <v>7063</v>
      </c>
      <c r="F2275" s="252" t="s">
        <v>971</v>
      </c>
    </row>
    <row r="2276" spans="1:6">
      <c r="A2276" s="252">
        <v>1.1000000000000001</v>
      </c>
      <c r="B2276" s="252" t="s">
        <v>766</v>
      </c>
      <c r="C2276" s="1162" t="s">
        <v>2000</v>
      </c>
      <c r="D2276" s="252">
        <v>999</v>
      </c>
      <c r="E2276" s="252" t="s">
        <v>766</v>
      </c>
      <c r="F2276" s="252">
        <v>1098.9000000000001</v>
      </c>
    </row>
    <row r="2277" spans="1:6">
      <c r="A2277" s="252">
        <v>1.1000000000000001</v>
      </c>
      <c r="B2277" s="252" t="s">
        <v>766</v>
      </c>
      <c r="C2277" s="1162" t="s">
        <v>1704</v>
      </c>
      <c r="D2277" s="252">
        <v>932</v>
      </c>
      <c r="E2277" s="252" t="s">
        <v>766</v>
      </c>
      <c r="F2277" s="252">
        <v>1025.2</v>
      </c>
    </row>
    <row r="2278" spans="1:6">
      <c r="A2278" s="252">
        <v>2.2000000000000002</v>
      </c>
      <c r="B2278" s="252" t="s">
        <v>766</v>
      </c>
      <c r="C2278" s="1162" t="s">
        <v>1893</v>
      </c>
      <c r="D2278" s="252">
        <v>651</v>
      </c>
      <c r="E2278" s="252" t="s">
        <v>766</v>
      </c>
      <c r="F2278" s="252">
        <v>1432.2</v>
      </c>
    </row>
    <row r="2279" spans="1:6">
      <c r="A2279" s="252">
        <v>2.2000000000000002</v>
      </c>
      <c r="B2279" s="252" t="s">
        <v>766</v>
      </c>
      <c r="C2279" s="1162" t="s">
        <v>317</v>
      </c>
      <c r="D2279" s="252">
        <v>534</v>
      </c>
      <c r="E2279" s="252" t="s">
        <v>766</v>
      </c>
      <c r="F2279" s="252">
        <v>1174.8</v>
      </c>
    </row>
    <row r="2280" spans="1:6">
      <c r="A2280" s="252">
        <v>20</v>
      </c>
      <c r="B2280" s="252" t="s">
        <v>1637</v>
      </c>
      <c r="C2280" s="1162" t="s">
        <v>859</v>
      </c>
      <c r="D2280" s="252">
        <v>6040</v>
      </c>
      <c r="E2280" s="252" t="s">
        <v>858</v>
      </c>
      <c r="F2280" s="252">
        <v>120.8</v>
      </c>
    </row>
    <row r="2281" spans="1:6">
      <c r="A2281" s="252">
        <v>2</v>
      </c>
      <c r="B2281" s="252" t="s">
        <v>1637</v>
      </c>
      <c r="C2281" s="1162" t="s">
        <v>2072</v>
      </c>
      <c r="D2281" s="252">
        <v>36.1</v>
      </c>
      <c r="E2281" s="252" t="s">
        <v>1637</v>
      </c>
      <c r="F2281" s="252">
        <v>72.2</v>
      </c>
    </row>
    <row r="2282" spans="1:6">
      <c r="A2282" s="252">
        <v>1.6</v>
      </c>
      <c r="B2282" s="252" t="s">
        <v>766</v>
      </c>
      <c r="C2282" s="1162" t="s">
        <v>1704</v>
      </c>
      <c r="D2282" s="252">
        <v>932</v>
      </c>
      <c r="E2282" s="252" t="s">
        <v>766</v>
      </c>
      <c r="F2282" s="252">
        <v>1491.2</v>
      </c>
    </row>
    <row r="2283" spans="1:6">
      <c r="A2283" s="252">
        <v>0.5</v>
      </c>
      <c r="B2283" s="252" t="s">
        <v>766</v>
      </c>
      <c r="C2283" s="1162" t="s">
        <v>1893</v>
      </c>
      <c r="D2283" s="252">
        <v>651</v>
      </c>
      <c r="E2283" s="252" t="s">
        <v>766</v>
      </c>
      <c r="F2283" s="252">
        <v>325.5</v>
      </c>
    </row>
    <row r="2284" spans="1:6">
      <c r="A2284" s="252">
        <v>1.1000000000000001</v>
      </c>
      <c r="B2284" s="252" t="s">
        <v>766</v>
      </c>
      <c r="C2284" s="1162" t="s">
        <v>317</v>
      </c>
      <c r="D2284" s="252">
        <v>534</v>
      </c>
      <c r="E2284" s="252" t="s">
        <v>766</v>
      </c>
      <c r="F2284" s="252">
        <v>587.4</v>
      </c>
    </row>
    <row r="2285" spans="1:6">
      <c r="B2285" s="252" t="s">
        <v>446</v>
      </c>
      <c r="C2285" s="1162" t="s">
        <v>447</v>
      </c>
      <c r="D2285" s="252">
        <v>0</v>
      </c>
      <c r="E2285" s="252" t="s">
        <v>446</v>
      </c>
      <c r="F2285" s="252">
        <v>0</v>
      </c>
    </row>
    <row r="2286" spans="1:6">
      <c r="D2286" s="252">
        <v>0</v>
      </c>
      <c r="F2286" s="252" t="s">
        <v>1579</v>
      </c>
    </row>
    <row r="2287" spans="1:6">
      <c r="C2287" s="1162" t="s">
        <v>438</v>
      </c>
      <c r="F2287" s="252">
        <v>22969.07</v>
      </c>
    </row>
    <row r="2288" spans="1:6">
      <c r="F2288" s="252" t="s">
        <v>1579</v>
      </c>
    </row>
    <row r="2289" spans="1:6">
      <c r="C2289" s="1162" t="s">
        <v>549</v>
      </c>
      <c r="F2289" s="252">
        <v>2296.91</v>
      </c>
    </row>
    <row r="2290" spans="1:6">
      <c r="F2290" s="252" t="s">
        <v>2046</v>
      </c>
    </row>
    <row r="2291" spans="1:6">
      <c r="C2291" s="1162" t="s">
        <v>7069</v>
      </c>
    </row>
    <row r="2293" spans="1:6">
      <c r="C2293" s="1162" t="s">
        <v>4943</v>
      </c>
    </row>
    <row r="2294" spans="1:6">
      <c r="A2294" s="252">
        <v>5</v>
      </c>
      <c r="B2294" s="252" t="s">
        <v>1637</v>
      </c>
      <c r="C2294" s="1162" t="s">
        <v>4944</v>
      </c>
      <c r="D2294" s="252">
        <v>27.45</v>
      </c>
      <c r="E2294" s="252" t="s">
        <v>1637</v>
      </c>
      <c r="F2294" s="252">
        <v>137.25</v>
      </c>
    </row>
    <row r="2295" spans="1:6">
      <c r="A2295" s="252">
        <v>1</v>
      </c>
      <c r="B2295" s="252" t="s">
        <v>1389</v>
      </c>
      <c r="C2295" s="1162" t="s">
        <v>4048</v>
      </c>
      <c r="D2295" s="252">
        <v>797</v>
      </c>
      <c r="E2295" s="252" t="s">
        <v>1389</v>
      </c>
      <c r="F2295" s="252">
        <v>797</v>
      </c>
    </row>
    <row r="2296" spans="1:6">
      <c r="B2296" s="252" t="s">
        <v>654</v>
      </c>
      <c r="C2296" s="1162" t="s">
        <v>3029</v>
      </c>
      <c r="E2296" s="252" t="s">
        <v>654</v>
      </c>
      <c r="F2296" s="252">
        <v>17.670000000000002</v>
      </c>
    </row>
    <row r="2297" spans="1:6">
      <c r="C2297" s="1162" t="s">
        <v>1452</v>
      </c>
      <c r="F2297" s="252">
        <v>951.92</v>
      </c>
    </row>
    <row r="2298" spans="1:6">
      <c r="C2298" s="1162" t="s">
        <v>3215</v>
      </c>
      <c r="F2298" s="252">
        <v>95.19</v>
      </c>
    </row>
    <row r="2303" spans="1:6">
      <c r="B2303" s="1310" t="s">
        <v>7077</v>
      </c>
      <c r="C2303" s="1310"/>
      <c r="D2303" s="1310"/>
      <c r="E2303" s="1310"/>
    </row>
  </sheetData>
  <mergeCells count="1">
    <mergeCell ref="B2303:E2303"/>
  </mergeCells>
  <pageMargins left="0.70866141732283505" right="0.70866141732283505" top="0.52" bottom="0.36" header="0.2" footer="0.31496062992126"/>
  <pageSetup paperSize="9" scale="80" orientation="portrait" r:id="rId1"/>
  <headerFooter>
    <oddHeader>Page &amp;P</oddHeader>
  </headerFooter>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AV3863"/>
  <sheetViews>
    <sheetView showZeros="0" view="pageBreakPreview" topLeftCell="A169" zoomScale="96" zoomScaleNormal="75" zoomScaleSheetLayoutView="96" workbookViewId="0">
      <selection activeCell="D182" sqref="D182"/>
    </sheetView>
  </sheetViews>
  <sheetFormatPr defaultRowHeight="27.75" customHeight="1"/>
  <cols>
    <col min="1" max="1" width="9.44140625" style="1076" customWidth="1"/>
    <col min="2" max="2" width="6.21875" style="1063" customWidth="1"/>
    <col min="3" max="3" width="40.88671875" style="1108" customWidth="1"/>
    <col min="4" max="4" width="11.33203125" style="1063" customWidth="1"/>
    <col min="5" max="5" width="7.88671875" style="1108" customWidth="1"/>
    <col min="6" max="6" width="11.33203125" style="1076" customWidth="1"/>
    <col min="7" max="8" width="11.33203125" style="1063" customWidth="1"/>
    <col min="9" max="9" width="8.33203125" style="1063" customWidth="1"/>
    <col min="10" max="10" width="11.88671875" style="1063" customWidth="1"/>
    <col min="11" max="11" width="8.33203125" style="1063" customWidth="1"/>
    <col min="12" max="12" width="10.6640625" style="1063" customWidth="1"/>
    <col min="13" max="13" width="8.21875" style="1063" customWidth="1"/>
    <col min="14" max="14" width="10.77734375" style="1063" customWidth="1"/>
    <col min="15" max="15" width="8.88671875" style="1063"/>
    <col min="16" max="16" width="11.21875" style="1063" customWidth="1"/>
    <col min="17" max="17" width="7.21875" style="1063" customWidth="1"/>
    <col min="18" max="18" width="11.21875" style="1063" customWidth="1"/>
    <col min="19" max="19" width="7.88671875" style="1063" customWidth="1"/>
    <col min="20" max="20" width="11.6640625" style="1063" customWidth="1"/>
    <col min="21" max="21" width="8.88671875" style="1063"/>
    <col min="22" max="22" width="11.5546875" style="1063" customWidth="1"/>
    <col min="23" max="30" width="8.88671875" style="1063"/>
    <col min="31" max="31" width="10.109375" style="1063" customWidth="1"/>
    <col min="32" max="32" width="8.88671875" style="1063"/>
    <col min="33" max="33" width="12.5546875" style="1063" customWidth="1"/>
    <col min="34" max="34" width="8.88671875" style="1063"/>
    <col min="35" max="36" width="10" style="1063" customWidth="1"/>
    <col min="37" max="37" width="11.109375" style="1063" customWidth="1"/>
    <col min="38" max="40" width="8.88671875" style="1063"/>
    <col min="41" max="41" width="12.6640625" style="1063" customWidth="1"/>
    <col min="42" max="42" width="8.88671875" style="1063"/>
    <col min="43" max="44" width="10" style="1063" customWidth="1"/>
    <col min="45" max="45" width="12.5546875" style="1063" customWidth="1"/>
    <col min="46" max="47" width="8.88671875" style="1063"/>
    <col min="48" max="48" width="9.77734375" style="1063" customWidth="1"/>
    <col min="49" max="256" width="8.88671875" style="1063"/>
    <col min="257" max="257" width="9.44140625" style="1063" customWidth="1"/>
    <col min="258" max="258" width="6.21875" style="1063" customWidth="1"/>
    <col min="259" max="259" width="40.88671875" style="1063" customWidth="1"/>
    <col min="260" max="260" width="11.33203125" style="1063" customWidth="1"/>
    <col min="261" max="261" width="7.88671875" style="1063" customWidth="1"/>
    <col min="262" max="264" width="11.33203125" style="1063" customWidth="1"/>
    <col min="265" max="265" width="8.33203125" style="1063" customWidth="1"/>
    <col min="266" max="266" width="11.88671875" style="1063" customWidth="1"/>
    <col min="267" max="267" width="8.33203125" style="1063" customWidth="1"/>
    <col min="268" max="268" width="10.6640625" style="1063" customWidth="1"/>
    <col min="269" max="269" width="8.21875" style="1063" customWidth="1"/>
    <col min="270" max="270" width="10.77734375" style="1063" customWidth="1"/>
    <col min="271" max="271" width="8.88671875" style="1063"/>
    <col min="272" max="272" width="11.21875" style="1063" customWidth="1"/>
    <col min="273" max="273" width="7.21875" style="1063" customWidth="1"/>
    <col min="274" max="274" width="11.21875" style="1063" customWidth="1"/>
    <col min="275" max="275" width="7.88671875" style="1063" customWidth="1"/>
    <col min="276" max="276" width="11.6640625" style="1063" customWidth="1"/>
    <col min="277" max="277" width="8.88671875" style="1063"/>
    <col min="278" max="278" width="11.5546875" style="1063" customWidth="1"/>
    <col min="279" max="286" width="8.88671875" style="1063"/>
    <col min="287" max="287" width="10.109375" style="1063" customWidth="1"/>
    <col min="288" max="288" width="8.88671875" style="1063"/>
    <col min="289" max="289" width="12.5546875" style="1063" customWidth="1"/>
    <col min="290" max="290" width="8.88671875" style="1063"/>
    <col min="291" max="292" width="10" style="1063" customWidth="1"/>
    <col min="293" max="293" width="11.109375" style="1063" customWidth="1"/>
    <col min="294" max="296" width="8.88671875" style="1063"/>
    <col min="297" max="297" width="12.6640625" style="1063" customWidth="1"/>
    <col min="298" max="298" width="8.88671875" style="1063"/>
    <col min="299" max="300" width="10" style="1063" customWidth="1"/>
    <col min="301" max="301" width="12.5546875" style="1063" customWidth="1"/>
    <col min="302" max="303" width="8.88671875" style="1063"/>
    <col min="304" max="304" width="9.77734375" style="1063" customWidth="1"/>
    <col min="305" max="512" width="8.88671875" style="1063"/>
    <col min="513" max="513" width="9.44140625" style="1063" customWidth="1"/>
    <col min="514" max="514" width="6.21875" style="1063" customWidth="1"/>
    <col min="515" max="515" width="40.88671875" style="1063" customWidth="1"/>
    <col min="516" max="516" width="11.33203125" style="1063" customWidth="1"/>
    <col min="517" max="517" width="7.88671875" style="1063" customWidth="1"/>
    <col min="518" max="520" width="11.33203125" style="1063" customWidth="1"/>
    <col min="521" max="521" width="8.33203125" style="1063" customWidth="1"/>
    <col min="522" max="522" width="11.88671875" style="1063" customWidth="1"/>
    <col min="523" max="523" width="8.33203125" style="1063" customWidth="1"/>
    <col min="524" max="524" width="10.6640625" style="1063" customWidth="1"/>
    <col min="525" max="525" width="8.21875" style="1063" customWidth="1"/>
    <col min="526" max="526" width="10.77734375" style="1063" customWidth="1"/>
    <col min="527" max="527" width="8.88671875" style="1063"/>
    <col min="528" max="528" width="11.21875" style="1063" customWidth="1"/>
    <col min="529" max="529" width="7.21875" style="1063" customWidth="1"/>
    <col min="530" max="530" width="11.21875" style="1063" customWidth="1"/>
    <col min="531" max="531" width="7.88671875" style="1063" customWidth="1"/>
    <col min="532" max="532" width="11.6640625" style="1063" customWidth="1"/>
    <col min="533" max="533" width="8.88671875" style="1063"/>
    <col min="534" max="534" width="11.5546875" style="1063" customWidth="1"/>
    <col min="535" max="542" width="8.88671875" style="1063"/>
    <col min="543" max="543" width="10.109375" style="1063" customWidth="1"/>
    <col min="544" max="544" width="8.88671875" style="1063"/>
    <col min="545" max="545" width="12.5546875" style="1063" customWidth="1"/>
    <col min="546" max="546" width="8.88671875" style="1063"/>
    <col min="547" max="548" width="10" style="1063" customWidth="1"/>
    <col min="549" max="549" width="11.109375" style="1063" customWidth="1"/>
    <col min="550" max="552" width="8.88671875" style="1063"/>
    <col min="553" max="553" width="12.6640625" style="1063" customWidth="1"/>
    <col min="554" max="554" width="8.88671875" style="1063"/>
    <col min="555" max="556" width="10" style="1063" customWidth="1"/>
    <col min="557" max="557" width="12.5546875" style="1063" customWidth="1"/>
    <col min="558" max="559" width="8.88671875" style="1063"/>
    <col min="560" max="560" width="9.77734375" style="1063" customWidth="1"/>
    <col min="561" max="768" width="8.88671875" style="1063"/>
    <col min="769" max="769" width="9.44140625" style="1063" customWidth="1"/>
    <col min="770" max="770" width="6.21875" style="1063" customWidth="1"/>
    <col min="771" max="771" width="40.88671875" style="1063" customWidth="1"/>
    <col min="772" max="772" width="11.33203125" style="1063" customWidth="1"/>
    <col min="773" max="773" width="7.88671875" style="1063" customWidth="1"/>
    <col min="774" max="776" width="11.33203125" style="1063" customWidth="1"/>
    <col min="777" max="777" width="8.33203125" style="1063" customWidth="1"/>
    <col min="778" max="778" width="11.88671875" style="1063" customWidth="1"/>
    <col min="779" max="779" width="8.33203125" style="1063" customWidth="1"/>
    <col min="780" max="780" width="10.6640625" style="1063" customWidth="1"/>
    <col min="781" max="781" width="8.21875" style="1063" customWidth="1"/>
    <col min="782" max="782" width="10.77734375" style="1063" customWidth="1"/>
    <col min="783" max="783" width="8.88671875" style="1063"/>
    <col min="784" max="784" width="11.21875" style="1063" customWidth="1"/>
    <col min="785" max="785" width="7.21875" style="1063" customWidth="1"/>
    <col min="786" max="786" width="11.21875" style="1063" customWidth="1"/>
    <col min="787" max="787" width="7.88671875" style="1063" customWidth="1"/>
    <col min="788" max="788" width="11.6640625" style="1063" customWidth="1"/>
    <col min="789" max="789" width="8.88671875" style="1063"/>
    <col min="790" max="790" width="11.5546875" style="1063" customWidth="1"/>
    <col min="791" max="798" width="8.88671875" style="1063"/>
    <col min="799" max="799" width="10.109375" style="1063" customWidth="1"/>
    <col min="800" max="800" width="8.88671875" style="1063"/>
    <col min="801" max="801" width="12.5546875" style="1063" customWidth="1"/>
    <col min="802" max="802" width="8.88671875" style="1063"/>
    <col min="803" max="804" width="10" style="1063" customWidth="1"/>
    <col min="805" max="805" width="11.109375" style="1063" customWidth="1"/>
    <col min="806" max="808" width="8.88671875" style="1063"/>
    <col min="809" max="809" width="12.6640625" style="1063" customWidth="1"/>
    <col min="810" max="810" width="8.88671875" style="1063"/>
    <col min="811" max="812" width="10" style="1063" customWidth="1"/>
    <col min="813" max="813" width="12.5546875" style="1063" customWidth="1"/>
    <col min="814" max="815" width="8.88671875" style="1063"/>
    <col min="816" max="816" width="9.77734375" style="1063" customWidth="1"/>
    <col min="817" max="1024" width="8.88671875" style="1063"/>
    <col min="1025" max="1025" width="9.44140625" style="1063" customWidth="1"/>
    <col min="1026" max="1026" width="6.21875" style="1063" customWidth="1"/>
    <col min="1027" max="1027" width="40.88671875" style="1063" customWidth="1"/>
    <col min="1028" max="1028" width="11.33203125" style="1063" customWidth="1"/>
    <col min="1029" max="1029" width="7.88671875" style="1063" customWidth="1"/>
    <col min="1030" max="1032" width="11.33203125" style="1063" customWidth="1"/>
    <col min="1033" max="1033" width="8.33203125" style="1063" customWidth="1"/>
    <col min="1034" max="1034" width="11.88671875" style="1063" customWidth="1"/>
    <col min="1035" max="1035" width="8.33203125" style="1063" customWidth="1"/>
    <col min="1036" max="1036" width="10.6640625" style="1063" customWidth="1"/>
    <col min="1037" max="1037" width="8.21875" style="1063" customWidth="1"/>
    <col min="1038" max="1038" width="10.77734375" style="1063" customWidth="1"/>
    <col min="1039" max="1039" width="8.88671875" style="1063"/>
    <col min="1040" max="1040" width="11.21875" style="1063" customWidth="1"/>
    <col min="1041" max="1041" width="7.21875" style="1063" customWidth="1"/>
    <col min="1042" max="1042" width="11.21875" style="1063" customWidth="1"/>
    <col min="1043" max="1043" width="7.88671875" style="1063" customWidth="1"/>
    <col min="1044" max="1044" width="11.6640625" style="1063" customWidth="1"/>
    <col min="1045" max="1045" width="8.88671875" style="1063"/>
    <col min="1046" max="1046" width="11.5546875" style="1063" customWidth="1"/>
    <col min="1047" max="1054" width="8.88671875" style="1063"/>
    <col min="1055" max="1055" width="10.109375" style="1063" customWidth="1"/>
    <col min="1056" max="1056" width="8.88671875" style="1063"/>
    <col min="1057" max="1057" width="12.5546875" style="1063" customWidth="1"/>
    <col min="1058" max="1058" width="8.88671875" style="1063"/>
    <col min="1059" max="1060" width="10" style="1063" customWidth="1"/>
    <col min="1061" max="1061" width="11.109375" style="1063" customWidth="1"/>
    <col min="1062" max="1064" width="8.88671875" style="1063"/>
    <col min="1065" max="1065" width="12.6640625" style="1063" customWidth="1"/>
    <col min="1066" max="1066" width="8.88671875" style="1063"/>
    <col min="1067" max="1068" width="10" style="1063" customWidth="1"/>
    <col min="1069" max="1069" width="12.5546875" style="1063" customWidth="1"/>
    <col min="1070" max="1071" width="8.88671875" style="1063"/>
    <col min="1072" max="1072" width="9.77734375" style="1063" customWidth="1"/>
    <col min="1073" max="1280" width="8.88671875" style="1063"/>
    <col min="1281" max="1281" width="9.44140625" style="1063" customWidth="1"/>
    <col min="1282" max="1282" width="6.21875" style="1063" customWidth="1"/>
    <col min="1283" max="1283" width="40.88671875" style="1063" customWidth="1"/>
    <col min="1284" max="1284" width="11.33203125" style="1063" customWidth="1"/>
    <col min="1285" max="1285" width="7.88671875" style="1063" customWidth="1"/>
    <col min="1286" max="1288" width="11.33203125" style="1063" customWidth="1"/>
    <col min="1289" max="1289" width="8.33203125" style="1063" customWidth="1"/>
    <col min="1290" max="1290" width="11.88671875" style="1063" customWidth="1"/>
    <col min="1291" max="1291" width="8.33203125" style="1063" customWidth="1"/>
    <col min="1292" max="1292" width="10.6640625" style="1063" customWidth="1"/>
    <col min="1293" max="1293" width="8.21875" style="1063" customWidth="1"/>
    <col min="1294" max="1294" width="10.77734375" style="1063" customWidth="1"/>
    <col min="1295" max="1295" width="8.88671875" style="1063"/>
    <col min="1296" max="1296" width="11.21875" style="1063" customWidth="1"/>
    <col min="1297" max="1297" width="7.21875" style="1063" customWidth="1"/>
    <col min="1298" max="1298" width="11.21875" style="1063" customWidth="1"/>
    <col min="1299" max="1299" width="7.88671875" style="1063" customWidth="1"/>
    <col min="1300" max="1300" width="11.6640625" style="1063" customWidth="1"/>
    <col min="1301" max="1301" width="8.88671875" style="1063"/>
    <col min="1302" max="1302" width="11.5546875" style="1063" customWidth="1"/>
    <col min="1303" max="1310" width="8.88671875" style="1063"/>
    <col min="1311" max="1311" width="10.109375" style="1063" customWidth="1"/>
    <col min="1312" max="1312" width="8.88671875" style="1063"/>
    <col min="1313" max="1313" width="12.5546875" style="1063" customWidth="1"/>
    <col min="1314" max="1314" width="8.88671875" style="1063"/>
    <col min="1315" max="1316" width="10" style="1063" customWidth="1"/>
    <col min="1317" max="1317" width="11.109375" style="1063" customWidth="1"/>
    <col min="1318" max="1320" width="8.88671875" style="1063"/>
    <col min="1321" max="1321" width="12.6640625" style="1063" customWidth="1"/>
    <col min="1322" max="1322" width="8.88671875" style="1063"/>
    <col min="1323" max="1324" width="10" style="1063" customWidth="1"/>
    <col min="1325" max="1325" width="12.5546875" style="1063" customWidth="1"/>
    <col min="1326" max="1327" width="8.88671875" style="1063"/>
    <col min="1328" max="1328" width="9.77734375" style="1063" customWidth="1"/>
    <col min="1329" max="1536" width="8.88671875" style="1063"/>
    <col min="1537" max="1537" width="9.44140625" style="1063" customWidth="1"/>
    <col min="1538" max="1538" width="6.21875" style="1063" customWidth="1"/>
    <col min="1539" max="1539" width="40.88671875" style="1063" customWidth="1"/>
    <col min="1540" max="1540" width="11.33203125" style="1063" customWidth="1"/>
    <col min="1541" max="1541" width="7.88671875" style="1063" customWidth="1"/>
    <col min="1542" max="1544" width="11.33203125" style="1063" customWidth="1"/>
    <col min="1545" max="1545" width="8.33203125" style="1063" customWidth="1"/>
    <col min="1546" max="1546" width="11.88671875" style="1063" customWidth="1"/>
    <col min="1547" max="1547" width="8.33203125" style="1063" customWidth="1"/>
    <col min="1548" max="1548" width="10.6640625" style="1063" customWidth="1"/>
    <col min="1549" max="1549" width="8.21875" style="1063" customWidth="1"/>
    <col min="1550" max="1550" width="10.77734375" style="1063" customWidth="1"/>
    <col min="1551" max="1551" width="8.88671875" style="1063"/>
    <col min="1552" max="1552" width="11.21875" style="1063" customWidth="1"/>
    <col min="1553" max="1553" width="7.21875" style="1063" customWidth="1"/>
    <col min="1554" max="1554" width="11.21875" style="1063" customWidth="1"/>
    <col min="1555" max="1555" width="7.88671875" style="1063" customWidth="1"/>
    <col min="1556" max="1556" width="11.6640625" style="1063" customWidth="1"/>
    <col min="1557" max="1557" width="8.88671875" style="1063"/>
    <col min="1558" max="1558" width="11.5546875" style="1063" customWidth="1"/>
    <col min="1559" max="1566" width="8.88671875" style="1063"/>
    <col min="1567" max="1567" width="10.109375" style="1063" customWidth="1"/>
    <col min="1568" max="1568" width="8.88671875" style="1063"/>
    <col min="1569" max="1569" width="12.5546875" style="1063" customWidth="1"/>
    <col min="1570" max="1570" width="8.88671875" style="1063"/>
    <col min="1571" max="1572" width="10" style="1063" customWidth="1"/>
    <col min="1573" max="1573" width="11.109375" style="1063" customWidth="1"/>
    <col min="1574" max="1576" width="8.88671875" style="1063"/>
    <col min="1577" max="1577" width="12.6640625" style="1063" customWidth="1"/>
    <col min="1578" max="1578" width="8.88671875" style="1063"/>
    <col min="1579" max="1580" width="10" style="1063" customWidth="1"/>
    <col min="1581" max="1581" width="12.5546875" style="1063" customWidth="1"/>
    <col min="1582" max="1583" width="8.88671875" style="1063"/>
    <col min="1584" max="1584" width="9.77734375" style="1063" customWidth="1"/>
    <col min="1585" max="1792" width="8.88671875" style="1063"/>
    <col min="1793" max="1793" width="9.44140625" style="1063" customWidth="1"/>
    <col min="1794" max="1794" width="6.21875" style="1063" customWidth="1"/>
    <col min="1795" max="1795" width="40.88671875" style="1063" customWidth="1"/>
    <col min="1796" max="1796" width="11.33203125" style="1063" customWidth="1"/>
    <col min="1797" max="1797" width="7.88671875" style="1063" customWidth="1"/>
    <col min="1798" max="1800" width="11.33203125" style="1063" customWidth="1"/>
    <col min="1801" max="1801" width="8.33203125" style="1063" customWidth="1"/>
    <col min="1802" max="1802" width="11.88671875" style="1063" customWidth="1"/>
    <col min="1803" max="1803" width="8.33203125" style="1063" customWidth="1"/>
    <col min="1804" max="1804" width="10.6640625" style="1063" customWidth="1"/>
    <col min="1805" max="1805" width="8.21875" style="1063" customWidth="1"/>
    <col min="1806" max="1806" width="10.77734375" style="1063" customWidth="1"/>
    <col min="1807" max="1807" width="8.88671875" style="1063"/>
    <col min="1808" max="1808" width="11.21875" style="1063" customWidth="1"/>
    <col min="1809" max="1809" width="7.21875" style="1063" customWidth="1"/>
    <col min="1810" max="1810" width="11.21875" style="1063" customWidth="1"/>
    <col min="1811" max="1811" width="7.88671875" style="1063" customWidth="1"/>
    <col min="1812" max="1812" width="11.6640625" style="1063" customWidth="1"/>
    <col min="1813" max="1813" width="8.88671875" style="1063"/>
    <col min="1814" max="1814" width="11.5546875" style="1063" customWidth="1"/>
    <col min="1815" max="1822" width="8.88671875" style="1063"/>
    <col min="1823" max="1823" width="10.109375" style="1063" customWidth="1"/>
    <col min="1824" max="1824" width="8.88671875" style="1063"/>
    <col min="1825" max="1825" width="12.5546875" style="1063" customWidth="1"/>
    <col min="1826" max="1826" width="8.88671875" style="1063"/>
    <col min="1827" max="1828" width="10" style="1063" customWidth="1"/>
    <col min="1829" max="1829" width="11.109375" style="1063" customWidth="1"/>
    <col min="1830" max="1832" width="8.88671875" style="1063"/>
    <col min="1833" max="1833" width="12.6640625" style="1063" customWidth="1"/>
    <col min="1834" max="1834" width="8.88671875" style="1063"/>
    <col min="1835" max="1836" width="10" style="1063" customWidth="1"/>
    <col min="1837" max="1837" width="12.5546875" style="1063" customWidth="1"/>
    <col min="1838" max="1839" width="8.88671875" style="1063"/>
    <col min="1840" max="1840" width="9.77734375" style="1063" customWidth="1"/>
    <col min="1841" max="2048" width="8.88671875" style="1063"/>
    <col min="2049" max="2049" width="9.44140625" style="1063" customWidth="1"/>
    <col min="2050" max="2050" width="6.21875" style="1063" customWidth="1"/>
    <col min="2051" max="2051" width="40.88671875" style="1063" customWidth="1"/>
    <col min="2052" max="2052" width="11.33203125" style="1063" customWidth="1"/>
    <col min="2053" max="2053" width="7.88671875" style="1063" customWidth="1"/>
    <col min="2054" max="2056" width="11.33203125" style="1063" customWidth="1"/>
    <col min="2057" max="2057" width="8.33203125" style="1063" customWidth="1"/>
    <col min="2058" max="2058" width="11.88671875" style="1063" customWidth="1"/>
    <col min="2059" max="2059" width="8.33203125" style="1063" customWidth="1"/>
    <col min="2060" max="2060" width="10.6640625" style="1063" customWidth="1"/>
    <col min="2061" max="2061" width="8.21875" style="1063" customWidth="1"/>
    <col min="2062" max="2062" width="10.77734375" style="1063" customWidth="1"/>
    <col min="2063" max="2063" width="8.88671875" style="1063"/>
    <col min="2064" max="2064" width="11.21875" style="1063" customWidth="1"/>
    <col min="2065" max="2065" width="7.21875" style="1063" customWidth="1"/>
    <col min="2066" max="2066" width="11.21875" style="1063" customWidth="1"/>
    <col min="2067" max="2067" width="7.88671875" style="1063" customWidth="1"/>
    <col min="2068" max="2068" width="11.6640625" style="1063" customWidth="1"/>
    <col min="2069" max="2069" width="8.88671875" style="1063"/>
    <col min="2070" max="2070" width="11.5546875" style="1063" customWidth="1"/>
    <col min="2071" max="2078" width="8.88671875" style="1063"/>
    <col min="2079" max="2079" width="10.109375" style="1063" customWidth="1"/>
    <col min="2080" max="2080" width="8.88671875" style="1063"/>
    <col min="2081" max="2081" width="12.5546875" style="1063" customWidth="1"/>
    <col min="2082" max="2082" width="8.88671875" style="1063"/>
    <col min="2083" max="2084" width="10" style="1063" customWidth="1"/>
    <col min="2085" max="2085" width="11.109375" style="1063" customWidth="1"/>
    <col min="2086" max="2088" width="8.88671875" style="1063"/>
    <col min="2089" max="2089" width="12.6640625" style="1063" customWidth="1"/>
    <col min="2090" max="2090" width="8.88671875" style="1063"/>
    <col min="2091" max="2092" width="10" style="1063" customWidth="1"/>
    <col min="2093" max="2093" width="12.5546875" style="1063" customWidth="1"/>
    <col min="2094" max="2095" width="8.88671875" style="1063"/>
    <col min="2096" max="2096" width="9.77734375" style="1063" customWidth="1"/>
    <col min="2097" max="2304" width="8.88671875" style="1063"/>
    <col min="2305" max="2305" width="9.44140625" style="1063" customWidth="1"/>
    <col min="2306" max="2306" width="6.21875" style="1063" customWidth="1"/>
    <col min="2307" max="2307" width="40.88671875" style="1063" customWidth="1"/>
    <col min="2308" max="2308" width="11.33203125" style="1063" customWidth="1"/>
    <col min="2309" max="2309" width="7.88671875" style="1063" customWidth="1"/>
    <col min="2310" max="2312" width="11.33203125" style="1063" customWidth="1"/>
    <col min="2313" max="2313" width="8.33203125" style="1063" customWidth="1"/>
    <col min="2314" max="2314" width="11.88671875" style="1063" customWidth="1"/>
    <col min="2315" max="2315" width="8.33203125" style="1063" customWidth="1"/>
    <col min="2316" max="2316" width="10.6640625" style="1063" customWidth="1"/>
    <col min="2317" max="2317" width="8.21875" style="1063" customWidth="1"/>
    <col min="2318" max="2318" width="10.77734375" style="1063" customWidth="1"/>
    <col min="2319" max="2319" width="8.88671875" style="1063"/>
    <col min="2320" max="2320" width="11.21875" style="1063" customWidth="1"/>
    <col min="2321" max="2321" width="7.21875" style="1063" customWidth="1"/>
    <col min="2322" max="2322" width="11.21875" style="1063" customWidth="1"/>
    <col min="2323" max="2323" width="7.88671875" style="1063" customWidth="1"/>
    <col min="2324" max="2324" width="11.6640625" style="1063" customWidth="1"/>
    <col min="2325" max="2325" width="8.88671875" style="1063"/>
    <col min="2326" max="2326" width="11.5546875" style="1063" customWidth="1"/>
    <col min="2327" max="2334" width="8.88671875" style="1063"/>
    <col min="2335" max="2335" width="10.109375" style="1063" customWidth="1"/>
    <col min="2336" max="2336" width="8.88671875" style="1063"/>
    <col min="2337" max="2337" width="12.5546875" style="1063" customWidth="1"/>
    <col min="2338" max="2338" width="8.88671875" style="1063"/>
    <col min="2339" max="2340" width="10" style="1063" customWidth="1"/>
    <col min="2341" max="2341" width="11.109375" style="1063" customWidth="1"/>
    <col min="2342" max="2344" width="8.88671875" style="1063"/>
    <col min="2345" max="2345" width="12.6640625" style="1063" customWidth="1"/>
    <col min="2346" max="2346" width="8.88671875" style="1063"/>
    <col min="2347" max="2348" width="10" style="1063" customWidth="1"/>
    <col min="2349" max="2349" width="12.5546875" style="1063" customWidth="1"/>
    <col min="2350" max="2351" width="8.88671875" style="1063"/>
    <col min="2352" max="2352" width="9.77734375" style="1063" customWidth="1"/>
    <col min="2353" max="2560" width="8.88671875" style="1063"/>
    <col min="2561" max="2561" width="9.44140625" style="1063" customWidth="1"/>
    <col min="2562" max="2562" width="6.21875" style="1063" customWidth="1"/>
    <col min="2563" max="2563" width="40.88671875" style="1063" customWidth="1"/>
    <col min="2564" max="2564" width="11.33203125" style="1063" customWidth="1"/>
    <col min="2565" max="2565" width="7.88671875" style="1063" customWidth="1"/>
    <col min="2566" max="2568" width="11.33203125" style="1063" customWidth="1"/>
    <col min="2569" max="2569" width="8.33203125" style="1063" customWidth="1"/>
    <col min="2570" max="2570" width="11.88671875" style="1063" customWidth="1"/>
    <col min="2571" max="2571" width="8.33203125" style="1063" customWidth="1"/>
    <col min="2572" max="2572" width="10.6640625" style="1063" customWidth="1"/>
    <col min="2573" max="2573" width="8.21875" style="1063" customWidth="1"/>
    <col min="2574" max="2574" width="10.77734375" style="1063" customWidth="1"/>
    <col min="2575" max="2575" width="8.88671875" style="1063"/>
    <col min="2576" max="2576" width="11.21875" style="1063" customWidth="1"/>
    <col min="2577" max="2577" width="7.21875" style="1063" customWidth="1"/>
    <col min="2578" max="2578" width="11.21875" style="1063" customWidth="1"/>
    <col min="2579" max="2579" width="7.88671875" style="1063" customWidth="1"/>
    <col min="2580" max="2580" width="11.6640625" style="1063" customWidth="1"/>
    <col min="2581" max="2581" width="8.88671875" style="1063"/>
    <col min="2582" max="2582" width="11.5546875" style="1063" customWidth="1"/>
    <col min="2583" max="2590" width="8.88671875" style="1063"/>
    <col min="2591" max="2591" width="10.109375" style="1063" customWidth="1"/>
    <col min="2592" max="2592" width="8.88671875" style="1063"/>
    <col min="2593" max="2593" width="12.5546875" style="1063" customWidth="1"/>
    <col min="2594" max="2594" width="8.88671875" style="1063"/>
    <col min="2595" max="2596" width="10" style="1063" customWidth="1"/>
    <col min="2597" max="2597" width="11.109375" style="1063" customWidth="1"/>
    <col min="2598" max="2600" width="8.88671875" style="1063"/>
    <col min="2601" max="2601" width="12.6640625" style="1063" customWidth="1"/>
    <col min="2602" max="2602" width="8.88671875" style="1063"/>
    <col min="2603" max="2604" width="10" style="1063" customWidth="1"/>
    <col min="2605" max="2605" width="12.5546875" style="1063" customWidth="1"/>
    <col min="2606" max="2607" width="8.88671875" style="1063"/>
    <col min="2608" max="2608" width="9.77734375" style="1063" customWidth="1"/>
    <col min="2609" max="2816" width="8.88671875" style="1063"/>
    <col min="2817" max="2817" width="9.44140625" style="1063" customWidth="1"/>
    <col min="2818" max="2818" width="6.21875" style="1063" customWidth="1"/>
    <col min="2819" max="2819" width="40.88671875" style="1063" customWidth="1"/>
    <col min="2820" max="2820" width="11.33203125" style="1063" customWidth="1"/>
    <col min="2821" max="2821" width="7.88671875" style="1063" customWidth="1"/>
    <col min="2822" max="2824" width="11.33203125" style="1063" customWidth="1"/>
    <col min="2825" max="2825" width="8.33203125" style="1063" customWidth="1"/>
    <col min="2826" max="2826" width="11.88671875" style="1063" customWidth="1"/>
    <col min="2827" max="2827" width="8.33203125" style="1063" customWidth="1"/>
    <col min="2828" max="2828" width="10.6640625" style="1063" customWidth="1"/>
    <col min="2829" max="2829" width="8.21875" style="1063" customWidth="1"/>
    <col min="2830" max="2830" width="10.77734375" style="1063" customWidth="1"/>
    <col min="2831" max="2831" width="8.88671875" style="1063"/>
    <col min="2832" max="2832" width="11.21875" style="1063" customWidth="1"/>
    <col min="2833" max="2833" width="7.21875" style="1063" customWidth="1"/>
    <col min="2834" max="2834" width="11.21875" style="1063" customWidth="1"/>
    <col min="2835" max="2835" width="7.88671875" style="1063" customWidth="1"/>
    <col min="2836" max="2836" width="11.6640625" style="1063" customWidth="1"/>
    <col min="2837" max="2837" width="8.88671875" style="1063"/>
    <col min="2838" max="2838" width="11.5546875" style="1063" customWidth="1"/>
    <col min="2839" max="2846" width="8.88671875" style="1063"/>
    <col min="2847" max="2847" width="10.109375" style="1063" customWidth="1"/>
    <col min="2848" max="2848" width="8.88671875" style="1063"/>
    <col min="2849" max="2849" width="12.5546875" style="1063" customWidth="1"/>
    <col min="2850" max="2850" width="8.88671875" style="1063"/>
    <col min="2851" max="2852" width="10" style="1063" customWidth="1"/>
    <col min="2853" max="2853" width="11.109375" style="1063" customWidth="1"/>
    <col min="2854" max="2856" width="8.88671875" style="1063"/>
    <col min="2857" max="2857" width="12.6640625" style="1063" customWidth="1"/>
    <col min="2858" max="2858" width="8.88671875" style="1063"/>
    <col min="2859" max="2860" width="10" style="1063" customWidth="1"/>
    <col min="2861" max="2861" width="12.5546875" style="1063" customWidth="1"/>
    <col min="2862" max="2863" width="8.88671875" style="1063"/>
    <col min="2864" max="2864" width="9.77734375" style="1063" customWidth="1"/>
    <col min="2865" max="3072" width="8.88671875" style="1063"/>
    <col min="3073" max="3073" width="9.44140625" style="1063" customWidth="1"/>
    <col min="3074" max="3074" width="6.21875" style="1063" customWidth="1"/>
    <col min="3075" max="3075" width="40.88671875" style="1063" customWidth="1"/>
    <col min="3076" max="3076" width="11.33203125" style="1063" customWidth="1"/>
    <col min="3077" max="3077" width="7.88671875" style="1063" customWidth="1"/>
    <col min="3078" max="3080" width="11.33203125" style="1063" customWidth="1"/>
    <col min="3081" max="3081" width="8.33203125" style="1063" customWidth="1"/>
    <col min="3082" max="3082" width="11.88671875" style="1063" customWidth="1"/>
    <col min="3083" max="3083" width="8.33203125" style="1063" customWidth="1"/>
    <col min="3084" max="3084" width="10.6640625" style="1063" customWidth="1"/>
    <col min="3085" max="3085" width="8.21875" style="1063" customWidth="1"/>
    <col min="3086" max="3086" width="10.77734375" style="1063" customWidth="1"/>
    <col min="3087" max="3087" width="8.88671875" style="1063"/>
    <col min="3088" max="3088" width="11.21875" style="1063" customWidth="1"/>
    <col min="3089" max="3089" width="7.21875" style="1063" customWidth="1"/>
    <col min="3090" max="3090" width="11.21875" style="1063" customWidth="1"/>
    <col min="3091" max="3091" width="7.88671875" style="1063" customWidth="1"/>
    <col min="3092" max="3092" width="11.6640625" style="1063" customWidth="1"/>
    <col min="3093" max="3093" width="8.88671875" style="1063"/>
    <col min="3094" max="3094" width="11.5546875" style="1063" customWidth="1"/>
    <col min="3095" max="3102" width="8.88671875" style="1063"/>
    <col min="3103" max="3103" width="10.109375" style="1063" customWidth="1"/>
    <col min="3104" max="3104" width="8.88671875" style="1063"/>
    <col min="3105" max="3105" width="12.5546875" style="1063" customWidth="1"/>
    <col min="3106" max="3106" width="8.88671875" style="1063"/>
    <col min="3107" max="3108" width="10" style="1063" customWidth="1"/>
    <col min="3109" max="3109" width="11.109375" style="1063" customWidth="1"/>
    <col min="3110" max="3112" width="8.88671875" style="1063"/>
    <col min="3113" max="3113" width="12.6640625" style="1063" customWidth="1"/>
    <col min="3114" max="3114" width="8.88671875" style="1063"/>
    <col min="3115" max="3116" width="10" style="1063" customWidth="1"/>
    <col min="3117" max="3117" width="12.5546875" style="1063" customWidth="1"/>
    <col min="3118" max="3119" width="8.88671875" style="1063"/>
    <col min="3120" max="3120" width="9.77734375" style="1063" customWidth="1"/>
    <col min="3121" max="3328" width="8.88671875" style="1063"/>
    <col min="3329" max="3329" width="9.44140625" style="1063" customWidth="1"/>
    <col min="3330" max="3330" width="6.21875" style="1063" customWidth="1"/>
    <col min="3331" max="3331" width="40.88671875" style="1063" customWidth="1"/>
    <col min="3332" max="3332" width="11.33203125" style="1063" customWidth="1"/>
    <col min="3333" max="3333" width="7.88671875" style="1063" customWidth="1"/>
    <col min="3334" max="3336" width="11.33203125" style="1063" customWidth="1"/>
    <col min="3337" max="3337" width="8.33203125" style="1063" customWidth="1"/>
    <col min="3338" max="3338" width="11.88671875" style="1063" customWidth="1"/>
    <col min="3339" max="3339" width="8.33203125" style="1063" customWidth="1"/>
    <col min="3340" max="3340" width="10.6640625" style="1063" customWidth="1"/>
    <col min="3341" max="3341" width="8.21875" style="1063" customWidth="1"/>
    <col min="3342" max="3342" width="10.77734375" style="1063" customWidth="1"/>
    <col min="3343" max="3343" width="8.88671875" style="1063"/>
    <col min="3344" max="3344" width="11.21875" style="1063" customWidth="1"/>
    <col min="3345" max="3345" width="7.21875" style="1063" customWidth="1"/>
    <col min="3346" max="3346" width="11.21875" style="1063" customWidth="1"/>
    <col min="3347" max="3347" width="7.88671875" style="1063" customWidth="1"/>
    <col min="3348" max="3348" width="11.6640625" style="1063" customWidth="1"/>
    <col min="3349" max="3349" width="8.88671875" style="1063"/>
    <col min="3350" max="3350" width="11.5546875" style="1063" customWidth="1"/>
    <col min="3351" max="3358" width="8.88671875" style="1063"/>
    <col min="3359" max="3359" width="10.109375" style="1063" customWidth="1"/>
    <col min="3360" max="3360" width="8.88671875" style="1063"/>
    <col min="3361" max="3361" width="12.5546875" style="1063" customWidth="1"/>
    <col min="3362" max="3362" width="8.88671875" style="1063"/>
    <col min="3363" max="3364" width="10" style="1063" customWidth="1"/>
    <col min="3365" max="3365" width="11.109375" style="1063" customWidth="1"/>
    <col min="3366" max="3368" width="8.88671875" style="1063"/>
    <col min="3369" max="3369" width="12.6640625" style="1063" customWidth="1"/>
    <col min="3370" max="3370" width="8.88671875" style="1063"/>
    <col min="3371" max="3372" width="10" style="1063" customWidth="1"/>
    <col min="3373" max="3373" width="12.5546875" style="1063" customWidth="1"/>
    <col min="3374" max="3375" width="8.88671875" style="1063"/>
    <col min="3376" max="3376" width="9.77734375" style="1063" customWidth="1"/>
    <col min="3377" max="3584" width="8.88671875" style="1063"/>
    <col min="3585" max="3585" width="9.44140625" style="1063" customWidth="1"/>
    <col min="3586" max="3586" width="6.21875" style="1063" customWidth="1"/>
    <col min="3587" max="3587" width="40.88671875" style="1063" customWidth="1"/>
    <col min="3588" max="3588" width="11.33203125" style="1063" customWidth="1"/>
    <col min="3589" max="3589" width="7.88671875" style="1063" customWidth="1"/>
    <col min="3590" max="3592" width="11.33203125" style="1063" customWidth="1"/>
    <col min="3593" max="3593" width="8.33203125" style="1063" customWidth="1"/>
    <col min="3594" max="3594" width="11.88671875" style="1063" customWidth="1"/>
    <col min="3595" max="3595" width="8.33203125" style="1063" customWidth="1"/>
    <col min="3596" max="3596" width="10.6640625" style="1063" customWidth="1"/>
    <col min="3597" max="3597" width="8.21875" style="1063" customWidth="1"/>
    <col min="3598" max="3598" width="10.77734375" style="1063" customWidth="1"/>
    <col min="3599" max="3599" width="8.88671875" style="1063"/>
    <col min="3600" max="3600" width="11.21875" style="1063" customWidth="1"/>
    <col min="3601" max="3601" width="7.21875" style="1063" customWidth="1"/>
    <col min="3602" max="3602" width="11.21875" style="1063" customWidth="1"/>
    <col min="3603" max="3603" width="7.88671875" style="1063" customWidth="1"/>
    <col min="3604" max="3604" width="11.6640625" style="1063" customWidth="1"/>
    <col min="3605" max="3605" width="8.88671875" style="1063"/>
    <col min="3606" max="3606" width="11.5546875" style="1063" customWidth="1"/>
    <col min="3607" max="3614" width="8.88671875" style="1063"/>
    <col min="3615" max="3615" width="10.109375" style="1063" customWidth="1"/>
    <col min="3616" max="3616" width="8.88671875" style="1063"/>
    <col min="3617" max="3617" width="12.5546875" style="1063" customWidth="1"/>
    <col min="3618" max="3618" width="8.88671875" style="1063"/>
    <col min="3619" max="3620" width="10" style="1063" customWidth="1"/>
    <col min="3621" max="3621" width="11.109375" style="1063" customWidth="1"/>
    <col min="3622" max="3624" width="8.88671875" style="1063"/>
    <col min="3625" max="3625" width="12.6640625" style="1063" customWidth="1"/>
    <col min="3626" max="3626" width="8.88671875" style="1063"/>
    <col min="3627" max="3628" width="10" style="1063" customWidth="1"/>
    <col min="3629" max="3629" width="12.5546875" style="1063" customWidth="1"/>
    <col min="3630" max="3631" width="8.88671875" style="1063"/>
    <col min="3632" max="3632" width="9.77734375" style="1063" customWidth="1"/>
    <col min="3633" max="3840" width="8.88671875" style="1063"/>
    <col min="3841" max="3841" width="9.44140625" style="1063" customWidth="1"/>
    <col min="3842" max="3842" width="6.21875" style="1063" customWidth="1"/>
    <col min="3843" max="3843" width="40.88671875" style="1063" customWidth="1"/>
    <col min="3844" max="3844" width="11.33203125" style="1063" customWidth="1"/>
    <col min="3845" max="3845" width="7.88671875" style="1063" customWidth="1"/>
    <col min="3846" max="3848" width="11.33203125" style="1063" customWidth="1"/>
    <col min="3849" max="3849" width="8.33203125" style="1063" customWidth="1"/>
    <col min="3850" max="3850" width="11.88671875" style="1063" customWidth="1"/>
    <col min="3851" max="3851" width="8.33203125" style="1063" customWidth="1"/>
    <col min="3852" max="3852" width="10.6640625" style="1063" customWidth="1"/>
    <col min="3853" max="3853" width="8.21875" style="1063" customWidth="1"/>
    <col min="3854" max="3854" width="10.77734375" style="1063" customWidth="1"/>
    <col min="3855" max="3855" width="8.88671875" style="1063"/>
    <col min="3856" max="3856" width="11.21875" style="1063" customWidth="1"/>
    <col min="3857" max="3857" width="7.21875" style="1063" customWidth="1"/>
    <col min="3858" max="3858" width="11.21875" style="1063" customWidth="1"/>
    <col min="3859" max="3859" width="7.88671875" style="1063" customWidth="1"/>
    <col min="3860" max="3860" width="11.6640625" style="1063" customWidth="1"/>
    <col min="3861" max="3861" width="8.88671875" style="1063"/>
    <col min="3862" max="3862" width="11.5546875" style="1063" customWidth="1"/>
    <col min="3863" max="3870" width="8.88671875" style="1063"/>
    <col min="3871" max="3871" width="10.109375" style="1063" customWidth="1"/>
    <col min="3872" max="3872" width="8.88671875" style="1063"/>
    <col min="3873" max="3873" width="12.5546875" style="1063" customWidth="1"/>
    <col min="3874" max="3874" width="8.88671875" style="1063"/>
    <col min="3875" max="3876" width="10" style="1063" customWidth="1"/>
    <col min="3877" max="3877" width="11.109375" style="1063" customWidth="1"/>
    <col min="3878" max="3880" width="8.88671875" style="1063"/>
    <col min="3881" max="3881" width="12.6640625" style="1063" customWidth="1"/>
    <col min="3882" max="3882" width="8.88671875" style="1063"/>
    <col min="3883" max="3884" width="10" style="1063" customWidth="1"/>
    <col min="3885" max="3885" width="12.5546875" style="1063" customWidth="1"/>
    <col min="3886" max="3887" width="8.88671875" style="1063"/>
    <col min="3888" max="3888" width="9.77734375" style="1063" customWidth="1"/>
    <col min="3889" max="4096" width="8.88671875" style="1063"/>
    <col min="4097" max="4097" width="9.44140625" style="1063" customWidth="1"/>
    <col min="4098" max="4098" width="6.21875" style="1063" customWidth="1"/>
    <col min="4099" max="4099" width="40.88671875" style="1063" customWidth="1"/>
    <col min="4100" max="4100" width="11.33203125" style="1063" customWidth="1"/>
    <col min="4101" max="4101" width="7.88671875" style="1063" customWidth="1"/>
    <col min="4102" max="4104" width="11.33203125" style="1063" customWidth="1"/>
    <col min="4105" max="4105" width="8.33203125" style="1063" customWidth="1"/>
    <col min="4106" max="4106" width="11.88671875" style="1063" customWidth="1"/>
    <col min="4107" max="4107" width="8.33203125" style="1063" customWidth="1"/>
    <col min="4108" max="4108" width="10.6640625" style="1063" customWidth="1"/>
    <col min="4109" max="4109" width="8.21875" style="1063" customWidth="1"/>
    <col min="4110" max="4110" width="10.77734375" style="1063" customWidth="1"/>
    <col min="4111" max="4111" width="8.88671875" style="1063"/>
    <col min="4112" max="4112" width="11.21875" style="1063" customWidth="1"/>
    <col min="4113" max="4113" width="7.21875" style="1063" customWidth="1"/>
    <col min="4114" max="4114" width="11.21875" style="1063" customWidth="1"/>
    <col min="4115" max="4115" width="7.88671875" style="1063" customWidth="1"/>
    <col min="4116" max="4116" width="11.6640625" style="1063" customWidth="1"/>
    <col min="4117" max="4117" width="8.88671875" style="1063"/>
    <col min="4118" max="4118" width="11.5546875" style="1063" customWidth="1"/>
    <col min="4119" max="4126" width="8.88671875" style="1063"/>
    <col min="4127" max="4127" width="10.109375" style="1063" customWidth="1"/>
    <col min="4128" max="4128" width="8.88671875" style="1063"/>
    <col min="4129" max="4129" width="12.5546875" style="1063" customWidth="1"/>
    <col min="4130" max="4130" width="8.88671875" style="1063"/>
    <col min="4131" max="4132" width="10" style="1063" customWidth="1"/>
    <col min="4133" max="4133" width="11.109375" style="1063" customWidth="1"/>
    <col min="4134" max="4136" width="8.88671875" style="1063"/>
    <col min="4137" max="4137" width="12.6640625" style="1063" customWidth="1"/>
    <col min="4138" max="4138" width="8.88671875" style="1063"/>
    <col min="4139" max="4140" width="10" style="1063" customWidth="1"/>
    <col min="4141" max="4141" width="12.5546875" style="1063" customWidth="1"/>
    <col min="4142" max="4143" width="8.88671875" style="1063"/>
    <col min="4144" max="4144" width="9.77734375" style="1063" customWidth="1"/>
    <col min="4145" max="4352" width="8.88671875" style="1063"/>
    <col min="4353" max="4353" width="9.44140625" style="1063" customWidth="1"/>
    <col min="4354" max="4354" width="6.21875" style="1063" customWidth="1"/>
    <col min="4355" max="4355" width="40.88671875" style="1063" customWidth="1"/>
    <col min="4356" max="4356" width="11.33203125" style="1063" customWidth="1"/>
    <col min="4357" max="4357" width="7.88671875" style="1063" customWidth="1"/>
    <col min="4358" max="4360" width="11.33203125" style="1063" customWidth="1"/>
    <col min="4361" max="4361" width="8.33203125" style="1063" customWidth="1"/>
    <col min="4362" max="4362" width="11.88671875" style="1063" customWidth="1"/>
    <col min="4363" max="4363" width="8.33203125" style="1063" customWidth="1"/>
    <col min="4364" max="4364" width="10.6640625" style="1063" customWidth="1"/>
    <col min="4365" max="4365" width="8.21875" style="1063" customWidth="1"/>
    <col min="4366" max="4366" width="10.77734375" style="1063" customWidth="1"/>
    <col min="4367" max="4367" width="8.88671875" style="1063"/>
    <col min="4368" max="4368" width="11.21875" style="1063" customWidth="1"/>
    <col min="4369" max="4369" width="7.21875" style="1063" customWidth="1"/>
    <col min="4370" max="4370" width="11.21875" style="1063" customWidth="1"/>
    <col min="4371" max="4371" width="7.88671875" style="1063" customWidth="1"/>
    <col min="4372" max="4372" width="11.6640625" style="1063" customWidth="1"/>
    <col min="4373" max="4373" width="8.88671875" style="1063"/>
    <col min="4374" max="4374" width="11.5546875" style="1063" customWidth="1"/>
    <col min="4375" max="4382" width="8.88671875" style="1063"/>
    <col min="4383" max="4383" width="10.109375" style="1063" customWidth="1"/>
    <col min="4384" max="4384" width="8.88671875" style="1063"/>
    <col min="4385" max="4385" width="12.5546875" style="1063" customWidth="1"/>
    <col min="4386" max="4386" width="8.88671875" style="1063"/>
    <col min="4387" max="4388" width="10" style="1063" customWidth="1"/>
    <col min="4389" max="4389" width="11.109375" style="1063" customWidth="1"/>
    <col min="4390" max="4392" width="8.88671875" style="1063"/>
    <col min="4393" max="4393" width="12.6640625" style="1063" customWidth="1"/>
    <col min="4394" max="4394" width="8.88671875" style="1063"/>
    <col min="4395" max="4396" width="10" style="1063" customWidth="1"/>
    <col min="4397" max="4397" width="12.5546875" style="1063" customWidth="1"/>
    <col min="4398" max="4399" width="8.88671875" style="1063"/>
    <col min="4400" max="4400" width="9.77734375" style="1063" customWidth="1"/>
    <col min="4401" max="4608" width="8.88671875" style="1063"/>
    <col min="4609" max="4609" width="9.44140625" style="1063" customWidth="1"/>
    <col min="4610" max="4610" width="6.21875" style="1063" customWidth="1"/>
    <col min="4611" max="4611" width="40.88671875" style="1063" customWidth="1"/>
    <col min="4612" max="4612" width="11.33203125" style="1063" customWidth="1"/>
    <col min="4613" max="4613" width="7.88671875" style="1063" customWidth="1"/>
    <col min="4614" max="4616" width="11.33203125" style="1063" customWidth="1"/>
    <col min="4617" max="4617" width="8.33203125" style="1063" customWidth="1"/>
    <col min="4618" max="4618" width="11.88671875" style="1063" customWidth="1"/>
    <col min="4619" max="4619" width="8.33203125" style="1063" customWidth="1"/>
    <col min="4620" max="4620" width="10.6640625" style="1063" customWidth="1"/>
    <col min="4621" max="4621" width="8.21875" style="1063" customWidth="1"/>
    <col min="4622" max="4622" width="10.77734375" style="1063" customWidth="1"/>
    <col min="4623" max="4623" width="8.88671875" style="1063"/>
    <col min="4624" max="4624" width="11.21875" style="1063" customWidth="1"/>
    <col min="4625" max="4625" width="7.21875" style="1063" customWidth="1"/>
    <col min="4626" max="4626" width="11.21875" style="1063" customWidth="1"/>
    <col min="4627" max="4627" width="7.88671875" style="1063" customWidth="1"/>
    <col min="4628" max="4628" width="11.6640625" style="1063" customWidth="1"/>
    <col min="4629" max="4629" width="8.88671875" style="1063"/>
    <col min="4630" max="4630" width="11.5546875" style="1063" customWidth="1"/>
    <col min="4631" max="4638" width="8.88671875" style="1063"/>
    <col min="4639" max="4639" width="10.109375" style="1063" customWidth="1"/>
    <col min="4640" max="4640" width="8.88671875" style="1063"/>
    <col min="4641" max="4641" width="12.5546875" style="1063" customWidth="1"/>
    <col min="4642" max="4642" width="8.88671875" style="1063"/>
    <col min="4643" max="4644" width="10" style="1063" customWidth="1"/>
    <col min="4645" max="4645" width="11.109375" style="1063" customWidth="1"/>
    <col min="4646" max="4648" width="8.88671875" style="1063"/>
    <col min="4649" max="4649" width="12.6640625" style="1063" customWidth="1"/>
    <col min="4650" max="4650" width="8.88671875" style="1063"/>
    <col min="4651" max="4652" width="10" style="1063" customWidth="1"/>
    <col min="4653" max="4653" width="12.5546875" style="1063" customWidth="1"/>
    <col min="4654" max="4655" width="8.88671875" style="1063"/>
    <col min="4656" max="4656" width="9.77734375" style="1063" customWidth="1"/>
    <col min="4657" max="4864" width="8.88671875" style="1063"/>
    <col min="4865" max="4865" width="9.44140625" style="1063" customWidth="1"/>
    <col min="4866" max="4866" width="6.21875" style="1063" customWidth="1"/>
    <col min="4867" max="4867" width="40.88671875" style="1063" customWidth="1"/>
    <col min="4868" max="4868" width="11.33203125" style="1063" customWidth="1"/>
    <col min="4869" max="4869" width="7.88671875" style="1063" customWidth="1"/>
    <col min="4870" max="4872" width="11.33203125" style="1063" customWidth="1"/>
    <col min="4873" max="4873" width="8.33203125" style="1063" customWidth="1"/>
    <col min="4874" max="4874" width="11.88671875" style="1063" customWidth="1"/>
    <col min="4875" max="4875" width="8.33203125" style="1063" customWidth="1"/>
    <col min="4876" max="4876" width="10.6640625" style="1063" customWidth="1"/>
    <col min="4877" max="4877" width="8.21875" style="1063" customWidth="1"/>
    <col min="4878" max="4878" width="10.77734375" style="1063" customWidth="1"/>
    <col min="4879" max="4879" width="8.88671875" style="1063"/>
    <col min="4880" max="4880" width="11.21875" style="1063" customWidth="1"/>
    <col min="4881" max="4881" width="7.21875" style="1063" customWidth="1"/>
    <col min="4882" max="4882" width="11.21875" style="1063" customWidth="1"/>
    <col min="4883" max="4883" width="7.88671875" style="1063" customWidth="1"/>
    <col min="4884" max="4884" width="11.6640625" style="1063" customWidth="1"/>
    <col min="4885" max="4885" width="8.88671875" style="1063"/>
    <col min="4886" max="4886" width="11.5546875" style="1063" customWidth="1"/>
    <col min="4887" max="4894" width="8.88671875" style="1063"/>
    <col min="4895" max="4895" width="10.109375" style="1063" customWidth="1"/>
    <col min="4896" max="4896" width="8.88671875" style="1063"/>
    <col min="4897" max="4897" width="12.5546875" style="1063" customWidth="1"/>
    <col min="4898" max="4898" width="8.88671875" style="1063"/>
    <col min="4899" max="4900" width="10" style="1063" customWidth="1"/>
    <col min="4901" max="4901" width="11.109375" style="1063" customWidth="1"/>
    <col min="4902" max="4904" width="8.88671875" style="1063"/>
    <col min="4905" max="4905" width="12.6640625" style="1063" customWidth="1"/>
    <col min="4906" max="4906" width="8.88671875" style="1063"/>
    <col min="4907" max="4908" width="10" style="1063" customWidth="1"/>
    <col min="4909" max="4909" width="12.5546875" style="1063" customWidth="1"/>
    <col min="4910" max="4911" width="8.88671875" style="1063"/>
    <col min="4912" max="4912" width="9.77734375" style="1063" customWidth="1"/>
    <col min="4913" max="5120" width="8.88671875" style="1063"/>
    <col min="5121" max="5121" width="9.44140625" style="1063" customWidth="1"/>
    <col min="5122" max="5122" width="6.21875" style="1063" customWidth="1"/>
    <col min="5123" max="5123" width="40.88671875" style="1063" customWidth="1"/>
    <col min="5124" max="5124" width="11.33203125" style="1063" customWidth="1"/>
    <col min="5125" max="5125" width="7.88671875" style="1063" customWidth="1"/>
    <col min="5126" max="5128" width="11.33203125" style="1063" customWidth="1"/>
    <col min="5129" max="5129" width="8.33203125" style="1063" customWidth="1"/>
    <col min="5130" max="5130" width="11.88671875" style="1063" customWidth="1"/>
    <col min="5131" max="5131" width="8.33203125" style="1063" customWidth="1"/>
    <col min="5132" max="5132" width="10.6640625" style="1063" customWidth="1"/>
    <col min="5133" max="5133" width="8.21875" style="1063" customWidth="1"/>
    <col min="5134" max="5134" width="10.77734375" style="1063" customWidth="1"/>
    <col min="5135" max="5135" width="8.88671875" style="1063"/>
    <col min="5136" max="5136" width="11.21875" style="1063" customWidth="1"/>
    <col min="5137" max="5137" width="7.21875" style="1063" customWidth="1"/>
    <col min="5138" max="5138" width="11.21875" style="1063" customWidth="1"/>
    <col min="5139" max="5139" width="7.88671875" style="1063" customWidth="1"/>
    <col min="5140" max="5140" width="11.6640625" style="1063" customWidth="1"/>
    <col min="5141" max="5141" width="8.88671875" style="1063"/>
    <col min="5142" max="5142" width="11.5546875" style="1063" customWidth="1"/>
    <col min="5143" max="5150" width="8.88671875" style="1063"/>
    <col min="5151" max="5151" width="10.109375" style="1063" customWidth="1"/>
    <col min="5152" max="5152" width="8.88671875" style="1063"/>
    <col min="5153" max="5153" width="12.5546875" style="1063" customWidth="1"/>
    <col min="5154" max="5154" width="8.88671875" style="1063"/>
    <col min="5155" max="5156" width="10" style="1063" customWidth="1"/>
    <col min="5157" max="5157" width="11.109375" style="1063" customWidth="1"/>
    <col min="5158" max="5160" width="8.88671875" style="1063"/>
    <col min="5161" max="5161" width="12.6640625" style="1063" customWidth="1"/>
    <col min="5162" max="5162" width="8.88671875" style="1063"/>
    <col min="5163" max="5164" width="10" style="1063" customWidth="1"/>
    <col min="5165" max="5165" width="12.5546875" style="1063" customWidth="1"/>
    <col min="5166" max="5167" width="8.88671875" style="1063"/>
    <col min="5168" max="5168" width="9.77734375" style="1063" customWidth="1"/>
    <col min="5169" max="5376" width="8.88671875" style="1063"/>
    <col min="5377" max="5377" width="9.44140625" style="1063" customWidth="1"/>
    <col min="5378" max="5378" width="6.21875" style="1063" customWidth="1"/>
    <col min="5379" max="5379" width="40.88671875" style="1063" customWidth="1"/>
    <col min="5380" max="5380" width="11.33203125" style="1063" customWidth="1"/>
    <col min="5381" max="5381" width="7.88671875" style="1063" customWidth="1"/>
    <col min="5382" max="5384" width="11.33203125" style="1063" customWidth="1"/>
    <col min="5385" max="5385" width="8.33203125" style="1063" customWidth="1"/>
    <col min="5386" max="5386" width="11.88671875" style="1063" customWidth="1"/>
    <col min="5387" max="5387" width="8.33203125" style="1063" customWidth="1"/>
    <col min="5388" max="5388" width="10.6640625" style="1063" customWidth="1"/>
    <col min="5389" max="5389" width="8.21875" style="1063" customWidth="1"/>
    <col min="5390" max="5390" width="10.77734375" style="1063" customWidth="1"/>
    <col min="5391" max="5391" width="8.88671875" style="1063"/>
    <col min="5392" max="5392" width="11.21875" style="1063" customWidth="1"/>
    <col min="5393" max="5393" width="7.21875" style="1063" customWidth="1"/>
    <col min="5394" max="5394" width="11.21875" style="1063" customWidth="1"/>
    <col min="5395" max="5395" width="7.88671875" style="1063" customWidth="1"/>
    <col min="5396" max="5396" width="11.6640625" style="1063" customWidth="1"/>
    <col min="5397" max="5397" width="8.88671875" style="1063"/>
    <col min="5398" max="5398" width="11.5546875" style="1063" customWidth="1"/>
    <col min="5399" max="5406" width="8.88671875" style="1063"/>
    <col min="5407" max="5407" width="10.109375" style="1063" customWidth="1"/>
    <col min="5408" max="5408" width="8.88671875" style="1063"/>
    <col min="5409" max="5409" width="12.5546875" style="1063" customWidth="1"/>
    <col min="5410" max="5410" width="8.88671875" style="1063"/>
    <col min="5411" max="5412" width="10" style="1063" customWidth="1"/>
    <col min="5413" max="5413" width="11.109375" style="1063" customWidth="1"/>
    <col min="5414" max="5416" width="8.88671875" style="1063"/>
    <col min="5417" max="5417" width="12.6640625" style="1063" customWidth="1"/>
    <col min="5418" max="5418" width="8.88671875" style="1063"/>
    <col min="5419" max="5420" width="10" style="1063" customWidth="1"/>
    <col min="5421" max="5421" width="12.5546875" style="1063" customWidth="1"/>
    <col min="5422" max="5423" width="8.88671875" style="1063"/>
    <col min="5424" max="5424" width="9.77734375" style="1063" customWidth="1"/>
    <col min="5425" max="5632" width="8.88671875" style="1063"/>
    <col min="5633" max="5633" width="9.44140625" style="1063" customWidth="1"/>
    <col min="5634" max="5634" width="6.21875" style="1063" customWidth="1"/>
    <col min="5635" max="5635" width="40.88671875" style="1063" customWidth="1"/>
    <col min="5636" max="5636" width="11.33203125" style="1063" customWidth="1"/>
    <col min="5637" max="5637" width="7.88671875" style="1063" customWidth="1"/>
    <col min="5638" max="5640" width="11.33203125" style="1063" customWidth="1"/>
    <col min="5641" max="5641" width="8.33203125" style="1063" customWidth="1"/>
    <col min="5642" max="5642" width="11.88671875" style="1063" customWidth="1"/>
    <col min="5643" max="5643" width="8.33203125" style="1063" customWidth="1"/>
    <col min="5644" max="5644" width="10.6640625" style="1063" customWidth="1"/>
    <col min="5645" max="5645" width="8.21875" style="1063" customWidth="1"/>
    <col min="5646" max="5646" width="10.77734375" style="1063" customWidth="1"/>
    <col min="5647" max="5647" width="8.88671875" style="1063"/>
    <col min="5648" max="5648" width="11.21875" style="1063" customWidth="1"/>
    <col min="5649" max="5649" width="7.21875" style="1063" customWidth="1"/>
    <col min="5650" max="5650" width="11.21875" style="1063" customWidth="1"/>
    <col min="5651" max="5651" width="7.88671875" style="1063" customWidth="1"/>
    <col min="5652" max="5652" width="11.6640625" style="1063" customWidth="1"/>
    <col min="5653" max="5653" width="8.88671875" style="1063"/>
    <col min="5654" max="5654" width="11.5546875" style="1063" customWidth="1"/>
    <col min="5655" max="5662" width="8.88671875" style="1063"/>
    <col min="5663" max="5663" width="10.109375" style="1063" customWidth="1"/>
    <col min="5664" max="5664" width="8.88671875" style="1063"/>
    <col min="5665" max="5665" width="12.5546875" style="1063" customWidth="1"/>
    <col min="5666" max="5666" width="8.88671875" style="1063"/>
    <col min="5667" max="5668" width="10" style="1063" customWidth="1"/>
    <col min="5669" max="5669" width="11.109375" style="1063" customWidth="1"/>
    <col min="5670" max="5672" width="8.88671875" style="1063"/>
    <col min="5673" max="5673" width="12.6640625" style="1063" customWidth="1"/>
    <col min="5674" max="5674" width="8.88671875" style="1063"/>
    <col min="5675" max="5676" width="10" style="1063" customWidth="1"/>
    <col min="5677" max="5677" width="12.5546875" style="1063" customWidth="1"/>
    <col min="5678" max="5679" width="8.88671875" style="1063"/>
    <col min="5680" max="5680" width="9.77734375" style="1063" customWidth="1"/>
    <col min="5681" max="5888" width="8.88671875" style="1063"/>
    <col min="5889" max="5889" width="9.44140625" style="1063" customWidth="1"/>
    <col min="5890" max="5890" width="6.21875" style="1063" customWidth="1"/>
    <col min="5891" max="5891" width="40.88671875" style="1063" customWidth="1"/>
    <col min="5892" max="5892" width="11.33203125" style="1063" customWidth="1"/>
    <col min="5893" max="5893" width="7.88671875" style="1063" customWidth="1"/>
    <col min="5894" max="5896" width="11.33203125" style="1063" customWidth="1"/>
    <col min="5897" max="5897" width="8.33203125" style="1063" customWidth="1"/>
    <col min="5898" max="5898" width="11.88671875" style="1063" customWidth="1"/>
    <col min="5899" max="5899" width="8.33203125" style="1063" customWidth="1"/>
    <col min="5900" max="5900" width="10.6640625" style="1063" customWidth="1"/>
    <col min="5901" max="5901" width="8.21875" style="1063" customWidth="1"/>
    <col min="5902" max="5902" width="10.77734375" style="1063" customWidth="1"/>
    <col min="5903" max="5903" width="8.88671875" style="1063"/>
    <col min="5904" max="5904" width="11.21875" style="1063" customWidth="1"/>
    <col min="5905" max="5905" width="7.21875" style="1063" customWidth="1"/>
    <col min="5906" max="5906" width="11.21875" style="1063" customWidth="1"/>
    <col min="5907" max="5907" width="7.88671875" style="1063" customWidth="1"/>
    <col min="5908" max="5908" width="11.6640625" style="1063" customWidth="1"/>
    <col min="5909" max="5909" width="8.88671875" style="1063"/>
    <col min="5910" max="5910" width="11.5546875" style="1063" customWidth="1"/>
    <col min="5911" max="5918" width="8.88671875" style="1063"/>
    <col min="5919" max="5919" width="10.109375" style="1063" customWidth="1"/>
    <col min="5920" max="5920" width="8.88671875" style="1063"/>
    <col min="5921" max="5921" width="12.5546875" style="1063" customWidth="1"/>
    <col min="5922" max="5922" width="8.88671875" style="1063"/>
    <col min="5923" max="5924" width="10" style="1063" customWidth="1"/>
    <col min="5925" max="5925" width="11.109375" style="1063" customWidth="1"/>
    <col min="5926" max="5928" width="8.88671875" style="1063"/>
    <col min="5929" max="5929" width="12.6640625" style="1063" customWidth="1"/>
    <col min="5930" max="5930" width="8.88671875" style="1063"/>
    <col min="5931" max="5932" width="10" style="1063" customWidth="1"/>
    <col min="5933" max="5933" width="12.5546875" style="1063" customWidth="1"/>
    <col min="5934" max="5935" width="8.88671875" style="1063"/>
    <col min="5936" max="5936" width="9.77734375" style="1063" customWidth="1"/>
    <col min="5937" max="6144" width="8.88671875" style="1063"/>
    <col min="6145" max="6145" width="9.44140625" style="1063" customWidth="1"/>
    <col min="6146" max="6146" width="6.21875" style="1063" customWidth="1"/>
    <col min="6147" max="6147" width="40.88671875" style="1063" customWidth="1"/>
    <col min="6148" max="6148" width="11.33203125" style="1063" customWidth="1"/>
    <col min="6149" max="6149" width="7.88671875" style="1063" customWidth="1"/>
    <col min="6150" max="6152" width="11.33203125" style="1063" customWidth="1"/>
    <col min="6153" max="6153" width="8.33203125" style="1063" customWidth="1"/>
    <col min="6154" max="6154" width="11.88671875" style="1063" customWidth="1"/>
    <col min="6155" max="6155" width="8.33203125" style="1063" customWidth="1"/>
    <col min="6156" max="6156" width="10.6640625" style="1063" customWidth="1"/>
    <col min="6157" max="6157" width="8.21875" style="1063" customWidth="1"/>
    <col min="6158" max="6158" width="10.77734375" style="1063" customWidth="1"/>
    <col min="6159" max="6159" width="8.88671875" style="1063"/>
    <col min="6160" max="6160" width="11.21875" style="1063" customWidth="1"/>
    <col min="6161" max="6161" width="7.21875" style="1063" customWidth="1"/>
    <col min="6162" max="6162" width="11.21875" style="1063" customWidth="1"/>
    <col min="6163" max="6163" width="7.88671875" style="1063" customWidth="1"/>
    <col min="6164" max="6164" width="11.6640625" style="1063" customWidth="1"/>
    <col min="6165" max="6165" width="8.88671875" style="1063"/>
    <col min="6166" max="6166" width="11.5546875" style="1063" customWidth="1"/>
    <col min="6167" max="6174" width="8.88671875" style="1063"/>
    <col min="6175" max="6175" width="10.109375" style="1063" customWidth="1"/>
    <col min="6176" max="6176" width="8.88671875" style="1063"/>
    <col min="6177" max="6177" width="12.5546875" style="1063" customWidth="1"/>
    <col min="6178" max="6178" width="8.88671875" style="1063"/>
    <col min="6179" max="6180" width="10" style="1063" customWidth="1"/>
    <col min="6181" max="6181" width="11.109375" style="1063" customWidth="1"/>
    <col min="6182" max="6184" width="8.88671875" style="1063"/>
    <col min="6185" max="6185" width="12.6640625" style="1063" customWidth="1"/>
    <col min="6186" max="6186" width="8.88671875" style="1063"/>
    <col min="6187" max="6188" width="10" style="1063" customWidth="1"/>
    <col min="6189" max="6189" width="12.5546875" style="1063" customWidth="1"/>
    <col min="6190" max="6191" width="8.88671875" style="1063"/>
    <col min="6192" max="6192" width="9.77734375" style="1063" customWidth="1"/>
    <col min="6193" max="6400" width="8.88671875" style="1063"/>
    <col min="6401" max="6401" width="9.44140625" style="1063" customWidth="1"/>
    <col min="6402" max="6402" width="6.21875" style="1063" customWidth="1"/>
    <col min="6403" max="6403" width="40.88671875" style="1063" customWidth="1"/>
    <col min="6404" max="6404" width="11.33203125" style="1063" customWidth="1"/>
    <col min="6405" max="6405" width="7.88671875" style="1063" customWidth="1"/>
    <col min="6406" max="6408" width="11.33203125" style="1063" customWidth="1"/>
    <col min="6409" max="6409" width="8.33203125" style="1063" customWidth="1"/>
    <col min="6410" max="6410" width="11.88671875" style="1063" customWidth="1"/>
    <col min="6411" max="6411" width="8.33203125" style="1063" customWidth="1"/>
    <col min="6412" max="6412" width="10.6640625" style="1063" customWidth="1"/>
    <col min="6413" max="6413" width="8.21875" style="1063" customWidth="1"/>
    <col min="6414" max="6414" width="10.77734375" style="1063" customWidth="1"/>
    <col min="6415" max="6415" width="8.88671875" style="1063"/>
    <col min="6416" max="6416" width="11.21875" style="1063" customWidth="1"/>
    <col min="6417" max="6417" width="7.21875" style="1063" customWidth="1"/>
    <col min="6418" max="6418" width="11.21875" style="1063" customWidth="1"/>
    <col min="6419" max="6419" width="7.88671875" style="1063" customWidth="1"/>
    <col min="6420" max="6420" width="11.6640625" style="1063" customWidth="1"/>
    <col min="6421" max="6421" width="8.88671875" style="1063"/>
    <col min="6422" max="6422" width="11.5546875" style="1063" customWidth="1"/>
    <col min="6423" max="6430" width="8.88671875" style="1063"/>
    <col min="6431" max="6431" width="10.109375" style="1063" customWidth="1"/>
    <col min="6432" max="6432" width="8.88671875" style="1063"/>
    <col min="6433" max="6433" width="12.5546875" style="1063" customWidth="1"/>
    <col min="6434" max="6434" width="8.88671875" style="1063"/>
    <col min="6435" max="6436" width="10" style="1063" customWidth="1"/>
    <col min="6437" max="6437" width="11.109375" style="1063" customWidth="1"/>
    <col min="6438" max="6440" width="8.88671875" style="1063"/>
    <col min="6441" max="6441" width="12.6640625" style="1063" customWidth="1"/>
    <col min="6442" max="6442" width="8.88671875" style="1063"/>
    <col min="6443" max="6444" width="10" style="1063" customWidth="1"/>
    <col min="6445" max="6445" width="12.5546875" style="1063" customWidth="1"/>
    <col min="6446" max="6447" width="8.88671875" style="1063"/>
    <col min="6448" max="6448" width="9.77734375" style="1063" customWidth="1"/>
    <col min="6449" max="6656" width="8.88671875" style="1063"/>
    <col min="6657" max="6657" width="9.44140625" style="1063" customWidth="1"/>
    <col min="6658" max="6658" width="6.21875" style="1063" customWidth="1"/>
    <col min="6659" max="6659" width="40.88671875" style="1063" customWidth="1"/>
    <col min="6660" max="6660" width="11.33203125" style="1063" customWidth="1"/>
    <col min="6661" max="6661" width="7.88671875" style="1063" customWidth="1"/>
    <col min="6662" max="6664" width="11.33203125" style="1063" customWidth="1"/>
    <col min="6665" max="6665" width="8.33203125" style="1063" customWidth="1"/>
    <col min="6666" max="6666" width="11.88671875" style="1063" customWidth="1"/>
    <col min="6667" max="6667" width="8.33203125" style="1063" customWidth="1"/>
    <col min="6668" max="6668" width="10.6640625" style="1063" customWidth="1"/>
    <col min="6669" max="6669" width="8.21875" style="1063" customWidth="1"/>
    <col min="6670" max="6670" width="10.77734375" style="1063" customWidth="1"/>
    <col min="6671" max="6671" width="8.88671875" style="1063"/>
    <col min="6672" max="6672" width="11.21875" style="1063" customWidth="1"/>
    <col min="6673" max="6673" width="7.21875" style="1063" customWidth="1"/>
    <col min="6674" max="6674" width="11.21875" style="1063" customWidth="1"/>
    <col min="6675" max="6675" width="7.88671875" style="1063" customWidth="1"/>
    <col min="6676" max="6676" width="11.6640625" style="1063" customWidth="1"/>
    <col min="6677" max="6677" width="8.88671875" style="1063"/>
    <col min="6678" max="6678" width="11.5546875" style="1063" customWidth="1"/>
    <col min="6679" max="6686" width="8.88671875" style="1063"/>
    <col min="6687" max="6687" width="10.109375" style="1063" customWidth="1"/>
    <col min="6688" max="6688" width="8.88671875" style="1063"/>
    <col min="6689" max="6689" width="12.5546875" style="1063" customWidth="1"/>
    <col min="6690" max="6690" width="8.88671875" style="1063"/>
    <col min="6691" max="6692" width="10" style="1063" customWidth="1"/>
    <col min="6693" max="6693" width="11.109375" style="1063" customWidth="1"/>
    <col min="6694" max="6696" width="8.88671875" style="1063"/>
    <col min="6697" max="6697" width="12.6640625" style="1063" customWidth="1"/>
    <col min="6698" max="6698" width="8.88671875" style="1063"/>
    <col min="6699" max="6700" width="10" style="1063" customWidth="1"/>
    <col min="6701" max="6701" width="12.5546875" style="1063" customWidth="1"/>
    <col min="6702" max="6703" width="8.88671875" style="1063"/>
    <col min="6704" max="6704" width="9.77734375" style="1063" customWidth="1"/>
    <col min="6705" max="6912" width="8.88671875" style="1063"/>
    <col min="6913" max="6913" width="9.44140625" style="1063" customWidth="1"/>
    <col min="6914" max="6914" width="6.21875" style="1063" customWidth="1"/>
    <col min="6915" max="6915" width="40.88671875" style="1063" customWidth="1"/>
    <col min="6916" max="6916" width="11.33203125" style="1063" customWidth="1"/>
    <col min="6917" max="6917" width="7.88671875" style="1063" customWidth="1"/>
    <col min="6918" max="6920" width="11.33203125" style="1063" customWidth="1"/>
    <col min="6921" max="6921" width="8.33203125" style="1063" customWidth="1"/>
    <col min="6922" max="6922" width="11.88671875" style="1063" customWidth="1"/>
    <col min="6923" max="6923" width="8.33203125" style="1063" customWidth="1"/>
    <col min="6924" max="6924" width="10.6640625" style="1063" customWidth="1"/>
    <col min="6925" max="6925" width="8.21875" style="1063" customWidth="1"/>
    <col min="6926" max="6926" width="10.77734375" style="1063" customWidth="1"/>
    <col min="6927" max="6927" width="8.88671875" style="1063"/>
    <col min="6928" max="6928" width="11.21875" style="1063" customWidth="1"/>
    <col min="6929" max="6929" width="7.21875" style="1063" customWidth="1"/>
    <col min="6930" max="6930" width="11.21875" style="1063" customWidth="1"/>
    <col min="6931" max="6931" width="7.88671875" style="1063" customWidth="1"/>
    <col min="6932" max="6932" width="11.6640625" style="1063" customWidth="1"/>
    <col min="6933" max="6933" width="8.88671875" style="1063"/>
    <col min="6934" max="6934" width="11.5546875" style="1063" customWidth="1"/>
    <col min="6935" max="6942" width="8.88671875" style="1063"/>
    <col min="6943" max="6943" width="10.109375" style="1063" customWidth="1"/>
    <col min="6944" max="6944" width="8.88671875" style="1063"/>
    <col min="6945" max="6945" width="12.5546875" style="1063" customWidth="1"/>
    <col min="6946" max="6946" width="8.88671875" style="1063"/>
    <col min="6947" max="6948" width="10" style="1063" customWidth="1"/>
    <col min="6949" max="6949" width="11.109375" style="1063" customWidth="1"/>
    <col min="6950" max="6952" width="8.88671875" style="1063"/>
    <col min="6953" max="6953" width="12.6640625" style="1063" customWidth="1"/>
    <col min="6954" max="6954" width="8.88671875" style="1063"/>
    <col min="6955" max="6956" width="10" style="1063" customWidth="1"/>
    <col min="6957" max="6957" width="12.5546875" style="1063" customWidth="1"/>
    <col min="6958" max="6959" width="8.88671875" style="1063"/>
    <col min="6960" max="6960" width="9.77734375" style="1063" customWidth="1"/>
    <col min="6961" max="7168" width="8.88671875" style="1063"/>
    <col min="7169" max="7169" width="9.44140625" style="1063" customWidth="1"/>
    <col min="7170" max="7170" width="6.21875" style="1063" customWidth="1"/>
    <col min="7171" max="7171" width="40.88671875" style="1063" customWidth="1"/>
    <col min="7172" max="7172" width="11.33203125" style="1063" customWidth="1"/>
    <col min="7173" max="7173" width="7.88671875" style="1063" customWidth="1"/>
    <col min="7174" max="7176" width="11.33203125" style="1063" customWidth="1"/>
    <col min="7177" max="7177" width="8.33203125" style="1063" customWidth="1"/>
    <col min="7178" max="7178" width="11.88671875" style="1063" customWidth="1"/>
    <col min="7179" max="7179" width="8.33203125" style="1063" customWidth="1"/>
    <col min="7180" max="7180" width="10.6640625" style="1063" customWidth="1"/>
    <col min="7181" max="7181" width="8.21875" style="1063" customWidth="1"/>
    <col min="7182" max="7182" width="10.77734375" style="1063" customWidth="1"/>
    <col min="7183" max="7183" width="8.88671875" style="1063"/>
    <col min="7184" max="7184" width="11.21875" style="1063" customWidth="1"/>
    <col min="7185" max="7185" width="7.21875" style="1063" customWidth="1"/>
    <col min="7186" max="7186" width="11.21875" style="1063" customWidth="1"/>
    <col min="7187" max="7187" width="7.88671875" style="1063" customWidth="1"/>
    <col min="7188" max="7188" width="11.6640625" style="1063" customWidth="1"/>
    <col min="7189" max="7189" width="8.88671875" style="1063"/>
    <col min="7190" max="7190" width="11.5546875" style="1063" customWidth="1"/>
    <col min="7191" max="7198" width="8.88671875" style="1063"/>
    <col min="7199" max="7199" width="10.109375" style="1063" customWidth="1"/>
    <col min="7200" max="7200" width="8.88671875" style="1063"/>
    <col min="7201" max="7201" width="12.5546875" style="1063" customWidth="1"/>
    <col min="7202" max="7202" width="8.88671875" style="1063"/>
    <col min="7203" max="7204" width="10" style="1063" customWidth="1"/>
    <col min="7205" max="7205" width="11.109375" style="1063" customWidth="1"/>
    <col min="7206" max="7208" width="8.88671875" style="1063"/>
    <col min="7209" max="7209" width="12.6640625" style="1063" customWidth="1"/>
    <col min="7210" max="7210" width="8.88671875" style="1063"/>
    <col min="7211" max="7212" width="10" style="1063" customWidth="1"/>
    <col min="7213" max="7213" width="12.5546875" style="1063" customWidth="1"/>
    <col min="7214" max="7215" width="8.88671875" style="1063"/>
    <col min="7216" max="7216" width="9.77734375" style="1063" customWidth="1"/>
    <col min="7217" max="7424" width="8.88671875" style="1063"/>
    <col min="7425" max="7425" width="9.44140625" style="1063" customWidth="1"/>
    <col min="7426" max="7426" width="6.21875" style="1063" customWidth="1"/>
    <col min="7427" max="7427" width="40.88671875" style="1063" customWidth="1"/>
    <col min="7428" max="7428" width="11.33203125" style="1063" customWidth="1"/>
    <col min="7429" max="7429" width="7.88671875" style="1063" customWidth="1"/>
    <col min="7430" max="7432" width="11.33203125" style="1063" customWidth="1"/>
    <col min="7433" max="7433" width="8.33203125" style="1063" customWidth="1"/>
    <col min="7434" max="7434" width="11.88671875" style="1063" customWidth="1"/>
    <col min="7435" max="7435" width="8.33203125" style="1063" customWidth="1"/>
    <col min="7436" max="7436" width="10.6640625" style="1063" customWidth="1"/>
    <col min="7437" max="7437" width="8.21875" style="1063" customWidth="1"/>
    <col min="7438" max="7438" width="10.77734375" style="1063" customWidth="1"/>
    <col min="7439" max="7439" width="8.88671875" style="1063"/>
    <col min="7440" max="7440" width="11.21875" style="1063" customWidth="1"/>
    <col min="7441" max="7441" width="7.21875" style="1063" customWidth="1"/>
    <col min="7442" max="7442" width="11.21875" style="1063" customWidth="1"/>
    <col min="7443" max="7443" width="7.88671875" style="1063" customWidth="1"/>
    <col min="7444" max="7444" width="11.6640625" style="1063" customWidth="1"/>
    <col min="7445" max="7445" width="8.88671875" style="1063"/>
    <col min="7446" max="7446" width="11.5546875" style="1063" customWidth="1"/>
    <col min="7447" max="7454" width="8.88671875" style="1063"/>
    <col min="7455" max="7455" width="10.109375" style="1063" customWidth="1"/>
    <col min="7456" max="7456" width="8.88671875" style="1063"/>
    <col min="7457" max="7457" width="12.5546875" style="1063" customWidth="1"/>
    <col min="7458" max="7458" width="8.88671875" style="1063"/>
    <col min="7459" max="7460" width="10" style="1063" customWidth="1"/>
    <col min="7461" max="7461" width="11.109375" style="1063" customWidth="1"/>
    <col min="7462" max="7464" width="8.88671875" style="1063"/>
    <col min="7465" max="7465" width="12.6640625" style="1063" customWidth="1"/>
    <col min="7466" max="7466" width="8.88671875" style="1063"/>
    <col min="7467" max="7468" width="10" style="1063" customWidth="1"/>
    <col min="7469" max="7469" width="12.5546875" style="1063" customWidth="1"/>
    <col min="7470" max="7471" width="8.88671875" style="1063"/>
    <col min="7472" max="7472" width="9.77734375" style="1063" customWidth="1"/>
    <col min="7473" max="7680" width="8.88671875" style="1063"/>
    <col min="7681" max="7681" width="9.44140625" style="1063" customWidth="1"/>
    <col min="7682" max="7682" width="6.21875" style="1063" customWidth="1"/>
    <col min="7683" max="7683" width="40.88671875" style="1063" customWidth="1"/>
    <col min="7684" max="7684" width="11.33203125" style="1063" customWidth="1"/>
    <col min="7685" max="7685" width="7.88671875" style="1063" customWidth="1"/>
    <col min="7686" max="7688" width="11.33203125" style="1063" customWidth="1"/>
    <col min="7689" max="7689" width="8.33203125" style="1063" customWidth="1"/>
    <col min="7690" max="7690" width="11.88671875" style="1063" customWidth="1"/>
    <col min="7691" max="7691" width="8.33203125" style="1063" customWidth="1"/>
    <col min="7692" max="7692" width="10.6640625" style="1063" customWidth="1"/>
    <col min="7693" max="7693" width="8.21875" style="1063" customWidth="1"/>
    <col min="7694" max="7694" width="10.77734375" style="1063" customWidth="1"/>
    <col min="7695" max="7695" width="8.88671875" style="1063"/>
    <col min="7696" max="7696" width="11.21875" style="1063" customWidth="1"/>
    <col min="7697" max="7697" width="7.21875" style="1063" customWidth="1"/>
    <col min="7698" max="7698" width="11.21875" style="1063" customWidth="1"/>
    <col min="7699" max="7699" width="7.88671875" style="1063" customWidth="1"/>
    <col min="7700" max="7700" width="11.6640625" style="1063" customWidth="1"/>
    <col min="7701" max="7701" width="8.88671875" style="1063"/>
    <col min="7702" max="7702" width="11.5546875" style="1063" customWidth="1"/>
    <col min="7703" max="7710" width="8.88671875" style="1063"/>
    <col min="7711" max="7711" width="10.109375" style="1063" customWidth="1"/>
    <col min="7712" max="7712" width="8.88671875" style="1063"/>
    <col min="7713" max="7713" width="12.5546875" style="1063" customWidth="1"/>
    <col min="7714" max="7714" width="8.88671875" style="1063"/>
    <col min="7715" max="7716" width="10" style="1063" customWidth="1"/>
    <col min="7717" max="7717" width="11.109375" style="1063" customWidth="1"/>
    <col min="7718" max="7720" width="8.88671875" style="1063"/>
    <col min="7721" max="7721" width="12.6640625" style="1063" customWidth="1"/>
    <col min="7722" max="7722" width="8.88671875" style="1063"/>
    <col min="7723" max="7724" width="10" style="1063" customWidth="1"/>
    <col min="7725" max="7725" width="12.5546875" style="1063" customWidth="1"/>
    <col min="7726" max="7727" width="8.88671875" style="1063"/>
    <col min="7728" max="7728" width="9.77734375" style="1063" customWidth="1"/>
    <col min="7729" max="7936" width="8.88671875" style="1063"/>
    <col min="7937" max="7937" width="9.44140625" style="1063" customWidth="1"/>
    <col min="7938" max="7938" width="6.21875" style="1063" customWidth="1"/>
    <col min="7939" max="7939" width="40.88671875" style="1063" customWidth="1"/>
    <col min="7940" max="7940" width="11.33203125" style="1063" customWidth="1"/>
    <col min="7941" max="7941" width="7.88671875" style="1063" customWidth="1"/>
    <col min="7942" max="7944" width="11.33203125" style="1063" customWidth="1"/>
    <col min="7945" max="7945" width="8.33203125" style="1063" customWidth="1"/>
    <col min="7946" max="7946" width="11.88671875" style="1063" customWidth="1"/>
    <col min="7947" max="7947" width="8.33203125" style="1063" customWidth="1"/>
    <col min="7948" max="7948" width="10.6640625" style="1063" customWidth="1"/>
    <col min="7949" max="7949" width="8.21875" style="1063" customWidth="1"/>
    <col min="7950" max="7950" width="10.77734375" style="1063" customWidth="1"/>
    <col min="7951" max="7951" width="8.88671875" style="1063"/>
    <col min="7952" max="7952" width="11.21875" style="1063" customWidth="1"/>
    <col min="7953" max="7953" width="7.21875" style="1063" customWidth="1"/>
    <col min="7954" max="7954" width="11.21875" style="1063" customWidth="1"/>
    <col min="7955" max="7955" width="7.88671875" style="1063" customWidth="1"/>
    <col min="7956" max="7956" width="11.6640625" style="1063" customWidth="1"/>
    <col min="7957" max="7957" width="8.88671875" style="1063"/>
    <col min="7958" max="7958" width="11.5546875" style="1063" customWidth="1"/>
    <col min="7959" max="7966" width="8.88671875" style="1063"/>
    <col min="7967" max="7967" width="10.109375" style="1063" customWidth="1"/>
    <col min="7968" max="7968" width="8.88671875" style="1063"/>
    <col min="7969" max="7969" width="12.5546875" style="1063" customWidth="1"/>
    <col min="7970" max="7970" width="8.88671875" style="1063"/>
    <col min="7971" max="7972" width="10" style="1063" customWidth="1"/>
    <col min="7973" max="7973" width="11.109375" style="1063" customWidth="1"/>
    <col min="7974" max="7976" width="8.88671875" style="1063"/>
    <col min="7977" max="7977" width="12.6640625" style="1063" customWidth="1"/>
    <col min="7978" max="7978" width="8.88671875" style="1063"/>
    <col min="7979" max="7980" width="10" style="1063" customWidth="1"/>
    <col min="7981" max="7981" width="12.5546875" style="1063" customWidth="1"/>
    <col min="7982" max="7983" width="8.88671875" style="1063"/>
    <col min="7984" max="7984" width="9.77734375" style="1063" customWidth="1"/>
    <col min="7985" max="8192" width="8.88671875" style="1063"/>
    <col min="8193" max="8193" width="9.44140625" style="1063" customWidth="1"/>
    <col min="8194" max="8194" width="6.21875" style="1063" customWidth="1"/>
    <col min="8195" max="8195" width="40.88671875" style="1063" customWidth="1"/>
    <col min="8196" max="8196" width="11.33203125" style="1063" customWidth="1"/>
    <col min="8197" max="8197" width="7.88671875" style="1063" customWidth="1"/>
    <col min="8198" max="8200" width="11.33203125" style="1063" customWidth="1"/>
    <col min="8201" max="8201" width="8.33203125" style="1063" customWidth="1"/>
    <col min="8202" max="8202" width="11.88671875" style="1063" customWidth="1"/>
    <col min="8203" max="8203" width="8.33203125" style="1063" customWidth="1"/>
    <col min="8204" max="8204" width="10.6640625" style="1063" customWidth="1"/>
    <col min="8205" max="8205" width="8.21875" style="1063" customWidth="1"/>
    <col min="8206" max="8206" width="10.77734375" style="1063" customWidth="1"/>
    <col min="8207" max="8207" width="8.88671875" style="1063"/>
    <col min="8208" max="8208" width="11.21875" style="1063" customWidth="1"/>
    <col min="8209" max="8209" width="7.21875" style="1063" customWidth="1"/>
    <col min="8210" max="8210" width="11.21875" style="1063" customWidth="1"/>
    <col min="8211" max="8211" width="7.88671875" style="1063" customWidth="1"/>
    <col min="8212" max="8212" width="11.6640625" style="1063" customWidth="1"/>
    <col min="8213" max="8213" width="8.88671875" style="1063"/>
    <col min="8214" max="8214" width="11.5546875" style="1063" customWidth="1"/>
    <col min="8215" max="8222" width="8.88671875" style="1063"/>
    <col min="8223" max="8223" width="10.109375" style="1063" customWidth="1"/>
    <col min="8224" max="8224" width="8.88671875" style="1063"/>
    <col min="8225" max="8225" width="12.5546875" style="1063" customWidth="1"/>
    <col min="8226" max="8226" width="8.88671875" style="1063"/>
    <col min="8227" max="8228" width="10" style="1063" customWidth="1"/>
    <col min="8229" max="8229" width="11.109375" style="1063" customWidth="1"/>
    <col min="8230" max="8232" width="8.88671875" style="1063"/>
    <col min="8233" max="8233" width="12.6640625" style="1063" customWidth="1"/>
    <col min="8234" max="8234" width="8.88671875" style="1063"/>
    <col min="8235" max="8236" width="10" style="1063" customWidth="1"/>
    <col min="8237" max="8237" width="12.5546875" style="1063" customWidth="1"/>
    <col min="8238" max="8239" width="8.88671875" style="1063"/>
    <col min="8240" max="8240" width="9.77734375" style="1063" customWidth="1"/>
    <col min="8241" max="8448" width="8.88671875" style="1063"/>
    <col min="8449" max="8449" width="9.44140625" style="1063" customWidth="1"/>
    <col min="8450" max="8450" width="6.21875" style="1063" customWidth="1"/>
    <col min="8451" max="8451" width="40.88671875" style="1063" customWidth="1"/>
    <col min="8452" max="8452" width="11.33203125" style="1063" customWidth="1"/>
    <col min="8453" max="8453" width="7.88671875" style="1063" customWidth="1"/>
    <col min="8454" max="8456" width="11.33203125" style="1063" customWidth="1"/>
    <col min="8457" max="8457" width="8.33203125" style="1063" customWidth="1"/>
    <col min="8458" max="8458" width="11.88671875" style="1063" customWidth="1"/>
    <col min="8459" max="8459" width="8.33203125" style="1063" customWidth="1"/>
    <col min="8460" max="8460" width="10.6640625" style="1063" customWidth="1"/>
    <col min="8461" max="8461" width="8.21875" style="1063" customWidth="1"/>
    <col min="8462" max="8462" width="10.77734375" style="1063" customWidth="1"/>
    <col min="8463" max="8463" width="8.88671875" style="1063"/>
    <col min="8464" max="8464" width="11.21875" style="1063" customWidth="1"/>
    <col min="8465" max="8465" width="7.21875" style="1063" customWidth="1"/>
    <col min="8466" max="8466" width="11.21875" style="1063" customWidth="1"/>
    <col min="8467" max="8467" width="7.88671875" style="1063" customWidth="1"/>
    <col min="8468" max="8468" width="11.6640625" style="1063" customWidth="1"/>
    <col min="8469" max="8469" width="8.88671875" style="1063"/>
    <col min="8470" max="8470" width="11.5546875" style="1063" customWidth="1"/>
    <col min="8471" max="8478" width="8.88671875" style="1063"/>
    <col min="8479" max="8479" width="10.109375" style="1063" customWidth="1"/>
    <col min="8480" max="8480" width="8.88671875" style="1063"/>
    <col min="8481" max="8481" width="12.5546875" style="1063" customWidth="1"/>
    <col min="8482" max="8482" width="8.88671875" style="1063"/>
    <col min="8483" max="8484" width="10" style="1063" customWidth="1"/>
    <col min="8485" max="8485" width="11.109375" style="1063" customWidth="1"/>
    <col min="8486" max="8488" width="8.88671875" style="1063"/>
    <col min="8489" max="8489" width="12.6640625" style="1063" customWidth="1"/>
    <col min="8490" max="8490" width="8.88671875" style="1063"/>
    <col min="8491" max="8492" width="10" style="1063" customWidth="1"/>
    <col min="8493" max="8493" width="12.5546875" style="1063" customWidth="1"/>
    <col min="8494" max="8495" width="8.88671875" style="1063"/>
    <col min="8496" max="8496" width="9.77734375" style="1063" customWidth="1"/>
    <col min="8497" max="8704" width="8.88671875" style="1063"/>
    <col min="8705" max="8705" width="9.44140625" style="1063" customWidth="1"/>
    <col min="8706" max="8706" width="6.21875" style="1063" customWidth="1"/>
    <col min="8707" max="8707" width="40.88671875" style="1063" customWidth="1"/>
    <col min="8708" max="8708" width="11.33203125" style="1063" customWidth="1"/>
    <col min="8709" max="8709" width="7.88671875" style="1063" customWidth="1"/>
    <col min="8710" max="8712" width="11.33203125" style="1063" customWidth="1"/>
    <col min="8713" max="8713" width="8.33203125" style="1063" customWidth="1"/>
    <col min="8714" max="8714" width="11.88671875" style="1063" customWidth="1"/>
    <col min="8715" max="8715" width="8.33203125" style="1063" customWidth="1"/>
    <col min="8716" max="8716" width="10.6640625" style="1063" customWidth="1"/>
    <col min="8717" max="8717" width="8.21875" style="1063" customWidth="1"/>
    <col min="8718" max="8718" width="10.77734375" style="1063" customWidth="1"/>
    <col min="8719" max="8719" width="8.88671875" style="1063"/>
    <col min="8720" max="8720" width="11.21875" style="1063" customWidth="1"/>
    <col min="8721" max="8721" width="7.21875" style="1063" customWidth="1"/>
    <col min="8722" max="8722" width="11.21875" style="1063" customWidth="1"/>
    <col min="8723" max="8723" width="7.88671875" style="1063" customWidth="1"/>
    <col min="8724" max="8724" width="11.6640625" style="1063" customWidth="1"/>
    <col min="8725" max="8725" width="8.88671875" style="1063"/>
    <col min="8726" max="8726" width="11.5546875" style="1063" customWidth="1"/>
    <col min="8727" max="8734" width="8.88671875" style="1063"/>
    <col min="8735" max="8735" width="10.109375" style="1063" customWidth="1"/>
    <col min="8736" max="8736" width="8.88671875" style="1063"/>
    <col min="8737" max="8737" width="12.5546875" style="1063" customWidth="1"/>
    <col min="8738" max="8738" width="8.88671875" style="1063"/>
    <col min="8739" max="8740" width="10" style="1063" customWidth="1"/>
    <col min="8741" max="8741" width="11.109375" style="1063" customWidth="1"/>
    <col min="8742" max="8744" width="8.88671875" style="1063"/>
    <col min="8745" max="8745" width="12.6640625" style="1063" customWidth="1"/>
    <col min="8746" max="8746" width="8.88671875" style="1063"/>
    <col min="8747" max="8748" width="10" style="1063" customWidth="1"/>
    <col min="8749" max="8749" width="12.5546875" style="1063" customWidth="1"/>
    <col min="8750" max="8751" width="8.88671875" style="1063"/>
    <col min="8752" max="8752" width="9.77734375" style="1063" customWidth="1"/>
    <col min="8753" max="8960" width="8.88671875" style="1063"/>
    <col min="8961" max="8961" width="9.44140625" style="1063" customWidth="1"/>
    <col min="8962" max="8962" width="6.21875" style="1063" customWidth="1"/>
    <col min="8963" max="8963" width="40.88671875" style="1063" customWidth="1"/>
    <col min="8964" max="8964" width="11.33203125" style="1063" customWidth="1"/>
    <col min="8965" max="8965" width="7.88671875" style="1063" customWidth="1"/>
    <col min="8966" max="8968" width="11.33203125" style="1063" customWidth="1"/>
    <col min="8969" max="8969" width="8.33203125" style="1063" customWidth="1"/>
    <col min="8970" max="8970" width="11.88671875" style="1063" customWidth="1"/>
    <col min="8971" max="8971" width="8.33203125" style="1063" customWidth="1"/>
    <col min="8972" max="8972" width="10.6640625" style="1063" customWidth="1"/>
    <col min="8973" max="8973" width="8.21875" style="1063" customWidth="1"/>
    <col min="8974" max="8974" width="10.77734375" style="1063" customWidth="1"/>
    <col min="8975" max="8975" width="8.88671875" style="1063"/>
    <col min="8976" max="8976" width="11.21875" style="1063" customWidth="1"/>
    <col min="8977" max="8977" width="7.21875" style="1063" customWidth="1"/>
    <col min="8978" max="8978" width="11.21875" style="1063" customWidth="1"/>
    <col min="8979" max="8979" width="7.88671875" style="1063" customWidth="1"/>
    <col min="8980" max="8980" width="11.6640625" style="1063" customWidth="1"/>
    <col min="8981" max="8981" width="8.88671875" style="1063"/>
    <col min="8982" max="8982" width="11.5546875" style="1063" customWidth="1"/>
    <col min="8983" max="8990" width="8.88671875" style="1063"/>
    <col min="8991" max="8991" width="10.109375" style="1063" customWidth="1"/>
    <col min="8992" max="8992" width="8.88671875" style="1063"/>
    <col min="8993" max="8993" width="12.5546875" style="1063" customWidth="1"/>
    <col min="8994" max="8994" width="8.88671875" style="1063"/>
    <col min="8995" max="8996" width="10" style="1063" customWidth="1"/>
    <col min="8997" max="8997" width="11.109375" style="1063" customWidth="1"/>
    <col min="8998" max="9000" width="8.88671875" style="1063"/>
    <col min="9001" max="9001" width="12.6640625" style="1063" customWidth="1"/>
    <col min="9002" max="9002" width="8.88671875" style="1063"/>
    <col min="9003" max="9004" width="10" style="1063" customWidth="1"/>
    <col min="9005" max="9005" width="12.5546875" style="1063" customWidth="1"/>
    <col min="9006" max="9007" width="8.88671875" style="1063"/>
    <col min="9008" max="9008" width="9.77734375" style="1063" customWidth="1"/>
    <col min="9009" max="9216" width="8.88671875" style="1063"/>
    <col min="9217" max="9217" width="9.44140625" style="1063" customWidth="1"/>
    <col min="9218" max="9218" width="6.21875" style="1063" customWidth="1"/>
    <col min="9219" max="9219" width="40.88671875" style="1063" customWidth="1"/>
    <col min="9220" max="9220" width="11.33203125" style="1063" customWidth="1"/>
    <col min="9221" max="9221" width="7.88671875" style="1063" customWidth="1"/>
    <col min="9222" max="9224" width="11.33203125" style="1063" customWidth="1"/>
    <col min="9225" max="9225" width="8.33203125" style="1063" customWidth="1"/>
    <col min="9226" max="9226" width="11.88671875" style="1063" customWidth="1"/>
    <col min="9227" max="9227" width="8.33203125" style="1063" customWidth="1"/>
    <col min="9228" max="9228" width="10.6640625" style="1063" customWidth="1"/>
    <col min="9229" max="9229" width="8.21875" style="1063" customWidth="1"/>
    <col min="9230" max="9230" width="10.77734375" style="1063" customWidth="1"/>
    <col min="9231" max="9231" width="8.88671875" style="1063"/>
    <col min="9232" max="9232" width="11.21875" style="1063" customWidth="1"/>
    <col min="9233" max="9233" width="7.21875" style="1063" customWidth="1"/>
    <col min="9234" max="9234" width="11.21875" style="1063" customWidth="1"/>
    <col min="9235" max="9235" width="7.88671875" style="1063" customWidth="1"/>
    <col min="9236" max="9236" width="11.6640625" style="1063" customWidth="1"/>
    <col min="9237" max="9237" width="8.88671875" style="1063"/>
    <col min="9238" max="9238" width="11.5546875" style="1063" customWidth="1"/>
    <col min="9239" max="9246" width="8.88671875" style="1063"/>
    <col min="9247" max="9247" width="10.109375" style="1063" customWidth="1"/>
    <col min="9248" max="9248" width="8.88671875" style="1063"/>
    <col min="9249" max="9249" width="12.5546875" style="1063" customWidth="1"/>
    <col min="9250" max="9250" width="8.88671875" style="1063"/>
    <col min="9251" max="9252" width="10" style="1063" customWidth="1"/>
    <col min="9253" max="9253" width="11.109375" style="1063" customWidth="1"/>
    <col min="9254" max="9256" width="8.88671875" style="1063"/>
    <col min="9257" max="9257" width="12.6640625" style="1063" customWidth="1"/>
    <col min="9258" max="9258" width="8.88671875" style="1063"/>
    <col min="9259" max="9260" width="10" style="1063" customWidth="1"/>
    <col min="9261" max="9261" width="12.5546875" style="1063" customWidth="1"/>
    <col min="9262" max="9263" width="8.88671875" style="1063"/>
    <col min="9264" max="9264" width="9.77734375" style="1063" customWidth="1"/>
    <col min="9265" max="9472" width="8.88671875" style="1063"/>
    <col min="9473" max="9473" width="9.44140625" style="1063" customWidth="1"/>
    <col min="9474" max="9474" width="6.21875" style="1063" customWidth="1"/>
    <col min="9475" max="9475" width="40.88671875" style="1063" customWidth="1"/>
    <col min="9476" max="9476" width="11.33203125" style="1063" customWidth="1"/>
    <col min="9477" max="9477" width="7.88671875" style="1063" customWidth="1"/>
    <col min="9478" max="9480" width="11.33203125" style="1063" customWidth="1"/>
    <col min="9481" max="9481" width="8.33203125" style="1063" customWidth="1"/>
    <col min="9482" max="9482" width="11.88671875" style="1063" customWidth="1"/>
    <col min="9483" max="9483" width="8.33203125" style="1063" customWidth="1"/>
    <col min="9484" max="9484" width="10.6640625" style="1063" customWidth="1"/>
    <col min="9485" max="9485" width="8.21875" style="1063" customWidth="1"/>
    <col min="9486" max="9486" width="10.77734375" style="1063" customWidth="1"/>
    <col min="9487" max="9487" width="8.88671875" style="1063"/>
    <col min="9488" max="9488" width="11.21875" style="1063" customWidth="1"/>
    <col min="9489" max="9489" width="7.21875" style="1063" customWidth="1"/>
    <col min="9490" max="9490" width="11.21875" style="1063" customWidth="1"/>
    <col min="9491" max="9491" width="7.88671875" style="1063" customWidth="1"/>
    <col min="9492" max="9492" width="11.6640625" style="1063" customWidth="1"/>
    <col min="9493" max="9493" width="8.88671875" style="1063"/>
    <col min="9494" max="9494" width="11.5546875" style="1063" customWidth="1"/>
    <col min="9495" max="9502" width="8.88671875" style="1063"/>
    <col min="9503" max="9503" width="10.109375" style="1063" customWidth="1"/>
    <col min="9504" max="9504" width="8.88671875" style="1063"/>
    <col min="9505" max="9505" width="12.5546875" style="1063" customWidth="1"/>
    <col min="9506" max="9506" width="8.88671875" style="1063"/>
    <col min="9507" max="9508" width="10" style="1063" customWidth="1"/>
    <col min="9509" max="9509" width="11.109375" style="1063" customWidth="1"/>
    <col min="9510" max="9512" width="8.88671875" style="1063"/>
    <col min="9513" max="9513" width="12.6640625" style="1063" customWidth="1"/>
    <col min="9514" max="9514" width="8.88671875" style="1063"/>
    <col min="9515" max="9516" width="10" style="1063" customWidth="1"/>
    <col min="9517" max="9517" width="12.5546875" style="1063" customWidth="1"/>
    <col min="9518" max="9519" width="8.88671875" style="1063"/>
    <col min="9520" max="9520" width="9.77734375" style="1063" customWidth="1"/>
    <col min="9521" max="9728" width="8.88671875" style="1063"/>
    <col min="9729" max="9729" width="9.44140625" style="1063" customWidth="1"/>
    <col min="9730" max="9730" width="6.21875" style="1063" customWidth="1"/>
    <col min="9731" max="9731" width="40.88671875" style="1063" customWidth="1"/>
    <col min="9732" max="9732" width="11.33203125" style="1063" customWidth="1"/>
    <col min="9733" max="9733" width="7.88671875" style="1063" customWidth="1"/>
    <col min="9734" max="9736" width="11.33203125" style="1063" customWidth="1"/>
    <col min="9737" max="9737" width="8.33203125" style="1063" customWidth="1"/>
    <col min="9738" max="9738" width="11.88671875" style="1063" customWidth="1"/>
    <col min="9739" max="9739" width="8.33203125" style="1063" customWidth="1"/>
    <col min="9740" max="9740" width="10.6640625" style="1063" customWidth="1"/>
    <col min="9741" max="9741" width="8.21875" style="1063" customWidth="1"/>
    <col min="9742" max="9742" width="10.77734375" style="1063" customWidth="1"/>
    <col min="9743" max="9743" width="8.88671875" style="1063"/>
    <col min="9744" max="9744" width="11.21875" style="1063" customWidth="1"/>
    <col min="9745" max="9745" width="7.21875" style="1063" customWidth="1"/>
    <col min="9746" max="9746" width="11.21875" style="1063" customWidth="1"/>
    <col min="9747" max="9747" width="7.88671875" style="1063" customWidth="1"/>
    <col min="9748" max="9748" width="11.6640625" style="1063" customWidth="1"/>
    <col min="9749" max="9749" width="8.88671875" style="1063"/>
    <col min="9750" max="9750" width="11.5546875" style="1063" customWidth="1"/>
    <col min="9751" max="9758" width="8.88671875" style="1063"/>
    <col min="9759" max="9759" width="10.109375" style="1063" customWidth="1"/>
    <col min="9760" max="9760" width="8.88671875" style="1063"/>
    <col min="9761" max="9761" width="12.5546875" style="1063" customWidth="1"/>
    <col min="9762" max="9762" width="8.88671875" style="1063"/>
    <col min="9763" max="9764" width="10" style="1063" customWidth="1"/>
    <col min="9765" max="9765" width="11.109375" style="1063" customWidth="1"/>
    <col min="9766" max="9768" width="8.88671875" style="1063"/>
    <col min="9769" max="9769" width="12.6640625" style="1063" customWidth="1"/>
    <col min="9770" max="9770" width="8.88671875" style="1063"/>
    <col min="9771" max="9772" width="10" style="1063" customWidth="1"/>
    <col min="9773" max="9773" width="12.5546875" style="1063" customWidth="1"/>
    <col min="9774" max="9775" width="8.88671875" style="1063"/>
    <col min="9776" max="9776" width="9.77734375" style="1063" customWidth="1"/>
    <col min="9777" max="9984" width="8.88671875" style="1063"/>
    <col min="9985" max="9985" width="9.44140625" style="1063" customWidth="1"/>
    <col min="9986" max="9986" width="6.21875" style="1063" customWidth="1"/>
    <col min="9987" max="9987" width="40.88671875" style="1063" customWidth="1"/>
    <col min="9988" max="9988" width="11.33203125" style="1063" customWidth="1"/>
    <col min="9989" max="9989" width="7.88671875" style="1063" customWidth="1"/>
    <col min="9990" max="9992" width="11.33203125" style="1063" customWidth="1"/>
    <col min="9993" max="9993" width="8.33203125" style="1063" customWidth="1"/>
    <col min="9994" max="9994" width="11.88671875" style="1063" customWidth="1"/>
    <col min="9995" max="9995" width="8.33203125" style="1063" customWidth="1"/>
    <col min="9996" max="9996" width="10.6640625" style="1063" customWidth="1"/>
    <col min="9997" max="9997" width="8.21875" style="1063" customWidth="1"/>
    <col min="9998" max="9998" width="10.77734375" style="1063" customWidth="1"/>
    <col min="9999" max="9999" width="8.88671875" style="1063"/>
    <col min="10000" max="10000" width="11.21875" style="1063" customWidth="1"/>
    <col min="10001" max="10001" width="7.21875" style="1063" customWidth="1"/>
    <col min="10002" max="10002" width="11.21875" style="1063" customWidth="1"/>
    <col min="10003" max="10003" width="7.88671875" style="1063" customWidth="1"/>
    <col min="10004" max="10004" width="11.6640625" style="1063" customWidth="1"/>
    <col min="10005" max="10005" width="8.88671875" style="1063"/>
    <col min="10006" max="10006" width="11.5546875" style="1063" customWidth="1"/>
    <col min="10007" max="10014" width="8.88671875" style="1063"/>
    <col min="10015" max="10015" width="10.109375" style="1063" customWidth="1"/>
    <col min="10016" max="10016" width="8.88671875" style="1063"/>
    <col min="10017" max="10017" width="12.5546875" style="1063" customWidth="1"/>
    <col min="10018" max="10018" width="8.88671875" style="1063"/>
    <col min="10019" max="10020" width="10" style="1063" customWidth="1"/>
    <col min="10021" max="10021" width="11.109375" style="1063" customWidth="1"/>
    <col min="10022" max="10024" width="8.88671875" style="1063"/>
    <col min="10025" max="10025" width="12.6640625" style="1063" customWidth="1"/>
    <col min="10026" max="10026" width="8.88671875" style="1063"/>
    <col min="10027" max="10028" width="10" style="1063" customWidth="1"/>
    <col min="10029" max="10029" width="12.5546875" style="1063" customWidth="1"/>
    <col min="10030" max="10031" width="8.88671875" style="1063"/>
    <col min="10032" max="10032" width="9.77734375" style="1063" customWidth="1"/>
    <col min="10033" max="10240" width="8.88671875" style="1063"/>
    <col min="10241" max="10241" width="9.44140625" style="1063" customWidth="1"/>
    <col min="10242" max="10242" width="6.21875" style="1063" customWidth="1"/>
    <col min="10243" max="10243" width="40.88671875" style="1063" customWidth="1"/>
    <col min="10244" max="10244" width="11.33203125" style="1063" customWidth="1"/>
    <col min="10245" max="10245" width="7.88671875" style="1063" customWidth="1"/>
    <col min="10246" max="10248" width="11.33203125" style="1063" customWidth="1"/>
    <col min="10249" max="10249" width="8.33203125" style="1063" customWidth="1"/>
    <col min="10250" max="10250" width="11.88671875" style="1063" customWidth="1"/>
    <col min="10251" max="10251" width="8.33203125" style="1063" customWidth="1"/>
    <col min="10252" max="10252" width="10.6640625" style="1063" customWidth="1"/>
    <col min="10253" max="10253" width="8.21875" style="1063" customWidth="1"/>
    <col min="10254" max="10254" width="10.77734375" style="1063" customWidth="1"/>
    <col min="10255" max="10255" width="8.88671875" style="1063"/>
    <col min="10256" max="10256" width="11.21875" style="1063" customWidth="1"/>
    <col min="10257" max="10257" width="7.21875" style="1063" customWidth="1"/>
    <col min="10258" max="10258" width="11.21875" style="1063" customWidth="1"/>
    <col min="10259" max="10259" width="7.88671875" style="1063" customWidth="1"/>
    <col min="10260" max="10260" width="11.6640625" style="1063" customWidth="1"/>
    <col min="10261" max="10261" width="8.88671875" style="1063"/>
    <col min="10262" max="10262" width="11.5546875" style="1063" customWidth="1"/>
    <col min="10263" max="10270" width="8.88671875" style="1063"/>
    <col min="10271" max="10271" width="10.109375" style="1063" customWidth="1"/>
    <col min="10272" max="10272" width="8.88671875" style="1063"/>
    <col min="10273" max="10273" width="12.5546875" style="1063" customWidth="1"/>
    <col min="10274" max="10274" width="8.88671875" style="1063"/>
    <col min="10275" max="10276" width="10" style="1063" customWidth="1"/>
    <col min="10277" max="10277" width="11.109375" style="1063" customWidth="1"/>
    <col min="10278" max="10280" width="8.88671875" style="1063"/>
    <col min="10281" max="10281" width="12.6640625" style="1063" customWidth="1"/>
    <col min="10282" max="10282" width="8.88671875" style="1063"/>
    <col min="10283" max="10284" width="10" style="1063" customWidth="1"/>
    <col min="10285" max="10285" width="12.5546875" style="1063" customWidth="1"/>
    <col min="10286" max="10287" width="8.88671875" style="1063"/>
    <col min="10288" max="10288" width="9.77734375" style="1063" customWidth="1"/>
    <col min="10289" max="10496" width="8.88671875" style="1063"/>
    <col min="10497" max="10497" width="9.44140625" style="1063" customWidth="1"/>
    <col min="10498" max="10498" width="6.21875" style="1063" customWidth="1"/>
    <col min="10499" max="10499" width="40.88671875" style="1063" customWidth="1"/>
    <col min="10500" max="10500" width="11.33203125" style="1063" customWidth="1"/>
    <col min="10501" max="10501" width="7.88671875" style="1063" customWidth="1"/>
    <col min="10502" max="10504" width="11.33203125" style="1063" customWidth="1"/>
    <col min="10505" max="10505" width="8.33203125" style="1063" customWidth="1"/>
    <col min="10506" max="10506" width="11.88671875" style="1063" customWidth="1"/>
    <col min="10507" max="10507" width="8.33203125" style="1063" customWidth="1"/>
    <col min="10508" max="10508" width="10.6640625" style="1063" customWidth="1"/>
    <col min="10509" max="10509" width="8.21875" style="1063" customWidth="1"/>
    <col min="10510" max="10510" width="10.77734375" style="1063" customWidth="1"/>
    <col min="10511" max="10511" width="8.88671875" style="1063"/>
    <col min="10512" max="10512" width="11.21875" style="1063" customWidth="1"/>
    <col min="10513" max="10513" width="7.21875" style="1063" customWidth="1"/>
    <col min="10514" max="10514" width="11.21875" style="1063" customWidth="1"/>
    <col min="10515" max="10515" width="7.88671875" style="1063" customWidth="1"/>
    <col min="10516" max="10516" width="11.6640625" style="1063" customWidth="1"/>
    <col min="10517" max="10517" width="8.88671875" style="1063"/>
    <col min="10518" max="10518" width="11.5546875" style="1063" customWidth="1"/>
    <col min="10519" max="10526" width="8.88671875" style="1063"/>
    <col min="10527" max="10527" width="10.109375" style="1063" customWidth="1"/>
    <col min="10528" max="10528" width="8.88671875" style="1063"/>
    <col min="10529" max="10529" width="12.5546875" style="1063" customWidth="1"/>
    <col min="10530" max="10530" width="8.88671875" style="1063"/>
    <col min="10531" max="10532" width="10" style="1063" customWidth="1"/>
    <col min="10533" max="10533" width="11.109375" style="1063" customWidth="1"/>
    <col min="10534" max="10536" width="8.88671875" style="1063"/>
    <col min="10537" max="10537" width="12.6640625" style="1063" customWidth="1"/>
    <col min="10538" max="10538" width="8.88671875" style="1063"/>
    <col min="10539" max="10540" width="10" style="1063" customWidth="1"/>
    <col min="10541" max="10541" width="12.5546875" style="1063" customWidth="1"/>
    <col min="10542" max="10543" width="8.88671875" style="1063"/>
    <col min="10544" max="10544" width="9.77734375" style="1063" customWidth="1"/>
    <col min="10545" max="10752" width="8.88671875" style="1063"/>
    <col min="10753" max="10753" width="9.44140625" style="1063" customWidth="1"/>
    <col min="10754" max="10754" width="6.21875" style="1063" customWidth="1"/>
    <col min="10755" max="10755" width="40.88671875" style="1063" customWidth="1"/>
    <col min="10756" max="10756" width="11.33203125" style="1063" customWidth="1"/>
    <col min="10757" max="10757" width="7.88671875" style="1063" customWidth="1"/>
    <col min="10758" max="10760" width="11.33203125" style="1063" customWidth="1"/>
    <col min="10761" max="10761" width="8.33203125" style="1063" customWidth="1"/>
    <col min="10762" max="10762" width="11.88671875" style="1063" customWidth="1"/>
    <col min="10763" max="10763" width="8.33203125" style="1063" customWidth="1"/>
    <col min="10764" max="10764" width="10.6640625" style="1063" customWidth="1"/>
    <col min="10765" max="10765" width="8.21875" style="1063" customWidth="1"/>
    <col min="10766" max="10766" width="10.77734375" style="1063" customWidth="1"/>
    <col min="10767" max="10767" width="8.88671875" style="1063"/>
    <col min="10768" max="10768" width="11.21875" style="1063" customWidth="1"/>
    <col min="10769" max="10769" width="7.21875" style="1063" customWidth="1"/>
    <col min="10770" max="10770" width="11.21875" style="1063" customWidth="1"/>
    <col min="10771" max="10771" width="7.88671875" style="1063" customWidth="1"/>
    <col min="10772" max="10772" width="11.6640625" style="1063" customWidth="1"/>
    <col min="10773" max="10773" width="8.88671875" style="1063"/>
    <col min="10774" max="10774" width="11.5546875" style="1063" customWidth="1"/>
    <col min="10775" max="10782" width="8.88671875" style="1063"/>
    <col min="10783" max="10783" width="10.109375" style="1063" customWidth="1"/>
    <col min="10784" max="10784" width="8.88671875" style="1063"/>
    <col min="10785" max="10785" width="12.5546875" style="1063" customWidth="1"/>
    <col min="10786" max="10786" width="8.88671875" style="1063"/>
    <col min="10787" max="10788" width="10" style="1063" customWidth="1"/>
    <col min="10789" max="10789" width="11.109375" style="1063" customWidth="1"/>
    <col min="10790" max="10792" width="8.88671875" style="1063"/>
    <col min="10793" max="10793" width="12.6640625" style="1063" customWidth="1"/>
    <col min="10794" max="10794" width="8.88671875" style="1063"/>
    <col min="10795" max="10796" width="10" style="1063" customWidth="1"/>
    <col min="10797" max="10797" width="12.5546875" style="1063" customWidth="1"/>
    <col min="10798" max="10799" width="8.88671875" style="1063"/>
    <col min="10800" max="10800" width="9.77734375" style="1063" customWidth="1"/>
    <col min="10801" max="11008" width="8.88671875" style="1063"/>
    <col min="11009" max="11009" width="9.44140625" style="1063" customWidth="1"/>
    <col min="11010" max="11010" width="6.21875" style="1063" customWidth="1"/>
    <col min="11011" max="11011" width="40.88671875" style="1063" customWidth="1"/>
    <col min="11012" max="11012" width="11.33203125" style="1063" customWidth="1"/>
    <col min="11013" max="11013" width="7.88671875" style="1063" customWidth="1"/>
    <col min="11014" max="11016" width="11.33203125" style="1063" customWidth="1"/>
    <col min="11017" max="11017" width="8.33203125" style="1063" customWidth="1"/>
    <col min="11018" max="11018" width="11.88671875" style="1063" customWidth="1"/>
    <col min="11019" max="11019" width="8.33203125" style="1063" customWidth="1"/>
    <col min="11020" max="11020" width="10.6640625" style="1063" customWidth="1"/>
    <col min="11021" max="11021" width="8.21875" style="1063" customWidth="1"/>
    <col min="11022" max="11022" width="10.77734375" style="1063" customWidth="1"/>
    <col min="11023" max="11023" width="8.88671875" style="1063"/>
    <col min="11024" max="11024" width="11.21875" style="1063" customWidth="1"/>
    <col min="11025" max="11025" width="7.21875" style="1063" customWidth="1"/>
    <col min="11026" max="11026" width="11.21875" style="1063" customWidth="1"/>
    <col min="11027" max="11027" width="7.88671875" style="1063" customWidth="1"/>
    <col min="11028" max="11028" width="11.6640625" style="1063" customWidth="1"/>
    <col min="11029" max="11029" width="8.88671875" style="1063"/>
    <col min="11030" max="11030" width="11.5546875" style="1063" customWidth="1"/>
    <col min="11031" max="11038" width="8.88671875" style="1063"/>
    <col min="11039" max="11039" width="10.109375" style="1063" customWidth="1"/>
    <col min="11040" max="11040" width="8.88671875" style="1063"/>
    <col min="11041" max="11041" width="12.5546875" style="1063" customWidth="1"/>
    <col min="11042" max="11042" width="8.88671875" style="1063"/>
    <col min="11043" max="11044" width="10" style="1063" customWidth="1"/>
    <col min="11045" max="11045" width="11.109375" style="1063" customWidth="1"/>
    <col min="11046" max="11048" width="8.88671875" style="1063"/>
    <col min="11049" max="11049" width="12.6640625" style="1063" customWidth="1"/>
    <col min="11050" max="11050" width="8.88671875" style="1063"/>
    <col min="11051" max="11052" width="10" style="1063" customWidth="1"/>
    <col min="11053" max="11053" width="12.5546875" style="1063" customWidth="1"/>
    <col min="11054" max="11055" width="8.88671875" style="1063"/>
    <col min="11056" max="11056" width="9.77734375" style="1063" customWidth="1"/>
    <col min="11057" max="11264" width="8.88671875" style="1063"/>
    <col min="11265" max="11265" width="9.44140625" style="1063" customWidth="1"/>
    <col min="11266" max="11266" width="6.21875" style="1063" customWidth="1"/>
    <col min="11267" max="11267" width="40.88671875" style="1063" customWidth="1"/>
    <col min="11268" max="11268" width="11.33203125" style="1063" customWidth="1"/>
    <col min="11269" max="11269" width="7.88671875" style="1063" customWidth="1"/>
    <col min="11270" max="11272" width="11.33203125" style="1063" customWidth="1"/>
    <col min="11273" max="11273" width="8.33203125" style="1063" customWidth="1"/>
    <col min="11274" max="11274" width="11.88671875" style="1063" customWidth="1"/>
    <col min="11275" max="11275" width="8.33203125" style="1063" customWidth="1"/>
    <col min="11276" max="11276" width="10.6640625" style="1063" customWidth="1"/>
    <col min="11277" max="11277" width="8.21875" style="1063" customWidth="1"/>
    <col min="11278" max="11278" width="10.77734375" style="1063" customWidth="1"/>
    <col min="11279" max="11279" width="8.88671875" style="1063"/>
    <col min="11280" max="11280" width="11.21875" style="1063" customWidth="1"/>
    <col min="11281" max="11281" width="7.21875" style="1063" customWidth="1"/>
    <col min="11282" max="11282" width="11.21875" style="1063" customWidth="1"/>
    <col min="11283" max="11283" width="7.88671875" style="1063" customWidth="1"/>
    <col min="11284" max="11284" width="11.6640625" style="1063" customWidth="1"/>
    <col min="11285" max="11285" width="8.88671875" style="1063"/>
    <col min="11286" max="11286" width="11.5546875" style="1063" customWidth="1"/>
    <col min="11287" max="11294" width="8.88671875" style="1063"/>
    <col min="11295" max="11295" width="10.109375" style="1063" customWidth="1"/>
    <col min="11296" max="11296" width="8.88671875" style="1063"/>
    <col min="11297" max="11297" width="12.5546875" style="1063" customWidth="1"/>
    <col min="11298" max="11298" width="8.88671875" style="1063"/>
    <col min="11299" max="11300" width="10" style="1063" customWidth="1"/>
    <col min="11301" max="11301" width="11.109375" style="1063" customWidth="1"/>
    <col min="11302" max="11304" width="8.88671875" style="1063"/>
    <col min="11305" max="11305" width="12.6640625" style="1063" customWidth="1"/>
    <col min="11306" max="11306" width="8.88671875" style="1063"/>
    <col min="11307" max="11308" width="10" style="1063" customWidth="1"/>
    <col min="11309" max="11309" width="12.5546875" style="1063" customWidth="1"/>
    <col min="11310" max="11311" width="8.88671875" style="1063"/>
    <col min="11312" max="11312" width="9.77734375" style="1063" customWidth="1"/>
    <col min="11313" max="11520" width="8.88671875" style="1063"/>
    <col min="11521" max="11521" width="9.44140625" style="1063" customWidth="1"/>
    <col min="11522" max="11522" width="6.21875" style="1063" customWidth="1"/>
    <col min="11523" max="11523" width="40.88671875" style="1063" customWidth="1"/>
    <col min="11524" max="11524" width="11.33203125" style="1063" customWidth="1"/>
    <col min="11525" max="11525" width="7.88671875" style="1063" customWidth="1"/>
    <col min="11526" max="11528" width="11.33203125" style="1063" customWidth="1"/>
    <col min="11529" max="11529" width="8.33203125" style="1063" customWidth="1"/>
    <col min="11530" max="11530" width="11.88671875" style="1063" customWidth="1"/>
    <col min="11531" max="11531" width="8.33203125" style="1063" customWidth="1"/>
    <col min="11532" max="11532" width="10.6640625" style="1063" customWidth="1"/>
    <col min="11533" max="11533" width="8.21875" style="1063" customWidth="1"/>
    <col min="11534" max="11534" width="10.77734375" style="1063" customWidth="1"/>
    <col min="11535" max="11535" width="8.88671875" style="1063"/>
    <col min="11536" max="11536" width="11.21875" style="1063" customWidth="1"/>
    <col min="11537" max="11537" width="7.21875" style="1063" customWidth="1"/>
    <col min="11538" max="11538" width="11.21875" style="1063" customWidth="1"/>
    <col min="11539" max="11539" width="7.88671875" style="1063" customWidth="1"/>
    <col min="11540" max="11540" width="11.6640625" style="1063" customWidth="1"/>
    <col min="11541" max="11541" width="8.88671875" style="1063"/>
    <col min="11542" max="11542" width="11.5546875" style="1063" customWidth="1"/>
    <col min="11543" max="11550" width="8.88671875" style="1063"/>
    <col min="11551" max="11551" width="10.109375" style="1063" customWidth="1"/>
    <col min="11552" max="11552" width="8.88671875" style="1063"/>
    <col min="11553" max="11553" width="12.5546875" style="1063" customWidth="1"/>
    <col min="11554" max="11554" width="8.88671875" style="1063"/>
    <col min="11555" max="11556" width="10" style="1063" customWidth="1"/>
    <col min="11557" max="11557" width="11.109375" style="1063" customWidth="1"/>
    <col min="11558" max="11560" width="8.88671875" style="1063"/>
    <col min="11561" max="11561" width="12.6640625" style="1063" customWidth="1"/>
    <col min="11562" max="11562" width="8.88671875" style="1063"/>
    <col min="11563" max="11564" width="10" style="1063" customWidth="1"/>
    <col min="11565" max="11565" width="12.5546875" style="1063" customWidth="1"/>
    <col min="11566" max="11567" width="8.88671875" style="1063"/>
    <col min="11568" max="11568" width="9.77734375" style="1063" customWidth="1"/>
    <col min="11569" max="11776" width="8.88671875" style="1063"/>
    <col min="11777" max="11777" width="9.44140625" style="1063" customWidth="1"/>
    <col min="11778" max="11778" width="6.21875" style="1063" customWidth="1"/>
    <col min="11779" max="11779" width="40.88671875" style="1063" customWidth="1"/>
    <col min="11780" max="11780" width="11.33203125" style="1063" customWidth="1"/>
    <col min="11781" max="11781" width="7.88671875" style="1063" customWidth="1"/>
    <col min="11782" max="11784" width="11.33203125" style="1063" customWidth="1"/>
    <col min="11785" max="11785" width="8.33203125" style="1063" customWidth="1"/>
    <col min="11786" max="11786" width="11.88671875" style="1063" customWidth="1"/>
    <col min="11787" max="11787" width="8.33203125" style="1063" customWidth="1"/>
    <col min="11788" max="11788" width="10.6640625" style="1063" customWidth="1"/>
    <col min="11789" max="11789" width="8.21875" style="1063" customWidth="1"/>
    <col min="11790" max="11790" width="10.77734375" style="1063" customWidth="1"/>
    <col min="11791" max="11791" width="8.88671875" style="1063"/>
    <col min="11792" max="11792" width="11.21875" style="1063" customWidth="1"/>
    <col min="11793" max="11793" width="7.21875" style="1063" customWidth="1"/>
    <col min="11794" max="11794" width="11.21875" style="1063" customWidth="1"/>
    <col min="11795" max="11795" width="7.88671875" style="1063" customWidth="1"/>
    <col min="11796" max="11796" width="11.6640625" style="1063" customWidth="1"/>
    <col min="11797" max="11797" width="8.88671875" style="1063"/>
    <col min="11798" max="11798" width="11.5546875" style="1063" customWidth="1"/>
    <col min="11799" max="11806" width="8.88671875" style="1063"/>
    <col min="11807" max="11807" width="10.109375" style="1063" customWidth="1"/>
    <col min="11808" max="11808" width="8.88671875" style="1063"/>
    <col min="11809" max="11809" width="12.5546875" style="1063" customWidth="1"/>
    <col min="11810" max="11810" width="8.88671875" style="1063"/>
    <col min="11811" max="11812" width="10" style="1063" customWidth="1"/>
    <col min="11813" max="11813" width="11.109375" style="1063" customWidth="1"/>
    <col min="11814" max="11816" width="8.88671875" style="1063"/>
    <col min="11817" max="11817" width="12.6640625" style="1063" customWidth="1"/>
    <col min="11818" max="11818" width="8.88671875" style="1063"/>
    <col min="11819" max="11820" width="10" style="1063" customWidth="1"/>
    <col min="11821" max="11821" width="12.5546875" style="1063" customWidth="1"/>
    <col min="11822" max="11823" width="8.88671875" style="1063"/>
    <col min="11824" max="11824" width="9.77734375" style="1063" customWidth="1"/>
    <col min="11825" max="12032" width="8.88671875" style="1063"/>
    <col min="12033" max="12033" width="9.44140625" style="1063" customWidth="1"/>
    <col min="12034" max="12034" width="6.21875" style="1063" customWidth="1"/>
    <col min="12035" max="12035" width="40.88671875" style="1063" customWidth="1"/>
    <col min="12036" max="12036" width="11.33203125" style="1063" customWidth="1"/>
    <col min="12037" max="12037" width="7.88671875" style="1063" customWidth="1"/>
    <col min="12038" max="12040" width="11.33203125" style="1063" customWidth="1"/>
    <col min="12041" max="12041" width="8.33203125" style="1063" customWidth="1"/>
    <col min="12042" max="12042" width="11.88671875" style="1063" customWidth="1"/>
    <col min="12043" max="12043" width="8.33203125" style="1063" customWidth="1"/>
    <col min="12044" max="12044" width="10.6640625" style="1063" customWidth="1"/>
    <col min="12045" max="12045" width="8.21875" style="1063" customWidth="1"/>
    <col min="12046" max="12046" width="10.77734375" style="1063" customWidth="1"/>
    <col min="12047" max="12047" width="8.88671875" style="1063"/>
    <col min="12048" max="12048" width="11.21875" style="1063" customWidth="1"/>
    <col min="12049" max="12049" width="7.21875" style="1063" customWidth="1"/>
    <col min="12050" max="12050" width="11.21875" style="1063" customWidth="1"/>
    <col min="12051" max="12051" width="7.88671875" style="1063" customWidth="1"/>
    <col min="12052" max="12052" width="11.6640625" style="1063" customWidth="1"/>
    <col min="12053" max="12053" width="8.88671875" style="1063"/>
    <col min="12054" max="12054" width="11.5546875" style="1063" customWidth="1"/>
    <col min="12055" max="12062" width="8.88671875" style="1063"/>
    <col min="12063" max="12063" width="10.109375" style="1063" customWidth="1"/>
    <col min="12064" max="12064" width="8.88671875" style="1063"/>
    <col min="12065" max="12065" width="12.5546875" style="1063" customWidth="1"/>
    <col min="12066" max="12066" width="8.88671875" style="1063"/>
    <col min="12067" max="12068" width="10" style="1063" customWidth="1"/>
    <col min="12069" max="12069" width="11.109375" style="1063" customWidth="1"/>
    <col min="12070" max="12072" width="8.88671875" style="1063"/>
    <col min="12073" max="12073" width="12.6640625" style="1063" customWidth="1"/>
    <col min="12074" max="12074" width="8.88671875" style="1063"/>
    <col min="12075" max="12076" width="10" style="1063" customWidth="1"/>
    <col min="12077" max="12077" width="12.5546875" style="1063" customWidth="1"/>
    <col min="12078" max="12079" width="8.88671875" style="1063"/>
    <col min="12080" max="12080" width="9.77734375" style="1063" customWidth="1"/>
    <col min="12081" max="12288" width="8.88671875" style="1063"/>
    <col min="12289" max="12289" width="9.44140625" style="1063" customWidth="1"/>
    <col min="12290" max="12290" width="6.21875" style="1063" customWidth="1"/>
    <col min="12291" max="12291" width="40.88671875" style="1063" customWidth="1"/>
    <col min="12292" max="12292" width="11.33203125" style="1063" customWidth="1"/>
    <col min="12293" max="12293" width="7.88671875" style="1063" customWidth="1"/>
    <col min="12294" max="12296" width="11.33203125" style="1063" customWidth="1"/>
    <col min="12297" max="12297" width="8.33203125" style="1063" customWidth="1"/>
    <col min="12298" max="12298" width="11.88671875" style="1063" customWidth="1"/>
    <col min="12299" max="12299" width="8.33203125" style="1063" customWidth="1"/>
    <col min="12300" max="12300" width="10.6640625" style="1063" customWidth="1"/>
    <col min="12301" max="12301" width="8.21875" style="1063" customWidth="1"/>
    <col min="12302" max="12302" width="10.77734375" style="1063" customWidth="1"/>
    <col min="12303" max="12303" width="8.88671875" style="1063"/>
    <col min="12304" max="12304" width="11.21875" style="1063" customWidth="1"/>
    <col min="12305" max="12305" width="7.21875" style="1063" customWidth="1"/>
    <col min="12306" max="12306" width="11.21875" style="1063" customWidth="1"/>
    <col min="12307" max="12307" width="7.88671875" style="1063" customWidth="1"/>
    <col min="12308" max="12308" width="11.6640625" style="1063" customWidth="1"/>
    <col min="12309" max="12309" width="8.88671875" style="1063"/>
    <col min="12310" max="12310" width="11.5546875" style="1063" customWidth="1"/>
    <col min="12311" max="12318" width="8.88671875" style="1063"/>
    <col min="12319" max="12319" width="10.109375" style="1063" customWidth="1"/>
    <col min="12320" max="12320" width="8.88671875" style="1063"/>
    <col min="12321" max="12321" width="12.5546875" style="1063" customWidth="1"/>
    <col min="12322" max="12322" width="8.88671875" style="1063"/>
    <col min="12323" max="12324" width="10" style="1063" customWidth="1"/>
    <col min="12325" max="12325" width="11.109375" style="1063" customWidth="1"/>
    <col min="12326" max="12328" width="8.88671875" style="1063"/>
    <col min="12329" max="12329" width="12.6640625" style="1063" customWidth="1"/>
    <col min="12330" max="12330" width="8.88671875" style="1063"/>
    <col min="12331" max="12332" width="10" style="1063" customWidth="1"/>
    <col min="12333" max="12333" width="12.5546875" style="1063" customWidth="1"/>
    <col min="12334" max="12335" width="8.88671875" style="1063"/>
    <col min="12336" max="12336" width="9.77734375" style="1063" customWidth="1"/>
    <col min="12337" max="12544" width="8.88671875" style="1063"/>
    <col min="12545" max="12545" width="9.44140625" style="1063" customWidth="1"/>
    <col min="12546" max="12546" width="6.21875" style="1063" customWidth="1"/>
    <col min="12547" max="12547" width="40.88671875" style="1063" customWidth="1"/>
    <col min="12548" max="12548" width="11.33203125" style="1063" customWidth="1"/>
    <col min="12549" max="12549" width="7.88671875" style="1063" customWidth="1"/>
    <col min="12550" max="12552" width="11.33203125" style="1063" customWidth="1"/>
    <col min="12553" max="12553" width="8.33203125" style="1063" customWidth="1"/>
    <col min="12554" max="12554" width="11.88671875" style="1063" customWidth="1"/>
    <col min="12555" max="12555" width="8.33203125" style="1063" customWidth="1"/>
    <col min="12556" max="12556" width="10.6640625" style="1063" customWidth="1"/>
    <col min="12557" max="12557" width="8.21875" style="1063" customWidth="1"/>
    <col min="12558" max="12558" width="10.77734375" style="1063" customWidth="1"/>
    <col min="12559" max="12559" width="8.88671875" style="1063"/>
    <col min="12560" max="12560" width="11.21875" style="1063" customWidth="1"/>
    <col min="12561" max="12561" width="7.21875" style="1063" customWidth="1"/>
    <col min="12562" max="12562" width="11.21875" style="1063" customWidth="1"/>
    <col min="12563" max="12563" width="7.88671875" style="1063" customWidth="1"/>
    <col min="12564" max="12564" width="11.6640625" style="1063" customWidth="1"/>
    <col min="12565" max="12565" width="8.88671875" style="1063"/>
    <col min="12566" max="12566" width="11.5546875" style="1063" customWidth="1"/>
    <col min="12567" max="12574" width="8.88671875" style="1063"/>
    <col min="12575" max="12575" width="10.109375" style="1063" customWidth="1"/>
    <col min="12576" max="12576" width="8.88671875" style="1063"/>
    <col min="12577" max="12577" width="12.5546875" style="1063" customWidth="1"/>
    <col min="12578" max="12578" width="8.88671875" style="1063"/>
    <col min="12579" max="12580" width="10" style="1063" customWidth="1"/>
    <col min="12581" max="12581" width="11.109375" style="1063" customWidth="1"/>
    <col min="12582" max="12584" width="8.88671875" style="1063"/>
    <col min="12585" max="12585" width="12.6640625" style="1063" customWidth="1"/>
    <col min="12586" max="12586" width="8.88671875" style="1063"/>
    <col min="12587" max="12588" width="10" style="1063" customWidth="1"/>
    <col min="12589" max="12589" width="12.5546875" style="1063" customWidth="1"/>
    <col min="12590" max="12591" width="8.88671875" style="1063"/>
    <col min="12592" max="12592" width="9.77734375" style="1063" customWidth="1"/>
    <col min="12593" max="12800" width="8.88671875" style="1063"/>
    <col min="12801" max="12801" width="9.44140625" style="1063" customWidth="1"/>
    <col min="12802" max="12802" width="6.21875" style="1063" customWidth="1"/>
    <col min="12803" max="12803" width="40.88671875" style="1063" customWidth="1"/>
    <col min="12804" max="12804" width="11.33203125" style="1063" customWidth="1"/>
    <col min="12805" max="12805" width="7.88671875" style="1063" customWidth="1"/>
    <col min="12806" max="12808" width="11.33203125" style="1063" customWidth="1"/>
    <col min="12809" max="12809" width="8.33203125" style="1063" customWidth="1"/>
    <col min="12810" max="12810" width="11.88671875" style="1063" customWidth="1"/>
    <col min="12811" max="12811" width="8.33203125" style="1063" customWidth="1"/>
    <col min="12812" max="12812" width="10.6640625" style="1063" customWidth="1"/>
    <col min="12813" max="12813" width="8.21875" style="1063" customWidth="1"/>
    <col min="12814" max="12814" width="10.77734375" style="1063" customWidth="1"/>
    <col min="12815" max="12815" width="8.88671875" style="1063"/>
    <col min="12816" max="12816" width="11.21875" style="1063" customWidth="1"/>
    <col min="12817" max="12817" width="7.21875" style="1063" customWidth="1"/>
    <col min="12818" max="12818" width="11.21875" style="1063" customWidth="1"/>
    <col min="12819" max="12819" width="7.88671875" style="1063" customWidth="1"/>
    <col min="12820" max="12820" width="11.6640625" style="1063" customWidth="1"/>
    <col min="12821" max="12821" width="8.88671875" style="1063"/>
    <col min="12822" max="12822" width="11.5546875" style="1063" customWidth="1"/>
    <col min="12823" max="12830" width="8.88671875" style="1063"/>
    <col min="12831" max="12831" width="10.109375" style="1063" customWidth="1"/>
    <col min="12832" max="12832" width="8.88671875" style="1063"/>
    <col min="12833" max="12833" width="12.5546875" style="1063" customWidth="1"/>
    <col min="12834" max="12834" width="8.88671875" style="1063"/>
    <col min="12835" max="12836" width="10" style="1063" customWidth="1"/>
    <col min="12837" max="12837" width="11.109375" style="1063" customWidth="1"/>
    <col min="12838" max="12840" width="8.88671875" style="1063"/>
    <col min="12841" max="12841" width="12.6640625" style="1063" customWidth="1"/>
    <col min="12842" max="12842" width="8.88671875" style="1063"/>
    <col min="12843" max="12844" width="10" style="1063" customWidth="1"/>
    <col min="12845" max="12845" width="12.5546875" style="1063" customWidth="1"/>
    <col min="12846" max="12847" width="8.88671875" style="1063"/>
    <col min="12848" max="12848" width="9.77734375" style="1063" customWidth="1"/>
    <col min="12849" max="13056" width="8.88671875" style="1063"/>
    <col min="13057" max="13057" width="9.44140625" style="1063" customWidth="1"/>
    <col min="13058" max="13058" width="6.21875" style="1063" customWidth="1"/>
    <col min="13059" max="13059" width="40.88671875" style="1063" customWidth="1"/>
    <col min="13060" max="13060" width="11.33203125" style="1063" customWidth="1"/>
    <col min="13061" max="13061" width="7.88671875" style="1063" customWidth="1"/>
    <col min="13062" max="13064" width="11.33203125" style="1063" customWidth="1"/>
    <col min="13065" max="13065" width="8.33203125" style="1063" customWidth="1"/>
    <col min="13066" max="13066" width="11.88671875" style="1063" customWidth="1"/>
    <col min="13067" max="13067" width="8.33203125" style="1063" customWidth="1"/>
    <col min="13068" max="13068" width="10.6640625" style="1063" customWidth="1"/>
    <col min="13069" max="13069" width="8.21875" style="1063" customWidth="1"/>
    <col min="13070" max="13070" width="10.77734375" style="1063" customWidth="1"/>
    <col min="13071" max="13071" width="8.88671875" style="1063"/>
    <col min="13072" max="13072" width="11.21875" style="1063" customWidth="1"/>
    <col min="13073" max="13073" width="7.21875" style="1063" customWidth="1"/>
    <col min="13074" max="13074" width="11.21875" style="1063" customWidth="1"/>
    <col min="13075" max="13075" width="7.88671875" style="1063" customWidth="1"/>
    <col min="13076" max="13076" width="11.6640625" style="1063" customWidth="1"/>
    <col min="13077" max="13077" width="8.88671875" style="1063"/>
    <col min="13078" max="13078" width="11.5546875" style="1063" customWidth="1"/>
    <col min="13079" max="13086" width="8.88671875" style="1063"/>
    <col min="13087" max="13087" width="10.109375" style="1063" customWidth="1"/>
    <col min="13088" max="13088" width="8.88671875" style="1063"/>
    <col min="13089" max="13089" width="12.5546875" style="1063" customWidth="1"/>
    <col min="13090" max="13090" width="8.88671875" style="1063"/>
    <col min="13091" max="13092" width="10" style="1063" customWidth="1"/>
    <col min="13093" max="13093" width="11.109375" style="1063" customWidth="1"/>
    <col min="13094" max="13096" width="8.88671875" style="1063"/>
    <col min="13097" max="13097" width="12.6640625" style="1063" customWidth="1"/>
    <col min="13098" max="13098" width="8.88671875" style="1063"/>
    <col min="13099" max="13100" width="10" style="1063" customWidth="1"/>
    <col min="13101" max="13101" width="12.5546875" style="1063" customWidth="1"/>
    <col min="13102" max="13103" width="8.88671875" style="1063"/>
    <col min="13104" max="13104" width="9.77734375" style="1063" customWidth="1"/>
    <col min="13105" max="13312" width="8.88671875" style="1063"/>
    <col min="13313" max="13313" width="9.44140625" style="1063" customWidth="1"/>
    <col min="13314" max="13314" width="6.21875" style="1063" customWidth="1"/>
    <col min="13315" max="13315" width="40.88671875" style="1063" customWidth="1"/>
    <col min="13316" max="13316" width="11.33203125" style="1063" customWidth="1"/>
    <col min="13317" max="13317" width="7.88671875" style="1063" customWidth="1"/>
    <col min="13318" max="13320" width="11.33203125" style="1063" customWidth="1"/>
    <col min="13321" max="13321" width="8.33203125" style="1063" customWidth="1"/>
    <col min="13322" max="13322" width="11.88671875" style="1063" customWidth="1"/>
    <col min="13323" max="13323" width="8.33203125" style="1063" customWidth="1"/>
    <col min="13324" max="13324" width="10.6640625" style="1063" customWidth="1"/>
    <col min="13325" max="13325" width="8.21875" style="1063" customWidth="1"/>
    <col min="13326" max="13326" width="10.77734375" style="1063" customWidth="1"/>
    <col min="13327" max="13327" width="8.88671875" style="1063"/>
    <col min="13328" max="13328" width="11.21875" style="1063" customWidth="1"/>
    <col min="13329" max="13329" width="7.21875" style="1063" customWidth="1"/>
    <col min="13330" max="13330" width="11.21875" style="1063" customWidth="1"/>
    <col min="13331" max="13331" width="7.88671875" style="1063" customWidth="1"/>
    <col min="13332" max="13332" width="11.6640625" style="1063" customWidth="1"/>
    <col min="13333" max="13333" width="8.88671875" style="1063"/>
    <col min="13334" max="13334" width="11.5546875" style="1063" customWidth="1"/>
    <col min="13335" max="13342" width="8.88671875" style="1063"/>
    <col min="13343" max="13343" width="10.109375" style="1063" customWidth="1"/>
    <col min="13344" max="13344" width="8.88671875" style="1063"/>
    <col min="13345" max="13345" width="12.5546875" style="1063" customWidth="1"/>
    <col min="13346" max="13346" width="8.88671875" style="1063"/>
    <col min="13347" max="13348" width="10" style="1063" customWidth="1"/>
    <col min="13349" max="13349" width="11.109375" style="1063" customWidth="1"/>
    <col min="13350" max="13352" width="8.88671875" style="1063"/>
    <col min="13353" max="13353" width="12.6640625" style="1063" customWidth="1"/>
    <col min="13354" max="13354" width="8.88671875" style="1063"/>
    <col min="13355" max="13356" width="10" style="1063" customWidth="1"/>
    <col min="13357" max="13357" width="12.5546875" style="1063" customWidth="1"/>
    <col min="13358" max="13359" width="8.88671875" style="1063"/>
    <col min="13360" max="13360" width="9.77734375" style="1063" customWidth="1"/>
    <col min="13361" max="13568" width="8.88671875" style="1063"/>
    <col min="13569" max="13569" width="9.44140625" style="1063" customWidth="1"/>
    <col min="13570" max="13570" width="6.21875" style="1063" customWidth="1"/>
    <col min="13571" max="13571" width="40.88671875" style="1063" customWidth="1"/>
    <col min="13572" max="13572" width="11.33203125" style="1063" customWidth="1"/>
    <col min="13573" max="13573" width="7.88671875" style="1063" customWidth="1"/>
    <col min="13574" max="13576" width="11.33203125" style="1063" customWidth="1"/>
    <col min="13577" max="13577" width="8.33203125" style="1063" customWidth="1"/>
    <col min="13578" max="13578" width="11.88671875" style="1063" customWidth="1"/>
    <col min="13579" max="13579" width="8.33203125" style="1063" customWidth="1"/>
    <col min="13580" max="13580" width="10.6640625" style="1063" customWidth="1"/>
    <col min="13581" max="13581" width="8.21875" style="1063" customWidth="1"/>
    <col min="13582" max="13582" width="10.77734375" style="1063" customWidth="1"/>
    <col min="13583" max="13583" width="8.88671875" style="1063"/>
    <col min="13584" max="13584" width="11.21875" style="1063" customWidth="1"/>
    <col min="13585" max="13585" width="7.21875" style="1063" customWidth="1"/>
    <col min="13586" max="13586" width="11.21875" style="1063" customWidth="1"/>
    <col min="13587" max="13587" width="7.88671875" style="1063" customWidth="1"/>
    <col min="13588" max="13588" width="11.6640625" style="1063" customWidth="1"/>
    <col min="13589" max="13589" width="8.88671875" style="1063"/>
    <col min="13590" max="13590" width="11.5546875" style="1063" customWidth="1"/>
    <col min="13591" max="13598" width="8.88671875" style="1063"/>
    <col min="13599" max="13599" width="10.109375" style="1063" customWidth="1"/>
    <col min="13600" max="13600" width="8.88671875" style="1063"/>
    <col min="13601" max="13601" width="12.5546875" style="1063" customWidth="1"/>
    <col min="13602" max="13602" width="8.88671875" style="1063"/>
    <col min="13603" max="13604" width="10" style="1063" customWidth="1"/>
    <col min="13605" max="13605" width="11.109375" style="1063" customWidth="1"/>
    <col min="13606" max="13608" width="8.88671875" style="1063"/>
    <col min="13609" max="13609" width="12.6640625" style="1063" customWidth="1"/>
    <col min="13610" max="13610" width="8.88671875" style="1063"/>
    <col min="13611" max="13612" width="10" style="1063" customWidth="1"/>
    <col min="13613" max="13613" width="12.5546875" style="1063" customWidth="1"/>
    <col min="13614" max="13615" width="8.88671875" style="1063"/>
    <col min="13616" max="13616" width="9.77734375" style="1063" customWidth="1"/>
    <col min="13617" max="13824" width="8.88671875" style="1063"/>
    <col min="13825" max="13825" width="9.44140625" style="1063" customWidth="1"/>
    <col min="13826" max="13826" width="6.21875" style="1063" customWidth="1"/>
    <col min="13827" max="13827" width="40.88671875" style="1063" customWidth="1"/>
    <col min="13828" max="13828" width="11.33203125" style="1063" customWidth="1"/>
    <col min="13829" max="13829" width="7.88671875" style="1063" customWidth="1"/>
    <col min="13830" max="13832" width="11.33203125" style="1063" customWidth="1"/>
    <col min="13833" max="13833" width="8.33203125" style="1063" customWidth="1"/>
    <col min="13834" max="13834" width="11.88671875" style="1063" customWidth="1"/>
    <col min="13835" max="13835" width="8.33203125" style="1063" customWidth="1"/>
    <col min="13836" max="13836" width="10.6640625" style="1063" customWidth="1"/>
    <col min="13837" max="13837" width="8.21875" style="1063" customWidth="1"/>
    <col min="13838" max="13838" width="10.77734375" style="1063" customWidth="1"/>
    <col min="13839" max="13839" width="8.88671875" style="1063"/>
    <col min="13840" max="13840" width="11.21875" style="1063" customWidth="1"/>
    <col min="13841" max="13841" width="7.21875" style="1063" customWidth="1"/>
    <col min="13842" max="13842" width="11.21875" style="1063" customWidth="1"/>
    <col min="13843" max="13843" width="7.88671875" style="1063" customWidth="1"/>
    <col min="13844" max="13844" width="11.6640625" style="1063" customWidth="1"/>
    <col min="13845" max="13845" width="8.88671875" style="1063"/>
    <col min="13846" max="13846" width="11.5546875" style="1063" customWidth="1"/>
    <col min="13847" max="13854" width="8.88671875" style="1063"/>
    <col min="13855" max="13855" width="10.109375" style="1063" customWidth="1"/>
    <col min="13856" max="13856" width="8.88671875" style="1063"/>
    <col min="13857" max="13857" width="12.5546875" style="1063" customWidth="1"/>
    <col min="13858" max="13858" width="8.88671875" style="1063"/>
    <col min="13859" max="13860" width="10" style="1063" customWidth="1"/>
    <col min="13861" max="13861" width="11.109375" style="1063" customWidth="1"/>
    <col min="13862" max="13864" width="8.88671875" style="1063"/>
    <col min="13865" max="13865" width="12.6640625" style="1063" customWidth="1"/>
    <col min="13866" max="13866" width="8.88671875" style="1063"/>
    <col min="13867" max="13868" width="10" style="1063" customWidth="1"/>
    <col min="13869" max="13869" width="12.5546875" style="1063" customWidth="1"/>
    <col min="13870" max="13871" width="8.88671875" style="1063"/>
    <col min="13872" max="13872" width="9.77734375" style="1063" customWidth="1"/>
    <col min="13873" max="14080" width="8.88671875" style="1063"/>
    <col min="14081" max="14081" width="9.44140625" style="1063" customWidth="1"/>
    <col min="14082" max="14082" width="6.21875" style="1063" customWidth="1"/>
    <col min="14083" max="14083" width="40.88671875" style="1063" customWidth="1"/>
    <col min="14084" max="14084" width="11.33203125" style="1063" customWidth="1"/>
    <col min="14085" max="14085" width="7.88671875" style="1063" customWidth="1"/>
    <col min="14086" max="14088" width="11.33203125" style="1063" customWidth="1"/>
    <col min="14089" max="14089" width="8.33203125" style="1063" customWidth="1"/>
    <col min="14090" max="14090" width="11.88671875" style="1063" customWidth="1"/>
    <col min="14091" max="14091" width="8.33203125" style="1063" customWidth="1"/>
    <col min="14092" max="14092" width="10.6640625" style="1063" customWidth="1"/>
    <col min="14093" max="14093" width="8.21875" style="1063" customWidth="1"/>
    <col min="14094" max="14094" width="10.77734375" style="1063" customWidth="1"/>
    <col min="14095" max="14095" width="8.88671875" style="1063"/>
    <col min="14096" max="14096" width="11.21875" style="1063" customWidth="1"/>
    <col min="14097" max="14097" width="7.21875" style="1063" customWidth="1"/>
    <col min="14098" max="14098" width="11.21875" style="1063" customWidth="1"/>
    <col min="14099" max="14099" width="7.88671875" style="1063" customWidth="1"/>
    <col min="14100" max="14100" width="11.6640625" style="1063" customWidth="1"/>
    <col min="14101" max="14101" width="8.88671875" style="1063"/>
    <col min="14102" max="14102" width="11.5546875" style="1063" customWidth="1"/>
    <col min="14103" max="14110" width="8.88671875" style="1063"/>
    <col min="14111" max="14111" width="10.109375" style="1063" customWidth="1"/>
    <col min="14112" max="14112" width="8.88671875" style="1063"/>
    <col min="14113" max="14113" width="12.5546875" style="1063" customWidth="1"/>
    <col min="14114" max="14114" width="8.88671875" style="1063"/>
    <col min="14115" max="14116" width="10" style="1063" customWidth="1"/>
    <col min="14117" max="14117" width="11.109375" style="1063" customWidth="1"/>
    <col min="14118" max="14120" width="8.88671875" style="1063"/>
    <col min="14121" max="14121" width="12.6640625" style="1063" customWidth="1"/>
    <col min="14122" max="14122" width="8.88671875" style="1063"/>
    <col min="14123" max="14124" width="10" style="1063" customWidth="1"/>
    <col min="14125" max="14125" width="12.5546875" style="1063" customWidth="1"/>
    <col min="14126" max="14127" width="8.88671875" style="1063"/>
    <col min="14128" max="14128" width="9.77734375" style="1063" customWidth="1"/>
    <col min="14129" max="14336" width="8.88671875" style="1063"/>
    <col min="14337" max="14337" width="9.44140625" style="1063" customWidth="1"/>
    <col min="14338" max="14338" width="6.21875" style="1063" customWidth="1"/>
    <col min="14339" max="14339" width="40.88671875" style="1063" customWidth="1"/>
    <col min="14340" max="14340" width="11.33203125" style="1063" customWidth="1"/>
    <col min="14341" max="14341" width="7.88671875" style="1063" customWidth="1"/>
    <col min="14342" max="14344" width="11.33203125" style="1063" customWidth="1"/>
    <col min="14345" max="14345" width="8.33203125" style="1063" customWidth="1"/>
    <col min="14346" max="14346" width="11.88671875" style="1063" customWidth="1"/>
    <col min="14347" max="14347" width="8.33203125" style="1063" customWidth="1"/>
    <col min="14348" max="14348" width="10.6640625" style="1063" customWidth="1"/>
    <col min="14349" max="14349" width="8.21875" style="1063" customWidth="1"/>
    <col min="14350" max="14350" width="10.77734375" style="1063" customWidth="1"/>
    <col min="14351" max="14351" width="8.88671875" style="1063"/>
    <col min="14352" max="14352" width="11.21875" style="1063" customWidth="1"/>
    <col min="14353" max="14353" width="7.21875" style="1063" customWidth="1"/>
    <col min="14354" max="14354" width="11.21875" style="1063" customWidth="1"/>
    <col min="14355" max="14355" width="7.88671875" style="1063" customWidth="1"/>
    <col min="14356" max="14356" width="11.6640625" style="1063" customWidth="1"/>
    <col min="14357" max="14357" width="8.88671875" style="1063"/>
    <col min="14358" max="14358" width="11.5546875" style="1063" customWidth="1"/>
    <col min="14359" max="14366" width="8.88671875" style="1063"/>
    <col min="14367" max="14367" width="10.109375" style="1063" customWidth="1"/>
    <col min="14368" max="14368" width="8.88671875" style="1063"/>
    <col min="14369" max="14369" width="12.5546875" style="1063" customWidth="1"/>
    <col min="14370" max="14370" width="8.88671875" style="1063"/>
    <col min="14371" max="14372" width="10" style="1063" customWidth="1"/>
    <col min="14373" max="14373" width="11.109375" style="1063" customWidth="1"/>
    <col min="14374" max="14376" width="8.88671875" style="1063"/>
    <col min="14377" max="14377" width="12.6640625" style="1063" customWidth="1"/>
    <col min="14378" max="14378" width="8.88671875" style="1063"/>
    <col min="14379" max="14380" width="10" style="1063" customWidth="1"/>
    <col min="14381" max="14381" width="12.5546875" style="1063" customWidth="1"/>
    <col min="14382" max="14383" width="8.88671875" style="1063"/>
    <col min="14384" max="14384" width="9.77734375" style="1063" customWidth="1"/>
    <col min="14385" max="14592" width="8.88671875" style="1063"/>
    <col min="14593" max="14593" width="9.44140625" style="1063" customWidth="1"/>
    <col min="14594" max="14594" width="6.21875" style="1063" customWidth="1"/>
    <col min="14595" max="14595" width="40.88671875" style="1063" customWidth="1"/>
    <col min="14596" max="14596" width="11.33203125" style="1063" customWidth="1"/>
    <col min="14597" max="14597" width="7.88671875" style="1063" customWidth="1"/>
    <col min="14598" max="14600" width="11.33203125" style="1063" customWidth="1"/>
    <col min="14601" max="14601" width="8.33203125" style="1063" customWidth="1"/>
    <col min="14602" max="14602" width="11.88671875" style="1063" customWidth="1"/>
    <col min="14603" max="14603" width="8.33203125" style="1063" customWidth="1"/>
    <col min="14604" max="14604" width="10.6640625" style="1063" customWidth="1"/>
    <col min="14605" max="14605" width="8.21875" style="1063" customWidth="1"/>
    <col min="14606" max="14606" width="10.77734375" style="1063" customWidth="1"/>
    <col min="14607" max="14607" width="8.88671875" style="1063"/>
    <col min="14608" max="14608" width="11.21875" style="1063" customWidth="1"/>
    <col min="14609" max="14609" width="7.21875" style="1063" customWidth="1"/>
    <col min="14610" max="14610" width="11.21875" style="1063" customWidth="1"/>
    <col min="14611" max="14611" width="7.88671875" style="1063" customWidth="1"/>
    <col min="14612" max="14612" width="11.6640625" style="1063" customWidth="1"/>
    <col min="14613" max="14613" width="8.88671875" style="1063"/>
    <col min="14614" max="14614" width="11.5546875" style="1063" customWidth="1"/>
    <col min="14615" max="14622" width="8.88671875" style="1063"/>
    <col min="14623" max="14623" width="10.109375" style="1063" customWidth="1"/>
    <col min="14624" max="14624" width="8.88671875" style="1063"/>
    <col min="14625" max="14625" width="12.5546875" style="1063" customWidth="1"/>
    <col min="14626" max="14626" width="8.88671875" style="1063"/>
    <col min="14627" max="14628" width="10" style="1063" customWidth="1"/>
    <col min="14629" max="14629" width="11.109375" style="1063" customWidth="1"/>
    <col min="14630" max="14632" width="8.88671875" style="1063"/>
    <col min="14633" max="14633" width="12.6640625" style="1063" customWidth="1"/>
    <col min="14634" max="14634" width="8.88671875" style="1063"/>
    <col min="14635" max="14636" width="10" style="1063" customWidth="1"/>
    <col min="14637" max="14637" width="12.5546875" style="1063" customWidth="1"/>
    <col min="14638" max="14639" width="8.88671875" style="1063"/>
    <col min="14640" max="14640" width="9.77734375" style="1063" customWidth="1"/>
    <col min="14641" max="14848" width="8.88671875" style="1063"/>
    <col min="14849" max="14849" width="9.44140625" style="1063" customWidth="1"/>
    <col min="14850" max="14850" width="6.21875" style="1063" customWidth="1"/>
    <col min="14851" max="14851" width="40.88671875" style="1063" customWidth="1"/>
    <col min="14852" max="14852" width="11.33203125" style="1063" customWidth="1"/>
    <col min="14853" max="14853" width="7.88671875" style="1063" customWidth="1"/>
    <col min="14854" max="14856" width="11.33203125" style="1063" customWidth="1"/>
    <col min="14857" max="14857" width="8.33203125" style="1063" customWidth="1"/>
    <col min="14858" max="14858" width="11.88671875" style="1063" customWidth="1"/>
    <col min="14859" max="14859" width="8.33203125" style="1063" customWidth="1"/>
    <col min="14860" max="14860" width="10.6640625" style="1063" customWidth="1"/>
    <col min="14861" max="14861" width="8.21875" style="1063" customWidth="1"/>
    <col min="14862" max="14862" width="10.77734375" style="1063" customWidth="1"/>
    <col min="14863" max="14863" width="8.88671875" style="1063"/>
    <col min="14864" max="14864" width="11.21875" style="1063" customWidth="1"/>
    <col min="14865" max="14865" width="7.21875" style="1063" customWidth="1"/>
    <col min="14866" max="14866" width="11.21875" style="1063" customWidth="1"/>
    <col min="14867" max="14867" width="7.88671875" style="1063" customWidth="1"/>
    <col min="14868" max="14868" width="11.6640625" style="1063" customWidth="1"/>
    <col min="14869" max="14869" width="8.88671875" style="1063"/>
    <col min="14870" max="14870" width="11.5546875" style="1063" customWidth="1"/>
    <col min="14871" max="14878" width="8.88671875" style="1063"/>
    <col min="14879" max="14879" width="10.109375" style="1063" customWidth="1"/>
    <col min="14880" max="14880" width="8.88671875" style="1063"/>
    <col min="14881" max="14881" width="12.5546875" style="1063" customWidth="1"/>
    <col min="14882" max="14882" width="8.88671875" style="1063"/>
    <col min="14883" max="14884" width="10" style="1063" customWidth="1"/>
    <col min="14885" max="14885" width="11.109375" style="1063" customWidth="1"/>
    <col min="14886" max="14888" width="8.88671875" style="1063"/>
    <col min="14889" max="14889" width="12.6640625" style="1063" customWidth="1"/>
    <col min="14890" max="14890" width="8.88671875" style="1063"/>
    <col min="14891" max="14892" width="10" style="1063" customWidth="1"/>
    <col min="14893" max="14893" width="12.5546875" style="1063" customWidth="1"/>
    <col min="14894" max="14895" width="8.88671875" style="1063"/>
    <col min="14896" max="14896" width="9.77734375" style="1063" customWidth="1"/>
    <col min="14897" max="15104" width="8.88671875" style="1063"/>
    <col min="15105" max="15105" width="9.44140625" style="1063" customWidth="1"/>
    <col min="15106" max="15106" width="6.21875" style="1063" customWidth="1"/>
    <col min="15107" max="15107" width="40.88671875" style="1063" customWidth="1"/>
    <col min="15108" max="15108" width="11.33203125" style="1063" customWidth="1"/>
    <col min="15109" max="15109" width="7.88671875" style="1063" customWidth="1"/>
    <col min="15110" max="15112" width="11.33203125" style="1063" customWidth="1"/>
    <col min="15113" max="15113" width="8.33203125" style="1063" customWidth="1"/>
    <col min="15114" max="15114" width="11.88671875" style="1063" customWidth="1"/>
    <col min="15115" max="15115" width="8.33203125" style="1063" customWidth="1"/>
    <col min="15116" max="15116" width="10.6640625" style="1063" customWidth="1"/>
    <col min="15117" max="15117" width="8.21875" style="1063" customWidth="1"/>
    <col min="15118" max="15118" width="10.77734375" style="1063" customWidth="1"/>
    <col min="15119" max="15119" width="8.88671875" style="1063"/>
    <col min="15120" max="15120" width="11.21875" style="1063" customWidth="1"/>
    <col min="15121" max="15121" width="7.21875" style="1063" customWidth="1"/>
    <col min="15122" max="15122" width="11.21875" style="1063" customWidth="1"/>
    <col min="15123" max="15123" width="7.88671875" style="1063" customWidth="1"/>
    <col min="15124" max="15124" width="11.6640625" style="1063" customWidth="1"/>
    <col min="15125" max="15125" width="8.88671875" style="1063"/>
    <col min="15126" max="15126" width="11.5546875" style="1063" customWidth="1"/>
    <col min="15127" max="15134" width="8.88671875" style="1063"/>
    <col min="15135" max="15135" width="10.109375" style="1063" customWidth="1"/>
    <col min="15136" max="15136" width="8.88671875" style="1063"/>
    <col min="15137" max="15137" width="12.5546875" style="1063" customWidth="1"/>
    <col min="15138" max="15138" width="8.88671875" style="1063"/>
    <col min="15139" max="15140" width="10" style="1063" customWidth="1"/>
    <col min="15141" max="15141" width="11.109375" style="1063" customWidth="1"/>
    <col min="15142" max="15144" width="8.88671875" style="1063"/>
    <col min="15145" max="15145" width="12.6640625" style="1063" customWidth="1"/>
    <col min="15146" max="15146" width="8.88671875" style="1063"/>
    <col min="15147" max="15148" width="10" style="1063" customWidth="1"/>
    <col min="15149" max="15149" width="12.5546875" style="1063" customWidth="1"/>
    <col min="15150" max="15151" width="8.88671875" style="1063"/>
    <col min="15152" max="15152" width="9.77734375" style="1063" customWidth="1"/>
    <col min="15153" max="15360" width="8.88671875" style="1063"/>
    <col min="15361" max="15361" width="9.44140625" style="1063" customWidth="1"/>
    <col min="15362" max="15362" width="6.21875" style="1063" customWidth="1"/>
    <col min="15363" max="15363" width="40.88671875" style="1063" customWidth="1"/>
    <col min="15364" max="15364" width="11.33203125" style="1063" customWidth="1"/>
    <col min="15365" max="15365" width="7.88671875" style="1063" customWidth="1"/>
    <col min="15366" max="15368" width="11.33203125" style="1063" customWidth="1"/>
    <col min="15369" max="15369" width="8.33203125" style="1063" customWidth="1"/>
    <col min="15370" max="15370" width="11.88671875" style="1063" customWidth="1"/>
    <col min="15371" max="15371" width="8.33203125" style="1063" customWidth="1"/>
    <col min="15372" max="15372" width="10.6640625" style="1063" customWidth="1"/>
    <col min="15373" max="15373" width="8.21875" style="1063" customWidth="1"/>
    <col min="15374" max="15374" width="10.77734375" style="1063" customWidth="1"/>
    <col min="15375" max="15375" width="8.88671875" style="1063"/>
    <col min="15376" max="15376" width="11.21875" style="1063" customWidth="1"/>
    <col min="15377" max="15377" width="7.21875" style="1063" customWidth="1"/>
    <col min="15378" max="15378" width="11.21875" style="1063" customWidth="1"/>
    <col min="15379" max="15379" width="7.88671875" style="1063" customWidth="1"/>
    <col min="15380" max="15380" width="11.6640625" style="1063" customWidth="1"/>
    <col min="15381" max="15381" width="8.88671875" style="1063"/>
    <col min="15382" max="15382" width="11.5546875" style="1063" customWidth="1"/>
    <col min="15383" max="15390" width="8.88671875" style="1063"/>
    <col min="15391" max="15391" width="10.109375" style="1063" customWidth="1"/>
    <col min="15392" max="15392" width="8.88671875" style="1063"/>
    <col min="15393" max="15393" width="12.5546875" style="1063" customWidth="1"/>
    <col min="15394" max="15394" width="8.88671875" style="1063"/>
    <col min="15395" max="15396" width="10" style="1063" customWidth="1"/>
    <col min="15397" max="15397" width="11.109375" style="1063" customWidth="1"/>
    <col min="15398" max="15400" width="8.88671875" style="1063"/>
    <col min="15401" max="15401" width="12.6640625" style="1063" customWidth="1"/>
    <col min="15402" max="15402" width="8.88671875" style="1063"/>
    <col min="15403" max="15404" width="10" style="1063" customWidth="1"/>
    <col min="15405" max="15405" width="12.5546875" style="1063" customWidth="1"/>
    <col min="15406" max="15407" width="8.88671875" style="1063"/>
    <col min="15408" max="15408" width="9.77734375" style="1063" customWidth="1"/>
    <col min="15409" max="15616" width="8.88671875" style="1063"/>
    <col min="15617" max="15617" width="9.44140625" style="1063" customWidth="1"/>
    <col min="15618" max="15618" width="6.21875" style="1063" customWidth="1"/>
    <col min="15619" max="15619" width="40.88671875" style="1063" customWidth="1"/>
    <col min="15620" max="15620" width="11.33203125" style="1063" customWidth="1"/>
    <col min="15621" max="15621" width="7.88671875" style="1063" customWidth="1"/>
    <col min="15622" max="15624" width="11.33203125" style="1063" customWidth="1"/>
    <col min="15625" max="15625" width="8.33203125" style="1063" customWidth="1"/>
    <col min="15626" max="15626" width="11.88671875" style="1063" customWidth="1"/>
    <col min="15627" max="15627" width="8.33203125" style="1063" customWidth="1"/>
    <col min="15628" max="15628" width="10.6640625" style="1063" customWidth="1"/>
    <col min="15629" max="15629" width="8.21875" style="1063" customWidth="1"/>
    <col min="15630" max="15630" width="10.77734375" style="1063" customWidth="1"/>
    <col min="15631" max="15631" width="8.88671875" style="1063"/>
    <col min="15632" max="15632" width="11.21875" style="1063" customWidth="1"/>
    <col min="15633" max="15633" width="7.21875" style="1063" customWidth="1"/>
    <col min="15634" max="15634" width="11.21875" style="1063" customWidth="1"/>
    <col min="15635" max="15635" width="7.88671875" style="1063" customWidth="1"/>
    <col min="15636" max="15636" width="11.6640625" style="1063" customWidth="1"/>
    <col min="15637" max="15637" width="8.88671875" style="1063"/>
    <col min="15638" max="15638" width="11.5546875" style="1063" customWidth="1"/>
    <col min="15639" max="15646" width="8.88671875" style="1063"/>
    <col min="15647" max="15647" width="10.109375" style="1063" customWidth="1"/>
    <col min="15648" max="15648" width="8.88671875" style="1063"/>
    <col min="15649" max="15649" width="12.5546875" style="1063" customWidth="1"/>
    <col min="15650" max="15650" width="8.88671875" style="1063"/>
    <col min="15651" max="15652" width="10" style="1063" customWidth="1"/>
    <col min="15653" max="15653" width="11.109375" style="1063" customWidth="1"/>
    <col min="15654" max="15656" width="8.88671875" style="1063"/>
    <col min="15657" max="15657" width="12.6640625" style="1063" customWidth="1"/>
    <col min="15658" max="15658" width="8.88671875" style="1063"/>
    <col min="15659" max="15660" width="10" style="1063" customWidth="1"/>
    <col min="15661" max="15661" width="12.5546875" style="1063" customWidth="1"/>
    <col min="15662" max="15663" width="8.88671875" style="1063"/>
    <col min="15664" max="15664" width="9.77734375" style="1063" customWidth="1"/>
    <col min="15665" max="15872" width="8.88671875" style="1063"/>
    <col min="15873" max="15873" width="9.44140625" style="1063" customWidth="1"/>
    <col min="15874" max="15874" width="6.21875" style="1063" customWidth="1"/>
    <col min="15875" max="15875" width="40.88671875" style="1063" customWidth="1"/>
    <col min="15876" max="15876" width="11.33203125" style="1063" customWidth="1"/>
    <col min="15877" max="15877" width="7.88671875" style="1063" customWidth="1"/>
    <col min="15878" max="15880" width="11.33203125" style="1063" customWidth="1"/>
    <col min="15881" max="15881" width="8.33203125" style="1063" customWidth="1"/>
    <col min="15882" max="15882" width="11.88671875" style="1063" customWidth="1"/>
    <col min="15883" max="15883" width="8.33203125" style="1063" customWidth="1"/>
    <col min="15884" max="15884" width="10.6640625" style="1063" customWidth="1"/>
    <col min="15885" max="15885" width="8.21875" style="1063" customWidth="1"/>
    <col min="15886" max="15886" width="10.77734375" style="1063" customWidth="1"/>
    <col min="15887" max="15887" width="8.88671875" style="1063"/>
    <col min="15888" max="15888" width="11.21875" style="1063" customWidth="1"/>
    <col min="15889" max="15889" width="7.21875" style="1063" customWidth="1"/>
    <col min="15890" max="15890" width="11.21875" style="1063" customWidth="1"/>
    <col min="15891" max="15891" width="7.88671875" style="1063" customWidth="1"/>
    <col min="15892" max="15892" width="11.6640625" style="1063" customWidth="1"/>
    <col min="15893" max="15893" width="8.88671875" style="1063"/>
    <col min="15894" max="15894" width="11.5546875" style="1063" customWidth="1"/>
    <col min="15895" max="15902" width="8.88671875" style="1063"/>
    <col min="15903" max="15903" width="10.109375" style="1063" customWidth="1"/>
    <col min="15904" max="15904" width="8.88671875" style="1063"/>
    <col min="15905" max="15905" width="12.5546875" style="1063" customWidth="1"/>
    <col min="15906" max="15906" width="8.88671875" style="1063"/>
    <col min="15907" max="15908" width="10" style="1063" customWidth="1"/>
    <col min="15909" max="15909" width="11.109375" style="1063" customWidth="1"/>
    <col min="15910" max="15912" width="8.88671875" style="1063"/>
    <col min="15913" max="15913" width="12.6640625" style="1063" customWidth="1"/>
    <col min="15914" max="15914" width="8.88671875" style="1063"/>
    <col min="15915" max="15916" width="10" style="1063" customWidth="1"/>
    <col min="15917" max="15917" width="12.5546875" style="1063" customWidth="1"/>
    <col min="15918" max="15919" width="8.88671875" style="1063"/>
    <col min="15920" max="15920" width="9.77734375" style="1063" customWidth="1"/>
    <col min="15921" max="16128" width="8.88671875" style="1063"/>
    <col min="16129" max="16129" width="9.44140625" style="1063" customWidth="1"/>
    <col min="16130" max="16130" width="6.21875" style="1063" customWidth="1"/>
    <col min="16131" max="16131" width="40.88671875" style="1063" customWidth="1"/>
    <col min="16132" max="16132" width="11.33203125" style="1063" customWidth="1"/>
    <col min="16133" max="16133" width="7.88671875" style="1063" customWidth="1"/>
    <col min="16134" max="16136" width="11.33203125" style="1063" customWidth="1"/>
    <col min="16137" max="16137" width="8.33203125" style="1063" customWidth="1"/>
    <col min="16138" max="16138" width="11.88671875" style="1063" customWidth="1"/>
    <col min="16139" max="16139" width="8.33203125" style="1063" customWidth="1"/>
    <col min="16140" max="16140" width="10.6640625" style="1063" customWidth="1"/>
    <col min="16141" max="16141" width="8.21875" style="1063" customWidth="1"/>
    <col min="16142" max="16142" width="10.77734375" style="1063" customWidth="1"/>
    <col min="16143" max="16143" width="8.88671875" style="1063"/>
    <col min="16144" max="16144" width="11.21875" style="1063" customWidth="1"/>
    <col min="16145" max="16145" width="7.21875" style="1063" customWidth="1"/>
    <col min="16146" max="16146" width="11.21875" style="1063" customWidth="1"/>
    <col min="16147" max="16147" width="7.88671875" style="1063" customWidth="1"/>
    <col min="16148" max="16148" width="11.6640625" style="1063" customWidth="1"/>
    <col min="16149" max="16149" width="8.88671875" style="1063"/>
    <col min="16150" max="16150" width="11.5546875" style="1063" customWidth="1"/>
    <col min="16151" max="16158" width="8.88671875" style="1063"/>
    <col min="16159" max="16159" width="10.109375" style="1063" customWidth="1"/>
    <col min="16160" max="16160" width="8.88671875" style="1063"/>
    <col min="16161" max="16161" width="12.5546875" style="1063" customWidth="1"/>
    <col min="16162" max="16162" width="8.88671875" style="1063"/>
    <col min="16163" max="16164" width="10" style="1063" customWidth="1"/>
    <col min="16165" max="16165" width="11.109375" style="1063" customWidth="1"/>
    <col min="16166" max="16168" width="8.88671875" style="1063"/>
    <col min="16169" max="16169" width="12.6640625" style="1063" customWidth="1"/>
    <col min="16170" max="16170" width="8.88671875" style="1063"/>
    <col min="16171" max="16172" width="10" style="1063" customWidth="1"/>
    <col min="16173" max="16173" width="12.5546875" style="1063" customWidth="1"/>
    <col min="16174" max="16175" width="8.88671875" style="1063"/>
    <col min="16176" max="16176" width="9.77734375" style="1063" customWidth="1"/>
    <col min="16177" max="16384" width="8.88671875" style="1063"/>
  </cols>
  <sheetData>
    <row r="1" spans="1:22" ht="65.25" customHeight="1">
      <c r="A1" s="1313" t="str">
        <f>'G. Abstract'!A2:F2</f>
        <v>Name of Work: Construction of DSP camp office cum Residence with development works at Cuddalore New town in Cuddalore District</v>
      </c>
      <c r="B1" s="1313"/>
      <c r="C1" s="1313"/>
      <c r="D1" s="1313"/>
      <c r="E1" s="1313"/>
      <c r="F1" s="1313"/>
      <c r="G1" s="1061"/>
      <c r="H1" s="1061"/>
      <c r="I1" s="1062"/>
      <c r="J1" s="1062"/>
      <c r="K1" s="1062"/>
      <c r="L1" s="1062"/>
      <c r="M1" s="1062"/>
      <c r="N1" s="1062"/>
      <c r="O1" s="1062"/>
      <c r="P1" s="1062"/>
      <c r="Q1" s="1062"/>
      <c r="R1" s="1062"/>
      <c r="S1" s="1062"/>
      <c r="T1" s="1062"/>
      <c r="U1" s="1062"/>
      <c r="V1" s="1062"/>
    </row>
    <row r="2" spans="1:22" ht="27.75" customHeight="1">
      <c r="A2" s="1314" t="s">
        <v>6764</v>
      </c>
      <c r="B2" s="1314"/>
      <c r="C2" s="1314"/>
      <c r="D2" s="1314"/>
      <c r="E2" s="1314"/>
      <c r="F2" s="1314"/>
      <c r="G2" s="1062"/>
      <c r="H2" s="1062"/>
      <c r="I2" s="1062"/>
      <c r="J2" s="1062"/>
      <c r="K2" s="1062"/>
      <c r="L2" s="1062"/>
      <c r="M2" s="1062"/>
      <c r="N2" s="1062"/>
      <c r="O2" s="1062"/>
      <c r="P2" s="1062"/>
      <c r="Q2" s="1062"/>
      <c r="R2" s="1062"/>
      <c r="S2" s="1062"/>
      <c r="T2" s="1062"/>
      <c r="U2" s="1062"/>
      <c r="V2" s="1062"/>
    </row>
    <row r="3" spans="1:22" ht="27.75" customHeight="1">
      <c r="A3" s="1064"/>
      <c r="B3" s="1062"/>
      <c r="C3" s="1062"/>
      <c r="D3" s="1062"/>
      <c r="E3" s="1065"/>
      <c r="F3" s="1064"/>
      <c r="G3" s="1062"/>
      <c r="H3" s="1062"/>
      <c r="I3" s="1062"/>
      <c r="J3" s="1062"/>
      <c r="K3" s="1062"/>
      <c r="L3" s="1062"/>
      <c r="M3" s="1062"/>
      <c r="N3" s="1062"/>
      <c r="O3" s="1062"/>
      <c r="P3" s="1062"/>
      <c r="Q3" s="1062"/>
      <c r="R3" s="1062"/>
      <c r="S3" s="1062"/>
      <c r="T3" s="1062"/>
      <c r="U3" s="1062"/>
      <c r="V3" s="1062"/>
    </row>
    <row r="4" spans="1:22" ht="27.75" customHeight="1">
      <c r="A4" s="1066" t="s">
        <v>1034</v>
      </c>
      <c r="B4" s="1067" t="s">
        <v>221</v>
      </c>
      <c r="C4" s="1067" t="s">
        <v>1769</v>
      </c>
      <c r="D4" s="1067" t="s">
        <v>97</v>
      </c>
      <c r="E4" s="1068" t="s">
        <v>221</v>
      </c>
      <c r="F4" s="1066" t="s">
        <v>970</v>
      </c>
      <c r="G4" s="1067"/>
      <c r="H4" s="1067"/>
      <c r="I4" s="1315"/>
      <c r="J4" s="1315"/>
      <c r="K4" s="1315"/>
      <c r="L4" s="1315"/>
      <c r="M4" s="1317"/>
      <c r="N4" s="1317"/>
      <c r="O4" s="1317"/>
      <c r="P4" s="1317"/>
      <c r="Q4" s="1317"/>
      <c r="R4" s="1317"/>
      <c r="S4" s="1317"/>
      <c r="T4" s="1317"/>
      <c r="U4" s="1317"/>
      <c r="V4" s="1317"/>
    </row>
    <row r="5" spans="1:22" s="1072" customFormat="1" ht="22.5" customHeight="1">
      <c r="A5" s="1069"/>
      <c r="B5" s="1070"/>
      <c r="C5" s="1071"/>
      <c r="D5" s="1070"/>
      <c r="E5" s="1071"/>
      <c r="G5" s="1073"/>
      <c r="H5" s="1073"/>
      <c r="I5" s="1073"/>
      <c r="J5" s="1073"/>
      <c r="K5" s="1073"/>
      <c r="L5" s="1073"/>
      <c r="M5" s="1073"/>
      <c r="N5" s="1073"/>
      <c r="O5" s="1073"/>
      <c r="P5" s="1073"/>
      <c r="Q5" s="1073"/>
      <c r="R5" s="1073"/>
      <c r="S5" s="1073"/>
      <c r="T5" s="1073"/>
      <c r="U5" s="1073"/>
      <c r="V5" s="1073"/>
    </row>
    <row r="6" spans="1:22" s="1080" customFormat="1" ht="45" customHeight="1">
      <c r="A6" s="1077"/>
      <c r="B6" s="880"/>
      <c r="C6" s="1078" t="s">
        <v>6765</v>
      </c>
      <c r="D6" s="880"/>
      <c r="E6" s="1079"/>
      <c r="F6" s="1077"/>
    </row>
    <row r="7" spans="1:22" s="1080" customFormat="1" ht="33.75" customHeight="1">
      <c r="A7" s="1081">
        <v>1</v>
      </c>
      <c r="B7" s="1082" t="s">
        <v>823</v>
      </c>
      <c r="C7" s="1083" t="s">
        <v>6766</v>
      </c>
      <c r="D7" s="1082">
        <v>693.6</v>
      </c>
      <c r="E7" s="1082" t="s">
        <v>823</v>
      </c>
      <c r="F7" s="1094">
        <f>A7*D7</f>
        <v>693.6</v>
      </c>
    </row>
    <row r="8" spans="1:22" s="1080" customFormat="1" ht="31.5" customHeight="1">
      <c r="A8" s="1081">
        <v>1</v>
      </c>
      <c r="B8" s="1082"/>
      <c r="C8" s="1083" t="s">
        <v>6767</v>
      </c>
      <c r="D8" s="1082">
        <f>F28</f>
        <v>201.89</v>
      </c>
      <c r="E8" s="1082"/>
      <c r="F8" s="1094">
        <f>A8*D8</f>
        <v>201.89</v>
      </c>
    </row>
    <row r="9" spans="1:22" s="1080" customFormat="1" ht="22.5" customHeight="1">
      <c r="A9" s="1081"/>
      <c r="B9" s="1082"/>
      <c r="C9" s="1082" t="s">
        <v>2261</v>
      </c>
      <c r="D9" s="1082"/>
      <c r="E9" s="1082"/>
      <c r="F9" s="1094">
        <v>0.77</v>
      </c>
    </row>
    <row r="10" spans="1:22" s="1080" customFormat="1" ht="22.5" customHeight="1">
      <c r="A10" s="1081"/>
      <c r="B10" s="1082"/>
      <c r="C10" s="1084" t="s">
        <v>3353</v>
      </c>
      <c r="D10" s="1082"/>
      <c r="E10" s="1082"/>
      <c r="F10" s="1110">
        <f>SUM(F7:F9)</f>
        <v>896.26</v>
      </c>
    </row>
    <row r="11" spans="1:22" s="1080" customFormat="1" ht="22.5" customHeight="1">
      <c r="A11" s="1077"/>
      <c r="B11" s="880"/>
      <c r="C11" s="1085"/>
      <c r="D11" s="880"/>
      <c r="E11" s="1079"/>
      <c r="F11" s="1077"/>
    </row>
    <row r="12" spans="1:22" s="1080" customFormat="1" ht="22.5" customHeight="1">
      <c r="A12" s="1077"/>
      <c r="B12" s="880" t="s">
        <v>1548</v>
      </c>
      <c r="C12" s="1085" t="s">
        <v>6768</v>
      </c>
      <c r="D12" s="880"/>
      <c r="E12" s="1079"/>
      <c r="F12" s="1077"/>
    </row>
    <row r="13" spans="1:22" s="1080" customFormat="1" ht="22.5" customHeight="1">
      <c r="A13" s="1077"/>
      <c r="B13" s="880"/>
      <c r="C13" s="1085" t="s">
        <v>1579</v>
      </c>
      <c r="D13" s="880"/>
      <c r="E13" s="1079"/>
      <c r="F13" s="1077"/>
    </row>
    <row r="14" spans="1:22" s="1080" customFormat="1" ht="22.5" customHeight="1">
      <c r="A14" s="1077">
        <v>30</v>
      </c>
      <c r="B14" s="880" t="s">
        <v>1763</v>
      </c>
      <c r="C14" s="1085" t="s">
        <v>1656</v>
      </c>
      <c r="D14" s="880">
        <v>5</v>
      </c>
      <c r="E14" s="1079" t="s">
        <v>1763</v>
      </c>
      <c r="F14" s="1077">
        <v>150</v>
      </c>
    </row>
    <row r="15" spans="1:22" s="1080" customFormat="1" ht="22.5" customHeight="1">
      <c r="A15" s="1077" t="s">
        <v>971</v>
      </c>
      <c r="B15" s="880"/>
      <c r="C15" s="1085" t="s">
        <v>1659</v>
      </c>
      <c r="D15" s="880" t="s">
        <v>971</v>
      </c>
      <c r="E15" s="1079"/>
      <c r="F15" s="1077" t="s">
        <v>971</v>
      </c>
    </row>
    <row r="16" spans="1:22" s="1080" customFormat="1" ht="31.5" customHeight="1">
      <c r="A16" s="1077">
        <v>8</v>
      </c>
      <c r="B16" s="880" t="s">
        <v>865</v>
      </c>
      <c r="C16" s="1085" t="s">
        <v>6786</v>
      </c>
      <c r="D16" s="1086">
        <v>33.200000000000003</v>
      </c>
      <c r="E16" s="1079" t="s">
        <v>865</v>
      </c>
      <c r="F16" s="1077">
        <f t="shared" ref="F16:F21" si="0">D16*A16</f>
        <v>265.60000000000002</v>
      </c>
    </row>
    <row r="17" spans="1:22" s="1080" customFormat="1" ht="31.5" customHeight="1">
      <c r="A17" s="1077">
        <v>8</v>
      </c>
      <c r="B17" s="880" t="s">
        <v>865</v>
      </c>
      <c r="C17" s="1085" t="s">
        <v>464</v>
      </c>
      <c r="D17" s="1086">
        <v>72.5</v>
      </c>
      <c r="E17" s="1079" t="s">
        <v>865</v>
      </c>
      <c r="F17" s="1077">
        <f t="shared" si="0"/>
        <v>580</v>
      </c>
    </row>
    <row r="18" spans="1:22" s="1080" customFormat="1" ht="22.5" customHeight="1">
      <c r="A18" s="1077">
        <v>3</v>
      </c>
      <c r="B18" s="880" t="s">
        <v>865</v>
      </c>
      <c r="C18" s="1085" t="s">
        <v>1837</v>
      </c>
      <c r="D18" s="880">
        <v>738</v>
      </c>
      <c r="E18" s="1079" t="s">
        <v>865</v>
      </c>
      <c r="F18" s="1077">
        <f t="shared" si="0"/>
        <v>2214</v>
      </c>
    </row>
    <row r="19" spans="1:22" s="1080" customFormat="1" ht="22.5" customHeight="1">
      <c r="A19" s="1077">
        <v>1</v>
      </c>
      <c r="B19" s="880" t="s">
        <v>865</v>
      </c>
      <c r="C19" s="1085" t="s">
        <v>1838</v>
      </c>
      <c r="D19" s="880">
        <v>999</v>
      </c>
      <c r="E19" s="1079" t="s">
        <v>865</v>
      </c>
      <c r="F19" s="1077">
        <f t="shared" si="0"/>
        <v>999</v>
      </c>
    </row>
    <row r="20" spans="1:22" s="1080" customFormat="1" ht="22.5" customHeight="1">
      <c r="A20" s="1077">
        <v>2</v>
      </c>
      <c r="B20" s="880" t="s">
        <v>865</v>
      </c>
      <c r="C20" s="1085" t="s">
        <v>1893</v>
      </c>
      <c r="D20" s="880">
        <v>651</v>
      </c>
      <c r="E20" s="1079" t="s">
        <v>865</v>
      </c>
      <c r="F20" s="1077">
        <f t="shared" si="0"/>
        <v>1302</v>
      </c>
    </row>
    <row r="21" spans="1:22" s="1080" customFormat="1" ht="22.5" customHeight="1">
      <c r="A21" s="1077">
        <v>1</v>
      </c>
      <c r="B21" s="880" t="s">
        <v>865</v>
      </c>
      <c r="C21" s="1085" t="s">
        <v>317</v>
      </c>
      <c r="D21" s="880">
        <v>534</v>
      </c>
      <c r="E21" s="1079" t="s">
        <v>865</v>
      </c>
      <c r="F21" s="1077">
        <f t="shared" si="0"/>
        <v>534</v>
      </c>
    </row>
    <row r="22" spans="1:22" s="1080" customFormat="1" ht="22.5" customHeight="1">
      <c r="A22" s="1077"/>
      <c r="B22" s="880" t="s">
        <v>446</v>
      </c>
      <c r="C22" s="1085" t="s">
        <v>1839</v>
      </c>
      <c r="D22" s="880" t="s">
        <v>971</v>
      </c>
      <c r="E22" s="1079" t="s">
        <v>446</v>
      </c>
      <c r="F22" s="1077">
        <v>12.1</v>
      </c>
    </row>
    <row r="23" spans="1:22" s="1080" customFormat="1" ht="22.5" customHeight="1">
      <c r="A23" s="1077"/>
      <c r="B23" s="880"/>
      <c r="C23" s="1085" t="s">
        <v>1841</v>
      </c>
      <c r="D23" s="880" t="s">
        <v>971</v>
      </c>
      <c r="E23" s="1079"/>
      <c r="F23" s="1077" t="s">
        <v>971</v>
      </c>
    </row>
    <row r="24" spans="1:22" s="1080" customFormat="1" ht="22.5" customHeight="1">
      <c r="A24" s="1077"/>
      <c r="B24" s="880" t="s">
        <v>446</v>
      </c>
      <c r="C24" s="1085" t="s">
        <v>447</v>
      </c>
      <c r="D24" s="880"/>
      <c r="E24" s="1079" t="s">
        <v>446</v>
      </c>
      <c r="F24" s="1077">
        <v>0</v>
      </c>
    </row>
    <row r="25" spans="1:22" s="1080" customFormat="1" ht="22.5" customHeight="1">
      <c r="A25" s="1077"/>
      <c r="B25" s="880"/>
      <c r="C25" s="1085"/>
      <c r="D25" s="880"/>
      <c r="E25" s="1079"/>
      <c r="F25" s="1077" t="s">
        <v>1579</v>
      </c>
    </row>
    <row r="26" spans="1:22" s="1080" customFormat="1" ht="22.5" customHeight="1">
      <c r="A26" s="1077"/>
      <c r="B26" s="880"/>
      <c r="C26" s="1085" t="s">
        <v>1842</v>
      </c>
      <c r="D26" s="880"/>
      <c r="E26" s="1079"/>
      <c r="F26" s="1077">
        <f>SUM(F14:F25)</f>
        <v>6056.7</v>
      </c>
    </row>
    <row r="27" spans="1:22" s="1080" customFormat="1" ht="22.5" customHeight="1">
      <c r="A27" s="1077"/>
      <c r="B27" s="880"/>
      <c r="C27" s="1085"/>
      <c r="D27" s="880"/>
      <c r="E27" s="1079"/>
      <c r="F27" s="1077" t="s">
        <v>1579</v>
      </c>
    </row>
    <row r="28" spans="1:22" s="1090" customFormat="1" ht="22.5" customHeight="1">
      <c r="A28" s="1087"/>
      <c r="B28" s="1088"/>
      <c r="C28" s="1085" t="s">
        <v>1538</v>
      </c>
      <c r="D28" s="1088"/>
      <c r="E28" s="1089"/>
      <c r="F28" s="1094">
        <f>F26/30</f>
        <v>201.89</v>
      </c>
    </row>
    <row r="29" spans="1:22" s="1072" customFormat="1" ht="18" customHeight="1">
      <c r="A29" s="1069"/>
      <c r="B29" s="1070"/>
      <c r="C29" s="1071"/>
      <c r="D29" s="1070"/>
      <c r="E29" s="1071"/>
      <c r="G29" s="1073"/>
      <c r="H29" s="1073"/>
      <c r="I29" s="1073"/>
      <c r="J29" s="1073"/>
      <c r="K29" s="1073"/>
      <c r="L29" s="1073"/>
      <c r="M29" s="1073"/>
      <c r="N29" s="1073"/>
      <c r="O29" s="1073"/>
      <c r="P29" s="1073"/>
      <c r="Q29" s="1073"/>
      <c r="R29" s="1073"/>
      <c r="S29" s="1073"/>
      <c r="T29" s="1073"/>
      <c r="U29" s="1073"/>
      <c r="V29" s="1073"/>
    </row>
    <row r="30" spans="1:22" s="1080" customFormat="1" ht="45" customHeight="1">
      <c r="A30" s="1077"/>
      <c r="B30" s="880"/>
      <c r="C30" s="1078" t="s">
        <v>6770</v>
      </c>
      <c r="D30" s="880"/>
      <c r="E30" s="1079"/>
      <c r="F30" s="1077"/>
    </row>
    <row r="31" spans="1:22" s="1080" customFormat="1" ht="33.75" customHeight="1">
      <c r="A31" s="1081">
        <v>1</v>
      </c>
      <c r="B31" s="1082" t="s">
        <v>823</v>
      </c>
      <c r="C31" s="1083" t="s">
        <v>6771</v>
      </c>
      <c r="D31" s="1082">
        <v>437.6</v>
      </c>
      <c r="E31" s="1082" t="s">
        <v>823</v>
      </c>
      <c r="F31" s="1094">
        <f>A31*D31</f>
        <v>437.6</v>
      </c>
    </row>
    <row r="32" spans="1:22" s="1080" customFormat="1" ht="31.5" customHeight="1">
      <c r="A32" s="1081">
        <v>1</v>
      </c>
      <c r="B32" s="1082" t="s">
        <v>823</v>
      </c>
      <c r="C32" s="1083" t="s">
        <v>6772</v>
      </c>
      <c r="D32" s="1082">
        <f>F52</f>
        <v>192.6</v>
      </c>
      <c r="E32" s="1082" t="s">
        <v>823</v>
      </c>
      <c r="F32" s="1094">
        <f>A32*D32</f>
        <v>192.6</v>
      </c>
    </row>
    <row r="33" spans="1:6" s="1080" customFormat="1" ht="22.5" customHeight="1">
      <c r="A33" s="1081"/>
      <c r="B33" s="1082"/>
      <c r="C33" s="1082" t="s">
        <v>2261</v>
      </c>
      <c r="D33" s="1082"/>
      <c r="E33" s="1082"/>
      <c r="F33" s="1094">
        <v>0.77</v>
      </c>
    </row>
    <row r="34" spans="1:6" s="1080" customFormat="1" ht="22.5" customHeight="1">
      <c r="A34" s="1081"/>
      <c r="B34" s="1082"/>
      <c r="C34" s="1084" t="s">
        <v>3353</v>
      </c>
      <c r="D34" s="1082"/>
      <c r="E34" s="1082"/>
      <c r="F34" s="1110">
        <f>SUM(F31:F33)</f>
        <v>630.97</v>
      </c>
    </row>
    <row r="35" spans="1:6" s="1080" customFormat="1" ht="22.5" customHeight="1">
      <c r="A35" s="1077"/>
      <c r="B35" s="880"/>
      <c r="C35" s="1085"/>
      <c r="D35" s="880"/>
      <c r="E35" s="1079"/>
      <c r="F35" s="1077"/>
    </row>
    <row r="36" spans="1:6" s="1080" customFormat="1" ht="22.5" customHeight="1">
      <c r="A36" s="1077"/>
      <c r="B36" s="880" t="s">
        <v>1548</v>
      </c>
      <c r="C36" s="1085" t="s">
        <v>6773</v>
      </c>
      <c r="D36" s="880"/>
      <c r="E36" s="1079"/>
      <c r="F36" s="1077"/>
    </row>
    <row r="37" spans="1:6" s="1080" customFormat="1" ht="22.5" customHeight="1">
      <c r="A37" s="1077"/>
      <c r="B37" s="880"/>
      <c r="C37" s="1085" t="s">
        <v>1579</v>
      </c>
      <c r="D37" s="880"/>
      <c r="E37" s="1079"/>
      <c r="F37" s="1077"/>
    </row>
    <row r="38" spans="1:6" s="1080" customFormat="1" ht="22.5" customHeight="1">
      <c r="A38" s="1077">
        <v>30</v>
      </c>
      <c r="B38" s="880" t="s">
        <v>1763</v>
      </c>
      <c r="C38" s="1085" t="s">
        <v>1656</v>
      </c>
      <c r="D38" s="880">
        <v>5</v>
      </c>
      <c r="E38" s="1079" t="s">
        <v>1763</v>
      </c>
      <c r="F38" s="1077">
        <v>150</v>
      </c>
    </row>
    <row r="39" spans="1:6" s="1080" customFormat="1" ht="22.5" customHeight="1">
      <c r="A39" s="1077" t="s">
        <v>971</v>
      </c>
      <c r="B39" s="880"/>
      <c r="C39" s="1085" t="s">
        <v>1659</v>
      </c>
      <c r="D39" s="880" t="s">
        <v>971</v>
      </c>
      <c r="E39" s="1079"/>
      <c r="F39" s="1077" t="s">
        <v>971</v>
      </c>
    </row>
    <row r="40" spans="1:6" s="1080" customFormat="1" ht="31.5" customHeight="1">
      <c r="A40" s="1077">
        <v>8</v>
      </c>
      <c r="B40" s="880" t="s">
        <v>865</v>
      </c>
      <c r="C40" s="1085" t="s">
        <v>6769</v>
      </c>
      <c r="D40" s="1086">
        <v>23.5</v>
      </c>
      <c r="E40" s="1079" t="s">
        <v>865</v>
      </c>
      <c r="F40" s="1077">
        <f t="shared" ref="F40:F45" si="1">D40*A40</f>
        <v>188</v>
      </c>
    </row>
    <row r="41" spans="1:6" s="1080" customFormat="1" ht="31.5" customHeight="1">
      <c r="A41" s="1077">
        <v>8</v>
      </c>
      <c r="B41" s="880" t="s">
        <v>865</v>
      </c>
      <c r="C41" s="1085" t="s">
        <v>464</v>
      </c>
      <c r="D41" s="1086">
        <v>47.35</v>
      </c>
      <c r="E41" s="1079" t="s">
        <v>865</v>
      </c>
      <c r="F41" s="1077">
        <f t="shared" si="1"/>
        <v>378.8</v>
      </c>
    </row>
    <row r="42" spans="1:6" s="1080" customFormat="1" ht="22.5" customHeight="1">
      <c r="A42" s="1077">
        <v>3</v>
      </c>
      <c r="B42" s="880" t="s">
        <v>865</v>
      </c>
      <c r="C42" s="1085" t="s">
        <v>1837</v>
      </c>
      <c r="D42" s="880">
        <v>738</v>
      </c>
      <c r="E42" s="1079" t="s">
        <v>865</v>
      </c>
      <c r="F42" s="1077">
        <f>D42*A42</f>
        <v>2214</v>
      </c>
    </row>
    <row r="43" spans="1:6" s="1080" customFormat="1" ht="22.5" customHeight="1">
      <c r="A43" s="1077">
        <v>1</v>
      </c>
      <c r="B43" s="880" t="s">
        <v>865</v>
      </c>
      <c r="C43" s="1085" t="s">
        <v>1838</v>
      </c>
      <c r="D43" s="880">
        <v>999</v>
      </c>
      <c r="E43" s="1079" t="s">
        <v>865</v>
      </c>
      <c r="F43" s="1077">
        <f t="shared" si="1"/>
        <v>999</v>
      </c>
    </row>
    <row r="44" spans="1:6" s="1080" customFormat="1" ht="22.5" customHeight="1">
      <c r="A44" s="1077">
        <v>2</v>
      </c>
      <c r="B44" s="880" t="s">
        <v>865</v>
      </c>
      <c r="C44" s="1085" t="s">
        <v>1893</v>
      </c>
      <c r="D44" s="880">
        <v>651</v>
      </c>
      <c r="E44" s="1079" t="s">
        <v>865</v>
      </c>
      <c r="F44" s="1077">
        <f t="shared" si="1"/>
        <v>1302</v>
      </c>
    </row>
    <row r="45" spans="1:6" s="1080" customFormat="1" ht="22.5" customHeight="1">
      <c r="A45" s="1077">
        <v>1</v>
      </c>
      <c r="B45" s="880" t="s">
        <v>865</v>
      </c>
      <c r="C45" s="1085" t="s">
        <v>317</v>
      </c>
      <c r="D45" s="880">
        <v>534</v>
      </c>
      <c r="E45" s="1079" t="s">
        <v>865</v>
      </c>
      <c r="F45" s="1077">
        <f t="shared" si="1"/>
        <v>534</v>
      </c>
    </row>
    <row r="46" spans="1:6" s="1080" customFormat="1" ht="22.5" customHeight="1">
      <c r="A46" s="1077"/>
      <c r="B46" s="880" t="s">
        <v>446</v>
      </c>
      <c r="C46" s="1085" t="s">
        <v>1839</v>
      </c>
      <c r="D46" s="880" t="s">
        <v>971</v>
      </c>
      <c r="E46" s="1079" t="s">
        <v>446</v>
      </c>
      <c r="F46" s="1077">
        <v>12.1</v>
      </c>
    </row>
    <row r="47" spans="1:6" s="1080" customFormat="1" ht="22.5" customHeight="1">
      <c r="A47" s="1077"/>
      <c r="B47" s="880"/>
      <c r="C47" s="1085" t="s">
        <v>1841</v>
      </c>
      <c r="D47" s="880" t="s">
        <v>971</v>
      </c>
      <c r="E47" s="1079"/>
      <c r="F47" s="1077" t="s">
        <v>971</v>
      </c>
    </row>
    <row r="48" spans="1:6" s="1080" customFormat="1" ht="22.5" customHeight="1">
      <c r="A48" s="1077"/>
      <c r="B48" s="880" t="s">
        <v>446</v>
      </c>
      <c r="C48" s="1085" t="s">
        <v>447</v>
      </c>
      <c r="D48" s="880"/>
      <c r="E48" s="1079" t="s">
        <v>446</v>
      </c>
      <c r="F48" s="1077">
        <v>0</v>
      </c>
    </row>
    <row r="49" spans="1:6" s="1080" customFormat="1" ht="22.5" customHeight="1">
      <c r="A49" s="1077"/>
      <c r="B49" s="880"/>
      <c r="C49" s="1085"/>
      <c r="D49" s="880"/>
      <c r="E49" s="1079"/>
      <c r="F49" s="1077" t="s">
        <v>1579</v>
      </c>
    </row>
    <row r="50" spans="1:6" s="1080" customFormat="1" ht="22.5" customHeight="1">
      <c r="A50" s="1077"/>
      <c r="B50" s="880"/>
      <c r="C50" s="1085" t="s">
        <v>1842</v>
      </c>
      <c r="D50" s="880"/>
      <c r="E50" s="1079"/>
      <c r="F50" s="1077">
        <f>SUM(F38:F49)</f>
        <v>5777.9</v>
      </c>
    </row>
    <row r="51" spans="1:6" s="1080" customFormat="1" ht="22.5" customHeight="1">
      <c r="A51" s="1077"/>
      <c r="B51" s="880"/>
      <c r="C51" s="1085"/>
      <c r="D51" s="880"/>
      <c r="E51" s="1079"/>
      <c r="F51" s="1077" t="s">
        <v>1579</v>
      </c>
    </row>
    <row r="52" spans="1:6" s="1090" customFormat="1" ht="22.5" customHeight="1">
      <c r="A52" s="1087"/>
      <c r="B52" s="1088"/>
      <c r="C52" s="1085" t="s">
        <v>1538</v>
      </c>
      <c r="D52" s="1088"/>
      <c r="E52" s="1089"/>
      <c r="F52" s="1094">
        <f>F50/30</f>
        <v>192.6</v>
      </c>
    </row>
    <row r="53" spans="1:6" s="1076" customFormat="1" ht="15" customHeight="1">
      <c r="A53" s="1091"/>
      <c r="B53" s="1074"/>
      <c r="C53" s="1075"/>
      <c r="D53" s="1074"/>
      <c r="E53" s="1074"/>
      <c r="F53" s="1092"/>
    </row>
    <row r="54" spans="1:6" s="1080" customFormat="1" ht="28.5" customHeight="1">
      <c r="A54" s="1077"/>
      <c r="B54" s="880"/>
      <c r="C54" s="1093" t="s">
        <v>6774</v>
      </c>
      <c r="D54" s="880"/>
      <c r="E54" s="1079"/>
      <c r="F54" s="1077"/>
    </row>
    <row r="55" spans="1:6" s="1080" customFormat="1" ht="37.5" customHeight="1">
      <c r="A55" s="1081">
        <v>1</v>
      </c>
      <c r="B55" s="1082" t="s">
        <v>823</v>
      </c>
      <c r="C55" s="1083" t="str">
        <f>C7</f>
        <v>GI pipe of 80 mm dia (TWAD SR 22-23 Pg 40)</v>
      </c>
      <c r="D55" s="1094">
        <v>693.6</v>
      </c>
      <c r="E55" s="1082" t="s">
        <v>823</v>
      </c>
      <c r="F55" s="1094">
        <f>A55*D55</f>
        <v>693.6</v>
      </c>
    </row>
    <row r="56" spans="1:6" s="1080" customFormat="1" ht="29.25" customHeight="1">
      <c r="A56" s="1081">
        <v>1</v>
      </c>
      <c r="B56" s="1082"/>
      <c r="C56" s="1083" t="s">
        <v>6767</v>
      </c>
      <c r="D56" s="1094">
        <f>F76</f>
        <v>104.61</v>
      </c>
      <c r="E56" s="1082"/>
      <c r="F56" s="1094">
        <f>A56*D56</f>
        <v>104.61</v>
      </c>
    </row>
    <row r="57" spans="1:6" s="1080" customFormat="1" ht="22.5" customHeight="1">
      <c r="A57" s="1081"/>
      <c r="B57" s="1082"/>
      <c r="C57" s="1082" t="s">
        <v>2261</v>
      </c>
      <c r="D57" s="1082"/>
      <c r="E57" s="1082"/>
      <c r="F57" s="1094">
        <v>0.71</v>
      </c>
    </row>
    <row r="58" spans="1:6" s="1080" customFormat="1" ht="22.5" customHeight="1">
      <c r="A58" s="1081"/>
      <c r="B58" s="1082"/>
      <c r="C58" s="1084" t="s">
        <v>3353</v>
      </c>
      <c r="D58" s="1082"/>
      <c r="E58" s="1082"/>
      <c r="F58" s="1110">
        <f>SUM(F55:F57)</f>
        <v>798.92</v>
      </c>
    </row>
    <row r="59" spans="1:6" s="1080" customFormat="1" ht="22.5" customHeight="1">
      <c r="A59" s="1081"/>
      <c r="B59" s="1082"/>
      <c r="C59" s="1084"/>
      <c r="D59" s="1082"/>
      <c r="E59" s="1082"/>
      <c r="F59" s="1084"/>
    </row>
    <row r="60" spans="1:6" s="1080" customFormat="1" ht="22.5" customHeight="1">
      <c r="A60" s="1077"/>
      <c r="B60" s="880" t="s">
        <v>1548</v>
      </c>
      <c r="C60" s="1085" t="s">
        <v>6775</v>
      </c>
      <c r="D60" s="880"/>
      <c r="E60" s="1079"/>
      <c r="F60" s="1077"/>
    </row>
    <row r="61" spans="1:6" s="1080" customFormat="1" ht="22.5" customHeight="1">
      <c r="A61" s="1077"/>
      <c r="B61" s="880"/>
      <c r="C61" s="1085" t="s">
        <v>1579</v>
      </c>
      <c r="D61" s="880"/>
      <c r="E61" s="1079"/>
      <c r="F61" s="1077"/>
    </row>
    <row r="62" spans="1:6" s="1080" customFormat="1" ht="22.5" customHeight="1">
      <c r="A62" s="1077">
        <v>8.1</v>
      </c>
      <c r="B62" s="880" t="s">
        <v>866</v>
      </c>
      <c r="C62" s="1085" t="s">
        <v>614</v>
      </c>
      <c r="D62" s="880">
        <v>224.1</v>
      </c>
      <c r="E62" s="1079" t="s">
        <v>866</v>
      </c>
      <c r="F62" s="1077">
        <f>D62*A62</f>
        <v>1815.21</v>
      </c>
    </row>
    <row r="63" spans="1:6" s="1080" customFormat="1" ht="22.5" customHeight="1">
      <c r="A63" s="1077">
        <v>8.1</v>
      </c>
      <c r="B63" s="880" t="s">
        <v>866</v>
      </c>
      <c r="C63" s="1085" t="s">
        <v>2148</v>
      </c>
      <c r="D63" s="880">
        <v>38.950000000000003</v>
      </c>
      <c r="E63" s="1079" t="s">
        <v>866</v>
      </c>
      <c r="F63" s="1077">
        <f t="shared" ref="F63:F71" si="2">D63*A63</f>
        <v>315.5</v>
      </c>
    </row>
    <row r="64" spans="1:6" s="1080" customFormat="1" ht="22.5" customHeight="1">
      <c r="A64" s="1077">
        <v>30</v>
      </c>
      <c r="B64" s="880" t="s">
        <v>1763</v>
      </c>
      <c r="C64" s="1085" t="s">
        <v>2149</v>
      </c>
      <c r="D64" s="880">
        <v>5</v>
      </c>
      <c r="E64" s="1079" t="s">
        <v>1763</v>
      </c>
      <c r="F64" s="1077">
        <f t="shared" si="2"/>
        <v>150</v>
      </c>
    </row>
    <row r="65" spans="1:22" s="1080" customFormat="1" ht="22.5" customHeight="1">
      <c r="A65" s="1077"/>
      <c r="B65" s="880"/>
      <c r="C65" s="1085" t="s">
        <v>2150</v>
      </c>
      <c r="D65" s="880"/>
      <c r="E65" s="1079"/>
      <c r="F65" s="1077">
        <f t="shared" si="2"/>
        <v>0</v>
      </c>
    </row>
    <row r="66" spans="1:22" s="1080" customFormat="1" ht="22.5" customHeight="1">
      <c r="A66" s="1077"/>
      <c r="B66" s="880"/>
      <c r="C66" s="1085" t="s">
        <v>2151</v>
      </c>
      <c r="D66" s="880"/>
      <c r="E66" s="1079"/>
      <c r="F66" s="1077">
        <f t="shared" si="2"/>
        <v>0</v>
      </c>
    </row>
    <row r="67" spans="1:22" s="1080" customFormat="1" ht="22.5" customHeight="1">
      <c r="A67" s="1077"/>
      <c r="B67" s="880"/>
      <c r="C67" s="1085" t="s">
        <v>2152</v>
      </c>
      <c r="D67" s="880"/>
      <c r="E67" s="1079"/>
      <c r="F67" s="1077">
        <f t="shared" si="2"/>
        <v>0</v>
      </c>
    </row>
    <row r="68" spans="1:22" s="1080" customFormat="1" ht="22.5" customHeight="1">
      <c r="A68" s="1077"/>
      <c r="B68" s="880"/>
      <c r="C68" s="1085" t="s">
        <v>2155</v>
      </c>
      <c r="D68" s="880"/>
      <c r="E68" s="1079"/>
      <c r="F68" s="1077">
        <f t="shared" si="2"/>
        <v>0</v>
      </c>
    </row>
    <row r="69" spans="1:22" s="1080" customFormat="1" ht="22.5" customHeight="1">
      <c r="A69" s="1077">
        <v>8</v>
      </c>
      <c r="B69" s="880" t="s">
        <v>766</v>
      </c>
      <c r="C69" s="1085" t="s">
        <v>6786</v>
      </c>
      <c r="D69" s="1086">
        <v>33.200000000000003</v>
      </c>
      <c r="E69" s="1079" t="s">
        <v>766</v>
      </c>
      <c r="F69" s="1077">
        <f t="shared" si="2"/>
        <v>265.60000000000002</v>
      </c>
    </row>
    <row r="70" spans="1:22" s="1080" customFormat="1" ht="22.5" customHeight="1">
      <c r="A70" s="1077">
        <v>8</v>
      </c>
      <c r="B70" s="880" t="s">
        <v>766</v>
      </c>
      <c r="C70" s="1085" t="s">
        <v>464</v>
      </c>
      <c r="D70" s="1086">
        <v>72.5</v>
      </c>
      <c r="E70" s="1079" t="s">
        <v>766</v>
      </c>
      <c r="F70" s="1077">
        <f t="shared" si="2"/>
        <v>580</v>
      </c>
    </row>
    <row r="71" spans="1:22" s="1080" customFormat="1" ht="22.5" customHeight="1">
      <c r="A71" s="1077">
        <v>1</v>
      </c>
      <c r="B71" s="880" t="s">
        <v>446</v>
      </c>
      <c r="C71" s="1085" t="s">
        <v>1676</v>
      </c>
      <c r="D71" s="880">
        <v>12.1</v>
      </c>
      <c r="E71" s="1079" t="s">
        <v>446</v>
      </c>
      <c r="F71" s="1077">
        <f t="shared" si="2"/>
        <v>12.1</v>
      </c>
    </row>
    <row r="72" spans="1:22" s="1080" customFormat="1" ht="22.5" customHeight="1">
      <c r="A72" s="1077">
        <v>1</v>
      </c>
      <c r="B72" s="880" t="s">
        <v>446</v>
      </c>
      <c r="C72" s="1085" t="s">
        <v>447</v>
      </c>
      <c r="D72" s="880"/>
      <c r="E72" s="1079" t="s">
        <v>446</v>
      </c>
      <c r="F72" s="1077">
        <v>0</v>
      </c>
    </row>
    <row r="73" spans="1:22" s="1080" customFormat="1" ht="22.5" customHeight="1">
      <c r="A73" s="1077"/>
      <c r="B73" s="880"/>
      <c r="C73" s="1085"/>
      <c r="D73" s="880"/>
      <c r="E73" s="1079"/>
      <c r="F73" s="1077" t="s">
        <v>1579</v>
      </c>
    </row>
    <row r="74" spans="1:22" s="1080" customFormat="1" ht="22.5" customHeight="1">
      <c r="A74" s="1077"/>
      <c r="B74" s="880"/>
      <c r="C74" s="1085" t="s">
        <v>1537</v>
      </c>
      <c r="D74" s="880"/>
      <c r="E74" s="1079"/>
      <c r="F74" s="1077">
        <f>SUM(F62:F73)</f>
        <v>3138.41</v>
      </c>
    </row>
    <row r="75" spans="1:22" s="1080" customFormat="1" ht="22.5" customHeight="1">
      <c r="A75" s="1077"/>
      <c r="B75" s="880"/>
      <c r="C75" s="1085"/>
      <c r="D75" s="880"/>
      <c r="E75" s="1079"/>
      <c r="F75" s="1081" t="s">
        <v>1579</v>
      </c>
    </row>
    <row r="76" spans="1:22" s="1090" customFormat="1" ht="22.5" customHeight="1">
      <c r="A76" s="1087"/>
      <c r="B76" s="1088"/>
      <c r="C76" s="1085" t="s">
        <v>1538</v>
      </c>
      <c r="D76" s="1088"/>
      <c r="E76" s="1089"/>
      <c r="F76" s="1094">
        <f>F74/30</f>
        <v>104.61</v>
      </c>
    </row>
    <row r="77" spans="1:22" s="1072" customFormat="1" ht="18" customHeight="1">
      <c r="A77" s="1069"/>
      <c r="B77" s="1070"/>
      <c r="C77" s="1071"/>
      <c r="D77" s="1070"/>
      <c r="E77" s="1071"/>
      <c r="G77" s="1073"/>
      <c r="H77" s="1073"/>
      <c r="I77" s="1073"/>
      <c r="J77" s="1073"/>
      <c r="K77" s="1073"/>
      <c r="L77" s="1073"/>
      <c r="M77" s="1073"/>
      <c r="N77" s="1073"/>
      <c r="O77" s="1073"/>
      <c r="P77" s="1073"/>
      <c r="Q77" s="1073"/>
      <c r="R77" s="1073"/>
      <c r="S77" s="1073"/>
      <c r="T77" s="1073"/>
      <c r="U77" s="1073"/>
      <c r="V77" s="1073"/>
    </row>
    <row r="78" spans="1:22" s="1080" customFormat="1" ht="28.5" customHeight="1">
      <c r="A78" s="1077"/>
      <c r="B78" s="880"/>
      <c r="C78" s="1093" t="s">
        <v>6787</v>
      </c>
      <c r="D78" s="880"/>
      <c r="E78" s="1079"/>
      <c r="F78" s="1077"/>
    </row>
    <row r="79" spans="1:22" s="1080" customFormat="1" ht="37.5" customHeight="1">
      <c r="A79" s="1081">
        <v>1</v>
      </c>
      <c r="B79" s="1082" t="s">
        <v>823</v>
      </c>
      <c r="C79" s="1083" t="str">
        <f>C31</f>
        <v>GI pipe of 50 mm dia (TWAD SR 22-23 Pg 40)</v>
      </c>
      <c r="D79" s="1094">
        <f>D31</f>
        <v>437.6</v>
      </c>
      <c r="E79" s="1082" t="s">
        <v>823</v>
      </c>
      <c r="F79" s="1094">
        <f>A79*D79</f>
        <v>437.6</v>
      </c>
    </row>
    <row r="80" spans="1:22" s="1080" customFormat="1" ht="29.25" customHeight="1">
      <c r="A80" s="1081">
        <v>1</v>
      </c>
      <c r="B80" s="1082"/>
      <c r="C80" s="1083" t="s">
        <v>6767</v>
      </c>
      <c r="D80" s="1094">
        <f>F100</f>
        <v>95.32</v>
      </c>
      <c r="E80" s="1082"/>
      <c r="F80" s="1094">
        <f>A80*D80</f>
        <v>95.32</v>
      </c>
    </row>
    <row r="81" spans="1:6" s="1080" customFormat="1" ht="22.5" customHeight="1">
      <c r="A81" s="1081"/>
      <c r="B81" s="1082"/>
      <c r="C81" s="1082" t="s">
        <v>2261</v>
      </c>
      <c r="D81" s="1082"/>
      <c r="E81" s="1082"/>
      <c r="F81" s="1094">
        <v>0.71</v>
      </c>
    </row>
    <row r="82" spans="1:6" s="1080" customFormat="1" ht="22.5" customHeight="1">
      <c r="A82" s="1081"/>
      <c r="B82" s="1082"/>
      <c r="C82" s="1084" t="s">
        <v>3353</v>
      </c>
      <c r="D82" s="1082"/>
      <c r="E82" s="1082"/>
      <c r="F82" s="1110">
        <f>SUM(F79:F81)</f>
        <v>533.63</v>
      </c>
    </row>
    <row r="83" spans="1:6" s="1080" customFormat="1" ht="22.5" customHeight="1">
      <c r="A83" s="1081"/>
      <c r="B83" s="1082"/>
      <c r="C83" s="1084"/>
      <c r="D83" s="1082"/>
      <c r="E83" s="1082"/>
      <c r="F83" s="1084"/>
    </row>
    <row r="84" spans="1:6" s="1080" customFormat="1" ht="22.5" customHeight="1">
      <c r="A84" s="1077"/>
      <c r="B84" s="880" t="s">
        <v>1548</v>
      </c>
      <c r="C84" s="1085" t="s">
        <v>6775</v>
      </c>
      <c r="D84" s="880"/>
      <c r="E84" s="1079"/>
      <c r="F84" s="1077"/>
    </row>
    <row r="85" spans="1:6" s="1080" customFormat="1" ht="22.5" customHeight="1">
      <c r="A85" s="1077"/>
      <c r="B85" s="880"/>
      <c r="C85" s="1085" t="s">
        <v>1579</v>
      </c>
      <c r="D85" s="880"/>
      <c r="E85" s="1079"/>
      <c r="F85" s="1077"/>
    </row>
    <row r="86" spans="1:6" s="1080" customFormat="1" ht="22.5" customHeight="1">
      <c r="A86" s="1077">
        <v>8.1</v>
      </c>
      <c r="B86" s="880" t="s">
        <v>866</v>
      </c>
      <c r="C86" s="1085" t="s">
        <v>614</v>
      </c>
      <c r="D86" s="880">
        <v>224.1</v>
      </c>
      <c r="E86" s="1079" t="s">
        <v>866</v>
      </c>
      <c r="F86" s="1077">
        <f>D86*A86</f>
        <v>1815.21</v>
      </c>
    </row>
    <row r="87" spans="1:6" s="1080" customFormat="1" ht="22.5" customHeight="1">
      <c r="A87" s="1077">
        <v>8.1</v>
      </c>
      <c r="B87" s="880" t="s">
        <v>866</v>
      </c>
      <c r="C87" s="1085" t="s">
        <v>2148</v>
      </c>
      <c r="D87" s="880">
        <v>38.950000000000003</v>
      </c>
      <c r="E87" s="1079" t="s">
        <v>866</v>
      </c>
      <c r="F87" s="1077">
        <f t="shared" ref="F87:F95" si="3">D87*A87</f>
        <v>315.5</v>
      </c>
    </row>
    <row r="88" spans="1:6" s="1080" customFormat="1" ht="22.5" customHeight="1">
      <c r="A88" s="1077">
        <v>30</v>
      </c>
      <c r="B88" s="880" t="s">
        <v>1763</v>
      </c>
      <c r="C88" s="1085" t="s">
        <v>2149</v>
      </c>
      <c r="D88" s="880">
        <v>5</v>
      </c>
      <c r="E88" s="1079" t="s">
        <v>1763</v>
      </c>
      <c r="F88" s="1077">
        <f t="shared" si="3"/>
        <v>150</v>
      </c>
    </row>
    <row r="89" spans="1:6" s="1080" customFormat="1" ht="22.5" customHeight="1">
      <c r="A89" s="1077"/>
      <c r="B89" s="880"/>
      <c r="C89" s="1085" t="s">
        <v>2150</v>
      </c>
      <c r="D89" s="880"/>
      <c r="E89" s="1079"/>
      <c r="F89" s="1077">
        <f t="shared" si="3"/>
        <v>0</v>
      </c>
    </row>
    <row r="90" spans="1:6" s="1080" customFormat="1" ht="22.5" customHeight="1">
      <c r="A90" s="1077"/>
      <c r="B90" s="880"/>
      <c r="C90" s="1085" t="s">
        <v>2151</v>
      </c>
      <c r="D90" s="880"/>
      <c r="E90" s="1079"/>
      <c r="F90" s="1077">
        <f t="shared" si="3"/>
        <v>0</v>
      </c>
    </row>
    <row r="91" spans="1:6" s="1080" customFormat="1" ht="22.5" customHeight="1">
      <c r="A91" s="1077"/>
      <c r="B91" s="880"/>
      <c r="C91" s="1085" t="s">
        <v>2152</v>
      </c>
      <c r="D91" s="880"/>
      <c r="E91" s="1079"/>
      <c r="F91" s="1077">
        <f t="shared" si="3"/>
        <v>0</v>
      </c>
    </row>
    <row r="92" spans="1:6" s="1080" customFormat="1" ht="22.5" customHeight="1">
      <c r="A92" s="1077"/>
      <c r="B92" s="880"/>
      <c r="C92" s="1085" t="s">
        <v>2155</v>
      </c>
      <c r="D92" s="880"/>
      <c r="E92" s="1079"/>
      <c r="F92" s="1077">
        <f t="shared" si="3"/>
        <v>0</v>
      </c>
    </row>
    <row r="93" spans="1:6" s="1080" customFormat="1" ht="22.5" customHeight="1">
      <c r="A93" s="1077">
        <v>8</v>
      </c>
      <c r="B93" s="880" t="s">
        <v>766</v>
      </c>
      <c r="C93" s="1085" t="s">
        <v>6786</v>
      </c>
      <c r="D93" s="1086">
        <v>23.5</v>
      </c>
      <c r="E93" s="1079" t="s">
        <v>766</v>
      </c>
      <c r="F93" s="1077">
        <f t="shared" si="3"/>
        <v>188</v>
      </c>
    </row>
    <row r="94" spans="1:6" s="1080" customFormat="1" ht="22.5" customHeight="1">
      <c r="A94" s="1077">
        <v>8</v>
      </c>
      <c r="B94" s="880" t="s">
        <v>766</v>
      </c>
      <c r="C94" s="1085" t="s">
        <v>464</v>
      </c>
      <c r="D94" s="1086">
        <v>47.35</v>
      </c>
      <c r="E94" s="1079" t="s">
        <v>766</v>
      </c>
      <c r="F94" s="1077">
        <f t="shared" si="3"/>
        <v>378.8</v>
      </c>
    </row>
    <row r="95" spans="1:6" s="1080" customFormat="1" ht="22.5" customHeight="1">
      <c r="A95" s="1077">
        <v>1</v>
      </c>
      <c r="B95" s="880" t="s">
        <v>446</v>
      </c>
      <c r="C95" s="1085" t="s">
        <v>1676</v>
      </c>
      <c r="D95" s="880">
        <v>12.1</v>
      </c>
      <c r="E95" s="1079" t="s">
        <v>446</v>
      </c>
      <c r="F95" s="1077">
        <f t="shared" si="3"/>
        <v>12.1</v>
      </c>
    </row>
    <row r="96" spans="1:6" s="1080" customFormat="1" ht="22.5" customHeight="1">
      <c r="A96" s="1077">
        <v>1</v>
      </c>
      <c r="B96" s="880" t="s">
        <v>446</v>
      </c>
      <c r="C96" s="1085" t="s">
        <v>447</v>
      </c>
      <c r="D96" s="880"/>
      <c r="E96" s="1079" t="s">
        <v>446</v>
      </c>
      <c r="F96" s="1077">
        <v>0</v>
      </c>
    </row>
    <row r="97" spans="1:22" s="1080" customFormat="1" ht="22.5" customHeight="1">
      <c r="A97" s="1077"/>
      <c r="B97" s="880"/>
      <c r="C97" s="1085"/>
      <c r="D97" s="880"/>
      <c r="E97" s="1079"/>
      <c r="F97" s="1077" t="s">
        <v>1579</v>
      </c>
    </row>
    <row r="98" spans="1:22" s="1080" customFormat="1" ht="22.5" customHeight="1">
      <c r="A98" s="1077"/>
      <c r="B98" s="880"/>
      <c r="C98" s="1085" t="s">
        <v>1537</v>
      </c>
      <c r="D98" s="880"/>
      <c r="E98" s="1079"/>
      <c r="F98" s="1077">
        <f>SUM(F86:F97)</f>
        <v>2859.61</v>
      </c>
    </row>
    <row r="99" spans="1:22" s="1080" customFormat="1" ht="22.5" customHeight="1">
      <c r="A99" s="1077"/>
      <c r="B99" s="880"/>
      <c r="C99" s="1085"/>
      <c r="D99" s="880"/>
      <c r="E99" s="1079"/>
      <c r="F99" s="1081" t="s">
        <v>1579</v>
      </c>
    </row>
    <row r="100" spans="1:22" s="1090" customFormat="1" ht="22.5" customHeight="1">
      <c r="A100" s="1087"/>
      <c r="B100" s="1088"/>
      <c r="C100" s="1085" t="s">
        <v>1538</v>
      </c>
      <c r="D100" s="1088"/>
      <c r="E100" s="1089"/>
      <c r="F100" s="1094">
        <f>F98/30</f>
        <v>95.32</v>
      </c>
    </row>
    <row r="101" spans="1:22" s="1090" customFormat="1" ht="22.5" customHeight="1">
      <c r="A101" s="1087"/>
      <c r="B101" s="1088"/>
      <c r="C101" s="1085"/>
      <c r="D101" s="1088"/>
      <c r="E101" s="1089"/>
      <c r="F101" s="1094"/>
    </row>
    <row r="102" spans="1:22" s="1076" customFormat="1" ht="18.75" customHeight="1">
      <c r="A102" s="1091"/>
      <c r="B102" s="1074" t="s">
        <v>2241</v>
      </c>
      <c r="C102" s="1075" t="s">
        <v>3814</v>
      </c>
      <c r="D102" s="1074"/>
      <c r="E102" s="1074"/>
      <c r="F102" s="1092"/>
    </row>
    <row r="103" spans="1:22" s="1076" customFormat="1" ht="18.75" customHeight="1">
      <c r="A103" s="1091"/>
      <c r="B103" s="1074"/>
      <c r="C103" s="1075" t="s">
        <v>6776</v>
      </c>
      <c r="D103" s="1074"/>
      <c r="E103" s="1074"/>
      <c r="F103" s="1092"/>
    </row>
    <row r="104" spans="1:22" s="1076" customFormat="1" ht="18.75" customHeight="1">
      <c r="A104" s="1091"/>
      <c r="B104" s="1074"/>
      <c r="C104" s="1075" t="s">
        <v>153</v>
      </c>
      <c r="D104" s="1074"/>
      <c r="E104" s="1074"/>
      <c r="F104" s="1092"/>
    </row>
    <row r="105" spans="1:22" s="1076" customFormat="1" ht="18.75" customHeight="1">
      <c r="A105" s="1091"/>
      <c r="B105" s="1074"/>
      <c r="C105" s="1075" t="s">
        <v>1579</v>
      </c>
      <c r="D105" s="1074"/>
      <c r="E105" s="1074"/>
      <c r="F105" s="1092"/>
    </row>
    <row r="106" spans="1:22" s="1072" customFormat="1" ht="18" customHeight="1">
      <c r="A106" s="1069"/>
      <c r="B106" s="1070" t="s">
        <v>154</v>
      </c>
      <c r="C106" s="1071" t="s">
        <v>6777</v>
      </c>
      <c r="D106" s="1070"/>
      <c r="E106" s="1071"/>
      <c r="G106" s="1073"/>
      <c r="H106" s="1073"/>
      <c r="I106" s="1073"/>
      <c r="J106" s="1073"/>
      <c r="K106" s="1073"/>
      <c r="L106" s="1073"/>
      <c r="M106" s="1073"/>
      <c r="N106" s="1073"/>
      <c r="O106" s="1073"/>
      <c r="P106" s="1073"/>
      <c r="Q106" s="1073"/>
      <c r="R106" s="1073"/>
      <c r="S106" s="1073"/>
      <c r="T106" s="1073"/>
      <c r="U106" s="1073"/>
      <c r="V106" s="1073"/>
    </row>
    <row r="107" spans="1:22" s="1072" customFormat="1" ht="18" customHeight="1">
      <c r="A107" s="1069"/>
      <c r="B107" s="1070"/>
      <c r="C107" s="1071" t="s">
        <v>1579</v>
      </c>
      <c r="D107" s="1070"/>
      <c r="E107" s="1071"/>
      <c r="G107" s="1073"/>
      <c r="H107" s="1073"/>
      <c r="I107" s="1073"/>
      <c r="J107" s="1073"/>
      <c r="K107" s="1073"/>
      <c r="L107" s="1073"/>
      <c r="M107" s="1073"/>
      <c r="N107" s="1073"/>
      <c r="O107" s="1073"/>
      <c r="P107" s="1073"/>
      <c r="Q107" s="1073"/>
      <c r="R107" s="1073"/>
      <c r="S107" s="1073"/>
      <c r="T107" s="1073"/>
      <c r="U107" s="1073"/>
      <c r="V107" s="1073"/>
    </row>
    <row r="108" spans="1:22" s="1072" customFormat="1" ht="18" customHeight="1">
      <c r="A108" s="1095">
        <v>8.1</v>
      </c>
      <c r="B108" s="1070" t="s">
        <v>866</v>
      </c>
      <c r="C108" s="1071" t="s">
        <v>614</v>
      </c>
      <c r="D108" s="880">
        <v>224.1</v>
      </c>
      <c r="E108" s="1071" t="s">
        <v>866</v>
      </c>
      <c r="F108" s="1072">
        <f>A108*D108</f>
        <v>1815.21</v>
      </c>
      <c r="G108" s="1073"/>
      <c r="H108" s="1073"/>
      <c r="I108" s="1073"/>
      <c r="J108" s="1073"/>
      <c r="K108" s="1073"/>
      <c r="L108" s="1073"/>
      <c r="M108" s="1073"/>
      <c r="N108" s="1073"/>
      <c r="O108" s="1073"/>
      <c r="P108" s="1073"/>
      <c r="Q108" s="1073"/>
      <c r="R108" s="1073"/>
      <c r="S108" s="1073"/>
      <c r="T108" s="1073"/>
      <c r="U108" s="1073"/>
      <c r="V108" s="1073"/>
    </row>
    <row r="109" spans="1:22" s="1072" customFormat="1" ht="18" customHeight="1">
      <c r="A109" s="1095">
        <v>8.1</v>
      </c>
      <c r="B109" s="1070" t="s">
        <v>866</v>
      </c>
      <c r="C109" s="1071" t="s">
        <v>2148</v>
      </c>
      <c r="D109" s="880">
        <v>38.950000000000003</v>
      </c>
      <c r="E109" s="1071" t="s">
        <v>866</v>
      </c>
      <c r="F109" s="1072">
        <f t="shared" ref="F109:F110" si="4">A109*D109</f>
        <v>315.5</v>
      </c>
      <c r="G109" s="1073"/>
      <c r="H109" s="1073"/>
      <c r="I109" s="1073"/>
      <c r="J109" s="1073"/>
      <c r="K109" s="1073"/>
      <c r="L109" s="1073"/>
      <c r="M109" s="1073"/>
      <c r="N109" s="1073"/>
      <c r="O109" s="1073"/>
      <c r="P109" s="1073"/>
      <c r="Q109" s="1073"/>
      <c r="R109" s="1073"/>
      <c r="S109" s="1073"/>
      <c r="T109" s="1073"/>
      <c r="U109" s="1073"/>
      <c r="V109" s="1073"/>
    </row>
    <row r="110" spans="1:22" s="1072" customFormat="1" ht="18" customHeight="1">
      <c r="A110" s="1095">
        <v>30</v>
      </c>
      <c r="B110" s="1070" t="s">
        <v>1763</v>
      </c>
      <c r="C110" s="1071" t="s">
        <v>2149</v>
      </c>
      <c r="D110" s="1070">
        <v>11.2</v>
      </c>
      <c r="E110" s="1071" t="s">
        <v>1763</v>
      </c>
      <c r="F110" s="1072">
        <f t="shared" si="4"/>
        <v>336</v>
      </c>
      <c r="G110" s="1073"/>
      <c r="H110" s="1073"/>
      <c r="I110" s="1073"/>
      <c r="J110" s="1073"/>
      <c r="K110" s="1073"/>
      <c r="L110" s="1073"/>
      <c r="M110" s="1073"/>
      <c r="N110" s="1073"/>
      <c r="O110" s="1073"/>
      <c r="P110" s="1073"/>
      <c r="Q110" s="1073"/>
      <c r="R110" s="1073"/>
      <c r="S110" s="1073"/>
      <c r="T110" s="1073"/>
      <c r="U110" s="1073"/>
      <c r="V110" s="1073"/>
    </row>
    <row r="111" spans="1:22" s="1072" customFormat="1" ht="18" customHeight="1">
      <c r="A111" s="1095"/>
      <c r="B111" s="1070"/>
      <c r="C111" s="1071" t="s">
        <v>1246</v>
      </c>
      <c r="D111" s="1070"/>
      <c r="E111" s="1071"/>
      <c r="G111" s="1073"/>
      <c r="H111" s="1073"/>
      <c r="I111" s="1073"/>
      <c r="J111" s="1073"/>
      <c r="K111" s="1073"/>
      <c r="L111" s="1073"/>
      <c r="M111" s="1073"/>
      <c r="N111" s="1073"/>
      <c r="O111" s="1073"/>
      <c r="P111" s="1073"/>
      <c r="Q111" s="1073"/>
      <c r="R111" s="1073"/>
      <c r="S111" s="1073"/>
      <c r="T111" s="1073"/>
      <c r="U111" s="1073"/>
      <c r="V111" s="1073"/>
    </row>
    <row r="112" spans="1:22" s="1072" customFormat="1" ht="18" customHeight="1">
      <c r="A112" s="1095"/>
      <c r="B112" s="1070"/>
      <c r="C112" s="1071" t="s">
        <v>2151</v>
      </c>
      <c r="D112" s="1070"/>
      <c r="E112" s="1071"/>
      <c r="G112" s="1073"/>
      <c r="H112" s="1073"/>
      <c r="I112" s="1073"/>
      <c r="J112" s="1073"/>
      <c r="K112" s="1073"/>
      <c r="L112" s="1073"/>
      <c r="M112" s="1073"/>
      <c r="N112" s="1073"/>
      <c r="O112" s="1073"/>
      <c r="P112" s="1073"/>
      <c r="Q112" s="1073"/>
      <c r="R112" s="1073"/>
      <c r="S112" s="1073"/>
      <c r="T112" s="1073"/>
      <c r="U112" s="1073"/>
      <c r="V112" s="1073"/>
    </row>
    <row r="113" spans="1:22" s="1072" customFormat="1" ht="18" customHeight="1">
      <c r="A113" s="1095"/>
      <c r="B113" s="1070"/>
      <c r="C113" s="1071" t="s">
        <v>2152</v>
      </c>
      <c r="D113" s="1070"/>
      <c r="E113" s="1071"/>
      <c r="G113" s="1073"/>
      <c r="H113" s="1073"/>
      <c r="I113" s="1073"/>
      <c r="J113" s="1073"/>
      <c r="K113" s="1073"/>
      <c r="L113" s="1073"/>
      <c r="M113" s="1073"/>
      <c r="N113" s="1073"/>
      <c r="O113" s="1073"/>
      <c r="P113" s="1073"/>
      <c r="Q113" s="1073"/>
      <c r="R113" s="1073"/>
      <c r="S113" s="1073"/>
      <c r="T113" s="1073"/>
      <c r="U113" s="1073"/>
      <c r="V113" s="1073"/>
    </row>
    <row r="114" spans="1:22" s="1072" customFormat="1" ht="18" customHeight="1">
      <c r="A114" s="1095"/>
      <c r="B114" s="1070"/>
      <c r="C114" s="1071" t="s">
        <v>2155</v>
      </c>
      <c r="D114" s="1070"/>
      <c r="E114" s="1071"/>
      <c r="G114" s="1073"/>
      <c r="H114" s="1073"/>
      <c r="I114" s="1073"/>
      <c r="J114" s="1073"/>
      <c r="K114" s="1073"/>
      <c r="L114" s="1073"/>
      <c r="M114" s="1073"/>
      <c r="N114" s="1073"/>
      <c r="O114" s="1073"/>
      <c r="P114" s="1073"/>
      <c r="Q114" s="1073"/>
      <c r="R114" s="1073"/>
      <c r="S114" s="1073"/>
      <c r="T114" s="1073"/>
      <c r="U114" s="1073"/>
      <c r="V114" s="1073"/>
    </row>
    <row r="115" spans="1:22" s="1076" customFormat="1" ht="48" customHeight="1">
      <c r="A115" s="1091">
        <v>30</v>
      </c>
      <c r="B115" s="1074" t="s">
        <v>1763</v>
      </c>
      <c r="C115" s="1096" t="s">
        <v>6788</v>
      </c>
      <c r="D115" s="1074">
        <v>133.69999999999999</v>
      </c>
      <c r="E115" s="1074" t="s">
        <v>1763</v>
      </c>
      <c r="F115" s="1092">
        <f>A115*D115</f>
        <v>4011</v>
      </c>
    </row>
    <row r="116" spans="1:22" s="1072" customFormat="1" ht="18" customHeight="1">
      <c r="A116" s="1095">
        <v>8</v>
      </c>
      <c r="B116" s="1070" t="s">
        <v>766</v>
      </c>
      <c r="C116" s="1071" t="s">
        <v>2135</v>
      </c>
      <c r="D116" s="1070">
        <v>10.199999999999999</v>
      </c>
      <c r="E116" s="1071" t="s">
        <v>766</v>
      </c>
      <c r="F116" s="1072">
        <f t="shared" ref="F116:F118" si="5">A116*D116</f>
        <v>81.599999999999994</v>
      </c>
      <c r="G116" s="1073"/>
      <c r="H116" s="1073"/>
      <c r="I116" s="1073"/>
      <c r="J116" s="1073"/>
      <c r="K116" s="1073"/>
      <c r="L116" s="1073"/>
      <c r="M116" s="1073"/>
      <c r="N116" s="1073"/>
      <c r="O116" s="1073"/>
      <c r="P116" s="1073"/>
      <c r="Q116" s="1073"/>
      <c r="R116" s="1073"/>
      <c r="S116" s="1073"/>
      <c r="T116" s="1073"/>
      <c r="U116" s="1073"/>
      <c r="V116" s="1073"/>
    </row>
    <row r="117" spans="1:22" s="1072" customFormat="1" ht="18" customHeight="1">
      <c r="A117" s="1095">
        <v>8</v>
      </c>
      <c r="B117" s="1070" t="s">
        <v>766</v>
      </c>
      <c r="C117" s="1071" t="s">
        <v>464</v>
      </c>
      <c r="D117" s="1070">
        <v>28.5</v>
      </c>
      <c r="E117" s="1071" t="s">
        <v>766</v>
      </c>
      <c r="F117" s="1072">
        <f t="shared" si="5"/>
        <v>228</v>
      </c>
      <c r="G117" s="1073"/>
      <c r="H117" s="1073"/>
      <c r="I117" s="1073"/>
      <c r="J117" s="1073"/>
      <c r="K117" s="1073"/>
      <c r="L117" s="1073"/>
      <c r="M117" s="1073"/>
      <c r="N117" s="1073"/>
      <c r="O117" s="1073"/>
      <c r="P117" s="1073"/>
      <c r="Q117" s="1073"/>
      <c r="R117" s="1073"/>
      <c r="S117" s="1073"/>
      <c r="T117" s="1073"/>
      <c r="U117" s="1073"/>
      <c r="V117" s="1073"/>
    </row>
    <row r="118" spans="1:22" s="1072" customFormat="1" ht="18" customHeight="1">
      <c r="A118" s="1095">
        <v>1</v>
      </c>
      <c r="B118" s="1070" t="s">
        <v>446</v>
      </c>
      <c r="C118" s="1071" t="s">
        <v>1676</v>
      </c>
      <c r="D118" s="1070">
        <v>4</v>
      </c>
      <c r="E118" s="1071" t="s">
        <v>446</v>
      </c>
      <c r="F118" s="1072">
        <f t="shared" si="5"/>
        <v>4</v>
      </c>
      <c r="G118" s="1073"/>
      <c r="H118" s="1073"/>
      <c r="I118" s="1073"/>
      <c r="J118" s="1073"/>
      <c r="K118" s="1073"/>
      <c r="L118" s="1073"/>
      <c r="M118" s="1073"/>
      <c r="N118" s="1073"/>
      <c r="O118" s="1073"/>
      <c r="P118" s="1073"/>
      <c r="Q118" s="1073"/>
      <c r="R118" s="1073"/>
      <c r="S118" s="1073"/>
      <c r="T118" s="1073"/>
      <c r="U118" s="1073"/>
      <c r="V118" s="1073"/>
    </row>
    <row r="119" spans="1:22" s="1072" customFormat="1" ht="18" customHeight="1">
      <c r="A119" s="1095">
        <v>1</v>
      </c>
      <c r="B119" s="1070" t="s">
        <v>446</v>
      </c>
      <c r="C119" s="1071" t="s">
        <v>447</v>
      </c>
      <c r="D119" s="1070"/>
      <c r="E119" s="1071" t="s">
        <v>446</v>
      </c>
      <c r="F119" s="1072">
        <v>0</v>
      </c>
      <c r="G119" s="1073"/>
      <c r="H119" s="1073"/>
      <c r="I119" s="1073"/>
      <c r="J119" s="1073"/>
      <c r="K119" s="1073"/>
      <c r="L119" s="1073"/>
      <c r="M119" s="1073"/>
      <c r="N119" s="1073"/>
      <c r="O119" s="1073"/>
      <c r="P119" s="1073"/>
      <c r="Q119" s="1073"/>
      <c r="R119" s="1073"/>
      <c r="S119" s="1073"/>
      <c r="T119" s="1073"/>
      <c r="U119" s="1073"/>
      <c r="V119" s="1073"/>
    </row>
    <row r="120" spans="1:22" s="1072" customFormat="1" ht="18" customHeight="1">
      <c r="A120" s="1069"/>
      <c r="B120" s="1070"/>
      <c r="C120" s="1071"/>
      <c r="D120" s="1070"/>
      <c r="E120" s="1071"/>
      <c r="F120" s="1072" t="s">
        <v>1579</v>
      </c>
      <c r="G120" s="1073"/>
      <c r="H120" s="1073"/>
      <c r="I120" s="1073"/>
      <c r="J120" s="1073"/>
      <c r="K120" s="1073"/>
      <c r="L120" s="1073"/>
      <c r="M120" s="1073"/>
      <c r="N120" s="1073"/>
      <c r="O120" s="1073"/>
      <c r="P120" s="1073"/>
      <c r="Q120" s="1073"/>
      <c r="R120" s="1073"/>
      <c r="S120" s="1073"/>
      <c r="T120" s="1073"/>
      <c r="U120" s="1073"/>
      <c r="V120" s="1073"/>
    </row>
    <row r="121" spans="1:22" s="1072" customFormat="1" ht="18" customHeight="1">
      <c r="A121" s="1069"/>
      <c r="B121" s="1070"/>
      <c r="C121" s="1071" t="s">
        <v>1537</v>
      </c>
      <c r="D121" s="1070"/>
      <c r="E121" s="1071"/>
      <c r="F121" s="1072">
        <f>SUM(F107:F120)</f>
        <v>6791.31</v>
      </c>
      <c r="G121" s="1073"/>
      <c r="H121" s="1073"/>
      <c r="I121" s="1073"/>
      <c r="J121" s="1073"/>
      <c r="K121" s="1073"/>
      <c r="L121" s="1073"/>
      <c r="M121" s="1073"/>
      <c r="N121" s="1073"/>
      <c r="O121" s="1073"/>
      <c r="P121" s="1073"/>
      <c r="Q121" s="1073"/>
      <c r="R121" s="1073"/>
      <c r="S121" s="1073"/>
      <c r="T121" s="1073"/>
      <c r="U121" s="1073"/>
      <c r="V121" s="1073"/>
    </row>
    <row r="122" spans="1:22" s="1072" customFormat="1" ht="18" customHeight="1">
      <c r="A122" s="1069"/>
      <c r="B122" s="1070"/>
      <c r="C122" s="1071"/>
      <c r="D122" s="1070"/>
      <c r="E122" s="1071"/>
      <c r="F122" s="1072" t="s">
        <v>1579</v>
      </c>
      <c r="G122" s="1073"/>
      <c r="H122" s="1073"/>
      <c r="I122" s="1073"/>
      <c r="J122" s="1073"/>
      <c r="K122" s="1073"/>
      <c r="L122" s="1073"/>
      <c r="M122" s="1073"/>
      <c r="N122" s="1073"/>
      <c r="O122" s="1073"/>
      <c r="P122" s="1073"/>
      <c r="Q122" s="1073"/>
      <c r="R122" s="1073"/>
      <c r="S122" s="1073"/>
      <c r="T122" s="1073"/>
      <c r="U122" s="1073"/>
      <c r="V122" s="1073"/>
    </row>
    <row r="123" spans="1:22" s="1072" customFormat="1" ht="18" customHeight="1">
      <c r="A123" s="1069"/>
      <c r="B123" s="1070"/>
      <c r="C123" s="1071" t="s">
        <v>1538</v>
      </c>
      <c r="D123" s="1070"/>
      <c r="E123" s="1071"/>
      <c r="F123" s="1097">
        <f>F121/30</f>
        <v>226.38</v>
      </c>
      <c r="G123" s="1073"/>
      <c r="H123" s="1073"/>
      <c r="I123" s="1073"/>
      <c r="J123" s="1073"/>
      <c r="K123" s="1073"/>
      <c r="L123" s="1073"/>
      <c r="M123" s="1073"/>
      <c r="N123" s="1073"/>
      <c r="O123" s="1073"/>
      <c r="P123" s="1073"/>
      <c r="Q123" s="1073"/>
      <c r="R123" s="1073"/>
      <c r="S123" s="1073"/>
      <c r="T123" s="1073"/>
      <c r="U123" s="1073"/>
      <c r="V123" s="1073"/>
    </row>
    <row r="124" spans="1:22" s="1072" customFormat="1" ht="18" customHeight="1">
      <c r="A124" s="1069"/>
      <c r="B124" s="1070"/>
      <c r="C124" s="1071"/>
      <c r="D124" s="1070"/>
      <c r="E124" s="1071"/>
      <c r="G124" s="1073"/>
      <c r="H124" s="1073"/>
      <c r="I124" s="1073"/>
      <c r="J124" s="1073"/>
      <c r="K124" s="1073"/>
      <c r="L124" s="1073"/>
      <c r="M124" s="1073"/>
      <c r="N124" s="1073"/>
      <c r="O124" s="1073"/>
      <c r="P124" s="1073"/>
      <c r="Q124" s="1073"/>
      <c r="R124" s="1073"/>
      <c r="S124" s="1073"/>
      <c r="T124" s="1073"/>
      <c r="U124" s="1073"/>
      <c r="V124" s="1073"/>
    </row>
    <row r="125" spans="1:22" s="1080" customFormat="1" ht="98.25" customHeight="1">
      <c r="A125" s="1077"/>
      <c r="B125" s="880"/>
      <c r="C125" s="1085" t="s">
        <v>6778</v>
      </c>
      <c r="D125" s="880"/>
      <c r="E125" s="1079"/>
      <c r="F125" s="1077"/>
    </row>
    <row r="126" spans="1:22" s="1080" customFormat="1" ht="22.5" customHeight="1">
      <c r="A126" s="1077">
        <v>3</v>
      </c>
      <c r="B126" s="880" t="s">
        <v>1389</v>
      </c>
      <c r="C126" s="1085" t="s">
        <v>4975</v>
      </c>
      <c r="D126" s="880">
        <v>190.2</v>
      </c>
      <c r="E126" s="1079" t="s">
        <v>1393</v>
      </c>
      <c r="F126" s="1077">
        <v>570.6</v>
      </c>
    </row>
    <row r="127" spans="1:22" s="1080" customFormat="1" ht="22.5" customHeight="1">
      <c r="A127" s="1077">
        <v>1</v>
      </c>
      <c r="B127" s="880" t="s">
        <v>1389</v>
      </c>
      <c r="C127" s="1085" t="s">
        <v>3165</v>
      </c>
      <c r="D127" s="880">
        <v>62.57</v>
      </c>
      <c r="E127" s="1079" t="s">
        <v>1389</v>
      </c>
      <c r="F127" s="1077">
        <v>62.57</v>
      </c>
    </row>
    <row r="128" spans="1:22" s="1080" customFormat="1" ht="22.5" customHeight="1">
      <c r="A128" s="1077"/>
      <c r="B128" s="880"/>
      <c r="C128" s="1085" t="s">
        <v>911</v>
      </c>
      <c r="D128" s="880"/>
      <c r="E128" s="1079"/>
      <c r="F128" s="1077">
        <v>500.63</v>
      </c>
    </row>
    <row r="129" spans="1:6" s="1080" customFormat="1" ht="22.5" customHeight="1">
      <c r="A129" s="1077"/>
      <c r="B129" s="880"/>
      <c r="C129" s="1085" t="s">
        <v>2700</v>
      </c>
      <c r="D129" s="1077" t="s">
        <v>654</v>
      </c>
      <c r="E129" s="1079"/>
      <c r="F129" s="1077">
        <v>6.2</v>
      </c>
    </row>
    <row r="130" spans="1:6" s="1080" customFormat="1" ht="22.5" customHeight="1">
      <c r="A130" s="1077"/>
      <c r="B130" s="880"/>
      <c r="C130" s="1085" t="s">
        <v>1058</v>
      </c>
      <c r="D130" s="880"/>
      <c r="E130" s="1079"/>
      <c r="F130" s="1110">
        <v>1140</v>
      </c>
    </row>
    <row r="131" spans="1:6" s="1080" customFormat="1" ht="22.5" customHeight="1">
      <c r="A131" s="1077"/>
      <c r="B131" s="880"/>
      <c r="C131" s="1085"/>
      <c r="D131" s="880"/>
      <c r="E131" s="1079"/>
      <c r="F131" s="1077"/>
    </row>
    <row r="132" spans="1:6" s="1080" customFormat="1" ht="22.5" customHeight="1">
      <c r="A132" s="1077"/>
      <c r="B132" s="880"/>
      <c r="C132" s="1085" t="s">
        <v>3165</v>
      </c>
      <c r="D132" s="880">
        <v>104280</v>
      </c>
      <c r="E132" s="1079">
        <v>0</v>
      </c>
      <c r="F132" s="1077">
        <v>62.57</v>
      </c>
    </row>
    <row r="133" spans="1:6" s="1080" customFormat="1" ht="22.5" customHeight="1">
      <c r="A133" s="1077"/>
      <c r="B133" s="880"/>
      <c r="C133" s="1085"/>
      <c r="D133" s="880"/>
      <c r="E133" s="1079"/>
      <c r="F133" s="1077"/>
    </row>
    <row r="134" spans="1:6" s="1080" customFormat="1" ht="22.5" customHeight="1">
      <c r="A134" s="1077"/>
      <c r="B134" s="880"/>
      <c r="C134" s="1085" t="s">
        <v>140</v>
      </c>
      <c r="D134" s="880"/>
      <c r="E134" s="1079"/>
      <c r="F134" s="1077"/>
    </row>
    <row r="135" spans="1:6" s="1080" customFormat="1" ht="22.5" customHeight="1">
      <c r="A135" s="1077">
        <v>1</v>
      </c>
      <c r="B135" s="880" t="s">
        <v>1389</v>
      </c>
      <c r="C135" s="1085" t="s">
        <v>2744</v>
      </c>
      <c r="D135" s="880">
        <v>783</v>
      </c>
      <c r="E135" s="1079" t="s">
        <v>1389</v>
      </c>
      <c r="F135" s="1077">
        <v>783</v>
      </c>
    </row>
    <row r="136" spans="1:6" s="1080" customFormat="1" ht="22.5" customHeight="1">
      <c r="A136" s="1077">
        <v>1</v>
      </c>
      <c r="B136" s="880" t="s">
        <v>1389</v>
      </c>
      <c r="C136" s="1085" t="s">
        <v>2575</v>
      </c>
      <c r="D136" s="880">
        <v>778</v>
      </c>
      <c r="E136" s="1079" t="s">
        <v>1389</v>
      </c>
      <c r="F136" s="1077">
        <v>778</v>
      </c>
    </row>
    <row r="137" spans="1:6" s="1080" customFormat="1" ht="22.5" customHeight="1">
      <c r="A137" s="1077">
        <v>4</v>
      </c>
      <c r="B137" s="880" t="s">
        <v>1389</v>
      </c>
      <c r="C137" s="1085" t="s">
        <v>2321</v>
      </c>
      <c r="D137" s="880">
        <v>611</v>
      </c>
      <c r="E137" s="1079" t="s">
        <v>1389</v>
      </c>
      <c r="F137" s="1077">
        <v>2444</v>
      </c>
    </row>
    <row r="138" spans="1:6" s="1080" customFormat="1" ht="22.5" customHeight="1">
      <c r="A138" s="1077"/>
      <c r="B138" s="880"/>
      <c r="C138" s="1085" t="s">
        <v>2650</v>
      </c>
      <c r="D138" s="880"/>
      <c r="E138" s="1079"/>
      <c r="F138" s="1077">
        <v>4005</v>
      </c>
    </row>
    <row r="139" spans="1:6" s="1080" customFormat="1" ht="22.5" customHeight="1">
      <c r="A139" s="1077"/>
      <c r="B139" s="880"/>
      <c r="C139" s="1085" t="s">
        <v>2864</v>
      </c>
      <c r="D139" s="880"/>
      <c r="E139" s="1079"/>
      <c r="F139" s="1077">
        <v>500.63</v>
      </c>
    </row>
    <row r="140" spans="1:6" s="1080" customFormat="1" ht="22.5" customHeight="1">
      <c r="A140" s="1077"/>
      <c r="B140" s="880"/>
      <c r="C140" s="1085"/>
      <c r="D140" s="880"/>
      <c r="E140" s="1079"/>
      <c r="F140" s="1077"/>
    </row>
    <row r="141" spans="1:6" s="1080" customFormat="1" ht="88.5" customHeight="1">
      <c r="A141" s="880"/>
      <c r="B141" s="880"/>
      <c r="C141" s="1318" t="s">
        <v>6779</v>
      </c>
      <c r="D141" s="1318"/>
      <c r="E141" s="880"/>
      <c r="F141" s="1077"/>
    </row>
    <row r="142" spans="1:6" s="1080" customFormat="1" ht="60.75" customHeight="1">
      <c r="A142" s="880">
        <v>1</v>
      </c>
      <c r="B142" s="880" t="s">
        <v>1389</v>
      </c>
      <c r="C142" s="1138" t="s">
        <v>6907</v>
      </c>
      <c r="D142" s="1086">
        <v>2866</v>
      </c>
      <c r="E142" s="880" t="s">
        <v>1389</v>
      </c>
      <c r="F142" s="1077">
        <f>D142*A142</f>
        <v>2866</v>
      </c>
    </row>
    <row r="143" spans="1:6" s="1080" customFormat="1" ht="60" customHeight="1">
      <c r="A143" s="880">
        <v>1</v>
      </c>
      <c r="B143" s="880" t="s">
        <v>1389</v>
      </c>
      <c r="C143" s="1083" t="s">
        <v>4628</v>
      </c>
      <c r="D143" s="880">
        <v>159.69999999999999</v>
      </c>
      <c r="E143" s="880" t="s">
        <v>1389</v>
      </c>
      <c r="F143" s="1077">
        <f>D143*A143</f>
        <v>159.69999999999999</v>
      </c>
    </row>
    <row r="144" spans="1:6" s="1080" customFormat="1" ht="22.5" customHeight="1">
      <c r="A144" s="880"/>
      <c r="B144" s="880"/>
      <c r="C144" s="1083" t="s">
        <v>2587</v>
      </c>
      <c r="D144" s="880"/>
      <c r="E144" s="880"/>
      <c r="F144" s="1077">
        <v>14</v>
      </c>
    </row>
    <row r="145" spans="1:6" s="1080" customFormat="1" ht="22.5" customHeight="1">
      <c r="A145" s="880"/>
      <c r="B145" s="880"/>
      <c r="C145" s="1083" t="s">
        <v>911</v>
      </c>
      <c r="D145" s="880"/>
      <c r="E145" s="880"/>
      <c r="F145" s="1077">
        <v>668.33</v>
      </c>
    </row>
    <row r="146" spans="1:6" s="1080" customFormat="1" ht="22.5" customHeight="1" thickBot="1">
      <c r="A146" s="880"/>
      <c r="B146" s="880"/>
      <c r="C146" s="1083" t="s">
        <v>1058</v>
      </c>
      <c r="D146" s="880"/>
      <c r="E146" s="880"/>
      <c r="F146" s="1111">
        <f>SUM(F142:F145)</f>
        <v>3708.03</v>
      </c>
    </row>
    <row r="147" spans="1:6" s="1080" customFormat="1" ht="22.5" customHeight="1">
      <c r="A147" s="880"/>
      <c r="B147" s="880"/>
      <c r="C147" s="1083"/>
      <c r="D147" s="880"/>
      <c r="E147" s="880"/>
      <c r="F147" s="1077"/>
    </row>
    <row r="148" spans="1:6" s="1080" customFormat="1" ht="22.5" customHeight="1">
      <c r="A148" s="880"/>
      <c r="B148" s="880"/>
      <c r="C148" s="1083" t="s">
        <v>911</v>
      </c>
      <c r="D148" s="880"/>
      <c r="E148" s="880"/>
      <c r="F148" s="1077"/>
    </row>
    <row r="149" spans="1:6" s="1080" customFormat="1" ht="22.5" customHeight="1">
      <c r="A149" s="880">
        <v>1</v>
      </c>
      <c r="B149" s="880" t="s">
        <v>1389</v>
      </c>
      <c r="C149" s="1083" t="s">
        <v>2588</v>
      </c>
      <c r="D149" s="880">
        <v>826</v>
      </c>
      <c r="E149" s="880" t="s">
        <v>1389</v>
      </c>
      <c r="F149" s="1077">
        <v>783</v>
      </c>
    </row>
    <row r="150" spans="1:6" s="1080" customFormat="1" ht="22.5" customHeight="1">
      <c r="A150" s="880">
        <v>2</v>
      </c>
      <c r="B150" s="880" t="s">
        <v>1389</v>
      </c>
      <c r="C150" s="1083" t="s">
        <v>3054</v>
      </c>
      <c r="D150" s="880">
        <v>644</v>
      </c>
      <c r="E150" s="880" t="s">
        <v>1389</v>
      </c>
      <c r="F150" s="1077">
        <v>1222</v>
      </c>
    </row>
    <row r="151" spans="1:6" s="1080" customFormat="1" ht="22.5" customHeight="1">
      <c r="A151" s="880"/>
      <c r="B151" s="880"/>
      <c r="C151" s="1083" t="s">
        <v>3056</v>
      </c>
      <c r="D151" s="880"/>
      <c r="E151" s="880"/>
      <c r="F151" s="1077">
        <v>2005</v>
      </c>
    </row>
    <row r="152" spans="1:6" s="1080" customFormat="1" ht="22.5" customHeight="1">
      <c r="A152" s="880"/>
      <c r="B152" s="880"/>
      <c r="C152" s="1083" t="s">
        <v>2770</v>
      </c>
      <c r="D152" s="880"/>
      <c r="E152" s="880"/>
      <c r="F152" s="1077">
        <v>668.33</v>
      </c>
    </row>
    <row r="153" spans="1:6" s="1080" customFormat="1" ht="22.5" customHeight="1">
      <c r="A153" s="880"/>
      <c r="B153" s="880"/>
      <c r="C153" s="1083"/>
      <c r="D153" s="880"/>
      <c r="E153" s="880"/>
      <c r="F153" s="1077"/>
    </row>
    <row r="154" spans="1:6" s="1100" customFormat="1" ht="40.5" customHeight="1">
      <c r="A154" s="1316" t="s">
        <v>6780</v>
      </c>
      <c r="B154" s="1316"/>
      <c r="C154" s="1316"/>
      <c r="D154" s="1316"/>
      <c r="E154" s="1316"/>
      <c r="F154" s="1316"/>
    </row>
    <row r="155" spans="1:6" s="1100" customFormat="1" ht="100.5" customHeight="1">
      <c r="A155" s="1312" t="s">
        <v>6781</v>
      </c>
      <c r="B155" s="1312"/>
      <c r="C155" s="1312"/>
      <c r="D155" s="1312"/>
      <c r="E155" s="1312"/>
      <c r="F155" s="1312"/>
    </row>
    <row r="156" spans="1:6" s="1100" customFormat="1" ht="55.5" customHeight="1">
      <c r="A156" s="1101">
        <v>1</v>
      </c>
      <c r="B156" s="1102" t="s">
        <v>1389</v>
      </c>
      <c r="C156" s="1103" t="s">
        <v>6908</v>
      </c>
      <c r="D156" s="1104">
        <v>6960</v>
      </c>
      <c r="E156" s="1105" t="s">
        <v>1389</v>
      </c>
      <c r="F156" s="1112">
        <f t="shared" ref="F156:F161" si="6">A156*D156</f>
        <v>6960</v>
      </c>
    </row>
    <row r="157" spans="1:6" s="1100" customFormat="1" ht="46.5" customHeight="1">
      <c r="A157" s="1101">
        <v>3</v>
      </c>
      <c r="B157" s="1102" t="s">
        <v>1427</v>
      </c>
      <c r="C157" s="1103" t="s">
        <v>6782</v>
      </c>
      <c r="D157" s="1106">
        <v>975</v>
      </c>
      <c r="E157" s="1105" t="s">
        <v>1427</v>
      </c>
      <c r="F157" s="1112">
        <f t="shared" si="6"/>
        <v>2925</v>
      </c>
    </row>
    <row r="158" spans="1:6" s="1100" customFormat="1" ht="47.25" customHeight="1">
      <c r="A158" s="1101">
        <v>2</v>
      </c>
      <c r="B158" s="1102" t="s">
        <v>1427</v>
      </c>
      <c r="C158" s="1103" t="s">
        <v>6909</v>
      </c>
      <c r="D158" s="1104">
        <v>128</v>
      </c>
      <c r="E158" s="1105" t="s">
        <v>1427</v>
      </c>
      <c r="F158" s="1112">
        <f t="shared" si="6"/>
        <v>256</v>
      </c>
    </row>
    <row r="159" spans="1:6" s="1100" customFormat="1" ht="42" customHeight="1">
      <c r="A159" s="1101">
        <v>2</v>
      </c>
      <c r="B159" s="1102" t="s">
        <v>1427</v>
      </c>
      <c r="C159" s="1103" t="s">
        <v>6910</v>
      </c>
      <c r="D159" s="1104">
        <f>+D158</f>
        <v>128</v>
      </c>
      <c r="E159" s="1105" t="s">
        <v>1427</v>
      </c>
      <c r="F159" s="1112">
        <f t="shared" si="6"/>
        <v>256</v>
      </c>
    </row>
    <row r="160" spans="1:6" s="1100" customFormat="1" ht="42" customHeight="1">
      <c r="A160" s="1101">
        <v>4</v>
      </c>
      <c r="B160" s="1102" t="s">
        <v>1427</v>
      </c>
      <c r="C160" s="1103" t="s">
        <v>6911</v>
      </c>
      <c r="D160" s="1104">
        <f>+D158</f>
        <v>128</v>
      </c>
      <c r="E160" s="1105" t="s">
        <v>1427</v>
      </c>
      <c r="F160" s="1112">
        <f t="shared" si="6"/>
        <v>512</v>
      </c>
    </row>
    <row r="161" spans="1:48" s="1100" customFormat="1" ht="42" customHeight="1">
      <c r="A161" s="1101">
        <v>1</v>
      </c>
      <c r="B161" s="1102" t="s">
        <v>1427</v>
      </c>
      <c r="C161" s="1103" t="s">
        <v>6912</v>
      </c>
      <c r="D161" s="1104">
        <v>1919</v>
      </c>
      <c r="E161" s="1105" t="s">
        <v>1389</v>
      </c>
      <c r="F161" s="1112">
        <f t="shared" si="6"/>
        <v>1919</v>
      </c>
    </row>
    <row r="162" spans="1:48" s="1100" customFormat="1" ht="42" customHeight="1">
      <c r="A162" s="1101"/>
      <c r="B162" s="1102"/>
      <c r="C162" s="1103" t="s">
        <v>3378</v>
      </c>
      <c r="D162" s="1105"/>
      <c r="E162" s="1105"/>
      <c r="F162" s="1112">
        <v>20</v>
      </c>
    </row>
    <row r="163" spans="1:48" s="1100" customFormat="1" ht="24.75" customHeight="1">
      <c r="A163" s="1102"/>
      <c r="B163" s="1102"/>
      <c r="C163" s="1103" t="s">
        <v>911</v>
      </c>
      <c r="D163" s="1105"/>
      <c r="E163" s="1105"/>
      <c r="F163" s="1112">
        <f>+F172</f>
        <v>950.67</v>
      </c>
    </row>
    <row r="164" spans="1:48" s="1100" customFormat="1" ht="24.75" customHeight="1">
      <c r="A164" s="1102"/>
      <c r="B164" s="1102"/>
      <c r="C164" s="1102" t="s">
        <v>1058</v>
      </c>
      <c r="D164" s="1105"/>
      <c r="E164" s="1105"/>
      <c r="F164" s="1112">
        <f>SUM(F156:F163)</f>
        <v>13798.67</v>
      </c>
    </row>
    <row r="165" spans="1:48" s="1100" customFormat="1" ht="24.75" customHeight="1">
      <c r="A165" s="1102"/>
      <c r="B165" s="1102"/>
      <c r="C165" s="1107" t="s">
        <v>6783</v>
      </c>
      <c r="D165" s="1105"/>
      <c r="E165" s="1105"/>
      <c r="F165" s="1113">
        <v>13800</v>
      </c>
    </row>
    <row r="166" spans="1:48" s="1100" customFormat="1" ht="24.75" customHeight="1">
      <c r="A166" s="1102"/>
      <c r="B166" s="1102"/>
      <c r="C166" s="1102" t="s">
        <v>3363</v>
      </c>
      <c r="D166" s="1105"/>
      <c r="E166" s="1105"/>
      <c r="F166" s="1114"/>
    </row>
    <row r="167" spans="1:48" s="1100" customFormat="1" ht="24.75" customHeight="1">
      <c r="A167" s="1102"/>
      <c r="B167" s="1102"/>
      <c r="C167" s="1102" t="s">
        <v>911</v>
      </c>
      <c r="D167" s="1105"/>
      <c r="E167" s="1105"/>
      <c r="F167" s="1114"/>
    </row>
    <row r="168" spans="1:48" s="1100" customFormat="1" ht="24.75" customHeight="1">
      <c r="A168" s="1101">
        <v>1</v>
      </c>
      <c r="B168" s="1102" t="s">
        <v>1389</v>
      </c>
      <c r="C168" s="1102" t="s">
        <v>2588</v>
      </c>
      <c r="D168" s="1104">
        <v>826</v>
      </c>
      <c r="E168" s="1105" t="s">
        <v>1389</v>
      </c>
      <c r="F168" s="1112">
        <f>A168*D168</f>
        <v>826</v>
      </c>
    </row>
    <row r="169" spans="1:48" s="1100" customFormat="1" ht="24.75" customHeight="1">
      <c r="A169" s="1101">
        <v>0.9</v>
      </c>
      <c r="B169" s="1102" t="s">
        <v>1389</v>
      </c>
      <c r="C169" s="1102" t="s">
        <v>6784</v>
      </c>
      <c r="D169" s="1104">
        <v>820</v>
      </c>
      <c r="E169" s="1105" t="s">
        <v>1389</v>
      </c>
      <c r="F169" s="1112">
        <f>A169*D169</f>
        <v>738</v>
      </c>
    </row>
    <row r="170" spans="1:48" s="1100" customFormat="1" ht="24.75" customHeight="1">
      <c r="A170" s="1101">
        <v>2</v>
      </c>
      <c r="B170" s="1102" t="s">
        <v>1389</v>
      </c>
      <c r="C170" s="1102" t="s">
        <v>6785</v>
      </c>
      <c r="D170" s="1104">
        <v>644</v>
      </c>
      <c r="E170" s="1105" t="s">
        <v>1389</v>
      </c>
      <c r="F170" s="1112">
        <f>A170*D170</f>
        <v>1288</v>
      </c>
    </row>
    <row r="171" spans="1:48" s="1100" customFormat="1" ht="24.75" customHeight="1">
      <c r="A171" s="1102"/>
      <c r="B171" s="1102"/>
      <c r="C171" s="1102" t="s">
        <v>3056</v>
      </c>
      <c r="D171" s="1105"/>
      <c r="E171" s="1105"/>
      <c r="F171" s="1112">
        <f>SUM(F168:F170)</f>
        <v>2852</v>
      </c>
    </row>
    <row r="172" spans="1:48" s="1100" customFormat="1" ht="24.75" customHeight="1">
      <c r="A172" s="1102"/>
      <c r="B172" s="1102"/>
      <c r="C172" s="1102" t="s">
        <v>2770</v>
      </c>
      <c r="D172" s="1105"/>
      <c r="E172" s="1105"/>
      <c r="F172" s="1115">
        <f>F171/3</f>
        <v>950.67</v>
      </c>
    </row>
    <row r="173" spans="1:48" s="1098" customFormat="1" ht="16.5">
      <c r="C173" s="1099"/>
      <c r="F173" s="1116"/>
    </row>
    <row r="174" spans="1:48" s="880" customFormat="1" ht="16.5">
      <c r="F174" s="1077"/>
    </row>
    <row r="175" spans="1:48" s="1108" customFormat="1" ht="57.75" customHeight="1">
      <c r="A175" s="1076"/>
      <c r="B175" s="1311" t="s">
        <v>7074</v>
      </c>
      <c r="C175" s="1311"/>
      <c r="D175" s="1311"/>
      <c r="E175" s="1311"/>
      <c r="F175" s="1076"/>
      <c r="G175" s="1063"/>
      <c r="H175" s="1063"/>
      <c r="I175" s="1063"/>
      <c r="J175" s="1063"/>
      <c r="K175" s="1063"/>
      <c r="L175" s="1063"/>
      <c r="M175" s="1063"/>
      <c r="N175" s="1063"/>
      <c r="O175" s="1063"/>
      <c r="P175" s="1063"/>
      <c r="Q175" s="1063"/>
      <c r="R175" s="1063"/>
      <c r="S175" s="1063"/>
      <c r="T175" s="1063"/>
      <c r="U175" s="1063"/>
      <c r="V175" s="1063"/>
      <c r="W175" s="1063"/>
      <c r="X175" s="1063"/>
      <c r="Y175" s="1063"/>
      <c r="Z175" s="1063"/>
      <c r="AA175" s="1063"/>
      <c r="AB175" s="1063"/>
      <c r="AC175" s="1063"/>
      <c r="AD175" s="1063"/>
      <c r="AE175" s="1063"/>
      <c r="AF175" s="1063"/>
      <c r="AG175" s="1063"/>
      <c r="AH175" s="1063"/>
      <c r="AI175" s="1063"/>
      <c r="AJ175" s="1063"/>
      <c r="AK175" s="1063"/>
      <c r="AL175" s="1063"/>
      <c r="AM175" s="1063"/>
      <c r="AN175" s="1063"/>
      <c r="AO175" s="1063"/>
      <c r="AP175" s="1063"/>
      <c r="AQ175" s="1063"/>
      <c r="AR175" s="1063"/>
      <c r="AS175" s="1063"/>
      <c r="AT175" s="1063"/>
      <c r="AU175" s="1063"/>
      <c r="AV175" s="1063"/>
    </row>
    <row r="176" spans="1:48" s="1108" customFormat="1" ht="24" customHeight="1">
      <c r="A176" s="1076"/>
      <c r="B176" s="1219"/>
      <c r="C176" s="1219"/>
      <c r="D176" s="1219"/>
      <c r="E176" s="1219"/>
      <c r="F176" s="1076"/>
      <c r="G176" s="1063"/>
      <c r="H176" s="1063"/>
      <c r="I176" s="1063"/>
      <c r="J176" s="1063"/>
      <c r="K176" s="1063"/>
      <c r="L176" s="1063"/>
      <c r="M176" s="1063"/>
      <c r="N176" s="1063"/>
      <c r="O176" s="1063"/>
      <c r="P176" s="1063"/>
      <c r="Q176" s="1063"/>
      <c r="R176" s="1063"/>
      <c r="S176" s="1063"/>
      <c r="T176" s="1063"/>
      <c r="U176" s="1063"/>
      <c r="V176" s="1063"/>
      <c r="W176" s="1063"/>
      <c r="X176" s="1063"/>
      <c r="Y176" s="1063"/>
      <c r="Z176" s="1063"/>
      <c r="AA176" s="1063"/>
      <c r="AB176" s="1063"/>
      <c r="AC176" s="1063"/>
      <c r="AD176" s="1063"/>
      <c r="AE176" s="1063"/>
      <c r="AF176" s="1063"/>
      <c r="AG176" s="1063"/>
      <c r="AH176" s="1063"/>
      <c r="AI176" s="1063"/>
      <c r="AJ176" s="1063"/>
      <c r="AK176" s="1063"/>
      <c r="AL176" s="1063"/>
      <c r="AM176" s="1063"/>
      <c r="AN176" s="1063"/>
      <c r="AO176" s="1063"/>
      <c r="AP176" s="1063"/>
      <c r="AQ176" s="1063"/>
      <c r="AR176" s="1063"/>
      <c r="AS176" s="1063"/>
      <c r="AT176" s="1063"/>
      <c r="AU176" s="1063"/>
      <c r="AV176" s="1063"/>
    </row>
    <row r="177" spans="1:48" s="1108" customFormat="1" ht="24" customHeight="1">
      <c r="A177" s="1076"/>
      <c r="B177" s="1219"/>
      <c r="C177" s="1219"/>
      <c r="D177" s="1219"/>
      <c r="E177" s="1219"/>
      <c r="F177" s="1076"/>
      <c r="G177" s="1063"/>
      <c r="H177" s="1063"/>
      <c r="I177" s="1063"/>
      <c r="J177" s="1063"/>
      <c r="K177" s="1063"/>
      <c r="L177" s="1063"/>
      <c r="M177" s="1063"/>
      <c r="N177" s="1063"/>
      <c r="O177" s="1063"/>
      <c r="P177" s="1063"/>
      <c r="Q177" s="1063"/>
      <c r="R177" s="1063"/>
      <c r="S177" s="1063"/>
      <c r="T177" s="1063"/>
      <c r="U177" s="1063"/>
      <c r="V177" s="1063"/>
      <c r="W177" s="1063"/>
      <c r="X177" s="1063"/>
      <c r="Y177" s="1063"/>
      <c r="Z177" s="1063"/>
      <c r="AA177" s="1063"/>
      <c r="AB177" s="1063"/>
      <c r="AC177" s="1063"/>
      <c r="AD177" s="1063"/>
      <c r="AE177" s="1063"/>
      <c r="AF177" s="1063"/>
      <c r="AG177" s="1063"/>
      <c r="AH177" s="1063"/>
      <c r="AI177" s="1063"/>
      <c r="AJ177" s="1063"/>
      <c r="AK177" s="1063"/>
      <c r="AL177" s="1063"/>
      <c r="AM177" s="1063"/>
      <c r="AN177" s="1063"/>
      <c r="AO177" s="1063"/>
      <c r="AP177" s="1063"/>
      <c r="AQ177" s="1063"/>
      <c r="AR177" s="1063"/>
      <c r="AS177" s="1063"/>
      <c r="AT177" s="1063"/>
      <c r="AU177" s="1063"/>
      <c r="AV177" s="1063"/>
    </row>
    <row r="178" spans="1:48" s="1108" customFormat="1" ht="27.75" customHeight="1">
      <c r="A178" s="1076"/>
      <c r="B178" s="1074"/>
      <c r="C178" s="1109" t="s">
        <v>6913</v>
      </c>
      <c r="D178" s="1166" t="s">
        <v>6914</v>
      </c>
      <c r="F178" s="1076"/>
      <c r="G178" s="1063"/>
      <c r="H178" s="1063"/>
      <c r="I178" s="1063"/>
      <c r="J178" s="1063"/>
      <c r="K178" s="1063"/>
      <c r="L178" s="1063"/>
      <c r="M178" s="1063"/>
      <c r="N178" s="1063"/>
      <c r="O178" s="1063"/>
      <c r="P178" s="1063"/>
      <c r="Q178" s="1063"/>
      <c r="R178" s="1063"/>
      <c r="S178" s="1063"/>
      <c r="T178" s="1063"/>
      <c r="U178" s="1063"/>
      <c r="V178" s="1063"/>
      <c r="W178" s="1063"/>
      <c r="X178" s="1063"/>
      <c r="Y178" s="1063"/>
      <c r="Z178" s="1063"/>
      <c r="AA178" s="1063"/>
      <c r="AB178" s="1063"/>
      <c r="AC178" s="1063"/>
      <c r="AD178" s="1063"/>
      <c r="AE178" s="1063"/>
      <c r="AF178" s="1063"/>
      <c r="AG178" s="1063"/>
      <c r="AH178" s="1063"/>
      <c r="AI178" s="1063"/>
      <c r="AJ178" s="1063"/>
      <c r="AK178" s="1063"/>
      <c r="AL178" s="1063"/>
      <c r="AM178" s="1063"/>
      <c r="AN178" s="1063"/>
      <c r="AO178" s="1063"/>
      <c r="AP178" s="1063"/>
      <c r="AQ178" s="1063"/>
      <c r="AR178" s="1063"/>
      <c r="AS178" s="1063"/>
      <c r="AT178" s="1063"/>
      <c r="AU178" s="1063"/>
      <c r="AV178" s="1063"/>
    </row>
    <row r="179" spans="1:48" s="1108" customFormat="1" ht="27.75" customHeight="1">
      <c r="A179" s="1076"/>
      <c r="B179" s="1074"/>
      <c r="D179" s="1063"/>
      <c r="F179" s="1076"/>
      <c r="G179" s="1063"/>
      <c r="H179" s="1063"/>
      <c r="I179" s="1063"/>
      <c r="J179" s="1063"/>
      <c r="K179" s="1063"/>
      <c r="L179" s="1063"/>
      <c r="M179" s="1063"/>
      <c r="N179" s="1063"/>
      <c r="O179" s="1063"/>
      <c r="P179" s="1063"/>
      <c r="Q179" s="1063"/>
      <c r="R179" s="1063"/>
      <c r="S179" s="1063"/>
      <c r="T179" s="1063"/>
      <c r="U179" s="1063"/>
      <c r="V179" s="1063"/>
      <c r="W179" s="1063"/>
      <c r="X179" s="1063"/>
      <c r="Y179" s="1063"/>
      <c r="Z179" s="1063"/>
      <c r="AA179" s="1063"/>
      <c r="AB179" s="1063"/>
      <c r="AC179" s="1063"/>
      <c r="AD179" s="1063"/>
      <c r="AE179" s="1063"/>
      <c r="AF179" s="1063"/>
      <c r="AG179" s="1063"/>
      <c r="AH179" s="1063"/>
      <c r="AI179" s="1063"/>
      <c r="AJ179" s="1063"/>
      <c r="AK179" s="1063"/>
      <c r="AL179" s="1063"/>
      <c r="AM179" s="1063"/>
      <c r="AN179" s="1063"/>
      <c r="AO179" s="1063"/>
      <c r="AP179" s="1063"/>
      <c r="AQ179" s="1063"/>
      <c r="AR179" s="1063"/>
      <c r="AS179" s="1063"/>
      <c r="AT179" s="1063"/>
      <c r="AU179" s="1063"/>
      <c r="AV179" s="1063"/>
    </row>
    <row r="180" spans="1:48" s="1108" customFormat="1" ht="27.75" customHeight="1">
      <c r="A180" s="1076"/>
      <c r="B180" s="1074"/>
      <c r="D180" s="1063"/>
      <c r="F180" s="1076"/>
      <c r="G180" s="1063"/>
      <c r="H180" s="1063"/>
      <c r="I180" s="1063"/>
      <c r="J180" s="1063"/>
      <c r="K180" s="1063"/>
      <c r="L180" s="1063"/>
      <c r="M180" s="1063"/>
      <c r="N180" s="1063"/>
      <c r="O180" s="1063"/>
      <c r="P180" s="1063"/>
      <c r="Q180" s="1063"/>
      <c r="R180" s="1063"/>
      <c r="S180" s="1063"/>
      <c r="T180" s="1063"/>
      <c r="U180" s="1063"/>
      <c r="V180" s="1063"/>
      <c r="W180" s="1063"/>
      <c r="X180" s="1063"/>
      <c r="Y180" s="1063"/>
      <c r="Z180" s="1063"/>
      <c r="AA180" s="1063"/>
      <c r="AB180" s="1063"/>
      <c r="AC180" s="1063"/>
      <c r="AD180" s="1063"/>
      <c r="AE180" s="1063"/>
      <c r="AF180" s="1063"/>
      <c r="AG180" s="1063"/>
      <c r="AH180" s="1063"/>
      <c r="AI180" s="1063"/>
      <c r="AJ180" s="1063"/>
      <c r="AK180" s="1063"/>
      <c r="AL180" s="1063"/>
      <c r="AM180" s="1063"/>
      <c r="AN180" s="1063"/>
      <c r="AO180" s="1063"/>
      <c r="AP180" s="1063"/>
      <c r="AQ180" s="1063"/>
      <c r="AR180" s="1063"/>
      <c r="AS180" s="1063"/>
      <c r="AT180" s="1063"/>
      <c r="AU180" s="1063"/>
      <c r="AV180" s="1063"/>
    </row>
    <row r="181" spans="1:48" s="1108" customFormat="1" ht="27.75" customHeight="1">
      <c r="A181" s="1076"/>
      <c r="B181" s="1074"/>
      <c r="D181" s="1063"/>
      <c r="F181" s="1076"/>
      <c r="G181" s="1063"/>
      <c r="H181" s="1063"/>
      <c r="I181" s="1063"/>
      <c r="J181" s="1063"/>
      <c r="K181" s="1063"/>
      <c r="L181" s="1063"/>
      <c r="M181" s="1063"/>
      <c r="N181" s="1063"/>
      <c r="O181" s="1063"/>
      <c r="P181" s="1063"/>
      <c r="Q181" s="1063"/>
      <c r="R181" s="1063"/>
      <c r="S181" s="1063"/>
      <c r="T181" s="1063"/>
      <c r="U181" s="1063"/>
      <c r="V181" s="1063"/>
      <c r="W181" s="1063"/>
      <c r="X181" s="1063"/>
      <c r="Y181" s="1063"/>
      <c r="Z181" s="1063"/>
      <c r="AA181" s="1063"/>
      <c r="AB181" s="1063"/>
      <c r="AC181" s="1063"/>
      <c r="AD181" s="1063"/>
      <c r="AE181" s="1063"/>
      <c r="AF181" s="1063"/>
      <c r="AG181" s="1063"/>
      <c r="AH181" s="1063"/>
      <c r="AI181" s="1063"/>
      <c r="AJ181" s="1063"/>
      <c r="AK181" s="1063"/>
      <c r="AL181" s="1063"/>
      <c r="AM181" s="1063"/>
      <c r="AN181" s="1063"/>
      <c r="AO181" s="1063"/>
      <c r="AP181" s="1063"/>
      <c r="AQ181" s="1063"/>
      <c r="AR181" s="1063"/>
      <c r="AS181" s="1063"/>
      <c r="AT181" s="1063"/>
      <c r="AU181" s="1063"/>
      <c r="AV181" s="1063"/>
    </row>
    <row r="182" spans="1:48" s="1108" customFormat="1" ht="27.75" customHeight="1">
      <c r="A182" s="1076"/>
      <c r="B182" s="1074"/>
      <c r="D182" s="1063"/>
      <c r="F182" s="1076"/>
      <c r="G182" s="1063"/>
      <c r="H182" s="1063"/>
      <c r="I182" s="1063"/>
      <c r="J182" s="1063"/>
      <c r="K182" s="1063"/>
      <c r="L182" s="1063"/>
      <c r="M182" s="1063"/>
      <c r="N182" s="1063"/>
      <c r="O182" s="1063"/>
      <c r="P182" s="1063"/>
      <c r="Q182" s="1063"/>
      <c r="R182" s="1063"/>
      <c r="S182" s="1063"/>
      <c r="T182" s="1063"/>
      <c r="U182" s="1063"/>
      <c r="V182" s="1063"/>
      <c r="W182" s="1063"/>
      <c r="X182" s="1063"/>
      <c r="Y182" s="1063"/>
      <c r="Z182" s="1063"/>
      <c r="AA182" s="1063"/>
      <c r="AB182" s="1063"/>
      <c r="AC182" s="1063"/>
      <c r="AD182" s="1063"/>
      <c r="AE182" s="1063"/>
      <c r="AF182" s="1063"/>
      <c r="AG182" s="1063"/>
      <c r="AH182" s="1063"/>
      <c r="AI182" s="1063"/>
      <c r="AJ182" s="1063"/>
      <c r="AK182" s="1063"/>
      <c r="AL182" s="1063"/>
      <c r="AM182" s="1063"/>
      <c r="AN182" s="1063"/>
      <c r="AO182" s="1063"/>
      <c r="AP182" s="1063"/>
      <c r="AQ182" s="1063"/>
      <c r="AR182" s="1063"/>
      <c r="AS182" s="1063"/>
      <c r="AT182" s="1063"/>
      <c r="AU182" s="1063"/>
      <c r="AV182" s="1063"/>
    </row>
    <row r="183" spans="1:48" s="1108" customFormat="1" ht="27.75" customHeight="1">
      <c r="A183" s="1076"/>
      <c r="B183" s="1074"/>
      <c r="D183" s="1063"/>
      <c r="F183" s="1076"/>
      <c r="G183" s="1063"/>
      <c r="H183" s="1063"/>
      <c r="I183" s="1063"/>
      <c r="J183" s="1063"/>
      <c r="K183" s="1063"/>
      <c r="L183" s="1063"/>
      <c r="M183" s="1063"/>
      <c r="N183" s="1063"/>
      <c r="O183" s="1063"/>
      <c r="P183" s="1063"/>
      <c r="Q183" s="1063"/>
      <c r="R183" s="1063"/>
      <c r="S183" s="1063"/>
      <c r="T183" s="1063"/>
      <c r="U183" s="1063"/>
      <c r="V183" s="1063"/>
      <c r="W183" s="1063"/>
      <c r="X183" s="1063"/>
      <c r="Y183" s="1063"/>
      <c r="Z183" s="1063"/>
      <c r="AA183" s="1063"/>
      <c r="AB183" s="1063"/>
      <c r="AC183" s="1063"/>
      <c r="AD183" s="1063"/>
      <c r="AE183" s="1063"/>
      <c r="AF183" s="1063"/>
      <c r="AG183" s="1063"/>
      <c r="AH183" s="1063"/>
      <c r="AI183" s="1063"/>
      <c r="AJ183" s="1063"/>
      <c r="AK183" s="1063"/>
      <c r="AL183" s="1063"/>
      <c r="AM183" s="1063"/>
      <c r="AN183" s="1063"/>
      <c r="AO183" s="1063"/>
      <c r="AP183" s="1063"/>
      <c r="AQ183" s="1063"/>
      <c r="AR183" s="1063"/>
      <c r="AS183" s="1063"/>
      <c r="AT183" s="1063"/>
      <c r="AU183" s="1063"/>
      <c r="AV183" s="1063"/>
    </row>
    <row r="184" spans="1:48" s="1108" customFormat="1" ht="27.75" customHeight="1">
      <c r="A184" s="1076"/>
      <c r="B184" s="1074"/>
      <c r="D184" s="1063"/>
      <c r="F184" s="1076"/>
      <c r="G184" s="1063"/>
      <c r="H184" s="1063"/>
      <c r="I184" s="1063"/>
      <c r="J184" s="1063"/>
      <c r="K184" s="1063"/>
      <c r="L184" s="1063"/>
      <c r="M184" s="1063"/>
      <c r="N184" s="1063"/>
      <c r="O184" s="1063"/>
      <c r="P184" s="1063"/>
      <c r="Q184" s="1063"/>
      <c r="R184" s="1063"/>
      <c r="S184" s="1063"/>
      <c r="T184" s="1063"/>
      <c r="U184" s="1063"/>
      <c r="V184" s="1063"/>
      <c r="W184" s="1063"/>
      <c r="X184" s="1063"/>
      <c r="Y184" s="1063"/>
      <c r="Z184" s="1063"/>
      <c r="AA184" s="1063"/>
      <c r="AB184" s="1063"/>
      <c r="AC184" s="1063"/>
      <c r="AD184" s="1063"/>
      <c r="AE184" s="1063"/>
      <c r="AF184" s="1063"/>
      <c r="AG184" s="1063"/>
      <c r="AH184" s="1063"/>
      <c r="AI184" s="1063"/>
      <c r="AJ184" s="1063"/>
      <c r="AK184" s="1063"/>
      <c r="AL184" s="1063"/>
      <c r="AM184" s="1063"/>
      <c r="AN184" s="1063"/>
      <c r="AO184" s="1063"/>
      <c r="AP184" s="1063"/>
      <c r="AQ184" s="1063"/>
      <c r="AR184" s="1063"/>
      <c r="AS184" s="1063"/>
      <c r="AT184" s="1063"/>
      <c r="AU184" s="1063"/>
      <c r="AV184" s="1063"/>
    </row>
    <row r="185" spans="1:48" s="1108" customFormat="1" ht="27.75" customHeight="1">
      <c r="A185" s="1076"/>
      <c r="B185" s="1074"/>
      <c r="D185" s="1063"/>
      <c r="F185" s="1076"/>
      <c r="G185" s="1063"/>
      <c r="H185" s="1063"/>
      <c r="I185" s="1063"/>
      <c r="J185" s="1063"/>
      <c r="K185" s="1063"/>
      <c r="L185" s="1063"/>
      <c r="M185" s="1063"/>
      <c r="N185" s="1063"/>
      <c r="O185" s="1063"/>
      <c r="P185" s="1063"/>
      <c r="Q185" s="1063"/>
      <c r="R185" s="1063"/>
      <c r="S185" s="1063"/>
      <c r="T185" s="1063"/>
      <c r="U185" s="1063"/>
      <c r="V185" s="1063"/>
      <c r="W185" s="1063"/>
      <c r="X185" s="1063"/>
      <c r="Y185" s="1063"/>
      <c r="Z185" s="1063"/>
      <c r="AA185" s="1063"/>
      <c r="AB185" s="1063"/>
      <c r="AC185" s="1063"/>
      <c r="AD185" s="1063"/>
      <c r="AE185" s="1063"/>
      <c r="AF185" s="1063"/>
      <c r="AG185" s="1063"/>
      <c r="AH185" s="1063"/>
      <c r="AI185" s="1063"/>
      <c r="AJ185" s="1063"/>
      <c r="AK185" s="1063"/>
      <c r="AL185" s="1063"/>
      <c r="AM185" s="1063"/>
      <c r="AN185" s="1063"/>
      <c r="AO185" s="1063"/>
      <c r="AP185" s="1063"/>
      <c r="AQ185" s="1063"/>
      <c r="AR185" s="1063"/>
      <c r="AS185" s="1063"/>
      <c r="AT185" s="1063"/>
      <c r="AU185" s="1063"/>
      <c r="AV185" s="1063"/>
    </row>
    <row r="186" spans="1:48" s="1108" customFormat="1" ht="27.75" customHeight="1">
      <c r="A186" s="1076"/>
      <c r="B186" s="1074"/>
      <c r="D186" s="1063"/>
      <c r="F186" s="1076"/>
      <c r="G186" s="1063"/>
      <c r="H186" s="1063"/>
      <c r="I186" s="1063"/>
      <c r="J186" s="1063"/>
      <c r="K186" s="1063"/>
      <c r="L186" s="1063"/>
      <c r="M186" s="1063"/>
      <c r="N186" s="1063"/>
      <c r="O186" s="1063"/>
      <c r="P186" s="1063"/>
      <c r="Q186" s="1063"/>
      <c r="R186" s="1063"/>
      <c r="S186" s="1063"/>
      <c r="T186" s="1063"/>
      <c r="U186" s="1063"/>
      <c r="V186" s="1063"/>
      <c r="W186" s="1063"/>
      <c r="X186" s="1063"/>
      <c r="Y186" s="1063"/>
      <c r="Z186" s="1063"/>
      <c r="AA186" s="1063"/>
      <c r="AB186" s="1063"/>
      <c r="AC186" s="1063"/>
      <c r="AD186" s="1063"/>
      <c r="AE186" s="1063"/>
      <c r="AF186" s="1063"/>
      <c r="AG186" s="1063"/>
      <c r="AH186" s="1063"/>
      <c r="AI186" s="1063"/>
      <c r="AJ186" s="1063"/>
      <c r="AK186" s="1063"/>
      <c r="AL186" s="1063"/>
      <c r="AM186" s="1063"/>
      <c r="AN186" s="1063"/>
      <c r="AO186" s="1063"/>
      <c r="AP186" s="1063"/>
      <c r="AQ186" s="1063"/>
      <c r="AR186" s="1063"/>
      <c r="AS186" s="1063"/>
      <c r="AT186" s="1063"/>
      <c r="AU186" s="1063"/>
      <c r="AV186" s="1063"/>
    </row>
    <row r="187" spans="1:48" s="1108" customFormat="1" ht="27.75" customHeight="1">
      <c r="A187" s="1076"/>
      <c r="B187" s="1074"/>
      <c r="D187" s="1063"/>
      <c r="F187" s="1076"/>
      <c r="G187" s="1063"/>
      <c r="H187" s="1063"/>
      <c r="I187" s="1063"/>
      <c r="J187" s="1063"/>
      <c r="K187" s="1063"/>
      <c r="L187" s="1063"/>
      <c r="M187" s="1063"/>
      <c r="N187" s="1063"/>
      <c r="O187" s="1063"/>
      <c r="P187" s="1063"/>
      <c r="Q187" s="1063"/>
      <c r="R187" s="1063"/>
      <c r="S187" s="1063"/>
      <c r="T187" s="1063"/>
      <c r="U187" s="1063"/>
      <c r="V187" s="1063"/>
      <c r="W187" s="1063"/>
      <c r="X187" s="1063"/>
      <c r="Y187" s="1063"/>
      <c r="Z187" s="1063"/>
      <c r="AA187" s="1063"/>
      <c r="AB187" s="1063"/>
      <c r="AC187" s="1063"/>
      <c r="AD187" s="1063"/>
      <c r="AE187" s="1063"/>
      <c r="AF187" s="1063"/>
      <c r="AG187" s="1063"/>
      <c r="AH187" s="1063"/>
      <c r="AI187" s="1063"/>
      <c r="AJ187" s="1063"/>
      <c r="AK187" s="1063"/>
      <c r="AL187" s="1063"/>
      <c r="AM187" s="1063"/>
      <c r="AN187" s="1063"/>
      <c r="AO187" s="1063"/>
      <c r="AP187" s="1063"/>
      <c r="AQ187" s="1063"/>
      <c r="AR187" s="1063"/>
      <c r="AS187" s="1063"/>
      <c r="AT187" s="1063"/>
      <c r="AU187" s="1063"/>
      <c r="AV187" s="1063"/>
    </row>
    <row r="188" spans="1:48" s="1108" customFormat="1" ht="27.75" customHeight="1">
      <c r="A188" s="1076"/>
      <c r="B188" s="1074"/>
      <c r="D188" s="1063"/>
      <c r="F188" s="1076"/>
      <c r="G188" s="1063"/>
      <c r="H188" s="1063"/>
      <c r="I188" s="1063"/>
      <c r="J188" s="1063"/>
      <c r="K188" s="1063"/>
      <c r="L188" s="1063"/>
      <c r="M188" s="1063"/>
      <c r="N188" s="1063"/>
      <c r="O188" s="1063"/>
      <c r="P188" s="1063"/>
      <c r="Q188" s="1063"/>
      <c r="R188" s="1063"/>
      <c r="S188" s="1063"/>
      <c r="T188" s="1063"/>
      <c r="U188" s="1063"/>
      <c r="V188" s="1063"/>
      <c r="W188" s="1063"/>
      <c r="X188" s="1063"/>
      <c r="Y188" s="1063"/>
      <c r="Z188" s="1063"/>
      <c r="AA188" s="1063"/>
      <c r="AB188" s="1063"/>
      <c r="AC188" s="1063"/>
      <c r="AD188" s="1063"/>
      <c r="AE188" s="1063"/>
      <c r="AF188" s="1063"/>
      <c r="AG188" s="1063"/>
      <c r="AH188" s="1063"/>
      <c r="AI188" s="1063"/>
      <c r="AJ188" s="1063"/>
      <c r="AK188" s="1063"/>
      <c r="AL188" s="1063"/>
      <c r="AM188" s="1063"/>
      <c r="AN188" s="1063"/>
      <c r="AO188" s="1063"/>
      <c r="AP188" s="1063"/>
      <c r="AQ188" s="1063"/>
      <c r="AR188" s="1063"/>
      <c r="AS188" s="1063"/>
      <c r="AT188" s="1063"/>
      <c r="AU188" s="1063"/>
      <c r="AV188" s="1063"/>
    </row>
    <row r="189" spans="1:48" s="1108" customFormat="1" ht="27.75" customHeight="1">
      <c r="A189" s="1076"/>
      <c r="B189" s="1074"/>
      <c r="D189" s="1063"/>
      <c r="F189" s="1076"/>
      <c r="G189" s="1063"/>
      <c r="H189" s="1063"/>
      <c r="I189" s="1063"/>
      <c r="J189" s="1063"/>
      <c r="K189" s="1063"/>
      <c r="L189" s="1063"/>
      <c r="M189" s="1063"/>
      <c r="N189" s="1063"/>
      <c r="O189" s="1063"/>
      <c r="P189" s="1063"/>
      <c r="Q189" s="1063"/>
      <c r="R189" s="1063"/>
      <c r="S189" s="1063"/>
      <c r="T189" s="1063"/>
      <c r="U189" s="1063"/>
      <c r="V189" s="1063"/>
      <c r="W189" s="1063"/>
      <c r="X189" s="1063"/>
      <c r="Y189" s="1063"/>
      <c r="Z189" s="1063"/>
      <c r="AA189" s="1063"/>
      <c r="AB189" s="1063"/>
      <c r="AC189" s="1063"/>
      <c r="AD189" s="1063"/>
      <c r="AE189" s="1063"/>
      <c r="AF189" s="1063"/>
      <c r="AG189" s="1063"/>
      <c r="AH189" s="1063"/>
      <c r="AI189" s="1063"/>
      <c r="AJ189" s="1063"/>
      <c r="AK189" s="1063"/>
      <c r="AL189" s="1063"/>
      <c r="AM189" s="1063"/>
      <c r="AN189" s="1063"/>
      <c r="AO189" s="1063"/>
      <c r="AP189" s="1063"/>
      <c r="AQ189" s="1063"/>
      <c r="AR189" s="1063"/>
      <c r="AS189" s="1063"/>
      <c r="AT189" s="1063"/>
      <c r="AU189" s="1063"/>
      <c r="AV189" s="1063"/>
    </row>
    <row r="190" spans="1:48" s="1108" customFormat="1" ht="27.75" customHeight="1">
      <c r="A190" s="1076"/>
      <c r="B190" s="1074"/>
      <c r="D190" s="1063"/>
      <c r="F190" s="1076"/>
      <c r="G190" s="1063"/>
      <c r="H190" s="1063"/>
      <c r="I190" s="1063"/>
      <c r="J190" s="1063"/>
      <c r="K190" s="1063"/>
      <c r="L190" s="1063"/>
      <c r="M190" s="1063"/>
      <c r="N190" s="1063"/>
      <c r="O190" s="1063"/>
      <c r="P190" s="1063"/>
      <c r="Q190" s="1063"/>
      <c r="R190" s="1063"/>
      <c r="S190" s="1063"/>
      <c r="T190" s="1063"/>
      <c r="U190" s="1063"/>
      <c r="V190" s="1063"/>
      <c r="W190" s="1063"/>
      <c r="X190" s="1063"/>
      <c r="Y190" s="1063"/>
      <c r="Z190" s="1063"/>
      <c r="AA190" s="1063"/>
      <c r="AB190" s="1063"/>
      <c r="AC190" s="1063"/>
      <c r="AD190" s="1063"/>
      <c r="AE190" s="1063"/>
      <c r="AF190" s="1063"/>
      <c r="AG190" s="1063"/>
      <c r="AH190" s="1063"/>
      <c r="AI190" s="1063"/>
      <c r="AJ190" s="1063"/>
      <c r="AK190" s="1063"/>
      <c r="AL190" s="1063"/>
      <c r="AM190" s="1063"/>
      <c r="AN190" s="1063"/>
      <c r="AO190" s="1063"/>
      <c r="AP190" s="1063"/>
      <c r="AQ190" s="1063"/>
      <c r="AR190" s="1063"/>
      <c r="AS190" s="1063"/>
      <c r="AT190" s="1063"/>
      <c r="AU190" s="1063"/>
      <c r="AV190" s="1063"/>
    </row>
    <row r="191" spans="1:48" s="1108" customFormat="1" ht="27.75" customHeight="1">
      <c r="A191" s="1076"/>
      <c r="B191" s="1074"/>
      <c r="D191" s="1063"/>
      <c r="F191" s="1076"/>
      <c r="G191" s="1063"/>
      <c r="H191" s="1063"/>
      <c r="I191" s="1063"/>
      <c r="J191" s="1063"/>
      <c r="K191" s="1063"/>
      <c r="L191" s="1063"/>
      <c r="M191" s="1063"/>
      <c r="N191" s="1063"/>
      <c r="O191" s="1063"/>
      <c r="P191" s="1063"/>
      <c r="Q191" s="1063"/>
      <c r="R191" s="1063"/>
      <c r="S191" s="1063"/>
      <c r="T191" s="1063"/>
      <c r="U191" s="1063"/>
      <c r="V191" s="1063"/>
      <c r="W191" s="1063"/>
      <c r="X191" s="1063"/>
      <c r="Y191" s="1063"/>
      <c r="Z191" s="1063"/>
      <c r="AA191" s="1063"/>
      <c r="AB191" s="1063"/>
      <c r="AC191" s="1063"/>
      <c r="AD191" s="1063"/>
      <c r="AE191" s="1063"/>
      <c r="AF191" s="1063"/>
      <c r="AG191" s="1063"/>
      <c r="AH191" s="1063"/>
      <c r="AI191" s="1063"/>
      <c r="AJ191" s="1063"/>
      <c r="AK191" s="1063"/>
      <c r="AL191" s="1063"/>
      <c r="AM191" s="1063"/>
      <c r="AN191" s="1063"/>
      <c r="AO191" s="1063"/>
      <c r="AP191" s="1063"/>
      <c r="AQ191" s="1063"/>
      <c r="AR191" s="1063"/>
      <c r="AS191" s="1063"/>
      <c r="AT191" s="1063"/>
      <c r="AU191" s="1063"/>
      <c r="AV191" s="1063"/>
    </row>
    <row r="192" spans="1:48" s="1108" customFormat="1" ht="27.75" customHeight="1">
      <c r="A192" s="1076"/>
      <c r="B192" s="1074"/>
      <c r="D192" s="1063"/>
      <c r="F192" s="1076"/>
      <c r="G192" s="1063"/>
      <c r="H192" s="1063"/>
      <c r="I192" s="1063"/>
      <c r="J192" s="1063"/>
      <c r="K192" s="1063"/>
      <c r="L192" s="1063"/>
      <c r="M192" s="1063"/>
      <c r="N192" s="1063"/>
      <c r="O192" s="1063"/>
      <c r="P192" s="1063"/>
      <c r="Q192" s="1063"/>
      <c r="R192" s="1063"/>
      <c r="S192" s="1063"/>
      <c r="T192" s="1063"/>
      <c r="U192" s="1063"/>
      <c r="V192" s="1063"/>
      <c r="W192" s="1063"/>
      <c r="X192" s="1063"/>
      <c r="Y192" s="1063"/>
      <c r="Z192" s="1063"/>
      <c r="AA192" s="1063"/>
      <c r="AB192" s="1063"/>
      <c r="AC192" s="1063"/>
      <c r="AD192" s="1063"/>
      <c r="AE192" s="1063"/>
      <c r="AF192" s="1063"/>
      <c r="AG192" s="1063"/>
      <c r="AH192" s="1063"/>
      <c r="AI192" s="1063"/>
      <c r="AJ192" s="1063"/>
      <c r="AK192" s="1063"/>
      <c r="AL192" s="1063"/>
      <c r="AM192" s="1063"/>
      <c r="AN192" s="1063"/>
      <c r="AO192" s="1063"/>
      <c r="AP192" s="1063"/>
      <c r="AQ192" s="1063"/>
      <c r="AR192" s="1063"/>
      <c r="AS192" s="1063"/>
      <c r="AT192" s="1063"/>
      <c r="AU192" s="1063"/>
      <c r="AV192" s="1063"/>
    </row>
    <row r="193" spans="1:48" s="1108" customFormat="1" ht="27.75" customHeight="1">
      <c r="A193" s="1076"/>
      <c r="B193" s="1074"/>
      <c r="D193" s="1063"/>
      <c r="F193" s="1076"/>
      <c r="G193" s="1063"/>
      <c r="H193" s="1063"/>
      <c r="I193" s="1063"/>
      <c r="J193" s="1063"/>
      <c r="K193" s="1063"/>
      <c r="L193" s="1063"/>
      <c r="M193" s="1063"/>
      <c r="N193" s="1063"/>
      <c r="O193" s="1063"/>
      <c r="P193" s="1063"/>
      <c r="Q193" s="1063"/>
      <c r="R193" s="1063"/>
      <c r="S193" s="1063"/>
      <c r="T193" s="1063"/>
      <c r="U193" s="1063"/>
      <c r="V193" s="1063"/>
      <c r="W193" s="1063"/>
      <c r="X193" s="1063"/>
      <c r="Y193" s="1063"/>
      <c r="Z193" s="1063"/>
      <c r="AA193" s="1063"/>
      <c r="AB193" s="1063"/>
      <c r="AC193" s="1063"/>
      <c r="AD193" s="1063"/>
      <c r="AE193" s="1063"/>
      <c r="AF193" s="1063"/>
      <c r="AG193" s="1063"/>
      <c r="AH193" s="1063"/>
      <c r="AI193" s="1063"/>
      <c r="AJ193" s="1063"/>
      <c r="AK193" s="1063"/>
      <c r="AL193" s="1063"/>
      <c r="AM193" s="1063"/>
      <c r="AN193" s="1063"/>
      <c r="AO193" s="1063"/>
      <c r="AP193" s="1063"/>
      <c r="AQ193" s="1063"/>
      <c r="AR193" s="1063"/>
      <c r="AS193" s="1063"/>
      <c r="AT193" s="1063"/>
      <c r="AU193" s="1063"/>
      <c r="AV193" s="1063"/>
    </row>
    <row r="194" spans="1:48" s="1108" customFormat="1" ht="27.75" customHeight="1">
      <c r="A194" s="1076"/>
      <c r="B194" s="1074"/>
      <c r="D194" s="1063"/>
      <c r="F194" s="1076"/>
      <c r="G194" s="1063"/>
      <c r="H194" s="1063"/>
      <c r="I194" s="1063"/>
      <c r="J194" s="1063"/>
      <c r="K194" s="1063"/>
      <c r="L194" s="1063"/>
      <c r="M194" s="1063"/>
      <c r="N194" s="1063"/>
      <c r="O194" s="1063"/>
      <c r="P194" s="1063"/>
      <c r="Q194" s="1063"/>
      <c r="R194" s="1063"/>
      <c r="S194" s="1063"/>
      <c r="T194" s="1063"/>
      <c r="U194" s="1063"/>
      <c r="V194" s="1063"/>
      <c r="W194" s="1063"/>
      <c r="X194" s="1063"/>
      <c r="Y194" s="1063"/>
      <c r="Z194" s="1063"/>
      <c r="AA194" s="1063"/>
      <c r="AB194" s="1063"/>
      <c r="AC194" s="1063"/>
      <c r="AD194" s="1063"/>
      <c r="AE194" s="1063"/>
      <c r="AF194" s="1063"/>
      <c r="AG194" s="1063"/>
      <c r="AH194" s="1063"/>
      <c r="AI194" s="1063"/>
      <c r="AJ194" s="1063"/>
      <c r="AK194" s="1063"/>
      <c r="AL194" s="1063"/>
      <c r="AM194" s="1063"/>
      <c r="AN194" s="1063"/>
      <c r="AO194" s="1063"/>
      <c r="AP194" s="1063"/>
      <c r="AQ194" s="1063"/>
      <c r="AR194" s="1063"/>
      <c r="AS194" s="1063"/>
      <c r="AT194" s="1063"/>
      <c r="AU194" s="1063"/>
      <c r="AV194" s="1063"/>
    </row>
    <row r="195" spans="1:48" s="1108" customFormat="1" ht="27.75" customHeight="1">
      <c r="A195" s="1076"/>
      <c r="B195" s="1074"/>
      <c r="D195" s="1063"/>
      <c r="F195" s="1076"/>
      <c r="G195" s="1063"/>
      <c r="H195" s="1063"/>
      <c r="I195" s="1063"/>
      <c r="J195" s="1063"/>
      <c r="K195" s="1063"/>
      <c r="L195" s="1063"/>
      <c r="M195" s="1063"/>
      <c r="N195" s="1063"/>
      <c r="O195" s="1063"/>
      <c r="P195" s="1063"/>
      <c r="Q195" s="1063"/>
      <c r="R195" s="1063"/>
      <c r="S195" s="1063"/>
      <c r="T195" s="1063"/>
      <c r="U195" s="1063"/>
      <c r="V195" s="1063"/>
      <c r="W195" s="1063"/>
      <c r="X195" s="1063"/>
      <c r="Y195" s="1063"/>
      <c r="Z195" s="1063"/>
      <c r="AA195" s="1063"/>
      <c r="AB195" s="1063"/>
      <c r="AC195" s="1063"/>
      <c r="AD195" s="1063"/>
      <c r="AE195" s="1063"/>
      <c r="AF195" s="1063"/>
      <c r="AG195" s="1063"/>
      <c r="AH195" s="1063"/>
      <c r="AI195" s="1063"/>
      <c r="AJ195" s="1063"/>
      <c r="AK195" s="1063"/>
      <c r="AL195" s="1063"/>
      <c r="AM195" s="1063"/>
      <c r="AN195" s="1063"/>
      <c r="AO195" s="1063"/>
      <c r="AP195" s="1063"/>
      <c r="AQ195" s="1063"/>
      <c r="AR195" s="1063"/>
      <c r="AS195" s="1063"/>
      <c r="AT195" s="1063"/>
      <c r="AU195" s="1063"/>
      <c r="AV195" s="1063"/>
    </row>
    <row r="196" spans="1:48" s="1108" customFormat="1" ht="27.75" customHeight="1">
      <c r="A196" s="1076"/>
      <c r="B196" s="1074"/>
      <c r="D196" s="1063"/>
      <c r="F196" s="1076"/>
      <c r="G196" s="1063"/>
      <c r="H196" s="1063"/>
      <c r="I196" s="1063"/>
      <c r="J196" s="1063"/>
      <c r="K196" s="1063"/>
      <c r="L196" s="1063"/>
      <c r="M196" s="1063"/>
      <c r="N196" s="1063"/>
      <c r="O196" s="1063"/>
      <c r="P196" s="1063"/>
      <c r="Q196" s="1063"/>
      <c r="R196" s="1063"/>
      <c r="S196" s="1063"/>
      <c r="T196" s="1063"/>
      <c r="U196" s="1063"/>
      <c r="V196" s="1063"/>
      <c r="W196" s="1063"/>
      <c r="X196" s="1063"/>
      <c r="Y196" s="1063"/>
      <c r="Z196" s="1063"/>
      <c r="AA196" s="1063"/>
      <c r="AB196" s="1063"/>
      <c r="AC196" s="1063"/>
      <c r="AD196" s="1063"/>
      <c r="AE196" s="1063"/>
      <c r="AF196" s="1063"/>
      <c r="AG196" s="1063"/>
      <c r="AH196" s="1063"/>
      <c r="AI196" s="1063"/>
      <c r="AJ196" s="1063"/>
      <c r="AK196" s="1063"/>
      <c r="AL196" s="1063"/>
      <c r="AM196" s="1063"/>
      <c r="AN196" s="1063"/>
      <c r="AO196" s="1063"/>
      <c r="AP196" s="1063"/>
      <c r="AQ196" s="1063"/>
      <c r="AR196" s="1063"/>
      <c r="AS196" s="1063"/>
      <c r="AT196" s="1063"/>
      <c r="AU196" s="1063"/>
      <c r="AV196" s="1063"/>
    </row>
    <row r="197" spans="1:48" s="1108" customFormat="1" ht="27.75" customHeight="1">
      <c r="A197" s="1076"/>
      <c r="B197" s="1074"/>
      <c r="D197" s="1063"/>
      <c r="F197" s="1076"/>
      <c r="G197" s="1063"/>
      <c r="H197" s="1063"/>
      <c r="I197" s="1063"/>
      <c r="J197" s="1063"/>
      <c r="K197" s="1063"/>
      <c r="L197" s="1063"/>
      <c r="M197" s="1063"/>
      <c r="N197" s="1063"/>
      <c r="O197" s="1063"/>
      <c r="P197" s="1063"/>
      <c r="Q197" s="1063"/>
      <c r="R197" s="1063"/>
      <c r="S197" s="1063"/>
      <c r="T197" s="1063"/>
      <c r="U197" s="1063"/>
      <c r="V197" s="1063"/>
      <c r="W197" s="1063"/>
      <c r="X197" s="1063"/>
      <c r="Y197" s="1063"/>
      <c r="Z197" s="1063"/>
      <c r="AA197" s="1063"/>
      <c r="AB197" s="1063"/>
      <c r="AC197" s="1063"/>
      <c r="AD197" s="1063"/>
      <c r="AE197" s="1063"/>
      <c r="AF197" s="1063"/>
      <c r="AG197" s="1063"/>
      <c r="AH197" s="1063"/>
      <c r="AI197" s="1063"/>
      <c r="AJ197" s="1063"/>
      <c r="AK197" s="1063"/>
      <c r="AL197" s="1063"/>
      <c r="AM197" s="1063"/>
      <c r="AN197" s="1063"/>
      <c r="AO197" s="1063"/>
      <c r="AP197" s="1063"/>
      <c r="AQ197" s="1063"/>
      <c r="AR197" s="1063"/>
      <c r="AS197" s="1063"/>
      <c r="AT197" s="1063"/>
      <c r="AU197" s="1063"/>
      <c r="AV197" s="1063"/>
    </row>
    <row r="198" spans="1:48" s="1108" customFormat="1" ht="27.75" customHeight="1">
      <c r="A198" s="1076"/>
      <c r="B198" s="1074"/>
      <c r="D198" s="1063"/>
      <c r="F198" s="1076"/>
      <c r="G198" s="1063"/>
      <c r="H198" s="1063"/>
      <c r="I198" s="1063"/>
      <c r="J198" s="1063"/>
      <c r="K198" s="1063"/>
      <c r="L198" s="1063"/>
      <c r="M198" s="1063"/>
      <c r="N198" s="1063"/>
      <c r="O198" s="1063"/>
      <c r="P198" s="1063"/>
      <c r="Q198" s="1063"/>
      <c r="R198" s="1063"/>
      <c r="S198" s="1063"/>
      <c r="T198" s="1063"/>
      <c r="U198" s="1063"/>
      <c r="V198" s="1063"/>
      <c r="W198" s="1063"/>
      <c r="X198" s="1063"/>
      <c r="Y198" s="1063"/>
      <c r="Z198" s="1063"/>
      <c r="AA198" s="1063"/>
      <c r="AB198" s="1063"/>
      <c r="AC198" s="1063"/>
      <c r="AD198" s="1063"/>
      <c r="AE198" s="1063"/>
      <c r="AF198" s="1063"/>
      <c r="AG198" s="1063"/>
      <c r="AH198" s="1063"/>
      <c r="AI198" s="1063"/>
      <c r="AJ198" s="1063"/>
      <c r="AK198" s="1063"/>
      <c r="AL198" s="1063"/>
      <c r="AM198" s="1063"/>
      <c r="AN198" s="1063"/>
      <c r="AO198" s="1063"/>
      <c r="AP198" s="1063"/>
      <c r="AQ198" s="1063"/>
      <c r="AR198" s="1063"/>
      <c r="AS198" s="1063"/>
      <c r="AT198" s="1063"/>
      <c r="AU198" s="1063"/>
      <c r="AV198" s="1063"/>
    </row>
    <row r="199" spans="1:48" s="1108" customFormat="1" ht="27.75" customHeight="1">
      <c r="A199" s="1076"/>
      <c r="B199" s="1074"/>
      <c r="D199" s="1063"/>
      <c r="F199" s="1076"/>
      <c r="G199" s="1063"/>
      <c r="H199" s="1063"/>
      <c r="I199" s="1063"/>
      <c r="J199" s="1063"/>
      <c r="K199" s="1063"/>
      <c r="L199" s="1063"/>
      <c r="M199" s="1063"/>
      <c r="N199" s="1063"/>
      <c r="O199" s="1063"/>
      <c r="P199" s="1063"/>
      <c r="Q199" s="1063"/>
      <c r="R199" s="1063"/>
      <c r="S199" s="1063"/>
      <c r="T199" s="1063"/>
      <c r="U199" s="1063"/>
      <c r="V199" s="1063"/>
      <c r="W199" s="1063"/>
      <c r="X199" s="1063"/>
      <c r="Y199" s="1063"/>
      <c r="Z199" s="1063"/>
      <c r="AA199" s="1063"/>
      <c r="AB199" s="1063"/>
      <c r="AC199" s="1063"/>
      <c r="AD199" s="1063"/>
      <c r="AE199" s="1063"/>
      <c r="AF199" s="1063"/>
      <c r="AG199" s="1063"/>
      <c r="AH199" s="1063"/>
      <c r="AI199" s="1063"/>
      <c r="AJ199" s="1063"/>
      <c r="AK199" s="1063"/>
      <c r="AL199" s="1063"/>
      <c r="AM199" s="1063"/>
      <c r="AN199" s="1063"/>
      <c r="AO199" s="1063"/>
      <c r="AP199" s="1063"/>
      <c r="AQ199" s="1063"/>
      <c r="AR199" s="1063"/>
      <c r="AS199" s="1063"/>
      <c r="AT199" s="1063"/>
      <c r="AU199" s="1063"/>
      <c r="AV199" s="1063"/>
    </row>
    <row r="200" spans="1:48" s="1108" customFormat="1" ht="27.75" customHeight="1">
      <c r="A200" s="1076"/>
      <c r="B200" s="1074"/>
      <c r="D200" s="1063"/>
      <c r="F200" s="1076"/>
      <c r="G200" s="1063"/>
      <c r="H200" s="1063"/>
      <c r="I200" s="1063"/>
      <c r="J200" s="1063"/>
      <c r="K200" s="1063"/>
      <c r="L200" s="1063"/>
      <c r="M200" s="1063"/>
      <c r="N200" s="1063"/>
      <c r="O200" s="1063"/>
      <c r="P200" s="1063"/>
      <c r="Q200" s="1063"/>
      <c r="R200" s="1063"/>
      <c r="S200" s="1063"/>
      <c r="T200" s="1063"/>
      <c r="U200" s="1063"/>
      <c r="V200" s="1063"/>
      <c r="W200" s="1063"/>
      <c r="X200" s="1063"/>
      <c r="Y200" s="1063"/>
      <c r="Z200" s="1063"/>
      <c r="AA200" s="1063"/>
      <c r="AB200" s="1063"/>
      <c r="AC200" s="1063"/>
      <c r="AD200" s="1063"/>
      <c r="AE200" s="1063"/>
      <c r="AF200" s="1063"/>
      <c r="AG200" s="1063"/>
      <c r="AH200" s="1063"/>
      <c r="AI200" s="1063"/>
      <c r="AJ200" s="1063"/>
      <c r="AK200" s="1063"/>
      <c r="AL200" s="1063"/>
      <c r="AM200" s="1063"/>
      <c r="AN200" s="1063"/>
      <c r="AO200" s="1063"/>
      <c r="AP200" s="1063"/>
      <c r="AQ200" s="1063"/>
      <c r="AR200" s="1063"/>
      <c r="AS200" s="1063"/>
      <c r="AT200" s="1063"/>
      <c r="AU200" s="1063"/>
      <c r="AV200" s="1063"/>
    </row>
    <row r="201" spans="1:48" s="1108" customFormat="1" ht="27.75" customHeight="1">
      <c r="A201" s="1076"/>
      <c r="B201" s="1074"/>
      <c r="D201" s="1063"/>
      <c r="F201" s="1076"/>
      <c r="G201" s="1063"/>
      <c r="H201" s="1063"/>
      <c r="I201" s="1063"/>
      <c r="J201" s="1063"/>
      <c r="K201" s="1063"/>
      <c r="L201" s="1063"/>
      <c r="M201" s="1063"/>
      <c r="N201" s="1063"/>
      <c r="O201" s="1063"/>
      <c r="P201" s="1063"/>
      <c r="Q201" s="1063"/>
      <c r="R201" s="1063"/>
      <c r="S201" s="1063"/>
      <c r="T201" s="1063"/>
      <c r="U201" s="1063"/>
      <c r="V201" s="1063"/>
      <c r="W201" s="1063"/>
      <c r="X201" s="1063"/>
      <c r="Y201" s="1063"/>
      <c r="Z201" s="1063"/>
      <c r="AA201" s="1063"/>
      <c r="AB201" s="1063"/>
      <c r="AC201" s="1063"/>
      <c r="AD201" s="1063"/>
      <c r="AE201" s="1063"/>
      <c r="AF201" s="1063"/>
      <c r="AG201" s="1063"/>
      <c r="AH201" s="1063"/>
      <c r="AI201" s="1063"/>
      <c r="AJ201" s="1063"/>
      <c r="AK201" s="1063"/>
      <c r="AL201" s="1063"/>
      <c r="AM201" s="1063"/>
      <c r="AN201" s="1063"/>
      <c r="AO201" s="1063"/>
      <c r="AP201" s="1063"/>
      <c r="AQ201" s="1063"/>
      <c r="AR201" s="1063"/>
      <c r="AS201" s="1063"/>
      <c r="AT201" s="1063"/>
      <c r="AU201" s="1063"/>
      <c r="AV201" s="1063"/>
    </row>
    <row r="202" spans="1:48" s="1108" customFormat="1" ht="27.75" customHeight="1">
      <c r="A202" s="1076"/>
      <c r="B202" s="1074"/>
      <c r="D202" s="1063"/>
      <c r="F202" s="1076"/>
      <c r="G202" s="1063"/>
      <c r="H202" s="1063"/>
      <c r="I202" s="1063"/>
      <c r="J202" s="1063"/>
      <c r="K202" s="1063"/>
      <c r="L202" s="1063"/>
      <c r="M202" s="1063"/>
      <c r="N202" s="1063"/>
      <c r="O202" s="1063"/>
      <c r="P202" s="1063"/>
      <c r="Q202" s="1063"/>
      <c r="R202" s="1063"/>
      <c r="S202" s="1063"/>
      <c r="T202" s="1063"/>
      <c r="U202" s="1063"/>
      <c r="V202" s="1063"/>
      <c r="W202" s="1063"/>
      <c r="X202" s="1063"/>
      <c r="Y202" s="1063"/>
      <c r="Z202" s="1063"/>
      <c r="AA202" s="1063"/>
      <c r="AB202" s="1063"/>
      <c r="AC202" s="1063"/>
      <c r="AD202" s="1063"/>
      <c r="AE202" s="1063"/>
      <c r="AF202" s="1063"/>
      <c r="AG202" s="1063"/>
      <c r="AH202" s="1063"/>
      <c r="AI202" s="1063"/>
      <c r="AJ202" s="1063"/>
      <c r="AK202" s="1063"/>
      <c r="AL202" s="1063"/>
      <c r="AM202" s="1063"/>
      <c r="AN202" s="1063"/>
      <c r="AO202" s="1063"/>
      <c r="AP202" s="1063"/>
      <c r="AQ202" s="1063"/>
      <c r="AR202" s="1063"/>
      <c r="AS202" s="1063"/>
      <c r="AT202" s="1063"/>
      <c r="AU202" s="1063"/>
      <c r="AV202" s="1063"/>
    </row>
    <row r="203" spans="1:48" s="1108" customFormat="1" ht="27.75" customHeight="1">
      <c r="A203" s="1076"/>
      <c r="B203" s="1074"/>
      <c r="D203" s="1063"/>
      <c r="F203" s="1076"/>
      <c r="G203" s="1063"/>
      <c r="H203" s="1063"/>
      <c r="I203" s="1063"/>
      <c r="J203" s="1063"/>
      <c r="K203" s="1063"/>
      <c r="L203" s="1063"/>
      <c r="M203" s="1063"/>
      <c r="N203" s="1063"/>
      <c r="O203" s="1063"/>
      <c r="P203" s="1063"/>
      <c r="Q203" s="1063"/>
      <c r="R203" s="1063"/>
      <c r="S203" s="1063"/>
      <c r="T203" s="1063"/>
      <c r="U203" s="1063"/>
      <c r="V203" s="1063"/>
      <c r="W203" s="1063"/>
      <c r="X203" s="1063"/>
      <c r="Y203" s="1063"/>
      <c r="Z203" s="1063"/>
      <c r="AA203" s="1063"/>
      <c r="AB203" s="1063"/>
      <c r="AC203" s="1063"/>
      <c r="AD203" s="1063"/>
      <c r="AE203" s="1063"/>
      <c r="AF203" s="1063"/>
      <c r="AG203" s="1063"/>
      <c r="AH203" s="1063"/>
      <c r="AI203" s="1063"/>
      <c r="AJ203" s="1063"/>
      <c r="AK203" s="1063"/>
      <c r="AL203" s="1063"/>
      <c r="AM203" s="1063"/>
      <c r="AN203" s="1063"/>
      <c r="AO203" s="1063"/>
      <c r="AP203" s="1063"/>
      <c r="AQ203" s="1063"/>
      <c r="AR203" s="1063"/>
      <c r="AS203" s="1063"/>
      <c r="AT203" s="1063"/>
      <c r="AU203" s="1063"/>
      <c r="AV203" s="1063"/>
    </row>
    <row r="204" spans="1:48" s="1108" customFormat="1" ht="27.75" customHeight="1">
      <c r="A204" s="1076"/>
      <c r="B204" s="1074"/>
      <c r="D204" s="1063"/>
      <c r="F204" s="1076"/>
      <c r="G204" s="1063"/>
      <c r="H204" s="1063"/>
      <c r="I204" s="1063"/>
      <c r="J204" s="1063"/>
      <c r="K204" s="1063"/>
      <c r="L204" s="1063"/>
      <c r="M204" s="1063"/>
      <c r="N204" s="1063"/>
      <c r="O204" s="1063"/>
      <c r="P204" s="1063"/>
      <c r="Q204" s="1063"/>
      <c r="R204" s="1063"/>
      <c r="S204" s="1063"/>
      <c r="T204" s="1063"/>
      <c r="U204" s="1063"/>
      <c r="V204" s="1063"/>
      <c r="W204" s="1063"/>
      <c r="X204" s="1063"/>
      <c r="Y204" s="1063"/>
      <c r="Z204" s="1063"/>
      <c r="AA204" s="1063"/>
      <c r="AB204" s="1063"/>
      <c r="AC204" s="1063"/>
      <c r="AD204" s="1063"/>
      <c r="AE204" s="1063"/>
      <c r="AF204" s="1063"/>
      <c r="AG204" s="1063"/>
      <c r="AH204" s="1063"/>
      <c r="AI204" s="1063"/>
      <c r="AJ204" s="1063"/>
      <c r="AK204" s="1063"/>
      <c r="AL204" s="1063"/>
      <c r="AM204" s="1063"/>
      <c r="AN204" s="1063"/>
      <c r="AO204" s="1063"/>
      <c r="AP204" s="1063"/>
      <c r="AQ204" s="1063"/>
      <c r="AR204" s="1063"/>
      <c r="AS204" s="1063"/>
      <c r="AT204" s="1063"/>
      <c r="AU204" s="1063"/>
      <c r="AV204" s="1063"/>
    </row>
    <row r="205" spans="1:48" s="1108" customFormat="1" ht="27.75" customHeight="1">
      <c r="A205" s="1076"/>
      <c r="B205" s="1074"/>
      <c r="D205" s="1063"/>
      <c r="F205" s="1076"/>
      <c r="G205" s="1063"/>
      <c r="H205" s="1063"/>
      <c r="I205" s="1063"/>
      <c r="J205" s="1063"/>
      <c r="K205" s="1063"/>
      <c r="L205" s="1063"/>
      <c r="M205" s="1063"/>
      <c r="N205" s="1063"/>
      <c r="O205" s="1063"/>
      <c r="P205" s="1063"/>
      <c r="Q205" s="1063"/>
      <c r="R205" s="1063"/>
      <c r="S205" s="1063"/>
      <c r="T205" s="1063"/>
      <c r="U205" s="1063"/>
      <c r="V205" s="1063"/>
      <c r="W205" s="1063"/>
      <c r="X205" s="1063"/>
      <c r="Y205" s="1063"/>
      <c r="Z205" s="1063"/>
      <c r="AA205" s="1063"/>
      <c r="AB205" s="1063"/>
      <c r="AC205" s="1063"/>
      <c r="AD205" s="1063"/>
      <c r="AE205" s="1063"/>
      <c r="AF205" s="1063"/>
      <c r="AG205" s="1063"/>
      <c r="AH205" s="1063"/>
      <c r="AI205" s="1063"/>
      <c r="AJ205" s="1063"/>
      <c r="AK205" s="1063"/>
      <c r="AL205" s="1063"/>
      <c r="AM205" s="1063"/>
      <c r="AN205" s="1063"/>
      <c r="AO205" s="1063"/>
      <c r="AP205" s="1063"/>
      <c r="AQ205" s="1063"/>
      <c r="AR205" s="1063"/>
      <c r="AS205" s="1063"/>
      <c r="AT205" s="1063"/>
      <c r="AU205" s="1063"/>
      <c r="AV205" s="1063"/>
    </row>
    <row r="206" spans="1:48" s="1108" customFormat="1" ht="27.75" customHeight="1">
      <c r="A206" s="1076"/>
      <c r="B206" s="1074"/>
      <c r="D206" s="1063"/>
      <c r="F206" s="1076"/>
      <c r="G206" s="1063"/>
      <c r="H206" s="1063"/>
      <c r="I206" s="1063"/>
      <c r="J206" s="1063"/>
      <c r="K206" s="1063"/>
      <c r="L206" s="1063"/>
      <c r="M206" s="1063"/>
      <c r="N206" s="1063"/>
      <c r="O206" s="1063"/>
      <c r="P206" s="1063"/>
      <c r="Q206" s="1063"/>
      <c r="R206" s="1063"/>
      <c r="S206" s="1063"/>
      <c r="T206" s="1063"/>
      <c r="U206" s="1063"/>
      <c r="V206" s="1063"/>
      <c r="W206" s="1063"/>
      <c r="X206" s="1063"/>
      <c r="Y206" s="1063"/>
      <c r="Z206" s="1063"/>
      <c r="AA206" s="1063"/>
      <c r="AB206" s="1063"/>
      <c r="AC206" s="1063"/>
      <c r="AD206" s="1063"/>
      <c r="AE206" s="1063"/>
      <c r="AF206" s="1063"/>
      <c r="AG206" s="1063"/>
      <c r="AH206" s="1063"/>
      <c r="AI206" s="1063"/>
      <c r="AJ206" s="1063"/>
      <c r="AK206" s="1063"/>
      <c r="AL206" s="1063"/>
      <c r="AM206" s="1063"/>
      <c r="AN206" s="1063"/>
      <c r="AO206" s="1063"/>
      <c r="AP206" s="1063"/>
      <c r="AQ206" s="1063"/>
      <c r="AR206" s="1063"/>
      <c r="AS206" s="1063"/>
      <c r="AT206" s="1063"/>
      <c r="AU206" s="1063"/>
      <c r="AV206" s="1063"/>
    </row>
    <row r="207" spans="1:48" s="1108" customFormat="1" ht="27.75" customHeight="1">
      <c r="A207" s="1076"/>
      <c r="B207" s="1074"/>
      <c r="D207" s="1063"/>
      <c r="F207" s="1076"/>
      <c r="G207" s="1063"/>
      <c r="H207" s="1063"/>
      <c r="I207" s="1063"/>
      <c r="J207" s="1063"/>
      <c r="K207" s="1063"/>
      <c r="L207" s="1063"/>
      <c r="M207" s="1063"/>
      <c r="N207" s="1063"/>
      <c r="O207" s="1063"/>
      <c r="P207" s="1063"/>
      <c r="Q207" s="1063"/>
      <c r="R207" s="1063"/>
      <c r="S207" s="1063"/>
      <c r="T207" s="1063"/>
      <c r="U207" s="1063"/>
      <c r="V207" s="1063"/>
      <c r="W207" s="1063"/>
      <c r="X207" s="1063"/>
      <c r="Y207" s="1063"/>
      <c r="Z207" s="1063"/>
      <c r="AA207" s="1063"/>
      <c r="AB207" s="1063"/>
      <c r="AC207" s="1063"/>
      <c r="AD207" s="1063"/>
      <c r="AE207" s="1063"/>
      <c r="AF207" s="1063"/>
      <c r="AG207" s="1063"/>
      <c r="AH207" s="1063"/>
      <c r="AI207" s="1063"/>
      <c r="AJ207" s="1063"/>
      <c r="AK207" s="1063"/>
      <c r="AL207" s="1063"/>
      <c r="AM207" s="1063"/>
      <c r="AN207" s="1063"/>
      <c r="AO207" s="1063"/>
      <c r="AP207" s="1063"/>
      <c r="AQ207" s="1063"/>
      <c r="AR207" s="1063"/>
      <c r="AS207" s="1063"/>
      <c r="AT207" s="1063"/>
      <c r="AU207" s="1063"/>
      <c r="AV207" s="1063"/>
    </row>
    <row r="208" spans="1:48" s="1108" customFormat="1" ht="27.75" customHeight="1">
      <c r="A208" s="1076"/>
      <c r="B208" s="1074"/>
      <c r="D208" s="1063"/>
      <c r="F208" s="1076"/>
      <c r="G208" s="1063"/>
      <c r="H208" s="1063"/>
      <c r="I208" s="1063"/>
      <c r="J208" s="1063"/>
      <c r="K208" s="1063"/>
      <c r="L208" s="1063"/>
      <c r="M208" s="1063"/>
      <c r="N208" s="1063"/>
      <c r="O208" s="1063"/>
      <c r="P208" s="1063"/>
      <c r="Q208" s="1063"/>
      <c r="R208" s="1063"/>
      <c r="S208" s="1063"/>
      <c r="T208" s="1063"/>
      <c r="U208" s="1063"/>
      <c r="V208" s="1063"/>
      <c r="W208" s="1063"/>
      <c r="X208" s="1063"/>
      <c r="Y208" s="1063"/>
      <c r="Z208" s="1063"/>
      <c r="AA208" s="1063"/>
      <c r="AB208" s="1063"/>
      <c r="AC208" s="1063"/>
      <c r="AD208" s="1063"/>
      <c r="AE208" s="1063"/>
      <c r="AF208" s="1063"/>
      <c r="AG208" s="1063"/>
      <c r="AH208" s="1063"/>
      <c r="AI208" s="1063"/>
      <c r="AJ208" s="1063"/>
      <c r="AK208" s="1063"/>
      <c r="AL208" s="1063"/>
      <c r="AM208" s="1063"/>
      <c r="AN208" s="1063"/>
      <c r="AO208" s="1063"/>
      <c r="AP208" s="1063"/>
      <c r="AQ208" s="1063"/>
      <c r="AR208" s="1063"/>
      <c r="AS208" s="1063"/>
      <c r="AT208" s="1063"/>
      <c r="AU208" s="1063"/>
      <c r="AV208" s="1063"/>
    </row>
    <row r="209" spans="1:48" s="1108" customFormat="1" ht="27.75" customHeight="1">
      <c r="A209" s="1076"/>
      <c r="B209" s="1074"/>
      <c r="D209" s="1063"/>
      <c r="F209" s="1076"/>
      <c r="G209" s="1063"/>
      <c r="H209" s="1063"/>
      <c r="I209" s="1063"/>
      <c r="J209" s="1063"/>
      <c r="K209" s="1063"/>
      <c r="L209" s="1063"/>
      <c r="M209" s="1063"/>
      <c r="N209" s="1063"/>
      <c r="O209" s="1063"/>
      <c r="P209" s="1063"/>
      <c r="Q209" s="1063"/>
      <c r="R209" s="1063"/>
      <c r="S209" s="1063"/>
      <c r="T209" s="1063"/>
      <c r="U209" s="1063"/>
      <c r="V209" s="1063"/>
      <c r="W209" s="1063"/>
      <c r="X209" s="1063"/>
      <c r="Y209" s="1063"/>
      <c r="Z209" s="1063"/>
      <c r="AA209" s="1063"/>
      <c r="AB209" s="1063"/>
      <c r="AC209" s="1063"/>
      <c r="AD209" s="1063"/>
      <c r="AE209" s="1063"/>
      <c r="AF209" s="1063"/>
      <c r="AG209" s="1063"/>
      <c r="AH209" s="1063"/>
      <c r="AI209" s="1063"/>
      <c r="AJ209" s="1063"/>
      <c r="AK209" s="1063"/>
      <c r="AL209" s="1063"/>
      <c r="AM209" s="1063"/>
      <c r="AN209" s="1063"/>
      <c r="AO209" s="1063"/>
      <c r="AP209" s="1063"/>
      <c r="AQ209" s="1063"/>
      <c r="AR209" s="1063"/>
      <c r="AS209" s="1063"/>
      <c r="AT209" s="1063"/>
      <c r="AU209" s="1063"/>
      <c r="AV209" s="1063"/>
    </row>
    <row r="210" spans="1:48" s="1108" customFormat="1" ht="27.75" customHeight="1">
      <c r="A210" s="1076"/>
      <c r="B210" s="1074"/>
      <c r="D210" s="1063"/>
      <c r="F210" s="1076"/>
      <c r="G210" s="1063"/>
      <c r="H210" s="1063"/>
      <c r="I210" s="1063"/>
      <c r="J210" s="1063"/>
      <c r="K210" s="1063"/>
      <c r="L210" s="1063"/>
      <c r="M210" s="1063"/>
      <c r="N210" s="1063"/>
      <c r="O210" s="1063"/>
      <c r="P210" s="1063"/>
      <c r="Q210" s="1063"/>
      <c r="R210" s="1063"/>
      <c r="S210" s="1063"/>
      <c r="T210" s="1063"/>
      <c r="U210" s="1063"/>
      <c r="V210" s="1063"/>
      <c r="W210" s="1063"/>
      <c r="X210" s="1063"/>
      <c r="Y210" s="1063"/>
      <c r="Z210" s="1063"/>
      <c r="AA210" s="1063"/>
      <c r="AB210" s="1063"/>
      <c r="AC210" s="1063"/>
      <c r="AD210" s="1063"/>
      <c r="AE210" s="1063"/>
      <c r="AF210" s="1063"/>
      <c r="AG210" s="1063"/>
      <c r="AH210" s="1063"/>
      <c r="AI210" s="1063"/>
      <c r="AJ210" s="1063"/>
      <c r="AK210" s="1063"/>
      <c r="AL210" s="1063"/>
      <c r="AM210" s="1063"/>
      <c r="AN210" s="1063"/>
      <c r="AO210" s="1063"/>
      <c r="AP210" s="1063"/>
      <c r="AQ210" s="1063"/>
      <c r="AR210" s="1063"/>
      <c r="AS210" s="1063"/>
      <c r="AT210" s="1063"/>
      <c r="AU210" s="1063"/>
      <c r="AV210" s="1063"/>
    </row>
    <row r="211" spans="1:48" s="1108" customFormat="1" ht="27.75" customHeight="1">
      <c r="A211" s="1076"/>
      <c r="B211" s="1074"/>
      <c r="D211" s="1063"/>
      <c r="F211" s="1076"/>
      <c r="G211" s="1063"/>
      <c r="H211" s="1063"/>
      <c r="I211" s="1063"/>
      <c r="J211" s="1063"/>
      <c r="K211" s="1063"/>
      <c r="L211" s="1063"/>
      <c r="M211" s="1063"/>
      <c r="N211" s="1063"/>
      <c r="O211" s="1063"/>
      <c r="P211" s="1063"/>
      <c r="Q211" s="1063"/>
      <c r="R211" s="1063"/>
      <c r="S211" s="1063"/>
      <c r="T211" s="1063"/>
      <c r="U211" s="1063"/>
      <c r="V211" s="1063"/>
      <c r="W211" s="1063"/>
      <c r="X211" s="1063"/>
      <c r="Y211" s="1063"/>
      <c r="Z211" s="1063"/>
      <c r="AA211" s="1063"/>
      <c r="AB211" s="1063"/>
      <c r="AC211" s="1063"/>
      <c r="AD211" s="1063"/>
      <c r="AE211" s="1063"/>
      <c r="AF211" s="1063"/>
      <c r="AG211" s="1063"/>
      <c r="AH211" s="1063"/>
      <c r="AI211" s="1063"/>
      <c r="AJ211" s="1063"/>
      <c r="AK211" s="1063"/>
      <c r="AL211" s="1063"/>
      <c r="AM211" s="1063"/>
      <c r="AN211" s="1063"/>
      <c r="AO211" s="1063"/>
      <c r="AP211" s="1063"/>
      <c r="AQ211" s="1063"/>
      <c r="AR211" s="1063"/>
      <c r="AS211" s="1063"/>
      <c r="AT211" s="1063"/>
      <c r="AU211" s="1063"/>
      <c r="AV211" s="1063"/>
    </row>
    <row r="212" spans="1:48" s="1108" customFormat="1" ht="27.75" customHeight="1">
      <c r="A212" s="1076"/>
      <c r="B212" s="1074"/>
      <c r="D212" s="1063"/>
      <c r="F212" s="1076"/>
      <c r="G212" s="1063"/>
      <c r="H212" s="1063"/>
      <c r="I212" s="1063"/>
      <c r="J212" s="1063"/>
      <c r="K212" s="1063"/>
      <c r="L212" s="1063"/>
      <c r="M212" s="1063"/>
      <c r="N212" s="1063"/>
      <c r="O212" s="1063"/>
      <c r="P212" s="1063"/>
      <c r="Q212" s="1063"/>
      <c r="R212" s="1063"/>
      <c r="S212" s="1063"/>
      <c r="T212" s="1063"/>
      <c r="U212" s="1063"/>
      <c r="V212" s="1063"/>
      <c r="W212" s="1063"/>
      <c r="X212" s="1063"/>
      <c r="Y212" s="1063"/>
      <c r="Z212" s="1063"/>
      <c r="AA212" s="1063"/>
      <c r="AB212" s="1063"/>
      <c r="AC212" s="1063"/>
      <c r="AD212" s="1063"/>
      <c r="AE212" s="1063"/>
      <c r="AF212" s="1063"/>
      <c r="AG212" s="1063"/>
      <c r="AH212" s="1063"/>
      <c r="AI212" s="1063"/>
      <c r="AJ212" s="1063"/>
      <c r="AK212" s="1063"/>
      <c r="AL212" s="1063"/>
      <c r="AM212" s="1063"/>
      <c r="AN212" s="1063"/>
      <c r="AO212" s="1063"/>
      <c r="AP212" s="1063"/>
      <c r="AQ212" s="1063"/>
      <c r="AR212" s="1063"/>
      <c r="AS212" s="1063"/>
      <c r="AT212" s="1063"/>
      <c r="AU212" s="1063"/>
      <c r="AV212" s="1063"/>
    </row>
    <row r="213" spans="1:48" s="1108" customFormat="1" ht="27.75" customHeight="1">
      <c r="A213" s="1076"/>
      <c r="B213" s="1074"/>
      <c r="D213" s="1063"/>
      <c r="F213" s="1076"/>
      <c r="G213" s="1063"/>
      <c r="H213" s="1063"/>
      <c r="I213" s="1063"/>
      <c r="J213" s="1063"/>
      <c r="K213" s="1063"/>
      <c r="L213" s="1063"/>
      <c r="M213" s="1063"/>
      <c r="N213" s="1063"/>
      <c r="O213" s="1063"/>
      <c r="P213" s="1063"/>
      <c r="Q213" s="1063"/>
      <c r="R213" s="1063"/>
      <c r="S213" s="1063"/>
      <c r="T213" s="1063"/>
      <c r="U213" s="1063"/>
      <c r="V213" s="1063"/>
      <c r="W213" s="1063"/>
      <c r="X213" s="1063"/>
      <c r="Y213" s="1063"/>
      <c r="Z213" s="1063"/>
      <c r="AA213" s="1063"/>
      <c r="AB213" s="1063"/>
      <c r="AC213" s="1063"/>
      <c r="AD213" s="1063"/>
      <c r="AE213" s="1063"/>
      <c r="AF213" s="1063"/>
      <c r="AG213" s="1063"/>
      <c r="AH213" s="1063"/>
      <c r="AI213" s="1063"/>
      <c r="AJ213" s="1063"/>
      <c r="AK213" s="1063"/>
      <c r="AL213" s="1063"/>
      <c r="AM213" s="1063"/>
      <c r="AN213" s="1063"/>
      <c r="AO213" s="1063"/>
      <c r="AP213" s="1063"/>
      <c r="AQ213" s="1063"/>
      <c r="AR213" s="1063"/>
      <c r="AS213" s="1063"/>
      <c r="AT213" s="1063"/>
      <c r="AU213" s="1063"/>
      <c r="AV213" s="1063"/>
    </row>
    <row r="214" spans="1:48" s="1108" customFormat="1" ht="27.75" customHeight="1">
      <c r="A214" s="1076"/>
      <c r="B214" s="1074"/>
      <c r="D214" s="1063"/>
      <c r="F214" s="1076"/>
      <c r="G214" s="1063"/>
      <c r="H214" s="1063"/>
      <c r="I214" s="1063"/>
      <c r="J214" s="1063"/>
      <c r="K214" s="1063"/>
      <c r="L214" s="1063"/>
      <c r="M214" s="1063"/>
      <c r="N214" s="1063"/>
      <c r="O214" s="1063"/>
      <c r="P214" s="1063"/>
      <c r="Q214" s="1063"/>
      <c r="R214" s="1063"/>
      <c r="S214" s="1063"/>
      <c r="T214" s="1063"/>
      <c r="U214" s="1063"/>
      <c r="V214" s="1063"/>
      <c r="W214" s="1063"/>
      <c r="X214" s="1063"/>
      <c r="Y214" s="1063"/>
      <c r="Z214" s="1063"/>
      <c r="AA214" s="1063"/>
      <c r="AB214" s="1063"/>
      <c r="AC214" s="1063"/>
      <c r="AD214" s="1063"/>
      <c r="AE214" s="1063"/>
      <c r="AF214" s="1063"/>
      <c r="AG214" s="1063"/>
      <c r="AH214" s="1063"/>
      <c r="AI214" s="1063"/>
      <c r="AJ214" s="1063"/>
      <c r="AK214" s="1063"/>
      <c r="AL214" s="1063"/>
      <c r="AM214" s="1063"/>
      <c r="AN214" s="1063"/>
      <c r="AO214" s="1063"/>
      <c r="AP214" s="1063"/>
      <c r="AQ214" s="1063"/>
      <c r="AR214" s="1063"/>
      <c r="AS214" s="1063"/>
      <c r="AT214" s="1063"/>
      <c r="AU214" s="1063"/>
      <c r="AV214" s="1063"/>
    </row>
    <row r="215" spans="1:48" s="1108" customFormat="1" ht="27.75" customHeight="1">
      <c r="A215" s="1076"/>
      <c r="B215" s="1074"/>
      <c r="D215" s="1063"/>
      <c r="F215" s="1076"/>
      <c r="G215" s="1063"/>
      <c r="H215" s="1063"/>
      <c r="I215" s="1063"/>
      <c r="J215" s="1063"/>
      <c r="K215" s="1063"/>
      <c r="L215" s="1063"/>
      <c r="M215" s="1063"/>
      <c r="N215" s="1063"/>
      <c r="O215" s="1063"/>
      <c r="P215" s="1063"/>
      <c r="Q215" s="1063"/>
      <c r="R215" s="1063"/>
      <c r="S215" s="1063"/>
      <c r="T215" s="1063"/>
      <c r="U215" s="1063"/>
      <c r="V215" s="1063"/>
      <c r="W215" s="1063"/>
      <c r="X215" s="1063"/>
      <c r="Y215" s="1063"/>
      <c r="Z215" s="1063"/>
      <c r="AA215" s="1063"/>
      <c r="AB215" s="1063"/>
      <c r="AC215" s="1063"/>
      <c r="AD215" s="1063"/>
      <c r="AE215" s="1063"/>
      <c r="AF215" s="1063"/>
      <c r="AG215" s="1063"/>
      <c r="AH215" s="1063"/>
      <c r="AI215" s="1063"/>
      <c r="AJ215" s="1063"/>
      <c r="AK215" s="1063"/>
      <c r="AL215" s="1063"/>
      <c r="AM215" s="1063"/>
      <c r="AN215" s="1063"/>
      <c r="AO215" s="1063"/>
      <c r="AP215" s="1063"/>
      <c r="AQ215" s="1063"/>
      <c r="AR215" s="1063"/>
      <c r="AS215" s="1063"/>
      <c r="AT215" s="1063"/>
      <c r="AU215" s="1063"/>
      <c r="AV215" s="1063"/>
    </row>
    <row r="216" spans="1:48" s="1108" customFormat="1" ht="27.75" customHeight="1">
      <c r="A216" s="1076"/>
      <c r="B216" s="1074"/>
      <c r="D216" s="1063"/>
      <c r="F216" s="1076"/>
      <c r="G216" s="1063"/>
      <c r="H216" s="1063"/>
      <c r="I216" s="1063"/>
      <c r="J216" s="1063"/>
      <c r="K216" s="1063"/>
      <c r="L216" s="1063"/>
      <c r="M216" s="1063"/>
      <c r="N216" s="1063"/>
      <c r="O216" s="1063"/>
      <c r="P216" s="1063"/>
      <c r="Q216" s="1063"/>
      <c r="R216" s="1063"/>
      <c r="S216" s="1063"/>
      <c r="T216" s="1063"/>
      <c r="U216" s="1063"/>
      <c r="V216" s="1063"/>
      <c r="W216" s="1063"/>
      <c r="X216" s="1063"/>
      <c r="Y216" s="1063"/>
      <c r="Z216" s="1063"/>
      <c r="AA216" s="1063"/>
      <c r="AB216" s="1063"/>
      <c r="AC216" s="1063"/>
      <c r="AD216" s="1063"/>
      <c r="AE216" s="1063"/>
      <c r="AF216" s="1063"/>
      <c r="AG216" s="1063"/>
      <c r="AH216" s="1063"/>
      <c r="AI216" s="1063"/>
      <c r="AJ216" s="1063"/>
      <c r="AK216" s="1063"/>
      <c r="AL216" s="1063"/>
      <c r="AM216" s="1063"/>
      <c r="AN216" s="1063"/>
      <c r="AO216" s="1063"/>
      <c r="AP216" s="1063"/>
      <c r="AQ216" s="1063"/>
      <c r="AR216" s="1063"/>
      <c r="AS216" s="1063"/>
      <c r="AT216" s="1063"/>
      <c r="AU216" s="1063"/>
      <c r="AV216" s="1063"/>
    </row>
    <row r="217" spans="1:48" s="1108" customFormat="1" ht="27.75" customHeight="1">
      <c r="A217" s="1076"/>
      <c r="B217" s="1074"/>
      <c r="D217" s="1063"/>
      <c r="F217" s="1076"/>
      <c r="G217" s="1063"/>
      <c r="H217" s="1063"/>
      <c r="I217" s="1063"/>
      <c r="J217" s="1063"/>
      <c r="K217" s="1063"/>
      <c r="L217" s="1063"/>
      <c r="M217" s="1063"/>
      <c r="N217" s="1063"/>
      <c r="O217" s="1063"/>
      <c r="P217" s="1063"/>
      <c r="Q217" s="1063"/>
      <c r="R217" s="1063"/>
      <c r="S217" s="1063"/>
      <c r="T217" s="1063"/>
      <c r="U217" s="1063"/>
      <c r="V217" s="1063"/>
      <c r="W217" s="1063"/>
      <c r="X217" s="1063"/>
      <c r="Y217" s="1063"/>
      <c r="Z217" s="1063"/>
      <c r="AA217" s="1063"/>
      <c r="AB217" s="1063"/>
      <c r="AC217" s="1063"/>
      <c r="AD217" s="1063"/>
      <c r="AE217" s="1063"/>
      <c r="AF217" s="1063"/>
      <c r="AG217" s="1063"/>
      <c r="AH217" s="1063"/>
      <c r="AI217" s="1063"/>
      <c r="AJ217" s="1063"/>
      <c r="AK217" s="1063"/>
      <c r="AL217" s="1063"/>
      <c r="AM217" s="1063"/>
      <c r="AN217" s="1063"/>
      <c r="AO217" s="1063"/>
      <c r="AP217" s="1063"/>
      <c r="AQ217" s="1063"/>
      <c r="AR217" s="1063"/>
      <c r="AS217" s="1063"/>
      <c r="AT217" s="1063"/>
      <c r="AU217" s="1063"/>
      <c r="AV217" s="1063"/>
    </row>
    <row r="218" spans="1:48" s="1108" customFormat="1" ht="27.75" customHeight="1">
      <c r="A218" s="1076"/>
      <c r="B218" s="1074"/>
      <c r="D218" s="1063"/>
      <c r="F218" s="1076"/>
      <c r="G218" s="1063"/>
      <c r="H218" s="1063"/>
      <c r="I218" s="1063"/>
      <c r="J218" s="1063"/>
      <c r="K218" s="1063"/>
      <c r="L218" s="1063"/>
      <c r="M218" s="1063"/>
      <c r="N218" s="1063"/>
      <c r="O218" s="1063"/>
      <c r="P218" s="1063"/>
      <c r="Q218" s="1063"/>
      <c r="R218" s="1063"/>
      <c r="S218" s="1063"/>
      <c r="T218" s="1063"/>
      <c r="U218" s="1063"/>
      <c r="V218" s="1063"/>
      <c r="W218" s="1063"/>
      <c r="X218" s="1063"/>
      <c r="Y218" s="1063"/>
      <c r="Z218" s="1063"/>
      <c r="AA218" s="1063"/>
      <c r="AB218" s="1063"/>
      <c r="AC218" s="1063"/>
      <c r="AD218" s="1063"/>
      <c r="AE218" s="1063"/>
      <c r="AF218" s="1063"/>
      <c r="AG218" s="1063"/>
      <c r="AH218" s="1063"/>
      <c r="AI218" s="1063"/>
      <c r="AJ218" s="1063"/>
      <c r="AK218" s="1063"/>
      <c r="AL218" s="1063"/>
      <c r="AM218" s="1063"/>
      <c r="AN218" s="1063"/>
      <c r="AO218" s="1063"/>
      <c r="AP218" s="1063"/>
      <c r="AQ218" s="1063"/>
      <c r="AR218" s="1063"/>
      <c r="AS218" s="1063"/>
      <c r="AT218" s="1063"/>
      <c r="AU218" s="1063"/>
      <c r="AV218" s="1063"/>
    </row>
    <row r="219" spans="1:48" s="1108" customFormat="1" ht="27.75" customHeight="1">
      <c r="A219" s="1076"/>
      <c r="B219" s="1074"/>
      <c r="D219" s="1063"/>
      <c r="F219" s="1076"/>
      <c r="G219" s="1063"/>
      <c r="H219" s="1063"/>
      <c r="I219" s="1063"/>
      <c r="J219" s="1063"/>
      <c r="K219" s="1063"/>
      <c r="L219" s="1063"/>
      <c r="M219" s="1063"/>
      <c r="N219" s="1063"/>
      <c r="O219" s="1063"/>
      <c r="P219" s="1063"/>
      <c r="Q219" s="1063"/>
      <c r="R219" s="1063"/>
      <c r="S219" s="1063"/>
      <c r="T219" s="1063"/>
      <c r="U219" s="1063"/>
      <c r="V219" s="1063"/>
      <c r="W219" s="1063"/>
      <c r="X219" s="1063"/>
      <c r="Y219" s="1063"/>
      <c r="Z219" s="1063"/>
      <c r="AA219" s="1063"/>
      <c r="AB219" s="1063"/>
      <c r="AC219" s="1063"/>
      <c r="AD219" s="1063"/>
      <c r="AE219" s="1063"/>
      <c r="AF219" s="1063"/>
      <c r="AG219" s="1063"/>
      <c r="AH219" s="1063"/>
      <c r="AI219" s="1063"/>
      <c r="AJ219" s="1063"/>
      <c r="AK219" s="1063"/>
      <c r="AL219" s="1063"/>
      <c r="AM219" s="1063"/>
      <c r="AN219" s="1063"/>
      <c r="AO219" s="1063"/>
      <c r="AP219" s="1063"/>
      <c r="AQ219" s="1063"/>
      <c r="AR219" s="1063"/>
      <c r="AS219" s="1063"/>
      <c r="AT219" s="1063"/>
      <c r="AU219" s="1063"/>
      <c r="AV219" s="1063"/>
    </row>
    <row r="220" spans="1:48" s="1108" customFormat="1" ht="27.75" customHeight="1">
      <c r="A220" s="1076"/>
      <c r="B220" s="1074"/>
      <c r="D220" s="1063"/>
      <c r="F220" s="1076"/>
      <c r="G220" s="1063"/>
      <c r="H220" s="1063"/>
      <c r="I220" s="1063"/>
      <c r="J220" s="1063"/>
      <c r="K220" s="1063"/>
      <c r="L220" s="1063"/>
      <c r="M220" s="1063"/>
      <c r="N220" s="1063"/>
      <c r="O220" s="1063"/>
      <c r="P220" s="1063"/>
      <c r="Q220" s="1063"/>
      <c r="R220" s="1063"/>
      <c r="S220" s="1063"/>
      <c r="T220" s="1063"/>
      <c r="U220" s="1063"/>
      <c r="V220" s="1063"/>
      <c r="W220" s="1063"/>
      <c r="X220" s="1063"/>
      <c r="Y220" s="1063"/>
      <c r="Z220" s="1063"/>
      <c r="AA220" s="1063"/>
      <c r="AB220" s="1063"/>
      <c r="AC220" s="1063"/>
      <c r="AD220" s="1063"/>
      <c r="AE220" s="1063"/>
      <c r="AF220" s="1063"/>
      <c r="AG220" s="1063"/>
      <c r="AH220" s="1063"/>
      <c r="AI220" s="1063"/>
      <c r="AJ220" s="1063"/>
      <c r="AK220" s="1063"/>
      <c r="AL220" s="1063"/>
      <c r="AM220" s="1063"/>
      <c r="AN220" s="1063"/>
      <c r="AO220" s="1063"/>
      <c r="AP220" s="1063"/>
      <c r="AQ220" s="1063"/>
      <c r="AR220" s="1063"/>
      <c r="AS220" s="1063"/>
      <c r="AT220" s="1063"/>
      <c r="AU220" s="1063"/>
      <c r="AV220" s="1063"/>
    </row>
    <row r="221" spans="1:48" s="1108" customFormat="1" ht="27.75" customHeight="1">
      <c r="A221" s="1076"/>
      <c r="B221" s="1074"/>
      <c r="D221" s="1063"/>
      <c r="F221" s="1076"/>
      <c r="G221" s="1063"/>
      <c r="H221" s="1063"/>
      <c r="I221" s="1063"/>
      <c r="J221" s="1063"/>
      <c r="K221" s="1063"/>
      <c r="L221" s="1063"/>
      <c r="M221" s="1063"/>
      <c r="N221" s="1063"/>
      <c r="O221" s="1063"/>
      <c r="P221" s="1063"/>
      <c r="Q221" s="1063"/>
      <c r="R221" s="1063"/>
      <c r="S221" s="1063"/>
      <c r="T221" s="1063"/>
      <c r="U221" s="1063"/>
      <c r="V221" s="1063"/>
      <c r="W221" s="1063"/>
      <c r="X221" s="1063"/>
      <c r="Y221" s="1063"/>
      <c r="Z221" s="1063"/>
      <c r="AA221" s="1063"/>
      <c r="AB221" s="1063"/>
      <c r="AC221" s="1063"/>
      <c r="AD221" s="1063"/>
      <c r="AE221" s="1063"/>
      <c r="AF221" s="1063"/>
      <c r="AG221" s="1063"/>
      <c r="AH221" s="1063"/>
      <c r="AI221" s="1063"/>
      <c r="AJ221" s="1063"/>
      <c r="AK221" s="1063"/>
      <c r="AL221" s="1063"/>
      <c r="AM221" s="1063"/>
      <c r="AN221" s="1063"/>
      <c r="AO221" s="1063"/>
      <c r="AP221" s="1063"/>
      <c r="AQ221" s="1063"/>
      <c r="AR221" s="1063"/>
      <c r="AS221" s="1063"/>
      <c r="AT221" s="1063"/>
      <c r="AU221" s="1063"/>
      <c r="AV221" s="1063"/>
    </row>
    <row r="222" spans="1:48" s="1108" customFormat="1" ht="27.75" customHeight="1">
      <c r="A222" s="1076"/>
      <c r="B222" s="1074"/>
      <c r="D222" s="1063"/>
      <c r="F222" s="1076"/>
      <c r="G222" s="1063"/>
      <c r="H222" s="1063"/>
      <c r="I222" s="1063"/>
      <c r="J222" s="1063"/>
      <c r="K222" s="1063"/>
      <c r="L222" s="1063"/>
      <c r="M222" s="1063"/>
      <c r="N222" s="1063"/>
      <c r="O222" s="1063"/>
      <c r="P222" s="1063"/>
      <c r="Q222" s="1063"/>
      <c r="R222" s="1063"/>
      <c r="S222" s="1063"/>
      <c r="T222" s="1063"/>
      <c r="U222" s="1063"/>
      <c r="V222" s="1063"/>
      <c r="W222" s="1063"/>
      <c r="X222" s="1063"/>
      <c r="Y222" s="1063"/>
      <c r="Z222" s="1063"/>
      <c r="AA222" s="1063"/>
      <c r="AB222" s="1063"/>
      <c r="AC222" s="1063"/>
      <c r="AD222" s="1063"/>
      <c r="AE222" s="1063"/>
      <c r="AF222" s="1063"/>
      <c r="AG222" s="1063"/>
      <c r="AH222" s="1063"/>
      <c r="AI222" s="1063"/>
      <c r="AJ222" s="1063"/>
      <c r="AK222" s="1063"/>
      <c r="AL222" s="1063"/>
      <c r="AM222" s="1063"/>
      <c r="AN222" s="1063"/>
      <c r="AO222" s="1063"/>
      <c r="AP222" s="1063"/>
      <c r="AQ222" s="1063"/>
      <c r="AR222" s="1063"/>
      <c r="AS222" s="1063"/>
      <c r="AT222" s="1063"/>
      <c r="AU222" s="1063"/>
      <c r="AV222" s="1063"/>
    </row>
    <row r="223" spans="1:48" s="1108" customFormat="1" ht="27.75" customHeight="1">
      <c r="A223" s="1076"/>
      <c r="B223" s="1074"/>
      <c r="D223" s="1063"/>
      <c r="F223" s="1076"/>
      <c r="G223" s="1063"/>
      <c r="H223" s="1063"/>
      <c r="I223" s="1063"/>
      <c r="J223" s="1063"/>
      <c r="K223" s="1063"/>
      <c r="L223" s="1063"/>
      <c r="M223" s="1063"/>
      <c r="N223" s="1063"/>
      <c r="O223" s="1063"/>
      <c r="P223" s="1063"/>
      <c r="Q223" s="1063"/>
      <c r="R223" s="1063"/>
      <c r="S223" s="1063"/>
      <c r="T223" s="1063"/>
      <c r="U223" s="1063"/>
      <c r="V223" s="1063"/>
      <c r="W223" s="1063"/>
      <c r="X223" s="1063"/>
      <c r="Y223" s="1063"/>
      <c r="Z223" s="1063"/>
      <c r="AA223" s="1063"/>
      <c r="AB223" s="1063"/>
      <c r="AC223" s="1063"/>
      <c r="AD223" s="1063"/>
      <c r="AE223" s="1063"/>
      <c r="AF223" s="1063"/>
      <c r="AG223" s="1063"/>
      <c r="AH223" s="1063"/>
      <c r="AI223" s="1063"/>
      <c r="AJ223" s="1063"/>
      <c r="AK223" s="1063"/>
      <c r="AL223" s="1063"/>
      <c r="AM223" s="1063"/>
      <c r="AN223" s="1063"/>
      <c r="AO223" s="1063"/>
      <c r="AP223" s="1063"/>
      <c r="AQ223" s="1063"/>
      <c r="AR223" s="1063"/>
      <c r="AS223" s="1063"/>
      <c r="AT223" s="1063"/>
      <c r="AU223" s="1063"/>
      <c r="AV223" s="1063"/>
    </row>
    <row r="224" spans="1:48" s="1108" customFormat="1" ht="27.75" customHeight="1">
      <c r="A224" s="1076"/>
      <c r="B224" s="1074"/>
      <c r="D224" s="1063"/>
      <c r="F224" s="1076"/>
      <c r="G224" s="1063"/>
      <c r="H224" s="1063"/>
      <c r="I224" s="1063"/>
      <c r="J224" s="1063"/>
      <c r="K224" s="1063"/>
      <c r="L224" s="1063"/>
      <c r="M224" s="1063"/>
      <c r="N224" s="1063"/>
      <c r="O224" s="1063"/>
      <c r="P224" s="1063"/>
      <c r="Q224" s="1063"/>
      <c r="R224" s="1063"/>
      <c r="S224" s="1063"/>
      <c r="T224" s="1063"/>
      <c r="U224" s="1063"/>
      <c r="V224" s="1063"/>
      <c r="W224" s="1063"/>
      <c r="X224" s="1063"/>
      <c r="Y224" s="1063"/>
      <c r="Z224" s="1063"/>
      <c r="AA224" s="1063"/>
      <c r="AB224" s="1063"/>
      <c r="AC224" s="1063"/>
      <c r="AD224" s="1063"/>
      <c r="AE224" s="1063"/>
      <c r="AF224" s="1063"/>
      <c r="AG224" s="1063"/>
      <c r="AH224" s="1063"/>
      <c r="AI224" s="1063"/>
      <c r="AJ224" s="1063"/>
      <c r="AK224" s="1063"/>
      <c r="AL224" s="1063"/>
      <c r="AM224" s="1063"/>
      <c r="AN224" s="1063"/>
      <c r="AO224" s="1063"/>
      <c r="AP224" s="1063"/>
      <c r="AQ224" s="1063"/>
      <c r="AR224" s="1063"/>
      <c r="AS224" s="1063"/>
      <c r="AT224" s="1063"/>
      <c r="AU224" s="1063"/>
      <c r="AV224" s="1063"/>
    </row>
    <row r="225" spans="1:48" s="1108" customFormat="1" ht="27.75" customHeight="1">
      <c r="A225" s="1076"/>
      <c r="B225" s="1074"/>
      <c r="D225" s="1063"/>
      <c r="F225" s="1076"/>
      <c r="G225" s="1063"/>
      <c r="H225" s="1063"/>
      <c r="I225" s="1063"/>
      <c r="J225" s="1063"/>
      <c r="K225" s="1063"/>
      <c r="L225" s="1063"/>
      <c r="M225" s="1063"/>
      <c r="N225" s="1063"/>
      <c r="O225" s="1063"/>
      <c r="P225" s="1063"/>
      <c r="Q225" s="1063"/>
      <c r="R225" s="1063"/>
      <c r="S225" s="1063"/>
      <c r="T225" s="1063"/>
      <c r="U225" s="1063"/>
      <c r="V225" s="1063"/>
      <c r="W225" s="1063"/>
      <c r="X225" s="1063"/>
      <c r="Y225" s="1063"/>
      <c r="Z225" s="1063"/>
      <c r="AA225" s="1063"/>
      <c r="AB225" s="1063"/>
      <c r="AC225" s="1063"/>
      <c r="AD225" s="1063"/>
      <c r="AE225" s="1063"/>
      <c r="AF225" s="1063"/>
      <c r="AG225" s="1063"/>
      <c r="AH225" s="1063"/>
      <c r="AI225" s="1063"/>
      <c r="AJ225" s="1063"/>
      <c r="AK225" s="1063"/>
      <c r="AL225" s="1063"/>
      <c r="AM225" s="1063"/>
      <c r="AN225" s="1063"/>
      <c r="AO225" s="1063"/>
      <c r="AP225" s="1063"/>
      <c r="AQ225" s="1063"/>
      <c r="AR225" s="1063"/>
      <c r="AS225" s="1063"/>
      <c r="AT225" s="1063"/>
      <c r="AU225" s="1063"/>
      <c r="AV225" s="1063"/>
    </row>
    <row r="226" spans="1:48" s="1108" customFormat="1" ht="27.75" customHeight="1">
      <c r="A226" s="1076"/>
      <c r="B226" s="1074"/>
      <c r="D226" s="1063"/>
      <c r="F226" s="1076"/>
      <c r="G226" s="1063"/>
      <c r="H226" s="1063"/>
      <c r="I226" s="1063"/>
      <c r="J226" s="1063"/>
      <c r="K226" s="1063"/>
      <c r="L226" s="1063"/>
      <c r="M226" s="1063"/>
      <c r="N226" s="1063"/>
      <c r="O226" s="1063"/>
      <c r="P226" s="1063"/>
      <c r="Q226" s="1063"/>
      <c r="R226" s="1063"/>
      <c r="S226" s="1063"/>
      <c r="T226" s="1063"/>
      <c r="U226" s="1063"/>
      <c r="V226" s="1063"/>
      <c r="W226" s="1063"/>
      <c r="X226" s="1063"/>
      <c r="Y226" s="1063"/>
      <c r="Z226" s="1063"/>
      <c r="AA226" s="1063"/>
      <c r="AB226" s="1063"/>
      <c r="AC226" s="1063"/>
      <c r="AD226" s="1063"/>
      <c r="AE226" s="1063"/>
      <c r="AF226" s="1063"/>
      <c r="AG226" s="1063"/>
      <c r="AH226" s="1063"/>
      <c r="AI226" s="1063"/>
      <c r="AJ226" s="1063"/>
      <c r="AK226" s="1063"/>
      <c r="AL226" s="1063"/>
      <c r="AM226" s="1063"/>
      <c r="AN226" s="1063"/>
      <c r="AO226" s="1063"/>
      <c r="AP226" s="1063"/>
      <c r="AQ226" s="1063"/>
      <c r="AR226" s="1063"/>
      <c r="AS226" s="1063"/>
      <c r="AT226" s="1063"/>
      <c r="AU226" s="1063"/>
      <c r="AV226" s="1063"/>
    </row>
    <row r="227" spans="1:48" s="1108" customFormat="1" ht="27.75" customHeight="1">
      <c r="A227" s="1076"/>
      <c r="B227" s="1074"/>
      <c r="D227" s="1063"/>
      <c r="F227" s="1076"/>
      <c r="G227" s="1063"/>
      <c r="H227" s="1063"/>
      <c r="I227" s="1063"/>
      <c r="J227" s="1063"/>
      <c r="K227" s="1063"/>
      <c r="L227" s="1063"/>
      <c r="M227" s="1063"/>
      <c r="N227" s="1063"/>
      <c r="O227" s="1063"/>
      <c r="P227" s="1063"/>
      <c r="Q227" s="1063"/>
      <c r="R227" s="1063"/>
      <c r="S227" s="1063"/>
      <c r="T227" s="1063"/>
      <c r="U227" s="1063"/>
      <c r="V227" s="1063"/>
      <c r="W227" s="1063"/>
      <c r="X227" s="1063"/>
      <c r="Y227" s="1063"/>
      <c r="Z227" s="1063"/>
      <c r="AA227" s="1063"/>
      <c r="AB227" s="1063"/>
      <c r="AC227" s="1063"/>
      <c r="AD227" s="1063"/>
      <c r="AE227" s="1063"/>
      <c r="AF227" s="1063"/>
      <c r="AG227" s="1063"/>
      <c r="AH227" s="1063"/>
      <c r="AI227" s="1063"/>
      <c r="AJ227" s="1063"/>
      <c r="AK227" s="1063"/>
      <c r="AL227" s="1063"/>
      <c r="AM227" s="1063"/>
      <c r="AN227" s="1063"/>
      <c r="AO227" s="1063"/>
      <c r="AP227" s="1063"/>
      <c r="AQ227" s="1063"/>
      <c r="AR227" s="1063"/>
      <c r="AS227" s="1063"/>
      <c r="AT227" s="1063"/>
      <c r="AU227" s="1063"/>
      <c r="AV227" s="1063"/>
    </row>
    <row r="228" spans="1:48" s="1108" customFormat="1" ht="27.75" customHeight="1">
      <c r="A228" s="1076"/>
      <c r="B228" s="1074"/>
      <c r="D228" s="1063"/>
      <c r="F228" s="1076"/>
      <c r="G228" s="1063"/>
      <c r="H228" s="1063"/>
      <c r="I228" s="1063"/>
      <c r="J228" s="1063"/>
      <c r="K228" s="1063"/>
      <c r="L228" s="1063"/>
      <c r="M228" s="1063"/>
      <c r="N228" s="1063"/>
      <c r="O228" s="1063"/>
      <c r="P228" s="1063"/>
      <c r="Q228" s="1063"/>
      <c r="R228" s="1063"/>
      <c r="S228" s="1063"/>
      <c r="T228" s="1063"/>
      <c r="U228" s="1063"/>
      <c r="V228" s="1063"/>
      <c r="W228" s="1063"/>
      <c r="X228" s="1063"/>
      <c r="Y228" s="1063"/>
      <c r="Z228" s="1063"/>
      <c r="AA228" s="1063"/>
      <c r="AB228" s="1063"/>
      <c r="AC228" s="1063"/>
      <c r="AD228" s="1063"/>
      <c r="AE228" s="1063"/>
      <c r="AF228" s="1063"/>
      <c r="AG228" s="1063"/>
      <c r="AH228" s="1063"/>
      <c r="AI228" s="1063"/>
      <c r="AJ228" s="1063"/>
      <c r="AK228" s="1063"/>
      <c r="AL228" s="1063"/>
      <c r="AM228" s="1063"/>
      <c r="AN228" s="1063"/>
      <c r="AO228" s="1063"/>
      <c r="AP228" s="1063"/>
      <c r="AQ228" s="1063"/>
      <c r="AR228" s="1063"/>
      <c r="AS228" s="1063"/>
      <c r="AT228" s="1063"/>
      <c r="AU228" s="1063"/>
      <c r="AV228" s="1063"/>
    </row>
    <row r="229" spans="1:48" s="1108" customFormat="1" ht="27.75" customHeight="1">
      <c r="A229" s="1076"/>
      <c r="B229" s="1074"/>
      <c r="D229" s="1063"/>
      <c r="F229" s="1076"/>
      <c r="G229" s="1063"/>
      <c r="H229" s="1063"/>
      <c r="I229" s="1063"/>
      <c r="J229" s="1063"/>
      <c r="K229" s="1063"/>
      <c r="L229" s="1063"/>
      <c r="M229" s="1063"/>
      <c r="N229" s="1063"/>
      <c r="O229" s="1063"/>
      <c r="P229" s="1063"/>
      <c r="Q229" s="1063"/>
      <c r="R229" s="1063"/>
      <c r="S229" s="1063"/>
      <c r="T229" s="1063"/>
      <c r="U229" s="1063"/>
      <c r="V229" s="1063"/>
      <c r="W229" s="1063"/>
      <c r="X229" s="1063"/>
      <c r="Y229" s="1063"/>
      <c r="Z229" s="1063"/>
      <c r="AA229" s="1063"/>
      <c r="AB229" s="1063"/>
      <c r="AC229" s="1063"/>
      <c r="AD229" s="1063"/>
      <c r="AE229" s="1063"/>
      <c r="AF229" s="1063"/>
      <c r="AG229" s="1063"/>
      <c r="AH229" s="1063"/>
      <c r="AI229" s="1063"/>
      <c r="AJ229" s="1063"/>
      <c r="AK229" s="1063"/>
      <c r="AL229" s="1063"/>
      <c r="AM229" s="1063"/>
      <c r="AN229" s="1063"/>
      <c r="AO229" s="1063"/>
      <c r="AP229" s="1063"/>
      <c r="AQ229" s="1063"/>
      <c r="AR229" s="1063"/>
      <c r="AS229" s="1063"/>
      <c r="AT229" s="1063"/>
      <c r="AU229" s="1063"/>
      <c r="AV229" s="1063"/>
    </row>
    <row r="230" spans="1:48" s="1108" customFormat="1" ht="27.75" customHeight="1">
      <c r="A230" s="1076"/>
      <c r="B230" s="1074"/>
      <c r="D230" s="1063"/>
      <c r="F230" s="1076"/>
      <c r="G230" s="1063"/>
      <c r="H230" s="1063"/>
      <c r="I230" s="1063"/>
      <c r="J230" s="1063"/>
      <c r="K230" s="1063"/>
      <c r="L230" s="1063"/>
      <c r="M230" s="1063"/>
      <c r="N230" s="1063"/>
      <c r="O230" s="1063"/>
      <c r="P230" s="1063"/>
      <c r="Q230" s="1063"/>
      <c r="R230" s="1063"/>
      <c r="S230" s="1063"/>
      <c r="T230" s="1063"/>
      <c r="U230" s="1063"/>
      <c r="V230" s="1063"/>
      <c r="W230" s="1063"/>
      <c r="X230" s="1063"/>
      <c r="Y230" s="1063"/>
      <c r="Z230" s="1063"/>
      <c r="AA230" s="1063"/>
      <c r="AB230" s="1063"/>
      <c r="AC230" s="1063"/>
      <c r="AD230" s="1063"/>
      <c r="AE230" s="1063"/>
      <c r="AF230" s="1063"/>
      <c r="AG230" s="1063"/>
      <c r="AH230" s="1063"/>
      <c r="AI230" s="1063"/>
      <c r="AJ230" s="1063"/>
      <c r="AK230" s="1063"/>
      <c r="AL230" s="1063"/>
      <c r="AM230" s="1063"/>
      <c r="AN230" s="1063"/>
      <c r="AO230" s="1063"/>
      <c r="AP230" s="1063"/>
      <c r="AQ230" s="1063"/>
      <c r="AR230" s="1063"/>
      <c r="AS230" s="1063"/>
      <c r="AT230" s="1063"/>
      <c r="AU230" s="1063"/>
      <c r="AV230" s="1063"/>
    </row>
    <row r="231" spans="1:48" s="1108" customFormat="1" ht="27.75" customHeight="1">
      <c r="A231" s="1076"/>
      <c r="B231" s="1074"/>
      <c r="D231" s="1063"/>
      <c r="F231" s="1076"/>
      <c r="G231" s="1063"/>
      <c r="H231" s="1063"/>
      <c r="I231" s="1063"/>
      <c r="J231" s="1063"/>
      <c r="K231" s="1063"/>
      <c r="L231" s="1063"/>
      <c r="M231" s="1063"/>
      <c r="N231" s="1063"/>
      <c r="O231" s="1063"/>
      <c r="P231" s="1063"/>
      <c r="Q231" s="1063"/>
      <c r="R231" s="1063"/>
      <c r="S231" s="1063"/>
      <c r="T231" s="1063"/>
      <c r="U231" s="1063"/>
      <c r="V231" s="1063"/>
      <c r="W231" s="1063"/>
      <c r="X231" s="1063"/>
      <c r="Y231" s="1063"/>
      <c r="Z231" s="1063"/>
      <c r="AA231" s="1063"/>
      <c r="AB231" s="1063"/>
      <c r="AC231" s="1063"/>
      <c r="AD231" s="1063"/>
      <c r="AE231" s="1063"/>
      <c r="AF231" s="1063"/>
      <c r="AG231" s="1063"/>
      <c r="AH231" s="1063"/>
      <c r="AI231" s="1063"/>
      <c r="AJ231" s="1063"/>
      <c r="AK231" s="1063"/>
      <c r="AL231" s="1063"/>
      <c r="AM231" s="1063"/>
      <c r="AN231" s="1063"/>
      <c r="AO231" s="1063"/>
      <c r="AP231" s="1063"/>
      <c r="AQ231" s="1063"/>
      <c r="AR231" s="1063"/>
      <c r="AS231" s="1063"/>
      <c r="AT231" s="1063"/>
      <c r="AU231" s="1063"/>
      <c r="AV231" s="1063"/>
    </row>
    <row r="232" spans="1:48" s="1108" customFormat="1" ht="27.75" customHeight="1">
      <c r="A232" s="1076"/>
      <c r="B232" s="1074"/>
      <c r="D232" s="1063"/>
      <c r="F232" s="1076"/>
      <c r="G232" s="1063"/>
      <c r="H232" s="1063"/>
      <c r="I232" s="1063"/>
      <c r="J232" s="1063"/>
      <c r="K232" s="1063"/>
      <c r="L232" s="1063"/>
      <c r="M232" s="1063"/>
      <c r="N232" s="1063"/>
      <c r="O232" s="1063"/>
      <c r="P232" s="1063"/>
      <c r="Q232" s="1063"/>
      <c r="R232" s="1063"/>
      <c r="S232" s="1063"/>
      <c r="T232" s="1063"/>
      <c r="U232" s="1063"/>
      <c r="V232" s="1063"/>
      <c r="W232" s="1063"/>
      <c r="X232" s="1063"/>
      <c r="Y232" s="1063"/>
      <c r="Z232" s="1063"/>
      <c r="AA232" s="1063"/>
      <c r="AB232" s="1063"/>
      <c r="AC232" s="1063"/>
      <c r="AD232" s="1063"/>
      <c r="AE232" s="1063"/>
      <c r="AF232" s="1063"/>
      <c r="AG232" s="1063"/>
      <c r="AH232" s="1063"/>
      <c r="AI232" s="1063"/>
      <c r="AJ232" s="1063"/>
      <c r="AK232" s="1063"/>
      <c r="AL232" s="1063"/>
      <c r="AM232" s="1063"/>
      <c r="AN232" s="1063"/>
      <c r="AO232" s="1063"/>
      <c r="AP232" s="1063"/>
      <c r="AQ232" s="1063"/>
      <c r="AR232" s="1063"/>
      <c r="AS232" s="1063"/>
      <c r="AT232" s="1063"/>
      <c r="AU232" s="1063"/>
      <c r="AV232" s="1063"/>
    </row>
    <row r="233" spans="1:48" s="1108" customFormat="1" ht="27.75" customHeight="1">
      <c r="A233" s="1076"/>
      <c r="B233" s="1074"/>
      <c r="D233" s="1063"/>
      <c r="F233" s="1076"/>
      <c r="G233" s="1063"/>
      <c r="H233" s="1063"/>
      <c r="I233" s="1063"/>
      <c r="J233" s="1063"/>
      <c r="K233" s="1063"/>
      <c r="L233" s="1063"/>
      <c r="M233" s="1063"/>
      <c r="N233" s="1063"/>
      <c r="O233" s="1063"/>
      <c r="P233" s="1063"/>
      <c r="Q233" s="1063"/>
      <c r="R233" s="1063"/>
      <c r="S233" s="1063"/>
      <c r="T233" s="1063"/>
      <c r="U233" s="1063"/>
      <c r="V233" s="1063"/>
      <c r="W233" s="1063"/>
      <c r="X233" s="1063"/>
      <c r="Y233" s="1063"/>
      <c r="Z233" s="1063"/>
      <c r="AA233" s="1063"/>
      <c r="AB233" s="1063"/>
      <c r="AC233" s="1063"/>
      <c r="AD233" s="1063"/>
      <c r="AE233" s="1063"/>
      <c r="AF233" s="1063"/>
      <c r="AG233" s="1063"/>
      <c r="AH233" s="1063"/>
      <c r="AI233" s="1063"/>
      <c r="AJ233" s="1063"/>
      <c r="AK233" s="1063"/>
      <c r="AL233" s="1063"/>
      <c r="AM233" s="1063"/>
      <c r="AN233" s="1063"/>
      <c r="AO233" s="1063"/>
      <c r="AP233" s="1063"/>
      <c r="AQ233" s="1063"/>
      <c r="AR233" s="1063"/>
      <c r="AS233" s="1063"/>
      <c r="AT233" s="1063"/>
      <c r="AU233" s="1063"/>
      <c r="AV233" s="1063"/>
    </row>
    <row r="234" spans="1:48" s="1108" customFormat="1" ht="27.75" customHeight="1">
      <c r="A234" s="1076"/>
      <c r="B234" s="1074"/>
      <c r="D234" s="1063"/>
      <c r="F234" s="1076"/>
      <c r="G234" s="1063"/>
      <c r="H234" s="1063"/>
      <c r="I234" s="1063"/>
      <c r="J234" s="1063"/>
      <c r="K234" s="1063"/>
      <c r="L234" s="1063"/>
      <c r="M234" s="1063"/>
      <c r="N234" s="1063"/>
      <c r="O234" s="1063"/>
      <c r="P234" s="1063"/>
      <c r="Q234" s="1063"/>
      <c r="R234" s="1063"/>
      <c r="S234" s="1063"/>
      <c r="T234" s="1063"/>
      <c r="U234" s="1063"/>
      <c r="V234" s="1063"/>
      <c r="W234" s="1063"/>
      <c r="X234" s="1063"/>
      <c r="Y234" s="1063"/>
      <c r="Z234" s="1063"/>
      <c r="AA234" s="1063"/>
      <c r="AB234" s="1063"/>
      <c r="AC234" s="1063"/>
      <c r="AD234" s="1063"/>
      <c r="AE234" s="1063"/>
      <c r="AF234" s="1063"/>
      <c r="AG234" s="1063"/>
      <c r="AH234" s="1063"/>
      <c r="AI234" s="1063"/>
      <c r="AJ234" s="1063"/>
      <c r="AK234" s="1063"/>
      <c r="AL234" s="1063"/>
      <c r="AM234" s="1063"/>
      <c r="AN234" s="1063"/>
      <c r="AO234" s="1063"/>
      <c r="AP234" s="1063"/>
      <c r="AQ234" s="1063"/>
      <c r="AR234" s="1063"/>
      <c r="AS234" s="1063"/>
      <c r="AT234" s="1063"/>
      <c r="AU234" s="1063"/>
      <c r="AV234" s="1063"/>
    </row>
    <row r="235" spans="1:48" s="1108" customFormat="1" ht="27.75" customHeight="1">
      <c r="A235" s="1076"/>
      <c r="B235" s="1074"/>
      <c r="D235" s="1063"/>
      <c r="F235" s="1076"/>
      <c r="G235" s="1063"/>
      <c r="H235" s="1063"/>
      <c r="I235" s="1063"/>
      <c r="J235" s="1063"/>
      <c r="K235" s="1063"/>
      <c r="L235" s="1063"/>
      <c r="M235" s="1063"/>
      <c r="N235" s="1063"/>
      <c r="O235" s="1063"/>
      <c r="P235" s="1063"/>
      <c r="Q235" s="1063"/>
      <c r="R235" s="1063"/>
      <c r="S235" s="1063"/>
      <c r="T235" s="1063"/>
      <c r="U235" s="1063"/>
      <c r="V235" s="1063"/>
      <c r="W235" s="1063"/>
      <c r="X235" s="1063"/>
      <c r="Y235" s="1063"/>
      <c r="Z235" s="1063"/>
      <c r="AA235" s="1063"/>
      <c r="AB235" s="1063"/>
      <c r="AC235" s="1063"/>
      <c r="AD235" s="1063"/>
      <c r="AE235" s="1063"/>
      <c r="AF235" s="1063"/>
      <c r="AG235" s="1063"/>
      <c r="AH235" s="1063"/>
      <c r="AI235" s="1063"/>
      <c r="AJ235" s="1063"/>
      <c r="AK235" s="1063"/>
      <c r="AL235" s="1063"/>
      <c r="AM235" s="1063"/>
      <c r="AN235" s="1063"/>
      <c r="AO235" s="1063"/>
      <c r="AP235" s="1063"/>
      <c r="AQ235" s="1063"/>
      <c r="AR235" s="1063"/>
      <c r="AS235" s="1063"/>
      <c r="AT235" s="1063"/>
      <c r="AU235" s="1063"/>
      <c r="AV235" s="1063"/>
    </row>
    <row r="236" spans="1:48" s="1108" customFormat="1" ht="27.75" customHeight="1">
      <c r="A236" s="1076"/>
      <c r="B236" s="1074"/>
      <c r="D236" s="1063"/>
      <c r="F236" s="1076"/>
      <c r="G236" s="1063"/>
      <c r="H236" s="1063"/>
      <c r="I236" s="1063"/>
      <c r="J236" s="1063"/>
      <c r="K236" s="1063"/>
      <c r="L236" s="1063"/>
      <c r="M236" s="1063"/>
      <c r="N236" s="1063"/>
      <c r="O236" s="1063"/>
      <c r="P236" s="1063"/>
      <c r="Q236" s="1063"/>
      <c r="R236" s="1063"/>
      <c r="S236" s="1063"/>
      <c r="T236" s="1063"/>
      <c r="U236" s="1063"/>
      <c r="V236" s="1063"/>
      <c r="W236" s="1063"/>
      <c r="X236" s="1063"/>
      <c r="Y236" s="1063"/>
      <c r="Z236" s="1063"/>
      <c r="AA236" s="1063"/>
      <c r="AB236" s="1063"/>
      <c r="AC236" s="1063"/>
      <c r="AD236" s="1063"/>
      <c r="AE236" s="1063"/>
      <c r="AF236" s="1063"/>
      <c r="AG236" s="1063"/>
      <c r="AH236" s="1063"/>
      <c r="AI236" s="1063"/>
      <c r="AJ236" s="1063"/>
      <c r="AK236" s="1063"/>
      <c r="AL236" s="1063"/>
      <c r="AM236" s="1063"/>
      <c r="AN236" s="1063"/>
      <c r="AO236" s="1063"/>
      <c r="AP236" s="1063"/>
      <c r="AQ236" s="1063"/>
      <c r="AR236" s="1063"/>
      <c r="AS236" s="1063"/>
      <c r="AT236" s="1063"/>
      <c r="AU236" s="1063"/>
      <c r="AV236" s="1063"/>
    </row>
    <row r="237" spans="1:48" s="1108" customFormat="1" ht="27.75" customHeight="1">
      <c r="A237" s="1076"/>
      <c r="B237" s="1074"/>
      <c r="D237" s="1063"/>
      <c r="F237" s="1076"/>
      <c r="G237" s="1063"/>
      <c r="H237" s="1063"/>
      <c r="I237" s="1063"/>
      <c r="J237" s="1063"/>
      <c r="K237" s="1063"/>
      <c r="L237" s="1063"/>
      <c r="M237" s="1063"/>
      <c r="N237" s="1063"/>
      <c r="O237" s="1063"/>
      <c r="P237" s="1063"/>
      <c r="Q237" s="1063"/>
      <c r="R237" s="1063"/>
      <c r="S237" s="1063"/>
      <c r="T237" s="1063"/>
      <c r="U237" s="1063"/>
      <c r="V237" s="1063"/>
      <c r="W237" s="1063"/>
      <c r="X237" s="1063"/>
      <c r="Y237" s="1063"/>
      <c r="Z237" s="1063"/>
      <c r="AA237" s="1063"/>
      <c r="AB237" s="1063"/>
      <c r="AC237" s="1063"/>
      <c r="AD237" s="1063"/>
      <c r="AE237" s="1063"/>
      <c r="AF237" s="1063"/>
      <c r="AG237" s="1063"/>
      <c r="AH237" s="1063"/>
      <c r="AI237" s="1063"/>
      <c r="AJ237" s="1063"/>
      <c r="AK237" s="1063"/>
      <c r="AL237" s="1063"/>
      <c r="AM237" s="1063"/>
      <c r="AN237" s="1063"/>
      <c r="AO237" s="1063"/>
      <c r="AP237" s="1063"/>
      <c r="AQ237" s="1063"/>
      <c r="AR237" s="1063"/>
      <c r="AS237" s="1063"/>
      <c r="AT237" s="1063"/>
      <c r="AU237" s="1063"/>
      <c r="AV237" s="1063"/>
    </row>
    <row r="238" spans="1:48" s="1108" customFormat="1" ht="27.75" customHeight="1">
      <c r="A238" s="1076"/>
      <c r="B238" s="1074"/>
      <c r="D238" s="1063"/>
      <c r="F238" s="1076"/>
      <c r="G238" s="1063"/>
      <c r="H238" s="1063"/>
      <c r="I238" s="1063"/>
      <c r="J238" s="1063"/>
      <c r="K238" s="1063"/>
      <c r="L238" s="1063"/>
      <c r="M238" s="1063"/>
      <c r="N238" s="1063"/>
      <c r="O238" s="1063"/>
      <c r="P238" s="1063"/>
      <c r="Q238" s="1063"/>
      <c r="R238" s="1063"/>
      <c r="S238" s="1063"/>
      <c r="T238" s="1063"/>
      <c r="U238" s="1063"/>
      <c r="V238" s="1063"/>
      <c r="W238" s="1063"/>
      <c r="X238" s="1063"/>
      <c r="Y238" s="1063"/>
      <c r="Z238" s="1063"/>
      <c r="AA238" s="1063"/>
      <c r="AB238" s="1063"/>
      <c r="AC238" s="1063"/>
      <c r="AD238" s="1063"/>
      <c r="AE238" s="1063"/>
      <c r="AF238" s="1063"/>
      <c r="AG238" s="1063"/>
      <c r="AH238" s="1063"/>
      <c r="AI238" s="1063"/>
      <c r="AJ238" s="1063"/>
      <c r="AK238" s="1063"/>
      <c r="AL238" s="1063"/>
      <c r="AM238" s="1063"/>
      <c r="AN238" s="1063"/>
      <c r="AO238" s="1063"/>
      <c r="AP238" s="1063"/>
      <c r="AQ238" s="1063"/>
      <c r="AR238" s="1063"/>
      <c r="AS238" s="1063"/>
      <c r="AT238" s="1063"/>
      <c r="AU238" s="1063"/>
      <c r="AV238" s="1063"/>
    </row>
    <row r="239" spans="1:48" s="1108" customFormat="1" ht="27.75" customHeight="1">
      <c r="A239" s="1076"/>
      <c r="B239" s="1074"/>
      <c r="D239" s="1063"/>
      <c r="F239" s="1076"/>
      <c r="G239" s="1063"/>
      <c r="H239" s="1063"/>
      <c r="I239" s="1063"/>
      <c r="J239" s="1063"/>
      <c r="K239" s="1063"/>
      <c r="L239" s="1063"/>
      <c r="M239" s="1063"/>
      <c r="N239" s="1063"/>
      <c r="O239" s="1063"/>
      <c r="P239" s="1063"/>
      <c r="Q239" s="1063"/>
      <c r="R239" s="1063"/>
      <c r="S239" s="1063"/>
      <c r="T239" s="1063"/>
      <c r="U239" s="1063"/>
      <c r="V239" s="1063"/>
      <c r="W239" s="1063"/>
      <c r="X239" s="1063"/>
      <c r="Y239" s="1063"/>
      <c r="Z239" s="1063"/>
      <c r="AA239" s="1063"/>
      <c r="AB239" s="1063"/>
      <c r="AC239" s="1063"/>
      <c r="AD239" s="1063"/>
      <c r="AE239" s="1063"/>
      <c r="AF239" s="1063"/>
      <c r="AG239" s="1063"/>
      <c r="AH239" s="1063"/>
      <c r="AI239" s="1063"/>
      <c r="AJ239" s="1063"/>
      <c r="AK239" s="1063"/>
      <c r="AL239" s="1063"/>
      <c r="AM239" s="1063"/>
      <c r="AN239" s="1063"/>
      <c r="AO239" s="1063"/>
      <c r="AP239" s="1063"/>
      <c r="AQ239" s="1063"/>
      <c r="AR239" s="1063"/>
      <c r="AS239" s="1063"/>
      <c r="AT239" s="1063"/>
      <c r="AU239" s="1063"/>
      <c r="AV239" s="1063"/>
    </row>
    <row r="240" spans="1:48" s="1108" customFormat="1" ht="27.75" customHeight="1">
      <c r="A240" s="1076"/>
      <c r="B240" s="1074"/>
      <c r="D240" s="1063"/>
      <c r="F240" s="1076"/>
      <c r="G240" s="1063"/>
      <c r="H240" s="1063"/>
      <c r="I240" s="1063"/>
      <c r="J240" s="1063"/>
      <c r="K240" s="1063"/>
      <c r="L240" s="1063"/>
      <c r="M240" s="1063"/>
      <c r="N240" s="1063"/>
      <c r="O240" s="1063"/>
      <c r="P240" s="1063"/>
      <c r="Q240" s="1063"/>
      <c r="R240" s="1063"/>
      <c r="S240" s="1063"/>
      <c r="T240" s="1063"/>
      <c r="U240" s="1063"/>
      <c r="V240" s="1063"/>
      <c r="W240" s="1063"/>
      <c r="X240" s="1063"/>
      <c r="Y240" s="1063"/>
      <c r="Z240" s="1063"/>
      <c r="AA240" s="1063"/>
      <c r="AB240" s="1063"/>
      <c r="AC240" s="1063"/>
      <c r="AD240" s="1063"/>
      <c r="AE240" s="1063"/>
      <c r="AF240" s="1063"/>
      <c r="AG240" s="1063"/>
      <c r="AH240" s="1063"/>
      <c r="AI240" s="1063"/>
      <c r="AJ240" s="1063"/>
      <c r="AK240" s="1063"/>
      <c r="AL240" s="1063"/>
      <c r="AM240" s="1063"/>
      <c r="AN240" s="1063"/>
      <c r="AO240" s="1063"/>
      <c r="AP240" s="1063"/>
      <c r="AQ240" s="1063"/>
      <c r="AR240" s="1063"/>
      <c r="AS240" s="1063"/>
      <c r="AT240" s="1063"/>
      <c r="AU240" s="1063"/>
      <c r="AV240" s="1063"/>
    </row>
    <row r="241" spans="1:48" s="1108" customFormat="1" ht="27.75" customHeight="1">
      <c r="A241" s="1076"/>
      <c r="B241" s="1074"/>
      <c r="D241" s="1063"/>
      <c r="F241" s="1076"/>
      <c r="G241" s="1063"/>
      <c r="H241" s="1063"/>
      <c r="I241" s="1063"/>
      <c r="J241" s="1063"/>
      <c r="K241" s="1063"/>
      <c r="L241" s="1063"/>
      <c r="M241" s="1063"/>
      <c r="N241" s="1063"/>
      <c r="O241" s="1063"/>
      <c r="P241" s="1063"/>
      <c r="Q241" s="1063"/>
      <c r="R241" s="1063"/>
      <c r="S241" s="1063"/>
      <c r="T241" s="1063"/>
      <c r="U241" s="1063"/>
      <c r="V241" s="1063"/>
      <c r="W241" s="1063"/>
      <c r="X241" s="1063"/>
      <c r="Y241" s="1063"/>
      <c r="Z241" s="1063"/>
      <c r="AA241" s="1063"/>
      <c r="AB241" s="1063"/>
      <c r="AC241" s="1063"/>
      <c r="AD241" s="1063"/>
      <c r="AE241" s="1063"/>
      <c r="AF241" s="1063"/>
      <c r="AG241" s="1063"/>
      <c r="AH241" s="1063"/>
      <c r="AI241" s="1063"/>
      <c r="AJ241" s="1063"/>
      <c r="AK241" s="1063"/>
      <c r="AL241" s="1063"/>
      <c r="AM241" s="1063"/>
      <c r="AN241" s="1063"/>
      <c r="AO241" s="1063"/>
      <c r="AP241" s="1063"/>
      <c r="AQ241" s="1063"/>
      <c r="AR241" s="1063"/>
      <c r="AS241" s="1063"/>
      <c r="AT241" s="1063"/>
      <c r="AU241" s="1063"/>
      <c r="AV241" s="1063"/>
    </row>
    <row r="242" spans="1:48" s="1108" customFormat="1" ht="27.75" customHeight="1">
      <c r="A242" s="1076"/>
      <c r="B242" s="1074"/>
      <c r="D242" s="1063"/>
      <c r="F242" s="1076"/>
      <c r="G242" s="1063"/>
      <c r="H242" s="1063"/>
      <c r="I242" s="1063"/>
      <c r="J242" s="1063"/>
      <c r="K242" s="1063"/>
      <c r="L242" s="1063"/>
      <c r="M242" s="1063"/>
      <c r="N242" s="1063"/>
      <c r="O242" s="1063"/>
      <c r="P242" s="1063"/>
      <c r="Q242" s="1063"/>
      <c r="R242" s="1063"/>
      <c r="S242" s="1063"/>
      <c r="T242" s="1063"/>
      <c r="U242" s="1063"/>
      <c r="V242" s="1063"/>
      <c r="W242" s="1063"/>
      <c r="X242" s="1063"/>
      <c r="Y242" s="1063"/>
      <c r="Z242" s="1063"/>
      <c r="AA242" s="1063"/>
      <c r="AB242" s="1063"/>
      <c r="AC242" s="1063"/>
      <c r="AD242" s="1063"/>
      <c r="AE242" s="1063"/>
      <c r="AF242" s="1063"/>
      <c r="AG242" s="1063"/>
      <c r="AH242" s="1063"/>
      <c r="AI242" s="1063"/>
      <c r="AJ242" s="1063"/>
      <c r="AK242" s="1063"/>
      <c r="AL242" s="1063"/>
      <c r="AM242" s="1063"/>
      <c r="AN242" s="1063"/>
      <c r="AO242" s="1063"/>
      <c r="AP242" s="1063"/>
      <c r="AQ242" s="1063"/>
      <c r="AR242" s="1063"/>
      <c r="AS242" s="1063"/>
      <c r="AT242" s="1063"/>
      <c r="AU242" s="1063"/>
      <c r="AV242" s="1063"/>
    </row>
    <row r="243" spans="1:48" s="1108" customFormat="1" ht="27.75" customHeight="1">
      <c r="A243" s="1076"/>
      <c r="B243" s="1074"/>
      <c r="D243" s="1063"/>
      <c r="F243" s="1076"/>
      <c r="G243" s="1063"/>
      <c r="H243" s="1063"/>
      <c r="I243" s="1063"/>
      <c r="J243" s="1063"/>
      <c r="K243" s="1063"/>
      <c r="L243" s="1063"/>
      <c r="M243" s="1063"/>
      <c r="N243" s="1063"/>
      <c r="O243" s="1063"/>
      <c r="P243" s="1063"/>
      <c r="Q243" s="1063"/>
      <c r="R243" s="1063"/>
      <c r="S243" s="1063"/>
      <c r="T243" s="1063"/>
      <c r="U243" s="1063"/>
      <c r="V243" s="1063"/>
      <c r="W243" s="1063"/>
      <c r="X243" s="1063"/>
      <c r="Y243" s="1063"/>
      <c r="Z243" s="1063"/>
      <c r="AA243" s="1063"/>
      <c r="AB243" s="1063"/>
      <c r="AC243" s="1063"/>
      <c r="AD243" s="1063"/>
      <c r="AE243" s="1063"/>
      <c r="AF243" s="1063"/>
      <c r="AG243" s="1063"/>
      <c r="AH243" s="1063"/>
      <c r="AI243" s="1063"/>
      <c r="AJ243" s="1063"/>
      <c r="AK243" s="1063"/>
      <c r="AL243" s="1063"/>
      <c r="AM243" s="1063"/>
      <c r="AN243" s="1063"/>
      <c r="AO243" s="1063"/>
      <c r="AP243" s="1063"/>
      <c r="AQ243" s="1063"/>
      <c r="AR243" s="1063"/>
      <c r="AS243" s="1063"/>
      <c r="AT243" s="1063"/>
      <c r="AU243" s="1063"/>
      <c r="AV243" s="1063"/>
    </row>
    <row r="244" spans="1:48" s="1108" customFormat="1" ht="27.75" customHeight="1">
      <c r="A244" s="1076"/>
      <c r="B244" s="1074"/>
      <c r="D244" s="1063"/>
      <c r="F244" s="1076"/>
      <c r="G244" s="1063"/>
      <c r="H244" s="1063"/>
      <c r="I244" s="1063"/>
      <c r="J244" s="1063"/>
      <c r="K244" s="1063"/>
      <c r="L244" s="1063"/>
      <c r="M244" s="1063"/>
      <c r="N244" s="1063"/>
      <c r="O244" s="1063"/>
      <c r="P244" s="1063"/>
      <c r="Q244" s="1063"/>
      <c r="R244" s="1063"/>
      <c r="S244" s="1063"/>
      <c r="T244" s="1063"/>
      <c r="U244" s="1063"/>
      <c r="V244" s="1063"/>
      <c r="W244" s="1063"/>
      <c r="X244" s="1063"/>
      <c r="Y244" s="1063"/>
      <c r="Z244" s="1063"/>
      <c r="AA244" s="1063"/>
      <c r="AB244" s="1063"/>
      <c r="AC244" s="1063"/>
      <c r="AD244" s="1063"/>
      <c r="AE244" s="1063"/>
      <c r="AF244" s="1063"/>
      <c r="AG244" s="1063"/>
      <c r="AH244" s="1063"/>
      <c r="AI244" s="1063"/>
      <c r="AJ244" s="1063"/>
      <c r="AK244" s="1063"/>
      <c r="AL244" s="1063"/>
      <c r="AM244" s="1063"/>
      <c r="AN244" s="1063"/>
      <c r="AO244" s="1063"/>
      <c r="AP244" s="1063"/>
      <c r="AQ244" s="1063"/>
      <c r="AR244" s="1063"/>
      <c r="AS244" s="1063"/>
      <c r="AT244" s="1063"/>
      <c r="AU244" s="1063"/>
      <c r="AV244" s="1063"/>
    </row>
    <row r="245" spans="1:48" s="1108" customFormat="1" ht="27.75" customHeight="1">
      <c r="A245" s="1076"/>
      <c r="B245" s="1074"/>
      <c r="D245" s="1063"/>
      <c r="F245" s="1076"/>
      <c r="G245" s="1063"/>
      <c r="H245" s="1063"/>
      <c r="I245" s="1063"/>
      <c r="J245" s="1063"/>
      <c r="K245" s="1063"/>
      <c r="L245" s="1063"/>
      <c r="M245" s="1063"/>
      <c r="N245" s="1063"/>
      <c r="O245" s="1063"/>
      <c r="P245" s="1063"/>
      <c r="Q245" s="1063"/>
      <c r="R245" s="1063"/>
      <c r="S245" s="1063"/>
      <c r="T245" s="1063"/>
      <c r="U245" s="1063"/>
      <c r="V245" s="1063"/>
      <c r="W245" s="1063"/>
      <c r="X245" s="1063"/>
      <c r="Y245" s="1063"/>
      <c r="Z245" s="1063"/>
      <c r="AA245" s="1063"/>
      <c r="AB245" s="1063"/>
      <c r="AC245" s="1063"/>
      <c r="AD245" s="1063"/>
      <c r="AE245" s="1063"/>
      <c r="AF245" s="1063"/>
      <c r="AG245" s="1063"/>
      <c r="AH245" s="1063"/>
      <c r="AI245" s="1063"/>
      <c r="AJ245" s="1063"/>
      <c r="AK245" s="1063"/>
      <c r="AL245" s="1063"/>
      <c r="AM245" s="1063"/>
      <c r="AN245" s="1063"/>
      <c r="AO245" s="1063"/>
      <c r="AP245" s="1063"/>
      <c r="AQ245" s="1063"/>
      <c r="AR245" s="1063"/>
      <c r="AS245" s="1063"/>
      <c r="AT245" s="1063"/>
      <c r="AU245" s="1063"/>
      <c r="AV245" s="1063"/>
    </row>
    <row r="246" spans="1:48" s="1108" customFormat="1" ht="27.75" customHeight="1">
      <c r="A246" s="1076"/>
      <c r="B246" s="1074"/>
      <c r="D246" s="1063"/>
      <c r="F246" s="1076"/>
      <c r="G246" s="1063"/>
      <c r="H246" s="1063"/>
      <c r="I246" s="1063"/>
      <c r="J246" s="1063"/>
      <c r="K246" s="1063"/>
      <c r="L246" s="1063"/>
      <c r="M246" s="1063"/>
      <c r="N246" s="1063"/>
      <c r="O246" s="1063"/>
      <c r="P246" s="1063"/>
      <c r="Q246" s="1063"/>
      <c r="R246" s="1063"/>
      <c r="S246" s="1063"/>
      <c r="T246" s="1063"/>
      <c r="U246" s="1063"/>
      <c r="V246" s="1063"/>
      <c r="W246" s="1063"/>
      <c r="X246" s="1063"/>
      <c r="Y246" s="1063"/>
      <c r="Z246" s="1063"/>
      <c r="AA246" s="1063"/>
      <c r="AB246" s="1063"/>
      <c r="AC246" s="1063"/>
      <c r="AD246" s="1063"/>
      <c r="AE246" s="1063"/>
      <c r="AF246" s="1063"/>
      <c r="AG246" s="1063"/>
      <c r="AH246" s="1063"/>
      <c r="AI246" s="1063"/>
      <c r="AJ246" s="1063"/>
      <c r="AK246" s="1063"/>
      <c r="AL246" s="1063"/>
      <c r="AM246" s="1063"/>
      <c r="AN246" s="1063"/>
      <c r="AO246" s="1063"/>
      <c r="AP246" s="1063"/>
      <c r="AQ246" s="1063"/>
      <c r="AR246" s="1063"/>
      <c r="AS246" s="1063"/>
      <c r="AT246" s="1063"/>
      <c r="AU246" s="1063"/>
      <c r="AV246" s="1063"/>
    </row>
    <row r="247" spans="1:48" s="1108" customFormat="1" ht="27.75" customHeight="1">
      <c r="A247" s="1076"/>
      <c r="B247" s="1074"/>
      <c r="D247" s="1063"/>
      <c r="F247" s="1076"/>
      <c r="G247" s="1063"/>
      <c r="H247" s="1063"/>
      <c r="I247" s="1063"/>
      <c r="J247" s="1063"/>
      <c r="K247" s="1063"/>
      <c r="L247" s="1063"/>
      <c r="M247" s="1063"/>
      <c r="N247" s="1063"/>
      <c r="O247" s="1063"/>
      <c r="P247" s="1063"/>
      <c r="Q247" s="1063"/>
      <c r="R247" s="1063"/>
      <c r="S247" s="1063"/>
      <c r="T247" s="1063"/>
      <c r="U247" s="1063"/>
      <c r="V247" s="1063"/>
      <c r="W247" s="1063"/>
      <c r="X247" s="1063"/>
      <c r="Y247" s="1063"/>
      <c r="Z247" s="1063"/>
      <c r="AA247" s="1063"/>
      <c r="AB247" s="1063"/>
      <c r="AC247" s="1063"/>
      <c r="AD247" s="1063"/>
      <c r="AE247" s="1063"/>
      <c r="AF247" s="1063"/>
      <c r="AG247" s="1063"/>
      <c r="AH247" s="1063"/>
      <c r="AI247" s="1063"/>
      <c r="AJ247" s="1063"/>
      <c r="AK247" s="1063"/>
      <c r="AL247" s="1063"/>
      <c r="AM247" s="1063"/>
      <c r="AN247" s="1063"/>
      <c r="AO247" s="1063"/>
      <c r="AP247" s="1063"/>
      <c r="AQ247" s="1063"/>
      <c r="AR247" s="1063"/>
      <c r="AS247" s="1063"/>
      <c r="AT247" s="1063"/>
      <c r="AU247" s="1063"/>
      <c r="AV247" s="1063"/>
    </row>
    <row r="248" spans="1:48" s="1108" customFormat="1" ht="27.75" customHeight="1">
      <c r="A248" s="1076"/>
      <c r="B248" s="1074"/>
      <c r="D248" s="1063"/>
      <c r="F248" s="1076"/>
      <c r="G248" s="1063"/>
      <c r="H248" s="1063"/>
      <c r="I248" s="1063"/>
      <c r="J248" s="1063"/>
      <c r="K248" s="1063"/>
      <c r="L248" s="1063"/>
      <c r="M248" s="1063"/>
      <c r="N248" s="1063"/>
      <c r="O248" s="1063"/>
      <c r="P248" s="1063"/>
      <c r="Q248" s="1063"/>
      <c r="R248" s="1063"/>
      <c r="S248" s="1063"/>
      <c r="T248" s="1063"/>
      <c r="U248" s="1063"/>
      <c r="V248" s="1063"/>
      <c r="W248" s="1063"/>
      <c r="X248" s="1063"/>
      <c r="Y248" s="1063"/>
      <c r="Z248" s="1063"/>
      <c r="AA248" s="1063"/>
      <c r="AB248" s="1063"/>
      <c r="AC248" s="1063"/>
      <c r="AD248" s="1063"/>
      <c r="AE248" s="1063"/>
      <c r="AF248" s="1063"/>
      <c r="AG248" s="1063"/>
      <c r="AH248" s="1063"/>
      <c r="AI248" s="1063"/>
      <c r="AJ248" s="1063"/>
      <c r="AK248" s="1063"/>
      <c r="AL248" s="1063"/>
      <c r="AM248" s="1063"/>
      <c r="AN248" s="1063"/>
      <c r="AO248" s="1063"/>
      <c r="AP248" s="1063"/>
      <c r="AQ248" s="1063"/>
      <c r="AR248" s="1063"/>
      <c r="AS248" s="1063"/>
      <c r="AT248" s="1063"/>
      <c r="AU248" s="1063"/>
      <c r="AV248" s="1063"/>
    </row>
    <row r="249" spans="1:48" s="1108" customFormat="1" ht="27.75" customHeight="1">
      <c r="A249" s="1076"/>
      <c r="B249" s="1074"/>
      <c r="D249" s="1063"/>
      <c r="F249" s="1076"/>
      <c r="G249" s="1063"/>
      <c r="H249" s="1063"/>
      <c r="I249" s="1063"/>
      <c r="J249" s="1063"/>
      <c r="K249" s="1063"/>
      <c r="L249" s="1063"/>
      <c r="M249" s="1063"/>
      <c r="N249" s="1063"/>
      <c r="O249" s="1063"/>
      <c r="P249" s="1063"/>
      <c r="Q249" s="1063"/>
      <c r="R249" s="1063"/>
      <c r="S249" s="1063"/>
      <c r="T249" s="1063"/>
      <c r="U249" s="1063"/>
      <c r="V249" s="1063"/>
      <c r="W249" s="1063"/>
      <c r="X249" s="1063"/>
      <c r="Y249" s="1063"/>
      <c r="Z249" s="1063"/>
      <c r="AA249" s="1063"/>
      <c r="AB249" s="1063"/>
      <c r="AC249" s="1063"/>
      <c r="AD249" s="1063"/>
      <c r="AE249" s="1063"/>
      <c r="AF249" s="1063"/>
      <c r="AG249" s="1063"/>
      <c r="AH249" s="1063"/>
      <c r="AI249" s="1063"/>
      <c r="AJ249" s="1063"/>
      <c r="AK249" s="1063"/>
      <c r="AL249" s="1063"/>
      <c r="AM249" s="1063"/>
      <c r="AN249" s="1063"/>
      <c r="AO249" s="1063"/>
      <c r="AP249" s="1063"/>
      <c r="AQ249" s="1063"/>
      <c r="AR249" s="1063"/>
      <c r="AS249" s="1063"/>
      <c r="AT249" s="1063"/>
      <c r="AU249" s="1063"/>
      <c r="AV249" s="1063"/>
    </row>
    <row r="250" spans="1:48" s="1108" customFormat="1" ht="27.75" customHeight="1">
      <c r="A250" s="1076"/>
      <c r="B250" s="1074"/>
      <c r="D250" s="1063"/>
      <c r="F250" s="1076"/>
      <c r="G250" s="1063"/>
      <c r="H250" s="1063"/>
      <c r="I250" s="1063"/>
      <c r="J250" s="1063"/>
      <c r="K250" s="1063"/>
      <c r="L250" s="1063"/>
      <c r="M250" s="1063"/>
      <c r="N250" s="1063"/>
      <c r="O250" s="1063"/>
      <c r="P250" s="1063"/>
      <c r="Q250" s="1063"/>
      <c r="R250" s="1063"/>
      <c r="S250" s="1063"/>
      <c r="T250" s="1063"/>
      <c r="U250" s="1063"/>
      <c r="V250" s="1063"/>
      <c r="W250" s="1063"/>
      <c r="X250" s="1063"/>
      <c r="Y250" s="1063"/>
      <c r="Z250" s="1063"/>
      <c r="AA250" s="1063"/>
      <c r="AB250" s="1063"/>
      <c r="AC250" s="1063"/>
      <c r="AD250" s="1063"/>
      <c r="AE250" s="1063"/>
      <c r="AF250" s="1063"/>
      <c r="AG250" s="1063"/>
      <c r="AH250" s="1063"/>
      <c r="AI250" s="1063"/>
      <c r="AJ250" s="1063"/>
      <c r="AK250" s="1063"/>
      <c r="AL250" s="1063"/>
      <c r="AM250" s="1063"/>
      <c r="AN250" s="1063"/>
      <c r="AO250" s="1063"/>
      <c r="AP250" s="1063"/>
      <c r="AQ250" s="1063"/>
      <c r="AR250" s="1063"/>
      <c r="AS250" s="1063"/>
      <c r="AT250" s="1063"/>
      <c r="AU250" s="1063"/>
      <c r="AV250" s="1063"/>
    </row>
    <row r="251" spans="1:48" s="1108" customFormat="1" ht="27.75" customHeight="1">
      <c r="A251" s="1076"/>
      <c r="B251" s="1074"/>
      <c r="D251" s="1063"/>
      <c r="F251" s="1076"/>
      <c r="G251" s="1063"/>
      <c r="H251" s="1063"/>
      <c r="I251" s="1063"/>
      <c r="J251" s="1063"/>
      <c r="K251" s="1063"/>
      <c r="L251" s="1063"/>
      <c r="M251" s="1063"/>
      <c r="N251" s="1063"/>
      <c r="O251" s="1063"/>
      <c r="P251" s="1063"/>
      <c r="Q251" s="1063"/>
      <c r="R251" s="1063"/>
      <c r="S251" s="1063"/>
      <c r="T251" s="1063"/>
      <c r="U251" s="1063"/>
      <c r="V251" s="1063"/>
      <c r="W251" s="1063"/>
      <c r="X251" s="1063"/>
      <c r="Y251" s="1063"/>
      <c r="Z251" s="1063"/>
      <c r="AA251" s="1063"/>
      <c r="AB251" s="1063"/>
      <c r="AC251" s="1063"/>
      <c r="AD251" s="1063"/>
      <c r="AE251" s="1063"/>
      <c r="AF251" s="1063"/>
      <c r="AG251" s="1063"/>
      <c r="AH251" s="1063"/>
      <c r="AI251" s="1063"/>
      <c r="AJ251" s="1063"/>
      <c r="AK251" s="1063"/>
      <c r="AL251" s="1063"/>
      <c r="AM251" s="1063"/>
      <c r="AN251" s="1063"/>
      <c r="AO251" s="1063"/>
      <c r="AP251" s="1063"/>
      <c r="AQ251" s="1063"/>
      <c r="AR251" s="1063"/>
      <c r="AS251" s="1063"/>
      <c r="AT251" s="1063"/>
      <c r="AU251" s="1063"/>
      <c r="AV251" s="1063"/>
    </row>
    <row r="252" spans="1:48" s="1108" customFormat="1" ht="27.75" customHeight="1">
      <c r="A252" s="1076"/>
      <c r="B252" s="1074"/>
      <c r="D252" s="1063"/>
      <c r="F252" s="1076"/>
      <c r="G252" s="1063"/>
      <c r="H252" s="1063"/>
      <c r="I252" s="1063"/>
      <c r="J252" s="1063"/>
      <c r="K252" s="1063"/>
      <c r="L252" s="1063"/>
      <c r="M252" s="1063"/>
      <c r="N252" s="1063"/>
      <c r="O252" s="1063"/>
      <c r="P252" s="1063"/>
      <c r="Q252" s="1063"/>
      <c r="R252" s="1063"/>
      <c r="S252" s="1063"/>
      <c r="T252" s="1063"/>
      <c r="U252" s="1063"/>
      <c r="V252" s="1063"/>
      <c r="W252" s="1063"/>
      <c r="X252" s="1063"/>
      <c r="Y252" s="1063"/>
      <c r="Z252" s="1063"/>
      <c r="AA252" s="1063"/>
      <c r="AB252" s="1063"/>
      <c r="AC252" s="1063"/>
      <c r="AD252" s="1063"/>
      <c r="AE252" s="1063"/>
      <c r="AF252" s="1063"/>
      <c r="AG252" s="1063"/>
      <c r="AH252" s="1063"/>
      <c r="AI252" s="1063"/>
      <c r="AJ252" s="1063"/>
      <c r="AK252" s="1063"/>
      <c r="AL252" s="1063"/>
      <c r="AM252" s="1063"/>
      <c r="AN252" s="1063"/>
      <c r="AO252" s="1063"/>
      <c r="AP252" s="1063"/>
      <c r="AQ252" s="1063"/>
      <c r="AR252" s="1063"/>
      <c r="AS252" s="1063"/>
      <c r="AT252" s="1063"/>
      <c r="AU252" s="1063"/>
      <c r="AV252" s="1063"/>
    </row>
    <row r="253" spans="1:48" s="1108" customFormat="1" ht="27.75" customHeight="1">
      <c r="A253" s="1076"/>
      <c r="B253" s="1074"/>
      <c r="D253" s="1063"/>
      <c r="F253" s="1076"/>
      <c r="G253" s="1063"/>
      <c r="H253" s="1063"/>
      <c r="I253" s="1063"/>
      <c r="J253" s="1063"/>
      <c r="K253" s="1063"/>
      <c r="L253" s="1063"/>
      <c r="M253" s="1063"/>
      <c r="N253" s="1063"/>
      <c r="O253" s="1063"/>
      <c r="P253" s="1063"/>
      <c r="Q253" s="1063"/>
      <c r="R253" s="1063"/>
      <c r="S253" s="1063"/>
      <c r="T253" s="1063"/>
      <c r="U253" s="1063"/>
      <c r="V253" s="1063"/>
      <c r="W253" s="1063"/>
      <c r="X253" s="1063"/>
      <c r="Y253" s="1063"/>
      <c r="Z253" s="1063"/>
      <c r="AA253" s="1063"/>
      <c r="AB253" s="1063"/>
      <c r="AC253" s="1063"/>
      <c r="AD253" s="1063"/>
      <c r="AE253" s="1063"/>
      <c r="AF253" s="1063"/>
      <c r="AG253" s="1063"/>
      <c r="AH253" s="1063"/>
      <c r="AI253" s="1063"/>
      <c r="AJ253" s="1063"/>
      <c r="AK253" s="1063"/>
      <c r="AL253" s="1063"/>
      <c r="AM253" s="1063"/>
      <c r="AN253" s="1063"/>
      <c r="AO253" s="1063"/>
      <c r="AP253" s="1063"/>
      <c r="AQ253" s="1063"/>
      <c r="AR253" s="1063"/>
      <c r="AS253" s="1063"/>
      <c r="AT253" s="1063"/>
      <c r="AU253" s="1063"/>
      <c r="AV253" s="1063"/>
    </row>
    <row r="254" spans="1:48" s="1108" customFormat="1" ht="27.75" customHeight="1">
      <c r="A254" s="1076"/>
      <c r="B254" s="1074"/>
      <c r="D254" s="1063"/>
      <c r="F254" s="1076"/>
      <c r="G254" s="1063"/>
      <c r="H254" s="1063"/>
      <c r="I254" s="1063"/>
      <c r="J254" s="1063"/>
      <c r="K254" s="1063"/>
      <c r="L254" s="1063"/>
      <c r="M254" s="1063"/>
      <c r="N254" s="1063"/>
      <c r="O254" s="1063"/>
      <c r="P254" s="1063"/>
      <c r="Q254" s="1063"/>
      <c r="R254" s="1063"/>
      <c r="S254" s="1063"/>
      <c r="T254" s="1063"/>
      <c r="U254" s="1063"/>
      <c r="V254" s="1063"/>
      <c r="W254" s="1063"/>
      <c r="X254" s="1063"/>
      <c r="Y254" s="1063"/>
      <c r="Z254" s="1063"/>
      <c r="AA254" s="1063"/>
      <c r="AB254" s="1063"/>
      <c r="AC254" s="1063"/>
      <c r="AD254" s="1063"/>
      <c r="AE254" s="1063"/>
      <c r="AF254" s="1063"/>
      <c r="AG254" s="1063"/>
      <c r="AH254" s="1063"/>
      <c r="AI254" s="1063"/>
      <c r="AJ254" s="1063"/>
      <c r="AK254" s="1063"/>
      <c r="AL254" s="1063"/>
      <c r="AM254" s="1063"/>
      <c r="AN254" s="1063"/>
      <c r="AO254" s="1063"/>
      <c r="AP254" s="1063"/>
      <c r="AQ254" s="1063"/>
      <c r="AR254" s="1063"/>
      <c r="AS254" s="1063"/>
      <c r="AT254" s="1063"/>
      <c r="AU254" s="1063"/>
      <c r="AV254" s="1063"/>
    </row>
    <row r="255" spans="1:48" s="1108" customFormat="1" ht="27.75" customHeight="1">
      <c r="A255" s="1076"/>
      <c r="B255" s="1074"/>
      <c r="D255" s="1063"/>
      <c r="F255" s="1076"/>
      <c r="G255" s="1063"/>
      <c r="H255" s="1063"/>
      <c r="I255" s="1063"/>
      <c r="J255" s="1063"/>
      <c r="K255" s="1063"/>
      <c r="L255" s="1063"/>
      <c r="M255" s="1063"/>
      <c r="N255" s="1063"/>
      <c r="O255" s="1063"/>
      <c r="P255" s="1063"/>
      <c r="Q255" s="1063"/>
      <c r="R255" s="1063"/>
      <c r="S255" s="1063"/>
      <c r="T255" s="1063"/>
      <c r="U255" s="1063"/>
      <c r="V255" s="1063"/>
      <c r="W255" s="1063"/>
      <c r="X255" s="1063"/>
      <c r="Y255" s="1063"/>
      <c r="Z255" s="1063"/>
      <c r="AA255" s="1063"/>
      <c r="AB255" s="1063"/>
      <c r="AC255" s="1063"/>
      <c r="AD255" s="1063"/>
      <c r="AE255" s="1063"/>
      <c r="AF255" s="1063"/>
      <c r="AG255" s="1063"/>
      <c r="AH255" s="1063"/>
      <c r="AI255" s="1063"/>
      <c r="AJ255" s="1063"/>
      <c r="AK255" s="1063"/>
      <c r="AL255" s="1063"/>
      <c r="AM255" s="1063"/>
      <c r="AN255" s="1063"/>
      <c r="AO255" s="1063"/>
      <c r="AP255" s="1063"/>
      <c r="AQ255" s="1063"/>
      <c r="AR255" s="1063"/>
      <c r="AS255" s="1063"/>
      <c r="AT255" s="1063"/>
      <c r="AU255" s="1063"/>
      <c r="AV255" s="1063"/>
    </row>
    <row r="256" spans="1:48" s="1108" customFormat="1" ht="27.75" customHeight="1">
      <c r="A256" s="1076"/>
      <c r="B256" s="1074"/>
      <c r="D256" s="1063"/>
      <c r="F256" s="1076"/>
      <c r="G256" s="1063"/>
      <c r="H256" s="1063"/>
      <c r="I256" s="1063"/>
      <c r="J256" s="1063"/>
      <c r="K256" s="1063"/>
      <c r="L256" s="1063"/>
      <c r="M256" s="1063"/>
      <c r="N256" s="1063"/>
      <c r="O256" s="1063"/>
      <c r="P256" s="1063"/>
      <c r="Q256" s="1063"/>
      <c r="R256" s="1063"/>
      <c r="S256" s="1063"/>
      <c r="T256" s="1063"/>
      <c r="U256" s="1063"/>
      <c r="V256" s="1063"/>
      <c r="W256" s="1063"/>
      <c r="X256" s="1063"/>
      <c r="Y256" s="1063"/>
      <c r="Z256" s="1063"/>
      <c r="AA256" s="1063"/>
      <c r="AB256" s="1063"/>
      <c r="AC256" s="1063"/>
      <c r="AD256" s="1063"/>
      <c r="AE256" s="1063"/>
      <c r="AF256" s="1063"/>
      <c r="AG256" s="1063"/>
      <c r="AH256" s="1063"/>
      <c r="AI256" s="1063"/>
      <c r="AJ256" s="1063"/>
      <c r="AK256" s="1063"/>
      <c r="AL256" s="1063"/>
      <c r="AM256" s="1063"/>
      <c r="AN256" s="1063"/>
      <c r="AO256" s="1063"/>
      <c r="AP256" s="1063"/>
      <c r="AQ256" s="1063"/>
      <c r="AR256" s="1063"/>
      <c r="AS256" s="1063"/>
      <c r="AT256" s="1063"/>
      <c r="AU256" s="1063"/>
      <c r="AV256" s="1063"/>
    </row>
    <row r="257" spans="1:48" s="1108" customFormat="1" ht="27.75" customHeight="1">
      <c r="A257" s="1076"/>
      <c r="B257" s="1074"/>
      <c r="D257" s="1063"/>
      <c r="F257" s="1076"/>
      <c r="G257" s="1063"/>
      <c r="H257" s="1063"/>
      <c r="I257" s="1063"/>
      <c r="J257" s="1063"/>
      <c r="K257" s="1063"/>
      <c r="L257" s="1063"/>
      <c r="M257" s="1063"/>
      <c r="N257" s="1063"/>
      <c r="O257" s="1063"/>
      <c r="P257" s="1063"/>
      <c r="Q257" s="1063"/>
      <c r="R257" s="1063"/>
      <c r="S257" s="1063"/>
      <c r="T257" s="1063"/>
      <c r="U257" s="1063"/>
      <c r="V257" s="1063"/>
      <c r="W257" s="1063"/>
      <c r="X257" s="1063"/>
      <c r="Y257" s="1063"/>
      <c r="Z257" s="1063"/>
      <c r="AA257" s="1063"/>
      <c r="AB257" s="1063"/>
      <c r="AC257" s="1063"/>
      <c r="AD257" s="1063"/>
      <c r="AE257" s="1063"/>
      <c r="AF257" s="1063"/>
      <c r="AG257" s="1063"/>
      <c r="AH257" s="1063"/>
      <c r="AI257" s="1063"/>
      <c r="AJ257" s="1063"/>
      <c r="AK257" s="1063"/>
      <c r="AL257" s="1063"/>
      <c r="AM257" s="1063"/>
      <c r="AN257" s="1063"/>
      <c r="AO257" s="1063"/>
      <c r="AP257" s="1063"/>
      <c r="AQ257" s="1063"/>
      <c r="AR257" s="1063"/>
      <c r="AS257" s="1063"/>
      <c r="AT257" s="1063"/>
      <c r="AU257" s="1063"/>
      <c r="AV257" s="1063"/>
    </row>
    <row r="258" spans="1:48" s="1108" customFormat="1" ht="27.75" customHeight="1">
      <c r="A258" s="1076"/>
      <c r="B258" s="1074"/>
      <c r="D258" s="1063"/>
      <c r="F258" s="1076"/>
      <c r="G258" s="1063"/>
      <c r="H258" s="1063"/>
      <c r="I258" s="1063"/>
      <c r="J258" s="1063"/>
      <c r="K258" s="1063"/>
      <c r="L258" s="1063"/>
      <c r="M258" s="1063"/>
      <c r="N258" s="1063"/>
      <c r="O258" s="1063"/>
      <c r="P258" s="1063"/>
      <c r="Q258" s="1063"/>
      <c r="R258" s="1063"/>
      <c r="S258" s="1063"/>
      <c r="T258" s="1063"/>
      <c r="U258" s="1063"/>
      <c r="V258" s="1063"/>
      <c r="W258" s="1063"/>
      <c r="X258" s="1063"/>
      <c r="Y258" s="1063"/>
      <c r="Z258" s="1063"/>
      <c r="AA258" s="1063"/>
      <c r="AB258" s="1063"/>
      <c r="AC258" s="1063"/>
      <c r="AD258" s="1063"/>
      <c r="AE258" s="1063"/>
      <c r="AF258" s="1063"/>
      <c r="AG258" s="1063"/>
      <c r="AH258" s="1063"/>
      <c r="AI258" s="1063"/>
      <c r="AJ258" s="1063"/>
      <c r="AK258" s="1063"/>
      <c r="AL258" s="1063"/>
      <c r="AM258" s="1063"/>
      <c r="AN258" s="1063"/>
      <c r="AO258" s="1063"/>
      <c r="AP258" s="1063"/>
      <c r="AQ258" s="1063"/>
      <c r="AR258" s="1063"/>
      <c r="AS258" s="1063"/>
      <c r="AT258" s="1063"/>
      <c r="AU258" s="1063"/>
      <c r="AV258" s="1063"/>
    </row>
    <row r="259" spans="1:48" s="1108" customFormat="1" ht="27.75" customHeight="1">
      <c r="A259" s="1076"/>
      <c r="B259" s="1074"/>
      <c r="D259" s="1063"/>
      <c r="F259" s="1076"/>
      <c r="G259" s="1063"/>
      <c r="H259" s="1063"/>
      <c r="I259" s="1063"/>
      <c r="J259" s="1063"/>
      <c r="K259" s="1063"/>
      <c r="L259" s="1063"/>
      <c r="M259" s="1063"/>
      <c r="N259" s="1063"/>
      <c r="O259" s="1063"/>
      <c r="P259" s="1063"/>
      <c r="Q259" s="1063"/>
      <c r="R259" s="1063"/>
      <c r="S259" s="1063"/>
      <c r="T259" s="1063"/>
      <c r="U259" s="1063"/>
      <c r="V259" s="1063"/>
      <c r="W259" s="1063"/>
      <c r="X259" s="1063"/>
      <c r="Y259" s="1063"/>
      <c r="Z259" s="1063"/>
      <c r="AA259" s="1063"/>
      <c r="AB259" s="1063"/>
      <c r="AC259" s="1063"/>
      <c r="AD259" s="1063"/>
      <c r="AE259" s="1063"/>
      <c r="AF259" s="1063"/>
      <c r="AG259" s="1063"/>
      <c r="AH259" s="1063"/>
      <c r="AI259" s="1063"/>
      <c r="AJ259" s="1063"/>
      <c r="AK259" s="1063"/>
      <c r="AL259" s="1063"/>
      <c r="AM259" s="1063"/>
      <c r="AN259" s="1063"/>
      <c r="AO259" s="1063"/>
      <c r="AP259" s="1063"/>
      <c r="AQ259" s="1063"/>
      <c r="AR259" s="1063"/>
      <c r="AS259" s="1063"/>
      <c r="AT259" s="1063"/>
      <c r="AU259" s="1063"/>
      <c r="AV259" s="1063"/>
    </row>
    <row r="260" spans="1:48" s="1108" customFormat="1" ht="27.75" customHeight="1">
      <c r="A260" s="1076"/>
      <c r="B260" s="1074"/>
      <c r="D260" s="1063"/>
      <c r="F260" s="1076"/>
      <c r="G260" s="1063"/>
      <c r="H260" s="1063"/>
      <c r="I260" s="1063"/>
      <c r="J260" s="1063"/>
      <c r="K260" s="1063"/>
      <c r="L260" s="1063"/>
      <c r="M260" s="1063"/>
      <c r="N260" s="1063"/>
      <c r="O260" s="1063"/>
      <c r="P260" s="1063"/>
      <c r="Q260" s="1063"/>
      <c r="R260" s="1063"/>
      <c r="S260" s="1063"/>
      <c r="T260" s="1063"/>
      <c r="U260" s="1063"/>
      <c r="V260" s="1063"/>
      <c r="W260" s="1063"/>
      <c r="X260" s="1063"/>
      <c r="Y260" s="1063"/>
      <c r="Z260" s="1063"/>
      <c r="AA260" s="1063"/>
      <c r="AB260" s="1063"/>
      <c r="AC260" s="1063"/>
      <c r="AD260" s="1063"/>
      <c r="AE260" s="1063"/>
      <c r="AF260" s="1063"/>
      <c r="AG260" s="1063"/>
      <c r="AH260" s="1063"/>
      <c r="AI260" s="1063"/>
      <c r="AJ260" s="1063"/>
      <c r="AK260" s="1063"/>
      <c r="AL260" s="1063"/>
      <c r="AM260" s="1063"/>
      <c r="AN260" s="1063"/>
      <c r="AO260" s="1063"/>
      <c r="AP260" s="1063"/>
      <c r="AQ260" s="1063"/>
      <c r="AR260" s="1063"/>
      <c r="AS260" s="1063"/>
      <c r="AT260" s="1063"/>
      <c r="AU260" s="1063"/>
      <c r="AV260" s="1063"/>
    </row>
    <row r="261" spans="1:48" s="1108" customFormat="1" ht="27.75" customHeight="1">
      <c r="A261" s="1076"/>
      <c r="B261" s="1074"/>
      <c r="D261" s="1063"/>
      <c r="F261" s="1076"/>
      <c r="G261" s="1063"/>
      <c r="H261" s="1063"/>
      <c r="I261" s="1063"/>
      <c r="J261" s="1063"/>
      <c r="K261" s="1063"/>
      <c r="L261" s="1063"/>
      <c r="M261" s="1063"/>
      <c r="N261" s="1063"/>
      <c r="O261" s="1063"/>
      <c r="P261" s="1063"/>
      <c r="Q261" s="1063"/>
      <c r="R261" s="1063"/>
      <c r="S261" s="1063"/>
      <c r="T261" s="1063"/>
      <c r="U261" s="1063"/>
      <c r="V261" s="1063"/>
      <c r="W261" s="1063"/>
      <c r="X261" s="1063"/>
      <c r="Y261" s="1063"/>
      <c r="Z261" s="1063"/>
      <c r="AA261" s="1063"/>
      <c r="AB261" s="1063"/>
      <c r="AC261" s="1063"/>
      <c r="AD261" s="1063"/>
      <c r="AE261" s="1063"/>
      <c r="AF261" s="1063"/>
      <c r="AG261" s="1063"/>
      <c r="AH261" s="1063"/>
      <c r="AI261" s="1063"/>
      <c r="AJ261" s="1063"/>
      <c r="AK261" s="1063"/>
      <c r="AL261" s="1063"/>
      <c r="AM261" s="1063"/>
      <c r="AN261" s="1063"/>
      <c r="AO261" s="1063"/>
      <c r="AP261" s="1063"/>
      <c r="AQ261" s="1063"/>
      <c r="AR261" s="1063"/>
      <c r="AS261" s="1063"/>
      <c r="AT261" s="1063"/>
      <c r="AU261" s="1063"/>
      <c r="AV261" s="1063"/>
    </row>
    <row r="262" spans="1:48" s="1108" customFormat="1" ht="27.75" customHeight="1">
      <c r="A262" s="1076"/>
      <c r="B262" s="1074"/>
      <c r="D262" s="1063"/>
      <c r="F262" s="1076"/>
      <c r="G262" s="1063"/>
      <c r="H262" s="1063"/>
      <c r="I262" s="1063"/>
      <c r="J262" s="1063"/>
      <c r="K262" s="1063"/>
      <c r="L262" s="1063"/>
      <c r="M262" s="1063"/>
      <c r="N262" s="1063"/>
      <c r="O262" s="1063"/>
      <c r="P262" s="1063"/>
      <c r="Q262" s="1063"/>
      <c r="R262" s="1063"/>
      <c r="S262" s="1063"/>
      <c r="T262" s="1063"/>
      <c r="U262" s="1063"/>
      <c r="V262" s="1063"/>
      <c r="W262" s="1063"/>
      <c r="X262" s="1063"/>
      <c r="Y262" s="1063"/>
      <c r="Z262" s="1063"/>
      <c r="AA262" s="1063"/>
      <c r="AB262" s="1063"/>
      <c r="AC262" s="1063"/>
      <c r="AD262" s="1063"/>
      <c r="AE262" s="1063"/>
      <c r="AF262" s="1063"/>
      <c r="AG262" s="1063"/>
      <c r="AH262" s="1063"/>
      <c r="AI262" s="1063"/>
      <c r="AJ262" s="1063"/>
      <c r="AK262" s="1063"/>
      <c r="AL262" s="1063"/>
      <c r="AM262" s="1063"/>
      <c r="AN262" s="1063"/>
      <c r="AO262" s="1063"/>
      <c r="AP262" s="1063"/>
      <c r="AQ262" s="1063"/>
      <c r="AR262" s="1063"/>
      <c r="AS262" s="1063"/>
      <c r="AT262" s="1063"/>
      <c r="AU262" s="1063"/>
      <c r="AV262" s="1063"/>
    </row>
    <row r="263" spans="1:48" s="1108" customFormat="1" ht="27.75" customHeight="1">
      <c r="A263" s="1076"/>
      <c r="B263" s="1074"/>
      <c r="D263" s="1063"/>
      <c r="F263" s="1076"/>
      <c r="G263" s="1063"/>
      <c r="H263" s="1063"/>
      <c r="I263" s="1063"/>
      <c r="J263" s="1063"/>
      <c r="K263" s="1063"/>
      <c r="L263" s="1063"/>
      <c r="M263" s="1063"/>
      <c r="N263" s="1063"/>
      <c r="O263" s="1063"/>
      <c r="P263" s="1063"/>
      <c r="Q263" s="1063"/>
      <c r="R263" s="1063"/>
      <c r="S263" s="1063"/>
      <c r="T263" s="1063"/>
      <c r="U263" s="1063"/>
      <c r="V263" s="1063"/>
      <c r="W263" s="1063"/>
      <c r="X263" s="1063"/>
      <c r="Y263" s="1063"/>
      <c r="Z263" s="1063"/>
      <c r="AA263" s="1063"/>
      <c r="AB263" s="1063"/>
      <c r="AC263" s="1063"/>
      <c r="AD263" s="1063"/>
      <c r="AE263" s="1063"/>
      <c r="AF263" s="1063"/>
      <c r="AG263" s="1063"/>
      <c r="AH263" s="1063"/>
      <c r="AI263" s="1063"/>
      <c r="AJ263" s="1063"/>
      <c r="AK263" s="1063"/>
      <c r="AL263" s="1063"/>
      <c r="AM263" s="1063"/>
      <c r="AN263" s="1063"/>
      <c r="AO263" s="1063"/>
      <c r="AP263" s="1063"/>
      <c r="AQ263" s="1063"/>
      <c r="AR263" s="1063"/>
      <c r="AS263" s="1063"/>
      <c r="AT263" s="1063"/>
      <c r="AU263" s="1063"/>
      <c r="AV263" s="1063"/>
    </row>
    <row r="264" spans="1:48" s="1108" customFormat="1" ht="27.75" customHeight="1">
      <c r="A264" s="1076"/>
      <c r="B264" s="1074"/>
      <c r="D264" s="1063"/>
      <c r="F264" s="1076"/>
      <c r="G264" s="1063"/>
      <c r="H264" s="1063"/>
      <c r="I264" s="1063"/>
      <c r="J264" s="1063"/>
      <c r="K264" s="1063"/>
      <c r="L264" s="1063"/>
      <c r="M264" s="1063"/>
      <c r="N264" s="1063"/>
      <c r="O264" s="1063"/>
      <c r="P264" s="1063"/>
      <c r="Q264" s="1063"/>
      <c r="R264" s="1063"/>
      <c r="S264" s="1063"/>
      <c r="T264" s="1063"/>
      <c r="U264" s="1063"/>
      <c r="V264" s="1063"/>
      <c r="W264" s="1063"/>
      <c r="X264" s="1063"/>
      <c r="Y264" s="1063"/>
      <c r="Z264" s="1063"/>
      <c r="AA264" s="1063"/>
      <c r="AB264" s="1063"/>
      <c r="AC264" s="1063"/>
      <c r="AD264" s="1063"/>
      <c r="AE264" s="1063"/>
      <c r="AF264" s="1063"/>
      <c r="AG264" s="1063"/>
      <c r="AH264" s="1063"/>
      <c r="AI264" s="1063"/>
      <c r="AJ264" s="1063"/>
      <c r="AK264" s="1063"/>
      <c r="AL264" s="1063"/>
      <c r="AM264" s="1063"/>
      <c r="AN264" s="1063"/>
      <c r="AO264" s="1063"/>
      <c r="AP264" s="1063"/>
      <c r="AQ264" s="1063"/>
      <c r="AR264" s="1063"/>
      <c r="AS264" s="1063"/>
      <c r="AT264" s="1063"/>
      <c r="AU264" s="1063"/>
      <c r="AV264" s="1063"/>
    </row>
    <row r="265" spans="1:48" s="1108" customFormat="1" ht="27.75" customHeight="1">
      <c r="A265" s="1076"/>
      <c r="B265" s="1074"/>
      <c r="D265" s="1063"/>
      <c r="F265" s="1076"/>
      <c r="G265" s="1063"/>
      <c r="H265" s="1063"/>
      <c r="I265" s="1063"/>
      <c r="J265" s="1063"/>
      <c r="K265" s="1063"/>
      <c r="L265" s="1063"/>
      <c r="M265" s="1063"/>
      <c r="N265" s="1063"/>
      <c r="O265" s="1063"/>
      <c r="P265" s="1063"/>
      <c r="Q265" s="1063"/>
      <c r="R265" s="1063"/>
      <c r="S265" s="1063"/>
      <c r="T265" s="1063"/>
      <c r="U265" s="1063"/>
      <c r="V265" s="1063"/>
      <c r="W265" s="1063"/>
      <c r="X265" s="1063"/>
      <c r="Y265" s="1063"/>
      <c r="Z265" s="1063"/>
      <c r="AA265" s="1063"/>
      <c r="AB265" s="1063"/>
      <c r="AC265" s="1063"/>
      <c r="AD265" s="1063"/>
      <c r="AE265" s="1063"/>
      <c r="AF265" s="1063"/>
      <c r="AG265" s="1063"/>
      <c r="AH265" s="1063"/>
      <c r="AI265" s="1063"/>
      <c r="AJ265" s="1063"/>
      <c r="AK265" s="1063"/>
      <c r="AL265" s="1063"/>
      <c r="AM265" s="1063"/>
      <c r="AN265" s="1063"/>
      <c r="AO265" s="1063"/>
      <c r="AP265" s="1063"/>
      <c r="AQ265" s="1063"/>
      <c r="AR265" s="1063"/>
      <c r="AS265" s="1063"/>
      <c r="AT265" s="1063"/>
      <c r="AU265" s="1063"/>
      <c r="AV265" s="1063"/>
    </row>
    <row r="266" spans="1:48" s="1108" customFormat="1" ht="27.75" customHeight="1">
      <c r="A266" s="1076"/>
      <c r="B266" s="1074"/>
      <c r="D266" s="1063"/>
      <c r="F266" s="1076"/>
      <c r="G266" s="1063"/>
      <c r="H266" s="1063"/>
      <c r="I266" s="1063"/>
      <c r="J266" s="1063"/>
      <c r="K266" s="1063"/>
      <c r="L266" s="1063"/>
      <c r="M266" s="1063"/>
      <c r="N266" s="1063"/>
      <c r="O266" s="1063"/>
      <c r="P266" s="1063"/>
      <c r="Q266" s="1063"/>
      <c r="R266" s="1063"/>
      <c r="S266" s="1063"/>
      <c r="T266" s="1063"/>
      <c r="U266" s="1063"/>
      <c r="V266" s="1063"/>
      <c r="W266" s="1063"/>
      <c r="X266" s="1063"/>
      <c r="Y266" s="1063"/>
      <c r="Z266" s="1063"/>
      <c r="AA266" s="1063"/>
      <c r="AB266" s="1063"/>
      <c r="AC266" s="1063"/>
      <c r="AD266" s="1063"/>
      <c r="AE266" s="1063"/>
      <c r="AF266" s="1063"/>
      <c r="AG266" s="1063"/>
      <c r="AH266" s="1063"/>
      <c r="AI266" s="1063"/>
      <c r="AJ266" s="1063"/>
      <c r="AK266" s="1063"/>
      <c r="AL266" s="1063"/>
      <c r="AM266" s="1063"/>
      <c r="AN266" s="1063"/>
      <c r="AO266" s="1063"/>
      <c r="AP266" s="1063"/>
      <c r="AQ266" s="1063"/>
      <c r="AR266" s="1063"/>
      <c r="AS266" s="1063"/>
      <c r="AT266" s="1063"/>
      <c r="AU266" s="1063"/>
      <c r="AV266" s="1063"/>
    </row>
    <row r="267" spans="1:48" s="1108" customFormat="1" ht="27.75" customHeight="1">
      <c r="A267" s="1076"/>
      <c r="B267" s="1074"/>
      <c r="D267" s="1063"/>
      <c r="F267" s="1076"/>
      <c r="G267" s="1063"/>
      <c r="H267" s="1063"/>
      <c r="I267" s="1063"/>
      <c r="J267" s="1063"/>
      <c r="K267" s="1063"/>
      <c r="L267" s="1063"/>
      <c r="M267" s="1063"/>
      <c r="N267" s="1063"/>
      <c r="O267" s="1063"/>
      <c r="P267" s="1063"/>
      <c r="Q267" s="1063"/>
      <c r="R267" s="1063"/>
      <c r="S267" s="1063"/>
      <c r="T267" s="1063"/>
      <c r="U267" s="1063"/>
      <c r="V267" s="1063"/>
      <c r="W267" s="1063"/>
      <c r="X267" s="1063"/>
      <c r="Y267" s="1063"/>
      <c r="Z267" s="1063"/>
      <c r="AA267" s="1063"/>
      <c r="AB267" s="1063"/>
      <c r="AC267" s="1063"/>
      <c r="AD267" s="1063"/>
      <c r="AE267" s="1063"/>
      <c r="AF267" s="1063"/>
      <c r="AG267" s="1063"/>
      <c r="AH267" s="1063"/>
      <c r="AI267" s="1063"/>
      <c r="AJ267" s="1063"/>
      <c r="AK267" s="1063"/>
      <c r="AL267" s="1063"/>
      <c r="AM267" s="1063"/>
      <c r="AN267" s="1063"/>
      <c r="AO267" s="1063"/>
      <c r="AP267" s="1063"/>
      <c r="AQ267" s="1063"/>
      <c r="AR267" s="1063"/>
      <c r="AS267" s="1063"/>
      <c r="AT267" s="1063"/>
      <c r="AU267" s="1063"/>
      <c r="AV267" s="1063"/>
    </row>
    <row r="268" spans="1:48" s="1108" customFormat="1" ht="27.75" customHeight="1">
      <c r="A268" s="1076"/>
      <c r="B268" s="1074"/>
      <c r="D268" s="1063"/>
      <c r="F268" s="1076"/>
      <c r="G268" s="1063"/>
      <c r="H268" s="1063"/>
      <c r="I268" s="1063"/>
      <c r="J268" s="1063"/>
      <c r="K268" s="1063"/>
      <c r="L268" s="1063"/>
      <c r="M268" s="1063"/>
      <c r="N268" s="1063"/>
      <c r="O268" s="1063"/>
      <c r="P268" s="1063"/>
      <c r="Q268" s="1063"/>
      <c r="R268" s="1063"/>
      <c r="S268" s="1063"/>
      <c r="T268" s="1063"/>
      <c r="U268" s="1063"/>
      <c r="V268" s="1063"/>
      <c r="W268" s="1063"/>
      <c r="X268" s="1063"/>
      <c r="Y268" s="1063"/>
      <c r="Z268" s="1063"/>
      <c r="AA268" s="1063"/>
      <c r="AB268" s="1063"/>
      <c r="AC268" s="1063"/>
      <c r="AD268" s="1063"/>
      <c r="AE268" s="1063"/>
      <c r="AF268" s="1063"/>
      <c r="AG268" s="1063"/>
      <c r="AH268" s="1063"/>
      <c r="AI268" s="1063"/>
      <c r="AJ268" s="1063"/>
      <c r="AK268" s="1063"/>
      <c r="AL268" s="1063"/>
      <c r="AM268" s="1063"/>
      <c r="AN268" s="1063"/>
      <c r="AO268" s="1063"/>
      <c r="AP268" s="1063"/>
      <c r="AQ268" s="1063"/>
      <c r="AR268" s="1063"/>
      <c r="AS268" s="1063"/>
      <c r="AT268" s="1063"/>
      <c r="AU268" s="1063"/>
      <c r="AV268" s="1063"/>
    </row>
    <row r="269" spans="1:48" s="1108" customFormat="1" ht="27.75" customHeight="1">
      <c r="A269" s="1076"/>
      <c r="B269" s="1074"/>
      <c r="D269" s="1063"/>
      <c r="F269" s="1076"/>
      <c r="G269" s="1063"/>
      <c r="H269" s="1063"/>
      <c r="I269" s="1063"/>
      <c r="J269" s="1063"/>
      <c r="K269" s="1063"/>
      <c r="L269" s="1063"/>
      <c r="M269" s="1063"/>
      <c r="N269" s="1063"/>
      <c r="O269" s="1063"/>
      <c r="P269" s="1063"/>
      <c r="Q269" s="1063"/>
      <c r="R269" s="1063"/>
      <c r="S269" s="1063"/>
      <c r="T269" s="1063"/>
      <c r="U269" s="1063"/>
      <c r="V269" s="1063"/>
      <c r="W269" s="1063"/>
      <c r="X269" s="1063"/>
      <c r="Y269" s="1063"/>
      <c r="Z269" s="1063"/>
      <c r="AA269" s="1063"/>
      <c r="AB269" s="1063"/>
      <c r="AC269" s="1063"/>
      <c r="AD269" s="1063"/>
      <c r="AE269" s="1063"/>
      <c r="AF269" s="1063"/>
      <c r="AG269" s="1063"/>
      <c r="AH269" s="1063"/>
      <c r="AI269" s="1063"/>
      <c r="AJ269" s="1063"/>
      <c r="AK269" s="1063"/>
      <c r="AL269" s="1063"/>
      <c r="AM269" s="1063"/>
      <c r="AN269" s="1063"/>
      <c r="AO269" s="1063"/>
      <c r="AP269" s="1063"/>
      <c r="AQ269" s="1063"/>
      <c r="AR269" s="1063"/>
      <c r="AS269" s="1063"/>
      <c r="AT269" s="1063"/>
      <c r="AU269" s="1063"/>
      <c r="AV269" s="1063"/>
    </row>
    <row r="270" spans="1:48" s="1108" customFormat="1" ht="27.75" customHeight="1">
      <c r="A270" s="1076"/>
      <c r="B270" s="1074"/>
      <c r="D270" s="1063"/>
      <c r="F270" s="1076"/>
      <c r="G270" s="1063"/>
      <c r="H270" s="1063"/>
      <c r="I270" s="1063"/>
      <c r="J270" s="1063"/>
      <c r="K270" s="1063"/>
      <c r="L270" s="1063"/>
      <c r="M270" s="1063"/>
      <c r="N270" s="1063"/>
      <c r="O270" s="1063"/>
      <c r="P270" s="1063"/>
      <c r="Q270" s="1063"/>
      <c r="R270" s="1063"/>
      <c r="S270" s="1063"/>
      <c r="T270" s="1063"/>
      <c r="U270" s="1063"/>
      <c r="V270" s="1063"/>
      <c r="W270" s="1063"/>
      <c r="X270" s="1063"/>
      <c r="Y270" s="1063"/>
      <c r="Z270" s="1063"/>
      <c r="AA270" s="1063"/>
      <c r="AB270" s="1063"/>
      <c r="AC270" s="1063"/>
      <c r="AD270" s="1063"/>
      <c r="AE270" s="1063"/>
      <c r="AF270" s="1063"/>
      <c r="AG270" s="1063"/>
      <c r="AH270" s="1063"/>
      <c r="AI270" s="1063"/>
      <c r="AJ270" s="1063"/>
      <c r="AK270" s="1063"/>
      <c r="AL270" s="1063"/>
      <c r="AM270" s="1063"/>
      <c r="AN270" s="1063"/>
      <c r="AO270" s="1063"/>
      <c r="AP270" s="1063"/>
      <c r="AQ270" s="1063"/>
      <c r="AR270" s="1063"/>
      <c r="AS270" s="1063"/>
      <c r="AT270" s="1063"/>
      <c r="AU270" s="1063"/>
      <c r="AV270" s="1063"/>
    </row>
    <row r="271" spans="1:48" s="1108" customFormat="1" ht="27.75" customHeight="1">
      <c r="A271" s="1076"/>
      <c r="B271" s="1074"/>
      <c r="D271" s="1063"/>
      <c r="F271" s="1076"/>
      <c r="G271" s="1063"/>
      <c r="H271" s="1063"/>
      <c r="I271" s="1063"/>
      <c r="J271" s="1063"/>
      <c r="K271" s="1063"/>
      <c r="L271" s="1063"/>
      <c r="M271" s="1063"/>
      <c r="N271" s="1063"/>
      <c r="O271" s="1063"/>
      <c r="P271" s="1063"/>
      <c r="Q271" s="1063"/>
      <c r="R271" s="1063"/>
      <c r="S271" s="1063"/>
      <c r="T271" s="1063"/>
      <c r="U271" s="1063"/>
      <c r="V271" s="1063"/>
      <c r="W271" s="1063"/>
      <c r="X271" s="1063"/>
      <c r="Y271" s="1063"/>
      <c r="Z271" s="1063"/>
      <c r="AA271" s="1063"/>
      <c r="AB271" s="1063"/>
      <c r="AC271" s="1063"/>
      <c r="AD271" s="1063"/>
      <c r="AE271" s="1063"/>
      <c r="AF271" s="1063"/>
      <c r="AG271" s="1063"/>
      <c r="AH271" s="1063"/>
      <c r="AI271" s="1063"/>
      <c r="AJ271" s="1063"/>
      <c r="AK271" s="1063"/>
      <c r="AL271" s="1063"/>
      <c r="AM271" s="1063"/>
      <c r="AN271" s="1063"/>
      <c r="AO271" s="1063"/>
      <c r="AP271" s="1063"/>
      <c r="AQ271" s="1063"/>
      <c r="AR271" s="1063"/>
      <c r="AS271" s="1063"/>
      <c r="AT271" s="1063"/>
      <c r="AU271" s="1063"/>
      <c r="AV271" s="1063"/>
    </row>
    <row r="272" spans="1:48" s="1108" customFormat="1" ht="27.75" customHeight="1">
      <c r="A272" s="1076"/>
      <c r="B272" s="1074"/>
      <c r="D272" s="1063"/>
      <c r="F272" s="1076"/>
      <c r="G272" s="1063"/>
      <c r="H272" s="1063"/>
      <c r="I272" s="1063"/>
      <c r="J272" s="1063"/>
      <c r="K272" s="1063"/>
      <c r="L272" s="1063"/>
      <c r="M272" s="1063"/>
      <c r="N272" s="1063"/>
      <c r="O272" s="1063"/>
      <c r="P272" s="1063"/>
      <c r="Q272" s="1063"/>
      <c r="R272" s="1063"/>
      <c r="S272" s="1063"/>
      <c r="T272" s="1063"/>
      <c r="U272" s="1063"/>
      <c r="V272" s="1063"/>
      <c r="W272" s="1063"/>
      <c r="X272" s="1063"/>
      <c r="Y272" s="1063"/>
      <c r="Z272" s="1063"/>
      <c r="AA272" s="1063"/>
      <c r="AB272" s="1063"/>
      <c r="AC272" s="1063"/>
      <c r="AD272" s="1063"/>
      <c r="AE272" s="1063"/>
      <c r="AF272" s="1063"/>
      <c r="AG272" s="1063"/>
      <c r="AH272" s="1063"/>
      <c r="AI272" s="1063"/>
      <c r="AJ272" s="1063"/>
      <c r="AK272" s="1063"/>
      <c r="AL272" s="1063"/>
      <c r="AM272" s="1063"/>
      <c r="AN272" s="1063"/>
      <c r="AO272" s="1063"/>
      <c r="AP272" s="1063"/>
      <c r="AQ272" s="1063"/>
      <c r="AR272" s="1063"/>
      <c r="AS272" s="1063"/>
      <c r="AT272" s="1063"/>
      <c r="AU272" s="1063"/>
      <c r="AV272" s="1063"/>
    </row>
    <row r="273" spans="1:48" s="1108" customFormat="1" ht="27.75" customHeight="1">
      <c r="A273" s="1076"/>
      <c r="B273" s="1074"/>
      <c r="D273" s="1063"/>
      <c r="F273" s="1076"/>
      <c r="G273" s="1063"/>
      <c r="H273" s="1063"/>
      <c r="I273" s="1063"/>
      <c r="J273" s="1063"/>
      <c r="K273" s="1063"/>
      <c r="L273" s="1063"/>
      <c r="M273" s="1063"/>
      <c r="N273" s="1063"/>
      <c r="O273" s="1063"/>
      <c r="P273" s="1063"/>
      <c r="Q273" s="1063"/>
      <c r="R273" s="1063"/>
      <c r="S273" s="1063"/>
      <c r="T273" s="1063"/>
      <c r="U273" s="1063"/>
      <c r="V273" s="1063"/>
      <c r="W273" s="1063"/>
      <c r="X273" s="1063"/>
      <c r="Y273" s="1063"/>
      <c r="Z273" s="1063"/>
      <c r="AA273" s="1063"/>
      <c r="AB273" s="1063"/>
      <c r="AC273" s="1063"/>
      <c r="AD273" s="1063"/>
      <c r="AE273" s="1063"/>
      <c r="AF273" s="1063"/>
      <c r="AG273" s="1063"/>
      <c r="AH273" s="1063"/>
      <c r="AI273" s="1063"/>
      <c r="AJ273" s="1063"/>
      <c r="AK273" s="1063"/>
      <c r="AL273" s="1063"/>
      <c r="AM273" s="1063"/>
      <c r="AN273" s="1063"/>
      <c r="AO273" s="1063"/>
      <c r="AP273" s="1063"/>
      <c r="AQ273" s="1063"/>
      <c r="AR273" s="1063"/>
      <c r="AS273" s="1063"/>
      <c r="AT273" s="1063"/>
      <c r="AU273" s="1063"/>
      <c r="AV273" s="1063"/>
    </row>
    <row r="274" spans="1:48" s="1108" customFormat="1" ht="27.75" customHeight="1">
      <c r="A274" s="1076"/>
      <c r="B274" s="1074"/>
      <c r="D274" s="1063"/>
      <c r="F274" s="1076"/>
      <c r="G274" s="1063"/>
      <c r="H274" s="1063"/>
      <c r="I274" s="1063"/>
      <c r="J274" s="1063"/>
      <c r="K274" s="1063"/>
      <c r="L274" s="1063"/>
      <c r="M274" s="1063"/>
      <c r="N274" s="1063"/>
      <c r="O274" s="1063"/>
      <c r="P274" s="1063"/>
      <c r="Q274" s="1063"/>
      <c r="R274" s="1063"/>
      <c r="S274" s="1063"/>
      <c r="T274" s="1063"/>
      <c r="U274" s="1063"/>
      <c r="V274" s="1063"/>
      <c r="W274" s="1063"/>
      <c r="X274" s="1063"/>
      <c r="Y274" s="1063"/>
      <c r="Z274" s="1063"/>
      <c r="AA274" s="1063"/>
      <c r="AB274" s="1063"/>
      <c r="AC274" s="1063"/>
      <c r="AD274" s="1063"/>
      <c r="AE274" s="1063"/>
      <c r="AF274" s="1063"/>
      <c r="AG274" s="1063"/>
      <c r="AH274" s="1063"/>
      <c r="AI274" s="1063"/>
      <c r="AJ274" s="1063"/>
      <c r="AK274" s="1063"/>
      <c r="AL274" s="1063"/>
      <c r="AM274" s="1063"/>
      <c r="AN274" s="1063"/>
      <c r="AO274" s="1063"/>
      <c r="AP274" s="1063"/>
      <c r="AQ274" s="1063"/>
      <c r="AR274" s="1063"/>
      <c r="AS274" s="1063"/>
      <c r="AT274" s="1063"/>
      <c r="AU274" s="1063"/>
      <c r="AV274" s="1063"/>
    </row>
    <row r="275" spans="1:48" s="1108" customFormat="1" ht="27.75" customHeight="1">
      <c r="A275" s="1076"/>
      <c r="B275" s="1074"/>
      <c r="D275" s="1063"/>
      <c r="F275" s="1076"/>
      <c r="G275" s="1063"/>
      <c r="H275" s="1063"/>
      <c r="I275" s="1063"/>
      <c r="J275" s="1063"/>
      <c r="K275" s="1063"/>
      <c r="L275" s="1063"/>
      <c r="M275" s="1063"/>
      <c r="N275" s="1063"/>
      <c r="O275" s="1063"/>
      <c r="P275" s="1063"/>
      <c r="Q275" s="1063"/>
      <c r="R275" s="1063"/>
      <c r="S275" s="1063"/>
      <c r="T275" s="1063"/>
      <c r="U275" s="1063"/>
      <c r="V275" s="1063"/>
      <c r="W275" s="1063"/>
      <c r="X275" s="1063"/>
      <c r="Y275" s="1063"/>
      <c r="Z275" s="1063"/>
      <c r="AA275" s="1063"/>
      <c r="AB275" s="1063"/>
      <c r="AC275" s="1063"/>
      <c r="AD275" s="1063"/>
      <c r="AE275" s="1063"/>
      <c r="AF275" s="1063"/>
      <c r="AG275" s="1063"/>
      <c r="AH275" s="1063"/>
      <c r="AI275" s="1063"/>
      <c r="AJ275" s="1063"/>
      <c r="AK275" s="1063"/>
      <c r="AL275" s="1063"/>
      <c r="AM275" s="1063"/>
      <c r="AN275" s="1063"/>
      <c r="AO275" s="1063"/>
      <c r="AP275" s="1063"/>
      <c r="AQ275" s="1063"/>
      <c r="AR275" s="1063"/>
      <c r="AS275" s="1063"/>
      <c r="AT275" s="1063"/>
      <c r="AU275" s="1063"/>
      <c r="AV275" s="1063"/>
    </row>
    <row r="276" spans="1:48" s="1108" customFormat="1" ht="27.75" customHeight="1">
      <c r="A276" s="1076"/>
      <c r="B276" s="1074"/>
      <c r="D276" s="1063"/>
      <c r="F276" s="1076"/>
      <c r="G276" s="1063"/>
      <c r="H276" s="1063"/>
      <c r="I276" s="1063"/>
      <c r="J276" s="1063"/>
      <c r="K276" s="1063"/>
      <c r="L276" s="1063"/>
      <c r="M276" s="1063"/>
      <c r="N276" s="1063"/>
      <c r="O276" s="1063"/>
      <c r="P276" s="1063"/>
      <c r="Q276" s="1063"/>
      <c r="R276" s="1063"/>
      <c r="S276" s="1063"/>
      <c r="T276" s="1063"/>
      <c r="U276" s="1063"/>
      <c r="V276" s="1063"/>
      <c r="W276" s="1063"/>
      <c r="X276" s="1063"/>
      <c r="Y276" s="1063"/>
      <c r="Z276" s="1063"/>
      <c r="AA276" s="1063"/>
      <c r="AB276" s="1063"/>
      <c r="AC276" s="1063"/>
      <c r="AD276" s="1063"/>
      <c r="AE276" s="1063"/>
      <c r="AF276" s="1063"/>
      <c r="AG276" s="1063"/>
      <c r="AH276" s="1063"/>
      <c r="AI276" s="1063"/>
      <c r="AJ276" s="1063"/>
      <c r="AK276" s="1063"/>
      <c r="AL276" s="1063"/>
      <c r="AM276" s="1063"/>
      <c r="AN276" s="1063"/>
      <c r="AO276" s="1063"/>
      <c r="AP276" s="1063"/>
      <c r="AQ276" s="1063"/>
      <c r="AR276" s="1063"/>
      <c r="AS276" s="1063"/>
      <c r="AT276" s="1063"/>
      <c r="AU276" s="1063"/>
      <c r="AV276" s="1063"/>
    </row>
    <row r="277" spans="1:48" s="1108" customFormat="1" ht="27.75" customHeight="1">
      <c r="A277" s="1076"/>
      <c r="B277" s="1074"/>
      <c r="D277" s="1063"/>
      <c r="F277" s="1076"/>
      <c r="G277" s="1063"/>
      <c r="H277" s="1063"/>
      <c r="I277" s="1063"/>
      <c r="J277" s="1063"/>
      <c r="K277" s="1063"/>
      <c r="L277" s="1063"/>
      <c r="M277" s="1063"/>
      <c r="N277" s="1063"/>
      <c r="O277" s="1063"/>
      <c r="P277" s="1063"/>
      <c r="Q277" s="1063"/>
      <c r="R277" s="1063"/>
      <c r="S277" s="1063"/>
      <c r="T277" s="1063"/>
      <c r="U277" s="1063"/>
      <c r="V277" s="1063"/>
      <c r="W277" s="1063"/>
      <c r="X277" s="1063"/>
      <c r="Y277" s="1063"/>
      <c r="Z277" s="1063"/>
      <c r="AA277" s="1063"/>
      <c r="AB277" s="1063"/>
      <c r="AC277" s="1063"/>
      <c r="AD277" s="1063"/>
      <c r="AE277" s="1063"/>
      <c r="AF277" s="1063"/>
      <c r="AG277" s="1063"/>
      <c r="AH277" s="1063"/>
      <c r="AI277" s="1063"/>
      <c r="AJ277" s="1063"/>
      <c r="AK277" s="1063"/>
      <c r="AL277" s="1063"/>
      <c r="AM277" s="1063"/>
      <c r="AN277" s="1063"/>
      <c r="AO277" s="1063"/>
      <c r="AP277" s="1063"/>
      <c r="AQ277" s="1063"/>
      <c r="AR277" s="1063"/>
      <c r="AS277" s="1063"/>
      <c r="AT277" s="1063"/>
      <c r="AU277" s="1063"/>
      <c r="AV277" s="1063"/>
    </row>
    <row r="278" spans="1:48" s="1108" customFormat="1" ht="27.75" customHeight="1">
      <c r="A278" s="1076"/>
      <c r="B278" s="1074"/>
      <c r="D278" s="1063"/>
      <c r="F278" s="1076"/>
      <c r="G278" s="1063"/>
      <c r="H278" s="1063"/>
      <c r="I278" s="1063"/>
      <c r="J278" s="1063"/>
      <c r="K278" s="1063"/>
      <c r="L278" s="1063"/>
      <c r="M278" s="1063"/>
      <c r="N278" s="1063"/>
      <c r="O278" s="1063"/>
      <c r="P278" s="1063"/>
      <c r="Q278" s="1063"/>
      <c r="R278" s="1063"/>
      <c r="S278" s="1063"/>
      <c r="T278" s="1063"/>
      <c r="U278" s="1063"/>
      <c r="V278" s="1063"/>
      <c r="W278" s="1063"/>
      <c r="X278" s="1063"/>
      <c r="Y278" s="1063"/>
      <c r="Z278" s="1063"/>
      <c r="AA278" s="1063"/>
      <c r="AB278" s="1063"/>
      <c r="AC278" s="1063"/>
      <c r="AD278" s="1063"/>
      <c r="AE278" s="1063"/>
      <c r="AF278" s="1063"/>
      <c r="AG278" s="1063"/>
      <c r="AH278" s="1063"/>
      <c r="AI278" s="1063"/>
      <c r="AJ278" s="1063"/>
      <c r="AK278" s="1063"/>
      <c r="AL278" s="1063"/>
      <c r="AM278" s="1063"/>
      <c r="AN278" s="1063"/>
      <c r="AO278" s="1063"/>
      <c r="AP278" s="1063"/>
      <c r="AQ278" s="1063"/>
      <c r="AR278" s="1063"/>
      <c r="AS278" s="1063"/>
      <c r="AT278" s="1063"/>
      <c r="AU278" s="1063"/>
      <c r="AV278" s="1063"/>
    </row>
    <row r="279" spans="1:48" s="1108" customFormat="1" ht="27.75" customHeight="1">
      <c r="A279" s="1076"/>
      <c r="B279" s="1074"/>
      <c r="D279" s="1063"/>
      <c r="F279" s="1076"/>
      <c r="G279" s="1063"/>
      <c r="H279" s="1063"/>
      <c r="I279" s="1063"/>
      <c r="J279" s="1063"/>
      <c r="K279" s="1063"/>
      <c r="L279" s="1063"/>
      <c r="M279" s="1063"/>
      <c r="N279" s="1063"/>
      <c r="O279" s="1063"/>
      <c r="P279" s="1063"/>
      <c r="Q279" s="1063"/>
      <c r="R279" s="1063"/>
      <c r="S279" s="1063"/>
      <c r="T279" s="1063"/>
      <c r="U279" s="1063"/>
      <c r="V279" s="1063"/>
      <c r="W279" s="1063"/>
      <c r="X279" s="1063"/>
      <c r="Y279" s="1063"/>
      <c r="Z279" s="1063"/>
      <c r="AA279" s="1063"/>
      <c r="AB279" s="1063"/>
      <c r="AC279" s="1063"/>
      <c r="AD279" s="1063"/>
      <c r="AE279" s="1063"/>
      <c r="AF279" s="1063"/>
      <c r="AG279" s="1063"/>
      <c r="AH279" s="1063"/>
      <c r="AI279" s="1063"/>
      <c r="AJ279" s="1063"/>
      <c r="AK279" s="1063"/>
      <c r="AL279" s="1063"/>
      <c r="AM279" s="1063"/>
      <c r="AN279" s="1063"/>
      <c r="AO279" s="1063"/>
      <c r="AP279" s="1063"/>
      <c r="AQ279" s="1063"/>
      <c r="AR279" s="1063"/>
      <c r="AS279" s="1063"/>
      <c r="AT279" s="1063"/>
      <c r="AU279" s="1063"/>
      <c r="AV279" s="1063"/>
    </row>
    <row r="280" spans="1:48" s="1108" customFormat="1" ht="27.75" customHeight="1">
      <c r="A280" s="1076"/>
      <c r="B280" s="1074"/>
      <c r="D280" s="1063"/>
      <c r="F280" s="1076"/>
      <c r="G280" s="1063"/>
      <c r="H280" s="1063"/>
      <c r="I280" s="1063"/>
      <c r="J280" s="1063"/>
      <c r="K280" s="1063"/>
      <c r="L280" s="1063"/>
      <c r="M280" s="1063"/>
      <c r="N280" s="1063"/>
      <c r="O280" s="1063"/>
      <c r="P280" s="1063"/>
      <c r="Q280" s="1063"/>
      <c r="R280" s="1063"/>
      <c r="S280" s="1063"/>
      <c r="T280" s="1063"/>
      <c r="U280" s="1063"/>
      <c r="V280" s="1063"/>
      <c r="W280" s="1063"/>
      <c r="X280" s="1063"/>
      <c r="Y280" s="1063"/>
      <c r="Z280" s="1063"/>
      <c r="AA280" s="1063"/>
      <c r="AB280" s="1063"/>
      <c r="AC280" s="1063"/>
      <c r="AD280" s="1063"/>
      <c r="AE280" s="1063"/>
      <c r="AF280" s="1063"/>
      <c r="AG280" s="1063"/>
      <c r="AH280" s="1063"/>
      <c r="AI280" s="1063"/>
      <c r="AJ280" s="1063"/>
      <c r="AK280" s="1063"/>
      <c r="AL280" s="1063"/>
      <c r="AM280" s="1063"/>
      <c r="AN280" s="1063"/>
      <c r="AO280" s="1063"/>
      <c r="AP280" s="1063"/>
      <c r="AQ280" s="1063"/>
      <c r="AR280" s="1063"/>
      <c r="AS280" s="1063"/>
      <c r="AT280" s="1063"/>
      <c r="AU280" s="1063"/>
      <c r="AV280" s="1063"/>
    </row>
    <row r="281" spans="1:48" s="1108" customFormat="1" ht="27.75" customHeight="1">
      <c r="A281" s="1076"/>
      <c r="B281" s="1074"/>
      <c r="D281" s="1063"/>
      <c r="F281" s="1076"/>
      <c r="G281" s="1063"/>
      <c r="H281" s="1063"/>
      <c r="I281" s="1063"/>
      <c r="J281" s="1063"/>
      <c r="K281" s="1063"/>
      <c r="L281" s="1063"/>
      <c r="M281" s="1063"/>
      <c r="N281" s="1063"/>
      <c r="O281" s="1063"/>
      <c r="P281" s="1063"/>
      <c r="Q281" s="1063"/>
      <c r="R281" s="1063"/>
      <c r="S281" s="1063"/>
      <c r="T281" s="1063"/>
      <c r="U281" s="1063"/>
      <c r="V281" s="1063"/>
      <c r="W281" s="1063"/>
      <c r="X281" s="1063"/>
      <c r="Y281" s="1063"/>
      <c r="Z281" s="1063"/>
      <c r="AA281" s="1063"/>
      <c r="AB281" s="1063"/>
      <c r="AC281" s="1063"/>
      <c r="AD281" s="1063"/>
      <c r="AE281" s="1063"/>
      <c r="AF281" s="1063"/>
      <c r="AG281" s="1063"/>
      <c r="AH281" s="1063"/>
      <c r="AI281" s="1063"/>
      <c r="AJ281" s="1063"/>
      <c r="AK281" s="1063"/>
      <c r="AL281" s="1063"/>
      <c r="AM281" s="1063"/>
      <c r="AN281" s="1063"/>
      <c r="AO281" s="1063"/>
      <c r="AP281" s="1063"/>
      <c r="AQ281" s="1063"/>
      <c r="AR281" s="1063"/>
      <c r="AS281" s="1063"/>
      <c r="AT281" s="1063"/>
      <c r="AU281" s="1063"/>
      <c r="AV281" s="1063"/>
    </row>
    <row r="282" spans="1:48" s="1108" customFormat="1" ht="27.75" customHeight="1">
      <c r="A282" s="1076"/>
      <c r="B282" s="1074"/>
      <c r="D282" s="1063"/>
      <c r="F282" s="1076"/>
      <c r="G282" s="1063"/>
      <c r="H282" s="1063"/>
      <c r="I282" s="1063"/>
      <c r="J282" s="1063"/>
      <c r="K282" s="1063"/>
      <c r="L282" s="1063"/>
      <c r="M282" s="1063"/>
      <c r="N282" s="1063"/>
      <c r="O282" s="1063"/>
      <c r="P282" s="1063"/>
      <c r="Q282" s="1063"/>
      <c r="R282" s="1063"/>
      <c r="S282" s="1063"/>
      <c r="T282" s="1063"/>
      <c r="U282" s="1063"/>
      <c r="V282" s="1063"/>
      <c r="W282" s="1063"/>
      <c r="X282" s="1063"/>
      <c r="Y282" s="1063"/>
      <c r="Z282" s="1063"/>
      <c r="AA282" s="1063"/>
      <c r="AB282" s="1063"/>
      <c r="AC282" s="1063"/>
      <c r="AD282" s="1063"/>
      <c r="AE282" s="1063"/>
      <c r="AF282" s="1063"/>
      <c r="AG282" s="1063"/>
      <c r="AH282" s="1063"/>
      <c r="AI282" s="1063"/>
      <c r="AJ282" s="1063"/>
      <c r="AK282" s="1063"/>
      <c r="AL282" s="1063"/>
      <c r="AM282" s="1063"/>
      <c r="AN282" s="1063"/>
      <c r="AO282" s="1063"/>
      <c r="AP282" s="1063"/>
      <c r="AQ282" s="1063"/>
      <c r="AR282" s="1063"/>
      <c r="AS282" s="1063"/>
      <c r="AT282" s="1063"/>
      <c r="AU282" s="1063"/>
      <c r="AV282" s="1063"/>
    </row>
    <row r="283" spans="1:48" s="1108" customFormat="1" ht="27.75" customHeight="1">
      <c r="A283" s="1076"/>
      <c r="B283" s="1074"/>
      <c r="D283" s="1063"/>
      <c r="F283" s="1076"/>
      <c r="G283" s="1063"/>
      <c r="H283" s="1063"/>
      <c r="I283" s="1063"/>
      <c r="J283" s="1063"/>
      <c r="K283" s="1063"/>
      <c r="L283" s="1063"/>
      <c r="M283" s="1063"/>
      <c r="N283" s="1063"/>
      <c r="O283" s="1063"/>
      <c r="P283" s="1063"/>
      <c r="Q283" s="1063"/>
      <c r="R283" s="1063"/>
      <c r="S283" s="1063"/>
      <c r="T283" s="1063"/>
      <c r="U283" s="1063"/>
      <c r="V283" s="1063"/>
      <c r="W283" s="1063"/>
      <c r="X283" s="1063"/>
      <c r="Y283" s="1063"/>
      <c r="Z283" s="1063"/>
      <c r="AA283" s="1063"/>
      <c r="AB283" s="1063"/>
      <c r="AC283" s="1063"/>
      <c r="AD283" s="1063"/>
      <c r="AE283" s="1063"/>
      <c r="AF283" s="1063"/>
      <c r="AG283" s="1063"/>
      <c r="AH283" s="1063"/>
      <c r="AI283" s="1063"/>
      <c r="AJ283" s="1063"/>
      <c r="AK283" s="1063"/>
      <c r="AL283" s="1063"/>
      <c r="AM283" s="1063"/>
      <c r="AN283" s="1063"/>
      <c r="AO283" s="1063"/>
      <c r="AP283" s="1063"/>
      <c r="AQ283" s="1063"/>
      <c r="AR283" s="1063"/>
      <c r="AS283" s="1063"/>
      <c r="AT283" s="1063"/>
      <c r="AU283" s="1063"/>
      <c r="AV283" s="1063"/>
    </row>
    <row r="284" spans="1:48" s="1108" customFormat="1" ht="27.75" customHeight="1">
      <c r="A284" s="1076"/>
      <c r="B284" s="1074"/>
      <c r="D284" s="1063"/>
      <c r="F284" s="1076"/>
      <c r="G284" s="1063"/>
      <c r="H284" s="1063"/>
      <c r="I284" s="1063"/>
      <c r="J284" s="1063"/>
      <c r="K284" s="1063"/>
      <c r="L284" s="1063"/>
      <c r="M284" s="1063"/>
      <c r="N284" s="1063"/>
      <c r="O284" s="1063"/>
      <c r="P284" s="1063"/>
      <c r="Q284" s="1063"/>
      <c r="R284" s="1063"/>
      <c r="S284" s="1063"/>
      <c r="T284" s="1063"/>
      <c r="U284" s="1063"/>
      <c r="V284" s="1063"/>
      <c r="W284" s="1063"/>
      <c r="X284" s="1063"/>
      <c r="Y284" s="1063"/>
      <c r="Z284" s="1063"/>
      <c r="AA284" s="1063"/>
      <c r="AB284" s="1063"/>
      <c r="AC284" s="1063"/>
      <c r="AD284" s="1063"/>
      <c r="AE284" s="1063"/>
      <c r="AF284" s="1063"/>
      <c r="AG284" s="1063"/>
      <c r="AH284" s="1063"/>
      <c r="AI284" s="1063"/>
      <c r="AJ284" s="1063"/>
      <c r="AK284" s="1063"/>
      <c r="AL284" s="1063"/>
      <c r="AM284" s="1063"/>
      <c r="AN284" s="1063"/>
      <c r="AO284" s="1063"/>
      <c r="AP284" s="1063"/>
      <c r="AQ284" s="1063"/>
      <c r="AR284" s="1063"/>
      <c r="AS284" s="1063"/>
      <c r="AT284" s="1063"/>
      <c r="AU284" s="1063"/>
      <c r="AV284" s="1063"/>
    </row>
    <row r="285" spans="1:48" s="1108" customFormat="1" ht="27.75" customHeight="1">
      <c r="A285" s="1076"/>
      <c r="B285" s="1074"/>
      <c r="D285" s="1063"/>
      <c r="F285" s="1076"/>
      <c r="G285" s="1063"/>
      <c r="H285" s="1063"/>
      <c r="I285" s="1063"/>
      <c r="J285" s="1063"/>
      <c r="K285" s="1063"/>
      <c r="L285" s="1063"/>
      <c r="M285" s="1063"/>
      <c r="N285" s="1063"/>
      <c r="O285" s="1063"/>
      <c r="P285" s="1063"/>
      <c r="Q285" s="1063"/>
      <c r="R285" s="1063"/>
      <c r="S285" s="1063"/>
      <c r="T285" s="1063"/>
      <c r="U285" s="1063"/>
      <c r="V285" s="1063"/>
      <c r="W285" s="1063"/>
      <c r="X285" s="1063"/>
      <c r="Y285" s="1063"/>
      <c r="Z285" s="1063"/>
      <c r="AA285" s="1063"/>
      <c r="AB285" s="1063"/>
      <c r="AC285" s="1063"/>
      <c r="AD285" s="1063"/>
      <c r="AE285" s="1063"/>
      <c r="AF285" s="1063"/>
      <c r="AG285" s="1063"/>
      <c r="AH285" s="1063"/>
      <c r="AI285" s="1063"/>
      <c r="AJ285" s="1063"/>
      <c r="AK285" s="1063"/>
      <c r="AL285" s="1063"/>
      <c r="AM285" s="1063"/>
      <c r="AN285" s="1063"/>
      <c r="AO285" s="1063"/>
      <c r="AP285" s="1063"/>
      <c r="AQ285" s="1063"/>
      <c r="AR285" s="1063"/>
      <c r="AS285" s="1063"/>
      <c r="AT285" s="1063"/>
      <c r="AU285" s="1063"/>
      <c r="AV285" s="1063"/>
    </row>
    <row r="286" spans="1:48" s="1108" customFormat="1" ht="27.75" customHeight="1">
      <c r="A286" s="1076"/>
      <c r="B286" s="1074"/>
      <c r="D286" s="1063"/>
      <c r="F286" s="1076"/>
      <c r="G286" s="1063"/>
      <c r="H286" s="1063"/>
      <c r="I286" s="1063"/>
      <c r="J286" s="1063"/>
      <c r="K286" s="1063"/>
      <c r="L286" s="1063"/>
      <c r="M286" s="1063"/>
      <c r="N286" s="1063"/>
      <c r="O286" s="1063"/>
      <c r="P286" s="1063"/>
      <c r="Q286" s="1063"/>
      <c r="R286" s="1063"/>
      <c r="S286" s="1063"/>
      <c r="T286" s="1063"/>
      <c r="U286" s="1063"/>
      <c r="V286" s="1063"/>
      <c r="W286" s="1063"/>
      <c r="X286" s="1063"/>
      <c r="Y286" s="1063"/>
      <c r="Z286" s="1063"/>
      <c r="AA286" s="1063"/>
      <c r="AB286" s="1063"/>
      <c r="AC286" s="1063"/>
      <c r="AD286" s="1063"/>
      <c r="AE286" s="1063"/>
      <c r="AF286" s="1063"/>
      <c r="AG286" s="1063"/>
      <c r="AH286" s="1063"/>
      <c r="AI286" s="1063"/>
      <c r="AJ286" s="1063"/>
      <c r="AK286" s="1063"/>
      <c r="AL286" s="1063"/>
      <c r="AM286" s="1063"/>
      <c r="AN286" s="1063"/>
      <c r="AO286" s="1063"/>
      <c r="AP286" s="1063"/>
      <c r="AQ286" s="1063"/>
      <c r="AR286" s="1063"/>
      <c r="AS286" s="1063"/>
      <c r="AT286" s="1063"/>
      <c r="AU286" s="1063"/>
      <c r="AV286" s="1063"/>
    </row>
    <row r="287" spans="1:48" s="1108" customFormat="1" ht="27.75" customHeight="1">
      <c r="A287" s="1076"/>
      <c r="B287" s="1074"/>
      <c r="D287" s="1063"/>
      <c r="F287" s="1076"/>
      <c r="G287" s="1063"/>
      <c r="H287" s="1063"/>
      <c r="I287" s="1063"/>
      <c r="J287" s="1063"/>
      <c r="K287" s="1063"/>
      <c r="L287" s="1063"/>
      <c r="M287" s="1063"/>
      <c r="N287" s="1063"/>
      <c r="O287" s="1063"/>
      <c r="P287" s="1063"/>
      <c r="Q287" s="1063"/>
      <c r="R287" s="1063"/>
      <c r="S287" s="1063"/>
      <c r="T287" s="1063"/>
      <c r="U287" s="1063"/>
      <c r="V287" s="1063"/>
      <c r="W287" s="1063"/>
      <c r="X287" s="1063"/>
      <c r="Y287" s="1063"/>
      <c r="Z287" s="1063"/>
      <c r="AA287" s="1063"/>
      <c r="AB287" s="1063"/>
      <c r="AC287" s="1063"/>
      <c r="AD287" s="1063"/>
      <c r="AE287" s="1063"/>
      <c r="AF287" s="1063"/>
      <c r="AG287" s="1063"/>
      <c r="AH287" s="1063"/>
      <c r="AI287" s="1063"/>
      <c r="AJ287" s="1063"/>
      <c r="AK287" s="1063"/>
      <c r="AL287" s="1063"/>
      <c r="AM287" s="1063"/>
      <c r="AN287" s="1063"/>
      <c r="AO287" s="1063"/>
      <c r="AP287" s="1063"/>
      <c r="AQ287" s="1063"/>
      <c r="AR287" s="1063"/>
      <c r="AS287" s="1063"/>
      <c r="AT287" s="1063"/>
      <c r="AU287" s="1063"/>
      <c r="AV287" s="1063"/>
    </row>
    <row r="288" spans="1:48" s="1108" customFormat="1" ht="27.75" customHeight="1">
      <c r="A288" s="1076"/>
      <c r="B288" s="1074"/>
      <c r="D288" s="1063"/>
      <c r="F288" s="1076"/>
      <c r="G288" s="1063"/>
      <c r="H288" s="1063"/>
      <c r="I288" s="1063"/>
      <c r="J288" s="1063"/>
      <c r="K288" s="1063"/>
      <c r="L288" s="1063"/>
      <c r="M288" s="1063"/>
      <c r="N288" s="1063"/>
      <c r="O288" s="1063"/>
      <c r="P288" s="1063"/>
      <c r="Q288" s="1063"/>
      <c r="R288" s="1063"/>
      <c r="S288" s="1063"/>
      <c r="T288" s="1063"/>
      <c r="U288" s="1063"/>
      <c r="V288" s="1063"/>
      <c r="W288" s="1063"/>
      <c r="X288" s="1063"/>
      <c r="Y288" s="1063"/>
      <c r="Z288" s="1063"/>
      <c r="AA288" s="1063"/>
      <c r="AB288" s="1063"/>
      <c r="AC288" s="1063"/>
      <c r="AD288" s="1063"/>
      <c r="AE288" s="1063"/>
      <c r="AF288" s="1063"/>
      <c r="AG288" s="1063"/>
      <c r="AH288" s="1063"/>
      <c r="AI288" s="1063"/>
      <c r="AJ288" s="1063"/>
      <c r="AK288" s="1063"/>
      <c r="AL288" s="1063"/>
      <c r="AM288" s="1063"/>
      <c r="AN288" s="1063"/>
      <c r="AO288" s="1063"/>
      <c r="AP288" s="1063"/>
      <c r="AQ288" s="1063"/>
      <c r="AR288" s="1063"/>
      <c r="AS288" s="1063"/>
      <c r="AT288" s="1063"/>
      <c r="AU288" s="1063"/>
      <c r="AV288" s="1063"/>
    </row>
    <row r="289" spans="1:48" s="1108" customFormat="1" ht="27.75" customHeight="1">
      <c r="A289" s="1076"/>
      <c r="B289" s="1074"/>
      <c r="D289" s="1063"/>
      <c r="F289" s="1076"/>
      <c r="G289" s="1063"/>
      <c r="H289" s="1063"/>
      <c r="I289" s="1063"/>
      <c r="J289" s="1063"/>
      <c r="K289" s="1063"/>
      <c r="L289" s="1063"/>
      <c r="M289" s="1063"/>
      <c r="N289" s="1063"/>
      <c r="O289" s="1063"/>
      <c r="P289" s="1063"/>
      <c r="Q289" s="1063"/>
      <c r="R289" s="1063"/>
      <c r="S289" s="1063"/>
      <c r="T289" s="1063"/>
      <c r="U289" s="1063"/>
      <c r="V289" s="1063"/>
      <c r="W289" s="1063"/>
      <c r="X289" s="1063"/>
      <c r="Y289" s="1063"/>
      <c r="Z289" s="1063"/>
      <c r="AA289" s="1063"/>
      <c r="AB289" s="1063"/>
      <c r="AC289" s="1063"/>
      <c r="AD289" s="1063"/>
      <c r="AE289" s="1063"/>
      <c r="AF289" s="1063"/>
      <c r="AG289" s="1063"/>
      <c r="AH289" s="1063"/>
      <c r="AI289" s="1063"/>
      <c r="AJ289" s="1063"/>
      <c r="AK289" s="1063"/>
      <c r="AL289" s="1063"/>
      <c r="AM289" s="1063"/>
      <c r="AN289" s="1063"/>
      <c r="AO289" s="1063"/>
      <c r="AP289" s="1063"/>
      <c r="AQ289" s="1063"/>
      <c r="AR289" s="1063"/>
      <c r="AS289" s="1063"/>
      <c r="AT289" s="1063"/>
      <c r="AU289" s="1063"/>
      <c r="AV289" s="1063"/>
    </row>
    <row r="290" spans="1:48" s="1108" customFormat="1" ht="27.75" customHeight="1">
      <c r="A290" s="1076"/>
      <c r="B290" s="1074"/>
      <c r="D290" s="1063"/>
      <c r="F290" s="1076"/>
      <c r="G290" s="1063"/>
      <c r="H290" s="1063"/>
      <c r="I290" s="1063"/>
      <c r="J290" s="1063"/>
      <c r="K290" s="1063"/>
      <c r="L290" s="1063"/>
      <c r="M290" s="1063"/>
      <c r="N290" s="1063"/>
      <c r="O290" s="1063"/>
      <c r="P290" s="1063"/>
      <c r="Q290" s="1063"/>
      <c r="R290" s="1063"/>
      <c r="S290" s="1063"/>
      <c r="T290" s="1063"/>
      <c r="U290" s="1063"/>
      <c r="V290" s="1063"/>
      <c r="W290" s="1063"/>
      <c r="X290" s="1063"/>
      <c r="Y290" s="1063"/>
      <c r="Z290" s="1063"/>
      <c r="AA290" s="1063"/>
      <c r="AB290" s="1063"/>
      <c r="AC290" s="1063"/>
      <c r="AD290" s="1063"/>
      <c r="AE290" s="1063"/>
      <c r="AF290" s="1063"/>
      <c r="AG290" s="1063"/>
      <c r="AH290" s="1063"/>
      <c r="AI290" s="1063"/>
      <c r="AJ290" s="1063"/>
      <c r="AK290" s="1063"/>
      <c r="AL290" s="1063"/>
      <c r="AM290" s="1063"/>
      <c r="AN290" s="1063"/>
      <c r="AO290" s="1063"/>
      <c r="AP290" s="1063"/>
      <c r="AQ290" s="1063"/>
      <c r="AR290" s="1063"/>
      <c r="AS290" s="1063"/>
      <c r="AT290" s="1063"/>
      <c r="AU290" s="1063"/>
      <c r="AV290" s="1063"/>
    </row>
    <row r="291" spans="1:48" s="1108" customFormat="1" ht="27.75" customHeight="1">
      <c r="A291" s="1076"/>
      <c r="B291" s="1074"/>
      <c r="D291" s="1063"/>
      <c r="F291" s="1076"/>
      <c r="G291" s="1063"/>
      <c r="H291" s="1063"/>
      <c r="I291" s="1063"/>
      <c r="J291" s="1063"/>
      <c r="K291" s="1063"/>
      <c r="L291" s="1063"/>
      <c r="M291" s="1063"/>
      <c r="N291" s="1063"/>
      <c r="O291" s="1063"/>
      <c r="P291" s="1063"/>
      <c r="Q291" s="1063"/>
      <c r="R291" s="1063"/>
      <c r="S291" s="1063"/>
      <c r="T291" s="1063"/>
      <c r="U291" s="1063"/>
      <c r="V291" s="1063"/>
      <c r="W291" s="1063"/>
      <c r="X291" s="1063"/>
      <c r="Y291" s="1063"/>
      <c r="Z291" s="1063"/>
      <c r="AA291" s="1063"/>
      <c r="AB291" s="1063"/>
      <c r="AC291" s="1063"/>
      <c r="AD291" s="1063"/>
      <c r="AE291" s="1063"/>
      <c r="AF291" s="1063"/>
      <c r="AG291" s="1063"/>
      <c r="AH291" s="1063"/>
      <c r="AI291" s="1063"/>
      <c r="AJ291" s="1063"/>
      <c r="AK291" s="1063"/>
      <c r="AL291" s="1063"/>
      <c r="AM291" s="1063"/>
      <c r="AN291" s="1063"/>
      <c r="AO291" s="1063"/>
      <c r="AP291" s="1063"/>
      <c r="AQ291" s="1063"/>
      <c r="AR291" s="1063"/>
      <c r="AS291" s="1063"/>
      <c r="AT291" s="1063"/>
      <c r="AU291" s="1063"/>
      <c r="AV291" s="1063"/>
    </row>
    <row r="292" spans="1:48" s="1108" customFormat="1" ht="27.75" customHeight="1">
      <c r="A292" s="1076"/>
      <c r="B292" s="1074"/>
      <c r="D292" s="1063"/>
      <c r="F292" s="1076"/>
      <c r="G292" s="1063"/>
      <c r="H292" s="1063"/>
      <c r="I292" s="1063"/>
      <c r="J292" s="1063"/>
      <c r="K292" s="1063"/>
      <c r="L292" s="1063"/>
      <c r="M292" s="1063"/>
      <c r="N292" s="1063"/>
      <c r="O292" s="1063"/>
      <c r="P292" s="1063"/>
      <c r="Q292" s="1063"/>
      <c r="R292" s="1063"/>
      <c r="S292" s="1063"/>
      <c r="T292" s="1063"/>
      <c r="U292" s="1063"/>
      <c r="V292" s="1063"/>
      <c r="W292" s="1063"/>
      <c r="X292" s="1063"/>
      <c r="Y292" s="1063"/>
      <c r="Z292" s="1063"/>
      <c r="AA292" s="1063"/>
      <c r="AB292" s="1063"/>
      <c r="AC292" s="1063"/>
      <c r="AD292" s="1063"/>
      <c r="AE292" s="1063"/>
      <c r="AF292" s="1063"/>
      <c r="AG292" s="1063"/>
      <c r="AH292" s="1063"/>
      <c r="AI292" s="1063"/>
      <c r="AJ292" s="1063"/>
      <c r="AK292" s="1063"/>
      <c r="AL292" s="1063"/>
      <c r="AM292" s="1063"/>
      <c r="AN292" s="1063"/>
      <c r="AO292" s="1063"/>
      <c r="AP292" s="1063"/>
      <c r="AQ292" s="1063"/>
      <c r="AR292" s="1063"/>
      <c r="AS292" s="1063"/>
      <c r="AT292" s="1063"/>
      <c r="AU292" s="1063"/>
      <c r="AV292" s="1063"/>
    </row>
    <row r="293" spans="1:48" s="1108" customFormat="1" ht="27.75" customHeight="1">
      <c r="A293" s="1076"/>
      <c r="B293" s="1074"/>
      <c r="D293" s="1063"/>
      <c r="F293" s="1076"/>
      <c r="G293" s="1063"/>
      <c r="H293" s="1063"/>
      <c r="I293" s="1063"/>
      <c r="J293" s="1063"/>
      <c r="K293" s="1063"/>
      <c r="L293" s="1063"/>
      <c r="M293" s="1063"/>
      <c r="N293" s="1063"/>
      <c r="O293" s="1063"/>
      <c r="P293" s="1063"/>
      <c r="Q293" s="1063"/>
      <c r="R293" s="1063"/>
      <c r="S293" s="1063"/>
      <c r="T293" s="1063"/>
      <c r="U293" s="1063"/>
      <c r="V293" s="1063"/>
      <c r="W293" s="1063"/>
      <c r="X293" s="1063"/>
      <c r="Y293" s="1063"/>
      <c r="Z293" s="1063"/>
      <c r="AA293" s="1063"/>
      <c r="AB293" s="1063"/>
      <c r="AC293" s="1063"/>
      <c r="AD293" s="1063"/>
      <c r="AE293" s="1063"/>
      <c r="AF293" s="1063"/>
      <c r="AG293" s="1063"/>
      <c r="AH293" s="1063"/>
      <c r="AI293" s="1063"/>
      <c r="AJ293" s="1063"/>
      <c r="AK293" s="1063"/>
      <c r="AL293" s="1063"/>
      <c r="AM293" s="1063"/>
      <c r="AN293" s="1063"/>
      <c r="AO293" s="1063"/>
      <c r="AP293" s="1063"/>
      <c r="AQ293" s="1063"/>
      <c r="AR293" s="1063"/>
      <c r="AS293" s="1063"/>
      <c r="AT293" s="1063"/>
      <c r="AU293" s="1063"/>
      <c r="AV293" s="1063"/>
    </row>
    <row r="294" spans="1:48" s="1108" customFormat="1" ht="27.75" customHeight="1">
      <c r="A294" s="1076"/>
      <c r="B294" s="1074"/>
      <c r="D294" s="1063"/>
      <c r="F294" s="1076"/>
      <c r="G294" s="1063"/>
      <c r="H294" s="1063"/>
      <c r="I294" s="1063"/>
      <c r="J294" s="1063"/>
      <c r="K294" s="1063"/>
      <c r="L294" s="1063"/>
      <c r="M294" s="1063"/>
      <c r="N294" s="1063"/>
      <c r="O294" s="1063"/>
      <c r="P294" s="1063"/>
      <c r="Q294" s="1063"/>
      <c r="R294" s="1063"/>
      <c r="S294" s="1063"/>
      <c r="T294" s="1063"/>
      <c r="U294" s="1063"/>
      <c r="V294" s="1063"/>
      <c r="W294" s="1063"/>
      <c r="X294" s="1063"/>
      <c r="Y294" s="1063"/>
      <c r="Z294" s="1063"/>
      <c r="AA294" s="1063"/>
      <c r="AB294" s="1063"/>
      <c r="AC294" s="1063"/>
      <c r="AD294" s="1063"/>
      <c r="AE294" s="1063"/>
      <c r="AF294" s="1063"/>
      <c r="AG294" s="1063"/>
      <c r="AH294" s="1063"/>
      <c r="AI294" s="1063"/>
      <c r="AJ294" s="1063"/>
      <c r="AK294" s="1063"/>
      <c r="AL294" s="1063"/>
      <c r="AM294" s="1063"/>
      <c r="AN294" s="1063"/>
      <c r="AO294" s="1063"/>
      <c r="AP294" s="1063"/>
      <c r="AQ294" s="1063"/>
      <c r="AR294" s="1063"/>
      <c r="AS294" s="1063"/>
      <c r="AT294" s="1063"/>
      <c r="AU294" s="1063"/>
      <c r="AV294" s="1063"/>
    </row>
    <row r="295" spans="1:48" s="1108" customFormat="1" ht="27.75" customHeight="1">
      <c r="A295" s="1076"/>
      <c r="B295" s="1074"/>
      <c r="D295" s="1063"/>
      <c r="F295" s="1076"/>
      <c r="G295" s="1063"/>
      <c r="H295" s="1063"/>
      <c r="I295" s="1063"/>
      <c r="J295" s="1063"/>
      <c r="K295" s="1063"/>
      <c r="L295" s="1063"/>
      <c r="M295" s="1063"/>
      <c r="N295" s="1063"/>
      <c r="O295" s="1063"/>
      <c r="P295" s="1063"/>
      <c r="Q295" s="1063"/>
      <c r="R295" s="1063"/>
      <c r="S295" s="1063"/>
      <c r="T295" s="1063"/>
      <c r="U295" s="1063"/>
      <c r="V295" s="1063"/>
      <c r="W295" s="1063"/>
      <c r="X295" s="1063"/>
      <c r="Y295" s="1063"/>
      <c r="Z295" s="1063"/>
      <c r="AA295" s="1063"/>
      <c r="AB295" s="1063"/>
      <c r="AC295" s="1063"/>
      <c r="AD295" s="1063"/>
      <c r="AE295" s="1063"/>
      <c r="AF295" s="1063"/>
      <c r="AG295" s="1063"/>
      <c r="AH295" s="1063"/>
      <c r="AI295" s="1063"/>
      <c r="AJ295" s="1063"/>
      <c r="AK295" s="1063"/>
      <c r="AL295" s="1063"/>
      <c r="AM295" s="1063"/>
      <c r="AN295" s="1063"/>
      <c r="AO295" s="1063"/>
      <c r="AP295" s="1063"/>
      <c r="AQ295" s="1063"/>
      <c r="AR295" s="1063"/>
      <c r="AS295" s="1063"/>
      <c r="AT295" s="1063"/>
      <c r="AU295" s="1063"/>
      <c r="AV295" s="1063"/>
    </row>
    <row r="296" spans="1:48" s="1108" customFormat="1" ht="27.75" customHeight="1">
      <c r="A296" s="1076"/>
      <c r="B296" s="1074"/>
      <c r="D296" s="1063"/>
      <c r="F296" s="1076"/>
      <c r="G296" s="1063"/>
      <c r="H296" s="1063"/>
      <c r="I296" s="1063"/>
      <c r="J296" s="1063"/>
      <c r="K296" s="1063"/>
      <c r="L296" s="1063"/>
      <c r="M296" s="1063"/>
      <c r="N296" s="1063"/>
      <c r="O296" s="1063"/>
      <c r="P296" s="1063"/>
      <c r="Q296" s="1063"/>
      <c r="R296" s="1063"/>
      <c r="S296" s="1063"/>
      <c r="T296" s="1063"/>
      <c r="U296" s="1063"/>
      <c r="V296" s="1063"/>
      <c r="W296" s="1063"/>
      <c r="X296" s="1063"/>
      <c r="Y296" s="1063"/>
      <c r="Z296" s="1063"/>
      <c r="AA296" s="1063"/>
      <c r="AB296" s="1063"/>
      <c r="AC296" s="1063"/>
      <c r="AD296" s="1063"/>
      <c r="AE296" s="1063"/>
      <c r="AF296" s="1063"/>
      <c r="AG296" s="1063"/>
      <c r="AH296" s="1063"/>
      <c r="AI296" s="1063"/>
      <c r="AJ296" s="1063"/>
      <c r="AK296" s="1063"/>
      <c r="AL296" s="1063"/>
      <c r="AM296" s="1063"/>
      <c r="AN296" s="1063"/>
      <c r="AO296" s="1063"/>
      <c r="AP296" s="1063"/>
      <c r="AQ296" s="1063"/>
      <c r="AR296" s="1063"/>
      <c r="AS296" s="1063"/>
      <c r="AT296" s="1063"/>
      <c r="AU296" s="1063"/>
      <c r="AV296" s="1063"/>
    </row>
    <row r="297" spans="1:48" s="1108" customFormat="1" ht="27.75" customHeight="1">
      <c r="A297" s="1076"/>
      <c r="B297" s="1074"/>
      <c r="D297" s="1063"/>
      <c r="F297" s="1076"/>
      <c r="G297" s="1063"/>
      <c r="H297" s="1063"/>
      <c r="I297" s="1063"/>
      <c r="J297" s="1063"/>
      <c r="K297" s="1063"/>
      <c r="L297" s="1063"/>
      <c r="M297" s="1063"/>
      <c r="N297" s="1063"/>
      <c r="O297" s="1063"/>
      <c r="P297" s="1063"/>
      <c r="Q297" s="1063"/>
      <c r="R297" s="1063"/>
      <c r="S297" s="1063"/>
      <c r="T297" s="1063"/>
      <c r="U297" s="1063"/>
      <c r="V297" s="1063"/>
      <c r="W297" s="1063"/>
      <c r="X297" s="1063"/>
      <c r="Y297" s="1063"/>
      <c r="Z297" s="1063"/>
      <c r="AA297" s="1063"/>
      <c r="AB297" s="1063"/>
      <c r="AC297" s="1063"/>
      <c r="AD297" s="1063"/>
      <c r="AE297" s="1063"/>
      <c r="AF297" s="1063"/>
      <c r="AG297" s="1063"/>
      <c r="AH297" s="1063"/>
      <c r="AI297" s="1063"/>
      <c r="AJ297" s="1063"/>
      <c r="AK297" s="1063"/>
      <c r="AL297" s="1063"/>
      <c r="AM297" s="1063"/>
      <c r="AN297" s="1063"/>
      <c r="AO297" s="1063"/>
      <c r="AP297" s="1063"/>
      <c r="AQ297" s="1063"/>
      <c r="AR297" s="1063"/>
      <c r="AS297" s="1063"/>
      <c r="AT297" s="1063"/>
      <c r="AU297" s="1063"/>
      <c r="AV297" s="1063"/>
    </row>
    <row r="298" spans="1:48" s="1108" customFormat="1" ht="27.75" customHeight="1">
      <c r="A298" s="1076"/>
      <c r="B298" s="1074"/>
      <c r="D298" s="1063"/>
      <c r="F298" s="1076"/>
      <c r="G298" s="1063"/>
      <c r="H298" s="1063"/>
      <c r="I298" s="1063"/>
      <c r="J298" s="1063"/>
      <c r="K298" s="1063"/>
      <c r="L298" s="1063"/>
      <c r="M298" s="1063"/>
      <c r="N298" s="1063"/>
      <c r="O298" s="1063"/>
      <c r="P298" s="1063"/>
      <c r="Q298" s="1063"/>
      <c r="R298" s="1063"/>
      <c r="S298" s="1063"/>
      <c r="T298" s="1063"/>
      <c r="U298" s="1063"/>
      <c r="V298" s="1063"/>
      <c r="W298" s="1063"/>
      <c r="X298" s="1063"/>
      <c r="Y298" s="1063"/>
      <c r="Z298" s="1063"/>
      <c r="AA298" s="1063"/>
      <c r="AB298" s="1063"/>
      <c r="AC298" s="1063"/>
      <c r="AD298" s="1063"/>
      <c r="AE298" s="1063"/>
      <c r="AF298" s="1063"/>
      <c r="AG298" s="1063"/>
      <c r="AH298" s="1063"/>
      <c r="AI298" s="1063"/>
      <c r="AJ298" s="1063"/>
      <c r="AK298" s="1063"/>
      <c r="AL298" s="1063"/>
      <c r="AM298" s="1063"/>
      <c r="AN298" s="1063"/>
      <c r="AO298" s="1063"/>
      <c r="AP298" s="1063"/>
      <c r="AQ298" s="1063"/>
      <c r="AR298" s="1063"/>
      <c r="AS298" s="1063"/>
      <c r="AT298" s="1063"/>
      <c r="AU298" s="1063"/>
      <c r="AV298" s="1063"/>
    </row>
    <row r="299" spans="1:48" s="1108" customFormat="1" ht="27.75" customHeight="1">
      <c r="A299" s="1076"/>
      <c r="B299" s="1074"/>
      <c r="D299" s="1063"/>
      <c r="F299" s="1076"/>
      <c r="G299" s="1063"/>
      <c r="H299" s="1063"/>
      <c r="I299" s="1063"/>
      <c r="J299" s="1063"/>
      <c r="K299" s="1063"/>
      <c r="L299" s="1063"/>
      <c r="M299" s="1063"/>
      <c r="N299" s="1063"/>
      <c r="O299" s="1063"/>
      <c r="P299" s="1063"/>
      <c r="Q299" s="1063"/>
      <c r="R299" s="1063"/>
      <c r="S299" s="1063"/>
      <c r="T299" s="1063"/>
      <c r="U299" s="1063"/>
      <c r="V299" s="1063"/>
      <c r="W299" s="1063"/>
      <c r="X299" s="1063"/>
      <c r="Y299" s="1063"/>
      <c r="Z299" s="1063"/>
      <c r="AA299" s="1063"/>
      <c r="AB299" s="1063"/>
      <c r="AC299" s="1063"/>
      <c r="AD299" s="1063"/>
      <c r="AE299" s="1063"/>
      <c r="AF299" s="1063"/>
      <c r="AG299" s="1063"/>
      <c r="AH299" s="1063"/>
      <c r="AI299" s="1063"/>
      <c r="AJ299" s="1063"/>
      <c r="AK299" s="1063"/>
      <c r="AL299" s="1063"/>
      <c r="AM299" s="1063"/>
      <c r="AN299" s="1063"/>
      <c r="AO299" s="1063"/>
      <c r="AP299" s="1063"/>
      <c r="AQ299" s="1063"/>
      <c r="AR299" s="1063"/>
      <c r="AS299" s="1063"/>
      <c r="AT299" s="1063"/>
      <c r="AU299" s="1063"/>
      <c r="AV299" s="1063"/>
    </row>
    <row r="300" spans="1:48" s="1108" customFormat="1" ht="27.75" customHeight="1">
      <c r="A300" s="1076"/>
      <c r="B300" s="1074"/>
      <c r="D300" s="1063"/>
      <c r="F300" s="1076"/>
      <c r="G300" s="1063"/>
      <c r="H300" s="1063"/>
      <c r="I300" s="1063"/>
      <c r="J300" s="1063"/>
      <c r="K300" s="1063"/>
      <c r="L300" s="1063"/>
      <c r="M300" s="1063"/>
      <c r="N300" s="1063"/>
      <c r="O300" s="1063"/>
      <c r="P300" s="1063"/>
      <c r="Q300" s="1063"/>
      <c r="R300" s="1063"/>
      <c r="S300" s="1063"/>
      <c r="T300" s="1063"/>
      <c r="U300" s="1063"/>
      <c r="V300" s="1063"/>
      <c r="W300" s="1063"/>
      <c r="X300" s="1063"/>
      <c r="Y300" s="1063"/>
      <c r="Z300" s="1063"/>
      <c r="AA300" s="1063"/>
      <c r="AB300" s="1063"/>
      <c r="AC300" s="1063"/>
      <c r="AD300" s="1063"/>
      <c r="AE300" s="1063"/>
      <c r="AF300" s="1063"/>
      <c r="AG300" s="1063"/>
      <c r="AH300" s="1063"/>
      <c r="AI300" s="1063"/>
      <c r="AJ300" s="1063"/>
      <c r="AK300" s="1063"/>
      <c r="AL300" s="1063"/>
      <c r="AM300" s="1063"/>
      <c r="AN300" s="1063"/>
      <c r="AO300" s="1063"/>
      <c r="AP300" s="1063"/>
      <c r="AQ300" s="1063"/>
      <c r="AR300" s="1063"/>
      <c r="AS300" s="1063"/>
      <c r="AT300" s="1063"/>
      <c r="AU300" s="1063"/>
      <c r="AV300" s="1063"/>
    </row>
    <row r="301" spans="1:48" s="1108" customFormat="1" ht="27.75" customHeight="1">
      <c r="A301" s="1076"/>
      <c r="B301" s="1074"/>
      <c r="D301" s="1063"/>
      <c r="F301" s="1076"/>
      <c r="G301" s="1063"/>
      <c r="H301" s="1063"/>
      <c r="I301" s="1063"/>
      <c r="J301" s="1063"/>
      <c r="K301" s="1063"/>
      <c r="L301" s="1063"/>
      <c r="M301" s="1063"/>
      <c r="N301" s="1063"/>
      <c r="O301" s="1063"/>
      <c r="P301" s="1063"/>
      <c r="Q301" s="1063"/>
      <c r="R301" s="1063"/>
      <c r="S301" s="1063"/>
      <c r="T301" s="1063"/>
      <c r="U301" s="1063"/>
      <c r="V301" s="1063"/>
      <c r="W301" s="1063"/>
      <c r="X301" s="1063"/>
      <c r="Y301" s="1063"/>
      <c r="Z301" s="1063"/>
      <c r="AA301" s="1063"/>
      <c r="AB301" s="1063"/>
      <c r="AC301" s="1063"/>
      <c r="AD301" s="1063"/>
      <c r="AE301" s="1063"/>
      <c r="AF301" s="1063"/>
      <c r="AG301" s="1063"/>
      <c r="AH301" s="1063"/>
      <c r="AI301" s="1063"/>
      <c r="AJ301" s="1063"/>
      <c r="AK301" s="1063"/>
      <c r="AL301" s="1063"/>
      <c r="AM301" s="1063"/>
      <c r="AN301" s="1063"/>
      <c r="AO301" s="1063"/>
      <c r="AP301" s="1063"/>
      <c r="AQ301" s="1063"/>
      <c r="AR301" s="1063"/>
      <c r="AS301" s="1063"/>
      <c r="AT301" s="1063"/>
      <c r="AU301" s="1063"/>
      <c r="AV301" s="1063"/>
    </row>
    <row r="302" spans="1:48" s="1108" customFormat="1" ht="27.75" customHeight="1">
      <c r="A302" s="1076"/>
      <c r="B302" s="1074"/>
      <c r="D302" s="1063"/>
      <c r="F302" s="1076"/>
      <c r="G302" s="1063"/>
      <c r="H302" s="1063"/>
      <c r="I302" s="1063"/>
      <c r="J302" s="1063"/>
      <c r="K302" s="1063"/>
      <c r="L302" s="1063"/>
      <c r="M302" s="1063"/>
      <c r="N302" s="1063"/>
      <c r="O302" s="1063"/>
      <c r="P302" s="1063"/>
      <c r="Q302" s="1063"/>
      <c r="R302" s="1063"/>
      <c r="S302" s="1063"/>
      <c r="T302" s="1063"/>
      <c r="U302" s="1063"/>
      <c r="V302" s="1063"/>
      <c r="W302" s="1063"/>
      <c r="X302" s="1063"/>
      <c r="Y302" s="1063"/>
      <c r="Z302" s="1063"/>
      <c r="AA302" s="1063"/>
      <c r="AB302" s="1063"/>
      <c r="AC302" s="1063"/>
      <c r="AD302" s="1063"/>
      <c r="AE302" s="1063"/>
      <c r="AF302" s="1063"/>
      <c r="AG302" s="1063"/>
      <c r="AH302" s="1063"/>
      <c r="AI302" s="1063"/>
      <c r="AJ302" s="1063"/>
      <c r="AK302" s="1063"/>
      <c r="AL302" s="1063"/>
      <c r="AM302" s="1063"/>
      <c r="AN302" s="1063"/>
      <c r="AO302" s="1063"/>
      <c r="AP302" s="1063"/>
      <c r="AQ302" s="1063"/>
      <c r="AR302" s="1063"/>
      <c r="AS302" s="1063"/>
      <c r="AT302" s="1063"/>
      <c r="AU302" s="1063"/>
      <c r="AV302" s="1063"/>
    </row>
    <row r="303" spans="1:48" s="1108" customFormat="1" ht="27.75" customHeight="1">
      <c r="A303" s="1076"/>
      <c r="B303" s="1074"/>
      <c r="D303" s="1063"/>
      <c r="F303" s="1076"/>
      <c r="G303" s="1063"/>
      <c r="H303" s="1063"/>
      <c r="I303" s="1063"/>
      <c r="J303" s="1063"/>
      <c r="K303" s="1063"/>
      <c r="L303" s="1063"/>
      <c r="M303" s="1063"/>
      <c r="N303" s="1063"/>
      <c r="O303" s="1063"/>
      <c r="P303" s="1063"/>
      <c r="Q303" s="1063"/>
      <c r="R303" s="1063"/>
      <c r="S303" s="1063"/>
      <c r="T303" s="1063"/>
      <c r="U303" s="1063"/>
      <c r="V303" s="1063"/>
      <c r="W303" s="1063"/>
      <c r="X303" s="1063"/>
      <c r="Y303" s="1063"/>
      <c r="Z303" s="1063"/>
      <c r="AA303" s="1063"/>
      <c r="AB303" s="1063"/>
      <c r="AC303" s="1063"/>
      <c r="AD303" s="1063"/>
      <c r="AE303" s="1063"/>
      <c r="AF303" s="1063"/>
      <c r="AG303" s="1063"/>
      <c r="AH303" s="1063"/>
      <c r="AI303" s="1063"/>
      <c r="AJ303" s="1063"/>
      <c r="AK303" s="1063"/>
      <c r="AL303" s="1063"/>
      <c r="AM303" s="1063"/>
      <c r="AN303" s="1063"/>
      <c r="AO303" s="1063"/>
      <c r="AP303" s="1063"/>
      <c r="AQ303" s="1063"/>
      <c r="AR303" s="1063"/>
      <c r="AS303" s="1063"/>
      <c r="AT303" s="1063"/>
      <c r="AU303" s="1063"/>
      <c r="AV303" s="1063"/>
    </row>
    <row r="304" spans="1:48" s="1108" customFormat="1" ht="27.75" customHeight="1">
      <c r="A304" s="1076"/>
      <c r="B304" s="1074"/>
      <c r="D304" s="1063"/>
      <c r="F304" s="1076"/>
      <c r="G304" s="1063"/>
      <c r="H304" s="1063"/>
      <c r="I304" s="1063"/>
      <c r="J304" s="1063"/>
      <c r="K304" s="1063"/>
      <c r="L304" s="1063"/>
      <c r="M304" s="1063"/>
      <c r="N304" s="1063"/>
      <c r="O304" s="1063"/>
      <c r="P304" s="1063"/>
      <c r="Q304" s="1063"/>
      <c r="R304" s="1063"/>
      <c r="S304" s="1063"/>
      <c r="T304" s="1063"/>
      <c r="U304" s="1063"/>
      <c r="V304" s="1063"/>
      <c r="W304" s="1063"/>
      <c r="X304" s="1063"/>
      <c r="Y304" s="1063"/>
      <c r="Z304" s="1063"/>
      <c r="AA304" s="1063"/>
      <c r="AB304" s="1063"/>
      <c r="AC304" s="1063"/>
      <c r="AD304" s="1063"/>
      <c r="AE304" s="1063"/>
      <c r="AF304" s="1063"/>
      <c r="AG304" s="1063"/>
      <c r="AH304" s="1063"/>
      <c r="AI304" s="1063"/>
      <c r="AJ304" s="1063"/>
      <c r="AK304" s="1063"/>
      <c r="AL304" s="1063"/>
      <c r="AM304" s="1063"/>
      <c r="AN304" s="1063"/>
      <c r="AO304" s="1063"/>
      <c r="AP304" s="1063"/>
      <c r="AQ304" s="1063"/>
      <c r="AR304" s="1063"/>
      <c r="AS304" s="1063"/>
      <c r="AT304" s="1063"/>
      <c r="AU304" s="1063"/>
      <c r="AV304" s="1063"/>
    </row>
    <row r="305" spans="1:48" s="1108" customFormat="1" ht="27.75" customHeight="1">
      <c r="A305" s="1076"/>
      <c r="B305" s="1074"/>
      <c r="D305" s="1063"/>
      <c r="F305" s="1076"/>
      <c r="G305" s="1063"/>
      <c r="H305" s="1063"/>
      <c r="I305" s="1063"/>
      <c r="J305" s="1063"/>
      <c r="K305" s="1063"/>
      <c r="L305" s="1063"/>
      <c r="M305" s="1063"/>
      <c r="N305" s="1063"/>
      <c r="O305" s="1063"/>
      <c r="P305" s="1063"/>
      <c r="Q305" s="1063"/>
      <c r="R305" s="1063"/>
      <c r="S305" s="1063"/>
      <c r="T305" s="1063"/>
      <c r="U305" s="1063"/>
      <c r="V305" s="1063"/>
      <c r="W305" s="1063"/>
      <c r="X305" s="1063"/>
      <c r="Y305" s="1063"/>
      <c r="Z305" s="1063"/>
      <c r="AA305" s="1063"/>
      <c r="AB305" s="1063"/>
      <c r="AC305" s="1063"/>
      <c r="AD305" s="1063"/>
      <c r="AE305" s="1063"/>
      <c r="AF305" s="1063"/>
      <c r="AG305" s="1063"/>
      <c r="AH305" s="1063"/>
      <c r="AI305" s="1063"/>
      <c r="AJ305" s="1063"/>
      <c r="AK305" s="1063"/>
      <c r="AL305" s="1063"/>
      <c r="AM305" s="1063"/>
      <c r="AN305" s="1063"/>
      <c r="AO305" s="1063"/>
      <c r="AP305" s="1063"/>
      <c r="AQ305" s="1063"/>
      <c r="AR305" s="1063"/>
      <c r="AS305" s="1063"/>
      <c r="AT305" s="1063"/>
      <c r="AU305" s="1063"/>
      <c r="AV305" s="1063"/>
    </row>
    <row r="306" spans="1:48" s="1108" customFormat="1" ht="27.75" customHeight="1">
      <c r="A306" s="1076"/>
      <c r="B306" s="1074"/>
      <c r="D306" s="1063"/>
      <c r="F306" s="1076"/>
      <c r="G306" s="1063"/>
      <c r="H306" s="1063"/>
      <c r="I306" s="1063"/>
      <c r="J306" s="1063"/>
      <c r="K306" s="1063"/>
      <c r="L306" s="1063"/>
      <c r="M306" s="1063"/>
      <c r="N306" s="1063"/>
      <c r="O306" s="1063"/>
      <c r="P306" s="1063"/>
      <c r="Q306" s="1063"/>
      <c r="R306" s="1063"/>
      <c r="S306" s="1063"/>
      <c r="T306" s="1063"/>
      <c r="U306" s="1063"/>
      <c r="V306" s="1063"/>
      <c r="W306" s="1063"/>
      <c r="X306" s="1063"/>
      <c r="Y306" s="1063"/>
      <c r="Z306" s="1063"/>
      <c r="AA306" s="1063"/>
      <c r="AB306" s="1063"/>
      <c r="AC306" s="1063"/>
      <c r="AD306" s="1063"/>
      <c r="AE306" s="1063"/>
      <c r="AF306" s="1063"/>
      <c r="AG306" s="1063"/>
      <c r="AH306" s="1063"/>
      <c r="AI306" s="1063"/>
      <c r="AJ306" s="1063"/>
      <c r="AK306" s="1063"/>
      <c r="AL306" s="1063"/>
      <c r="AM306" s="1063"/>
      <c r="AN306" s="1063"/>
      <c r="AO306" s="1063"/>
      <c r="AP306" s="1063"/>
      <c r="AQ306" s="1063"/>
      <c r="AR306" s="1063"/>
      <c r="AS306" s="1063"/>
      <c r="AT306" s="1063"/>
      <c r="AU306" s="1063"/>
      <c r="AV306" s="1063"/>
    </row>
    <row r="307" spans="1:48" s="1108" customFormat="1" ht="27.75" customHeight="1">
      <c r="A307" s="1076"/>
      <c r="B307" s="1074"/>
      <c r="D307" s="1063"/>
      <c r="F307" s="1076"/>
      <c r="G307" s="1063"/>
      <c r="H307" s="1063"/>
      <c r="I307" s="1063"/>
      <c r="J307" s="1063"/>
      <c r="K307" s="1063"/>
      <c r="L307" s="1063"/>
      <c r="M307" s="1063"/>
      <c r="N307" s="1063"/>
      <c r="O307" s="1063"/>
      <c r="P307" s="1063"/>
      <c r="Q307" s="1063"/>
      <c r="R307" s="1063"/>
      <c r="S307" s="1063"/>
      <c r="T307" s="1063"/>
      <c r="U307" s="1063"/>
      <c r="V307" s="1063"/>
      <c r="W307" s="1063"/>
      <c r="X307" s="1063"/>
      <c r="Y307" s="1063"/>
      <c r="Z307" s="1063"/>
      <c r="AA307" s="1063"/>
      <c r="AB307" s="1063"/>
      <c r="AC307" s="1063"/>
      <c r="AD307" s="1063"/>
      <c r="AE307" s="1063"/>
      <c r="AF307" s="1063"/>
      <c r="AG307" s="1063"/>
      <c r="AH307" s="1063"/>
      <c r="AI307" s="1063"/>
      <c r="AJ307" s="1063"/>
      <c r="AK307" s="1063"/>
      <c r="AL307" s="1063"/>
      <c r="AM307" s="1063"/>
      <c r="AN307" s="1063"/>
      <c r="AO307" s="1063"/>
      <c r="AP307" s="1063"/>
      <c r="AQ307" s="1063"/>
      <c r="AR307" s="1063"/>
      <c r="AS307" s="1063"/>
      <c r="AT307" s="1063"/>
      <c r="AU307" s="1063"/>
      <c r="AV307" s="1063"/>
    </row>
    <row r="308" spans="1:48" s="1108" customFormat="1" ht="27.75" customHeight="1">
      <c r="A308" s="1076"/>
      <c r="B308" s="1074"/>
      <c r="D308" s="1063"/>
      <c r="F308" s="1076"/>
      <c r="G308" s="1063"/>
      <c r="H308" s="1063"/>
      <c r="I308" s="1063"/>
      <c r="J308" s="1063"/>
      <c r="K308" s="1063"/>
      <c r="L308" s="1063"/>
      <c r="M308" s="1063"/>
      <c r="N308" s="1063"/>
      <c r="O308" s="1063"/>
      <c r="P308" s="1063"/>
      <c r="Q308" s="1063"/>
      <c r="R308" s="1063"/>
      <c r="S308" s="1063"/>
      <c r="T308" s="1063"/>
      <c r="U308" s="1063"/>
      <c r="V308" s="1063"/>
      <c r="W308" s="1063"/>
      <c r="X308" s="1063"/>
      <c r="Y308" s="1063"/>
      <c r="Z308" s="1063"/>
      <c r="AA308" s="1063"/>
      <c r="AB308" s="1063"/>
      <c r="AC308" s="1063"/>
      <c r="AD308" s="1063"/>
      <c r="AE308" s="1063"/>
      <c r="AF308" s="1063"/>
      <c r="AG308" s="1063"/>
      <c r="AH308" s="1063"/>
      <c r="AI308" s="1063"/>
      <c r="AJ308" s="1063"/>
      <c r="AK308" s="1063"/>
      <c r="AL308" s="1063"/>
      <c r="AM308" s="1063"/>
      <c r="AN308" s="1063"/>
      <c r="AO308" s="1063"/>
      <c r="AP308" s="1063"/>
      <c r="AQ308" s="1063"/>
      <c r="AR308" s="1063"/>
      <c r="AS308" s="1063"/>
      <c r="AT308" s="1063"/>
      <c r="AU308" s="1063"/>
      <c r="AV308" s="1063"/>
    </row>
    <row r="309" spans="1:48" s="1108" customFormat="1" ht="27.75" customHeight="1">
      <c r="A309" s="1076"/>
      <c r="B309" s="1074"/>
      <c r="D309" s="1063"/>
      <c r="F309" s="1076"/>
      <c r="G309" s="1063"/>
      <c r="H309" s="1063"/>
      <c r="I309" s="1063"/>
      <c r="J309" s="1063"/>
      <c r="K309" s="1063"/>
      <c r="L309" s="1063"/>
      <c r="M309" s="1063"/>
      <c r="N309" s="1063"/>
      <c r="O309" s="1063"/>
      <c r="P309" s="1063"/>
      <c r="Q309" s="1063"/>
      <c r="R309" s="1063"/>
      <c r="S309" s="1063"/>
      <c r="T309" s="1063"/>
      <c r="U309" s="1063"/>
      <c r="V309" s="1063"/>
      <c r="W309" s="1063"/>
      <c r="X309" s="1063"/>
      <c r="Y309" s="1063"/>
      <c r="Z309" s="1063"/>
      <c r="AA309" s="1063"/>
      <c r="AB309" s="1063"/>
      <c r="AC309" s="1063"/>
      <c r="AD309" s="1063"/>
      <c r="AE309" s="1063"/>
      <c r="AF309" s="1063"/>
      <c r="AG309" s="1063"/>
      <c r="AH309" s="1063"/>
      <c r="AI309" s="1063"/>
      <c r="AJ309" s="1063"/>
      <c r="AK309" s="1063"/>
      <c r="AL309" s="1063"/>
      <c r="AM309" s="1063"/>
      <c r="AN309" s="1063"/>
      <c r="AO309" s="1063"/>
      <c r="AP309" s="1063"/>
      <c r="AQ309" s="1063"/>
      <c r="AR309" s="1063"/>
      <c r="AS309" s="1063"/>
      <c r="AT309" s="1063"/>
      <c r="AU309" s="1063"/>
      <c r="AV309" s="1063"/>
    </row>
    <row r="310" spans="1:48" s="1108" customFormat="1" ht="27.75" customHeight="1">
      <c r="A310" s="1076"/>
      <c r="B310" s="1074"/>
      <c r="D310" s="1063"/>
      <c r="F310" s="1076"/>
      <c r="G310" s="1063"/>
      <c r="H310" s="1063"/>
      <c r="I310" s="1063"/>
      <c r="J310" s="1063"/>
      <c r="K310" s="1063"/>
      <c r="L310" s="1063"/>
      <c r="M310" s="1063"/>
      <c r="N310" s="1063"/>
      <c r="O310" s="1063"/>
      <c r="P310" s="1063"/>
      <c r="Q310" s="1063"/>
      <c r="R310" s="1063"/>
      <c r="S310" s="1063"/>
      <c r="T310" s="1063"/>
      <c r="U310" s="1063"/>
      <c r="V310" s="1063"/>
      <c r="W310" s="1063"/>
      <c r="X310" s="1063"/>
      <c r="Y310" s="1063"/>
      <c r="Z310" s="1063"/>
      <c r="AA310" s="1063"/>
      <c r="AB310" s="1063"/>
      <c r="AC310" s="1063"/>
      <c r="AD310" s="1063"/>
      <c r="AE310" s="1063"/>
      <c r="AF310" s="1063"/>
      <c r="AG310" s="1063"/>
      <c r="AH310" s="1063"/>
      <c r="AI310" s="1063"/>
      <c r="AJ310" s="1063"/>
      <c r="AK310" s="1063"/>
      <c r="AL310" s="1063"/>
      <c r="AM310" s="1063"/>
      <c r="AN310" s="1063"/>
      <c r="AO310" s="1063"/>
      <c r="AP310" s="1063"/>
      <c r="AQ310" s="1063"/>
      <c r="AR310" s="1063"/>
      <c r="AS310" s="1063"/>
      <c r="AT310" s="1063"/>
      <c r="AU310" s="1063"/>
      <c r="AV310" s="1063"/>
    </row>
    <row r="311" spans="1:48" s="1108" customFormat="1" ht="27.75" customHeight="1">
      <c r="A311" s="1076"/>
      <c r="B311" s="1074"/>
      <c r="D311" s="1063"/>
      <c r="F311" s="1076"/>
      <c r="G311" s="1063"/>
      <c r="H311" s="1063"/>
      <c r="I311" s="1063"/>
      <c r="J311" s="1063"/>
      <c r="K311" s="1063"/>
      <c r="L311" s="1063"/>
      <c r="M311" s="1063"/>
      <c r="N311" s="1063"/>
      <c r="O311" s="1063"/>
      <c r="P311" s="1063"/>
      <c r="Q311" s="1063"/>
      <c r="R311" s="1063"/>
      <c r="S311" s="1063"/>
      <c r="T311" s="1063"/>
      <c r="U311" s="1063"/>
      <c r="V311" s="1063"/>
      <c r="W311" s="1063"/>
      <c r="X311" s="1063"/>
      <c r="Y311" s="1063"/>
      <c r="Z311" s="1063"/>
      <c r="AA311" s="1063"/>
      <c r="AB311" s="1063"/>
      <c r="AC311" s="1063"/>
      <c r="AD311" s="1063"/>
      <c r="AE311" s="1063"/>
      <c r="AF311" s="1063"/>
      <c r="AG311" s="1063"/>
      <c r="AH311" s="1063"/>
      <c r="AI311" s="1063"/>
      <c r="AJ311" s="1063"/>
      <c r="AK311" s="1063"/>
      <c r="AL311" s="1063"/>
      <c r="AM311" s="1063"/>
      <c r="AN311" s="1063"/>
      <c r="AO311" s="1063"/>
      <c r="AP311" s="1063"/>
      <c r="AQ311" s="1063"/>
      <c r="AR311" s="1063"/>
      <c r="AS311" s="1063"/>
      <c r="AT311" s="1063"/>
      <c r="AU311" s="1063"/>
      <c r="AV311" s="1063"/>
    </row>
    <row r="312" spans="1:48" s="1108" customFormat="1" ht="27.75" customHeight="1">
      <c r="A312" s="1076"/>
      <c r="B312" s="1074"/>
      <c r="D312" s="1063"/>
      <c r="F312" s="1076"/>
      <c r="G312" s="1063"/>
      <c r="H312" s="1063"/>
      <c r="I312" s="1063"/>
      <c r="J312" s="1063"/>
      <c r="K312" s="1063"/>
      <c r="L312" s="1063"/>
      <c r="M312" s="1063"/>
      <c r="N312" s="1063"/>
      <c r="O312" s="1063"/>
      <c r="P312" s="1063"/>
      <c r="Q312" s="1063"/>
      <c r="R312" s="1063"/>
      <c r="S312" s="1063"/>
      <c r="T312" s="1063"/>
      <c r="U312" s="1063"/>
      <c r="V312" s="1063"/>
      <c r="W312" s="1063"/>
      <c r="X312" s="1063"/>
      <c r="Y312" s="1063"/>
      <c r="Z312" s="1063"/>
      <c r="AA312" s="1063"/>
      <c r="AB312" s="1063"/>
      <c r="AC312" s="1063"/>
      <c r="AD312" s="1063"/>
      <c r="AE312" s="1063"/>
      <c r="AF312" s="1063"/>
      <c r="AG312" s="1063"/>
      <c r="AH312" s="1063"/>
      <c r="AI312" s="1063"/>
      <c r="AJ312" s="1063"/>
      <c r="AK312" s="1063"/>
      <c r="AL312" s="1063"/>
      <c r="AM312" s="1063"/>
      <c r="AN312" s="1063"/>
      <c r="AO312" s="1063"/>
      <c r="AP312" s="1063"/>
      <c r="AQ312" s="1063"/>
      <c r="AR312" s="1063"/>
      <c r="AS312" s="1063"/>
      <c r="AT312" s="1063"/>
      <c r="AU312" s="1063"/>
      <c r="AV312" s="1063"/>
    </row>
    <row r="313" spans="1:48" s="1108" customFormat="1" ht="27.75" customHeight="1">
      <c r="A313" s="1076"/>
      <c r="B313" s="1074"/>
      <c r="D313" s="1063"/>
      <c r="F313" s="1076"/>
      <c r="G313" s="1063"/>
      <c r="H313" s="1063"/>
      <c r="I313" s="1063"/>
      <c r="J313" s="1063"/>
      <c r="K313" s="1063"/>
      <c r="L313" s="1063"/>
      <c r="M313" s="1063"/>
      <c r="N313" s="1063"/>
      <c r="O313" s="1063"/>
      <c r="P313" s="1063"/>
      <c r="Q313" s="1063"/>
      <c r="R313" s="1063"/>
      <c r="S313" s="1063"/>
      <c r="T313" s="1063"/>
      <c r="U313" s="1063"/>
      <c r="V313" s="1063"/>
      <c r="W313" s="1063"/>
      <c r="X313" s="1063"/>
      <c r="Y313" s="1063"/>
      <c r="Z313" s="1063"/>
      <c r="AA313" s="1063"/>
      <c r="AB313" s="1063"/>
      <c r="AC313" s="1063"/>
      <c r="AD313" s="1063"/>
      <c r="AE313" s="1063"/>
      <c r="AF313" s="1063"/>
      <c r="AG313" s="1063"/>
      <c r="AH313" s="1063"/>
      <c r="AI313" s="1063"/>
      <c r="AJ313" s="1063"/>
      <c r="AK313" s="1063"/>
      <c r="AL313" s="1063"/>
      <c r="AM313" s="1063"/>
      <c r="AN313" s="1063"/>
      <c r="AO313" s="1063"/>
      <c r="AP313" s="1063"/>
      <c r="AQ313" s="1063"/>
      <c r="AR313" s="1063"/>
      <c r="AS313" s="1063"/>
      <c r="AT313" s="1063"/>
      <c r="AU313" s="1063"/>
      <c r="AV313" s="1063"/>
    </row>
    <row r="314" spans="1:48" s="1108" customFormat="1" ht="27.75" customHeight="1">
      <c r="A314" s="1076"/>
      <c r="B314" s="1074"/>
      <c r="D314" s="1063"/>
      <c r="F314" s="1076"/>
      <c r="G314" s="1063"/>
      <c r="H314" s="1063"/>
      <c r="I314" s="1063"/>
      <c r="J314" s="1063"/>
      <c r="K314" s="1063"/>
      <c r="L314" s="1063"/>
      <c r="M314" s="1063"/>
      <c r="N314" s="1063"/>
      <c r="O314" s="1063"/>
      <c r="P314" s="1063"/>
      <c r="Q314" s="1063"/>
      <c r="R314" s="1063"/>
      <c r="S314" s="1063"/>
      <c r="T314" s="1063"/>
      <c r="U314" s="1063"/>
      <c r="V314" s="1063"/>
      <c r="W314" s="1063"/>
      <c r="X314" s="1063"/>
      <c r="Y314" s="1063"/>
      <c r="Z314" s="1063"/>
      <c r="AA314" s="1063"/>
      <c r="AB314" s="1063"/>
      <c r="AC314" s="1063"/>
      <c r="AD314" s="1063"/>
      <c r="AE314" s="1063"/>
      <c r="AF314" s="1063"/>
      <c r="AG314" s="1063"/>
      <c r="AH314" s="1063"/>
      <c r="AI314" s="1063"/>
      <c r="AJ314" s="1063"/>
      <c r="AK314" s="1063"/>
      <c r="AL314" s="1063"/>
      <c r="AM314" s="1063"/>
      <c r="AN314" s="1063"/>
      <c r="AO314" s="1063"/>
      <c r="AP314" s="1063"/>
      <c r="AQ314" s="1063"/>
      <c r="AR314" s="1063"/>
      <c r="AS314" s="1063"/>
      <c r="AT314" s="1063"/>
      <c r="AU314" s="1063"/>
      <c r="AV314" s="1063"/>
    </row>
    <row r="315" spans="1:48" s="1108" customFormat="1" ht="27.75" customHeight="1">
      <c r="A315" s="1076"/>
      <c r="B315" s="1074"/>
      <c r="D315" s="1063"/>
      <c r="F315" s="1076"/>
      <c r="G315" s="1063"/>
      <c r="H315" s="1063"/>
      <c r="I315" s="1063"/>
      <c r="J315" s="1063"/>
      <c r="K315" s="1063"/>
      <c r="L315" s="1063"/>
      <c r="M315" s="1063"/>
      <c r="N315" s="1063"/>
      <c r="O315" s="1063"/>
      <c r="P315" s="1063"/>
      <c r="Q315" s="1063"/>
      <c r="R315" s="1063"/>
      <c r="S315" s="1063"/>
      <c r="T315" s="1063"/>
      <c r="U315" s="1063"/>
      <c r="V315" s="1063"/>
      <c r="W315" s="1063"/>
      <c r="X315" s="1063"/>
      <c r="Y315" s="1063"/>
      <c r="Z315" s="1063"/>
      <c r="AA315" s="1063"/>
      <c r="AB315" s="1063"/>
      <c r="AC315" s="1063"/>
      <c r="AD315" s="1063"/>
      <c r="AE315" s="1063"/>
      <c r="AF315" s="1063"/>
      <c r="AG315" s="1063"/>
      <c r="AH315" s="1063"/>
      <c r="AI315" s="1063"/>
      <c r="AJ315" s="1063"/>
      <c r="AK315" s="1063"/>
      <c r="AL315" s="1063"/>
      <c r="AM315" s="1063"/>
      <c r="AN315" s="1063"/>
      <c r="AO315" s="1063"/>
      <c r="AP315" s="1063"/>
      <c r="AQ315" s="1063"/>
      <c r="AR315" s="1063"/>
      <c r="AS315" s="1063"/>
      <c r="AT315" s="1063"/>
      <c r="AU315" s="1063"/>
      <c r="AV315" s="1063"/>
    </row>
    <row r="316" spans="1:48" s="1108" customFormat="1" ht="27.75" customHeight="1">
      <c r="A316" s="1076"/>
      <c r="B316" s="1074"/>
      <c r="D316" s="1063"/>
      <c r="F316" s="1076"/>
      <c r="G316" s="1063"/>
      <c r="H316" s="1063"/>
      <c r="I316" s="1063"/>
      <c r="J316" s="1063"/>
      <c r="K316" s="1063"/>
      <c r="L316" s="1063"/>
      <c r="M316" s="1063"/>
      <c r="N316" s="1063"/>
      <c r="O316" s="1063"/>
      <c r="P316" s="1063"/>
      <c r="Q316" s="1063"/>
      <c r="R316" s="1063"/>
      <c r="S316" s="1063"/>
      <c r="T316" s="1063"/>
      <c r="U316" s="1063"/>
      <c r="V316" s="1063"/>
      <c r="W316" s="1063"/>
      <c r="X316" s="1063"/>
      <c r="Y316" s="1063"/>
      <c r="Z316" s="1063"/>
      <c r="AA316" s="1063"/>
      <c r="AB316" s="1063"/>
      <c r="AC316" s="1063"/>
      <c r="AD316" s="1063"/>
      <c r="AE316" s="1063"/>
      <c r="AF316" s="1063"/>
      <c r="AG316" s="1063"/>
      <c r="AH316" s="1063"/>
      <c r="AI316" s="1063"/>
      <c r="AJ316" s="1063"/>
      <c r="AK316" s="1063"/>
      <c r="AL316" s="1063"/>
      <c r="AM316" s="1063"/>
      <c r="AN316" s="1063"/>
      <c r="AO316" s="1063"/>
      <c r="AP316" s="1063"/>
      <c r="AQ316" s="1063"/>
      <c r="AR316" s="1063"/>
      <c r="AS316" s="1063"/>
      <c r="AT316" s="1063"/>
      <c r="AU316" s="1063"/>
      <c r="AV316" s="1063"/>
    </row>
    <row r="317" spans="1:48" s="1108" customFormat="1" ht="27.75" customHeight="1">
      <c r="A317" s="1076"/>
      <c r="B317" s="1074"/>
      <c r="D317" s="1063"/>
      <c r="F317" s="1076"/>
      <c r="G317" s="1063"/>
      <c r="H317" s="1063"/>
      <c r="I317" s="1063"/>
      <c r="J317" s="1063"/>
      <c r="K317" s="1063"/>
      <c r="L317" s="1063"/>
      <c r="M317" s="1063"/>
      <c r="N317" s="1063"/>
      <c r="O317" s="1063"/>
      <c r="P317" s="1063"/>
      <c r="Q317" s="1063"/>
      <c r="R317" s="1063"/>
      <c r="S317" s="1063"/>
      <c r="T317" s="1063"/>
      <c r="U317" s="1063"/>
      <c r="V317" s="1063"/>
      <c r="W317" s="1063"/>
      <c r="X317" s="1063"/>
      <c r="Y317" s="1063"/>
      <c r="Z317" s="1063"/>
      <c r="AA317" s="1063"/>
      <c r="AB317" s="1063"/>
      <c r="AC317" s="1063"/>
      <c r="AD317" s="1063"/>
      <c r="AE317" s="1063"/>
      <c r="AF317" s="1063"/>
      <c r="AG317" s="1063"/>
      <c r="AH317" s="1063"/>
      <c r="AI317" s="1063"/>
      <c r="AJ317" s="1063"/>
      <c r="AK317" s="1063"/>
      <c r="AL317" s="1063"/>
      <c r="AM317" s="1063"/>
      <c r="AN317" s="1063"/>
      <c r="AO317" s="1063"/>
      <c r="AP317" s="1063"/>
      <c r="AQ317" s="1063"/>
      <c r="AR317" s="1063"/>
      <c r="AS317" s="1063"/>
      <c r="AT317" s="1063"/>
      <c r="AU317" s="1063"/>
      <c r="AV317" s="1063"/>
    </row>
    <row r="318" spans="1:48" s="1108" customFormat="1" ht="27.75" customHeight="1">
      <c r="A318" s="1076"/>
      <c r="B318" s="1074"/>
      <c r="D318" s="1063"/>
      <c r="F318" s="1076"/>
      <c r="G318" s="1063"/>
      <c r="H318" s="1063"/>
      <c r="I318" s="1063"/>
      <c r="J318" s="1063"/>
      <c r="K318" s="1063"/>
      <c r="L318" s="1063"/>
      <c r="M318" s="1063"/>
      <c r="N318" s="1063"/>
      <c r="O318" s="1063"/>
      <c r="P318" s="1063"/>
      <c r="Q318" s="1063"/>
      <c r="R318" s="1063"/>
      <c r="S318" s="1063"/>
      <c r="T318" s="1063"/>
      <c r="U318" s="1063"/>
      <c r="V318" s="1063"/>
      <c r="W318" s="1063"/>
      <c r="X318" s="1063"/>
      <c r="Y318" s="1063"/>
      <c r="Z318" s="1063"/>
      <c r="AA318" s="1063"/>
      <c r="AB318" s="1063"/>
      <c r="AC318" s="1063"/>
      <c r="AD318" s="1063"/>
      <c r="AE318" s="1063"/>
      <c r="AF318" s="1063"/>
      <c r="AG318" s="1063"/>
      <c r="AH318" s="1063"/>
      <c r="AI318" s="1063"/>
      <c r="AJ318" s="1063"/>
      <c r="AK318" s="1063"/>
      <c r="AL318" s="1063"/>
      <c r="AM318" s="1063"/>
      <c r="AN318" s="1063"/>
      <c r="AO318" s="1063"/>
      <c r="AP318" s="1063"/>
      <c r="AQ318" s="1063"/>
      <c r="AR318" s="1063"/>
      <c r="AS318" s="1063"/>
      <c r="AT318" s="1063"/>
      <c r="AU318" s="1063"/>
      <c r="AV318" s="1063"/>
    </row>
    <row r="319" spans="1:48" s="1108" customFormat="1" ht="27.75" customHeight="1">
      <c r="A319" s="1076"/>
      <c r="B319" s="1074"/>
      <c r="D319" s="1063"/>
      <c r="F319" s="1076"/>
      <c r="G319" s="1063"/>
      <c r="H319" s="1063"/>
      <c r="I319" s="1063"/>
      <c r="J319" s="1063"/>
      <c r="K319" s="1063"/>
      <c r="L319" s="1063"/>
      <c r="M319" s="1063"/>
      <c r="N319" s="1063"/>
      <c r="O319" s="1063"/>
      <c r="P319" s="1063"/>
      <c r="Q319" s="1063"/>
      <c r="R319" s="1063"/>
      <c r="S319" s="1063"/>
      <c r="T319" s="1063"/>
      <c r="U319" s="1063"/>
      <c r="V319" s="1063"/>
      <c r="W319" s="1063"/>
      <c r="X319" s="1063"/>
      <c r="Y319" s="1063"/>
      <c r="Z319" s="1063"/>
      <c r="AA319" s="1063"/>
      <c r="AB319" s="1063"/>
      <c r="AC319" s="1063"/>
      <c r="AD319" s="1063"/>
      <c r="AE319" s="1063"/>
      <c r="AF319" s="1063"/>
      <c r="AG319" s="1063"/>
      <c r="AH319" s="1063"/>
      <c r="AI319" s="1063"/>
      <c r="AJ319" s="1063"/>
      <c r="AK319" s="1063"/>
      <c r="AL319" s="1063"/>
      <c r="AM319" s="1063"/>
      <c r="AN319" s="1063"/>
      <c r="AO319" s="1063"/>
      <c r="AP319" s="1063"/>
      <c r="AQ319" s="1063"/>
      <c r="AR319" s="1063"/>
      <c r="AS319" s="1063"/>
      <c r="AT319" s="1063"/>
      <c r="AU319" s="1063"/>
      <c r="AV319" s="1063"/>
    </row>
    <row r="320" spans="1:48" s="1108" customFormat="1" ht="27.75" customHeight="1">
      <c r="A320" s="1076"/>
      <c r="B320" s="1074"/>
      <c r="D320" s="1063"/>
      <c r="F320" s="1076"/>
      <c r="G320" s="1063"/>
      <c r="H320" s="1063"/>
      <c r="I320" s="1063"/>
      <c r="J320" s="1063"/>
      <c r="K320" s="1063"/>
      <c r="L320" s="1063"/>
      <c r="M320" s="1063"/>
      <c r="N320" s="1063"/>
      <c r="O320" s="1063"/>
      <c r="P320" s="1063"/>
      <c r="Q320" s="1063"/>
      <c r="R320" s="1063"/>
      <c r="S320" s="1063"/>
      <c r="T320" s="1063"/>
      <c r="U320" s="1063"/>
      <c r="V320" s="1063"/>
      <c r="W320" s="1063"/>
      <c r="X320" s="1063"/>
      <c r="Y320" s="1063"/>
      <c r="Z320" s="1063"/>
      <c r="AA320" s="1063"/>
      <c r="AB320" s="1063"/>
      <c r="AC320" s="1063"/>
      <c r="AD320" s="1063"/>
      <c r="AE320" s="1063"/>
      <c r="AF320" s="1063"/>
      <c r="AG320" s="1063"/>
      <c r="AH320" s="1063"/>
      <c r="AI320" s="1063"/>
      <c r="AJ320" s="1063"/>
      <c r="AK320" s="1063"/>
      <c r="AL320" s="1063"/>
      <c r="AM320" s="1063"/>
      <c r="AN320" s="1063"/>
      <c r="AO320" s="1063"/>
      <c r="AP320" s="1063"/>
      <c r="AQ320" s="1063"/>
      <c r="AR320" s="1063"/>
      <c r="AS320" s="1063"/>
      <c r="AT320" s="1063"/>
      <c r="AU320" s="1063"/>
      <c r="AV320" s="1063"/>
    </row>
    <row r="321" spans="1:48" s="1108" customFormat="1" ht="27.75" customHeight="1">
      <c r="A321" s="1076"/>
      <c r="B321" s="1074"/>
      <c r="D321" s="1063"/>
      <c r="F321" s="1076"/>
      <c r="G321" s="1063"/>
      <c r="H321" s="1063"/>
      <c r="I321" s="1063"/>
      <c r="J321" s="1063"/>
      <c r="K321" s="1063"/>
      <c r="L321" s="1063"/>
      <c r="M321" s="1063"/>
      <c r="N321" s="1063"/>
      <c r="O321" s="1063"/>
      <c r="P321" s="1063"/>
      <c r="Q321" s="1063"/>
      <c r="R321" s="1063"/>
      <c r="S321" s="1063"/>
      <c r="T321" s="1063"/>
      <c r="U321" s="1063"/>
      <c r="V321" s="1063"/>
      <c r="W321" s="1063"/>
      <c r="X321" s="1063"/>
      <c r="Y321" s="1063"/>
      <c r="Z321" s="1063"/>
      <c r="AA321" s="1063"/>
      <c r="AB321" s="1063"/>
      <c r="AC321" s="1063"/>
      <c r="AD321" s="1063"/>
      <c r="AE321" s="1063"/>
      <c r="AF321" s="1063"/>
      <c r="AG321" s="1063"/>
      <c r="AH321" s="1063"/>
      <c r="AI321" s="1063"/>
      <c r="AJ321" s="1063"/>
      <c r="AK321" s="1063"/>
      <c r="AL321" s="1063"/>
      <c r="AM321" s="1063"/>
      <c r="AN321" s="1063"/>
      <c r="AO321" s="1063"/>
      <c r="AP321" s="1063"/>
      <c r="AQ321" s="1063"/>
      <c r="AR321" s="1063"/>
      <c r="AS321" s="1063"/>
      <c r="AT321" s="1063"/>
      <c r="AU321" s="1063"/>
      <c r="AV321" s="1063"/>
    </row>
    <row r="322" spans="1:48" s="1108" customFormat="1" ht="27.75" customHeight="1">
      <c r="A322" s="1076"/>
      <c r="B322" s="1074"/>
      <c r="D322" s="1063"/>
      <c r="F322" s="1076"/>
      <c r="G322" s="1063"/>
      <c r="H322" s="1063"/>
      <c r="I322" s="1063"/>
      <c r="J322" s="1063"/>
      <c r="K322" s="1063"/>
      <c r="L322" s="1063"/>
      <c r="M322" s="1063"/>
      <c r="N322" s="1063"/>
      <c r="O322" s="1063"/>
      <c r="P322" s="1063"/>
      <c r="Q322" s="1063"/>
      <c r="R322" s="1063"/>
      <c r="S322" s="1063"/>
      <c r="T322" s="1063"/>
      <c r="U322" s="1063"/>
      <c r="V322" s="1063"/>
      <c r="W322" s="1063"/>
      <c r="X322" s="1063"/>
      <c r="Y322" s="1063"/>
      <c r="Z322" s="1063"/>
      <c r="AA322" s="1063"/>
      <c r="AB322" s="1063"/>
      <c r="AC322" s="1063"/>
      <c r="AD322" s="1063"/>
      <c r="AE322" s="1063"/>
      <c r="AF322" s="1063"/>
      <c r="AG322" s="1063"/>
      <c r="AH322" s="1063"/>
      <c r="AI322" s="1063"/>
      <c r="AJ322" s="1063"/>
      <c r="AK322" s="1063"/>
      <c r="AL322" s="1063"/>
      <c r="AM322" s="1063"/>
      <c r="AN322" s="1063"/>
      <c r="AO322" s="1063"/>
      <c r="AP322" s="1063"/>
      <c r="AQ322" s="1063"/>
      <c r="AR322" s="1063"/>
      <c r="AS322" s="1063"/>
      <c r="AT322" s="1063"/>
      <c r="AU322" s="1063"/>
      <c r="AV322" s="1063"/>
    </row>
    <row r="323" spans="1:48" s="1108" customFormat="1" ht="27.75" customHeight="1">
      <c r="A323" s="1076"/>
      <c r="B323" s="1074"/>
      <c r="D323" s="1063"/>
      <c r="F323" s="1076"/>
      <c r="G323" s="1063"/>
      <c r="H323" s="1063"/>
      <c r="I323" s="1063"/>
      <c r="J323" s="1063"/>
      <c r="K323" s="1063"/>
      <c r="L323" s="1063"/>
      <c r="M323" s="1063"/>
      <c r="N323" s="1063"/>
      <c r="O323" s="1063"/>
      <c r="P323" s="1063"/>
      <c r="Q323" s="1063"/>
      <c r="R323" s="1063"/>
      <c r="S323" s="1063"/>
      <c r="T323" s="1063"/>
      <c r="U323" s="1063"/>
      <c r="V323" s="1063"/>
      <c r="W323" s="1063"/>
      <c r="X323" s="1063"/>
      <c r="Y323" s="1063"/>
      <c r="Z323" s="1063"/>
      <c r="AA323" s="1063"/>
      <c r="AB323" s="1063"/>
      <c r="AC323" s="1063"/>
      <c r="AD323" s="1063"/>
      <c r="AE323" s="1063"/>
      <c r="AF323" s="1063"/>
      <c r="AG323" s="1063"/>
      <c r="AH323" s="1063"/>
      <c r="AI323" s="1063"/>
      <c r="AJ323" s="1063"/>
      <c r="AK323" s="1063"/>
      <c r="AL323" s="1063"/>
      <c r="AM323" s="1063"/>
      <c r="AN323" s="1063"/>
      <c r="AO323" s="1063"/>
      <c r="AP323" s="1063"/>
      <c r="AQ323" s="1063"/>
      <c r="AR323" s="1063"/>
      <c r="AS323" s="1063"/>
      <c r="AT323" s="1063"/>
      <c r="AU323" s="1063"/>
      <c r="AV323" s="1063"/>
    </row>
    <row r="324" spans="1:48" s="1108" customFormat="1" ht="27.75" customHeight="1">
      <c r="A324" s="1076"/>
      <c r="B324" s="1074"/>
      <c r="D324" s="1063"/>
      <c r="F324" s="1076"/>
      <c r="G324" s="1063"/>
      <c r="H324" s="1063"/>
      <c r="I324" s="1063"/>
      <c r="J324" s="1063"/>
      <c r="K324" s="1063"/>
      <c r="L324" s="1063"/>
      <c r="M324" s="1063"/>
      <c r="N324" s="1063"/>
      <c r="O324" s="1063"/>
      <c r="P324" s="1063"/>
      <c r="Q324" s="1063"/>
      <c r="R324" s="1063"/>
      <c r="S324" s="1063"/>
      <c r="T324" s="1063"/>
      <c r="U324" s="1063"/>
      <c r="V324" s="1063"/>
      <c r="W324" s="1063"/>
      <c r="X324" s="1063"/>
      <c r="Y324" s="1063"/>
      <c r="Z324" s="1063"/>
      <c r="AA324" s="1063"/>
      <c r="AB324" s="1063"/>
      <c r="AC324" s="1063"/>
      <c r="AD324" s="1063"/>
      <c r="AE324" s="1063"/>
      <c r="AF324" s="1063"/>
      <c r="AG324" s="1063"/>
      <c r="AH324" s="1063"/>
      <c r="AI324" s="1063"/>
      <c r="AJ324" s="1063"/>
      <c r="AK324" s="1063"/>
      <c r="AL324" s="1063"/>
      <c r="AM324" s="1063"/>
      <c r="AN324" s="1063"/>
      <c r="AO324" s="1063"/>
      <c r="AP324" s="1063"/>
      <c r="AQ324" s="1063"/>
      <c r="AR324" s="1063"/>
      <c r="AS324" s="1063"/>
      <c r="AT324" s="1063"/>
      <c r="AU324" s="1063"/>
      <c r="AV324" s="1063"/>
    </row>
    <row r="325" spans="1:48" s="1108" customFormat="1" ht="27.75" customHeight="1">
      <c r="A325" s="1076"/>
      <c r="B325" s="1074"/>
      <c r="D325" s="1063"/>
      <c r="F325" s="1076"/>
      <c r="G325" s="1063"/>
      <c r="H325" s="1063"/>
      <c r="I325" s="1063"/>
      <c r="J325" s="1063"/>
      <c r="K325" s="1063"/>
      <c r="L325" s="1063"/>
      <c r="M325" s="1063"/>
      <c r="N325" s="1063"/>
      <c r="O325" s="1063"/>
      <c r="P325" s="1063"/>
      <c r="Q325" s="1063"/>
      <c r="R325" s="1063"/>
      <c r="S325" s="1063"/>
      <c r="T325" s="1063"/>
      <c r="U325" s="1063"/>
      <c r="V325" s="1063"/>
      <c r="W325" s="1063"/>
      <c r="X325" s="1063"/>
      <c r="Y325" s="1063"/>
      <c r="Z325" s="1063"/>
      <c r="AA325" s="1063"/>
      <c r="AB325" s="1063"/>
      <c r="AC325" s="1063"/>
      <c r="AD325" s="1063"/>
      <c r="AE325" s="1063"/>
      <c r="AF325" s="1063"/>
      <c r="AG325" s="1063"/>
      <c r="AH325" s="1063"/>
      <c r="AI325" s="1063"/>
      <c r="AJ325" s="1063"/>
      <c r="AK325" s="1063"/>
      <c r="AL325" s="1063"/>
      <c r="AM325" s="1063"/>
      <c r="AN325" s="1063"/>
      <c r="AO325" s="1063"/>
      <c r="AP325" s="1063"/>
      <c r="AQ325" s="1063"/>
      <c r="AR325" s="1063"/>
      <c r="AS325" s="1063"/>
      <c r="AT325" s="1063"/>
      <c r="AU325" s="1063"/>
      <c r="AV325" s="1063"/>
    </row>
    <row r="326" spans="1:48" s="1108" customFormat="1" ht="27.75" customHeight="1">
      <c r="A326" s="1076"/>
      <c r="B326" s="1074"/>
      <c r="D326" s="1063"/>
      <c r="F326" s="1076"/>
      <c r="G326" s="1063"/>
      <c r="H326" s="1063"/>
      <c r="I326" s="1063"/>
      <c r="J326" s="1063"/>
      <c r="K326" s="1063"/>
      <c r="L326" s="1063"/>
      <c r="M326" s="1063"/>
      <c r="N326" s="1063"/>
      <c r="O326" s="1063"/>
      <c r="P326" s="1063"/>
      <c r="Q326" s="1063"/>
      <c r="R326" s="1063"/>
      <c r="S326" s="1063"/>
      <c r="T326" s="1063"/>
      <c r="U326" s="1063"/>
      <c r="V326" s="1063"/>
      <c r="W326" s="1063"/>
      <c r="X326" s="1063"/>
      <c r="Y326" s="1063"/>
      <c r="Z326" s="1063"/>
      <c r="AA326" s="1063"/>
      <c r="AB326" s="1063"/>
      <c r="AC326" s="1063"/>
      <c r="AD326" s="1063"/>
      <c r="AE326" s="1063"/>
      <c r="AF326" s="1063"/>
      <c r="AG326" s="1063"/>
      <c r="AH326" s="1063"/>
      <c r="AI326" s="1063"/>
      <c r="AJ326" s="1063"/>
      <c r="AK326" s="1063"/>
      <c r="AL326" s="1063"/>
      <c r="AM326" s="1063"/>
      <c r="AN326" s="1063"/>
      <c r="AO326" s="1063"/>
      <c r="AP326" s="1063"/>
      <c r="AQ326" s="1063"/>
      <c r="AR326" s="1063"/>
      <c r="AS326" s="1063"/>
      <c r="AT326" s="1063"/>
      <c r="AU326" s="1063"/>
      <c r="AV326" s="1063"/>
    </row>
    <row r="327" spans="1:48" s="1108" customFormat="1" ht="27.75" customHeight="1">
      <c r="A327" s="1076"/>
      <c r="B327" s="1074"/>
      <c r="D327" s="1063"/>
      <c r="F327" s="1076"/>
      <c r="G327" s="1063"/>
      <c r="H327" s="1063"/>
      <c r="I327" s="1063"/>
      <c r="J327" s="1063"/>
      <c r="K327" s="1063"/>
      <c r="L327" s="1063"/>
      <c r="M327" s="1063"/>
      <c r="N327" s="1063"/>
      <c r="O327" s="1063"/>
      <c r="P327" s="1063"/>
      <c r="Q327" s="1063"/>
      <c r="R327" s="1063"/>
      <c r="S327" s="1063"/>
      <c r="T327" s="1063"/>
      <c r="U327" s="1063"/>
      <c r="V327" s="1063"/>
      <c r="W327" s="1063"/>
      <c r="X327" s="1063"/>
      <c r="Y327" s="1063"/>
      <c r="Z327" s="1063"/>
      <c r="AA327" s="1063"/>
      <c r="AB327" s="1063"/>
      <c r="AC327" s="1063"/>
      <c r="AD327" s="1063"/>
      <c r="AE327" s="1063"/>
      <c r="AF327" s="1063"/>
      <c r="AG327" s="1063"/>
      <c r="AH327" s="1063"/>
      <c r="AI327" s="1063"/>
      <c r="AJ327" s="1063"/>
      <c r="AK327" s="1063"/>
      <c r="AL327" s="1063"/>
      <c r="AM327" s="1063"/>
      <c r="AN327" s="1063"/>
      <c r="AO327" s="1063"/>
      <c r="AP327" s="1063"/>
      <c r="AQ327" s="1063"/>
      <c r="AR327" s="1063"/>
      <c r="AS327" s="1063"/>
      <c r="AT327" s="1063"/>
      <c r="AU327" s="1063"/>
      <c r="AV327" s="1063"/>
    </row>
    <row r="328" spans="1:48" s="1108" customFormat="1" ht="27.75" customHeight="1">
      <c r="A328" s="1076"/>
      <c r="B328" s="1074"/>
      <c r="D328" s="1063"/>
      <c r="F328" s="1076"/>
      <c r="G328" s="1063"/>
      <c r="H328" s="1063"/>
      <c r="I328" s="1063"/>
      <c r="J328" s="1063"/>
      <c r="K328" s="1063"/>
      <c r="L328" s="1063"/>
      <c r="M328" s="1063"/>
      <c r="N328" s="1063"/>
      <c r="O328" s="1063"/>
      <c r="P328" s="1063"/>
      <c r="Q328" s="1063"/>
      <c r="R328" s="1063"/>
      <c r="S328" s="1063"/>
      <c r="T328" s="1063"/>
      <c r="U328" s="1063"/>
      <c r="V328" s="1063"/>
      <c r="W328" s="1063"/>
      <c r="X328" s="1063"/>
      <c r="Y328" s="1063"/>
      <c r="Z328" s="1063"/>
      <c r="AA328" s="1063"/>
      <c r="AB328" s="1063"/>
      <c r="AC328" s="1063"/>
      <c r="AD328" s="1063"/>
      <c r="AE328" s="1063"/>
      <c r="AF328" s="1063"/>
      <c r="AG328" s="1063"/>
      <c r="AH328" s="1063"/>
      <c r="AI328" s="1063"/>
      <c r="AJ328" s="1063"/>
      <c r="AK328" s="1063"/>
      <c r="AL328" s="1063"/>
      <c r="AM328" s="1063"/>
      <c r="AN328" s="1063"/>
      <c r="AO328" s="1063"/>
      <c r="AP328" s="1063"/>
      <c r="AQ328" s="1063"/>
      <c r="AR328" s="1063"/>
      <c r="AS328" s="1063"/>
      <c r="AT328" s="1063"/>
      <c r="AU328" s="1063"/>
      <c r="AV328" s="1063"/>
    </row>
    <row r="329" spans="1:48" s="1108" customFormat="1" ht="27.75" customHeight="1">
      <c r="A329" s="1076"/>
      <c r="B329" s="1074"/>
      <c r="D329" s="1063"/>
      <c r="F329" s="1076"/>
      <c r="G329" s="1063"/>
      <c r="H329" s="1063"/>
      <c r="I329" s="1063"/>
      <c r="J329" s="1063"/>
      <c r="K329" s="1063"/>
      <c r="L329" s="1063"/>
      <c r="M329" s="1063"/>
      <c r="N329" s="1063"/>
      <c r="O329" s="1063"/>
      <c r="P329" s="1063"/>
      <c r="Q329" s="1063"/>
      <c r="R329" s="1063"/>
      <c r="S329" s="1063"/>
      <c r="T329" s="1063"/>
      <c r="U329" s="1063"/>
      <c r="V329" s="1063"/>
      <c r="W329" s="1063"/>
      <c r="X329" s="1063"/>
      <c r="Y329" s="1063"/>
      <c r="Z329" s="1063"/>
      <c r="AA329" s="1063"/>
      <c r="AB329" s="1063"/>
      <c r="AC329" s="1063"/>
      <c r="AD329" s="1063"/>
      <c r="AE329" s="1063"/>
      <c r="AF329" s="1063"/>
      <c r="AG329" s="1063"/>
      <c r="AH329" s="1063"/>
      <c r="AI329" s="1063"/>
      <c r="AJ329" s="1063"/>
      <c r="AK329" s="1063"/>
      <c r="AL329" s="1063"/>
      <c r="AM329" s="1063"/>
      <c r="AN329" s="1063"/>
      <c r="AO329" s="1063"/>
      <c r="AP329" s="1063"/>
      <c r="AQ329" s="1063"/>
      <c r="AR329" s="1063"/>
      <c r="AS329" s="1063"/>
      <c r="AT329" s="1063"/>
      <c r="AU329" s="1063"/>
      <c r="AV329" s="1063"/>
    </row>
    <row r="330" spans="1:48" s="1108" customFormat="1" ht="27.75" customHeight="1">
      <c r="A330" s="1076"/>
      <c r="B330" s="1074"/>
      <c r="D330" s="1063"/>
      <c r="F330" s="1076"/>
      <c r="G330" s="1063"/>
      <c r="H330" s="1063"/>
      <c r="I330" s="1063"/>
      <c r="J330" s="1063"/>
      <c r="K330" s="1063"/>
      <c r="L330" s="1063"/>
      <c r="M330" s="1063"/>
      <c r="N330" s="1063"/>
      <c r="O330" s="1063"/>
      <c r="P330" s="1063"/>
      <c r="Q330" s="1063"/>
      <c r="R330" s="1063"/>
      <c r="S330" s="1063"/>
      <c r="T330" s="1063"/>
      <c r="U330" s="1063"/>
      <c r="V330" s="1063"/>
      <c r="W330" s="1063"/>
      <c r="X330" s="1063"/>
      <c r="Y330" s="1063"/>
      <c r="Z330" s="1063"/>
      <c r="AA330" s="1063"/>
      <c r="AB330" s="1063"/>
      <c r="AC330" s="1063"/>
      <c r="AD330" s="1063"/>
      <c r="AE330" s="1063"/>
      <c r="AF330" s="1063"/>
      <c r="AG330" s="1063"/>
      <c r="AH330" s="1063"/>
      <c r="AI330" s="1063"/>
      <c r="AJ330" s="1063"/>
      <c r="AK330" s="1063"/>
      <c r="AL330" s="1063"/>
      <c r="AM330" s="1063"/>
      <c r="AN330" s="1063"/>
      <c r="AO330" s="1063"/>
      <c r="AP330" s="1063"/>
      <c r="AQ330" s="1063"/>
      <c r="AR330" s="1063"/>
      <c r="AS330" s="1063"/>
      <c r="AT330" s="1063"/>
      <c r="AU330" s="1063"/>
      <c r="AV330" s="1063"/>
    </row>
    <row r="331" spans="1:48" s="1108" customFormat="1" ht="27.75" customHeight="1">
      <c r="A331" s="1076"/>
      <c r="B331" s="1074"/>
      <c r="D331" s="1063"/>
      <c r="F331" s="1076"/>
      <c r="G331" s="1063"/>
      <c r="H331" s="1063"/>
      <c r="I331" s="1063"/>
      <c r="J331" s="1063"/>
      <c r="K331" s="1063"/>
      <c r="L331" s="1063"/>
      <c r="M331" s="1063"/>
      <c r="N331" s="1063"/>
      <c r="O331" s="1063"/>
      <c r="P331" s="1063"/>
      <c r="Q331" s="1063"/>
      <c r="R331" s="1063"/>
      <c r="S331" s="1063"/>
      <c r="T331" s="1063"/>
      <c r="U331" s="1063"/>
      <c r="V331" s="1063"/>
      <c r="W331" s="1063"/>
      <c r="X331" s="1063"/>
      <c r="Y331" s="1063"/>
      <c r="Z331" s="1063"/>
      <c r="AA331" s="1063"/>
      <c r="AB331" s="1063"/>
      <c r="AC331" s="1063"/>
      <c r="AD331" s="1063"/>
      <c r="AE331" s="1063"/>
      <c r="AF331" s="1063"/>
      <c r="AG331" s="1063"/>
      <c r="AH331" s="1063"/>
      <c r="AI331" s="1063"/>
      <c r="AJ331" s="1063"/>
      <c r="AK331" s="1063"/>
      <c r="AL331" s="1063"/>
      <c r="AM331" s="1063"/>
      <c r="AN331" s="1063"/>
      <c r="AO331" s="1063"/>
      <c r="AP331" s="1063"/>
      <c r="AQ331" s="1063"/>
      <c r="AR331" s="1063"/>
      <c r="AS331" s="1063"/>
      <c r="AT331" s="1063"/>
      <c r="AU331" s="1063"/>
      <c r="AV331" s="1063"/>
    </row>
    <row r="332" spans="1:48" s="1108" customFormat="1" ht="27.75" customHeight="1">
      <c r="A332" s="1076"/>
      <c r="B332" s="1074"/>
      <c r="D332" s="1063"/>
      <c r="F332" s="1076"/>
      <c r="G332" s="1063"/>
      <c r="H332" s="1063"/>
      <c r="I332" s="1063"/>
      <c r="J332" s="1063"/>
      <c r="K332" s="1063"/>
      <c r="L332" s="1063"/>
      <c r="M332" s="1063"/>
      <c r="N332" s="1063"/>
      <c r="O332" s="1063"/>
      <c r="P332" s="1063"/>
      <c r="Q332" s="1063"/>
      <c r="R332" s="1063"/>
      <c r="S332" s="1063"/>
      <c r="T332" s="1063"/>
      <c r="U332" s="1063"/>
      <c r="V332" s="1063"/>
      <c r="W332" s="1063"/>
      <c r="X332" s="1063"/>
      <c r="Y332" s="1063"/>
      <c r="Z332" s="1063"/>
      <c r="AA332" s="1063"/>
      <c r="AB332" s="1063"/>
      <c r="AC332" s="1063"/>
      <c r="AD332" s="1063"/>
      <c r="AE332" s="1063"/>
      <c r="AF332" s="1063"/>
      <c r="AG332" s="1063"/>
      <c r="AH332" s="1063"/>
      <c r="AI332" s="1063"/>
      <c r="AJ332" s="1063"/>
      <c r="AK332" s="1063"/>
      <c r="AL332" s="1063"/>
      <c r="AM332" s="1063"/>
      <c r="AN332" s="1063"/>
      <c r="AO332" s="1063"/>
      <c r="AP332" s="1063"/>
      <c r="AQ332" s="1063"/>
      <c r="AR332" s="1063"/>
      <c r="AS332" s="1063"/>
      <c r="AT332" s="1063"/>
      <c r="AU332" s="1063"/>
      <c r="AV332" s="1063"/>
    </row>
    <row r="333" spans="1:48" s="1108" customFormat="1" ht="27.75" customHeight="1">
      <c r="A333" s="1076"/>
      <c r="B333" s="1074"/>
      <c r="D333" s="1063"/>
      <c r="F333" s="1076"/>
      <c r="G333" s="1063"/>
      <c r="H333" s="1063"/>
      <c r="I333" s="1063"/>
      <c r="J333" s="1063"/>
      <c r="K333" s="1063"/>
      <c r="L333" s="1063"/>
      <c r="M333" s="1063"/>
      <c r="N333" s="1063"/>
      <c r="O333" s="1063"/>
      <c r="P333" s="1063"/>
      <c r="Q333" s="1063"/>
      <c r="R333" s="1063"/>
      <c r="S333" s="1063"/>
      <c r="T333" s="1063"/>
      <c r="U333" s="1063"/>
      <c r="V333" s="1063"/>
      <c r="W333" s="1063"/>
      <c r="X333" s="1063"/>
      <c r="Y333" s="1063"/>
      <c r="Z333" s="1063"/>
      <c r="AA333" s="1063"/>
      <c r="AB333" s="1063"/>
      <c r="AC333" s="1063"/>
      <c r="AD333" s="1063"/>
      <c r="AE333" s="1063"/>
      <c r="AF333" s="1063"/>
      <c r="AG333" s="1063"/>
      <c r="AH333" s="1063"/>
      <c r="AI333" s="1063"/>
      <c r="AJ333" s="1063"/>
      <c r="AK333" s="1063"/>
      <c r="AL333" s="1063"/>
      <c r="AM333" s="1063"/>
      <c r="AN333" s="1063"/>
      <c r="AO333" s="1063"/>
      <c r="AP333" s="1063"/>
      <c r="AQ333" s="1063"/>
      <c r="AR333" s="1063"/>
      <c r="AS333" s="1063"/>
      <c r="AT333" s="1063"/>
      <c r="AU333" s="1063"/>
      <c r="AV333" s="1063"/>
    </row>
    <row r="334" spans="1:48" s="1108" customFormat="1" ht="27.75" customHeight="1">
      <c r="A334" s="1076"/>
      <c r="B334" s="1074"/>
      <c r="D334" s="1063"/>
      <c r="F334" s="1076"/>
      <c r="G334" s="1063"/>
      <c r="H334" s="1063"/>
      <c r="I334" s="1063"/>
      <c r="J334" s="1063"/>
      <c r="K334" s="1063"/>
      <c r="L334" s="1063"/>
      <c r="M334" s="1063"/>
      <c r="N334" s="1063"/>
      <c r="O334" s="1063"/>
      <c r="P334" s="1063"/>
      <c r="Q334" s="1063"/>
      <c r="R334" s="1063"/>
      <c r="S334" s="1063"/>
      <c r="T334" s="1063"/>
      <c r="U334" s="1063"/>
      <c r="V334" s="1063"/>
      <c r="W334" s="1063"/>
      <c r="X334" s="1063"/>
      <c r="Y334" s="1063"/>
      <c r="Z334" s="1063"/>
      <c r="AA334" s="1063"/>
      <c r="AB334" s="1063"/>
      <c r="AC334" s="1063"/>
      <c r="AD334" s="1063"/>
      <c r="AE334" s="1063"/>
      <c r="AF334" s="1063"/>
      <c r="AG334" s="1063"/>
      <c r="AH334" s="1063"/>
      <c r="AI334" s="1063"/>
      <c r="AJ334" s="1063"/>
      <c r="AK334" s="1063"/>
      <c r="AL334" s="1063"/>
      <c r="AM334" s="1063"/>
      <c r="AN334" s="1063"/>
      <c r="AO334" s="1063"/>
      <c r="AP334" s="1063"/>
      <c r="AQ334" s="1063"/>
      <c r="AR334" s="1063"/>
      <c r="AS334" s="1063"/>
      <c r="AT334" s="1063"/>
      <c r="AU334" s="1063"/>
      <c r="AV334" s="1063"/>
    </row>
    <row r="335" spans="1:48" s="1108" customFormat="1" ht="27.75" customHeight="1">
      <c r="A335" s="1076"/>
      <c r="B335" s="1074"/>
      <c r="D335" s="1063"/>
      <c r="F335" s="1076"/>
      <c r="G335" s="1063"/>
      <c r="H335" s="1063"/>
      <c r="I335" s="1063"/>
      <c r="J335" s="1063"/>
      <c r="K335" s="1063"/>
      <c r="L335" s="1063"/>
      <c r="M335" s="1063"/>
      <c r="N335" s="1063"/>
      <c r="O335" s="1063"/>
      <c r="P335" s="1063"/>
      <c r="Q335" s="1063"/>
      <c r="R335" s="1063"/>
      <c r="S335" s="1063"/>
      <c r="T335" s="1063"/>
      <c r="U335" s="1063"/>
      <c r="V335" s="1063"/>
      <c r="W335" s="1063"/>
      <c r="X335" s="1063"/>
      <c r="Y335" s="1063"/>
      <c r="Z335" s="1063"/>
      <c r="AA335" s="1063"/>
      <c r="AB335" s="1063"/>
      <c r="AC335" s="1063"/>
      <c r="AD335" s="1063"/>
      <c r="AE335" s="1063"/>
      <c r="AF335" s="1063"/>
      <c r="AG335" s="1063"/>
      <c r="AH335" s="1063"/>
      <c r="AI335" s="1063"/>
      <c r="AJ335" s="1063"/>
      <c r="AK335" s="1063"/>
      <c r="AL335" s="1063"/>
      <c r="AM335" s="1063"/>
      <c r="AN335" s="1063"/>
      <c r="AO335" s="1063"/>
      <c r="AP335" s="1063"/>
      <c r="AQ335" s="1063"/>
      <c r="AR335" s="1063"/>
      <c r="AS335" s="1063"/>
      <c r="AT335" s="1063"/>
      <c r="AU335" s="1063"/>
      <c r="AV335" s="1063"/>
    </row>
    <row r="336" spans="1:48" s="1108" customFormat="1" ht="27.75" customHeight="1">
      <c r="A336" s="1076"/>
      <c r="B336" s="1074"/>
      <c r="D336" s="1063"/>
      <c r="F336" s="1076"/>
      <c r="G336" s="1063"/>
      <c r="H336" s="1063"/>
      <c r="I336" s="1063"/>
      <c r="J336" s="1063"/>
      <c r="K336" s="1063"/>
      <c r="L336" s="1063"/>
      <c r="M336" s="1063"/>
      <c r="N336" s="1063"/>
      <c r="O336" s="1063"/>
      <c r="P336" s="1063"/>
      <c r="Q336" s="1063"/>
      <c r="R336" s="1063"/>
      <c r="S336" s="1063"/>
      <c r="T336" s="1063"/>
      <c r="U336" s="1063"/>
      <c r="V336" s="1063"/>
      <c r="W336" s="1063"/>
      <c r="X336" s="1063"/>
      <c r="Y336" s="1063"/>
      <c r="Z336" s="1063"/>
      <c r="AA336" s="1063"/>
      <c r="AB336" s="1063"/>
      <c r="AC336" s="1063"/>
      <c r="AD336" s="1063"/>
      <c r="AE336" s="1063"/>
      <c r="AF336" s="1063"/>
      <c r="AG336" s="1063"/>
      <c r="AH336" s="1063"/>
      <c r="AI336" s="1063"/>
      <c r="AJ336" s="1063"/>
      <c r="AK336" s="1063"/>
      <c r="AL336" s="1063"/>
      <c r="AM336" s="1063"/>
      <c r="AN336" s="1063"/>
      <c r="AO336" s="1063"/>
      <c r="AP336" s="1063"/>
      <c r="AQ336" s="1063"/>
      <c r="AR336" s="1063"/>
      <c r="AS336" s="1063"/>
      <c r="AT336" s="1063"/>
      <c r="AU336" s="1063"/>
      <c r="AV336" s="1063"/>
    </row>
    <row r="337" spans="1:48" s="1108" customFormat="1" ht="27.75" customHeight="1">
      <c r="A337" s="1076"/>
      <c r="B337" s="1074"/>
      <c r="D337" s="1063"/>
      <c r="F337" s="1076"/>
      <c r="G337" s="1063"/>
      <c r="H337" s="1063"/>
      <c r="I337" s="1063"/>
      <c r="J337" s="1063"/>
      <c r="K337" s="1063"/>
      <c r="L337" s="1063"/>
      <c r="M337" s="1063"/>
      <c r="N337" s="1063"/>
      <c r="O337" s="1063"/>
      <c r="P337" s="1063"/>
      <c r="Q337" s="1063"/>
      <c r="R337" s="1063"/>
      <c r="S337" s="1063"/>
      <c r="T337" s="1063"/>
      <c r="U337" s="1063"/>
      <c r="V337" s="1063"/>
      <c r="W337" s="1063"/>
      <c r="X337" s="1063"/>
      <c r="Y337" s="1063"/>
      <c r="Z337" s="1063"/>
      <c r="AA337" s="1063"/>
      <c r="AB337" s="1063"/>
      <c r="AC337" s="1063"/>
      <c r="AD337" s="1063"/>
      <c r="AE337" s="1063"/>
      <c r="AF337" s="1063"/>
      <c r="AG337" s="1063"/>
      <c r="AH337" s="1063"/>
      <c r="AI337" s="1063"/>
      <c r="AJ337" s="1063"/>
      <c r="AK337" s="1063"/>
      <c r="AL337" s="1063"/>
      <c r="AM337" s="1063"/>
      <c r="AN337" s="1063"/>
      <c r="AO337" s="1063"/>
      <c r="AP337" s="1063"/>
      <c r="AQ337" s="1063"/>
      <c r="AR337" s="1063"/>
      <c r="AS337" s="1063"/>
      <c r="AT337" s="1063"/>
      <c r="AU337" s="1063"/>
      <c r="AV337" s="1063"/>
    </row>
    <row r="338" spans="1:48" s="1108" customFormat="1" ht="27.75" customHeight="1">
      <c r="A338" s="1076"/>
      <c r="B338" s="1074"/>
      <c r="D338" s="1063"/>
      <c r="F338" s="1076"/>
      <c r="G338" s="1063"/>
      <c r="H338" s="1063"/>
      <c r="I338" s="1063"/>
      <c r="J338" s="1063"/>
      <c r="K338" s="1063"/>
      <c r="L338" s="1063"/>
      <c r="M338" s="1063"/>
      <c r="N338" s="1063"/>
      <c r="O338" s="1063"/>
      <c r="P338" s="1063"/>
      <c r="Q338" s="1063"/>
      <c r="R338" s="1063"/>
      <c r="S338" s="1063"/>
      <c r="T338" s="1063"/>
      <c r="U338" s="1063"/>
      <c r="V338" s="1063"/>
      <c r="W338" s="1063"/>
      <c r="X338" s="1063"/>
      <c r="Y338" s="1063"/>
      <c r="Z338" s="1063"/>
      <c r="AA338" s="1063"/>
      <c r="AB338" s="1063"/>
      <c r="AC338" s="1063"/>
      <c r="AD338" s="1063"/>
      <c r="AE338" s="1063"/>
      <c r="AF338" s="1063"/>
      <c r="AG338" s="1063"/>
      <c r="AH338" s="1063"/>
      <c r="AI338" s="1063"/>
      <c r="AJ338" s="1063"/>
      <c r="AK338" s="1063"/>
      <c r="AL338" s="1063"/>
      <c r="AM338" s="1063"/>
      <c r="AN338" s="1063"/>
      <c r="AO338" s="1063"/>
      <c r="AP338" s="1063"/>
      <c r="AQ338" s="1063"/>
      <c r="AR338" s="1063"/>
      <c r="AS338" s="1063"/>
      <c r="AT338" s="1063"/>
      <c r="AU338" s="1063"/>
      <c r="AV338" s="1063"/>
    </row>
    <row r="339" spans="1:48" s="1108" customFormat="1" ht="27.75" customHeight="1">
      <c r="A339" s="1076"/>
      <c r="B339" s="1074"/>
      <c r="D339" s="1063"/>
      <c r="F339" s="1076"/>
      <c r="G339" s="1063"/>
      <c r="H339" s="1063"/>
      <c r="I339" s="1063"/>
      <c r="J339" s="1063"/>
      <c r="K339" s="1063"/>
      <c r="L339" s="1063"/>
      <c r="M339" s="1063"/>
      <c r="N339" s="1063"/>
      <c r="O339" s="1063"/>
      <c r="P339" s="1063"/>
      <c r="Q339" s="1063"/>
      <c r="R339" s="1063"/>
      <c r="S339" s="1063"/>
      <c r="T339" s="1063"/>
      <c r="U339" s="1063"/>
      <c r="V339" s="1063"/>
      <c r="W339" s="1063"/>
      <c r="X339" s="1063"/>
      <c r="Y339" s="1063"/>
      <c r="Z339" s="1063"/>
      <c r="AA339" s="1063"/>
      <c r="AB339" s="1063"/>
      <c r="AC339" s="1063"/>
      <c r="AD339" s="1063"/>
      <c r="AE339" s="1063"/>
      <c r="AF339" s="1063"/>
      <c r="AG339" s="1063"/>
      <c r="AH339" s="1063"/>
      <c r="AI339" s="1063"/>
      <c r="AJ339" s="1063"/>
      <c r="AK339" s="1063"/>
      <c r="AL339" s="1063"/>
      <c r="AM339" s="1063"/>
      <c r="AN339" s="1063"/>
      <c r="AO339" s="1063"/>
      <c r="AP339" s="1063"/>
      <c r="AQ339" s="1063"/>
      <c r="AR339" s="1063"/>
      <c r="AS339" s="1063"/>
      <c r="AT339" s="1063"/>
      <c r="AU339" s="1063"/>
      <c r="AV339" s="1063"/>
    </row>
    <row r="340" spans="1:48" s="1108" customFormat="1" ht="27.75" customHeight="1">
      <c r="A340" s="1076"/>
      <c r="B340" s="1074"/>
      <c r="D340" s="1063"/>
      <c r="F340" s="1076"/>
      <c r="G340" s="1063"/>
      <c r="H340" s="1063"/>
      <c r="I340" s="1063"/>
      <c r="J340" s="1063"/>
      <c r="K340" s="1063"/>
      <c r="L340" s="1063"/>
      <c r="M340" s="1063"/>
      <c r="N340" s="1063"/>
      <c r="O340" s="1063"/>
      <c r="P340" s="1063"/>
      <c r="Q340" s="1063"/>
      <c r="R340" s="1063"/>
      <c r="S340" s="1063"/>
      <c r="T340" s="1063"/>
      <c r="U340" s="1063"/>
      <c r="V340" s="1063"/>
      <c r="W340" s="1063"/>
      <c r="X340" s="1063"/>
      <c r="Y340" s="1063"/>
      <c r="Z340" s="1063"/>
      <c r="AA340" s="1063"/>
      <c r="AB340" s="1063"/>
      <c r="AC340" s="1063"/>
      <c r="AD340" s="1063"/>
      <c r="AE340" s="1063"/>
      <c r="AF340" s="1063"/>
      <c r="AG340" s="1063"/>
      <c r="AH340" s="1063"/>
      <c r="AI340" s="1063"/>
      <c r="AJ340" s="1063"/>
      <c r="AK340" s="1063"/>
      <c r="AL340" s="1063"/>
      <c r="AM340" s="1063"/>
      <c r="AN340" s="1063"/>
      <c r="AO340" s="1063"/>
      <c r="AP340" s="1063"/>
      <c r="AQ340" s="1063"/>
      <c r="AR340" s="1063"/>
      <c r="AS340" s="1063"/>
      <c r="AT340" s="1063"/>
      <c r="AU340" s="1063"/>
      <c r="AV340" s="1063"/>
    </row>
    <row r="341" spans="1:48" s="1108" customFormat="1" ht="27.75" customHeight="1">
      <c r="A341" s="1076"/>
      <c r="B341" s="1074"/>
      <c r="D341" s="1063"/>
      <c r="F341" s="1076"/>
      <c r="G341" s="1063"/>
      <c r="H341" s="1063"/>
      <c r="I341" s="1063"/>
      <c r="J341" s="1063"/>
      <c r="K341" s="1063"/>
      <c r="L341" s="1063"/>
      <c r="M341" s="1063"/>
      <c r="N341" s="1063"/>
      <c r="O341" s="1063"/>
      <c r="P341" s="1063"/>
      <c r="Q341" s="1063"/>
      <c r="R341" s="1063"/>
      <c r="S341" s="1063"/>
      <c r="T341" s="1063"/>
      <c r="U341" s="1063"/>
      <c r="V341" s="1063"/>
      <c r="W341" s="1063"/>
      <c r="X341" s="1063"/>
      <c r="Y341" s="1063"/>
      <c r="Z341" s="1063"/>
      <c r="AA341" s="1063"/>
      <c r="AB341" s="1063"/>
      <c r="AC341" s="1063"/>
      <c r="AD341" s="1063"/>
      <c r="AE341" s="1063"/>
      <c r="AF341" s="1063"/>
      <c r="AG341" s="1063"/>
      <c r="AH341" s="1063"/>
      <c r="AI341" s="1063"/>
      <c r="AJ341" s="1063"/>
      <c r="AK341" s="1063"/>
      <c r="AL341" s="1063"/>
      <c r="AM341" s="1063"/>
      <c r="AN341" s="1063"/>
      <c r="AO341" s="1063"/>
      <c r="AP341" s="1063"/>
      <c r="AQ341" s="1063"/>
      <c r="AR341" s="1063"/>
      <c r="AS341" s="1063"/>
      <c r="AT341" s="1063"/>
      <c r="AU341" s="1063"/>
      <c r="AV341" s="1063"/>
    </row>
    <row r="342" spans="1:48" s="1108" customFormat="1" ht="27.75" customHeight="1">
      <c r="A342" s="1076"/>
      <c r="B342" s="1074"/>
      <c r="D342" s="1063"/>
      <c r="F342" s="1076"/>
      <c r="G342" s="1063"/>
      <c r="H342" s="1063"/>
      <c r="I342" s="1063"/>
      <c r="J342" s="1063"/>
      <c r="K342" s="1063"/>
      <c r="L342" s="1063"/>
      <c r="M342" s="1063"/>
      <c r="N342" s="1063"/>
      <c r="O342" s="1063"/>
      <c r="P342" s="1063"/>
      <c r="Q342" s="1063"/>
      <c r="R342" s="1063"/>
      <c r="S342" s="1063"/>
      <c r="T342" s="1063"/>
      <c r="U342" s="1063"/>
      <c r="V342" s="1063"/>
      <c r="W342" s="1063"/>
      <c r="X342" s="1063"/>
      <c r="Y342" s="1063"/>
      <c r="Z342" s="1063"/>
      <c r="AA342" s="1063"/>
      <c r="AB342" s="1063"/>
      <c r="AC342" s="1063"/>
      <c r="AD342" s="1063"/>
      <c r="AE342" s="1063"/>
      <c r="AF342" s="1063"/>
      <c r="AG342" s="1063"/>
      <c r="AH342" s="1063"/>
      <c r="AI342" s="1063"/>
      <c r="AJ342" s="1063"/>
      <c r="AK342" s="1063"/>
      <c r="AL342" s="1063"/>
      <c r="AM342" s="1063"/>
      <c r="AN342" s="1063"/>
      <c r="AO342" s="1063"/>
      <c r="AP342" s="1063"/>
      <c r="AQ342" s="1063"/>
      <c r="AR342" s="1063"/>
      <c r="AS342" s="1063"/>
      <c r="AT342" s="1063"/>
      <c r="AU342" s="1063"/>
      <c r="AV342" s="1063"/>
    </row>
    <row r="343" spans="1:48" s="1108" customFormat="1" ht="27.75" customHeight="1">
      <c r="A343" s="1076"/>
      <c r="B343" s="1074"/>
      <c r="D343" s="1063"/>
      <c r="F343" s="1076"/>
      <c r="G343" s="1063"/>
      <c r="H343" s="1063"/>
      <c r="I343" s="1063"/>
      <c r="J343" s="1063"/>
      <c r="K343" s="1063"/>
      <c r="L343" s="1063"/>
      <c r="M343" s="1063"/>
      <c r="N343" s="1063"/>
      <c r="O343" s="1063"/>
      <c r="P343" s="1063"/>
      <c r="Q343" s="1063"/>
      <c r="R343" s="1063"/>
      <c r="S343" s="1063"/>
      <c r="T343" s="1063"/>
      <c r="U343" s="1063"/>
      <c r="V343" s="1063"/>
      <c r="W343" s="1063"/>
      <c r="X343" s="1063"/>
      <c r="Y343" s="1063"/>
      <c r="Z343" s="1063"/>
      <c r="AA343" s="1063"/>
      <c r="AB343" s="1063"/>
      <c r="AC343" s="1063"/>
      <c r="AD343" s="1063"/>
      <c r="AE343" s="1063"/>
      <c r="AF343" s="1063"/>
      <c r="AG343" s="1063"/>
      <c r="AH343" s="1063"/>
      <c r="AI343" s="1063"/>
      <c r="AJ343" s="1063"/>
      <c r="AK343" s="1063"/>
      <c r="AL343" s="1063"/>
      <c r="AM343" s="1063"/>
      <c r="AN343" s="1063"/>
      <c r="AO343" s="1063"/>
      <c r="AP343" s="1063"/>
      <c r="AQ343" s="1063"/>
      <c r="AR343" s="1063"/>
      <c r="AS343" s="1063"/>
      <c r="AT343" s="1063"/>
      <c r="AU343" s="1063"/>
      <c r="AV343" s="1063"/>
    </row>
    <row r="344" spans="1:48" s="1108" customFormat="1" ht="27.75" customHeight="1">
      <c r="A344" s="1076"/>
      <c r="B344" s="1074"/>
      <c r="D344" s="1063"/>
      <c r="F344" s="1076"/>
      <c r="G344" s="1063"/>
      <c r="H344" s="1063"/>
      <c r="I344" s="1063"/>
      <c r="J344" s="1063"/>
      <c r="K344" s="1063"/>
      <c r="L344" s="1063"/>
      <c r="M344" s="1063"/>
      <c r="N344" s="1063"/>
      <c r="O344" s="1063"/>
      <c r="P344" s="1063"/>
      <c r="Q344" s="1063"/>
      <c r="R344" s="1063"/>
      <c r="S344" s="1063"/>
      <c r="T344" s="1063"/>
      <c r="U344" s="1063"/>
      <c r="V344" s="1063"/>
      <c r="W344" s="1063"/>
      <c r="X344" s="1063"/>
      <c r="Y344" s="1063"/>
      <c r="Z344" s="1063"/>
      <c r="AA344" s="1063"/>
      <c r="AB344" s="1063"/>
      <c r="AC344" s="1063"/>
      <c r="AD344" s="1063"/>
      <c r="AE344" s="1063"/>
      <c r="AF344" s="1063"/>
      <c r="AG344" s="1063"/>
      <c r="AH344" s="1063"/>
      <c r="AI344" s="1063"/>
      <c r="AJ344" s="1063"/>
      <c r="AK344" s="1063"/>
      <c r="AL344" s="1063"/>
      <c r="AM344" s="1063"/>
      <c r="AN344" s="1063"/>
      <c r="AO344" s="1063"/>
      <c r="AP344" s="1063"/>
      <c r="AQ344" s="1063"/>
      <c r="AR344" s="1063"/>
      <c r="AS344" s="1063"/>
      <c r="AT344" s="1063"/>
      <c r="AU344" s="1063"/>
      <c r="AV344" s="1063"/>
    </row>
    <row r="345" spans="1:48" s="1108" customFormat="1" ht="27.75" customHeight="1">
      <c r="A345" s="1076"/>
      <c r="B345" s="1074"/>
      <c r="D345" s="1063"/>
      <c r="F345" s="1076"/>
      <c r="G345" s="1063"/>
      <c r="H345" s="1063"/>
      <c r="I345" s="1063"/>
      <c r="J345" s="1063"/>
      <c r="K345" s="1063"/>
      <c r="L345" s="1063"/>
      <c r="M345" s="1063"/>
      <c r="N345" s="1063"/>
      <c r="O345" s="1063"/>
      <c r="P345" s="1063"/>
      <c r="Q345" s="1063"/>
      <c r="R345" s="1063"/>
      <c r="S345" s="1063"/>
      <c r="T345" s="1063"/>
      <c r="U345" s="1063"/>
      <c r="V345" s="1063"/>
      <c r="W345" s="1063"/>
      <c r="X345" s="1063"/>
      <c r="Y345" s="1063"/>
      <c r="Z345" s="1063"/>
      <c r="AA345" s="1063"/>
      <c r="AB345" s="1063"/>
      <c r="AC345" s="1063"/>
      <c r="AD345" s="1063"/>
      <c r="AE345" s="1063"/>
      <c r="AF345" s="1063"/>
      <c r="AG345" s="1063"/>
      <c r="AH345" s="1063"/>
      <c r="AI345" s="1063"/>
      <c r="AJ345" s="1063"/>
      <c r="AK345" s="1063"/>
      <c r="AL345" s="1063"/>
      <c r="AM345" s="1063"/>
      <c r="AN345" s="1063"/>
      <c r="AO345" s="1063"/>
      <c r="AP345" s="1063"/>
      <c r="AQ345" s="1063"/>
      <c r="AR345" s="1063"/>
      <c r="AS345" s="1063"/>
      <c r="AT345" s="1063"/>
      <c r="AU345" s="1063"/>
      <c r="AV345" s="1063"/>
    </row>
    <row r="346" spans="1:48" s="1108" customFormat="1" ht="27.75" customHeight="1">
      <c r="A346" s="1076"/>
      <c r="B346" s="1074"/>
      <c r="D346" s="1063"/>
      <c r="F346" s="1076"/>
      <c r="G346" s="1063"/>
      <c r="H346" s="1063"/>
      <c r="I346" s="1063"/>
      <c r="J346" s="1063"/>
      <c r="K346" s="1063"/>
      <c r="L346" s="1063"/>
      <c r="M346" s="1063"/>
      <c r="N346" s="1063"/>
      <c r="O346" s="1063"/>
      <c r="P346" s="1063"/>
      <c r="Q346" s="1063"/>
      <c r="R346" s="1063"/>
      <c r="S346" s="1063"/>
      <c r="T346" s="1063"/>
      <c r="U346" s="1063"/>
      <c r="V346" s="1063"/>
      <c r="W346" s="1063"/>
      <c r="X346" s="1063"/>
      <c r="Y346" s="1063"/>
      <c r="Z346" s="1063"/>
      <c r="AA346" s="1063"/>
      <c r="AB346" s="1063"/>
      <c r="AC346" s="1063"/>
      <c r="AD346" s="1063"/>
      <c r="AE346" s="1063"/>
      <c r="AF346" s="1063"/>
      <c r="AG346" s="1063"/>
      <c r="AH346" s="1063"/>
      <c r="AI346" s="1063"/>
      <c r="AJ346" s="1063"/>
      <c r="AK346" s="1063"/>
      <c r="AL346" s="1063"/>
      <c r="AM346" s="1063"/>
      <c r="AN346" s="1063"/>
      <c r="AO346" s="1063"/>
      <c r="AP346" s="1063"/>
      <c r="AQ346" s="1063"/>
      <c r="AR346" s="1063"/>
      <c r="AS346" s="1063"/>
      <c r="AT346" s="1063"/>
      <c r="AU346" s="1063"/>
      <c r="AV346" s="1063"/>
    </row>
    <row r="347" spans="1:48" s="1108" customFormat="1" ht="27.75" customHeight="1">
      <c r="A347" s="1076"/>
      <c r="B347" s="1074"/>
      <c r="D347" s="1063"/>
      <c r="F347" s="1076"/>
      <c r="G347" s="1063"/>
      <c r="H347" s="1063"/>
      <c r="I347" s="1063"/>
      <c r="J347" s="1063"/>
      <c r="K347" s="1063"/>
      <c r="L347" s="1063"/>
      <c r="M347" s="1063"/>
      <c r="N347" s="1063"/>
      <c r="O347" s="1063"/>
      <c r="P347" s="1063"/>
      <c r="Q347" s="1063"/>
      <c r="R347" s="1063"/>
      <c r="S347" s="1063"/>
      <c r="T347" s="1063"/>
      <c r="U347" s="1063"/>
      <c r="V347" s="1063"/>
      <c r="W347" s="1063"/>
      <c r="X347" s="1063"/>
      <c r="Y347" s="1063"/>
      <c r="Z347" s="1063"/>
      <c r="AA347" s="1063"/>
      <c r="AB347" s="1063"/>
      <c r="AC347" s="1063"/>
      <c r="AD347" s="1063"/>
      <c r="AE347" s="1063"/>
      <c r="AF347" s="1063"/>
      <c r="AG347" s="1063"/>
      <c r="AH347" s="1063"/>
      <c r="AI347" s="1063"/>
      <c r="AJ347" s="1063"/>
      <c r="AK347" s="1063"/>
      <c r="AL347" s="1063"/>
      <c r="AM347" s="1063"/>
      <c r="AN347" s="1063"/>
      <c r="AO347" s="1063"/>
      <c r="AP347" s="1063"/>
      <c r="AQ347" s="1063"/>
      <c r="AR347" s="1063"/>
      <c r="AS347" s="1063"/>
      <c r="AT347" s="1063"/>
      <c r="AU347" s="1063"/>
      <c r="AV347" s="1063"/>
    </row>
    <row r="348" spans="1:48" s="1108" customFormat="1" ht="27.75" customHeight="1">
      <c r="A348" s="1076"/>
      <c r="B348" s="1074"/>
      <c r="D348" s="1063"/>
      <c r="F348" s="1076"/>
      <c r="G348" s="1063"/>
      <c r="H348" s="1063"/>
      <c r="I348" s="1063"/>
      <c r="J348" s="1063"/>
      <c r="K348" s="1063"/>
      <c r="L348" s="1063"/>
      <c r="M348" s="1063"/>
      <c r="N348" s="1063"/>
      <c r="O348" s="1063"/>
      <c r="P348" s="1063"/>
      <c r="Q348" s="1063"/>
      <c r="R348" s="1063"/>
      <c r="S348" s="1063"/>
      <c r="T348" s="1063"/>
      <c r="U348" s="1063"/>
      <c r="V348" s="1063"/>
      <c r="W348" s="1063"/>
      <c r="X348" s="1063"/>
      <c r="Y348" s="1063"/>
      <c r="Z348" s="1063"/>
      <c r="AA348" s="1063"/>
      <c r="AB348" s="1063"/>
      <c r="AC348" s="1063"/>
      <c r="AD348" s="1063"/>
      <c r="AE348" s="1063"/>
      <c r="AF348" s="1063"/>
      <c r="AG348" s="1063"/>
      <c r="AH348" s="1063"/>
      <c r="AI348" s="1063"/>
      <c r="AJ348" s="1063"/>
      <c r="AK348" s="1063"/>
      <c r="AL348" s="1063"/>
      <c r="AM348" s="1063"/>
      <c r="AN348" s="1063"/>
      <c r="AO348" s="1063"/>
      <c r="AP348" s="1063"/>
      <c r="AQ348" s="1063"/>
      <c r="AR348" s="1063"/>
      <c r="AS348" s="1063"/>
      <c r="AT348" s="1063"/>
      <c r="AU348" s="1063"/>
      <c r="AV348" s="1063"/>
    </row>
    <row r="349" spans="1:48" s="1108" customFormat="1" ht="27.75" customHeight="1">
      <c r="A349" s="1076"/>
      <c r="B349" s="1074"/>
      <c r="D349" s="1063"/>
      <c r="F349" s="1076"/>
      <c r="G349" s="1063"/>
      <c r="H349" s="1063"/>
      <c r="I349" s="1063"/>
      <c r="J349" s="1063"/>
      <c r="K349" s="1063"/>
      <c r="L349" s="1063"/>
      <c r="M349" s="1063"/>
      <c r="N349" s="1063"/>
      <c r="O349" s="1063"/>
      <c r="P349" s="1063"/>
      <c r="Q349" s="1063"/>
      <c r="R349" s="1063"/>
      <c r="S349" s="1063"/>
      <c r="T349" s="1063"/>
      <c r="U349" s="1063"/>
      <c r="V349" s="1063"/>
      <c r="W349" s="1063"/>
      <c r="X349" s="1063"/>
      <c r="Y349" s="1063"/>
      <c r="Z349" s="1063"/>
      <c r="AA349" s="1063"/>
      <c r="AB349" s="1063"/>
      <c r="AC349" s="1063"/>
      <c r="AD349" s="1063"/>
      <c r="AE349" s="1063"/>
      <c r="AF349" s="1063"/>
      <c r="AG349" s="1063"/>
      <c r="AH349" s="1063"/>
      <c r="AI349" s="1063"/>
      <c r="AJ349" s="1063"/>
      <c r="AK349" s="1063"/>
      <c r="AL349" s="1063"/>
      <c r="AM349" s="1063"/>
      <c r="AN349" s="1063"/>
      <c r="AO349" s="1063"/>
      <c r="AP349" s="1063"/>
      <c r="AQ349" s="1063"/>
      <c r="AR349" s="1063"/>
      <c r="AS349" s="1063"/>
      <c r="AT349" s="1063"/>
      <c r="AU349" s="1063"/>
      <c r="AV349" s="1063"/>
    </row>
    <row r="350" spans="1:48" s="1108" customFormat="1" ht="27.75" customHeight="1">
      <c r="A350" s="1076"/>
      <c r="B350" s="1074"/>
      <c r="D350" s="1063"/>
      <c r="F350" s="1076"/>
      <c r="G350" s="1063"/>
      <c r="H350" s="1063"/>
      <c r="I350" s="1063"/>
      <c r="J350" s="1063"/>
      <c r="K350" s="1063"/>
      <c r="L350" s="1063"/>
      <c r="M350" s="1063"/>
      <c r="N350" s="1063"/>
      <c r="O350" s="1063"/>
      <c r="P350" s="1063"/>
      <c r="Q350" s="1063"/>
      <c r="R350" s="1063"/>
      <c r="S350" s="1063"/>
      <c r="T350" s="1063"/>
      <c r="U350" s="1063"/>
      <c r="V350" s="1063"/>
      <c r="W350" s="1063"/>
      <c r="X350" s="1063"/>
      <c r="Y350" s="1063"/>
      <c r="Z350" s="1063"/>
      <c r="AA350" s="1063"/>
      <c r="AB350" s="1063"/>
      <c r="AC350" s="1063"/>
      <c r="AD350" s="1063"/>
      <c r="AE350" s="1063"/>
      <c r="AF350" s="1063"/>
      <c r="AG350" s="1063"/>
      <c r="AH350" s="1063"/>
      <c r="AI350" s="1063"/>
      <c r="AJ350" s="1063"/>
      <c r="AK350" s="1063"/>
      <c r="AL350" s="1063"/>
      <c r="AM350" s="1063"/>
      <c r="AN350" s="1063"/>
      <c r="AO350" s="1063"/>
      <c r="AP350" s="1063"/>
      <c r="AQ350" s="1063"/>
      <c r="AR350" s="1063"/>
      <c r="AS350" s="1063"/>
      <c r="AT350" s="1063"/>
      <c r="AU350" s="1063"/>
      <c r="AV350" s="1063"/>
    </row>
    <row r="351" spans="1:48" s="1108" customFormat="1" ht="27.75" customHeight="1">
      <c r="A351" s="1076"/>
      <c r="B351" s="1074"/>
      <c r="D351" s="1063"/>
      <c r="F351" s="1076"/>
      <c r="G351" s="1063"/>
      <c r="H351" s="1063"/>
      <c r="I351" s="1063"/>
      <c r="J351" s="1063"/>
      <c r="K351" s="1063"/>
      <c r="L351" s="1063"/>
      <c r="M351" s="1063"/>
      <c r="N351" s="1063"/>
      <c r="O351" s="1063"/>
      <c r="P351" s="1063"/>
      <c r="Q351" s="1063"/>
      <c r="R351" s="1063"/>
      <c r="S351" s="1063"/>
      <c r="T351" s="1063"/>
      <c r="U351" s="1063"/>
      <c r="V351" s="1063"/>
      <c r="W351" s="1063"/>
      <c r="X351" s="1063"/>
      <c r="Y351" s="1063"/>
      <c r="Z351" s="1063"/>
      <c r="AA351" s="1063"/>
      <c r="AB351" s="1063"/>
      <c r="AC351" s="1063"/>
      <c r="AD351" s="1063"/>
      <c r="AE351" s="1063"/>
      <c r="AF351" s="1063"/>
      <c r="AG351" s="1063"/>
      <c r="AH351" s="1063"/>
      <c r="AI351" s="1063"/>
      <c r="AJ351" s="1063"/>
      <c r="AK351" s="1063"/>
      <c r="AL351" s="1063"/>
      <c r="AM351" s="1063"/>
      <c r="AN351" s="1063"/>
      <c r="AO351" s="1063"/>
      <c r="AP351" s="1063"/>
      <c r="AQ351" s="1063"/>
      <c r="AR351" s="1063"/>
      <c r="AS351" s="1063"/>
      <c r="AT351" s="1063"/>
      <c r="AU351" s="1063"/>
      <c r="AV351" s="1063"/>
    </row>
    <row r="352" spans="1:48" s="1108" customFormat="1" ht="27.75" customHeight="1">
      <c r="A352" s="1076"/>
      <c r="B352" s="1074"/>
      <c r="D352" s="1063"/>
      <c r="F352" s="1076"/>
      <c r="G352" s="1063"/>
      <c r="H352" s="1063"/>
      <c r="I352" s="1063"/>
      <c r="J352" s="1063"/>
      <c r="K352" s="1063"/>
      <c r="L352" s="1063"/>
      <c r="M352" s="1063"/>
      <c r="N352" s="1063"/>
      <c r="O352" s="1063"/>
      <c r="P352" s="1063"/>
      <c r="Q352" s="1063"/>
      <c r="R352" s="1063"/>
      <c r="S352" s="1063"/>
      <c r="T352" s="1063"/>
      <c r="U352" s="1063"/>
      <c r="V352" s="1063"/>
      <c r="W352" s="1063"/>
      <c r="X352" s="1063"/>
      <c r="Y352" s="1063"/>
      <c r="Z352" s="1063"/>
      <c r="AA352" s="1063"/>
      <c r="AB352" s="1063"/>
      <c r="AC352" s="1063"/>
      <c r="AD352" s="1063"/>
      <c r="AE352" s="1063"/>
      <c r="AF352" s="1063"/>
      <c r="AG352" s="1063"/>
      <c r="AH352" s="1063"/>
      <c r="AI352" s="1063"/>
      <c r="AJ352" s="1063"/>
      <c r="AK352" s="1063"/>
      <c r="AL352" s="1063"/>
      <c r="AM352" s="1063"/>
      <c r="AN352" s="1063"/>
      <c r="AO352" s="1063"/>
      <c r="AP352" s="1063"/>
      <c r="AQ352" s="1063"/>
      <c r="AR352" s="1063"/>
      <c r="AS352" s="1063"/>
      <c r="AT352" s="1063"/>
      <c r="AU352" s="1063"/>
      <c r="AV352" s="1063"/>
    </row>
    <row r="353" spans="1:48" s="1108" customFormat="1" ht="27.75" customHeight="1">
      <c r="A353" s="1076"/>
      <c r="B353" s="1074"/>
      <c r="D353" s="1063"/>
      <c r="F353" s="1076"/>
      <c r="G353" s="1063"/>
      <c r="H353" s="1063"/>
      <c r="I353" s="1063"/>
      <c r="J353" s="1063"/>
      <c r="K353" s="1063"/>
      <c r="L353" s="1063"/>
      <c r="M353" s="1063"/>
      <c r="N353" s="1063"/>
      <c r="O353" s="1063"/>
      <c r="P353" s="1063"/>
      <c r="Q353" s="1063"/>
      <c r="R353" s="1063"/>
      <c r="S353" s="1063"/>
      <c r="T353" s="1063"/>
      <c r="U353" s="1063"/>
      <c r="V353" s="1063"/>
      <c r="W353" s="1063"/>
      <c r="X353" s="1063"/>
      <c r="Y353" s="1063"/>
      <c r="Z353" s="1063"/>
      <c r="AA353" s="1063"/>
      <c r="AB353" s="1063"/>
      <c r="AC353" s="1063"/>
      <c r="AD353" s="1063"/>
      <c r="AE353" s="1063"/>
      <c r="AF353" s="1063"/>
      <c r="AG353" s="1063"/>
      <c r="AH353" s="1063"/>
      <c r="AI353" s="1063"/>
      <c r="AJ353" s="1063"/>
      <c r="AK353" s="1063"/>
      <c r="AL353" s="1063"/>
      <c r="AM353" s="1063"/>
      <c r="AN353" s="1063"/>
      <c r="AO353" s="1063"/>
      <c r="AP353" s="1063"/>
      <c r="AQ353" s="1063"/>
      <c r="AR353" s="1063"/>
      <c r="AS353" s="1063"/>
      <c r="AT353" s="1063"/>
      <c r="AU353" s="1063"/>
      <c r="AV353" s="1063"/>
    </row>
    <row r="354" spans="1:48" s="1108" customFormat="1" ht="27.75" customHeight="1">
      <c r="A354" s="1076"/>
      <c r="B354" s="1074"/>
      <c r="D354" s="1063"/>
      <c r="F354" s="1076"/>
      <c r="G354" s="1063"/>
      <c r="H354" s="1063"/>
      <c r="I354" s="1063"/>
      <c r="J354" s="1063"/>
      <c r="K354" s="1063"/>
      <c r="L354" s="1063"/>
      <c r="M354" s="1063"/>
      <c r="N354" s="1063"/>
      <c r="O354" s="1063"/>
      <c r="P354" s="1063"/>
      <c r="Q354" s="1063"/>
      <c r="R354" s="1063"/>
      <c r="S354" s="1063"/>
      <c r="T354" s="1063"/>
      <c r="U354" s="1063"/>
      <c r="V354" s="1063"/>
      <c r="W354" s="1063"/>
      <c r="X354" s="1063"/>
      <c r="Y354" s="1063"/>
      <c r="Z354" s="1063"/>
      <c r="AA354" s="1063"/>
      <c r="AB354" s="1063"/>
      <c r="AC354" s="1063"/>
      <c r="AD354" s="1063"/>
      <c r="AE354" s="1063"/>
      <c r="AF354" s="1063"/>
      <c r="AG354" s="1063"/>
      <c r="AH354" s="1063"/>
      <c r="AI354" s="1063"/>
      <c r="AJ354" s="1063"/>
      <c r="AK354" s="1063"/>
      <c r="AL354" s="1063"/>
      <c r="AM354" s="1063"/>
      <c r="AN354" s="1063"/>
      <c r="AO354" s="1063"/>
      <c r="AP354" s="1063"/>
      <c r="AQ354" s="1063"/>
      <c r="AR354" s="1063"/>
      <c r="AS354" s="1063"/>
      <c r="AT354" s="1063"/>
      <c r="AU354" s="1063"/>
      <c r="AV354" s="1063"/>
    </row>
    <row r="355" spans="1:48" s="1108" customFormat="1" ht="27.75" customHeight="1">
      <c r="A355" s="1076"/>
      <c r="B355" s="1074"/>
      <c r="D355" s="1063"/>
      <c r="F355" s="1076"/>
      <c r="G355" s="1063"/>
      <c r="H355" s="1063"/>
      <c r="I355" s="1063"/>
      <c r="J355" s="1063"/>
      <c r="K355" s="1063"/>
      <c r="L355" s="1063"/>
      <c r="M355" s="1063"/>
      <c r="N355" s="1063"/>
      <c r="O355" s="1063"/>
      <c r="P355" s="1063"/>
      <c r="Q355" s="1063"/>
      <c r="R355" s="1063"/>
      <c r="S355" s="1063"/>
      <c r="T355" s="1063"/>
      <c r="U355" s="1063"/>
      <c r="V355" s="1063"/>
      <c r="W355" s="1063"/>
      <c r="X355" s="1063"/>
      <c r="Y355" s="1063"/>
      <c r="Z355" s="1063"/>
      <c r="AA355" s="1063"/>
      <c r="AB355" s="1063"/>
      <c r="AC355" s="1063"/>
      <c r="AD355" s="1063"/>
      <c r="AE355" s="1063"/>
      <c r="AF355" s="1063"/>
      <c r="AG355" s="1063"/>
      <c r="AH355" s="1063"/>
      <c r="AI355" s="1063"/>
      <c r="AJ355" s="1063"/>
      <c r="AK355" s="1063"/>
      <c r="AL355" s="1063"/>
      <c r="AM355" s="1063"/>
      <c r="AN355" s="1063"/>
      <c r="AO355" s="1063"/>
      <c r="AP355" s="1063"/>
      <c r="AQ355" s="1063"/>
      <c r="AR355" s="1063"/>
      <c r="AS355" s="1063"/>
      <c r="AT355" s="1063"/>
      <c r="AU355" s="1063"/>
      <c r="AV355" s="1063"/>
    </row>
    <row r="356" spans="1:48" s="1108" customFormat="1" ht="27.75" customHeight="1">
      <c r="A356" s="1076"/>
      <c r="B356" s="1074"/>
      <c r="D356" s="1063"/>
      <c r="F356" s="1076"/>
      <c r="G356" s="1063"/>
      <c r="H356" s="1063"/>
      <c r="I356" s="1063"/>
      <c r="J356" s="1063"/>
      <c r="K356" s="1063"/>
      <c r="L356" s="1063"/>
      <c r="M356" s="1063"/>
      <c r="N356" s="1063"/>
      <c r="O356" s="1063"/>
      <c r="P356" s="1063"/>
      <c r="Q356" s="1063"/>
      <c r="R356" s="1063"/>
      <c r="S356" s="1063"/>
      <c r="T356" s="1063"/>
      <c r="U356" s="1063"/>
      <c r="V356" s="1063"/>
      <c r="W356" s="1063"/>
      <c r="X356" s="1063"/>
      <c r="Y356" s="1063"/>
      <c r="Z356" s="1063"/>
      <c r="AA356" s="1063"/>
      <c r="AB356" s="1063"/>
      <c r="AC356" s="1063"/>
      <c r="AD356" s="1063"/>
      <c r="AE356" s="1063"/>
      <c r="AF356" s="1063"/>
      <c r="AG356" s="1063"/>
      <c r="AH356" s="1063"/>
      <c r="AI356" s="1063"/>
      <c r="AJ356" s="1063"/>
      <c r="AK356" s="1063"/>
      <c r="AL356" s="1063"/>
      <c r="AM356" s="1063"/>
      <c r="AN356" s="1063"/>
      <c r="AO356" s="1063"/>
      <c r="AP356" s="1063"/>
      <c r="AQ356" s="1063"/>
      <c r="AR356" s="1063"/>
      <c r="AS356" s="1063"/>
      <c r="AT356" s="1063"/>
      <c r="AU356" s="1063"/>
      <c r="AV356" s="1063"/>
    </row>
    <row r="357" spans="1:48" s="1108" customFormat="1" ht="27.75" customHeight="1">
      <c r="A357" s="1076"/>
      <c r="B357" s="1074"/>
      <c r="D357" s="1063"/>
      <c r="F357" s="1076"/>
      <c r="G357" s="1063"/>
      <c r="H357" s="1063"/>
      <c r="I357" s="1063"/>
      <c r="J357" s="1063"/>
      <c r="K357" s="1063"/>
      <c r="L357" s="1063"/>
      <c r="M357" s="1063"/>
      <c r="N357" s="1063"/>
      <c r="O357" s="1063"/>
      <c r="P357" s="1063"/>
      <c r="Q357" s="1063"/>
      <c r="R357" s="1063"/>
      <c r="S357" s="1063"/>
      <c r="T357" s="1063"/>
      <c r="U357" s="1063"/>
      <c r="V357" s="1063"/>
      <c r="W357" s="1063"/>
      <c r="X357" s="1063"/>
      <c r="Y357" s="1063"/>
      <c r="Z357" s="1063"/>
      <c r="AA357" s="1063"/>
      <c r="AB357" s="1063"/>
      <c r="AC357" s="1063"/>
      <c r="AD357" s="1063"/>
      <c r="AE357" s="1063"/>
      <c r="AF357" s="1063"/>
      <c r="AG357" s="1063"/>
      <c r="AH357" s="1063"/>
      <c r="AI357" s="1063"/>
      <c r="AJ357" s="1063"/>
      <c r="AK357" s="1063"/>
      <c r="AL357" s="1063"/>
      <c r="AM357" s="1063"/>
      <c r="AN357" s="1063"/>
      <c r="AO357" s="1063"/>
      <c r="AP357" s="1063"/>
      <c r="AQ357" s="1063"/>
      <c r="AR357" s="1063"/>
      <c r="AS357" s="1063"/>
      <c r="AT357" s="1063"/>
      <c r="AU357" s="1063"/>
      <c r="AV357" s="1063"/>
    </row>
    <row r="358" spans="1:48" s="1108" customFormat="1" ht="27.75" customHeight="1">
      <c r="A358" s="1076"/>
      <c r="B358" s="1074"/>
      <c r="D358" s="1063"/>
      <c r="F358" s="1076"/>
      <c r="G358" s="1063"/>
      <c r="H358" s="1063"/>
      <c r="I358" s="1063"/>
      <c r="J358" s="1063"/>
      <c r="K358" s="1063"/>
      <c r="L358" s="1063"/>
      <c r="M358" s="1063"/>
      <c r="N358" s="1063"/>
      <c r="O358" s="1063"/>
      <c r="P358" s="1063"/>
      <c r="Q358" s="1063"/>
      <c r="R358" s="1063"/>
      <c r="S358" s="1063"/>
      <c r="T358" s="1063"/>
      <c r="U358" s="1063"/>
      <c r="V358" s="1063"/>
      <c r="W358" s="1063"/>
      <c r="X358" s="1063"/>
      <c r="Y358" s="1063"/>
      <c r="Z358" s="1063"/>
      <c r="AA358" s="1063"/>
      <c r="AB358" s="1063"/>
      <c r="AC358" s="1063"/>
      <c r="AD358" s="1063"/>
      <c r="AE358" s="1063"/>
      <c r="AF358" s="1063"/>
      <c r="AG358" s="1063"/>
      <c r="AH358" s="1063"/>
      <c r="AI358" s="1063"/>
      <c r="AJ358" s="1063"/>
      <c r="AK358" s="1063"/>
      <c r="AL358" s="1063"/>
      <c r="AM358" s="1063"/>
      <c r="AN358" s="1063"/>
      <c r="AO358" s="1063"/>
      <c r="AP358" s="1063"/>
      <c r="AQ358" s="1063"/>
      <c r="AR358" s="1063"/>
      <c r="AS358" s="1063"/>
      <c r="AT358" s="1063"/>
      <c r="AU358" s="1063"/>
      <c r="AV358" s="1063"/>
    </row>
    <row r="359" spans="1:48" s="1108" customFormat="1" ht="27.75" customHeight="1">
      <c r="A359" s="1076"/>
      <c r="B359" s="1074"/>
      <c r="D359" s="1063"/>
      <c r="F359" s="1076"/>
      <c r="G359" s="1063"/>
      <c r="H359" s="1063"/>
      <c r="I359" s="1063"/>
      <c r="J359" s="1063"/>
      <c r="K359" s="1063"/>
      <c r="L359" s="1063"/>
      <c r="M359" s="1063"/>
      <c r="N359" s="1063"/>
      <c r="O359" s="1063"/>
      <c r="P359" s="1063"/>
      <c r="Q359" s="1063"/>
      <c r="R359" s="1063"/>
      <c r="S359" s="1063"/>
      <c r="T359" s="1063"/>
      <c r="U359" s="1063"/>
      <c r="V359" s="1063"/>
      <c r="W359" s="1063"/>
      <c r="X359" s="1063"/>
      <c r="Y359" s="1063"/>
      <c r="Z359" s="1063"/>
      <c r="AA359" s="1063"/>
      <c r="AB359" s="1063"/>
      <c r="AC359" s="1063"/>
      <c r="AD359" s="1063"/>
      <c r="AE359" s="1063"/>
      <c r="AF359" s="1063"/>
      <c r="AG359" s="1063"/>
      <c r="AH359" s="1063"/>
      <c r="AI359" s="1063"/>
      <c r="AJ359" s="1063"/>
      <c r="AK359" s="1063"/>
      <c r="AL359" s="1063"/>
      <c r="AM359" s="1063"/>
      <c r="AN359" s="1063"/>
      <c r="AO359" s="1063"/>
      <c r="AP359" s="1063"/>
      <c r="AQ359" s="1063"/>
      <c r="AR359" s="1063"/>
      <c r="AS359" s="1063"/>
      <c r="AT359" s="1063"/>
      <c r="AU359" s="1063"/>
      <c r="AV359" s="1063"/>
    </row>
    <row r="360" spans="1:48" s="1108" customFormat="1" ht="27.75" customHeight="1">
      <c r="A360" s="1076"/>
      <c r="B360" s="1074"/>
      <c r="D360" s="1063"/>
      <c r="F360" s="1076"/>
      <c r="G360" s="1063"/>
      <c r="H360" s="1063"/>
      <c r="I360" s="1063"/>
      <c r="J360" s="1063"/>
      <c r="K360" s="1063"/>
      <c r="L360" s="1063"/>
      <c r="M360" s="1063"/>
      <c r="N360" s="1063"/>
      <c r="O360" s="1063"/>
      <c r="P360" s="1063"/>
      <c r="Q360" s="1063"/>
      <c r="R360" s="1063"/>
      <c r="S360" s="1063"/>
      <c r="T360" s="1063"/>
      <c r="U360" s="1063"/>
      <c r="V360" s="1063"/>
      <c r="W360" s="1063"/>
      <c r="X360" s="1063"/>
      <c r="Y360" s="1063"/>
      <c r="Z360" s="1063"/>
      <c r="AA360" s="1063"/>
      <c r="AB360" s="1063"/>
      <c r="AC360" s="1063"/>
      <c r="AD360" s="1063"/>
      <c r="AE360" s="1063"/>
      <c r="AF360" s="1063"/>
      <c r="AG360" s="1063"/>
      <c r="AH360" s="1063"/>
      <c r="AI360" s="1063"/>
      <c r="AJ360" s="1063"/>
      <c r="AK360" s="1063"/>
      <c r="AL360" s="1063"/>
      <c r="AM360" s="1063"/>
      <c r="AN360" s="1063"/>
      <c r="AO360" s="1063"/>
      <c r="AP360" s="1063"/>
      <c r="AQ360" s="1063"/>
      <c r="AR360" s="1063"/>
      <c r="AS360" s="1063"/>
      <c r="AT360" s="1063"/>
      <c r="AU360" s="1063"/>
      <c r="AV360" s="1063"/>
    </row>
    <row r="361" spans="1:48" s="1108" customFormat="1" ht="27.75" customHeight="1">
      <c r="A361" s="1076"/>
      <c r="B361" s="1074"/>
      <c r="D361" s="1063"/>
      <c r="F361" s="1076"/>
      <c r="G361" s="1063"/>
      <c r="H361" s="1063"/>
      <c r="I361" s="1063"/>
      <c r="J361" s="1063"/>
      <c r="K361" s="1063"/>
      <c r="L361" s="1063"/>
      <c r="M361" s="1063"/>
      <c r="N361" s="1063"/>
      <c r="O361" s="1063"/>
      <c r="P361" s="1063"/>
      <c r="Q361" s="1063"/>
      <c r="R361" s="1063"/>
      <c r="S361" s="1063"/>
      <c r="T361" s="1063"/>
      <c r="U361" s="1063"/>
      <c r="V361" s="1063"/>
      <c r="W361" s="1063"/>
      <c r="X361" s="1063"/>
      <c r="Y361" s="1063"/>
      <c r="Z361" s="1063"/>
      <c r="AA361" s="1063"/>
      <c r="AB361" s="1063"/>
      <c r="AC361" s="1063"/>
      <c r="AD361" s="1063"/>
      <c r="AE361" s="1063"/>
      <c r="AF361" s="1063"/>
      <c r="AG361" s="1063"/>
      <c r="AH361" s="1063"/>
      <c r="AI361" s="1063"/>
      <c r="AJ361" s="1063"/>
      <c r="AK361" s="1063"/>
      <c r="AL361" s="1063"/>
      <c r="AM361" s="1063"/>
      <c r="AN361" s="1063"/>
      <c r="AO361" s="1063"/>
      <c r="AP361" s="1063"/>
      <c r="AQ361" s="1063"/>
      <c r="AR361" s="1063"/>
      <c r="AS361" s="1063"/>
      <c r="AT361" s="1063"/>
      <c r="AU361" s="1063"/>
      <c r="AV361" s="1063"/>
    </row>
    <row r="362" spans="1:48" s="1108" customFormat="1" ht="27.75" customHeight="1">
      <c r="A362" s="1076"/>
      <c r="B362" s="1074"/>
      <c r="D362" s="1063"/>
      <c r="F362" s="1076"/>
      <c r="G362" s="1063"/>
      <c r="H362" s="1063"/>
      <c r="I362" s="1063"/>
      <c r="J362" s="1063"/>
      <c r="K362" s="1063"/>
      <c r="L362" s="1063"/>
      <c r="M362" s="1063"/>
      <c r="N362" s="1063"/>
      <c r="O362" s="1063"/>
      <c r="P362" s="1063"/>
      <c r="Q362" s="1063"/>
      <c r="R362" s="1063"/>
      <c r="S362" s="1063"/>
      <c r="T362" s="1063"/>
      <c r="U362" s="1063"/>
      <c r="V362" s="1063"/>
      <c r="W362" s="1063"/>
      <c r="X362" s="1063"/>
      <c r="Y362" s="1063"/>
      <c r="Z362" s="1063"/>
      <c r="AA362" s="1063"/>
      <c r="AB362" s="1063"/>
      <c r="AC362" s="1063"/>
      <c r="AD362" s="1063"/>
      <c r="AE362" s="1063"/>
      <c r="AF362" s="1063"/>
      <c r="AG362" s="1063"/>
      <c r="AH362" s="1063"/>
      <c r="AI362" s="1063"/>
      <c r="AJ362" s="1063"/>
      <c r="AK362" s="1063"/>
      <c r="AL362" s="1063"/>
      <c r="AM362" s="1063"/>
      <c r="AN362" s="1063"/>
      <c r="AO362" s="1063"/>
      <c r="AP362" s="1063"/>
      <c r="AQ362" s="1063"/>
      <c r="AR362" s="1063"/>
      <c r="AS362" s="1063"/>
      <c r="AT362" s="1063"/>
      <c r="AU362" s="1063"/>
      <c r="AV362" s="1063"/>
    </row>
    <row r="363" spans="1:48" s="1108" customFormat="1" ht="27.75" customHeight="1">
      <c r="A363" s="1076"/>
      <c r="B363" s="1074"/>
      <c r="D363" s="1063"/>
      <c r="F363" s="1076"/>
      <c r="G363" s="1063"/>
      <c r="H363" s="1063"/>
      <c r="I363" s="1063"/>
      <c r="J363" s="1063"/>
      <c r="K363" s="1063"/>
      <c r="L363" s="1063"/>
      <c r="M363" s="1063"/>
      <c r="N363" s="1063"/>
      <c r="O363" s="1063"/>
      <c r="P363" s="1063"/>
      <c r="Q363" s="1063"/>
      <c r="R363" s="1063"/>
      <c r="S363" s="1063"/>
      <c r="T363" s="1063"/>
      <c r="U363" s="1063"/>
      <c r="V363" s="1063"/>
      <c r="W363" s="1063"/>
      <c r="X363" s="1063"/>
      <c r="Y363" s="1063"/>
      <c r="Z363" s="1063"/>
      <c r="AA363" s="1063"/>
      <c r="AB363" s="1063"/>
      <c r="AC363" s="1063"/>
      <c r="AD363" s="1063"/>
      <c r="AE363" s="1063"/>
      <c r="AF363" s="1063"/>
      <c r="AG363" s="1063"/>
      <c r="AH363" s="1063"/>
      <c r="AI363" s="1063"/>
      <c r="AJ363" s="1063"/>
      <c r="AK363" s="1063"/>
      <c r="AL363" s="1063"/>
      <c r="AM363" s="1063"/>
      <c r="AN363" s="1063"/>
      <c r="AO363" s="1063"/>
      <c r="AP363" s="1063"/>
      <c r="AQ363" s="1063"/>
      <c r="AR363" s="1063"/>
      <c r="AS363" s="1063"/>
      <c r="AT363" s="1063"/>
      <c r="AU363" s="1063"/>
      <c r="AV363" s="1063"/>
    </row>
    <row r="364" spans="1:48" s="1108" customFormat="1" ht="27.75" customHeight="1">
      <c r="A364" s="1076"/>
      <c r="B364" s="1074"/>
      <c r="D364" s="1063"/>
      <c r="F364" s="1076"/>
      <c r="G364" s="1063"/>
      <c r="H364" s="1063"/>
      <c r="I364" s="1063"/>
      <c r="J364" s="1063"/>
      <c r="K364" s="1063"/>
      <c r="L364" s="1063"/>
      <c r="M364" s="1063"/>
      <c r="N364" s="1063"/>
      <c r="O364" s="1063"/>
      <c r="P364" s="1063"/>
      <c r="Q364" s="1063"/>
      <c r="R364" s="1063"/>
      <c r="S364" s="1063"/>
      <c r="T364" s="1063"/>
      <c r="U364" s="1063"/>
      <c r="V364" s="1063"/>
      <c r="W364" s="1063"/>
      <c r="X364" s="1063"/>
      <c r="Y364" s="1063"/>
      <c r="Z364" s="1063"/>
      <c r="AA364" s="1063"/>
      <c r="AB364" s="1063"/>
      <c r="AC364" s="1063"/>
      <c r="AD364" s="1063"/>
      <c r="AE364" s="1063"/>
      <c r="AF364" s="1063"/>
      <c r="AG364" s="1063"/>
      <c r="AH364" s="1063"/>
      <c r="AI364" s="1063"/>
      <c r="AJ364" s="1063"/>
      <c r="AK364" s="1063"/>
      <c r="AL364" s="1063"/>
      <c r="AM364" s="1063"/>
      <c r="AN364" s="1063"/>
      <c r="AO364" s="1063"/>
      <c r="AP364" s="1063"/>
      <c r="AQ364" s="1063"/>
      <c r="AR364" s="1063"/>
      <c r="AS364" s="1063"/>
      <c r="AT364" s="1063"/>
      <c r="AU364" s="1063"/>
      <c r="AV364" s="1063"/>
    </row>
    <row r="365" spans="1:48" s="1108" customFormat="1" ht="27.75" customHeight="1">
      <c r="A365" s="1076"/>
      <c r="B365" s="1074"/>
      <c r="D365" s="1063"/>
      <c r="F365" s="1076"/>
      <c r="G365" s="1063"/>
      <c r="H365" s="1063"/>
      <c r="I365" s="1063"/>
      <c r="J365" s="1063"/>
      <c r="K365" s="1063"/>
      <c r="L365" s="1063"/>
      <c r="M365" s="1063"/>
      <c r="N365" s="1063"/>
      <c r="O365" s="1063"/>
      <c r="P365" s="1063"/>
      <c r="Q365" s="1063"/>
      <c r="R365" s="1063"/>
      <c r="S365" s="1063"/>
      <c r="T365" s="1063"/>
      <c r="U365" s="1063"/>
      <c r="V365" s="1063"/>
      <c r="W365" s="1063"/>
      <c r="X365" s="1063"/>
      <c r="Y365" s="1063"/>
      <c r="Z365" s="1063"/>
      <c r="AA365" s="1063"/>
      <c r="AB365" s="1063"/>
      <c r="AC365" s="1063"/>
      <c r="AD365" s="1063"/>
      <c r="AE365" s="1063"/>
      <c r="AF365" s="1063"/>
      <c r="AG365" s="1063"/>
      <c r="AH365" s="1063"/>
      <c r="AI365" s="1063"/>
      <c r="AJ365" s="1063"/>
      <c r="AK365" s="1063"/>
      <c r="AL365" s="1063"/>
      <c r="AM365" s="1063"/>
      <c r="AN365" s="1063"/>
      <c r="AO365" s="1063"/>
      <c r="AP365" s="1063"/>
      <c r="AQ365" s="1063"/>
      <c r="AR365" s="1063"/>
      <c r="AS365" s="1063"/>
      <c r="AT365" s="1063"/>
      <c r="AU365" s="1063"/>
      <c r="AV365" s="1063"/>
    </row>
    <row r="366" spans="1:48" s="1108" customFormat="1" ht="27.75" customHeight="1">
      <c r="A366" s="1076"/>
      <c r="B366" s="1074"/>
      <c r="D366" s="1063"/>
      <c r="F366" s="1076"/>
      <c r="G366" s="1063"/>
      <c r="H366" s="1063"/>
      <c r="I366" s="1063"/>
      <c r="J366" s="1063"/>
      <c r="K366" s="1063"/>
      <c r="L366" s="1063"/>
      <c r="M366" s="1063"/>
      <c r="N366" s="1063"/>
      <c r="O366" s="1063"/>
      <c r="P366" s="1063"/>
      <c r="Q366" s="1063"/>
      <c r="R366" s="1063"/>
      <c r="S366" s="1063"/>
      <c r="T366" s="1063"/>
      <c r="U366" s="1063"/>
      <c r="V366" s="1063"/>
      <c r="W366" s="1063"/>
      <c r="X366" s="1063"/>
      <c r="Y366" s="1063"/>
      <c r="Z366" s="1063"/>
      <c r="AA366" s="1063"/>
      <c r="AB366" s="1063"/>
      <c r="AC366" s="1063"/>
      <c r="AD366" s="1063"/>
      <c r="AE366" s="1063"/>
      <c r="AF366" s="1063"/>
      <c r="AG366" s="1063"/>
      <c r="AH366" s="1063"/>
      <c r="AI366" s="1063"/>
      <c r="AJ366" s="1063"/>
      <c r="AK366" s="1063"/>
      <c r="AL366" s="1063"/>
      <c r="AM366" s="1063"/>
      <c r="AN366" s="1063"/>
      <c r="AO366" s="1063"/>
      <c r="AP366" s="1063"/>
      <c r="AQ366" s="1063"/>
      <c r="AR366" s="1063"/>
      <c r="AS366" s="1063"/>
      <c r="AT366" s="1063"/>
      <c r="AU366" s="1063"/>
      <c r="AV366" s="1063"/>
    </row>
    <row r="367" spans="1:48" s="1108" customFormat="1" ht="27.75" customHeight="1">
      <c r="A367" s="1076"/>
      <c r="B367" s="1074"/>
      <c r="D367" s="1063"/>
      <c r="F367" s="1076"/>
      <c r="G367" s="1063"/>
      <c r="H367" s="1063"/>
      <c r="I367" s="1063"/>
      <c r="J367" s="1063"/>
      <c r="K367" s="1063"/>
      <c r="L367" s="1063"/>
      <c r="M367" s="1063"/>
      <c r="N367" s="1063"/>
      <c r="O367" s="1063"/>
      <c r="P367" s="1063"/>
      <c r="Q367" s="1063"/>
      <c r="R367" s="1063"/>
      <c r="S367" s="1063"/>
      <c r="T367" s="1063"/>
      <c r="U367" s="1063"/>
      <c r="V367" s="1063"/>
      <c r="W367" s="1063"/>
      <c r="X367" s="1063"/>
      <c r="Y367" s="1063"/>
      <c r="Z367" s="1063"/>
      <c r="AA367" s="1063"/>
      <c r="AB367" s="1063"/>
      <c r="AC367" s="1063"/>
      <c r="AD367" s="1063"/>
      <c r="AE367" s="1063"/>
      <c r="AF367" s="1063"/>
      <c r="AG367" s="1063"/>
      <c r="AH367" s="1063"/>
      <c r="AI367" s="1063"/>
      <c r="AJ367" s="1063"/>
      <c r="AK367" s="1063"/>
      <c r="AL367" s="1063"/>
      <c r="AM367" s="1063"/>
      <c r="AN367" s="1063"/>
      <c r="AO367" s="1063"/>
      <c r="AP367" s="1063"/>
      <c r="AQ367" s="1063"/>
      <c r="AR367" s="1063"/>
      <c r="AS367" s="1063"/>
      <c r="AT367" s="1063"/>
      <c r="AU367" s="1063"/>
      <c r="AV367" s="1063"/>
    </row>
    <row r="368" spans="1:48" s="1108" customFormat="1" ht="27.75" customHeight="1">
      <c r="A368" s="1076"/>
      <c r="B368" s="1074"/>
      <c r="D368" s="1063"/>
      <c r="F368" s="1076"/>
      <c r="G368" s="1063"/>
      <c r="H368" s="1063"/>
      <c r="I368" s="1063"/>
      <c r="J368" s="1063"/>
      <c r="K368" s="1063"/>
      <c r="L368" s="1063"/>
      <c r="M368" s="1063"/>
      <c r="N368" s="1063"/>
      <c r="O368" s="1063"/>
      <c r="P368" s="1063"/>
      <c r="Q368" s="1063"/>
      <c r="R368" s="1063"/>
      <c r="S368" s="1063"/>
      <c r="T368" s="1063"/>
      <c r="U368" s="1063"/>
      <c r="V368" s="1063"/>
      <c r="W368" s="1063"/>
      <c r="X368" s="1063"/>
      <c r="Y368" s="1063"/>
      <c r="Z368" s="1063"/>
      <c r="AA368" s="1063"/>
      <c r="AB368" s="1063"/>
      <c r="AC368" s="1063"/>
      <c r="AD368" s="1063"/>
      <c r="AE368" s="1063"/>
      <c r="AF368" s="1063"/>
      <c r="AG368" s="1063"/>
      <c r="AH368" s="1063"/>
      <c r="AI368" s="1063"/>
      <c r="AJ368" s="1063"/>
      <c r="AK368" s="1063"/>
      <c r="AL368" s="1063"/>
      <c r="AM368" s="1063"/>
      <c r="AN368" s="1063"/>
      <c r="AO368" s="1063"/>
      <c r="AP368" s="1063"/>
      <c r="AQ368" s="1063"/>
      <c r="AR368" s="1063"/>
      <c r="AS368" s="1063"/>
      <c r="AT368" s="1063"/>
      <c r="AU368" s="1063"/>
      <c r="AV368" s="1063"/>
    </row>
    <row r="369" spans="1:48" s="1108" customFormat="1" ht="27.75" customHeight="1">
      <c r="A369" s="1076"/>
      <c r="B369" s="1074"/>
      <c r="D369" s="1063"/>
      <c r="F369" s="1076"/>
      <c r="G369" s="1063"/>
      <c r="H369" s="1063"/>
      <c r="I369" s="1063"/>
      <c r="J369" s="1063"/>
      <c r="K369" s="1063"/>
      <c r="L369" s="1063"/>
      <c r="M369" s="1063"/>
      <c r="N369" s="1063"/>
      <c r="O369" s="1063"/>
      <c r="P369" s="1063"/>
      <c r="Q369" s="1063"/>
      <c r="R369" s="1063"/>
      <c r="S369" s="1063"/>
      <c r="T369" s="1063"/>
      <c r="U369" s="1063"/>
      <c r="V369" s="1063"/>
      <c r="W369" s="1063"/>
      <c r="X369" s="1063"/>
      <c r="Y369" s="1063"/>
      <c r="Z369" s="1063"/>
      <c r="AA369" s="1063"/>
      <c r="AB369" s="1063"/>
      <c r="AC369" s="1063"/>
      <c r="AD369" s="1063"/>
      <c r="AE369" s="1063"/>
      <c r="AF369" s="1063"/>
      <c r="AG369" s="1063"/>
      <c r="AH369" s="1063"/>
      <c r="AI369" s="1063"/>
      <c r="AJ369" s="1063"/>
      <c r="AK369" s="1063"/>
      <c r="AL369" s="1063"/>
      <c r="AM369" s="1063"/>
      <c r="AN369" s="1063"/>
      <c r="AO369" s="1063"/>
      <c r="AP369" s="1063"/>
      <c r="AQ369" s="1063"/>
      <c r="AR369" s="1063"/>
      <c r="AS369" s="1063"/>
      <c r="AT369" s="1063"/>
      <c r="AU369" s="1063"/>
      <c r="AV369" s="1063"/>
    </row>
    <row r="370" spans="1:48" s="1108" customFormat="1" ht="27.75" customHeight="1">
      <c r="A370" s="1076"/>
      <c r="B370" s="1074"/>
      <c r="D370" s="1063"/>
      <c r="F370" s="1076"/>
      <c r="G370" s="1063"/>
      <c r="H370" s="1063"/>
      <c r="I370" s="1063"/>
      <c r="J370" s="1063"/>
      <c r="K370" s="1063"/>
      <c r="L370" s="1063"/>
      <c r="M370" s="1063"/>
      <c r="N370" s="1063"/>
      <c r="O370" s="1063"/>
      <c r="P370" s="1063"/>
      <c r="Q370" s="1063"/>
      <c r="R370" s="1063"/>
      <c r="S370" s="1063"/>
      <c r="T370" s="1063"/>
      <c r="U370" s="1063"/>
      <c r="V370" s="1063"/>
      <c r="W370" s="1063"/>
      <c r="X370" s="1063"/>
      <c r="Y370" s="1063"/>
      <c r="Z370" s="1063"/>
      <c r="AA370" s="1063"/>
      <c r="AB370" s="1063"/>
      <c r="AC370" s="1063"/>
      <c r="AD370" s="1063"/>
      <c r="AE370" s="1063"/>
      <c r="AF370" s="1063"/>
      <c r="AG370" s="1063"/>
      <c r="AH370" s="1063"/>
      <c r="AI370" s="1063"/>
      <c r="AJ370" s="1063"/>
      <c r="AK370" s="1063"/>
      <c r="AL370" s="1063"/>
      <c r="AM370" s="1063"/>
      <c r="AN370" s="1063"/>
      <c r="AO370" s="1063"/>
      <c r="AP370" s="1063"/>
      <c r="AQ370" s="1063"/>
      <c r="AR370" s="1063"/>
      <c r="AS370" s="1063"/>
      <c r="AT370" s="1063"/>
      <c r="AU370" s="1063"/>
      <c r="AV370" s="1063"/>
    </row>
    <row r="371" spans="1:48" s="1108" customFormat="1" ht="27.75" customHeight="1">
      <c r="A371" s="1076"/>
      <c r="B371" s="1074"/>
      <c r="D371" s="1063"/>
      <c r="F371" s="1076"/>
      <c r="G371" s="1063"/>
      <c r="H371" s="1063"/>
      <c r="I371" s="1063"/>
      <c r="J371" s="1063"/>
      <c r="K371" s="1063"/>
      <c r="L371" s="1063"/>
      <c r="M371" s="1063"/>
      <c r="N371" s="1063"/>
      <c r="O371" s="1063"/>
      <c r="P371" s="1063"/>
      <c r="Q371" s="1063"/>
      <c r="R371" s="1063"/>
      <c r="S371" s="1063"/>
      <c r="T371" s="1063"/>
      <c r="U371" s="1063"/>
      <c r="V371" s="1063"/>
      <c r="W371" s="1063"/>
      <c r="X371" s="1063"/>
      <c r="Y371" s="1063"/>
      <c r="Z371" s="1063"/>
      <c r="AA371" s="1063"/>
      <c r="AB371" s="1063"/>
      <c r="AC371" s="1063"/>
      <c r="AD371" s="1063"/>
      <c r="AE371" s="1063"/>
      <c r="AF371" s="1063"/>
      <c r="AG371" s="1063"/>
      <c r="AH371" s="1063"/>
      <c r="AI371" s="1063"/>
      <c r="AJ371" s="1063"/>
      <c r="AK371" s="1063"/>
      <c r="AL371" s="1063"/>
      <c r="AM371" s="1063"/>
      <c r="AN371" s="1063"/>
      <c r="AO371" s="1063"/>
      <c r="AP371" s="1063"/>
      <c r="AQ371" s="1063"/>
      <c r="AR371" s="1063"/>
      <c r="AS371" s="1063"/>
      <c r="AT371" s="1063"/>
      <c r="AU371" s="1063"/>
      <c r="AV371" s="1063"/>
    </row>
    <row r="372" spans="1:48" s="1108" customFormat="1" ht="27.75" customHeight="1">
      <c r="A372" s="1076"/>
      <c r="B372" s="1074"/>
      <c r="D372" s="1063"/>
      <c r="F372" s="1076"/>
      <c r="G372" s="1063"/>
      <c r="H372" s="1063"/>
      <c r="I372" s="1063"/>
      <c r="J372" s="1063"/>
      <c r="K372" s="1063"/>
      <c r="L372" s="1063"/>
      <c r="M372" s="1063"/>
      <c r="N372" s="1063"/>
      <c r="O372" s="1063"/>
      <c r="P372" s="1063"/>
      <c r="Q372" s="1063"/>
      <c r="R372" s="1063"/>
      <c r="S372" s="1063"/>
      <c r="T372" s="1063"/>
      <c r="U372" s="1063"/>
      <c r="V372" s="1063"/>
      <c r="W372" s="1063"/>
      <c r="X372" s="1063"/>
      <c r="Y372" s="1063"/>
      <c r="Z372" s="1063"/>
      <c r="AA372" s="1063"/>
      <c r="AB372" s="1063"/>
      <c r="AC372" s="1063"/>
      <c r="AD372" s="1063"/>
      <c r="AE372" s="1063"/>
      <c r="AF372" s="1063"/>
      <c r="AG372" s="1063"/>
      <c r="AH372" s="1063"/>
      <c r="AI372" s="1063"/>
      <c r="AJ372" s="1063"/>
      <c r="AK372" s="1063"/>
      <c r="AL372" s="1063"/>
      <c r="AM372" s="1063"/>
      <c r="AN372" s="1063"/>
      <c r="AO372" s="1063"/>
      <c r="AP372" s="1063"/>
      <c r="AQ372" s="1063"/>
      <c r="AR372" s="1063"/>
      <c r="AS372" s="1063"/>
      <c r="AT372" s="1063"/>
      <c r="AU372" s="1063"/>
      <c r="AV372" s="1063"/>
    </row>
    <row r="373" spans="1:48" s="1108" customFormat="1" ht="27.75" customHeight="1">
      <c r="A373" s="1076"/>
      <c r="B373" s="1074"/>
      <c r="D373" s="1063"/>
      <c r="F373" s="1076"/>
      <c r="G373" s="1063"/>
      <c r="H373" s="1063"/>
      <c r="I373" s="1063"/>
      <c r="J373" s="1063"/>
      <c r="K373" s="1063"/>
      <c r="L373" s="1063"/>
      <c r="M373" s="1063"/>
      <c r="N373" s="1063"/>
      <c r="O373" s="1063"/>
      <c r="P373" s="1063"/>
      <c r="Q373" s="1063"/>
      <c r="R373" s="1063"/>
      <c r="S373" s="1063"/>
      <c r="T373" s="1063"/>
      <c r="U373" s="1063"/>
      <c r="V373" s="1063"/>
      <c r="W373" s="1063"/>
      <c r="X373" s="1063"/>
      <c r="Y373" s="1063"/>
      <c r="Z373" s="1063"/>
      <c r="AA373" s="1063"/>
      <c r="AB373" s="1063"/>
      <c r="AC373" s="1063"/>
      <c r="AD373" s="1063"/>
      <c r="AE373" s="1063"/>
      <c r="AF373" s="1063"/>
      <c r="AG373" s="1063"/>
      <c r="AH373" s="1063"/>
      <c r="AI373" s="1063"/>
      <c r="AJ373" s="1063"/>
      <c r="AK373" s="1063"/>
      <c r="AL373" s="1063"/>
      <c r="AM373" s="1063"/>
      <c r="AN373" s="1063"/>
      <c r="AO373" s="1063"/>
      <c r="AP373" s="1063"/>
      <c r="AQ373" s="1063"/>
      <c r="AR373" s="1063"/>
      <c r="AS373" s="1063"/>
      <c r="AT373" s="1063"/>
      <c r="AU373" s="1063"/>
      <c r="AV373" s="1063"/>
    </row>
    <row r="374" spans="1:48" s="1108" customFormat="1" ht="27.75" customHeight="1">
      <c r="A374" s="1076"/>
      <c r="B374" s="1074"/>
      <c r="D374" s="1063"/>
      <c r="F374" s="1076"/>
      <c r="G374" s="1063"/>
      <c r="H374" s="1063"/>
      <c r="I374" s="1063"/>
      <c r="J374" s="1063"/>
      <c r="K374" s="1063"/>
      <c r="L374" s="1063"/>
      <c r="M374" s="1063"/>
      <c r="N374" s="1063"/>
      <c r="O374" s="1063"/>
      <c r="P374" s="1063"/>
      <c r="Q374" s="1063"/>
      <c r="R374" s="1063"/>
      <c r="S374" s="1063"/>
      <c r="T374" s="1063"/>
      <c r="U374" s="1063"/>
      <c r="V374" s="1063"/>
      <c r="W374" s="1063"/>
      <c r="X374" s="1063"/>
      <c r="Y374" s="1063"/>
      <c r="Z374" s="1063"/>
      <c r="AA374" s="1063"/>
      <c r="AB374" s="1063"/>
      <c r="AC374" s="1063"/>
      <c r="AD374" s="1063"/>
      <c r="AE374" s="1063"/>
      <c r="AF374" s="1063"/>
      <c r="AG374" s="1063"/>
      <c r="AH374" s="1063"/>
      <c r="AI374" s="1063"/>
      <c r="AJ374" s="1063"/>
      <c r="AK374" s="1063"/>
      <c r="AL374" s="1063"/>
      <c r="AM374" s="1063"/>
      <c r="AN374" s="1063"/>
      <c r="AO374" s="1063"/>
      <c r="AP374" s="1063"/>
      <c r="AQ374" s="1063"/>
      <c r="AR374" s="1063"/>
      <c r="AS374" s="1063"/>
      <c r="AT374" s="1063"/>
      <c r="AU374" s="1063"/>
      <c r="AV374" s="1063"/>
    </row>
    <row r="375" spans="1:48" s="1108" customFormat="1" ht="27.75" customHeight="1">
      <c r="A375" s="1076"/>
      <c r="B375" s="1074"/>
      <c r="D375" s="1063"/>
      <c r="F375" s="1076"/>
      <c r="G375" s="1063"/>
      <c r="H375" s="1063"/>
      <c r="I375" s="1063"/>
      <c r="J375" s="1063"/>
      <c r="K375" s="1063"/>
      <c r="L375" s="1063"/>
      <c r="M375" s="1063"/>
      <c r="N375" s="1063"/>
      <c r="O375" s="1063"/>
      <c r="P375" s="1063"/>
      <c r="Q375" s="1063"/>
      <c r="R375" s="1063"/>
      <c r="S375" s="1063"/>
      <c r="T375" s="1063"/>
      <c r="U375" s="1063"/>
      <c r="V375" s="1063"/>
      <c r="W375" s="1063"/>
      <c r="X375" s="1063"/>
      <c r="Y375" s="1063"/>
      <c r="Z375" s="1063"/>
      <c r="AA375" s="1063"/>
      <c r="AB375" s="1063"/>
      <c r="AC375" s="1063"/>
      <c r="AD375" s="1063"/>
      <c r="AE375" s="1063"/>
      <c r="AF375" s="1063"/>
      <c r="AG375" s="1063"/>
      <c r="AH375" s="1063"/>
      <c r="AI375" s="1063"/>
      <c r="AJ375" s="1063"/>
      <c r="AK375" s="1063"/>
      <c r="AL375" s="1063"/>
      <c r="AM375" s="1063"/>
      <c r="AN375" s="1063"/>
      <c r="AO375" s="1063"/>
      <c r="AP375" s="1063"/>
      <c r="AQ375" s="1063"/>
      <c r="AR375" s="1063"/>
      <c r="AS375" s="1063"/>
      <c r="AT375" s="1063"/>
      <c r="AU375" s="1063"/>
      <c r="AV375" s="1063"/>
    </row>
    <row r="376" spans="1:48" s="1108" customFormat="1" ht="27.75" customHeight="1">
      <c r="A376" s="1076"/>
      <c r="B376" s="1074"/>
      <c r="D376" s="1063"/>
      <c r="F376" s="1076"/>
      <c r="G376" s="1063"/>
      <c r="H376" s="1063"/>
      <c r="I376" s="1063"/>
      <c r="J376" s="1063"/>
      <c r="K376" s="1063"/>
      <c r="L376" s="1063"/>
      <c r="M376" s="1063"/>
      <c r="N376" s="1063"/>
      <c r="O376" s="1063"/>
      <c r="P376" s="1063"/>
      <c r="Q376" s="1063"/>
      <c r="R376" s="1063"/>
      <c r="S376" s="1063"/>
      <c r="T376" s="1063"/>
      <c r="U376" s="1063"/>
      <c r="V376" s="1063"/>
      <c r="W376" s="1063"/>
      <c r="X376" s="1063"/>
      <c r="Y376" s="1063"/>
      <c r="Z376" s="1063"/>
      <c r="AA376" s="1063"/>
      <c r="AB376" s="1063"/>
      <c r="AC376" s="1063"/>
      <c r="AD376" s="1063"/>
      <c r="AE376" s="1063"/>
      <c r="AF376" s="1063"/>
      <c r="AG376" s="1063"/>
      <c r="AH376" s="1063"/>
      <c r="AI376" s="1063"/>
      <c r="AJ376" s="1063"/>
      <c r="AK376" s="1063"/>
      <c r="AL376" s="1063"/>
      <c r="AM376" s="1063"/>
      <c r="AN376" s="1063"/>
      <c r="AO376" s="1063"/>
      <c r="AP376" s="1063"/>
      <c r="AQ376" s="1063"/>
      <c r="AR376" s="1063"/>
      <c r="AS376" s="1063"/>
      <c r="AT376" s="1063"/>
      <c r="AU376" s="1063"/>
      <c r="AV376" s="1063"/>
    </row>
    <row r="377" spans="1:48" s="1108" customFormat="1" ht="27.75" customHeight="1">
      <c r="A377" s="1076"/>
      <c r="B377" s="1074"/>
      <c r="D377" s="1063"/>
      <c r="F377" s="1076"/>
      <c r="G377" s="1063"/>
      <c r="H377" s="1063"/>
      <c r="I377" s="1063"/>
      <c r="J377" s="1063"/>
      <c r="K377" s="1063"/>
      <c r="L377" s="1063"/>
      <c r="M377" s="1063"/>
      <c r="N377" s="1063"/>
      <c r="O377" s="1063"/>
      <c r="P377" s="1063"/>
      <c r="Q377" s="1063"/>
      <c r="R377" s="1063"/>
      <c r="S377" s="1063"/>
      <c r="T377" s="1063"/>
      <c r="U377" s="1063"/>
      <c r="V377" s="1063"/>
      <c r="W377" s="1063"/>
      <c r="X377" s="1063"/>
      <c r="Y377" s="1063"/>
      <c r="Z377" s="1063"/>
      <c r="AA377" s="1063"/>
      <c r="AB377" s="1063"/>
      <c r="AC377" s="1063"/>
      <c r="AD377" s="1063"/>
      <c r="AE377" s="1063"/>
      <c r="AF377" s="1063"/>
      <c r="AG377" s="1063"/>
      <c r="AH377" s="1063"/>
      <c r="AI377" s="1063"/>
      <c r="AJ377" s="1063"/>
      <c r="AK377" s="1063"/>
      <c r="AL377" s="1063"/>
      <c r="AM377" s="1063"/>
      <c r="AN377" s="1063"/>
      <c r="AO377" s="1063"/>
      <c r="AP377" s="1063"/>
      <c r="AQ377" s="1063"/>
      <c r="AR377" s="1063"/>
      <c r="AS377" s="1063"/>
      <c r="AT377" s="1063"/>
      <c r="AU377" s="1063"/>
      <c r="AV377" s="1063"/>
    </row>
    <row r="378" spans="1:48" s="1108" customFormat="1" ht="27.75" customHeight="1">
      <c r="A378" s="1076"/>
      <c r="B378" s="1074"/>
      <c r="D378" s="1063"/>
      <c r="F378" s="1076"/>
      <c r="G378" s="1063"/>
      <c r="H378" s="1063"/>
      <c r="I378" s="1063"/>
      <c r="J378" s="1063"/>
      <c r="K378" s="1063"/>
      <c r="L378" s="1063"/>
      <c r="M378" s="1063"/>
      <c r="N378" s="1063"/>
      <c r="O378" s="1063"/>
      <c r="P378" s="1063"/>
      <c r="Q378" s="1063"/>
      <c r="R378" s="1063"/>
      <c r="S378" s="1063"/>
      <c r="T378" s="1063"/>
      <c r="U378" s="1063"/>
      <c r="V378" s="1063"/>
      <c r="W378" s="1063"/>
      <c r="X378" s="1063"/>
      <c r="Y378" s="1063"/>
      <c r="Z378" s="1063"/>
      <c r="AA378" s="1063"/>
      <c r="AB378" s="1063"/>
      <c r="AC378" s="1063"/>
      <c r="AD378" s="1063"/>
      <c r="AE378" s="1063"/>
      <c r="AF378" s="1063"/>
      <c r="AG378" s="1063"/>
      <c r="AH378" s="1063"/>
      <c r="AI378" s="1063"/>
      <c r="AJ378" s="1063"/>
      <c r="AK378" s="1063"/>
      <c r="AL378" s="1063"/>
      <c r="AM378" s="1063"/>
      <c r="AN378" s="1063"/>
      <c r="AO378" s="1063"/>
      <c r="AP378" s="1063"/>
      <c r="AQ378" s="1063"/>
      <c r="AR378" s="1063"/>
      <c r="AS378" s="1063"/>
      <c r="AT378" s="1063"/>
      <c r="AU378" s="1063"/>
      <c r="AV378" s="1063"/>
    </row>
    <row r="379" spans="1:48" s="1108" customFormat="1" ht="27.75" customHeight="1">
      <c r="A379" s="1076"/>
      <c r="B379" s="1074"/>
      <c r="D379" s="1063"/>
      <c r="F379" s="1076"/>
      <c r="G379" s="1063"/>
      <c r="H379" s="1063"/>
      <c r="I379" s="1063"/>
      <c r="J379" s="1063"/>
      <c r="K379" s="1063"/>
      <c r="L379" s="1063"/>
      <c r="M379" s="1063"/>
      <c r="N379" s="1063"/>
      <c r="O379" s="1063"/>
      <c r="P379" s="1063"/>
      <c r="Q379" s="1063"/>
      <c r="R379" s="1063"/>
      <c r="S379" s="1063"/>
      <c r="T379" s="1063"/>
      <c r="U379" s="1063"/>
      <c r="V379" s="1063"/>
      <c r="W379" s="1063"/>
      <c r="X379" s="1063"/>
      <c r="Y379" s="1063"/>
      <c r="Z379" s="1063"/>
      <c r="AA379" s="1063"/>
      <c r="AB379" s="1063"/>
      <c r="AC379" s="1063"/>
      <c r="AD379" s="1063"/>
      <c r="AE379" s="1063"/>
      <c r="AF379" s="1063"/>
      <c r="AG379" s="1063"/>
      <c r="AH379" s="1063"/>
      <c r="AI379" s="1063"/>
      <c r="AJ379" s="1063"/>
      <c r="AK379" s="1063"/>
      <c r="AL379" s="1063"/>
      <c r="AM379" s="1063"/>
      <c r="AN379" s="1063"/>
      <c r="AO379" s="1063"/>
      <c r="AP379" s="1063"/>
      <c r="AQ379" s="1063"/>
      <c r="AR379" s="1063"/>
      <c r="AS379" s="1063"/>
      <c r="AT379" s="1063"/>
      <c r="AU379" s="1063"/>
      <c r="AV379" s="1063"/>
    </row>
    <row r="380" spans="1:48" s="1108" customFormat="1" ht="27.75" customHeight="1">
      <c r="A380" s="1076"/>
      <c r="B380" s="1074"/>
      <c r="D380" s="1063"/>
      <c r="F380" s="1076"/>
      <c r="G380" s="1063"/>
      <c r="H380" s="1063"/>
      <c r="I380" s="1063"/>
      <c r="J380" s="1063"/>
      <c r="K380" s="1063"/>
      <c r="L380" s="1063"/>
      <c r="M380" s="1063"/>
      <c r="N380" s="1063"/>
      <c r="O380" s="1063"/>
      <c r="P380" s="1063"/>
      <c r="Q380" s="1063"/>
      <c r="R380" s="1063"/>
      <c r="S380" s="1063"/>
      <c r="T380" s="1063"/>
      <c r="U380" s="1063"/>
      <c r="V380" s="1063"/>
      <c r="W380" s="1063"/>
      <c r="X380" s="1063"/>
      <c r="Y380" s="1063"/>
      <c r="Z380" s="1063"/>
      <c r="AA380" s="1063"/>
      <c r="AB380" s="1063"/>
      <c r="AC380" s="1063"/>
      <c r="AD380" s="1063"/>
      <c r="AE380" s="1063"/>
      <c r="AF380" s="1063"/>
      <c r="AG380" s="1063"/>
      <c r="AH380" s="1063"/>
      <c r="AI380" s="1063"/>
      <c r="AJ380" s="1063"/>
      <c r="AK380" s="1063"/>
      <c r="AL380" s="1063"/>
      <c r="AM380" s="1063"/>
      <c r="AN380" s="1063"/>
      <c r="AO380" s="1063"/>
      <c r="AP380" s="1063"/>
      <c r="AQ380" s="1063"/>
      <c r="AR380" s="1063"/>
      <c r="AS380" s="1063"/>
      <c r="AT380" s="1063"/>
      <c r="AU380" s="1063"/>
      <c r="AV380" s="1063"/>
    </row>
    <row r="381" spans="1:48" s="1108" customFormat="1" ht="27.75" customHeight="1">
      <c r="A381" s="1076"/>
      <c r="B381" s="1074"/>
      <c r="D381" s="1063"/>
      <c r="F381" s="1076"/>
      <c r="G381" s="1063"/>
      <c r="H381" s="1063"/>
      <c r="I381" s="1063"/>
      <c r="J381" s="1063"/>
      <c r="K381" s="1063"/>
      <c r="L381" s="1063"/>
      <c r="M381" s="1063"/>
      <c r="N381" s="1063"/>
      <c r="O381" s="1063"/>
      <c r="P381" s="1063"/>
      <c r="Q381" s="1063"/>
      <c r="R381" s="1063"/>
      <c r="S381" s="1063"/>
      <c r="T381" s="1063"/>
      <c r="U381" s="1063"/>
      <c r="V381" s="1063"/>
      <c r="W381" s="1063"/>
      <c r="X381" s="1063"/>
      <c r="Y381" s="1063"/>
      <c r="Z381" s="1063"/>
      <c r="AA381" s="1063"/>
      <c r="AB381" s="1063"/>
      <c r="AC381" s="1063"/>
      <c r="AD381" s="1063"/>
      <c r="AE381" s="1063"/>
      <c r="AF381" s="1063"/>
      <c r="AG381" s="1063"/>
      <c r="AH381" s="1063"/>
      <c r="AI381" s="1063"/>
      <c r="AJ381" s="1063"/>
      <c r="AK381" s="1063"/>
      <c r="AL381" s="1063"/>
      <c r="AM381" s="1063"/>
      <c r="AN381" s="1063"/>
      <c r="AO381" s="1063"/>
      <c r="AP381" s="1063"/>
      <c r="AQ381" s="1063"/>
      <c r="AR381" s="1063"/>
      <c r="AS381" s="1063"/>
      <c r="AT381" s="1063"/>
      <c r="AU381" s="1063"/>
      <c r="AV381" s="1063"/>
    </row>
    <row r="382" spans="1:48" s="1108" customFormat="1" ht="27.75" customHeight="1">
      <c r="A382" s="1076"/>
      <c r="B382" s="1074"/>
      <c r="D382" s="1063"/>
      <c r="F382" s="1076"/>
      <c r="G382" s="1063"/>
      <c r="H382" s="1063"/>
      <c r="I382" s="1063"/>
      <c r="J382" s="1063"/>
      <c r="K382" s="1063"/>
      <c r="L382" s="1063"/>
      <c r="M382" s="1063"/>
      <c r="N382" s="1063"/>
      <c r="O382" s="1063"/>
      <c r="P382" s="1063"/>
      <c r="Q382" s="1063"/>
      <c r="R382" s="1063"/>
      <c r="S382" s="1063"/>
      <c r="T382" s="1063"/>
      <c r="U382" s="1063"/>
      <c r="V382" s="1063"/>
      <c r="W382" s="1063"/>
      <c r="X382" s="1063"/>
      <c r="Y382" s="1063"/>
      <c r="Z382" s="1063"/>
      <c r="AA382" s="1063"/>
      <c r="AB382" s="1063"/>
      <c r="AC382" s="1063"/>
      <c r="AD382" s="1063"/>
      <c r="AE382" s="1063"/>
      <c r="AF382" s="1063"/>
      <c r="AG382" s="1063"/>
      <c r="AH382" s="1063"/>
      <c r="AI382" s="1063"/>
      <c r="AJ382" s="1063"/>
      <c r="AK382" s="1063"/>
      <c r="AL382" s="1063"/>
      <c r="AM382" s="1063"/>
      <c r="AN382" s="1063"/>
      <c r="AO382" s="1063"/>
      <c r="AP382" s="1063"/>
      <c r="AQ382" s="1063"/>
      <c r="AR382" s="1063"/>
      <c r="AS382" s="1063"/>
      <c r="AT382" s="1063"/>
      <c r="AU382" s="1063"/>
      <c r="AV382" s="1063"/>
    </row>
    <row r="383" spans="1:48" s="1108" customFormat="1" ht="27.75" customHeight="1">
      <c r="A383" s="1076"/>
      <c r="B383" s="1074"/>
      <c r="D383" s="1063"/>
      <c r="F383" s="1076"/>
      <c r="G383" s="1063"/>
      <c r="H383" s="1063"/>
      <c r="I383" s="1063"/>
      <c r="J383" s="1063"/>
      <c r="K383" s="1063"/>
      <c r="L383" s="1063"/>
      <c r="M383" s="1063"/>
      <c r="N383" s="1063"/>
      <c r="O383" s="1063"/>
      <c r="P383" s="1063"/>
      <c r="Q383" s="1063"/>
      <c r="R383" s="1063"/>
      <c r="S383" s="1063"/>
      <c r="T383" s="1063"/>
      <c r="U383" s="1063"/>
      <c r="V383" s="1063"/>
      <c r="W383" s="1063"/>
      <c r="X383" s="1063"/>
      <c r="Y383" s="1063"/>
      <c r="Z383" s="1063"/>
      <c r="AA383" s="1063"/>
      <c r="AB383" s="1063"/>
      <c r="AC383" s="1063"/>
      <c r="AD383" s="1063"/>
      <c r="AE383" s="1063"/>
      <c r="AF383" s="1063"/>
      <c r="AG383" s="1063"/>
      <c r="AH383" s="1063"/>
      <c r="AI383" s="1063"/>
      <c r="AJ383" s="1063"/>
      <c r="AK383" s="1063"/>
      <c r="AL383" s="1063"/>
      <c r="AM383" s="1063"/>
      <c r="AN383" s="1063"/>
      <c r="AO383" s="1063"/>
      <c r="AP383" s="1063"/>
      <c r="AQ383" s="1063"/>
      <c r="AR383" s="1063"/>
      <c r="AS383" s="1063"/>
      <c r="AT383" s="1063"/>
      <c r="AU383" s="1063"/>
      <c r="AV383" s="1063"/>
    </row>
    <row r="384" spans="1:48" s="1108" customFormat="1" ht="27.75" customHeight="1">
      <c r="A384" s="1076"/>
      <c r="B384" s="1074"/>
      <c r="D384" s="1063"/>
      <c r="F384" s="1076"/>
      <c r="G384" s="1063"/>
      <c r="H384" s="1063"/>
      <c r="I384" s="1063"/>
      <c r="J384" s="1063"/>
      <c r="K384" s="1063"/>
      <c r="L384" s="1063"/>
      <c r="M384" s="1063"/>
      <c r="N384" s="1063"/>
      <c r="O384" s="1063"/>
      <c r="P384" s="1063"/>
      <c r="Q384" s="1063"/>
      <c r="R384" s="1063"/>
      <c r="S384" s="1063"/>
      <c r="T384" s="1063"/>
      <c r="U384" s="1063"/>
      <c r="V384" s="1063"/>
      <c r="W384" s="1063"/>
      <c r="X384" s="1063"/>
      <c r="Y384" s="1063"/>
      <c r="Z384" s="1063"/>
      <c r="AA384" s="1063"/>
      <c r="AB384" s="1063"/>
      <c r="AC384" s="1063"/>
      <c r="AD384" s="1063"/>
      <c r="AE384" s="1063"/>
      <c r="AF384" s="1063"/>
      <c r="AG384" s="1063"/>
      <c r="AH384" s="1063"/>
      <c r="AI384" s="1063"/>
      <c r="AJ384" s="1063"/>
      <c r="AK384" s="1063"/>
      <c r="AL384" s="1063"/>
      <c r="AM384" s="1063"/>
      <c r="AN384" s="1063"/>
      <c r="AO384" s="1063"/>
      <c r="AP384" s="1063"/>
      <c r="AQ384" s="1063"/>
      <c r="AR384" s="1063"/>
      <c r="AS384" s="1063"/>
      <c r="AT384" s="1063"/>
      <c r="AU384" s="1063"/>
      <c r="AV384" s="1063"/>
    </row>
    <row r="385" spans="1:48" s="1108" customFormat="1" ht="27.75" customHeight="1">
      <c r="A385" s="1076"/>
      <c r="B385" s="1074"/>
      <c r="D385" s="1063"/>
      <c r="F385" s="1076"/>
      <c r="G385" s="1063"/>
      <c r="H385" s="1063"/>
      <c r="I385" s="1063"/>
      <c r="J385" s="1063"/>
      <c r="K385" s="1063"/>
      <c r="L385" s="1063"/>
      <c r="M385" s="1063"/>
      <c r="N385" s="1063"/>
      <c r="O385" s="1063"/>
      <c r="P385" s="1063"/>
      <c r="Q385" s="1063"/>
      <c r="R385" s="1063"/>
      <c r="S385" s="1063"/>
      <c r="T385" s="1063"/>
      <c r="U385" s="1063"/>
      <c r="V385" s="1063"/>
      <c r="W385" s="1063"/>
      <c r="X385" s="1063"/>
      <c r="Y385" s="1063"/>
      <c r="Z385" s="1063"/>
      <c r="AA385" s="1063"/>
      <c r="AB385" s="1063"/>
      <c r="AC385" s="1063"/>
      <c r="AD385" s="1063"/>
      <c r="AE385" s="1063"/>
      <c r="AF385" s="1063"/>
      <c r="AG385" s="1063"/>
      <c r="AH385" s="1063"/>
      <c r="AI385" s="1063"/>
      <c r="AJ385" s="1063"/>
      <c r="AK385" s="1063"/>
      <c r="AL385" s="1063"/>
      <c r="AM385" s="1063"/>
      <c r="AN385" s="1063"/>
      <c r="AO385" s="1063"/>
      <c r="AP385" s="1063"/>
      <c r="AQ385" s="1063"/>
      <c r="AR385" s="1063"/>
      <c r="AS385" s="1063"/>
      <c r="AT385" s="1063"/>
      <c r="AU385" s="1063"/>
      <c r="AV385" s="1063"/>
    </row>
    <row r="386" spans="1:48" s="1108" customFormat="1" ht="27.75" customHeight="1">
      <c r="A386" s="1076"/>
      <c r="B386" s="1074"/>
      <c r="D386" s="1063"/>
      <c r="F386" s="1076"/>
      <c r="G386" s="1063"/>
      <c r="H386" s="1063"/>
      <c r="I386" s="1063"/>
      <c r="J386" s="1063"/>
      <c r="K386" s="1063"/>
      <c r="L386" s="1063"/>
      <c r="M386" s="1063"/>
      <c r="N386" s="1063"/>
      <c r="O386" s="1063"/>
      <c r="P386" s="1063"/>
      <c r="Q386" s="1063"/>
      <c r="R386" s="1063"/>
      <c r="S386" s="1063"/>
      <c r="T386" s="1063"/>
      <c r="U386" s="1063"/>
      <c r="V386" s="1063"/>
      <c r="W386" s="1063"/>
      <c r="X386" s="1063"/>
      <c r="Y386" s="1063"/>
      <c r="Z386" s="1063"/>
      <c r="AA386" s="1063"/>
      <c r="AB386" s="1063"/>
      <c r="AC386" s="1063"/>
      <c r="AD386" s="1063"/>
      <c r="AE386" s="1063"/>
      <c r="AF386" s="1063"/>
      <c r="AG386" s="1063"/>
      <c r="AH386" s="1063"/>
      <c r="AI386" s="1063"/>
      <c r="AJ386" s="1063"/>
      <c r="AK386" s="1063"/>
      <c r="AL386" s="1063"/>
      <c r="AM386" s="1063"/>
      <c r="AN386" s="1063"/>
      <c r="AO386" s="1063"/>
      <c r="AP386" s="1063"/>
      <c r="AQ386" s="1063"/>
      <c r="AR386" s="1063"/>
      <c r="AS386" s="1063"/>
      <c r="AT386" s="1063"/>
      <c r="AU386" s="1063"/>
      <c r="AV386" s="1063"/>
    </row>
    <row r="387" spans="1:48" s="1108" customFormat="1" ht="27.75" customHeight="1">
      <c r="A387" s="1076"/>
      <c r="B387" s="1074"/>
      <c r="D387" s="1063"/>
      <c r="F387" s="1076"/>
      <c r="G387" s="1063"/>
      <c r="H387" s="1063"/>
      <c r="I387" s="1063"/>
      <c r="J387" s="1063"/>
      <c r="K387" s="1063"/>
      <c r="L387" s="1063"/>
      <c r="M387" s="1063"/>
      <c r="N387" s="1063"/>
      <c r="O387" s="1063"/>
      <c r="P387" s="1063"/>
      <c r="Q387" s="1063"/>
      <c r="R387" s="1063"/>
      <c r="S387" s="1063"/>
      <c r="T387" s="1063"/>
      <c r="U387" s="1063"/>
      <c r="V387" s="1063"/>
      <c r="W387" s="1063"/>
      <c r="X387" s="1063"/>
      <c r="Y387" s="1063"/>
      <c r="Z387" s="1063"/>
      <c r="AA387" s="1063"/>
      <c r="AB387" s="1063"/>
      <c r="AC387" s="1063"/>
      <c r="AD387" s="1063"/>
      <c r="AE387" s="1063"/>
      <c r="AF387" s="1063"/>
      <c r="AG387" s="1063"/>
      <c r="AH387" s="1063"/>
      <c r="AI387" s="1063"/>
      <c r="AJ387" s="1063"/>
      <c r="AK387" s="1063"/>
      <c r="AL387" s="1063"/>
      <c r="AM387" s="1063"/>
      <c r="AN387" s="1063"/>
      <c r="AO387" s="1063"/>
      <c r="AP387" s="1063"/>
      <c r="AQ387" s="1063"/>
      <c r="AR387" s="1063"/>
      <c r="AS387" s="1063"/>
      <c r="AT387" s="1063"/>
      <c r="AU387" s="1063"/>
      <c r="AV387" s="1063"/>
    </row>
    <row r="388" spans="1:48" s="1108" customFormat="1" ht="27.75" customHeight="1">
      <c r="A388" s="1076"/>
      <c r="B388" s="1074"/>
      <c r="D388" s="1063"/>
      <c r="F388" s="1076"/>
      <c r="G388" s="1063"/>
      <c r="H388" s="1063"/>
      <c r="I388" s="1063"/>
      <c r="J388" s="1063"/>
      <c r="K388" s="1063"/>
      <c r="L388" s="1063"/>
      <c r="M388" s="1063"/>
      <c r="N388" s="1063"/>
      <c r="O388" s="1063"/>
      <c r="P388" s="1063"/>
      <c r="Q388" s="1063"/>
      <c r="R388" s="1063"/>
      <c r="S388" s="1063"/>
      <c r="T388" s="1063"/>
      <c r="U388" s="1063"/>
      <c r="V388" s="1063"/>
      <c r="W388" s="1063"/>
      <c r="X388" s="1063"/>
      <c r="Y388" s="1063"/>
      <c r="Z388" s="1063"/>
      <c r="AA388" s="1063"/>
      <c r="AB388" s="1063"/>
      <c r="AC388" s="1063"/>
      <c r="AD388" s="1063"/>
      <c r="AE388" s="1063"/>
      <c r="AF388" s="1063"/>
      <c r="AG388" s="1063"/>
      <c r="AH388" s="1063"/>
      <c r="AI388" s="1063"/>
      <c r="AJ388" s="1063"/>
      <c r="AK388" s="1063"/>
      <c r="AL388" s="1063"/>
      <c r="AM388" s="1063"/>
      <c r="AN388" s="1063"/>
      <c r="AO388" s="1063"/>
      <c r="AP388" s="1063"/>
      <c r="AQ388" s="1063"/>
      <c r="AR388" s="1063"/>
      <c r="AS388" s="1063"/>
      <c r="AT388" s="1063"/>
      <c r="AU388" s="1063"/>
      <c r="AV388" s="1063"/>
    </row>
    <row r="389" spans="1:48" s="1108" customFormat="1" ht="27.75" customHeight="1">
      <c r="A389" s="1076"/>
      <c r="B389" s="1074"/>
      <c r="D389" s="1063"/>
      <c r="F389" s="1076"/>
      <c r="G389" s="1063"/>
      <c r="H389" s="1063"/>
      <c r="I389" s="1063"/>
      <c r="J389" s="1063"/>
      <c r="K389" s="1063"/>
      <c r="L389" s="1063"/>
      <c r="M389" s="1063"/>
      <c r="N389" s="1063"/>
      <c r="O389" s="1063"/>
      <c r="P389" s="1063"/>
      <c r="Q389" s="1063"/>
      <c r="R389" s="1063"/>
      <c r="S389" s="1063"/>
      <c r="T389" s="1063"/>
      <c r="U389" s="1063"/>
      <c r="V389" s="1063"/>
      <c r="W389" s="1063"/>
      <c r="X389" s="1063"/>
      <c r="Y389" s="1063"/>
      <c r="Z389" s="1063"/>
      <c r="AA389" s="1063"/>
      <c r="AB389" s="1063"/>
      <c r="AC389" s="1063"/>
      <c r="AD389" s="1063"/>
      <c r="AE389" s="1063"/>
      <c r="AF389" s="1063"/>
      <c r="AG389" s="1063"/>
      <c r="AH389" s="1063"/>
      <c r="AI389" s="1063"/>
      <c r="AJ389" s="1063"/>
      <c r="AK389" s="1063"/>
      <c r="AL389" s="1063"/>
      <c r="AM389" s="1063"/>
      <c r="AN389" s="1063"/>
      <c r="AO389" s="1063"/>
      <c r="AP389" s="1063"/>
      <c r="AQ389" s="1063"/>
      <c r="AR389" s="1063"/>
      <c r="AS389" s="1063"/>
      <c r="AT389" s="1063"/>
      <c r="AU389" s="1063"/>
      <c r="AV389" s="1063"/>
    </row>
    <row r="390" spans="1:48" s="1108" customFormat="1" ht="27.75" customHeight="1">
      <c r="A390" s="1076"/>
      <c r="B390" s="1074"/>
      <c r="D390" s="1063"/>
      <c r="F390" s="1076"/>
      <c r="G390" s="1063"/>
      <c r="H390" s="1063"/>
      <c r="I390" s="1063"/>
      <c r="J390" s="1063"/>
      <c r="K390" s="1063"/>
      <c r="L390" s="1063"/>
      <c r="M390" s="1063"/>
      <c r="N390" s="1063"/>
      <c r="O390" s="1063"/>
      <c r="P390" s="1063"/>
      <c r="Q390" s="1063"/>
      <c r="R390" s="1063"/>
      <c r="S390" s="1063"/>
      <c r="T390" s="1063"/>
      <c r="U390" s="1063"/>
      <c r="V390" s="1063"/>
      <c r="W390" s="1063"/>
      <c r="X390" s="1063"/>
      <c r="Y390" s="1063"/>
      <c r="Z390" s="1063"/>
      <c r="AA390" s="1063"/>
      <c r="AB390" s="1063"/>
      <c r="AC390" s="1063"/>
      <c r="AD390" s="1063"/>
      <c r="AE390" s="1063"/>
      <c r="AF390" s="1063"/>
      <c r="AG390" s="1063"/>
      <c r="AH390" s="1063"/>
      <c r="AI390" s="1063"/>
      <c r="AJ390" s="1063"/>
      <c r="AK390" s="1063"/>
      <c r="AL390" s="1063"/>
      <c r="AM390" s="1063"/>
      <c r="AN390" s="1063"/>
      <c r="AO390" s="1063"/>
      <c r="AP390" s="1063"/>
      <c r="AQ390" s="1063"/>
      <c r="AR390" s="1063"/>
      <c r="AS390" s="1063"/>
      <c r="AT390" s="1063"/>
      <c r="AU390" s="1063"/>
      <c r="AV390" s="1063"/>
    </row>
    <row r="391" spans="1:48" s="1108" customFormat="1" ht="27.75" customHeight="1">
      <c r="A391" s="1076"/>
      <c r="B391" s="1074"/>
      <c r="D391" s="1063"/>
      <c r="F391" s="1076"/>
      <c r="G391" s="1063"/>
      <c r="H391" s="1063"/>
      <c r="I391" s="1063"/>
      <c r="J391" s="1063"/>
      <c r="K391" s="1063"/>
      <c r="L391" s="1063"/>
      <c r="M391" s="1063"/>
      <c r="N391" s="1063"/>
      <c r="O391" s="1063"/>
      <c r="P391" s="1063"/>
      <c r="Q391" s="1063"/>
      <c r="R391" s="1063"/>
      <c r="S391" s="1063"/>
      <c r="T391" s="1063"/>
      <c r="U391" s="1063"/>
      <c r="V391" s="1063"/>
      <c r="W391" s="1063"/>
      <c r="X391" s="1063"/>
      <c r="Y391" s="1063"/>
      <c r="Z391" s="1063"/>
      <c r="AA391" s="1063"/>
      <c r="AB391" s="1063"/>
      <c r="AC391" s="1063"/>
      <c r="AD391" s="1063"/>
      <c r="AE391" s="1063"/>
      <c r="AF391" s="1063"/>
      <c r="AG391" s="1063"/>
      <c r="AH391" s="1063"/>
      <c r="AI391" s="1063"/>
      <c r="AJ391" s="1063"/>
      <c r="AK391" s="1063"/>
      <c r="AL391" s="1063"/>
      <c r="AM391" s="1063"/>
      <c r="AN391" s="1063"/>
      <c r="AO391" s="1063"/>
      <c r="AP391" s="1063"/>
      <c r="AQ391" s="1063"/>
      <c r="AR391" s="1063"/>
      <c r="AS391" s="1063"/>
      <c r="AT391" s="1063"/>
      <c r="AU391" s="1063"/>
      <c r="AV391" s="1063"/>
    </row>
    <row r="392" spans="1:48" s="1108" customFormat="1" ht="27.75" customHeight="1">
      <c r="A392" s="1076"/>
      <c r="B392" s="1074"/>
      <c r="D392" s="1063"/>
      <c r="F392" s="1076"/>
      <c r="G392" s="1063"/>
      <c r="H392" s="1063"/>
      <c r="I392" s="1063"/>
      <c r="J392" s="1063"/>
      <c r="K392" s="1063"/>
      <c r="L392" s="1063"/>
      <c r="M392" s="1063"/>
      <c r="N392" s="1063"/>
      <c r="O392" s="1063"/>
      <c r="P392" s="1063"/>
      <c r="Q392" s="1063"/>
      <c r="R392" s="1063"/>
      <c r="S392" s="1063"/>
      <c r="T392" s="1063"/>
      <c r="U392" s="1063"/>
      <c r="V392" s="1063"/>
      <c r="W392" s="1063"/>
      <c r="X392" s="1063"/>
      <c r="Y392" s="1063"/>
      <c r="Z392" s="1063"/>
      <c r="AA392" s="1063"/>
      <c r="AB392" s="1063"/>
      <c r="AC392" s="1063"/>
      <c r="AD392" s="1063"/>
      <c r="AE392" s="1063"/>
      <c r="AF392" s="1063"/>
      <c r="AG392" s="1063"/>
      <c r="AH392" s="1063"/>
      <c r="AI392" s="1063"/>
      <c r="AJ392" s="1063"/>
      <c r="AK392" s="1063"/>
      <c r="AL392" s="1063"/>
      <c r="AM392" s="1063"/>
      <c r="AN392" s="1063"/>
      <c r="AO392" s="1063"/>
      <c r="AP392" s="1063"/>
      <c r="AQ392" s="1063"/>
      <c r="AR392" s="1063"/>
      <c r="AS392" s="1063"/>
      <c r="AT392" s="1063"/>
      <c r="AU392" s="1063"/>
      <c r="AV392" s="1063"/>
    </row>
    <row r="393" spans="1:48" s="1108" customFormat="1" ht="27.75" customHeight="1">
      <c r="A393" s="1076"/>
      <c r="B393" s="1074"/>
      <c r="D393" s="1063"/>
      <c r="F393" s="1076"/>
      <c r="G393" s="1063"/>
      <c r="H393" s="1063"/>
      <c r="I393" s="1063"/>
      <c r="J393" s="1063"/>
      <c r="K393" s="1063"/>
      <c r="L393" s="1063"/>
      <c r="M393" s="1063"/>
      <c r="N393" s="1063"/>
      <c r="O393" s="1063"/>
      <c r="P393" s="1063"/>
      <c r="Q393" s="1063"/>
      <c r="R393" s="1063"/>
      <c r="S393" s="1063"/>
      <c r="T393" s="1063"/>
      <c r="U393" s="1063"/>
      <c r="V393" s="1063"/>
      <c r="W393" s="1063"/>
      <c r="X393" s="1063"/>
      <c r="Y393" s="1063"/>
      <c r="Z393" s="1063"/>
      <c r="AA393" s="1063"/>
      <c r="AB393" s="1063"/>
      <c r="AC393" s="1063"/>
      <c r="AD393" s="1063"/>
      <c r="AE393" s="1063"/>
      <c r="AF393" s="1063"/>
      <c r="AG393" s="1063"/>
      <c r="AH393" s="1063"/>
      <c r="AI393" s="1063"/>
      <c r="AJ393" s="1063"/>
      <c r="AK393" s="1063"/>
      <c r="AL393" s="1063"/>
      <c r="AM393" s="1063"/>
      <c r="AN393" s="1063"/>
      <c r="AO393" s="1063"/>
      <c r="AP393" s="1063"/>
      <c r="AQ393" s="1063"/>
      <c r="AR393" s="1063"/>
      <c r="AS393" s="1063"/>
      <c r="AT393" s="1063"/>
      <c r="AU393" s="1063"/>
      <c r="AV393" s="1063"/>
    </row>
    <row r="394" spans="1:48" s="1108" customFormat="1" ht="27.75" customHeight="1">
      <c r="A394" s="1076"/>
      <c r="B394" s="1074"/>
      <c r="D394" s="1063"/>
      <c r="F394" s="1076"/>
      <c r="G394" s="1063"/>
      <c r="H394" s="1063"/>
      <c r="I394" s="1063"/>
      <c r="J394" s="1063"/>
      <c r="K394" s="1063"/>
      <c r="L394" s="1063"/>
      <c r="M394" s="1063"/>
      <c r="N394" s="1063"/>
      <c r="O394" s="1063"/>
      <c r="P394" s="1063"/>
      <c r="Q394" s="1063"/>
      <c r="R394" s="1063"/>
      <c r="S394" s="1063"/>
      <c r="T394" s="1063"/>
      <c r="U394" s="1063"/>
      <c r="V394" s="1063"/>
      <c r="W394" s="1063"/>
      <c r="X394" s="1063"/>
      <c r="Y394" s="1063"/>
      <c r="Z394" s="1063"/>
      <c r="AA394" s="1063"/>
      <c r="AB394" s="1063"/>
      <c r="AC394" s="1063"/>
      <c r="AD394" s="1063"/>
      <c r="AE394" s="1063"/>
      <c r="AF394" s="1063"/>
      <c r="AG394" s="1063"/>
      <c r="AH394" s="1063"/>
      <c r="AI394" s="1063"/>
      <c r="AJ394" s="1063"/>
      <c r="AK394" s="1063"/>
      <c r="AL394" s="1063"/>
      <c r="AM394" s="1063"/>
      <c r="AN394" s="1063"/>
      <c r="AO394" s="1063"/>
      <c r="AP394" s="1063"/>
      <c r="AQ394" s="1063"/>
      <c r="AR394" s="1063"/>
      <c r="AS394" s="1063"/>
      <c r="AT394" s="1063"/>
      <c r="AU394" s="1063"/>
      <c r="AV394" s="1063"/>
    </row>
    <row r="395" spans="1:48" s="1108" customFormat="1" ht="27.75" customHeight="1">
      <c r="A395" s="1076"/>
      <c r="B395" s="1074"/>
      <c r="D395" s="1063"/>
      <c r="F395" s="1076"/>
      <c r="G395" s="1063"/>
      <c r="H395" s="1063"/>
      <c r="I395" s="1063"/>
      <c r="J395" s="1063"/>
      <c r="K395" s="1063"/>
      <c r="L395" s="1063"/>
      <c r="M395" s="1063"/>
      <c r="N395" s="1063"/>
      <c r="O395" s="1063"/>
      <c r="P395" s="1063"/>
      <c r="Q395" s="1063"/>
      <c r="R395" s="1063"/>
      <c r="S395" s="1063"/>
      <c r="T395" s="1063"/>
      <c r="U395" s="1063"/>
      <c r="V395" s="1063"/>
      <c r="W395" s="1063"/>
      <c r="X395" s="1063"/>
      <c r="Y395" s="1063"/>
      <c r="Z395" s="1063"/>
      <c r="AA395" s="1063"/>
      <c r="AB395" s="1063"/>
      <c r="AC395" s="1063"/>
      <c r="AD395" s="1063"/>
      <c r="AE395" s="1063"/>
      <c r="AF395" s="1063"/>
      <c r="AG395" s="1063"/>
      <c r="AH395" s="1063"/>
      <c r="AI395" s="1063"/>
      <c r="AJ395" s="1063"/>
      <c r="AK395" s="1063"/>
      <c r="AL395" s="1063"/>
      <c r="AM395" s="1063"/>
      <c r="AN395" s="1063"/>
      <c r="AO395" s="1063"/>
      <c r="AP395" s="1063"/>
      <c r="AQ395" s="1063"/>
      <c r="AR395" s="1063"/>
      <c r="AS395" s="1063"/>
      <c r="AT395" s="1063"/>
      <c r="AU395" s="1063"/>
      <c r="AV395" s="1063"/>
    </row>
    <row r="396" spans="1:48" s="1108" customFormat="1" ht="27.75" customHeight="1">
      <c r="A396" s="1076"/>
      <c r="B396" s="1074"/>
      <c r="D396" s="1063"/>
      <c r="F396" s="1076"/>
      <c r="G396" s="1063"/>
      <c r="H396" s="1063"/>
      <c r="I396" s="1063"/>
      <c r="J396" s="1063"/>
      <c r="K396" s="1063"/>
      <c r="L396" s="1063"/>
      <c r="M396" s="1063"/>
      <c r="N396" s="1063"/>
      <c r="O396" s="1063"/>
      <c r="P396" s="1063"/>
      <c r="Q396" s="1063"/>
      <c r="R396" s="1063"/>
      <c r="S396" s="1063"/>
      <c r="T396" s="1063"/>
      <c r="U396" s="1063"/>
      <c r="V396" s="1063"/>
      <c r="W396" s="1063"/>
      <c r="X396" s="1063"/>
      <c r="Y396" s="1063"/>
      <c r="Z396" s="1063"/>
      <c r="AA396" s="1063"/>
      <c r="AB396" s="1063"/>
      <c r="AC396" s="1063"/>
      <c r="AD396" s="1063"/>
      <c r="AE396" s="1063"/>
      <c r="AF396" s="1063"/>
      <c r="AG396" s="1063"/>
      <c r="AH396" s="1063"/>
      <c r="AI396" s="1063"/>
      <c r="AJ396" s="1063"/>
      <c r="AK396" s="1063"/>
      <c r="AL396" s="1063"/>
      <c r="AM396" s="1063"/>
      <c r="AN396" s="1063"/>
      <c r="AO396" s="1063"/>
      <c r="AP396" s="1063"/>
      <c r="AQ396" s="1063"/>
      <c r="AR396" s="1063"/>
      <c r="AS396" s="1063"/>
      <c r="AT396" s="1063"/>
      <c r="AU396" s="1063"/>
      <c r="AV396" s="1063"/>
    </row>
    <row r="397" spans="1:48" s="1108" customFormat="1" ht="27.75" customHeight="1">
      <c r="A397" s="1076"/>
      <c r="B397" s="1074"/>
      <c r="D397" s="1063"/>
      <c r="F397" s="1076"/>
      <c r="G397" s="1063"/>
      <c r="H397" s="1063"/>
      <c r="I397" s="1063"/>
      <c r="J397" s="1063"/>
      <c r="K397" s="1063"/>
      <c r="L397" s="1063"/>
      <c r="M397" s="1063"/>
      <c r="N397" s="1063"/>
      <c r="O397" s="1063"/>
      <c r="P397" s="1063"/>
      <c r="Q397" s="1063"/>
      <c r="R397" s="1063"/>
      <c r="S397" s="1063"/>
      <c r="T397" s="1063"/>
      <c r="U397" s="1063"/>
      <c r="V397" s="1063"/>
      <c r="W397" s="1063"/>
      <c r="X397" s="1063"/>
      <c r="Y397" s="1063"/>
      <c r="Z397" s="1063"/>
      <c r="AA397" s="1063"/>
      <c r="AB397" s="1063"/>
      <c r="AC397" s="1063"/>
      <c r="AD397" s="1063"/>
      <c r="AE397" s="1063"/>
      <c r="AF397" s="1063"/>
      <c r="AG397" s="1063"/>
      <c r="AH397" s="1063"/>
      <c r="AI397" s="1063"/>
      <c r="AJ397" s="1063"/>
      <c r="AK397" s="1063"/>
      <c r="AL397" s="1063"/>
      <c r="AM397" s="1063"/>
      <c r="AN397" s="1063"/>
      <c r="AO397" s="1063"/>
      <c r="AP397" s="1063"/>
      <c r="AQ397" s="1063"/>
      <c r="AR397" s="1063"/>
      <c r="AS397" s="1063"/>
      <c r="AT397" s="1063"/>
      <c r="AU397" s="1063"/>
      <c r="AV397" s="1063"/>
    </row>
    <row r="398" spans="1:48" s="1108" customFormat="1" ht="27.75" customHeight="1">
      <c r="A398" s="1076"/>
      <c r="B398" s="1074"/>
      <c r="D398" s="1063"/>
      <c r="F398" s="1076"/>
      <c r="G398" s="1063"/>
      <c r="H398" s="1063"/>
      <c r="I398" s="1063"/>
      <c r="J398" s="1063"/>
      <c r="K398" s="1063"/>
      <c r="L398" s="1063"/>
      <c r="M398" s="1063"/>
      <c r="N398" s="1063"/>
      <c r="O398" s="1063"/>
      <c r="P398" s="1063"/>
      <c r="Q398" s="1063"/>
      <c r="R398" s="1063"/>
      <c r="S398" s="1063"/>
      <c r="T398" s="1063"/>
      <c r="U398" s="1063"/>
      <c r="V398" s="1063"/>
      <c r="W398" s="1063"/>
      <c r="X398" s="1063"/>
      <c r="Y398" s="1063"/>
      <c r="Z398" s="1063"/>
      <c r="AA398" s="1063"/>
      <c r="AB398" s="1063"/>
      <c r="AC398" s="1063"/>
      <c r="AD398" s="1063"/>
      <c r="AE398" s="1063"/>
      <c r="AF398" s="1063"/>
      <c r="AG398" s="1063"/>
      <c r="AH398" s="1063"/>
      <c r="AI398" s="1063"/>
      <c r="AJ398" s="1063"/>
      <c r="AK398" s="1063"/>
      <c r="AL398" s="1063"/>
      <c r="AM398" s="1063"/>
      <c r="AN398" s="1063"/>
      <c r="AO398" s="1063"/>
      <c r="AP398" s="1063"/>
      <c r="AQ398" s="1063"/>
      <c r="AR398" s="1063"/>
      <c r="AS398" s="1063"/>
      <c r="AT398" s="1063"/>
      <c r="AU398" s="1063"/>
      <c r="AV398" s="1063"/>
    </row>
    <row r="399" spans="1:48" s="1108" customFormat="1" ht="27.75" customHeight="1">
      <c r="A399" s="1076"/>
      <c r="B399" s="1074"/>
      <c r="D399" s="1063"/>
      <c r="F399" s="1076"/>
      <c r="G399" s="1063"/>
      <c r="H399" s="1063"/>
      <c r="I399" s="1063"/>
      <c r="J399" s="1063"/>
      <c r="K399" s="1063"/>
      <c r="L399" s="1063"/>
      <c r="M399" s="1063"/>
      <c r="N399" s="1063"/>
      <c r="O399" s="1063"/>
      <c r="P399" s="1063"/>
      <c r="Q399" s="1063"/>
      <c r="R399" s="1063"/>
      <c r="S399" s="1063"/>
      <c r="T399" s="1063"/>
      <c r="U399" s="1063"/>
      <c r="V399" s="1063"/>
      <c r="W399" s="1063"/>
      <c r="X399" s="1063"/>
      <c r="Y399" s="1063"/>
      <c r="Z399" s="1063"/>
      <c r="AA399" s="1063"/>
      <c r="AB399" s="1063"/>
      <c r="AC399" s="1063"/>
      <c r="AD399" s="1063"/>
      <c r="AE399" s="1063"/>
      <c r="AF399" s="1063"/>
      <c r="AG399" s="1063"/>
      <c r="AH399" s="1063"/>
      <c r="AI399" s="1063"/>
      <c r="AJ399" s="1063"/>
      <c r="AK399" s="1063"/>
      <c r="AL399" s="1063"/>
      <c r="AM399" s="1063"/>
      <c r="AN399" s="1063"/>
      <c r="AO399" s="1063"/>
      <c r="AP399" s="1063"/>
      <c r="AQ399" s="1063"/>
      <c r="AR399" s="1063"/>
      <c r="AS399" s="1063"/>
      <c r="AT399" s="1063"/>
      <c r="AU399" s="1063"/>
      <c r="AV399" s="1063"/>
    </row>
    <row r="400" spans="1:48" s="1108" customFormat="1" ht="27.75" customHeight="1">
      <c r="A400" s="1076"/>
      <c r="B400" s="1074"/>
      <c r="D400" s="1063"/>
      <c r="F400" s="1076"/>
      <c r="G400" s="1063"/>
      <c r="H400" s="1063"/>
      <c r="I400" s="1063"/>
      <c r="J400" s="1063"/>
      <c r="K400" s="1063"/>
      <c r="L400" s="1063"/>
      <c r="M400" s="1063"/>
      <c r="N400" s="1063"/>
      <c r="O400" s="1063"/>
      <c r="P400" s="1063"/>
      <c r="Q400" s="1063"/>
      <c r="R400" s="1063"/>
      <c r="S400" s="1063"/>
      <c r="T400" s="1063"/>
      <c r="U400" s="1063"/>
      <c r="V400" s="1063"/>
      <c r="W400" s="1063"/>
      <c r="X400" s="1063"/>
      <c r="Y400" s="1063"/>
      <c r="Z400" s="1063"/>
      <c r="AA400" s="1063"/>
      <c r="AB400" s="1063"/>
      <c r="AC400" s="1063"/>
      <c r="AD400" s="1063"/>
      <c r="AE400" s="1063"/>
      <c r="AF400" s="1063"/>
      <c r="AG400" s="1063"/>
      <c r="AH400" s="1063"/>
      <c r="AI400" s="1063"/>
      <c r="AJ400" s="1063"/>
      <c r="AK400" s="1063"/>
      <c r="AL400" s="1063"/>
      <c r="AM400" s="1063"/>
      <c r="AN400" s="1063"/>
      <c r="AO400" s="1063"/>
      <c r="AP400" s="1063"/>
      <c r="AQ400" s="1063"/>
      <c r="AR400" s="1063"/>
      <c r="AS400" s="1063"/>
      <c r="AT400" s="1063"/>
      <c r="AU400" s="1063"/>
      <c r="AV400" s="1063"/>
    </row>
    <row r="401" spans="1:48" s="1108" customFormat="1" ht="27.75" customHeight="1">
      <c r="A401" s="1076"/>
      <c r="B401" s="1074"/>
      <c r="D401" s="1063"/>
      <c r="F401" s="1076"/>
      <c r="G401" s="1063"/>
      <c r="H401" s="1063"/>
      <c r="I401" s="1063"/>
      <c r="J401" s="1063"/>
      <c r="K401" s="1063"/>
      <c r="L401" s="1063"/>
      <c r="M401" s="1063"/>
      <c r="N401" s="1063"/>
      <c r="O401" s="1063"/>
      <c r="P401" s="1063"/>
      <c r="Q401" s="1063"/>
      <c r="R401" s="1063"/>
      <c r="S401" s="1063"/>
      <c r="T401" s="1063"/>
      <c r="U401" s="1063"/>
      <c r="V401" s="1063"/>
      <c r="W401" s="1063"/>
      <c r="X401" s="1063"/>
      <c r="Y401" s="1063"/>
      <c r="Z401" s="1063"/>
      <c r="AA401" s="1063"/>
      <c r="AB401" s="1063"/>
      <c r="AC401" s="1063"/>
      <c r="AD401" s="1063"/>
      <c r="AE401" s="1063"/>
      <c r="AF401" s="1063"/>
      <c r="AG401" s="1063"/>
      <c r="AH401" s="1063"/>
      <c r="AI401" s="1063"/>
      <c r="AJ401" s="1063"/>
      <c r="AK401" s="1063"/>
      <c r="AL401" s="1063"/>
      <c r="AM401" s="1063"/>
      <c r="AN401" s="1063"/>
      <c r="AO401" s="1063"/>
      <c r="AP401" s="1063"/>
      <c r="AQ401" s="1063"/>
      <c r="AR401" s="1063"/>
      <c r="AS401" s="1063"/>
      <c r="AT401" s="1063"/>
      <c r="AU401" s="1063"/>
      <c r="AV401" s="1063"/>
    </row>
    <row r="402" spans="1:48" s="1108" customFormat="1" ht="27.75" customHeight="1">
      <c r="A402" s="1076"/>
      <c r="B402" s="1074"/>
      <c r="D402" s="1063"/>
      <c r="F402" s="1076"/>
      <c r="G402" s="1063"/>
      <c r="H402" s="1063"/>
      <c r="I402" s="1063"/>
      <c r="J402" s="1063"/>
      <c r="K402" s="1063"/>
      <c r="L402" s="1063"/>
      <c r="M402" s="1063"/>
      <c r="N402" s="1063"/>
      <c r="O402" s="1063"/>
      <c r="P402" s="1063"/>
      <c r="Q402" s="1063"/>
      <c r="R402" s="1063"/>
      <c r="S402" s="1063"/>
      <c r="T402" s="1063"/>
      <c r="U402" s="1063"/>
      <c r="V402" s="1063"/>
      <c r="W402" s="1063"/>
      <c r="X402" s="1063"/>
      <c r="Y402" s="1063"/>
      <c r="Z402" s="1063"/>
      <c r="AA402" s="1063"/>
      <c r="AB402" s="1063"/>
      <c r="AC402" s="1063"/>
      <c r="AD402" s="1063"/>
      <c r="AE402" s="1063"/>
      <c r="AF402" s="1063"/>
      <c r="AG402" s="1063"/>
      <c r="AH402" s="1063"/>
      <c r="AI402" s="1063"/>
      <c r="AJ402" s="1063"/>
      <c r="AK402" s="1063"/>
      <c r="AL402" s="1063"/>
      <c r="AM402" s="1063"/>
      <c r="AN402" s="1063"/>
      <c r="AO402" s="1063"/>
      <c r="AP402" s="1063"/>
      <c r="AQ402" s="1063"/>
      <c r="AR402" s="1063"/>
      <c r="AS402" s="1063"/>
      <c r="AT402" s="1063"/>
      <c r="AU402" s="1063"/>
      <c r="AV402" s="1063"/>
    </row>
    <row r="403" spans="1:48" s="1108" customFormat="1" ht="27.75" customHeight="1">
      <c r="A403" s="1076"/>
      <c r="B403" s="1074"/>
      <c r="D403" s="1063"/>
      <c r="F403" s="1076"/>
      <c r="G403" s="1063"/>
      <c r="H403" s="1063"/>
      <c r="I403" s="1063"/>
      <c r="J403" s="1063"/>
      <c r="K403" s="1063"/>
      <c r="L403" s="1063"/>
      <c r="M403" s="1063"/>
      <c r="N403" s="1063"/>
      <c r="O403" s="1063"/>
      <c r="P403" s="1063"/>
      <c r="Q403" s="1063"/>
      <c r="R403" s="1063"/>
      <c r="S403" s="1063"/>
      <c r="T403" s="1063"/>
      <c r="U403" s="1063"/>
      <c r="V403" s="1063"/>
      <c r="W403" s="1063"/>
      <c r="X403" s="1063"/>
      <c r="Y403" s="1063"/>
      <c r="Z403" s="1063"/>
      <c r="AA403" s="1063"/>
      <c r="AB403" s="1063"/>
      <c r="AC403" s="1063"/>
      <c r="AD403" s="1063"/>
      <c r="AE403" s="1063"/>
      <c r="AF403" s="1063"/>
      <c r="AG403" s="1063"/>
      <c r="AH403" s="1063"/>
      <c r="AI403" s="1063"/>
      <c r="AJ403" s="1063"/>
      <c r="AK403" s="1063"/>
      <c r="AL403" s="1063"/>
      <c r="AM403" s="1063"/>
      <c r="AN403" s="1063"/>
      <c r="AO403" s="1063"/>
      <c r="AP403" s="1063"/>
      <c r="AQ403" s="1063"/>
      <c r="AR403" s="1063"/>
      <c r="AS403" s="1063"/>
      <c r="AT403" s="1063"/>
      <c r="AU403" s="1063"/>
      <c r="AV403" s="1063"/>
    </row>
    <row r="404" spans="1:48" s="1108" customFormat="1" ht="27.75" customHeight="1">
      <c r="A404" s="1076"/>
      <c r="B404" s="1074"/>
      <c r="D404" s="1063"/>
      <c r="F404" s="1076"/>
      <c r="G404" s="1063"/>
      <c r="H404" s="1063"/>
      <c r="I404" s="1063"/>
      <c r="J404" s="1063"/>
      <c r="K404" s="1063"/>
      <c r="L404" s="1063"/>
      <c r="M404" s="1063"/>
      <c r="N404" s="1063"/>
      <c r="O404" s="1063"/>
      <c r="P404" s="1063"/>
      <c r="Q404" s="1063"/>
      <c r="R404" s="1063"/>
      <c r="S404" s="1063"/>
      <c r="T404" s="1063"/>
      <c r="U404" s="1063"/>
      <c r="V404" s="1063"/>
      <c r="W404" s="1063"/>
      <c r="X404" s="1063"/>
      <c r="Y404" s="1063"/>
      <c r="Z404" s="1063"/>
      <c r="AA404" s="1063"/>
      <c r="AB404" s="1063"/>
      <c r="AC404" s="1063"/>
      <c r="AD404" s="1063"/>
      <c r="AE404" s="1063"/>
      <c r="AF404" s="1063"/>
      <c r="AG404" s="1063"/>
      <c r="AH404" s="1063"/>
      <c r="AI404" s="1063"/>
      <c r="AJ404" s="1063"/>
      <c r="AK404" s="1063"/>
      <c r="AL404" s="1063"/>
      <c r="AM404" s="1063"/>
      <c r="AN404" s="1063"/>
      <c r="AO404" s="1063"/>
      <c r="AP404" s="1063"/>
      <c r="AQ404" s="1063"/>
      <c r="AR404" s="1063"/>
      <c r="AS404" s="1063"/>
      <c r="AT404" s="1063"/>
      <c r="AU404" s="1063"/>
      <c r="AV404" s="1063"/>
    </row>
    <row r="405" spans="1:48" s="1108" customFormat="1" ht="27.75" customHeight="1">
      <c r="A405" s="1076"/>
      <c r="B405" s="1074"/>
      <c r="D405" s="1063"/>
      <c r="F405" s="1076"/>
      <c r="G405" s="1063"/>
      <c r="H405" s="1063"/>
      <c r="I405" s="1063"/>
      <c r="J405" s="1063"/>
      <c r="K405" s="1063"/>
      <c r="L405" s="1063"/>
      <c r="M405" s="1063"/>
      <c r="N405" s="1063"/>
      <c r="O405" s="1063"/>
      <c r="P405" s="1063"/>
      <c r="Q405" s="1063"/>
      <c r="R405" s="1063"/>
      <c r="S405" s="1063"/>
      <c r="T405" s="1063"/>
      <c r="U405" s="1063"/>
      <c r="V405" s="1063"/>
      <c r="W405" s="1063"/>
      <c r="X405" s="1063"/>
      <c r="Y405" s="1063"/>
      <c r="Z405" s="1063"/>
      <c r="AA405" s="1063"/>
      <c r="AB405" s="1063"/>
      <c r="AC405" s="1063"/>
      <c r="AD405" s="1063"/>
      <c r="AE405" s="1063"/>
      <c r="AF405" s="1063"/>
      <c r="AG405" s="1063"/>
      <c r="AH405" s="1063"/>
      <c r="AI405" s="1063"/>
      <c r="AJ405" s="1063"/>
      <c r="AK405" s="1063"/>
      <c r="AL405" s="1063"/>
      <c r="AM405" s="1063"/>
      <c r="AN405" s="1063"/>
      <c r="AO405" s="1063"/>
      <c r="AP405" s="1063"/>
      <c r="AQ405" s="1063"/>
      <c r="AR405" s="1063"/>
      <c r="AS405" s="1063"/>
      <c r="AT405" s="1063"/>
      <c r="AU405" s="1063"/>
      <c r="AV405" s="1063"/>
    </row>
    <row r="406" spans="1:48" s="1108" customFormat="1" ht="27.75" customHeight="1">
      <c r="A406" s="1076"/>
      <c r="B406" s="1074"/>
      <c r="D406" s="1063"/>
      <c r="F406" s="1076"/>
      <c r="G406" s="1063"/>
      <c r="H406" s="1063"/>
      <c r="I406" s="1063"/>
      <c r="J406" s="1063"/>
      <c r="K406" s="1063"/>
      <c r="L406" s="1063"/>
      <c r="M406" s="1063"/>
      <c r="N406" s="1063"/>
      <c r="O406" s="1063"/>
      <c r="P406" s="1063"/>
      <c r="Q406" s="1063"/>
      <c r="R406" s="1063"/>
      <c r="S406" s="1063"/>
      <c r="T406" s="1063"/>
      <c r="U406" s="1063"/>
      <c r="V406" s="1063"/>
      <c r="W406" s="1063"/>
      <c r="X406" s="1063"/>
      <c r="Y406" s="1063"/>
      <c r="Z406" s="1063"/>
      <c r="AA406" s="1063"/>
      <c r="AB406" s="1063"/>
      <c r="AC406" s="1063"/>
      <c r="AD406" s="1063"/>
      <c r="AE406" s="1063"/>
      <c r="AF406" s="1063"/>
      <c r="AG406" s="1063"/>
      <c r="AH406" s="1063"/>
      <c r="AI406" s="1063"/>
      <c r="AJ406" s="1063"/>
      <c r="AK406" s="1063"/>
      <c r="AL406" s="1063"/>
      <c r="AM406" s="1063"/>
      <c r="AN406" s="1063"/>
      <c r="AO406" s="1063"/>
      <c r="AP406" s="1063"/>
      <c r="AQ406" s="1063"/>
      <c r="AR406" s="1063"/>
      <c r="AS406" s="1063"/>
      <c r="AT406" s="1063"/>
      <c r="AU406" s="1063"/>
      <c r="AV406" s="1063"/>
    </row>
    <row r="407" spans="1:48" s="1108" customFormat="1" ht="27.75" customHeight="1">
      <c r="A407" s="1076"/>
      <c r="B407" s="1074"/>
      <c r="D407" s="1063"/>
      <c r="F407" s="1076"/>
      <c r="G407" s="1063"/>
      <c r="H407" s="1063"/>
      <c r="I407" s="1063"/>
      <c r="J407" s="1063"/>
      <c r="K407" s="1063"/>
      <c r="L407" s="1063"/>
      <c r="M407" s="1063"/>
      <c r="N407" s="1063"/>
      <c r="O407" s="1063"/>
      <c r="P407" s="1063"/>
      <c r="Q407" s="1063"/>
      <c r="R407" s="1063"/>
      <c r="S407" s="1063"/>
      <c r="T407" s="1063"/>
      <c r="U407" s="1063"/>
      <c r="V407" s="1063"/>
      <c r="W407" s="1063"/>
      <c r="X407" s="1063"/>
      <c r="Y407" s="1063"/>
      <c r="Z407" s="1063"/>
      <c r="AA407" s="1063"/>
      <c r="AB407" s="1063"/>
      <c r="AC407" s="1063"/>
      <c r="AD407" s="1063"/>
      <c r="AE407" s="1063"/>
      <c r="AF407" s="1063"/>
      <c r="AG407" s="1063"/>
      <c r="AH407" s="1063"/>
      <c r="AI407" s="1063"/>
      <c r="AJ407" s="1063"/>
      <c r="AK407" s="1063"/>
      <c r="AL407" s="1063"/>
      <c r="AM407" s="1063"/>
      <c r="AN407" s="1063"/>
      <c r="AO407" s="1063"/>
      <c r="AP407" s="1063"/>
      <c r="AQ407" s="1063"/>
      <c r="AR407" s="1063"/>
      <c r="AS407" s="1063"/>
      <c r="AT407" s="1063"/>
      <c r="AU407" s="1063"/>
      <c r="AV407" s="1063"/>
    </row>
    <row r="408" spans="1:48" s="1108" customFormat="1" ht="27.75" customHeight="1">
      <c r="A408" s="1076"/>
      <c r="B408" s="1074"/>
      <c r="D408" s="1063"/>
      <c r="F408" s="1076"/>
      <c r="G408" s="1063"/>
      <c r="H408" s="1063"/>
      <c r="I408" s="1063"/>
      <c r="J408" s="1063"/>
      <c r="K408" s="1063"/>
      <c r="L408" s="1063"/>
      <c r="M408" s="1063"/>
      <c r="N408" s="1063"/>
      <c r="O408" s="1063"/>
      <c r="P408" s="1063"/>
      <c r="Q408" s="1063"/>
      <c r="R408" s="1063"/>
      <c r="S408" s="1063"/>
      <c r="T408" s="1063"/>
      <c r="U408" s="1063"/>
      <c r="V408" s="1063"/>
      <c r="W408" s="1063"/>
      <c r="X408" s="1063"/>
      <c r="Y408" s="1063"/>
      <c r="Z408" s="1063"/>
      <c r="AA408" s="1063"/>
      <c r="AB408" s="1063"/>
      <c r="AC408" s="1063"/>
      <c r="AD408" s="1063"/>
      <c r="AE408" s="1063"/>
      <c r="AF408" s="1063"/>
      <c r="AG408" s="1063"/>
      <c r="AH408" s="1063"/>
      <c r="AI408" s="1063"/>
      <c r="AJ408" s="1063"/>
      <c r="AK408" s="1063"/>
      <c r="AL408" s="1063"/>
      <c r="AM408" s="1063"/>
      <c r="AN408" s="1063"/>
      <c r="AO408" s="1063"/>
      <c r="AP408" s="1063"/>
      <c r="AQ408" s="1063"/>
      <c r="AR408" s="1063"/>
      <c r="AS408" s="1063"/>
      <c r="AT408" s="1063"/>
      <c r="AU408" s="1063"/>
      <c r="AV408" s="1063"/>
    </row>
    <row r="409" spans="1:48" s="1108" customFormat="1" ht="27.75" customHeight="1">
      <c r="A409" s="1076"/>
      <c r="B409" s="1074"/>
      <c r="D409" s="1063"/>
      <c r="F409" s="1076"/>
      <c r="G409" s="1063"/>
      <c r="H409" s="1063"/>
      <c r="I409" s="1063"/>
      <c r="J409" s="1063"/>
      <c r="K409" s="1063"/>
      <c r="L409" s="1063"/>
      <c r="M409" s="1063"/>
      <c r="N409" s="1063"/>
      <c r="O409" s="1063"/>
      <c r="P409" s="1063"/>
      <c r="Q409" s="1063"/>
      <c r="R409" s="1063"/>
      <c r="S409" s="1063"/>
      <c r="T409" s="1063"/>
      <c r="U409" s="1063"/>
      <c r="V409" s="1063"/>
      <c r="W409" s="1063"/>
      <c r="X409" s="1063"/>
      <c r="Y409" s="1063"/>
      <c r="Z409" s="1063"/>
      <c r="AA409" s="1063"/>
      <c r="AB409" s="1063"/>
      <c r="AC409" s="1063"/>
      <c r="AD409" s="1063"/>
      <c r="AE409" s="1063"/>
      <c r="AF409" s="1063"/>
      <c r="AG409" s="1063"/>
      <c r="AH409" s="1063"/>
      <c r="AI409" s="1063"/>
      <c r="AJ409" s="1063"/>
      <c r="AK409" s="1063"/>
      <c r="AL409" s="1063"/>
      <c r="AM409" s="1063"/>
      <c r="AN409" s="1063"/>
      <c r="AO409" s="1063"/>
      <c r="AP409" s="1063"/>
      <c r="AQ409" s="1063"/>
      <c r="AR409" s="1063"/>
      <c r="AS409" s="1063"/>
      <c r="AT409" s="1063"/>
      <c r="AU409" s="1063"/>
      <c r="AV409" s="1063"/>
    </row>
    <row r="410" spans="1:48" s="1108" customFormat="1" ht="27.75" customHeight="1">
      <c r="A410" s="1076"/>
      <c r="B410" s="1074"/>
      <c r="D410" s="1063"/>
      <c r="F410" s="1076"/>
      <c r="G410" s="1063"/>
      <c r="H410" s="1063"/>
      <c r="I410" s="1063"/>
      <c r="J410" s="1063"/>
      <c r="K410" s="1063"/>
      <c r="L410" s="1063"/>
      <c r="M410" s="1063"/>
      <c r="N410" s="1063"/>
      <c r="O410" s="1063"/>
      <c r="P410" s="1063"/>
      <c r="Q410" s="1063"/>
      <c r="R410" s="1063"/>
      <c r="S410" s="1063"/>
      <c r="T410" s="1063"/>
      <c r="U410" s="1063"/>
      <c r="V410" s="1063"/>
      <c r="W410" s="1063"/>
      <c r="X410" s="1063"/>
      <c r="Y410" s="1063"/>
      <c r="Z410" s="1063"/>
      <c r="AA410" s="1063"/>
      <c r="AB410" s="1063"/>
      <c r="AC410" s="1063"/>
      <c r="AD410" s="1063"/>
      <c r="AE410" s="1063"/>
      <c r="AF410" s="1063"/>
      <c r="AG410" s="1063"/>
      <c r="AH410" s="1063"/>
      <c r="AI410" s="1063"/>
      <c r="AJ410" s="1063"/>
      <c r="AK410" s="1063"/>
      <c r="AL410" s="1063"/>
      <c r="AM410" s="1063"/>
      <c r="AN410" s="1063"/>
      <c r="AO410" s="1063"/>
      <c r="AP410" s="1063"/>
      <c r="AQ410" s="1063"/>
      <c r="AR410" s="1063"/>
      <c r="AS410" s="1063"/>
      <c r="AT410" s="1063"/>
      <c r="AU410" s="1063"/>
      <c r="AV410" s="1063"/>
    </row>
    <row r="411" spans="1:48" s="1108" customFormat="1" ht="27.75" customHeight="1">
      <c r="A411" s="1076"/>
      <c r="B411" s="1074"/>
      <c r="D411" s="1063"/>
      <c r="F411" s="1076"/>
      <c r="G411" s="1063"/>
      <c r="H411" s="1063"/>
      <c r="I411" s="1063"/>
      <c r="J411" s="1063"/>
      <c r="K411" s="1063"/>
      <c r="L411" s="1063"/>
      <c r="M411" s="1063"/>
      <c r="N411" s="1063"/>
      <c r="O411" s="1063"/>
      <c r="P411" s="1063"/>
      <c r="Q411" s="1063"/>
      <c r="R411" s="1063"/>
      <c r="S411" s="1063"/>
      <c r="T411" s="1063"/>
      <c r="U411" s="1063"/>
      <c r="V411" s="1063"/>
      <c r="W411" s="1063"/>
      <c r="X411" s="1063"/>
      <c r="Y411" s="1063"/>
      <c r="Z411" s="1063"/>
      <c r="AA411" s="1063"/>
      <c r="AB411" s="1063"/>
      <c r="AC411" s="1063"/>
      <c r="AD411" s="1063"/>
      <c r="AE411" s="1063"/>
      <c r="AF411" s="1063"/>
      <c r="AG411" s="1063"/>
      <c r="AH411" s="1063"/>
      <c r="AI411" s="1063"/>
      <c r="AJ411" s="1063"/>
      <c r="AK411" s="1063"/>
      <c r="AL411" s="1063"/>
      <c r="AM411" s="1063"/>
      <c r="AN411" s="1063"/>
      <c r="AO411" s="1063"/>
      <c r="AP411" s="1063"/>
      <c r="AQ411" s="1063"/>
      <c r="AR411" s="1063"/>
      <c r="AS411" s="1063"/>
      <c r="AT411" s="1063"/>
      <c r="AU411" s="1063"/>
      <c r="AV411" s="1063"/>
    </row>
    <row r="412" spans="1:48" s="1108" customFormat="1" ht="27.75" customHeight="1">
      <c r="A412" s="1076"/>
      <c r="B412" s="1074"/>
      <c r="D412" s="1063"/>
      <c r="F412" s="1076"/>
      <c r="G412" s="1063"/>
      <c r="H412" s="1063"/>
      <c r="I412" s="1063"/>
      <c r="J412" s="1063"/>
      <c r="K412" s="1063"/>
      <c r="L412" s="1063"/>
      <c r="M412" s="1063"/>
      <c r="N412" s="1063"/>
      <c r="O412" s="1063"/>
      <c r="P412" s="1063"/>
      <c r="Q412" s="1063"/>
      <c r="R412" s="1063"/>
      <c r="S412" s="1063"/>
      <c r="T412" s="1063"/>
      <c r="U412" s="1063"/>
      <c r="V412" s="1063"/>
      <c r="W412" s="1063"/>
      <c r="X412" s="1063"/>
      <c r="Y412" s="1063"/>
      <c r="Z412" s="1063"/>
      <c r="AA412" s="1063"/>
      <c r="AB412" s="1063"/>
      <c r="AC412" s="1063"/>
      <c r="AD412" s="1063"/>
      <c r="AE412" s="1063"/>
      <c r="AF412" s="1063"/>
      <c r="AG412" s="1063"/>
      <c r="AH412" s="1063"/>
      <c r="AI412" s="1063"/>
      <c r="AJ412" s="1063"/>
      <c r="AK412" s="1063"/>
      <c r="AL412" s="1063"/>
      <c r="AM412" s="1063"/>
      <c r="AN412" s="1063"/>
      <c r="AO412" s="1063"/>
      <c r="AP412" s="1063"/>
      <c r="AQ412" s="1063"/>
      <c r="AR412" s="1063"/>
      <c r="AS412" s="1063"/>
      <c r="AT412" s="1063"/>
      <c r="AU412" s="1063"/>
      <c r="AV412" s="1063"/>
    </row>
    <row r="413" spans="1:48" s="1108" customFormat="1" ht="27.75" customHeight="1">
      <c r="A413" s="1076"/>
      <c r="B413" s="1074"/>
      <c r="D413" s="1063"/>
      <c r="F413" s="1076"/>
      <c r="G413" s="1063"/>
      <c r="H413" s="1063"/>
      <c r="I413" s="1063"/>
      <c r="J413" s="1063"/>
      <c r="K413" s="1063"/>
      <c r="L413" s="1063"/>
      <c r="M413" s="1063"/>
      <c r="N413" s="1063"/>
      <c r="O413" s="1063"/>
      <c r="P413" s="1063"/>
      <c r="Q413" s="1063"/>
      <c r="R413" s="1063"/>
      <c r="S413" s="1063"/>
      <c r="T413" s="1063"/>
      <c r="U413" s="1063"/>
      <c r="V413" s="1063"/>
      <c r="W413" s="1063"/>
      <c r="X413" s="1063"/>
      <c r="Y413" s="1063"/>
      <c r="Z413" s="1063"/>
      <c r="AA413" s="1063"/>
      <c r="AB413" s="1063"/>
      <c r="AC413" s="1063"/>
      <c r="AD413" s="1063"/>
      <c r="AE413" s="1063"/>
      <c r="AF413" s="1063"/>
      <c r="AG413" s="1063"/>
      <c r="AH413" s="1063"/>
      <c r="AI413" s="1063"/>
      <c r="AJ413" s="1063"/>
      <c r="AK413" s="1063"/>
      <c r="AL413" s="1063"/>
      <c r="AM413" s="1063"/>
      <c r="AN413" s="1063"/>
      <c r="AO413" s="1063"/>
      <c r="AP413" s="1063"/>
      <c r="AQ413" s="1063"/>
      <c r="AR413" s="1063"/>
      <c r="AS413" s="1063"/>
      <c r="AT413" s="1063"/>
      <c r="AU413" s="1063"/>
      <c r="AV413" s="1063"/>
    </row>
    <row r="414" spans="1:48" s="1108" customFormat="1" ht="27.75" customHeight="1">
      <c r="A414" s="1076"/>
      <c r="B414" s="1074"/>
      <c r="D414" s="1063"/>
      <c r="F414" s="1076"/>
      <c r="G414" s="1063"/>
      <c r="H414" s="1063"/>
      <c r="I414" s="1063"/>
      <c r="J414" s="1063"/>
      <c r="K414" s="1063"/>
      <c r="L414" s="1063"/>
      <c r="M414" s="1063"/>
      <c r="N414" s="1063"/>
      <c r="O414" s="1063"/>
      <c r="P414" s="1063"/>
      <c r="Q414" s="1063"/>
      <c r="R414" s="1063"/>
      <c r="S414" s="1063"/>
      <c r="T414" s="1063"/>
      <c r="U414" s="1063"/>
      <c r="V414" s="1063"/>
      <c r="W414" s="1063"/>
      <c r="X414" s="1063"/>
      <c r="Y414" s="1063"/>
      <c r="Z414" s="1063"/>
      <c r="AA414" s="1063"/>
      <c r="AB414" s="1063"/>
      <c r="AC414" s="1063"/>
      <c r="AD414" s="1063"/>
      <c r="AE414" s="1063"/>
      <c r="AF414" s="1063"/>
      <c r="AG414" s="1063"/>
      <c r="AH414" s="1063"/>
      <c r="AI414" s="1063"/>
      <c r="AJ414" s="1063"/>
      <c r="AK414" s="1063"/>
      <c r="AL414" s="1063"/>
      <c r="AM414" s="1063"/>
      <c r="AN414" s="1063"/>
      <c r="AO414" s="1063"/>
      <c r="AP414" s="1063"/>
      <c r="AQ414" s="1063"/>
      <c r="AR414" s="1063"/>
      <c r="AS414" s="1063"/>
      <c r="AT414" s="1063"/>
      <c r="AU414" s="1063"/>
      <c r="AV414" s="1063"/>
    </row>
    <row r="415" spans="1:48" s="1108" customFormat="1" ht="27.75" customHeight="1">
      <c r="A415" s="1076"/>
      <c r="B415" s="1074"/>
      <c r="D415" s="1063"/>
      <c r="F415" s="1076"/>
      <c r="G415" s="1063"/>
      <c r="H415" s="1063"/>
      <c r="I415" s="1063"/>
      <c r="J415" s="1063"/>
      <c r="K415" s="1063"/>
      <c r="L415" s="1063"/>
      <c r="M415" s="1063"/>
      <c r="N415" s="1063"/>
      <c r="O415" s="1063"/>
      <c r="P415" s="1063"/>
      <c r="Q415" s="1063"/>
      <c r="R415" s="1063"/>
      <c r="S415" s="1063"/>
      <c r="T415" s="1063"/>
      <c r="U415" s="1063"/>
      <c r="V415" s="1063"/>
      <c r="W415" s="1063"/>
      <c r="X415" s="1063"/>
      <c r="Y415" s="1063"/>
      <c r="Z415" s="1063"/>
      <c r="AA415" s="1063"/>
      <c r="AB415" s="1063"/>
      <c r="AC415" s="1063"/>
      <c r="AD415" s="1063"/>
      <c r="AE415" s="1063"/>
      <c r="AF415" s="1063"/>
      <c r="AG415" s="1063"/>
      <c r="AH415" s="1063"/>
      <c r="AI415" s="1063"/>
      <c r="AJ415" s="1063"/>
      <c r="AK415" s="1063"/>
      <c r="AL415" s="1063"/>
      <c r="AM415" s="1063"/>
      <c r="AN415" s="1063"/>
      <c r="AO415" s="1063"/>
      <c r="AP415" s="1063"/>
      <c r="AQ415" s="1063"/>
      <c r="AR415" s="1063"/>
      <c r="AS415" s="1063"/>
      <c r="AT415" s="1063"/>
      <c r="AU415" s="1063"/>
      <c r="AV415" s="1063"/>
    </row>
    <row r="416" spans="1:48" s="1108" customFormat="1" ht="27.75" customHeight="1">
      <c r="A416" s="1076"/>
      <c r="B416" s="1074"/>
      <c r="D416" s="1063"/>
      <c r="F416" s="1076"/>
      <c r="G416" s="1063"/>
      <c r="H416" s="1063"/>
      <c r="I416" s="1063"/>
      <c r="J416" s="1063"/>
      <c r="K416" s="1063"/>
      <c r="L416" s="1063"/>
      <c r="M416" s="1063"/>
      <c r="N416" s="1063"/>
      <c r="O416" s="1063"/>
      <c r="P416" s="1063"/>
      <c r="Q416" s="1063"/>
      <c r="R416" s="1063"/>
      <c r="S416" s="1063"/>
      <c r="T416" s="1063"/>
      <c r="U416" s="1063"/>
      <c r="V416" s="1063"/>
      <c r="W416" s="1063"/>
      <c r="X416" s="1063"/>
      <c r="Y416" s="1063"/>
      <c r="Z416" s="1063"/>
      <c r="AA416" s="1063"/>
      <c r="AB416" s="1063"/>
      <c r="AC416" s="1063"/>
      <c r="AD416" s="1063"/>
      <c r="AE416" s="1063"/>
      <c r="AF416" s="1063"/>
      <c r="AG416" s="1063"/>
      <c r="AH416" s="1063"/>
      <c r="AI416" s="1063"/>
      <c r="AJ416" s="1063"/>
      <c r="AK416" s="1063"/>
      <c r="AL416" s="1063"/>
      <c r="AM416" s="1063"/>
      <c r="AN416" s="1063"/>
      <c r="AO416" s="1063"/>
      <c r="AP416" s="1063"/>
      <c r="AQ416" s="1063"/>
      <c r="AR416" s="1063"/>
      <c r="AS416" s="1063"/>
      <c r="AT416" s="1063"/>
      <c r="AU416" s="1063"/>
      <c r="AV416" s="1063"/>
    </row>
    <row r="417" spans="1:48" s="1108" customFormat="1" ht="27.75" customHeight="1">
      <c r="A417" s="1076"/>
      <c r="B417" s="1074"/>
      <c r="D417" s="1063"/>
      <c r="F417" s="1076"/>
      <c r="G417" s="1063"/>
      <c r="H417" s="1063"/>
      <c r="I417" s="1063"/>
      <c r="J417" s="1063"/>
      <c r="K417" s="1063"/>
      <c r="L417" s="1063"/>
      <c r="M417" s="1063"/>
      <c r="N417" s="1063"/>
      <c r="O417" s="1063"/>
      <c r="P417" s="1063"/>
      <c r="Q417" s="1063"/>
      <c r="R417" s="1063"/>
      <c r="S417" s="1063"/>
      <c r="T417" s="1063"/>
      <c r="U417" s="1063"/>
      <c r="V417" s="1063"/>
      <c r="W417" s="1063"/>
      <c r="X417" s="1063"/>
      <c r="Y417" s="1063"/>
      <c r="Z417" s="1063"/>
      <c r="AA417" s="1063"/>
      <c r="AB417" s="1063"/>
      <c r="AC417" s="1063"/>
      <c r="AD417" s="1063"/>
      <c r="AE417" s="1063"/>
      <c r="AF417" s="1063"/>
      <c r="AG417" s="1063"/>
      <c r="AH417" s="1063"/>
      <c r="AI417" s="1063"/>
      <c r="AJ417" s="1063"/>
      <c r="AK417" s="1063"/>
      <c r="AL417" s="1063"/>
      <c r="AM417" s="1063"/>
      <c r="AN417" s="1063"/>
      <c r="AO417" s="1063"/>
      <c r="AP417" s="1063"/>
      <c r="AQ417" s="1063"/>
      <c r="AR417" s="1063"/>
      <c r="AS417" s="1063"/>
      <c r="AT417" s="1063"/>
      <c r="AU417" s="1063"/>
      <c r="AV417" s="1063"/>
    </row>
    <row r="418" spans="1:48" s="1108" customFormat="1" ht="27.75" customHeight="1">
      <c r="A418" s="1076"/>
      <c r="B418" s="1074"/>
      <c r="D418" s="1063"/>
      <c r="F418" s="1076"/>
      <c r="G418" s="1063"/>
      <c r="H418" s="1063"/>
      <c r="I418" s="1063"/>
      <c r="J418" s="1063"/>
      <c r="K418" s="1063"/>
      <c r="L418" s="1063"/>
      <c r="M418" s="1063"/>
      <c r="N418" s="1063"/>
      <c r="O418" s="1063"/>
      <c r="P418" s="1063"/>
      <c r="Q418" s="1063"/>
      <c r="R418" s="1063"/>
      <c r="S418" s="1063"/>
      <c r="T418" s="1063"/>
      <c r="U418" s="1063"/>
      <c r="V418" s="1063"/>
      <c r="W418" s="1063"/>
      <c r="X418" s="1063"/>
      <c r="Y418" s="1063"/>
      <c r="Z418" s="1063"/>
      <c r="AA418" s="1063"/>
      <c r="AB418" s="1063"/>
      <c r="AC418" s="1063"/>
      <c r="AD418" s="1063"/>
      <c r="AE418" s="1063"/>
      <c r="AF418" s="1063"/>
      <c r="AG418" s="1063"/>
      <c r="AH418" s="1063"/>
      <c r="AI418" s="1063"/>
      <c r="AJ418" s="1063"/>
      <c r="AK418" s="1063"/>
      <c r="AL418" s="1063"/>
      <c r="AM418" s="1063"/>
      <c r="AN418" s="1063"/>
      <c r="AO418" s="1063"/>
      <c r="AP418" s="1063"/>
      <c r="AQ418" s="1063"/>
      <c r="AR418" s="1063"/>
      <c r="AS418" s="1063"/>
      <c r="AT418" s="1063"/>
      <c r="AU418" s="1063"/>
      <c r="AV418" s="1063"/>
    </row>
    <row r="419" spans="1:48" s="1108" customFormat="1" ht="27.75" customHeight="1">
      <c r="A419" s="1076"/>
      <c r="B419" s="1074"/>
      <c r="D419" s="1063"/>
      <c r="F419" s="1076"/>
      <c r="G419" s="1063"/>
      <c r="H419" s="1063"/>
      <c r="I419" s="1063"/>
      <c r="J419" s="1063"/>
      <c r="K419" s="1063"/>
      <c r="L419" s="1063"/>
      <c r="M419" s="1063"/>
      <c r="N419" s="1063"/>
      <c r="O419" s="1063"/>
      <c r="P419" s="1063"/>
      <c r="Q419" s="1063"/>
      <c r="R419" s="1063"/>
      <c r="S419" s="1063"/>
      <c r="T419" s="1063"/>
      <c r="U419" s="1063"/>
      <c r="V419" s="1063"/>
      <c r="W419" s="1063"/>
      <c r="X419" s="1063"/>
      <c r="Y419" s="1063"/>
      <c r="Z419" s="1063"/>
      <c r="AA419" s="1063"/>
      <c r="AB419" s="1063"/>
      <c r="AC419" s="1063"/>
      <c r="AD419" s="1063"/>
      <c r="AE419" s="1063"/>
      <c r="AF419" s="1063"/>
      <c r="AG419" s="1063"/>
      <c r="AH419" s="1063"/>
      <c r="AI419" s="1063"/>
      <c r="AJ419" s="1063"/>
      <c r="AK419" s="1063"/>
      <c r="AL419" s="1063"/>
      <c r="AM419" s="1063"/>
      <c r="AN419" s="1063"/>
      <c r="AO419" s="1063"/>
      <c r="AP419" s="1063"/>
      <c r="AQ419" s="1063"/>
      <c r="AR419" s="1063"/>
      <c r="AS419" s="1063"/>
      <c r="AT419" s="1063"/>
      <c r="AU419" s="1063"/>
      <c r="AV419" s="1063"/>
    </row>
    <row r="420" spans="1:48" s="1108" customFormat="1" ht="27.75" customHeight="1">
      <c r="A420" s="1076"/>
      <c r="B420" s="1074"/>
      <c r="D420" s="1063"/>
      <c r="F420" s="1076"/>
      <c r="G420" s="1063"/>
      <c r="H420" s="1063"/>
      <c r="I420" s="1063"/>
      <c r="J420" s="1063"/>
      <c r="K420" s="1063"/>
      <c r="L420" s="1063"/>
      <c r="M420" s="1063"/>
      <c r="N420" s="1063"/>
      <c r="O420" s="1063"/>
      <c r="P420" s="1063"/>
      <c r="Q420" s="1063"/>
      <c r="R420" s="1063"/>
      <c r="S420" s="1063"/>
      <c r="T420" s="1063"/>
      <c r="U420" s="1063"/>
      <c r="V420" s="1063"/>
      <c r="W420" s="1063"/>
      <c r="X420" s="1063"/>
      <c r="Y420" s="1063"/>
      <c r="Z420" s="1063"/>
      <c r="AA420" s="1063"/>
      <c r="AB420" s="1063"/>
      <c r="AC420" s="1063"/>
      <c r="AD420" s="1063"/>
      <c r="AE420" s="1063"/>
      <c r="AF420" s="1063"/>
      <c r="AG420" s="1063"/>
      <c r="AH420" s="1063"/>
      <c r="AI420" s="1063"/>
      <c r="AJ420" s="1063"/>
      <c r="AK420" s="1063"/>
      <c r="AL420" s="1063"/>
      <c r="AM420" s="1063"/>
      <c r="AN420" s="1063"/>
      <c r="AO420" s="1063"/>
      <c r="AP420" s="1063"/>
      <c r="AQ420" s="1063"/>
      <c r="AR420" s="1063"/>
      <c r="AS420" s="1063"/>
      <c r="AT420" s="1063"/>
      <c r="AU420" s="1063"/>
      <c r="AV420" s="1063"/>
    </row>
    <row r="421" spans="1:48" s="1108" customFormat="1" ht="27.75" customHeight="1">
      <c r="A421" s="1076"/>
      <c r="B421" s="1074"/>
      <c r="D421" s="1063"/>
      <c r="F421" s="1076"/>
      <c r="G421" s="1063"/>
      <c r="H421" s="1063"/>
      <c r="I421" s="1063"/>
      <c r="J421" s="1063"/>
      <c r="K421" s="1063"/>
      <c r="L421" s="1063"/>
      <c r="M421" s="1063"/>
      <c r="N421" s="1063"/>
      <c r="O421" s="1063"/>
      <c r="P421" s="1063"/>
      <c r="Q421" s="1063"/>
      <c r="R421" s="1063"/>
      <c r="S421" s="1063"/>
      <c r="T421" s="1063"/>
      <c r="U421" s="1063"/>
      <c r="V421" s="1063"/>
      <c r="W421" s="1063"/>
      <c r="X421" s="1063"/>
      <c r="Y421" s="1063"/>
      <c r="Z421" s="1063"/>
      <c r="AA421" s="1063"/>
      <c r="AB421" s="1063"/>
      <c r="AC421" s="1063"/>
      <c r="AD421" s="1063"/>
      <c r="AE421" s="1063"/>
      <c r="AF421" s="1063"/>
      <c r="AG421" s="1063"/>
      <c r="AH421" s="1063"/>
      <c r="AI421" s="1063"/>
      <c r="AJ421" s="1063"/>
      <c r="AK421" s="1063"/>
      <c r="AL421" s="1063"/>
      <c r="AM421" s="1063"/>
      <c r="AN421" s="1063"/>
      <c r="AO421" s="1063"/>
      <c r="AP421" s="1063"/>
      <c r="AQ421" s="1063"/>
      <c r="AR421" s="1063"/>
      <c r="AS421" s="1063"/>
      <c r="AT421" s="1063"/>
      <c r="AU421" s="1063"/>
      <c r="AV421" s="1063"/>
    </row>
    <row r="422" spans="1:48" s="1108" customFormat="1" ht="27.75" customHeight="1">
      <c r="A422" s="1076"/>
      <c r="B422" s="1074"/>
      <c r="D422" s="1063"/>
      <c r="F422" s="1076"/>
      <c r="G422" s="1063"/>
      <c r="H422" s="1063"/>
      <c r="I422" s="1063"/>
      <c r="J422" s="1063"/>
      <c r="K422" s="1063"/>
      <c r="L422" s="1063"/>
      <c r="M422" s="1063"/>
      <c r="N422" s="1063"/>
      <c r="O422" s="1063"/>
      <c r="P422" s="1063"/>
      <c r="Q422" s="1063"/>
      <c r="R422" s="1063"/>
      <c r="S422" s="1063"/>
      <c r="T422" s="1063"/>
      <c r="U422" s="1063"/>
      <c r="V422" s="1063"/>
      <c r="W422" s="1063"/>
      <c r="X422" s="1063"/>
      <c r="Y422" s="1063"/>
      <c r="Z422" s="1063"/>
      <c r="AA422" s="1063"/>
      <c r="AB422" s="1063"/>
      <c r="AC422" s="1063"/>
      <c r="AD422" s="1063"/>
      <c r="AE422" s="1063"/>
      <c r="AF422" s="1063"/>
      <c r="AG422" s="1063"/>
      <c r="AH422" s="1063"/>
      <c r="AI422" s="1063"/>
      <c r="AJ422" s="1063"/>
      <c r="AK422" s="1063"/>
      <c r="AL422" s="1063"/>
      <c r="AM422" s="1063"/>
      <c r="AN422" s="1063"/>
      <c r="AO422" s="1063"/>
      <c r="AP422" s="1063"/>
      <c r="AQ422" s="1063"/>
      <c r="AR422" s="1063"/>
      <c r="AS422" s="1063"/>
      <c r="AT422" s="1063"/>
      <c r="AU422" s="1063"/>
      <c r="AV422" s="1063"/>
    </row>
    <row r="423" spans="1:48" s="1108" customFormat="1" ht="27.75" customHeight="1">
      <c r="A423" s="1076"/>
      <c r="B423" s="1074"/>
      <c r="D423" s="1063"/>
      <c r="F423" s="1076"/>
      <c r="G423" s="1063"/>
      <c r="H423" s="1063"/>
      <c r="I423" s="1063"/>
      <c r="J423" s="1063"/>
      <c r="K423" s="1063"/>
      <c r="L423" s="1063"/>
      <c r="M423" s="1063"/>
      <c r="N423" s="1063"/>
      <c r="O423" s="1063"/>
      <c r="P423" s="1063"/>
      <c r="Q423" s="1063"/>
      <c r="R423" s="1063"/>
      <c r="S423" s="1063"/>
      <c r="T423" s="1063"/>
      <c r="U423" s="1063"/>
      <c r="V423" s="1063"/>
      <c r="W423" s="1063"/>
      <c r="X423" s="1063"/>
      <c r="Y423" s="1063"/>
      <c r="Z423" s="1063"/>
      <c r="AA423" s="1063"/>
      <c r="AB423" s="1063"/>
      <c r="AC423" s="1063"/>
      <c r="AD423" s="1063"/>
      <c r="AE423" s="1063"/>
      <c r="AF423" s="1063"/>
      <c r="AG423" s="1063"/>
      <c r="AH423" s="1063"/>
      <c r="AI423" s="1063"/>
      <c r="AJ423" s="1063"/>
      <c r="AK423" s="1063"/>
      <c r="AL423" s="1063"/>
      <c r="AM423" s="1063"/>
      <c r="AN423" s="1063"/>
      <c r="AO423" s="1063"/>
      <c r="AP423" s="1063"/>
      <c r="AQ423" s="1063"/>
      <c r="AR423" s="1063"/>
      <c r="AS423" s="1063"/>
      <c r="AT423" s="1063"/>
      <c r="AU423" s="1063"/>
      <c r="AV423" s="1063"/>
    </row>
    <row r="424" spans="1:48" s="1108" customFormat="1" ht="27.75" customHeight="1">
      <c r="A424" s="1076"/>
      <c r="B424" s="1074"/>
      <c r="D424" s="1063"/>
      <c r="F424" s="1076"/>
      <c r="G424" s="1063"/>
      <c r="H424" s="1063"/>
      <c r="I424" s="1063"/>
      <c r="J424" s="1063"/>
      <c r="K424" s="1063"/>
      <c r="L424" s="1063"/>
      <c r="M424" s="1063"/>
      <c r="N424" s="1063"/>
      <c r="O424" s="1063"/>
      <c r="P424" s="1063"/>
      <c r="Q424" s="1063"/>
      <c r="R424" s="1063"/>
      <c r="S424" s="1063"/>
      <c r="T424" s="1063"/>
      <c r="U424" s="1063"/>
      <c r="V424" s="1063"/>
      <c r="W424" s="1063"/>
      <c r="X424" s="1063"/>
      <c r="Y424" s="1063"/>
      <c r="Z424" s="1063"/>
      <c r="AA424" s="1063"/>
      <c r="AB424" s="1063"/>
      <c r="AC424" s="1063"/>
      <c r="AD424" s="1063"/>
      <c r="AE424" s="1063"/>
      <c r="AF424" s="1063"/>
      <c r="AG424" s="1063"/>
      <c r="AH424" s="1063"/>
      <c r="AI424" s="1063"/>
      <c r="AJ424" s="1063"/>
      <c r="AK424" s="1063"/>
      <c r="AL424" s="1063"/>
      <c r="AM424" s="1063"/>
      <c r="AN424" s="1063"/>
      <c r="AO424" s="1063"/>
      <c r="AP424" s="1063"/>
      <c r="AQ424" s="1063"/>
      <c r="AR424" s="1063"/>
      <c r="AS424" s="1063"/>
      <c r="AT424" s="1063"/>
      <c r="AU424" s="1063"/>
      <c r="AV424" s="1063"/>
    </row>
    <row r="425" spans="1:48" s="1108" customFormat="1" ht="27.75" customHeight="1">
      <c r="A425" s="1076"/>
      <c r="B425" s="1074"/>
      <c r="D425" s="1063"/>
      <c r="F425" s="1076"/>
      <c r="G425" s="1063"/>
      <c r="H425" s="1063"/>
      <c r="I425" s="1063"/>
      <c r="J425" s="1063"/>
      <c r="K425" s="1063"/>
      <c r="L425" s="1063"/>
      <c r="M425" s="1063"/>
      <c r="N425" s="1063"/>
      <c r="O425" s="1063"/>
      <c r="P425" s="1063"/>
      <c r="Q425" s="1063"/>
      <c r="R425" s="1063"/>
      <c r="S425" s="1063"/>
      <c r="T425" s="1063"/>
      <c r="U425" s="1063"/>
      <c r="V425" s="1063"/>
      <c r="W425" s="1063"/>
      <c r="X425" s="1063"/>
      <c r="Y425" s="1063"/>
      <c r="Z425" s="1063"/>
      <c r="AA425" s="1063"/>
      <c r="AB425" s="1063"/>
      <c r="AC425" s="1063"/>
      <c r="AD425" s="1063"/>
      <c r="AE425" s="1063"/>
      <c r="AF425" s="1063"/>
      <c r="AG425" s="1063"/>
      <c r="AH425" s="1063"/>
      <c r="AI425" s="1063"/>
      <c r="AJ425" s="1063"/>
      <c r="AK425" s="1063"/>
      <c r="AL425" s="1063"/>
      <c r="AM425" s="1063"/>
      <c r="AN425" s="1063"/>
      <c r="AO425" s="1063"/>
      <c r="AP425" s="1063"/>
      <c r="AQ425" s="1063"/>
      <c r="AR425" s="1063"/>
      <c r="AS425" s="1063"/>
      <c r="AT425" s="1063"/>
      <c r="AU425" s="1063"/>
      <c r="AV425" s="1063"/>
    </row>
    <row r="426" spans="1:48" s="1108" customFormat="1" ht="27.75" customHeight="1">
      <c r="A426" s="1076"/>
      <c r="B426" s="1074"/>
      <c r="D426" s="1063"/>
      <c r="F426" s="1076"/>
      <c r="G426" s="1063"/>
      <c r="H426" s="1063"/>
      <c r="I426" s="1063"/>
      <c r="J426" s="1063"/>
      <c r="K426" s="1063"/>
      <c r="L426" s="1063"/>
      <c r="M426" s="1063"/>
      <c r="N426" s="1063"/>
      <c r="O426" s="1063"/>
      <c r="P426" s="1063"/>
      <c r="Q426" s="1063"/>
      <c r="R426" s="1063"/>
      <c r="S426" s="1063"/>
      <c r="T426" s="1063"/>
      <c r="U426" s="1063"/>
      <c r="V426" s="1063"/>
      <c r="W426" s="1063"/>
      <c r="X426" s="1063"/>
      <c r="Y426" s="1063"/>
      <c r="Z426" s="1063"/>
      <c r="AA426" s="1063"/>
      <c r="AB426" s="1063"/>
      <c r="AC426" s="1063"/>
      <c r="AD426" s="1063"/>
      <c r="AE426" s="1063"/>
      <c r="AF426" s="1063"/>
      <c r="AG426" s="1063"/>
      <c r="AH426" s="1063"/>
      <c r="AI426" s="1063"/>
      <c r="AJ426" s="1063"/>
      <c r="AK426" s="1063"/>
      <c r="AL426" s="1063"/>
      <c r="AM426" s="1063"/>
      <c r="AN426" s="1063"/>
      <c r="AO426" s="1063"/>
      <c r="AP426" s="1063"/>
      <c r="AQ426" s="1063"/>
      <c r="AR426" s="1063"/>
      <c r="AS426" s="1063"/>
      <c r="AT426" s="1063"/>
      <c r="AU426" s="1063"/>
      <c r="AV426" s="1063"/>
    </row>
    <row r="427" spans="1:48" s="1108" customFormat="1" ht="27.75" customHeight="1">
      <c r="A427" s="1076"/>
      <c r="B427" s="1074"/>
      <c r="D427" s="1063"/>
      <c r="F427" s="1076"/>
      <c r="G427" s="1063"/>
      <c r="H427" s="1063"/>
      <c r="I427" s="1063"/>
      <c r="J427" s="1063"/>
      <c r="K427" s="1063"/>
      <c r="L427" s="1063"/>
      <c r="M427" s="1063"/>
      <c r="N427" s="1063"/>
      <c r="O427" s="1063"/>
      <c r="P427" s="1063"/>
      <c r="Q427" s="1063"/>
      <c r="R427" s="1063"/>
      <c r="S427" s="1063"/>
      <c r="T427" s="1063"/>
      <c r="U427" s="1063"/>
      <c r="V427" s="1063"/>
      <c r="W427" s="1063"/>
      <c r="X427" s="1063"/>
      <c r="Y427" s="1063"/>
      <c r="Z427" s="1063"/>
      <c r="AA427" s="1063"/>
      <c r="AB427" s="1063"/>
      <c r="AC427" s="1063"/>
      <c r="AD427" s="1063"/>
      <c r="AE427" s="1063"/>
      <c r="AF427" s="1063"/>
      <c r="AG427" s="1063"/>
      <c r="AH427" s="1063"/>
      <c r="AI427" s="1063"/>
      <c r="AJ427" s="1063"/>
      <c r="AK427" s="1063"/>
      <c r="AL427" s="1063"/>
      <c r="AM427" s="1063"/>
      <c r="AN427" s="1063"/>
      <c r="AO427" s="1063"/>
      <c r="AP427" s="1063"/>
      <c r="AQ427" s="1063"/>
      <c r="AR427" s="1063"/>
      <c r="AS427" s="1063"/>
      <c r="AT427" s="1063"/>
      <c r="AU427" s="1063"/>
      <c r="AV427" s="1063"/>
    </row>
    <row r="428" spans="1:48" s="1108" customFormat="1" ht="27.75" customHeight="1">
      <c r="A428" s="1076"/>
      <c r="B428" s="1074"/>
      <c r="D428" s="1063"/>
      <c r="F428" s="1076"/>
      <c r="G428" s="1063"/>
      <c r="H428" s="1063"/>
      <c r="I428" s="1063"/>
      <c r="J428" s="1063"/>
      <c r="K428" s="1063"/>
      <c r="L428" s="1063"/>
      <c r="M428" s="1063"/>
      <c r="N428" s="1063"/>
      <c r="O428" s="1063"/>
      <c r="P428" s="1063"/>
      <c r="Q428" s="1063"/>
      <c r="R428" s="1063"/>
      <c r="S428" s="1063"/>
      <c r="T428" s="1063"/>
      <c r="U428" s="1063"/>
      <c r="V428" s="1063"/>
      <c r="W428" s="1063"/>
      <c r="X428" s="1063"/>
      <c r="Y428" s="1063"/>
      <c r="Z428" s="1063"/>
      <c r="AA428" s="1063"/>
      <c r="AB428" s="1063"/>
      <c r="AC428" s="1063"/>
      <c r="AD428" s="1063"/>
      <c r="AE428" s="1063"/>
      <c r="AF428" s="1063"/>
      <c r="AG428" s="1063"/>
      <c r="AH428" s="1063"/>
      <c r="AI428" s="1063"/>
      <c r="AJ428" s="1063"/>
      <c r="AK428" s="1063"/>
      <c r="AL428" s="1063"/>
      <c r="AM428" s="1063"/>
      <c r="AN428" s="1063"/>
      <c r="AO428" s="1063"/>
      <c r="AP428" s="1063"/>
      <c r="AQ428" s="1063"/>
      <c r="AR428" s="1063"/>
      <c r="AS428" s="1063"/>
      <c r="AT428" s="1063"/>
      <c r="AU428" s="1063"/>
      <c r="AV428" s="1063"/>
    </row>
    <row r="429" spans="1:48" s="1108" customFormat="1" ht="27.75" customHeight="1">
      <c r="A429" s="1076"/>
      <c r="B429" s="1074"/>
      <c r="D429" s="1063"/>
      <c r="F429" s="1076"/>
      <c r="G429" s="1063"/>
      <c r="H429" s="1063"/>
      <c r="I429" s="1063"/>
      <c r="J429" s="1063"/>
      <c r="K429" s="1063"/>
      <c r="L429" s="1063"/>
      <c r="M429" s="1063"/>
      <c r="N429" s="1063"/>
      <c r="O429" s="1063"/>
      <c r="P429" s="1063"/>
      <c r="Q429" s="1063"/>
      <c r="R429" s="1063"/>
      <c r="S429" s="1063"/>
      <c r="T429" s="1063"/>
      <c r="U429" s="1063"/>
      <c r="V429" s="1063"/>
      <c r="W429" s="1063"/>
      <c r="X429" s="1063"/>
      <c r="Y429" s="1063"/>
      <c r="Z429" s="1063"/>
      <c r="AA429" s="1063"/>
      <c r="AB429" s="1063"/>
      <c r="AC429" s="1063"/>
      <c r="AD429" s="1063"/>
      <c r="AE429" s="1063"/>
      <c r="AF429" s="1063"/>
      <c r="AG429" s="1063"/>
      <c r="AH429" s="1063"/>
      <c r="AI429" s="1063"/>
      <c r="AJ429" s="1063"/>
      <c r="AK429" s="1063"/>
      <c r="AL429" s="1063"/>
      <c r="AM429" s="1063"/>
      <c r="AN429" s="1063"/>
      <c r="AO429" s="1063"/>
      <c r="AP429" s="1063"/>
      <c r="AQ429" s="1063"/>
      <c r="AR429" s="1063"/>
      <c r="AS429" s="1063"/>
      <c r="AT429" s="1063"/>
      <c r="AU429" s="1063"/>
      <c r="AV429" s="1063"/>
    </row>
    <row r="430" spans="1:48" s="1108" customFormat="1" ht="27.75" customHeight="1">
      <c r="A430" s="1076"/>
      <c r="B430" s="1074"/>
      <c r="D430" s="1063"/>
      <c r="F430" s="1076"/>
      <c r="G430" s="1063"/>
      <c r="H430" s="1063"/>
      <c r="I430" s="1063"/>
      <c r="J430" s="1063"/>
      <c r="K430" s="1063"/>
      <c r="L430" s="1063"/>
      <c r="M430" s="1063"/>
      <c r="N430" s="1063"/>
      <c r="O430" s="1063"/>
      <c r="P430" s="1063"/>
      <c r="Q430" s="1063"/>
      <c r="R430" s="1063"/>
      <c r="S430" s="1063"/>
      <c r="T430" s="1063"/>
      <c r="U430" s="1063"/>
      <c r="V430" s="1063"/>
      <c r="W430" s="1063"/>
      <c r="X430" s="1063"/>
      <c r="Y430" s="1063"/>
      <c r="Z430" s="1063"/>
      <c r="AA430" s="1063"/>
      <c r="AB430" s="1063"/>
      <c r="AC430" s="1063"/>
      <c r="AD430" s="1063"/>
      <c r="AE430" s="1063"/>
      <c r="AF430" s="1063"/>
      <c r="AG430" s="1063"/>
      <c r="AH430" s="1063"/>
      <c r="AI430" s="1063"/>
      <c r="AJ430" s="1063"/>
      <c r="AK430" s="1063"/>
      <c r="AL430" s="1063"/>
      <c r="AM430" s="1063"/>
      <c r="AN430" s="1063"/>
      <c r="AO430" s="1063"/>
      <c r="AP430" s="1063"/>
      <c r="AQ430" s="1063"/>
      <c r="AR430" s="1063"/>
      <c r="AS430" s="1063"/>
      <c r="AT430" s="1063"/>
      <c r="AU430" s="1063"/>
      <c r="AV430" s="1063"/>
    </row>
    <row r="431" spans="1:48" s="1108" customFormat="1" ht="27.75" customHeight="1">
      <c r="A431" s="1076"/>
      <c r="B431" s="1074"/>
      <c r="D431" s="1063"/>
      <c r="F431" s="1076"/>
      <c r="G431" s="1063"/>
      <c r="H431" s="1063"/>
      <c r="I431" s="1063"/>
      <c r="J431" s="1063"/>
      <c r="K431" s="1063"/>
      <c r="L431" s="1063"/>
      <c r="M431" s="1063"/>
      <c r="N431" s="1063"/>
      <c r="O431" s="1063"/>
      <c r="P431" s="1063"/>
      <c r="Q431" s="1063"/>
      <c r="R431" s="1063"/>
      <c r="S431" s="1063"/>
      <c r="T431" s="1063"/>
      <c r="U431" s="1063"/>
      <c r="V431" s="1063"/>
      <c r="W431" s="1063"/>
      <c r="X431" s="1063"/>
      <c r="Y431" s="1063"/>
      <c r="Z431" s="1063"/>
      <c r="AA431" s="1063"/>
      <c r="AB431" s="1063"/>
      <c r="AC431" s="1063"/>
      <c r="AD431" s="1063"/>
      <c r="AE431" s="1063"/>
      <c r="AF431" s="1063"/>
      <c r="AG431" s="1063"/>
      <c r="AH431" s="1063"/>
      <c r="AI431" s="1063"/>
      <c r="AJ431" s="1063"/>
      <c r="AK431" s="1063"/>
      <c r="AL431" s="1063"/>
      <c r="AM431" s="1063"/>
      <c r="AN431" s="1063"/>
      <c r="AO431" s="1063"/>
      <c r="AP431" s="1063"/>
      <c r="AQ431" s="1063"/>
      <c r="AR431" s="1063"/>
      <c r="AS431" s="1063"/>
      <c r="AT431" s="1063"/>
      <c r="AU431" s="1063"/>
      <c r="AV431" s="1063"/>
    </row>
    <row r="432" spans="1:48" s="1108" customFormat="1" ht="27.75" customHeight="1">
      <c r="A432" s="1076"/>
      <c r="B432" s="1074"/>
      <c r="D432" s="1063"/>
      <c r="F432" s="1076"/>
      <c r="G432" s="1063"/>
      <c r="H432" s="1063"/>
      <c r="I432" s="1063"/>
      <c r="J432" s="1063"/>
      <c r="K432" s="1063"/>
      <c r="L432" s="1063"/>
      <c r="M432" s="1063"/>
      <c r="N432" s="1063"/>
      <c r="O432" s="1063"/>
      <c r="P432" s="1063"/>
      <c r="Q432" s="1063"/>
      <c r="R432" s="1063"/>
      <c r="S432" s="1063"/>
      <c r="T432" s="1063"/>
      <c r="U432" s="1063"/>
      <c r="V432" s="1063"/>
      <c r="W432" s="1063"/>
      <c r="X432" s="1063"/>
      <c r="Y432" s="1063"/>
      <c r="Z432" s="1063"/>
      <c r="AA432" s="1063"/>
      <c r="AB432" s="1063"/>
      <c r="AC432" s="1063"/>
      <c r="AD432" s="1063"/>
      <c r="AE432" s="1063"/>
      <c r="AF432" s="1063"/>
      <c r="AG432" s="1063"/>
      <c r="AH432" s="1063"/>
      <c r="AI432" s="1063"/>
      <c r="AJ432" s="1063"/>
      <c r="AK432" s="1063"/>
      <c r="AL432" s="1063"/>
      <c r="AM432" s="1063"/>
      <c r="AN432" s="1063"/>
      <c r="AO432" s="1063"/>
      <c r="AP432" s="1063"/>
      <c r="AQ432" s="1063"/>
      <c r="AR432" s="1063"/>
      <c r="AS432" s="1063"/>
      <c r="AT432" s="1063"/>
      <c r="AU432" s="1063"/>
      <c r="AV432" s="1063"/>
    </row>
    <row r="433" spans="1:48" s="1108" customFormat="1" ht="27.75" customHeight="1">
      <c r="A433" s="1076"/>
      <c r="B433" s="1074"/>
      <c r="D433" s="1063"/>
      <c r="F433" s="1076"/>
      <c r="G433" s="1063"/>
      <c r="H433" s="1063"/>
      <c r="I433" s="1063"/>
      <c r="J433" s="1063"/>
      <c r="K433" s="1063"/>
      <c r="L433" s="1063"/>
      <c r="M433" s="1063"/>
      <c r="N433" s="1063"/>
      <c r="O433" s="1063"/>
      <c r="P433" s="1063"/>
      <c r="Q433" s="1063"/>
      <c r="R433" s="1063"/>
      <c r="S433" s="1063"/>
      <c r="T433" s="1063"/>
      <c r="U433" s="1063"/>
      <c r="V433" s="1063"/>
      <c r="W433" s="1063"/>
      <c r="X433" s="1063"/>
      <c r="Y433" s="1063"/>
      <c r="Z433" s="1063"/>
      <c r="AA433" s="1063"/>
      <c r="AB433" s="1063"/>
      <c r="AC433" s="1063"/>
      <c r="AD433" s="1063"/>
      <c r="AE433" s="1063"/>
      <c r="AF433" s="1063"/>
      <c r="AG433" s="1063"/>
      <c r="AH433" s="1063"/>
      <c r="AI433" s="1063"/>
      <c r="AJ433" s="1063"/>
      <c r="AK433" s="1063"/>
      <c r="AL433" s="1063"/>
      <c r="AM433" s="1063"/>
      <c r="AN433" s="1063"/>
      <c r="AO433" s="1063"/>
      <c r="AP433" s="1063"/>
      <c r="AQ433" s="1063"/>
      <c r="AR433" s="1063"/>
      <c r="AS433" s="1063"/>
      <c r="AT433" s="1063"/>
      <c r="AU433" s="1063"/>
      <c r="AV433" s="1063"/>
    </row>
    <row r="434" spans="1:48" s="1108" customFormat="1" ht="27.75" customHeight="1">
      <c r="A434" s="1076"/>
      <c r="B434" s="1074"/>
      <c r="D434" s="1063"/>
      <c r="F434" s="1076"/>
      <c r="G434" s="1063"/>
      <c r="H434" s="1063"/>
      <c r="I434" s="1063"/>
      <c r="J434" s="1063"/>
      <c r="K434" s="1063"/>
      <c r="L434" s="1063"/>
      <c r="M434" s="1063"/>
      <c r="N434" s="1063"/>
      <c r="O434" s="1063"/>
      <c r="P434" s="1063"/>
      <c r="Q434" s="1063"/>
      <c r="R434" s="1063"/>
      <c r="S434" s="1063"/>
      <c r="T434" s="1063"/>
      <c r="U434" s="1063"/>
      <c r="V434" s="1063"/>
      <c r="W434" s="1063"/>
      <c r="X434" s="1063"/>
      <c r="Y434" s="1063"/>
      <c r="Z434" s="1063"/>
      <c r="AA434" s="1063"/>
      <c r="AB434" s="1063"/>
      <c r="AC434" s="1063"/>
      <c r="AD434" s="1063"/>
      <c r="AE434" s="1063"/>
      <c r="AF434" s="1063"/>
      <c r="AG434" s="1063"/>
      <c r="AH434" s="1063"/>
      <c r="AI434" s="1063"/>
      <c r="AJ434" s="1063"/>
      <c r="AK434" s="1063"/>
      <c r="AL434" s="1063"/>
      <c r="AM434" s="1063"/>
      <c r="AN434" s="1063"/>
      <c r="AO434" s="1063"/>
      <c r="AP434" s="1063"/>
      <c r="AQ434" s="1063"/>
      <c r="AR434" s="1063"/>
      <c r="AS434" s="1063"/>
      <c r="AT434" s="1063"/>
      <c r="AU434" s="1063"/>
      <c r="AV434" s="1063"/>
    </row>
    <row r="435" spans="1:48" s="1108" customFormat="1" ht="27.75" customHeight="1">
      <c r="A435" s="1076"/>
      <c r="B435" s="1074"/>
      <c r="D435" s="1063"/>
      <c r="F435" s="1076"/>
      <c r="G435" s="1063"/>
      <c r="H435" s="1063"/>
      <c r="I435" s="1063"/>
      <c r="J435" s="1063"/>
      <c r="K435" s="1063"/>
      <c r="L435" s="1063"/>
      <c r="M435" s="1063"/>
      <c r="N435" s="1063"/>
      <c r="O435" s="1063"/>
      <c r="P435" s="1063"/>
      <c r="Q435" s="1063"/>
      <c r="R435" s="1063"/>
      <c r="S435" s="1063"/>
      <c r="T435" s="1063"/>
      <c r="U435" s="1063"/>
      <c r="V435" s="1063"/>
      <c r="W435" s="1063"/>
      <c r="X435" s="1063"/>
      <c r="Y435" s="1063"/>
      <c r="Z435" s="1063"/>
      <c r="AA435" s="1063"/>
      <c r="AB435" s="1063"/>
      <c r="AC435" s="1063"/>
      <c r="AD435" s="1063"/>
      <c r="AE435" s="1063"/>
      <c r="AF435" s="1063"/>
      <c r="AG435" s="1063"/>
      <c r="AH435" s="1063"/>
      <c r="AI435" s="1063"/>
      <c r="AJ435" s="1063"/>
      <c r="AK435" s="1063"/>
      <c r="AL435" s="1063"/>
      <c r="AM435" s="1063"/>
      <c r="AN435" s="1063"/>
      <c r="AO435" s="1063"/>
      <c r="AP435" s="1063"/>
      <c r="AQ435" s="1063"/>
      <c r="AR435" s="1063"/>
      <c r="AS435" s="1063"/>
      <c r="AT435" s="1063"/>
      <c r="AU435" s="1063"/>
      <c r="AV435" s="1063"/>
    </row>
    <row r="436" spans="1:48" s="1108" customFormat="1" ht="27.75" customHeight="1">
      <c r="A436" s="1076"/>
      <c r="B436" s="1074"/>
      <c r="D436" s="1063"/>
      <c r="F436" s="1076"/>
      <c r="G436" s="1063"/>
      <c r="H436" s="1063"/>
      <c r="I436" s="1063"/>
      <c r="J436" s="1063"/>
      <c r="K436" s="1063"/>
      <c r="L436" s="1063"/>
      <c r="M436" s="1063"/>
      <c r="N436" s="1063"/>
      <c r="O436" s="1063"/>
      <c r="P436" s="1063"/>
      <c r="Q436" s="1063"/>
      <c r="R436" s="1063"/>
      <c r="S436" s="1063"/>
      <c r="T436" s="1063"/>
      <c r="U436" s="1063"/>
      <c r="V436" s="1063"/>
      <c r="W436" s="1063"/>
      <c r="X436" s="1063"/>
      <c r="Y436" s="1063"/>
      <c r="Z436" s="1063"/>
      <c r="AA436" s="1063"/>
      <c r="AB436" s="1063"/>
      <c r="AC436" s="1063"/>
      <c r="AD436" s="1063"/>
      <c r="AE436" s="1063"/>
      <c r="AF436" s="1063"/>
      <c r="AG436" s="1063"/>
      <c r="AH436" s="1063"/>
      <c r="AI436" s="1063"/>
      <c r="AJ436" s="1063"/>
      <c r="AK436" s="1063"/>
      <c r="AL436" s="1063"/>
      <c r="AM436" s="1063"/>
      <c r="AN436" s="1063"/>
      <c r="AO436" s="1063"/>
      <c r="AP436" s="1063"/>
      <c r="AQ436" s="1063"/>
      <c r="AR436" s="1063"/>
      <c r="AS436" s="1063"/>
      <c r="AT436" s="1063"/>
      <c r="AU436" s="1063"/>
      <c r="AV436" s="1063"/>
    </row>
    <row r="437" spans="1:48" s="1108" customFormat="1" ht="27.75" customHeight="1">
      <c r="A437" s="1076"/>
      <c r="B437" s="1074"/>
      <c r="D437" s="1063"/>
      <c r="F437" s="1076"/>
      <c r="G437" s="1063"/>
      <c r="H437" s="1063"/>
      <c r="I437" s="1063"/>
      <c r="J437" s="1063"/>
      <c r="K437" s="1063"/>
      <c r="L437" s="1063"/>
      <c r="M437" s="1063"/>
      <c r="N437" s="1063"/>
      <c r="O437" s="1063"/>
      <c r="P437" s="1063"/>
      <c r="Q437" s="1063"/>
      <c r="R437" s="1063"/>
      <c r="S437" s="1063"/>
      <c r="T437" s="1063"/>
      <c r="U437" s="1063"/>
      <c r="V437" s="1063"/>
      <c r="W437" s="1063"/>
      <c r="X437" s="1063"/>
      <c r="Y437" s="1063"/>
      <c r="Z437" s="1063"/>
      <c r="AA437" s="1063"/>
      <c r="AB437" s="1063"/>
      <c r="AC437" s="1063"/>
      <c r="AD437" s="1063"/>
      <c r="AE437" s="1063"/>
      <c r="AF437" s="1063"/>
      <c r="AG437" s="1063"/>
      <c r="AH437" s="1063"/>
      <c r="AI437" s="1063"/>
      <c r="AJ437" s="1063"/>
      <c r="AK437" s="1063"/>
      <c r="AL437" s="1063"/>
      <c r="AM437" s="1063"/>
      <c r="AN437" s="1063"/>
      <c r="AO437" s="1063"/>
      <c r="AP437" s="1063"/>
      <c r="AQ437" s="1063"/>
      <c r="AR437" s="1063"/>
      <c r="AS437" s="1063"/>
      <c r="AT437" s="1063"/>
      <c r="AU437" s="1063"/>
      <c r="AV437" s="1063"/>
    </row>
    <row r="438" spans="1:48" s="1108" customFormat="1" ht="27.75" customHeight="1">
      <c r="A438" s="1076"/>
      <c r="B438" s="1074"/>
      <c r="D438" s="1063"/>
      <c r="F438" s="1076"/>
      <c r="G438" s="1063"/>
      <c r="H438" s="1063"/>
      <c r="I438" s="1063"/>
      <c r="J438" s="1063"/>
      <c r="K438" s="1063"/>
      <c r="L438" s="1063"/>
      <c r="M438" s="1063"/>
      <c r="N438" s="1063"/>
      <c r="O438" s="1063"/>
      <c r="P438" s="1063"/>
      <c r="Q438" s="1063"/>
      <c r="R438" s="1063"/>
      <c r="S438" s="1063"/>
      <c r="T438" s="1063"/>
      <c r="U438" s="1063"/>
      <c r="V438" s="1063"/>
      <c r="W438" s="1063"/>
      <c r="X438" s="1063"/>
      <c r="Y438" s="1063"/>
      <c r="Z438" s="1063"/>
      <c r="AA438" s="1063"/>
      <c r="AB438" s="1063"/>
      <c r="AC438" s="1063"/>
      <c r="AD438" s="1063"/>
      <c r="AE438" s="1063"/>
      <c r="AF438" s="1063"/>
      <c r="AG438" s="1063"/>
      <c r="AH438" s="1063"/>
      <c r="AI438" s="1063"/>
      <c r="AJ438" s="1063"/>
      <c r="AK438" s="1063"/>
      <c r="AL438" s="1063"/>
      <c r="AM438" s="1063"/>
      <c r="AN438" s="1063"/>
      <c r="AO438" s="1063"/>
      <c r="AP438" s="1063"/>
      <c r="AQ438" s="1063"/>
      <c r="AR438" s="1063"/>
      <c r="AS438" s="1063"/>
      <c r="AT438" s="1063"/>
      <c r="AU438" s="1063"/>
      <c r="AV438" s="1063"/>
    </row>
    <row r="439" spans="1:48" s="1108" customFormat="1" ht="27.75" customHeight="1">
      <c r="A439" s="1076"/>
      <c r="B439" s="1074"/>
      <c r="D439" s="1063"/>
      <c r="F439" s="1076"/>
      <c r="G439" s="1063"/>
      <c r="H439" s="1063"/>
      <c r="I439" s="1063"/>
      <c r="J439" s="1063"/>
      <c r="K439" s="1063"/>
      <c r="L439" s="1063"/>
      <c r="M439" s="1063"/>
      <c r="N439" s="1063"/>
      <c r="O439" s="1063"/>
      <c r="P439" s="1063"/>
      <c r="Q439" s="1063"/>
      <c r="R439" s="1063"/>
      <c r="S439" s="1063"/>
      <c r="T439" s="1063"/>
      <c r="U439" s="1063"/>
      <c r="V439" s="1063"/>
      <c r="W439" s="1063"/>
      <c r="X439" s="1063"/>
      <c r="Y439" s="1063"/>
      <c r="Z439" s="1063"/>
      <c r="AA439" s="1063"/>
      <c r="AB439" s="1063"/>
      <c r="AC439" s="1063"/>
      <c r="AD439" s="1063"/>
      <c r="AE439" s="1063"/>
      <c r="AF439" s="1063"/>
      <c r="AG439" s="1063"/>
      <c r="AH439" s="1063"/>
      <c r="AI439" s="1063"/>
      <c r="AJ439" s="1063"/>
      <c r="AK439" s="1063"/>
      <c r="AL439" s="1063"/>
      <c r="AM439" s="1063"/>
      <c r="AN439" s="1063"/>
      <c r="AO439" s="1063"/>
      <c r="AP439" s="1063"/>
      <c r="AQ439" s="1063"/>
      <c r="AR439" s="1063"/>
      <c r="AS439" s="1063"/>
      <c r="AT439" s="1063"/>
      <c r="AU439" s="1063"/>
      <c r="AV439" s="1063"/>
    </row>
    <row r="440" spans="1:48" s="1108" customFormat="1" ht="27.75" customHeight="1">
      <c r="A440" s="1076"/>
      <c r="B440" s="1074"/>
      <c r="D440" s="1063"/>
      <c r="F440" s="1076"/>
      <c r="G440" s="1063"/>
      <c r="H440" s="1063"/>
      <c r="I440" s="1063"/>
      <c r="J440" s="1063"/>
      <c r="K440" s="1063"/>
      <c r="L440" s="1063"/>
      <c r="M440" s="1063"/>
      <c r="N440" s="1063"/>
      <c r="O440" s="1063"/>
      <c r="P440" s="1063"/>
      <c r="Q440" s="1063"/>
      <c r="R440" s="1063"/>
      <c r="S440" s="1063"/>
      <c r="T440" s="1063"/>
      <c r="U440" s="1063"/>
      <c r="V440" s="1063"/>
      <c r="W440" s="1063"/>
      <c r="X440" s="1063"/>
      <c r="Y440" s="1063"/>
      <c r="Z440" s="1063"/>
      <c r="AA440" s="1063"/>
      <c r="AB440" s="1063"/>
      <c r="AC440" s="1063"/>
      <c r="AD440" s="1063"/>
      <c r="AE440" s="1063"/>
      <c r="AF440" s="1063"/>
      <c r="AG440" s="1063"/>
      <c r="AH440" s="1063"/>
      <c r="AI440" s="1063"/>
      <c r="AJ440" s="1063"/>
      <c r="AK440" s="1063"/>
      <c r="AL440" s="1063"/>
      <c r="AM440" s="1063"/>
      <c r="AN440" s="1063"/>
      <c r="AO440" s="1063"/>
      <c r="AP440" s="1063"/>
      <c r="AQ440" s="1063"/>
      <c r="AR440" s="1063"/>
      <c r="AS440" s="1063"/>
      <c r="AT440" s="1063"/>
      <c r="AU440" s="1063"/>
      <c r="AV440" s="1063"/>
    </row>
    <row r="441" spans="1:48" s="1108" customFormat="1" ht="27.75" customHeight="1">
      <c r="A441" s="1076"/>
      <c r="B441" s="1074"/>
      <c r="D441" s="1063"/>
      <c r="F441" s="1076"/>
      <c r="G441" s="1063"/>
      <c r="H441" s="1063"/>
      <c r="I441" s="1063"/>
      <c r="J441" s="1063"/>
      <c r="K441" s="1063"/>
      <c r="L441" s="1063"/>
      <c r="M441" s="1063"/>
      <c r="N441" s="1063"/>
      <c r="O441" s="1063"/>
      <c r="P441" s="1063"/>
      <c r="Q441" s="1063"/>
      <c r="R441" s="1063"/>
      <c r="S441" s="1063"/>
      <c r="T441" s="1063"/>
      <c r="U441" s="1063"/>
      <c r="V441" s="1063"/>
      <c r="W441" s="1063"/>
      <c r="X441" s="1063"/>
      <c r="Y441" s="1063"/>
      <c r="Z441" s="1063"/>
      <c r="AA441" s="1063"/>
      <c r="AB441" s="1063"/>
      <c r="AC441" s="1063"/>
      <c r="AD441" s="1063"/>
      <c r="AE441" s="1063"/>
      <c r="AF441" s="1063"/>
      <c r="AG441" s="1063"/>
      <c r="AH441" s="1063"/>
      <c r="AI441" s="1063"/>
      <c r="AJ441" s="1063"/>
      <c r="AK441" s="1063"/>
      <c r="AL441" s="1063"/>
      <c r="AM441" s="1063"/>
      <c r="AN441" s="1063"/>
      <c r="AO441" s="1063"/>
      <c r="AP441" s="1063"/>
      <c r="AQ441" s="1063"/>
      <c r="AR441" s="1063"/>
      <c r="AS441" s="1063"/>
      <c r="AT441" s="1063"/>
      <c r="AU441" s="1063"/>
      <c r="AV441" s="1063"/>
    </row>
    <row r="442" spans="1:48" s="1108" customFormat="1" ht="27.75" customHeight="1">
      <c r="A442" s="1076"/>
      <c r="B442" s="1074"/>
      <c r="D442" s="1063"/>
      <c r="F442" s="1076"/>
      <c r="G442" s="1063"/>
      <c r="H442" s="1063"/>
      <c r="I442" s="1063"/>
      <c r="J442" s="1063"/>
      <c r="K442" s="1063"/>
      <c r="L442" s="1063"/>
      <c r="M442" s="1063"/>
      <c r="N442" s="1063"/>
      <c r="O442" s="1063"/>
      <c r="P442" s="1063"/>
      <c r="Q442" s="1063"/>
      <c r="R442" s="1063"/>
      <c r="S442" s="1063"/>
      <c r="T442" s="1063"/>
      <c r="U442" s="1063"/>
      <c r="V442" s="1063"/>
      <c r="W442" s="1063"/>
      <c r="X442" s="1063"/>
      <c r="Y442" s="1063"/>
      <c r="Z442" s="1063"/>
      <c r="AA442" s="1063"/>
      <c r="AB442" s="1063"/>
      <c r="AC442" s="1063"/>
      <c r="AD442" s="1063"/>
      <c r="AE442" s="1063"/>
      <c r="AF442" s="1063"/>
      <c r="AG442" s="1063"/>
      <c r="AH442" s="1063"/>
      <c r="AI442" s="1063"/>
      <c r="AJ442" s="1063"/>
      <c r="AK442" s="1063"/>
      <c r="AL442" s="1063"/>
      <c r="AM442" s="1063"/>
      <c r="AN442" s="1063"/>
      <c r="AO442" s="1063"/>
      <c r="AP442" s="1063"/>
      <c r="AQ442" s="1063"/>
      <c r="AR442" s="1063"/>
      <c r="AS442" s="1063"/>
      <c r="AT442" s="1063"/>
      <c r="AU442" s="1063"/>
      <c r="AV442" s="1063"/>
    </row>
    <row r="443" spans="1:48" s="1108" customFormat="1" ht="27.75" customHeight="1">
      <c r="A443" s="1076"/>
      <c r="B443" s="1074"/>
      <c r="D443" s="1063"/>
      <c r="F443" s="1076"/>
      <c r="G443" s="1063"/>
      <c r="H443" s="1063"/>
      <c r="I443" s="1063"/>
      <c r="J443" s="1063"/>
      <c r="K443" s="1063"/>
      <c r="L443" s="1063"/>
      <c r="M443" s="1063"/>
      <c r="N443" s="1063"/>
      <c r="O443" s="1063"/>
      <c r="P443" s="1063"/>
      <c r="Q443" s="1063"/>
      <c r="R443" s="1063"/>
      <c r="S443" s="1063"/>
      <c r="T443" s="1063"/>
      <c r="U443" s="1063"/>
      <c r="V443" s="1063"/>
      <c r="W443" s="1063"/>
      <c r="X443" s="1063"/>
      <c r="Y443" s="1063"/>
      <c r="Z443" s="1063"/>
      <c r="AA443" s="1063"/>
      <c r="AB443" s="1063"/>
      <c r="AC443" s="1063"/>
      <c r="AD443" s="1063"/>
      <c r="AE443" s="1063"/>
      <c r="AF443" s="1063"/>
      <c r="AG443" s="1063"/>
      <c r="AH443" s="1063"/>
      <c r="AI443" s="1063"/>
      <c r="AJ443" s="1063"/>
      <c r="AK443" s="1063"/>
      <c r="AL443" s="1063"/>
      <c r="AM443" s="1063"/>
      <c r="AN443" s="1063"/>
      <c r="AO443" s="1063"/>
      <c r="AP443" s="1063"/>
      <c r="AQ443" s="1063"/>
      <c r="AR443" s="1063"/>
      <c r="AS443" s="1063"/>
      <c r="AT443" s="1063"/>
      <c r="AU443" s="1063"/>
      <c r="AV443" s="1063"/>
    </row>
    <row r="444" spans="1:48" s="1108" customFormat="1" ht="27.75" customHeight="1">
      <c r="A444" s="1076"/>
      <c r="B444" s="1074"/>
      <c r="D444" s="1063"/>
      <c r="F444" s="1076"/>
      <c r="G444" s="1063"/>
      <c r="H444" s="1063"/>
      <c r="I444" s="1063"/>
      <c r="J444" s="1063"/>
      <c r="K444" s="1063"/>
      <c r="L444" s="1063"/>
      <c r="M444" s="1063"/>
      <c r="N444" s="1063"/>
      <c r="O444" s="1063"/>
      <c r="P444" s="1063"/>
      <c r="Q444" s="1063"/>
      <c r="R444" s="1063"/>
      <c r="S444" s="1063"/>
      <c r="T444" s="1063"/>
      <c r="U444" s="1063"/>
      <c r="V444" s="1063"/>
      <c r="W444" s="1063"/>
      <c r="X444" s="1063"/>
      <c r="Y444" s="1063"/>
      <c r="Z444" s="1063"/>
      <c r="AA444" s="1063"/>
      <c r="AB444" s="1063"/>
      <c r="AC444" s="1063"/>
      <c r="AD444" s="1063"/>
      <c r="AE444" s="1063"/>
      <c r="AF444" s="1063"/>
      <c r="AG444" s="1063"/>
      <c r="AH444" s="1063"/>
      <c r="AI444" s="1063"/>
      <c r="AJ444" s="1063"/>
      <c r="AK444" s="1063"/>
      <c r="AL444" s="1063"/>
      <c r="AM444" s="1063"/>
      <c r="AN444" s="1063"/>
      <c r="AO444" s="1063"/>
      <c r="AP444" s="1063"/>
      <c r="AQ444" s="1063"/>
      <c r="AR444" s="1063"/>
      <c r="AS444" s="1063"/>
      <c r="AT444" s="1063"/>
      <c r="AU444" s="1063"/>
      <c r="AV444" s="1063"/>
    </row>
    <row r="445" spans="1:48" s="1108" customFormat="1" ht="27.75" customHeight="1">
      <c r="A445" s="1076"/>
      <c r="B445" s="1074"/>
      <c r="D445" s="1063"/>
      <c r="F445" s="1076"/>
      <c r="G445" s="1063"/>
      <c r="H445" s="1063"/>
      <c r="I445" s="1063"/>
      <c r="J445" s="1063"/>
      <c r="K445" s="1063"/>
      <c r="L445" s="1063"/>
      <c r="M445" s="1063"/>
      <c r="N445" s="1063"/>
      <c r="O445" s="1063"/>
      <c r="P445" s="1063"/>
      <c r="Q445" s="1063"/>
      <c r="R445" s="1063"/>
      <c r="S445" s="1063"/>
      <c r="T445" s="1063"/>
      <c r="U445" s="1063"/>
      <c r="V445" s="1063"/>
      <c r="W445" s="1063"/>
      <c r="X445" s="1063"/>
      <c r="Y445" s="1063"/>
      <c r="Z445" s="1063"/>
      <c r="AA445" s="1063"/>
      <c r="AB445" s="1063"/>
      <c r="AC445" s="1063"/>
      <c r="AD445" s="1063"/>
      <c r="AE445" s="1063"/>
      <c r="AF445" s="1063"/>
      <c r="AG445" s="1063"/>
      <c r="AH445" s="1063"/>
      <c r="AI445" s="1063"/>
      <c r="AJ445" s="1063"/>
      <c r="AK445" s="1063"/>
      <c r="AL445" s="1063"/>
      <c r="AM445" s="1063"/>
      <c r="AN445" s="1063"/>
      <c r="AO445" s="1063"/>
      <c r="AP445" s="1063"/>
      <c r="AQ445" s="1063"/>
      <c r="AR445" s="1063"/>
      <c r="AS445" s="1063"/>
      <c r="AT445" s="1063"/>
      <c r="AU445" s="1063"/>
      <c r="AV445" s="1063"/>
    </row>
    <row r="446" spans="1:48" s="1108" customFormat="1" ht="27.75" customHeight="1">
      <c r="A446" s="1076"/>
      <c r="B446" s="1074"/>
      <c r="D446" s="1063"/>
      <c r="F446" s="1076"/>
      <c r="G446" s="1063"/>
      <c r="H446" s="1063"/>
      <c r="I446" s="1063"/>
      <c r="J446" s="1063"/>
      <c r="K446" s="1063"/>
      <c r="L446" s="1063"/>
      <c r="M446" s="1063"/>
      <c r="N446" s="1063"/>
      <c r="O446" s="1063"/>
      <c r="P446" s="1063"/>
      <c r="Q446" s="1063"/>
      <c r="R446" s="1063"/>
      <c r="S446" s="1063"/>
      <c r="T446" s="1063"/>
      <c r="U446" s="1063"/>
      <c r="V446" s="1063"/>
      <c r="W446" s="1063"/>
      <c r="X446" s="1063"/>
      <c r="Y446" s="1063"/>
      <c r="Z446" s="1063"/>
      <c r="AA446" s="1063"/>
      <c r="AB446" s="1063"/>
      <c r="AC446" s="1063"/>
      <c r="AD446" s="1063"/>
      <c r="AE446" s="1063"/>
      <c r="AF446" s="1063"/>
      <c r="AG446" s="1063"/>
      <c r="AH446" s="1063"/>
      <c r="AI446" s="1063"/>
      <c r="AJ446" s="1063"/>
      <c r="AK446" s="1063"/>
      <c r="AL446" s="1063"/>
      <c r="AM446" s="1063"/>
      <c r="AN446" s="1063"/>
      <c r="AO446" s="1063"/>
      <c r="AP446" s="1063"/>
      <c r="AQ446" s="1063"/>
      <c r="AR446" s="1063"/>
      <c r="AS446" s="1063"/>
      <c r="AT446" s="1063"/>
      <c r="AU446" s="1063"/>
      <c r="AV446" s="1063"/>
    </row>
    <row r="447" spans="1:48" s="1108" customFormat="1" ht="27.75" customHeight="1">
      <c r="A447" s="1076"/>
      <c r="B447" s="1074"/>
      <c r="D447" s="1063"/>
      <c r="F447" s="1076"/>
      <c r="G447" s="1063"/>
      <c r="H447" s="1063"/>
      <c r="I447" s="1063"/>
      <c r="J447" s="1063"/>
      <c r="K447" s="1063"/>
      <c r="L447" s="1063"/>
      <c r="M447" s="1063"/>
      <c r="N447" s="1063"/>
      <c r="O447" s="1063"/>
      <c r="P447" s="1063"/>
      <c r="Q447" s="1063"/>
      <c r="R447" s="1063"/>
      <c r="S447" s="1063"/>
      <c r="T447" s="1063"/>
      <c r="U447" s="1063"/>
      <c r="V447" s="1063"/>
      <c r="W447" s="1063"/>
      <c r="X447" s="1063"/>
      <c r="Y447" s="1063"/>
      <c r="Z447" s="1063"/>
      <c r="AA447" s="1063"/>
      <c r="AB447" s="1063"/>
      <c r="AC447" s="1063"/>
      <c r="AD447" s="1063"/>
      <c r="AE447" s="1063"/>
      <c r="AF447" s="1063"/>
      <c r="AG447" s="1063"/>
      <c r="AH447" s="1063"/>
      <c r="AI447" s="1063"/>
      <c r="AJ447" s="1063"/>
      <c r="AK447" s="1063"/>
      <c r="AL447" s="1063"/>
      <c r="AM447" s="1063"/>
      <c r="AN447" s="1063"/>
      <c r="AO447" s="1063"/>
      <c r="AP447" s="1063"/>
      <c r="AQ447" s="1063"/>
      <c r="AR447" s="1063"/>
      <c r="AS447" s="1063"/>
      <c r="AT447" s="1063"/>
      <c r="AU447" s="1063"/>
      <c r="AV447" s="1063"/>
    </row>
    <row r="448" spans="1:48" s="1108" customFormat="1" ht="27.75" customHeight="1">
      <c r="A448" s="1076"/>
      <c r="B448" s="1074"/>
      <c r="D448" s="1063"/>
      <c r="F448" s="1076"/>
      <c r="G448" s="1063"/>
      <c r="H448" s="1063"/>
      <c r="I448" s="1063"/>
      <c r="J448" s="1063"/>
      <c r="K448" s="1063"/>
      <c r="L448" s="1063"/>
      <c r="M448" s="1063"/>
      <c r="N448" s="1063"/>
      <c r="O448" s="1063"/>
      <c r="P448" s="1063"/>
      <c r="Q448" s="1063"/>
      <c r="R448" s="1063"/>
      <c r="S448" s="1063"/>
      <c r="T448" s="1063"/>
      <c r="U448" s="1063"/>
      <c r="V448" s="1063"/>
      <c r="W448" s="1063"/>
      <c r="X448" s="1063"/>
      <c r="Y448" s="1063"/>
      <c r="Z448" s="1063"/>
      <c r="AA448" s="1063"/>
      <c r="AB448" s="1063"/>
      <c r="AC448" s="1063"/>
      <c r="AD448" s="1063"/>
      <c r="AE448" s="1063"/>
      <c r="AF448" s="1063"/>
      <c r="AG448" s="1063"/>
      <c r="AH448" s="1063"/>
      <c r="AI448" s="1063"/>
      <c r="AJ448" s="1063"/>
      <c r="AK448" s="1063"/>
      <c r="AL448" s="1063"/>
      <c r="AM448" s="1063"/>
      <c r="AN448" s="1063"/>
      <c r="AO448" s="1063"/>
      <c r="AP448" s="1063"/>
      <c r="AQ448" s="1063"/>
      <c r="AR448" s="1063"/>
      <c r="AS448" s="1063"/>
      <c r="AT448" s="1063"/>
      <c r="AU448" s="1063"/>
      <c r="AV448" s="1063"/>
    </row>
    <row r="449" spans="1:48" s="1108" customFormat="1" ht="27.75" customHeight="1">
      <c r="A449" s="1076"/>
      <c r="B449" s="1074"/>
      <c r="D449" s="1063"/>
      <c r="F449" s="1076"/>
      <c r="G449" s="1063"/>
      <c r="H449" s="1063"/>
      <c r="I449" s="1063"/>
      <c r="J449" s="1063"/>
      <c r="K449" s="1063"/>
      <c r="L449" s="1063"/>
      <c r="M449" s="1063"/>
      <c r="N449" s="1063"/>
      <c r="O449" s="1063"/>
      <c r="P449" s="1063"/>
      <c r="Q449" s="1063"/>
      <c r="R449" s="1063"/>
      <c r="S449" s="1063"/>
      <c r="T449" s="1063"/>
      <c r="U449" s="1063"/>
      <c r="V449" s="1063"/>
      <c r="W449" s="1063"/>
      <c r="X449" s="1063"/>
      <c r="Y449" s="1063"/>
      <c r="Z449" s="1063"/>
      <c r="AA449" s="1063"/>
      <c r="AB449" s="1063"/>
      <c r="AC449" s="1063"/>
      <c r="AD449" s="1063"/>
      <c r="AE449" s="1063"/>
      <c r="AF449" s="1063"/>
      <c r="AG449" s="1063"/>
      <c r="AH449" s="1063"/>
      <c r="AI449" s="1063"/>
      <c r="AJ449" s="1063"/>
      <c r="AK449" s="1063"/>
      <c r="AL449" s="1063"/>
      <c r="AM449" s="1063"/>
      <c r="AN449" s="1063"/>
      <c r="AO449" s="1063"/>
      <c r="AP449" s="1063"/>
      <c r="AQ449" s="1063"/>
      <c r="AR449" s="1063"/>
      <c r="AS449" s="1063"/>
      <c r="AT449" s="1063"/>
      <c r="AU449" s="1063"/>
      <c r="AV449" s="1063"/>
    </row>
    <row r="450" spans="1:48" s="1108" customFormat="1" ht="27.75" customHeight="1">
      <c r="A450" s="1076"/>
      <c r="B450" s="1074"/>
      <c r="D450" s="1063"/>
      <c r="F450" s="1076"/>
      <c r="G450" s="1063"/>
      <c r="H450" s="1063"/>
      <c r="I450" s="1063"/>
      <c r="J450" s="1063"/>
      <c r="K450" s="1063"/>
      <c r="L450" s="1063"/>
      <c r="M450" s="1063"/>
      <c r="N450" s="1063"/>
      <c r="O450" s="1063"/>
      <c r="P450" s="1063"/>
      <c r="Q450" s="1063"/>
      <c r="R450" s="1063"/>
      <c r="S450" s="1063"/>
      <c r="T450" s="1063"/>
      <c r="U450" s="1063"/>
      <c r="V450" s="1063"/>
      <c r="W450" s="1063"/>
      <c r="X450" s="1063"/>
      <c r="Y450" s="1063"/>
      <c r="Z450" s="1063"/>
      <c r="AA450" s="1063"/>
      <c r="AB450" s="1063"/>
      <c r="AC450" s="1063"/>
      <c r="AD450" s="1063"/>
      <c r="AE450" s="1063"/>
      <c r="AF450" s="1063"/>
      <c r="AG450" s="1063"/>
      <c r="AH450" s="1063"/>
      <c r="AI450" s="1063"/>
      <c r="AJ450" s="1063"/>
      <c r="AK450" s="1063"/>
      <c r="AL450" s="1063"/>
      <c r="AM450" s="1063"/>
      <c r="AN450" s="1063"/>
      <c r="AO450" s="1063"/>
      <c r="AP450" s="1063"/>
      <c r="AQ450" s="1063"/>
      <c r="AR450" s="1063"/>
      <c r="AS450" s="1063"/>
      <c r="AT450" s="1063"/>
      <c r="AU450" s="1063"/>
      <c r="AV450" s="1063"/>
    </row>
    <row r="451" spans="1:48" s="1108" customFormat="1" ht="27.75" customHeight="1">
      <c r="A451" s="1076"/>
      <c r="B451" s="1074"/>
      <c r="D451" s="1063"/>
      <c r="F451" s="1076"/>
      <c r="G451" s="1063"/>
      <c r="H451" s="1063"/>
      <c r="I451" s="1063"/>
      <c r="J451" s="1063"/>
      <c r="K451" s="1063"/>
      <c r="L451" s="1063"/>
      <c r="M451" s="1063"/>
      <c r="N451" s="1063"/>
      <c r="O451" s="1063"/>
      <c r="P451" s="1063"/>
      <c r="Q451" s="1063"/>
      <c r="R451" s="1063"/>
      <c r="S451" s="1063"/>
      <c r="T451" s="1063"/>
      <c r="U451" s="1063"/>
      <c r="V451" s="1063"/>
      <c r="W451" s="1063"/>
      <c r="X451" s="1063"/>
      <c r="Y451" s="1063"/>
      <c r="Z451" s="1063"/>
      <c r="AA451" s="1063"/>
      <c r="AB451" s="1063"/>
      <c r="AC451" s="1063"/>
      <c r="AD451" s="1063"/>
      <c r="AE451" s="1063"/>
      <c r="AF451" s="1063"/>
      <c r="AG451" s="1063"/>
      <c r="AH451" s="1063"/>
      <c r="AI451" s="1063"/>
      <c r="AJ451" s="1063"/>
      <c r="AK451" s="1063"/>
      <c r="AL451" s="1063"/>
      <c r="AM451" s="1063"/>
      <c r="AN451" s="1063"/>
      <c r="AO451" s="1063"/>
      <c r="AP451" s="1063"/>
      <c r="AQ451" s="1063"/>
      <c r="AR451" s="1063"/>
      <c r="AS451" s="1063"/>
      <c r="AT451" s="1063"/>
      <c r="AU451" s="1063"/>
      <c r="AV451" s="1063"/>
    </row>
    <row r="452" spans="1:48" s="1108" customFormat="1" ht="27.75" customHeight="1">
      <c r="A452" s="1076"/>
      <c r="B452" s="1074"/>
      <c r="D452" s="1063"/>
      <c r="F452" s="1076"/>
      <c r="G452" s="1063"/>
      <c r="H452" s="1063"/>
      <c r="I452" s="1063"/>
      <c r="J452" s="1063"/>
      <c r="K452" s="1063"/>
      <c r="L452" s="1063"/>
      <c r="M452" s="1063"/>
      <c r="N452" s="1063"/>
      <c r="O452" s="1063"/>
      <c r="P452" s="1063"/>
      <c r="Q452" s="1063"/>
      <c r="R452" s="1063"/>
      <c r="S452" s="1063"/>
      <c r="T452" s="1063"/>
      <c r="U452" s="1063"/>
      <c r="V452" s="1063"/>
      <c r="W452" s="1063"/>
      <c r="X452" s="1063"/>
      <c r="Y452" s="1063"/>
      <c r="Z452" s="1063"/>
      <c r="AA452" s="1063"/>
      <c r="AB452" s="1063"/>
      <c r="AC452" s="1063"/>
      <c r="AD452" s="1063"/>
      <c r="AE452" s="1063"/>
      <c r="AF452" s="1063"/>
      <c r="AG452" s="1063"/>
      <c r="AH452" s="1063"/>
      <c r="AI452" s="1063"/>
      <c r="AJ452" s="1063"/>
      <c r="AK452" s="1063"/>
      <c r="AL452" s="1063"/>
      <c r="AM452" s="1063"/>
      <c r="AN452" s="1063"/>
      <c r="AO452" s="1063"/>
      <c r="AP452" s="1063"/>
      <c r="AQ452" s="1063"/>
      <c r="AR452" s="1063"/>
      <c r="AS452" s="1063"/>
      <c r="AT452" s="1063"/>
      <c r="AU452" s="1063"/>
      <c r="AV452" s="1063"/>
    </row>
    <row r="453" spans="1:48" s="1108" customFormat="1" ht="27.75" customHeight="1">
      <c r="A453" s="1076"/>
      <c r="B453" s="1074"/>
      <c r="D453" s="1063"/>
      <c r="F453" s="1076"/>
      <c r="G453" s="1063"/>
      <c r="H453" s="1063"/>
      <c r="I453" s="1063"/>
      <c r="J453" s="1063"/>
      <c r="K453" s="1063"/>
      <c r="L453" s="1063"/>
      <c r="M453" s="1063"/>
      <c r="N453" s="1063"/>
      <c r="O453" s="1063"/>
      <c r="P453" s="1063"/>
      <c r="Q453" s="1063"/>
      <c r="R453" s="1063"/>
      <c r="S453" s="1063"/>
      <c r="T453" s="1063"/>
      <c r="U453" s="1063"/>
      <c r="V453" s="1063"/>
      <c r="W453" s="1063"/>
      <c r="X453" s="1063"/>
      <c r="Y453" s="1063"/>
      <c r="Z453" s="1063"/>
      <c r="AA453" s="1063"/>
      <c r="AB453" s="1063"/>
      <c r="AC453" s="1063"/>
      <c r="AD453" s="1063"/>
      <c r="AE453" s="1063"/>
      <c r="AF453" s="1063"/>
      <c r="AG453" s="1063"/>
      <c r="AH453" s="1063"/>
      <c r="AI453" s="1063"/>
      <c r="AJ453" s="1063"/>
      <c r="AK453" s="1063"/>
      <c r="AL453" s="1063"/>
      <c r="AM453" s="1063"/>
      <c r="AN453" s="1063"/>
      <c r="AO453" s="1063"/>
      <c r="AP453" s="1063"/>
      <c r="AQ453" s="1063"/>
      <c r="AR453" s="1063"/>
      <c r="AS453" s="1063"/>
      <c r="AT453" s="1063"/>
      <c r="AU453" s="1063"/>
      <c r="AV453" s="1063"/>
    </row>
    <row r="454" spans="1:48" s="1108" customFormat="1" ht="27.75" customHeight="1">
      <c r="A454" s="1076"/>
      <c r="B454" s="1074"/>
      <c r="D454" s="1063"/>
      <c r="F454" s="1076"/>
      <c r="G454" s="1063"/>
      <c r="H454" s="1063"/>
      <c r="I454" s="1063"/>
      <c r="J454" s="1063"/>
      <c r="K454" s="1063"/>
      <c r="L454" s="1063"/>
      <c r="M454" s="1063"/>
      <c r="N454" s="1063"/>
      <c r="O454" s="1063"/>
      <c r="P454" s="1063"/>
      <c r="Q454" s="1063"/>
      <c r="R454" s="1063"/>
      <c r="S454" s="1063"/>
      <c r="T454" s="1063"/>
      <c r="U454" s="1063"/>
      <c r="V454" s="1063"/>
      <c r="W454" s="1063"/>
      <c r="X454" s="1063"/>
      <c r="Y454" s="1063"/>
      <c r="Z454" s="1063"/>
      <c r="AA454" s="1063"/>
      <c r="AB454" s="1063"/>
      <c r="AC454" s="1063"/>
      <c r="AD454" s="1063"/>
      <c r="AE454" s="1063"/>
      <c r="AF454" s="1063"/>
      <c r="AG454" s="1063"/>
      <c r="AH454" s="1063"/>
      <c r="AI454" s="1063"/>
      <c r="AJ454" s="1063"/>
      <c r="AK454" s="1063"/>
      <c r="AL454" s="1063"/>
      <c r="AM454" s="1063"/>
      <c r="AN454" s="1063"/>
      <c r="AO454" s="1063"/>
      <c r="AP454" s="1063"/>
      <c r="AQ454" s="1063"/>
      <c r="AR454" s="1063"/>
      <c r="AS454" s="1063"/>
      <c r="AT454" s="1063"/>
      <c r="AU454" s="1063"/>
      <c r="AV454" s="1063"/>
    </row>
    <row r="455" spans="1:48" s="1108" customFormat="1" ht="27.75" customHeight="1">
      <c r="A455" s="1076"/>
      <c r="B455" s="1074"/>
      <c r="D455" s="1063"/>
      <c r="F455" s="1076"/>
      <c r="G455" s="1063"/>
      <c r="H455" s="1063"/>
      <c r="I455" s="1063"/>
      <c r="J455" s="1063"/>
      <c r="K455" s="1063"/>
      <c r="L455" s="1063"/>
      <c r="M455" s="1063"/>
      <c r="N455" s="1063"/>
      <c r="O455" s="1063"/>
      <c r="P455" s="1063"/>
      <c r="Q455" s="1063"/>
      <c r="R455" s="1063"/>
      <c r="S455" s="1063"/>
      <c r="T455" s="1063"/>
      <c r="U455" s="1063"/>
      <c r="V455" s="1063"/>
      <c r="W455" s="1063"/>
      <c r="X455" s="1063"/>
      <c r="Y455" s="1063"/>
      <c r="Z455" s="1063"/>
      <c r="AA455" s="1063"/>
      <c r="AB455" s="1063"/>
      <c r="AC455" s="1063"/>
      <c r="AD455" s="1063"/>
      <c r="AE455" s="1063"/>
      <c r="AF455" s="1063"/>
      <c r="AG455" s="1063"/>
      <c r="AH455" s="1063"/>
      <c r="AI455" s="1063"/>
      <c r="AJ455" s="1063"/>
      <c r="AK455" s="1063"/>
      <c r="AL455" s="1063"/>
      <c r="AM455" s="1063"/>
      <c r="AN455" s="1063"/>
      <c r="AO455" s="1063"/>
      <c r="AP455" s="1063"/>
      <c r="AQ455" s="1063"/>
      <c r="AR455" s="1063"/>
      <c r="AS455" s="1063"/>
      <c r="AT455" s="1063"/>
      <c r="AU455" s="1063"/>
      <c r="AV455" s="1063"/>
    </row>
    <row r="456" spans="1:48" s="1108" customFormat="1" ht="27.75" customHeight="1">
      <c r="A456" s="1076"/>
      <c r="B456" s="1074"/>
      <c r="D456" s="1063"/>
      <c r="F456" s="1076"/>
      <c r="G456" s="1063"/>
      <c r="H456" s="1063"/>
      <c r="I456" s="1063"/>
      <c r="J456" s="1063"/>
      <c r="K456" s="1063"/>
      <c r="L456" s="1063"/>
      <c r="M456" s="1063"/>
      <c r="N456" s="1063"/>
      <c r="O456" s="1063"/>
      <c r="P456" s="1063"/>
      <c r="Q456" s="1063"/>
      <c r="R456" s="1063"/>
      <c r="S456" s="1063"/>
      <c r="T456" s="1063"/>
      <c r="U456" s="1063"/>
      <c r="V456" s="1063"/>
      <c r="W456" s="1063"/>
      <c r="X456" s="1063"/>
      <c r="Y456" s="1063"/>
      <c r="Z456" s="1063"/>
      <c r="AA456" s="1063"/>
      <c r="AB456" s="1063"/>
      <c r="AC456" s="1063"/>
      <c r="AD456" s="1063"/>
      <c r="AE456" s="1063"/>
      <c r="AF456" s="1063"/>
      <c r="AG456" s="1063"/>
      <c r="AH456" s="1063"/>
      <c r="AI456" s="1063"/>
      <c r="AJ456" s="1063"/>
      <c r="AK456" s="1063"/>
      <c r="AL456" s="1063"/>
      <c r="AM456" s="1063"/>
      <c r="AN456" s="1063"/>
      <c r="AO456" s="1063"/>
      <c r="AP456" s="1063"/>
      <c r="AQ456" s="1063"/>
      <c r="AR456" s="1063"/>
      <c r="AS456" s="1063"/>
      <c r="AT456" s="1063"/>
      <c r="AU456" s="1063"/>
      <c r="AV456" s="1063"/>
    </row>
    <row r="457" spans="1:48" s="1108" customFormat="1" ht="27.75" customHeight="1">
      <c r="A457" s="1076"/>
      <c r="B457" s="1074"/>
      <c r="D457" s="1063"/>
      <c r="F457" s="1076"/>
      <c r="G457" s="1063"/>
      <c r="H457" s="1063"/>
      <c r="I457" s="1063"/>
      <c r="J457" s="1063"/>
      <c r="K457" s="1063"/>
      <c r="L457" s="1063"/>
      <c r="M457" s="1063"/>
      <c r="N457" s="1063"/>
      <c r="O457" s="1063"/>
      <c r="P457" s="1063"/>
      <c r="Q457" s="1063"/>
      <c r="R457" s="1063"/>
      <c r="S457" s="1063"/>
      <c r="T457" s="1063"/>
      <c r="U457" s="1063"/>
      <c r="V457" s="1063"/>
      <c r="W457" s="1063"/>
      <c r="X457" s="1063"/>
      <c r="Y457" s="1063"/>
      <c r="Z457" s="1063"/>
      <c r="AA457" s="1063"/>
      <c r="AB457" s="1063"/>
      <c r="AC457" s="1063"/>
      <c r="AD457" s="1063"/>
      <c r="AE457" s="1063"/>
      <c r="AF457" s="1063"/>
      <c r="AG457" s="1063"/>
      <c r="AH457" s="1063"/>
      <c r="AI457" s="1063"/>
      <c r="AJ457" s="1063"/>
      <c r="AK457" s="1063"/>
      <c r="AL457" s="1063"/>
      <c r="AM457" s="1063"/>
      <c r="AN457" s="1063"/>
      <c r="AO457" s="1063"/>
      <c r="AP457" s="1063"/>
      <c r="AQ457" s="1063"/>
      <c r="AR457" s="1063"/>
      <c r="AS457" s="1063"/>
      <c r="AT457" s="1063"/>
      <c r="AU457" s="1063"/>
      <c r="AV457" s="1063"/>
    </row>
    <row r="458" spans="1:48" s="1108" customFormat="1" ht="27.75" customHeight="1">
      <c r="A458" s="1076"/>
      <c r="B458" s="1074"/>
      <c r="D458" s="1063"/>
      <c r="F458" s="1076"/>
      <c r="G458" s="1063"/>
      <c r="H458" s="1063"/>
      <c r="I458" s="1063"/>
      <c r="J458" s="1063"/>
      <c r="K458" s="1063"/>
      <c r="L458" s="1063"/>
      <c r="M458" s="1063"/>
      <c r="N458" s="1063"/>
      <c r="O458" s="1063"/>
      <c r="P458" s="1063"/>
      <c r="Q458" s="1063"/>
      <c r="R458" s="1063"/>
      <c r="S458" s="1063"/>
      <c r="T458" s="1063"/>
      <c r="U458" s="1063"/>
      <c r="V458" s="1063"/>
      <c r="W458" s="1063"/>
      <c r="X458" s="1063"/>
      <c r="Y458" s="1063"/>
      <c r="Z458" s="1063"/>
      <c r="AA458" s="1063"/>
      <c r="AB458" s="1063"/>
      <c r="AC458" s="1063"/>
      <c r="AD458" s="1063"/>
      <c r="AE458" s="1063"/>
      <c r="AF458" s="1063"/>
      <c r="AG458" s="1063"/>
      <c r="AH458" s="1063"/>
      <c r="AI458" s="1063"/>
      <c r="AJ458" s="1063"/>
      <c r="AK458" s="1063"/>
      <c r="AL458" s="1063"/>
      <c r="AM458" s="1063"/>
      <c r="AN458" s="1063"/>
      <c r="AO458" s="1063"/>
      <c r="AP458" s="1063"/>
      <c r="AQ458" s="1063"/>
      <c r="AR458" s="1063"/>
      <c r="AS458" s="1063"/>
      <c r="AT458" s="1063"/>
      <c r="AU458" s="1063"/>
      <c r="AV458" s="1063"/>
    </row>
    <row r="459" spans="1:48" s="1108" customFormat="1" ht="27.75" customHeight="1">
      <c r="A459" s="1076"/>
      <c r="B459" s="1074"/>
      <c r="D459" s="1063"/>
      <c r="F459" s="1076"/>
      <c r="G459" s="1063"/>
      <c r="H459" s="1063"/>
      <c r="I459" s="1063"/>
      <c r="J459" s="1063"/>
      <c r="K459" s="1063"/>
      <c r="L459" s="1063"/>
      <c r="M459" s="1063"/>
      <c r="N459" s="1063"/>
      <c r="O459" s="1063"/>
      <c r="P459" s="1063"/>
      <c r="Q459" s="1063"/>
      <c r="R459" s="1063"/>
      <c r="S459" s="1063"/>
      <c r="T459" s="1063"/>
      <c r="U459" s="1063"/>
      <c r="V459" s="1063"/>
      <c r="W459" s="1063"/>
      <c r="X459" s="1063"/>
      <c r="Y459" s="1063"/>
      <c r="Z459" s="1063"/>
      <c r="AA459" s="1063"/>
      <c r="AB459" s="1063"/>
      <c r="AC459" s="1063"/>
      <c r="AD459" s="1063"/>
      <c r="AE459" s="1063"/>
      <c r="AF459" s="1063"/>
      <c r="AG459" s="1063"/>
      <c r="AH459" s="1063"/>
      <c r="AI459" s="1063"/>
      <c r="AJ459" s="1063"/>
      <c r="AK459" s="1063"/>
      <c r="AL459" s="1063"/>
      <c r="AM459" s="1063"/>
      <c r="AN459" s="1063"/>
      <c r="AO459" s="1063"/>
      <c r="AP459" s="1063"/>
      <c r="AQ459" s="1063"/>
      <c r="AR459" s="1063"/>
      <c r="AS459" s="1063"/>
      <c r="AT459" s="1063"/>
      <c r="AU459" s="1063"/>
      <c r="AV459" s="1063"/>
    </row>
    <row r="460" spans="1:48" s="1108" customFormat="1" ht="27.75" customHeight="1">
      <c r="A460" s="1076"/>
      <c r="B460" s="1074"/>
      <c r="D460" s="1063"/>
      <c r="F460" s="1076"/>
      <c r="G460" s="1063"/>
      <c r="H460" s="1063"/>
      <c r="I460" s="1063"/>
      <c r="J460" s="1063"/>
      <c r="K460" s="1063"/>
      <c r="L460" s="1063"/>
      <c r="M460" s="1063"/>
      <c r="N460" s="1063"/>
      <c r="O460" s="1063"/>
      <c r="P460" s="1063"/>
      <c r="Q460" s="1063"/>
      <c r="R460" s="1063"/>
      <c r="S460" s="1063"/>
      <c r="T460" s="1063"/>
      <c r="U460" s="1063"/>
      <c r="V460" s="1063"/>
      <c r="W460" s="1063"/>
      <c r="X460" s="1063"/>
      <c r="Y460" s="1063"/>
      <c r="Z460" s="1063"/>
      <c r="AA460" s="1063"/>
      <c r="AB460" s="1063"/>
      <c r="AC460" s="1063"/>
      <c r="AD460" s="1063"/>
      <c r="AE460" s="1063"/>
      <c r="AF460" s="1063"/>
      <c r="AG460" s="1063"/>
      <c r="AH460" s="1063"/>
      <c r="AI460" s="1063"/>
      <c r="AJ460" s="1063"/>
      <c r="AK460" s="1063"/>
      <c r="AL460" s="1063"/>
      <c r="AM460" s="1063"/>
      <c r="AN460" s="1063"/>
      <c r="AO460" s="1063"/>
      <c r="AP460" s="1063"/>
      <c r="AQ460" s="1063"/>
      <c r="AR460" s="1063"/>
      <c r="AS460" s="1063"/>
      <c r="AT460" s="1063"/>
      <c r="AU460" s="1063"/>
      <c r="AV460" s="1063"/>
    </row>
    <row r="461" spans="1:48" s="1108" customFormat="1" ht="27.75" customHeight="1">
      <c r="A461" s="1076"/>
      <c r="B461" s="1074"/>
      <c r="D461" s="1063"/>
      <c r="F461" s="1076"/>
      <c r="G461" s="1063"/>
      <c r="H461" s="1063"/>
      <c r="I461" s="1063"/>
      <c r="J461" s="1063"/>
      <c r="K461" s="1063"/>
      <c r="L461" s="1063"/>
      <c r="M461" s="1063"/>
      <c r="N461" s="1063"/>
      <c r="O461" s="1063"/>
      <c r="P461" s="1063"/>
      <c r="Q461" s="1063"/>
      <c r="R461" s="1063"/>
      <c r="S461" s="1063"/>
      <c r="T461" s="1063"/>
      <c r="U461" s="1063"/>
      <c r="V461" s="1063"/>
      <c r="W461" s="1063"/>
      <c r="X461" s="1063"/>
      <c r="Y461" s="1063"/>
      <c r="Z461" s="1063"/>
      <c r="AA461" s="1063"/>
      <c r="AB461" s="1063"/>
      <c r="AC461" s="1063"/>
      <c r="AD461" s="1063"/>
      <c r="AE461" s="1063"/>
      <c r="AF461" s="1063"/>
      <c r="AG461" s="1063"/>
      <c r="AH461" s="1063"/>
      <c r="AI461" s="1063"/>
      <c r="AJ461" s="1063"/>
      <c r="AK461" s="1063"/>
      <c r="AL461" s="1063"/>
      <c r="AM461" s="1063"/>
      <c r="AN461" s="1063"/>
      <c r="AO461" s="1063"/>
      <c r="AP461" s="1063"/>
      <c r="AQ461" s="1063"/>
      <c r="AR461" s="1063"/>
      <c r="AS461" s="1063"/>
      <c r="AT461" s="1063"/>
      <c r="AU461" s="1063"/>
      <c r="AV461" s="1063"/>
    </row>
    <row r="462" spans="1:48" s="1108" customFormat="1" ht="27.75" customHeight="1">
      <c r="A462" s="1076"/>
      <c r="B462" s="1074"/>
      <c r="D462" s="1063"/>
      <c r="F462" s="1076"/>
      <c r="G462" s="1063"/>
      <c r="H462" s="1063"/>
      <c r="I462" s="1063"/>
      <c r="J462" s="1063"/>
      <c r="K462" s="1063"/>
      <c r="L462" s="1063"/>
      <c r="M462" s="1063"/>
      <c r="N462" s="1063"/>
      <c r="O462" s="1063"/>
      <c r="P462" s="1063"/>
      <c r="Q462" s="1063"/>
      <c r="R462" s="1063"/>
      <c r="S462" s="1063"/>
      <c r="T462" s="1063"/>
      <c r="U462" s="1063"/>
      <c r="V462" s="1063"/>
      <c r="W462" s="1063"/>
      <c r="X462" s="1063"/>
      <c r="Y462" s="1063"/>
      <c r="Z462" s="1063"/>
      <c r="AA462" s="1063"/>
      <c r="AB462" s="1063"/>
      <c r="AC462" s="1063"/>
      <c r="AD462" s="1063"/>
      <c r="AE462" s="1063"/>
      <c r="AF462" s="1063"/>
      <c r="AG462" s="1063"/>
      <c r="AH462" s="1063"/>
      <c r="AI462" s="1063"/>
      <c r="AJ462" s="1063"/>
      <c r="AK462" s="1063"/>
      <c r="AL462" s="1063"/>
      <c r="AM462" s="1063"/>
      <c r="AN462" s="1063"/>
      <c r="AO462" s="1063"/>
      <c r="AP462" s="1063"/>
      <c r="AQ462" s="1063"/>
      <c r="AR462" s="1063"/>
      <c r="AS462" s="1063"/>
      <c r="AT462" s="1063"/>
      <c r="AU462" s="1063"/>
      <c r="AV462" s="1063"/>
    </row>
    <row r="463" spans="1:48" s="1108" customFormat="1" ht="27.75" customHeight="1">
      <c r="A463" s="1076"/>
      <c r="B463" s="1074"/>
      <c r="D463" s="1063"/>
      <c r="F463" s="1076"/>
      <c r="G463" s="1063"/>
      <c r="H463" s="1063"/>
      <c r="I463" s="1063"/>
      <c r="J463" s="1063"/>
      <c r="K463" s="1063"/>
      <c r="L463" s="1063"/>
      <c r="M463" s="1063"/>
      <c r="N463" s="1063"/>
      <c r="O463" s="1063"/>
      <c r="P463" s="1063"/>
      <c r="Q463" s="1063"/>
      <c r="R463" s="1063"/>
      <c r="S463" s="1063"/>
      <c r="T463" s="1063"/>
      <c r="U463" s="1063"/>
      <c r="V463" s="1063"/>
      <c r="W463" s="1063"/>
      <c r="X463" s="1063"/>
      <c r="Y463" s="1063"/>
      <c r="Z463" s="1063"/>
      <c r="AA463" s="1063"/>
      <c r="AB463" s="1063"/>
      <c r="AC463" s="1063"/>
      <c r="AD463" s="1063"/>
      <c r="AE463" s="1063"/>
      <c r="AF463" s="1063"/>
      <c r="AG463" s="1063"/>
      <c r="AH463" s="1063"/>
      <c r="AI463" s="1063"/>
      <c r="AJ463" s="1063"/>
      <c r="AK463" s="1063"/>
      <c r="AL463" s="1063"/>
      <c r="AM463" s="1063"/>
      <c r="AN463" s="1063"/>
      <c r="AO463" s="1063"/>
      <c r="AP463" s="1063"/>
      <c r="AQ463" s="1063"/>
      <c r="AR463" s="1063"/>
      <c r="AS463" s="1063"/>
      <c r="AT463" s="1063"/>
      <c r="AU463" s="1063"/>
      <c r="AV463" s="1063"/>
    </row>
    <row r="464" spans="1:48" s="1108" customFormat="1" ht="27.75" customHeight="1">
      <c r="A464" s="1076"/>
      <c r="B464" s="1074"/>
      <c r="D464" s="1063"/>
      <c r="F464" s="1076"/>
      <c r="G464" s="1063"/>
      <c r="H464" s="1063"/>
      <c r="I464" s="1063"/>
      <c r="J464" s="1063"/>
      <c r="K464" s="1063"/>
      <c r="L464" s="1063"/>
      <c r="M464" s="1063"/>
      <c r="N464" s="1063"/>
      <c r="O464" s="1063"/>
      <c r="P464" s="1063"/>
      <c r="Q464" s="1063"/>
      <c r="R464" s="1063"/>
      <c r="S464" s="1063"/>
      <c r="T464" s="1063"/>
      <c r="U464" s="1063"/>
      <c r="V464" s="1063"/>
      <c r="W464" s="1063"/>
      <c r="X464" s="1063"/>
      <c r="Y464" s="1063"/>
      <c r="Z464" s="1063"/>
      <c r="AA464" s="1063"/>
      <c r="AB464" s="1063"/>
      <c r="AC464" s="1063"/>
      <c r="AD464" s="1063"/>
      <c r="AE464" s="1063"/>
      <c r="AF464" s="1063"/>
      <c r="AG464" s="1063"/>
      <c r="AH464" s="1063"/>
      <c r="AI464" s="1063"/>
      <c r="AJ464" s="1063"/>
      <c r="AK464" s="1063"/>
      <c r="AL464" s="1063"/>
      <c r="AM464" s="1063"/>
      <c r="AN464" s="1063"/>
      <c r="AO464" s="1063"/>
      <c r="AP464" s="1063"/>
      <c r="AQ464" s="1063"/>
      <c r="AR464" s="1063"/>
      <c r="AS464" s="1063"/>
      <c r="AT464" s="1063"/>
      <c r="AU464" s="1063"/>
      <c r="AV464" s="1063"/>
    </row>
    <row r="465" spans="1:48" s="1108" customFormat="1" ht="27.75" customHeight="1">
      <c r="A465" s="1076"/>
      <c r="B465" s="1074"/>
      <c r="D465" s="1063"/>
      <c r="F465" s="1076"/>
      <c r="G465" s="1063"/>
      <c r="H465" s="1063"/>
      <c r="I465" s="1063"/>
      <c r="J465" s="1063"/>
      <c r="K465" s="1063"/>
      <c r="L465" s="1063"/>
      <c r="M465" s="1063"/>
      <c r="N465" s="1063"/>
      <c r="O465" s="1063"/>
      <c r="P465" s="1063"/>
      <c r="Q465" s="1063"/>
      <c r="R465" s="1063"/>
      <c r="S465" s="1063"/>
      <c r="T465" s="1063"/>
      <c r="U465" s="1063"/>
      <c r="V465" s="1063"/>
      <c r="W465" s="1063"/>
      <c r="X465" s="1063"/>
      <c r="Y465" s="1063"/>
      <c r="Z465" s="1063"/>
      <c r="AA465" s="1063"/>
      <c r="AB465" s="1063"/>
      <c r="AC465" s="1063"/>
      <c r="AD465" s="1063"/>
      <c r="AE465" s="1063"/>
      <c r="AF465" s="1063"/>
      <c r="AG465" s="1063"/>
      <c r="AH465" s="1063"/>
      <c r="AI465" s="1063"/>
      <c r="AJ465" s="1063"/>
      <c r="AK465" s="1063"/>
      <c r="AL465" s="1063"/>
      <c r="AM465" s="1063"/>
      <c r="AN465" s="1063"/>
      <c r="AO465" s="1063"/>
      <c r="AP465" s="1063"/>
      <c r="AQ465" s="1063"/>
      <c r="AR465" s="1063"/>
      <c r="AS465" s="1063"/>
      <c r="AT465" s="1063"/>
      <c r="AU465" s="1063"/>
      <c r="AV465" s="1063"/>
    </row>
    <row r="466" spans="1:48" s="1108" customFormat="1" ht="27.75" customHeight="1">
      <c r="A466" s="1076"/>
      <c r="B466" s="1074"/>
      <c r="D466" s="1063"/>
      <c r="F466" s="1076"/>
      <c r="G466" s="1063"/>
      <c r="H466" s="1063"/>
      <c r="I466" s="1063"/>
      <c r="J466" s="1063"/>
      <c r="K466" s="1063"/>
      <c r="L466" s="1063"/>
      <c r="M466" s="1063"/>
      <c r="N466" s="1063"/>
      <c r="O466" s="1063"/>
      <c r="P466" s="1063"/>
      <c r="Q466" s="1063"/>
      <c r="R466" s="1063"/>
      <c r="S466" s="1063"/>
      <c r="T466" s="1063"/>
      <c r="U466" s="1063"/>
      <c r="V466" s="1063"/>
      <c r="W466" s="1063"/>
      <c r="X466" s="1063"/>
      <c r="Y466" s="1063"/>
      <c r="Z466" s="1063"/>
      <c r="AA466" s="1063"/>
      <c r="AB466" s="1063"/>
      <c r="AC466" s="1063"/>
      <c r="AD466" s="1063"/>
      <c r="AE466" s="1063"/>
      <c r="AF466" s="1063"/>
      <c r="AG466" s="1063"/>
      <c r="AH466" s="1063"/>
      <c r="AI466" s="1063"/>
      <c r="AJ466" s="1063"/>
      <c r="AK466" s="1063"/>
      <c r="AL466" s="1063"/>
      <c r="AM466" s="1063"/>
      <c r="AN466" s="1063"/>
      <c r="AO466" s="1063"/>
      <c r="AP466" s="1063"/>
      <c r="AQ466" s="1063"/>
      <c r="AR466" s="1063"/>
      <c r="AS466" s="1063"/>
      <c r="AT466" s="1063"/>
      <c r="AU466" s="1063"/>
      <c r="AV466" s="1063"/>
    </row>
    <row r="467" spans="1:48" s="1108" customFormat="1" ht="27.75" customHeight="1">
      <c r="A467" s="1076"/>
      <c r="B467" s="1074"/>
      <c r="D467" s="1063"/>
      <c r="F467" s="1076"/>
      <c r="G467" s="1063"/>
      <c r="H467" s="1063"/>
      <c r="I467" s="1063"/>
      <c r="J467" s="1063"/>
      <c r="K467" s="1063"/>
      <c r="L467" s="1063"/>
      <c r="M467" s="1063"/>
      <c r="N467" s="1063"/>
      <c r="O467" s="1063"/>
      <c r="P467" s="1063"/>
      <c r="Q467" s="1063"/>
      <c r="R467" s="1063"/>
      <c r="S467" s="1063"/>
      <c r="T467" s="1063"/>
      <c r="U467" s="1063"/>
      <c r="V467" s="1063"/>
      <c r="W467" s="1063"/>
      <c r="X467" s="1063"/>
      <c r="Y467" s="1063"/>
      <c r="Z467" s="1063"/>
      <c r="AA467" s="1063"/>
      <c r="AB467" s="1063"/>
      <c r="AC467" s="1063"/>
      <c r="AD467" s="1063"/>
      <c r="AE467" s="1063"/>
      <c r="AF467" s="1063"/>
      <c r="AG467" s="1063"/>
      <c r="AH467" s="1063"/>
      <c r="AI467" s="1063"/>
      <c r="AJ467" s="1063"/>
      <c r="AK467" s="1063"/>
      <c r="AL467" s="1063"/>
      <c r="AM467" s="1063"/>
      <c r="AN467" s="1063"/>
      <c r="AO467" s="1063"/>
      <c r="AP467" s="1063"/>
      <c r="AQ467" s="1063"/>
      <c r="AR467" s="1063"/>
      <c r="AS467" s="1063"/>
      <c r="AT467" s="1063"/>
      <c r="AU467" s="1063"/>
      <c r="AV467" s="1063"/>
    </row>
    <row r="468" spans="1:48" s="1108" customFormat="1" ht="27.75" customHeight="1">
      <c r="A468" s="1076"/>
      <c r="B468" s="1074"/>
      <c r="D468" s="1063"/>
      <c r="F468" s="1076"/>
      <c r="G468" s="1063"/>
      <c r="H468" s="1063"/>
      <c r="I468" s="1063"/>
      <c r="J468" s="1063"/>
      <c r="K468" s="1063"/>
      <c r="L468" s="1063"/>
      <c r="M468" s="1063"/>
      <c r="N468" s="1063"/>
      <c r="O468" s="1063"/>
      <c r="P468" s="1063"/>
      <c r="Q468" s="1063"/>
      <c r="R468" s="1063"/>
      <c r="S468" s="1063"/>
      <c r="T468" s="1063"/>
      <c r="U468" s="1063"/>
      <c r="V468" s="1063"/>
      <c r="W468" s="1063"/>
      <c r="X468" s="1063"/>
      <c r="Y468" s="1063"/>
      <c r="Z468" s="1063"/>
      <c r="AA468" s="1063"/>
      <c r="AB468" s="1063"/>
      <c r="AC468" s="1063"/>
      <c r="AD468" s="1063"/>
      <c r="AE468" s="1063"/>
      <c r="AF468" s="1063"/>
      <c r="AG468" s="1063"/>
      <c r="AH468" s="1063"/>
      <c r="AI468" s="1063"/>
      <c r="AJ468" s="1063"/>
      <c r="AK468" s="1063"/>
      <c r="AL468" s="1063"/>
      <c r="AM468" s="1063"/>
      <c r="AN468" s="1063"/>
      <c r="AO468" s="1063"/>
      <c r="AP468" s="1063"/>
      <c r="AQ468" s="1063"/>
      <c r="AR468" s="1063"/>
      <c r="AS468" s="1063"/>
      <c r="AT468" s="1063"/>
      <c r="AU468" s="1063"/>
      <c r="AV468" s="1063"/>
    </row>
    <row r="469" spans="1:48" s="1108" customFormat="1" ht="27.75" customHeight="1">
      <c r="A469" s="1076"/>
      <c r="B469" s="1074"/>
      <c r="D469" s="1063"/>
      <c r="F469" s="1076"/>
      <c r="G469" s="1063"/>
      <c r="H469" s="1063"/>
      <c r="I469" s="1063"/>
      <c r="J469" s="1063"/>
      <c r="K469" s="1063"/>
      <c r="L469" s="1063"/>
      <c r="M469" s="1063"/>
      <c r="N469" s="1063"/>
      <c r="O469" s="1063"/>
      <c r="P469" s="1063"/>
      <c r="Q469" s="1063"/>
      <c r="R469" s="1063"/>
      <c r="S469" s="1063"/>
      <c r="T469" s="1063"/>
      <c r="U469" s="1063"/>
      <c r="V469" s="1063"/>
      <c r="W469" s="1063"/>
      <c r="X469" s="1063"/>
      <c r="Y469" s="1063"/>
      <c r="Z469" s="1063"/>
      <c r="AA469" s="1063"/>
      <c r="AB469" s="1063"/>
      <c r="AC469" s="1063"/>
      <c r="AD469" s="1063"/>
      <c r="AE469" s="1063"/>
      <c r="AF469" s="1063"/>
      <c r="AG469" s="1063"/>
      <c r="AH469" s="1063"/>
      <c r="AI469" s="1063"/>
      <c r="AJ469" s="1063"/>
      <c r="AK469" s="1063"/>
      <c r="AL469" s="1063"/>
      <c r="AM469" s="1063"/>
      <c r="AN469" s="1063"/>
      <c r="AO469" s="1063"/>
      <c r="AP469" s="1063"/>
      <c r="AQ469" s="1063"/>
      <c r="AR469" s="1063"/>
      <c r="AS469" s="1063"/>
      <c r="AT469" s="1063"/>
      <c r="AU469" s="1063"/>
      <c r="AV469" s="1063"/>
    </row>
    <row r="470" spans="1:48" s="1108" customFormat="1" ht="27.75" customHeight="1">
      <c r="A470" s="1076"/>
      <c r="B470" s="1074"/>
      <c r="D470" s="1063"/>
      <c r="F470" s="1076"/>
      <c r="G470" s="1063"/>
      <c r="H470" s="1063"/>
      <c r="I470" s="1063"/>
      <c r="J470" s="1063"/>
      <c r="K470" s="1063"/>
      <c r="L470" s="1063"/>
      <c r="M470" s="1063"/>
      <c r="N470" s="1063"/>
      <c r="O470" s="1063"/>
      <c r="P470" s="1063"/>
      <c r="Q470" s="1063"/>
      <c r="R470" s="1063"/>
      <c r="S470" s="1063"/>
      <c r="T470" s="1063"/>
      <c r="U470" s="1063"/>
      <c r="V470" s="1063"/>
      <c r="W470" s="1063"/>
      <c r="X470" s="1063"/>
      <c r="Y470" s="1063"/>
      <c r="Z470" s="1063"/>
      <c r="AA470" s="1063"/>
      <c r="AB470" s="1063"/>
      <c r="AC470" s="1063"/>
      <c r="AD470" s="1063"/>
      <c r="AE470" s="1063"/>
      <c r="AF470" s="1063"/>
      <c r="AG470" s="1063"/>
      <c r="AH470" s="1063"/>
      <c r="AI470" s="1063"/>
      <c r="AJ470" s="1063"/>
      <c r="AK470" s="1063"/>
      <c r="AL470" s="1063"/>
      <c r="AM470" s="1063"/>
      <c r="AN470" s="1063"/>
      <c r="AO470" s="1063"/>
      <c r="AP470" s="1063"/>
      <c r="AQ470" s="1063"/>
      <c r="AR470" s="1063"/>
      <c r="AS470" s="1063"/>
      <c r="AT470" s="1063"/>
      <c r="AU470" s="1063"/>
      <c r="AV470" s="1063"/>
    </row>
    <row r="471" spans="1:48" s="1108" customFormat="1" ht="27.75" customHeight="1">
      <c r="A471" s="1076"/>
      <c r="B471" s="1074"/>
      <c r="D471" s="1063"/>
      <c r="F471" s="1076"/>
      <c r="G471" s="1063"/>
      <c r="H471" s="1063"/>
      <c r="I471" s="1063"/>
      <c r="J471" s="1063"/>
      <c r="K471" s="1063"/>
      <c r="L471" s="1063"/>
      <c r="M471" s="1063"/>
      <c r="N471" s="1063"/>
      <c r="O471" s="1063"/>
      <c r="P471" s="1063"/>
      <c r="Q471" s="1063"/>
      <c r="R471" s="1063"/>
      <c r="S471" s="1063"/>
      <c r="T471" s="1063"/>
      <c r="U471" s="1063"/>
      <c r="V471" s="1063"/>
      <c r="W471" s="1063"/>
      <c r="X471" s="1063"/>
      <c r="Y471" s="1063"/>
      <c r="Z471" s="1063"/>
      <c r="AA471" s="1063"/>
      <c r="AB471" s="1063"/>
      <c r="AC471" s="1063"/>
      <c r="AD471" s="1063"/>
      <c r="AE471" s="1063"/>
      <c r="AF471" s="1063"/>
      <c r="AG471" s="1063"/>
      <c r="AH471" s="1063"/>
      <c r="AI471" s="1063"/>
      <c r="AJ471" s="1063"/>
      <c r="AK471" s="1063"/>
      <c r="AL471" s="1063"/>
      <c r="AM471" s="1063"/>
      <c r="AN471" s="1063"/>
      <c r="AO471" s="1063"/>
      <c r="AP471" s="1063"/>
      <c r="AQ471" s="1063"/>
      <c r="AR471" s="1063"/>
      <c r="AS471" s="1063"/>
      <c r="AT471" s="1063"/>
      <c r="AU471" s="1063"/>
      <c r="AV471" s="1063"/>
    </row>
    <row r="472" spans="1:48" s="1108" customFormat="1" ht="27.75" customHeight="1">
      <c r="A472" s="1076"/>
      <c r="B472" s="1074"/>
      <c r="D472" s="1063"/>
      <c r="F472" s="1076"/>
      <c r="G472" s="1063"/>
      <c r="H472" s="1063"/>
      <c r="I472" s="1063"/>
      <c r="J472" s="1063"/>
      <c r="K472" s="1063"/>
      <c r="L472" s="1063"/>
      <c r="M472" s="1063"/>
      <c r="N472" s="1063"/>
      <c r="O472" s="1063"/>
      <c r="P472" s="1063"/>
      <c r="Q472" s="1063"/>
      <c r="R472" s="1063"/>
      <c r="S472" s="1063"/>
      <c r="T472" s="1063"/>
      <c r="U472" s="1063"/>
      <c r="V472" s="1063"/>
      <c r="W472" s="1063"/>
      <c r="X472" s="1063"/>
      <c r="Y472" s="1063"/>
      <c r="Z472" s="1063"/>
      <c r="AA472" s="1063"/>
      <c r="AB472" s="1063"/>
      <c r="AC472" s="1063"/>
      <c r="AD472" s="1063"/>
      <c r="AE472" s="1063"/>
      <c r="AF472" s="1063"/>
      <c r="AG472" s="1063"/>
      <c r="AH472" s="1063"/>
      <c r="AI472" s="1063"/>
      <c r="AJ472" s="1063"/>
      <c r="AK472" s="1063"/>
      <c r="AL472" s="1063"/>
      <c r="AM472" s="1063"/>
      <c r="AN472" s="1063"/>
      <c r="AO472" s="1063"/>
      <c r="AP472" s="1063"/>
      <c r="AQ472" s="1063"/>
      <c r="AR472" s="1063"/>
      <c r="AS472" s="1063"/>
      <c r="AT472" s="1063"/>
      <c r="AU472" s="1063"/>
      <c r="AV472" s="1063"/>
    </row>
    <row r="473" spans="1:48" s="1108" customFormat="1" ht="27.75" customHeight="1">
      <c r="A473" s="1076"/>
      <c r="B473" s="1074"/>
      <c r="D473" s="1063"/>
      <c r="F473" s="1076"/>
      <c r="G473" s="1063"/>
      <c r="H473" s="1063"/>
      <c r="I473" s="1063"/>
      <c r="J473" s="1063"/>
      <c r="K473" s="1063"/>
      <c r="L473" s="1063"/>
      <c r="M473" s="1063"/>
      <c r="N473" s="1063"/>
      <c r="O473" s="1063"/>
      <c r="P473" s="1063"/>
      <c r="Q473" s="1063"/>
      <c r="R473" s="1063"/>
      <c r="S473" s="1063"/>
      <c r="T473" s="1063"/>
      <c r="U473" s="1063"/>
      <c r="V473" s="1063"/>
      <c r="W473" s="1063"/>
      <c r="X473" s="1063"/>
      <c r="Y473" s="1063"/>
      <c r="Z473" s="1063"/>
      <c r="AA473" s="1063"/>
      <c r="AB473" s="1063"/>
      <c r="AC473" s="1063"/>
      <c r="AD473" s="1063"/>
      <c r="AE473" s="1063"/>
      <c r="AF473" s="1063"/>
      <c r="AG473" s="1063"/>
      <c r="AH473" s="1063"/>
      <c r="AI473" s="1063"/>
      <c r="AJ473" s="1063"/>
      <c r="AK473" s="1063"/>
      <c r="AL473" s="1063"/>
      <c r="AM473" s="1063"/>
      <c r="AN473" s="1063"/>
      <c r="AO473" s="1063"/>
      <c r="AP473" s="1063"/>
      <c r="AQ473" s="1063"/>
      <c r="AR473" s="1063"/>
      <c r="AS473" s="1063"/>
      <c r="AT473" s="1063"/>
      <c r="AU473" s="1063"/>
      <c r="AV473" s="1063"/>
    </row>
    <row r="474" spans="1:48" s="1108" customFormat="1" ht="27.75" customHeight="1">
      <c r="A474" s="1076"/>
      <c r="B474" s="1074"/>
      <c r="D474" s="1063"/>
      <c r="F474" s="1076"/>
      <c r="G474" s="1063"/>
      <c r="H474" s="1063"/>
      <c r="I474" s="1063"/>
      <c r="J474" s="1063"/>
      <c r="K474" s="1063"/>
      <c r="L474" s="1063"/>
      <c r="M474" s="1063"/>
      <c r="N474" s="1063"/>
      <c r="O474" s="1063"/>
      <c r="P474" s="1063"/>
      <c r="Q474" s="1063"/>
      <c r="R474" s="1063"/>
      <c r="S474" s="1063"/>
      <c r="T474" s="1063"/>
      <c r="U474" s="1063"/>
      <c r="V474" s="1063"/>
      <c r="W474" s="1063"/>
      <c r="X474" s="1063"/>
      <c r="Y474" s="1063"/>
      <c r="Z474" s="1063"/>
      <c r="AA474" s="1063"/>
      <c r="AB474" s="1063"/>
      <c r="AC474" s="1063"/>
      <c r="AD474" s="1063"/>
      <c r="AE474" s="1063"/>
      <c r="AF474" s="1063"/>
      <c r="AG474" s="1063"/>
      <c r="AH474" s="1063"/>
      <c r="AI474" s="1063"/>
      <c r="AJ474" s="1063"/>
      <c r="AK474" s="1063"/>
      <c r="AL474" s="1063"/>
      <c r="AM474" s="1063"/>
      <c r="AN474" s="1063"/>
      <c r="AO474" s="1063"/>
      <c r="AP474" s="1063"/>
      <c r="AQ474" s="1063"/>
      <c r="AR474" s="1063"/>
      <c r="AS474" s="1063"/>
      <c r="AT474" s="1063"/>
      <c r="AU474" s="1063"/>
      <c r="AV474" s="1063"/>
    </row>
    <row r="475" spans="1:48" s="1108" customFormat="1" ht="27.75" customHeight="1">
      <c r="A475" s="1076"/>
      <c r="B475" s="1074"/>
      <c r="D475" s="1063"/>
      <c r="F475" s="1076"/>
      <c r="G475" s="1063"/>
      <c r="H475" s="1063"/>
      <c r="I475" s="1063"/>
      <c r="J475" s="1063"/>
      <c r="K475" s="1063"/>
      <c r="L475" s="1063"/>
      <c r="M475" s="1063"/>
      <c r="N475" s="1063"/>
      <c r="O475" s="1063"/>
      <c r="P475" s="1063"/>
      <c r="Q475" s="1063"/>
      <c r="R475" s="1063"/>
      <c r="S475" s="1063"/>
      <c r="T475" s="1063"/>
      <c r="U475" s="1063"/>
      <c r="V475" s="1063"/>
      <c r="W475" s="1063"/>
      <c r="X475" s="1063"/>
      <c r="Y475" s="1063"/>
      <c r="Z475" s="1063"/>
      <c r="AA475" s="1063"/>
      <c r="AB475" s="1063"/>
      <c r="AC475" s="1063"/>
      <c r="AD475" s="1063"/>
      <c r="AE475" s="1063"/>
      <c r="AF475" s="1063"/>
      <c r="AG475" s="1063"/>
      <c r="AH475" s="1063"/>
      <c r="AI475" s="1063"/>
      <c r="AJ475" s="1063"/>
      <c r="AK475" s="1063"/>
      <c r="AL475" s="1063"/>
      <c r="AM475" s="1063"/>
      <c r="AN475" s="1063"/>
      <c r="AO475" s="1063"/>
      <c r="AP475" s="1063"/>
      <c r="AQ475" s="1063"/>
      <c r="AR475" s="1063"/>
      <c r="AS475" s="1063"/>
      <c r="AT475" s="1063"/>
      <c r="AU475" s="1063"/>
      <c r="AV475" s="1063"/>
    </row>
    <row r="476" spans="1:48" s="1108" customFormat="1" ht="27.75" customHeight="1">
      <c r="A476" s="1076"/>
      <c r="B476" s="1074"/>
      <c r="D476" s="1063"/>
      <c r="F476" s="1076"/>
      <c r="G476" s="1063"/>
      <c r="H476" s="1063"/>
      <c r="I476" s="1063"/>
      <c r="J476" s="1063"/>
      <c r="K476" s="1063"/>
      <c r="L476" s="1063"/>
      <c r="M476" s="1063"/>
      <c r="N476" s="1063"/>
      <c r="O476" s="1063"/>
      <c r="P476" s="1063"/>
      <c r="Q476" s="1063"/>
      <c r="R476" s="1063"/>
      <c r="S476" s="1063"/>
      <c r="T476" s="1063"/>
      <c r="U476" s="1063"/>
      <c r="V476" s="1063"/>
      <c r="W476" s="1063"/>
      <c r="X476" s="1063"/>
      <c r="Y476" s="1063"/>
      <c r="Z476" s="1063"/>
      <c r="AA476" s="1063"/>
      <c r="AB476" s="1063"/>
      <c r="AC476" s="1063"/>
      <c r="AD476" s="1063"/>
      <c r="AE476" s="1063"/>
      <c r="AF476" s="1063"/>
      <c r="AG476" s="1063"/>
      <c r="AH476" s="1063"/>
      <c r="AI476" s="1063"/>
      <c r="AJ476" s="1063"/>
      <c r="AK476" s="1063"/>
      <c r="AL476" s="1063"/>
      <c r="AM476" s="1063"/>
      <c r="AN476" s="1063"/>
      <c r="AO476" s="1063"/>
      <c r="AP476" s="1063"/>
      <c r="AQ476" s="1063"/>
      <c r="AR476" s="1063"/>
      <c r="AS476" s="1063"/>
      <c r="AT476" s="1063"/>
      <c r="AU476" s="1063"/>
      <c r="AV476" s="1063"/>
    </row>
    <row r="477" spans="1:48" s="1108" customFormat="1" ht="27.75" customHeight="1">
      <c r="A477" s="1076"/>
      <c r="B477" s="1074"/>
      <c r="D477" s="1063"/>
      <c r="F477" s="1076"/>
      <c r="G477" s="1063"/>
      <c r="H477" s="1063"/>
      <c r="I477" s="1063"/>
      <c r="J477" s="1063"/>
      <c r="K477" s="1063"/>
      <c r="L477" s="1063"/>
      <c r="M477" s="1063"/>
      <c r="N477" s="1063"/>
      <c r="O477" s="1063"/>
      <c r="P477" s="1063"/>
      <c r="Q477" s="1063"/>
      <c r="R477" s="1063"/>
      <c r="S477" s="1063"/>
      <c r="T477" s="1063"/>
      <c r="U477" s="1063"/>
      <c r="V477" s="1063"/>
      <c r="W477" s="1063"/>
      <c r="X477" s="1063"/>
      <c r="Y477" s="1063"/>
      <c r="Z477" s="1063"/>
      <c r="AA477" s="1063"/>
      <c r="AB477" s="1063"/>
      <c r="AC477" s="1063"/>
      <c r="AD477" s="1063"/>
      <c r="AE477" s="1063"/>
      <c r="AF477" s="1063"/>
      <c r="AG477" s="1063"/>
      <c r="AH477" s="1063"/>
      <c r="AI477" s="1063"/>
      <c r="AJ477" s="1063"/>
      <c r="AK477" s="1063"/>
      <c r="AL477" s="1063"/>
      <c r="AM477" s="1063"/>
      <c r="AN477" s="1063"/>
      <c r="AO477" s="1063"/>
      <c r="AP477" s="1063"/>
      <c r="AQ477" s="1063"/>
      <c r="AR477" s="1063"/>
      <c r="AS477" s="1063"/>
      <c r="AT477" s="1063"/>
      <c r="AU477" s="1063"/>
      <c r="AV477" s="1063"/>
    </row>
    <row r="478" spans="1:48" s="1108" customFormat="1" ht="27.75" customHeight="1">
      <c r="A478" s="1076"/>
      <c r="B478" s="1074"/>
      <c r="D478" s="1063"/>
      <c r="F478" s="1076"/>
      <c r="G478" s="1063"/>
      <c r="H478" s="1063"/>
      <c r="I478" s="1063"/>
      <c r="J478" s="1063"/>
      <c r="K478" s="1063"/>
      <c r="L478" s="1063"/>
      <c r="M478" s="1063"/>
      <c r="N478" s="1063"/>
      <c r="O478" s="1063"/>
      <c r="P478" s="1063"/>
      <c r="Q478" s="1063"/>
      <c r="R478" s="1063"/>
      <c r="S478" s="1063"/>
      <c r="T478" s="1063"/>
      <c r="U478" s="1063"/>
      <c r="V478" s="1063"/>
      <c r="W478" s="1063"/>
      <c r="X478" s="1063"/>
      <c r="Y478" s="1063"/>
      <c r="Z478" s="1063"/>
      <c r="AA478" s="1063"/>
      <c r="AB478" s="1063"/>
      <c r="AC478" s="1063"/>
      <c r="AD478" s="1063"/>
      <c r="AE478" s="1063"/>
      <c r="AF478" s="1063"/>
      <c r="AG478" s="1063"/>
      <c r="AH478" s="1063"/>
      <c r="AI478" s="1063"/>
      <c r="AJ478" s="1063"/>
      <c r="AK478" s="1063"/>
      <c r="AL478" s="1063"/>
      <c r="AM478" s="1063"/>
      <c r="AN478" s="1063"/>
      <c r="AO478" s="1063"/>
      <c r="AP478" s="1063"/>
      <c r="AQ478" s="1063"/>
      <c r="AR478" s="1063"/>
      <c r="AS478" s="1063"/>
      <c r="AT478" s="1063"/>
      <c r="AU478" s="1063"/>
      <c r="AV478" s="1063"/>
    </row>
    <row r="479" spans="1:48" s="1108" customFormat="1" ht="27.75" customHeight="1">
      <c r="A479" s="1076"/>
      <c r="B479" s="1074"/>
      <c r="D479" s="1063"/>
      <c r="F479" s="1076"/>
      <c r="G479" s="1063"/>
      <c r="H479" s="1063"/>
      <c r="I479" s="1063"/>
      <c r="J479" s="1063"/>
      <c r="K479" s="1063"/>
      <c r="L479" s="1063"/>
      <c r="M479" s="1063"/>
      <c r="N479" s="1063"/>
      <c r="O479" s="1063"/>
      <c r="P479" s="1063"/>
      <c r="Q479" s="1063"/>
      <c r="R479" s="1063"/>
      <c r="S479" s="1063"/>
      <c r="T479" s="1063"/>
      <c r="U479" s="1063"/>
      <c r="V479" s="1063"/>
      <c r="W479" s="1063"/>
      <c r="X479" s="1063"/>
      <c r="Y479" s="1063"/>
      <c r="Z479" s="1063"/>
      <c r="AA479" s="1063"/>
      <c r="AB479" s="1063"/>
      <c r="AC479" s="1063"/>
      <c r="AD479" s="1063"/>
      <c r="AE479" s="1063"/>
      <c r="AF479" s="1063"/>
      <c r="AG479" s="1063"/>
      <c r="AH479" s="1063"/>
      <c r="AI479" s="1063"/>
      <c r="AJ479" s="1063"/>
      <c r="AK479" s="1063"/>
      <c r="AL479" s="1063"/>
      <c r="AM479" s="1063"/>
      <c r="AN479" s="1063"/>
      <c r="AO479" s="1063"/>
      <c r="AP479" s="1063"/>
      <c r="AQ479" s="1063"/>
      <c r="AR479" s="1063"/>
      <c r="AS479" s="1063"/>
      <c r="AT479" s="1063"/>
      <c r="AU479" s="1063"/>
      <c r="AV479" s="1063"/>
    </row>
    <row r="480" spans="1:48" s="1108" customFormat="1" ht="27.75" customHeight="1">
      <c r="A480" s="1076"/>
      <c r="B480" s="1074"/>
      <c r="D480" s="1063"/>
      <c r="F480" s="1076"/>
      <c r="G480" s="1063"/>
      <c r="H480" s="1063"/>
      <c r="I480" s="1063"/>
      <c r="J480" s="1063"/>
      <c r="K480" s="1063"/>
      <c r="L480" s="1063"/>
      <c r="M480" s="1063"/>
      <c r="N480" s="1063"/>
      <c r="O480" s="1063"/>
      <c r="P480" s="1063"/>
      <c r="Q480" s="1063"/>
      <c r="R480" s="1063"/>
      <c r="S480" s="1063"/>
      <c r="T480" s="1063"/>
      <c r="U480" s="1063"/>
      <c r="V480" s="1063"/>
      <c r="W480" s="1063"/>
      <c r="X480" s="1063"/>
      <c r="Y480" s="1063"/>
      <c r="Z480" s="1063"/>
      <c r="AA480" s="1063"/>
      <c r="AB480" s="1063"/>
      <c r="AC480" s="1063"/>
      <c r="AD480" s="1063"/>
      <c r="AE480" s="1063"/>
      <c r="AF480" s="1063"/>
      <c r="AG480" s="1063"/>
      <c r="AH480" s="1063"/>
      <c r="AI480" s="1063"/>
      <c r="AJ480" s="1063"/>
      <c r="AK480" s="1063"/>
      <c r="AL480" s="1063"/>
      <c r="AM480" s="1063"/>
      <c r="AN480" s="1063"/>
      <c r="AO480" s="1063"/>
      <c r="AP480" s="1063"/>
      <c r="AQ480" s="1063"/>
      <c r="AR480" s="1063"/>
      <c r="AS480" s="1063"/>
      <c r="AT480" s="1063"/>
      <c r="AU480" s="1063"/>
      <c r="AV480" s="1063"/>
    </row>
    <row r="481" spans="1:48" s="1108" customFormat="1" ht="27.75" customHeight="1">
      <c r="A481" s="1076"/>
      <c r="B481" s="1074"/>
      <c r="D481" s="1063"/>
      <c r="F481" s="1076"/>
      <c r="G481" s="1063"/>
      <c r="H481" s="1063"/>
      <c r="I481" s="1063"/>
      <c r="J481" s="1063"/>
      <c r="K481" s="1063"/>
      <c r="L481" s="1063"/>
      <c r="M481" s="1063"/>
      <c r="N481" s="1063"/>
      <c r="O481" s="1063"/>
      <c r="P481" s="1063"/>
      <c r="Q481" s="1063"/>
      <c r="R481" s="1063"/>
      <c r="S481" s="1063"/>
      <c r="T481" s="1063"/>
      <c r="U481" s="1063"/>
      <c r="V481" s="1063"/>
      <c r="W481" s="1063"/>
      <c r="X481" s="1063"/>
      <c r="Y481" s="1063"/>
      <c r="Z481" s="1063"/>
      <c r="AA481" s="1063"/>
      <c r="AB481" s="1063"/>
      <c r="AC481" s="1063"/>
      <c r="AD481" s="1063"/>
      <c r="AE481" s="1063"/>
      <c r="AF481" s="1063"/>
      <c r="AG481" s="1063"/>
      <c r="AH481" s="1063"/>
      <c r="AI481" s="1063"/>
      <c r="AJ481" s="1063"/>
      <c r="AK481" s="1063"/>
      <c r="AL481" s="1063"/>
      <c r="AM481" s="1063"/>
      <c r="AN481" s="1063"/>
      <c r="AO481" s="1063"/>
      <c r="AP481" s="1063"/>
      <c r="AQ481" s="1063"/>
      <c r="AR481" s="1063"/>
      <c r="AS481" s="1063"/>
      <c r="AT481" s="1063"/>
      <c r="AU481" s="1063"/>
      <c r="AV481" s="1063"/>
    </row>
    <row r="482" spans="1:48" s="1108" customFormat="1" ht="27.75" customHeight="1">
      <c r="A482" s="1076"/>
      <c r="B482" s="1074"/>
      <c r="D482" s="1063"/>
      <c r="F482" s="1076"/>
      <c r="G482" s="1063"/>
      <c r="H482" s="1063"/>
      <c r="I482" s="1063"/>
      <c r="J482" s="1063"/>
      <c r="K482" s="1063"/>
      <c r="L482" s="1063"/>
      <c r="M482" s="1063"/>
      <c r="N482" s="1063"/>
      <c r="O482" s="1063"/>
      <c r="P482" s="1063"/>
      <c r="Q482" s="1063"/>
      <c r="R482" s="1063"/>
      <c r="S482" s="1063"/>
      <c r="T482" s="1063"/>
      <c r="U482" s="1063"/>
      <c r="V482" s="1063"/>
      <c r="W482" s="1063"/>
      <c r="X482" s="1063"/>
      <c r="Y482" s="1063"/>
      <c r="Z482" s="1063"/>
      <c r="AA482" s="1063"/>
      <c r="AB482" s="1063"/>
      <c r="AC482" s="1063"/>
      <c r="AD482" s="1063"/>
      <c r="AE482" s="1063"/>
      <c r="AF482" s="1063"/>
      <c r="AG482" s="1063"/>
      <c r="AH482" s="1063"/>
      <c r="AI482" s="1063"/>
      <c r="AJ482" s="1063"/>
      <c r="AK482" s="1063"/>
      <c r="AL482" s="1063"/>
      <c r="AM482" s="1063"/>
      <c r="AN482" s="1063"/>
      <c r="AO482" s="1063"/>
      <c r="AP482" s="1063"/>
      <c r="AQ482" s="1063"/>
      <c r="AR482" s="1063"/>
      <c r="AS482" s="1063"/>
      <c r="AT482" s="1063"/>
      <c r="AU482" s="1063"/>
      <c r="AV482" s="1063"/>
    </row>
    <row r="483" spans="1:48" s="1108" customFormat="1" ht="27.75" customHeight="1">
      <c r="A483" s="1076"/>
      <c r="B483" s="1074"/>
      <c r="D483" s="1063"/>
      <c r="F483" s="1076"/>
      <c r="G483" s="1063"/>
      <c r="H483" s="1063"/>
      <c r="I483" s="1063"/>
      <c r="J483" s="1063"/>
      <c r="K483" s="1063"/>
      <c r="L483" s="1063"/>
      <c r="M483" s="1063"/>
      <c r="N483" s="1063"/>
      <c r="O483" s="1063"/>
      <c r="P483" s="1063"/>
      <c r="Q483" s="1063"/>
      <c r="R483" s="1063"/>
      <c r="S483" s="1063"/>
      <c r="T483" s="1063"/>
      <c r="U483" s="1063"/>
      <c r="V483" s="1063"/>
      <c r="W483" s="1063"/>
      <c r="X483" s="1063"/>
      <c r="Y483" s="1063"/>
      <c r="Z483" s="1063"/>
      <c r="AA483" s="1063"/>
      <c r="AB483" s="1063"/>
      <c r="AC483" s="1063"/>
      <c r="AD483" s="1063"/>
      <c r="AE483" s="1063"/>
      <c r="AF483" s="1063"/>
      <c r="AG483" s="1063"/>
      <c r="AH483" s="1063"/>
      <c r="AI483" s="1063"/>
      <c r="AJ483" s="1063"/>
      <c r="AK483" s="1063"/>
      <c r="AL483" s="1063"/>
      <c r="AM483" s="1063"/>
      <c r="AN483" s="1063"/>
      <c r="AO483" s="1063"/>
      <c r="AP483" s="1063"/>
      <c r="AQ483" s="1063"/>
      <c r="AR483" s="1063"/>
      <c r="AS483" s="1063"/>
      <c r="AT483" s="1063"/>
      <c r="AU483" s="1063"/>
      <c r="AV483" s="1063"/>
    </row>
    <row r="484" spans="1:48" s="1108" customFormat="1" ht="27.75" customHeight="1">
      <c r="A484" s="1076"/>
      <c r="B484" s="1074"/>
      <c r="D484" s="1063"/>
      <c r="F484" s="1076"/>
      <c r="G484" s="1063"/>
      <c r="H484" s="1063"/>
      <c r="I484" s="1063"/>
      <c r="J484" s="1063"/>
      <c r="K484" s="1063"/>
      <c r="L484" s="1063"/>
      <c r="M484" s="1063"/>
      <c r="N484" s="1063"/>
      <c r="O484" s="1063"/>
      <c r="P484" s="1063"/>
      <c r="Q484" s="1063"/>
      <c r="R484" s="1063"/>
      <c r="S484" s="1063"/>
      <c r="T484" s="1063"/>
      <c r="U484" s="1063"/>
      <c r="V484" s="1063"/>
      <c r="W484" s="1063"/>
      <c r="X484" s="1063"/>
      <c r="Y484" s="1063"/>
      <c r="Z484" s="1063"/>
      <c r="AA484" s="1063"/>
      <c r="AB484" s="1063"/>
      <c r="AC484" s="1063"/>
      <c r="AD484" s="1063"/>
      <c r="AE484" s="1063"/>
      <c r="AF484" s="1063"/>
      <c r="AG484" s="1063"/>
      <c r="AH484" s="1063"/>
      <c r="AI484" s="1063"/>
      <c r="AJ484" s="1063"/>
      <c r="AK484" s="1063"/>
      <c r="AL484" s="1063"/>
      <c r="AM484" s="1063"/>
      <c r="AN484" s="1063"/>
      <c r="AO484" s="1063"/>
      <c r="AP484" s="1063"/>
      <c r="AQ484" s="1063"/>
      <c r="AR484" s="1063"/>
      <c r="AS484" s="1063"/>
      <c r="AT484" s="1063"/>
      <c r="AU484" s="1063"/>
      <c r="AV484" s="1063"/>
    </row>
    <row r="485" spans="1:48" s="1108" customFormat="1" ht="27.75" customHeight="1">
      <c r="A485" s="1076"/>
      <c r="B485" s="1074"/>
      <c r="D485" s="1063"/>
      <c r="F485" s="1076"/>
      <c r="G485" s="1063"/>
      <c r="H485" s="1063"/>
      <c r="I485" s="1063"/>
      <c r="J485" s="1063"/>
      <c r="K485" s="1063"/>
      <c r="L485" s="1063"/>
      <c r="M485" s="1063"/>
      <c r="N485" s="1063"/>
      <c r="O485" s="1063"/>
      <c r="P485" s="1063"/>
      <c r="Q485" s="1063"/>
      <c r="R485" s="1063"/>
      <c r="S485" s="1063"/>
      <c r="T485" s="1063"/>
      <c r="U485" s="1063"/>
      <c r="V485" s="1063"/>
      <c r="W485" s="1063"/>
      <c r="X485" s="1063"/>
      <c r="Y485" s="1063"/>
      <c r="Z485" s="1063"/>
      <c r="AA485" s="1063"/>
      <c r="AB485" s="1063"/>
      <c r="AC485" s="1063"/>
      <c r="AD485" s="1063"/>
      <c r="AE485" s="1063"/>
      <c r="AF485" s="1063"/>
      <c r="AG485" s="1063"/>
      <c r="AH485" s="1063"/>
      <c r="AI485" s="1063"/>
      <c r="AJ485" s="1063"/>
      <c r="AK485" s="1063"/>
      <c r="AL485" s="1063"/>
      <c r="AM485" s="1063"/>
      <c r="AN485" s="1063"/>
      <c r="AO485" s="1063"/>
      <c r="AP485" s="1063"/>
      <c r="AQ485" s="1063"/>
      <c r="AR485" s="1063"/>
      <c r="AS485" s="1063"/>
      <c r="AT485" s="1063"/>
      <c r="AU485" s="1063"/>
      <c r="AV485" s="1063"/>
    </row>
    <row r="486" spans="1:48" s="1108" customFormat="1" ht="27.75" customHeight="1">
      <c r="A486" s="1076"/>
      <c r="B486" s="1074"/>
      <c r="D486" s="1063"/>
      <c r="F486" s="1076"/>
      <c r="G486" s="1063"/>
      <c r="H486" s="1063"/>
      <c r="I486" s="1063"/>
      <c r="J486" s="1063"/>
      <c r="K486" s="1063"/>
      <c r="L486" s="1063"/>
      <c r="M486" s="1063"/>
      <c r="N486" s="1063"/>
      <c r="O486" s="1063"/>
      <c r="P486" s="1063"/>
      <c r="Q486" s="1063"/>
      <c r="R486" s="1063"/>
      <c r="S486" s="1063"/>
      <c r="T486" s="1063"/>
      <c r="U486" s="1063"/>
      <c r="V486" s="1063"/>
      <c r="W486" s="1063"/>
      <c r="X486" s="1063"/>
      <c r="Y486" s="1063"/>
      <c r="Z486" s="1063"/>
      <c r="AA486" s="1063"/>
      <c r="AB486" s="1063"/>
      <c r="AC486" s="1063"/>
      <c r="AD486" s="1063"/>
      <c r="AE486" s="1063"/>
      <c r="AF486" s="1063"/>
      <c r="AG486" s="1063"/>
      <c r="AH486" s="1063"/>
      <c r="AI486" s="1063"/>
      <c r="AJ486" s="1063"/>
      <c r="AK486" s="1063"/>
      <c r="AL486" s="1063"/>
      <c r="AM486" s="1063"/>
      <c r="AN486" s="1063"/>
      <c r="AO486" s="1063"/>
      <c r="AP486" s="1063"/>
      <c r="AQ486" s="1063"/>
      <c r="AR486" s="1063"/>
      <c r="AS486" s="1063"/>
      <c r="AT486" s="1063"/>
      <c r="AU486" s="1063"/>
      <c r="AV486" s="1063"/>
    </row>
    <row r="487" spans="1:48" s="1108" customFormat="1" ht="27.75" customHeight="1">
      <c r="A487" s="1076"/>
      <c r="B487" s="1074"/>
      <c r="D487" s="1063"/>
      <c r="F487" s="1076"/>
      <c r="G487" s="1063"/>
      <c r="H487" s="1063"/>
      <c r="I487" s="1063"/>
      <c r="J487" s="1063"/>
      <c r="K487" s="1063"/>
      <c r="L487" s="1063"/>
      <c r="M487" s="1063"/>
      <c r="N487" s="1063"/>
      <c r="O487" s="1063"/>
      <c r="P487" s="1063"/>
      <c r="Q487" s="1063"/>
      <c r="R487" s="1063"/>
      <c r="S487" s="1063"/>
      <c r="T487" s="1063"/>
      <c r="U487" s="1063"/>
      <c r="V487" s="1063"/>
      <c r="W487" s="1063"/>
      <c r="X487" s="1063"/>
      <c r="Y487" s="1063"/>
      <c r="Z487" s="1063"/>
      <c r="AA487" s="1063"/>
      <c r="AB487" s="1063"/>
      <c r="AC487" s="1063"/>
      <c r="AD487" s="1063"/>
      <c r="AE487" s="1063"/>
      <c r="AF487" s="1063"/>
      <c r="AG487" s="1063"/>
      <c r="AH487" s="1063"/>
      <c r="AI487" s="1063"/>
      <c r="AJ487" s="1063"/>
      <c r="AK487" s="1063"/>
      <c r="AL487" s="1063"/>
      <c r="AM487" s="1063"/>
      <c r="AN487" s="1063"/>
      <c r="AO487" s="1063"/>
      <c r="AP487" s="1063"/>
      <c r="AQ487" s="1063"/>
      <c r="AR487" s="1063"/>
      <c r="AS487" s="1063"/>
      <c r="AT487" s="1063"/>
      <c r="AU487" s="1063"/>
      <c r="AV487" s="1063"/>
    </row>
    <row r="488" spans="1:48" s="1108" customFormat="1" ht="27.75" customHeight="1">
      <c r="A488" s="1076"/>
      <c r="B488" s="1074"/>
      <c r="D488" s="1063"/>
      <c r="F488" s="1076"/>
      <c r="G488" s="1063"/>
      <c r="H488" s="1063"/>
      <c r="I488" s="1063"/>
      <c r="J488" s="1063"/>
      <c r="K488" s="1063"/>
      <c r="L488" s="1063"/>
      <c r="M488" s="1063"/>
      <c r="N488" s="1063"/>
      <c r="O488" s="1063"/>
      <c r="P488" s="1063"/>
      <c r="Q488" s="1063"/>
      <c r="R488" s="1063"/>
      <c r="S488" s="1063"/>
      <c r="T488" s="1063"/>
      <c r="U488" s="1063"/>
      <c r="V488" s="1063"/>
      <c r="W488" s="1063"/>
      <c r="X488" s="1063"/>
      <c r="Y488" s="1063"/>
      <c r="Z488" s="1063"/>
      <c r="AA488" s="1063"/>
      <c r="AB488" s="1063"/>
      <c r="AC488" s="1063"/>
      <c r="AD488" s="1063"/>
      <c r="AE488" s="1063"/>
      <c r="AF488" s="1063"/>
      <c r="AG488" s="1063"/>
      <c r="AH488" s="1063"/>
      <c r="AI488" s="1063"/>
      <c r="AJ488" s="1063"/>
      <c r="AK488" s="1063"/>
      <c r="AL488" s="1063"/>
      <c r="AM488" s="1063"/>
      <c r="AN488" s="1063"/>
      <c r="AO488" s="1063"/>
      <c r="AP488" s="1063"/>
      <c r="AQ488" s="1063"/>
      <c r="AR488" s="1063"/>
      <c r="AS488" s="1063"/>
      <c r="AT488" s="1063"/>
      <c r="AU488" s="1063"/>
      <c r="AV488" s="1063"/>
    </row>
    <row r="489" spans="1:48" s="1108" customFormat="1" ht="27.75" customHeight="1">
      <c r="A489" s="1076"/>
      <c r="B489" s="1074"/>
      <c r="D489" s="1063"/>
      <c r="F489" s="1076"/>
      <c r="G489" s="1063"/>
      <c r="H489" s="1063"/>
      <c r="I489" s="1063"/>
      <c r="J489" s="1063"/>
      <c r="K489" s="1063"/>
      <c r="L489" s="1063"/>
      <c r="M489" s="1063"/>
      <c r="N489" s="1063"/>
      <c r="O489" s="1063"/>
      <c r="P489" s="1063"/>
      <c r="Q489" s="1063"/>
      <c r="R489" s="1063"/>
      <c r="S489" s="1063"/>
      <c r="T489" s="1063"/>
      <c r="U489" s="1063"/>
      <c r="V489" s="1063"/>
      <c r="W489" s="1063"/>
      <c r="X489" s="1063"/>
      <c r="Y489" s="1063"/>
      <c r="Z489" s="1063"/>
      <c r="AA489" s="1063"/>
      <c r="AB489" s="1063"/>
      <c r="AC489" s="1063"/>
      <c r="AD489" s="1063"/>
      <c r="AE489" s="1063"/>
      <c r="AF489" s="1063"/>
      <c r="AG489" s="1063"/>
      <c r="AH489" s="1063"/>
      <c r="AI489" s="1063"/>
      <c r="AJ489" s="1063"/>
      <c r="AK489" s="1063"/>
      <c r="AL489" s="1063"/>
      <c r="AM489" s="1063"/>
      <c r="AN489" s="1063"/>
      <c r="AO489" s="1063"/>
      <c r="AP489" s="1063"/>
      <c r="AQ489" s="1063"/>
      <c r="AR489" s="1063"/>
      <c r="AS489" s="1063"/>
      <c r="AT489" s="1063"/>
      <c r="AU489" s="1063"/>
      <c r="AV489" s="1063"/>
    </row>
    <row r="490" spans="1:48" s="1108" customFormat="1" ht="27.75" customHeight="1">
      <c r="A490" s="1076"/>
      <c r="B490" s="1074"/>
      <c r="D490" s="1063"/>
      <c r="F490" s="1076"/>
      <c r="G490" s="1063"/>
      <c r="H490" s="1063"/>
      <c r="I490" s="1063"/>
      <c r="J490" s="1063"/>
      <c r="K490" s="1063"/>
      <c r="L490" s="1063"/>
      <c r="M490" s="1063"/>
      <c r="N490" s="1063"/>
      <c r="O490" s="1063"/>
      <c r="P490" s="1063"/>
      <c r="Q490" s="1063"/>
      <c r="R490" s="1063"/>
      <c r="S490" s="1063"/>
      <c r="T490" s="1063"/>
      <c r="U490" s="1063"/>
      <c r="V490" s="1063"/>
      <c r="W490" s="1063"/>
      <c r="X490" s="1063"/>
      <c r="Y490" s="1063"/>
      <c r="Z490" s="1063"/>
      <c r="AA490" s="1063"/>
      <c r="AB490" s="1063"/>
      <c r="AC490" s="1063"/>
      <c r="AD490" s="1063"/>
      <c r="AE490" s="1063"/>
      <c r="AF490" s="1063"/>
      <c r="AG490" s="1063"/>
      <c r="AH490" s="1063"/>
      <c r="AI490" s="1063"/>
      <c r="AJ490" s="1063"/>
      <c r="AK490" s="1063"/>
      <c r="AL490" s="1063"/>
      <c r="AM490" s="1063"/>
      <c r="AN490" s="1063"/>
      <c r="AO490" s="1063"/>
      <c r="AP490" s="1063"/>
      <c r="AQ490" s="1063"/>
      <c r="AR490" s="1063"/>
      <c r="AS490" s="1063"/>
      <c r="AT490" s="1063"/>
      <c r="AU490" s="1063"/>
      <c r="AV490" s="1063"/>
    </row>
    <row r="491" spans="1:48" s="1108" customFormat="1" ht="27.75" customHeight="1">
      <c r="A491" s="1076"/>
      <c r="B491" s="1074"/>
      <c r="D491" s="1063"/>
      <c r="F491" s="1076"/>
      <c r="G491" s="1063"/>
      <c r="H491" s="1063"/>
      <c r="I491" s="1063"/>
      <c r="J491" s="1063"/>
      <c r="K491" s="1063"/>
      <c r="L491" s="1063"/>
      <c r="M491" s="1063"/>
      <c r="N491" s="1063"/>
      <c r="O491" s="1063"/>
      <c r="P491" s="1063"/>
      <c r="Q491" s="1063"/>
      <c r="R491" s="1063"/>
      <c r="S491" s="1063"/>
      <c r="T491" s="1063"/>
      <c r="U491" s="1063"/>
      <c r="V491" s="1063"/>
      <c r="W491" s="1063"/>
      <c r="X491" s="1063"/>
      <c r="Y491" s="1063"/>
      <c r="Z491" s="1063"/>
      <c r="AA491" s="1063"/>
      <c r="AB491" s="1063"/>
      <c r="AC491" s="1063"/>
      <c r="AD491" s="1063"/>
      <c r="AE491" s="1063"/>
      <c r="AF491" s="1063"/>
      <c r="AG491" s="1063"/>
      <c r="AH491" s="1063"/>
      <c r="AI491" s="1063"/>
      <c r="AJ491" s="1063"/>
      <c r="AK491" s="1063"/>
      <c r="AL491" s="1063"/>
      <c r="AM491" s="1063"/>
      <c r="AN491" s="1063"/>
      <c r="AO491" s="1063"/>
      <c r="AP491" s="1063"/>
      <c r="AQ491" s="1063"/>
      <c r="AR491" s="1063"/>
      <c r="AS491" s="1063"/>
      <c r="AT491" s="1063"/>
      <c r="AU491" s="1063"/>
      <c r="AV491" s="1063"/>
    </row>
    <row r="492" spans="1:48" s="1108" customFormat="1" ht="27.75" customHeight="1">
      <c r="A492" s="1076"/>
      <c r="B492" s="1074"/>
      <c r="D492" s="1063"/>
      <c r="F492" s="1076"/>
      <c r="G492" s="1063"/>
      <c r="H492" s="1063"/>
      <c r="I492" s="1063"/>
      <c r="J492" s="1063"/>
      <c r="K492" s="1063"/>
      <c r="L492" s="1063"/>
      <c r="M492" s="1063"/>
      <c r="N492" s="1063"/>
      <c r="O492" s="1063"/>
      <c r="P492" s="1063"/>
      <c r="Q492" s="1063"/>
      <c r="R492" s="1063"/>
      <c r="S492" s="1063"/>
      <c r="T492" s="1063"/>
      <c r="U492" s="1063"/>
      <c r="V492" s="1063"/>
      <c r="W492" s="1063"/>
      <c r="X492" s="1063"/>
      <c r="Y492" s="1063"/>
      <c r="Z492" s="1063"/>
      <c r="AA492" s="1063"/>
      <c r="AB492" s="1063"/>
      <c r="AC492" s="1063"/>
      <c r="AD492" s="1063"/>
      <c r="AE492" s="1063"/>
      <c r="AF492" s="1063"/>
      <c r="AG492" s="1063"/>
      <c r="AH492" s="1063"/>
      <c r="AI492" s="1063"/>
      <c r="AJ492" s="1063"/>
      <c r="AK492" s="1063"/>
      <c r="AL492" s="1063"/>
      <c r="AM492" s="1063"/>
      <c r="AN492" s="1063"/>
      <c r="AO492" s="1063"/>
      <c r="AP492" s="1063"/>
      <c r="AQ492" s="1063"/>
      <c r="AR492" s="1063"/>
      <c r="AS492" s="1063"/>
      <c r="AT492" s="1063"/>
      <c r="AU492" s="1063"/>
      <c r="AV492" s="1063"/>
    </row>
    <row r="493" spans="1:48" s="1108" customFormat="1" ht="27.75" customHeight="1">
      <c r="A493" s="1076"/>
      <c r="B493" s="1074"/>
      <c r="D493" s="1063"/>
      <c r="F493" s="1076"/>
      <c r="G493" s="1063"/>
      <c r="H493" s="1063"/>
      <c r="I493" s="1063"/>
      <c r="J493" s="1063"/>
      <c r="K493" s="1063"/>
      <c r="L493" s="1063"/>
      <c r="M493" s="1063"/>
      <c r="N493" s="1063"/>
      <c r="O493" s="1063"/>
      <c r="P493" s="1063"/>
      <c r="Q493" s="1063"/>
      <c r="R493" s="1063"/>
      <c r="S493" s="1063"/>
      <c r="T493" s="1063"/>
      <c r="U493" s="1063"/>
      <c r="V493" s="1063"/>
      <c r="W493" s="1063"/>
      <c r="X493" s="1063"/>
      <c r="Y493" s="1063"/>
      <c r="Z493" s="1063"/>
      <c r="AA493" s="1063"/>
      <c r="AB493" s="1063"/>
      <c r="AC493" s="1063"/>
      <c r="AD493" s="1063"/>
      <c r="AE493" s="1063"/>
      <c r="AF493" s="1063"/>
      <c r="AG493" s="1063"/>
      <c r="AH493" s="1063"/>
      <c r="AI493" s="1063"/>
      <c r="AJ493" s="1063"/>
      <c r="AK493" s="1063"/>
      <c r="AL493" s="1063"/>
      <c r="AM493" s="1063"/>
      <c r="AN493" s="1063"/>
      <c r="AO493" s="1063"/>
      <c r="AP493" s="1063"/>
      <c r="AQ493" s="1063"/>
      <c r="AR493" s="1063"/>
      <c r="AS493" s="1063"/>
      <c r="AT493" s="1063"/>
      <c r="AU493" s="1063"/>
      <c r="AV493" s="1063"/>
    </row>
    <row r="494" spans="1:48" s="1108" customFormat="1" ht="27.75" customHeight="1">
      <c r="A494" s="1076"/>
      <c r="B494" s="1074"/>
      <c r="D494" s="1063"/>
      <c r="F494" s="1076"/>
      <c r="G494" s="1063"/>
      <c r="H494" s="1063"/>
      <c r="I494" s="1063"/>
      <c r="J494" s="1063"/>
      <c r="K494" s="1063"/>
      <c r="L494" s="1063"/>
      <c r="M494" s="1063"/>
      <c r="N494" s="1063"/>
      <c r="O494" s="1063"/>
      <c r="P494" s="1063"/>
      <c r="Q494" s="1063"/>
      <c r="R494" s="1063"/>
      <c r="S494" s="1063"/>
      <c r="T494" s="1063"/>
      <c r="U494" s="1063"/>
      <c r="V494" s="1063"/>
      <c r="W494" s="1063"/>
      <c r="X494" s="1063"/>
      <c r="Y494" s="1063"/>
      <c r="Z494" s="1063"/>
      <c r="AA494" s="1063"/>
      <c r="AB494" s="1063"/>
      <c r="AC494" s="1063"/>
      <c r="AD494" s="1063"/>
      <c r="AE494" s="1063"/>
      <c r="AF494" s="1063"/>
      <c r="AG494" s="1063"/>
      <c r="AH494" s="1063"/>
      <c r="AI494" s="1063"/>
      <c r="AJ494" s="1063"/>
      <c r="AK494" s="1063"/>
      <c r="AL494" s="1063"/>
      <c r="AM494" s="1063"/>
      <c r="AN494" s="1063"/>
      <c r="AO494" s="1063"/>
      <c r="AP494" s="1063"/>
      <c r="AQ494" s="1063"/>
      <c r="AR494" s="1063"/>
      <c r="AS494" s="1063"/>
      <c r="AT494" s="1063"/>
      <c r="AU494" s="1063"/>
      <c r="AV494" s="1063"/>
    </row>
    <row r="495" spans="1:48" s="1108" customFormat="1" ht="27.75" customHeight="1">
      <c r="A495" s="1076"/>
      <c r="B495" s="1074"/>
      <c r="D495" s="1063"/>
      <c r="F495" s="1076"/>
      <c r="G495" s="1063"/>
      <c r="H495" s="1063"/>
      <c r="I495" s="1063"/>
      <c r="J495" s="1063"/>
      <c r="K495" s="1063"/>
      <c r="L495" s="1063"/>
      <c r="M495" s="1063"/>
      <c r="N495" s="1063"/>
      <c r="O495" s="1063"/>
      <c r="P495" s="1063"/>
      <c r="Q495" s="1063"/>
      <c r="R495" s="1063"/>
      <c r="S495" s="1063"/>
      <c r="T495" s="1063"/>
      <c r="U495" s="1063"/>
      <c r="V495" s="1063"/>
      <c r="W495" s="1063"/>
      <c r="X495" s="1063"/>
      <c r="Y495" s="1063"/>
      <c r="Z495" s="1063"/>
      <c r="AA495" s="1063"/>
      <c r="AB495" s="1063"/>
      <c r="AC495" s="1063"/>
      <c r="AD495" s="1063"/>
      <c r="AE495" s="1063"/>
      <c r="AF495" s="1063"/>
      <c r="AG495" s="1063"/>
      <c r="AH495" s="1063"/>
      <c r="AI495" s="1063"/>
      <c r="AJ495" s="1063"/>
      <c r="AK495" s="1063"/>
      <c r="AL495" s="1063"/>
      <c r="AM495" s="1063"/>
      <c r="AN495" s="1063"/>
      <c r="AO495" s="1063"/>
      <c r="AP495" s="1063"/>
      <c r="AQ495" s="1063"/>
      <c r="AR495" s="1063"/>
      <c r="AS495" s="1063"/>
      <c r="AT495" s="1063"/>
      <c r="AU495" s="1063"/>
      <c r="AV495" s="1063"/>
    </row>
    <row r="496" spans="1:48" s="1108" customFormat="1" ht="27.75" customHeight="1">
      <c r="A496" s="1076"/>
      <c r="B496" s="1074"/>
      <c r="D496" s="1063"/>
      <c r="F496" s="1076"/>
      <c r="G496" s="1063"/>
      <c r="H496" s="1063"/>
      <c r="I496" s="1063"/>
      <c r="J496" s="1063"/>
      <c r="K496" s="1063"/>
      <c r="L496" s="1063"/>
      <c r="M496" s="1063"/>
      <c r="N496" s="1063"/>
      <c r="O496" s="1063"/>
      <c r="P496" s="1063"/>
      <c r="Q496" s="1063"/>
      <c r="R496" s="1063"/>
      <c r="S496" s="1063"/>
      <c r="T496" s="1063"/>
      <c r="U496" s="1063"/>
      <c r="V496" s="1063"/>
      <c r="W496" s="1063"/>
      <c r="X496" s="1063"/>
      <c r="Y496" s="1063"/>
      <c r="Z496" s="1063"/>
      <c r="AA496" s="1063"/>
      <c r="AB496" s="1063"/>
      <c r="AC496" s="1063"/>
      <c r="AD496" s="1063"/>
      <c r="AE496" s="1063"/>
      <c r="AF496" s="1063"/>
      <c r="AG496" s="1063"/>
      <c r="AH496" s="1063"/>
      <c r="AI496" s="1063"/>
      <c r="AJ496" s="1063"/>
      <c r="AK496" s="1063"/>
      <c r="AL496" s="1063"/>
      <c r="AM496" s="1063"/>
      <c r="AN496" s="1063"/>
      <c r="AO496" s="1063"/>
      <c r="AP496" s="1063"/>
      <c r="AQ496" s="1063"/>
      <c r="AR496" s="1063"/>
      <c r="AS496" s="1063"/>
      <c r="AT496" s="1063"/>
      <c r="AU496" s="1063"/>
      <c r="AV496" s="1063"/>
    </row>
    <row r="497" spans="1:48" s="1108" customFormat="1" ht="27.75" customHeight="1">
      <c r="A497" s="1076"/>
      <c r="B497" s="1074"/>
      <c r="D497" s="1063"/>
      <c r="F497" s="1076"/>
      <c r="G497" s="1063"/>
      <c r="H497" s="1063"/>
      <c r="I497" s="1063"/>
      <c r="J497" s="1063"/>
      <c r="K497" s="1063"/>
      <c r="L497" s="1063"/>
      <c r="M497" s="1063"/>
      <c r="N497" s="1063"/>
      <c r="O497" s="1063"/>
      <c r="P497" s="1063"/>
      <c r="Q497" s="1063"/>
      <c r="R497" s="1063"/>
      <c r="S497" s="1063"/>
      <c r="T497" s="1063"/>
      <c r="U497" s="1063"/>
      <c r="V497" s="1063"/>
      <c r="W497" s="1063"/>
      <c r="X497" s="1063"/>
      <c r="Y497" s="1063"/>
      <c r="Z497" s="1063"/>
      <c r="AA497" s="1063"/>
      <c r="AB497" s="1063"/>
      <c r="AC497" s="1063"/>
      <c r="AD497" s="1063"/>
      <c r="AE497" s="1063"/>
      <c r="AF497" s="1063"/>
      <c r="AG497" s="1063"/>
      <c r="AH497" s="1063"/>
      <c r="AI497" s="1063"/>
      <c r="AJ497" s="1063"/>
      <c r="AK497" s="1063"/>
      <c r="AL497" s="1063"/>
      <c r="AM497" s="1063"/>
      <c r="AN497" s="1063"/>
      <c r="AO497" s="1063"/>
      <c r="AP497" s="1063"/>
      <c r="AQ497" s="1063"/>
      <c r="AR497" s="1063"/>
      <c r="AS497" s="1063"/>
      <c r="AT497" s="1063"/>
      <c r="AU497" s="1063"/>
      <c r="AV497" s="1063"/>
    </row>
    <row r="498" spans="1:48" s="1108" customFormat="1" ht="27.75" customHeight="1">
      <c r="A498" s="1076"/>
      <c r="B498" s="1074"/>
      <c r="D498" s="1063"/>
      <c r="F498" s="1076"/>
      <c r="G498" s="1063"/>
      <c r="H498" s="1063"/>
      <c r="I498" s="1063"/>
      <c r="J498" s="1063"/>
      <c r="K498" s="1063"/>
      <c r="L498" s="1063"/>
      <c r="M498" s="1063"/>
      <c r="N498" s="1063"/>
      <c r="O498" s="1063"/>
      <c r="P498" s="1063"/>
      <c r="Q498" s="1063"/>
      <c r="R498" s="1063"/>
      <c r="S498" s="1063"/>
      <c r="T498" s="1063"/>
      <c r="U498" s="1063"/>
      <c r="V498" s="1063"/>
      <c r="W498" s="1063"/>
      <c r="X498" s="1063"/>
      <c r="Y498" s="1063"/>
      <c r="Z498" s="1063"/>
      <c r="AA498" s="1063"/>
      <c r="AB498" s="1063"/>
      <c r="AC498" s="1063"/>
      <c r="AD498" s="1063"/>
      <c r="AE498" s="1063"/>
      <c r="AF498" s="1063"/>
      <c r="AG498" s="1063"/>
      <c r="AH498" s="1063"/>
      <c r="AI498" s="1063"/>
      <c r="AJ498" s="1063"/>
      <c r="AK498" s="1063"/>
      <c r="AL498" s="1063"/>
      <c r="AM498" s="1063"/>
      <c r="AN498" s="1063"/>
      <c r="AO498" s="1063"/>
      <c r="AP498" s="1063"/>
      <c r="AQ498" s="1063"/>
      <c r="AR498" s="1063"/>
      <c r="AS498" s="1063"/>
      <c r="AT498" s="1063"/>
      <c r="AU498" s="1063"/>
      <c r="AV498" s="1063"/>
    </row>
    <row r="499" spans="1:48" s="1108" customFormat="1" ht="27.75" customHeight="1">
      <c r="A499" s="1076"/>
      <c r="B499" s="1074"/>
      <c r="D499" s="1063"/>
      <c r="F499" s="1076"/>
      <c r="G499" s="1063"/>
      <c r="H499" s="1063"/>
      <c r="I499" s="1063"/>
      <c r="J499" s="1063"/>
      <c r="K499" s="1063"/>
      <c r="L499" s="1063"/>
      <c r="M499" s="1063"/>
      <c r="N499" s="1063"/>
      <c r="O499" s="1063"/>
      <c r="P499" s="1063"/>
      <c r="Q499" s="1063"/>
      <c r="R499" s="1063"/>
      <c r="S499" s="1063"/>
      <c r="T499" s="1063"/>
      <c r="U499" s="1063"/>
      <c r="V499" s="1063"/>
      <c r="W499" s="1063"/>
      <c r="X499" s="1063"/>
      <c r="Y499" s="1063"/>
      <c r="Z499" s="1063"/>
      <c r="AA499" s="1063"/>
      <c r="AB499" s="1063"/>
      <c r="AC499" s="1063"/>
      <c r="AD499" s="1063"/>
      <c r="AE499" s="1063"/>
      <c r="AF499" s="1063"/>
      <c r="AG499" s="1063"/>
      <c r="AH499" s="1063"/>
      <c r="AI499" s="1063"/>
      <c r="AJ499" s="1063"/>
      <c r="AK499" s="1063"/>
      <c r="AL499" s="1063"/>
      <c r="AM499" s="1063"/>
      <c r="AN499" s="1063"/>
      <c r="AO499" s="1063"/>
      <c r="AP499" s="1063"/>
      <c r="AQ499" s="1063"/>
      <c r="AR499" s="1063"/>
      <c r="AS499" s="1063"/>
      <c r="AT499" s="1063"/>
      <c r="AU499" s="1063"/>
      <c r="AV499" s="1063"/>
    </row>
    <row r="500" spans="1:48" s="1108" customFormat="1" ht="27.75" customHeight="1">
      <c r="A500" s="1076"/>
      <c r="B500" s="1074"/>
      <c r="D500" s="1063"/>
      <c r="F500" s="1076"/>
      <c r="G500" s="1063"/>
      <c r="H500" s="1063"/>
      <c r="I500" s="1063"/>
      <c r="J500" s="1063"/>
      <c r="K500" s="1063"/>
      <c r="L500" s="1063"/>
      <c r="M500" s="1063"/>
      <c r="N500" s="1063"/>
      <c r="O500" s="1063"/>
      <c r="P500" s="1063"/>
      <c r="Q500" s="1063"/>
      <c r="R500" s="1063"/>
      <c r="S500" s="1063"/>
      <c r="T500" s="1063"/>
      <c r="U500" s="1063"/>
      <c r="V500" s="1063"/>
      <c r="W500" s="1063"/>
      <c r="X500" s="1063"/>
      <c r="Y500" s="1063"/>
      <c r="Z500" s="1063"/>
      <c r="AA500" s="1063"/>
      <c r="AB500" s="1063"/>
      <c r="AC500" s="1063"/>
      <c r="AD500" s="1063"/>
      <c r="AE500" s="1063"/>
      <c r="AF500" s="1063"/>
      <c r="AG500" s="1063"/>
      <c r="AH500" s="1063"/>
      <c r="AI500" s="1063"/>
      <c r="AJ500" s="1063"/>
      <c r="AK500" s="1063"/>
      <c r="AL500" s="1063"/>
      <c r="AM500" s="1063"/>
      <c r="AN500" s="1063"/>
      <c r="AO500" s="1063"/>
      <c r="AP500" s="1063"/>
      <c r="AQ500" s="1063"/>
      <c r="AR500" s="1063"/>
      <c r="AS500" s="1063"/>
      <c r="AT500" s="1063"/>
      <c r="AU500" s="1063"/>
      <c r="AV500" s="1063"/>
    </row>
    <row r="501" spans="1:48" s="1108" customFormat="1" ht="27.75" customHeight="1">
      <c r="A501" s="1076"/>
      <c r="B501" s="1074"/>
      <c r="D501" s="1063"/>
      <c r="F501" s="1076"/>
      <c r="G501" s="1063"/>
      <c r="H501" s="1063"/>
      <c r="I501" s="1063"/>
      <c r="J501" s="1063"/>
      <c r="K501" s="1063"/>
      <c r="L501" s="1063"/>
      <c r="M501" s="1063"/>
      <c r="N501" s="1063"/>
      <c r="O501" s="1063"/>
      <c r="P501" s="1063"/>
      <c r="Q501" s="1063"/>
      <c r="R501" s="1063"/>
      <c r="S501" s="1063"/>
      <c r="T501" s="1063"/>
      <c r="U501" s="1063"/>
      <c r="V501" s="1063"/>
      <c r="W501" s="1063"/>
      <c r="X501" s="1063"/>
      <c r="Y501" s="1063"/>
      <c r="Z501" s="1063"/>
      <c r="AA501" s="1063"/>
      <c r="AB501" s="1063"/>
      <c r="AC501" s="1063"/>
      <c r="AD501" s="1063"/>
      <c r="AE501" s="1063"/>
      <c r="AF501" s="1063"/>
      <c r="AG501" s="1063"/>
      <c r="AH501" s="1063"/>
      <c r="AI501" s="1063"/>
      <c r="AJ501" s="1063"/>
      <c r="AK501" s="1063"/>
      <c r="AL501" s="1063"/>
      <c r="AM501" s="1063"/>
      <c r="AN501" s="1063"/>
      <c r="AO501" s="1063"/>
      <c r="AP501" s="1063"/>
      <c r="AQ501" s="1063"/>
      <c r="AR501" s="1063"/>
      <c r="AS501" s="1063"/>
      <c r="AT501" s="1063"/>
      <c r="AU501" s="1063"/>
      <c r="AV501" s="1063"/>
    </row>
    <row r="502" spans="1:48" s="1108" customFormat="1" ht="27.75" customHeight="1">
      <c r="A502" s="1076"/>
      <c r="B502" s="1074"/>
      <c r="D502" s="1063"/>
      <c r="F502" s="1076"/>
      <c r="G502" s="1063"/>
      <c r="H502" s="1063"/>
      <c r="I502" s="1063"/>
      <c r="J502" s="1063"/>
      <c r="K502" s="1063"/>
      <c r="L502" s="1063"/>
      <c r="M502" s="1063"/>
      <c r="N502" s="1063"/>
      <c r="O502" s="1063"/>
      <c r="P502" s="1063"/>
      <c r="Q502" s="1063"/>
      <c r="R502" s="1063"/>
      <c r="S502" s="1063"/>
      <c r="T502" s="1063"/>
      <c r="U502" s="1063"/>
      <c r="V502" s="1063"/>
      <c r="W502" s="1063"/>
      <c r="X502" s="1063"/>
      <c r="Y502" s="1063"/>
      <c r="Z502" s="1063"/>
      <c r="AA502" s="1063"/>
      <c r="AB502" s="1063"/>
      <c r="AC502" s="1063"/>
      <c r="AD502" s="1063"/>
      <c r="AE502" s="1063"/>
      <c r="AF502" s="1063"/>
      <c r="AG502" s="1063"/>
      <c r="AH502" s="1063"/>
      <c r="AI502" s="1063"/>
      <c r="AJ502" s="1063"/>
      <c r="AK502" s="1063"/>
      <c r="AL502" s="1063"/>
      <c r="AM502" s="1063"/>
      <c r="AN502" s="1063"/>
      <c r="AO502" s="1063"/>
      <c r="AP502" s="1063"/>
      <c r="AQ502" s="1063"/>
      <c r="AR502" s="1063"/>
      <c r="AS502" s="1063"/>
      <c r="AT502" s="1063"/>
      <c r="AU502" s="1063"/>
      <c r="AV502" s="1063"/>
    </row>
    <row r="503" spans="1:48" s="1108" customFormat="1" ht="27.75" customHeight="1">
      <c r="A503" s="1076"/>
      <c r="B503" s="1074"/>
      <c r="D503" s="1063"/>
      <c r="F503" s="1076"/>
      <c r="G503" s="1063"/>
      <c r="H503" s="1063"/>
      <c r="I503" s="1063"/>
      <c r="J503" s="1063"/>
      <c r="K503" s="1063"/>
      <c r="L503" s="1063"/>
      <c r="M503" s="1063"/>
      <c r="N503" s="1063"/>
      <c r="O503" s="1063"/>
      <c r="P503" s="1063"/>
      <c r="Q503" s="1063"/>
      <c r="R503" s="1063"/>
      <c r="S503" s="1063"/>
      <c r="T503" s="1063"/>
      <c r="U503" s="1063"/>
      <c r="V503" s="1063"/>
      <c r="W503" s="1063"/>
      <c r="X503" s="1063"/>
      <c r="Y503" s="1063"/>
      <c r="Z503" s="1063"/>
      <c r="AA503" s="1063"/>
      <c r="AB503" s="1063"/>
      <c r="AC503" s="1063"/>
      <c r="AD503" s="1063"/>
      <c r="AE503" s="1063"/>
      <c r="AF503" s="1063"/>
      <c r="AG503" s="1063"/>
      <c r="AH503" s="1063"/>
      <c r="AI503" s="1063"/>
      <c r="AJ503" s="1063"/>
      <c r="AK503" s="1063"/>
      <c r="AL503" s="1063"/>
      <c r="AM503" s="1063"/>
      <c r="AN503" s="1063"/>
      <c r="AO503" s="1063"/>
      <c r="AP503" s="1063"/>
      <c r="AQ503" s="1063"/>
      <c r="AR503" s="1063"/>
      <c r="AS503" s="1063"/>
      <c r="AT503" s="1063"/>
      <c r="AU503" s="1063"/>
      <c r="AV503" s="1063"/>
    </row>
    <row r="504" spans="1:48" s="1108" customFormat="1" ht="27.75" customHeight="1">
      <c r="A504" s="1076"/>
      <c r="B504" s="1074"/>
      <c r="D504" s="1063"/>
      <c r="F504" s="1076"/>
      <c r="G504" s="1063"/>
      <c r="H504" s="1063"/>
      <c r="I504" s="1063"/>
      <c r="J504" s="1063"/>
      <c r="K504" s="1063"/>
      <c r="L504" s="1063"/>
      <c r="M504" s="1063"/>
      <c r="N504" s="1063"/>
      <c r="O504" s="1063"/>
      <c r="P504" s="1063"/>
      <c r="Q504" s="1063"/>
      <c r="R504" s="1063"/>
      <c r="S504" s="1063"/>
      <c r="T504" s="1063"/>
      <c r="U504" s="1063"/>
      <c r="V504" s="1063"/>
      <c r="W504" s="1063"/>
      <c r="X504" s="1063"/>
      <c r="Y504" s="1063"/>
      <c r="Z504" s="1063"/>
      <c r="AA504" s="1063"/>
      <c r="AB504" s="1063"/>
      <c r="AC504" s="1063"/>
      <c r="AD504" s="1063"/>
      <c r="AE504" s="1063"/>
      <c r="AF504" s="1063"/>
      <c r="AG504" s="1063"/>
      <c r="AH504" s="1063"/>
      <c r="AI504" s="1063"/>
      <c r="AJ504" s="1063"/>
      <c r="AK504" s="1063"/>
      <c r="AL504" s="1063"/>
      <c r="AM504" s="1063"/>
      <c r="AN504" s="1063"/>
      <c r="AO504" s="1063"/>
      <c r="AP504" s="1063"/>
      <c r="AQ504" s="1063"/>
      <c r="AR504" s="1063"/>
      <c r="AS504" s="1063"/>
      <c r="AT504" s="1063"/>
      <c r="AU504" s="1063"/>
      <c r="AV504" s="1063"/>
    </row>
    <row r="505" spans="1:48" s="1108" customFormat="1" ht="27.75" customHeight="1">
      <c r="A505" s="1076"/>
      <c r="B505" s="1074"/>
      <c r="D505" s="1063"/>
      <c r="F505" s="1076"/>
      <c r="G505" s="1063"/>
      <c r="H505" s="1063"/>
      <c r="I505" s="1063"/>
      <c r="J505" s="1063"/>
      <c r="K505" s="1063"/>
      <c r="L505" s="1063"/>
      <c r="M505" s="1063"/>
      <c r="N505" s="1063"/>
      <c r="O505" s="1063"/>
      <c r="P505" s="1063"/>
      <c r="Q505" s="1063"/>
      <c r="R505" s="1063"/>
      <c r="S505" s="1063"/>
      <c r="T505" s="1063"/>
      <c r="U505" s="1063"/>
      <c r="V505" s="1063"/>
      <c r="W505" s="1063"/>
      <c r="X505" s="1063"/>
      <c r="Y505" s="1063"/>
      <c r="Z505" s="1063"/>
      <c r="AA505" s="1063"/>
      <c r="AB505" s="1063"/>
      <c r="AC505" s="1063"/>
      <c r="AD505" s="1063"/>
      <c r="AE505" s="1063"/>
      <c r="AF505" s="1063"/>
      <c r="AG505" s="1063"/>
      <c r="AH505" s="1063"/>
      <c r="AI505" s="1063"/>
      <c r="AJ505" s="1063"/>
      <c r="AK505" s="1063"/>
      <c r="AL505" s="1063"/>
      <c r="AM505" s="1063"/>
      <c r="AN505" s="1063"/>
      <c r="AO505" s="1063"/>
      <c r="AP505" s="1063"/>
      <c r="AQ505" s="1063"/>
      <c r="AR505" s="1063"/>
      <c r="AS505" s="1063"/>
      <c r="AT505" s="1063"/>
      <c r="AU505" s="1063"/>
      <c r="AV505" s="1063"/>
    </row>
    <row r="506" spans="1:48" s="1108" customFormat="1" ht="27.75" customHeight="1">
      <c r="A506" s="1076"/>
      <c r="B506" s="1074"/>
      <c r="D506" s="1063"/>
      <c r="F506" s="1076"/>
      <c r="G506" s="1063"/>
      <c r="H506" s="1063"/>
      <c r="I506" s="1063"/>
      <c r="J506" s="1063"/>
      <c r="K506" s="1063"/>
      <c r="L506" s="1063"/>
      <c r="M506" s="1063"/>
      <c r="N506" s="1063"/>
      <c r="O506" s="1063"/>
      <c r="P506" s="1063"/>
      <c r="Q506" s="1063"/>
      <c r="R506" s="1063"/>
      <c r="S506" s="1063"/>
      <c r="T506" s="1063"/>
      <c r="U506" s="1063"/>
      <c r="V506" s="1063"/>
      <c r="W506" s="1063"/>
      <c r="X506" s="1063"/>
      <c r="Y506" s="1063"/>
      <c r="Z506" s="1063"/>
      <c r="AA506" s="1063"/>
      <c r="AB506" s="1063"/>
      <c r="AC506" s="1063"/>
      <c r="AD506" s="1063"/>
      <c r="AE506" s="1063"/>
      <c r="AF506" s="1063"/>
      <c r="AG506" s="1063"/>
      <c r="AH506" s="1063"/>
      <c r="AI506" s="1063"/>
      <c r="AJ506" s="1063"/>
      <c r="AK506" s="1063"/>
      <c r="AL506" s="1063"/>
      <c r="AM506" s="1063"/>
      <c r="AN506" s="1063"/>
      <c r="AO506" s="1063"/>
      <c r="AP506" s="1063"/>
      <c r="AQ506" s="1063"/>
      <c r="AR506" s="1063"/>
      <c r="AS506" s="1063"/>
      <c r="AT506" s="1063"/>
      <c r="AU506" s="1063"/>
      <c r="AV506" s="1063"/>
    </row>
    <row r="507" spans="1:48" s="1108" customFormat="1" ht="27.75" customHeight="1">
      <c r="A507" s="1076"/>
      <c r="B507" s="1074"/>
      <c r="D507" s="1063"/>
      <c r="F507" s="1076"/>
      <c r="G507" s="1063"/>
      <c r="H507" s="1063"/>
      <c r="I507" s="1063"/>
      <c r="J507" s="1063"/>
      <c r="K507" s="1063"/>
      <c r="L507" s="1063"/>
      <c r="M507" s="1063"/>
      <c r="N507" s="1063"/>
      <c r="O507" s="1063"/>
      <c r="P507" s="1063"/>
      <c r="Q507" s="1063"/>
      <c r="R507" s="1063"/>
      <c r="S507" s="1063"/>
      <c r="T507" s="1063"/>
      <c r="U507" s="1063"/>
      <c r="V507" s="1063"/>
      <c r="W507" s="1063"/>
      <c r="X507" s="1063"/>
      <c r="Y507" s="1063"/>
      <c r="Z507" s="1063"/>
      <c r="AA507" s="1063"/>
      <c r="AB507" s="1063"/>
      <c r="AC507" s="1063"/>
      <c r="AD507" s="1063"/>
      <c r="AE507" s="1063"/>
      <c r="AF507" s="1063"/>
      <c r="AG507" s="1063"/>
      <c r="AH507" s="1063"/>
      <c r="AI507" s="1063"/>
      <c r="AJ507" s="1063"/>
      <c r="AK507" s="1063"/>
      <c r="AL507" s="1063"/>
      <c r="AM507" s="1063"/>
      <c r="AN507" s="1063"/>
      <c r="AO507" s="1063"/>
      <c r="AP507" s="1063"/>
      <c r="AQ507" s="1063"/>
      <c r="AR507" s="1063"/>
      <c r="AS507" s="1063"/>
      <c r="AT507" s="1063"/>
      <c r="AU507" s="1063"/>
      <c r="AV507" s="1063"/>
    </row>
    <row r="508" spans="1:48" s="1108" customFormat="1" ht="27.75" customHeight="1">
      <c r="A508" s="1076"/>
      <c r="B508" s="1074"/>
      <c r="D508" s="1063"/>
      <c r="F508" s="1076"/>
      <c r="G508" s="1063"/>
      <c r="H508" s="1063"/>
      <c r="I508" s="1063"/>
      <c r="J508" s="1063"/>
      <c r="K508" s="1063"/>
      <c r="L508" s="1063"/>
      <c r="M508" s="1063"/>
      <c r="N508" s="1063"/>
      <c r="O508" s="1063"/>
      <c r="P508" s="1063"/>
      <c r="Q508" s="1063"/>
      <c r="R508" s="1063"/>
      <c r="S508" s="1063"/>
      <c r="T508" s="1063"/>
      <c r="U508" s="1063"/>
      <c r="V508" s="1063"/>
      <c r="W508" s="1063"/>
      <c r="X508" s="1063"/>
      <c r="Y508" s="1063"/>
      <c r="Z508" s="1063"/>
      <c r="AA508" s="1063"/>
      <c r="AB508" s="1063"/>
      <c r="AC508" s="1063"/>
      <c r="AD508" s="1063"/>
      <c r="AE508" s="1063"/>
      <c r="AF508" s="1063"/>
      <c r="AG508" s="1063"/>
      <c r="AH508" s="1063"/>
      <c r="AI508" s="1063"/>
      <c r="AJ508" s="1063"/>
      <c r="AK508" s="1063"/>
      <c r="AL508" s="1063"/>
      <c r="AM508" s="1063"/>
      <c r="AN508" s="1063"/>
      <c r="AO508" s="1063"/>
      <c r="AP508" s="1063"/>
      <c r="AQ508" s="1063"/>
      <c r="AR508" s="1063"/>
      <c r="AS508" s="1063"/>
      <c r="AT508" s="1063"/>
      <c r="AU508" s="1063"/>
      <c r="AV508" s="1063"/>
    </row>
    <row r="509" spans="1:48" s="1108" customFormat="1" ht="27.75" customHeight="1">
      <c r="A509" s="1076"/>
      <c r="B509" s="1074"/>
      <c r="D509" s="1063"/>
      <c r="F509" s="1076"/>
      <c r="G509" s="1063"/>
      <c r="H509" s="1063"/>
      <c r="I509" s="1063"/>
      <c r="J509" s="1063"/>
      <c r="K509" s="1063"/>
      <c r="L509" s="1063"/>
      <c r="M509" s="1063"/>
      <c r="N509" s="1063"/>
      <c r="O509" s="1063"/>
      <c r="P509" s="1063"/>
      <c r="Q509" s="1063"/>
      <c r="R509" s="1063"/>
      <c r="S509" s="1063"/>
      <c r="T509" s="1063"/>
      <c r="U509" s="1063"/>
      <c r="V509" s="1063"/>
      <c r="W509" s="1063"/>
      <c r="X509" s="1063"/>
      <c r="Y509" s="1063"/>
      <c r="Z509" s="1063"/>
      <c r="AA509" s="1063"/>
      <c r="AB509" s="1063"/>
      <c r="AC509" s="1063"/>
      <c r="AD509" s="1063"/>
      <c r="AE509" s="1063"/>
      <c r="AF509" s="1063"/>
      <c r="AG509" s="1063"/>
      <c r="AH509" s="1063"/>
      <c r="AI509" s="1063"/>
      <c r="AJ509" s="1063"/>
      <c r="AK509" s="1063"/>
      <c r="AL509" s="1063"/>
      <c r="AM509" s="1063"/>
      <c r="AN509" s="1063"/>
      <c r="AO509" s="1063"/>
      <c r="AP509" s="1063"/>
      <c r="AQ509" s="1063"/>
      <c r="AR509" s="1063"/>
      <c r="AS509" s="1063"/>
      <c r="AT509" s="1063"/>
      <c r="AU509" s="1063"/>
      <c r="AV509" s="1063"/>
    </row>
    <row r="510" spans="1:48" s="1108" customFormat="1" ht="27.75" customHeight="1">
      <c r="A510" s="1076"/>
      <c r="B510" s="1074"/>
      <c r="D510" s="1063"/>
      <c r="F510" s="1076"/>
      <c r="G510" s="1063"/>
      <c r="H510" s="1063"/>
      <c r="I510" s="1063"/>
      <c r="J510" s="1063"/>
      <c r="K510" s="1063"/>
      <c r="L510" s="1063"/>
      <c r="M510" s="1063"/>
      <c r="N510" s="1063"/>
      <c r="O510" s="1063"/>
      <c r="P510" s="1063"/>
      <c r="Q510" s="1063"/>
      <c r="R510" s="1063"/>
      <c r="S510" s="1063"/>
      <c r="T510" s="1063"/>
      <c r="U510" s="1063"/>
      <c r="V510" s="1063"/>
      <c r="W510" s="1063"/>
      <c r="X510" s="1063"/>
      <c r="Y510" s="1063"/>
      <c r="Z510" s="1063"/>
      <c r="AA510" s="1063"/>
      <c r="AB510" s="1063"/>
      <c r="AC510" s="1063"/>
      <c r="AD510" s="1063"/>
      <c r="AE510" s="1063"/>
      <c r="AF510" s="1063"/>
      <c r="AG510" s="1063"/>
      <c r="AH510" s="1063"/>
      <c r="AI510" s="1063"/>
      <c r="AJ510" s="1063"/>
      <c r="AK510" s="1063"/>
      <c r="AL510" s="1063"/>
      <c r="AM510" s="1063"/>
      <c r="AN510" s="1063"/>
      <c r="AO510" s="1063"/>
      <c r="AP510" s="1063"/>
      <c r="AQ510" s="1063"/>
      <c r="AR510" s="1063"/>
      <c r="AS510" s="1063"/>
      <c r="AT510" s="1063"/>
      <c r="AU510" s="1063"/>
      <c r="AV510" s="1063"/>
    </row>
    <row r="511" spans="1:48" s="1108" customFormat="1" ht="27.75" customHeight="1">
      <c r="A511" s="1076"/>
      <c r="B511" s="1074"/>
      <c r="D511" s="1063"/>
      <c r="F511" s="1076"/>
      <c r="G511" s="1063"/>
      <c r="H511" s="1063"/>
      <c r="I511" s="1063"/>
      <c r="J511" s="1063"/>
      <c r="K511" s="1063"/>
      <c r="L511" s="1063"/>
      <c r="M511" s="1063"/>
      <c r="N511" s="1063"/>
      <c r="O511" s="1063"/>
      <c r="P511" s="1063"/>
      <c r="Q511" s="1063"/>
      <c r="R511" s="1063"/>
      <c r="S511" s="1063"/>
      <c r="T511" s="1063"/>
      <c r="U511" s="1063"/>
      <c r="V511" s="1063"/>
      <c r="W511" s="1063"/>
      <c r="X511" s="1063"/>
      <c r="Y511" s="1063"/>
      <c r="Z511" s="1063"/>
      <c r="AA511" s="1063"/>
      <c r="AB511" s="1063"/>
      <c r="AC511" s="1063"/>
      <c r="AD511" s="1063"/>
      <c r="AE511" s="1063"/>
      <c r="AF511" s="1063"/>
      <c r="AG511" s="1063"/>
      <c r="AH511" s="1063"/>
      <c r="AI511" s="1063"/>
      <c r="AJ511" s="1063"/>
      <c r="AK511" s="1063"/>
      <c r="AL511" s="1063"/>
      <c r="AM511" s="1063"/>
      <c r="AN511" s="1063"/>
      <c r="AO511" s="1063"/>
      <c r="AP511" s="1063"/>
      <c r="AQ511" s="1063"/>
      <c r="AR511" s="1063"/>
      <c r="AS511" s="1063"/>
      <c r="AT511" s="1063"/>
      <c r="AU511" s="1063"/>
      <c r="AV511" s="1063"/>
    </row>
    <row r="512" spans="1:48" s="1108" customFormat="1" ht="27.75" customHeight="1">
      <c r="A512" s="1076"/>
      <c r="B512" s="1074"/>
      <c r="D512" s="1063"/>
      <c r="F512" s="1076"/>
      <c r="G512" s="1063"/>
      <c r="H512" s="1063"/>
      <c r="I512" s="1063"/>
      <c r="J512" s="1063"/>
      <c r="K512" s="1063"/>
      <c r="L512" s="1063"/>
      <c r="M512" s="1063"/>
      <c r="N512" s="1063"/>
      <c r="O512" s="1063"/>
      <c r="P512" s="1063"/>
      <c r="Q512" s="1063"/>
      <c r="R512" s="1063"/>
      <c r="S512" s="1063"/>
      <c r="T512" s="1063"/>
      <c r="U512" s="1063"/>
      <c r="V512" s="1063"/>
      <c r="W512" s="1063"/>
      <c r="X512" s="1063"/>
      <c r="Y512" s="1063"/>
      <c r="Z512" s="1063"/>
      <c r="AA512" s="1063"/>
      <c r="AB512" s="1063"/>
      <c r="AC512" s="1063"/>
      <c r="AD512" s="1063"/>
      <c r="AE512" s="1063"/>
      <c r="AF512" s="1063"/>
      <c r="AG512" s="1063"/>
      <c r="AH512" s="1063"/>
      <c r="AI512" s="1063"/>
      <c r="AJ512" s="1063"/>
      <c r="AK512" s="1063"/>
      <c r="AL512" s="1063"/>
      <c r="AM512" s="1063"/>
      <c r="AN512" s="1063"/>
      <c r="AO512" s="1063"/>
      <c r="AP512" s="1063"/>
      <c r="AQ512" s="1063"/>
      <c r="AR512" s="1063"/>
      <c r="AS512" s="1063"/>
      <c r="AT512" s="1063"/>
      <c r="AU512" s="1063"/>
      <c r="AV512" s="1063"/>
    </row>
    <row r="513" spans="1:48" s="1108" customFormat="1" ht="27.75" customHeight="1">
      <c r="A513" s="1076"/>
      <c r="B513" s="1074"/>
      <c r="D513" s="1063"/>
      <c r="F513" s="1076"/>
      <c r="G513" s="1063"/>
      <c r="H513" s="1063"/>
      <c r="I513" s="1063"/>
      <c r="J513" s="1063"/>
      <c r="K513" s="1063"/>
      <c r="L513" s="1063"/>
      <c r="M513" s="1063"/>
      <c r="N513" s="1063"/>
      <c r="O513" s="1063"/>
      <c r="P513" s="1063"/>
      <c r="Q513" s="1063"/>
      <c r="R513" s="1063"/>
      <c r="S513" s="1063"/>
      <c r="T513" s="1063"/>
      <c r="U513" s="1063"/>
      <c r="V513" s="1063"/>
      <c r="W513" s="1063"/>
      <c r="X513" s="1063"/>
      <c r="Y513" s="1063"/>
      <c r="Z513" s="1063"/>
      <c r="AA513" s="1063"/>
      <c r="AB513" s="1063"/>
      <c r="AC513" s="1063"/>
      <c r="AD513" s="1063"/>
      <c r="AE513" s="1063"/>
      <c r="AF513" s="1063"/>
      <c r="AG513" s="1063"/>
      <c r="AH513" s="1063"/>
      <c r="AI513" s="1063"/>
      <c r="AJ513" s="1063"/>
      <c r="AK513" s="1063"/>
      <c r="AL513" s="1063"/>
      <c r="AM513" s="1063"/>
      <c r="AN513" s="1063"/>
      <c r="AO513" s="1063"/>
      <c r="AP513" s="1063"/>
      <c r="AQ513" s="1063"/>
      <c r="AR513" s="1063"/>
      <c r="AS513" s="1063"/>
      <c r="AT513" s="1063"/>
      <c r="AU513" s="1063"/>
      <c r="AV513" s="1063"/>
    </row>
    <row r="514" spans="1:48" s="1108" customFormat="1" ht="27.75" customHeight="1">
      <c r="A514" s="1076"/>
      <c r="B514" s="1074"/>
      <c r="D514" s="1063"/>
      <c r="F514" s="1076"/>
      <c r="G514" s="1063"/>
      <c r="H514" s="1063"/>
      <c r="I514" s="1063"/>
      <c r="J514" s="1063"/>
      <c r="K514" s="1063"/>
      <c r="L514" s="1063"/>
      <c r="M514" s="1063"/>
      <c r="N514" s="1063"/>
      <c r="O514" s="1063"/>
      <c r="P514" s="1063"/>
      <c r="Q514" s="1063"/>
      <c r="R514" s="1063"/>
      <c r="S514" s="1063"/>
      <c r="T514" s="1063"/>
      <c r="U514" s="1063"/>
      <c r="V514" s="1063"/>
      <c r="W514" s="1063"/>
      <c r="X514" s="1063"/>
      <c r="Y514" s="1063"/>
      <c r="Z514" s="1063"/>
      <c r="AA514" s="1063"/>
      <c r="AB514" s="1063"/>
      <c r="AC514" s="1063"/>
      <c r="AD514" s="1063"/>
      <c r="AE514" s="1063"/>
      <c r="AF514" s="1063"/>
      <c r="AG514" s="1063"/>
      <c r="AH514" s="1063"/>
      <c r="AI514" s="1063"/>
      <c r="AJ514" s="1063"/>
      <c r="AK514" s="1063"/>
      <c r="AL514" s="1063"/>
      <c r="AM514" s="1063"/>
      <c r="AN514" s="1063"/>
      <c r="AO514" s="1063"/>
      <c r="AP514" s="1063"/>
      <c r="AQ514" s="1063"/>
      <c r="AR514" s="1063"/>
      <c r="AS514" s="1063"/>
      <c r="AT514" s="1063"/>
      <c r="AU514" s="1063"/>
      <c r="AV514" s="1063"/>
    </row>
    <row r="515" spans="1:48" s="1108" customFormat="1" ht="27.75" customHeight="1">
      <c r="A515" s="1076"/>
      <c r="B515" s="1074"/>
      <c r="D515" s="1063"/>
      <c r="F515" s="1076"/>
      <c r="G515" s="1063"/>
      <c r="H515" s="1063"/>
      <c r="I515" s="1063"/>
      <c r="J515" s="1063"/>
      <c r="K515" s="1063"/>
      <c r="L515" s="1063"/>
      <c r="M515" s="1063"/>
      <c r="N515" s="1063"/>
      <c r="O515" s="1063"/>
      <c r="P515" s="1063"/>
      <c r="Q515" s="1063"/>
      <c r="R515" s="1063"/>
      <c r="S515" s="1063"/>
      <c r="T515" s="1063"/>
      <c r="U515" s="1063"/>
      <c r="V515" s="1063"/>
      <c r="W515" s="1063"/>
      <c r="X515" s="1063"/>
      <c r="Y515" s="1063"/>
      <c r="Z515" s="1063"/>
      <c r="AA515" s="1063"/>
      <c r="AB515" s="1063"/>
      <c r="AC515" s="1063"/>
      <c r="AD515" s="1063"/>
      <c r="AE515" s="1063"/>
      <c r="AF515" s="1063"/>
      <c r="AG515" s="1063"/>
      <c r="AH515" s="1063"/>
      <c r="AI515" s="1063"/>
      <c r="AJ515" s="1063"/>
      <c r="AK515" s="1063"/>
      <c r="AL515" s="1063"/>
      <c r="AM515" s="1063"/>
      <c r="AN515" s="1063"/>
      <c r="AO515" s="1063"/>
      <c r="AP515" s="1063"/>
      <c r="AQ515" s="1063"/>
      <c r="AR515" s="1063"/>
      <c r="AS515" s="1063"/>
      <c r="AT515" s="1063"/>
      <c r="AU515" s="1063"/>
      <c r="AV515" s="1063"/>
    </row>
    <row r="516" spans="1:48" s="1108" customFormat="1" ht="27.75" customHeight="1">
      <c r="A516" s="1076"/>
      <c r="B516" s="1074"/>
      <c r="D516" s="1063"/>
      <c r="F516" s="1076"/>
      <c r="G516" s="1063"/>
      <c r="H516" s="1063"/>
      <c r="I516" s="1063"/>
      <c r="J516" s="1063"/>
      <c r="K516" s="1063"/>
      <c r="L516" s="1063"/>
      <c r="M516" s="1063"/>
      <c r="N516" s="1063"/>
      <c r="O516" s="1063"/>
      <c r="P516" s="1063"/>
      <c r="Q516" s="1063"/>
      <c r="R516" s="1063"/>
      <c r="S516" s="1063"/>
      <c r="T516" s="1063"/>
      <c r="U516" s="1063"/>
      <c r="V516" s="1063"/>
      <c r="W516" s="1063"/>
      <c r="X516" s="1063"/>
      <c r="Y516" s="1063"/>
      <c r="Z516" s="1063"/>
      <c r="AA516" s="1063"/>
      <c r="AB516" s="1063"/>
      <c r="AC516" s="1063"/>
      <c r="AD516" s="1063"/>
      <c r="AE516" s="1063"/>
      <c r="AF516" s="1063"/>
      <c r="AG516" s="1063"/>
      <c r="AH516" s="1063"/>
      <c r="AI516" s="1063"/>
      <c r="AJ516" s="1063"/>
      <c r="AK516" s="1063"/>
      <c r="AL516" s="1063"/>
      <c r="AM516" s="1063"/>
      <c r="AN516" s="1063"/>
      <c r="AO516" s="1063"/>
      <c r="AP516" s="1063"/>
      <c r="AQ516" s="1063"/>
      <c r="AR516" s="1063"/>
      <c r="AS516" s="1063"/>
      <c r="AT516" s="1063"/>
      <c r="AU516" s="1063"/>
      <c r="AV516" s="1063"/>
    </row>
    <row r="517" spans="1:48" s="1108" customFormat="1" ht="27.75" customHeight="1">
      <c r="A517" s="1076"/>
      <c r="B517" s="1074"/>
      <c r="D517" s="1063"/>
      <c r="F517" s="1076"/>
      <c r="G517" s="1063"/>
      <c r="H517" s="1063"/>
      <c r="I517" s="1063"/>
      <c r="J517" s="1063"/>
      <c r="K517" s="1063"/>
      <c r="L517" s="1063"/>
      <c r="M517" s="1063"/>
      <c r="N517" s="1063"/>
      <c r="O517" s="1063"/>
      <c r="P517" s="1063"/>
      <c r="Q517" s="1063"/>
      <c r="R517" s="1063"/>
      <c r="S517" s="1063"/>
      <c r="T517" s="1063"/>
      <c r="U517" s="1063"/>
      <c r="V517" s="1063"/>
      <c r="W517" s="1063"/>
      <c r="X517" s="1063"/>
      <c r="Y517" s="1063"/>
      <c r="Z517" s="1063"/>
      <c r="AA517" s="1063"/>
      <c r="AB517" s="1063"/>
      <c r="AC517" s="1063"/>
      <c r="AD517" s="1063"/>
      <c r="AE517" s="1063"/>
      <c r="AF517" s="1063"/>
      <c r="AG517" s="1063"/>
      <c r="AH517" s="1063"/>
      <c r="AI517" s="1063"/>
      <c r="AJ517" s="1063"/>
      <c r="AK517" s="1063"/>
      <c r="AL517" s="1063"/>
      <c r="AM517" s="1063"/>
      <c r="AN517" s="1063"/>
      <c r="AO517" s="1063"/>
      <c r="AP517" s="1063"/>
      <c r="AQ517" s="1063"/>
      <c r="AR517" s="1063"/>
      <c r="AS517" s="1063"/>
      <c r="AT517" s="1063"/>
      <c r="AU517" s="1063"/>
      <c r="AV517" s="1063"/>
    </row>
    <row r="518" spans="1:48" s="1108" customFormat="1" ht="27.75" customHeight="1">
      <c r="A518" s="1076"/>
      <c r="B518" s="1074"/>
      <c r="D518" s="1063"/>
      <c r="F518" s="1076"/>
      <c r="G518" s="1063"/>
      <c r="H518" s="1063"/>
      <c r="I518" s="1063"/>
      <c r="J518" s="1063"/>
      <c r="K518" s="1063"/>
      <c r="L518" s="1063"/>
      <c r="M518" s="1063"/>
      <c r="N518" s="1063"/>
      <c r="O518" s="1063"/>
      <c r="P518" s="1063"/>
      <c r="Q518" s="1063"/>
      <c r="R518" s="1063"/>
      <c r="S518" s="1063"/>
      <c r="T518" s="1063"/>
      <c r="U518" s="1063"/>
      <c r="V518" s="1063"/>
      <c r="W518" s="1063"/>
      <c r="X518" s="1063"/>
      <c r="Y518" s="1063"/>
      <c r="Z518" s="1063"/>
      <c r="AA518" s="1063"/>
      <c r="AB518" s="1063"/>
      <c r="AC518" s="1063"/>
      <c r="AD518" s="1063"/>
      <c r="AE518" s="1063"/>
      <c r="AF518" s="1063"/>
      <c r="AG518" s="1063"/>
      <c r="AH518" s="1063"/>
      <c r="AI518" s="1063"/>
      <c r="AJ518" s="1063"/>
      <c r="AK518" s="1063"/>
      <c r="AL518" s="1063"/>
      <c r="AM518" s="1063"/>
      <c r="AN518" s="1063"/>
      <c r="AO518" s="1063"/>
      <c r="AP518" s="1063"/>
      <c r="AQ518" s="1063"/>
      <c r="AR518" s="1063"/>
      <c r="AS518" s="1063"/>
      <c r="AT518" s="1063"/>
      <c r="AU518" s="1063"/>
      <c r="AV518" s="1063"/>
    </row>
    <row r="519" spans="1:48" s="1108" customFormat="1" ht="27.75" customHeight="1">
      <c r="A519" s="1076"/>
      <c r="B519" s="1074"/>
      <c r="D519" s="1063"/>
      <c r="F519" s="1076"/>
      <c r="G519" s="1063"/>
      <c r="H519" s="1063"/>
      <c r="I519" s="1063"/>
      <c r="J519" s="1063"/>
      <c r="K519" s="1063"/>
      <c r="L519" s="1063"/>
      <c r="M519" s="1063"/>
      <c r="N519" s="1063"/>
      <c r="O519" s="1063"/>
      <c r="P519" s="1063"/>
      <c r="Q519" s="1063"/>
      <c r="R519" s="1063"/>
      <c r="S519" s="1063"/>
      <c r="T519" s="1063"/>
      <c r="U519" s="1063"/>
      <c r="V519" s="1063"/>
      <c r="W519" s="1063"/>
      <c r="X519" s="1063"/>
      <c r="Y519" s="1063"/>
      <c r="Z519" s="1063"/>
      <c r="AA519" s="1063"/>
      <c r="AB519" s="1063"/>
      <c r="AC519" s="1063"/>
      <c r="AD519" s="1063"/>
      <c r="AE519" s="1063"/>
      <c r="AF519" s="1063"/>
      <c r="AG519" s="1063"/>
      <c r="AH519" s="1063"/>
      <c r="AI519" s="1063"/>
      <c r="AJ519" s="1063"/>
      <c r="AK519" s="1063"/>
      <c r="AL519" s="1063"/>
      <c r="AM519" s="1063"/>
      <c r="AN519" s="1063"/>
      <c r="AO519" s="1063"/>
      <c r="AP519" s="1063"/>
      <c r="AQ519" s="1063"/>
      <c r="AR519" s="1063"/>
      <c r="AS519" s="1063"/>
      <c r="AT519" s="1063"/>
      <c r="AU519" s="1063"/>
      <c r="AV519" s="1063"/>
    </row>
    <row r="520" spans="1:48" s="1108" customFormat="1" ht="27.75" customHeight="1">
      <c r="A520" s="1076"/>
      <c r="B520" s="1074"/>
      <c r="D520" s="1063"/>
      <c r="F520" s="1076"/>
      <c r="G520" s="1063"/>
      <c r="H520" s="1063"/>
      <c r="I520" s="1063"/>
      <c r="J520" s="1063"/>
      <c r="K520" s="1063"/>
      <c r="L520" s="1063"/>
      <c r="M520" s="1063"/>
      <c r="N520" s="1063"/>
      <c r="O520" s="1063"/>
      <c r="P520" s="1063"/>
      <c r="Q520" s="1063"/>
      <c r="R520" s="1063"/>
      <c r="S520" s="1063"/>
      <c r="T520" s="1063"/>
      <c r="U520" s="1063"/>
      <c r="V520" s="1063"/>
      <c r="W520" s="1063"/>
      <c r="X520" s="1063"/>
      <c r="Y520" s="1063"/>
      <c r="Z520" s="1063"/>
      <c r="AA520" s="1063"/>
      <c r="AB520" s="1063"/>
      <c r="AC520" s="1063"/>
      <c r="AD520" s="1063"/>
      <c r="AE520" s="1063"/>
      <c r="AF520" s="1063"/>
      <c r="AG520" s="1063"/>
      <c r="AH520" s="1063"/>
      <c r="AI520" s="1063"/>
      <c r="AJ520" s="1063"/>
      <c r="AK520" s="1063"/>
      <c r="AL520" s="1063"/>
      <c r="AM520" s="1063"/>
      <c r="AN520" s="1063"/>
      <c r="AO520" s="1063"/>
      <c r="AP520" s="1063"/>
      <c r="AQ520" s="1063"/>
      <c r="AR520" s="1063"/>
      <c r="AS520" s="1063"/>
      <c r="AT520" s="1063"/>
      <c r="AU520" s="1063"/>
      <c r="AV520" s="1063"/>
    </row>
    <row r="521" spans="1:48" s="1108" customFormat="1" ht="27.75" customHeight="1">
      <c r="A521" s="1076"/>
      <c r="B521" s="1074"/>
      <c r="D521" s="1063"/>
      <c r="F521" s="1076"/>
      <c r="G521" s="1063"/>
      <c r="H521" s="1063"/>
      <c r="I521" s="1063"/>
      <c r="J521" s="1063"/>
      <c r="K521" s="1063"/>
      <c r="L521" s="1063"/>
      <c r="M521" s="1063"/>
      <c r="N521" s="1063"/>
      <c r="O521" s="1063"/>
      <c r="P521" s="1063"/>
      <c r="Q521" s="1063"/>
      <c r="R521" s="1063"/>
      <c r="S521" s="1063"/>
      <c r="T521" s="1063"/>
      <c r="U521" s="1063"/>
      <c r="V521" s="1063"/>
      <c r="W521" s="1063"/>
      <c r="X521" s="1063"/>
      <c r="Y521" s="1063"/>
      <c r="Z521" s="1063"/>
      <c r="AA521" s="1063"/>
      <c r="AB521" s="1063"/>
      <c r="AC521" s="1063"/>
      <c r="AD521" s="1063"/>
      <c r="AE521" s="1063"/>
      <c r="AF521" s="1063"/>
      <c r="AG521" s="1063"/>
      <c r="AH521" s="1063"/>
      <c r="AI521" s="1063"/>
      <c r="AJ521" s="1063"/>
      <c r="AK521" s="1063"/>
      <c r="AL521" s="1063"/>
      <c r="AM521" s="1063"/>
      <c r="AN521" s="1063"/>
      <c r="AO521" s="1063"/>
      <c r="AP521" s="1063"/>
      <c r="AQ521" s="1063"/>
      <c r="AR521" s="1063"/>
      <c r="AS521" s="1063"/>
      <c r="AT521" s="1063"/>
      <c r="AU521" s="1063"/>
      <c r="AV521" s="1063"/>
    </row>
    <row r="522" spans="1:48" s="1108" customFormat="1" ht="27.75" customHeight="1">
      <c r="A522" s="1076"/>
      <c r="B522" s="1074"/>
      <c r="D522" s="1063"/>
      <c r="F522" s="1076"/>
      <c r="G522" s="1063"/>
      <c r="H522" s="1063"/>
      <c r="I522" s="1063"/>
      <c r="J522" s="1063"/>
      <c r="K522" s="1063"/>
      <c r="L522" s="1063"/>
      <c r="M522" s="1063"/>
      <c r="N522" s="1063"/>
      <c r="O522" s="1063"/>
      <c r="P522" s="1063"/>
      <c r="Q522" s="1063"/>
      <c r="R522" s="1063"/>
      <c r="S522" s="1063"/>
      <c r="T522" s="1063"/>
      <c r="U522" s="1063"/>
      <c r="V522" s="1063"/>
      <c r="W522" s="1063"/>
      <c r="X522" s="1063"/>
      <c r="Y522" s="1063"/>
      <c r="Z522" s="1063"/>
      <c r="AA522" s="1063"/>
      <c r="AB522" s="1063"/>
      <c r="AC522" s="1063"/>
      <c r="AD522" s="1063"/>
      <c r="AE522" s="1063"/>
      <c r="AF522" s="1063"/>
      <c r="AG522" s="1063"/>
      <c r="AH522" s="1063"/>
      <c r="AI522" s="1063"/>
      <c r="AJ522" s="1063"/>
      <c r="AK522" s="1063"/>
      <c r="AL522" s="1063"/>
      <c r="AM522" s="1063"/>
      <c r="AN522" s="1063"/>
      <c r="AO522" s="1063"/>
      <c r="AP522" s="1063"/>
      <c r="AQ522" s="1063"/>
      <c r="AR522" s="1063"/>
      <c r="AS522" s="1063"/>
      <c r="AT522" s="1063"/>
      <c r="AU522" s="1063"/>
      <c r="AV522" s="1063"/>
    </row>
    <row r="523" spans="1:48" s="1108" customFormat="1" ht="27.75" customHeight="1">
      <c r="A523" s="1076"/>
      <c r="B523" s="1074"/>
      <c r="D523" s="1063"/>
      <c r="F523" s="1076"/>
      <c r="G523" s="1063"/>
      <c r="H523" s="1063"/>
      <c r="I523" s="1063"/>
      <c r="J523" s="1063"/>
      <c r="K523" s="1063"/>
      <c r="L523" s="1063"/>
      <c r="M523" s="1063"/>
      <c r="N523" s="1063"/>
      <c r="O523" s="1063"/>
      <c r="P523" s="1063"/>
      <c r="Q523" s="1063"/>
      <c r="R523" s="1063"/>
      <c r="S523" s="1063"/>
      <c r="T523" s="1063"/>
      <c r="U523" s="1063"/>
      <c r="V523" s="1063"/>
      <c r="W523" s="1063"/>
      <c r="X523" s="1063"/>
      <c r="Y523" s="1063"/>
      <c r="Z523" s="1063"/>
      <c r="AA523" s="1063"/>
      <c r="AB523" s="1063"/>
      <c r="AC523" s="1063"/>
      <c r="AD523" s="1063"/>
      <c r="AE523" s="1063"/>
      <c r="AF523" s="1063"/>
      <c r="AG523" s="1063"/>
      <c r="AH523" s="1063"/>
      <c r="AI523" s="1063"/>
      <c r="AJ523" s="1063"/>
      <c r="AK523" s="1063"/>
      <c r="AL523" s="1063"/>
      <c r="AM523" s="1063"/>
      <c r="AN523" s="1063"/>
      <c r="AO523" s="1063"/>
      <c r="AP523" s="1063"/>
      <c r="AQ523" s="1063"/>
      <c r="AR523" s="1063"/>
      <c r="AS523" s="1063"/>
      <c r="AT523" s="1063"/>
      <c r="AU523" s="1063"/>
      <c r="AV523" s="1063"/>
    </row>
    <row r="524" spans="1:48" s="1108" customFormat="1" ht="27.75" customHeight="1">
      <c r="A524" s="1076"/>
      <c r="B524" s="1074"/>
      <c r="D524" s="1063"/>
      <c r="F524" s="1076"/>
      <c r="G524" s="1063"/>
      <c r="H524" s="1063"/>
      <c r="I524" s="1063"/>
      <c r="J524" s="1063"/>
      <c r="K524" s="1063"/>
      <c r="L524" s="1063"/>
      <c r="M524" s="1063"/>
      <c r="N524" s="1063"/>
      <c r="O524" s="1063"/>
      <c r="P524" s="1063"/>
      <c r="Q524" s="1063"/>
      <c r="R524" s="1063"/>
      <c r="S524" s="1063"/>
      <c r="T524" s="1063"/>
      <c r="U524" s="1063"/>
      <c r="V524" s="1063"/>
      <c r="W524" s="1063"/>
      <c r="X524" s="1063"/>
      <c r="Y524" s="1063"/>
      <c r="Z524" s="1063"/>
      <c r="AA524" s="1063"/>
      <c r="AB524" s="1063"/>
      <c r="AC524" s="1063"/>
      <c r="AD524" s="1063"/>
      <c r="AE524" s="1063"/>
      <c r="AF524" s="1063"/>
      <c r="AG524" s="1063"/>
      <c r="AH524" s="1063"/>
      <c r="AI524" s="1063"/>
      <c r="AJ524" s="1063"/>
      <c r="AK524" s="1063"/>
      <c r="AL524" s="1063"/>
      <c r="AM524" s="1063"/>
      <c r="AN524" s="1063"/>
      <c r="AO524" s="1063"/>
      <c r="AP524" s="1063"/>
      <c r="AQ524" s="1063"/>
      <c r="AR524" s="1063"/>
      <c r="AS524" s="1063"/>
      <c r="AT524" s="1063"/>
      <c r="AU524" s="1063"/>
      <c r="AV524" s="1063"/>
    </row>
    <row r="525" spans="1:48" s="1108" customFormat="1" ht="27.75" customHeight="1">
      <c r="A525" s="1076"/>
      <c r="B525" s="1074"/>
      <c r="D525" s="1063"/>
      <c r="F525" s="1076"/>
      <c r="G525" s="1063"/>
      <c r="H525" s="1063"/>
      <c r="I525" s="1063"/>
      <c r="J525" s="1063"/>
      <c r="K525" s="1063"/>
      <c r="L525" s="1063"/>
      <c r="M525" s="1063"/>
      <c r="N525" s="1063"/>
      <c r="O525" s="1063"/>
      <c r="P525" s="1063"/>
      <c r="Q525" s="1063"/>
      <c r="R525" s="1063"/>
      <c r="S525" s="1063"/>
      <c r="T525" s="1063"/>
      <c r="U525" s="1063"/>
      <c r="V525" s="1063"/>
      <c r="W525" s="1063"/>
      <c r="X525" s="1063"/>
      <c r="Y525" s="1063"/>
      <c r="Z525" s="1063"/>
      <c r="AA525" s="1063"/>
      <c r="AB525" s="1063"/>
      <c r="AC525" s="1063"/>
      <c r="AD525" s="1063"/>
      <c r="AE525" s="1063"/>
      <c r="AF525" s="1063"/>
      <c r="AG525" s="1063"/>
      <c r="AH525" s="1063"/>
      <c r="AI525" s="1063"/>
      <c r="AJ525" s="1063"/>
      <c r="AK525" s="1063"/>
      <c r="AL525" s="1063"/>
      <c r="AM525" s="1063"/>
      <c r="AN525" s="1063"/>
      <c r="AO525" s="1063"/>
      <c r="AP525" s="1063"/>
      <c r="AQ525" s="1063"/>
      <c r="AR525" s="1063"/>
      <c r="AS525" s="1063"/>
      <c r="AT525" s="1063"/>
      <c r="AU525" s="1063"/>
      <c r="AV525" s="1063"/>
    </row>
    <row r="526" spans="1:48" s="1108" customFormat="1" ht="27.75" customHeight="1">
      <c r="A526" s="1076"/>
      <c r="B526" s="1074"/>
      <c r="D526" s="1063"/>
      <c r="F526" s="1076"/>
      <c r="G526" s="1063"/>
      <c r="H526" s="1063"/>
      <c r="I526" s="1063"/>
      <c r="J526" s="1063"/>
      <c r="K526" s="1063"/>
      <c r="L526" s="1063"/>
      <c r="M526" s="1063"/>
      <c r="N526" s="1063"/>
      <c r="O526" s="1063"/>
      <c r="P526" s="1063"/>
      <c r="Q526" s="1063"/>
      <c r="R526" s="1063"/>
      <c r="S526" s="1063"/>
      <c r="T526" s="1063"/>
      <c r="U526" s="1063"/>
      <c r="V526" s="1063"/>
      <c r="W526" s="1063"/>
      <c r="X526" s="1063"/>
      <c r="Y526" s="1063"/>
      <c r="Z526" s="1063"/>
      <c r="AA526" s="1063"/>
      <c r="AB526" s="1063"/>
      <c r="AC526" s="1063"/>
      <c r="AD526" s="1063"/>
      <c r="AE526" s="1063"/>
      <c r="AF526" s="1063"/>
      <c r="AG526" s="1063"/>
      <c r="AH526" s="1063"/>
      <c r="AI526" s="1063"/>
      <c r="AJ526" s="1063"/>
      <c r="AK526" s="1063"/>
      <c r="AL526" s="1063"/>
      <c r="AM526" s="1063"/>
      <c r="AN526" s="1063"/>
      <c r="AO526" s="1063"/>
      <c r="AP526" s="1063"/>
      <c r="AQ526" s="1063"/>
      <c r="AR526" s="1063"/>
      <c r="AS526" s="1063"/>
      <c r="AT526" s="1063"/>
      <c r="AU526" s="1063"/>
      <c r="AV526" s="1063"/>
    </row>
    <row r="527" spans="1:48" s="1108" customFormat="1" ht="27.75" customHeight="1">
      <c r="A527" s="1076"/>
      <c r="B527" s="1074"/>
      <c r="D527" s="1063"/>
      <c r="F527" s="1076"/>
      <c r="G527" s="1063"/>
      <c r="H527" s="1063"/>
      <c r="I527" s="1063"/>
      <c r="J527" s="1063"/>
      <c r="K527" s="1063"/>
      <c r="L527" s="1063"/>
      <c r="M527" s="1063"/>
      <c r="N527" s="1063"/>
      <c r="O527" s="1063"/>
      <c r="P527" s="1063"/>
      <c r="Q527" s="1063"/>
      <c r="R527" s="1063"/>
      <c r="S527" s="1063"/>
      <c r="T527" s="1063"/>
      <c r="U527" s="1063"/>
      <c r="V527" s="1063"/>
      <c r="W527" s="1063"/>
      <c r="X527" s="1063"/>
      <c r="Y527" s="1063"/>
      <c r="Z527" s="1063"/>
      <c r="AA527" s="1063"/>
      <c r="AB527" s="1063"/>
      <c r="AC527" s="1063"/>
      <c r="AD527" s="1063"/>
      <c r="AE527" s="1063"/>
      <c r="AF527" s="1063"/>
      <c r="AG527" s="1063"/>
      <c r="AH527" s="1063"/>
      <c r="AI527" s="1063"/>
      <c r="AJ527" s="1063"/>
      <c r="AK527" s="1063"/>
      <c r="AL527" s="1063"/>
      <c r="AM527" s="1063"/>
      <c r="AN527" s="1063"/>
      <c r="AO527" s="1063"/>
      <c r="AP527" s="1063"/>
      <c r="AQ527" s="1063"/>
      <c r="AR527" s="1063"/>
      <c r="AS527" s="1063"/>
      <c r="AT527" s="1063"/>
      <c r="AU527" s="1063"/>
      <c r="AV527" s="1063"/>
    </row>
    <row r="528" spans="1:48" s="1108" customFormat="1" ht="27.75" customHeight="1">
      <c r="A528" s="1076"/>
      <c r="B528" s="1074"/>
      <c r="D528" s="1063"/>
      <c r="F528" s="1076"/>
      <c r="G528" s="1063"/>
      <c r="H528" s="1063"/>
      <c r="I528" s="1063"/>
      <c r="J528" s="1063"/>
      <c r="K528" s="1063"/>
      <c r="L528" s="1063"/>
      <c r="M528" s="1063"/>
      <c r="N528" s="1063"/>
      <c r="O528" s="1063"/>
      <c r="P528" s="1063"/>
      <c r="Q528" s="1063"/>
      <c r="R528" s="1063"/>
      <c r="S528" s="1063"/>
      <c r="T528" s="1063"/>
      <c r="U528" s="1063"/>
      <c r="V528" s="1063"/>
      <c r="W528" s="1063"/>
      <c r="X528" s="1063"/>
      <c r="Y528" s="1063"/>
      <c r="Z528" s="1063"/>
      <c r="AA528" s="1063"/>
      <c r="AB528" s="1063"/>
      <c r="AC528" s="1063"/>
      <c r="AD528" s="1063"/>
      <c r="AE528" s="1063"/>
      <c r="AF528" s="1063"/>
      <c r="AG528" s="1063"/>
      <c r="AH528" s="1063"/>
      <c r="AI528" s="1063"/>
      <c r="AJ528" s="1063"/>
      <c r="AK528" s="1063"/>
      <c r="AL528" s="1063"/>
      <c r="AM528" s="1063"/>
      <c r="AN528" s="1063"/>
      <c r="AO528" s="1063"/>
      <c r="AP528" s="1063"/>
      <c r="AQ528" s="1063"/>
      <c r="AR528" s="1063"/>
      <c r="AS528" s="1063"/>
      <c r="AT528" s="1063"/>
      <c r="AU528" s="1063"/>
      <c r="AV528" s="1063"/>
    </row>
    <row r="529" spans="1:48" s="1108" customFormat="1" ht="27.75" customHeight="1">
      <c r="A529" s="1076"/>
      <c r="B529" s="1074"/>
      <c r="D529" s="1063"/>
      <c r="F529" s="1076"/>
      <c r="G529" s="1063"/>
      <c r="H529" s="1063"/>
      <c r="I529" s="1063"/>
      <c r="J529" s="1063"/>
      <c r="K529" s="1063"/>
      <c r="L529" s="1063"/>
      <c r="M529" s="1063"/>
      <c r="N529" s="1063"/>
      <c r="O529" s="1063"/>
      <c r="P529" s="1063"/>
      <c r="Q529" s="1063"/>
      <c r="R529" s="1063"/>
      <c r="S529" s="1063"/>
      <c r="T529" s="1063"/>
      <c r="U529" s="1063"/>
      <c r="V529" s="1063"/>
      <c r="W529" s="1063"/>
      <c r="X529" s="1063"/>
      <c r="Y529" s="1063"/>
      <c r="Z529" s="1063"/>
      <c r="AA529" s="1063"/>
      <c r="AB529" s="1063"/>
      <c r="AC529" s="1063"/>
      <c r="AD529" s="1063"/>
      <c r="AE529" s="1063"/>
      <c r="AF529" s="1063"/>
      <c r="AG529" s="1063"/>
      <c r="AH529" s="1063"/>
      <c r="AI529" s="1063"/>
      <c r="AJ529" s="1063"/>
      <c r="AK529" s="1063"/>
      <c r="AL529" s="1063"/>
      <c r="AM529" s="1063"/>
      <c r="AN529" s="1063"/>
      <c r="AO529" s="1063"/>
      <c r="AP529" s="1063"/>
      <c r="AQ529" s="1063"/>
      <c r="AR529" s="1063"/>
      <c r="AS529" s="1063"/>
      <c r="AT529" s="1063"/>
      <c r="AU529" s="1063"/>
      <c r="AV529" s="1063"/>
    </row>
    <row r="530" spans="1:48" s="1108" customFormat="1" ht="27.75" customHeight="1">
      <c r="A530" s="1076"/>
      <c r="B530" s="1074"/>
      <c r="D530" s="1063"/>
      <c r="F530" s="1076"/>
      <c r="G530" s="1063"/>
      <c r="H530" s="1063"/>
      <c r="I530" s="1063"/>
      <c r="J530" s="1063"/>
      <c r="K530" s="1063"/>
      <c r="L530" s="1063"/>
      <c r="M530" s="1063"/>
      <c r="N530" s="1063"/>
      <c r="O530" s="1063"/>
      <c r="P530" s="1063"/>
      <c r="Q530" s="1063"/>
      <c r="R530" s="1063"/>
      <c r="S530" s="1063"/>
      <c r="T530" s="1063"/>
      <c r="U530" s="1063"/>
      <c r="V530" s="1063"/>
      <c r="W530" s="1063"/>
      <c r="X530" s="1063"/>
      <c r="Y530" s="1063"/>
      <c r="Z530" s="1063"/>
      <c r="AA530" s="1063"/>
      <c r="AB530" s="1063"/>
      <c r="AC530" s="1063"/>
      <c r="AD530" s="1063"/>
      <c r="AE530" s="1063"/>
      <c r="AF530" s="1063"/>
      <c r="AG530" s="1063"/>
      <c r="AH530" s="1063"/>
      <c r="AI530" s="1063"/>
      <c r="AJ530" s="1063"/>
      <c r="AK530" s="1063"/>
      <c r="AL530" s="1063"/>
      <c r="AM530" s="1063"/>
      <c r="AN530" s="1063"/>
      <c r="AO530" s="1063"/>
      <c r="AP530" s="1063"/>
      <c r="AQ530" s="1063"/>
      <c r="AR530" s="1063"/>
      <c r="AS530" s="1063"/>
      <c r="AT530" s="1063"/>
      <c r="AU530" s="1063"/>
      <c r="AV530" s="1063"/>
    </row>
    <row r="531" spans="1:48" s="1108" customFormat="1" ht="27.75" customHeight="1">
      <c r="A531" s="1076"/>
      <c r="B531" s="1074"/>
      <c r="D531" s="1063"/>
      <c r="F531" s="1076"/>
      <c r="G531" s="1063"/>
      <c r="H531" s="1063"/>
      <c r="I531" s="1063"/>
      <c r="J531" s="1063"/>
      <c r="K531" s="1063"/>
      <c r="L531" s="1063"/>
      <c r="M531" s="1063"/>
      <c r="N531" s="1063"/>
      <c r="O531" s="1063"/>
      <c r="P531" s="1063"/>
      <c r="Q531" s="1063"/>
      <c r="R531" s="1063"/>
      <c r="S531" s="1063"/>
      <c r="T531" s="1063"/>
      <c r="U531" s="1063"/>
      <c r="V531" s="1063"/>
      <c r="W531" s="1063"/>
      <c r="X531" s="1063"/>
      <c r="Y531" s="1063"/>
      <c r="Z531" s="1063"/>
      <c r="AA531" s="1063"/>
      <c r="AB531" s="1063"/>
      <c r="AC531" s="1063"/>
      <c r="AD531" s="1063"/>
      <c r="AE531" s="1063"/>
      <c r="AF531" s="1063"/>
      <c r="AG531" s="1063"/>
      <c r="AH531" s="1063"/>
      <c r="AI531" s="1063"/>
      <c r="AJ531" s="1063"/>
      <c r="AK531" s="1063"/>
      <c r="AL531" s="1063"/>
      <c r="AM531" s="1063"/>
      <c r="AN531" s="1063"/>
      <c r="AO531" s="1063"/>
      <c r="AP531" s="1063"/>
      <c r="AQ531" s="1063"/>
      <c r="AR531" s="1063"/>
      <c r="AS531" s="1063"/>
      <c r="AT531" s="1063"/>
      <c r="AU531" s="1063"/>
      <c r="AV531" s="1063"/>
    </row>
    <row r="532" spans="1:48" s="1108" customFormat="1" ht="27.75" customHeight="1">
      <c r="A532" s="1076"/>
      <c r="B532" s="1074"/>
      <c r="D532" s="1063"/>
      <c r="F532" s="1076"/>
      <c r="G532" s="1063"/>
      <c r="H532" s="1063"/>
      <c r="I532" s="1063"/>
      <c r="J532" s="1063"/>
      <c r="K532" s="1063"/>
      <c r="L532" s="1063"/>
      <c r="M532" s="1063"/>
      <c r="N532" s="1063"/>
      <c r="O532" s="1063"/>
      <c r="P532" s="1063"/>
      <c r="Q532" s="1063"/>
      <c r="R532" s="1063"/>
      <c r="S532" s="1063"/>
      <c r="T532" s="1063"/>
      <c r="U532" s="1063"/>
      <c r="V532" s="1063"/>
      <c r="W532" s="1063"/>
      <c r="X532" s="1063"/>
      <c r="Y532" s="1063"/>
      <c r="Z532" s="1063"/>
      <c r="AA532" s="1063"/>
      <c r="AB532" s="1063"/>
      <c r="AC532" s="1063"/>
      <c r="AD532" s="1063"/>
      <c r="AE532" s="1063"/>
      <c r="AF532" s="1063"/>
      <c r="AG532" s="1063"/>
      <c r="AH532" s="1063"/>
      <c r="AI532" s="1063"/>
      <c r="AJ532" s="1063"/>
      <c r="AK532" s="1063"/>
      <c r="AL532" s="1063"/>
      <c r="AM532" s="1063"/>
      <c r="AN532" s="1063"/>
      <c r="AO532" s="1063"/>
      <c r="AP532" s="1063"/>
      <c r="AQ532" s="1063"/>
      <c r="AR532" s="1063"/>
      <c r="AS532" s="1063"/>
      <c r="AT532" s="1063"/>
      <c r="AU532" s="1063"/>
      <c r="AV532" s="1063"/>
    </row>
    <row r="533" spans="1:48" s="1108" customFormat="1" ht="27.75" customHeight="1">
      <c r="A533" s="1076"/>
      <c r="B533" s="1074"/>
      <c r="D533" s="1063"/>
      <c r="F533" s="1076"/>
      <c r="G533" s="1063"/>
      <c r="H533" s="1063"/>
      <c r="I533" s="1063"/>
      <c r="J533" s="1063"/>
      <c r="K533" s="1063"/>
      <c r="L533" s="1063"/>
      <c r="M533" s="1063"/>
      <c r="N533" s="1063"/>
      <c r="O533" s="1063"/>
      <c r="P533" s="1063"/>
      <c r="Q533" s="1063"/>
      <c r="R533" s="1063"/>
      <c r="S533" s="1063"/>
      <c r="T533" s="1063"/>
      <c r="U533" s="1063"/>
      <c r="V533" s="1063"/>
      <c r="W533" s="1063"/>
      <c r="X533" s="1063"/>
      <c r="Y533" s="1063"/>
      <c r="Z533" s="1063"/>
      <c r="AA533" s="1063"/>
      <c r="AB533" s="1063"/>
      <c r="AC533" s="1063"/>
      <c r="AD533" s="1063"/>
      <c r="AE533" s="1063"/>
      <c r="AF533" s="1063"/>
      <c r="AG533" s="1063"/>
      <c r="AH533" s="1063"/>
      <c r="AI533" s="1063"/>
      <c r="AJ533" s="1063"/>
      <c r="AK533" s="1063"/>
      <c r="AL533" s="1063"/>
      <c r="AM533" s="1063"/>
      <c r="AN533" s="1063"/>
      <c r="AO533" s="1063"/>
      <c r="AP533" s="1063"/>
      <c r="AQ533" s="1063"/>
      <c r="AR533" s="1063"/>
      <c r="AS533" s="1063"/>
      <c r="AT533" s="1063"/>
      <c r="AU533" s="1063"/>
      <c r="AV533" s="1063"/>
    </row>
    <row r="534" spans="1:48" s="1108" customFormat="1" ht="27.75" customHeight="1">
      <c r="A534" s="1076"/>
      <c r="B534" s="1074"/>
      <c r="D534" s="1063"/>
      <c r="F534" s="1076"/>
      <c r="G534" s="1063"/>
      <c r="H534" s="1063"/>
      <c r="I534" s="1063"/>
      <c r="J534" s="1063"/>
      <c r="K534" s="1063"/>
      <c r="L534" s="1063"/>
      <c r="M534" s="1063"/>
      <c r="N534" s="1063"/>
      <c r="O534" s="1063"/>
      <c r="P534" s="1063"/>
      <c r="Q534" s="1063"/>
      <c r="R534" s="1063"/>
      <c r="S534" s="1063"/>
      <c r="T534" s="1063"/>
      <c r="U534" s="1063"/>
      <c r="V534" s="1063"/>
      <c r="W534" s="1063"/>
      <c r="X534" s="1063"/>
      <c r="Y534" s="1063"/>
      <c r="Z534" s="1063"/>
      <c r="AA534" s="1063"/>
      <c r="AB534" s="1063"/>
      <c r="AC534" s="1063"/>
      <c r="AD534" s="1063"/>
      <c r="AE534" s="1063"/>
      <c r="AF534" s="1063"/>
      <c r="AG534" s="1063"/>
      <c r="AH534" s="1063"/>
      <c r="AI534" s="1063"/>
      <c r="AJ534" s="1063"/>
      <c r="AK534" s="1063"/>
      <c r="AL534" s="1063"/>
      <c r="AM534" s="1063"/>
      <c r="AN534" s="1063"/>
      <c r="AO534" s="1063"/>
      <c r="AP534" s="1063"/>
      <c r="AQ534" s="1063"/>
      <c r="AR534" s="1063"/>
      <c r="AS534" s="1063"/>
      <c r="AT534" s="1063"/>
      <c r="AU534" s="1063"/>
      <c r="AV534" s="1063"/>
    </row>
    <row r="535" spans="1:48" s="1108" customFormat="1" ht="27.75" customHeight="1">
      <c r="A535" s="1076"/>
      <c r="B535" s="1074"/>
      <c r="D535" s="1063"/>
      <c r="F535" s="1076"/>
      <c r="G535" s="1063"/>
      <c r="H535" s="1063"/>
      <c r="I535" s="1063"/>
      <c r="J535" s="1063"/>
      <c r="K535" s="1063"/>
      <c r="L535" s="1063"/>
      <c r="M535" s="1063"/>
      <c r="N535" s="1063"/>
      <c r="O535" s="1063"/>
      <c r="P535" s="1063"/>
      <c r="Q535" s="1063"/>
      <c r="R535" s="1063"/>
      <c r="S535" s="1063"/>
      <c r="T535" s="1063"/>
      <c r="U535" s="1063"/>
      <c r="V535" s="1063"/>
      <c r="W535" s="1063"/>
      <c r="X535" s="1063"/>
      <c r="Y535" s="1063"/>
      <c r="Z535" s="1063"/>
      <c r="AA535" s="1063"/>
      <c r="AB535" s="1063"/>
      <c r="AC535" s="1063"/>
      <c r="AD535" s="1063"/>
      <c r="AE535" s="1063"/>
      <c r="AF535" s="1063"/>
      <c r="AG535" s="1063"/>
      <c r="AH535" s="1063"/>
      <c r="AI535" s="1063"/>
      <c r="AJ535" s="1063"/>
      <c r="AK535" s="1063"/>
      <c r="AL535" s="1063"/>
      <c r="AM535" s="1063"/>
      <c r="AN535" s="1063"/>
      <c r="AO535" s="1063"/>
      <c r="AP535" s="1063"/>
      <c r="AQ535" s="1063"/>
      <c r="AR535" s="1063"/>
      <c r="AS535" s="1063"/>
      <c r="AT535" s="1063"/>
      <c r="AU535" s="1063"/>
      <c r="AV535" s="1063"/>
    </row>
    <row r="536" spans="1:48" s="1108" customFormat="1" ht="27.75" customHeight="1">
      <c r="A536" s="1076"/>
      <c r="B536" s="1074"/>
      <c r="D536" s="1063"/>
      <c r="F536" s="1076"/>
      <c r="G536" s="1063"/>
      <c r="H536" s="1063"/>
      <c r="I536" s="1063"/>
      <c r="J536" s="1063"/>
      <c r="K536" s="1063"/>
      <c r="L536" s="1063"/>
      <c r="M536" s="1063"/>
      <c r="N536" s="1063"/>
      <c r="O536" s="1063"/>
      <c r="P536" s="1063"/>
      <c r="Q536" s="1063"/>
      <c r="R536" s="1063"/>
      <c r="S536" s="1063"/>
      <c r="T536" s="1063"/>
      <c r="U536" s="1063"/>
      <c r="V536" s="1063"/>
      <c r="W536" s="1063"/>
      <c r="X536" s="1063"/>
      <c r="Y536" s="1063"/>
      <c r="Z536" s="1063"/>
      <c r="AA536" s="1063"/>
      <c r="AB536" s="1063"/>
      <c r="AC536" s="1063"/>
      <c r="AD536" s="1063"/>
      <c r="AE536" s="1063"/>
      <c r="AF536" s="1063"/>
      <c r="AG536" s="1063"/>
      <c r="AH536" s="1063"/>
      <c r="AI536" s="1063"/>
      <c r="AJ536" s="1063"/>
      <c r="AK536" s="1063"/>
      <c r="AL536" s="1063"/>
      <c r="AM536" s="1063"/>
      <c r="AN536" s="1063"/>
      <c r="AO536" s="1063"/>
      <c r="AP536" s="1063"/>
      <c r="AQ536" s="1063"/>
      <c r="AR536" s="1063"/>
      <c r="AS536" s="1063"/>
      <c r="AT536" s="1063"/>
      <c r="AU536" s="1063"/>
      <c r="AV536" s="1063"/>
    </row>
    <row r="537" spans="1:48" s="1108" customFormat="1" ht="27.75" customHeight="1">
      <c r="A537" s="1076"/>
      <c r="B537" s="1074"/>
      <c r="D537" s="1063"/>
      <c r="F537" s="1076"/>
      <c r="G537" s="1063"/>
      <c r="H537" s="1063"/>
      <c r="I537" s="1063"/>
      <c r="J537" s="1063"/>
      <c r="K537" s="1063"/>
      <c r="L537" s="1063"/>
      <c r="M537" s="1063"/>
      <c r="N537" s="1063"/>
      <c r="O537" s="1063"/>
      <c r="P537" s="1063"/>
      <c r="Q537" s="1063"/>
      <c r="R537" s="1063"/>
      <c r="S537" s="1063"/>
      <c r="T537" s="1063"/>
      <c r="U537" s="1063"/>
      <c r="V537" s="1063"/>
      <c r="W537" s="1063"/>
      <c r="X537" s="1063"/>
      <c r="Y537" s="1063"/>
      <c r="Z537" s="1063"/>
      <c r="AA537" s="1063"/>
      <c r="AB537" s="1063"/>
      <c r="AC537" s="1063"/>
      <c r="AD537" s="1063"/>
      <c r="AE537" s="1063"/>
      <c r="AF537" s="1063"/>
      <c r="AG537" s="1063"/>
      <c r="AH537" s="1063"/>
      <c r="AI537" s="1063"/>
      <c r="AJ537" s="1063"/>
      <c r="AK537" s="1063"/>
      <c r="AL537" s="1063"/>
      <c r="AM537" s="1063"/>
      <c r="AN537" s="1063"/>
      <c r="AO537" s="1063"/>
      <c r="AP537" s="1063"/>
      <c r="AQ537" s="1063"/>
      <c r="AR537" s="1063"/>
      <c r="AS537" s="1063"/>
      <c r="AT537" s="1063"/>
      <c r="AU537" s="1063"/>
      <c r="AV537" s="1063"/>
    </row>
    <row r="538" spans="1:48" s="1108" customFormat="1" ht="27.75" customHeight="1">
      <c r="A538" s="1076"/>
      <c r="B538" s="1074"/>
      <c r="D538" s="1063"/>
      <c r="F538" s="1076"/>
      <c r="G538" s="1063"/>
      <c r="H538" s="1063"/>
      <c r="I538" s="1063"/>
      <c r="J538" s="1063"/>
      <c r="K538" s="1063"/>
      <c r="L538" s="1063"/>
      <c r="M538" s="1063"/>
      <c r="N538" s="1063"/>
      <c r="O538" s="1063"/>
      <c r="P538" s="1063"/>
      <c r="Q538" s="1063"/>
      <c r="R538" s="1063"/>
      <c r="S538" s="1063"/>
      <c r="T538" s="1063"/>
      <c r="U538" s="1063"/>
      <c r="V538" s="1063"/>
      <c r="W538" s="1063"/>
      <c r="X538" s="1063"/>
      <c r="Y538" s="1063"/>
      <c r="Z538" s="1063"/>
      <c r="AA538" s="1063"/>
      <c r="AB538" s="1063"/>
      <c r="AC538" s="1063"/>
      <c r="AD538" s="1063"/>
      <c r="AE538" s="1063"/>
      <c r="AF538" s="1063"/>
      <c r="AG538" s="1063"/>
      <c r="AH538" s="1063"/>
      <c r="AI538" s="1063"/>
      <c r="AJ538" s="1063"/>
      <c r="AK538" s="1063"/>
      <c r="AL538" s="1063"/>
      <c r="AM538" s="1063"/>
      <c r="AN538" s="1063"/>
      <c r="AO538" s="1063"/>
      <c r="AP538" s="1063"/>
      <c r="AQ538" s="1063"/>
      <c r="AR538" s="1063"/>
      <c r="AS538" s="1063"/>
      <c r="AT538" s="1063"/>
      <c r="AU538" s="1063"/>
      <c r="AV538" s="1063"/>
    </row>
    <row r="539" spans="1:48" s="1108" customFormat="1" ht="27.75" customHeight="1">
      <c r="A539" s="1076"/>
      <c r="B539" s="1074"/>
      <c r="D539" s="1063"/>
      <c r="F539" s="1076"/>
      <c r="G539" s="1063"/>
      <c r="H539" s="1063"/>
      <c r="I539" s="1063"/>
      <c r="J539" s="1063"/>
      <c r="K539" s="1063"/>
      <c r="L539" s="1063"/>
      <c r="M539" s="1063"/>
      <c r="N539" s="1063"/>
      <c r="O539" s="1063"/>
      <c r="P539" s="1063"/>
      <c r="Q539" s="1063"/>
      <c r="R539" s="1063"/>
      <c r="S539" s="1063"/>
      <c r="T539" s="1063"/>
      <c r="U539" s="1063"/>
      <c r="V539" s="1063"/>
      <c r="W539" s="1063"/>
      <c r="X539" s="1063"/>
      <c r="Y539" s="1063"/>
      <c r="Z539" s="1063"/>
      <c r="AA539" s="1063"/>
      <c r="AB539" s="1063"/>
      <c r="AC539" s="1063"/>
      <c r="AD539" s="1063"/>
      <c r="AE539" s="1063"/>
      <c r="AF539" s="1063"/>
      <c r="AG539" s="1063"/>
      <c r="AH539" s="1063"/>
      <c r="AI539" s="1063"/>
      <c r="AJ539" s="1063"/>
      <c r="AK539" s="1063"/>
      <c r="AL539" s="1063"/>
      <c r="AM539" s="1063"/>
      <c r="AN539" s="1063"/>
      <c r="AO539" s="1063"/>
      <c r="AP539" s="1063"/>
      <c r="AQ539" s="1063"/>
      <c r="AR539" s="1063"/>
      <c r="AS539" s="1063"/>
      <c r="AT539" s="1063"/>
      <c r="AU539" s="1063"/>
      <c r="AV539" s="1063"/>
    </row>
    <row r="540" spans="1:48" s="1108" customFormat="1" ht="27.75" customHeight="1">
      <c r="A540" s="1076"/>
      <c r="B540" s="1074"/>
      <c r="D540" s="1063"/>
      <c r="F540" s="1076"/>
      <c r="G540" s="1063"/>
      <c r="H540" s="1063"/>
      <c r="I540" s="1063"/>
      <c r="J540" s="1063"/>
      <c r="K540" s="1063"/>
      <c r="L540" s="1063"/>
      <c r="M540" s="1063"/>
      <c r="N540" s="1063"/>
      <c r="O540" s="1063"/>
      <c r="P540" s="1063"/>
      <c r="Q540" s="1063"/>
      <c r="R540" s="1063"/>
      <c r="S540" s="1063"/>
      <c r="T540" s="1063"/>
      <c r="U540" s="1063"/>
      <c r="V540" s="1063"/>
      <c r="W540" s="1063"/>
      <c r="X540" s="1063"/>
      <c r="Y540" s="1063"/>
      <c r="Z540" s="1063"/>
      <c r="AA540" s="1063"/>
      <c r="AB540" s="1063"/>
      <c r="AC540" s="1063"/>
      <c r="AD540" s="1063"/>
      <c r="AE540" s="1063"/>
      <c r="AF540" s="1063"/>
      <c r="AG540" s="1063"/>
      <c r="AH540" s="1063"/>
      <c r="AI540" s="1063"/>
      <c r="AJ540" s="1063"/>
      <c r="AK540" s="1063"/>
      <c r="AL540" s="1063"/>
      <c r="AM540" s="1063"/>
      <c r="AN540" s="1063"/>
      <c r="AO540" s="1063"/>
      <c r="AP540" s="1063"/>
      <c r="AQ540" s="1063"/>
      <c r="AR540" s="1063"/>
      <c r="AS540" s="1063"/>
      <c r="AT540" s="1063"/>
      <c r="AU540" s="1063"/>
      <c r="AV540" s="1063"/>
    </row>
    <row r="541" spans="1:48" s="1108" customFormat="1" ht="27.75" customHeight="1">
      <c r="A541" s="1076"/>
      <c r="B541" s="1074"/>
      <c r="D541" s="1063"/>
      <c r="F541" s="1076"/>
      <c r="G541" s="1063"/>
      <c r="H541" s="1063"/>
      <c r="I541" s="1063"/>
      <c r="J541" s="1063"/>
      <c r="K541" s="1063"/>
      <c r="L541" s="1063"/>
      <c r="M541" s="1063"/>
      <c r="N541" s="1063"/>
      <c r="O541" s="1063"/>
      <c r="P541" s="1063"/>
      <c r="Q541" s="1063"/>
      <c r="R541" s="1063"/>
      <c r="S541" s="1063"/>
      <c r="T541" s="1063"/>
      <c r="U541" s="1063"/>
      <c r="V541" s="1063"/>
      <c r="W541" s="1063"/>
      <c r="X541" s="1063"/>
      <c r="Y541" s="1063"/>
      <c r="Z541" s="1063"/>
      <c r="AA541" s="1063"/>
      <c r="AB541" s="1063"/>
      <c r="AC541" s="1063"/>
      <c r="AD541" s="1063"/>
      <c r="AE541" s="1063"/>
      <c r="AF541" s="1063"/>
      <c r="AG541" s="1063"/>
      <c r="AH541" s="1063"/>
      <c r="AI541" s="1063"/>
      <c r="AJ541" s="1063"/>
      <c r="AK541" s="1063"/>
      <c r="AL541" s="1063"/>
      <c r="AM541" s="1063"/>
      <c r="AN541" s="1063"/>
      <c r="AO541" s="1063"/>
      <c r="AP541" s="1063"/>
      <c r="AQ541" s="1063"/>
      <c r="AR541" s="1063"/>
      <c r="AS541" s="1063"/>
      <c r="AT541" s="1063"/>
      <c r="AU541" s="1063"/>
      <c r="AV541" s="1063"/>
    </row>
    <row r="542" spans="1:48" s="1108" customFormat="1" ht="27.75" customHeight="1">
      <c r="A542" s="1076"/>
      <c r="B542" s="1074"/>
      <c r="D542" s="1063"/>
      <c r="F542" s="1076"/>
      <c r="G542" s="1063"/>
      <c r="H542" s="1063"/>
      <c r="I542" s="1063"/>
      <c r="J542" s="1063"/>
      <c r="K542" s="1063"/>
      <c r="L542" s="1063"/>
      <c r="M542" s="1063"/>
      <c r="N542" s="1063"/>
      <c r="O542" s="1063"/>
      <c r="P542" s="1063"/>
      <c r="Q542" s="1063"/>
      <c r="R542" s="1063"/>
      <c r="S542" s="1063"/>
      <c r="T542" s="1063"/>
      <c r="U542" s="1063"/>
      <c r="V542" s="1063"/>
      <c r="W542" s="1063"/>
      <c r="X542" s="1063"/>
      <c r="Y542" s="1063"/>
      <c r="Z542" s="1063"/>
      <c r="AA542" s="1063"/>
      <c r="AB542" s="1063"/>
      <c r="AC542" s="1063"/>
      <c r="AD542" s="1063"/>
      <c r="AE542" s="1063"/>
      <c r="AF542" s="1063"/>
      <c r="AG542" s="1063"/>
      <c r="AH542" s="1063"/>
      <c r="AI542" s="1063"/>
      <c r="AJ542" s="1063"/>
      <c r="AK542" s="1063"/>
      <c r="AL542" s="1063"/>
      <c r="AM542" s="1063"/>
      <c r="AN542" s="1063"/>
      <c r="AO542" s="1063"/>
      <c r="AP542" s="1063"/>
      <c r="AQ542" s="1063"/>
      <c r="AR542" s="1063"/>
      <c r="AS542" s="1063"/>
      <c r="AT542" s="1063"/>
      <c r="AU542" s="1063"/>
      <c r="AV542" s="1063"/>
    </row>
    <row r="543" spans="1:48" s="1108" customFormat="1" ht="27.75" customHeight="1">
      <c r="A543" s="1076"/>
      <c r="B543" s="1074"/>
      <c r="D543" s="1063"/>
      <c r="F543" s="1076"/>
      <c r="G543" s="1063"/>
      <c r="H543" s="1063"/>
      <c r="I543" s="1063"/>
      <c r="J543" s="1063"/>
      <c r="K543" s="1063"/>
      <c r="L543" s="1063"/>
      <c r="M543" s="1063"/>
      <c r="N543" s="1063"/>
      <c r="O543" s="1063"/>
      <c r="P543" s="1063"/>
      <c r="Q543" s="1063"/>
      <c r="R543" s="1063"/>
      <c r="S543" s="1063"/>
      <c r="T543" s="1063"/>
      <c r="U543" s="1063"/>
      <c r="V543" s="1063"/>
      <c r="W543" s="1063"/>
      <c r="X543" s="1063"/>
      <c r="Y543" s="1063"/>
      <c r="Z543" s="1063"/>
      <c r="AA543" s="1063"/>
      <c r="AB543" s="1063"/>
      <c r="AC543" s="1063"/>
      <c r="AD543" s="1063"/>
      <c r="AE543" s="1063"/>
      <c r="AF543" s="1063"/>
      <c r="AG543" s="1063"/>
      <c r="AH543" s="1063"/>
      <c r="AI543" s="1063"/>
      <c r="AJ543" s="1063"/>
      <c r="AK543" s="1063"/>
      <c r="AL543" s="1063"/>
      <c r="AM543" s="1063"/>
      <c r="AN543" s="1063"/>
      <c r="AO543" s="1063"/>
      <c r="AP543" s="1063"/>
      <c r="AQ543" s="1063"/>
      <c r="AR543" s="1063"/>
      <c r="AS543" s="1063"/>
      <c r="AT543" s="1063"/>
      <c r="AU543" s="1063"/>
      <c r="AV543" s="1063"/>
    </row>
    <row r="544" spans="1:48" s="1108" customFormat="1" ht="27.75" customHeight="1">
      <c r="A544" s="1076"/>
      <c r="B544" s="1074"/>
      <c r="D544" s="1063"/>
      <c r="F544" s="1076"/>
      <c r="G544" s="1063"/>
      <c r="H544" s="1063"/>
      <c r="I544" s="1063"/>
      <c r="J544" s="1063"/>
      <c r="K544" s="1063"/>
      <c r="L544" s="1063"/>
      <c r="M544" s="1063"/>
      <c r="N544" s="1063"/>
      <c r="O544" s="1063"/>
      <c r="P544" s="1063"/>
      <c r="Q544" s="1063"/>
      <c r="R544" s="1063"/>
      <c r="S544" s="1063"/>
      <c r="T544" s="1063"/>
      <c r="U544" s="1063"/>
      <c r="V544" s="1063"/>
      <c r="W544" s="1063"/>
      <c r="X544" s="1063"/>
      <c r="Y544" s="1063"/>
      <c r="Z544" s="1063"/>
      <c r="AA544" s="1063"/>
      <c r="AB544" s="1063"/>
      <c r="AC544" s="1063"/>
      <c r="AD544" s="1063"/>
      <c r="AE544" s="1063"/>
      <c r="AF544" s="1063"/>
      <c r="AG544" s="1063"/>
      <c r="AH544" s="1063"/>
      <c r="AI544" s="1063"/>
      <c r="AJ544" s="1063"/>
      <c r="AK544" s="1063"/>
      <c r="AL544" s="1063"/>
      <c r="AM544" s="1063"/>
      <c r="AN544" s="1063"/>
      <c r="AO544" s="1063"/>
      <c r="AP544" s="1063"/>
      <c r="AQ544" s="1063"/>
      <c r="AR544" s="1063"/>
      <c r="AS544" s="1063"/>
      <c r="AT544" s="1063"/>
      <c r="AU544" s="1063"/>
      <c r="AV544" s="1063"/>
    </row>
    <row r="545" spans="1:48" s="1108" customFormat="1" ht="27.75" customHeight="1">
      <c r="A545" s="1076"/>
      <c r="B545" s="1074"/>
      <c r="D545" s="1063"/>
      <c r="F545" s="1076"/>
      <c r="G545" s="1063"/>
      <c r="H545" s="1063"/>
      <c r="I545" s="1063"/>
      <c r="J545" s="1063"/>
      <c r="K545" s="1063"/>
      <c r="L545" s="1063"/>
      <c r="M545" s="1063"/>
      <c r="N545" s="1063"/>
      <c r="O545" s="1063"/>
      <c r="P545" s="1063"/>
      <c r="Q545" s="1063"/>
      <c r="R545" s="1063"/>
      <c r="S545" s="1063"/>
      <c r="T545" s="1063"/>
      <c r="U545" s="1063"/>
      <c r="V545" s="1063"/>
      <c r="W545" s="1063"/>
      <c r="X545" s="1063"/>
      <c r="Y545" s="1063"/>
      <c r="Z545" s="1063"/>
      <c r="AA545" s="1063"/>
      <c r="AB545" s="1063"/>
      <c r="AC545" s="1063"/>
      <c r="AD545" s="1063"/>
      <c r="AE545" s="1063"/>
      <c r="AF545" s="1063"/>
      <c r="AG545" s="1063"/>
      <c r="AH545" s="1063"/>
      <c r="AI545" s="1063"/>
      <c r="AJ545" s="1063"/>
      <c r="AK545" s="1063"/>
      <c r="AL545" s="1063"/>
      <c r="AM545" s="1063"/>
      <c r="AN545" s="1063"/>
      <c r="AO545" s="1063"/>
      <c r="AP545" s="1063"/>
      <c r="AQ545" s="1063"/>
      <c r="AR545" s="1063"/>
      <c r="AS545" s="1063"/>
      <c r="AT545" s="1063"/>
      <c r="AU545" s="1063"/>
      <c r="AV545" s="1063"/>
    </row>
    <row r="546" spans="1:48" s="1108" customFormat="1" ht="27.75" customHeight="1">
      <c r="A546" s="1076"/>
      <c r="B546" s="1074"/>
      <c r="D546" s="1063"/>
      <c r="F546" s="1076"/>
      <c r="G546" s="1063"/>
      <c r="H546" s="1063"/>
      <c r="I546" s="1063"/>
      <c r="J546" s="1063"/>
      <c r="K546" s="1063"/>
      <c r="L546" s="1063"/>
      <c r="M546" s="1063"/>
      <c r="N546" s="1063"/>
      <c r="O546" s="1063"/>
      <c r="P546" s="1063"/>
      <c r="Q546" s="1063"/>
      <c r="R546" s="1063"/>
      <c r="S546" s="1063"/>
      <c r="T546" s="1063"/>
      <c r="U546" s="1063"/>
      <c r="V546" s="1063"/>
      <c r="W546" s="1063"/>
      <c r="X546" s="1063"/>
      <c r="Y546" s="1063"/>
      <c r="Z546" s="1063"/>
      <c r="AA546" s="1063"/>
      <c r="AB546" s="1063"/>
      <c r="AC546" s="1063"/>
      <c r="AD546" s="1063"/>
      <c r="AE546" s="1063"/>
      <c r="AF546" s="1063"/>
      <c r="AG546" s="1063"/>
      <c r="AH546" s="1063"/>
      <c r="AI546" s="1063"/>
      <c r="AJ546" s="1063"/>
      <c r="AK546" s="1063"/>
      <c r="AL546" s="1063"/>
      <c r="AM546" s="1063"/>
      <c r="AN546" s="1063"/>
      <c r="AO546" s="1063"/>
      <c r="AP546" s="1063"/>
      <c r="AQ546" s="1063"/>
      <c r="AR546" s="1063"/>
      <c r="AS546" s="1063"/>
      <c r="AT546" s="1063"/>
      <c r="AU546" s="1063"/>
      <c r="AV546" s="1063"/>
    </row>
    <row r="547" spans="1:48" s="1108" customFormat="1" ht="27.75" customHeight="1">
      <c r="A547" s="1076"/>
      <c r="B547" s="1074"/>
      <c r="D547" s="1063"/>
      <c r="F547" s="1076"/>
      <c r="G547" s="1063"/>
      <c r="H547" s="1063"/>
      <c r="I547" s="1063"/>
      <c r="J547" s="1063"/>
      <c r="K547" s="1063"/>
      <c r="L547" s="1063"/>
      <c r="M547" s="1063"/>
      <c r="N547" s="1063"/>
      <c r="O547" s="1063"/>
      <c r="P547" s="1063"/>
      <c r="Q547" s="1063"/>
      <c r="R547" s="1063"/>
      <c r="S547" s="1063"/>
      <c r="T547" s="1063"/>
      <c r="U547" s="1063"/>
      <c r="V547" s="1063"/>
      <c r="W547" s="1063"/>
      <c r="X547" s="1063"/>
      <c r="Y547" s="1063"/>
      <c r="Z547" s="1063"/>
      <c r="AA547" s="1063"/>
      <c r="AB547" s="1063"/>
      <c r="AC547" s="1063"/>
      <c r="AD547" s="1063"/>
      <c r="AE547" s="1063"/>
      <c r="AF547" s="1063"/>
      <c r="AG547" s="1063"/>
      <c r="AH547" s="1063"/>
      <c r="AI547" s="1063"/>
      <c r="AJ547" s="1063"/>
      <c r="AK547" s="1063"/>
      <c r="AL547" s="1063"/>
      <c r="AM547" s="1063"/>
      <c r="AN547" s="1063"/>
      <c r="AO547" s="1063"/>
      <c r="AP547" s="1063"/>
      <c r="AQ547" s="1063"/>
      <c r="AR547" s="1063"/>
      <c r="AS547" s="1063"/>
      <c r="AT547" s="1063"/>
      <c r="AU547" s="1063"/>
      <c r="AV547" s="1063"/>
    </row>
    <row r="548" spans="1:48" s="1108" customFormat="1" ht="27.75" customHeight="1">
      <c r="A548" s="1076"/>
      <c r="B548" s="1074"/>
      <c r="D548" s="1063"/>
      <c r="F548" s="1076"/>
      <c r="G548" s="1063"/>
      <c r="H548" s="1063"/>
      <c r="I548" s="1063"/>
      <c r="J548" s="1063"/>
      <c r="K548" s="1063"/>
      <c r="L548" s="1063"/>
      <c r="M548" s="1063"/>
      <c r="N548" s="1063"/>
      <c r="O548" s="1063"/>
      <c r="P548" s="1063"/>
      <c r="Q548" s="1063"/>
      <c r="R548" s="1063"/>
      <c r="S548" s="1063"/>
      <c r="T548" s="1063"/>
      <c r="U548" s="1063"/>
      <c r="V548" s="1063"/>
      <c r="W548" s="1063"/>
      <c r="X548" s="1063"/>
      <c r="Y548" s="1063"/>
      <c r="Z548" s="1063"/>
      <c r="AA548" s="1063"/>
      <c r="AB548" s="1063"/>
      <c r="AC548" s="1063"/>
      <c r="AD548" s="1063"/>
      <c r="AE548" s="1063"/>
      <c r="AF548" s="1063"/>
      <c r="AG548" s="1063"/>
      <c r="AH548" s="1063"/>
      <c r="AI548" s="1063"/>
      <c r="AJ548" s="1063"/>
      <c r="AK548" s="1063"/>
      <c r="AL548" s="1063"/>
      <c r="AM548" s="1063"/>
      <c r="AN548" s="1063"/>
      <c r="AO548" s="1063"/>
      <c r="AP548" s="1063"/>
      <c r="AQ548" s="1063"/>
      <c r="AR548" s="1063"/>
      <c r="AS548" s="1063"/>
      <c r="AT548" s="1063"/>
      <c r="AU548" s="1063"/>
      <c r="AV548" s="1063"/>
    </row>
    <row r="549" spans="1:48" s="1108" customFormat="1" ht="27.75" customHeight="1">
      <c r="A549" s="1076"/>
      <c r="B549" s="1074"/>
      <c r="D549" s="1063"/>
      <c r="F549" s="1076"/>
      <c r="G549" s="1063"/>
      <c r="H549" s="1063"/>
      <c r="I549" s="1063"/>
      <c r="J549" s="1063"/>
      <c r="K549" s="1063"/>
      <c r="L549" s="1063"/>
      <c r="M549" s="1063"/>
      <c r="N549" s="1063"/>
      <c r="O549" s="1063"/>
      <c r="P549" s="1063"/>
      <c r="Q549" s="1063"/>
      <c r="R549" s="1063"/>
      <c r="S549" s="1063"/>
      <c r="T549" s="1063"/>
      <c r="U549" s="1063"/>
      <c r="V549" s="1063"/>
      <c r="W549" s="1063"/>
      <c r="X549" s="1063"/>
      <c r="Y549" s="1063"/>
      <c r="Z549" s="1063"/>
      <c r="AA549" s="1063"/>
      <c r="AB549" s="1063"/>
      <c r="AC549" s="1063"/>
      <c r="AD549" s="1063"/>
      <c r="AE549" s="1063"/>
      <c r="AF549" s="1063"/>
      <c r="AG549" s="1063"/>
      <c r="AH549" s="1063"/>
      <c r="AI549" s="1063"/>
      <c r="AJ549" s="1063"/>
      <c r="AK549" s="1063"/>
      <c r="AL549" s="1063"/>
      <c r="AM549" s="1063"/>
      <c r="AN549" s="1063"/>
      <c r="AO549" s="1063"/>
      <c r="AP549" s="1063"/>
      <c r="AQ549" s="1063"/>
      <c r="AR549" s="1063"/>
      <c r="AS549" s="1063"/>
      <c r="AT549" s="1063"/>
      <c r="AU549" s="1063"/>
      <c r="AV549" s="1063"/>
    </row>
    <row r="550" spans="1:48" s="1108" customFormat="1" ht="27.75" customHeight="1">
      <c r="A550" s="1076"/>
      <c r="B550" s="1074"/>
      <c r="D550" s="1063"/>
      <c r="F550" s="1076"/>
      <c r="G550" s="1063"/>
      <c r="H550" s="1063"/>
      <c r="I550" s="1063"/>
      <c r="J550" s="1063"/>
      <c r="K550" s="1063"/>
      <c r="L550" s="1063"/>
      <c r="M550" s="1063"/>
      <c r="N550" s="1063"/>
      <c r="O550" s="1063"/>
      <c r="P550" s="1063"/>
      <c r="Q550" s="1063"/>
      <c r="R550" s="1063"/>
      <c r="S550" s="1063"/>
      <c r="T550" s="1063"/>
      <c r="U550" s="1063"/>
      <c r="V550" s="1063"/>
      <c r="W550" s="1063"/>
      <c r="X550" s="1063"/>
      <c r="Y550" s="1063"/>
      <c r="Z550" s="1063"/>
      <c r="AA550" s="1063"/>
      <c r="AB550" s="1063"/>
      <c r="AC550" s="1063"/>
      <c r="AD550" s="1063"/>
      <c r="AE550" s="1063"/>
      <c r="AF550" s="1063"/>
      <c r="AG550" s="1063"/>
      <c r="AH550" s="1063"/>
      <c r="AI550" s="1063"/>
      <c r="AJ550" s="1063"/>
      <c r="AK550" s="1063"/>
      <c r="AL550" s="1063"/>
      <c r="AM550" s="1063"/>
      <c r="AN550" s="1063"/>
      <c r="AO550" s="1063"/>
      <c r="AP550" s="1063"/>
      <c r="AQ550" s="1063"/>
      <c r="AR550" s="1063"/>
      <c r="AS550" s="1063"/>
      <c r="AT550" s="1063"/>
      <c r="AU550" s="1063"/>
      <c r="AV550" s="1063"/>
    </row>
    <row r="551" spans="1:48" s="1108" customFormat="1" ht="27.75" customHeight="1">
      <c r="A551" s="1076"/>
      <c r="B551" s="1074"/>
      <c r="D551" s="1063"/>
      <c r="F551" s="1076"/>
      <c r="G551" s="1063"/>
      <c r="H551" s="1063"/>
      <c r="I551" s="1063"/>
      <c r="J551" s="1063"/>
      <c r="K551" s="1063"/>
      <c r="L551" s="1063"/>
      <c r="M551" s="1063"/>
      <c r="N551" s="1063"/>
      <c r="O551" s="1063"/>
      <c r="P551" s="1063"/>
      <c r="Q551" s="1063"/>
      <c r="R551" s="1063"/>
      <c r="S551" s="1063"/>
      <c r="T551" s="1063"/>
      <c r="U551" s="1063"/>
      <c r="V551" s="1063"/>
      <c r="W551" s="1063"/>
      <c r="X551" s="1063"/>
      <c r="Y551" s="1063"/>
      <c r="Z551" s="1063"/>
      <c r="AA551" s="1063"/>
      <c r="AB551" s="1063"/>
      <c r="AC551" s="1063"/>
      <c r="AD551" s="1063"/>
      <c r="AE551" s="1063"/>
      <c r="AF551" s="1063"/>
      <c r="AG551" s="1063"/>
      <c r="AH551" s="1063"/>
      <c r="AI551" s="1063"/>
      <c r="AJ551" s="1063"/>
      <c r="AK551" s="1063"/>
      <c r="AL551" s="1063"/>
      <c r="AM551" s="1063"/>
      <c r="AN551" s="1063"/>
      <c r="AO551" s="1063"/>
      <c r="AP551" s="1063"/>
      <c r="AQ551" s="1063"/>
      <c r="AR551" s="1063"/>
      <c r="AS551" s="1063"/>
      <c r="AT551" s="1063"/>
      <c r="AU551" s="1063"/>
      <c r="AV551" s="1063"/>
    </row>
    <row r="552" spans="1:48" s="1108" customFormat="1" ht="27.75" customHeight="1">
      <c r="A552" s="1076"/>
      <c r="B552" s="1074"/>
      <c r="D552" s="1063"/>
      <c r="F552" s="1076"/>
      <c r="G552" s="1063"/>
      <c r="H552" s="1063"/>
      <c r="I552" s="1063"/>
      <c r="J552" s="1063"/>
      <c r="K552" s="1063"/>
      <c r="L552" s="1063"/>
      <c r="M552" s="1063"/>
      <c r="N552" s="1063"/>
      <c r="O552" s="1063"/>
      <c r="P552" s="1063"/>
      <c r="Q552" s="1063"/>
      <c r="R552" s="1063"/>
      <c r="S552" s="1063"/>
      <c r="T552" s="1063"/>
      <c r="U552" s="1063"/>
      <c r="V552" s="1063"/>
      <c r="W552" s="1063"/>
      <c r="X552" s="1063"/>
      <c r="Y552" s="1063"/>
      <c r="Z552" s="1063"/>
      <c r="AA552" s="1063"/>
      <c r="AB552" s="1063"/>
      <c r="AC552" s="1063"/>
      <c r="AD552" s="1063"/>
      <c r="AE552" s="1063"/>
      <c r="AF552" s="1063"/>
      <c r="AG552" s="1063"/>
      <c r="AH552" s="1063"/>
      <c r="AI552" s="1063"/>
      <c r="AJ552" s="1063"/>
      <c r="AK552" s="1063"/>
      <c r="AL552" s="1063"/>
      <c r="AM552" s="1063"/>
      <c r="AN552" s="1063"/>
      <c r="AO552" s="1063"/>
      <c r="AP552" s="1063"/>
      <c r="AQ552" s="1063"/>
      <c r="AR552" s="1063"/>
      <c r="AS552" s="1063"/>
      <c r="AT552" s="1063"/>
      <c r="AU552" s="1063"/>
      <c r="AV552" s="1063"/>
    </row>
    <row r="553" spans="1:48" s="1108" customFormat="1" ht="27.75" customHeight="1">
      <c r="A553" s="1076"/>
      <c r="B553" s="1074"/>
      <c r="D553" s="1063"/>
      <c r="F553" s="1076"/>
      <c r="G553" s="1063"/>
      <c r="H553" s="1063"/>
      <c r="I553" s="1063"/>
      <c r="J553" s="1063"/>
      <c r="K553" s="1063"/>
      <c r="L553" s="1063"/>
      <c r="M553" s="1063"/>
      <c r="N553" s="1063"/>
      <c r="O553" s="1063"/>
      <c r="P553" s="1063"/>
      <c r="Q553" s="1063"/>
      <c r="R553" s="1063"/>
      <c r="S553" s="1063"/>
      <c r="T553" s="1063"/>
      <c r="U553" s="1063"/>
      <c r="V553" s="1063"/>
      <c r="W553" s="1063"/>
      <c r="X553" s="1063"/>
      <c r="Y553" s="1063"/>
      <c r="Z553" s="1063"/>
      <c r="AA553" s="1063"/>
      <c r="AB553" s="1063"/>
      <c r="AC553" s="1063"/>
      <c r="AD553" s="1063"/>
      <c r="AE553" s="1063"/>
      <c r="AF553" s="1063"/>
      <c r="AG553" s="1063"/>
      <c r="AH553" s="1063"/>
      <c r="AI553" s="1063"/>
      <c r="AJ553" s="1063"/>
      <c r="AK553" s="1063"/>
      <c r="AL553" s="1063"/>
      <c r="AM553" s="1063"/>
      <c r="AN553" s="1063"/>
      <c r="AO553" s="1063"/>
      <c r="AP553" s="1063"/>
      <c r="AQ553" s="1063"/>
      <c r="AR553" s="1063"/>
      <c r="AS553" s="1063"/>
      <c r="AT553" s="1063"/>
      <c r="AU553" s="1063"/>
      <c r="AV553" s="1063"/>
    </row>
    <row r="554" spans="1:48" s="1108" customFormat="1" ht="27.75" customHeight="1">
      <c r="A554" s="1076"/>
      <c r="B554" s="1074"/>
      <c r="D554" s="1063"/>
      <c r="F554" s="1076"/>
      <c r="G554" s="1063"/>
      <c r="H554" s="1063"/>
      <c r="I554" s="1063"/>
      <c r="J554" s="1063"/>
      <c r="K554" s="1063"/>
      <c r="L554" s="1063"/>
      <c r="M554" s="1063"/>
      <c r="N554" s="1063"/>
      <c r="O554" s="1063"/>
      <c r="P554" s="1063"/>
      <c r="Q554" s="1063"/>
      <c r="R554" s="1063"/>
      <c r="S554" s="1063"/>
      <c r="T554" s="1063"/>
      <c r="U554" s="1063"/>
      <c r="V554" s="1063"/>
      <c r="W554" s="1063"/>
      <c r="X554" s="1063"/>
      <c r="Y554" s="1063"/>
      <c r="Z554" s="1063"/>
      <c r="AA554" s="1063"/>
      <c r="AB554" s="1063"/>
      <c r="AC554" s="1063"/>
      <c r="AD554" s="1063"/>
      <c r="AE554" s="1063"/>
      <c r="AF554" s="1063"/>
      <c r="AG554" s="1063"/>
      <c r="AH554" s="1063"/>
      <c r="AI554" s="1063"/>
      <c r="AJ554" s="1063"/>
      <c r="AK554" s="1063"/>
      <c r="AL554" s="1063"/>
      <c r="AM554" s="1063"/>
      <c r="AN554" s="1063"/>
      <c r="AO554" s="1063"/>
      <c r="AP554" s="1063"/>
      <c r="AQ554" s="1063"/>
      <c r="AR554" s="1063"/>
      <c r="AS554" s="1063"/>
      <c r="AT554" s="1063"/>
      <c r="AU554" s="1063"/>
      <c r="AV554" s="1063"/>
    </row>
    <row r="555" spans="1:48" s="1108" customFormat="1" ht="27.75" customHeight="1">
      <c r="A555" s="1076"/>
      <c r="B555" s="1074"/>
      <c r="D555" s="1063"/>
      <c r="F555" s="1076"/>
      <c r="G555" s="1063"/>
      <c r="H555" s="1063"/>
      <c r="I555" s="1063"/>
      <c r="J555" s="1063"/>
      <c r="K555" s="1063"/>
      <c r="L555" s="1063"/>
      <c r="M555" s="1063"/>
      <c r="N555" s="1063"/>
      <c r="O555" s="1063"/>
      <c r="P555" s="1063"/>
      <c r="Q555" s="1063"/>
      <c r="R555" s="1063"/>
      <c r="S555" s="1063"/>
      <c r="T555" s="1063"/>
      <c r="U555" s="1063"/>
      <c r="V555" s="1063"/>
      <c r="W555" s="1063"/>
      <c r="X555" s="1063"/>
      <c r="Y555" s="1063"/>
      <c r="Z555" s="1063"/>
      <c r="AA555" s="1063"/>
      <c r="AB555" s="1063"/>
      <c r="AC555" s="1063"/>
      <c r="AD555" s="1063"/>
      <c r="AE555" s="1063"/>
      <c r="AF555" s="1063"/>
      <c r="AG555" s="1063"/>
      <c r="AH555" s="1063"/>
      <c r="AI555" s="1063"/>
      <c r="AJ555" s="1063"/>
      <c r="AK555" s="1063"/>
      <c r="AL555" s="1063"/>
      <c r="AM555" s="1063"/>
      <c r="AN555" s="1063"/>
      <c r="AO555" s="1063"/>
      <c r="AP555" s="1063"/>
      <c r="AQ555" s="1063"/>
      <c r="AR555" s="1063"/>
      <c r="AS555" s="1063"/>
      <c r="AT555" s="1063"/>
      <c r="AU555" s="1063"/>
      <c r="AV555" s="1063"/>
    </row>
    <row r="556" spans="1:48" s="1108" customFormat="1" ht="27.75" customHeight="1">
      <c r="A556" s="1076"/>
      <c r="B556" s="1074"/>
      <c r="D556" s="1063"/>
      <c r="F556" s="1076"/>
      <c r="G556" s="1063"/>
      <c r="H556" s="1063"/>
      <c r="I556" s="1063"/>
      <c r="J556" s="1063"/>
      <c r="K556" s="1063"/>
      <c r="L556" s="1063"/>
      <c r="M556" s="1063"/>
      <c r="N556" s="1063"/>
      <c r="O556" s="1063"/>
      <c r="P556" s="1063"/>
      <c r="Q556" s="1063"/>
      <c r="R556" s="1063"/>
      <c r="S556" s="1063"/>
      <c r="T556" s="1063"/>
      <c r="U556" s="1063"/>
      <c r="V556" s="1063"/>
      <c r="W556" s="1063"/>
      <c r="X556" s="1063"/>
      <c r="Y556" s="1063"/>
      <c r="Z556" s="1063"/>
      <c r="AA556" s="1063"/>
      <c r="AB556" s="1063"/>
      <c r="AC556" s="1063"/>
      <c r="AD556" s="1063"/>
      <c r="AE556" s="1063"/>
      <c r="AF556" s="1063"/>
      <c r="AG556" s="1063"/>
      <c r="AH556" s="1063"/>
      <c r="AI556" s="1063"/>
      <c r="AJ556" s="1063"/>
      <c r="AK556" s="1063"/>
      <c r="AL556" s="1063"/>
      <c r="AM556" s="1063"/>
      <c r="AN556" s="1063"/>
      <c r="AO556" s="1063"/>
      <c r="AP556" s="1063"/>
      <c r="AQ556" s="1063"/>
      <c r="AR556" s="1063"/>
      <c r="AS556" s="1063"/>
      <c r="AT556" s="1063"/>
      <c r="AU556" s="1063"/>
      <c r="AV556" s="1063"/>
    </row>
    <row r="557" spans="1:48" s="1108" customFormat="1" ht="27.75" customHeight="1">
      <c r="A557" s="1076"/>
      <c r="B557" s="1074"/>
      <c r="D557" s="1063"/>
      <c r="F557" s="1076"/>
      <c r="G557" s="1063"/>
      <c r="H557" s="1063"/>
      <c r="I557" s="1063"/>
      <c r="J557" s="1063"/>
      <c r="K557" s="1063"/>
      <c r="L557" s="1063"/>
      <c r="M557" s="1063"/>
      <c r="N557" s="1063"/>
      <c r="O557" s="1063"/>
      <c r="P557" s="1063"/>
      <c r="Q557" s="1063"/>
      <c r="R557" s="1063"/>
      <c r="S557" s="1063"/>
      <c r="T557" s="1063"/>
      <c r="U557" s="1063"/>
      <c r="V557" s="1063"/>
      <c r="W557" s="1063"/>
      <c r="X557" s="1063"/>
      <c r="Y557" s="1063"/>
      <c r="Z557" s="1063"/>
      <c r="AA557" s="1063"/>
      <c r="AB557" s="1063"/>
      <c r="AC557" s="1063"/>
      <c r="AD557" s="1063"/>
      <c r="AE557" s="1063"/>
      <c r="AF557" s="1063"/>
      <c r="AG557" s="1063"/>
      <c r="AH557" s="1063"/>
      <c r="AI557" s="1063"/>
      <c r="AJ557" s="1063"/>
      <c r="AK557" s="1063"/>
      <c r="AL557" s="1063"/>
      <c r="AM557" s="1063"/>
      <c r="AN557" s="1063"/>
      <c r="AO557" s="1063"/>
      <c r="AP557" s="1063"/>
      <c r="AQ557" s="1063"/>
      <c r="AR557" s="1063"/>
      <c r="AS557" s="1063"/>
      <c r="AT557" s="1063"/>
      <c r="AU557" s="1063"/>
      <c r="AV557" s="1063"/>
    </row>
    <row r="558" spans="1:48" s="1108" customFormat="1" ht="27.75" customHeight="1">
      <c r="A558" s="1076"/>
      <c r="B558" s="1074"/>
      <c r="D558" s="1063"/>
      <c r="F558" s="1076"/>
      <c r="G558" s="1063"/>
      <c r="H558" s="1063"/>
      <c r="I558" s="1063"/>
      <c r="J558" s="1063"/>
      <c r="K558" s="1063"/>
      <c r="L558" s="1063"/>
      <c r="M558" s="1063"/>
      <c r="N558" s="1063"/>
      <c r="O558" s="1063"/>
      <c r="P558" s="1063"/>
      <c r="Q558" s="1063"/>
      <c r="R558" s="1063"/>
      <c r="S558" s="1063"/>
      <c r="T558" s="1063"/>
      <c r="U558" s="1063"/>
      <c r="V558" s="1063"/>
      <c r="W558" s="1063"/>
      <c r="X558" s="1063"/>
      <c r="Y558" s="1063"/>
      <c r="Z558" s="1063"/>
      <c r="AA558" s="1063"/>
      <c r="AB558" s="1063"/>
      <c r="AC558" s="1063"/>
      <c r="AD558" s="1063"/>
      <c r="AE558" s="1063"/>
      <c r="AF558" s="1063"/>
      <c r="AG558" s="1063"/>
      <c r="AH558" s="1063"/>
      <c r="AI558" s="1063"/>
      <c r="AJ558" s="1063"/>
      <c r="AK558" s="1063"/>
      <c r="AL558" s="1063"/>
      <c r="AM558" s="1063"/>
      <c r="AN558" s="1063"/>
      <c r="AO558" s="1063"/>
      <c r="AP558" s="1063"/>
      <c r="AQ558" s="1063"/>
      <c r="AR558" s="1063"/>
      <c r="AS558" s="1063"/>
      <c r="AT558" s="1063"/>
      <c r="AU558" s="1063"/>
      <c r="AV558" s="1063"/>
    </row>
    <row r="559" spans="1:48" s="1108" customFormat="1" ht="27.75" customHeight="1">
      <c r="A559" s="1076"/>
      <c r="B559" s="1074"/>
      <c r="D559" s="1063"/>
      <c r="F559" s="1076"/>
      <c r="G559" s="1063"/>
      <c r="H559" s="1063"/>
      <c r="I559" s="1063"/>
      <c r="J559" s="1063"/>
      <c r="K559" s="1063"/>
      <c r="L559" s="1063"/>
      <c r="M559" s="1063"/>
      <c r="N559" s="1063"/>
      <c r="O559" s="1063"/>
      <c r="P559" s="1063"/>
      <c r="Q559" s="1063"/>
      <c r="R559" s="1063"/>
      <c r="S559" s="1063"/>
      <c r="T559" s="1063"/>
      <c r="U559" s="1063"/>
      <c r="V559" s="1063"/>
      <c r="W559" s="1063"/>
      <c r="X559" s="1063"/>
      <c r="Y559" s="1063"/>
      <c r="Z559" s="1063"/>
      <c r="AA559" s="1063"/>
      <c r="AB559" s="1063"/>
      <c r="AC559" s="1063"/>
      <c r="AD559" s="1063"/>
      <c r="AE559" s="1063"/>
      <c r="AF559" s="1063"/>
      <c r="AG559" s="1063"/>
      <c r="AH559" s="1063"/>
      <c r="AI559" s="1063"/>
      <c r="AJ559" s="1063"/>
      <c r="AK559" s="1063"/>
      <c r="AL559" s="1063"/>
      <c r="AM559" s="1063"/>
      <c r="AN559" s="1063"/>
      <c r="AO559" s="1063"/>
      <c r="AP559" s="1063"/>
      <c r="AQ559" s="1063"/>
      <c r="AR559" s="1063"/>
      <c r="AS559" s="1063"/>
      <c r="AT559" s="1063"/>
      <c r="AU559" s="1063"/>
      <c r="AV559" s="1063"/>
    </row>
    <row r="560" spans="1:48" s="1108" customFormat="1" ht="27.75" customHeight="1">
      <c r="A560" s="1076"/>
      <c r="B560" s="1074"/>
      <c r="D560" s="1063"/>
      <c r="F560" s="1076"/>
      <c r="G560" s="1063"/>
      <c r="H560" s="1063"/>
      <c r="I560" s="1063"/>
      <c r="J560" s="1063"/>
      <c r="K560" s="1063"/>
      <c r="L560" s="1063"/>
      <c r="M560" s="1063"/>
      <c r="N560" s="1063"/>
      <c r="O560" s="1063"/>
      <c r="P560" s="1063"/>
      <c r="Q560" s="1063"/>
      <c r="R560" s="1063"/>
      <c r="S560" s="1063"/>
      <c r="T560" s="1063"/>
      <c r="U560" s="1063"/>
      <c r="V560" s="1063"/>
      <c r="W560" s="1063"/>
      <c r="X560" s="1063"/>
      <c r="Y560" s="1063"/>
      <c r="Z560" s="1063"/>
      <c r="AA560" s="1063"/>
      <c r="AB560" s="1063"/>
      <c r="AC560" s="1063"/>
      <c r="AD560" s="1063"/>
      <c r="AE560" s="1063"/>
      <c r="AF560" s="1063"/>
      <c r="AG560" s="1063"/>
      <c r="AH560" s="1063"/>
      <c r="AI560" s="1063"/>
      <c r="AJ560" s="1063"/>
      <c r="AK560" s="1063"/>
      <c r="AL560" s="1063"/>
      <c r="AM560" s="1063"/>
      <c r="AN560" s="1063"/>
      <c r="AO560" s="1063"/>
      <c r="AP560" s="1063"/>
      <c r="AQ560" s="1063"/>
      <c r="AR560" s="1063"/>
      <c r="AS560" s="1063"/>
      <c r="AT560" s="1063"/>
      <c r="AU560" s="1063"/>
      <c r="AV560" s="1063"/>
    </row>
    <row r="561" spans="1:48" s="1108" customFormat="1" ht="27.75" customHeight="1">
      <c r="A561" s="1076"/>
      <c r="B561" s="1074"/>
      <c r="D561" s="1063"/>
      <c r="F561" s="1076"/>
      <c r="G561" s="1063"/>
      <c r="H561" s="1063"/>
      <c r="I561" s="1063"/>
      <c r="J561" s="1063"/>
      <c r="K561" s="1063"/>
      <c r="L561" s="1063"/>
      <c r="M561" s="1063"/>
      <c r="N561" s="1063"/>
      <c r="O561" s="1063"/>
      <c r="P561" s="1063"/>
      <c r="Q561" s="1063"/>
      <c r="R561" s="1063"/>
      <c r="S561" s="1063"/>
      <c r="T561" s="1063"/>
      <c r="U561" s="1063"/>
      <c r="V561" s="1063"/>
      <c r="W561" s="1063"/>
      <c r="X561" s="1063"/>
      <c r="Y561" s="1063"/>
      <c r="Z561" s="1063"/>
      <c r="AA561" s="1063"/>
      <c r="AB561" s="1063"/>
      <c r="AC561" s="1063"/>
      <c r="AD561" s="1063"/>
      <c r="AE561" s="1063"/>
      <c r="AF561" s="1063"/>
      <c r="AG561" s="1063"/>
      <c r="AH561" s="1063"/>
      <c r="AI561" s="1063"/>
      <c r="AJ561" s="1063"/>
      <c r="AK561" s="1063"/>
      <c r="AL561" s="1063"/>
      <c r="AM561" s="1063"/>
      <c r="AN561" s="1063"/>
      <c r="AO561" s="1063"/>
      <c r="AP561" s="1063"/>
      <c r="AQ561" s="1063"/>
      <c r="AR561" s="1063"/>
      <c r="AS561" s="1063"/>
      <c r="AT561" s="1063"/>
      <c r="AU561" s="1063"/>
      <c r="AV561" s="1063"/>
    </row>
    <row r="562" spans="1:48" s="1108" customFormat="1" ht="27.75" customHeight="1">
      <c r="A562" s="1076"/>
      <c r="B562" s="1074"/>
      <c r="D562" s="1063"/>
      <c r="F562" s="1076"/>
      <c r="G562" s="1063"/>
      <c r="H562" s="1063"/>
      <c r="I562" s="1063"/>
      <c r="J562" s="1063"/>
      <c r="K562" s="1063"/>
      <c r="L562" s="1063"/>
      <c r="M562" s="1063"/>
      <c r="N562" s="1063"/>
      <c r="O562" s="1063"/>
      <c r="P562" s="1063"/>
      <c r="Q562" s="1063"/>
      <c r="R562" s="1063"/>
      <c r="S562" s="1063"/>
      <c r="T562" s="1063"/>
      <c r="U562" s="1063"/>
      <c r="V562" s="1063"/>
      <c r="W562" s="1063"/>
      <c r="X562" s="1063"/>
      <c r="Y562" s="1063"/>
      <c r="Z562" s="1063"/>
      <c r="AA562" s="1063"/>
      <c r="AB562" s="1063"/>
      <c r="AC562" s="1063"/>
      <c r="AD562" s="1063"/>
      <c r="AE562" s="1063"/>
      <c r="AF562" s="1063"/>
      <c r="AG562" s="1063"/>
      <c r="AH562" s="1063"/>
      <c r="AI562" s="1063"/>
      <c r="AJ562" s="1063"/>
      <c r="AK562" s="1063"/>
      <c r="AL562" s="1063"/>
      <c r="AM562" s="1063"/>
      <c r="AN562" s="1063"/>
      <c r="AO562" s="1063"/>
      <c r="AP562" s="1063"/>
      <c r="AQ562" s="1063"/>
      <c r="AR562" s="1063"/>
      <c r="AS562" s="1063"/>
      <c r="AT562" s="1063"/>
      <c r="AU562" s="1063"/>
      <c r="AV562" s="1063"/>
    </row>
    <row r="563" spans="1:48" s="1108" customFormat="1" ht="27.75" customHeight="1">
      <c r="A563" s="1076"/>
      <c r="B563" s="1074"/>
      <c r="D563" s="1063"/>
      <c r="F563" s="1076"/>
      <c r="G563" s="1063"/>
      <c r="H563" s="1063"/>
      <c r="I563" s="1063"/>
      <c r="J563" s="1063"/>
      <c r="K563" s="1063"/>
      <c r="L563" s="1063"/>
      <c r="M563" s="1063"/>
      <c r="N563" s="1063"/>
      <c r="O563" s="1063"/>
      <c r="P563" s="1063"/>
      <c r="Q563" s="1063"/>
      <c r="R563" s="1063"/>
      <c r="S563" s="1063"/>
      <c r="T563" s="1063"/>
      <c r="U563" s="1063"/>
      <c r="V563" s="1063"/>
      <c r="W563" s="1063"/>
      <c r="X563" s="1063"/>
      <c r="Y563" s="1063"/>
      <c r="Z563" s="1063"/>
      <c r="AA563" s="1063"/>
      <c r="AB563" s="1063"/>
      <c r="AC563" s="1063"/>
      <c r="AD563" s="1063"/>
      <c r="AE563" s="1063"/>
      <c r="AF563" s="1063"/>
      <c r="AG563" s="1063"/>
      <c r="AH563" s="1063"/>
      <c r="AI563" s="1063"/>
      <c r="AJ563" s="1063"/>
      <c r="AK563" s="1063"/>
      <c r="AL563" s="1063"/>
      <c r="AM563" s="1063"/>
      <c r="AN563" s="1063"/>
      <c r="AO563" s="1063"/>
      <c r="AP563" s="1063"/>
      <c r="AQ563" s="1063"/>
      <c r="AR563" s="1063"/>
      <c r="AS563" s="1063"/>
      <c r="AT563" s="1063"/>
      <c r="AU563" s="1063"/>
      <c r="AV563" s="1063"/>
    </row>
    <row r="564" spans="1:48" s="1108" customFormat="1" ht="27.75" customHeight="1">
      <c r="A564" s="1076"/>
      <c r="B564" s="1074"/>
      <c r="D564" s="1063"/>
      <c r="F564" s="1076"/>
      <c r="G564" s="1063"/>
      <c r="H564" s="1063"/>
      <c r="I564" s="1063"/>
      <c r="J564" s="1063"/>
      <c r="K564" s="1063"/>
      <c r="L564" s="1063"/>
      <c r="M564" s="1063"/>
      <c r="N564" s="1063"/>
      <c r="O564" s="1063"/>
      <c r="P564" s="1063"/>
      <c r="Q564" s="1063"/>
      <c r="R564" s="1063"/>
      <c r="S564" s="1063"/>
      <c r="T564" s="1063"/>
      <c r="U564" s="1063"/>
      <c r="V564" s="1063"/>
      <c r="W564" s="1063"/>
      <c r="X564" s="1063"/>
      <c r="Y564" s="1063"/>
      <c r="Z564" s="1063"/>
      <c r="AA564" s="1063"/>
      <c r="AB564" s="1063"/>
      <c r="AC564" s="1063"/>
      <c r="AD564" s="1063"/>
      <c r="AE564" s="1063"/>
      <c r="AF564" s="1063"/>
      <c r="AG564" s="1063"/>
      <c r="AH564" s="1063"/>
      <c r="AI564" s="1063"/>
      <c r="AJ564" s="1063"/>
      <c r="AK564" s="1063"/>
      <c r="AL564" s="1063"/>
      <c r="AM564" s="1063"/>
      <c r="AN564" s="1063"/>
      <c r="AO564" s="1063"/>
      <c r="AP564" s="1063"/>
      <c r="AQ564" s="1063"/>
      <c r="AR564" s="1063"/>
      <c r="AS564" s="1063"/>
      <c r="AT564" s="1063"/>
      <c r="AU564" s="1063"/>
      <c r="AV564" s="1063"/>
    </row>
    <row r="565" spans="1:48" s="1108" customFormat="1" ht="27.75" customHeight="1">
      <c r="A565" s="1076"/>
      <c r="B565" s="1074"/>
      <c r="D565" s="1063"/>
      <c r="F565" s="1076"/>
      <c r="G565" s="1063"/>
      <c r="H565" s="1063"/>
      <c r="I565" s="1063"/>
      <c r="J565" s="1063"/>
      <c r="K565" s="1063"/>
      <c r="L565" s="1063"/>
      <c r="M565" s="1063"/>
      <c r="N565" s="1063"/>
      <c r="O565" s="1063"/>
      <c r="P565" s="1063"/>
      <c r="Q565" s="1063"/>
      <c r="R565" s="1063"/>
      <c r="S565" s="1063"/>
      <c r="T565" s="1063"/>
      <c r="U565" s="1063"/>
      <c r="V565" s="1063"/>
      <c r="W565" s="1063"/>
      <c r="X565" s="1063"/>
      <c r="Y565" s="1063"/>
      <c r="Z565" s="1063"/>
      <c r="AA565" s="1063"/>
      <c r="AB565" s="1063"/>
      <c r="AC565" s="1063"/>
      <c r="AD565" s="1063"/>
      <c r="AE565" s="1063"/>
      <c r="AF565" s="1063"/>
      <c r="AG565" s="1063"/>
      <c r="AH565" s="1063"/>
      <c r="AI565" s="1063"/>
      <c r="AJ565" s="1063"/>
      <c r="AK565" s="1063"/>
      <c r="AL565" s="1063"/>
      <c r="AM565" s="1063"/>
      <c r="AN565" s="1063"/>
      <c r="AO565" s="1063"/>
      <c r="AP565" s="1063"/>
      <c r="AQ565" s="1063"/>
      <c r="AR565" s="1063"/>
      <c r="AS565" s="1063"/>
      <c r="AT565" s="1063"/>
      <c r="AU565" s="1063"/>
      <c r="AV565" s="1063"/>
    </row>
    <row r="566" spans="1:48" s="1108" customFormat="1" ht="27.75" customHeight="1">
      <c r="A566" s="1076"/>
      <c r="B566" s="1074"/>
      <c r="D566" s="1063"/>
      <c r="F566" s="1076"/>
      <c r="G566" s="1063"/>
      <c r="H566" s="1063"/>
      <c r="I566" s="1063"/>
      <c r="J566" s="1063"/>
      <c r="K566" s="1063"/>
      <c r="L566" s="1063"/>
      <c r="M566" s="1063"/>
      <c r="N566" s="1063"/>
      <c r="O566" s="1063"/>
      <c r="P566" s="1063"/>
      <c r="Q566" s="1063"/>
      <c r="R566" s="1063"/>
      <c r="S566" s="1063"/>
      <c r="T566" s="1063"/>
      <c r="U566" s="1063"/>
      <c r="V566" s="1063"/>
      <c r="W566" s="1063"/>
      <c r="X566" s="1063"/>
      <c r="Y566" s="1063"/>
      <c r="Z566" s="1063"/>
      <c r="AA566" s="1063"/>
      <c r="AB566" s="1063"/>
      <c r="AC566" s="1063"/>
      <c r="AD566" s="1063"/>
      <c r="AE566" s="1063"/>
      <c r="AF566" s="1063"/>
      <c r="AG566" s="1063"/>
      <c r="AH566" s="1063"/>
      <c r="AI566" s="1063"/>
      <c r="AJ566" s="1063"/>
      <c r="AK566" s="1063"/>
      <c r="AL566" s="1063"/>
      <c r="AM566" s="1063"/>
      <c r="AN566" s="1063"/>
      <c r="AO566" s="1063"/>
      <c r="AP566" s="1063"/>
      <c r="AQ566" s="1063"/>
      <c r="AR566" s="1063"/>
      <c r="AS566" s="1063"/>
      <c r="AT566" s="1063"/>
      <c r="AU566" s="1063"/>
      <c r="AV566" s="1063"/>
    </row>
    <row r="567" spans="1:48" s="1108" customFormat="1" ht="27.75" customHeight="1">
      <c r="A567" s="1076"/>
      <c r="B567" s="1074"/>
      <c r="D567" s="1063"/>
      <c r="F567" s="1076"/>
      <c r="G567" s="1063"/>
      <c r="H567" s="1063"/>
      <c r="I567" s="1063"/>
      <c r="J567" s="1063"/>
      <c r="K567" s="1063"/>
      <c r="L567" s="1063"/>
      <c r="M567" s="1063"/>
      <c r="N567" s="1063"/>
      <c r="O567" s="1063"/>
      <c r="P567" s="1063"/>
      <c r="Q567" s="1063"/>
      <c r="R567" s="1063"/>
      <c r="S567" s="1063"/>
      <c r="T567" s="1063"/>
      <c r="U567" s="1063"/>
      <c r="V567" s="1063"/>
      <c r="W567" s="1063"/>
      <c r="X567" s="1063"/>
      <c r="Y567" s="1063"/>
      <c r="Z567" s="1063"/>
      <c r="AA567" s="1063"/>
      <c r="AB567" s="1063"/>
      <c r="AC567" s="1063"/>
      <c r="AD567" s="1063"/>
      <c r="AE567" s="1063"/>
      <c r="AF567" s="1063"/>
      <c r="AG567" s="1063"/>
      <c r="AH567" s="1063"/>
      <c r="AI567" s="1063"/>
      <c r="AJ567" s="1063"/>
      <c r="AK567" s="1063"/>
      <c r="AL567" s="1063"/>
      <c r="AM567" s="1063"/>
      <c r="AN567" s="1063"/>
      <c r="AO567" s="1063"/>
      <c r="AP567" s="1063"/>
      <c r="AQ567" s="1063"/>
      <c r="AR567" s="1063"/>
      <c r="AS567" s="1063"/>
      <c r="AT567" s="1063"/>
      <c r="AU567" s="1063"/>
      <c r="AV567" s="1063"/>
    </row>
    <row r="568" spans="1:48" s="1108" customFormat="1" ht="27.75" customHeight="1">
      <c r="A568" s="1076"/>
      <c r="B568" s="1074"/>
      <c r="D568" s="1063"/>
      <c r="F568" s="1076"/>
      <c r="G568" s="1063"/>
      <c r="H568" s="1063"/>
      <c r="I568" s="1063"/>
      <c r="J568" s="1063"/>
      <c r="K568" s="1063"/>
      <c r="L568" s="1063"/>
      <c r="M568" s="1063"/>
      <c r="N568" s="1063"/>
      <c r="O568" s="1063"/>
      <c r="P568" s="1063"/>
      <c r="Q568" s="1063"/>
      <c r="R568" s="1063"/>
      <c r="S568" s="1063"/>
      <c r="T568" s="1063"/>
      <c r="U568" s="1063"/>
      <c r="V568" s="1063"/>
      <c r="W568" s="1063"/>
      <c r="X568" s="1063"/>
      <c r="Y568" s="1063"/>
      <c r="Z568" s="1063"/>
      <c r="AA568" s="1063"/>
      <c r="AB568" s="1063"/>
      <c r="AC568" s="1063"/>
      <c r="AD568" s="1063"/>
      <c r="AE568" s="1063"/>
      <c r="AF568" s="1063"/>
      <c r="AG568" s="1063"/>
      <c r="AH568" s="1063"/>
      <c r="AI568" s="1063"/>
      <c r="AJ568" s="1063"/>
      <c r="AK568" s="1063"/>
      <c r="AL568" s="1063"/>
      <c r="AM568" s="1063"/>
      <c r="AN568" s="1063"/>
      <c r="AO568" s="1063"/>
      <c r="AP568" s="1063"/>
      <c r="AQ568" s="1063"/>
      <c r="AR568" s="1063"/>
      <c r="AS568" s="1063"/>
      <c r="AT568" s="1063"/>
      <c r="AU568" s="1063"/>
      <c r="AV568" s="1063"/>
    </row>
    <row r="569" spans="1:48" s="1108" customFormat="1" ht="27.75" customHeight="1">
      <c r="A569" s="1076"/>
      <c r="B569" s="1074"/>
      <c r="D569" s="1063"/>
      <c r="F569" s="1076"/>
      <c r="G569" s="1063"/>
      <c r="H569" s="1063"/>
      <c r="I569" s="1063"/>
      <c r="J569" s="1063"/>
      <c r="K569" s="1063"/>
      <c r="L569" s="1063"/>
      <c r="M569" s="1063"/>
      <c r="N569" s="1063"/>
      <c r="O569" s="1063"/>
      <c r="P569" s="1063"/>
      <c r="Q569" s="1063"/>
      <c r="R569" s="1063"/>
      <c r="S569" s="1063"/>
      <c r="T569" s="1063"/>
      <c r="U569" s="1063"/>
      <c r="V569" s="1063"/>
      <c r="W569" s="1063"/>
      <c r="X569" s="1063"/>
      <c r="Y569" s="1063"/>
      <c r="Z569" s="1063"/>
      <c r="AA569" s="1063"/>
      <c r="AB569" s="1063"/>
      <c r="AC569" s="1063"/>
      <c r="AD569" s="1063"/>
      <c r="AE569" s="1063"/>
      <c r="AF569" s="1063"/>
      <c r="AG569" s="1063"/>
      <c r="AH569" s="1063"/>
      <c r="AI569" s="1063"/>
      <c r="AJ569" s="1063"/>
      <c r="AK569" s="1063"/>
      <c r="AL569" s="1063"/>
      <c r="AM569" s="1063"/>
      <c r="AN569" s="1063"/>
      <c r="AO569" s="1063"/>
      <c r="AP569" s="1063"/>
      <c r="AQ569" s="1063"/>
      <c r="AR569" s="1063"/>
      <c r="AS569" s="1063"/>
      <c r="AT569" s="1063"/>
      <c r="AU569" s="1063"/>
      <c r="AV569" s="1063"/>
    </row>
    <row r="570" spans="1:48" s="1108" customFormat="1" ht="27.75" customHeight="1">
      <c r="A570" s="1076"/>
      <c r="B570" s="1074"/>
      <c r="D570" s="1063"/>
      <c r="F570" s="1076"/>
      <c r="G570" s="1063"/>
      <c r="H570" s="1063"/>
      <c r="I570" s="1063"/>
      <c r="J570" s="1063"/>
      <c r="K570" s="1063"/>
      <c r="L570" s="1063"/>
      <c r="M570" s="1063"/>
      <c r="N570" s="1063"/>
      <c r="O570" s="1063"/>
      <c r="P570" s="1063"/>
      <c r="Q570" s="1063"/>
      <c r="R570" s="1063"/>
      <c r="S570" s="1063"/>
      <c r="T570" s="1063"/>
      <c r="U570" s="1063"/>
      <c r="V570" s="1063"/>
      <c r="W570" s="1063"/>
      <c r="X570" s="1063"/>
      <c r="Y570" s="1063"/>
      <c r="Z570" s="1063"/>
      <c r="AA570" s="1063"/>
      <c r="AB570" s="1063"/>
      <c r="AC570" s="1063"/>
      <c r="AD570" s="1063"/>
      <c r="AE570" s="1063"/>
      <c r="AF570" s="1063"/>
      <c r="AG570" s="1063"/>
      <c r="AH570" s="1063"/>
      <c r="AI570" s="1063"/>
      <c r="AJ570" s="1063"/>
      <c r="AK570" s="1063"/>
      <c r="AL570" s="1063"/>
      <c r="AM570" s="1063"/>
      <c r="AN570" s="1063"/>
      <c r="AO570" s="1063"/>
      <c r="AP570" s="1063"/>
      <c r="AQ570" s="1063"/>
      <c r="AR570" s="1063"/>
      <c r="AS570" s="1063"/>
      <c r="AT570" s="1063"/>
      <c r="AU570" s="1063"/>
      <c r="AV570" s="1063"/>
    </row>
    <row r="571" spans="1:48" s="1108" customFormat="1" ht="27.75" customHeight="1">
      <c r="A571" s="1076"/>
      <c r="B571" s="1074"/>
      <c r="D571" s="1063"/>
      <c r="F571" s="1076"/>
      <c r="G571" s="1063"/>
      <c r="H571" s="1063"/>
      <c r="I571" s="1063"/>
      <c r="J571" s="1063"/>
      <c r="K571" s="1063"/>
      <c r="L571" s="1063"/>
      <c r="M571" s="1063"/>
      <c r="N571" s="1063"/>
      <c r="O571" s="1063"/>
      <c r="P571" s="1063"/>
      <c r="Q571" s="1063"/>
      <c r="R571" s="1063"/>
      <c r="S571" s="1063"/>
      <c r="T571" s="1063"/>
      <c r="U571" s="1063"/>
      <c r="V571" s="1063"/>
      <c r="W571" s="1063"/>
      <c r="X571" s="1063"/>
      <c r="Y571" s="1063"/>
      <c r="Z571" s="1063"/>
      <c r="AA571" s="1063"/>
      <c r="AB571" s="1063"/>
      <c r="AC571" s="1063"/>
      <c r="AD571" s="1063"/>
      <c r="AE571" s="1063"/>
      <c r="AF571" s="1063"/>
      <c r="AG571" s="1063"/>
      <c r="AH571" s="1063"/>
      <c r="AI571" s="1063"/>
      <c r="AJ571" s="1063"/>
      <c r="AK571" s="1063"/>
      <c r="AL571" s="1063"/>
      <c r="AM571" s="1063"/>
      <c r="AN571" s="1063"/>
      <c r="AO571" s="1063"/>
      <c r="AP571" s="1063"/>
      <c r="AQ571" s="1063"/>
      <c r="AR571" s="1063"/>
      <c r="AS571" s="1063"/>
      <c r="AT571" s="1063"/>
      <c r="AU571" s="1063"/>
      <c r="AV571" s="1063"/>
    </row>
    <row r="572" spans="1:48" s="1108" customFormat="1" ht="27.75" customHeight="1">
      <c r="A572" s="1076"/>
      <c r="B572" s="1074"/>
      <c r="D572" s="1063"/>
      <c r="F572" s="1076"/>
      <c r="G572" s="1063"/>
      <c r="H572" s="1063"/>
      <c r="I572" s="1063"/>
      <c r="J572" s="1063"/>
      <c r="K572" s="1063"/>
      <c r="L572" s="1063"/>
      <c r="M572" s="1063"/>
      <c r="N572" s="1063"/>
      <c r="O572" s="1063"/>
      <c r="P572" s="1063"/>
      <c r="Q572" s="1063"/>
      <c r="R572" s="1063"/>
      <c r="S572" s="1063"/>
      <c r="T572" s="1063"/>
      <c r="U572" s="1063"/>
      <c r="V572" s="1063"/>
      <c r="W572" s="1063"/>
      <c r="X572" s="1063"/>
      <c r="Y572" s="1063"/>
      <c r="Z572" s="1063"/>
      <c r="AA572" s="1063"/>
      <c r="AB572" s="1063"/>
      <c r="AC572" s="1063"/>
      <c r="AD572" s="1063"/>
      <c r="AE572" s="1063"/>
      <c r="AF572" s="1063"/>
      <c r="AG572" s="1063"/>
      <c r="AH572" s="1063"/>
      <c r="AI572" s="1063"/>
      <c r="AJ572" s="1063"/>
      <c r="AK572" s="1063"/>
      <c r="AL572" s="1063"/>
      <c r="AM572" s="1063"/>
      <c r="AN572" s="1063"/>
      <c r="AO572" s="1063"/>
      <c r="AP572" s="1063"/>
      <c r="AQ572" s="1063"/>
      <c r="AR572" s="1063"/>
      <c r="AS572" s="1063"/>
      <c r="AT572" s="1063"/>
      <c r="AU572" s="1063"/>
      <c r="AV572" s="1063"/>
    </row>
    <row r="573" spans="1:48" s="1108" customFormat="1" ht="27.75" customHeight="1">
      <c r="A573" s="1076"/>
      <c r="B573" s="1074"/>
      <c r="D573" s="1063"/>
      <c r="F573" s="1076"/>
      <c r="G573" s="1063"/>
      <c r="H573" s="1063"/>
      <c r="I573" s="1063"/>
      <c r="J573" s="1063"/>
      <c r="K573" s="1063"/>
      <c r="L573" s="1063"/>
      <c r="M573" s="1063"/>
      <c r="N573" s="1063"/>
      <c r="O573" s="1063"/>
      <c r="P573" s="1063"/>
      <c r="Q573" s="1063"/>
      <c r="R573" s="1063"/>
      <c r="S573" s="1063"/>
      <c r="T573" s="1063"/>
      <c r="U573" s="1063"/>
      <c r="V573" s="1063"/>
      <c r="W573" s="1063"/>
      <c r="X573" s="1063"/>
      <c r="Y573" s="1063"/>
      <c r="Z573" s="1063"/>
      <c r="AA573" s="1063"/>
      <c r="AB573" s="1063"/>
      <c r="AC573" s="1063"/>
      <c r="AD573" s="1063"/>
      <c r="AE573" s="1063"/>
      <c r="AF573" s="1063"/>
      <c r="AG573" s="1063"/>
      <c r="AH573" s="1063"/>
      <c r="AI573" s="1063"/>
      <c r="AJ573" s="1063"/>
      <c r="AK573" s="1063"/>
      <c r="AL573" s="1063"/>
      <c r="AM573" s="1063"/>
      <c r="AN573" s="1063"/>
      <c r="AO573" s="1063"/>
      <c r="AP573" s="1063"/>
      <c r="AQ573" s="1063"/>
      <c r="AR573" s="1063"/>
      <c r="AS573" s="1063"/>
      <c r="AT573" s="1063"/>
      <c r="AU573" s="1063"/>
      <c r="AV573" s="1063"/>
    </row>
    <row r="574" spans="1:48" s="1108" customFormat="1" ht="27.75" customHeight="1">
      <c r="A574" s="1076"/>
      <c r="B574" s="1074"/>
      <c r="D574" s="1063"/>
      <c r="F574" s="1076"/>
      <c r="G574" s="1063"/>
      <c r="H574" s="1063"/>
      <c r="I574" s="1063"/>
      <c r="J574" s="1063"/>
      <c r="K574" s="1063"/>
      <c r="L574" s="1063"/>
      <c r="M574" s="1063"/>
      <c r="N574" s="1063"/>
      <c r="O574" s="1063"/>
      <c r="P574" s="1063"/>
      <c r="Q574" s="1063"/>
      <c r="R574" s="1063"/>
      <c r="S574" s="1063"/>
      <c r="T574" s="1063"/>
      <c r="U574" s="1063"/>
      <c r="V574" s="1063"/>
      <c r="W574" s="1063"/>
      <c r="X574" s="1063"/>
      <c r="Y574" s="1063"/>
      <c r="Z574" s="1063"/>
      <c r="AA574" s="1063"/>
      <c r="AB574" s="1063"/>
      <c r="AC574" s="1063"/>
      <c r="AD574" s="1063"/>
      <c r="AE574" s="1063"/>
      <c r="AF574" s="1063"/>
      <c r="AG574" s="1063"/>
      <c r="AH574" s="1063"/>
      <c r="AI574" s="1063"/>
      <c r="AJ574" s="1063"/>
      <c r="AK574" s="1063"/>
      <c r="AL574" s="1063"/>
      <c r="AM574" s="1063"/>
      <c r="AN574" s="1063"/>
      <c r="AO574" s="1063"/>
      <c r="AP574" s="1063"/>
      <c r="AQ574" s="1063"/>
      <c r="AR574" s="1063"/>
      <c r="AS574" s="1063"/>
      <c r="AT574" s="1063"/>
      <c r="AU574" s="1063"/>
      <c r="AV574" s="1063"/>
    </row>
    <row r="575" spans="1:48" s="1108" customFormat="1" ht="27.75" customHeight="1">
      <c r="A575" s="1076"/>
      <c r="B575" s="1074"/>
      <c r="D575" s="1063"/>
      <c r="F575" s="1076"/>
      <c r="G575" s="1063"/>
      <c r="H575" s="1063"/>
      <c r="I575" s="1063"/>
      <c r="J575" s="1063"/>
      <c r="K575" s="1063"/>
      <c r="L575" s="1063"/>
      <c r="M575" s="1063"/>
      <c r="N575" s="1063"/>
      <c r="O575" s="1063"/>
      <c r="P575" s="1063"/>
      <c r="Q575" s="1063"/>
      <c r="R575" s="1063"/>
      <c r="S575" s="1063"/>
      <c r="T575" s="1063"/>
      <c r="U575" s="1063"/>
      <c r="V575" s="1063"/>
      <c r="W575" s="1063"/>
      <c r="X575" s="1063"/>
      <c r="Y575" s="1063"/>
      <c r="Z575" s="1063"/>
      <c r="AA575" s="1063"/>
      <c r="AB575" s="1063"/>
      <c r="AC575" s="1063"/>
      <c r="AD575" s="1063"/>
      <c r="AE575" s="1063"/>
      <c r="AF575" s="1063"/>
      <c r="AG575" s="1063"/>
      <c r="AH575" s="1063"/>
      <c r="AI575" s="1063"/>
      <c r="AJ575" s="1063"/>
      <c r="AK575" s="1063"/>
      <c r="AL575" s="1063"/>
      <c r="AM575" s="1063"/>
      <c r="AN575" s="1063"/>
      <c r="AO575" s="1063"/>
      <c r="AP575" s="1063"/>
      <c r="AQ575" s="1063"/>
      <c r="AR575" s="1063"/>
      <c r="AS575" s="1063"/>
      <c r="AT575" s="1063"/>
      <c r="AU575" s="1063"/>
      <c r="AV575" s="1063"/>
    </row>
    <row r="576" spans="1:48" s="1108" customFormat="1" ht="27.75" customHeight="1">
      <c r="A576" s="1076"/>
      <c r="B576" s="1074"/>
      <c r="D576" s="1063"/>
      <c r="F576" s="1076"/>
      <c r="G576" s="1063"/>
      <c r="H576" s="1063"/>
      <c r="I576" s="1063"/>
      <c r="J576" s="1063"/>
      <c r="K576" s="1063"/>
      <c r="L576" s="1063"/>
      <c r="M576" s="1063"/>
      <c r="N576" s="1063"/>
      <c r="O576" s="1063"/>
      <c r="P576" s="1063"/>
      <c r="Q576" s="1063"/>
      <c r="R576" s="1063"/>
      <c r="S576" s="1063"/>
      <c r="T576" s="1063"/>
      <c r="U576" s="1063"/>
      <c r="V576" s="1063"/>
      <c r="W576" s="1063"/>
      <c r="X576" s="1063"/>
      <c r="Y576" s="1063"/>
      <c r="Z576" s="1063"/>
      <c r="AA576" s="1063"/>
      <c r="AB576" s="1063"/>
      <c r="AC576" s="1063"/>
      <c r="AD576" s="1063"/>
      <c r="AE576" s="1063"/>
      <c r="AF576" s="1063"/>
      <c r="AG576" s="1063"/>
      <c r="AH576" s="1063"/>
      <c r="AI576" s="1063"/>
      <c r="AJ576" s="1063"/>
      <c r="AK576" s="1063"/>
      <c r="AL576" s="1063"/>
      <c r="AM576" s="1063"/>
      <c r="AN576" s="1063"/>
      <c r="AO576" s="1063"/>
      <c r="AP576" s="1063"/>
      <c r="AQ576" s="1063"/>
      <c r="AR576" s="1063"/>
      <c r="AS576" s="1063"/>
      <c r="AT576" s="1063"/>
      <c r="AU576" s="1063"/>
      <c r="AV576" s="1063"/>
    </row>
    <row r="577" spans="1:48" s="1108" customFormat="1" ht="27.75" customHeight="1">
      <c r="A577" s="1076"/>
      <c r="B577" s="1074"/>
      <c r="D577" s="1063"/>
      <c r="F577" s="1076"/>
      <c r="G577" s="1063"/>
      <c r="H577" s="1063"/>
      <c r="I577" s="1063"/>
      <c r="J577" s="1063"/>
      <c r="K577" s="1063"/>
      <c r="L577" s="1063"/>
      <c r="M577" s="1063"/>
      <c r="N577" s="1063"/>
      <c r="O577" s="1063"/>
      <c r="P577" s="1063"/>
      <c r="Q577" s="1063"/>
      <c r="R577" s="1063"/>
      <c r="S577" s="1063"/>
      <c r="T577" s="1063"/>
      <c r="U577" s="1063"/>
      <c r="V577" s="1063"/>
      <c r="W577" s="1063"/>
      <c r="X577" s="1063"/>
      <c r="Y577" s="1063"/>
      <c r="Z577" s="1063"/>
      <c r="AA577" s="1063"/>
      <c r="AB577" s="1063"/>
      <c r="AC577" s="1063"/>
      <c r="AD577" s="1063"/>
      <c r="AE577" s="1063"/>
      <c r="AF577" s="1063"/>
      <c r="AG577" s="1063"/>
      <c r="AH577" s="1063"/>
      <c r="AI577" s="1063"/>
      <c r="AJ577" s="1063"/>
      <c r="AK577" s="1063"/>
      <c r="AL577" s="1063"/>
      <c r="AM577" s="1063"/>
      <c r="AN577" s="1063"/>
      <c r="AO577" s="1063"/>
      <c r="AP577" s="1063"/>
      <c r="AQ577" s="1063"/>
      <c r="AR577" s="1063"/>
      <c r="AS577" s="1063"/>
      <c r="AT577" s="1063"/>
      <c r="AU577" s="1063"/>
      <c r="AV577" s="1063"/>
    </row>
    <row r="578" spans="1:48" s="1108" customFormat="1" ht="27.75" customHeight="1">
      <c r="A578" s="1076"/>
      <c r="B578" s="1074"/>
      <c r="D578" s="1063"/>
      <c r="F578" s="1076"/>
      <c r="G578" s="1063"/>
      <c r="H578" s="1063"/>
      <c r="I578" s="1063"/>
      <c r="J578" s="1063"/>
      <c r="K578" s="1063"/>
      <c r="L578" s="1063"/>
      <c r="M578" s="1063"/>
      <c r="N578" s="1063"/>
      <c r="O578" s="1063"/>
      <c r="P578" s="1063"/>
      <c r="Q578" s="1063"/>
      <c r="R578" s="1063"/>
      <c r="S578" s="1063"/>
      <c r="T578" s="1063"/>
      <c r="U578" s="1063"/>
      <c r="V578" s="1063"/>
      <c r="W578" s="1063"/>
      <c r="X578" s="1063"/>
      <c r="Y578" s="1063"/>
      <c r="Z578" s="1063"/>
      <c r="AA578" s="1063"/>
      <c r="AB578" s="1063"/>
      <c r="AC578" s="1063"/>
      <c r="AD578" s="1063"/>
      <c r="AE578" s="1063"/>
      <c r="AF578" s="1063"/>
      <c r="AG578" s="1063"/>
      <c r="AH578" s="1063"/>
      <c r="AI578" s="1063"/>
      <c r="AJ578" s="1063"/>
      <c r="AK578" s="1063"/>
      <c r="AL578" s="1063"/>
      <c r="AM578" s="1063"/>
      <c r="AN578" s="1063"/>
      <c r="AO578" s="1063"/>
      <c r="AP578" s="1063"/>
      <c r="AQ578" s="1063"/>
      <c r="AR578" s="1063"/>
      <c r="AS578" s="1063"/>
      <c r="AT578" s="1063"/>
      <c r="AU578" s="1063"/>
      <c r="AV578" s="1063"/>
    </row>
    <row r="579" spans="1:48" s="1108" customFormat="1" ht="27.75" customHeight="1">
      <c r="A579" s="1076"/>
      <c r="B579" s="1074"/>
      <c r="D579" s="1063"/>
      <c r="F579" s="1076"/>
      <c r="G579" s="1063"/>
      <c r="H579" s="1063"/>
      <c r="I579" s="1063"/>
      <c r="J579" s="1063"/>
      <c r="K579" s="1063"/>
      <c r="L579" s="1063"/>
      <c r="M579" s="1063"/>
      <c r="N579" s="1063"/>
      <c r="O579" s="1063"/>
      <c r="P579" s="1063"/>
      <c r="Q579" s="1063"/>
      <c r="R579" s="1063"/>
      <c r="S579" s="1063"/>
      <c r="T579" s="1063"/>
      <c r="U579" s="1063"/>
      <c r="V579" s="1063"/>
      <c r="W579" s="1063"/>
      <c r="X579" s="1063"/>
      <c r="Y579" s="1063"/>
      <c r="Z579" s="1063"/>
      <c r="AA579" s="1063"/>
      <c r="AB579" s="1063"/>
      <c r="AC579" s="1063"/>
      <c r="AD579" s="1063"/>
      <c r="AE579" s="1063"/>
      <c r="AF579" s="1063"/>
      <c r="AG579" s="1063"/>
      <c r="AH579" s="1063"/>
      <c r="AI579" s="1063"/>
      <c r="AJ579" s="1063"/>
      <c r="AK579" s="1063"/>
      <c r="AL579" s="1063"/>
      <c r="AM579" s="1063"/>
      <c r="AN579" s="1063"/>
      <c r="AO579" s="1063"/>
      <c r="AP579" s="1063"/>
      <c r="AQ579" s="1063"/>
      <c r="AR579" s="1063"/>
      <c r="AS579" s="1063"/>
      <c r="AT579" s="1063"/>
      <c r="AU579" s="1063"/>
      <c r="AV579" s="1063"/>
    </row>
    <row r="580" spans="1:48" s="1108" customFormat="1" ht="27.75" customHeight="1">
      <c r="A580" s="1076"/>
      <c r="B580" s="1074"/>
      <c r="D580" s="1063"/>
      <c r="F580" s="1076"/>
      <c r="G580" s="1063"/>
      <c r="H580" s="1063"/>
      <c r="I580" s="1063"/>
      <c r="J580" s="1063"/>
      <c r="K580" s="1063"/>
      <c r="L580" s="1063"/>
      <c r="M580" s="1063"/>
      <c r="N580" s="1063"/>
      <c r="O580" s="1063"/>
      <c r="P580" s="1063"/>
      <c r="Q580" s="1063"/>
      <c r="R580" s="1063"/>
      <c r="S580" s="1063"/>
      <c r="T580" s="1063"/>
      <c r="U580" s="1063"/>
      <c r="V580" s="1063"/>
      <c r="W580" s="1063"/>
      <c r="X580" s="1063"/>
      <c r="Y580" s="1063"/>
      <c r="Z580" s="1063"/>
      <c r="AA580" s="1063"/>
      <c r="AB580" s="1063"/>
      <c r="AC580" s="1063"/>
      <c r="AD580" s="1063"/>
      <c r="AE580" s="1063"/>
      <c r="AF580" s="1063"/>
      <c r="AG580" s="1063"/>
      <c r="AH580" s="1063"/>
      <c r="AI580" s="1063"/>
      <c r="AJ580" s="1063"/>
      <c r="AK580" s="1063"/>
      <c r="AL580" s="1063"/>
      <c r="AM580" s="1063"/>
      <c r="AN580" s="1063"/>
      <c r="AO580" s="1063"/>
      <c r="AP580" s="1063"/>
      <c r="AQ580" s="1063"/>
      <c r="AR580" s="1063"/>
      <c r="AS580" s="1063"/>
      <c r="AT580" s="1063"/>
      <c r="AU580" s="1063"/>
      <c r="AV580" s="1063"/>
    </row>
    <row r="581" spans="1:48" s="1108" customFormat="1" ht="27.75" customHeight="1">
      <c r="A581" s="1076"/>
      <c r="B581" s="1074"/>
      <c r="D581" s="1063"/>
      <c r="F581" s="1076"/>
      <c r="G581" s="1063"/>
      <c r="H581" s="1063"/>
      <c r="I581" s="1063"/>
      <c r="J581" s="1063"/>
      <c r="K581" s="1063"/>
      <c r="L581" s="1063"/>
      <c r="M581" s="1063"/>
      <c r="N581" s="1063"/>
      <c r="O581" s="1063"/>
      <c r="P581" s="1063"/>
      <c r="Q581" s="1063"/>
      <c r="R581" s="1063"/>
      <c r="S581" s="1063"/>
      <c r="T581" s="1063"/>
      <c r="U581" s="1063"/>
      <c r="V581" s="1063"/>
      <c r="W581" s="1063"/>
      <c r="X581" s="1063"/>
      <c r="Y581" s="1063"/>
      <c r="Z581" s="1063"/>
      <c r="AA581" s="1063"/>
      <c r="AB581" s="1063"/>
      <c r="AC581" s="1063"/>
      <c r="AD581" s="1063"/>
      <c r="AE581" s="1063"/>
      <c r="AF581" s="1063"/>
      <c r="AG581" s="1063"/>
      <c r="AH581" s="1063"/>
      <c r="AI581" s="1063"/>
      <c r="AJ581" s="1063"/>
      <c r="AK581" s="1063"/>
      <c r="AL581" s="1063"/>
      <c r="AM581" s="1063"/>
      <c r="AN581" s="1063"/>
      <c r="AO581" s="1063"/>
      <c r="AP581" s="1063"/>
      <c r="AQ581" s="1063"/>
      <c r="AR581" s="1063"/>
      <c r="AS581" s="1063"/>
      <c r="AT581" s="1063"/>
      <c r="AU581" s="1063"/>
      <c r="AV581" s="1063"/>
    </row>
    <row r="582" spans="1:48" s="1108" customFormat="1" ht="27.75" customHeight="1">
      <c r="A582" s="1076"/>
      <c r="B582" s="1074"/>
      <c r="D582" s="1063"/>
      <c r="F582" s="1076"/>
      <c r="G582" s="1063"/>
      <c r="H582" s="1063"/>
      <c r="I582" s="1063"/>
      <c r="J582" s="1063"/>
      <c r="K582" s="1063"/>
      <c r="L582" s="1063"/>
      <c r="M582" s="1063"/>
      <c r="N582" s="1063"/>
      <c r="O582" s="1063"/>
      <c r="P582" s="1063"/>
      <c r="Q582" s="1063"/>
      <c r="R582" s="1063"/>
      <c r="S582" s="1063"/>
      <c r="T582" s="1063"/>
      <c r="U582" s="1063"/>
      <c r="V582" s="1063"/>
      <c r="W582" s="1063"/>
      <c r="X582" s="1063"/>
      <c r="Y582" s="1063"/>
      <c r="Z582" s="1063"/>
      <c r="AA582" s="1063"/>
      <c r="AB582" s="1063"/>
      <c r="AC582" s="1063"/>
      <c r="AD582" s="1063"/>
      <c r="AE582" s="1063"/>
      <c r="AF582" s="1063"/>
      <c r="AG582" s="1063"/>
      <c r="AH582" s="1063"/>
      <c r="AI582" s="1063"/>
      <c r="AJ582" s="1063"/>
      <c r="AK582" s="1063"/>
      <c r="AL582" s="1063"/>
      <c r="AM582" s="1063"/>
      <c r="AN582" s="1063"/>
      <c r="AO582" s="1063"/>
      <c r="AP582" s="1063"/>
      <c r="AQ582" s="1063"/>
      <c r="AR582" s="1063"/>
      <c r="AS582" s="1063"/>
      <c r="AT582" s="1063"/>
      <c r="AU582" s="1063"/>
      <c r="AV582" s="1063"/>
    </row>
    <row r="583" spans="1:48" s="1108" customFormat="1" ht="27.75" customHeight="1">
      <c r="A583" s="1076"/>
      <c r="B583" s="1074"/>
      <c r="D583" s="1063"/>
      <c r="F583" s="1076"/>
      <c r="G583" s="1063"/>
      <c r="H583" s="1063"/>
      <c r="I583" s="1063"/>
      <c r="J583" s="1063"/>
      <c r="K583" s="1063"/>
      <c r="L583" s="1063"/>
      <c r="M583" s="1063"/>
      <c r="N583" s="1063"/>
      <c r="O583" s="1063"/>
      <c r="P583" s="1063"/>
      <c r="Q583" s="1063"/>
      <c r="R583" s="1063"/>
      <c r="S583" s="1063"/>
      <c r="T583" s="1063"/>
      <c r="U583" s="1063"/>
      <c r="V583" s="1063"/>
      <c r="W583" s="1063"/>
      <c r="X583" s="1063"/>
      <c r="Y583" s="1063"/>
      <c r="Z583" s="1063"/>
      <c r="AA583" s="1063"/>
      <c r="AB583" s="1063"/>
      <c r="AC583" s="1063"/>
      <c r="AD583" s="1063"/>
      <c r="AE583" s="1063"/>
      <c r="AF583" s="1063"/>
      <c r="AG583" s="1063"/>
      <c r="AH583" s="1063"/>
      <c r="AI583" s="1063"/>
      <c r="AJ583" s="1063"/>
      <c r="AK583" s="1063"/>
      <c r="AL583" s="1063"/>
      <c r="AM583" s="1063"/>
      <c r="AN583" s="1063"/>
      <c r="AO583" s="1063"/>
      <c r="AP583" s="1063"/>
      <c r="AQ583" s="1063"/>
      <c r="AR583" s="1063"/>
      <c r="AS583" s="1063"/>
      <c r="AT583" s="1063"/>
      <c r="AU583" s="1063"/>
      <c r="AV583" s="1063"/>
    </row>
    <row r="584" spans="1:48" s="1108" customFormat="1" ht="27.75" customHeight="1">
      <c r="A584" s="1076"/>
      <c r="B584" s="1074"/>
      <c r="D584" s="1063"/>
      <c r="F584" s="1076"/>
      <c r="G584" s="1063"/>
      <c r="H584" s="1063"/>
      <c r="I584" s="1063"/>
      <c r="J584" s="1063"/>
      <c r="K584" s="1063"/>
      <c r="L584" s="1063"/>
      <c r="M584" s="1063"/>
      <c r="N584" s="1063"/>
      <c r="O584" s="1063"/>
      <c r="P584" s="1063"/>
      <c r="Q584" s="1063"/>
      <c r="R584" s="1063"/>
      <c r="S584" s="1063"/>
      <c r="T584" s="1063"/>
      <c r="U584" s="1063"/>
      <c r="V584" s="1063"/>
      <c r="W584" s="1063"/>
      <c r="X584" s="1063"/>
      <c r="Y584" s="1063"/>
      <c r="Z584" s="1063"/>
      <c r="AA584" s="1063"/>
      <c r="AB584" s="1063"/>
      <c r="AC584" s="1063"/>
      <c r="AD584" s="1063"/>
      <c r="AE584" s="1063"/>
      <c r="AF584" s="1063"/>
      <c r="AG584" s="1063"/>
      <c r="AH584" s="1063"/>
      <c r="AI584" s="1063"/>
      <c r="AJ584" s="1063"/>
      <c r="AK584" s="1063"/>
      <c r="AL584" s="1063"/>
      <c r="AM584" s="1063"/>
      <c r="AN584" s="1063"/>
      <c r="AO584" s="1063"/>
      <c r="AP584" s="1063"/>
      <c r="AQ584" s="1063"/>
      <c r="AR584" s="1063"/>
      <c r="AS584" s="1063"/>
      <c r="AT584" s="1063"/>
      <c r="AU584" s="1063"/>
      <c r="AV584" s="1063"/>
    </row>
    <row r="585" spans="1:48" s="1108" customFormat="1" ht="27.75" customHeight="1">
      <c r="A585" s="1076"/>
      <c r="B585" s="1074"/>
      <c r="D585" s="1063"/>
      <c r="F585" s="1076"/>
      <c r="G585" s="1063"/>
      <c r="H585" s="1063"/>
      <c r="I585" s="1063"/>
      <c r="J585" s="1063"/>
      <c r="K585" s="1063"/>
      <c r="L585" s="1063"/>
      <c r="M585" s="1063"/>
      <c r="N585" s="1063"/>
      <c r="O585" s="1063"/>
      <c r="P585" s="1063"/>
      <c r="Q585" s="1063"/>
      <c r="R585" s="1063"/>
      <c r="S585" s="1063"/>
      <c r="T585" s="1063"/>
      <c r="U585" s="1063"/>
      <c r="V585" s="1063"/>
      <c r="W585" s="1063"/>
      <c r="X585" s="1063"/>
      <c r="Y585" s="1063"/>
      <c r="Z585" s="1063"/>
      <c r="AA585" s="1063"/>
      <c r="AB585" s="1063"/>
      <c r="AC585" s="1063"/>
      <c r="AD585" s="1063"/>
      <c r="AE585" s="1063"/>
      <c r="AF585" s="1063"/>
      <c r="AG585" s="1063"/>
      <c r="AH585" s="1063"/>
      <c r="AI585" s="1063"/>
      <c r="AJ585" s="1063"/>
      <c r="AK585" s="1063"/>
      <c r="AL585" s="1063"/>
      <c r="AM585" s="1063"/>
      <c r="AN585" s="1063"/>
      <c r="AO585" s="1063"/>
      <c r="AP585" s="1063"/>
      <c r="AQ585" s="1063"/>
      <c r="AR585" s="1063"/>
      <c r="AS585" s="1063"/>
      <c r="AT585" s="1063"/>
      <c r="AU585" s="1063"/>
      <c r="AV585" s="1063"/>
    </row>
    <row r="586" spans="1:48" s="1108" customFormat="1" ht="27.75" customHeight="1">
      <c r="A586" s="1076"/>
      <c r="B586" s="1074"/>
      <c r="D586" s="1063"/>
      <c r="F586" s="1076"/>
      <c r="G586" s="1063"/>
      <c r="H586" s="1063"/>
      <c r="I586" s="1063"/>
      <c r="J586" s="1063"/>
      <c r="K586" s="1063"/>
      <c r="L586" s="1063"/>
      <c r="M586" s="1063"/>
      <c r="N586" s="1063"/>
      <c r="O586" s="1063"/>
      <c r="P586" s="1063"/>
      <c r="Q586" s="1063"/>
      <c r="R586" s="1063"/>
      <c r="S586" s="1063"/>
      <c r="T586" s="1063"/>
      <c r="U586" s="1063"/>
      <c r="V586" s="1063"/>
      <c r="W586" s="1063"/>
      <c r="X586" s="1063"/>
      <c r="Y586" s="1063"/>
      <c r="Z586" s="1063"/>
      <c r="AA586" s="1063"/>
      <c r="AB586" s="1063"/>
      <c r="AC586" s="1063"/>
      <c r="AD586" s="1063"/>
      <c r="AE586" s="1063"/>
      <c r="AF586" s="1063"/>
      <c r="AG586" s="1063"/>
      <c r="AH586" s="1063"/>
      <c r="AI586" s="1063"/>
      <c r="AJ586" s="1063"/>
      <c r="AK586" s="1063"/>
      <c r="AL586" s="1063"/>
      <c r="AM586" s="1063"/>
      <c r="AN586" s="1063"/>
      <c r="AO586" s="1063"/>
      <c r="AP586" s="1063"/>
      <c r="AQ586" s="1063"/>
      <c r="AR586" s="1063"/>
      <c r="AS586" s="1063"/>
      <c r="AT586" s="1063"/>
      <c r="AU586" s="1063"/>
      <c r="AV586" s="1063"/>
    </row>
    <row r="587" spans="1:48" s="1108" customFormat="1" ht="27.75" customHeight="1">
      <c r="A587" s="1076"/>
      <c r="B587" s="1074"/>
      <c r="D587" s="1063"/>
      <c r="F587" s="1076"/>
      <c r="G587" s="1063"/>
      <c r="H587" s="1063"/>
      <c r="I587" s="1063"/>
      <c r="J587" s="1063"/>
      <c r="K587" s="1063"/>
      <c r="L587" s="1063"/>
      <c r="M587" s="1063"/>
      <c r="N587" s="1063"/>
      <c r="O587" s="1063"/>
      <c r="P587" s="1063"/>
      <c r="Q587" s="1063"/>
      <c r="R587" s="1063"/>
      <c r="S587" s="1063"/>
      <c r="T587" s="1063"/>
      <c r="U587" s="1063"/>
      <c r="V587" s="1063"/>
      <c r="W587" s="1063"/>
      <c r="X587" s="1063"/>
      <c r="Y587" s="1063"/>
      <c r="Z587" s="1063"/>
      <c r="AA587" s="1063"/>
      <c r="AB587" s="1063"/>
      <c r="AC587" s="1063"/>
      <c r="AD587" s="1063"/>
      <c r="AE587" s="1063"/>
      <c r="AF587" s="1063"/>
      <c r="AG587" s="1063"/>
      <c r="AH587" s="1063"/>
      <c r="AI587" s="1063"/>
      <c r="AJ587" s="1063"/>
      <c r="AK587" s="1063"/>
      <c r="AL587" s="1063"/>
      <c r="AM587" s="1063"/>
      <c r="AN587" s="1063"/>
      <c r="AO587" s="1063"/>
      <c r="AP587" s="1063"/>
      <c r="AQ587" s="1063"/>
      <c r="AR587" s="1063"/>
      <c r="AS587" s="1063"/>
      <c r="AT587" s="1063"/>
      <c r="AU587" s="1063"/>
      <c r="AV587" s="1063"/>
    </row>
    <row r="588" spans="1:48" s="1108" customFormat="1" ht="27.75" customHeight="1">
      <c r="A588" s="1076"/>
      <c r="B588" s="1074"/>
      <c r="D588" s="1063"/>
      <c r="F588" s="1076"/>
      <c r="G588" s="1063"/>
      <c r="H588" s="1063"/>
      <c r="I588" s="1063"/>
      <c r="J588" s="1063"/>
      <c r="K588" s="1063"/>
      <c r="L588" s="1063"/>
      <c r="M588" s="1063"/>
      <c r="N588" s="1063"/>
      <c r="O588" s="1063"/>
      <c r="P588" s="1063"/>
      <c r="Q588" s="1063"/>
      <c r="R588" s="1063"/>
      <c r="S588" s="1063"/>
      <c r="T588" s="1063"/>
      <c r="U588" s="1063"/>
      <c r="V588" s="1063"/>
      <c r="W588" s="1063"/>
      <c r="X588" s="1063"/>
      <c r="Y588" s="1063"/>
      <c r="Z588" s="1063"/>
      <c r="AA588" s="1063"/>
      <c r="AB588" s="1063"/>
      <c r="AC588" s="1063"/>
      <c r="AD588" s="1063"/>
      <c r="AE588" s="1063"/>
      <c r="AF588" s="1063"/>
      <c r="AG588" s="1063"/>
      <c r="AH588" s="1063"/>
      <c r="AI588" s="1063"/>
      <c r="AJ588" s="1063"/>
      <c r="AK588" s="1063"/>
      <c r="AL588" s="1063"/>
      <c r="AM588" s="1063"/>
      <c r="AN588" s="1063"/>
      <c r="AO588" s="1063"/>
      <c r="AP588" s="1063"/>
      <c r="AQ588" s="1063"/>
      <c r="AR588" s="1063"/>
      <c r="AS588" s="1063"/>
      <c r="AT588" s="1063"/>
      <c r="AU588" s="1063"/>
      <c r="AV588" s="1063"/>
    </row>
    <row r="589" spans="1:48" s="1108" customFormat="1" ht="27.75" customHeight="1">
      <c r="A589" s="1076"/>
      <c r="B589" s="1074"/>
      <c r="D589" s="1063"/>
      <c r="F589" s="1076"/>
      <c r="G589" s="1063"/>
      <c r="H589" s="1063"/>
      <c r="I589" s="1063"/>
      <c r="J589" s="1063"/>
      <c r="K589" s="1063"/>
      <c r="L589" s="1063"/>
      <c r="M589" s="1063"/>
      <c r="N589" s="1063"/>
      <c r="O589" s="1063"/>
      <c r="P589" s="1063"/>
      <c r="Q589" s="1063"/>
      <c r="R589" s="1063"/>
      <c r="S589" s="1063"/>
      <c r="T589" s="1063"/>
      <c r="U589" s="1063"/>
      <c r="V589" s="1063"/>
      <c r="W589" s="1063"/>
      <c r="X589" s="1063"/>
      <c r="Y589" s="1063"/>
      <c r="Z589" s="1063"/>
      <c r="AA589" s="1063"/>
      <c r="AB589" s="1063"/>
      <c r="AC589" s="1063"/>
      <c r="AD589" s="1063"/>
      <c r="AE589" s="1063"/>
      <c r="AF589" s="1063"/>
      <c r="AG589" s="1063"/>
      <c r="AH589" s="1063"/>
      <c r="AI589" s="1063"/>
      <c r="AJ589" s="1063"/>
      <c r="AK589" s="1063"/>
      <c r="AL589" s="1063"/>
      <c r="AM589" s="1063"/>
      <c r="AN589" s="1063"/>
      <c r="AO589" s="1063"/>
      <c r="AP589" s="1063"/>
      <c r="AQ589" s="1063"/>
      <c r="AR589" s="1063"/>
      <c r="AS589" s="1063"/>
      <c r="AT589" s="1063"/>
      <c r="AU589" s="1063"/>
      <c r="AV589" s="1063"/>
    </row>
    <row r="590" spans="1:48" s="1108" customFormat="1" ht="27.75" customHeight="1">
      <c r="A590" s="1076"/>
      <c r="B590" s="1074"/>
      <c r="D590" s="1063"/>
      <c r="F590" s="1076"/>
      <c r="G590" s="1063"/>
      <c r="H590" s="1063"/>
      <c r="I590" s="1063"/>
      <c r="J590" s="1063"/>
      <c r="K590" s="1063"/>
      <c r="L590" s="1063"/>
      <c r="M590" s="1063"/>
      <c r="N590" s="1063"/>
      <c r="O590" s="1063"/>
      <c r="P590" s="1063"/>
      <c r="Q590" s="1063"/>
      <c r="R590" s="1063"/>
      <c r="S590" s="1063"/>
      <c r="T590" s="1063"/>
      <c r="U590" s="1063"/>
      <c r="V590" s="1063"/>
      <c r="W590" s="1063"/>
      <c r="X590" s="1063"/>
      <c r="Y590" s="1063"/>
      <c r="Z590" s="1063"/>
      <c r="AA590" s="1063"/>
      <c r="AB590" s="1063"/>
      <c r="AC590" s="1063"/>
      <c r="AD590" s="1063"/>
      <c r="AE590" s="1063"/>
      <c r="AF590" s="1063"/>
      <c r="AG590" s="1063"/>
      <c r="AH590" s="1063"/>
      <c r="AI590" s="1063"/>
      <c r="AJ590" s="1063"/>
      <c r="AK590" s="1063"/>
      <c r="AL590" s="1063"/>
      <c r="AM590" s="1063"/>
      <c r="AN590" s="1063"/>
      <c r="AO590" s="1063"/>
      <c r="AP590" s="1063"/>
      <c r="AQ590" s="1063"/>
      <c r="AR590" s="1063"/>
      <c r="AS590" s="1063"/>
      <c r="AT590" s="1063"/>
      <c r="AU590" s="1063"/>
      <c r="AV590" s="1063"/>
    </row>
    <row r="591" spans="1:48" s="1108" customFormat="1" ht="27.75" customHeight="1">
      <c r="A591" s="1076"/>
      <c r="B591" s="1074"/>
      <c r="D591" s="1063"/>
      <c r="F591" s="1076"/>
      <c r="G591" s="1063"/>
      <c r="H591" s="1063"/>
      <c r="I591" s="1063"/>
      <c r="J591" s="1063"/>
      <c r="K591" s="1063"/>
      <c r="L591" s="1063"/>
      <c r="M591" s="1063"/>
      <c r="N591" s="1063"/>
      <c r="O591" s="1063"/>
      <c r="P591" s="1063"/>
      <c r="Q591" s="1063"/>
      <c r="R591" s="1063"/>
      <c r="S591" s="1063"/>
      <c r="T591" s="1063"/>
      <c r="U591" s="1063"/>
      <c r="V591" s="1063"/>
      <c r="W591" s="1063"/>
      <c r="X591" s="1063"/>
      <c r="Y591" s="1063"/>
      <c r="Z591" s="1063"/>
      <c r="AA591" s="1063"/>
      <c r="AB591" s="1063"/>
      <c r="AC591" s="1063"/>
      <c r="AD591" s="1063"/>
      <c r="AE591" s="1063"/>
      <c r="AF591" s="1063"/>
      <c r="AG591" s="1063"/>
      <c r="AH591" s="1063"/>
      <c r="AI591" s="1063"/>
      <c r="AJ591" s="1063"/>
      <c r="AK591" s="1063"/>
      <c r="AL591" s="1063"/>
      <c r="AM591" s="1063"/>
      <c r="AN591" s="1063"/>
      <c r="AO591" s="1063"/>
      <c r="AP591" s="1063"/>
      <c r="AQ591" s="1063"/>
      <c r="AR591" s="1063"/>
      <c r="AS591" s="1063"/>
      <c r="AT591" s="1063"/>
      <c r="AU591" s="1063"/>
      <c r="AV591" s="1063"/>
    </row>
    <row r="592" spans="1:48" s="1108" customFormat="1" ht="27.75" customHeight="1">
      <c r="A592" s="1076"/>
      <c r="B592" s="1074"/>
      <c r="D592" s="1063"/>
      <c r="F592" s="1076"/>
      <c r="G592" s="1063"/>
      <c r="H592" s="1063"/>
      <c r="I592" s="1063"/>
      <c r="J592" s="1063"/>
      <c r="K592" s="1063"/>
      <c r="L592" s="1063"/>
      <c r="M592" s="1063"/>
      <c r="N592" s="1063"/>
      <c r="O592" s="1063"/>
      <c r="P592" s="1063"/>
      <c r="Q592" s="1063"/>
      <c r="R592" s="1063"/>
      <c r="S592" s="1063"/>
      <c r="T592" s="1063"/>
      <c r="U592" s="1063"/>
      <c r="V592" s="1063"/>
      <c r="W592" s="1063"/>
      <c r="X592" s="1063"/>
      <c r="Y592" s="1063"/>
      <c r="Z592" s="1063"/>
      <c r="AA592" s="1063"/>
      <c r="AB592" s="1063"/>
      <c r="AC592" s="1063"/>
      <c r="AD592" s="1063"/>
      <c r="AE592" s="1063"/>
      <c r="AF592" s="1063"/>
      <c r="AG592" s="1063"/>
      <c r="AH592" s="1063"/>
      <c r="AI592" s="1063"/>
      <c r="AJ592" s="1063"/>
      <c r="AK592" s="1063"/>
      <c r="AL592" s="1063"/>
      <c r="AM592" s="1063"/>
      <c r="AN592" s="1063"/>
      <c r="AO592" s="1063"/>
      <c r="AP592" s="1063"/>
      <c r="AQ592" s="1063"/>
      <c r="AR592" s="1063"/>
      <c r="AS592" s="1063"/>
      <c r="AT592" s="1063"/>
      <c r="AU592" s="1063"/>
      <c r="AV592" s="1063"/>
    </row>
    <row r="593" spans="1:48" s="1108" customFormat="1" ht="27.75" customHeight="1">
      <c r="A593" s="1076"/>
      <c r="B593" s="1074"/>
      <c r="D593" s="1063"/>
      <c r="F593" s="1076"/>
      <c r="G593" s="1063"/>
      <c r="H593" s="1063"/>
      <c r="I593" s="1063"/>
      <c r="J593" s="1063"/>
      <c r="K593" s="1063"/>
      <c r="L593" s="1063"/>
      <c r="M593" s="1063"/>
      <c r="N593" s="1063"/>
      <c r="O593" s="1063"/>
      <c r="P593" s="1063"/>
      <c r="Q593" s="1063"/>
      <c r="R593" s="1063"/>
      <c r="S593" s="1063"/>
      <c r="T593" s="1063"/>
      <c r="U593" s="1063"/>
      <c r="V593" s="1063"/>
      <c r="W593" s="1063"/>
      <c r="X593" s="1063"/>
      <c r="Y593" s="1063"/>
      <c r="Z593" s="1063"/>
      <c r="AA593" s="1063"/>
      <c r="AB593" s="1063"/>
      <c r="AC593" s="1063"/>
      <c r="AD593" s="1063"/>
      <c r="AE593" s="1063"/>
      <c r="AF593" s="1063"/>
      <c r="AG593" s="1063"/>
      <c r="AH593" s="1063"/>
      <c r="AI593" s="1063"/>
      <c r="AJ593" s="1063"/>
      <c r="AK593" s="1063"/>
      <c r="AL593" s="1063"/>
      <c r="AM593" s="1063"/>
      <c r="AN593" s="1063"/>
      <c r="AO593" s="1063"/>
      <c r="AP593" s="1063"/>
      <c r="AQ593" s="1063"/>
      <c r="AR593" s="1063"/>
      <c r="AS593" s="1063"/>
      <c r="AT593" s="1063"/>
      <c r="AU593" s="1063"/>
      <c r="AV593" s="1063"/>
    </row>
    <row r="594" spans="1:48" s="1108" customFormat="1" ht="27.75" customHeight="1">
      <c r="A594" s="1076"/>
      <c r="B594" s="1074"/>
      <c r="D594" s="1063"/>
      <c r="F594" s="1076"/>
      <c r="G594" s="1063"/>
      <c r="H594" s="1063"/>
      <c r="I594" s="1063"/>
      <c r="J594" s="1063"/>
      <c r="K594" s="1063"/>
      <c r="L594" s="1063"/>
      <c r="M594" s="1063"/>
      <c r="N594" s="1063"/>
      <c r="O594" s="1063"/>
      <c r="P594" s="1063"/>
      <c r="Q594" s="1063"/>
      <c r="R594" s="1063"/>
      <c r="S594" s="1063"/>
      <c r="T594" s="1063"/>
      <c r="U594" s="1063"/>
      <c r="V594" s="1063"/>
      <c r="W594" s="1063"/>
      <c r="X594" s="1063"/>
      <c r="Y594" s="1063"/>
      <c r="Z594" s="1063"/>
      <c r="AA594" s="1063"/>
      <c r="AB594" s="1063"/>
      <c r="AC594" s="1063"/>
      <c r="AD594" s="1063"/>
      <c r="AE594" s="1063"/>
      <c r="AF594" s="1063"/>
      <c r="AG594" s="1063"/>
      <c r="AH594" s="1063"/>
      <c r="AI594" s="1063"/>
      <c r="AJ594" s="1063"/>
      <c r="AK594" s="1063"/>
      <c r="AL594" s="1063"/>
      <c r="AM594" s="1063"/>
      <c r="AN594" s="1063"/>
      <c r="AO594" s="1063"/>
      <c r="AP594" s="1063"/>
      <c r="AQ594" s="1063"/>
      <c r="AR594" s="1063"/>
      <c r="AS594" s="1063"/>
      <c r="AT594" s="1063"/>
      <c r="AU594" s="1063"/>
      <c r="AV594" s="1063"/>
    </row>
    <row r="595" spans="1:48" s="1108" customFormat="1" ht="27.75" customHeight="1">
      <c r="A595" s="1076"/>
      <c r="B595" s="1074"/>
      <c r="D595" s="1063"/>
      <c r="F595" s="1076"/>
      <c r="G595" s="1063"/>
      <c r="H595" s="1063"/>
      <c r="I595" s="1063"/>
      <c r="J595" s="1063"/>
      <c r="K595" s="1063"/>
      <c r="L595" s="1063"/>
      <c r="M595" s="1063"/>
      <c r="N595" s="1063"/>
      <c r="O595" s="1063"/>
      <c r="P595" s="1063"/>
      <c r="Q595" s="1063"/>
      <c r="R595" s="1063"/>
      <c r="S595" s="1063"/>
      <c r="T595" s="1063"/>
      <c r="U595" s="1063"/>
      <c r="V595" s="1063"/>
      <c r="W595" s="1063"/>
      <c r="X595" s="1063"/>
      <c r="Y595" s="1063"/>
      <c r="Z595" s="1063"/>
      <c r="AA595" s="1063"/>
      <c r="AB595" s="1063"/>
      <c r="AC595" s="1063"/>
      <c r="AD595" s="1063"/>
      <c r="AE595" s="1063"/>
      <c r="AF595" s="1063"/>
      <c r="AG595" s="1063"/>
      <c r="AH595" s="1063"/>
      <c r="AI595" s="1063"/>
      <c r="AJ595" s="1063"/>
      <c r="AK595" s="1063"/>
      <c r="AL595" s="1063"/>
      <c r="AM595" s="1063"/>
      <c r="AN595" s="1063"/>
      <c r="AO595" s="1063"/>
      <c r="AP595" s="1063"/>
      <c r="AQ595" s="1063"/>
      <c r="AR595" s="1063"/>
      <c r="AS595" s="1063"/>
      <c r="AT595" s="1063"/>
      <c r="AU595" s="1063"/>
      <c r="AV595" s="1063"/>
    </row>
    <row r="596" spans="1:48" s="1108" customFormat="1" ht="27.75" customHeight="1">
      <c r="A596" s="1076"/>
      <c r="B596" s="1074"/>
      <c r="D596" s="1063"/>
      <c r="F596" s="1076"/>
      <c r="G596" s="1063"/>
      <c r="H596" s="1063"/>
      <c r="I596" s="1063"/>
      <c r="J596" s="1063"/>
      <c r="K596" s="1063"/>
      <c r="L596" s="1063"/>
      <c r="M596" s="1063"/>
      <c r="N596" s="1063"/>
      <c r="O596" s="1063"/>
      <c r="P596" s="1063"/>
      <c r="Q596" s="1063"/>
      <c r="R596" s="1063"/>
      <c r="S596" s="1063"/>
      <c r="T596" s="1063"/>
      <c r="U596" s="1063"/>
      <c r="V596" s="1063"/>
      <c r="W596" s="1063"/>
      <c r="X596" s="1063"/>
      <c r="Y596" s="1063"/>
      <c r="Z596" s="1063"/>
      <c r="AA596" s="1063"/>
      <c r="AB596" s="1063"/>
      <c r="AC596" s="1063"/>
      <c r="AD596" s="1063"/>
      <c r="AE596" s="1063"/>
      <c r="AF596" s="1063"/>
      <c r="AG596" s="1063"/>
      <c r="AH596" s="1063"/>
      <c r="AI596" s="1063"/>
      <c r="AJ596" s="1063"/>
      <c r="AK596" s="1063"/>
      <c r="AL596" s="1063"/>
      <c r="AM596" s="1063"/>
      <c r="AN596" s="1063"/>
      <c r="AO596" s="1063"/>
      <c r="AP596" s="1063"/>
      <c r="AQ596" s="1063"/>
      <c r="AR596" s="1063"/>
      <c r="AS596" s="1063"/>
      <c r="AT596" s="1063"/>
      <c r="AU596" s="1063"/>
      <c r="AV596" s="1063"/>
    </row>
    <row r="597" spans="1:48" s="1108" customFormat="1" ht="27.75" customHeight="1">
      <c r="A597" s="1076"/>
      <c r="B597" s="1074"/>
      <c r="D597" s="1063"/>
      <c r="F597" s="1076"/>
      <c r="G597" s="1063"/>
      <c r="H597" s="1063"/>
      <c r="I597" s="1063"/>
      <c r="J597" s="1063"/>
      <c r="K597" s="1063"/>
      <c r="L597" s="1063"/>
      <c r="M597" s="1063"/>
      <c r="N597" s="1063"/>
      <c r="O597" s="1063"/>
      <c r="P597" s="1063"/>
      <c r="Q597" s="1063"/>
      <c r="R597" s="1063"/>
      <c r="S597" s="1063"/>
      <c r="T597" s="1063"/>
      <c r="U597" s="1063"/>
      <c r="V597" s="1063"/>
      <c r="W597" s="1063"/>
      <c r="X597" s="1063"/>
      <c r="Y597" s="1063"/>
      <c r="Z597" s="1063"/>
      <c r="AA597" s="1063"/>
      <c r="AB597" s="1063"/>
      <c r="AC597" s="1063"/>
      <c r="AD597" s="1063"/>
      <c r="AE597" s="1063"/>
      <c r="AF597" s="1063"/>
      <c r="AG597" s="1063"/>
      <c r="AH597" s="1063"/>
      <c r="AI597" s="1063"/>
      <c r="AJ597" s="1063"/>
      <c r="AK597" s="1063"/>
      <c r="AL597" s="1063"/>
      <c r="AM597" s="1063"/>
      <c r="AN597" s="1063"/>
      <c r="AO597" s="1063"/>
      <c r="AP597" s="1063"/>
      <c r="AQ597" s="1063"/>
      <c r="AR597" s="1063"/>
      <c r="AS597" s="1063"/>
      <c r="AT597" s="1063"/>
      <c r="AU597" s="1063"/>
      <c r="AV597" s="1063"/>
    </row>
    <row r="598" spans="1:48" s="1108" customFormat="1" ht="27.75" customHeight="1">
      <c r="A598" s="1076"/>
      <c r="B598" s="1074"/>
      <c r="D598" s="1063"/>
      <c r="F598" s="1076"/>
      <c r="G598" s="1063"/>
      <c r="H598" s="1063"/>
      <c r="I598" s="1063"/>
      <c r="J598" s="1063"/>
      <c r="K598" s="1063"/>
      <c r="L598" s="1063"/>
      <c r="M598" s="1063"/>
      <c r="N598" s="1063"/>
      <c r="O598" s="1063"/>
      <c r="P598" s="1063"/>
      <c r="Q598" s="1063"/>
      <c r="R598" s="1063"/>
      <c r="S598" s="1063"/>
      <c r="T598" s="1063"/>
      <c r="U598" s="1063"/>
      <c r="V598" s="1063"/>
      <c r="W598" s="1063"/>
      <c r="X598" s="1063"/>
      <c r="Y598" s="1063"/>
      <c r="Z598" s="1063"/>
      <c r="AA598" s="1063"/>
      <c r="AB598" s="1063"/>
      <c r="AC598" s="1063"/>
      <c r="AD598" s="1063"/>
      <c r="AE598" s="1063"/>
      <c r="AF598" s="1063"/>
      <c r="AG598" s="1063"/>
      <c r="AH598" s="1063"/>
      <c r="AI598" s="1063"/>
      <c r="AJ598" s="1063"/>
      <c r="AK598" s="1063"/>
      <c r="AL598" s="1063"/>
      <c r="AM598" s="1063"/>
      <c r="AN598" s="1063"/>
      <c r="AO598" s="1063"/>
      <c r="AP598" s="1063"/>
      <c r="AQ598" s="1063"/>
      <c r="AR598" s="1063"/>
      <c r="AS598" s="1063"/>
      <c r="AT598" s="1063"/>
      <c r="AU598" s="1063"/>
      <c r="AV598" s="1063"/>
    </row>
    <row r="599" spans="1:48" s="1108" customFormat="1" ht="27.75" customHeight="1">
      <c r="A599" s="1076"/>
      <c r="B599" s="1074"/>
      <c r="D599" s="1063"/>
      <c r="F599" s="1076"/>
      <c r="G599" s="1063"/>
      <c r="H599" s="1063"/>
      <c r="I599" s="1063"/>
      <c r="J599" s="1063"/>
      <c r="K599" s="1063"/>
      <c r="L599" s="1063"/>
      <c r="M599" s="1063"/>
      <c r="N599" s="1063"/>
      <c r="O599" s="1063"/>
      <c r="P599" s="1063"/>
      <c r="Q599" s="1063"/>
      <c r="R599" s="1063"/>
      <c r="S599" s="1063"/>
      <c r="T599" s="1063"/>
      <c r="U599" s="1063"/>
      <c r="V599" s="1063"/>
      <c r="W599" s="1063"/>
      <c r="X599" s="1063"/>
      <c r="Y599" s="1063"/>
      <c r="Z599" s="1063"/>
      <c r="AA599" s="1063"/>
      <c r="AB599" s="1063"/>
      <c r="AC599" s="1063"/>
      <c r="AD599" s="1063"/>
      <c r="AE599" s="1063"/>
      <c r="AF599" s="1063"/>
      <c r="AG599" s="1063"/>
      <c r="AH599" s="1063"/>
      <c r="AI599" s="1063"/>
      <c r="AJ599" s="1063"/>
      <c r="AK599" s="1063"/>
      <c r="AL599" s="1063"/>
      <c r="AM599" s="1063"/>
      <c r="AN599" s="1063"/>
      <c r="AO599" s="1063"/>
      <c r="AP599" s="1063"/>
      <c r="AQ599" s="1063"/>
      <c r="AR599" s="1063"/>
      <c r="AS599" s="1063"/>
      <c r="AT599" s="1063"/>
      <c r="AU599" s="1063"/>
      <c r="AV599" s="1063"/>
    </row>
    <row r="600" spans="1:48" s="1108" customFormat="1" ht="27.75" customHeight="1">
      <c r="A600" s="1076"/>
      <c r="B600" s="1074"/>
      <c r="D600" s="1063"/>
      <c r="F600" s="1076"/>
      <c r="G600" s="1063"/>
      <c r="H600" s="1063"/>
      <c r="I600" s="1063"/>
      <c r="J600" s="1063"/>
      <c r="K600" s="1063"/>
      <c r="L600" s="1063"/>
      <c r="M600" s="1063"/>
      <c r="N600" s="1063"/>
      <c r="O600" s="1063"/>
      <c r="P600" s="1063"/>
      <c r="Q600" s="1063"/>
      <c r="R600" s="1063"/>
      <c r="S600" s="1063"/>
      <c r="T600" s="1063"/>
      <c r="U600" s="1063"/>
      <c r="V600" s="1063"/>
      <c r="W600" s="1063"/>
      <c r="X600" s="1063"/>
      <c r="Y600" s="1063"/>
      <c r="Z600" s="1063"/>
      <c r="AA600" s="1063"/>
      <c r="AB600" s="1063"/>
      <c r="AC600" s="1063"/>
      <c r="AD600" s="1063"/>
      <c r="AE600" s="1063"/>
      <c r="AF600" s="1063"/>
      <c r="AG600" s="1063"/>
      <c r="AH600" s="1063"/>
      <c r="AI600" s="1063"/>
      <c r="AJ600" s="1063"/>
      <c r="AK600" s="1063"/>
      <c r="AL600" s="1063"/>
      <c r="AM600" s="1063"/>
      <c r="AN600" s="1063"/>
      <c r="AO600" s="1063"/>
      <c r="AP600" s="1063"/>
      <c r="AQ600" s="1063"/>
      <c r="AR600" s="1063"/>
      <c r="AS600" s="1063"/>
      <c r="AT600" s="1063"/>
      <c r="AU600" s="1063"/>
      <c r="AV600" s="1063"/>
    </row>
    <row r="601" spans="1:48" s="1108" customFormat="1" ht="27.75" customHeight="1">
      <c r="A601" s="1076"/>
      <c r="B601" s="1074"/>
      <c r="D601" s="1063"/>
      <c r="F601" s="1076"/>
      <c r="G601" s="1063"/>
      <c r="H601" s="1063"/>
      <c r="I601" s="1063"/>
      <c r="J601" s="1063"/>
      <c r="K601" s="1063"/>
      <c r="L601" s="1063"/>
      <c r="M601" s="1063"/>
      <c r="N601" s="1063"/>
      <c r="O601" s="1063"/>
      <c r="P601" s="1063"/>
      <c r="Q601" s="1063"/>
      <c r="R601" s="1063"/>
      <c r="S601" s="1063"/>
      <c r="T601" s="1063"/>
      <c r="U601" s="1063"/>
      <c r="V601" s="1063"/>
      <c r="W601" s="1063"/>
      <c r="X601" s="1063"/>
      <c r="Y601" s="1063"/>
      <c r="Z601" s="1063"/>
      <c r="AA601" s="1063"/>
      <c r="AB601" s="1063"/>
      <c r="AC601" s="1063"/>
      <c r="AD601" s="1063"/>
      <c r="AE601" s="1063"/>
      <c r="AF601" s="1063"/>
      <c r="AG601" s="1063"/>
      <c r="AH601" s="1063"/>
      <c r="AI601" s="1063"/>
      <c r="AJ601" s="1063"/>
      <c r="AK601" s="1063"/>
      <c r="AL601" s="1063"/>
      <c r="AM601" s="1063"/>
      <c r="AN601" s="1063"/>
      <c r="AO601" s="1063"/>
      <c r="AP601" s="1063"/>
      <c r="AQ601" s="1063"/>
      <c r="AR601" s="1063"/>
      <c r="AS601" s="1063"/>
      <c r="AT601" s="1063"/>
      <c r="AU601" s="1063"/>
      <c r="AV601" s="1063"/>
    </row>
    <row r="602" spans="1:48" s="1108" customFormat="1" ht="27.75" customHeight="1">
      <c r="A602" s="1076"/>
      <c r="B602" s="1074"/>
      <c r="D602" s="1063"/>
      <c r="F602" s="1076"/>
      <c r="G602" s="1063"/>
      <c r="H602" s="1063"/>
      <c r="I602" s="1063"/>
      <c r="J602" s="1063"/>
      <c r="K602" s="1063"/>
      <c r="L602" s="1063"/>
      <c r="M602" s="1063"/>
      <c r="N602" s="1063"/>
      <c r="O602" s="1063"/>
      <c r="P602" s="1063"/>
      <c r="Q602" s="1063"/>
      <c r="R602" s="1063"/>
      <c r="S602" s="1063"/>
      <c r="T602" s="1063"/>
      <c r="U602" s="1063"/>
      <c r="V602" s="1063"/>
      <c r="W602" s="1063"/>
      <c r="X602" s="1063"/>
      <c r="Y602" s="1063"/>
      <c r="Z602" s="1063"/>
      <c r="AA602" s="1063"/>
      <c r="AB602" s="1063"/>
      <c r="AC602" s="1063"/>
      <c r="AD602" s="1063"/>
      <c r="AE602" s="1063"/>
      <c r="AF602" s="1063"/>
      <c r="AG602" s="1063"/>
      <c r="AH602" s="1063"/>
      <c r="AI602" s="1063"/>
      <c r="AJ602" s="1063"/>
      <c r="AK602" s="1063"/>
      <c r="AL602" s="1063"/>
      <c r="AM602" s="1063"/>
      <c r="AN602" s="1063"/>
      <c r="AO602" s="1063"/>
      <c r="AP602" s="1063"/>
      <c r="AQ602" s="1063"/>
      <c r="AR602" s="1063"/>
      <c r="AS602" s="1063"/>
      <c r="AT602" s="1063"/>
      <c r="AU602" s="1063"/>
      <c r="AV602" s="1063"/>
    </row>
    <row r="603" spans="1:48" s="1108" customFormat="1" ht="27.75" customHeight="1">
      <c r="A603" s="1076"/>
      <c r="B603" s="1074"/>
      <c r="D603" s="1063"/>
      <c r="F603" s="1076"/>
      <c r="G603" s="1063"/>
      <c r="H603" s="1063"/>
      <c r="I603" s="1063"/>
      <c r="J603" s="1063"/>
      <c r="K603" s="1063"/>
      <c r="L603" s="1063"/>
      <c r="M603" s="1063"/>
      <c r="N603" s="1063"/>
      <c r="O603" s="1063"/>
      <c r="P603" s="1063"/>
      <c r="Q603" s="1063"/>
      <c r="R603" s="1063"/>
      <c r="S603" s="1063"/>
      <c r="T603" s="1063"/>
      <c r="U603" s="1063"/>
      <c r="V603" s="1063"/>
      <c r="W603" s="1063"/>
      <c r="X603" s="1063"/>
      <c r="Y603" s="1063"/>
      <c r="Z603" s="1063"/>
      <c r="AA603" s="1063"/>
      <c r="AB603" s="1063"/>
      <c r="AC603" s="1063"/>
      <c r="AD603" s="1063"/>
      <c r="AE603" s="1063"/>
      <c r="AF603" s="1063"/>
      <c r="AG603" s="1063"/>
      <c r="AH603" s="1063"/>
      <c r="AI603" s="1063"/>
      <c r="AJ603" s="1063"/>
      <c r="AK603" s="1063"/>
      <c r="AL603" s="1063"/>
      <c r="AM603" s="1063"/>
      <c r="AN603" s="1063"/>
      <c r="AO603" s="1063"/>
      <c r="AP603" s="1063"/>
      <c r="AQ603" s="1063"/>
      <c r="AR603" s="1063"/>
      <c r="AS603" s="1063"/>
      <c r="AT603" s="1063"/>
      <c r="AU603" s="1063"/>
      <c r="AV603" s="1063"/>
    </row>
    <row r="604" spans="1:48" s="1108" customFormat="1" ht="27.75" customHeight="1">
      <c r="A604" s="1076"/>
      <c r="B604" s="1074"/>
      <c r="D604" s="1063"/>
      <c r="F604" s="1076"/>
      <c r="G604" s="1063"/>
      <c r="H604" s="1063"/>
      <c r="I604" s="1063"/>
      <c r="J604" s="1063"/>
      <c r="K604" s="1063"/>
      <c r="L604" s="1063"/>
      <c r="M604" s="1063"/>
      <c r="N604" s="1063"/>
      <c r="O604" s="1063"/>
      <c r="P604" s="1063"/>
      <c r="Q604" s="1063"/>
      <c r="R604" s="1063"/>
      <c r="S604" s="1063"/>
      <c r="T604" s="1063"/>
      <c r="U604" s="1063"/>
      <c r="V604" s="1063"/>
      <c r="W604" s="1063"/>
      <c r="X604" s="1063"/>
      <c r="Y604" s="1063"/>
      <c r="Z604" s="1063"/>
      <c r="AA604" s="1063"/>
      <c r="AB604" s="1063"/>
      <c r="AC604" s="1063"/>
      <c r="AD604" s="1063"/>
      <c r="AE604" s="1063"/>
      <c r="AF604" s="1063"/>
      <c r="AG604" s="1063"/>
      <c r="AH604" s="1063"/>
      <c r="AI604" s="1063"/>
      <c r="AJ604" s="1063"/>
      <c r="AK604" s="1063"/>
      <c r="AL604" s="1063"/>
      <c r="AM604" s="1063"/>
      <c r="AN604" s="1063"/>
      <c r="AO604" s="1063"/>
      <c r="AP604" s="1063"/>
      <c r="AQ604" s="1063"/>
      <c r="AR604" s="1063"/>
      <c r="AS604" s="1063"/>
      <c r="AT604" s="1063"/>
      <c r="AU604" s="1063"/>
      <c r="AV604" s="1063"/>
    </row>
    <row r="605" spans="1:48" s="1108" customFormat="1" ht="27.75" customHeight="1">
      <c r="A605" s="1076"/>
      <c r="B605" s="1074"/>
      <c r="D605" s="1063"/>
      <c r="F605" s="1076"/>
      <c r="G605" s="1063"/>
      <c r="H605" s="1063"/>
      <c r="I605" s="1063"/>
      <c r="J605" s="1063"/>
      <c r="K605" s="1063"/>
      <c r="L605" s="1063"/>
      <c r="M605" s="1063"/>
      <c r="N605" s="1063"/>
      <c r="O605" s="1063"/>
      <c r="P605" s="1063"/>
      <c r="Q605" s="1063"/>
      <c r="R605" s="1063"/>
      <c r="S605" s="1063"/>
      <c r="T605" s="1063"/>
      <c r="U605" s="1063"/>
      <c r="V605" s="1063"/>
      <c r="W605" s="1063"/>
      <c r="X605" s="1063"/>
      <c r="Y605" s="1063"/>
      <c r="Z605" s="1063"/>
      <c r="AA605" s="1063"/>
      <c r="AB605" s="1063"/>
      <c r="AC605" s="1063"/>
      <c r="AD605" s="1063"/>
      <c r="AE605" s="1063"/>
      <c r="AF605" s="1063"/>
      <c r="AG605" s="1063"/>
      <c r="AH605" s="1063"/>
      <c r="AI605" s="1063"/>
      <c r="AJ605" s="1063"/>
      <c r="AK605" s="1063"/>
      <c r="AL605" s="1063"/>
      <c r="AM605" s="1063"/>
      <c r="AN605" s="1063"/>
      <c r="AO605" s="1063"/>
      <c r="AP605" s="1063"/>
      <c r="AQ605" s="1063"/>
      <c r="AR605" s="1063"/>
      <c r="AS605" s="1063"/>
      <c r="AT605" s="1063"/>
      <c r="AU605" s="1063"/>
      <c r="AV605" s="1063"/>
    </row>
    <row r="606" spans="1:48" s="1108" customFormat="1" ht="27.75" customHeight="1">
      <c r="A606" s="1076"/>
      <c r="B606" s="1074"/>
      <c r="D606" s="1063"/>
      <c r="F606" s="1076"/>
      <c r="G606" s="1063"/>
      <c r="H606" s="1063"/>
      <c r="I606" s="1063"/>
      <c r="J606" s="1063"/>
      <c r="K606" s="1063"/>
      <c r="L606" s="1063"/>
      <c r="M606" s="1063"/>
      <c r="N606" s="1063"/>
      <c r="O606" s="1063"/>
      <c r="P606" s="1063"/>
      <c r="Q606" s="1063"/>
      <c r="R606" s="1063"/>
      <c r="S606" s="1063"/>
      <c r="T606" s="1063"/>
      <c r="U606" s="1063"/>
      <c r="V606" s="1063"/>
      <c r="W606" s="1063"/>
      <c r="X606" s="1063"/>
      <c r="Y606" s="1063"/>
      <c r="Z606" s="1063"/>
      <c r="AA606" s="1063"/>
      <c r="AB606" s="1063"/>
      <c r="AC606" s="1063"/>
      <c r="AD606" s="1063"/>
      <c r="AE606" s="1063"/>
      <c r="AF606" s="1063"/>
      <c r="AG606" s="1063"/>
      <c r="AH606" s="1063"/>
      <c r="AI606" s="1063"/>
      <c r="AJ606" s="1063"/>
      <c r="AK606" s="1063"/>
      <c r="AL606" s="1063"/>
      <c r="AM606" s="1063"/>
      <c r="AN606" s="1063"/>
      <c r="AO606" s="1063"/>
      <c r="AP606" s="1063"/>
      <c r="AQ606" s="1063"/>
      <c r="AR606" s="1063"/>
      <c r="AS606" s="1063"/>
      <c r="AT606" s="1063"/>
      <c r="AU606" s="1063"/>
      <c r="AV606" s="1063"/>
    </row>
    <row r="607" spans="1:48" s="1108" customFormat="1" ht="27.75" customHeight="1">
      <c r="A607" s="1076"/>
      <c r="B607" s="1074"/>
      <c r="D607" s="1063"/>
      <c r="F607" s="1076"/>
      <c r="G607" s="1063"/>
      <c r="H607" s="1063"/>
      <c r="I607" s="1063"/>
      <c r="J607" s="1063"/>
      <c r="K607" s="1063"/>
      <c r="L607" s="1063"/>
      <c r="M607" s="1063"/>
      <c r="N607" s="1063"/>
      <c r="O607" s="1063"/>
      <c r="P607" s="1063"/>
      <c r="Q607" s="1063"/>
      <c r="R607" s="1063"/>
      <c r="S607" s="1063"/>
      <c r="T607" s="1063"/>
      <c r="U607" s="1063"/>
      <c r="V607" s="1063"/>
      <c r="W607" s="1063"/>
      <c r="X607" s="1063"/>
      <c r="Y607" s="1063"/>
      <c r="Z607" s="1063"/>
      <c r="AA607" s="1063"/>
      <c r="AB607" s="1063"/>
      <c r="AC607" s="1063"/>
      <c r="AD607" s="1063"/>
      <c r="AE607" s="1063"/>
      <c r="AF607" s="1063"/>
      <c r="AG607" s="1063"/>
      <c r="AH607" s="1063"/>
      <c r="AI607" s="1063"/>
      <c r="AJ607" s="1063"/>
      <c r="AK607" s="1063"/>
      <c r="AL607" s="1063"/>
      <c r="AM607" s="1063"/>
      <c r="AN607" s="1063"/>
      <c r="AO607" s="1063"/>
      <c r="AP607" s="1063"/>
      <c r="AQ607" s="1063"/>
      <c r="AR607" s="1063"/>
      <c r="AS607" s="1063"/>
      <c r="AT607" s="1063"/>
      <c r="AU607" s="1063"/>
      <c r="AV607" s="1063"/>
    </row>
    <row r="608" spans="1:48" s="1108" customFormat="1" ht="27.75" customHeight="1">
      <c r="A608" s="1076"/>
      <c r="B608" s="1074"/>
      <c r="D608" s="1063"/>
      <c r="F608" s="1076"/>
      <c r="G608" s="1063"/>
      <c r="H608" s="1063"/>
      <c r="I608" s="1063"/>
      <c r="J608" s="1063"/>
      <c r="K608" s="1063"/>
      <c r="L608" s="1063"/>
      <c r="M608" s="1063"/>
      <c r="N608" s="1063"/>
      <c r="O608" s="1063"/>
      <c r="P608" s="1063"/>
      <c r="Q608" s="1063"/>
      <c r="R608" s="1063"/>
      <c r="S608" s="1063"/>
      <c r="T608" s="1063"/>
      <c r="U608" s="1063"/>
      <c r="V608" s="1063"/>
      <c r="W608" s="1063"/>
      <c r="X608" s="1063"/>
      <c r="Y608" s="1063"/>
      <c r="Z608" s="1063"/>
      <c r="AA608" s="1063"/>
      <c r="AB608" s="1063"/>
      <c r="AC608" s="1063"/>
      <c r="AD608" s="1063"/>
      <c r="AE608" s="1063"/>
      <c r="AF608" s="1063"/>
      <c r="AG608" s="1063"/>
      <c r="AH608" s="1063"/>
      <c r="AI608" s="1063"/>
      <c r="AJ608" s="1063"/>
      <c r="AK608" s="1063"/>
      <c r="AL608" s="1063"/>
      <c r="AM608" s="1063"/>
      <c r="AN608" s="1063"/>
      <c r="AO608" s="1063"/>
      <c r="AP608" s="1063"/>
      <c r="AQ608" s="1063"/>
      <c r="AR608" s="1063"/>
      <c r="AS608" s="1063"/>
      <c r="AT608" s="1063"/>
      <c r="AU608" s="1063"/>
      <c r="AV608" s="1063"/>
    </row>
    <row r="609" spans="1:48" s="1108" customFormat="1" ht="27.75" customHeight="1">
      <c r="A609" s="1076"/>
      <c r="B609" s="1074"/>
      <c r="D609" s="1063"/>
      <c r="F609" s="1076"/>
      <c r="G609" s="1063"/>
      <c r="H609" s="1063"/>
      <c r="I609" s="1063"/>
      <c r="J609" s="1063"/>
      <c r="K609" s="1063"/>
      <c r="L609" s="1063"/>
      <c r="M609" s="1063"/>
      <c r="N609" s="1063"/>
      <c r="O609" s="1063"/>
      <c r="P609" s="1063"/>
      <c r="Q609" s="1063"/>
      <c r="R609" s="1063"/>
      <c r="S609" s="1063"/>
      <c r="T609" s="1063"/>
      <c r="U609" s="1063"/>
      <c r="V609" s="1063"/>
      <c r="W609" s="1063"/>
      <c r="X609" s="1063"/>
      <c r="Y609" s="1063"/>
      <c r="Z609" s="1063"/>
      <c r="AA609" s="1063"/>
      <c r="AB609" s="1063"/>
      <c r="AC609" s="1063"/>
      <c r="AD609" s="1063"/>
      <c r="AE609" s="1063"/>
      <c r="AF609" s="1063"/>
      <c r="AG609" s="1063"/>
      <c r="AH609" s="1063"/>
      <c r="AI609" s="1063"/>
      <c r="AJ609" s="1063"/>
      <c r="AK609" s="1063"/>
      <c r="AL609" s="1063"/>
      <c r="AM609" s="1063"/>
      <c r="AN609" s="1063"/>
      <c r="AO609" s="1063"/>
      <c r="AP609" s="1063"/>
      <c r="AQ609" s="1063"/>
      <c r="AR609" s="1063"/>
      <c r="AS609" s="1063"/>
      <c r="AT609" s="1063"/>
      <c r="AU609" s="1063"/>
      <c r="AV609" s="1063"/>
    </row>
    <row r="610" spans="1:48" s="1108" customFormat="1" ht="27.75" customHeight="1">
      <c r="A610" s="1076"/>
      <c r="B610" s="1074"/>
      <c r="D610" s="1063"/>
      <c r="F610" s="1076"/>
      <c r="G610" s="1063"/>
      <c r="H610" s="1063"/>
      <c r="I610" s="1063"/>
      <c r="J610" s="1063"/>
      <c r="K610" s="1063"/>
      <c r="L610" s="1063"/>
      <c r="M610" s="1063"/>
      <c r="N610" s="1063"/>
      <c r="O610" s="1063"/>
      <c r="P610" s="1063"/>
      <c r="Q610" s="1063"/>
      <c r="R610" s="1063"/>
      <c r="S610" s="1063"/>
      <c r="T610" s="1063"/>
      <c r="U610" s="1063"/>
      <c r="V610" s="1063"/>
      <c r="W610" s="1063"/>
      <c r="X610" s="1063"/>
      <c r="Y610" s="1063"/>
      <c r="Z610" s="1063"/>
      <c r="AA610" s="1063"/>
      <c r="AB610" s="1063"/>
      <c r="AC610" s="1063"/>
      <c r="AD610" s="1063"/>
      <c r="AE610" s="1063"/>
      <c r="AF610" s="1063"/>
      <c r="AG610" s="1063"/>
      <c r="AH610" s="1063"/>
      <c r="AI610" s="1063"/>
      <c r="AJ610" s="1063"/>
      <c r="AK610" s="1063"/>
      <c r="AL610" s="1063"/>
      <c r="AM610" s="1063"/>
      <c r="AN610" s="1063"/>
      <c r="AO610" s="1063"/>
      <c r="AP610" s="1063"/>
      <c r="AQ610" s="1063"/>
      <c r="AR610" s="1063"/>
      <c r="AS610" s="1063"/>
      <c r="AT610" s="1063"/>
      <c r="AU610" s="1063"/>
      <c r="AV610" s="1063"/>
    </row>
    <row r="611" spans="1:48" s="1108" customFormat="1" ht="27.75" customHeight="1">
      <c r="A611" s="1076"/>
      <c r="B611" s="1074"/>
      <c r="D611" s="1063"/>
      <c r="F611" s="1076"/>
      <c r="G611" s="1063"/>
      <c r="H611" s="1063"/>
      <c r="I611" s="1063"/>
      <c r="J611" s="1063"/>
      <c r="K611" s="1063"/>
      <c r="L611" s="1063"/>
      <c r="M611" s="1063"/>
      <c r="N611" s="1063"/>
      <c r="O611" s="1063"/>
      <c r="P611" s="1063"/>
      <c r="Q611" s="1063"/>
      <c r="R611" s="1063"/>
      <c r="S611" s="1063"/>
      <c r="T611" s="1063"/>
      <c r="U611" s="1063"/>
      <c r="V611" s="1063"/>
      <c r="W611" s="1063"/>
      <c r="X611" s="1063"/>
      <c r="Y611" s="1063"/>
      <c r="Z611" s="1063"/>
      <c r="AA611" s="1063"/>
      <c r="AB611" s="1063"/>
      <c r="AC611" s="1063"/>
      <c r="AD611" s="1063"/>
      <c r="AE611" s="1063"/>
      <c r="AF611" s="1063"/>
      <c r="AG611" s="1063"/>
      <c r="AH611" s="1063"/>
      <c r="AI611" s="1063"/>
      <c r="AJ611" s="1063"/>
      <c r="AK611" s="1063"/>
      <c r="AL611" s="1063"/>
      <c r="AM611" s="1063"/>
      <c r="AN611" s="1063"/>
      <c r="AO611" s="1063"/>
      <c r="AP611" s="1063"/>
      <c r="AQ611" s="1063"/>
      <c r="AR611" s="1063"/>
      <c r="AS611" s="1063"/>
      <c r="AT611" s="1063"/>
      <c r="AU611" s="1063"/>
      <c r="AV611" s="1063"/>
    </row>
    <row r="612" spans="1:48" s="1108" customFormat="1" ht="27.75" customHeight="1">
      <c r="A612" s="1076"/>
      <c r="B612" s="1074"/>
      <c r="D612" s="1063"/>
      <c r="F612" s="1076"/>
      <c r="G612" s="1063"/>
      <c r="H612" s="1063"/>
      <c r="I612" s="1063"/>
      <c r="J612" s="1063"/>
      <c r="K612" s="1063"/>
      <c r="L612" s="1063"/>
      <c r="M612" s="1063"/>
      <c r="N612" s="1063"/>
      <c r="O612" s="1063"/>
      <c r="P612" s="1063"/>
      <c r="Q612" s="1063"/>
      <c r="R612" s="1063"/>
      <c r="S612" s="1063"/>
      <c r="T612" s="1063"/>
      <c r="U612" s="1063"/>
      <c r="V612" s="1063"/>
      <c r="W612" s="1063"/>
      <c r="X612" s="1063"/>
      <c r="Y612" s="1063"/>
      <c r="Z612" s="1063"/>
      <c r="AA612" s="1063"/>
      <c r="AB612" s="1063"/>
      <c r="AC612" s="1063"/>
      <c r="AD612" s="1063"/>
      <c r="AE612" s="1063"/>
      <c r="AF612" s="1063"/>
      <c r="AG612" s="1063"/>
      <c r="AH612" s="1063"/>
      <c r="AI612" s="1063"/>
      <c r="AJ612" s="1063"/>
      <c r="AK612" s="1063"/>
      <c r="AL612" s="1063"/>
      <c r="AM612" s="1063"/>
      <c r="AN612" s="1063"/>
      <c r="AO612" s="1063"/>
      <c r="AP612" s="1063"/>
      <c r="AQ612" s="1063"/>
      <c r="AR612" s="1063"/>
      <c r="AS612" s="1063"/>
      <c r="AT612" s="1063"/>
      <c r="AU612" s="1063"/>
      <c r="AV612" s="1063"/>
    </row>
    <row r="613" spans="1:48" s="1108" customFormat="1" ht="27.75" customHeight="1">
      <c r="A613" s="1076"/>
      <c r="B613" s="1074"/>
      <c r="D613" s="1063"/>
      <c r="F613" s="1076"/>
      <c r="G613" s="1063"/>
      <c r="H613" s="1063"/>
      <c r="I613" s="1063"/>
      <c r="J613" s="1063"/>
      <c r="K613" s="1063"/>
      <c r="L613" s="1063"/>
      <c r="M613" s="1063"/>
      <c r="N613" s="1063"/>
      <c r="O613" s="1063"/>
      <c r="P613" s="1063"/>
      <c r="Q613" s="1063"/>
      <c r="R613" s="1063"/>
      <c r="S613" s="1063"/>
      <c r="T613" s="1063"/>
      <c r="U613" s="1063"/>
      <c r="V613" s="1063"/>
      <c r="W613" s="1063"/>
      <c r="X613" s="1063"/>
      <c r="Y613" s="1063"/>
      <c r="Z613" s="1063"/>
      <c r="AA613" s="1063"/>
      <c r="AB613" s="1063"/>
      <c r="AC613" s="1063"/>
      <c r="AD613" s="1063"/>
      <c r="AE613" s="1063"/>
      <c r="AF613" s="1063"/>
      <c r="AG613" s="1063"/>
      <c r="AH613" s="1063"/>
      <c r="AI613" s="1063"/>
      <c r="AJ613" s="1063"/>
      <c r="AK613" s="1063"/>
      <c r="AL613" s="1063"/>
      <c r="AM613" s="1063"/>
      <c r="AN613" s="1063"/>
      <c r="AO613" s="1063"/>
      <c r="AP613" s="1063"/>
      <c r="AQ613" s="1063"/>
      <c r="AR613" s="1063"/>
      <c r="AS613" s="1063"/>
      <c r="AT613" s="1063"/>
      <c r="AU613" s="1063"/>
      <c r="AV613" s="1063"/>
    </row>
    <row r="614" spans="1:48" s="1108" customFormat="1" ht="27.75" customHeight="1">
      <c r="A614" s="1076"/>
      <c r="B614" s="1074"/>
      <c r="D614" s="1063"/>
      <c r="F614" s="1076"/>
      <c r="G614" s="1063"/>
      <c r="H614" s="1063"/>
      <c r="I614" s="1063"/>
      <c r="J614" s="1063"/>
      <c r="K614" s="1063"/>
      <c r="L614" s="1063"/>
      <c r="M614" s="1063"/>
      <c r="N614" s="1063"/>
      <c r="O614" s="1063"/>
      <c r="P614" s="1063"/>
      <c r="Q614" s="1063"/>
      <c r="R614" s="1063"/>
      <c r="S614" s="1063"/>
      <c r="T614" s="1063"/>
      <c r="U614" s="1063"/>
      <c r="V614" s="1063"/>
      <c r="W614" s="1063"/>
      <c r="X614" s="1063"/>
      <c r="Y614" s="1063"/>
      <c r="Z614" s="1063"/>
      <c r="AA614" s="1063"/>
      <c r="AB614" s="1063"/>
      <c r="AC614" s="1063"/>
      <c r="AD614" s="1063"/>
      <c r="AE614" s="1063"/>
      <c r="AF614" s="1063"/>
      <c r="AG614" s="1063"/>
      <c r="AH614" s="1063"/>
      <c r="AI614" s="1063"/>
      <c r="AJ614" s="1063"/>
      <c r="AK614" s="1063"/>
      <c r="AL614" s="1063"/>
      <c r="AM614" s="1063"/>
      <c r="AN614" s="1063"/>
      <c r="AO614" s="1063"/>
      <c r="AP614" s="1063"/>
      <c r="AQ614" s="1063"/>
      <c r="AR614" s="1063"/>
      <c r="AS614" s="1063"/>
      <c r="AT614" s="1063"/>
      <c r="AU614" s="1063"/>
      <c r="AV614" s="1063"/>
    </row>
    <row r="615" spans="1:48" s="1108" customFormat="1" ht="27.75" customHeight="1">
      <c r="A615" s="1076"/>
      <c r="B615" s="1074"/>
      <c r="D615" s="1063"/>
      <c r="F615" s="1076"/>
      <c r="G615" s="1063"/>
      <c r="H615" s="1063"/>
      <c r="I615" s="1063"/>
      <c r="J615" s="1063"/>
      <c r="K615" s="1063"/>
      <c r="L615" s="1063"/>
      <c r="M615" s="1063"/>
      <c r="N615" s="1063"/>
      <c r="O615" s="1063"/>
      <c r="P615" s="1063"/>
      <c r="Q615" s="1063"/>
      <c r="R615" s="1063"/>
      <c r="S615" s="1063"/>
      <c r="T615" s="1063"/>
      <c r="U615" s="1063"/>
      <c r="V615" s="1063"/>
      <c r="W615" s="1063"/>
      <c r="X615" s="1063"/>
      <c r="Y615" s="1063"/>
      <c r="Z615" s="1063"/>
      <c r="AA615" s="1063"/>
      <c r="AB615" s="1063"/>
      <c r="AC615" s="1063"/>
      <c r="AD615" s="1063"/>
      <c r="AE615" s="1063"/>
      <c r="AF615" s="1063"/>
      <c r="AG615" s="1063"/>
      <c r="AH615" s="1063"/>
      <c r="AI615" s="1063"/>
      <c r="AJ615" s="1063"/>
      <c r="AK615" s="1063"/>
      <c r="AL615" s="1063"/>
      <c r="AM615" s="1063"/>
      <c r="AN615" s="1063"/>
      <c r="AO615" s="1063"/>
      <c r="AP615" s="1063"/>
      <c r="AQ615" s="1063"/>
      <c r="AR615" s="1063"/>
      <c r="AS615" s="1063"/>
      <c r="AT615" s="1063"/>
      <c r="AU615" s="1063"/>
      <c r="AV615" s="1063"/>
    </row>
    <row r="616" spans="1:48" s="1108" customFormat="1" ht="27.75" customHeight="1">
      <c r="A616" s="1076"/>
      <c r="B616" s="1074"/>
      <c r="D616" s="1063"/>
      <c r="F616" s="1076"/>
      <c r="G616" s="1063"/>
      <c r="H616" s="1063"/>
      <c r="I616" s="1063"/>
      <c r="J616" s="1063"/>
      <c r="K616" s="1063"/>
      <c r="L616" s="1063"/>
      <c r="M616" s="1063"/>
      <c r="N616" s="1063"/>
      <c r="O616" s="1063"/>
      <c r="P616" s="1063"/>
      <c r="Q616" s="1063"/>
      <c r="R616" s="1063"/>
      <c r="S616" s="1063"/>
      <c r="T616" s="1063"/>
      <c r="U616" s="1063"/>
      <c r="V616" s="1063"/>
      <c r="W616" s="1063"/>
      <c r="X616" s="1063"/>
      <c r="Y616" s="1063"/>
      <c r="Z616" s="1063"/>
      <c r="AA616" s="1063"/>
      <c r="AB616" s="1063"/>
      <c r="AC616" s="1063"/>
      <c r="AD616" s="1063"/>
      <c r="AE616" s="1063"/>
      <c r="AF616" s="1063"/>
      <c r="AG616" s="1063"/>
      <c r="AH616" s="1063"/>
      <c r="AI616" s="1063"/>
      <c r="AJ616" s="1063"/>
      <c r="AK616" s="1063"/>
      <c r="AL616" s="1063"/>
      <c r="AM616" s="1063"/>
      <c r="AN616" s="1063"/>
      <c r="AO616" s="1063"/>
      <c r="AP616" s="1063"/>
      <c r="AQ616" s="1063"/>
      <c r="AR616" s="1063"/>
      <c r="AS616" s="1063"/>
      <c r="AT616" s="1063"/>
      <c r="AU616" s="1063"/>
      <c r="AV616" s="1063"/>
    </row>
    <row r="617" spans="1:48" s="1108" customFormat="1" ht="27.75" customHeight="1">
      <c r="A617" s="1076"/>
      <c r="B617" s="1074"/>
      <c r="D617" s="1063"/>
      <c r="F617" s="1076"/>
      <c r="G617" s="1063"/>
      <c r="H617" s="1063"/>
      <c r="I617" s="1063"/>
      <c r="J617" s="1063"/>
      <c r="K617" s="1063"/>
      <c r="L617" s="1063"/>
      <c r="M617" s="1063"/>
      <c r="N617" s="1063"/>
      <c r="O617" s="1063"/>
      <c r="P617" s="1063"/>
      <c r="Q617" s="1063"/>
      <c r="R617" s="1063"/>
      <c r="S617" s="1063"/>
      <c r="T617" s="1063"/>
      <c r="U617" s="1063"/>
      <c r="V617" s="1063"/>
      <c r="W617" s="1063"/>
      <c r="X617" s="1063"/>
      <c r="Y617" s="1063"/>
      <c r="Z617" s="1063"/>
      <c r="AA617" s="1063"/>
      <c r="AB617" s="1063"/>
      <c r="AC617" s="1063"/>
      <c r="AD617" s="1063"/>
      <c r="AE617" s="1063"/>
      <c r="AF617" s="1063"/>
      <c r="AG617" s="1063"/>
      <c r="AH617" s="1063"/>
      <c r="AI617" s="1063"/>
      <c r="AJ617" s="1063"/>
      <c r="AK617" s="1063"/>
      <c r="AL617" s="1063"/>
      <c r="AM617" s="1063"/>
      <c r="AN617" s="1063"/>
      <c r="AO617" s="1063"/>
      <c r="AP617" s="1063"/>
      <c r="AQ617" s="1063"/>
      <c r="AR617" s="1063"/>
      <c r="AS617" s="1063"/>
      <c r="AT617" s="1063"/>
      <c r="AU617" s="1063"/>
      <c r="AV617" s="1063"/>
    </row>
    <row r="618" spans="1:48" s="1108" customFormat="1" ht="27.75" customHeight="1">
      <c r="A618" s="1076"/>
      <c r="B618" s="1074"/>
      <c r="D618" s="1063"/>
      <c r="F618" s="1076"/>
      <c r="G618" s="1063"/>
      <c r="H618" s="1063"/>
      <c r="I618" s="1063"/>
      <c r="J618" s="1063"/>
      <c r="K618" s="1063"/>
      <c r="L618" s="1063"/>
      <c r="M618" s="1063"/>
      <c r="N618" s="1063"/>
      <c r="O618" s="1063"/>
      <c r="P618" s="1063"/>
      <c r="Q618" s="1063"/>
      <c r="R618" s="1063"/>
      <c r="S618" s="1063"/>
      <c r="T618" s="1063"/>
      <c r="U618" s="1063"/>
      <c r="V618" s="1063"/>
      <c r="W618" s="1063"/>
      <c r="X618" s="1063"/>
      <c r="Y618" s="1063"/>
      <c r="Z618" s="1063"/>
      <c r="AA618" s="1063"/>
      <c r="AB618" s="1063"/>
      <c r="AC618" s="1063"/>
      <c r="AD618" s="1063"/>
      <c r="AE618" s="1063"/>
      <c r="AF618" s="1063"/>
      <c r="AG618" s="1063"/>
      <c r="AH618" s="1063"/>
      <c r="AI618" s="1063"/>
      <c r="AJ618" s="1063"/>
      <c r="AK618" s="1063"/>
      <c r="AL618" s="1063"/>
      <c r="AM618" s="1063"/>
      <c r="AN618" s="1063"/>
      <c r="AO618" s="1063"/>
      <c r="AP618" s="1063"/>
      <c r="AQ618" s="1063"/>
      <c r="AR618" s="1063"/>
      <c r="AS618" s="1063"/>
      <c r="AT618" s="1063"/>
      <c r="AU618" s="1063"/>
      <c r="AV618" s="1063"/>
    </row>
    <row r="619" spans="1:48" s="1108" customFormat="1" ht="27.75" customHeight="1">
      <c r="A619" s="1076"/>
      <c r="B619" s="1074"/>
      <c r="D619" s="1063"/>
      <c r="F619" s="1076"/>
      <c r="G619" s="1063"/>
      <c r="H619" s="1063"/>
      <c r="I619" s="1063"/>
      <c r="J619" s="1063"/>
      <c r="K619" s="1063"/>
      <c r="L619" s="1063"/>
      <c r="M619" s="1063"/>
      <c r="N619" s="1063"/>
      <c r="O619" s="1063"/>
      <c r="P619" s="1063"/>
      <c r="Q619" s="1063"/>
      <c r="R619" s="1063"/>
      <c r="S619" s="1063"/>
      <c r="T619" s="1063"/>
      <c r="U619" s="1063"/>
      <c r="V619" s="1063"/>
      <c r="W619" s="1063"/>
      <c r="X619" s="1063"/>
      <c r="Y619" s="1063"/>
      <c r="Z619" s="1063"/>
      <c r="AA619" s="1063"/>
      <c r="AB619" s="1063"/>
      <c r="AC619" s="1063"/>
      <c r="AD619" s="1063"/>
      <c r="AE619" s="1063"/>
      <c r="AF619" s="1063"/>
      <c r="AG619" s="1063"/>
      <c r="AH619" s="1063"/>
      <c r="AI619" s="1063"/>
      <c r="AJ619" s="1063"/>
      <c r="AK619" s="1063"/>
      <c r="AL619" s="1063"/>
      <c r="AM619" s="1063"/>
      <c r="AN619" s="1063"/>
      <c r="AO619" s="1063"/>
      <c r="AP619" s="1063"/>
      <c r="AQ619" s="1063"/>
      <c r="AR619" s="1063"/>
      <c r="AS619" s="1063"/>
      <c r="AT619" s="1063"/>
      <c r="AU619" s="1063"/>
      <c r="AV619" s="1063"/>
    </row>
    <row r="620" spans="1:48" s="1108" customFormat="1" ht="27.75" customHeight="1">
      <c r="A620" s="1076"/>
      <c r="B620" s="1074"/>
      <c r="D620" s="1063"/>
      <c r="F620" s="1076"/>
      <c r="G620" s="1063"/>
      <c r="H620" s="1063"/>
      <c r="I620" s="1063"/>
      <c r="J620" s="1063"/>
      <c r="K620" s="1063"/>
      <c r="L620" s="1063"/>
      <c r="M620" s="1063"/>
      <c r="N620" s="1063"/>
      <c r="O620" s="1063"/>
      <c r="P620" s="1063"/>
      <c r="Q620" s="1063"/>
      <c r="R620" s="1063"/>
      <c r="S620" s="1063"/>
      <c r="T620" s="1063"/>
      <c r="U620" s="1063"/>
      <c r="V620" s="1063"/>
      <c r="W620" s="1063"/>
      <c r="X620" s="1063"/>
      <c r="Y620" s="1063"/>
      <c r="Z620" s="1063"/>
      <c r="AA620" s="1063"/>
      <c r="AB620" s="1063"/>
      <c r="AC620" s="1063"/>
      <c r="AD620" s="1063"/>
      <c r="AE620" s="1063"/>
      <c r="AF620" s="1063"/>
      <c r="AG620" s="1063"/>
      <c r="AH620" s="1063"/>
      <c r="AI620" s="1063"/>
      <c r="AJ620" s="1063"/>
      <c r="AK620" s="1063"/>
      <c r="AL620" s="1063"/>
      <c r="AM620" s="1063"/>
      <c r="AN620" s="1063"/>
      <c r="AO620" s="1063"/>
      <c r="AP620" s="1063"/>
      <c r="AQ620" s="1063"/>
      <c r="AR620" s="1063"/>
      <c r="AS620" s="1063"/>
      <c r="AT620" s="1063"/>
      <c r="AU620" s="1063"/>
      <c r="AV620" s="1063"/>
    </row>
    <row r="621" spans="1:48" s="1108" customFormat="1" ht="27.75" customHeight="1">
      <c r="A621" s="1076"/>
      <c r="B621" s="1074"/>
      <c r="D621" s="1063"/>
      <c r="F621" s="1076"/>
      <c r="G621" s="1063"/>
      <c r="H621" s="1063"/>
      <c r="I621" s="1063"/>
      <c r="J621" s="1063"/>
      <c r="K621" s="1063"/>
      <c r="L621" s="1063"/>
      <c r="M621" s="1063"/>
      <c r="N621" s="1063"/>
      <c r="O621" s="1063"/>
      <c r="P621" s="1063"/>
      <c r="Q621" s="1063"/>
      <c r="R621" s="1063"/>
      <c r="S621" s="1063"/>
      <c r="T621" s="1063"/>
      <c r="U621" s="1063"/>
      <c r="V621" s="1063"/>
      <c r="W621" s="1063"/>
      <c r="X621" s="1063"/>
      <c r="Y621" s="1063"/>
      <c r="Z621" s="1063"/>
      <c r="AA621" s="1063"/>
      <c r="AB621" s="1063"/>
      <c r="AC621" s="1063"/>
      <c r="AD621" s="1063"/>
      <c r="AE621" s="1063"/>
      <c r="AF621" s="1063"/>
      <c r="AG621" s="1063"/>
      <c r="AH621" s="1063"/>
      <c r="AI621" s="1063"/>
      <c r="AJ621" s="1063"/>
      <c r="AK621" s="1063"/>
      <c r="AL621" s="1063"/>
      <c r="AM621" s="1063"/>
      <c r="AN621" s="1063"/>
      <c r="AO621" s="1063"/>
      <c r="AP621" s="1063"/>
      <c r="AQ621" s="1063"/>
      <c r="AR621" s="1063"/>
      <c r="AS621" s="1063"/>
      <c r="AT621" s="1063"/>
      <c r="AU621" s="1063"/>
      <c r="AV621" s="1063"/>
    </row>
    <row r="622" spans="1:48" s="1108" customFormat="1" ht="27.75" customHeight="1">
      <c r="A622" s="1076"/>
      <c r="B622" s="1074"/>
      <c r="D622" s="1063"/>
      <c r="F622" s="1076"/>
      <c r="G622" s="1063"/>
      <c r="H622" s="1063"/>
      <c r="I622" s="1063"/>
      <c r="J622" s="1063"/>
      <c r="K622" s="1063"/>
      <c r="L622" s="1063"/>
      <c r="M622" s="1063"/>
      <c r="N622" s="1063"/>
      <c r="O622" s="1063"/>
      <c r="P622" s="1063"/>
      <c r="Q622" s="1063"/>
      <c r="R622" s="1063"/>
      <c r="S622" s="1063"/>
      <c r="T622" s="1063"/>
      <c r="U622" s="1063"/>
      <c r="V622" s="1063"/>
      <c r="W622" s="1063"/>
      <c r="X622" s="1063"/>
      <c r="Y622" s="1063"/>
      <c r="Z622" s="1063"/>
      <c r="AA622" s="1063"/>
      <c r="AB622" s="1063"/>
      <c r="AC622" s="1063"/>
      <c r="AD622" s="1063"/>
      <c r="AE622" s="1063"/>
      <c r="AF622" s="1063"/>
      <c r="AG622" s="1063"/>
      <c r="AH622" s="1063"/>
      <c r="AI622" s="1063"/>
      <c r="AJ622" s="1063"/>
      <c r="AK622" s="1063"/>
      <c r="AL622" s="1063"/>
      <c r="AM622" s="1063"/>
      <c r="AN622" s="1063"/>
      <c r="AO622" s="1063"/>
      <c r="AP622" s="1063"/>
      <c r="AQ622" s="1063"/>
      <c r="AR622" s="1063"/>
      <c r="AS622" s="1063"/>
      <c r="AT622" s="1063"/>
      <c r="AU622" s="1063"/>
      <c r="AV622" s="1063"/>
    </row>
    <row r="623" spans="1:48" s="1108" customFormat="1" ht="27.75" customHeight="1">
      <c r="A623" s="1076"/>
      <c r="B623" s="1074"/>
      <c r="D623" s="1063"/>
      <c r="F623" s="1076"/>
      <c r="G623" s="1063"/>
      <c r="H623" s="1063"/>
      <c r="I623" s="1063"/>
      <c r="J623" s="1063"/>
      <c r="K623" s="1063"/>
      <c r="L623" s="1063"/>
      <c r="M623" s="1063"/>
      <c r="N623" s="1063"/>
      <c r="O623" s="1063"/>
      <c r="P623" s="1063"/>
      <c r="Q623" s="1063"/>
      <c r="R623" s="1063"/>
      <c r="S623" s="1063"/>
      <c r="T623" s="1063"/>
      <c r="U623" s="1063"/>
      <c r="V623" s="1063"/>
      <c r="W623" s="1063"/>
      <c r="X623" s="1063"/>
      <c r="Y623" s="1063"/>
      <c r="Z623" s="1063"/>
      <c r="AA623" s="1063"/>
      <c r="AB623" s="1063"/>
      <c r="AC623" s="1063"/>
      <c r="AD623" s="1063"/>
      <c r="AE623" s="1063"/>
      <c r="AF623" s="1063"/>
      <c r="AG623" s="1063"/>
      <c r="AH623" s="1063"/>
      <c r="AI623" s="1063"/>
      <c r="AJ623" s="1063"/>
      <c r="AK623" s="1063"/>
      <c r="AL623" s="1063"/>
      <c r="AM623" s="1063"/>
      <c r="AN623" s="1063"/>
      <c r="AO623" s="1063"/>
      <c r="AP623" s="1063"/>
      <c r="AQ623" s="1063"/>
      <c r="AR623" s="1063"/>
      <c r="AS623" s="1063"/>
      <c r="AT623" s="1063"/>
      <c r="AU623" s="1063"/>
      <c r="AV623" s="1063"/>
    </row>
    <row r="624" spans="1:48" s="1108" customFormat="1" ht="27.75" customHeight="1">
      <c r="A624" s="1076"/>
      <c r="B624" s="1074"/>
      <c r="D624" s="1063"/>
      <c r="F624" s="1076"/>
      <c r="G624" s="1063"/>
      <c r="H624" s="1063"/>
      <c r="I624" s="1063"/>
      <c r="J624" s="1063"/>
      <c r="K624" s="1063"/>
      <c r="L624" s="1063"/>
      <c r="M624" s="1063"/>
      <c r="N624" s="1063"/>
      <c r="O624" s="1063"/>
      <c r="P624" s="1063"/>
      <c r="Q624" s="1063"/>
      <c r="R624" s="1063"/>
      <c r="S624" s="1063"/>
      <c r="T624" s="1063"/>
      <c r="U624" s="1063"/>
      <c r="V624" s="1063"/>
      <c r="W624" s="1063"/>
      <c r="X624" s="1063"/>
      <c r="Y624" s="1063"/>
      <c r="Z624" s="1063"/>
      <c r="AA624" s="1063"/>
      <c r="AB624" s="1063"/>
      <c r="AC624" s="1063"/>
      <c r="AD624" s="1063"/>
      <c r="AE624" s="1063"/>
      <c r="AF624" s="1063"/>
      <c r="AG624" s="1063"/>
      <c r="AH624" s="1063"/>
      <c r="AI624" s="1063"/>
      <c r="AJ624" s="1063"/>
      <c r="AK624" s="1063"/>
      <c r="AL624" s="1063"/>
      <c r="AM624" s="1063"/>
      <c r="AN624" s="1063"/>
      <c r="AO624" s="1063"/>
      <c r="AP624" s="1063"/>
      <c r="AQ624" s="1063"/>
      <c r="AR624" s="1063"/>
      <c r="AS624" s="1063"/>
      <c r="AT624" s="1063"/>
      <c r="AU624" s="1063"/>
      <c r="AV624" s="1063"/>
    </row>
    <row r="625" spans="1:48" s="1108" customFormat="1" ht="27.75" customHeight="1">
      <c r="A625" s="1076"/>
      <c r="B625" s="1074"/>
      <c r="D625" s="1063"/>
      <c r="F625" s="1076"/>
      <c r="G625" s="1063"/>
      <c r="H625" s="1063"/>
      <c r="I625" s="1063"/>
      <c r="J625" s="1063"/>
      <c r="K625" s="1063"/>
      <c r="L625" s="1063"/>
      <c r="M625" s="1063"/>
      <c r="N625" s="1063"/>
      <c r="O625" s="1063"/>
      <c r="P625" s="1063"/>
      <c r="Q625" s="1063"/>
      <c r="R625" s="1063"/>
      <c r="S625" s="1063"/>
      <c r="T625" s="1063"/>
      <c r="U625" s="1063"/>
      <c r="V625" s="1063"/>
      <c r="W625" s="1063"/>
      <c r="X625" s="1063"/>
      <c r="Y625" s="1063"/>
      <c r="Z625" s="1063"/>
      <c r="AA625" s="1063"/>
      <c r="AB625" s="1063"/>
      <c r="AC625" s="1063"/>
      <c r="AD625" s="1063"/>
      <c r="AE625" s="1063"/>
      <c r="AF625" s="1063"/>
      <c r="AG625" s="1063"/>
      <c r="AH625" s="1063"/>
      <c r="AI625" s="1063"/>
      <c r="AJ625" s="1063"/>
      <c r="AK625" s="1063"/>
      <c r="AL625" s="1063"/>
      <c r="AM625" s="1063"/>
      <c r="AN625" s="1063"/>
      <c r="AO625" s="1063"/>
      <c r="AP625" s="1063"/>
      <c r="AQ625" s="1063"/>
      <c r="AR625" s="1063"/>
      <c r="AS625" s="1063"/>
      <c r="AT625" s="1063"/>
      <c r="AU625" s="1063"/>
      <c r="AV625" s="1063"/>
    </row>
    <row r="626" spans="1:48" s="1108" customFormat="1" ht="27.75" customHeight="1">
      <c r="A626" s="1076"/>
      <c r="B626" s="1074"/>
      <c r="D626" s="1063"/>
      <c r="F626" s="1076"/>
      <c r="G626" s="1063"/>
      <c r="H626" s="1063"/>
      <c r="I626" s="1063"/>
      <c r="J626" s="1063"/>
      <c r="K626" s="1063"/>
      <c r="L626" s="1063"/>
      <c r="M626" s="1063"/>
      <c r="N626" s="1063"/>
      <c r="O626" s="1063"/>
      <c r="P626" s="1063"/>
      <c r="Q626" s="1063"/>
      <c r="R626" s="1063"/>
      <c r="S626" s="1063"/>
      <c r="T626" s="1063"/>
      <c r="U626" s="1063"/>
      <c r="V626" s="1063"/>
      <c r="W626" s="1063"/>
      <c r="X626" s="1063"/>
      <c r="Y626" s="1063"/>
      <c r="Z626" s="1063"/>
      <c r="AA626" s="1063"/>
      <c r="AB626" s="1063"/>
      <c r="AC626" s="1063"/>
      <c r="AD626" s="1063"/>
      <c r="AE626" s="1063"/>
      <c r="AF626" s="1063"/>
      <c r="AG626" s="1063"/>
      <c r="AH626" s="1063"/>
      <c r="AI626" s="1063"/>
      <c r="AJ626" s="1063"/>
      <c r="AK626" s="1063"/>
      <c r="AL626" s="1063"/>
      <c r="AM626" s="1063"/>
      <c r="AN626" s="1063"/>
      <c r="AO626" s="1063"/>
      <c r="AP626" s="1063"/>
      <c r="AQ626" s="1063"/>
      <c r="AR626" s="1063"/>
      <c r="AS626" s="1063"/>
      <c r="AT626" s="1063"/>
      <c r="AU626" s="1063"/>
      <c r="AV626" s="1063"/>
    </row>
    <row r="627" spans="1:48" s="1108" customFormat="1" ht="27.75" customHeight="1">
      <c r="A627" s="1076"/>
      <c r="B627" s="1074"/>
      <c r="D627" s="1063"/>
      <c r="F627" s="1076"/>
      <c r="G627" s="1063"/>
      <c r="H627" s="1063"/>
      <c r="I627" s="1063"/>
      <c r="J627" s="1063"/>
      <c r="K627" s="1063"/>
      <c r="L627" s="1063"/>
      <c r="M627" s="1063"/>
      <c r="N627" s="1063"/>
      <c r="O627" s="1063"/>
      <c r="P627" s="1063"/>
      <c r="Q627" s="1063"/>
      <c r="R627" s="1063"/>
      <c r="S627" s="1063"/>
      <c r="T627" s="1063"/>
      <c r="U627" s="1063"/>
      <c r="V627" s="1063"/>
      <c r="W627" s="1063"/>
      <c r="X627" s="1063"/>
      <c r="Y627" s="1063"/>
      <c r="Z627" s="1063"/>
      <c r="AA627" s="1063"/>
      <c r="AB627" s="1063"/>
      <c r="AC627" s="1063"/>
      <c r="AD627" s="1063"/>
      <c r="AE627" s="1063"/>
      <c r="AF627" s="1063"/>
      <c r="AG627" s="1063"/>
      <c r="AH627" s="1063"/>
      <c r="AI627" s="1063"/>
      <c r="AJ627" s="1063"/>
      <c r="AK627" s="1063"/>
      <c r="AL627" s="1063"/>
      <c r="AM627" s="1063"/>
      <c r="AN627" s="1063"/>
      <c r="AO627" s="1063"/>
      <c r="AP627" s="1063"/>
      <c r="AQ627" s="1063"/>
      <c r="AR627" s="1063"/>
      <c r="AS627" s="1063"/>
      <c r="AT627" s="1063"/>
      <c r="AU627" s="1063"/>
      <c r="AV627" s="1063"/>
    </row>
    <row r="628" spans="1:48" s="1108" customFormat="1" ht="27.75" customHeight="1">
      <c r="A628" s="1076"/>
      <c r="B628" s="1074"/>
      <c r="D628" s="1063"/>
      <c r="F628" s="1076"/>
      <c r="G628" s="1063"/>
      <c r="H628" s="1063"/>
      <c r="I628" s="1063"/>
      <c r="J628" s="1063"/>
      <c r="K628" s="1063"/>
      <c r="L628" s="1063"/>
      <c r="M628" s="1063"/>
      <c r="N628" s="1063"/>
      <c r="O628" s="1063"/>
      <c r="P628" s="1063"/>
      <c r="Q628" s="1063"/>
      <c r="R628" s="1063"/>
      <c r="S628" s="1063"/>
      <c r="T628" s="1063"/>
      <c r="U628" s="1063"/>
      <c r="V628" s="1063"/>
      <c r="W628" s="1063"/>
      <c r="X628" s="1063"/>
      <c r="Y628" s="1063"/>
      <c r="Z628" s="1063"/>
      <c r="AA628" s="1063"/>
      <c r="AB628" s="1063"/>
      <c r="AC628" s="1063"/>
      <c r="AD628" s="1063"/>
      <c r="AE628" s="1063"/>
      <c r="AF628" s="1063"/>
      <c r="AG628" s="1063"/>
      <c r="AH628" s="1063"/>
      <c r="AI628" s="1063"/>
      <c r="AJ628" s="1063"/>
      <c r="AK628" s="1063"/>
      <c r="AL628" s="1063"/>
      <c r="AM628" s="1063"/>
      <c r="AN628" s="1063"/>
      <c r="AO628" s="1063"/>
      <c r="AP628" s="1063"/>
      <c r="AQ628" s="1063"/>
      <c r="AR628" s="1063"/>
      <c r="AS628" s="1063"/>
      <c r="AT628" s="1063"/>
      <c r="AU628" s="1063"/>
      <c r="AV628" s="1063"/>
    </row>
    <row r="629" spans="1:48" s="1108" customFormat="1" ht="27.75" customHeight="1">
      <c r="A629" s="1076"/>
      <c r="B629" s="1074"/>
      <c r="D629" s="1063"/>
      <c r="F629" s="1076"/>
      <c r="G629" s="1063"/>
      <c r="H629" s="1063"/>
      <c r="I629" s="1063"/>
      <c r="J629" s="1063"/>
      <c r="K629" s="1063"/>
      <c r="L629" s="1063"/>
      <c r="M629" s="1063"/>
      <c r="N629" s="1063"/>
      <c r="O629" s="1063"/>
      <c r="P629" s="1063"/>
      <c r="Q629" s="1063"/>
      <c r="R629" s="1063"/>
      <c r="S629" s="1063"/>
      <c r="T629" s="1063"/>
      <c r="U629" s="1063"/>
      <c r="V629" s="1063"/>
      <c r="W629" s="1063"/>
      <c r="X629" s="1063"/>
      <c r="Y629" s="1063"/>
      <c r="Z629" s="1063"/>
      <c r="AA629" s="1063"/>
      <c r="AB629" s="1063"/>
      <c r="AC629" s="1063"/>
      <c r="AD629" s="1063"/>
      <c r="AE629" s="1063"/>
      <c r="AF629" s="1063"/>
      <c r="AG629" s="1063"/>
      <c r="AH629" s="1063"/>
      <c r="AI629" s="1063"/>
      <c r="AJ629" s="1063"/>
      <c r="AK629" s="1063"/>
      <c r="AL629" s="1063"/>
      <c r="AM629" s="1063"/>
      <c r="AN629" s="1063"/>
      <c r="AO629" s="1063"/>
      <c r="AP629" s="1063"/>
      <c r="AQ629" s="1063"/>
      <c r="AR629" s="1063"/>
      <c r="AS629" s="1063"/>
      <c r="AT629" s="1063"/>
      <c r="AU629" s="1063"/>
      <c r="AV629" s="1063"/>
    </row>
    <row r="630" spans="1:48" s="1108" customFormat="1" ht="27.75" customHeight="1">
      <c r="A630" s="1076"/>
      <c r="B630" s="1074"/>
      <c r="D630" s="1063"/>
      <c r="F630" s="1076"/>
      <c r="G630" s="1063"/>
      <c r="H630" s="1063"/>
      <c r="I630" s="1063"/>
      <c r="J630" s="1063"/>
      <c r="K630" s="1063"/>
      <c r="L630" s="1063"/>
      <c r="M630" s="1063"/>
      <c r="N630" s="1063"/>
      <c r="O630" s="1063"/>
      <c r="P630" s="1063"/>
      <c r="Q630" s="1063"/>
      <c r="R630" s="1063"/>
      <c r="S630" s="1063"/>
      <c r="T630" s="1063"/>
      <c r="U630" s="1063"/>
      <c r="V630" s="1063"/>
      <c r="W630" s="1063"/>
      <c r="X630" s="1063"/>
      <c r="Y630" s="1063"/>
      <c r="Z630" s="1063"/>
      <c r="AA630" s="1063"/>
      <c r="AB630" s="1063"/>
      <c r="AC630" s="1063"/>
      <c r="AD630" s="1063"/>
      <c r="AE630" s="1063"/>
      <c r="AF630" s="1063"/>
      <c r="AG630" s="1063"/>
      <c r="AH630" s="1063"/>
      <c r="AI630" s="1063"/>
      <c r="AJ630" s="1063"/>
      <c r="AK630" s="1063"/>
      <c r="AL630" s="1063"/>
      <c r="AM630" s="1063"/>
      <c r="AN630" s="1063"/>
      <c r="AO630" s="1063"/>
      <c r="AP630" s="1063"/>
      <c r="AQ630" s="1063"/>
      <c r="AR630" s="1063"/>
      <c r="AS630" s="1063"/>
      <c r="AT630" s="1063"/>
      <c r="AU630" s="1063"/>
      <c r="AV630" s="1063"/>
    </row>
    <row r="631" spans="1:48" s="1108" customFormat="1" ht="27.75" customHeight="1">
      <c r="A631" s="1076"/>
      <c r="B631" s="1074"/>
      <c r="D631" s="1063"/>
      <c r="F631" s="1076"/>
      <c r="G631" s="1063"/>
      <c r="H631" s="1063"/>
      <c r="I631" s="1063"/>
      <c r="J631" s="1063"/>
      <c r="K631" s="1063"/>
      <c r="L631" s="1063"/>
      <c r="M631" s="1063"/>
      <c r="N631" s="1063"/>
      <c r="O631" s="1063"/>
      <c r="P631" s="1063"/>
      <c r="Q631" s="1063"/>
      <c r="R631" s="1063"/>
      <c r="S631" s="1063"/>
      <c r="T631" s="1063"/>
      <c r="U631" s="1063"/>
      <c r="V631" s="1063"/>
      <c r="W631" s="1063"/>
      <c r="X631" s="1063"/>
      <c r="Y631" s="1063"/>
      <c r="Z631" s="1063"/>
      <c r="AA631" s="1063"/>
      <c r="AB631" s="1063"/>
      <c r="AC631" s="1063"/>
      <c r="AD631" s="1063"/>
      <c r="AE631" s="1063"/>
      <c r="AF631" s="1063"/>
      <c r="AG631" s="1063"/>
      <c r="AH631" s="1063"/>
      <c r="AI631" s="1063"/>
      <c r="AJ631" s="1063"/>
      <c r="AK631" s="1063"/>
      <c r="AL631" s="1063"/>
      <c r="AM631" s="1063"/>
      <c r="AN631" s="1063"/>
      <c r="AO631" s="1063"/>
      <c r="AP631" s="1063"/>
      <c r="AQ631" s="1063"/>
      <c r="AR631" s="1063"/>
      <c r="AS631" s="1063"/>
      <c r="AT631" s="1063"/>
      <c r="AU631" s="1063"/>
      <c r="AV631" s="1063"/>
    </row>
    <row r="632" spans="1:48" s="1108" customFormat="1" ht="27.75" customHeight="1">
      <c r="A632" s="1076"/>
      <c r="B632" s="1074"/>
      <c r="D632" s="1063"/>
      <c r="F632" s="1076"/>
      <c r="G632" s="1063"/>
      <c r="H632" s="1063"/>
      <c r="I632" s="1063"/>
      <c r="J632" s="1063"/>
      <c r="K632" s="1063"/>
      <c r="L632" s="1063"/>
      <c r="M632" s="1063"/>
      <c r="N632" s="1063"/>
      <c r="O632" s="1063"/>
      <c r="P632" s="1063"/>
      <c r="Q632" s="1063"/>
      <c r="R632" s="1063"/>
      <c r="S632" s="1063"/>
      <c r="T632" s="1063"/>
      <c r="U632" s="1063"/>
      <c r="V632" s="1063"/>
      <c r="W632" s="1063"/>
      <c r="X632" s="1063"/>
      <c r="Y632" s="1063"/>
      <c r="Z632" s="1063"/>
      <c r="AA632" s="1063"/>
      <c r="AB632" s="1063"/>
      <c r="AC632" s="1063"/>
      <c r="AD632" s="1063"/>
      <c r="AE632" s="1063"/>
      <c r="AF632" s="1063"/>
      <c r="AG632" s="1063"/>
      <c r="AH632" s="1063"/>
      <c r="AI632" s="1063"/>
      <c r="AJ632" s="1063"/>
      <c r="AK632" s="1063"/>
      <c r="AL632" s="1063"/>
      <c r="AM632" s="1063"/>
      <c r="AN632" s="1063"/>
      <c r="AO632" s="1063"/>
      <c r="AP632" s="1063"/>
      <c r="AQ632" s="1063"/>
      <c r="AR632" s="1063"/>
      <c r="AS632" s="1063"/>
      <c r="AT632" s="1063"/>
      <c r="AU632" s="1063"/>
      <c r="AV632" s="1063"/>
    </row>
    <row r="633" spans="1:48" s="1108" customFormat="1" ht="27.75" customHeight="1">
      <c r="A633" s="1076"/>
      <c r="B633" s="1074"/>
      <c r="D633" s="1063"/>
      <c r="F633" s="1076"/>
      <c r="G633" s="1063"/>
      <c r="H633" s="1063"/>
      <c r="I633" s="1063"/>
      <c r="J633" s="1063"/>
      <c r="K633" s="1063"/>
      <c r="L633" s="1063"/>
      <c r="M633" s="1063"/>
      <c r="N633" s="1063"/>
      <c r="O633" s="1063"/>
      <c r="P633" s="1063"/>
      <c r="Q633" s="1063"/>
      <c r="R633" s="1063"/>
      <c r="S633" s="1063"/>
      <c r="T633" s="1063"/>
      <c r="U633" s="1063"/>
      <c r="V633" s="1063"/>
      <c r="W633" s="1063"/>
      <c r="X633" s="1063"/>
      <c r="Y633" s="1063"/>
      <c r="Z633" s="1063"/>
      <c r="AA633" s="1063"/>
      <c r="AB633" s="1063"/>
      <c r="AC633" s="1063"/>
      <c r="AD633" s="1063"/>
      <c r="AE633" s="1063"/>
      <c r="AF633" s="1063"/>
      <c r="AG633" s="1063"/>
      <c r="AH633" s="1063"/>
      <c r="AI633" s="1063"/>
      <c r="AJ633" s="1063"/>
      <c r="AK633" s="1063"/>
      <c r="AL633" s="1063"/>
      <c r="AM633" s="1063"/>
      <c r="AN633" s="1063"/>
      <c r="AO633" s="1063"/>
      <c r="AP633" s="1063"/>
      <c r="AQ633" s="1063"/>
      <c r="AR633" s="1063"/>
      <c r="AS633" s="1063"/>
      <c r="AT633" s="1063"/>
      <c r="AU633" s="1063"/>
      <c r="AV633" s="1063"/>
    </row>
    <row r="634" spans="1:48" s="1108" customFormat="1" ht="27.75" customHeight="1">
      <c r="A634" s="1076"/>
      <c r="B634" s="1074"/>
      <c r="D634" s="1063"/>
      <c r="F634" s="1076"/>
      <c r="G634" s="1063"/>
      <c r="H634" s="1063"/>
      <c r="I634" s="1063"/>
      <c r="J634" s="1063"/>
      <c r="K634" s="1063"/>
      <c r="L634" s="1063"/>
      <c r="M634" s="1063"/>
      <c r="N634" s="1063"/>
      <c r="O634" s="1063"/>
      <c r="P634" s="1063"/>
      <c r="Q634" s="1063"/>
      <c r="R634" s="1063"/>
      <c r="S634" s="1063"/>
      <c r="T634" s="1063"/>
      <c r="U634" s="1063"/>
      <c r="V634" s="1063"/>
      <c r="W634" s="1063"/>
      <c r="X634" s="1063"/>
      <c r="Y634" s="1063"/>
      <c r="Z634" s="1063"/>
      <c r="AA634" s="1063"/>
      <c r="AB634" s="1063"/>
      <c r="AC634" s="1063"/>
      <c r="AD634" s="1063"/>
      <c r="AE634" s="1063"/>
      <c r="AF634" s="1063"/>
      <c r="AG634" s="1063"/>
      <c r="AH634" s="1063"/>
      <c r="AI634" s="1063"/>
      <c r="AJ634" s="1063"/>
      <c r="AK634" s="1063"/>
      <c r="AL634" s="1063"/>
      <c r="AM634" s="1063"/>
      <c r="AN634" s="1063"/>
      <c r="AO634" s="1063"/>
      <c r="AP634" s="1063"/>
      <c r="AQ634" s="1063"/>
      <c r="AR634" s="1063"/>
      <c r="AS634" s="1063"/>
      <c r="AT634" s="1063"/>
      <c r="AU634" s="1063"/>
      <c r="AV634" s="1063"/>
    </row>
    <row r="635" spans="1:48" s="1108" customFormat="1" ht="27.75" customHeight="1">
      <c r="A635" s="1076"/>
      <c r="B635" s="1074"/>
      <c r="D635" s="1063"/>
      <c r="F635" s="1076"/>
      <c r="G635" s="1063"/>
      <c r="H635" s="1063"/>
      <c r="I635" s="1063"/>
      <c r="J635" s="1063"/>
      <c r="K635" s="1063"/>
      <c r="L635" s="1063"/>
      <c r="M635" s="1063"/>
      <c r="N635" s="1063"/>
      <c r="O635" s="1063"/>
      <c r="P635" s="1063"/>
      <c r="Q635" s="1063"/>
      <c r="R635" s="1063"/>
      <c r="S635" s="1063"/>
      <c r="T635" s="1063"/>
      <c r="U635" s="1063"/>
      <c r="V635" s="1063"/>
      <c r="W635" s="1063"/>
      <c r="X635" s="1063"/>
      <c r="Y635" s="1063"/>
      <c r="Z635" s="1063"/>
      <c r="AA635" s="1063"/>
      <c r="AB635" s="1063"/>
      <c r="AC635" s="1063"/>
      <c r="AD635" s="1063"/>
      <c r="AE635" s="1063"/>
      <c r="AF635" s="1063"/>
      <c r="AG635" s="1063"/>
      <c r="AH635" s="1063"/>
      <c r="AI635" s="1063"/>
      <c r="AJ635" s="1063"/>
      <c r="AK635" s="1063"/>
      <c r="AL635" s="1063"/>
      <c r="AM635" s="1063"/>
      <c r="AN635" s="1063"/>
      <c r="AO635" s="1063"/>
      <c r="AP635" s="1063"/>
      <c r="AQ635" s="1063"/>
      <c r="AR635" s="1063"/>
      <c r="AS635" s="1063"/>
      <c r="AT635" s="1063"/>
      <c r="AU635" s="1063"/>
      <c r="AV635" s="1063"/>
    </row>
    <row r="636" spans="1:48" s="1108" customFormat="1" ht="27.75" customHeight="1">
      <c r="A636" s="1076"/>
      <c r="B636" s="1074"/>
      <c r="D636" s="1063"/>
      <c r="F636" s="1076"/>
      <c r="G636" s="1063"/>
      <c r="H636" s="1063"/>
      <c r="I636" s="1063"/>
      <c r="J636" s="1063"/>
      <c r="K636" s="1063"/>
      <c r="L636" s="1063"/>
      <c r="M636" s="1063"/>
      <c r="N636" s="1063"/>
      <c r="O636" s="1063"/>
      <c r="P636" s="1063"/>
      <c r="Q636" s="1063"/>
      <c r="R636" s="1063"/>
      <c r="S636" s="1063"/>
      <c r="T636" s="1063"/>
      <c r="U636" s="1063"/>
      <c r="V636" s="1063"/>
      <c r="W636" s="1063"/>
      <c r="X636" s="1063"/>
      <c r="Y636" s="1063"/>
      <c r="Z636" s="1063"/>
      <c r="AA636" s="1063"/>
      <c r="AB636" s="1063"/>
      <c r="AC636" s="1063"/>
      <c r="AD636" s="1063"/>
      <c r="AE636" s="1063"/>
      <c r="AF636" s="1063"/>
      <c r="AG636" s="1063"/>
      <c r="AH636" s="1063"/>
      <c r="AI636" s="1063"/>
      <c r="AJ636" s="1063"/>
      <c r="AK636" s="1063"/>
      <c r="AL636" s="1063"/>
      <c r="AM636" s="1063"/>
      <c r="AN636" s="1063"/>
      <c r="AO636" s="1063"/>
      <c r="AP636" s="1063"/>
      <c r="AQ636" s="1063"/>
      <c r="AR636" s="1063"/>
      <c r="AS636" s="1063"/>
      <c r="AT636" s="1063"/>
      <c r="AU636" s="1063"/>
      <c r="AV636" s="1063"/>
    </row>
    <row r="637" spans="1:48" s="1108" customFormat="1" ht="27.75" customHeight="1">
      <c r="A637" s="1076"/>
      <c r="B637" s="1074"/>
      <c r="D637" s="1063"/>
      <c r="F637" s="1076"/>
      <c r="G637" s="1063"/>
      <c r="H637" s="1063"/>
      <c r="I637" s="1063"/>
      <c r="J637" s="1063"/>
      <c r="K637" s="1063"/>
      <c r="L637" s="1063"/>
      <c r="M637" s="1063"/>
      <c r="N637" s="1063"/>
      <c r="O637" s="1063"/>
      <c r="P637" s="1063"/>
      <c r="Q637" s="1063"/>
      <c r="R637" s="1063"/>
      <c r="S637" s="1063"/>
      <c r="T637" s="1063"/>
      <c r="U637" s="1063"/>
      <c r="V637" s="1063"/>
      <c r="W637" s="1063"/>
      <c r="X637" s="1063"/>
      <c r="Y637" s="1063"/>
      <c r="Z637" s="1063"/>
      <c r="AA637" s="1063"/>
      <c r="AB637" s="1063"/>
      <c r="AC637" s="1063"/>
      <c r="AD637" s="1063"/>
      <c r="AE637" s="1063"/>
      <c r="AF637" s="1063"/>
      <c r="AG637" s="1063"/>
      <c r="AH637" s="1063"/>
      <c r="AI637" s="1063"/>
      <c r="AJ637" s="1063"/>
      <c r="AK637" s="1063"/>
      <c r="AL637" s="1063"/>
      <c r="AM637" s="1063"/>
      <c r="AN637" s="1063"/>
      <c r="AO637" s="1063"/>
      <c r="AP637" s="1063"/>
      <c r="AQ637" s="1063"/>
      <c r="AR637" s="1063"/>
      <c r="AS637" s="1063"/>
      <c r="AT637" s="1063"/>
      <c r="AU637" s="1063"/>
      <c r="AV637" s="1063"/>
    </row>
    <row r="638" spans="1:48" s="1108" customFormat="1" ht="27.75" customHeight="1">
      <c r="A638" s="1076"/>
      <c r="B638" s="1074"/>
      <c r="D638" s="1063"/>
      <c r="F638" s="1076"/>
      <c r="G638" s="1063"/>
      <c r="H638" s="1063"/>
      <c r="I638" s="1063"/>
      <c r="J638" s="1063"/>
      <c r="K638" s="1063"/>
      <c r="L638" s="1063"/>
      <c r="M638" s="1063"/>
      <c r="N638" s="1063"/>
      <c r="O638" s="1063"/>
      <c r="P638" s="1063"/>
      <c r="Q638" s="1063"/>
      <c r="R638" s="1063"/>
      <c r="S638" s="1063"/>
      <c r="T638" s="1063"/>
      <c r="U638" s="1063"/>
      <c r="V638" s="1063"/>
      <c r="W638" s="1063"/>
      <c r="X638" s="1063"/>
      <c r="Y638" s="1063"/>
      <c r="Z638" s="1063"/>
      <c r="AA638" s="1063"/>
      <c r="AB638" s="1063"/>
      <c r="AC638" s="1063"/>
      <c r="AD638" s="1063"/>
      <c r="AE638" s="1063"/>
      <c r="AF638" s="1063"/>
      <c r="AG638" s="1063"/>
      <c r="AH638" s="1063"/>
      <c r="AI638" s="1063"/>
      <c r="AJ638" s="1063"/>
      <c r="AK638" s="1063"/>
      <c r="AL638" s="1063"/>
      <c r="AM638" s="1063"/>
      <c r="AN638" s="1063"/>
      <c r="AO638" s="1063"/>
      <c r="AP638" s="1063"/>
      <c r="AQ638" s="1063"/>
      <c r="AR638" s="1063"/>
      <c r="AS638" s="1063"/>
      <c r="AT638" s="1063"/>
      <c r="AU638" s="1063"/>
      <c r="AV638" s="1063"/>
    </row>
    <row r="639" spans="1:48" s="1108" customFormat="1" ht="27.75" customHeight="1">
      <c r="A639" s="1076"/>
      <c r="B639" s="1074"/>
      <c r="D639" s="1063"/>
      <c r="F639" s="1076"/>
      <c r="G639" s="1063"/>
      <c r="H639" s="1063"/>
      <c r="I639" s="1063"/>
      <c r="J639" s="1063"/>
      <c r="K639" s="1063"/>
      <c r="L639" s="1063"/>
      <c r="M639" s="1063"/>
      <c r="N639" s="1063"/>
      <c r="O639" s="1063"/>
      <c r="P639" s="1063"/>
      <c r="Q639" s="1063"/>
      <c r="R639" s="1063"/>
      <c r="S639" s="1063"/>
      <c r="T639" s="1063"/>
      <c r="U639" s="1063"/>
      <c r="V639" s="1063"/>
      <c r="W639" s="1063"/>
      <c r="X639" s="1063"/>
      <c r="Y639" s="1063"/>
      <c r="Z639" s="1063"/>
      <c r="AA639" s="1063"/>
      <c r="AB639" s="1063"/>
      <c r="AC639" s="1063"/>
      <c r="AD639" s="1063"/>
      <c r="AE639" s="1063"/>
      <c r="AF639" s="1063"/>
      <c r="AG639" s="1063"/>
      <c r="AH639" s="1063"/>
      <c r="AI639" s="1063"/>
      <c r="AJ639" s="1063"/>
      <c r="AK639" s="1063"/>
      <c r="AL639" s="1063"/>
      <c r="AM639" s="1063"/>
      <c r="AN639" s="1063"/>
      <c r="AO639" s="1063"/>
      <c r="AP639" s="1063"/>
      <c r="AQ639" s="1063"/>
      <c r="AR639" s="1063"/>
      <c r="AS639" s="1063"/>
      <c r="AT639" s="1063"/>
      <c r="AU639" s="1063"/>
      <c r="AV639" s="1063"/>
    </row>
    <row r="640" spans="1:48" s="1108" customFormat="1" ht="27.75" customHeight="1">
      <c r="A640" s="1076"/>
      <c r="B640" s="1074"/>
      <c r="D640" s="1063"/>
      <c r="F640" s="1076"/>
      <c r="G640" s="1063"/>
      <c r="H640" s="1063"/>
      <c r="I640" s="1063"/>
      <c r="J640" s="1063"/>
      <c r="K640" s="1063"/>
      <c r="L640" s="1063"/>
      <c r="M640" s="1063"/>
      <c r="N640" s="1063"/>
      <c r="O640" s="1063"/>
      <c r="P640" s="1063"/>
      <c r="Q640" s="1063"/>
      <c r="R640" s="1063"/>
      <c r="S640" s="1063"/>
      <c r="T640" s="1063"/>
      <c r="U640" s="1063"/>
      <c r="V640" s="1063"/>
      <c r="W640" s="1063"/>
      <c r="X640" s="1063"/>
      <c r="Y640" s="1063"/>
      <c r="Z640" s="1063"/>
      <c r="AA640" s="1063"/>
      <c r="AB640" s="1063"/>
      <c r="AC640" s="1063"/>
      <c r="AD640" s="1063"/>
      <c r="AE640" s="1063"/>
      <c r="AF640" s="1063"/>
      <c r="AG640" s="1063"/>
      <c r="AH640" s="1063"/>
      <c r="AI640" s="1063"/>
      <c r="AJ640" s="1063"/>
      <c r="AK640" s="1063"/>
      <c r="AL640" s="1063"/>
      <c r="AM640" s="1063"/>
      <c r="AN640" s="1063"/>
      <c r="AO640" s="1063"/>
      <c r="AP640" s="1063"/>
      <c r="AQ640" s="1063"/>
      <c r="AR640" s="1063"/>
      <c r="AS640" s="1063"/>
      <c r="AT640" s="1063"/>
      <c r="AU640" s="1063"/>
      <c r="AV640" s="1063"/>
    </row>
    <row r="641" spans="1:48" s="1108" customFormat="1" ht="27.75" customHeight="1">
      <c r="A641" s="1076"/>
      <c r="B641" s="1074"/>
      <c r="D641" s="1063"/>
      <c r="F641" s="1076"/>
      <c r="G641" s="1063"/>
      <c r="H641" s="1063"/>
      <c r="I641" s="1063"/>
      <c r="J641" s="1063"/>
      <c r="K641" s="1063"/>
      <c r="L641" s="1063"/>
      <c r="M641" s="1063"/>
      <c r="N641" s="1063"/>
      <c r="O641" s="1063"/>
      <c r="P641" s="1063"/>
      <c r="Q641" s="1063"/>
      <c r="R641" s="1063"/>
      <c r="S641" s="1063"/>
      <c r="T641" s="1063"/>
      <c r="U641" s="1063"/>
      <c r="V641" s="1063"/>
      <c r="W641" s="1063"/>
      <c r="X641" s="1063"/>
      <c r="Y641" s="1063"/>
      <c r="Z641" s="1063"/>
      <c r="AA641" s="1063"/>
      <c r="AB641" s="1063"/>
      <c r="AC641" s="1063"/>
      <c r="AD641" s="1063"/>
      <c r="AE641" s="1063"/>
      <c r="AF641" s="1063"/>
      <c r="AG641" s="1063"/>
      <c r="AH641" s="1063"/>
      <c r="AI641" s="1063"/>
      <c r="AJ641" s="1063"/>
      <c r="AK641" s="1063"/>
      <c r="AL641" s="1063"/>
      <c r="AM641" s="1063"/>
      <c r="AN641" s="1063"/>
      <c r="AO641" s="1063"/>
      <c r="AP641" s="1063"/>
      <c r="AQ641" s="1063"/>
      <c r="AR641" s="1063"/>
      <c r="AS641" s="1063"/>
      <c r="AT641" s="1063"/>
      <c r="AU641" s="1063"/>
      <c r="AV641" s="1063"/>
    </row>
    <row r="642" spans="1:48" s="1108" customFormat="1" ht="27.75" customHeight="1">
      <c r="A642" s="1076"/>
      <c r="B642" s="1074"/>
      <c r="D642" s="1063"/>
      <c r="F642" s="1076"/>
      <c r="G642" s="1063"/>
      <c r="H642" s="1063"/>
      <c r="I642" s="1063"/>
      <c r="J642" s="1063"/>
      <c r="K642" s="1063"/>
      <c r="L642" s="1063"/>
      <c r="M642" s="1063"/>
      <c r="N642" s="1063"/>
      <c r="O642" s="1063"/>
      <c r="P642" s="1063"/>
      <c r="Q642" s="1063"/>
      <c r="R642" s="1063"/>
      <c r="S642" s="1063"/>
      <c r="T642" s="1063"/>
      <c r="U642" s="1063"/>
      <c r="V642" s="1063"/>
      <c r="W642" s="1063"/>
      <c r="X642" s="1063"/>
      <c r="Y642" s="1063"/>
      <c r="Z642" s="1063"/>
      <c r="AA642" s="1063"/>
      <c r="AB642" s="1063"/>
      <c r="AC642" s="1063"/>
      <c r="AD642" s="1063"/>
      <c r="AE642" s="1063"/>
      <c r="AF642" s="1063"/>
      <c r="AG642" s="1063"/>
      <c r="AH642" s="1063"/>
      <c r="AI642" s="1063"/>
      <c r="AJ642" s="1063"/>
      <c r="AK642" s="1063"/>
      <c r="AL642" s="1063"/>
      <c r="AM642" s="1063"/>
      <c r="AN642" s="1063"/>
      <c r="AO642" s="1063"/>
      <c r="AP642" s="1063"/>
      <c r="AQ642" s="1063"/>
      <c r="AR642" s="1063"/>
      <c r="AS642" s="1063"/>
      <c r="AT642" s="1063"/>
      <c r="AU642" s="1063"/>
      <c r="AV642" s="1063"/>
    </row>
    <row r="643" spans="1:48" s="1108" customFormat="1" ht="27.75" customHeight="1">
      <c r="A643" s="1076"/>
      <c r="B643" s="1074"/>
      <c r="D643" s="1063"/>
      <c r="F643" s="1076"/>
      <c r="G643" s="1063"/>
      <c r="H643" s="1063"/>
      <c r="I643" s="1063"/>
      <c r="J643" s="1063"/>
      <c r="K643" s="1063"/>
      <c r="L643" s="1063"/>
      <c r="M643" s="1063"/>
      <c r="N643" s="1063"/>
      <c r="O643" s="1063"/>
      <c r="P643" s="1063"/>
      <c r="Q643" s="1063"/>
      <c r="R643" s="1063"/>
      <c r="S643" s="1063"/>
      <c r="T643" s="1063"/>
      <c r="U643" s="1063"/>
      <c r="V643" s="1063"/>
      <c r="W643" s="1063"/>
      <c r="X643" s="1063"/>
      <c r="Y643" s="1063"/>
      <c r="Z643" s="1063"/>
      <c r="AA643" s="1063"/>
      <c r="AB643" s="1063"/>
      <c r="AC643" s="1063"/>
      <c r="AD643" s="1063"/>
      <c r="AE643" s="1063"/>
      <c r="AF643" s="1063"/>
      <c r="AG643" s="1063"/>
      <c r="AH643" s="1063"/>
      <c r="AI643" s="1063"/>
      <c r="AJ643" s="1063"/>
      <c r="AK643" s="1063"/>
      <c r="AL643" s="1063"/>
      <c r="AM643" s="1063"/>
      <c r="AN643" s="1063"/>
      <c r="AO643" s="1063"/>
      <c r="AP643" s="1063"/>
      <c r="AQ643" s="1063"/>
      <c r="AR643" s="1063"/>
      <c r="AS643" s="1063"/>
      <c r="AT643" s="1063"/>
      <c r="AU643" s="1063"/>
      <c r="AV643" s="1063"/>
    </row>
    <row r="644" spans="1:48" s="1108" customFormat="1" ht="27.75" customHeight="1">
      <c r="A644" s="1076"/>
      <c r="B644" s="1074"/>
      <c r="D644" s="1063"/>
      <c r="F644" s="1076"/>
      <c r="G644" s="1063"/>
      <c r="H644" s="1063"/>
      <c r="I644" s="1063"/>
      <c r="J644" s="1063"/>
      <c r="K644" s="1063"/>
      <c r="L644" s="1063"/>
      <c r="M644" s="1063"/>
      <c r="N644" s="1063"/>
      <c r="O644" s="1063"/>
      <c r="P644" s="1063"/>
      <c r="Q644" s="1063"/>
      <c r="R644" s="1063"/>
      <c r="S644" s="1063"/>
      <c r="T644" s="1063"/>
      <c r="U644" s="1063"/>
      <c r="V644" s="1063"/>
      <c r="W644" s="1063"/>
      <c r="X644" s="1063"/>
      <c r="Y644" s="1063"/>
      <c r="Z644" s="1063"/>
      <c r="AA644" s="1063"/>
      <c r="AB644" s="1063"/>
      <c r="AC644" s="1063"/>
      <c r="AD644" s="1063"/>
      <c r="AE644" s="1063"/>
      <c r="AF644" s="1063"/>
      <c r="AG644" s="1063"/>
      <c r="AH644" s="1063"/>
      <c r="AI644" s="1063"/>
      <c r="AJ644" s="1063"/>
      <c r="AK644" s="1063"/>
      <c r="AL644" s="1063"/>
      <c r="AM644" s="1063"/>
      <c r="AN644" s="1063"/>
      <c r="AO644" s="1063"/>
      <c r="AP644" s="1063"/>
      <c r="AQ644" s="1063"/>
      <c r="AR644" s="1063"/>
      <c r="AS644" s="1063"/>
      <c r="AT644" s="1063"/>
      <c r="AU644" s="1063"/>
      <c r="AV644" s="1063"/>
    </row>
    <row r="645" spans="1:48" s="1108" customFormat="1" ht="27.75" customHeight="1">
      <c r="A645" s="1076"/>
      <c r="B645" s="1074"/>
      <c r="D645" s="1063"/>
      <c r="F645" s="1076"/>
      <c r="G645" s="1063"/>
      <c r="H645" s="1063"/>
      <c r="I645" s="1063"/>
      <c r="J645" s="1063"/>
      <c r="K645" s="1063"/>
      <c r="L645" s="1063"/>
      <c r="M645" s="1063"/>
      <c r="N645" s="1063"/>
      <c r="O645" s="1063"/>
      <c r="P645" s="1063"/>
      <c r="Q645" s="1063"/>
      <c r="R645" s="1063"/>
      <c r="S645" s="1063"/>
      <c r="T645" s="1063"/>
      <c r="U645" s="1063"/>
      <c r="V645" s="1063"/>
      <c r="W645" s="1063"/>
      <c r="X645" s="1063"/>
      <c r="Y645" s="1063"/>
      <c r="Z645" s="1063"/>
      <c r="AA645" s="1063"/>
      <c r="AB645" s="1063"/>
      <c r="AC645" s="1063"/>
      <c r="AD645" s="1063"/>
      <c r="AE645" s="1063"/>
      <c r="AF645" s="1063"/>
      <c r="AG645" s="1063"/>
      <c r="AH645" s="1063"/>
      <c r="AI645" s="1063"/>
      <c r="AJ645" s="1063"/>
      <c r="AK645" s="1063"/>
      <c r="AL645" s="1063"/>
      <c r="AM645" s="1063"/>
      <c r="AN645" s="1063"/>
      <c r="AO645" s="1063"/>
      <c r="AP645" s="1063"/>
      <c r="AQ645" s="1063"/>
      <c r="AR645" s="1063"/>
      <c r="AS645" s="1063"/>
      <c r="AT645" s="1063"/>
      <c r="AU645" s="1063"/>
      <c r="AV645" s="1063"/>
    </row>
    <row r="646" spans="1:48" s="1108" customFormat="1" ht="27.75" customHeight="1">
      <c r="A646" s="1076"/>
      <c r="B646" s="1074"/>
      <c r="D646" s="1063"/>
      <c r="F646" s="1076"/>
      <c r="G646" s="1063"/>
      <c r="H646" s="1063"/>
      <c r="I646" s="1063"/>
      <c r="J646" s="1063"/>
      <c r="K646" s="1063"/>
      <c r="L646" s="1063"/>
      <c r="M646" s="1063"/>
      <c r="N646" s="1063"/>
      <c r="O646" s="1063"/>
      <c r="P646" s="1063"/>
      <c r="Q646" s="1063"/>
      <c r="R646" s="1063"/>
      <c r="S646" s="1063"/>
      <c r="T646" s="1063"/>
      <c r="U646" s="1063"/>
      <c r="V646" s="1063"/>
      <c r="W646" s="1063"/>
      <c r="X646" s="1063"/>
      <c r="Y646" s="1063"/>
      <c r="Z646" s="1063"/>
      <c r="AA646" s="1063"/>
      <c r="AB646" s="1063"/>
      <c r="AC646" s="1063"/>
      <c r="AD646" s="1063"/>
      <c r="AE646" s="1063"/>
      <c r="AF646" s="1063"/>
      <c r="AG646" s="1063"/>
      <c r="AH646" s="1063"/>
      <c r="AI646" s="1063"/>
      <c r="AJ646" s="1063"/>
      <c r="AK646" s="1063"/>
      <c r="AL646" s="1063"/>
      <c r="AM646" s="1063"/>
      <c r="AN646" s="1063"/>
      <c r="AO646" s="1063"/>
      <c r="AP646" s="1063"/>
      <c r="AQ646" s="1063"/>
      <c r="AR646" s="1063"/>
      <c r="AS646" s="1063"/>
      <c r="AT646" s="1063"/>
      <c r="AU646" s="1063"/>
      <c r="AV646" s="1063"/>
    </row>
    <row r="647" spans="1:48" s="1108" customFormat="1" ht="27.75" customHeight="1">
      <c r="A647" s="1076"/>
      <c r="B647" s="1074"/>
      <c r="D647" s="1063"/>
      <c r="F647" s="1076"/>
      <c r="G647" s="1063"/>
      <c r="H647" s="1063"/>
      <c r="I647" s="1063"/>
      <c r="J647" s="1063"/>
      <c r="K647" s="1063"/>
      <c r="L647" s="1063"/>
      <c r="M647" s="1063"/>
      <c r="N647" s="1063"/>
      <c r="O647" s="1063"/>
      <c r="P647" s="1063"/>
      <c r="Q647" s="1063"/>
      <c r="R647" s="1063"/>
      <c r="S647" s="1063"/>
      <c r="T647" s="1063"/>
      <c r="U647" s="1063"/>
      <c r="V647" s="1063"/>
      <c r="W647" s="1063"/>
      <c r="X647" s="1063"/>
      <c r="Y647" s="1063"/>
      <c r="Z647" s="1063"/>
      <c r="AA647" s="1063"/>
      <c r="AB647" s="1063"/>
      <c r="AC647" s="1063"/>
      <c r="AD647" s="1063"/>
      <c r="AE647" s="1063"/>
      <c r="AF647" s="1063"/>
      <c r="AG647" s="1063"/>
      <c r="AH647" s="1063"/>
      <c r="AI647" s="1063"/>
      <c r="AJ647" s="1063"/>
      <c r="AK647" s="1063"/>
      <c r="AL647" s="1063"/>
      <c r="AM647" s="1063"/>
      <c r="AN647" s="1063"/>
      <c r="AO647" s="1063"/>
      <c r="AP647" s="1063"/>
      <c r="AQ647" s="1063"/>
      <c r="AR647" s="1063"/>
      <c r="AS647" s="1063"/>
      <c r="AT647" s="1063"/>
      <c r="AU647" s="1063"/>
      <c r="AV647" s="1063"/>
    </row>
    <row r="648" spans="1:48" s="1108" customFormat="1" ht="27.75" customHeight="1">
      <c r="A648" s="1076"/>
      <c r="B648" s="1074"/>
      <c r="D648" s="1063"/>
      <c r="F648" s="1076"/>
      <c r="G648" s="1063"/>
      <c r="H648" s="1063"/>
      <c r="I648" s="1063"/>
      <c r="J648" s="1063"/>
      <c r="K648" s="1063"/>
      <c r="L648" s="1063"/>
      <c r="M648" s="1063"/>
      <c r="N648" s="1063"/>
      <c r="O648" s="1063"/>
      <c r="P648" s="1063"/>
      <c r="Q648" s="1063"/>
      <c r="R648" s="1063"/>
      <c r="S648" s="1063"/>
      <c r="T648" s="1063"/>
      <c r="U648" s="1063"/>
      <c r="V648" s="1063"/>
      <c r="W648" s="1063"/>
      <c r="X648" s="1063"/>
      <c r="Y648" s="1063"/>
      <c r="Z648" s="1063"/>
      <c r="AA648" s="1063"/>
      <c r="AB648" s="1063"/>
      <c r="AC648" s="1063"/>
      <c r="AD648" s="1063"/>
      <c r="AE648" s="1063"/>
      <c r="AF648" s="1063"/>
      <c r="AG648" s="1063"/>
      <c r="AH648" s="1063"/>
      <c r="AI648" s="1063"/>
      <c r="AJ648" s="1063"/>
      <c r="AK648" s="1063"/>
      <c r="AL648" s="1063"/>
      <c r="AM648" s="1063"/>
      <c r="AN648" s="1063"/>
      <c r="AO648" s="1063"/>
      <c r="AP648" s="1063"/>
      <c r="AQ648" s="1063"/>
      <c r="AR648" s="1063"/>
      <c r="AS648" s="1063"/>
      <c r="AT648" s="1063"/>
      <c r="AU648" s="1063"/>
      <c r="AV648" s="1063"/>
    </row>
    <row r="649" spans="1:48" s="1108" customFormat="1" ht="27.75" customHeight="1">
      <c r="A649" s="1076"/>
      <c r="B649" s="1074"/>
      <c r="D649" s="1063"/>
      <c r="F649" s="1076"/>
      <c r="G649" s="1063"/>
      <c r="H649" s="1063"/>
      <c r="I649" s="1063"/>
      <c r="J649" s="1063"/>
      <c r="K649" s="1063"/>
      <c r="L649" s="1063"/>
      <c r="M649" s="1063"/>
      <c r="N649" s="1063"/>
      <c r="O649" s="1063"/>
      <c r="P649" s="1063"/>
      <c r="Q649" s="1063"/>
      <c r="R649" s="1063"/>
      <c r="S649" s="1063"/>
      <c r="T649" s="1063"/>
      <c r="U649" s="1063"/>
      <c r="V649" s="1063"/>
      <c r="W649" s="1063"/>
      <c r="X649" s="1063"/>
      <c r="Y649" s="1063"/>
      <c r="Z649" s="1063"/>
      <c r="AA649" s="1063"/>
      <c r="AB649" s="1063"/>
      <c r="AC649" s="1063"/>
      <c r="AD649" s="1063"/>
      <c r="AE649" s="1063"/>
      <c r="AF649" s="1063"/>
      <c r="AG649" s="1063"/>
      <c r="AH649" s="1063"/>
      <c r="AI649" s="1063"/>
      <c r="AJ649" s="1063"/>
      <c r="AK649" s="1063"/>
      <c r="AL649" s="1063"/>
      <c r="AM649" s="1063"/>
      <c r="AN649" s="1063"/>
      <c r="AO649" s="1063"/>
      <c r="AP649" s="1063"/>
      <c r="AQ649" s="1063"/>
      <c r="AR649" s="1063"/>
      <c r="AS649" s="1063"/>
      <c r="AT649" s="1063"/>
      <c r="AU649" s="1063"/>
      <c r="AV649" s="1063"/>
    </row>
    <row r="650" spans="1:48" s="1108" customFormat="1" ht="27.75" customHeight="1">
      <c r="A650" s="1076"/>
      <c r="B650" s="1074"/>
      <c r="D650" s="1063"/>
      <c r="F650" s="1076"/>
      <c r="G650" s="1063"/>
      <c r="H650" s="1063"/>
      <c r="I650" s="1063"/>
      <c r="J650" s="1063"/>
      <c r="K650" s="1063"/>
      <c r="L650" s="1063"/>
      <c r="M650" s="1063"/>
      <c r="N650" s="1063"/>
      <c r="O650" s="1063"/>
      <c r="P650" s="1063"/>
      <c r="Q650" s="1063"/>
      <c r="R650" s="1063"/>
      <c r="S650" s="1063"/>
      <c r="T650" s="1063"/>
      <c r="U650" s="1063"/>
      <c r="V650" s="1063"/>
      <c r="W650" s="1063"/>
      <c r="X650" s="1063"/>
      <c r="Y650" s="1063"/>
      <c r="Z650" s="1063"/>
      <c r="AA650" s="1063"/>
      <c r="AB650" s="1063"/>
      <c r="AC650" s="1063"/>
      <c r="AD650" s="1063"/>
      <c r="AE650" s="1063"/>
      <c r="AF650" s="1063"/>
      <c r="AG650" s="1063"/>
      <c r="AH650" s="1063"/>
      <c r="AI650" s="1063"/>
      <c r="AJ650" s="1063"/>
      <c r="AK650" s="1063"/>
      <c r="AL650" s="1063"/>
      <c r="AM650" s="1063"/>
      <c r="AN650" s="1063"/>
      <c r="AO650" s="1063"/>
      <c r="AP650" s="1063"/>
      <c r="AQ650" s="1063"/>
      <c r="AR650" s="1063"/>
      <c r="AS650" s="1063"/>
      <c r="AT650" s="1063"/>
      <c r="AU650" s="1063"/>
      <c r="AV650" s="1063"/>
    </row>
    <row r="651" spans="1:48" s="1108" customFormat="1" ht="27.75" customHeight="1">
      <c r="A651" s="1076"/>
      <c r="B651" s="1074"/>
      <c r="D651" s="1063"/>
      <c r="F651" s="1076"/>
      <c r="G651" s="1063"/>
      <c r="H651" s="1063"/>
      <c r="I651" s="1063"/>
      <c r="J651" s="1063"/>
      <c r="K651" s="1063"/>
      <c r="L651" s="1063"/>
      <c r="M651" s="1063"/>
      <c r="N651" s="1063"/>
      <c r="O651" s="1063"/>
      <c r="P651" s="1063"/>
      <c r="Q651" s="1063"/>
      <c r="R651" s="1063"/>
      <c r="S651" s="1063"/>
      <c r="T651" s="1063"/>
      <c r="U651" s="1063"/>
      <c r="V651" s="1063"/>
      <c r="W651" s="1063"/>
      <c r="X651" s="1063"/>
      <c r="Y651" s="1063"/>
      <c r="Z651" s="1063"/>
      <c r="AA651" s="1063"/>
      <c r="AB651" s="1063"/>
      <c r="AC651" s="1063"/>
      <c r="AD651" s="1063"/>
      <c r="AE651" s="1063"/>
      <c r="AF651" s="1063"/>
      <c r="AG651" s="1063"/>
      <c r="AH651" s="1063"/>
      <c r="AI651" s="1063"/>
      <c r="AJ651" s="1063"/>
      <c r="AK651" s="1063"/>
      <c r="AL651" s="1063"/>
      <c r="AM651" s="1063"/>
      <c r="AN651" s="1063"/>
      <c r="AO651" s="1063"/>
      <c r="AP651" s="1063"/>
      <c r="AQ651" s="1063"/>
      <c r="AR651" s="1063"/>
      <c r="AS651" s="1063"/>
      <c r="AT651" s="1063"/>
      <c r="AU651" s="1063"/>
      <c r="AV651" s="1063"/>
    </row>
    <row r="652" spans="1:48" s="1108" customFormat="1" ht="27.75" customHeight="1">
      <c r="A652" s="1076"/>
      <c r="B652" s="1074"/>
      <c r="D652" s="1063"/>
      <c r="F652" s="1076"/>
      <c r="G652" s="1063"/>
      <c r="H652" s="1063"/>
      <c r="I652" s="1063"/>
      <c r="J652" s="1063"/>
      <c r="K652" s="1063"/>
      <c r="L652" s="1063"/>
      <c r="M652" s="1063"/>
      <c r="N652" s="1063"/>
      <c r="O652" s="1063"/>
      <c r="P652" s="1063"/>
      <c r="Q652" s="1063"/>
      <c r="R652" s="1063"/>
      <c r="S652" s="1063"/>
      <c r="T652" s="1063"/>
      <c r="U652" s="1063"/>
      <c r="V652" s="1063"/>
      <c r="W652" s="1063"/>
      <c r="X652" s="1063"/>
      <c r="Y652" s="1063"/>
      <c r="Z652" s="1063"/>
      <c r="AA652" s="1063"/>
      <c r="AB652" s="1063"/>
      <c r="AC652" s="1063"/>
      <c r="AD652" s="1063"/>
      <c r="AE652" s="1063"/>
      <c r="AF652" s="1063"/>
      <c r="AG652" s="1063"/>
      <c r="AH652" s="1063"/>
      <c r="AI652" s="1063"/>
      <c r="AJ652" s="1063"/>
      <c r="AK652" s="1063"/>
      <c r="AL652" s="1063"/>
      <c r="AM652" s="1063"/>
      <c r="AN652" s="1063"/>
      <c r="AO652" s="1063"/>
      <c r="AP652" s="1063"/>
      <c r="AQ652" s="1063"/>
      <c r="AR652" s="1063"/>
      <c r="AS652" s="1063"/>
      <c r="AT652" s="1063"/>
      <c r="AU652" s="1063"/>
      <c r="AV652" s="1063"/>
    </row>
    <row r="653" spans="1:48" s="1108" customFormat="1" ht="27.75" customHeight="1">
      <c r="A653" s="1076"/>
      <c r="B653" s="1074"/>
      <c r="D653" s="1063"/>
      <c r="F653" s="1076"/>
      <c r="G653" s="1063"/>
      <c r="H653" s="1063"/>
      <c r="I653" s="1063"/>
      <c r="J653" s="1063"/>
      <c r="K653" s="1063"/>
      <c r="L653" s="1063"/>
      <c r="M653" s="1063"/>
      <c r="N653" s="1063"/>
      <c r="O653" s="1063"/>
      <c r="P653" s="1063"/>
      <c r="Q653" s="1063"/>
      <c r="R653" s="1063"/>
      <c r="S653" s="1063"/>
      <c r="T653" s="1063"/>
      <c r="U653" s="1063"/>
      <c r="V653" s="1063"/>
      <c r="W653" s="1063"/>
      <c r="X653" s="1063"/>
      <c r="Y653" s="1063"/>
      <c r="Z653" s="1063"/>
      <c r="AA653" s="1063"/>
      <c r="AB653" s="1063"/>
      <c r="AC653" s="1063"/>
      <c r="AD653" s="1063"/>
      <c r="AE653" s="1063"/>
      <c r="AF653" s="1063"/>
      <c r="AG653" s="1063"/>
      <c r="AH653" s="1063"/>
      <c r="AI653" s="1063"/>
      <c r="AJ653" s="1063"/>
      <c r="AK653" s="1063"/>
      <c r="AL653" s="1063"/>
      <c r="AM653" s="1063"/>
      <c r="AN653" s="1063"/>
      <c r="AO653" s="1063"/>
      <c r="AP653" s="1063"/>
      <c r="AQ653" s="1063"/>
      <c r="AR653" s="1063"/>
      <c r="AS653" s="1063"/>
      <c r="AT653" s="1063"/>
      <c r="AU653" s="1063"/>
      <c r="AV653" s="1063"/>
    </row>
    <row r="654" spans="1:48" s="1108" customFormat="1" ht="27.75" customHeight="1">
      <c r="A654" s="1076"/>
      <c r="B654" s="1074"/>
      <c r="D654" s="1063"/>
      <c r="F654" s="1076"/>
      <c r="G654" s="1063"/>
      <c r="H654" s="1063"/>
      <c r="I654" s="1063"/>
      <c r="J654" s="1063"/>
      <c r="K654" s="1063"/>
      <c r="L654" s="1063"/>
      <c r="M654" s="1063"/>
      <c r="N654" s="1063"/>
      <c r="O654" s="1063"/>
      <c r="P654" s="1063"/>
      <c r="Q654" s="1063"/>
      <c r="R654" s="1063"/>
      <c r="S654" s="1063"/>
      <c r="T654" s="1063"/>
      <c r="U654" s="1063"/>
      <c r="V654" s="1063"/>
      <c r="W654" s="1063"/>
      <c r="X654" s="1063"/>
      <c r="Y654" s="1063"/>
      <c r="Z654" s="1063"/>
      <c r="AA654" s="1063"/>
      <c r="AB654" s="1063"/>
      <c r="AC654" s="1063"/>
      <c r="AD654" s="1063"/>
      <c r="AE654" s="1063"/>
      <c r="AF654" s="1063"/>
      <c r="AG654" s="1063"/>
      <c r="AH654" s="1063"/>
      <c r="AI654" s="1063"/>
      <c r="AJ654" s="1063"/>
      <c r="AK654" s="1063"/>
      <c r="AL654" s="1063"/>
      <c r="AM654" s="1063"/>
      <c r="AN654" s="1063"/>
      <c r="AO654" s="1063"/>
      <c r="AP654" s="1063"/>
      <c r="AQ654" s="1063"/>
      <c r="AR654" s="1063"/>
      <c r="AS654" s="1063"/>
      <c r="AT654" s="1063"/>
      <c r="AU654" s="1063"/>
      <c r="AV654" s="1063"/>
    </row>
    <row r="655" spans="1:48" s="1108" customFormat="1" ht="27.75" customHeight="1">
      <c r="A655" s="1076"/>
      <c r="B655" s="1074"/>
      <c r="D655" s="1063"/>
      <c r="F655" s="1076"/>
      <c r="G655" s="1063"/>
      <c r="H655" s="1063"/>
      <c r="I655" s="1063"/>
      <c r="J655" s="1063"/>
      <c r="K655" s="1063"/>
      <c r="L655" s="1063"/>
      <c r="M655" s="1063"/>
      <c r="N655" s="1063"/>
      <c r="O655" s="1063"/>
      <c r="P655" s="1063"/>
      <c r="Q655" s="1063"/>
      <c r="R655" s="1063"/>
      <c r="S655" s="1063"/>
      <c r="T655" s="1063"/>
      <c r="U655" s="1063"/>
      <c r="V655" s="1063"/>
      <c r="W655" s="1063"/>
      <c r="X655" s="1063"/>
      <c r="Y655" s="1063"/>
      <c r="Z655" s="1063"/>
      <c r="AA655" s="1063"/>
      <c r="AB655" s="1063"/>
      <c r="AC655" s="1063"/>
      <c r="AD655" s="1063"/>
      <c r="AE655" s="1063"/>
      <c r="AF655" s="1063"/>
      <c r="AG655" s="1063"/>
      <c r="AH655" s="1063"/>
      <c r="AI655" s="1063"/>
      <c r="AJ655" s="1063"/>
      <c r="AK655" s="1063"/>
      <c r="AL655" s="1063"/>
      <c r="AM655" s="1063"/>
      <c r="AN655" s="1063"/>
      <c r="AO655" s="1063"/>
      <c r="AP655" s="1063"/>
      <c r="AQ655" s="1063"/>
      <c r="AR655" s="1063"/>
      <c r="AS655" s="1063"/>
      <c r="AT655" s="1063"/>
      <c r="AU655" s="1063"/>
      <c r="AV655" s="1063"/>
    </row>
    <row r="656" spans="1:48" s="1108" customFormat="1" ht="27.75" customHeight="1">
      <c r="A656" s="1076"/>
      <c r="B656" s="1074"/>
      <c r="D656" s="1063"/>
      <c r="F656" s="1076"/>
      <c r="G656" s="1063"/>
      <c r="H656" s="1063"/>
      <c r="I656" s="1063"/>
      <c r="J656" s="1063"/>
      <c r="K656" s="1063"/>
      <c r="L656" s="1063"/>
      <c r="M656" s="1063"/>
      <c r="N656" s="1063"/>
      <c r="O656" s="1063"/>
      <c r="P656" s="1063"/>
      <c r="Q656" s="1063"/>
      <c r="R656" s="1063"/>
      <c r="S656" s="1063"/>
      <c r="T656" s="1063"/>
      <c r="U656" s="1063"/>
      <c r="V656" s="1063"/>
      <c r="W656" s="1063"/>
      <c r="X656" s="1063"/>
      <c r="Y656" s="1063"/>
      <c r="Z656" s="1063"/>
      <c r="AA656" s="1063"/>
      <c r="AB656" s="1063"/>
      <c r="AC656" s="1063"/>
      <c r="AD656" s="1063"/>
      <c r="AE656" s="1063"/>
      <c r="AF656" s="1063"/>
      <c r="AG656" s="1063"/>
      <c r="AH656" s="1063"/>
      <c r="AI656" s="1063"/>
      <c r="AJ656" s="1063"/>
      <c r="AK656" s="1063"/>
      <c r="AL656" s="1063"/>
      <c r="AM656" s="1063"/>
      <c r="AN656" s="1063"/>
      <c r="AO656" s="1063"/>
      <c r="AP656" s="1063"/>
      <c r="AQ656" s="1063"/>
      <c r="AR656" s="1063"/>
      <c r="AS656" s="1063"/>
      <c r="AT656" s="1063"/>
      <c r="AU656" s="1063"/>
      <c r="AV656" s="1063"/>
    </row>
    <row r="657" spans="1:48" s="1108" customFormat="1" ht="27.75" customHeight="1">
      <c r="A657" s="1076"/>
      <c r="B657" s="1074"/>
      <c r="D657" s="1063"/>
      <c r="F657" s="1076"/>
      <c r="G657" s="1063"/>
      <c r="H657" s="1063"/>
      <c r="I657" s="1063"/>
      <c r="J657" s="1063"/>
      <c r="K657" s="1063"/>
      <c r="L657" s="1063"/>
      <c r="M657" s="1063"/>
      <c r="N657" s="1063"/>
      <c r="O657" s="1063"/>
      <c r="P657" s="1063"/>
      <c r="Q657" s="1063"/>
      <c r="R657" s="1063"/>
      <c r="S657" s="1063"/>
      <c r="T657" s="1063"/>
      <c r="U657" s="1063"/>
      <c r="V657" s="1063"/>
      <c r="W657" s="1063"/>
      <c r="X657" s="1063"/>
      <c r="Y657" s="1063"/>
      <c r="Z657" s="1063"/>
      <c r="AA657" s="1063"/>
      <c r="AB657" s="1063"/>
      <c r="AC657" s="1063"/>
      <c r="AD657" s="1063"/>
      <c r="AE657" s="1063"/>
      <c r="AF657" s="1063"/>
      <c r="AG657" s="1063"/>
      <c r="AH657" s="1063"/>
      <c r="AI657" s="1063"/>
      <c r="AJ657" s="1063"/>
      <c r="AK657" s="1063"/>
      <c r="AL657" s="1063"/>
      <c r="AM657" s="1063"/>
      <c r="AN657" s="1063"/>
      <c r="AO657" s="1063"/>
      <c r="AP657" s="1063"/>
      <c r="AQ657" s="1063"/>
      <c r="AR657" s="1063"/>
      <c r="AS657" s="1063"/>
      <c r="AT657" s="1063"/>
      <c r="AU657" s="1063"/>
      <c r="AV657" s="1063"/>
    </row>
    <row r="658" spans="1:48" s="1108" customFormat="1" ht="27.75" customHeight="1">
      <c r="A658" s="1076"/>
      <c r="B658" s="1074"/>
      <c r="D658" s="1063"/>
      <c r="F658" s="1076"/>
      <c r="G658" s="1063"/>
      <c r="H658" s="1063"/>
      <c r="I658" s="1063"/>
      <c r="J658" s="1063"/>
      <c r="K658" s="1063"/>
      <c r="L658" s="1063"/>
      <c r="M658" s="1063"/>
      <c r="N658" s="1063"/>
      <c r="O658" s="1063"/>
      <c r="P658" s="1063"/>
      <c r="Q658" s="1063"/>
      <c r="R658" s="1063"/>
      <c r="S658" s="1063"/>
      <c r="T658" s="1063"/>
      <c r="U658" s="1063"/>
      <c r="V658" s="1063"/>
      <c r="W658" s="1063"/>
      <c r="X658" s="1063"/>
      <c r="Y658" s="1063"/>
      <c r="Z658" s="1063"/>
      <c r="AA658" s="1063"/>
      <c r="AB658" s="1063"/>
      <c r="AC658" s="1063"/>
      <c r="AD658" s="1063"/>
      <c r="AE658" s="1063"/>
      <c r="AF658" s="1063"/>
      <c r="AG658" s="1063"/>
      <c r="AH658" s="1063"/>
      <c r="AI658" s="1063"/>
      <c r="AJ658" s="1063"/>
      <c r="AK658" s="1063"/>
      <c r="AL658" s="1063"/>
      <c r="AM658" s="1063"/>
      <c r="AN658" s="1063"/>
      <c r="AO658" s="1063"/>
      <c r="AP658" s="1063"/>
      <c r="AQ658" s="1063"/>
      <c r="AR658" s="1063"/>
      <c r="AS658" s="1063"/>
      <c r="AT658" s="1063"/>
      <c r="AU658" s="1063"/>
      <c r="AV658" s="1063"/>
    </row>
    <row r="659" spans="1:48" s="1108" customFormat="1" ht="27.75" customHeight="1">
      <c r="A659" s="1076"/>
      <c r="B659" s="1074"/>
      <c r="D659" s="1063"/>
      <c r="F659" s="1076"/>
      <c r="G659" s="1063"/>
      <c r="H659" s="1063"/>
      <c r="I659" s="1063"/>
      <c r="J659" s="1063"/>
      <c r="K659" s="1063"/>
      <c r="L659" s="1063"/>
      <c r="M659" s="1063"/>
      <c r="N659" s="1063"/>
      <c r="O659" s="1063"/>
      <c r="P659" s="1063"/>
      <c r="Q659" s="1063"/>
      <c r="R659" s="1063"/>
      <c r="S659" s="1063"/>
      <c r="T659" s="1063"/>
      <c r="U659" s="1063"/>
      <c r="V659" s="1063"/>
      <c r="W659" s="1063"/>
      <c r="X659" s="1063"/>
      <c r="Y659" s="1063"/>
      <c r="Z659" s="1063"/>
      <c r="AA659" s="1063"/>
      <c r="AB659" s="1063"/>
      <c r="AC659" s="1063"/>
      <c r="AD659" s="1063"/>
      <c r="AE659" s="1063"/>
      <c r="AF659" s="1063"/>
      <c r="AG659" s="1063"/>
      <c r="AH659" s="1063"/>
      <c r="AI659" s="1063"/>
      <c r="AJ659" s="1063"/>
      <c r="AK659" s="1063"/>
      <c r="AL659" s="1063"/>
      <c r="AM659" s="1063"/>
      <c r="AN659" s="1063"/>
      <c r="AO659" s="1063"/>
      <c r="AP659" s="1063"/>
      <c r="AQ659" s="1063"/>
      <c r="AR659" s="1063"/>
      <c r="AS659" s="1063"/>
      <c r="AT659" s="1063"/>
      <c r="AU659" s="1063"/>
      <c r="AV659" s="1063"/>
    </row>
    <row r="660" spans="1:48" s="1108" customFormat="1" ht="27.75" customHeight="1">
      <c r="A660" s="1076"/>
      <c r="B660" s="1074"/>
      <c r="D660" s="1063"/>
      <c r="F660" s="1076"/>
      <c r="G660" s="1063"/>
      <c r="H660" s="1063"/>
      <c r="I660" s="1063"/>
      <c r="J660" s="1063"/>
      <c r="K660" s="1063"/>
      <c r="L660" s="1063"/>
      <c r="M660" s="1063"/>
      <c r="N660" s="1063"/>
      <c r="O660" s="1063"/>
      <c r="P660" s="1063"/>
      <c r="Q660" s="1063"/>
      <c r="R660" s="1063"/>
      <c r="S660" s="1063"/>
      <c r="T660" s="1063"/>
      <c r="U660" s="1063"/>
      <c r="V660" s="1063"/>
      <c r="W660" s="1063"/>
      <c r="X660" s="1063"/>
      <c r="Y660" s="1063"/>
      <c r="Z660" s="1063"/>
      <c r="AA660" s="1063"/>
      <c r="AB660" s="1063"/>
      <c r="AC660" s="1063"/>
      <c r="AD660" s="1063"/>
      <c r="AE660" s="1063"/>
      <c r="AF660" s="1063"/>
      <c r="AG660" s="1063"/>
      <c r="AH660" s="1063"/>
      <c r="AI660" s="1063"/>
      <c r="AJ660" s="1063"/>
      <c r="AK660" s="1063"/>
      <c r="AL660" s="1063"/>
      <c r="AM660" s="1063"/>
      <c r="AN660" s="1063"/>
      <c r="AO660" s="1063"/>
      <c r="AP660" s="1063"/>
      <c r="AQ660" s="1063"/>
      <c r="AR660" s="1063"/>
      <c r="AS660" s="1063"/>
      <c r="AT660" s="1063"/>
      <c r="AU660" s="1063"/>
      <c r="AV660" s="1063"/>
    </row>
    <row r="661" spans="1:48" s="1108" customFormat="1" ht="27.75" customHeight="1">
      <c r="A661" s="1076"/>
      <c r="B661" s="1074"/>
      <c r="D661" s="1063"/>
      <c r="F661" s="1076"/>
      <c r="G661" s="1063"/>
      <c r="H661" s="1063"/>
      <c r="I661" s="1063"/>
      <c r="J661" s="1063"/>
      <c r="K661" s="1063"/>
      <c r="L661" s="1063"/>
      <c r="M661" s="1063"/>
      <c r="N661" s="1063"/>
      <c r="O661" s="1063"/>
      <c r="P661" s="1063"/>
      <c r="Q661" s="1063"/>
      <c r="R661" s="1063"/>
      <c r="S661" s="1063"/>
      <c r="T661" s="1063"/>
      <c r="U661" s="1063"/>
      <c r="V661" s="1063"/>
      <c r="W661" s="1063"/>
      <c r="X661" s="1063"/>
      <c r="Y661" s="1063"/>
      <c r="Z661" s="1063"/>
      <c r="AA661" s="1063"/>
      <c r="AB661" s="1063"/>
      <c r="AC661" s="1063"/>
      <c r="AD661" s="1063"/>
      <c r="AE661" s="1063"/>
      <c r="AF661" s="1063"/>
      <c r="AG661" s="1063"/>
      <c r="AH661" s="1063"/>
      <c r="AI661" s="1063"/>
      <c r="AJ661" s="1063"/>
      <c r="AK661" s="1063"/>
      <c r="AL661" s="1063"/>
      <c r="AM661" s="1063"/>
      <c r="AN661" s="1063"/>
      <c r="AO661" s="1063"/>
      <c r="AP661" s="1063"/>
      <c r="AQ661" s="1063"/>
      <c r="AR661" s="1063"/>
      <c r="AS661" s="1063"/>
      <c r="AT661" s="1063"/>
      <c r="AU661" s="1063"/>
      <c r="AV661" s="1063"/>
    </row>
    <row r="662" spans="1:48" s="1108" customFormat="1" ht="27.75" customHeight="1">
      <c r="A662" s="1076"/>
      <c r="B662" s="1074"/>
      <c r="D662" s="1063"/>
      <c r="F662" s="1076"/>
      <c r="G662" s="1063"/>
      <c r="H662" s="1063"/>
      <c r="I662" s="1063"/>
      <c r="J662" s="1063"/>
      <c r="K662" s="1063"/>
      <c r="L662" s="1063"/>
      <c r="M662" s="1063"/>
      <c r="N662" s="1063"/>
      <c r="O662" s="1063"/>
      <c r="P662" s="1063"/>
      <c r="Q662" s="1063"/>
      <c r="R662" s="1063"/>
      <c r="S662" s="1063"/>
      <c r="T662" s="1063"/>
      <c r="U662" s="1063"/>
      <c r="V662" s="1063"/>
      <c r="W662" s="1063"/>
      <c r="X662" s="1063"/>
      <c r="Y662" s="1063"/>
      <c r="Z662" s="1063"/>
      <c r="AA662" s="1063"/>
      <c r="AB662" s="1063"/>
      <c r="AC662" s="1063"/>
      <c r="AD662" s="1063"/>
      <c r="AE662" s="1063"/>
      <c r="AF662" s="1063"/>
      <c r="AG662" s="1063"/>
      <c r="AH662" s="1063"/>
      <c r="AI662" s="1063"/>
      <c r="AJ662" s="1063"/>
      <c r="AK662" s="1063"/>
      <c r="AL662" s="1063"/>
      <c r="AM662" s="1063"/>
      <c r="AN662" s="1063"/>
      <c r="AO662" s="1063"/>
      <c r="AP662" s="1063"/>
      <c r="AQ662" s="1063"/>
      <c r="AR662" s="1063"/>
      <c r="AS662" s="1063"/>
      <c r="AT662" s="1063"/>
      <c r="AU662" s="1063"/>
      <c r="AV662" s="1063"/>
    </row>
    <row r="663" spans="1:48" s="1108" customFormat="1" ht="27.75" customHeight="1">
      <c r="A663" s="1076"/>
      <c r="B663" s="1074"/>
      <c r="D663" s="1063"/>
      <c r="F663" s="1076"/>
      <c r="G663" s="1063"/>
      <c r="H663" s="1063"/>
      <c r="I663" s="1063"/>
      <c r="J663" s="1063"/>
      <c r="K663" s="1063"/>
      <c r="L663" s="1063"/>
      <c r="M663" s="1063"/>
      <c r="N663" s="1063"/>
      <c r="O663" s="1063"/>
      <c r="P663" s="1063"/>
      <c r="Q663" s="1063"/>
      <c r="R663" s="1063"/>
      <c r="S663" s="1063"/>
      <c r="T663" s="1063"/>
      <c r="U663" s="1063"/>
      <c r="V663" s="1063"/>
      <c r="W663" s="1063"/>
      <c r="X663" s="1063"/>
      <c r="Y663" s="1063"/>
      <c r="Z663" s="1063"/>
      <c r="AA663" s="1063"/>
      <c r="AB663" s="1063"/>
      <c r="AC663" s="1063"/>
      <c r="AD663" s="1063"/>
      <c r="AE663" s="1063"/>
      <c r="AF663" s="1063"/>
      <c r="AG663" s="1063"/>
      <c r="AH663" s="1063"/>
      <c r="AI663" s="1063"/>
      <c r="AJ663" s="1063"/>
      <c r="AK663" s="1063"/>
      <c r="AL663" s="1063"/>
      <c r="AM663" s="1063"/>
      <c r="AN663" s="1063"/>
      <c r="AO663" s="1063"/>
      <c r="AP663" s="1063"/>
      <c r="AQ663" s="1063"/>
      <c r="AR663" s="1063"/>
      <c r="AS663" s="1063"/>
      <c r="AT663" s="1063"/>
      <c r="AU663" s="1063"/>
      <c r="AV663" s="1063"/>
    </row>
    <row r="664" spans="1:48" s="1108" customFormat="1" ht="27.75" customHeight="1">
      <c r="A664" s="1076"/>
      <c r="B664" s="1074"/>
      <c r="D664" s="1063"/>
      <c r="F664" s="1076"/>
      <c r="G664" s="1063"/>
      <c r="H664" s="1063"/>
      <c r="I664" s="1063"/>
      <c r="J664" s="1063"/>
      <c r="K664" s="1063"/>
      <c r="L664" s="1063"/>
      <c r="M664" s="1063"/>
      <c r="N664" s="1063"/>
      <c r="O664" s="1063"/>
      <c r="P664" s="1063"/>
      <c r="Q664" s="1063"/>
      <c r="R664" s="1063"/>
      <c r="S664" s="1063"/>
      <c r="T664" s="1063"/>
      <c r="U664" s="1063"/>
      <c r="V664" s="1063"/>
      <c r="W664" s="1063"/>
      <c r="X664" s="1063"/>
      <c r="Y664" s="1063"/>
      <c r="Z664" s="1063"/>
      <c r="AA664" s="1063"/>
      <c r="AB664" s="1063"/>
      <c r="AC664" s="1063"/>
      <c r="AD664" s="1063"/>
      <c r="AE664" s="1063"/>
      <c r="AF664" s="1063"/>
      <c r="AG664" s="1063"/>
      <c r="AH664" s="1063"/>
      <c r="AI664" s="1063"/>
      <c r="AJ664" s="1063"/>
      <c r="AK664" s="1063"/>
      <c r="AL664" s="1063"/>
      <c r="AM664" s="1063"/>
      <c r="AN664" s="1063"/>
      <c r="AO664" s="1063"/>
      <c r="AP664" s="1063"/>
      <c r="AQ664" s="1063"/>
      <c r="AR664" s="1063"/>
      <c r="AS664" s="1063"/>
      <c r="AT664" s="1063"/>
      <c r="AU664" s="1063"/>
      <c r="AV664" s="1063"/>
    </row>
    <row r="665" spans="1:48" s="1108" customFormat="1" ht="27.75" customHeight="1">
      <c r="A665" s="1076"/>
      <c r="B665" s="1074"/>
      <c r="D665" s="1063"/>
      <c r="F665" s="1076"/>
      <c r="G665" s="1063"/>
      <c r="H665" s="1063"/>
      <c r="I665" s="1063"/>
      <c r="J665" s="1063"/>
      <c r="K665" s="1063"/>
      <c r="L665" s="1063"/>
      <c r="M665" s="1063"/>
      <c r="N665" s="1063"/>
      <c r="O665" s="1063"/>
      <c r="P665" s="1063"/>
      <c r="Q665" s="1063"/>
      <c r="R665" s="1063"/>
      <c r="S665" s="1063"/>
      <c r="T665" s="1063"/>
      <c r="U665" s="1063"/>
      <c r="V665" s="1063"/>
      <c r="W665" s="1063"/>
      <c r="X665" s="1063"/>
      <c r="Y665" s="1063"/>
      <c r="Z665" s="1063"/>
      <c r="AA665" s="1063"/>
      <c r="AB665" s="1063"/>
      <c r="AC665" s="1063"/>
      <c r="AD665" s="1063"/>
      <c r="AE665" s="1063"/>
      <c r="AF665" s="1063"/>
      <c r="AG665" s="1063"/>
      <c r="AH665" s="1063"/>
      <c r="AI665" s="1063"/>
      <c r="AJ665" s="1063"/>
      <c r="AK665" s="1063"/>
      <c r="AL665" s="1063"/>
      <c r="AM665" s="1063"/>
      <c r="AN665" s="1063"/>
      <c r="AO665" s="1063"/>
      <c r="AP665" s="1063"/>
      <c r="AQ665" s="1063"/>
      <c r="AR665" s="1063"/>
      <c r="AS665" s="1063"/>
      <c r="AT665" s="1063"/>
      <c r="AU665" s="1063"/>
      <c r="AV665" s="1063"/>
    </row>
    <row r="666" spans="1:48" s="1108" customFormat="1" ht="27.75" customHeight="1">
      <c r="A666" s="1076"/>
      <c r="B666" s="1074"/>
      <c r="D666" s="1063"/>
      <c r="F666" s="1076"/>
      <c r="G666" s="1063"/>
      <c r="H666" s="1063"/>
      <c r="I666" s="1063"/>
      <c r="J666" s="1063"/>
      <c r="K666" s="1063"/>
      <c r="L666" s="1063"/>
      <c r="M666" s="1063"/>
      <c r="N666" s="1063"/>
      <c r="O666" s="1063"/>
      <c r="P666" s="1063"/>
      <c r="Q666" s="1063"/>
      <c r="R666" s="1063"/>
      <c r="S666" s="1063"/>
      <c r="T666" s="1063"/>
      <c r="U666" s="1063"/>
      <c r="V666" s="1063"/>
      <c r="W666" s="1063"/>
      <c r="X666" s="1063"/>
      <c r="Y666" s="1063"/>
      <c r="Z666" s="1063"/>
      <c r="AA666" s="1063"/>
      <c r="AB666" s="1063"/>
      <c r="AC666" s="1063"/>
      <c r="AD666" s="1063"/>
      <c r="AE666" s="1063"/>
      <c r="AF666" s="1063"/>
      <c r="AG666" s="1063"/>
      <c r="AH666" s="1063"/>
      <c r="AI666" s="1063"/>
      <c r="AJ666" s="1063"/>
      <c r="AK666" s="1063"/>
      <c r="AL666" s="1063"/>
      <c r="AM666" s="1063"/>
      <c r="AN666" s="1063"/>
      <c r="AO666" s="1063"/>
      <c r="AP666" s="1063"/>
      <c r="AQ666" s="1063"/>
      <c r="AR666" s="1063"/>
      <c r="AS666" s="1063"/>
      <c r="AT666" s="1063"/>
      <c r="AU666" s="1063"/>
      <c r="AV666" s="1063"/>
    </row>
    <row r="667" spans="1:48" s="1108" customFormat="1" ht="27.75" customHeight="1">
      <c r="A667" s="1076"/>
      <c r="B667" s="1074"/>
      <c r="D667" s="1063"/>
      <c r="F667" s="1076"/>
      <c r="G667" s="1063"/>
      <c r="H667" s="1063"/>
      <c r="I667" s="1063"/>
      <c r="J667" s="1063"/>
      <c r="K667" s="1063"/>
      <c r="L667" s="1063"/>
      <c r="M667" s="1063"/>
      <c r="N667" s="1063"/>
      <c r="O667" s="1063"/>
      <c r="P667" s="1063"/>
      <c r="Q667" s="1063"/>
      <c r="R667" s="1063"/>
      <c r="S667" s="1063"/>
      <c r="T667" s="1063"/>
      <c r="U667" s="1063"/>
      <c r="V667" s="1063"/>
      <c r="W667" s="1063"/>
      <c r="X667" s="1063"/>
      <c r="Y667" s="1063"/>
      <c r="Z667" s="1063"/>
      <c r="AA667" s="1063"/>
      <c r="AB667" s="1063"/>
      <c r="AC667" s="1063"/>
      <c r="AD667" s="1063"/>
      <c r="AE667" s="1063"/>
      <c r="AF667" s="1063"/>
      <c r="AG667" s="1063"/>
      <c r="AH667" s="1063"/>
      <c r="AI667" s="1063"/>
      <c r="AJ667" s="1063"/>
      <c r="AK667" s="1063"/>
      <c r="AL667" s="1063"/>
      <c r="AM667" s="1063"/>
      <c r="AN667" s="1063"/>
      <c r="AO667" s="1063"/>
      <c r="AP667" s="1063"/>
      <c r="AQ667" s="1063"/>
      <c r="AR667" s="1063"/>
      <c r="AS667" s="1063"/>
      <c r="AT667" s="1063"/>
      <c r="AU667" s="1063"/>
      <c r="AV667" s="1063"/>
    </row>
    <row r="668" spans="1:48" s="1108" customFormat="1" ht="27.75" customHeight="1">
      <c r="A668" s="1076"/>
      <c r="B668" s="1074"/>
      <c r="D668" s="1063"/>
      <c r="F668" s="1076"/>
      <c r="G668" s="1063"/>
      <c r="H668" s="1063"/>
      <c r="I668" s="1063"/>
      <c r="J668" s="1063"/>
      <c r="K668" s="1063"/>
      <c r="L668" s="1063"/>
      <c r="M668" s="1063"/>
      <c r="N668" s="1063"/>
      <c r="O668" s="1063"/>
      <c r="P668" s="1063"/>
      <c r="Q668" s="1063"/>
      <c r="R668" s="1063"/>
      <c r="S668" s="1063"/>
      <c r="T668" s="1063"/>
      <c r="U668" s="1063"/>
      <c r="V668" s="1063"/>
      <c r="W668" s="1063"/>
      <c r="X668" s="1063"/>
      <c r="Y668" s="1063"/>
      <c r="Z668" s="1063"/>
      <c r="AA668" s="1063"/>
      <c r="AB668" s="1063"/>
      <c r="AC668" s="1063"/>
      <c r="AD668" s="1063"/>
      <c r="AE668" s="1063"/>
      <c r="AF668" s="1063"/>
      <c r="AG668" s="1063"/>
      <c r="AH668" s="1063"/>
      <c r="AI668" s="1063"/>
      <c r="AJ668" s="1063"/>
      <c r="AK668" s="1063"/>
      <c r="AL668" s="1063"/>
      <c r="AM668" s="1063"/>
      <c r="AN668" s="1063"/>
      <c r="AO668" s="1063"/>
      <c r="AP668" s="1063"/>
      <c r="AQ668" s="1063"/>
      <c r="AR668" s="1063"/>
      <c r="AS668" s="1063"/>
      <c r="AT668" s="1063"/>
      <c r="AU668" s="1063"/>
      <c r="AV668" s="1063"/>
    </row>
    <row r="669" spans="1:48" s="1108" customFormat="1" ht="27.75" customHeight="1">
      <c r="A669" s="1076"/>
      <c r="B669" s="1074"/>
      <c r="D669" s="1063"/>
      <c r="F669" s="1076"/>
      <c r="G669" s="1063"/>
      <c r="H669" s="1063"/>
      <c r="I669" s="1063"/>
      <c r="J669" s="1063"/>
      <c r="K669" s="1063"/>
      <c r="L669" s="1063"/>
      <c r="M669" s="1063"/>
      <c r="N669" s="1063"/>
      <c r="O669" s="1063"/>
      <c r="P669" s="1063"/>
      <c r="Q669" s="1063"/>
      <c r="R669" s="1063"/>
      <c r="S669" s="1063"/>
      <c r="T669" s="1063"/>
      <c r="U669" s="1063"/>
      <c r="V669" s="1063"/>
      <c r="W669" s="1063"/>
      <c r="X669" s="1063"/>
      <c r="Y669" s="1063"/>
      <c r="Z669" s="1063"/>
      <c r="AA669" s="1063"/>
      <c r="AB669" s="1063"/>
      <c r="AC669" s="1063"/>
      <c r="AD669" s="1063"/>
      <c r="AE669" s="1063"/>
      <c r="AF669" s="1063"/>
      <c r="AG669" s="1063"/>
      <c r="AH669" s="1063"/>
      <c r="AI669" s="1063"/>
      <c r="AJ669" s="1063"/>
      <c r="AK669" s="1063"/>
      <c r="AL669" s="1063"/>
      <c r="AM669" s="1063"/>
      <c r="AN669" s="1063"/>
      <c r="AO669" s="1063"/>
      <c r="AP669" s="1063"/>
      <c r="AQ669" s="1063"/>
      <c r="AR669" s="1063"/>
      <c r="AS669" s="1063"/>
      <c r="AT669" s="1063"/>
      <c r="AU669" s="1063"/>
      <c r="AV669" s="1063"/>
    </row>
    <row r="670" spans="1:48" s="1108" customFormat="1" ht="27.75" customHeight="1">
      <c r="A670" s="1076"/>
      <c r="B670" s="1074"/>
      <c r="D670" s="1063"/>
      <c r="F670" s="1076"/>
      <c r="G670" s="1063"/>
      <c r="H670" s="1063"/>
      <c r="I670" s="1063"/>
      <c r="J670" s="1063"/>
      <c r="K670" s="1063"/>
      <c r="L670" s="1063"/>
      <c r="M670" s="1063"/>
      <c r="N670" s="1063"/>
      <c r="O670" s="1063"/>
      <c r="P670" s="1063"/>
      <c r="Q670" s="1063"/>
      <c r="R670" s="1063"/>
      <c r="S670" s="1063"/>
      <c r="T670" s="1063"/>
      <c r="U670" s="1063"/>
      <c r="V670" s="1063"/>
      <c r="W670" s="1063"/>
      <c r="X670" s="1063"/>
      <c r="Y670" s="1063"/>
      <c r="Z670" s="1063"/>
      <c r="AA670" s="1063"/>
      <c r="AB670" s="1063"/>
      <c r="AC670" s="1063"/>
      <c r="AD670" s="1063"/>
      <c r="AE670" s="1063"/>
      <c r="AF670" s="1063"/>
      <c r="AG670" s="1063"/>
      <c r="AH670" s="1063"/>
      <c r="AI670" s="1063"/>
      <c r="AJ670" s="1063"/>
      <c r="AK670" s="1063"/>
      <c r="AL670" s="1063"/>
      <c r="AM670" s="1063"/>
      <c r="AN670" s="1063"/>
      <c r="AO670" s="1063"/>
      <c r="AP670" s="1063"/>
      <c r="AQ670" s="1063"/>
      <c r="AR670" s="1063"/>
      <c r="AS670" s="1063"/>
      <c r="AT670" s="1063"/>
      <c r="AU670" s="1063"/>
      <c r="AV670" s="1063"/>
    </row>
    <row r="671" spans="1:48" s="1108" customFormat="1" ht="27.75" customHeight="1">
      <c r="A671" s="1076"/>
      <c r="B671" s="1074"/>
      <c r="D671" s="1063"/>
      <c r="F671" s="1076"/>
      <c r="G671" s="1063"/>
      <c r="H671" s="1063"/>
      <c r="I671" s="1063"/>
      <c r="J671" s="1063"/>
      <c r="K671" s="1063"/>
      <c r="L671" s="1063"/>
      <c r="M671" s="1063"/>
      <c r="N671" s="1063"/>
      <c r="O671" s="1063"/>
      <c r="P671" s="1063"/>
      <c r="Q671" s="1063"/>
      <c r="R671" s="1063"/>
      <c r="S671" s="1063"/>
      <c r="T671" s="1063"/>
      <c r="U671" s="1063"/>
      <c r="V671" s="1063"/>
      <c r="W671" s="1063"/>
      <c r="X671" s="1063"/>
      <c r="Y671" s="1063"/>
      <c r="Z671" s="1063"/>
      <c r="AA671" s="1063"/>
      <c r="AB671" s="1063"/>
      <c r="AC671" s="1063"/>
      <c r="AD671" s="1063"/>
      <c r="AE671" s="1063"/>
      <c r="AF671" s="1063"/>
      <c r="AG671" s="1063"/>
      <c r="AH671" s="1063"/>
      <c r="AI671" s="1063"/>
      <c r="AJ671" s="1063"/>
      <c r="AK671" s="1063"/>
      <c r="AL671" s="1063"/>
      <c r="AM671" s="1063"/>
      <c r="AN671" s="1063"/>
      <c r="AO671" s="1063"/>
      <c r="AP671" s="1063"/>
      <c r="AQ671" s="1063"/>
      <c r="AR671" s="1063"/>
      <c r="AS671" s="1063"/>
      <c r="AT671" s="1063"/>
      <c r="AU671" s="1063"/>
      <c r="AV671" s="1063"/>
    </row>
    <row r="672" spans="1:48" s="1108" customFormat="1" ht="27.75" customHeight="1">
      <c r="A672" s="1076"/>
      <c r="B672" s="1074"/>
      <c r="D672" s="1063"/>
      <c r="F672" s="1076"/>
      <c r="G672" s="1063"/>
      <c r="H672" s="1063"/>
      <c r="I672" s="1063"/>
      <c r="J672" s="1063"/>
      <c r="K672" s="1063"/>
      <c r="L672" s="1063"/>
      <c r="M672" s="1063"/>
      <c r="N672" s="1063"/>
      <c r="O672" s="1063"/>
      <c r="P672" s="1063"/>
      <c r="Q672" s="1063"/>
      <c r="R672" s="1063"/>
      <c r="S672" s="1063"/>
      <c r="T672" s="1063"/>
      <c r="U672" s="1063"/>
      <c r="V672" s="1063"/>
      <c r="W672" s="1063"/>
      <c r="X672" s="1063"/>
      <c r="Y672" s="1063"/>
      <c r="Z672" s="1063"/>
      <c r="AA672" s="1063"/>
      <c r="AB672" s="1063"/>
      <c r="AC672" s="1063"/>
      <c r="AD672" s="1063"/>
      <c r="AE672" s="1063"/>
      <c r="AF672" s="1063"/>
      <c r="AG672" s="1063"/>
      <c r="AH672" s="1063"/>
      <c r="AI672" s="1063"/>
      <c r="AJ672" s="1063"/>
      <c r="AK672" s="1063"/>
      <c r="AL672" s="1063"/>
      <c r="AM672" s="1063"/>
      <c r="AN672" s="1063"/>
      <c r="AO672" s="1063"/>
      <c r="AP672" s="1063"/>
      <c r="AQ672" s="1063"/>
      <c r="AR672" s="1063"/>
      <c r="AS672" s="1063"/>
      <c r="AT672" s="1063"/>
      <c r="AU672" s="1063"/>
      <c r="AV672" s="1063"/>
    </row>
    <row r="673" spans="1:48" s="1108" customFormat="1" ht="27.75" customHeight="1">
      <c r="A673" s="1076"/>
      <c r="B673" s="1074"/>
      <c r="D673" s="1063"/>
      <c r="F673" s="1076"/>
      <c r="G673" s="1063"/>
      <c r="H673" s="1063"/>
      <c r="I673" s="1063"/>
      <c r="J673" s="1063"/>
      <c r="K673" s="1063"/>
      <c r="L673" s="1063"/>
      <c r="M673" s="1063"/>
      <c r="N673" s="1063"/>
      <c r="O673" s="1063"/>
      <c r="P673" s="1063"/>
      <c r="Q673" s="1063"/>
      <c r="R673" s="1063"/>
      <c r="S673" s="1063"/>
      <c r="T673" s="1063"/>
      <c r="U673" s="1063"/>
      <c r="V673" s="1063"/>
      <c r="W673" s="1063"/>
      <c r="X673" s="1063"/>
      <c r="Y673" s="1063"/>
      <c r="Z673" s="1063"/>
      <c r="AA673" s="1063"/>
      <c r="AB673" s="1063"/>
      <c r="AC673" s="1063"/>
      <c r="AD673" s="1063"/>
      <c r="AE673" s="1063"/>
      <c r="AF673" s="1063"/>
      <c r="AG673" s="1063"/>
      <c r="AH673" s="1063"/>
      <c r="AI673" s="1063"/>
      <c r="AJ673" s="1063"/>
      <c r="AK673" s="1063"/>
      <c r="AL673" s="1063"/>
      <c r="AM673" s="1063"/>
      <c r="AN673" s="1063"/>
      <c r="AO673" s="1063"/>
      <c r="AP673" s="1063"/>
      <c r="AQ673" s="1063"/>
      <c r="AR673" s="1063"/>
      <c r="AS673" s="1063"/>
      <c r="AT673" s="1063"/>
      <c r="AU673" s="1063"/>
      <c r="AV673" s="1063"/>
    </row>
    <row r="674" spans="1:48" s="1108" customFormat="1" ht="27.75" customHeight="1">
      <c r="A674" s="1076"/>
      <c r="B674" s="1074"/>
      <c r="D674" s="1063"/>
      <c r="F674" s="1076"/>
      <c r="G674" s="1063"/>
      <c r="H674" s="1063"/>
      <c r="I674" s="1063"/>
      <c r="J674" s="1063"/>
      <c r="K674" s="1063"/>
      <c r="L674" s="1063"/>
      <c r="M674" s="1063"/>
      <c r="N674" s="1063"/>
      <c r="O674" s="1063"/>
      <c r="P674" s="1063"/>
      <c r="Q674" s="1063"/>
      <c r="R674" s="1063"/>
      <c r="S674" s="1063"/>
      <c r="T674" s="1063"/>
      <c r="U674" s="1063"/>
      <c r="V674" s="1063"/>
      <c r="W674" s="1063"/>
      <c r="X674" s="1063"/>
      <c r="Y674" s="1063"/>
      <c r="Z674" s="1063"/>
      <c r="AA674" s="1063"/>
      <c r="AB674" s="1063"/>
      <c r="AC674" s="1063"/>
      <c r="AD674" s="1063"/>
      <c r="AE674" s="1063"/>
      <c r="AF674" s="1063"/>
      <c r="AG674" s="1063"/>
      <c r="AH674" s="1063"/>
      <c r="AI674" s="1063"/>
      <c r="AJ674" s="1063"/>
      <c r="AK674" s="1063"/>
      <c r="AL674" s="1063"/>
      <c r="AM674" s="1063"/>
      <c r="AN674" s="1063"/>
      <c r="AO674" s="1063"/>
      <c r="AP674" s="1063"/>
      <c r="AQ674" s="1063"/>
      <c r="AR674" s="1063"/>
      <c r="AS674" s="1063"/>
      <c r="AT674" s="1063"/>
      <c r="AU674" s="1063"/>
      <c r="AV674" s="1063"/>
    </row>
    <row r="675" spans="1:48" s="1108" customFormat="1" ht="27.75" customHeight="1">
      <c r="A675" s="1076"/>
      <c r="B675" s="1074"/>
      <c r="D675" s="1063"/>
      <c r="F675" s="1076"/>
      <c r="G675" s="1063"/>
      <c r="H675" s="1063"/>
      <c r="I675" s="1063"/>
      <c r="J675" s="1063"/>
      <c r="K675" s="1063"/>
      <c r="L675" s="1063"/>
      <c r="M675" s="1063"/>
      <c r="N675" s="1063"/>
      <c r="O675" s="1063"/>
      <c r="P675" s="1063"/>
      <c r="Q675" s="1063"/>
      <c r="R675" s="1063"/>
      <c r="S675" s="1063"/>
      <c r="T675" s="1063"/>
      <c r="U675" s="1063"/>
      <c r="V675" s="1063"/>
      <c r="W675" s="1063"/>
      <c r="X675" s="1063"/>
      <c r="Y675" s="1063"/>
      <c r="Z675" s="1063"/>
      <c r="AA675" s="1063"/>
      <c r="AB675" s="1063"/>
      <c r="AC675" s="1063"/>
      <c r="AD675" s="1063"/>
      <c r="AE675" s="1063"/>
      <c r="AF675" s="1063"/>
      <c r="AG675" s="1063"/>
      <c r="AH675" s="1063"/>
      <c r="AI675" s="1063"/>
      <c r="AJ675" s="1063"/>
      <c r="AK675" s="1063"/>
      <c r="AL675" s="1063"/>
      <c r="AM675" s="1063"/>
      <c r="AN675" s="1063"/>
      <c r="AO675" s="1063"/>
      <c r="AP675" s="1063"/>
      <c r="AQ675" s="1063"/>
      <c r="AR675" s="1063"/>
      <c r="AS675" s="1063"/>
      <c r="AT675" s="1063"/>
      <c r="AU675" s="1063"/>
      <c r="AV675" s="1063"/>
    </row>
    <row r="676" spans="1:48" s="1108" customFormat="1" ht="27.75" customHeight="1">
      <c r="A676" s="1076"/>
      <c r="B676" s="1074"/>
      <c r="D676" s="1063"/>
      <c r="F676" s="1076"/>
      <c r="G676" s="1063"/>
      <c r="H676" s="1063"/>
      <c r="I676" s="1063"/>
      <c r="J676" s="1063"/>
      <c r="K676" s="1063"/>
      <c r="L676" s="1063"/>
      <c r="M676" s="1063"/>
      <c r="N676" s="1063"/>
      <c r="O676" s="1063"/>
      <c r="P676" s="1063"/>
      <c r="Q676" s="1063"/>
      <c r="R676" s="1063"/>
      <c r="S676" s="1063"/>
      <c r="T676" s="1063"/>
      <c r="U676" s="1063"/>
      <c r="V676" s="1063"/>
      <c r="W676" s="1063"/>
      <c r="X676" s="1063"/>
      <c r="Y676" s="1063"/>
      <c r="Z676" s="1063"/>
      <c r="AA676" s="1063"/>
      <c r="AB676" s="1063"/>
      <c r="AC676" s="1063"/>
      <c r="AD676" s="1063"/>
      <c r="AE676" s="1063"/>
      <c r="AF676" s="1063"/>
      <c r="AG676" s="1063"/>
      <c r="AH676" s="1063"/>
      <c r="AI676" s="1063"/>
      <c r="AJ676" s="1063"/>
      <c r="AK676" s="1063"/>
      <c r="AL676" s="1063"/>
      <c r="AM676" s="1063"/>
      <c r="AN676" s="1063"/>
      <c r="AO676" s="1063"/>
      <c r="AP676" s="1063"/>
      <c r="AQ676" s="1063"/>
      <c r="AR676" s="1063"/>
      <c r="AS676" s="1063"/>
      <c r="AT676" s="1063"/>
      <c r="AU676" s="1063"/>
      <c r="AV676" s="1063"/>
    </row>
    <row r="677" spans="1:48" s="1108" customFormat="1" ht="27.75" customHeight="1">
      <c r="A677" s="1076"/>
      <c r="B677" s="1074"/>
      <c r="D677" s="1063"/>
      <c r="F677" s="1076"/>
      <c r="G677" s="1063"/>
      <c r="H677" s="1063"/>
      <c r="I677" s="1063"/>
      <c r="J677" s="1063"/>
      <c r="K677" s="1063"/>
      <c r="L677" s="1063"/>
      <c r="M677" s="1063"/>
      <c r="N677" s="1063"/>
      <c r="O677" s="1063"/>
      <c r="P677" s="1063"/>
      <c r="Q677" s="1063"/>
      <c r="R677" s="1063"/>
      <c r="S677" s="1063"/>
      <c r="T677" s="1063"/>
      <c r="U677" s="1063"/>
      <c r="V677" s="1063"/>
      <c r="W677" s="1063"/>
      <c r="X677" s="1063"/>
      <c r="Y677" s="1063"/>
      <c r="Z677" s="1063"/>
      <c r="AA677" s="1063"/>
      <c r="AB677" s="1063"/>
      <c r="AC677" s="1063"/>
      <c r="AD677" s="1063"/>
      <c r="AE677" s="1063"/>
      <c r="AF677" s="1063"/>
      <c r="AG677" s="1063"/>
      <c r="AH677" s="1063"/>
      <c r="AI677" s="1063"/>
      <c r="AJ677" s="1063"/>
      <c r="AK677" s="1063"/>
      <c r="AL677" s="1063"/>
      <c r="AM677" s="1063"/>
      <c r="AN677" s="1063"/>
      <c r="AO677" s="1063"/>
      <c r="AP677" s="1063"/>
      <c r="AQ677" s="1063"/>
      <c r="AR677" s="1063"/>
      <c r="AS677" s="1063"/>
      <c r="AT677" s="1063"/>
      <c r="AU677" s="1063"/>
      <c r="AV677" s="1063"/>
    </row>
    <row r="678" spans="1:48" s="1108" customFormat="1" ht="27.75" customHeight="1">
      <c r="A678" s="1076"/>
      <c r="B678" s="1074"/>
      <c r="D678" s="1063"/>
      <c r="F678" s="1076"/>
      <c r="G678" s="1063"/>
      <c r="H678" s="1063"/>
      <c r="I678" s="1063"/>
      <c r="J678" s="1063"/>
      <c r="K678" s="1063"/>
      <c r="L678" s="1063"/>
      <c r="M678" s="1063"/>
      <c r="N678" s="1063"/>
      <c r="O678" s="1063"/>
      <c r="P678" s="1063"/>
      <c r="Q678" s="1063"/>
      <c r="R678" s="1063"/>
      <c r="S678" s="1063"/>
      <c r="T678" s="1063"/>
      <c r="U678" s="1063"/>
      <c r="V678" s="1063"/>
      <c r="W678" s="1063"/>
      <c r="X678" s="1063"/>
      <c r="Y678" s="1063"/>
      <c r="Z678" s="1063"/>
      <c r="AA678" s="1063"/>
      <c r="AB678" s="1063"/>
      <c r="AC678" s="1063"/>
      <c r="AD678" s="1063"/>
      <c r="AE678" s="1063"/>
      <c r="AF678" s="1063"/>
      <c r="AG678" s="1063"/>
      <c r="AH678" s="1063"/>
      <c r="AI678" s="1063"/>
      <c r="AJ678" s="1063"/>
      <c r="AK678" s="1063"/>
      <c r="AL678" s="1063"/>
      <c r="AM678" s="1063"/>
      <c r="AN678" s="1063"/>
      <c r="AO678" s="1063"/>
      <c r="AP678" s="1063"/>
      <c r="AQ678" s="1063"/>
      <c r="AR678" s="1063"/>
      <c r="AS678" s="1063"/>
      <c r="AT678" s="1063"/>
      <c r="AU678" s="1063"/>
      <c r="AV678" s="1063"/>
    </row>
    <row r="679" spans="1:48" s="1108" customFormat="1" ht="27.75" customHeight="1">
      <c r="A679" s="1076"/>
      <c r="B679" s="1074"/>
      <c r="D679" s="1063"/>
      <c r="F679" s="1076"/>
      <c r="G679" s="1063"/>
      <c r="H679" s="1063"/>
      <c r="I679" s="1063"/>
      <c r="J679" s="1063"/>
      <c r="K679" s="1063"/>
      <c r="L679" s="1063"/>
      <c r="M679" s="1063"/>
      <c r="N679" s="1063"/>
      <c r="O679" s="1063"/>
      <c r="P679" s="1063"/>
      <c r="Q679" s="1063"/>
      <c r="R679" s="1063"/>
      <c r="S679" s="1063"/>
      <c r="T679" s="1063"/>
      <c r="U679" s="1063"/>
      <c r="V679" s="1063"/>
      <c r="W679" s="1063"/>
      <c r="X679" s="1063"/>
      <c r="Y679" s="1063"/>
      <c r="Z679" s="1063"/>
      <c r="AA679" s="1063"/>
      <c r="AB679" s="1063"/>
      <c r="AC679" s="1063"/>
      <c r="AD679" s="1063"/>
      <c r="AE679" s="1063"/>
      <c r="AF679" s="1063"/>
      <c r="AG679" s="1063"/>
      <c r="AH679" s="1063"/>
      <c r="AI679" s="1063"/>
      <c r="AJ679" s="1063"/>
      <c r="AK679" s="1063"/>
      <c r="AL679" s="1063"/>
      <c r="AM679" s="1063"/>
      <c r="AN679" s="1063"/>
      <c r="AO679" s="1063"/>
      <c r="AP679" s="1063"/>
      <c r="AQ679" s="1063"/>
      <c r="AR679" s="1063"/>
      <c r="AS679" s="1063"/>
      <c r="AT679" s="1063"/>
      <c r="AU679" s="1063"/>
      <c r="AV679" s="1063"/>
    </row>
    <row r="680" spans="1:48" s="1108" customFormat="1" ht="27.75" customHeight="1">
      <c r="A680" s="1076"/>
      <c r="B680" s="1074"/>
      <c r="D680" s="1063"/>
      <c r="F680" s="1076"/>
      <c r="G680" s="1063"/>
      <c r="H680" s="1063"/>
      <c r="I680" s="1063"/>
      <c r="J680" s="1063"/>
      <c r="K680" s="1063"/>
      <c r="L680" s="1063"/>
      <c r="M680" s="1063"/>
      <c r="N680" s="1063"/>
      <c r="O680" s="1063"/>
      <c r="P680" s="1063"/>
      <c r="Q680" s="1063"/>
      <c r="R680" s="1063"/>
      <c r="S680" s="1063"/>
      <c r="T680" s="1063"/>
      <c r="U680" s="1063"/>
      <c r="V680" s="1063"/>
      <c r="W680" s="1063"/>
      <c r="X680" s="1063"/>
      <c r="Y680" s="1063"/>
      <c r="Z680" s="1063"/>
      <c r="AA680" s="1063"/>
      <c r="AB680" s="1063"/>
      <c r="AC680" s="1063"/>
      <c r="AD680" s="1063"/>
      <c r="AE680" s="1063"/>
      <c r="AF680" s="1063"/>
      <c r="AG680" s="1063"/>
      <c r="AH680" s="1063"/>
      <c r="AI680" s="1063"/>
      <c r="AJ680" s="1063"/>
      <c r="AK680" s="1063"/>
      <c r="AL680" s="1063"/>
      <c r="AM680" s="1063"/>
      <c r="AN680" s="1063"/>
      <c r="AO680" s="1063"/>
      <c r="AP680" s="1063"/>
      <c r="AQ680" s="1063"/>
      <c r="AR680" s="1063"/>
      <c r="AS680" s="1063"/>
      <c r="AT680" s="1063"/>
      <c r="AU680" s="1063"/>
      <c r="AV680" s="1063"/>
    </row>
    <row r="681" spans="1:48" s="1108" customFormat="1" ht="27.75" customHeight="1">
      <c r="A681" s="1076"/>
      <c r="B681" s="1074"/>
      <c r="D681" s="1063"/>
      <c r="F681" s="1076"/>
      <c r="G681" s="1063"/>
      <c r="H681" s="1063"/>
      <c r="I681" s="1063"/>
      <c r="J681" s="1063"/>
      <c r="K681" s="1063"/>
      <c r="L681" s="1063"/>
      <c r="M681" s="1063"/>
      <c r="N681" s="1063"/>
      <c r="O681" s="1063"/>
      <c r="P681" s="1063"/>
      <c r="Q681" s="1063"/>
      <c r="R681" s="1063"/>
      <c r="S681" s="1063"/>
      <c r="T681" s="1063"/>
      <c r="U681" s="1063"/>
      <c r="V681" s="1063"/>
      <c r="W681" s="1063"/>
      <c r="X681" s="1063"/>
      <c r="Y681" s="1063"/>
      <c r="Z681" s="1063"/>
      <c r="AA681" s="1063"/>
      <c r="AB681" s="1063"/>
      <c r="AC681" s="1063"/>
      <c r="AD681" s="1063"/>
      <c r="AE681" s="1063"/>
      <c r="AF681" s="1063"/>
      <c r="AG681" s="1063"/>
      <c r="AH681" s="1063"/>
      <c r="AI681" s="1063"/>
      <c r="AJ681" s="1063"/>
      <c r="AK681" s="1063"/>
      <c r="AL681" s="1063"/>
      <c r="AM681" s="1063"/>
      <c r="AN681" s="1063"/>
      <c r="AO681" s="1063"/>
      <c r="AP681" s="1063"/>
      <c r="AQ681" s="1063"/>
      <c r="AR681" s="1063"/>
      <c r="AS681" s="1063"/>
      <c r="AT681" s="1063"/>
      <c r="AU681" s="1063"/>
      <c r="AV681" s="1063"/>
    </row>
    <row r="682" spans="1:48" s="1108" customFormat="1" ht="27.75" customHeight="1">
      <c r="A682" s="1076"/>
      <c r="B682" s="1074"/>
      <c r="D682" s="1063"/>
      <c r="F682" s="1076"/>
      <c r="G682" s="1063"/>
      <c r="H682" s="1063"/>
      <c r="I682" s="1063"/>
      <c r="J682" s="1063"/>
      <c r="K682" s="1063"/>
      <c r="L682" s="1063"/>
      <c r="M682" s="1063"/>
      <c r="N682" s="1063"/>
      <c r="O682" s="1063"/>
      <c r="P682" s="1063"/>
      <c r="Q682" s="1063"/>
      <c r="R682" s="1063"/>
      <c r="S682" s="1063"/>
      <c r="T682" s="1063"/>
      <c r="U682" s="1063"/>
      <c r="V682" s="1063"/>
      <c r="W682" s="1063"/>
      <c r="X682" s="1063"/>
      <c r="Y682" s="1063"/>
      <c r="Z682" s="1063"/>
      <c r="AA682" s="1063"/>
      <c r="AB682" s="1063"/>
      <c r="AC682" s="1063"/>
      <c r="AD682" s="1063"/>
      <c r="AE682" s="1063"/>
      <c r="AF682" s="1063"/>
      <c r="AG682" s="1063"/>
      <c r="AH682" s="1063"/>
      <c r="AI682" s="1063"/>
      <c r="AJ682" s="1063"/>
      <c r="AK682" s="1063"/>
      <c r="AL682" s="1063"/>
      <c r="AM682" s="1063"/>
      <c r="AN682" s="1063"/>
      <c r="AO682" s="1063"/>
      <c r="AP682" s="1063"/>
      <c r="AQ682" s="1063"/>
      <c r="AR682" s="1063"/>
      <c r="AS682" s="1063"/>
      <c r="AT682" s="1063"/>
      <c r="AU682" s="1063"/>
      <c r="AV682" s="1063"/>
    </row>
    <row r="683" spans="1:48" s="1108" customFormat="1" ht="27.75" customHeight="1">
      <c r="A683" s="1076"/>
      <c r="B683" s="1074"/>
      <c r="D683" s="1063"/>
      <c r="F683" s="1076"/>
      <c r="G683" s="1063"/>
      <c r="H683" s="1063"/>
      <c r="I683" s="1063"/>
      <c r="J683" s="1063"/>
      <c r="K683" s="1063"/>
      <c r="L683" s="1063"/>
      <c r="M683" s="1063"/>
      <c r="N683" s="1063"/>
      <c r="O683" s="1063"/>
      <c r="P683" s="1063"/>
      <c r="Q683" s="1063"/>
      <c r="R683" s="1063"/>
      <c r="S683" s="1063"/>
      <c r="T683" s="1063"/>
      <c r="U683" s="1063"/>
      <c r="V683" s="1063"/>
      <c r="W683" s="1063"/>
      <c r="X683" s="1063"/>
      <c r="Y683" s="1063"/>
      <c r="Z683" s="1063"/>
      <c r="AA683" s="1063"/>
      <c r="AB683" s="1063"/>
      <c r="AC683" s="1063"/>
      <c r="AD683" s="1063"/>
      <c r="AE683" s="1063"/>
      <c r="AF683" s="1063"/>
      <c r="AG683" s="1063"/>
      <c r="AH683" s="1063"/>
      <c r="AI683" s="1063"/>
      <c r="AJ683" s="1063"/>
      <c r="AK683" s="1063"/>
      <c r="AL683" s="1063"/>
      <c r="AM683" s="1063"/>
      <c r="AN683" s="1063"/>
      <c r="AO683" s="1063"/>
      <c r="AP683" s="1063"/>
      <c r="AQ683" s="1063"/>
      <c r="AR683" s="1063"/>
      <c r="AS683" s="1063"/>
      <c r="AT683" s="1063"/>
      <c r="AU683" s="1063"/>
      <c r="AV683" s="1063"/>
    </row>
    <row r="684" spans="1:48" s="1108" customFormat="1" ht="27.75" customHeight="1">
      <c r="A684" s="1076"/>
      <c r="B684" s="1074"/>
      <c r="D684" s="1063"/>
      <c r="F684" s="1076"/>
      <c r="G684" s="1063"/>
      <c r="H684" s="1063"/>
      <c r="I684" s="1063"/>
      <c r="J684" s="1063"/>
      <c r="K684" s="1063"/>
      <c r="L684" s="1063"/>
      <c r="M684" s="1063"/>
      <c r="N684" s="1063"/>
      <c r="O684" s="1063"/>
      <c r="P684" s="1063"/>
      <c r="Q684" s="1063"/>
      <c r="R684" s="1063"/>
      <c r="S684" s="1063"/>
      <c r="T684" s="1063"/>
      <c r="U684" s="1063"/>
      <c r="V684" s="1063"/>
      <c r="W684" s="1063"/>
      <c r="X684" s="1063"/>
      <c r="Y684" s="1063"/>
      <c r="Z684" s="1063"/>
      <c r="AA684" s="1063"/>
      <c r="AB684" s="1063"/>
      <c r="AC684" s="1063"/>
      <c r="AD684" s="1063"/>
      <c r="AE684" s="1063"/>
      <c r="AF684" s="1063"/>
      <c r="AG684" s="1063"/>
      <c r="AH684" s="1063"/>
      <c r="AI684" s="1063"/>
      <c r="AJ684" s="1063"/>
      <c r="AK684" s="1063"/>
      <c r="AL684" s="1063"/>
      <c r="AM684" s="1063"/>
      <c r="AN684" s="1063"/>
      <c r="AO684" s="1063"/>
      <c r="AP684" s="1063"/>
      <c r="AQ684" s="1063"/>
      <c r="AR684" s="1063"/>
      <c r="AS684" s="1063"/>
      <c r="AT684" s="1063"/>
      <c r="AU684" s="1063"/>
      <c r="AV684" s="1063"/>
    </row>
    <row r="685" spans="1:48" s="1108" customFormat="1" ht="27.75" customHeight="1">
      <c r="A685" s="1076"/>
      <c r="B685" s="1074"/>
      <c r="D685" s="1063"/>
      <c r="F685" s="1076"/>
      <c r="G685" s="1063"/>
      <c r="H685" s="1063"/>
      <c r="I685" s="1063"/>
      <c r="J685" s="1063"/>
      <c r="K685" s="1063"/>
      <c r="L685" s="1063"/>
      <c r="M685" s="1063"/>
      <c r="N685" s="1063"/>
      <c r="O685" s="1063"/>
      <c r="P685" s="1063"/>
      <c r="Q685" s="1063"/>
      <c r="R685" s="1063"/>
      <c r="S685" s="1063"/>
      <c r="T685" s="1063"/>
      <c r="U685" s="1063"/>
      <c r="V685" s="1063"/>
      <c r="W685" s="1063"/>
      <c r="X685" s="1063"/>
      <c r="Y685" s="1063"/>
      <c r="Z685" s="1063"/>
      <c r="AA685" s="1063"/>
      <c r="AB685" s="1063"/>
      <c r="AC685" s="1063"/>
      <c r="AD685" s="1063"/>
      <c r="AE685" s="1063"/>
      <c r="AF685" s="1063"/>
      <c r="AG685" s="1063"/>
      <c r="AH685" s="1063"/>
      <c r="AI685" s="1063"/>
      <c r="AJ685" s="1063"/>
      <c r="AK685" s="1063"/>
      <c r="AL685" s="1063"/>
      <c r="AM685" s="1063"/>
      <c r="AN685" s="1063"/>
      <c r="AO685" s="1063"/>
      <c r="AP685" s="1063"/>
      <c r="AQ685" s="1063"/>
      <c r="AR685" s="1063"/>
      <c r="AS685" s="1063"/>
      <c r="AT685" s="1063"/>
      <c r="AU685" s="1063"/>
      <c r="AV685" s="1063"/>
    </row>
    <row r="686" spans="1:48" s="1108" customFormat="1" ht="27.75" customHeight="1">
      <c r="A686" s="1076"/>
      <c r="B686" s="1074"/>
      <c r="D686" s="1063"/>
      <c r="F686" s="1076"/>
      <c r="G686" s="1063"/>
      <c r="H686" s="1063"/>
      <c r="I686" s="1063"/>
      <c r="J686" s="1063"/>
      <c r="K686" s="1063"/>
      <c r="L686" s="1063"/>
      <c r="M686" s="1063"/>
      <c r="N686" s="1063"/>
      <c r="O686" s="1063"/>
      <c r="P686" s="1063"/>
      <c r="Q686" s="1063"/>
      <c r="R686" s="1063"/>
      <c r="S686" s="1063"/>
      <c r="T686" s="1063"/>
      <c r="U686" s="1063"/>
      <c r="V686" s="1063"/>
      <c r="W686" s="1063"/>
      <c r="X686" s="1063"/>
      <c r="Y686" s="1063"/>
      <c r="Z686" s="1063"/>
      <c r="AA686" s="1063"/>
      <c r="AB686" s="1063"/>
      <c r="AC686" s="1063"/>
      <c r="AD686" s="1063"/>
      <c r="AE686" s="1063"/>
      <c r="AF686" s="1063"/>
      <c r="AG686" s="1063"/>
      <c r="AH686" s="1063"/>
      <c r="AI686" s="1063"/>
      <c r="AJ686" s="1063"/>
      <c r="AK686" s="1063"/>
      <c r="AL686" s="1063"/>
      <c r="AM686" s="1063"/>
      <c r="AN686" s="1063"/>
      <c r="AO686" s="1063"/>
      <c r="AP686" s="1063"/>
      <c r="AQ686" s="1063"/>
      <c r="AR686" s="1063"/>
      <c r="AS686" s="1063"/>
      <c r="AT686" s="1063"/>
      <c r="AU686" s="1063"/>
      <c r="AV686" s="1063"/>
    </row>
    <row r="687" spans="1:48" s="1108" customFormat="1" ht="27.75" customHeight="1">
      <c r="A687" s="1076"/>
      <c r="B687" s="1074"/>
      <c r="D687" s="1063"/>
      <c r="F687" s="1076"/>
      <c r="G687" s="1063"/>
      <c r="H687" s="1063"/>
      <c r="I687" s="1063"/>
      <c r="J687" s="1063"/>
      <c r="K687" s="1063"/>
      <c r="L687" s="1063"/>
      <c r="M687" s="1063"/>
      <c r="N687" s="1063"/>
      <c r="O687" s="1063"/>
      <c r="P687" s="1063"/>
      <c r="Q687" s="1063"/>
      <c r="R687" s="1063"/>
      <c r="S687" s="1063"/>
      <c r="T687" s="1063"/>
      <c r="U687" s="1063"/>
      <c r="V687" s="1063"/>
      <c r="W687" s="1063"/>
      <c r="X687" s="1063"/>
      <c r="Y687" s="1063"/>
      <c r="Z687" s="1063"/>
      <c r="AA687" s="1063"/>
      <c r="AB687" s="1063"/>
      <c r="AC687" s="1063"/>
      <c r="AD687" s="1063"/>
      <c r="AE687" s="1063"/>
      <c r="AF687" s="1063"/>
      <c r="AG687" s="1063"/>
      <c r="AH687" s="1063"/>
      <c r="AI687" s="1063"/>
      <c r="AJ687" s="1063"/>
      <c r="AK687" s="1063"/>
      <c r="AL687" s="1063"/>
      <c r="AM687" s="1063"/>
      <c r="AN687" s="1063"/>
      <c r="AO687" s="1063"/>
      <c r="AP687" s="1063"/>
      <c r="AQ687" s="1063"/>
      <c r="AR687" s="1063"/>
      <c r="AS687" s="1063"/>
      <c r="AT687" s="1063"/>
      <c r="AU687" s="1063"/>
      <c r="AV687" s="1063"/>
    </row>
    <row r="688" spans="1:48" s="1108" customFormat="1" ht="27.75" customHeight="1">
      <c r="A688" s="1076"/>
      <c r="B688" s="1074"/>
      <c r="D688" s="1063"/>
      <c r="F688" s="1076"/>
      <c r="G688" s="1063"/>
      <c r="H688" s="1063"/>
      <c r="I688" s="1063"/>
      <c r="J688" s="1063"/>
      <c r="K688" s="1063"/>
      <c r="L688" s="1063"/>
      <c r="M688" s="1063"/>
      <c r="N688" s="1063"/>
      <c r="O688" s="1063"/>
      <c r="P688" s="1063"/>
      <c r="Q688" s="1063"/>
      <c r="R688" s="1063"/>
      <c r="S688" s="1063"/>
      <c r="T688" s="1063"/>
      <c r="U688" s="1063"/>
      <c r="V688" s="1063"/>
      <c r="W688" s="1063"/>
      <c r="X688" s="1063"/>
      <c r="Y688" s="1063"/>
      <c r="Z688" s="1063"/>
      <c r="AA688" s="1063"/>
      <c r="AB688" s="1063"/>
      <c r="AC688" s="1063"/>
      <c r="AD688" s="1063"/>
      <c r="AE688" s="1063"/>
      <c r="AF688" s="1063"/>
      <c r="AG688" s="1063"/>
      <c r="AH688" s="1063"/>
      <c r="AI688" s="1063"/>
      <c r="AJ688" s="1063"/>
      <c r="AK688" s="1063"/>
      <c r="AL688" s="1063"/>
      <c r="AM688" s="1063"/>
      <c r="AN688" s="1063"/>
      <c r="AO688" s="1063"/>
      <c r="AP688" s="1063"/>
      <c r="AQ688" s="1063"/>
      <c r="AR688" s="1063"/>
      <c r="AS688" s="1063"/>
      <c r="AT688" s="1063"/>
      <c r="AU688" s="1063"/>
      <c r="AV688" s="1063"/>
    </row>
    <row r="689" spans="1:48" s="1108" customFormat="1" ht="27.75" customHeight="1">
      <c r="A689" s="1076"/>
      <c r="B689" s="1074"/>
      <c r="D689" s="1063"/>
      <c r="F689" s="1076"/>
      <c r="G689" s="1063"/>
      <c r="H689" s="1063"/>
      <c r="I689" s="1063"/>
      <c r="J689" s="1063"/>
      <c r="K689" s="1063"/>
      <c r="L689" s="1063"/>
      <c r="M689" s="1063"/>
      <c r="N689" s="1063"/>
      <c r="O689" s="1063"/>
      <c r="P689" s="1063"/>
      <c r="Q689" s="1063"/>
      <c r="R689" s="1063"/>
      <c r="S689" s="1063"/>
      <c r="T689" s="1063"/>
      <c r="U689" s="1063"/>
      <c r="V689" s="1063"/>
      <c r="W689" s="1063"/>
      <c r="X689" s="1063"/>
      <c r="Y689" s="1063"/>
      <c r="Z689" s="1063"/>
      <c r="AA689" s="1063"/>
      <c r="AB689" s="1063"/>
      <c r="AC689" s="1063"/>
      <c r="AD689" s="1063"/>
      <c r="AE689" s="1063"/>
      <c r="AF689" s="1063"/>
      <c r="AG689" s="1063"/>
      <c r="AH689" s="1063"/>
      <c r="AI689" s="1063"/>
      <c r="AJ689" s="1063"/>
      <c r="AK689" s="1063"/>
      <c r="AL689" s="1063"/>
      <c r="AM689" s="1063"/>
      <c r="AN689" s="1063"/>
      <c r="AO689" s="1063"/>
      <c r="AP689" s="1063"/>
      <c r="AQ689" s="1063"/>
      <c r="AR689" s="1063"/>
      <c r="AS689" s="1063"/>
      <c r="AT689" s="1063"/>
      <c r="AU689" s="1063"/>
      <c r="AV689" s="1063"/>
    </row>
    <row r="690" spans="1:48" s="1108" customFormat="1" ht="27.75" customHeight="1">
      <c r="A690" s="1076"/>
      <c r="B690" s="1074"/>
      <c r="D690" s="1063"/>
      <c r="F690" s="1076"/>
      <c r="G690" s="1063"/>
      <c r="H690" s="1063"/>
      <c r="I690" s="1063"/>
      <c r="J690" s="1063"/>
      <c r="K690" s="1063"/>
      <c r="L690" s="1063"/>
      <c r="M690" s="1063"/>
      <c r="N690" s="1063"/>
      <c r="O690" s="1063"/>
      <c r="P690" s="1063"/>
      <c r="Q690" s="1063"/>
      <c r="R690" s="1063"/>
      <c r="S690" s="1063"/>
      <c r="T690" s="1063"/>
      <c r="U690" s="1063"/>
      <c r="V690" s="1063"/>
      <c r="W690" s="1063"/>
      <c r="X690" s="1063"/>
      <c r="Y690" s="1063"/>
      <c r="Z690" s="1063"/>
      <c r="AA690" s="1063"/>
      <c r="AB690" s="1063"/>
      <c r="AC690" s="1063"/>
      <c r="AD690" s="1063"/>
      <c r="AE690" s="1063"/>
      <c r="AF690" s="1063"/>
      <c r="AG690" s="1063"/>
      <c r="AH690" s="1063"/>
      <c r="AI690" s="1063"/>
      <c r="AJ690" s="1063"/>
      <c r="AK690" s="1063"/>
      <c r="AL690" s="1063"/>
      <c r="AM690" s="1063"/>
      <c r="AN690" s="1063"/>
      <c r="AO690" s="1063"/>
      <c r="AP690" s="1063"/>
      <c r="AQ690" s="1063"/>
      <c r="AR690" s="1063"/>
      <c r="AS690" s="1063"/>
      <c r="AT690" s="1063"/>
      <c r="AU690" s="1063"/>
      <c r="AV690" s="1063"/>
    </row>
    <row r="691" spans="1:48" s="1108" customFormat="1" ht="27.75" customHeight="1">
      <c r="A691" s="1076"/>
      <c r="B691" s="1074"/>
      <c r="D691" s="1063"/>
      <c r="F691" s="1076"/>
      <c r="G691" s="1063"/>
      <c r="H691" s="1063"/>
      <c r="I691" s="1063"/>
      <c r="J691" s="1063"/>
      <c r="K691" s="1063"/>
      <c r="L691" s="1063"/>
      <c r="M691" s="1063"/>
      <c r="N691" s="1063"/>
      <c r="O691" s="1063"/>
      <c r="P691" s="1063"/>
      <c r="Q691" s="1063"/>
      <c r="R691" s="1063"/>
      <c r="S691" s="1063"/>
      <c r="T691" s="1063"/>
      <c r="U691" s="1063"/>
      <c r="V691" s="1063"/>
      <c r="W691" s="1063"/>
      <c r="X691" s="1063"/>
      <c r="Y691" s="1063"/>
      <c r="Z691" s="1063"/>
      <c r="AA691" s="1063"/>
      <c r="AB691" s="1063"/>
      <c r="AC691" s="1063"/>
      <c r="AD691" s="1063"/>
      <c r="AE691" s="1063"/>
      <c r="AF691" s="1063"/>
      <c r="AG691" s="1063"/>
      <c r="AH691" s="1063"/>
      <c r="AI691" s="1063"/>
      <c r="AJ691" s="1063"/>
      <c r="AK691" s="1063"/>
      <c r="AL691" s="1063"/>
      <c r="AM691" s="1063"/>
      <c r="AN691" s="1063"/>
      <c r="AO691" s="1063"/>
      <c r="AP691" s="1063"/>
      <c r="AQ691" s="1063"/>
      <c r="AR691" s="1063"/>
      <c r="AS691" s="1063"/>
      <c r="AT691" s="1063"/>
      <c r="AU691" s="1063"/>
      <c r="AV691" s="1063"/>
    </row>
    <row r="692" spans="1:48" s="1108" customFormat="1" ht="27.75" customHeight="1">
      <c r="A692" s="1076"/>
      <c r="B692" s="1074"/>
      <c r="D692" s="1063"/>
      <c r="F692" s="1076"/>
      <c r="G692" s="1063"/>
      <c r="H692" s="1063"/>
      <c r="I692" s="1063"/>
      <c r="J692" s="1063"/>
      <c r="K692" s="1063"/>
      <c r="L692" s="1063"/>
      <c r="M692" s="1063"/>
      <c r="N692" s="1063"/>
      <c r="O692" s="1063"/>
      <c r="P692" s="1063"/>
      <c r="Q692" s="1063"/>
      <c r="R692" s="1063"/>
      <c r="S692" s="1063"/>
      <c r="T692" s="1063"/>
      <c r="U692" s="1063"/>
      <c r="V692" s="1063"/>
      <c r="W692" s="1063"/>
      <c r="X692" s="1063"/>
      <c r="Y692" s="1063"/>
      <c r="Z692" s="1063"/>
      <c r="AA692" s="1063"/>
      <c r="AB692" s="1063"/>
      <c r="AC692" s="1063"/>
      <c r="AD692" s="1063"/>
      <c r="AE692" s="1063"/>
      <c r="AF692" s="1063"/>
      <c r="AG692" s="1063"/>
      <c r="AH692" s="1063"/>
      <c r="AI692" s="1063"/>
      <c r="AJ692" s="1063"/>
      <c r="AK692" s="1063"/>
      <c r="AL692" s="1063"/>
      <c r="AM692" s="1063"/>
      <c r="AN692" s="1063"/>
      <c r="AO692" s="1063"/>
      <c r="AP692" s="1063"/>
      <c r="AQ692" s="1063"/>
      <c r="AR692" s="1063"/>
      <c r="AS692" s="1063"/>
      <c r="AT692" s="1063"/>
      <c r="AU692" s="1063"/>
      <c r="AV692" s="1063"/>
    </row>
    <row r="693" spans="1:48" s="1108" customFormat="1" ht="27.75" customHeight="1">
      <c r="A693" s="1076"/>
      <c r="B693" s="1074"/>
      <c r="D693" s="1063"/>
      <c r="F693" s="1076"/>
      <c r="G693" s="1063"/>
      <c r="H693" s="1063"/>
      <c r="I693" s="1063"/>
      <c r="J693" s="1063"/>
      <c r="K693" s="1063"/>
      <c r="L693" s="1063"/>
      <c r="M693" s="1063"/>
      <c r="N693" s="1063"/>
      <c r="O693" s="1063"/>
      <c r="P693" s="1063"/>
      <c r="Q693" s="1063"/>
      <c r="R693" s="1063"/>
      <c r="S693" s="1063"/>
      <c r="T693" s="1063"/>
      <c r="U693" s="1063"/>
      <c r="V693" s="1063"/>
      <c r="W693" s="1063"/>
      <c r="X693" s="1063"/>
      <c r="Y693" s="1063"/>
      <c r="Z693" s="1063"/>
      <c r="AA693" s="1063"/>
      <c r="AB693" s="1063"/>
      <c r="AC693" s="1063"/>
      <c r="AD693" s="1063"/>
      <c r="AE693" s="1063"/>
      <c r="AF693" s="1063"/>
      <c r="AG693" s="1063"/>
      <c r="AH693" s="1063"/>
      <c r="AI693" s="1063"/>
      <c r="AJ693" s="1063"/>
      <c r="AK693" s="1063"/>
      <c r="AL693" s="1063"/>
      <c r="AM693" s="1063"/>
      <c r="AN693" s="1063"/>
      <c r="AO693" s="1063"/>
      <c r="AP693" s="1063"/>
      <c r="AQ693" s="1063"/>
      <c r="AR693" s="1063"/>
      <c r="AS693" s="1063"/>
      <c r="AT693" s="1063"/>
      <c r="AU693" s="1063"/>
      <c r="AV693" s="1063"/>
    </row>
    <row r="694" spans="1:48" s="1108" customFormat="1" ht="27.75" customHeight="1">
      <c r="A694" s="1076"/>
      <c r="B694" s="1074"/>
      <c r="D694" s="1063"/>
      <c r="F694" s="1076"/>
      <c r="G694" s="1063"/>
      <c r="H694" s="1063"/>
      <c r="I694" s="1063"/>
      <c r="J694" s="1063"/>
      <c r="K694" s="1063"/>
      <c r="L694" s="1063"/>
      <c r="M694" s="1063"/>
      <c r="N694" s="1063"/>
      <c r="O694" s="1063"/>
      <c r="P694" s="1063"/>
      <c r="Q694" s="1063"/>
      <c r="R694" s="1063"/>
      <c r="S694" s="1063"/>
      <c r="T694" s="1063"/>
      <c r="U694" s="1063"/>
      <c r="V694" s="1063"/>
      <c r="W694" s="1063"/>
      <c r="X694" s="1063"/>
      <c r="Y694" s="1063"/>
      <c r="Z694" s="1063"/>
      <c r="AA694" s="1063"/>
      <c r="AB694" s="1063"/>
      <c r="AC694" s="1063"/>
      <c r="AD694" s="1063"/>
      <c r="AE694" s="1063"/>
      <c r="AF694" s="1063"/>
      <c r="AG694" s="1063"/>
      <c r="AH694" s="1063"/>
      <c r="AI694" s="1063"/>
      <c r="AJ694" s="1063"/>
      <c r="AK694" s="1063"/>
      <c r="AL694" s="1063"/>
      <c r="AM694" s="1063"/>
      <c r="AN694" s="1063"/>
      <c r="AO694" s="1063"/>
      <c r="AP694" s="1063"/>
      <c r="AQ694" s="1063"/>
      <c r="AR694" s="1063"/>
      <c r="AS694" s="1063"/>
      <c r="AT694" s="1063"/>
      <c r="AU694" s="1063"/>
      <c r="AV694" s="1063"/>
    </row>
    <row r="695" spans="1:48" s="1108" customFormat="1" ht="27.75" customHeight="1">
      <c r="A695" s="1076"/>
      <c r="B695" s="1074"/>
      <c r="D695" s="1063"/>
      <c r="F695" s="1076"/>
      <c r="G695" s="1063"/>
      <c r="H695" s="1063"/>
      <c r="I695" s="1063"/>
      <c r="J695" s="1063"/>
      <c r="K695" s="1063"/>
      <c r="L695" s="1063"/>
      <c r="M695" s="1063"/>
      <c r="N695" s="1063"/>
      <c r="O695" s="1063"/>
      <c r="P695" s="1063"/>
      <c r="Q695" s="1063"/>
      <c r="R695" s="1063"/>
      <c r="S695" s="1063"/>
      <c r="T695" s="1063"/>
      <c r="U695" s="1063"/>
      <c r="V695" s="1063"/>
      <c r="W695" s="1063"/>
      <c r="X695" s="1063"/>
      <c r="Y695" s="1063"/>
      <c r="Z695" s="1063"/>
      <c r="AA695" s="1063"/>
      <c r="AB695" s="1063"/>
      <c r="AC695" s="1063"/>
      <c r="AD695" s="1063"/>
      <c r="AE695" s="1063"/>
      <c r="AF695" s="1063"/>
      <c r="AG695" s="1063"/>
      <c r="AH695" s="1063"/>
      <c r="AI695" s="1063"/>
      <c r="AJ695" s="1063"/>
      <c r="AK695" s="1063"/>
      <c r="AL695" s="1063"/>
      <c r="AM695" s="1063"/>
      <c r="AN695" s="1063"/>
      <c r="AO695" s="1063"/>
      <c r="AP695" s="1063"/>
      <c r="AQ695" s="1063"/>
      <c r="AR695" s="1063"/>
      <c r="AS695" s="1063"/>
      <c r="AT695" s="1063"/>
      <c r="AU695" s="1063"/>
      <c r="AV695" s="1063"/>
    </row>
    <row r="696" spans="1:48" s="1108" customFormat="1" ht="27.75" customHeight="1">
      <c r="A696" s="1076"/>
      <c r="B696" s="1074"/>
      <c r="D696" s="1063"/>
      <c r="F696" s="1076"/>
      <c r="G696" s="1063"/>
      <c r="H696" s="1063"/>
      <c r="I696" s="1063"/>
      <c r="J696" s="1063"/>
      <c r="K696" s="1063"/>
      <c r="L696" s="1063"/>
      <c r="M696" s="1063"/>
      <c r="N696" s="1063"/>
      <c r="O696" s="1063"/>
      <c r="P696" s="1063"/>
      <c r="Q696" s="1063"/>
      <c r="R696" s="1063"/>
      <c r="S696" s="1063"/>
      <c r="T696" s="1063"/>
      <c r="U696" s="1063"/>
      <c r="V696" s="1063"/>
      <c r="W696" s="1063"/>
      <c r="X696" s="1063"/>
      <c r="Y696" s="1063"/>
      <c r="Z696" s="1063"/>
      <c r="AA696" s="1063"/>
      <c r="AB696" s="1063"/>
      <c r="AC696" s="1063"/>
      <c r="AD696" s="1063"/>
      <c r="AE696" s="1063"/>
      <c r="AF696" s="1063"/>
      <c r="AG696" s="1063"/>
      <c r="AH696" s="1063"/>
      <c r="AI696" s="1063"/>
      <c r="AJ696" s="1063"/>
      <c r="AK696" s="1063"/>
      <c r="AL696" s="1063"/>
      <c r="AM696" s="1063"/>
      <c r="AN696" s="1063"/>
      <c r="AO696" s="1063"/>
      <c r="AP696" s="1063"/>
      <c r="AQ696" s="1063"/>
      <c r="AR696" s="1063"/>
      <c r="AS696" s="1063"/>
      <c r="AT696" s="1063"/>
      <c r="AU696" s="1063"/>
      <c r="AV696" s="1063"/>
    </row>
    <row r="697" spans="1:48" s="1108" customFormat="1" ht="27.75" customHeight="1">
      <c r="A697" s="1076"/>
      <c r="B697" s="1074"/>
      <c r="D697" s="1063"/>
      <c r="F697" s="1076"/>
      <c r="G697" s="1063"/>
      <c r="H697" s="1063"/>
      <c r="I697" s="1063"/>
      <c r="J697" s="1063"/>
      <c r="K697" s="1063"/>
      <c r="L697" s="1063"/>
      <c r="M697" s="1063"/>
      <c r="N697" s="1063"/>
      <c r="O697" s="1063"/>
      <c r="P697" s="1063"/>
      <c r="Q697" s="1063"/>
      <c r="R697" s="1063"/>
      <c r="S697" s="1063"/>
      <c r="T697" s="1063"/>
      <c r="U697" s="1063"/>
      <c r="V697" s="1063"/>
      <c r="W697" s="1063"/>
      <c r="X697" s="1063"/>
      <c r="Y697" s="1063"/>
      <c r="Z697" s="1063"/>
      <c r="AA697" s="1063"/>
      <c r="AB697" s="1063"/>
      <c r="AC697" s="1063"/>
      <c r="AD697" s="1063"/>
      <c r="AE697" s="1063"/>
      <c r="AF697" s="1063"/>
      <c r="AG697" s="1063"/>
      <c r="AH697" s="1063"/>
      <c r="AI697" s="1063"/>
      <c r="AJ697" s="1063"/>
      <c r="AK697" s="1063"/>
      <c r="AL697" s="1063"/>
      <c r="AM697" s="1063"/>
      <c r="AN697" s="1063"/>
      <c r="AO697" s="1063"/>
      <c r="AP697" s="1063"/>
      <c r="AQ697" s="1063"/>
      <c r="AR697" s="1063"/>
      <c r="AS697" s="1063"/>
      <c r="AT697" s="1063"/>
      <c r="AU697" s="1063"/>
      <c r="AV697" s="1063"/>
    </row>
    <row r="698" spans="1:48" s="1108" customFormat="1" ht="27.75" customHeight="1">
      <c r="A698" s="1076"/>
      <c r="B698" s="1074"/>
      <c r="D698" s="1063"/>
      <c r="F698" s="1076"/>
      <c r="G698" s="1063"/>
      <c r="H698" s="1063"/>
      <c r="I698" s="1063"/>
      <c r="J698" s="1063"/>
      <c r="K698" s="1063"/>
      <c r="L698" s="1063"/>
      <c r="M698" s="1063"/>
      <c r="N698" s="1063"/>
      <c r="O698" s="1063"/>
      <c r="P698" s="1063"/>
      <c r="Q698" s="1063"/>
      <c r="R698" s="1063"/>
      <c r="S698" s="1063"/>
      <c r="T698" s="1063"/>
      <c r="U698" s="1063"/>
      <c r="V698" s="1063"/>
      <c r="W698" s="1063"/>
      <c r="X698" s="1063"/>
      <c r="Y698" s="1063"/>
      <c r="Z698" s="1063"/>
      <c r="AA698" s="1063"/>
      <c r="AB698" s="1063"/>
      <c r="AC698" s="1063"/>
      <c r="AD698" s="1063"/>
      <c r="AE698" s="1063"/>
      <c r="AF698" s="1063"/>
      <c r="AG698" s="1063"/>
      <c r="AH698" s="1063"/>
      <c r="AI698" s="1063"/>
      <c r="AJ698" s="1063"/>
      <c r="AK698" s="1063"/>
      <c r="AL698" s="1063"/>
      <c r="AM698" s="1063"/>
      <c r="AN698" s="1063"/>
      <c r="AO698" s="1063"/>
      <c r="AP698" s="1063"/>
      <c r="AQ698" s="1063"/>
      <c r="AR698" s="1063"/>
      <c r="AS698" s="1063"/>
      <c r="AT698" s="1063"/>
      <c r="AU698" s="1063"/>
      <c r="AV698" s="1063"/>
    </row>
    <row r="699" spans="1:48" s="1108" customFormat="1" ht="27.75" customHeight="1">
      <c r="A699" s="1076"/>
      <c r="B699" s="1074"/>
      <c r="D699" s="1063"/>
      <c r="F699" s="1076"/>
      <c r="G699" s="1063"/>
      <c r="H699" s="1063"/>
      <c r="I699" s="1063"/>
      <c r="J699" s="1063"/>
      <c r="K699" s="1063"/>
      <c r="L699" s="1063"/>
      <c r="M699" s="1063"/>
      <c r="N699" s="1063"/>
      <c r="O699" s="1063"/>
      <c r="P699" s="1063"/>
      <c r="Q699" s="1063"/>
      <c r="R699" s="1063"/>
      <c r="S699" s="1063"/>
      <c r="T699" s="1063"/>
      <c r="U699" s="1063"/>
      <c r="V699" s="1063"/>
      <c r="W699" s="1063"/>
      <c r="X699" s="1063"/>
      <c r="Y699" s="1063"/>
      <c r="Z699" s="1063"/>
      <c r="AA699" s="1063"/>
      <c r="AB699" s="1063"/>
      <c r="AC699" s="1063"/>
      <c r="AD699" s="1063"/>
      <c r="AE699" s="1063"/>
      <c r="AF699" s="1063"/>
      <c r="AG699" s="1063"/>
      <c r="AH699" s="1063"/>
      <c r="AI699" s="1063"/>
      <c r="AJ699" s="1063"/>
      <c r="AK699" s="1063"/>
      <c r="AL699" s="1063"/>
      <c r="AM699" s="1063"/>
      <c r="AN699" s="1063"/>
      <c r="AO699" s="1063"/>
      <c r="AP699" s="1063"/>
      <c r="AQ699" s="1063"/>
      <c r="AR699" s="1063"/>
      <c r="AS699" s="1063"/>
      <c r="AT699" s="1063"/>
      <c r="AU699" s="1063"/>
      <c r="AV699" s="1063"/>
    </row>
    <row r="700" spans="1:48" s="1108" customFormat="1" ht="27.75" customHeight="1">
      <c r="A700" s="1076"/>
      <c r="B700" s="1074"/>
      <c r="D700" s="1063"/>
      <c r="F700" s="1076"/>
      <c r="G700" s="1063"/>
      <c r="H700" s="1063"/>
      <c r="I700" s="1063"/>
      <c r="J700" s="1063"/>
      <c r="K700" s="1063"/>
      <c r="L700" s="1063"/>
      <c r="M700" s="1063"/>
      <c r="N700" s="1063"/>
      <c r="O700" s="1063"/>
      <c r="P700" s="1063"/>
      <c r="Q700" s="1063"/>
      <c r="R700" s="1063"/>
      <c r="S700" s="1063"/>
      <c r="T700" s="1063"/>
      <c r="U700" s="1063"/>
      <c r="V700" s="1063"/>
      <c r="W700" s="1063"/>
      <c r="X700" s="1063"/>
      <c r="Y700" s="1063"/>
      <c r="Z700" s="1063"/>
      <c r="AA700" s="1063"/>
      <c r="AB700" s="1063"/>
      <c r="AC700" s="1063"/>
      <c r="AD700" s="1063"/>
      <c r="AE700" s="1063"/>
      <c r="AF700" s="1063"/>
      <c r="AG700" s="1063"/>
      <c r="AH700" s="1063"/>
      <c r="AI700" s="1063"/>
      <c r="AJ700" s="1063"/>
      <c r="AK700" s="1063"/>
      <c r="AL700" s="1063"/>
      <c r="AM700" s="1063"/>
      <c r="AN700" s="1063"/>
      <c r="AO700" s="1063"/>
      <c r="AP700" s="1063"/>
      <c r="AQ700" s="1063"/>
      <c r="AR700" s="1063"/>
      <c r="AS700" s="1063"/>
      <c r="AT700" s="1063"/>
      <c r="AU700" s="1063"/>
      <c r="AV700" s="1063"/>
    </row>
    <row r="701" spans="1:48" s="1108" customFormat="1" ht="27.75" customHeight="1">
      <c r="A701" s="1076"/>
      <c r="B701" s="1074"/>
      <c r="D701" s="1063"/>
      <c r="F701" s="1076"/>
      <c r="G701" s="1063"/>
      <c r="H701" s="1063"/>
      <c r="I701" s="1063"/>
      <c r="J701" s="1063"/>
      <c r="K701" s="1063"/>
      <c r="L701" s="1063"/>
      <c r="M701" s="1063"/>
      <c r="N701" s="1063"/>
      <c r="O701" s="1063"/>
      <c r="P701" s="1063"/>
      <c r="Q701" s="1063"/>
      <c r="R701" s="1063"/>
      <c r="S701" s="1063"/>
      <c r="T701" s="1063"/>
      <c r="U701" s="1063"/>
      <c r="V701" s="1063"/>
      <c r="W701" s="1063"/>
      <c r="X701" s="1063"/>
      <c r="Y701" s="1063"/>
      <c r="Z701" s="1063"/>
      <c r="AA701" s="1063"/>
      <c r="AB701" s="1063"/>
      <c r="AC701" s="1063"/>
      <c r="AD701" s="1063"/>
      <c r="AE701" s="1063"/>
      <c r="AF701" s="1063"/>
      <c r="AG701" s="1063"/>
      <c r="AH701" s="1063"/>
      <c r="AI701" s="1063"/>
      <c r="AJ701" s="1063"/>
      <c r="AK701" s="1063"/>
      <c r="AL701" s="1063"/>
      <c r="AM701" s="1063"/>
      <c r="AN701" s="1063"/>
      <c r="AO701" s="1063"/>
      <c r="AP701" s="1063"/>
      <c r="AQ701" s="1063"/>
      <c r="AR701" s="1063"/>
      <c r="AS701" s="1063"/>
      <c r="AT701" s="1063"/>
      <c r="AU701" s="1063"/>
      <c r="AV701" s="1063"/>
    </row>
    <row r="702" spans="1:48" s="1108" customFormat="1" ht="27.75" customHeight="1">
      <c r="A702" s="1076"/>
      <c r="B702" s="1074"/>
      <c r="D702" s="1063"/>
      <c r="F702" s="1076"/>
      <c r="G702" s="1063"/>
      <c r="H702" s="1063"/>
      <c r="I702" s="1063"/>
      <c r="J702" s="1063"/>
      <c r="K702" s="1063"/>
      <c r="L702" s="1063"/>
      <c r="M702" s="1063"/>
      <c r="N702" s="1063"/>
      <c r="O702" s="1063"/>
      <c r="P702" s="1063"/>
      <c r="Q702" s="1063"/>
      <c r="R702" s="1063"/>
      <c r="S702" s="1063"/>
      <c r="T702" s="1063"/>
      <c r="U702" s="1063"/>
      <c r="V702" s="1063"/>
      <c r="W702" s="1063"/>
      <c r="X702" s="1063"/>
      <c r="Y702" s="1063"/>
      <c r="Z702" s="1063"/>
      <c r="AA702" s="1063"/>
      <c r="AB702" s="1063"/>
      <c r="AC702" s="1063"/>
      <c r="AD702" s="1063"/>
      <c r="AE702" s="1063"/>
      <c r="AF702" s="1063"/>
      <c r="AG702" s="1063"/>
      <c r="AH702" s="1063"/>
      <c r="AI702" s="1063"/>
      <c r="AJ702" s="1063"/>
      <c r="AK702" s="1063"/>
      <c r="AL702" s="1063"/>
      <c r="AM702" s="1063"/>
      <c r="AN702" s="1063"/>
      <c r="AO702" s="1063"/>
      <c r="AP702" s="1063"/>
      <c r="AQ702" s="1063"/>
      <c r="AR702" s="1063"/>
      <c r="AS702" s="1063"/>
      <c r="AT702" s="1063"/>
      <c r="AU702" s="1063"/>
      <c r="AV702" s="1063"/>
    </row>
    <row r="703" spans="1:48" s="1108" customFormat="1" ht="27.75" customHeight="1">
      <c r="A703" s="1076"/>
      <c r="B703" s="1074"/>
      <c r="D703" s="1063"/>
      <c r="F703" s="1076"/>
      <c r="G703" s="1063"/>
      <c r="H703" s="1063"/>
      <c r="I703" s="1063"/>
      <c r="J703" s="1063"/>
      <c r="K703" s="1063"/>
      <c r="L703" s="1063"/>
      <c r="M703" s="1063"/>
      <c r="N703" s="1063"/>
      <c r="O703" s="1063"/>
      <c r="P703" s="1063"/>
      <c r="Q703" s="1063"/>
      <c r="R703" s="1063"/>
      <c r="S703" s="1063"/>
      <c r="T703" s="1063"/>
      <c r="U703" s="1063"/>
      <c r="V703" s="1063"/>
      <c r="W703" s="1063"/>
      <c r="X703" s="1063"/>
      <c r="Y703" s="1063"/>
      <c r="Z703" s="1063"/>
      <c r="AA703" s="1063"/>
      <c r="AB703" s="1063"/>
      <c r="AC703" s="1063"/>
      <c r="AD703" s="1063"/>
      <c r="AE703" s="1063"/>
      <c r="AF703" s="1063"/>
      <c r="AG703" s="1063"/>
      <c r="AH703" s="1063"/>
      <c r="AI703" s="1063"/>
      <c r="AJ703" s="1063"/>
      <c r="AK703" s="1063"/>
      <c r="AL703" s="1063"/>
      <c r="AM703" s="1063"/>
      <c r="AN703" s="1063"/>
      <c r="AO703" s="1063"/>
      <c r="AP703" s="1063"/>
      <c r="AQ703" s="1063"/>
      <c r="AR703" s="1063"/>
      <c r="AS703" s="1063"/>
      <c r="AT703" s="1063"/>
      <c r="AU703" s="1063"/>
      <c r="AV703" s="1063"/>
    </row>
    <row r="704" spans="1:48" s="1108" customFormat="1" ht="27.75" customHeight="1">
      <c r="A704" s="1076"/>
      <c r="B704" s="1074"/>
      <c r="D704" s="1063"/>
      <c r="F704" s="1076"/>
      <c r="G704" s="1063"/>
      <c r="H704" s="1063"/>
      <c r="I704" s="1063"/>
      <c r="J704" s="1063"/>
      <c r="K704" s="1063"/>
      <c r="L704" s="1063"/>
      <c r="M704" s="1063"/>
      <c r="N704" s="1063"/>
      <c r="O704" s="1063"/>
      <c r="P704" s="1063"/>
      <c r="Q704" s="1063"/>
      <c r="R704" s="1063"/>
      <c r="S704" s="1063"/>
      <c r="T704" s="1063"/>
      <c r="U704" s="1063"/>
      <c r="V704" s="1063"/>
      <c r="W704" s="1063"/>
      <c r="X704" s="1063"/>
      <c r="Y704" s="1063"/>
      <c r="Z704" s="1063"/>
      <c r="AA704" s="1063"/>
      <c r="AB704" s="1063"/>
      <c r="AC704" s="1063"/>
      <c r="AD704" s="1063"/>
      <c r="AE704" s="1063"/>
      <c r="AF704" s="1063"/>
      <c r="AG704" s="1063"/>
      <c r="AH704" s="1063"/>
      <c r="AI704" s="1063"/>
      <c r="AJ704" s="1063"/>
      <c r="AK704" s="1063"/>
      <c r="AL704" s="1063"/>
      <c r="AM704" s="1063"/>
      <c r="AN704" s="1063"/>
      <c r="AO704" s="1063"/>
      <c r="AP704" s="1063"/>
      <c r="AQ704" s="1063"/>
      <c r="AR704" s="1063"/>
      <c r="AS704" s="1063"/>
      <c r="AT704" s="1063"/>
      <c r="AU704" s="1063"/>
      <c r="AV704" s="1063"/>
    </row>
    <row r="705" spans="1:48" s="1108" customFormat="1" ht="27.75" customHeight="1">
      <c r="A705" s="1076"/>
      <c r="B705" s="1074"/>
      <c r="D705" s="1063"/>
      <c r="F705" s="1076"/>
      <c r="G705" s="1063"/>
      <c r="H705" s="1063"/>
      <c r="I705" s="1063"/>
      <c r="J705" s="1063"/>
      <c r="K705" s="1063"/>
      <c r="L705" s="1063"/>
      <c r="M705" s="1063"/>
      <c r="N705" s="1063"/>
      <c r="O705" s="1063"/>
      <c r="P705" s="1063"/>
      <c r="Q705" s="1063"/>
      <c r="R705" s="1063"/>
      <c r="S705" s="1063"/>
      <c r="T705" s="1063"/>
      <c r="U705" s="1063"/>
      <c r="V705" s="1063"/>
      <c r="W705" s="1063"/>
      <c r="X705" s="1063"/>
      <c r="Y705" s="1063"/>
      <c r="Z705" s="1063"/>
      <c r="AA705" s="1063"/>
      <c r="AB705" s="1063"/>
      <c r="AC705" s="1063"/>
      <c r="AD705" s="1063"/>
      <c r="AE705" s="1063"/>
      <c r="AF705" s="1063"/>
      <c r="AG705" s="1063"/>
      <c r="AH705" s="1063"/>
      <c r="AI705" s="1063"/>
      <c r="AJ705" s="1063"/>
      <c r="AK705" s="1063"/>
      <c r="AL705" s="1063"/>
      <c r="AM705" s="1063"/>
      <c r="AN705" s="1063"/>
      <c r="AO705" s="1063"/>
      <c r="AP705" s="1063"/>
      <c r="AQ705" s="1063"/>
      <c r="AR705" s="1063"/>
      <c r="AS705" s="1063"/>
      <c r="AT705" s="1063"/>
      <c r="AU705" s="1063"/>
      <c r="AV705" s="1063"/>
    </row>
    <row r="706" spans="1:48" s="1108" customFormat="1" ht="27.75" customHeight="1">
      <c r="A706" s="1076"/>
      <c r="B706" s="1074"/>
      <c r="D706" s="1063"/>
      <c r="F706" s="1076"/>
      <c r="G706" s="1063"/>
      <c r="H706" s="1063"/>
      <c r="I706" s="1063"/>
      <c r="J706" s="1063"/>
      <c r="K706" s="1063"/>
      <c r="L706" s="1063"/>
      <c r="M706" s="1063"/>
      <c r="N706" s="1063"/>
      <c r="O706" s="1063"/>
      <c r="P706" s="1063"/>
      <c r="Q706" s="1063"/>
      <c r="R706" s="1063"/>
      <c r="S706" s="1063"/>
      <c r="T706" s="1063"/>
      <c r="U706" s="1063"/>
      <c r="V706" s="1063"/>
      <c r="W706" s="1063"/>
      <c r="X706" s="1063"/>
      <c r="Y706" s="1063"/>
      <c r="Z706" s="1063"/>
      <c r="AA706" s="1063"/>
      <c r="AB706" s="1063"/>
      <c r="AC706" s="1063"/>
      <c r="AD706" s="1063"/>
      <c r="AE706" s="1063"/>
      <c r="AF706" s="1063"/>
      <c r="AG706" s="1063"/>
      <c r="AH706" s="1063"/>
      <c r="AI706" s="1063"/>
      <c r="AJ706" s="1063"/>
      <c r="AK706" s="1063"/>
      <c r="AL706" s="1063"/>
      <c r="AM706" s="1063"/>
      <c r="AN706" s="1063"/>
      <c r="AO706" s="1063"/>
      <c r="AP706" s="1063"/>
      <c r="AQ706" s="1063"/>
      <c r="AR706" s="1063"/>
      <c r="AS706" s="1063"/>
      <c r="AT706" s="1063"/>
      <c r="AU706" s="1063"/>
      <c r="AV706" s="1063"/>
    </row>
    <row r="707" spans="1:48" s="1108" customFormat="1" ht="27.75" customHeight="1">
      <c r="A707" s="1076"/>
      <c r="B707" s="1074"/>
      <c r="D707" s="1063"/>
      <c r="F707" s="1076"/>
      <c r="G707" s="1063"/>
      <c r="H707" s="1063"/>
      <c r="I707" s="1063"/>
      <c r="J707" s="1063"/>
      <c r="K707" s="1063"/>
      <c r="L707" s="1063"/>
      <c r="M707" s="1063"/>
      <c r="N707" s="1063"/>
      <c r="O707" s="1063"/>
      <c r="P707" s="1063"/>
      <c r="Q707" s="1063"/>
      <c r="R707" s="1063"/>
      <c r="S707" s="1063"/>
      <c r="T707" s="1063"/>
      <c r="U707" s="1063"/>
      <c r="V707" s="1063"/>
      <c r="W707" s="1063"/>
      <c r="X707" s="1063"/>
      <c r="Y707" s="1063"/>
      <c r="Z707" s="1063"/>
      <c r="AA707" s="1063"/>
      <c r="AB707" s="1063"/>
      <c r="AC707" s="1063"/>
      <c r="AD707" s="1063"/>
      <c r="AE707" s="1063"/>
      <c r="AF707" s="1063"/>
      <c r="AG707" s="1063"/>
      <c r="AH707" s="1063"/>
      <c r="AI707" s="1063"/>
      <c r="AJ707" s="1063"/>
      <c r="AK707" s="1063"/>
      <c r="AL707" s="1063"/>
      <c r="AM707" s="1063"/>
      <c r="AN707" s="1063"/>
      <c r="AO707" s="1063"/>
      <c r="AP707" s="1063"/>
      <c r="AQ707" s="1063"/>
      <c r="AR707" s="1063"/>
      <c r="AS707" s="1063"/>
      <c r="AT707" s="1063"/>
      <c r="AU707" s="1063"/>
      <c r="AV707" s="1063"/>
    </row>
    <row r="708" spans="1:48" s="1108" customFormat="1" ht="27.75" customHeight="1">
      <c r="A708" s="1076"/>
      <c r="B708" s="1074"/>
      <c r="D708" s="1063"/>
      <c r="F708" s="1076"/>
      <c r="G708" s="1063"/>
      <c r="H708" s="1063"/>
      <c r="I708" s="1063"/>
      <c r="J708" s="1063"/>
      <c r="K708" s="1063"/>
      <c r="L708" s="1063"/>
      <c r="M708" s="1063"/>
      <c r="N708" s="1063"/>
      <c r="O708" s="1063"/>
      <c r="P708" s="1063"/>
      <c r="Q708" s="1063"/>
      <c r="R708" s="1063"/>
      <c r="S708" s="1063"/>
      <c r="T708" s="1063"/>
      <c r="U708" s="1063"/>
      <c r="V708" s="1063"/>
      <c r="W708" s="1063"/>
      <c r="X708" s="1063"/>
      <c r="Y708" s="1063"/>
      <c r="Z708" s="1063"/>
      <c r="AA708" s="1063"/>
      <c r="AB708" s="1063"/>
      <c r="AC708" s="1063"/>
      <c r="AD708" s="1063"/>
      <c r="AE708" s="1063"/>
      <c r="AF708" s="1063"/>
      <c r="AG708" s="1063"/>
      <c r="AH708" s="1063"/>
      <c r="AI708" s="1063"/>
      <c r="AJ708" s="1063"/>
      <c r="AK708" s="1063"/>
      <c r="AL708" s="1063"/>
      <c r="AM708" s="1063"/>
      <c r="AN708" s="1063"/>
      <c r="AO708" s="1063"/>
      <c r="AP708" s="1063"/>
      <c r="AQ708" s="1063"/>
      <c r="AR708" s="1063"/>
      <c r="AS708" s="1063"/>
      <c r="AT708" s="1063"/>
      <c r="AU708" s="1063"/>
      <c r="AV708" s="1063"/>
    </row>
    <row r="709" spans="1:48" s="1108" customFormat="1" ht="27.75" customHeight="1">
      <c r="A709" s="1076"/>
      <c r="B709" s="1074"/>
      <c r="D709" s="1063"/>
      <c r="F709" s="1076"/>
      <c r="G709" s="1063"/>
      <c r="H709" s="1063"/>
      <c r="I709" s="1063"/>
      <c r="J709" s="1063"/>
      <c r="K709" s="1063"/>
      <c r="L709" s="1063"/>
      <c r="M709" s="1063"/>
      <c r="N709" s="1063"/>
      <c r="O709" s="1063"/>
      <c r="P709" s="1063"/>
      <c r="Q709" s="1063"/>
      <c r="R709" s="1063"/>
      <c r="S709" s="1063"/>
      <c r="T709" s="1063"/>
      <c r="U709" s="1063"/>
      <c r="V709" s="1063"/>
      <c r="W709" s="1063"/>
      <c r="X709" s="1063"/>
      <c r="Y709" s="1063"/>
      <c r="Z709" s="1063"/>
      <c r="AA709" s="1063"/>
      <c r="AB709" s="1063"/>
      <c r="AC709" s="1063"/>
      <c r="AD709" s="1063"/>
      <c r="AE709" s="1063"/>
      <c r="AF709" s="1063"/>
      <c r="AG709" s="1063"/>
      <c r="AH709" s="1063"/>
      <c r="AI709" s="1063"/>
      <c r="AJ709" s="1063"/>
      <c r="AK709" s="1063"/>
      <c r="AL709" s="1063"/>
      <c r="AM709" s="1063"/>
      <c r="AN709" s="1063"/>
      <c r="AO709" s="1063"/>
      <c r="AP709" s="1063"/>
      <c r="AQ709" s="1063"/>
      <c r="AR709" s="1063"/>
      <c r="AS709" s="1063"/>
      <c r="AT709" s="1063"/>
      <c r="AU709" s="1063"/>
      <c r="AV709" s="1063"/>
    </row>
    <row r="710" spans="1:48" s="1108" customFormat="1" ht="27.75" customHeight="1">
      <c r="A710" s="1076"/>
      <c r="B710" s="1074"/>
      <c r="D710" s="1063"/>
      <c r="F710" s="1076"/>
      <c r="G710" s="1063"/>
      <c r="H710" s="1063"/>
      <c r="I710" s="1063"/>
      <c r="J710" s="1063"/>
      <c r="K710" s="1063"/>
      <c r="L710" s="1063"/>
      <c r="M710" s="1063"/>
      <c r="N710" s="1063"/>
      <c r="O710" s="1063"/>
      <c r="P710" s="1063"/>
      <c r="Q710" s="1063"/>
      <c r="R710" s="1063"/>
      <c r="S710" s="1063"/>
      <c r="T710" s="1063"/>
      <c r="U710" s="1063"/>
      <c r="V710" s="1063"/>
      <c r="W710" s="1063"/>
      <c r="X710" s="1063"/>
      <c r="Y710" s="1063"/>
      <c r="Z710" s="1063"/>
      <c r="AA710" s="1063"/>
      <c r="AB710" s="1063"/>
      <c r="AC710" s="1063"/>
      <c r="AD710" s="1063"/>
      <c r="AE710" s="1063"/>
      <c r="AF710" s="1063"/>
      <c r="AG710" s="1063"/>
      <c r="AH710" s="1063"/>
      <c r="AI710" s="1063"/>
      <c r="AJ710" s="1063"/>
      <c r="AK710" s="1063"/>
      <c r="AL710" s="1063"/>
      <c r="AM710" s="1063"/>
      <c r="AN710" s="1063"/>
      <c r="AO710" s="1063"/>
      <c r="AP710" s="1063"/>
      <c r="AQ710" s="1063"/>
      <c r="AR710" s="1063"/>
      <c r="AS710" s="1063"/>
      <c r="AT710" s="1063"/>
      <c r="AU710" s="1063"/>
      <c r="AV710" s="1063"/>
    </row>
    <row r="711" spans="1:48" s="1108" customFormat="1" ht="27.75" customHeight="1">
      <c r="A711" s="1076"/>
      <c r="B711" s="1074"/>
      <c r="D711" s="1063"/>
      <c r="F711" s="1076"/>
      <c r="G711" s="1063"/>
      <c r="H711" s="1063"/>
      <c r="I711" s="1063"/>
      <c r="J711" s="1063"/>
      <c r="K711" s="1063"/>
      <c r="L711" s="1063"/>
      <c r="M711" s="1063"/>
      <c r="N711" s="1063"/>
      <c r="O711" s="1063"/>
      <c r="P711" s="1063"/>
      <c r="Q711" s="1063"/>
      <c r="R711" s="1063"/>
      <c r="S711" s="1063"/>
      <c r="T711" s="1063"/>
      <c r="U711" s="1063"/>
      <c r="V711" s="1063"/>
      <c r="W711" s="1063"/>
      <c r="X711" s="1063"/>
      <c r="Y711" s="1063"/>
      <c r="Z711" s="1063"/>
      <c r="AA711" s="1063"/>
      <c r="AB711" s="1063"/>
      <c r="AC711" s="1063"/>
      <c r="AD711" s="1063"/>
      <c r="AE711" s="1063"/>
      <c r="AF711" s="1063"/>
      <c r="AG711" s="1063"/>
      <c r="AH711" s="1063"/>
      <c r="AI711" s="1063"/>
      <c r="AJ711" s="1063"/>
      <c r="AK711" s="1063"/>
      <c r="AL711" s="1063"/>
      <c r="AM711" s="1063"/>
      <c r="AN711" s="1063"/>
      <c r="AO711" s="1063"/>
      <c r="AP711" s="1063"/>
      <c r="AQ711" s="1063"/>
      <c r="AR711" s="1063"/>
      <c r="AS711" s="1063"/>
      <c r="AT711" s="1063"/>
      <c r="AU711" s="1063"/>
      <c r="AV711" s="1063"/>
    </row>
    <row r="712" spans="1:48" s="1108" customFormat="1" ht="27.75" customHeight="1">
      <c r="A712" s="1076"/>
      <c r="B712" s="1074"/>
      <c r="D712" s="1063"/>
      <c r="F712" s="1076"/>
      <c r="G712" s="1063"/>
      <c r="H712" s="1063"/>
      <c r="I712" s="1063"/>
      <c r="J712" s="1063"/>
      <c r="K712" s="1063"/>
      <c r="L712" s="1063"/>
      <c r="M712" s="1063"/>
      <c r="N712" s="1063"/>
      <c r="O712" s="1063"/>
      <c r="P712" s="1063"/>
      <c r="Q712" s="1063"/>
      <c r="R712" s="1063"/>
      <c r="S712" s="1063"/>
      <c r="T712" s="1063"/>
      <c r="U712" s="1063"/>
      <c r="V712" s="1063"/>
      <c r="W712" s="1063"/>
      <c r="X712" s="1063"/>
      <c r="Y712" s="1063"/>
      <c r="Z712" s="1063"/>
      <c r="AA712" s="1063"/>
      <c r="AB712" s="1063"/>
      <c r="AC712" s="1063"/>
      <c r="AD712" s="1063"/>
      <c r="AE712" s="1063"/>
      <c r="AF712" s="1063"/>
      <c r="AG712" s="1063"/>
      <c r="AH712" s="1063"/>
      <c r="AI712" s="1063"/>
      <c r="AJ712" s="1063"/>
      <c r="AK712" s="1063"/>
      <c r="AL712" s="1063"/>
      <c r="AM712" s="1063"/>
      <c r="AN712" s="1063"/>
      <c r="AO712" s="1063"/>
      <c r="AP712" s="1063"/>
      <c r="AQ712" s="1063"/>
      <c r="AR712" s="1063"/>
      <c r="AS712" s="1063"/>
      <c r="AT712" s="1063"/>
      <c r="AU712" s="1063"/>
      <c r="AV712" s="1063"/>
    </row>
    <row r="713" spans="1:48" s="1108" customFormat="1" ht="27.75" customHeight="1">
      <c r="A713" s="1076"/>
      <c r="B713" s="1074"/>
      <c r="D713" s="1063"/>
      <c r="F713" s="1076"/>
      <c r="G713" s="1063"/>
      <c r="H713" s="1063"/>
      <c r="I713" s="1063"/>
      <c r="J713" s="1063"/>
      <c r="K713" s="1063"/>
      <c r="L713" s="1063"/>
      <c r="M713" s="1063"/>
      <c r="N713" s="1063"/>
      <c r="O713" s="1063"/>
      <c r="P713" s="1063"/>
      <c r="Q713" s="1063"/>
      <c r="R713" s="1063"/>
      <c r="S713" s="1063"/>
      <c r="T713" s="1063"/>
      <c r="U713" s="1063"/>
      <c r="V713" s="1063"/>
      <c r="W713" s="1063"/>
      <c r="X713" s="1063"/>
      <c r="Y713" s="1063"/>
      <c r="Z713" s="1063"/>
      <c r="AA713" s="1063"/>
      <c r="AB713" s="1063"/>
      <c r="AC713" s="1063"/>
      <c r="AD713" s="1063"/>
      <c r="AE713" s="1063"/>
      <c r="AF713" s="1063"/>
      <c r="AG713" s="1063"/>
      <c r="AH713" s="1063"/>
      <c r="AI713" s="1063"/>
      <c r="AJ713" s="1063"/>
      <c r="AK713" s="1063"/>
      <c r="AL713" s="1063"/>
      <c r="AM713" s="1063"/>
      <c r="AN713" s="1063"/>
      <c r="AO713" s="1063"/>
      <c r="AP713" s="1063"/>
      <c r="AQ713" s="1063"/>
      <c r="AR713" s="1063"/>
      <c r="AS713" s="1063"/>
      <c r="AT713" s="1063"/>
      <c r="AU713" s="1063"/>
      <c r="AV713" s="1063"/>
    </row>
    <row r="714" spans="1:48" s="1108" customFormat="1" ht="27.75" customHeight="1">
      <c r="A714" s="1076"/>
      <c r="B714" s="1074"/>
      <c r="D714" s="1063"/>
      <c r="F714" s="1076"/>
      <c r="G714" s="1063"/>
      <c r="H714" s="1063"/>
      <c r="I714" s="1063"/>
      <c r="J714" s="1063"/>
      <c r="K714" s="1063"/>
      <c r="L714" s="1063"/>
      <c r="M714" s="1063"/>
      <c r="N714" s="1063"/>
      <c r="O714" s="1063"/>
      <c r="P714" s="1063"/>
      <c r="Q714" s="1063"/>
      <c r="R714" s="1063"/>
      <c r="S714" s="1063"/>
      <c r="T714" s="1063"/>
      <c r="U714" s="1063"/>
      <c r="V714" s="1063"/>
      <c r="W714" s="1063"/>
      <c r="X714" s="1063"/>
      <c r="Y714" s="1063"/>
      <c r="Z714" s="1063"/>
      <c r="AA714" s="1063"/>
      <c r="AB714" s="1063"/>
      <c r="AC714" s="1063"/>
      <c r="AD714" s="1063"/>
      <c r="AE714" s="1063"/>
      <c r="AF714" s="1063"/>
      <c r="AG714" s="1063"/>
      <c r="AH714" s="1063"/>
      <c r="AI714" s="1063"/>
      <c r="AJ714" s="1063"/>
      <c r="AK714" s="1063"/>
      <c r="AL714" s="1063"/>
      <c r="AM714" s="1063"/>
      <c r="AN714" s="1063"/>
      <c r="AO714" s="1063"/>
      <c r="AP714" s="1063"/>
      <c r="AQ714" s="1063"/>
      <c r="AR714" s="1063"/>
      <c r="AS714" s="1063"/>
      <c r="AT714" s="1063"/>
      <c r="AU714" s="1063"/>
      <c r="AV714" s="1063"/>
    </row>
    <row r="715" spans="1:48" s="1108" customFormat="1" ht="27.75" customHeight="1">
      <c r="A715" s="1076"/>
      <c r="B715" s="1074"/>
      <c r="D715" s="1063"/>
      <c r="F715" s="1076"/>
      <c r="G715" s="1063"/>
      <c r="H715" s="1063"/>
      <c r="I715" s="1063"/>
      <c r="J715" s="1063"/>
      <c r="K715" s="1063"/>
      <c r="L715" s="1063"/>
      <c r="M715" s="1063"/>
      <c r="N715" s="1063"/>
      <c r="O715" s="1063"/>
      <c r="P715" s="1063"/>
      <c r="Q715" s="1063"/>
      <c r="R715" s="1063"/>
      <c r="S715" s="1063"/>
      <c r="T715" s="1063"/>
      <c r="U715" s="1063"/>
      <c r="V715" s="1063"/>
      <c r="W715" s="1063"/>
      <c r="X715" s="1063"/>
      <c r="Y715" s="1063"/>
      <c r="Z715" s="1063"/>
      <c r="AA715" s="1063"/>
      <c r="AB715" s="1063"/>
      <c r="AC715" s="1063"/>
      <c r="AD715" s="1063"/>
      <c r="AE715" s="1063"/>
      <c r="AF715" s="1063"/>
      <c r="AG715" s="1063"/>
      <c r="AH715" s="1063"/>
      <c r="AI715" s="1063"/>
      <c r="AJ715" s="1063"/>
      <c r="AK715" s="1063"/>
      <c r="AL715" s="1063"/>
      <c r="AM715" s="1063"/>
      <c r="AN715" s="1063"/>
      <c r="AO715" s="1063"/>
      <c r="AP715" s="1063"/>
      <c r="AQ715" s="1063"/>
      <c r="AR715" s="1063"/>
      <c r="AS715" s="1063"/>
      <c r="AT715" s="1063"/>
      <c r="AU715" s="1063"/>
      <c r="AV715" s="1063"/>
    </row>
    <row r="716" spans="1:48" s="1108" customFormat="1" ht="27.75" customHeight="1">
      <c r="A716" s="1076"/>
      <c r="B716" s="1074"/>
      <c r="D716" s="1063"/>
      <c r="F716" s="1076"/>
      <c r="G716" s="1063"/>
      <c r="H716" s="1063"/>
      <c r="I716" s="1063"/>
      <c r="J716" s="1063"/>
      <c r="K716" s="1063"/>
      <c r="L716" s="1063"/>
      <c r="M716" s="1063"/>
      <c r="N716" s="1063"/>
      <c r="O716" s="1063"/>
      <c r="P716" s="1063"/>
      <c r="Q716" s="1063"/>
      <c r="R716" s="1063"/>
      <c r="S716" s="1063"/>
      <c r="T716" s="1063"/>
      <c r="U716" s="1063"/>
      <c r="V716" s="1063"/>
      <c r="W716" s="1063"/>
      <c r="X716" s="1063"/>
      <c r="Y716" s="1063"/>
      <c r="Z716" s="1063"/>
      <c r="AA716" s="1063"/>
      <c r="AB716" s="1063"/>
      <c r="AC716" s="1063"/>
      <c r="AD716" s="1063"/>
      <c r="AE716" s="1063"/>
      <c r="AF716" s="1063"/>
      <c r="AG716" s="1063"/>
      <c r="AH716" s="1063"/>
      <c r="AI716" s="1063"/>
      <c r="AJ716" s="1063"/>
      <c r="AK716" s="1063"/>
      <c r="AL716" s="1063"/>
      <c r="AM716" s="1063"/>
      <c r="AN716" s="1063"/>
      <c r="AO716" s="1063"/>
      <c r="AP716" s="1063"/>
      <c r="AQ716" s="1063"/>
      <c r="AR716" s="1063"/>
      <c r="AS716" s="1063"/>
      <c r="AT716" s="1063"/>
      <c r="AU716" s="1063"/>
      <c r="AV716" s="1063"/>
    </row>
    <row r="717" spans="1:48" s="1108" customFormat="1" ht="27.75" customHeight="1">
      <c r="A717" s="1076"/>
      <c r="B717" s="1074"/>
      <c r="D717" s="1063"/>
      <c r="F717" s="1076"/>
      <c r="G717" s="1063"/>
      <c r="H717" s="1063"/>
      <c r="I717" s="1063"/>
      <c r="J717" s="1063"/>
      <c r="K717" s="1063"/>
      <c r="L717" s="1063"/>
      <c r="M717" s="1063"/>
      <c r="N717" s="1063"/>
      <c r="O717" s="1063"/>
      <c r="P717" s="1063"/>
      <c r="Q717" s="1063"/>
      <c r="R717" s="1063"/>
      <c r="S717" s="1063"/>
      <c r="T717" s="1063"/>
      <c r="U717" s="1063"/>
      <c r="V717" s="1063"/>
      <c r="W717" s="1063"/>
      <c r="X717" s="1063"/>
      <c r="Y717" s="1063"/>
      <c r="Z717" s="1063"/>
      <c r="AA717" s="1063"/>
      <c r="AB717" s="1063"/>
      <c r="AC717" s="1063"/>
      <c r="AD717" s="1063"/>
      <c r="AE717" s="1063"/>
      <c r="AF717" s="1063"/>
      <c r="AG717" s="1063"/>
      <c r="AH717" s="1063"/>
      <c r="AI717" s="1063"/>
      <c r="AJ717" s="1063"/>
      <c r="AK717" s="1063"/>
      <c r="AL717" s="1063"/>
      <c r="AM717" s="1063"/>
      <c r="AN717" s="1063"/>
      <c r="AO717" s="1063"/>
      <c r="AP717" s="1063"/>
      <c r="AQ717" s="1063"/>
      <c r="AR717" s="1063"/>
      <c r="AS717" s="1063"/>
      <c r="AT717" s="1063"/>
      <c r="AU717" s="1063"/>
      <c r="AV717" s="1063"/>
    </row>
    <row r="718" spans="1:48" s="1108" customFormat="1" ht="27.75" customHeight="1">
      <c r="A718" s="1076"/>
      <c r="B718" s="1074"/>
      <c r="D718" s="1063"/>
      <c r="F718" s="1076"/>
      <c r="G718" s="1063"/>
      <c r="H718" s="1063"/>
      <c r="I718" s="1063"/>
      <c r="J718" s="1063"/>
      <c r="K718" s="1063"/>
      <c r="L718" s="1063"/>
      <c r="M718" s="1063"/>
      <c r="N718" s="1063"/>
      <c r="O718" s="1063"/>
      <c r="P718" s="1063"/>
      <c r="Q718" s="1063"/>
      <c r="R718" s="1063"/>
      <c r="S718" s="1063"/>
      <c r="T718" s="1063"/>
      <c r="U718" s="1063"/>
      <c r="V718" s="1063"/>
      <c r="W718" s="1063"/>
      <c r="X718" s="1063"/>
      <c r="Y718" s="1063"/>
      <c r="Z718" s="1063"/>
      <c r="AA718" s="1063"/>
      <c r="AB718" s="1063"/>
      <c r="AC718" s="1063"/>
      <c r="AD718" s="1063"/>
      <c r="AE718" s="1063"/>
      <c r="AF718" s="1063"/>
      <c r="AG718" s="1063"/>
      <c r="AH718" s="1063"/>
      <c r="AI718" s="1063"/>
      <c r="AJ718" s="1063"/>
      <c r="AK718" s="1063"/>
      <c r="AL718" s="1063"/>
      <c r="AM718" s="1063"/>
      <c r="AN718" s="1063"/>
      <c r="AO718" s="1063"/>
      <c r="AP718" s="1063"/>
      <c r="AQ718" s="1063"/>
      <c r="AR718" s="1063"/>
      <c r="AS718" s="1063"/>
      <c r="AT718" s="1063"/>
      <c r="AU718" s="1063"/>
      <c r="AV718" s="1063"/>
    </row>
    <row r="719" spans="1:48" s="1108" customFormat="1" ht="27.75" customHeight="1">
      <c r="A719" s="1076"/>
      <c r="B719" s="1074"/>
      <c r="D719" s="1063"/>
      <c r="F719" s="1076"/>
      <c r="G719" s="1063"/>
      <c r="H719" s="1063"/>
      <c r="I719" s="1063"/>
      <c r="J719" s="1063"/>
      <c r="K719" s="1063"/>
      <c r="L719" s="1063"/>
      <c r="M719" s="1063"/>
      <c r="N719" s="1063"/>
      <c r="O719" s="1063"/>
      <c r="P719" s="1063"/>
      <c r="Q719" s="1063"/>
      <c r="R719" s="1063"/>
      <c r="S719" s="1063"/>
      <c r="T719" s="1063"/>
      <c r="U719" s="1063"/>
      <c r="V719" s="1063"/>
      <c r="W719" s="1063"/>
      <c r="X719" s="1063"/>
      <c r="Y719" s="1063"/>
      <c r="Z719" s="1063"/>
      <c r="AA719" s="1063"/>
      <c r="AB719" s="1063"/>
      <c r="AC719" s="1063"/>
      <c r="AD719" s="1063"/>
      <c r="AE719" s="1063"/>
      <c r="AF719" s="1063"/>
      <c r="AG719" s="1063"/>
      <c r="AH719" s="1063"/>
      <c r="AI719" s="1063"/>
      <c r="AJ719" s="1063"/>
      <c r="AK719" s="1063"/>
      <c r="AL719" s="1063"/>
      <c r="AM719" s="1063"/>
      <c r="AN719" s="1063"/>
      <c r="AO719" s="1063"/>
      <c r="AP719" s="1063"/>
      <c r="AQ719" s="1063"/>
      <c r="AR719" s="1063"/>
      <c r="AS719" s="1063"/>
      <c r="AT719" s="1063"/>
      <c r="AU719" s="1063"/>
      <c r="AV719" s="1063"/>
    </row>
    <row r="720" spans="1:48" s="1108" customFormat="1" ht="27.75" customHeight="1">
      <c r="A720" s="1076"/>
      <c r="B720" s="1074"/>
      <c r="D720" s="1063"/>
      <c r="F720" s="1076"/>
      <c r="G720" s="1063"/>
      <c r="H720" s="1063"/>
      <c r="I720" s="1063"/>
      <c r="J720" s="1063"/>
      <c r="K720" s="1063"/>
      <c r="L720" s="1063"/>
      <c r="M720" s="1063"/>
      <c r="N720" s="1063"/>
      <c r="O720" s="1063"/>
      <c r="P720" s="1063"/>
      <c r="Q720" s="1063"/>
      <c r="R720" s="1063"/>
      <c r="S720" s="1063"/>
      <c r="T720" s="1063"/>
      <c r="U720" s="1063"/>
      <c r="V720" s="1063"/>
      <c r="W720" s="1063"/>
      <c r="X720" s="1063"/>
      <c r="Y720" s="1063"/>
      <c r="Z720" s="1063"/>
      <c r="AA720" s="1063"/>
      <c r="AB720" s="1063"/>
      <c r="AC720" s="1063"/>
      <c r="AD720" s="1063"/>
      <c r="AE720" s="1063"/>
      <c r="AF720" s="1063"/>
      <c r="AG720" s="1063"/>
      <c r="AH720" s="1063"/>
      <c r="AI720" s="1063"/>
      <c r="AJ720" s="1063"/>
      <c r="AK720" s="1063"/>
      <c r="AL720" s="1063"/>
      <c r="AM720" s="1063"/>
      <c r="AN720" s="1063"/>
      <c r="AO720" s="1063"/>
      <c r="AP720" s="1063"/>
      <c r="AQ720" s="1063"/>
      <c r="AR720" s="1063"/>
      <c r="AS720" s="1063"/>
      <c r="AT720" s="1063"/>
      <c r="AU720" s="1063"/>
      <c r="AV720" s="1063"/>
    </row>
    <row r="721" spans="1:48" s="1108" customFormat="1" ht="27.75" customHeight="1">
      <c r="A721" s="1076"/>
      <c r="B721" s="1074"/>
      <c r="D721" s="1063"/>
      <c r="F721" s="1076"/>
      <c r="G721" s="1063"/>
      <c r="H721" s="1063"/>
      <c r="I721" s="1063"/>
      <c r="J721" s="1063"/>
      <c r="K721" s="1063"/>
      <c r="L721" s="1063"/>
      <c r="M721" s="1063"/>
      <c r="N721" s="1063"/>
      <c r="O721" s="1063"/>
      <c r="P721" s="1063"/>
      <c r="Q721" s="1063"/>
      <c r="R721" s="1063"/>
      <c r="S721" s="1063"/>
      <c r="T721" s="1063"/>
      <c r="U721" s="1063"/>
      <c r="V721" s="1063"/>
      <c r="W721" s="1063"/>
      <c r="X721" s="1063"/>
      <c r="Y721" s="1063"/>
      <c r="Z721" s="1063"/>
      <c r="AA721" s="1063"/>
      <c r="AB721" s="1063"/>
      <c r="AC721" s="1063"/>
      <c r="AD721" s="1063"/>
      <c r="AE721" s="1063"/>
      <c r="AF721" s="1063"/>
      <c r="AG721" s="1063"/>
      <c r="AH721" s="1063"/>
      <c r="AI721" s="1063"/>
      <c r="AJ721" s="1063"/>
      <c r="AK721" s="1063"/>
      <c r="AL721" s="1063"/>
      <c r="AM721" s="1063"/>
      <c r="AN721" s="1063"/>
      <c r="AO721" s="1063"/>
      <c r="AP721" s="1063"/>
      <c r="AQ721" s="1063"/>
      <c r="AR721" s="1063"/>
      <c r="AS721" s="1063"/>
      <c r="AT721" s="1063"/>
      <c r="AU721" s="1063"/>
      <c r="AV721" s="1063"/>
    </row>
    <row r="722" spans="1:48" s="1108" customFormat="1" ht="27.75" customHeight="1">
      <c r="A722" s="1076"/>
      <c r="B722" s="1074"/>
      <c r="D722" s="1063"/>
      <c r="F722" s="1076"/>
      <c r="G722" s="1063"/>
      <c r="H722" s="1063"/>
      <c r="I722" s="1063"/>
      <c r="J722" s="1063"/>
      <c r="K722" s="1063"/>
      <c r="L722" s="1063"/>
      <c r="M722" s="1063"/>
      <c r="N722" s="1063"/>
      <c r="O722" s="1063"/>
      <c r="P722" s="1063"/>
      <c r="Q722" s="1063"/>
      <c r="R722" s="1063"/>
      <c r="S722" s="1063"/>
      <c r="T722" s="1063"/>
      <c r="U722" s="1063"/>
      <c r="V722" s="1063"/>
      <c r="W722" s="1063"/>
      <c r="X722" s="1063"/>
      <c r="Y722" s="1063"/>
      <c r="Z722" s="1063"/>
      <c r="AA722" s="1063"/>
      <c r="AB722" s="1063"/>
      <c r="AC722" s="1063"/>
      <c r="AD722" s="1063"/>
      <c r="AE722" s="1063"/>
      <c r="AF722" s="1063"/>
      <c r="AG722" s="1063"/>
      <c r="AH722" s="1063"/>
      <c r="AI722" s="1063"/>
      <c r="AJ722" s="1063"/>
      <c r="AK722" s="1063"/>
      <c r="AL722" s="1063"/>
      <c r="AM722" s="1063"/>
      <c r="AN722" s="1063"/>
      <c r="AO722" s="1063"/>
      <c r="AP722" s="1063"/>
      <c r="AQ722" s="1063"/>
      <c r="AR722" s="1063"/>
      <c r="AS722" s="1063"/>
      <c r="AT722" s="1063"/>
      <c r="AU722" s="1063"/>
      <c r="AV722" s="1063"/>
    </row>
    <row r="723" spans="1:48" s="1108" customFormat="1" ht="27.75" customHeight="1">
      <c r="A723" s="1076"/>
      <c r="B723" s="1074"/>
      <c r="D723" s="1063"/>
      <c r="F723" s="1076"/>
      <c r="G723" s="1063"/>
      <c r="H723" s="1063"/>
      <c r="I723" s="1063"/>
      <c r="J723" s="1063"/>
      <c r="K723" s="1063"/>
      <c r="L723" s="1063"/>
      <c r="M723" s="1063"/>
      <c r="N723" s="1063"/>
      <c r="O723" s="1063"/>
      <c r="P723" s="1063"/>
      <c r="Q723" s="1063"/>
      <c r="R723" s="1063"/>
      <c r="S723" s="1063"/>
      <c r="T723" s="1063"/>
      <c r="U723" s="1063"/>
      <c r="V723" s="1063"/>
      <c r="W723" s="1063"/>
      <c r="X723" s="1063"/>
      <c r="Y723" s="1063"/>
      <c r="Z723" s="1063"/>
      <c r="AA723" s="1063"/>
      <c r="AB723" s="1063"/>
      <c r="AC723" s="1063"/>
      <c r="AD723" s="1063"/>
      <c r="AE723" s="1063"/>
      <c r="AF723" s="1063"/>
      <c r="AG723" s="1063"/>
      <c r="AH723" s="1063"/>
      <c r="AI723" s="1063"/>
      <c r="AJ723" s="1063"/>
      <c r="AK723" s="1063"/>
      <c r="AL723" s="1063"/>
      <c r="AM723" s="1063"/>
      <c r="AN723" s="1063"/>
      <c r="AO723" s="1063"/>
      <c r="AP723" s="1063"/>
      <c r="AQ723" s="1063"/>
      <c r="AR723" s="1063"/>
      <c r="AS723" s="1063"/>
      <c r="AT723" s="1063"/>
      <c r="AU723" s="1063"/>
      <c r="AV723" s="1063"/>
    </row>
    <row r="724" spans="1:48" s="1108" customFormat="1" ht="27.75" customHeight="1">
      <c r="A724" s="1076"/>
      <c r="B724" s="1074"/>
      <c r="D724" s="1063"/>
      <c r="F724" s="1076"/>
      <c r="G724" s="1063"/>
      <c r="H724" s="1063"/>
      <c r="I724" s="1063"/>
      <c r="J724" s="1063"/>
      <c r="K724" s="1063"/>
      <c r="L724" s="1063"/>
      <c r="M724" s="1063"/>
      <c r="N724" s="1063"/>
      <c r="O724" s="1063"/>
      <c r="P724" s="1063"/>
      <c r="Q724" s="1063"/>
      <c r="R724" s="1063"/>
      <c r="S724" s="1063"/>
      <c r="T724" s="1063"/>
      <c r="U724" s="1063"/>
      <c r="V724" s="1063"/>
      <c r="W724" s="1063"/>
      <c r="X724" s="1063"/>
      <c r="Y724" s="1063"/>
      <c r="Z724" s="1063"/>
      <c r="AA724" s="1063"/>
      <c r="AB724" s="1063"/>
      <c r="AC724" s="1063"/>
      <c r="AD724" s="1063"/>
      <c r="AE724" s="1063"/>
      <c r="AF724" s="1063"/>
      <c r="AG724" s="1063"/>
      <c r="AH724" s="1063"/>
      <c r="AI724" s="1063"/>
      <c r="AJ724" s="1063"/>
      <c r="AK724" s="1063"/>
      <c r="AL724" s="1063"/>
      <c r="AM724" s="1063"/>
      <c r="AN724" s="1063"/>
      <c r="AO724" s="1063"/>
      <c r="AP724" s="1063"/>
      <c r="AQ724" s="1063"/>
      <c r="AR724" s="1063"/>
      <c r="AS724" s="1063"/>
      <c r="AT724" s="1063"/>
      <c r="AU724" s="1063"/>
      <c r="AV724" s="1063"/>
    </row>
    <row r="725" spans="1:48" s="1108" customFormat="1" ht="27.75" customHeight="1">
      <c r="A725" s="1076"/>
      <c r="B725" s="1074"/>
      <c r="D725" s="1063"/>
      <c r="F725" s="1076"/>
      <c r="G725" s="1063"/>
      <c r="H725" s="1063"/>
      <c r="I725" s="1063"/>
      <c r="J725" s="1063"/>
      <c r="K725" s="1063"/>
      <c r="L725" s="1063"/>
      <c r="M725" s="1063"/>
      <c r="N725" s="1063"/>
      <c r="O725" s="1063"/>
      <c r="P725" s="1063"/>
      <c r="Q725" s="1063"/>
      <c r="R725" s="1063"/>
      <c r="S725" s="1063"/>
      <c r="T725" s="1063"/>
      <c r="U725" s="1063"/>
      <c r="V725" s="1063"/>
      <c r="W725" s="1063"/>
      <c r="X725" s="1063"/>
      <c r="Y725" s="1063"/>
      <c r="Z725" s="1063"/>
      <c r="AA725" s="1063"/>
      <c r="AB725" s="1063"/>
      <c r="AC725" s="1063"/>
      <c r="AD725" s="1063"/>
      <c r="AE725" s="1063"/>
      <c r="AF725" s="1063"/>
      <c r="AG725" s="1063"/>
      <c r="AH725" s="1063"/>
      <c r="AI725" s="1063"/>
      <c r="AJ725" s="1063"/>
      <c r="AK725" s="1063"/>
      <c r="AL725" s="1063"/>
      <c r="AM725" s="1063"/>
      <c r="AN725" s="1063"/>
      <c r="AO725" s="1063"/>
      <c r="AP725" s="1063"/>
      <c r="AQ725" s="1063"/>
      <c r="AR725" s="1063"/>
      <c r="AS725" s="1063"/>
      <c r="AT725" s="1063"/>
      <c r="AU725" s="1063"/>
      <c r="AV725" s="1063"/>
    </row>
    <row r="726" spans="1:48" s="1108" customFormat="1" ht="27.75" customHeight="1">
      <c r="A726" s="1076"/>
      <c r="B726" s="1074"/>
      <c r="D726" s="1063"/>
      <c r="F726" s="1076"/>
      <c r="G726" s="1063"/>
      <c r="H726" s="1063"/>
      <c r="I726" s="1063"/>
      <c r="J726" s="1063"/>
      <c r="K726" s="1063"/>
      <c r="L726" s="1063"/>
      <c r="M726" s="1063"/>
      <c r="N726" s="1063"/>
      <c r="O726" s="1063"/>
      <c r="P726" s="1063"/>
      <c r="Q726" s="1063"/>
      <c r="R726" s="1063"/>
      <c r="S726" s="1063"/>
      <c r="T726" s="1063"/>
      <c r="U726" s="1063"/>
      <c r="V726" s="1063"/>
      <c r="W726" s="1063"/>
      <c r="X726" s="1063"/>
      <c r="Y726" s="1063"/>
      <c r="Z726" s="1063"/>
      <c r="AA726" s="1063"/>
      <c r="AB726" s="1063"/>
      <c r="AC726" s="1063"/>
      <c r="AD726" s="1063"/>
      <c r="AE726" s="1063"/>
      <c r="AF726" s="1063"/>
      <c r="AG726" s="1063"/>
      <c r="AH726" s="1063"/>
      <c r="AI726" s="1063"/>
      <c r="AJ726" s="1063"/>
      <c r="AK726" s="1063"/>
      <c r="AL726" s="1063"/>
      <c r="AM726" s="1063"/>
      <c r="AN726" s="1063"/>
      <c r="AO726" s="1063"/>
      <c r="AP726" s="1063"/>
      <c r="AQ726" s="1063"/>
      <c r="AR726" s="1063"/>
      <c r="AS726" s="1063"/>
      <c r="AT726" s="1063"/>
      <c r="AU726" s="1063"/>
      <c r="AV726" s="1063"/>
    </row>
    <row r="727" spans="1:48" s="1108" customFormat="1" ht="27.75" customHeight="1">
      <c r="A727" s="1076"/>
      <c r="B727" s="1074"/>
      <c r="D727" s="1063"/>
      <c r="F727" s="1076"/>
      <c r="G727" s="1063"/>
      <c r="H727" s="1063"/>
      <c r="I727" s="1063"/>
      <c r="J727" s="1063"/>
      <c r="K727" s="1063"/>
      <c r="L727" s="1063"/>
      <c r="M727" s="1063"/>
      <c r="N727" s="1063"/>
      <c r="O727" s="1063"/>
      <c r="P727" s="1063"/>
      <c r="Q727" s="1063"/>
      <c r="R727" s="1063"/>
      <c r="S727" s="1063"/>
      <c r="T727" s="1063"/>
      <c r="U727" s="1063"/>
      <c r="V727" s="1063"/>
      <c r="W727" s="1063"/>
      <c r="X727" s="1063"/>
      <c r="Y727" s="1063"/>
      <c r="Z727" s="1063"/>
      <c r="AA727" s="1063"/>
      <c r="AB727" s="1063"/>
      <c r="AC727" s="1063"/>
      <c r="AD727" s="1063"/>
      <c r="AE727" s="1063"/>
      <c r="AF727" s="1063"/>
      <c r="AG727" s="1063"/>
      <c r="AH727" s="1063"/>
      <c r="AI727" s="1063"/>
      <c r="AJ727" s="1063"/>
      <c r="AK727" s="1063"/>
      <c r="AL727" s="1063"/>
      <c r="AM727" s="1063"/>
      <c r="AN727" s="1063"/>
      <c r="AO727" s="1063"/>
      <c r="AP727" s="1063"/>
      <c r="AQ727" s="1063"/>
      <c r="AR727" s="1063"/>
      <c r="AS727" s="1063"/>
      <c r="AT727" s="1063"/>
      <c r="AU727" s="1063"/>
      <c r="AV727" s="1063"/>
    </row>
    <row r="728" spans="1:48" s="1108" customFormat="1" ht="27.75" customHeight="1">
      <c r="A728" s="1076"/>
      <c r="B728" s="1074"/>
      <c r="D728" s="1063"/>
      <c r="F728" s="1076"/>
      <c r="G728" s="1063"/>
      <c r="H728" s="1063"/>
      <c r="I728" s="1063"/>
      <c r="J728" s="1063"/>
      <c r="K728" s="1063"/>
      <c r="L728" s="1063"/>
      <c r="M728" s="1063"/>
      <c r="N728" s="1063"/>
      <c r="O728" s="1063"/>
      <c r="P728" s="1063"/>
      <c r="Q728" s="1063"/>
      <c r="R728" s="1063"/>
      <c r="S728" s="1063"/>
      <c r="T728" s="1063"/>
      <c r="U728" s="1063"/>
      <c r="V728" s="1063"/>
      <c r="W728" s="1063"/>
      <c r="X728" s="1063"/>
      <c r="Y728" s="1063"/>
      <c r="Z728" s="1063"/>
      <c r="AA728" s="1063"/>
      <c r="AB728" s="1063"/>
      <c r="AC728" s="1063"/>
      <c r="AD728" s="1063"/>
      <c r="AE728" s="1063"/>
      <c r="AF728" s="1063"/>
      <c r="AG728" s="1063"/>
      <c r="AH728" s="1063"/>
      <c r="AI728" s="1063"/>
      <c r="AJ728" s="1063"/>
      <c r="AK728" s="1063"/>
      <c r="AL728" s="1063"/>
      <c r="AM728" s="1063"/>
      <c r="AN728" s="1063"/>
      <c r="AO728" s="1063"/>
      <c r="AP728" s="1063"/>
      <c r="AQ728" s="1063"/>
      <c r="AR728" s="1063"/>
      <c r="AS728" s="1063"/>
      <c r="AT728" s="1063"/>
      <c r="AU728" s="1063"/>
      <c r="AV728" s="1063"/>
    </row>
    <row r="729" spans="1:48" s="1108" customFormat="1" ht="27.75" customHeight="1">
      <c r="A729" s="1076"/>
      <c r="B729" s="1074"/>
      <c r="D729" s="1063"/>
      <c r="F729" s="1076"/>
      <c r="G729" s="1063"/>
      <c r="H729" s="1063"/>
      <c r="I729" s="1063"/>
      <c r="J729" s="1063"/>
      <c r="K729" s="1063"/>
      <c r="L729" s="1063"/>
      <c r="M729" s="1063"/>
      <c r="N729" s="1063"/>
      <c r="O729" s="1063"/>
      <c r="P729" s="1063"/>
      <c r="Q729" s="1063"/>
      <c r="R729" s="1063"/>
      <c r="S729" s="1063"/>
      <c r="T729" s="1063"/>
      <c r="U729" s="1063"/>
      <c r="V729" s="1063"/>
      <c r="W729" s="1063"/>
      <c r="X729" s="1063"/>
      <c r="Y729" s="1063"/>
      <c r="Z729" s="1063"/>
      <c r="AA729" s="1063"/>
      <c r="AB729" s="1063"/>
      <c r="AC729" s="1063"/>
      <c r="AD729" s="1063"/>
      <c r="AE729" s="1063"/>
      <c r="AF729" s="1063"/>
      <c r="AG729" s="1063"/>
      <c r="AH729" s="1063"/>
      <c r="AI729" s="1063"/>
      <c r="AJ729" s="1063"/>
      <c r="AK729" s="1063"/>
      <c r="AL729" s="1063"/>
      <c r="AM729" s="1063"/>
      <c r="AN729" s="1063"/>
      <c r="AO729" s="1063"/>
      <c r="AP729" s="1063"/>
      <c r="AQ729" s="1063"/>
      <c r="AR729" s="1063"/>
      <c r="AS729" s="1063"/>
      <c r="AT729" s="1063"/>
      <c r="AU729" s="1063"/>
      <c r="AV729" s="1063"/>
    </row>
    <row r="730" spans="1:48" s="1108" customFormat="1" ht="27.75" customHeight="1">
      <c r="A730" s="1076"/>
      <c r="B730" s="1074"/>
      <c r="D730" s="1063"/>
      <c r="F730" s="1076"/>
      <c r="G730" s="1063"/>
      <c r="H730" s="1063"/>
      <c r="I730" s="1063"/>
      <c r="J730" s="1063"/>
      <c r="K730" s="1063"/>
      <c r="L730" s="1063"/>
      <c r="M730" s="1063"/>
      <c r="N730" s="1063"/>
      <c r="O730" s="1063"/>
      <c r="P730" s="1063"/>
      <c r="Q730" s="1063"/>
      <c r="R730" s="1063"/>
      <c r="S730" s="1063"/>
      <c r="T730" s="1063"/>
      <c r="U730" s="1063"/>
      <c r="V730" s="1063"/>
      <c r="W730" s="1063"/>
      <c r="X730" s="1063"/>
      <c r="Y730" s="1063"/>
      <c r="Z730" s="1063"/>
      <c r="AA730" s="1063"/>
      <c r="AB730" s="1063"/>
      <c r="AC730" s="1063"/>
      <c r="AD730" s="1063"/>
      <c r="AE730" s="1063"/>
      <c r="AF730" s="1063"/>
      <c r="AG730" s="1063"/>
      <c r="AH730" s="1063"/>
      <c r="AI730" s="1063"/>
      <c r="AJ730" s="1063"/>
      <c r="AK730" s="1063"/>
      <c r="AL730" s="1063"/>
      <c r="AM730" s="1063"/>
      <c r="AN730" s="1063"/>
      <c r="AO730" s="1063"/>
      <c r="AP730" s="1063"/>
      <c r="AQ730" s="1063"/>
      <c r="AR730" s="1063"/>
      <c r="AS730" s="1063"/>
      <c r="AT730" s="1063"/>
      <c r="AU730" s="1063"/>
      <c r="AV730" s="1063"/>
    </row>
    <row r="731" spans="1:48" s="1108" customFormat="1" ht="27.75" customHeight="1">
      <c r="A731" s="1076"/>
      <c r="B731" s="1074"/>
      <c r="D731" s="1063"/>
      <c r="F731" s="1076"/>
      <c r="G731" s="1063"/>
      <c r="H731" s="1063"/>
      <c r="I731" s="1063"/>
      <c r="J731" s="1063"/>
      <c r="K731" s="1063"/>
      <c r="L731" s="1063"/>
      <c r="M731" s="1063"/>
      <c r="N731" s="1063"/>
      <c r="O731" s="1063"/>
      <c r="P731" s="1063"/>
      <c r="Q731" s="1063"/>
      <c r="R731" s="1063"/>
      <c r="S731" s="1063"/>
      <c r="T731" s="1063"/>
      <c r="U731" s="1063"/>
      <c r="V731" s="1063"/>
      <c r="W731" s="1063"/>
      <c r="X731" s="1063"/>
      <c r="Y731" s="1063"/>
      <c r="Z731" s="1063"/>
      <c r="AA731" s="1063"/>
      <c r="AB731" s="1063"/>
      <c r="AC731" s="1063"/>
      <c r="AD731" s="1063"/>
      <c r="AE731" s="1063"/>
      <c r="AF731" s="1063"/>
      <c r="AG731" s="1063"/>
      <c r="AH731" s="1063"/>
      <c r="AI731" s="1063"/>
      <c r="AJ731" s="1063"/>
      <c r="AK731" s="1063"/>
      <c r="AL731" s="1063"/>
      <c r="AM731" s="1063"/>
      <c r="AN731" s="1063"/>
      <c r="AO731" s="1063"/>
      <c r="AP731" s="1063"/>
      <c r="AQ731" s="1063"/>
      <c r="AR731" s="1063"/>
      <c r="AS731" s="1063"/>
      <c r="AT731" s="1063"/>
      <c r="AU731" s="1063"/>
      <c r="AV731" s="1063"/>
    </row>
    <row r="732" spans="1:48" s="1108" customFormat="1" ht="27.75" customHeight="1">
      <c r="A732" s="1076"/>
      <c r="B732" s="1074"/>
      <c r="D732" s="1063"/>
      <c r="F732" s="1076"/>
      <c r="G732" s="1063"/>
      <c r="H732" s="1063"/>
      <c r="I732" s="1063"/>
      <c r="J732" s="1063"/>
      <c r="K732" s="1063"/>
      <c r="L732" s="1063"/>
      <c r="M732" s="1063"/>
      <c r="N732" s="1063"/>
      <c r="O732" s="1063"/>
      <c r="P732" s="1063"/>
      <c r="Q732" s="1063"/>
      <c r="R732" s="1063"/>
      <c r="S732" s="1063"/>
      <c r="T732" s="1063"/>
      <c r="U732" s="1063"/>
      <c r="V732" s="1063"/>
      <c r="W732" s="1063"/>
      <c r="X732" s="1063"/>
      <c r="Y732" s="1063"/>
      <c r="Z732" s="1063"/>
      <c r="AA732" s="1063"/>
      <c r="AB732" s="1063"/>
      <c r="AC732" s="1063"/>
      <c r="AD732" s="1063"/>
      <c r="AE732" s="1063"/>
      <c r="AF732" s="1063"/>
      <c r="AG732" s="1063"/>
      <c r="AH732" s="1063"/>
      <c r="AI732" s="1063"/>
      <c r="AJ732" s="1063"/>
      <c r="AK732" s="1063"/>
      <c r="AL732" s="1063"/>
      <c r="AM732" s="1063"/>
      <c r="AN732" s="1063"/>
      <c r="AO732" s="1063"/>
      <c r="AP732" s="1063"/>
      <c r="AQ732" s="1063"/>
      <c r="AR732" s="1063"/>
      <c r="AS732" s="1063"/>
      <c r="AT732" s="1063"/>
      <c r="AU732" s="1063"/>
      <c r="AV732" s="1063"/>
    </row>
    <row r="733" spans="1:48" s="1108" customFormat="1" ht="27.75" customHeight="1">
      <c r="A733" s="1076"/>
      <c r="B733" s="1074"/>
      <c r="D733" s="1063"/>
      <c r="F733" s="1076"/>
      <c r="G733" s="1063"/>
      <c r="H733" s="1063"/>
      <c r="I733" s="1063"/>
      <c r="J733" s="1063"/>
      <c r="K733" s="1063"/>
      <c r="L733" s="1063"/>
      <c r="M733" s="1063"/>
      <c r="N733" s="1063"/>
      <c r="O733" s="1063"/>
      <c r="P733" s="1063"/>
      <c r="Q733" s="1063"/>
      <c r="R733" s="1063"/>
      <c r="S733" s="1063"/>
      <c r="T733" s="1063"/>
      <c r="U733" s="1063"/>
      <c r="V733" s="1063"/>
      <c r="W733" s="1063"/>
      <c r="X733" s="1063"/>
      <c r="Y733" s="1063"/>
      <c r="Z733" s="1063"/>
      <c r="AA733" s="1063"/>
      <c r="AB733" s="1063"/>
      <c r="AC733" s="1063"/>
      <c r="AD733" s="1063"/>
      <c r="AE733" s="1063"/>
      <c r="AF733" s="1063"/>
      <c r="AG733" s="1063"/>
      <c r="AH733" s="1063"/>
      <c r="AI733" s="1063"/>
      <c r="AJ733" s="1063"/>
      <c r="AK733" s="1063"/>
      <c r="AL733" s="1063"/>
      <c r="AM733" s="1063"/>
      <c r="AN733" s="1063"/>
      <c r="AO733" s="1063"/>
      <c r="AP733" s="1063"/>
      <c r="AQ733" s="1063"/>
      <c r="AR733" s="1063"/>
      <c r="AS733" s="1063"/>
      <c r="AT733" s="1063"/>
      <c r="AU733" s="1063"/>
      <c r="AV733" s="1063"/>
    </row>
    <row r="734" spans="1:48" s="1108" customFormat="1" ht="27.75" customHeight="1">
      <c r="A734" s="1076"/>
      <c r="B734" s="1074"/>
      <c r="D734" s="1063"/>
      <c r="F734" s="1076"/>
      <c r="G734" s="1063"/>
      <c r="H734" s="1063"/>
      <c r="I734" s="1063"/>
      <c r="J734" s="1063"/>
      <c r="K734" s="1063"/>
      <c r="L734" s="1063"/>
      <c r="M734" s="1063"/>
      <c r="N734" s="1063"/>
      <c r="O734" s="1063"/>
      <c r="P734" s="1063"/>
      <c r="Q734" s="1063"/>
      <c r="R734" s="1063"/>
      <c r="S734" s="1063"/>
      <c r="T734" s="1063"/>
      <c r="U734" s="1063"/>
      <c r="V734" s="1063"/>
      <c r="W734" s="1063"/>
      <c r="X734" s="1063"/>
      <c r="Y734" s="1063"/>
      <c r="Z734" s="1063"/>
      <c r="AA734" s="1063"/>
      <c r="AB734" s="1063"/>
      <c r="AC734" s="1063"/>
      <c r="AD734" s="1063"/>
      <c r="AE734" s="1063"/>
      <c r="AF734" s="1063"/>
      <c r="AG734" s="1063"/>
      <c r="AH734" s="1063"/>
      <c r="AI734" s="1063"/>
      <c r="AJ734" s="1063"/>
      <c r="AK734" s="1063"/>
      <c r="AL734" s="1063"/>
      <c r="AM734" s="1063"/>
      <c r="AN734" s="1063"/>
      <c r="AO734" s="1063"/>
      <c r="AP734" s="1063"/>
      <c r="AQ734" s="1063"/>
      <c r="AR734" s="1063"/>
      <c r="AS734" s="1063"/>
      <c r="AT734" s="1063"/>
      <c r="AU734" s="1063"/>
      <c r="AV734" s="1063"/>
    </row>
    <row r="735" spans="1:48" s="1108" customFormat="1" ht="27.75" customHeight="1">
      <c r="A735" s="1076"/>
      <c r="B735" s="1074"/>
      <c r="D735" s="1063"/>
      <c r="F735" s="1076"/>
      <c r="G735" s="1063"/>
      <c r="H735" s="1063"/>
      <c r="I735" s="1063"/>
      <c r="J735" s="1063"/>
      <c r="K735" s="1063"/>
      <c r="L735" s="1063"/>
      <c r="M735" s="1063"/>
      <c r="N735" s="1063"/>
      <c r="O735" s="1063"/>
      <c r="P735" s="1063"/>
      <c r="Q735" s="1063"/>
      <c r="R735" s="1063"/>
      <c r="S735" s="1063"/>
      <c r="T735" s="1063"/>
      <c r="U735" s="1063"/>
      <c r="V735" s="1063"/>
      <c r="W735" s="1063"/>
      <c r="X735" s="1063"/>
      <c r="Y735" s="1063"/>
      <c r="Z735" s="1063"/>
      <c r="AA735" s="1063"/>
      <c r="AB735" s="1063"/>
      <c r="AC735" s="1063"/>
      <c r="AD735" s="1063"/>
      <c r="AE735" s="1063"/>
      <c r="AF735" s="1063"/>
      <c r="AG735" s="1063"/>
      <c r="AH735" s="1063"/>
      <c r="AI735" s="1063"/>
      <c r="AJ735" s="1063"/>
      <c r="AK735" s="1063"/>
      <c r="AL735" s="1063"/>
      <c r="AM735" s="1063"/>
      <c r="AN735" s="1063"/>
      <c r="AO735" s="1063"/>
      <c r="AP735" s="1063"/>
      <c r="AQ735" s="1063"/>
      <c r="AR735" s="1063"/>
      <c r="AS735" s="1063"/>
      <c r="AT735" s="1063"/>
      <c r="AU735" s="1063"/>
      <c r="AV735" s="1063"/>
    </row>
    <row r="736" spans="1:48" s="1108" customFormat="1" ht="27.75" customHeight="1">
      <c r="A736" s="1076"/>
      <c r="B736" s="1074"/>
      <c r="D736" s="1063"/>
      <c r="F736" s="1076"/>
      <c r="G736" s="1063"/>
      <c r="H736" s="1063"/>
      <c r="I736" s="1063"/>
      <c r="J736" s="1063"/>
      <c r="K736" s="1063"/>
      <c r="L736" s="1063"/>
      <c r="M736" s="1063"/>
      <c r="N736" s="1063"/>
      <c r="O736" s="1063"/>
      <c r="P736" s="1063"/>
      <c r="Q736" s="1063"/>
      <c r="R736" s="1063"/>
      <c r="S736" s="1063"/>
      <c r="T736" s="1063"/>
      <c r="U736" s="1063"/>
      <c r="V736" s="1063"/>
      <c r="W736" s="1063"/>
      <c r="X736" s="1063"/>
      <c r="Y736" s="1063"/>
      <c r="Z736" s="1063"/>
      <c r="AA736" s="1063"/>
      <c r="AB736" s="1063"/>
      <c r="AC736" s="1063"/>
      <c r="AD736" s="1063"/>
      <c r="AE736" s="1063"/>
      <c r="AF736" s="1063"/>
      <c r="AG736" s="1063"/>
      <c r="AH736" s="1063"/>
      <c r="AI736" s="1063"/>
      <c r="AJ736" s="1063"/>
      <c r="AK736" s="1063"/>
      <c r="AL736" s="1063"/>
      <c r="AM736" s="1063"/>
      <c r="AN736" s="1063"/>
      <c r="AO736" s="1063"/>
      <c r="AP736" s="1063"/>
      <c r="AQ736" s="1063"/>
      <c r="AR736" s="1063"/>
      <c r="AS736" s="1063"/>
      <c r="AT736" s="1063"/>
      <c r="AU736" s="1063"/>
      <c r="AV736" s="1063"/>
    </row>
    <row r="737" spans="1:48" s="1108" customFormat="1" ht="27.75" customHeight="1">
      <c r="A737" s="1076"/>
      <c r="B737" s="1074"/>
      <c r="D737" s="1063"/>
      <c r="F737" s="1076"/>
      <c r="G737" s="1063"/>
      <c r="H737" s="1063"/>
      <c r="I737" s="1063"/>
      <c r="J737" s="1063"/>
      <c r="K737" s="1063"/>
      <c r="L737" s="1063"/>
      <c r="M737" s="1063"/>
      <c r="N737" s="1063"/>
      <c r="O737" s="1063"/>
      <c r="P737" s="1063"/>
      <c r="Q737" s="1063"/>
      <c r="R737" s="1063"/>
      <c r="S737" s="1063"/>
      <c r="T737" s="1063"/>
      <c r="U737" s="1063"/>
      <c r="V737" s="1063"/>
      <c r="W737" s="1063"/>
      <c r="X737" s="1063"/>
      <c r="Y737" s="1063"/>
      <c r="Z737" s="1063"/>
      <c r="AA737" s="1063"/>
      <c r="AB737" s="1063"/>
      <c r="AC737" s="1063"/>
      <c r="AD737" s="1063"/>
      <c r="AE737" s="1063"/>
      <c r="AF737" s="1063"/>
      <c r="AG737" s="1063"/>
      <c r="AH737" s="1063"/>
      <c r="AI737" s="1063"/>
      <c r="AJ737" s="1063"/>
      <c r="AK737" s="1063"/>
      <c r="AL737" s="1063"/>
      <c r="AM737" s="1063"/>
      <c r="AN737" s="1063"/>
      <c r="AO737" s="1063"/>
      <c r="AP737" s="1063"/>
      <c r="AQ737" s="1063"/>
      <c r="AR737" s="1063"/>
      <c r="AS737" s="1063"/>
      <c r="AT737" s="1063"/>
      <c r="AU737" s="1063"/>
      <c r="AV737" s="1063"/>
    </row>
    <row r="738" spans="1:48" s="1108" customFormat="1" ht="27.75" customHeight="1">
      <c r="A738" s="1076"/>
      <c r="B738" s="1074"/>
      <c r="D738" s="1063"/>
      <c r="F738" s="1076"/>
      <c r="G738" s="1063"/>
      <c r="H738" s="1063"/>
      <c r="I738" s="1063"/>
      <c r="J738" s="1063"/>
      <c r="K738" s="1063"/>
      <c r="L738" s="1063"/>
      <c r="M738" s="1063"/>
      <c r="N738" s="1063"/>
      <c r="O738" s="1063"/>
      <c r="P738" s="1063"/>
      <c r="Q738" s="1063"/>
      <c r="R738" s="1063"/>
      <c r="S738" s="1063"/>
      <c r="T738" s="1063"/>
      <c r="U738" s="1063"/>
      <c r="V738" s="1063"/>
      <c r="W738" s="1063"/>
      <c r="X738" s="1063"/>
      <c r="Y738" s="1063"/>
      <c r="Z738" s="1063"/>
      <c r="AA738" s="1063"/>
      <c r="AB738" s="1063"/>
      <c r="AC738" s="1063"/>
      <c r="AD738" s="1063"/>
      <c r="AE738" s="1063"/>
      <c r="AF738" s="1063"/>
      <c r="AG738" s="1063"/>
      <c r="AH738" s="1063"/>
      <c r="AI738" s="1063"/>
      <c r="AJ738" s="1063"/>
      <c r="AK738" s="1063"/>
      <c r="AL738" s="1063"/>
      <c r="AM738" s="1063"/>
      <c r="AN738" s="1063"/>
      <c r="AO738" s="1063"/>
      <c r="AP738" s="1063"/>
      <c r="AQ738" s="1063"/>
      <c r="AR738" s="1063"/>
      <c r="AS738" s="1063"/>
      <c r="AT738" s="1063"/>
      <c r="AU738" s="1063"/>
      <c r="AV738" s="1063"/>
    </row>
    <row r="739" spans="1:48" s="1108" customFormat="1" ht="27.75" customHeight="1">
      <c r="A739" s="1076"/>
      <c r="B739" s="1074"/>
      <c r="D739" s="1063"/>
      <c r="F739" s="1076"/>
      <c r="G739" s="1063"/>
      <c r="H739" s="1063"/>
      <c r="I739" s="1063"/>
      <c r="J739" s="1063"/>
      <c r="K739" s="1063"/>
      <c r="L739" s="1063"/>
      <c r="M739" s="1063"/>
      <c r="N739" s="1063"/>
      <c r="O739" s="1063"/>
      <c r="P739" s="1063"/>
      <c r="Q739" s="1063"/>
      <c r="R739" s="1063"/>
      <c r="S739" s="1063"/>
      <c r="T739" s="1063"/>
      <c r="U739" s="1063"/>
      <c r="V739" s="1063"/>
      <c r="W739" s="1063"/>
      <c r="X739" s="1063"/>
      <c r="Y739" s="1063"/>
      <c r="Z739" s="1063"/>
      <c r="AA739" s="1063"/>
      <c r="AB739" s="1063"/>
      <c r="AC739" s="1063"/>
      <c r="AD739" s="1063"/>
      <c r="AE739" s="1063"/>
      <c r="AF739" s="1063"/>
      <c r="AG739" s="1063"/>
      <c r="AH739" s="1063"/>
      <c r="AI739" s="1063"/>
      <c r="AJ739" s="1063"/>
      <c r="AK739" s="1063"/>
      <c r="AL739" s="1063"/>
      <c r="AM739" s="1063"/>
      <c r="AN739" s="1063"/>
      <c r="AO739" s="1063"/>
      <c r="AP739" s="1063"/>
      <c r="AQ739" s="1063"/>
      <c r="AR739" s="1063"/>
      <c r="AS739" s="1063"/>
      <c r="AT739" s="1063"/>
      <c r="AU739" s="1063"/>
      <c r="AV739" s="1063"/>
    </row>
    <row r="740" spans="1:48" s="1108" customFormat="1" ht="27.75" customHeight="1">
      <c r="A740" s="1076"/>
      <c r="B740" s="1074"/>
      <c r="D740" s="1063"/>
      <c r="F740" s="1076"/>
      <c r="G740" s="1063"/>
      <c r="H740" s="1063"/>
      <c r="I740" s="1063"/>
      <c r="J740" s="1063"/>
      <c r="K740" s="1063"/>
      <c r="L740" s="1063"/>
      <c r="M740" s="1063"/>
      <c r="N740" s="1063"/>
      <c r="O740" s="1063"/>
      <c r="P740" s="1063"/>
      <c r="Q740" s="1063"/>
      <c r="R740" s="1063"/>
      <c r="S740" s="1063"/>
      <c r="T740" s="1063"/>
      <c r="U740" s="1063"/>
      <c r="V740" s="1063"/>
      <c r="W740" s="1063"/>
      <c r="X740" s="1063"/>
      <c r="Y740" s="1063"/>
      <c r="Z740" s="1063"/>
      <c r="AA740" s="1063"/>
      <c r="AB740" s="1063"/>
      <c r="AC740" s="1063"/>
      <c r="AD740" s="1063"/>
      <c r="AE740" s="1063"/>
      <c r="AF740" s="1063"/>
      <c r="AG740" s="1063"/>
      <c r="AH740" s="1063"/>
      <c r="AI740" s="1063"/>
      <c r="AJ740" s="1063"/>
      <c r="AK740" s="1063"/>
      <c r="AL740" s="1063"/>
      <c r="AM740" s="1063"/>
      <c r="AN740" s="1063"/>
      <c r="AO740" s="1063"/>
      <c r="AP740" s="1063"/>
      <c r="AQ740" s="1063"/>
      <c r="AR740" s="1063"/>
      <c r="AS740" s="1063"/>
      <c r="AT740" s="1063"/>
      <c r="AU740" s="1063"/>
      <c r="AV740" s="1063"/>
    </row>
    <row r="741" spans="1:48" s="1108" customFormat="1" ht="27.75" customHeight="1">
      <c r="A741" s="1076"/>
      <c r="B741" s="1074"/>
      <c r="D741" s="1063"/>
      <c r="F741" s="1076"/>
      <c r="G741" s="1063"/>
      <c r="H741" s="1063"/>
      <c r="I741" s="1063"/>
      <c r="J741" s="1063"/>
      <c r="K741" s="1063"/>
      <c r="L741" s="1063"/>
      <c r="M741" s="1063"/>
      <c r="N741" s="1063"/>
      <c r="O741" s="1063"/>
      <c r="P741" s="1063"/>
      <c r="Q741" s="1063"/>
      <c r="R741" s="1063"/>
      <c r="S741" s="1063"/>
      <c r="T741" s="1063"/>
      <c r="U741" s="1063"/>
      <c r="V741" s="1063"/>
      <c r="W741" s="1063"/>
      <c r="X741" s="1063"/>
      <c r="Y741" s="1063"/>
      <c r="Z741" s="1063"/>
      <c r="AA741" s="1063"/>
      <c r="AB741" s="1063"/>
      <c r="AC741" s="1063"/>
      <c r="AD741" s="1063"/>
      <c r="AE741" s="1063"/>
      <c r="AF741" s="1063"/>
      <c r="AG741" s="1063"/>
      <c r="AH741" s="1063"/>
      <c r="AI741" s="1063"/>
      <c r="AJ741" s="1063"/>
      <c r="AK741" s="1063"/>
      <c r="AL741" s="1063"/>
      <c r="AM741" s="1063"/>
      <c r="AN741" s="1063"/>
      <c r="AO741" s="1063"/>
      <c r="AP741" s="1063"/>
      <c r="AQ741" s="1063"/>
      <c r="AR741" s="1063"/>
      <c r="AS741" s="1063"/>
      <c r="AT741" s="1063"/>
      <c r="AU741" s="1063"/>
      <c r="AV741" s="1063"/>
    </row>
    <row r="742" spans="1:48" s="1108" customFormat="1" ht="27.75" customHeight="1">
      <c r="A742" s="1076"/>
      <c r="B742" s="1074"/>
      <c r="D742" s="1063"/>
      <c r="F742" s="1076"/>
      <c r="G742" s="1063"/>
      <c r="H742" s="1063"/>
      <c r="I742" s="1063"/>
      <c r="J742" s="1063"/>
      <c r="K742" s="1063"/>
      <c r="L742" s="1063"/>
      <c r="M742" s="1063"/>
      <c r="N742" s="1063"/>
      <c r="O742" s="1063"/>
      <c r="P742" s="1063"/>
      <c r="Q742" s="1063"/>
      <c r="R742" s="1063"/>
      <c r="S742" s="1063"/>
      <c r="T742" s="1063"/>
      <c r="U742" s="1063"/>
      <c r="V742" s="1063"/>
      <c r="W742" s="1063"/>
      <c r="X742" s="1063"/>
      <c r="Y742" s="1063"/>
      <c r="Z742" s="1063"/>
      <c r="AA742" s="1063"/>
      <c r="AB742" s="1063"/>
      <c r="AC742" s="1063"/>
      <c r="AD742" s="1063"/>
      <c r="AE742" s="1063"/>
      <c r="AF742" s="1063"/>
      <c r="AG742" s="1063"/>
      <c r="AH742" s="1063"/>
      <c r="AI742" s="1063"/>
      <c r="AJ742" s="1063"/>
      <c r="AK742" s="1063"/>
      <c r="AL742" s="1063"/>
      <c r="AM742" s="1063"/>
      <c r="AN742" s="1063"/>
      <c r="AO742" s="1063"/>
      <c r="AP742" s="1063"/>
      <c r="AQ742" s="1063"/>
      <c r="AR742" s="1063"/>
      <c r="AS742" s="1063"/>
      <c r="AT742" s="1063"/>
      <c r="AU742" s="1063"/>
      <c r="AV742" s="1063"/>
    </row>
    <row r="743" spans="1:48" s="1108" customFormat="1" ht="27.75" customHeight="1">
      <c r="A743" s="1076"/>
      <c r="B743" s="1074"/>
      <c r="D743" s="1063"/>
      <c r="F743" s="1076"/>
      <c r="G743" s="1063"/>
      <c r="H743" s="1063"/>
      <c r="I743" s="1063"/>
      <c r="J743" s="1063"/>
      <c r="K743" s="1063"/>
      <c r="L743" s="1063"/>
      <c r="M743" s="1063"/>
      <c r="N743" s="1063"/>
      <c r="O743" s="1063"/>
      <c r="P743" s="1063"/>
      <c r="Q743" s="1063"/>
      <c r="R743" s="1063"/>
      <c r="S743" s="1063"/>
      <c r="T743" s="1063"/>
      <c r="U743" s="1063"/>
      <c r="V743" s="1063"/>
      <c r="W743" s="1063"/>
      <c r="X743" s="1063"/>
      <c r="Y743" s="1063"/>
      <c r="Z743" s="1063"/>
      <c r="AA743" s="1063"/>
      <c r="AB743" s="1063"/>
      <c r="AC743" s="1063"/>
      <c r="AD743" s="1063"/>
      <c r="AE743" s="1063"/>
      <c r="AF743" s="1063"/>
      <c r="AG743" s="1063"/>
      <c r="AH743" s="1063"/>
      <c r="AI743" s="1063"/>
      <c r="AJ743" s="1063"/>
      <c r="AK743" s="1063"/>
      <c r="AL743" s="1063"/>
      <c r="AM743" s="1063"/>
      <c r="AN743" s="1063"/>
      <c r="AO743" s="1063"/>
      <c r="AP743" s="1063"/>
      <c r="AQ743" s="1063"/>
      <c r="AR743" s="1063"/>
      <c r="AS743" s="1063"/>
      <c r="AT743" s="1063"/>
      <c r="AU743" s="1063"/>
      <c r="AV743" s="1063"/>
    </row>
    <row r="744" spans="1:48" s="1108" customFormat="1" ht="27.75" customHeight="1">
      <c r="A744" s="1076"/>
      <c r="B744" s="1074"/>
      <c r="D744" s="1063"/>
      <c r="F744" s="1076"/>
      <c r="G744" s="1063"/>
      <c r="H744" s="1063"/>
      <c r="I744" s="1063"/>
      <c r="J744" s="1063"/>
      <c r="K744" s="1063"/>
      <c r="L744" s="1063"/>
      <c r="M744" s="1063"/>
      <c r="N744" s="1063"/>
      <c r="O744" s="1063"/>
      <c r="P744" s="1063"/>
      <c r="Q744" s="1063"/>
      <c r="R744" s="1063"/>
      <c r="S744" s="1063"/>
      <c r="T744" s="1063"/>
      <c r="U744" s="1063"/>
      <c r="V744" s="1063"/>
      <c r="W744" s="1063"/>
      <c r="X744" s="1063"/>
      <c r="Y744" s="1063"/>
      <c r="Z744" s="1063"/>
      <c r="AA744" s="1063"/>
      <c r="AB744" s="1063"/>
      <c r="AC744" s="1063"/>
      <c r="AD744" s="1063"/>
      <c r="AE744" s="1063"/>
      <c r="AF744" s="1063"/>
      <c r="AG744" s="1063"/>
      <c r="AH744" s="1063"/>
      <c r="AI744" s="1063"/>
      <c r="AJ744" s="1063"/>
      <c r="AK744" s="1063"/>
      <c r="AL744" s="1063"/>
      <c r="AM744" s="1063"/>
      <c r="AN744" s="1063"/>
      <c r="AO744" s="1063"/>
      <c r="AP744" s="1063"/>
      <c r="AQ744" s="1063"/>
      <c r="AR744" s="1063"/>
      <c r="AS744" s="1063"/>
      <c r="AT744" s="1063"/>
      <c r="AU744" s="1063"/>
      <c r="AV744" s="1063"/>
    </row>
    <row r="745" spans="1:48" s="1108" customFormat="1" ht="27.75" customHeight="1">
      <c r="A745" s="1076"/>
      <c r="B745" s="1074"/>
      <c r="D745" s="1063"/>
      <c r="F745" s="1076"/>
      <c r="G745" s="1063"/>
      <c r="H745" s="1063"/>
      <c r="I745" s="1063"/>
      <c r="J745" s="1063"/>
      <c r="K745" s="1063"/>
      <c r="L745" s="1063"/>
      <c r="M745" s="1063"/>
      <c r="N745" s="1063"/>
      <c r="O745" s="1063"/>
      <c r="P745" s="1063"/>
      <c r="Q745" s="1063"/>
      <c r="R745" s="1063"/>
      <c r="S745" s="1063"/>
      <c r="T745" s="1063"/>
      <c r="U745" s="1063"/>
      <c r="V745" s="1063"/>
      <c r="W745" s="1063"/>
      <c r="X745" s="1063"/>
      <c r="Y745" s="1063"/>
      <c r="Z745" s="1063"/>
      <c r="AA745" s="1063"/>
      <c r="AB745" s="1063"/>
      <c r="AC745" s="1063"/>
      <c r="AD745" s="1063"/>
      <c r="AE745" s="1063"/>
      <c r="AF745" s="1063"/>
      <c r="AG745" s="1063"/>
      <c r="AH745" s="1063"/>
      <c r="AI745" s="1063"/>
      <c r="AJ745" s="1063"/>
      <c r="AK745" s="1063"/>
      <c r="AL745" s="1063"/>
      <c r="AM745" s="1063"/>
      <c r="AN745" s="1063"/>
      <c r="AO745" s="1063"/>
      <c r="AP745" s="1063"/>
      <c r="AQ745" s="1063"/>
      <c r="AR745" s="1063"/>
      <c r="AS745" s="1063"/>
      <c r="AT745" s="1063"/>
      <c r="AU745" s="1063"/>
      <c r="AV745" s="1063"/>
    </row>
    <row r="746" spans="1:48" s="1108" customFormat="1" ht="27.75" customHeight="1">
      <c r="A746" s="1076"/>
      <c r="B746" s="1074"/>
      <c r="D746" s="1063"/>
      <c r="F746" s="1076"/>
      <c r="G746" s="1063"/>
      <c r="H746" s="1063"/>
      <c r="I746" s="1063"/>
      <c r="J746" s="1063"/>
      <c r="K746" s="1063"/>
      <c r="L746" s="1063"/>
      <c r="M746" s="1063"/>
      <c r="N746" s="1063"/>
      <c r="O746" s="1063"/>
      <c r="P746" s="1063"/>
      <c r="Q746" s="1063"/>
      <c r="R746" s="1063"/>
      <c r="S746" s="1063"/>
      <c r="T746" s="1063"/>
      <c r="U746" s="1063"/>
      <c r="V746" s="1063"/>
      <c r="W746" s="1063"/>
      <c r="X746" s="1063"/>
      <c r="Y746" s="1063"/>
      <c r="Z746" s="1063"/>
      <c r="AA746" s="1063"/>
      <c r="AB746" s="1063"/>
      <c r="AC746" s="1063"/>
      <c r="AD746" s="1063"/>
      <c r="AE746" s="1063"/>
      <c r="AF746" s="1063"/>
      <c r="AG746" s="1063"/>
      <c r="AH746" s="1063"/>
      <c r="AI746" s="1063"/>
      <c r="AJ746" s="1063"/>
      <c r="AK746" s="1063"/>
      <c r="AL746" s="1063"/>
      <c r="AM746" s="1063"/>
      <c r="AN746" s="1063"/>
      <c r="AO746" s="1063"/>
      <c r="AP746" s="1063"/>
      <c r="AQ746" s="1063"/>
      <c r="AR746" s="1063"/>
      <c r="AS746" s="1063"/>
      <c r="AT746" s="1063"/>
      <c r="AU746" s="1063"/>
      <c r="AV746" s="1063"/>
    </row>
    <row r="747" spans="1:48" s="1108" customFormat="1" ht="27.75" customHeight="1">
      <c r="A747" s="1076"/>
      <c r="B747" s="1074"/>
      <c r="D747" s="1063"/>
      <c r="F747" s="1076"/>
      <c r="G747" s="1063"/>
      <c r="H747" s="1063"/>
      <c r="I747" s="1063"/>
      <c r="J747" s="1063"/>
      <c r="K747" s="1063"/>
      <c r="L747" s="1063"/>
      <c r="M747" s="1063"/>
      <c r="N747" s="1063"/>
      <c r="O747" s="1063"/>
      <c r="P747" s="1063"/>
      <c r="Q747" s="1063"/>
      <c r="R747" s="1063"/>
      <c r="S747" s="1063"/>
      <c r="T747" s="1063"/>
      <c r="U747" s="1063"/>
      <c r="V747" s="1063"/>
      <c r="W747" s="1063"/>
      <c r="X747" s="1063"/>
      <c r="Y747" s="1063"/>
      <c r="Z747" s="1063"/>
      <c r="AA747" s="1063"/>
      <c r="AB747" s="1063"/>
      <c r="AC747" s="1063"/>
      <c r="AD747" s="1063"/>
      <c r="AE747" s="1063"/>
      <c r="AF747" s="1063"/>
      <c r="AG747" s="1063"/>
      <c r="AH747" s="1063"/>
      <c r="AI747" s="1063"/>
      <c r="AJ747" s="1063"/>
      <c r="AK747" s="1063"/>
      <c r="AL747" s="1063"/>
      <c r="AM747" s="1063"/>
      <c r="AN747" s="1063"/>
      <c r="AO747" s="1063"/>
      <c r="AP747" s="1063"/>
      <c r="AQ747" s="1063"/>
      <c r="AR747" s="1063"/>
      <c r="AS747" s="1063"/>
      <c r="AT747" s="1063"/>
      <c r="AU747" s="1063"/>
      <c r="AV747" s="1063"/>
    </row>
    <row r="748" spans="1:48" s="1108" customFormat="1" ht="27.75" customHeight="1">
      <c r="A748" s="1076"/>
      <c r="B748" s="1074"/>
      <c r="D748" s="1063"/>
      <c r="F748" s="1076"/>
      <c r="G748" s="1063"/>
      <c r="H748" s="1063"/>
      <c r="I748" s="1063"/>
      <c r="J748" s="1063"/>
      <c r="K748" s="1063"/>
      <c r="L748" s="1063"/>
      <c r="M748" s="1063"/>
      <c r="N748" s="1063"/>
      <c r="O748" s="1063"/>
      <c r="P748" s="1063"/>
      <c r="Q748" s="1063"/>
      <c r="R748" s="1063"/>
      <c r="S748" s="1063"/>
      <c r="T748" s="1063"/>
      <c r="U748" s="1063"/>
      <c r="V748" s="1063"/>
      <c r="W748" s="1063"/>
      <c r="X748" s="1063"/>
      <c r="Y748" s="1063"/>
      <c r="Z748" s="1063"/>
      <c r="AA748" s="1063"/>
      <c r="AB748" s="1063"/>
      <c r="AC748" s="1063"/>
      <c r="AD748" s="1063"/>
      <c r="AE748" s="1063"/>
      <c r="AF748" s="1063"/>
      <c r="AG748" s="1063"/>
      <c r="AH748" s="1063"/>
      <c r="AI748" s="1063"/>
      <c r="AJ748" s="1063"/>
      <c r="AK748" s="1063"/>
      <c r="AL748" s="1063"/>
      <c r="AM748" s="1063"/>
      <c r="AN748" s="1063"/>
      <c r="AO748" s="1063"/>
      <c r="AP748" s="1063"/>
      <c r="AQ748" s="1063"/>
      <c r="AR748" s="1063"/>
      <c r="AS748" s="1063"/>
      <c r="AT748" s="1063"/>
      <c r="AU748" s="1063"/>
      <c r="AV748" s="1063"/>
    </row>
    <row r="749" spans="1:48" s="1108" customFormat="1" ht="27.75" customHeight="1">
      <c r="A749" s="1076"/>
      <c r="B749" s="1074"/>
      <c r="D749" s="1063"/>
      <c r="F749" s="1076"/>
      <c r="G749" s="1063"/>
      <c r="H749" s="1063"/>
      <c r="I749" s="1063"/>
      <c r="J749" s="1063"/>
      <c r="K749" s="1063"/>
      <c r="L749" s="1063"/>
      <c r="M749" s="1063"/>
      <c r="N749" s="1063"/>
      <c r="O749" s="1063"/>
      <c r="P749" s="1063"/>
      <c r="Q749" s="1063"/>
      <c r="R749" s="1063"/>
      <c r="S749" s="1063"/>
      <c r="T749" s="1063"/>
      <c r="U749" s="1063"/>
      <c r="V749" s="1063"/>
      <c r="W749" s="1063"/>
      <c r="X749" s="1063"/>
      <c r="Y749" s="1063"/>
      <c r="Z749" s="1063"/>
      <c r="AA749" s="1063"/>
      <c r="AB749" s="1063"/>
      <c r="AC749" s="1063"/>
      <c r="AD749" s="1063"/>
      <c r="AE749" s="1063"/>
      <c r="AF749" s="1063"/>
      <c r="AG749" s="1063"/>
      <c r="AH749" s="1063"/>
      <c r="AI749" s="1063"/>
      <c r="AJ749" s="1063"/>
      <c r="AK749" s="1063"/>
      <c r="AL749" s="1063"/>
      <c r="AM749" s="1063"/>
      <c r="AN749" s="1063"/>
      <c r="AO749" s="1063"/>
      <c r="AP749" s="1063"/>
      <c r="AQ749" s="1063"/>
      <c r="AR749" s="1063"/>
      <c r="AS749" s="1063"/>
      <c r="AT749" s="1063"/>
      <c r="AU749" s="1063"/>
      <c r="AV749" s="1063"/>
    </row>
    <row r="750" spans="1:48" s="1108" customFormat="1" ht="27.75" customHeight="1">
      <c r="A750" s="1076"/>
      <c r="B750" s="1074"/>
      <c r="D750" s="1063"/>
      <c r="F750" s="1076"/>
      <c r="G750" s="1063"/>
      <c r="H750" s="1063"/>
      <c r="I750" s="1063"/>
      <c r="J750" s="1063"/>
      <c r="K750" s="1063"/>
      <c r="L750" s="1063"/>
      <c r="M750" s="1063"/>
      <c r="N750" s="1063"/>
      <c r="O750" s="1063"/>
      <c r="P750" s="1063"/>
      <c r="Q750" s="1063"/>
      <c r="R750" s="1063"/>
      <c r="S750" s="1063"/>
      <c r="T750" s="1063"/>
      <c r="U750" s="1063"/>
      <c r="V750" s="1063"/>
      <c r="W750" s="1063"/>
      <c r="X750" s="1063"/>
      <c r="Y750" s="1063"/>
      <c r="Z750" s="1063"/>
      <c r="AA750" s="1063"/>
      <c r="AB750" s="1063"/>
      <c r="AC750" s="1063"/>
      <c r="AD750" s="1063"/>
      <c r="AE750" s="1063"/>
      <c r="AF750" s="1063"/>
      <c r="AG750" s="1063"/>
      <c r="AH750" s="1063"/>
      <c r="AI750" s="1063"/>
      <c r="AJ750" s="1063"/>
      <c r="AK750" s="1063"/>
      <c r="AL750" s="1063"/>
      <c r="AM750" s="1063"/>
      <c r="AN750" s="1063"/>
      <c r="AO750" s="1063"/>
      <c r="AP750" s="1063"/>
      <c r="AQ750" s="1063"/>
      <c r="AR750" s="1063"/>
      <c r="AS750" s="1063"/>
      <c r="AT750" s="1063"/>
      <c r="AU750" s="1063"/>
      <c r="AV750" s="1063"/>
    </row>
    <row r="751" spans="1:48" s="1108" customFormat="1" ht="27.75" customHeight="1">
      <c r="A751" s="1076"/>
      <c r="B751" s="1074"/>
      <c r="D751" s="1063"/>
      <c r="F751" s="1076"/>
      <c r="G751" s="1063"/>
      <c r="H751" s="1063"/>
      <c r="I751" s="1063"/>
      <c r="J751" s="1063"/>
      <c r="K751" s="1063"/>
      <c r="L751" s="1063"/>
      <c r="M751" s="1063"/>
      <c r="N751" s="1063"/>
      <c r="O751" s="1063"/>
      <c r="P751" s="1063"/>
      <c r="Q751" s="1063"/>
      <c r="R751" s="1063"/>
      <c r="S751" s="1063"/>
      <c r="T751" s="1063"/>
      <c r="U751" s="1063"/>
      <c r="V751" s="1063"/>
      <c r="W751" s="1063"/>
      <c r="X751" s="1063"/>
      <c r="Y751" s="1063"/>
      <c r="Z751" s="1063"/>
      <c r="AA751" s="1063"/>
      <c r="AB751" s="1063"/>
      <c r="AC751" s="1063"/>
      <c r="AD751" s="1063"/>
      <c r="AE751" s="1063"/>
      <c r="AF751" s="1063"/>
      <c r="AG751" s="1063"/>
      <c r="AH751" s="1063"/>
      <c r="AI751" s="1063"/>
      <c r="AJ751" s="1063"/>
      <c r="AK751" s="1063"/>
      <c r="AL751" s="1063"/>
      <c r="AM751" s="1063"/>
      <c r="AN751" s="1063"/>
      <c r="AO751" s="1063"/>
      <c r="AP751" s="1063"/>
      <c r="AQ751" s="1063"/>
      <c r="AR751" s="1063"/>
      <c r="AS751" s="1063"/>
      <c r="AT751" s="1063"/>
      <c r="AU751" s="1063"/>
      <c r="AV751" s="1063"/>
    </row>
    <row r="752" spans="1:48" s="1108" customFormat="1" ht="27.75" customHeight="1">
      <c r="A752" s="1076"/>
      <c r="B752" s="1074"/>
      <c r="D752" s="1063"/>
      <c r="F752" s="1076"/>
      <c r="G752" s="1063"/>
      <c r="H752" s="1063"/>
      <c r="I752" s="1063"/>
      <c r="J752" s="1063"/>
      <c r="K752" s="1063"/>
      <c r="L752" s="1063"/>
      <c r="M752" s="1063"/>
      <c r="N752" s="1063"/>
      <c r="O752" s="1063"/>
      <c r="P752" s="1063"/>
      <c r="Q752" s="1063"/>
      <c r="R752" s="1063"/>
      <c r="S752" s="1063"/>
      <c r="T752" s="1063"/>
      <c r="U752" s="1063"/>
      <c r="V752" s="1063"/>
      <c r="W752" s="1063"/>
      <c r="X752" s="1063"/>
      <c r="Y752" s="1063"/>
      <c r="Z752" s="1063"/>
      <c r="AA752" s="1063"/>
      <c r="AB752" s="1063"/>
      <c r="AC752" s="1063"/>
      <c r="AD752" s="1063"/>
      <c r="AE752" s="1063"/>
      <c r="AF752" s="1063"/>
      <c r="AG752" s="1063"/>
      <c r="AH752" s="1063"/>
      <c r="AI752" s="1063"/>
      <c r="AJ752" s="1063"/>
      <c r="AK752" s="1063"/>
      <c r="AL752" s="1063"/>
      <c r="AM752" s="1063"/>
      <c r="AN752" s="1063"/>
      <c r="AO752" s="1063"/>
      <c r="AP752" s="1063"/>
      <c r="AQ752" s="1063"/>
      <c r="AR752" s="1063"/>
      <c r="AS752" s="1063"/>
      <c r="AT752" s="1063"/>
      <c r="AU752" s="1063"/>
      <c r="AV752" s="1063"/>
    </row>
    <row r="753" spans="1:48" s="1108" customFormat="1" ht="27.75" customHeight="1">
      <c r="A753" s="1076"/>
      <c r="B753" s="1074"/>
      <c r="D753" s="1063"/>
      <c r="F753" s="1076"/>
      <c r="G753" s="1063"/>
      <c r="H753" s="1063"/>
      <c r="I753" s="1063"/>
      <c r="J753" s="1063"/>
      <c r="K753" s="1063"/>
      <c r="L753" s="1063"/>
      <c r="M753" s="1063"/>
      <c r="N753" s="1063"/>
      <c r="O753" s="1063"/>
      <c r="P753" s="1063"/>
      <c r="Q753" s="1063"/>
      <c r="R753" s="1063"/>
      <c r="S753" s="1063"/>
      <c r="T753" s="1063"/>
      <c r="U753" s="1063"/>
      <c r="V753" s="1063"/>
      <c r="W753" s="1063"/>
      <c r="X753" s="1063"/>
      <c r="Y753" s="1063"/>
      <c r="Z753" s="1063"/>
      <c r="AA753" s="1063"/>
      <c r="AB753" s="1063"/>
      <c r="AC753" s="1063"/>
      <c r="AD753" s="1063"/>
      <c r="AE753" s="1063"/>
      <c r="AF753" s="1063"/>
      <c r="AG753" s="1063"/>
      <c r="AH753" s="1063"/>
      <c r="AI753" s="1063"/>
      <c r="AJ753" s="1063"/>
      <c r="AK753" s="1063"/>
      <c r="AL753" s="1063"/>
      <c r="AM753" s="1063"/>
      <c r="AN753" s="1063"/>
      <c r="AO753" s="1063"/>
      <c r="AP753" s="1063"/>
      <c r="AQ753" s="1063"/>
      <c r="AR753" s="1063"/>
      <c r="AS753" s="1063"/>
      <c r="AT753" s="1063"/>
      <c r="AU753" s="1063"/>
      <c r="AV753" s="1063"/>
    </row>
    <row r="754" spans="1:48" s="1108" customFormat="1" ht="27.75" customHeight="1">
      <c r="A754" s="1076"/>
      <c r="B754" s="1074"/>
      <c r="D754" s="1063"/>
      <c r="F754" s="1076"/>
      <c r="G754" s="1063"/>
      <c r="H754" s="1063"/>
      <c r="I754" s="1063"/>
      <c r="J754" s="1063"/>
      <c r="K754" s="1063"/>
      <c r="L754" s="1063"/>
      <c r="M754" s="1063"/>
      <c r="N754" s="1063"/>
      <c r="O754" s="1063"/>
      <c r="P754" s="1063"/>
      <c r="Q754" s="1063"/>
      <c r="R754" s="1063"/>
      <c r="S754" s="1063"/>
      <c r="T754" s="1063"/>
      <c r="U754" s="1063"/>
      <c r="V754" s="1063"/>
      <c r="W754" s="1063"/>
      <c r="X754" s="1063"/>
      <c r="Y754" s="1063"/>
      <c r="Z754" s="1063"/>
      <c r="AA754" s="1063"/>
      <c r="AB754" s="1063"/>
      <c r="AC754" s="1063"/>
      <c r="AD754" s="1063"/>
      <c r="AE754" s="1063"/>
      <c r="AF754" s="1063"/>
      <c r="AG754" s="1063"/>
      <c r="AH754" s="1063"/>
      <c r="AI754" s="1063"/>
      <c r="AJ754" s="1063"/>
      <c r="AK754" s="1063"/>
      <c r="AL754" s="1063"/>
      <c r="AM754" s="1063"/>
      <c r="AN754" s="1063"/>
      <c r="AO754" s="1063"/>
      <c r="AP754" s="1063"/>
      <c r="AQ754" s="1063"/>
      <c r="AR754" s="1063"/>
      <c r="AS754" s="1063"/>
      <c r="AT754" s="1063"/>
      <c r="AU754" s="1063"/>
      <c r="AV754" s="1063"/>
    </row>
    <row r="755" spans="1:48" s="1108" customFormat="1" ht="27.75" customHeight="1">
      <c r="A755" s="1076"/>
      <c r="B755" s="1074"/>
      <c r="D755" s="1063"/>
      <c r="F755" s="1076"/>
      <c r="G755" s="1063"/>
      <c r="H755" s="1063"/>
      <c r="I755" s="1063"/>
      <c r="J755" s="1063"/>
      <c r="K755" s="1063"/>
      <c r="L755" s="1063"/>
      <c r="M755" s="1063"/>
      <c r="N755" s="1063"/>
      <c r="O755" s="1063"/>
      <c r="P755" s="1063"/>
      <c r="Q755" s="1063"/>
      <c r="R755" s="1063"/>
      <c r="S755" s="1063"/>
      <c r="T755" s="1063"/>
      <c r="U755" s="1063"/>
      <c r="V755" s="1063"/>
      <c r="W755" s="1063"/>
      <c r="X755" s="1063"/>
      <c r="Y755" s="1063"/>
      <c r="Z755" s="1063"/>
      <c r="AA755" s="1063"/>
      <c r="AB755" s="1063"/>
      <c r="AC755" s="1063"/>
      <c r="AD755" s="1063"/>
      <c r="AE755" s="1063"/>
      <c r="AF755" s="1063"/>
      <c r="AG755" s="1063"/>
      <c r="AH755" s="1063"/>
      <c r="AI755" s="1063"/>
      <c r="AJ755" s="1063"/>
      <c r="AK755" s="1063"/>
      <c r="AL755" s="1063"/>
      <c r="AM755" s="1063"/>
      <c r="AN755" s="1063"/>
      <c r="AO755" s="1063"/>
      <c r="AP755" s="1063"/>
      <c r="AQ755" s="1063"/>
      <c r="AR755" s="1063"/>
      <c r="AS755" s="1063"/>
      <c r="AT755" s="1063"/>
      <c r="AU755" s="1063"/>
      <c r="AV755" s="1063"/>
    </row>
    <row r="756" spans="1:48" s="1108" customFormat="1" ht="27.75" customHeight="1">
      <c r="A756" s="1076"/>
      <c r="B756" s="1074"/>
      <c r="D756" s="1063"/>
      <c r="F756" s="1076"/>
      <c r="G756" s="1063"/>
      <c r="H756" s="1063"/>
      <c r="I756" s="1063"/>
      <c r="J756" s="1063"/>
      <c r="K756" s="1063"/>
      <c r="L756" s="1063"/>
      <c r="M756" s="1063"/>
      <c r="N756" s="1063"/>
      <c r="O756" s="1063"/>
      <c r="P756" s="1063"/>
      <c r="Q756" s="1063"/>
      <c r="R756" s="1063"/>
      <c r="S756" s="1063"/>
      <c r="T756" s="1063"/>
      <c r="U756" s="1063"/>
      <c r="V756" s="1063"/>
      <c r="W756" s="1063"/>
      <c r="X756" s="1063"/>
      <c r="Y756" s="1063"/>
      <c r="Z756" s="1063"/>
      <c r="AA756" s="1063"/>
      <c r="AB756" s="1063"/>
      <c r="AC756" s="1063"/>
      <c r="AD756" s="1063"/>
      <c r="AE756" s="1063"/>
      <c r="AF756" s="1063"/>
      <c r="AG756" s="1063"/>
      <c r="AH756" s="1063"/>
      <c r="AI756" s="1063"/>
      <c r="AJ756" s="1063"/>
      <c r="AK756" s="1063"/>
      <c r="AL756" s="1063"/>
      <c r="AM756" s="1063"/>
      <c r="AN756" s="1063"/>
      <c r="AO756" s="1063"/>
      <c r="AP756" s="1063"/>
      <c r="AQ756" s="1063"/>
      <c r="AR756" s="1063"/>
      <c r="AS756" s="1063"/>
      <c r="AT756" s="1063"/>
      <c r="AU756" s="1063"/>
      <c r="AV756" s="1063"/>
    </row>
    <row r="757" spans="1:48" s="1108" customFormat="1" ht="27.75" customHeight="1">
      <c r="A757" s="1076"/>
      <c r="B757" s="1074">
        <f>+'[18]Bldg+Dev'!S1569</f>
        <v>0</v>
      </c>
      <c r="D757" s="1063"/>
      <c r="F757" s="1076"/>
      <c r="G757" s="1063"/>
      <c r="H757" s="1063"/>
      <c r="I757" s="1063"/>
      <c r="J757" s="1063"/>
      <c r="K757" s="1063"/>
      <c r="L757" s="1063"/>
      <c r="M757" s="1063"/>
      <c r="N757" s="1063"/>
      <c r="O757" s="1063"/>
      <c r="P757" s="1063"/>
      <c r="Q757" s="1063"/>
      <c r="R757" s="1063"/>
      <c r="S757" s="1063"/>
      <c r="T757" s="1063"/>
      <c r="U757" s="1063"/>
      <c r="V757" s="1063"/>
      <c r="W757" s="1063"/>
      <c r="X757" s="1063"/>
      <c r="Y757" s="1063"/>
      <c r="Z757" s="1063"/>
      <c r="AA757" s="1063"/>
      <c r="AB757" s="1063"/>
      <c r="AC757" s="1063"/>
      <c r="AD757" s="1063"/>
      <c r="AE757" s="1063"/>
      <c r="AF757" s="1063"/>
      <c r="AG757" s="1063"/>
      <c r="AH757" s="1063"/>
      <c r="AI757" s="1063"/>
      <c r="AJ757" s="1063"/>
      <c r="AK757" s="1063"/>
      <c r="AL757" s="1063"/>
      <c r="AM757" s="1063"/>
      <c r="AN757" s="1063"/>
      <c r="AO757" s="1063"/>
      <c r="AP757" s="1063"/>
      <c r="AQ757" s="1063"/>
      <c r="AR757" s="1063"/>
      <c r="AS757" s="1063"/>
      <c r="AT757" s="1063"/>
      <c r="AU757" s="1063"/>
      <c r="AV757" s="1063"/>
    </row>
    <row r="758" spans="1:48" s="1108" customFormat="1" ht="27.75" customHeight="1">
      <c r="A758" s="1076"/>
      <c r="B758" s="1074">
        <f>+'[18]Bldg+Dev'!S1570</f>
        <v>0</v>
      </c>
      <c r="D758" s="1063"/>
      <c r="F758" s="1076"/>
      <c r="G758" s="1063"/>
      <c r="H758" s="1063"/>
      <c r="I758" s="1063"/>
      <c r="J758" s="1063"/>
      <c r="K758" s="1063"/>
      <c r="L758" s="1063"/>
      <c r="M758" s="1063"/>
      <c r="N758" s="1063"/>
      <c r="O758" s="1063"/>
      <c r="P758" s="1063"/>
      <c r="Q758" s="1063"/>
      <c r="R758" s="1063"/>
      <c r="S758" s="1063"/>
      <c r="T758" s="1063"/>
      <c r="U758" s="1063"/>
      <c r="V758" s="1063"/>
      <c r="W758" s="1063"/>
      <c r="X758" s="1063"/>
      <c r="Y758" s="1063"/>
      <c r="Z758" s="1063"/>
      <c r="AA758" s="1063"/>
      <c r="AB758" s="1063"/>
      <c r="AC758" s="1063"/>
      <c r="AD758" s="1063"/>
      <c r="AE758" s="1063"/>
      <c r="AF758" s="1063"/>
      <c r="AG758" s="1063"/>
      <c r="AH758" s="1063"/>
      <c r="AI758" s="1063"/>
      <c r="AJ758" s="1063"/>
      <c r="AK758" s="1063"/>
      <c r="AL758" s="1063"/>
      <c r="AM758" s="1063"/>
      <c r="AN758" s="1063"/>
      <c r="AO758" s="1063"/>
      <c r="AP758" s="1063"/>
      <c r="AQ758" s="1063"/>
      <c r="AR758" s="1063"/>
      <c r="AS758" s="1063"/>
      <c r="AT758" s="1063"/>
      <c r="AU758" s="1063"/>
      <c r="AV758" s="1063"/>
    </row>
    <row r="759" spans="1:48" s="1108" customFormat="1" ht="27.75" customHeight="1">
      <c r="A759" s="1076"/>
      <c r="B759" s="1074">
        <f>+'[18]Bldg+Dev'!S1571</f>
        <v>0</v>
      </c>
      <c r="D759" s="1063"/>
      <c r="F759" s="1076"/>
      <c r="G759" s="1063"/>
      <c r="H759" s="1063"/>
      <c r="I759" s="1063"/>
      <c r="J759" s="1063"/>
      <c r="K759" s="1063"/>
      <c r="L759" s="1063"/>
      <c r="M759" s="1063"/>
      <c r="N759" s="1063"/>
      <c r="O759" s="1063"/>
      <c r="P759" s="1063"/>
      <c r="Q759" s="1063"/>
      <c r="R759" s="1063"/>
      <c r="S759" s="1063"/>
      <c r="T759" s="1063"/>
      <c r="U759" s="1063"/>
      <c r="V759" s="1063"/>
      <c r="W759" s="1063"/>
      <c r="X759" s="1063"/>
      <c r="Y759" s="1063"/>
      <c r="Z759" s="1063"/>
      <c r="AA759" s="1063"/>
      <c r="AB759" s="1063"/>
      <c r="AC759" s="1063"/>
      <c r="AD759" s="1063"/>
      <c r="AE759" s="1063"/>
      <c r="AF759" s="1063"/>
      <c r="AG759" s="1063"/>
      <c r="AH759" s="1063"/>
      <c r="AI759" s="1063"/>
      <c r="AJ759" s="1063"/>
      <c r="AK759" s="1063"/>
      <c r="AL759" s="1063"/>
      <c r="AM759" s="1063"/>
      <c r="AN759" s="1063"/>
      <c r="AO759" s="1063"/>
      <c r="AP759" s="1063"/>
      <c r="AQ759" s="1063"/>
      <c r="AR759" s="1063"/>
      <c r="AS759" s="1063"/>
      <c r="AT759" s="1063"/>
      <c r="AU759" s="1063"/>
      <c r="AV759" s="1063"/>
    </row>
    <row r="760" spans="1:48" s="1108" customFormat="1" ht="27.75" customHeight="1">
      <c r="A760" s="1076"/>
      <c r="B760" s="1074">
        <f>+'[18]Bldg+Dev'!S1572</f>
        <v>0</v>
      </c>
      <c r="D760" s="1063"/>
      <c r="F760" s="1076"/>
      <c r="G760" s="1063"/>
      <c r="H760" s="1063"/>
      <c r="I760" s="1063"/>
      <c r="J760" s="1063"/>
      <c r="K760" s="1063"/>
      <c r="L760" s="1063"/>
      <c r="M760" s="1063"/>
      <c r="N760" s="1063"/>
      <c r="O760" s="1063"/>
      <c r="P760" s="1063"/>
      <c r="Q760" s="1063"/>
      <c r="R760" s="1063"/>
      <c r="S760" s="1063"/>
      <c r="T760" s="1063"/>
      <c r="U760" s="1063"/>
      <c r="V760" s="1063"/>
      <c r="W760" s="1063"/>
      <c r="X760" s="1063"/>
      <c r="Y760" s="1063"/>
      <c r="Z760" s="1063"/>
      <c r="AA760" s="1063"/>
      <c r="AB760" s="1063"/>
      <c r="AC760" s="1063"/>
      <c r="AD760" s="1063"/>
      <c r="AE760" s="1063"/>
      <c r="AF760" s="1063"/>
      <c r="AG760" s="1063"/>
      <c r="AH760" s="1063"/>
      <c r="AI760" s="1063"/>
      <c r="AJ760" s="1063"/>
      <c r="AK760" s="1063"/>
      <c r="AL760" s="1063"/>
      <c r="AM760" s="1063"/>
      <c r="AN760" s="1063"/>
      <c r="AO760" s="1063"/>
      <c r="AP760" s="1063"/>
      <c r="AQ760" s="1063"/>
      <c r="AR760" s="1063"/>
      <c r="AS760" s="1063"/>
      <c r="AT760" s="1063"/>
      <c r="AU760" s="1063"/>
      <c r="AV760" s="1063"/>
    </row>
    <row r="761" spans="1:48" s="1108" customFormat="1" ht="27.75" customHeight="1">
      <c r="A761" s="1076"/>
      <c r="B761" s="1074">
        <f>+'[18]Bldg+Dev'!S1573</f>
        <v>0</v>
      </c>
      <c r="D761" s="1063"/>
      <c r="F761" s="1076"/>
      <c r="G761" s="1063"/>
      <c r="H761" s="1063"/>
      <c r="I761" s="1063"/>
      <c r="J761" s="1063"/>
      <c r="K761" s="1063"/>
      <c r="L761" s="1063"/>
      <c r="M761" s="1063"/>
      <c r="N761" s="1063"/>
      <c r="O761" s="1063"/>
      <c r="P761" s="1063"/>
      <c r="Q761" s="1063"/>
      <c r="R761" s="1063"/>
      <c r="S761" s="1063"/>
      <c r="T761" s="1063"/>
      <c r="U761" s="1063"/>
      <c r="V761" s="1063"/>
      <c r="W761" s="1063"/>
      <c r="X761" s="1063"/>
      <c r="Y761" s="1063"/>
      <c r="Z761" s="1063"/>
      <c r="AA761" s="1063"/>
      <c r="AB761" s="1063"/>
      <c r="AC761" s="1063"/>
      <c r="AD761" s="1063"/>
      <c r="AE761" s="1063"/>
      <c r="AF761" s="1063"/>
      <c r="AG761" s="1063"/>
      <c r="AH761" s="1063"/>
      <c r="AI761" s="1063"/>
      <c r="AJ761" s="1063"/>
      <c r="AK761" s="1063"/>
      <c r="AL761" s="1063"/>
      <c r="AM761" s="1063"/>
      <c r="AN761" s="1063"/>
      <c r="AO761" s="1063"/>
      <c r="AP761" s="1063"/>
      <c r="AQ761" s="1063"/>
      <c r="AR761" s="1063"/>
      <c r="AS761" s="1063"/>
      <c r="AT761" s="1063"/>
      <c r="AU761" s="1063"/>
      <c r="AV761" s="1063"/>
    </row>
    <row r="762" spans="1:48" s="1108" customFormat="1" ht="27.75" customHeight="1">
      <c r="A762" s="1076"/>
      <c r="B762" s="1074">
        <f>+'[18]Bldg+Dev'!S1574</f>
        <v>0</v>
      </c>
      <c r="D762" s="1063"/>
      <c r="F762" s="1076"/>
      <c r="G762" s="1063"/>
      <c r="H762" s="1063"/>
      <c r="I762" s="1063"/>
      <c r="J762" s="1063"/>
      <c r="K762" s="1063"/>
      <c r="L762" s="1063"/>
      <c r="M762" s="1063"/>
      <c r="N762" s="1063"/>
      <c r="O762" s="1063"/>
      <c r="P762" s="1063"/>
      <c r="Q762" s="1063"/>
      <c r="R762" s="1063"/>
      <c r="S762" s="1063"/>
      <c r="T762" s="1063"/>
      <c r="U762" s="1063"/>
      <c r="V762" s="1063"/>
      <c r="W762" s="1063"/>
      <c r="X762" s="1063"/>
      <c r="Y762" s="1063"/>
      <c r="Z762" s="1063"/>
      <c r="AA762" s="1063"/>
      <c r="AB762" s="1063"/>
      <c r="AC762" s="1063"/>
      <c r="AD762" s="1063"/>
      <c r="AE762" s="1063"/>
      <c r="AF762" s="1063"/>
      <c r="AG762" s="1063"/>
      <c r="AH762" s="1063"/>
      <c r="AI762" s="1063"/>
      <c r="AJ762" s="1063"/>
      <c r="AK762" s="1063"/>
      <c r="AL762" s="1063"/>
      <c r="AM762" s="1063"/>
      <c r="AN762" s="1063"/>
      <c r="AO762" s="1063"/>
      <c r="AP762" s="1063"/>
      <c r="AQ762" s="1063"/>
      <c r="AR762" s="1063"/>
      <c r="AS762" s="1063"/>
      <c r="AT762" s="1063"/>
      <c r="AU762" s="1063"/>
      <c r="AV762" s="1063"/>
    </row>
    <row r="763" spans="1:48" s="1108" customFormat="1" ht="27.75" customHeight="1">
      <c r="A763" s="1076"/>
      <c r="B763" s="1074">
        <f>+'[18]Bldg+Dev'!S1575</f>
        <v>0</v>
      </c>
      <c r="D763" s="1063"/>
      <c r="F763" s="1076"/>
      <c r="G763" s="1063"/>
      <c r="H763" s="1063"/>
      <c r="I763" s="1063"/>
      <c r="J763" s="1063"/>
      <c r="K763" s="1063"/>
      <c r="L763" s="1063"/>
      <c r="M763" s="1063"/>
      <c r="N763" s="1063"/>
      <c r="O763" s="1063"/>
      <c r="P763" s="1063"/>
      <c r="Q763" s="1063"/>
      <c r="R763" s="1063"/>
      <c r="S763" s="1063"/>
      <c r="T763" s="1063"/>
      <c r="U763" s="1063"/>
      <c r="V763" s="1063"/>
      <c r="W763" s="1063"/>
      <c r="X763" s="1063"/>
      <c r="Y763" s="1063"/>
      <c r="Z763" s="1063"/>
      <c r="AA763" s="1063"/>
      <c r="AB763" s="1063"/>
      <c r="AC763" s="1063"/>
      <c r="AD763" s="1063"/>
      <c r="AE763" s="1063"/>
      <c r="AF763" s="1063"/>
      <c r="AG763" s="1063"/>
      <c r="AH763" s="1063"/>
      <c r="AI763" s="1063"/>
      <c r="AJ763" s="1063"/>
      <c r="AK763" s="1063"/>
      <c r="AL763" s="1063"/>
      <c r="AM763" s="1063"/>
      <c r="AN763" s="1063"/>
      <c r="AO763" s="1063"/>
      <c r="AP763" s="1063"/>
      <c r="AQ763" s="1063"/>
      <c r="AR763" s="1063"/>
      <c r="AS763" s="1063"/>
      <c r="AT763" s="1063"/>
      <c r="AU763" s="1063"/>
      <c r="AV763" s="1063"/>
    </row>
    <row r="764" spans="1:48" s="1108" customFormat="1" ht="27.75" customHeight="1">
      <c r="A764" s="1076"/>
      <c r="B764" s="1074">
        <f>+'[18]Bldg+Dev'!S1576</f>
        <v>0</v>
      </c>
      <c r="D764" s="1063"/>
      <c r="F764" s="1076"/>
      <c r="G764" s="1063"/>
      <c r="H764" s="1063"/>
      <c r="I764" s="1063"/>
      <c r="J764" s="1063"/>
      <c r="K764" s="1063"/>
      <c r="L764" s="1063"/>
      <c r="M764" s="1063"/>
      <c r="N764" s="1063"/>
      <c r="O764" s="1063"/>
      <c r="P764" s="1063"/>
      <c r="Q764" s="1063"/>
      <c r="R764" s="1063"/>
      <c r="S764" s="1063"/>
      <c r="T764" s="1063"/>
      <c r="U764" s="1063"/>
      <c r="V764" s="1063"/>
      <c r="W764" s="1063"/>
      <c r="X764" s="1063"/>
      <c r="Y764" s="1063"/>
      <c r="Z764" s="1063"/>
      <c r="AA764" s="1063"/>
      <c r="AB764" s="1063"/>
      <c r="AC764" s="1063"/>
      <c r="AD764" s="1063"/>
      <c r="AE764" s="1063"/>
      <c r="AF764" s="1063"/>
      <c r="AG764" s="1063"/>
      <c r="AH764" s="1063"/>
      <c r="AI764" s="1063"/>
      <c r="AJ764" s="1063"/>
      <c r="AK764" s="1063"/>
      <c r="AL764" s="1063"/>
      <c r="AM764" s="1063"/>
      <c r="AN764" s="1063"/>
      <c r="AO764" s="1063"/>
      <c r="AP764" s="1063"/>
      <c r="AQ764" s="1063"/>
      <c r="AR764" s="1063"/>
      <c r="AS764" s="1063"/>
      <c r="AT764" s="1063"/>
      <c r="AU764" s="1063"/>
      <c r="AV764" s="1063"/>
    </row>
    <row r="765" spans="1:48" s="1108" customFormat="1" ht="27.75" customHeight="1">
      <c r="A765" s="1076"/>
      <c r="B765" s="1074">
        <f>+'[18]Bldg+Dev'!S1577</f>
        <v>0</v>
      </c>
      <c r="D765" s="1063"/>
      <c r="F765" s="1076"/>
      <c r="G765" s="1063"/>
      <c r="H765" s="1063"/>
      <c r="I765" s="1063"/>
      <c r="J765" s="1063"/>
      <c r="K765" s="1063"/>
      <c r="L765" s="1063"/>
      <c r="M765" s="1063"/>
      <c r="N765" s="1063"/>
      <c r="O765" s="1063"/>
      <c r="P765" s="1063"/>
      <c r="Q765" s="1063"/>
      <c r="R765" s="1063"/>
      <c r="S765" s="1063"/>
      <c r="T765" s="1063"/>
      <c r="U765" s="1063"/>
      <c r="V765" s="1063"/>
      <c r="W765" s="1063"/>
      <c r="X765" s="1063"/>
      <c r="Y765" s="1063"/>
      <c r="Z765" s="1063"/>
      <c r="AA765" s="1063"/>
      <c r="AB765" s="1063"/>
      <c r="AC765" s="1063"/>
      <c r="AD765" s="1063"/>
      <c r="AE765" s="1063"/>
      <c r="AF765" s="1063"/>
      <c r="AG765" s="1063"/>
      <c r="AH765" s="1063"/>
      <c r="AI765" s="1063"/>
      <c r="AJ765" s="1063"/>
      <c r="AK765" s="1063"/>
      <c r="AL765" s="1063"/>
      <c r="AM765" s="1063"/>
      <c r="AN765" s="1063"/>
      <c r="AO765" s="1063"/>
      <c r="AP765" s="1063"/>
      <c r="AQ765" s="1063"/>
      <c r="AR765" s="1063"/>
      <c r="AS765" s="1063"/>
      <c r="AT765" s="1063"/>
      <c r="AU765" s="1063"/>
      <c r="AV765" s="1063"/>
    </row>
    <row r="766" spans="1:48" s="1108" customFormat="1" ht="27.75" customHeight="1">
      <c r="A766" s="1076"/>
      <c r="B766" s="1074">
        <f>+'[18]Bldg+Dev'!S1578</f>
        <v>0</v>
      </c>
      <c r="D766" s="1063"/>
      <c r="F766" s="1076"/>
      <c r="G766" s="1063"/>
      <c r="H766" s="1063"/>
      <c r="I766" s="1063"/>
      <c r="J766" s="1063"/>
      <c r="K766" s="1063"/>
      <c r="L766" s="1063"/>
      <c r="M766" s="1063"/>
      <c r="N766" s="1063"/>
      <c r="O766" s="1063"/>
      <c r="P766" s="1063"/>
      <c r="Q766" s="1063"/>
      <c r="R766" s="1063"/>
      <c r="S766" s="1063"/>
      <c r="T766" s="1063"/>
      <c r="U766" s="1063"/>
      <c r="V766" s="1063"/>
      <c r="W766" s="1063"/>
      <c r="X766" s="1063"/>
      <c r="Y766" s="1063"/>
      <c r="Z766" s="1063"/>
      <c r="AA766" s="1063"/>
      <c r="AB766" s="1063"/>
      <c r="AC766" s="1063"/>
      <c r="AD766" s="1063"/>
      <c r="AE766" s="1063"/>
      <c r="AF766" s="1063"/>
      <c r="AG766" s="1063"/>
      <c r="AH766" s="1063"/>
      <c r="AI766" s="1063"/>
      <c r="AJ766" s="1063"/>
      <c r="AK766" s="1063"/>
      <c r="AL766" s="1063"/>
      <c r="AM766" s="1063"/>
      <c r="AN766" s="1063"/>
      <c r="AO766" s="1063"/>
      <c r="AP766" s="1063"/>
      <c r="AQ766" s="1063"/>
      <c r="AR766" s="1063"/>
      <c r="AS766" s="1063"/>
      <c r="AT766" s="1063"/>
      <c r="AU766" s="1063"/>
      <c r="AV766" s="1063"/>
    </row>
    <row r="767" spans="1:48" s="1108" customFormat="1" ht="27.75" customHeight="1">
      <c r="A767" s="1076"/>
      <c r="B767" s="1074">
        <f>+'[18]Bldg+Dev'!S1579</f>
        <v>0</v>
      </c>
      <c r="D767" s="1063"/>
      <c r="F767" s="1076"/>
      <c r="G767" s="1063"/>
      <c r="H767" s="1063"/>
      <c r="I767" s="1063"/>
      <c r="J767" s="1063"/>
      <c r="K767" s="1063"/>
      <c r="L767" s="1063"/>
      <c r="M767" s="1063"/>
      <c r="N767" s="1063"/>
      <c r="O767" s="1063"/>
      <c r="P767" s="1063"/>
      <c r="Q767" s="1063"/>
      <c r="R767" s="1063"/>
      <c r="S767" s="1063"/>
      <c r="T767" s="1063"/>
      <c r="U767" s="1063"/>
      <c r="V767" s="1063"/>
      <c r="W767" s="1063"/>
      <c r="X767" s="1063"/>
      <c r="Y767" s="1063"/>
      <c r="Z767" s="1063"/>
      <c r="AA767" s="1063"/>
      <c r="AB767" s="1063"/>
      <c r="AC767" s="1063"/>
      <c r="AD767" s="1063"/>
      <c r="AE767" s="1063"/>
      <c r="AF767" s="1063"/>
      <c r="AG767" s="1063"/>
      <c r="AH767" s="1063"/>
      <c r="AI767" s="1063"/>
      <c r="AJ767" s="1063"/>
      <c r="AK767" s="1063"/>
      <c r="AL767" s="1063"/>
      <c r="AM767" s="1063"/>
      <c r="AN767" s="1063"/>
      <c r="AO767" s="1063"/>
      <c r="AP767" s="1063"/>
      <c r="AQ767" s="1063"/>
      <c r="AR767" s="1063"/>
      <c r="AS767" s="1063"/>
      <c r="AT767" s="1063"/>
      <c r="AU767" s="1063"/>
      <c r="AV767" s="1063"/>
    </row>
    <row r="768" spans="1:48" s="1108" customFormat="1" ht="27.75" customHeight="1">
      <c r="A768" s="1076"/>
      <c r="B768" s="1074">
        <f>+'[18]Bldg+Dev'!S1580</f>
        <v>0</v>
      </c>
      <c r="D768" s="1063"/>
      <c r="F768" s="1076"/>
      <c r="G768" s="1063"/>
      <c r="H768" s="1063"/>
      <c r="I768" s="1063"/>
      <c r="J768" s="1063"/>
      <c r="K768" s="1063"/>
      <c r="L768" s="1063"/>
      <c r="M768" s="1063"/>
      <c r="N768" s="1063"/>
      <c r="O768" s="1063"/>
      <c r="P768" s="1063"/>
      <c r="Q768" s="1063"/>
      <c r="R768" s="1063"/>
      <c r="S768" s="1063"/>
      <c r="T768" s="1063"/>
      <c r="U768" s="1063"/>
      <c r="V768" s="1063"/>
      <c r="W768" s="1063"/>
      <c r="X768" s="1063"/>
      <c r="Y768" s="1063"/>
      <c r="Z768" s="1063"/>
      <c r="AA768" s="1063"/>
      <c r="AB768" s="1063"/>
      <c r="AC768" s="1063"/>
      <c r="AD768" s="1063"/>
      <c r="AE768" s="1063"/>
      <c r="AF768" s="1063"/>
      <c r="AG768" s="1063"/>
      <c r="AH768" s="1063"/>
      <c r="AI768" s="1063"/>
      <c r="AJ768" s="1063"/>
      <c r="AK768" s="1063"/>
      <c r="AL768" s="1063"/>
      <c r="AM768" s="1063"/>
      <c r="AN768" s="1063"/>
      <c r="AO768" s="1063"/>
      <c r="AP768" s="1063"/>
      <c r="AQ768" s="1063"/>
      <c r="AR768" s="1063"/>
      <c r="AS768" s="1063"/>
      <c r="AT768" s="1063"/>
      <c r="AU768" s="1063"/>
      <c r="AV768" s="1063"/>
    </row>
    <row r="769" spans="1:48" s="1108" customFormat="1" ht="27.75" customHeight="1">
      <c r="A769" s="1076"/>
      <c r="B769" s="1074">
        <f>+'[18]Bldg+Dev'!S1581</f>
        <v>0</v>
      </c>
      <c r="D769" s="1063"/>
      <c r="F769" s="1076"/>
      <c r="G769" s="1063"/>
      <c r="H769" s="1063"/>
      <c r="I769" s="1063"/>
      <c r="J769" s="1063"/>
      <c r="K769" s="1063"/>
      <c r="L769" s="1063"/>
      <c r="M769" s="1063"/>
      <c r="N769" s="1063"/>
      <c r="O769" s="1063"/>
      <c r="P769" s="1063"/>
      <c r="Q769" s="1063"/>
      <c r="R769" s="1063"/>
      <c r="S769" s="1063"/>
      <c r="T769" s="1063"/>
      <c r="U769" s="1063"/>
      <c r="V769" s="1063"/>
      <c r="W769" s="1063"/>
      <c r="X769" s="1063"/>
      <c r="Y769" s="1063"/>
      <c r="Z769" s="1063"/>
      <c r="AA769" s="1063"/>
      <c r="AB769" s="1063"/>
      <c r="AC769" s="1063"/>
      <c r="AD769" s="1063"/>
      <c r="AE769" s="1063"/>
      <c r="AF769" s="1063"/>
      <c r="AG769" s="1063"/>
      <c r="AH769" s="1063"/>
      <c r="AI769" s="1063"/>
      <c r="AJ769" s="1063"/>
      <c r="AK769" s="1063"/>
      <c r="AL769" s="1063"/>
      <c r="AM769" s="1063"/>
      <c r="AN769" s="1063"/>
      <c r="AO769" s="1063"/>
      <c r="AP769" s="1063"/>
      <c r="AQ769" s="1063"/>
      <c r="AR769" s="1063"/>
      <c r="AS769" s="1063"/>
      <c r="AT769" s="1063"/>
      <c r="AU769" s="1063"/>
      <c r="AV769" s="1063"/>
    </row>
    <row r="770" spans="1:48" s="1108" customFormat="1" ht="27.75" customHeight="1">
      <c r="A770" s="1076"/>
      <c r="B770" s="1074">
        <f>+'[18]Bldg+Dev'!S1582</f>
        <v>0</v>
      </c>
      <c r="D770" s="1063"/>
      <c r="F770" s="1076"/>
      <c r="G770" s="1063"/>
      <c r="H770" s="1063"/>
      <c r="I770" s="1063"/>
      <c r="J770" s="1063"/>
      <c r="K770" s="1063"/>
      <c r="L770" s="1063"/>
      <c r="M770" s="1063"/>
      <c r="N770" s="1063"/>
      <c r="O770" s="1063"/>
      <c r="P770" s="1063"/>
      <c r="Q770" s="1063"/>
      <c r="R770" s="1063"/>
      <c r="S770" s="1063"/>
      <c r="T770" s="1063"/>
      <c r="U770" s="1063"/>
      <c r="V770" s="1063"/>
      <c r="W770" s="1063"/>
      <c r="X770" s="1063"/>
      <c r="Y770" s="1063"/>
      <c r="Z770" s="1063"/>
      <c r="AA770" s="1063"/>
      <c r="AB770" s="1063"/>
      <c r="AC770" s="1063"/>
      <c r="AD770" s="1063"/>
      <c r="AE770" s="1063"/>
      <c r="AF770" s="1063"/>
      <c r="AG770" s="1063"/>
      <c r="AH770" s="1063"/>
      <c r="AI770" s="1063"/>
      <c r="AJ770" s="1063"/>
      <c r="AK770" s="1063"/>
      <c r="AL770" s="1063"/>
      <c r="AM770" s="1063"/>
      <c r="AN770" s="1063"/>
      <c r="AO770" s="1063"/>
      <c r="AP770" s="1063"/>
      <c r="AQ770" s="1063"/>
      <c r="AR770" s="1063"/>
      <c r="AS770" s="1063"/>
      <c r="AT770" s="1063"/>
      <c r="AU770" s="1063"/>
      <c r="AV770" s="1063"/>
    </row>
    <row r="771" spans="1:48" s="1108" customFormat="1" ht="27.75" customHeight="1">
      <c r="A771" s="1076"/>
      <c r="B771" s="1074">
        <f>+'[18]Bldg+Dev'!S1583</f>
        <v>0</v>
      </c>
      <c r="D771" s="1063"/>
      <c r="F771" s="1076"/>
      <c r="G771" s="1063"/>
      <c r="H771" s="1063"/>
      <c r="I771" s="1063"/>
      <c r="J771" s="1063"/>
      <c r="K771" s="1063"/>
      <c r="L771" s="1063"/>
      <c r="M771" s="1063"/>
      <c r="N771" s="1063"/>
      <c r="O771" s="1063"/>
      <c r="P771" s="1063"/>
      <c r="Q771" s="1063"/>
      <c r="R771" s="1063"/>
      <c r="S771" s="1063"/>
      <c r="T771" s="1063"/>
      <c r="U771" s="1063"/>
      <c r="V771" s="1063"/>
      <c r="W771" s="1063"/>
      <c r="X771" s="1063"/>
      <c r="Y771" s="1063"/>
      <c r="Z771" s="1063"/>
      <c r="AA771" s="1063"/>
      <c r="AB771" s="1063"/>
      <c r="AC771" s="1063"/>
      <c r="AD771" s="1063"/>
      <c r="AE771" s="1063"/>
      <c r="AF771" s="1063"/>
      <c r="AG771" s="1063"/>
      <c r="AH771" s="1063"/>
      <c r="AI771" s="1063"/>
      <c r="AJ771" s="1063"/>
      <c r="AK771" s="1063"/>
      <c r="AL771" s="1063"/>
      <c r="AM771" s="1063"/>
      <c r="AN771" s="1063"/>
      <c r="AO771" s="1063"/>
      <c r="AP771" s="1063"/>
      <c r="AQ771" s="1063"/>
      <c r="AR771" s="1063"/>
      <c r="AS771" s="1063"/>
      <c r="AT771" s="1063"/>
      <c r="AU771" s="1063"/>
      <c r="AV771" s="1063"/>
    </row>
    <row r="772" spans="1:48" s="1108" customFormat="1" ht="27.75" customHeight="1">
      <c r="A772" s="1076"/>
      <c r="B772" s="1074">
        <f>+'[18]Bldg+Dev'!S1584</f>
        <v>0</v>
      </c>
      <c r="D772" s="1063"/>
      <c r="F772" s="1076"/>
      <c r="G772" s="1063"/>
      <c r="H772" s="1063"/>
      <c r="I772" s="1063"/>
      <c r="J772" s="1063"/>
      <c r="K772" s="1063"/>
      <c r="L772" s="1063"/>
      <c r="M772" s="1063"/>
      <c r="N772" s="1063"/>
      <c r="O772" s="1063"/>
      <c r="P772" s="1063"/>
      <c r="Q772" s="1063"/>
      <c r="R772" s="1063"/>
      <c r="S772" s="1063"/>
      <c r="T772" s="1063"/>
      <c r="U772" s="1063"/>
      <c r="V772" s="1063"/>
      <c r="W772" s="1063"/>
      <c r="X772" s="1063"/>
      <c r="Y772" s="1063"/>
      <c r="Z772" s="1063"/>
      <c r="AA772" s="1063"/>
      <c r="AB772" s="1063"/>
      <c r="AC772" s="1063"/>
      <c r="AD772" s="1063"/>
      <c r="AE772" s="1063"/>
      <c r="AF772" s="1063"/>
      <c r="AG772" s="1063"/>
      <c r="AH772" s="1063"/>
      <c r="AI772" s="1063"/>
      <c r="AJ772" s="1063"/>
      <c r="AK772" s="1063"/>
      <c r="AL772" s="1063"/>
      <c r="AM772" s="1063"/>
      <c r="AN772" s="1063"/>
      <c r="AO772" s="1063"/>
      <c r="AP772" s="1063"/>
      <c r="AQ772" s="1063"/>
      <c r="AR772" s="1063"/>
      <c r="AS772" s="1063"/>
      <c r="AT772" s="1063"/>
      <c r="AU772" s="1063"/>
      <c r="AV772" s="1063"/>
    </row>
    <row r="773" spans="1:48" s="1108" customFormat="1" ht="27.75" customHeight="1">
      <c r="A773" s="1076"/>
      <c r="B773" s="1074">
        <f>+'[18]Bldg+Dev'!S1585</f>
        <v>0</v>
      </c>
      <c r="D773" s="1063"/>
      <c r="F773" s="1076"/>
      <c r="G773" s="1063"/>
      <c r="H773" s="1063"/>
      <c r="I773" s="1063"/>
      <c r="J773" s="1063"/>
      <c r="K773" s="1063"/>
      <c r="L773" s="1063"/>
      <c r="M773" s="1063"/>
      <c r="N773" s="1063"/>
      <c r="O773" s="1063"/>
      <c r="P773" s="1063"/>
      <c r="Q773" s="1063"/>
      <c r="R773" s="1063"/>
      <c r="S773" s="1063"/>
      <c r="T773" s="1063"/>
      <c r="U773" s="1063"/>
      <c r="V773" s="1063"/>
      <c r="W773" s="1063"/>
      <c r="X773" s="1063"/>
      <c r="Y773" s="1063"/>
      <c r="Z773" s="1063"/>
      <c r="AA773" s="1063"/>
      <c r="AB773" s="1063"/>
      <c r="AC773" s="1063"/>
      <c r="AD773" s="1063"/>
      <c r="AE773" s="1063"/>
      <c r="AF773" s="1063"/>
      <c r="AG773" s="1063"/>
      <c r="AH773" s="1063"/>
      <c r="AI773" s="1063"/>
      <c r="AJ773" s="1063"/>
      <c r="AK773" s="1063"/>
      <c r="AL773" s="1063"/>
      <c r="AM773" s="1063"/>
      <c r="AN773" s="1063"/>
      <c r="AO773" s="1063"/>
      <c r="AP773" s="1063"/>
      <c r="AQ773" s="1063"/>
      <c r="AR773" s="1063"/>
      <c r="AS773" s="1063"/>
      <c r="AT773" s="1063"/>
      <c r="AU773" s="1063"/>
      <c r="AV773" s="1063"/>
    </row>
    <row r="774" spans="1:48" s="1108" customFormat="1" ht="27.75" customHeight="1">
      <c r="A774" s="1076"/>
      <c r="B774" s="1074">
        <f>+'[18]Bldg+Dev'!S1586</f>
        <v>0</v>
      </c>
      <c r="D774" s="1063"/>
      <c r="F774" s="1076"/>
      <c r="G774" s="1063"/>
      <c r="H774" s="1063"/>
      <c r="I774" s="1063"/>
      <c r="J774" s="1063"/>
      <c r="K774" s="1063"/>
      <c r="L774" s="1063"/>
      <c r="M774" s="1063"/>
      <c r="N774" s="1063"/>
      <c r="O774" s="1063"/>
      <c r="P774" s="1063"/>
      <c r="Q774" s="1063"/>
      <c r="R774" s="1063"/>
      <c r="S774" s="1063"/>
      <c r="T774" s="1063"/>
      <c r="U774" s="1063"/>
      <c r="V774" s="1063"/>
      <c r="W774" s="1063"/>
      <c r="X774" s="1063"/>
      <c r="Y774" s="1063"/>
      <c r="Z774" s="1063"/>
      <c r="AA774" s="1063"/>
      <c r="AB774" s="1063"/>
      <c r="AC774" s="1063"/>
      <c r="AD774" s="1063"/>
      <c r="AE774" s="1063"/>
      <c r="AF774" s="1063"/>
      <c r="AG774" s="1063"/>
      <c r="AH774" s="1063"/>
      <c r="AI774" s="1063"/>
      <c r="AJ774" s="1063"/>
      <c r="AK774" s="1063"/>
      <c r="AL774" s="1063"/>
      <c r="AM774" s="1063"/>
      <c r="AN774" s="1063"/>
      <c r="AO774" s="1063"/>
      <c r="AP774" s="1063"/>
      <c r="AQ774" s="1063"/>
      <c r="AR774" s="1063"/>
      <c r="AS774" s="1063"/>
      <c r="AT774" s="1063"/>
      <c r="AU774" s="1063"/>
      <c r="AV774" s="1063"/>
    </row>
    <row r="775" spans="1:48" s="1108" customFormat="1" ht="27.75" customHeight="1">
      <c r="A775" s="1076"/>
      <c r="B775" s="1074">
        <f>+'[18]Bldg+Dev'!S1587</f>
        <v>0</v>
      </c>
      <c r="D775" s="1063"/>
      <c r="F775" s="1076"/>
      <c r="G775" s="1063"/>
      <c r="H775" s="1063"/>
      <c r="I775" s="1063"/>
      <c r="J775" s="1063"/>
      <c r="K775" s="1063"/>
      <c r="L775" s="1063"/>
      <c r="M775" s="1063"/>
      <c r="N775" s="1063"/>
      <c r="O775" s="1063"/>
      <c r="P775" s="1063"/>
      <c r="Q775" s="1063"/>
      <c r="R775" s="1063"/>
      <c r="S775" s="1063"/>
      <c r="T775" s="1063"/>
      <c r="U775" s="1063"/>
      <c r="V775" s="1063"/>
      <c r="W775" s="1063"/>
      <c r="X775" s="1063"/>
      <c r="Y775" s="1063"/>
      <c r="Z775" s="1063"/>
      <c r="AA775" s="1063"/>
      <c r="AB775" s="1063"/>
      <c r="AC775" s="1063"/>
      <c r="AD775" s="1063"/>
      <c r="AE775" s="1063"/>
      <c r="AF775" s="1063"/>
      <c r="AG775" s="1063"/>
      <c r="AH775" s="1063"/>
      <c r="AI775" s="1063"/>
      <c r="AJ775" s="1063"/>
      <c r="AK775" s="1063"/>
      <c r="AL775" s="1063"/>
      <c r="AM775" s="1063"/>
      <c r="AN775" s="1063"/>
      <c r="AO775" s="1063"/>
      <c r="AP775" s="1063"/>
      <c r="AQ775" s="1063"/>
      <c r="AR775" s="1063"/>
      <c r="AS775" s="1063"/>
      <c r="AT775" s="1063"/>
      <c r="AU775" s="1063"/>
      <c r="AV775" s="1063"/>
    </row>
    <row r="776" spans="1:48" s="1108" customFormat="1" ht="27.75" customHeight="1">
      <c r="A776" s="1076"/>
      <c r="B776" s="1074">
        <f>+'[18]Bldg+Dev'!S1588</f>
        <v>0</v>
      </c>
      <c r="D776" s="1063"/>
      <c r="F776" s="1076"/>
      <c r="G776" s="1063"/>
      <c r="H776" s="1063"/>
      <c r="I776" s="1063"/>
      <c r="J776" s="1063"/>
      <c r="K776" s="1063"/>
      <c r="L776" s="1063"/>
      <c r="M776" s="1063"/>
      <c r="N776" s="1063"/>
      <c r="O776" s="1063"/>
      <c r="P776" s="1063"/>
      <c r="Q776" s="1063"/>
      <c r="R776" s="1063"/>
      <c r="S776" s="1063"/>
      <c r="T776" s="1063"/>
      <c r="U776" s="1063"/>
      <c r="V776" s="1063"/>
      <c r="W776" s="1063"/>
      <c r="X776" s="1063"/>
      <c r="Y776" s="1063"/>
      <c r="Z776" s="1063"/>
      <c r="AA776" s="1063"/>
      <c r="AB776" s="1063"/>
      <c r="AC776" s="1063"/>
      <c r="AD776" s="1063"/>
      <c r="AE776" s="1063"/>
      <c r="AF776" s="1063"/>
      <c r="AG776" s="1063"/>
      <c r="AH776" s="1063"/>
      <c r="AI776" s="1063"/>
      <c r="AJ776" s="1063"/>
      <c r="AK776" s="1063"/>
      <c r="AL776" s="1063"/>
      <c r="AM776" s="1063"/>
      <c r="AN776" s="1063"/>
      <c r="AO776" s="1063"/>
      <c r="AP776" s="1063"/>
      <c r="AQ776" s="1063"/>
      <c r="AR776" s="1063"/>
      <c r="AS776" s="1063"/>
      <c r="AT776" s="1063"/>
      <c r="AU776" s="1063"/>
      <c r="AV776" s="1063"/>
    </row>
    <row r="777" spans="1:48" s="1108" customFormat="1" ht="27.75" customHeight="1">
      <c r="A777" s="1076"/>
      <c r="B777" s="1074">
        <f>+'[18]Bldg+Dev'!S1589</f>
        <v>0</v>
      </c>
      <c r="D777" s="1063"/>
      <c r="F777" s="1076"/>
      <c r="G777" s="1063"/>
      <c r="H777" s="1063"/>
      <c r="I777" s="1063"/>
      <c r="J777" s="1063"/>
      <c r="K777" s="1063"/>
      <c r="L777" s="1063"/>
      <c r="M777" s="1063"/>
      <c r="N777" s="1063"/>
      <c r="O777" s="1063"/>
      <c r="P777" s="1063"/>
      <c r="Q777" s="1063"/>
      <c r="R777" s="1063"/>
      <c r="S777" s="1063"/>
      <c r="T777" s="1063"/>
      <c r="U777" s="1063"/>
      <c r="V777" s="1063"/>
      <c r="W777" s="1063"/>
      <c r="X777" s="1063"/>
      <c r="Y777" s="1063"/>
      <c r="Z777" s="1063"/>
      <c r="AA777" s="1063"/>
      <c r="AB777" s="1063"/>
      <c r="AC777" s="1063"/>
      <c r="AD777" s="1063"/>
      <c r="AE777" s="1063"/>
      <c r="AF777" s="1063"/>
      <c r="AG777" s="1063"/>
      <c r="AH777" s="1063"/>
      <c r="AI777" s="1063"/>
      <c r="AJ777" s="1063"/>
      <c r="AK777" s="1063"/>
      <c r="AL777" s="1063"/>
      <c r="AM777" s="1063"/>
      <c r="AN777" s="1063"/>
      <c r="AO777" s="1063"/>
      <c r="AP777" s="1063"/>
      <c r="AQ777" s="1063"/>
      <c r="AR777" s="1063"/>
      <c r="AS777" s="1063"/>
      <c r="AT777" s="1063"/>
      <c r="AU777" s="1063"/>
      <c r="AV777" s="1063"/>
    </row>
    <row r="778" spans="1:48" s="1108" customFormat="1" ht="27.75" customHeight="1">
      <c r="A778" s="1076"/>
      <c r="B778" s="1074">
        <f>+'[18]Bldg+Dev'!S1590</f>
        <v>0</v>
      </c>
      <c r="D778" s="1063"/>
      <c r="F778" s="1076"/>
      <c r="G778" s="1063"/>
      <c r="H778" s="1063"/>
      <c r="I778" s="1063"/>
      <c r="J778" s="1063"/>
      <c r="K778" s="1063"/>
      <c r="L778" s="1063"/>
      <c r="M778" s="1063"/>
      <c r="N778" s="1063"/>
      <c r="O778" s="1063"/>
      <c r="P778" s="1063"/>
      <c r="Q778" s="1063"/>
      <c r="R778" s="1063"/>
      <c r="S778" s="1063"/>
      <c r="T778" s="1063"/>
      <c r="U778" s="1063"/>
      <c r="V778" s="1063"/>
      <c r="W778" s="1063"/>
      <c r="X778" s="1063"/>
      <c r="Y778" s="1063"/>
      <c r="Z778" s="1063"/>
      <c r="AA778" s="1063"/>
      <c r="AB778" s="1063"/>
      <c r="AC778" s="1063"/>
      <c r="AD778" s="1063"/>
      <c r="AE778" s="1063"/>
      <c r="AF778" s="1063"/>
      <c r="AG778" s="1063"/>
      <c r="AH778" s="1063"/>
      <c r="AI778" s="1063"/>
      <c r="AJ778" s="1063"/>
      <c r="AK778" s="1063"/>
      <c r="AL778" s="1063"/>
      <c r="AM778" s="1063"/>
      <c r="AN778" s="1063"/>
      <c r="AO778" s="1063"/>
      <c r="AP778" s="1063"/>
      <c r="AQ778" s="1063"/>
      <c r="AR778" s="1063"/>
      <c r="AS778" s="1063"/>
      <c r="AT778" s="1063"/>
      <c r="AU778" s="1063"/>
      <c r="AV778" s="1063"/>
    </row>
    <row r="779" spans="1:48" s="1108" customFormat="1" ht="27.75" customHeight="1">
      <c r="A779" s="1076"/>
      <c r="B779" s="1074">
        <f>+'[18]Bldg+Dev'!S1591</f>
        <v>0</v>
      </c>
      <c r="D779" s="1063"/>
      <c r="F779" s="1076"/>
      <c r="G779" s="1063"/>
      <c r="H779" s="1063"/>
      <c r="I779" s="1063"/>
      <c r="J779" s="1063"/>
      <c r="K779" s="1063"/>
      <c r="L779" s="1063"/>
      <c r="M779" s="1063"/>
      <c r="N779" s="1063"/>
      <c r="O779" s="1063"/>
      <c r="P779" s="1063"/>
      <c r="Q779" s="1063"/>
      <c r="R779" s="1063"/>
      <c r="S779" s="1063"/>
      <c r="T779" s="1063"/>
      <c r="U779" s="1063"/>
      <c r="V779" s="1063"/>
      <c r="W779" s="1063"/>
      <c r="X779" s="1063"/>
      <c r="Y779" s="1063"/>
      <c r="Z779" s="1063"/>
      <c r="AA779" s="1063"/>
      <c r="AB779" s="1063"/>
      <c r="AC779" s="1063"/>
      <c r="AD779" s="1063"/>
      <c r="AE779" s="1063"/>
      <c r="AF779" s="1063"/>
      <c r="AG779" s="1063"/>
      <c r="AH779" s="1063"/>
      <c r="AI779" s="1063"/>
      <c r="AJ779" s="1063"/>
      <c r="AK779" s="1063"/>
      <c r="AL779" s="1063"/>
      <c r="AM779" s="1063"/>
      <c r="AN779" s="1063"/>
      <c r="AO779" s="1063"/>
      <c r="AP779" s="1063"/>
      <c r="AQ779" s="1063"/>
      <c r="AR779" s="1063"/>
      <c r="AS779" s="1063"/>
      <c r="AT779" s="1063"/>
      <c r="AU779" s="1063"/>
      <c r="AV779" s="1063"/>
    </row>
    <row r="780" spans="1:48" s="1108" customFormat="1" ht="27.75" customHeight="1">
      <c r="A780" s="1076"/>
      <c r="B780" s="1074">
        <f>+'[18]Bldg+Dev'!S1592</f>
        <v>0</v>
      </c>
      <c r="D780" s="1063"/>
      <c r="F780" s="1076"/>
      <c r="G780" s="1063"/>
      <c r="H780" s="1063"/>
      <c r="I780" s="1063"/>
      <c r="J780" s="1063"/>
      <c r="K780" s="1063"/>
      <c r="L780" s="1063"/>
      <c r="M780" s="1063"/>
      <c r="N780" s="1063"/>
      <c r="O780" s="1063"/>
      <c r="P780" s="1063"/>
      <c r="Q780" s="1063"/>
      <c r="R780" s="1063"/>
      <c r="S780" s="1063"/>
      <c r="T780" s="1063"/>
      <c r="U780" s="1063"/>
      <c r="V780" s="1063"/>
      <c r="W780" s="1063"/>
      <c r="X780" s="1063"/>
      <c r="Y780" s="1063"/>
      <c r="Z780" s="1063"/>
      <c r="AA780" s="1063"/>
      <c r="AB780" s="1063"/>
      <c r="AC780" s="1063"/>
      <c r="AD780" s="1063"/>
      <c r="AE780" s="1063"/>
      <c r="AF780" s="1063"/>
      <c r="AG780" s="1063"/>
      <c r="AH780" s="1063"/>
      <c r="AI780" s="1063"/>
      <c r="AJ780" s="1063"/>
      <c r="AK780" s="1063"/>
      <c r="AL780" s="1063"/>
      <c r="AM780" s="1063"/>
      <c r="AN780" s="1063"/>
      <c r="AO780" s="1063"/>
      <c r="AP780" s="1063"/>
      <c r="AQ780" s="1063"/>
      <c r="AR780" s="1063"/>
      <c r="AS780" s="1063"/>
      <c r="AT780" s="1063"/>
      <c r="AU780" s="1063"/>
      <c r="AV780" s="1063"/>
    </row>
    <row r="781" spans="1:48" s="1108" customFormat="1" ht="27.75" customHeight="1">
      <c r="A781" s="1076"/>
      <c r="B781" s="1074">
        <f>+'[18]Bldg+Dev'!S1593</f>
        <v>0</v>
      </c>
      <c r="D781" s="1063"/>
      <c r="F781" s="1076"/>
      <c r="G781" s="1063"/>
      <c r="H781" s="1063"/>
      <c r="I781" s="1063"/>
      <c r="J781" s="1063"/>
      <c r="K781" s="1063"/>
      <c r="L781" s="1063"/>
      <c r="M781" s="1063"/>
      <c r="N781" s="1063"/>
      <c r="O781" s="1063"/>
      <c r="P781" s="1063"/>
      <c r="Q781" s="1063"/>
      <c r="R781" s="1063"/>
      <c r="S781" s="1063"/>
      <c r="T781" s="1063"/>
      <c r="U781" s="1063"/>
      <c r="V781" s="1063"/>
      <c r="W781" s="1063"/>
      <c r="X781" s="1063"/>
      <c r="Y781" s="1063"/>
      <c r="Z781" s="1063"/>
      <c r="AA781" s="1063"/>
      <c r="AB781" s="1063"/>
      <c r="AC781" s="1063"/>
      <c r="AD781" s="1063"/>
      <c r="AE781" s="1063"/>
      <c r="AF781" s="1063"/>
      <c r="AG781" s="1063"/>
      <c r="AH781" s="1063"/>
      <c r="AI781" s="1063"/>
      <c r="AJ781" s="1063"/>
      <c r="AK781" s="1063"/>
      <c r="AL781" s="1063"/>
      <c r="AM781" s="1063"/>
      <c r="AN781" s="1063"/>
      <c r="AO781" s="1063"/>
      <c r="AP781" s="1063"/>
      <c r="AQ781" s="1063"/>
      <c r="AR781" s="1063"/>
      <c r="AS781" s="1063"/>
      <c r="AT781" s="1063"/>
      <c r="AU781" s="1063"/>
      <c r="AV781" s="1063"/>
    </row>
    <row r="782" spans="1:48" s="1108" customFormat="1" ht="27.75" customHeight="1">
      <c r="A782" s="1076"/>
      <c r="B782" s="1074">
        <f>+'[18]Bldg+Dev'!S1594</f>
        <v>0</v>
      </c>
      <c r="D782" s="1063"/>
      <c r="F782" s="1076"/>
      <c r="G782" s="1063"/>
      <c r="H782" s="1063"/>
      <c r="I782" s="1063"/>
      <c r="J782" s="1063"/>
      <c r="K782" s="1063"/>
      <c r="L782" s="1063"/>
      <c r="M782" s="1063"/>
      <c r="N782" s="1063"/>
      <c r="O782" s="1063"/>
      <c r="P782" s="1063"/>
      <c r="Q782" s="1063"/>
      <c r="R782" s="1063"/>
      <c r="S782" s="1063"/>
      <c r="T782" s="1063"/>
      <c r="U782" s="1063"/>
      <c r="V782" s="1063"/>
      <c r="W782" s="1063"/>
      <c r="X782" s="1063"/>
      <c r="Y782" s="1063"/>
      <c r="Z782" s="1063"/>
      <c r="AA782" s="1063"/>
      <c r="AB782" s="1063"/>
      <c r="AC782" s="1063"/>
      <c r="AD782" s="1063"/>
      <c r="AE782" s="1063"/>
      <c r="AF782" s="1063"/>
      <c r="AG782" s="1063"/>
      <c r="AH782" s="1063"/>
      <c r="AI782" s="1063"/>
      <c r="AJ782" s="1063"/>
      <c r="AK782" s="1063"/>
      <c r="AL782" s="1063"/>
      <c r="AM782" s="1063"/>
      <c r="AN782" s="1063"/>
      <c r="AO782" s="1063"/>
      <c r="AP782" s="1063"/>
      <c r="AQ782" s="1063"/>
      <c r="AR782" s="1063"/>
      <c r="AS782" s="1063"/>
      <c r="AT782" s="1063"/>
      <c r="AU782" s="1063"/>
      <c r="AV782" s="1063"/>
    </row>
    <row r="783" spans="1:48" s="1108" customFormat="1" ht="27.75" customHeight="1">
      <c r="A783" s="1076"/>
      <c r="B783" s="1074">
        <f>+'[18]Bldg+Dev'!S1595</f>
        <v>0</v>
      </c>
      <c r="D783" s="1063"/>
      <c r="F783" s="1076"/>
      <c r="G783" s="1063"/>
      <c r="H783" s="1063"/>
      <c r="I783" s="1063"/>
      <c r="J783" s="1063"/>
      <c r="K783" s="1063"/>
      <c r="L783" s="1063"/>
      <c r="M783" s="1063"/>
      <c r="N783" s="1063"/>
      <c r="O783" s="1063"/>
      <c r="P783" s="1063"/>
      <c r="Q783" s="1063"/>
      <c r="R783" s="1063"/>
      <c r="S783" s="1063"/>
      <c r="T783" s="1063"/>
      <c r="U783" s="1063"/>
      <c r="V783" s="1063"/>
      <c r="W783" s="1063"/>
      <c r="X783" s="1063"/>
      <c r="Y783" s="1063"/>
      <c r="Z783" s="1063"/>
      <c r="AA783" s="1063"/>
      <c r="AB783" s="1063"/>
      <c r="AC783" s="1063"/>
      <c r="AD783" s="1063"/>
      <c r="AE783" s="1063"/>
      <c r="AF783" s="1063"/>
      <c r="AG783" s="1063"/>
      <c r="AH783" s="1063"/>
      <c r="AI783" s="1063"/>
      <c r="AJ783" s="1063"/>
      <c r="AK783" s="1063"/>
      <c r="AL783" s="1063"/>
      <c r="AM783" s="1063"/>
      <c r="AN783" s="1063"/>
      <c r="AO783" s="1063"/>
      <c r="AP783" s="1063"/>
      <c r="AQ783" s="1063"/>
      <c r="AR783" s="1063"/>
      <c r="AS783" s="1063"/>
      <c r="AT783" s="1063"/>
      <c r="AU783" s="1063"/>
      <c r="AV783" s="1063"/>
    </row>
    <row r="784" spans="1:48" s="1108" customFormat="1" ht="27.75" customHeight="1">
      <c r="A784" s="1076"/>
      <c r="B784" s="1074">
        <f>+'[18]Bldg+Dev'!S1596</f>
        <v>0</v>
      </c>
      <c r="D784" s="1063"/>
      <c r="F784" s="1076"/>
      <c r="G784" s="1063"/>
      <c r="H784" s="1063"/>
      <c r="I784" s="1063"/>
      <c r="J784" s="1063"/>
      <c r="K784" s="1063"/>
      <c r="L784" s="1063"/>
      <c r="M784" s="1063"/>
      <c r="N784" s="1063"/>
      <c r="O784" s="1063"/>
      <c r="P784" s="1063"/>
      <c r="Q784" s="1063"/>
      <c r="R784" s="1063"/>
      <c r="S784" s="1063"/>
      <c r="T784" s="1063"/>
      <c r="U784" s="1063"/>
      <c r="V784" s="1063"/>
      <c r="W784" s="1063"/>
      <c r="X784" s="1063"/>
      <c r="Y784" s="1063"/>
      <c r="Z784" s="1063"/>
      <c r="AA784" s="1063"/>
      <c r="AB784" s="1063"/>
      <c r="AC784" s="1063"/>
      <c r="AD784" s="1063"/>
      <c r="AE784" s="1063"/>
      <c r="AF784" s="1063"/>
      <c r="AG784" s="1063"/>
      <c r="AH784" s="1063"/>
      <c r="AI784" s="1063"/>
      <c r="AJ784" s="1063"/>
      <c r="AK784" s="1063"/>
      <c r="AL784" s="1063"/>
      <c r="AM784" s="1063"/>
      <c r="AN784" s="1063"/>
      <c r="AO784" s="1063"/>
      <c r="AP784" s="1063"/>
      <c r="AQ784" s="1063"/>
      <c r="AR784" s="1063"/>
      <c r="AS784" s="1063"/>
      <c r="AT784" s="1063"/>
      <c r="AU784" s="1063"/>
      <c r="AV784" s="1063"/>
    </row>
    <row r="785" spans="1:48" s="1108" customFormat="1" ht="27.75" customHeight="1">
      <c r="A785" s="1076"/>
      <c r="B785" s="1074">
        <f>+'[18]Bldg+Dev'!S1597</f>
        <v>0</v>
      </c>
      <c r="D785" s="1063"/>
      <c r="F785" s="1076"/>
      <c r="G785" s="1063"/>
      <c r="H785" s="1063"/>
      <c r="I785" s="1063"/>
      <c r="J785" s="1063"/>
      <c r="K785" s="1063"/>
      <c r="L785" s="1063"/>
      <c r="M785" s="1063"/>
      <c r="N785" s="1063"/>
      <c r="O785" s="1063"/>
      <c r="P785" s="1063"/>
      <c r="Q785" s="1063"/>
      <c r="R785" s="1063"/>
      <c r="S785" s="1063"/>
      <c r="T785" s="1063"/>
      <c r="U785" s="1063"/>
      <c r="V785" s="1063"/>
      <c r="W785" s="1063"/>
      <c r="X785" s="1063"/>
      <c r="Y785" s="1063"/>
      <c r="Z785" s="1063"/>
      <c r="AA785" s="1063"/>
      <c r="AB785" s="1063"/>
      <c r="AC785" s="1063"/>
      <c r="AD785" s="1063"/>
      <c r="AE785" s="1063"/>
      <c r="AF785" s="1063"/>
      <c r="AG785" s="1063"/>
      <c r="AH785" s="1063"/>
      <c r="AI785" s="1063"/>
      <c r="AJ785" s="1063"/>
      <c r="AK785" s="1063"/>
      <c r="AL785" s="1063"/>
      <c r="AM785" s="1063"/>
      <c r="AN785" s="1063"/>
      <c r="AO785" s="1063"/>
      <c r="AP785" s="1063"/>
      <c r="AQ785" s="1063"/>
      <c r="AR785" s="1063"/>
      <c r="AS785" s="1063"/>
      <c r="AT785" s="1063"/>
      <c r="AU785" s="1063"/>
      <c r="AV785" s="1063"/>
    </row>
    <row r="786" spans="1:48" s="1108" customFormat="1" ht="27.75" customHeight="1">
      <c r="A786" s="1076"/>
      <c r="B786" s="1074">
        <f>+'[18]Bldg+Dev'!S1598</f>
        <v>0</v>
      </c>
      <c r="D786" s="1063"/>
      <c r="F786" s="1076"/>
      <c r="G786" s="1063"/>
      <c r="H786" s="1063"/>
      <c r="I786" s="1063"/>
      <c r="J786" s="1063"/>
      <c r="K786" s="1063"/>
      <c r="L786" s="1063"/>
      <c r="M786" s="1063"/>
      <c r="N786" s="1063"/>
      <c r="O786" s="1063"/>
      <c r="P786" s="1063"/>
      <c r="Q786" s="1063"/>
      <c r="R786" s="1063"/>
      <c r="S786" s="1063"/>
      <c r="T786" s="1063"/>
      <c r="U786" s="1063"/>
      <c r="V786" s="1063"/>
      <c r="W786" s="1063"/>
      <c r="X786" s="1063"/>
      <c r="Y786" s="1063"/>
      <c r="Z786" s="1063"/>
      <c r="AA786" s="1063"/>
      <c r="AB786" s="1063"/>
      <c r="AC786" s="1063"/>
      <c r="AD786" s="1063"/>
      <c r="AE786" s="1063"/>
      <c r="AF786" s="1063"/>
      <c r="AG786" s="1063"/>
      <c r="AH786" s="1063"/>
      <c r="AI786" s="1063"/>
      <c r="AJ786" s="1063"/>
      <c r="AK786" s="1063"/>
      <c r="AL786" s="1063"/>
      <c r="AM786" s="1063"/>
      <c r="AN786" s="1063"/>
      <c r="AO786" s="1063"/>
      <c r="AP786" s="1063"/>
      <c r="AQ786" s="1063"/>
      <c r="AR786" s="1063"/>
      <c r="AS786" s="1063"/>
      <c r="AT786" s="1063"/>
      <c r="AU786" s="1063"/>
      <c r="AV786" s="1063"/>
    </row>
    <row r="787" spans="1:48" s="1108" customFormat="1" ht="27.75" customHeight="1">
      <c r="A787" s="1076"/>
      <c r="B787" s="1074">
        <f>+'[18]Bldg+Dev'!S1599</f>
        <v>0</v>
      </c>
      <c r="D787" s="1063"/>
      <c r="F787" s="1076"/>
      <c r="G787" s="1063"/>
      <c r="H787" s="1063"/>
      <c r="I787" s="1063"/>
      <c r="J787" s="1063"/>
      <c r="K787" s="1063"/>
      <c r="L787" s="1063"/>
      <c r="M787" s="1063"/>
      <c r="N787" s="1063"/>
      <c r="O787" s="1063"/>
      <c r="P787" s="1063"/>
      <c r="Q787" s="1063"/>
      <c r="R787" s="1063"/>
      <c r="S787" s="1063"/>
      <c r="T787" s="1063"/>
      <c r="U787" s="1063"/>
      <c r="V787" s="1063"/>
      <c r="W787" s="1063"/>
      <c r="X787" s="1063"/>
      <c r="Y787" s="1063"/>
      <c r="Z787" s="1063"/>
      <c r="AA787" s="1063"/>
      <c r="AB787" s="1063"/>
      <c r="AC787" s="1063"/>
      <c r="AD787" s="1063"/>
      <c r="AE787" s="1063"/>
      <c r="AF787" s="1063"/>
      <c r="AG787" s="1063"/>
      <c r="AH787" s="1063"/>
      <c r="AI787" s="1063"/>
      <c r="AJ787" s="1063"/>
      <c r="AK787" s="1063"/>
      <c r="AL787" s="1063"/>
      <c r="AM787" s="1063"/>
      <c r="AN787" s="1063"/>
      <c r="AO787" s="1063"/>
      <c r="AP787" s="1063"/>
      <c r="AQ787" s="1063"/>
      <c r="AR787" s="1063"/>
      <c r="AS787" s="1063"/>
      <c r="AT787" s="1063"/>
      <c r="AU787" s="1063"/>
      <c r="AV787" s="1063"/>
    </row>
    <row r="788" spans="1:48" s="1108" customFormat="1" ht="27.75" customHeight="1">
      <c r="A788" s="1076"/>
      <c r="B788" s="1074">
        <f>+'[18]Bldg+Dev'!S1600</f>
        <v>0</v>
      </c>
      <c r="D788" s="1063"/>
      <c r="F788" s="1076"/>
      <c r="G788" s="1063"/>
      <c r="H788" s="1063"/>
      <c r="I788" s="1063"/>
      <c r="J788" s="1063"/>
      <c r="K788" s="1063"/>
      <c r="L788" s="1063"/>
      <c r="M788" s="1063"/>
      <c r="N788" s="1063"/>
      <c r="O788" s="1063"/>
      <c r="P788" s="1063"/>
      <c r="Q788" s="1063"/>
      <c r="R788" s="1063"/>
      <c r="S788" s="1063"/>
      <c r="T788" s="1063"/>
      <c r="U788" s="1063"/>
      <c r="V788" s="1063"/>
      <c r="W788" s="1063"/>
      <c r="X788" s="1063"/>
      <c r="Y788" s="1063"/>
      <c r="Z788" s="1063"/>
      <c r="AA788" s="1063"/>
      <c r="AB788" s="1063"/>
      <c r="AC788" s="1063"/>
      <c r="AD788" s="1063"/>
      <c r="AE788" s="1063"/>
      <c r="AF788" s="1063"/>
      <c r="AG788" s="1063"/>
      <c r="AH788" s="1063"/>
      <c r="AI788" s="1063"/>
      <c r="AJ788" s="1063"/>
      <c r="AK788" s="1063"/>
      <c r="AL788" s="1063"/>
      <c r="AM788" s="1063"/>
      <c r="AN788" s="1063"/>
      <c r="AO788" s="1063"/>
      <c r="AP788" s="1063"/>
      <c r="AQ788" s="1063"/>
      <c r="AR788" s="1063"/>
      <c r="AS788" s="1063"/>
      <c r="AT788" s="1063"/>
      <c r="AU788" s="1063"/>
      <c r="AV788" s="1063"/>
    </row>
    <row r="789" spans="1:48" s="1108" customFormat="1" ht="27.75" customHeight="1">
      <c r="A789" s="1076"/>
      <c r="B789" s="1074">
        <f>+'[18]Bldg+Dev'!S1601</f>
        <v>0</v>
      </c>
      <c r="D789" s="1063"/>
      <c r="F789" s="1076"/>
      <c r="G789" s="1063"/>
      <c r="H789" s="1063"/>
      <c r="I789" s="1063"/>
      <c r="J789" s="1063"/>
      <c r="K789" s="1063"/>
      <c r="L789" s="1063"/>
      <c r="M789" s="1063"/>
      <c r="N789" s="1063"/>
      <c r="O789" s="1063"/>
      <c r="P789" s="1063"/>
      <c r="Q789" s="1063"/>
      <c r="R789" s="1063"/>
      <c r="S789" s="1063"/>
      <c r="T789" s="1063"/>
      <c r="U789" s="1063"/>
      <c r="V789" s="1063"/>
      <c r="W789" s="1063"/>
      <c r="X789" s="1063"/>
      <c r="Y789" s="1063"/>
      <c r="Z789" s="1063"/>
      <c r="AA789" s="1063"/>
      <c r="AB789" s="1063"/>
      <c r="AC789" s="1063"/>
      <c r="AD789" s="1063"/>
      <c r="AE789" s="1063"/>
      <c r="AF789" s="1063"/>
      <c r="AG789" s="1063"/>
      <c r="AH789" s="1063"/>
      <c r="AI789" s="1063"/>
      <c r="AJ789" s="1063"/>
      <c r="AK789" s="1063"/>
      <c r="AL789" s="1063"/>
      <c r="AM789" s="1063"/>
      <c r="AN789" s="1063"/>
      <c r="AO789" s="1063"/>
      <c r="AP789" s="1063"/>
      <c r="AQ789" s="1063"/>
      <c r="AR789" s="1063"/>
      <c r="AS789" s="1063"/>
      <c r="AT789" s="1063"/>
      <c r="AU789" s="1063"/>
      <c r="AV789" s="1063"/>
    </row>
    <row r="790" spans="1:48" s="1108" customFormat="1" ht="27.75" customHeight="1">
      <c r="A790" s="1076"/>
      <c r="B790" s="1074">
        <f>+'[18]Bldg+Dev'!S1602</f>
        <v>0</v>
      </c>
      <c r="D790" s="1063"/>
      <c r="F790" s="1076"/>
      <c r="G790" s="1063"/>
      <c r="H790" s="1063"/>
      <c r="I790" s="1063"/>
      <c r="J790" s="1063"/>
      <c r="K790" s="1063"/>
      <c r="L790" s="1063"/>
      <c r="M790" s="1063"/>
      <c r="N790" s="1063"/>
      <c r="O790" s="1063"/>
      <c r="P790" s="1063"/>
      <c r="Q790" s="1063"/>
      <c r="R790" s="1063"/>
      <c r="S790" s="1063"/>
      <c r="T790" s="1063"/>
      <c r="U790" s="1063"/>
      <c r="V790" s="1063"/>
      <c r="W790" s="1063"/>
      <c r="X790" s="1063"/>
      <c r="Y790" s="1063"/>
      <c r="Z790" s="1063"/>
      <c r="AA790" s="1063"/>
      <c r="AB790" s="1063"/>
      <c r="AC790" s="1063"/>
      <c r="AD790" s="1063"/>
      <c r="AE790" s="1063"/>
      <c r="AF790" s="1063"/>
      <c r="AG790" s="1063"/>
      <c r="AH790" s="1063"/>
      <c r="AI790" s="1063"/>
      <c r="AJ790" s="1063"/>
      <c r="AK790" s="1063"/>
      <c r="AL790" s="1063"/>
      <c r="AM790" s="1063"/>
      <c r="AN790" s="1063"/>
      <c r="AO790" s="1063"/>
      <c r="AP790" s="1063"/>
      <c r="AQ790" s="1063"/>
      <c r="AR790" s="1063"/>
      <c r="AS790" s="1063"/>
      <c r="AT790" s="1063"/>
      <c r="AU790" s="1063"/>
      <c r="AV790" s="1063"/>
    </row>
    <row r="791" spans="1:48" s="1108" customFormat="1" ht="27.75" customHeight="1">
      <c r="A791" s="1076"/>
      <c r="B791" s="1074">
        <f>+'[18]Bldg+Dev'!S1603</f>
        <v>0</v>
      </c>
      <c r="D791" s="1063"/>
      <c r="F791" s="1076"/>
      <c r="G791" s="1063"/>
      <c r="H791" s="1063"/>
      <c r="I791" s="1063"/>
      <c r="J791" s="1063"/>
      <c r="K791" s="1063"/>
      <c r="L791" s="1063"/>
      <c r="M791" s="1063"/>
      <c r="N791" s="1063"/>
      <c r="O791" s="1063"/>
      <c r="P791" s="1063"/>
      <c r="Q791" s="1063"/>
      <c r="R791" s="1063"/>
      <c r="S791" s="1063"/>
      <c r="T791" s="1063"/>
      <c r="U791" s="1063"/>
      <c r="V791" s="1063"/>
      <c r="W791" s="1063"/>
      <c r="X791" s="1063"/>
      <c r="Y791" s="1063"/>
      <c r="Z791" s="1063"/>
      <c r="AA791" s="1063"/>
      <c r="AB791" s="1063"/>
      <c r="AC791" s="1063"/>
      <c r="AD791" s="1063"/>
      <c r="AE791" s="1063"/>
      <c r="AF791" s="1063"/>
      <c r="AG791" s="1063"/>
      <c r="AH791" s="1063"/>
      <c r="AI791" s="1063"/>
      <c r="AJ791" s="1063"/>
      <c r="AK791" s="1063"/>
      <c r="AL791" s="1063"/>
      <c r="AM791" s="1063"/>
      <c r="AN791" s="1063"/>
      <c r="AO791" s="1063"/>
      <c r="AP791" s="1063"/>
      <c r="AQ791" s="1063"/>
      <c r="AR791" s="1063"/>
      <c r="AS791" s="1063"/>
      <c r="AT791" s="1063"/>
      <c r="AU791" s="1063"/>
      <c r="AV791" s="1063"/>
    </row>
    <row r="792" spans="1:48" s="1108" customFormat="1" ht="27.75" customHeight="1">
      <c r="A792" s="1076"/>
      <c r="B792" s="1074">
        <f>+'[18]Bldg+Dev'!S1604</f>
        <v>0</v>
      </c>
      <c r="D792" s="1063"/>
      <c r="F792" s="1076"/>
      <c r="G792" s="1063"/>
      <c r="H792" s="1063"/>
      <c r="I792" s="1063"/>
      <c r="J792" s="1063"/>
      <c r="K792" s="1063"/>
      <c r="L792" s="1063"/>
      <c r="M792" s="1063"/>
      <c r="N792" s="1063"/>
      <c r="O792" s="1063"/>
      <c r="P792" s="1063"/>
      <c r="Q792" s="1063"/>
      <c r="R792" s="1063"/>
      <c r="S792" s="1063"/>
      <c r="T792" s="1063"/>
      <c r="U792" s="1063"/>
      <c r="V792" s="1063"/>
      <c r="W792" s="1063"/>
      <c r="X792" s="1063"/>
      <c r="Y792" s="1063"/>
      <c r="Z792" s="1063"/>
      <c r="AA792" s="1063"/>
      <c r="AB792" s="1063"/>
      <c r="AC792" s="1063"/>
      <c r="AD792" s="1063"/>
      <c r="AE792" s="1063"/>
      <c r="AF792" s="1063"/>
      <c r="AG792" s="1063"/>
      <c r="AH792" s="1063"/>
      <c r="AI792" s="1063"/>
      <c r="AJ792" s="1063"/>
      <c r="AK792" s="1063"/>
      <c r="AL792" s="1063"/>
      <c r="AM792" s="1063"/>
      <c r="AN792" s="1063"/>
      <c r="AO792" s="1063"/>
      <c r="AP792" s="1063"/>
      <c r="AQ792" s="1063"/>
      <c r="AR792" s="1063"/>
      <c r="AS792" s="1063"/>
      <c r="AT792" s="1063"/>
      <c r="AU792" s="1063"/>
      <c r="AV792" s="1063"/>
    </row>
    <row r="793" spans="1:48" s="1108" customFormat="1" ht="27.75" customHeight="1">
      <c r="A793" s="1076"/>
      <c r="B793" s="1074">
        <f>+'[18]Bldg+Dev'!S1605</f>
        <v>0</v>
      </c>
      <c r="D793" s="1063"/>
      <c r="F793" s="1076"/>
      <c r="G793" s="1063"/>
      <c r="H793" s="1063"/>
      <c r="I793" s="1063"/>
      <c r="J793" s="1063"/>
      <c r="K793" s="1063"/>
      <c r="L793" s="1063"/>
      <c r="M793" s="1063"/>
      <c r="N793" s="1063"/>
      <c r="O793" s="1063"/>
      <c r="P793" s="1063"/>
      <c r="Q793" s="1063"/>
      <c r="R793" s="1063"/>
      <c r="S793" s="1063"/>
      <c r="T793" s="1063"/>
      <c r="U793" s="1063"/>
      <c r="V793" s="1063"/>
      <c r="W793" s="1063"/>
      <c r="X793" s="1063"/>
      <c r="Y793" s="1063"/>
      <c r="Z793" s="1063"/>
      <c r="AA793" s="1063"/>
      <c r="AB793" s="1063"/>
      <c r="AC793" s="1063"/>
      <c r="AD793" s="1063"/>
      <c r="AE793" s="1063"/>
      <c r="AF793" s="1063"/>
      <c r="AG793" s="1063"/>
      <c r="AH793" s="1063"/>
      <c r="AI793" s="1063"/>
      <c r="AJ793" s="1063"/>
      <c r="AK793" s="1063"/>
      <c r="AL793" s="1063"/>
      <c r="AM793" s="1063"/>
      <c r="AN793" s="1063"/>
      <c r="AO793" s="1063"/>
      <c r="AP793" s="1063"/>
      <c r="AQ793" s="1063"/>
      <c r="AR793" s="1063"/>
      <c r="AS793" s="1063"/>
      <c r="AT793" s="1063"/>
      <c r="AU793" s="1063"/>
      <c r="AV793" s="1063"/>
    </row>
    <row r="794" spans="1:48" s="1108" customFormat="1" ht="27.75" customHeight="1">
      <c r="A794" s="1076"/>
      <c r="B794" s="1074">
        <f>+'[18]Bldg+Dev'!S1606</f>
        <v>0</v>
      </c>
      <c r="D794" s="1063"/>
      <c r="F794" s="1076"/>
      <c r="G794" s="1063"/>
      <c r="H794" s="1063"/>
      <c r="I794" s="1063"/>
      <c r="J794" s="1063"/>
      <c r="K794" s="1063"/>
      <c r="L794" s="1063"/>
      <c r="M794" s="1063"/>
      <c r="N794" s="1063"/>
      <c r="O794" s="1063"/>
      <c r="P794" s="1063"/>
      <c r="Q794" s="1063"/>
      <c r="R794" s="1063"/>
      <c r="S794" s="1063"/>
      <c r="T794" s="1063"/>
      <c r="U794" s="1063"/>
      <c r="V794" s="1063"/>
      <c r="W794" s="1063"/>
      <c r="X794" s="1063"/>
      <c r="Y794" s="1063"/>
      <c r="Z794" s="1063"/>
      <c r="AA794" s="1063"/>
      <c r="AB794" s="1063"/>
      <c r="AC794" s="1063"/>
      <c r="AD794" s="1063"/>
      <c r="AE794" s="1063"/>
      <c r="AF794" s="1063"/>
      <c r="AG794" s="1063"/>
      <c r="AH794" s="1063"/>
      <c r="AI794" s="1063"/>
      <c r="AJ794" s="1063"/>
      <c r="AK794" s="1063"/>
      <c r="AL794" s="1063"/>
      <c r="AM794" s="1063"/>
      <c r="AN794" s="1063"/>
      <c r="AO794" s="1063"/>
      <c r="AP794" s="1063"/>
      <c r="AQ794" s="1063"/>
      <c r="AR794" s="1063"/>
      <c r="AS794" s="1063"/>
      <c r="AT794" s="1063"/>
      <c r="AU794" s="1063"/>
      <c r="AV794" s="1063"/>
    </row>
    <row r="795" spans="1:48" s="1108" customFormat="1" ht="27.75" customHeight="1">
      <c r="A795" s="1076"/>
      <c r="B795" s="1074">
        <f>+'[18]Bldg+Dev'!S1607</f>
        <v>0</v>
      </c>
      <c r="D795" s="1063"/>
      <c r="F795" s="1076"/>
      <c r="G795" s="1063"/>
      <c r="H795" s="1063"/>
      <c r="I795" s="1063"/>
      <c r="J795" s="1063"/>
      <c r="K795" s="1063"/>
      <c r="L795" s="1063"/>
      <c r="M795" s="1063"/>
      <c r="N795" s="1063"/>
      <c r="O795" s="1063"/>
      <c r="P795" s="1063"/>
      <c r="Q795" s="1063"/>
      <c r="R795" s="1063"/>
      <c r="S795" s="1063"/>
      <c r="T795" s="1063"/>
      <c r="U795" s="1063"/>
      <c r="V795" s="1063"/>
      <c r="W795" s="1063"/>
      <c r="X795" s="1063"/>
      <c r="Y795" s="1063"/>
      <c r="Z795" s="1063"/>
      <c r="AA795" s="1063"/>
      <c r="AB795" s="1063"/>
      <c r="AC795" s="1063"/>
      <c r="AD795" s="1063"/>
      <c r="AE795" s="1063"/>
      <c r="AF795" s="1063"/>
      <c r="AG795" s="1063"/>
      <c r="AH795" s="1063"/>
      <c r="AI795" s="1063"/>
      <c r="AJ795" s="1063"/>
      <c r="AK795" s="1063"/>
      <c r="AL795" s="1063"/>
      <c r="AM795" s="1063"/>
      <c r="AN795" s="1063"/>
      <c r="AO795" s="1063"/>
      <c r="AP795" s="1063"/>
      <c r="AQ795" s="1063"/>
      <c r="AR795" s="1063"/>
      <c r="AS795" s="1063"/>
      <c r="AT795" s="1063"/>
      <c r="AU795" s="1063"/>
      <c r="AV795" s="1063"/>
    </row>
    <row r="796" spans="1:48" s="1108" customFormat="1" ht="27.75" customHeight="1">
      <c r="A796" s="1076"/>
      <c r="B796" s="1074">
        <f>+'[18]Bldg+Dev'!S1608</f>
        <v>0</v>
      </c>
      <c r="D796" s="1063"/>
      <c r="F796" s="1076"/>
      <c r="G796" s="1063"/>
      <c r="H796" s="1063"/>
      <c r="I796" s="1063"/>
      <c r="J796" s="1063"/>
      <c r="K796" s="1063"/>
      <c r="L796" s="1063"/>
      <c r="M796" s="1063"/>
      <c r="N796" s="1063"/>
      <c r="O796" s="1063"/>
      <c r="P796" s="1063"/>
      <c r="Q796" s="1063"/>
      <c r="R796" s="1063"/>
      <c r="S796" s="1063"/>
      <c r="T796" s="1063"/>
      <c r="U796" s="1063"/>
      <c r="V796" s="1063"/>
      <c r="W796" s="1063"/>
      <c r="X796" s="1063"/>
      <c r="Y796" s="1063"/>
      <c r="Z796" s="1063"/>
      <c r="AA796" s="1063"/>
      <c r="AB796" s="1063"/>
      <c r="AC796" s="1063"/>
      <c r="AD796" s="1063"/>
      <c r="AE796" s="1063"/>
      <c r="AF796" s="1063"/>
      <c r="AG796" s="1063"/>
      <c r="AH796" s="1063"/>
      <c r="AI796" s="1063"/>
      <c r="AJ796" s="1063"/>
      <c r="AK796" s="1063"/>
      <c r="AL796" s="1063"/>
      <c r="AM796" s="1063"/>
      <c r="AN796" s="1063"/>
      <c r="AO796" s="1063"/>
      <c r="AP796" s="1063"/>
      <c r="AQ796" s="1063"/>
      <c r="AR796" s="1063"/>
      <c r="AS796" s="1063"/>
      <c r="AT796" s="1063"/>
      <c r="AU796" s="1063"/>
      <c r="AV796" s="1063"/>
    </row>
    <row r="797" spans="1:48" s="1108" customFormat="1" ht="27.75" customHeight="1">
      <c r="A797" s="1076"/>
      <c r="B797" s="1074">
        <f>+'[18]Bldg+Dev'!S1609</f>
        <v>0</v>
      </c>
      <c r="D797" s="1063"/>
      <c r="F797" s="1076"/>
      <c r="G797" s="1063"/>
      <c r="H797" s="1063"/>
      <c r="I797" s="1063"/>
      <c r="J797" s="1063"/>
      <c r="K797" s="1063"/>
      <c r="L797" s="1063"/>
      <c r="M797" s="1063"/>
      <c r="N797" s="1063"/>
      <c r="O797" s="1063"/>
      <c r="P797" s="1063"/>
      <c r="Q797" s="1063"/>
      <c r="R797" s="1063"/>
      <c r="S797" s="1063"/>
      <c r="T797" s="1063"/>
      <c r="U797" s="1063"/>
      <c r="V797" s="1063"/>
      <c r="W797" s="1063"/>
      <c r="X797" s="1063"/>
      <c r="Y797" s="1063"/>
      <c r="Z797" s="1063"/>
      <c r="AA797" s="1063"/>
      <c r="AB797" s="1063"/>
      <c r="AC797" s="1063"/>
      <c r="AD797" s="1063"/>
      <c r="AE797" s="1063"/>
      <c r="AF797" s="1063"/>
      <c r="AG797" s="1063"/>
      <c r="AH797" s="1063"/>
      <c r="AI797" s="1063"/>
      <c r="AJ797" s="1063"/>
      <c r="AK797" s="1063"/>
      <c r="AL797" s="1063"/>
      <c r="AM797" s="1063"/>
      <c r="AN797" s="1063"/>
      <c r="AO797" s="1063"/>
      <c r="AP797" s="1063"/>
      <c r="AQ797" s="1063"/>
      <c r="AR797" s="1063"/>
      <c r="AS797" s="1063"/>
      <c r="AT797" s="1063"/>
      <c r="AU797" s="1063"/>
      <c r="AV797" s="1063"/>
    </row>
    <row r="798" spans="1:48" s="1108" customFormat="1" ht="27.75" customHeight="1">
      <c r="A798" s="1076"/>
      <c r="B798" s="1074">
        <f>+'[18]Bldg+Dev'!S1610</f>
        <v>0</v>
      </c>
      <c r="D798" s="1063"/>
      <c r="F798" s="1076"/>
      <c r="G798" s="1063"/>
      <c r="H798" s="1063"/>
      <c r="I798" s="1063"/>
      <c r="J798" s="1063"/>
      <c r="K798" s="1063"/>
      <c r="L798" s="1063"/>
      <c r="M798" s="1063"/>
      <c r="N798" s="1063"/>
      <c r="O798" s="1063"/>
      <c r="P798" s="1063"/>
      <c r="Q798" s="1063"/>
      <c r="R798" s="1063"/>
      <c r="S798" s="1063"/>
      <c r="T798" s="1063"/>
      <c r="U798" s="1063"/>
      <c r="V798" s="1063"/>
      <c r="W798" s="1063"/>
      <c r="X798" s="1063"/>
      <c r="Y798" s="1063"/>
      <c r="Z798" s="1063"/>
      <c r="AA798" s="1063"/>
      <c r="AB798" s="1063"/>
      <c r="AC798" s="1063"/>
      <c r="AD798" s="1063"/>
      <c r="AE798" s="1063"/>
      <c r="AF798" s="1063"/>
      <c r="AG798" s="1063"/>
      <c r="AH798" s="1063"/>
      <c r="AI798" s="1063"/>
      <c r="AJ798" s="1063"/>
      <c r="AK798" s="1063"/>
      <c r="AL798" s="1063"/>
      <c r="AM798" s="1063"/>
      <c r="AN798" s="1063"/>
      <c r="AO798" s="1063"/>
      <c r="AP798" s="1063"/>
      <c r="AQ798" s="1063"/>
      <c r="AR798" s="1063"/>
      <c r="AS798" s="1063"/>
      <c r="AT798" s="1063"/>
      <c r="AU798" s="1063"/>
      <c r="AV798" s="1063"/>
    </row>
    <row r="799" spans="1:48" s="1108" customFormat="1" ht="27.75" customHeight="1">
      <c r="A799" s="1076"/>
      <c r="B799" s="1074">
        <f>+'[18]Bldg+Dev'!S1611</f>
        <v>0</v>
      </c>
      <c r="D799" s="1063"/>
      <c r="F799" s="1076"/>
      <c r="G799" s="1063"/>
      <c r="H799" s="1063"/>
      <c r="I799" s="1063"/>
      <c r="J799" s="1063"/>
      <c r="K799" s="1063"/>
      <c r="L799" s="1063"/>
      <c r="M799" s="1063"/>
      <c r="N799" s="1063"/>
      <c r="O799" s="1063"/>
      <c r="P799" s="1063"/>
      <c r="Q799" s="1063"/>
      <c r="R799" s="1063"/>
      <c r="S799" s="1063"/>
      <c r="T799" s="1063"/>
      <c r="U799" s="1063"/>
      <c r="V799" s="1063"/>
      <c r="W799" s="1063"/>
      <c r="X799" s="1063"/>
      <c r="Y799" s="1063"/>
      <c r="Z799" s="1063"/>
      <c r="AA799" s="1063"/>
      <c r="AB799" s="1063"/>
      <c r="AC799" s="1063"/>
      <c r="AD799" s="1063"/>
      <c r="AE799" s="1063"/>
      <c r="AF799" s="1063"/>
      <c r="AG799" s="1063"/>
      <c r="AH799" s="1063"/>
      <c r="AI799" s="1063"/>
      <c r="AJ799" s="1063"/>
      <c r="AK799" s="1063"/>
      <c r="AL799" s="1063"/>
      <c r="AM799" s="1063"/>
      <c r="AN799" s="1063"/>
      <c r="AO799" s="1063"/>
      <c r="AP799" s="1063"/>
      <c r="AQ799" s="1063"/>
      <c r="AR799" s="1063"/>
      <c r="AS799" s="1063"/>
      <c r="AT799" s="1063"/>
      <c r="AU799" s="1063"/>
      <c r="AV799" s="1063"/>
    </row>
    <row r="800" spans="1:48" s="1108" customFormat="1" ht="27.75" customHeight="1">
      <c r="A800" s="1076"/>
      <c r="B800" s="1074">
        <f>+'[18]Bldg+Dev'!S1612</f>
        <v>0</v>
      </c>
      <c r="D800" s="1063"/>
      <c r="F800" s="1076"/>
      <c r="G800" s="1063"/>
      <c r="H800" s="1063"/>
      <c r="I800" s="1063"/>
      <c r="J800" s="1063"/>
      <c r="K800" s="1063"/>
      <c r="L800" s="1063"/>
      <c r="M800" s="1063"/>
      <c r="N800" s="1063"/>
      <c r="O800" s="1063"/>
      <c r="P800" s="1063"/>
      <c r="Q800" s="1063"/>
      <c r="R800" s="1063"/>
      <c r="S800" s="1063"/>
      <c r="T800" s="1063"/>
      <c r="U800" s="1063"/>
      <c r="V800" s="1063"/>
      <c r="W800" s="1063"/>
      <c r="X800" s="1063"/>
      <c r="Y800" s="1063"/>
      <c r="Z800" s="1063"/>
      <c r="AA800" s="1063"/>
      <c r="AB800" s="1063"/>
      <c r="AC800" s="1063"/>
      <c r="AD800" s="1063"/>
      <c r="AE800" s="1063"/>
      <c r="AF800" s="1063"/>
      <c r="AG800" s="1063"/>
      <c r="AH800" s="1063"/>
      <c r="AI800" s="1063"/>
      <c r="AJ800" s="1063"/>
      <c r="AK800" s="1063"/>
      <c r="AL800" s="1063"/>
      <c r="AM800" s="1063"/>
      <c r="AN800" s="1063"/>
      <c r="AO800" s="1063"/>
      <c r="AP800" s="1063"/>
      <c r="AQ800" s="1063"/>
      <c r="AR800" s="1063"/>
      <c r="AS800" s="1063"/>
      <c r="AT800" s="1063"/>
      <c r="AU800" s="1063"/>
      <c r="AV800" s="1063"/>
    </row>
    <row r="801" spans="1:48" s="1108" customFormat="1" ht="27.75" customHeight="1">
      <c r="A801" s="1076"/>
      <c r="B801" s="1074">
        <f>+'[18]Bldg+Dev'!S1613</f>
        <v>0</v>
      </c>
      <c r="D801" s="1063"/>
      <c r="F801" s="1076"/>
      <c r="G801" s="1063"/>
      <c r="H801" s="1063"/>
      <c r="I801" s="1063"/>
      <c r="J801" s="1063"/>
      <c r="K801" s="1063"/>
      <c r="L801" s="1063"/>
      <c r="M801" s="1063"/>
      <c r="N801" s="1063"/>
      <c r="O801" s="1063"/>
      <c r="P801" s="1063"/>
      <c r="Q801" s="1063"/>
      <c r="R801" s="1063"/>
      <c r="S801" s="1063"/>
      <c r="T801" s="1063"/>
      <c r="U801" s="1063"/>
      <c r="V801" s="1063"/>
      <c r="W801" s="1063"/>
      <c r="X801" s="1063"/>
      <c r="Y801" s="1063"/>
      <c r="Z801" s="1063"/>
      <c r="AA801" s="1063"/>
      <c r="AB801" s="1063"/>
      <c r="AC801" s="1063"/>
      <c r="AD801" s="1063"/>
      <c r="AE801" s="1063"/>
      <c r="AF801" s="1063"/>
      <c r="AG801" s="1063"/>
      <c r="AH801" s="1063"/>
      <c r="AI801" s="1063"/>
      <c r="AJ801" s="1063"/>
      <c r="AK801" s="1063"/>
      <c r="AL801" s="1063"/>
      <c r="AM801" s="1063"/>
      <c r="AN801" s="1063"/>
      <c r="AO801" s="1063"/>
      <c r="AP801" s="1063"/>
      <c r="AQ801" s="1063"/>
      <c r="AR801" s="1063"/>
      <c r="AS801" s="1063"/>
      <c r="AT801" s="1063"/>
      <c r="AU801" s="1063"/>
      <c r="AV801" s="1063"/>
    </row>
    <row r="802" spans="1:48" s="1108" customFormat="1" ht="27.75" customHeight="1">
      <c r="A802" s="1076"/>
      <c r="B802" s="1074">
        <f>+'[18]Bldg+Dev'!S1614</f>
        <v>0</v>
      </c>
      <c r="D802" s="1063"/>
      <c r="F802" s="1076"/>
      <c r="G802" s="1063"/>
      <c r="H802" s="1063"/>
      <c r="I802" s="1063"/>
      <c r="J802" s="1063"/>
      <c r="K802" s="1063"/>
      <c r="L802" s="1063"/>
      <c r="M802" s="1063"/>
      <c r="N802" s="1063"/>
      <c r="O802" s="1063"/>
      <c r="P802" s="1063"/>
      <c r="Q802" s="1063"/>
      <c r="R802" s="1063"/>
      <c r="S802" s="1063"/>
      <c r="T802" s="1063"/>
      <c r="U802" s="1063"/>
      <c r="V802" s="1063"/>
      <c r="W802" s="1063"/>
      <c r="X802" s="1063"/>
      <c r="Y802" s="1063"/>
      <c r="Z802" s="1063"/>
      <c r="AA802" s="1063"/>
      <c r="AB802" s="1063"/>
      <c r="AC802" s="1063"/>
      <c r="AD802" s="1063"/>
      <c r="AE802" s="1063"/>
      <c r="AF802" s="1063"/>
      <c r="AG802" s="1063"/>
      <c r="AH802" s="1063"/>
      <c r="AI802" s="1063"/>
      <c r="AJ802" s="1063"/>
      <c r="AK802" s="1063"/>
      <c r="AL802" s="1063"/>
      <c r="AM802" s="1063"/>
      <c r="AN802" s="1063"/>
      <c r="AO802" s="1063"/>
      <c r="AP802" s="1063"/>
      <c r="AQ802" s="1063"/>
      <c r="AR802" s="1063"/>
      <c r="AS802" s="1063"/>
      <c r="AT802" s="1063"/>
      <c r="AU802" s="1063"/>
      <c r="AV802" s="1063"/>
    </row>
    <row r="803" spans="1:48" s="1108" customFormat="1" ht="27.75" customHeight="1">
      <c r="A803" s="1076"/>
      <c r="B803" s="1074">
        <f>+'[18]Bldg+Dev'!S1615</f>
        <v>0</v>
      </c>
      <c r="D803" s="1063"/>
      <c r="F803" s="1076"/>
      <c r="G803" s="1063"/>
      <c r="H803" s="1063"/>
      <c r="I803" s="1063"/>
      <c r="J803" s="1063"/>
      <c r="K803" s="1063"/>
      <c r="L803" s="1063"/>
      <c r="M803" s="1063"/>
      <c r="N803" s="1063"/>
      <c r="O803" s="1063"/>
      <c r="P803" s="1063"/>
      <c r="Q803" s="1063"/>
      <c r="R803" s="1063"/>
      <c r="S803" s="1063"/>
      <c r="T803" s="1063"/>
      <c r="U803" s="1063"/>
      <c r="V803" s="1063"/>
      <c r="W803" s="1063"/>
      <c r="X803" s="1063"/>
      <c r="Y803" s="1063"/>
      <c r="Z803" s="1063"/>
      <c r="AA803" s="1063"/>
      <c r="AB803" s="1063"/>
      <c r="AC803" s="1063"/>
      <c r="AD803" s="1063"/>
      <c r="AE803" s="1063"/>
      <c r="AF803" s="1063"/>
      <c r="AG803" s="1063"/>
      <c r="AH803" s="1063"/>
      <c r="AI803" s="1063"/>
      <c r="AJ803" s="1063"/>
      <c r="AK803" s="1063"/>
      <c r="AL803" s="1063"/>
      <c r="AM803" s="1063"/>
      <c r="AN803" s="1063"/>
      <c r="AO803" s="1063"/>
      <c r="AP803" s="1063"/>
      <c r="AQ803" s="1063"/>
      <c r="AR803" s="1063"/>
      <c r="AS803" s="1063"/>
      <c r="AT803" s="1063"/>
      <c r="AU803" s="1063"/>
      <c r="AV803" s="1063"/>
    </row>
    <row r="804" spans="1:48" s="1108" customFormat="1" ht="27.75" customHeight="1">
      <c r="A804" s="1076"/>
      <c r="B804" s="1074">
        <f>+'[18]Bldg+Dev'!S1616</f>
        <v>0</v>
      </c>
      <c r="D804" s="1063"/>
      <c r="F804" s="1076"/>
      <c r="G804" s="1063"/>
      <c r="H804" s="1063"/>
      <c r="I804" s="1063"/>
      <c r="J804" s="1063"/>
      <c r="K804" s="1063"/>
      <c r="L804" s="1063"/>
      <c r="M804" s="1063"/>
      <c r="N804" s="1063"/>
      <c r="O804" s="1063"/>
      <c r="P804" s="1063"/>
      <c r="Q804" s="1063"/>
      <c r="R804" s="1063"/>
      <c r="S804" s="1063"/>
      <c r="T804" s="1063"/>
      <c r="U804" s="1063"/>
      <c r="V804" s="1063"/>
      <c r="W804" s="1063"/>
      <c r="X804" s="1063"/>
      <c r="Y804" s="1063"/>
      <c r="Z804" s="1063"/>
      <c r="AA804" s="1063"/>
      <c r="AB804" s="1063"/>
      <c r="AC804" s="1063"/>
      <c r="AD804" s="1063"/>
      <c r="AE804" s="1063"/>
      <c r="AF804" s="1063"/>
      <c r="AG804" s="1063"/>
      <c r="AH804" s="1063"/>
      <c r="AI804" s="1063"/>
      <c r="AJ804" s="1063"/>
      <c r="AK804" s="1063"/>
      <c r="AL804" s="1063"/>
      <c r="AM804" s="1063"/>
      <c r="AN804" s="1063"/>
      <c r="AO804" s="1063"/>
      <c r="AP804" s="1063"/>
      <c r="AQ804" s="1063"/>
      <c r="AR804" s="1063"/>
      <c r="AS804" s="1063"/>
      <c r="AT804" s="1063"/>
      <c r="AU804" s="1063"/>
      <c r="AV804" s="1063"/>
    </row>
    <row r="805" spans="1:48" s="1108" customFormat="1" ht="27.75" customHeight="1">
      <c r="A805" s="1076"/>
      <c r="B805" s="1074">
        <f>+'[18]Bldg+Dev'!S1617</f>
        <v>0</v>
      </c>
      <c r="D805" s="1063"/>
      <c r="F805" s="1076"/>
      <c r="G805" s="1063"/>
      <c r="H805" s="1063"/>
      <c r="I805" s="1063"/>
      <c r="J805" s="1063"/>
      <c r="K805" s="1063"/>
      <c r="L805" s="1063"/>
      <c r="M805" s="1063"/>
      <c r="N805" s="1063"/>
      <c r="O805" s="1063"/>
      <c r="P805" s="1063"/>
      <c r="Q805" s="1063"/>
      <c r="R805" s="1063"/>
      <c r="S805" s="1063"/>
      <c r="T805" s="1063"/>
      <c r="U805" s="1063"/>
      <c r="V805" s="1063"/>
      <c r="W805" s="1063"/>
      <c r="X805" s="1063"/>
      <c r="Y805" s="1063"/>
      <c r="Z805" s="1063"/>
      <c r="AA805" s="1063"/>
      <c r="AB805" s="1063"/>
      <c r="AC805" s="1063"/>
      <c r="AD805" s="1063"/>
      <c r="AE805" s="1063"/>
      <c r="AF805" s="1063"/>
      <c r="AG805" s="1063"/>
      <c r="AH805" s="1063"/>
      <c r="AI805" s="1063"/>
      <c r="AJ805" s="1063"/>
      <c r="AK805" s="1063"/>
      <c r="AL805" s="1063"/>
      <c r="AM805" s="1063"/>
      <c r="AN805" s="1063"/>
      <c r="AO805" s="1063"/>
      <c r="AP805" s="1063"/>
      <c r="AQ805" s="1063"/>
      <c r="AR805" s="1063"/>
      <c r="AS805" s="1063"/>
      <c r="AT805" s="1063"/>
      <c r="AU805" s="1063"/>
      <c r="AV805" s="1063"/>
    </row>
    <row r="806" spans="1:48" s="1108" customFormat="1" ht="27.75" customHeight="1">
      <c r="A806" s="1076"/>
      <c r="B806" s="1074">
        <f>+'[18]Bldg+Dev'!S1618</f>
        <v>0</v>
      </c>
      <c r="D806" s="1063"/>
      <c r="F806" s="1076"/>
      <c r="G806" s="1063"/>
      <c r="H806" s="1063"/>
      <c r="I806" s="1063"/>
      <c r="J806" s="1063"/>
      <c r="K806" s="1063"/>
      <c r="L806" s="1063"/>
      <c r="M806" s="1063"/>
      <c r="N806" s="1063"/>
      <c r="O806" s="1063"/>
      <c r="P806" s="1063"/>
      <c r="Q806" s="1063"/>
      <c r="R806" s="1063"/>
      <c r="S806" s="1063"/>
      <c r="T806" s="1063"/>
      <c r="U806" s="1063"/>
      <c r="V806" s="1063"/>
      <c r="W806" s="1063"/>
      <c r="X806" s="1063"/>
      <c r="Y806" s="1063"/>
      <c r="Z806" s="1063"/>
      <c r="AA806" s="1063"/>
      <c r="AB806" s="1063"/>
      <c r="AC806" s="1063"/>
      <c r="AD806" s="1063"/>
      <c r="AE806" s="1063"/>
      <c r="AF806" s="1063"/>
      <c r="AG806" s="1063"/>
      <c r="AH806" s="1063"/>
      <c r="AI806" s="1063"/>
      <c r="AJ806" s="1063"/>
      <c r="AK806" s="1063"/>
      <c r="AL806" s="1063"/>
      <c r="AM806" s="1063"/>
      <c r="AN806" s="1063"/>
      <c r="AO806" s="1063"/>
      <c r="AP806" s="1063"/>
      <c r="AQ806" s="1063"/>
      <c r="AR806" s="1063"/>
      <c r="AS806" s="1063"/>
      <c r="AT806" s="1063"/>
      <c r="AU806" s="1063"/>
      <c r="AV806" s="1063"/>
    </row>
    <row r="807" spans="1:48" s="1108" customFormat="1" ht="27.75" customHeight="1">
      <c r="A807" s="1076"/>
      <c r="B807" s="1074">
        <f>+'[18]Bldg+Dev'!S1619</f>
        <v>0</v>
      </c>
      <c r="D807" s="1063"/>
      <c r="F807" s="1076"/>
      <c r="G807" s="1063"/>
      <c r="H807" s="1063"/>
      <c r="I807" s="1063"/>
      <c r="J807" s="1063"/>
      <c r="K807" s="1063"/>
      <c r="L807" s="1063"/>
      <c r="M807" s="1063"/>
      <c r="N807" s="1063"/>
      <c r="O807" s="1063"/>
      <c r="P807" s="1063"/>
      <c r="Q807" s="1063"/>
      <c r="R807" s="1063"/>
      <c r="S807" s="1063"/>
      <c r="T807" s="1063"/>
      <c r="U807" s="1063"/>
      <c r="V807" s="1063"/>
      <c r="W807" s="1063"/>
      <c r="X807" s="1063"/>
      <c r="Y807" s="1063"/>
      <c r="Z807" s="1063"/>
      <c r="AA807" s="1063"/>
      <c r="AB807" s="1063"/>
      <c r="AC807" s="1063"/>
      <c r="AD807" s="1063"/>
      <c r="AE807" s="1063"/>
      <c r="AF807" s="1063"/>
      <c r="AG807" s="1063"/>
      <c r="AH807" s="1063"/>
      <c r="AI807" s="1063"/>
      <c r="AJ807" s="1063"/>
      <c r="AK807" s="1063"/>
      <c r="AL807" s="1063"/>
      <c r="AM807" s="1063"/>
      <c r="AN807" s="1063"/>
      <c r="AO807" s="1063"/>
      <c r="AP807" s="1063"/>
      <c r="AQ807" s="1063"/>
      <c r="AR807" s="1063"/>
      <c r="AS807" s="1063"/>
      <c r="AT807" s="1063"/>
      <c r="AU807" s="1063"/>
      <c r="AV807" s="1063"/>
    </row>
    <row r="808" spans="1:48" s="1108" customFormat="1" ht="27.75" customHeight="1">
      <c r="A808" s="1076"/>
      <c r="B808" s="1074">
        <f>+'[18]Bldg+Dev'!S1620</f>
        <v>0</v>
      </c>
      <c r="D808" s="1063"/>
      <c r="F808" s="1076"/>
      <c r="G808" s="1063"/>
      <c r="H808" s="1063"/>
      <c r="I808" s="1063"/>
      <c r="J808" s="1063"/>
      <c r="K808" s="1063"/>
      <c r="L808" s="1063"/>
      <c r="M808" s="1063"/>
      <c r="N808" s="1063"/>
      <c r="O808" s="1063"/>
      <c r="P808" s="1063"/>
      <c r="Q808" s="1063"/>
      <c r="R808" s="1063"/>
      <c r="S808" s="1063"/>
      <c r="T808" s="1063"/>
      <c r="U808" s="1063"/>
      <c r="V808" s="1063"/>
      <c r="W808" s="1063"/>
      <c r="X808" s="1063"/>
      <c r="Y808" s="1063"/>
      <c r="Z808" s="1063"/>
      <c r="AA808" s="1063"/>
      <c r="AB808" s="1063"/>
      <c r="AC808" s="1063"/>
      <c r="AD808" s="1063"/>
      <c r="AE808" s="1063"/>
      <c r="AF808" s="1063"/>
      <c r="AG808" s="1063"/>
      <c r="AH808" s="1063"/>
      <c r="AI808" s="1063"/>
      <c r="AJ808" s="1063"/>
      <c r="AK808" s="1063"/>
      <c r="AL808" s="1063"/>
      <c r="AM808" s="1063"/>
      <c r="AN808" s="1063"/>
      <c r="AO808" s="1063"/>
      <c r="AP808" s="1063"/>
      <c r="AQ808" s="1063"/>
      <c r="AR808" s="1063"/>
      <c r="AS808" s="1063"/>
      <c r="AT808" s="1063"/>
      <c r="AU808" s="1063"/>
      <c r="AV808" s="1063"/>
    </row>
    <row r="809" spans="1:48" s="1108" customFormat="1" ht="27.75" customHeight="1">
      <c r="A809" s="1076"/>
      <c r="B809" s="1074">
        <f>+'[18]Bldg+Dev'!S1621</f>
        <v>0</v>
      </c>
      <c r="D809" s="1063"/>
      <c r="F809" s="1076"/>
      <c r="G809" s="1063"/>
      <c r="H809" s="1063"/>
      <c r="I809" s="1063"/>
      <c r="J809" s="1063"/>
      <c r="K809" s="1063"/>
      <c r="L809" s="1063"/>
      <c r="M809" s="1063"/>
      <c r="N809" s="1063"/>
      <c r="O809" s="1063"/>
      <c r="P809" s="1063"/>
      <c r="Q809" s="1063"/>
      <c r="R809" s="1063"/>
      <c r="S809" s="1063"/>
      <c r="T809" s="1063"/>
      <c r="U809" s="1063"/>
      <c r="V809" s="1063"/>
      <c r="W809" s="1063"/>
      <c r="X809" s="1063"/>
      <c r="Y809" s="1063"/>
      <c r="Z809" s="1063"/>
      <c r="AA809" s="1063"/>
      <c r="AB809" s="1063"/>
      <c r="AC809" s="1063"/>
      <c r="AD809" s="1063"/>
      <c r="AE809" s="1063"/>
      <c r="AF809" s="1063"/>
      <c r="AG809" s="1063"/>
      <c r="AH809" s="1063"/>
      <c r="AI809" s="1063"/>
      <c r="AJ809" s="1063"/>
      <c r="AK809" s="1063"/>
      <c r="AL809" s="1063"/>
      <c r="AM809" s="1063"/>
      <c r="AN809" s="1063"/>
      <c r="AO809" s="1063"/>
      <c r="AP809" s="1063"/>
      <c r="AQ809" s="1063"/>
      <c r="AR809" s="1063"/>
      <c r="AS809" s="1063"/>
      <c r="AT809" s="1063"/>
      <c r="AU809" s="1063"/>
      <c r="AV809" s="1063"/>
    </row>
    <row r="810" spans="1:48" s="1108" customFormat="1" ht="27.75" customHeight="1">
      <c r="A810" s="1076"/>
      <c r="B810" s="1074">
        <f>+'[18]Bldg+Dev'!S1622</f>
        <v>0</v>
      </c>
      <c r="D810" s="1063"/>
      <c r="F810" s="1076"/>
      <c r="G810" s="1063"/>
      <c r="H810" s="1063"/>
      <c r="I810" s="1063"/>
      <c r="J810" s="1063"/>
      <c r="K810" s="1063"/>
      <c r="L810" s="1063"/>
      <c r="M810" s="1063"/>
      <c r="N810" s="1063"/>
      <c r="O810" s="1063"/>
      <c r="P810" s="1063"/>
      <c r="Q810" s="1063"/>
      <c r="R810" s="1063"/>
      <c r="S810" s="1063"/>
      <c r="T810" s="1063"/>
      <c r="U810" s="1063"/>
      <c r="V810" s="1063"/>
      <c r="W810" s="1063"/>
      <c r="X810" s="1063"/>
      <c r="Y810" s="1063"/>
      <c r="Z810" s="1063"/>
      <c r="AA810" s="1063"/>
      <c r="AB810" s="1063"/>
      <c r="AC810" s="1063"/>
      <c r="AD810" s="1063"/>
      <c r="AE810" s="1063"/>
      <c r="AF810" s="1063"/>
      <c r="AG810" s="1063"/>
      <c r="AH810" s="1063"/>
      <c r="AI810" s="1063"/>
      <c r="AJ810" s="1063"/>
      <c r="AK810" s="1063"/>
      <c r="AL810" s="1063"/>
      <c r="AM810" s="1063"/>
      <c r="AN810" s="1063"/>
      <c r="AO810" s="1063"/>
      <c r="AP810" s="1063"/>
      <c r="AQ810" s="1063"/>
      <c r="AR810" s="1063"/>
      <c r="AS810" s="1063"/>
      <c r="AT810" s="1063"/>
      <c r="AU810" s="1063"/>
      <c r="AV810" s="1063"/>
    </row>
    <row r="811" spans="1:48" s="1108" customFormat="1" ht="27.75" customHeight="1">
      <c r="A811" s="1076"/>
      <c r="B811" s="1074">
        <f>+'[18]Bldg+Dev'!S1623</f>
        <v>0</v>
      </c>
      <c r="D811" s="1063"/>
      <c r="F811" s="1076"/>
      <c r="G811" s="1063"/>
      <c r="H811" s="1063"/>
      <c r="I811" s="1063"/>
      <c r="J811" s="1063"/>
      <c r="K811" s="1063"/>
      <c r="L811" s="1063"/>
      <c r="M811" s="1063"/>
      <c r="N811" s="1063"/>
      <c r="O811" s="1063"/>
      <c r="P811" s="1063"/>
      <c r="Q811" s="1063"/>
      <c r="R811" s="1063"/>
      <c r="S811" s="1063"/>
      <c r="T811" s="1063"/>
      <c r="U811" s="1063"/>
      <c r="V811" s="1063"/>
      <c r="W811" s="1063"/>
      <c r="X811" s="1063"/>
      <c r="Y811" s="1063"/>
      <c r="Z811" s="1063"/>
      <c r="AA811" s="1063"/>
      <c r="AB811" s="1063"/>
      <c r="AC811" s="1063"/>
      <c r="AD811" s="1063"/>
      <c r="AE811" s="1063"/>
      <c r="AF811" s="1063"/>
      <c r="AG811" s="1063"/>
      <c r="AH811" s="1063"/>
      <c r="AI811" s="1063"/>
      <c r="AJ811" s="1063"/>
      <c r="AK811" s="1063"/>
      <c r="AL811" s="1063"/>
      <c r="AM811" s="1063"/>
      <c r="AN811" s="1063"/>
      <c r="AO811" s="1063"/>
      <c r="AP811" s="1063"/>
      <c r="AQ811" s="1063"/>
      <c r="AR811" s="1063"/>
      <c r="AS811" s="1063"/>
      <c r="AT811" s="1063"/>
      <c r="AU811" s="1063"/>
      <c r="AV811" s="1063"/>
    </row>
    <row r="812" spans="1:48" s="1108" customFormat="1" ht="27.75" customHeight="1">
      <c r="A812" s="1076"/>
      <c r="B812" s="1074">
        <f>+'[18]Bldg+Dev'!S1624</f>
        <v>0</v>
      </c>
      <c r="D812" s="1063"/>
      <c r="F812" s="1076"/>
      <c r="G812" s="1063"/>
      <c r="H812" s="1063"/>
      <c r="I812" s="1063"/>
      <c r="J812" s="1063"/>
      <c r="K812" s="1063"/>
      <c r="L812" s="1063"/>
      <c r="M812" s="1063"/>
      <c r="N812" s="1063"/>
      <c r="O812" s="1063"/>
      <c r="P812" s="1063"/>
      <c r="Q812" s="1063"/>
      <c r="R812" s="1063"/>
      <c r="S812" s="1063"/>
      <c r="T812" s="1063"/>
      <c r="U812" s="1063"/>
      <c r="V812" s="1063"/>
      <c r="W812" s="1063"/>
      <c r="X812" s="1063"/>
      <c r="Y812" s="1063"/>
      <c r="Z812" s="1063"/>
      <c r="AA812" s="1063"/>
      <c r="AB812" s="1063"/>
      <c r="AC812" s="1063"/>
      <c r="AD812" s="1063"/>
      <c r="AE812" s="1063"/>
      <c r="AF812" s="1063"/>
      <c r="AG812" s="1063"/>
      <c r="AH812" s="1063"/>
      <c r="AI812" s="1063"/>
      <c r="AJ812" s="1063"/>
      <c r="AK812" s="1063"/>
      <c r="AL812" s="1063"/>
      <c r="AM812" s="1063"/>
      <c r="AN812" s="1063"/>
      <c r="AO812" s="1063"/>
      <c r="AP812" s="1063"/>
      <c r="AQ812" s="1063"/>
      <c r="AR812" s="1063"/>
      <c r="AS812" s="1063"/>
      <c r="AT812" s="1063"/>
      <c r="AU812" s="1063"/>
      <c r="AV812" s="1063"/>
    </row>
    <row r="813" spans="1:48" s="1108" customFormat="1" ht="27.75" customHeight="1">
      <c r="A813" s="1076"/>
      <c r="B813" s="1074">
        <f>+'[18]Bldg+Dev'!S1625</f>
        <v>0</v>
      </c>
      <c r="D813" s="1063"/>
      <c r="F813" s="1076"/>
      <c r="G813" s="1063"/>
      <c r="H813" s="1063"/>
      <c r="I813" s="1063"/>
      <c r="J813" s="1063"/>
      <c r="K813" s="1063"/>
      <c r="L813" s="1063"/>
      <c r="M813" s="1063"/>
      <c r="N813" s="1063"/>
      <c r="O813" s="1063"/>
      <c r="P813" s="1063"/>
      <c r="Q813" s="1063"/>
      <c r="R813" s="1063"/>
      <c r="S813" s="1063"/>
      <c r="T813" s="1063"/>
      <c r="U813" s="1063"/>
      <c r="V813" s="1063"/>
      <c r="W813" s="1063"/>
      <c r="X813" s="1063"/>
      <c r="Y813" s="1063"/>
      <c r="Z813" s="1063"/>
      <c r="AA813" s="1063"/>
      <c r="AB813" s="1063"/>
      <c r="AC813" s="1063"/>
      <c r="AD813" s="1063"/>
      <c r="AE813" s="1063"/>
      <c r="AF813" s="1063"/>
      <c r="AG813" s="1063"/>
      <c r="AH813" s="1063"/>
      <c r="AI813" s="1063"/>
      <c r="AJ813" s="1063"/>
      <c r="AK813" s="1063"/>
      <c r="AL813" s="1063"/>
      <c r="AM813" s="1063"/>
      <c r="AN813" s="1063"/>
      <c r="AO813" s="1063"/>
      <c r="AP813" s="1063"/>
      <c r="AQ813" s="1063"/>
      <c r="AR813" s="1063"/>
      <c r="AS813" s="1063"/>
      <c r="AT813" s="1063"/>
      <c r="AU813" s="1063"/>
      <c r="AV813" s="1063"/>
    </row>
    <row r="814" spans="1:48" s="1108" customFormat="1" ht="27.75" customHeight="1">
      <c r="A814" s="1076"/>
      <c r="B814" s="1074">
        <f>+'[18]Bldg+Dev'!S1626</f>
        <v>0</v>
      </c>
      <c r="D814" s="1063"/>
      <c r="F814" s="1076"/>
      <c r="G814" s="1063"/>
      <c r="H814" s="1063"/>
      <c r="I814" s="1063"/>
      <c r="J814" s="1063"/>
      <c r="K814" s="1063"/>
      <c r="L814" s="1063"/>
      <c r="M814" s="1063"/>
      <c r="N814" s="1063"/>
      <c r="O814" s="1063"/>
      <c r="P814" s="1063"/>
      <c r="Q814" s="1063"/>
      <c r="R814" s="1063"/>
      <c r="S814" s="1063"/>
      <c r="T814" s="1063"/>
      <c r="U814" s="1063"/>
      <c r="V814" s="1063"/>
      <c r="W814" s="1063"/>
      <c r="X814" s="1063"/>
      <c r="Y814" s="1063"/>
      <c r="Z814" s="1063"/>
      <c r="AA814" s="1063"/>
      <c r="AB814" s="1063"/>
      <c r="AC814" s="1063"/>
      <c r="AD814" s="1063"/>
      <c r="AE814" s="1063"/>
      <c r="AF814" s="1063"/>
      <c r="AG814" s="1063"/>
      <c r="AH814" s="1063"/>
      <c r="AI814" s="1063"/>
      <c r="AJ814" s="1063"/>
      <c r="AK814" s="1063"/>
      <c r="AL814" s="1063"/>
      <c r="AM814" s="1063"/>
      <c r="AN814" s="1063"/>
      <c r="AO814" s="1063"/>
      <c r="AP814" s="1063"/>
      <c r="AQ814" s="1063"/>
      <c r="AR814" s="1063"/>
      <c r="AS814" s="1063"/>
      <c r="AT814" s="1063"/>
      <c r="AU814" s="1063"/>
      <c r="AV814" s="1063"/>
    </row>
    <row r="815" spans="1:48" s="1108" customFormat="1" ht="27.75" customHeight="1">
      <c r="A815" s="1076"/>
      <c r="B815" s="1074">
        <f>+'[18]Bldg+Dev'!S1627</f>
        <v>0</v>
      </c>
      <c r="D815" s="1063"/>
      <c r="F815" s="1076"/>
      <c r="G815" s="1063"/>
      <c r="H815" s="1063"/>
      <c r="I815" s="1063"/>
      <c r="J815" s="1063"/>
      <c r="K815" s="1063"/>
      <c r="L815" s="1063"/>
      <c r="M815" s="1063"/>
      <c r="N815" s="1063"/>
      <c r="O815" s="1063"/>
      <c r="P815" s="1063"/>
      <c r="Q815" s="1063"/>
      <c r="R815" s="1063"/>
      <c r="S815" s="1063"/>
      <c r="T815" s="1063"/>
      <c r="U815" s="1063"/>
      <c r="V815" s="1063"/>
      <c r="W815" s="1063"/>
      <c r="X815" s="1063"/>
      <c r="Y815" s="1063"/>
      <c r="Z815" s="1063"/>
      <c r="AA815" s="1063"/>
      <c r="AB815" s="1063"/>
      <c r="AC815" s="1063"/>
      <c r="AD815" s="1063"/>
      <c r="AE815" s="1063"/>
      <c r="AF815" s="1063"/>
      <c r="AG815" s="1063"/>
      <c r="AH815" s="1063"/>
      <c r="AI815" s="1063"/>
      <c r="AJ815" s="1063"/>
      <c r="AK815" s="1063"/>
      <c r="AL815" s="1063"/>
      <c r="AM815" s="1063"/>
      <c r="AN815" s="1063"/>
      <c r="AO815" s="1063"/>
      <c r="AP815" s="1063"/>
      <c r="AQ815" s="1063"/>
      <c r="AR815" s="1063"/>
      <c r="AS815" s="1063"/>
      <c r="AT815" s="1063"/>
      <c r="AU815" s="1063"/>
      <c r="AV815" s="1063"/>
    </row>
    <row r="816" spans="1:48" s="1108" customFormat="1" ht="27.75" customHeight="1">
      <c r="A816" s="1076"/>
      <c r="B816" s="1074">
        <f>+'[18]Bldg+Dev'!S1628</f>
        <v>0</v>
      </c>
      <c r="D816" s="1063"/>
      <c r="F816" s="1076"/>
      <c r="G816" s="1063"/>
      <c r="H816" s="1063"/>
      <c r="I816" s="1063"/>
      <c r="J816" s="1063"/>
      <c r="K816" s="1063"/>
      <c r="L816" s="1063"/>
      <c r="M816" s="1063"/>
      <c r="N816" s="1063"/>
      <c r="O816" s="1063"/>
      <c r="P816" s="1063"/>
      <c r="Q816" s="1063"/>
      <c r="R816" s="1063"/>
      <c r="S816" s="1063"/>
      <c r="T816" s="1063"/>
      <c r="U816" s="1063"/>
      <c r="V816" s="1063"/>
      <c r="W816" s="1063"/>
      <c r="X816" s="1063"/>
      <c r="Y816" s="1063"/>
      <c r="Z816" s="1063"/>
      <c r="AA816" s="1063"/>
      <c r="AB816" s="1063"/>
      <c r="AC816" s="1063"/>
      <c r="AD816" s="1063"/>
      <c r="AE816" s="1063"/>
      <c r="AF816" s="1063"/>
      <c r="AG816" s="1063"/>
      <c r="AH816" s="1063"/>
      <c r="AI816" s="1063"/>
      <c r="AJ816" s="1063"/>
      <c r="AK816" s="1063"/>
      <c r="AL816" s="1063"/>
      <c r="AM816" s="1063"/>
      <c r="AN816" s="1063"/>
      <c r="AO816" s="1063"/>
      <c r="AP816" s="1063"/>
      <c r="AQ816" s="1063"/>
      <c r="AR816" s="1063"/>
      <c r="AS816" s="1063"/>
      <c r="AT816" s="1063"/>
      <c r="AU816" s="1063"/>
      <c r="AV816" s="1063"/>
    </row>
    <row r="817" spans="1:48" s="1108" customFormat="1" ht="27.75" customHeight="1">
      <c r="A817" s="1076"/>
      <c r="B817" s="1074">
        <f>+'[18]Bldg+Dev'!S1629</f>
        <v>0</v>
      </c>
      <c r="D817" s="1063"/>
      <c r="F817" s="1076"/>
      <c r="G817" s="1063"/>
      <c r="H817" s="1063"/>
      <c r="I817" s="1063"/>
      <c r="J817" s="1063"/>
      <c r="K817" s="1063"/>
      <c r="L817" s="1063"/>
      <c r="M817" s="1063"/>
      <c r="N817" s="1063"/>
      <c r="O817" s="1063"/>
      <c r="P817" s="1063"/>
      <c r="Q817" s="1063"/>
      <c r="R817" s="1063"/>
      <c r="S817" s="1063"/>
      <c r="T817" s="1063"/>
      <c r="U817" s="1063"/>
      <c r="V817" s="1063"/>
      <c r="W817" s="1063"/>
      <c r="X817" s="1063"/>
      <c r="Y817" s="1063"/>
      <c r="Z817" s="1063"/>
      <c r="AA817" s="1063"/>
      <c r="AB817" s="1063"/>
      <c r="AC817" s="1063"/>
      <c r="AD817" s="1063"/>
      <c r="AE817" s="1063"/>
      <c r="AF817" s="1063"/>
      <c r="AG817" s="1063"/>
      <c r="AH817" s="1063"/>
      <c r="AI817" s="1063"/>
      <c r="AJ817" s="1063"/>
      <c r="AK817" s="1063"/>
      <c r="AL817" s="1063"/>
      <c r="AM817" s="1063"/>
      <c r="AN817" s="1063"/>
      <c r="AO817" s="1063"/>
      <c r="AP817" s="1063"/>
      <c r="AQ817" s="1063"/>
      <c r="AR817" s="1063"/>
      <c r="AS817" s="1063"/>
      <c r="AT817" s="1063"/>
      <c r="AU817" s="1063"/>
      <c r="AV817" s="1063"/>
    </row>
    <row r="818" spans="1:48" s="1108" customFormat="1" ht="27.75" customHeight="1">
      <c r="A818" s="1076"/>
      <c r="B818" s="1074">
        <f>+'[18]Bldg+Dev'!S1630</f>
        <v>0</v>
      </c>
      <c r="D818" s="1063"/>
      <c r="F818" s="1076"/>
      <c r="G818" s="1063"/>
      <c r="H818" s="1063"/>
      <c r="I818" s="1063"/>
      <c r="J818" s="1063"/>
      <c r="K818" s="1063"/>
      <c r="L818" s="1063"/>
      <c r="M818" s="1063"/>
      <c r="N818" s="1063"/>
      <c r="O818" s="1063"/>
      <c r="P818" s="1063"/>
      <c r="Q818" s="1063"/>
      <c r="R818" s="1063"/>
      <c r="S818" s="1063"/>
      <c r="T818" s="1063"/>
      <c r="U818" s="1063"/>
      <c r="V818" s="1063"/>
      <c r="W818" s="1063"/>
      <c r="X818" s="1063"/>
      <c r="Y818" s="1063"/>
      <c r="Z818" s="1063"/>
      <c r="AA818" s="1063"/>
      <c r="AB818" s="1063"/>
      <c r="AC818" s="1063"/>
      <c r="AD818" s="1063"/>
      <c r="AE818" s="1063"/>
      <c r="AF818" s="1063"/>
      <c r="AG818" s="1063"/>
      <c r="AH818" s="1063"/>
      <c r="AI818" s="1063"/>
      <c r="AJ818" s="1063"/>
      <c r="AK818" s="1063"/>
      <c r="AL818" s="1063"/>
      <c r="AM818" s="1063"/>
      <c r="AN818" s="1063"/>
      <c r="AO818" s="1063"/>
      <c r="AP818" s="1063"/>
      <c r="AQ818" s="1063"/>
      <c r="AR818" s="1063"/>
      <c r="AS818" s="1063"/>
      <c r="AT818" s="1063"/>
      <c r="AU818" s="1063"/>
      <c r="AV818" s="1063"/>
    </row>
    <row r="819" spans="1:48" s="1108" customFormat="1" ht="27.75" customHeight="1">
      <c r="A819" s="1076"/>
      <c r="B819" s="1074">
        <f>+'[18]Bldg+Dev'!S1631</f>
        <v>0</v>
      </c>
      <c r="D819" s="1063"/>
      <c r="F819" s="1076"/>
      <c r="G819" s="1063"/>
      <c r="H819" s="1063"/>
      <c r="I819" s="1063"/>
      <c r="J819" s="1063"/>
      <c r="K819" s="1063"/>
      <c r="L819" s="1063"/>
      <c r="M819" s="1063"/>
      <c r="N819" s="1063"/>
      <c r="O819" s="1063"/>
      <c r="P819" s="1063"/>
      <c r="Q819" s="1063"/>
      <c r="R819" s="1063"/>
      <c r="S819" s="1063"/>
      <c r="T819" s="1063"/>
      <c r="U819" s="1063"/>
      <c r="V819" s="1063"/>
      <c r="W819" s="1063"/>
      <c r="X819" s="1063"/>
      <c r="Y819" s="1063"/>
      <c r="Z819" s="1063"/>
      <c r="AA819" s="1063"/>
      <c r="AB819" s="1063"/>
      <c r="AC819" s="1063"/>
      <c r="AD819" s="1063"/>
      <c r="AE819" s="1063"/>
      <c r="AF819" s="1063"/>
      <c r="AG819" s="1063"/>
      <c r="AH819" s="1063"/>
      <c r="AI819" s="1063"/>
      <c r="AJ819" s="1063"/>
      <c r="AK819" s="1063"/>
      <c r="AL819" s="1063"/>
      <c r="AM819" s="1063"/>
      <c r="AN819" s="1063"/>
      <c r="AO819" s="1063"/>
      <c r="AP819" s="1063"/>
      <c r="AQ819" s="1063"/>
      <c r="AR819" s="1063"/>
      <c r="AS819" s="1063"/>
      <c r="AT819" s="1063"/>
      <c r="AU819" s="1063"/>
      <c r="AV819" s="1063"/>
    </row>
    <row r="820" spans="1:48" s="1108" customFormat="1" ht="27.75" customHeight="1">
      <c r="A820" s="1076"/>
      <c r="B820" s="1074">
        <f>+'[18]Bldg+Dev'!S1632</f>
        <v>0</v>
      </c>
      <c r="D820" s="1063"/>
      <c r="F820" s="1076"/>
      <c r="G820" s="1063"/>
      <c r="H820" s="1063"/>
      <c r="I820" s="1063"/>
      <c r="J820" s="1063"/>
      <c r="K820" s="1063"/>
      <c r="L820" s="1063"/>
      <c r="M820" s="1063"/>
      <c r="N820" s="1063"/>
      <c r="O820" s="1063"/>
      <c r="P820" s="1063"/>
      <c r="Q820" s="1063"/>
      <c r="R820" s="1063"/>
      <c r="S820" s="1063"/>
      <c r="T820" s="1063"/>
      <c r="U820" s="1063"/>
      <c r="V820" s="1063"/>
      <c r="W820" s="1063"/>
      <c r="X820" s="1063"/>
      <c r="Y820" s="1063"/>
      <c r="Z820" s="1063"/>
      <c r="AA820" s="1063"/>
      <c r="AB820" s="1063"/>
      <c r="AC820" s="1063"/>
      <c r="AD820" s="1063"/>
      <c r="AE820" s="1063"/>
      <c r="AF820" s="1063"/>
      <c r="AG820" s="1063"/>
      <c r="AH820" s="1063"/>
      <c r="AI820" s="1063"/>
      <c r="AJ820" s="1063"/>
      <c r="AK820" s="1063"/>
      <c r="AL820" s="1063"/>
      <c r="AM820" s="1063"/>
      <c r="AN820" s="1063"/>
      <c r="AO820" s="1063"/>
      <c r="AP820" s="1063"/>
      <c r="AQ820" s="1063"/>
      <c r="AR820" s="1063"/>
      <c r="AS820" s="1063"/>
      <c r="AT820" s="1063"/>
      <c r="AU820" s="1063"/>
      <c r="AV820" s="1063"/>
    </row>
    <row r="821" spans="1:48" s="1108" customFormat="1" ht="27.75" customHeight="1">
      <c r="A821" s="1076"/>
      <c r="B821" s="1074">
        <f>+'[18]Bldg+Dev'!S1633</f>
        <v>0</v>
      </c>
      <c r="D821" s="1063"/>
      <c r="F821" s="1076"/>
      <c r="G821" s="1063"/>
      <c r="H821" s="1063"/>
      <c r="I821" s="1063"/>
      <c r="J821" s="1063"/>
      <c r="K821" s="1063"/>
      <c r="L821" s="1063"/>
      <c r="M821" s="1063"/>
      <c r="N821" s="1063"/>
      <c r="O821" s="1063"/>
      <c r="P821" s="1063"/>
      <c r="Q821" s="1063"/>
      <c r="R821" s="1063"/>
      <c r="S821" s="1063"/>
      <c r="T821" s="1063"/>
      <c r="U821" s="1063"/>
      <c r="V821" s="1063"/>
      <c r="W821" s="1063"/>
      <c r="X821" s="1063"/>
      <c r="Y821" s="1063"/>
      <c r="Z821" s="1063"/>
      <c r="AA821" s="1063"/>
      <c r="AB821" s="1063"/>
      <c r="AC821" s="1063"/>
      <c r="AD821" s="1063"/>
      <c r="AE821" s="1063"/>
      <c r="AF821" s="1063"/>
      <c r="AG821" s="1063"/>
      <c r="AH821" s="1063"/>
      <c r="AI821" s="1063"/>
      <c r="AJ821" s="1063"/>
      <c r="AK821" s="1063"/>
      <c r="AL821" s="1063"/>
      <c r="AM821" s="1063"/>
      <c r="AN821" s="1063"/>
      <c r="AO821" s="1063"/>
      <c r="AP821" s="1063"/>
      <c r="AQ821" s="1063"/>
      <c r="AR821" s="1063"/>
      <c r="AS821" s="1063"/>
      <c r="AT821" s="1063"/>
      <c r="AU821" s="1063"/>
      <c r="AV821" s="1063"/>
    </row>
    <row r="822" spans="1:48" s="1108" customFormat="1" ht="27.75" customHeight="1">
      <c r="A822" s="1076"/>
      <c r="B822" s="1074">
        <f>+'[18]Bldg+Dev'!S1634</f>
        <v>0</v>
      </c>
      <c r="D822" s="1063"/>
      <c r="F822" s="1076"/>
      <c r="G822" s="1063"/>
      <c r="H822" s="1063"/>
      <c r="I822" s="1063"/>
      <c r="J822" s="1063"/>
      <c r="K822" s="1063"/>
      <c r="L822" s="1063"/>
      <c r="M822" s="1063"/>
      <c r="N822" s="1063"/>
      <c r="O822" s="1063"/>
      <c r="P822" s="1063"/>
      <c r="Q822" s="1063"/>
      <c r="R822" s="1063"/>
      <c r="S822" s="1063"/>
      <c r="T822" s="1063"/>
      <c r="U822" s="1063"/>
      <c r="V822" s="1063"/>
      <c r="W822" s="1063"/>
      <c r="X822" s="1063"/>
      <c r="Y822" s="1063"/>
      <c r="Z822" s="1063"/>
      <c r="AA822" s="1063"/>
      <c r="AB822" s="1063"/>
      <c r="AC822" s="1063"/>
      <c r="AD822" s="1063"/>
      <c r="AE822" s="1063"/>
      <c r="AF822" s="1063"/>
      <c r="AG822" s="1063"/>
      <c r="AH822" s="1063"/>
      <c r="AI822" s="1063"/>
      <c r="AJ822" s="1063"/>
      <c r="AK822" s="1063"/>
      <c r="AL822" s="1063"/>
      <c r="AM822" s="1063"/>
      <c r="AN822" s="1063"/>
      <c r="AO822" s="1063"/>
      <c r="AP822" s="1063"/>
      <c r="AQ822" s="1063"/>
      <c r="AR822" s="1063"/>
      <c r="AS822" s="1063"/>
      <c r="AT822" s="1063"/>
      <c r="AU822" s="1063"/>
      <c r="AV822" s="1063"/>
    </row>
    <row r="823" spans="1:48" s="1108" customFormat="1" ht="27.75" customHeight="1">
      <c r="A823" s="1076"/>
      <c r="B823" s="1074">
        <f>+'[18]Bldg+Dev'!S1635</f>
        <v>0</v>
      </c>
      <c r="D823" s="1063"/>
      <c r="F823" s="1076"/>
      <c r="G823" s="1063"/>
      <c r="H823" s="1063"/>
      <c r="I823" s="1063"/>
      <c r="J823" s="1063"/>
      <c r="K823" s="1063"/>
      <c r="L823" s="1063"/>
      <c r="M823" s="1063"/>
      <c r="N823" s="1063"/>
      <c r="O823" s="1063"/>
      <c r="P823" s="1063"/>
      <c r="Q823" s="1063"/>
      <c r="R823" s="1063"/>
      <c r="S823" s="1063"/>
      <c r="T823" s="1063"/>
      <c r="U823" s="1063"/>
      <c r="V823" s="1063"/>
      <c r="W823" s="1063"/>
      <c r="X823" s="1063"/>
      <c r="Y823" s="1063"/>
      <c r="Z823" s="1063"/>
      <c r="AA823" s="1063"/>
      <c r="AB823" s="1063"/>
      <c r="AC823" s="1063"/>
      <c r="AD823" s="1063"/>
      <c r="AE823" s="1063"/>
      <c r="AF823" s="1063"/>
      <c r="AG823" s="1063"/>
      <c r="AH823" s="1063"/>
      <c r="AI823" s="1063"/>
      <c r="AJ823" s="1063"/>
      <c r="AK823" s="1063"/>
      <c r="AL823" s="1063"/>
      <c r="AM823" s="1063"/>
      <c r="AN823" s="1063"/>
      <c r="AO823" s="1063"/>
      <c r="AP823" s="1063"/>
      <c r="AQ823" s="1063"/>
      <c r="AR823" s="1063"/>
      <c r="AS823" s="1063"/>
      <c r="AT823" s="1063"/>
      <c r="AU823" s="1063"/>
      <c r="AV823" s="1063"/>
    </row>
    <row r="824" spans="1:48" s="1108" customFormat="1" ht="27.75" customHeight="1">
      <c r="A824" s="1076"/>
      <c r="B824" s="1074">
        <f>+'[18]Bldg+Dev'!S1636</f>
        <v>0</v>
      </c>
      <c r="D824" s="1063"/>
      <c r="F824" s="1076"/>
      <c r="G824" s="1063"/>
      <c r="H824" s="1063"/>
      <c r="I824" s="1063"/>
      <c r="J824" s="1063"/>
      <c r="K824" s="1063"/>
      <c r="L824" s="1063"/>
      <c r="M824" s="1063"/>
      <c r="N824" s="1063"/>
      <c r="O824" s="1063"/>
      <c r="P824" s="1063"/>
      <c r="Q824" s="1063"/>
      <c r="R824" s="1063"/>
      <c r="S824" s="1063"/>
      <c r="T824" s="1063"/>
      <c r="U824" s="1063"/>
      <c r="V824" s="1063"/>
      <c r="W824" s="1063"/>
      <c r="X824" s="1063"/>
      <c r="Y824" s="1063"/>
      <c r="Z824" s="1063"/>
      <c r="AA824" s="1063"/>
      <c r="AB824" s="1063"/>
      <c r="AC824" s="1063"/>
      <c r="AD824" s="1063"/>
      <c r="AE824" s="1063"/>
      <c r="AF824" s="1063"/>
      <c r="AG824" s="1063"/>
      <c r="AH824" s="1063"/>
      <c r="AI824" s="1063"/>
      <c r="AJ824" s="1063"/>
      <c r="AK824" s="1063"/>
      <c r="AL824" s="1063"/>
      <c r="AM824" s="1063"/>
      <c r="AN824" s="1063"/>
      <c r="AO824" s="1063"/>
      <c r="AP824" s="1063"/>
      <c r="AQ824" s="1063"/>
      <c r="AR824" s="1063"/>
      <c r="AS824" s="1063"/>
      <c r="AT824" s="1063"/>
      <c r="AU824" s="1063"/>
      <c r="AV824" s="1063"/>
    </row>
    <row r="825" spans="1:48" s="1108" customFormat="1" ht="27.75" customHeight="1">
      <c r="A825" s="1076"/>
      <c r="B825" s="1074">
        <f>+'[18]Bldg+Dev'!S1637</f>
        <v>0</v>
      </c>
      <c r="D825" s="1063"/>
      <c r="F825" s="1076"/>
      <c r="G825" s="1063"/>
      <c r="H825" s="1063"/>
      <c r="I825" s="1063"/>
      <c r="J825" s="1063"/>
      <c r="K825" s="1063"/>
      <c r="L825" s="1063"/>
      <c r="M825" s="1063"/>
      <c r="N825" s="1063"/>
      <c r="O825" s="1063"/>
      <c r="P825" s="1063"/>
      <c r="Q825" s="1063"/>
      <c r="R825" s="1063"/>
      <c r="S825" s="1063"/>
      <c r="T825" s="1063"/>
      <c r="U825" s="1063"/>
      <c r="V825" s="1063"/>
      <c r="W825" s="1063"/>
      <c r="X825" s="1063"/>
      <c r="Y825" s="1063"/>
      <c r="Z825" s="1063"/>
      <c r="AA825" s="1063"/>
      <c r="AB825" s="1063"/>
      <c r="AC825" s="1063"/>
      <c r="AD825" s="1063"/>
      <c r="AE825" s="1063"/>
      <c r="AF825" s="1063"/>
      <c r="AG825" s="1063"/>
      <c r="AH825" s="1063"/>
      <c r="AI825" s="1063"/>
      <c r="AJ825" s="1063"/>
      <c r="AK825" s="1063"/>
      <c r="AL825" s="1063"/>
      <c r="AM825" s="1063"/>
      <c r="AN825" s="1063"/>
      <c r="AO825" s="1063"/>
      <c r="AP825" s="1063"/>
      <c r="AQ825" s="1063"/>
      <c r="AR825" s="1063"/>
      <c r="AS825" s="1063"/>
      <c r="AT825" s="1063"/>
      <c r="AU825" s="1063"/>
      <c r="AV825" s="1063"/>
    </row>
    <row r="826" spans="1:48" s="1108" customFormat="1" ht="27.75" customHeight="1">
      <c r="A826" s="1076"/>
      <c r="B826" s="1074">
        <f>+'[18]Bldg+Dev'!S1638</f>
        <v>0</v>
      </c>
      <c r="D826" s="1063"/>
      <c r="F826" s="1076"/>
      <c r="G826" s="1063"/>
      <c r="H826" s="1063"/>
      <c r="I826" s="1063"/>
      <c r="J826" s="1063"/>
      <c r="K826" s="1063"/>
      <c r="L826" s="1063"/>
      <c r="M826" s="1063"/>
      <c r="N826" s="1063"/>
      <c r="O826" s="1063"/>
      <c r="P826" s="1063"/>
      <c r="Q826" s="1063"/>
      <c r="R826" s="1063"/>
      <c r="S826" s="1063"/>
      <c r="T826" s="1063"/>
      <c r="U826" s="1063"/>
      <c r="V826" s="1063"/>
      <c r="W826" s="1063"/>
      <c r="X826" s="1063"/>
      <c r="Y826" s="1063"/>
      <c r="Z826" s="1063"/>
      <c r="AA826" s="1063"/>
      <c r="AB826" s="1063"/>
      <c r="AC826" s="1063"/>
      <c r="AD826" s="1063"/>
      <c r="AE826" s="1063"/>
      <c r="AF826" s="1063"/>
      <c r="AG826" s="1063"/>
      <c r="AH826" s="1063"/>
      <c r="AI826" s="1063"/>
      <c r="AJ826" s="1063"/>
      <c r="AK826" s="1063"/>
      <c r="AL826" s="1063"/>
      <c r="AM826" s="1063"/>
      <c r="AN826" s="1063"/>
      <c r="AO826" s="1063"/>
      <c r="AP826" s="1063"/>
      <c r="AQ826" s="1063"/>
      <c r="AR826" s="1063"/>
      <c r="AS826" s="1063"/>
      <c r="AT826" s="1063"/>
      <c r="AU826" s="1063"/>
      <c r="AV826" s="1063"/>
    </row>
    <row r="827" spans="1:48" s="1108" customFormat="1" ht="27.75" customHeight="1">
      <c r="A827" s="1076"/>
      <c r="B827" s="1074">
        <f>+'[18]Bldg+Dev'!S1639</f>
        <v>0</v>
      </c>
      <c r="D827" s="1063"/>
      <c r="F827" s="1076"/>
      <c r="G827" s="1063"/>
      <c r="H827" s="1063"/>
      <c r="I827" s="1063"/>
      <c r="J827" s="1063"/>
      <c r="K827" s="1063"/>
      <c r="L827" s="1063"/>
      <c r="M827" s="1063"/>
      <c r="N827" s="1063"/>
      <c r="O827" s="1063"/>
      <c r="P827" s="1063"/>
      <c r="Q827" s="1063"/>
      <c r="R827" s="1063"/>
      <c r="S827" s="1063"/>
      <c r="T827" s="1063"/>
      <c r="U827" s="1063"/>
      <c r="V827" s="1063"/>
      <c r="W827" s="1063"/>
      <c r="X827" s="1063"/>
      <c r="Y827" s="1063"/>
      <c r="Z827" s="1063"/>
      <c r="AA827" s="1063"/>
      <c r="AB827" s="1063"/>
      <c r="AC827" s="1063"/>
      <c r="AD827" s="1063"/>
      <c r="AE827" s="1063"/>
      <c r="AF827" s="1063"/>
      <c r="AG827" s="1063"/>
      <c r="AH827" s="1063"/>
      <c r="AI827" s="1063"/>
      <c r="AJ827" s="1063"/>
      <c r="AK827" s="1063"/>
      <c r="AL827" s="1063"/>
      <c r="AM827" s="1063"/>
      <c r="AN827" s="1063"/>
      <c r="AO827" s="1063"/>
      <c r="AP827" s="1063"/>
      <c r="AQ827" s="1063"/>
      <c r="AR827" s="1063"/>
      <c r="AS827" s="1063"/>
      <c r="AT827" s="1063"/>
      <c r="AU827" s="1063"/>
      <c r="AV827" s="1063"/>
    </row>
    <row r="828" spans="1:48" s="1108" customFormat="1" ht="27.75" customHeight="1">
      <c r="A828" s="1076"/>
      <c r="B828" s="1074">
        <f>+'[18]Bldg+Dev'!S1640</f>
        <v>0</v>
      </c>
      <c r="D828" s="1063"/>
      <c r="F828" s="1076"/>
      <c r="G828" s="1063"/>
      <c r="H828" s="1063"/>
      <c r="I828" s="1063"/>
      <c r="J828" s="1063"/>
      <c r="K828" s="1063"/>
      <c r="L828" s="1063"/>
      <c r="M828" s="1063"/>
      <c r="N828" s="1063"/>
      <c r="O828" s="1063"/>
      <c r="P828" s="1063"/>
      <c r="Q828" s="1063"/>
      <c r="R828" s="1063"/>
      <c r="S828" s="1063"/>
      <c r="T828" s="1063"/>
      <c r="U828" s="1063"/>
      <c r="V828" s="1063"/>
      <c r="W828" s="1063"/>
      <c r="X828" s="1063"/>
      <c r="Y828" s="1063"/>
      <c r="Z828" s="1063"/>
      <c r="AA828" s="1063"/>
      <c r="AB828" s="1063"/>
      <c r="AC828" s="1063"/>
      <c r="AD828" s="1063"/>
      <c r="AE828" s="1063"/>
      <c r="AF828" s="1063"/>
      <c r="AG828" s="1063"/>
      <c r="AH828" s="1063"/>
      <c r="AI828" s="1063"/>
      <c r="AJ828" s="1063"/>
      <c r="AK828" s="1063"/>
      <c r="AL828" s="1063"/>
      <c r="AM828" s="1063"/>
      <c r="AN828" s="1063"/>
      <c r="AO828" s="1063"/>
      <c r="AP828" s="1063"/>
      <c r="AQ828" s="1063"/>
      <c r="AR828" s="1063"/>
      <c r="AS828" s="1063"/>
      <c r="AT828" s="1063"/>
      <c r="AU828" s="1063"/>
      <c r="AV828" s="1063"/>
    </row>
    <row r="829" spans="1:48" s="1108" customFormat="1" ht="27.75" customHeight="1">
      <c r="A829" s="1076"/>
      <c r="B829" s="1074">
        <f>+'[18]Bldg+Dev'!S1641</f>
        <v>0</v>
      </c>
      <c r="D829" s="1063"/>
      <c r="F829" s="1076"/>
      <c r="G829" s="1063"/>
      <c r="H829" s="1063"/>
      <c r="I829" s="1063"/>
      <c r="J829" s="1063"/>
      <c r="K829" s="1063"/>
      <c r="L829" s="1063"/>
      <c r="M829" s="1063"/>
      <c r="N829" s="1063"/>
      <c r="O829" s="1063"/>
      <c r="P829" s="1063"/>
      <c r="Q829" s="1063"/>
      <c r="R829" s="1063"/>
      <c r="S829" s="1063"/>
      <c r="T829" s="1063"/>
      <c r="U829" s="1063"/>
      <c r="V829" s="1063"/>
      <c r="W829" s="1063"/>
      <c r="X829" s="1063"/>
      <c r="Y829" s="1063"/>
      <c r="Z829" s="1063"/>
      <c r="AA829" s="1063"/>
      <c r="AB829" s="1063"/>
      <c r="AC829" s="1063"/>
      <c r="AD829" s="1063"/>
      <c r="AE829" s="1063"/>
      <c r="AF829" s="1063"/>
      <c r="AG829" s="1063"/>
      <c r="AH829" s="1063"/>
      <c r="AI829" s="1063"/>
      <c r="AJ829" s="1063"/>
      <c r="AK829" s="1063"/>
      <c r="AL829" s="1063"/>
      <c r="AM829" s="1063"/>
      <c r="AN829" s="1063"/>
      <c r="AO829" s="1063"/>
      <c r="AP829" s="1063"/>
      <c r="AQ829" s="1063"/>
      <c r="AR829" s="1063"/>
      <c r="AS829" s="1063"/>
      <c r="AT829" s="1063"/>
      <c r="AU829" s="1063"/>
      <c r="AV829" s="1063"/>
    </row>
    <row r="830" spans="1:48" s="1108" customFormat="1" ht="27.75" customHeight="1">
      <c r="A830" s="1076"/>
      <c r="B830" s="1074">
        <f>+'[18]Bldg+Dev'!S1642</f>
        <v>0</v>
      </c>
      <c r="D830" s="1063"/>
      <c r="F830" s="1076"/>
      <c r="G830" s="1063"/>
      <c r="H830" s="1063"/>
      <c r="I830" s="1063"/>
      <c r="J830" s="1063"/>
      <c r="K830" s="1063"/>
      <c r="L830" s="1063"/>
      <c r="M830" s="1063"/>
      <c r="N830" s="1063"/>
      <c r="O830" s="1063"/>
      <c r="P830" s="1063"/>
      <c r="Q830" s="1063"/>
      <c r="R830" s="1063"/>
      <c r="S830" s="1063"/>
      <c r="T830" s="1063"/>
      <c r="U830" s="1063"/>
      <c r="V830" s="1063"/>
      <c r="W830" s="1063"/>
      <c r="X830" s="1063"/>
      <c r="Y830" s="1063"/>
      <c r="Z830" s="1063"/>
      <c r="AA830" s="1063"/>
      <c r="AB830" s="1063"/>
      <c r="AC830" s="1063"/>
      <c r="AD830" s="1063"/>
      <c r="AE830" s="1063"/>
      <c r="AF830" s="1063"/>
      <c r="AG830" s="1063"/>
      <c r="AH830" s="1063"/>
      <c r="AI830" s="1063"/>
      <c r="AJ830" s="1063"/>
      <c r="AK830" s="1063"/>
      <c r="AL830" s="1063"/>
      <c r="AM830" s="1063"/>
      <c r="AN830" s="1063"/>
      <c r="AO830" s="1063"/>
      <c r="AP830" s="1063"/>
      <c r="AQ830" s="1063"/>
      <c r="AR830" s="1063"/>
      <c r="AS830" s="1063"/>
      <c r="AT830" s="1063"/>
      <c r="AU830" s="1063"/>
      <c r="AV830" s="1063"/>
    </row>
    <row r="831" spans="1:48" s="1108" customFormat="1" ht="27.75" customHeight="1">
      <c r="A831" s="1076"/>
      <c r="B831" s="1074">
        <f>+'[18]Bldg+Dev'!S1643</f>
        <v>0</v>
      </c>
      <c r="D831" s="1063"/>
      <c r="F831" s="1076"/>
      <c r="G831" s="1063"/>
      <c r="H831" s="1063"/>
      <c r="I831" s="1063"/>
      <c r="J831" s="1063"/>
      <c r="K831" s="1063"/>
      <c r="L831" s="1063"/>
      <c r="M831" s="1063"/>
      <c r="N831" s="1063"/>
      <c r="O831" s="1063"/>
      <c r="P831" s="1063"/>
      <c r="Q831" s="1063"/>
      <c r="R831" s="1063"/>
      <c r="S831" s="1063"/>
      <c r="T831" s="1063"/>
      <c r="U831" s="1063"/>
      <c r="V831" s="1063"/>
      <c r="W831" s="1063"/>
      <c r="X831" s="1063"/>
      <c r="Y831" s="1063"/>
      <c r="Z831" s="1063"/>
      <c r="AA831" s="1063"/>
      <c r="AB831" s="1063"/>
      <c r="AC831" s="1063"/>
      <c r="AD831" s="1063"/>
      <c r="AE831" s="1063"/>
      <c r="AF831" s="1063"/>
      <c r="AG831" s="1063"/>
      <c r="AH831" s="1063"/>
      <c r="AI831" s="1063"/>
      <c r="AJ831" s="1063"/>
      <c r="AK831" s="1063"/>
      <c r="AL831" s="1063"/>
      <c r="AM831" s="1063"/>
      <c r="AN831" s="1063"/>
      <c r="AO831" s="1063"/>
      <c r="AP831" s="1063"/>
      <c r="AQ831" s="1063"/>
      <c r="AR831" s="1063"/>
      <c r="AS831" s="1063"/>
      <c r="AT831" s="1063"/>
      <c r="AU831" s="1063"/>
      <c r="AV831" s="1063"/>
    </row>
    <row r="832" spans="1:48" s="1108" customFormat="1" ht="27.75" customHeight="1">
      <c r="A832" s="1076"/>
      <c r="B832" s="1074">
        <f>+'[18]Bldg+Dev'!S1644</f>
        <v>0</v>
      </c>
      <c r="D832" s="1063"/>
      <c r="F832" s="1076"/>
      <c r="G832" s="1063"/>
      <c r="H832" s="1063"/>
      <c r="I832" s="1063"/>
      <c r="J832" s="1063"/>
      <c r="K832" s="1063"/>
      <c r="L832" s="1063"/>
      <c r="M832" s="1063"/>
      <c r="N832" s="1063"/>
      <c r="O832" s="1063"/>
      <c r="P832" s="1063"/>
      <c r="Q832" s="1063"/>
      <c r="R832" s="1063"/>
      <c r="S832" s="1063"/>
      <c r="T832" s="1063"/>
      <c r="U832" s="1063"/>
      <c r="V832" s="1063"/>
      <c r="W832" s="1063"/>
      <c r="X832" s="1063"/>
      <c r="Y832" s="1063"/>
      <c r="Z832" s="1063"/>
      <c r="AA832" s="1063"/>
      <c r="AB832" s="1063"/>
      <c r="AC832" s="1063"/>
      <c r="AD832" s="1063"/>
      <c r="AE832" s="1063"/>
      <c r="AF832" s="1063"/>
      <c r="AG832" s="1063"/>
      <c r="AH832" s="1063"/>
      <c r="AI832" s="1063"/>
      <c r="AJ832" s="1063"/>
      <c r="AK832" s="1063"/>
      <c r="AL832" s="1063"/>
      <c r="AM832" s="1063"/>
      <c r="AN832" s="1063"/>
      <c r="AO832" s="1063"/>
      <c r="AP832" s="1063"/>
      <c r="AQ832" s="1063"/>
      <c r="AR832" s="1063"/>
      <c r="AS832" s="1063"/>
      <c r="AT832" s="1063"/>
      <c r="AU832" s="1063"/>
      <c r="AV832" s="1063"/>
    </row>
    <row r="833" spans="1:48" s="1108" customFormat="1" ht="27.75" customHeight="1">
      <c r="A833" s="1076"/>
      <c r="B833" s="1074">
        <f>+'[18]Bldg+Dev'!S1645</f>
        <v>0</v>
      </c>
      <c r="D833" s="1063"/>
      <c r="F833" s="1076"/>
      <c r="G833" s="1063"/>
      <c r="H833" s="1063"/>
      <c r="I833" s="1063"/>
      <c r="J833" s="1063"/>
      <c r="K833" s="1063"/>
      <c r="L833" s="1063"/>
      <c r="M833" s="1063"/>
      <c r="N833" s="1063"/>
      <c r="O833" s="1063"/>
      <c r="P833" s="1063"/>
      <c r="Q833" s="1063"/>
      <c r="R833" s="1063"/>
      <c r="S833" s="1063"/>
      <c r="T833" s="1063"/>
      <c r="U833" s="1063"/>
      <c r="V833" s="1063"/>
      <c r="W833" s="1063"/>
      <c r="X833" s="1063"/>
      <c r="Y833" s="1063"/>
      <c r="Z833" s="1063"/>
      <c r="AA833" s="1063"/>
      <c r="AB833" s="1063"/>
      <c r="AC833" s="1063"/>
      <c r="AD833" s="1063"/>
      <c r="AE833" s="1063"/>
      <c r="AF833" s="1063"/>
      <c r="AG833" s="1063"/>
      <c r="AH833" s="1063"/>
      <c r="AI833" s="1063"/>
      <c r="AJ833" s="1063"/>
      <c r="AK833" s="1063"/>
      <c r="AL833" s="1063"/>
      <c r="AM833" s="1063"/>
      <c r="AN833" s="1063"/>
      <c r="AO833" s="1063"/>
      <c r="AP833" s="1063"/>
      <c r="AQ833" s="1063"/>
      <c r="AR833" s="1063"/>
      <c r="AS833" s="1063"/>
      <c r="AT833" s="1063"/>
      <c r="AU833" s="1063"/>
      <c r="AV833" s="1063"/>
    </row>
    <row r="834" spans="1:48" s="1108" customFormat="1" ht="27.75" customHeight="1">
      <c r="A834" s="1076"/>
      <c r="B834" s="1074">
        <f>+'[18]Bldg+Dev'!S1646</f>
        <v>0</v>
      </c>
      <c r="D834" s="1063"/>
      <c r="F834" s="1076"/>
      <c r="G834" s="1063"/>
      <c r="H834" s="1063"/>
      <c r="I834" s="1063"/>
      <c r="J834" s="1063"/>
      <c r="K834" s="1063"/>
      <c r="L834" s="1063"/>
      <c r="M834" s="1063"/>
      <c r="N834" s="1063"/>
      <c r="O834" s="1063"/>
      <c r="P834" s="1063"/>
      <c r="Q834" s="1063"/>
      <c r="R834" s="1063"/>
      <c r="S834" s="1063"/>
      <c r="T834" s="1063"/>
      <c r="U834" s="1063"/>
      <c r="V834" s="1063"/>
      <c r="W834" s="1063"/>
      <c r="X834" s="1063"/>
      <c r="Y834" s="1063"/>
      <c r="Z834" s="1063"/>
      <c r="AA834" s="1063"/>
      <c r="AB834" s="1063"/>
      <c r="AC834" s="1063"/>
      <c r="AD834" s="1063"/>
      <c r="AE834" s="1063"/>
      <c r="AF834" s="1063"/>
      <c r="AG834" s="1063"/>
      <c r="AH834" s="1063"/>
      <c r="AI834" s="1063"/>
      <c r="AJ834" s="1063"/>
      <c r="AK834" s="1063"/>
      <c r="AL834" s="1063"/>
      <c r="AM834" s="1063"/>
      <c r="AN834" s="1063"/>
      <c r="AO834" s="1063"/>
      <c r="AP834" s="1063"/>
      <c r="AQ834" s="1063"/>
      <c r="AR834" s="1063"/>
      <c r="AS834" s="1063"/>
      <c r="AT834" s="1063"/>
      <c r="AU834" s="1063"/>
      <c r="AV834" s="1063"/>
    </row>
    <row r="835" spans="1:48" s="1108" customFormat="1" ht="27.75" customHeight="1">
      <c r="A835" s="1076"/>
      <c r="B835" s="1074">
        <f>+'[18]Bldg+Dev'!S1647</f>
        <v>0</v>
      </c>
      <c r="D835" s="1063"/>
      <c r="F835" s="1076"/>
      <c r="G835" s="1063"/>
      <c r="H835" s="1063"/>
      <c r="I835" s="1063"/>
      <c r="J835" s="1063"/>
      <c r="K835" s="1063"/>
      <c r="L835" s="1063"/>
      <c r="M835" s="1063"/>
      <c r="N835" s="1063"/>
      <c r="O835" s="1063"/>
      <c r="P835" s="1063"/>
      <c r="Q835" s="1063"/>
      <c r="R835" s="1063"/>
      <c r="S835" s="1063"/>
      <c r="T835" s="1063"/>
      <c r="U835" s="1063"/>
      <c r="V835" s="1063"/>
      <c r="W835" s="1063"/>
      <c r="X835" s="1063"/>
      <c r="Y835" s="1063"/>
      <c r="Z835" s="1063"/>
      <c r="AA835" s="1063"/>
      <c r="AB835" s="1063"/>
      <c r="AC835" s="1063"/>
      <c r="AD835" s="1063"/>
      <c r="AE835" s="1063"/>
      <c r="AF835" s="1063"/>
      <c r="AG835" s="1063"/>
      <c r="AH835" s="1063"/>
      <c r="AI835" s="1063"/>
      <c r="AJ835" s="1063"/>
      <c r="AK835" s="1063"/>
      <c r="AL835" s="1063"/>
      <c r="AM835" s="1063"/>
      <c r="AN835" s="1063"/>
      <c r="AO835" s="1063"/>
      <c r="AP835" s="1063"/>
      <c r="AQ835" s="1063"/>
      <c r="AR835" s="1063"/>
      <c r="AS835" s="1063"/>
      <c r="AT835" s="1063"/>
      <c r="AU835" s="1063"/>
      <c r="AV835" s="1063"/>
    </row>
    <row r="836" spans="1:48" s="1108" customFormat="1" ht="27.75" customHeight="1">
      <c r="A836" s="1076"/>
      <c r="B836" s="1074">
        <f>+'[18]Bldg+Dev'!S1648</f>
        <v>0</v>
      </c>
      <c r="D836" s="1063"/>
      <c r="F836" s="1076"/>
      <c r="G836" s="1063"/>
      <c r="H836" s="1063"/>
      <c r="I836" s="1063"/>
      <c r="J836" s="1063"/>
      <c r="K836" s="1063"/>
      <c r="L836" s="1063"/>
      <c r="M836" s="1063"/>
      <c r="N836" s="1063"/>
      <c r="O836" s="1063"/>
      <c r="P836" s="1063"/>
      <c r="Q836" s="1063"/>
      <c r="R836" s="1063"/>
      <c r="S836" s="1063"/>
      <c r="T836" s="1063"/>
      <c r="U836" s="1063"/>
      <c r="V836" s="1063"/>
      <c r="W836" s="1063"/>
      <c r="X836" s="1063"/>
      <c r="Y836" s="1063"/>
      <c r="Z836" s="1063"/>
      <c r="AA836" s="1063"/>
      <c r="AB836" s="1063"/>
      <c r="AC836" s="1063"/>
      <c r="AD836" s="1063"/>
      <c r="AE836" s="1063"/>
      <c r="AF836" s="1063"/>
      <c r="AG836" s="1063"/>
      <c r="AH836" s="1063"/>
      <c r="AI836" s="1063"/>
      <c r="AJ836" s="1063"/>
      <c r="AK836" s="1063"/>
      <c r="AL836" s="1063"/>
      <c r="AM836" s="1063"/>
      <c r="AN836" s="1063"/>
      <c r="AO836" s="1063"/>
      <c r="AP836" s="1063"/>
      <c r="AQ836" s="1063"/>
      <c r="AR836" s="1063"/>
      <c r="AS836" s="1063"/>
      <c r="AT836" s="1063"/>
      <c r="AU836" s="1063"/>
      <c r="AV836" s="1063"/>
    </row>
    <row r="837" spans="1:48" s="1108" customFormat="1" ht="27.75" customHeight="1">
      <c r="A837" s="1076"/>
      <c r="B837" s="1074">
        <f>+'[18]Bldg+Dev'!S1649</f>
        <v>0</v>
      </c>
      <c r="D837" s="1063"/>
      <c r="F837" s="1076"/>
      <c r="G837" s="1063"/>
      <c r="H837" s="1063"/>
      <c r="I837" s="1063"/>
      <c r="J837" s="1063"/>
      <c r="K837" s="1063"/>
      <c r="L837" s="1063"/>
      <c r="M837" s="1063"/>
      <c r="N837" s="1063"/>
      <c r="O837" s="1063"/>
      <c r="P837" s="1063"/>
      <c r="Q837" s="1063"/>
      <c r="R837" s="1063"/>
      <c r="S837" s="1063"/>
      <c r="T837" s="1063"/>
      <c r="U837" s="1063"/>
      <c r="V837" s="1063"/>
      <c r="W837" s="1063"/>
      <c r="X837" s="1063"/>
      <c r="Y837" s="1063"/>
      <c r="Z837" s="1063"/>
      <c r="AA837" s="1063"/>
      <c r="AB837" s="1063"/>
      <c r="AC837" s="1063"/>
      <c r="AD837" s="1063"/>
      <c r="AE837" s="1063"/>
      <c r="AF837" s="1063"/>
      <c r="AG837" s="1063"/>
      <c r="AH837" s="1063"/>
      <c r="AI837" s="1063"/>
      <c r="AJ837" s="1063"/>
      <c r="AK837" s="1063"/>
      <c r="AL837" s="1063"/>
      <c r="AM837" s="1063"/>
      <c r="AN837" s="1063"/>
      <c r="AO837" s="1063"/>
      <c r="AP837" s="1063"/>
      <c r="AQ837" s="1063"/>
      <c r="AR837" s="1063"/>
      <c r="AS837" s="1063"/>
      <c r="AT837" s="1063"/>
      <c r="AU837" s="1063"/>
      <c r="AV837" s="1063"/>
    </row>
    <row r="838" spans="1:48" s="1108" customFormat="1" ht="27.75" customHeight="1">
      <c r="A838" s="1076"/>
      <c r="B838" s="1074">
        <f>+'[18]Bldg+Dev'!S1650</f>
        <v>0</v>
      </c>
      <c r="D838" s="1063"/>
      <c r="F838" s="1076"/>
      <c r="G838" s="1063"/>
      <c r="H838" s="1063"/>
      <c r="I838" s="1063"/>
      <c r="J838" s="1063"/>
      <c r="K838" s="1063"/>
      <c r="L838" s="1063"/>
      <c r="M838" s="1063"/>
      <c r="N838" s="1063"/>
      <c r="O838" s="1063"/>
      <c r="P838" s="1063"/>
      <c r="Q838" s="1063"/>
      <c r="R838" s="1063"/>
      <c r="S838" s="1063"/>
      <c r="T838" s="1063"/>
      <c r="U838" s="1063"/>
      <c r="V838" s="1063"/>
      <c r="W838" s="1063"/>
      <c r="X838" s="1063"/>
      <c r="Y838" s="1063"/>
      <c r="Z838" s="1063"/>
      <c r="AA838" s="1063"/>
      <c r="AB838" s="1063"/>
      <c r="AC838" s="1063"/>
      <c r="AD838" s="1063"/>
      <c r="AE838" s="1063"/>
      <c r="AF838" s="1063"/>
      <c r="AG838" s="1063"/>
      <c r="AH838" s="1063"/>
      <c r="AI838" s="1063"/>
      <c r="AJ838" s="1063"/>
      <c r="AK838" s="1063"/>
      <c r="AL838" s="1063"/>
      <c r="AM838" s="1063"/>
      <c r="AN838" s="1063"/>
      <c r="AO838" s="1063"/>
      <c r="AP838" s="1063"/>
      <c r="AQ838" s="1063"/>
      <c r="AR838" s="1063"/>
      <c r="AS838" s="1063"/>
      <c r="AT838" s="1063"/>
      <c r="AU838" s="1063"/>
      <c r="AV838" s="1063"/>
    </row>
    <row r="839" spans="1:48" s="1108" customFormat="1" ht="27.75" customHeight="1">
      <c r="A839" s="1076"/>
      <c r="B839" s="1074">
        <f>+'[18]Bldg+Dev'!S1651</f>
        <v>0</v>
      </c>
      <c r="D839" s="1063"/>
      <c r="F839" s="1076"/>
      <c r="G839" s="1063"/>
      <c r="H839" s="1063"/>
      <c r="I839" s="1063"/>
      <c r="J839" s="1063"/>
      <c r="K839" s="1063"/>
      <c r="L839" s="1063"/>
      <c r="M839" s="1063"/>
      <c r="N839" s="1063"/>
      <c r="O839" s="1063"/>
      <c r="P839" s="1063"/>
      <c r="Q839" s="1063"/>
      <c r="R839" s="1063"/>
      <c r="S839" s="1063"/>
      <c r="T839" s="1063"/>
      <c r="U839" s="1063"/>
      <c r="V839" s="1063"/>
      <c r="W839" s="1063"/>
      <c r="X839" s="1063"/>
      <c r="Y839" s="1063"/>
      <c r="Z839" s="1063"/>
      <c r="AA839" s="1063"/>
      <c r="AB839" s="1063"/>
      <c r="AC839" s="1063"/>
      <c r="AD839" s="1063"/>
      <c r="AE839" s="1063"/>
      <c r="AF839" s="1063"/>
      <c r="AG839" s="1063"/>
      <c r="AH839" s="1063"/>
      <c r="AI839" s="1063"/>
      <c r="AJ839" s="1063"/>
      <c r="AK839" s="1063"/>
      <c r="AL839" s="1063"/>
      <c r="AM839" s="1063"/>
      <c r="AN839" s="1063"/>
      <c r="AO839" s="1063"/>
      <c r="AP839" s="1063"/>
      <c r="AQ839" s="1063"/>
      <c r="AR839" s="1063"/>
      <c r="AS839" s="1063"/>
      <c r="AT839" s="1063"/>
      <c r="AU839" s="1063"/>
      <c r="AV839" s="1063"/>
    </row>
    <row r="840" spans="1:48" s="1108" customFormat="1" ht="27.75" customHeight="1">
      <c r="A840" s="1076"/>
      <c r="B840" s="1074">
        <f>+'[18]Bldg+Dev'!S1652</f>
        <v>0</v>
      </c>
      <c r="D840" s="1063"/>
      <c r="F840" s="1076"/>
      <c r="G840" s="1063"/>
      <c r="H840" s="1063"/>
      <c r="I840" s="1063"/>
      <c r="J840" s="1063"/>
      <c r="K840" s="1063"/>
      <c r="L840" s="1063"/>
      <c r="M840" s="1063"/>
      <c r="N840" s="1063"/>
      <c r="O840" s="1063"/>
      <c r="P840" s="1063"/>
      <c r="Q840" s="1063"/>
      <c r="R840" s="1063"/>
      <c r="S840" s="1063"/>
      <c r="T840" s="1063"/>
      <c r="U840" s="1063"/>
      <c r="V840" s="1063"/>
      <c r="W840" s="1063"/>
      <c r="X840" s="1063"/>
      <c r="Y840" s="1063"/>
      <c r="Z840" s="1063"/>
      <c r="AA840" s="1063"/>
      <c r="AB840" s="1063"/>
      <c r="AC840" s="1063"/>
      <c r="AD840" s="1063"/>
      <c r="AE840" s="1063"/>
      <c r="AF840" s="1063"/>
      <c r="AG840" s="1063"/>
      <c r="AH840" s="1063"/>
      <c r="AI840" s="1063"/>
      <c r="AJ840" s="1063"/>
      <c r="AK840" s="1063"/>
      <c r="AL840" s="1063"/>
      <c r="AM840" s="1063"/>
      <c r="AN840" s="1063"/>
      <c r="AO840" s="1063"/>
      <c r="AP840" s="1063"/>
      <c r="AQ840" s="1063"/>
      <c r="AR840" s="1063"/>
      <c r="AS840" s="1063"/>
      <c r="AT840" s="1063"/>
      <c r="AU840" s="1063"/>
      <c r="AV840" s="1063"/>
    </row>
    <row r="841" spans="1:48" s="1108" customFormat="1" ht="27.75" customHeight="1">
      <c r="A841" s="1076"/>
      <c r="B841" s="1074">
        <f>+'[18]Bldg+Dev'!S1653</f>
        <v>0</v>
      </c>
      <c r="D841" s="1063"/>
      <c r="F841" s="1076"/>
      <c r="G841" s="1063"/>
      <c r="H841" s="1063"/>
      <c r="I841" s="1063"/>
      <c r="J841" s="1063"/>
      <c r="K841" s="1063"/>
      <c r="L841" s="1063"/>
      <c r="M841" s="1063"/>
      <c r="N841" s="1063"/>
      <c r="O841" s="1063"/>
      <c r="P841" s="1063"/>
      <c r="Q841" s="1063"/>
      <c r="R841" s="1063"/>
      <c r="S841" s="1063"/>
      <c r="T841" s="1063"/>
      <c r="U841" s="1063"/>
      <c r="V841" s="1063"/>
      <c r="W841" s="1063"/>
      <c r="X841" s="1063"/>
      <c r="Y841" s="1063"/>
      <c r="Z841" s="1063"/>
      <c r="AA841" s="1063"/>
      <c r="AB841" s="1063"/>
      <c r="AC841" s="1063"/>
      <c r="AD841" s="1063"/>
      <c r="AE841" s="1063"/>
      <c r="AF841" s="1063"/>
      <c r="AG841" s="1063"/>
      <c r="AH841" s="1063"/>
      <c r="AI841" s="1063"/>
      <c r="AJ841" s="1063"/>
      <c r="AK841" s="1063"/>
      <c r="AL841" s="1063"/>
      <c r="AM841" s="1063"/>
      <c r="AN841" s="1063"/>
      <c r="AO841" s="1063"/>
      <c r="AP841" s="1063"/>
      <c r="AQ841" s="1063"/>
      <c r="AR841" s="1063"/>
      <c r="AS841" s="1063"/>
      <c r="AT841" s="1063"/>
      <c r="AU841" s="1063"/>
      <c r="AV841" s="1063"/>
    </row>
    <row r="842" spans="1:48" s="1108" customFormat="1" ht="27.75" customHeight="1">
      <c r="A842" s="1076"/>
      <c r="B842" s="1074">
        <f>+'[18]Bldg+Dev'!S1654</f>
        <v>0</v>
      </c>
      <c r="D842" s="1063"/>
      <c r="F842" s="1076"/>
      <c r="G842" s="1063"/>
      <c r="H842" s="1063"/>
      <c r="I842" s="1063"/>
      <c r="J842" s="1063"/>
      <c r="K842" s="1063"/>
      <c r="L842" s="1063"/>
      <c r="M842" s="1063"/>
      <c r="N842" s="1063"/>
      <c r="O842" s="1063"/>
      <c r="P842" s="1063"/>
      <c r="Q842" s="1063"/>
      <c r="R842" s="1063"/>
      <c r="S842" s="1063"/>
      <c r="T842" s="1063"/>
      <c r="U842" s="1063"/>
      <c r="V842" s="1063"/>
      <c r="W842" s="1063"/>
      <c r="X842" s="1063"/>
      <c r="Y842" s="1063"/>
      <c r="Z842" s="1063"/>
      <c r="AA842" s="1063"/>
      <c r="AB842" s="1063"/>
      <c r="AC842" s="1063"/>
      <c r="AD842" s="1063"/>
      <c r="AE842" s="1063"/>
      <c r="AF842" s="1063"/>
      <c r="AG842" s="1063"/>
      <c r="AH842" s="1063"/>
      <c r="AI842" s="1063"/>
      <c r="AJ842" s="1063"/>
      <c r="AK842" s="1063"/>
      <c r="AL842" s="1063"/>
      <c r="AM842" s="1063"/>
      <c r="AN842" s="1063"/>
      <c r="AO842" s="1063"/>
      <c r="AP842" s="1063"/>
      <c r="AQ842" s="1063"/>
      <c r="AR842" s="1063"/>
      <c r="AS842" s="1063"/>
      <c r="AT842" s="1063"/>
      <c r="AU842" s="1063"/>
      <c r="AV842" s="1063"/>
    </row>
    <row r="843" spans="1:48" s="1108" customFormat="1" ht="27.75" customHeight="1">
      <c r="A843" s="1076"/>
      <c r="B843" s="1074">
        <f>+'[18]Bldg+Dev'!S1655</f>
        <v>0</v>
      </c>
      <c r="D843" s="1063"/>
      <c r="F843" s="1076"/>
      <c r="G843" s="1063"/>
      <c r="H843" s="1063"/>
      <c r="I843" s="1063"/>
      <c r="J843" s="1063"/>
      <c r="K843" s="1063"/>
      <c r="L843" s="1063"/>
      <c r="M843" s="1063"/>
      <c r="N843" s="1063"/>
      <c r="O843" s="1063"/>
      <c r="P843" s="1063"/>
      <c r="Q843" s="1063"/>
      <c r="R843" s="1063"/>
      <c r="S843" s="1063"/>
      <c r="T843" s="1063"/>
      <c r="U843" s="1063"/>
      <c r="V843" s="1063"/>
      <c r="W843" s="1063"/>
      <c r="X843" s="1063"/>
      <c r="Y843" s="1063"/>
      <c r="Z843" s="1063"/>
      <c r="AA843" s="1063"/>
      <c r="AB843" s="1063"/>
      <c r="AC843" s="1063"/>
      <c r="AD843" s="1063"/>
      <c r="AE843" s="1063"/>
      <c r="AF843" s="1063"/>
      <c r="AG843" s="1063"/>
      <c r="AH843" s="1063"/>
      <c r="AI843" s="1063"/>
      <c r="AJ843" s="1063"/>
      <c r="AK843" s="1063"/>
      <c r="AL843" s="1063"/>
      <c r="AM843" s="1063"/>
      <c r="AN843" s="1063"/>
      <c r="AO843" s="1063"/>
      <c r="AP843" s="1063"/>
      <c r="AQ843" s="1063"/>
      <c r="AR843" s="1063"/>
      <c r="AS843" s="1063"/>
      <c r="AT843" s="1063"/>
      <c r="AU843" s="1063"/>
      <c r="AV843" s="1063"/>
    </row>
    <row r="844" spans="1:48" s="1108" customFormat="1" ht="27.75" customHeight="1">
      <c r="A844" s="1076"/>
      <c r="B844" s="1074">
        <f>+'[18]Bldg+Dev'!S1656</f>
        <v>0</v>
      </c>
      <c r="D844" s="1063"/>
      <c r="F844" s="1076"/>
      <c r="G844" s="1063"/>
      <c r="H844" s="1063"/>
      <c r="I844" s="1063"/>
      <c r="J844" s="1063"/>
      <c r="K844" s="1063"/>
      <c r="L844" s="1063"/>
      <c r="M844" s="1063"/>
      <c r="N844" s="1063"/>
      <c r="O844" s="1063"/>
      <c r="P844" s="1063"/>
      <c r="Q844" s="1063"/>
      <c r="R844" s="1063"/>
      <c r="S844" s="1063"/>
      <c r="T844" s="1063"/>
      <c r="U844" s="1063"/>
      <c r="V844" s="1063"/>
      <c r="W844" s="1063"/>
      <c r="X844" s="1063"/>
      <c r="Y844" s="1063"/>
      <c r="Z844" s="1063"/>
      <c r="AA844" s="1063"/>
      <c r="AB844" s="1063"/>
      <c r="AC844" s="1063"/>
      <c r="AD844" s="1063"/>
      <c r="AE844" s="1063"/>
      <c r="AF844" s="1063"/>
      <c r="AG844" s="1063"/>
      <c r="AH844" s="1063"/>
      <c r="AI844" s="1063"/>
      <c r="AJ844" s="1063"/>
      <c r="AK844" s="1063"/>
      <c r="AL844" s="1063"/>
      <c r="AM844" s="1063"/>
      <c r="AN844" s="1063"/>
      <c r="AO844" s="1063"/>
      <c r="AP844" s="1063"/>
      <c r="AQ844" s="1063"/>
      <c r="AR844" s="1063"/>
      <c r="AS844" s="1063"/>
      <c r="AT844" s="1063"/>
      <c r="AU844" s="1063"/>
      <c r="AV844" s="1063"/>
    </row>
    <row r="845" spans="1:48" s="1108" customFormat="1" ht="27.75" customHeight="1">
      <c r="A845" s="1076"/>
      <c r="B845" s="1074">
        <f>+'[18]Bldg+Dev'!S1657</f>
        <v>0</v>
      </c>
      <c r="D845" s="1063"/>
      <c r="F845" s="1076"/>
      <c r="G845" s="1063"/>
      <c r="H845" s="1063"/>
      <c r="I845" s="1063"/>
      <c r="J845" s="1063"/>
      <c r="K845" s="1063"/>
      <c r="L845" s="1063"/>
      <c r="M845" s="1063"/>
      <c r="N845" s="1063"/>
      <c r="O845" s="1063"/>
      <c r="P845" s="1063"/>
      <c r="Q845" s="1063"/>
      <c r="R845" s="1063"/>
      <c r="S845" s="1063"/>
      <c r="T845" s="1063"/>
      <c r="U845" s="1063"/>
      <c r="V845" s="1063"/>
      <c r="W845" s="1063"/>
      <c r="X845" s="1063"/>
      <c r="Y845" s="1063"/>
      <c r="Z845" s="1063"/>
      <c r="AA845" s="1063"/>
      <c r="AB845" s="1063"/>
      <c r="AC845" s="1063"/>
      <c r="AD845" s="1063"/>
      <c r="AE845" s="1063"/>
      <c r="AF845" s="1063"/>
      <c r="AG845" s="1063"/>
      <c r="AH845" s="1063"/>
      <c r="AI845" s="1063"/>
      <c r="AJ845" s="1063"/>
      <c r="AK845" s="1063"/>
      <c r="AL845" s="1063"/>
      <c r="AM845" s="1063"/>
      <c r="AN845" s="1063"/>
      <c r="AO845" s="1063"/>
      <c r="AP845" s="1063"/>
      <c r="AQ845" s="1063"/>
      <c r="AR845" s="1063"/>
      <c r="AS845" s="1063"/>
      <c r="AT845" s="1063"/>
      <c r="AU845" s="1063"/>
      <c r="AV845" s="1063"/>
    </row>
    <row r="846" spans="1:48" s="1108" customFormat="1" ht="27.75" customHeight="1">
      <c r="A846" s="1076"/>
      <c r="B846" s="1074">
        <f>+'[18]Bldg+Dev'!S1658</f>
        <v>0</v>
      </c>
      <c r="D846" s="1063"/>
      <c r="F846" s="1076"/>
      <c r="G846" s="1063"/>
      <c r="H846" s="1063"/>
      <c r="I846" s="1063"/>
      <c r="J846" s="1063"/>
      <c r="K846" s="1063"/>
      <c r="L846" s="1063"/>
      <c r="M846" s="1063"/>
      <c r="N846" s="1063"/>
      <c r="O846" s="1063"/>
      <c r="P846" s="1063"/>
      <c r="Q846" s="1063"/>
      <c r="R846" s="1063"/>
      <c r="S846" s="1063"/>
      <c r="T846" s="1063"/>
      <c r="U846" s="1063"/>
      <c r="V846" s="1063"/>
      <c r="W846" s="1063"/>
      <c r="X846" s="1063"/>
      <c r="Y846" s="1063"/>
      <c r="Z846" s="1063"/>
      <c r="AA846" s="1063"/>
      <c r="AB846" s="1063"/>
      <c r="AC846" s="1063"/>
      <c r="AD846" s="1063"/>
      <c r="AE846" s="1063"/>
      <c r="AF846" s="1063"/>
      <c r="AG846" s="1063"/>
      <c r="AH846" s="1063"/>
      <c r="AI846" s="1063"/>
      <c r="AJ846" s="1063"/>
      <c r="AK846" s="1063"/>
      <c r="AL846" s="1063"/>
      <c r="AM846" s="1063"/>
      <c r="AN846" s="1063"/>
      <c r="AO846" s="1063"/>
      <c r="AP846" s="1063"/>
      <c r="AQ846" s="1063"/>
      <c r="AR846" s="1063"/>
      <c r="AS846" s="1063"/>
      <c r="AT846" s="1063"/>
      <c r="AU846" s="1063"/>
      <c r="AV846" s="1063"/>
    </row>
    <row r="847" spans="1:48" s="1108" customFormat="1" ht="27.75" customHeight="1">
      <c r="A847" s="1076"/>
      <c r="B847" s="1074">
        <f>+'[18]Bldg+Dev'!S1659</f>
        <v>0</v>
      </c>
      <c r="D847" s="1063"/>
      <c r="F847" s="1076"/>
      <c r="G847" s="1063"/>
      <c r="H847" s="1063"/>
      <c r="I847" s="1063"/>
      <c r="J847" s="1063"/>
      <c r="K847" s="1063"/>
      <c r="L847" s="1063"/>
      <c r="M847" s="1063"/>
      <c r="N847" s="1063"/>
      <c r="O847" s="1063"/>
      <c r="P847" s="1063"/>
      <c r="Q847" s="1063"/>
      <c r="R847" s="1063"/>
      <c r="S847" s="1063"/>
      <c r="T847" s="1063"/>
      <c r="U847" s="1063"/>
      <c r="V847" s="1063"/>
      <c r="W847" s="1063"/>
      <c r="X847" s="1063"/>
      <c r="Y847" s="1063"/>
      <c r="Z847" s="1063"/>
      <c r="AA847" s="1063"/>
      <c r="AB847" s="1063"/>
      <c r="AC847" s="1063"/>
      <c r="AD847" s="1063"/>
      <c r="AE847" s="1063"/>
      <c r="AF847" s="1063"/>
      <c r="AG847" s="1063"/>
      <c r="AH847" s="1063"/>
      <c r="AI847" s="1063"/>
      <c r="AJ847" s="1063"/>
      <c r="AK847" s="1063"/>
      <c r="AL847" s="1063"/>
      <c r="AM847" s="1063"/>
      <c r="AN847" s="1063"/>
      <c r="AO847" s="1063"/>
      <c r="AP847" s="1063"/>
      <c r="AQ847" s="1063"/>
      <c r="AR847" s="1063"/>
      <c r="AS847" s="1063"/>
      <c r="AT847" s="1063"/>
      <c r="AU847" s="1063"/>
      <c r="AV847" s="1063"/>
    </row>
    <row r="848" spans="1:48" s="1108" customFormat="1" ht="27.75" customHeight="1">
      <c r="A848" s="1076"/>
      <c r="B848" s="1074">
        <f>+'[18]Bldg+Dev'!S1660</f>
        <v>0</v>
      </c>
      <c r="D848" s="1063"/>
      <c r="F848" s="1076"/>
      <c r="G848" s="1063"/>
      <c r="H848" s="1063"/>
      <c r="I848" s="1063"/>
      <c r="J848" s="1063"/>
      <c r="K848" s="1063"/>
      <c r="L848" s="1063"/>
      <c r="M848" s="1063"/>
      <c r="N848" s="1063"/>
      <c r="O848" s="1063"/>
      <c r="P848" s="1063"/>
      <c r="Q848" s="1063"/>
      <c r="R848" s="1063"/>
      <c r="S848" s="1063"/>
      <c r="T848" s="1063"/>
      <c r="U848" s="1063"/>
      <c r="V848" s="1063"/>
      <c r="W848" s="1063"/>
      <c r="X848" s="1063"/>
      <c r="Y848" s="1063"/>
      <c r="Z848" s="1063"/>
      <c r="AA848" s="1063"/>
      <c r="AB848" s="1063"/>
      <c r="AC848" s="1063"/>
      <c r="AD848" s="1063"/>
      <c r="AE848" s="1063"/>
      <c r="AF848" s="1063"/>
      <c r="AG848" s="1063"/>
      <c r="AH848" s="1063"/>
      <c r="AI848" s="1063"/>
      <c r="AJ848" s="1063"/>
      <c r="AK848" s="1063"/>
      <c r="AL848" s="1063"/>
      <c r="AM848" s="1063"/>
      <c r="AN848" s="1063"/>
      <c r="AO848" s="1063"/>
      <c r="AP848" s="1063"/>
      <c r="AQ848" s="1063"/>
      <c r="AR848" s="1063"/>
      <c r="AS848" s="1063"/>
      <c r="AT848" s="1063"/>
      <c r="AU848" s="1063"/>
      <c r="AV848" s="1063"/>
    </row>
    <row r="849" spans="1:48" s="1108" customFormat="1" ht="27.75" customHeight="1">
      <c r="A849" s="1076"/>
      <c r="B849" s="1074">
        <f>+'[18]Bldg+Dev'!S1661</f>
        <v>0</v>
      </c>
      <c r="D849" s="1063"/>
      <c r="F849" s="1076"/>
      <c r="G849" s="1063"/>
      <c r="H849" s="1063"/>
      <c r="I849" s="1063"/>
      <c r="J849" s="1063"/>
      <c r="K849" s="1063"/>
      <c r="L849" s="1063"/>
      <c r="M849" s="1063"/>
      <c r="N849" s="1063"/>
      <c r="O849" s="1063"/>
      <c r="P849" s="1063"/>
      <c r="Q849" s="1063"/>
      <c r="R849" s="1063"/>
      <c r="S849" s="1063"/>
      <c r="T849" s="1063"/>
      <c r="U849" s="1063"/>
      <c r="V849" s="1063"/>
      <c r="W849" s="1063"/>
      <c r="X849" s="1063"/>
      <c r="Y849" s="1063"/>
      <c r="Z849" s="1063"/>
      <c r="AA849" s="1063"/>
      <c r="AB849" s="1063"/>
      <c r="AC849" s="1063"/>
      <c r="AD849" s="1063"/>
      <c r="AE849" s="1063"/>
      <c r="AF849" s="1063"/>
      <c r="AG849" s="1063"/>
      <c r="AH849" s="1063"/>
      <c r="AI849" s="1063"/>
      <c r="AJ849" s="1063"/>
      <c r="AK849" s="1063"/>
      <c r="AL849" s="1063"/>
      <c r="AM849" s="1063"/>
      <c r="AN849" s="1063"/>
      <c r="AO849" s="1063"/>
      <c r="AP849" s="1063"/>
      <c r="AQ849" s="1063"/>
      <c r="AR849" s="1063"/>
      <c r="AS849" s="1063"/>
      <c r="AT849" s="1063"/>
      <c r="AU849" s="1063"/>
      <c r="AV849" s="1063"/>
    </row>
    <row r="850" spans="1:48" s="1108" customFormat="1" ht="27.75" customHeight="1">
      <c r="A850" s="1076"/>
      <c r="B850" s="1074">
        <f>+'[18]Bldg+Dev'!S1662</f>
        <v>0</v>
      </c>
      <c r="D850" s="1063"/>
      <c r="F850" s="1076"/>
      <c r="G850" s="1063"/>
      <c r="H850" s="1063"/>
      <c r="I850" s="1063"/>
      <c r="J850" s="1063"/>
      <c r="K850" s="1063"/>
      <c r="L850" s="1063"/>
      <c r="M850" s="1063"/>
      <c r="N850" s="1063"/>
      <c r="O850" s="1063"/>
      <c r="P850" s="1063"/>
      <c r="Q850" s="1063"/>
      <c r="R850" s="1063"/>
      <c r="S850" s="1063"/>
      <c r="T850" s="1063"/>
      <c r="U850" s="1063"/>
      <c r="V850" s="1063"/>
      <c r="W850" s="1063"/>
      <c r="X850" s="1063"/>
      <c r="Y850" s="1063"/>
      <c r="Z850" s="1063"/>
      <c r="AA850" s="1063"/>
      <c r="AB850" s="1063"/>
      <c r="AC850" s="1063"/>
      <c r="AD850" s="1063"/>
      <c r="AE850" s="1063"/>
      <c r="AF850" s="1063"/>
      <c r="AG850" s="1063"/>
      <c r="AH850" s="1063"/>
      <c r="AI850" s="1063"/>
      <c r="AJ850" s="1063"/>
      <c r="AK850" s="1063"/>
      <c r="AL850" s="1063"/>
      <c r="AM850" s="1063"/>
      <c r="AN850" s="1063"/>
      <c r="AO850" s="1063"/>
      <c r="AP850" s="1063"/>
      <c r="AQ850" s="1063"/>
      <c r="AR850" s="1063"/>
      <c r="AS850" s="1063"/>
      <c r="AT850" s="1063"/>
      <c r="AU850" s="1063"/>
      <c r="AV850" s="1063"/>
    </row>
    <row r="851" spans="1:48" s="1108" customFormat="1" ht="27.75" customHeight="1">
      <c r="A851" s="1076"/>
      <c r="B851" s="1074">
        <f>+'[18]Bldg+Dev'!S1663</f>
        <v>0</v>
      </c>
      <c r="D851" s="1063"/>
      <c r="F851" s="1076"/>
      <c r="G851" s="1063"/>
      <c r="H851" s="1063"/>
      <c r="I851" s="1063"/>
      <c r="J851" s="1063"/>
      <c r="K851" s="1063"/>
      <c r="L851" s="1063"/>
      <c r="M851" s="1063"/>
      <c r="N851" s="1063"/>
      <c r="O851" s="1063"/>
      <c r="P851" s="1063"/>
      <c r="Q851" s="1063"/>
      <c r="R851" s="1063"/>
      <c r="S851" s="1063"/>
      <c r="T851" s="1063"/>
      <c r="U851" s="1063"/>
      <c r="V851" s="1063"/>
      <c r="W851" s="1063"/>
      <c r="X851" s="1063"/>
      <c r="Y851" s="1063"/>
      <c r="Z851" s="1063"/>
      <c r="AA851" s="1063"/>
      <c r="AB851" s="1063"/>
      <c r="AC851" s="1063"/>
      <c r="AD851" s="1063"/>
      <c r="AE851" s="1063"/>
      <c r="AF851" s="1063"/>
      <c r="AG851" s="1063"/>
      <c r="AH851" s="1063"/>
      <c r="AI851" s="1063"/>
      <c r="AJ851" s="1063"/>
      <c r="AK851" s="1063"/>
      <c r="AL851" s="1063"/>
      <c r="AM851" s="1063"/>
      <c r="AN851" s="1063"/>
      <c r="AO851" s="1063"/>
      <c r="AP851" s="1063"/>
      <c r="AQ851" s="1063"/>
      <c r="AR851" s="1063"/>
      <c r="AS851" s="1063"/>
      <c r="AT851" s="1063"/>
      <c r="AU851" s="1063"/>
      <c r="AV851" s="1063"/>
    </row>
    <row r="852" spans="1:48" s="1108" customFormat="1" ht="27.75" customHeight="1">
      <c r="A852" s="1076"/>
      <c r="B852" s="1074">
        <f>+'[18]Bldg+Dev'!S1664</f>
        <v>0</v>
      </c>
      <c r="D852" s="1063"/>
      <c r="F852" s="1076"/>
      <c r="G852" s="1063"/>
      <c r="H852" s="1063"/>
      <c r="I852" s="1063"/>
      <c r="J852" s="1063"/>
      <c r="K852" s="1063"/>
      <c r="L852" s="1063"/>
      <c r="M852" s="1063"/>
      <c r="N852" s="1063"/>
      <c r="O852" s="1063"/>
      <c r="P852" s="1063"/>
      <c r="Q852" s="1063"/>
      <c r="R852" s="1063"/>
      <c r="S852" s="1063"/>
      <c r="T852" s="1063"/>
      <c r="U852" s="1063"/>
      <c r="V852" s="1063"/>
      <c r="W852" s="1063"/>
      <c r="X852" s="1063"/>
      <c r="Y852" s="1063"/>
      <c r="Z852" s="1063"/>
      <c r="AA852" s="1063"/>
      <c r="AB852" s="1063"/>
      <c r="AC852" s="1063"/>
      <c r="AD852" s="1063"/>
      <c r="AE852" s="1063"/>
      <c r="AF852" s="1063"/>
      <c r="AG852" s="1063"/>
      <c r="AH852" s="1063"/>
      <c r="AI852" s="1063"/>
      <c r="AJ852" s="1063"/>
      <c r="AK852" s="1063"/>
      <c r="AL852" s="1063"/>
      <c r="AM852" s="1063"/>
      <c r="AN852" s="1063"/>
      <c r="AO852" s="1063"/>
      <c r="AP852" s="1063"/>
      <c r="AQ852" s="1063"/>
      <c r="AR852" s="1063"/>
      <c r="AS852" s="1063"/>
      <c r="AT852" s="1063"/>
      <c r="AU852" s="1063"/>
      <c r="AV852" s="1063"/>
    </row>
    <row r="853" spans="1:48" s="1108" customFormat="1" ht="27.75" customHeight="1">
      <c r="A853" s="1076"/>
      <c r="B853" s="1074">
        <f>+'[18]Bldg+Dev'!S1665</f>
        <v>0</v>
      </c>
      <c r="D853" s="1063"/>
      <c r="F853" s="1076"/>
      <c r="G853" s="1063"/>
      <c r="H853" s="1063"/>
      <c r="I853" s="1063"/>
      <c r="J853" s="1063"/>
      <c r="K853" s="1063"/>
      <c r="L853" s="1063"/>
      <c r="M853" s="1063"/>
      <c r="N853" s="1063"/>
      <c r="O853" s="1063"/>
      <c r="P853" s="1063"/>
      <c r="Q853" s="1063"/>
      <c r="R853" s="1063"/>
      <c r="S853" s="1063"/>
      <c r="T853" s="1063"/>
      <c r="U853" s="1063"/>
      <c r="V853" s="1063"/>
      <c r="W853" s="1063"/>
      <c r="X853" s="1063"/>
      <c r="Y853" s="1063"/>
      <c r="Z853" s="1063"/>
      <c r="AA853" s="1063"/>
      <c r="AB853" s="1063"/>
      <c r="AC853" s="1063"/>
      <c r="AD853" s="1063"/>
      <c r="AE853" s="1063"/>
      <c r="AF853" s="1063"/>
      <c r="AG853" s="1063"/>
      <c r="AH853" s="1063"/>
      <c r="AI853" s="1063"/>
      <c r="AJ853" s="1063"/>
      <c r="AK853" s="1063"/>
      <c r="AL853" s="1063"/>
      <c r="AM853" s="1063"/>
      <c r="AN853" s="1063"/>
      <c r="AO853" s="1063"/>
      <c r="AP853" s="1063"/>
      <c r="AQ853" s="1063"/>
      <c r="AR853" s="1063"/>
      <c r="AS853" s="1063"/>
      <c r="AT853" s="1063"/>
      <c r="AU853" s="1063"/>
      <c r="AV853" s="1063"/>
    </row>
    <row r="854" spans="1:48" s="1108" customFormat="1" ht="27.75" customHeight="1">
      <c r="A854" s="1076"/>
      <c r="B854" s="1074">
        <f>+'[18]Bldg+Dev'!S1666</f>
        <v>0</v>
      </c>
      <c r="D854" s="1063"/>
      <c r="F854" s="1076"/>
      <c r="G854" s="1063"/>
      <c r="H854" s="1063"/>
      <c r="I854" s="1063"/>
      <c r="J854" s="1063"/>
      <c r="K854" s="1063"/>
      <c r="L854" s="1063"/>
      <c r="M854" s="1063"/>
      <c r="N854" s="1063"/>
      <c r="O854" s="1063"/>
      <c r="P854" s="1063"/>
      <c r="Q854" s="1063"/>
      <c r="R854" s="1063"/>
      <c r="S854" s="1063"/>
      <c r="T854" s="1063"/>
      <c r="U854" s="1063"/>
      <c r="V854" s="1063"/>
      <c r="W854" s="1063"/>
      <c r="X854" s="1063"/>
      <c r="Y854" s="1063"/>
      <c r="Z854" s="1063"/>
      <c r="AA854" s="1063"/>
      <c r="AB854" s="1063"/>
      <c r="AC854" s="1063"/>
      <c r="AD854" s="1063"/>
      <c r="AE854" s="1063"/>
      <c r="AF854" s="1063"/>
      <c r="AG854" s="1063"/>
      <c r="AH854" s="1063"/>
      <c r="AI854" s="1063"/>
      <c r="AJ854" s="1063"/>
      <c r="AK854" s="1063"/>
      <c r="AL854" s="1063"/>
      <c r="AM854" s="1063"/>
      <c r="AN854" s="1063"/>
      <c r="AO854" s="1063"/>
      <c r="AP854" s="1063"/>
      <c r="AQ854" s="1063"/>
      <c r="AR854" s="1063"/>
      <c r="AS854" s="1063"/>
      <c r="AT854" s="1063"/>
      <c r="AU854" s="1063"/>
      <c r="AV854" s="1063"/>
    </row>
    <row r="855" spans="1:48" s="1108" customFormat="1" ht="27.75" customHeight="1">
      <c r="A855" s="1076"/>
      <c r="B855" s="1074">
        <f>+'[18]Bldg+Dev'!S1667</f>
        <v>0</v>
      </c>
      <c r="D855" s="1063"/>
      <c r="F855" s="1076"/>
      <c r="G855" s="1063"/>
      <c r="H855" s="1063"/>
      <c r="I855" s="1063"/>
      <c r="J855" s="1063"/>
      <c r="K855" s="1063"/>
      <c r="L855" s="1063"/>
      <c r="M855" s="1063"/>
      <c r="N855" s="1063"/>
      <c r="O855" s="1063"/>
      <c r="P855" s="1063"/>
      <c r="Q855" s="1063"/>
      <c r="R855" s="1063"/>
      <c r="S855" s="1063"/>
      <c r="T855" s="1063"/>
      <c r="U855" s="1063"/>
      <c r="V855" s="1063"/>
      <c r="W855" s="1063"/>
      <c r="X855" s="1063"/>
      <c r="Y855" s="1063"/>
      <c r="Z855" s="1063"/>
      <c r="AA855" s="1063"/>
      <c r="AB855" s="1063"/>
      <c r="AC855" s="1063"/>
      <c r="AD855" s="1063"/>
      <c r="AE855" s="1063"/>
      <c r="AF855" s="1063"/>
      <c r="AG855" s="1063"/>
      <c r="AH855" s="1063"/>
      <c r="AI855" s="1063"/>
      <c r="AJ855" s="1063"/>
      <c r="AK855" s="1063"/>
      <c r="AL855" s="1063"/>
      <c r="AM855" s="1063"/>
      <c r="AN855" s="1063"/>
      <c r="AO855" s="1063"/>
      <c r="AP855" s="1063"/>
      <c r="AQ855" s="1063"/>
      <c r="AR855" s="1063"/>
      <c r="AS855" s="1063"/>
      <c r="AT855" s="1063"/>
      <c r="AU855" s="1063"/>
      <c r="AV855" s="1063"/>
    </row>
    <row r="856" spans="1:48" s="1108" customFormat="1" ht="27.75" customHeight="1">
      <c r="A856" s="1076"/>
      <c r="B856" s="1074">
        <f>+'[18]Bldg+Dev'!S1668</f>
        <v>0</v>
      </c>
      <c r="D856" s="1063"/>
      <c r="F856" s="1076"/>
      <c r="G856" s="1063"/>
      <c r="H856" s="1063"/>
      <c r="I856" s="1063"/>
      <c r="J856" s="1063"/>
      <c r="K856" s="1063"/>
      <c r="L856" s="1063"/>
      <c r="M856" s="1063"/>
      <c r="N856" s="1063"/>
      <c r="O856" s="1063"/>
      <c r="P856" s="1063"/>
      <c r="Q856" s="1063"/>
      <c r="R856" s="1063"/>
      <c r="S856" s="1063"/>
      <c r="T856" s="1063"/>
      <c r="U856" s="1063"/>
      <c r="V856" s="1063"/>
      <c r="W856" s="1063"/>
      <c r="X856" s="1063"/>
      <c r="Y856" s="1063"/>
      <c r="Z856" s="1063"/>
      <c r="AA856" s="1063"/>
      <c r="AB856" s="1063"/>
      <c r="AC856" s="1063"/>
      <c r="AD856" s="1063"/>
      <c r="AE856" s="1063"/>
      <c r="AF856" s="1063"/>
      <c r="AG856" s="1063"/>
      <c r="AH856" s="1063"/>
      <c r="AI856" s="1063"/>
      <c r="AJ856" s="1063"/>
      <c r="AK856" s="1063"/>
      <c r="AL856" s="1063"/>
      <c r="AM856" s="1063"/>
      <c r="AN856" s="1063"/>
      <c r="AO856" s="1063"/>
      <c r="AP856" s="1063"/>
      <c r="AQ856" s="1063"/>
      <c r="AR856" s="1063"/>
      <c r="AS856" s="1063"/>
      <c r="AT856" s="1063"/>
      <c r="AU856" s="1063"/>
      <c r="AV856" s="1063"/>
    </row>
    <row r="857" spans="1:48" s="1108" customFormat="1" ht="27.75" customHeight="1">
      <c r="A857" s="1076"/>
      <c r="B857" s="1074">
        <f>+'[18]Bldg+Dev'!S1669</f>
        <v>0</v>
      </c>
      <c r="D857" s="1063"/>
      <c r="F857" s="1076"/>
      <c r="G857" s="1063"/>
      <c r="H857" s="1063"/>
      <c r="I857" s="1063"/>
      <c r="J857" s="1063"/>
      <c r="K857" s="1063"/>
      <c r="L857" s="1063"/>
      <c r="M857" s="1063"/>
      <c r="N857" s="1063"/>
      <c r="O857" s="1063"/>
      <c r="P857" s="1063"/>
      <c r="Q857" s="1063"/>
      <c r="R857" s="1063"/>
      <c r="S857" s="1063"/>
      <c r="T857" s="1063"/>
      <c r="U857" s="1063"/>
      <c r="V857" s="1063"/>
      <c r="W857" s="1063"/>
      <c r="X857" s="1063"/>
      <c r="Y857" s="1063"/>
      <c r="Z857" s="1063"/>
      <c r="AA857" s="1063"/>
      <c r="AB857" s="1063"/>
      <c r="AC857" s="1063"/>
      <c r="AD857" s="1063"/>
      <c r="AE857" s="1063"/>
      <c r="AF857" s="1063"/>
      <c r="AG857" s="1063"/>
      <c r="AH857" s="1063"/>
      <c r="AI857" s="1063"/>
      <c r="AJ857" s="1063"/>
      <c r="AK857" s="1063"/>
      <c r="AL857" s="1063"/>
      <c r="AM857" s="1063"/>
      <c r="AN857" s="1063"/>
      <c r="AO857" s="1063"/>
      <c r="AP857" s="1063"/>
      <c r="AQ857" s="1063"/>
      <c r="AR857" s="1063"/>
      <c r="AS857" s="1063"/>
      <c r="AT857" s="1063"/>
      <c r="AU857" s="1063"/>
      <c r="AV857" s="1063"/>
    </row>
    <row r="858" spans="1:48" s="1108" customFormat="1" ht="27.75" customHeight="1">
      <c r="A858" s="1076"/>
      <c r="B858" s="1074">
        <f>+'[18]Bldg+Dev'!S1670</f>
        <v>0</v>
      </c>
      <c r="D858" s="1063"/>
      <c r="F858" s="1076"/>
      <c r="G858" s="1063"/>
      <c r="H858" s="1063"/>
      <c r="I858" s="1063"/>
      <c r="J858" s="1063"/>
      <c r="K858" s="1063"/>
      <c r="L858" s="1063"/>
      <c r="M858" s="1063"/>
      <c r="N858" s="1063"/>
      <c r="O858" s="1063"/>
      <c r="P858" s="1063"/>
      <c r="Q858" s="1063"/>
      <c r="R858" s="1063"/>
      <c r="S858" s="1063"/>
      <c r="T858" s="1063"/>
      <c r="U858" s="1063"/>
      <c r="V858" s="1063"/>
      <c r="W858" s="1063"/>
      <c r="X858" s="1063"/>
      <c r="Y858" s="1063"/>
      <c r="Z858" s="1063"/>
      <c r="AA858" s="1063"/>
      <c r="AB858" s="1063"/>
      <c r="AC858" s="1063"/>
      <c r="AD858" s="1063"/>
      <c r="AE858" s="1063"/>
      <c r="AF858" s="1063"/>
      <c r="AG858" s="1063"/>
      <c r="AH858" s="1063"/>
      <c r="AI858" s="1063"/>
      <c r="AJ858" s="1063"/>
      <c r="AK858" s="1063"/>
      <c r="AL858" s="1063"/>
      <c r="AM858" s="1063"/>
      <c r="AN858" s="1063"/>
      <c r="AO858" s="1063"/>
      <c r="AP858" s="1063"/>
      <c r="AQ858" s="1063"/>
      <c r="AR858" s="1063"/>
      <c r="AS858" s="1063"/>
      <c r="AT858" s="1063"/>
      <c r="AU858" s="1063"/>
      <c r="AV858" s="1063"/>
    </row>
    <row r="859" spans="1:48" s="1108" customFormat="1" ht="27.75" customHeight="1">
      <c r="A859" s="1076"/>
      <c r="B859" s="1074">
        <f>+'[18]Bldg+Dev'!S1671</f>
        <v>0</v>
      </c>
      <c r="D859" s="1063"/>
      <c r="F859" s="1076"/>
      <c r="G859" s="1063"/>
      <c r="H859" s="1063"/>
      <c r="I859" s="1063"/>
      <c r="J859" s="1063"/>
      <c r="K859" s="1063"/>
      <c r="L859" s="1063"/>
      <c r="M859" s="1063"/>
      <c r="N859" s="1063"/>
      <c r="O859" s="1063"/>
      <c r="P859" s="1063"/>
      <c r="Q859" s="1063"/>
      <c r="R859" s="1063"/>
      <c r="S859" s="1063"/>
      <c r="T859" s="1063"/>
      <c r="U859" s="1063"/>
      <c r="V859" s="1063"/>
      <c r="W859" s="1063"/>
      <c r="X859" s="1063"/>
      <c r="Y859" s="1063"/>
      <c r="Z859" s="1063"/>
      <c r="AA859" s="1063"/>
      <c r="AB859" s="1063"/>
      <c r="AC859" s="1063"/>
      <c r="AD859" s="1063"/>
      <c r="AE859" s="1063"/>
      <c r="AF859" s="1063"/>
      <c r="AG859" s="1063"/>
      <c r="AH859" s="1063"/>
      <c r="AI859" s="1063"/>
      <c r="AJ859" s="1063"/>
      <c r="AK859" s="1063"/>
      <c r="AL859" s="1063"/>
      <c r="AM859" s="1063"/>
      <c r="AN859" s="1063"/>
      <c r="AO859" s="1063"/>
      <c r="AP859" s="1063"/>
      <c r="AQ859" s="1063"/>
      <c r="AR859" s="1063"/>
      <c r="AS859" s="1063"/>
      <c r="AT859" s="1063"/>
      <c r="AU859" s="1063"/>
      <c r="AV859" s="1063"/>
    </row>
    <row r="860" spans="1:48" s="1108" customFormat="1" ht="27.75" customHeight="1">
      <c r="A860" s="1076"/>
      <c r="B860" s="1074">
        <f>+'[18]Bldg+Dev'!S1672</f>
        <v>0</v>
      </c>
      <c r="D860" s="1063"/>
      <c r="F860" s="1076"/>
      <c r="G860" s="1063"/>
      <c r="H860" s="1063"/>
      <c r="I860" s="1063"/>
      <c r="J860" s="1063"/>
      <c r="K860" s="1063"/>
      <c r="L860" s="1063"/>
      <c r="M860" s="1063"/>
      <c r="N860" s="1063"/>
      <c r="O860" s="1063"/>
      <c r="P860" s="1063"/>
      <c r="Q860" s="1063"/>
      <c r="R860" s="1063"/>
      <c r="S860" s="1063"/>
      <c r="T860" s="1063"/>
      <c r="U860" s="1063"/>
      <c r="V860" s="1063"/>
      <c r="W860" s="1063"/>
      <c r="X860" s="1063"/>
      <c r="Y860" s="1063"/>
      <c r="Z860" s="1063"/>
      <c r="AA860" s="1063"/>
      <c r="AB860" s="1063"/>
      <c r="AC860" s="1063"/>
      <c r="AD860" s="1063"/>
      <c r="AE860" s="1063"/>
      <c r="AF860" s="1063"/>
      <c r="AG860" s="1063"/>
      <c r="AH860" s="1063"/>
      <c r="AI860" s="1063"/>
      <c r="AJ860" s="1063"/>
      <c r="AK860" s="1063"/>
      <c r="AL860" s="1063"/>
      <c r="AM860" s="1063"/>
      <c r="AN860" s="1063"/>
      <c r="AO860" s="1063"/>
      <c r="AP860" s="1063"/>
      <c r="AQ860" s="1063"/>
      <c r="AR860" s="1063"/>
      <c r="AS860" s="1063"/>
      <c r="AT860" s="1063"/>
      <c r="AU860" s="1063"/>
      <c r="AV860" s="1063"/>
    </row>
    <row r="861" spans="1:48" s="1108" customFormat="1" ht="27.75" customHeight="1">
      <c r="A861" s="1076"/>
      <c r="B861" s="1074">
        <f>+'[18]Bldg+Dev'!S1673</f>
        <v>0</v>
      </c>
      <c r="D861" s="1063"/>
      <c r="F861" s="1076"/>
      <c r="G861" s="1063"/>
      <c r="H861" s="1063"/>
      <c r="I861" s="1063"/>
      <c r="J861" s="1063"/>
      <c r="K861" s="1063"/>
      <c r="L861" s="1063"/>
      <c r="M861" s="1063"/>
      <c r="N861" s="1063"/>
      <c r="O861" s="1063"/>
      <c r="P861" s="1063"/>
      <c r="Q861" s="1063"/>
      <c r="R861" s="1063"/>
      <c r="S861" s="1063"/>
      <c r="T861" s="1063"/>
      <c r="U861" s="1063"/>
      <c r="V861" s="1063"/>
      <c r="W861" s="1063"/>
      <c r="X861" s="1063"/>
      <c r="Y861" s="1063"/>
      <c r="Z861" s="1063"/>
      <c r="AA861" s="1063"/>
      <c r="AB861" s="1063"/>
      <c r="AC861" s="1063"/>
      <c r="AD861" s="1063"/>
      <c r="AE861" s="1063"/>
      <c r="AF861" s="1063"/>
      <c r="AG861" s="1063"/>
      <c r="AH861" s="1063"/>
      <c r="AI861" s="1063"/>
      <c r="AJ861" s="1063"/>
      <c r="AK861" s="1063"/>
      <c r="AL861" s="1063"/>
      <c r="AM861" s="1063"/>
      <c r="AN861" s="1063"/>
      <c r="AO861" s="1063"/>
      <c r="AP861" s="1063"/>
      <c r="AQ861" s="1063"/>
      <c r="AR861" s="1063"/>
      <c r="AS861" s="1063"/>
      <c r="AT861" s="1063"/>
      <c r="AU861" s="1063"/>
      <c r="AV861" s="1063"/>
    </row>
    <row r="862" spans="1:48" s="1108" customFormat="1" ht="27.75" customHeight="1">
      <c r="A862" s="1076"/>
      <c r="B862" s="1074">
        <f>+'[18]Bldg+Dev'!S1674</f>
        <v>0</v>
      </c>
      <c r="D862" s="1063"/>
      <c r="F862" s="1076"/>
      <c r="G862" s="1063"/>
      <c r="H862" s="1063"/>
      <c r="I862" s="1063"/>
      <c r="J862" s="1063"/>
      <c r="K862" s="1063"/>
      <c r="L862" s="1063"/>
      <c r="M862" s="1063"/>
      <c r="N862" s="1063"/>
      <c r="O862" s="1063"/>
      <c r="P862" s="1063"/>
      <c r="Q862" s="1063"/>
      <c r="R862" s="1063"/>
      <c r="S862" s="1063"/>
      <c r="T862" s="1063"/>
      <c r="U862" s="1063"/>
      <c r="V862" s="1063"/>
      <c r="W862" s="1063"/>
      <c r="X862" s="1063"/>
      <c r="Y862" s="1063"/>
      <c r="Z862" s="1063"/>
      <c r="AA862" s="1063"/>
      <c r="AB862" s="1063"/>
      <c r="AC862" s="1063"/>
      <c r="AD862" s="1063"/>
      <c r="AE862" s="1063"/>
      <c r="AF862" s="1063"/>
      <c r="AG862" s="1063"/>
      <c r="AH862" s="1063"/>
      <c r="AI862" s="1063"/>
      <c r="AJ862" s="1063"/>
      <c r="AK862" s="1063"/>
      <c r="AL862" s="1063"/>
      <c r="AM862" s="1063"/>
      <c r="AN862" s="1063"/>
      <c r="AO862" s="1063"/>
      <c r="AP862" s="1063"/>
      <c r="AQ862" s="1063"/>
      <c r="AR862" s="1063"/>
      <c r="AS862" s="1063"/>
      <c r="AT862" s="1063"/>
      <c r="AU862" s="1063"/>
      <c r="AV862" s="1063"/>
    </row>
    <row r="863" spans="1:48" s="1108" customFormat="1" ht="27.75" customHeight="1">
      <c r="A863" s="1076"/>
      <c r="B863" s="1074">
        <f>+'[18]Bldg+Dev'!S1675</f>
        <v>0</v>
      </c>
      <c r="D863" s="1063"/>
      <c r="F863" s="1076"/>
      <c r="G863" s="1063"/>
      <c r="H863" s="1063"/>
      <c r="I863" s="1063"/>
      <c r="J863" s="1063"/>
      <c r="K863" s="1063"/>
      <c r="L863" s="1063"/>
      <c r="M863" s="1063"/>
      <c r="N863" s="1063"/>
      <c r="O863" s="1063"/>
      <c r="P863" s="1063"/>
      <c r="Q863" s="1063"/>
      <c r="R863" s="1063"/>
      <c r="S863" s="1063"/>
      <c r="T863" s="1063"/>
      <c r="U863" s="1063"/>
      <c r="V863" s="1063"/>
      <c r="W863" s="1063"/>
      <c r="X863" s="1063"/>
      <c r="Y863" s="1063"/>
      <c r="Z863" s="1063"/>
      <c r="AA863" s="1063"/>
      <c r="AB863" s="1063"/>
      <c r="AC863" s="1063"/>
      <c r="AD863" s="1063"/>
      <c r="AE863" s="1063"/>
      <c r="AF863" s="1063"/>
      <c r="AG863" s="1063"/>
      <c r="AH863" s="1063"/>
      <c r="AI863" s="1063"/>
      <c r="AJ863" s="1063"/>
      <c r="AK863" s="1063"/>
      <c r="AL863" s="1063"/>
      <c r="AM863" s="1063"/>
      <c r="AN863" s="1063"/>
      <c r="AO863" s="1063"/>
      <c r="AP863" s="1063"/>
      <c r="AQ863" s="1063"/>
      <c r="AR863" s="1063"/>
      <c r="AS863" s="1063"/>
      <c r="AT863" s="1063"/>
      <c r="AU863" s="1063"/>
      <c r="AV863" s="1063"/>
    </row>
    <row r="864" spans="1:48" s="1108" customFormat="1" ht="27.75" customHeight="1">
      <c r="A864" s="1076"/>
      <c r="B864" s="1074">
        <f>+'[18]Bldg+Dev'!S1676</f>
        <v>0</v>
      </c>
      <c r="D864" s="1063"/>
      <c r="F864" s="1076"/>
      <c r="G864" s="1063"/>
      <c r="H864" s="1063"/>
      <c r="I864" s="1063"/>
      <c r="J864" s="1063"/>
      <c r="K864" s="1063"/>
      <c r="L864" s="1063"/>
      <c r="M864" s="1063"/>
      <c r="N864" s="1063"/>
      <c r="O864" s="1063"/>
      <c r="P864" s="1063"/>
      <c r="Q864" s="1063"/>
      <c r="R864" s="1063"/>
      <c r="S864" s="1063"/>
      <c r="T864" s="1063"/>
      <c r="U864" s="1063"/>
      <c r="V864" s="1063"/>
      <c r="W864" s="1063"/>
      <c r="X864" s="1063"/>
      <c r="Y864" s="1063"/>
      <c r="Z864" s="1063"/>
      <c r="AA864" s="1063"/>
      <c r="AB864" s="1063"/>
      <c r="AC864" s="1063"/>
      <c r="AD864" s="1063"/>
      <c r="AE864" s="1063"/>
      <c r="AF864" s="1063"/>
      <c r="AG864" s="1063"/>
      <c r="AH864" s="1063"/>
      <c r="AI864" s="1063"/>
      <c r="AJ864" s="1063"/>
      <c r="AK864" s="1063"/>
      <c r="AL864" s="1063"/>
      <c r="AM864" s="1063"/>
      <c r="AN864" s="1063"/>
      <c r="AO864" s="1063"/>
      <c r="AP864" s="1063"/>
      <c r="AQ864" s="1063"/>
      <c r="AR864" s="1063"/>
      <c r="AS864" s="1063"/>
      <c r="AT864" s="1063"/>
      <c r="AU864" s="1063"/>
      <c r="AV864" s="1063"/>
    </row>
    <row r="865" spans="1:48" s="1108" customFormat="1" ht="27.75" customHeight="1">
      <c r="A865" s="1076"/>
      <c r="B865" s="1074">
        <f>+'[18]Bldg+Dev'!S1677</f>
        <v>0</v>
      </c>
      <c r="D865" s="1063"/>
      <c r="F865" s="1076"/>
      <c r="G865" s="1063"/>
      <c r="H865" s="1063"/>
      <c r="I865" s="1063"/>
      <c r="J865" s="1063"/>
      <c r="K865" s="1063"/>
      <c r="L865" s="1063"/>
      <c r="M865" s="1063"/>
      <c r="N865" s="1063"/>
      <c r="O865" s="1063"/>
      <c r="P865" s="1063"/>
      <c r="Q865" s="1063"/>
      <c r="R865" s="1063"/>
      <c r="S865" s="1063"/>
      <c r="T865" s="1063"/>
      <c r="U865" s="1063"/>
      <c r="V865" s="1063"/>
      <c r="W865" s="1063"/>
      <c r="X865" s="1063"/>
      <c r="Y865" s="1063"/>
      <c r="Z865" s="1063"/>
      <c r="AA865" s="1063"/>
      <c r="AB865" s="1063"/>
      <c r="AC865" s="1063"/>
      <c r="AD865" s="1063"/>
      <c r="AE865" s="1063"/>
      <c r="AF865" s="1063"/>
      <c r="AG865" s="1063"/>
      <c r="AH865" s="1063"/>
      <c r="AI865" s="1063"/>
      <c r="AJ865" s="1063"/>
      <c r="AK865" s="1063"/>
      <c r="AL865" s="1063"/>
      <c r="AM865" s="1063"/>
      <c r="AN865" s="1063"/>
      <c r="AO865" s="1063"/>
      <c r="AP865" s="1063"/>
      <c r="AQ865" s="1063"/>
      <c r="AR865" s="1063"/>
      <c r="AS865" s="1063"/>
      <c r="AT865" s="1063"/>
      <c r="AU865" s="1063"/>
      <c r="AV865" s="1063"/>
    </row>
    <row r="866" spans="1:48" s="1108" customFormat="1" ht="27.75" customHeight="1">
      <c r="A866" s="1076"/>
      <c r="B866" s="1074">
        <f>+'[18]Bldg+Dev'!S1678</f>
        <v>0</v>
      </c>
      <c r="D866" s="1063"/>
      <c r="F866" s="1076"/>
      <c r="G866" s="1063"/>
      <c r="H866" s="1063"/>
      <c r="I866" s="1063"/>
      <c r="J866" s="1063"/>
      <c r="K866" s="1063"/>
      <c r="L866" s="1063"/>
      <c r="M866" s="1063"/>
      <c r="N866" s="1063"/>
      <c r="O866" s="1063"/>
      <c r="P866" s="1063"/>
      <c r="Q866" s="1063"/>
      <c r="R866" s="1063"/>
      <c r="S866" s="1063"/>
      <c r="T866" s="1063"/>
      <c r="U866" s="1063"/>
      <c r="V866" s="1063"/>
      <c r="W866" s="1063"/>
      <c r="X866" s="1063"/>
      <c r="Y866" s="1063"/>
      <c r="Z866" s="1063"/>
      <c r="AA866" s="1063"/>
      <c r="AB866" s="1063"/>
      <c r="AC866" s="1063"/>
      <c r="AD866" s="1063"/>
      <c r="AE866" s="1063"/>
      <c r="AF866" s="1063"/>
      <c r="AG866" s="1063"/>
      <c r="AH866" s="1063"/>
      <c r="AI866" s="1063"/>
      <c r="AJ866" s="1063"/>
      <c r="AK866" s="1063"/>
      <c r="AL866" s="1063"/>
      <c r="AM866" s="1063"/>
      <c r="AN866" s="1063"/>
      <c r="AO866" s="1063"/>
      <c r="AP866" s="1063"/>
      <c r="AQ866" s="1063"/>
      <c r="AR866" s="1063"/>
      <c r="AS866" s="1063"/>
      <c r="AT866" s="1063"/>
      <c r="AU866" s="1063"/>
      <c r="AV866" s="1063"/>
    </row>
    <row r="867" spans="1:48" s="1108" customFormat="1" ht="27.75" customHeight="1">
      <c r="A867" s="1076"/>
      <c r="B867" s="1074">
        <f>+'[18]Bldg+Dev'!S1679</f>
        <v>0</v>
      </c>
      <c r="D867" s="1063"/>
      <c r="F867" s="1076"/>
      <c r="G867" s="1063"/>
      <c r="H867" s="1063"/>
      <c r="I867" s="1063"/>
      <c r="J867" s="1063"/>
      <c r="K867" s="1063"/>
      <c r="L867" s="1063"/>
      <c r="M867" s="1063"/>
      <c r="N867" s="1063"/>
      <c r="O867" s="1063"/>
      <c r="P867" s="1063"/>
      <c r="Q867" s="1063"/>
      <c r="R867" s="1063"/>
      <c r="S867" s="1063"/>
      <c r="T867" s="1063"/>
      <c r="U867" s="1063"/>
      <c r="V867" s="1063"/>
      <c r="W867" s="1063"/>
      <c r="X867" s="1063"/>
      <c r="Y867" s="1063"/>
      <c r="Z867" s="1063"/>
      <c r="AA867" s="1063"/>
      <c r="AB867" s="1063"/>
      <c r="AC867" s="1063"/>
      <c r="AD867" s="1063"/>
      <c r="AE867" s="1063"/>
      <c r="AF867" s="1063"/>
      <c r="AG867" s="1063"/>
      <c r="AH867" s="1063"/>
      <c r="AI867" s="1063"/>
      <c r="AJ867" s="1063"/>
      <c r="AK867" s="1063"/>
      <c r="AL867" s="1063"/>
      <c r="AM867" s="1063"/>
      <c r="AN867" s="1063"/>
      <c r="AO867" s="1063"/>
      <c r="AP867" s="1063"/>
      <c r="AQ867" s="1063"/>
      <c r="AR867" s="1063"/>
      <c r="AS867" s="1063"/>
      <c r="AT867" s="1063"/>
      <c r="AU867" s="1063"/>
      <c r="AV867" s="1063"/>
    </row>
    <row r="868" spans="1:48" s="1108" customFormat="1" ht="27.75" customHeight="1">
      <c r="A868" s="1076"/>
      <c r="B868" s="1074">
        <f>+'[18]Bldg+Dev'!S1680</f>
        <v>0</v>
      </c>
      <c r="D868" s="1063"/>
      <c r="F868" s="1076"/>
      <c r="G868" s="1063"/>
      <c r="H868" s="1063"/>
      <c r="I868" s="1063"/>
      <c r="J868" s="1063"/>
      <c r="K868" s="1063"/>
      <c r="L868" s="1063"/>
      <c r="M868" s="1063"/>
      <c r="N868" s="1063"/>
      <c r="O868" s="1063"/>
      <c r="P868" s="1063"/>
      <c r="Q868" s="1063"/>
      <c r="R868" s="1063"/>
      <c r="S868" s="1063"/>
      <c r="T868" s="1063"/>
      <c r="U868" s="1063"/>
      <c r="V868" s="1063"/>
      <c r="W868" s="1063"/>
      <c r="X868" s="1063"/>
      <c r="Y868" s="1063"/>
      <c r="Z868" s="1063"/>
      <c r="AA868" s="1063"/>
      <c r="AB868" s="1063"/>
      <c r="AC868" s="1063"/>
      <c r="AD868" s="1063"/>
      <c r="AE868" s="1063"/>
      <c r="AF868" s="1063"/>
      <c r="AG868" s="1063"/>
      <c r="AH868" s="1063"/>
      <c r="AI868" s="1063"/>
      <c r="AJ868" s="1063"/>
      <c r="AK868" s="1063"/>
      <c r="AL868" s="1063"/>
      <c r="AM868" s="1063"/>
      <c r="AN868" s="1063"/>
      <c r="AO868" s="1063"/>
      <c r="AP868" s="1063"/>
      <c r="AQ868" s="1063"/>
      <c r="AR868" s="1063"/>
      <c r="AS868" s="1063"/>
      <c r="AT868" s="1063"/>
      <c r="AU868" s="1063"/>
      <c r="AV868" s="1063"/>
    </row>
    <row r="869" spans="1:48" s="1108" customFormat="1" ht="27.75" customHeight="1">
      <c r="A869" s="1076"/>
      <c r="B869" s="1074">
        <f>+'[18]Bldg+Dev'!S1681</f>
        <v>0</v>
      </c>
      <c r="D869" s="1063"/>
      <c r="F869" s="1076"/>
      <c r="G869" s="1063"/>
      <c r="H869" s="1063"/>
      <c r="I869" s="1063"/>
      <c r="J869" s="1063"/>
      <c r="K869" s="1063"/>
      <c r="L869" s="1063"/>
      <c r="M869" s="1063"/>
      <c r="N869" s="1063"/>
      <c r="O869" s="1063"/>
      <c r="P869" s="1063"/>
      <c r="Q869" s="1063"/>
      <c r="R869" s="1063"/>
      <c r="S869" s="1063"/>
      <c r="T869" s="1063"/>
      <c r="U869" s="1063"/>
      <c r="V869" s="1063"/>
      <c r="W869" s="1063"/>
      <c r="X869" s="1063"/>
      <c r="Y869" s="1063"/>
      <c r="Z869" s="1063"/>
      <c r="AA869" s="1063"/>
      <c r="AB869" s="1063"/>
      <c r="AC869" s="1063"/>
      <c r="AD869" s="1063"/>
      <c r="AE869" s="1063"/>
      <c r="AF869" s="1063"/>
      <c r="AG869" s="1063"/>
      <c r="AH869" s="1063"/>
      <c r="AI869" s="1063"/>
      <c r="AJ869" s="1063"/>
      <c r="AK869" s="1063"/>
      <c r="AL869" s="1063"/>
      <c r="AM869" s="1063"/>
      <c r="AN869" s="1063"/>
      <c r="AO869" s="1063"/>
      <c r="AP869" s="1063"/>
      <c r="AQ869" s="1063"/>
      <c r="AR869" s="1063"/>
      <c r="AS869" s="1063"/>
      <c r="AT869" s="1063"/>
      <c r="AU869" s="1063"/>
      <c r="AV869" s="1063"/>
    </row>
    <row r="870" spans="1:48" s="1108" customFormat="1" ht="27.75" customHeight="1">
      <c r="A870" s="1076"/>
      <c r="B870" s="1074">
        <f>+'[18]Bldg+Dev'!S1682</f>
        <v>0</v>
      </c>
      <c r="D870" s="1063"/>
      <c r="F870" s="1076"/>
      <c r="G870" s="1063"/>
      <c r="H870" s="1063"/>
      <c r="I870" s="1063"/>
      <c r="J870" s="1063"/>
      <c r="K870" s="1063"/>
      <c r="L870" s="1063"/>
      <c r="M870" s="1063"/>
      <c r="N870" s="1063"/>
      <c r="O870" s="1063"/>
      <c r="P870" s="1063"/>
      <c r="Q870" s="1063"/>
      <c r="R870" s="1063"/>
      <c r="S870" s="1063"/>
      <c r="T870" s="1063"/>
      <c r="U870" s="1063"/>
      <c r="V870" s="1063"/>
      <c r="W870" s="1063"/>
      <c r="X870" s="1063"/>
      <c r="Y870" s="1063"/>
      <c r="Z870" s="1063"/>
      <c r="AA870" s="1063"/>
      <c r="AB870" s="1063"/>
      <c r="AC870" s="1063"/>
      <c r="AD870" s="1063"/>
      <c r="AE870" s="1063"/>
      <c r="AF870" s="1063"/>
      <c r="AG870" s="1063"/>
      <c r="AH870" s="1063"/>
      <c r="AI870" s="1063"/>
      <c r="AJ870" s="1063"/>
      <c r="AK870" s="1063"/>
      <c r="AL870" s="1063"/>
      <c r="AM870" s="1063"/>
      <c r="AN870" s="1063"/>
      <c r="AO870" s="1063"/>
      <c r="AP870" s="1063"/>
      <c r="AQ870" s="1063"/>
      <c r="AR870" s="1063"/>
      <c r="AS870" s="1063"/>
      <c r="AT870" s="1063"/>
      <c r="AU870" s="1063"/>
      <c r="AV870" s="1063"/>
    </row>
    <row r="871" spans="1:48" s="1108" customFormat="1" ht="27.75" customHeight="1">
      <c r="A871" s="1076"/>
      <c r="B871" s="1074">
        <f>+'[18]Bldg+Dev'!S1683</f>
        <v>0</v>
      </c>
      <c r="D871" s="1063"/>
      <c r="F871" s="1076"/>
      <c r="G871" s="1063"/>
      <c r="H871" s="1063"/>
      <c r="I871" s="1063"/>
      <c r="J871" s="1063"/>
      <c r="K871" s="1063"/>
      <c r="L871" s="1063"/>
      <c r="M871" s="1063"/>
      <c r="N871" s="1063"/>
      <c r="O871" s="1063"/>
      <c r="P871" s="1063"/>
      <c r="Q871" s="1063"/>
      <c r="R871" s="1063"/>
      <c r="S871" s="1063"/>
      <c r="T871" s="1063"/>
      <c r="U871" s="1063"/>
      <c r="V871" s="1063"/>
      <c r="W871" s="1063"/>
      <c r="X871" s="1063"/>
      <c r="Y871" s="1063"/>
      <c r="Z871" s="1063"/>
      <c r="AA871" s="1063"/>
      <c r="AB871" s="1063"/>
      <c r="AC871" s="1063"/>
      <c r="AD871" s="1063"/>
      <c r="AE871" s="1063"/>
      <c r="AF871" s="1063"/>
      <c r="AG871" s="1063"/>
      <c r="AH871" s="1063"/>
      <c r="AI871" s="1063"/>
      <c r="AJ871" s="1063"/>
      <c r="AK871" s="1063"/>
      <c r="AL871" s="1063"/>
      <c r="AM871" s="1063"/>
      <c r="AN871" s="1063"/>
      <c r="AO871" s="1063"/>
      <c r="AP871" s="1063"/>
      <c r="AQ871" s="1063"/>
      <c r="AR871" s="1063"/>
      <c r="AS871" s="1063"/>
      <c r="AT871" s="1063"/>
      <c r="AU871" s="1063"/>
      <c r="AV871" s="1063"/>
    </row>
    <row r="872" spans="1:48" s="1108" customFormat="1" ht="27.75" customHeight="1">
      <c r="A872" s="1076"/>
      <c r="B872" s="1074">
        <f>+'[18]Bldg+Dev'!S1684</f>
        <v>0</v>
      </c>
      <c r="D872" s="1063"/>
      <c r="F872" s="1076"/>
      <c r="G872" s="1063"/>
      <c r="H872" s="1063"/>
      <c r="I872" s="1063"/>
      <c r="J872" s="1063"/>
      <c r="K872" s="1063"/>
      <c r="L872" s="1063"/>
      <c r="M872" s="1063"/>
      <c r="N872" s="1063"/>
      <c r="O872" s="1063"/>
      <c r="P872" s="1063"/>
      <c r="Q872" s="1063"/>
      <c r="R872" s="1063"/>
      <c r="S872" s="1063"/>
      <c r="T872" s="1063"/>
      <c r="U872" s="1063"/>
      <c r="V872" s="1063"/>
      <c r="W872" s="1063"/>
      <c r="X872" s="1063"/>
      <c r="Y872" s="1063"/>
      <c r="Z872" s="1063"/>
      <c r="AA872" s="1063"/>
      <c r="AB872" s="1063"/>
      <c r="AC872" s="1063"/>
      <c r="AD872" s="1063"/>
      <c r="AE872" s="1063"/>
      <c r="AF872" s="1063"/>
      <c r="AG872" s="1063"/>
      <c r="AH872" s="1063"/>
      <c r="AI872" s="1063"/>
      <c r="AJ872" s="1063"/>
      <c r="AK872" s="1063"/>
      <c r="AL872" s="1063"/>
      <c r="AM872" s="1063"/>
      <c r="AN872" s="1063"/>
      <c r="AO872" s="1063"/>
      <c r="AP872" s="1063"/>
      <c r="AQ872" s="1063"/>
      <c r="AR872" s="1063"/>
      <c r="AS872" s="1063"/>
      <c r="AT872" s="1063"/>
      <c r="AU872" s="1063"/>
      <c r="AV872" s="1063"/>
    </row>
    <row r="873" spans="1:48" s="1108" customFormat="1" ht="27.75" customHeight="1">
      <c r="A873" s="1076"/>
      <c r="B873" s="1074">
        <f>+'[18]Bldg+Dev'!S1685</f>
        <v>0</v>
      </c>
      <c r="D873" s="1063"/>
      <c r="F873" s="1076"/>
      <c r="G873" s="1063"/>
      <c r="H873" s="1063"/>
      <c r="I873" s="1063"/>
      <c r="J873" s="1063"/>
      <c r="K873" s="1063"/>
      <c r="L873" s="1063"/>
      <c r="M873" s="1063"/>
      <c r="N873" s="1063"/>
      <c r="O873" s="1063"/>
      <c r="P873" s="1063"/>
      <c r="Q873" s="1063"/>
      <c r="R873" s="1063"/>
      <c r="S873" s="1063"/>
      <c r="T873" s="1063"/>
      <c r="U873" s="1063"/>
      <c r="V873" s="1063"/>
      <c r="W873" s="1063"/>
      <c r="X873" s="1063"/>
      <c r="Y873" s="1063"/>
      <c r="Z873" s="1063"/>
      <c r="AA873" s="1063"/>
      <c r="AB873" s="1063"/>
      <c r="AC873" s="1063"/>
      <c r="AD873" s="1063"/>
      <c r="AE873" s="1063"/>
      <c r="AF873" s="1063"/>
      <c r="AG873" s="1063"/>
      <c r="AH873" s="1063"/>
      <c r="AI873" s="1063"/>
      <c r="AJ873" s="1063"/>
      <c r="AK873" s="1063"/>
      <c r="AL873" s="1063"/>
      <c r="AM873" s="1063"/>
      <c r="AN873" s="1063"/>
      <c r="AO873" s="1063"/>
      <c r="AP873" s="1063"/>
      <c r="AQ873" s="1063"/>
      <c r="AR873" s="1063"/>
      <c r="AS873" s="1063"/>
      <c r="AT873" s="1063"/>
      <c r="AU873" s="1063"/>
      <c r="AV873" s="1063"/>
    </row>
    <row r="874" spans="1:48" s="1108" customFormat="1" ht="27.75" customHeight="1">
      <c r="A874" s="1076"/>
      <c r="B874" s="1074">
        <f>+'[18]Bldg+Dev'!S1686</f>
        <v>0</v>
      </c>
      <c r="D874" s="1063"/>
      <c r="F874" s="1076"/>
      <c r="G874" s="1063"/>
      <c r="H874" s="1063"/>
      <c r="I874" s="1063"/>
      <c r="J874" s="1063"/>
      <c r="K874" s="1063"/>
      <c r="L874" s="1063"/>
      <c r="M874" s="1063"/>
      <c r="N874" s="1063"/>
      <c r="O874" s="1063"/>
      <c r="P874" s="1063"/>
      <c r="Q874" s="1063"/>
      <c r="R874" s="1063"/>
      <c r="S874" s="1063"/>
      <c r="T874" s="1063"/>
      <c r="U874" s="1063"/>
      <c r="V874" s="1063"/>
      <c r="W874" s="1063"/>
      <c r="X874" s="1063"/>
      <c r="Y874" s="1063"/>
      <c r="Z874" s="1063"/>
      <c r="AA874" s="1063"/>
      <c r="AB874" s="1063"/>
      <c r="AC874" s="1063"/>
      <c r="AD874" s="1063"/>
      <c r="AE874" s="1063"/>
      <c r="AF874" s="1063"/>
      <c r="AG874" s="1063"/>
      <c r="AH874" s="1063"/>
      <c r="AI874" s="1063"/>
      <c r="AJ874" s="1063"/>
      <c r="AK874" s="1063"/>
      <c r="AL874" s="1063"/>
      <c r="AM874" s="1063"/>
      <c r="AN874" s="1063"/>
      <c r="AO874" s="1063"/>
      <c r="AP874" s="1063"/>
      <c r="AQ874" s="1063"/>
      <c r="AR874" s="1063"/>
      <c r="AS874" s="1063"/>
      <c r="AT874" s="1063"/>
      <c r="AU874" s="1063"/>
      <c r="AV874" s="1063"/>
    </row>
    <row r="875" spans="1:48" s="1108" customFormat="1" ht="27.75" customHeight="1">
      <c r="A875" s="1076"/>
      <c r="B875" s="1074">
        <f>+'[18]Bldg+Dev'!S1687</f>
        <v>0</v>
      </c>
      <c r="D875" s="1063"/>
      <c r="F875" s="1076"/>
      <c r="G875" s="1063"/>
      <c r="H875" s="1063"/>
      <c r="I875" s="1063"/>
      <c r="J875" s="1063"/>
      <c r="K875" s="1063"/>
      <c r="L875" s="1063"/>
      <c r="M875" s="1063"/>
      <c r="N875" s="1063"/>
      <c r="O875" s="1063"/>
      <c r="P875" s="1063"/>
      <c r="Q875" s="1063"/>
      <c r="R875" s="1063"/>
      <c r="S875" s="1063"/>
      <c r="T875" s="1063"/>
      <c r="U875" s="1063"/>
      <c r="V875" s="1063"/>
      <c r="W875" s="1063"/>
      <c r="X875" s="1063"/>
      <c r="Y875" s="1063"/>
      <c r="Z875" s="1063"/>
      <c r="AA875" s="1063"/>
      <c r="AB875" s="1063"/>
      <c r="AC875" s="1063"/>
      <c r="AD875" s="1063"/>
      <c r="AE875" s="1063"/>
      <c r="AF875" s="1063"/>
      <c r="AG875" s="1063"/>
      <c r="AH875" s="1063"/>
      <c r="AI875" s="1063"/>
      <c r="AJ875" s="1063"/>
      <c r="AK875" s="1063"/>
      <c r="AL875" s="1063"/>
      <c r="AM875" s="1063"/>
      <c r="AN875" s="1063"/>
      <c r="AO875" s="1063"/>
      <c r="AP875" s="1063"/>
      <c r="AQ875" s="1063"/>
      <c r="AR875" s="1063"/>
      <c r="AS875" s="1063"/>
      <c r="AT875" s="1063"/>
      <c r="AU875" s="1063"/>
      <c r="AV875" s="1063"/>
    </row>
    <row r="876" spans="1:48" s="1108" customFormat="1" ht="27.75" customHeight="1">
      <c r="A876" s="1076"/>
      <c r="B876" s="1074">
        <f>+'[18]Bldg+Dev'!S1688</f>
        <v>0</v>
      </c>
      <c r="D876" s="1063"/>
      <c r="F876" s="1076"/>
      <c r="G876" s="1063"/>
      <c r="H876" s="1063"/>
      <c r="I876" s="1063"/>
      <c r="J876" s="1063"/>
      <c r="K876" s="1063"/>
      <c r="L876" s="1063"/>
      <c r="M876" s="1063"/>
      <c r="N876" s="1063"/>
      <c r="O876" s="1063"/>
      <c r="P876" s="1063"/>
      <c r="Q876" s="1063"/>
      <c r="R876" s="1063"/>
      <c r="S876" s="1063"/>
      <c r="T876" s="1063"/>
      <c r="U876" s="1063"/>
      <c r="V876" s="1063"/>
      <c r="W876" s="1063"/>
      <c r="X876" s="1063"/>
      <c r="Y876" s="1063"/>
      <c r="Z876" s="1063"/>
      <c r="AA876" s="1063"/>
      <c r="AB876" s="1063"/>
      <c r="AC876" s="1063"/>
      <c r="AD876" s="1063"/>
      <c r="AE876" s="1063"/>
      <c r="AF876" s="1063"/>
      <c r="AG876" s="1063"/>
      <c r="AH876" s="1063"/>
      <c r="AI876" s="1063"/>
      <c r="AJ876" s="1063"/>
      <c r="AK876" s="1063"/>
      <c r="AL876" s="1063"/>
      <c r="AM876" s="1063"/>
      <c r="AN876" s="1063"/>
      <c r="AO876" s="1063"/>
      <c r="AP876" s="1063"/>
      <c r="AQ876" s="1063"/>
      <c r="AR876" s="1063"/>
      <c r="AS876" s="1063"/>
      <c r="AT876" s="1063"/>
      <c r="AU876" s="1063"/>
      <c r="AV876" s="1063"/>
    </row>
    <row r="877" spans="1:48" s="1108" customFormat="1" ht="27.75" customHeight="1">
      <c r="A877" s="1076"/>
      <c r="B877" s="1074">
        <f>+'[18]Bldg+Dev'!S1689</f>
        <v>0</v>
      </c>
      <c r="D877" s="1063"/>
      <c r="F877" s="1076"/>
      <c r="G877" s="1063"/>
      <c r="H877" s="1063"/>
      <c r="I877" s="1063"/>
      <c r="J877" s="1063"/>
      <c r="K877" s="1063"/>
      <c r="L877" s="1063"/>
      <c r="M877" s="1063"/>
      <c r="N877" s="1063"/>
      <c r="O877" s="1063"/>
      <c r="P877" s="1063"/>
      <c r="Q877" s="1063"/>
      <c r="R877" s="1063"/>
      <c r="S877" s="1063"/>
      <c r="T877" s="1063"/>
      <c r="U877" s="1063"/>
      <c r="V877" s="1063"/>
      <c r="W877" s="1063"/>
      <c r="X877" s="1063"/>
      <c r="Y877" s="1063"/>
      <c r="Z877" s="1063"/>
      <c r="AA877" s="1063"/>
      <c r="AB877" s="1063"/>
      <c r="AC877" s="1063"/>
      <c r="AD877" s="1063"/>
      <c r="AE877" s="1063"/>
      <c r="AF877" s="1063"/>
      <c r="AG877" s="1063"/>
      <c r="AH877" s="1063"/>
      <c r="AI877" s="1063"/>
      <c r="AJ877" s="1063"/>
      <c r="AK877" s="1063"/>
      <c r="AL877" s="1063"/>
      <c r="AM877" s="1063"/>
      <c r="AN877" s="1063"/>
      <c r="AO877" s="1063"/>
      <c r="AP877" s="1063"/>
      <c r="AQ877" s="1063"/>
      <c r="AR877" s="1063"/>
      <c r="AS877" s="1063"/>
      <c r="AT877" s="1063"/>
      <c r="AU877" s="1063"/>
      <c r="AV877" s="1063"/>
    </row>
    <row r="878" spans="1:48" s="1108" customFormat="1" ht="27.75" customHeight="1">
      <c r="A878" s="1076"/>
      <c r="B878" s="1074">
        <f>+'[18]Bldg+Dev'!S1690</f>
        <v>0</v>
      </c>
      <c r="D878" s="1063"/>
      <c r="F878" s="1076"/>
      <c r="G878" s="1063"/>
      <c r="H878" s="1063"/>
      <c r="I878" s="1063"/>
      <c r="J878" s="1063"/>
      <c r="K878" s="1063"/>
      <c r="L878" s="1063"/>
      <c r="M878" s="1063"/>
      <c r="N878" s="1063"/>
      <c r="O878" s="1063"/>
      <c r="P878" s="1063"/>
      <c r="Q878" s="1063"/>
      <c r="R878" s="1063"/>
      <c r="S878" s="1063"/>
      <c r="T878" s="1063"/>
      <c r="U878" s="1063"/>
      <c r="V878" s="1063"/>
      <c r="W878" s="1063"/>
      <c r="X878" s="1063"/>
      <c r="Y878" s="1063"/>
      <c r="Z878" s="1063"/>
      <c r="AA878" s="1063"/>
      <c r="AB878" s="1063"/>
      <c r="AC878" s="1063"/>
      <c r="AD878" s="1063"/>
      <c r="AE878" s="1063"/>
      <c r="AF878" s="1063"/>
      <c r="AG878" s="1063"/>
      <c r="AH878" s="1063"/>
      <c r="AI878" s="1063"/>
      <c r="AJ878" s="1063"/>
      <c r="AK878" s="1063"/>
      <c r="AL878" s="1063"/>
      <c r="AM878" s="1063"/>
      <c r="AN878" s="1063"/>
      <c r="AO878" s="1063"/>
      <c r="AP878" s="1063"/>
      <c r="AQ878" s="1063"/>
      <c r="AR878" s="1063"/>
      <c r="AS878" s="1063"/>
      <c r="AT878" s="1063"/>
      <c r="AU878" s="1063"/>
      <c r="AV878" s="1063"/>
    </row>
    <row r="879" spans="1:48" s="1108" customFormat="1" ht="27.75" customHeight="1">
      <c r="A879" s="1076"/>
      <c r="B879" s="1074">
        <f>+'[18]Bldg+Dev'!S1691</f>
        <v>0</v>
      </c>
      <c r="D879" s="1063"/>
      <c r="F879" s="1076"/>
      <c r="G879" s="1063"/>
      <c r="H879" s="1063"/>
      <c r="I879" s="1063"/>
      <c r="J879" s="1063"/>
      <c r="K879" s="1063"/>
      <c r="L879" s="1063"/>
      <c r="M879" s="1063"/>
      <c r="N879" s="1063"/>
      <c r="O879" s="1063"/>
      <c r="P879" s="1063"/>
      <c r="Q879" s="1063"/>
      <c r="R879" s="1063"/>
      <c r="S879" s="1063"/>
      <c r="T879" s="1063"/>
      <c r="U879" s="1063"/>
      <c r="V879" s="1063"/>
      <c r="W879" s="1063"/>
      <c r="X879" s="1063"/>
      <c r="Y879" s="1063"/>
      <c r="Z879" s="1063"/>
      <c r="AA879" s="1063"/>
      <c r="AB879" s="1063"/>
      <c r="AC879" s="1063"/>
      <c r="AD879" s="1063"/>
      <c r="AE879" s="1063"/>
      <c r="AF879" s="1063"/>
      <c r="AG879" s="1063"/>
      <c r="AH879" s="1063"/>
      <c r="AI879" s="1063"/>
      <c r="AJ879" s="1063"/>
      <c r="AK879" s="1063"/>
      <c r="AL879" s="1063"/>
      <c r="AM879" s="1063"/>
      <c r="AN879" s="1063"/>
      <c r="AO879" s="1063"/>
      <c r="AP879" s="1063"/>
      <c r="AQ879" s="1063"/>
      <c r="AR879" s="1063"/>
      <c r="AS879" s="1063"/>
      <c r="AT879" s="1063"/>
      <c r="AU879" s="1063"/>
      <c r="AV879" s="1063"/>
    </row>
    <row r="880" spans="1:48" s="1108" customFormat="1" ht="27.75" customHeight="1">
      <c r="A880" s="1076"/>
      <c r="B880" s="1074">
        <f>+'[18]Bldg+Dev'!S1692</f>
        <v>0</v>
      </c>
      <c r="D880" s="1063"/>
      <c r="F880" s="1076"/>
      <c r="G880" s="1063"/>
      <c r="H880" s="1063"/>
      <c r="I880" s="1063"/>
      <c r="J880" s="1063"/>
      <c r="K880" s="1063"/>
      <c r="L880" s="1063"/>
      <c r="M880" s="1063"/>
      <c r="N880" s="1063"/>
      <c r="O880" s="1063"/>
      <c r="P880" s="1063"/>
      <c r="Q880" s="1063"/>
      <c r="R880" s="1063"/>
      <c r="S880" s="1063"/>
      <c r="T880" s="1063"/>
      <c r="U880" s="1063"/>
      <c r="V880" s="1063"/>
      <c r="W880" s="1063"/>
      <c r="X880" s="1063"/>
      <c r="Y880" s="1063"/>
      <c r="Z880" s="1063"/>
      <c r="AA880" s="1063"/>
      <c r="AB880" s="1063"/>
      <c r="AC880" s="1063"/>
      <c r="AD880" s="1063"/>
      <c r="AE880" s="1063"/>
      <c r="AF880" s="1063"/>
      <c r="AG880" s="1063"/>
      <c r="AH880" s="1063"/>
      <c r="AI880" s="1063"/>
      <c r="AJ880" s="1063"/>
      <c r="AK880" s="1063"/>
      <c r="AL880" s="1063"/>
      <c r="AM880" s="1063"/>
      <c r="AN880" s="1063"/>
      <c r="AO880" s="1063"/>
      <c r="AP880" s="1063"/>
      <c r="AQ880" s="1063"/>
      <c r="AR880" s="1063"/>
      <c r="AS880" s="1063"/>
      <c r="AT880" s="1063"/>
      <c r="AU880" s="1063"/>
      <c r="AV880" s="1063"/>
    </row>
    <row r="881" spans="1:48" s="1108" customFormat="1" ht="27.75" customHeight="1">
      <c r="A881" s="1076"/>
      <c r="B881" s="1074">
        <f>+'[18]Bldg+Dev'!S1693</f>
        <v>0</v>
      </c>
      <c r="D881" s="1063"/>
      <c r="F881" s="1076"/>
      <c r="G881" s="1063"/>
      <c r="H881" s="1063"/>
      <c r="I881" s="1063"/>
      <c r="J881" s="1063"/>
      <c r="K881" s="1063"/>
      <c r="L881" s="1063"/>
      <c r="M881" s="1063"/>
      <c r="N881" s="1063"/>
      <c r="O881" s="1063"/>
      <c r="P881" s="1063"/>
      <c r="Q881" s="1063"/>
      <c r="R881" s="1063"/>
      <c r="S881" s="1063"/>
      <c r="T881" s="1063"/>
      <c r="U881" s="1063"/>
      <c r="V881" s="1063"/>
      <c r="W881" s="1063"/>
      <c r="X881" s="1063"/>
      <c r="Y881" s="1063"/>
      <c r="Z881" s="1063"/>
      <c r="AA881" s="1063"/>
      <c r="AB881" s="1063"/>
      <c r="AC881" s="1063"/>
      <c r="AD881" s="1063"/>
      <c r="AE881" s="1063"/>
      <c r="AF881" s="1063"/>
      <c r="AG881" s="1063"/>
      <c r="AH881" s="1063"/>
      <c r="AI881" s="1063"/>
      <c r="AJ881" s="1063"/>
      <c r="AK881" s="1063"/>
      <c r="AL881" s="1063"/>
      <c r="AM881" s="1063"/>
      <c r="AN881" s="1063"/>
      <c r="AO881" s="1063"/>
      <c r="AP881" s="1063"/>
      <c r="AQ881" s="1063"/>
      <c r="AR881" s="1063"/>
      <c r="AS881" s="1063"/>
      <c r="AT881" s="1063"/>
      <c r="AU881" s="1063"/>
      <c r="AV881" s="1063"/>
    </row>
    <row r="882" spans="1:48" s="1108" customFormat="1" ht="27.75" customHeight="1">
      <c r="A882" s="1076"/>
      <c r="B882" s="1074">
        <f>+'[18]Bldg+Dev'!S1694</f>
        <v>0</v>
      </c>
      <c r="D882" s="1063"/>
      <c r="F882" s="1076"/>
      <c r="G882" s="1063"/>
      <c r="H882" s="1063"/>
      <c r="I882" s="1063"/>
      <c r="J882" s="1063"/>
      <c r="K882" s="1063"/>
      <c r="L882" s="1063"/>
      <c r="M882" s="1063"/>
      <c r="N882" s="1063"/>
      <c r="O882" s="1063"/>
      <c r="P882" s="1063"/>
      <c r="Q882" s="1063"/>
      <c r="R882" s="1063"/>
      <c r="S882" s="1063"/>
      <c r="T882" s="1063"/>
      <c r="U882" s="1063"/>
      <c r="V882" s="1063"/>
      <c r="W882" s="1063"/>
      <c r="X882" s="1063"/>
      <c r="Y882" s="1063"/>
      <c r="Z882" s="1063"/>
      <c r="AA882" s="1063"/>
      <c r="AB882" s="1063"/>
      <c r="AC882" s="1063"/>
      <c r="AD882" s="1063"/>
      <c r="AE882" s="1063"/>
      <c r="AF882" s="1063"/>
      <c r="AG882" s="1063"/>
      <c r="AH882" s="1063"/>
      <c r="AI882" s="1063"/>
      <c r="AJ882" s="1063"/>
      <c r="AK882" s="1063"/>
      <c r="AL882" s="1063"/>
      <c r="AM882" s="1063"/>
      <c r="AN882" s="1063"/>
      <c r="AO882" s="1063"/>
      <c r="AP882" s="1063"/>
      <c r="AQ882" s="1063"/>
      <c r="AR882" s="1063"/>
      <c r="AS882" s="1063"/>
      <c r="AT882" s="1063"/>
      <c r="AU882" s="1063"/>
      <c r="AV882" s="1063"/>
    </row>
    <row r="883" spans="1:48" s="1108" customFormat="1" ht="27.75" customHeight="1">
      <c r="A883" s="1076"/>
      <c r="B883" s="1074">
        <f>+'[18]Bldg+Dev'!S1695</f>
        <v>0</v>
      </c>
      <c r="D883" s="1063"/>
      <c r="F883" s="1076"/>
      <c r="G883" s="1063"/>
      <c r="H883" s="1063"/>
      <c r="I883" s="1063"/>
      <c r="J883" s="1063"/>
      <c r="K883" s="1063"/>
      <c r="L883" s="1063"/>
      <c r="M883" s="1063"/>
      <c r="N883" s="1063"/>
      <c r="O883" s="1063"/>
      <c r="P883" s="1063"/>
      <c r="Q883" s="1063"/>
      <c r="R883" s="1063"/>
      <c r="S883" s="1063"/>
      <c r="T883" s="1063"/>
      <c r="U883" s="1063"/>
      <c r="V883" s="1063"/>
      <c r="W883" s="1063"/>
      <c r="X883" s="1063"/>
      <c r="Y883" s="1063"/>
      <c r="Z883" s="1063"/>
      <c r="AA883" s="1063"/>
      <c r="AB883" s="1063"/>
      <c r="AC883" s="1063"/>
      <c r="AD883" s="1063"/>
      <c r="AE883" s="1063"/>
      <c r="AF883" s="1063"/>
      <c r="AG883" s="1063"/>
      <c r="AH883" s="1063"/>
      <c r="AI883" s="1063"/>
      <c r="AJ883" s="1063"/>
      <c r="AK883" s="1063"/>
      <c r="AL883" s="1063"/>
      <c r="AM883" s="1063"/>
      <c r="AN883" s="1063"/>
      <c r="AO883" s="1063"/>
      <c r="AP883" s="1063"/>
      <c r="AQ883" s="1063"/>
      <c r="AR883" s="1063"/>
      <c r="AS883" s="1063"/>
      <c r="AT883" s="1063"/>
      <c r="AU883" s="1063"/>
      <c r="AV883" s="1063"/>
    </row>
    <row r="884" spans="1:48" s="1108" customFormat="1" ht="27.75" customHeight="1">
      <c r="A884" s="1076"/>
      <c r="B884" s="1074">
        <f>+'[18]Bldg+Dev'!S1696</f>
        <v>0</v>
      </c>
      <c r="D884" s="1063"/>
      <c r="F884" s="1076"/>
      <c r="G884" s="1063"/>
      <c r="H884" s="1063"/>
      <c r="I884" s="1063"/>
      <c r="J884" s="1063"/>
      <c r="K884" s="1063"/>
      <c r="L884" s="1063"/>
      <c r="M884" s="1063"/>
      <c r="N884" s="1063"/>
      <c r="O884" s="1063"/>
      <c r="P884" s="1063"/>
      <c r="Q884" s="1063"/>
      <c r="R884" s="1063"/>
      <c r="S884" s="1063"/>
      <c r="T884" s="1063"/>
      <c r="U884" s="1063"/>
      <c r="V884" s="1063"/>
      <c r="W884" s="1063"/>
      <c r="X884" s="1063"/>
      <c r="Y884" s="1063"/>
      <c r="Z884" s="1063"/>
      <c r="AA884" s="1063"/>
      <c r="AB884" s="1063"/>
      <c r="AC884" s="1063"/>
      <c r="AD884" s="1063"/>
      <c r="AE884" s="1063"/>
      <c r="AF884" s="1063"/>
      <c r="AG884" s="1063"/>
      <c r="AH884" s="1063"/>
      <c r="AI884" s="1063"/>
      <c r="AJ884" s="1063"/>
      <c r="AK884" s="1063"/>
      <c r="AL884" s="1063"/>
      <c r="AM884" s="1063"/>
      <c r="AN884" s="1063"/>
      <c r="AO884" s="1063"/>
      <c r="AP884" s="1063"/>
      <c r="AQ884" s="1063"/>
      <c r="AR884" s="1063"/>
      <c r="AS884" s="1063"/>
      <c r="AT884" s="1063"/>
      <c r="AU884" s="1063"/>
      <c r="AV884" s="1063"/>
    </row>
    <row r="885" spans="1:48" s="1108" customFormat="1" ht="27.75" customHeight="1">
      <c r="A885" s="1076"/>
      <c r="B885" s="1074">
        <f>+'[18]Bldg+Dev'!S1697</f>
        <v>0</v>
      </c>
      <c r="D885" s="1063"/>
      <c r="F885" s="1076"/>
      <c r="G885" s="1063"/>
      <c r="H885" s="1063"/>
      <c r="I885" s="1063"/>
      <c r="J885" s="1063"/>
      <c r="K885" s="1063"/>
      <c r="L885" s="1063"/>
      <c r="M885" s="1063"/>
      <c r="N885" s="1063"/>
      <c r="O885" s="1063"/>
      <c r="P885" s="1063"/>
      <c r="Q885" s="1063"/>
      <c r="R885" s="1063"/>
      <c r="S885" s="1063"/>
      <c r="T885" s="1063"/>
      <c r="U885" s="1063"/>
      <c r="V885" s="1063"/>
      <c r="W885" s="1063"/>
      <c r="X885" s="1063"/>
      <c r="Y885" s="1063"/>
      <c r="Z885" s="1063"/>
      <c r="AA885" s="1063"/>
      <c r="AB885" s="1063"/>
      <c r="AC885" s="1063"/>
      <c r="AD885" s="1063"/>
      <c r="AE885" s="1063"/>
      <c r="AF885" s="1063"/>
      <c r="AG885" s="1063"/>
      <c r="AH885" s="1063"/>
      <c r="AI885" s="1063"/>
      <c r="AJ885" s="1063"/>
      <c r="AK885" s="1063"/>
      <c r="AL885" s="1063"/>
      <c r="AM885" s="1063"/>
      <c r="AN885" s="1063"/>
      <c r="AO885" s="1063"/>
      <c r="AP885" s="1063"/>
      <c r="AQ885" s="1063"/>
      <c r="AR885" s="1063"/>
      <c r="AS885" s="1063"/>
      <c r="AT885" s="1063"/>
      <c r="AU885" s="1063"/>
      <c r="AV885" s="1063"/>
    </row>
    <row r="886" spans="1:48" s="1108" customFormat="1" ht="27.75" customHeight="1">
      <c r="A886" s="1076"/>
      <c r="B886" s="1074">
        <f>+'[18]Bldg+Dev'!S1698</f>
        <v>0</v>
      </c>
      <c r="D886" s="1063"/>
      <c r="F886" s="1076"/>
      <c r="G886" s="1063"/>
      <c r="H886" s="1063"/>
      <c r="I886" s="1063"/>
      <c r="J886" s="1063"/>
      <c r="K886" s="1063"/>
      <c r="L886" s="1063"/>
      <c r="M886" s="1063"/>
      <c r="N886" s="1063"/>
      <c r="O886" s="1063"/>
      <c r="P886" s="1063"/>
      <c r="Q886" s="1063"/>
      <c r="R886" s="1063"/>
      <c r="S886" s="1063"/>
      <c r="T886" s="1063"/>
      <c r="U886" s="1063"/>
      <c r="V886" s="1063"/>
      <c r="W886" s="1063"/>
      <c r="X886" s="1063"/>
      <c r="Y886" s="1063"/>
      <c r="Z886" s="1063"/>
      <c r="AA886" s="1063"/>
      <c r="AB886" s="1063"/>
      <c r="AC886" s="1063"/>
      <c r="AD886" s="1063"/>
      <c r="AE886" s="1063"/>
      <c r="AF886" s="1063"/>
      <c r="AG886" s="1063"/>
      <c r="AH886" s="1063"/>
      <c r="AI886" s="1063"/>
      <c r="AJ886" s="1063"/>
      <c r="AK886" s="1063"/>
      <c r="AL886" s="1063"/>
      <c r="AM886" s="1063"/>
      <c r="AN886" s="1063"/>
      <c r="AO886" s="1063"/>
      <c r="AP886" s="1063"/>
      <c r="AQ886" s="1063"/>
      <c r="AR886" s="1063"/>
      <c r="AS886" s="1063"/>
      <c r="AT886" s="1063"/>
      <c r="AU886" s="1063"/>
      <c r="AV886" s="1063"/>
    </row>
    <row r="887" spans="1:48" s="1108" customFormat="1" ht="27.75" customHeight="1">
      <c r="A887" s="1076"/>
      <c r="B887" s="1074">
        <f>+'[18]Bldg+Dev'!S1699</f>
        <v>0</v>
      </c>
      <c r="D887" s="1063"/>
      <c r="F887" s="1076"/>
      <c r="G887" s="1063"/>
      <c r="H887" s="1063"/>
      <c r="I887" s="1063"/>
      <c r="J887" s="1063"/>
      <c r="K887" s="1063"/>
      <c r="L887" s="1063"/>
      <c r="M887" s="1063"/>
      <c r="N887" s="1063"/>
      <c r="O887" s="1063"/>
      <c r="P887" s="1063"/>
      <c r="Q887" s="1063"/>
      <c r="R887" s="1063"/>
      <c r="S887" s="1063"/>
      <c r="T887" s="1063"/>
      <c r="U887" s="1063"/>
      <c r="V887" s="1063"/>
      <c r="W887" s="1063"/>
      <c r="X887" s="1063"/>
      <c r="Y887" s="1063"/>
      <c r="Z887" s="1063"/>
      <c r="AA887" s="1063"/>
      <c r="AB887" s="1063"/>
      <c r="AC887" s="1063"/>
      <c r="AD887" s="1063"/>
      <c r="AE887" s="1063"/>
      <c r="AF887" s="1063"/>
      <c r="AG887" s="1063"/>
      <c r="AH887" s="1063"/>
      <c r="AI887" s="1063"/>
      <c r="AJ887" s="1063"/>
      <c r="AK887" s="1063"/>
      <c r="AL887" s="1063"/>
      <c r="AM887" s="1063"/>
      <c r="AN887" s="1063"/>
      <c r="AO887" s="1063"/>
      <c r="AP887" s="1063"/>
      <c r="AQ887" s="1063"/>
      <c r="AR887" s="1063"/>
      <c r="AS887" s="1063"/>
      <c r="AT887" s="1063"/>
      <c r="AU887" s="1063"/>
      <c r="AV887" s="1063"/>
    </row>
    <row r="888" spans="1:48" s="1108" customFormat="1" ht="27.75" customHeight="1">
      <c r="A888" s="1076"/>
      <c r="B888" s="1074">
        <f>+'[18]Bldg+Dev'!S1700</f>
        <v>0</v>
      </c>
      <c r="D888" s="1063"/>
      <c r="F888" s="1076"/>
      <c r="G888" s="1063"/>
      <c r="H888" s="1063"/>
      <c r="I888" s="1063"/>
      <c r="J888" s="1063"/>
      <c r="K888" s="1063"/>
      <c r="L888" s="1063"/>
      <c r="M888" s="1063"/>
      <c r="N888" s="1063"/>
      <c r="O888" s="1063"/>
      <c r="P888" s="1063"/>
      <c r="Q888" s="1063"/>
      <c r="R888" s="1063"/>
      <c r="S888" s="1063"/>
      <c r="T888" s="1063"/>
      <c r="U888" s="1063"/>
      <c r="V888" s="1063"/>
      <c r="W888" s="1063"/>
      <c r="X888" s="1063"/>
      <c r="Y888" s="1063"/>
      <c r="Z888" s="1063"/>
      <c r="AA888" s="1063"/>
      <c r="AB888" s="1063"/>
      <c r="AC888" s="1063"/>
      <c r="AD888" s="1063"/>
      <c r="AE888" s="1063"/>
      <c r="AF888" s="1063"/>
      <c r="AG888" s="1063"/>
      <c r="AH888" s="1063"/>
      <c r="AI888" s="1063"/>
      <c r="AJ888" s="1063"/>
      <c r="AK888" s="1063"/>
      <c r="AL888" s="1063"/>
      <c r="AM888" s="1063"/>
      <c r="AN888" s="1063"/>
      <c r="AO888" s="1063"/>
      <c r="AP888" s="1063"/>
      <c r="AQ888" s="1063"/>
      <c r="AR888" s="1063"/>
      <c r="AS888" s="1063"/>
      <c r="AT888" s="1063"/>
      <c r="AU888" s="1063"/>
      <c r="AV888" s="1063"/>
    </row>
    <row r="889" spans="1:48" s="1108" customFormat="1" ht="27.75" customHeight="1">
      <c r="A889" s="1076"/>
      <c r="B889" s="1074">
        <f>+'[18]Bldg+Dev'!S1701</f>
        <v>0</v>
      </c>
      <c r="D889" s="1063"/>
      <c r="F889" s="1076"/>
      <c r="G889" s="1063"/>
      <c r="H889" s="1063"/>
      <c r="I889" s="1063"/>
      <c r="J889" s="1063"/>
      <c r="K889" s="1063"/>
      <c r="L889" s="1063"/>
      <c r="M889" s="1063"/>
      <c r="N889" s="1063"/>
      <c r="O889" s="1063"/>
      <c r="P889" s="1063"/>
      <c r="Q889" s="1063"/>
      <c r="R889" s="1063"/>
      <c r="S889" s="1063"/>
      <c r="T889" s="1063"/>
      <c r="U889" s="1063"/>
      <c r="V889" s="1063"/>
      <c r="W889" s="1063"/>
      <c r="X889" s="1063"/>
      <c r="Y889" s="1063"/>
      <c r="Z889" s="1063"/>
      <c r="AA889" s="1063"/>
      <c r="AB889" s="1063"/>
      <c r="AC889" s="1063"/>
      <c r="AD889" s="1063"/>
      <c r="AE889" s="1063"/>
      <c r="AF889" s="1063"/>
      <c r="AG889" s="1063"/>
      <c r="AH889" s="1063"/>
      <c r="AI889" s="1063"/>
      <c r="AJ889" s="1063"/>
      <c r="AK889" s="1063"/>
      <c r="AL889" s="1063"/>
      <c r="AM889" s="1063"/>
      <c r="AN889" s="1063"/>
      <c r="AO889" s="1063"/>
      <c r="AP889" s="1063"/>
      <c r="AQ889" s="1063"/>
      <c r="AR889" s="1063"/>
      <c r="AS889" s="1063"/>
      <c r="AT889" s="1063"/>
      <c r="AU889" s="1063"/>
      <c r="AV889" s="1063"/>
    </row>
    <row r="890" spans="1:48" s="1108" customFormat="1" ht="27.75" customHeight="1">
      <c r="A890" s="1076"/>
      <c r="B890" s="1074">
        <f>+'[18]Bldg+Dev'!S1702</f>
        <v>0</v>
      </c>
      <c r="D890" s="1063"/>
      <c r="F890" s="1076"/>
      <c r="G890" s="1063"/>
      <c r="H890" s="1063"/>
      <c r="I890" s="1063"/>
      <c r="J890" s="1063"/>
      <c r="K890" s="1063"/>
      <c r="L890" s="1063"/>
      <c r="M890" s="1063"/>
      <c r="N890" s="1063"/>
      <c r="O890" s="1063"/>
      <c r="P890" s="1063"/>
      <c r="Q890" s="1063"/>
      <c r="R890" s="1063"/>
      <c r="S890" s="1063"/>
      <c r="T890" s="1063"/>
      <c r="U890" s="1063"/>
      <c r="V890" s="1063"/>
      <c r="W890" s="1063"/>
      <c r="X890" s="1063"/>
      <c r="Y890" s="1063"/>
      <c r="Z890" s="1063"/>
      <c r="AA890" s="1063"/>
      <c r="AB890" s="1063"/>
      <c r="AC890" s="1063"/>
      <c r="AD890" s="1063"/>
      <c r="AE890" s="1063"/>
      <c r="AF890" s="1063"/>
      <c r="AG890" s="1063"/>
      <c r="AH890" s="1063"/>
      <c r="AI890" s="1063"/>
      <c r="AJ890" s="1063"/>
      <c r="AK890" s="1063"/>
      <c r="AL890" s="1063"/>
      <c r="AM890" s="1063"/>
      <c r="AN890" s="1063"/>
      <c r="AO890" s="1063"/>
      <c r="AP890" s="1063"/>
      <c r="AQ890" s="1063"/>
      <c r="AR890" s="1063"/>
      <c r="AS890" s="1063"/>
      <c r="AT890" s="1063"/>
      <c r="AU890" s="1063"/>
      <c r="AV890" s="1063"/>
    </row>
    <row r="891" spans="1:48" s="1108" customFormat="1" ht="27.75" customHeight="1">
      <c r="A891" s="1076"/>
      <c r="B891" s="1074">
        <f>+'[18]Bldg+Dev'!S1703</f>
        <v>0</v>
      </c>
      <c r="D891" s="1063"/>
      <c r="F891" s="1076"/>
      <c r="G891" s="1063"/>
      <c r="H891" s="1063"/>
      <c r="I891" s="1063"/>
      <c r="J891" s="1063"/>
      <c r="K891" s="1063"/>
      <c r="L891" s="1063"/>
      <c r="M891" s="1063"/>
      <c r="N891" s="1063"/>
      <c r="O891" s="1063"/>
      <c r="P891" s="1063"/>
      <c r="Q891" s="1063"/>
      <c r="R891" s="1063"/>
      <c r="S891" s="1063"/>
      <c r="T891" s="1063"/>
      <c r="U891" s="1063"/>
      <c r="V891" s="1063"/>
      <c r="W891" s="1063"/>
      <c r="X891" s="1063"/>
      <c r="Y891" s="1063"/>
      <c r="Z891" s="1063"/>
      <c r="AA891" s="1063"/>
      <c r="AB891" s="1063"/>
      <c r="AC891" s="1063"/>
      <c r="AD891" s="1063"/>
      <c r="AE891" s="1063"/>
      <c r="AF891" s="1063"/>
      <c r="AG891" s="1063"/>
      <c r="AH891" s="1063"/>
      <c r="AI891" s="1063"/>
      <c r="AJ891" s="1063"/>
      <c r="AK891" s="1063"/>
      <c r="AL891" s="1063"/>
      <c r="AM891" s="1063"/>
      <c r="AN891" s="1063"/>
      <c r="AO891" s="1063"/>
      <c r="AP891" s="1063"/>
      <c r="AQ891" s="1063"/>
      <c r="AR891" s="1063"/>
      <c r="AS891" s="1063"/>
      <c r="AT891" s="1063"/>
      <c r="AU891" s="1063"/>
      <c r="AV891" s="1063"/>
    </row>
    <row r="892" spans="1:48" s="1108" customFormat="1" ht="27.75" customHeight="1">
      <c r="A892" s="1076"/>
      <c r="B892" s="1074">
        <f>+'[18]Bldg+Dev'!S1704</f>
        <v>0</v>
      </c>
      <c r="D892" s="1063"/>
      <c r="F892" s="1076"/>
      <c r="G892" s="1063"/>
      <c r="H892" s="1063"/>
      <c r="I892" s="1063"/>
      <c r="J892" s="1063"/>
      <c r="K892" s="1063"/>
      <c r="L892" s="1063"/>
      <c r="M892" s="1063"/>
      <c r="N892" s="1063"/>
      <c r="O892" s="1063"/>
      <c r="P892" s="1063"/>
      <c r="Q892" s="1063"/>
      <c r="R892" s="1063"/>
      <c r="S892" s="1063"/>
      <c r="T892" s="1063"/>
      <c r="U892" s="1063"/>
      <c r="V892" s="1063"/>
      <c r="W892" s="1063"/>
      <c r="X892" s="1063"/>
      <c r="Y892" s="1063"/>
      <c r="Z892" s="1063"/>
      <c r="AA892" s="1063"/>
      <c r="AB892" s="1063"/>
      <c r="AC892" s="1063"/>
      <c r="AD892" s="1063"/>
      <c r="AE892" s="1063"/>
      <c r="AF892" s="1063"/>
      <c r="AG892" s="1063"/>
      <c r="AH892" s="1063"/>
      <c r="AI892" s="1063"/>
      <c r="AJ892" s="1063"/>
      <c r="AK892" s="1063"/>
      <c r="AL892" s="1063"/>
      <c r="AM892" s="1063"/>
      <c r="AN892" s="1063"/>
      <c r="AO892" s="1063"/>
      <c r="AP892" s="1063"/>
      <c r="AQ892" s="1063"/>
      <c r="AR892" s="1063"/>
      <c r="AS892" s="1063"/>
      <c r="AT892" s="1063"/>
      <c r="AU892" s="1063"/>
      <c r="AV892" s="1063"/>
    </row>
    <row r="893" spans="1:48" s="1108" customFormat="1" ht="27.75" customHeight="1">
      <c r="A893" s="1076"/>
      <c r="B893" s="1074">
        <f>+'[18]Bldg+Dev'!S1705</f>
        <v>0</v>
      </c>
      <c r="D893" s="1063"/>
      <c r="F893" s="1076"/>
      <c r="G893" s="1063"/>
      <c r="H893" s="1063"/>
      <c r="I893" s="1063"/>
      <c r="J893" s="1063"/>
      <c r="K893" s="1063"/>
      <c r="L893" s="1063"/>
      <c r="M893" s="1063"/>
      <c r="N893" s="1063"/>
      <c r="O893" s="1063"/>
      <c r="P893" s="1063"/>
      <c r="Q893" s="1063"/>
      <c r="R893" s="1063"/>
      <c r="S893" s="1063"/>
      <c r="T893" s="1063"/>
      <c r="U893" s="1063"/>
      <c r="V893" s="1063"/>
      <c r="W893" s="1063"/>
      <c r="X893" s="1063"/>
      <c r="Y893" s="1063"/>
      <c r="Z893" s="1063"/>
      <c r="AA893" s="1063"/>
      <c r="AB893" s="1063"/>
      <c r="AC893" s="1063"/>
      <c r="AD893" s="1063"/>
      <c r="AE893" s="1063"/>
      <c r="AF893" s="1063"/>
      <c r="AG893" s="1063"/>
      <c r="AH893" s="1063"/>
      <c r="AI893" s="1063"/>
      <c r="AJ893" s="1063"/>
      <c r="AK893" s="1063"/>
      <c r="AL893" s="1063"/>
      <c r="AM893" s="1063"/>
      <c r="AN893" s="1063"/>
      <c r="AO893" s="1063"/>
      <c r="AP893" s="1063"/>
      <c r="AQ893" s="1063"/>
      <c r="AR893" s="1063"/>
      <c r="AS893" s="1063"/>
      <c r="AT893" s="1063"/>
      <c r="AU893" s="1063"/>
      <c r="AV893" s="1063"/>
    </row>
    <row r="894" spans="1:48" s="1108" customFormat="1" ht="27.75" customHeight="1">
      <c r="A894" s="1076"/>
      <c r="B894" s="1074">
        <f>+'[18]Bldg+Dev'!S1706</f>
        <v>0</v>
      </c>
      <c r="D894" s="1063"/>
      <c r="F894" s="1076"/>
      <c r="G894" s="1063"/>
      <c r="H894" s="1063"/>
      <c r="I894" s="1063"/>
      <c r="J894" s="1063"/>
      <c r="K894" s="1063"/>
      <c r="L894" s="1063"/>
      <c r="M894" s="1063"/>
      <c r="N894" s="1063"/>
      <c r="O894" s="1063"/>
      <c r="P894" s="1063"/>
      <c r="Q894" s="1063"/>
      <c r="R894" s="1063"/>
      <c r="S894" s="1063"/>
      <c r="T894" s="1063"/>
      <c r="U894" s="1063"/>
      <c r="V894" s="1063"/>
      <c r="W894" s="1063"/>
      <c r="X894" s="1063"/>
      <c r="Y894" s="1063"/>
      <c r="Z894" s="1063"/>
      <c r="AA894" s="1063"/>
      <c r="AB894" s="1063"/>
      <c r="AC894" s="1063"/>
      <c r="AD894" s="1063"/>
      <c r="AE894" s="1063"/>
      <c r="AF894" s="1063"/>
      <c r="AG894" s="1063"/>
      <c r="AH894" s="1063"/>
      <c r="AI894" s="1063"/>
      <c r="AJ894" s="1063"/>
      <c r="AK894" s="1063"/>
      <c r="AL894" s="1063"/>
      <c r="AM894" s="1063"/>
      <c r="AN894" s="1063"/>
      <c r="AO894" s="1063"/>
      <c r="AP894" s="1063"/>
      <c r="AQ894" s="1063"/>
      <c r="AR894" s="1063"/>
      <c r="AS894" s="1063"/>
      <c r="AT894" s="1063"/>
      <c r="AU894" s="1063"/>
      <c r="AV894" s="1063"/>
    </row>
    <row r="895" spans="1:48" s="1108" customFormat="1" ht="27.75" customHeight="1">
      <c r="A895" s="1076"/>
      <c r="B895" s="1074">
        <f>+'[18]Bldg+Dev'!S1707</f>
        <v>0</v>
      </c>
      <c r="D895" s="1063"/>
      <c r="F895" s="1076"/>
      <c r="G895" s="1063"/>
      <c r="H895" s="1063"/>
      <c r="I895" s="1063"/>
      <c r="J895" s="1063"/>
      <c r="K895" s="1063"/>
      <c r="L895" s="1063"/>
      <c r="M895" s="1063"/>
      <c r="N895" s="1063"/>
      <c r="O895" s="1063"/>
      <c r="P895" s="1063"/>
      <c r="Q895" s="1063"/>
      <c r="R895" s="1063"/>
      <c r="S895" s="1063"/>
      <c r="T895" s="1063"/>
      <c r="U895" s="1063"/>
      <c r="V895" s="1063"/>
      <c r="W895" s="1063"/>
      <c r="X895" s="1063"/>
      <c r="Y895" s="1063"/>
      <c r="Z895" s="1063"/>
      <c r="AA895" s="1063"/>
      <c r="AB895" s="1063"/>
      <c r="AC895" s="1063"/>
      <c r="AD895" s="1063"/>
      <c r="AE895" s="1063"/>
      <c r="AF895" s="1063"/>
      <c r="AG895" s="1063"/>
      <c r="AH895" s="1063"/>
      <c r="AI895" s="1063"/>
      <c r="AJ895" s="1063"/>
      <c r="AK895" s="1063"/>
      <c r="AL895" s="1063"/>
      <c r="AM895" s="1063"/>
      <c r="AN895" s="1063"/>
      <c r="AO895" s="1063"/>
      <c r="AP895" s="1063"/>
      <c r="AQ895" s="1063"/>
      <c r="AR895" s="1063"/>
      <c r="AS895" s="1063"/>
      <c r="AT895" s="1063"/>
      <c r="AU895" s="1063"/>
      <c r="AV895" s="1063"/>
    </row>
    <row r="896" spans="1:48" s="1108" customFormat="1" ht="27.75" customHeight="1">
      <c r="A896" s="1076"/>
      <c r="B896" s="1074">
        <f>+'[18]Bldg+Dev'!S1708</f>
        <v>0</v>
      </c>
      <c r="D896" s="1063"/>
      <c r="F896" s="1076"/>
      <c r="G896" s="1063"/>
      <c r="H896" s="1063"/>
      <c r="I896" s="1063"/>
      <c r="J896" s="1063"/>
      <c r="K896" s="1063"/>
      <c r="L896" s="1063"/>
      <c r="M896" s="1063"/>
      <c r="N896" s="1063"/>
      <c r="O896" s="1063"/>
      <c r="P896" s="1063"/>
      <c r="Q896" s="1063"/>
      <c r="R896" s="1063"/>
      <c r="S896" s="1063"/>
      <c r="T896" s="1063"/>
      <c r="U896" s="1063"/>
      <c r="V896" s="1063"/>
      <c r="W896" s="1063"/>
      <c r="X896" s="1063"/>
      <c r="Y896" s="1063"/>
      <c r="Z896" s="1063"/>
      <c r="AA896" s="1063"/>
      <c r="AB896" s="1063"/>
      <c r="AC896" s="1063"/>
      <c r="AD896" s="1063"/>
      <c r="AE896" s="1063"/>
      <c r="AF896" s="1063"/>
      <c r="AG896" s="1063"/>
      <c r="AH896" s="1063"/>
      <c r="AI896" s="1063"/>
      <c r="AJ896" s="1063"/>
      <c r="AK896" s="1063"/>
      <c r="AL896" s="1063"/>
      <c r="AM896" s="1063"/>
      <c r="AN896" s="1063"/>
      <c r="AO896" s="1063"/>
      <c r="AP896" s="1063"/>
      <c r="AQ896" s="1063"/>
      <c r="AR896" s="1063"/>
      <c r="AS896" s="1063"/>
      <c r="AT896" s="1063"/>
      <c r="AU896" s="1063"/>
      <c r="AV896" s="1063"/>
    </row>
    <row r="897" spans="1:48" s="1108" customFormat="1" ht="27.75" customHeight="1">
      <c r="A897" s="1076"/>
      <c r="B897" s="1074">
        <f>+'[18]Bldg+Dev'!S1709</f>
        <v>0</v>
      </c>
      <c r="D897" s="1063"/>
      <c r="F897" s="1076"/>
      <c r="G897" s="1063"/>
      <c r="H897" s="1063"/>
      <c r="I897" s="1063"/>
      <c r="J897" s="1063"/>
      <c r="K897" s="1063"/>
      <c r="L897" s="1063"/>
      <c r="M897" s="1063"/>
      <c r="N897" s="1063"/>
      <c r="O897" s="1063"/>
      <c r="P897" s="1063"/>
      <c r="Q897" s="1063"/>
      <c r="R897" s="1063"/>
      <c r="S897" s="1063"/>
      <c r="T897" s="1063"/>
      <c r="U897" s="1063"/>
      <c r="V897" s="1063"/>
      <c r="W897" s="1063"/>
      <c r="X897" s="1063"/>
      <c r="Y897" s="1063"/>
      <c r="Z897" s="1063"/>
      <c r="AA897" s="1063"/>
      <c r="AB897" s="1063"/>
      <c r="AC897" s="1063"/>
      <c r="AD897" s="1063"/>
      <c r="AE897" s="1063"/>
      <c r="AF897" s="1063"/>
      <c r="AG897" s="1063"/>
      <c r="AH897" s="1063"/>
      <c r="AI897" s="1063"/>
      <c r="AJ897" s="1063"/>
      <c r="AK897" s="1063"/>
      <c r="AL897" s="1063"/>
      <c r="AM897" s="1063"/>
      <c r="AN897" s="1063"/>
      <c r="AO897" s="1063"/>
      <c r="AP897" s="1063"/>
      <c r="AQ897" s="1063"/>
      <c r="AR897" s="1063"/>
      <c r="AS897" s="1063"/>
      <c r="AT897" s="1063"/>
      <c r="AU897" s="1063"/>
      <c r="AV897" s="1063"/>
    </row>
    <row r="898" spans="1:48" s="1108" customFormat="1" ht="27.75" customHeight="1">
      <c r="A898" s="1076"/>
      <c r="B898" s="1074">
        <f>+'[18]Bldg+Dev'!S1710</f>
        <v>0</v>
      </c>
      <c r="D898" s="1063"/>
      <c r="F898" s="1076"/>
      <c r="G898" s="1063"/>
      <c r="H898" s="1063"/>
      <c r="I898" s="1063"/>
      <c r="J898" s="1063"/>
      <c r="K898" s="1063"/>
      <c r="L898" s="1063"/>
      <c r="M898" s="1063"/>
      <c r="N898" s="1063"/>
      <c r="O898" s="1063"/>
      <c r="P898" s="1063"/>
      <c r="Q898" s="1063"/>
      <c r="R898" s="1063"/>
      <c r="S898" s="1063"/>
      <c r="T898" s="1063"/>
      <c r="U898" s="1063"/>
      <c r="V898" s="1063"/>
      <c r="W898" s="1063"/>
      <c r="X898" s="1063"/>
      <c r="Y898" s="1063"/>
      <c r="Z898" s="1063"/>
      <c r="AA898" s="1063"/>
      <c r="AB898" s="1063"/>
      <c r="AC898" s="1063"/>
      <c r="AD898" s="1063"/>
      <c r="AE898" s="1063"/>
      <c r="AF898" s="1063"/>
      <c r="AG898" s="1063"/>
      <c r="AH898" s="1063"/>
      <c r="AI898" s="1063"/>
      <c r="AJ898" s="1063"/>
      <c r="AK898" s="1063"/>
      <c r="AL898" s="1063"/>
      <c r="AM898" s="1063"/>
      <c r="AN898" s="1063"/>
      <c r="AO898" s="1063"/>
      <c r="AP898" s="1063"/>
      <c r="AQ898" s="1063"/>
      <c r="AR898" s="1063"/>
      <c r="AS898" s="1063"/>
      <c r="AT898" s="1063"/>
      <c r="AU898" s="1063"/>
      <c r="AV898" s="1063"/>
    </row>
    <row r="899" spans="1:48" s="1108" customFormat="1" ht="27.75" customHeight="1">
      <c r="A899" s="1076"/>
      <c r="B899" s="1074">
        <f>+'[18]Bldg+Dev'!S1711</f>
        <v>0</v>
      </c>
      <c r="D899" s="1063"/>
      <c r="F899" s="1076"/>
      <c r="G899" s="1063"/>
      <c r="H899" s="1063"/>
      <c r="I899" s="1063"/>
      <c r="J899" s="1063"/>
      <c r="K899" s="1063"/>
      <c r="L899" s="1063"/>
      <c r="M899" s="1063"/>
      <c r="N899" s="1063"/>
      <c r="O899" s="1063"/>
      <c r="P899" s="1063"/>
      <c r="Q899" s="1063"/>
      <c r="R899" s="1063"/>
      <c r="S899" s="1063"/>
      <c r="T899" s="1063"/>
      <c r="U899" s="1063"/>
      <c r="V899" s="1063"/>
      <c r="W899" s="1063"/>
      <c r="X899" s="1063"/>
      <c r="Y899" s="1063"/>
      <c r="Z899" s="1063"/>
      <c r="AA899" s="1063"/>
      <c r="AB899" s="1063"/>
      <c r="AC899" s="1063"/>
      <c r="AD899" s="1063"/>
      <c r="AE899" s="1063"/>
      <c r="AF899" s="1063"/>
      <c r="AG899" s="1063"/>
      <c r="AH899" s="1063"/>
      <c r="AI899" s="1063"/>
      <c r="AJ899" s="1063"/>
      <c r="AK899" s="1063"/>
      <c r="AL899" s="1063"/>
      <c r="AM899" s="1063"/>
      <c r="AN899" s="1063"/>
      <c r="AO899" s="1063"/>
      <c r="AP899" s="1063"/>
      <c r="AQ899" s="1063"/>
      <c r="AR899" s="1063"/>
      <c r="AS899" s="1063"/>
      <c r="AT899" s="1063"/>
      <c r="AU899" s="1063"/>
      <c r="AV899" s="1063"/>
    </row>
    <row r="900" spans="1:48" s="1108" customFormat="1" ht="27.75" customHeight="1">
      <c r="A900" s="1076"/>
      <c r="B900" s="1074">
        <f>+'[18]Bldg+Dev'!S1712</f>
        <v>0</v>
      </c>
      <c r="D900" s="1063"/>
      <c r="F900" s="1076"/>
      <c r="G900" s="1063"/>
      <c r="H900" s="1063"/>
      <c r="I900" s="1063"/>
      <c r="J900" s="1063"/>
      <c r="K900" s="1063"/>
      <c r="L900" s="1063"/>
      <c r="M900" s="1063"/>
      <c r="N900" s="1063"/>
      <c r="O900" s="1063"/>
      <c r="P900" s="1063"/>
      <c r="Q900" s="1063"/>
      <c r="R900" s="1063"/>
      <c r="S900" s="1063"/>
      <c r="T900" s="1063"/>
      <c r="U900" s="1063"/>
      <c r="V900" s="1063"/>
      <c r="W900" s="1063"/>
      <c r="X900" s="1063"/>
      <c r="Y900" s="1063"/>
      <c r="Z900" s="1063"/>
      <c r="AA900" s="1063"/>
      <c r="AB900" s="1063"/>
      <c r="AC900" s="1063"/>
      <c r="AD900" s="1063"/>
      <c r="AE900" s="1063"/>
      <c r="AF900" s="1063"/>
      <c r="AG900" s="1063"/>
      <c r="AH900" s="1063"/>
      <c r="AI900" s="1063"/>
      <c r="AJ900" s="1063"/>
      <c r="AK900" s="1063"/>
      <c r="AL900" s="1063"/>
      <c r="AM900" s="1063"/>
      <c r="AN900" s="1063"/>
      <c r="AO900" s="1063"/>
      <c r="AP900" s="1063"/>
      <c r="AQ900" s="1063"/>
      <c r="AR900" s="1063"/>
      <c r="AS900" s="1063"/>
      <c r="AT900" s="1063"/>
      <c r="AU900" s="1063"/>
      <c r="AV900" s="1063"/>
    </row>
    <row r="901" spans="1:48" s="1108" customFormat="1" ht="27.75" customHeight="1">
      <c r="A901" s="1076"/>
      <c r="B901" s="1074">
        <f>+'[18]Bldg+Dev'!S1713</f>
        <v>0</v>
      </c>
      <c r="D901" s="1063"/>
      <c r="F901" s="1076"/>
      <c r="G901" s="1063"/>
      <c r="H901" s="1063"/>
      <c r="I901" s="1063"/>
      <c r="J901" s="1063"/>
      <c r="K901" s="1063"/>
      <c r="L901" s="1063"/>
      <c r="M901" s="1063"/>
      <c r="N901" s="1063"/>
      <c r="O901" s="1063"/>
      <c r="P901" s="1063"/>
      <c r="Q901" s="1063"/>
      <c r="R901" s="1063"/>
      <c r="S901" s="1063"/>
      <c r="T901" s="1063"/>
      <c r="U901" s="1063"/>
      <c r="V901" s="1063"/>
      <c r="W901" s="1063"/>
      <c r="X901" s="1063"/>
      <c r="Y901" s="1063"/>
      <c r="Z901" s="1063"/>
      <c r="AA901" s="1063"/>
      <c r="AB901" s="1063"/>
      <c r="AC901" s="1063"/>
      <c r="AD901" s="1063"/>
      <c r="AE901" s="1063"/>
      <c r="AF901" s="1063"/>
      <c r="AG901" s="1063"/>
      <c r="AH901" s="1063"/>
      <c r="AI901" s="1063"/>
      <c r="AJ901" s="1063"/>
      <c r="AK901" s="1063"/>
      <c r="AL901" s="1063"/>
      <c r="AM901" s="1063"/>
      <c r="AN901" s="1063"/>
      <c r="AO901" s="1063"/>
      <c r="AP901" s="1063"/>
      <c r="AQ901" s="1063"/>
      <c r="AR901" s="1063"/>
      <c r="AS901" s="1063"/>
      <c r="AT901" s="1063"/>
      <c r="AU901" s="1063"/>
      <c r="AV901" s="1063"/>
    </row>
    <row r="902" spans="1:48" s="1108" customFormat="1" ht="27.75" customHeight="1">
      <c r="A902" s="1076"/>
      <c r="B902" s="1074">
        <f>+'[18]Bldg+Dev'!S1714</f>
        <v>0</v>
      </c>
      <c r="D902" s="1063"/>
      <c r="F902" s="1076"/>
      <c r="G902" s="1063"/>
      <c r="H902" s="1063"/>
      <c r="I902" s="1063"/>
      <c r="J902" s="1063"/>
      <c r="K902" s="1063"/>
      <c r="L902" s="1063"/>
      <c r="M902" s="1063"/>
      <c r="N902" s="1063"/>
      <c r="O902" s="1063"/>
      <c r="P902" s="1063"/>
      <c r="Q902" s="1063"/>
      <c r="R902" s="1063"/>
      <c r="S902" s="1063"/>
      <c r="T902" s="1063"/>
      <c r="U902" s="1063"/>
      <c r="V902" s="1063"/>
      <c r="W902" s="1063"/>
      <c r="X902" s="1063"/>
      <c r="Y902" s="1063"/>
      <c r="Z902" s="1063"/>
      <c r="AA902" s="1063"/>
      <c r="AB902" s="1063"/>
      <c r="AC902" s="1063"/>
      <c r="AD902" s="1063"/>
      <c r="AE902" s="1063"/>
      <c r="AF902" s="1063"/>
      <c r="AG902" s="1063"/>
      <c r="AH902" s="1063"/>
      <c r="AI902" s="1063"/>
      <c r="AJ902" s="1063"/>
      <c r="AK902" s="1063"/>
      <c r="AL902" s="1063"/>
      <c r="AM902" s="1063"/>
      <c r="AN902" s="1063"/>
      <c r="AO902" s="1063"/>
      <c r="AP902" s="1063"/>
      <c r="AQ902" s="1063"/>
      <c r="AR902" s="1063"/>
      <c r="AS902" s="1063"/>
      <c r="AT902" s="1063"/>
      <c r="AU902" s="1063"/>
      <c r="AV902" s="1063"/>
    </row>
    <row r="903" spans="1:48" s="1108" customFormat="1" ht="27.75" customHeight="1">
      <c r="A903" s="1076"/>
      <c r="B903" s="1074">
        <f>+'[18]Bldg+Dev'!S1715</f>
        <v>0</v>
      </c>
      <c r="D903" s="1063"/>
      <c r="F903" s="1076"/>
      <c r="G903" s="1063"/>
      <c r="H903" s="1063"/>
      <c r="I903" s="1063"/>
      <c r="J903" s="1063"/>
      <c r="K903" s="1063"/>
      <c r="L903" s="1063"/>
      <c r="M903" s="1063"/>
      <c r="N903" s="1063"/>
      <c r="O903" s="1063"/>
      <c r="P903" s="1063"/>
      <c r="Q903" s="1063"/>
      <c r="R903" s="1063"/>
      <c r="S903" s="1063"/>
      <c r="T903" s="1063"/>
      <c r="U903" s="1063"/>
      <c r="V903" s="1063"/>
      <c r="W903" s="1063"/>
      <c r="X903" s="1063"/>
      <c r="Y903" s="1063"/>
      <c r="Z903" s="1063"/>
      <c r="AA903" s="1063"/>
      <c r="AB903" s="1063"/>
      <c r="AC903" s="1063"/>
      <c r="AD903" s="1063"/>
      <c r="AE903" s="1063"/>
      <c r="AF903" s="1063"/>
      <c r="AG903" s="1063"/>
      <c r="AH903" s="1063"/>
      <c r="AI903" s="1063"/>
      <c r="AJ903" s="1063"/>
      <c r="AK903" s="1063"/>
      <c r="AL903" s="1063"/>
      <c r="AM903" s="1063"/>
      <c r="AN903" s="1063"/>
      <c r="AO903" s="1063"/>
      <c r="AP903" s="1063"/>
      <c r="AQ903" s="1063"/>
      <c r="AR903" s="1063"/>
      <c r="AS903" s="1063"/>
      <c r="AT903" s="1063"/>
      <c r="AU903" s="1063"/>
      <c r="AV903" s="1063"/>
    </row>
    <row r="904" spans="1:48" s="1108" customFormat="1" ht="27.75" customHeight="1">
      <c r="A904" s="1076"/>
      <c r="B904" s="1074">
        <f>+'[18]Bldg+Dev'!S1716</f>
        <v>0</v>
      </c>
      <c r="D904" s="1063"/>
      <c r="F904" s="1076"/>
      <c r="G904" s="1063"/>
      <c r="H904" s="1063"/>
      <c r="I904" s="1063"/>
      <c r="J904" s="1063"/>
      <c r="K904" s="1063"/>
      <c r="L904" s="1063"/>
      <c r="M904" s="1063"/>
      <c r="N904" s="1063"/>
      <c r="O904" s="1063"/>
      <c r="P904" s="1063"/>
      <c r="Q904" s="1063"/>
      <c r="R904" s="1063"/>
      <c r="S904" s="1063"/>
      <c r="T904" s="1063"/>
      <c r="U904" s="1063"/>
      <c r="V904" s="1063"/>
      <c r="W904" s="1063"/>
      <c r="X904" s="1063"/>
      <c r="Y904" s="1063"/>
      <c r="Z904" s="1063"/>
      <c r="AA904" s="1063"/>
      <c r="AB904" s="1063"/>
      <c r="AC904" s="1063"/>
      <c r="AD904" s="1063"/>
      <c r="AE904" s="1063"/>
      <c r="AF904" s="1063"/>
      <c r="AG904" s="1063"/>
      <c r="AH904" s="1063"/>
      <c r="AI904" s="1063"/>
      <c r="AJ904" s="1063"/>
      <c r="AK904" s="1063"/>
      <c r="AL904" s="1063"/>
      <c r="AM904" s="1063"/>
      <c r="AN904" s="1063"/>
      <c r="AO904" s="1063"/>
      <c r="AP904" s="1063"/>
      <c r="AQ904" s="1063"/>
      <c r="AR904" s="1063"/>
      <c r="AS904" s="1063"/>
      <c r="AT904" s="1063"/>
      <c r="AU904" s="1063"/>
      <c r="AV904" s="1063"/>
    </row>
    <row r="905" spans="1:48" s="1108" customFormat="1" ht="27.75" customHeight="1">
      <c r="A905" s="1076"/>
      <c r="B905" s="1074">
        <f>+'[18]Bldg+Dev'!S1717</f>
        <v>0</v>
      </c>
      <c r="D905" s="1063"/>
      <c r="F905" s="1076"/>
      <c r="G905" s="1063"/>
      <c r="H905" s="1063"/>
      <c r="I905" s="1063"/>
      <c r="J905" s="1063"/>
      <c r="K905" s="1063"/>
      <c r="L905" s="1063"/>
      <c r="M905" s="1063"/>
      <c r="N905" s="1063"/>
      <c r="O905" s="1063"/>
      <c r="P905" s="1063"/>
      <c r="Q905" s="1063"/>
      <c r="R905" s="1063"/>
      <c r="S905" s="1063"/>
      <c r="T905" s="1063"/>
      <c r="U905" s="1063"/>
      <c r="V905" s="1063"/>
      <c r="W905" s="1063"/>
      <c r="X905" s="1063"/>
      <c r="Y905" s="1063"/>
      <c r="Z905" s="1063"/>
      <c r="AA905" s="1063"/>
      <c r="AB905" s="1063"/>
      <c r="AC905" s="1063"/>
      <c r="AD905" s="1063"/>
      <c r="AE905" s="1063"/>
      <c r="AF905" s="1063"/>
      <c r="AG905" s="1063"/>
      <c r="AH905" s="1063"/>
      <c r="AI905" s="1063"/>
      <c r="AJ905" s="1063"/>
      <c r="AK905" s="1063"/>
      <c r="AL905" s="1063"/>
      <c r="AM905" s="1063"/>
      <c r="AN905" s="1063"/>
      <c r="AO905" s="1063"/>
      <c r="AP905" s="1063"/>
      <c r="AQ905" s="1063"/>
      <c r="AR905" s="1063"/>
      <c r="AS905" s="1063"/>
      <c r="AT905" s="1063"/>
      <c r="AU905" s="1063"/>
      <c r="AV905" s="1063"/>
    </row>
    <row r="906" spans="1:48" s="1108" customFormat="1" ht="27.75" customHeight="1">
      <c r="A906" s="1076"/>
      <c r="B906" s="1074">
        <f>+'[18]Bldg+Dev'!S1718</f>
        <v>0</v>
      </c>
      <c r="D906" s="1063"/>
      <c r="F906" s="1076"/>
      <c r="G906" s="1063"/>
      <c r="H906" s="1063"/>
      <c r="I906" s="1063"/>
      <c r="J906" s="1063"/>
      <c r="K906" s="1063"/>
      <c r="L906" s="1063"/>
      <c r="M906" s="1063"/>
      <c r="N906" s="1063"/>
      <c r="O906" s="1063"/>
      <c r="P906" s="1063"/>
      <c r="Q906" s="1063"/>
      <c r="R906" s="1063"/>
      <c r="S906" s="1063"/>
      <c r="T906" s="1063"/>
      <c r="U906" s="1063"/>
      <c r="V906" s="1063"/>
      <c r="W906" s="1063"/>
      <c r="X906" s="1063"/>
      <c r="Y906" s="1063"/>
      <c r="Z906" s="1063"/>
      <c r="AA906" s="1063"/>
      <c r="AB906" s="1063"/>
      <c r="AC906" s="1063"/>
      <c r="AD906" s="1063"/>
      <c r="AE906" s="1063"/>
      <c r="AF906" s="1063"/>
      <c r="AG906" s="1063"/>
      <c r="AH906" s="1063"/>
      <c r="AI906" s="1063"/>
      <c r="AJ906" s="1063"/>
      <c r="AK906" s="1063"/>
      <c r="AL906" s="1063"/>
      <c r="AM906" s="1063"/>
      <c r="AN906" s="1063"/>
      <c r="AO906" s="1063"/>
      <c r="AP906" s="1063"/>
      <c r="AQ906" s="1063"/>
      <c r="AR906" s="1063"/>
      <c r="AS906" s="1063"/>
      <c r="AT906" s="1063"/>
      <c r="AU906" s="1063"/>
      <c r="AV906" s="1063"/>
    </row>
    <row r="907" spans="1:48" s="1108" customFormat="1" ht="27.75" customHeight="1">
      <c r="A907" s="1076"/>
      <c r="B907" s="1074">
        <f>+'[18]Bldg+Dev'!S1719</f>
        <v>0</v>
      </c>
      <c r="D907" s="1063"/>
      <c r="F907" s="1076"/>
      <c r="G907" s="1063"/>
      <c r="H907" s="1063"/>
      <c r="I907" s="1063"/>
      <c r="J907" s="1063"/>
      <c r="K907" s="1063"/>
      <c r="L907" s="1063"/>
      <c r="M907" s="1063"/>
      <c r="N907" s="1063"/>
      <c r="O907" s="1063"/>
      <c r="P907" s="1063"/>
      <c r="Q907" s="1063"/>
      <c r="R907" s="1063"/>
      <c r="S907" s="1063"/>
      <c r="T907" s="1063"/>
      <c r="U907" s="1063"/>
      <c r="V907" s="1063"/>
      <c r="W907" s="1063"/>
      <c r="X907" s="1063"/>
      <c r="Y907" s="1063"/>
      <c r="Z907" s="1063"/>
      <c r="AA907" s="1063"/>
      <c r="AB907" s="1063"/>
      <c r="AC907" s="1063"/>
      <c r="AD907" s="1063"/>
      <c r="AE907" s="1063"/>
      <c r="AF907" s="1063"/>
      <c r="AG907" s="1063"/>
      <c r="AH907" s="1063"/>
      <c r="AI907" s="1063"/>
      <c r="AJ907" s="1063"/>
      <c r="AK907" s="1063"/>
      <c r="AL907" s="1063"/>
      <c r="AM907" s="1063"/>
      <c r="AN907" s="1063"/>
      <c r="AO907" s="1063"/>
      <c r="AP907" s="1063"/>
      <c r="AQ907" s="1063"/>
      <c r="AR907" s="1063"/>
      <c r="AS907" s="1063"/>
      <c r="AT907" s="1063"/>
      <c r="AU907" s="1063"/>
      <c r="AV907" s="1063"/>
    </row>
    <row r="908" spans="1:48" s="1108" customFormat="1" ht="27.75" customHeight="1">
      <c r="A908" s="1076"/>
      <c r="B908" s="1074">
        <f>+'[18]Bldg+Dev'!S1720</f>
        <v>0</v>
      </c>
      <c r="D908" s="1063"/>
      <c r="F908" s="1076"/>
      <c r="G908" s="1063"/>
      <c r="H908" s="1063"/>
      <c r="I908" s="1063"/>
      <c r="J908" s="1063"/>
      <c r="K908" s="1063"/>
      <c r="L908" s="1063"/>
      <c r="M908" s="1063"/>
      <c r="N908" s="1063"/>
      <c r="O908" s="1063"/>
      <c r="P908" s="1063"/>
      <c r="Q908" s="1063"/>
      <c r="R908" s="1063"/>
      <c r="S908" s="1063"/>
      <c r="T908" s="1063"/>
      <c r="U908" s="1063"/>
      <c r="V908" s="1063"/>
      <c r="W908" s="1063"/>
      <c r="X908" s="1063"/>
      <c r="Y908" s="1063"/>
      <c r="Z908" s="1063"/>
      <c r="AA908" s="1063"/>
      <c r="AB908" s="1063"/>
      <c r="AC908" s="1063"/>
      <c r="AD908" s="1063"/>
      <c r="AE908" s="1063"/>
      <c r="AF908" s="1063"/>
      <c r="AG908" s="1063"/>
      <c r="AH908" s="1063"/>
      <c r="AI908" s="1063"/>
      <c r="AJ908" s="1063"/>
      <c r="AK908" s="1063"/>
      <c r="AL908" s="1063"/>
      <c r="AM908" s="1063"/>
      <c r="AN908" s="1063"/>
      <c r="AO908" s="1063"/>
      <c r="AP908" s="1063"/>
      <c r="AQ908" s="1063"/>
      <c r="AR908" s="1063"/>
      <c r="AS908" s="1063"/>
      <c r="AT908" s="1063"/>
      <c r="AU908" s="1063"/>
      <c r="AV908" s="1063"/>
    </row>
    <row r="909" spans="1:48" s="1108" customFormat="1" ht="27.75" customHeight="1">
      <c r="A909" s="1076"/>
      <c r="B909" s="1074">
        <f>+'[18]Bldg+Dev'!S1721</f>
        <v>0</v>
      </c>
      <c r="D909" s="1063"/>
      <c r="F909" s="1076"/>
      <c r="G909" s="1063"/>
      <c r="H909" s="1063"/>
      <c r="I909" s="1063"/>
      <c r="J909" s="1063"/>
      <c r="K909" s="1063"/>
      <c r="L909" s="1063"/>
      <c r="M909" s="1063"/>
      <c r="N909" s="1063"/>
      <c r="O909" s="1063"/>
      <c r="P909" s="1063"/>
      <c r="Q909" s="1063"/>
      <c r="R909" s="1063"/>
      <c r="S909" s="1063"/>
      <c r="T909" s="1063"/>
      <c r="U909" s="1063"/>
      <c r="V909" s="1063"/>
      <c r="W909" s="1063"/>
      <c r="X909" s="1063"/>
      <c r="Y909" s="1063"/>
      <c r="Z909" s="1063"/>
      <c r="AA909" s="1063"/>
      <c r="AB909" s="1063"/>
      <c r="AC909" s="1063"/>
      <c r="AD909" s="1063"/>
      <c r="AE909" s="1063"/>
      <c r="AF909" s="1063"/>
      <c r="AG909" s="1063"/>
      <c r="AH909" s="1063"/>
      <c r="AI909" s="1063"/>
      <c r="AJ909" s="1063"/>
      <c r="AK909" s="1063"/>
      <c r="AL909" s="1063"/>
      <c r="AM909" s="1063"/>
      <c r="AN909" s="1063"/>
      <c r="AO909" s="1063"/>
      <c r="AP909" s="1063"/>
      <c r="AQ909" s="1063"/>
      <c r="AR909" s="1063"/>
      <c r="AS909" s="1063"/>
      <c r="AT909" s="1063"/>
      <c r="AU909" s="1063"/>
      <c r="AV909" s="1063"/>
    </row>
    <row r="910" spans="1:48" s="1108" customFormat="1" ht="27.75" customHeight="1">
      <c r="A910" s="1076"/>
      <c r="B910" s="1074">
        <f>+'[18]Bldg+Dev'!S1722</f>
        <v>0</v>
      </c>
      <c r="D910" s="1063"/>
      <c r="F910" s="1076"/>
      <c r="G910" s="1063"/>
      <c r="H910" s="1063"/>
      <c r="I910" s="1063"/>
      <c r="J910" s="1063"/>
      <c r="K910" s="1063"/>
      <c r="L910" s="1063"/>
      <c r="M910" s="1063"/>
      <c r="N910" s="1063"/>
      <c r="O910" s="1063"/>
      <c r="P910" s="1063"/>
      <c r="Q910" s="1063"/>
      <c r="R910" s="1063"/>
      <c r="S910" s="1063"/>
      <c r="T910" s="1063"/>
      <c r="U910" s="1063"/>
      <c r="V910" s="1063"/>
      <c r="W910" s="1063"/>
      <c r="X910" s="1063"/>
      <c r="Y910" s="1063"/>
      <c r="Z910" s="1063"/>
      <c r="AA910" s="1063"/>
      <c r="AB910" s="1063"/>
      <c r="AC910" s="1063"/>
      <c r="AD910" s="1063"/>
      <c r="AE910" s="1063"/>
      <c r="AF910" s="1063"/>
      <c r="AG910" s="1063"/>
      <c r="AH910" s="1063"/>
      <c r="AI910" s="1063"/>
      <c r="AJ910" s="1063"/>
      <c r="AK910" s="1063"/>
      <c r="AL910" s="1063"/>
      <c r="AM910" s="1063"/>
      <c r="AN910" s="1063"/>
      <c r="AO910" s="1063"/>
      <c r="AP910" s="1063"/>
      <c r="AQ910" s="1063"/>
      <c r="AR910" s="1063"/>
      <c r="AS910" s="1063"/>
      <c r="AT910" s="1063"/>
      <c r="AU910" s="1063"/>
      <c r="AV910" s="1063"/>
    </row>
    <row r="911" spans="1:48" s="1108" customFormat="1" ht="27.75" customHeight="1">
      <c r="A911" s="1076"/>
      <c r="B911" s="1074">
        <f>+'[18]Bldg+Dev'!S1723</f>
        <v>0</v>
      </c>
      <c r="D911" s="1063"/>
      <c r="F911" s="1076"/>
      <c r="G911" s="1063"/>
      <c r="H911" s="1063"/>
      <c r="I911" s="1063"/>
      <c r="J911" s="1063"/>
      <c r="K911" s="1063"/>
      <c r="L911" s="1063"/>
      <c r="M911" s="1063"/>
      <c r="N911" s="1063"/>
      <c r="O911" s="1063"/>
      <c r="P911" s="1063"/>
      <c r="Q911" s="1063"/>
      <c r="R911" s="1063"/>
      <c r="S911" s="1063"/>
      <c r="T911" s="1063"/>
      <c r="U911" s="1063"/>
      <c r="V911" s="1063"/>
      <c r="W911" s="1063"/>
      <c r="X911" s="1063"/>
      <c r="Y911" s="1063"/>
      <c r="Z911" s="1063"/>
      <c r="AA911" s="1063"/>
      <c r="AB911" s="1063"/>
      <c r="AC911" s="1063"/>
      <c r="AD911" s="1063"/>
      <c r="AE911" s="1063"/>
      <c r="AF911" s="1063"/>
      <c r="AG911" s="1063"/>
      <c r="AH911" s="1063"/>
      <c r="AI911" s="1063"/>
      <c r="AJ911" s="1063"/>
      <c r="AK911" s="1063"/>
      <c r="AL911" s="1063"/>
      <c r="AM911" s="1063"/>
      <c r="AN911" s="1063"/>
      <c r="AO911" s="1063"/>
      <c r="AP911" s="1063"/>
      <c r="AQ911" s="1063"/>
      <c r="AR911" s="1063"/>
      <c r="AS911" s="1063"/>
      <c r="AT911" s="1063"/>
      <c r="AU911" s="1063"/>
      <c r="AV911" s="1063"/>
    </row>
    <row r="912" spans="1:48" s="1108" customFormat="1" ht="27.75" customHeight="1">
      <c r="A912" s="1076"/>
      <c r="B912" s="1074">
        <f>+'[18]Bldg+Dev'!S1724</f>
        <v>0</v>
      </c>
      <c r="D912" s="1063"/>
      <c r="F912" s="1076"/>
      <c r="G912" s="1063"/>
      <c r="H912" s="1063"/>
      <c r="I912" s="1063"/>
      <c r="J912" s="1063"/>
      <c r="K912" s="1063"/>
      <c r="L912" s="1063"/>
      <c r="M912" s="1063"/>
      <c r="N912" s="1063"/>
      <c r="O912" s="1063"/>
      <c r="P912" s="1063"/>
      <c r="Q912" s="1063"/>
      <c r="R912" s="1063"/>
      <c r="S912" s="1063"/>
      <c r="T912" s="1063"/>
      <c r="U912" s="1063"/>
      <c r="V912" s="1063"/>
      <c r="W912" s="1063"/>
      <c r="X912" s="1063"/>
      <c r="Y912" s="1063"/>
      <c r="Z912" s="1063"/>
      <c r="AA912" s="1063"/>
      <c r="AB912" s="1063"/>
      <c r="AC912" s="1063"/>
      <c r="AD912" s="1063"/>
      <c r="AE912" s="1063"/>
      <c r="AF912" s="1063"/>
      <c r="AG912" s="1063"/>
      <c r="AH912" s="1063"/>
      <c r="AI912" s="1063"/>
      <c r="AJ912" s="1063"/>
      <c r="AK912" s="1063"/>
      <c r="AL912" s="1063"/>
      <c r="AM912" s="1063"/>
      <c r="AN912" s="1063"/>
      <c r="AO912" s="1063"/>
      <c r="AP912" s="1063"/>
      <c r="AQ912" s="1063"/>
      <c r="AR912" s="1063"/>
      <c r="AS912" s="1063"/>
      <c r="AT912" s="1063"/>
      <c r="AU912" s="1063"/>
      <c r="AV912" s="1063"/>
    </row>
    <row r="913" spans="1:48" s="1108" customFormat="1" ht="27.75" customHeight="1">
      <c r="A913" s="1076"/>
      <c r="B913" s="1074">
        <f>+'[18]Bldg+Dev'!S1725</f>
        <v>0</v>
      </c>
      <c r="D913" s="1063"/>
      <c r="F913" s="1076"/>
      <c r="G913" s="1063"/>
      <c r="H913" s="1063"/>
      <c r="I913" s="1063"/>
      <c r="J913" s="1063"/>
      <c r="K913" s="1063"/>
      <c r="L913" s="1063"/>
      <c r="M913" s="1063"/>
      <c r="N913" s="1063"/>
      <c r="O913" s="1063"/>
      <c r="P913" s="1063"/>
      <c r="Q913" s="1063"/>
      <c r="R913" s="1063"/>
      <c r="S913" s="1063"/>
      <c r="T913" s="1063"/>
      <c r="U913" s="1063"/>
      <c r="V913" s="1063"/>
      <c r="W913" s="1063"/>
      <c r="X913" s="1063"/>
      <c r="Y913" s="1063"/>
      <c r="Z913" s="1063"/>
      <c r="AA913" s="1063"/>
      <c r="AB913" s="1063"/>
      <c r="AC913" s="1063"/>
      <c r="AD913" s="1063"/>
      <c r="AE913" s="1063"/>
      <c r="AF913" s="1063"/>
      <c r="AG913" s="1063"/>
      <c r="AH913" s="1063"/>
      <c r="AI913" s="1063"/>
      <c r="AJ913" s="1063"/>
      <c r="AK913" s="1063"/>
      <c r="AL913" s="1063"/>
      <c r="AM913" s="1063"/>
      <c r="AN913" s="1063"/>
      <c r="AO913" s="1063"/>
      <c r="AP913" s="1063"/>
      <c r="AQ913" s="1063"/>
      <c r="AR913" s="1063"/>
      <c r="AS913" s="1063"/>
      <c r="AT913" s="1063"/>
      <c r="AU913" s="1063"/>
      <c r="AV913" s="1063"/>
    </row>
    <row r="914" spans="1:48" s="1108" customFormat="1" ht="27.75" customHeight="1">
      <c r="A914" s="1076"/>
      <c r="B914" s="1074">
        <f>+'[18]Bldg+Dev'!S1726</f>
        <v>0</v>
      </c>
      <c r="D914" s="1063"/>
      <c r="F914" s="1076"/>
      <c r="G914" s="1063"/>
      <c r="H914" s="1063"/>
      <c r="I914" s="1063"/>
      <c r="J914" s="1063"/>
      <c r="K914" s="1063"/>
      <c r="L914" s="1063"/>
      <c r="M914" s="1063"/>
      <c r="N914" s="1063"/>
      <c r="O914" s="1063"/>
      <c r="P914" s="1063"/>
      <c r="Q914" s="1063"/>
      <c r="R914" s="1063"/>
      <c r="S914" s="1063"/>
      <c r="T914" s="1063"/>
      <c r="U914" s="1063"/>
      <c r="V914" s="1063"/>
      <c r="W914" s="1063"/>
      <c r="X914" s="1063"/>
      <c r="Y914" s="1063"/>
      <c r="Z914" s="1063"/>
      <c r="AA914" s="1063"/>
      <c r="AB914" s="1063"/>
      <c r="AC914" s="1063"/>
      <c r="AD914" s="1063"/>
      <c r="AE914" s="1063"/>
      <c r="AF914" s="1063"/>
      <c r="AG914" s="1063"/>
      <c r="AH914" s="1063"/>
      <c r="AI914" s="1063"/>
      <c r="AJ914" s="1063"/>
      <c r="AK914" s="1063"/>
      <c r="AL914" s="1063"/>
      <c r="AM914" s="1063"/>
      <c r="AN914" s="1063"/>
      <c r="AO914" s="1063"/>
      <c r="AP914" s="1063"/>
      <c r="AQ914" s="1063"/>
      <c r="AR914" s="1063"/>
      <c r="AS914" s="1063"/>
      <c r="AT914" s="1063"/>
      <c r="AU914" s="1063"/>
      <c r="AV914" s="1063"/>
    </row>
    <row r="915" spans="1:48" s="1108" customFormat="1" ht="27.75" customHeight="1">
      <c r="A915" s="1076"/>
      <c r="B915" s="1074">
        <f>+'[18]Bldg+Dev'!S1727</f>
        <v>0</v>
      </c>
      <c r="D915" s="1063"/>
      <c r="F915" s="1076"/>
      <c r="G915" s="1063"/>
      <c r="H915" s="1063"/>
      <c r="I915" s="1063"/>
      <c r="J915" s="1063"/>
      <c r="K915" s="1063"/>
      <c r="L915" s="1063"/>
      <c r="M915" s="1063"/>
      <c r="N915" s="1063"/>
      <c r="O915" s="1063"/>
      <c r="P915" s="1063"/>
      <c r="Q915" s="1063"/>
      <c r="R915" s="1063"/>
      <c r="S915" s="1063"/>
      <c r="T915" s="1063"/>
      <c r="U915" s="1063"/>
      <c r="V915" s="1063"/>
      <c r="W915" s="1063"/>
      <c r="X915" s="1063"/>
      <c r="Y915" s="1063"/>
      <c r="Z915" s="1063"/>
      <c r="AA915" s="1063"/>
      <c r="AB915" s="1063"/>
      <c r="AC915" s="1063"/>
      <c r="AD915" s="1063"/>
      <c r="AE915" s="1063"/>
      <c r="AF915" s="1063"/>
      <c r="AG915" s="1063"/>
      <c r="AH915" s="1063"/>
      <c r="AI915" s="1063"/>
      <c r="AJ915" s="1063"/>
      <c r="AK915" s="1063"/>
      <c r="AL915" s="1063"/>
      <c r="AM915" s="1063"/>
      <c r="AN915" s="1063"/>
      <c r="AO915" s="1063"/>
      <c r="AP915" s="1063"/>
      <c r="AQ915" s="1063"/>
      <c r="AR915" s="1063"/>
      <c r="AS915" s="1063"/>
      <c r="AT915" s="1063"/>
      <c r="AU915" s="1063"/>
      <c r="AV915" s="1063"/>
    </row>
    <row r="916" spans="1:48" s="1108" customFormat="1" ht="27.75" customHeight="1">
      <c r="A916" s="1076"/>
      <c r="B916" s="1074">
        <f>+'[18]Bldg+Dev'!S1728</f>
        <v>0</v>
      </c>
      <c r="D916" s="1063"/>
      <c r="F916" s="1076"/>
      <c r="G916" s="1063"/>
      <c r="H916" s="1063"/>
      <c r="I916" s="1063"/>
      <c r="J916" s="1063"/>
      <c r="K916" s="1063"/>
      <c r="L916" s="1063"/>
      <c r="M916" s="1063"/>
      <c r="N916" s="1063"/>
      <c r="O916" s="1063"/>
      <c r="P916" s="1063"/>
      <c r="Q916" s="1063"/>
      <c r="R916" s="1063"/>
      <c r="S916" s="1063"/>
      <c r="T916" s="1063"/>
      <c r="U916" s="1063"/>
      <c r="V916" s="1063"/>
      <c r="W916" s="1063"/>
      <c r="X916" s="1063"/>
      <c r="Y916" s="1063"/>
      <c r="Z916" s="1063"/>
      <c r="AA916" s="1063"/>
      <c r="AB916" s="1063"/>
      <c r="AC916" s="1063"/>
      <c r="AD916" s="1063"/>
      <c r="AE916" s="1063"/>
      <c r="AF916" s="1063"/>
      <c r="AG916" s="1063"/>
      <c r="AH916" s="1063"/>
      <c r="AI916" s="1063"/>
      <c r="AJ916" s="1063"/>
      <c r="AK916" s="1063"/>
      <c r="AL916" s="1063"/>
      <c r="AM916" s="1063"/>
      <c r="AN916" s="1063"/>
      <c r="AO916" s="1063"/>
      <c r="AP916" s="1063"/>
      <c r="AQ916" s="1063"/>
      <c r="AR916" s="1063"/>
      <c r="AS916" s="1063"/>
      <c r="AT916" s="1063"/>
      <c r="AU916" s="1063"/>
      <c r="AV916" s="1063"/>
    </row>
    <row r="917" spans="1:48" s="1108" customFormat="1" ht="27.75" customHeight="1">
      <c r="A917" s="1076"/>
      <c r="B917" s="1074">
        <f>+'[18]Bldg+Dev'!S1729</f>
        <v>0</v>
      </c>
      <c r="D917" s="1063"/>
      <c r="F917" s="1076"/>
      <c r="G917" s="1063"/>
      <c r="H917" s="1063"/>
      <c r="I917" s="1063"/>
      <c r="J917" s="1063"/>
      <c r="K917" s="1063"/>
      <c r="L917" s="1063"/>
      <c r="M917" s="1063"/>
      <c r="N917" s="1063"/>
      <c r="O917" s="1063"/>
      <c r="P917" s="1063"/>
      <c r="Q917" s="1063"/>
      <c r="R917" s="1063"/>
      <c r="S917" s="1063"/>
      <c r="T917" s="1063"/>
      <c r="U917" s="1063"/>
      <c r="V917" s="1063"/>
      <c r="W917" s="1063"/>
      <c r="X917" s="1063"/>
      <c r="Y917" s="1063"/>
      <c r="Z917" s="1063"/>
      <c r="AA917" s="1063"/>
      <c r="AB917" s="1063"/>
      <c r="AC917" s="1063"/>
      <c r="AD917" s="1063"/>
      <c r="AE917" s="1063"/>
      <c r="AF917" s="1063"/>
      <c r="AG917" s="1063"/>
      <c r="AH917" s="1063"/>
      <c r="AI917" s="1063"/>
      <c r="AJ917" s="1063"/>
      <c r="AK917" s="1063"/>
      <c r="AL917" s="1063"/>
      <c r="AM917" s="1063"/>
      <c r="AN917" s="1063"/>
      <c r="AO917" s="1063"/>
      <c r="AP917" s="1063"/>
      <c r="AQ917" s="1063"/>
      <c r="AR917" s="1063"/>
      <c r="AS917" s="1063"/>
      <c r="AT917" s="1063"/>
      <c r="AU917" s="1063"/>
      <c r="AV917" s="1063"/>
    </row>
    <row r="918" spans="1:48" s="1108" customFormat="1" ht="27.75" customHeight="1">
      <c r="A918" s="1076"/>
      <c r="B918" s="1074">
        <f>+'[18]Bldg+Dev'!S1730</f>
        <v>0</v>
      </c>
      <c r="D918" s="1063"/>
      <c r="F918" s="1076"/>
      <c r="G918" s="1063"/>
      <c r="H918" s="1063"/>
      <c r="I918" s="1063"/>
      <c r="J918" s="1063"/>
      <c r="K918" s="1063"/>
      <c r="L918" s="1063"/>
      <c r="M918" s="1063"/>
      <c r="N918" s="1063"/>
      <c r="O918" s="1063"/>
      <c r="P918" s="1063"/>
      <c r="Q918" s="1063"/>
      <c r="R918" s="1063"/>
      <c r="S918" s="1063"/>
      <c r="T918" s="1063"/>
      <c r="U918" s="1063"/>
      <c r="V918" s="1063"/>
      <c r="W918" s="1063"/>
      <c r="X918" s="1063"/>
      <c r="Y918" s="1063"/>
      <c r="Z918" s="1063"/>
      <c r="AA918" s="1063"/>
      <c r="AB918" s="1063"/>
      <c r="AC918" s="1063"/>
      <c r="AD918" s="1063"/>
      <c r="AE918" s="1063"/>
      <c r="AF918" s="1063"/>
      <c r="AG918" s="1063"/>
      <c r="AH918" s="1063"/>
      <c r="AI918" s="1063"/>
      <c r="AJ918" s="1063"/>
      <c r="AK918" s="1063"/>
      <c r="AL918" s="1063"/>
      <c r="AM918" s="1063"/>
      <c r="AN918" s="1063"/>
      <c r="AO918" s="1063"/>
      <c r="AP918" s="1063"/>
      <c r="AQ918" s="1063"/>
      <c r="AR918" s="1063"/>
      <c r="AS918" s="1063"/>
      <c r="AT918" s="1063"/>
      <c r="AU918" s="1063"/>
      <c r="AV918" s="1063"/>
    </row>
    <row r="919" spans="1:48" s="1108" customFormat="1" ht="27.75" customHeight="1">
      <c r="A919" s="1076"/>
      <c r="B919" s="1074">
        <f>+'[18]Bldg+Dev'!S1731</f>
        <v>0</v>
      </c>
      <c r="D919" s="1063"/>
      <c r="F919" s="1076"/>
      <c r="G919" s="1063"/>
      <c r="H919" s="1063"/>
      <c r="I919" s="1063"/>
      <c r="J919" s="1063"/>
      <c r="K919" s="1063"/>
      <c r="L919" s="1063"/>
      <c r="M919" s="1063"/>
      <c r="N919" s="1063"/>
      <c r="O919" s="1063"/>
      <c r="P919" s="1063"/>
      <c r="Q919" s="1063"/>
      <c r="R919" s="1063"/>
      <c r="S919" s="1063"/>
      <c r="T919" s="1063"/>
      <c r="U919" s="1063"/>
      <c r="V919" s="1063"/>
      <c r="W919" s="1063"/>
      <c r="X919" s="1063"/>
      <c r="Y919" s="1063"/>
      <c r="Z919" s="1063"/>
      <c r="AA919" s="1063"/>
      <c r="AB919" s="1063"/>
      <c r="AC919" s="1063"/>
      <c r="AD919" s="1063"/>
      <c r="AE919" s="1063"/>
      <c r="AF919" s="1063"/>
      <c r="AG919" s="1063"/>
      <c r="AH919" s="1063"/>
      <c r="AI919" s="1063"/>
      <c r="AJ919" s="1063"/>
      <c r="AK919" s="1063"/>
      <c r="AL919" s="1063"/>
      <c r="AM919" s="1063"/>
      <c r="AN919" s="1063"/>
      <c r="AO919" s="1063"/>
      <c r="AP919" s="1063"/>
      <c r="AQ919" s="1063"/>
      <c r="AR919" s="1063"/>
      <c r="AS919" s="1063"/>
      <c r="AT919" s="1063"/>
      <c r="AU919" s="1063"/>
      <c r="AV919" s="1063"/>
    </row>
    <row r="920" spans="1:48" s="1108" customFormat="1" ht="27.75" customHeight="1">
      <c r="A920" s="1076"/>
      <c r="B920" s="1074">
        <f>+'[18]Bldg+Dev'!S1732</f>
        <v>0</v>
      </c>
      <c r="D920" s="1063"/>
      <c r="F920" s="1076"/>
      <c r="G920" s="1063"/>
      <c r="H920" s="1063"/>
      <c r="I920" s="1063"/>
      <c r="J920" s="1063"/>
      <c r="K920" s="1063"/>
      <c r="L920" s="1063"/>
      <c r="M920" s="1063"/>
      <c r="N920" s="1063"/>
      <c r="O920" s="1063"/>
      <c r="P920" s="1063"/>
      <c r="Q920" s="1063"/>
      <c r="R920" s="1063"/>
      <c r="S920" s="1063"/>
      <c r="T920" s="1063"/>
      <c r="U920" s="1063"/>
      <c r="V920" s="1063"/>
      <c r="W920" s="1063"/>
      <c r="X920" s="1063"/>
      <c r="Y920" s="1063"/>
      <c r="Z920" s="1063"/>
      <c r="AA920" s="1063"/>
      <c r="AB920" s="1063"/>
      <c r="AC920" s="1063"/>
      <c r="AD920" s="1063"/>
      <c r="AE920" s="1063"/>
      <c r="AF920" s="1063"/>
      <c r="AG920" s="1063"/>
      <c r="AH920" s="1063"/>
      <c r="AI920" s="1063"/>
      <c r="AJ920" s="1063"/>
      <c r="AK920" s="1063"/>
      <c r="AL920" s="1063"/>
      <c r="AM920" s="1063"/>
      <c r="AN920" s="1063"/>
      <c r="AO920" s="1063"/>
      <c r="AP920" s="1063"/>
      <c r="AQ920" s="1063"/>
      <c r="AR920" s="1063"/>
      <c r="AS920" s="1063"/>
      <c r="AT920" s="1063"/>
      <c r="AU920" s="1063"/>
      <c r="AV920" s="1063"/>
    </row>
    <row r="921" spans="1:48" s="1108" customFormat="1" ht="27.75" customHeight="1">
      <c r="A921" s="1076"/>
      <c r="B921" s="1074">
        <f>+'[18]Bldg+Dev'!S1733</f>
        <v>0</v>
      </c>
      <c r="D921" s="1063"/>
      <c r="F921" s="1076"/>
      <c r="G921" s="1063"/>
      <c r="H921" s="1063"/>
      <c r="I921" s="1063"/>
      <c r="J921" s="1063"/>
      <c r="K921" s="1063"/>
      <c r="L921" s="1063"/>
      <c r="M921" s="1063"/>
      <c r="N921" s="1063"/>
      <c r="O921" s="1063"/>
      <c r="P921" s="1063"/>
      <c r="Q921" s="1063"/>
      <c r="R921" s="1063"/>
      <c r="S921" s="1063"/>
      <c r="T921" s="1063"/>
      <c r="U921" s="1063"/>
      <c r="V921" s="1063"/>
      <c r="W921" s="1063"/>
      <c r="X921" s="1063"/>
      <c r="Y921" s="1063"/>
      <c r="Z921" s="1063"/>
      <c r="AA921" s="1063"/>
      <c r="AB921" s="1063"/>
      <c r="AC921" s="1063"/>
      <c r="AD921" s="1063"/>
      <c r="AE921" s="1063"/>
      <c r="AF921" s="1063"/>
      <c r="AG921" s="1063"/>
      <c r="AH921" s="1063"/>
      <c r="AI921" s="1063"/>
      <c r="AJ921" s="1063"/>
      <c r="AK921" s="1063"/>
      <c r="AL921" s="1063"/>
      <c r="AM921" s="1063"/>
      <c r="AN921" s="1063"/>
      <c r="AO921" s="1063"/>
      <c r="AP921" s="1063"/>
      <c r="AQ921" s="1063"/>
      <c r="AR921" s="1063"/>
      <c r="AS921" s="1063"/>
      <c r="AT921" s="1063"/>
      <c r="AU921" s="1063"/>
      <c r="AV921" s="1063"/>
    </row>
    <row r="922" spans="1:48" s="1108" customFormat="1" ht="27.75" customHeight="1">
      <c r="A922" s="1076"/>
      <c r="B922" s="1074">
        <f>+'[18]Bldg+Dev'!S1734</f>
        <v>0</v>
      </c>
      <c r="D922" s="1063"/>
      <c r="F922" s="1076"/>
      <c r="G922" s="1063"/>
      <c r="H922" s="1063"/>
      <c r="I922" s="1063"/>
      <c r="J922" s="1063"/>
      <c r="K922" s="1063"/>
      <c r="L922" s="1063"/>
      <c r="M922" s="1063"/>
      <c r="N922" s="1063"/>
      <c r="O922" s="1063"/>
      <c r="P922" s="1063"/>
      <c r="Q922" s="1063"/>
      <c r="R922" s="1063"/>
      <c r="S922" s="1063"/>
      <c r="T922" s="1063"/>
      <c r="U922" s="1063"/>
      <c r="V922" s="1063"/>
      <c r="W922" s="1063"/>
      <c r="X922" s="1063"/>
      <c r="Y922" s="1063"/>
      <c r="Z922" s="1063"/>
      <c r="AA922" s="1063"/>
      <c r="AB922" s="1063"/>
      <c r="AC922" s="1063"/>
      <c r="AD922" s="1063"/>
      <c r="AE922" s="1063"/>
      <c r="AF922" s="1063"/>
      <c r="AG922" s="1063"/>
      <c r="AH922" s="1063"/>
      <c r="AI922" s="1063"/>
      <c r="AJ922" s="1063"/>
      <c r="AK922" s="1063"/>
      <c r="AL922" s="1063"/>
      <c r="AM922" s="1063"/>
      <c r="AN922" s="1063"/>
      <c r="AO922" s="1063"/>
      <c r="AP922" s="1063"/>
      <c r="AQ922" s="1063"/>
      <c r="AR922" s="1063"/>
      <c r="AS922" s="1063"/>
      <c r="AT922" s="1063"/>
      <c r="AU922" s="1063"/>
      <c r="AV922" s="1063"/>
    </row>
    <row r="923" spans="1:48" s="1108" customFormat="1" ht="27.75" customHeight="1">
      <c r="A923" s="1076"/>
      <c r="B923" s="1074">
        <f>+'[18]Bldg+Dev'!S1735</f>
        <v>0</v>
      </c>
      <c r="D923" s="1063"/>
      <c r="F923" s="1076"/>
      <c r="G923" s="1063"/>
      <c r="H923" s="1063"/>
      <c r="I923" s="1063"/>
      <c r="J923" s="1063"/>
      <c r="K923" s="1063"/>
      <c r="L923" s="1063"/>
      <c r="M923" s="1063"/>
      <c r="N923" s="1063"/>
      <c r="O923" s="1063"/>
      <c r="P923" s="1063"/>
      <c r="Q923" s="1063"/>
      <c r="R923" s="1063"/>
      <c r="S923" s="1063"/>
      <c r="T923" s="1063"/>
      <c r="U923" s="1063"/>
      <c r="V923" s="1063"/>
      <c r="W923" s="1063"/>
      <c r="X923" s="1063"/>
      <c r="Y923" s="1063"/>
      <c r="Z923" s="1063"/>
      <c r="AA923" s="1063"/>
      <c r="AB923" s="1063"/>
      <c r="AC923" s="1063"/>
      <c r="AD923" s="1063"/>
      <c r="AE923" s="1063"/>
      <c r="AF923" s="1063"/>
      <c r="AG923" s="1063"/>
      <c r="AH923" s="1063"/>
      <c r="AI923" s="1063"/>
      <c r="AJ923" s="1063"/>
      <c r="AK923" s="1063"/>
      <c r="AL923" s="1063"/>
      <c r="AM923" s="1063"/>
      <c r="AN923" s="1063"/>
      <c r="AO923" s="1063"/>
      <c r="AP923" s="1063"/>
      <c r="AQ923" s="1063"/>
      <c r="AR923" s="1063"/>
      <c r="AS923" s="1063"/>
      <c r="AT923" s="1063"/>
      <c r="AU923" s="1063"/>
      <c r="AV923" s="1063"/>
    </row>
    <row r="924" spans="1:48" s="1108" customFormat="1" ht="27.75" customHeight="1">
      <c r="A924" s="1076"/>
      <c r="B924" s="1074">
        <f>+'[18]Bldg+Dev'!S1736</f>
        <v>0</v>
      </c>
      <c r="D924" s="1063"/>
      <c r="F924" s="1076"/>
      <c r="G924" s="1063"/>
      <c r="H924" s="1063"/>
      <c r="I924" s="1063"/>
      <c r="J924" s="1063"/>
      <c r="K924" s="1063"/>
      <c r="L924" s="1063"/>
      <c r="M924" s="1063"/>
      <c r="N924" s="1063"/>
      <c r="O924" s="1063"/>
      <c r="P924" s="1063"/>
      <c r="Q924" s="1063"/>
      <c r="R924" s="1063"/>
      <c r="S924" s="1063"/>
      <c r="T924" s="1063"/>
      <c r="U924" s="1063"/>
      <c r="V924" s="1063"/>
      <c r="W924" s="1063"/>
      <c r="X924" s="1063"/>
      <c r="Y924" s="1063"/>
      <c r="Z924" s="1063"/>
      <c r="AA924" s="1063"/>
      <c r="AB924" s="1063"/>
      <c r="AC924" s="1063"/>
      <c r="AD924" s="1063"/>
      <c r="AE924" s="1063"/>
      <c r="AF924" s="1063"/>
      <c r="AG924" s="1063"/>
      <c r="AH924" s="1063"/>
      <c r="AI924" s="1063"/>
      <c r="AJ924" s="1063"/>
      <c r="AK924" s="1063"/>
      <c r="AL924" s="1063"/>
      <c r="AM924" s="1063"/>
      <c r="AN924" s="1063"/>
      <c r="AO924" s="1063"/>
      <c r="AP924" s="1063"/>
      <c r="AQ924" s="1063"/>
      <c r="AR924" s="1063"/>
      <c r="AS924" s="1063"/>
      <c r="AT924" s="1063"/>
      <c r="AU924" s="1063"/>
      <c r="AV924" s="1063"/>
    </row>
    <row r="925" spans="1:48" s="1108" customFormat="1" ht="27.75" customHeight="1">
      <c r="A925" s="1076"/>
      <c r="B925" s="1074">
        <f>+'[18]Bldg+Dev'!S1737</f>
        <v>0</v>
      </c>
      <c r="D925" s="1063"/>
      <c r="F925" s="1076"/>
      <c r="G925" s="1063"/>
      <c r="H925" s="1063"/>
      <c r="I925" s="1063"/>
      <c r="J925" s="1063"/>
      <c r="K925" s="1063"/>
      <c r="L925" s="1063"/>
      <c r="M925" s="1063"/>
      <c r="N925" s="1063"/>
      <c r="O925" s="1063"/>
      <c r="P925" s="1063"/>
      <c r="Q925" s="1063"/>
      <c r="R925" s="1063"/>
      <c r="S925" s="1063"/>
      <c r="T925" s="1063"/>
      <c r="U925" s="1063"/>
      <c r="V925" s="1063"/>
      <c r="W925" s="1063"/>
      <c r="X925" s="1063"/>
      <c r="Y925" s="1063"/>
      <c r="Z925" s="1063"/>
      <c r="AA925" s="1063"/>
      <c r="AB925" s="1063"/>
      <c r="AC925" s="1063"/>
      <c r="AD925" s="1063"/>
      <c r="AE925" s="1063"/>
      <c r="AF925" s="1063"/>
      <c r="AG925" s="1063"/>
      <c r="AH925" s="1063"/>
      <c r="AI925" s="1063"/>
      <c r="AJ925" s="1063"/>
      <c r="AK925" s="1063"/>
      <c r="AL925" s="1063"/>
      <c r="AM925" s="1063"/>
      <c r="AN925" s="1063"/>
      <c r="AO925" s="1063"/>
      <c r="AP925" s="1063"/>
      <c r="AQ925" s="1063"/>
      <c r="AR925" s="1063"/>
      <c r="AS925" s="1063"/>
      <c r="AT925" s="1063"/>
      <c r="AU925" s="1063"/>
      <c r="AV925" s="1063"/>
    </row>
    <row r="926" spans="1:48" s="1108" customFormat="1" ht="27.75" customHeight="1">
      <c r="A926" s="1076"/>
      <c r="B926" s="1074">
        <f>+'[18]Bldg+Dev'!S1738</f>
        <v>0</v>
      </c>
      <c r="D926" s="1063"/>
      <c r="F926" s="1076"/>
      <c r="G926" s="1063"/>
      <c r="H926" s="1063"/>
      <c r="I926" s="1063"/>
      <c r="J926" s="1063"/>
      <c r="K926" s="1063"/>
      <c r="L926" s="1063"/>
      <c r="M926" s="1063"/>
      <c r="N926" s="1063"/>
      <c r="O926" s="1063"/>
      <c r="P926" s="1063"/>
      <c r="Q926" s="1063"/>
      <c r="R926" s="1063"/>
      <c r="S926" s="1063"/>
      <c r="T926" s="1063"/>
      <c r="U926" s="1063"/>
      <c r="V926" s="1063"/>
      <c r="W926" s="1063"/>
      <c r="X926" s="1063"/>
      <c r="Y926" s="1063"/>
      <c r="Z926" s="1063"/>
      <c r="AA926" s="1063"/>
      <c r="AB926" s="1063"/>
      <c r="AC926" s="1063"/>
      <c r="AD926" s="1063"/>
      <c r="AE926" s="1063"/>
      <c r="AF926" s="1063"/>
      <c r="AG926" s="1063"/>
      <c r="AH926" s="1063"/>
      <c r="AI926" s="1063"/>
      <c r="AJ926" s="1063"/>
      <c r="AK926" s="1063"/>
      <c r="AL926" s="1063"/>
      <c r="AM926" s="1063"/>
      <c r="AN926" s="1063"/>
      <c r="AO926" s="1063"/>
      <c r="AP926" s="1063"/>
      <c r="AQ926" s="1063"/>
      <c r="AR926" s="1063"/>
      <c r="AS926" s="1063"/>
      <c r="AT926" s="1063"/>
      <c r="AU926" s="1063"/>
      <c r="AV926" s="1063"/>
    </row>
    <row r="927" spans="1:48" s="1108" customFormat="1" ht="27.75" customHeight="1">
      <c r="A927" s="1076"/>
      <c r="B927" s="1074">
        <f>+'[18]Bldg+Dev'!S1739</f>
        <v>0</v>
      </c>
      <c r="D927" s="1063"/>
      <c r="F927" s="1076"/>
      <c r="G927" s="1063"/>
      <c r="H927" s="1063"/>
      <c r="I927" s="1063"/>
      <c r="J927" s="1063"/>
      <c r="K927" s="1063"/>
      <c r="L927" s="1063"/>
      <c r="M927" s="1063"/>
      <c r="N927" s="1063"/>
      <c r="O927" s="1063"/>
      <c r="P927" s="1063"/>
      <c r="Q927" s="1063"/>
      <c r="R927" s="1063"/>
      <c r="S927" s="1063"/>
      <c r="T927" s="1063"/>
      <c r="U927" s="1063"/>
      <c r="V927" s="1063"/>
      <c r="W927" s="1063"/>
      <c r="X927" s="1063"/>
      <c r="Y927" s="1063"/>
      <c r="Z927" s="1063"/>
      <c r="AA927" s="1063"/>
      <c r="AB927" s="1063"/>
      <c r="AC927" s="1063"/>
      <c r="AD927" s="1063"/>
      <c r="AE927" s="1063"/>
      <c r="AF927" s="1063"/>
      <c r="AG927" s="1063"/>
      <c r="AH927" s="1063"/>
      <c r="AI927" s="1063"/>
      <c r="AJ927" s="1063"/>
      <c r="AK927" s="1063"/>
      <c r="AL927" s="1063"/>
      <c r="AM927" s="1063"/>
      <c r="AN927" s="1063"/>
      <c r="AO927" s="1063"/>
      <c r="AP927" s="1063"/>
      <c r="AQ927" s="1063"/>
      <c r="AR927" s="1063"/>
      <c r="AS927" s="1063"/>
      <c r="AT927" s="1063"/>
      <c r="AU927" s="1063"/>
      <c r="AV927" s="1063"/>
    </row>
    <row r="928" spans="1:48" s="1108" customFormat="1" ht="27.75" customHeight="1">
      <c r="A928" s="1076"/>
      <c r="B928" s="1074">
        <f>+'[18]Bldg+Dev'!S1740</f>
        <v>0</v>
      </c>
      <c r="D928" s="1063"/>
      <c r="F928" s="1076"/>
      <c r="G928" s="1063"/>
      <c r="H928" s="1063"/>
      <c r="I928" s="1063"/>
      <c r="J928" s="1063"/>
      <c r="K928" s="1063"/>
      <c r="L928" s="1063"/>
      <c r="M928" s="1063"/>
      <c r="N928" s="1063"/>
      <c r="O928" s="1063"/>
      <c r="P928" s="1063"/>
      <c r="Q928" s="1063"/>
      <c r="R928" s="1063"/>
      <c r="S928" s="1063"/>
      <c r="T928" s="1063"/>
      <c r="U928" s="1063"/>
      <c r="V928" s="1063"/>
      <c r="W928" s="1063"/>
      <c r="X928" s="1063"/>
      <c r="Y928" s="1063"/>
      <c r="Z928" s="1063"/>
      <c r="AA928" s="1063"/>
      <c r="AB928" s="1063"/>
      <c r="AC928" s="1063"/>
      <c r="AD928" s="1063"/>
      <c r="AE928" s="1063"/>
      <c r="AF928" s="1063"/>
      <c r="AG928" s="1063"/>
      <c r="AH928" s="1063"/>
      <c r="AI928" s="1063"/>
      <c r="AJ928" s="1063"/>
      <c r="AK928" s="1063"/>
      <c r="AL928" s="1063"/>
      <c r="AM928" s="1063"/>
      <c r="AN928" s="1063"/>
      <c r="AO928" s="1063"/>
      <c r="AP928" s="1063"/>
      <c r="AQ928" s="1063"/>
      <c r="AR928" s="1063"/>
      <c r="AS928" s="1063"/>
      <c r="AT928" s="1063"/>
      <c r="AU928" s="1063"/>
      <c r="AV928" s="1063"/>
    </row>
    <row r="929" spans="1:48" s="1108" customFormat="1" ht="27.75" customHeight="1">
      <c r="A929" s="1076"/>
      <c r="B929" s="1074">
        <f>+'[18]Bldg+Dev'!S1741</f>
        <v>0</v>
      </c>
      <c r="D929" s="1063"/>
      <c r="F929" s="1076"/>
      <c r="G929" s="1063"/>
      <c r="H929" s="1063"/>
      <c r="I929" s="1063"/>
      <c r="J929" s="1063"/>
      <c r="K929" s="1063"/>
      <c r="L929" s="1063"/>
      <c r="M929" s="1063"/>
      <c r="N929" s="1063"/>
      <c r="O929" s="1063"/>
      <c r="P929" s="1063"/>
      <c r="Q929" s="1063"/>
      <c r="R929" s="1063"/>
      <c r="S929" s="1063"/>
      <c r="T929" s="1063"/>
      <c r="U929" s="1063"/>
      <c r="V929" s="1063"/>
      <c r="W929" s="1063"/>
      <c r="X929" s="1063"/>
      <c r="Y929" s="1063"/>
      <c r="Z929" s="1063"/>
      <c r="AA929" s="1063"/>
      <c r="AB929" s="1063"/>
      <c r="AC929" s="1063"/>
      <c r="AD929" s="1063"/>
      <c r="AE929" s="1063"/>
      <c r="AF929" s="1063"/>
      <c r="AG929" s="1063"/>
      <c r="AH929" s="1063"/>
      <c r="AI929" s="1063"/>
      <c r="AJ929" s="1063"/>
      <c r="AK929" s="1063"/>
      <c r="AL929" s="1063"/>
      <c r="AM929" s="1063"/>
      <c r="AN929" s="1063"/>
      <c r="AO929" s="1063"/>
      <c r="AP929" s="1063"/>
      <c r="AQ929" s="1063"/>
      <c r="AR929" s="1063"/>
      <c r="AS929" s="1063"/>
      <c r="AT929" s="1063"/>
      <c r="AU929" s="1063"/>
      <c r="AV929" s="1063"/>
    </row>
    <row r="930" spans="1:48" s="1108" customFormat="1" ht="27.75" customHeight="1">
      <c r="A930" s="1076"/>
      <c r="B930" s="1074">
        <f>+'[18]Bldg+Dev'!S1742</f>
        <v>0</v>
      </c>
      <c r="D930" s="1063"/>
      <c r="F930" s="1076"/>
      <c r="G930" s="1063"/>
      <c r="H930" s="1063"/>
      <c r="I930" s="1063"/>
      <c r="J930" s="1063"/>
      <c r="K930" s="1063"/>
      <c r="L930" s="1063"/>
      <c r="M930" s="1063"/>
      <c r="N930" s="1063"/>
      <c r="O930" s="1063"/>
      <c r="P930" s="1063"/>
      <c r="Q930" s="1063"/>
      <c r="R930" s="1063"/>
      <c r="S930" s="1063"/>
      <c r="T930" s="1063"/>
      <c r="U930" s="1063"/>
      <c r="V930" s="1063"/>
      <c r="W930" s="1063"/>
      <c r="X930" s="1063"/>
      <c r="Y930" s="1063"/>
      <c r="Z930" s="1063"/>
      <c r="AA930" s="1063"/>
      <c r="AB930" s="1063"/>
      <c r="AC930" s="1063"/>
      <c r="AD930" s="1063"/>
      <c r="AE930" s="1063"/>
      <c r="AF930" s="1063"/>
      <c r="AG930" s="1063"/>
      <c r="AH930" s="1063"/>
      <c r="AI930" s="1063"/>
      <c r="AJ930" s="1063"/>
      <c r="AK930" s="1063"/>
      <c r="AL930" s="1063"/>
      <c r="AM930" s="1063"/>
      <c r="AN930" s="1063"/>
      <c r="AO930" s="1063"/>
      <c r="AP930" s="1063"/>
      <c r="AQ930" s="1063"/>
      <c r="AR930" s="1063"/>
      <c r="AS930" s="1063"/>
      <c r="AT930" s="1063"/>
      <c r="AU930" s="1063"/>
      <c r="AV930" s="1063"/>
    </row>
    <row r="931" spans="1:48" s="1108" customFormat="1" ht="27.75" customHeight="1">
      <c r="A931" s="1076"/>
      <c r="B931" s="1074">
        <f>+'[18]Bldg+Dev'!S1743</f>
        <v>0</v>
      </c>
      <c r="D931" s="1063"/>
      <c r="F931" s="1076"/>
      <c r="G931" s="1063"/>
      <c r="H931" s="1063"/>
      <c r="I931" s="1063"/>
      <c r="J931" s="1063"/>
      <c r="K931" s="1063"/>
      <c r="L931" s="1063"/>
      <c r="M931" s="1063"/>
      <c r="N931" s="1063"/>
      <c r="O931" s="1063"/>
      <c r="P931" s="1063"/>
      <c r="Q931" s="1063"/>
      <c r="R931" s="1063"/>
      <c r="S931" s="1063"/>
      <c r="T931" s="1063"/>
      <c r="U931" s="1063"/>
      <c r="V931" s="1063"/>
      <c r="W931" s="1063"/>
      <c r="X931" s="1063"/>
      <c r="Y931" s="1063"/>
      <c r="Z931" s="1063"/>
      <c r="AA931" s="1063"/>
      <c r="AB931" s="1063"/>
      <c r="AC931" s="1063"/>
      <c r="AD931" s="1063"/>
      <c r="AE931" s="1063"/>
      <c r="AF931" s="1063"/>
      <c r="AG931" s="1063"/>
      <c r="AH931" s="1063"/>
      <c r="AI931" s="1063"/>
      <c r="AJ931" s="1063"/>
      <c r="AK931" s="1063"/>
      <c r="AL931" s="1063"/>
      <c r="AM931" s="1063"/>
      <c r="AN931" s="1063"/>
      <c r="AO931" s="1063"/>
      <c r="AP931" s="1063"/>
      <c r="AQ931" s="1063"/>
      <c r="AR931" s="1063"/>
      <c r="AS931" s="1063"/>
      <c r="AT931" s="1063"/>
      <c r="AU931" s="1063"/>
      <c r="AV931" s="1063"/>
    </row>
    <row r="932" spans="1:48" s="1108" customFormat="1" ht="27.75" customHeight="1">
      <c r="A932" s="1076"/>
      <c r="B932" s="1074">
        <f>+'[18]Bldg+Dev'!S1744</f>
        <v>0</v>
      </c>
      <c r="D932" s="1063"/>
      <c r="F932" s="1076"/>
      <c r="G932" s="1063"/>
      <c r="H932" s="1063"/>
      <c r="I932" s="1063"/>
      <c r="J932" s="1063"/>
      <c r="K932" s="1063"/>
      <c r="L932" s="1063"/>
      <c r="M932" s="1063"/>
      <c r="N932" s="1063"/>
      <c r="O932" s="1063"/>
      <c r="P932" s="1063"/>
      <c r="Q932" s="1063"/>
      <c r="R932" s="1063"/>
      <c r="S932" s="1063"/>
      <c r="T932" s="1063"/>
      <c r="U932" s="1063"/>
      <c r="V932" s="1063"/>
      <c r="W932" s="1063"/>
      <c r="X932" s="1063"/>
      <c r="Y932" s="1063"/>
      <c r="Z932" s="1063"/>
      <c r="AA932" s="1063"/>
      <c r="AB932" s="1063"/>
      <c r="AC932" s="1063"/>
      <c r="AD932" s="1063"/>
      <c r="AE932" s="1063"/>
      <c r="AF932" s="1063"/>
      <c r="AG932" s="1063"/>
      <c r="AH932" s="1063"/>
      <c r="AI932" s="1063"/>
      <c r="AJ932" s="1063"/>
      <c r="AK932" s="1063"/>
      <c r="AL932" s="1063"/>
      <c r="AM932" s="1063"/>
      <c r="AN932" s="1063"/>
      <c r="AO932" s="1063"/>
      <c r="AP932" s="1063"/>
      <c r="AQ932" s="1063"/>
      <c r="AR932" s="1063"/>
      <c r="AS932" s="1063"/>
      <c r="AT932" s="1063"/>
      <c r="AU932" s="1063"/>
      <c r="AV932" s="1063"/>
    </row>
    <row r="933" spans="1:48" s="1108" customFormat="1" ht="27.75" customHeight="1">
      <c r="A933" s="1076"/>
      <c r="B933" s="1074">
        <f>+'[18]Bldg+Dev'!S1745</f>
        <v>0</v>
      </c>
      <c r="D933" s="1063"/>
      <c r="F933" s="1076"/>
      <c r="G933" s="1063"/>
      <c r="H933" s="1063"/>
      <c r="I933" s="1063"/>
      <c r="J933" s="1063"/>
      <c r="K933" s="1063"/>
      <c r="L933" s="1063"/>
      <c r="M933" s="1063"/>
      <c r="N933" s="1063"/>
      <c r="O933" s="1063"/>
      <c r="P933" s="1063"/>
      <c r="Q933" s="1063"/>
      <c r="R933" s="1063"/>
      <c r="S933" s="1063"/>
      <c r="T933" s="1063"/>
      <c r="U933" s="1063"/>
      <c r="V933" s="1063"/>
      <c r="W933" s="1063"/>
      <c r="X933" s="1063"/>
      <c r="Y933" s="1063"/>
      <c r="Z933" s="1063"/>
      <c r="AA933" s="1063"/>
      <c r="AB933" s="1063"/>
      <c r="AC933" s="1063"/>
      <c r="AD933" s="1063"/>
      <c r="AE933" s="1063"/>
      <c r="AF933" s="1063"/>
      <c r="AG933" s="1063"/>
      <c r="AH933" s="1063"/>
      <c r="AI933" s="1063"/>
      <c r="AJ933" s="1063"/>
      <c r="AK933" s="1063"/>
      <c r="AL933" s="1063"/>
      <c r="AM933" s="1063"/>
      <c r="AN933" s="1063"/>
      <c r="AO933" s="1063"/>
      <c r="AP933" s="1063"/>
      <c r="AQ933" s="1063"/>
      <c r="AR933" s="1063"/>
      <c r="AS933" s="1063"/>
      <c r="AT933" s="1063"/>
      <c r="AU933" s="1063"/>
      <c r="AV933" s="1063"/>
    </row>
    <row r="934" spans="1:48" s="1108" customFormat="1" ht="27.75" customHeight="1">
      <c r="A934" s="1076"/>
      <c r="B934" s="1074">
        <f>+'[18]Bldg+Dev'!S1746</f>
        <v>0</v>
      </c>
      <c r="D934" s="1063"/>
      <c r="F934" s="1076"/>
      <c r="G934" s="1063"/>
      <c r="H934" s="1063"/>
      <c r="I934" s="1063"/>
      <c r="J934" s="1063"/>
      <c r="K934" s="1063"/>
      <c r="L934" s="1063"/>
      <c r="M934" s="1063"/>
      <c r="N934" s="1063"/>
      <c r="O934" s="1063"/>
      <c r="P934" s="1063"/>
      <c r="Q934" s="1063"/>
      <c r="R934" s="1063"/>
      <c r="S934" s="1063"/>
      <c r="T934" s="1063"/>
      <c r="U934" s="1063"/>
      <c r="V934" s="1063"/>
      <c r="W934" s="1063"/>
      <c r="X934" s="1063"/>
      <c r="Y934" s="1063"/>
      <c r="Z934" s="1063"/>
      <c r="AA934" s="1063"/>
      <c r="AB934" s="1063"/>
      <c r="AC934" s="1063"/>
      <c r="AD934" s="1063"/>
      <c r="AE934" s="1063"/>
      <c r="AF934" s="1063"/>
      <c r="AG934" s="1063"/>
      <c r="AH934" s="1063"/>
      <c r="AI934" s="1063"/>
      <c r="AJ934" s="1063"/>
      <c r="AK934" s="1063"/>
      <c r="AL934" s="1063"/>
      <c r="AM934" s="1063"/>
      <c r="AN934" s="1063"/>
      <c r="AO934" s="1063"/>
      <c r="AP934" s="1063"/>
      <c r="AQ934" s="1063"/>
      <c r="AR934" s="1063"/>
      <c r="AS934" s="1063"/>
      <c r="AT934" s="1063"/>
      <c r="AU934" s="1063"/>
      <c r="AV934" s="1063"/>
    </row>
    <row r="935" spans="1:48" s="1108" customFormat="1" ht="27.75" customHeight="1">
      <c r="A935" s="1076"/>
      <c r="B935" s="1074">
        <f>+'[18]Bldg+Dev'!S1747</f>
        <v>0</v>
      </c>
      <c r="D935" s="1063"/>
      <c r="F935" s="1076"/>
      <c r="G935" s="1063"/>
      <c r="H935" s="1063"/>
      <c r="I935" s="1063"/>
      <c r="J935" s="1063"/>
      <c r="K935" s="1063"/>
      <c r="L935" s="1063"/>
      <c r="M935" s="1063"/>
      <c r="N935" s="1063"/>
      <c r="O935" s="1063"/>
      <c r="P935" s="1063"/>
      <c r="Q935" s="1063"/>
      <c r="R935" s="1063"/>
      <c r="S935" s="1063"/>
      <c r="T935" s="1063"/>
      <c r="U935" s="1063"/>
      <c r="V935" s="1063"/>
      <c r="W935" s="1063"/>
      <c r="X935" s="1063"/>
      <c r="Y935" s="1063"/>
      <c r="Z935" s="1063"/>
      <c r="AA935" s="1063"/>
      <c r="AB935" s="1063"/>
      <c r="AC935" s="1063"/>
      <c r="AD935" s="1063"/>
      <c r="AE935" s="1063"/>
      <c r="AF935" s="1063"/>
      <c r="AG935" s="1063"/>
      <c r="AH935" s="1063"/>
      <c r="AI935" s="1063"/>
      <c r="AJ935" s="1063"/>
      <c r="AK935" s="1063"/>
      <c r="AL935" s="1063"/>
      <c r="AM935" s="1063"/>
      <c r="AN935" s="1063"/>
      <c r="AO935" s="1063"/>
      <c r="AP935" s="1063"/>
      <c r="AQ935" s="1063"/>
      <c r="AR935" s="1063"/>
      <c r="AS935" s="1063"/>
      <c r="AT935" s="1063"/>
      <c r="AU935" s="1063"/>
      <c r="AV935" s="1063"/>
    </row>
    <row r="936" spans="1:48" s="1108" customFormat="1" ht="27.75" customHeight="1">
      <c r="A936" s="1076"/>
      <c r="B936" s="1074">
        <f>+'[18]Bldg+Dev'!S1748</f>
        <v>0</v>
      </c>
      <c r="D936" s="1063"/>
      <c r="F936" s="1076"/>
      <c r="G936" s="1063"/>
      <c r="H936" s="1063"/>
      <c r="I936" s="1063"/>
      <c r="J936" s="1063"/>
      <c r="K936" s="1063"/>
      <c r="L936" s="1063"/>
      <c r="M936" s="1063"/>
      <c r="N936" s="1063"/>
      <c r="O936" s="1063"/>
      <c r="P936" s="1063"/>
      <c r="Q936" s="1063"/>
      <c r="R936" s="1063"/>
      <c r="S936" s="1063"/>
      <c r="T936" s="1063"/>
      <c r="U936" s="1063"/>
      <c r="V936" s="1063"/>
      <c r="W936" s="1063"/>
      <c r="X936" s="1063"/>
      <c r="Y936" s="1063"/>
      <c r="Z936" s="1063"/>
      <c r="AA936" s="1063"/>
      <c r="AB936" s="1063"/>
      <c r="AC936" s="1063"/>
      <c r="AD936" s="1063"/>
      <c r="AE936" s="1063"/>
      <c r="AF936" s="1063"/>
      <c r="AG936" s="1063"/>
      <c r="AH936" s="1063"/>
      <c r="AI936" s="1063"/>
      <c r="AJ936" s="1063"/>
      <c r="AK936" s="1063"/>
      <c r="AL936" s="1063"/>
      <c r="AM936" s="1063"/>
      <c r="AN936" s="1063"/>
      <c r="AO936" s="1063"/>
      <c r="AP936" s="1063"/>
      <c r="AQ936" s="1063"/>
      <c r="AR936" s="1063"/>
      <c r="AS936" s="1063"/>
      <c r="AT936" s="1063"/>
      <c r="AU936" s="1063"/>
      <c r="AV936" s="1063"/>
    </row>
    <row r="937" spans="1:48" s="1108" customFormat="1" ht="27.75" customHeight="1">
      <c r="A937" s="1076"/>
      <c r="B937" s="1074">
        <f>+'[18]Bldg+Dev'!S1749</f>
        <v>0</v>
      </c>
      <c r="D937" s="1063"/>
      <c r="F937" s="1076"/>
      <c r="G937" s="1063"/>
      <c r="H937" s="1063"/>
      <c r="I937" s="1063"/>
      <c r="J937" s="1063"/>
      <c r="K937" s="1063"/>
      <c r="L937" s="1063"/>
      <c r="M937" s="1063"/>
      <c r="N937" s="1063"/>
      <c r="O937" s="1063"/>
      <c r="P937" s="1063"/>
      <c r="Q937" s="1063"/>
      <c r="R937" s="1063"/>
      <c r="S937" s="1063"/>
      <c r="T937" s="1063"/>
      <c r="U937" s="1063"/>
      <c r="V937" s="1063"/>
      <c r="W937" s="1063"/>
      <c r="X937" s="1063"/>
      <c r="Y937" s="1063"/>
      <c r="Z937" s="1063"/>
      <c r="AA937" s="1063"/>
      <c r="AB937" s="1063"/>
      <c r="AC937" s="1063"/>
      <c r="AD937" s="1063"/>
      <c r="AE937" s="1063"/>
      <c r="AF937" s="1063"/>
      <c r="AG937" s="1063"/>
      <c r="AH937" s="1063"/>
      <c r="AI937" s="1063"/>
      <c r="AJ937" s="1063"/>
      <c r="AK937" s="1063"/>
      <c r="AL937" s="1063"/>
      <c r="AM937" s="1063"/>
      <c r="AN937" s="1063"/>
      <c r="AO937" s="1063"/>
      <c r="AP937" s="1063"/>
      <c r="AQ937" s="1063"/>
      <c r="AR937" s="1063"/>
      <c r="AS937" s="1063"/>
      <c r="AT937" s="1063"/>
      <c r="AU937" s="1063"/>
      <c r="AV937" s="1063"/>
    </row>
    <row r="938" spans="1:48" s="1108" customFormat="1" ht="27.75" customHeight="1">
      <c r="A938" s="1076"/>
      <c r="B938" s="1074">
        <f>+'[18]Bldg+Dev'!S1750</f>
        <v>0</v>
      </c>
      <c r="D938" s="1063"/>
      <c r="F938" s="1076"/>
      <c r="G938" s="1063"/>
      <c r="H938" s="1063"/>
      <c r="I938" s="1063"/>
      <c r="J938" s="1063"/>
      <c r="K938" s="1063"/>
      <c r="L938" s="1063"/>
      <c r="M938" s="1063"/>
      <c r="N938" s="1063"/>
      <c r="O938" s="1063"/>
      <c r="P938" s="1063"/>
      <c r="Q938" s="1063"/>
      <c r="R938" s="1063"/>
      <c r="S938" s="1063"/>
      <c r="T938" s="1063"/>
      <c r="U938" s="1063"/>
      <c r="V938" s="1063"/>
      <c r="W938" s="1063"/>
      <c r="X938" s="1063"/>
      <c r="Y938" s="1063"/>
      <c r="Z938" s="1063"/>
      <c r="AA938" s="1063"/>
      <c r="AB938" s="1063"/>
      <c r="AC938" s="1063"/>
      <c r="AD938" s="1063"/>
      <c r="AE938" s="1063"/>
      <c r="AF938" s="1063"/>
      <c r="AG938" s="1063"/>
      <c r="AH938" s="1063"/>
      <c r="AI938" s="1063"/>
      <c r="AJ938" s="1063"/>
      <c r="AK938" s="1063"/>
      <c r="AL938" s="1063"/>
      <c r="AM938" s="1063"/>
      <c r="AN938" s="1063"/>
      <c r="AO938" s="1063"/>
      <c r="AP938" s="1063"/>
      <c r="AQ938" s="1063"/>
      <c r="AR938" s="1063"/>
      <c r="AS938" s="1063"/>
      <c r="AT938" s="1063"/>
      <c r="AU938" s="1063"/>
      <c r="AV938" s="1063"/>
    </row>
    <row r="939" spans="1:48" s="1108" customFormat="1" ht="27.75" customHeight="1">
      <c r="A939" s="1076"/>
      <c r="B939" s="1074">
        <f>+'[18]Bldg+Dev'!S1751</f>
        <v>0</v>
      </c>
      <c r="D939" s="1063"/>
      <c r="F939" s="1076"/>
      <c r="G939" s="1063"/>
      <c r="H939" s="1063"/>
      <c r="I939" s="1063"/>
      <c r="J939" s="1063"/>
      <c r="K939" s="1063"/>
      <c r="L939" s="1063"/>
      <c r="M939" s="1063"/>
      <c r="N939" s="1063"/>
      <c r="O939" s="1063"/>
      <c r="P939" s="1063"/>
      <c r="Q939" s="1063"/>
      <c r="R939" s="1063"/>
      <c r="S939" s="1063"/>
      <c r="T939" s="1063"/>
      <c r="U939" s="1063"/>
      <c r="V939" s="1063"/>
      <c r="W939" s="1063"/>
      <c r="X939" s="1063"/>
      <c r="Y939" s="1063"/>
      <c r="Z939" s="1063"/>
      <c r="AA939" s="1063"/>
      <c r="AB939" s="1063"/>
      <c r="AC939" s="1063"/>
      <c r="AD939" s="1063"/>
      <c r="AE939" s="1063"/>
      <c r="AF939" s="1063"/>
      <c r="AG939" s="1063"/>
      <c r="AH939" s="1063"/>
      <c r="AI939" s="1063"/>
      <c r="AJ939" s="1063"/>
      <c r="AK939" s="1063"/>
      <c r="AL939" s="1063"/>
      <c r="AM939" s="1063"/>
      <c r="AN939" s="1063"/>
      <c r="AO939" s="1063"/>
      <c r="AP939" s="1063"/>
      <c r="AQ939" s="1063"/>
      <c r="AR939" s="1063"/>
      <c r="AS939" s="1063"/>
      <c r="AT939" s="1063"/>
      <c r="AU939" s="1063"/>
      <c r="AV939" s="1063"/>
    </row>
    <row r="940" spans="1:48" s="1108" customFormat="1" ht="27.75" customHeight="1">
      <c r="A940" s="1076"/>
      <c r="B940" s="1074">
        <f>+'[18]Bldg+Dev'!S1752</f>
        <v>0</v>
      </c>
      <c r="D940" s="1063"/>
      <c r="F940" s="1076"/>
      <c r="G940" s="1063"/>
      <c r="H940" s="1063"/>
      <c r="I940" s="1063"/>
      <c r="J940" s="1063"/>
      <c r="K940" s="1063"/>
      <c r="L940" s="1063"/>
      <c r="M940" s="1063"/>
      <c r="N940" s="1063"/>
      <c r="O940" s="1063"/>
      <c r="P940" s="1063"/>
      <c r="Q940" s="1063"/>
      <c r="R940" s="1063"/>
      <c r="S940" s="1063"/>
      <c r="T940" s="1063"/>
      <c r="U940" s="1063"/>
      <c r="V940" s="1063"/>
      <c r="W940" s="1063"/>
      <c r="X940" s="1063"/>
      <c r="Y940" s="1063"/>
      <c r="Z940" s="1063"/>
      <c r="AA940" s="1063"/>
      <c r="AB940" s="1063"/>
      <c r="AC940" s="1063"/>
      <c r="AD940" s="1063"/>
      <c r="AE940" s="1063"/>
      <c r="AF940" s="1063"/>
      <c r="AG940" s="1063"/>
      <c r="AH940" s="1063"/>
      <c r="AI940" s="1063"/>
      <c r="AJ940" s="1063"/>
      <c r="AK940" s="1063"/>
      <c r="AL940" s="1063"/>
      <c r="AM940" s="1063"/>
      <c r="AN940" s="1063"/>
      <c r="AO940" s="1063"/>
      <c r="AP940" s="1063"/>
      <c r="AQ940" s="1063"/>
      <c r="AR940" s="1063"/>
      <c r="AS940" s="1063"/>
      <c r="AT940" s="1063"/>
      <c r="AU940" s="1063"/>
      <c r="AV940" s="1063"/>
    </row>
    <row r="941" spans="1:48" s="1108" customFormat="1" ht="27.75" customHeight="1">
      <c r="A941" s="1076"/>
      <c r="B941" s="1074">
        <f>+'[18]Bldg+Dev'!S1753</f>
        <v>0</v>
      </c>
      <c r="D941" s="1063"/>
      <c r="F941" s="1076"/>
      <c r="G941" s="1063"/>
      <c r="H941" s="1063"/>
      <c r="I941" s="1063"/>
      <c r="J941" s="1063"/>
      <c r="K941" s="1063"/>
      <c r="L941" s="1063"/>
      <c r="M941" s="1063"/>
      <c r="N941" s="1063"/>
      <c r="O941" s="1063"/>
      <c r="P941" s="1063"/>
      <c r="Q941" s="1063"/>
      <c r="R941" s="1063"/>
      <c r="S941" s="1063"/>
      <c r="T941" s="1063"/>
      <c r="U941" s="1063"/>
      <c r="V941" s="1063"/>
      <c r="W941" s="1063"/>
      <c r="X941" s="1063"/>
      <c r="Y941" s="1063"/>
      <c r="Z941" s="1063"/>
      <c r="AA941" s="1063"/>
      <c r="AB941" s="1063"/>
      <c r="AC941" s="1063"/>
      <c r="AD941" s="1063"/>
      <c r="AE941" s="1063"/>
      <c r="AF941" s="1063"/>
      <c r="AG941" s="1063"/>
      <c r="AH941" s="1063"/>
      <c r="AI941" s="1063"/>
      <c r="AJ941" s="1063"/>
      <c r="AK941" s="1063"/>
      <c r="AL941" s="1063"/>
      <c r="AM941" s="1063"/>
      <c r="AN941" s="1063"/>
      <c r="AO941" s="1063"/>
      <c r="AP941" s="1063"/>
      <c r="AQ941" s="1063"/>
      <c r="AR941" s="1063"/>
      <c r="AS941" s="1063"/>
      <c r="AT941" s="1063"/>
      <c r="AU941" s="1063"/>
      <c r="AV941" s="1063"/>
    </row>
    <row r="942" spans="1:48" s="1108" customFormat="1" ht="27.75" customHeight="1">
      <c r="A942" s="1076"/>
      <c r="B942" s="1074">
        <f>+'[18]Bldg+Dev'!S1754</f>
        <v>0</v>
      </c>
      <c r="D942" s="1063"/>
      <c r="F942" s="1076"/>
      <c r="G942" s="1063"/>
      <c r="H942" s="1063"/>
      <c r="I942" s="1063"/>
      <c r="J942" s="1063"/>
      <c r="K942" s="1063"/>
      <c r="L942" s="1063"/>
      <c r="M942" s="1063"/>
      <c r="N942" s="1063"/>
      <c r="O942" s="1063"/>
      <c r="P942" s="1063"/>
      <c r="Q942" s="1063"/>
      <c r="R942" s="1063"/>
      <c r="S942" s="1063"/>
      <c r="T942" s="1063"/>
      <c r="U942" s="1063"/>
      <c r="V942" s="1063"/>
      <c r="W942" s="1063"/>
      <c r="X942" s="1063"/>
      <c r="Y942" s="1063"/>
      <c r="Z942" s="1063"/>
      <c r="AA942" s="1063"/>
      <c r="AB942" s="1063"/>
      <c r="AC942" s="1063"/>
      <c r="AD942" s="1063"/>
      <c r="AE942" s="1063"/>
      <c r="AF942" s="1063"/>
      <c r="AG942" s="1063"/>
      <c r="AH942" s="1063"/>
      <c r="AI942" s="1063"/>
      <c r="AJ942" s="1063"/>
      <c r="AK942" s="1063"/>
      <c r="AL942" s="1063"/>
      <c r="AM942" s="1063"/>
      <c r="AN942" s="1063"/>
      <c r="AO942" s="1063"/>
      <c r="AP942" s="1063"/>
      <c r="AQ942" s="1063"/>
      <c r="AR942" s="1063"/>
      <c r="AS942" s="1063"/>
      <c r="AT942" s="1063"/>
      <c r="AU942" s="1063"/>
      <c r="AV942" s="1063"/>
    </row>
    <row r="943" spans="1:48" s="1108" customFormat="1" ht="27.75" customHeight="1">
      <c r="A943" s="1076"/>
      <c r="B943" s="1074">
        <f>+'[18]Bldg+Dev'!S1755</f>
        <v>0</v>
      </c>
      <c r="D943" s="1063"/>
      <c r="F943" s="1076"/>
      <c r="G943" s="1063"/>
      <c r="H943" s="1063"/>
      <c r="I943" s="1063"/>
      <c r="J943" s="1063"/>
      <c r="K943" s="1063"/>
      <c r="L943" s="1063"/>
      <c r="M943" s="1063"/>
      <c r="N943" s="1063"/>
      <c r="O943" s="1063"/>
      <c r="P943" s="1063"/>
      <c r="Q943" s="1063"/>
      <c r="R943" s="1063"/>
      <c r="S943" s="1063"/>
      <c r="T943" s="1063"/>
      <c r="U943" s="1063"/>
      <c r="V943" s="1063"/>
      <c r="W943" s="1063"/>
      <c r="X943" s="1063"/>
      <c r="Y943" s="1063"/>
      <c r="Z943" s="1063"/>
      <c r="AA943" s="1063"/>
      <c r="AB943" s="1063"/>
      <c r="AC943" s="1063"/>
      <c r="AD943" s="1063"/>
      <c r="AE943" s="1063"/>
      <c r="AF943" s="1063"/>
      <c r="AG943" s="1063"/>
      <c r="AH943" s="1063"/>
      <c r="AI943" s="1063"/>
      <c r="AJ943" s="1063"/>
      <c r="AK943" s="1063"/>
      <c r="AL943" s="1063"/>
      <c r="AM943" s="1063"/>
      <c r="AN943" s="1063"/>
      <c r="AO943" s="1063"/>
      <c r="AP943" s="1063"/>
      <c r="AQ943" s="1063"/>
      <c r="AR943" s="1063"/>
      <c r="AS943" s="1063"/>
      <c r="AT943" s="1063"/>
      <c r="AU943" s="1063"/>
      <c r="AV943" s="1063"/>
    </row>
    <row r="944" spans="1:48" s="1108" customFormat="1" ht="27.75" customHeight="1">
      <c r="A944" s="1076"/>
      <c r="B944" s="1074">
        <f>+'[18]Bldg+Dev'!S1756</f>
        <v>0</v>
      </c>
      <c r="D944" s="1063"/>
      <c r="F944" s="1076"/>
      <c r="G944" s="1063"/>
      <c r="H944" s="1063"/>
      <c r="I944" s="1063"/>
      <c r="J944" s="1063"/>
      <c r="K944" s="1063"/>
      <c r="L944" s="1063"/>
      <c r="M944" s="1063"/>
      <c r="N944" s="1063"/>
      <c r="O944" s="1063"/>
      <c r="P944" s="1063"/>
      <c r="Q944" s="1063"/>
      <c r="R944" s="1063"/>
      <c r="S944" s="1063"/>
      <c r="T944" s="1063"/>
      <c r="U944" s="1063"/>
      <c r="V944" s="1063"/>
      <c r="W944" s="1063"/>
      <c r="X944" s="1063"/>
      <c r="Y944" s="1063"/>
      <c r="Z944" s="1063"/>
      <c r="AA944" s="1063"/>
      <c r="AB944" s="1063"/>
      <c r="AC944" s="1063"/>
      <c r="AD944" s="1063"/>
      <c r="AE944" s="1063"/>
      <c r="AF944" s="1063"/>
      <c r="AG944" s="1063"/>
      <c r="AH944" s="1063"/>
      <c r="AI944" s="1063"/>
      <c r="AJ944" s="1063"/>
      <c r="AK944" s="1063"/>
      <c r="AL944" s="1063"/>
      <c r="AM944" s="1063"/>
      <c r="AN944" s="1063"/>
      <c r="AO944" s="1063"/>
      <c r="AP944" s="1063"/>
      <c r="AQ944" s="1063"/>
      <c r="AR944" s="1063"/>
      <c r="AS944" s="1063"/>
      <c r="AT944" s="1063"/>
      <c r="AU944" s="1063"/>
      <c r="AV944" s="1063"/>
    </row>
    <row r="945" spans="1:48" s="1108" customFormat="1" ht="27.75" customHeight="1">
      <c r="A945" s="1076"/>
      <c r="B945" s="1074">
        <f>+'[18]Bldg+Dev'!S1757</f>
        <v>0</v>
      </c>
      <c r="D945" s="1063"/>
      <c r="F945" s="1076"/>
      <c r="G945" s="1063"/>
      <c r="H945" s="1063"/>
      <c r="I945" s="1063"/>
      <c r="J945" s="1063"/>
      <c r="K945" s="1063"/>
      <c r="L945" s="1063"/>
      <c r="M945" s="1063"/>
      <c r="N945" s="1063"/>
      <c r="O945" s="1063"/>
      <c r="P945" s="1063"/>
      <c r="Q945" s="1063"/>
      <c r="R945" s="1063"/>
      <c r="S945" s="1063"/>
      <c r="T945" s="1063"/>
      <c r="U945" s="1063"/>
      <c r="V945" s="1063"/>
      <c r="W945" s="1063"/>
      <c r="X945" s="1063"/>
      <c r="Y945" s="1063"/>
      <c r="Z945" s="1063"/>
      <c r="AA945" s="1063"/>
      <c r="AB945" s="1063"/>
      <c r="AC945" s="1063"/>
      <c r="AD945" s="1063"/>
      <c r="AE945" s="1063"/>
      <c r="AF945" s="1063"/>
      <c r="AG945" s="1063"/>
      <c r="AH945" s="1063"/>
      <c r="AI945" s="1063"/>
      <c r="AJ945" s="1063"/>
      <c r="AK945" s="1063"/>
      <c r="AL945" s="1063"/>
      <c r="AM945" s="1063"/>
      <c r="AN945" s="1063"/>
      <c r="AO945" s="1063"/>
      <c r="AP945" s="1063"/>
      <c r="AQ945" s="1063"/>
      <c r="AR945" s="1063"/>
      <c r="AS945" s="1063"/>
      <c r="AT945" s="1063"/>
      <c r="AU945" s="1063"/>
      <c r="AV945" s="1063"/>
    </row>
    <row r="946" spans="1:48" s="1108" customFormat="1" ht="27.75" customHeight="1">
      <c r="A946" s="1076"/>
      <c r="B946" s="1074">
        <f>+'[18]Bldg+Dev'!S1758</f>
        <v>0</v>
      </c>
      <c r="D946" s="1063"/>
      <c r="F946" s="1076"/>
      <c r="G946" s="1063"/>
      <c r="H946" s="1063"/>
      <c r="I946" s="1063"/>
      <c r="J946" s="1063"/>
      <c r="K946" s="1063"/>
      <c r="L946" s="1063"/>
      <c r="M946" s="1063"/>
      <c r="N946" s="1063"/>
      <c r="O946" s="1063"/>
      <c r="P946" s="1063"/>
      <c r="Q946" s="1063"/>
      <c r="R946" s="1063"/>
      <c r="S946" s="1063"/>
      <c r="T946" s="1063"/>
      <c r="U946" s="1063"/>
      <c r="V946" s="1063"/>
      <c r="W946" s="1063"/>
      <c r="X946" s="1063"/>
      <c r="Y946" s="1063"/>
      <c r="Z946" s="1063"/>
      <c r="AA946" s="1063"/>
      <c r="AB946" s="1063"/>
      <c r="AC946" s="1063"/>
      <c r="AD946" s="1063"/>
      <c r="AE946" s="1063"/>
      <c r="AF946" s="1063"/>
      <c r="AG946" s="1063"/>
      <c r="AH946" s="1063"/>
      <c r="AI946" s="1063"/>
      <c r="AJ946" s="1063"/>
      <c r="AK946" s="1063"/>
      <c r="AL946" s="1063"/>
      <c r="AM946" s="1063"/>
      <c r="AN946" s="1063"/>
      <c r="AO946" s="1063"/>
      <c r="AP946" s="1063"/>
      <c r="AQ946" s="1063"/>
      <c r="AR946" s="1063"/>
      <c r="AS946" s="1063"/>
      <c r="AT946" s="1063"/>
      <c r="AU946" s="1063"/>
      <c r="AV946" s="1063"/>
    </row>
    <row r="947" spans="1:48" s="1108" customFormat="1" ht="27.75" customHeight="1">
      <c r="A947" s="1076"/>
      <c r="B947" s="1074">
        <f>+'[18]Bldg+Dev'!S1759</f>
        <v>0</v>
      </c>
      <c r="D947" s="1063"/>
      <c r="F947" s="1076"/>
      <c r="G947" s="1063"/>
      <c r="H947" s="1063"/>
      <c r="I947" s="1063"/>
      <c r="J947" s="1063"/>
      <c r="K947" s="1063"/>
      <c r="L947" s="1063"/>
      <c r="M947" s="1063"/>
      <c r="N947" s="1063"/>
      <c r="O947" s="1063"/>
      <c r="P947" s="1063"/>
      <c r="Q947" s="1063"/>
      <c r="R947" s="1063"/>
      <c r="S947" s="1063"/>
      <c r="T947" s="1063"/>
      <c r="U947" s="1063"/>
      <c r="V947" s="1063"/>
      <c r="W947" s="1063"/>
      <c r="X947" s="1063"/>
      <c r="Y947" s="1063"/>
      <c r="Z947" s="1063"/>
      <c r="AA947" s="1063"/>
      <c r="AB947" s="1063"/>
      <c r="AC947" s="1063"/>
      <c r="AD947" s="1063"/>
      <c r="AE947" s="1063"/>
      <c r="AF947" s="1063"/>
      <c r="AG947" s="1063"/>
      <c r="AH947" s="1063"/>
      <c r="AI947" s="1063"/>
      <c r="AJ947" s="1063"/>
      <c r="AK947" s="1063"/>
      <c r="AL947" s="1063"/>
      <c r="AM947" s="1063"/>
      <c r="AN947" s="1063"/>
      <c r="AO947" s="1063"/>
      <c r="AP947" s="1063"/>
      <c r="AQ947" s="1063"/>
      <c r="AR947" s="1063"/>
      <c r="AS947" s="1063"/>
      <c r="AT947" s="1063"/>
      <c r="AU947" s="1063"/>
      <c r="AV947" s="1063"/>
    </row>
    <row r="948" spans="1:48" s="1108" customFormat="1" ht="27.75" customHeight="1">
      <c r="A948" s="1076"/>
      <c r="B948" s="1074">
        <f>+'[18]Bldg+Dev'!S1760</f>
        <v>0</v>
      </c>
      <c r="D948" s="1063"/>
      <c r="F948" s="1076"/>
      <c r="G948" s="1063"/>
      <c r="H948" s="1063"/>
      <c r="I948" s="1063"/>
      <c r="J948" s="1063"/>
      <c r="K948" s="1063"/>
      <c r="L948" s="1063"/>
      <c r="M948" s="1063"/>
      <c r="N948" s="1063"/>
      <c r="O948" s="1063"/>
      <c r="P948" s="1063"/>
      <c r="Q948" s="1063"/>
      <c r="R948" s="1063"/>
      <c r="S948" s="1063"/>
      <c r="T948" s="1063"/>
      <c r="U948" s="1063"/>
      <c r="V948" s="1063"/>
      <c r="W948" s="1063"/>
      <c r="X948" s="1063"/>
      <c r="Y948" s="1063"/>
      <c r="Z948" s="1063"/>
      <c r="AA948" s="1063"/>
      <c r="AB948" s="1063"/>
      <c r="AC948" s="1063"/>
      <c r="AD948" s="1063"/>
      <c r="AE948" s="1063"/>
      <c r="AF948" s="1063"/>
      <c r="AG948" s="1063"/>
      <c r="AH948" s="1063"/>
      <c r="AI948" s="1063"/>
      <c r="AJ948" s="1063"/>
      <c r="AK948" s="1063"/>
      <c r="AL948" s="1063"/>
      <c r="AM948" s="1063"/>
      <c r="AN948" s="1063"/>
      <c r="AO948" s="1063"/>
      <c r="AP948" s="1063"/>
      <c r="AQ948" s="1063"/>
      <c r="AR948" s="1063"/>
      <c r="AS948" s="1063"/>
      <c r="AT948" s="1063"/>
      <c r="AU948" s="1063"/>
      <c r="AV948" s="1063"/>
    </row>
    <row r="949" spans="1:48" s="1108" customFormat="1" ht="27.75" customHeight="1">
      <c r="A949" s="1076"/>
      <c r="B949" s="1074">
        <f>+'[18]Bldg+Dev'!S1761</f>
        <v>0</v>
      </c>
      <c r="D949" s="1063"/>
      <c r="F949" s="1076"/>
      <c r="G949" s="1063"/>
      <c r="H949" s="1063"/>
      <c r="I949" s="1063"/>
      <c r="J949" s="1063"/>
      <c r="K949" s="1063"/>
      <c r="L949" s="1063"/>
      <c r="M949" s="1063"/>
      <c r="N949" s="1063"/>
      <c r="O949" s="1063"/>
      <c r="P949" s="1063"/>
      <c r="Q949" s="1063"/>
      <c r="R949" s="1063"/>
      <c r="S949" s="1063"/>
      <c r="T949" s="1063"/>
      <c r="U949" s="1063"/>
      <c r="V949" s="1063"/>
      <c r="W949" s="1063"/>
      <c r="X949" s="1063"/>
      <c r="Y949" s="1063"/>
      <c r="Z949" s="1063"/>
      <c r="AA949" s="1063"/>
      <c r="AB949" s="1063"/>
      <c r="AC949" s="1063"/>
      <c r="AD949" s="1063"/>
      <c r="AE949" s="1063"/>
      <c r="AF949" s="1063"/>
      <c r="AG949" s="1063"/>
      <c r="AH949" s="1063"/>
      <c r="AI949" s="1063"/>
      <c r="AJ949" s="1063"/>
      <c r="AK949" s="1063"/>
      <c r="AL949" s="1063"/>
      <c r="AM949" s="1063"/>
      <c r="AN949" s="1063"/>
      <c r="AO949" s="1063"/>
      <c r="AP949" s="1063"/>
      <c r="AQ949" s="1063"/>
      <c r="AR949" s="1063"/>
      <c r="AS949" s="1063"/>
      <c r="AT949" s="1063"/>
      <c r="AU949" s="1063"/>
      <c r="AV949" s="1063"/>
    </row>
    <row r="950" spans="1:48" s="1108" customFormat="1" ht="27.75" customHeight="1">
      <c r="A950" s="1076"/>
      <c r="B950" s="1074">
        <f>+'[18]Bldg+Dev'!S1762</f>
        <v>0</v>
      </c>
      <c r="D950" s="1063"/>
      <c r="F950" s="1076"/>
      <c r="G950" s="1063"/>
      <c r="H950" s="1063"/>
      <c r="I950" s="1063"/>
      <c r="J950" s="1063"/>
      <c r="K950" s="1063"/>
      <c r="L950" s="1063"/>
      <c r="M950" s="1063"/>
      <c r="N950" s="1063"/>
      <c r="O950" s="1063"/>
      <c r="P950" s="1063"/>
      <c r="Q950" s="1063"/>
      <c r="R950" s="1063"/>
      <c r="S950" s="1063"/>
      <c r="T950" s="1063"/>
      <c r="U950" s="1063"/>
      <c r="V950" s="1063"/>
      <c r="W950" s="1063"/>
      <c r="X950" s="1063"/>
      <c r="Y950" s="1063"/>
      <c r="Z950" s="1063"/>
      <c r="AA950" s="1063"/>
      <c r="AB950" s="1063"/>
      <c r="AC950" s="1063"/>
      <c r="AD950" s="1063"/>
      <c r="AE950" s="1063"/>
      <c r="AF950" s="1063"/>
      <c r="AG950" s="1063"/>
      <c r="AH950" s="1063"/>
      <c r="AI950" s="1063"/>
      <c r="AJ950" s="1063"/>
      <c r="AK950" s="1063"/>
      <c r="AL950" s="1063"/>
      <c r="AM950" s="1063"/>
      <c r="AN950" s="1063"/>
      <c r="AO950" s="1063"/>
      <c r="AP950" s="1063"/>
      <c r="AQ950" s="1063"/>
      <c r="AR950" s="1063"/>
      <c r="AS950" s="1063"/>
      <c r="AT950" s="1063"/>
      <c r="AU950" s="1063"/>
      <c r="AV950" s="1063"/>
    </row>
    <row r="951" spans="1:48" s="1108" customFormat="1" ht="27.75" customHeight="1">
      <c r="A951" s="1076"/>
      <c r="B951" s="1074">
        <f>+'[18]Bldg+Dev'!S1763</f>
        <v>0</v>
      </c>
      <c r="D951" s="1063"/>
      <c r="F951" s="1076"/>
      <c r="G951" s="1063"/>
      <c r="H951" s="1063"/>
      <c r="I951" s="1063"/>
      <c r="J951" s="1063"/>
      <c r="K951" s="1063"/>
      <c r="L951" s="1063"/>
      <c r="M951" s="1063"/>
      <c r="N951" s="1063"/>
      <c r="O951" s="1063"/>
      <c r="P951" s="1063"/>
      <c r="Q951" s="1063"/>
      <c r="R951" s="1063"/>
      <c r="S951" s="1063"/>
      <c r="T951" s="1063"/>
      <c r="U951" s="1063"/>
      <c r="V951" s="1063"/>
      <c r="W951" s="1063"/>
      <c r="X951" s="1063"/>
      <c r="Y951" s="1063"/>
      <c r="Z951" s="1063"/>
      <c r="AA951" s="1063"/>
      <c r="AB951" s="1063"/>
      <c r="AC951" s="1063"/>
      <c r="AD951" s="1063"/>
      <c r="AE951" s="1063"/>
      <c r="AF951" s="1063"/>
      <c r="AG951" s="1063"/>
      <c r="AH951" s="1063"/>
      <c r="AI951" s="1063"/>
      <c r="AJ951" s="1063"/>
      <c r="AK951" s="1063"/>
      <c r="AL951" s="1063"/>
      <c r="AM951" s="1063"/>
      <c r="AN951" s="1063"/>
      <c r="AO951" s="1063"/>
      <c r="AP951" s="1063"/>
      <c r="AQ951" s="1063"/>
      <c r="AR951" s="1063"/>
      <c r="AS951" s="1063"/>
      <c r="AT951" s="1063"/>
      <c r="AU951" s="1063"/>
      <c r="AV951" s="1063"/>
    </row>
    <row r="952" spans="1:48" s="1108" customFormat="1" ht="27.75" customHeight="1">
      <c r="A952" s="1076"/>
      <c r="B952" s="1074">
        <f>+'[18]Bldg+Dev'!S1764</f>
        <v>0</v>
      </c>
      <c r="D952" s="1063"/>
      <c r="F952" s="1076"/>
      <c r="G952" s="1063"/>
      <c r="H952" s="1063"/>
      <c r="I952" s="1063"/>
      <c r="J952" s="1063"/>
      <c r="K952" s="1063"/>
      <c r="L952" s="1063"/>
      <c r="M952" s="1063"/>
      <c r="N952" s="1063"/>
      <c r="O952" s="1063"/>
      <c r="P952" s="1063"/>
      <c r="Q952" s="1063"/>
      <c r="R952" s="1063"/>
      <c r="S952" s="1063"/>
      <c r="T952" s="1063"/>
      <c r="U952" s="1063"/>
      <c r="V952" s="1063"/>
      <c r="W952" s="1063"/>
      <c r="X952" s="1063"/>
      <c r="Y952" s="1063"/>
      <c r="Z952" s="1063"/>
      <c r="AA952" s="1063"/>
      <c r="AB952" s="1063"/>
      <c r="AC952" s="1063"/>
      <c r="AD952" s="1063"/>
      <c r="AE952" s="1063"/>
      <c r="AF952" s="1063"/>
      <c r="AG952" s="1063"/>
      <c r="AH952" s="1063"/>
      <c r="AI952" s="1063"/>
      <c r="AJ952" s="1063"/>
      <c r="AK952" s="1063"/>
      <c r="AL952" s="1063"/>
      <c r="AM952" s="1063"/>
      <c r="AN952" s="1063"/>
      <c r="AO952" s="1063"/>
      <c r="AP952" s="1063"/>
      <c r="AQ952" s="1063"/>
      <c r="AR952" s="1063"/>
      <c r="AS952" s="1063"/>
      <c r="AT952" s="1063"/>
      <c r="AU952" s="1063"/>
      <c r="AV952" s="1063"/>
    </row>
    <row r="953" spans="1:48" s="1108" customFormat="1" ht="27.75" customHeight="1">
      <c r="A953" s="1076"/>
      <c r="B953" s="1074">
        <f>+'[18]Bldg+Dev'!S1765</f>
        <v>0</v>
      </c>
      <c r="D953" s="1063"/>
      <c r="F953" s="1076"/>
      <c r="G953" s="1063"/>
      <c r="H953" s="1063"/>
      <c r="I953" s="1063"/>
      <c r="J953" s="1063"/>
      <c r="K953" s="1063"/>
      <c r="L953" s="1063"/>
      <c r="M953" s="1063"/>
      <c r="N953" s="1063"/>
      <c r="O953" s="1063"/>
      <c r="P953" s="1063"/>
      <c r="Q953" s="1063"/>
      <c r="R953" s="1063"/>
      <c r="S953" s="1063"/>
      <c r="T953" s="1063"/>
      <c r="U953" s="1063"/>
      <c r="V953" s="1063"/>
      <c r="W953" s="1063"/>
      <c r="X953" s="1063"/>
      <c r="Y953" s="1063"/>
      <c r="Z953" s="1063"/>
      <c r="AA953" s="1063"/>
      <c r="AB953" s="1063"/>
      <c r="AC953" s="1063"/>
      <c r="AD953" s="1063"/>
      <c r="AE953" s="1063"/>
      <c r="AF953" s="1063"/>
      <c r="AG953" s="1063"/>
      <c r="AH953" s="1063"/>
      <c r="AI953" s="1063"/>
      <c r="AJ953" s="1063"/>
      <c r="AK953" s="1063"/>
      <c r="AL953" s="1063"/>
      <c r="AM953" s="1063"/>
      <c r="AN953" s="1063"/>
      <c r="AO953" s="1063"/>
      <c r="AP953" s="1063"/>
      <c r="AQ953" s="1063"/>
      <c r="AR953" s="1063"/>
      <c r="AS953" s="1063"/>
      <c r="AT953" s="1063"/>
      <c r="AU953" s="1063"/>
      <c r="AV953" s="1063"/>
    </row>
    <row r="954" spans="1:48" s="1108" customFormat="1" ht="27.75" customHeight="1">
      <c r="A954" s="1076"/>
      <c r="B954" s="1074">
        <f>+'[18]Bldg+Dev'!S1766</f>
        <v>0</v>
      </c>
      <c r="D954" s="1063"/>
      <c r="F954" s="1076"/>
      <c r="G954" s="1063"/>
      <c r="H954" s="1063"/>
      <c r="I954" s="1063"/>
      <c r="J954" s="1063"/>
      <c r="K954" s="1063"/>
      <c r="L954" s="1063"/>
      <c r="M954" s="1063"/>
      <c r="N954" s="1063"/>
      <c r="O954" s="1063"/>
      <c r="P954" s="1063"/>
      <c r="Q954" s="1063"/>
      <c r="R954" s="1063"/>
      <c r="S954" s="1063"/>
      <c r="T954" s="1063"/>
      <c r="U954" s="1063"/>
      <c r="V954" s="1063"/>
      <c r="W954" s="1063"/>
      <c r="X954" s="1063"/>
      <c r="Y954" s="1063"/>
      <c r="Z954" s="1063"/>
      <c r="AA954" s="1063"/>
      <c r="AB954" s="1063"/>
      <c r="AC954" s="1063"/>
      <c r="AD954" s="1063"/>
      <c r="AE954" s="1063"/>
      <c r="AF954" s="1063"/>
      <c r="AG954" s="1063"/>
      <c r="AH954" s="1063"/>
      <c r="AI954" s="1063"/>
      <c r="AJ954" s="1063"/>
      <c r="AK954" s="1063"/>
      <c r="AL954" s="1063"/>
      <c r="AM954" s="1063"/>
      <c r="AN954" s="1063"/>
      <c r="AO954" s="1063"/>
      <c r="AP954" s="1063"/>
      <c r="AQ954" s="1063"/>
      <c r="AR954" s="1063"/>
      <c r="AS954" s="1063"/>
      <c r="AT954" s="1063"/>
      <c r="AU954" s="1063"/>
      <c r="AV954" s="1063"/>
    </row>
    <row r="955" spans="1:48" s="1108" customFormat="1" ht="27.75" customHeight="1">
      <c r="A955" s="1076"/>
      <c r="B955" s="1074">
        <f>+'[18]Bldg+Dev'!S1767</f>
        <v>0</v>
      </c>
      <c r="D955" s="1063"/>
      <c r="F955" s="1076"/>
      <c r="G955" s="1063"/>
      <c r="H955" s="1063"/>
      <c r="I955" s="1063"/>
      <c r="J955" s="1063"/>
      <c r="K955" s="1063"/>
      <c r="L955" s="1063"/>
      <c r="M955" s="1063"/>
      <c r="N955" s="1063"/>
      <c r="O955" s="1063"/>
      <c r="P955" s="1063"/>
      <c r="Q955" s="1063"/>
      <c r="R955" s="1063"/>
      <c r="S955" s="1063"/>
      <c r="T955" s="1063"/>
      <c r="U955" s="1063"/>
      <c r="V955" s="1063"/>
      <c r="W955" s="1063"/>
      <c r="X955" s="1063"/>
      <c r="Y955" s="1063"/>
      <c r="Z955" s="1063"/>
      <c r="AA955" s="1063"/>
      <c r="AB955" s="1063"/>
      <c r="AC955" s="1063"/>
      <c r="AD955" s="1063"/>
      <c r="AE955" s="1063"/>
      <c r="AF955" s="1063"/>
      <c r="AG955" s="1063"/>
      <c r="AH955" s="1063"/>
      <c r="AI955" s="1063"/>
      <c r="AJ955" s="1063"/>
      <c r="AK955" s="1063"/>
      <c r="AL955" s="1063"/>
      <c r="AM955" s="1063"/>
      <c r="AN955" s="1063"/>
      <c r="AO955" s="1063"/>
      <c r="AP955" s="1063"/>
      <c r="AQ955" s="1063"/>
      <c r="AR955" s="1063"/>
      <c r="AS955" s="1063"/>
      <c r="AT955" s="1063"/>
      <c r="AU955" s="1063"/>
      <c r="AV955" s="1063"/>
    </row>
    <row r="956" spans="1:48" s="1108" customFormat="1" ht="27.75" customHeight="1">
      <c r="A956" s="1076"/>
      <c r="B956" s="1074">
        <f>+'[18]Bldg+Dev'!S1768</f>
        <v>0</v>
      </c>
      <c r="D956" s="1063"/>
      <c r="F956" s="1076"/>
      <c r="G956" s="1063"/>
      <c r="H956" s="1063"/>
      <c r="I956" s="1063"/>
      <c r="J956" s="1063"/>
      <c r="K956" s="1063"/>
      <c r="L956" s="1063"/>
      <c r="M956" s="1063"/>
      <c r="N956" s="1063"/>
      <c r="O956" s="1063"/>
      <c r="P956" s="1063"/>
      <c r="Q956" s="1063"/>
      <c r="R956" s="1063"/>
      <c r="S956" s="1063"/>
      <c r="T956" s="1063"/>
      <c r="U956" s="1063"/>
      <c r="V956" s="1063"/>
      <c r="W956" s="1063"/>
      <c r="X956" s="1063"/>
      <c r="Y956" s="1063"/>
      <c r="Z956" s="1063"/>
      <c r="AA956" s="1063"/>
      <c r="AB956" s="1063"/>
      <c r="AC956" s="1063"/>
      <c r="AD956" s="1063"/>
      <c r="AE956" s="1063"/>
      <c r="AF956" s="1063"/>
      <c r="AG956" s="1063"/>
      <c r="AH956" s="1063"/>
      <c r="AI956" s="1063"/>
      <c r="AJ956" s="1063"/>
      <c r="AK956" s="1063"/>
      <c r="AL956" s="1063"/>
      <c r="AM956" s="1063"/>
      <c r="AN956" s="1063"/>
      <c r="AO956" s="1063"/>
      <c r="AP956" s="1063"/>
      <c r="AQ956" s="1063"/>
      <c r="AR956" s="1063"/>
      <c r="AS956" s="1063"/>
      <c r="AT956" s="1063"/>
      <c r="AU956" s="1063"/>
      <c r="AV956" s="1063"/>
    </row>
    <row r="957" spans="1:48" s="1108" customFormat="1" ht="27.75" customHeight="1">
      <c r="A957" s="1076"/>
      <c r="B957" s="1074">
        <f>+'[18]Bldg+Dev'!S1769</f>
        <v>0</v>
      </c>
      <c r="D957" s="1063"/>
      <c r="F957" s="1076"/>
      <c r="G957" s="1063"/>
      <c r="H957" s="1063"/>
      <c r="I957" s="1063"/>
      <c r="J957" s="1063"/>
      <c r="K957" s="1063"/>
      <c r="L957" s="1063"/>
      <c r="M957" s="1063"/>
      <c r="N957" s="1063"/>
      <c r="O957" s="1063"/>
      <c r="P957" s="1063"/>
      <c r="Q957" s="1063"/>
      <c r="R957" s="1063"/>
      <c r="S957" s="1063"/>
      <c r="T957" s="1063"/>
      <c r="U957" s="1063"/>
      <c r="V957" s="1063"/>
      <c r="W957" s="1063"/>
      <c r="X957" s="1063"/>
      <c r="Y957" s="1063"/>
      <c r="Z957" s="1063"/>
      <c r="AA957" s="1063"/>
      <c r="AB957" s="1063"/>
      <c r="AC957" s="1063"/>
      <c r="AD957" s="1063"/>
      <c r="AE957" s="1063"/>
      <c r="AF957" s="1063"/>
      <c r="AG957" s="1063"/>
      <c r="AH957" s="1063"/>
      <c r="AI957" s="1063"/>
      <c r="AJ957" s="1063"/>
      <c r="AK957" s="1063"/>
      <c r="AL957" s="1063"/>
      <c r="AM957" s="1063"/>
      <c r="AN957" s="1063"/>
      <c r="AO957" s="1063"/>
      <c r="AP957" s="1063"/>
      <c r="AQ957" s="1063"/>
      <c r="AR957" s="1063"/>
      <c r="AS957" s="1063"/>
      <c r="AT957" s="1063"/>
      <c r="AU957" s="1063"/>
      <c r="AV957" s="1063"/>
    </row>
    <row r="958" spans="1:48" s="1108" customFormat="1" ht="27.75" customHeight="1">
      <c r="A958" s="1076"/>
      <c r="B958" s="1074">
        <f>+'[18]Bldg+Dev'!S1770</f>
        <v>0</v>
      </c>
      <c r="D958" s="1063"/>
      <c r="F958" s="1076"/>
      <c r="G958" s="1063"/>
      <c r="H958" s="1063"/>
      <c r="I958" s="1063"/>
      <c r="J958" s="1063"/>
      <c r="K958" s="1063"/>
      <c r="L958" s="1063"/>
      <c r="M958" s="1063"/>
      <c r="N958" s="1063"/>
      <c r="O958" s="1063"/>
      <c r="P958" s="1063"/>
      <c r="Q958" s="1063"/>
      <c r="R958" s="1063"/>
      <c r="S958" s="1063"/>
      <c r="T958" s="1063"/>
      <c r="U958" s="1063"/>
      <c r="V958" s="1063"/>
      <c r="W958" s="1063"/>
      <c r="X958" s="1063"/>
      <c r="Y958" s="1063"/>
      <c r="Z958" s="1063"/>
      <c r="AA958" s="1063"/>
      <c r="AB958" s="1063"/>
      <c r="AC958" s="1063"/>
      <c r="AD958" s="1063"/>
      <c r="AE958" s="1063"/>
      <c r="AF958" s="1063"/>
      <c r="AG958" s="1063"/>
      <c r="AH958" s="1063"/>
      <c r="AI958" s="1063"/>
      <c r="AJ958" s="1063"/>
      <c r="AK958" s="1063"/>
      <c r="AL958" s="1063"/>
      <c r="AM958" s="1063"/>
      <c r="AN958" s="1063"/>
      <c r="AO958" s="1063"/>
      <c r="AP958" s="1063"/>
      <c r="AQ958" s="1063"/>
      <c r="AR958" s="1063"/>
      <c r="AS958" s="1063"/>
      <c r="AT958" s="1063"/>
      <c r="AU958" s="1063"/>
      <c r="AV958" s="1063"/>
    </row>
    <row r="959" spans="1:48" s="1108" customFormat="1" ht="27.75" customHeight="1">
      <c r="A959" s="1076"/>
      <c r="B959" s="1074">
        <f>+'[18]Bldg+Dev'!S1771</f>
        <v>0</v>
      </c>
      <c r="D959" s="1063"/>
      <c r="F959" s="1076"/>
      <c r="G959" s="1063"/>
      <c r="H959" s="1063"/>
      <c r="I959" s="1063"/>
      <c r="J959" s="1063"/>
      <c r="K959" s="1063"/>
      <c r="L959" s="1063"/>
      <c r="M959" s="1063"/>
      <c r="N959" s="1063"/>
      <c r="O959" s="1063"/>
      <c r="P959" s="1063"/>
      <c r="Q959" s="1063"/>
      <c r="R959" s="1063"/>
      <c r="S959" s="1063"/>
      <c r="T959" s="1063"/>
      <c r="U959" s="1063"/>
      <c r="V959" s="1063"/>
      <c r="W959" s="1063"/>
      <c r="X959" s="1063"/>
      <c r="Y959" s="1063"/>
      <c r="Z959" s="1063"/>
      <c r="AA959" s="1063"/>
      <c r="AB959" s="1063"/>
      <c r="AC959" s="1063"/>
      <c r="AD959" s="1063"/>
      <c r="AE959" s="1063"/>
      <c r="AF959" s="1063"/>
      <c r="AG959" s="1063"/>
      <c r="AH959" s="1063"/>
      <c r="AI959" s="1063"/>
      <c r="AJ959" s="1063"/>
      <c r="AK959" s="1063"/>
      <c r="AL959" s="1063"/>
      <c r="AM959" s="1063"/>
      <c r="AN959" s="1063"/>
      <c r="AO959" s="1063"/>
      <c r="AP959" s="1063"/>
      <c r="AQ959" s="1063"/>
      <c r="AR959" s="1063"/>
      <c r="AS959" s="1063"/>
      <c r="AT959" s="1063"/>
      <c r="AU959" s="1063"/>
      <c r="AV959" s="1063"/>
    </row>
    <row r="960" spans="1:48" s="1108" customFormat="1" ht="27.75" customHeight="1">
      <c r="A960" s="1076"/>
      <c r="B960" s="1074">
        <f>+'[18]Bldg+Dev'!S1772</f>
        <v>0</v>
      </c>
      <c r="D960" s="1063"/>
      <c r="F960" s="1076"/>
      <c r="G960" s="1063"/>
      <c r="H960" s="1063"/>
      <c r="I960" s="1063"/>
      <c r="J960" s="1063"/>
      <c r="K960" s="1063"/>
      <c r="L960" s="1063"/>
      <c r="M960" s="1063"/>
      <c r="N960" s="1063"/>
      <c r="O960" s="1063"/>
      <c r="P960" s="1063"/>
      <c r="Q960" s="1063"/>
      <c r="R960" s="1063"/>
      <c r="S960" s="1063"/>
      <c r="T960" s="1063"/>
      <c r="U960" s="1063"/>
      <c r="V960" s="1063"/>
      <c r="W960" s="1063"/>
      <c r="X960" s="1063"/>
      <c r="Y960" s="1063"/>
      <c r="Z960" s="1063"/>
      <c r="AA960" s="1063"/>
      <c r="AB960" s="1063"/>
      <c r="AC960" s="1063"/>
      <c r="AD960" s="1063"/>
      <c r="AE960" s="1063"/>
      <c r="AF960" s="1063"/>
      <c r="AG960" s="1063"/>
      <c r="AH960" s="1063"/>
      <c r="AI960" s="1063"/>
      <c r="AJ960" s="1063"/>
      <c r="AK960" s="1063"/>
      <c r="AL960" s="1063"/>
      <c r="AM960" s="1063"/>
      <c r="AN960" s="1063"/>
      <c r="AO960" s="1063"/>
      <c r="AP960" s="1063"/>
      <c r="AQ960" s="1063"/>
      <c r="AR960" s="1063"/>
      <c r="AS960" s="1063"/>
      <c r="AT960" s="1063"/>
      <c r="AU960" s="1063"/>
      <c r="AV960" s="1063"/>
    </row>
    <row r="961" spans="1:48" s="1108" customFormat="1" ht="27.75" customHeight="1">
      <c r="A961" s="1076"/>
      <c r="B961" s="1074">
        <f>+'[18]Bldg+Dev'!S1773</f>
        <v>0</v>
      </c>
      <c r="D961" s="1063"/>
      <c r="F961" s="1076"/>
      <c r="G961" s="1063"/>
      <c r="H961" s="1063"/>
      <c r="I961" s="1063"/>
      <c r="J961" s="1063"/>
      <c r="K961" s="1063"/>
      <c r="L961" s="1063"/>
      <c r="M961" s="1063"/>
      <c r="N961" s="1063"/>
      <c r="O961" s="1063"/>
      <c r="P961" s="1063"/>
      <c r="Q961" s="1063"/>
      <c r="R961" s="1063"/>
      <c r="S961" s="1063"/>
      <c r="T961" s="1063"/>
      <c r="U961" s="1063"/>
      <c r="V961" s="1063"/>
      <c r="W961" s="1063"/>
      <c r="X961" s="1063"/>
      <c r="Y961" s="1063"/>
      <c r="Z961" s="1063"/>
      <c r="AA961" s="1063"/>
      <c r="AB961" s="1063"/>
      <c r="AC961" s="1063"/>
      <c r="AD961" s="1063"/>
      <c r="AE961" s="1063"/>
      <c r="AF961" s="1063"/>
      <c r="AG961" s="1063"/>
      <c r="AH961" s="1063"/>
      <c r="AI961" s="1063"/>
      <c r="AJ961" s="1063"/>
      <c r="AK961" s="1063"/>
      <c r="AL961" s="1063"/>
      <c r="AM961" s="1063"/>
      <c r="AN961" s="1063"/>
      <c r="AO961" s="1063"/>
      <c r="AP961" s="1063"/>
      <c r="AQ961" s="1063"/>
      <c r="AR961" s="1063"/>
      <c r="AS961" s="1063"/>
      <c r="AT961" s="1063"/>
      <c r="AU961" s="1063"/>
      <c r="AV961" s="1063"/>
    </row>
    <row r="962" spans="1:48" s="1108" customFormat="1" ht="27.75" customHeight="1">
      <c r="A962" s="1076"/>
      <c r="B962" s="1074">
        <f>+'[18]Bldg+Dev'!S1774</f>
        <v>0</v>
      </c>
      <c r="D962" s="1063"/>
      <c r="F962" s="1076"/>
      <c r="G962" s="1063"/>
      <c r="H962" s="1063"/>
      <c r="I962" s="1063"/>
      <c r="J962" s="1063"/>
      <c r="K962" s="1063"/>
      <c r="L962" s="1063"/>
      <c r="M962" s="1063"/>
      <c r="N962" s="1063"/>
      <c r="O962" s="1063"/>
      <c r="P962" s="1063"/>
      <c r="Q962" s="1063"/>
      <c r="R962" s="1063"/>
      <c r="S962" s="1063"/>
      <c r="T962" s="1063"/>
      <c r="U962" s="1063"/>
      <c r="V962" s="1063"/>
      <c r="W962" s="1063"/>
      <c r="X962" s="1063"/>
      <c r="Y962" s="1063"/>
      <c r="Z962" s="1063"/>
      <c r="AA962" s="1063"/>
      <c r="AB962" s="1063"/>
      <c r="AC962" s="1063"/>
      <c r="AD962" s="1063"/>
      <c r="AE962" s="1063"/>
      <c r="AF962" s="1063"/>
      <c r="AG962" s="1063"/>
      <c r="AH962" s="1063"/>
      <c r="AI962" s="1063"/>
      <c r="AJ962" s="1063"/>
      <c r="AK962" s="1063"/>
      <c r="AL962" s="1063"/>
      <c r="AM962" s="1063"/>
      <c r="AN962" s="1063"/>
      <c r="AO962" s="1063"/>
      <c r="AP962" s="1063"/>
      <c r="AQ962" s="1063"/>
      <c r="AR962" s="1063"/>
      <c r="AS962" s="1063"/>
      <c r="AT962" s="1063"/>
      <c r="AU962" s="1063"/>
      <c r="AV962" s="1063"/>
    </row>
    <row r="963" spans="1:48" s="1108" customFormat="1" ht="27.75" customHeight="1">
      <c r="A963" s="1076"/>
      <c r="B963" s="1074">
        <f>+'[18]Bldg+Dev'!S1775</f>
        <v>0</v>
      </c>
      <c r="D963" s="1063"/>
      <c r="F963" s="1076"/>
      <c r="G963" s="1063"/>
      <c r="H963" s="1063"/>
      <c r="I963" s="1063"/>
      <c r="J963" s="1063"/>
      <c r="K963" s="1063"/>
      <c r="L963" s="1063"/>
      <c r="M963" s="1063"/>
      <c r="N963" s="1063"/>
      <c r="O963" s="1063"/>
      <c r="P963" s="1063"/>
      <c r="Q963" s="1063"/>
      <c r="R963" s="1063"/>
      <c r="S963" s="1063"/>
      <c r="T963" s="1063"/>
      <c r="U963" s="1063"/>
      <c r="V963" s="1063"/>
      <c r="W963" s="1063"/>
      <c r="X963" s="1063"/>
      <c r="Y963" s="1063"/>
      <c r="Z963" s="1063"/>
      <c r="AA963" s="1063"/>
      <c r="AB963" s="1063"/>
      <c r="AC963" s="1063"/>
      <c r="AD963" s="1063"/>
      <c r="AE963" s="1063"/>
      <c r="AF963" s="1063"/>
      <c r="AG963" s="1063"/>
      <c r="AH963" s="1063"/>
      <c r="AI963" s="1063"/>
      <c r="AJ963" s="1063"/>
      <c r="AK963" s="1063"/>
      <c r="AL963" s="1063"/>
      <c r="AM963" s="1063"/>
      <c r="AN963" s="1063"/>
      <c r="AO963" s="1063"/>
      <c r="AP963" s="1063"/>
      <c r="AQ963" s="1063"/>
      <c r="AR963" s="1063"/>
      <c r="AS963" s="1063"/>
      <c r="AT963" s="1063"/>
      <c r="AU963" s="1063"/>
      <c r="AV963" s="1063"/>
    </row>
    <row r="964" spans="1:48" s="1108" customFormat="1" ht="27.75" customHeight="1">
      <c r="A964" s="1076"/>
      <c r="B964" s="1074">
        <f>+'[18]Bldg+Dev'!S1776</f>
        <v>0</v>
      </c>
      <c r="D964" s="1063"/>
      <c r="F964" s="1076"/>
      <c r="G964" s="1063"/>
      <c r="H964" s="1063"/>
      <c r="I964" s="1063"/>
      <c r="J964" s="1063"/>
      <c r="K964" s="1063"/>
      <c r="L964" s="1063"/>
      <c r="M964" s="1063"/>
      <c r="N964" s="1063"/>
      <c r="O964" s="1063"/>
      <c r="P964" s="1063"/>
      <c r="Q964" s="1063"/>
      <c r="R964" s="1063"/>
      <c r="S964" s="1063"/>
      <c r="T964" s="1063"/>
      <c r="U964" s="1063"/>
      <c r="V964" s="1063"/>
      <c r="W964" s="1063"/>
      <c r="X964" s="1063"/>
      <c r="Y964" s="1063"/>
      <c r="Z964" s="1063"/>
      <c r="AA964" s="1063"/>
      <c r="AB964" s="1063"/>
      <c r="AC964" s="1063"/>
      <c r="AD964" s="1063"/>
      <c r="AE964" s="1063"/>
      <c r="AF964" s="1063"/>
      <c r="AG964" s="1063"/>
      <c r="AH964" s="1063"/>
      <c r="AI964" s="1063"/>
      <c r="AJ964" s="1063"/>
      <c r="AK964" s="1063"/>
      <c r="AL964" s="1063"/>
      <c r="AM964" s="1063"/>
      <c r="AN964" s="1063"/>
      <c r="AO964" s="1063"/>
      <c r="AP964" s="1063"/>
      <c r="AQ964" s="1063"/>
      <c r="AR964" s="1063"/>
      <c r="AS964" s="1063"/>
      <c r="AT964" s="1063"/>
      <c r="AU964" s="1063"/>
      <c r="AV964" s="1063"/>
    </row>
    <row r="965" spans="1:48" s="1108" customFormat="1" ht="27.75" customHeight="1">
      <c r="A965" s="1076"/>
      <c r="B965" s="1074">
        <f>+'[18]Bldg+Dev'!S1777</f>
        <v>0</v>
      </c>
      <c r="D965" s="1063"/>
      <c r="F965" s="1076"/>
      <c r="G965" s="1063"/>
      <c r="H965" s="1063"/>
      <c r="I965" s="1063"/>
      <c r="J965" s="1063"/>
      <c r="K965" s="1063"/>
      <c r="L965" s="1063"/>
      <c r="M965" s="1063"/>
      <c r="N965" s="1063"/>
      <c r="O965" s="1063"/>
      <c r="P965" s="1063"/>
      <c r="Q965" s="1063"/>
      <c r="R965" s="1063"/>
      <c r="S965" s="1063"/>
      <c r="T965" s="1063"/>
      <c r="U965" s="1063"/>
      <c r="V965" s="1063"/>
      <c r="W965" s="1063"/>
      <c r="X965" s="1063"/>
      <c r="Y965" s="1063"/>
      <c r="Z965" s="1063"/>
      <c r="AA965" s="1063"/>
      <c r="AB965" s="1063"/>
      <c r="AC965" s="1063"/>
      <c r="AD965" s="1063"/>
      <c r="AE965" s="1063"/>
      <c r="AF965" s="1063"/>
      <c r="AG965" s="1063"/>
      <c r="AH965" s="1063"/>
      <c r="AI965" s="1063"/>
      <c r="AJ965" s="1063"/>
      <c r="AK965" s="1063"/>
      <c r="AL965" s="1063"/>
      <c r="AM965" s="1063"/>
      <c r="AN965" s="1063"/>
      <c r="AO965" s="1063"/>
      <c r="AP965" s="1063"/>
      <c r="AQ965" s="1063"/>
      <c r="AR965" s="1063"/>
      <c r="AS965" s="1063"/>
      <c r="AT965" s="1063"/>
      <c r="AU965" s="1063"/>
      <c r="AV965" s="1063"/>
    </row>
    <row r="966" spans="1:48" s="1108" customFormat="1" ht="27.75" customHeight="1">
      <c r="A966" s="1076"/>
      <c r="B966" s="1074">
        <f>+'[18]Bldg+Dev'!S1778</f>
        <v>0</v>
      </c>
      <c r="D966" s="1063"/>
      <c r="F966" s="1076"/>
      <c r="G966" s="1063"/>
      <c r="H966" s="1063"/>
      <c r="I966" s="1063"/>
      <c r="J966" s="1063"/>
      <c r="K966" s="1063"/>
      <c r="L966" s="1063"/>
      <c r="M966" s="1063"/>
      <c r="N966" s="1063"/>
      <c r="O966" s="1063"/>
      <c r="P966" s="1063"/>
      <c r="Q966" s="1063"/>
      <c r="R966" s="1063"/>
      <c r="S966" s="1063"/>
      <c r="T966" s="1063"/>
      <c r="U966" s="1063"/>
      <c r="V966" s="1063"/>
      <c r="W966" s="1063"/>
      <c r="X966" s="1063"/>
      <c r="Y966" s="1063"/>
      <c r="Z966" s="1063"/>
      <c r="AA966" s="1063"/>
      <c r="AB966" s="1063"/>
      <c r="AC966" s="1063"/>
      <c r="AD966" s="1063"/>
      <c r="AE966" s="1063"/>
      <c r="AF966" s="1063"/>
      <c r="AG966" s="1063"/>
      <c r="AH966" s="1063"/>
      <c r="AI966" s="1063"/>
      <c r="AJ966" s="1063"/>
      <c r="AK966" s="1063"/>
      <c r="AL966" s="1063"/>
      <c r="AM966" s="1063"/>
      <c r="AN966" s="1063"/>
      <c r="AO966" s="1063"/>
      <c r="AP966" s="1063"/>
      <c r="AQ966" s="1063"/>
      <c r="AR966" s="1063"/>
      <c r="AS966" s="1063"/>
      <c r="AT966" s="1063"/>
      <c r="AU966" s="1063"/>
      <c r="AV966" s="1063"/>
    </row>
    <row r="967" spans="1:48" s="1108" customFormat="1" ht="27.75" customHeight="1">
      <c r="A967" s="1076"/>
      <c r="B967" s="1074">
        <f>+'[18]Bldg+Dev'!S1779</f>
        <v>0</v>
      </c>
      <c r="D967" s="1063"/>
      <c r="F967" s="1076"/>
      <c r="G967" s="1063"/>
      <c r="H967" s="1063"/>
      <c r="I967" s="1063"/>
      <c r="J967" s="1063"/>
      <c r="K967" s="1063"/>
      <c r="L967" s="1063"/>
      <c r="M967" s="1063"/>
      <c r="N967" s="1063"/>
      <c r="O967" s="1063"/>
      <c r="P967" s="1063"/>
      <c r="Q967" s="1063"/>
      <c r="R967" s="1063"/>
      <c r="S967" s="1063"/>
      <c r="T967" s="1063"/>
      <c r="U967" s="1063"/>
      <c r="V967" s="1063"/>
      <c r="W967" s="1063"/>
      <c r="X967" s="1063"/>
      <c r="Y967" s="1063"/>
      <c r="Z967" s="1063"/>
      <c r="AA967" s="1063"/>
      <c r="AB967" s="1063"/>
      <c r="AC967" s="1063"/>
      <c r="AD967" s="1063"/>
      <c r="AE967" s="1063"/>
      <c r="AF967" s="1063"/>
      <c r="AG967" s="1063"/>
      <c r="AH967" s="1063"/>
      <c r="AI967" s="1063"/>
      <c r="AJ967" s="1063"/>
      <c r="AK967" s="1063"/>
      <c r="AL967" s="1063"/>
      <c r="AM967" s="1063"/>
      <c r="AN967" s="1063"/>
      <c r="AO967" s="1063"/>
      <c r="AP967" s="1063"/>
      <c r="AQ967" s="1063"/>
      <c r="AR967" s="1063"/>
      <c r="AS967" s="1063"/>
      <c r="AT967" s="1063"/>
      <c r="AU967" s="1063"/>
      <c r="AV967" s="1063"/>
    </row>
    <row r="968" spans="1:48" s="1108" customFormat="1" ht="27.75" customHeight="1">
      <c r="A968" s="1076"/>
      <c r="B968" s="1074">
        <f>+'[18]Bldg+Dev'!S1780</f>
        <v>0</v>
      </c>
      <c r="D968" s="1063"/>
      <c r="F968" s="1076"/>
      <c r="G968" s="1063"/>
      <c r="H968" s="1063"/>
      <c r="I968" s="1063"/>
      <c r="J968" s="1063"/>
      <c r="K968" s="1063"/>
      <c r="L968" s="1063"/>
      <c r="M968" s="1063"/>
      <c r="N968" s="1063"/>
      <c r="O968" s="1063"/>
      <c r="P968" s="1063"/>
      <c r="Q968" s="1063"/>
      <c r="R968" s="1063"/>
      <c r="S968" s="1063"/>
      <c r="T968" s="1063"/>
      <c r="U968" s="1063"/>
      <c r="V968" s="1063"/>
      <c r="W968" s="1063"/>
      <c r="X968" s="1063"/>
      <c r="Y968" s="1063"/>
      <c r="Z968" s="1063"/>
      <c r="AA968" s="1063"/>
      <c r="AB968" s="1063"/>
      <c r="AC968" s="1063"/>
      <c r="AD968" s="1063"/>
      <c r="AE968" s="1063"/>
      <c r="AF968" s="1063"/>
      <c r="AG968" s="1063"/>
      <c r="AH968" s="1063"/>
      <c r="AI968" s="1063"/>
      <c r="AJ968" s="1063"/>
      <c r="AK968" s="1063"/>
      <c r="AL968" s="1063"/>
      <c r="AM968" s="1063"/>
      <c r="AN968" s="1063"/>
      <c r="AO968" s="1063"/>
      <c r="AP968" s="1063"/>
      <c r="AQ968" s="1063"/>
      <c r="AR968" s="1063"/>
      <c r="AS968" s="1063"/>
      <c r="AT968" s="1063"/>
      <c r="AU968" s="1063"/>
      <c r="AV968" s="1063"/>
    </row>
    <row r="969" spans="1:48" s="1108" customFormat="1" ht="27.75" customHeight="1">
      <c r="A969" s="1076"/>
      <c r="B969" s="1074">
        <f>+'[18]Bldg+Dev'!S1781</f>
        <v>0</v>
      </c>
      <c r="D969" s="1063"/>
      <c r="F969" s="1076"/>
      <c r="G969" s="1063"/>
      <c r="H969" s="1063"/>
      <c r="I969" s="1063"/>
      <c r="J969" s="1063"/>
      <c r="K969" s="1063"/>
      <c r="L969" s="1063"/>
      <c r="M969" s="1063"/>
      <c r="N969" s="1063"/>
      <c r="O969" s="1063"/>
      <c r="P969" s="1063"/>
      <c r="Q969" s="1063"/>
      <c r="R969" s="1063"/>
      <c r="S969" s="1063"/>
      <c r="T969" s="1063"/>
      <c r="U969" s="1063"/>
      <c r="V969" s="1063"/>
      <c r="W969" s="1063"/>
      <c r="X969" s="1063"/>
      <c r="Y969" s="1063"/>
      <c r="Z969" s="1063"/>
      <c r="AA969" s="1063"/>
      <c r="AB969" s="1063"/>
      <c r="AC969" s="1063"/>
      <c r="AD969" s="1063"/>
      <c r="AE969" s="1063"/>
      <c r="AF969" s="1063"/>
      <c r="AG969" s="1063"/>
      <c r="AH969" s="1063"/>
      <c r="AI969" s="1063"/>
      <c r="AJ969" s="1063"/>
      <c r="AK969" s="1063"/>
      <c r="AL969" s="1063"/>
      <c r="AM969" s="1063"/>
      <c r="AN969" s="1063"/>
      <c r="AO969" s="1063"/>
      <c r="AP969" s="1063"/>
      <c r="AQ969" s="1063"/>
      <c r="AR969" s="1063"/>
      <c r="AS969" s="1063"/>
      <c r="AT969" s="1063"/>
      <c r="AU969" s="1063"/>
      <c r="AV969" s="1063"/>
    </row>
    <row r="970" spans="1:48" s="1108" customFormat="1" ht="27.75" customHeight="1">
      <c r="A970" s="1076"/>
      <c r="B970" s="1074">
        <f>+'[18]Bldg+Dev'!S1782</f>
        <v>0</v>
      </c>
      <c r="D970" s="1063"/>
      <c r="F970" s="1076"/>
      <c r="G970" s="1063"/>
      <c r="H970" s="1063"/>
      <c r="I970" s="1063"/>
      <c r="J970" s="1063"/>
      <c r="K970" s="1063"/>
      <c r="L970" s="1063"/>
      <c r="M970" s="1063"/>
      <c r="N970" s="1063"/>
      <c r="O970" s="1063"/>
      <c r="P970" s="1063"/>
      <c r="Q970" s="1063"/>
      <c r="R970" s="1063"/>
      <c r="S970" s="1063"/>
      <c r="T970" s="1063"/>
      <c r="U970" s="1063"/>
      <c r="V970" s="1063"/>
      <c r="W970" s="1063"/>
      <c r="X970" s="1063"/>
      <c r="Y970" s="1063"/>
      <c r="Z970" s="1063"/>
      <c r="AA970" s="1063"/>
      <c r="AB970" s="1063"/>
      <c r="AC970" s="1063"/>
      <c r="AD970" s="1063"/>
      <c r="AE970" s="1063"/>
      <c r="AF970" s="1063"/>
      <c r="AG970" s="1063"/>
      <c r="AH970" s="1063"/>
      <c r="AI970" s="1063"/>
      <c r="AJ970" s="1063"/>
      <c r="AK970" s="1063"/>
      <c r="AL970" s="1063"/>
      <c r="AM970" s="1063"/>
      <c r="AN970" s="1063"/>
      <c r="AO970" s="1063"/>
      <c r="AP970" s="1063"/>
      <c r="AQ970" s="1063"/>
      <c r="AR970" s="1063"/>
      <c r="AS970" s="1063"/>
      <c r="AT970" s="1063"/>
      <c r="AU970" s="1063"/>
      <c r="AV970" s="1063"/>
    </row>
    <row r="971" spans="1:48" s="1108" customFormat="1" ht="27.75" customHeight="1">
      <c r="A971" s="1076"/>
      <c r="B971" s="1074">
        <f>+'[18]Bldg+Dev'!S1783</f>
        <v>0</v>
      </c>
      <c r="D971" s="1063"/>
      <c r="F971" s="1076"/>
      <c r="G971" s="1063"/>
      <c r="H971" s="1063"/>
      <c r="I971" s="1063"/>
      <c r="J971" s="1063"/>
      <c r="K971" s="1063"/>
      <c r="L971" s="1063"/>
      <c r="M971" s="1063"/>
      <c r="N971" s="1063"/>
      <c r="O971" s="1063"/>
      <c r="P971" s="1063"/>
      <c r="Q971" s="1063"/>
      <c r="R971" s="1063"/>
      <c r="S971" s="1063"/>
      <c r="T971" s="1063"/>
      <c r="U971" s="1063"/>
      <c r="V971" s="1063"/>
      <c r="W971" s="1063"/>
      <c r="X971" s="1063"/>
      <c r="Y971" s="1063"/>
      <c r="Z971" s="1063"/>
      <c r="AA971" s="1063"/>
      <c r="AB971" s="1063"/>
      <c r="AC971" s="1063"/>
      <c r="AD971" s="1063"/>
      <c r="AE971" s="1063"/>
      <c r="AF971" s="1063"/>
      <c r="AG971" s="1063"/>
      <c r="AH971" s="1063"/>
      <c r="AI971" s="1063"/>
      <c r="AJ971" s="1063"/>
      <c r="AK971" s="1063"/>
      <c r="AL971" s="1063"/>
      <c r="AM971" s="1063"/>
      <c r="AN971" s="1063"/>
      <c r="AO971" s="1063"/>
      <c r="AP971" s="1063"/>
      <c r="AQ971" s="1063"/>
      <c r="AR971" s="1063"/>
      <c r="AS971" s="1063"/>
      <c r="AT971" s="1063"/>
      <c r="AU971" s="1063"/>
      <c r="AV971" s="1063"/>
    </row>
    <row r="972" spans="1:48" s="1108" customFormat="1" ht="27.75" customHeight="1">
      <c r="A972" s="1076"/>
      <c r="B972" s="1074">
        <f>+'[18]Bldg+Dev'!S1784</f>
        <v>0</v>
      </c>
      <c r="D972" s="1063"/>
      <c r="F972" s="1076"/>
      <c r="G972" s="1063"/>
      <c r="H972" s="1063"/>
      <c r="I972" s="1063"/>
      <c r="J972" s="1063"/>
      <c r="K972" s="1063"/>
      <c r="L972" s="1063"/>
      <c r="M972" s="1063"/>
      <c r="N972" s="1063"/>
      <c r="O972" s="1063"/>
      <c r="P972" s="1063"/>
      <c r="Q972" s="1063"/>
      <c r="R972" s="1063"/>
      <c r="S972" s="1063"/>
      <c r="T972" s="1063"/>
      <c r="U972" s="1063"/>
      <c r="V972" s="1063"/>
      <c r="W972" s="1063"/>
      <c r="X972" s="1063"/>
      <c r="Y972" s="1063"/>
      <c r="Z972" s="1063"/>
      <c r="AA972" s="1063"/>
      <c r="AB972" s="1063"/>
      <c r="AC972" s="1063"/>
      <c r="AD972" s="1063"/>
      <c r="AE972" s="1063"/>
      <c r="AF972" s="1063"/>
      <c r="AG972" s="1063"/>
      <c r="AH972" s="1063"/>
      <c r="AI972" s="1063"/>
      <c r="AJ972" s="1063"/>
      <c r="AK972" s="1063"/>
      <c r="AL972" s="1063"/>
      <c r="AM972" s="1063"/>
      <c r="AN972" s="1063"/>
      <c r="AO972" s="1063"/>
      <c r="AP972" s="1063"/>
      <c r="AQ972" s="1063"/>
      <c r="AR972" s="1063"/>
      <c r="AS972" s="1063"/>
      <c r="AT972" s="1063"/>
      <c r="AU972" s="1063"/>
      <c r="AV972" s="1063"/>
    </row>
    <row r="973" spans="1:48" s="1108" customFormat="1" ht="27.75" customHeight="1">
      <c r="A973" s="1076"/>
      <c r="B973" s="1074">
        <f>+'[18]Bldg+Dev'!S1785</f>
        <v>0</v>
      </c>
      <c r="D973" s="1063"/>
      <c r="F973" s="1076"/>
      <c r="G973" s="1063"/>
      <c r="H973" s="1063"/>
      <c r="I973" s="1063"/>
      <c r="J973" s="1063"/>
      <c r="K973" s="1063"/>
      <c r="L973" s="1063"/>
      <c r="M973" s="1063"/>
      <c r="N973" s="1063"/>
      <c r="O973" s="1063"/>
      <c r="P973" s="1063"/>
      <c r="Q973" s="1063"/>
      <c r="R973" s="1063"/>
      <c r="S973" s="1063"/>
      <c r="T973" s="1063"/>
      <c r="U973" s="1063"/>
      <c r="V973" s="1063"/>
      <c r="W973" s="1063"/>
      <c r="X973" s="1063"/>
      <c r="Y973" s="1063"/>
      <c r="Z973" s="1063"/>
      <c r="AA973" s="1063"/>
      <c r="AB973" s="1063"/>
      <c r="AC973" s="1063"/>
      <c r="AD973" s="1063"/>
      <c r="AE973" s="1063"/>
      <c r="AF973" s="1063"/>
      <c r="AG973" s="1063"/>
      <c r="AH973" s="1063"/>
      <c r="AI973" s="1063"/>
      <c r="AJ973" s="1063"/>
      <c r="AK973" s="1063"/>
      <c r="AL973" s="1063"/>
      <c r="AM973" s="1063"/>
      <c r="AN973" s="1063"/>
      <c r="AO973" s="1063"/>
      <c r="AP973" s="1063"/>
      <c r="AQ973" s="1063"/>
      <c r="AR973" s="1063"/>
      <c r="AS973" s="1063"/>
      <c r="AT973" s="1063"/>
      <c r="AU973" s="1063"/>
      <c r="AV973" s="1063"/>
    </row>
    <row r="974" spans="1:48" s="1108" customFormat="1" ht="27.75" customHeight="1">
      <c r="A974" s="1076"/>
      <c r="B974" s="1074">
        <f>+'[18]Bldg+Dev'!S1786</f>
        <v>0</v>
      </c>
      <c r="D974" s="1063"/>
      <c r="F974" s="1076"/>
      <c r="G974" s="1063"/>
      <c r="H974" s="1063"/>
      <c r="I974" s="1063"/>
      <c r="J974" s="1063"/>
      <c r="K974" s="1063"/>
      <c r="L974" s="1063"/>
      <c r="M974" s="1063"/>
      <c r="N974" s="1063"/>
      <c r="O974" s="1063"/>
      <c r="P974" s="1063"/>
      <c r="Q974" s="1063"/>
      <c r="R974" s="1063"/>
      <c r="S974" s="1063"/>
      <c r="T974" s="1063"/>
      <c r="U974" s="1063"/>
      <c r="V974" s="1063"/>
      <c r="W974" s="1063"/>
      <c r="X974" s="1063"/>
      <c r="Y974" s="1063"/>
      <c r="Z974" s="1063"/>
      <c r="AA974" s="1063"/>
      <c r="AB974" s="1063"/>
      <c r="AC974" s="1063"/>
      <c r="AD974" s="1063"/>
      <c r="AE974" s="1063"/>
      <c r="AF974" s="1063"/>
      <c r="AG974" s="1063"/>
      <c r="AH974" s="1063"/>
      <c r="AI974" s="1063"/>
      <c r="AJ974" s="1063"/>
      <c r="AK974" s="1063"/>
      <c r="AL974" s="1063"/>
      <c r="AM974" s="1063"/>
      <c r="AN974" s="1063"/>
      <c r="AO974" s="1063"/>
      <c r="AP974" s="1063"/>
      <c r="AQ974" s="1063"/>
      <c r="AR974" s="1063"/>
      <c r="AS974" s="1063"/>
      <c r="AT974" s="1063"/>
      <c r="AU974" s="1063"/>
      <c r="AV974" s="1063"/>
    </row>
    <row r="975" spans="1:48" s="1108" customFormat="1" ht="27.75" customHeight="1">
      <c r="A975" s="1076"/>
      <c r="B975" s="1074">
        <f>+'[18]Bldg+Dev'!S1787</f>
        <v>0</v>
      </c>
      <c r="D975" s="1063"/>
      <c r="F975" s="1076"/>
      <c r="G975" s="1063"/>
      <c r="H975" s="1063"/>
      <c r="I975" s="1063"/>
      <c r="J975" s="1063"/>
      <c r="K975" s="1063"/>
      <c r="L975" s="1063"/>
      <c r="M975" s="1063"/>
      <c r="N975" s="1063"/>
      <c r="O975" s="1063"/>
      <c r="P975" s="1063"/>
      <c r="Q975" s="1063"/>
      <c r="R975" s="1063"/>
      <c r="S975" s="1063"/>
      <c r="T975" s="1063"/>
      <c r="U975" s="1063"/>
      <c r="V975" s="1063"/>
      <c r="W975" s="1063"/>
      <c r="X975" s="1063"/>
      <c r="Y975" s="1063"/>
      <c r="Z975" s="1063"/>
      <c r="AA975" s="1063"/>
      <c r="AB975" s="1063"/>
      <c r="AC975" s="1063"/>
      <c r="AD975" s="1063"/>
      <c r="AE975" s="1063"/>
      <c r="AF975" s="1063"/>
      <c r="AG975" s="1063"/>
      <c r="AH975" s="1063"/>
      <c r="AI975" s="1063"/>
      <c r="AJ975" s="1063"/>
      <c r="AK975" s="1063"/>
      <c r="AL975" s="1063"/>
      <c r="AM975" s="1063"/>
      <c r="AN975" s="1063"/>
      <c r="AO975" s="1063"/>
      <c r="AP975" s="1063"/>
      <c r="AQ975" s="1063"/>
      <c r="AR975" s="1063"/>
      <c r="AS975" s="1063"/>
      <c r="AT975" s="1063"/>
      <c r="AU975" s="1063"/>
      <c r="AV975" s="1063"/>
    </row>
    <row r="976" spans="1:48" s="1108" customFormat="1" ht="27.75" customHeight="1">
      <c r="A976" s="1076"/>
      <c r="B976" s="1074">
        <f>+'[18]Bldg+Dev'!S1788</f>
        <v>0</v>
      </c>
      <c r="D976" s="1063"/>
      <c r="F976" s="1076"/>
      <c r="G976" s="1063"/>
      <c r="H976" s="1063"/>
      <c r="I976" s="1063"/>
      <c r="J976" s="1063"/>
      <c r="K976" s="1063"/>
      <c r="L976" s="1063"/>
      <c r="M976" s="1063"/>
      <c r="N976" s="1063"/>
      <c r="O976" s="1063"/>
      <c r="P976" s="1063"/>
      <c r="Q976" s="1063"/>
      <c r="R976" s="1063"/>
      <c r="S976" s="1063"/>
      <c r="T976" s="1063"/>
      <c r="U976" s="1063"/>
      <c r="V976" s="1063"/>
      <c r="W976" s="1063"/>
      <c r="X976" s="1063"/>
      <c r="Y976" s="1063"/>
      <c r="Z976" s="1063"/>
      <c r="AA976" s="1063"/>
      <c r="AB976" s="1063"/>
      <c r="AC976" s="1063"/>
      <c r="AD976" s="1063"/>
      <c r="AE976" s="1063"/>
      <c r="AF976" s="1063"/>
      <c r="AG976" s="1063"/>
      <c r="AH976" s="1063"/>
      <c r="AI976" s="1063"/>
      <c r="AJ976" s="1063"/>
      <c r="AK976" s="1063"/>
      <c r="AL976" s="1063"/>
      <c r="AM976" s="1063"/>
      <c r="AN976" s="1063"/>
      <c r="AO976" s="1063"/>
      <c r="AP976" s="1063"/>
      <c r="AQ976" s="1063"/>
      <c r="AR976" s="1063"/>
      <c r="AS976" s="1063"/>
      <c r="AT976" s="1063"/>
      <c r="AU976" s="1063"/>
      <c r="AV976" s="1063"/>
    </row>
    <row r="977" spans="1:48" s="1108" customFormat="1" ht="27.75" customHeight="1">
      <c r="A977" s="1076"/>
      <c r="B977" s="1074">
        <f>+'[18]Bldg+Dev'!S1789</f>
        <v>0</v>
      </c>
      <c r="D977" s="1063"/>
      <c r="F977" s="1076"/>
      <c r="G977" s="1063"/>
      <c r="H977" s="1063"/>
      <c r="I977" s="1063"/>
      <c r="J977" s="1063"/>
      <c r="K977" s="1063"/>
      <c r="L977" s="1063"/>
      <c r="M977" s="1063"/>
      <c r="N977" s="1063"/>
      <c r="O977" s="1063"/>
      <c r="P977" s="1063"/>
      <c r="Q977" s="1063"/>
      <c r="R977" s="1063"/>
      <c r="S977" s="1063"/>
      <c r="T977" s="1063"/>
      <c r="U977" s="1063"/>
      <c r="V977" s="1063"/>
      <c r="W977" s="1063"/>
      <c r="X977" s="1063"/>
      <c r="Y977" s="1063"/>
      <c r="Z977" s="1063"/>
      <c r="AA977" s="1063"/>
      <c r="AB977" s="1063"/>
      <c r="AC977" s="1063"/>
      <c r="AD977" s="1063"/>
      <c r="AE977" s="1063"/>
      <c r="AF977" s="1063"/>
      <c r="AG977" s="1063"/>
      <c r="AH977" s="1063"/>
      <c r="AI977" s="1063"/>
      <c r="AJ977" s="1063"/>
      <c r="AK977" s="1063"/>
      <c r="AL977" s="1063"/>
      <c r="AM977" s="1063"/>
      <c r="AN977" s="1063"/>
      <c r="AO977" s="1063"/>
      <c r="AP977" s="1063"/>
      <c r="AQ977" s="1063"/>
      <c r="AR977" s="1063"/>
      <c r="AS977" s="1063"/>
      <c r="AT977" s="1063"/>
      <c r="AU977" s="1063"/>
      <c r="AV977" s="1063"/>
    </row>
    <row r="978" spans="1:48" s="1108" customFormat="1" ht="27.75" customHeight="1">
      <c r="A978" s="1076"/>
      <c r="B978" s="1074">
        <f>+'[18]Bldg+Dev'!S1790</f>
        <v>0</v>
      </c>
      <c r="D978" s="1063"/>
      <c r="F978" s="1076"/>
      <c r="G978" s="1063"/>
      <c r="H978" s="1063"/>
      <c r="I978" s="1063"/>
      <c r="J978" s="1063"/>
      <c r="K978" s="1063"/>
      <c r="L978" s="1063"/>
      <c r="M978" s="1063"/>
      <c r="N978" s="1063"/>
      <c r="O978" s="1063"/>
      <c r="P978" s="1063"/>
      <c r="Q978" s="1063"/>
      <c r="R978" s="1063"/>
      <c r="S978" s="1063"/>
      <c r="T978" s="1063"/>
      <c r="U978" s="1063"/>
      <c r="V978" s="1063"/>
      <c r="W978" s="1063"/>
      <c r="X978" s="1063"/>
      <c r="Y978" s="1063"/>
      <c r="Z978" s="1063"/>
      <c r="AA978" s="1063"/>
      <c r="AB978" s="1063"/>
      <c r="AC978" s="1063"/>
      <c r="AD978" s="1063"/>
      <c r="AE978" s="1063"/>
      <c r="AF978" s="1063"/>
      <c r="AG978" s="1063"/>
      <c r="AH978" s="1063"/>
      <c r="AI978" s="1063"/>
      <c r="AJ978" s="1063"/>
      <c r="AK978" s="1063"/>
      <c r="AL978" s="1063"/>
      <c r="AM978" s="1063"/>
      <c r="AN978" s="1063"/>
      <c r="AO978" s="1063"/>
      <c r="AP978" s="1063"/>
      <c r="AQ978" s="1063"/>
      <c r="AR978" s="1063"/>
      <c r="AS978" s="1063"/>
      <c r="AT978" s="1063"/>
      <c r="AU978" s="1063"/>
      <c r="AV978" s="1063"/>
    </row>
    <row r="979" spans="1:48" s="1108" customFormat="1" ht="27.75" customHeight="1">
      <c r="A979" s="1076"/>
      <c r="B979" s="1074">
        <f>+'[18]Bldg+Dev'!S1791</f>
        <v>0</v>
      </c>
      <c r="D979" s="1063"/>
      <c r="F979" s="1076"/>
      <c r="G979" s="1063"/>
      <c r="H979" s="1063"/>
      <c r="I979" s="1063"/>
      <c r="J979" s="1063"/>
      <c r="K979" s="1063"/>
      <c r="L979" s="1063"/>
      <c r="M979" s="1063"/>
      <c r="N979" s="1063"/>
      <c r="O979" s="1063"/>
      <c r="P979" s="1063"/>
      <c r="Q979" s="1063"/>
      <c r="R979" s="1063"/>
      <c r="S979" s="1063"/>
      <c r="T979" s="1063"/>
      <c r="U979" s="1063"/>
      <c r="V979" s="1063"/>
      <c r="W979" s="1063"/>
      <c r="X979" s="1063"/>
      <c r="Y979" s="1063"/>
      <c r="Z979" s="1063"/>
      <c r="AA979" s="1063"/>
      <c r="AB979" s="1063"/>
      <c r="AC979" s="1063"/>
      <c r="AD979" s="1063"/>
      <c r="AE979" s="1063"/>
      <c r="AF979" s="1063"/>
      <c r="AG979" s="1063"/>
      <c r="AH979" s="1063"/>
      <c r="AI979" s="1063"/>
      <c r="AJ979" s="1063"/>
      <c r="AK979" s="1063"/>
      <c r="AL979" s="1063"/>
      <c r="AM979" s="1063"/>
      <c r="AN979" s="1063"/>
      <c r="AO979" s="1063"/>
      <c r="AP979" s="1063"/>
      <c r="AQ979" s="1063"/>
      <c r="AR979" s="1063"/>
      <c r="AS979" s="1063"/>
      <c r="AT979" s="1063"/>
      <c r="AU979" s="1063"/>
      <c r="AV979" s="1063"/>
    </row>
    <row r="980" spans="1:48" s="1108" customFormat="1" ht="27.75" customHeight="1">
      <c r="A980" s="1076"/>
      <c r="B980" s="1074">
        <f>+'[18]Bldg+Dev'!S1792</f>
        <v>0</v>
      </c>
      <c r="D980" s="1063"/>
      <c r="F980" s="1076"/>
      <c r="G980" s="1063"/>
      <c r="H980" s="1063"/>
      <c r="I980" s="1063"/>
      <c r="J980" s="1063"/>
      <c r="K980" s="1063"/>
      <c r="L980" s="1063"/>
      <c r="M980" s="1063"/>
      <c r="N980" s="1063"/>
      <c r="O980" s="1063"/>
      <c r="P980" s="1063"/>
      <c r="Q980" s="1063"/>
      <c r="R980" s="1063"/>
      <c r="S980" s="1063"/>
      <c r="T980" s="1063"/>
      <c r="U980" s="1063"/>
      <c r="V980" s="1063"/>
      <c r="W980" s="1063"/>
      <c r="X980" s="1063"/>
      <c r="Y980" s="1063"/>
      <c r="Z980" s="1063"/>
      <c r="AA980" s="1063"/>
      <c r="AB980" s="1063"/>
      <c r="AC980" s="1063"/>
      <c r="AD980" s="1063"/>
      <c r="AE980" s="1063"/>
      <c r="AF980" s="1063"/>
      <c r="AG980" s="1063"/>
      <c r="AH980" s="1063"/>
      <c r="AI980" s="1063"/>
      <c r="AJ980" s="1063"/>
      <c r="AK980" s="1063"/>
      <c r="AL980" s="1063"/>
      <c r="AM980" s="1063"/>
      <c r="AN980" s="1063"/>
      <c r="AO980" s="1063"/>
      <c r="AP980" s="1063"/>
      <c r="AQ980" s="1063"/>
      <c r="AR980" s="1063"/>
      <c r="AS980" s="1063"/>
      <c r="AT980" s="1063"/>
      <c r="AU980" s="1063"/>
      <c r="AV980" s="1063"/>
    </row>
    <row r="981" spans="1:48" s="1108" customFormat="1" ht="27.75" customHeight="1">
      <c r="A981" s="1076"/>
      <c r="B981" s="1074">
        <f>+'[18]Bldg+Dev'!S1793</f>
        <v>0</v>
      </c>
      <c r="D981" s="1063"/>
      <c r="F981" s="1076"/>
      <c r="G981" s="1063"/>
      <c r="H981" s="1063"/>
      <c r="I981" s="1063"/>
      <c r="J981" s="1063"/>
      <c r="K981" s="1063"/>
      <c r="L981" s="1063"/>
      <c r="M981" s="1063"/>
      <c r="N981" s="1063"/>
      <c r="O981" s="1063"/>
      <c r="P981" s="1063"/>
      <c r="Q981" s="1063"/>
      <c r="R981" s="1063"/>
      <c r="S981" s="1063"/>
      <c r="T981" s="1063"/>
      <c r="U981" s="1063"/>
      <c r="V981" s="1063"/>
      <c r="W981" s="1063"/>
      <c r="X981" s="1063"/>
      <c r="Y981" s="1063"/>
      <c r="Z981" s="1063"/>
      <c r="AA981" s="1063"/>
      <c r="AB981" s="1063"/>
      <c r="AC981" s="1063"/>
      <c r="AD981" s="1063"/>
      <c r="AE981" s="1063"/>
      <c r="AF981" s="1063"/>
      <c r="AG981" s="1063"/>
      <c r="AH981" s="1063"/>
      <c r="AI981" s="1063"/>
      <c r="AJ981" s="1063"/>
      <c r="AK981" s="1063"/>
      <c r="AL981" s="1063"/>
      <c r="AM981" s="1063"/>
      <c r="AN981" s="1063"/>
      <c r="AO981" s="1063"/>
      <c r="AP981" s="1063"/>
      <c r="AQ981" s="1063"/>
      <c r="AR981" s="1063"/>
      <c r="AS981" s="1063"/>
      <c r="AT981" s="1063"/>
      <c r="AU981" s="1063"/>
      <c r="AV981" s="1063"/>
    </row>
    <row r="982" spans="1:48" s="1108" customFormat="1" ht="27.75" customHeight="1">
      <c r="A982" s="1076"/>
      <c r="B982" s="1074">
        <f>+'[18]Bldg+Dev'!S1794</f>
        <v>0</v>
      </c>
      <c r="D982" s="1063"/>
      <c r="F982" s="1076"/>
      <c r="G982" s="1063"/>
      <c r="H982" s="1063"/>
      <c r="I982" s="1063"/>
      <c r="J982" s="1063"/>
      <c r="K982" s="1063"/>
      <c r="L982" s="1063"/>
      <c r="M982" s="1063"/>
      <c r="N982" s="1063"/>
      <c r="O982" s="1063"/>
      <c r="P982" s="1063"/>
      <c r="Q982" s="1063"/>
      <c r="R982" s="1063"/>
      <c r="S982" s="1063"/>
      <c r="T982" s="1063"/>
      <c r="U982" s="1063"/>
      <c r="V982" s="1063"/>
      <c r="W982" s="1063"/>
      <c r="X982" s="1063"/>
      <c r="Y982" s="1063"/>
      <c r="Z982" s="1063"/>
      <c r="AA982" s="1063"/>
      <c r="AB982" s="1063"/>
      <c r="AC982" s="1063"/>
      <c r="AD982" s="1063"/>
      <c r="AE982" s="1063"/>
      <c r="AF982" s="1063"/>
      <c r="AG982" s="1063"/>
      <c r="AH982" s="1063"/>
      <c r="AI982" s="1063"/>
      <c r="AJ982" s="1063"/>
      <c r="AK982" s="1063"/>
      <c r="AL982" s="1063"/>
      <c r="AM982" s="1063"/>
      <c r="AN982" s="1063"/>
      <c r="AO982" s="1063"/>
      <c r="AP982" s="1063"/>
      <c r="AQ982" s="1063"/>
      <c r="AR982" s="1063"/>
      <c r="AS982" s="1063"/>
      <c r="AT982" s="1063"/>
      <c r="AU982" s="1063"/>
      <c r="AV982" s="1063"/>
    </row>
    <row r="983" spans="1:48" s="1108" customFormat="1" ht="27.75" customHeight="1">
      <c r="A983" s="1076"/>
      <c r="B983" s="1074">
        <f>+'[18]Bldg+Dev'!S1795</f>
        <v>0</v>
      </c>
      <c r="D983" s="1063"/>
      <c r="F983" s="1076"/>
      <c r="G983" s="1063"/>
      <c r="H983" s="1063"/>
      <c r="I983" s="1063"/>
      <c r="J983" s="1063"/>
      <c r="K983" s="1063"/>
      <c r="L983" s="1063"/>
      <c r="M983" s="1063"/>
      <c r="N983" s="1063"/>
      <c r="O983" s="1063"/>
      <c r="P983" s="1063"/>
      <c r="Q983" s="1063"/>
      <c r="R983" s="1063"/>
      <c r="S983" s="1063"/>
      <c r="T983" s="1063"/>
      <c r="U983" s="1063"/>
      <c r="V983" s="1063"/>
      <c r="W983" s="1063"/>
      <c r="X983" s="1063"/>
      <c r="Y983" s="1063"/>
      <c r="Z983" s="1063"/>
      <c r="AA983" s="1063"/>
      <c r="AB983" s="1063"/>
      <c r="AC983" s="1063"/>
      <c r="AD983" s="1063"/>
      <c r="AE983" s="1063"/>
      <c r="AF983" s="1063"/>
      <c r="AG983" s="1063"/>
      <c r="AH983" s="1063"/>
      <c r="AI983" s="1063"/>
      <c r="AJ983" s="1063"/>
      <c r="AK983" s="1063"/>
      <c r="AL983" s="1063"/>
      <c r="AM983" s="1063"/>
      <c r="AN983" s="1063"/>
      <c r="AO983" s="1063"/>
      <c r="AP983" s="1063"/>
      <c r="AQ983" s="1063"/>
      <c r="AR983" s="1063"/>
      <c r="AS983" s="1063"/>
      <c r="AT983" s="1063"/>
      <c r="AU983" s="1063"/>
      <c r="AV983" s="1063"/>
    </row>
    <row r="984" spans="1:48" s="1108" customFormat="1" ht="27.75" customHeight="1">
      <c r="A984" s="1076"/>
      <c r="B984" s="1074">
        <f>+'[18]Bldg+Dev'!S1796</f>
        <v>0</v>
      </c>
      <c r="D984" s="1063"/>
      <c r="F984" s="1076"/>
      <c r="G984" s="1063"/>
      <c r="H984" s="1063"/>
      <c r="I984" s="1063"/>
      <c r="J984" s="1063"/>
      <c r="K984" s="1063"/>
      <c r="L984" s="1063"/>
      <c r="M984" s="1063"/>
      <c r="N984" s="1063"/>
      <c r="O984" s="1063"/>
      <c r="P984" s="1063"/>
      <c r="Q984" s="1063"/>
      <c r="R984" s="1063"/>
      <c r="S984" s="1063"/>
      <c r="T984" s="1063"/>
      <c r="U984" s="1063"/>
      <c r="V984" s="1063"/>
      <c r="W984" s="1063"/>
      <c r="X984" s="1063"/>
      <c r="Y984" s="1063"/>
      <c r="Z984" s="1063"/>
      <c r="AA984" s="1063"/>
      <c r="AB984" s="1063"/>
      <c r="AC984" s="1063"/>
      <c r="AD984" s="1063"/>
      <c r="AE984" s="1063"/>
      <c r="AF984" s="1063"/>
      <c r="AG984" s="1063"/>
      <c r="AH984" s="1063"/>
      <c r="AI984" s="1063"/>
      <c r="AJ984" s="1063"/>
      <c r="AK984" s="1063"/>
      <c r="AL984" s="1063"/>
      <c r="AM984" s="1063"/>
      <c r="AN984" s="1063"/>
      <c r="AO984" s="1063"/>
      <c r="AP984" s="1063"/>
      <c r="AQ984" s="1063"/>
      <c r="AR984" s="1063"/>
      <c r="AS984" s="1063"/>
      <c r="AT984" s="1063"/>
      <c r="AU984" s="1063"/>
      <c r="AV984" s="1063"/>
    </row>
    <row r="985" spans="1:48" s="1108" customFormat="1" ht="27.75" customHeight="1">
      <c r="A985" s="1076"/>
      <c r="B985" s="1074">
        <f>+'[18]Bldg+Dev'!S1797</f>
        <v>0</v>
      </c>
      <c r="D985" s="1063"/>
      <c r="F985" s="1076"/>
      <c r="G985" s="1063"/>
      <c r="H985" s="1063"/>
      <c r="I985" s="1063"/>
      <c r="J985" s="1063"/>
      <c r="K985" s="1063"/>
      <c r="L985" s="1063"/>
      <c r="M985" s="1063"/>
      <c r="N985" s="1063"/>
      <c r="O985" s="1063"/>
      <c r="P985" s="1063"/>
      <c r="Q985" s="1063"/>
      <c r="R985" s="1063"/>
      <c r="S985" s="1063"/>
      <c r="T985" s="1063"/>
      <c r="U985" s="1063"/>
      <c r="V985" s="1063"/>
      <c r="W985" s="1063"/>
      <c r="X985" s="1063"/>
      <c r="Y985" s="1063"/>
      <c r="Z985" s="1063"/>
      <c r="AA985" s="1063"/>
      <c r="AB985" s="1063"/>
      <c r="AC985" s="1063"/>
      <c r="AD985" s="1063"/>
      <c r="AE985" s="1063"/>
      <c r="AF985" s="1063"/>
      <c r="AG985" s="1063"/>
      <c r="AH985" s="1063"/>
      <c r="AI985" s="1063"/>
      <c r="AJ985" s="1063"/>
      <c r="AK985" s="1063"/>
      <c r="AL985" s="1063"/>
      <c r="AM985" s="1063"/>
      <c r="AN985" s="1063"/>
      <c r="AO985" s="1063"/>
      <c r="AP985" s="1063"/>
      <c r="AQ985" s="1063"/>
      <c r="AR985" s="1063"/>
      <c r="AS985" s="1063"/>
      <c r="AT985" s="1063"/>
      <c r="AU985" s="1063"/>
      <c r="AV985" s="1063"/>
    </row>
    <row r="986" spans="1:48" s="1108" customFormat="1" ht="27.75" customHeight="1">
      <c r="A986" s="1076"/>
      <c r="B986" s="1074">
        <f>+'[18]Bldg+Dev'!S1798</f>
        <v>0</v>
      </c>
      <c r="D986" s="1063"/>
      <c r="F986" s="1076"/>
      <c r="G986" s="1063"/>
      <c r="H986" s="1063"/>
      <c r="I986" s="1063"/>
      <c r="J986" s="1063"/>
      <c r="K986" s="1063"/>
      <c r="L986" s="1063"/>
      <c r="M986" s="1063"/>
      <c r="N986" s="1063"/>
      <c r="O986" s="1063"/>
      <c r="P986" s="1063"/>
      <c r="Q986" s="1063"/>
      <c r="R986" s="1063"/>
      <c r="S986" s="1063"/>
      <c r="T986" s="1063"/>
      <c r="U986" s="1063"/>
      <c r="V986" s="1063"/>
      <c r="W986" s="1063"/>
      <c r="X986" s="1063"/>
      <c r="Y986" s="1063"/>
      <c r="Z986" s="1063"/>
      <c r="AA986" s="1063"/>
      <c r="AB986" s="1063"/>
      <c r="AC986" s="1063"/>
      <c r="AD986" s="1063"/>
      <c r="AE986" s="1063"/>
      <c r="AF986" s="1063"/>
      <c r="AG986" s="1063"/>
      <c r="AH986" s="1063"/>
      <c r="AI986" s="1063"/>
      <c r="AJ986" s="1063"/>
      <c r="AK986" s="1063"/>
      <c r="AL986" s="1063"/>
      <c r="AM986" s="1063"/>
      <c r="AN986" s="1063"/>
      <c r="AO986" s="1063"/>
      <c r="AP986" s="1063"/>
      <c r="AQ986" s="1063"/>
      <c r="AR986" s="1063"/>
      <c r="AS986" s="1063"/>
      <c r="AT986" s="1063"/>
      <c r="AU986" s="1063"/>
      <c r="AV986" s="1063"/>
    </row>
    <row r="987" spans="1:48" s="1108" customFormat="1" ht="27.75" customHeight="1">
      <c r="A987" s="1076"/>
      <c r="B987" s="1074">
        <f>+'[18]Bldg+Dev'!S1799</f>
        <v>0</v>
      </c>
      <c r="D987" s="1063"/>
      <c r="F987" s="1076"/>
      <c r="G987" s="1063"/>
      <c r="H987" s="1063"/>
      <c r="I987" s="1063"/>
      <c r="J987" s="1063"/>
      <c r="K987" s="1063"/>
      <c r="L987" s="1063"/>
      <c r="M987" s="1063"/>
      <c r="N987" s="1063"/>
      <c r="O987" s="1063"/>
      <c r="P987" s="1063"/>
      <c r="Q987" s="1063"/>
      <c r="R987" s="1063"/>
      <c r="S987" s="1063"/>
      <c r="T987" s="1063"/>
      <c r="U987" s="1063"/>
      <c r="V987" s="1063"/>
      <c r="W987" s="1063"/>
      <c r="X987" s="1063"/>
      <c r="Y987" s="1063"/>
      <c r="Z987" s="1063"/>
      <c r="AA987" s="1063"/>
      <c r="AB987" s="1063"/>
      <c r="AC987" s="1063"/>
      <c r="AD987" s="1063"/>
      <c r="AE987" s="1063"/>
      <c r="AF987" s="1063"/>
      <c r="AG987" s="1063"/>
      <c r="AH987" s="1063"/>
      <c r="AI987" s="1063"/>
      <c r="AJ987" s="1063"/>
      <c r="AK987" s="1063"/>
      <c r="AL987" s="1063"/>
      <c r="AM987" s="1063"/>
      <c r="AN987" s="1063"/>
      <c r="AO987" s="1063"/>
      <c r="AP987" s="1063"/>
      <c r="AQ987" s="1063"/>
      <c r="AR987" s="1063"/>
      <c r="AS987" s="1063"/>
      <c r="AT987" s="1063"/>
      <c r="AU987" s="1063"/>
      <c r="AV987" s="1063"/>
    </row>
    <row r="988" spans="1:48" s="1108" customFormat="1" ht="27.75" customHeight="1">
      <c r="A988" s="1076"/>
      <c r="B988" s="1074">
        <f>+'[18]Bldg+Dev'!S1800</f>
        <v>0</v>
      </c>
      <c r="D988" s="1063"/>
      <c r="F988" s="1076"/>
      <c r="G988" s="1063"/>
      <c r="H988" s="1063"/>
      <c r="I988" s="1063"/>
      <c r="J988" s="1063"/>
      <c r="K988" s="1063"/>
      <c r="L988" s="1063"/>
      <c r="M988" s="1063"/>
      <c r="N988" s="1063"/>
      <c r="O988" s="1063"/>
      <c r="P988" s="1063"/>
      <c r="Q988" s="1063"/>
      <c r="R988" s="1063"/>
      <c r="S988" s="1063"/>
      <c r="T988" s="1063"/>
      <c r="U988" s="1063"/>
      <c r="V988" s="1063"/>
      <c r="W988" s="1063"/>
      <c r="X988" s="1063"/>
      <c r="Y988" s="1063"/>
      <c r="Z988" s="1063"/>
      <c r="AA988" s="1063"/>
      <c r="AB988" s="1063"/>
      <c r="AC988" s="1063"/>
      <c r="AD988" s="1063"/>
      <c r="AE988" s="1063"/>
      <c r="AF988" s="1063"/>
      <c r="AG988" s="1063"/>
      <c r="AH988" s="1063"/>
      <c r="AI988" s="1063"/>
      <c r="AJ988" s="1063"/>
      <c r="AK988" s="1063"/>
      <c r="AL988" s="1063"/>
      <c r="AM988" s="1063"/>
      <c r="AN988" s="1063"/>
      <c r="AO988" s="1063"/>
      <c r="AP988" s="1063"/>
      <c r="AQ988" s="1063"/>
      <c r="AR988" s="1063"/>
      <c r="AS988" s="1063"/>
      <c r="AT988" s="1063"/>
      <c r="AU988" s="1063"/>
      <c r="AV988" s="1063"/>
    </row>
    <row r="989" spans="1:48" s="1108" customFormat="1" ht="27.75" customHeight="1">
      <c r="A989" s="1076"/>
      <c r="B989" s="1074">
        <f>+'[18]Bldg+Dev'!S1801</f>
        <v>0</v>
      </c>
      <c r="D989" s="1063"/>
      <c r="F989" s="1076"/>
      <c r="G989" s="1063"/>
      <c r="H989" s="1063"/>
      <c r="I989" s="1063"/>
      <c r="J989" s="1063"/>
      <c r="K989" s="1063"/>
      <c r="L989" s="1063"/>
      <c r="M989" s="1063"/>
      <c r="N989" s="1063"/>
      <c r="O989" s="1063"/>
      <c r="P989" s="1063"/>
      <c r="Q989" s="1063"/>
      <c r="R989" s="1063"/>
      <c r="S989" s="1063"/>
      <c r="T989" s="1063"/>
      <c r="U989" s="1063"/>
      <c r="V989" s="1063"/>
      <c r="W989" s="1063"/>
      <c r="X989" s="1063"/>
      <c r="Y989" s="1063"/>
      <c r="Z989" s="1063"/>
      <c r="AA989" s="1063"/>
      <c r="AB989" s="1063"/>
      <c r="AC989" s="1063"/>
      <c r="AD989" s="1063"/>
      <c r="AE989" s="1063"/>
      <c r="AF989" s="1063"/>
      <c r="AG989" s="1063"/>
      <c r="AH989" s="1063"/>
      <c r="AI989" s="1063"/>
      <c r="AJ989" s="1063"/>
      <c r="AK989" s="1063"/>
      <c r="AL989" s="1063"/>
      <c r="AM989" s="1063"/>
      <c r="AN989" s="1063"/>
      <c r="AO989" s="1063"/>
      <c r="AP989" s="1063"/>
      <c r="AQ989" s="1063"/>
      <c r="AR989" s="1063"/>
      <c r="AS989" s="1063"/>
      <c r="AT989" s="1063"/>
      <c r="AU989" s="1063"/>
      <c r="AV989" s="1063"/>
    </row>
    <row r="990" spans="1:48" s="1108" customFormat="1" ht="27.75" customHeight="1">
      <c r="A990" s="1076"/>
      <c r="B990" s="1074">
        <f>+'[18]Bldg+Dev'!S1802</f>
        <v>0</v>
      </c>
      <c r="D990" s="1063"/>
      <c r="F990" s="1076"/>
      <c r="G990" s="1063"/>
      <c r="H990" s="1063"/>
      <c r="I990" s="1063"/>
      <c r="J990" s="1063"/>
      <c r="K990" s="1063"/>
      <c r="L990" s="1063"/>
      <c r="M990" s="1063"/>
      <c r="N990" s="1063"/>
      <c r="O990" s="1063"/>
      <c r="P990" s="1063"/>
      <c r="Q990" s="1063"/>
      <c r="R990" s="1063"/>
      <c r="S990" s="1063"/>
      <c r="T990" s="1063"/>
      <c r="U990" s="1063"/>
      <c r="V990" s="1063"/>
      <c r="W990" s="1063"/>
      <c r="X990" s="1063"/>
      <c r="Y990" s="1063"/>
      <c r="Z990" s="1063"/>
      <c r="AA990" s="1063"/>
      <c r="AB990" s="1063"/>
      <c r="AC990" s="1063"/>
      <c r="AD990" s="1063"/>
      <c r="AE990" s="1063"/>
      <c r="AF990" s="1063"/>
      <c r="AG990" s="1063"/>
      <c r="AH990" s="1063"/>
      <c r="AI990" s="1063"/>
      <c r="AJ990" s="1063"/>
      <c r="AK990" s="1063"/>
      <c r="AL990" s="1063"/>
      <c r="AM990" s="1063"/>
      <c r="AN990" s="1063"/>
      <c r="AO990" s="1063"/>
      <c r="AP990" s="1063"/>
      <c r="AQ990" s="1063"/>
      <c r="AR990" s="1063"/>
      <c r="AS990" s="1063"/>
      <c r="AT990" s="1063"/>
      <c r="AU990" s="1063"/>
      <c r="AV990" s="1063"/>
    </row>
    <row r="991" spans="1:48" s="1108" customFormat="1" ht="27.75" customHeight="1">
      <c r="A991" s="1076"/>
      <c r="B991" s="1074">
        <f>+'[18]Bldg+Dev'!S1803</f>
        <v>0</v>
      </c>
      <c r="D991" s="1063"/>
      <c r="F991" s="1076"/>
      <c r="G991" s="1063"/>
      <c r="H991" s="1063"/>
      <c r="I991" s="1063"/>
      <c r="J991" s="1063"/>
      <c r="K991" s="1063"/>
      <c r="L991" s="1063"/>
      <c r="M991" s="1063"/>
      <c r="N991" s="1063"/>
      <c r="O991" s="1063"/>
      <c r="P991" s="1063"/>
      <c r="Q991" s="1063"/>
      <c r="R991" s="1063"/>
      <c r="S991" s="1063"/>
      <c r="T991" s="1063"/>
      <c r="U991" s="1063"/>
      <c r="V991" s="1063"/>
      <c r="W991" s="1063"/>
      <c r="X991" s="1063"/>
      <c r="Y991" s="1063"/>
      <c r="Z991" s="1063"/>
      <c r="AA991" s="1063"/>
      <c r="AB991" s="1063"/>
      <c r="AC991" s="1063"/>
      <c r="AD991" s="1063"/>
      <c r="AE991" s="1063"/>
      <c r="AF991" s="1063"/>
      <c r="AG991" s="1063"/>
      <c r="AH991" s="1063"/>
      <c r="AI991" s="1063"/>
      <c r="AJ991" s="1063"/>
      <c r="AK991" s="1063"/>
      <c r="AL991" s="1063"/>
      <c r="AM991" s="1063"/>
      <c r="AN991" s="1063"/>
      <c r="AO991" s="1063"/>
      <c r="AP991" s="1063"/>
      <c r="AQ991" s="1063"/>
      <c r="AR991" s="1063"/>
      <c r="AS991" s="1063"/>
      <c r="AT991" s="1063"/>
      <c r="AU991" s="1063"/>
      <c r="AV991" s="1063"/>
    </row>
    <row r="992" spans="1:48" s="1108" customFormat="1" ht="27.75" customHeight="1">
      <c r="A992" s="1076"/>
      <c r="B992" s="1074">
        <f>+'[18]Bldg+Dev'!S1804</f>
        <v>0</v>
      </c>
      <c r="D992" s="1063"/>
      <c r="F992" s="1076"/>
      <c r="G992" s="1063"/>
      <c r="H992" s="1063"/>
      <c r="I992" s="1063"/>
      <c r="J992" s="1063"/>
      <c r="K992" s="1063"/>
      <c r="L992" s="1063"/>
      <c r="M992" s="1063"/>
      <c r="N992" s="1063"/>
      <c r="O992" s="1063"/>
      <c r="P992" s="1063"/>
      <c r="Q992" s="1063"/>
      <c r="R992" s="1063"/>
      <c r="S992" s="1063"/>
      <c r="T992" s="1063"/>
      <c r="U992" s="1063"/>
      <c r="V992" s="1063"/>
      <c r="W992" s="1063"/>
      <c r="X992" s="1063"/>
      <c r="Y992" s="1063"/>
      <c r="Z992" s="1063"/>
      <c r="AA992" s="1063"/>
      <c r="AB992" s="1063"/>
      <c r="AC992" s="1063"/>
      <c r="AD992" s="1063"/>
      <c r="AE992" s="1063"/>
      <c r="AF992" s="1063"/>
      <c r="AG992" s="1063"/>
      <c r="AH992" s="1063"/>
      <c r="AI992" s="1063"/>
      <c r="AJ992" s="1063"/>
      <c r="AK992" s="1063"/>
      <c r="AL992" s="1063"/>
      <c r="AM992" s="1063"/>
      <c r="AN992" s="1063"/>
      <c r="AO992" s="1063"/>
      <c r="AP992" s="1063"/>
      <c r="AQ992" s="1063"/>
      <c r="AR992" s="1063"/>
      <c r="AS992" s="1063"/>
      <c r="AT992" s="1063"/>
      <c r="AU992" s="1063"/>
      <c r="AV992" s="1063"/>
    </row>
    <row r="993" spans="1:48" s="1108" customFormat="1" ht="27.75" customHeight="1">
      <c r="A993" s="1076"/>
      <c r="B993" s="1074">
        <f>+'[18]Bldg+Dev'!S1805</f>
        <v>0</v>
      </c>
      <c r="D993" s="1063"/>
      <c r="F993" s="1076"/>
      <c r="G993" s="1063"/>
      <c r="H993" s="1063"/>
      <c r="I993" s="1063"/>
      <c r="J993" s="1063"/>
      <c r="K993" s="1063"/>
      <c r="L993" s="1063"/>
      <c r="M993" s="1063"/>
      <c r="N993" s="1063"/>
      <c r="O993" s="1063"/>
      <c r="P993" s="1063"/>
      <c r="Q993" s="1063"/>
      <c r="R993" s="1063"/>
      <c r="S993" s="1063"/>
      <c r="T993" s="1063"/>
      <c r="U993" s="1063"/>
      <c r="V993" s="1063"/>
      <c r="W993" s="1063"/>
      <c r="X993" s="1063"/>
      <c r="Y993" s="1063"/>
      <c r="Z993" s="1063"/>
      <c r="AA993" s="1063"/>
      <c r="AB993" s="1063"/>
      <c r="AC993" s="1063"/>
      <c r="AD993" s="1063"/>
      <c r="AE993" s="1063"/>
      <c r="AF993" s="1063"/>
      <c r="AG993" s="1063"/>
      <c r="AH993" s="1063"/>
      <c r="AI993" s="1063"/>
      <c r="AJ993" s="1063"/>
      <c r="AK993" s="1063"/>
      <c r="AL993" s="1063"/>
      <c r="AM993" s="1063"/>
      <c r="AN993" s="1063"/>
      <c r="AO993" s="1063"/>
      <c r="AP993" s="1063"/>
      <c r="AQ993" s="1063"/>
      <c r="AR993" s="1063"/>
      <c r="AS993" s="1063"/>
      <c r="AT993" s="1063"/>
      <c r="AU993" s="1063"/>
      <c r="AV993" s="1063"/>
    </row>
    <row r="994" spans="1:48" s="1108" customFormat="1" ht="27.75" customHeight="1">
      <c r="A994" s="1076"/>
      <c r="B994" s="1074">
        <f>+'[18]Bldg+Dev'!S1806</f>
        <v>0</v>
      </c>
      <c r="D994" s="1063"/>
      <c r="F994" s="1076"/>
      <c r="G994" s="1063"/>
      <c r="H994" s="1063"/>
      <c r="I994" s="1063"/>
      <c r="J994" s="1063"/>
      <c r="K994" s="1063"/>
      <c r="L994" s="1063"/>
      <c r="M994" s="1063"/>
      <c r="N994" s="1063"/>
      <c r="O994" s="1063"/>
      <c r="P994" s="1063"/>
      <c r="Q994" s="1063"/>
      <c r="R994" s="1063"/>
      <c r="S994" s="1063"/>
      <c r="T994" s="1063"/>
      <c r="U994" s="1063"/>
      <c r="V994" s="1063"/>
      <c r="W994" s="1063"/>
      <c r="X994" s="1063"/>
      <c r="Y994" s="1063"/>
      <c r="Z994" s="1063"/>
      <c r="AA994" s="1063"/>
      <c r="AB994" s="1063"/>
      <c r="AC994" s="1063"/>
      <c r="AD994" s="1063"/>
      <c r="AE994" s="1063"/>
      <c r="AF994" s="1063"/>
      <c r="AG994" s="1063"/>
      <c r="AH994" s="1063"/>
      <c r="AI994" s="1063"/>
      <c r="AJ994" s="1063"/>
      <c r="AK994" s="1063"/>
      <c r="AL994" s="1063"/>
      <c r="AM994" s="1063"/>
      <c r="AN994" s="1063"/>
      <c r="AO994" s="1063"/>
      <c r="AP994" s="1063"/>
      <c r="AQ994" s="1063"/>
      <c r="AR994" s="1063"/>
      <c r="AS994" s="1063"/>
      <c r="AT994" s="1063"/>
      <c r="AU994" s="1063"/>
      <c r="AV994" s="1063"/>
    </row>
    <row r="995" spans="1:48" s="1108" customFormat="1" ht="27.75" customHeight="1">
      <c r="A995" s="1076"/>
      <c r="B995" s="1074">
        <f>+'[18]Bldg+Dev'!S1807</f>
        <v>0</v>
      </c>
      <c r="D995" s="1063"/>
      <c r="F995" s="1076"/>
      <c r="G995" s="1063"/>
      <c r="H995" s="1063"/>
      <c r="I995" s="1063"/>
      <c r="J995" s="1063"/>
      <c r="K995" s="1063"/>
      <c r="L995" s="1063"/>
      <c r="M995" s="1063"/>
      <c r="N995" s="1063"/>
      <c r="O995" s="1063"/>
      <c r="P995" s="1063"/>
      <c r="Q995" s="1063"/>
      <c r="R995" s="1063"/>
      <c r="S995" s="1063"/>
      <c r="T995" s="1063"/>
      <c r="U995" s="1063"/>
      <c r="V995" s="1063"/>
      <c r="W995" s="1063"/>
      <c r="X995" s="1063"/>
      <c r="Y995" s="1063"/>
      <c r="Z995" s="1063"/>
      <c r="AA995" s="1063"/>
      <c r="AB995" s="1063"/>
      <c r="AC995" s="1063"/>
      <c r="AD995" s="1063"/>
      <c r="AE995" s="1063"/>
      <c r="AF995" s="1063"/>
      <c r="AG995" s="1063"/>
      <c r="AH995" s="1063"/>
      <c r="AI995" s="1063"/>
      <c r="AJ995" s="1063"/>
      <c r="AK995" s="1063"/>
      <c r="AL995" s="1063"/>
      <c r="AM995" s="1063"/>
      <c r="AN995" s="1063"/>
      <c r="AO995" s="1063"/>
      <c r="AP995" s="1063"/>
      <c r="AQ995" s="1063"/>
      <c r="AR995" s="1063"/>
      <c r="AS995" s="1063"/>
      <c r="AT995" s="1063"/>
      <c r="AU995" s="1063"/>
      <c r="AV995" s="1063"/>
    </row>
    <row r="996" spans="1:48" s="1108" customFormat="1" ht="27.75" customHeight="1">
      <c r="A996" s="1076"/>
      <c r="B996" s="1074">
        <f>+'[18]Bldg+Dev'!S1808</f>
        <v>0</v>
      </c>
      <c r="D996" s="1063"/>
      <c r="F996" s="1076"/>
      <c r="G996" s="1063"/>
      <c r="H996" s="1063"/>
      <c r="I996" s="1063"/>
      <c r="J996" s="1063"/>
      <c r="K996" s="1063"/>
      <c r="L996" s="1063"/>
      <c r="M996" s="1063"/>
      <c r="N996" s="1063"/>
      <c r="O996" s="1063"/>
      <c r="P996" s="1063"/>
      <c r="Q996" s="1063"/>
      <c r="R996" s="1063"/>
      <c r="S996" s="1063"/>
      <c r="T996" s="1063"/>
      <c r="U996" s="1063"/>
      <c r="V996" s="1063"/>
      <c r="W996" s="1063"/>
      <c r="X996" s="1063"/>
      <c r="Y996" s="1063"/>
      <c r="Z996" s="1063"/>
      <c r="AA996" s="1063"/>
      <c r="AB996" s="1063"/>
      <c r="AC996" s="1063"/>
      <c r="AD996" s="1063"/>
      <c r="AE996" s="1063"/>
      <c r="AF996" s="1063"/>
      <c r="AG996" s="1063"/>
      <c r="AH996" s="1063"/>
      <c r="AI996" s="1063"/>
      <c r="AJ996" s="1063"/>
      <c r="AK996" s="1063"/>
      <c r="AL996" s="1063"/>
      <c r="AM996" s="1063"/>
      <c r="AN996" s="1063"/>
      <c r="AO996" s="1063"/>
      <c r="AP996" s="1063"/>
      <c r="AQ996" s="1063"/>
      <c r="AR996" s="1063"/>
      <c r="AS996" s="1063"/>
      <c r="AT996" s="1063"/>
      <c r="AU996" s="1063"/>
      <c r="AV996" s="1063"/>
    </row>
    <row r="997" spans="1:48" s="1108" customFormat="1" ht="27.75" customHeight="1">
      <c r="A997" s="1076"/>
      <c r="B997" s="1074">
        <f>+'[18]Bldg+Dev'!S1809</f>
        <v>0</v>
      </c>
      <c r="D997" s="1063"/>
      <c r="F997" s="1076"/>
      <c r="G997" s="1063"/>
      <c r="H997" s="1063"/>
      <c r="I997" s="1063"/>
      <c r="J997" s="1063"/>
      <c r="K997" s="1063"/>
      <c r="L997" s="1063"/>
      <c r="M997" s="1063"/>
      <c r="N997" s="1063"/>
      <c r="O997" s="1063"/>
      <c r="P997" s="1063"/>
      <c r="Q997" s="1063"/>
      <c r="R997" s="1063"/>
      <c r="S997" s="1063"/>
      <c r="T997" s="1063"/>
      <c r="U997" s="1063"/>
      <c r="V997" s="1063"/>
      <c r="W997" s="1063"/>
      <c r="X997" s="1063"/>
      <c r="Y997" s="1063"/>
      <c r="Z997" s="1063"/>
      <c r="AA997" s="1063"/>
      <c r="AB997" s="1063"/>
      <c r="AC997" s="1063"/>
      <c r="AD997" s="1063"/>
      <c r="AE997" s="1063"/>
      <c r="AF997" s="1063"/>
      <c r="AG997" s="1063"/>
      <c r="AH997" s="1063"/>
      <c r="AI997" s="1063"/>
      <c r="AJ997" s="1063"/>
      <c r="AK997" s="1063"/>
      <c r="AL997" s="1063"/>
      <c r="AM997" s="1063"/>
      <c r="AN997" s="1063"/>
      <c r="AO997" s="1063"/>
      <c r="AP997" s="1063"/>
      <c r="AQ997" s="1063"/>
      <c r="AR997" s="1063"/>
      <c r="AS997" s="1063"/>
      <c r="AT997" s="1063"/>
      <c r="AU997" s="1063"/>
      <c r="AV997" s="1063"/>
    </row>
    <row r="998" spans="1:48" s="1108" customFormat="1" ht="27.75" customHeight="1">
      <c r="A998" s="1076"/>
      <c r="B998" s="1074">
        <f>+'[18]Bldg+Dev'!S1810</f>
        <v>0</v>
      </c>
      <c r="D998" s="1063"/>
      <c r="F998" s="1076"/>
      <c r="G998" s="1063"/>
      <c r="H998" s="1063"/>
      <c r="I998" s="1063"/>
      <c r="J998" s="1063"/>
      <c r="K998" s="1063"/>
      <c r="L998" s="1063"/>
      <c r="M998" s="1063"/>
      <c r="N998" s="1063"/>
      <c r="O998" s="1063"/>
      <c r="P998" s="1063"/>
      <c r="Q998" s="1063"/>
      <c r="R998" s="1063"/>
      <c r="S998" s="1063"/>
      <c r="T998" s="1063"/>
      <c r="U998" s="1063"/>
      <c r="V998" s="1063"/>
      <c r="W998" s="1063"/>
      <c r="X998" s="1063"/>
      <c r="Y998" s="1063"/>
      <c r="Z998" s="1063"/>
      <c r="AA998" s="1063"/>
      <c r="AB998" s="1063"/>
      <c r="AC998" s="1063"/>
      <c r="AD998" s="1063"/>
      <c r="AE998" s="1063"/>
      <c r="AF998" s="1063"/>
      <c r="AG998" s="1063"/>
      <c r="AH998" s="1063"/>
      <c r="AI998" s="1063"/>
      <c r="AJ998" s="1063"/>
      <c r="AK998" s="1063"/>
      <c r="AL998" s="1063"/>
      <c r="AM998" s="1063"/>
      <c r="AN998" s="1063"/>
      <c r="AO998" s="1063"/>
      <c r="AP998" s="1063"/>
      <c r="AQ998" s="1063"/>
      <c r="AR998" s="1063"/>
      <c r="AS998" s="1063"/>
      <c r="AT998" s="1063"/>
      <c r="AU998" s="1063"/>
      <c r="AV998" s="1063"/>
    </row>
    <row r="999" spans="1:48" s="1108" customFormat="1" ht="27.75" customHeight="1">
      <c r="A999" s="1076"/>
      <c r="B999" s="1074">
        <f>+'[18]Bldg+Dev'!S1811</f>
        <v>0</v>
      </c>
      <c r="D999" s="1063"/>
      <c r="F999" s="1076"/>
      <c r="G999" s="1063"/>
      <c r="H999" s="1063"/>
      <c r="I999" s="1063"/>
      <c r="J999" s="1063"/>
      <c r="K999" s="1063"/>
      <c r="L999" s="1063"/>
      <c r="M999" s="1063"/>
      <c r="N999" s="1063"/>
      <c r="O999" s="1063"/>
      <c r="P999" s="1063"/>
      <c r="Q999" s="1063"/>
      <c r="R999" s="1063"/>
      <c r="S999" s="1063"/>
      <c r="T999" s="1063"/>
      <c r="U999" s="1063"/>
      <c r="V999" s="1063"/>
      <c r="W999" s="1063"/>
      <c r="X999" s="1063"/>
      <c r="Y999" s="1063"/>
      <c r="Z999" s="1063"/>
      <c r="AA999" s="1063"/>
      <c r="AB999" s="1063"/>
      <c r="AC999" s="1063"/>
      <c r="AD999" s="1063"/>
      <c r="AE999" s="1063"/>
      <c r="AF999" s="1063"/>
      <c r="AG999" s="1063"/>
      <c r="AH999" s="1063"/>
      <c r="AI999" s="1063"/>
      <c r="AJ999" s="1063"/>
      <c r="AK999" s="1063"/>
      <c r="AL999" s="1063"/>
      <c r="AM999" s="1063"/>
      <c r="AN999" s="1063"/>
      <c r="AO999" s="1063"/>
      <c r="AP999" s="1063"/>
      <c r="AQ999" s="1063"/>
      <c r="AR999" s="1063"/>
      <c r="AS999" s="1063"/>
      <c r="AT999" s="1063"/>
      <c r="AU999" s="1063"/>
      <c r="AV999" s="1063"/>
    </row>
    <row r="1000" spans="1:48" s="1108" customFormat="1" ht="27.75" customHeight="1">
      <c r="A1000" s="1076"/>
      <c r="B1000" s="1074">
        <f>+'[18]Bldg+Dev'!S1812</f>
        <v>0</v>
      </c>
      <c r="D1000" s="1063"/>
      <c r="F1000" s="1076"/>
      <c r="G1000" s="1063"/>
      <c r="H1000" s="1063"/>
      <c r="I1000" s="1063"/>
      <c r="J1000" s="1063"/>
      <c r="K1000" s="1063"/>
      <c r="L1000" s="1063"/>
      <c r="M1000" s="1063"/>
      <c r="N1000" s="1063"/>
      <c r="O1000" s="1063"/>
      <c r="P1000" s="1063"/>
      <c r="Q1000" s="1063"/>
      <c r="R1000" s="1063"/>
      <c r="S1000" s="1063"/>
      <c r="T1000" s="1063"/>
      <c r="U1000" s="1063"/>
      <c r="V1000" s="1063"/>
      <c r="W1000" s="1063"/>
      <c r="X1000" s="1063"/>
      <c r="Y1000" s="1063"/>
      <c r="Z1000" s="1063"/>
      <c r="AA1000" s="1063"/>
      <c r="AB1000" s="1063"/>
      <c r="AC1000" s="1063"/>
      <c r="AD1000" s="1063"/>
      <c r="AE1000" s="1063"/>
      <c r="AF1000" s="1063"/>
      <c r="AG1000" s="1063"/>
      <c r="AH1000" s="1063"/>
      <c r="AI1000" s="1063"/>
      <c r="AJ1000" s="1063"/>
      <c r="AK1000" s="1063"/>
      <c r="AL1000" s="1063"/>
      <c r="AM1000" s="1063"/>
      <c r="AN1000" s="1063"/>
      <c r="AO1000" s="1063"/>
      <c r="AP1000" s="1063"/>
      <c r="AQ1000" s="1063"/>
      <c r="AR1000" s="1063"/>
      <c r="AS1000" s="1063"/>
      <c r="AT1000" s="1063"/>
      <c r="AU1000" s="1063"/>
      <c r="AV1000" s="1063"/>
    </row>
    <row r="1001" spans="1:48" s="1108" customFormat="1" ht="27.75" customHeight="1">
      <c r="A1001" s="1076"/>
      <c r="B1001" s="1074">
        <f>+'[18]Bldg+Dev'!S1813</f>
        <v>0</v>
      </c>
      <c r="D1001" s="1063"/>
      <c r="F1001" s="1076"/>
      <c r="G1001" s="1063"/>
      <c r="H1001" s="1063"/>
      <c r="I1001" s="1063"/>
      <c r="J1001" s="1063"/>
      <c r="K1001" s="1063"/>
      <c r="L1001" s="1063"/>
      <c r="M1001" s="1063"/>
      <c r="N1001" s="1063"/>
      <c r="O1001" s="1063"/>
      <c r="P1001" s="1063"/>
      <c r="Q1001" s="1063"/>
      <c r="R1001" s="1063"/>
      <c r="S1001" s="1063"/>
      <c r="T1001" s="1063"/>
      <c r="U1001" s="1063"/>
      <c r="V1001" s="1063"/>
      <c r="W1001" s="1063"/>
      <c r="X1001" s="1063"/>
      <c r="Y1001" s="1063"/>
      <c r="Z1001" s="1063"/>
      <c r="AA1001" s="1063"/>
      <c r="AB1001" s="1063"/>
      <c r="AC1001" s="1063"/>
      <c r="AD1001" s="1063"/>
      <c r="AE1001" s="1063"/>
      <c r="AF1001" s="1063"/>
      <c r="AG1001" s="1063"/>
      <c r="AH1001" s="1063"/>
      <c r="AI1001" s="1063"/>
      <c r="AJ1001" s="1063"/>
      <c r="AK1001" s="1063"/>
      <c r="AL1001" s="1063"/>
      <c r="AM1001" s="1063"/>
      <c r="AN1001" s="1063"/>
      <c r="AO1001" s="1063"/>
      <c r="AP1001" s="1063"/>
      <c r="AQ1001" s="1063"/>
      <c r="AR1001" s="1063"/>
      <c r="AS1001" s="1063"/>
      <c r="AT1001" s="1063"/>
      <c r="AU1001" s="1063"/>
      <c r="AV1001" s="1063"/>
    </row>
    <row r="1002" spans="1:48" s="1108" customFormat="1" ht="27.75" customHeight="1">
      <c r="A1002" s="1076"/>
      <c r="B1002" s="1074">
        <f>+'[18]Bldg+Dev'!S1814</f>
        <v>0</v>
      </c>
      <c r="D1002" s="1063"/>
      <c r="F1002" s="1076"/>
      <c r="G1002" s="1063"/>
      <c r="H1002" s="1063"/>
      <c r="I1002" s="1063"/>
      <c r="J1002" s="1063"/>
      <c r="K1002" s="1063"/>
      <c r="L1002" s="1063"/>
      <c r="M1002" s="1063"/>
      <c r="N1002" s="1063"/>
      <c r="O1002" s="1063"/>
      <c r="P1002" s="1063"/>
      <c r="Q1002" s="1063"/>
      <c r="R1002" s="1063"/>
      <c r="S1002" s="1063"/>
      <c r="T1002" s="1063"/>
      <c r="U1002" s="1063"/>
      <c r="V1002" s="1063"/>
      <c r="W1002" s="1063"/>
      <c r="X1002" s="1063"/>
      <c r="Y1002" s="1063"/>
      <c r="Z1002" s="1063"/>
      <c r="AA1002" s="1063"/>
      <c r="AB1002" s="1063"/>
      <c r="AC1002" s="1063"/>
      <c r="AD1002" s="1063"/>
      <c r="AE1002" s="1063"/>
      <c r="AF1002" s="1063"/>
      <c r="AG1002" s="1063"/>
      <c r="AH1002" s="1063"/>
      <c r="AI1002" s="1063"/>
      <c r="AJ1002" s="1063"/>
      <c r="AK1002" s="1063"/>
      <c r="AL1002" s="1063"/>
      <c r="AM1002" s="1063"/>
      <c r="AN1002" s="1063"/>
      <c r="AO1002" s="1063"/>
      <c r="AP1002" s="1063"/>
      <c r="AQ1002" s="1063"/>
      <c r="AR1002" s="1063"/>
      <c r="AS1002" s="1063"/>
      <c r="AT1002" s="1063"/>
      <c r="AU1002" s="1063"/>
      <c r="AV1002" s="1063"/>
    </row>
    <row r="1003" spans="1:48" s="1108" customFormat="1" ht="27.75" customHeight="1">
      <c r="A1003" s="1076"/>
      <c r="B1003" s="1074">
        <f>+'[18]Bldg+Dev'!S1815</f>
        <v>0</v>
      </c>
      <c r="D1003" s="1063"/>
      <c r="F1003" s="1076"/>
      <c r="G1003" s="1063"/>
      <c r="H1003" s="1063"/>
      <c r="I1003" s="1063"/>
      <c r="J1003" s="1063"/>
      <c r="K1003" s="1063"/>
      <c r="L1003" s="1063"/>
      <c r="M1003" s="1063"/>
      <c r="N1003" s="1063"/>
      <c r="O1003" s="1063"/>
      <c r="P1003" s="1063"/>
      <c r="Q1003" s="1063"/>
      <c r="R1003" s="1063"/>
      <c r="S1003" s="1063"/>
      <c r="T1003" s="1063"/>
      <c r="U1003" s="1063"/>
      <c r="V1003" s="1063"/>
      <c r="W1003" s="1063"/>
      <c r="X1003" s="1063"/>
      <c r="Y1003" s="1063"/>
      <c r="Z1003" s="1063"/>
      <c r="AA1003" s="1063"/>
      <c r="AB1003" s="1063"/>
      <c r="AC1003" s="1063"/>
      <c r="AD1003" s="1063"/>
      <c r="AE1003" s="1063"/>
      <c r="AF1003" s="1063"/>
      <c r="AG1003" s="1063"/>
      <c r="AH1003" s="1063"/>
      <c r="AI1003" s="1063"/>
      <c r="AJ1003" s="1063"/>
      <c r="AK1003" s="1063"/>
      <c r="AL1003" s="1063"/>
      <c r="AM1003" s="1063"/>
      <c r="AN1003" s="1063"/>
      <c r="AO1003" s="1063"/>
      <c r="AP1003" s="1063"/>
      <c r="AQ1003" s="1063"/>
      <c r="AR1003" s="1063"/>
      <c r="AS1003" s="1063"/>
      <c r="AT1003" s="1063"/>
      <c r="AU1003" s="1063"/>
      <c r="AV1003" s="1063"/>
    </row>
    <row r="1004" spans="1:48" s="1108" customFormat="1" ht="27.75" customHeight="1">
      <c r="A1004" s="1076"/>
      <c r="B1004" s="1074">
        <f>+'[18]Bldg+Dev'!S1816</f>
        <v>0</v>
      </c>
      <c r="D1004" s="1063"/>
      <c r="F1004" s="1076"/>
      <c r="G1004" s="1063"/>
      <c r="H1004" s="1063"/>
      <c r="I1004" s="1063"/>
      <c r="J1004" s="1063"/>
      <c r="K1004" s="1063"/>
      <c r="L1004" s="1063"/>
      <c r="M1004" s="1063"/>
      <c r="N1004" s="1063"/>
      <c r="O1004" s="1063"/>
      <c r="P1004" s="1063"/>
      <c r="Q1004" s="1063"/>
      <c r="R1004" s="1063"/>
      <c r="S1004" s="1063"/>
      <c r="T1004" s="1063"/>
      <c r="U1004" s="1063"/>
      <c r="V1004" s="1063"/>
      <c r="W1004" s="1063"/>
      <c r="X1004" s="1063"/>
      <c r="Y1004" s="1063"/>
      <c r="Z1004" s="1063"/>
      <c r="AA1004" s="1063"/>
      <c r="AB1004" s="1063"/>
      <c r="AC1004" s="1063"/>
      <c r="AD1004" s="1063"/>
      <c r="AE1004" s="1063"/>
      <c r="AF1004" s="1063"/>
      <c r="AG1004" s="1063"/>
      <c r="AH1004" s="1063"/>
      <c r="AI1004" s="1063"/>
      <c r="AJ1004" s="1063"/>
      <c r="AK1004" s="1063"/>
      <c r="AL1004" s="1063"/>
      <c r="AM1004" s="1063"/>
      <c r="AN1004" s="1063"/>
      <c r="AO1004" s="1063"/>
      <c r="AP1004" s="1063"/>
      <c r="AQ1004" s="1063"/>
      <c r="AR1004" s="1063"/>
      <c r="AS1004" s="1063"/>
      <c r="AT1004" s="1063"/>
      <c r="AU1004" s="1063"/>
      <c r="AV1004" s="1063"/>
    </row>
    <row r="1005" spans="1:48" s="1108" customFormat="1" ht="27.75" customHeight="1">
      <c r="A1005" s="1076"/>
      <c r="B1005" s="1074">
        <f>+'[18]Bldg+Dev'!S1817</f>
        <v>0</v>
      </c>
      <c r="D1005" s="1063"/>
      <c r="F1005" s="1076"/>
      <c r="G1005" s="1063"/>
      <c r="H1005" s="1063"/>
      <c r="I1005" s="1063"/>
      <c r="J1005" s="1063"/>
      <c r="K1005" s="1063"/>
      <c r="L1005" s="1063"/>
      <c r="M1005" s="1063"/>
      <c r="N1005" s="1063"/>
      <c r="O1005" s="1063"/>
      <c r="P1005" s="1063"/>
      <c r="Q1005" s="1063"/>
      <c r="R1005" s="1063"/>
      <c r="S1005" s="1063"/>
      <c r="T1005" s="1063"/>
      <c r="U1005" s="1063"/>
      <c r="V1005" s="1063"/>
      <c r="W1005" s="1063"/>
      <c r="X1005" s="1063"/>
      <c r="Y1005" s="1063"/>
      <c r="Z1005" s="1063"/>
      <c r="AA1005" s="1063"/>
      <c r="AB1005" s="1063"/>
      <c r="AC1005" s="1063"/>
      <c r="AD1005" s="1063"/>
      <c r="AE1005" s="1063"/>
      <c r="AF1005" s="1063"/>
      <c r="AG1005" s="1063"/>
      <c r="AH1005" s="1063"/>
      <c r="AI1005" s="1063"/>
      <c r="AJ1005" s="1063"/>
      <c r="AK1005" s="1063"/>
      <c r="AL1005" s="1063"/>
      <c r="AM1005" s="1063"/>
      <c r="AN1005" s="1063"/>
      <c r="AO1005" s="1063"/>
      <c r="AP1005" s="1063"/>
      <c r="AQ1005" s="1063"/>
      <c r="AR1005" s="1063"/>
      <c r="AS1005" s="1063"/>
      <c r="AT1005" s="1063"/>
      <c r="AU1005" s="1063"/>
      <c r="AV1005" s="1063"/>
    </row>
    <row r="1006" spans="1:48" s="1108" customFormat="1" ht="27.75" customHeight="1">
      <c r="A1006" s="1076"/>
      <c r="B1006" s="1074">
        <f>+'[18]Bldg+Dev'!S1818</f>
        <v>0</v>
      </c>
      <c r="D1006" s="1063"/>
      <c r="F1006" s="1076"/>
      <c r="G1006" s="1063"/>
      <c r="H1006" s="1063"/>
      <c r="I1006" s="1063"/>
      <c r="J1006" s="1063"/>
      <c r="K1006" s="1063"/>
      <c r="L1006" s="1063"/>
      <c r="M1006" s="1063"/>
      <c r="N1006" s="1063"/>
      <c r="O1006" s="1063"/>
      <c r="P1006" s="1063"/>
      <c r="Q1006" s="1063"/>
      <c r="R1006" s="1063"/>
      <c r="S1006" s="1063"/>
      <c r="T1006" s="1063"/>
      <c r="U1006" s="1063"/>
      <c r="V1006" s="1063"/>
      <c r="W1006" s="1063"/>
      <c r="X1006" s="1063"/>
      <c r="Y1006" s="1063"/>
      <c r="Z1006" s="1063"/>
      <c r="AA1006" s="1063"/>
      <c r="AB1006" s="1063"/>
      <c r="AC1006" s="1063"/>
      <c r="AD1006" s="1063"/>
      <c r="AE1006" s="1063"/>
      <c r="AF1006" s="1063"/>
      <c r="AG1006" s="1063"/>
      <c r="AH1006" s="1063"/>
      <c r="AI1006" s="1063"/>
      <c r="AJ1006" s="1063"/>
      <c r="AK1006" s="1063"/>
      <c r="AL1006" s="1063"/>
      <c r="AM1006" s="1063"/>
      <c r="AN1006" s="1063"/>
      <c r="AO1006" s="1063"/>
      <c r="AP1006" s="1063"/>
      <c r="AQ1006" s="1063"/>
      <c r="AR1006" s="1063"/>
      <c r="AS1006" s="1063"/>
      <c r="AT1006" s="1063"/>
      <c r="AU1006" s="1063"/>
      <c r="AV1006" s="1063"/>
    </row>
    <row r="1007" spans="1:48" s="1108" customFormat="1" ht="27.75" customHeight="1">
      <c r="A1007" s="1076"/>
      <c r="B1007" s="1074">
        <f>+'[18]Bldg+Dev'!S1819</f>
        <v>0</v>
      </c>
      <c r="D1007" s="1063"/>
      <c r="F1007" s="1076"/>
      <c r="G1007" s="1063"/>
      <c r="H1007" s="1063"/>
      <c r="I1007" s="1063"/>
      <c r="J1007" s="1063"/>
      <c r="K1007" s="1063"/>
      <c r="L1007" s="1063"/>
      <c r="M1007" s="1063"/>
      <c r="N1007" s="1063"/>
      <c r="O1007" s="1063"/>
      <c r="P1007" s="1063"/>
      <c r="Q1007" s="1063"/>
      <c r="R1007" s="1063"/>
      <c r="S1007" s="1063"/>
      <c r="T1007" s="1063"/>
      <c r="U1007" s="1063"/>
      <c r="V1007" s="1063"/>
      <c r="W1007" s="1063"/>
      <c r="X1007" s="1063"/>
      <c r="Y1007" s="1063"/>
      <c r="Z1007" s="1063"/>
      <c r="AA1007" s="1063"/>
      <c r="AB1007" s="1063"/>
      <c r="AC1007" s="1063"/>
      <c r="AD1007" s="1063"/>
      <c r="AE1007" s="1063"/>
      <c r="AF1007" s="1063"/>
      <c r="AG1007" s="1063"/>
      <c r="AH1007" s="1063"/>
      <c r="AI1007" s="1063"/>
      <c r="AJ1007" s="1063"/>
      <c r="AK1007" s="1063"/>
      <c r="AL1007" s="1063"/>
      <c r="AM1007" s="1063"/>
      <c r="AN1007" s="1063"/>
      <c r="AO1007" s="1063"/>
      <c r="AP1007" s="1063"/>
      <c r="AQ1007" s="1063"/>
      <c r="AR1007" s="1063"/>
      <c r="AS1007" s="1063"/>
      <c r="AT1007" s="1063"/>
      <c r="AU1007" s="1063"/>
      <c r="AV1007" s="1063"/>
    </row>
    <row r="1008" spans="1:48" s="1108" customFormat="1" ht="27.75" customHeight="1">
      <c r="A1008" s="1076"/>
      <c r="B1008" s="1074">
        <f>+'[18]Bldg+Dev'!S1820</f>
        <v>0</v>
      </c>
      <c r="D1008" s="1063"/>
      <c r="F1008" s="1076"/>
      <c r="G1008" s="1063"/>
      <c r="H1008" s="1063"/>
      <c r="I1008" s="1063"/>
      <c r="J1008" s="1063"/>
      <c r="K1008" s="1063"/>
      <c r="L1008" s="1063"/>
      <c r="M1008" s="1063"/>
      <c r="N1008" s="1063"/>
      <c r="O1008" s="1063"/>
      <c r="P1008" s="1063"/>
      <c r="Q1008" s="1063"/>
      <c r="R1008" s="1063"/>
      <c r="S1008" s="1063"/>
      <c r="T1008" s="1063"/>
      <c r="U1008" s="1063"/>
      <c r="V1008" s="1063"/>
      <c r="W1008" s="1063"/>
      <c r="X1008" s="1063"/>
      <c r="Y1008" s="1063"/>
      <c r="Z1008" s="1063"/>
      <c r="AA1008" s="1063"/>
      <c r="AB1008" s="1063"/>
      <c r="AC1008" s="1063"/>
      <c r="AD1008" s="1063"/>
      <c r="AE1008" s="1063"/>
      <c r="AF1008" s="1063"/>
      <c r="AG1008" s="1063"/>
      <c r="AH1008" s="1063"/>
      <c r="AI1008" s="1063"/>
      <c r="AJ1008" s="1063"/>
      <c r="AK1008" s="1063"/>
      <c r="AL1008" s="1063"/>
      <c r="AM1008" s="1063"/>
      <c r="AN1008" s="1063"/>
      <c r="AO1008" s="1063"/>
      <c r="AP1008" s="1063"/>
      <c r="AQ1008" s="1063"/>
      <c r="AR1008" s="1063"/>
      <c r="AS1008" s="1063"/>
      <c r="AT1008" s="1063"/>
      <c r="AU1008" s="1063"/>
      <c r="AV1008" s="1063"/>
    </row>
    <row r="1009" spans="1:48" s="1108" customFormat="1" ht="27.75" customHeight="1">
      <c r="A1009" s="1076"/>
      <c r="B1009" s="1074">
        <f>+'[18]Bldg+Dev'!S1821</f>
        <v>0</v>
      </c>
      <c r="D1009" s="1063"/>
      <c r="F1009" s="1076"/>
      <c r="G1009" s="1063"/>
      <c r="H1009" s="1063"/>
      <c r="I1009" s="1063"/>
      <c r="J1009" s="1063"/>
      <c r="K1009" s="1063"/>
      <c r="L1009" s="1063"/>
      <c r="M1009" s="1063"/>
      <c r="N1009" s="1063"/>
      <c r="O1009" s="1063"/>
      <c r="P1009" s="1063"/>
      <c r="Q1009" s="1063"/>
      <c r="R1009" s="1063"/>
      <c r="S1009" s="1063"/>
      <c r="T1009" s="1063"/>
      <c r="U1009" s="1063"/>
      <c r="V1009" s="1063"/>
      <c r="W1009" s="1063"/>
      <c r="X1009" s="1063"/>
      <c r="Y1009" s="1063"/>
      <c r="Z1009" s="1063"/>
      <c r="AA1009" s="1063"/>
      <c r="AB1009" s="1063"/>
      <c r="AC1009" s="1063"/>
      <c r="AD1009" s="1063"/>
      <c r="AE1009" s="1063"/>
      <c r="AF1009" s="1063"/>
      <c r="AG1009" s="1063"/>
      <c r="AH1009" s="1063"/>
      <c r="AI1009" s="1063"/>
      <c r="AJ1009" s="1063"/>
      <c r="AK1009" s="1063"/>
      <c r="AL1009" s="1063"/>
      <c r="AM1009" s="1063"/>
      <c r="AN1009" s="1063"/>
      <c r="AO1009" s="1063"/>
      <c r="AP1009" s="1063"/>
      <c r="AQ1009" s="1063"/>
      <c r="AR1009" s="1063"/>
      <c r="AS1009" s="1063"/>
      <c r="AT1009" s="1063"/>
      <c r="AU1009" s="1063"/>
      <c r="AV1009" s="1063"/>
    </row>
    <row r="1010" spans="1:48" s="1108" customFormat="1" ht="27.75" customHeight="1">
      <c r="A1010" s="1076"/>
      <c r="B1010" s="1074">
        <f>+'[18]Bldg+Dev'!S1822</f>
        <v>0</v>
      </c>
      <c r="D1010" s="1063"/>
      <c r="F1010" s="1076"/>
      <c r="G1010" s="1063"/>
      <c r="H1010" s="1063"/>
      <c r="I1010" s="1063"/>
      <c r="J1010" s="1063"/>
      <c r="K1010" s="1063"/>
      <c r="L1010" s="1063"/>
      <c r="M1010" s="1063"/>
      <c r="N1010" s="1063"/>
      <c r="O1010" s="1063"/>
      <c r="P1010" s="1063"/>
      <c r="Q1010" s="1063"/>
      <c r="R1010" s="1063"/>
      <c r="S1010" s="1063"/>
      <c r="T1010" s="1063"/>
      <c r="U1010" s="1063"/>
      <c r="V1010" s="1063"/>
      <c r="W1010" s="1063"/>
      <c r="X1010" s="1063"/>
      <c r="Y1010" s="1063"/>
      <c r="Z1010" s="1063"/>
      <c r="AA1010" s="1063"/>
      <c r="AB1010" s="1063"/>
      <c r="AC1010" s="1063"/>
      <c r="AD1010" s="1063"/>
      <c r="AE1010" s="1063"/>
      <c r="AF1010" s="1063"/>
      <c r="AG1010" s="1063"/>
      <c r="AH1010" s="1063"/>
      <c r="AI1010" s="1063"/>
      <c r="AJ1010" s="1063"/>
      <c r="AK1010" s="1063"/>
      <c r="AL1010" s="1063"/>
      <c r="AM1010" s="1063"/>
      <c r="AN1010" s="1063"/>
      <c r="AO1010" s="1063"/>
      <c r="AP1010" s="1063"/>
      <c r="AQ1010" s="1063"/>
      <c r="AR1010" s="1063"/>
      <c r="AS1010" s="1063"/>
      <c r="AT1010" s="1063"/>
      <c r="AU1010" s="1063"/>
      <c r="AV1010" s="1063"/>
    </row>
    <row r="1011" spans="1:48" s="1108" customFormat="1" ht="27.75" customHeight="1">
      <c r="A1011" s="1076"/>
      <c r="B1011" s="1074">
        <f>+'[18]Bldg+Dev'!S1823</f>
        <v>0</v>
      </c>
      <c r="D1011" s="1063"/>
      <c r="F1011" s="1076"/>
      <c r="G1011" s="1063"/>
      <c r="H1011" s="1063"/>
      <c r="I1011" s="1063"/>
      <c r="J1011" s="1063"/>
      <c r="K1011" s="1063"/>
      <c r="L1011" s="1063"/>
      <c r="M1011" s="1063"/>
      <c r="N1011" s="1063"/>
      <c r="O1011" s="1063"/>
      <c r="P1011" s="1063"/>
      <c r="Q1011" s="1063"/>
      <c r="R1011" s="1063"/>
      <c r="S1011" s="1063"/>
      <c r="T1011" s="1063"/>
      <c r="U1011" s="1063"/>
      <c r="V1011" s="1063"/>
      <c r="W1011" s="1063"/>
      <c r="X1011" s="1063"/>
      <c r="Y1011" s="1063"/>
      <c r="Z1011" s="1063"/>
      <c r="AA1011" s="1063"/>
      <c r="AB1011" s="1063"/>
      <c r="AC1011" s="1063"/>
      <c r="AD1011" s="1063"/>
      <c r="AE1011" s="1063"/>
      <c r="AF1011" s="1063"/>
      <c r="AG1011" s="1063"/>
      <c r="AH1011" s="1063"/>
      <c r="AI1011" s="1063"/>
      <c r="AJ1011" s="1063"/>
      <c r="AK1011" s="1063"/>
      <c r="AL1011" s="1063"/>
      <c r="AM1011" s="1063"/>
      <c r="AN1011" s="1063"/>
      <c r="AO1011" s="1063"/>
      <c r="AP1011" s="1063"/>
      <c r="AQ1011" s="1063"/>
      <c r="AR1011" s="1063"/>
      <c r="AS1011" s="1063"/>
      <c r="AT1011" s="1063"/>
      <c r="AU1011" s="1063"/>
      <c r="AV1011" s="1063"/>
    </row>
    <row r="1012" spans="1:48" s="1108" customFormat="1" ht="27.75" customHeight="1">
      <c r="A1012" s="1076"/>
      <c r="B1012" s="1074">
        <f>+'[18]Bldg+Dev'!S1824</f>
        <v>0</v>
      </c>
      <c r="D1012" s="1063"/>
      <c r="F1012" s="1076"/>
      <c r="G1012" s="1063"/>
      <c r="H1012" s="1063"/>
      <c r="I1012" s="1063"/>
      <c r="J1012" s="1063"/>
      <c r="K1012" s="1063"/>
      <c r="L1012" s="1063"/>
      <c r="M1012" s="1063"/>
      <c r="N1012" s="1063"/>
      <c r="O1012" s="1063"/>
      <c r="P1012" s="1063"/>
      <c r="Q1012" s="1063"/>
      <c r="R1012" s="1063"/>
      <c r="S1012" s="1063"/>
      <c r="T1012" s="1063"/>
      <c r="U1012" s="1063"/>
      <c r="V1012" s="1063"/>
      <c r="W1012" s="1063"/>
      <c r="X1012" s="1063"/>
      <c r="Y1012" s="1063"/>
      <c r="Z1012" s="1063"/>
      <c r="AA1012" s="1063"/>
      <c r="AB1012" s="1063"/>
      <c r="AC1012" s="1063"/>
      <c r="AD1012" s="1063"/>
      <c r="AE1012" s="1063"/>
      <c r="AF1012" s="1063"/>
      <c r="AG1012" s="1063"/>
      <c r="AH1012" s="1063"/>
      <c r="AI1012" s="1063"/>
      <c r="AJ1012" s="1063"/>
      <c r="AK1012" s="1063"/>
      <c r="AL1012" s="1063"/>
      <c r="AM1012" s="1063"/>
      <c r="AN1012" s="1063"/>
      <c r="AO1012" s="1063"/>
      <c r="AP1012" s="1063"/>
      <c r="AQ1012" s="1063"/>
      <c r="AR1012" s="1063"/>
      <c r="AS1012" s="1063"/>
      <c r="AT1012" s="1063"/>
      <c r="AU1012" s="1063"/>
      <c r="AV1012" s="1063"/>
    </row>
    <row r="1013" spans="1:48" s="1108" customFormat="1" ht="27.75" customHeight="1">
      <c r="A1013" s="1076"/>
      <c r="B1013" s="1074">
        <f>+'[18]Bldg+Dev'!S1825</f>
        <v>0</v>
      </c>
      <c r="D1013" s="1063"/>
      <c r="F1013" s="1076"/>
      <c r="G1013" s="1063"/>
      <c r="H1013" s="1063"/>
      <c r="I1013" s="1063"/>
      <c r="J1013" s="1063"/>
      <c r="K1013" s="1063"/>
      <c r="L1013" s="1063"/>
      <c r="M1013" s="1063"/>
      <c r="N1013" s="1063"/>
      <c r="O1013" s="1063"/>
      <c r="P1013" s="1063"/>
      <c r="Q1013" s="1063"/>
      <c r="R1013" s="1063"/>
      <c r="S1013" s="1063"/>
      <c r="T1013" s="1063"/>
      <c r="U1013" s="1063"/>
      <c r="V1013" s="1063"/>
      <c r="W1013" s="1063"/>
      <c r="X1013" s="1063"/>
      <c r="Y1013" s="1063"/>
      <c r="Z1013" s="1063"/>
      <c r="AA1013" s="1063"/>
      <c r="AB1013" s="1063"/>
      <c r="AC1013" s="1063"/>
      <c r="AD1013" s="1063"/>
      <c r="AE1013" s="1063"/>
      <c r="AF1013" s="1063"/>
      <c r="AG1013" s="1063"/>
      <c r="AH1013" s="1063"/>
      <c r="AI1013" s="1063"/>
      <c r="AJ1013" s="1063"/>
      <c r="AK1013" s="1063"/>
      <c r="AL1013" s="1063"/>
      <c r="AM1013" s="1063"/>
      <c r="AN1013" s="1063"/>
      <c r="AO1013" s="1063"/>
      <c r="AP1013" s="1063"/>
      <c r="AQ1013" s="1063"/>
      <c r="AR1013" s="1063"/>
      <c r="AS1013" s="1063"/>
      <c r="AT1013" s="1063"/>
      <c r="AU1013" s="1063"/>
      <c r="AV1013" s="1063"/>
    </row>
    <row r="1014" spans="1:48" s="1108" customFormat="1" ht="27.75" customHeight="1">
      <c r="A1014" s="1076"/>
      <c r="B1014" s="1074">
        <f>+'[18]Bldg+Dev'!S1826</f>
        <v>0</v>
      </c>
      <c r="D1014" s="1063"/>
      <c r="F1014" s="1076"/>
      <c r="G1014" s="1063"/>
      <c r="H1014" s="1063"/>
      <c r="I1014" s="1063"/>
      <c r="J1014" s="1063"/>
      <c r="K1014" s="1063"/>
      <c r="L1014" s="1063"/>
      <c r="M1014" s="1063"/>
      <c r="N1014" s="1063"/>
      <c r="O1014" s="1063"/>
      <c r="P1014" s="1063"/>
      <c r="Q1014" s="1063"/>
      <c r="R1014" s="1063"/>
      <c r="S1014" s="1063"/>
      <c r="T1014" s="1063"/>
      <c r="U1014" s="1063"/>
      <c r="V1014" s="1063"/>
      <c r="W1014" s="1063"/>
      <c r="X1014" s="1063"/>
      <c r="Y1014" s="1063"/>
      <c r="Z1014" s="1063"/>
      <c r="AA1014" s="1063"/>
      <c r="AB1014" s="1063"/>
      <c r="AC1014" s="1063"/>
      <c r="AD1014" s="1063"/>
      <c r="AE1014" s="1063"/>
      <c r="AF1014" s="1063"/>
      <c r="AG1014" s="1063"/>
      <c r="AH1014" s="1063"/>
      <c r="AI1014" s="1063"/>
      <c r="AJ1014" s="1063"/>
      <c r="AK1014" s="1063"/>
      <c r="AL1014" s="1063"/>
      <c r="AM1014" s="1063"/>
      <c r="AN1014" s="1063"/>
      <c r="AO1014" s="1063"/>
      <c r="AP1014" s="1063"/>
      <c r="AQ1014" s="1063"/>
      <c r="AR1014" s="1063"/>
      <c r="AS1014" s="1063"/>
      <c r="AT1014" s="1063"/>
      <c r="AU1014" s="1063"/>
      <c r="AV1014" s="1063"/>
    </row>
    <row r="1015" spans="1:48" s="1108" customFormat="1" ht="27.75" customHeight="1">
      <c r="A1015" s="1076"/>
      <c r="B1015" s="1074">
        <f>+'[18]Bldg+Dev'!S1827</f>
        <v>0</v>
      </c>
      <c r="D1015" s="1063"/>
      <c r="F1015" s="1076"/>
      <c r="G1015" s="1063"/>
      <c r="H1015" s="1063"/>
      <c r="I1015" s="1063"/>
      <c r="J1015" s="1063"/>
      <c r="K1015" s="1063"/>
      <c r="L1015" s="1063"/>
      <c r="M1015" s="1063"/>
      <c r="N1015" s="1063"/>
      <c r="O1015" s="1063"/>
      <c r="P1015" s="1063"/>
      <c r="Q1015" s="1063"/>
      <c r="R1015" s="1063"/>
      <c r="S1015" s="1063"/>
      <c r="T1015" s="1063"/>
      <c r="U1015" s="1063"/>
      <c r="V1015" s="1063"/>
      <c r="W1015" s="1063"/>
      <c r="X1015" s="1063"/>
      <c r="Y1015" s="1063"/>
      <c r="Z1015" s="1063"/>
      <c r="AA1015" s="1063"/>
      <c r="AB1015" s="1063"/>
      <c r="AC1015" s="1063"/>
      <c r="AD1015" s="1063"/>
      <c r="AE1015" s="1063"/>
      <c r="AF1015" s="1063"/>
      <c r="AG1015" s="1063"/>
      <c r="AH1015" s="1063"/>
      <c r="AI1015" s="1063"/>
      <c r="AJ1015" s="1063"/>
      <c r="AK1015" s="1063"/>
      <c r="AL1015" s="1063"/>
      <c r="AM1015" s="1063"/>
      <c r="AN1015" s="1063"/>
      <c r="AO1015" s="1063"/>
      <c r="AP1015" s="1063"/>
      <c r="AQ1015" s="1063"/>
      <c r="AR1015" s="1063"/>
      <c r="AS1015" s="1063"/>
      <c r="AT1015" s="1063"/>
      <c r="AU1015" s="1063"/>
      <c r="AV1015" s="1063"/>
    </row>
    <row r="1016" spans="1:48" s="1108" customFormat="1" ht="27.75" customHeight="1">
      <c r="A1016" s="1076"/>
      <c r="B1016" s="1074">
        <f>+'[18]Bldg+Dev'!S1828</f>
        <v>0</v>
      </c>
      <c r="D1016" s="1063"/>
      <c r="F1016" s="1076"/>
      <c r="G1016" s="1063"/>
      <c r="H1016" s="1063"/>
      <c r="I1016" s="1063"/>
      <c r="J1016" s="1063"/>
      <c r="K1016" s="1063"/>
      <c r="L1016" s="1063"/>
      <c r="M1016" s="1063"/>
      <c r="N1016" s="1063"/>
      <c r="O1016" s="1063"/>
      <c r="P1016" s="1063"/>
      <c r="Q1016" s="1063"/>
      <c r="R1016" s="1063"/>
      <c r="S1016" s="1063"/>
      <c r="T1016" s="1063"/>
      <c r="U1016" s="1063"/>
      <c r="V1016" s="1063"/>
      <c r="W1016" s="1063"/>
      <c r="X1016" s="1063"/>
      <c r="Y1016" s="1063"/>
      <c r="Z1016" s="1063"/>
      <c r="AA1016" s="1063"/>
      <c r="AB1016" s="1063"/>
      <c r="AC1016" s="1063"/>
      <c r="AD1016" s="1063"/>
      <c r="AE1016" s="1063"/>
      <c r="AF1016" s="1063"/>
      <c r="AG1016" s="1063"/>
      <c r="AH1016" s="1063"/>
      <c r="AI1016" s="1063"/>
      <c r="AJ1016" s="1063"/>
      <c r="AK1016" s="1063"/>
      <c r="AL1016" s="1063"/>
      <c r="AM1016" s="1063"/>
      <c r="AN1016" s="1063"/>
      <c r="AO1016" s="1063"/>
      <c r="AP1016" s="1063"/>
      <c r="AQ1016" s="1063"/>
      <c r="AR1016" s="1063"/>
      <c r="AS1016" s="1063"/>
      <c r="AT1016" s="1063"/>
      <c r="AU1016" s="1063"/>
      <c r="AV1016" s="1063"/>
    </row>
    <row r="1017" spans="1:48" s="1108" customFormat="1" ht="27.75" customHeight="1">
      <c r="A1017" s="1076"/>
      <c r="B1017" s="1074">
        <f>+'[18]Bldg+Dev'!S1829</f>
        <v>0</v>
      </c>
      <c r="D1017" s="1063"/>
      <c r="F1017" s="1076"/>
      <c r="G1017" s="1063"/>
      <c r="H1017" s="1063"/>
      <c r="I1017" s="1063"/>
      <c r="J1017" s="1063"/>
      <c r="K1017" s="1063"/>
      <c r="L1017" s="1063"/>
      <c r="M1017" s="1063"/>
      <c r="N1017" s="1063"/>
      <c r="O1017" s="1063"/>
      <c r="P1017" s="1063"/>
      <c r="Q1017" s="1063"/>
      <c r="R1017" s="1063"/>
      <c r="S1017" s="1063"/>
      <c r="T1017" s="1063"/>
      <c r="U1017" s="1063"/>
      <c r="V1017" s="1063"/>
      <c r="W1017" s="1063"/>
      <c r="X1017" s="1063"/>
      <c r="Y1017" s="1063"/>
      <c r="Z1017" s="1063"/>
      <c r="AA1017" s="1063"/>
      <c r="AB1017" s="1063"/>
      <c r="AC1017" s="1063"/>
      <c r="AD1017" s="1063"/>
      <c r="AE1017" s="1063"/>
      <c r="AF1017" s="1063"/>
      <c r="AG1017" s="1063"/>
      <c r="AH1017" s="1063"/>
      <c r="AI1017" s="1063"/>
      <c r="AJ1017" s="1063"/>
      <c r="AK1017" s="1063"/>
      <c r="AL1017" s="1063"/>
      <c r="AM1017" s="1063"/>
      <c r="AN1017" s="1063"/>
      <c r="AO1017" s="1063"/>
      <c r="AP1017" s="1063"/>
      <c r="AQ1017" s="1063"/>
      <c r="AR1017" s="1063"/>
      <c r="AS1017" s="1063"/>
      <c r="AT1017" s="1063"/>
      <c r="AU1017" s="1063"/>
      <c r="AV1017" s="1063"/>
    </row>
    <row r="1018" spans="1:48" s="1108" customFormat="1" ht="27.75" customHeight="1">
      <c r="A1018" s="1076"/>
      <c r="B1018" s="1074">
        <f>+'[18]Bldg+Dev'!S1830</f>
        <v>0</v>
      </c>
      <c r="D1018" s="1063"/>
      <c r="F1018" s="1076"/>
      <c r="G1018" s="1063"/>
      <c r="H1018" s="1063"/>
      <c r="I1018" s="1063"/>
      <c r="J1018" s="1063"/>
      <c r="K1018" s="1063"/>
      <c r="L1018" s="1063"/>
      <c r="M1018" s="1063"/>
      <c r="N1018" s="1063"/>
      <c r="O1018" s="1063"/>
      <c r="P1018" s="1063"/>
      <c r="Q1018" s="1063"/>
      <c r="R1018" s="1063"/>
      <c r="S1018" s="1063"/>
      <c r="T1018" s="1063"/>
      <c r="U1018" s="1063"/>
      <c r="V1018" s="1063"/>
      <c r="W1018" s="1063"/>
      <c r="X1018" s="1063"/>
      <c r="Y1018" s="1063"/>
      <c r="Z1018" s="1063"/>
      <c r="AA1018" s="1063"/>
      <c r="AB1018" s="1063"/>
      <c r="AC1018" s="1063"/>
      <c r="AD1018" s="1063"/>
      <c r="AE1018" s="1063"/>
      <c r="AF1018" s="1063"/>
      <c r="AG1018" s="1063"/>
      <c r="AH1018" s="1063"/>
      <c r="AI1018" s="1063"/>
      <c r="AJ1018" s="1063"/>
      <c r="AK1018" s="1063"/>
      <c r="AL1018" s="1063"/>
      <c r="AM1018" s="1063"/>
      <c r="AN1018" s="1063"/>
      <c r="AO1018" s="1063"/>
      <c r="AP1018" s="1063"/>
      <c r="AQ1018" s="1063"/>
      <c r="AR1018" s="1063"/>
      <c r="AS1018" s="1063"/>
      <c r="AT1018" s="1063"/>
      <c r="AU1018" s="1063"/>
      <c r="AV1018" s="1063"/>
    </row>
    <row r="1019" spans="1:48" s="1108" customFormat="1" ht="27.75" customHeight="1">
      <c r="A1019" s="1076"/>
      <c r="B1019" s="1074">
        <f>+'[18]Bldg+Dev'!S1831</f>
        <v>0</v>
      </c>
      <c r="D1019" s="1063"/>
      <c r="F1019" s="1076"/>
      <c r="G1019" s="1063"/>
      <c r="H1019" s="1063"/>
      <c r="I1019" s="1063"/>
      <c r="J1019" s="1063"/>
      <c r="K1019" s="1063"/>
      <c r="L1019" s="1063"/>
      <c r="M1019" s="1063"/>
      <c r="N1019" s="1063"/>
      <c r="O1019" s="1063"/>
      <c r="P1019" s="1063"/>
      <c r="Q1019" s="1063"/>
      <c r="R1019" s="1063"/>
      <c r="S1019" s="1063"/>
      <c r="T1019" s="1063"/>
      <c r="U1019" s="1063"/>
      <c r="V1019" s="1063"/>
      <c r="W1019" s="1063"/>
      <c r="X1019" s="1063"/>
      <c r="Y1019" s="1063"/>
      <c r="Z1019" s="1063"/>
      <c r="AA1019" s="1063"/>
      <c r="AB1019" s="1063"/>
      <c r="AC1019" s="1063"/>
      <c r="AD1019" s="1063"/>
      <c r="AE1019" s="1063"/>
      <c r="AF1019" s="1063"/>
      <c r="AG1019" s="1063"/>
      <c r="AH1019" s="1063"/>
      <c r="AI1019" s="1063"/>
      <c r="AJ1019" s="1063"/>
      <c r="AK1019" s="1063"/>
      <c r="AL1019" s="1063"/>
      <c r="AM1019" s="1063"/>
      <c r="AN1019" s="1063"/>
      <c r="AO1019" s="1063"/>
      <c r="AP1019" s="1063"/>
      <c r="AQ1019" s="1063"/>
      <c r="AR1019" s="1063"/>
      <c r="AS1019" s="1063"/>
      <c r="AT1019" s="1063"/>
      <c r="AU1019" s="1063"/>
      <c r="AV1019" s="1063"/>
    </row>
    <row r="1020" spans="1:48" s="1108" customFormat="1" ht="27.75" customHeight="1">
      <c r="A1020" s="1076"/>
      <c r="B1020" s="1074">
        <f>+'[18]Bldg+Dev'!S1832</f>
        <v>0</v>
      </c>
      <c r="D1020" s="1063"/>
      <c r="F1020" s="1076"/>
      <c r="G1020" s="1063"/>
      <c r="H1020" s="1063"/>
      <c r="I1020" s="1063"/>
      <c r="J1020" s="1063"/>
      <c r="K1020" s="1063"/>
      <c r="L1020" s="1063"/>
      <c r="M1020" s="1063"/>
      <c r="N1020" s="1063"/>
      <c r="O1020" s="1063"/>
      <c r="P1020" s="1063"/>
      <c r="Q1020" s="1063"/>
      <c r="R1020" s="1063"/>
      <c r="S1020" s="1063"/>
      <c r="T1020" s="1063"/>
      <c r="U1020" s="1063"/>
      <c r="V1020" s="1063"/>
      <c r="W1020" s="1063"/>
      <c r="X1020" s="1063"/>
      <c r="Y1020" s="1063"/>
      <c r="Z1020" s="1063"/>
      <c r="AA1020" s="1063"/>
      <c r="AB1020" s="1063"/>
      <c r="AC1020" s="1063"/>
      <c r="AD1020" s="1063"/>
      <c r="AE1020" s="1063"/>
      <c r="AF1020" s="1063"/>
      <c r="AG1020" s="1063"/>
      <c r="AH1020" s="1063"/>
      <c r="AI1020" s="1063"/>
      <c r="AJ1020" s="1063"/>
      <c r="AK1020" s="1063"/>
      <c r="AL1020" s="1063"/>
      <c r="AM1020" s="1063"/>
      <c r="AN1020" s="1063"/>
      <c r="AO1020" s="1063"/>
      <c r="AP1020" s="1063"/>
      <c r="AQ1020" s="1063"/>
      <c r="AR1020" s="1063"/>
      <c r="AS1020" s="1063"/>
      <c r="AT1020" s="1063"/>
      <c r="AU1020" s="1063"/>
      <c r="AV1020" s="1063"/>
    </row>
    <row r="1021" spans="1:48" s="1108" customFormat="1" ht="27.75" customHeight="1">
      <c r="A1021" s="1076"/>
      <c r="B1021" s="1074">
        <f>+'[18]Bldg+Dev'!S1833</f>
        <v>0</v>
      </c>
      <c r="D1021" s="1063"/>
      <c r="F1021" s="1076"/>
      <c r="G1021" s="1063"/>
      <c r="H1021" s="1063"/>
      <c r="I1021" s="1063"/>
      <c r="J1021" s="1063"/>
      <c r="K1021" s="1063"/>
      <c r="L1021" s="1063"/>
      <c r="M1021" s="1063"/>
      <c r="N1021" s="1063"/>
      <c r="O1021" s="1063"/>
      <c r="P1021" s="1063"/>
      <c r="Q1021" s="1063"/>
      <c r="R1021" s="1063"/>
      <c r="S1021" s="1063"/>
      <c r="T1021" s="1063"/>
      <c r="U1021" s="1063"/>
      <c r="V1021" s="1063"/>
      <c r="W1021" s="1063"/>
      <c r="X1021" s="1063"/>
      <c r="Y1021" s="1063"/>
      <c r="Z1021" s="1063"/>
      <c r="AA1021" s="1063"/>
      <c r="AB1021" s="1063"/>
      <c r="AC1021" s="1063"/>
      <c r="AD1021" s="1063"/>
      <c r="AE1021" s="1063"/>
      <c r="AF1021" s="1063"/>
      <c r="AG1021" s="1063"/>
      <c r="AH1021" s="1063"/>
      <c r="AI1021" s="1063"/>
      <c r="AJ1021" s="1063"/>
      <c r="AK1021" s="1063"/>
      <c r="AL1021" s="1063"/>
      <c r="AM1021" s="1063"/>
      <c r="AN1021" s="1063"/>
      <c r="AO1021" s="1063"/>
      <c r="AP1021" s="1063"/>
      <c r="AQ1021" s="1063"/>
      <c r="AR1021" s="1063"/>
      <c r="AS1021" s="1063"/>
      <c r="AT1021" s="1063"/>
      <c r="AU1021" s="1063"/>
      <c r="AV1021" s="1063"/>
    </row>
    <row r="1022" spans="1:48" s="1108" customFormat="1" ht="27.75" customHeight="1">
      <c r="A1022" s="1076"/>
      <c r="B1022" s="1074">
        <f>+'[18]Bldg+Dev'!S1834</f>
        <v>0</v>
      </c>
      <c r="D1022" s="1063"/>
      <c r="F1022" s="1076"/>
      <c r="G1022" s="1063"/>
      <c r="H1022" s="1063"/>
      <c r="I1022" s="1063"/>
      <c r="J1022" s="1063"/>
      <c r="K1022" s="1063"/>
      <c r="L1022" s="1063"/>
      <c r="M1022" s="1063"/>
      <c r="N1022" s="1063"/>
      <c r="O1022" s="1063"/>
      <c r="P1022" s="1063"/>
      <c r="Q1022" s="1063"/>
      <c r="R1022" s="1063"/>
      <c r="S1022" s="1063"/>
      <c r="T1022" s="1063"/>
      <c r="U1022" s="1063"/>
      <c r="V1022" s="1063"/>
      <c r="W1022" s="1063"/>
      <c r="X1022" s="1063"/>
      <c r="Y1022" s="1063"/>
      <c r="Z1022" s="1063"/>
      <c r="AA1022" s="1063"/>
      <c r="AB1022" s="1063"/>
      <c r="AC1022" s="1063"/>
      <c r="AD1022" s="1063"/>
      <c r="AE1022" s="1063"/>
      <c r="AF1022" s="1063"/>
      <c r="AG1022" s="1063"/>
      <c r="AH1022" s="1063"/>
      <c r="AI1022" s="1063"/>
      <c r="AJ1022" s="1063"/>
      <c r="AK1022" s="1063"/>
      <c r="AL1022" s="1063"/>
      <c r="AM1022" s="1063"/>
      <c r="AN1022" s="1063"/>
      <c r="AO1022" s="1063"/>
      <c r="AP1022" s="1063"/>
      <c r="AQ1022" s="1063"/>
      <c r="AR1022" s="1063"/>
      <c r="AS1022" s="1063"/>
      <c r="AT1022" s="1063"/>
      <c r="AU1022" s="1063"/>
      <c r="AV1022" s="1063"/>
    </row>
    <row r="1023" spans="1:48" s="1108" customFormat="1" ht="27.75" customHeight="1">
      <c r="A1023" s="1076"/>
      <c r="B1023" s="1074">
        <f>+'[18]Bldg+Dev'!S1835</f>
        <v>0</v>
      </c>
      <c r="D1023" s="1063"/>
      <c r="F1023" s="1076"/>
      <c r="G1023" s="1063"/>
      <c r="H1023" s="1063"/>
      <c r="I1023" s="1063"/>
      <c r="J1023" s="1063"/>
      <c r="K1023" s="1063"/>
      <c r="L1023" s="1063"/>
      <c r="M1023" s="1063"/>
      <c r="N1023" s="1063"/>
      <c r="O1023" s="1063"/>
      <c r="P1023" s="1063"/>
      <c r="Q1023" s="1063"/>
      <c r="R1023" s="1063"/>
      <c r="S1023" s="1063"/>
      <c r="T1023" s="1063"/>
      <c r="U1023" s="1063"/>
      <c r="V1023" s="1063"/>
      <c r="W1023" s="1063"/>
      <c r="X1023" s="1063"/>
      <c r="Y1023" s="1063"/>
      <c r="Z1023" s="1063"/>
      <c r="AA1023" s="1063"/>
      <c r="AB1023" s="1063"/>
      <c r="AC1023" s="1063"/>
      <c r="AD1023" s="1063"/>
      <c r="AE1023" s="1063"/>
      <c r="AF1023" s="1063"/>
      <c r="AG1023" s="1063"/>
      <c r="AH1023" s="1063"/>
      <c r="AI1023" s="1063"/>
      <c r="AJ1023" s="1063"/>
      <c r="AK1023" s="1063"/>
      <c r="AL1023" s="1063"/>
      <c r="AM1023" s="1063"/>
      <c r="AN1023" s="1063"/>
      <c r="AO1023" s="1063"/>
      <c r="AP1023" s="1063"/>
      <c r="AQ1023" s="1063"/>
      <c r="AR1023" s="1063"/>
      <c r="AS1023" s="1063"/>
      <c r="AT1023" s="1063"/>
      <c r="AU1023" s="1063"/>
      <c r="AV1023" s="1063"/>
    </row>
    <row r="1024" spans="1:48" s="1108" customFormat="1" ht="27.75" customHeight="1">
      <c r="A1024" s="1076"/>
      <c r="B1024" s="1074">
        <f>+'[18]Bldg+Dev'!S1836</f>
        <v>0</v>
      </c>
      <c r="D1024" s="1063"/>
      <c r="F1024" s="1076"/>
      <c r="G1024" s="1063"/>
      <c r="H1024" s="1063"/>
      <c r="I1024" s="1063"/>
      <c r="J1024" s="1063"/>
      <c r="K1024" s="1063"/>
      <c r="L1024" s="1063"/>
      <c r="M1024" s="1063"/>
      <c r="N1024" s="1063"/>
      <c r="O1024" s="1063"/>
      <c r="P1024" s="1063"/>
      <c r="Q1024" s="1063"/>
      <c r="R1024" s="1063"/>
      <c r="S1024" s="1063"/>
      <c r="T1024" s="1063"/>
      <c r="U1024" s="1063"/>
      <c r="V1024" s="1063"/>
      <c r="W1024" s="1063"/>
      <c r="X1024" s="1063"/>
      <c r="Y1024" s="1063"/>
      <c r="Z1024" s="1063"/>
      <c r="AA1024" s="1063"/>
      <c r="AB1024" s="1063"/>
      <c r="AC1024" s="1063"/>
      <c r="AD1024" s="1063"/>
      <c r="AE1024" s="1063"/>
      <c r="AF1024" s="1063"/>
      <c r="AG1024" s="1063"/>
      <c r="AH1024" s="1063"/>
      <c r="AI1024" s="1063"/>
      <c r="AJ1024" s="1063"/>
      <c r="AK1024" s="1063"/>
      <c r="AL1024" s="1063"/>
      <c r="AM1024" s="1063"/>
      <c r="AN1024" s="1063"/>
      <c r="AO1024" s="1063"/>
      <c r="AP1024" s="1063"/>
      <c r="AQ1024" s="1063"/>
      <c r="AR1024" s="1063"/>
      <c r="AS1024" s="1063"/>
      <c r="AT1024" s="1063"/>
      <c r="AU1024" s="1063"/>
      <c r="AV1024" s="1063"/>
    </row>
    <row r="1025" spans="1:48" s="1108" customFormat="1" ht="27.75" customHeight="1">
      <c r="A1025" s="1076"/>
      <c r="B1025" s="1074">
        <f>+'[18]Bldg+Dev'!S1837</f>
        <v>0</v>
      </c>
      <c r="D1025" s="1063"/>
      <c r="F1025" s="1076"/>
      <c r="G1025" s="1063"/>
      <c r="H1025" s="1063"/>
      <c r="I1025" s="1063"/>
      <c r="J1025" s="1063"/>
      <c r="K1025" s="1063"/>
      <c r="L1025" s="1063"/>
      <c r="M1025" s="1063"/>
      <c r="N1025" s="1063"/>
      <c r="O1025" s="1063"/>
      <c r="P1025" s="1063"/>
      <c r="Q1025" s="1063"/>
      <c r="R1025" s="1063"/>
      <c r="S1025" s="1063"/>
      <c r="T1025" s="1063"/>
      <c r="U1025" s="1063"/>
      <c r="V1025" s="1063"/>
      <c r="W1025" s="1063"/>
      <c r="X1025" s="1063"/>
      <c r="Y1025" s="1063"/>
      <c r="Z1025" s="1063"/>
      <c r="AA1025" s="1063"/>
      <c r="AB1025" s="1063"/>
      <c r="AC1025" s="1063"/>
      <c r="AD1025" s="1063"/>
      <c r="AE1025" s="1063"/>
      <c r="AF1025" s="1063"/>
      <c r="AG1025" s="1063"/>
      <c r="AH1025" s="1063"/>
      <c r="AI1025" s="1063"/>
      <c r="AJ1025" s="1063"/>
      <c r="AK1025" s="1063"/>
      <c r="AL1025" s="1063"/>
      <c r="AM1025" s="1063"/>
      <c r="AN1025" s="1063"/>
      <c r="AO1025" s="1063"/>
      <c r="AP1025" s="1063"/>
      <c r="AQ1025" s="1063"/>
      <c r="AR1025" s="1063"/>
      <c r="AS1025" s="1063"/>
      <c r="AT1025" s="1063"/>
      <c r="AU1025" s="1063"/>
      <c r="AV1025" s="1063"/>
    </row>
    <row r="1026" spans="1:48" s="1108" customFormat="1" ht="27.75" customHeight="1">
      <c r="A1026" s="1076"/>
      <c r="B1026" s="1074">
        <f>+'[18]Bldg+Dev'!S1838</f>
        <v>0</v>
      </c>
      <c r="D1026" s="1063"/>
      <c r="F1026" s="1076"/>
      <c r="G1026" s="1063"/>
      <c r="H1026" s="1063"/>
      <c r="I1026" s="1063"/>
      <c r="J1026" s="1063"/>
      <c r="K1026" s="1063"/>
      <c r="L1026" s="1063"/>
      <c r="M1026" s="1063"/>
      <c r="N1026" s="1063"/>
      <c r="O1026" s="1063"/>
      <c r="P1026" s="1063"/>
      <c r="Q1026" s="1063"/>
      <c r="R1026" s="1063"/>
      <c r="S1026" s="1063"/>
      <c r="T1026" s="1063"/>
      <c r="U1026" s="1063"/>
      <c r="V1026" s="1063"/>
      <c r="W1026" s="1063"/>
      <c r="X1026" s="1063"/>
      <c r="Y1026" s="1063"/>
      <c r="Z1026" s="1063"/>
      <c r="AA1026" s="1063"/>
      <c r="AB1026" s="1063"/>
      <c r="AC1026" s="1063"/>
      <c r="AD1026" s="1063"/>
      <c r="AE1026" s="1063"/>
      <c r="AF1026" s="1063"/>
      <c r="AG1026" s="1063"/>
      <c r="AH1026" s="1063"/>
      <c r="AI1026" s="1063"/>
      <c r="AJ1026" s="1063"/>
      <c r="AK1026" s="1063"/>
      <c r="AL1026" s="1063"/>
      <c r="AM1026" s="1063"/>
      <c r="AN1026" s="1063"/>
      <c r="AO1026" s="1063"/>
      <c r="AP1026" s="1063"/>
      <c r="AQ1026" s="1063"/>
      <c r="AR1026" s="1063"/>
      <c r="AS1026" s="1063"/>
      <c r="AT1026" s="1063"/>
      <c r="AU1026" s="1063"/>
      <c r="AV1026" s="1063"/>
    </row>
    <row r="1027" spans="1:48" s="1108" customFormat="1" ht="27.75" customHeight="1">
      <c r="A1027" s="1076"/>
      <c r="B1027" s="1074">
        <f>+'[18]Bldg+Dev'!S1839</f>
        <v>0</v>
      </c>
      <c r="D1027" s="1063"/>
      <c r="F1027" s="1076"/>
      <c r="G1027" s="1063"/>
      <c r="H1027" s="1063"/>
      <c r="I1027" s="1063"/>
      <c r="J1027" s="1063"/>
      <c r="K1027" s="1063"/>
      <c r="L1027" s="1063"/>
      <c r="M1027" s="1063"/>
      <c r="N1027" s="1063"/>
      <c r="O1027" s="1063"/>
      <c r="P1027" s="1063"/>
      <c r="Q1027" s="1063"/>
      <c r="R1027" s="1063"/>
      <c r="S1027" s="1063"/>
      <c r="T1027" s="1063"/>
      <c r="U1027" s="1063"/>
      <c r="V1027" s="1063"/>
      <c r="W1027" s="1063"/>
      <c r="X1027" s="1063"/>
      <c r="Y1027" s="1063"/>
      <c r="Z1027" s="1063"/>
      <c r="AA1027" s="1063"/>
      <c r="AB1027" s="1063"/>
      <c r="AC1027" s="1063"/>
      <c r="AD1027" s="1063"/>
      <c r="AE1027" s="1063"/>
      <c r="AF1027" s="1063"/>
      <c r="AG1027" s="1063"/>
      <c r="AH1027" s="1063"/>
      <c r="AI1027" s="1063"/>
      <c r="AJ1027" s="1063"/>
      <c r="AK1027" s="1063"/>
      <c r="AL1027" s="1063"/>
      <c r="AM1027" s="1063"/>
      <c r="AN1027" s="1063"/>
      <c r="AO1027" s="1063"/>
      <c r="AP1027" s="1063"/>
      <c r="AQ1027" s="1063"/>
      <c r="AR1027" s="1063"/>
      <c r="AS1027" s="1063"/>
      <c r="AT1027" s="1063"/>
      <c r="AU1027" s="1063"/>
      <c r="AV1027" s="1063"/>
    </row>
    <row r="1028" spans="1:48" s="1108" customFormat="1" ht="27.75" customHeight="1">
      <c r="A1028" s="1076"/>
      <c r="B1028" s="1074">
        <f>+'[18]Bldg+Dev'!S1840</f>
        <v>0</v>
      </c>
      <c r="D1028" s="1063"/>
      <c r="F1028" s="1076"/>
      <c r="G1028" s="1063"/>
      <c r="H1028" s="1063"/>
      <c r="I1028" s="1063"/>
      <c r="J1028" s="1063"/>
      <c r="K1028" s="1063"/>
      <c r="L1028" s="1063"/>
      <c r="M1028" s="1063"/>
      <c r="N1028" s="1063"/>
      <c r="O1028" s="1063"/>
      <c r="P1028" s="1063"/>
      <c r="Q1028" s="1063"/>
      <c r="R1028" s="1063"/>
      <c r="S1028" s="1063"/>
      <c r="T1028" s="1063"/>
      <c r="U1028" s="1063"/>
      <c r="V1028" s="1063"/>
      <c r="W1028" s="1063"/>
      <c r="X1028" s="1063"/>
      <c r="Y1028" s="1063"/>
      <c r="Z1028" s="1063"/>
      <c r="AA1028" s="1063"/>
      <c r="AB1028" s="1063"/>
      <c r="AC1028" s="1063"/>
      <c r="AD1028" s="1063"/>
      <c r="AE1028" s="1063"/>
      <c r="AF1028" s="1063"/>
      <c r="AG1028" s="1063"/>
      <c r="AH1028" s="1063"/>
      <c r="AI1028" s="1063"/>
      <c r="AJ1028" s="1063"/>
      <c r="AK1028" s="1063"/>
      <c r="AL1028" s="1063"/>
      <c r="AM1028" s="1063"/>
      <c r="AN1028" s="1063"/>
      <c r="AO1028" s="1063"/>
      <c r="AP1028" s="1063"/>
      <c r="AQ1028" s="1063"/>
      <c r="AR1028" s="1063"/>
      <c r="AS1028" s="1063"/>
      <c r="AT1028" s="1063"/>
      <c r="AU1028" s="1063"/>
      <c r="AV1028" s="1063"/>
    </row>
    <row r="1029" spans="1:48" s="1108" customFormat="1" ht="27.75" customHeight="1">
      <c r="A1029" s="1076"/>
      <c r="B1029" s="1074">
        <f>+'[18]Bldg+Dev'!S1841</f>
        <v>0</v>
      </c>
      <c r="D1029" s="1063"/>
      <c r="F1029" s="1076"/>
      <c r="G1029" s="1063"/>
      <c r="H1029" s="1063"/>
      <c r="I1029" s="1063"/>
      <c r="J1029" s="1063"/>
      <c r="K1029" s="1063"/>
      <c r="L1029" s="1063"/>
      <c r="M1029" s="1063"/>
      <c r="N1029" s="1063"/>
      <c r="O1029" s="1063"/>
      <c r="P1029" s="1063"/>
      <c r="Q1029" s="1063"/>
      <c r="R1029" s="1063"/>
      <c r="S1029" s="1063"/>
      <c r="T1029" s="1063"/>
      <c r="U1029" s="1063"/>
      <c r="V1029" s="1063"/>
      <c r="W1029" s="1063"/>
      <c r="X1029" s="1063"/>
      <c r="Y1029" s="1063"/>
      <c r="Z1029" s="1063"/>
      <c r="AA1029" s="1063"/>
      <c r="AB1029" s="1063"/>
      <c r="AC1029" s="1063"/>
      <c r="AD1029" s="1063"/>
      <c r="AE1029" s="1063"/>
      <c r="AF1029" s="1063"/>
      <c r="AG1029" s="1063"/>
      <c r="AH1029" s="1063"/>
      <c r="AI1029" s="1063"/>
      <c r="AJ1029" s="1063"/>
      <c r="AK1029" s="1063"/>
      <c r="AL1029" s="1063"/>
      <c r="AM1029" s="1063"/>
      <c r="AN1029" s="1063"/>
      <c r="AO1029" s="1063"/>
      <c r="AP1029" s="1063"/>
      <c r="AQ1029" s="1063"/>
      <c r="AR1029" s="1063"/>
      <c r="AS1029" s="1063"/>
      <c r="AT1029" s="1063"/>
      <c r="AU1029" s="1063"/>
      <c r="AV1029" s="1063"/>
    </row>
    <row r="1030" spans="1:48" s="1108" customFormat="1" ht="27.75" customHeight="1">
      <c r="A1030" s="1076"/>
      <c r="B1030" s="1074">
        <f>+'[18]Bldg+Dev'!S1842</f>
        <v>0</v>
      </c>
      <c r="D1030" s="1063"/>
      <c r="F1030" s="1076"/>
      <c r="G1030" s="1063"/>
      <c r="H1030" s="1063"/>
      <c r="I1030" s="1063"/>
      <c r="J1030" s="1063"/>
      <c r="K1030" s="1063"/>
      <c r="L1030" s="1063"/>
      <c r="M1030" s="1063"/>
      <c r="N1030" s="1063"/>
      <c r="O1030" s="1063"/>
      <c r="P1030" s="1063"/>
      <c r="Q1030" s="1063"/>
      <c r="R1030" s="1063"/>
      <c r="S1030" s="1063"/>
      <c r="T1030" s="1063"/>
      <c r="U1030" s="1063"/>
      <c r="V1030" s="1063"/>
      <c r="W1030" s="1063"/>
      <c r="X1030" s="1063"/>
      <c r="Y1030" s="1063"/>
      <c r="Z1030" s="1063"/>
      <c r="AA1030" s="1063"/>
      <c r="AB1030" s="1063"/>
      <c r="AC1030" s="1063"/>
      <c r="AD1030" s="1063"/>
      <c r="AE1030" s="1063"/>
      <c r="AF1030" s="1063"/>
      <c r="AG1030" s="1063"/>
      <c r="AH1030" s="1063"/>
      <c r="AI1030" s="1063"/>
      <c r="AJ1030" s="1063"/>
      <c r="AK1030" s="1063"/>
      <c r="AL1030" s="1063"/>
      <c r="AM1030" s="1063"/>
      <c r="AN1030" s="1063"/>
      <c r="AO1030" s="1063"/>
      <c r="AP1030" s="1063"/>
      <c r="AQ1030" s="1063"/>
      <c r="AR1030" s="1063"/>
      <c r="AS1030" s="1063"/>
      <c r="AT1030" s="1063"/>
      <c r="AU1030" s="1063"/>
      <c r="AV1030" s="1063"/>
    </row>
    <row r="1031" spans="1:48" s="1108" customFormat="1" ht="27.75" customHeight="1">
      <c r="A1031" s="1076"/>
      <c r="B1031" s="1074">
        <f>+'[18]Bldg+Dev'!S1843</f>
        <v>0</v>
      </c>
      <c r="D1031" s="1063"/>
      <c r="F1031" s="1076"/>
      <c r="G1031" s="1063"/>
      <c r="H1031" s="1063"/>
      <c r="I1031" s="1063"/>
      <c r="J1031" s="1063"/>
      <c r="K1031" s="1063"/>
      <c r="L1031" s="1063"/>
      <c r="M1031" s="1063"/>
      <c r="N1031" s="1063"/>
      <c r="O1031" s="1063"/>
      <c r="P1031" s="1063"/>
      <c r="Q1031" s="1063"/>
      <c r="R1031" s="1063"/>
      <c r="S1031" s="1063"/>
      <c r="T1031" s="1063"/>
      <c r="U1031" s="1063"/>
      <c r="V1031" s="1063"/>
      <c r="W1031" s="1063"/>
      <c r="X1031" s="1063"/>
      <c r="Y1031" s="1063"/>
      <c r="Z1031" s="1063"/>
      <c r="AA1031" s="1063"/>
      <c r="AB1031" s="1063"/>
      <c r="AC1031" s="1063"/>
      <c r="AD1031" s="1063"/>
      <c r="AE1031" s="1063"/>
      <c r="AF1031" s="1063"/>
      <c r="AG1031" s="1063"/>
      <c r="AH1031" s="1063"/>
      <c r="AI1031" s="1063"/>
      <c r="AJ1031" s="1063"/>
      <c r="AK1031" s="1063"/>
      <c r="AL1031" s="1063"/>
      <c r="AM1031" s="1063"/>
      <c r="AN1031" s="1063"/>
      <c r="AO1031" s="1063"/>
      <c r="AP1031" s="1063"/>
      <c r="AQ1031" s="1063"/>
      <c r="AR1031" s="1063"/>
      <c r="AS1031" s="1063"/>
      <c r="AT1031" s="1063"/>
      <c r="AU1031" s="1063"/>
      <c r="AV1031" s="1063"/>
    </row>
    <row r="1032" spans="1:48" s="1108" customFormat="1" ht="27.75" customHeight="1">
      <c r="A1032" s="1076"/>
      <c r="B1032" s="1074">
        <f>+'[18]Bldg+Dev'!S1844</f>
        <v>0</v>
      </c>
      <c r="D1032" s="1063"/>
      <c r="F1032" s="1076"/>
      <c r="G1032" s="1063"/>
      <c r="H1032" s="1063"/>
      <c r="I1032" s="1063"/>
      <c r="J1032" s="1063"/>
      <c r="K1032" s="1063"/>
      <c r="L1032" s="1063"/>
      <c r="M1032" s="1063"/>
      <c r="N1032" s="1063"/>
      <c r="O1032" s="1063"/>
      <c r="P1032" s="1063"/>
      <c r="Q1032" s="1063"/>
      <c r="R1032" s="1063"/>
      <c r="S1032" s="1063"/>
      <c r="T1032" s="1063"/>
      <c r="U1032" s="1063"/>
      <c r="V1032" s="1063"/>
      <c r="W1032" s="1063"/>
      <c r="X1032" s="1063"/>
      <c r="Y1032" s="1063"/>
      <c r="Z1032" s="1063"/>
      <c r="AA1032" s="1063"/>
      <c r="AB1032" s="1063"/>
      <c r="AC1032" s="1063"/>
      <c r="AD1032" s="1063"/>
      <c r="AE1032" s="1063"/>
      <c r="AF1032" s="1063"/>
      <c r="AG1032" s="1063"/>
      <c r="AH1032" s="1063"/>
      <c r="AI1032" s="1063"/>
      <c r="AJ1032" s="1063"/>
      <c r="AK1032" s="1063"/>
      <c r="AL1032" s="1063"/>
      <c r="AM1032" s="1063"/>
      <c r="AN1032" s="1063"/>
      <c r="AO1032" s="1063"/>
      <c r="AP1032" s="1063"/>
      <c r="AQ1032" s="1063"/>
      <c r="AR1032" s="1063"/>
      <c r="AS1032" s="1063"/>
      <c r="AT1032" s="1063"/>
      <c r="AU1032" s="1063"/>
      <c r="AV1032" s="1063"/>
    </row>
    <row r="1033" spans="1:48" s="1108" customFormat="1" ht="27.75" customHeight="1">
      <c r="A1033" s="1076"/>
      <c r="B1033" s="1074">
        <f>+'[18]Bldg+Dev'!S1845</f>
        <v>0</v>
      </c>
      <c r="D1033" s="1063"/>
      <c r="F1033" s="1076"/>
      <c r="G1033" s="1063"/>
      <c r="H1033" s="1063"/>
      <c r="I1033" s="1063"/>
      <c r="J1033" s="1063"/>
      <c r="K1033" s="1063"/>
      <c r="L1033" s="1063"/>
      <c r="M1033" s="1063"/>
      <c r="N1033" s="1063"/>
      <c r="O1033" s="1063"/>
      <c r="P1033" s="1063"/>
      <c r="Q1033" s="1063"/>
      <c r="R1033" s="1063"/>
      <c r="S1033" s="1063"/>
      <c r="T1033" s="1063"/>
      <c r="U1033" s="1063"/>
      <c r="V1033" s="1063"/>
      <c r="W1033" s="1063"/>
      <c r="X1033" s="1063"/>
      <c r="Y1033" s="1063"/>
      <c r="Z1033" s="1063"/>
      <c r="AA1033" s="1063"/>
      <c r="AB1033" s="1063"/>
      <c r="AC1033" s="1063"/>
      <c r="AD1033" s="1063"/>
      <c r="AE1033" s="1063"/>
      <c r="AF1033" s="1063"/>
      <c r="AG1033" s="1063"/>
      <c r="AH1033" s="1063"/>
      <c r="AI1033" s="1063"/>
      <c r="AJ1033" s="1063"/>
      <c r="AK1033" s="1063"/>
      <c r="AL1033" s="1063"/>
      <c r="AM1033" s="1063"/>
      <c r="AN1033" s="1063"/>
      <c r="AO1033" s="1063"/>
      <c r="AP1033" s="1063"/>
      <c r="AQ1033" s="1063"/>
      <c r="AR1033" s="1063"/>
      <c r="AS1033" s="1063"/>
      <c r="AT1033" s="1063"/>
      <c r="AU1033" s="1063"/>
      <c r="AV1033" s="1063"/>
    </row>
    <row r="1034" spans="1:48" s="1108" customFormat="1" ht="27.75" customHeight="1">
      <c r="A1034" s="1076"/>
      <c r="B1034" s="1074">
        <f>+'[18]Bldg+Dev'!S1846</f>
        <v>0</v>
      </c>
      <c r="D1034" s="1063"/>
      <c r="F1034" s="1076"/>
      <c r="G1034" s="1063"/>
      <c r="H1034" s="1063"/>
      <c r="I1034" s="1063"/>
      <c r="J1034" s="1063"/>
      <c r="K1034" s="1063"/>
      <c r="L1034" s="1063"/>
      <c r="M1034" s="1063"/>
      <c r="N1034" s="1063"/>
      <c r="O1034" s="1063"/>
      <c r="P1034" s="1063"/>
      <c r="Q1034" s="1063"/>
      <c r="R1034" s="1063"/>
      <c r="S1034" s="1063"/>
      <c r="T1034" s="1063"/>
      <c r="U1034" s="1063"/>
      <c r="V1034" s="1063"/>
      <c r="W1034" s="1063"/>
      <c r="X1034" s="1063"/>
      <c r="Y1034" s="1063"/>
      <c r="Z1034" s="1063"/>
      <c r="AA1034" s="1063"/>
      <c r="AB1034" s="1063"/>
      <c r="AC1034" s="1063"/>
      <c r="AD1034" s="1063"/>
      <c r="AE1034" s="1063"/>
      <c r="AF1034" s="1063"/>
      <c r="AG1034" s="1063"/>
      <c r="AH1034" s="1063"/>
      <c r="AI1034" s="1063"/>
      <c r="AJ1034" s="1063"/>
      <c r="AK1034" s="1063"/>
      <c r="AL1034" s="1063"/>
      <c r="AM1034" s="1063"/>
      <c r="AN1034" s="1063"/>
      <c r="AO1034" s="1063"/>
      <c r="AP1034" s="1063"/>
      <c r="AQ1034" s="1063"/>
      <c r="AR1034" s="1063"/>
      <c r="AS1034" s="1063"/>
      <c r="AT1034" s="1063"/>
      <c r="AU1034" s="1063"/>
      <c r="AV1034" s="1063"/>
    </row>
    <row r="1035" spans="1:48" s="1108" customFormat="1" ht="27.75" customHeight="1">
      <c r="A1035" s="1076"/>
      <c r="B1035" s="1074">
        <f>+'[18]Bldg+Dev'!S1847</f>
        <v>0</v>
      </c>
      <c r="D1035" s="1063"/>
      <c r="F1035" s="1076"/>
      <c r="G1035" s="1063"/>
      <c r="H1035" s="1063"/>
      <c r="I1035" s="1063"/>
      <c r="J1035" s="1063"/>
      <c r="K1035" s="1063"/>
      <c r="L1035" s="1063"/>
      <c r="M1035" s="1063"/>
      <c r="N1035" s="1063"/>
      <c r="O1035" s="1063"/>
      <c r="P1035" s="1063"/>
      <c r="Q1035" s="1063"/>
      <c r="R1035" s="1063"/>
      <c r="S1035" s="1063"/>
      <c r="T1035" s="1063"/>
      <c r="U1035" s="1063"/>
      <c r="V1035" s="1063"/>
      <c r="W1035" s="1063"/>
      <c r="X1035" s="1063"/>
      <c r="Y1035" s="1063"/>
      <c r="Z1035" s="1063"/>
      <c r="AA1035" s="1063"/>
      <c r="AB1035" s="1063"/>
      <c r="AC1035" s="1063"/>
      <c r="AD1035" s="1063"/>
      <c r="AE1035" s="1063"/>
      <c r="AF1035" s="1063"/>
      <c r="AG1035" s="1063"/>
      <c r="AH1035" s="1063"/>
      <c r="AI1035" s="1063"/>
      <c r="AJ1035" s="1063"/>
      <c r="AK1035" s="1063"/>
      <c r="AL1035" s="1063"/>
      <c r="AM1035" s="1063"/>
      <c r="AN1035" s="1063"/>
      <c r="AO1035" s="1063"/>
      <c r="AP1035" s="1063"/>
      <c r="AQ1035" s="1063"/>
      <c r="AR1035" s="1063"/>
      <c r="AS1035" s="1063"/>
      <c r="AT1035" s="1063"/>
      <c r="AU1035" s="1063"/>
      <c r="AV1035" s="1063"/>
    </row>
    <row r="1036" spans="1:48" s="1108" customFormat="1" ht="27.75" customHeight="1">
      <c r="A1036" s="1076"/>
      <c r="B1036" s="1074">
        <f>+'[18]Bldg+Dev'!S1848</f>
        <v>0</v>
      </c>
      <c r="D1036" s="1063"/>
      <c r="F1036" s="1076"/>
      <c r="G1036" s="1063"/>
      <c r="H1036" s="1063"/>
      <c r="I1036" s="1063"/>
      <c r="J1036" s="1063"/>
      <c r="K1036" s="1063"/>
      <c r="L1036" s="1063"/>
      <c r="M1036" s="1063"/>
      <c r="N1036" s="1063"/>
      <c r="O1036" s="1063"/>
      <c r="P1036" s="1063"/>
      <c r="Q1036" s="1063"/>
      <c r="R1036" s="1063"/>
      <c r="S1036" s="1063"/>
      <c r="T1036" s="1063"/>
      <c r="U1036" s="1063"/>
      <c r="V1036" s="1063"/>
      <c r="W1036" s="1063"/>
      <c r="X1036" s="1063"/>
      <c r="Y1036" s="1063"/>
      <c r="Z1036" s="1063"/>
      <c r="AA1036" s="1063"/>
      <c r="AB1036" s="1063"/>
      <c r="AC1036" s="1063"/>
      <c r="AD1036" s="1063"/>
      <c r="AE1036" s="1063"/>
      <c r="AF1036" s="1063"/>
      <c r="AG1036" s="1063"/>
      <c r="AH1036" s="1063"/>
      <c r="AI1036" s="1063"/>
      <c r="AJ1036" s="1063"/>
      <c r="AK1036" s="1063"/>
      <c r="AL1036" s="1063"/>
      <c r="AM1036" s="1063"/>
      <c r="AN1036" s="1063"/>
      <c r="AO1036" s="1063"/>
      <c r="AP1036" s="1063"/>
      <c r="AQ1036" s="1063"/>
      <c r="AR1036" s="1063"/>
      <c r="AS1036" s="1063"/>
      <c r="AT1036" s="1063"/>
      <c r="AU1036" s="1063"/>
      <c r="AV1036" s="1063"/>
    </row>
    <row r="1037" spans="1:48" s="1108" customFormat="1" ht="27.75" customHeight="1">
      <c r="A1037" s="1076"/>
      <c r="B1037" s="1074">
        <f>+'[18]Bldg+Dev'!S1849</f>
        <v>0</v>
      </c>
      <c r="D1037" s="1063"/>
      <c r="F1037" s="1076"/>
      <c r="G1037" s="1063"/>
      <c r="H1037" s="1063"/>
      <c r="I1037" s="1063"/>
      <c r="J1037" s="1063"/>
      <c r="K1037" s="1063"/>
      <c r="L1037" s="1063"/>
      <c r="M1037" s="1063"/>
      <c r="N1037" s="1063"/>
      <c r="O1037" s="1063"/>
      <c r="P1037" s="1063"/>
      <c r="Q1037" s="1063"/>
      <c r="R1037" s="1063"/>
      <c r="S1037" s="1063"/>
      <c r="T1037" s="1063"/>
      <c r="U1037" s="1063"/>
      <c r="V1037" s="1063"/>
      <c r="W1037" s="1063"/>
      <c r="X1037" s="1063"/>
      <c r="Y1037" s="1063"/>
      <c r="Z1037" s="1063"/>
      <c r="AA1037" s="1063"/>
      <c r="AB1037" s="1063"/>
      <c r="AC1037" s="1063"/>
      <c r="AD1037" s="1063"/>
      <c r="AE1037" s="1063"/>
      <c r="AF1037" s="1063"/>
      <c r="AG1037" s="1063"/>
      <c r="AH1037" s="1063"/>
      <c r="AI1037" s="1063"/>
      <c r="AJ1037" s="1063"/>
      <c r="AK1037" s="1063"/>
      <c r="AL1037" s="1063"/>
      <c r="AM1037" s="1063"/>
      <c r="AN1037" s="1063"/>
      <c r="AO1037" s="1063"/>
      <c r="AP1037" s="1063"/>
      <c r="AQ1037" s="1063"/>
      <c r="AR1037" s="1063"/>
      <c r="AS1037" s="1063"/>
      <c r="AT1037" s="1063"/>
      <c r="AU1037" s="1063"/>
      <c r="AV1037" s="1063"/>
    </row>
    <row r="1038" spans="1:48" s="1108" customFormat="1" ht="27.75" customHeight="1">
      <c r="A1038" s="1076"/>
      <c r="B1038" s="1074">
        <f>+'[18]Bldg+Dev'!S1850</f>
        <v>0</v>
      </c>
      <c r="D1038" s="1063"/>
      <c r="F1038" s="1076"/>
      <c r="G1038" s="1063"/>
      <c r="H1038" s="1063"/>
      <c r="I1038" s="1063"/>
      <c r="J1038" s="1063"/>
      <c r="K1038" s="1063"/>
      <c r="L1038" s="1063"/>
      <c r="M1038" s="1063"/>
      <c r="N1038" s="1063"/>
      <c r="O1038" s="1063"/>
      <c r="P1038" s="1063"/>
      <c r="Q1038" s="1063"/>
      <c r="R1038" s="1063"/>
      <c r="S1038" s="1063"/>
      <c r="T1038" s="1063"/>
      <c r="U1038" s="1063"/>
      <c r="V1038" s="1063"/>
      <c r="W1038" s="1063"/>
      <c r="X1038" s="1063"/>
      <c r="Y1038" s="1063"/>
      <c r="Z1038" s="1063"/>
      <c r="AA1038" s="1063"/>
      <c r="AB1038" s="1063"/>
      <c r="AC1038" s="1063"/>
      <c r="AD1038" s="1063"/>
      <c r="AE1038" s="1063"/>
      <c r="AF1038" s="1063"/>
      <c r="AG1038" s="1063"/>
      <c r="AH1038" s="1063"/>
      <c r="AI1038" s="1063"/>
      <c r="AJ1038" s="1063"/>
      <c r="AK1038" s="1063"/>
      <c r="AL1038" s="1063"/>
      <c r="AM1038" s="1063"/>
      <c r="AN1038" s="1063"/>
      <c r="AO1038" s="1063"/>
      <c r="AP1038" s="1063"/>
      <c r="AQ1038" s="1063"/>
      <c r="AR1038" s="1063"/>
      <c r="AS1038" s="1063"/>
      <c r="AT1038" s="1063"/>
      <c r="AU1038" s="1063"/>
      <c r="AV1038" s="1063"/>
    </row>
    <row r="1039" spans="1:48" s="1108" customFormat="1" ht="27.75" customHeight="1">
      <c r="A1039" s="1076"/>
      <c r="B1039" s="1074">
        <f>+'[18]Bldg+Dev'!S1851</f>
        <v>0</v>
      </c>
      <c r="D1039" s="1063"/>
      <c r="F1039" s="1076"/>
      <c r="G1039" s="1063"/>
      <c r="H1039" s="1063"/>
      <c r="I1039" s="1063"/>
      <c r="J1039" s="1063"/>
      <c r="K1039" s="1063"/>
      <c r="L1039" s="1063"/>
      <c r="M1039" s="1063"/>
      <c r="N1039" s="1063"/>
      <c r="O1039" s="1063"/>
      <c r="P1039" s="1063"/>
      <c r="Q1039" s="1063"/>
      <c r="R1039" s="1063"/>
      <c r="S1039" s="1063"/>
      <c r="T1039" s="1063"/>
      <c r="U1039" s="1063"/>
      <c r="V1039" s="1063"/>
      <c r="W1039" s="1063"/>
      <c r="X1039" s="1063"/>
      <c r="Y1039" s="1063"/>
      <c r="Z1039" s="1063"/>
      <c r="AA1039" s="1063"/>
      <c r="AB1039" s="1063"/>
      <c r="AC1039" s="1063"/>
      <c r="AD1039" s="1063"/>
      <c r="AE1039" s="1063"/>
      <c r="AF1039" s="1063"/>
      <c r="AG1039" s="1063"/>
      <c r="AH1039" s="1063"/>
      <c r="AI1039" s="1063"/>
      <c r="AJ1039" s="1063"/>
      <c r="AK1039" s="1063"/>
      <c r="AL1039" s="1063"/>
      <c r="AM1039" s="1063"/>
      <c r="AN1039" s="1063"/>
      <c r="AO1039" s="1063"/>
      <c r="AP1039" s="1063"/>
      <c r="AQ1039" s="1063"/>
      <c r="AR1039" s="1063"/>
      <c r="AS1039" s="1063"/>
      <c r="AT1039" s="1063"/>
      <c r="AU1039" s="1063"/>
      <c r="AV1039" s="1063"/>
    </row>
    <row r="1040" spans="1:48" s="1108" customFormat="1" ht="27.75" customHeight="1">
      <c r="A1040" s="1076"/>
      <c r="B1040" s="1074">
        <f>+'[18]Bldg+Dev'!S1852</f>
        <v>0</v>
      </c>
      <c r="D1040" s="1063"/>
      <c r="F1040" s="1076"/>
      <c r="G1040" s="1063"/>
      <c r="H1040" s="1063"/>
      <c r="I1040" s="1063"/>
      <c r="J1040" s="1063"/>
      <c r="K1040" s="1063"/>
      <c r="L1040" s="1063"/>
      <c r="M1040" s="1063"/>
      <c r="N1040" s="1063"/>
      <c r="O1040" s="1063"/>
      <c r="P1040" s="1063"/>
      <c r="Q1040" s="1063"/>
      <c r="R1040" s="1063"/>
      <c r="S1040" s="1063"/>
      <c r="T1040" s="1063"/>
      <c r="U1040" s="1063"/>
      <c r="V1040" s="1063"/>
      <c r="W1040" s="1063"/>
      <c r="X1040" s="1063"/>
      <c r="Y1040" s="1063"/>
      <c r="Z1040" s="1063"/>
      <c r="AA1040" s="1063"/>
      <c r="AB1040" s="1063"/>
      <c r="AC1040" s="1063"/>
      <c r="AD1040" s="1063"/>
      <c r="AE1040" s="1063"/>
      <c r="AF1040" s="1063"/>
      <c r="AG1040" s="1063"/>
      <c r="AH1040" s="1063"/>
      <c r="AI1040" s="1063"/>
      <c r="AJ1040" s="1063"/>
      <c r="AK1040" s="1063"/>
      <c r="AL1040" s="1063"/>
      <c r="AM1040" s="1063"/>
      <c r="AN1040" s="1063"/>
      <c r="AO1040" s="1063"/>
      <c r="AP1040" s="1063"/>
      <c r="AQ1040" s="1063"/>
      <c r="AR1040" s="1063"/>
      <c r="AS1040" s="1063"/>
      <c r="AT1040" s="1063"/>
      <c r="AU1040" s="1063"/>
      <c r="AV1040" s="1063"/>
    </row>
    <row r="1041" spans="1:48" s="1108" customFormat="1" ht="27.75" customHeight="1">
      <c r="A1041" s="1076"/>
      <c r="B1041" s="1074">
        <f>+'[18]Bldg+Dev'!S1853</f>
        <v>0</v>
      </c>
      <c r="D1041" s="1063"/>
      <c r="F1041" s="1076"/>
      <c r="G1041" s="1063"/>
      <c r="H1041" s="1063"/>
      <c r="I1041" s="1063"/>
      <c r="J1041" s="1063"/>
      <c r="K1041" s="1063"/>
      <c r="L1041" s="1063"/>
      <c r="M1041" s="1063"/>
      <c r="N1041" s="1063"/>
      <c r="O1041" s="1063"/>
      <c r="P1041" s="1063"/>
      <c r="Q1041" s="1063"/>
      <c r="R1041" s="1063"/>
      <c r="S1041" s="1063"/>
      <c r="T1041" s="1063"/>
      <c r="U1041" s="1063"/>
      <c r="V1041" s="1063"/>
      <c r="W1041" s="1063"/>
      <c r="X1041" s="1063"/>
      <c r="Y1041" s="1063"/>
      <c r="Z1041" s="1063"/>
      <c r="AA1041" s="1063"/>
      <c r="AB1041" s="1063"/>
      <c r="AC1041" s="1063"/>
      <c r="AD1041" s="1063"/>
      <c r="AE1041" s="1063"/>
      <c r="AF1041" s="1063"/>
      <c r="AG1041" s="1063"/>
      <c r="AH1041" s="1063"/>
      <c r="AI1041" s="1063"/>
      <c r="AJ1041" s="1063"/>
      <c r="AK1041" s="1063"/>
      <c r="AL1041" s="1063"/>
      <c r="AM1041" s="1063"/>
      <c r="AN1041" s="1063"/>
      <c r="AO1041" s="1063"/>
      <c r="AP1041" s="1063"/>
      <c r="AQ1041" s="1063"/>
      <c r="AR1041" s="1063"/>
      <c r="AS1041" s="1063"/>
      <c r="AT1041" s="1063"/>
      <c r="AU1041" s="1063"/>
      <c r="AV1041" s="1063"/>
    </row>
    <row r="1042" spans="1:48" s="1108" customFormat="1" ht="27.75" customHeight="1">
      <c r="A1042" s="1076"/>
      <c r="B1042" s="1074">
        <f>+'[18]Bldg+Dev'!S1854</f>
        <v>0</v>
      </c>
      <c r="D1042" s="1063"/>
      <c r="F1042" s="1076"/>
      <c r="G1042" s="1063"/>
      <c r="H1042" s="1063"/>
      <c r="I1042" s="1063"/>
      <c r="J1042" s="1063"/>
      <c r="K1042" s="1063"/>
      <c r="L1042" s="1063"/>
      <c r="M1042" s="1063"/>
      <c r="N1042" s="1063"/>
      <c r="O1042" s="1063"/>
      <c r="P1042" s="1063"/>
      <c r="Q1042" s="1063"/>
      <c r="R1042" s="1063"/>
      <c r="S1042" s="1063"/>
      <c r="T1042" s="1063"/>
      <c r="U1042" s="1063"/>
      <c r="V1042" s="1063"/>
      <c r="W1042" s="1063"/>
      <c r="X1042" s="1063"/>
      <c r="Y1042" s="1063"/>
      <c r="Z1042" s="1063"/>
      <c r="AA1042" s="1063"/>
      <c r="AB1042" s="1063"/>
      <c r="AC1042" s="1063"/>
      <c r="AD1042" s="1063"/>
      <c r="AE1042" s="1063"/>
      <c r="AF1042" s="1063"/>
      <c r="AG1042" s="1063"/>
      <c r="AH1042" s="1063"/>
      <c r="AI1042" s="1063"/>
      <c r="AJ1042" s="1063"/>
      <c r="AK1042" s="1063"/>
      <c r="AL1042" s="1063"/>
      <c r="AM1042" s="1063"/>
      <c r="AN1042" s="1063"/>
      <c r="AO1042" s="1063"/>
      <c r="AP1042" s="1063"/>
      <c r="AQ1042" s="1063"/>
      <c r="AR1042" s="1063"/>
      <c r="AS1042" s="1063"/>
      <c r="AT1042" s="1063"/>
      <c r="AU1042" s="1063"/>
      <c r="AV1042" s="1063"/>
    </row>
    <row r="1043" spans="1:48" s="1108" customFormat="1" ht="27.75" customHeight="1">
      <c r="A1043" s="1076"/>
      <c r="B1043" s="1074">
        <f>+'[18]Bldg+Dev'!S1855</f>
        <v>0</v>
      </c>
      <c r="D1043" s="1063"/>
      <c r="F1043" s="1076"/>
      <c r="G1043" s="1063"/>
      <c r="H1043" s="1063"/>
      <c r="I1043" s="1063"/>
      <c r="J1043" s="1063"/>
      <c r="K1043" s="1063"/>
      <c r="L1043" s="1063"/>
      <c r="M1043" s="1063"/>
      <c r="N1043" s="1063"/>
      <c r="O1043" s="1063"/>
      <c r="P1043" s="1063"/>
      <c r="Q1043" s="1063"/>
      <c r="R1043" s="1063"/>
      <c r="S1043" s="1063"/>
      <c r="T1043" s="1063"/>
      <c r="U1043" s="1063"/>
      <c r="V1043" s="1063"/>
      <c r="W1043" s="1063"/>
      <c r="X1043" s="1063"/>
      <c r="Y1043" s="1063"/>
      <c r="Z1043" s="1063"/>
      <c r="AA1043" s="1063"/>
      <c r="AB1043" s="1063"/>
      <c r="AC1043" s="1063"/>
      <c r="AD1043" s="1063"/>
      <c r="AE1043" s="1063"/>
      <c r="AF1043" s="1063"/>
      <c r="AG1043" s="1063"/>
      <c r="AH1043" s="1063"/>
      <c r="AI1043" s="1063"/>
      <c r="AJ1043" s="1063"/>
      <c r="AK1043" s="1063"/>
      <c r="AL1043" s="1063"/>
      <c r="AM1043" s="1063"/>
      <c r="AN1043" s="1063"/>
      <c r="AO1043" s="1063"/>
      <c r="AP1043" s="1063"/>
      <c r="AQ1043" s="1063"/>
      <c r="AR1043" s="1063"/>
      <c r="AS1043" s="1063"/>
      <c r="AT1043" s="1063"/>
      <c r="AU1043" s="1063"/>
      <c r="AV1043" s="1063"/>
    </row>
    <row r="1044" spans="1:48" s="1108" customFormat="1" ht="27.75" customHeight="1">
      <c r="A1044" s="1076"/>
      <c r="B1044" s="1074">
        <f>+'[18]Bldg+Dev'!S1856</f>
        <v>0</v>
      </c>
      <c r="D1044" s="1063"/>
      <c r="F1044" s="1076"/>
      <c r="G1044" s="1063"/>
      <c r="H1044" s="1063"/>
      <c r="I1044" s="1063"/>
      <c r="J1044" s="1063"/>
      <c r="K1044" s="1063"/>
      <c r="L1044" s="1063"/>
      <c r="M1044" s="1063"/>
      <c r="N1044" s="1063"/>
      <c r="O1044" s="1063"/>
      <c r="P1044" s="1063"/>
      <c r="Q1044" s="1063"/>
      <c r="R1044" s="1063"/>
      <c r="S1044" s="1063"/>
      <c r="T1044" s="1063"/>
      <c r="U1044" s="1063"/>
      <c r="V1044" s="1063"/>
      <c r="W1044" s="1063"/>
      <c r="X1044" s="1063"/>
      <c r="Y1044" s="1063"/>
      <c r="Z1044" s="1063"/>
      <c r="AA1044" s="1063"/>
      <c r="AB1044" s="1063"/>
      <c r="AC1044" s="1063"/>
      <c r="AD1044" s="1063"/>
      <c r="AE1044" s="1063"/>
      <c r="AF1044" s="1063"/>
      <c r="AG1044" s="1063"/>
      <c r="AH1044" s="1063"/>
      <c r="AI1044" s="1063"/>
      <c r="AJ1044" s="1063"/>
      <c r="AK1044" s="1063"/>
      <c r="AL1044" s="1063"/>
      <c r="AM1044" s="1063"/>
      <c r="AN1044" s="1063"/>
      <c r="AO1044" s="1063"/>
      <c r="AP1044" s="1063"/>
      <c r="AQ1044" s="1063"/>
      <c r="AR1044" s="1063"/>
      <c r="AS1044" s="1063"/>
      <c r="AT1044" s="1063"/>
      <c r="AU1044" s="1063"/>
      <c r="AV1044" s="1063"/>
    </row>
    <row r="1045" spans="1:48" s="1108" customFormat="1" ht="27.75" customHeight="1">
      <c r="A1045" s="1076"/>
      <c r="B1045" s="1074">
        <f>+'[18]Bldg+Dev'!S1857</f>
        <v>0</v>
      </c>
      <c r="D1045" s="1063"/>
      <c r="F1045" s="1076"/>
      <c r="G1045" s="1063"/>
      <c r="H1045" s="1063"/>
      <c r="I1045" s="1063"/>
      <c r="J1045" s="1063"/>
      <c r="K1045" s="1063"/>
      <c r="L1045" s="1063"/>
      <c r="M1045" s="1063"/>
      <c r="N1045" s="1063"/>
      <c r="O1045" s="1063"/>
      <c r="P1045" s="1063"/>
      <c r="Q1045" s="1063"/>
      <c r="R1045" s="1063"/>
      <c r="S1045" s="1063"/>
      <c r="T1045" s="1063"/>
      <c r="U1045" s="1063"/>
      <c r="V1045" s="1063"/>
      <c r="W1045" s="1063"/>
      <c r="X1045" s="1063"/>
      <c r="Y1045" s="1063"/>
      <c r="Z1045" s="1063"/>
      <c r="AA1045" s="1063"/>
      <c r="AB1045" s="1063"/>
      <c r="AC1045" s="1063"/>
      <c r="AD1045" s="1063"/>
      <c r="AE1045" s="1063"/>
      <c r="AF1045" s="1063"/>
      <c r="AG1045" s="1063"/>
      <c r="AH1045" s="1063"/>
      <c r="AI1045" s="1063"/>
      <c r="AJ1045" s="1063"/>
      <c r="AK1045" s="1063"/>
      <c r="AL1045" s="1063"/>
      <c r="AM1045" s="1063"/>
      <c r="AN1045" s="1063"/>
      <c r="AO1045" s="1063"/>
      <c r="AP1045" s="1063"/>
      <c r="AQ1045" s="1063"/>
      <c r="AR1045" s="1063"/>
      <c r="AS1045" s="1063"/>
      <c r="AT1045" s="1063"/>
      <c r="AU1045" s="1063"/>
      <c r="AV1045" s="1063"/>
    </row>
    <row r="1046" spans="1:48" s="1108" customFormat="1" ht="27.75" customHeight="1">
      <c r="A1046" s="1076"/>
      <c r="B1046" s="1074">
        <f>+'[18]Bldg+Dev'!S1858</f>
        <v>0</v>
      </c>
      <c r="D1046" s="1063"/>
      <c r="F1046" s="1076"/>
      <c r="G1046" s="1063"/>
      <c r="H1046" s="1063"/>
      <c r="I1046" s="1063"/>
      <c r="J1046" s="1063"/>
      <c r="K1046" s="1063"/>
      <c r="L1046" s="1063"/>
      <c r="M1046" s="1063"/>
      <c r="N1046" s="1063"/>
      <c r="O1046" s="1063"/>
      <c r="P1046" s="1063"/>
      <c r="Q1046" s="1063"/>
      <c r="R1046" s="1063"/>
      <c r="S1046" s="1063"/>
      <c r="T1046" s="1063"/>
      <c r="U1046" s="1063"/>
      <c r="V1046" s="1063"/>
      <c r="W1046" s="1063"/>
      <c r="X1046" s="1063"/>
      <c r="Y1046" s="1063"/>
      <c r="Z1046" s="1063"/>
      <c r="AA1046" s="1063"/>
      <c r="AB1046" s="1063"/>
      <c r="AC1046" s="1063"/>
      <c r="AD1046" s="1063"/>
      <c r="AE1046" s="1063"/>
      <c r="AF1046" s="1063"/>
      <c r="AG1046" s="1063"/>
      <c r="AH1046" s="1063"/>
      <c r="AI1046" s="1063"/>
      <c r="AJ1046" s="1063"/>
      <c r="AK1046" s="1063"/>
      <c r="AL1046" s="1063"/>
      <c r="AM1046" s="1063"/>
      <c r="AN1046" s="1063"/>
      <c r="AO1046" s="1063"/>
      <c r="AP1046" s="1063"/>
      <c r="AQ1046" s="1063"/>
      <c r="AR1046" s="1063"/>
      <c r="AS1046" s="1063"/>
      <c r="AT1046" s="1063"/>
      <c r="AU1046" s="1063"/>
      <c r="AV1046" s="1063"/>
    </row>
    <row r="1047" spans="1:48" s="1108" customFormat="1" ht="27.75" customHeight="1">
      <c r="A1047" s="1076"/>
      <c r="B1047" s="1074">
        <f>+'[18]Bldg+Dev'!S1859</f>
        <v>0</v>
      </c>
      <c r="D1047" s="1063"/>
      <c r="F1047" s="1076"/>
      <c r="G1047" s="1063"/>
      <c r="H1047" s="1063"/>
      <c r="I1047" s="1063"/>
      <c r="J1047" s="1063"/>
      <c r="K1047" s="1063"/>
      <c r="L1047" s="1063"/>
      <c r="M1047" s="1063"/>
      <c r="N1047" s="1063"/>
      <c r="O1047" s="1063"/>
      <c r="P1047" s="1063"/>
      <c r="Q1047" s="1063"/>
      <c r="R1047" s="1063"/>
      <c r="S1047" s="1063"/>
      <c r="T1047" s="1063"/>
      <c r="U1047" s="1063"/>
      <c r="V1047" s="1063"/>
      <c r="W1047" s="1063"/>
      <c r="X1047" s="1063"/>
      <c r="Y1047" s="1063"/>
      <c r="Z1047" s="1063"/>
      <c r="AA1047" s="1063"/>
      <c r="AB1047" s="1063"/>
      <c r="AC1047" s="1063"/>
      <c r="AD1047" s="1063"/>
      <c r="AE1047" s="1063"/>
      <c r="AF1047" s="1063"/>
      <c r="AG1047" s="1063"/>
      <c r="AH1047" s="1063"/>
      <c r="AI1047" s="1063"/>
      <c r="AJ1047" s="1063"/>
      <c r="AK1047" s="1063"/>
      <c r="AL1047" s="1063"/>
      <c r="AM1047" s="1063"/>
      <c r="AN1047" s="1063"/>
      <c r="AO1047" s="1063"/>
      <c r="AP1047" s="1063"/>
      <c r="AQ1047" s="1063"/>
      <c r="AR1047" s="1063"/>
      <c r="AS1047" s="1063"/>
      <c r="AT1047" s="1063"/>
      <c r="AU1047" s="1063"/>
      <c r="AV1047" s="1063"/>
    </row>
    <row r="1048" spans="1:48" s="1108" customFormat="1" ht="27.75" customHeight="1">
      <c r="A1048" s="1076"/>
      <c r="B1048" s="1074">
        <f>+'[18]Bldg+Dev'!S1860</f>
        <v>0</v>
      </c>
      <c r="D1048" s="1063"/>
      <c r="F1048" s="1076"/>
      <c r="G1048" s="1063"/>
      <c r="H1048" s="1063"/>
      <c r="I1048" s="1063"/>
      <c r="J1048" s="1063"/>
      <c r="K1048" s="1063"/>
      <c r="L1048" s="1063"/>
      <c r="M1048" s="1063"/>
      <c r="N1048" s="1063"/>
      <c r="O1048" s="1063"/>
      <c r="P1048" s="1063"/>
      <c r="Q1048" s="1063"/>
      <c r="R1048" s="1063"/>
      <c r="S1048" s="1063"/>
      <c r="T1048" s="1063"/>
      <c r="U1048" s="1063"/>
      <c r="V1048" s="1063"/>
      <c r="W1048" s="1063"/>
      <c r="X1048" s="1063"/>
      <c r="Y1048" s="1063"/>
      <c r="Z1048" s="1063"/>
      <c r="AA1048" s="1063"/>
      <c r="AB1048" s="1063"/>
      <c r="AC1048" s="1063"/>
      <c r="AD1048" s="1063"/>
      <c r="AE1048" s="1063"/>
      <c r="AF1048" s="1063"/>
      <c r="AG1048" s="1063"/>
      <c r="AH1048" s="1063"/>
      <c r="AI1048" s="1063"/>
      <c r="AJ1048" s="1063"/>
      <c r="AK1048" s="1063"/>
      <c r="AL1048" s="1063"/>
      <c r="AM1048" s="1063"/>
      <c r="AN1048" s="1063"/>
      <c r="AO1048" s="1063"/>
      <c r="AP1048" s="1063"/>
      <c r="AQ1048" s="1063"/>
      <c r="AR1048" s="1063"/>
      <c r="AS1048" s="1063"/>
      <c r="AT1048" s="1063"/>
      <c r="AU1048" s="1063"/>
      <c r="AV1048" s="1063"/>
    </row>
    <row r="1049" spans="1:48" s="1108" customFormat="1" ht="27.75" customHeight="1">
      <c r="A1049" s="1076"/>
      <c r="B1049" s="1074">
        <f>+'[18]Bldg+Dev'!S1861</f>
        <v>0</v>
      </c>
      <c r="D1049" s="1063"/>
      <c r="F1049" s="1076"/>
      <c r="G1049" s="1063"/>
      <c r="H1049" s="1063"/>
      <c r="I1049" s="1063"/>
      <c r="J1049" s="1063"/>
      <c r="K1049" s="1063"/>
      <c r="L1049" s="1063"/>
      <c r="M1049" s="1063"/>
      <c r="N1049" s="1063"/>
      <c r="O1049" s="1063"/>
      <c r="P1049" s="1063"/>
      <c r="Q1049" s="1063"/>
      <c r="R1049" s="1063"/>
      <c r="S1049" s="1063"/>
      <c r="T1049" s="1063"/>
      <c r="U1049" s="1063"/>
      <c r="V1049" s="1063"/>
      <c r="W1049" s="1063"/>
      <c r="X1049" s="1063"/>
      <c r="Y1049" s="1063"/>
      <c r="Z1049" s="1063"/>
      <c r="AA1049" s="1063"/>
      <c r="AB1049" s="1063"/>
      <c r="AC1049" s="1063"/>
      <c r="AD1049" s="1063"/>
      <c r="AE1049" s="1063"/>
      <c r="AF1049" s="1063"/>
      <c r="AG1049" s="1063"/>
      <c r="AH1049" s="1063"/>
      <c r="AI1049" s="1063"/>
      <c r="AJ1049" s="1063"/>
      <c r="AK1049" s="1063"/>
      <c r="AL1049" s="1063"/>
      <c r="AM1049" s="1063"/>
      <c r="AN1049" s="1063"/>
      <c r="AO1049" s="1063"/>
      <c r="AP1049" s="1063"/>
      <c r="AQ1049" s="1063"/>
      <c r="AR1049" s="1063"/>
      <c r="AS1049" s="1063"/>
      <c r="AT1049" s="1063"/>
      <c r="AU1049" s="1063"/>
      <c r="AV1049" s="1063"/>
    </row>
    <row r="1050" spans="1:48" s="1108" customFormat="1" ht="27.75" customHeight="1">
      <c r="A1050" s="1076"/>
      <c r="B1050" s="1074">
        <f>+'[18]Bldg+Dev'!S1862</f>
        <v>0</v>
      </c>
      <c r="D1050" s="1063"/>
      <c r="F1050" s="1076"/>
      <c r="G1050" s="1063"/>
      <c r="H1050" s="1063"/>
      <c r="I1050" s="1063"/>
      <c r="J1050" s="1063"/>
      <c r="K1050" s="1063"/>
      <c r="L1050" s="1063"/>
      <c r="M1050" s="1063"/>
      <c r="N1050" s="1063"/>
      <c r="O1050" s="1063"/>
      <c r="P1050" s="1063"/>
      <c r="Q1050" s="1063"/>
      <c r="R1050" s="1063"/>
      <c r="S1050" s="1063"/>
      <c r="T1050" s="1063"/>
      <c r="U1050" s="1063"/>
      <c r="V1050" s="1063"/>
      <c r="W1050" s="1063"/>
      <c r="X1050" s="1063"/>
      <c r="Y1050" s="1063"/>
      <c r="Z1050" s="1063"/>
      <c r="AA1050" s="1063"/>
      <c r="AB1050" s="1063"/>
      <c r="AC1050" s="1063"/>
      <c r="AD1050" s="1063"/>
      <c r="AE1050" s="1063"/>
      <c r="AF1050" s="1063"/>
      <c r="AG1050" s="1063"/>
      <c r="AH1050" s="1063"/>
      <c r="AI1050" s="1063"/>
      <c r="AJ1050" s="1063"/>
      <c r="AK1050" s="1063"/>
      <c r="AL1050" s="1063"/>
      <c r="AM1050" s="1063"/>
      <c r="AN1050" s="1063"/>
      <c r="AO1050" s="1063"/>
      <c r="AP1050" s="1063"/>
      <c r="AQ1050" s="1063"/>
      <c r="AR1050" s="1063"/>
      <c r="AS1050" s="1063"/>
      <c r="AT1050" s="1063"/>
      <c r="AU1050" s="1063"/>
      <c r="AV1050" s="1063"/>
    </row>
    <row r="1051" spans="1:48" s="1108" customFormat="1" ht="27.75" customHeight="1">
      <c r="A1051" s="1076"/>
      <c r="B1051" s="1074">
        <f>+'[18]Bldg+Dev'!S1863</f>
        <v>0</v>
      </c>
      <c r="D1051" s="1063"/>
      <c r="F1051" s="1076"/>
      <c r="G1051" s="1063"/>
      <c r="H1051" s="1063"/>
      <c r="I1051" s="1063"/>
      <c r="J1051" s="1063"/>
      <c r="K1051" s="1063"/>
      <c r="L1051" s="1063"/>
      <c r="M1051" s="1063"/>
      <c r="N1051" s="1063"/>
      <c r="O1051" s="1063"/>
      <c r="P1051" s="1063"/>
      <c r="Q1051" s="1063"/>
      <c r="R1051" s="1063"/>
      <c r="S1051" s="1063"/>
      <c r="T1051" s="1063"/>
      <c r="U1051" s="1063"/>
      <c r="V1051" s="1063"/>
      <c r="W1051" s="1063"/>
      <c r="X1051" s="1063"/>
      <c r="Y1051" s="1063"/>
      <c r="Z1051" s="1063"/>
      <c r="AA1051" s="1063"/>
      <c r="AB1051" s="1063"/>
      <c r="AC1051" s="1063"/>
      <c r="AD1051" s="1063"/>
      <c r="AE1051" s="1063"/>
      <c r="AF1051" s="1063"/>
      <c r="AG1051" s="1063"/>
      <c r="AH1051" s="1063"/>
      <c r="AI1051" s="1063"/>
      <c r="AJ1051" s="1063"/>
      <c r="AK1051" s="1063"/>
      <c r="AL1051" s="1063"/>
      <c r="AM1051" s="1063"/>
      <c r="AN1051" s="1063"/>
      <c r="AO1051" s="1063"/>
      <c r="AP1051" s="1063"/>
      <c r="AQ1051" s="1063"/>
      <c r="AR1051" s="1063"/>
      <c r="AS1051" s="1063"/>
      <c r="AT1051" s="1063"/>
      <c r="AU1051" s="1063"/>
      <c r="AV1051" s="1063"/>
    </row>
    <row r="1052" spans="1:48" s="1108" customFormat="1" ht="27.75" customHeight="1">
      <c r="A1052" s="1076"/>
      <c r="B1052" s="1074">
        <f>+'[18]Bldg+Dev'!S1864</f>
        <v>0</v>
      </c>
      <c r="D1052" s="1063"/>
      <c r="F1052" s="1076"/>
      <c r="G1052" s="1063"/>
      <c r="H1052" s="1063"/>
      <c r="I1052" s="1063"/>
      <c r="J1052" s="1063"/>
      <c r="K1052" s="1063"/>
      <c r="L1052" s="1063"/>
      <c r="M1052" s="1063"/>
      <c r="N1052" s="1063"/>
      <c r="O1052" s="1063"/>
      <c r="P1052" s="1063"/>
      <c r="Q1052" s="1063"/>
      <c r="R1052" s="1063"/>
      <c r="S1052" s="1063"/>
      <c r="T1052" s="1063"/>
      <c r="U1052" s="1063"/>
      <c r="V1052" s="1063"/>
      <c r="W1052" s="1063"/>
      <c r="X1052" s="1063"/>
      <c r="Y1052" s="1063"/>
      <c r="Z1052" s="1063"/>
      <c r="AA1052" s="1063"/>
      <c r="AB1052" s="1063"/>
      <c r="AC1052" s="1063"/>
      <c r="AD1052" s="1063"/>
      <c r="AE1052" s="1063"/>
      <c r="AF1052" s="1063"/>
      <c r="AG1052" s="1063"/>
      <c r="AH1052" s="1063"/>
      <c r="AI1052" s="1063"/>
      <c r="AJ1052" s="1063"/>
      <c r="AK1052" s="1063"/>
      <c r="AL1052" s="1063"/>
      <c r="AM1052" s="1063"/>
      <c r="AN1052" s="1063"/>
      <c r="AO1052" s="1063"/>
      <c r="AP1052" s="1063"/>
      <c r="AQ1052" s="1063"/>
      <c r="AR1052" s="1063"/>
      <c r="AS1052" s="1063"/>
      <c r="AT1052" s="1063"/>
      <c r="AU1052" s="1063"/>
      <c r="AV1052" s="1063"/>
    </row>
    <row r="1053" spans="1:48" s="1108" customFormat="1" ht="27.75" customHeight="1">
      <c r="A1053" s="1076"/>
      <c r="B1053" s="1074">
        <f>+'[18]Bldg+Dev'!S1865</f>
        <v>0</v>
      </c>
      <c r="D1053" s="1063"/>
      <c r="F1053" s="1076"/>
      <c r="G1053" s="1063"/>
      <c r="H1053" s="1063"/>
      <c r="I1053" s="1063"/>
      <c r="J1053" s="1063"/>
      <c r="K1053" s="1063"/>
      <c r="L1053" s="1063"/>
      <c r="M1053" s="1063"/>
      <c r="N1053" s="1063"/>
      <c r="O1053" s="1063"/>
      <c r="P1053" s="1063"/>
      <c r="Q1053" s="1063"/>
      <c r="R1053" s="1063"/>
      <c r="S1053" s="1063"/>
      <c r="T1053" s="1063"/>
      <c r="U1053" s="1063"/>
      <c r="V1053" s="1063"/>
      <c r="W1053" s="1063"/>
      <c r="X1053" s="1063"/>
      <c r="Y1053" s="1063"/>
      <c r="Z1053" s="1063"/>
      <c r="AA1053" s="1063"/>
      <c r="AB1053" s="1063"/>
      <c r="AC1053" s="1063"/>
      <c r="AD1053" s="1063"/>
      <c r="AE1053" s="1063"/>
      <c r="AF1053" s="1063"/>
      <c r="AG1053" s="1063"/>
      <c r="AH1053" s="1063"/>
      <c r="AI1053" s="1063"/>
      <c r="AJ1053" s="1063"/>
      <c r="AK1053" s="1063"/>
      <c r="AL1053" s="1063"/>
      <c r="AM1053" s="1063"/>
      <c r="AN1053" s="1063"/>
      <c r="AO1053" s="1063"/>
      <c r="AP1053" s="1063"/>
      <c r="AQ1053" s="1063"/>
      <c r="AR1053" s="1063"/>
      <c r="AS1053" s="1063"/>
      <c r="AT1053" s="1063"/>
      <c r="AU1053" s="1063"/>
      <c r="AV1053" s="1063"/>
    </row>
    <row r="1054" spans="1:48" s="1108" customFormat="1" ht="27.75" customHeight="1">
      <c r="A1054" s="1076"/>
      <c r="B1054" s="1074">
        <f>+'[18]Bldg+Dev'!S1866</f>
        <v>0</v>
      </c>
      <c r="D1054" s="1063"/>
      <c r="F1054" s="1076"/>
      <c r="G1054" s="1063"/>
      <c r="H1054" s="1063"/>
      <c r="I1054" s="1063"/>
      <c r="J1054" s="1063"/>
      <c r="K1054" s="1063"/>
      <c r="L1054" s="1063"/>
      <c r="M1054" s="1063"/>
      <c r="N1054" s="1063"/>
      <c r="O1054" s="1063"/>
      <c r="P1054" s="1063"/>
      <c r="Q1054" s="1063"/>
      <c r="R1054" s="1063"/>
      <c r="S1054" s="1063"/>
      <c r="T1054" s="1063"/>
      <c r="U1054" s="1063"/>
      <c r="V1054" s="1063"/>
      <c r="W1054" s="1063"/>
      <c r="X1054" s="1063"/>
      <c r="Y1054" s="1063"/>
      <c r="Z1054" s="1063"/>
      <c r="AA1054" s="1063"/>
      <c r="AB1054" s="1063"/>
      <c r="AC1054" s="1063"/>
      <c r="AD1054" s="1063"/>
      <c r="AE1054" s="1063"/>
      <c r="AF1054" s="1063"/>
      <c r="AG1054" s="1063"/>
      <c r="AH1054" s="1063"/>
      <c r="AI1054" s="1063"/>
      <c r="AJ1054" s="1063"/>
      <c r="AK1054" s="1063"/>
      <c r="AL1054" s="1063"/>
      <c r="AM1054" s="1063"/>
      <c r="AN1054" s="1063"/>
      <c r="AO1054" s="1063"/>
      <c r="AP1054" s="1063"/>
      <c r="AQ1054" s="1063"/>
      <c r="AR1054" s="1063"/>
      <c r="AS1054" s="1063"/>
      <c r="AT1054" s="1063"/>
      <c r="AU1054" s="1063"/>
      <c r="AV1054" s="1063"/>
    </row>
    <row r="1055" spans="1:48" s="1108" customFormat="1" ht="27.75" customHeight="1">
      <c r="A1055" s="1076"/>
      <c r="B1055" s="1074">
        <f>+'[18]Bldg+Dev'!S1867</f>
        <v>0</v>
      </c>
      <c r="D1055" s="1063"/>
      <c r="F1055" s="1076"/>
      <c r="G1055" s="1063"/>
      <c r="H1055" s="1063"/>
      <c r="I1055" s="1063"/>
      <c r="J1055" s="1063"/>
      <c r="K1055" s="1063"/>
      <c r="L1055" s="1063"/>
      <c r="M1055" s="1063"/>
      <c r="N1055" s="1063"/>
      <c r="O1055" s="1063"/>
      <c r="P1055" s="1063"/>
      <c r="Q1055" s="1063"/>
      <c r="R1055" s="1063"/>
      <c r="S1055" s="1063"/>
      <c r="T1055" s="1063"/>
      <c r="U1055" s="1063"/>
      <c r="V1055" s="1063"/>
      <c r="W1055" s="1063"/>
      <c r="X1055" s="1063"/>
      <c r="Y1055" s="1063"/>
      <c r="Z1055" s="1063"/>
      <c r="AA1055" s="1063"/>
      <c r="AB1055" s="1063"/>
      <c r="AC1055" s="1063"/>
      <c r="AD1055" s="1063"/>
      <c r="AE1055" s="1063"/>
      <c r="AF1055" s="1063"/>
      <c r="AG1055" s="1063"/>
      <c r="AH1055" s="1063"/>
      <c r="AI1055" s="1063"/>
      <c r="AJ1055" s="1063"/>
      <c r="AK1055" s="1063"/>
      <c r="AL1055" s="1063"/>
      <c r="AM1055" s="1063"/>
      <c r="AN1055" s="1063"/>
      <c r="AO1055" s="1063"/>
      <c r="AP1055" s="1063"/>
      <c r="AQ1055" s="1063"/>
      <c r="AR1055" s="1063"/>
      <c r="AS1055" s="1063"/>
      <c r="AT1055" s="1063"/>
      <c r="AU1055" s="1063"/>
      <c r="AV1055" s="1063"/>
    </row>
    <row r="1056" spans="1:48" s="1108" customFormat="1" ht="27.75" customHeight="1">
      <c r="A1056" s="1076"/>
      <c r="B1056" s="1074">
        <f>+'[18]Bldg+Dev'!S1868</f>
        <v>0</v>
      </c>
      <c r="D1056" s="1063"/>
      <c r="F1056" s="1076"/>
      <c r="G1056" s="1063"/>
      <c r="H1056" s="1063"/>
      <c r="I1056" s="1063"/>
      <c r="J1056" s="1063"/>
      <c r="K1056" s="1063"/>
      <c r="L1056" s="1063"/>
      <c r="M1056" s="1063"/>
      <c r="N1056" s="1063"/>
      <c r="O1056" s="1063"/>
      <c r="P1056" s="1063"/>
      <c r="Q1056" s="1063"/>
      <c r="R1056" s="1063"/>
      <c r="S1056" s="1063"/>
      <c r="T1056" s="1063"/>
      <c r="U1056" s="1063"/>
      <c r="V1056" s="1063"/>
      <c r="W1056" s="1063"/>
      <c r="X1056" s="1063"/>
      <c r="Y1056" s="1063"/>
      <c r="Z1056" s="1063"/>
      <c r="AA1056" s="1063"/>
      <c r="AB1056" s="1063"/>
      <c r="AC1056" s="1063"/>
      <c r="AD1056" s="1063"/>
      <c r="AE1056" s="1063"/>
      <c r="AF1056" s="1063"/>
      <c r="AG1056" s="1063"/>
      <c r="AH1056" s="1063"/>
      <c r="AI1056" s="1063"/>
      <c r="AJ1056" s="1063"/>
      <c r="AK1056" s="1063"/>
      <c r="AL1056" s="1063"/>
      <c r="AM1056" s="1063"/>
      <c r="AN1056" s="1063"/>
      <c r="AO1056" s="1063"/>
      <c r="AP1056" s="1063"/>
      <c r="AQ1056" s="1063"/>
      <c r="AR1056" s="1063"/>
      <c r="AS1056" s="1063"/>
      <c r="AT1056" s="1063"/>
      <c r="AU1056" s="1063"/>
      <c r="AV1056" s="1063"/>
    </row>
    <row r="1057" spans="1:48" s="1108" customFormat="1" ht="27.75" customHeight="1">
      <c r="A1057" s="1076"/>
      <c r="B1057" s="1074">
        <f>+'[18]Bldg+Dev'!S1869</f>
        <v>0</v>
      </c>
      <c r="D1057" s="1063"/>
      <c r="F1057" s="1076"/>
      <c r="G1057" s="1063"/>
      <c r="H1057" s="1063"/>
      <c r="I1057" s="1063"/>
      <c r="J1057" s="1063"/>
      <c r="K1057" s="1063"/>
      <c r="L1057" s="1063"/>
      <c r="M1057" s="1063"/>
      <c r="N1057" s="1063"/>
      <c r="O1057" s="1063"/>
      <c r="P1057" s="1063"/>
      <c r="Q1057" s="1063"/>
      <c r="R1057" s="1063"/>
      <c r="S1057" s="1063"/>
      <c r="T1057" s="1063"/>
      <c r="U1057" s="1063"/>
      <c r="V1057" s="1063"/>
      <c r="W1057" s="1063"/>
      <c r="X1057" s="1063"/>
      <c r="Y1057" s="1063"/>
      <c r="Z1057" s="1063"/>
      <c r="AA1057" s="1063"/>
      <c r="AB1057" s="1063"/>
      <c r="AC1057" s="1063"/>
      <c r="AD1057" s="1063"/>
      <c r="AE1057" s="1063"/>
      <c r="AF1057" s="1063"/>
      <c r="AG1057" s="1063"/>
      <c r="AH1057" s="1063"/>
      <c r="AI1057" s="1063"/>
      <c r="AJ1057" s="1063"/>
      <c r="AK1057" s="1063"/>
      <c r="AL1057" s="1063"/>
      <c r="AM1057" s="1063"/>
      <c r="AN1057" s="1063"/>
      <c r="AO1057" s="1063"/>
      <c r="AP1057" s="1063"/>
      <c r="AQ1057" s="1063"/>
      <c r="AR1057" s="1063"/>
      <c r="AS1057" s="1063"/>
      <c r="AT1057" s="1063"/>
      <c r="AU1057" s="1063"/>
      <c r="AV1057" s="1063"/>
    </row>
    <row r="1058" spans="1:48" s="1108" customFormat="1" ht="27.75" customHeight="1">
      <c r="A1058" s="1076"/>
      <c r="B1058" s="1074">
        <f>+'[18]Bldg+Dev'!S1870</f>
        <v>0</v>
      </c>
      <c r="D1058" s="1063"/>
      <c r="F1058" s="1076"/>
      <c r="G1058" s="1063"/>
      <c r="H1058" s="1063"/>
      <c r="I1058" s="1063"/>
      <c r="J1058" s="1063"/>
      <c r="K1058" s="1063"/>
      <c r="L1058" s="1063"/>
      <c r="M1058" s="1063"/>
      <c r="N1058" s="1063"/>
      <c r="O1058" s="1063"/>
      <c r="P1058" s="1063"/>
      <c r="Q1058" s="1063"/>
      <c r="R1058" s="1063"/>
      <c r="S1058" s="1063"/>
      <c r="T1058" s="1063"/>
      <c r="U1058" s="1063"/>
      <c r="V1058" s="1063"/>
      <c r="W1058" s="1063"/>
      <c r="X1058" s="1063"/>
      <c r="Y1058" s="1063"/>
      <c r="Z1058" s="1063"/>
      <c r="AA1058" s="1063"/>
      <c r="AB1058" s="1063"/>
      <c r="AC1058" s="1063"/>
      <c r="AD1058" s="1063"/>
      <c r="AE1058" s="1063"/>
      <c r="AF1058" s="1063"/>
      <c r="AG1058" s="1063"/>
      <c r="AH1058" s="1063"/>
      <c r="AI1058" s="1063"/>
      <c r="AJ1058" s="1063"/>
      <c r="AK1058" s="1063"/>
      <c r="AL1058" s="1063"/>
      <c r="AM1058" s="1063"/>
      <c r="AN1058" s="1063"/>
      <c r="AO1058" s="1063"/>
      <c r="AP1058" s="1063"/>
      <c r="AQ1058" s="1063"/>
      <c r="AR1058" s="1063"/>
      <c r="AS1058" s="1063"/>
      <c r="AT1058" s="1063"/>
      <c r="AU1058" s="1063"/>
      <c r="AV1058" s="1063"/>
    </row>
    <row r="1059" spans="1:48" s="1108" customFormat="1" ht="27.75" customHeight="1">
      <c r="A1059" s="1076"/>
      <c r="B1059" s="1074">
        <f>+'[18]Bldg+Dev'!S1871</f>
        <v>0</v>
      </c>
      <c r="D1059" s="1063"/>
      <c r="F1059" s="1076"/>
      <c r="G1059" s="1063"/>
      <c r="H1059" s="1063"/>
      <c r="I1059" s="1063"/>
      <c r="J1059" s="1063"/>
      <c r="K1059" s="1063"/>
      <c r="L1059" s="1063"/>
      <c r="M1059" s="1063"/>
      <c r="N1059" s="1063"/>
      <c r="O1059" s="1063"/>
      <c r="P1059" s="1063"/>
      <c r="Q1059" s="1063"/>
      <c r="R1059" s="1063"/>
      <c r="S1059" s="1063"/>
      <c r="T1059" s="1063"/>
      <c r="U1059" s="1063"/>
      <c r="V1059" s="1063"/>
      <c r="W1059" s="1063"/>
      <c r="X1059" s="1063"/>
      <c r="Y1059" s="1063"/>
      <c r="Z1059" s="1063"/>
      <c r="AA1059" s="1063"/>
      <c r="AB1059" s="1063"/>
      <c r="AC1059" s="1063"/>
      <c r="AD1059" s="1063"/>
      <c r="AE1059" s="1063"/>
      <c r="AF1059" s="1063"/>
      <c r="AG1059" s="1063"/>
      <c r="AH1059" s="1063"/>
      <c r="AI1059" s="1063"/>
      <c r="AJ1059" s="1063"/>
      <c r="AK1059" s="1063"/>
      <c r="AL1059" s="1063"/>
      <c r="AM1059" s="1063"/>
      <c r="AN1059" s="1063"/>
      <c r="AO1059" s="1063"/>
      <c r="AP1059" s="1063"/>
      <c r="AQ1059" s="1063"/>
      <c r="AR1059" s="1063"/>
      <c r="AS1059" s="1063"/>
      <c r="AT1059" s="1063"/>
      <c r="AU1059" s="1063"/>
      <c r="AV1059" s="1063"/>
    </row>
    <row r="1060" spans="1:48" s="1108" customFormat="1" ht="27.75" customHeight="1">
      <c r="A1060" s="1076"/>
      <c r="B1060" s="1074">
        <f>+'[18]Bldg+Dev'!S1872</f>
        <v>0</v>
      </c>
      <c r="D1060" s="1063"/>
      <c r="F1060" s="1076"/>
      <c r="G1060" s="1063"/>
      <c r="H1060" s="1063"/>
      <c r="I1060" s="1063"/>
      <c r="J1060" s="1063"/>
      <c r="K1060" s="1063"/>
      <c r="L1060" s="1063"/>
      <c r="M1060" s="1063"/>
      <c r="N1060" s="1063"/>
      <c r="O1060" s="1063"/>
      <c r="P1060" s="1063"/>
      <c r="Q1060" s="1063"/>
      <c r="R1060" s="1063"/>
      <c r="S1060" s="1063"/>
      <c r="T1060" s="1063"/>
      <c r="U1060" s="1063"/>
      <c r="V1060" s="1063"/>
      <c r="W1060" s="1063"/>
      <c r="X1060" s="1063"/>
      <c r="Y1060" s="1063"/>
      <c r="Z1060" s="1063"/>
      <c r="AA1060" s="1063"/>
      <c r="AB1060" s="1063"/>
      <c r="AC1060" s="1063"/>
      <c r="AD1060" s="1063"/>
      <c r="AE1060" s="1063"/>
      <c r="AF1060" s="1063"/>
      <c r="AG1060" s="1063"/>
      <c r="AH1060" s="1063"/>
      <c r="AI1060" s="1063"/>
      <c r="AJ1060" s="1063"/>
      <c r="AK1060" s="1063"/>
      <c r="AL1060" s="1063"/>
      <c r="AM1060" s="1063"/>
      <c r="AN1060" s="1063"/>
      <c r="AO1060" s="1063"/>
      <c r="AP1060" s="1063"/>
      <c r="AQ1060" s="1063"/>
      <c r="AR1060" s="1063"/>
      <c r="AS1060" s="1063"/>
      <c r="AT1060" s="1063"/>
      <c r="AU1060" s="1063"/>
      <c r="AV1060" s="1063"/>
    </row>
    <row r="1061" spans="1:48" s="1108" customFormat="1" ht="27.75" customHeight="1">
      <c r="A1061" s="1076"/>
      <c r="B1061" s="1074">
        <f>+'[18]Bldg+Dev'!S1873</f>
        <v>0</v>
      </c>
      <c r="D1061" s="1063"/>
      <c r="F1061" s="1076"/>
      <c r="G1061" s="1063"/>
      <c r="H1061" s="1063"/>
      <c r="I1061" s="1063"/>
      <c r="J1061" s="1063"/>
      <c r="K1061" s="1063"/>
      <c r="L1061" s="1063"/>
      <c r="M1061" s="1063"/>
      <c r="N1061" s="1063"/>
      <c r="O1061" s="1063"/>
      <c r="P1061" s="1063"/>
      <c r="Q1061" s="1063"/>
      <c r="R1061" s="1063"/>
      <c r="S1061" s="1063"/>
      <c r="T1061" s="1063"/>
      <c r="U1061" s="1063"/>
      <c r="V1061" s="1063"/>
      <c r="W1061" s="1063"/>
      <c r="X1061" s="1063"/>
      <c r="Y1061" s="1063"/>
      <c r="Z1061" s="1063"/>
      <c r="AA1061" s="1063"/>
      <c r="AB1061" s="1063"/>
      <c r="AC1061" s="1063"/>
      <c r="AD1061" s="1063"/>
      <c r="AE1061" s="1063"/>
      <c r="AF1061" s="1063"/>
      <c r="AG1061" s="1063"/>
      <c r="AH1061" s="1063"/>
      <c r="AI1061" s="1063"/>
      <c r="AJ1061" s="1063"/>
      <c r="AK1061" s="1063"/>
      <c r="AL1061" s="1063"/>
      <c r="AM1061" s="1063"/>
      <c r="AN1061" s="1063"/>
      <c r="AO1061" s="1063"/>
      <c r="AP1061" s="1063"/>
      <c r="AQ1061" s="1063"/>
      <c r="AR1061" s="1063"/>
      <c r="AS1061" s="1063"/>
      <c r="AT1061" s="1063"/>
      <c r="AU1061" s="1063"/>
      <c r="AV1061" s="1063"/>
    </row>
    <row r="1062" spans="1:48" s="1108" customFormat="1" ht="27.75" customHeight="1">
      <c r="A1062" s="1076"/>
      <c r="B1062" s="1074">
        <f>+'[18]Bldg+Dev'!S1874</f>
        <v>0</v>
      </c>
      <c r="D1062" s="1063"/>
      <c r="F1062" s="1076"/>
      <c r="G1062" s="1063"/>
      <c r="H1062" s="1063"/>
      <c r="I1062" s="1063"/>
      <c r="J1062" s="1063"/>
      <c r="K1062" s="1063"/>
      <c r="L1062" s="1063"/>
      <c r="M1062" s="1063"/>
      <c r="N1062" s="1063"/>
      <c r="O1062" s="1063"/>
      <c r="P1062" s="1063"/>
      <c r="Q1062" s="1063"/>
      <c r="R1062" s="1063"/>
      <c r="S1062" s="1063"/>
      <c r="T1062" s="1063"/>
      <c r="U1062" s="1063"/>
      <c r="V1062" s="1063"/>
      <c r="W1062" s="1063"/>
      <c r="X1062" s="1063"/>
      <c r="Y1062" s="1063"/>
      <c r="Z1062" s="1063"/>
      <c r="AA1062" s="1063"/>
      <c r="AB1062" s="1063"/>
      <c r="AC1062" s="1063"/>
      <c r="AD1062" s="1063"/>
      <c r="AE1062" s="1063"/>
      <c r="AF1062" s="1063"/>
      <c r="AG1062" s="1063"/>
      <c r="AH1062" s="1063"/>
      <c r="AI1062" s="1063"/>
      <c r="AJ1062" s="1063"/>
      <c r="AK1062" s="1063"/>
      <c r="AL1062" s="1063"/>
      <c r="AM1062" s="1063"/>
      <c r="AN1062" s="1063"/>
      <c r="AO1062" s="1063"/>
      <c r="AP1062" s="1063"/>
      <c r="AQ1062" s="1063"/>
      <c r="AR1062" s="1063"/>
      <c r="AS1062" s="1063"/>
      <c r="AT1062" s="1063"/>
      <c r="AU1062" s="1063"/>
      <c r="AV1062" s="1063"/>
    </row>
    <row r="1063" spans="1:48" s="1108" customFormat="1" ht="27.75" customHeight="1">
      <c r="A1063" s="1076"/>
      <c r="B1063" s="1074">
        <f>+'[18]Bldg+Dev'!S1875</f>
        <v>0</v>
      </c>
      <c r="D1063" s="1063"/>
      <c r="F1063" s="1076"/>
      <c r="G1063" s="1063"/>
      <c r="H1063" s="1063"/>
      <c r="I1063" s="1063"/>
      <c r="J1063" s="1063"/>
      <c r="K1063" s="1063"/>
      <c r="L1063" s="1063"/>
      <c r="M1063" s="1063"/>
      <c r="N1063" s="1063"/>
      <c r="O1063" s="1063"/>
      <c r="P1063" s="1063"/>
      <c r="Q1063" s="1063"/>
      <c r="R1063" s="1063"/>
      <c r="S1063" s="1063"/>
      <c r="T1063" s="1063"/>
      <c r="U1063" s="1063"/>
      <c r="V1063" s="1063"/>
      <c r="W1063" s="1063"/>
      <c r="X1063" s="1063"/>
      <c r="Y1063" s="1063"/>
      <c r="Z1063" s="1063"/>
      <c r="AA1063" s="1063"/>
      <c r="AB1063" s="1063"/>
      <c r="AC1063" s="1063"/>
      <c r="AD1063" s="1063"/>
      <c r="AE1063" s="1063"/>
      <c r="AF1063" s="1063"/>
      <c r="AG1063" s="1063"/>
      <c r="AH1063" s="1063"/>
      <c r="AI1063" s="1063"/>
      <c r="AJ1063" s="1063"/>
      <c r="AK1063" s="1063"/>
      <c r="AL1063" s="1063"/>
      <c r="AM1063" s="1063"/>
      <c r="AN1063" s="1063"/>
      <c r="AO1063" s="1063"/>
      <c r="AP1063" s="1063"/>
      <c r="AQ1063" s="1063"/>
      <c r="AR1063" s="1063"/>
      <c r="AS1063" s="1063"/>
      <c r="AT1063" s="1063"/>
      <c r="AU1063" s="1063"/>
      <c r="AV1063" s="1063"/>
    </row>
    <row r="1064" spans="1:48" s="1108" customFormat="1" ht="27.75" customHeight="1">
      <c r="A1064" s="1076"/>
      <c r="B1064" s="1074">
        <f>+'[18]Bldg+Dev'!S1876</f>
        <v>0</v>
      </c>
      <c r="D1064" s="1063"/>
      <c r="F1064" s="1076"/>
      <c r="G1064" s="1063"/>
      <c r="H1064" s="1063"/>
      <c r="I1064" s="1063"/>
      <c r="J1064" s="1063"/>
      <c r="K1064" s="1063"/>
      <c r="L1064" s="1063"/>
      <c r="M1064" s="1063"/>
      <c r="N1064" s="1063"/>
      <c r="O1064" s="1063"/>
      <c r="P1064" s="1063"/>
      <c r="Q1064" s="1063"/>
      <c r="R1064" s="1063"/>
      <c r="S1064" s="1063"/>
      <c r="T1064" s="1063"/>
      <c r="U1064" s="1063"/>
      <c r="V1064" s="1063"/>
      <c r="W1064" s="1063"/>
      <c r="X1064" s="1063"/>
      <c r="Y1064" s="1063"/>
      <c r="Z1064" s="1063"/>
      <c r="AA1064" s="1063"/>
      <c r="AB1064" s="1063"/>
      <c r="AC1064" s="1063"/>
      <c r="AD1064" s="1063"/>
      <c r="AE1064" s="1063"/>
      <c r="AF1064" s="1063"/>
      <c r="AG1064" s="1063"/>
      <c r="AH1064" s="1063"/>
      <c r="AI1064" s="1063"/>
      <c r="AJ1064" s="1063"/>
      <c r="AK1064" s="1063"/>
      <c r="AL1064" s="1063"/>
      <c r="AM1064" s="1063"/>
      <c r="AN1064" s="1063"/>
      <c r="AO1064" s="1063"/>
      <c r="AP1064" s="1063"/>
      <c r="AQ1064" s="1063"/>
      <c r="AR1064" s="1063"/>
      <c r="AS1064" s="1063"/>
      <c r="AT1064" s="1063"/>
      <c r="AU1064" s="1063"/>
      <c r="AV1064" s="1063"/>
    </row>
    <row r="1065" spans="1:48" s="1108" customFormat="1" ht="27.75" customHeight="1">
      <c r="A1065" s="1076"/>
      <c r="B1065" s="1074">
        <f>+'[18]Bldg+Dev'!S1877</f>
        <v>0</v>
      </c>
      <c r="D1065" s="1063"/>
      <c r="F1065" s="1076"/>
      <c r="G1065" s="1063"/>
      <c r="H1065" s="1063"/>
      <c r="I1065" s="1063"/>
      <c r="J1065" s="1063"/>
      <c r="K1065" s="1063"/>
      <c r="L1065" s="1063"/>
      <c r="M1065" s="1063"/>
      <c r="N1065" s="1063"/>
      <c r="O1065" s="1063"/>
      <c r="P1065" s="1063"/>
      <c r="Q1065" s="1063"/>
      <c r="R1065" s="1063"/>
      <c r="S1065" s="1063"/>
      <c r="T1065" s="1063"/>
      <c r="U1065" s="1063"/>
      <c r="V1065" s="1063"/>
      <c r="W1065" s="1063"/>
      <c r="X1065" s="1063"/>
      <c r="Y1065" s="1063"/>
      <c r="Z1065" s="1063"/>
      <c r="AA1065" s="1063"/>
      <c r="AB1065" s="1063"/>
      <c r="AC1065" s="1063"/>
      <c r="AD1065" s="1063"/>
      <c r="AE1065" s="1063"/>
      <c r="AF1065" s="1063"/>
      <c r="AG1065" s="1063"/>
      <c r="AH1065" s="1063"/>
      <c r="AI1065" s="1063"/>
      <c r="AJ1065" s="1063"/>
      <c r="AK1065" s="1063"/>
      <c r="AL1065" s="1063"/>
      <c r="AM1065" s="1063"/>
      <c r="AN1065" s="1063"/>
      <c r="AO1065" s="1063"/>
      <c r="AP1065" s="1063"/>
      <c r="AQ1065" s="1063"/>
      <c r="AR1065" s="1063"/>
      <c r="AS1065" s="1063"/>
      <c r="AT1065" s="1063"/>
      <c r="AU1065" s="1063"/>
      <c r="AV1065" s="1063"/>
    </row>
    <row r="1066" spans="1:48" s="1108" customFormat="1" ht="27.75" customHeight="1">
      <c r="A1066" s="1076"/>
      <c r="B1066" s="1074">
        <f>+'[18]Bldg+Dev'!S1878</f>
        <v>0</v>
      </c>
      <c r="D1066" s="1063"/>
      <c r="F1066" s="1076"/>
      <c r="G1066" s="1063"/>
      <c r="H1066" s="1063"/>
      <c r="I1066" s="1063"/>
      <c r="J1066" s="1063"/>
      <c r="K1066" s="1063"/>
      <c r="L1066" s="1063"/>
      <c r="M1066" s="1063"/>
      <c r="N1066" s="1063"/>
      <c r="O1066" s="1063"/>
      <c r="P1066" s="1063"/>
      <c r="Q1066" s="1063"/>
      <c r="R1066" s="1063"/>
      <c r="S1066" s="1063"/>
      <c r="T1066" s="1063"/>
      <c r="U1066" s="1063"/>
      <c r="V1066" s="1063"/>
      <c r="W1066" s="1063"/>
      <c r="X1066" s="1063"/>
      <c r="Y1066" s="1063"/>
      <c r="Z1066" s="1063"/>
      <c r="AA1066" s="1063"/>
      <c r="AB1066" s="1063"/>
      <c r="AC1066" s="1063"/>
      <c r="AD1066" s="1063"/>
      <c r="AE1066" s="1063"/>
      <c r="AF1066" s="1063"/>
      <c r="AG1066" s="1063"/>
      <c r="AH1066" s="1063"/>
      <c r="AI1066" s="1063"/>
      <c r="AJ1066" s="1063"/>
      <c r="AK1066" s="1063"/>
      <c r="AL1066" s="1063"/>
      <c r="AM1066" s="1063"/>
      <c r="AN1066" s="1063"/>
      <c r="AO1066" s="1063"/>
      <c r="AP1066" s="1063"/>
      <c r="AQ1066" s="1063"/>
      <c r="AR1066" s="1063"/>
      <c r="AS1066" s="1063"/>
      <c r="AT1066" s="1063"/>
      <c r="AU1066" s="1063"/>
      <c r="AV1066" s="1063"/>
    </row>
    <row r="1067" spans="1:48" s="1108" customFormat="1" ht="27.75" customHeight="1">
      <c r="A1067" s="1076"/>
      <c r="B1067" s="1074">
        <f>+'[18]Bldg+Dev'!S1879</f>
        <v>0</v>
      </c>
      <c r="D1067" s="1063"/>
      <c r="F1067" s="1076"/>
      <c r="G1067" s="1063"/>
      <c r="H1067" s="1063"/>
      <c r="I1067" s="1063"/>
      <c r="J1067" s="1063"/>
      <c r="K1067" s="1063"/>
      <c r="L1067" s="1063"/>
      <c r="M1067" s="1063"/>
      <c r="N1067" s="1063"/>
      <c r="O1067" s="1063"/>
      <c r="P1067" s="1063"/>
      <c r="Q1067" s="1063"/>
      <c r="R1067" s="1063"/>
      <c r="S1067" s="1063"/>
      <c r="T1067" s="1063"/>
      <c r="U1067" s="1063"/>
      <c r="V1067" s="1063"/>
      <c r="W1067" s="1063"/>
      <c r="X1067" s="1063"/>
      <c r="Y1067" s="1063"/>
      <c r="Z1067" s="1063"/>
      <c r="AA1067" s="1063"/>
      <c r="AB1067" s="1063"/>
      <c r="AC1067" s="1063"/>
      <c r="AD1067" s="1063"/>
      <c r="AE1067" s="1063"/>
      <c r="AF1067" s="1063"/>
      <c r="AG1067" s="1063"/>
      <c r="AH1067" s="1063"/>
      <c r="AI1067" s="1063"/>
      <c r="AJ1067" s="1063"/>
      <c r="AK1067" s="1063"/>
      <c r="AL1067" s="1063"/>
      <c r="AM1067" s="1063"/>
      <c r="AN1067" s="1063"/>
      <c r="AO1067" s="1063"/>
      <c r="AP1067" s="1063"/>
      <c r="AQ1067" s="1063"/>
      <c r="AR1067" s="1063"/>
      <c r="AS1067" s="1063"/>
      <c r="AT1067" s="1063"/>
      <c r="AU1067" s="1063"/>
      <c r="AV1067" s="1063"/>
    </row>
    <row r="1068" spans="1:48" s="1108" customFormat="1" ht="27.75" customHeight="1">
      <c r="A1068" s="1076"/>
      <c r="B1068" s="1074">
        <f>+'[18]Bldg+Dev'!S1880</f>
        <v>0</v>
      </c>
      <c r="D1068" s="1063"/>
      <c r="F1068" s="1076"/>
      <c r="G1068" s="1063"/>
      <c r="H1068" s="1063"/>
      <c r="I1068" s="1063"/>
      <c r="J1068" s="1063"/>
      <c r="K1068" s="1063"/>
      <c r="L1068" s="1063"/>
      <c r="M1068" s="1063"/>
      <c r="N1068" s="1063"/>
      <c r="O1068" s="1063"/>
      <c r="P1068" s="1063"/>
      <c r="Q1068" s="1063"/>
      <c r="R1068" s="1063"/>
      <c r="S1068" s="1063"/>
      <c r="T1068" s="1063"/>
      <c r="U1068" s="1063"/>
      <c r="V1068" s="1063"/>
      <c r="W1068" s="1063"/>
      <c r="X1068" s="1063"/>
      <c r="Y1068" s="1063"/>
      <c r="Z1068" s="1063"/>
      <c r="AA1068" s="1063"/>
      <c r="AB1068" s="1063"/>
      <c r="AC1068" s="1063"/>
      <c r="AD1068" s="1063"/>
      <c r="AE1068" s="1063"/>
      <c r="AF1068" s="1063"/>
      <c r="AG1068" s="1063"/>
      <c r="AH1068" s="1063"/>
      <c r="AI1068" s="1063"/>
      <c r="AJ1068" s="1063"/>
      <c r="AK1068" s="1063"/>
      <c r="AL1068" s="1063"/>
      <c r="AM1068" s="1063"/>
      <c r="AN1068" s="1063"/>
      <c r="AO1068" s="1063"/>
      <c r="AP1068" s="1063"/>
      <c r="AQ1068" s="1063"/>
      <c r="AR1068" s="1063"/>
      <c r="AS1068" s="1063"/>
      <c r="AT1068" s="1063"/>
      <c r="AU1068" s="1063"/>
      <c r="AV1068" s="1063"/>
    </row>
    <row r="1069" spans="1:48" s="1108" customFormat="1" ht="27.75" customHeight="1">
      <c r="A1069" s="1076"/>
      <c r="B1069" s="1074">
        <f>+'[18]Bldg+Dev'!S1881</f>
        <v>0</v>
      </c>
      <c r="D1069" s="1063"/>
      <c r="F1069" s="1076"/>
      <c r="G1069" s="1063"/>
      <c r="H1069" s="1063"/>
      <c r="I1069" s="1063"/>
      <c r="J1069" s="1063"/>
      <c r="K1069" s="1063"/>
      <c r="L1069" s="1063"/>
      <c r="M1069" s="1063"/>
      <c r="N1069" s="1063"/>
      <c r="O1069" s="1063"/>
      <c r="P1069" s="1063"/>
      <c r="Q1069" s="1063"/>
      <c r="R1069" s="1063"/>
      <c r="S1069" s="1063"/>
      <c r="T1069" s="1063"/>
      <c r="U1069" s="1063"/>
      <c r="V1069" s="1063"/>
      <c r="W1069" s="1063"/>
      <c r="X1069" s="1063"/>
      <c r="Y1069" s="1063"/>
      <c r="Z1069" s="1063"/>
      <c r="AA1069" s="1063"/>
      <c r="AB1069" s="1063"/>
      <c r="AC1069" s="1063"/>
      <c r="AD1069" s="1063"/>
      <c r="AE1069" s="1063"/>
      <c r="AF1069" s="1063"/>
      <c r="AG1069" s="1063"/>
      <c r="AH1069" s="1063"/>
      <c r="AI1069" s="1063"/>
      <c r="AJ1069" s="1063"/>
      <c r="AK1069" s="1063"/>
      <c r="AL1069" s="1063"/>
      <c r="AM1069" s="1063"/>
      <c r="AN1069" s="1063"/>
      <c r="AO1069" s="1063"/>
      <c r="AP1069" s="1063"/>
      <c r="AQ1069" s="1063"/>
      <c r="AR1069" s="1063"/>
      <c r="AS1069" s="1063"/>
      <c r="AT1069" s="1063"/>
      <c r="AU1069" s="1063"/>
      <c r="AV1069" s="1063"/>
    </row>
    <row r="1070" spans="1:48" s="1108" customFormat="1" ht="27.75" customHeight="1">
      <c r="A1070" s="1076"/>
      <c r="B1070" s="1074">
        <f>+'[18]Bldg+Dev'!S1882</f>
        <v>0</v>
      </c>
      <c r="D1070" s="1063"/>
      <c r="F1070" s="1076"/>
      <c r="G1070" s="1063"/>
      <c r="H1070" s="1063"/>
      <c r="I1070" s="1063"/>
      <c r="J1070" s="1063"/>
      <c r="K1070" s="1063"/>
      <c r="L1070" s="1063"/>
      <c r="M1070" s="1063"/>
      <c r="N1070" s="1063"/>
      <c r="O1070" s="1063"/>
      <c r="P1070" s="1063"/>
      <c r="Q1070" s="1063"/>
      <c r="R1070" s="1063"/>
      <c r="S1070" s="1063"/>
      <c r="T1070" s="1063"/>
      <c r="U1070" s="1063"/>
      <c r="V1070" s="1063"/>
      <c r="W1070" s="1063"/>
      <c r="X1070" s="1063"/>
      <c r="Y1070" s="1063"/>
      <c r="Z1070" s="1063"/>
      <c r="AA1070" s="1063"/>
      <c r="AB1070" s="1063"/>
      <c r="AC1070" s="1063"/>
      <c r="AD1070" s="1063"/>
      <c r="AE1070" s="1063"/>
      <c r="AF1070" s="1063"/>
      <c r="AG1070" s="1063"/>
      <c r="AH1070" s="1063"/>
      <c r="AI1070" s="1063"/>
      <c r="AJ1070" s="1063"/>
      <c r="AK1070" s="1063"/>
      <c r="AL1070" s="1063"/>
      <c r="AM1070" s="1063"/>
      <c r="AN1070" s="1063"/>
      <c r="AO1070" s="1063"/>
      <c r="AP1070" s="1063"/>
      <c r="AQ1070" s="1063"/>
      <c r="AR1070" s="1063"/>
      <c r="AS1070" s="1063"/>
      <c r="AT1070" s="1063"/>
      <c r="AU1070" s="1063"/>
      <c r="AV1070" s="1063"/>
    </row>
    <row r="1071" spans="1:48" s="1108" customFormat="1" ht="27.75" customHeight="1">
      <c r="A1071" s="1076"/>
      <c r="B1071" s="1074">
        <f>+'[18]Bldg+Dev'!S1883</f>
        <v>0</v>
      </c>
      <c r="D1071" s="1063"/>
      <c r="F1071" s="1076"/>
      <c r="G1071" s="1063"/>
      <c r="H1071" s="1063"/>
      <c r="I1071" s="1063"/>
      <c r="J1071" s="1063"/>
      <c r="K1071" s="1063"/>
      <c r="L1071" s="1063"/>
      <c r="M1071" s="1063"/>
      <c r="N1071" s="1063"/>
      <c r="O1071" s="1063"/>
      <c r="P1071" s="1063"/>
      <c r="Q1071" s="1063"/>
      <c r="R1071" s="1063"/>
      <c r="S1071" s="1063"/>
      <c r="T1071" s="1063"/>
      <c r="U1071" s="1063"/>
      <c r="V1071" s="1063"/>
      <c r="W1071" s="1063"/>
      <c r="X1071" s="1063"/>
      <c r="Y1071" s="1063"/>
      <c r="Z1071" s="1063"/>
      <c r="AA1071" s="1063"/>
      <c r="AB1071" s="1063"/>
      <c r="AC1071" s="1063"/>
      <c r="AD1071" s="1063"/>
      <c r="AE1071" s="1063"/>
      <c r="AF1071" s="1063"/>
      <c r="AG1071" s="1063"/>
      <c r="AH1071" s="1063"/>
      <c r="AI1071" s="1063"/>
      <c r="AJ1071" s="1063"/>
      <c r="AK1071" s="1063"/>
      <c r="AL1071" s="1063"/>
      <c r="AM1071" s="1063"/>
      <c r="AN1071" s="1063"/>
      <c r="AO1071" s="1063"/>
      <c r="AP1071" s="1063"/>
      <c r="AQ1071" s="1063"/>
      <c r="AR1071" s="1063"/>
      <c r="AS1071" s="1063"/>
      <c r="AT1071" s="1063"/>
      <c r="AU1071" s="1063"/>
      <c r="AV1071" s="1063"/>
    </row>
    <row r="1072" spans="1:48" s="1108" customFormat="1" ht="27.75" customHeight="1">
      <c r="A1072" s="1076"/>
      <c r="B1072" s="1074">
        <f>+'[18]Bldg+Dev'!S1884</f>
        <v>0</v>
      </c>
      <c r="D1072" s="1063"/>
      <c r="F1072" s="1076"/>
      <c r="G1072" s="1063"/>
      <c r="H1072" s="1063"/>
      <c r="I1072" s="1063"/>
      <c r="J1072" s="1063"/>
      <c r="K1072" s="1063"/>
      <c r="L1072" s="1063"/>
      <c r="M1072" s="1063"/>
      <c r="N1072" s="1063"/>
      <c r="O1072" s="1063"/>
      <c r="P1072" s="1063"/>
      <c r="Q1072" s="1063"/>
      <c r="R1072" s="1063"/>
      <c r="S1072" s="1063"/>
      <c r="T1072" s="1063"/>
      <c r="U1072" s="1063"/>
      <c r="V1072" s="1063"/>
      <c r="W1072" s="1063"/>
      <c r="X1072" s="1063"/>
      <c r="Y1072" s="1063"/>
      <c r="Z1072" s="1063"/>
      <c r="AA1072" s="1063"/>
      <c r="AB1072" s="1063"/>
      <c r="AC1072" s="1063"/>
      <c r="AD1072" s="1063"/>
      <c r="AE1072" s="1063"/>
      <c r="AF1072" s="1063"/>
      <c r="AG1072" s="1063"/>
      <c r="AH1072" s="1063"/>
      <c r="AI1072" s="1063"/>
      <c r="AJ1072" s="1063"/>
      <c r="AK1072" s="1063"/>
      <c r="AL1072" s="1063"/>
      <c r="AM1072" s="1063"/>
      <c r="AN1072" s="1063"/>
      <c r="AO1072" s="1063"/>
      <c r="AP1072" s="1063"/>
      <c r="AQ1072" s="1063"/>
      <c r="AR1072" s="1063"/>
      <c r="AS1072" s="1063"/>
      <c r="AT1072" s="1063"/>
      <c r="AU1072" s="1063"/>
      <c r="AV1072" s="1063"/>
    </row>
    <row r="1073" spans="1:48" s="1108" customFormat="1" ht="27.75" customHeight="1">
      <c r="A1073" s="1076"/>
      <c r="B1073" s="1074">
        <f>+'[18]Bldg+Dev'!S1885</f>
        <v>0</v>
      </c>
      <c r="D1073" s="1063"/>
      <c r="F1073" s="1076"/>
      <c r="G1073" s="1063"/>
      <c r="H1073" s="1063"/>
      <c r="I1073" s="1063"/>
      <c r="J1073" s="1063"/>
      <c r="K1073" s="1063"/>
      <c r="L1073" s="1063"/>
      <c r="M1073" s="1063"/>
      <c r="N1073" s="1063"/>
      <c r="O1073" s="1063"/>
      <c r="P1073" s="1063"/>
      <c r="Q1073" s="1063"/>
      <c r="R1073" s="1063"/>
      <c r="S1073" s="1063"/>
      <c r="T1073" s="1063"/>
      <c r="U1073" s="1063"/>
      <c r="V1073" s="1063"/>
      <c r="W1073" s="1063"/>
      <c r="X1073" s="1063"/>
      <c r="Y1073" s="1063"/>
      <c r="Z1073" s="1063"/>
      <c r="AA1073" s="1063"/>
      <c r="AB1073" s="1063"/>
      <c r="AC1073" s="1063"/>
      <c r="AD1073" s="1063"/>
      <c r="AE1073" s="1063"/>
      <c r="AF1073" s="1063"/>
      <c r="AG1073" s="1063"/>
      <c r="AH1073" s="1063"/>
      <c r="AI1073" s="1063"/>
      <c r="AJ1073" s="1063"/>
      <c r="AK1073" s="1063"/>
      <c r="AL1073" s="1063"/>
      <c r="AM1073" s="1063"/>
      <c r="AN1073" s="1063"/>
      <c r="AO1073" s="1063"/>
      <c r="AP1073" s="1063"/>
      <c r="AQ1073" s="1063"/>
      <c r="AR1073" s="1063"/>
      <c r="AS1073" s="1063"/>
      <c r="AT1073" s="1063"/>
      <c r="AU1073" s="1063"/>
      <c r="AV1073" s="1063"/>
    </row>
    <row r="1074" spans="1:48" s="1108" customFormat="1" ht="27.75" customHeight="1">
      <c r="A1074" s="1076"/>
      <c r="B1074" s="1074">
        <f>+'[18]Bldg+Dev'!S1886</f>
        <v>0</v>
      </c>
      <c r="D1074" s="1063"/>
      <c r="F1074" s="1076"/>
      <c r="G1074" s="1063"/>
      <c r="H1074" s="1063"/>
      <c r="I1074" s="1063"/>
      <c r="J1074" s="1063"/>
      <c r="K1074" s="1063"/>
      <c r="L1074" s="1063"/>
      <c r="M1074" s="1063"/>
      <c r="N1074" s="1063"/>
      <c r="O1074" s="1063"/>
      <c r="P1074" s="1063"/>
      <c r="Q1074" s="1063"/>
      <c r="R1074" s="1063"/>
      <c r="S1074" s="1063"/>
      <c r="T1074" s="1063"/>
      <c r="U1074" s="1063"/>
      <c r="V1074" s="1063"/>
      <c r="W1074" s="1063"/>
      <c r="X1074" s="1063"/>
      <c r="Y1074" s="1063"/>
      <c r="Z1074" s="1063"/>
      <c r="AA1074" s="1063"/>
      <c r="AB1074" s="1063"/>
      <c r="AC1074" s="1063"/>
      <c r="AD1074" s="1063"/>
      <c r="AE1074" s="1063"/>
      <c r="AF1074" s="1063"/>
      <c r="AG1074" s="1063"/>
      <c r="AH1074" s="1063"/>
      <c r="AI1074" s="1063"/>
      <c r="AJ1074" s="1063"/>
      <c r="AK1074" s="1063"/>
      <c r="AL1074" s="1063"/>
      <c r="AM1074" s="1063"/>
      <c r="AN1074" s="1063"/>
      <c r="AO1074" s="1063"/>
      <c r="AP1074" s="1063"/>
      <c r="AQ1074" s="1063"/>
      <c r="AR1074" s="1063"/>
      <c r="AS1074" s="1063"/>
      <c r="AT1074" s="1063"/>
      <c r="AU1074" s="1063"/>
      <c r="AV1074" s="1063"/>
    </row>
    <row r="1075" spans="1:48" s="1108" customFormat="1" ht="27.75" customHeight="1">
      <c r="A1075" s="1076"/>
      <c r="B1075" s="1074">
        <f>+'[18]Bldg+Dev'!S1887</f>
        <v>0</v>
      </c>
      <c r="D1075" s="1063"/>
      <c r="F1075" s="1076"/>
      <c r="G1075" s="1063"/>
      <c r="H1075" s="1063"/>
      <c r="I1075" s="1063"/>
      <c r="J1075" s="1063"/>
      <c r="K1075" s="1063"/>
      <c r="L1075" s="1063"/>
      <c r="M1075" s="1063"/>
      <c r="N1075" s="1063"/>
      <c r="O1075" s="1063"/>
      <c r="P1075" s="1063"/>
      <c r="Q1075" s="1063"/>
      <c r="R1075" s="1063"/>
      <c r="S1075" s="1063"/>
      <c r="T1075" s="1063"/>
      <c r="U1075" s="1063"/>
      <c r="V1075" s="1063"/>
      <c r="W1075" s="1063"/>
      <c r="X1075" s="1063"/>
      <c r="Y1075" s="1063"/>
      <c r="Z1075" s="1063"/>
      <c r="AA1075" s="1063"/>
      <c r="AB1075" s="1063"/>
      <c r="AC1075" s="1063"/>
      <c r="AD1075" s="1063"/>
      <c r="AE1075" s="1063"/>
      <c r="AF1075" s="1063"/>
      <c r="AG1075" s="1063"/>
      <c r="AH1075" s="1063"/>
      <c r="AI1075" s="1063"/>
      <c r="AJ1075" s="1063"/>
      <c r="AK1075" s="1063"/>
      <c r="AL1075" s="1063"/>
      <c r="AM1075" s="1063"/>
      <c r="AN1075" s="1063"/>
      <c r="AO1075" s="1063"/>
      <c r="AP1075" s="1063"/>
      <c r="AQ1075" s="1063"/>
      <c r="AR1075" s="1063"/>
      <c r="AS1075" s="1063"/>
      <c r="AT1075" s="1063"/>
      <c r="AU1075" s="1063"/>
      <c r="AV1075" s="1063"/>
    </row>
    <row r="1076" spans="1:48" s="1108" customFormat="1" ht="27.75" customHeight="1">
      <c r="A1076" s="1076"/>
      <c r="B1076" s="1074">
        <f>+'[18]Bldg+Dev'!S1888</f>
        <v>0</v>
      </c>
      <c r="D1076" s="1063"/>
      <c r="F1076" s="1076"/>
      <c r="G1076" s="1063"/>
      <c r="H1076" s="1063"/>
      <c r="I1076" s="1063"/>
      <c r="J1076" s="1063"/>
      <c r="K1076" s="1063"/>
      <c r="L1076" s="1063"/>
      <c r="M1076" s="1063"/>
      <c r="N1076" s="1063"/>
      <c r="O1076" s="1063"/>
      <c r="P1076" s="1063"/>
      <c r="Q1076" s="1063"/>
      <c r="R1076" s="1063"/>
      <c r="S1076" s="1063"/>
      <c r="T1076" s="1063"/>
      <c r="U1076" s="1063"/>
      <c r="V1076" s="1063"/>
      <c r="W1076" s="1063"/>
      <c r="X1076" s="1063"/>
      <c r="Y1076" s="1063"/>
      <c r="Z1076" s="1063"/>
      <c r="AA1076" s="1063"/>
      <c r="AB1076" s="1063"/>
      <c r="AC1076" s="1063"/>
      <c r="AD1076" s="1063"/>
      <c r="AE1076" s="1063"/>
      <c r="AF1076" s="1063"/>
      <c r="AG1076" s="1063"/>
      <c r="AH1076" s="1063"/>
      <c r="AI1076" s="1063"/>
      <c r="AJ1076" s="1063"/>
      <c r="AK1076" s="1063"/>
      <c r="AL1076" s="1063"/>
      <c r="AM1076" s="1063"/>
      <c r="AN1076" s="1063"/>
      <c r="AO1076" s="1063"/>
      <c r="AP1076" s="1063"/>
      <c r="AQ1076" s="1063"/>
      <c r="AR1076" s="1063"/>
      <c r="AS1076" s="1063"/>
      <c r="AT1076" s="1063"/>
      <c r="AU1076" s="1063"/>
      <c r="AV1076" s="1063"/>
    </row>
    <row r="1077" spans="1:48" s="1108" customFormat="1" ht="27.75" customHeight="1">
      <c r="A1077" s="1076"/>
      <c r="B1077" s="1074">
        <f>+'[18]Bldg+Dev'!S1889</f>
        <v>0</v>
      </c>
      <c r="D1077" s="1063"/>
      <c r="F1077" s="1076"/>
      <c r="G1077" s="1063"/>
      <c r="H1077" s="1063"/>
      <c r="I1077" s="1063"/>
      <c r="J1077" s="1063"/>
      <c r="K1077" s="1063"/>
      <c r="L1077" s="1063"/>
      <c r="M1077" s="1063"/>
      <c r="N1077" s="1063"/>
      <c r="O1077" s="1063"/>
      <c r="P1077" s="1063"/>
      <c r="Q1077" s="1063"/>
      <c r="R1077" s="1063"/>
      <c r="S1077" s="1063"/>
      <c r="T1077" s="1063"/>
      <c r="U1077" s="1063"/>
      <c r="V1077" s="1063"/>
      <c r="W1077" s="1063"/>
      <c r="X1077" s="1063"/>
      <c r="Y1077" s="1063"/>
      <c r="Z1077" s="1063"/>
      <c r="AA1077" s="1063"/>
      <c r="AB1077" s="1063"/>
      <c r="AC1077" s="1063"/>
      <c r="AD1077" s="1063"/>
      <c r="AE1077" s="1063"/>
      <c r="AF1077" s="1063"/>
      <c r="AG1077" s="1063"/>
      <c r="AH1077" s="1063"/>
      <c r="AI1077" s="1063"/>
      <c r="AJ1077" s="1063"/>
      <c r="AK1077" s="1063"/>
      <c r="AL1077" s="1063"/>
      <c r="AM1077" s="1063"/>
      <c r="AN1077" s="1063"/>
      <c r="AO1077" s="1063"/>
      <c r="AP1077" s="1063"/>
      <c r="AQ1077" s="1063"/>
      <c r="AR1077" s="1063"/>
      <c r="AS1077" s="1063"/>
      <c r="AT1077" s="1063"/>
      <c r="AU1077" s="1063"/>
      <c r="AV1077" s="1063"/>
    </row>
    <row r="1078" spans="1:48" s="1108" customFormat="1" ht="27.75" customHeight="1">
      <c r="A1078" s="1076"/>
      <c r="B1078" s="1074">
        <f>+'[18]Bldg+Dev'!S1890</f>
        <v>0</v>
      </c>
      <c r="D1078" s="1063"/>
      <c r="F1078" s="1076"/>
      <c r="G1078" s="1063"/>
      <c r="H1078" s="1063"/>
      <c r="I1078" s="1063"/>
      <c r="J1078" s="1063"/>
      <c r="K1078" s="1063"/>
      <c r="L1078" s="1063"/>
      <c r="M1078" s="1063"/>
      <c r="N1078" s="1063"/>
      <c r="O1078" s="1063"/>
      <c r="P1078" s="1063"/>
      <c r="Q1078" s="1063"/>
      <c r="R1078" s="1063"/>
      <c r="S1078" s="1063"/>
      <c r="T1078" s="1063"/>
      <c r="U1078" s="1063"/>
      <c r="V1078" s="1063"/>
      <c r="W1078" s="1063"/>
      <c r="X1078" s="1063"/>
      <c r="Y1078" s="1063"/>
      <c r="Z1078" s="1063"/>
      <c r="AA1078" s="1063"/>
      <c r="AB1078" s="1063"/>
      <c r="AC1078" s="1063"/>
      <c r="AD1078" s="1063"/>
      <c r="AE1078" s="1063"/>
      <c r="AF1078" s="1063"/>
      <c r="AG1078" s="1063"/>
      <c r="AH1078" s="1063"/>
      <c r="AI1078" s="1063"/>
      <c r="AJ1078" s="1063"/>
      <c r="AK1078" s="1063"/>
      <c r="AL1078" s="1063"/>
      <c r="AM1078" s="1063"/>
      <c r="AN1078" s="1063"/>
      <c r="AO1078" s="1063"/>
      <c r="AP1078" s="1063"/>
      <c r="AQ1078" s="1063"/>
      <c r="AR1078" s="1063"/>
      <c r="AS1078" s="1063"/>
      <c r="AT1078" s="1063"/>
      <c r="AU1078" s="1063"/>
      <c r="AV1078" s="1063"/>
    </row>
    <row r="1079" spans="1:48" s="1108" customFormat="1" ht="27.75" customHeight="1">
      <c r="A1079" s="1076"/>
      <c r="B1079" s="1074">
        <f>+'[18]Bldg+Dev'!S1891</f>
        <v>0</v>
      </c>
      <c r="D1079" s="1063"/>
      <c r="F1079" s="1076"/>
      <c r="G1079" s="1063"/>
      <c r="H1079" s="1063"/>
      <c r="I1079" s="1063"/>
      <c r="J1079" s="1063"/>
      <c r="K1079" s="1063"/>
      <c r="L1079" s="1063"/>
      <c r="M1079" s="1063"/>
      <c r="N1079" s="1063"/>
      <c r="O1079" s="1063"/>
      <c r="P1079" s="1063"/>
      <c r="Q1079" s="1063"/>
      <c r="R1079" s="1063"/>
      <c r="S1079" s="1063"/>
      <c r="T1079" s="1063"/>
      <c r="U1079" s="1063"/>
      <c r="V1079" s="1063"/>
      <c r="W1079" s="1063"/>
      <c r="X1079" s="1063"/>
      <c r="Y1079" s="1063"/>
      <c r="Z1079" s="1063"/>
      <c r="AA1079" s="1063"/>
      <c r="AB1079" s="1063"/>
      <c r="AC1079" s="1063"/>
      <c r="AD1079" s="1063"/>
      <c r="AE1079" s="1063"/>
      <c r="AF1079" s="1063"/>
      <c r="AG1079" s="1063"/>
      <c r="AH1079" s="1063"/>
      <c r="AI1079" s="1063"/>
      <c r="AJ1079" s="1063"/>
      <c r="AK1079" s="1063"/>
      <c r="AL1079" s="1063"/>
      <c r="AM1079" s="1063"/>
      <c r="AN1079" s="1063"/>
      <c r="AO1079" s="1063"/>
      <c r="AP1079" s="1063"/>
      <c r="AQ1079" s="1063"/>
      <c r="AR1079" s="1063"/>
      <c r="AS1079" s="1063"/>
      <c r="AT1079" s="1063"/>
      <c r="AU1079" s="1063"/>
      <c r="AV1079" s="1063"/>
    </row>
    <row r="1080" spans="1:48" s="1108" customFormat="1" ht="27.75" customHeight="1">
      <c r="A1080" s="1076"/>
      <c r="B1080" s="1074">
        <f>+'[18]Bldg+Dev'!S1892</f>
        <v>0</v>
      </c>
      <c r="D1080" s="1063"/>
      <c r="F1080" s="1076"/>
      <c r="G1080" s="1063"/>
      <c r="H1080" s="1063"/>
      <c r="I1080" s="1063"/>
      <c r="J1080" s="1063"/>
      <c r="K1080" s="1063"/>
      <c r="L1080" s="1063"/>
      <c r="M1080" s="1063"/>
      <c r="N1080" s="1063"/>
      <c r="O1080" s="1063"/>
      <c r="P1080" s="1063"/>
      <c r="Q1080" s="1063"/>
      <c r="R1080" s="1063"/>
      <c r="S1080" s="1063"/>
      <c r="T1080" s="1063"/>
      <c r="U1080" s="1063"/>
      <c r="V1080" s="1063"/>
      <c r="W1080" s="1063"/>
      <c r="X1080" s="1063"/>
      <c r="Y1080" s="1063"/>
      <c r="Z1080" s="1063"/>
      <c r="AA1080" s="1063"/>
      <c r="AB1080" s="1063"/>
      <c r="AC1080" s="1063"/>
      <c r="AD1080" s="1063"/>
      <c r="AE1080" s="1063"/>
      <c r="AF1080" s="1063"/>
      <c r="AG1080" s="1063"/>
      <c r="AH1080" s="1063"/>
      <c r="AI1080" s="1063"/>
      <c r="AJ1080" s="1063"/>
      <c r="AK1080" s="1063"/>
      <c r="AL1080" s="1063"/>
      <c r="AM1080" s="1063"/>
      <c r="AN1080" s="1063"/>
      <c r="AO1080" s="1063"/>
      <c r="AP1080" s="1063"/>
      <c r="AQ1080" s="1063"/>
      <c r="AR1080" s="1063"/>
      <c r="AS1080" s="1063"/>
      <c r="AT1080" s="1063"/>
      <c r="AU1080" s="1063"/>
      <c r="AV1080" s="1063"/>
    </row>
    <row r="1081" spans="1:48" s="1108" customFormat="1" ht="27.75" customHeight="1">
      <c r="A1081" s="1076"/>
      <c r="B1081" s="1074">
        <f>+'[18]Bldg+Dev'!S1893</f>
        <v>0</v>
      </c>
      <c r="D1081" s="1063"/>
      <c r="F1081" s="1076"/>
      <c r="G1081" s="1063"/>
      <c r="H1081" s="1063"/>
      <c r="I1081" s="1063"/>
      <c r="J1081" s="1063"/>
      <c r="K1081" s="1063"/>
      <c r="L1081" s="1063"/>
      <c r="M1081" s="1063"/>
      <c r="N1081" s="1063"/>
      <c r="O1081" s="1063"/>
      <c r="P1081" s="1063"/>
      <c r="Q1081" s="1063"/>
      <c r="R1081" s="1063"/>
      <c r="S1081" s="1063"/>
      <c r="T1081" s="1063"/>
      <c r="U1081" s="1063"/>
      <c r="V1081" s="1063"/>
      <c r="W1081" s="1063"/>
      <c r="X1081" s="1063"/>
      <c r="Y1081" s="1063"/>
      <c r="Z1081" s="1063"/>
      <c r="AA1081" s="1063"/>
      <c r="AB1081" s="1063"/>
      <c r="AC1081" s="1063"/>
      <c r="AD1081" s="1063"/>
      <c r="AE1081" s="1063"/>
      <c r="AF1081" s="1063"/>
      <c r="AG1081" s="1063"/>
      <c r="AH1081" s="1063"/>
      <c r="AI1081" s="1063"/>
      <c r="AJ1081" s="1063"/>
      <c r="AK1081" s="1063"/>
      <c r="AL1081" s="1063"/>
      <c r="AM1081" s="1063"/>
      <c r="AN1081" s="1063"/>
      <c r="AO1081" s="1063"/>
      <c r="AP1081" s="1063"/>
      <c r="AQ1081" s="1063"/>
      <c r="AR1081" s="1063"/>
      <c r="AS1081" s="1063"/>
      <c r="AT1081" s="1063"/>
      <c r="AU1081" s="1063"/>
      <c r="AV1081" s="1063"/>
    </row>
    <row r="1082" spans="1:48" s="1108" customFormat="1" ht="27.75" customHeight="1">
      <c r="A1082" s="1076"/>
      <c r="B1082" s="1074">
        <f>+'[18]Bldg+Dev'!S1894</f>
        <v>0</v>
      </c>
      <c r="D1082" s="1063"/>
      <c r="F1082" s="1076"/>
      <c r="G1082" s="1063"/>
      <c r="H1082" s="1063"/>
      <c r="I1082" s="1063"/>
      <c r="J1082" s="1063"/>
      <c r="K1082" s="1063"/>
      <c r="L1082" s="1063"/>
      <c r="M1082" s="1063"/>
      <c r="N1082" s="1063"/>
      <c r="O1082" s="1063"/>
      <c r="P1082" s="1063"/>
      <c r="Q1082" s="1063"/>
      <c r="R1082" s="1063"/>
      <c r="S1082" s="1063"/>
      <c r="T1082" s="1063"/>
      <c r="U1082" s="1063"/>
      <c r="V1082" s="1063"/>
      <c r="W1082" s="1063"/>
      <c r="X1082" s="1063"/>
      <c r="Y1082" s="1063"/>
      <c r="Z1082" s="1063"/>
      <c r="AA1082" s="1063"/>
      <c r="AB1082" s="1063"/>
      <c r="AC1082" s="1063"/>
      <c r="AD1082" s="1063"/>
      <c r="AE1082" s="1063"/>
      <c r="AF1082" s="1063"/>
      <c r="AG1082" s="1063"/>
      <c r="AH1082" s="1063"/>
      <c r="AI1082" s="1063"/>
      <c r="AJ1082" s="1063"/>
      <c r="AK1082" s="1063"/>
      <c r="AL1082" s="1063"/>
      <c r="AM1082" s="1063"/>
      <c r="AN1082" s="1063"/>
      <c r="AO1082" s="1063"/>
      <c r="AP1082" s="1063"/>
      <c r="AQ1082" s="1063"/>
      <c r="AR1082" s="1063"/>
      <c r="AS1082" s="1063"/>
      <c r="AT1082" s="1063"/>
      <c r="AU1082" s="1063"/>
      <c r="AV1082" s="1063"/>
    </row>
    <row r="1083" spans="1:48" s="1108" customFormat="1" ht="27.75" customHeight="1">
      <c r="A1083" s="1076"/>
      <c r="B1083" s="1074">
        <f>+'[18]Bldg+Dev'!S1895</f>
        <v>0</v>
      </c>
      <c r="D1083" s="1063"/>
      <c r="F1083" s="1076"/>
      <c r="G1083" s="1063"/>
      <c r="H1083" s="1063"/>
      <c r="I1083" s="1063"/>
      <c r="J1083" s="1063"/>
      <c r="K1083" s="1063"/>
      <c r="L1083" s="1063"/>
      <c r="M1083" s="1063"/>
      <c r="N1083" s="1063"/>
      <c r="O1083" s="1063"/>
      <c r="P1083" s="1063"/>
      <c r="Q1083" s="1063"/>
      <c r="R1083" s="1063"/>
      <c r="S1083" s="1063"/>
      <c r="T1083" s="1063"/>
      <c r="U1083" s="1063"/>
      <c r="V1083" s="1063"/>
      <c r="W1083" s="1063"/>
      <c r="X1083" s="1063"/>
      <c r="Y1083" s="1063"/>
      <c r="Z1083" s="1063"/>
      <c r="AA1083" s="1063"/>
      <c r="AB1083" s="1063"/>
      <c r="AC1083" s="1063"/>
      <c r="AD1083" s="1063"/>
      <c r="AE1083" s="1063"/>
      <c r="AF1083" s="1063"/>
      <c r="AG1083" s="1063"/>
      <c r="AH1083" s="1063"/>
      <c r="AI1083" s="1063"/>
      <c r="AJ1083" s="1063"/>
      <c r="AK1083" s="1063"/>
      <c r="AL1083" s="1063"/>
      <c r="AM1083" s="1063"/>
      <c r="AN1083" s="1063"/>
      <c r="AO1083" s="1063"/>
      <c r="AP1083" s="1063"/>
      <c r="AQ1083" s="1063"/>
      <c r="AR1083" s="1063"/>
      <c r="AS1083" s="1063"/>
      <c r="AT1083" s="1063"/>
      <c r="AU1083" s="1063"/>
      <c r="AV1083" s="1063"/>
    </row>
    <row r="1084" spans="1:48" s="1108" customFormat="1" ht="27.75" customHeight="1">
      <c r="A1084" s="1076"/>
      <c r="B1084" s="1074">
        <f>+'[18]Bldg+Dev'!S1896</f>
        <v>0</v>
      </c>
      <c r="D1084" s="1063"/>
      <c r="F1084" s="1076"/>
      <c r="G1084" s="1063"/>
      <c r="H1084" s="1063"/>
      <c r="I1084" s="1063"/>
      <c r="J1084" s="1063"/>
      <c r="K1084" s="1063"/>
      <c r="L1084" s="1063"/>
      <c r="M1084" s="1063"/>
      <c r="N1084" s="1063"/>
      <c r="O1084" s="1063"/>
      <c r="P1084" s="1063"/>
      <c r="Q1084" s="1063"/>
      <c r="R1084" s="1063"/>
      <c r="S1084" s="1063"/>
      <c r="T1084" s="1063"/>
      <c r="U1084" s="1063"/>
      <c r="V1084" s="1063"/>
      <c r="W1084" s="1063"/>
      <c r="X1084" s="1063"/>
      <c r="Y1084" s="1063"/>
      <c r="Z1084" s="1063"/>
      <c r="AA1084" s="1063"/>
      <c r="AB1084" s="1063"/>
      <c r="AC1084" s="1063"/>
      <c r="AD1084" s="1063"/>
      <c r="AE1084" s="1063"/>
      <c r="AF1084" s="1063"/>
      <c r="AG1084" s="1063"/>
      <c r="AH1084" s="1063"/>
      <c r="AI1084" s="1063"/>
      <c r="AJ1084" s="1063"/>
      <c r="AK1084" s="1063"/>
      <c r="AL1084" s="1063"/>
      <c r="AM1084" s="1063"/>
      <c r="AN1084" s="1063"/>
      <c r="AO1084" s="1063"/>
      <c r="AP1084" s="1063"/>
      <c r="AQ1084" s="1063"/>
      <c r="AR1084" s="1063"/>
      <c r="AS1084" s="1063"/>
      <c r="AT1084" s="1063"/>
      <c r="AU1084" s="1063"/>
      <c r="AV1084" s="1063"/>
    </row>
    <row r="1085" spans="1:48" s="1108" customFormat="1" ht="27.75" customHeight="1">
      <c r="A1085" s="1076"/>
      <c r="B1085" s="1074">
        <f>+'[18]Bldg+Dev'!S1897</f>
        <v>0</v>
      </c>
      <c r="D1085" s="1063"/>
      <c r="F1085" s="1076"/>
      <c r="G1085" s="1063"/>
      <c r="H1085" s="1063"/>
      <c r="I1085" s="1063"/>
      <c r="J1085" s="1063"/>
      <c r="K1085" s="1063"/>
      <c r="L1085" s="1063"/>
      <c r="M1085" s="1063"/>
      <c r="N1085" s="1063"/>
      <c r="O1085" s="1063"/>
      <c r="P1085" s="1063"/>
      <c r="Q1085" s="1063"/>
      <c r="R1085" s="1063"/>
      <c r="S1085" s="1063"/>
      <c r="T1085" s="1063"/>
      <c r="U1085" s="1063"/>
      <c r="V1085" s="1063"/>
      <c r="W1085" s="1063"/>
      <c r="X1085" s="1063"/>
      <c r="Y1085" s="1063"/>
      <c r="Z1085" s="1063"/>
      <c r="AA1085" s="1063"/>
      <c r="AB1085" s="1063"/>
      <c r="AC1085" s="1063"/>
      <c r="AD1085" s="1063"/>
      <c r="AE1085" s="1063"/>
      <c r="AF1085" s="1063"/>
      <c r="AG1085" s="1063"/>
      <c r="AH1085" s="1063"/>
      <c r="AI1085" s="1063"/>
      <c r="AJ1085" s="1063"/>
      <c r="AK1085" s="1063"/>
      <c r="AL1085" s="1063"/>
      <c r="AM1085" s="1063"/>
      <c r="AN1085" s="1063"/>
      <c r="AO1085" s="1063"/>
      <c r="AP1085" s="1063"/>
      <c r="AQ1085" s="1063"/>
      <c r="AR1085" s="1063"/>
      <c r="AS1085" s="1063"/>
      <c r="AT1085" s="1063"/>
      <c r="AU1085" s="1063"/>
      <c r="AV1085" s="1063"/>
    </row>
    <row r="1086" spans="1:48" s="1108" customFormat="1" ht="27.75" customHeight="1">
      <c r="A1086" s="1076"/>
      <c r="B1086" s="1074">
        <f>+'[18]Bldg+Dev'!S1898</f>
        <v>0</v>
      </c>
      <c r="D1086" s="1063"/>
      <c r="F1086" s="1076"/>
      <c r="G1086" s="1063"/>
      <c r="H1086" s="1063"/>
      <c r="I1086" s="1063"/>
      <c r="J1086" s="1063"/>
      <c r="K1086" s="1063"/>
      <c r="L1086" s="1063"/>
      <c r="M1086" s="1063"/>
      <c r="N1086" s="1063"/>
      <c r="O1086" s="1063"/>
      <c r="P1086" s="1063"/>
      <c r="Q1086" s="1063"/>
      <c r="R1086" s="1063"/>
      <c r="S1086" s="1063"/>
      <c r="T1086" s="1063"/>
      <c r="U1086" s="1063"/>
      <c r="V1086" s="1063"/>
      <c r="W1086" s="1063"/>
      <c r="X1086" s="1063"/>
      <c r="Y1086" s="1063"/>
      <c r="Z1086" s="1063"/>
      <c r="AA1086" s="1063"/>
      <c r="AB1086" s="1063"/>
      <c r="AC1086" s="1063"/>
      <c r="AD1086" s="1063"/>
      <c r="AE1086" s="1063"/>
      <c r="AF1086" s="1063"/>
      <c r="AG1086" s="1063"/>
      <c r="AH1086" s="1063"/>
      <c r="AI1086" s="1063"/>
      <c r="AJ1086" s="1063"/>
      <c r="AK1086" s="1063"/>
      <c r="AL1086" s="1063"/>
      <c r="AM1086" s="1063"/>
      <c r="AN1086" s="1063"/>
      <c r="AO1086" s="1063"/>
      <c r="AP1086" s="1063"/>
      <c r="AQ1086" s="1063"/>
      <c r="AR1086" s="1063"/>
      <c r="AS1086" s="1063"/>
      <c r="AT1086" s="1063"/>
      <c r="AU1086" s="1063"/>
      <c r="AV1086" s="1063"/>
    </row>
    <row r="1087" spans="1:48" s="1108" customFormat="1" ht="27.75" customHeight="1">
      <c r="A1087" s="1076"/>
      <c r="B1087" s="1074">
        <f>+'[18]Bldg+Dev'!S1899</f>
        <v>0</v>
      </c>
      <c r="D1087" s="1063"/>
      <c r="F1087" s="1076"/>
      <c r="G1087" s="1063"/>
      <c r="H1087" s="1063"/>
      <c r="I1087" s="1063"/>
      <c r="J1087" s="1063"/>
      <c r="K1087" s="1063"/>
      <c r="L1087" s="1063"/>
      <c r="M1087" s="1063"/>
      <c r="N1087" s="1063"/>
      <c r="O1087" s="1063"/>
      <c r="P1087" s="1063"/>
      <c r="Q1087" s="1063"/>
      <c r="R1087" s="1063"/>
      <c r="S1087" s="1063"/>
      <c r="T1087" s="1063"/>
      <c r="U1087" s="1063"/>
      <c r="V1087" s="1063"/>
      <c r="W1087" s="1063"/>
      <c r="X1087" s="1063"/>
      <c r="Y1087" s="1063"/>
      <c r="Z1087" s="1063"/>
      <c r="AA1087" s="1063"/>
      <c r="AB1087" s="1063"/>
      <c r="AC1087" s="1063"/>
      <c r="AD1087" s="1063"/>
      <c r="AE1087" s="1063"/>
      <c r="AF1087" s="1063"/>
      <c r="AG1087" s="1063"/>
      <c r="AH1087" s="1063"/>
      <c r="AI1087" s="1063"/>
      <c r="AJ1087" s="1063"/>
      <c r="AK1087" s="1063"/>
      <c r="AL1087" s="1063"/>
      <c r="AM1087" s="1063"/>
      <c r="AN1087" s="1063"/>
      <c r="AO1087" s="1063"/>
      <c r="AP1087" s="1063"/>
      <c r="AQ1087" s="1063"/>
      <c r="AR1087" s="1063"/>
      <c r="AS1087" s="1063"/>
      <c r="AT1087" s="1063"/>
      <c r="AU1087" s="1063"/>
      <c r="AV1087" s="1063"/>
    </row>
    <row r="1088" spans="1:48" s="1108" customFormat="1" ht="27.75" customHeight="1">
      <c r="A1088" s="1076"/>
      <c r="B1088" s="1074">
        <f>+'[18]Bldg+Dev'!S1900</f>
        <v>0</v>
      </c>
      <c r="D1088" s="1063"/>
      <c r="F1088" s="1076"/>
      <c r="G1088" s="1063"/>
      <c r="H1088" s="1063"/>
      <c r="I1088" s="1063"/>
      <c r="J1088" s="1063"/>
      <c r="K1088" s="1063"/>
      <c r="L1088" s="1063"/>
      <c r="M1088" s="1063"/>
      <c r="N1088" s="1063"/>
      <c r="O1088" s="1063"/>
      <c r="P1088" s="1063"/>
      <c r="Q1088" s="1063"/>
      <c r="R1088" s="1063"/>
      <c r="S1088" s="1063"/>
      <c r="T1088" s="1063"/>
      <c r="U1088" s="1063"/>
      <c r="V1088" s="1063"/>
      <c r="W1088" s="1063"/>
      <c r="X1088" s="1063"/>
      <c r="Y1088" s="1063"/>
      <c r="Z1088" s="1063"/>
      <c r="AA1088" s="1063"/>
      <c r="AB1088" s="1063"/>
      <c r="AC1088" s="1063"/>
      <c r="AD1088" s="1063"/>
      <c r="AE1088" s="1063"/>
      <c r="AF1088" s="1063"/>
      <c r="AG1088" s="1063"/>
      <c r="AH1088" s="1063"/>
      <c r="AI1088" s="1063"/>
      <c r="AJ1088" s="1063"/>
      <c r="AK1088" s="1063"/>
      <c r="AL1088" s="1063"/>
      <c r="AM1088" s="1063"/>
      <c r="AN1088" s="1063"/>
      <c r="AO1088" s="1063"/>
      <c r="AP1088" s="1063"/>
      <c r="AQ1088" s="1063"/>
      <c r="AR1088" s="1063"/>
      <c r="AS1088" s="1063"/>
      <c r="AT1088" s="1063"/>
      <c r="AU1088" s="1063"/>
      <c r="AV1088" s="1063"/>
    </row>
    <row r="1089" spans="1:48" s="1108" customFormat="1" ht="27.75" customHeight="1">
      <c r="A1089" s="1076"/>
      <c r="B1089" s="1074">
        <f>+'[18]Bldg+Dev'!S1901</f>
        <v>0</v>
      </c>
      <c r="D1089" s="1063"/>
      <c r="F1089" s="1076"/>
      <c r="G1089" s="1063"/>
      <c r="H1089" s="1063"/>
      <c r="I1089" s="1063"/>
      <c r="J1089" s="1063"/>
      <c r="K1089" s="1063"/>
      <c r="L1089" s="1063"/>
      <c r="M1089" s="1063"/>
      <c r="N1089" s="1063"/>
      <c r="O1089" s="1063"/>
      <c r="P1089" s="1063"/>
      <c r="Q1089" s="1063"/>
      <c r="R1089" s="1063"/>
      <c r="S1089" s="1063"/>
      <c r="T1089" s="1063"/>
      <c r="U1089" s="1063"/>
      <c r="V1089" s="1063"/>
      <c r="W1089" s="1063"/>
      <c r="X1089" s="1063"/>
      <c r="Y1089" s="1063"/>
      <c r="Z1089" s="1063"/>
      <c r="AA1089" s="1063"/>
      <c r="AB1089" s="1063"/>
      <c r="AC1089" s="1063"/>
      <c r="AD1089" s="1063"/>
      <c r="AE1089" s="1063"/>
      <c r="AF1089" s="1063"/>
      <c r="AG1089" s="1063"/>
      <c r="AH1089" s="1063"/>
      <c r="AI1089" s="1063"/>
      <c r="AJ1089" s="1063"/>
      <c r="AK1089" s="1063"/>
      <c r="AL1089" s="1063"/>
      <c r="AM1089" s="1063"/>
      <c r="AN1089" s="1063"/>
      <c r="AO1089" s="1063"/>
      <c r="AP1089" s="1063"/>
      <c r="AQ1089" s="1063"/>
      <c r="AR1089" s="1063"/>
      <c r="AS1089" s="1063"/>
      <c r="AT1089" s="1063"/>
      <c r="AU1089" s="1063"/>
      <c r="AV1089" s="1063"/>
    </row>
    <row r="1090" spans="1:48" s="1108" customFormat="1" ht="27.75" customHeight="1">
      <c r="A1090" s="1076"/>
      <c r="B1090" s="1074">
        <f>+'[18]Bldg+Dev'!S1902</f>
        <v>0</v>
      </c>
      <c r="D1090" s="1063"/>
      <c r="F1090" s="1076"/>
      <c r="G1090" s="1063"/>
      <c r="H1090" s="1063"/>
      <c r="I1090" s="1063"/>
      <c r="J1090" s="1063"/>
      <c r="K1090" s="1063"/>
      <c r="L1090" s="1063"/>
      <c r="M1090" s="1063"/>
      <c r="N1090" s="1063"/>
      <c r="O1090" s="1063"/>
      <c r="P1090" s="1063"/>
      <c r="Q1090" s="1063"/>
      <c r="R1090" s="1063"/>
      <c r="S1090" s="1063"/>
      <c r="T1090" s="1063"/>
      <c r="U1090" s="1063"/>
      <c r="V1090" s="1063"/>
      <c r="W1090" s="1063"/>
      <c r="X1090" s="1063"/>
      <c r="Y1090" s="1063"/>
      <c r="Z1090" s="1063"/>
      <c r="AA1090" s="1063"/>
      <c r="AB1090" s="1063"/>
      <c r="AC1090" s="1063"/>
      <c r="AD1090" s="1063"/>
      <c r="AE1090" s="1063"/>
      <c r="AF1090" s="1063"/>
      <c r="AG1090" s="1063"/>
      <c r="AH1090" s="1063"/>
      <c r="AI1090" s="1063"/>
      <c r="AJ1090" s="1063"/>
      <c r="AK1090" s="1063"/>
      <c r="AL1090" s="1063"/>
      <c r="AM1090" s="1063"/>
      <c r="AN1090" s="1063"/>
      <c r="AO1090" s="1063"/>
      <c r="AP1090" s="1063"/>
      <c r="AQ1090" s="1063"/>
      <c r="AR1090" s="1063"/>
      <c r="AS1090" s="1063"/>
      <c r="AT1090" s="1063"/>
      <c r="AU1090" s="1063"/>
      <c r="AV1090" s="1063"/>
    </row>
    <row r="1091" spans="1:48" s="1108" customFormat="1" ht="27.75" customHeight="1">
      <c r="A1091" s="1076"/>
      <c r="B1091" s="1074">
        <f>+'[18]Bldg+Dev'!S1903</f>
        <v>0</v>
      </c>
      <c r="D1091" s="1063"/>
      <c r="F1091" s="1076"/>
      <c r="G1091" s="1063"/>
      <c r="H1091" s="1063"/>
      <c r="I1091" s="1063"/>
      <c r="J1091" s="1063"/>
      <c r="K1091" s="1063"/>
      <c r="L1091" s="1063"/>
      <c r="M1091" s="1063"/>
      <c r="N1091" s="1063"/>
      <c r="O1091" s="1063"/>
      <c r="P1091" s="1063"/>
      <c r="Q1091" s="1063"/>
      <c r="R1091" s="1063"/>
      <c r="S1091" s="1063"/>
      <c r="T1091" s="1063"/>
      <c r="U1091" s="1063"/>
      <c r="V1091" s="1063"/>
      <c r="W1091" s="1063"/>
      <c r="X1091" s="1063"/>
      <c r="Y1091" s="1063"/>
      <c r="Z1091" s="1063"/>
      <c r="AA1091" s="1063"/>
      <c r="AB1091" s="1063"/>
      <c r="AC1091" s="1063"/>
      <c r="AD1091" s="1063"/>
      <c r="AE1091" s="1063"/>
      <c r="AF1091" s="1063"/>
      <c r="AG1091" s="1063"/>
      <c r="AH1091" s="1063"/>
      <c r="AI1091" s="1063"/>
      <c r="AJ1091" s="1063"/>
      <c r="AK1091" s="1063"/>
      <c r="AL1091" s="1063"/>
      <c r="AM1091" s="1063"/>
      <c r="AN1091" s="1063"/>
      <c r="AO1091" s="1063"/>
      <c r="AP1091" s="1063"/>
      <c r="AQ1091" s="1063"/>
      <c r="AR1091" s="1063"/>
      <c r="AS1091" s="1063"/>
      <c r="AT1091" s="1063"/>
      <c r="AU1091" s="1063"/>
      <c r="AV1091" s="1063"/>
    </row>
    <row r="1092" spans="1:48" s="1108" customFormat="1" ht="27.75" customHeight="1">
      <c r="A1092" s="1076"/>
      <c r="B1092" s="1074">
        <f>+'[18]Bldg+Dev'!S1904</f>
        <v>0</v>
      </c>
      <c r="D1092" s="1063"/>
      <c r="F1092" s="1076"/>
      <c r="G1092" s="1063"/>
      <c r="H1092" s="1063"/>
      <c r="I1092" s="1063"/>
      <c r="J1092" s="1063"/>
      <c r="K1092" s="1063"/>
      <c r="L1092" s="1063"/>
      <c r="M1092" s="1063"/>
      <c r="N1092" s="1063"/>
      <c r="O1092" s="1063"/>
      <c r="P1092" s="1063"/>
      <c r="Q1092" s="1063"/>
      <c r="R1092" s="1063"/>
      <c r="S1092" s="1063"/>
      <c r="T1092" s="1063"/>
      <c r="U1092" s="1063"/>
      <c r="V1092" s="1063"/>
      <c r="W1092" s="1063"/>
      <c r="X1092" s="1063"/>
      <c r="Y1092" s="1063"/>
      <c r="Z1092" s="1063"/>
      <c r="AA1092" s="1063"/>
      <c r="AB1092" s="1063"/>
      <c r="AC1092" s="1063"/>
      <c r="AD1092" s="1063"/>
      <c r="AE1092" s="1063"/>
      <c r="AF1092" s="1063"/>
      <c r="AG1092" s="1063"/>
      <c r="AH1092" s="1063"/>
      <c r="AI1092" s="1063"/>
      <c r="AJ1092" s="1063"/>
      <c r="AK1092" s="1063"/>
      <c r="AL1092" s="1063"/>
      <c r="AM1092" s="1063"/>
      <c r="AN1092" s="1063"/>
      <c r="AO1092" s="1063"/>
      <c r="AP1092" s="1063"/>
      <c r="AQ1092" s="1063"/>
      <c r="AR1092" s="1063"/>
      <c r="AS1092" s="1063"/>
      <c r="AT1092" s="1063"/>
      <c r="AU1092" s="1063"/>
      <c r="AV1092" s="1063"/>
    </row>
    <row r="1093" spans="1:48" s="1108" customFormat="1" ht="27.75" customHeight="1">
      <c r="A1093" s="1076"/>
      <c r="B1093" s="1074">
        <f>+'[18]Bldg+Dev'!S1905</f>
        <v>0</v>
      </c>
      <c r="D1093" s="1063"/>
      <c r="F1093" s="1076"/>
      <c r="G1093" s="1063"/>
      <c r="H1093" s="1063"/>
      <c r="I1093" s="1063"/>
      <c r="J1093" s="1063"/>
      <c r="K1093" s="1063"/>
      <c r="L1093" s="1063"/>
      <c r="M1093" s="1063"/>
      <c r="N1093" s="1063"/>
      <c r="O1093" s="1063"/>
      <c r="P1093" s="1063"/>
      <c r="Q1093" s="1063"/>
      <c r="R1093" s="1063"/>
      <c r="S1093" s="1063"/>
      <c r="T1093" s="1063"/>
      <c r="U1093" s="1063"/>
      <c r="V1093" s="1063"/>
      <c r="W1093" s="1063"/>
      <c r="X1093" s="1063"/>
      <c r="Y1093" s="1063"/>
      <c r="Z1093" s="1063"/>
      <c r="AA1093" s="1063"/>
      <c r="AB1093" s="1063"/>
      <c r="AC1093" s="1063"/>
      <c r="AD1093" s="1063"/>
      <c r="AE1093" s="1063"/>
      <c r="AF1093" s="1063"/>
      <c r="AG1093" s="1063"/>
      <c r="AH1093" s="1063"/>
      <c r="AI1093" s="1063"/>
      <c r="AJ1093" s="1063"/>
      <c r="AK1093" s="1063"/>
      <c r="AL1093" s="1063"/>
      <c r="AM1093" s="1063"/>
      <c r="AN1093" s="1063"/>
      <c r="AO1093" s="1063"/>
      <c r="AP1093" s="1063"/>
      <c r="AQ1093" s="1063"/>
      <c r="AR1093" s="1063"/>
      <c r="AS1093" s="1063"/>
      <c r="AT1093" s="1063"/>
      <c r="AU1093" s="1063"/>
      <c r="AV1093" s="1063"/>
    </row>
    <row r="1094" spans="1:48" s="1108" customFormat="1" ht="27.75" customHeight="1">
      <c r="A1094" s="1076"/>
      <c r="B1094" s="1074">
        <f>+'[18]Bldg+Dev'!S1906</f>
        <v>0</v>
      </c>
      <c r="D1094" s="1063"/>
      <c r="F1094" s="1076"/>
      <c r="G1094" s="1063"/>
      <c r="H1094" s="1063"/>
      <c r="I1094" s="1063"/>
      <c r="J1094" s="1063"/>
      <c r="K1094" s="1063"/>
      <c r="L1094" s="1063"/>
      <c r="M1094" s="1063"/>
      <c r="N1094" s="1063"/>
      <c r="O1094" s="1063"/>
      <c r="P1094" s="1063"/>
      <c r="Q1094" s="1063"/>
      <c r="R1094" s="1063"/>
      <c r="S1094" s="1063"/>
      <c r="T1094" s="1063"/>
      <c r="U1094" s="1063"/>
      <c r="V1094" s="1063"/>
      <c r="W1094" s="1063"/>
      <c r="X1094" s="1063"/>
      <c r="Y1094" s="1063"/>
      <c r="Z1094" s="1063"/>
      <c r="AA1094" s="1063"/>
      <c r="AB1094" s="1063"/>
      <c r="AC1094" s="1063"/>
      <c r="AD1094" s="1063"/>
      <c r="AE1094" s="1063"/>
      <c r="AF1094" s="1063"/>
      <c r="AG1094" s="1063"/>
      <c r="AH1094" s="1063"/>
      <c r="AI1094" s="1063"/>
      <c r="AJ1094" s="1063"/>
      <c r="AK1094" s="1063"/>
      <c r="AL1094" s="1063"/>
      <c r="AM1094" s="1063"/>
      <c r="AN1094" s="1063"/>
      <c r="AO1094" s="1063"/>
      <c r="AP1094" s="1063"/>
      <c r="AQ1094" s="1063"/>
      <c r="AR1094" s="1063"/>
      <c r="AS1094" s="1063"/>
      <c r="AT1094" s="1063"/>
      <c r="AU1094" s="1063"/>
      <c r="AV1094" s="1063"/>
    </row>
    <row r="1095" spans="1:48" s="1108" customFormat="1" ht="27.75" customHeight="1">
      <c r="A1095" s="1076"/>
      <c r="B1095" s="1074">
        <f>+'[18]Bldg+Dev'!S1907</f>
        <v>0</v>
      </c>
      <c r="D1095" s="1063"/>
      <c r="F1095" s="1076"/>
      <c r="G1095" s="1063"/>
      <c r="H1095" s="1063"/>
      <c r="I1095" s="1063"/>
      <c r="J1095" s="1063"/>
      <c r="K1095" s="1063"/>
      <c r="L1095" s="1063"/>
      <c r="M1095" s="1063"/>
      <c r="N1095" s="1063"/>
      <c r="O1095" s="1063"/>
      <c r="P1095" s="1063"/>
      <c r="Q1095" s="1063"/>
      <c r="R1095" s="1063"/>
      <c r="S1095" s="1063"/>
      <c r="T1095" s="1063"/>
      <c r="U1095" s="1063"/>
      <c r="V1095" s="1063"/>
      <c r="W1095" s="1063"/>
      <c r="X1095" s="1063"/>
      <c r="Y1095" s="1063"/>
      <c r="Z1095" s="1063"/>
      <c r="AA1095" s="1063"/>
      <c r="AB1095" s="1063"/>
      <c r="AC1095" s="1063"/>
      <c r="AD1095" s="1063"/>
      <c r="AE1095" s="1063"/>
      <c r="AF1095" s="1063"/>
      <c r="AG1095" s="1063"/>
      <c r="AH1095" s="1063"/>
      <c r="AI1095" s="1063"/>
      <c r="AJ1095" s="1063"/>
      <c r="AK1095" s="1063"/>
      <c r="AL1095" s="1063"/>
      <c r="AM1095" s="1063"/>
      <c r="AN1095" s="1063"/>
      <c r="AO1095" s="1063"/>
      <c r="AP1095" s="1063"/>
      <c r="AQ1095" s="1063"/>
      <c r="AR1095" s="1063"/>
      <c r="AS1095" s="1063"/>
      <c r="AT1095" s="1063"/>
      <c r="AU1095" s="1063"/>
      <c r="AV1095" s="1063"/>
    </row>
    <row r="1096" spans="1:48" s="1108" customFormat="1" ht="27.75" customHeight="1">
      <c r="A1096" s="1076"/>
      <c r="B1096" s="1074">
        <f>+'[18]Bldg+Dev'!S1908</f>
        <v>0</v>
      </c>
      <c r="D1096" s="1063"/>
      <c r="F1096" s="1076"/>
      <c r="G1096" s="1063"/>
      <c r="H1096" s="1063"/>
      <c r="I1096" s="1063"/>
      <c r="J1096" s="1063"/>
      <c r="K1096" s="1063"/>
      <c r="L1096" s="1063"/>
      <c r="M1096" s="1063"/>
      <c r="N1096" s="1063"/>
      <c r="O1096" s="1063"/>
      <c r="P1096" s="1063"/>
      <c r="Q1096" s="1063"/>
      <c r="R1096" s="1063"/>
      <c r="S1096" s="1063"/>
      <c r="T1096" s="1063"/>
      <c r="U1096" s="1063"/>
      <c r="V1096" s="1063"/>
      <c r="W1096" s="1063"/>
      <c r="X1096" s="1063"/>
      <c r="Y1096" s="1063"/>
      <c r="Z1096" s="1063"/>
      <c r="AA1096" s="1063"/>
      <c r="AB1096" s="1063"/>
      <c r="AC1096" s="1063"/>
      <c r="AD1096" s="1063"/>
      <c r="AE1096" s="1063"/>
      <c r="AF1096" s="1063"/>
      <c r="AG1096" s="1063"/>
      <c r="AH1096" s="1063"/>
      <c r="AI1096" s="1063"/>
      <c r="AJ1096" s="1063"/>
      <c r="AK1096" s="1063"/>
      <c r="AL1096" s="1063"/>
      <c r="AM1096" s="1063"/>
      <c r="AN1096" s="1063"/>
      <c r="AO1096" s="1063"/>
      <c r="AP1096" s="1063"/>
      <c r="AQ1096" s="1063"/>
      <c r="AR1096" s="1063"/>
      <c r="AS1096" s="1063"/>
      <c r="AT1096" s="1063"/>
      <c r="AU1096" s="1063"/>
      <c r="AV1096" s="1063"/>
    </row>
    <row r="1097" spans="1:48" s="1108" customFormat="1" ht="27.75" customHeight="1">
      <c r="A1097" s="1076"/>
      <c r="B1097" s="1074">
        <f>+'[18]Bldg+Dev'!S1909</f>
        <v>0</v>
      </c>
      <c r="D1097" s="1063"/>
      <c r="F1097" s="1076"/>
      <c r="G1097" s="1063"/>
      <c r="H1097" s="1063"/>
      <c r="I1097" s="1063"/>
      <c r="J1097" s="1063"/>
      <c r="K1097" s="1063"/>
      <c r="L1097" s="1063"/>
      <c r="M1097" s="1063"/>
      <c r="N1097" s="1063"/>
      <c r="O1097" s="1063"/>
      <c r="P1097" s="1063"/>
      <c r="Q1097" s="1063"/>
      <c r="R1097" s="1063"/>
      <c r="S1097" s="1063"/>
      <c r="T1097" s="1063"/>
      <c r="U1097" s="1063"/>
      <c r="V1097" s="1063"/>
      <c r="W1097" s="1063"/>
      <c r="X1097" s="1063"/>
      <c r="Y1097" s="1063"/>
      <c r="Z1097" s="1063"/>
      <c r="AA1097" s="1063"/>
      <c r="AB1097" s="1063"/>
      <c r="AC1097" s="1063"/>
      <c r="AD1097" s="1063"/>
      <c r="AE1097" s="1063"/>
      <c r="AF1097" s="1063"/>
      <c r="AG1097" s="1063"/>
      <c r="AH1097" s="1063"/>
      <c r="AI1097" s="1063"/>
      <c r="AJ1097" s="1063"/>
      <c r="AK1097" s="1063"/>
      <c r="AL1097" s="1063"/>
      <c r="AM1097" s="1063"/>
      <c r="AN1097" s="1063"/>
      <c r="AO1097" s="1063"/>
      <c r="AP1097" s="1063"/>
      <c r="AQ1097" s="1063"/>
      <c r="AR1097" s="1063"/>
      <c r="AS1097" s="1063"/>
      <c r="AT1097" s="1063"/>
      <c r="AU1097" s="1063"/>
      <c r="AV1097" s="1063"/>
    </row>
    <row r="1098" spans="1:48" s="1108" customFormat="1" ht="27.75" customHeight="1">
      <c r="A1098" s="1076"/>
      <c r="B1098" s="1074">
        <f>+'[18]Bldg+Dev'!S1910</f>
        <v>0</v>
      </c>
      <c r="D1098" s="1063"/>
      <c r="F1098" s="1076"/>
      <c r="G1098" s="1063"/>
      <c r="H1098" s="1063"/>
      <c r="I1098" s="1063"/>
      <c r="J1098" s="1063"/>
      <c r="K1098" s="1063"/>
      <c r="L1098" s="1063"/>
      <c r="M1098" s="1063"/>
      <c r="N1098" s="1063"/>
      <c r="O1098" s="1063"/>
      <c r="P1098" s="1063"/>
      <c r="Q1098" s="1063"/>
      <c r="R1098" s="1063"/>
      <c r="S1098" s="1063"/>
      <c r="T1098" s="1063"/>
      <c r="U1098" s="1063"/>
      <c r="V1098" s="1063"/>
      <c r="W1098" s="1063"/>
      <c r="X1098" s="1063"/>
      <c r="Y1098" s="1063"/>
      <c r="Z1098" s="1063"/>
      <c r="AA1098" s="1063"/>
      <c r="AB1098" s="1063"/>
      <c r="AC1098" s="1063"/>
      <c r="AD1098" s="1063"/>
      <c r="AE1098" s="1063"/>
      <c r="AF1098" s="1063"/>
      <c r="AG1098" s="1063"/>
      <c r="AH1098" s="1063"/>
      <c r="AI1098" s="1063"/>
      <c r="AJ1098" s="1063"/>
      <c r="AK1098" s="1063"/>
      <c r="AL1098" s="1063"/>
      <c r="AM1098" s="1063"/>
      <c r="AN1098" s="1063"/>
      <c r="AO1098" s="1063"/>
      <c r="AP1098" s="1063"/>
      <c r="AQ1098" s="1063"/>
      <c r="AR1098" s="1063"/>
      <c r="AS1098" s="1063"/>
      <c r="AT1098" s="1063"/>
      <c r="AU1098" s="1063"/>
      <c r="AV1098" s="1063"/>
    </row>
    <row r="1099" spans="1:48" s="1108" customFormat="1" ht="27.75" customHeight="1">
      <c r="A1099" s="1076"/>
      <c r="B1099" s="1074">
        <f>+'[18]Bldg+Dev'!S1911</f>
        <v>0</v>
      </c>
      <c r="D1099" s="1063"/>
      <c r="F1099" s="1076"/>
      <c r="G1099" s="1063"/>
      <c r="H1099" s="1063"/>
      <c r="I1099" s="1063"/>
      <c r="J1099" s="1063"/>
      <c r="K1099" s="1063"/>
      <c r="L1099" s="1063"/>
      <c r="M1099" s="1063"/>
      <c r="N1099" s="1063"/>
      <c r="O1099" s="1063"/>
      <c r="P1099" s="1063"/>
      <c r="Q1099" s="1063"/>
      <c r="R1099" s="1063"/>
      <c r="S1099" s="1063"/>
      <c r="T1099" s="1063"/>
      <c r="U1099" s="1063"/>
      <c r="V1099" s="1063"/>
      <c r="W1099" s="1063"/>
      <c r="X1099" s="1063"/>
      <c r="Y1099" s="1063"/>
      <c r="Z1099" s="1063"/>
      <c r="AA1099" s="1063"/>
      <c r="AB1099" s="1063"/>
      <c r="AC1099" s="1063"/>
      <c r="AD1099" s="1063"/>
      <c r="AE1099" s="1063"/>
      <c r="AF1099" s="1063"/>
      <c r="AG1099" s="1063"/>
      <c r="AH1099" s="1063"/>
      <c r="AI1099" s="1063"/>
      <c r="AJ1099" s="1063"/>
      <c r="AK1099" s="1063"/>
      <c r="AL1099" s="1063"/>
      <c r="AM1099" s="1063"/>
      <c r="AN1099" s="1063"/>
      <c r="AO1099" s="1063"/>
      <c r="AP1099" s="1063"/>
      <c r="AQ1099" s="1063"/>
      <c r="AR1099" s="1063"/>
      <c r="AS1099" s="1063"/>
      <c r="AT1099" s="1063"/>
      <c r="AU1099" s="1063"/>
      <c r="AV1099" s="1063"/>
    </row>
    <row r="1100" spans="1:48" s="1108" customFormat="1" ht="27.75" customHeight="1">
      <c r="A1100" s="1076"/>
      <c r="B1100" s="1074">
        <f>+'[18]Bldg+Dev'!S1912</f>
        <v>0</v>
      </c>
      <c r="D1100" s="1063"/>
      <c r="F1100" s="1076"/>
      <c r="G1100" s="1063"/>
      <c r="H1100" s="1063"/>
      <c r="I1100" s="1063"/>
      <c r="J1100" s="1063"/>
      <c r="K1100" s="1063"/>
      <c r="L1100" s="1063"/>
      <c r="M1100" s="1063"/>
      <c r="N1100" s="1063"/>
      <c r="O1100" s="1063"/>
      <c r="P1100" s="1063"/>
      <c r="Q1100" s="1063"/>
      <c r="R1100" s="1063"/>
      <c r="S1100" s="1063"/>
      <c r="T1100" s="1063"/>
      <c r="U1100" s="1063"/>
      <c r="V1100" s="1063"/>
      <c r="W1100" s="1063"/>
      <c r="X1100" s="1063"/>
      <c r="Y1100" s="1063"/>
      <c r="Z1100" s="1063"/>
      <c r="AA1100" s="1063"/>
      <c r="AB1100" s="1063"/>
      <c r="AC1100" s="1063"/>
      <c r="AD1100" s="1063"/>
      <c r="AE1100" s="1063"/>
      <c r="AF1100" s="1063"/>
      <c r="AG1100" s="1063"/>
      <c r="AH1100" s="1063"/>
      <c r="AI1100" s="1063"/>
      <c r="AJ1100" s="1063"/>
      <c r="AK1100" s="1063"/>
      <c r="AL1100" s="1063"/>
      <c r="AM1100" s="1063"/>
      <c r="AN1100" s="1063"/>
      <c r="AO1100" s="1063"/>
      <c r="AP1100" s="1063"/>
      <c r="AQ1100" s="1063"/>
      <c r="AR1100" s="1063"/>
      <c r="AS1100" s="1063"/>
      <c r="AT1100" s="1063"/>
      <c r="AU1100" s="1063"/>
      <c r="AV1100" s="1063"/>
    </row>
    <row r="1101" spans="1:48" s="1108" customFormat="1" ht="27.75" customHeight="1">
      <c r="A1101" s="1076"/>
      <c r="B1101" s="1074">
        <f>+'[18]Bldg+Dev'!S1913</f>
        <v>0</v>
      </c>
      <c r="D1101" s="1063"/>
      <c r="F1101" s="1076"/>
      <c r="G1101" s="1063"/>
      <c r="H1101" s="1063"/>
      <c r="I1101" s="1063"/>
      <c r="J1101" s="1063"/>
      <c r="K1101" s="1063"/>
      <c r="L1101" s="1063"/>
      <c r="M1101" s="1063"/>
      <c r="N1101" s="1063"/>
      <c r="O1101" s="1063"/>
      <c r="P1101" s="1063"/>
      <c r="Q1101" s="1063"/>
      <c r="R1101" s="1063"/>
      <c r="S1101" s="1063"/>
      <c r="T1101" s="1063"/>
      <c r="U1101" s="1063"/>
      <c r="V1101" s="1063"/>
      <c r="W1101" s="1063"/>
      <c r="X1101" s="1063"/>
      <c r="Y1101" s="1063"/>
      <c r="Z1101" s="1063"/>
      <c r="AA1101" s="1063"/>
      <c r="AB1101" s="1063"/>
      <c r="AC1101" s="1063"/>
      <c r="AD1101" s="1063"/>
      <c r="AE1101" s="1063"/>
      <c r="AF1101" s="1063"/>
      <c r="AG1101" s="1063"/>
      <c r="AH1101" s="1063"/>
      <c r="AI1101" s="1063"/>
      <c r="AJ1101" s="1063"/>
      <c r="AK1101" s="1063"/>
      <c r="AL1101" s="1063"/>
      <c r="AM1101" s="1063"/>
      <c r="AN1101" s="1063"/>
      <c r="AO1101" s="1063"/>
      <c r="AP1101" s="1063"/>
      <c r="AQ1101" s="1063"/>
      <c r="AR1101" s="1063"/>
      <c r="AS1101" s="1063"/>
      <c r="AT1101" s="1063"/>
      <c r="AU1101" s="1063"/>
      <c r="AV1101" s="1063"/>
    </row>
    <row r="1102" spans="1:48" s="1108" customFormat="1" ht="27.75" customHeight="1">
      <c r="A1102" s="1076"/>
      <c r="B1102" s="1074">
        <f>+'[18]Bldg+Dev'!S1914</f>
        <v>0</v>
      </c>
      <c r="D1102" s="1063"/>
      <c r="F1102" s="1076"/>
      <c r="G1102" s="1063"/>
      <c r="H1102" s="1063"/>
      <c r="I1102" s="1063"/>
      <c r="J1102" s="1063"/>
      <c r="K1102" s="1063"/>
      <c r="L1102" s="1063"/>
      <c r="M1102" s="1063"/>
      <c r="N1102" s="1063"/>
      <c r="O1102" s="1063"/>
      <c r="P1102" s="1063"/>
      <c r="Q1102" s="1063"/>
      <c r="R1102" s="1063"/>
      <c r="S1102" s="1063"/>
      <c r="T1102" s="1063"/>
      <c r="U1102" s="1063"/>
      <c r="V1102" s="1063"/>
      <c r="W1102" s="1063"/>
      <c r="X1102" s="1063"/>
      <c r="Y1102" s="1063"/>
      <c r="Z1102" s="1063"/>
      <c r="AA1102" s="1063"/>
      <c r="AB1102" s="1063"/>
      <c r="AC1102" s="1063"/>
      <c r="AD1102" s="1063"/>
      <c r="AE1102" s="1063"/>
      <c r="AF1102" s="1063"/>
      <c r="AG1102" s="1063"/>
      <c r="AH1102" s="1063"/>
      <c r="AI1102" s="1063"/>
      <c r="AJ1102" s="1063"/>
      <c r="AK1102" s="1063"/>
      <c r="AL1102" s="1063"/>
      <c r="AM1102" s="1063"/>
      <c r="AN1102" s="1063"/>
      <c r="AO1102" s="1063"/>
      <c r="AP1102" s="1063"/>
      <c r="AQ1102" s="1063"/>
      <c r="AR1102" s="1063"/>
      <c r="AS1102" s="1063"/>
      <c r="AT1102" s="1063"/>
      <c r="AU1102" s="1063"/>
      <c r="AV1102" s="1063"/>
    </row>
    <row r="1103" spans="1:48" s="1108" customFormat="1" ht="27.75" customHeight="1">
      <c r="A1103" s="1076"/>
      <c r="B1103" s="1074">
        <f>+'[18]Bldg+Dev'!S1915</f>
        <v>0</v>
      </c>
      <c r="D1103" s="1063"/>
      <c r="F1103" s="1076"/>
      <c r="G1103" s="1063"/>
      <c r="H1103" s="1063"/>
      <c r="I1103" s="1063"/>
      <c r="J1103" s="1063"/>
      <c r="K1103" s="1063"/>
      <c r="L1103" s="1063"/>
      <c r="M1103" s="1063"/>
      <c r="N1103" s="1063"/>
      <c r="O1103" s="1063"/>
      <c r="P1103" s="1063"/>
      <c r="Q1103" s="1063"/>
      <c r="R1103" s="1063"/>
      <c r="S1103" s="1063"/>
      <c r="T1103" s="1063"/>
      <c r="U1103" s="1063"/>
      <c r="V1103" s="1063"/>
      <c r="W1103" s="1063"/>
      <c r="X1103" s="1063"/>
      <c r="Y1103" s="1063"/>
      <c r="Z1103" s="1063"/>
      <c r="AA1103" s="1063"/>
      <c r="AB1103" s="1063"/>
      <c r="AC1103" s="1063"/>
      <c r="AD1103" s="1063"/>
      <c r="AE1103" s="1063"/>
      <c r="AF1103" s="1063"/>
      <c r="AG1103" s="1063"/>
      <c r="AH1103" s="1063"/>
      <c r="AI1103" s="1063"/>
      <c r="AJ1103" s="1063"/>
      <c r="AK1103" s="1063"/>
      <c r="AL1103" s="1063"/>
      <c r="AM1103" s="1063"/>
      <c r="AN1103" s="1063"/>
      <c r="AO1103" s="1063"/>
      <c r="AP1103" s="1063"/>
      <c r="AQ1103" s="1063"/>
      <c r="AR1103" s="1063"/>
      <c r="AS1103" s="1063"/>
      <c r="AT1103" s="1063"/>
      <c r="AU1103" s="1063"/>
      <c r="AV1103" s="1063"/>
    </row>
    <row r="1104" spans="1:48" s="1108" customFormat="1" ht="27.75" customHeight="1">
      <c r="A1104" s="1076"/>
      <c r="B1104" s="1074">
        <f>+'[18]Bldg+Dev'!S1916</f>
        <v>0</v>
      </c>
      <c r="D1104" s="1063"/>
      <c r="F1104" s="1076"/>
      <c r="G1104" s="1063"/>
      <c r="H1104" s="1063"/>
      <c r="I1104" s="1063"/>
      <c r="J1104" s="1063"/>
      <c r="K1104" s="1063"/>
      <c r="L1104" s="1063"/>
      <c r="M1104" s="1063"/>
      <c r="N1104" s="1063"/>
      <c r="O1104" s="1063"/>
      <c r="P1104" s="1063"/>
      <c r="Q1104" s="1063"/>
      <c r="R1104" s="1063"/>
      <c r="S1104" s="1063"/>
      <c r="T1104" s="1063"/>
      <c r="U1104" s="1063"/>
      <c r="V1104" s="1063"/>
      <c r="W1104" s="1063"/>
      <c r="X1104" s="1063"/>
      <c r="Y1104" s="1063"/>
      <c r="Z1104" s="1063"/>
      <c r="AA1104" s="1063"/>
      <c r="AB1104" s="1063"/>
      <c r="AC1104" s="1063"/>
      <c r="AD1104" s="1063"/>
      <c r="AE1104" s="1063"/>
      <c r="AF1104" s="1063"/>
      <c r="AG1104" s="1063"/>
      <c r="AH1104" s="1063"/>
      <c r="AI1104" s="1063"/>
      <c r="AJ1104" s="1063"/>
      <c r="AK1104" s="1063"/>
      <c r="AL1104" s="1063"/>
      <c r="AM1104" s="1063"/>
      <c r="AN1104" s="1063"/>
      <c r="AO1104" s="1063"/>
      <c r="AP1104" s="1063"/>
      <c r="AQ1104" s="1063"/>
      <c r="AR1104" s="1063"/>
      <c r="AS1104" s="1063"/>
      <c r="AT1104" s="1063"/>
      <c r="AU1104" s="1063"/>
      <c r="AV1104" s="1063"/>
    </row>
    <row r="1105" spans="1:48" s="1108" customFormat="1" ht="27.75" customHeight="1">
      <c r="A1105" s="1076"/>
      <c r="B1105" s="1074">
        <f>+'[18]Bldg+Dev'!S1917</f>
        <v>0</v>
      </c>
      <c r="D1105" s="1063"/>
      <c r="F1105" s="1076"/>
      <c r="G1105" s="1063"/>
      <c r="H1105" s="1063"/>
      <c r="I1105" s="1063"/>
      <c r="J1105" s="1063"/>
      <c r="K1105" s="1063"/>
      <c r="L1105" s="1063"/>
      <c r="M1105" s="1063"/>
      <c r="N1105" s="1063"/>
      <c r="O1105" s="1063"/>
      <c r="P1105" s="1063"/>
      <c r="Q1105" s="1063"/>
      <c r="R1105" s="1063"/>
      <c r="S1105" s="1063"/>
      <c r="T1105" s="1063"/>
      <c r="U1105" s="1063"/>
      <c r="V1105" s="1063"/>
      <c r="W1105" s="1063"/>
      <c r="X1105" s="1063"/>
      <c r="Y1105" s="1063"/>
      <c r="Z1105" s="1063"/>
      <c r="AA1105" s="1063"/>
      <c r="AB1105" s="1063"/>
      <c r="AC1105" s="1063"/>
      <c r="AD1105" s="1063"/>
      <c r="AE1105" s="1063"/>
      <c r="AF1105" s="1063"/>
      <c r="AG1105" s="1063"/>
      <c r="AH1105" s="1063"/>
      <c r="AI1105" s="1063"/>
      <c r="AJ1105" s="1063"/>
      <c r="AK1105" s="1063"/>
      <c r="AL1105" s="1063"/>
      <c r="AM1105" s="1063"/>
      <c r="AN1105" s="1063"/>
      <c r="AO1105" s="1063"/>
      <c r="AP1105" s="1063"/>
      <c r="AQ1105" s="1063"/>
      <c r="AR1105" s="1063"/>
      <c r="AS1105" s="1063"/>
      <c r="AT1105" s="1063"/>
      <c r="AU1105" s="1063"/>
      <c r="AV1105" s="1063"/>
    </row>
    <row r="1106" spans="1:48" s="1108" customFormat="1" ht="27.75" customHeight="1">
      <c r="A1106" s="1076"/>
      <c r="B1106" s="1074">
        <f>+'[18]Bldg+Dev'!S1918</f>
        <v>0</v>
      </c>
      <c r="D1106" s="1063"/>
      <c r="F1106" s="1076"/>
      <c r="G1106" s="1063"/>
      <c r="H1106" s="1063"/>
      <c r="I1106" s="1063"/>
      <c r="J1106" s="1063"/>
      <c r="K1106" s="1063"/>
      <c r="L1106" s="1063"/>
      <c r="M1106" s="1063"/>
      <c r="N1106" s="1063"/>
      <c r="O1106" s="1063"/>
      <c r="P1106" s="1063"/>
      <c r="Q1106" s="1063"/>
      <c r="R1106" s="1063"/>
      <c r="S1106" s="1063"/>
      <c r="T1106" s="1063"/>
      <c r="U1106" s="1063"/>
      <c r="V1106" s="1063"/>
      <c r="W1106" s="1063"/>
      <c r="X1106" s="1063"/>
      <c r="Y1106" s="1063"/>
      <c r="Z1106" s="1063"/>
      <c r="AA1106" s="1063"/>
      <c r="AB1106" s="1063"/>
      <c r="AC1106" s="1063"/>
      <c r="AD1106" s="1063"/>
      <c r="AE1106" s="1063"/>
      <c r="AF1106" s="1063"/>
      <c r="AG1106" s="1063"/>
      <c r="AH1106" s="1063"/>
      <c r="AI1106" s="1063"/>
      <c r="AJ1106" s="1063"/>
      <c r="AK1106" s="1063"/>
      <c r="AL1106" s="1063"/>
      <c r="AM1106" s="1063"/>
      <c r="AN1106" s="1063"/>
      <c r="AO1106" s="1063"/>
      <c r="AP1106" s="1063"/>
      <c r="AQ1106" s="1063"/>
      <c r="AR1106" s="1063"/>
      <c r="AS1106" s="1063"/>
      <c r="AT1106" s="1063"/>
      <c r="AU1106" s="1063"/>
      <c r="AV1106" s="1063"/>
    </row>
    <row r="1107" spans="1:48" s="1108" customFormat="1" ht="27.75" customHeight="1">
      <c r="A1107" s="1076"/>
      <c r="B1107" s="1074">
        <f>+'[18]Bldg+Dev'!S1919</f>
        <v>0</v>
      </c>
      <c r="D1107" s="1063"/>
      <c r="F1107" s="1076"/>
      <c r="G1107" s="1063"/>
      <c r="H1107" s="1063"/>
      <c r="I1107" s="1063"/>
      <c r="J1107" s="1063"/>
      <c r="K1107" s="1063"/>
      <c r="L1107" s="1063"/>
      <c r="M1107" s="1063"/>
      <c r="N1107" s="1063"/>
      <c r="O1107" s="1063"/>
      <c r="P1107" s="1063"/>
      <c r="Q1107" s="1063"/>
      <c r="R1107" s="1063"/>
      <c r="S1107" s="1063"/>
      <c r="T1107" s="1063"/>
      <c r="U1107" s="1063"/>
      <c r="V1107" s="1063"/>
      <c r="W1107" s="1063"/>
      <c r="X1107" s="1063"/>
      <c r="Y1107" s="1063"/>
      <c r="Z1107" s="1063"/>
      <c r="AA1107" s="1063"/>
      <c r="AB1107" s="1063"/>
      <c r="AC1107" s="1063"/>
      <c r="AD1107" s="1063"/>
      <c r="AE1107" s="1063"/>
      <c r="AF1107" s="1063"/>
      <c r="AG1107" s="1063"/>
      <c r="AH1107" s="1063"/>
      <c r="AI1107" s="1063"/>
      <c r="AJ1107" s="1063"/>
      <c r="AK1107" s="1063"/>
      <c r="AL1107" s="1063"/>
      <c r="AM1107" s="1063"/>
      <c r="AN1107" s="1063"/>
      <c r="AO1107" s="1063"/>
      <c r="AP1107" s="1063"/>
      <c r="AQ1107" s="1063"/>
      <c r="AR1107" s="1063"/>
      <c r="AS1107" s="1063"/>
      <c r="AT1107" s="1063"/>
      <c r="AU1107" s="1063"/>
      <c r="AV1107" s="1063"/>
    </row>
    <row r="1108" spans="1:48" s="1108" customFormat="1" ht="27.75" customHeight="1">
      <c r="A1108" s="1076"/>
      <c r="B1108" s="1074">
        <f>+'[18]Bldg+Dev'!S1920</f>
        <v>0</v>
      </c>
      <c r="D1108" s="1063"/>
      <c r="F1108" s="1076"/>
      <c r="G1108" s="1063"/>
      <c r="H1108" s="1063"/>
      <c r="I1108" s="1063"/>
      <c r="J1108" s="1063"/>
      <c r="K1108" s="1063"/>
      <c r="L1108" s="1063"/>
      <c r="M1108" s="1063"/>
      <c r="N1108" s="1063"/>
      <c r="O1108" s="1063"/>
      <c r="P1108" s="1063"/>
      <c r="Q1108" s="1063"/>
      <c r="R1108" s="1063"/>
      <c r="S1108" s="1063"/>
      <c r="T1108" s="1063"/>
      <c r="U1108" s="1063"/>
      <c r="V1108" s="1063"/>
      <c r="W1108" s="1063"/>
      <c r="X1108" s="1063"/>
      <c r="Y1108" s="1063"/>
      <c r="Z1108" s="1063"/>
      <c r="AA1108" s="1063"/>
      <c r="AB1108" s="1063"/>
      <c r="AC1108" s="1063"/>
      <c r="AD1108" s="1063"/>
      <c r="AE1108" s="1063"/>
      <c r="AF1108" s="1063"/>
      <c r="AG1108" s="1063"/>
      <c r="AH1108" s="1063"/>
      <c r="AI1108" s="1063"/>
      <c r="AJ1108" s="1063"/>
      <c r="AK1108" s="1063"/>
      <c r="AL1108" s="1063"/>
      <c r="AM1108" s="1063"/>
      <c r="AN1108" s="1063"/>
      <c r="AO1108" s="1063"/>
      <c r="AP1108" s="1063"/>
      <c r="AQ1108" s="1063"/>
      <c r="AR1108" s="1063"/>
      <c r="AS1108" s="1063"/>
      <c r="AT1108" s="1063"/>
      <c r="AU1108" s="1063"/>
      <c r="AV1108" s="1063"/>
    </row>
    <row r="1109" spans="1:48" s="1108" customFormat="1" ht="27.75" customHeight="1">
      <c r="A1109" s="1076"/>
      <c r="B1109" s="1074">
        <f>+'[18]Bldg+Dev'!S1921</f>
        <v>0</v>
      </c>
      <c r="D1109" s="1063"/>
      <c r="F1109" s="1076"/>
      <c r="G1109" s="1063"/>
      <c r="H1109" s="1063"/>
      <c r="I1109" s="1063"/>
      <c r="J1109" s="1063"/>
      <c r="K1109" s="1063"/>
      <c r="L1109" s="1063"/>
      <c r="M1109" s="1063"/>
      <c r="N1109" s="1063"/>
      <c r="O1109" s="1063"/>
      <c r="P1109" s="1063"/>
      <c r="Q1109" s="1063"/>
      <c r="R1109" s="1063"/>
      <c r="S1109" s="1063"/>
      <c r="T1109" s="1063"/>
      <c r="U1109" s="1063"/>
      <c r="V1109" s="1063"/>
      <c r="W1109" s="1063"/>
      <c r="X1109" s="1063"/>
      <c r="Y1109" s="1063"/>
      <c r="Z1109" s="1063"/>
      <c r="AA1109" s="1063"/>
      <c r="AB1109" s="1063"/>
      <c r="AC1109" s="1063"/>
      <c r="AD1109" s="1063"/>
      <c r="AE1109" s="1063"/>
      <c r="AF1109" s="1063"/>
      <c r="AG1109" s="1063"/>
      <c r="AH1109" s="1063"/>
      <c r="AI1109" s="1063"/>
      <c r="AJ1109" s="1063"/>
      <c r="AK1109" s="1063"/>
      <c r="AL1109" s="1063"/>
      <c r="AM1109" s="1063"/>
      <c r="AN1109" s="1063"/>
      <c r="AO1109" s="1063"/>
      <c r="AP1109" s="1063"/>
      <c r="AQ1109" s="1063"/>
      <c r="AR1109" s="1063"/>
      <c r="AS1109" s="1063"/>
      <c r="AT1109" s="1063"/>
      <c r="AU1109" s="1063"/>
      <c r="AV1109" s="1063"/>
    </row>
    <row r="1110" spans="1:48" s="1108" customFormat="1" ht="27.75" customHeight="1">
      <c r="A1110" s="1076"/>
      <c r="B1110" s="1074">
        <f>+'[18]Bldg+Dev'!S1922</f>
        <v>0</v>
      </c>
      <c r="D1110" s="1063"/>
      <c r="F1110" s="1076"/>
      <c r="G1110" s="1063"/>
      <c r="H1110" s="1063"/>
      <c r="I1110" s="1063"/>
      <c r="J1110" s="1063"/>
      <c r="K1110" s="1063"/>
      <c r="L1110" s="1063"/>
      <c r="M1110" s="1063"/>
      <c r="N1110" s="1063"/>
      <c r="O1110" s="1063"/>
      <c r="P1110" s="1063"/>
      <c r="Q1110" s="1063"/>
      <c r="R1110" s="1063"/>
      <c r="S1110" s="1063"/>
      <c r="T1110" s="1063"/>
      <c r="U1110" s="1063"/>
      <c r="V1110" s="1063"/>
      <c r="W1110" s="1063"/>
      <c r="X1110" s="1063"/>
      <c r="Y1110" s="1063"/>
      <c r="Z1110" s="1063"/>
      <c r="AA1110" s="1063"/>
      <c r="AB1110" s="1063"/>
      <c r="AC1110" s="1063"/>
      <c r="AD1110" s="1063"/>
      <c r="AE1110" s="1063"/>
      <c r="AF1110" s="1063"/>
      <c r="AG1110" s="1063"/>
      <c r="AH1110" s="1063"/>
      <c r="AI1110" s="1063"/>
      <c r="AJ1110" s="1063"/>
      <c r="AK1110" s="1063"/>
      <c r="AL1110" s="1063"/>
      <c r="AM1110" s="1063"/>
      <c r="AN1110" s="1063"/>
      <c r="AO1110" s="1063"/>
      <c r="AP1110" s="1063"/>
      <c r="AQ1110" s="1063"/>
      <c r="AR1110" s="1063"/>
      <c r="AS1110" s="1063"/>
      <c r="AT1110" s="1063"/>
      <c r="AU1110" s="1063"/>
      <c r="AV1110" s="1063"/>
    </row>
    <row r="1111" spans="1:48" s="1108" customFormat="1" ht="27.75" customHeight="1">
      <c r="A1111" s="1076"/>
      <c r="B1111" s="1074">
        <f>+'[18]Bldg+Dev'!S1923</f>
        <v>0</v>
      </c>
      <c r="D1111" s="1063"/>
      <c r="F1111" s="1076"/>
      <c r="G1111" s="1063"/>
      <c r="H1111" s="1063"/>
      <c r="I1111" s="1063"/>
      <c r="J1111" s="1063"/>
      <c r="K1111" s="1063"/>
      <c r="L1111" s="1063"/>
      <c r="M1111" s="1063"/>
      <c r="N1111" s="1063"/>
      <c r="O1111" s="1063"/>
      <c r="P1111" s="1063"/>
      <c r="Q1111" s="1063"/>
      <c r="R1111" s="1063"/>
      <c r="S1111" s="1063"/>
      <c r="T1111" s="1063"/>
      <c r="U1111" s="1063"/>
      <c r="V1111" s="1063"/>
      <c r="W1111" s="1063"/>
      <c r="X1111" s="1063"/>
      <c r="Y1111" s="1063"/>
      <c r="Z1111" s="1063"/>
      <c r="AA1111" s="1063"/>
      <c r="AB1111" s="1063"/>
      <c r="AC1111" s="1063"/>
      <c r="AD1111" s="1063"/>
      <c r="AE1111" s="1063"/>
      <c r="AF1111" s="1063"/>
      <c r="AG1111" s="1063"/>
      <c r="AH1111" s="1063"/>
      <c r="AI1111" s="1063"/>
      <c r="AJ1111" s="1063"/>
      <c r="AK1111" s="1063"/>
      <c r="AL1111" s="1063"/>
      <c r="AM1111" s="1063"/>
      <c r="AN1111" s="1063"/>
      <c r="AO1111" s="1063"/>
      <c r="AP1111" s="1063"/>
      <c r="AQ1111" s="1063"/>
      <c r="AR1111" s="1063"/>
      <c r="AS1111" s="1063"/>
      <c r="AT1111" s="1063"/>
      <c r="AU1111" s="1063"/>
      <c r="AV1111" s="1063"/>
    </row>
    <row r="1112" spans="1:48" s="1108" customFormat="1" ht="27.75" customHeight="1">
      <c r="A1112" s="1076"/>
      <c r="B1112" s="1074">
        <f>+'[18]Bldg+Dev'!S1924</f>
        <v>0</v>
      </c>
      <c r="D1112" s="1063"/>
      <c r="F1112" s="1076"/>
      <c r="G1112" s="1063"/>
      <c r="H1112" s="1063"/>
      <c r="I1112" s="1063"/>
      <c r="J1112" s="1063"/>
      <c r="K1112" s="1063"/>
      <c r="L1112" s="1063"/>
      <c r="M1112" s="1063"/>
      <c r="N1112" s="1063"/>
      <c r="O1112" s="1063"/>
      <c r="P1112" s="1063"/>
      <c r="Q1112" s="1063"/>
      <c r="R1112" s="1063"/>
      <c r="S1112" s="1063"/>
      <c r="T1112" s="1063"/>
      <c r="U1112" s="1063"/>
      <c r="V1112" s="1063"/>
      <c r="W1112" s="1063"/>
      <c r="X1112" s="1063"/>
      <c r="Y1112" s="1063"/>
      <c r="Z1112" s="1063"/>
      <c r="AA1112" s="1063"/>
      <c r="AB1112" s="1063"/>
      <c r="AC1112" s="1063"/>
      <c r="AD1112" s="1063"/>
      <c r="AE1112" s="1063"/>
      <c r="AF1112" s="1063"/>
      <c r="AG1112" s="1063"/>
      <c r="AH1112" s="1063"/>
      <c r="AI1112" s="1063"/>
      <c r="AJ1112" s="1063"/>
      <c r="AK1112" s="1063"/>
      <c r="AL1112" s="1063"/>
      <c r="AM1112" s="1063"/>
      <c r="AN1112" s="1063"/>
      <c r="AO1112" s="1063"/>
      <c r="AP1112" s="1063"/>
      <c r="AQ1112" s="1063"/>
      <c r="AR1112" s="1063"/>
      <c r="AS1112" s="1063"/>
      <c r="AT1112" s="1063"/>
      <c r="AU1112" s="1063"/>
      <c r="AV1112" s="1063"/>
    </row>
    <row r="1113" spans="1:48" s="1108" customFormat="1" ht="27.75" customHeight="1">
      <c r="A1113" s="1076"/>
      <c r="B1113" s="1074">
        <f>+'[18]Bldg+Dev'!S1925</f>
        <v>0</v>
      </c>
      <c r="D1113" s="1063"/>
      <c r="F1113" s="1076"/>
      <c r="G1113" s="1063"/>
      <c r="H1113" s="1063"/>
      <c r="I1113" s="1063"/>
      <c r="J1113" s="1063"/>
      <c r="K1113" s="1063"/>
      <c r="L1113" s="1063"/>
      <c r="M1113" s="1063"/>
      <c r="N1113" s="1063"/>
      <c r="O1113" s="1063"/>
      <c r="P1113" s="1063"/>
      <c r="Q1113" s="1063"/>
      <c r="R1113" s="1063"/>
      <c r="S1113" s="1063"/>
      <c r="T1113" s="1063"/>
      <c r="U1113" s="1063"/>
      <c r="V1113" s="1063"/>
      <c r="W1113" s="1063"/>
      <c r="X1113" s="1063"/>
      <c r="Y1113" s="1063"/>
      <c r="Z1113" s="1063"/>
      <c r="AA1113" s="1063"/>
      <c r="AB1113" s="1063"/>
      <c r="AC1113" s="1063"/>
      <c r="AD1113" s="1063"/>
      <c r="AE1113" s="1063"/>
      <c r="AF1113" s="1063"/>
      <c r="AG1113" s="1063"/>
      <c r="AH1113" s="1063"/>
      <c r="AI1113" s="1063"/>
      <c r="AJ1113" s="1063"/>
      <c r="AK1113" s="1063"/>
      <c r="AL1113" s="1063"/>
      <c r="AM1113" s="1063"/>
      <c r="AN1113" s="1063"/>
      <c r="AO1113" s="1063"/>
      <c r="AP1113" s="1063"/>
      <c r="AQ1113" s="1063"/>
      <c r="AR1113" s="1063"/>
      <c r="AS1113" s="1063"/>
      <c r="AT1113" s="1063"/>
      <c r="AU1113" s="1063"/>
      <c r="AV1113" s="1063"/>
    </row>
    <row r="1114" spans="1:48" s="1108" customFormat="1" ht="27.75" customHeight="1">
      <c r="A1114" s="1076"/>
      <c r="B1114" s="1074">
        <f>+'[18]Bldg+Dev'!S1926</f>
        <v>0</v>
      </c>
      <c r="D1114" s="1063"/>
      <c r="F1114" s="1076"/>
      <c r="G1114" s="1063"/>
      <c r="H1114" s="1063"/>
      <c r="I1114" s="1063"/>
      <c r="J1114" s="1063"/>
      <c r="K1114" s="1063"/>
      <c r="L1114" s="1063"/>
      <c r="M1114" s="1063"/>
      <c r="N1114" s="1063"/>
      <c r="O1114" s="1063"/>
      <c r="P1114" s="1063"/>
      <c r="Q1114" s="1063"/>
      <c r="R1114" s="1063"/>
      <c r="S1114" s="1063"/>
      <c r="T1114" s="1063"/>
      <c r="U1114" s="1063"/>
      <c r="V1114" s="1063"/>
      <c r="W1114" s="1063"/>
      <c r="X1114" s="1063"/>
      <c r="Y1114" s="1063"/>
      <c r="Z1114" s="1063"/>
      <c r="AA1114" s="1063"/>
      <c r="AB1114" s="1063"/>
      <c r="AC1114" s="1063"/>
      <c r="AD1114" s="1063"/>
      <c r="AE1114" s="1063"/>
      <c r="AF1114" s="1063"/>
      <c r="AG1114" s="1063"/>
      <c r="AH1114" s="1063"/>
      <c r="AI1114" s="1063"/>
      <c r="AJ1114" s="1063"/>
      <c r="AK1114" s="1063"/>
      <c r="AL1114" s="1063"/>
      <c r="AM1114" s="1063"/>
      <c r="AN1114" s="1063"/>
      <c r="AO1114" s="1063"/>
      <c r="AP1114" s="1063"/>
      <c r="AQ1114" s="1063"/>
      <c r="AR1114" s="1063"/>
      <c r="AS1114" s="1063"/>
      <c r="AT1114" s="1063"/>
      <c r="AU1114" s="1063"/>
      <c r="AV1114" s="1063"/>
    </row>
    <row r="1115" spans="1:48" s="1108" customFormat="1" ht="27.75" customHeight="1">
      <c r="A1115" s="1076"/>
      <c r="B1115" s="1074">
        <f>+'[18]Bldg+Dev'!S1927</f>
        <v>0</v>
      </c>
      <c r="D1115" s="1063"/>
      <c r="F1115" s="1076"/>
      <c r="G1115" s="1063"/>
      <c r="H1115" s="1063"/>
      <c r="I1115" s="1063"/>
      <c r="J1115" s="1063"/>
      <c r="K1115" s="1063"/>
      <c r="L1115" s="1063"/>
      <c r="M1115" s="1063"/>
      <c r="N1115" s="1063"/>
      <c r="O1115" s="1063"/>
      <c r="P1115" s="1063"/>
      <c r="Q1115" s="1063"/>
      <c r="R1115" s="1063"/>
      <c r="S1115" s="1063"/>
      <c r="T1115" s="1063"/>
      <c r="U1115" s="1063"/>
      <c r="V1115" s="1063"/>
      <c r="W1115" s="1063"/>
      <c r="X1115" s="1063"/>
      <c r="Y1115" s="1063"/>
      <c r="Z1115" s="1063"/>
      <c r="AA1115" s="1063"/>
      <c r="AB1115" s="1063"/>
      <c r="AC1115" s="1063"/>
      <c r="AD1115" s="1063"/>
      <c r="AE1115" s="1063"/>
      <c r="AF1115" s="1063"/>
      <c r="AG1115" s="1063"/>
      <c r="AH1115" s="1063"/>
      <c r="AI1115" s="1063"/>
      <c r="AJ1115" s="1063"/>
      <c r="AK1115" s="1063"/>
      <c r="AL1115" s="1063"/>
      <c r="AM1115" s="1063"/>
      <c r="AN1115" s="1063"/>
      <c r="AO1115" s="1063"/>
      <c r="AP1115" s="1063"/>
      <c r="AQ1115" s="1063"/>
      <c r="AR1115" s="1063"/>
      <c r="AS1115" s="1063"/>
      <c r="AT1115" s="1063"/>
      <c r="AU1115" s="1063"/>
      <c r="AV1115" s="1063"/>
    </row>
    <row r="1116" spans="1:48" s="1108" customFormat="1" ht="27.75" customHeight="1">
      <c r="A1116" s="1076"/>
      <c r="B1116" s="1074">
        <f>+'[18]Bldg+Dev'!S1928</f>
        <v>0</v>
      </c>
      <c r="D1116" s="1063"/>
      <c r="F1116" s="1076"/>
      <c r="G1116" s="1063"/>
      <c r="H1116" s="1063"/>
      <c r="I1116" s="1063"/>
      <c r="J1116" s="1063"/>
      <c r="K1116" s="1063"/>
      <c r="L1116" s="1063"/>
      <c r="M1116" s="1063"/>
      <c r="N1116" s="1063"/>
      <c r="O1116" s="1063"/>
      <c r="P1116" s="1063"/>
      <c r="Q1116" s="1063"/>
      <c r="R1116" s="1063"/>
      <c r="S1116" s="1063"/>
      <c r="T1116" s="1063"/>
      <c r="U1116" s="1063"/>
      <c r="V1116" s="1063"/>
      <c r="W1116" s="1063"/>
      <c r="X1116" s="1063"/>
      <c r="Y1116" s="1063"/>
      <c r="Z1116" s="1063"/>
      <c r="AA1116" s="1063"/>
      <c r="AB1116" s="1063"/>
      <c r="AC1116" s="1063"/>
      <c r="AD1116" s="1063"/>
      <c r="AE1116" s="1063"/>
      <c r="AF1116" s="1063"/>
      <c r="AG1116" s="1063"/>
      <c r="AH1116" s="1063"/>
      <c r="AI1116" s="1063"/>
      <c r="AJ1116" s="1063"/>
      <c r="AK1116" s="1063"/>
      <c r="AL1116" s="1063"/>
      <c r="AM1116" s="1063"/>
      <c r="AN1116" s="1063"/>
      <c r="AO1116" s="1063"/>
      <c r="AP1116" s="1063"/>
      <c r="AQ1116" s="1063"/>
      <c r="AR1116" s="1063"/>
      <c r="AS1116" s="1063"/>
      <c r="AT1116" s="1063"/>
      <c r="AU1116" s="1063"/>
      <c r="AV1116" s="1063"/>
    </row>
    <row r="1117" spans="1:48" s="1108" customFormat="1" ht="27.75" customHeight="1">
      <c r="A1117" s="1076"/>
      <c r="B1117" s="1074">
        <f>+'[18]Bldg+Dev'!S1929</f>
        <v>0</v>
      </c>
      <c r="D1117" s="1063"/>
      <c r="F1117" s="1076"/>
      <c r="G1117" s="1063"/>
      <c r="H1117" s="1063"/>
      <c r="I1117" s="1063"/>
      <c r="J1117" s="1063"/>
      <c r="K1117" s="1063"/>
      <c r="L1117" s="1063"/>
      <c r="M1117" s="1063"/>
      <c r="N1117" s="1063"/>
      <c r="O1117" s="1063"/>
      <c r="P1117" s="1063"/>
      <c r="Q1117" s="1063"/>
      <c r="R1117" s="1063"/>
      <c r="S1117" s="1063"/>
      <c r="T1117" s="1063"/>
      <c r="U1117" s="1063"/>
      <c r="V1117" s="1063"/>
      <c r="W1117" s="1063"/>
      <c r="X1117" s="1063"/>
      <c r="Y1117" s="1063"/>
      <c r="Z1117" s="1063"/>
      <c r="AA1117" s="1063"/>
      <c r="AB1117" s="1063"/>
      <c r="AC1117" s="1063"/>
      <c r="AD1117" s="1063"/>
      <c r="AE1117" s="1063"/>
      <c r="AF1117" s="1063"/>
      <c r="AG1117" s="1063"/>
      <c r="AH1117" s="1063"/>
      <c r="AI1117" s="1063"/>
      <c r="AJ1117" s="1063"/>
      <c r="AK1117" s="1063"/>
      <c r="AL1117" s="1063"/>
      <c r="AM1117" s="1063"/>
      <c r="AN1117" s="1063"/>
      <c r="AO1117" s="1063"/>
      <c r="AP1117" s="1063"/>
      <c r="AQ1117" s="1063"/>
      <c r="AR1117" s="1063"/>
      <c r="AS1117" s="1063"/>
      <c r="AT1117" s="1063"/>
      <c r="AU1117" s="1063"/>
      <c r="AV1117" s="1063"/>
    </row>
    <row r="1118" spans="1:48" s="1108" customFormat="1" ht="27.75" customHeight="1">
      <c r="A1118" s="1076"/>
      <c r="B1118" s="1074">
        <f>+'[18]Bldg+Dev'!S1930</f>
        <v>0</v>
      </c>
      <c r="D1118" s="1063"/>
      <c r="F1118" s="1076"/>
      <c r="G1118" s="1063"/>
      <c r="H1118" s="1063"/>
      <c r="I1118" s="1063"/>
      <c r="J1118" s="1063"/>
      <c r="K1118" s="1063"/>
      <c r="L1118" s="1063"/>
      <c r="M1118" s="1063"/>
      <c r="N1118" s="1063"/>
      <c r="O1118" s="1063"/>
      <c r="P1118" s="1063"/>
      <c r="Q1118" s="1063"/>
      <c r="R1118" s="1063"/>
      <c r="S1118" s="1063"/>
      <c r="T1118" s="1063"/>
      <c r="U1118" s="1063"/>
      <c r="V1118" s="1063"/>
      <c r="W1118" s="1063"/>
      <c r="X1118" s="1063"/>
      <c r="Y1118" s="1063"/>
      <c r="Z1118" s="1063"/>
      <c r="AA1118" s="1063"/>
      <c r="AB1118" s="1063"/>
      <c r="AC1118" s="1063"/>
      <c r="AD1118" s="1063"/>
      <c r="AE1118" s="1063"/>
      <c r="AF1118" s="1063"/>
      <c r="AG1118" s="1063"/>
      <c r="AH1118" s="1063"/>
      <c r="AI1118" s="1063"/>
      <c r="AJ1118" s="1063"/>
      <c r="AK1118" s="1063"/>
      <c r="AL1118" s="1063"/>
      <c r="AM1118" s="1063"/>
      <c r="AN1118" s="1063"/>
      <c r="AO1118" s="1063"/>
      <c r="AP1118" s="1063"/>
      <c r="AQ1118" s="1063"/>
      <c r="AR1118" s="1063"/>
      <c r="AS1118" s="1063"/>
      <c r="AT1118" s="1063"/>
      <c r="AU1118" s="1063"/>
      <c r="AV1118" s="1063"/>
    </row>
    <row r="1119" spans="1:48" s="1108" customFormat="1" ht="27.75" customHeight="1">
      <c r="A1119" s="1076"/>
      <c r="B1119" s="1074">
        <f>+'[18]Bldg+Dev'!S1931</f>
        <v>0</v>
      </c>
      <c r="D1119" s="1063"/>
      <c r="F1119" s="1076"/>
      <c r="G1119" s="1063"/>
      <c r="H1119" s="1063"/>
      <c r="I1119" s="1063"/>
      <c r="J1119" s="1063"/>
      <c r="K1119" s="1063"/>
      <c r="L1119" s="1063"/>
      <c r="M1119" s="1063"/>
      <c r="N1119" s="1063"/>
      <c r="O1119" s="1063"/>
      <c r="P1119" s="1063"/>
      <c r="Q1119" s="1063"/>
      <c r="R1119" s="1063"/>
      <c r="S1119" s="1063"/>
      <c r="T1119" s="1063"/>
      <c r="U1119" s="1063"/>
      <c r="V1119" s="1063"/>
      <c r="W1119" s="1063"/>
      <c r="X1119" s="1063"/>
      <c r="Y1119" s="1063"/>
      <c r="Z1119" s="1063"/>
      <c r="AA1119" s="1063"/>
      <c r="AB1119" s="1063"/>
      <c r="AC1119" s="1063"/>
      <c r="AD1119" s="1063"/>
      <c r="AE1119" s="1063"/>
      <c r="AF1119" s="1063"/>
      <c r="AG1119" s="1063"/>
      <c r="AH1119" s="1063"/>
      <c r="AI1119" s="1063"/>
      <c r="AJ1119" s="1063"/>
      <c r="AK1119" s="1063"/>
      <c r="AL1119" s="1063"/>
      <c r="AM1119" s="1063"/>
      <c r="AN1119" s="1063"/>
      <c r="AO1119" s="1063"/>
      <c r="AP1119" s="1063"/>
      <c r="AQ1119" s="1063"/>
      <c r="AR1119" s="1063"/>
      <c r="AS1119" s="1063"/>
      <c r="AT1119" s="1063"/>
      <c r="AU1119" s="1063"/>
      <c r="AV1119" s="1063"/>
    </row>
    <row r="1120" spans="1:48" s="1108" customFormat="1" ht="27.75" customHeight="1">
      <c r="A1120" s="1076"/>
      <c r="B1120" s="1074">
        <f>+'[18]Bldg+Dev'!S1932</f>
        <v>0</v>
      </c>
      <c r="D1120" s="1063"/>
      <c r="F1120" s="1076"/>
      <c r="G1120" s="1063"/>
      <c r="H1120" s="1063"/>
      <c r="I1120" s="1063"/>
      <c r="J1120" s="1063"/>
      <c r="K1120" s="1063"/>
      <c r="L1120" s="1063"/>
      <c r="M1120" s="1063"/>
      <c r="N1120" s="1063"/>
      <c r="O1120" s="1063"/>
      <c r="P1120" s="1063"/>
      <c r="Q1120" s="1063"/>
      <c r="R1120" s="1063"/>
      <c r="S1120" s="1063"/>
      <c r="T1120" s="1063"/>
      <c r="U1120" s="1063"/>
      <c r="V1120" s="1063"/>
      <c r="W1120" s="1063"/>
      <c r="X1120" s="1063"/>
      <c r="Y1120" s="1063"/>
      <c r="Z1120" s="1063"/>
      <c r="AA1120" s="1063"/>
      <c r="AB1120" s="1063"/>
      <c r="AC1120" s="1063"/>
      <c r="AD1120" s="1063"/>
      <c r="AE1120" s="1063"/>
      <c r="AF1120" s="1063"/>
      <c r="AG1120" s="1063"/>
      <c r="AH1120" s="1063"/>
      <c r="AI1120" s="1063"/>
      <c r="AJ1120" s="1063"/>
      <c r="AK1120" s="1063"/>
      <c r="AL1120" s="1063"/>
      <c r="AM1120" s="1063"/>
      <c r="AN1120" s="1063"/>
      <c r="AO1120" s="1063"/>
      <c r="AP1120" s="1063"/>
      <c r="AQ1120" s="1063"/>
      <c r="AR1120" s="1063"/>
      <c r="AS1120" s="1063"/>
      <c r="AT1120" s="1063"/>
      <c r="AU1120" s="1063"/>
      <c r="AV1120" s="1063"/>
    </row>
    <row r="1121" spans="1:48" s="1108" customFormat="1" ht="27.75" customHeight="1">
      <c r="A1121" s="1076"/>
      <c r="B1121" s="1074">
        <f>+'[18]Bldg+Dev'!S1933</f>
        <v>0</v>
      </c>
      <c r="D1121" s="1063"/>
      <c r="F1121" s="1076"/>
      <c r="G1121" s="1063"/>
      <c r="H1121" s="1063"/>
      <c r="I1121" s="1063"/>
      <c r="J1121" s="1063"/>
      <c r="K1121" s="1063"/>
      <c r="L1121" s="1063"/>
      <c r="M1121" s="1063"/>
      <c r="N1121" s="1063"/>
      <c r="O1121" s="1063"/>
      <c r="P1121" s="1063"/>
      <c r="Q1121" s="1063"/>
      <c r="R1121" s="1063"/>
      <c r="S1121" s="1063"/>
      <c r="T1121" s="1063"/>
      <c r="U1121" s="1063"/>
      <c r="V1121" s="1063"/>
      <c r="W1121" s="1063"/>
      <c r="X1121" s="1063"/>
      <c r="Y1121" s="1063"/>
      <c r="Z1121" s="1063"/>
      <c r="AA1121" s="1063"/>
      <c r="AB1121" s="1063"/>
      <c r="AC1121" s="1063"/>
      <c r="AD1121" s="1063"/>
      <c r="AE1121" s="1063"/>
      <c r="AF1121" s="1063"/>
      <c r="AG1121" s="1063"/>
      <c r="AH1121" s="1063"/>
      <c r="AI1121" s="1063"/>
      <c r="AJ1121" s="1063"/>
      <c r="AK1121" s="1063"/>
      <c r="AL1121" s="1063"/>
      <c r="AM1121" s="1063"/>
      <c r="AN1121" s="1063"/>
      <c r="AO1121" s="1063"/>
      <c r="AP1121" s="1063"/>
      <c r="AQ1121" s="1063"/>
      <c r="AR1121" s="1063"/>
      <c r="AS1121" s="1063"/>
      <c r="AT1121" s="1063"/>
      <c r="AU1121" s="1063"/>
      <c r="AV1121" s="1063"/>
    </row>
    <row r="1122" spans="1:48" s="1108" customFormat="1" ht="27.75" customHeight="1">
      <c r="A1122" s="1076"/>
      <c r="B1122" s="1074">
        <f>+'[18]Bldg+Dev'!S1934</f>
        <v>0</v>
      </c>
      <c r="D1122" s="1063"/>
      <c r="F1122" s="1076"/>
      <c r="G1122" s="1063"/>
      <c r="H1122" s="1063"/>
      <c r="I1122" s="1063"/>
      <c r="J1122" s="1063"/>
      <c r="K1122" s="1063"/>
      <c r="L1122" s="1063"/>
      <c r="M1122" s="1063"/>
      <c r="N1122" s="1063"/>
      <c r="O1122" s="1063"/>
      <c r="P1122" s="1063"/>
      <c r="Q1122" s="1063"/>
      <c r="R1122" s="1063"/>
      <c r="S1122" s="1063"/>
      <c r="T1122" s="1063"/>
      <c r="U1122" s="1063"/>
      <c r="V1122" s="1063"/>
      <c r="W1122" s="1063"/>
      <c r="X1122" s="1063"/>
      <c r="Y1122" s="1063"/>
      <c r="Z1122" s="1063"/>
      <c r="AA1122" s="1063"/>
      <c r="AB1122" s="1063"/>
      <c r="AC1122" s="1063"/>
      <c r="AD1122" s="1063"/>
      <c r="AE1122" s="1063"/>
      <c r="AF1122" s="1063"/>
      <c r="AG1122" s="1063"/>
      <c r="AH1122" s="1063"/>
      <c r="AI1122" s="1063"/>
      <c r="AJ1122" s="1063"/>
      <c r="AK1122" s="1063"/>
      <c r="AL1122" s="1063"/>
      <c r="AM1122" s="1063"/>
      <c r="AN1122" s="1063"/>
      <c r="AO1122" s="1063"/>
      <c r="AP1122" s="1063"/>
      <c r="AQ1122" s="1063"/>
      <c r="AR1122" s="1063"/>
      <c r="AS1122" s="1063"/>
      <c r="AT1122" s="1063"/>
      <c r="AU1122" s="1063"/>
      <c r="AV1122" s="1063"/>
    </row>
    <row r="1123" spans="1:48" s="1108" customFormat="1" ht="27.75" customHeight="1">
      <c r="A1123" s="1076"/>
      <c r="B1123" s="1074">
        <f>+'[18]Bldg+Dev'!S1935</f>
        <v>0</v>
      </c>
      <c r="D1123" s="1063"/>
      <c r="F1123" s="1076"/>
      <c r="G1123" s="1063"/>
      <c r="H1123" s="1063"/>
      <c r="I1123" s="1063"/>
      <c r="J1123" s="1063"/>
      <c r="K1123" s="1063"/>
      <c r="L1123" s="1063"/>
      <c r="M1123" s="1063"/>
      <c r="N1123" s="1063"/>
      <c r="O1123" s="1063"/>
      <c r="P1123" s="1063"/>
      <c r="Q1123" s="1063"/>
      <c r="R1123" s="1063"/>
      <c r="S1123" s="1063"/>
      <c r="T1123" s="1063"/>
      <c r="U1123" s="1063"/>
      <c r="V1123" s="1063"/>
      <c r="W1123" s="1063"/>
      <c r="X1123" s="1063"/>
      <c r="Y1123" s="1063"/>
      <c r="Z1123" s="1063"/>
      <c r="AA1123" s="1063"/>
      <c r="AB1123" s="1063"/>
      <c r="AC1123" s="1063"/>
      <c r="AD1123" s="1063"/>
      <c r="AE1123" s="1063"/>
      <c r="AF1123" s="1063"/>
      <c r="AG1123" s="1063"/>
      <c r="AH1123" s="1063"/>
      <c r="AI1123" s="1063"/>
      <c r="AJ1123" s="1063"/>
      <c r="AK1123" s="1063"/>
      <c r="AL1123" s="1063"/>
      <c r="AM1123" s="1063"/>
      <c r="AN1123" s="1063"/>
      <c r="AO1123" s="1063"/>
      <c r="AP1123" s="1063"/>
      <c r="AQ1123" s="1063"/>
      <c r="AR1123" s="1063"/>
      <c r="AS1123" s="1063"/>
      <c r="AT1123" s="1063"/>
      <c r="AU1123" s="1063"/>
      <c r="AV1123" s="1063"/>
    </row>
    <row r="1124" spans="1:48" s="1108" customFormat="1" ht="27.75" customHeight="1">
      <c r="A1124" s="1076"/>
      <c r="B1124" s="1074">
        <f>+'[18]Bldg+Dev'!S1936</f>
        <v>0</v>
      </c>
      <c r="D1124" s="1063"/>
      <c r="F1124" s="1076"/>
      <c r="G1124" s="1063"/>
      <c r="H1124" s="1063"/>
      <c r="I1124" s="1063"/>
      <c r="J1124" s="1063"/>
      <c r="K1124" s="1063"/>
      <c r="L1124" s="1063"/>
      <c r="M1124" s="1063"/>
      <c r="N1124" s="1063"/>
      <c r="O1124" s="1063"/>
      <c r="P1124" s="1063"/>
      <c r="Q1124" s="1063"/>
      <c r="R1124" s="1063"/>
      <c r="S1124" s="1063"/>
      <c r="T1124" s="1063"/>
      <c r="U1124" s="1063"/>
      <c r="V1124" s="1063"/>
      <c r="W1124" s="1063"/>
      <c r="X1124" s="1063"/>
      <c r="Y1124" s="1063"/>
      <c r="Z1124" s="1063"/>
      <c r="AA1124" s="1063"/>
      <c r="AB1124" s="1063"/>
      <c r="AC1124" s="1063"/>
      <c r="AD1124" s="1063"/>
      <c r="AE1124" s="1063"/>
      <c r="AF1124" s="1063"/>
      <c r="AG1124" s="1063"/>
      <c r="AH1124" s="1063"/>
      <c r="AI1124" s="1063"/>
      <c r="AJ1124" s="1063"/>
      <c r="AK1124" s="1063"/>
      <c r="AL1124" s="1063"/>
      <c r="AM1124" s="1063"/>
      <c r="AN1124" s="1063"/>
      <c r="AO1124" s="1063"/>
      <c r="AP1124" s="1063"/>
      <c r="AQ1124" s="1063"/>
      <c r="AR1124" s="1063"/>
      <c r="AS1124" s="1063"/>
      <c r="AT1124" s="1063"/>
      <c r="AU1124" s="1063"/>
      <c r="AV1124" s="1063"/>
    </row>
    <row r="1125" spans="1:48" s="1108" customFormat="1" ht="27.75" customHeight="1">
      <c r="A1125" s="1076"/>
      <c r="B1125" s="1074">
        <f>+'[18]Bldg+Dev'!S1937</f>
        <v>0</v>
      </c>
      <c r="D1125" s="1063"/>
      <c r="F1125" s="1076"/>
      <c r="G1125" s="1063"/>
      <c r="H1125" s="1063"/>
      <c r="I1125" s="1063"/>
      <c r="J1125" s="1063"/>
      <c r="K1125" s="1063"/>
      <c r="L1125" s="1063"/>
      <c r="M1125" s="1063"/>
      <c r="N1125" s="1063"/>
      <c r="O1125" s="1063"/>
      <c r="P1125" s="1063"/>
      <c r="Q1125" s="1063"/>
      <c r="R1125" s="1063"/>
      <c r="S1125" s="1063"/>
      <c r="T1125" s="1063"/>
      <c r="U1125" s="1063"/>
      <c r="V1125" s="1063"/>
      <c r="W1125" s="1063"/>
      <c r="X1125" s="1063"/>
      <c r="Y1125" s="1063"/>
      <c r="Z1125" s="1063"/>
      <c r="AA1125" s="1063"/>
      <c r="AB1125" s="1063"/>
      <c r="AC1125" s="1063"/>
      <c r="AD1125" s="1063"/>
      <c r="AE1125" s="1063"/>
      <c r="AF1125" s="1063"/>
      <c r="AG1125" s="1063"/>
      <c r="AH1125" s="1063"/>
      <c r="AI1125" s="1063"/>
      <c r="AJ1125" s="1063"/>
      <c r="AK1125" s="1063"/>
      <c r="AL1125" s="1063"/>
      <c r="AM1125" s="1063"/>
      <c r="AN1125" s="1063"/>
      <c r="AO1125" s="1063"/>
      <c r="AP1125" s="1063"/>
      <c r="AQ1125" s="1063"/>
      <c r="AR1125" s="1063"/>
      <c r="AS1125" s="1063"/>
      <c r="AT1125" s="1063"/>
      <c r="AU1125" s="1063"/>
      <c r="AV1125" s="1063"/>
    </row>
    <row r="1126" spans="1:48" s="1108" customFormat="1" ht="27.75" customHeight="1">
      <c r="A1126" s="1076"/>
      <c r="B1126" s="1074">
        <f>+'[18]Bldg+Dev'!S1938</f>
        <v>0</v>
      </c>
      <c r="D1126" s="1063"/>
      <c r="F1126" s="1076"/>
      <c r="G1126" s="1063"/>
      <c r="H1126" s="1063"/>
      <c r="I1126" s="1063"/>
      <c r="J1126" s="1063"/>
      <c r="K1126" s="1063"/>
      <c r="L1126" s="1063"/>
      <c r="M1126" s="1063"/>
      <c r="N1126" s="1063"/>
      <c r="O1126" s="1063"/>
      <c r="P1126" s="1063"/>
      <c r="Q1126" s="1063"/>
      <c r="R1126" s="1063"/>
      <c r="S1126" s="1063"/>
      <c r="T1126" s="1063"/>
      <c r="U1126" s="1063"/>
      <c r="V1126" s="1063"/>
      <c r="W1126" s="1063"/>
      <c r="X1126" s="1063"/>
      <c r="Y1126" s="1063"/>
      <c r="Z1126" s="1063"/>
      <c r="AA1126" s="1063"/>
      <c r="AB1126" s="1063"/>
      <c r="AC1126" s="1063"/>
      <c r="AD1126" s="1063"/>
      <c r="AE1126" s="1063"/>
      <c r="AF1126" s="1063"/>
      <c r="AG1126" s="1063"/>
      <c r="AH1126" s="1063"/>
      <c r="AI1126" s="1063"/>
      <c r="AJ1126" s="1063"/>
      <c r="AK1126" s="1063"/>
      <c r="AL1126" s="1063"/>
      <c r="AM1126" s="1063"/>
      <c r="AN1126" s="1063"/>
      <c r="AO1126" s="1063"/>
      <c r="AP1126" s="1063"/>
      <c r="AQ1126" s="1063"/>
      <c r="AR1126" s="1063"/>
      <c r="AS1126" s="1063"/>
      <c r="AT1126" s="1063"/>
      <c r="AU1126" s="1063"/>
      <c r="AV1126" s="1063"/>
    </row>
    <row r="1127" spans="1:48" s="1108" customFormat="1" ht="27.75" customHeight="1">
      <c r="A1127" s="1076"/>
      <c r="B1127" s="1074">
        <f>+'[18]Bldg+Dev'!S1939</f>
        <v>0</v>
      </c>
      <c r="D1127" s="1063"/>
      <c r="F1127" s="1076"/>
      <c r="G1127" s="1063"/>
      <c r="H1127" s="1063"/>
      <c r="I1127" s="1063"/>
      <c r="J1127" s="1063"/>
      <c r="K1127" s="1063"/>
      <c r="L1127" s="1063"/>
      <c r="M1127" s="1063"/>
      <c r="N1127" s="1063"/>
      <c r="O1127" s="1063"/>
      <c r="P1127" s="1063"/>
      <c r="Q1127" s="1063"/>
      <c r="R1127" s="1063"/>
      <c r="S1127" s="1063"/>
      <c r="T1127" s="1063"/>
      <c r="U1127" s="1063"/>
      <c r="V1127" s="1063"/>
      <c r="W1127" s="1063"/>
      <c r="X1127" s="1063"/>
      <c r="Y1127" s="1063"/>
      <c r="Z1127" s="1063"/>
      <c r="AA1127" s="1063"/>
      <c r="AB1127" s="1063"/>
      <c r="AC1127" s="1063"/>
      <c r="AD1127" s="1063"/>
      <c r="AE1127" s="1063"/>
      <c r="AF1127" s="1063"/>
      <c r="AG1127" s="1063"/>
      <c r="AH1127" s="1063"/>
      <c r="AI1127" s="1063"/>
      <c r="AJ1127" s="1063"/>
      <c r="AK1127" s="1063"/>
      <c r="AL1127" s="1063"/>
      <c r="AM1127" s="1063"/>
      <c r="AN1127" s="1063"/>
      <c r="AO1127" s="1063"/>
      <c r="AP1127" s="1063"/>
      <c r="AQ1127" s="1063"/>
      <c r="AR1127" s="1063"/>
      <c r="AS1127" s="1063"/>
      <c r="AT1127" s="1063"/>
      <c r="AU1127" s="1063"/>
      <c r="AV1127" s="1063"/>
    </row>
    <row r="1128" spans="1:48" s="1108" customFormat="1" ht="27.75" customHeight="1">
      <c r="A1128" s="1076"/>
      <c r="B1128" s="1074">
        <f>+'[18]Bldg+Dev'!S1940</f>
        <v>0</v>
      </c>
      <c r="D1128" s="1063"/>
      <c r="F1128" s="1076"/>
      <c r="G1128" s="1063"/>
      <c r="H1128" s="1063"/>
      <c r="I1128" s="1063"/>
      <c r="J1128" s="1063"/>
      <c r="K1128" s="1063"/>
      <c r="L1128" s="1063"/>
      <c r="M1128" s="1063"/>
      <c r="N1128" s="1063"/>
      <c r="O1128" s="1063"/>
      <c r="P1128" s="1063"/>
      <c r="Q1128" s="1063"/>
      <c r="R1128" s="1063"/>
      <c r="S1128" s="1063"/>
      <c r="T1128" s="1063"/>
      <c r="U1128" s="1063"/>
      <c r="V1128" s="1063"/>
      <c r="W1128" s="1063"/>
      <c r="X1128" s="1063"/>
      <c r="Y1128" s="1063"/>
      <c r="Z1128" s="1063"/>
      <c r="AA1128" s="1063"/>
      <c r="AB1128" s="1063"/>
      <c r="AC1128" s="1063"/>
      <c r="AD1128" s="1063"/>
      <c r="AE1128" s="1063"/>
      <c r="AF1128" s="1063"/>
      <c r="AG1128" s="1063"/>
      <c r="AH1128" s="1063"/>
      <c r="AI1128" s="1063"/>
      <c r="AJ1128" s="1063"/>
      <c r="AK1128" s="1063"/>
      <c r="AL1128" s="1063"/>
      <c r="AM1128" s="1063"/>
      <c r="AN1128" s="1063"/>
      <c r="AO1128" s="1063"/>
      <c r="AP1128" s="1063"/>
      <c r="AQ1128" s="1063"/>
      <c r="AR1128" s="1063"/>
      <c r="AS1128" s="1063"/>
      <c r="AT1128" s="1063"/>
      <c r="AU1128" s="1063"/>
      <c r="AV1128" s="1063"/>
    </row>
    <row r="1129" spans="1:48" s="1108" customFormat="1" ht="27.75" customHeight="1">
      <c r="A1129" s="1076"/>
      <c r="B1129" s="1074">
        <f>+'[18]Bldg+Dev'!S1941</f>
        <v>0</v>
      </c>
      <c r="D1129" s="1063"/>
      <c r="F1129" s="1076"/>
      <c r="G1129" s="1063"/>
      <c r="H1129" s="1063"/>
      <c r="I1129" s="1063"/>
      <c r="J1129" s="1063"/>
      <c r="K1129" s="1063"/>
      <c r="L1129" s="1063"/>
      <c r="M1129" s="1063"/>
      <c r="N1129" s="1063"/>
      <c r="O1129" s="1063"/>
      <c r="P1129" s="1063"/>
      <c r="Q1129" s="1063"/>
      <c r="R1129" s="1063"/>
      <c r="S1129" s="1063"/>
      <c r="T1129" s="1063"/>
      <c r="U1129" s="1063"/>
      <c r="V1129" s="1063"/>
      <c r="W1129" s="1063"/>
      <c r="X1129" s="1063"/>
      <c r="Y1129" s="1063"/>
      <c r="Z1129" s="1063"/>
      <c r="AA1129" s="1063"/>
      <c r="AB1129" s="1063"/>
      <c r="AC1129" s="1063"/>
      <c r="AD1129" s="1063"/>
      <c r="AE1129" s="1063"/>
      <c r="AF1129" s="1063"/>
      <c r="AG1129" s="1063"/>
      <c r="AH1129" s="1063"/>
      <c r="AI1129" s="1063"/>
      <c r="AJ1129" s="1063"/>
      <c r="AK1129" s="1063"/>
      <c r="AL1129" s="1063"/>
      <c r="AM1129" s="1063"/>
      <c r="AN1129" s="1063"/>
      <c r="AO1129" s="1063"/>
      <c r="AP1129" s="1063"/>
      <c r="AQ1129" s="1063"/>
      <c r="AR1129" s="1063"/>
      <c r="AS1129" s="1063"/>
      <c r="AT1129" s="1063"/>
      <c r="AU1129" s="1063"/>
      <c r="AV1129" s="1063"/>
    </row>
    <row r="1130" spans="1:48" s="1108" customFormat="1" ht="27.75" customHeight="1">
      <c r="A1130" s="1076"/>
      <c r="B1130" s="1074">
        <f>+'[18]Bldg+Dev'!S1942</f>
        <v>0</v>
      </c>
      <c r="D1130" s="1063"/>
      <c r="F1130" s="1076"/>
      <c r="G1130" s="1063"/>
      <c r="H1130" s="1063"/>
      <c r="I1130" s="1063"/>
      <c r="J1130" s="1063"/>
      <c r="K1130" s="1063"/>
      <c r="L1130" s="1063"/>
      <c r="M1130" s="1063"/>
      <c r="N1130" s="1063"/>
      <c r="O1130" s="1063"/>
      <c r="P1130" s="1063"/>
      <c r="Q1130" s="1063"/>
      <c r="R1130" s="1063"/>
      <c r="S1130" s="1063"/>
      <c r="T1130" s="1063"/>
      <c r="U1130" s="1063"/>
      <c r="V1130" s="1063"/>
      <c r="W1130" s="1063"/>
      <c r="X1130" s="1063"/>
      <c r="Y1130" s="1063"/>
      <c r="Z1130" s="1063"/>
      <c r="AA1130" s="1063"/>
      <c r="AB1130" s="1063"/>
      <c r="AC1130" s="1063"/>
      <c r="AD1130" s="1063"/>
      <c r="AE1130" s="1063"/>
      <c r="AF1130" s="1063"/>
      <c r="AG1130" s="1063"/>
      <c r="AH1130" s="1063"/>
      <c r="AI1130" s="1063"/>
      <c r="AJ1130" s="1063"/>
      <c r="AK1130" s="1063"/>
      <c r="AL1130" s="1063"/>
      <c r="AM1130" s="1063"/>
      <c r="AN1130" s="1063"/>
      <c r="AO1130" s="1063"/>
      <c r="AP1130" s="1063"/>
      <c r="AQ1130" s="1063"/>
      <c r="AR1130" s="1063"/>
      <c r="AS1130" s="1063"/>
      <c r="AT1130" s="1063"/>
      <c r="AU1130" s="1063"/>
      <c r="AV1130" s="1063"/>
    </row>
    <row r="1131" spans="1:48" s="1108" customFormat="1" ht="27.75" customHeight="1">
      <c r="A1131" s="1076"/>
      <c r="B1131" s="1074">
        <f>+'[18]Bldg+Dev'!S1943</f>
        <v>0</v>
      </c>
      <c r="D1131" s="1063"/>
      <c r="F1131" s="1076"/>
      <c r="G1131" s="1063"/>
      <c r="H1131" s="1063"/>
      <c r="I1131" s="1063"/>
      <c r="J1131" s="1063"/>
      <c r="K1131" s="1063"/>
      <c r="L1131" s="1063"/>
      <c r="M1131" s="1063"/>
      <c r="N1131" s="1063"/>
      <c r="O1131" s="1063"/>
      <c r="P1131" s="1063"/>
      <c r="Q1131" s="1063"/>
      <c r="R1131" s="1063"/>
      <c r="S1131" s="1063"/>
      <c r="T1131" s="1063"/>
      <c r="U1131" s="1063"/>
      <c r="V1131" s="1063"/>
      <c r="W1131" s="1063"/>
      <c r="X1131" s="1063"/>
      <c r="Y1131" s="1063"/>
      <c r="Z1131" s="1063"/>
      <c r="AA1131" s="1063"/>
      <c r="AB1131" s="1063"/>
      <c r="AC1131" s="1063"/>
      <c r="AD1131" s="1063"/>
      <c r="AE1131" s="1063"/>
      <c r="AF1131" s="1063"/>
      <c r="AG1131" s="1063"/>
      <c r="AH1131" s="1063"/>
      <c r="AI1131" s="1063"/>
      <c r="AJ1131" s="1063"/>
      <c r="AK1131" s="1063"/>
      <c r="AL1131" s="1063"/>
      <c r="AM1131" s="1063"/>
      <c r="AN1131" s="1063"/>
      <c r="AO1131" s="1063"/>
      <c r="AP1131" s="1063"/>
      <c r="AQ1131" s="1063"/>
      <c r="AR1131" s="1063"/>
      <c r="AS1131" s="1063"/>
      <c r="AT1131" s="1063"/>
      <c r="AU1131" s="1063"/>
      <c r="AV1131" s="1063"/>
    </row>
    <row r="1132" spans="1:48" s="1108" customFormat="1" ht="27.75" customHeight="1">
      <c r="A1132" s="1076"/>
      <c r="B1132" s="1074">
        <f>+'[18]Bldg+Dev'!S1944</f>
        <v>0</v>
      </c>
      <c r="D1132" s="1063"/>
      <c r="F1132" s="1076"/>
      <c r="G1132" s="1063"/>
      <c r="H1132" s="1063"/>
      <c r="I1132" s="1063"/>
      <c r="J1132" s="1063"/>
      <c r="K1132" s="1063"/>
      <c r="L1132" s="1063"/>
      <c r="M1132" s="1063"/>
      <c r="N1132" s="1063"/>
      <c r="O1132" s="1063"/>
      <c r="P1132" s="1063"/>
      <c r="Q1132" s="1063"/>
      <c r="R1132" s="1063"/>
      <c r="S1132" s="1063"/>
      <c r="T1132" s="1063"/>
      <c r="U1132" s="1063"/>
      <c r="V1132" s="1063"/>
      <c r="W1132" s="1063"/>
      <c r="X1132" s="1063"/>
      <c r="Y1132" s="1063"/>
      <c r="Z1132" s="1063"/>
      <c r="AA1132" s="1063"/>
      <c r="AB1132" s="1063"/>
      <c r="AC1132" s="1063"/>
      <c r="AD1132" s="1063"/>
      <c r="AE1132" s="1063"/>
      <c r="AF1132" s="1063"/>
      <c r="AG1132" s="1063"/>
      <c r="AH1132" s="1063"/>
      <c r="AI1132" s="1063"/>
      <c r="AJ1132" s="1063"/>
      <c r="AK1132" s="1063"/>
      <c r="AL1132" s="1063"/>
      <c r="AM1132" s="1063"/>
      <c r="AN1132" s="1063"/>
      <c r="AO1132" s="1063"/>
      <c r="AP1132" s="1063"/>
      <c r="AQ1132" s="1063"/>
      <c r="AR1132" s="1063"/>
      <c r="AS1132" s="1063"/>
      <c r="AT1132" s="1063"/>
      <c r="AU1132" s="1063"/>
      <c r="AV1132" s="1063"/>
    </row>
    <row r="1133" spans="1:48" s="1108" customFormat="1" ht="27.75" customHeight="1">
      <c r="A1133" s="1076"/>
      <c r="B1133" s="1074">
        <f>+'[18]Bldg+Dev'!S1945</f>
        <v>0</v>
      </c>
      <c r="D1133" s="1063"/>
      <c r="F1133" s="1076"/>
      <c r="G1133" s="1063"/>
      <c r="H1133" s="1063"/>
      <c r="I1133" s="1063"/>
      <c r="J1133" s="1063"/>
      <c r="K1133" s="1063"/>
      <c r="L1133" s="1063"/>
      <c r="M1133" s="1063"/>
      <c r="N1133" s="1063"/>
      <c r="O1133" s="1063"/>
      <c r="P1133" s="1063"/>
      <c r="Q1133" s="1063"/>
      <c r="R1133" s="1063"/>
      <c r="S1133" s="1063"/>
      <c r="T1133" s="1063"/>
      <c r="U1133" s="1063"/>
      <c r="V1133" s="1063"/>
      <c r="W1133" s="1063"/>
      <c r="X1133" s="1063"/>
      <c r="Y1133" s="1063"/>
      <c r="Z1133" s="1063"/>
      <c r="AA1133" s="1063"/>
      <c r="AB1133" s="1063"/>
      <c r="AC1133" s="1063"/>
      <c r="AD1133" s="1063"/>
      <c r="AE1133" s="1063"/>
      <c r="AF1133" s="1063"/>
      <c r="AG1133" s="1063"/>
      <c r="AH1133" s="1063"/>
      <c r="AI1133" s="1063"/>
      <c r="AJ1133" s="1063"/>
      <c r="AK1133" s="1063"/>
      <c r="AL1133" s="1063"/>
      <c r="AM1133" s="1063"/>
      <c r="AN1133" s="1063"/>
      <c r="AO1133" s="1063"/>
      <c r="AP1133" s="1063"/>
      <c r="AQ1133" s="1063"/>
      <c r="AR1133" s="1063"/>
      <c r="AS1133" s="1063"/>
      <c r="AT1133" s="1063"/>
      <c r="AU1133" s="1063"/>
      <c r="AV1133" s="1063"/>
    </row>
    <row r="1134" spans="1:48" s="1108" customFormat="1" ht="27.75" customHeight="1">
      <c r="A1134" s="1076"/>
      <c r="B1134" s="1074">
        <f>+'[18]Bldg+Dev'!S1946</f>
        <v>0</v>
      </c>
      <c r="D1134" s="1063"/>
      <c r="F1134" s="1076"/>
      <c r="G1134" s="1063"/>
      <c r="H1134" s="1063"/>
      <c r="I1134" s="1063"/>
      <c r="J1134" s="1063"/>
      <c r="K1134" s="1063"/>
      <c r="L1134" s="1063"/>
      <c r="M1134" s="1063"/>
      <c r="N1134" s="1063"/>
      <c r="O1134" s="1063"/>
      <c r="P1134" s="1063"/>
      <c r="Q1134" s="1063"/>
      <c r="R1134" s="1063"/>
      <c r="S1134" s="1063"/>
      <c r="T1134" s="1063"/>
      <c r="U1134" s="1063"/>
      <c r="V1134" s="1063"/>
      <c r="W1134" s="1063"/>
      <c r="X1134" s="1063"/>
      <c r="Y1134" s="1063"/>
      <c r="Z1134" s="1063"/>
      <c r="AA1134" s="1063"/>
      <c r="AB1134" s="1063"/>
      <c r="AC1134" s="1063"/>
      <c r="AD1134" s="1063"/>
      <c r="AE1134" s="1063"/>
      <c r="AF1134" s="1063"/>
      <c r="AG1134" s="1063"/>
      <c r="AH1134" s="1063"/>
      <c r="AI1134" s="1063"/>
      <c r="AJ1134" s="1063"/>
      <c r="AK1134" s="1063"/>
      <c r="AL1134" s="1063"/>
      <c r="AM1134" s="1063"/>
      <c r="AN1134" s="1063"/>
      <c r="AO1134" s="1063"/>
      <c r="AP1134" s="1063"/>
      <c r="AQ1134" s="1063"/>
      <c r="AR1134" s="1063"/>
      <c r="AS1134" s="1063"/>
      <c r="AT1134" s="1063"/>
      <c r="AU1134" s="1063"/>
      <c r="AV1134" s="1063"/>
    </row>
    <row r="1135" spans="1:48" s="1108" customFormat="1" ht="27.75" customHeight="1">
      <c r="A1135" s="1076"/>
      <c r="B1135" s="1074">
        <f>+'[18]Bldg+Dev'!S1947</f>
        <v>0</v>
      </c>
      <c r="D1135" s="1063"/>
      <c r="F1135" s="1076"/>
      <c r="G1135" s="1063"/>
      <c r="H1135" s="1063"/>
      <c r="I1135" s="1063"/>
      <c r="J1135" s="1063"/>
      <c r="K1135" s="1063"/>
      <c r="L1135" s="1063"/>
      <c r="M1135" s="1063"/>
      <c r="N1135" s="1063"/>
      <c r="O1135" s="1063"/>
      <c r="P1135" s="1063"/>
      <c r="Q1135" s="1063"/>
      <c r="R1135" s="1063"/>
      <c r="S1135" s="1063"/>
      <c r="T1135" s="1063"/>
      <c r="U1135" s="1063"/>
      <c r="V1135" s="1063"/>
      <c r="W1135" s="1063"/>
      <c r="X1135" s="1063"/>
      <c r="Y1135" s="1063"/>
      <c r="Z1135" s="1063"/>
      <c r="AA1135" s="1063"/>
      <c r="AB1135" s="1063"/>
      <c r="AC1135" s="1063"/>
      <c r="AD1135" s="1063"/>
      <c r="AE1135" s="1063"/>
      <c r="AF1135" s="1063"/>
      <c r="AG1135" s="1063"/>
      <c r="AH1135" s="1063"/>
      <c r="AI1135" s="1063"/>
      <c r="AJ1135" s="1063"/>
      <c r="AK1135" s="1063"/>
      <c r="AL1135" s="1063"/>
      <c r="AM1135" s="1063"/>
      <c r="AN1135" s="1063"/>
      <c r="AO1135" s="1063"/>
      <c r="AP1135" s="1063"/>
      <c r="AQ1135" s="1063"/>
      <c r="AR1135" s="1063"/>
      <c r="AS1135" s="1063"/>
      <c r="AT1135" s="1063"/>
      <c r="AU1135" s="1063"/>
      <c r="AV1135" s="1063"/>
    </row>
    <row r="1136" spans="1:48" s="1108" customFormat="1" ht="27.75" customHeight="1">
      <c r="A1136" s="1076"/>
      <c r="B1136" s="1074">
        <f>+'[18]Bldg+Dev'!S1948</f>
        <v>0</v>
      </c>
      <c r="D1136" s="1063"/>
      <c r="F1136" s="1076"/>
      <c r="G1136" s="1063"/>
      <c r="H1136" s="1063"/>
      <c r="I1136" s="1063"/>
      <c r="J1136" s="1063"/>
      <c r="K1136" s="1063"/>
      <c r="L1136" s="1063"/>
      <c r="M1136" s="1063"/>
      <c r="N1136" s="1063"/>
      <c r="O1136" s="1063"/>
      <c r="P1136" s="1063"/>
      <c r="Q1136" s="1063"/>
      <c r="R1136" s="1063"/>
      <c r="S1136" s="1063"/>
      <c r="T1136" s="1063"/>
      <c r="U1136" s="1063"/>
      <c r="V1136" s="1063"/>
      <c r="W1136" s="1063"/>
      <c r="X1136" s="1063"/>
      <c r="Y1136" s="1063"/>
      <c r="Z1136" s="1063"/>
      <c r="AA1136" s="1063"/>
      <c r="AB1136" s="1063"/>
      <c r="AC1136" s="1063"/>
      <c r="AD1136" s="1063"/>
      <c r="AE1136" s="1063"/>
      <c r="AF1136" s="1063"/>
      <c r="AG1136" s="1063"/>
      <c r="AH1136" s="1063"/>
      <c r="AI1136" s="1063"/>
      <c r="AJ1136" s="1063"/>
      <c r="AK1136" s="1063"/>
      <c r="AL1136" s="1063"/>
      <c r="AM1136" s="1063"/>
      <c r="AN1136" s="1063"/>
      <c r="AO1136" s="1063"/>
      <c r="AP1136" s="1063"/>
      <c r="AQ1136" s="1063"/>
      <c r="AR1136" s="1063"/>
      <c r="AS1136" s="1063"/>
      <c r="AT1136" s="1063"/>
      <c r="AU1136" s="1063"/>
      <c r="AV1136" s="1063"/>
    </row>
    <row r="1137" spans="1:48" s="1108" customFormat="1" ht="27.75" customHeight="1">
      <c r="A1137" s="1076"/>
      <c r="B1137" s="1074">
        <f>+'[18]Bldg+Dev'!S1949</f>
        <v>0</v>
      </c>
      <c r="D1137" s="1063"/>
      <c r="F1137" s="1076"/>
      <c r="G1137" s="1063"/>
      <c r="H1137" s="1063"/>
      <c r="I1137" s="1063"/>
      <c r="J1137" s="1063"/>
      <c r="K1137" s="1063"/>
      <c r="L1137" s="1063"/>
      <c r="M1137" s="1063"/>
      <c r="N1137" s="1063"/>
      <c r="O1137" s="1063"/>
      <c r="P1137" s="1063"/>
      <c r="Q1137" s="1063"/>
      <c r="R1137" s="1063"/>
      <c r="S1137" s="1063"/>
      <c r="T1137" s="1063"/>
      <c r="U1137" s="1063"/>
      <c r="V1137" s="1063"/>
      <c r="W1137" s="1063"/>
      <c r="X1137" s="1063"/>
      <c r="Y1137" s="1063"/>
      <c r="Z1137" s="1063"/>
      <c r="AA1137" s="1063"/>
      <c r="AB1137" s="1063"/>
      <c r="AC1137" s="1063"/>
      <c r="AD1137" s="1063"/>
      <c r="AE1137" s="1063"/>
      <c r="AF1137" s="1063"/>
      <c r="AG1137" s="1063"/>
      <c r="AH1137" s="1063"/>
      <c r="AI1137" s="1063"/>
      <c r="AJ1137" s="1063"/>
      <c r="AK1137" s="1063"/>
      <c r="AL1137" s="1063"/>
      <c r="AM1137" s="1063"/>
      <c r="AN1137" s="1063"/>
      <c r="AO1137" s="1063"/>
      <c r="AP1137" s="1063"/>
      <c r="AQ1137" s="1063"/>
      <c r="AR1137" s="1063"/>
      <c r="AS1137" s="1063"/>
      <c r="AT1137" s="1063"/>
      <c r="AU1137" s="1063"/>
      <c r="AV1137" s="1063"/>
    </row>
    <row r="1138" spans="1:48" s="1108" customFormat="1" ht="27.75" customHeight="1">
      <c r="A1138" s="1076"/>
      <c r="B1138" s="1074">
        <f>+'[18]Bldg+Dev'!S1950</f>
        <v>0</v>
      </c>
      <c r="D1138" s="1063"/>
      <c r="F1138" s="1076"/>
      <c r="G1138" s="1063"/>
      <c r="H1138" s="1063"/>
      <c r="I1138" s="1063"/>
      <c r="J1138" s="1063"/>
      <c r="K1138" s="1063"/>
      <c r="L1138" s="1063"/>
      <c r="M1138" s="1063"/>
      <c r="N1138" s="1063"/>
      <c r="O1138" s="1063"/>
      <c r="P1138" s="1063"/>
      <c r="Q1138" s="1063"/>
      <c r="R1138" s="1063"/>
      <c r="S1138" s="1063"/>
      <c r="T1138" s="1063"/>
      <c r="U1138" s="1063"/>
      <c r="V1138" s="1063"/>
      <c r="W1138" s="1063"/>
      <c r="X1138" s="1063"/>
      <c r="Y1138" s="1063"/>
      <c r="Z1138" s="1063"/>
      <c r="AA1138" s="1063"/>
      <c r="AB1138" s="1063"/>
      <c r="AC1138" s="1063"/>
      <c r="AD1138" s="1063"/>
      <c r="AE1138" s="1063"/>
      <c r="AF1138" s="1063"/>
      <c r="AG1138" s="1063"/>
      <c r="AH1138" s="1063"/>
      <c r="AI1138" s="1063"/>
      <c r="AJ1138" s="1063"/>
      <c r="AK1138" s="1063"/>
      <c r="AL1138" s="1063"/>
      <c r="AM1138" s="1063"/>
      <c r="AN1138" s="1063"/>
      <c r="AO1138" s="1063"/>
      <c r="AP1138" s="1063"/>
      <c r="AQ1138" s="1063"/>
      <c r="AR1138" s="1063"/>
      <c r="AS1138" s="1063"/>
      <c r="AT1138" s="1063"/>
      <c r="AU1138" s="1063"/>
      <c r="AV1138" s="1063"/>
    </row>
    <row r="1139" spans="1:48" s="1108" customFormat="1" ht="27.75" customHeight="1">
      <c r="A1139" s="1076"/>
      <c r="B1139" s="1074">
        <f>+'[18]Bldg+Dev'!S1951</f>
        <v>0</v>
      </c>
      <c r="D1139" s="1063"/>
      <c r="F1139" s="1076"/>
      <c r="G1139" s="1063"/>
      <c r="H1139" s="1063"/>
      <c r="I1139" s="1063"/>
      <c r="J1139" s="1063"/>
      <c r="K1139" s="1063"/>
      <c r="L1139" s="1063"/>
      <c r="M1139" s="1063"/>
      <c r="N1139" s="1063"/>
      <c r="O1139" s="1063"/>
      <c r="P1139" s="1063"/>
      <c r="Q1139" s="1063"/>
      <c r="R1139" s="1063"/>
      <c r="S1139" s="1063"/>
      <c r="T1139" s="1063"/>
      <c r="U1139" s="1063"/>
      <c r="V1139" s="1063"/>
      <c r="W1139" s="1063"/>
      <c r="X1139" s="1063"/>
      <c r="Y1139" s="1063"/>
      <c r="Z1139" s="1063"/>
      <c r="AA1139" s="1063"/>
      <c r="AB1139" s="1063"/>
      <c r="AC1139" s="1063"/>
      <c r="AD1139" s="1063"/>
      <c r="AE1139" s="1063"/>
      <c r="AF1139" s="1063"/>
      <c r="AG1139" s="1063"/>
      <c r="AH1139" s="1063"/>
      <c r="AI1139" s="1063"/>
      <c r="AJ1139" s="1063"/>
      <c r="AK1139" s="1063"/>
      <c r="AL1139" s="1063"/>
      <c r="AM1139" s="1063"/>
      <c r="AN1139" s="1063"/>
      <c r="AO1139" s="1063"/>
      <c r="AP1139" s="1063"/>
      <c r="AQ1139" s="1063"/>
      <c r="AR1139" s="1063"/>
      <c r="AS1139" s="1063"/>
      <c r="AT1139" s="1063"/>
      <c r="AU1139" s="1063"/>
      <c r="AV1139" s="1063"/>
    </row>
    <row r="1140" spans="1:48" s="1108" customFormat="1" ht="27.75" customHeight="1">
      <c r="A1140" s="1076"/>
      <c r="B1140" s="1074">
        <f>+'[18]Bldg+Dev'!S1952</f>
        <v>0</v>
      </c>
      <c r="D1140" s="1063"/>
      <c r="F1140" s="1076"/>
      <c r="G1140" s="1063"/>
      <c r="H1140" s="1063"/>
      <c r="I1140" s="1063"/>
      <c r="J1140" s="1063"/>
      <c r="K1140" s="1063"/>
      <c r="L1140" s="1063"/>
      <c r="M1140" s="1063"/>
      <c r="N1140" s="1063"/>
      <c r="O1140" s="1063"/>
      <c r="P1140" s="1063"/>
      <c r="Q1140" s="1063"/>
      <c r="R1140" s="1063"/>
      <c r="S1140" s="1063"/>
      <c r="T1140" s="1063"/>
      <c r="U1140" s="1063"/>
      <c r="V1140" s="1063"/>
      <c r="W1140" s="1063"/>
      <c r="X1140" s="1063"/>
      <c r="Y1140" s="1063"/>
      <c r="Z1140" s="1063"/>
      <c r="AA1140" s="1063"/>
      <c r="AB1140" s="1063"/>
      <c r="AC1140" s="1063"/>
      <c r="AD1140" s="1063"/>
      <c r="AE1140" s="1063"/>
      <c r="AF1140" s="1063"/>
      <c r="AG1140" s="1063"/>
      <c r="AH1140" s="1063"/>
      <c r="AI1140" s="1063"/>
      <c r="AJ1140" s="1063"/>
      <c r="AK1140" s="1063"/>
      <c r="AL1140" s="1063"/>
      <c r="AM1140" s="1063"/>
      <c r="AN1140" s="1063"/>
      <c r="AO1140" s="1063"/>
      <c r="AP1140" s="1063"/>
      <c r="AQ1140" s="1063"/>
      <c r="AR1140" s="1063"/>
      <c r="AS1140" s="1063"/>
      <c r="AT1140" s="1063"/>
      <c r="AU1140" s="1063"/>
      <c r="AV1140" s="1063"/>
    </row>
    <row r="1141" spans="1:48" s="1108" customFormat="1" ht="27.75" customHeight="1">
      <c r="A1141" s="1076"/>
      <c r="B1141" s="1074">
        <f>+'[18]Bldg+Dev'!S1953</f>
        <v>0</v>
      </c>
      <c r="D1141" s="1063"/>
      <c r="F1141" s="1076"/>
      <c r="G1141" s="1063"/>
      <c r="H1141" s="1063"/>
      <c r="I1141" s="1063"/>
      <c r="J1141" s="1063"/>
      <c r="K1141" s="1063"/>
      <c r="L1141" s="1063"/>
      <c r="M1141" s="1063"/>
      <c r="N1141" s="1063"/>
      <c r="O1141" s="1063"/>
      <c r="P1141" s="1063"/>
      <c r="Q1141" s="1063"/>
      <c r="R1141" s="1063"/>
      <c r="S1141" s="1063"/>
      <c r="T1141" s="1063"/>
      <c r="U1141" s="1063"/>
      <c r="V1141" s="1063"/>
      <c r="W1141" s="1063"/>
      <c r="X1141" s="1063"/>
      <c r="Y1141" s="1063"/>
      <c r="Z1141" s="1063"/>
      <c r="AA1141" s="1063"/>
      <c r="AB1141" s="1063"/>
      <c r="AC1141" s="1063"/>
      <c r="AD1141" s="1063"/>
      <c r="AE1141" s="1063"/>
      <c r="AF1141" s="1063"/>
      <c r="AG1141" s="1063"/>
      <c r="AH1141" s="1063"/>
      <c r="AI1141" s="1063"/>
      <c r="AJ1141" s="1063"/>
      <c r="AK1141" s="1063"/>
      <c r="AL1141" s="1063"/>
      <c r="AM1141" s="1063"/>
      <c r="AN1141" s="1063"/>
      <c r="AO1141" s="1063"/>
      <c r="AP1141" s="1063"/>
      <c r="AQ1141" s="1063"/>
      <c r="AR1141" s="1063"/>
      <c r="AS1141" s="1063"/>
      <c r="AT1141" s="1063"/>
      <c r="AU1141" s="1063"/>
      <c r="AV1141" s="1063"/>
    </row>
    <row r="1142" spans="1:48" s="1108" customFormat="1" ht="27.75" customHeight="1">
      <c r="A1142" s="1076"/>
      <c r="B1142" s="1074">
        <f>+'[18]Bldg+Dev'!S1954</f>
        <v>0</v>
      </c>
      <c r="D1142" s="1063"/>
      <c r="F1142" s="1076"/>
      <c r="G1142" s="1063"/>
      <c r="H1142" s="1063"/>
      <c r="I1142" s="1063"/>
      <c r="J1142" s="1063"/>
      <c r="K1142" s="1063"/>
      <c r="L1142" s="1063"/>
      <c r="M1142" s="1063"/>
      <c r="N1142" s="1063"/>
      <c r="O1142" s="1063"/>
      <c r="P1142" s="1063"/>
      <c r="Q1142" s="1063"/>
      <c r="R1142" s="1063"/>
      <c r="S1142" s="1063"/>
      <c r="T1142" s="1063"/>
      <c r="U1142" s="1063"/>
      <c r="V1142" s="1063"/>
      <c r="W1142" s="1063"/>
      <c r="X1142" s="1063"/>
      <c r="Y1142" s="1063"/>
      <c r="Z1142" s="1063"/>
      <c r="AA1142" s="1063"/>
      <c r="AB1142" s="1063"/>
      <c r="AC1142" s="1063"/>
      <c r="AD1142" s="1063"/>
      <c r="AE1142" s="1063"/>
      <c r="AF1142" s="1063"/>
      <c r="AG1142" s="1063"/>
      <c r="AH1142" s="1063"/>
      <c r="AI1142" s="1063"/>
      <c r="AJ1142" s="1063"/>
      <c r="AK1142" s="1063"/>
      <c r="AL1142" s="1063"/>
      <c r="AM1142" s="1063"/>
      <c r="AN1142" s="1063"/>
      <c r="AO1142" s="1063"/>
      <c r="AP1142" s="1063"/>
      <c r="AQ1142" s="1063"/>
      <c r="AR1142" s="1063"/>
      <c r="AS1142" s="1063"/>
      <c r="AT1142" s="1063"/>
      <c r="AU1142" s="1063"/>
      <c r="AV1142" s="1063"/>
    </row>
    <row r="1143" spans="1:48" s="1108" customFormat="1" ht="27.75" customHeight="1">
      <c r="A1143" s="1076"/>
      <c r="B1143" s="1074">
        <f>+'[18]Bldg+Dev'!S1955</f>
        <v>0</v>
      </c>
      <c r="D1143" s="1063"/>
      <c r="F1143" s="1076"/>
      <c r="G1143" s="1063"/>
      <c r="H1143" s="1063"/>
      <c r="I1143" s="1063"/>
      <c r="J1143" s="1063"/>
      <c r="K1143" s="1063"/>
      <c r="L1143" s="1063"/>
      <c r="M1143" s="1063"/>
      <c r="N1143" s="1063"/>
      <c r="O1143" s="1063"/>
      <c r="P1143" s="1063"/>
      <c r="Q1143" s="1063"/>
      <c r="R1143" s="1063"/>
      <c r="S1143" s="1063"/>
      <c r="T1143" s="1063"/>
      <c r="U1143" s="1063"/>
      <c r="V1143" s="1063"/>
      <c r="W1143" s="1063"/>
      <c r="X1143" s="1063"/>
      <c r="Y1143" s="1063"/>
      <c r="Z1143" s="1063"/>
      <c r="AA1143" s="1063"/>
      <c r="AB1143" s="1063"/>
      <c r="AC1143" s="1063"/>
      <c r="AD1143" s="1063"/>
      <c r="AE1143" s="1063"/>
      <c r="AF1143" s="1063"/>
      <c r="AG1143" s="1063"/>
      <c r="AH1143" s="1063"/>
      <c r="AI1143" s="1063"/>
      <c r="AJ1143" s="1063"/>
      <c r="AK1143" s="1063"/>
      <c r="AL1143" s="1063"/>
      <c r="AM1143" s="1063"/>
      <c r="AN1143" s="1063"/>
      <c r="AO1143" s="1063"/>
      <c r="AP1143" s="1063"/>
      <c r="AQ1143" s="1063"/>
      <c r="AR1143" s="1063"/>
      <c r="AS1143" s="1063"/>
      <c r="AT1143" s="1063"/>
      <c r="AU1143" s="1063"/>
      <c r="AV1143" s="1063"/>
    </row>
    <row r="1144" spans="1:48" s="1108" customFormat="1" ht="27.75" customHeight="1">
      <c r="A1144" s="1076"/>
      <c r="B1144" s="1074">
        <f>+'[18]Bldg+Dev'!S1956</f>
        <v>0</v>
      </c>
      <c r="D1144" s="1063"/>
      <c r="F1144" s="1076"/>
      <c r="G1144" s="1063"/>
      <c r="H1144" s="1063"/>
      <c r="I1144" s="1063"/>
      <c r="J1144" s="1063"/>
      <c r="K1144" s="1063"/>
      <c r="L1144" s="1063"/>
      <c r="M1144" s="1063"/>
      <c r="N1144" s="1063"/>
      <c r="O1144" s="1063"/>
      <c r="P1144" s="1063"/>
      <c r="Q1144" s="1063"/>
      <c r="R1144" s="1063"/>
      <c r="S1144" s="1063"/>
      <c r="T1144" s="1063"/>
      <c r="U1144" s="1063"/>
      <c r="V1144" s="1063"/>
      <c r="W1144" s="1063"/>
      <c r="X1144" s="1063"/>
      <c r="Y1144" s="1063"/>
      <c r="Z1144" s="1063"/>
      <c r="AA1144" s="1063"/>
      <c r="AB1144" s="1063"/>
      <c r="AC1144" s="1063"/>
      <c r="AD1144" s="1063"/>
      <c r="AE1144" s="1063"/>
      <c r="AF1144" s="1063"/>
      <c r="AG1144" s="1063"/>
      <c r="AH1144" s="1063"/>
      <c r="AI1144" s="1063"/>
      <c r="AJ1144" s="1063"/>
      <c r="AK1144" s="1063"/>
      <c r="AL1144" s="1063"/>
      <c r="AM1144" s="1063"/>
      <c r="AN1144" s="1063"/>
      <c r="AO1144" s="1063"/>
      <c r="AP1144" s="1063"/>
      <c r="AQ1144" s="1063"/>
      <c r="AR1144" s="1063"/>
      <c r="AS1144" s="1063"/>
      <c r="AT1144" s="1063"/>
      <c r="AU1144" s="1063"/>
      <c r="AV1144" s="1063"/>
    </row>
    <row r="1145" spans="1:48" s="1108" customFormat="1" ht="27.75" customHeight="1">
      <c r="A1145" s="1076"/>
      <c r="B1145" s="1074">
        <f>+'[18]Bldg+Dev'!S1957</f>
        <v>0</v>
      </c>
      <c r="D1145" s="1063"/>
      <c r="F1145" s="1076"/>
      <c r="G1145" s="1063"/>
      <c r="H1145" s="1063"/>
      <c r="I1145" s="1063"/>
      <c r="J1145" s="1063"/>
      <c r="K1145" s="1063"/>
      <c r="L1145" s="1063"/>
      <c r="M1145" s="1063"/>
      <c r="N1145" s="1063"/>
      <c r="O1145" s="1063"/>
      <c r="P1145" s="1063"/>
      <c r="Q1145" s="1063"/>
      <c r="R1145" s="1063"/>
      <c r="S1145" s="1063"/>
      <c r="T1145" s="1063"/>
      <c r="U1145" s="1063"/>
      <c r="V1145" s="1063"/>
      <c r="W1145" s="1063"/>
      <c r="X1145" s="1063"/>
      <c r="Y1145" s="1063"/>
      <c r="Z1145" s="1063"/>
      <c r="AA1145" s="1063"/>
      <c r="AB1145" s="1063"/>
      <c r="AC1145" s="1063"/>
      <c r="AD1145" s="1063"/>
      <c r="AE1145" s="1063"/>
      <c r="AF1145" s="1063"/>
      <c r="AG1145" s="1063"/>
      <c r="AH1145" s="1063"/>
      <c r="AI1145" s="1063"/>
      <c r="AJ1145" s="1063"/>
      <c r="AK1145" s="1063"/>
      <c r="AL1145" s="1063"/>
      <c r="AM1145" s="1063"/>
      <c r="AN1145" s="1063"/>
      <c r="AO1145" s="1063"/>
      <c r="AP1145" s="1063"/>
      <c r="AQ1145" s="1063"/>
      <c r="AR1145" s="1063"/>
      <c r="AS1145" s="1063"/>
      <c r="AT1145" s="1063"/>
      <c r="AU1145" s="1063"/>
      <c r="AV1145" s="1063"/>
    </row>
    <row r="1146" spans="1:48" s="1108" customFormat="1" ht="27.75" customHeight="1">
      <c r="A1146" s="1076"/>
      <c r="B1146" s="1074">
        <f>+'[18]Bldg+Dev'!S1958</f>
        <v>0</v>
      </c>
      <c r="D1146" s="1063"/>
      <c r="F1146" s="1076"/>
      <c r="G1146" s="1063"/>
      <c r="H1146" s="1063"/>
      <c r="I1146" s="1063"/>
      <c r="J1146" s="1063"/>
      <c r="K1146" s="1063"/>
      <c r="L1146" s="1063"/>
      <c r="M1146" s="1063"/>
      <c r="N1146" s="1063"/>
      <c r="O1146" s="1063"/>
      <c r="P1146" s="1063"/>
      <c r="Q1146" s="1063"/>
      <c r="R1146" s="1063"/>
      <c r="S1146" s="1063"/>
      <c r="T1146" s="1063"/>
      <c r="U1146" s="1063"/>
      <c r="V1146" s="1063"/>
      <c r="W1146" s="1063"/>
      <c r="X1146" s="1063"/>
      <c r="Y1146" s="1063"/>
      <c r="Z1146" s="1063"/>
      <c r="AA1146" s="1063"/>
      <c r="AB1146" s="1063"/>
      <c r="AC1146" s="1063"/>
      <c r="AD1146" s="1063"/>
      <c r="AE1146" s="1063"/>
      <c r="AF1146" s="1063"/>
      <c r="AG1146" s="1063"/>
      <c r="AH1146" s="1063"/>
      <c r="AI1146" s="1063"/>
      <c r="AJ1146" s="1063"/>
      <c r="AK1146" s="1063"/>
      <c r="AL1146" s="1063"/>
      <c r="AM1146" s="1063"/>
      <c r="AN1146" s="1063"/>
      <c r="AO1146" s="1063"/>
      <c r="AP1146" s="1063"/>
      <c r="AQ1146" s="1063"/>
      <c r="AR1146" s="1063"/>
      <c r="AS1146" s="1063"/>
      <c r="AT1146" s="1063"/>
      <c r="AU1146" s="1063"/>
      <c r="AV1146" s="1063"/>
    </row>
    <row r="1147" spans="1:48" s="1108" customFormat="1" ht="27.75" customHeight="1">
      <c r="A1147" s="1076"/>
      <c r="B1147" s="1074">
        <f>+'[18]Bldg+Dev'!S1959</f>
        <v>0</v>
      </c>
      <c r="D1147" s="1063"/>
      <c r="F1147" s="1076"/>
      <c r="G1147" s="1063"/>
      <c r="H1147" s="1063"/>
      <c r="I1147" s="1063"/>
      <c r="J1147" s="1063"/>
      <c r="K1147" s="1063"/>
      <c r="L1147" s="1063"/>
      <c r="M1147" s="1063"/>
      <c r="N1147" s="1063"/>
      <c r="O1147" s="1063"/>
      <c r="P1147" s="1063"/>
      <c r="Q1147" s="1063"/>
      <c r="R1147" s="1063"/>
      <c r="S1147" s="1063"/>
      <c r="T1147" s="1063"/>
      <c r="U1147" s="1063"/>
      <c r="V1147" s="1063"/>
      <c r="W1147" s="1063"/>
      <c r="X1147" s="1063"/>
      <c r="Y1147" s="1063"/>
      <c r="Z1147" s="1063"/>
      <c r="AA1147" s="1063"/>
      <c r="AB1147" s="1063"/>
      <c r="AC1147" s="1063"/>
      <c r="AD1147" s="1063"/>
      <c r="AE1147" s="1063"/>
      <c r="AF1147" s="1063"/>
      <c r="AG1147" s="1063"/>
      <c r="AH1147" s="1063"/>
      <c r="AI1147" s="1063"/>
      <c r="AJ1147" s="1063"/>
      <c r="AK1147" s="1063"/>
      <c r="AL1147" s="1063"/>
      <c r="AM1147" s="1063"/>
      <c r="AN1147" s="1063"/>
      <c r="AO1147" s="1063"/>
      <c r="AP1147" s="1063"/>
      <c r="AQ1147" s="1063"/>
      <c r="AR1147" s="1063"/>
      <c r="AS1147" s="1063"/>
      <c r="AT1147" s="1063"/>
      <c r="AU1147" s="1063"/>
      <c r="AV1147" s="1063"/>
    </row>
    <row r="1148" spans="1:48" s="1108" customFormat="1" ht="27.75" customHeight="1">
      <c r="A1148" s="1076"/>
      <c r="B1148" s="1074">
        <f>+'[18]Bldg+Dev'!S1960</f>
        <v>0</v>
      </c>
      <c r="D1148" s="1063"/>
      <c r="F1148" s="1076"/>
      <c r="G1148" s="1063"/>
      <c r="H1148" s="1063"/>
      <c r="I1148" s="1063"/>
      <c r="J1148" s="1063"/>
      <c r="K1148" s="1063"/>
      <c r="L1148" s="1063"/>
      <c r="M1148" s="1063"/>
      <c r="N1148" s="1063"/>
      <c r="O1148" s="1063"/>
      <c r="P1148" s="1063"/>
      <c r="Q1148" s="1063"/>
      <c r="R1148" s="1063"/>
      <c r="S1148" s="1063"/>
      <c r="T1148" s="1063"/>
      <c r="U1148" s="1063"/>
      <c r="V1148" s="1063"/>
      <c r="W1148" s="1063"/>
      <c r="X1148" s="1063"/>
      <c r="Y1148" s="1063"/>
      <c r="Z1148" s="1063"/>
      <c r="AA1148" s="1063"/>
      <c r="AB1148" s="1063"/>
      <c r="AC1148" s="1063"/>
      <c r="AD1148" s="1063"/>
      <c r="AE1148" s="1063"/>
      <c r="AF1148" s="1063"/>
      <c r="AG1148" s="1063"/>
      <c r="AH1148" s="1063"/>
      <c r="AI1148" s="1063"/>
      <c r="AJ1148" s="1063"/>
      <c r="AK1148" s="1063"/>
      <c r="AL1148" s="1063"/>
      <c r="AM1148" s="1063"/>
      <c r="AN1148" s="1063"/>
      <c r="AO1148" s="1063"/>
      <c r="AP1148" s="1063"/>
      <c r="AQ1148" s="1063"/>
      <c r="AR1148" s="1063"/>
      <c r="AS1148" s="1063"/>
      <c r="AT1148" s="1063"/>
      <c r="AU1148" s="1063"/>
      <c r="AV1148" s="1063"/>
    </row>
    <row r="1149" spans="1:48" s="1108" customFormat="1" ht="27.75" customHeight="1">
      <c r="A1149" s="1076"/>
      <c r="B1149" s="1074">
        <f>+'[18]Bldg+Dev'!S1961</f>
        <v>0</v>
      </c>
      <c r="D1149" s="1063"/>
      <c r="F1149" s="1076"/>
      <c r="G1149" s="1063"/>
      <c r="H1149" s="1063"/>
      <c r="I1149" s="1063"/>
      <c r="J1149" s="1063"/>
      <c r="K1149" s="1063"/>
      <c r="L1149" s="1063"/>
      <c r="M1149" s="1063"/>
      <c r="N1149" s="1063"/>
      <c r="O1149" s="1063"/>
      <c r="P1149" s="1063"/>
      <c r="Q1149" s="1063"/>
      <c r="R1149" s="1063"/>
      <c r="S1149" s="1063"/>
      <c r="T1149" s="1063"/>
      <c r="U1149" s="1063"/>
      <c r="V1149" s="1063"/>
      <c r="W1149" s="1063"/>
      <c r="X1149" s="1063"/>
      <c r="Y1149" s="1063"/>
      <c r="Z1149" s="1063"/>
      <c r="AA1149" s="1063"/>
      <c r="AB1149" s="1063"/>
      <c r="AC1149" s="1063"/>
      <c r="AD1149" s="1063"/>
      <c r="AE1149" s="1063"/>
      <c r="AF1149" s="1063"/>
      <c r="AG1149" s="1063"/>
      <c r="AH1149" s="1063"/>
      <c r="AI1149" s="1063"/>
      <c r="AJ1149" s="1063"/>
      <c r="AK1149" s="1063"/>
      <c r="AL1149" s="1063"/>
      <c r="AM1149" s="1063"/>
      <c r="AN1149" s="1063"/>
      <c r="AO1149" s="1063"/>
      <c r="AP1149" s="1063"/>
      <c r="AQ1149" s="1063"/>
      <c r="AR1149" s="1063"/>
      <c r="AS1149" s="1063"/>
      <c r="AT1149" s="1063"/>
      <c r="AU1149" s="1063"/>
      <c r="AV1149" s="1063"/>
    </row>
    <row r="1150" spans="1:48" s="1108" customFormat="1" ht="27.75" customHeight="1">
      <c r="A1150" s="1076"/>
      <c r="B1150" s="1074">
        <f>+'[18]Bldg+Dev'!S1962</f>
        <v>0</v>
      </c>
      <c r="D1150" s="1063"/>
      <c r="F1150" s="1076"/>
      <c r="G1150" s="1063"/>
      <c r="H1150" s="1063"/>
      <c r="I1150" s="1063"/>
      <c r="J1150" s="1063"/>
      <c r="K1150" s="1063"/>
      <c r="L1150" s="1063"/>
      <c r="M1150" s="1063"/>
      <c r="N1150" s="1063"/>
      <c r="O1150" s="1063"/>
      <c r="P1150" s="1063"/>
      <c r="Q1150" s="1063"/>
      <c r="R1150" s="1063"/>
      <c r="S1150" s="1063"/>
      <c r="T1150" s="1063"/>
      <c r="U1150" s="1063"/>
      <c r="V1150" s="1063"/>
      <c r="W1150" s="1063"/>
      <c r="X1150" s="1063"/>
      <c r="Y1150" s="1063"/>
      <c r="Z1150" s="1063"/>
      <c r="AA1150" s="1063"/>
      <c r="AB1150" s="1063"/>
      <c r="AC1150" s="1063"/>
      <c r="AD1150" s="1063"/>
      <c r="AE1150" s="1063"/>
      <c r="AF1150" s="1063"/>
      <c r="AG1150" s="1063"/>
      <c r="AH1150" s="1063"/>
      <c r="AI1150" s="1063"/>
      <c r="AJ1150" s="1063"/>
      <c r="AK1150" s="1063"/>
      <c r="AL1150" s="1063"/>
      <c r="AM1150" s="1063"/>
      <c r="AN1150" s="1063"/>
      <c r="AO1150" s="1063"/>
      <c r="AP1150" s="1063"/>
      <c r="AQ1150" s="1063"/>
      <c r="AR1150" s="1063"/>
      <c r="AS1150" s="1063"/>
      <c r="AT1150" s="1063"/>
      <c r="AU1150" s="1063"/>
      <c r="AV1150" s="1063"/>
    </row>
    <row r="1151" spans="1:48" s="1108" customFormat="1" ht="27.75" customHeight="1">
      <c r="A1151" s="1076"/>
      <c r="B1151" s="1074">
        <f>+'[18]Bldg+Dev'!S1963</f>
        <v>0</v>
      </c>
      <c r="D1151" s="1063"/>
      <c r="F1151" s="1076"/>
      <c r="G1151" s="1063"/>
      <c r="H1151" s="1063"/>
      <c r="I1151" s="1063"/>
      <c r="J1151" s="1063"/>
      <c r="K1151" s="1063"/>
      <c r="L1151" s="1063"/>
      <c r="M1151" s="1063"/>
      <c r="N1151" s="1063"/>
      <c r="O1151" s="1063"/>
      <c r="P1151" s="1063"/>
      <c r="Q1151" s="1063"/>
      <c r="R1151" s="1063"/>
      <c r="S1151" s="1063"/>
      <c r="T1151" s="1063"/>
      <c r="U1151" s="1063"/>
      <c r="V1151" s="1063"/>
      <c r="W1151" s="1063"/>
      <c r="X1151" s="1063"/>
      <c r="Y1151" s="1063"/>
      <c r="Z1151" s="1063"/>
      <c r="AA1151" s="1063"/>
      <c r="AB1151" s="1063"/>
      <c r="AC1151" s="1063"/>
      <c r="AD1151" s="1063"/>
      <c r="AE1151" s="1063"/>
      <c r="AF1151" s="1063"/>
      <c r="AG1151" s="1063"/>
      <c r="AH1151" s="1063"/>
      <c r="AI1151" s="1063"/>
      <c r="AJ1151" s="1063"/>
      <c r="AK1151" s="1063"/>
      <c r="AL1151" s="1063"/>
      <c r="AM1151" s="1063"/>
      <c r="AN1151" s="1063"/>
      <c r="AO1151" s="1063"/>
      <c r="AP1151" s="1063"/>
      <c r="AQ1151" s="1063"/>
      <c r="AR1151" s="1063"/>
      <c r="AS1151" s="1063"/>
      <c r="AT1151" s="1063"/>
      <c r="AU1151" s="1063"/>
      <c r="AV1151" s="1063"/>
    </row>
    <row r="1152" spans="1:48" s="1108" customFormat="1" ht="27.75" customHeight="1">
      <c r="A1152" s="1076"/>
      <c r="B1152" s="1074">
        <f>+'[18]Bldg+Dev'!S1964</f>
        <v>0</v>
      </c>
      <c r="D1152" s="1063"/>
      <c r="F1152" s="1076"/>
      <c r="G1152" s="1063"/>
      <c r="H1152" s="1063"/>
      <c r="I1152" s="1063"/>
      <c r="J1152" s="1063"/>
      <c r="K1152" s="1063"/>
      <c r="L1152" s="1063"/>
      <c r="M1152" s="1063"/>
      <c r="N1152" s="1063"/>
      <c r="O1152" s="1063"/>
      <c r="P1152" s="1063"/>
      <c r="Q1152" s="1063"/>
      <c r="R1152" s="1063"/>
      <c r="S1152" s="1063"/>
      <c r="T1152" s="1063"/>
      <c r="U1152" s="1063"/>
      <c r="V1152" s="1063"/>
      <c r="W1152" s="1063"/>
      <c r="X1152" s="1063"/>
      <c r="Y1152" s="1063"/>
      <c r="Z1152" s="1063"/>
      <c r="AA1152" s="1063"/>
      <c r="AB1152" s="1063"/>
      <c r="AC1152" s="1063"/>
      <c r="AD1152" s="1063"/>
      <c r="AE1152" s="1063"/>
      <c r="AF1152" s="1063"/>
      <c r="AG1152" s="1063"/>
      <c r="AH1152" s="1063"/>
      <c r="AI1152" s="1063"/>
      <c r="AJ1152" s="1063"/>
      <c r="AK1152" s="1063"/>
      <c r="AL1152" s="1063"/>
      <c r="AM1152" s="1063"/>
      <c r="AN1152" s="1063"/>
      <c r="AO1152" s="1063"/>
      <c r="AP1152" s="1063"/>
      <c r="AQ1152" s="1063"/>
      <c r="AR1152" s="1063"/>
      <c r="AS1152" s="1063"/>
      <c r="AT1152" s="1063"/>
      <c r="AU1152" s="1063"/>
      <c r="AV1152" s="1063"/>
    </row>
    <row r="1153" spans="1:48" s="1108" customFormat="1" ht="27.75" customHeight="1">
      <c r="A1153" s="1076"/>
      <c r="B1153" s="1074">
        <f>+'[18]Bldg+Dev'!S1965</f>
        <v>0</v>
      </c>
      <c r="D1153" s="1063"/>
      <c r="F1153" s="1076"/>
      <c r="G1153" s="1063"/>
      <c r="H1153" s="1063"/>
      <c r="I1153" s="1063"/>
      <c r="J1153" s="1063"/>
      <c r="K1153" s="1063"/>
      <c r="L1153" s="1063"/>
      <c r="M1153" s="1063"/>
      <c r="N1153" s="1063"/>
      <c r="O1153" s="1063"/>
      <c r="P1153" s="1063"/>
      <c r="Q1153" s="1063"/>
      <c r="R1153" s="1063"/>
      <c r="S1153" s="1063"/>
      <c r="T1153" s="1063"/>
      <c r="U1153" s="1063"/>
      <c r="V1153" s="1063"/>
      <c r="W1153" s="1063"/>
      <c r="X1153" s="1063"/>
      <c r="Y1153" s="1063"/>
      <c r="Z1153" s="1063"/>
      <c r="AA1153" s="1063"/>
      <c r="AB1153" s="1063"/>
      <c r="AC1153" s="1063"/>
      <c r="AD1153" s="1063"/>
      <c r="AE1153" s="1063"/>
      <c r="AF1153" s="1063"/>
      <c r="AG1153" s="1063"/>
      <c r="AH1153" s="1063"/>
      <c r="AI1153" s="1063"/>
      <c r="AJ1153" s="1063"/>
      <c r="AK1153" s="1063"/>
      <c r="AL1153" s="1063"/>
      <c r="AM1153" s="1063"/>
      <c r="AN1153" s="1063"/>
      <c r="AO1153" s="1063"/>
      <c r="AP1153" s="1063"/>
      <c r="AQ1153" s="1063"/>
      <c r="AR1153" s="1063"/>
      <c r="AS1153" s="1063"/>
      <c r="AT1153" s="1063"/>
      <c r="AU1153" s="1063"/>
      <c r="AV1153" s="1063"/>
    </row>
    <row r="1154" spans="1:48" s="1108" customFormat="1" ht="27.75" customHeight="1">
      <c r="A1154" s="1076"/>
      <c r="B1154" s="1074">
        <f>+'[18]Bldg+Dev'!S1966</f>
        <v>0</v>
      </c>
      <c r="D1154" s="1063"/>
      <c r="F1154" s="1076"/>
      <c r="G1154" s="1063"/>
      <c r="H1154" s="1063"/>
      <c r="I1154" s="1063"/>
      <c r="J1154" s="1063"/>
      <c r="K1154" s="1063"/>
      <c r="L1154" s="1063"/>
      <c r="M1154" s="1063"/>
      <c r="N1154" s="1063"/>
      <c r="O1154" s="1063"/>
      <c r="P1154" s="1063"/>
      <c r="Q1154" s="1063"/>
      <c r="R1154" s="1063"/>
      <c r="S1154" s="1063"/>
      <c r="T1154" s="1063"/>
      <c r="U1154" s="1063"/>
      <c r="V1154" s="1063"/>
      <c r="W1154" s="1063"/>
      <c r="X1154" s="1063"/>
      <c r="Y1154" s="1063"/>
      <c r="Z1154" s="1063"/>
      <c r="AA1154" s="1063"/>
      <c r="AB1154" s="1063"/>
      <c r="AC1154" s="1063"/>
      <c r="AD1154" s="1063"/>
      <c r="AE1154" s="1063"/>
      <c r="AF1154" s="1063"/>
      <c r="AG1154" s="1063"/>
      <c r="AH1154" s="1063"/>
      <c r="AI1154" s="1063"/>
      <c r="AJ1154" s="1063"/>
      <c r="AK1154" s="1063"/>
      <c r="AL1154" s="1063"/>
      <c r="AM1154" s="1063"/>
      <c r="AN1154" s="1063"/>
      <c r="AO1154" s="1063"/>
      <c r="AP1154" s="1063"/>
      <c r="AQ1154" s="1063"/>
      <c r="AR1154" s="1063"/>
      <c r="AS1154" s="1063"/>
      <c r="AT1154" s="1063"/>
      <c r="AU1154" s="1063"/>
      <c r="AV1154" s="1063"/>
    </row>
    <row r="1155" spans="1:48" s="1108" customFormat="1" ht="27.75" customHeight="1">
      <c r="A1155" s="1076"/>
      <c r="B1155" s="1074">
        <f>+'[18]Bldg+Dev'!S1967</f>
        <v>0</v>
      </c>
      <c r="D1155" s="1063"/>
      <c r="F1155" s="1076"/>
      <c r="G1155" s="1063"/>
      <c r="H1155" s="1063"/>
      <c r="I1155" s="1063"/>
      <c r="J1155" s="1063"/>
      <c r="K1155" s="1063"/>
      <c r="L1155" s="1063"/>
      <c r="M1155" s="1063"/>
      <c r="N1155" s="1063"/>
      <c r="O1155" s="1063"/>
      <c r="P1155" s="1063"/>
      <c r="Q1155" s="1063"/>
      <c r="R1155" s="1063"/>
      <c r="S1155" s="1063"/>
      <c r="T1155" s="1063"/>
      <c r="U1155" s="1063"/>
      <c r="V1155" s="1063"/>
      <c r="W1155" s="1063"/>
      <c r="X1155" s="1063"/>
      <c r="Y1155" s="1063"/>
      <c r="Z1155" s="1063"/>
      <c r="AA1155" s="1063"/>
      <c r="AB1155" s="1063"/>
      <c r="AC1155" s="1063"/>
      <c r="AD1155" s="1063"/>
      <c r="AE1155" s="1063"/>
      <c r="AF1155" s="1063"/>
      <c r="AG1155" s="1063"/>
      <c r="AH1155" s="1063"/>
      <c r="AI1155" s="1063"/>
      <c r="AJ1155" s="1063"/>
      <c r="AK1155" s="1063"/>
      <c r="AL1155" s="1063"/>
      <c r="AM1155" s="1063"/>
      <c r="AN1155" s="1063"/>
      <c r="AO1155" s="1063"/>
      <c r="AP1155" s="1063"/>
      <c r="AQ1155" s="1063"/>
      <c r="AR1155" s="1063"/>
      <c r="AS1155" s="1063"/>
      <c r="AT1155" s="1063"/>
      <c r="AU1155" s="1063"/>
      <c r="AV1155" s="1063"/>
    </row>
    <row r="1156" spans="1:48" s="1108" customFormat="1" ht="27.75" customHeight="1">
      <c r="A1156" s="1076"/>
      <c r="B1156" s="1074">
        <f>+'[18]Bldg+Dev'!S1968</f>
        <v>0</v>
      </c>
      <c r="D1156" s="1063"/>
      <c r="F1156" s="1076"/>
      <c r="G1156" s="1063"/>
      <c r="H1156" s="1063"/>
      <c r="I1156" s="1063"/>
      <c r="J1156" s="1063"/>
      <c r="K1156" s="1063"/>
      <c r="L1156" s="1063"/>
      <c r="M1156" s="1063"/>
      <c r="N1156" s="1063"/>
      <c r="O1156" s="1063"/>
      <c r="P1156" s="1063"/>
      <c r="Q1156" s="1063"/>
      <c r="R1156" s="1063"/>
      <c r="S1156" s="1063"/>
      <c r="T1156" s="1063"/>
      <c r="U1156" s="1063"/>
      <c r="V1156" s="1063"/>
      <c r="W1156" s="1063"/>
      <c r="X1156" s="1063"/>
      <c r="Y1156" s="1063"/>
      <c r="Z1156" s="1063"/>
      <c r="AA1156" s="1063"/>
      <c r="AB1156" s="1063"/>
      <c r="AC1156" s="1063"/>
      <c r="AD1156" s="1063"/>
      <c r="AE1156" s="1063"/>
      <c r="AF1156" s="1063"/>
      <c r="AG1156" s="1063"/>
      <c r="AH1156" s="1063"/>
      <c r="AI1156" s="1063"/>
      <c r="AJ1156" s="1063"/>
      <c r="AK1156" s="1063"/>
      <c r="AL1156" s="1063"/>
      <c r="AM1156" s="1063"/>
      <c r="AN1156" s="1063"/>
      <c r="AO1156" s="1063"/>
      <c r="AP1156" s="1063"/>
      <c r="AQ1156" s="1063"/>
      <c r="AR1156" s="1063"/>
      <c r="AS1156" s="1063"/>
      <c r="AT1156" s="1063"/>
      <c r="AU1156" s="1063"/>
      <c r="AV1156" s="1063"/>
    </row>
    <row r="1157" spans="1:48" s="1108" customFormat="1" ht="27.75" customHeight="1">
      <c r="A1157" s="1076"/>
      <c r="B1157" s="1074">
        <f>+'[18]Bldg+Dev'!S1969</f>
        <v>0</v>
      </c>
      <c r="D1157" s="1063"/>
      <c r="F1157" s="1076"/>
      <c r="G1157" s="1063"/>
      <c r="H1157" s="1063"/>
      <c r="I1157" s="1063"/>
      <c r="J1157" s="1063"/>
      <c r="K1157" s="1063"/>
      <c r="L1157" s="1063"/>
      <c r="M1157" s="1063"/>
      <c r="N1157" s="1063"/>
      <c r="O1157" s="1063"/>
      <c r="P1157" s="1063"/>
      <c r="Q1157" s="1063"/>
      <c r="R1157" s="1063"/>
      <c r="S1157" s="1063"/>
      <c r="T1157" s="1063"/>
      <c r="U1157" s="1063"/>
      <c r="V1157" s="1063"/>
      <c r="W1157" s="1063"/>
      <c r="X1157" s="1063"/>
      <c r="Y1157" s="1063"/>
      <c r="Z1157" s="1063"/>
      <c r="AA1157" s="1063"/>
      <c r="AB1157" s="1063"/>
      <c r="AC1157" s="1063"/>
      <c r="AD1157" s="1063"/>
      <c r="AE1157" s="1063"/>
      <c r="AF1157" s="1063"/>
      <c r="AG1157" s="1063"/>
      <c r="AH1157" s="1063"/>
      <c r="AI1157" s="1063"/>
      <c r="AJ1157" s="1063"/>
      <c r="AK1157" s="1063"/>
      <c r="AL1157" s="1063"/>
      <c r="AM1157" s="1063"/>
      <c r="AN1157" s="1063"/>
      <c r="AO1157" s="1063"/>
      <c r="AP1157" s="1063"/>
      <c r="AQ1157" s="1063"/>
      <c r="AR1157" s="1063"/>
      <c r="AS1157" s="1063"/>
      <c r="AT1157" s="1063"/>
      <c r="AU1157" s="1063"/>
      <c r="AV1157" s="1063"/>
    </row>
    <row r="1158" spans="1:48" s="1108" customFormat="1" ht="27.75" customHeight="1">
      <c r="A1158" s="1076"/>
      <c r="B1158" s="1074">
        <f>+'[18]Bldg+Dev'!S1970</f>
        <v>0</v>
      </c>
      <c r="D1158" s="1063"/>
      <c r="F1158" s="1076"/>
      <c r="G1158" s="1063"/>
      <c r="H1158" s="1063"/>
      <c r="I1158" s="1063"/>
      <c r="J1158" s="1063"/>
      <c r="K1158" s="1063"/>
      <c r="L1158" s="1063"/>
      <c r="M1158" s="1063"/>
      <c r="N1158" s="1063"/>
      <c r="O1158" s="1063"/>
      <c r="P1158" s="1063"/>
      <c r="Q1158" s="1063"/>
      <c r="R1158" s="1063"/>
      <c r="S1158" s="1063"/>
      <c r="T1158" s="1063"/>
      <c r="U1158" s="1063"/>
      <c r="V1158" s="1063"/>
      <c r="W1158" s="1063"/>
      <c r="X1158" s="1063"/>
      <c r="Y1158" s="1063"/>
      <c r="Z1158" s="1063"/>
      <c r="AA1158" s="1063"/>
      <c r="AB1158" s="1063"/>
      <c r="AC1158" s="1063"/>
      <c r="AD1158" s="1063"/>
      <c r="AE1158" s="1063"/>
      <c r="AF1158" s="1063"/>
      <c r="AG1158" s="1063"/>
      <c r="AH1158" s="1063"/>
      <c r="AI1158" s="1063"/>
      <c r="AJ1158" s="1063"/>
      <c r="AK1158" s="1063"/>
      <c r="AL1158" s="1063"/>
      <c r="AM1158" s="1063"/>
      <c r="AN1158" s="1063"/>
      <c r="AO1158" s="1063"/>
      <c r="AP1158" s="1063"/>
      <c r="AQ1158" s="1063"/>
      <c r="AR1158" s="1063"/>
      <c r="AS1158" s="1063"/>
      <c r="AT1158" s="1063"/>
      <c r="AU1158" s="1063"/>
      <c r="AV1158" s="1063"/>
    </row>
    <row r="1159" spans="1:48" s="1108" customFormat="1" ht="27.75" customHeight="1">
      <c r="A1159" s="1076"/>
      <c r="B1159" s="1074">
        <f>+'[18]Bldg+Dev'!S1971</f>
        <v>0</v>
      </c>
      <c r="D1159" s="1063"/>
      <c r="F1159" s="1076"/>
      <c r="G1159" s="1063"/>
      <c r="H1159" s="1063"/>
      <c r="I1159" s="1063"/>
      <c r="J1159" s="1063"/>
      <c r="K1159" s="1063"/>
      <c r="L1159" s="1063"/>
      <c r="M1159" s="1063"/>
      <c r="N1159" s="1063"/>
      <c r="O1159" s="1063"/>
      <c r="P1159" s="1063"/>
      <c r="Q1159" s="1063"/>
      <c r="R1159" s="1063"/>
      <c r="S1159" s="1063"/>
      <c r="T1159" s="1063"/>
      <c r="U1159" s="1063"/>
      <c r="V1159" s="1063"/>
      <c r="W1159" s="1063"/>
      <c r="X1159" s="1063"/>
      <c r="Y1159" s="1063"/>
      <c r="Z1159" s="1063"/>
      <c r="AA1159" s="1063"/>
      <c r="AB1159" s="1063"/>
      <c r="AC1159" s="1063"/>
      <c r="AD1159" s="1063"/>
      <c r="AE1159" s="1063"/>
      <c r="AF1159" s="1063"/>
      <c r="AG1159" s="1063"/>
      <c r="AH1159" s="1063"/>
      <c r="AI1159" s="1063"/>
      <c r="AJ1159" s="1063"/>
      <c r="AK1159" s="1063"/>
      <c r="AL1159" s="1063"/>
      <c r="AM1159" s="1063"/>
      <c r="AN1159" s="1063"/>
      <c r="AO1159" s="1063"/>
      <c r="AP1159" s="1063"/>
      <c r="AQ1159" s="1063"/>
      <c r="AR1159" s="1063"/>
      <c r="AS1159" s="1063"/>
      <c r="AT1159" s="1063"/>
      <c r="AU1159" s="1063"/>
      <c r="AV1159" s="1063"/>
    </row>
    <row r="1160" spans="1:48" s="1108" customFormat="1" ht="27.75" customHeight="1">
      <c r="A1160" s="1076"/>
      <c r="B1160" s="1074">
        <f>+'[18]Bldg+Dev'!S1972</f>
        <v>0</v>
      </c>
      <c r="D1160" s="1063"/>
      <c r="F1160" s="1076"/>
      <c r="G1160" s="1063"/>
      <c r="H1160" s="1063"/>
      <c r="I1160" s="1063"/>
      <c r="J1160" s="1063"/>
      <c r="K1160" s="1063"/>
      <c r="L1160" s="1063"/>
      <c r="M1160" s="1063"/>
      <c r="N1160" s="1063"/>
      <c r="O1160" s="1063"/>
      <c r="P1160" s="1063"/>
      <c r="Q1160" s="1063"/>
      <c r="R1160" s="1063"/>
      <c r="S1160" s="1063"/>
      <c r="T1160" s="1063"/>
      <c r="U1160" s="1063"/>
      <c r="V1160" s="1063"/>
      <c r="W1160" s="1063"/>
      <c r="X1160" s="1063"/>
      <c r="Y1160" s="1063"/>
      <c r="Z1160" s="1063"/>
      <c r="AA1160" s="1063"/>
      <c r="AB1160" s="1063"/>
      <c r="AC1160" s="1063"/>
      <c r="AD1160" s="1063"/>
      <c r="AE1160" s="1063"/>
      <c r="AF1160" s="1063"/>
      <c r="AG1160" s="1063"/>
      <c r="AH1160" s="1063"/>
      <c r="AI1160" s="1063"/>
      <c r="AJ1160" s="1063"/>
      <c r="AK1160" s="1063"/>
      <c r="AL1160" s="1063"/>
      <c r="AM1160" s="1063"/>
      <c r="AN1160" s="1063"/>
      <c r="AO1160" s="1063"/>
      <c r="AP1160" s="1063"/>
      <c r="AQ1160" s="1063"/>
      <c r="AR1160" s="1063"/>
      <c r="AS1160" s="1063"/>
      <c r="AT1160" s="1063"/>
      <c r="AU1160" s="1063"/>
      <c r="AV1160" s="1063"/>
    </row>
    <row r="1161" spans="1:48" s="1108" customFormat="1" ht="27.75" customHeight="1">
      <c r="A1161" s="1076"/>
      <c r="B1161" s="1074">
        <f>+'[18]Bldg+Dev'!S1973</f>
        <v>0</v>
      </c>
      <c r="D1161" s="1063"/>
      <c r="F1161" s="1076"/>
      <c r="G1161" s="1063"/>
      <c r="H1161" s="1063"/>
      <c r="I1161" s="1063"/>
      <c r="J1161" s="1063"/>
      <c r="K1161" s="1063"/>
      <c r="L1161" s="1063"/>
      <c r="M1161" s="1063"/>
      <c r="N1161" s="1063"/>
      <c r="O1161" s="1063"/>
      <c r="P1161" s="1063"/>
      <c r="Q1161" s="1063"/>
      <c r="R1161" s="1063"/>
      <c r="S1161" s="1063"/>
      <c r="T1161" s="1063"/>
      <c r="U1161" s="1063"/>
      <c r="V1161" s="1063"/>
      <c r="W1161" s="1063"/>
      <c r="X1161" s="1063"/>
      <c r="Y1161" s="1063"/>
      <c r="Z1161" s="1063"/>
      <c r="AA1161" s="1063"/>
      <c r="AB1161" s="1063"/>
      <c r="AC1161" s="1063"/>
      <c r="AD1161" s="1063"/>
      <c r="AE1161" s="1063"/>
      <c r="AF1161" s="1063"/>
      <c r="AG1161" s="1063"/>
      <c r="AH1161" s="1063"/>
      <c r="AI1161" s="1063"/>
      <c r="AJ1161" s="1063"/>
      <c r="AK1161" s="1063"/>
      <c r="AL1161" s="1063"/>
      <c r="AM1161" s="1063"/>
      <c r="AN1161" s="1063"/>
      <c r="AO1161" s="1063"/>
      <c r="AP1161" s="1063"/>
      <c r="AQ1161" s="1063"/>
      <c r="AR1161" s="1063"/>
      <c r="AS1161" s="1063"/>
      <c r="AT1161" s="1063"/>
      <c r="AU1161" s="1063"/>
      <c r="AV1161" s="1063"/>
    </row>
    <row r="1162" spans="1:48" s="1108" customFormat="1" ht="27.75" customHeight="1">
      <c r="A1162" s="1076"/>
      <c r="B1162" s="1074">
        <f>+'[18]Bldg+Dev'!S1974</f>
        <v>0</v>
      </c>
      <c r="D1162" s="1063"/>
      <c r="F1162" s="1076"/>
      <c r="G1162" s="1063"/>
      <c r="H1162" s="1063"/>
      <c r="I1162" s="1063"/>
      <c r="J1162" s="1063"/>
      <c r="K1162" s="1063"/>
      <c r="L1162" s="1063"/>
      <c r="M1162" s="1063"/>
      <c r="N1162" s="1063"/>
      <c r="O1162" s="1063"/>
      <c r="P1162" s="1063"/>
      <c r="Q1162" s="1063"/>
      <c r="R1162" s="1063"/>
      <c r="S1162" s="1063"/>
      <c r="T1162" s="1063"/>
      <c r="U1162" s="1063"/>
      <c r="V1162" s="1063"/>
      <c r="W1162" s="1063"/>
      <c r="X1162" s="1063"/>
      <c r="Y1162" s="1063"/>
      <c r="Z1162" s="1063"/>
      <c r="AA1162" s="1063"/>
      <c r="AB1162" s="1063"/>
      <c r="AC1162" s="1063"/>
      <c r="AD1162" s="1063"/>
      <c r="AE1162" s="1063"/>
      <c r="AF1162" s="1063"/>
      <c r="AG1162" s="1063"/>
      <c r="AH1162" s="1063"/>
      <c r="AI1162" s="1063"/>
      <c r="AJ1162" s="1063"/>
      <c r="AK1162" s="1063"/>
      <c r="AL1162" s="1063"/>
      <c r="AM1162" s="1063"/>
      <c r="AN1162" s="1063"/>
      <c r="AO1162" s="1063"/>
      <c r="AP1162" s="1063"/>
      <c r="AQ1162" s="1063"/>
      <c r="AR1162" s="1063"/>
      <c r="AS1162" s="1063"/>
      <c r="AT1162" s="1063"/>
      <c r="AU1162" s="1063"/>
      <c r="AV1162" s="1063"/>
    </row>
    <row r="1163" spans="1:48" s="1108" customFormat="1" ht="27.75" customHeight="1">
      <c r="A1163" s="1076"/>
      <c r="B1163" s="1074">
        <f>+'[18]Bldg+Dev'!S1975</f>
        <v>0</v>
      </c>
      <c r="D1163" s="1063"/>
      <c r="F1163" s="1076"/>
      <c r="G1163" s="1063"/>
      <c r="H1163" s="1063"/>
      <c r="I1163" s="1063"/>
      <c r="J1163" s="1063"/>
      <c r="K1163" s="1063"/>
      <c r="L1163" s="1063"/>
      <c r="M1163" s="1063"/>
      <c r="N1163" s="1063"/>
      <c r="O1163" s="1063"/>
      <c r="P1163" s="1063"/>
      <c r="Q1163" s="1063"/>
      <c r="R1163" s="1063"/>
      <c r="S1163" s="1063"/>
      <c r="T1163" s="1063"/>
      <c r="U1163" s="1063"/>
      <c r="V1163" s="1063"/>
      <c r="W1163" s="1063"/>
      <c r="X1163" s="1063"/>
      <c r="Y1163" s="1063"/>
      <c r="Z1163" s="1063"/>
      <c r="AA1163" s="1063"/>
      <c r="AB1163" s="1063"/>
      <c r="AC1163" s="1063"/>
      <c r="AD1163" s="1063"/>
      <c r="AE1163" s="1063"/>
      <c r="AF1163" s="1063"/>
      <c r="AG1163" s="1063"/>
      <c r="AH1163" s="1063"/>
      <c r="AI1163" s="1063"/>
      <c r="AJ1163" s="1063"/>
      <c r="AK1163" s="1063"/>
      <c r="AL1163" s="1063"/>
      <c r="AM1163" s="1063"/>
      <c r="AN1163" s="1063"/>
      <c r="AO1163" s="1063"/>
      <c r="AP1163" s="1063"/>
      <c r="AQ1163" s="1063"/>
      <c r="AR1163" s="1063"/>
      <c r="AS1163" s="1063"/>
      <c r="AT1163" s="1063"/>
      <c r="AU1163" s="1063"/>
      <c r="AV1163" s="1063"/>
    </row>
    <row r="1164" spans="1:48" s="1108" customFormat="1" ht="27.75" customHeight="1">
      <c r="A1164" s="1076"/>
      <c r="B1164" s="1074">
        <f>+'[18]Bldg+Dev'!S1976</f>
        <v>0</v>
      </c>
      <c r="D1164" s="1063"/>
      <c r="F1164" s="1076"/>
      <c r="G1164" s="1063"/>
      <c r="H1164" s="1063"/>
      <c r="I1164" s="1063"/>
      <c r="J1164" s="1063"/>
      <c r="K1164" s="1063"/>
      <c r="L1164" s="1063"/>
      <c r="M1164" s="1063"/>
      <c r="N1164" s="1063"/>
      <c r="O1164" s="1063"/>
      <c r="P1164" s="1063"/>
      <c r="Q1164" s="1063"/>
      <c r="R1164" s="1063"/>
      <c r="S1164" s="1063"/>
      <c r="T1164" s="1063"/>
      <c r="U1164" s="1063"/>
      <c r="V1164" s="1063"/>
      <c r="W1164" s="1063"/>
      <c r="X1164" s="1063"/>
      <c r="Y1164" s="1063"/>
      <c r="Z1164" s="1063"/>
      <c r="AA1164" s="1063"/>
      <c r="AB1164" s="1063"/>
      <c r="AC1164" s="1063"/>
      <c r="AD1164" s="1063"/>
      <c r="AE1164" s="1063"/>
      <c r="AF1164" s="1063"/>
      <c r="AG1164" s="1063"/>
      <c r="AH1164" s="1063"/>
      <c r="AI1164" s="1063"/>
      <c r="AJ1164" s="1063"/>
      <c r="AK1164" s="1063"/>
      <c r="AL1164" s="1063"/>
      <c r="AM1164" s="1063"/>
      <c r="AN1164" s="1063"/>
      <c r="AO1164" s="1063"/>
      <c r="AP1164" s="1063"/>
      <c r="AQ1164" s="1063"/>
      <c r="AR1164" s="1063"/>
      <c r="AS1164" s="1063"/>
      <c r="AT1164" s="1063"/>
      <c r="AU1164" s="1063"/>
      <c r="AV1164" s="1063"/>
    </row>
    <row r="1165" spans="1:48" s="1108" customFormat="1" ht="27.75" customHeight="1">
      <c r="A1165" s="1076"/>
      <c r="B1165" s="1074">
        <f>+'[18]Bldg+Dev'!S1977</f>
        <v>0</v>
      </c>
      <c r="D1165" s="1063"/>
      <c r="F1165" s="1076"/>
      <c r="G1165" s="1063"/>
      <c r="H1165" s="1063"/>
      <c r="I1165" s="1063"/>
      <c r="J1165" s="1063"/>
      <c r="K1165" s="1063"/>
      <c r="L1165" s="1063"/>
      <c r="M1165" s="1063"/>
      <c r="N1165" s="1063"/>
      <c r="O1165" s="1063"/>
      <c r="P1165" s="1063"/>
      <c r="Q1165" s="1063"/>
      <c r="R1165" s="1063"/>
      <c r="S1165" s="1063"/>
      <c r="T1165" s="1063"/>
      <c r="U1165" s="1063"/>
      <c r="V1165" s="1063"/>
      <c r="W1165" s="1063"/>
      <c r="X1165" s="1063"/>
      <c r="Y1165" s="1063"/>
      <c r="Z1165" s="1063"/>
      <c r="AA1165" s="1063"/>
      <c r="AB1165" s="1063"/>
      <c r="AC1165" s="1063"/>
      <c r="AD1165" s="1063"/>
      <c r="AE1165" s="1063"/>
      <c r="AF1165" s="1063"/>
      <c r="AG1165" s="1063"/>
      <c r="AH1165" s="1063"/>
      <c r="AI1165" s="1063"/>
      <c r="AJ1165" s="1063"/>
      <c r="AK1165" s="1063"/>
      <c r="AL1165" s="1063"/>
      <c r="AM1165" s="1063"/>
      <c r="AN1165" s="1063"/>
      <c r="AO1165" s="1063"/>
      <c r="AP1165" s="1063"/>
      <c r="AQ1165" s="1063"/>
      <c r="AR1165" s="1063"/>
      <c r="AS1165" s="1063"/>
      <c r="AT1165" s="1063"/>
      <c r="AU1165" s="1063"/>
      <c r="AV1165" s="1063"/>
    </row>
    <row r="1166" spans="1:48" s="1108" customFormat="1" ht="27.75" customHeight="1">
      <c r="A1166" s="1076"/>
      <c r="B1166" s="1074">
        <f>+'[18]Bldg+Dev'!S1978</f>
        <v>0</v>
      </c>
      <c r="D1166" s="1063"/>
      <c r="F1166" s="1076"/>
      <c r="G1166" s="1063"/>
      <c r="H1166" s="1063"/>
      <c r="I1166" s="1063"/>
      <c r="J1166" s="1063"/>
      <c r="K1166" s="1063"/>
      <c r="L1166" s="1063"/>
      <c r="M1166" s="1063"/>
      <c r="N1166" s="1063"/>
      <c r="O1166" s="1063"/>
      <c r="P1166" s="1063"/>
      <c r="Q1166" s="1063"/>
      <c r="R1166" s="1063"/>
      <c r="S1166" s="1063"/>
      <c r="T1166" s="1063"/>
      <c r="U1166" s="1063"/>
      <c r="V1166" s="1063"/>
      <c r="W1166" s="1063"/>
      <c r="X1166" s="1063"/>
      <c r="Y1166" s="1063"/>
      <c r="Z1166" s="1063"/>
      <c r="AA1166" s="1063"/>
      <c r="AB1166" s="1063"/>
      <c r="AC1166" s="1063"/>
      <c r="AD1166" s="1063"/>
      <c r="AE1166" s="1063"/>
      <c r="AF1166" s="1063"/>
      <c r="AG1166" s="1063"/>
      <c r="AH1166" s="1063"/>
      <c r="AI1166" s="1063"/>
      <c r="AJ1166" s="1063"/>
      <c r="AK1166" s="1063"/>
      <c r="AL1166" s="1063"/>
      <c r="AM1166" s="1063"/>
      <c r="AN1166" s="1063"/>
      <c r="AO1166" s="1063"/>
      <c r="AP1166" s="1063"/>
      <c r="AQ1166" s="1063"/>
      <c r="AR1166" s="1063"/>
      <c r="AS1166" s="1063"/>
      <c r="AT1166" s="1063"/>
      <c r="AU1166" s="1063"/>
      <c r="AV1166" s="1063"/>
    </row>
    <row r="1167" spans="1:48" s="1108" customFormat="1" ht="27.75" customHeight="1">
      <c r="A1167" s="1076"/>
      <c r="B1167" s="1074">
        <f>+'[18]Bldg+Dev'!S1979</f>
        <v>0</v>
      </c>
      <c r="D1167" s="1063"/>
      <c r="F1167" s="1076"/>
      <c r="G1167" s="1063"/>
      <c r="H1167" s="1063"/>
      <c r="I1167" s="1063"/>
      <c r="J1167" s="1063"/>
      <c r="K1167" s="1063"/>
      <c r="L1167" s="1063"/>
      <c r="M1167" s="1063"/>
      <c r="N1167" s="1063"/>
      <c r="O1167" s="1063"/>
      <c r="P1167" s="1063"/>
      <c r="Q1167" s="1063"/>
      <c r="R1167" s="1063"/>
      <c r="S1167" s="1063"/>
      <c r="T1167" s="1063"/>
      <c r="U1167" s="1063"/>
      <c r="V1167" s="1063"/>
      <c r="W1167" s="1063"/>
      <c r="X1167" s="1063"/>
      <c r="Y1167" s="1063"/>
      <c r="Z1167" s="1063"/>
      <c r="AA1167" s="1063"/>
      <c r="AB1167" s="1063"/>
      <c r="AC1167" s="1063"/>
      <c r="AD1167" s="1063"/>
      <c r="AE1167" s="1063"/>
      <c r="AF1167" s="1063"/>
      <c r="AG1167" s="1063"/>
      <c r="AH1167" s="1063"/>
      <c r="AI1167" s="1063"/>
      <c r="AJ1167" s="1063"/>
      <c r="AK1167" s="1063"/>
      <c r="AL1167" s="1063"/>
      <c r="AM1167" s="1063"/>
      <c r="AN1167" s="1063"/>
      <c r="AO1167" s="1063"/>
      <c r="AP1167" s="1063"/>
      <c r="AQ1167" s="1063"/>
      <c r="AR1167" s="1063"/>
      <c r="AS1167" s="1063"/>
      <c r="AT1167" s="1063"/>
      <c r="AU1167" s="1063"/>
      <c r="AV1167" s="1063"/>
    </row>
    <row r="1168" spans="1:48" s="1108" customFormat="1" ht="27.75" customHeight="1">
      <c r="A1168" s="1076"/>
      <c r="B1168" s="1074">
        <f>+'[18]Bldg+Dev'!S1980</f>
        <v>0</v>
      </c>
      <c r="D1168" s="1063"/>
      <c r="F1168" s="1076"/>
      <c r="G1168" s="1063"/>
      <c r="H1168" s="1063"/>
      <c r="I1168" s="1063"/>
      <c r="J1168" s="1063"/>
      <c r="K1168" s="1063"/>
      <c r="L1168" s="1063"/>
      <c r="M1168" s="1063"/>
      <c r="N1168" s="1063"/>
      <c r="O1168" s="1063"/>
      <c r="P1168" s="1063"/>
      <c r="Q1168" s="1063"/>
      <c r="R1168" s="1063"/>
      <c r="S1168" s="1063"/>
      <c r="T1168" s="1063"/>
      <c r="U1168" s="1063"/>
      <c r="V1168" s="1063"/>
      <c r="W1168" s="1063"/>
      <c r="X1168" s="1063"/>
      <c r="Y1168" s="1063"/>
      <c r="Z1168" s="1063"/>
      <c r="AA1168" s="1063"/>
      <c r="AB1168" s="1063"/>
      <c r="AC1168" s="1063"/>
      <c r="AD1168" s="1063"/>
      <c r="AE1168" s="1063"/>
      <c r="AF1168" s="1063"/>
      <c r="AG1168" s="1063"/>
      <c r="AH1168" s="1063"/>
      <c r="AI1168" s="1063"/>
      <c r="AJ1168" s="1063"/>
      <c r="AK1168" s="1063"/>
      <c r="AL1168" s="1063"/>
      <c r="AM1168" s="1063"/>
      <c r="AN1168" s="1063"/>
      <c r="AO1168" s="1063"/>
      <c r="AP1168" s="1063"/>
      <c r="AQ1168" s="1063"/>
      <c r="AR1168" s="1063"/>
      <c r="AS1168" s="1063"/>
      <c r="AT1168" s="1063"/>
      <c r="AU1168" s="1063"/>
      <c r="AV1168" s="1063"/>
    </row>
    <row r="1169" spans="1:48" s="1108" customFormat="1" ht="27.75" customHeight="1">
      <c r="A1169" s="1076"/>
      <c r="B1169" s="1074">
        <f>+'[18]Bldg+Dev'!S1981</f>
        <v>0</v>
      </c>
      <c r="D1169" s="1063"/>
      <c r="F1169" s="1076"/>
      <c r="G1169" s="1063"/>
      <c r="H1169" s="1063"/>
      <c r="I1169" s="1063"/>
      <c r="J1169" s="1063"/>
      <c r="K1169" s="1063"/>
      <c r="L1169" s="1063"/>
      <c r="M1169" s="1063"/>
      <c r="N1169" s="1063"/>
      <c r="O1169" s="1063"/>
      <c r="P1169" s="1063"/>
      <c r="Q1169" s="1063"/>
      <c r="R1169" s="1063"/>
      <c r="S1169" s="1063"/>
      <c r="T1169" s="1063"/>
      <c r="U1169" s="1063"/>
      <c r="V1169" s="1063"/>
      <c r="W1169" s="1063"/>
      <c r="X1169" s="1063"/>
      <c r="Y1169" s="1063"/>
      <c r="Z1169" s="1063"/>
      <c r="AA1169" s="1063"/>
      <c r="AB1169" s="1063"/>
      <c r="AC1169" s="1063"/>
      <c r="AD1169" s="1063"/>
      <c r="AE1169" s="1063"/>
      <c r="AF1169" s="1063"/>
      <c r="AG1169" s="1063"/>
      <c r="AH1169" s="1063"/>
      <c r="AI1169" s="1063"/>
      <c r="AJ1169" s="1063"/>
      <c r="AK1169" s="1063"/>
      <c r="AL1169" s="1063"/>
      <c r="AM1169" s="1063"/>
      <c r="AN1169" s="1063"/>
      <c r="AO1169" s="1063"/>
      <c r="AP1169" s="1063"/>
      <c r="AQ1169" s="1063"/>
      <c r="AR1169" s="1063"/>
      <c r="AS1169" s="1063"/>
      <c r="AT1169" s="1063"/>
      <c r="AU1169" s="1063"/>
      <c r="AV1169" s="1063"/>
    </row>
    <row r="1170" spans="1:48" s="1108" customFormat="1" ht="27.75" customHeight="1">
      <c r="A1170" s="1076"/>
      <c r="B1170" s="1074">
        <f>+'[18]Bldg+Dev'!S1982</f>
        <v>0</v>
      </c>
      <c r="D1170" s="1063"/>
      <c r="F1170" s="1076"/>
      <c r="G1170" s="1063"/>
      <c r="H1170" s="1063"/>
      <c r="I1170" s="1063"/>
      <c r="J1170" s="1063"/>
      <c r="K1170" s="1063"/>
      <c r="L1170" s="1063"/>
      <c r="M1170" s="1063"/>
      <c r="N1170" s="1063"/>
      <c r="O1170" s="1063"/>
      <c r="P1170" s="1063"/>
      <c r="Q1170" s="1063"/>
      <c r="R1170" s="1063"/>
      <c r="S1170" s="1063"/>
      <c r="T1170" s="1063"/>
      <c r="U1170" s="1063"/>
      <c r="V1170" s="1063"/>
      <c r="W1170" s="1063"/>
      <c r="X1170" s="1063"/>
      <c r="Y1170" s="1063"/>
      <c r="Z1170" s="1063"/>
      <c r="AA1170" s="1063"/>
      <c r="AB1170" s="1063"/>
      <c r="AC1170" s="1063"/>
      <c r="AD1170" s="1063"/>
      <c r="AE1170" s="1063"/>
      <c r="AF1170" s="1063"/>
      <c r="AG1170" s="1063"/>
      <c r="AH1170" s="1063"/>
      <c r="AI1170" s="1063"/>
      <c r="AJ1170" s="1063"/>
      <c r="AK1170" s="1063"/>
      <c r="AL1170" s="1063"/>
      <c r="AM1170" s="1063"/>
      <c r="AN1170" s="1063"/>
      <c r="AO1170" s="1063"/>
      <c r="AP1170" s="1063"/>
      <c r="AQ1170" s="1063"/>
      <c r="AR1170" s="1063"/>
      <c r="AS1170" s="1063"/>
      <c r="AT1170" s="1063"/>
      <c r="AU1170" s="1063"/>
      <c r="AV1170" s="1063"/>
    </row>
    <row r="1171" spans="1:48" s="1108" customFormat="1" ht="27.75" customHeight="1">
      <c r="A1171" s="1076"/>
      <c r="B1171" s="1074">
        <f>+'[18]Bldg+Dev'!S1983</f>
        <v>0</v>
      </c>
      <c r="D1171" s="1063"/>
      <c r="F1171" s="1076"/>
      <c r="G1171" s="1063"/>
      <c r="H1171" s="1063"/>
      <c r="I1171" s="1063"/>
      <c r="J1171" s="1063"/>
      <c r="K1171" s="1063"/>
      <c r="L1171" s="1063"/>
      <c r="M1171" s="1063"/>
      <c r="N1171" s="1063"/>
      <c r="O1171" s="1063"/>
      <c r="P1171" s="1063"/>
      <c r="Q1171" s="1063"/>
      <c r="R1171" s="1063"/>
      <c r="S1171" s="1063"/>
      <c r="T1171" s="1063"/>
      <c r="U1171" s="1063"/>
      <c r="V1171" s="1063"/>
      <c r="W1171" s="1063"/>
      <c r="X1171" s="1063"/>
      <c r="Y1171" s="1063"/>
      <c r="Z1171" s="1063"/>
      <c r="AA1171" s="1063"/>
      <c r="AB1171" s="1063"/>
      <c r="AC1171" s="1063"/>
      <c r="AD1171" s="1063"/>
      <c r="AE1171" s="1063"/>
      <c r="AF1171" s="1063"/>
      <c r="AG1171" s="1063"/>
      <c r="AH1171" s="1063"/>
      <c r="AI1171" s="1063"/>
      <c r="AJ1171" s="1063"/>
      <c r="AK1171" s="1063"/>
      <c r="AL1171" s="1063"/>
      <c r="AM1171" s="1063"/>
      <c r="AN1171" s="1063"/>
      <c r="AO1171" s="1063"/>
      <c r="AP1171" s="1063"/>
      <c r="AQ1171" s="1063"/>
      <c r="AR1171" s="1063"/>
      <c r="AS1171" s="1063"/>
      <c r="AT1171" s="1063"/>
      <c r="AU1171" s="1063"/>
      <c r="AV1171" s="1063"/>
    </row>
    <row r="1172" spans="1:48" s="1108" customFormat="1" ht="27.75" customHeight="1">
      <c r="A1172" s="1076"/>
      <c r="B1172" s="1074">
        <f>+'[18]Bldg+Dev'!S1984</f>
        <v>0</v>
      </c>
      <c r="D1172" s="1063"/>
      <c r="F1172" s="1076"/>
      <c r="G1172" s="1063"/>
      <c r="H1172" s="1063"/>
      <c r="I1172" s="1063"/>
      <c r="J1172" s="1063"/>
      <c r="K1172" s="1063"/>
      <c r="L1172" s="1063"/>
      <c r="M1172" s="1063"/>
      <c r="N1172" s="1063"/>
      <c r="O1172" s="1063"/>
      <c r="P1172" s="1063"/>
      <c r="Q1172" s="1063"/>
      <c r="R1172" s="1063"/>
      <c r="S1172" s="1063"/>
      <c r="T1172" s="1063"/>
      <c r="U1172" s="1063"/>
      <c r="V1172" s="1063"/>
      <c r="W1172" s="1063"/>
      <c r="X1172" s="1063"/>
      <c r="Y1172" s="1063"/>
      <c r="Z1172" s="1063"/>
      <c r="AA1172" s="1063"/>
      <c r="AB1172" s="1063"/>
      <c r="AC1172" s="1063"/>
      <c r="AD1172" s="1063"/>
      <c r="AE1172" s="1063"/>
      <c r="AF1172" s="1063"/>
      <c r="AG1172" s="1063"/>
      <c r="AH1172" s="1063"/>
      <c r="AI1172" s="1063"/>
      <c r="AJ1172" s="1063"/>
      <c r="AK1172" s="1063"/>
      <c r="AL1172" s="1063"/>
      <c r="AM1172" s="1063"/>
      <c r="AN1172" s="1063"/>
      <c r="AO1172" s="1063"/>
      <c r="AP1172" s="1063"/>
      <c r="AQ1172" s="1063"/>
      <c r="AR1172" s="1063"/>
      <c r="AS1172" s="1063"/>
      <c r="AT1172" s="1063"/>
      <c r="AU1172" s="1063"/>
      <c r="AV1172" s="1063"/>
    </row>
    <row r="1173" spans="1:48" s="1108" customFormat="1" ht="27.75" customHeight="1">
      <c r="A1173" s="1076"/>
      <c r="B1173" s="1074">
        <f>+'[18]Bldg+Dev'!S1985</f>
        <v>0</v>
      </c>
      <c r="D1173" s="1063"/>
      <c r="F1173" s="1076"/>
      <c r="G1173" s="1063"/>
      <c r="H1173" s="1063"/>
      <c r="I1173" s="1063"/>
      <c r="J1173" s="1063"/>
      <c r="K1173" s="1063"/>
      <c r="L1173" s="1063"/>
      <c r="M1173" s="1063"/>
      <c r="N1173" s="1063"/>
      <c r="O1173" s="1063"/>
      <c r="P1173" s="1063"/>
      <c r="Q1173" s="1063"/>
      <c r="R1173" s="1063"/>
      <c r="S1173" s="1063"/>
      <c r="T1173" s="1063"/>
      <c r="U1173" s="1063"/>
      <c r="V1173" s="1063"/>
      <c r="W1173" s="1063"/>
      <c r="X1173" s="1063"/>
      <c r="Y1173" s="1063"/>
      <c r="Z1173" s="1063"/>
      <c r="AA1173" s="1063"/>
      <c r="AB1173" s="1063"/>
      <c r="AC1173" s="1063"/>
      <c r="AD1173" s="1063"/>
      <c r="AE1173" s="1063"/>
      <c r="AF1173" s="1063"/>
      <c r="AG1173" s="1063"/>
      <c r="AH1173" s="1063"/>
      <c r="AI1173" s="1063"/>
      <c r="AJ1173" s="1063"/>
      <c r="AK1173" s="1063"/>
      <c r="AL1173" s="1063"/>
      <c r="AM1173" s="1063"/>
      <c r="AN1173" s="1063"/>
      <c r="AO1173" s="1063"/>
      <c r="AP1173" s="1063"/>
      <c r="AQ1173" s="1063"/>
      <c r="AR1173" s="1063"/>
      <c r="AS1173" s="1063"/>
      <c r="AT1173" s="1063"/>
      <c r="AU1173" s="1063"/>
      <c r="AV1173" s="1063"/>
    </row>
    <row r="1174" spans="1:48" s="1108" customFormat="1" ht="27.75" customHeight="1">
      <c r="A1174" s="1076"/>
      <c r="B1174" s="1074">
        <f>+'[18]Bldg+Dev'!S1986</f>
        <v>0</v>
      </c>
      <c r="D1174" s="1063"/>
      <c r="F1174" s="1076"/>
      <c r="G1174" s="1063"/>
      <c r="H1174" s="1063"/>
      <c r="I1174" s="1063"/>
      <c r="J1174" s="1063"/>
      <c r="K1174" s="1063"/>
      <c r="L1174" s="1063"/>
      <c r="M1174" s="1063"/>
      <c r="N1174" s="1063"/>
      <c r="O1174" s="1063"/>
      <c r="P1174" s="1063"/>
      <c r="Q1174" s="1063"/>
      <c r="R1174" s="1063"/>
      <c r="S1174" s="1063"/>
      <c r="T1174" s="1063"/>
      <c r="U1174" s="1063"/>
      <c r="V1174" s="1063"/>
      <c r="W1174" s="1063"/>
      <c r="X1174" s="1063"/>
      <c r="Y1174" s="1063"/>
      <c r="Z1174" s="1063"/>
      <c r="AA1174" s="1063"/>
      <c r="AB1174" s="1063"/>
      <c r="AC1174" s="1063"/>
      <c r="AD1174" s="1063"/>
      <c r="AE1174" s="1063"/>
      <c r="AF1174" s="1063"/>
      <c r="AG1174" s="1063"/>
      <c r="AH1174" s="1063"/>
      <c r="AI1174" s="1063"/>
      <c r="AJ1174" s="1063"/>
      <c r="AK1174" s="1063"/>
      <c r="AL1174" s="1063"/>
      <c r="AM1174" s="1063"/>
      <c r="AN1174" s="1063"/>
      <c r="AO1174" s="1063"/>
      <c r="AP1174" s="1063"/>
      <c r="AQ1174" s="1063"/>
      <c r="AR1174" s="1063"/>
      <c r="AS1174" s="1063"/>
      <c r="AT1174" s="1063"/>
      <c r="AU1174" s="1063"/>
      <c r="AV1174" s="1063"/>
    </row>
    <row r="1175" spans="1:48" s="1108" customFormat="1" ht="27.75" customHeight="1">
      <c r="A1175" s="1076"/>
      <c r="B1175" s="1074">
        <f>+'[18]Bldg+Dev'!S1987</f>
        <v>0</v>
      </c>
      <c r="D1175" s="1063"/>
      <c r="F1175" s="1076"/>
      <c r="G1175" s="1063"/>
      <c r="H1175" s="1063"/>
      <c r="I1175" s="1063"/>
      <c r="J1175" s="1063"/>
      <c r="K1175" s="1063"/>
      <c r="L1175" s="1063"/>
      <c r="M1175" s="1063"/>
      <c r="N1175" s="1063"/>
      <c r="O1175" s="1063"/>
      <c r="P1175" s="1063"/>
      <c r="Q1175" s="1063"/>
      <c r="R1175" s="1063"/>
      <c r="S1175" s="1063"/>
      <c r="T1175" s="1063"/>
      <c r="U1175" s="1063"/>
      <c r="V1175" s="1063"/>
      <c r="W1175" s="1063"/>
      <c r="X1175" s="1063"/>
      <c r="Y1175" s="1063"/>
      <c r="Z1175" s="1063"/>
      <c r="AA1175" s="1063"/>
      <c r="AB1175" s="1063"/>
      <c r="AC1175" s="1063"/>
      <c r="AD1175" s="1063"/>
      <c r="AE1175" s="1063"/>
      <c r="AF1175" s="1063"/>
      <c r="AG1175" s="1063"/>
      <c r="AH1175" s="1063"/>
      <c r="AI1175" s="1063"/>
      <c r="AJ1175" s="1063"/>
      <c r="AK1175" s="1063"/>
      <c r="AL1175" s="1063"/>
      <c r="AM1175" s="1063"/>
      <c r="AN1175" s="1063"/>
      <c r="AO1175" s="1063"/>
      <c r="AP1175" s="1063"/>
      <c r="AQ1175" s="1063"/>
      <c r="AR1175" s="1063"/>
      <c r="AS1175" s="1063"/>
      <c r="AT1175" s="1063"/>
      <c r="AU1175" s="1063"/>
      <c r="AV1175" s="1063"/>
    </row>
    <row r="1176" spans="1:48" s="1108" customFormat="1" ht="27.75" customHeight="1">
      <c r="A1176" s="1076"/>
      <c r="B1176" s="1074">
        <f>+'[18]Bldg+Dev'!S1988</f>
        <v>0</v>
      </c>
      <c r="D1176" s="1063"/>
      <c r="F1176" s="1076"/>
      <c r="G1176" s="1063"/>
      <c r="H1176" s="1063"/>
      <c r="I1176" s="1063"/>
      <c r="J1176" s="1063"/>
      <c r="K1176" s="1063"/>
      <c r="L1176" s="1063"/>
      <c r="M1176" s="1063"/>
      <c r="N1176" s="1063"/>
      <c r="O1176" s="1063"/>
      <c r="P1176" s="1063"/>
      <c r="Q1176" s="1063"/>
      <c r="R1176" s="1063"/>
      <c r="S1176" s="1063"/>
      <c r="T1176" s="1063"/>
      <c r="U1176" s="1063"/>
      <c r="V1176" s="1063"/>
      <c r="W1176" s="1063"/>
      <c r="X1176" s="1063"/>
      <c r="Y1176" s="1063"/>
      <c r="Z1176" s="1063"/>
      <c r="AA1176" s="1063"/>
      <c r="AB1176" s="1063"/>
      <c r="AC1176" s="1063"/>
      <c r="AD1176" s="1063"/>
      <c r="AE1176" s="1063"/>
      <c r="AF1176" s="1063"/>
      <c r="AG1176" s="1063"/>
      <c r="AH1176" s="1063"/>
      <c r="AI1176" s="1063"/>
      <c r="AJ1176" s="1063"/>
      <c r="AK1176" s="1063"/>
      <c r="AL1176" s="1063"/>
      <c r="AM1176" s="1063"/>
      <c r="AN1176" s="1063"/>
      <c r="AO1176" s="1063"/>
      <c r="AP1176" s="1063"/>
      <c r="AQ1176" s="1063"/>
      <c r="AR1176" s="1063"/>
      <c r="AS1176" s="1063"/>
      <c r="AT1176" s="1063"/>
      <c r="AU1176" s="1063"/>
      <c r="AV1176" s="1063"/>
    </row>
    <row r="1177" spans="1:48" s="1108" customFormat="1" ht="27.75" customHeight="1">
      <c r="A1177" s="1076"/>
      <c r="B1177" s="1074">
        <f>+'[18]Bldg+Dev'!S1989</f>
        <v>0</v>
      </c>
      <c r="D1177" s="1063"/>
      <c r="F1177" s="1076"/>
      <c r="G1177" s="1063"/>
      <c r="H1177" s="1063"/>
      <c r="I1177" s="1063"/>
      <c r="J1177" s="1063"/>
      <c r="K1177" s="1063"/>
      <c r="L1177" s="1063"/>
      <c r="M1177" s="1063"/>
      <c r="N1177" s="1063"/>
      <c r="O1177" s="1063"/>
      <c r="P1177" s="1063"/>
      <c r="Q1177" s="1063"/>
      <c r="R1177" s="1063"/>
      <c r="S1177" s="1063"/>
      <c r="T1177" s="1063"/>
      <c r="U1177" s="1063"/>
      <c r="V1177" s="1063"/>
      <c r="W1177" s="1063"/>
      <c r="X1177" s="1063"/>
      <c r="Y1177" s="1063"/>
      <c r="Z1177" s="1063"/>
      <c r="AA1177" s="1063"/>
      <c r="AB1177" s="1063"/>
      <c r="AC1177" s="1063"/>
      <c r="AD1177" s="1063"/>
      <c r="AE1177" s="1063"/>
      <c r="AF1177" s="1063"/>
      <c r="AG1177" s="1063"/>
      <c r="AH1177" s="1063"/>
      <c r="AI1177" s="1063"/>
      <c r="AJ1177" s="1063"/>
      <c r="AK1177" s="1063"/>
      <c r="AL1177" s="1063"/>
      <c r="AM1177" s="1063"/>
      <c r="AN1177" s="1063"/>
      <c r="AO1177" s="1063"/>
      <c r="AP1177" s="1063"/>
      <c r="AQ1177" s="1063"/>
      <c r="AR1177" s="1063"/>
      <c r="AS1177" s="1063"/>
      <c r="AT1177" s="1063"/>
      <c r="AU1177" s="1063"/>
      <c r="AV1177" s="1063"/>
    </row>
    <row r="1178" spans="1:48" s="1108" customFormat="1" ht="27.75" customHeight="1">
      <c r="A1178" s="1076"/>
      <c r="B1178" s="1074">
        <f>+'[18]Bldg+Dev'!S1990</f>
        <v>0</v>
      </c>
      <c r="D1178" s="1063"/>
      <c r="F1178" s="1076"/>
      <c r="G1178" s="1063"/>
      <c r="H1178" s="1063"/>
      <c r="I1178" s="1063"/>
      <c r="J1178" s="1063"/>
      <c r="K1178" s="1063"/>
      <c r="L1178" s="1063"/>
      <c r="M1178" s="1063"/>
      <c r="N1178" s="1063"/>
      <c r="O1178" s="1063"/>
      <c r="P1178" s="1063"/>
      <c r="Q1178" s="1063"/>
      <c r="R1178" s="1063"/>
      <c r="S1178" s="1063"/>
      <c r="T1178" s="1063"/>
      <c r="U1178" s="1063"/>
      <c r="V1178" s="1063"/>
      <c r="W1178" s="1063"/>
      <c r="X1178" s="1063"/>
      <c r="Y1178" s="1063"/>
      <c r="Z1178" s="1063"/>
      <c r="AA1178" s="1063"/>
      <c r="AB1178" s="1063"/>
      <c r="AC1178" s="1063"/>
      <c r="AD1178" s="1063"/>
      <c r="AE1178" s="1063"/>
      <c r="AF1178" s="1063"/>
      <c r="AG1178" s="1063"/>
      <c r="AH1178" s="1063"/>
      <c r="AI1178" s="1063"/>
      <c r="AJ1178" s="1063"/>
      <c r="AK1178" s="1063"/>
      <c r="AL1178" s="1063"/>
      <c r="AM1178" s="1063"/>
      <c r="AN1178" s="1063"/>
      <c r="AO1178" s="1063"/>
      <c r="AP1178" s="1063"/>
      <c r="AQ1178" s="1063"/>
      <c r="AR1178" s="1063"/>
      <c r="AS1178" s="1063"/>
      <c r="AT1178" s="1063"/>
      <c r="AU1178" s="1063"/>
      <c r="AV1178" s="1063"/>
    </row>
    <row r="1179" spans="1:48" s="1108" customFormat="1" ht="27.75" customHeight="1">
      <c r="A1179" s="1076"/>
      <c r="B1179" s="1074">
        <f>+'[18]Bldg+Dev'!S1991</f>
        <v>0</v>
      </c>
      <c r="D1179" s="1063"/>
      <c r="F1179" s="1076"/>
      <c r="G1179" s="1063"/>
      <c r="H1179" s="1063"/>
      <c r="I1179" s="1063"/>
      <c r="J1179" s="1063"/>
      <c r="K1179" s="1063"/>
      <c r="L1179" s="1063"/>
      <c r="M1179" s="1063"/>
      <c r="N1179" s="1063"/>
      <c r="O1179" s="1063"/>
      <c r="P1179" s="1063"/>
      <c r="Q1179" s="1063"/>
      <c r="R1179" s="1063"/>
      <c r="S1179" s="1063"/>
      <c r="T1179" s="1063"/>
      <c r="U1179" s="1063"/>
      <c r="V1179" s="1063"/>
      <c r="W1179" s="1063"/>
      <c r="X1179" s="1063"/>
      <c r="Y1179" s="1063"/>
      <c r="Z1179" s="1063"/>
      <c r="AA1179" s="1063"/>
      <c r="AB1179" s="1063"/>
      <c r="AC1179" s="1063"/>
      <c r="AD1179" s="1063"/>
      <c r="AE1179" s="1063"/>
      <c r="AF1179" s="1063"/>
      <c r="AG1179" s="1063"/>
      <c r="AH1179" s="1063"/>
      <c r="AI1179" s="1063"/>
      <c r="AJ1179" s="1063"/>
      <c r="AK1179" s="1063"/>
      <c r="AL1179" s="1063"/>
      <c r="AM1179" s="1063"/>
      <c r="AN1179" s="1063"/>
      <c r="AO1179" s="1063"/>
      <c r="AP1179" s="1063"/>
      <c r="AQ1179" s="1063"/>
      <c r="AR1179" s="1063"/>
      <c r="AS1179" s="1063"/>
      <c r="AT1179" s="1063"/>
      <c r="AU1179" s="1063"/>
      <c r="AV1179" s="1063"/>
    </row>
    <row r="1180" spans="1:48" s="1108" customFormat="1" ht="27.75" customHeight="1">
      <c r="A1180" s="1076"/>
      <c r="B1180" s="1074">
        <f>+'[18]Bldg+Dev'!S1992</f>
        <v>0</v>
      </c>
      <c r="D1180" s="1063"/>
      <c r="F1180" s="1076"/>
      <c r="G1180" s="1063"/>
      <c r="H1180" s="1063"/>
      <c r="I1180" s="1063"/>
      <c r="J1180" s="1063"/>
      <c r="K1180" s="1063"/>
      <c r="L1180" s="1063"/>
      <c r="M1180" s="1063"/>
      <c r="N1180" s="1063"/>
      <c r="O1180" s="1063"/>
      <c r="P1180" s="1063"/>
      <c r="Q1180" s="1063"/>
      <c r="R1180" s="1063"/>
      <c r="S1180" s="1063"/>
      <c r="T1180" s="1063"/>
      <c r="U1180" s="1063"/>
      <c r="V1180" s="1063"/>
      <c r="W1180" s="1063"/>
      <c r="X1180" s="1063"/>
      <c r="Y1180" s="1063"/>
      <c r="Z1180" s="1063"/>
      <c r="AA1180" s="1063"/>
      <c r="AB1180" s="1063"/>
      <c r="AC1180" s="1063"/>
      <c r="AD1180" s="1063"/>
      <c r="AE1180" s="1063"/>
      <c r="AF1180" s="1063"/>
      <c r="AG1180" s="1063"/>
      <c r="AH1180" s="1063"/>
      <c r="AI1180" s="1063"/>
      <c r="AJ1180" s="1063"/>
      <c r="AK1180" s="1063"/>
      <c r="AL1180" s="1063"/>
      <c r="AM1180" s="1063"/>
      <c r="AN1180" s="1063"/>
      <c r="AO1180" s="1063"/>
      <c r="AP1180" s="1063"/>
      <c r="AQ1180" s="1063"/>
      <c r="AR1180" s="1063"/>
      <c r="AS1180" s="1063"/>
      <c r="AT1180" s="1063"/>
      <c r="AU1180" s="1063"/>
      <c r="AV1180" s="1063"/>
    </row>
    <row r="1181" spans="1:48" s="1108" customFormat="1" ht="27.75" customHeight="1">
      <c r="A1181" s="1076"/>
      <c r="B1181" s="1074">
        <f>+'[18]Bldg+Dev'!S1993</f>
        <v>0</v>
      </c>
      <c r="D1181" s="1063"/>
      <c r="F1181" s="1076"/>
      <c r="G1181" s="1063"/>
      <c r="H1181" s="1063"/>
      <c r="I1181" s="1063"/>
      <c r="J1181" s="1063"/>
      <c r="K1181" s="1063"/>
      <c r="L1181" s="1063"/>
      <c r="M1181" s="1063"/>
      <c r="N1181" s="1063"/>
      <c r="O1181" s="1063"/>
      <c r="P1181" s="1063"/>
      <c r="Q1181" s="1063"/>
      <c r="R1181" s="1063"/>
      <c r="S1181" s="1063"/>
      <c r="T1181" s="1063"/>
      <c r="U1181" s="1063"/>
      <c r="V1181" s="1063"/>
      <c r="W1181" s="1063"/>
      <c r="X1181" s="1063"/>
      <c r="Y1181" s="1063"/>
      <c r="Z1181" s="1063"/>
      <c r="AA1181" s="1063"/>
      <c r="AB1181" s="1063"/>
      <c r="AC1181" s="1063"/>
      <c r="AD1181" s="1063"/>
      <c r="AE1181" s="1063"/>
      <c r="AF1181" s="1063"/>
      <c r="AG1181" s="1063"/>
      <c r="AH1181" s="1063"/>
      <c r="AI1181" s="1063"/>
      <c r="AJ1181" s="1063"/>
      <c r="AK1181" s="1063"/>
      <c r="AL1181" s="1063"/>
      <c r="AM1181" s="1063"/>
      <c r="AN1181" s="1063"/>
      <c r="AO1181" s="1063"/>
      <c r="AP1181" s="1063"/>
      <c r="AQ1181" s="1063"/>
      <c r="AR1181" s="1063"/>
      <c r="AS1181" s="1063"/>
      <c r="AT1181" s="1063"/>
      <c r="AU1181" s="1063"/>
      <c r="AV1181" s="1063"/>
    </row>
    <row r="1182" spans="1:48" s="1108" customFormat="1" ht="27.75" customHeight="1">
      <c r="A1182" s="1076"/>
      <c r="B1182" s="1074">
        <f>+'[18]Bldg+Dev'!S1994</f>
        <v>0</v>
      </c>
      <c r="D1182" s="1063"/>
      <c r="F1182" s="1076"/>
      <c r="G1182" s="1063"/>
      <c r="H1182" s="1063"/>
      <c r="I1182" s="1063"/>
      <c r="J1182" s="1063"/>
      <c r="K1182" s="1063"/>
      <c r="L1182" s="1063"/>
      <c r="M1182" s="1063"/>
      <c r="N1182" s="1063"/>
      <c r="O1182" s="1063"/>
      <c r="P1182" s="1063"/>
      <c r="Q1182" s="1063"/>
      <c r="R1182" s="1063"/>
      <c r="S1182" s="1063"/>
      <c r="T1182" s="1063"/>
      <c r="U1182" s="1063"/>
      <c r="V1182" s="1063"/>
      <c r="W1182" s="1063"/>
      <c r="X1182" s="1063"/>
      <c r="Y1182" s="1063"/>
      <c r="Z1182" s="1063"/>
      <c r="AA1182" s="1063"/>
      <c r="AB1182" s="1063"/>
      <c r="AC1182" s="1063"/>
      <c r="AD1182" s="1063"/>
      <c r="AE1182" s="1063"/>
      <c r="AF1182" s="1063"/>
      <c r="AG1182" s="1063"/>
      <c r="AH1182" s="1063"/>
      <c r="AI1182" s="1063"/>
      <c r="AJ1182" s="1063"/>
      <c r="AK1182" s="1063"/>
      <c r="AL1182" s="1063"/>
      <c r="AM1182" s="1063"/>
      <c r="AN1182" s="1063"/>
      <c r="AO1182" s="1063"/>
      <c r="AP1182" s="1063"/>
      <c r="AQ1182" s="1063"/>
      <c r="AR1182" s="1063"/>
      <c r="AS1182" s="1063"/>
      <c r="AT1182" s="1063"/>
      <c r="AU1182" s="1063"/>
      <c r="AV1182" s="1063"/>
    </row>
    <row r="1183" spans="1:48" s="1108" customFormat="1" ht="27.75" customHeight="1">
      <c r="A1183" s="1076"/>
      <c r="B1183" s="1074">
        <f>+'[18]Bldg+Dev'!S1995</f>
        <v>0</v>
      </c>
      <c r="D1183" s="1063"/>
      <c r="F1183" s="1076"/>
      <c r="G1183" s="1063"/>
      <c r="H1183" s="1063"/>
      <c r="I1183" s="1063"/>
      <c r="J1183" s="1063"/>
      <c r="K1183" s="1063"/>
      <c r="L1183" s="1063"/>
      <c r="M1183" s="1063"/>
      <c r="N1183" s="1063"/>
      <c r="O1183" s="1063"/>
      <c r="P1183" s="1063"/>
      <c r="Q1183" s="1063"/>
      <c r="R1183" s="1063"/>
      <c r="S1183" s="1063"/>
      <c r="T1183" s="1063"/>
      <c r="U1183" s="1063"/>
      <c r="V1183" s="1063"/>
      <c r="W1183" s="1063"/>
      <c r="X1183" s="1063"/>
      <c r="Y1183" s="1063"/>
      <c r="Z1183" s="1063"/>
      <c r="AA1183" s="1063"/>
      <c r="AB1183" s="1063"/>
      <c r="AC1183" s="1063"/>
      <c r="AD1183" s="1063"/>
      <c r="AE1183" s="1063"/>
      <c r="AF1183" s="1063"/>
      <c r="AG1183" s="1063"/>
      <c r="AH1183" s="1063"/>
      <c r="AI1183" s="1063"/>
      <c r="AJ1183" s="1063"/>
      <c r="AK1183" s="1063"/>
      <c r="AL1183" s="1063"/>
      <c r="AM1183" s="1063"/>
      <c r="AN1183" s="1063"/>
      <c r="AO1183" s="1063"/>
      <c r="AP1183" s="1063"/>
      <c r="AQ1183" s="1063"/>
      <c r="AR1183" s="1063"/>
      <c r="AS1183" s="1063"/>
      <c r="AT1183" s="1063"/>
      <c r="AU1183" s="1063"/>
      <c r="AV1183" s="1063"/>
    </row>
    <row r="1184" spans="1:48" s="1108" customFormat="1" ht="27.75" customHeight="1">
      <c r="A1184" s="1076"/>
      <c r="B1184" s="1074">
        <f>+'[18]Bldg+Dev'!S1996</f>
        <v>0</v>
      </c>
      <c r="D1184" s="1063"/>
      <c r="F1184" s="1076"/>
      <c r="G1184" s="1063"/>
      <c r="H1184" s="1063"/>
      <c r="I1184" s="1063"/>
      <c r="J1184" s="1063"/>
      <c r="K1184" s="1063"/>
      <c r="L1184" s="1063"/>
      <c r="M1184" s="1063"/>
      <c r="N1184" s="1063"/>
      <c r="O1184" s="1063"/>
      <c r="P1184" s="1063"/>
      <c r="Q1184" s="1063"/>
      <c r="R1184" s="1063"/>
      <c r="S1184" s="1063"/>
      <c r="T1184" s="1063"/>
      <c r="U1184" s="1063"/>
      <c r="V1184" s="1063"/>
      <c r="W1184" s="1063"/>
      <c r="X1184" s="1063"/>
      <c r="Y1184" s="1063"/>
      <c r="Z1184" s="1063"/>
      <c r="AA1184" s="1063"/>
      <c r="AB1184" s="1063"/>
      <c r="AC1184" s="1063"/>
      <c r="AD1184" s="1063"/>
      <c r="AE1184" s="1063"/>
      <c r="AF1184" s="1063"/>
      <c r="AG1184" s="1063"/>
      <c r="AH1184" s="1063"/>
      <c r="AI1184" s="1063"/>
      <c r="AJ1184" s="1063"/>
      <c r="AK1184" s="1063"/>
      <c r="AL1184" s="1063"/>
      <c r="AM1184" s="1063"/>
      <c r="AN1184" s="1063"/>
      <c r="AO1184" s="1063"/>
      <c r="AP1184" s="1063"/>
      <c r="AQ1184" s="1063"/>
      <c r="AR1184" s="1063"/>
      <c r="AS1184" s="1063"/>
      <c r="AT1184" s="1063"/>
      <c r="AU1184" s="1063"/>
      <c r="AV1184" s="1063"/>
    </row>
    <row r="1185" spans="1:48" s="1108" customFormat="1" ht="27.75" customHeight="1">
      <c r="A1185" s="1076"/>
      <c r="B1185" s="1074">
        <f>+'[18]Bldg+Dev'!S1997</f>
        <v>0</v>
      </c>
      <c r="D1185" s="1063"/>
      <c r="F1185" s="1076"/>
      <c r="G1185" s="1063"/>
      <c r="H1185" s="1063"/>
      <c r="I1185" s="1063"/>
      <c r="J1185" s="1063"/>
      <c r="K1185" s="1063"/>
      <c r="L1185" s="1063"/>
      <c r="M1185" s="1063"/>
      <c r="N1185" s="1063"/>
      <c r="O1185" s="1063"/>
      <c r="P1185" s="1063"/>
      <c r="Q1185" s="1063"/>
      <c r="R1185" s="1063"/>
      <c r="S1185" s="1063"/>
      <c r="T1185" s="1063"/>
      <c r="U1185" s="1063"/>
      <c r="V1185" s="1063"/>
      <c r="W1185" s="1063"/>
      <c r="X1185" s="1063"/>
      <c r="Y1185" s="1063"/>
      <c r="Z1185" s="1063"/>
      <c r="AA1185" s="1063"/>
      <c r="AB1185" s="1063"/>
      <c r="AC1185" s="1063"/>
      <c r="AD1185" s="1063"/>
      <c r="AE1185" s="1063"/>
      <c r="AF1185" s="1063"/>
      <c r="AG1185" s="1063"/>
      <c r="AH1185" s="1063"/>
      <c r="AI1185" s="1063"/>
      <c r="AJ1185" s="1063"/>
      <c r="AK1185" s="1063"/>
      <c r="AL1185" s="1063"/>
      <c r="AM1185" s="1063"/>
      <c r="AN1185" s="1063"/>
      <c r="AO1185" s="1063"/>
      <c r="AP1185" s="1063"/>
      <c r="AQ1185" s="1063"/>
      <c r="AR1185" s="1063"/>
      <c r="AS1185" s="1063"/>
      <c r="AT1185" s="1063"/>
      <c r="AU1185" s="1063"/>
      <c r="AV1185" s="1063"/>
    </row>
    <row r="1186" spans="1:48" s="1108" customFormat="1" ht="27.75" customHeight="1">
      <c r="A1186" s="1076"/>
      <c r="B1186" s="1074">
        <f>+'[18]Bldg+Dev'!S1998</f>
        <v>0</v>
      </c>
      <c r="D1186" s="1063"/>
      <c r="F1186" s="1076"/>
      <c r="G1186" s="1063"/>
      <c r="H1186" s="1063"/>
      <c r="I1186" s="1063"/>
      <c r="J1186" s="1063"/>
      <c r="K1186" s="1063"/>
      <c r="L1186" s="1063"/>
      <c r="M1186" s="1063"/>
      <c r="N1186" s="1063"/>
      <c r="O1186" s="1063"/>
      <c r="P1186" s="1063"/>
      <c r="Q1186" s="1063"/>
      <c r="R1186" s="1063"/>
      <c r="S1186" s="1063"/>
      <c r="T1186" s="1063"/>
      <c r="U1186" s="1063"/>
      <c r="V1186" s="1063"/>
      <c r="W1186" s="1063"/>
      <c r="X1186" s="1063"/>
      <c r="Y1186" s="1063"/>
      <c r="Z1186" s="1063"/>
      <c r="AA1186" s="1063"/>
      <c r="AB1186" s="1063"/>
      <c r="AC1186" s="1063"/>
      <c r="AD1186" s="1063"/>
      <c r="AE1186" s="1063"/>
      <c r="AF1186" s="1063"/>
      <c r="AG1186" s="1063"/>
      <c r="AH1186" s="1063"/>
      <c r="AI1186" s="1063"/>
      <c r="AJ1186" s="1063"/>
      <c r="AK1186" s="1063"/>
      <c r="AL1186" s="1063"/>
      <c r="AM1186" s="1063"/>
      <c r="AN1186" s="1063"/>
      <c r="AO1186" s="1063"/>
      <c r="AP1186" s="1063"/>
      <c r="AQ1186" s="1063"/>
      <c r="AR1186" s="1063"/>
      <c r="AS1186" s="1063"/>
      <c r="AT1186" s="1063"/>
      <c r="AU1186" s="1063"/>
      <c r="AV1186" s="1063"/>
    </row>
    <row r="1187" spans="1:48" s="1108" customFormat="1" ht="27.75" customHeight="1">
      <c r="A1187" s="1076"/>
      <c r="B1187" s="1074">
        <f>+'[18]Bldg+Dev'!S1999</f>
        <v>0</v>
      </c>
      <c r="D1187" s="1063"/>
      <c r="F1187" s="1076"/>
      <c r="G1187" s="1063"/>
      <c r="H1187" s="1063"/>
      <c r="I1187" s="1063"/>
      <c r="J1187" s="1063"/>
      <c r="K1187" s="1063"/>
      <c r="L1187" s="1063"/>
      <c r="M1187" s="1063"/>
      <c r="N1187" s="1063"/>
      <c r="O1187" s="1063"/>
      <c r="P1187" s="1063"/>
      <c r="Q1187" s="1063"/>
      <c r="R1187" s="1063"/>
      <c r="S1187" s="1063"/>
      <c r="T1187" s="1063"/>
      <c r="U1187" s="1063"/>
      <c r="V1187" s="1063"/>
      <c r="W1187" s="1063"/>
      <c r="X1187" s="1063"/>
      <c r="Y1187" s="1063"/>
      <c r="Z1187" s="1063"/>
      <c r="AA1187" s="1063"/>
      <c r="AB1187" s="1063"/>
      <c r="AC1187" s="1063"/>
      <c r="AD1187" s="1063"/>
      <c r="AE1187" s="1063"/>
      <c r="AF1187" s="1063"/>
      <c r="AG1187" s="1063"/>
      <c r="AH1187" s="1063"/>
      <c r="AI1187" s="1063"/>
      <c r="AJ1187" s="1063"/>
      <c r="AK1187" s="1063"/>
      <c r="AL1187" s="1063"/>
      <c r="AM1187" s="1063"/>
      <c r="AN1187" s="1063"/>
      <c r="AO1187" s="1063"/>
      <c r="AP1187" s="1063"/>
      <c r="AQ1187" s="1063"/>
      <c r="AR1187" s="1063"/>
      <c r="AS1187" s="1063"/>
      <c r="AT1187" s="1063"/>
      <c r="AU1187" s="1063"/>
      <c r="AV1187" s="1063"/>
    </row>
    <row r="1188" spans="1:48" s="1108" customFormat="1" ht="27.75" customHeight="1">
      <c r="A1188" s="1076"/>
      <c r="B1188" s="1074">
        <f>+'[18]Bldg+Dev'!S2000</f>
        <v>0</v>
      </c>
      <c r="D1188" s="1063"/>
      <c r="F1188" s="1076"/>
      <c r="G1188" s="1063"/>
      <c r="H1188" s="1063"/>
      <c r="I1188" s="1063"/>
      <c r="J1188" s="1063"/>
      <c r="K1188" s="1063"/>
      <c r="L1188" s="1063"/>
      <c r="M1188" s="1063"/>
      <c r="N1188" s="1063"/>
      <c r="O1188" s="1063"/>
      <c r="P1188" s="1063"/>
      <c r="Q1188" s="1063"/>
      <c r="R1188" s="1063"/>
      <c r="S1188" s="1063"/>
      <c r="T1188" s="1063"/>
      <c r="U1188" s="1063"/>
      <c r="V1188" s="1063"/>
      <c r="W1188" s="1063"/>
      <c r="X1188" s="1063"/>
      <c r="Y1188" s="1063"/>
      <c r="Z1188" s="1063"/>
      <c r="AA1188" s="1063"/>
      <c r="AB1188" s="1063"/>
      <c r="AC1188" s="1063"/>
      <c r="AD1188" s="1063"/>
      <c r="AE1188" s="1063"/>
      <c r="AF1188" s="1063"/>
      <c r="AG1188" s="1063"/>
      <c r="AH1188" s="1063"/>
      <c r="AI1188" s="1063"/>
      <c r="AJ1188" s="1063"/>
      <c r="AK1188" s="1063"/>
      <c r="AL1188" s="1063"/>
      <c r="AM1188" s="1063"/>
      <c r="AN1188" s="1063"/>
      <c r="AO1188" s="1063"/>
      <c r="AP1188" s="1063"/>
      <c r="AQ1188" s="1063"/>
      <c r="AR1188" s="1063"/>
      <c r="AS1188" s="1063"/>
      <c r="AT1188" s="1063"/>
      <c r="AU1188" s="1063"/>
      <c r="AV1188" s="1063"/>
    </row>
    <row r="1189" spans="1:48" s="1108" customFormat="1" ht="27.75" customHeight="1">
      <c r="A1189" s="1076"/>
      <c r="B1189" s="1074">
        <f>+'[18]Bldg+Dev'!S2001</f>
        <v>0</v>
      </c>
      <c r="D1189" s="1063"/>
      <c r="F1189" s="1076"/>
      <c r="G1189" s="1063"/>
      <c r="H1189" s="1063"/>
      <c r="I1189" s="1063"/>
      <c r="J1189" s="1063"/>
      <c r="K1189" s="1063"/>
      <c r="L1189" s="1063"/>
      <c r="M1189" s="1063"/>
      <c r="N1189" s="1063"/>
      <c r="O1189" s="1063"/>
      <c r="P1189" s="1063"/>
      <c r="Q1189" s="1063"/>
      <c r="R1189" s="1063"/>
      <c r="S1189" s="1063"/>
      <c r="T1189" s="1063"/>
      <c r="U1189" s="1063"/>
      <c r="V1189" s="1063"/>
      <c r="W1189" s="1063"/>
      <c r="X1189" s="1063"/>
      <c r="Y1189" s="1063"/>
      <c r="Z1189" s="1063"/>
      <c r="AA1189" s="1063"/>
      <c r="AB1189" s="1063"/>
      <c r="AC1189" s="1063"/>
      <c r="AD1189" s="1063"/>
      <c r="AE1189" s="1063"/>
      <c r="AF1189" s="1063"/>
      <c r="AG1189" s="1063"/>
      <c r="AH1189" s="1063"/>
      <c r="AI1189" s="1063"/>
      <c r="AJ1189" s="1063"/>
      <c r="AK1189" s="1063"/>
      <c r="AL1189" s="1063"/>
      <c r="AM1189" s="1063"/>
      <c r="AN1189" s="1063"/>
      <c r="AO1189" s="1063"/>
      <c r="AP1189" s="1063"/>
      <c r="AQ1189" s="1063"/>
      <c r="AR1189" s="1063"/>
      <c r="AS1189" s="1063"/>
      <c r="AT1189" s="1063"/>
      <c r="AU1189" s="1063"/>
      <c r="AV1189" s="1063"/>
    </row>
    <row r="1190" spans="1:48" s="1108" customFormat="1" ht="27.75" customHeight="1">
      <c r="A1190" s="1076"/>
      <c r="B1190" s="1074">
        <f>+'[18]Bldg+Dev'!S2002</f>
        <v>0</v>
      </c>
      <c r="D1190" s="1063"/>
      <c r="F1190" s="1076"/>
      <c r="G1190" s="1063"/>
      <c r="H1190" s="1063"/>
      <c r="I1190" s="1063"/>
      <c r="J1190" s="1063"/>
      <c r="K1190" s="1063"/>
      <c r="L1190" s="1063"/>
      <c r="M1190" s="1063"/>
      <c r="N1190" s="1063"/>
      <c r="O1190" s="1063"/>
      <c r="P1190" s="1063"/>
      <c r="Q1190" s="1063"/>
      <c r="R1190" s="1063"/>
      <c r="S1190" s="1063"/>
      <c r="T1190" s="1063"/>
      <c r="U1190" s="1063"/>
      <c r="V1190" s="1063"/>
      <c r="W1190" s="1063"/>
      <c r="X1190" s="1063"/>
      <c r="Y1190" s="1063"/>
      <c r="Z1190" s="1063"/>
      <c r="AA1190" s="1063"/>
      <c r="AB1190" s="1063"/>
      <c r="AC1190" s="1063"/>
      <c r="AD1190" s="1063"/>
      <c r="AE1190" s="1063"/>
      <c r="AF1190" s="1063"/>
      <c r="AG1190" s="1063"/>
      <c r="AH1190" s="1063"/>
      <c r="AI1190" s="1063"/>
      <c r="AJ1190" s="1063"/>
      <c r="AK1190" s="1063"/>
      <c r="AL1190" s="1063"/>
      <c r="AM1190" s="1063"/>
      <c r="AN1190" s="1063"/>
      <c r="AO1190" s="1063"/>
      <c r="AP1190" s="1063"/>
      <c r="AQ1190" s="1063"/>
      <c r="AR1190" s="1063"/>
      <c r="AS1190" s="1063"/>
      <c r="AT1190" s="1063"/>
      <c r="AU1190" s="1063"/>
      <c r="AV1190" s="1063"/>
    </row>
    <row r="1191" spans="1:48" s="1108" customFormat="1" ht="27.75" customHeight="1">
      <c r="A1191" s="1076"/>
      <c r="B1191" s="1074">
        <f>+'[18]Bldg+Dev'!S2003</f>
        <v>0</v>
      </c>
      <c r="D1191" s="1063"/>
      <c r="F1191" s="1076"/>
      <c r="G1191" s="1063"/>
      <c r="H1191" s="1063"/>
      <c r="I1191" s="1063"/>
      <c r="J1191" s="1063"/>
      <c r="K1191" s="1063"/>
      <c r="L1191" s="1063"/>
      <c r="M1191" s="1063"/>
      <c r="N1191" s="1063"/>
      <c r="O1191" s="1063"/>
      <c r="P1191" s="1063"/>
      <c r="Q1191" s="1063"/>
      <c r="R1191" s="1063"/>
      <c r="S1191" s="1063"/>
      <c r="T1191" s="1063"/>
      <c r="U1191" s="1063"/>
      <c r="V1191" s="1063"/>
      <c r="W1191" s="1063"/>
      <c r="X1191" s="1063"/>
      <c r="Y1191" s="1063"/>
      <c r="Z1191" s="1063"/>
      <c r="AA1191" s="1063"/>
      <c r="AB1191" s="1063"/>
      <c r="AC1191" s="1063"/>
      <c r="AD1191" s="1063"/>
      <c r="AE1191" s="1063"/>
      <c r="AF1191" s="1063"/>
      <c r="AG1191" s="1063"/>
      <c r="AH1191" s="1063"/>
      <c r="AI1191" s="1063"/>
      <c r="AJ1191" s="1063"/>
      <c r="AK1191" s="1063"/>
      <c r="AL1191" s="1063"/>
      <c r="AM1191" s="1063"/>
      <c r="AN1191" s="1063"/>
      <c r="AO1191" s="1063"/>
      <c r="AP1191" s="1063"/>
      <c r="AQ1191" s="1063"/>
      <c r="AR1191" s="1063"/>
      <c r="AS1191" s="1063"/>
      <c r="AT1191" s="1063"/>
      <c r="AU1191" s="1063"/>
      <c r="AV1191" s="1063"/>
    </row>
    <row r="1192" spans="1:48" s="1108" customFormat="1" ht="27.75" customHeight="1">
      <c r="A1192" s="1076"/>
      <c r="B1192" s="1074">
        <f>+'[18]Bldg+Dev'!S2004</f>
        <v>0</v>
      </c>
      <c r="D1192" s="1063"/>
      <c r="F1192" s="1076"/>
      <c r="G1192" s="1063"/>
      <c r="H1192" s="1063"/>
      <c r="I1192" s="1063"/>
      <c r="J1192" s="1063"/>
      <c r="K1192" s="1063"/>
      <c r="L1192" s="1063"/>
      <c r="M1192" s="1063"/>
      <c r="N1192" s="1063"/>
      <c r="O1192" s="1063"/>
      <c r="P1192" s="1063"/>
      <c r="Q1192" s="1063"/>
      <c r="R1192" s="1063"/>
      <c r="S1192" s="1063"/>
      <c r="T1192" s="1063"/>
      <c r="U1192" s="1063"/>
      <c r="V1192" s="1063"/>
      <c r="W1192" s="1063"/>
      <c r="X1192" s="1063"/>
      <c r="Y1192" s="1063"/>
      <c r="Z1192" s="1063"/>
      <c r="AA1192" s="1063"/>
      <c r="AB1192" s="1063"/>
      <c r="AC1192" s="1063"/>
      <c r="AD1192" s="1063"/>
      <c r="AE1192" s="1063"/>
      <c r="AF1192" s="1063"/>
      <c r="AG1192" s="1063"/>
      <c r="AH1192" s="1063"/>
      <c r="AI1192" s="1063"/>
      <c r="AJ1192" s="1063"/>
      <c r="AK1192" s="1063"/>
      <c r="AL1192" s="1063"/>
      <c r="AM1192" s="1063"/>
      <c r="AN1192" s="1063"/>
      <c r="AO1192" s="1063"/>
      <c r="AP1192" s="1063"/>
      <c r="AQ1192" s="1063"/>
      <c r="AR1192" s="1063"/>
      <c r="AS1192" s="1063"/>
      <c r="AT1192" s="1063"/>
      <c r="AU1192" s="1063"/>
      <c r="AV1192" s="1063"/>
    </row>
    <row r="1193" spans="1:48" s="1108" customFormat="1" ht="27.75" customHeight="1">
      <c r="A1193" s="1076"/>
      <c r="B1193" s="1074">
        <f>+'[18]Bldg+Dev'!S2005</f>
        <v>0</v>
      </c>
      <c r="D1193" s="1063"/>
      <c r="F1193" s="1076"/>
      <c r="G1193" s="1063"/>
      <c r="H1193" s="1063"/>
      <c r="I1193" s="1063"/>
      <c r="J1193" s="1063"/>
      <c r="K1193" s="1063"/>
      <c r="L1193" s="1063"/>
      <c r="M1193" s="1063"/>
      <c r="N1193" s="1063"/>
      <c r="O1193" s="1063"/>
      <c r="P1193" s="1063"/>
      <c r="Q1193" s="1063"/>
      <c r="R1193" s="1063"/>
      <c r="S1193" s="1063"/>
      <c r="T1193" s="1063"/>
      <c r="U1193" s="1063"/>
      <c r="V1193" s="1063"/>
      <c r="W1193" s="1063"/>
      <c r="X1193" s="1063"/>
      <c r="Y1193" s="1063"/>
      <c r="Z1193" s="1063"/>
      <c r="AA1193" s="1063"/>
      <c r="AB1193" s="1063"/>
      <c r="AC1193" s="1063"/>
      <c r="AD1193" s="1063"/>
      <c r="AE1193" s="1063"/>
      <c r="AF1193" s="1063"/>
      <c r="AG1193" s="1063"/>
      <c r="AH1193" s="1063"/>
      <c r="AI1193" s="1063"/>
      <c r="AJ1193" s="1063"/>
      <c r="AK1193" s="1063"/>
      <c r="AL1193" s="1063"/>
      <c r="AM1193" s="1063"/>
      <c r="AN1193" s="1063"/>
      <c r="AO1193" s="1063"/>
      <c r="AP1193" s="1063"/>
      <c r="AQ1193" s="1063"/>
      <c r="AR1193" s="1063"/>
      <c r="AS1193" s="1063"/>
      <c r="AT1193" s="1063"/>
      <c r="AU1193" s="1063"/>
      <c r="AV1193" s="1063"/>
    </row>
    <row r="1194" spans="1:48" s="1108" customFormat="1" ht="27.75" customHeight="1">
      <c r="A1194" s="1076"/>
      <c r="B1194" s="1074">
        <f>+'[18]Bldg+Dev'!S2006</f>
        <v>0</v>
      </c>
      <c r="D1194" s="1063"/>
      <c r="F1194" s="1076"/>
      <c r="G1194" s="1063"/>
      <c r="H1194" s="1063"/>
      <c r="I1194" s="1063"/>
      <c r="J1194" s="1063"/>
      <c r="K1194" s="1063"/>
      <c r="L1194" s="1063"/>
      <c r="M1194" s="1063"/>
      <c r="N1194" s="1063"/>
      <c r="O1194" s="1063"/>
      <c r="P1194" s="1063"/>
      <c r="Q1194" s="1063"/>
      <c r="R1194" s="1063"/>
      <c r="S1194" s="1063"/>
      <c r="T1194" s="1063"/>
      <c r="U1194" s="1063"/>
      <c r="V1194" s="1063"/>
      <c r="W1194" s="1063"/>
      <c r="X1194" s="1063"/>
      <c r="Y1194" s="1063"/>
      <c r="Z1194" s="1063"/>
      <c r="AA1194" s="1063"/>
      <c r="AB1194" s="1063"/>
      <c r="AC1194" s="1063"/>
      <c r="AD1194" s="1063"/>
      <c r="AE1194" s="1063"/>
      <c r="AF1194" s="1063"/>
      <c r="AG1194" s="1063"/>
      <c r="AH1194" s="1063"/>
      <c r="AI1194" s="1063"/>
      <c r="AJ1194" s="1063"/>
      <c r="AK1194" s="1063"/>
      <c r="AL1194" s="1063"/>
      <c r="AM1194" s="1063"/>
      <c r="AN1194" s="1063"/>
      <c r="AO1194" s="1063"/>
      <c r="AP1194" s="1063"/>
      <c r="AQ1194" s="1063"/>
      <c r="AR1194" s="1063"/>
      <c r="AS1194" s="1063"/>
      <c r="AT1194" s="1063"/>
      <c r="AU1194" s="1063"/>
      <c r="AV1194" s="1063"/>
    </row>
    <row r="1195" spans="1:48" s="1108" customFormat="1" ht="27.75" customHeight="1">
      <c r="A1195" s="1076"/>
      <c r="B1195" s="1074">
        <f>+'[18]Bldg+Dev'!S2007</f>
        <v>0</v>
      </c>
      <c r="D1195" s="1063"/>
      <c r="F1195" s="1076"/>
      <c r="G1195" s="1063"/>
      <c r="H1195" s="1063"/>
      <c r="I1195" s="1063"/>
      <c r="J1195" s="1063"/>
      <c r="K1195" s="1063"/>
      <c r="L1195" s="1063"/>
      <c r="M1195" s="1063"/>
      <c r="N1195" s="1063"/>
      <c r="O1195" s="1063"/>
      <c r="P1195" s="1063"/>
      <c r="Q1195" s="1063"/>
      <c r="R1195" s="1063"/>
      <c r="S1195" s="1063"/>
      <c r="T1195" s="1063"/>
      <c r="U1195" s="1063"/>
      <c r="V1195" s="1063"/>
      <c r="W1195" s="1063"/>
      <c r="X1195" s="1063"/>
      <c r="Y1195" s="1063"/>
      <c r="Z1195" s="1063"/>
      <c r="AA1195" s="1063"/>
      <c r="AB1195" s="1063"/>
      <c r="AC1195" s="1063"/>
      <c r="AD1195" s="1063"/>
      <c r="AE1195" s="1063"/>
      <c r="AF1195" s="1063"/>
      <c r="AG1195" s="1063"/>
      <c r="AH1195" s="1063"/>
      <c r="AI1195" s="1063"/>
      <c r="AJ1195" s="1063"/>
      <c r="AK1195" s="1063"/>
      <c r="AL1195" s="1063"/>
      <c r="AM1195" s="1063"/>
      <c r="AN1195" s="1063"/>
      <c r="AO1195" s="1063"/>
      <c r="AP1195" s="1063"/>
      <c r="AQ1195" s="1063"/>
      <c r="AR1195" s="1063"/>
      <c r="AS1195" s="1063"/>
      <c r="AT1195" s="1063"/>
      <c r="AU1195" s="1063"/>
      <c r="AV1195" s="1063"/>
    </row>
    <row r="1196" spans="1:48" s="1108" customFormat="1" ht="27.75" customHeight="1">
      <c r="A1196" s="1076"/>
      <c r="B1196" s="1074">
        <f>+'[18]Bldg+Dev'!S2008</f>
        <v>0</v>
      </c>
      <c r="D1196" s="1063"/>
      <c r="F1196" s="1076"/>
      <c r="G1196" s="1063"/>
      <c r="H1196" s="1063"/>
      <c r="I1196" s="1063"/>
      <c r="J1196" s="1063"/>
      <c r="K1196" s="1063"/>
      <c r="L1196" s="1063"/>
      <c r="M1196" s="1063"/>
      <c r="N1196" s="1063"/>
      <c r="O1196" s="1063"/>
      <c r="P1196" s="1063"/>
      <c r="Q1196" s="1063"/>
      <c r="R1196" s="1063"/>
      <c r="S1196" s="1063"/>
      <c r="T1196" s="1063"/>
      <c r="U1196" s="1063"/>
      <c r="V1196" s="1063"/>
      <c r="W1196" s="1063"/>
      <c r="X1196" s="1063"/>
      <c r="Y1196" s="1063"/>
      <c r="Z1196" s="1063"/>
      <c r="AA1196" s="1063"/>
      <c r="AB1196" s="1063"/>
      <c r="AC1196" s="1063"/>
      <c r="AD1196" s="1063"/>
      <c r="AE1196" s="1063"/>
      <c r="AF1196" s="1063"/>
      <c r="AG1196" s="1063"/>
      <c r="AH1196" s="1063"/>
      <c r="AI1196" s="1063"/>
      <c r="AJ1196" s="1063"/>
      <c r="AK1196" s="1063"/>
      <c r="AL1196" s="1063"/>
      <c r="AM1196" s="1063"/>
      <c r="AN1196" s="1063"/>
      <c r="AO1196" s="1063"/>
      <c r="AP1196" s="1063"/>
      <c r="AQ1196" s="1063"/>
      <c r="AR1196" s="1063"/>
      <c r="AS1196" s="1063"/>
      <c r="AT1196" s="1063"/>
      <c r="AU1196" s="1063"/>
      <c r="AV1196" s="1063"/>
    </row>
    <row r="1197" spans="1:48" s="1108" customFormat="1" ht="27.75" customHeight="1">
      <c r="A1197" s="1076"/>
      <c r="B1197" s="1074">
        <f>+'[18]Bldg+Dev'!S2009</f>
        <v>0</v>
      </c>
      <c r="D1197" s="1063"/>
      <c r="F1197" s="1076"/>
      <c r="G1197" s="1063"/>
      <c r="H1197" s="1063"/>
      <c r="I1197" s="1063"/>
      <c r="J1197" s="1063"/>
      <c r="K1197" s="1063"/>
      <c r="L1197" s="1063"/>
      <c r="M1197" s="1063"/>
      <c r="N1197" s="1063"/>
      <c r="O1197" s="1063"/>
      <c r="P1197" s="1063"/>
      <c r="Q1197" s="1063"/>
      <c r="R1197" s="1063"/>
      <c r="S1197" s="1063"/>
      <c r="T1197" s="1063"/>
      <c r="U1197" s="1063"/>
      <c r="V1197" s="1063"/>
      <c r="W1197" s="1063"/>
      <c r="X1197" s="1063"/>
      <c r="Y1197" s="1063"/>
      <c r="Z1197" s="1063"/>
      <c r="AA1197" s="1063"/>
      <c r="AB1197" s="1063"/>
      <c r="AC1197" s="1063"/>
      <c r="AD1197" s="1063"/>
      <c r="AE1197" s="1063"/>
      <c r="AF1197" s="1063"/>
      <c r="AG1197" s="1063"/>
      <c r="AH1197" s="1063"/>
      <c r="AI1197" s="1063"/>
      <c r="AJ1197" s="1063"/>
      <c r="AK1197" s="1063"/>
      <c r="AL1197" s="1063"/>
      <c r="AM1197" s="1063"/>
      <c r="AN1197" s="1063"/>
      <c r="AO1197" s="1063"/>
      <c r="AP1197" s="1063"/>
      <c r="AQ1197" s="1063"/>
      <c r="AR1197" s="1063"/>
      <c r="AS1197" s="1063"/>
      <c r="AT1197" s="1063"/>
      <c r="AU1197" s="1063"/>
      <c r="AV1197" s="1063"/>
    </row>
    <row r="1198" spans="1:48" s="1108" customFormat="1" ht="27.75" customHeight="1">
      <c r="A1198" s="1076"/>
      <c r="B1198" s="1074">
        <f>+'[18]Bldg+Dev'!S2010</f>
        <v>0</v>
      </c>
      <c r="D1198" s="1063"/>
      <c r="F1198" s="1076"/>
      <c r="G1198" s="1063"/>
      <c r="H1198" s="1063"/>
      <c r="I1198" s="1063"/>
      <c r="J1198" s="1063"/>
      <c r="K1198" s="1063"/>
      <c r="L1198" s="1063"/>
      <c r="M1198" s="1063"/>
      <c r="N1198" s="1063"/>
      <c r="O1198" s="1063"/>
      <c r="P1198" s="1063"/>
      <c r="Q1198" s="1063"/>
      <c r="R1198" s="1063"/>
      <c r="S1198" s="1063"/>
      <c r="T1198" s="1063"/>
      <c r="U1198" s="1063"/>
      <c r="V1198" s="1063"/>
      <c r="W1198" s="1063"/>
      <c r="X1198" s="1063"/>
      <c r="Y1198" s="1063"/>
      <c r="Z1198" s="1063"/>
      <c r="AA1198" s="1063"/>
      <c r="AB1198" s="1063"/>
      <c r="AC1198" s="1063"/>
      <c r="AD1198" s="1063"/>
      <c r="AE1198" s="1063"/>
      <c r="AF1198" s="1063"/>
      <c r="AG1198" s="1063"/>
      <c r="AH1198" s="1063"/>
      <c r="AI1198" s="1063"/>
      <c r="AJ1198" s="1063"/>
      <c r="AK1198" s="1063"/>
      <c r="AL1198" s="1063"/>
      <c r="AM1198" s="1063"/>
      <c r="AN1198" s="1063"/>
      <c r="AO1198" s="1063"/>
      <c r="AP1198" s="1063"/>
      <c r="AQ1198" s="1063"/>
      <c r="AR1198" s="1063"/>
      <c r="AS1198" s="1063"/>
      <c r="AT1198" s="1063"/>
      <c r="AU1198" s="1063"/>
      <c r="AV1198" s="1063"/>
    </row>
    <row r="1199" spans="1:48" s="1108" customFormat="1" ht="27.75" customHeight="1">
      <c r="A1199" s="1076"/>
      <c r="B1199" s="1074">
        <f>+'[18]Bldg+Dev'!S2011</f>
        <v>0</v>
      </c>
      <c r="D1199" s="1063"/>
      <c r="F1199" s="1076"/>
      <c r="G1199" s="1063"/>
      <c r="H1199" s="1063"/>
      <c r="I1199" s="1063"/>
      <c r="J1199" s="1063"/>
      <c r="K1199" s="1063"/>
      <c r="L1199" s="1063"/>
      <c r="M1199" s="1063"/>
      <c r="N1199" s="1063"/>
      <c r="O1199" s="1063"/>
      <c r="P1199" s="1063"/>
      <c r="Q1199" s="1063"/>
      <c r="R1199" s="1063"/>
      <c r="S1199" s="1063"/>
      <c r="T1199" s="1063"/>
      <c r="U1199" s="1063"/>
      <c r="V1199" s="1063"/>
      <c r="W1199" s="1063"/>
      <c r="X1199" s="1063"/>
      <c r="Y1199" s="1063"/>
      <c r="Z1199" s="1063"/>
      <c r="AA1199" s="1063"/>
      <c r="AB1199" s="1063"/>
      <c r="AC1199" s="1063"/>
      <c r="AD1199" s="1063"/>
      <c r="AE1199" s="1063"/>
      <c r="AF1199" s="1063"/>
      <c r="AG1199" s="1063"/>
      <c r="AH1199" s="1063"/>
      <c r="AI1199" s="1063"/>
      <c r="AJ1199" s="1063"/>
      <c r="AK1199" s="1063"/>
      <c r="AL1199" s="1063"/>
      <c r="AM1199" s="1063"/>
      <c r="AN1199" s="1063"/>
      <c r="AO1199" s="1063"/>
      <c r="AP1199" s="1063"/>
      <c r="AQ1199" s="1063"/>
      <c r="AR1199" s="1063"/>
      <c r="AS1199" s="1063"/>
      <c r="AT1199" s="1063"/>
      <c r="AU1199" s="1063"/>
      <c r="AV1199" s="1063"/>
    </row>
    <row r="1200" spans="1:48" s="1108" customFormat="1" ht="27.75" customHeight="1">
      <c r="A1200" s="1076"/>
      <c r="B1200" s="1074">
        <f>+'[18]Bldg+Dev'!S2012</f>
        <v>0</v>
      </c>
      <c r="D1200" s="1063"/>
      <c r="F1200" s="1076"/>
      <c r="G1200" s="1063"/>
      <c r="H1200" s="1063"/>
      <c r="I1200" s="1063"/>
      <c r="J1200" s="1063"/>
      <c r="K1200" s="1063"/>
      <c r="L1200" s="1063"/>
      <c r="M1200" s="1063"/>
      <c r="N1200" s="1063"/>
      <c r="O1200" s="1063"/>
      <c r="P1200" s="1063"/>
      <c r="Q1200" s="1063"/>
      <c r="R1200" s="1063"/>
      <c r="S1200" s="1063"/>
      <c r="T1200" s="1063"/>
      <c r="U1200" s="1063"/>
      <c r="V1200" s="1063"/>
      <c r="W1200" s="1063"/>
      <c r="X1200" s="1063"/>
      <c r="Y1200" s="1063"/>
      <c r="Z1200" s="1063"/>
      <c r="AA1200" s="1063"/>
      <c r="AB1200" s="1063"/>
      <c r="AC1200" s="1063"/>
      <c r="AD1200" s="1063"/>
      <c r="AE1200" s="1063"/>
      <c r="AF1200" s="1063"/>
      <c r="AG1200" s="1063"/>
      <c r="AH1200" s="1063"/>
      <c r="AI1200" s="1063"/>
      <c r="AJ1200" s="1063"/>
      <c r="AK1200" s="1063"/>
      <c r="AL1200" s="1063"/>
      <c r="AM1200" s="1063"/>
      <c r="AN1200" s="1063"/>
      <c r="AO1200" s="1063"/>
      <c r="AP1200" s="1063"/>
      <c r="AQ1200" s="1063"/>
      <c r="AR1200" s="1063"/>
      <c r="AS1200" s="1063"/>
      <c r="AT1200" s="1063"/>
      <c r="AU1200" s="1063"/>
      <c r="AV1200" s="1063"/>
    </row>
    <row r="1201" spans="1:48" s="1108" customFormat="1" ht="27.75" customHeight="1">
      <c r="A1201" s="1076"/>
      <c r="B1201" s="1074">
        <f>+'[18]Bldg+Dev'!S2013</f>
        <v>0</v>
      </c>
      <c r="D1201" s="1063"/>
      <c r="F1201" s="1076"/>
      <c r="G1201" s="1063"/>
      <c r="H1201" s="1063"/>
      <c r="I1201" s="1063"/>
      <c r="J1201" s="1063"/>
      <c r="K1201" s="1063"/>
      <c r="L1201" s="1063"/>
      <c r="M1201" s="1063"/>
      <c r="N1201" s="1063"/>
      <c r="O1201" s="1063"/>
      <c r="P1201" s="1063"/>
      <c r="Q1201" s="1063"/>
      <c r="R1201" s="1063"/>
      <c r="S1201" s="1063"/>
      <c r="T1201" s="1063"/>
      <c r="U1201" s="1063"/>
      <c r="V1201" s="1063"/>
      <c r="W1201" s="1063"/>
      <c r="X1201" s="1063"/>
      <c r="Y1201" s="1063"/>
      <c r="Z1201" s="1063"/>
      <c r="AA1201" s="1063"/>
      <c r="AB1201" s="1063"/>
      <c r="AC1201" s="1063"/>
      <c r="AD1201" s="1063"/>
      <c r="AE1201" s="1063"/>
      <c r="AF1201" s="1063"/>
      <c r="AG1201" s="1063"/>
      <c r="AH1201" s="1063"/>
      <c r="AI1201" s="1063"/>
      <c r="AJ1201" s="1063"/>
      <c r="AK1201" s="1063"/>
      <c r="AL1201" s="1063"/>
      <c r="AM1201" s="1063"/>
      <c r="AN1201" s="1063"/>
      <c r="AO1201" s="1063"/>
      <c r="AP1201" s="1063"/>
      <c r="AQ1201" s="1063"/>
      <c r="AR1201" s="1063"/>
      <c r="AS1201" s="1063"/>
      <c r="AT1201" s="1063"/>
      <c r="AU1201" s="1063"/>
      <c r="AV1201" s="1063"/>
    </row>
    <row r="1202" spans="1:48" s="1108" customFormat="1" ht="27.75" customHeight="1">
      <c r="A1202" s="1076"/>
      <c r="B1202" s="1074">
        <f>+'[18]Bldg+Dev'!S2014</f>
        <v>0</v>
      </c>
      <c r="D1202" s="1063"/>
      <c r="F1202" s="1076"/>
      <c r="G1202" s="1063"/>
      <c r="H1202" s="1063"/>
      <c r="I1202" s="1063"/>
      <c r="J1202" s="1063"/>
      <c r="K1202" s="1063"/>
      <c r="L1202" s="1063"/>
      <c r="M1202" s="1063"/>
      <c r="N1202" s="1063"/>
      <c r="O1202" s="1063"/>
      <c r="P1202" s="1063"/>
      <c r="Q1202" s="1063"/>
      <c r="R1202" s="1063"/>
      <c r="S1202" s="1063"/>
      <c r="T1202" s="1063"/>
      <c r="U1202" s="1063"/>
      <c r="V1202" s="1063"/>
      <c r="W1202" s="1063"/>
      <c r="X1202" s="1063"/>
      <c r="Y1202" s="1063"/>
      <c r="Z1202" s="1063"/>
      <c r="AA1202" s="1063"/>
      <c r="AB1202" s="1063"/>
      <c r="AC1202" s="1063"/>
      <c r="AD1202" s="1063"/>
      <c r="AE1202" s="1063"/>
      <c r="AF1202" s="1063"/>
      <c r="AG1202" s="1063"/>
      <c r="AH1202" s="1063"/>
      <c r="AI1202" s="1063"/>
      <c r="AJ1202" s="1063"/>
      <c r="AK1202" s="1063"/>
      <c r="AL1202" s="1063"/>
      <c r="AM1202" s="1063"/>
      <c r="AN1202" s="1063"/>
      <c r="AO1202" s="1063"/>
      <c r="AP1202" s="1063"/>
      <c r="AQ1202" s="1063"/>
      <c r="AR1202" s="1063"/>
      <c r="AS1202" s="1063"/>
      <c r="AT1202" s="1063"/>
      <c r="AU1202" s="1063"/>
      <c r="AV1202" s="1063"/>
    </row>
    <row r="1203" spans="1:48" s="1108" customFormat="1" ht="27.75" customHeight="1">
      <c r="A1203" s="1076"/>
      <c r="B1203" s="1074">
        <f>+'[18]Bldg+Dev'!S2015</f>
        <v>0</v>
      </c>
      <c r="D1203" s="1063"/>
      <c r="F1203" s="1076"/>
      <c r="G1203" s="1063"/>
      <c r="H1203" s="1063"/>
      <c r="I1203" s="1063"/>
      <c r="J1203" s="1063"/>
      <c r="K1203" s="1063"/>
      <c r="L1203" s="1063"/>
      <c r="M1203" s="1063"/>
      <c r="N1203" s="1063"/>
      <c r="O1203" s="1063"/>
      <c r="P1203" s="1063"/>
      <c r="Q1203" s="1063"/>
      <c r="R1203" s="1063"/>
      <c r="S1203" s="1063"/>
      <c r="T1203" s="1063"/>
      <c r="U1203" s="1063"/>
      <c r="V1203" s="1063"/>
      <c r="W1203" s="1063"/>
      <c r="X1203" s="1063"/>
      <c r="Y1203" s="1063"/>
      <c r="Z1203" s="1063"/>
      <c r="AA1203" s="1063"/>
      <c r="AB1203" s="1063"/>
      <c r="AC1203" s="1063"/>
      <c r="AD1203" s="1063"/>
      <c r="AE1203" s="1063"/>
      <c r="AF1203" s="1063"/>
      <c r="AG1203" s="1063"/>
      <c r="AH1203" s="1063"/>
      <c r="AI1203" s="1063"/>
      <c r="AJ1203" s="1063"/>
      <c r="AK1203" s="1063"/>
      <c r="AL1203" s="1063"/>
      <c r="AM1203" s="1063"/>
      <c r="AN1203" s="1063"/>
      <c r="AO1203" s="1063"/>
      <c r="AP1203" s="1063"/>
      <c r="AQ1203" s="1063"/>
      <c r="AR1203" s="1063"/>
      <c r="AS1203" s="1063"/>
      <c r="AT1203" s="1063"/>
      <c r="AU1203" s="1063"/>
      <c r="AV1203" s="1063"/>
    </row>
    <row r="1204" spans="1:48" s="1108" customFormat="1" ht="27.75" customHeight="1">
      <c r="A1204" s="1076"/>
      <c r="B1204" s="1074">
        <f>+'[18]Bldg+Dev'!S2016</f>
        <v>0</v>
      </c>
      <c r="D1204" s="1063"/>
      <c r="F1204" s="1076"/>
      <c r="G1204" s="1063"/>
      <c r="H1204" s="1063"/>
      <c r="I1204" s="1063"/>
      <c r="J1204" s="1063"/>
      <c r="K1204" s="1063"/>
      <c r="L1204" s="1063"/>
      <c r="M1204" s="1063"/>
      <c r="N1204" s="1063"/>
      <c r="O1204" s="1063"/>
      <c r="P1204" s="1063"/>
      <c r="Q1204" s="1063"/>
      <c r="R1204" s="1063"/>
      <c r="S1204" s="1063"/>
      <c r="T1204" s="1063"/>
      <c r="U1204" s="1063"/>
      <c r="V1204" s="1063"/>
      <c r="W1204" s="1063"/>
      <c r="X1204" s="1063"/>
      <c r="Y1204" s="1063"/>
      <c r="Z1204" s="1063"/>
      <c r="AA1204" s="1063"/>
      <c r="AB1204" s="1063"/>
      <c r="AC1204" s="1063"/>
      <c r="AD1204" s="1063"/>
      <c r="AE1204" s="1063"/>
      <c r="AF1204" s="1063"/>
      <c r="AG1204" s="1063"/>
      <c r="AH1204" s="1063"/>
      <c r="AI1204" s="1063"/>
      <c r="AJ1204" s="1063"/>
      <c r="AK1204" s="1063"/>
      <c r="AL1204" s="1063"/>
      <c r="AM1204" s="1063"/>
      <c r="AN1204" s="1063"/>
      <c r="AO1204" s="1063"/>
      <c r="AP1204" s="1063"/>
      <c r="AQ1204" s="1063"/>
      <c r="AR1204" s="1063"/>
      <c r="AS1204" s="1063"/>
      <c r="AT1204" s="1063"/>
      <c r="AU1204" s="1063"/>
      <c r="AV1204" s="1063"/>
    </row>
    <row r="1205" spans="1:48" s="1108" customFormat="1" ht="27.75" customHeight="1">
      <c r="A1205" s="1076"/>
      <c r="B1205" s="1074">
        <f>+'[18]Bldg+Dev'!S2017</f>
        <v>0</v>
      </c>
      <c r="D1205" s="1063"/>
      <c r="F1205" s="1076"/>
      <c r="G1205" s="1063"/>
      <c r="H1205" s="1063"/>
      <c r="I1205" s="1063"/>
      <c r="J1205" s="1063"/>
      <c r="K1205" s="1063"/>
      <c r="L1205" s="1063"/>
      <c r="M1205" s="1063"/>
      <c r="N1205" s="1063"/>
      <c r="O1205" s="1063"/>
      <c r="P1205" s="1063"/>
      <c r="Q1205" s="1063"/>
      <c r="R1205" s="1063"/>
      <c r="S1205" s="1063"/>
      <c r="T1205" s="1063"/>
      <c r="U1205" s="1063"/>
      <c r="V1205" s="1063"/>
      <c r="W1205" s="1063"/>
      <c r="X1205" s="1063"/>
      <c r="Y1205" s="1063"/>
      <c r="Z1205" s="1063"/>
      <c r="AA1205" s="1063"/>
      <c r="AB1205" s="1063"/>
      <c r="AC1205" s="1063"/>
      <c r="AD1205" s="1063"/>
      <c r="AE1205" s="1063"/>
      <c r="AF1205" s="1063"/>
      <c r="AG1205" s="1063"/>
      <c r="AH1205" s="1063"/>
      <c r="AI1205" s="1063"/>
      <c r="AJ1205" s="1063"/>
      <c r="AK1205" s="1063"/>
      <c r="AL1205" s="1063"/>
      <c r="AM1205" s="1063"/>
      <c r="AN1205" s="1063"/>
      <c r="AO1205" s="1063"/>
      <c r="AP1205" s="1063"/>
      <c r="AQ1205" s="1063"/>
      <c r="AR1205" s="1063"/>
      <c r="AS1205" s="1063"/>
      <c r="AT1205" s="1063"/>
      <c r="AU1205" s="1063"/>
      <c r="AV1205" s="1063"/>
    </row>
    <row r="1206" spans="1:48" s="1108" customFormat="1" ht="27.75" customHeight="1">
      <c r="A1206" s="1076"/>
      <c r="B1206" s="1074">
        <f>+'[18]Bldg+Dev'!S2018</f>
        <v>0</v>
      </c>
      <c r="D1206" s="1063"/>
      <c r="F1206" s="1076"/>
      <c r="G1206" s="1063"/>
      <c r="H1206" s="1063"/>
      <c r="I1206" s="1063"/>
      <c r="J1206" s="1063"/>
      <c r="K1206" s="1063"/>
      <c r="L1206" s="1063"/>
      <c r="M1206" s="1063"/>
      <c r="N1206" s="1063"/>
      <c r="O1206" s="1063"/>
      <c r="P1206" s="1063"/>
      <c r="Q1206" s="1063"/>
      <c r="R1206" s="1063"/>
      <c r="S1206" s="1063"/>
      <c r="T1206" s="1063"/>
      <c r="U1206" s="1063"/>
      <c r="V1206" s="1063"/>
      <c r="W1206" s="1063"/>
      <c r="X1206" s="1063"/>
      <c r="Y1206" s="1063"/>
      <c r="Z1206" s="1063"/>
      <c r="AA1206" s="1063"/>
      <c r="AB1206" s="1063"/>
      <c r="AC1206" s="1063"/>
      <c r="AD1206" s="1063"/>
      <c r="AE1206" s="1063"/>
      <c r="AF1206" s="1063"/>
      <c r="AG1206" s="1063"/>
      <c r="AH1206" s="1063"/>
      <c r="AI1206" s="1063"/>
      <c r="AJ1206" s="1063"/>
      <c r="AK1206" s="1063"/>
      <c r="AL1206" s="1063"/>
      <c r="AM1206" s="1063"/>
      <c r="AN1206" s="1063"/>
      <c r="AO1206" s="1063"/>
      <c r="AP1206" s="1063"/>
      <c r="AQ1206" s="1063"/>
      <c r="AR1206" s="1063"/>
      <c r="AS1206" s="1063"/>
      <c r="AT1206" s="1063"/>
      <c r="AU1206" s="1063"/>
      <c r="AV1206" s="1063"/>
    </row>
    <row r="1207" spans="1:48" s="1108" customFormat="1" ht="27.75" customHeight="1">
      <c r="A1207" s="1076"/>
      <c r="B1207" s="1074">
        <f>+'[18]Bldg+Dev'!S2019</f>
        <v>0</v>
      </c>
      <c r="D1207" s="1063"/>
      <c r="F1207" s="1076"/>
      <c r="G1207" s="1063"/>
      <c r="H1207" s="1063"/>
      <c r="I1207" s="1063"/>
      <c r="J1207" s="1063"/>
      <c r="K1207" s="1063"/>
      <c r="L1207" s="1063"/>
      <c r="M1207" s="1063"/>
      <c r="N1207" s="1063"/>
      <c r="O1207" s="1063"/>
      <c r="P1207" s="1063"/>
      <c r="Q1207" s="1063"/>
      <c r="R1207" s="1063"/>
      <c r="S1207" s="1063"/>
      <c r="T1207" s="1063"/>
      <c r="U1207" s="1063"/>
      <c r="V1207" s="1063"/>
      <c r="W1207" s="1063"/>
      <c r="X1207" s="1063"/>
      <c r="Y1207" s="1063"/>
      <c r="Z1207" s="1063"/>
      <c r="AA1207" s="1063"/>
      <c r="AB1207" s="1063"/>
      <c r="AC1207" s="1063"/>
      <c r="AD1207" s="1063"/>
      <c r="AE1207" s="1063"/>
      <c r="AF1207" s="1063"/>
      <c r="AG1207" s="1063"/>
      <c r="AH1207" s="1063"/>
      <c r="AI1207" s="1063"/>
      <c r="AJ1207" s="1063"/>
      <c r="AK1207" s="1063"/>
      <c r="AL1207" s="1063"/>
      <c r="AM1207" s="1063"/>
      <c r="AN1207" s="1063"/>
      <c r="AO1207" s="1063"/>
      <c r="AP1207" s="1063"/>
      <c r="AQ1207" s="1063"/>
      <c r="AR1207" s="1063"/>
      <c r="AS1207" s="1063"/>
      <c r="AT1207" s="1063"/>
      <c r="AU1207" s="1063"/>
      <c r="AV1207" s="1063"/>
    </row>
    <row r="1208" spans="1:48" s="1108" customFormat="1" ht="27.75" customHeight="1">
      <c r="A1208" s="1076"/>
      <c r="B1208" s="1074">
        <f>+'[18]Bldg+Dev'!S2020</f>
        <v>0</v>
      </c>
      <c r="D1208" s="1063"/>
      <c r="F1208" s="1076"/>
      <c r="G1208" s="1063"/>
      <c r="H1208" s="1063"/>
      <c r="I1208" s="1063"/>
      <c r="J1208" s="1063"/>
      <c r="K1208" s="1063"/>
      <c r="L1208" s="1063"/>
      <c r="M1208" s="1063"/>
      <c r="N1208" s="1063"/>
      <c r="O1208" s="1063"/>
      <c r="P1208" s="1063"/>
      <c r="Q1208" s="1063"/>
      <c r="R1208" s="1063"/>
      <c r="S1208" s="1063"/>
      <c r="T1208" s="1063"/>
      <c r="U1208" s="1063"/>
      <c r="V1208" s="1063"/>
      <c r="W1208" s="1063"/>
      <c r="X1208" s="1063"/>
      <c r="Y1208" s="1063"/>
      <c r="Z1208" s="1063"/>
      <c r="AA1208" s="1063"/>
      <c r="AB1208" s="1063"/>
      <c r="AC1208" s="1063"/>
      <c r="AD1208" s="1063"/>
      <c r="AE1208" s="1063"/>
      <c r="AF1208" s="1063"/>
      <c r="AG1208" s="1063"/>
      <c r="AH1208" s="1063"/>
      <c r="AI1208" s="1063"/>
      <c r="AJ1208" s="1063"/>
      <c r="AK1208" s="1063"/>
      <c r="AL1208" s="1063"/>
      <c r="AM1208" s="1063"/>
      <c r="AN1208" s="1063"/>
      <c r="AO1208" s="1063"/>
      <c r="AP1208" s="1063"/>
      <c r="AQ1208" s="1063"/>
      <c r="AR1208" s="1063"/>
      <c r="AS1208" s="1063"/>
      <c r="AT1208" s="1063"/>
      <c r="AU1208" s="1063"/>
      <c r="AV1208" s="1063"/>
    </row>
    <row r="1209" spans="1:48" s="1108" customFormat="1" ht="27.75" customHeight="1">
      <c r="A1209" s="1076"/>
      <c r="B1209" s="1074">
        <f>+'[18]Bldg+Dev'!S2021</f>
        <v>0</v>
      </c>
      <c r="D1209" s="1063"/>
      <c r="F1209" s="1076"/>
      <c r="G1209" s="1063"/>
      <c r="H1209" s="1063"/>
      <c r="I1209" s="1063"/>
      <c r="J1209" s="1063"/>
      <c r="K1209" s="1063"/>
      <c r="L1209" s="1063"/>
      <c r="M1209" s="1063"/>
      <c r="N1209" s="1063"/>
      <c r="O1209" s="1063"/>
      <c r="P1209" s="1063"/>
      <c r="Q1209" s="1063"/>
      <c r="R1209" s="1063"/>
      <c r="S1209" s="1063"/>
      <c r="T1209" s="1063"/>
      <c r="U1209" s="1063"/>
      <c r="V1209" s="1063"/>
      <c r="W1209" s="1063"/>
      <c r="X1209" s="1063"/>
      <c r="Y1209" s="1063"/>
      <c r="Z1209" s="1063"/>
      <c r="AA1209" s="1063"/>
      <c r="AB1209" s="1063"/>
      <c r="AC1209" s="1063"/>
      <c r="AD1209" s="1063"/>
      <c r="AE1209" s="1063"/>
      <c r="AF1209" s="1063"/>
      <c r="AG1209" s="1063"/>
      <c r="AH1209" s="1063"/>
      <c r="AI1209" s="1063"/>
      <c r="AJ1209" s="1063"/>
      <c r="AK1209" s="1063"/>
      <c r="AL1209" s="1063"/>
      <c r="AM1209" s="1063"/>
      <c r="AN1209" s="1063"/>
      <c r="AO1209" s="1063"/>
      <c r="AP1209" s="1063"/>
      <c r="AQ1209" s="1063"/>
      <c r="AR1209" s="1063"/>
      <c r="AS1209" s="1063"/>
      <c r="AT1209" s="1063"/>
      <c r="AU1209" s="1063"/>
      <c r="AV1209" s="1063"/>
    </row>
    <row r="1210" spans="1:48" s="1108" customFormat="1" ht="27.75" customHeight="1">
      <c r="A1210" s="1076"/>
      <c r="B1210" s="1074">
        <f>+'[18]Bldg+Dev'!S2022</f>
        <v>0</v>
      </c>
      <c r="D1210" s="1063"/>
      <c r="F1210" s="1076"/>
      <c r="G1210" s="1063"/>
      <c r="H1210" s="1063"/>
      <c r="I1210" s="1063"/>
      <c r="J1210" s="1063"/>
      <c r="K1210" s="1063"/>
      <c r="L1210" s="1063"/>
      <c r="M1210" s="1063"/>
      <c r="N1210" s="1063"/>
      <c r="O1210" s="1063"/>
      <c r="P1210" s="1063"/>
      <c r="Q1210" s="1063"/>
      <c r="R1210" s="1063"/>
      <c r="S1210" s="1063"/>
      <c r="T1210" s="1063"/>
      <c r="U1210" s="1063"/>
      <c r="V1210" s="1063"/>
      <c r="W1210" s="1063"/>
      <c r="X1210" s="1063"/>
      <c r="Y1210" s="1063"/>
      <c r="Z1210" s="1063"/>
      <c r="AA1210" s="1063"/>
      <c r="AB1210" s="1063"/>
      <c r="AC1210" s="1063"/>
      <c r="AD1210" s="1063"/>
      <c r="AE1210" s="1063"/>
      <c r="AF1210" s="1063"/>
      <c r="AG1210" s="1063"/>
      <c r="AH1210" s="1063"/>
      <c r="AI1210" s="1063"/>
      <c r="AJ1210" s="1063"/>
      <c r="AK1210" s="1063"/>
      <c r="AL1210" s="1063"/>
      <c r="AM1210" s="1063"/>
      <c r="AN1210" s="1063"/>
      <c r="AO1210" s="1063"/>
      <c r="AP1210" s="1063"/>
      <c r="AQ1210" s="1063"/>
      <c r="AR1210" s="1063"/>
      <c r="AS1210" s="1063"/>
      <c r="AT1210" s="1063"/>
      <c r="AU1210" s="1063"/>
      <c r="AV1210" s="1063"/>
    </row>
    <row r="1211" spans="1:48" s="1108" customFormat="1" ht="27.75" customHeight="1">
      <c r="A1211" s="1076"/>
      <c r="B1211" s="1074">
        <f>+'[18]Bldg+Dev'!S2023</f>
        <v>0</v>
      </c>
      <c r="D1211" s="1063"/>
      <c r="F1211" s="1076"/>
      <c r="G1211" s="1063"/>
      <c r="H1211" s="1063"/>
      <c r="I1211" s="1063"/>
      <c r="J1211" s="1063"/>
      <c r="K1211" s="1063"/>
      <c r="L1211" s="1063"/>
      <c r="M1211" s="1063"/>
      <c r="N1211" s="1063"/>
      <c r="O1211" s="1063"/>
      <c r="P1211" s="1063"/>
      <c r="Q1211" s="1063"/>
      <c r="R1211" s="1063"/>
      <c r="S1211" s="1063"/>
      <c r="T1211" s="1063"/>
      <c r="U1211" s="1063"/>
      <c r="V1211" s="1063"/>
      <c r="W1211" s="1063"/>
      <c r="X1211" s="1063"/>
      <c r="Y1211" s="1063"/>
      <c r="Z1211" s="1063"/>
      <c r="AA1211" s="1063"/>
      <c r="AB1211" s="1063"/>
      <c r="AC1211" s="1063"/>
      <c r="AD1211" s="1063"/>
      <c r="AE1211" s="1063"/>
      <c r="AF1211" s="1063"/>
      <c r="AG1211" s="1063"/>
      <c r="AH1211" s="1063"/>
      <c r="AI1211" s="1063"/>
      <c r="AJ1211" s="1063"/>
      <c r="AK1211" s="1063"/>
      <c r="AL1211" s="1063"/>
      <c r="AM1211" s="1063"/>
      <c r="AN1211" s="1063"/>
      <c r="AO1211" s="1063"/>
      <c r="AP1211" s="1063"/>
      <c r="AQ1211" s="1063"/>
      <c r="AR1211" s="1063"/>
      <c r="AS1211" s="1063"/>
      <c r="AT1211" s="1063"/>
      <c r="AU1211" s="1063"/>
      <c r="AV1211" s="1063"/>
    </row>
    <row r="1212" spans="1:48" s="1108" customFormat="1" ht="27.75" customHeight="1">
      <c r="A1212" s="1076"/>
      <c r="B1212" s="1074">
        <f>+'[18]Bldg+Dev'!S2024</f>
        <v>0</v>
      </c>
      <c r="D1212" s="1063"/>
      <c r="F1212" s="1076"/>
      <c r="G1212" s="1063"/>
      <c r="H1212" s="1063"/>
      <c r="I1212" s="1063"/>
      <c r="J1212" s="1063"/>
      <c r="K1212" s="1063"/>
      <c r="L1212" s="1063"/>
      <c r="M1212" s="1063"/>
      <c r="N1212" s="1063"/>
      <c r="O1212" s="1063"/>
      <c r="P1212" s="1063"/>
      <c r="Q1212" s="1063"/>
      <c r="R1212" s="1063"/>
      <c r="S1212" s="1063"/>
      <c r="T1212" s="1063"/>
      <c r="U1212" s="1063"/>
      <c r="V1212" s="1063"/>
      <c r="W1212" s="1063"/>
      <c r="X1212" s="1063"/>
      <c r="Y1212" s="1063"/>
      <c r="Z1212" s="1063"/>
      <c r="AA1212" s="1063"/>
      <c r="AB1212" s="1063"/>
      <c r="AC1212" s="1063"/>
      <c r="AD1212" s="1063"/>
      <c r="AE1212" s="1063"/>
      <c r="AF1212" s="1063"/>
      <c r="AG1212" s="1063"/>
      <c r="AH1212" s="1063"/>
      <c r="AI1212" s="1063"/>
      <c r="AJ1212" s="1063"/>
      <c r="AK1212" s="1063"/>
      <c r="AL1212" s="1063"/>
      <c r="AM1212" s="1063"/>
      <c r="AN1212" s="1063"/>
      <c r="AO1212" s="1063"/>
      <c r="AP1212" s="1063"/>
      <c r="AQ1212" s="1063"/>
      <c r="AR1212" s="1063"/>
      <c r="AS1212" s="1063"/>
      <c r="AT1212" s="1063"/>
      <c r="AU1212" s="1063"/>
      <c r="AV1212" s="1063"/>
    </row>
    <row r="1213" spans="1:48" s="1108" customFormat="1" ht="27.75" customHeight="1">
      <c r="A1213" s="1076"/>
      <c r="B1213" s="1074">
        <f>+'[18]Bldg+Dev'!S2025</f>
        <v>0</v>
      </c>
      <c r="D1213" s="1063"/>
      <c r="F1213" s="1076"/>
      <c r="G1213" s="1063"/>
      <c r="H1213" s="1063"/>
      <c r="I1213" s="1063"/>
      <c r="J1213" s="1063"/>
      <c r="K1213" s="1063"/>
      <c r="L1213" s="1063"/>
      <c r="M1213" s="1063"/>
      <c r="N1213" s="1063"/>
      <c r="O1213" s="1063"/>
      <c r="P1213" s="1063"/>
      <c r="Q1213" s="1063"/>
      <c r="R1213" s="1063"/>
      <c r="S1213" s="1063"/>
      <c r="T1213" s="1063"/>
      <c r="U1213" s="1063"/>
      <c r="V1213" s="1063"/>
      <c r="W1213" s="1063"/>
      <c r="X1213" s="1063"/>
      <c r="Y1213" s="1063"/>
      <c r="Z1213" s="1063"/>
      <c r="AA1213" s="1063"/>
      <c r="AB1213" s="1063"/>
      <c r="AC1213" s="1063"/>
      <c r="AD1213" s="1063"/>
      <c r="AE1213" s="1063"/>
      <c r="AF1213" s="1063"/>
      <c r="AG1213" s="1063"/>
      <c r="AH1213" s="1063"/>
      <c r="AI1213" s="1063"/>
      <c r="AJ1213" s="1063"/>
      <c r="AK1213" s="1063"/>
      <c r="AL1213" s="1063"/>
      <c r="AM1213" s="1063"/>
      <c r="AN1213" s="1063"/>
      <c r="AO1213" s="1063"/>
      <c r="AP1213" s="1063"/>
      <c r="AQ1213" s="1063"/>
      <c r="AR1213" s="1063"/>
      <c r="AS1213" s="1063"/>
      <c r="AT1213" s="1063"/>
      <c r="AU1213" s="1063"/>
      <c r="AV1213" s="1063"/>
    </row>
    <row r="1214" spans="1:48" s="1108" customFormat="1" ht="27.75" customHeight="1">
      <c r="A1214" s="1076"/>
      <c r="B1214" s="1074">
        <f>+'[18]Bldg+Dev'!S2026</f>
        <v>0</v>
      </c>
      <c r="D1214" s="1063"/>
      <c r="F1214" s="1076"/>
      <c r="G1214" s="1063"/>
      <c r="H1214" s="1063"/>
      <c r="I1214" s="1063"/>
      <c r="J1214" s="1063"/>
      <c r="K1214" s="1063"/>
      <c r="L1214" s="1063"/>
      <c r="M1214" s="1063"/>
      <c r="N1214" s="1063"/>
      <c r="O1214" s="1063"/>
      <c r="P1214" s="1063"/>
      <c r="Q1214" s="1063"/>
      <c r="R1214" s="1063"/>
      <c r="S1214" s="1063"/>
      <c r="T1214" s="1063"/>
      <c r="U1214" s="1063"/>
      <c r="V1214" s="1063"/>
      <c r="W1214" s="1063"/>
      <c r="X1214" s="1063"/>
      <c r="Y1214" s="1063"/>
      <c r="Z1214" s="1063"/>
      <c r="AA1214" s="1063"/>
      <c r="AB1214" s="1063"/>
      <c r="AC1214" s="1063"/>
      <c r="AD1214" s="1063"/>
      <c r="AE1214" s="1063"/>
      <c r="AF1214" s="1063"/>
      <c r="AG1214" s="1063"/>
      <c r="AH1214" s="1063"/>
      <c r="AI1214" s="1063"/>
      <c r="AJ1214" s="1063"/>
      <c r="AK1214" s="1063"/>
      <c r="AL1214" s="1063"/>
      <c r="AM1214" s="1063"/>
      <c r="AN1214" s="1063"/>
      <c r="AO1214" s="1063"/>
      <c r="AP1214" s="1063"/>
      <c r="AQ1214" s="1063"/>
      <c r="AR1214" s="1063"/>
      <c r="AS1214" s="1063"/>
      <c r="AT1214" s="1063"/>
      <c r="AU1214" s="1063"/>
      <c r="AV1214" s="1063"/>
    </row>
    <row r="1215" spans="1:48" s="1108" customFormat="1" ht="27.75" customHeight="1">
      <c r="A1215" s="1076"/>
      <c r="B1215" s="1074">
        <f>+'[18]Bldg+Dev'!S2027</f>
        <v>0</v>
      </c>
      <c r="D1215" s="1063"/>
      <c r="F1215" s="1076"/>
      <c r="G1215" s="1063"/>
      <c r="H1215" s="1063"/>
      <c r="I1215" s="1063"/>
      <c r="J1215" s="1063"/>
      <c r="K1215" s="1063"/>
      <c r="L1215" s="1063"/>
      <c r="M1215" s="1063"/>
      <c r="N1215" s="1063"/>
      <c r="O1215" s="1063"/>
      <c r="P1215" s="1063"/>
      <c r="Q1215" s="1063"/>
      <c r="R1215" s="1063"/>
      <c r="S1215" s="1063"/>
      <c r="T1215" s="1063"/>
      <c r="U1215" s="1063"/>
      <c r="V1215" s="1063"/>
      <c r="W1215" s="1063"/>
      <c r="X1215" s="1063"/>
      <c r="Y1215" s="1063"/>
      <c r="Z1215" s="1063"/>
      <c r="AA1215" s="1063"/>
      <c r="AB1215" s="1063"/>
      <c r="AC1215" s="1063"/>
      <c r="AD1215" s="1063"/>
      <c r="AE1215" s="1063"/>
      <c r="AF1215" s="1063"/>
      <c r="AG1215" s="1063"/>
      <c r="AH1215" s="1063"/>
      <c r="AI1215" s="1063"/>
      <c r="AJ1215" s="1063"/>
      <c r="AK1215" s="1063"/>
      <c r="AL1215" s="1063"/>
      <c r="AM1215" s="1063"/>
      <c r="AN1215" s="1063"/>
      <c r="AO1215" s="1063"/>
      <c r="AP1215" s="1063"/>
      <c r="AQ1215" s="1063"/>
      <c r="AR1215" s="1063"/>
      <c r="AS1215" s="1063"/>
      <c r="AT1215" s="1063"/>
      <c r="AU1215" s="1063"/>
      <c r="AV1215" s="1063"/>
    </row>
    <row r="1216" spans="1:48" s="1108" customFormat="1" ht="27.75" customHeight="1">
      <c r="A1216" s="1076"/>
      <c r="B1216" s="1074">
        <f>+'[18]Bldg+Dev'!S2028</f>
        <v>0</v>
      </c>
      <c r="D1216" s="1063"/>
      <c r="F1216" s="1076"/>
      <c r="G1216" s="1063"/>
      <c r="H1216" s="1063"/>
      <c r="I1216" s="1063"/>
      <c r="J1216" s="1063"/>
      <c r="K1216" s="1063"/>
      <c r="L1216" s="1063"/>
      <c r="M1216" s="1063"/>
      <c r="N1216" s="1063"/>
      <c r="O1216" s="1063"/>
      <c r="P1216" s="1063"/>
      <c r="Q1216" s="1063"/>
      <c r="R1216" s="1063"/>
      <c r="S1216" s="1063"/>
      <c r="T1216" s="1063"/>
      <c r="U1216" s="1063"/>
      <c r="V1216" s="1063"/>
      <c r="W1216" s="1063"/>
      <c r="X1216" s="1063"/>
      <c r="Y1216" s="1063"/>
      <c r="Z1216" s="1063"/>
      <c r="AA1216" s="1063"/>
      <c r="AB1216" s="1063"/>
      <c r="AC1216" s="1063"/>
      <c r="AD1216" s="1063"/>
      <c r="AE1216" s="1063"/>
      <c r="AF1216" s="1063"/>
      <c r="AG1216" s="1063"/>
      <c r="AH1216" s="1063"/>
      <c r="AI1216" s="1063"/>
      <c r="AJ1216" s="1063"/>
      <c r="AK1216" s="1063"/>
      <c r="AL1216" s="1063"/>
      <c r="AM1216" s="1063"/>
      <c r="AN1216" s="1063"/>
      <c r="AO1216" s="1063"/>
      <c r="AP1216" s="1063"/>
      <c r="AQ1216" s="1063"/>
      <c r="AR1216" s="1063"/>
      <c r="AS1216" s="1063"/>
      <c r="AT1216" s="1063"/>
      <c r="AU1216" s="1063"/>
      <c r="AV1216" s="1063"/>
    </row>
    <row r="1217" spans="1:48" s="1108" customFormat="1" ht="27.75" customHeight="1">
      <c r="A1217" s="1076"/>
      <c r="B1217" s="1074">
        <f>+'[18]Bldg+Dev'!S2029</f>
        <v>0</v>
      </c>
      <c r="D1217" s="1063"/>
      <c r="F1217" s="1076"/>
      <c r="G1217" s="1063"/>
      <c r="H1217" s="1063"/>
      <c r="I1217" s="1063"/>
      <c r="J1217" s="1063"/>
      <c r="K1217" s="1063"/>
      <c r="L1217" s="1063"/>
      <c r="M1217" s="1063"/>
      <c r="N1217" s="1063"/>
      <c r="O1217" s="1063"/>
      <c r="P1217" s="1063"/>
      <c r="Q1217" s="1063"/>
      <c r="R1217" s="1063"/>
      <c r="S1217" s="1063"/>
      <c r="T1217" s="1063"/>
      <c r="U1217" s="1063"/>
      <c r="V1217" s="1063"/>
      <c r="W1217" s="1063"/>
      <c r="X1217" s="1063"/>
      <c r="Y1217" s="1063"/>
      <c r="Z1217" s="1063"/>
      <c r="AA1217" s="1063"/>
      <c r="AB1217" s="1063"/>
      <c r="AC1217" s="1063"/>
      <c r="AD1217" s="1063"/>
      <c r="AE1217" s="1063"/>
      <c r="AF1217" s="1063"/>
      <c r="AG1217" s="1063"/>
      <c r="AH1217" s="1063"/>
      <c r="AI1217" s="1063"/>
      <c r="AJ1217" s="1063"/>
      <c r="AK1217" s="1063"/>
      <c r="AL1217" s="1063"/>
      <c r="AM1217" s="1063"/>
      <c r="AN1217" s="1063"/>
      <c r="AO1217" s="1063"/>
      <c r="AP1217" s="1063"/>
      <c r="AQ1217" s="1063"/>
      <c r="AR1217" s="1063"/>
      <c r="AS1217" s="1063"/>
      <c r="AT1217" s="1063"/>
      <c r="AU1217" s="1063"/>
      <c r="AV1217" s="1063"/>
    </row>
    <row r="1218" spans="1:48" s="1108" customFormat="1" ht="27.75" customHeight="1">
      <c r="A1218" s="1076"/>
      <c r="B1218" s="1074">
        <f>+'[18]Bldg+Dev'!S2030</f>
        <v>0</v>
      </c>
      <c r="D1218" s="1063"/>
      <c r="F1218" s="1076"/>
      <c r="G1218" s="1063"/>
      <c r="H1218" s="1063"/>
      <c r="I1218" s="1063"/>
      <c r="J1218" s="1063"/>
      <c r="K1218" s="1063"/>
      <c r="L1218" s="1063"/>
      <c r="M1218" s="1063"/>
      <c r="N1218" s="1063"/>
      <c r="O1218" s="1063"/>
      <c r="P1218" s="1063"/>
      <c r="Q1218" s="1063"/>
      <c r="R1218" s="1063"/>
      <c r="S1218" s="1063"/>
      <c r="T1218" s="1063"/>
      <c r="U1218" s="1063"/>
      <c r="V1218" s="1063"/>
      <c r="W1218" s="1063"/>
      <c r="X1218" s="1063"/>
      <c r="Y1218" s="1063"/>
      <c r="Z1218" s="1063"/>
      <c r="AA1218" s="1063"/>
      <c r="AB1218" s="1063"/>
      <c r="AC1218" s="1063"/>
      <c r="AD1218" s="1063"/>
      <c r="AE1218" s="1063"/>
      <c r="AF1218" s="1063"/>
      <c r="AG1218" s="1063"/>
      <c r="AH1218" s="1063"/>
      <c r="AI1218" s="1063"/>
      <c r="AJ1218" s="1063"/>
      <c r="AK1218" s="1063"/>
      <c r="AL1218" s="1063"/>
      <c r="AM1218" s="1063"/>
      <c r="AN1218" s="1063"/>
      <c r="AO1218" s="1063"/>
      <c r="AP1218" s="1063"/>
      <c r="AQ1218" s="1063"/>
      <c r="AR1218" s="1063"/>
      <c r="AS1218" s="1063"/>
      <c r="AT1218" s="1063"/>
      <c r="AU1218" s="1063"/>
      <c r="AV1218" s="1063"/>
    </row>
    <row r="1219" spans="1:48" s="1108" customFormat="1" ht="27.75" customHeight="1">
      <c r="A1219" s="1076"/>
      <c r="B1219" s="1074">
        <f>+'[18]Bldg+Dev'!S2031</f>
        <v>0</v>
      </c>
      <c r="D1219" s="1063"/>
      <c r="F1219" s="1076"/>
      <c r="G1219" s="1063"/>
      <c r="H1219" s="1063"/>
      <c r="I1219" s="1063"/>
      <c r="J1219" s="1063"/>
      <c r="K1219" s="1063"/>
      <c r="L1219" s="1063"/>
      <c r="M1219" s="1063"/>
      <c r="N1219" s="1063"/>
      <c r="O1219" s="1063"/>
      <c r="P1219" s="1063"/>
      <c r="Q1219" s="1063"/>
      <c r="R1219" s="1063"/>
      <c r="S1219" s="1063"/>
      <c r="T1219" s="1063"/>
      <c r="U1219" s="1063"/>
      <c r="V1219" s="1063"/>
      <c r="W1219" s="1063"/>
      <c r="X1219" s="1063"/>
      <c r="Y1219" s="1063"/>
      <c r="Z1219" s="1063"/>
      <c r="AA1219" s="1063"/>
      <c r="AB1219" s="1063"/>
      <c r="AC1219" s="1063"/>
      <c r="AD1219" s="1063"/>
      <c r="AE1219" s="1063"/>
      <c r="AF1219" s="1063"/>
      <c r="AG1219" s="1063"/>
      <c r="AH1219" s="1063"/>
      <c r="AI1219" s="1063"/>
      <c r="AJ1219" s="1063"/>
      <c r="AK1219" s="1063"/>
      <c r="AL1219" s="1063"/>
      <c r="AM1219" s="1063"/>
      <c r="AN1219" s="1063"/>
      <c r="AO1219" s="1063"/>
      <c r="AP1219" s="1063"/>
      <c r="AQ1219" s="1063"/>
      <c r="AR1219" s="1063"/>
      <c r="AS1219" s="1063"/>
      <c r="AT1219" s="1063"/>
      <c r="AU1219" s="1063"/>
      <c r="AV1219" s="1063"/>
    </row>
    <row r="1220" spans="1:48" s="1108" customFormat="1" ht="27.75" customHeight="1">
      <c r="A1220" s="1076"/>
      <c r="B1220" s="1074">
        <f>+'[18]Bldg+Dev'!S2032</f>
        <v>0</v>
      </c>
      <c r="D1220" s="1063"/>
      <c r="F1220" s="1076"/>
      <c r="G1220" s="1063"/>
      <c r="H1220" s="1063"/>
      <c r="I1220" s="1063"/>
      <c r="J1220" s="1063"/>
      <c r="K1220" s="1063"/>
      <c r="L1220" s="1063"/>
      <c r="M1220" s="1063"/>
      <c r="N1220" s="1063"/>
      <c r="O1220" s="1063"/>
      <c r="P1220" s="1063"/>
      <c r="Q1220" s="1063"/>
      <c r="R1220" s="1063"/>
      <c r="S1220" s="1063"/>
      <c r="T1220" s="1063"/>
      <c r="U1220" s="1063"/>
      <c r="V1220" s="1063"/>
      <c r="W1220" s="1063"/>
      <c r="X1220" s="1063"/>
      <c r="Y1220" s="1063"/>
      <c r="Z1220" s="1063"/>
      <c r="AA1220" s="1063"/>
      <c r="AB1220" s="1063"/>
      <c r="AC1220" s="1063"/>
      <c r="AD1220" s="1063"/>
      <c r="AE1220" s="1063"/>
      <c r="AF1220" s="1063"/>
      <c r="AG1220" s="1063"/>
      <c r="AH1220" s="1063"/>
      <c r="AI1220" s="1063"/>
      <c r="AJ1220" s="1063"/>
      <c r="AK1220" s="1063"/>
      <c r="AL1220" s="1063"/>
      <c r="AM1220" s="1063"/>
      <c r="AN1220" s="1063"/>
      <c r="AO1220" s="1063"/>
      <c r="AP1220" s="1063"/>
      <c r="AQ1220" s="1063"/>
      <c r="AR1220" s="1063"/>
      <c r="AS1220" s="1063"/>
      <c r="AT1220" s="1063"/>
      <c r="AU1220" s="1063"/>
      <c r="AV1220" s="1063"/>
    </row>
    <row r="1221" spans="1:48" s="1108" customFormat="1" ht="27.75" customHeight="1">
      <c r="A1221" s="1076"/>
      <c r="B1221" s="1074">
        <f>+'[18]Bldg+Dev'!S2033</f>
        <v>0</v>
      </c>
      <c r="D1221" s="1063"/>
      <c r="F1221" s="1076"/>
      <c r="G1221" s="1063"/>
      <c r="H1221" s="1063"/>
      <c r="I1221" s="1063"/>
      <c r="J1221" s="1063"/>
      <c r="K1221" s="1063"/>
      <c r="L1221" s="1063"/>
      <c r="M1221" s="1063"/>
      <c r="N1221" s="1063"/>
      <c r="O1221" s="1063"/>
      <c r="P1221" s="1063"/>
      <c r="Q1221" s="1063"/>
      <c r="R1221" s="1063"/>
      <c r="S1221" s="1063"/>
      <c r="T1221" s="1063"/>
      <c r="U1221" s="1063"/>
      <c r="V1221" s="1063"/>
      <c r="W1221" s="1063"/>
      <c r="X1221" s="1063"/>
      <c r="Y1221" s="1063"/>
      <c r="Z1221" s="1063"/>
      <c r="AA1221" s="1063"/>
      <c r="AB1221" s="1063"/>
      <c r="AC1221" s="1063"/>
      <c r="AD1221" s="1063"/>
      <c r="AE1221" s="1063"/>
      <c r="AF1221" s="1063"/>
      <c r="AG1221" s="1063"/>
      <c r="AH1221" s="1063"/>
      <c r="AI1221" s="1063"/>
      <c r="AJ1221" s="1063"/>
      <c r="AK1221" s="1063"/>
      <c r="AL1221" s="1063"/>
      <c r="AM1221" s="1063"/>
      <c r="AN1221" s="1063"/>
      <c r="AO1221" s="1063"/>
      <c r="AP1221" s="1063"/>
      <c r="AQ1221" s="1063"/>
      <c r="AR1221" s="1063"/>
      <c r="AS1221" s="1063"/>
      <c r="AT1221" s="1063"/>
      <c r="AU1221" s="1063"/>
      <c r="AV1221" s="1063"/>
    </row>
    <row r="1222" spans="1:48" s="1108" customFormat="1" ht="27.75" customHeight="1">
      <c r="A1222" s="1076"/>
      <c r="B1222" s="1074">
        <f>+'[18]Bldg+Dev'!S2034</f>
        <v>0</v>
      </c>
      <c r="D1222" s="1063"/>
      <c r="F1222" s="1076"/>
      <c r="G1222" s="1063"/>
      <c r="H1222" s="1063"/>
      <c r="I1222" s="1063"/>
      <c r="J1222" s="1063"/>
      <c r="K1222" s="1063"/>
      <c r="L1222" s="1063"/>
      <c r="M1222" s="1063"/>
      <c r="N1222" s="1063"/>
      <c r="O1222" s="1063"/>
      <c r="P1222" s="1063"/>
      <c r="Q1222" s="1063"/>
      <c r="R1222" s="1063"/>
      <c r="S1222" s="1063"/>
      <c r="T1222" s="1063"/>
      <c r="U1222" s="1063"/>
      <c r="V1222" s="1063"/>
      <c r="W1222" s="1063"/>
      <c r="X1222" s="1063"/>
      <c r="Y1222" s="1063"/>
      <c r="Z1222" s="1063"/>
      <c r="AA1222" s="1063"/>
      <c r="AB1222" s="1063"/>
      <c r="AC1222" s="1063"/>
      <c r="AD1222" s="1063"/>
      <c r="AE1222" s="1063"/>
      <c r="AF1222" s="1063"/>
      <c r="AG1222" s="1063"/>
      <c r="AH1222" s="1063"/>
      <c r="AI1222" s="1063"/>
      <c r="AJ1222" s="1063"/>
      <c r="AK1222" s="1063"/>
      <c r="AL1222" s="1063"/>
      <c r="AM1222" s="1063"/>
      <c r="AN1222" s="1063"/>
      <c r="AO1222" s="1063"/>
      <c r="AP1222" s="1063"/>
      <c r="AQ1222" s="1063"/>
      <c r="AR1222" s="1063"/>
      <c r="AS1222" s="1063"/>
      <c r="AT1222" s="1063"/>
      <c r="AU1222" s="1063"/>
      <c r="AV1222" s="1063"/>
    </row>
    <row r="1223" spans="1:48" s="1108" customFormat="1" ht="27.75" customHeight="1">
      <c r="A1223" s="1076"/>
      <c r="B1223" s="1074">
        <f>+'[18]Bldg+Dev'!S2035</f>
        <v>0</v>
      </c>
      <c r="D1223" s="1063"/>
      <c r="F1223" s="1076"/>
      <c r="G1223" s="1063"/>
      <c r="H1223" s="1063"/>
      <c r="I1223" s="1063"/>
      <c r="J1223" s="1063"/>
      <c r="K1223" s="1063"/>
      <c r="L1223" s="1063"/>
      <c r="M1223" s="1063"/>
      <c r="N1223" s="1063"/>
      <c r="O1223" s="1063"/>
      <c r="P1223" s="1063"/>
      <c r="Q1223" s="1063"/>
      <c r="R1223" s="1063"/>
      <c r="S1223" s="1063"/>
      <c r="T1223" s="1063"/>
      <c r="U1223" s="1063"/>
      <c r="V1223" s="1063"/>
      <c r="W1223" s="1063"/>
      <c r="X1223" s="1063"/>
      <c r="Y1223" s="1063"/>
      <c r="Z1223" s="1063"/>
      <c r="AA1223" s="1063"/>
      <c r="AB1223" s="1063"/>
      <c r="AC1223" s="1063"/>
      <c r="AD1223" s="1063"/>
      <c r="AE1223" s="1063"/>
      <c r="AF1223" s="1063"/>
      <c r="AG1223" s="1063"/>
      <c r="AH1223" s="1063"/>
      <c r="AI1223" s="1063"/>
      <c r="AJ1223" s="1063"/>
      <c r="AK1223" s="1063"/>
      <c r="AL1223" s="1063"/>
      <c r="AM1223" s="1063"/>
      <c r="AN1223" s="1063"/>
      <c r="AO1223" s="1063"/>
      <c r="AP1223" s="1063"/>
      <c r="AQ1223" s="1063"/>
      <c r="AR1223" s="1063"/>
      <c r="AS1223" s="1063"/>
      <c r="AT1223" s="1063"/>
      <c r="AU1223" s="1063"/>
      <c r="AV1223" s="1063"/>
    </row>
    <row r="1224" spans="1:48" s="1108" customFormat="1" ht="27.75" customHeight="1">
      <c r="A1224" s="1076"/>
      <c r="B1224" s="1074">
        <f>+'[18]Bldg+Dev'!S2036</f>
        <v>0</v>
      </c>
      <c r="D1224" s="1063"/>
      <c r="F1224" s="1076"/>
      <c r="G1224" s="1063"/>
      <c r="H1224" s="1063"/>
      <c r="I1224" s="1063"/>
      <c r="J1224" s="1063"/>
      <c r="K1224" s="1063"/>
      <c r="L1224" s="1063"/>
      <c r="M1224" s="1063"/>
      <c r="N1224" s="1063"/>
      <c r="O1224" s="1063"/>
      <c r="P1224" s="1063"/>
      <c r="Q1224" s="1063"/>
      <c r="R1224" s="1063"/>
      <c r="S1224" s="1063"/>
      <c r="T1224" s="1063"/>
      <c r="U1224" s="1063"/>
      <c r="V1224" s="1063"/>
      <c r="W1224" s="1063"/>
      <c r="X1224" s="1063"/>
      <c r="Y1224" s="1063"/>
      <c r="Z1224" s="1063"/>
      <c r="AA1224" s="1063"/>
      <c r="AB1224" s="1063"/>
      <c r="AC1224" s="1063"/>
      <c r="AD1224" s="1063"/>
      <c r="AE1224" s="1063"/>
      <c r="AF1224" s="1063"/>
      <c r="AG1224" s="1063"/>
      <c r="AH1224" s="1063"/>
      <c r="AI1224" s="1063"/>
      <c r="AJ1224" s="1063"/>
      <c r="AK1224" s="1063"/>
      <c r="AL1224" s="1063"/>
      <c r="AM1224" s="1063"/>
      <c r="AN1224" s="1063"/>
      <c r="AO1224" s="1063"/>
      <c r="AP1224" s="1063"/>
      <c r="AQ1224" s="1063"/>
      <c r="AR1224" s="1063"/>
      <c r="AS1224" s="1063"/>
      <c r="AT1224" s="1063"/>
      <c r="AU1224" s="1063"/>
      <c r="AV1224" s="1063"/>
    </row>
    <row r="1225" spans="1:48" s="1108" customFormat="1" ht="27.75" customHeight="1">
      <c r="A1225" s="1076"/>
      <c r="B1225" s="1074">
        <f>+'[18]Bldg+Dev'!S2037</f>
        <v>0</v>
      </c>
      <c r="D1225" s="1063"/>
      <c r="F1225" s="1076"/>
      <c r="G1225" s="1063"/>
      <c r="H1225" s="1063"/>
      <c r="I1225" s="1063"/>
      <c r="J1225" s="1063"/>
      <c r="K1225" s="1063"/>
      <c r="L1225" s="1063"/>
      <c r="M1225" s="1063"/>
      <c r="N1225" s="1063"/>
      <c r="O1225" s="1063"/>
      <c r="P1225" s="1063"/>
      <c r="Q1225" s="1063"/>
      <c r="R1225" s="1063"/>
      <c r="S1225" s="1063"/>
      <c r="T1225" s="1063"/>
      <c r="U1225" s="1063"/>
      <c r="V1225" s="1063"/>
      <c r="W1225" s="1063"/>
      <c r="X1225" s="1063"/>
      <c r="Y1225" s="1063"/>
      <c r="Z1225" s="1063"/>
      <c r="AA1225" s="1063"/>
      <c r="AB1225" s="1063"/>
      <c r="AC1225" s="1063"/>
      <c r="AD1225" s="1063"/>
      <c r="AE1225" s="1063"/>
      <c r="AF1225" s="1063"/>
      <c r="AG1225" s="1063"/>
      <c r="AH1225" s="1063"/>
      <c r="AI1225" s="1063"/>
      <c r="AJ1225" s="1063"/>
      <c r="AK1225" s="1063"/>
      <c r="AL1225" s="1063"/>
      <c r="AM1225" s="1063"/>
      <c r="AN1225" s="1063"/>
      <c r="AO1225" s="1063"/>
      <c r="AP1225" s="1063"/>
      <c r="AQ1225" s="1063"/>
      <c r="AR1225" s="1063"/>
      <c r="AS1225" s="1063"/>
      <c r="AT1225" s="1063"/>
      <c r="AU1225" s="1063"/>
      <c r="AV1225" s="1063"/>
    </row>
    <row r="1226" spans="1:48" s="1108" customFormat="1" ht="27.75" customHeight="1">
      <c r="A1226" s="1076"/>
      <c r="B1226" s="1074">
        <f>+'[18]Bldg+Dev'!S2038</f>
        <v>0</v>
      </c>
      <c r="D1226" s="1063"/>
      <c r="F1226" s="1076"/>
      <c r="G1226" s="1063"/>
      <c r="H1226" s="1063"/>
      <c r="I1226" s="1063"/>
      <c r="J1226" s="1063"/>
      <c r="K1226" s="1063"/>
      <c r="L1226" s="1063"/>
      <c r="M1226" s="1063"/>
      <c r="N1226" s="1063"/>
      <c r="O1226" s="1063"/>
      <c r="P1226" s="1063"/>
      <c r="Q1226" s="1063"/>
      <c r="R1226" s="1063"/>
      <c r="S1226" s="1063"/>
      <c r="T1226" s="1063"/>
      <c r="U1226" s="1063"/>
      <c r="V1226" s="1063"/>
      <c r="W1226" s="1063"/>
      <c r="X1226" s="1063"/>
      <c r="Y1226" s="1063"/>
      <c r="Z1226" s="1063"/>
      <c r="AA1226" s="1063"/>
      <c r="AB1226" s="1063"/>
      <c r="AC1226" s="1063"/>
      <c r="AD1226" s="1063"/>
      <c r="AE1226" s="1063"/>
      <c r="AF1226" s="1063"/>
      <c r="AG1226" s="1063"/>
      <c r="AH1226" s="1063"/>
      <c r="AI1226" s="1063"/>
      <c r="AJ1226" s="1063"/>
      <c r="AK1226" s="1063"/>
      <c r="AL1226" s="1063"/>
      <c r="AM1226" s="1063"/>
      <c r="AN1226" s="1063"/>
      <c r="AO1226" s="1063"/>
      <c r="AP1226" s="1063"/>
      <c r="AQ1226" s="1063"/>
      <c r="AR1226" s="1063"/>
      <c r="AS1226" s="1063"/>
      <c r="AT1226" s="1063"/>
      <c r="AU1226" s="1063"/>
      <c r="AV1226" s="1063"/>
    </row>
    <row r="1227" spans="1:48" s="1108" customFormat="1" ht="27.75" customHeight="1">
      <c r="A1227" s="1076"/>
      <c r="B1227" s="1074">
        <f>+'[18]Bldg+Dev'!S2039</f>
        <v>0</v>
      </c>
      <c r="D1227" s="1063"/>
      <c r="F1227" s="1076"/>
      <c r="G1227" s="1063"/>
      <c r="H1227" s="1063"/>
      <c r="I1227" s="1063"/>
      <c r="J1227" s="1063"/>
      <c r="K1227" s="1063"/>
      <c r="L1227" s="1063"/>
      <c r="M1227" s="1063"/>
      <c r="N1227" s="1063"/>
      <c r="O1227" s="1063"/>
      <c r="P1227" s="1063"/>
      <c r="Q1227" s="1063"/>
      <c r="R1227" s="1063"/>
      <c r="S1227" s="1063"/>
      <c r="T1227" s="1063"/>
      <c r="U1227" s="1063"/>
      <c r="V1227" s="1063"/>
      <c r="W1227" s="1063"/>
      <c r="X1227" s="1063"/>
      <c r="Y1227" s="1063"/>
      <c r="Z1227" s="1063"/>
      <c r="AA1227" s="1063"/>
      <c r="AB1227" s="1063"/>
      <c r="AC1227" s="1063"/>
      <c r="AD1227" s="1063"/>
      <c r="AE1227" s="1063"/>
      <c r="AF1227" s="1063"/>
      <c r="AG1227" s="1063"/>
      <c r="AH1227" s="1063"/>
      <c r="AI1227" s="1063"/>
      <c r="AJ1227" s="1063"/>
      <c r="AK1227" s="1063"/>
      <c r="AL1227" s="1063"/>
      <c r="AM1227" s="1063"/>
      <c r="AN1227" s="1063"/>
      <c r="AO1227" s="1063"/>
      <c r="AP1227" s="1063"/>
      <c r="AQ1227" s="1063"/>
      <c r="AR1227" s="1063"/>
      <c r="AS1227" s="1063"/>
      <c r="AT1227" s="1063"/>
      <c r="AU1227" s="1063"/>
      <c r="AV1227" s="1063"/>
    </row>
    <row r="1228" spans="1:48" s="1108" customFormat="1" ht="27.75" customHeight="1">
      <c r="A1228" s="1076"/>
      <c r="B1228" s="1074">
        <f>+'[18]Bldg+Dev'!S2040</f>
        <v>0</v>
      </c>
      <c r="D1228" s="1063"/>
      <c r="F1228" s="1076"/>
      <c r="G1228" s="1063"/>
      <c r="H1228" s="1063"/>
      <c r="I1228" s="1063"/>
      <c r="J1228" s="1063"/>
      <c r="K1228" s="1063"/>
      <c r="L1228" s="1063"/>
      <c r="M1228" s="1063"/>
      <c r="N1228" s="1063"/>
      <c r="O1228" s="1063"/>
      <c r="P1228" s="1063"/>
      <c r="Q1228" s="1063"/>
      <c r="R1228" s="1063"/>
      <c r="S1228" s="1063"/>
      <c r="T1228" s="1063"/>
      <c r="U1228" s="1063"/>
      <c r="V1228" s="1063"/>
      <c r="W1228" s="1063"/>
      <c r="X1228" s="1063"/>
      <c r="Y1228" s="1063"/>
      <c r="Z1228" s="1063"/>
      <c r="AA1228" s="1063"/>
      <c r="AB1228" s="1063"/>
      <c r="AC1228" s="1063"/>
      <c r="AD1228" s="1063"/>
      <c r="AE1228" s="1063"/>
      <c r="AF1228" s="1063"/>
      <c r="AG1228" s="1063"/>
      <c r="AH1228" s="1063"/>
      <c r="AI1228" s="1063"/>
      <c r="AJ1228" s="1063"/>
      <c r="AK1228" s="1063"/>
      <c r="AL1228" s="1063"/>
      <c r="AM1228" s="1063"/>
      <c r="AN1228" s="1063"/>
      <c r="AO1228" s="1063"/>
      <c r="AP1228" s="1063"/>
      <c r="AQ1228" s="1063"/>
      <c r="AR1228" s="1063"/>
      <c r="AS1228" s="1063"/>
      <c r="AT1228" s="1063"/>
      <c r="AU1228" s="1063"/>
      <c r="AV1228" s="1063"/>
    </row>
    <row r="1229" spans="1:48" s="1108" customFormat="1" ht="27.75" customHeight="1">
      <c r="A1229" s="1076"/>
      <c r="B1229" s="1074">
        <f>+'[18]Bldg+Dev'!S2041</f>
        <v>0</v>
      </c>
      <c r="D1229" s="1063"/>
      <c r="F1229" s="1076"/>
      <c r="G1229" s="1063"/>
      <c r="H1229" s="1063"/>
      <c r="I1229" s="1063"/>
      <c r="J1229" s="1063"/>
      <c r="K1229" s="1063"/>
      <c r="L1229" s="1063"/>
      <c r="M1229" s="1063"/>
      <c r="N1229" s="1063"/>
      <c r="O1229" s="1063"/>
      <c r="P1229" s="1063"/>
      <c r="Q1229" s="1063"/>
      <c r="R1229" s="1063"/>
      <c r="S1229" s="1063"/>
      <c r="T1229" s="1063"/>
      <c r="U1229" s="1063"/>
      <c r="V1229" s="1063"/>
      <c r="W1229" s="1063"/>
      <c r="X1229" s="1063"/>
      <c r="Y1229" s="1063"/>
      <c r="Z1229" s="1063"/>
      <c r="AA1229" s="1063"/>
      <c r="AB1229" s="1063"/>
      <c r="AC1229" s="1063"/>
      <c r="AD1229" s="1063"/>
      <c r="AE1229" s="1063"/>
      <c r="AF1229" s="1063"/>
      <c r="AG1229" s="1063"/>
      <c r="AH1229" s="1063"/>
      <c r="AI1229" s="1063"/>
      <c r="AJ1229" s="1063"/>
      <c r="AK1229" s="1063"/>
      <c r="AL1229" s="1063"/>
      <c r="AM1229" s="1063"/>
      <c r="AN1229" s="1063"/>
      <c r="AO1229" s="1063"/>
      <c r="AP1229" s="1063"/>
      <c r="AQ1229" s="1063"/>
      <c r="AR1229" s="1063"/>
      <c r="AS1229" s="1063"/>
      <c r="AT1229" s="1063"/>
      <c r="AU1229" s="1063"/>
      <c r="AV1229" s="1063"/>
    </row>
    <row r="1230" spans="1:48" s="1108" customFormat="1" ht="27.75" customHeight="1">
      <c r="A1230" s="1076"/>
      <c r="B1230" s="1074">
        <f>+'[18]Bldg+Dev'!S2042</f>
        <v>0</v>
      </c>
      <c r="D1230" s="1063"/>
      <c r="F1230" s="1076"/>
      <c r="G1230" s="1063"/>
      <c r="H1230" s="1063"/>
      <c r="I1230" s="1063"/>
      <c r="J1230" s="1063"/>
      <c r="K1230" s="1063"/>
      <c r="L1230" s="1063"/>
      <c r="M1230" s="1063"/>
      <c r="N1230" s="1063"/>
      <c r="O1230" s="1063"/>
      <c r="P1230" s="1063"/>
      <c r="Q1230" s="1063"/>
      <c r="R1230" s="1063"/>
      <c r="S1230" s="1063"/>
      <c r="T1230" s="1063"/>
      <c r="U1230" s="1063"/>
      <c r="V1230" s="1063"/>
      <c r="W1230" s="1063"/>
      <c r="X1230" s="1063"/>
      <c r="Y1230" s="1063"/>
      <c r="Z1230" s="1063"/>
      <c r="AA1230" s="1063"/>
      <c r="AB1230" s="1063"/>
      <c r="AC1230" s="1063"/>
      <c r="AD1230" s="1063"/>
      <c r="AE1230" s="1063"/>
      <c r="AF1230" s="1063"/>
      <c r="AG1230" s="1063"/>
      <c r="AH1230" s="1063"/>
      <c r="AI1230" s="1063"/>
      <c r="AJ1230" s="1063"/>
      <c r="AK1230" s="1063"/>
      <c r="AL1230" s="1063"/>
      <c r="AM1230" s="1063"/>
      <c r="AN1230" s="1063"/>
      <c r="AO1230" s="1063"/>
      <c r="AP1230" s="1063"/>
      <c r="AQ1230" s="1063"/>
      <c r="AR1230" s="1063"/>
      <c r="AS1230" s="1063"/>
      <c r="AT1230" s="1063"/>
      <c r="AU1230" s="1063"/>
      <c r="AV1230" s="1063"/>
    </row>
    <row r="1231" spans="1:48" s="1108" customFormat="1" ht="27.75" customHeight="1">
      <c r="A1231" s="1076"/>
      <c r="B1231" s="1074">
        <f>+'[18]Bldg+Dev'!S2043</f>
        <v>0</v>
      </c>
      <c r="D1231" s="1063"/>
      <c r="F1231" s="1076"/>
      <c r="G1231" s="1063"/>
      <c r="H1231" s="1063"/>
      <c r="I1231" s="1063"/>
      <c r="J1231" s="1063"/>
      <c r="K1231" s="1063"/>
      <c r="L1231" s="1063"/>
      <c r="M1231" s="1063"/>
      <c r="N1231" s="1063"/>
      <c r="O1231" s="1063"/>
      <c r="P1231" s="1063"/>
      <c r="Q1231" s="1063"/>
      <c r="R1231" s="1063"/>
      <c r="S1231" s="1063"/>
      <c r="T1231" s="1063"/>
      <c r="U1231" s="1063"/>
      <c r="V1231" s="1063"/>
      <c r="W1231" s="1063"/>
      <c r="X1231" s="1063"/>
      <c r="Y1231" s="1063"/>
      <c r="Z1231" s="1063"/>
      <c r="AA1231" s="1063"/>
      <c r="AB1231" s="1063"/>
      <c r="AC1231" s="1063"/>
      <c r="AD1231" s="1063"/>
      <c r="AE1231" s="1063"/>
      <c r="AF1231" s="1063"/>
      <c r="AG1231" s="1063"/>
      <c r="AH1231" s="1063"/>
      <c r="AI1231" s="1063"/>
      <c r="AJ1231" s="1063"/>
      <c r="AK1231" s="1063"/>
      <c r="AL1231" s="1063"/>
      <c r="AM1231" s="1063"/>
      <c r="AN1231" s="1063"/>
      <c r="AO1231" s="1063"/>
      <c r="AP1231" s="1063"/>
      <c r="AQ1231" s="1063"/>
      <c r="AR1231" s="1063"/>
      <c r="AS1231" s="1063"/>
      <c r="AT1231" s="1063"/>
      <c r="AU1231" s="1063"/>
      <c r="AV1231" s="1063"/>
    </row>
    <row r="1232" spans="1:48" s="1108" customFormat="1" ht="27.75" customHeight="1">
      <c r="A1232" s="1076"/>
      <c r="B1232" s="1074">
        <f>+'[18]Bldg+Dev'!S2044</f>
        <v>0</v>
      </c>
      <c r="D1232" s="1063"/>
      <c r="F1232" s="1076"/>
      <c r="G1232" s="1063"/>
      <c r="H1232" s="1063"/>
      <c r="I1232" s="1063"/>
      <c r="J1232" s="1063"/>
      <c r="K1232" s="1063"/>
      <c r="L1232" s="1063"/>
      <c r="M1232" s="1063"/>
      <c r="N1232" s="1063"/>
      <c r="O1232" s="1063"/>
      <c r="P1232" s="1063"/>
      <c r="Q1232" s="1063"/>
      <c r="R1232" s="1063"/>
      <c r="S1232" s="1063"/>
      <c r="T1232" s="1063"/>
      <c r="U1232" s="1063"/>
      <c r="V1232" s="1063"/>
      <c r="W1232" s="1063"/>
      <c r="X1232" s="1063"/>
      <c r="Y1232" s="1063"/>
      <c r="Z1232" s="1063"/>
      <c r="AA1232" s="1063"/>
      <c r="AB1232" s="1063"/>
      <c r="AC1232" s="1063"/>
      <c r="AD1232" s="1063"/>
      <c r="AE1232" s="1063"/>
      <c r="AF1232" s="1063"/>
      <c r="AG1232" s="1063"/>
      <c r="AH1232" s="1063"/>
      <c r="AI1232" s="1063"/>
      <c r="AJ1232" s="1063"/>
      <c r="AK1232" s="1063"/>
      <c r="AL1232" s="1063"/>
      <c r="AM1232" s="1063"/>
      <c r="AN1232" s="1063"/>
      <c r="AO1232" s="1063"/>
      <c r="AP1232" s="1063"/>
      <c r="AQ1232" s="1063"/>
      <c r="AR1232" s="1063"/>
      <c r="AS1232" s="1063"/>
      <c r="AT1232" s="1063"/>
      <c r="AU1232" s="1063"/>
      <c r="AV1232" s="1063"/>
    </row>
    <row r="1233" spans="1:48" s="1108" customFormat="1" ht="27.75" customHeight="1">
      <c r="A1233" s="1076"/>
      <c r="B1233" s="1074">
        <f>+'[18]Bldg+Dev'!S2045</f>
        <v>0</v>
      </c>
      <c r="D1233" s="1063"/>
      <c r="F1233" s="1076"/>
      <c r="G1233" s="1063"/>
      <c r="H1233" s="1063"/>
      <c r="I1233" s="1063"/>
      <c r="J1233" s="1063"/>
      <c r="K1233" s="1063"/>
      <c r="L1233" s="1063"/>
      <c r="M1233" s="1063"/>
      <c r="N1233" s="1063"/>
      <c r="O1233" s="1063"/>
      <c r="P1233" s="1063"/>
      <c r="Q1233" s="1063"/>
      <c r="R1233" s="1063"/>
      <c r="S1233" s="1063"/>
      <c r="T1233" s="1063"/>
      <c r="U1233" s="1063"/>
      <c r="V1233" s="1063"/>
      <c r="W1233" s="1063"/>
      <c r="X1233" s="1063"/>
      <c r="Y1233" s="1063"/>
      <c r="Z1233" s="1063"/>
      <c r="AA1233" s="1063"/>
      <c r="AB1233" s="1063"/>
      <c r="AC1233" s="1063"/>
      <c r="AD1233" s="1063"/>
      <c r="AE1233" s="1063"/>
      <c r="AF1233" s="1063"/>
      <c r="AG1233" s="1063"/>
      <c r="AH1233" s="1063"/>
      <c r="AI1233" s="1063"/>
      <c r="AJ1233" s="1063"/>
      <c r="AK1233" s="1063"/>
      <c r="AL1233" s="1063"/>
      <c r="AM1233" s="1063"/>
      <c r="AN1233" s="1063"/>
      <c r="AO1233" s="1063"/>
      <c r="AP1233" s="1063"/>
      <c r="AQ1233" s="1063"/>
      <c r="AR1233" s="1063"/>
      <c r="AS1233" s="1063"/>
      <c r="AT1233" s="1063"/>
      <c r="AU1233" s="1063"/>
      <c r="AV1233" s="1063"/>
    </row>
    <row r="1234" spans="1:48" s="1108" customFormat="1" ht="27.75" customHeight="1">
      <c r="A1234" s="1076"/>
      <c r="B1234" s="1074">
        <f>+'[18]Bldg+Dev'!S2046</f>
        <v>0</v>
      </c>
      <c r="D1234" s="1063"/>
      <c r="F1234" s="1076"/>
      <c r="G1234" s="1063"/>
      <c r="H1234" s="1063"/>
      <c r="I1234" s="1063"/>
      <c r="J1234" s="1063"/>
      <c r="K1234" s="1063"/>
      <c r="L1234" s="1063"/>
      <c r="M1234" s="1063"/>
      <c r="N1234" s="1063"/>
      <c r="O1234" s="1063"/>
      <c r="P1234" s="1063"/>
      <c r="Q1234" s="1063"/>
      <c r="R1234" s="1063"/>
      <c r="S1234" s="1063"/>
      <c r="T1234" s="1063"/>
      <c r="U1234" s="1063"/>
      <c r="V1234" s="1063"/>
      <c r="W1234" s="1063"/>
      <c r="X1234" s="1063"/>
      <c r="Y1234" s="1063"/>
      <c r="Z1234" s="1063"/>
      <c r="AA1234" s="1063"/>
      <c r="AB1234" s="1063"/>
      <c r="AC1234" s="1063"/>
      <c r="AD1234" s="1063"/>
      <c r="AE1234" s="1063"/>
      <c r="AF1234" s="1063"/>
      <c r="AG1234" s="1063"/>
      <c r="AH1234" s="1063"/>
      <c r="AI1234" s="1063"/>
      <c r="AJ1234" s="1063"/>
      <c r="AK1234" s="1063"/>
      <c r="AL1234" s="1063"/>
      <c r="AM1234" s="1063"/>
      <c r="AN1234" s="1063"/>
      <c r="AO1234" s="1063"/>
      <c r="AP1234" s="1063"/>
      <c r="AQ1234" s="1063"/>
      <c r="AR1234" s="1063"/>
      <c r="AS1234" s="1063"/>
      <c r="AT1234" s="1063"/>
      <c r="AU1234" s="1063"/>
      <c r="AV1234" s="1063"/>
    </row>
    <row r="1235" spans="1:48" s="1108" customFormat="1" ht="27.75" customHeight="1">
      <c r="A1235" s="1076"/>
      <c r="B1235" s="1074">
        <f>+'[18]Bldg+Dev'!S2047</f>
        <v>0</v>
      </c>
      <c r="D1235" s="1063"/>
      <c r="F1235" s="1076"/>
      <c r="G1235" s="1063"/>
      <c r="H1235" s="1063"/>
      <c r="I1235" s="1063"/>
      <c r="J1235" s="1063"/>
      <c r="K1235" s="1063"/>
      <c r="L1235" s="1063"/>
      <c r="M1235" s="1063"/>
      <c r="N1235" s="1063"/>
      <c r="O1235" s="1063"/>
      <c r="P1235" s="1063"/>
      <c r="Q1235" s="1063"/>
      <c r="R1235" s="1063"/>
      <c r="S1235" s="1063"/>
      <c r="T1235" s="1063"/>
      <c r="U1235" s="1063"/>
      <c r="V1235" s="1063"/>
      <c r="W1235" s="1063"/>
      <c r="X1235" s="1063"/>
      <c r="Y1235" s="1063"/>
      <c r="Z1235" s="1063"/>
      <c r="AA1235" s="1063"/>
      <c r="AB1235" s="1063"/>
      <c r="AC1235" s="1063"/>
      <c r="AD1235" s="1063"/>
      <c r="AE1235" s="1063"/>
      <c r="AF1235" s="1063"/>
      <c r="AG1235" s="1063"/>
      <c r="AH1235" s="1063"/>
      <c r="AI1235" s="1063"/>
      <c r="AJ1235" s="1063"/>
      <c r="AK1235" s="1063"/>
      <c r="AL1235" s="1063"/>
      <c r="AM1235" s="1063"/>
      <c r="AN1235" s="1063"/>
      <c r="AO1235" s="1063"/>
      <c r="AP1235" s="1063"/>
      <c r="AQ1235" s="1063"/>
      <c r="AR1235" s="1063"/>
      <c r="AS1235" s="1063"/>
      <c r="AT1235" s="1063"/>
      <c r="AU1235" s="1063"/>
      <c r="AV1235" s="1063"/>
    </row>
    <row r="1236" spans="1:48" s="1108" customFormat="1" ht="27.75" customHeight="1">
      <c r="A1236" s="1076"/>
      <c r="B1236" s="1074">
        <f>+'[18]Bldg+Dev'!S2048</f>
        <v>0</v>
      </c>
      <c r="D1236" s="1063"/>
      <c r="F1236" s="1076"/>
      <c r="G1236" s="1063"/>
      <c r="H1236" s="1063"/>
      <c r="I1236" s="1063"/>
      <c r="J1236" s="1063"/>
      <c r="K1236" s="1063"/>
      <c r="L1236" s="1063"/>
      <c r="M1236" s="1063"/>
      <c r="N1236" s="1063"/>
      <c r="O1236" s="1063"/>
      <c r="P1236" s="1063"/>
      <c r="Q1236" s="1063"/>
      <c r="R1236" s="1063"/>
      <c r="S1236" s="1063"/>
      <c r="T1236" s="1063"/>
      <c r="U1236" s="1063"/>
      <c r="V1236" s="1063"/>
      <c r="W1236" s="1063"/>
      <c r="X1236" s="1063"/>
      <c r="Y1236" s="1063"/>
      <c r="Z1236" s="1063"/>
      <c r="AA1236" s="1063"/>
      <c r="AB1236" s="1063"/>
      <c r="AC1236" s="1063"/>
      <c r="AD1236" s="1063"/>
      <c r="AE1236" s="1063"/>
      <c r="AF1236" s="1063"/>
      <c r="AG1236" s="1063"/>
      <c r="AH1236" s="1063"/>
      <c r="AI1236" s="1063"/>
      <c r="AJ1236" s="1063"/>
      <c r="AK1236" s="1063"/>
      <c r="AL1236" s="1063"/>
      <c r="AM1236" s="1063"/>
      <c r="AN1236" s="1063"/>
      <c r="AO1236" s="1063"/>
      <c r="AP1236" s="1063"/>
      <c r="AQ1236" s="1063"/>
      <c r="AR1236" s="1063"/>
      <c r="AS1236" s="1063"/>
      <c r="AT1236" s="1063"/>
      <c r="AU1236" s="1063"/>
      <c r="AV1236" s="1063"/>
    </row>
    <row r="1237" spans="1:48" s="1108" customFormat="1" ht="27.75" customHeight="1">
      <c r="A1237" s="1076"/>
      <c r="B1237" s="1074">
        <f>+'[18]Bldg+Dev'!S2049</f>
        <v>0</v>
      </c>
      <c r="D1237" s="1063"/>
      <c r="F1237" s="1076"/>
      <c r="G1237" s="1063"/>
      <c r="H1237" s="1063"/>
      <c r="I1237" s="1063"/>
      <c r="J1237" s="1063"/>
      <c r="K1237" s="1063"/>
      <c r="L1237" s="1063"/>
      <c r="M1237" s="1063"/>
      <c r="N1237" s="1063"/>
      <c r="O1237" s="1063"/>
      <c r="P1237" s="1063"/>
      <c r="Q1237" s="1063"/>
      <c r="R1237" s="1063"/>
      <c r="S1237" s="1063"/>
      <c r="T1237" s="1063"/>
      <c r="U1237" s="1063"/>
      <c r="V1237" s="1063"/>
      <c r="W1237" s="1063"/>
      <c r="X1237" s="1063"/>
      <c r="Y1237" s="1063"/>
      <c r="Z1237" s="1063"/>
      <c r="AA1237" s="1063"/>
      <c r="AB1237" s="1063"/>
      <c r="AC1237" s="1063"/>
      <c r="AD1237" s="1063"/>
      <c r="AE1237" s="1063"/>
      <c r="AF1237" s="1063"/>
      <c r="AG1237" s="1063"/>
      <c r="AH1237" s="1063"/>
      <c r="AI1237" s="1063"/>
      <c r="AJ1237" s="1063"/>
      <c r="AK1237" s="1063"/>
      <c r="AL1237" s="1063"/>
      <c r="AM1237" s="1063"/>
      <c r="AN1237" s="1063"/>
      <c r="AO1237" s="1063"/>
      <c r="AP1237" s="1063"/>
      <c r="AQ1237" s="1063"/>
      <c r="AR1237" s="1063"/>
      <c r="AS1237" s="1063"/>
      <c r="AT1237" s="1063"/>
      <c r="AU1237" s="1063"/>
      <c r="AV1237" s="1063"/>
    </row>
    <row r="1238" spans="1:48" s="1108" customFormat="1" ht="27.75" customHeight="1">
      <c r="A1238" s="1076"/>
      <c r="B1238" s="1074">
        <f>+'[18]Bldg+Dev'!S2050</f>
        <v>0</v>
      </c>
      <c r="D1238" s="1063"/>
      <c r="F1238" s="1076"/>
      <c r="G1238" s="1063"/>
      <c r="H1238" s="1063"/>
      <c r="I1238" s="1063"/>
      <c r="J1238" s="1063"/>
      <c r="K1238" s="1063"/>
      <c r="L1238" s="1063"/>
      <c r="M1238" s="1063"/>
      <c r="N1238" s="1063"/>
      <c r="O1238" s="1063"/>
      <c r="P1238" s="1063"/>
      <c r="Q1238" s="1063"/>
      <c r="R1238" s="1063"/>
      <c r="S1238" s="1063"/>
      <c r="T1238" s="1063"/>
      <c r="U1238" s="1063"/>
      <c r="V1238" s="1063"/>
      <c r="W1238" s="1063"/>
      <c r="X1238" s="1063"/>
      <c r="Y1238" s="1063"/>
      <c r="Z1238" s="1063"/>
      <c r="AA1238" s="1063"/>
      <c r="AB1238" s="1063"/>
      <c r="AC1238" s="1063"/>
      <c r="AD1238" s="1063"/>
      <c r="AE1238" s="1063"/>
      <c r="AF1238" s="1063"/>
      <c r="AG1238" s="1063"/>
      <c r="AH1238" s="1063"/>
      <c r="AI1238" s="1063"/>
      <c r="AJ1238" s="1063"/>
      <c r="AK1238" s="1063"/>
      <c r="AL1238" s="1063"/>
      <c r="AM1238" s="1063"/>
      <c r="AN1238" s="1063"/>
      <c r="AO1238" s="1063"/>
      <c r="AP1238" s="1063"/>
      <c r="AQ1238" s="1063"/>
      <c r="AR1238" s="1063"/>
      <c r="AS1238" s="1063"/>
      <c r="AT1238" s="1063"/>
      <c r="AU1238" s="1063"/>
      <c r="AV1238" s="1063"/>
    </row>
    <row r="1239" spans="1:48" s="1108" customFormat="1" ht="27.75" customHeight="1">
      <c r="A1239" s="1076"/>
      <c r="B1239" s="1074">
        <f>+'[18]Bldg+Dev'!S2051</f>
        <v>0</v>
      </c>
      <c r="D1239" s="1063"/>
      <c r="F1239" s="1076"/>
      <c r="G1239" s="1063"/>
      <c r="H1239" s="1063"/>
      <c r="I1239" s="1063"/>
      <c r="J1239" s="1063"/>
      <c r="K1239" s="1063"/>
      <c r="L1239" s="1063"/>
      <c r="M1239" s="1063"/>
      <c r="N1239" s="1063"/>
      <c r="O1239" s="1063"/>
      <c r="P1239" s="1063"/>
      <c r="Q1239" s="1063"/>
      <c r="R1239" s="1063"/>
      <c r="S1239" s="1063"/>
      <c r="T1239" s="1063"/>
      <c r="U1239" s="1063"/>
      <c r="V1239" s="1063"/>
      <c r="W1239" s="1063"/>
      <c r="X1239" s="1063"/>
      <c r="Y1239" s="1063"/>
      <c r="Z1239" s="1063"/>
      <c r="AA1239" s="1063"/>
      <c r="AB1239" s="1063"/>
      <c r="AC1239" s="1063"/>
      <c r="AD1239" s="1063"/>
      <c r="AE1239" s="1063"/>
      <c r="AF1239" s="1063"/>
      <c r="AG1239" s="1063"/>
      <c r="AH1239" s="1063"/>
      <c r="AI1239" s="1063"/>
      <c r="AJ1239" s="1063"/>
      <c r="AK1239" s="1063"/>
      <c r="AL1239" s="1063"/>
      <c r="AM1239" s="1063"/>
      <c r="AN1239" s="1063"/>
      <c r="AO1239" s="1063"/>
      <c r="AP1239" s="1063"/>
      <c r="AQ1239" s="1063"/>
      <c r="AR1239" s="1063"/>
      <c r="AS1239" s="1063"/>
      <c r="AT1239" s="1063"/>
      <c r="AU1239" s="1063"/>
      <c r="AV1239" s="1063"/>
    </row>
    <row r="1240" spans="1:48" s="1108" customFormat="1" ht="27.75" customHeight="1">
      <c r="A1240" s="1076"/>
      <c r="B1240" s="1074">
        <f>+'[18]Bldg+Dev'!S2052</f>
        <v>0</v>
      </c>
      <c r="D1240" s="1063"/>
      <c r="F1240" s="1076"/>
      <c r="G1240" s="1063"/>
      <c r="H1240" s="1063"/>
      <c r="I1240" s="1063"/>
      <c r="J1240" s="1063"/>
      <c r="K1240" s="1063"/>
      <c r="L1240" s="1063"/>
      <c r="M1240" s="1063"/>
      <c r="N1240" s="1063"/>
      <c r="O1240" s="1063"/>
      <c r="P1240" s="1063"/>
      <c r="Q1240" s="1063"/>
      <c r="R1240" s="1063"/>
      <c r="S1240" s="1063"/>
      <c r="T1240" s="1063"/>
      <c r="U1240" s="1063"/>
      <c r="V1240" s="1063"/>
      <c r="W1240" s="1063"/>
      <c r="X1240" s="1063"/>
      <c r="Y1240" s="1063"/>
      <c r="Z1240" s="1063"/>
      <c r="AA1240" s="1063"/>
      <c r="AB1240" s="1063"/>
      <c r="AC1240" s="1063"/>
      <c r="AD1240" s="1063"/>
      <c r="AE1240" s="1063"/>
      <c r="AF1240" s="1063"/>
      <c r="AG1240" s="1063"/>
      <c r="AH1240" s="1063"/>
      <c r="AI1240" s="1063"/>
      <c r="AJ1240" s="1063"/>
      <c r="AK1240" s="1063"/>
      <c r="AL1240" s="1063"/>
      <c r="AM1240" s="1063"/>
      <c r="AN1240" s="1063"/>
      <c r="AO1240" s="1063"/>
      <c r="AP1240" s="1063"/>
      <c r="AQ1240" s="1063"/>
      <c r="AR1240" s="1063"/>
      <c r="AS1240" s="1063"/>
      <c r="AT1240" s="1063"/>
      <c r="AU1240" s="1063"/>
      <c r="AV1240" s="1063"/>
    </row>
    <row r="1241" spans="1:48" s="1108" customFormat="1" ht="27.75" customHeight="1">
      <c r="A1241" s="1076"/>
      <c r="B1241" s="1074">
        <f>+'[18]Bldg+Dev'!S2053</f>
        <v>0</v>
      </c>
      <c r="D1241" s="1063"/>
      <c r="F1241" s="1076"/>
      <c r="G1241" s="1063"/>
      <c r="H1241" s="1063"/>
      <c r="I1241" s="1063"/>
      <c r="J1241" s="1063"/>
      <c r="K1241" s="1063"/>
      <c r="L1241" s="1063"/>
      <c r="M1241" s="1063"/>
      <c r="N1241" s="1063"/>
      <c r="O1241" s="1063"/>
      <c r="P1241" s="1063"/>
      <c r="Q1241" s="1063"/>
      <c r="R1241" s="1063"/>
      <c r="S1241" s="1063"/>
      <c r="T1241" s="1063"/>
      <c r="U1241" s="1063"/>
      <c r="V1241" s="1063"/>
      <c r="W1241" s="1063"/>
      <c r="X1241" s="1063"/>
      <c r="Y1241" s="1063"/>
      <c r="Z1241" s="1063"/>
      <c r="AA1241" s="1063"/>
      <c r="AB1241" s="1063"/>
      <c r="AC1241" s="1063"/>
      <c r="AD1241" s="1063"/>
      <c r="AE1241" s="1063"/>
      <c r="AF1241" s="1063"/>
      <c r="AG1241" s="1063"/>
      <c r="AH1241" s="1063"/>
      <c r="AI1241" s="1063"/>
      <c r="AJ1241" s="1063"/>
      <c r="AK1241" s="1063"/>
      <c r="AL1241" s="1063"/>
      <c r="AM1241" s="1063"/>
      <c r="AN1241" s="1063"/>
      <c r="AO1241" s="1063"/>
      <c r="AP1241" s="1063"/>
      <c r="AQ1241" s="1063"/>
      <c r="AR1241" s="1063"/>
      <c r="AS1241" s="1063"/>
      <c r="AT1241" s="1063"/>
      <c r="AU1241" s="1063"/>
      <c r="AV1241" s="1063"/>
    </row>
    <row r="1242" spans="1:48" s="1108" customFormat="1" ht="27.75" customHeight="1">
      <c r="A1242" s="1076"/>
      <c r="B1242" s="1074">
        <f>+'[18]Bldg+Dev'!S2054</f>
        <v>0</v>
      </c>
      <c r="D1242" s="1063"/>
      <c r="F1242" s="1076"/>
      <c r="G1242" s="1063"/>
      <c r="H1242" s="1063"/>
      <c r="I1242" s="1063"/>
      <c r="J1242" s="1063"/>
      <c r="K1242" s="1063"/>
      <c r="L1242" s="1063"/>
      <c r="M1242" s="1063"/>
      <c r="N1242" s="1063"/>
      <c r="O1242" s="1063"/>
      <c r="P1242" s="1063"/>
      <c r="Q1242" s="1063"/>
      <c r="R1242" s="1063"/>
      <c r="S1242" s="1063"/>
      <c r="T1242" s="1063"/>
      <c r="U1242" s="1063"/>
      <c r="V1242" s="1063"/>
      <c r="W1242" s="1063"/>
      <c r="X1242" s="1063"/>
      <c r="Y1242" s="1063"/>
      <c r="Z1242" s="1063"/>
      <c r="AA1242" s="1063"/>
      <c r="AB1242" s="1063"/>
      <c r="AC1242" s="1063"/>
      <c r="AD1242" s="1063"/>
      <c r="AE1242" s="1063"/>
      <c r="AF1242" s="1063"/>
      <c r="AG1242" s="1063"/>
      <c r="AH1242" s="1063"/>
      <c r="AI1242" s="1063"/>
      <c r="AJ1242" s="1063"/>
      <c r="AK1242" s="1063"/>
      <c r="AL1242" s="1063"/>
      <c r="AM1242" s="1063"/>
      <c r="AN1242" s="1063"/>
      <c r="AO1242" s="1063"/>
      <c r="AP1242" s="1063"/>
      <c r="AQ1242" s="1063"/>
      <c r="AR1242" s="1063"/>
      <c r="AS1242" s="1063"/>
      <c r="AT1242" s="1063"/>
      <c r="AU1242" s="1063"/>
      <c r="AV1242" s="1063"/>
    </row>
    <row r="1243" spans="1:48" s="1108" customFormat="1" ht="27.75" customHeight="1">
      <c r="A1243" s="1076"/>
      <c r="B1243" s="1074">
        <f>+'[18]Bldg+Dev'!S2055</f>
        <v>0</v>
      </c>
      <c r="D1243" s="1063"/>
      <c r="F1243" s="1076"/>
      <c r="G1243" s="1063"/>
      <c r="H1243" s="1063"/>
      <c r="I1243" s="1063"/>
      <c r="J1243" s="1063"/>
      <c r="K1243" s="1063"/>
      <c r="L1243" s="1063"/>
      <c r="M1243" s="1063"/>
      <c r="N1243" s="1063"/>
      <c r="O1243" s="1063"/>
      <c r="P1243" s="1063"/>
      <c r="Q1243" s="1063"/>
      <c r="R1243" s="1063"/>
      <c r="S1243" s="1063"/>
      <c r="T1243" s="1063"/>
      <c r="U1243" s="1063"/>
      <c r="V1243" s="1063"/>
      <c r="W1243" s="1063"/>
      <c r="X1243" s="1063"/>
      <c r="Y1243" s="1063"/>
      <c r="Z1243" s="1063"/>
      <c r="AA1243" s="1063"/>
      <c r="AB1243" s="1063"/>
      <c r="AC1243" s="1063"/>
      <c r="AD1243" s="1063"/>
      <c r="AE1243" s="1063"/>
      <c r="AF1243" s="1063"/>
      <c r="AG1243" s="1063"/>
      <c r="AH1243" s="1063"/>
      <c r="AI1243" s="1063"/>
      <c r="AJ1243" s="1063"/>
      <c r="AK1243" s="1063"/>
      <c r="AL1243" s="1063"/>
      <c r="AM1243" s="1063"/>
      <c r="AN1243" s="1063"/>
      <c r="AO1243" s="1063"/>
      <c r="AP1243" s="1063"/>
      <c r="AQ1243" s="1063"/>
      <c r="AR1243" s="1063"/>
      <c r="AS1243" s="1063"/>
      <c r="AT1243" s="1063"/>
      <c r="AU1243" s="1063"/>
      <c r="AV1243" s="1063"/>
    </row>
    <row r="1244" spans="1:48" s="1108" customFormat="1" ht="27.75" customHeight="1">
      <c r="A1244" s="1076"/>
      <c r="B1244" s="1074">
        <f>+'[18]Bldg+Dev'!S2056</f>
        <v>0</v>
      </c>
      <c r="D1244" s="1063"/>
      <c r="F1244" s="1076"/>
      <c r="G1244" s="1063"/>
      <c r="H1244" s="1063"/>
      <c r="I1244" s="1063"/>
      <c r="J1244" s="1063"/>
      <c r="K1244" s="1063"/>
      <c r="L1244" s="1063"/>
      <c r="M1244" s="1063"/>
      <c r="N1244" s="1063"/>
      <c r="O1244" s="1063"/>
      <c r="P1244" s="1063"/>
      <c r="Q1244" s="1063"/>
      <c r="R1244" s="1063"/>
      <c r="S1244" s="1063"/>
      <c r="T1244" s="1063"/>
      <c r="U1244" s="1063"/>
      <c r="V1244" s="1063"/>
      <c r="W1244" s="1063"/>
      <c r="X1244" s="1063"/>
      <c r="Y1244" s="1063"/>
      <c r="Z1244" s="1063"/>
      <c r="AA1244" s="1063"/>
      <c r="AB1244" s="1063"/>
      <c r="AC1244" s="1063"/>
      <c r="AD1244" s="1063"/>
      <c r="AE1244" s="1063"/>
      <c r="AF1244" s="1063"/>
      <c r="AG1244" s="1063"/>
      <c r="AH1244" s="1063"/>
      <c r="AI1244" s="1063"/>
      <c r="AJ1244" s="1063"/>
      <c r="AK1244" s="1063"/>
      <c r="AL1244" s="1063"/>
      <c r="AM1244" s="1063"/>
      <c r="AN1244" s="1063"/>
      <c r="AO1244" s="1063"/>
      <c r="AP1244" s="1063"/>
      <c r="AQ1244" s="1063"/>
      <c r="AR1244" s="1063"/>
      <c r="AS1244" s="1063"/>
      <c r="AT1244" s="1063"/>
      <c r="AU1244" s="1063"/>
      <c r="AV1244" s="1063"/>
    </row>
    <row r="1245" spans="1:48" s="1108" customFormat="1" ht="27.75" customHeight="1">
      <c r="A1245" s="1076"/>
      <c r="B1245" s="1074">
        <f>+'[18]Bldg+Dev'!S2057</f>
        <v>0</v>
      </c>
      <c r="D1245" s="1063"/>
      <c r="F1245" s="1076"/>
      <c r="G1245" s="1063"/>
      <c r="H1245" s="1063"/>
      <c r="I1245" s="1063"/>
      <c r="J1245" s="1063"/>
      <c r="K1245" s="1063"/>
      <c r="L1245" s="1063"/>
      <c r="M1245" s="1063"/>
      <c r="N1245" s="1063"/>
      <c r="O1245" s="1063"/>
      <c r="P1245" s="1063"/>
      <c r="Q1245" s="1063"/>
      <c r="R1245" s="1063"/>
      <c r="S1245" s="1063"/>
      <c r="T1245" s="1063"/>
      <c r="U1245" s="1063"/>
      <c r="V1245" s="1063"/>
      <c r="W1245" s="1063"/>
      <c r="X1245" s="1063"/>
      <c r="Y1245" s="1063"/>
      <c r="Z1245" s="1063"/>
      <c r="AA1245" s="1063"/>
      <c r="AB1245" s="1063"/>
      <c r="AC1245" s="1063"/>
      <c r="AD1245" s="1063"/>
      <c r="AE1245" s="1063"/>
      <c r="AF1245" s="1063"/>
      <c r="AG1245" s="1063"/>
      <c r="AH1245" s="1063"/>
      <c r="AI1245" s="1063"/>
      <c r="AJ1245" s="1063"/>
      <c r="AK1245" s="1063"/>
      <c r="AL1245" s="1063"/>
      <c r="AM1245" s="1063"/>
      <c r="AN1245" s="1063"/>
      <c r="AO1245" s="1063"/>
      <c r="AP1245" s="1063"/>
      <c r="AQ1245" s="1063"/>
      <c r="AR1245" s="1063"/>
      <c r="AS1245" s="1063"/>
      <c r="AT1245" s="1063"/>
      <c r="AU1245" s="1063"/>
      <c r="AV1245" s="1063"/>
    </row>
    <row r="1246" spans="1:48" s="1108" customFormat="1" ht="27.75" customHeight="1">
      <c r="A1246" s="1076"/>
      <c r="B1246" s="1074">
        <f>+'[18]Bldg+Dev'!S2058</f>
        <v>0</v>
      </c>
      <c r="D1246" s="1063"/>
      <c r="F1246" s="1076"/>
      <c r="G1246" s="1063"/>
      <c r="H1246" s="1063"/>
      <c r="I1246" s="1063"/>
      <c r="J1246" s="1063"/>
      <c r="K1246" s="1063"/>
      <c r="L1246" s="1063"/>
      <c r="M1246" s="1063"/>
      <c r="N1246" s="1063"/>
      <c r="O1246" s="1063"/>
      <c r="P1246" s="1063"/>
      <c r="Q1246" s="1063"/>
      <c r="R1246" s="1063"/>
      <c r="S1246" s="1063"/>
      <c r="T1246" s="1063"/>
      <c r="U1246" s="1063"/>
      <c r="V1246" s="1063"/>
      <c r="W1246" s="1063"/>
      <c r="X1246" s="1063"/>
      <c r="Y1246" s="1063"/>
      <c r="Z1246" s="1063"/>
      <c r="AA1246" s="1063"/>
      <c r="AB1246" s="1063"/>
      <c r="AC1246" s="1063"/>
      <c r="AD1246" s="1063"/>
      <c r="AE1246" s="1063"/>
      <c r="AF1246" s="1063"/>
      <c r="AG1246" s="1063"/>
      <c r="AH1246" s="1063"/>
      <c r="AI1246" s="1063"/>
      <c r="AJ1246" s="1063"/>
      <c r="AK1246" s="1063"/>
      <c r="AL1246" s="1063"/>
      <c r="AM1246" s="1063"/>
      <c r="AN1246" s="1063"/>
      <c r="AO1246" s="1063"/>
      <c r="AP1246" s="1063"/>
      <c r="AQ1246" s="1063"/>
      <c r="AR1246" s="1063"/>
      <c r="AS1246" s="1063"/>
      <c r="AT1246" s="1063"/>
      <c r="AU1246" s="1063"/>
      <c r="AV1246" s="1063"/>
    </row>
    <row r="1247" spans="1:48" s="1108" customFormat="1" ht="27.75" customHeight="1">
      <c r="A1247" s="1076"/>
      <c r="B1247" s="1074">
        <f>+'[18]Bldg+Dev'!S2059</f>
        <v>0</v>
      </c>
      <c r="D1247" s="1063"/>
      <c r="F1247" s="1076"/>
      <c r="G1247" s="1063"/>
      <c r="H1247" s="1063"/>
      <c r="I1247" s="1063"/>
      <c r="J1247" s="1063"/>
      <c r="K1247" s="1063"/>
      <c r="L1247" s="1063"/>
      <c r="M1247" s="1063"/>
      <c r="N1247" s="1063"/>
      <c r="O1247" s="1063"/>
      <c r="P1247" s="1063"/>
      <c r="Q1247" s="1063"/>
      <c r="R1247" s="1063"/>
      <c r="S1247" s="1063"/>
      <c r="T1247" s="1063"/>
      <c r="U1247" s="1063"/>
      <c r="V1247" s="1063"/>
      <c r="W1247" s="1063"/>
      <c r="X1247" s="1063"/>
      <c r="Y1247" s="1063"/>
      <c r="Z1247" s="1063"/>
      <c r="AA1247" s="1063"/>
      <c r="AB1247" s="1063"/>
      <c r="AC1247" s="1063"/>
      <c r="AD1247" s="1063"/>
      <c r="AE1247" s="1063"/>
      <c r="AF1247" s="1063"/>
      <c r="AG1247" s="1063"/>
      <c r="AH1247" s="1063"/>
      <c r="AI1247" s="1063"/>
      <c r="AJ1247" s="1063"/>
      <c r="AK1247" s="1063"/>
      <c r="AL1247" s="1063"/>
      <c r="AM1247" s="1063"/>
      <c r="AN1247" s="1063"/>
      <c r="AO1247" s="1063"/>
      <c r="AP1247" s="1063"/>
      <c r="AQ1247" s="1063"/>
      <c r="AR1247" s="1063"/>
      <c r="AS1247" s="1063"/>
      <c r="AT1247" s="1063"/>
      <c r="AU1247" s="1063"/>
      <c r="AV1247" s="1063"/>
    </row>
    <row r="1248" spans="1:48" s="1108" customFormat="1" ht="27.75" customHeight="1">
      <c r="A1248" s="1076"/>
      <c r="B1248" s="1074">
        <f>+'[18]Bldg+Dev'!S2060</f>
        <v>0</v>
      </c>
      <c r="D1248" s="1063"/>
      <c r="F1248" s="1076"/>
      <c r="G1248" s="1063"/>
      <c r="H1248" s="1063"/>
      <c r="I1248" s="1063"/>
      <c r="J1248" s="1063"/>
      <c r="K1248" s="1063"/>
      <c r="L1248" s="1063"/>
      <c r="M1248" s="1063"/>
      <c r="N1248" s="1063"/>
      <c r="O1248" s="1063"/>
      <c r="P1248" s="1063"/>
      <c r="Q1248" s="1063"/>
      <c r="R1248" s="1063"/>
      <c r="S1248" s="1063"/>
      <c r="T1248" s="1063"/>
      <c r="U1248" s="1063"/>
      <c r="V1248" s="1063"/>
      <c r="W1248" s="1063"/>
      <c r="X1248" s="1063"/>
      <c r="Y1248" s="1063"/>
      <c r="Z1248" s="1063"/>
      <c r="AA1248" s="1063"/>
      <c r="AB1248" s="1063"/>
      <c r="AC1248" s="1063"/>
      <c r="AD1248" s="1063"/>
      <c r="AE1248" s="1063"/>
      <c r="AF1248" s="1063"/>
      <c r="AG1248" s="1063"/>
      <c r="AH1248" s="1063"/>
      <c r="AI1248" s="1063"/>
      <c r="AJ1248" s="1063"/>
      <c r="AK1248" s="1063"/>
      <c r="AL1248" s="1063"/>
      <c r="AM1248" s="1063"/>
      <c r="AN1248" s="1063"/>
      <c r="AO1248" s="1063"/>
      <c r="AP1248" s="1063"/>
      <c r="AQ1248" s="1063"/>
      <c r="AR1248" s="1063"/>
      <c r="AS1248" s="1063"/>
      <c r="AT1248" s="1063"/>
      <c r="AU1248" s="1063"/>
      <c r="AV1248" s="1063"/>
    </row>
    <row r="1249" spans="1:48" s="1108" customFormat="1" ht="27.75" customHeight="1">
      <c r="A1249" s="1076"/>
      <c r="B1249" s="1074">
        <f>+'[18]Bldg+Dev'!S2061</f>
        <v>0</v>
      </c>
      <c r="D1249" s="1063"/>
      <c r="F1249" s="1076"/>
      <c r="G1249" s="1063"/>
      <c r="H1249" s="1063"/>
      <c r="I1249" s="1063"/>
      <c r="J1249" s="1063"/>
      <c r="K1249" s="1063"/>
      <c r="L1249" s="1063"/>
      <c r="M1249" s="1063"/>
      <c r="N1249" s="1063"/>
      <c r="O1249" s="1063"/>
      <c r="P1249" s="1063"/>
      <c r="Q1249" s="1063"/>
      <c r="R1249" s="1063"/>
      <c r="S1249" s="1063"/>
      <c r="T1249" s="1063"/>
      <c r="U1249" s="1063"/>
      <c r="V1249" s="1063"/>
      <c r="W1249" s="1063"/>
      <c r="X1249" s="1063"/>
      <c r="Y1249" s="1063"/>
      <c r="Z1249" s="1063"/>
      <c r="AA1249" s="1063"/>
      <c r="AB1249" s="1063"/>
      <c r="AC1249" s="1063"/>
      <c r="AD1249" s="1063"/>
      <c r="AE1249" s="1063"/>
      <c r="AF1249" s="1063"/>
      <c r="AG1249" s="1063"/>
      <c r="AH1249" s="1063"/>
      <c r="AI1249" s="1063"/>
      <c r="AJ1249" s="1063"/>
      <c r="AK1249" s="1063"/>
      <c r="AL1249" s="1063"/>
      <c r="AM1249" s="1063"/>
      <c r="AN1249" s="1063"/>
      <c r="AO1249" s="1063"/>
      <c r="AP1249" s="1063"/>
      <c r="AQ1249" s="1063"/>
      <c r="AR1249" s="1063"/>
      <c r="AS1249" s="1063"/>
      <c r="AT1249" s="1063"/>
      <c r="AU1249" s="1063"/>
      <c r="AV1249" s="1063"/>
    </row>
    <row r="1250" spans="1:48" s="1108" customFormat="1" ht="27.75" customHeight="1">
      <c r="A1250" s="1076"/>
      <c r="B1250" s="1074">
        <f>+'[18]Bldg+Dev'!S2062</f>
        <v>0</v>
      </c>
      <c r="D1250" s="1063"/>
      <c r="F1250" s="1076"/>
      <c r="G1250" s="1063"/>
      <c r="H1250" s="1063"/>
      <c r="I1250" s="1063"/>
      <c r="J1250" s="1063"/>
      <c r="K1250" s="1063"/>
      <c r="L1250" s="1063"/>
      <c r="M1250" s="1063"/>
      <c r="N1250" s="1063"/>
      <c r="O1250" s="1063"/>
      <c r="P1250" s="1063"/>
      <c r="Q1250" s="1063"/>
      <c r="R1250" s="1063"/>
      <c r="S1250" s="1063"/>
      <c r="T1250" s="1063"/>
      <c r="U1250" s="1063"/>
      <c r="V1250" s="1063"/>
      <c r="W1250" s="1063"/>
      <c r="X1250" s="1063"/>
      <c r="Y1250" s="1063"/>
      <c r="Z1250" s="1063"/>
      <c r="AA1250" s="1063"/>
      <c r="AB1250" s="1063"/>
      <c r="AC1250" s="1063"/>
      <c r="AD1250" s="1063"/>
      <c r="AE1250" s="1063"/>
      <c r="AF1250" s="1063"/>
      <c r="AG1250" s="1063"/>
      <c r="AH1250" s="1063"/>
      <c r="AI1250" s="1063"/>
      <c r="AJ1250" s="1063"/>
      <c r="AK1250" s="1063"/>
      <c r="AL1250" s="1063"/>
      <c r="AM1250" s="1063"/>
      <c r="AN1250" s="1063"/>
      <c r="AO1250" s="1063"/>
      <c r="AP1250" s="1063"/>
      <c r="AQ1250" s="1063"/>
      <c r="AR1250" s="1063"/>
      <c r="AS1250" s="1063"/>
      <c r="AT1250" s="1063"/>
      <c r="AU1250" s="1063"/>
      <c r="AV1250" s="1063"/>
    </row>
    <row r="1251" spans="1:48" s="1108" customFormat="1" ht="27.75" customHeight="1">
      <c r="A1251" s="1076"/>
      <c r="B1251" s="1074">
        <f>+'[18]Bldg+Dev'!S2063</f>
        <v>0</v>
      </c>
      <c r="D1251" s="1063"/>
      <c r="F1251" s="1076"/>
      <c r="G1251" s="1063"/>
      <c r="H1251" s="1063"/>
      <c r="I1251" s="1063"/>
      <c r="J1251" s="1063"/>
      <c r="K1251" s="1063"/>
      <c r="L1251" s="1063"/>
      <c r="M1251" s="1063"/>
      <c r="N1251" s="1063"/>
      <c r="O1251" s="1063"/>
      <c r="P1251" s="1063"/>
      <c r="Q1251" s="1063"/>
      <c r="R1251" s="1063"/>
      <c r="S1251" s="1063"/>
      <c r="T1251" s="1063"/>
      <c r="U1251" s="1063"/>
      <c r="V1251" s="1063"/>
      <c r="W1251" s="1063"/>
      <c r="X1251" s="1063"/>
      <c r="Y1251" s="1063"/>
      <c r="Z1251" s="1063"/>
      <c r="AA1251" s="1063"/>
      <c r="AB1251" s="1063"/>
      <c r="AC1251" s="1063"/>
      <c r="AD1251" s="1063"/>
      <c r="AE1251" s="1063"/>
      <c r="AF1251" s="1063"/>
      <c r="AG1251" s="1063"/>
      <c r="AH1251" s="1063"/>
      <c r="AI1251" s="1063"/>
      <c r="AJ1251" s="1063"/>
      <c r="AK1251" s="1063"/>
      <c r="AL1251" s="1063"/>
      <c r="AM1251" s="1063"/>
      <c r="AN1251" s="1063"/>
      <c r="AO1251" s="1063"/>
      <c r="AP1251" s="1063"/>
      <c r="AQ1251" s="1063"/>
      <c r="AR1251" s="1063"/>
      <c r="AS1251" s="1063"/>
      <c r="AT1251" s="1063"/>
      <c r="AU1251" s="1063"/>
      <c r="AV1251" s="1063"/>
    </row>
    <row r="1252" spans="1:48" s="1108" customFormat="1" ht="27.75" customHeight="1">
      <c r="A1252" s="1076"/>
      <c r="B1252" s="1074">
        <f>+'[18]Bldg+Dev'!S2064</f>
        <v>0</v>
      </c>
      <c r="D1252" s="1063"/>
      <c r="F1252" s="1076"/>
      <c r="G1252" s="1063"/>
      <c r="H1252" s="1063"/>
      <c r="I1252" s="1063"/>
      <c r="J1252" s="1063"/>
      <c r="K1252" s="1063"/>
      <c r="L1252" s="1063"/>
      <c r="M1252" s="1063"/>
      <c r="N1252" s="1063"/>
      <c r="O1252" s="1063"/>
      <c r="P1252" s="1063"/>
      <c r="Q1252" s="1063"/>
      <c r="R1252" s="1063"/>
      <c r="S1252" s="1063"/>
      <c r="T1252" s="1063"/>
      <c r="U1252" s="1063"/>
      <c r="V1252" s="1063"/>
      <c r="W1252" s="1063"/>
      <c r="X1252" s="1063"/>
      <c r="Y1252" s="1063"/>
      <c r="Z1252" s="1063"/>
      <c r="AA1252" s="1063"/>
      <c r="AB1252" s="1063"/>
      <c r="AC1252" s="1063"/>
      <c r="AD1252" s="1063"/>
      <c r="AE1252" s="1063"/>
      <c r="AF1252" s="1063"/>
      <c r="AG1252" s="1063"/>
      <c r="AH1252" s="1063"/>
      <c r="AI1252" s="1063"/>
      <c r="AJ1252" s="1063"/>
      <c r="AK1252" s="1063"/>
      <c r="AL1252" s="1063"/>
      <c r="AM1252" s="1063"/>
      <c r="AN1252" s="1063"/>
      <c r="AO1252" s="1063"/>
      <c r="AP1252" s="1063"/>
      <c r="AQ1252" s="1063"/>
      <c r="AR1252" s="1063"/>
      <c r="AS1252" s="1063"/>
      <c r="AT1252" s="1063"/>
      <c r="AU1252" s="1063"/>
      <c r="AV1252" s="1063"/>
    </row>
    <row r="1253" spans="1:48" s="1108" customFormat="1" ht="27.75" customHeight="1">
      <c r="A1253" s="1076"/>
      <c r="B1253" s="1074">
        <f>+'[18]Bldg+Dev'!S2065</f>
        <v>0</v>
      </c>
      <c r="D1253" s="1063"/>
      <c r="F1253" s="1076"/>
      <c r="G1253" s="1063"/>
      <c r="H1253" s="1063"/>
      <c r="I1253" s="1063"/>
      <c r="J1253" s="1063"/>
      <c r="K1253" s="1063"/>
      <c r="L1253" s="1063"/>
      <c r="M1253" s="1063"/>
      <c r="N1253" s="1063"/>
      <c r="O1253" s="1063"/>
      <c r="P1253" s="1063"/>
      <c r="Q1253" s="1063"/>
      <c r="R1253" s="1063"/>
      <c r="S1253" s="1063"/>
      <c r="T1253" s="1063"/>
      <c r="U1253" s="1063"/>
      <c r="V1253" s="1063"/>
      <c r="W1253" s="1063"/>
      <c r="X1253" s="1063"/>
      <c r="Y1253" s="1063"/>
      <c r="Z1253" s="1063"/>
      <c r="AA1253" s="1063"/>
      <c r="AB1253" s="1063"/>
      <c r="AC1253" s="1063"/>
      <c r="AD1253" s="1063"/>
      <c r="AE1253" s="1063"/>
      <c r="AF1253" s="1063"/>
      <c r="AG1253" s="1063"/>
      <c r="AH1253" s="1063"/>
      <c r="AI1253" s="1063"/>
      <c r="AJ1253" s="1063"/>
      <c r="AK1253" s="1063"/>
      <c r="AL1253" s="1063"/>
      <c r="AM1253" s="1063"/>
      <c r="AN1253" s="1063"/>
      <c r="AO1253" s="1063"/>
      <c r="AP1253" s="1063"/>
      <c r="AQ1253" s="1063"/>
      <c r="AR1253" s="1063"/>
      <c r="AS1253" s="1063"/>
      <c r="AT1253" s="1063"/>
      <c r="AU1253" s="1063"/>
      <c r="AV1253" s="1063"/>
    </row>
    <row r="1254" spans="1:48" s="1108" customFormat="1" ht="27.75" customHeight="1">
      <c r="A1254" s="1076"/>
      <c r="B1254" s="1074">
        <f>+'[18]Bldg+Dev'!S2066</f>
        <v>0</v>
      </c>
      <c r="D1254" s="1063"/>
      <c r="F1254" s="1076"/>
      <c r="G1254" s="1063"/>
      <c r="H1254" s="1063"/>
      <c r="I1254" s="1063"/>
      <c r="J1254" s="1063"/>
      <c r="K1254" s="1063"/>
      <c r="L1254" s="1063"/>
      <c r="M1254" s="1063"/>
      <c r="N1254" s="1063"/>
      <c r="O1254" s="1063"/>
      <c r="P1254" s="1063"/>
      <c r="Q1254" s="1063"/>
      <c r="R1254" s="1063"/>
      <c r="S1254" s="1063"/>
      <c r="T1254" s="1063"/>
      <c r="U1254" s="1063"/>
      <c r="V1254" s="1063"/>
      <c r="W1254" s="1063"/>
      <c r="X1254" s="1063"/>
      <c r="Y1254" s="1063"/>
      <c r="Z1254" s="1063"/>
      <c r="AA1254" s="1063"/>
      <c r="AB1254" s="1063"/>
      <c r="AC1254" s="1063"/>
      <c r="AD1254" s="1063"/>
      <c r="AE1254" s="1063"/>
      <c r="AF1254" s="1063"/>
      <c r="AG1254" s="1063"/>
      <c r="AH1254" s="1063"/>
      <c r="AI1254" s="1063"/>
      <c r="AJ1254" s="1063"/>
      <c r="AK1254" s="1063"/>
      <c r="AL1254" s="1063"/>
      <c r="AM1254" s="1063"/>
      <c r="AN1254" s="1063"/>
      <c r="AO1254" s="1063"/>
      <c r="AP1254" s="1063"/>
      <c r="AQ1254" s="1063"/>
      <c r="AR1254" s="1063"/>
      <c r="AS1254" s="1063"/>
      <c r="AT1254" s="1063"/>
      <c r="AU1254" s="1063"/>
      <c r="AV1254" s="1063"/>
    </row>
    <row r="1255" spans="1:48" s="1108" customFormat="1" ht="27.75" customHeight="1">
      <c r="A1255" s="1076"/>
      <c r="B1255" s="1074">
        <f>+'[18]Bldg+Dev'!S2067</f>
        <v>0</v>
      </c>
      <c r="D1255" s="1063"/>
      <c r="F1255" s="1076"/>
      <c r="G1255" s="1063"/>
      <c r="H1255" s="1063"/>
      <c r="I1255" s="1063"/>
      <c r="J1255" s="1063"/>
      <c r="K1255" s="1063"/>
      <c r="L1255" s="1063"/>
      <c r="M1255" s="1063"/>
      <c r="N1255" s="1063"/>
      <c r="O1255" s="1063"/>
      <c r="P1255" s="1063"/>
      <c r="Q1255" s="1063"/>
      <c r="R1255" s="1063"/>
      <c r="S1255" s="1063"/>
      <c r="T1255" s="1063"/>
      <c r="U1255" s="1063"/>
      <c r="V1255" s="1063"/>
      <c r="W1255" s="1063"/>
      <c r="X1255" s="1063"/>
      <c r="Y1255" s="1063"/>
      <c r="Z1255" s="1063"/>
      <c r="AA1255" s="1063"/>
      <c r="AB1255" s="1063"/>
      <c r="AC1255" s="1063"/>
      <c r="AD1255" s="1063"/>
      <c r="AE1255" s="1063"/>
      <c r="AF1255" s="1063"/>
      <c r="AG1255" s="1063"/>
      <c r="AH1255" s="1063"/>
      <c r="AI1255" s="1063"/>
      <c r="AJ1255" s="1063"/>
      <c r="AK1255" s="1063"/>
      <c r="AL1255" s="1063"/>
      <c r="AM1255" s="1063"/>
      <c r="AN1255" s="1063"/>
      <c r="AO1255" s="1063"/>
      <c r="AP1255" s="1063"/>
      <c r="AQ1255" s="1063"/>
      <c r="AR1255" s="1063"/>
      <c r="AS1255" s="1063"/>
      <c r="AT1255" s="1063"/>
      <c r="AU1255" s="1063"/>
      <c r="AV1255" s="1063"/>
    </row>
    <row r="1256" spans="1:48" s="1108" customFormat="1" ht="27.75" customHeight="1">
      <c r="A1256" s="1076"/>
      <c r="B1256" s="1074">
        <f>+'[18]Bldg+Dev'!S2068</f>
        <v>0</v>
      </c>
      <c r="D1256" s="1063"/>
      <c r="F1256" s="1076"/>
      <c r="G1256" s="1063"/>
      <c r="H1256" s="1063"/>
      <c r="I1256" s="1063"/>
      <c r="J1256" s="1063"/>
      <c r="K1256" s="1063"/>
      <c r="L1256" s="1063"/>
      <c r="M1256" s="1063"/>
      <c r="N1256" s="1063"/>
      <c r="O1256" s="1063"/>
      <c r="P1256" s="1063"/>
      <c r="Q1256" s="1063"/>
      <c r="R1256" s="1063"/>
      <c r="S1256" s="1063"/>
      <c r="T1256" s="1063"/>
      <c r="U1256" s="1063"/>
      <c r="V1256" s="1063"/>
      <c r="W1256" s="1063"/>
      <c r="X1256" s="1063"/>
      <c r="Y1256" s="1063"/>
      <c r="Z1256" s="1063"/>
      <c r="AA1256" s="1063"/>
      <c r="AB1256" s="1063"/>
      <c r="AC1256" s="1063"/>
      <c r="AD1256" s="1063"/>
      <c r="AE1256" s="1063"/>
      <c r="AF1256" s="1063"/>
      <c r="AG1256" s="1063"/>
      <c r="AH1256" s="1063"/>
      <c r="AI1256" s="1063"/>
      <c r="AJ1256" s="1063"/>
      <c r="AK1256" s="1063"/>
      <c r="AL1256" s="1063"/>
      <c r="AM1256" s="1063"/>
      <c r="AN1256" s="1063"/>
      <c r="AO1256" s="1063"/>
      <c r="AP1256" s="1063"/>
      <c r="AQ1256" s="1063"/>
      <c r="AR1256" s="1063"/>
      <c r="AS1256" s="1063"/>
      <c r="AT1256" s="1063"/>
      <c r="AU1256" s="1063"/>
      <c r="AV1256" s="1063"/>
    </row>
    <row r="1257" spans="1:48" s="1108" customFormat="1" ht="27.75" customHeight="1">
      <c r="A1257" s="1076"/>
      <c r="B1257" s="1074">
        <f>+'[18]Bldg+Dev'!S2069</f>
        <v>0</v>
      </c>
      <c r="D1257" s="1063"/>
      <c r="F1257" s="1076"/>
      <c r="G1257" s="1063"/>
      <c r="H1257" s="1063"/>
      <c r="I1257" s="1063"/>
      <c r="J1257" s="1063"/>
      <c r="K1257" s="1063"/>
      <c r="L1257" s="1063"/>
      <c r="M1257" s="1063"/>
      <c r="N1257" s="1063"/>
      <c r="O1257" s="1063"/>
      <c r="P1257" s="1063"/>
      <c r="Q1257" s="1063"/>
      <c r="R1257" s="1063"/>
      <c r="S1257" s="1063"/>
      <c r="T1257" s="1063"/>
      <c r="U1257" s="1063"/>
      <c r="V1257" s="1063"/>
      <c r="W1257" s="1063"/>
      <c r="X1257" s="1063"/>
      <c r="Y1257" s="1063"/>
      <c r="Z1257" s="1063"/>
      <c r="AA1257" s="1063"/>
      <c r="AB1257" s="1063"/>
      <c r="AC1257" s="1063"/>
      <c r="AD1257" s="1063"/>
      <c r="AE1257" s="1063"/>
      <c r="AF1257" s="1063"/>
      <c r="AG1257" s="1063"/>
      <c r="AH1257" s="1063"/>
      <c r="AI1257" s="1063"/>
      <c r="AJ1257" s="1063"/>
      <c r="AK1257" s="1063"/>
      <c r="AL1257" s="1063"/>
      <c r="AM1257" s="1063"/>
      <c r="AN1257" s="1063"/>
      <c r="AO1257" s="1063"/>
      <c r="AP1257" s="1063"/>
      <c r="AQ1257" s="1063"/>
      <c r="AR1257" s="1063"/>
      <c r="AS1257" s="1063"/>
      <c r="AT1257" s="1063"/>
      <c r="AU1257" s="1063"/>
      <c r="AV1257" s="1063"/>
    </row>
    <row r="1258" spans="1:48" s="1108" customFormat="1" ht="27.75" customHeight="1">
      <c r="A1258" s="1076"/>
      <c r="B1258" s="1074">
        <f>+'[18]Bldg+Dev'!S2070</f>
        <v>0</v>
      </c>
      <c r="D1258" s="1063"/>
      <c r="F1258" s="1076"/>
      <c r="G1258" s="1063"/>
      <c r="H1258" s="1063"/>
      <c r="I1258" s="1063"/>
      <c r="J1258" s="1063"/>
      <c r="K1258" s="1063"/>
      <c r="L1258" s="1063"/>
      <c r="M1258" s="1063"/>
      <c r="N1258" s="1063"/>
      <c r="O1258" s="1063"/>
      <c r="P1258" s="1063"/>
      <c r="Q1258" s="1063"/>
      <c r="R1258" s="1063"/>
      <c r="S1258" s="1063"/>
      <c r="T1258" s="1063"/>
      <c r="U1258" s="1063"/>
      <c r="V1258" s="1063"/>
      <c r="W1258" s="1063"/>
      <c r="X1258" s="1063"/>
      <c r="Y1258" s="1063"/>
      <c r="Z1258" s="1063"/>
      <c r="AA1258" s="1063"/>
      <c r="AB1258" s="1063"/>
      <c r="AC1258" s="1063"/>
      <c r="AD1258" s="1063"/>
      <c r="AE1258" s="1063"/>
      <c r="AF1258" s="1063"/>
      <c r="AG1258" s="1063"/>
      <c r="AH1258" s="1063"/>
      <c r="AI1258" s="1063"/>
      <c r="AJ1258" s="1063"/>
      <c r="AK1258" s="1063"/>
      <c r="AL1258" s="1063"/>
      <c r="AM1258" s="1063"/>
      <c r="AN1258" s="1063"/>
      <c r="AO1258" s="1063"/>
      <c r="AP1258" s="1063"/>
      <c r="AQ1258" s="1063"/>
      <c r="AR1258" s="1063"/>
      <c r="AS1258" s="1063"/>
      <c r="AT1258" s="1063"/>
      <c r="AU1258" s="1063"/>
      <c r="AV1258" s="1063"/>
    </row>
    <row r="1259" spans="1:48" s="1108" customFormat="1" ht="27.75" customHeight="1">
      <c r="A1259" s="1076"/>
      <c r="B1259" s="1074">
        <f>+'[18]Bldg+Dev'!S2071</f>
        <v>0</v>
      </c>
      <c r="D1259" s="1063"/>
      <c r="F1259" s="1076"/>
      <c r="G1259" s="1063"/>
      <c r="H1259" s="1063"/>
      <c r="I1259" s="1063"/>
      <c r="J1259" s="1063"/>
      <c r="K1259" s="1063"/>
      <c r="L1259" s="1063"/>
      <c r="M1259" s="1063"/>
      <c r="N1259" s="1063"/>
      <c r="O1259" s="1063"/>
      <c r="P1259" s="1063"/>
      <c r="Q1259" s="1063"/>
      <c r="R1259" s="1063"/>
      <c r="S1259" s="1063"/>
      <c r="T1259" s="1063"/>
      <c r="U1259" s="1063"/>
      <c r="V1259" s="1063"/>
      <c r="W1259" s="1063"/>
      <c r="X1259" s="1063"/>
      <c r="Y1259" s="1063"/>
      <c r="Z1259" s="1063"/>
      <c r="AA1259" s="1063"/>
      <c r="AB1259" s="1063"/>
      <c r="AC1259" s="1063"/>
      <c r="AD1259" s="1063"/>
      <c r="AE1259" s="1063"/>
      <c r="AF1259" s="1063"/>
      <c r="AG1259" s="1063"/>
      <c r="AH1259" s="1063"/>
      <c r="AI1259" s="1063"/>
      <c r="AJ1259" s="1063"/>
      <c r="AK1259" s="1063"/>
      <c r="AL1259" s="1063"/>
      <c r="AM1259" s="1063"/>
      <c r="AN1259" s="1063"/>
      <c r="AO1259" s="1063"/>
      <c r="AP1259" s="1063"/>
      <c r="AQ1259" s="1063"/>
      <c r="AR1259" s="1063"/>
      <c r="AS1259" s="1063"/>
      <c r="AT1259" s="1063"/>
      <c r="AU1259" s="1063"/>
      <c r="AV1259" s="1063"/>
    </row>
    <row r="1260" spans="1:48" s="1108" customFormat="1" ht="27.75" customHeight="1">
      <c r="A1260" s="1076"/>
      <c r="B1260" s="1074">
        <f>+'[18]Bldg+Dev'!S2072</f>
        <v>0</v>
      </c>
      <c r="D1260" s="1063"/>
      <c r="F1260" s="1076"/>
      <c r="G1260" s="1063"/>
      <c r="H1260" s="1063"/>
      <c r="I1260" s="1063"/>
      <c r="J1260" s="1063"/>
      <c r="K1260" s="1063"/>
      <c r="L1260" s="1063"/>
      <c r="M1260" s="1063"/>
      <c r="N1260" s="1063"/>
      <c r="O1260" s="1063"/>
      <c r="P1260" s="1063"/>
      <c r="Q1260" s="1063"/>
      <c r="R1260" s="1063"/>
      <c r="S1260" s="1063"/>
      <c r="T1260" s="1063"/>
      <c r="U1260" s="1063"/>
      <c r="V1260" s="1063"/>
      <c r="W1260" s="1063"/>
      <c r="X1260" s="1063"/>
      <c r="Y1260" s="1063"/>
      <c r="Z1260" s="1063"/>
      <c r="AA1260" s="1063"/>
      <c r="AB1260" s="1063"/>
      <c r="AC1260" s="1063"/>
      <c r="AD1260" s="1063"/>
      <c r="AE1260" s="1063"/>
      <c r="AF1260" s="1063"/>
      <c r="AG1260" s="1063"/>
      <c r="AH1260" s="1063"/>
      <c r="AI1260" s="1063"/>
      <c r="AJ1260" s="1063"/>
      <c r="AK1260" s="1063"/>
      <c r="AL1260" s="1063"/>
      <c r="AM1260" s="1063"/>
      <c r="AN1260" s="1063"/>
      <c r="AO1260" s="1063"/>
      <c r="AP1260" s="1063"/>
      <c r="AQ1260" s="1063"/>
      <c r="AR1260" s="1063"/>
      <c r="AS1260" s="1063"/>
      <c r="AT1260" s="1063"/>
      <c r="AU1260" s="1063"/>
      <c r="AV1260" s="1063"/>
    </row>
    <row r="1261" spans="1:48" s="1108" customFormat="1" ht="27.75" customHeight="1">
      <c r="A1261" s="1076"/>
      <c r="B1261" s="1074">
        <f>+'[18]Bldg+Dev'!S2073</f>
        <v>0</v>
      </c>
      <c r="D1261" s="1063"/>
      <c r="F1261" s="1076"/>
      <c r="G1261" s="1063"/>
      <c r="H1261" s="1063"/>
      <c r="I1261" s="1063"/>
      <c r="J1261" s="1063"/>
      <c r="K1261" s="1063"/>
      <c r="L1261" s="1063"/>
      <c r="M1261" s="1063"/>
      <c r="N1261" s="1063"/>
      <c r="O1261" s="1063"/>
      <c r="P1261" s="1063"/>
      <c r="Q1261" s="1063"/>
      <c r="R1261" s="1063"/>
      <c r="S1261" s="1063"/>
      <c r="T1261" s="1063"/>
      <c r="U1261" s="1063"/>
      <c r="V1261" s="1063"/>
      <c r="W1261" s="1063"/>
      <c r="X1261" s="1063"/>
      <c r="Y1261" s="1063"/>
      <c r="Z1261" s="1063"/>
      <c r="AA1261" s="1063"/>
      <c r="AB1261" s="1063"/>
      <c r="AC1261" s="1063"/>
      <c r="AD1261" s="1063"/>
      <c r="AE1261" s="1063"/>
      <c r="AF1261" s="1063"/>
      <c r="AG1261" s="1063"/>
      <c r="AH1261" s="1063"/>
      <c r="AI1261" s="1063"/>
      <c r="AJ1261" s="1063"/>
      <c r="AK1261" s="1063"/>
      <c r="AL1261" s="1063"/>
      <c r="AM1261" s="1063"/>
      <c r="AN1261" s="1063"/>
      <c r="AO1261" s="1063"/>
      <c r="AP1261" s="1063"/>
      <c r="AQ1261" s="1063"/>
      <c r="AR1261" s="1063"/>
      <c r="AS1261" s="1063"/>
      <c r="AT1261" s="1063"/>
      <c r="AU1261" s="1063"/>
      <c r="AV1261" s="1063"/>
    </row>
    <row r="1262" spans="1:48" s="1108" customFormat="1" ht="27.75" customHeight="1">
      <c r="A1262" s="1076"/>
      <c r="B1262" s="1074">
        <f>+'[18]Bldg+Dev'!S2074</f>
        <v>0</v>
      </c>
      <c r="D1262" s="1063"/>
      <c r="F1262" s="1076"/>
      <c r="G1262" s="1063"/>
      <c r="H1262" s="1063"/>
      <c r="I1262" s="1063"/>
      <c r="J1262" s="1063"/>
      <c r="K1262" s="1063"/>
      <c r="L1262" s="1063"/>
      <c r="M1262" s="1063"/>
      <c r="N1262" s="1063"/>
      <c r="O1262" s="1063"/>
      <c r="P1262" s="1063"/>
      <c r="Q1262" s="1063"/>
      <c r="R1262" s="1063"/>
      <c r="S1262" s="1063"/>
      <c r="T1262" s="1063"/>
      <c r="U1262" s="1063"/>
      <c r="V1262" s="1063"/>
      <c r="W1262" s="1063"/>
      <c r="X1262" s="1063"/>
      <c r="Y1262" s="1063"/>
      <c r="Z1262" s="1063"/>
      <c r="AA1262" s="1063"/>
      <c r="AB1262" s="1063"/>
      <c r="AC1262" s="1063"/>
      <c r="AD1262" s="1063"/>
      <c r="AE1262" s="1063"/>
      <c r="AF1262" s="1063"/>
      <c r="AG1262" s="1063"/>
      <c r="AH1262" s="1063"/>
      <c r="AI1262" s="1063"/>
      <c r="AJ1262" s="1063"/>
      <c r="AK1262" s="1063"/>
      <c r="AL1262" s="1063"/>
      <c r="AM1262" s="1063"/>
      <c r="AN1262" s="1063"/>
      <c r="AO1262" s="1063"/>
      <c r="AP1262" s="1063"/>
      <c r="AQ1262" s="1063"/>
      <c r="AR1262" s="1063"/>
      <c r="AS1262" s="1063"/>
      <c r="AT1262" s="1063"/>
      <c r="AU1262" s="1063"/>
      <c r="AV1262" s="1063"/>
    </row>
    <row r="1263" spans="1:48" s="1108" customFormat="1" ht="27.75" customHeight="1">
      <c r="A1263" s="1076"/>
      <c r="B1263" s="1074">
        <f>+'[18]Bldg+Dev'!S2075</f>
        <v>0</v>
      </c>
      <c r="D1263" s="1063"/>
      <c r="F1263" s="1076"/>
      <c r="G1263" s="1063"/>
      <c r="H1263" s="1063"/>
      <c r="I1263" s="1063"/>
      <c r="J1263" s="1063"/>
      <c r="K1263" s="1063"/>
      <c r="L1263" s="1063"/>
      <c r="M1263" s="1063"/>
      <c r="N1263" s="1063"/>
      <c r="O1263" s="1063"/>
      <c r="P1263" s="1063"/>
      <c r="Q1263" s="1063"/>
      <c r="R1263" s="1063"/>
      <c r="S1263" s="1063"/>
      <c r="T1263" s="1063"/>
      <c r="U1263" s="1063"/>
      <c r="V1263" s="1063"/>
      <c r="W1263" s="1063"/>
      <c r="X1263" s="1063"/>
      <c r="Y1263" s="1063"/>
      <c r="Z1263" s="1063"/>
      <c r="AA1263" s="1063"/>
      <c r="AB1263" s="1063"/>
      <c r="AC1263" s="1063"/>
      <c r="AD1263" s="1063"/>
      <c r="AE1263" s="1063"/>
      <c r="AF1263" s="1063"/>
      <c r="AG1263" s="1063"/>
      <c r="AH1263" s="1063"/>
      <c r="AI1263" s="1063"/>
      <c r="AJ1263" s="1063"/>
      <c r="AK1263" s="1063"/>
      <c r="AL1263" s="1063"/>
      <c r="AM1263" s="1063"/>
      <c r="AN1263" s="1063"/>
      <c r="AO1263" s="1063"/>
      <c r="AP1263" s="1063"/>
      <c r="AQ1263" s="1063"/>
      <c r="AR1263" s="1063"/>
      <c r="AS1263" s="1063"/>
      <c r="AT1263" s="1063"/>
      <c r="AU1263" s="1063"/>
      <c r="AV1263" s="1063"/>
    </row>
    <row r="1264" spans="1:48" s="1108" customFormat="1" ht="27.75" customHeight="1">
      <c r="A1264" s="1076"/>
      <c r="B1264" s="1074">
        <f>+'[18]Bldg+Dev'!S2076</f>
        <v>0</v>
      </c>
      <c r="D1264" s="1063"/>
      <c r="F1264" s="1076"/>
      <c r="G1264" s="1063"/>
      <c r="H1264" s="1063"/>
      <c r="I1264" s="1063"/>
      <c r="J1264" s="1063"/>
      <c r="K1264" s="1063"/>
      <c r="L1264" s="1063"/>
      <c r="M1264" s="1063"/>
      <c r="N1264" s="1063"/>
      <c r="O1264" s="1063"/>
      <c r="P1264" s="1063"/>
      <c r="Q1264" s="1063"/>
      <c r="R1264" s="1063"/>
      <c r="S1264" s="1063"/>
      <c r="T1264" s="1063"/>
      <c r="U1264" s="1063"/>
      <c r="V1264" s="1063"/>
      <c r="W1264" s="1063"/>
      <c r="X1264" s="1063"/>
      <c r="Y1264" s="1063"/>
      <c r="Z1264" s="1063"/>
      <c r="AA1264" s="1063"/>
      <c r="AB1264" s="1063"/>
      <c r="AC1264" s="1063"/>
      <c r="AD1264" s="1063"/>
      <c r="AE1264" s="1063"/>
      <c r="AF1264" s="1063"/>
      <c r="AG1264" s="1063"/>
      <c r="AH1264" s="1063"/>
      <c r="AI1264" s="1063"/>
      <c r="AJ1264" s="1063"/>
      <c r="AK1264" s="1063"/>
      <c r="AL1264" s="1063"/>
      <c r="AM1264" s="1063"/>
      <c r="AN1264" s="1063"/>
      <c r="AO1264" s="1063"/>
      <c r="AP1264" s="1063"/>
      <c r="AQ1264" s="1063"/>
      <c r="AR1264" s="1063"/>
      <c r="AS1264" s="1063"/>
      <c r="AT1264" s="1063"/>
      <c r="AU1264" s="1063"/>
      <c r="AV1264" s="1063"/>
    </row>
    <row r="1265" spans="1:48" s="1108" customFormat="1" ht="27.75" customHeight="1">
      <c r="A1265" s="1076"/>
      <c r="B1265" s="1074">
        <f>+'[18]Bldg+Dev'!S2077</f>
        <v>0</v>
      </c>
      <c r="D1265" s="1063"/>
      <c r="F1265" s="1076"/>
      <c r="G1265" s="1063"/>
      <c r="H1265" s="1063"/>
      <c r="I1265" s="1063"/>
      <c r="J1265" s="1063"/>
      <c r="K1265" s="1063"/>
      <c r="L1265" s="1063"/>
      <c r="M1265" s="1063"/>
      <c r="N1265" s="1063"/>
      <c r="O1265" s="1063"/>
      <c r="P1265" s="1063"/>
      <c r="Q1265" s="1063"/>
      <c r="R1265" s="1063"/>
      <c r="S1265" s="1063"/>
      <c r="T1265" s="1063"/>
      <c r="U1265" s="1063"/>
      <c r="V1265" s="1063"/>
      <c r="W1265" s="1063"/>
      <c r="X1265" s="1063"/>
      <c r="Y1265" s="1063"/>
      <c r="Z1265" s="1063"/>
      <c r="AA1265" s="1063"/>
      <c r="AB1265" s="1063"/>
      <c r="AC1265" s="1063"/>
      <c r="AD1265" s="1063"/>
      <c r="AE1265" s="1063"/>
      <c r="AF1265" s="1063"/>
      <c r="AG1265" s="1063"/>
      <c r="AH1265" s="1063"/>
      <c r="AI1265" s="1063"/>
      <c r="AJ1265" s="1063"/>
      <c r="AK1265" s="1063"/>
      <c r="AL1265" s="1063"/>
      <c r="AM1265" s="1063"/>
      <c r="AN1265" s="1063"/>
      <c r="AO1265" s="1063"/>
      <c r="AP1265" s="1063"/>
      <c r="AQ1265" s="1063"/>
      <c r="AR1265" s="1063"/>
      <c r="AS1265" s="1063"/>
      <c r="AT1265" s="1063"/>
      <c r="AU1265" s="1063"/>
      <c r="AV1265" s="1063"/>
    </row>
    <row r="1266" spans="1:48" s="1108" customFormat="1" ht="27.75" customHeight="1">
      <c r="A1266" s="1076"/>
      <c r="B1266" s="1074">
        <f>+'[18]Bldg+Dev'!S2078</f>
        <v>0</v>
      </c>
      <c r="D1266" s="1063"/>
      <c r="F1266" s="1076"/>
      <c r="G1266" s="1063"/>
      <c r="H1266" s="1063"/>
      <c r="I1266" s="1063"/>
      <c r="J1266" s="1063"/>
      <c r="K1266" s="1063"/>
      <c r="L1266" s="1063"/>
      <c r="M1266" s="1063"/>
      <c r="N1266" s="1063"/>
      <c r="O1266" s="1063"/>
      <c r="P1266" s="1063"/>
      <c r="Q1266" s="1063"/>
      <c r="R1266" s="1063"/>
      <c r="S1266" s="1063"/>
      <c r="T1266" s="1063"/>
      <c r="U1266" s="1063"/>
      <c r="V1266" s="1063"/>
      <c r="W1266" s="1063"/>
      <c r="X1266" s="1063"/>
      <c r="Y1266" s="1063"/>
      <c r="Z1266" s="1063"/>
      <c r="AA1266" s="1063"/>
      <c r="AB1266" s="1063"/>
      <c r="AC1266" s="1063"/>
      <c r="AD1266" s="1063"/>
      <c r="AE1266" s="1063"/>
      <c r="AF1266" s="1063"/>
      <c r="AG1266" s="1063"/>
      <c r="AH1266" s="1063"/>
      <c r="AI1266" s="1063"/>
      <c r="AJ1266" s="1063"/>
      <c r="AK1266" s="1063"/>
      <c r="AL1266" s="1063"/>
      <c r="AM1266" s="1063"/>
      <c r="AN1266" s="1063"/>
      <c r="AO1266" s="1063"/>
      <c r="AP1266" s="1063"/>
      <c r="AQ1266" s="1063"/>
      <c r="AR1266" s="1063"/>
      <c r="AS1266" s="1063"/>
      <c r="AT1266" s="1063"/>
      <c r="AU1266" s="1063"/>
      <c r="AV1266" s="1063"/>
    </row>
    <row r="1267" spans="1:48" s="1108" customFormat="1" ht="27.75" customHeight="1">
      <c r="A1267" s="1076"/>
      <c r="B1267" s="1074">
        <f>+'[18]Bldg+Dev'!S2079</f>
        <v>0</v>
      </c>
      <c r="D1267" s="1063"/>
      <c r="F1267" s="1076"/>
      <c r="G1267" s="1063"/>
      <c r="H1267" s="1063"/>
      <c r="I1267" s="1063"/>
      <c r="J1267" s="1063"/>
      <c r="K1267" s="1063"/>
      <c r="L1267" s="1063"/>
      <c r="M1267" s="1063"/>
      <c r="N1267" s="1063"/>
      <c r="O1267" s="1063"/>
      <c r="P1267" s="1063"/>
      <c r="Q1267" s="1063"/>
      <c r="R1267" s="1063"/>
      <c r="S1267" s="1063"/>
      <c r="T1267" s="1063"/>
      <c r="U1267" s="1063"/>
      <c r="V1267" s="1063"/>
      <c r="W1267" s="1063"/>
      <c r="X1267" s="1063"/>
      <c r="Y1267" s="1063"/>
      <c r="Z1267" s="1063"/>
      <c r="AA1267" s="1063"/>
      <c r="AB1267" s="1063"/>
      <c r="AC1267" s="1063"/>
      <c r="AD1267" s="1063"/>
      <c r="AE1267" s="1063"/>
      <c r="AF1267" s="1063"/>
      <c r="AG1267" s="1063"/>
      <c r="AH1267" s="1063"/>
      <c r="AI1267" s="1063"/>
      <c r="AJ1267" s="1063"/>
      <c r="AK1267" s="1063"/>
      <c r="AL1267" s="1063"/>
      <c r="AM1267" s="1063"/>
      <c r="AN1267" s="1063"/>
      <c r="AO1267" s="1063"/>
      <c r="AP1267" s="1063"/>
      <c r="AQ1267" s="1063"/>
      <c r="AR1267" s="1063"/>
      <c r="AS1267" s="1063"/>
      <c r="AT1267" s="1063"/>
      <c r="AU1267" s="1063"/>
      <c r="AV1267" s="1063"/>
    </row>
    <row r="1268" spans="1:48" s="1108" customFormat="1" ht="27.75" customHeight="1">
      <c r="A1268" s="1076"/>
      <c r="B1268" s="1074">
        <f>+'[18]Bldg+Dev'!S2080</f>
        <v>0</v>
      </c>
      <c r="D1268" s="1063"/>
      <c r="F1268" s="1076"/>
      <c r="G1268" s="1063"/>
      <c r="H1268" s="1063"/>
      <c r="I1268" s="1063"/>
      <c r="J1268" s="1063"/>
      <c r="K1268" s="1063"/>
      <c r="L1268" s="1063"/>
      <c r="M1268" s="1063"/>
      <c r="N1268" s="1063"/>
      <c r="O1268" s="1063"/>
      <c r="P1268" s="1063"/>
      <c r="Q1268" s="1063"/>
      <c r="R1268" s="1063"/>
      <c r="S1268" s="1063"/>
      <c r="T1268" s="1063"/>
      <c r="U1268" s="1063"/>
      <c r="V1268" s="1063"/>
      <c r="W1268" s="1063"/>
      <c r="X1268" s="1063"/>
      <c r="Y1268" s="1063"/>
      <c r="Z1268" s="1063"/>
      <c r="AA1268" s="1063"/>
      <c r="AB1268" s="1063"/>
      <c r="AC1268" s="1063"/>
      <c r="AD1268" s="1063"/>
      <c r="AE1268" s="1063"/>
      <c r="AF1268" s="1063"/>
      <c r="AG1268" s="1063"/>
      <c r="AH1268" s="1063"/>
      <c r="AI1268" s="1063"/>
      <c r="AJ1268" s="1063"/>
      <c r="AK1268" s="1063"/>
      <c r="AL1268" s="1063"/>
      <c r="AM1268" s="1063"/>
      <c r="AN1268" s="1063"/>
      <c r="AO1268" s="1063"/>
      <c r="AP1268" s="1063"/>
      <c r="AQ1268" s="1063"/>
      <c r="AR1268" s="1063"/>
      <c r="AS1268" s="1063"/>
      <c r="AT1268" s="1063"/>
      <c r="AU1268" s="1063"/>
      <c r="AV1268" s="1063"/>
    </row>
    <row r="1269" spans="1:48" s="1108" customFormat="1" ht="27.75" customHeight="1">
      <c r="A1269" s="1076"/>
      <c r="B1269" s="1074">
        <f>+'[18]Bldg+Dev'!S2081</f>
        <v>0</v>
      </c>
      <c r="D1269" s="1063"/>
      <c r="F1269" s="1076"/>
      <c r="G1269" s="1063"/>
      <c r="H1269" s="1063"/>
      <c r="I1269" s="1063"/>
      <c r="J1269" s="1063"/>
      <c r="K1269" s="1063"/>
      <c r="L1269" s="1063"/>
      <c r="M1269" s="1063"/>
      <c r="N1269" s="1063"/>
      <c r="O1269" s="1063"/>
      <c r="P1269" s="1063"/>
      <c r="Q1269" s="1063"/>
      <c r="R1269" s="1063"/>
      <c r="S1269" s="1063"/>
      <c r="T1269" s="1063"/>
      <c r="U1269" s="1063"/>
      <c r="V1269" s="1063"/>
      <c r="W1269" s="1063"/>
      <c r="X1269" s="1063"/>
      <c r="Y1269" s="1063"/>
      <c r="Z1269" s="1063"/>
      <c r="AA1269" s="1063"/>
      <c r="AB1269" s="1063"/>
      <c r="AC1269" s="1063"/>
      <c r="AD1269" s="1063"/>
      <c r="AE1269" s="1063"/>
      <c r="AF1269" s="1063"/>
      <c r="AG1269" s="1063"/>
      <c r="AH1269" s="1063"/>
      <c r="AI1269" s="1063"/>
      <c r="AJ1269" s="1063"/>
      <c r="AK1269" s="1063"/>
      <c r="AL1269" s="1063"/>
      <c r="AM1269" s="1063"/>
      <c r="AN1269" s="1063"/>
      <c r="AO1269" s="1063"/>
      <c r="AP1269" s="1063"/>
      <c r="AQ1269" s="1063"/>
      <c r="AR1269" s="1063"/>
      <c r="AS1269" s="1063"/>
      <c r="AT1269" s="1063"/>
      <c r="AU1269" s="1063"/>
      <c r="AV1269" s="1063"/>
    </row>
    <row r="1270" spans="1:48" s="1108" customFormat="1" ht="27.75" customHeight="1">
      <c r="A1270" s="1076"/>
      <c r="B1270" s="1074">
        <f>+'[18]Bldg+Dev'!S2082</f>
        <v>0</v>
      </c>
      <c r="D1270" s="1063"/>
      <c r="F1270" s="1076"/>
      <c r="G1270" s="1063"/>
      <c r="H1270" s="1063"/>
      <c r="I1270" s="1063"/>
      <c r="J1270" s="1063"/>
      <c r="K1270" s="1063"/>
      <c r="L1270" s="1063"/>
      <c r="M1270" s="1063"/>
      <c r="N1270" s="1063"/>
      <c r="O1270" s="1063"/>
      <c r="P1270" s="1063"/>
      <c r="Q1270" s="1063"/>
      <c r="R1270" s="1063"/>
      <c r="S1270" s="1063"/>
      <c r="T1270" s="1063"/>
      <c r="U1270" s="1063"/>
      <c r="V1270" s="1063"/>
      <c r="W1270" s="1063"/>
      <c r="X1270" s="1063"/>
      <c r="Y1270" s="1063"/>
      <c r="Z1270" s="1063"/>
      <c r="AA1270" s="1063"/>
      <c r="AB1270" s="1063"/>
      <c r="AC1270" s="1063"/>
      <c r="AD1270" s="1063"/>
      <c r="AE1270" s="1063"/>
      <c r="AF1270" s="1063"/>
      <c r="AG1270" s="1063"/>
      <c r="AH1270" s="1063"/>
      <c r="AI1270" s="1063"/>
      <c r="AJ1270" s="1063"/>
      <c r="AK1270" s="1063"/>
      <c r="AL1270" s="1063"/>
      <c r="AM1270" s="1063"/>
      <c r="AN1270" s="1063"/>
      <c r="AO1270" s="1063"/>
      <c r="AP1270" s="1063"/>
      <c r="AQ1270" s="1063"/>
      <c r="AR1270" s="1063"/>
      <c r="AS1270" s="1063"/>
      <c r="AT1270" s="1063"/>
      <c r="AU1270" s="1063"/>
      <c r="AV1270" s="1063"/>
    </row>
    <row r="1271" spans="1:48" s="1108" customFormat="1" ht="27.75" customHeight="1">
      <c r="A1271" s="1076"/>
      <c r="B1271" s="1074">
        <f>+'[18]Bldg+Dev'!S2083</f>
        <v>0</v>
      </c>
      <c r="D1271" s="1063"/>
      <c r="F1271" s="1076"/>
      <c r="G1271" s="1063"/>
      <c r="H1271" s="1063"/>
      <c r="I1271" s="1063"/>
      <c r="J1271" s="1063"/>
      <c r="K1271" s="1063"/>
      <c r="L1271" s="1063"/>
      <c r="M1271" s="1063"/>
      <c r="N1271" s="1063"/>
      <c r="O1271" s="1063"/>
      <c r="P1271" s="1063"/>
      <c r="Q1271" s="1063"/>
      <c r="R1271" s="1063"/>
      <c r="S1271" s="1063"/>
      <c r="T1271" s="1063"/>
      <c r="U1271" s="1063"/>
      <c r="V1271" s="1063"/>
      <c r="W1271" s="1063"/>
      <c r="X1271" s="1063"/>
      <c r="Y1271" s="1063"/>
      <c r="Z1271" s="1063"/>
      <c r="AA1271" s="1063"/>
      <c r="AB1271" s="1063"/>
      <c r="AC1271" s="1063"/>
      <c r="AD1271" s="1063"/>
      <c r="AE1271" s="1063"/>
      <c r="AF1271" s="1063"/>
      <c r="AG1271" s="1063"/>
      <c r="AH1271" s="1063"/>
      <c r="AI1271" s="1063"/>
      <c r="AJ1271" s="1063"/>
      <c r="AK1271" s="1063"/>
      <c r="AL1271" s="1063"/>
      <c r="AM1271" s="1063"/>
      <c r="AN1271" s="1063"/>
      <c r="AO1271" s="1063"/>
      <c r="AP1271" s="1063"/>
      <c r="AQ1271" s="1063"/>
      <c r="AR1271" s="1063"/>
      <c r="AS1271" s="1063"/>
      <c r="AT1271" s="1063"/>
      <c r="AU1271" s="1063"/>
      <c r="AV1271" s="1063"/>
    </row>
    <row r="1272" spans="1:48" s="1108" customFormat="1" ht="27.75" customHeight="1">
      <c r="A1272" s="1076"/>
      <c r="B1272" s="1074">
        <f>+'[18]Bldg+Dev'!S2084</f>
        <v>0</v>
      </c>
      <c r="D1272" s="1063"/>
      <c r="F1272" s="1076"/>
      <c r="G1272" s="1063"/>
      <c r="H1272" s="1063"/>
      <c r="I1272" s="1063"/>
      <c r="J1272" s="1063"/>
      <c r="K1272" s="1063"/>
      <c r="L1272" s="1063"/>
      <c r="M1272" s="1063"/>
      <c r="N1272" s="1063"/>
      <c r="O1272" s="1063"/>
      <c r="P1272" s="1063"/>
      <c r="Q1272" s="1063"/>
      <c r="R1272" s="1063"/>
      <c r="S1272" s="1063"/>
      <c r="T1272" s="1063"/>
      <c r="U1272" s="1063"/>
      <c r="V1272" s="1063"/>
      <c r="W1272" s="1063"/>
      <c r="X1272" s="1063"/>
      <c r="Y1272" s="1063"/>
      <c r="Z1272" s="1063"/>
      <c r="AA1272" s="1063"/>
      <c r="AB1272" s="1063"/>
      <c r="AC1272" s="1063"/>
      <c r="AD1272" s="1063"/>
      <c r="AE1272" s="1063"/>
      <c r="AF1272" s="1063"/>
      <c r="AG1272" s="1063"/>
      <c r="AH1272" s="1063"/>
      <c r="AI1272" s="1063"/>
      <c r="AJ1272" s="1063"/>
      <c r="AK1272" s="1063"/>
      <c r="AL1272" s="1063"/>
      <c r="AM1272" s="1063"/>
      <c r="AN1272" s="1063"/>
      <c r="AO1272" s="1063"/>
      <c r="AP1272" s="1063"/>
      <c r="AQ1272" s="1063"/>
      <c r="AR1272" s="1063"/>
      <c r="AS1272" s="1063"/>
      <c r="AT1272" s="1063"/>
      <c r="AU1272" s="1063"/>
      <c r="AV1272" s="1063"/>
    </row>
    <row r="1273" spans="1:48" s="1108" customFormat="1" ht="27.75" customHeight="1">
      <c r="A1273" s="1076"/>
      <c r="B1273" s="1074">
        <f>+'[18]Bldg+Dev'!S2085</f>
        <v>0</v>
      </c>
      <c r="D1273" s="1063"/>
      <c r="F1273" s="1076"/>
      <c r="G1273" s="1063"/>
      <c r="H1273" s="1063"/>
      <c r="I1273" s="1063"/>
      <c r="J1273" s="1063"/>
      <c r="K1273" s="1063"/>
      <c r="L1273" s="1063"/>
      <c r="M1273" s="1063"/>
      <c r="N1273" s="1063"/>
      <c r="O1273" s="1063"/>
      <c r="P1273" s="1063"/>
      <c r="Q1273" s="1063"/>
      <c r="R1273" s="1063"/>
      <c r="S1273" s="1063"/>
      <c r="T1273" s="1063"/>
      <c r="U1273" s="1063"/>
      <c r="V1273" s="1063"/>
      <c r="W1273" s="1063"/>
      <c r="X1273" s="1063"/>
      <c r="Y1273" s="1063"/>
      <c r="Z1273" s="1063"/>
      <c r="AA1273" s="1063"/>
      <c r="AB1273" s="1063"/>
      <c r="AC1273" s="1063"/>
      <c r="AD1273" s="1063"/>
      <c r="AE1273" s="1063"/>
      <c r="AF1273" s="1063"/>
      <c r="AG1273" s="1063"/>
      <c r="AH1273" s="1063"/>
      <c r="AI1273" s="1063"/>
      <c r="AJ1273" s="1063"/>
      <c r="AK1273" s="1063"/>
      <c r="AL1273" s="1063"/>
      <c r="AM1273" s="1063"/>
      <c r="AN1273" s="1063"/>
      <c r="AO1273" s="1063"/>
      <c r="AP1273" s="1063"/>
      <c r="AQ1273" s="1063"/>
      <c r="AR1273" s="1063"/>
      <c r="AS1273" s="1063"/>
      <c r="AT1273" s="1063"/>
      <c r="AU1273" s="1063"/>
      <c r="AV1273" s="1063"/>
    </row>
    <row r="1274" spans="1:48" s="1108" customFormat="1" ht="27.75" customHeight="1">
      <c r="A1274" s="1076"/>
      <c r="B1274" s="1074">
        <f>+'[18]Bldg+Dev'!S2086</f>
        <v>0</v>
      </c>
      <c r="D1274" s="1063"/>
      <c r="F1274" s="1076"/>
      <c r="G1274" s="1063"/>
      <c r="H1274" s="1063"/>
      <c r="I1274" s="1063"/>
      <c r="J1274" s="1063"/>
      <c r="K1274" s="1063"/>
      <c r="L1274" s="1063"/>
      <c r="M1274" s="1063"/>
      <c r="N1274" s="1063"/>
      <c r="O1274" s="1063"/>
      <c r="P1274" s="1063"/>
      <c r="Q1274" s="1063"/>
      <c r="R1274" s="1063"/>
      <c r="S1274" s="1063"/>
      <c r="T1274" s="1063"/>
      <c r="U1274" s="1063"/>
      <c r="V1274" s="1063"/>
      <c r="W1274" s="1063"/>
      <c r="X1274" s="1063"/>
      <c r="Y1274" s="1063"/>
      <c r="Z1274" s="1063"/>
      <c r="AA1274" s="1063"/>
      <c r="AB1274" s="1063"/>
      <c r="AC1274" s="1063"/>
      <c r="AD1274" s="1063"/>
      <c r="AE1274" s="1063"/>
      <c r="AF1274" s="1063"/>
      <c r="AG1274" s="1063"/>
      <c r="AH1274" s="1063"/>
      <c r="AI1274" s="1063"/>
      <c r="AJ1274" s="1063"/>
      <c r="AK1274" s="1063"/>
      <c r="AL1274" s="1063"/>
      <c r="AM1274" s="1063"/>
      <c r="AN1274" s="1063"/>
      <c r="AO1274" s="1063"/>
      <c r="AP1274" s="1063"/>
      <c r="AQ1274" s="1063"/>
      <c r="AR1274" s="1063"/>
      <c r="AS1274" s="1063"/>
      <c r="AT1274" s="1063"/>
      <c r="AU1274" s="1063"/>
      <c r="AV1274" s="1063"/>
    </row>
    <row r="1275" spans="1:48" s="1108" customFormat="1" ht="27.75" customHeight="1">
      <c r="A1275" s="1076"/>
      <c r="B1275" s="1074">
        <f>+'[18]Bldg+Dev'!S2087</f>
        <v>0</v>
      </c>
      <c r="D1275" s="1063"/>
      <c r="F1275" s="1076"/>
      <c r="G1275" s="1063"/>
      <c r="H1275" s="1063"/>
      <c r="I1275" s="1063"/>
      <c r="J1275" s="1063"/>
      <c r="K1275" s="1063"/>
      <c r="L1275" s="1063"/>
      <c r="M1275" s="1063"/>
      <c r="N1275" s="1063"/>
      <c r="O1275" s="1063"/>
      <c r="P1275" s="1063"/>
      <c r="Q1275" s="1063"/>
      <c r="R1275" s="1063"/>
      <c r="S1275" s="1063"/>
      <c r="T1275" s="1063"/>
      <c r="U1275" s="1063"/>
      <c r="V1275" s="1063"/>
      <c r="W1275" s="1063"/>
      <c r="X1275" s="1063"/>
      <c r="Y1275" s="1063"/>
      <c r="Z1275" s="1063"/>
      <c r="AA1275" s="1063"/>
      <c r="AB1275" s="1063"/>
      <c r="AC1275" s="1063"/>
      <c r="AD1275" s="1063"/>
      <c r="AE1275" s="1063"/>
      <c r="AF1275" s="1063"/>
      <c r="AG1275" s="1063"/>
      <c r="AH1275" s="1063"/>
      <c r="AI1275" s="1063"/>
      <c r="AJ1275" s="1063"/>
      <c r="AK1275" s="1063"/>
      <c r="AL1275" s="1063"/>
      <c r="AM1275" s="1063"/>
      <c r="AN1275" s="1063"/>
      <c r="AO1275" s="1063"/>
      <c r="AP1275" s="1063"/>
      <c r="AQ1275" s="1063"/>
      <c r="AR1275" s="1063"/>
      <c r="AS1275" s="1063"/>
      <c r="AT1275" s="1063"/>
      <c r="AU1275" s="1063"/>
      <c r="AV1275" s="1063"/>
    </row>
    <row r="1276" spans="1:48" s="1108" customFormat="1" ht="27.75" customHeight="1">
      <c r="A1276" s="1076"/>
      <c r="B1276" s="1074">
        <f>+'[18]Bldg+Dev'!S2088</f>
        <v>0</v>
      </c>
      <c r="D1276" s="1063"/>
      <c r="F1276" s="1076"/>
      <c r="G1276" s="1063"/>
      <c r="H1276" s="1063"/>
      <c r="I1276" s="1063"/>
      <c r="J1276" s="1063"/>
      <c r="K1276" s="1063"/>
      <c r="L1276" s="1063"/>
      <c r="M1276" s="1063"/>
      <c r="N1276" s="1063"/>
      <c r="O1276" s="1063"/>
      <c r="P1276" s="1063"/>
      <c r="Q1276" s="1063"/>
      <c r="R1276" s="1063"/>
      <c r="S1276" s="1063"/>
      <c r="T1276" s="1063"/>
      <c r="U1276" s="1063"/>
      <c r="V1276" s="1063"/>
      <c r="W1276" s="1063"/>
      <c r="X1276" s="1063"/>
      <c r="Y1276" s="1063"/>
      <c r="Z1276" s="1063"/>
      <c r="AA1276" s="1063"/>
      <c r="AB1276" s="1063"/>
      <c r="AC1276" s="1063"/>
      <c r="AD1276" s="1063"/>
      <c r="AE1276" s="1063"/>
      <c r="AF1276" s="1063"/>
      <c r="AG1276" s="1063"/>
      <c r="AH1276" s="1063"/>
      <c r="AI1276" s="1063"/>
      <c r="AJ1276" s="1063"/>
      <c r="AK1276" s="1063"/>
      <c r="AL1276" s="1063"/>
      <c r="AM1276" s="1063"/>
      <c r="AN1276" s="1063"/>
      <c r="AO1276" s="1063"/>
      <c r="AP1276" s="1063"/>
      <c r="AQ1276" s="1063"/>
      <c r="AR1276" s="1063"/>
      <c r="AS1276" s="1063"/>
      <c r="AT1276" s="1063"/>
      <c r="AU1276" s="1063"/>
      <c r="AV1276" s="1063"/>
    </row>
    <row r="1277" spans="1:48" s="1108" customFormat="1" ht="27.75" customHeight="1">
      <c r="A1277" s="1076"/>
      <c r="B1277" s="1074">
        <f>+'[18]Bldg+Dev'!S2089</f>
        <v>0</v>
      </c>
      <c r="D1277" s="1063"/>
      <c r="F1277" s="1076"/>
      <c r="G1277" s="1063"/>
      <c r="H1277" s="1063"/>
      <c r="I1277" s="1063"/>
      <c r="J1277" s="1063"/>
      <c r="K1277" s="1063"/>
      <c r="L1277" s="1063"/>
      <c r="M1277" s="1063"/>
      <c r="N1277" s="1063"/>
      <c r="O1277" s="1063"/>
      <c r="P1277" s="1063"/>
      <c r="Q1277" s="1063"/>
      <c r="R1277" s="1063"/>
      <c r="S1277" s="1063"/>
      <c r="T1277" s="1063"/>
      <c r="U1277" s="1063"/>
      <c r="V1277" s="1063"/>
      <c r="W1277" s="1063"/>
      <c r="X1277" s="1063"/>
      <c r="Y1277" s="1063"/>
      <c r="Z1277" s="1063"/>
      <c r="AA1277" s="1063"/>
      <c r="AB1277" s="1063"/>
      <c r="AC1277" s="1063"/>
      <c r="AD1277" s="1063"/>
      <c r="AE1277" s="1063"/>
      <c r="AF1277" s="1063"/>
      <c r="AG1277" s="1063"/>
      <c r="AH1277" s="1063"/>
      <c r="AI1277" s="1063"/>
      <c r="AJ1277" s="1063"/>
      <c r="AK1277" s="1063"/>
      <c r="AL1277" s="1063"/>
      <c r="AM1277" s="1063"/>
      <c r="AN1277" s="1063"/>
      <c r="AO1277" s="1063"/>
      <c r="AP1277" s="1063"/>
      <c r="AQ1277" s="1063"/>
      <c r="AR1277" s="1063"/>
      <c r="AS1277" s="1063"/>
      <c r="AT1277" s="1063"/>
      <c r="AU1277" s="1063"/>
      <c r="AV1277" s="1063"/>
    </row>
    <row r="1278" spans="1:48" s="1108" customFormat="1" ht="27.75" customHeight="1">
      <c r="A1278" s="1076"/>
      <c r="B1278" s="1074">
        <f>+'[18]Bldg+Dev'!S2090</f>
        <v>0</v>
      </c>
      <c r="D1278" s="1063"/>
      <c r="F1278" s="1076"/>
      <c r="G1278" s="1063"/>
      <c r="H1278" s="1063"/>
      <c r="I1278" s="1063"/>
      <c r="J1278" s="1063"/>
      <c r="K1278" s="1063"/>
      <c r="L1278" s="1063"/>
      <c r="M1278" s="1063"/>
      <c r="N1278" s="1063"/>
      <c r="O1278" s="1063"/>
      <c r="P1278" s="1063"/>
      <c r="Q1278" s="1063"/>
      <c r="R1278" s="1063"/>
      <c r="S1278" s="1063"/>
      <c r="T1278" s="1063"/>
      <c r="U1278" s="1063"/>
      <c r="V1278" s="1063"/>
      <c r="W1278" s="1063"/>
      <c r="X1278" s="1063"/>
      <c r="Y1278" s="1063"/>
      <c r="Z1278" s="1063"/>
      <c r="AA1278" s="1063"/>
      <c r="AB1278" s="1063"/>
      <c r="AC1278" s="1063"/>
      <c r="AD1278" s="1063"/>
      <c r="AE1278" s="1063"/>
      <c r="AF1278" s="1063"/>
      <c r="AG1278" s="1063"/>
      <c r="AH1278" s="1063"/>
      <c r="AI1278" s="1063"/>
      <c r="AJ1278" s="1063"/>
      <c r="AK1278" s="1063"/>
      <c r="AL1278" s="1063"/>
      <c r="AM1278" s="1063"/>
      <c r="AN1278" s="1063"/>
      <c r="AO1278" s="1063"/>
      <c r="AP1278" s="1063"/>
      <c r="AQ1278" s="1063"/>
      <c r="AR1278" s="1063"/>
      <c r="AS1278" s="1063"/>
      <c r="AT1278" s="1063"/>
      <c r="AU1278" s="1063"/>
      <c r="AV1278" s="1063"/>
    </row>
    <row r="1279" spans="1:48" s="1108" customFormat="1" ht="27.75" customHeight="1">
      <c r="A1279" s="1076"/>
      <c r="B1279" s="1074">
        <f>+'[18]Bldg+Dev'!S2091</f>
        <v>0</v>
      </c>
      <c r="D1279" s="1063"/>
      <c r="F1279" s="1076"/>
      <c r="G1279" s="1063"/>
      <c r="H1279" s="1063"/>
      <c r="I1279" s="1063"/>
      <c r="J1279" s="1063"/>
      <c r="K1279" s="1063"/>
      <c r="L1279" s="1063"/>
      <c r="M1279" s="1063"/>
      <c r="N1279" s="1063"/>
      <c r="O1279" s="1063"/>
      <c r="P1279" s="1063"/>
      <c r="Q1279" s="1063"/>
      <c r="R1279" s="1063"/>
      <c r="S1279" s="1063"/>
      <c r="T1279" s="1063"/>
      <c r="U1279" s="1063"/>
      <c r="V1279" s="1063"/>
      <c r="W1279" s="1063"/>
      <c r="X1279" s="1063"/>
      <c r="Y1279" s="1063"/>
      <c r="Z1279" s="1063"/>
      <c r="AA1279" s="1063"/>
      <c r="AB1279" s="1063"/>
      <c r="AC1279" s="1063"/>
      <c r="AD1279" s="1063"/>
      <c r="AE1279" s="1063"/>
      <c r="AF1279" s="1063"/>
      <c r="AG1279" s="1063"/>
      <c r="AH1279" s="1063"/>
      <c r="AI1279" s="1063"/>
      <c r="AJ1279" s="1063"/>
      <c r="AK1279" s="1063"/>
      <c r="AL1279" s="1063"/>
      <c r="AM1279" s="1063"/>
      <c r="AN1279" s="1063"/>
      <c r="AO1279" s="1063"/>
      <c r="AP1279" s="1063"/>
      <c r="AQ1279" s="1063"/>
      <c r="AR1279" s="1063"/>
      <c r="AS1279" s="1063"/>
      <c r="AT1279" s="1063"/>
      <c r="AU1279" s="1063"/>
      <c r="AV1279" s="1063"/>
    </row>
    <row r="1280" spans="1:48" s="1108" customFormat="1" ht="27.75" customHeight="1">
      <c r="A1280" s="1076"/>
      <c r="B1280" s="1074">
        <f>+'[18]Bldg+Dev'!S2092</f>
        <v>0</v>
      </c>
      <c r="D1280" s="1063"/>
      <c r="F1280" s="1076"/>
      <c r="G1280" s="1063"/>
      <c r="H1280" s="1063"/>
      <c r="I1280" s="1063"/>
      <c r="J1280" s="1063"/>
      <c r="K1280" s="1063"/>
      <c r="L1280" s="1063"/>
      <c r="M1280" s="1063"/>
      <c r="N1280" s="1063"/>
      <c r="O1280" s="1063"/>
      <c r="P1280" s="1063"/>
      <c r="Q1280" s="1063"/>
      <c r="R1280" s="1063"/>
      <c r="S1280" s="1063"/>
      <c r="T1280" s="1063"/>
      <c r="U1280" s="1063"/>
      <c r="V1280" s="1063"/>
      <c r="W1280" s="1063"/>
      <c r="X1280" s="1063"/>
      <c r="Y1280" s="1063"/>
      <c r="Z1280" s="1063"/>
      <c r="AA1280" s="1063"/>
      <c r="AB1280" s="1063"/>
      <c r="AC1280" s="1063"/>
      <c r="AD1280" s="1063"/>
      <c r="AE1280" s="1063"/>
      <c r="AF1280" s="1063"/>
      <c r="AG1280" s="1063"/>
      <c r="AH1280" s="1063"/>
      <c r="AI1280" s="1063"/>
      <c r="AJ1280" s="1063"/>
      <c r="AK1280" s="1063"/>
      <c r="AL1280" s="1063"/>
      <c r="AM1280" s="1063"/>
      <c r="AN1280" s="1063"/>
      <c r="AO1280" s="1063"/>
      <c r="AP1280" s="1063"/>
      <c r="AQ1280" s="1063"/>
      <c r="AR1280" s="1063"/>
      <c r="AS1280" s="1063"/>
      <c r="AT1280" s="1063"/>
      <c r="AU1280" s="1063"/>
      <c r="AV1280" s="1063"/>
    </row>
    <row r="1281" spans="1:48" s="1108" customFormat="1" ht="27.75" customHeight="1">
      <c r="A1281" s="1076"/>
      <c r="B1281" s="1074">
        <f>+'[18]Bldg+Dev'!S2093</f>
        <v>0</v>
      </c>
      <c r="D1281" s="1063"/>
      <c r="F1281" s="1076"/>
      <c r="G1281" s="1063"/>
      <c r="H1281" s="1063"/>
      <c r="I1281" s="1063"/>
      <c r="J1281" s="1063"/>
      <c r="K1281" s="1063"/>
      <c r="L1281" s="1063"/>
      <c r="M1281" s="1063"/>
      <c r="N1281" s="1063"/>
      <c r="O1281" s="1063"/>
      <c r="P1281" s="1063"/>
      <c r="Q1281" s="1063"/>
      <c r="R1281" s="1063"/>
      <c r="S1281" s="1063"/>
      <c r="T1281" s="1063"/>
      <c r="U1281" s="1063"/>
      <c r="V1281" s="1063"/>
      <c r="W1281" s="1063"/>
      <c r="X1281" s="1063"/>
      <c r="Y1281" s="1063"/>
      <c r="Z1281" s="1063"/>
      <c r="AA1281" s="1063"/>
      <c r="AB1281" s="1063"/>
      <c r="AC1281" s="1063"/>
      <c r="AD1281" s="1063"/>
      <c r="AE1281" s="1063"/>
      <c r="AF1281" s="1063"/>
      <c r="AG1281" s="1063"/>
      <c r="AH1281" s="1063"/>
      <c r="AI1281" s="1063"/>
      <c r="AJ1281" s="1063"/>
      <c r="AK1281" s="1063"/>
      <c r="AL1281" s="1063"/>
      <c r="AM1281" s="1063"/>
      <c r="AN1281" s="1063"/>
      <c r="AO1281" s="1063"/>
      <c r="AP1281" s="1063"/>
      <c r="AQ1281" s="1063"/>
      <c r="AR1281" s="1063"/>
      <c r="AS1281" s="1063"/>
      <c r="AT1281" s="1063"/>
      <c r="AU1281" s="1063"/>
      <c r="AV1281" s="1063"/>
    </row>
    <row r="1282" spans="1:48" s="1108" customFormat="1" ht="27.75" customHeight="1">
      <c r="A1282" s="1076"/>
      <c r="B1282" s="1074">
        <f>+'[18]Bldg+Dev'!S2094</f>
        <v>0</v>
      </c>
      <c r="D1282" s="1063"/>
      <c r="F1282" s="1076"/>
      <c r="G1282" s="1063"/>
      <c r="H1282" s="1063"/>
      <c r="I1282" s="1063"/>
      <c r="J1282" s="1063"/>
      <c r="K1282" s="1063"/>
      <c r="L1282" s="1063"/>
      <c r="M1282" s="1063"/>
      <c r="N1282" s="1063"/>
      <c r="O1282" s="1063"/>
      <c r="P1282" s="1063"/>
      <c r="Q1282" s="1063"/>
      <c r="R1282" s="1063"/>
      <c r="S1282" s="1063"/>
      <c r="T1282" s="1063"/>
      <c r="U1282" s="1063"/>
      <c r="V1282" s="1063"/>
      <c r="W1282" s="1063"/>
      <c r="X1282" s="1063"/>
      <c r="Y1282" s="1063"/>
      <c r="Z1282" s="1063"/>
      <c r="AA1282" s="1063"/>
      <c r="AB1282" s="1063"/>
      <c r="AC1282" s="1063"/>
      <c r="AD1282" s="1063"/>
      <c r="AE1282" s="1063"/>
      <c r="AF1282" s="1063"/>
      <c r="AG1282" s="1063"/>
      <c r="AH1282" s="1063"/>
      <c r="AI1282" s="1063"/>
      <c r="AJ1282" s="1063"/>
      <c r="AK1282" s="1063"/>
      <c r="AL1282" s="1063"/>
      <c r="AM1282" s="1063"/>
      <c r="AN1282" s="1063"/>
      <c r="AO1282" s="1063"/>
      <c r="AP1282" s="1063"/>
      <c r="AQ1282" s="1063"/>
      <c r="AR1282" s="1063"/>
      <c r="AS1282" s="1063"/>
      <c r="AT1282" s="1063"/>
      <c r="AU1282" s="1063"/>
      <c r="AV1282" s="1063"/>
    </row>
    <row r="1283" spans="1:48" s="1108" customFormat="1" ht="27.75" customHeight="1">
      <c r="A1283" s="1076"/>
      <c r="B1283" s="1074">
        <f>+'[18]Bldg+Dev'!S2095</f>
        <v>0</v>
      </c>
      <c r="D1283" s="1063"/>
      <c r="F1283" s="1076"/>
      <c r="G1283" s="1063"/>
      <c r="H1283" s="1063"/>
      <c r="I1283" s="1063"/>
      <c r="J1283" s="1063"/>
      <c r="K1283" s="1063"/>
      <c r="L1283" s="1063"/>
      <c r="M1283" s="1063"/>
      <c r="N1283" s="1063"/>
      <c r="O1283" s="1063"/>
      <c r="P1283" s="1063"/>
      <c r="Q1283" s="1063"/>
      <c r="R1283" s="1063"/>
      <c r="S1283" s="1063"/>
      <c r="T1283" s="1063"/>
      <c r="U1283" s="1063"/>
      <c r="V1283" s="1063"/>
      <c r="W1283" s="1063"/>
      <c r="X1283" s="1063"/>
      <c r="Y1283" s="1063"/>
      <c r="Z1283" s="1063"/>
      <c r="AA1283" s="1063"/>
      <c r="AB1283" s="1063"/>
      <c r="AC1283" s="1063"/>
      <c r="AD1283" s="1063"/>
      <c r="AE1283" s="1063"/>
      <c r="AF1283" s="1063"/>
      <c r="AG1283" s="1063"/>
      <c r="AH1283" s="1063"/>
      <c r="AI1283" s="1063"/>
      <c r="AJ1283" s="1063"/>
      <c r="AK1283" s="1063"/>
      <c r="AL1283" s="1063"/>
      <c r="AM1283" s="1063"/>
      <c r="AN1283" s="1063"/>
      <c r="AO1283" s="1063"/>
      <c r="AP1283" s="1063"/>
      <c r="AQ1283" s="1063"/>
      <c r="AR1283" s="1063"/>
      <c r="AS1283" s="1063"/>
      <c r="AT1283" s="1063"/>
      <c r="AU1283" s="1063"/>
      <c r="AV1283" s="1063"/>
    </row>
    <row r="1284" spans="1:48" s="1108" customFormat="1" ht="27.75" customHeight="1">
      <c r="A1284" s="1076"/>
      <c r="B1284" s="1074">
        <f>+'[18]Bldg+Dev'!S2096</f>
        <v>0</v>
      </c>
      <c r="D1284" s="1063"/>
      <c r="F1284" s="1076"/>
      <c r="G1284" s="1063"/>
      <c r="H1284" s="1063"/>
      <c r="I1284" s="1063"/>
      <c r="J1284" s="1063"/>
      <c r="K1284" s="1063"/>
      <c r="L1284" s="1063"/>
      <c r="M1284" s="1063"/>
      <c r="N1284" s="1063"/>
      <c r="O1284" s="1063"/>
      <c r="P1284" s="1063"/>
      <c r="Q1284" s="1063"/>
      <c r="R1284" s="1063"/>
      <c r="S1284" s="1063"/>
      <c r="T1284" s="1063"/>
      <c r="U1284" s="1063"/>
      <c r="V1284" s="1063"/>
      <c r="W1284" s="1063"/>
      <c r="X1284" s="1063"/>
      <c r="Y1284" s="1063"/>
      <c r="Z1284" s="1063"/>
      <c r="AA1284" s="1063"/>
      <c r="AB1284" s="1063"/>
      <c r="AC1284" s="1063"/>
      <c r="AD1284" s="1063"/>
      <c r="AE1284" s="1063"/>
      <c r="AF1284" s="1063"/>
      <c r="AG1284" s="1063"/>
      <c r="AH1284" s="1063"/>
      <c r="AI1284" s="1063"/>
      <c r="AJ1284" s="1063"/>
      <c r="AK1284" s="1063"/>
      <c r="AL1284" s="1063"/>
      <c r="AM1284" s="1063"/>
      <c r="AN1284" s="1063"/>
      <c r="AO1284" s="1063"/>
      <c r="AP1284" s="1063"/>
      <c r="AQ1284" s="1063"/>
      <c r="AR1284" s="1063"/>
      <c r="AS1284" s="1063"/>
      <c r="AT1284" s="1063"/>
      <c r="AU1284" s="1063"/>
      <c r="AV1284" s="1063"/>
    </row>
    <row r="1285" spans="1:48" s="1108" customFormat="1" ht="27.75" customHeight="1">
      <c r="A1285" s="1076"/>
      <c r="B1285" s="1074">
        <f>+'[18]Bldg+Dev'!S2097</f>
        <v>0</v>
      </c>
      <c r="D1285" s="1063"/>
      <c r="F1285" s="1076"/>
      <c r="G1285" s="1063"/>
      <c r="H1285" s="1063"/>
      <c r="I1285" s="1063"/>
      <c r="J1285" s="1063"/>
      <c r="K1285" s="1063"/>
      <c r="L1285" s="1063"/>
      <c r="M1285" s="1063"/>
      <c r="N1285" s="1063"/>
      <c r="O1285" s="1063"/>
      <c r="P1285" s="1063"/>
      <c r="Q1285" s="1063"/>
      <c r="R1285" s="1063"/>
      <c r="S1285" s="1063"/>
      <c r="T1285" s="1063"/>
      <c r="U1285" s="1063"/>
      <c r="V1285" s="1063"/>
      <c r="W1285" s="1063"/>
      <c r="X1285" s="1063"/>
      <c r="Y1285" s="1063"/>
      <c r="Z1285" s="1063"/>
      <c r="AA1285" s="1063"/>
      <c r="AB1285" s="1063"/>
      <c r="AC1285" s="1063"/>
      <c r="AD1285" s="1063"/>
      <c r="AE1285" s="1063"/>
      <c r="AF1285" s="1063"/>
      <c r="AG1285" s="1063"/>
      <c r="AH1285" s="1063"/>
      <c r="AI1285" s="1063"/>
      <c r="AJ1285" s="1063"/>
      <c r="AK1285" s="1063"/>
      <c r="AL1285" s="1063"/>
      <c r="AM1285" s="1063"/>
      <c r="AN1285" s="1063"/>
      <c r="AO1285" s="1063"/>
      <c r="AP1285" s="1063"/>
      <c r="AQ1285" s="1063"/>
      <c r="AR1285" s="1063"/>
      <c r="AS1285" s="1063"/>
      <c r="AT1285" s="1063"/>
      <c r="AU1285" s="1063"/>
      <c r="AV1285" s="1063"/>
    </row>
    <row r="1286" spans="1:48" s="1108" customFormat="1" ht="27.75" customHeight="1">
      <c r="A1286" s="1076"/>
      <c r="B1286" s="1074">
        <f>+'[18]Bldg+Dev'!S2098</f>
        <v>0</v>
      </c>
      <c r="D1286" s="1063"/>
      <c r="F1286" s="1076"/>
      <c r="G1286" s="1063"/>
      <c r="H1286" s="1063"/>
      <c r="I1286" s="1063"/>
      <c r="J1286" s="1063"/>
      <c r="K1286" s="1063"/>
      <c r="L1286" s="1063"/>
      <c r="M1286" s="1063"/>
      <c r="N1286" s="1063"/>
      <c r="O1286" s="1063"/>
      <c r="P1286" s="1063"/>
      <c r="Q1286" s="1063"/>
      <c r="R1286" s="1063"/>
      <c r="S1286" s="1063"/>
      <c r="T1286" s="1063"/>
      <c r="U1286" s="1063"/>
      <c r="V1286" s="1063"/>
      <c r="W1286" s="1063"/>
      <c r="X1286" s="1063"/>
      <c r="Y1286" s="1063"/>
      <c r="Z1286" s="1063"/>
      <c r="AA1286" s="1063"/>
      <c r="AB1286" s="1063"/>
      <c r="AC1286" s="1063"/>
      <c r="AD1286" s="1063"/>
      <c r="AE1286" s="1063"/>
      <c r="AF1286" s="1063"/>
      <c r="AG1286" s="1063"/>
      <c r="AH1286" s="1063"/>
      <c r="AI1286" s="1063"/>
      <c r="AJ1286" s="1063"/>
      <c r="AK1286" s="1063"/>
      <c r="AL1286" s="1063"/>
      <c r="AM1286" s="1063"/>
      <c r="AN1286" s="1063"/>
      <c r="AO1286" s="1063"/>
      <c r="AP1286" s="1063"/>
      <c r="AQ1286" s="1063"/>
      <c r="AR1286" s="1063"/>
      <c r="AS1286" s="1063"/>
      <c r="AT1286" s="1063"/>
      <c r="AU1286" s="1063"/>
      <c r="AV1286" s="1063"/>
    </row>
    <row r="1287" spans="1:48" s="1108" customFormat="1" ht="27.75" customHeight="1">
      <c r="A1287" s="1076"/>
      <c r="B1287" s="1074">
        <f>+'[18]Bldg+Dev'!S2099</f>
        <v>0</v>
      </c>
      <c r="D1287" s="1063"/>
      <c r="F1287" s="1076"/>
      <c r="G1287" s="1063"/>
      <c r="H1287" s="1063"/>
      <c r="I1287" s="1063"/>
      <c r="J1287" s="1063"/>
      <c r="K1287" s="1063"/>
      <c r="L1287" s="1063"/>
      <c r="M1287" s="1063"/>
      <c r="N1287" s="1063"/>
      <c r="O1287" s="1063"/>
      <c r="P1287" s="1063"/>
      <c r="Q1287" s="1063"/>
      <c r="R1287" s="1063"/>
      <c r="S1287" s="1063"/>
      <c r="T1287" s="1063"/>
      <c r="U1287" s="1063"/>
      <c r="V1287" s="1063"/>
      <c r="W1287" s="1063"/>
      <c r="X1287" s="1063"/>
      <c r="Y1287" s="1063"/>
      <c r="Z1287" s="1063"/>
      <c r="AA1287" s="1063"/>
      <c r="AB1287" s="1063"/>
      <c r="AC1287" s="1063"/>
      <c r="AD1287" s="1063"/>
      <c r="AE1287" s="1063"/>
      <c r="AF1287" s="1063"/>
      <c r="AG1287" s="1063"/>
      <c r="AH1287" s="1063"/>
      <c r="AI1287" s="1063"/>
      <c r="AJ1287" s="1063"/>
      <c r="AK1287" s="1063"/>
      <c r="AL1287" s="1063"/>
      <c r="AM1287" s="1063"/>
      <c r="AN1287" s="1063"/>
      <c r="AO1287" s="1063"/>
      <c r="AP1287" s="1063"/>
      <c r="AQ1287" s="1063"/>
      <c r="AR1287" s="1063"/>
      <c r="AS1287" s="1063"/>
      <c r="AT1287" s="1063"/>
      <c r="AU1287" s="1063"/>
      <c r="AV1287" s="1063"/>
    </row>
    <row r="1288" spans="1:48" s="1108" customFormat="1" ht="27.75" customHeight="1">
      <c r="A1288" s="1076"/>
      <c r="B1288" s="1074">
        <f>+'[18]Bldg+Dev'!S2100</f>
        <v>0</v>
      </c>
      <c r="D1288" s="1063"/>
      <c r="F1288" s="1076"/>
      <c r="G1288" s="1063"/>
      <c r="H1288" s="1063"/>
      <c r="I1288" s="1063"/>
      <c r="J1288" s="1063"/>
      <c r="K1288" s="1063"/>
      <c r="L1288" s="1063"/>
      <c r="M1288" s="1063"/>
      <c r="N1288" s="1063"/>
      <c r="O1288" s="1063"/>
      <c r="P1288" s="1063"/>
      <c r="Q1288" s="1063"/>
      <c r="R1288" s="1063"/>
      <c r="S1288" s="1063"/>
      <c r="T1288" s="1063"/>
      <c r="U1288" s="1063"/>
      <c r="V1288" s="1063"/>
      <c r="W1288" s="1063"/>
      <c r="X1288" s="1063"/>
      <c r="Y1288" s="1063"/>
      <c r="Z1288" s="1063"/>
      <c r="AA1288" s="1063"/>
      <c r="AB1288" s="1063"/>
      <c r="AC1288" s="1063"/>
      <c r="AD1288" s="1063"/>
      <c r="AE1288" s="1063"/>
      <c r="AF1288" s="1063"/>
      <c r="AG1288" s="1063"/>
      <c r="AH1288" s="1063"/>
      <c r="AI1288" s="1063"/>
      <c r="AJ1288" s="1063"/>
      <c r="AK1288" s="1063"/>
      <c r="AL1288" s="1063"/>
      <c r="AM1288" s="1063"/>
      <c r="AN1288" s="1063"/>
      <c r="AO1288" s="1063"/>
      <c r="AP1288" s="1063"/>
      <c r="AQ1288" s="1063"/>
      <c r="AR1288" s="1063"/>
      <c r="AS1288" s="1063"/>
      <c r="AT1288" s="1063"/>
      <c r="AU1288" s="1063"/>
      <c r="AV1288" s="1063"/>
    </row>
    <row r="1289" spans="1:48" s="1108" customFormat="1" ht="27.75" customHeight="1">
      <c r="A1289" s="1076"/>
      <c r="B1289" s="1074">
        <f>+'[18]Bldg+Dev'!S2101</f>
        <v>0</v>
      </c>
      <c r="D1289" s="1063"/>
      <c r="F1289" s="1076"/>
      <c r="G1289" s="1063"/>
      <c r="H1289" s="1063"/>
      <c r="I1289" s="1063"/>
      <c r="J1289" s="1063"/>
      <c r="K1289" s="1063"/>
      <c r="L1289" s="1063"/>
      <c r="M1289" s="1063"/>
      <c r="N1289" s="1063"/>
      <c r="O1289" s="1063"/>
      <c r="P1289" s="1063"/>
      <c r="Q1289" s="1063"/>
      <c r="R1289" s="1063"/>
      <c r="S1289" s="1063"/>
      <c r="T1289" s="1063"/>
      <c r="U1289" s="1063"/>
      <c r="V1289" s="1063"/>
      <c r="W1289" s="1063"/>
      <c r="X1289" s="1063"/>
      <c r="Y1289" s="1063"/>
      <c r="Z1289" s="1063"/>
      <c r="AA1289" s="1063"/>
      <c r="AB1289" s="1063"/>
      <c r="AC1289" s="1063"/>
      <c r="AD1289" s="1063"/>
      <c r="AE1289" s="1063"/>
      <c r="AF1289" s="1063"/>
      <c r="AG1289" s="1063"/>
      <c r="AH1289" s="1063"/>
      <c r="AI1289" s="1063"/>
      <c r="AJ1289" s="1063"/>
      <c r="AK1289" s="1063"/>
      <c r="AL1289" s="1063"/>
      <c r="AM1289" s="1063"/>
      <c r="AN1289" s="1063"/>
      <c r="AO1289" s="1063"/>
      <c r="AP1289" s="1063"/>
      <c r="AQ1289" s="1063"/>
      <c r="AR1289" s="1063"/>
      <c r="AS1289" s="1063"/>
      <c r="AT1289" s="1063"/>
      <c r="AU1289" s="1063"/>
      <c r="AV1289" s="1063"/>
    </row>
    <row r="1290" spans="1:48" s="1108" customFormat="1" ht="27.75" customHeight="1">
      <c r="A1290" s="1076"/>
      <c r="B1290" s="1074">
        <f>+'[18]Bldg+Dev'!S2102</f>
        <v>0</v>
      </c>
      <c r="D1290" s="1063"/>
      <c r="F1290" s="1076"/>
      <c r="G1290" s="1063"/>
      <c r="H1290" s="1063"/>
      <c r="I1290" s="1063"/>
      <c r="J1290" s="1063"/>
      <c r="K1290" s="1063"/>
      <c r="L1290" s="1063"/>
      <c r="M1290" s="1063"/>
      <c r="N1290" s="1063"/>
      <c r="O1290" s="1063"/>
      <c r="P1290" s="1063"/>
      <c r="Q1290" s="1063"/>
      <c r="R1290" s="1063"/>
      <c r="S1290" s="1063"/>
      <c r="T1290" s="1063"/>
      <c r="U1290" s="1063"/>
      <c r="V1290" s="1063"/>
      <c r="W1290" s="1063"/>
      <c r="X1290" s="1063"/>
      <c r="Y1290" s="1063"/>
      <c r="Z1290" s="1063"/>
      <c r="AA1290" s="1063"/>
      <c r="AB1290" s="1063"/>
      <c r="AC1290" s="1063"/>
      <c r="AD1290" s="1063"/>
      <c r="AE1290" s="1063"/>
      <c r="AF1290" s="1063"/>
      <c r="AG1290" s="1063"/>
      <c r="AH1290" s="1063"/>
      <c r="AI1290" s="1063"/>
      <c r="AJ1290" s="1063"/>
      <c r="AK1290" s="1063"/>
      <c r="AL1290" s="1063"/>
      <c r="AM1290" s="1063"/>
      <c r="AN1290" s="1063"/>
      <c r="AO1290" s="1063"/>
      <c r="AP1290" s="1063"/>
      <c r="AQ1290" s="1063"/>
      <c r="AR1290" s="1063"/>
      <c r="AS1290" s="1063"/>
      <c r="AT1290" s="1063"/>
      <c r="AU1290" s="1063"/>
      <c r="AV1290" s="1063"/>
    </row>
    <row r="1291" spans="1:48" s="1108" customFormat="1" ht="27.75" customHeight="1">
      <c r="A1291" s="1076"/>
      <c r="B1291" s="1074">
        <f>+'[18]Bldg+Dev'!S2103</f>
        <v>0</v>
      </c>
      <c r="D1291" s="1063"/>
      <c r="F1291" s="1076"/>
      <c r="G1291" s="1063"/>
      <c r="H1291" s="1063"/>
      <c r="I1291" s="1063"/>
      <c r="J1291" s="1063"/>
      <c r="K1291" s="1063"/>
      <c r="L1291" s="1063"/>
      <c r="M1291" s="1063"/>
      <c r="N1291" s="1063"/>
      <c r="O1291" s="1063"/>
      <c r="P1291" s="1063"/>
      <c r="Q1291" s="1063"/>
      <c r="R1291" s="1063"/>
      <c r="S1291" s="1063"/>
      <c r="T1291" s="1063"/>
      <c r="U1291" s="1063"/>
      <c r="V1291" s="1063"/>
      <c r="W1291" s="1063"/>
      <c r="X1291" s="1063"/>
      <c r="Y1291" s="1063"/>
      <c r="Z1291" s="1063"/>
      <c r="AA1291" s="1063"/>
      <c r="AB1291" s="1063"/>
      <c r="AC1291" s="1063"/>
      <c r="AD1291" s="1063"/>
      <c r="AE1291" s="1063"/>
      <c r="AF1291" s="1063"/>
      <c r="AG1291" s="1063"/>
      <c r="AH1291" s="1063"/>
      <c r="AI1291" s="1063"/>
      <c r="AJ1291" s="1063"/>
      <c r="AK1291" s="1063"/>
      <c r="AL1291" s="1063"/>
      <c r="AM1291" s="1063"/>
      <c r="AN1291" s="1063"/>
      <c r="AO1291" s="1063"/>
      <c r="AP1291" s="1063"/>
      <c r="AQ1291" s="1063"/>
      <c r="AR1291" s="1063"/>
      <c r="AS1291" s="1063"/>
      <c r="AT1291" s="1063"/>
      <c r="AU1291" s="1063"/>
      <c r="AV1291" s="1063"/>
    </row>
    <row r="1292" spans="1:48" s="1108" customFormat="1" ht="27.75" customHeight="1">
      <c r="A1292" s="1076"/>
      <c r="B1292" s="1074">
        <f>+'[18]Bldg+Dev'!S2104</f>
        <v>0</v>
      </c>
      <c r="D1292" s="1063"/>
      <c r="F1292" s="1076"/>
      <c r="G1292" s="1063"/>
      <c r="H1292" s="1063"/>
      <c r="I1292" s="1063"/>
      <c r="J1292" s="1063"/>
      <c r="K1292" s="1063"/>
      <c r="L1292" s="1063"/>
      <c r="M1292" s="1063"/>
      <c r="N1292" s="1063"/>
      <c r="O1292" s="1063"/>
      <c r="P1292" s="1063"/>
      <c r="Q1292" s="1063"/>
      <c r="R1292" s="1063"/>
      <c r="S1292" s="1063"/>
      <c r="T1292" s="1063"/>
      <c r="U1292" s="1063"/>
      <c r="V1292" s="1063"/>
      <c r="W1292" s="1063"/>
      <c r="X1292" s="1063"/>
      <c r="Y1292" s="1063"/>
      <c r="Z1292" s="1063"/>
      <c r="AA1292" s="1063"/>
      <c r="AB1292" s="1063"/>
      <c r="AC1292" s="1063"/>
      <c r="AD1292" s="1063"/>
      <c r="AE1292" s="1063"/>
      <c r="AF1292" s="1063"/>
      <c r="AG1292" s="1063"/>
      <c r="AH1292" s="1063"/>
      <c r="AI1292" s="1063"/>
      <c r="AJ1292" s="1063"/>
      <c r="AK1292" s="1063"/>
      <c r="AL1292" s="1063"/>
      <c r="AM1292" s="1063"/>
      <c r="AN1292" s="1063"/>
      <c r="AO1292" s="1063"/>
      <c r="AP1292" s="1063"/>
      <c r="AQ1292" s="1063"/>
      <c r="AR1292" s="1063"/>
      <c r="AS1292" s="1063"/>
      <c r="AT1292" s="1063"/>
      <c r="AU1292" s="1063"/>
      <c r="AV1292" s="1063"/>
    </row>
    <row r="1293" spans="1:48" s="1108" customFormat="1" ht="27.75" customHeight="1">
      <c r="A1293" s="1076"/>
      <c r="B1293" s="1074">
        <f>+'[18]Bldg+Dev'!S2105</f>
        <v>0</v>
      </c>
      <c r="D1293" s="1063"/>
      <c r="F1293" s="1076"/>
      <c r="G1293" s="1063"/>
      <c r="H1293" s="1063"/>
      <c r="I1293" s="1063"/>
      <c r="J1293" s="1063"/>
      <c r="K1293" s="1063"/>
      <c r="L1293" s="1063"/>
      <c r="M1293" s="1063"/>
      <c r="N1293" s="1063"/>
      <c r="O1293" s="1063"/>
      <c r="P1293" s="1063"/>
      <c r="Q1293" s="1063"/>
      <c r="R1293" s="1063"/>
      <c r="S1293" s="1063"/>
      <c r="T1293" s="1063"/>
      <c r="U1293" s="1063"/>
      <c r="V1293" s="1063"/>
      <c r="W1293" s="1063"/>
      <c r="X1293" s="1063"/>
      <c r="Y1293" s="1063"/>
      <c r="Z1293" s="1063"/>
      <c r="AA1293" s="1063"/>
      <c r="AB1293" s="1063"/>
      <c r="AC1293" s="1063"/>
      <c r="AD1293" s="1063"/>
      <c r="AE1293" s="1063"/>
      <c r="AF1293" s="1063"/>
      <c r="AG1293" s="1063"/>
      <c r="AH1293" s="1063"/>
      <c r="AI1293" s="1063"/>
      <c r="AJ1293" s="1063"/>
      <c r="AK1293" s="1063"/>
      <c r="AL1293" s="1063"/>
      <c r="AM1293" s="1063"/>
      <c r="AN1293" s="1063"/>
      <c r="AO1293" s="1063"/>
      <c r="AP1293" s="1063"/>
      <c r="AQ1293" s="1063"/>
      <c r="AR1293" s="1063"/>
      <c r="AS1293" s="1063"/>
      <c r="AT1293" s="1063"/>
      <c r="AU1293" s="1063"/>
      <c r="AV1293" s="1063"/>
    </row>
    <row r="1294" spans="1:48" s="1108" customFormat="1" ht="27.75" customHeight="1">
      <c r="A1294" s="1076"/>
      <c r="B1294" s="1074">
        <f>+'[18]Bldg+Dev'!S2106</f>
        <v>0</v>
      </c>
      <c r="D1294" s="1063"/>
      <c r="F1294" s="1076"/>
      <c r="G1294" s="1063"/>
      <c r="H1294" s="1063"/>
      <c r="I1294" s="1063"/>
      <c r="J1294" s="1063"/>
      <c r="K1294" s="1063"/>
      <c r="L1294" s="1063"/>
      <c r="M1294" s="1063"/>
      <c r="N1294" s="1063"/>
      <c r="O1294" s="1063"/>
      <c r="P1294" s="1063"/>
      <c r="Q1294" s="1063"/>
      <c r="R1294" s="1063"/>
      <c r="S1294" s="1063"/>
      <c r="T1294" s="1063"/>
      <c r="U1294" s="1063"/>
      <c r="V1294" s="1063"/>
      <c r="W1294" s="1063"/>
      <c r="X1294" s="1063"/>
      <c r="Y1294" s="1063"/>
      <c r="Z1294" s="1063"/>
      <c r="AA1294" s="1063"/>
      <c r="AB1294" s="1063"/>
      <c r="AC1294" s="1063"/>
      <c r="AD1294" s="1063"/>
      <c r="AE1294" s="1063"/>
      <c r="AF1294" s="1063"/>
      <c r="AG1294" s="1063"/>
      <c r="AH1294" s="1063"/>
      <c r="AI1294" s="1063"/>
      <c r="AJ1294" s="1063"/>
      <c r="AK1294" s="1063"/>
      <c r="AL1294" s="1063"/>
      <c r="AM1294" s="1063"/>
      <c r="AN1294" s="1063"/>
      <c r="AO1294" s="1063"/>
      <c r="AP1294" s="1063"/>
      <c r="AQ1294" s="1063"/>
      <c r="AR1294" s="1063"/>
      <c r="AS1294" s="1063"/>
      <c r="AT1294" s="1063"/>
      <c r="AU1294" s="1063"/>
      <c r="AV1294" s="1063"/>
    </row>
    <row r="1295" spans="1:48" s="1108" customFormat="1" ht="27.75" customHeight="1">
      <c r="A1295" s="1076"/>
      <c r="B1295" s="1074">
        <f>+'[18]Bldg+Dev'!S2107</f>
        <v>0</v>
      </c>
      <c r="D1295" s="1063"/>
      <c r="F1295" s="1076"/>
      <c r="G1295" s="1063"/>
      <c r="H1295" s="1063"/>
      <c r="I1295" s="1063"/>
      <c r="J1295" s="1063"/>
      <c r="K1295" s="1063"/>
      <c r="L1295" s="1063"/>
      <c r="M1295" s="1063"/>
      <c r="N1295" s="1063"/>
      <c r="O1295" s="1063"/>
      <c r="P1295" s="1063"/>
      <c r="Q1295" s="1063"/>
      <c r="R1295" s="1063"/>
      <c r="S1295" s="1063"/>
      <c r="T1295" s="1063"/>
      <c r="U1295" s="1063"/>
      <c r="V1295" s="1063"/>
      <c r="W1295" s="1063"/>
      <c r="X1295" s="1063"/>
      <c r="Y1295" s="1063"/>
      <c r="Z1295" s="1063"/>
      <c r="AA1295" s="1063"/>
      <c r="AB1295" s="1063"/>
      <c r="AC1295" s="1063"/>
      <c r="AD1295" s="1063"/>
      <c r="AE1295" s="1063"/>
      <c r="AF1295" s="1063"/>
      <c r="AG1295" s="1063"/>
      <c r="AH1295" s="1063"/>
      <c r="AI1295" s="1063"/>
      <c r="AJ1295" s="1063"/>
      <c r="AK1295" s="1063"/>
      <c r="AL1295" s="1063"/>
      <c r="AM1295" s="1063"/>
      <c r="AN1295" s="1063"/>
      <c r="AO1295" s="1063"/>
      <c r="AP1295" s="1063"/>
      <c r="AQ1295" s="1063"/>
      <c r="AR1295" s="1063"/>
      <c r="AS1295" s="1063"/>
      <c r="AT1295" s="1063"/>
      <c r="AU1295" s="1063"/>
      <c r="AV1295" s="1063"/>
    </row>
    <row r="1296" spans="1:48" s="1108" customFormat="1" ht="27.75" customHeight="1">
      <c r="A1296" s="1076"/>
      <c r="B1296" s="1074">
        <f>+'[18]Bldg+Dev'!S2108</f>
        <v>0</v>
      </c>
      <c r="D1296" s="1063"/>
      <c r="F1296" s="1076"/>
      <c r="G1296" s="1063"/>
      <c r="H1296" s="1063"/>
      <c r="I1296" s="1063"/>
      <c r="J1296" s="1063"/>
      <c r="K1296" s="1063"/>
      <c r="L1296" s="1063"/>
      <c r="M1296" s="1063"/>
      <c r="N1296" s="1063"/>
      <c r="O1296" s="1063"/>
      <c r="P1296" s="1063"/>
      <c r="Q1296" s="1063"/>
      <c r="R1296" s="1063"/>
      <c r="S1296" s="1063"/>
      <c r="T1296" s="1063"/>
      <c r="U1296" s="1063"/>
      <c r="V1296" s="1063"/>
      <c r="W1296" s="1063"/>
      <c r="X1296" s="1063"/>
      <c r="Y1296" s="1063"/>
      <c r="Z1296" s="1063"/>
      <c r="AA1296" s="1063"/>
      <c r="AB1296" s="1063"/>
      <c r="AC1296" s="1063"/>
      <c r="AD1296" s="1063"/>
      <c r="AE1296" s="1063"/>
      <c r="AF1296" s="1063"/>
      <c r="AG1296" s="1063"/>
      <c r="AH1296" s="1063"/>
      <c r="AI1296" s="1063"/>
      <c r="AJ1296" s="1063"/>
      <c r="AK1296" s="1063"/>
      <c r="AL1296" s="1063"/>
      <c r="AM1296" s="1063"/>
      <c r="AN1296" s="1063"/>
      <c r="AO1296" s="1063"/>
      <c r="AP1296" s="1063"/>
      <c r="AQ1296" s="1063"/>
      <c r="AR1296" s="1063"/>
      <c r="AS1296" s="1063"/>
      <c r="AT1296" s="1063"/>
      <c r="AU1296" s="1063"/>
      <c r="AV1296" s="1063"/>
    </row>
    <row r="1297" spans="1:48" s="1108" customFormat="1" ht="27.75" customHeight="1">
      <c r="A1297" s="1076"/>
      <c r="B1297" s="1074">
        <f>+'[18]Bldg+Dev'!S2109</f>
        <v>0</v>
      </c>
      <c r="D1297" s="1063"/>
      <c r="F1297" s="1076"/>
      <c r="G1297" s="1063"/>
      <c r="H1297" s="1063"/>
      <c r="I1297" s="1063"/>
      <c r="J1297" s="1063"/>
      <c r="K1297" s="1063"/>
      <c r="L1297" s="1063"/>
      <c r="M1297" s="1063"/>
      <c r="N1297" s="1063"/>
      <c r="O1297" s="1063"/>
      <c r="P1297" s="1063"/>
      <c r="Q1297" s="1063"/>
      <c r="R1297" s="1063"/>
      <c r="S1297" s="1063"/>
      <c r="T1297" s="1063"/>
      <c r="U1297" s="1063"/>
      <c r="V1297" s="1063"/>
      <c r="W1297" s="1063"/>
      <c r="X1297" s="1063"/>
      <c r="Y1297" s="1063"/>
      <c r="Z1297" s="1063"/>
      <c r="AA1297" s="1063"/>
      <c r="AB1297" s="1063"/>
      <c r="AC1297" s="1063"/>
      <c r="AD1297" s="1063"/>
      <c r="AE1297" s="1063"/>
      <c r="AF1297" s="1063"/>
      <c r="AG1297" s="1063"/>
      <c r="AH1297" s="1063"/>
      <c r="AI1297" s="1063"/>
      <c r="AJ1297" s="1063"/>
      <c r="AK1297" s="1063"/>
      <c r="AL1297" s="1063"/>
      <c r="AM1297" s="1063"/>
      <c r="AN1297" s="1063"/>
      <c r="AO1297" s="1063"/>
      <c r="AP1297" s="1063"/>
      <c r="AQ1297" s="1063"/>
      <c r="AR1297" s="1063"/>
      <c r="AS1297" s="1063"/>
      <c r="AT1297" s="1063"/>
      <c r="AU1297" s="1063"/>
      <c r="AV1297" s="1063"/>
    </row>
    <row r="1298" spans="1:48" s="1108" customFormat="1" ht="27.75" customHeight="1">
      <c r="A1298" s="1076"/>
      <c r="B1298" s="1074">
        <f>+'[18]Bldg+Dev'!S2110</f>
        <v>0</v>
      </c>
      <c r="D1298" s="1063"/>
      <c r="F1298" s="1076"/>
      <c r="G1298" s="1063"/>
      <c r="H1298" s="1063"/>
      <c r="I1298" s="1063"/>
      <c r="J1298" s="1063"/>
      <c r="K1298" s="1063"/>
      <c r="L1298" s="1063"/>
      <c r="M1298" s="1063"/>
      <c r="N1298" s="1063"/>
      <c r="O1298" s="1063"/>
      <c r="P1298" s="1063"/>
      <c r="Q1298" s="1063"/>
      <c r="R1298" s="1063"/>
      <c r="S1298" s="1063"/>
      <c r="T1298" s="1063"/>
      <c r="U1298" s="1063"/>
      <c r="V1298" s="1063"/>
      <c r="W1298" s="1063"/>
      <c r="X1298" s="1063"/>
      <c r="Y1298" s="1063"/>
      <c r="Z1298" s="1063"/>
      <c r="AA1298" s="1063"/>
      <c r="AB1298" s="1063"/>
      <c r="AC1298" s="1063"/>
      <c r="AD1298" s="1063"/>
      <c r="AE1298" s="1063"/>
      <c r="AF1298" s="1063"/>
      <c r="AG1298" s="1063"/>
      <c r="AH1298" s="1063"/>
      <c r="AI1298" s="1063"/>
      <c r="AJ1298" s="1063"/>
      <c r="AK1298" s="1063"/>
      <c r="AL1298" s="1063"/>
      <c r="AM1298" s="1063"/>
      <c r="AN1298" s="1063"/>
      <c r="AO1298" s="1063"/>
      <c r="AP1298" s="1063"/>
      <c r="AQ1298" s="1063"/>
      <c r="AR1298" s="1063"/>
      <c r="AS1298" s="1063"/>
      <c r="AT1298" s="1063"/>
      <c r="AU1298" s="1063"/>
      <c r="AV1298" s="1063"/>
    </row>
    <row r="1299" spans="1:48" s="1108" customFormat="1" ht="27.75" customHeight="1">
      <c r="A1299" s="1076"/>
      <c r="B1299" s="1074">
        <f>+'[18]Bldg+Dev'!S2111</f>
        <v>0</v>
      </c>
      <c r="D1299" s="1063"/>
      <c r="F1299" s="1076"/>
      <c r="G1299" s="1063"/>
      <c r="H1299" s="1063"/>
      <c r="I1299" s="1063"/>
      <c r="J1299" s="1063"/>
      <c r="K1299" s="1063"/>
      <c r="L1299" s="1063"/>
      <c r="M1299" s="1063"/>
      <c r="N1299" s="1063"/>
      <c r="O1299" s="1063"/>
      <c r="P1299" s="1063"/>
      <c r="Q1299" s="1063"/>
      <c r="R1299" s="1063"/>
      <c r="S1299" s="1063"/>
      <c r="T1299" s="1063"/>
      <c r="U1299" s="1063"/>
      <c r="V1299" s="1063"/>
      <c r="W1299" s="1063"/>
      <c r="X1299" s="1063"/>
      <c r="Y1299" s="1063"/>
      <c r="Z1299" s="1063"/>
      <c r="AA1299" s="1063"/>
      <c r="AB1299" s="1063"/>
      <c r="AC1299" s="1063"/>
      <c r="AD1299" s="1063"/>
      <c r="AE1299" s="1063"/>
      <c r="AF1299" s="1063"/>
      <c r="AG1299" s="1063"/>
      <c r="AH1299" s="1063"/>
      <c r="AI1299" s="1063"/>
      <c r="AJ1299" s="1063"/>
      <c r="AK1299" s="1063"/>
      <c r="AL1299" s="1063"/>
      <c r="AM1299" s="1063"/>
      <c r="AN1299" s="1063"/>
      <c r="AO1299" s="1063"/>
      <c r="AP1299" s="1063"/>
      <c r="AQ1299" s="1063"/>
      <c r="AR1299" s="1063"/>
      <c r="AS1299" s="1063"/>
      <c r="AT1299" s="1063"/>
      <c r="AU1299" s="1063"/>
      <c r="AV1299" s="1063"/>
    </row>
    <row r="1300" spans="1:48" s="1108" customFormat="1" ht="27.75" customHeight="1">
      <c r="A1300" s="1076"/>
      <c r="B1300" s="1074">
        <f>+'[18]Bldg+Dev'!S2112</f>
        <v>0</v>
      </c>
      <c r="D1300" s="1063"/>
      <c r="F1300" s="1076"/>
      <c r="G1300" s="1063"/>
      <c r="H1300" s="1063"/>
      <c r="I1300" s="1063"/>
      <c r="J1300" s="1063"/>
      <c r="K1300" s="1063"/>
      <c r="L1300" s="1063"/>
      <c r="M1300" s="1063"/>
      <c r="N1300" s="1063"/>
      <c r="O1300" s="1063"/>
      <c r="P1300" s="1063"/>
      <c r="Q1300" s="1063"/>
      <c r="R1300" s="1063"/>
      <c r="S1300" s="1063"/>
      <c r="T1300" s="1063"/>
      <c r="U1300" s="1063"/>
      <c r="V1300" s="1063"/>
      <c r="W1300" s="1063"/>
      <c r="X1300" s="1063"/>
      <c r="Y1300" s="1063"/>
      <c r="Z1300" s="1063"/>
      <c r="AA1300" s="1063"/>
      <c r="AB1300" s="1063"/>
      <c r="AC1300" s="1063"/>
      <c r="AD1300" s="1063"/>
      <c r="AE1300" s="1063"/>
      <c r="AF1300" s="1063"/>
      <c r="AG1300" s="1063"/>
      <c r="AH1300" s="1063"/>
      <c r="AI1300" s="1063"/>
      <c r="AJ1300" s="1063"/>
      <c r="AK1300" s="1063"/>
      <c r="AL1300" s="1063"/>
      <c r="AM1300" s="1063"/>
      <c r="AN1300" s="1063"/>
      <c r="AO1300" s="1063"/>
      <c r="AP1300" s="1063"/>
      <c r="AQ1300" s="1063"/>
      <c r="AR1300" s="1063"/>
      <c r="AS1300" s="1063"/>
      <c r="AT1300" s="1063"/>
      <c r="AU1300" s="1063"/>
      <c r="AV1300" s="1063"/>
    </row>
    <row r="1301" spans="1:48" s="1108" customFormat="1" ht="27.75" customHeight="1">
      <c r="A1301" s="1076"/>
      <c r="B1301" s="1074">
        <f>+'[18]Bldg+Dev'!S2113</f>
        <v>0</v>
      </c>
      <c r="D1301" s="1063"/>
      <c r="F1301" s="1076"/>
      <c r="G1301" s="1063"/>
      <c r="H1301" s="1063"/>
      <c r="I1301" s="1063"/>
      <c r="J1301" s="1063"/>
      <c r="K1301" s="1063"/>
      <c r="L1301" s="1063"/>
      <c r="M1301" s="1063"/>
      <c r="N1301" s="1063"/>
      <c r="O1301" s="1063"/>
      <c r="P1301" s="1063"/>
      <c r="Q1301" s="1063"/>
      <c r="R1301" s="1063"/>
      <c r="S1301" s="1063"/>
      <c r="T1301" s="1063"/>
      <c r="U1301" s="1063"/>
      <c r="V1301" s="1063"/>
      <c r="W1301" s="1063"/>
      <c r="X1301" s="1063"/>
      <c r="Y1301" s="1063"/>
      <c r="Z1301" s="1063"/>
      <c r="AA1301" s="1063"/>
      <c r="AB1301" s="1063"/>
      <c r="AC1301" s="1063"/>
      <c r="AD1301" s="1063"/>
      <c r="AE1301" s="1063"/>
      <c r="AF1301" s="1063"/>
      <c r="AG1301" s="1063"/>
      <c r="AH1301" s="1063"/>
      <c r="AI1301" s="1063"/>
      <c r="AJ1301" s="1063"/>
      <c r="AK1301" s="1063"/>
      <c r="AL1301" s="1063"/>
      <c r="AM1301" s="1063"/>
      <c r="AN1301" s="1063"/>
      <c r="AO1301" s="1063"/>
      <c r="AP1301" s="1063"/>
      <c r="AQ1301" s="1063"/>
      <c r="AR1301" s="1063"/>
      <c r="AS1301" s="1063"/>
      <c r="AT1301" s="1063"/>
      <c r="AU1301" s="1063"/>
      <c r="AV1301" s="1063"/>
    </row>
    <row r="1302" spans="1:48" s="1108" customFormat="1" ht="27.75" customHeight="1">
      <c r="A1302" s="1076"/>
      <c r="B1302" s="1074">
        <f>+'[18]Bldg+Dev'!S2114</f>
        <v>0</v>
      </c>
      <c r="D1302" s="1063"/>
      <c r="F1302" s="1076"/>
      <c r="G1302" s="1063"/>
      <c r="H1302" s="1063"/>
      <c r="I1302" s="1063"/>
      <c r="J1302" s="1063"/>
      <c r="K1302" s="1063"/>
      <c r="L1302" s="1063"/>
      <c r="M1302" s="1063"/>
      <c r="N1302" s="1063"/>
      <c r="O1302" s="1063"/>
      <c r="P1302" s="1063"/>
      <c r="Q1302" s="1063"/>
      <c r="R1302" s="1063"/>
      <c r="S1302" s="1063"/>
      <c r="T1302" s="1063"/>
      <c r="U1302" s="1063"/>
      <c r="V1302" s="1063"/>
      <c r="W1302" s="1063"/>
      <c r="X1302" s="1063"/>
      <c r="Y1302" s="1063"/>
      <c r="Z1302" s="1063"/>
      <c r="AA1302" s="1063"/>
      <c r="AB1302" s="1063"/>
      <c r="AC1302" s="1063"/>
      <c r="AD1302" s="1063"/>
      <c r="AE1302" s="1063"/>
      <c r="AF1302" s="1063"/>
      <c r="AG1302" s="1063"/>
      <c r="AH1302" s="1063"/>
      <c r="AI1302" s="1063"/>
      <c r="AJ1302" s="1063"/>
      <c r="AK1302" s="1063"/>
      <c r="AL1302" s="1063"/>
      <c r="AM1302" s="1063"/>
      <c r="AN1302" s="1063"/>
      <c r="AO1302" s="1063"/>
      <c r="AP1302" s="1063"/>
      <c r="AQ1302" s="1063"/>
      <c r="AR1302" s="1063"/>
      <c r="AS1302" s="1063"/>
      <c r="AT1302" s="1063"/>
      <c r="AU1302" s="1063"/>
      <c r="AV1302" s="1063"/>
    </row>
    <row r="1303" spans="1:48" s="1108" customFormat="1" ht="27.75" customHeight="1">
      <c r="A1303" s="1076"/>
      <c r="B1303" s="1074">
        <f>+'[18]Bldg+Dev'!S2115</f>
        <v>0</v>
      </c>
      <c r="D1303" s="1063"/>
      <c r="F1303" s="1076"/>
      <c r="G1303" s="1063"/>
      <c r="H1303" s="1063"/>
      <c r="I1303" s="1063"/>
      <c r="J1303" s="1063"/>
      <c r="K1303" s="1063"/>
      <c r="L1303" s="1063"/>
      <c r="M1303" s="1063"/>
      <c r="N1303" s="1063"/>
      <c r="O1303" s="1063"/>
      <c r="P1303" s="1063"/>
      <c r="Q1303" s="1063"/>
      <c r="R1303" s="1063"/>
      <c r="S1303" s="1063"/>
      <c r="T1303" s="1063"/>
      <c r="U1303" s="1063"/>
      <c r="V1303" s="1063"/>
      <c r="W1303" s="1063"/>
      <c r="X1303" s="1063"/>
      <c r="Y1303" s="1063"/>
      <c r="Z1303" s="1063"/>
      <c r="AA1303" s="1063"/>
      <c r="AB1303" s="1063"/>
      <c r="AC1303" s="1063"/>
      <c r="AD1303" s="1063"/>
      <c r="AE1303" s="1063"/>
      <c r="AF1303" s="1063"/>
      <c r="AG1303" s="1063"/>
      <c r="AH1303" s="1063"/>
      <c r="AI1303" s="1063"/>
      <c r="AJ1303" s="1063"/>
      <c r="AK1303" s="1063"/>
      <c r="AL1303" s="1063"/>
      <c r="AM1303" s="1063"/>
      <c r="AN1303" s="1063"/>
      <c r="AO1303" s="1063"/>
      <c r="AP1303" s="1063"/>
      <c r="AQ1303" s="1063"/>
      <c r="AR1303" s="1063"/>
      <c r="AS1303" s="1063"/>
      <c r="AT1303" s="1063"/>
      <c r="AU1303" s="1063"/>
      <c r="AV1303" s="1063"/>
    </row>
    <row r="1304" spans="1:48" s="1108" customFormat="1" ht="27.75" customHeight="1">
      <c r="A1304" s="1076"/>
      <c r="B1304" s="1074">
        <f>+'[18]Bldg+Dev'!S2116</f>
        <v>0</v>
      </c>
      <c r="D1304" s="1063"/>
      <c r="F1304" s="1076"/>
      <c r="G1304" s="1063"/>
      <c r="H1304" s="1063"/>
      <c r="I1304" s="1063"/>
      <c r="J1304" s="1063"/>
      <c r="K1304" s="1063"/>
      <c r="L1304" s="1063"/>
      <c r="M1304" s="1063"/>
      <c r="N1304" s="1063"/>
      <c r="O1304" s="1063"/>
      <c r="P1304" s="1063"/>
      <c r="Q1304" s="1063"/>
      <c r="R1304" s="1063"/>
      <c r="S1304" s="1063"/>
      <c r="T1304" s="1063"/>
      <c r="U1304" s="1063"/>
      <c r="V1304" s="1063"/>
      <c r="W1304" s="1063"/>
      <c r="X1304" s="1063"/>
      <c r="Y1304" s="1063"/>
      <c r="Z1304" s="1063"/>
      <c r="AA1304" s="1063"/>
      <c r="AB1304" s="1063"/>
      <c r="AC1304" s="1063"/>
      <c r="AD1304" s="1063"/>
      <c r="AE1304" s="1063"/>
      <c r="AF1304" s="1063"/>
      <c r="AG1304" s="1063"/>
      <c r="AH1304" s="1063"/>
      <c r="AI1304" s="1063"/>
      <c r="AJ1304" s="1063"/>
      <c r="AK1304" s="1063"/>
      <c r="AL1304" s="1063"/>
      <c r="AM1304" s="1063"/>
      <c r="AN1304" s="1063"/>
      <c r="AO1304" s="1063"/>
      <c r="AP1304" s="1063"/>
      <c r="AQ1304" s="1063"/>
      <c r="AR1304" s="1063"/>
      <c r="AS1304" s="1063"/>
      <c r="AT1304" s="1063"/>
      <c r="AU1304" s="1063"/>
      <c r="AV1304" s="1063"/>
    </row>
    <row r="1305" spans="1:48" s="1108" customFormat="1" ht="27.75" customHeight="1">
      <c r="A1305" s="1076"/>
      <c r="B1305" s="1074">
        <f>+'[18]Bldg+Dev'!S2117</f>
        <v>0</v>
      </c>
      <c r="D1305" s="1063"/>
      <c r="F1305" s="1076"/>
      <c r="G1305" s="1063"/>
      <c r="H1305" s="1063"/>
      <c r="I1305" s="1063"/>
      <c r="J1305" s="1063"/>
      <c r="K1305" s="1063"/>
      <c r="L1305" s="1063"/>
      <c r="M1305" s="1063"/>
      <c r="N1305" s="1063"/>
      <c r="O1305" s="1063"/>
      <c r="P1305" s="1063"/>
      <c r="Q1305" s="1063"/>
      <c r="R1305" s="1063"/>
      <c r="S1305" s="1063"/>
      <c r="T1305" s="1063"/>
      <c r="U1305" s="1063"/>
      <c r="V1305" s="1063"/>
      <c r="W1305" s="1063"/>
      <c r="X1305" s="1063"/>
      <c r="Y1305" s="1063"/>
      <c r="Z1305" s="1063"/>
      <c r="AA1305" s="1063"/>
      <c r="AB1305" s="1063"/>
      <c r="AC1305" s="1063"/>
      <c r="AD1305" s="1063"/>
      <c r="AE1305" s="1063"/>
      <c r="AF1305" s="1063"/>
      <c r="AG1305" s="1063"/>
      <c r="AH1305" s="1063"/>
      <c r="AI1305" s="1063"/>
      <c r="AJ1305" s="1063"/>
      <c r="AK1305" s="1063"/>
      <c r="AL1305" s="1063"/>
      <c r="AM1305" s="1063"/>
      <c r="AN1305" s="1063"/>
      <c r="AO1305" s="1063"/>
      <c r="AP1305" s="1063"/>
      <c r="AQ1305" s="1063"/>
      <c r="AR1305" s="1063"/>
      <c r="AS1305" s="1063"/>
      <c r="AT1305" s="1063"/>
      <c r="AU1305" s="1063"/>
      <c r="AV1305" s="1063"/>
    </row>
    <row r="1306" spans="1:48" s="1108" customFormat="1" ht="27.75" customHeight="1">
      <c r="A1306" s="1076"/>
      <c r="B1306" s="1074">
        <f>+'[18]Bldg+Dev'!S2118</f>
        <v>0</v>
      </c>
      <c r="D1306" s="1063"/>
      <c r="F1306" s="1076"/>
      <c r="G1306" s="1063"/>
      <c r="H1306" s="1063"/>
      <c r="I1306" s="1063"/>
      <c r="J1306" s="1063"/>
      <c r="K1306" s="1063"/>
      <c r="L1306" s="1063"/>
      <c r="M1306" s="1063"/>
      <c r="N1306" s="1063"/>
      <c r="O1306" s="1063"/>
      <c r="P1306" s="1063"/>
      <c r="Q1306" s="1063"/>
      <c r="R1306" s="1063"/>
      <c r="S1306" s="1063"/>
      <c r="T1306" s="1063"/>
      <c r="U1306" s="1063"/>
      <c r="V1306" s="1063"/>
      <c r="W1306" s="1063"/>
      <c r="X1306" s="1063"/>
      <c r="Y1306" s="1063"/>
      <c r="Z1306" s="1063"/>
      <c r="AA1306" s="1063"/>
      <c r="AB1306" s="1063"/>
      <c r="AC1306" s="1063"/>
      <c r="AD1306" s="1063"/>
      <c r="AE1306" s="1063"/>
      <c r="AF1306" s="1063"/>
      <c r="AG1306" s="1063"/>
      <c r="AH1306" s="1063"/>
      <c r="AI1306" s="1063"/>
      <c r="AJ1306" s="1063"/>
      <c r="AK1306" s="1063"/>
      <c r="AL1306" s="1063"/>
      <c r="AM1306" s="1063"/>
      <c r="AN1306" s="1063"/>
      <c r="AO1306" s="1063"/>
      <c r="AP1306" s="1063"/>
      <c r="AQ1306" s="1063"/>
      <c r="AR1306" s="1063"/>
      <c r="AS1306" s="1063"/>
      <c r="AT1306" s="1063"/>
      <c r="AU1306" s="1063"/>
      <c r="AV1306" s="1063"/>
    </row>
    <row r="1307" spans="1:48" s="1108" customFormat="1" ht="27.75" customHeight="1">
      <c r="A1307" s="1076"/>
      <c r="B1307" s="1074">
        <f>+'[18]Bldg+Dev'!S2119</f>
        <v>0</v>
      </c>
      <c r="D1307" s="1063"/>
      <c r="F1307" s="1076"/>
      <c r="G1307" s="1063"/>
      <c r="H1307" s="1063"/>
      <c r="I1307" s="1063"/>
      <c r="J1307" s="1063"/>
      <c r="K1307" s="1063"/>
      <c r="L1307" s="1063"/>
      <c r="M1307" s="1063"/>
      <c r="N1307" s="1063"/>
      <c r="O1307" s="1063"/>
      <c r="P1307" s="1063"/>
      <c r="Q1307" s="1063"/>
      <c r="R1307" s="1063"/>
      <c r="S1307" s="1063"/>
      <c r="T1307" s="1063"/>
      <c r="U1307" s="1063"/>
      <c r="V1307" s="1063"/>
      <c r="W1307" s="1063"/>
      <c r="X1307" s="1063"/>
      <c r="Y1307" s="1063"/>
      <c r="Z1307" s="1063"/>
      <c r="AA1307" s="1063"/>
      <c r="AB1307" s="1063"/>
      <c r="AC1307" s="1063"/>
      <c r="AD1307" s="1063"/>
      <c r="AE1307" s="1063"/>
      <c r="AF1307" s="1063"/>
      <c r="AG1307" s="1063"/>
      <c r="AH1307" s="1063"/>
      <c r="AI1307" s="1063"/>
      <c r="AJ1307" s="1063"/>
      <c r="AK1307" s="1063"/>
      <c r="AL1307" s="1063"/>
      <c r="AM1307" s="1063"/>
      <c r="AN1307" s="1063"/>
      <c r="AO1307" s="1063"/>
      <c r="AP1307" s="1063"/>
      <c r="AQ1307" s="1063"/>
      <c r="AR1307" s="1063"/>
      <c r="AS1307" s="1063"/>
      <c r="AT1307" s="1063"/>
      <c r="AU1307" s="1063"/>
      <c r="AV1307" s="1063"/>
    </row>
    <row r="1308" spans="1:48" s="1108" customFormat="1" ht="27.75" customHeight="1">
      <c r="A1308" s="1076"/>
      <c r="B1308" s="1074">
        <f>+'[18]Bldg+Dev'!S2120</f>
        <v>0</v>
      </c>
      <c r="D1308" s="1063"/>
      <c r="F1308" s="1076"/>
      <c r="G1308" s="1063"/>
      <c r="H1308" s="1063"/>
      <c r="I1308" s="1063"/>
      <c r="J1308" s="1063"/>
      <c r="K1308" s="1063"/>
      <c r="L1308" s="1063"/>
      <c r="M1308" s="1063"/>
      <c r="N1308" s="1063"/>
      <c r="O1308" s="1063"/>
      <c r="P1308" s="1063"/>
      <c r="Q1308" s="1063"/>
      <c r="R1308" s="1063"/>
      <c r="S1308" s="1063"/>
      <c r="T1308" s="1063"/>
      <c r="U1308" s="1063"/>
      <c r="V1308" s="1063"/>
      <c r="W1308" s="1063"/>
      <c r="X1308" s="1063"/>
      <c r="Y1308" s="1063"/>
      <c r="Z1308" s="1063"/>
      <c r="AA1308" s="1063"/>
      <c r="AB1308" s="1063"/>
      <c r="AC1308" s="1063"/>
      <c r="AD1308" s="1063"/>
      <c r="AE1308" s="1063"/>
      <c r="AF1308" s="1063"/>
      <c r="AG1308" s="1063"/>
      <c r="AH1308" s="1063"/>
      <c r="AI1308" s="1063"/>
      <c r="AJ1308" s="1063"/>
      <c r="AK1308" s="1063"/>
      <c r="AL1308" s="1063"/>
      <c r="AM1308" s="1063"/>
      <c r="AN1308" s="1063"/>
      <c r="AO1308" s="1063"/>
      <c r="AP1308" s="1063"/>
      <c r="AQ1308" s="1063"/>
      <c r="AR1308" s="1063"/>
      <c r="AS1308" s="1063"/>
      <c r="AT1308" s="1063"/>
      <c r="AU1308" s="1063"/>
      <c r="AV1308" s="1063"/>
    </row>
    <row r="1309" spans="1:48" s="1108" customFormat="1" ht="27.75" customHeight="1">
      <c r="A1309" s="1076"/>
      <c r="B1309" s="1074">
        <f>+'[18]Bldg+Dev'!S2121</f>
        <v>0</v>
      </c>
      <c r="D1309" s="1063"/>
      <c r="F1309" s="1076"/>
      <c r="G1309" s="1063"/>
      <c r="H1309" s="1063"/>
      <c r="I1309" s="1063"/>
      <c r="J1309" s="1063"/>
      <c r="K1309" s="1063"/>
      <c r="L1309" s="1063"/>
      <c r="M1309" s="1063"/>
      <c r="N1309" s="1063"/>
      <c r="O1309" s="1063"/>
      <c r="P1309" s="1063"/>
      <c r="Q1309" s="1063"/>
      <c r="R1309" s="1063"/>
      <c r="S1309" s="1063"/>
      <c r="T1309" s="1063"/>
      <c r="U1309" s="1063"/>
      <c r="V1309" s="1063"/>
      <c r="W1309" s="1063"/>
      <c r="X1309" s="1063"/>
      <c r="Y1309" s="1063"/>
      <c r="Z1309" s="1063"/>
      <c r="AA1309" s="1063"/>
      <c r="AB1309" s="1063"/>
      <c r="AC1309" s="1063"/>
      <c r="AD1309" s="1063"/>
      <c r="AE1309" s="1063"/>
      <c r="AF1309" s="1063"/>
      <c r="AG1309" s="1063"/>
      <c r="AH1309" s="1063"/>
      <c r="AI1309" s="1063"/>
      <c r="AJ1309" s="1063"/>
      <c r="AK1309" s="1063"/>
      <c r="AL1309" s="1063"/>
      <c r="AM1309" s="1063"/>
      <c r="AN1309" s="1063"/>
      <c r="AO1309" s="1063"/>
      <c r="AP1309" s="1063"/>
      <c r="AQ1309" s="1063"/>
      <c r="AR1309" s="1063"/>
      <c r="AS1309" s="1063"/>
      <c r="AT1309" s="1063"/>
      <c r="AU1309" s="1063"/>
      <c r="AV1309" s="1063"/>
    </row>
    <row r="1310" spans="1:48" s="1108" customFormat="1" ht="27.75" customHeight="1">
      <c r="A1310" s="1076"/>
      <c r="B1310" s="1074">
        <f>+'[18]Bldg+Dev'!S2122</f>
        <v>0</v>
      </c>
      <c r="D1310" s="1063"/>
      <c r="F1310" s="1076"/>
      <c r="G1310" s="1063"/>
      <c r="H1310" s="1063"/>
      <c r="I1310" s="1063"/>
      <c r="J1310" s="1063"/>
      <c r="K1310" s="1063"/>
      <c r="L1310" s="1063"/>
      <c r="M1310" s="1063"/>
      <c r="N1310" s="1063"/>
      <c r="O1310" s="1063"/>
      <c r="P1310" s="1063"/>
      <c r="Q1310" s="1063"/>
      <c r="R1310" s="1063"/>
      <c r="S1310" s="1063"/>
      <c r="T1310" s="1063"/>
      <c r="U1310" s="1063"/>
      <c r="V1310" s="1063"/>
      <c r="W1310" s="1063"/>
      <c r="X1310" s="1063"/>
      <c r="Y1310" s="1063"/>
      <c r="Z1310" s="1063"/>
      <c r="AA1310" s="1063"/>
      <c r="AB1310" s="1063"/>
      <c r="AC1310" s="1063"/>
      <c r="AD1310" s="1063"/>
      <c r="AE1310" s="1063"/>
      <c r="AF1310" s="1063"/>
      <c r="AG1310" s="1063"/>
      <c r="AH1310" s="1063"/>
      <c r="AI1310" s="1063"/>
      <c r="AJ1310" s="1063"/>
      <c r="AK1310" s="1063"/>
      <c r="AL1310" s="1063"/>
      <c r="AM1310" s="1063"/>
      <c r="AN1310" s="1063"/>
      <c r="AO1310" s="1063"/>
      <c r="AP1310" s="1063"/>
      <c r="AQ1310" s="1063"/>
      <c r="AR1310" s="1063"/>
      <c r="AS1310" s="1063"/>
      <c r="AT1310" s="1063"/>
      <c r="AU1310" s="1063"/>
      <c r="AV1310" s="1063"/>
    </row>
    <row r="1311" spans="1:48" s="1108" customFormat="1" ht="27.75" customHeight="1">
      <c r="A1311" s="1076"/>
      <c r="B1311" s="1074">
        <f>+'[18]Bldg+Dev'!S2123</f>
        <v>0</v>
      </c>
      <c r="D1311" s="1063"/>
      <c r="F1311" s="1076"/>
      <c r="G1311" s="1063"/>
      <c r="H1311" s="1063"/>
      <c r="I1311" s="1063"/>
      <c r="J1311" s="1063"/>
      <c r="K1311" s="1063"/>
      <c r="L1311" s="1063"/>
      <c r="M1311" s="1063"/>
      <c r="N1311" s="1063"/>
      <c r="O1311" s="1063"/>
      <c r="P1311" s="1063"/>
      <c r="Q1311" s="1063"/>
      <c r="R1311" s="1063"/>
      <c r="S1311" s="1063"/>
      <c r="T1311" s="1063"/>
      <c r="U1311" s="1063"/>
      <c r="V1311" s="1063"/>
      <c r="W1311" s="1063"/>
      <c r="X1311" s="1063"/>
      <c r="Y1311" s="1063"/>
      <c r="Z1311" s="1063"/>
      <c r="AA1311" s="1063"/>
      <c r="AB1311" s="1063"/>
      <c r="AC1311" s="1063"/>
      <c r="AD1311" s="1063"/>
      <c r="AE1311" s="1063"/>
      <c r="AF1311" s="1063"/>
      <c r="AG1311" s="1063"/>
      <c r="AH1311" s="1063"/>
      <c r="AI1311" s="1063"/>
      <c r="AJ1311" s="1063"/>
      <c r="AK1311" s="1063"/>
      <c r="AL1311" s="1063"/>
      <c r="AM1311" s="1063"/>
      <c r="AN1311" s="1063"/>
      <c r="AO1311" s="1063"/>
      <c r="AP1311" s="1063"/>
      <c r="AQ1311" s="1063"/>
      <c r="AR1311" s="1063"/>
      <c r="AS1311" s="1063"/>
      <c r="AT1311" s="1063"/>
      <c r="AU1311" s="1063"/>
      <c r="AV1311" s="1063"/>
    </row>
    <row r="1312" spans="1:48" s="1108" customFormat="1" ht="27.75" customHeight="1">
      <c r="A1312" s="1076"/>
      <c r="B1312" s="1074">
        <f>+'[18]Bldg+Dev'!S2124</f>
        <v>0</v>
      </c>
      <c r="D1312" s="1063"/>
      <c r="F1312" s="1076"/>
      <c r="G1312" s="1063"/>
      <c r="H1312" s="1063"/>
      <c r="I1312" s="1063"/>
      <c r="J1312" s="1063"/>
      <c r="K1312" s="1063"/>
      <c r="L1312" s="1063"/>
      <c r="M1312" s="1063"/>
      <c r="N1312" s="1063"/>
      <c r="O1312" s="1063"/>
      <c r="P1312" s="1063"/>
      <c r="Q1312" s="1063"/>
      <c r="R1312" s="1063"/>
      <c r="S1312" s="1063"/>
      <c r="T1312" s="1063"/>
      <c r="U1312" s="1063"/>
      <c r="V1312" s="1063"/>
      <c r="W1312" s="1063"/>
      <c r="X1312" s="1063"/>
      <c r="Y1312" s="1063"/>
      <c r="Z1312" s="1063"/>
      <c r="AA1312" s="1063"/>
      <c r="AB1312" s="1063"/>
      <c r="AC1312" s="1063"/>
      <c r="AD1312" s="1063"/>
      <c r="AE1312" s="1063"/>
      <c r="AF1312" s="1063"/>
      <c r="AG1312" s="1063"/>
      <c r="AH1312" s="1063"/>
      <c r="AI1312" s="1063"/>
      <c r="AJ1312" s="1063"/>
      <c r="AK1312" s="1063"/>
      <c r="AL1312" s="1063"/>
      <c r="AM1312" s="1063"/>
      <c r="AN1312" s="1063"/>
      <c r="AO1312" s="1063"/>
      <c r="AP1312" s="1063"/>
      <c r="AQ1312" s="1063"/>
      <c r="AR1312" s="1063"/>
      <c r="AS1312" s="1063"/>
      <c r="AT1312" s="1063"/>
      <c r="AU1312" s="1063"/>
      <c r="AV1312" s="1063"/>
    </row>
    <row r="1313" spans="1:48" s="1108" customFormat="1" ht="27.75" customHeight="1">
      <c r="A1313" s="1076"/>
      <c r="B1313" s="1074">
        <f>+'[18]Bldg+Dev'!S2125</f>
        <v>0</v>
      </c>
      <c r="D1313" s="1063"/>
      <c r="F1313" s="1076"/>
      <c r="G1313" s="1063"/>
      <c r="H1313" s="1063"/>
      <c r="I1313" s="1063"/>
      <c r="J1313" s="1063"/>
      <c r="K1313" s="1063"/>
      <c r="L1313" s="1063"/>
      <c r="M1313" s="1063"/>
      <c r="N1313" s="1063"/>
      <c r="O1313" s="1063"/>
      <c r="P1313" s="1063"/>
      <c r="Q1313" s="1063"/>
      <c r="R1313" s="1063"/>
      <c r="S1313" s="1063"/>
      <c r="T1313" s="1063"/>
      <c r="U1313" s="1063"/>
      <c r="V1313" s="1063"/>
      <c r="W1313" s="1063"/>
      <c r="X1313" s="1063"/>
      <c r="Y1313" s="1063"/>
      <c r="Z1313" s="1063"/>
      <c r="AA1313" s="1063"/>
      <c r="AB1313" s="1063"/>
      <c r="AC1313" s="1063"/>
      <c r="AD1313" s="1063"/>
      <c r="AE1313" s="1063"/>
      <c r="AF1313" s="1063"/>
      <c r="AG1313" s="1063"/>
      <c r="AH1313" s="1063"/>
      <c r="AI1313" s="1063"/>
      <c r="AJ1313" s="1063"/>
      <c r="AK1313" s="1063"/>
      <c r="AL1313" s="1063"/>
      <c r="AM1313" s="1063"/>
      <c r="AN1313" s="1063"/>
      <c r="AO1313" s="1063"/>
      <c r="AP1313" s="1063"/>
      <c r="AQ1313" s="1063"/>
      <c r="AR1313" s="1063"/>
      <c r="AS1313" s="1063"/>
      <c r="AT1313" s="1063"/>
      <c r="AU1313" s="1063"/>
      <c r="AV1313" s="1063"/>
    </row>
    <row r="1314" spans="1:48" s="1108" customFormat="1" ht="27.75" customHeight="1">
      <c r="A1314" s="1076"/>
      <c r="B1314" s="1074">
        <f>+'[18]Bldg+Dev'!S2126</f>
        <v>0</v>
      </c>
      <c r="D1314" s="1063"/>
      <c r="F1314" s="1076"/>
      <c r="G1314" s="1063"/>
      <c r="H1314" s="1063"/>
      <c r="I1314" s="1063"/>
      <c r="J1314" s="1063"/>
      <c r="K1314" s="1063"/>
      <c r="L1314" s="1063"/>
      <c r="M1314" s="1063"/>
      <c r="N1314" s="1063"/>
      <c r="O1314" s="1063"/>
      <c r="P1314" s="1063"/>
      <c r="Q1314" s="1063"/>
      <c r="R1314" s="1063"/>
      <c r="S1314" s="1063"/>
      <c r="T1314" s="1063"/>
      <c r="U1314" s="1063"/>
      <c r="V1314" s="1063"/>
      <c r="W1314" s="1063"/>
      <c r="X1314" s="1063"/>
      <c r="Y1314" s="1063"/>
      <c r="Z1314" s="1063"/>
      <c r="AA1314" s="1063"/>
      <c r="AB1314" s="1063"/>
      <c r="AC1314" s="1063"/>
      <c r="AD1314" s="1063"/>
      <c r="AE1314" s="1063"/>
      <c r="AF1314" s="1063"/>
      <c r="AG1314" s="1063"/>
      <c r="AH1314" s="1063"/>
      <c r="AI1314" s="1063"/>
      <c r="AJ1314" s="1063"/>
      <c r="AK1314" s="1063"/>
      <c r="AL1314" s="1063"/>
      <c r="AM1314" s="1063"/>
      <c r="AN1314" s="1063"/>
      <c r="AO1314" s="1063"/>
      <c r="AP1314" s="1063"/>
      <c r="AQ1314" s="1063"/>
      <c r="AR1314" s="1063"/>
      <c r="AS1314" s="1063"/>
      <c r="AT1314" s="1063"/>
      <c r="AU1314" s="1063"/>
      <c r="AV1314" s="1063"/>
    </row>
    <row r="1315" spans="1:48" s="1108" customFormat="1" ht="27.75" customHeight="1">
      <c r="A1315" s="1076"/>
      <c r="B1315" s="1074">
        <f>+'[18]Bldg+Dev'!S2127</f>
        <v>0</v>
      </c>
      <c r="D1315" s="1063"/>
      <c r="F1315" s="1076"/>
      <c r="G1315" s="1063"/>
      <c r="H1315" s="1063"/>
      <c r="I1315" s="1063"/>
      <c r="J1315" s="1063"/>
      <c r="K1315" s="1063"/>
      <c r="L1315" s="1063"/>
      <c r="M1315" s="1063"/>
      <c r="N1315" s="1063"/>
      <c r="O1315" s="1063"/>
      <c r="P1315" s="1063"/>
      <c r="Q1315" s="1063"/>
      <c r="R1315" s="1063"/>
      <c r="S1315" s="1063"/>
      <c r="T1315" s="1063"/>
      <c r="U1315" s="1063"/>
      <c r="V1315" s="1063"/>
      <c r="W1315" s="1063"/>
      <c r="X1315" s="1063"/>
      <c r="Y1315" s="1063"/>
      <c r="Z1315" s="1063"/>
      <c r="AA1315" s="1063"/>
      <c r="AB1315" s="1063"/>
      <c r="AC1315" s="1063"/>
      <c r="AD1315" s="1063"/>
      <c r="AE1315" s="1063"/>
      <c r="AF1315" s="1063"/>
      <c r="AG1315" s="1063"/>
      <c r="AH1315" s="1063"/>
      <c r="AI1315" s="1063"/>
      <c r="AJ1315" s="1063"/>
      <c r="AK1315" s="1063"/>
      <c r="AL1315" s="1063"/>
      <c r="AM1315" s="1063"/>
      <c r="AN1315" s="1063"/>
      <c r="AO1315" s="1063"/>
      <c r="AP1315" s="1063"/>
      <c r="AQ1315" s="1063"/>
      <c r="AR1315" s="1063"/>
      <c r="AS1315" s="1063"/>
      <c r="AT1315" s="1063"/>
      <c r="AU1315" s="1063"/>
      <c r="AV1315" s="1063"/>
    </row>
    <row r="1316" spans="1:48" s="1108" customFormat="1" ht="27.75" customHeight="1">
      <c r="A1316" s="1076"/>
      <c r="B1316" s="1074">
        <f>+'[18]Bldg+Dev'!S2128</f>
        <v>0</v>
      </c>
      <c r="D1316" s="1063"/>
      <c r="F1316" s="1076"/>
      <c r="G1316" s="1063"/>
      <c r="H1316" s="1063"/>
      <c r="I1316" s="1063"/>
      <c r="J1316" s="1063"/>
      <c r="K1316" s="1063"/>
      <c r="L1316" s="1063"/>
      <c r="M1316" s="1063"/>
      <c r="N1316" s="1063"/>
      <c r="O1316" s="1063"/>
      <c r="P1316" s="1063"/>
      <c r="Q1316" s="1063"/>
      <c r="R1316" s="1063"/>
      <c r="S1316" s="1063"/>
      <c r="T1316" s="1063"/>
      <c r="U1316" s="1063"/>
      <c r="V1316" s="1063"/>
      <c r="W1316" s="1063"/>
      <c r="X1316" s="1063"/>
      <c r="Y1316" s="1063"/>
      <c r="Z1316" s="1063"/>
      <c r="AA1316" s="1063"/>
      <c r="AB1316" s="1063"/>
      <c r="AC1316" s="1063"/>
      <c r="AD1316" s="1063"/>
      <c r="AE1316" s="1063"/>
      <c r="AF1316" s="1063"/>
      <c r="AG1316" s="1063"/>
      <c r="AH1316" s="1063"/>
      <c r="AI1316" s="1063"/>
      <c r="AJ1316" s="1063"/>
      <c r="AK1316" s="1063"/>
      <c r="AL1316" s="1063"/>
      <c r="AM1316" s="1063"/>
      <c r="AN1316" s="1063"/>
      <c r="AO1316" s="1063"/>
      <c r="AP1316" s="1063"/>
      <c r="AQ1316" s="1063"/>
      <c r="AR1316" s="1063"/>
      <c r="AS1316" s="1063"/>
      <c r="AT1316" s="1063"/>
      <c r="AU1316" s="1063"/>
      <c r="AV1316" s="1063"/>
    </row>
    <row r="1317" spans="1:48" s="1108" customFormat="1" ht="27.75" customHeight="1">
      <c r="A1317" s="1076"/>
      <c r="B1317" s="1074">
        <f>+'[18]Bldg+Dev'!S2129</f>
        <v>0</v>
      </c>
      <c r="D1317" s="1063"/>
      <c r="F1317" s="1076"/>
      <c r="G1317" s="1063"/>
      <c r="H1317" s="1063"/>
      <c r="I1317" s="1063"/>
      <c r="J1317" s="1063"/>
      <c r="K1317" s="1063"/>
      <c r="L1317" s="1063"/>
      <c r="M1317" s="1063"/>
      <c r="N1317" s="1063"/>
      <c r="O1317" s="1063"/>
      <c r="P1317" s="1063"/>
      <c r="Q1317" s="1063"/>
      <c r="R1317" s="1063"/>
      <c r="S1317" s="1063"/>
      <c r="T1317" s="1063"/>
      <c r="U1317" s="1063"/>
      <c r="V1317" s="1063"/>
      <c r="W1317" s="1063"/>
      <c r="X1317" s="1063"/>
      <c r="Y1317" s="1063"/>
      <c r="Z1317" s="1063"/>
      <c r="AA1317" s="1063"/>
      <c r="AB1317" s="1063"/>
      <c r="AC1317" s="1063"/>
      <c r="AD1317" s="1063"/>
      <c r="AE1317" s="1063"/>
      <c r="AF1317" s="1063"/>
      <c r="AG1317" s="1063"/>
      <c r="AH1317" s="1063"/>
      <c r="AI1317" s="1063"/>
      <c r="AJ1317" s="1063"/>
      <c r="AK1317" s="1063"/>
      <c r="AL1317" s="1063"/>
      <c r="AM1317" s="1063"/>
      <c r="AN1317" s="1063"/>
      <c r="AO1317" s="1063"/>
      <c r="AP1317" s="1063"/>
      <c r="AQ1317" s="1063"/>
      <c r="AR1317" s="1063"/>
      <c r="AS1317" s="1063"/>
      <c r="AT1317" s="1063"/>
      <c r="AU1317" s="1063"/>
      <c r="AV1317" s="1063"/>
    </row>
    <row r="1318" spans="1:48" s="1108" customFormat="1" ht="27.75" customHeight="1">
      <c r="A1318" s="1076"/>
      <c r="B1318" s="1074">
        <f>+'[18]Bldg+Dev'!S2130</f>
        <v>0</v>
      </c>
      <c r="D1318" s="1063"/>
      <c r="F1318" s="1076"/>
      <c r="G1318" s="1063"/>
      <c r="H1318" s="1063"/>
      <c r="I1318" s="1063"/>
      <c r="J1318" s="1063"/>
      <c r="K1318" s="1063"/>
      <c r="L1318" s="1063"/>
      <c r="M1318" s="1063"/>
      <c r="N1318" s="1063"/>
      <c r="O1318" s="1063"/>
      <c r="P1318" s="1063"/>
      <c r="Q1318" s="1063"/>
      <c r="R1318" s="1063"/>
      <c r="S1318" s="1063"/>
      <c r="T1318" s="1063"/>
      <c r="U1318" s="1063"/>
      <c r="V1318" s="1063"/>
      <c r="W1318" s="1063"/>
      <c r="X1318" s="1063"/>
      <c r="Y1318" s="1063"/>
      <c r="Z1318" s="1063"/>
      <c r="AA1318" s="1063"/>
      <c r="AB1318" s="1063"/>
      <c r="AC1318" s="1063"/>
      <c r="AD1318" s="1063"/>
      <c r="AE1318" s="1063"/>
      <c r="AF1318" s="1063"/>
      <c r="AG1318" s="1063"/>
      <c r="AH1318" s="1063"/>
      <c r="AI1318" s="1063"/>
      <c r="AJ1318" s="1063"/>
      <c r="AK1318" s="1063"/>
      <c r="AL1318" s="1063"/>
      <c r="AM1318" s="1063"/>
      <c r="AN1318" s="1063"/>
      <c r="AO1318" s="1063"/>
      <c r="AP1318" s="1063"/>
      <c r="AQ1318" s="1063"/>
      <c r="AR1318" s="1063"/>
      <c r="AS1318" s="1063"/>
      <c r="AT1318" s="1063"/>
      <c r="AU1318" s="1063"/>
      <c r="AV1318" s="1063"/>
    </row>
    <row r="1319" spans="1:48" s="1108" customFormat="1" ht="27.75" customHeight="1">
      <c r="A1319" s="1076"/>
      <c r="B1319" s="1074">
        <f>+'[18]Bldg+Dev'!S2131</f>
        <v>0</v>
      </c>
      <c r="D1319" s="1063"/>
      <c r="F1319" s="1076"/>
      <c r="G1319" s="1063"/>
      <c r="H1319" s="1063"/>
      <c r="I1319" s="1063"/>
      <c r="J1319" s="1063"/>
      <c r="K1319" s="1063"/>
      <c r="L1319" s="1063"/>
      <c r="M1319" s="1063"/>
      <c r="N1319" s="1063"/>
      <c r="O1319" s="1063"/>
      <c r="P1319" s="1063"/>
      <c r="Q1319" s="1063"/>
      <c r="R1319" s="1063"/>
      <c r="S1319" s="1063"/>
      <c r="T1319" s="1063"/>
      <c r="U1319" s="1063"/>
      <c r="V1319" s="1063"/>
      <c r="W1319" s="1063"/>
      <c r="X1319" s="1063"/>
      <c r="Y1319" s="1063"/>
      <c r="Z1319" s="1063"/>
      <c r="AA1319" s="1063"/>
      <c r="AB1319" s="1063"/>
      <c r="AC1319" s="1063"/>
      <c r="AD1319" s="1063"/>
      <c r="AE1319" s="1063"/>
      <c r="AF1319" s="1063"/>
      <c r="AG1319" s="1063"/>
      <c r="AH1319" s="1063"/>
      <c r="AI1319" s="1063"/>
      <c r="AJ1319" s="1063"/>
      <c r="AK1319" s="1063"/>
      <c r="AL1319" s="1063"/>
      <c r="AM1319" s="1063"/>
      <c r="AN1319" s="1063"/>
      <c r="AO1319" s="1063"/>
      <c r="AP1319" s="1063"/>
      <c r="AQ1319" s="1063"/>
      <c r="AR1319" s="1063"/>
      <c r="AS1319" s="1063"/>
      <c r="AT1319" s="1063"/>
      <c r="AU1319" s="1063"/>
      <c r="AV1319" s="1063"/>
    </row>
    <row r="1320" spans="1:48" s="1108" customFormat="1" ht="27.75" customHeight="1">
      <c r="A1320" s="1076"/>
      <c r="B1320" s="1074">
        <f>+'[18]Bldg+Dev'!S2132</f>
        <v>0</v>
      </c>
      <c r="D1320" s="1063"/>
      <c r="F1320" s="1076"/>
      <c r="G1320" s="1063"/>
      <c r="H1320" s="1063"/>
      <c r="I1320" s="1063"/>
      <c r="J1320" s="1063"/>
      <c r="K1320" s="1063"/>
      <c r="L1320" s="1063"/>
      <c r="M1320" s="1063"/>
      <c r="N1320" s="1063"/>
      <c r="O1320" s="1063"/>
      <c r="P1320" s="1063"/>
      <c r="Q1320" s="1063"/>
      <c r="R1320" s="1063"/>
      <c r="S1320" s="1063"/>
      <c r="T1320" s="1063"/>
      <c r="U1320" s="1063"/>
      <c r="V1320" s="1063"/>
      <c r="W1320" s="1063"/>
      <c r="X1320" s="1063"/>
      <c r="Y1320" s="1063"/>
      <c r="Z1320" s="1063"/>
      <c r="AA1320" s="1063"/>
      <c r="AB1320" s="1063"/>
      <c r="AC1320" s="1063"/>
      <c r="AD1320" s="1063"/>
      <c r="AE1320" s="1063"/>
      <c r="AF1320" s="1063"/>
      <c r="AG1320" s="1063"/>
      <c r="AH1320" s="1063"/>
      <c r="AI1320" s="1063"/>
      <c r="AJ1320" s="1063"/>
      <c r="AK1320" s="1063"/>
      <c r="AL1320" s="1063"/>
      <c r="AM1320" s="1063"/>
      <c r="AN1320" s="1063"/>
      <c r="AO1320" s="1063"/>
      <c r="AP1320" s="1063"/>
      <c r="AQ1320" s="1063"/>
      <c r="AR1320" s="1063"/>
      <c r="AS1320" s="1063"/>
      <c r="AT1320" s="1063"/>
      <c r="AU1320" s="1063"/>
      <c r="AV1320" s="1063"/>
    </row>
    <row r="1321" spans="1:48" s="1108" customFormat="1" ht="27.75" customHeight="1">
      <c r="A1321" s="1076"/>
      <c r="B1321" s="1074">
        <f>+'[18]Bldg+Dev'!S2133</f>
        <v>0</v>
      </c>
      <c r="D1321" s="1063"/>
      <c r="F1321" s="1076"/>
      <c r="G1321" s="1063"/>
      <c r="H1321" s="1063"/>
      <c r="I1321" s="1063"/>
      <c r="J1321" s="1063"/>
      <c r="K1321" s="1063"/>
      <c r="L1321" s="1063"/>
      <c r="M1321" s="1063"/>
      <c r="N1321" s="1063"/>
      <c r="O1321" s="1063"/>
      <c r="P1321" s="1063"/>
      <c r="Q1321" s="1063"/>
      <c r="R1321" s="1063"/>
      <c r="S1321" s="1063"/>
      <c r="T1321" s="1063"/>
      <c r="U1321" s="1063"/>
      <c r="V1321" s="1063"/>
      <c r="W1321" s="1063"/>
      <c r="X1321" s="1063"/>
      <c r="Y1321" s="1063"/>
      <c r="Z1321" s="1063"/>
      <c r="AA1321" s="1063"/>
      <c r="AB1321" s="1063"/>
      <c r="AC1321" s="1063"/>
      <c r="AD1321" s="1063"/>
      <c r="AE1321" s="1063"/>
      <c r="AF1321" s="1063"/>
      <c r="AG1321" s="1063"/>
      <c r="AH1321" s="1063"/>
      <c r="AI1321" s="1063"/>
      <c r="AJ1321" s="1063"/>
      <c r="AK1321" s="1063"/>
      <c r="AL1321" s="1063"/>
      <c r="AM1321" s="1063"/>
      <c r="AN1321" s="1063"/>
      <c r="AO1321" s="1063"/>
      <c r="AP1321" s="1063"/>
      <c r="AQ1321" s="1063"/>
      <c r="AR1321" s="1063"/>
      <c r="AS1321" s="1063"/>
      <c r="AT1321" s="1063"/>
      <c r="AU1321" s="1063"/>
      <c r="AV1321" s="1063"/>
    </row>
    <row r="1322" spans="1:48" s="1108" customFormat="1" ht="27.75" customHeight="1">
      <c r="A1322" s="1076"/>
      <c r="B1322" s="1074">
        <f>+'[18]Bldg+Dev'!S2134</f>
        <v>0</v>
      </c>
      <c r="D1322" s="1063"/>
      <c r="F1322" s="1076"/>
      <c r="G1322" s="1063"/>
      <c r="H1322" s="1063"/>
      <c r="I1322" s="1063"/>
      <c r="J1322" s="1063"/>
      <c r="K1322" s="1063"/>
      <c r="L1322" s="1063"/>
      <c r="M1322" s="1063"/>
      <c r="N1322" s="1063"/>
      <c r="O1322" s="1063"/>
      <c r="P1322" s="1063"/>
      <c r="Q1322" s="1063"/>
      <c r="R1322" s="1063"/>
      <c r="S1322" s="1063"/>
      <c r="T1322" s="1063"/>
      <c r="U1322" s="1063"/>
      <c r="V1322" s="1063"/>
      <c r="W1322" s="1063"/>
      <c r="X1322" s="1063"/>
      <c r="Y1322" s="1063"/>
      <c r="Z1322" s="1063"/>
      <c r="AA1322" s="1063"/>
      <c r="AB1322" s="1063"/>
      <c r="AC1322" s="1063"/>
      <c r="AD1322" s="1063"/>
      <c r="AE1322" s="1063"/>
      <c r="AF1322" s="1063"/>
      <c r="AG1322" s="1063"/>
      <c r="AH1322" s="1063"/>
      <c r="AI1322" s="1063"/>
      <c r="AJ1322" s="1063"/>
      <c r="AK1322" s="1063"/>
      <c r="AL1322" s="1063"/>
      <c r="AM1322" s="1063"/>
      <c r="AN1322" s="1063"/>
      <c r="AO1322" s="1063"/>
      <c r="AP1322" s="1063"/>
      <c r="AQ1322" s="1063"/>
      <c r="AR1322" s="1063"/>
      <c r="AS1322" s="1063"/>
      <c r="AT1322" s="1063"/>
      <c r="AU1322" s="1063"/>
      <c r="AV1322" s="1063"/>
    </row>
    <row r="1323" spans="1:48" s="1108" customFormat="1" ht="27.75" customHeight="1">
      <c r="A1323" s="1076"/>
      <c r="B1323" s="1074">
        <f>+'[18]Bldg+Dev'!S2135</f>
        <v>0</v>
      </c>
      <c r="D1323" s="1063"/>
      <c r="F1323" s="1076"/>
      <c r="G1323" s="1063"/>
      <c r="H1323" s="1063"/>
      <c r="I1323" s="1063"/>
      <c r="J1323" s="1063"/>
      <c r="K1323" s="1063"/>
      <c r="L1323" s="1063"/>
      <c r="M1323" s="1063"/>
      <c r="N1323" s="1063"/>
      <c r="O1323" s="1063"/>
      <c r="P1323" s="1063"/>
      <c r="Q1323" s="1063"/>
      <c r="R1323" s="1063"/>
      <c r="S1323" s="1063"/>
      <c r="T1323" s="1063"/>
      <c r="U1323" s="1063"/>
      <c r="V1323" s="1063"/>
      <c r="W1323" s="1063"/>
      <c r="X1323" s="1063"/>
      <c r="Y1323" s="1063"/>
      <c r="Z1323" s="1063"/>
      <c r="AA1323" s="1063"/>
      <c r="AB1323" s="1063"/>
      <c r="AC1323" s="1063"/>
      <c r="AD1323" s="1063"/>
      <c r="AE1323" s="1063"/>
      <c r="AF1323" s="1063"/>
      <c r="AG1323" s="1063"/>
      <c r="AH1323" s="1063"/>
      <c r="AI1323" s="1063"/>
      <c r="AJ1323" s="1063"/>
      <c r="AK1323" s="1063"/>
      <c r="AL1323" s="1063"/>
      <c r="AM1323" s="1063"/>
      <c r="AN1323" s="1063"/>
      <c r="AO1323" s="1063"/>
      <c r="AP1323" s="1063"/>
      <c r="AQ1323" s="1063"/>
      <c r="AR1323" s="1063"/>
      <c r="AS1323" s="1063"/>
      <c r="AT1323" s="1063"/>
      <c r="AU1323" s="1063"/>
      <c r="AV1323" s="1063"/>
    </row>
    <row r="1324" spans="1:48" s="1108" customFormat="1" ht="27.75" customHeight="1">
      <c r="A1324" s="1076"/>
      <c r="B1324" s="1074">
        <f>+'[18]Bldg+Dev'!S2136</f>
        <v>0</v>
      </c>
      <c r="D1324" s="1063"/>
      <c r="F1324" s="1076"/>
      <c r="G1324" s="1063"/>
      <c r="H1324" s="1063"/>
      <c r="I1324" s="1063"/>
      <c r="J1324" s="1063"/>
      <c r="K1324" s="1063"/>
      <c r="L1324" s="1063"/>
      <c r="M1324" s="1063"/>
      <c r="N1324" s="1063"/>
      <c r="O1324" s="1063"/>
      <c r="P1324" s="1063"/>
      <c r="Q1324" s="1063"/>
      <c r="R1324" s="1063"/>
      <c r="S1324" s="1063"/>
      <c r="T1324" s="1063"/>
      <c r="U1324" s="1063"/>
      <c r="V1324" s="1063"/>
      <c r="W1324" s="1063"/>
      <c r="X1324" s="1063"/>
      <c r="Y1324" s="1063"/>
      <c r="Z1324" s="1063"/>
      <c r="AA1324" s="1063"/>
      <c r="AB1324" s="1063"/>
      <c r="AC1324" s="1063"/>
      <c r="AD1324" s="1063"/>
      <c r="AE1324" s="1063"/>
      <c r="AF1324" s="1063"/>
      <c r="AG1324" s="1063"/>
      <c r="AH1324" s="1063"/>
      <c r="AI1324" s="1063"/>
      <c r="AJ1324" s="1063"/>
      <c r="AK1324" s="1063"/>
      <c r="AL1324" s="1063"/>
      <c r="AM1324" s="1063"/>
      <c r="AN1324" s="1063"/>
      <c r="AO1324" s="1063"/>
      <c r="AP1324" s="1063"/>
      <c r="AQ1324" s="1063"/>
      <c r="AR1324" s="1063"/>
      <c r="AS1324" s="1063"/>
      <c r="AT1324" s="1063"/>
      <c r="AU1324" s="1063"/>
      <c r="AV1324" s="1063"/>
    </row>
    <row r="1325" spans="1:48" s="1108" customFormat="1" ht="27.75" customHeight="1">
      <c r="A1325" s="1076"/>
      <c r="B1325" s="1074">
        <f>+'[18]Bldg+Dev'!S2137</f>
        <v>0</v>
      </c>
      <c r="D1325" s="1063"/>
      <c r="F1325" s="1076"/>
      <c r="G1325" s="1063"/>
      <c r="H1325" s="1063"/>
      <c r="I1325" s="1063"/>
      <c r="J1325" s="1063"/>
      <c r="K1325" s="1063"/>
      <c r="L1325" s="1063"/>
      <c r="M1325" s="1063"/>
      <c r="N1325" s="1063"/>
      <c r="O1325" s="1063"/>
      <c r="P1325" s="1063"/>
      <c r="Q1325" s="1063"/>
      <c r="R1325" s="1063"/>
      <c r="S1325" s="1063"/>
      <c r="T1325" s="1063"/>
      <c r="U1325" s="1063"/>
      <c r="V1325" s="1063"/>
      <c r="W1325" s="1063"/>
      <c r="X1325" s="1063"/>
      <c r="Y1325" s="1063"/>
      <c r="Z1325" s="1063"/>
      <c r="AA1325" s="1063"/>
      <c r="AB1325" s="1063"/>
      <c r="AC1325" s="1063"/>
      <c r="AD1325" s="1063"/>
      <c r="AE1325" s="1063"/>
      <c r="AF1325" s="1063"/>
      <c r="AG1325" s="1063"/>
      <c r="AH1325" s="1063"/>
      <c r="AI1325" s="1063"/>
      <c r="AJ1325" s="1063"/>
      <c r="AK1325" s="1063"/>
      <c r="AL1325" s="1063"/>
      <c r="AM1325" s="1063"/>
      <c r="AN1325" s="1063"/>
      <c r="AO1325" s="1063"/>
      <c r="AP1325" s="1063"/>
      <c r="AQ1325" s="1063"/>
      <c r="AR1325" s="1063"/>
      <c r="AS1325" s="1063"/>
      <c r="AT1325" s="1063"/>
      <c r="AU1325" s="1063"/>
      <c r="AV1325" s="1063"/>
    </row>
    <row r="1326" spans="1:48" s="1108" customFormat="1" ht="27.75" customHeight="1">
      <c r="A1326" s="1076"/>
      <c r="B1326" s="1074">
        <f>+'[18]Bldg+Dev'!S2138</f>
        <v>0</v>
      </c>
      <c r="D1326" s="1063"/>
      <c r="F1326" s="1076"/>
      <c r="G1326" s="1063"/>
      <c r="H1326" s="1063"/>
      <c r="I1326" s="1063"/>
      <c r="J1326" s="1063"/>
      <c r="K1326" s="1063"/>
      <c r="L1326" s="1063"/>
      <c r="M1326" s="1063"/>
      <c r="N1326" s="1063"/>
      <c r="O1326" s="1063"/>
      <c r="P1326" s="1063"/>
      <c r="Q1326" s="1063"/>
      <c r="R1326" s="1063"/>
      <c r="S1326" s="1063"/>
      <c r="T1326" s="1063"/>
      <c r="U1326" s="1063"/>
      <c r="V1326" s="1063"/>
      <c r="W1326" s="1063"/>
      <c r="X1326" s="1063"/>
      <c r="Y1326" s="1063"/>
      <c r="Z1326" s="1063"/>
      <c r="AA1326" s="1063"/>
      <c r="AB1326" s="1063"/>
      <c r="AC1326" s="1063"/>
      <c r="AD1326" s="1063"/>
      <c r="AE1326" s="1063"/>
      <c r="AF1326" s="1063"/>
      <c r="AG1326" s="1063"/>
      <c r="AH1326" s="1063"/>
      <c r="AI1326" s="1063"/>
      <c r="AJ1326" s="1063"/>
      <c r="AK1326" s="1063"/>
      <c r="AL1326" s="1063"/>
      <c r="AM1326" s="1063"/>
      <c r="AN1326" s="1063"/>
      <c r="AO1326" s="1063"/>
      <c r="AP1326" s="1063"/>
      <c r="AQ1326" s="1063"/>
      <c r="AR1326" s="1063"/>
      <c r="AS1326" s="1063"/>
      <c r="AT1326" s="1063"/>
      <c r="AU1326" s="1063"/>
      <c r="AV1326" s="1063"/>
    </row>
    <row r="1327" spans="1:48" s="1108" customFormat="1" ht="27.75" customHeight="1">
      <c r="A1327" s="1076"/>
      <c r="B1327" s="1074">
        <f>+'[18]Bldg+Dev'!S2139</f>
        <v>0</v>
      </c>
      <c r="D1327" s="1063"/>
      <c r="F1327" s="1076"/>
      <c r="G1327" s="1063"/>
      <c r="H1327" s="1063"/>
      <c r="I1327" s="1063"/>
      <c r="J1327" s="1063"/>
      <c r="K1327" s="1063"/>
      <c r="L1327" s="1063"/>
      <c r="M1327" s="1063"/>
      <c r="N1327" s="1063"/>
      <c r="O1327" s="1063"/>
      <c r="P1327" s="1063"/>
      <c r="Q1327" s="1063"/>
      <c r="R1327" s="1063"/>
      <c r="S1327" s="1063"/>
      <c r="T1327" s="1063"/>
      <c r="U1327" s="1063"/>
      <c r="V1327" s="1063"/>
      <c r="W1327" s="1063"/>
      <c r="X1327" s="1063"/>
      <c r="Y1327" s="1063"/>
      <c r="Z1327" s="1063"/>
      <c r="AA1327" s="1063"/>
      <c r="AB1327" s="1063"/>
      <c r="AC1327" s="1063"/>
      <c r="AD1327" s="1063"/>
      <c r="AE1327" s="1063"/>
      <c r="AF1327" s="1063"/>
      <c r="AG1327" s="1063"/>
      <c r="AH1327" s="1063"/>
      <c r="AI1327" s="1063"/>
      <c r="AJ1327" s="1063"/>
      <c r="AK1327" s="1063"/>
      <c r="AL1327" s="1063"/>
      <c r="AM1327" s="1063"/>
      <c r="AN1327" s="1063"/>
      <c r="AO1327" s="1063"/>
      <c r="AP1327" s="1063"/>
      <c r="AQ1327" s="1063"/>
      <c r="AR1327" s="1063"/>
      <c r="AS1327" s="1063"/>
      <c r="AT1327" s="1063"/>
      <c r="AU1327" s="1063"/>
      <c r="AV1327" s="1063"/>
    </row>
    <row r="1328" spans="1:48" s="1108" customFormat="1" ht="27.75" customHeight="1">
      <c r="A1328" s="1076"/>
      <c r="B1328" s="1074">
        <f>+'[18]Bldg+Dev'!S2140</f>
        <v>0</v>
      </c>
      <c r="D1328" s="1063"/>
      <c r="F1328" s="1076"/>
      <c r="G1328" s="1063"/>
      <c r="H1328" s="1063"/>
      <c r="I1328" s="1063"/>
      <c r="J1328" s="1063"/>
      <c r="K1328" s="1063"/>
      <c r="L1328" s="1063"/>
      <c r="M1328" s="1063"/>
      <c r="N1328" s="1063"/>
      <c r="O1328" s="1063"/>
      <c r="P1328" s="1063"/>
      <c r="Q1328" s="1063"/>
      <c r="R1328" s="1063"/>
      <c r="S1328" s="1063"/>
      <c r="T1328" s="1063"/>
      <c r="U1328" s="1063"/>
      <c r="V1328" s="1063"/>
      <c r="W1328" s="1063"/>
      <c r="X1328" s="1063"/>
      <c r="Y1328" s="1063"/>
      <c r="Z1328" s="1063"/>
      <c r="AA1328" s="1063"/>
      <c r="AB1328" s="1063"/>
      <c r="AC1328" s="1063"/>
      <c r="AD1328" s="1063"/>
      <c r="AE1328" s="1063"/>
      <c r="AF1328" s="1063"/>
      <c r="AG1328" s="1063"/>
      <c r="AH1328" s="1063"/>
      <c r="AI1328" s="1063"/>
      <c r="AJ1328" s="1063"/>
      <c r="AK1328" s="1063"/>
      <c r="AL1328" s="1063"/>
      <c r="AM1328" s="1063"/>
      <c r="AN1328" s="1063"/>
      <c r="AO1328" s="1063"/>
      <c r="AP1328" s="1063"/>
      <c r="AQ1328" s="1063"/>
      <c r="AR1328" s="1063"/>
      <c r="AS1328" s="1063"/>
      <c r="AT1328" s="1063"/>
      <c r="AU1328" s="1063"/>
      <c r="AV1328" s="1063"/>
    </row>
    <row r="1329" spans="1:48" s="1108" customFormat="1" ht="27.75" customHeight="1">
      <c r="A1329" s="1076"/>
      <c r="B1329" s="1074">
        <f>+'[18]Bldg+Dev'!S2141</f>
        <v>0</v>
      </c>
      <c r="D1329" s="1063"/>
      <c r="F1329" s="1076"/>
      <c r="G1329" s="1063"/>
      <c r="H1329" s="1063"/>
      <c r="I1329" s="1063"/>
      <c r="J1329" s="1063"/>
      <c r="K1329" s="1063"/>
      <c r="L1329" s="1063"/>
      <c r="M1329" s="1063"/>
      <c r="N1329" s="1063"/>
      <c r="O1329" s="1063"/>
      <c r="P1329" s="1063"/>
      <c r="Q1329" s="1063"/>
      <c r="R1329" s="1063"/>
      <c r="S1329" s="1063"/>
      <c r="T1329" s="1063"/>
      <c r="U1329" s="1063"/>
      <c r="V1329" s="1063"/>
      <c r="W1329" s="1063"/>
      <c r="X1329" s="1063"/>
      <c r="Y1329" s="1063"/>
      <c r="Z1329" s="1063"/>
      <c r="AA1329" s="1063"/>
      <c r="AB1329" s="1063"/>
      <c r="AC1329" s="1063"/>
      <c r="AD1329" s="1063"/>
      <c r="AE1329" s="1063"/>
      <c r="AF1329" s="1063"/>
      <c r="AG1329" s="1063"/>
      <c r="AH1329" s="1063"/>
      <c r="AI1329" s="1063"/>
      <c r="AJ1329" s="1063"/>
      <c r="AK1329" s="1063"/>
      <c r="AL1329" s="1063"/>
      <c r="AM1329" s="1063"/>
      <c r="AN1329" s="1063"/>
      <c r="AO1329" s="1063"/>
      <c r="AP1329" s="1063"/>
      <c r="AQ1329" s="1063"/>
      <c r="AR1329" s="1063"/>
      <c r="AS1329" s="1063"/>
      <c r="AT1329" s="1063"/>
      <c r="AU1329" s="1063"/>
      <c r="AV1329" s="1063"/>
    </row>
    <row r="1330" spans="1:48" s="1108" customFormat="1" ht="27.75" customHeight="1">
      <c r="A1330" s="1076"/>
      <c r="B1330" s="1074">
        <f>+'[18]Bldg+Dev'!S2142</f>
        <v>0</v>
      </c>
      <c r="D1330" s="1063"/>
      <c r="F1330" s="1076"/>
      <c r="G1330" s="1063"/>
      <c r="H1330" s="1063"/>
      <c r="I1330" s="1063"/>
      <c r="J1330" s="1063"/>
      <c r="K1330" s="1063"/>
      <c r="L1330" s="1063"/>
      <c r="M1330" s="1063"/>
      <c r="N1330" s="1063"/>
      <c r="O1330" s="1063"/>
      <c r="P1330" s="1063"/>
      <c r="Q1330" s="1063"/>
      <c r="R1330" s="1063"/>
      <c r="S1330" s="1063"/>
      <c r="T1330" s="1063"/>
      <c r="U1330" s="1063"/>
      <c r="V1330" s="1063"/>
      <c r="W1330" s="1063"/>
      <c r="X1330" s="1063"/>
      <c r="Y1330" s="1063"/>
      <c r="Z1330" s="1063"/>
      <c r="AA1330" s="1063"/>
      <c r="AB1330" s="1063"/>
      <c r="AC1330" s="1063"/>
      <c r="AD1330" s="1063"/>
      <c r="AE1330" s="1063"/>
      <c r="AF1330" s="1063"/>
      <c r="AG1330" s="1063"/>
      <c r="AH1330" s="1063"/>
      <c r="AI1330" s="1063"/>
      <c r="AJ1330" s="1063"/>
      <c r="AK1330" s="1063"/>
      <c r="AL1330" s="1063"/>
      <c r="AM1330" s="1063"/>
      <c r="AN1330" s="1063"/>
      <c r="AO1330" s="1063"/>
      <c r="AP1330" s="1063"/>
      <c r="AQ1330" s="1063"/>
      <c r="AR1330" s="1063"/>
      <c r="AS1330" s="1063"/>
      <c r="AT1330" s="1063"/>
      <c r="AU1330" s="1063"/>
      <c r="AV1330" s="1063"/>
    </row>
    <row r="1331" spans="1:48" s="1108" customFormat="1" ht="27.75" customHeight="1">
      <c r="A1331" s="1076"/>
      <c r="B1331" s="1074">
        <f>+'[18]Bldg+Dev'!S2143</f>
        <v>0</v>
      </c>
      <c r="D1331" s="1063"/>
      <c r="F1331" s="1076"/>
      <c r="G1331" s="1063"/>
      <c r="H1331" s="1063"/>
      <c r="I1331" s="1063"/>
      <c r="J1331" s="1063"/>
      <c r="K1331" s="1063"/>
      <c r="L1331" s="1063"/>
      <c r="M1331" s="1063"/>
      <c r="N1331" s="1063"/>
      <c r="O1331" s="1063"/>
      <c r="P1331" s="1063"/>
      <c r="Q1331" s="1063"/>
      <c r="R1331" s="1063"/>
      <c r="S1331" s="1063"/>
      <c r="T1331" s="1063"/>
      <c r="U1331" s="1063"/>
      <c r="V1331" s="1063"/>
      <c r="W1331" s="1063"/>
      <c r="X1331" s="1063"/>
      <c r="Y1331" s="1063"/>
      <c r="Z1331" s="1063"/>
      <c r="AA1331" s="1063"/>
      <c r="AB1331" s="1063"/>
      <c r="AC1331" s="1063"/>
      <c r="AD1331" s="1063"/>
      <c r="AE1331" s="1063"/>
      <c r="AF1331" s="1063"/>
      <c r="AG1331" s="1063"/>
      <c r="AH1331" s="1063"/>
      <c r="AI1331" s="1063"/>
      <c r="AJ1331" s="1063"/>
      <c r="AK1331" s="1063"/>
      <c r="AL1331" s="1063"/>
      <c r="AM1331" s="1063"/>
      <c r="AN1331" s="1063"/>
      <c r="AO1331" s="1063"/>
      <c r="AP1331" s="1063"/>
      <c r="AQ1331" s="1063"/>
      <c r="AR1331" s="1063"/>
      <c r="AS1331" s="1063"/>
      <c r="AT1331" s="1063"/>
      <c r="AU1331" s="1063"/>
      <c r="AV1331" s="1063"/>
    </row>
    <row r="1332" spans="1:48" s="1108" customFormat="1" ht="27.75" customHeight="1">
      <c r="A1332" s="1076"/>
      <c r="B1332" s="1074">
        <f>+'[18]Bldg+Dev'!S2144</f>
        <v>0</v>
      </c>
      <c r="D1332" s="1063"/>
      <c r="F1332" s="1076"/>
      <c r="G1332" s="1063"/>
      <c r="H1332" s="1063"/>
      <c r="I1332" s="1063"/>
      <c r="J1332" s="1063"/>
      <c r="K1332" s="1063"/>
      <c r="L1332" s="1063"/>
      <c r="M1332" s="1063"/>
      <c r="N1332" s="1063"/>
      <c r="O1332" s="1063"/>
      <c r="P1332" s="1063"/>
      <c r="Q1332" s="1063"/>
      <c r="R1332" s="1063"/>
      <c r="S1332" s="1063"/>
      <c r="T1332" s="1063"/>
      <c r="U1332" s="1063"/>
      <c r="V1332" s="1063"/>
      <c r="W1332" s="1063"/>
      <c r="X1332" s="1063"/>
      <c r="Y1332" s="1063"/>
      <c r="Z1332" s="1063"/>
      <c r="AA1332" s="1063"/>
      <c r="AB1332" s="1063"/>
      <c r="AC1332" s="1063"/>
      <c r="AD1332" s="1063"/>
      <c r="AE1332" s="1063"/>
      <c r="AF1332" s="1063"/>
      <c r="AG1332" s="1063"/>
      <c r="AH1332" s="1063"/>
      <c r="AI1332" s="1063"/>
      <c r="AJ1332" s="1063"/>
      <c r="AK1332" s="1063"/>
      <c r="AL1332" s="1063"/>
      <c r="AM1332" s="1063"/>
      <c r="AN1332" s="1063"/>
      <c r="AO1332" s="1063"/>
      <c r="AP1332" s="1063"/>
      <c r="AQ1332" s="1063"/>
      <c r="AR1332" s="1063"/>
      <c r="AS1332" s="1063"/>
      <c r="AT1332" s="1063"/>
      <c r="AU1332" s="1063"/>
      <c r="AV1332" s="1063"/>
    </row>
    <row r="1333" spans="1:48" s="1108" customFormat="1" ht="27.75" customHeight="1">
      <c r="A1333" s="1076"/>
      <c r="B1333" s="1074">
        <f>+'[18]Bldg+Dev'!S2145</f>
        <v>0</v>
      </c>
      <c r="D1333" s="1063"/>
      <c r="F1333" s="1076"/>
      <c r="G1333" s="1063"/>
      <c r="H1333" s="1063"/>
      <c r="I1333" s="1063"/>
      <c r="J1333" s="1063"/>
      <c r="K1333" s="1063"/>
      <c r="L1333" s="1063"/>
      <c r="M1333" s="1063"/>
      <c r="N1333" s="1063"/>
      <c r="O1333" s="1063"/>
      <c r="P1333" s="1063"/>
      <c r="Q1333" s="1063"/>
      <c r="R1333" s="1063"/>
      <c r="S1333" s="1063"/>
      <c r="T1333" s="1063"/>
      <c r="U1333" s="1063"/>
      <c r="V1333" s="1063"/>
      <c r="W1333" s="1063"/>
      <c r="X1333" s="1063"/>
      <c r="Y1333" s="1063"/>
      <c r="Z1333" s="1063"/>
      <c r="AA1333" s="1063"/>
      <c r="AB1333" s="1063"/>
      <c r="AC1333" s="1063"/>
      <c r="AD1333" s="1063"/>
      <c r="AE1333" s="1063"/>
      <c r="AF1333" s="1063"/>
      <c r="AG1333" s="1063"/>
      <c r="AH1333" s="1063"/>
      <c r="AI1333" s="1063"/>
      <c r="AJ1333" s="1063"/>
      <c r="AK1333" s="1063"/>
      <c r="AL1333" s="1063"/>
      <c r="AM1333" s="1063"/>
      <c r="AN1333" s="1063"/>
      <c r="AO1333" s="1063"/>
      <c r="AP1333" s="1063"/>
      <c r="AQ1333" s="1063"/>
      <c r="AR1333" s="1063"/>
      <c r="AS1333" s="1063"/>
      <c r="AT1333" s="1063"/>
      <c r="AU1333" s="1063"/>
      <c r="AV1333" s="1063"/>
    </row>
    <row r="1334" spans="1:48" s="1108" customFormat="1" ht="27.75" customHeight="1">
      <c r="A1334" s="1076"/>
      <c r="B1334" s="1074">
        <f>+'[18]Bldg+Dev'!S2146</f>
        <v>0</v>
      </c>
      <c r="D1334" s="1063"/>
      <c r="F1334" s="1076"/>
      <c r="G1334" s="1063"/>
      <c r="H1334" s="1063"/>
      <c r="I1334" s="1063"/>
      <c r="J1334" s="1063"/>
      <c r="K1334" s="1063"/>
      <c r="L1334" s="1063"/>
      <c r="M1334" s="1063"/>
      <c r="N1334" s="1063"/>
      <c r="O1334" s="1063"/>
      <c r="P1334" s="1063"/>
      <c r="Q1334" s="1063"/>
      <c r="R1334" s="1063"/>
      <c r="S1334" s="1063"/>
      <c r="T1334" s="1063"/>
      <c r="U1334" s="1063"/>
      <c r="V1334" s="1063"/>
      <c r="W1334" s="1063"/>
      <c r="X1334" s="1063"/>
      <c r="Y1334" s="1063"/>
      <c r="Z1334" s="1063"/>
      <c r="AA1334" s="1063"/>
      <c r="AB1334" s="1063"/>
      <c r="AC1334" s="1063"/>
      <c r="AD1334" s="1063"/>
      <c r="AE1334" s="1063"/>
      <c r="AF1334" s="1063"/>
      <c r="AG1334" s="1063"/>
      <c r="AH1334" s="1063"/>
      <c r="AI1334" s="1063"/>
      <c r="AJ1334" s="1063"/>
      <c r="AK1334" s="1063"/>
      <c r="AL1334" s="1063"/>
      <c r="AM1334" s="1063"/>
      <c r="AN1334" s="1063"/>
      <c r="AO1334" s="1063"/>
      <c r="AP1334" s="1063"/>
      <c r="AQ1334" s="1063"/>
      <c r="AR1334" s="1063"/>
      <c r="AS1334" s="1063"/>
      <c r="AT1334" s="1063"/>
      <c r="AU1334" s="1063"/>
      <c r="AV1334" s="1063"/>
    </row>
    <row r="1335" spans="1:48" s="1108" customFormat="1" ht="27.75" customHeight="1">
      <c r="A1335" s="1076"/>
      <c r="B1335" s="1074">
        <f>+'[18]Bldg+Dev'!S2147</f>
        <v>0</v>
      </c>
      <c r="D1335" s="1063"/>
      <c r="F1335" s="1076"/>
      <c r="G1335" s="1063"/>
      <c r="H1335" s="1063"/>
      <c r="I1335" s="1063"/>
      <c r="J1335" s="1063"/>
      <c r="K1335" s="1063"/>
      <c r="L1335" s="1063"/>
      <c r="M1335" s="1063"/>
      <c r="N1335" s="1063"/>
      <c r="O1335" s="1063"/>
      <c r="P1335" s="1063"/>
      <c r="Q1335" s="1063"/>
      <c r="R1335" s="1063"/>
      <c r="S1335" s="1063"/>
      <c r="T1335" s="1063"/>
      <c r="U1335" s="1063"/>
      <c r="V1335" s="1063"/>
      <c r="W1335" s="1063"/>
      <c r="X1335" s="1063"/>
      <c r="Y1335" s="1063"/>
      <c r="Z1335" s="1063"/>
      <c r="AA1335" s="1063"/>
      <c r="AB1335" s="1063"/>
      <c r="AC1335" s="1063"/>
      <c r="AD1335" s="1063"/>
      <c r="AE1335" s="1063"/>
      <c r="AF1335" s="1063"/>
      <c r="AG1335" s="1063"/>
      <c r="AH1335" s="1063"/>
      <c r="AI1335" s="1063"/>
      <c r="AJ1335" s="1063"/>
      <c r="AK1335" s="1063"/>
      <c r="AL1335" s="1063"/>
      <c r="AM1335" s="1063"/>
      <c r="AN1335" s="1063"/>
      <c r="AO1335" s="1063"/>
      <c r="AP1335" s="1063"/>
      <c r="AQ1335" s="1063"/>
      <c r="AR1335" s="1063"/>
      <c r="AS1335" s="1063"/>
      <c r="AT1335" s="1063"/>
      <c r="AU1335" s="1063"/>
      <c r="AV1335" s="1063"/>
    </row>
    <row r="1336" spans="1:48" s="1108" customFormat="1" ht="27.75" customHeight="1">
      <c r="A1336" s="1076"/>
      <c r="B1336" s="1074">
        <f>+'[18]Bldg+Dev'!S2148</f>
        <v>0</v>
      </c>
      <c r="D1336" s="1063"/>
      <c r="F1336" s="1076"/>
      <c r="G1336" s="1063"/>
      <c r="H1336" s="1063"/>
      <c r="I1336" s="1063"/>
      <c r="J1336" s="1063"/>
      <c r="K1336" s="1063"/>
      <c r="L1336" s="1063"/>
      <c r="M1336" s="1063"/>
      <c r="N1336" s="1063"/>
      <c r="O1336" s="1063"/>
      <c r="P1336" s="1063"/>
      <c r="Q1336" s="1063"/>
      <c r="R1336" s="1063"/>
      <c r="S1336" s="1063"/>
      <c r="T1336" s="1063"/>
      <c r="U1336" s="1063"/>
      <c r="V1336" s="1063"/>
      <c r="W1336" s="1063"/>
      <c r="X1336" s="1063"/>
      <c r="Y1336" s="1063"/>
      <c r="Z1336" s="1063"/>
      <c r="AA1336" s="1063"/>
      <c r="AB1336" s="1063"/>
      <c r="AC1336" s="1063"/>
      <c r="AD1336" s="1063"/>
      <c r="AE1336" s="1063"/>
      <c r="AF1336" s="1063"/>
      <c r="AG1336" s="1063"/>
      <c r="AH1336" s="1063"/>
      <c r="AI1336" s="1063"/>
      <c r="AJ1336" s="1063"/>
      <c r="AK1336" s="1063"/>
      <c r="AL1336" s="1063"/>
      <c r="AM1336" s="1063"/>
      <c r="AN1336" s="1063"/>
      <c r="AO1336" s="1063"/>
      <c r="AP1336" s="1063"/>
      <c r="AQ1336" s="1063"/>
      <c r="AR1336" s="1063"/>
      <c r="AS1336" s="1063"/>
      <c r="AT1336" s="1063"/>
      <c r="AU1336" s="1063"/>
      <c r="AV1336" s="1063"/>
    </row>
    <row r="1337" spans="1:48" s="1108" customFormat="1" ht="27.75" customHeight="1">
      <c r="A1337" s="1076"/>
      <c r="B1337" s="1074">
        <f>+'[18]Bldg+Dev'!S2149</f>
        <v>0</v>
      </c>
      <c r="D1337" s="1063"/>
      <c r="F1337" s="1076"/>
      <c r="G1337" s="1063"/>
      <c r="H1337" s="1063"/>
      <c r="I1337" s="1063"/>
      <c r="J1337" s="1063"/>
      <c r="K1337" s="1063"/>
      <c r="L1337" s="1063"/>
      <c r="M1337" s="1063"/>
      <c r="N1337" s="1063"/>
      <c r="O1337" s="1063"/>
      <c r="P1337" s="1063"/>
      <c r="Q1337" s="1063"/>
      <c r="R1337" s="1063"/>
      <c r="S1337" s="1063"/>
      <c r="T1337" s="1063"/>
      <c r="U1337" s="1063"/>
      <c r="V1337" s="1063"/>
      <c r="W1337" s="1063"/>
      <c r="X1337" s="1063"/>
      <c r="Y1337" s="1063"/>
      <c r="Z1337" s="1063"/>
      <c r="AA1337" s="1063"/>
      <c r="AB1337" s="1063"/>
      <c r="AC1337" s="1063"/>
      <c r="AD1337" s="1063"/>
      <c r="AE1337" s="1063"/>
      <c r="AF1337" s="1063"/>
      <c r="AG1337" s="1063"/>
      <c r="AH1337" s="1063"/>
      <c r="AI1337" s="1063"/>
      <c r="AJ1337" s="1063"/>
      <c r="AK1337" s="1063"/>
      <c r="AL1337" s="1063"/>
      <c r="AM1337" s="1063"/>
      <c r="AN1337" s="1063"/>
      <c r="AO1337" s="1063"/>
      <c r="AP1337" s="1063"/>
      <c r="AQ1337" s="1063"/>
      <c r="AR1337" s="1063"/>
      <c r="AS1337" s="1063"/>
      <c r="AT1337" s="1063"/>
      <c r="AU1337" s="1063"/>
      <c r="AV1337" s="1063"/>
    </row>
    <row r="1338" spans="1:48" s="1108" customFormat="1" ht="27.75" customHeight="1">
      <c r="A1338" s="1076"/>
      <c r="B1338" s="1074">
        <f>+'[18]Bldg+Dev'!S2150</f>
        <v>0</v>
      </c>
      <c r="D1338" s="1063"/>
      <c r="F1338" s="1076"/>
      <c r="G1338" s="1063"/>
      <c r="H1338" s="1063"/>
      <c r="I1338" s="1063"/>
      <c r="J1338" s="1063"/>
      <c r="K1338" s="1063"/>
      <c r="L1338" s="1063"/>
      <c r="M1338" s="1063"/>
      <c r="N1338" s="1063"/>
      <c r="O1338" s="1063"/>
      <c r="P1338" s="1063"/>
      <c r="Q1338" s="1063"/>
      <c r="R1338" s="1063"/>
      <c r="S1338" s="1063"/>
      <c r="T1338" s="1063"/>
      <c r="U1338" s="1063"/>
      <c r="V1338" s="1063"/>
      <c r="W1338" s="1063"/>
      <c r="X1338" s="1063"/>
      <c r="Y1338" s="1063"/>
      <c r="Z1338" s="1063"/>
      <c r="AA1338" s="1063"/>
      <c r="AB1338" s="1063"/>
      <c r="AC1338" s="1063"/>
      <c r="AD1338" s="1063"/>
      <c r="AE1338" s="1063"/>
      <c r="AF1338" s="1063"/>
      <c r="AG1338" s="1063"/>
      <c r="AH1338" s="1063"/>
      <c r="AI1338" s="1063"/>
      <c r="AJ1338" s="1063"/>
      <c r="AK1338" s="1063"/>
      <c r="AL1338" s="1063"/>
      <c r="AM1338" s="1063"/>
      <c r="AN1338" s="1063"/>
      <c r="AO1338" s="1063"/>
      <c r="AP1338" s="1063"/>
      <c r="AQ1338" s="1063"/>
      <c r="AR1338" s="1063"/>
      <c r="AS1338" s="1063"/>
      <c r="AT1338" s="1063"/>
      <c r="AU1338" s="1063"/>
      <c r="AV1338" s="1063"/>
    </row>
    <row r="1339" spans="1:48" s="1108" customFormat="1" ht="27.75" customHeight="1">
      <c r="A1339" s="1076"/>
      <c r="B1339" s="1074">
        <f>+'[18]Bldg+Dev'!S2151</f>
        <v>0</v>
      </c>
      <c r="D1339" s="1063"/>
      <c r="F1339" s="1076"/>
      <c r="G1339" s="1063"/>
      <c r="H1339" s="1063"/>
      <c r="I1339" s="1063"/>
      <c r="J1339" s="1063"/>
      <c r="K1339" s="1063"/>
      <c r="L1339" s="1063"/>
      <c r="M1339" s="1063"/>
      <c r="N1339" s="1063"/>
      <c r="O1339" s="1063"/>
      <c r="P1339" s="1063"/>
      <c r="Q1339" s="1063"/>
      <c r="R1339" s="1063"/>
      <c r="S1339" s="1063"/>
      <c r="T1339" s="1063"/>
      <c r="U1339" s="1063"/>
      <c r="V1339" s="1063"/>
      <c r="W1339" s="1063"/>
      <c r="X1339" s="1063"/>
      <c r="Y1339" s="1063"/>
      <c r="Z1339" s="1063"/>
      <c r="AA1339" s="1063"/>
      <c r="AB1339" s="1063"/>
      <c r="AC1339" s="1063"/>
      <c r="AD1339" s="1063"/>
      <c r="AE1339" s="1063"/>
      <c r="AF1339" s="1063"/>
      <c r="AG1339" s="1063"/>
      <c r="AH1339" s="1063"/>
      <c r="AI1339" s="1063"/>
      <c r="AJ1339" s="1063"/>
      <c r="AK1339" s="1063"/>
      <c r="AL1339" s="1063"/>
      <c r="AM1339" s="1063"/>
      <c r="AN1339" s="1063"/>
      <c r="AO1339" s="1063"/>
      <c r="AP1339" s="1063"/>
      <c r="AQ1339" s="1063"/>
      <c r="AR1339" s="1063"/>
      <c r="AS1339" s="1063"/>
      <c r="AT1339" s="1063"/>
      <c r="AU1339" s="1063"/>
      <c r="AV1339" s="1063"/>
    </row>
    <row r="1340" spans="1:48" s="1108" customFormat="1" ht="27.75" customHeight="1">
      <c r="A1340" s="1076"/>
      <c r="B1340" s="1074">
        <f>+'[18]Bldg+Dev'!S2152</f>
        <v>0</v>
      </c>
      <c r="D1340" s="1063"/>
      <c r="F1340" s="1076"/>
      <c r="G1340" s="1063"/>
      <c r="H1340" s="1063"/>
      <c r="I1340" s="1063"/>
      <c r="J1340" s="1063"/>
      <c r="K1340" s="1063"/>
      <c r="L1340" s="1063"/>
      <c r="M1340" s="1063"/>
      <c r="N1340" s="1063"/>
      <c r="O1340" s="1063"/>
      <c r="P1340" s="1063"/>
      <c r="Q1340" s="1063"/>
      <c r="R1340" s="1063"/>
      <c r="S1340" s="1063"/>
      <c r="T1340" s="1063"/>
      <c r="U1340" s="1063"/>
      <c r="V1340" s="1063"/>
      <c r="W1340" s="1063"/>
      <c r="X1340" s="1063"/>
      <c r="Y1340" s="1063"/>
      <c r="Z1340" s="1063"/>
      <c r="AA1340" s="1063"/>
      <c r="AB1340" s="1063"/>
      <c r="AC1340" s="1063"/>
      <c r="AD1340" s="1063"/>
      <c r="AE1340" s="1063"/>
      <c r="AF1340" s="1063"/>
      <c r="AG1340" s="1063"/>
      <c r="AH1340" s="1063"/>
      <c r="AI1340" s="1063"/>
      <c r="AJ1340" s="1063"/>
      <c r="AK1340" s="1063"/>
      <c r="AL1340" s="1063"/>
      <c r="AM1340" s="1063"/>
      <c r="AN1340" s="1063"/>
      <c r="AO1340" s="1063"/>
      <c r="AP1340" s="1063"/>
      <c r="AQ1340" s="1063"/>
      <c r="AR1340" s="1063"/>
      <c r="AS1340" s="1063"/>
      <c r="AT1340" s="1063"/>
      <c r="AU1340" s="1063"/>
      <c r="AV1340" s="1063"/>
    </row>
    <row r="1341" spans="1:48" s="1108" customFormat="1" ht="27.75" customHeight="1">
      <c r="A1341" s="1076"/>
      <c r="B1341" s="1074">
        <f>+'[18]Bldg+Dev'!S2153</f>
        <v>0</v>
      </c>
      <c r="D1341" s="1063"/>
      <c r="F1341" s="1076"/>
      <c r="G1341" s="1063"/>
      <c r="H1341" s="1063"/>
      <c r="I1341" s="1063"/>
      <c r="J1341" s="1063"/>
      <c r="K1341" s="1063"/>
      <c r="L1341" s="1063"/>
      <c r="M1341" s="1063"/>
      <c r="N1341" s="1063"/>
      <c r="O1341" s="1063"/>
      <c r="P1341" s="1063"/>
      <c r="Q1341" s="1063"/>
      <c r="R1341" s="1063"/>
      <c r="S1341" s="1063"/>
      <c r="T1341" s="1063"/>
      <c r="U1341" s="1063"/>
      <c r="V1341" s="1063"/>
      <c r="W1341" s="1063"/>
      <c r="X1341" s="1063"/>
      <c r="Y1341" s="1063"/>
      <c r="Z1341" s="1063"/>
      <c r="AA1341" s="1063"/>
      <c r="AB1341" s="1063"/>
      <c r="AC1341" s="1063"/>
      <c r="AD1341" s="1063"/>
      <c r="AE1341" s="1063"/>
      <c r="AF1341" s="1063"/>
      <c r="AG1341" s="1063"/>
      <c r="AH1341" s="1063"/>
      <c r="AI1341" s="1063"/>
      <c r="AJ1341" s="1063"/>
      <c r="AK1341" s="1063"/>
      <c r="AL1341" s="1063"/>
      <c r="AM1341" s="1063"/>
      <c r="AN1341" s="1063"/>
      <c r="AO1341" s="1063"/>
      <c r="AP1341" s="1063"/>
      <c r="AQ1341" s="1063"/>
      <c r="AR1341" s="1063"/>
      <c r="AS1341" s="1063"/>
      <c r="AT1341" s="1063"/>
      <c r="AU1341" s="1063"/>
      <c r="AV1341" s="1063"/>
    </row>
    <row r="1342" spans="1:48" s="1108" customFormat="1" ht="27.75" customHeight="1">
      <c r="A1342" s="1076"/>
      <c r="B1342" s="1074">
        <f>+'[18]Bldg+Dev'!S2154</f>
        <v>0</v>
      </c>
      <c r="D1342" s="1063"/>
      <c r="F1342" s="1076"/>
      <c r="G1342" s="1063"/>
      <c r="H1342" s="1063"/>
      <c r="I1342" s="1063"/>
      <c r="J1342" s="1063"/>
      <c r="K1342" s="1063"/>
      <c r="L1342" s="1063"/>
      <c r="M1342" s="1063"/>
      <c r="N1342" s="1063"/>
      <c r="O1342" s="1063"/>
      <c r="P1342" s="1063"/>
      <c r="Q1342" s="1063"/>
      <c r="R1342" s="1063"/>
      <c r="S1342" s="1063"/>
      <c r="T1342" s="1063"/>
      <c r="U1342" s="1063"/>
      <c r="V1342" s="1063"/>
      <c r="W1342" s="1063"/>
      <c r="X1342" s="1063"/>
      <c r="Y1342" s="1063"/>
      <c r="Z1342" s="1063"/>
      <c r="AA1342" s="1063"/>
      <c r="AB1342" s="1063"/>
      <c r="AC1342" s="1063"/>
      <c r="AD1342" s="1063"/>
      <c r="AE1342" s="1063"/>
      <c r="AF1342" s="1063"/>
      <c r="AG1342" s="1063"/>
      <c r="AH1342" s="1063"/>
      <c r="AI1342" s="1063"/>
      <c r="AJ1342" s="1063"/>
      <c r="AK1342" s="1063"/>
      <c r="AL1342" s="1063"/>
      <c r="AM1342" s="1063"/>
      <c r="AN1342" s="1063"/>
      <c r="AO1342" s="1063"/>
      <c r="AP1342" s="1063"/>
      <c r="AQ1342" s="1063"/>
      <c r="AR1342" s="1063"/>
      <c r="AS1342" s="1063"/>
      <c r="AT1342" s="1063"/>
      <c r="AU1342" s="1063"/>
      <c r="AV1342" s="1063"/>
    </row>
    <row r="1343" spans="1:48" s="1108" customFormat="1" ht="27.75" customHeight="1">
      <c r="A1343" s="1076"/>
      <c r="B1343" s="1074">
        <f>+'[18]Bldg+Dev'!S2155</f>
        <v>0</v>
      </c>
      <c r="D1343" s="1063"/>
      <c r="F1343" s="1076"/>
      <c r="G1343" s="1063"/>
      <c r="H1343" s="1063"/>
      <c r="I1343" s="1063"/>
      <c r="J1343" s="1063"/>
      <c r="K1343" s="1063"/>
      <c r="L1343" s="1063"/>
      <c r="M1343" s="1063"/>
      <c r="N1343" s="1063"/>
      <c r="O1343" s="1063"/>
      <c r="P1343" s="1063"/>
      <c r="Q1343" s="1063"/>
      <c r="R1343" s="1063"/>
      <c r="S1343" s="1063"/>
      <c r="T1343" s="1063"/>
      <c r="U1343" s="1063"/>
      <c r="V1343" s="1063"/>
      <c r="W1343" s="1063"/>
      <c r="X1343" s="1063"/>
      <c r="Y1343" s="1063"/>
      <c r="Z1343" s="1063"/>
      <c r="AA1343" s="1063"/>
      <c r="AB1343" s="1063"/>
      <c r="AC1343" s="1063"/>
      <c r="AD1343" s="1063"/>
      <c r="AE1343" s="1063"/>
      <c r="AF1343" s="1063"/>
      <c r="AG1343" s="1063"/>
      <c r="AH1343" s="1063"/>
      <c r="AI1343" s="1063"/>
      <c r="AJ1343" s="1063"/>
      <c r="AK1343" s="1063"/>
      <c r="AL1343" s="1063"/>
      <c r="AM1343" s="1063"/>
      <c r="AN1343" s="1063"/>
      <c r="AO1343" s="1063"/>
      <c r="AP1343" s="1063"/>
      <c r="AQ1343" s="1063"/>
      <c r="AR1343" s="1063"/>
      <c r="AS1343" s="1063"/>
      <c r="AT1343" s="1063"/>
      <c r="AU1343" s="1063"/>
      <c r="AV1343" s="1063"/>
    </row>
    <row r="1344" spans="1:48" s="1108" customFormat="1" ht="27.75" customHeight="1">
      <c r="A1344" s="1076"/>
      <c r="B1344" s="1074">
        <f>+'[18]Bldg+Dev'!S2156</f>
        <v>0</v>
      </c>
      <c r="D1344" s="1063"/>
      <c r="F1344" s="1076"/>
      <c r="G1344" s="1063"/>
      <c r="H1344" s="1063"/>
      <c r="I1344" s="1063"/>
      <c r="J1344" s="1063"/>
      <c r="K1344" s="1063"/>
      <c r="L1344" s="1063"/>
      <c r="M1344" s="1063"/>
      <c r="N1344" s="1063"/>
      <c r="O1344" s="1063"/>
      <c r="P1344" s="1063"/>
      <c r="Q1344" s="1063"/>
      <c r="R1344" s="1063"/>
      <c r="S1344" s="1063"/>
      <c r="T1344" s="1063"/>
      <c r="U1344" s="1063"/>
      <c r="V1344" s="1063"/>
      <c r="W1344" s="1063"/>
      <c r="X1344" s="1063"/>
      <c r="Y1344" s="1063"/>
      <c r="Z1344" s="1063"/>
      <c r="AA1344" s="1063"/>
      <c r="AB1344" s="1063"/>
      <c r="AC1344" s="1063"/>
      <c r="AD1344" s="1063"/>
      <c r="AE1344" s="1063"/>
      <c r="AF1344" s="1063"/>
      <c r="AG1344" s="1063"/>
      <c r="AH1344" s="1063"/>
      <c r="AI1344" s="1063"/>
      <c r="AJ1344" s="1063"/>
      <c r="AK1344" s="1063"/>
      <c r="AL1344" s="1063"/>
      <c r="AM1344" s="1063"/>
      <c r="AN1344" s="1063"/>
      <c r="AO1344" s="1063"/>
      <c r="AP1344" s="1063"/>
      <c r="AQ1344" s="1063"/>
      <c r="AR1344" s="1063"/>
      <c r="AS1344" s="1063"/>
      <c r="AT1344" s="1063"/>
      <c r="AU1344" s="1063"/>
      <c r="AV1344" s="1063"/>
    </row>
    <row r="1345" spans="1:48" s="1108" customFormat="1" ht="27.75" customHeight="1">
      <c r="A1345" s="1076"/>
      <c r="B1345" s="1074">
        <f>+'[18]Bldg+Dev'!S2157</f>
        <v>0</v>
      </c>
      <c r="D1345" s="1063"/>
      <c r="F1345" s="1076"/>
      <c r="G1345" s="1063"/>
      <c r="H1345" s="1063"/>
      <c r="I1345" s="1063"/>
      <c r="J1345" s="1063"/>
      <c r="K1345" s="1063"/>
      <c r="L1345" s="1063"/>
      <c r="M1345" s="1063"/>
      <c r="N1345" s="1063"/>
      <c r="O1345" s="1063"/>
      <c r="P1345" s="1063"/>
      <c r="Q1345" s="1063"/>
      <c r="R1345" s="1063"/>
      <c r="S1345" s="1063"/>
      <c r="T1345" s="1063"/>
      <c r="U1345" s="1063"/>
      <c r="V1345" s="1063"/>
      <c r="W1345" s="1063"/>
      <c r="X1345" s="1063"/>
      <c r="Y1345" s="1063"/>
      <c r="Z1345" s="1063"/>
      <c r="AA1345" s="1063"/>
      <c r="AB1345" s="1063"/>
      <c r="AC1345" s="1063"/>
      <c r="AD1345" s="1063"/>
      <c r="AE1345" s="1063"/>
      <c r="AF1345" s="1063"/>
      <c r="AG1345" s="1063"/>
      <c r="AH1345" s="1063"/>
      <c r="AI1345" s="1063"/>
      <c r="AJ1345" s="1063"/>
      <c r="AK1345" s="1063"/>
      <c r="AL1345" s="1063"/>
      <c r="AM1345" s="1063"/>
      <c r="AN1345" s="1063"/>
      <c r="AO1345" s="1063"/>
      <c r="AP1345" s="1063"/>
      <c r="AQ1345" s="1063"/>
      <c r="AR1345" s="1063"/>
      <c r="AS1345" s="1063"/>
      <c r="AT1345" s="1063"/>
      <c r="AU1345" s="1063"/>
      <c r="AV1345" s="1063"/>
    </row>
    <row r="1346" spans="1:48" s="1108" customFormat="1" ht="27.75" customHeight="1">
      <c r="A1346" s="1076"/>
      <c r="B1346" s="1074">
        <f>+'[18]Bldg+Dev'!S2158</f>
        <v>0</v>
      </c>
      <c r="D1346" s="1063"/>
      <c r="F1346" s="1076"/>
      <c r="G1346" s="1063"/>
      <c r="H1346" s="1063"/>
      <c r="I1346" s="1063"/>
      <c r="J1346" s="1063"/>
      <c r="K1346" s="1063"/>
      <c r="L1346" s="1063"/>
      <c r="M1346" s="1063"/>
      <c r="N1346" s="1063"/>
      <c r="O1346" s="1063"/>
      <c r="P1346" s="1063"/>
      <c r="Q1346" s="1063"/>
      <c r="R1346" s="1063"/>
      <c r="S1346" s="1063"/>
      <c r="T1346" s="1063"/>
      <c r="U1346" s="1063"/>
      <c r="V1346" s="1063"/>
      <c r="W1346" s="1063"/>
      <c r="X1346" s="1063"/>
      <c r="Y1346" s="1063"/>
      <c r="Z1346" s="1063"/>
      <c r="AA1346" s="1063"/>
      <c r="AB1346" s="1063"/>
      <c r="AC1346" s="1063"/>
      <c r="AD1346" s="1063"/>
      <c r="AE1346" s="1063"/>
      <c r="AF1346" s="1063"/>
      <c r="AG1346" s="1063"/>
      <c r="AH1346" s="1063"/>
      <c r="AI1346" s="1063"/>
      <c r="AJ1346" s="1063"/>
      <c r="AK1346" s="1063"/>
      <c r="AL1346" s="1063"/>
      <c r="AM1346" s="1063"/>
      <c r="AN1346" s="1063"/>
      <c r="AO1346" s="1063"/>
      <c r="AP1346" s="1063"/>
      <c r="AQ1346" s="1063"/>
      <c r="AR1346" s="1063"/>
      <c r="AS1346" s="1063"/>
      <c r="AT1346" s="1063"/>
      <c r="AU1346" s="1063"/>
      <c r="AV1346" s="1063"/>
    </row>
    <row r="1347" spans="1:48" s="1108" customFormat="1" ht="27.75" customHeight="1">
      <c r="A1347" s="1076"/>
      <c r="B1347" s="1074">
        <f>+'[18]Bldg+Dev'!S2159</f>
        <v>0</v>
      </c>
      <c r="D1347" s="1063"/>
      <c r="F1347" s="1076"/>
      <c r="G1347" s="1063"/>
      <c r="H1347" s="1063"/>
      <c r="I1347" s="1063"/>
      <c r="J1347" s="1063"/>
      <c r="K1347" s="1063"/>
      <c r="L1347" s="1063"/>
      <c r="M1347" s="1063"/>
      <c r="N1347" s="1063"/>
      <c r="O1347" s="1063"/>
      <c r="P1347" s="1063"/>
      <c r="Q1347" s="1063"/>
      <c r="R1347" s="1063"/>
      <c r="S1347" s="1063"/>
      <c r="T1347" s="1063"/>
      <c r="U1347" s="1063"/>
      <c r="V1347" s="1063"/>
      <c r="W1347" s="1063"/>
      <c r="X1347" s="1063"/>
      <c r="Y1347" s="1063"/>
      <c r="Z1347" s="1063"/>
      <c r="AA1347" s="1063"/>
      <c r="AB1347" s="1063"/>
      <c r="AC1347" s="1063"/>
      <c r="AD1347" s="1063"/>
      <c r="AE1347" s="1063"/>
      <c r="AF1347" s="1063"/>
      <c r="AG1347" s="1063"/>
      <c r="AH1347" s="1063"/>
      <c r="AI1347" s="1063"/>
      <c r="AJ1347" s="1063"/>
      <c r="AK1347" s="1063"/>
      <c r="AL1347" s="1063"/>
      <c r="AM1347" s="1063"/>
      <c r="AN1347" s="1063"/>
      <c r="AO1347" s="1063"/>
      <c r="AP1347" s="1063"/>
      <c r="AQ1347" s="1063"/>
      <c r="AR1347" s="1063"/>
      <c r="AS1347" s="1063"/>
      <c r="AT1347" s="1063"/>
      <c r="AU1347" s="1063"/>
      <c r="AV1347" s="1063"/>
    </row>
    <row r="1348" spans="1:48" s="1108" customFormat="1" ht="27.75" customHeight="1">
      <c r="A1348" s="1076"/>
      <c r="B1348" s="1074">
        <f>+'[18]Bldg+Dev'!S2160</f>
        <v>0</v>
      </c>
      <c r="D1348" s="1063"/>
      <c r="F1348" s="1076"/>
      <c r="G1348" s="1063"/>
      <c r="H1348" s="1063"/>
      <c r="I1348" s="1063"/>
      <c r="J1348" s="1063"/>
      <c r="K1348" s="1063"/>
      <c r="L1348" s="1063"/>
      <c r="M1348" s="1063"/>
      <c r="N1348" s="1063"/>
      <c r="O1348" s="1063"/>
      <c r="P1348" s="1063"/>
      <c r="Q1348" s="1063"/>
      <c r="R1348" s="1063"/>
      <c r="S1348" s="1063"/>
      <c r="T1348" s="1063"/>
      <c r="U1348" s="1063"/>
      <c r="V1348" s="1063"/>
      <c r="W1348" s="1063"/>
      <c r="X1348" s="1063"/>
      <c r="Y1348" s="1063"/>
      <c r="Z1348" s="1063"/>
      <c r="AA1348" s="1063"/>
      <c r="AB1348" s="1063"/>
      <c r="AC1348" s="1063"/>
      <c r="AD1348" s="1063"/>
      <c r="AE1348" s="1063"/>
      <c r="AF1348" s="1063"/>
      <c r="AG1348" s="1063"/>
      <c r="AH1348" s="1063"/>
      <c r="AI1348" s="1063"/>
      <c r="AJ1348" s="1063"/>
      <c r="AK1348" s="1063"/>
      <c r="AL1348" s="1063"/>
      <c r="AM1348" s="1063"/>
      <c r="AN1348" s="1063"/>
      <c r="AO1348" s="1063"/>
      <c r="AP1348" s="1063"/>
      <c r="AQ1348" s="1063"/>
      <c r="AR1348" s="1063"/>
      <c r="AS1348" s="1063"/>
      <c r="AT1348" s="1063"/>
      <c r="AU1348" s="1063"/>
      <c r="AV1348" s="1063"/>
    </row>
    <row r="1349" spans="1:48" s="1108" customFormat="1" ht="27.75" customHeight="1">
      <c r="A1349" s="1076"/>
      <c r="B1349" s="1074">
        <f>+'[18]Bldg+Dev'!S2161</f>
        <v>0</v>
      </c>
      <c r="D1349" s="1063"/>
      <c r="F1349" s="1076"/>
      <c r="G1349" s="1063"/>
      <c r="H1349" s="1063"/>
      <c r="I1349" s="1063"/>
      <c r="J1349" s="1063"/>
      <c r="K1349" s="1063"/>
      <c r="L1349" s="1063"/>
      <c r="M1349" s="1063"/>
      <c r="N1349" s="1063"/>
      <c r="O1349" s="1063"/>
      <c r="P1349" s="1063"/>
      <c r="Q1349" s="1063"/>
      <c r="R1349" s="1063"/>
      <c r="S1349" s="1063"/>
      <c r="T1349" s="1063"/>
      <c r="U1349" s="1063"/>
      <c r="V1349" s="1063"/>
      <c r="W1349" s="1063"/>
      <c r="X1349" s="1063"/>
      <c r="Y1349" s="1063"/>
      <c r="Z1349" s="1063"/>
      <c r="AA1349" s="1063"/>
      <c r="AB1349" s="1063"/>
      <c r="AC1349" s="1063"/>
      <c r="AD1349" s="1063"/>
      <c r="AE1349" s="1063"/>
      <c r="AF1349" s="1063"/>
      <c r="AG1349" s="1063"/>
      <c r="AH1349" s="1063"/>
      <c r="AI1349" s="1063"/>
      <c r="AJ1349" s="1063"/>
      <c r="AK1349" s="1063"/>
      <c r="AL1349" s="1063"/>
      <c r="AM1349" s="1063"/>
      <c r="AN1349" s="1063"/>
      <c r="AO1349" s="1063"/>
      <c r="AP1349" s="1063"/>
      <c r="AQ1349" s="1063"/>
      <c r="AR1349" s="1063"/>
      <c r="AS1349" s="1063"/>
      <c r="AT1349" s="1063"/>
      <c r="AU1349" s="1063"/>
      <c r="AV1349" s="1063"/>
    </row>
    <row r="1350" spans="1:48" s="1108" customFormat="1" ht="27.75" customHeight="1">
      <c r="A1350" s="1076"/>
      <c r="B1350" s="1074">
        <f>+'[18]Bldg+Dev'!S2162</f>
        <v>0</v>
      </c>
      <c r="D1350" s="1063"/>
      <c r="F1350" s="1076"/>
      <c r="G1350" s="1063"/>
      <c r="H1350" s="1063"/>
      <c r="I1350" s="1063"/>
      <c r="J1350" s="1063"/>
      <c r="K1350" s="1063"/>
      <c r="L1350" s="1063"/>
      <c r="M1350" s="1063"/>
      <c r="N1350" s="1063"/>
      <c r="O1350" s="1063"/>
      <c r="P1350" s="1063"/>
      <c r="Q1350" s="1063"/>
      <c r="R1350" s="1063"/>
      <c r="S1350" s="1063"/>
      <c r="T1350" s="1063"/>
      <c r="U1350" s="1063"/>
      <c r="V1350" s="1063"/>
      <c r="W1350" s="1063"/>
      <c r="X1350" s="1063"/>
      <c r="Y1350" s="1063"/>
      <c r="Z1350" s="1063"/>
      <c r="AA1350" s="1063"/>
      <c r="AB1350" s="1063"/>
      <c r="AC1350" s="1063"/>
      <c r="AD1350" s="1063"/>
      <c r="AE1350" s="1063"/>
      <c r="AF1350" s="1063"/>
      <c r="AG1350" s="1063"/>
      <c r="AH1350" s="1063"/>
      <c r="AI1350" s="1063"/>
      <c r="AJ1350" s="1063"/>
      <c r="AK1350" s="1063"/>
      <c r="AL1350" s="1063"/>
      <c r="AM1350" s="1063"/>
      <c r="AN1350" s="1063"/>
      <c r="AO1350" s="1063"/>
      <c r="AP1350" s="1063"/>
      <c r="AQ1350" s="1063"/>
      <c r="AR1350" s="1063"/>
      <c r="AS1350" s="1063"/>
      <c r="AT1350" s="1063"/>
      <c r="AU1350" s="1063"/>
      <c r="AV1350" s="1063"/>
    </row>
    <row r="1351" spans="1:48" s="1108" customFormat="1" ht="27.75" customHeight="1">
      <c r="A1351" s="1076"/>
      <c r="B1351" s="1074">
        <f>+'[18]Bldg+Dev'!S2163</f>
        <v>0</v>
      </c>
      <c r="D1351" s="1063"/>
      <c r="F1351" s="1076"/>
      <c r="G1351" s="1063"/>
      <c r="H1351" s="1063"/>
      <c r="I1351" s="1063"/>
      <c r="J1351" s="1063"/>
      <c r="K1351" s="1063"/>
      <c r="L1351" s="1063"/>
      <c r="M1351" s="1063"/>
      <c r="N1351" s="1063"/>
      <c r="O1351" s="1063"/>
      <c r="P1351" s="1063"/>
      <c r="Q1351" s="1063"/>
      <c r="R1351" s="1063"/>
      <c r="S1351" s="1063"/>
      <c r="T1351" s="1063"/>
      <c r="U1351" s="1063"/>
      <c r="V1351" s="1063"/>
      <c r="W1351" s="1063"/>
      <c r="X1351" s="1063"/>
      <c r="Y1351" s="1063"/>
      <c r="Z1351" s="1063"/>
      <c r="AA1351" s="1063"/>
      <c r="AB1351" s="1063"/>
      <c r="AC1351" s="1063"/>
      <c r="AD1351" s="1063"/>
      <c r="AE1351" s="1063"/>
      <c r="AF1351" s="1063"/>
      <c r="AG1351" s="1063"/>
      <c r="AH1351" s="1063"/>
      <c r="AI1351" s="1063"/>
      <c r="AJ1351" s="1063"/>
      <c r="AK1351" s="1063"/>
      <c r="AL1351" s="1063"/>
      <c r="AM1351" s="1063"/>
      <c r="AN1351" s="1063"/>
      <c r="AO1351" s="1063"/>
      <c r="AP1351" s="1063"/>
      <c r="AQ1351" s="1063"/>
      <c r="AR1351" s="1063"/>
      <c r="AS1351" s="1063"/>
      <c r="AT1351" s="1063"/>
      <c r="AU1351" s="1063"/>
      <c r="AV1351" s="1063"/>
    </row>
    <row r="1352" spans="1:48" s="1108" customFormat="1" ht="27.75" customHeight="1">
      <c r="A1352" s="1076"/>
      <c r="B1352" s="1074">
        <f>+'[18]Bldg+Dev'!S2164</f>
        <v>0</v>
      </c>
      <c r="D1352" s="1063"/>
      <c r="F1352" s="1076"/>
      <c r="G1352" s="1063"/>
      <c r="H1352" s="1063"/>
      <c r="I1352" s="1063"/>
      <c r="J1352" s="1063"/>
      <c r="K1352" s="1063"/>
      <c r="L1352" s="1063"/>
      <c r="M1352" s="1063"/>
      <c r="N1352" s="1063"/>
      <c r="O1352" s="1063"/>
      <c r="P1352" s="1063"/>
      <c r="Q1352" s="1063"/>
      <c r="R1352" s="1063"/>
      <c r="S1352" s="1063"/>
      <c r="T1352" s="1063"/>
      <c r="U1352" s="1063"/>
      <c r="V1352" s="1063"/>
      <c r="W1352" s="1063"/>
      <c r="X1352" s="1063"/>
      <c r="Y1352" s="1063"/>
      <c r="Z1352" s="1063"/>
      <c r="AA1352" s="1063"/>
      <c r="AB1352" s="1063"/>
      <c r="AC1352" s="1063"/>
      <c r="AD1352" s="1063"/>
      <c r="AE1352" s="1063"/>
      <c r="AF1352" s="1063"/>
      <c r="AG1352" s="1063"/>
      <c r="AH1352" s="1063"/>
      <c r="AI1352" s="1063"/>
      <c r="AJ1352" s="1063"/>
      <c r="AK1352" s="1063"/>
      <c r="AL1352" s="1063"/>
      <c r="AM1352" s="1063"/>
      <c r="AN1352" s="1063"/>
      <c r="AO1352" s="1063"/>
      <c r="AP1352" s="1063"/>
      <c r="AQ1352" s="1063"/>
      <c r="AR1352" s="1063"/>
      <c r="AS1352" s="1063"/>
      <c r="AT1352" s="1063"/>
      <c r="AU1352" s="1063"/>
      <c r="AV1352" s="1063"/>
    </row>
    <row r="1353" spans="1:48" s="1108" customFormat="1" ht="27.75" customHeight="1">
      <c r="A1353" s="1076"/>
      <c r="B1353" s="1074">
        <f>+'[18]Bldg+Dev'!S2165</f>
        <v>0</v>
      </c>
      <c r="D1353" s="1063"/>
      <c r="F1353" s="1076"/>
      <c r="G1353" s="1063"/>
      <c r="H1353" s="1063"/>
      <c r="I1353" s="1063"/>
      <c r="J1353" s="1063"/>
      <c r="K1353" s="1063"/>
      <c r="L1353" s="1063"/>
      <c r="M1353" s="1063"/>
      <c r="N1353" s="1063"/>
      <c r="O1353" s="1063"/>
      <c r="P1353" s="1063"/>
      <c r="Q1353" s="1063"/>
      <c r="R1353" s="1063"/>
      <c r="S1353" s="1063"/>
      <c r="T1353" s="1063"/>
      <c r="U1353" s="1063"/>
      <c r="V1353" s="1063"/>
      <c r="W1353" s="1063"/>
      <c r="X1353" s="1063"/>
      <c r="Y1353" s="1063"/>
      <c r="Z1353" s="1063"/>
      <c r="AA1353" s="1063"/>
      <c r="AB1353" s="1063"/>
      <c r="AC1353" s="1063"/>
      <c r="AD1353" s="1063"/>
      <c r="AE1353" s="1063"/>
      <c r="AF1353" s="1063"/>
      <c r="AG1353" s="1063"/>
      <c r="AH1353" s="1063"/>
      <c r="AI1353" s="1063"/>
      <c r="AJ1353" s="1063"/>
      <c r="AK1353" s="1063"/>
      <c r="AL1353" s="1063"/>
      <c r="AM1353" s="1063"/>
      <c r="AN1353" s="1063"/>
      <c r="AO1353" s="1063"/>
      <c r="AP1353" s="1063"/>
      <c r="AQ1353" s="1063"/>
      <c r="AR1353" s="1063"/>
      <c r="AS1353" s="1063"/>
      <c r="AT1353" s="1063"/>
      <c r="AU1353" s="1063"/>
      <c r="AV1353" s="1063"/>
    </row>
    <row r="1354" spans="1:48" s="1108" customFormat="1" ht="27.75" customHeight="1">
      <c r="A1354" s="1076"/>
      <c r="B1354" s="1074">
        <f>+'[18]Bldg+Dev'!S2166</f>
        <v>0</v>
      </c>
      <c r="D1354" s="1063"/>
      <c r="F1354" s="1076"/>
      <c r="G1354" s="1063"/>
      <c r="H1354" s="1063"/>
      <c r="I1354" s="1063"/>
      <c r="J1354" s="1063"/>
      <c r="K1354" s="1063"/>
      <c r="L1354" s="1063"/>
      <c r="M1354" s="1063"/>
      <c r="N1354" s="1063"/>
      <c r="O1354" s="1063"/>
      <c r="P1354" s="1063"/>
      <c r="Q1354" s="1063"/>
      <c r="R1354" s="1063"/>
      <c r="S1354" s="1063"/>
      <c r="T1354" s="1063"/>
      <c r="U1354" s="1063"/>
      <c r="V1354" s="1063"/>
      <c r="W1354" s="1063"/>
      <c r="X1354" s="1063"/>
      <c r="Y1354" s="1063"/>
      <c r="Z1354" s="1063"/>
      <c r="AA1354" s="1063"/>
      <c r="AB1354" s="1063"/>
      <c r="AC1354" s="1063"/>
      <c r="AD1354" s="1063"/>
      <c r="AE1354" s="1063"/>
      <c r="AF1354" s="1063"/>
      <c r="AG1354" s="1063"/>
      <c r="AH1354" s="1063"/>
      <c r="AI1354" s="1063"/>
      <c r="AJ1354" s="1063"/>
      <c r="AK1354" s="1063"/>
      <c r="AL1354" s="1063"/>
      <c r="AM1354" s="1063"/>
      <c r="AN1354" s="1063"/>
      <c r="AO1354" s="1063"/>
      <c r="AP1354" s="1063"/>
      <c r="AQ1354" s="1063"/>
      <c r="AR1354" s="1063"/>
      <c r="AS1354" s="1063"/>
      <c r="AT1354" s="1063"/>
      <c r="AU1354" s="1063"/>
      <c r="AV1354" s="1063"/>
    </row>
    <row r="1355" spans="1:48" s="1108" customFormat="1" ht="27.75" customHeight="1">
      <c r="A1355" s="1076"/>
      <c r="B1355" s="1074">
        <f>+'[18]Bldg+Dev'!S2167</f>
        <v>0</v>
      </c>
      <c r="D1355" s="1063"/>
      <c r="F1355" s="1076"/>
      <c r="G1355" s="1063"/>
      <c r="H1355" s="1063"/>
      <c r="I1355" s="1063"/>
      <c r="J1355" s="1063"/>
      <c r="K1355" s="1063"/>
      <c r="L1355" s="1063"/>
      <c r="M1355" s="1063"/>
      <c r="N1355" s="1063"/>
      <c r="O1355" s="1063"/>
      <c r="P1355" s="1063"/>
      <c r="Q1355" s="1063"/>
      <c r="R1355" s="1063"/>
      <c r="S1355" s="1063"/>
      <c r="T1355" s="1063"/>
      <c r="U1355" s="1063"/>
      <c r="V1355" s="1063"/>
      <c r="W1355" s="1063"/>
      <c r="X1355" s="1063"/>
      <c r="Y1355" s="1063"/>
      <c r="Z1355" s="1063"/>
      <c r="AA1355" s="1063"/>
      <c r="AB1355" s="1063"/>
      <c r="AC1355" s="1063"/>
      <c r="AD1355" s="1063"/>
      <c r="AE1355" s="1063"/>
      <c r="AF1355" s="1063"/>
      <c r="AG1355" s="1063"/>
      <c r="AH1355" s="1063"/>
      <c r="AI1355" s="1063"/>
      <c r="AJ1355" s="1063"/>
      <c r="AK1355" s="1063"/>
      <c r="AL1355" s="1063"/>
      <c r="AM1355" s="1063"/>
      <c r="AN1355" s="1063"/>
      <c r="AO1355" s="1063"/>
      <c r="AP1355" s="1063"/>
      <c r="AQ1355" s="1063"/>
      <c r="AR1355" s="1063"/>
      <c r="AS1355" s="1063"/>
      <c r="AT1355" s="1063"/>
      <c r="AU1355" s="1063"/>
      <c r="AV1355" s="1063"/>
    </row>
    <row r="1356" spans="1:48" s="1108" customFormat="1" ht="27.75" customHeight="1">
      <c r="A1356" s="1076"/>
      <c r="B1356" s="1074">
        <f>+'[18]Bldg+Dev'!S2168</f>
        <v>0</v>
      </c>
      <c r="D1356" s="1063"/>
      <c r="F1356" s="1076"/>
      <c r="G1356" s="1063"/>
      <c r="H1356" s="1063"/>
      <c r="I1356" s="1063"/>
      <c r="J1356" s="1063"/>
      <c r="K1356" s="1063"/>
      <c r="L1356" s="1063"/>
      <c r="M1356" s="1063"/>
      <c r="N1356" s="1063"/>
      <c r="O1356" s="1063"/>
      <c r="P1356" s="1063"/>
      <c r="Q1356" s="1063"/>
      <c r="R1356" s="1063"/>
      <c r="S1356" s="1063"/>
      <c r="T1356" s="1063"/>
      <c r="U1356" s="1063"/>
      <c r="V1356" s="1063"/>
      <c r="W1356" s="1063"/>
      <c r="X1356" s="1063"/>
      <c r="Y1356" s="1063"/>
      <c r="Z1356" s="1063"/>
      <c r="AA1356" s="1063"/>
      <c r="AB1356" s="1063"/>
      <c r="AC1356" s="1063"/>
      <c r="AD1356" s="1063"/>
      <c r="AE1356" s="1063"/>
      <c r="AF1356" s="1063"/>
      <c r="AG1356" s="1063"/>
      <c r="AH1356" s="1063"/>
      <c r="AI1356" s="1063"/>
      <c r="AJ1356" s="1063"/>
      <c r="AK1356" s="1063"/>
      <c r="AL1356" s="1063"/>
      <c r="AM1356" s="1063"/>
      <c r="AN1356" s="1063"/>
      <c r="AO1356" s="1063"/>
      <c r="AP1356" s="1063"/>
      <c r="AQ1356" s="1063"/>
      <c r="AR1356" s="1063"/>
      <c r="AS1356" s="1063"/>
      <c r="AT1356" s="1063"/>
      <c r="AU1356" s="1063"/>
      <c r="AV1356" s="1063"/>
    </row>
    <row r="1357" spans="1:48" s="1108" customFormat="1" ht="27.75" customHeight="1">
      <c r="A1357" s="1076"/>
      <c r="B1357" s="1074">
        <f>+'[18]Bldg+Dev'!S2169</f>
        <v>0</v>
      </c>
      <c r="D1357" s="1063"/>
      <c r="F1357" s="1076"/>
      <c r="G1357" s="1063"/>
      <c r="H1357" s="1063"/>
      <c r="I1357" s="1063"/>
      <c r="J1357" s="1063"/>
      <c r="K1357" s="1063"/>
      <c r="L1357" s="1063"/>
      <c r="M1357" s="1063"/>
      <c r="N1357" s="1063"/>
      <c r="O1357" s="1063"/>
      <c r="P1357" s="1063"/>
      <c r="Q1357" s="1063"/>
      <c r="R1357" s="1063"/>
      <c r="S1357" s="1063"/>
      <c r="T1357" s="1063"/>
      <c r="U1357" s="1063"/>
      <c r="V1357" s="1063"/>
      <c r="W1357" s="1063"/>
      <c r="X1357" s="1063"/>
      <c r="Y1357" s="1063"/>
      <c r="Z1357" s="1063"/>
      <c r="AA1357" s="1063"/>
      <c r="AB1357" s="1063"/>
      <c r="AC1357" s="1063"/>
      <c r="AD1357" s="1063"/>
      <c r="AE1357" s="1063"/>
      <c r="AF1357" s="1063"/>
      <c r="AG1357" s="1063"/>
      <c r="AH1357" s="1063"/>
      <c r="AI1357" s="1063"/>
      <c r="AJ1357" s="1063"/>
      <c r="AK1357" s="1063"/>
      <c r="AL1357" s="1063"/>
      <c r="AM1357" s="1063"/>
      <c r="AN1357" s="1063"/>
      <c r="AO1357" s="1063"/>
      <c r="AP1357" s="1063"/>
      <c r="AQ1357" s="1063"/>
      <c r="AR1357" s="1063"/>
      <c r="AS1357" s="1063"/>
      <c r="AT1357" s="1063"/>
      <c r="AU1357" s="1063"/>
      <c r="AV1357" s="1063"/>
    </row>
    <row r="1358" spans="1:48" s="1108" customFormat="1" ht="27.75" customHeight="1">
      <c r="A1358" s="1076"/>
      <c r="B1358" s="1074">
        <f>+'[18]Bldg+Dev'!S2170</f>
        <v>0</v>
      </c>
      <c r="D1358" s="1063"/>
      <c r="F1358" s="1076"/>
      <c r="G1358" s="1063"/>
      <c r="H1358" s="1063"/>
      <c r="I1358" s="1063"/>
      <c r="J1358" s="1063"/>
      <c r="K1358" s="1063"/>
      <c r="L1358" s="1063"/>
      <c r="M1358" s="1063"/>
      <c r="N1358" s="1063"/>
      <c r="O1358" s="1063"/>
      <c r="P1358" s="1063"/>
      <c r="Q1358" s="1063"/>
      <c r="R1358" s="1063"/>
      <c r="S1358" s="1063"/>
      <c r="T1358" s="1063"/>
      <c r="U1358" s="1063"/>
      <c r="V1358" s="1063"/>
      <c r="W1358" s="1063"/>
      <c r="X1358" s="1063"/>
      <c r="Y1358" s="1063"/>
      <c r="Z1358" s="1063"/>
      <c r="AA1358" s="1063"/>
      <c r="AB1358" s="1063"/>
      <c r="AC1358" s="1063"/>
      <c r="AD1358" s="1063"/>
      <c r="AE1358" s="1063"/>
      <c r="AF1358" s="1063"/>
      <c r="AG1358" s="1063"/>
      <c r="AH1358" s="1063"/>
      <c r="AI1358" s="1063"/>
      <c r="AJ1358" s="1063"/>
      <c r="AK1358" s="1063"/>
      <c r="AL1358" s="1063"/>
      <c r="AM1358" s="1063"/>
      <c r="AN1358" s="1063"/>
      <c r="AO1358" s="1063"/>
      <c r="AP1358" s="1063"/>
      <c r="AQ1358" s="1063"/>
      <c r="AR1358" s="1063"/>
      <c r="AS1358" s="1063"/>
      <c r="AT1358" s="1063"/>
      <c r="AU1358" s="1063"/>
      <c r="AV1358" s="1063"/>
    </row>
    <row r="1359" spans="1:48" s="1108" customFormat="1" ht="27.75" customHeight="1">
      <c r="A1359" s="1076"/>
      <c r="B1359" s="1074">
        <f>+'[18]Bldg+Dev'!S2171</f>
        <v>0</v>
      </c>
      <c r="D1359" s="1063"/>
      <c r="F1359" s="1076"/>
      <c r="G1359" s="1063"/>
      <c r="H1359" s="1063"/>
      <c r="I1359" s="1063"/>
      <c r="J1359" s="1063"/>
      <c r="K1359" s="1063"/>
      <c r="L1359" s="1063"/>
      <c r="M1359" s="1063"/>
      <c r="N1359" s="1063"/>
      <c r="O1359" s="1063"/>
      <c r="P1359" s="1063"/>
      <c r="Q1359" s="1063"/>
      <c r="R1359" s="1063"/>
      <c r="S1359" s="1063"/>
      <c r="T1359" s="1063"/>
      <c r="U1359" s="1063"/>
      <c r="V1359" s="1063"/>
      <c r="W1359" s="1063"/>
      <c r="X1359" s="1063"/>
      <c r="Y1359" s="1063"/>
      <c r="Z1359" s="1063"/>
      <c r="AA1359" s="1063"/>
      <c r="AB1359" s="1063"/>
      <c r="AC1359" s="1063"/>
      <c r="AD1359" s="1063"/>
      <c r="AE1359" s="1063"/>
      <c r="AF1359" s="1063"/>
      <c r="AG1359" s="1063"/>
      <c r="AH1359" s="1063"/>
      <c r="AI1359" s="1063"/>
      <c r="AJ1359" s="1063"/>
      <c r="AK1359" s="1063"/>
      <c r="AL1359" s="1063"/>
      <c r="AM1359" s="1063"/>
      <c r="AN1359" s="1063"/>
      <c r="AO1359" s="1063"/>
      <c r="AP1359" s="1063"/>
      <c r="AQ1359" s="1063"/>
      <c r="AR1359" s="1063"/>
      <c r="AS1359" s="1063"/>
      <c r="AT1359" s="1063"/>
      <c r="AU1359" s="1063"/>
      <c r="AV1359" s="1063"/>
    </row>
    <row r="1360" spans="1:48" s="1108" customFormat="1" ht="27.75" customHeight="1">
      <c r="A1360" s="1076"/>
      <c r="B1360" s="1074">
        <f>+'[18]Bldg+Dev'!S2172</f>
        <v>0</v>
      </c>
      <c r="D1360" s="1063"/>
      <c r="F1360" s="1076"/>
      <c r="G1360" s="1063"/>
      <c r="H1360" s="1063"/>
      <c r="I1360" s="1063"/>
      <c r="J1360" s="1063"/>
      <c r="K1360" s="1063"/>
      <c r="L1360" s="1063"/>
      <c r="M1360" s="1063"/>
      <c r="N1360" s="1063"/>
      <c r="O1360" s="1063"/>
      <c r="P1360" s="1063"/>
      <c r="Q1360" s="1063"/>
      <c r="R1360" s="1063"/>
      <c r="S1360" s="1063"/>
      <c r="T1360" s="1063"/>
      <c r="U1360" s="1063"/>
      <c r="V1360" s="1063"/>
      <c r="W1360" s="1063"/>
      <c r="X1360" s="1063"/>
      <c r="Y1360" s="1063"/>
      <c r="Z1360" s="1063"/>
      <c r="AA1360" s="1063"/>
      <c r="AB1360" s="1063"/>
      <c r="AC1360" s="1063"/>
      <c r="AD1360" s="1063"/>
      <c r="AE1360" s="1063"/>
      <c r="AF1360" s="1063"/>
      <c r="AG1360" s="1063"/>
      <c r="AH1360" s="1063"/>
      <c r="AI1360" s="1063"/>
      <c r="AJ1360" s="1063"/>
      <c r="AK1360" s="1063"/>
      <c r="AL1360" s="1063"/>
      <c r="AM1360" s="1063"/>
      <c r="AN1360" s="1063"/>
      <c r="AO1360" s="1063"/>
      <c r="AP1360" s="1063"/>
      <c r="AQ1360" s="1063"/>
      <c r="AR1360" s="1063"/>
      <c r="AS1360" s="1063"/>
      <c r="AT1360" s="1063"/>
      <c r="AU1360" s="1063"/>
      <c r="AV1360" s="1063"/>
    </row>
    <row r="1361" spans="1:48" s="1108" customFormat="1" ht="27.75" customHeight="1">
      <c r="A1361" s="1076"/>
      <c r="B1361" s="1074">
        <f>+'[18]Bldg+Dev'!S2173</f>
        <v>0</v>
      </c>
      <c r="D1361" s="1063"/>
      <c r="F1361" s="1076"/>
      <c r="G1361" s="1063"/>
      <c r="H1361" s="1063"/>
      <c r="I1361" s="1063"/>
      <c r="J1361" s="1063"/>
      <c r="K1361" s="1063"/>
      <c r="L1361" s="1063"/>
      <c r="M1361" s="1063"/>
      <c r="N1361" s="1063"/>
      <c r="O1361" s="1063"/>
      <c r="P1361" s="1063"/>
      <c r="Q1361" s="1063"/>
      <c r="R1361" s="1063"/>
      <c r="S1361" s="1063"/>
      <c r="T1361" s="1063"/>
      <c r="U1361" s="1063"/>
      <c r="V1361" s="1063"/>
      <c r="W1361" s="1063"/>
      <c r="X1361" s="1063"/>
      <c r="Y1361" s="1063"/>
      <c r="Z1361" s="1063"/>
      <c r="AA1361" s="1063"/>
      <c r="AB1361" s="1063"/>
      <c r="AC1361" s="1063"/>
      <c r="AD1361" s="1063"/>
      <c r="AE1361" s="1063"/>
      <c r="AF1361" s="1063"/>
      <c r="AG1361" s="1063"/>
      <c r="AH1361" s="1063"/>
      <c r="AI1361" s="1063"/>
      <c r="AJ1361" s="1063"/>
      <c r="AK1361" s="1063"/>
      <c r="AL1361" s="1063"/>
      <c r="AM1361" s="1063"/>
      <c r="AN1361" s="1063"/>
      <c r="AO1361" s="1063"/>
      <c r="AP1361" s="1063"/>
      <c r="AQ1361" s="1063"/>
      <c r="AR1361" s="1063"/>
      <c r="AS1361" s="1063"/>
      <c r="AT1361" s="1063"/>
      <c r="AU1361" s="1063"/>
      <c r="AV1361" s="1063"/>
    </row>
    <row r="1362" spans="1:48" s="1108" customFormat="1" ht="27.75" customHeight="1">
      <c r="A1362" s="1076"/>
      <c r="B1362" s="1074">
        <f>+'[18]Bldg+Dev'!S2174</f>
        <v>0</v>
      </c>
      <c r="D1362" s="1063"/>
      <c r="F1362" s="1076"/>
      <c r="G1362" s="1063"/>
      <c r="H1362" s="1063"/>
      <c r="I1362" s="1063"/>
      <c r="J1362" s="1063"/>
      <c r="K1362" s="1063"/>
      <c r="L1362" s="1063"/>
      <c r="M1362" s="1063"/>
      <c r="N1362" s="1063"/>
      <c r="O1362" s="1063"/>
      <c r="P1362" s="1063"/>
      <c r="Q1362" s="1063"/>
      <c r="R1362" s="1063"/>
      <c r="S1362" s="1063"/>
      <c r="T1362" s="1063"/>
      <c r="U1362" s="1063"/>
      <c r="V1362" s="1063"/>
      <c r="W1362" s="1063"/>
      <c r="X1362" s="1063"/>
      <c r="Y1362" s="1063"/>
      <c r="Z1362" s="1063"/>
      <c r="AA1362" s="1063"/>
      <c r="AB1362" s="1063"/>
      <c r="AC1362" s="1063"/>
      <c r="AD1362" s="1063"/>
      <c r="AE1362" s="1063"/>
      <c r="AF1362" s="1063"/>
      <c r="AG1362" s="1063"/>
      <c r="AH1362" s="1063"/>
      <c r="AI1362" s="1063"/>
      <c r="AJ1362" s="1063"/>
      <c r="AK1362" s="1063"/>
      <c r="AL1362" s="1063"/>
      <c r="AM1362" s="1063"/>
      <c r="AN1362" s="1063"/>
      <c r="AO1362" s="1063"/>
      <c r="AP1362" s="1063"/>
      <c r="AQ1362" s="1063"/>
      <c r="AR1362" s="1063"/>
      <c r="AS1362" s="1063"/>
      <c r="AT1362" s="1063"/>
      <c r="AU1362" s="1063"/>
      <c r="AV1362" s="1063"/>
    </row>
    <row r="1363" spans="1:48" s="1108" customFormat="1" ht="27.75" customHeight="1">
      <c r="A1363" s="1076"/>
      <c r="B1363" s="1074">
        <f>+'[18]Bldg+Dev'!S2175</f>
        <v>0</v>
      </c>
      <c r="D1363" s="1063"/>
      <c r="F1363" s="1076"/>
      <c r="G1363" s="1063"/>
      <c r="H1363" s="1063"/>
      <c r="I1363" s="1063"/>
      <c r="J1363" s="1063"/>
      <c r="K1363" s="1063"/>
      <c r="L1363" s="1063"/>
      <c r="M1363" s="1063"/>
      <c r="N1363" s="1063"/>
      <c r="O1363" s="1063"/>
      <c r="P1363" s="1063"/>
      <c r="Q1363" s="1063"/>
      <c r="R1363" s="1063"/>
      <c r="S1363" s="1063"/>
      <c r="T1363" s="1063"/>
      <c r="U1363" s="1063"/>
      <c r="V1363" s="1063"/>
      <c r="W1363" s="1063"/>
      <c r="X1363" s="1063"/>
      <c r="Y1363" s="1063"/>
      <c r="Z1363" s="1063"/>
      <c r="AA1363" s="1063"/>
      <c r="AB1363" s="1063"/>
      <c r="AC1363" s="1063"/>
      <c r="AD1363" s="1063"/>
      <c r="AE1363" s="1063"/>
      <c r="AF1363" s="1063"/>
      <c r="AG1363" s="1063"/>
      <c r="AH1363" s="1063"/>
      <c r="AI1363" s="1063"/>
      <c r="AJ1363" s="1063"/>
      <c r="AK1363" s="1063"/>
      <c r="AL1363" s="1063"/>
      <c r="AM1363" s="1063"/>
      <c r="AN1363" s="1063"/>
      <c r="AO1363" s="1063"/>
      <c r="AP1363" s="1063"/>
      <c r="AQ1363" s="1063"/>
      <c r="AR1363" s="1063"/>
      <c r="AS1363" s="1063"/>
      <c r="AT1363" s="1063"/>
      <c r="AU1363" s="1063"/>
      <c r="AV1363" s="1063"/>
    </row>
    <row r="1364" spans="1:48" s="1108" customFormat="1" ht="27.75" customHeight="1">
      <c r="A1364" s="1076"/>
      <c r="B1364" s="1074">
        <f>+'[18]Bldg+Dev'!S2176</f>
        <v>0</v>
      </c>
      <c r="D1364" s="1063"/>
      <c r="F1364" s="1076"/>
      <c r="G1364" s="1063"/>
      <c r="H1364" s="1063"/>
      <c r="I1364" s="1063"/>
      <c r="J1364" s="1063"/>
      <c r="K1364" s="1063"/>
      <c r="L1364" s="1063"/>
      <c r="M1364" s="1063"/>
      <c r="N1364" s="1063"/>
      <c r="O1364" s="1063"/>
      <c r="P1364" s="1063"/>
      <c r="Q1364" s="1063"/>
      <c r="R1364" s="1063"/>
      <c r="S1364" s="1063"/>
      <c r="T1364" s="1063"/>
      <c r="U1364" s="1063"/>
      <c r="V1364" s="1063"/>
      <c r="W1364" s="1063"/>
      <c r="X1364" s="1063"/>
      <c r="Y1364" s="1063"/>
      <c r="Z1364" s="1063"/>
      <c r="AA1364" s="1063"/>
      <c r="AB1364" s="1063"/>
      <c r="AC1364" s="1063"/>
      <c r="AD1364" s="1063"/>
      <c r="AE1364" s="1063"/>
      <c r="AF1364" s="1063"/>
      <c r="AG1364" s="1063"/>
      <c r="AH1364" s="1063"/>
      <c r="AI1364" s="1063"/>
      <c r="AJ1364" s="1063"/>
      <c r="AK1364" s="1063"/>
      <c r="AL1364" s="1063"/>
      <c r="AM1364" s="1063"/>
      <c r="AN1364" s="1063"/>
      <c r="AO1364" s="1063"/>
      <c r="AP1364" s="1063"/>
      <c r="AQ1364" s="1063"/>
      <c r="AR1364" s="1063"/>
      <c r="AS1364" s="1063"/>
      <c r="AT1364" s="1063"/>
      <c r="AU1364" s="1063"/>
      <c r="AV1364" s="1063"/>
    </row>
    <row r="1365" spans="1:48" s="1108" customFormat="1" ht="27.75" customHeight="1">
      <c r="A1365" s="1076"/>
      <c r="B1365" s="1074">
        <f>+'[18]Bldg+Dev'!S2177</f>
        <v>0</v>
      </c>
      <c r="D1365" s="1063"/>
      <c r="F1365" s="1076"/>
      <c r="G1365" s="1063"/>
      <c r="H1365" s="1063"/>
      <c r="I1365" s="1063"/>
      <c r="J1365" s="1063"/>
      <c r="K1365" s="1063"/>
      <c r="L1365" s="1063"/>
      <c r="M1365" s="1063"/>
      <c r="N1365" s="1063"/>
      <c r="O1365" s="1063"/>
      <c r="P1365" s="1063"/>
      <c r="Q1365" s="1063"/>
      <c r="R1365" s="1063"/>
      <c r="S1365" s="1063"/>
      <c r="T1365" s="1063"/>
      <c r="U1365" s="1063"/>
      <c r="V1365" s="1063"/>
      <c r="W1365" s="1063"/>
      <c r="X1365" s="1063"/>
      <c r="Y1365" s="1063"/>
      <c r="Z1365" s="1063"/>
      <c r="AA1365" s="1063"/>
      <c r="AB1365" s="1063"/>
      <c r="AC1365" s="1063"/>
      <c r="AD1365" s="1063"/>
      <c r="AE1365" s="1063"/>
      <c r="AF1365" s="1063"/>
      <c r="AG1365" s="1063"/>
      <c r="AH1365" s="1063"/>
      <c r="AI1365" s="1063"/>
      <c r="AJ1365" s="1063"/>
      <c r="AK1365" s="1063"/>
      <c r="AL1365" s="1063"/>
      <c r="AM1365" s="1063"/>
      <c r="AN1365" s="1063"/>
      <c r="AO1365" s="1063"/>
      <c r="AP1365" s="1063"/>
      <c r="AQ1365" s="1063"/>
      <c r="AR1365" s="1063"/>
      <c r="AS1365" s="1063"/>
      <c r="AT1365" s="1063"/>
      <c r="AU1365" s="1063"/>
      <c r="AV1365" s="1063"/>
    </row>
    <row r="1366" spans="1:48" s="1108" customFormat="1" ht="27.75" customHeight="1">
      <c r="A1366" s="1076"/>
      <c r="B1366" s="1074">
        <f>+'[18]Bldg+Dev'!S2178</f>
        <v>0</v>
      </c>
      <c r="D1366" s="1063"/>
      <c r="F1366" s="1076"/>
      <c r="G1366" s="1063"/>
      <c r="H1366" s="1063"/>
      <c r="I1366" s="1063"/>
      <c r="J1366" s="1063"/>
      <c r="K1366" s="1063"/>
      <c r="L1366" s="1063"/>
      <c r="M1366" s="1063"/>
      <c r="N1366" s="1063"/>
      <c r="O1366" s="1063"/>
      <c r="P1366" s="1063"/>
      <c r="Q1366" s="1063"/>
      <c r="R1366" s="1063"/>
      <c r="S1366" s="1063"/>
      <c r="T1366" s="1063"/>
      <c r="U1366" s="1063"/>
      <c r="V1366" s="1063"/>
      <c r="W1366" s="1063"/>
      <c r="X1366" s="1063"/>
      <c r="Y1366" s="1063"/>
      <c r="Z1366" s="1063"/>
      <c r="AA1366" s="1063"/>
      <c r="AB1366" s="1063"/>
      <c r="AC1366" s="1063"/>
      <c r="AD1366" s="1063"/>
      <c r="AE1366" s="1063"/>
      <c r="AF1366" s="1063"/>
      <c r="AG1366" s="1063"/>
      <c r="AH1366" s="1063"/>
      <c r="AI1366" s="1063"/>
      <c r="AJ1366" s="1063"/>
      <c r="AK1366" s="1063"/>
      <c r="AL1366" s="1063"/>
      <c r="AM1366" s="1063"/>
      <c r="AN1366" s="1063"/>
      <c r="AO1366" s="1063"/>
      <c r="AP1366" s="1063"/>
      <c r="AQ1366" s="1063"/>
      <c r="AR1366" s="1063"/>
      <c r="AS1366" s="1063"/>
      <c r="AT1366" s="1063"/>
      <c r="AU1366" s="1063"/>
      <c r="AV1366" s="1063"/>
    </row>
    <row r="1367" spans="1:48" s="1108" customFormat="1" ht="27.75" customHeight="1">
      <c r="A1367" s="1076"/>
      <c r="B1367" s="1074">
        <f>+'[18]Bldg+Dev'!S2179</f>
        <v>0</v>
      </c>
      <c r="D1367" s="1063"/>
      <c r="F1367" s="1076"/>
      <c r="G1367" s="1063"/>
      <c r="H1367" s="1063"/>
      <c r="I1367" s="1063"/>
      <c r="J1367" s="1063"/>
      <c r="K1367" s="1063"/>
      <c r="L1367" s="1063"/>
      <c r="M1367" s="1063"/>
      <c r="N1367" s="1063"/>
      <c r="O1367" s="1063"/>
      <c r="P1367" s="1063"/>
      <c r="Q1367" s="1063"/>
      <c r="R1367" s="1063"/>
      <c r="S1367" s="1063"/>
      <c r="T1367" s="1063"/>
      <c r="U1367" s="1063"/>
      <c r="V1367" s="1063"/>
      <c r="W1367" s="1063"/>
      <c r="X1367" s="1063"/>
      <c r="Y1367" s="1063"/>
      <c r="Z1367" s="1063"/>
      <c r="AA1367" s="1063"/>
      <c r="AB1367" s="1063"/>
      <c r="AC1367" s="1063"/>
      <c r="AD1367" s="1063"/>
      <c r="AE1367" s="1063"/>
      <c r="AF1367" s="1063"/>
      <c r="AG1367" s="1063"/>
      <c r="AH1367" s="1063"/>
      <c r="AI1367" s="1063"/>
      <c r="AJ1367" s="1063"/>
      <c r="AK1367" s="1063"/>
      <c r="AL1367" s="1063"/>
      <c r="AM1367" s="1063"/>
      <c r="AN1367" s="1063"/>
      <c r="AO1367" s="1063"/>
      <c r="AP1367" s="1063"/>
      <c r="AQ1367" s="1063"/>
      <c r="AR1367" s="1063"/>
      <c r="AS1367" s="1063"/>
      <c r="AT1367" s="1063"/>
      <c r="AU1367" s="1063"/>
      <c r="AV1367" s="1063"/>
    </row>
    <row r="1368" spans="1:48" s="1108" customFormat="1" ht="27.75" customHeight="1">
      <c r="A1368" s="1076"/>
      <c r="B1368" s="1074">
        <f>+'[18]Bldg+Dev'!S2180</f>
        <v>0</v>
      </c>
      <c r="D1368" s="1063"/>
      <c r="F1368" s="1076"/>
      <c r="G1368" s="1063"/>
      <c r="H1368" s="1063"/>
      <c r="I1368" s="1063"/>
      <c r="J1368" s="1063"/>
      <c r="K1368" s="1063"/>
      <c r="L1368" s="1063"/>
      <c r="M1368" s="1063"/>
      <c r="N1368" s="1063"/>
      <c r="O1368" s="1063"/>
      <c r="P1368" s="1063"/>
      <c r="Q1368" s="1063"/>
      <c r="R1368" s="1063"/>
      <c r="S1368" s="1063"/>
      <c r="T1368" s="1063"/>
      <c r="U1368" s="1063"/>
      <c r="V1368" s="1063"/>
      <c r="W1368" s="1063"/>
      <c r="X1368" s="1063"/>
      <c r="Y1368" s="1063"/>
      <c r="Z1368" s="1063"/>
      <c r="AA1368" s="1063"/>
      <c r="AB1368" s="1063"/>
      <c r="AC1368" s="1063"/>
      <c r="AD1368" s="1063"/>
      <c r="AE1368" s="1063"/>
      <c r="AF1368" s="1063"/>
      <c r="AG1368" s="1063"/>
      <c r="AH1368" s="1063"/>
      <c r="AI1368" s="1063"/>
      <c r="AJ1368" s="1063"/>
      <c r="AK1368" s="1063"/>
      <c r="AL1368" s="1063"/>
      <c r="AM1368" s="1063"/>
      <c r="AN1368" s="1063"/>
      <c r="AO1368" s="1063"/>
      <c r="AP1368" s="1063"/>
      <c r="AQ1368" s="1063"/>
      <c r="AR1368" s="1063"/>
      <c r="AS1368" s="1063"/>
      <c r="AT1368" s="1063"/>
      <c r="AU1368" s="1063"/>
      <c r="AV1368" s="1063"/>
    </row>
    <row r="1369" spans="1:48" s="1108" customFormat="1" ht="27.75" customHeight="1">
      <c r="A1369" s="1076"/>
      <c r="B1369" s="1074">
        <f>+'[18]Bldg+Dev'!S2181</f>
        <v>0</v>
      </c>
      <c r="D1369" s="1063"/>
      <c r="F1369" s="1076"/>
      <c r="G1369" s="1063"/>
      <c r="H1369" s="1063"/>
      <c r="I1369" s="1063"/>
      <c r="J1369" s="1063"/>
      <c r="K1369" s="1063"/>
      <c r="L1369" s="1063"/>
      <c r="M1369" s="1063"/>
      <c r="N1369" s="1063"/>
      <c r="O1369" s="1063"/>
      <c r="P1369" s="1063"/>
      <c r="Q1369" s="1063"/>
      <c r="R1369" s="1063"/>
      <c r="S1369" s="1063"/>
      <c r="T1369" s="1063"/>
      <c r="U1369" s="1063"/>
      <c r="V1369" s="1063"/>
      <c r="W1369" s="1063"/>
      <c r="X1369" s="1063"/>
      <c r="Y1369" s="1063"/>
      <c r="Z1369" s="1063"/>
      <c r="AA1369" s="1063"/>
      <c r="AB1369" s="1063"/>
      <c r="AC1369" s="1063"/>
      <c r="AD1369" s="1063"/>
      <c r="AE1369" s="1063"/>
      <c r="AF1369" s="1063"/>
      <c r="AG1369" s="1063"/>
      <c r="AH1369" s="1063"/>
      <c r="AI1369" s="1063"/>
      <c r="AJ1369" s="1063"/>
      <c r="AK1369" s="1063"/>
      <c r="AL1369" s="1063"/>
      <c r="AM1369" s="1063"/>
      <c r="AN1369" s="1063"/>
      <c r="AO1369" s="1063"/>
      <c r="AP1369" s="1063"/>
      <c r="AQ1369" s="1063"/>
      <c r="AR1369" s="1063"/>
      <c r="AS1369" s="1063"/>
      <c r="AT1369" s="1063"/>
      <c r="AU1369" s="1063"/>
      <c r="AV1369" s="1063"/>
    </row>
    <row r="1370" spans="1:48" s="1108" customFormat="1" ht="27.75" customHeight="1">
      <c r="A1370" s="1076"/>
      <c r="B1370" s="1074">
        <f>+'[18]Bldg+Dev'!S2182</f>
        <v>0</v>
      </c>
      <c r="D1370" s="1063"/>
      <c r="F1370" s="1076"/>
      <c r="G1370" s="1063"/>
      <c r="H1370" s="1063"/>
      <c r="I1370" s="1063"/>
      <c r="J1370" s="1063"/>
      <c r="K1370" s="1063"/>
      <c r="L1370" s="1063"/>
      <c r="M1370" s="1063"/>
      <c r="N1370" s="1063"/>
      <c r="O1370" s="1063"/>
      <c r="P1370" s="1063"/>
      <c r="Q1370" s="1063"/>
      <c r="R1370" s="1063"/>
      <c r="S1370" s="1063"/>
      <c r="T1370" s="1063"/>
      <c r="U1370" s="1063"/>
      <c r="V1370" s="1063"/>
      <c r="W1370" s="1063"/>
      <c r="X1370" s="1063"/>
      <c r="Y1370" s="1063"/>
      <c r="Z1370" s="1063"/>
      <c r="AA1370" s="1063"/>
      <c r="AB1370" s="1063"/>
      <c r="AC1370" s="1063"/>
      <c r="AD1370" s="1063"/>
      <c r="AE1370" s="1063"/>
      <c r="AF1370" s="1063"/>
      <c r="AG1370" s="1063"/>
      <c r="AH1370" s="1063"/>
      <c r="AI1370" s="1063"/>
      <c r="AJ1370" s="1063"/>
      <c r="AK1370" s="1063"/>
      <c r="AL1370" s="1063"/>
      <c r="AM1370" s="1063"/>
      <c r="AN1370" s="1063"/>
      <c r="AO1370" s="1063"/>
      <c r="AP1370" s="1063"/>
      <c r="AQ1370" s="1063"/>
      <c r="AR1370" s="1063"/>
      <c r="AS1370" s="1063"/>
      <c r="AT1370" s="1063"/>
      <c r="AU1370" s="1063"/>
      <c r="AV1370" s="1063"/>
    </row>
    <row r="1371" spans="1:48" s="1108" customFormat="1" ht="27.75" customHeight="1">
      <c r="A1371" s="1076"/>
      <c r="B1371" s="1074">
        <f>+'[18]Bldg+Dev'!S2183</f>
        <v>0</v>
      </c>
      <c r="D1371" s="1063"/>
      <c r="F1371" s="1076"/>
      <c r="G1371" s="1063"/>
      <c r="H1371" s="1063"/>
      <c r="I1371" s="1063"/>
      <c r="J1371" s="1063"/>
      <c r="K1371" s="1063"/>
      <c r="L1371" s="1063"/>
      <c r="M1371" s="1063"/>
      <c r="N1371" s="1063"/>
      <c r="O1371" s="1063"/>
      <c r="P1371" s="1063"/>
      <c r="Q1371" s="1063"/>
      <c r="R1371" s="1063"/>
      <c r="S1371" s="1063"/>
      <c r="T1371" s="1063"/>
      <c r="U1371" s="1063"/>
      <c r="V1371" s="1063"/>
      <c r="W1371" s="1063"/>
      <c r="X1371" s="1063"/>
      <c r="Y1371" s="1063"/>
      <c r="Z1371" s="1063"/>
      <c r="AA1371" s="1063"/>
      <c r="AB1371" s="1063"/>
      <c r="AC1371" s="1063"/>
      <c r="AD1371" s="1063"/>
      <c r="AE1371" s="1063"/>
      <c r="AF1371" s="1063"/>
      <c r="AG1371" s="1063"/>
      <c r="AH1371" s="1063"/>
      <c r="AI1371" s="1063"/>
      <c r="AJ1371" s="1063"/>
      <c r="AK1371" s="1063"/>
      <c r="AL1371" s="1063"/>
      <c r="AM1371" s="1063"/>
      <c r="AN1371" s="1063"/>
      <c r="AO1371" s="1063"/>
      <c r="AP1371" s="1063"/>
      <c r="AQ1371" s="1063"/>
      <c r="AR1371" s="1063"/>
      <c r="AS1371" s="1063"/>
      <c r="AT1371" s="1063"/>
      <c r="AU1371" s="1063"/>
      <c r="AV1371" s="1063"/>
    </row>
    <row r="1372" spans="1:48" s="1108" customFormat="1" ht="27.75" customHeight="1">
      <c r="A1372" s="1076"/>
      <c r="B1372" s="1074">
        <f>+'[18]Bldg+Dev'!S2184</f>
        <v>0</v>
      </c>
      <c r="D1372" s="1063"/>
      <c r="F1372" s="1076"/>
      <c r="G1372" s="1063"/>
      <c r="H1372" s="1063"/>
      <c r="I1372" s="1063"/>
      <c r="J1372" s="1063"/>
      <c r="K1372" s="1063"/>
      <c r="L1372" s="1063"/>
      <c r="M1372" s="1063"/>
      <c r="N1372" s="1063"/>
      <c r="O1372" s="1063"/>
      <c r="P1372" s="1063"/>
      <c r="Q1372" s="1063"/>
      <c r="R1372" s="1063"/>
      <c r="S1372" s="1063"/>
      <c r="T1372" s="1063"/>
      <c r="U1372" s="1063"/>
      <c r="V1372" s="1063"/>
      <c r="W1372" s="1063"/>
      <c r="X1372" s="1063"/>
      <c r="Y1372" s="1063"/>
      <c r="Z1372" s="1063"/>
      <c r="AA1372" s="1063"/>
      <c r="AB1372" s="1063"/>
      <c r="AC1372" s="1063"/>
      <c r="AD1372" s="1063"/>
      <c r="AE1372" s="1063"/>
      <c r="AF1372" s="1063"/>
      <c r="AG1372" s="1063"/>
      <c r="AH1372" s="1063"/>
      <c r="AI1372" s="1063"/>
      <c r="AJ1372" s="1063"/>
      <c r="AK1372" s="1063"/>
      <c r="AL1372" s="1063"/>
      <c r="AM1372" s="1063"/>
      <c r="AN1372" s="1063"/>
      <c r="AO1372" s="1063"/>
      <c r="AP1372" s="1063"/>
      <c r="AQ1372" s="1063"/>
      <c r="AR1372" s="1063"/>
      <c r="AS1372" s="1063"/>
      <c r="AT1372" s="1063"/>
      <c r="AU1372" s="1063"/>
      <c r="AV1372" s="1063"/>
    </row>
    <row r="1373" spans="1:48" s="1108" customFormat="1" ht="27.75" customHeight="1">
      <c r="A1373" s="1076"/>
      <c r="B1373" s="1074">
        <f>+'[18]Bldg+Dev'!S2185</f>
        <v>0</v>
      </c>
      <c r="D1373" s="1063"/>
      <c r="F1373" s="1076"/>
      <c r="G1373" s="1063"/>
      <c r="H1373" s="1063"/>
      <c r="I1373" s="1063"/>
      <c r="J1373" s="1063"/>
      <c r="K1373" s="1063"/>
      <c r="L1373" s="1063"/>
      <c r="M1373" s="1063"/>
      <c r="N1373" s="1063"/>
      <c r="O1373" s="1063"/>
      <c r="P1373" s="1063"/>
      <c r="Q1373" s="1063"/>
      <c r="R1373" s="1063"/>
      <c r="S1373" s="1063"/>
      <c r="T1373" s="1063"/>
      <c r="U1373" s="1063"/>
      <c r="V1373" s="1063"/>
      <c r="W1373" s="1063"/>
      <c r="X1373" s="1063"/>
      <c r="Y1373" s="1063"/>
      <c r="Z1373" s="1063"/>
      <c r="AA1373" s="1063"/>
      <c r="AB1373" s="1063"/>
      <c r="AC1373" s="1063"/>
      <c r="AD1373" s="1063"/>
      <c r="AE1373" s="1063"/>
      <c r="AF1373" s="1063"/>
      <c r="AG1373" s="1063"/>
      <c r="AH1373" s="1063"/>
      <c r="AI1373" s="1063"/>
      <c r="AJ1373" s="1063"/>
      <c r="AK1373" s="1063"/>
      <c r="AL1373" s="1063"/>
      <c r="AM1373" s="1063"/>
      <c r="AN1373" s="1063"/>
      <c r="AO1373" s="1063"/>
      <c r="AP1373" s="1063"/>
      <c r="AQ1373" s="1063"/>
      <c r="AR1373" s="1063"/>
      <c r="AS1373" s="1063"/>
      <c r="AT1373" s="1063"/>
      <c r="AU1373" s="1063"/>
      <c r="AV1373" s="1063"/>
    </row>
    <row r="1374" spans="1:48" s="1108" customFormat="1" ht="27.75" customHeight="1">
      <c r="A1374" s="1076"/>
      <c r="B1374" s="1074">
        <f>+'[18]Bldg+Dev'!S2186</f>
        <v>0</v>
      </c>
      <c r="D1374" s="1063"/>
      <c r="F1374" s="1076"/>
      <c r="G1374" s="1063"/>
      <c r="H1374" s="1063"/>
      <c r="I1374" s="1063"/>
      <c r="J1374" s="1063"/>
      <c r="K1374" s="1063"/>
      <c r="L1374" s="1063"/>
      <c r="M1374" s="1063"/>
      <c r="N1374" s="1063"/>
      <c r="O1374" s="1063"/>
      <c r="P1374" s="1063"/>
      <c r="Q1374" s="1063"/>
      <c r="R1374" s="1063"/>
      <c r="S1374" s="1063"/>
      <c r="T1374" s="1063"/>
      <c r="U1374" s="1063"/>
      <c r="V1374" s="1063"/>
      <c r="W1374" s="1063"/>
      <c r="X1374" s="1063"/>
      <c r="Y1374" s="1063"/>
      <c r="Z1374" s="1063"/>
      <c r="AA1374" s="1063"/>
      <c r="AB1374" s="1063"/>
      <c r="AC1374" s="1063"/>
      <c r="AD1374" s="1063"/>
      <c r="AE1374" s="1063"/>
      <c r="AF1374" s="1063"/>
      <c r="AG1374" s="1063"/>
      <c r="AH1374" s="1063"/>
      <c r="AI1374" s="1063"/>
      <c r="AJ1374" s="1063"/>
      <c r="AK1374" s="1063"/>
      <c r="AL1374" s="1063"/>
      <c r="AM1374" s="1063"/>
      <c r="AN1374" s="1063"/>
      <c r="AO1374" s="1063"/>
      <c r="AP1374" s="1063"/>
      <c r="AQ1374" s="1063"/>
      <c r="AR1374" s="1063"/>
      <c r="AS1374" s="1063"/>
      <c r="AT1374" s="1063"/>
      <c r="AU1374" s="1063"/>
      <c r="AV1374" s="1063"/>
    </row>
    <row r="1375" spans="1:48" s="1108" customFormat="1" ht="27.75" customHeight="1">
      <c r="A1375" s="1076"/>
      <c r="B1375" s="1074">
        <f>+'[18]Bldg+Dev'!S2187</f>
        <v>0</v>
      </c>
      <c r="D1375" s="1063"/>
      <c r="F1375" s="1076"/>
      <c r="G1375" s="1063"/>
      <c r="H1375" s="1063"/>
      <c r="I1375" s="1063"/>
      <c r="J1375" s="1063"/>
      <c r="K1375" s="1063"/>
      <c r="L1375" s="1063"/>
      <c r="M1375" s="1063"/>
      <c r="N1375" s="1063"/>
      <c r="O1375" s="1063"/>
      <c r="P1375" s="1063"/>
      <c r="Q1375" s="1063"/>
      <c r="R1375" s="1063"/>
      <c r="S1375" s="1063"/>
      <c r="T1375" s="1063"/>
      <c r="U1375" s="1063"/>
      <c r="V1375" s="1063"/>
      <c r="W1375" s="1063"/>
      <c r="X1375" s="1063"/>
      <c r="Y1375" s="1063"/>
      <c r="Z1375" s="1063"/>
      <c r="AA1375" s="1063"/>
      <c r="AB1375" s="1063"/>
      <c r="AC1375" s="1063"/>
      <c r="AD1375" s="1063"/>
      <c r="AE1375" s="1063"/>
      <c r="AF1375" s="1063"/>
      <c r="AG1375" s="1063"/>
      <c r="AH1375" s="1063"/>
      <c r="AI1375" s="1063"/>
      <c r="AJ1375" s="1063"/>
      <c r="AK1375" s="1063"/>
      <c r="AL1375" s="1063"/>
      <c r="AM1375" s="1063"/>
      <c r="AN1375" s="1063"/>
      <c r="AO1375" s="1063"/>
      <c r="AP1375" s="1063"/>
      <c r="AQ1375" s="1063"/>
      <c r="AR1375" s="1063"/>
      <c r="AS1375" s="1063"/>
      <c r="AT1375" s="1063"/>
      <c r="AU1375" s="1063"/>
      <c r="AV1375" s="1063"/>
    </row>
    <row r="1376" spans="1:48" s="1108" customFormat="1" ht="27.75" customHeight="1">
      <c r="A1376" s="1076"/>
      <c r="B1376" s="1074">
        <f>+'[18]Bldg+Dev'!S2188</f>
        <v>0</v>
      </c>
      <c r="D1376" s="1063"/>
      <c r="F1376" s="1076"/>
      <c r="G1376" s="1063"/>
      <c r="H1376" s="1063"/>
      <c r="I1376" s="1063"/>
      <c r="J1376" s="1063"/>
      <c r="K1376" s="1063"/>
      <c r="L1376" s="1063"/>
      <c r="M1376" s="1063"/>
      <c r="N1376" s="1063"/>
      <c r="O1376" s="1063"/>
      <c r="P1376" s="1063"/>
      <c r="Q1376" s="1063"/>
      <c r="R1376" s="1063"/>
      <c r="S1376" s="1063"/>
      <c r="T1376" s="1063"/>
      <c r="U1376" s="1063"/>
      <c r="V1376" s="1063"/>
      <c r="W1376" s="1063"/>
      <c r="X1376" s="1063"/>
      <c r="Y1376" s="1063"/>
      <c r="Z1376" s="1063"/>
      <c r="AA1376" s="1063"/>
      <c r="AB1376" s="1063"/>
      <c r="AC1376" s="1063"/>
      <c r="AD1376" s="1063"/>
      <c r="AE1376" s="1063"/>
      <c r="AF1376" s="1063"/>
      <c r="AG1376" s="1063"/>
      <c r="AH1376" s="1063"/>
      <c r="AI1376" s="1063"/>
      <c r="AJ1376" s="1063"/>
      <c r="AK1376" s="1063"/>
      <c r="AL1376" s="1063"/>
      <c r="AM1376" s="1063"/>
      <c r="AN1376" s="1063"/>
      <c r="AO1376" s="1063"/>
      <c r="AP1376" s="1063"/>
      <c r="AQ1376" s="1063"/>
      <c r="AR1376" s="1063"/>
      <c r="AS1376" s="1063"/>
      <c r="AT1376" s="1063"/>
      <c r="AU1376" s="1063"/>
      <c r="AV1376" s="1063"/>
    </row>
    <row r="1377" spans="1:48" s="1108" customFormat="1" ht="27.75" customHeight="1">
      <c r="A1377" s="1076"/>
      <c r="B1377" s="1074">
        <f>+'[18]Bldg+Dev'!S2189</f>
        <v>0</v>
      </c>
      <c r="D1377" s="1063"/>
      <c r="F1377" s="1076"/>
      <c r="G1377" s="1063"/>
      <c r="H1377" s="1063"/>
      <c r="I1377" s="1063"/>
      <c r="J1377" s="1063"/>
      <c r="K1377" s="1063"/>
      <c r="L1377" s="1063"/>
      <c r="M1377" s="1063"/>
      <c r="N1377" s="1063"/>
      <c r="O1377" s="1063"/>
      <c r="P1377" s="1063"/>
      <c r="Q1377" s="1063"/>
      <c r="R1377" s="1063"/>
      <c r="S1377" s="1063"/>
      <c r="T1377" s="1063"/>
      <c r="U1377" s="1063"/>
      <c r="V1377" s="1063"/>
      <c r="W1377" s="1063"/>
      <c r="X1377" s="1063"/>
      <c r="Y1377" s="1063"/>
      <c r="Z1377" s="1063"/>
      <c r="AA1377" s="1063"/>
      <c r="AB1377" s="1063"/>
      <c r="AC1377" s="1063"/>
      <c r="AD1377" s="1063"/>
      <c r="AE1377" s="1063"/>
      <c r="AF1377" s="1063"/>
      <c r="AG1377" s="1063"/>
      <c r="AH1377" s="1063"/>
      <c r="AI1377" s="1063"/>
      <c r="AJ1377" s="1063"/>
      <c r="AK1377" s="1063"/>
      <c r="AL1377" s="1063"/>
      <c r="AM1377" s="1063"/>
      <c r="AN1377" s="1063"/>
      <c r="AO1377" s="1063"/>
      <c r="AP1377" s="1063"/>
      <c r="AQ1377" s="1063"/>
      <c r="AR1377" s="1063"/>
      <c r="AS1377" s="1063"/>
      <c r="AT1377" s="1063"/>
      <c r="AU1377" s="1063"/>
      <c r="AV1377" s="1063"/>
    </row>
    <row r="1378" spans="1:48" s="1108" customFormat="1" ht="27.75" customHeight="1">
      <c r="A1378" s="1076"/>
      <c r="B1378" s="1074">
        <f>+'[18]Bldg+Dev'!S2190</f>
        <v>0</v>
      </c>
      <c r="D1378" s="1063"/>
      <c r="F1378" s="1076"/>
      <c r="G1378" s="1063"/>
      <c r="H1378" s="1063"/>
      <c r="I1378" s="1063"/>
      <c r="J1378" s="1063"/>
      <c r="K1378" s="1063"/>
      <c r="L1378" s="1063"/>
      <c r="M1378" s="1063"/>
      <c r="N1378" s="1063"/>
      <c r="O1378" s="1063"/>
      <c r="P1378" s="1063"/>
      <c r="Q1378" s="1063"/>
      <c r="R1378" s="1063"/>
      <c r="S1378" s="1063"/>
      <c r="T1378" s="1063"/>
      <c r="U1378" s="1063"/>
      <c r="V1378" s="1063"/>
      <c r="W1378" s="1063"/>
      <c r="X1378" s="1063"/>
      <c r="Y1378" s="1063"/>
      <c r="Z1378" s="1063"/>
      <c r="AA1378" s="1063"/>
      <c r="AB1378" s="1063"/>
      <c r="AC1378" s="1063"/>
      <c r="AD1378" s="1063"/>
      <c r="AE1378" s="1063"/>
      <c r="AF1378" s="1063"/>
      <c r="AG1378" s="1063"/>
      <c r="AH1378" s="1063"/>
      <c r="AI1378" s="1063"/>
      <c r="AJ1378" s="1063"/>
      <c r="AK1378" s="1063"/>
      <c r="AL1378" s="1063"/>
      <c r="AM1378" s="1063"/>
      <c r="AN1378" s="1063"/>
      <c r="AO1378" s="1063"/>
      <c r="AP1378" s="1063"/>
      <c r="AQ1378" s="1063"/>
      <c r="AR1378" s="1063"/>
      <c r="AS1378" s="1063"/>
      <c r="AT1378" s="1063"/>
      <c r="AU1378" s="1063"/>
      <c r="AV1378" s="1063"/>
    </row>
    <row r="1379" spans="1:48" s="1108" customFormat="1" ht="27.75" customHeight="1">
      <c r="A1379" s="1076"/>
      <c r="B1379" s="1074">
        <f>+'[18]Bldg+Dev'!S2191</f>
        <v>0</v>
      </c>
      <c r="D1379" s="1063"/>
      <c r="F1379" s="1076"/>
      <c r="G1379" s="1063"/>
      <c r="H1379" s="1063"/>
      <c r="I1379" s="1063"/>
      <c r="J1379" s="1063"/>
      <c r="K1379" s="1063"/>
      <c r="L1379" s="1063"/>
      <c r="M1379" s="1063"/>
      <c r="N1379" s="1063"/>
      <c r="O1379" s="1063"/>
      <c r="P1379" s="1063"/>
      <c r="Q1379" s="1063"/>
      <c r="R1379" s="1063"/>
      <c r="S1379" s="1063"/>
      <c r="T1379" s="1063"/>
      <c r="U1379" s="1063"/>
      <c r="V1379" s="1063"/>
      <c r="W1379" s="1063"/>
      <c r="X1379" s="1063"/>
      <c r="Y1379" s="1063"/>
      <c r="Z1379" s="1063"/>
      <c r="AA1379" s="1063"/>
      <c r="AB1379" s="1063"/>
      <c r="AC1379" s="1063"/>
      <c r="AD1379" s="1063"/>
      <c r="AE1379" s="1063"/>
      <c r="AF1379" s="1063"/>
      <c r="AG1379" s="1063"/>
      <c r="AH1379" s="1063"/>
      <c r="AI1379" s="1063"/>
      <c r="AJ1379" s="1063"/>
      <c r="AK1379" s="1063"/>
      <c r="AL1379" s="1063"/>
      <c r="AM1379" s="1063"/>
      <c r="AN1379" s="1063"/>
      <c r="AO1379" s="1063"/>
      <c r="AP1379" s="1063"/>
      <c r="AQ1379" s="1063"/>
      <c r="AR1379" s="1063"/>
      <c r="AS1379" s="1063"/>
      <c r="AT1379" s="1063"/>
      <c r="AU1379" s="1063"/>
      <c r="AV1379" s="1063"/>
    </row>
    <row r="1380" spans="1:48" s="1108" customFormat="1" ht="27.75" customHeight="1">
      <c r="A1380" s="1076"/>
      <c r="B1380" s="1074">
        <f>+'[18]Bldg+Dev'!S2192</f>
        <v>0</v>
      </c>
      <c r="D1380" s="1063"/>
      <c r="F1380" s="1076"/>
      <c r="G1380" s="1063"/>
      <c r="H1380" s="1063"/>
      <c r="I1380" s="1063"/>
      <c r="J1380" s="1063"/>
      <c r="K1380" s="1063"/>
      <c r="L1380" s="1063"/>
      <c r="M1380" s="1063"/>
      <c r="N1380" s="1063"/>
      <c r="O1380" s="1063"/>
      <c r="P1380" s="1063"/>
      <c r="Q1380" s="1063"/>
      <c r="R1380" s="1063"/>
      <c r="S1380" s="1063"/>
      <c r="T1380" s="1063"/>
      <c r="U1380" s="1063"/>
      <c r="V1380" s="1063"/>
      <c r="W1380" s="1063"/>
      <c r="X1380" s="1063"/>
      <c r="Y1380" s="1063"/>
      <c r="Z1380" s="1063"/>
      <c r="AA1380" s="1063"/>
      <c r="AB1380" s="1063"/>
      <c r="AC1380" s="1063"/>
      <c r="AD1380" s="1063"/>
      <c r="AE1380" s="1063"/>
      <c r="AF1380" s="1063"/>
      <c r="AG1380" s="1063"/>
      <c r="AH1380" s="1063"/>
      <c r="AI1380" s="1063"/>
      <c r="AJ1380" s="1063"/>
      <c r="AK1380" s="1063"/>
      <c r="AL1380" s="1063"/>
      <c r="AM1380" s="1063"/>
      <c r="AN1380" s="1063"/>
      <c r="AO1380" s="1063"/>
      <c r="AP1380" s="1063"/>
      <c r="AQ1380" s="1063"/>
      <c r="AR1380" s="1063"/>
      <c r="AS1380" s="1063"/>
      <c r="AT1380" s="1063"/>
      <c r="AU1380" s="1063"/>
      <c r="AV1380" s="1063"/>
    </row>
    <row r="1381" spans="1:48" s="1108" customFormat="1" ht="27.75" customHeight="1">
      <c r="A1381" s="1076"/>
      <c r="B1381" s="1074">
        <f>+'[18]Bldg+Dev'!S2193</f>
        <v>0</v>
      </c>
      <c r="D1381" s="1063"/>
      <c r="F1381" s="1076"/>
      <c r="G1381" s="1063"/>
      <c r="H1381" s="1063"/>
      <c r="I1381" s="1063"/>
      <c r="J1381" s="1063"/>
      <c r="K1381" s="1063"/>
      <c r="L1381" s="1063"/>
      <c r="M1381" s="1063"/>
      <c r="N1381" s="1063"/>
      <c r="O1381" s="1063"/>
      <c r="P1381" s="1063"/>
      <c r="Q1381" s="1063"/>
      <c r="R1381" s="1063"/>
      <c r="S1381" s="1063"/>
      <c r="T1381" s="1063"/>
      <c r="U1381" s="1063"/>
      <c r="V1381" s="1063"/>
      <c r="W1381" s="1063"/>
      <c r="X1381" s="1063"/>
      <c r="Y1381" s="1063"/>
      <c r="Z1381" s="1063"/>
      <c r="AA1381" s="1063"/>
      <c r="AB1381" s="1063"/>
      <c r="AC1381" s="1063"/>
      <c r="AD1381" s="1063"/>
      <c r="AE1381" s="1063"/>
      <c r="AF1381" s="1063"/>
      <c r="AG1381" s="1063"/>
      <c r="AH1381" s="1063"/>
      <c r="AI1381" s="1063"/>
      <c r="AJ1381" s="1063"/>
      <c r="AK1381" s="1063"/>
      <c r="AL1381" s="1063"/>
      <c r="AM1381" s="1063"/>
      <c r="AN1381" s="1063"/>
      <c r="AO1381" s="1063"/>
      <c r="AP1381" s="1063"/>
      <c r="AQ1381" s="1063"/>
      <c r="AR1381" s="1063"/>
      <c r="AS1381" s="1063"/>
      <c r="AT1381" s="1063"/>
      <c r="AU1381" s="1063"/>
      <c r="AV1381" s="1063"/>
    </row>
    <row r="1382" spans="1:48" s="1108" customFormat="1" ht="27.75" customHeight="1">
      <c r="A1382" s="1076"/>
      <c r="B1382" s="1074">
        <f>+'[18]Bldg+Dev'!S2194</f>
        <v>0</v>
      </c>
      <c r="D1382" s="1063"/>
      <c r="F1382" s="1076"/>
      <c r="G1382" s="1063"/>
      <c r="H1382" s="1063"/>
      <c r="I1382" s="1063"/>
      <c r="J1382" s="1063"/>
      <c r="K1382" s="1063"/>
      <c r="L1382" s="1063"/>
      <c r="M1382" s="1063"/>
      <c r="N1382" s="1063"/>
      <c r="O1382" s="1063"/>
      <c r="P1382" s="1063"/>
      <c r="Q1382" s="1063"/>
      <c r="R1382" s="1063"/>
      <c r="S1382" s="1063"/>
      <c r="T1382" s="1063"/>
      <c r="U1382" s="1063"/>
      <c r="V1382" s="1063"/>
      <c r="W1382" s="1063"/>
      <c r="X1382" s="1063"/>
      <c r="Y1382" s="1063"/>
      <c r="Z1382" s="1063"/>
      <c r="AA1382" s="1063"/>
      <c r="AB1382" s="1063"/>
      <c r="AC1382" s="1063"/>
      <c r="AD1382" s="1063"/>
      <c r="AE1382" s="1063"/>
      <c r="AF1382" s="1063"/>
      <c r="AG1382" s="1063"/>
      <c r="AH1382" s="1063"/>
      <c r="AI1382" s="1063"/>
      <c r="AJ1382" s="1063"/>
      <c r="AK1382" s="1063"/>
      <c r="AL1382" s="1063"/>
      <c r="AM1382" s="1063"/>
      <c r="AN1382" s="1063"/>
      <c r="AO1382" s="1063"/>
      <c r="AP1382" s="1063"/>
      <c r="AQ1382" s="1063"/>
      <c r="AR1382" s="1063"/>
      <c r="AS1382" s="1063"/>
      <c r="AT1382" s="1063"/>
      <c r="AU1382" s="1063"/>
      <c r="AV1382" s="1063"/>
    </row>
    <row r="1383" spans="1:48" s="1108" customFormat="1" ht="27.75" customHeight="1">
      <c r="A1383" s="1076"/>
      <c r="B1383" s="1074">
        <f>+'[18]Bldg+Dev'!S2195</f>
        <v>0</v>
      </c>
      <c r="D1383" s="1063"/>
      <c r="F1383" s="1076"/>
      <c r="G1383" s="1063"/>
      <c r="H1383" s="1063"/>
      <c r="I1383" s="1063"/>
      <c r="J1383" s="1063"/>
      <c r="K1383" s="1063"/>
      <c r="L1383" s="1063"/>
      <c r="M1383" s="1063"/>
      <c r="N1383" s="1063"/>
      <c r="O1383" s="1063"/>
      <c r="P1383" s="1063"/>
      <c r="Q1383" s="1063"/>
      <c r="R1383" s="1063"/>
      <c r="S1383" s="1063"/>
      <c r="T1383" s="1063"/>
      <c r="U1383" s="1063"/>
      <c r="V1383" s="1063"/>
      <c r="W1383" s="1063"/>
      <c r="X1383" s="1063"/>
      <c r="Y1383" s="1063"/>
      <c r="Z1383" s="1063"/>
      <c r="AA1383" s="1063"/>
      <c r="AB1383" s="1063"/>
      <c r="AC1383" s="1063"/>
      <c r="AD1383" s="1063"/>
      <c r="AE1383" s="1063"/>
      <c r="AF1383" s="1063"/>
      <c r="AG1383" s="1063"/>
      <c r="AH1383" s="1063"/>
      <c r="AI1383" s="1063"/>
      <c r="AJ1383" s="1063"/>
      <c r="AK1383" s="1063"/>
      <c r="AL1383" s="1063"/>
      <c r="AM1383" s="1063"/>
      <c r="AN1383" s="1063"/>
      <c r="AO1383" s="1063"/>
      <c r="AP1383" s="1063"/>
      <c r="AQ1383" s="1063"/>
      <c r="AR1383" s="1063"/>
      <c r="AS1383" s="1063"/>
      <c r="AT1383" s="1063"/>
      <c r="AU1383" s="1063"/>
      <c r="AV1383" s="1063"/>
    </row>
    <row r="1384" spans="1:48" s="1108" customFormat="1" ht="27.75" customHeight="1">
      <c r="A1384" s="1076"/>
      <c r="B1384" s="1074">
        <f>+'[18]Bldg+Dev'!S2196</f>
        <v>0</v>
      </c>
      <c r="D1384" s="1063"/>
      <c r="F1384" s="1076"/>
      <c r="G1384" s="1063"/>
      <c r="H1384" s="1063"/>
      <c r="I1384" s="1063"/>
      <c r="J1384" s="1063"/>
      <c r="K1384" s="1063"/>
      <c r="L1384" s="1063"/>
      <c r="M1384" s="1063"/>
      <c r="N1384" s="1063"/>
      <c r="O1384" s="1063"/>
      <c r="P1384" s="1063"/>
      <c r="Q1384" s="1063"/>
      <c r="R1384" s="1063"/>
      <c r="S1384" s="1063"/>
      <c r="T1384" s="1063"/>
      <c r="U1384" s="1063"/>
      <c r="V1384" s="1063"/>
      <c r="W1384" s="1063"/>
      <c r="X1384" s="1063"/>
      <c r="Y1384" s="1063"/>
      <c r="Z1384" s="1063"/>
      <c r="AA1384" s="1063"/>
      <c r="AB1384" s="1063"/>
      <c r="AC1384" s="1063"/>
      <c r="AD1384" s="1063"/>
      <c r="AE1384" s="1063"/>
      <c r="AF1384" s="1063"/>
      <c r="AG1384" s="1063"/>
      <c r="AH1384" s="1063"/>
      <c r="AI1384" s="1063"/>
      <c r="AJ1384" s="1063"/>
      <c r="AK1384" s="1063"/>
      <c r="AL1384" s="1063"/>
      <c r="AM1384" s="1063"/>
      <c r="AN1384" s="1063"/>
      <c r="AO1384" s="1063"/>
      <c r="AP1384" s="1063"/>
      <c r="AQ1384" s="1063"/>
      <c r="AR1384" s="1063"/>
      <c r="AS1384" s="1063"/>
      <c r="AT1384" s="1063"/>
      <c r="AU1384" s="1063"/>
      <c r="AV1384" s="1063"/>
    </row>
    <row r="1385" spans="1:48" s="1108" customFormat="1" ht="27.75" customHeight="1">
      <c r="A1385" s="1076"/>
      <c r="B1385" s="1074">
        <f>+'[18]Bldg+Dev'!S2197</f>
        <v>0</v>
      </c>
      <c r="D1385" s="1063"/>
      <c r="F1385" s="1076"/>
      <c r="G1385" s="1063"/>
      <c r="H1385" s="1063"/>
      <c r="I1385" s="1063"/>
      <c r="J1385" s="1063"/>
      <c r="K1385" s="1063"/>
      <c r="L1385" s="1063"/>
      <c r="M1385" s="1063"/>
      <c r="N1385" s="1063"/>
      <c r="O1385" s="1063"/>
      <c r="P1385" s="1063"/>
      <c r="Q1385" s="1063"/>
      <c r="R1385" s="1063"/>
      <c r="S1385" s="1063"/>
      <c r="T1385" s="1063"/>
      <c r="U1385" s="1063"/>
      <c r="V1385" s="1063"/>
      <c r="W1385" s="1063"/>
      <c r="X1385" s="1063"/>
      <c r="Y1385" s="1063"/>
      <c r="Z1385" s="1063"/>
      <c r="AA1385" s="1063"/>
      <c r="AB1385" s="1063"/>
      <c r="AC1385" s="1063"/>
      <c r="AD1385" s="1063"/>
      <c r="AE1385" s="1063"/>
      <c r="AF1385" s="1063"/>
      <c r="AG1385" s="1063"/>
      <c r="AH1385" s="1063"/>
      <c r="AI1385" s="1063"/>
      <c r="AJ1385" s="1063"/>
      <c r="AK1385" s="1063"/>
      <c r="AL1385" s="1063"/>
      <c r="AM1385" s="1063"/>
      <c r="AN1385" s="1063"/>
      <c r="AO1385" s="1063"/>
      <c r="AP1385" s="1063"/>
      <c r="AQ1385" s="1063"/>
      <c r="AR1385" s="1063"/>
      <c r="AS1385" s="1063"/>
      <c r="AT1385" s="1063"/>
      <c r="AU1385" s="1063"/>
      <c r="AV1385" s="1063"/>
    </row>
    <row r="1386" spans="1:48" s="1108" customFormat="1" ht="27.75" customHeight="1">
      <c r="A1386" s="1076"/>
      <c r="B1386" s="1074">
        <f>+'[18]Bldg+Dev'!S2198</f>
        <v>0</v>
      </c>
      <c r="D1386" s="1063"/>
      <c r="F1386" s="1076"/>
      <c r="G1386" s="1063"/>
      <c r="H1386" s="1063"/>
      <c r="I1386" s="1063"/>
      <c r="J1386" s="1063"/>
      <c r="K1386" s="1063"/>
      <c r="L1386" s="1063"/>
      <c r="M1386" s="1063"/>
      <c r="N1386" s="1063"/>
      <c r="O1386" s="1063"/>
      <c r="P1386" s="1063"/>
      <c r="Q1386" s="1063"/>
      <c r="R1386" s="1063"/>
      <c r="S1386" s="1063"/>
      <c r="T1386" s="1063"/>
      <c r="U1386" s="1063"/>
      <c r="V1386" s="1063"/>
      <c r="W1386" s="1063"/>
      <c r="X1386" s="1063"/>
      <c r="Y1386" s="1063"/>
      <c r="Z1386" s="1063"/>
      <c r="AA1386" s="1063"/>
      <c r="AB1386" s="1063"/>
      <c r="AC1386" s="1063"/>
      <c r="AD1386" s="1063"/>
      <c r="AE1386" s="1063"/>
      <c r="AF1386" s="1063"/>
      <c r="AG1386" s="1063"/>
      <c r="AH1386" s="1063"/>
      <c r="AI1386" s="1063"/>
      <c r="AJ1386" s="1063"/>
      <c r="AK1386" s="1063"/>
      <c r="AL1386" s="1063"/>
      <c r="AM1386" s="1063"/>
      <c r="AN1386" s="1063"/>
      <c r="AO1386" s="1063"/>
      <c r="AP1386" s="1063"/>
      <c r="AQ1386" s="1063"/>
      <c r="AR1386" s="1063"/>
      <c r="AS1386" s="1063"/>
      <c r="AT1386" s="1063"/>
      <c r="AU1386" s="1063"/>
      <c r="AV1386" s="1063"/>
    </row>
    <row r="1387" spans="1:48" s="1108" customFormat="1" ht="27.75" customHeight="1">
      <c r="A1387" s="1076"/>
      <c r="B1387" s="1074">
        <f>+'[18]Bldg+Dev'!S2199</f>
        <v>0</v>
      </c>
      <c r="D1387" s="1063"/>
      <c r="F1387" s="1076"/>
      <c r="G1387" s="1063"/>
      <c r="H1387" s="1063"/>
      <c r="I1387" s="1063"/>
      <c r="J1387" s="1063"/>
      <c r="K1387" s="1063"/>
      <c r="L1387" s="1063"/>
      <c r="M1387" s="1063"/>
      <c r="N1387" s="1063"/>
      <c r="O1387" s="1063"/>
      <c r="P1387" s="1063"/>
      <c r="Q1387" s="1063"/>
      <c r="R1387" s="1063"/>
      <c r="S1387" s="1063"/>
      <c r="T1387" s="1063"/>
      <c r="U1387" s="1063"/>
      <c r="V1387" s="1063"/>
      <c r="W1387" s="1063"/>
      <c r="X1387" s="1063"/>
      <c r="Y1387" s="1063"/>
      <c r="Z1387" s="1063"/>
      <c r="AA1387" s="1063"/>
      <c r="AB1387" s="1063"/>
      <c r="AC1387" s="1063"/>
      <c r="AD1387" s="1063"/>
      <c r="AE1387" s="1063"/>
      <c r="AF1387" s="1063"/>
      <c r="AG1387" s="1063"/>
      <c r="AH1387" s="1063"/>
      <c r="AI1387" s="1063"/>
      <c r="AJ1387" s="1063"/>
      <c r="AK1387" s="1063"/>
      <c r="AL1387" s="1063"/>
      <c r="AM1387" s="1063"/>
      <c r="AN1387" s="1063"/>
      <c r="AO1387" s="1063"/>
      <c r="AP1387" s="1063"/>
      <c r="AQ1387" s="1063"/>
      <c r="AR1387" s="1063"/>
      <c r="AS1387" s="1063"/>
      <c r="AT1387" s="1063"/>
      <c r="AU1387" s="1063"/>
      <c r="AV1387" s="1063"/>
    </row>
    <row r="1388" spans="1:48" s="1108" customFormat="1" ht="27.75" customHeight="1">
      <c r="A1388" s="1076"/>
      <c r="B1388" s="1074">
        <f>+'[18]Bldg+Dev'!S2200</f>
        <v>0</v>
      </c>
      <c r="D1388" s="1063"/>
      <c r="F1388" s="1076"/>
      <c r="G1388" s="1063"/>
      <c r="H1388" s="1063"/>
      <c r="I1388" s="1063"/>
      <c r="J1388" s="1063"/>
      <c r="K1388" s="1063"/>
      <c r="L1388" s="1063"/>
      <c r="M1388" s="1063"/>
      <c r="N1388" s="1063"/>
      <c r="O1388" s="1063"/>
      <c r="P1388" s="1063"/>
      <c r="Q1388" s="1063"/>
      <c r="R1388" s="1063"/>
      <c r="S1388" s="1063"/>
      <c r="T1388" s="1063"/>
      <c r="U1388" s="1063"/>
      <c r="V1388" s="1063"/>
      <c r="W1388" s="1063"/>
      <c r="X1388" s="1063"/>
      <c r="Y1388" s="1063"/>
      <c r="Z1388" s="1063"/>
      <c r="AA1388" s="1063"/>
      <c r="AB1388" s="1063"/>
      <c r="AC1388" s="1063"/>
      <c r="AD1388" s="1063"/>
      <c r="AE1388" s="1063"/>
      <c r="AF1388" s="1063"/>
      <c r="AG1388" s="1063"/>
      <c r="AH1388" s="1063"/>
      <c r="AI1388" s="1063"/>
      <c r="AJ1388" s="1063"/>
      <c r="AK1388" s="1063"/>
      <c r="AL1388" s="1063"/>
      <c r="AM1388" s="1063"/>
      <c r="AN1388" s="1063"/>
      <c r="AO1388" s="1063"/>
      <c r="AP1388" s="1063"/>
      <c r="AQ1388" s="1063"/>
      <c r="AR1388" s="1063"/>
      <c r="AS1388" s="1063"/>
      <c r="AT1388" s="1063"/>
      <c r="AU1388" s="1063"/>
      <c r="AV1388" s="1063"/>
    </row>
    <row r="1389" spans="1:48" s="1108" customFormat="1" ht="27.75" customHeight="1">
      <c r="A1389" s="1076"/>
      <c r="B1389" s="1074">
        <f>+'[18]Bldg+Dev'!S2201</f>
        <v>0</v>
      </c>
      <c r="D1389" s="1063"/>
      <c r="F1389" s="1076"/>
      <c r="G1389" s="1063"/>
      <c r="H1389" s="1063"/>
      <c r="I1389" s="1063"/>
      <c r="J1389" s="1063"/>
      <c r="K1389" s="1063"/>
      <c r="L1389" s="1063"/>
      <c r="M1389" s="1063"/>
      <c r="N1389" s="1063"/>
      <c r="O1389" s="1063"/>
      <c r="P1389" s="1063"/>
      <c r="Q1389" s="1063"/>
      <c r="R1389" s="1063"/>
      <c r="S1389" s="1063"/>
      <c r="T1389" s="1063"/>
      <c r="U1389" s="1063"/>
      <c r="V1389" s="1063"/>
      <c r="W1389" s="1063"/>
      <c r="X1389" s="1063"/>
      <c r="Y1389" s="1063"/>
      <c r="Z1389" s="1063"/>
      <c r="AA1389" s="1063"/>
      <c r="AB1389" s="1063"/>
      <c r="AC1389" s="1063"/>
      <c r="AD1389" s="1063"/>
      <c r="AE1389" s="1063"/>
      <c r="AF1389" s="1063"/>
      <c r="AG1389" s="1063"/>
      <c r="AH1389" s="1063"/>
      <c r="AI1389" s="1063"/>
      <c r="AJ1389" s="1063"/>
      <c r="AK1389" s="1063"/>
      <c r="AL1389" s="1063"/>
      <c r="AM1389" s="1063"/>
      <c r="AN1389" s="1063"/>
      <c r="AO1389" s="1063"/>
      <c r="AP1389" s="1063"/>
      <c r="AQ1389" s="1063"/>
      <c r="AR1389" s="1063"/>
      <c r="AS1389" s="1063"/>
      <c r="AT1389" s="1063"/>
      <c r="AU1389" s="1063"/>
      <c r="AV1389" s="1063"/>
    </row>
    <row r="1390" spans="1:48" s="1108" customFormat="1" ht="27.75" customHeight="1">
      <c r="A1390" s="1076"/>
      <c r="B1390" s="1074">
        <f>+'[18]Bldg+Dev'!S2202</f>
        <v>0</v>
      </c>
      <c r="D1390" s="1063"/>
      <c r="F1390" s="1076"/>
      <c r="G1390" s="1063"/>
      <c r="H1390" s="1063"/>
      <c r="I1390" s="1063"/>
      <c r="J1390" s="1063"/>
      <c r="K1390" s="1063"/>
      <c r="L1390" s="1063"/>
      <c r="M1390" s="1063"/>
      <c r="N1390" s="1063"/>
      <c r="O1390" s="1063"/>
      <c r="P1390" s="1063"/>
      <c r="Q1390" s="1063"/>
      <c r="R1390" s="1063"/>
      <c r="S1390" s="1063"/>
      <c r="T1390" s="1063"/>
      <c r="U1390" s="1063"/>
      <c r="V1390" s="1063"/>
      <c r="W1390" s="1063"/>
      <c r="X1390" s="1063"/>
      <c r="Y1390" s="1063"/>
      <c r="Z1390" s="1063"/>
      <c r="AA1390" s="1063"/>
      <c r="AB1390" s="1063"/>
      <c r="AC1390" s="1063"/>
      <c r="AD1390" s="1063"/>
      <c r="AE1390" s="1063"/>
      <c r="AF1390" s="1063"/>
      <c r="AG1390" s="1063"/>
      <c r="AH1390" s="1063"/>
      <c r="AI1390" s="1063"/>
      <c r="AJ1390" s="1063"/>
      <c r="AK1390" s="1063"/>
      <c r="AL1390" s="1063"/>
      <c r="AM1390" s="1063"/>
      <c r="AN1390" s="1063"/>
      <c r="AO1390" s="1063"/>
      <c r="AP1390" s="1063"/>
      <c r="AQ1390" s="1063"/>
      <c r="AR1390" s="1063"/>
      <c r="AS1390" s="1063"/>
      <c r="AT1390" s="1063"/>
      <c r="AU1390" s="1063"/>
      <c r="AV1390" s="1063"/>
    </row>
    <row r="1391" spans="1:48" s="1108" customFormat="1" ht="27.75" customHeight="1">
      <c r="A1391" s="1076"/>
      <c r="B1391" s="1074">
        <f>+'[18]Bldg+Dev'!S2203</f>
        <v>0</v>
      </c>
      <c r="D1391" s="1063"/>
      <c r="F1391" s="1076"/>
      <c r="G1391" s="1063"/>
      <c r="H1391" s="1063"/>
      <c r="I1391" s="1063"/>
      <c r="J1391" s="1063"/>
      <c r="K1391" s="1063"/>
      <c r="L1391" s="1063"/>
      <c r="M1391" s="1063"/>
      <c r="N1391" s="1063"/>
      <c r="O1391" s="1063"/>
      <c r="P1391" s="1063"/>
      <c r="Q1391" s="1063"/>
      <c r="R1391" s="1063"/>
      <c r="S1391" s="1063"/>
      <c r="T1391" s="1063"/>
      <c r="U1391" s="1063"/>
      <c r="V1391" s="1063"/>
      <c r="W1391" s="1063"/>
      <c r="X1391" s="1063"/>
      <c r="Y1391" s="1063"/>
      <c r="Z1391" s="1063"/>
      <c r="AA1391" s="1063"/>
      <c r="AB1391" s="1063"/>
      <c r="AC1391" s="1063"/>
      <c r="AD1391" s="1063"/>
      <c r="AE1391" s="1063"/>
      <c r="AF1391" s="1063"/>
      <c r="AG1391" s="1063"/>
      <c r="AH1391" s="1063"/>
      <c r="AI1391" s="1063"/>
      <c r="AJ1391" s="1063"/>
      <c r="AK1391" s="1063"/>
      <c r="AL1391" s="1063"/>
      <c r="AM1391" s="1063"/>
      <c r="AN1391" s="1063"/>
      <c r="AO1391" s="1063"/>
      <c r="AP1391" s="1063"/>
      <c r="AQ1391" s="1063"/>
      <c r="AR1391" s="1063"/>
      <c r="AS1391" s="1063"/>
      <c r="AT1391" s="1063"/>
      <c r="AU1391" s="1063"/>
      <c r="AV1391" s="1063"/>
    </row>
    <row r="1392" spans="1:48" s="1108" customFormat="1" ht="27.75" customHeight="1">
      <c r="A1392" s="1076"/>
      <c r="B1392" s="1074">
        <f>+'[18]Bldg+Dev'!S2204</f>
        <v>0</v>
      </c>
      <c r="D1392" s="1063"/>
      <c r="F1392" s="1076"/>
      <c r="G1392" s="1063"/>
      <c r="H1392" s="1063"/>
      <c r="I1392" s="1063"/>
      <c r="J1392" s="1063"/>
      <c r="K1392" s="1063"/>
      <c r="L1392" s="1063"/>
      <c r="M1392" s="1063"/>
      <c r="N1392" s="1063"/>
      <c r="O1392" s="1063"/>
      <c r="P1392" s="1063"/>
      <c r="Q1392" s="1063"/>
      <c r="R1392" s="1063"/>
      <c r="S1392" s="1063"/>
      <c r="T1392" s="1063"/>
      <c r="U1392" s="1063"/>
      <c r="V1392" s="1063"/>
      <c r="W1392" s="1063"/>
      <c r="X1392" s="1063"/>
      <c r="Y1392" s="1063"/>
      <c r="Z1392" s="1063"/>
      <c r="AA1392" s="1063"/>
      <c r="AB1392" s="1063"/>
      <c r="AC1392" s="1063"/>
      <c r="AD1392" s="1063"/>
      <c r="AE1392" s="1063"/>
      <c r="AF1392" s="1063"/>
      <c r="AG1392" s="1063"/>
      <c r="AH1392" s="1063"/>
      <c r="AI1392" s="1063"/>
      <c r="AJ1392" s="1063"/>
      <c r="AK1392" s="1063"/>
      <c r="AL1392" s="1063"/>
      <c r="AM1392" s="1063"/>
      <c r="AN1392" s="1063"/>
      <c r="AO1392" s="1063"/>
      <c r="AP1392" s="1063"/>
      <c r="AQ1392" s="1063"/>
      <c r="AR1392" s="1063"/>
      <c r="AS1392" s="1063"/>
      <c r="AT1392" s="1063"/>
      <c r="AU1392" s="1063"/>
      <c r="AV1392" s="1063"/>
    </row>
    <row r="1393" spans="1:48" s="1108" customFormat="1" ht="27.75" customHeight="1">
      <c r="A1393" s="1076"/>
      <c r="B1393" s="1074">
        <f>+'[18]Bldg+Dev'!S2205</f>
        <v>0</v>
      </c>
      <c r="D1393" s="1063"/>
      <c r="F1393" s="1076"/>
      <c r="G1393" s="1063"/>
      <c r="H1393" s="1063"/>
      <c r="I1393" s="1063"/>
      <c r="J1393" s="1063"/>
      <c r="K1393" s="1063"/>
      <c r="L1393" s="1063"/>
      <c r="M1393" s="1063"/>
      <c r="N1393" s="1063"/>
      <c r="O1393" s="1063"/>
      <c r="P1393" s="1063"/>
      <c r="Q1393" s="1063"/>
      <c r="R1393" s="1063"/>
      <c r="S1393" s="1063"/>
      <c r="T1393" s="1063"/>
      <c r="U1393" s="1063"/>
      <c r="V1393" s="1063"/>
      <c r="W1393" s="1063"/>
      <c r="X1393" s="1063"/>
      <c r="Y1393" s="1063"/>
      <c r="Z1393" s="1063"/>
      <c r="AA1393" s="1063"/>
      <c r="AB1393" s="1063"/>
      <c r="AC1393" s="1063"/>
      <c r="AD1393" s="1063"/>
      <c r="AE1393" s="1063"/>
      <c r="AF1393" s="1063"/>
      <c r="AG1393" s="1063"/>
      <c r="AH1393" s="1063"/>
      <c r="AI1393" s="1063"/>
      <c r="AJ1393" s="1063"/>
      <c r="AK1393" s="1063"/>
      <c r="AL1393" s="1063"/>
      <c r="AM1393" s="1063"/>
      <c r="AN1393" s="1063"/>
      <c r="AO1393" s="1063"/>
      <c r="AP1393" s="1063"/>
      <c r="AQ1393" s="1063"/>
      <c r="AR1393" s="1063"/>
      <c r="AS1393" s="1063"/>
      <c r="AT1393" s="1063"/>
      <c r="AU1393" s="1063"/>
      <c r="AV1393" s="1063"/>
    </row>
    <row r="1394" spans="1:48" s="1108" customFormat="1" ht="27.75" customHeight="1">
      <c r="A1394" s="1076"/>
      <c r="B1394" s="1074">
        <f>+'[18]Bldg+Dev'!S2206</f>
        <v>0</v>
      </c>
      <c r="D1394" s="1063"/>
      <c r="F1394" s="1076"/>
      <c r="G1394" s="1063"/>
      <c r="H1394" s="1063"/>
      <c r="I1394" s="1063"/>
      <c r="J1394" s="1063"/>
      <c r="K1394" s="1063"/>
      <c r="L1394" s="1063"/>
      <c r="M1394" s="1063"/>
      <c r="N1394" s="1063"/>
      <c r="O1394" s="1063"/>
      <c r="P1394" s="1063"/>
      <c r="Q1394" s="1063"/>
      <c r="R1394" s="1063"/>
      <c r="S1394" s="1063"/>
      <c r="T1394" s="1063"/>
      <c r="U1394" s="1063"/>
      <c r="V1394" s="1063"/>
      <c r="W1394" s="1063"/>
      <c r="X1394" s="1063"/>
      <c r="Y1394" s="1063"/>
      <c r="Z1394" s="1063"/>
      <c r="AA1394" s="1063"/>
      <c r="AB1394" s="1063"/>
      <c r="AC1394" s="1063"/>
      <c r="AD1394" s="1063"/>
      <c r="AE1394" s="1063"/>
      <c r="AF1394" s="1063"/>
      <c r="AG1394" s="1063"/>
      <c r="AH1394" s="1063"/>
      <c r="AI1394" s="1063"/>
      <c r="AJ1394" s="1063"/>
      <c r="AK1394" s="1063"/>
      <c r="AL1394" s="1063"/>
      <c r="AM1394" s="1063"/>
      <c r="AN1394" s="1063"/>
      <c r="AO1394" s="1063"/>
      <c r="AP1394" s="1063"/>
      <c r="AQ1394" s="1063"/>
      <c r="AR1394" s="1063"/>
      <c r="AS1394" s="1063"/>
      <c r="AT1394" s="1063"/>
      <c r="AU1394" s="1063"/>
      <c r="AV1394" s="1063"/>
    </row>
    <row r="1395" spans="1:48" s="1108" customFormat="1" ht="27.75" customHeight="1">
      <c r="A1395" s="1076"/>
      <c r="B1395" s="1074">
        <f>+'[18]Bldg+Dev'!S2207</f>
        <v>0</v>
      </c>
      <c r="D1395" s="1063"/>
      <c r="F1395" s="1076"/>
      <c r="G1395" s="1063"/>
      <c r="H1395" s="1063"/>
      <c r="I1395" s="1063"/>
      <c r="J1395" s="1063"/>
      <c r="K1395" s="1063"/>
      <c r="L1395" s="1063"/>
      <c r="M1395" s="1063"/>
      <c r="N1395" s="1063"/>
      <c r="O1395" s="1063"/>
      <c r="P1395" s="1063"/>
      <c r="Q1395" s="1063"/>
      <c r="R1395" s="1063"/>
      <c r="S1395" s="1063"/>
      <c r="T1395" s="1063"/>
      <c r="U1395" s="1063"/>
      <c r="V1395" s="1063"/>
      <c r="W1395" s="1063"/>
      <c r="X1395" s="1063"/>
      <c r="Y1395" s="1063"/>
      <c r="Z1395" s="1063"/>
      <c r="AA1395" s="1063"/>
      <c r="AB1395" s="1063"/>
      <c r="AC1395" s="1063"/>
      <c r="AD1395" s="1063"/>
      <c r="AE1395" s="1063"/>
      <c r="AF1395" s="1063"/>
      <c r="AG1395" s="1063"/>
      <c r="AH1395" s="1063"/>
      <c r="AI1395" s="1063"/>
      <c r="AJ1395" s="1063"/>
      <c r="AK1395" s="1063"/>
      <c r="AL1395" s="1063"/>
      <c r="AM1395" s="1063"/>
      <c r="AN1395" s="1063"/>
      <c r="AO1395" s="1063"/>
      <c r="AP1395" s="1063"/>
      <c r="AQ1395" s="1063"/>
      <c r="AR1395" s="1063"/>
      <c r="AS1395" s="1063"/>
      <c r="AT1395" s="1063"/>
      <c r="AU1395" s="1063"/>
      <c r="AV1395" s="1063"/>
    </row>
    <row r="1396" spans="1:48" s="1108" customFormat="1" ht="27.75" customHeight="1">
      <c r="A1396" s="1076"/>
      <c r="B1396" s="1074">
        <f>+'[18]Bldg+Dev'!S2208</f>
        <v>0</v>
      </c>
      <c r="D1396" s="1063"/>
      <c r="F1396" s="1076"/>
      <c r="G1396" s="1063"/>
      <c r="H1396" s="1063"/>
      <c r="I1396" s="1063"/>
      <c r="J1396" s="1063"/>
      <c r="K1396" s="1063"/>
      <c r="L1396" s="1063"/>
      <c r="M1396" s="1063"/>
      <c r="N1396" s="1063"/>
      <c r="O1396" s="1063"/>
      <c r="P1396" s="1063"/>
      <c r="Q1396" s="1063"/>
      <c r="R1396" s="1063"/>
      <c r="S1396" s="1063"/>
      <c r="T1396" s="1063"/>
      <c r="U1396" s="1063"/>
      <c r="V1396" s="1063"/>
      <c r="W1396" s="1063"/>
      <c r="X1396" s="1063"/>
      <c r="Y1396" s="1063"/>
      <c r="Z1396" s="1063"/>
      <c r="AA1396" s="1063"/>
      <c r="AB1396" s="1063"/>
      <c r="AC1396" s="1063"/>
      <c r="AD1396" s="1063"/>
      <c r="AE1396" s="1063"/>
      <c r="AF1396" s="1063"/>
      <c r="AG1396" s="1063"/>
      <c r="AH1396" s="1063"/>
      <c r="AI1396" s="1063"/>
      <c r="AJ1396" s="1063"/>
      <c r="AK1396" s="1063"/>
      <c r="AL1396" s="1063"/>
      <c r="AM1396" s="1063"/>
      <c r="AN1396" s="1063"/>
      <c r="AO1396" s="1063"/>
      <c r="AP1396" s="1063"/>
      <c r="AQ1396" s="1063"/>
      <c r="AR1396" s="1063"/>
      <c r="AS1396" s="1063"/>
      <c r="AT1396" s="1063"/>
      <c r="AU1396" s="1063"/>
      <c r="AV1396" s="1063"/>
    </row>
    <row r="1397" spans="1:48" s="1108" customFormat="1" ht="27.75" customHeight="1">
      <c r="A1397" s="1076"/>
      <c r="B1397" s="1074">
        <f>+'[18]Bldg+Dev'!S2209</f>
        <v>0</v>
      </c>
      <c r="D1397" s="1063"/>
      <c r="F1397" s="1076"/>
      <c r="G1397" s="1063"/>
      <c r="H1397" s="1063"/>
      <c r="I1397" s="1063"/>
      <c r="J1397" s="1063"/>
      <c r="K1397" s="1063"/>
      <c r="L1397" s="1063"/>
      <c r="M1397" s="1063"/>
      <c r="N1397" s="1063"/>
      <c r="O1397" s="1063"/>
      <c r="P1397" s="1063"/>
      <c r="Q1397" s="1063"/>
      <c r="R1397" s="1063"/>
      <c r="S1397" s="1063"/>
      <c r="T1397" s="1063"/>
      <c r="U1397" s="1063"/>
      <c r="V1397" s="1063"/>
      <c r="W1397" s="1063"/>
      <c r="X1397" s="1063"/>
      <c r="Y1397" s="1063"/>
      <c r="Z1397" s="1063"/>
      <c r="AA1397" s="1063"/>
      <c r="AB1397" s="1063"/>
      <c r="AC1397" s="1063"/>
      <c r="AD1397" s="1063"/>
      <c r="AE1397" s="1063"/>
      <c r="AF1397" s="1063"/>
      <c r="AG1397" s="1063"/>
      <c r="AH1397" s="1063"/>
      <c r="AI1397" s="1063"/>
      <c r="AJ1397" s="1063"/>
      <c r="AK1397" s="1063"/>
      <c r="AL1397" s="1063"/>
      <c r="AM1397" s="1063"/>
      <c r="AN1397" s="1063"/>
      <c r="AO1397" s="1063"/>
      <c r="AP1397" s="1063"/>
      <c r="AQ1397" s="1063"/>
      <c r="AR1397" s="1063"/>
      <c r="AS1397" s="1063"/>
      <c r="AT1397" s="1063"/>
      <c r="AU1397" s="1063"/>
      <c r="AV1397" s="1063"/>
    </row>
    <row r="1398" spans="1:48" s="1108" customFormat="1" ht="27.75" customHeight="1">
      <c r="A1398" s="1076"/>
      <c r="B1398" s="1074">
        <f>+'[18]Bldg+Dev'!S2210</f>
        <v>0</v>
      </c>
      <c r="D1398" s="1063"/>
      <c r="F1398" s="1076"/>
      <c r="G1398" s="1063"/>
      <c r="H1398" s="1063"/>
      <c r="I1398" s="1063"/>
      <c r="J1398" s="1063"/>
      <c r="K1398" s="1063"/>
      <c r="L1398" s="1063"/>
      <c r="M1398" s="1063"/>
      <c r="N1398" s="1063"/>
      <c r="O1398" s="1063"/>
      <c r="P1398" s="1063"/>
      <c r="Q1398" s="1063"/>
      <c r="R1398" s="1063"/>
      <c r="S1398" s="1063"/>
      <c r="T1398" s="1063"/>
      <c r="U1398" s="1063"/>
      <c r="V1398" s="1063"/>
      <c r="W1398" s="1063"/>
      <c r="X1398" s="1063"/>
      <c r="Y1398" s="1063"/>
      <c r="Z1398" s="1063"/>
      <c r="AA1398" s="1063"/>
      <c r="AB1398" s="1063"/>
      <c r="AC1398" s="1063"/>
      <c r="AD1398" s="1063"/>
      <c r="AE1398" s="1063"/>
      <c r="AF1398" s="1063"/>
      <c r="AG1398" s="1063"/>
      <c r="AH1398" s="1063"/>
      <c r="AI1398" s="1063"/>
      <c r="AJ1398" s="1063"/>
      <c r="AK1398" s="1063"/>
      <c r="AL1398" s="1063"/>
      <c r="AM1398" s="1063"/>
      <c r="AN1398" s="1063"/>
      <c r="AO1398" s="1063"/>
      <c r="AP1398" s="1063"/>
      <c r="AQ1398" s="1063"/>
      <c r="AR1398" s="1063"/>
      <c r="AS1398" s="1063"/>
      <c r="AT1398" s="1063"/>
      <c r="AU1398" s="1063"/>
      <c r="AV1398" s="1063"/>
    </row>
    <row r="1399" spans="1:48" s="1108" customFormat="1" ht="27.75" customHeight="1">
      <c r="A1399" s="1076"/>
      <c r="B1399" s="1074">
        <f>+'[18]Bldg+Dev'!S2211</f>
        <v>0</v>
      </c>
      <c r="D1399" s="1063"/>
      <c r="F1399" s="1076"/>
      <c r="G1399" s="1063"/>
      <c r="H1399" s="1063"/>
      <c r="I1399" s="1063"/>
      <c r="J1399" s="1063"/>
      <c r="K1399" s="1063"/>
      <c r="L1399" s="1063"/>
      <c r="M1399" s="1063"/>
      <c r="N1399" s="1063"/>
      <c r="O1399" s="1063"/>
      <c r="P1399" s="1063"/>
      <c r="Q1399" s="1063"/>
      <c r="R1399" s="1063"/>
      <c r="S1399" s="1063"/>
      <c r="T1399" s="1063"/>
      <c r="U1399" s="1063"/>
      <c r="V1399" s="1063"/>
      <c r="W1399" s="1063"/>
      <c r="X1399" s="1063"/>
      <c r="Y1399" s="1063"/>
      <c r="Z1399" s="1063"/>
      <c r="AA1399" s="1063"/>
      <c r="AB1399" s="1063"/>
      <c r="AC1399" s="1063"/>
      <c r="AD1399" s="1063"/>
      <c r="AE1399" s="1063"/>
      <c r="AF1399" s="1063"/>
      <c r="AG1399" s="1063"/>
      <c r="AH1399" s="1063"/>
      <c r="AI1399" s="1063"/>
      <c r="AJ1399" s="1063"/>
      <c r="AK1399" s="1063"/>
      <c r="AL1399" s="1063"/>
      <c r="AM1399" s="1063"/>
      <c r="AN1399" s="1063"/>
      <c r="AO1399" s="1063"/>
      <c r="AP1399" s="1063"/>
      <c r="AQ1399" s="1063"/>
      <c r="AR1399" s="1063"/>
      <c r="AS1399" s="1063"/>
      <c r="AT1399" s="1063"/>
      <c r="AU1399" s="1063"/>
      <c r="AV1399" s="1063"/>
    </row>
    <row r="1400" spans="1:48" s="1108" customFormat="1" ht="27.75" customHeight="1">
      <c r="A1400" s="1076"/>
      <c r="B1400" s="1074">
        <f>+'[18]Bldg+Dev'!S2212</f>
        <v>0</v>
      </c>
      <c r="D1400" s="1063"/>
      <c r="F1400" s="1076"/>
      <c r="G1400" s="1063"/>
      <c r="H1400" s="1063"/>
      <c r="I1400" s="1063"/>
      <c r="J1400" s="1063"/>
      <c r="K1400" s="1063"/>
      <c r="L1400" s="1063"/>
      <c r="M1400" s="1063"/>
      <c r="N1400" s="1063"/>
      <c r="O1400" s="1063"/>
      <c r="P1400" s="1063"/>
      <c r="Q1400" s="1063"/>
      <c r="R1400" s="1063"/>
      <c r="S1400" s="1063"/>
      <c r="T1400" s="1063"/>
      <c r="U1400" s="1063"/>
      <c r="V1400" s="1063"/>
      <c r="W1400" s="1063"/>
      <c r="X1400" s="1063"/>
      <c r="Y1400" s="1063"/>
      <c r="Z1400" s="1063"/>
      <c r="AA1400" s="1063"/>
      <c r="AB1400" s="1063"/>
      <c r="AC1400" s="1063"/>
      <c r="AD1400" s="1063"/>
      <c r="AE1400" s="1063"/>
      <c r="AF1400" s="1063"/>
      <c r="AG1400" s="1063"/>
      <c r="AH1400" s="1063"/>
      <c r="AI1400" s="1063"/>
      <c r="AJ1400" s="1063"/>
      <c r="AK1400" s="1063"/>
      <c r="AL1400" s="1063"/>
      <c r="AM1400" s="1063"/>
      <c r="AN1400" s="1063"/>
      <c r="AO1400" s="1063"/>
      <c r="AP1400" s="1063"/>
      <c r="AQ1400" s="1063"/>
      <c r="AR1400" s="1063"/>
      <c r="AS1400" s="1063"/>
      <c r="AT1400" s="1063"/>
      <c r="AU1400" s="1063"/>
      <c r="AV1400" s="1063"/>
    </row>
    <row r="1401" spans="1:48" s="1108" customFormat="1" ht="27.75" customHeight="1">
      <c r="A1401" s="1076"/>
      <c r="B1401" s="1074">
        <f>+'[18]Bldg+Dev'!S2213</f>
        <v>0</v>
      </c>
      <c r="D1401" s="1063"/>
      <c r="F1401" s="1076"/>
      <c r="G1401" s="1063"/>
      <c r="H1401" s="1063"/>
      <c r="I1401" s="1063"/>
      <c r="J1401" s="1063"/>
      <c r="K1401" s="1063"/>
      <c r="L1401" s="1063"/>
      <c r="M1401" s="1063"/>
      <c r="N1401" s="1063"/>
      <c r="O1401" s="1063"/>
      <c r="P1401" s="1063"/>
      <c r="Q1401" s="1063"/>
      <c r="R1401" s="1063"/>
      <c r="S1401" s="1063"/>
      <c r="T1401" s="1063"/>
      <c r="U1401" s="1063"/>
      <c r="V1401" s="1063"/>
      <c r="W1401" s="1063"/>
      <c r="X1401" s="1063"/>
      <c r="Y1401" s="1063"/>
      <c r="Z1401" s="1063"/>
      <c r="AA1401" s="1063"/>
      <c r="AB1401" s="1063"/>
      <c r="AC1401" s="1063"/>
      <c r="AD1401" s="1063"/>
      <c r="AE1401" s="1063"/>
      <c r="AF1401" s="1063"/>
      <c r="AG1401" s="1063"/>
      <c r="AH1401" s="1063"/>
      <c r="AI1401" s="1063"/>
      <c r="AJ1401" s="1063"/>
      <c r="AK1401" s="1063"/>
      <c r="AL1401" s="1063"/>
      <c r="AM1401" s="1063"/>
      <c r="AN1401" s="1063"/>
      <c r="AO1401" s="1063"/>
      <c r="AP1401" s="1063"/>
      <c r="AQ1401" s="1063"/>
      <c r="AR1401" s="1063"/>
      <c r="AS1401" s="1063"/>
      <c r="AT1401" s="1063"/>
      <c r="AU1401" s="1063"/>
      <c r="AV1401" s="1063"/>
    </row>
    <row r="1402" spans="1:48" s="1108" customFormat="1" ht="27.75" customHeight="1">
      <c r="A1402" s="1076"/>
      <c r="B1402" s="1074">
        <f>+'[18]Bldg+Dev'!S2214</f>
        <v>0</v>
      </c>
      <c r="D1402" s="1063"/>
      <c r="F1402" s="1076"/>
      <c r="G1402" s="1063"/>
      <c r="H1402" s="1063"/>
      <c r="I1402" s="1063"/>
      <c r="J1402" s="1063"/>
      <c r="K1402" s="1063"/>
      <c r="L1402" s="1063"/>
      <c r="M1402" s="1063"/>
      <c r="N1402" s="1063"/>
      <c r="O1402" s="1063"/>
      <c r="P1402" s="1063"/>
      <c r="Q1402" s="1063"/>
      <c r="R1402" s="1063"/>
      <c r="S1402" s="1063"/>
      <c r="T1402" s="1063"/>
      <c r="U1402" s="1063"/>
      <c r="V1402" s="1063"/>
      <c r="W1402" s="1063"/>
      <c r="X1402" s="1063"/>
      <c r="Y1402" s="1063"/>
      <c r="Z1402" s="1063"/>
      <c r="AA1402" s="1063"/>
      <c r="AB1402" s="1063"/>
      <c r="AC1402" s="1063"/>
      <c r="AD1402" s="1063"/>
      <c r="AE1402" s="1063"/>
      <c r="AF1402" s="1063"/>
      <c r="AG1402" s="1063"/>
      <c r="AH1402" s="1063"/>
      <c r="AI1402" s="1063"/>
      <c r="AJ1402" s="1063"/>
      <c r="AK1402" s="1063"/>
      <c r="AL1402" s="1063"/>
      <c r="AM1402" s="1063"/>
      <c r="AN1402" s="1063"/>
      <c r="AO1402" s="1063"/>
      <c r="AP1402" s="1063"/>
      <c r="AQ1402" s="1063"/>
      <c r="AR1402" s="1063"/>
      <c r="AS1402" s="1063"/>
      <c r="AT1402" s="1063"/>
      <c r="AU1402" s="1063"/>
      <c r="AV1402" s="1063"/>
    </row>
    <row r="1403" spans="1:48" s="1108" customFormat="1" ht="27.75" customHeight="1">
      <c r="A1403" s="1076"/>
      <c r="B1403" s="1074">
        <f>+'[18]Bldg+Dev'!S2215</f>
        <v>0</v>
      </c>
      <c r="D1403" s="1063"/>
      <c r="F1403" s="1076"/>
      <c r="G1403" s="1063"/>
      <c r="H1403" s="1063"/>
      <c r="I1403" s="1063"/>
      <c r="J1403" s="1063"/>
      <c r="K1403" s="1063"/>
      <c r="L1403" s="1063"/>
      <c r="M1403" s="1063"/>
      <c r="N1403" s="1063"/>
      <c r="O1403" s="1063"/>
      <c r="P1403" s="1063"/>
      <c r="Q1403" s="1063"/>
      <c r="R1403" s="1063"/>
      <c r="S1403" s="1063"/>
      <c r="T1403" s="1063"/>
      <c r="U1403" s="1063"/>
      <c r="V1403" s="1063"/>
      <c r="W1403" s="1063"/>
      <c r="X1403" s="1063"/>
      <c r="Y1403" s="1063"/>
      <c r="Z1403" s="1063"/>
      <c r="AA1403" s="1063"/>
      <c r="AB1403" s="1063"/>
      <c r="AC1403" s="1063"/>
      <c r="AD1403" s="1063"/>
      <c r="AE1403" s="1063"/>
      <c r="AF1403" s="1063"/>
      <c r="AG1403" s="1063"/>
      <c r="AH1403" s="1063"/>
      <c r="AI1403" s="1063"/>
      <c r="AJ1403" s="1063"/>
      <c r="AK1403" s="1063"/>
      <c r="AL1403" s="1063"/>
      <c r="AM1403" s="1063"/>
      <c r="AN1403" s="1063"/>
      <c r="AO1403" s="1063"/>
      <c r="AP1403" s="1063"/>
      <c r="AQ1403" s="1063"/>
      <c r="AR1403" s="1063"/>
      <c r="AS1403" s="1063"/>
      <c r="AT1403" s="1063"/>
      <c r="AU1403" s="1063"/>
      <c r="AV1403" s="1063"/>
    </row>
    <row r="1404" spans="1:48" s="1108" customFormat="1" ht="27.75" customHeight="1">
      <c r="A1404" s="1076"/>
      <c r="B1404" s="1074">
        <f>+'[18]Bldg+Dev'!S2216</f>
        <v>0</v>
      </c>
      <c r="D1404" s="1063"/>
      <c r="F1404" s="1076"/>
      <c r="G1404" s="1063"/>
      <c r="H1404" s="1063"/>
      <c r="I1404" s="1063"/>
      <c r="J1404" s="1063"/>
      <c r="K1404" s="1063"/>
      <c r="L1404" s="1063"/>
      <c r="M1404" s="1063"/>
      <c r="N1404" s="1063"/>
      <c r="O1404" s="1063"/>
      <c r="P1404" s="1063"/>
      <c r="Q1404" s="1063"/>
      <c r="R1404" s="1063"/>
      <c r="S1404" s="1063"/>
      <c r="T1404" s="1063"/>
      <c r="U1404" s="1063"/>
      <c r="V1404" s="1063"/>
      <c r="W1404" s="1063"/>
      <c r="X1404" s="1063"/>
      <c r="Y1404" s="1063"/>
      <c r="Z1404" s="1063"/>
      <c r="AA1404" s="1063"/>
      <c r="AB1404" s="1063"/>
      <c r="AC1404" s="1063"/>
      <c r="AD1404" s="1063"/>
      <c r="AE1404" s="1063"/>
      <c r="AF1404" s="1063"/>
      <c r="AG1404" s="1063"/>
      <c r="AH1404" s="1063"/>
      <c r="AI1404" s="1063"/>
      <c r="AJ1404" s="1063"/>
      <c r="AK1404" s="1063"/>
      <c r="AL1404" s="1063"/>
      <c r="AM1404" s="1063"/>
      <c r="AN1404" s="1063"/>
      <c r="AO1404" s="1063"/>
      <c r="AP1404" s="1063"/>
      <c r="AQ1404" s="1063"/>
      <c r="AR1404" s="1063"/>
      <c r="AS1404" s="1063"/>
      <c r="AT1404" s="1063"/>
      <c r="AU1404" s="1063"/>
      <c r="AV1404" s="1063"/>
    </row>
    <row r="1405" spans="1:48" s="1108" customFormat="1" ht="27.75" customHeight="1">
      <c r="A1405" s="1076"/>
      <c r="B1405" s="1074">
        <f>+'[18]Bldg+Dev'!S2217</f>
        <v>0</v>
      </c>
      <c r="D1405" s="1063"/>
      <c r="F1405" s="1076"/>
      <c r="G1405" s="1063"/>
      <c r="H1405" s="1063"/>
      <c r="I1405" s="1063"/>
      <c r="J1405" s="1063"/>
      <c r="K1405" s="1063"/>
      <c r="L1405" s="1063"/>
      <c r="M1405" s="1063"/>
      <c r="N1405" s="1063"/>
      <c r="O1405" s="1063"/>
      <c r="P1405" s="1063"/>
      <c r="Q1405" s="1063"/>
      <c r="R1405" s="1063"/>
      <c r="S1405" s="1063"/>
      <c r="T1405" s="1063"/>
      <c r="U1405" s="1063"/>
      <c r="V1405" s="1063"/>
      <c r="W1405" s="1063"/>
      <c r="X1405" s="1063"/>
      <c r="Y1405" s="1063"/>
      <c r="Z1405" s="1063"/>
      <c r="AA1405" s="1063"/>
      <c r="AB1405" s="1063"/>
      <c r="AC1405" s="1063"/>
      <c r="AD1405" s="1063"/>
      <c r="AE1405" s="1063"/>
      <c r="AF1405" s="1063"/>
      <c r="AG1405" s="1063"/>
      <c r="AH1405" s="1063"/>
      <c r="AI1405" s="1063"/>
      <c r="AJ1405" s="1063"/>
      <c r="AK1405" s="1063"/>
      <c r="AL1405" s="1063"/>
      <c r="AM1405" s="1063"/>
      <c r="AN1405" s="1063"/>
      <c r="AO1405" s="1063"/>
      <c r="AP1405" s="1063"/>
      <c r="AQ1405" s="1063"/>
      <c r="AR1405" s="1063"/>
      <c r="AS1405" s="1063"/>
      <c r="AT1405" s="1063"/>
      <c r="AU1405" s="1063"/>
      <c r="AV1405" s="1063"/>
    </row>
    <row r="1406" spans="1:48" s="1108" customFormat="1" ht="27.75" customHeight="1">
      <c r="A1406" s="1076"/>
      <c r="B1406" s="1074">
        <f>+'[18]Bldg+Dev'!S2218</f>
        <v>0</v>
      </c>
      <c r="D1406" s="1063"/>
      <c r="F1406" s="1076"/>
      <c r="G1406" s="1063"/>
      <c r="H1406" s="1063"/>
      <c r="I1406" s="1063"/>
      <c r="J1406" s="1063"/>
      <c r="K1406" s="1063"/>
      <c r="L1406" s="1063"/>
      <c r="M1406" s="1063"/>
      <c r="N1406" s="1063"/>
      <c r="O1406" s="1063"/>
      <c r="P1406" s="1063"/>
      <c r="Q1406" s="1063"/>
      <c r="R1406" s="1063"/>
      <c r="S1406" s="1063"/>
      <c r="T1406" s="1063"/>
      <c r="U1406" s="1063"/>
      <c r="V1406" s="1063"/>
      <c r="W1406" s="1063"/>
      <c r="X1406" s="1063"/>
      <c r="Y1406" s="1063"/>
      <c r="Z1406" s="1063"/>
      <c r="AA1406" s="1063"/>
      <c r="AB1406" s="1063"/>
      <c r="AC1406" s="1063"/>
      <c r="AD1406" s="1063"/>
      <c r="AE1406" s="1063"/>
      <c r="AF1406" s="1063"/>
      <c r="AG1406" s="1063"/>
      <c r="AH1406" s="1063"/>
      <c r="AI1406" s="1063"/>
      <c r="AJ1406" s="1063"/>
      <c r="AK1406" s="1063"/>
      <c r="AL1406" s="1063"/>
      <c r="AM1406" s="1063"/>
      <c r="AN1406" s="1063"/>
      <c r="AO1406" s="1063"/>
      <c r="AP1406" s="1063"/>
      <c r="AQ1406" s="1063"/>
      <c r="AR1406" s="1063"/>
      <c r="AS1406" s="1063"/>
      <c r="AT1406" s="1063"/>
      <c r="AU1406" s="1063"/>
      <c r="AV1406" s="1063"/>
    </row>
    <row r="1407" spans="1:48" s="1108" customFormat="1" ht="27.75" customHeight="1">
      <c r="A1407" s="1076"/>
      <c r="B1407" s="1074">
        <f>+'[18]Bldg+Dev'!S2219</f>
        <v>0</v>
      </c>
      <c r="D1407" s="1063"/>
      <c r="F1407" s="1076"/>
      <c r="G1407" s="1063"/>
      <c r="H1407" s="1063"/>
      <c r="I1407" s="1063"/>
      <c r="J1407" s="1063"/>
      <c r="K1407" s="1063"/>
      <c r="L1407" s="1063"/>
      <c r="M1407" s="1063"/>
      <c r="N1407" s="1063"/>
      <c r="O1407" s="1063"/>
      <c r="P1407" s="1063"/>
      <c r="Q1407" s="1063"/>
      <c r="R1407" s="1063"/>
      <c r="S1407" s="1063"/>
      <c r="T1407" s="1063"/>
      <c r="U1407" s="1063"/>
      <c r="V1407" s="1063"/>
      <c r="W1407" s="1063"/>
      <c r="X1407" s="1063"/>
      <c r="Y1407" s="1063"/>
      <c r="Z1407" s="1063"/>
      <c r="AA1407" s="1063"/>
      <c r="AB1407" s="1063"/>
      <c r="AC1407" s="1063"/>
      <c r="AD1407" s="1063"/>
      <c r="AE1407" s="1063"/>
      <c r="AF1407" s="1063"/>
      <c r="AG1407" s="1063"/>
      <c r="AH1407" s="1063"/>
      <c r="AI1407" s="1063"/>
      <c r="AJ1407" s="1063"/>
      <c r="AK1407" s="1063"/>
      <c r="AL1407" s="1063"/>
      <c r="AM1407" s="1063"/>
      <c r="AN1407" s="1063"/>
      <c r="AO1407" s="1063"/>
      <c r="AP1407" s="1063"/>
      <c r="AQ1407" s="1063"/>
      <c r="AR1407" s="1063"/>
      <c r="AS1407" s="1063"/>
      <c r="AT1407" s="1063"/>
      <c r="AU1407" s="1063"/>
      <c r="AV1407" s="1063"/>
    </row>
    <row r="1408" spans="1:48" s="1108" customFormat="1" ht="27.75" customHeight="1">
      <c r="A1408" s="1076"/>
      <c r="B1408" s="1074">
        <f>+'[18]Bldg+Dev'!S2220</f>
        <v>0</v>
      </c>
      <c r="D1408" s="1063"/>
      <c r="F1408" s="1076"/>
      <c r="G1408" s="1063"/>
      <c r="H1408" s="1063"/>
      <c r="I1408" s="1063"/>
      <c r="J1408" s="1063"/>
      <c r="K1408" s="1063"/>
      <c r="L1408" s="1063"/>
      <c r="M1408" s="1063"/>
      <c r="N1408" s="1063"/>
      <c r="O1408" s="1063"/>
      <c r="P1408" s="1063"/>
      <c r="Q1408" s="1063"/>
      <c r="R1408" s="1063"/>
      <c r="S1408" s="1063"/>
      <c r="T1408" s="1063"/>
      <c r="U1408" s="1063"/>
      <c r="V1408" s="1063"/>
      <c r="W1408" s="1063"/>
      <c r="X1408" s="1063"/>
      <c r="Y1408" s="1063"/>
      <c r="Z1408" s="1063"/>
      <c r="AA1408" s="1063"/>
      <c r="AB1408" s="1063"/>
      <c r="AC1408" s="1063"/>
      <c r="AD1408" s="1063"/>
      <c r="AE1408" s="1063"/>
      <c r="AF1408" s="1063"/>
      <c r="AG1408" s="1063"/>
      <c r="AH1408" s="1063"/>
      <c r="AI1408" s="1063"/>
      <c r="AJ1408" s="1063"/>
      <c r="AK1408" s="1063"/>
      <c r="AL1408" s="1063"/>
      <c r="AM1408" s="1063"/>
      <c r="AN1408" s="1063"/>
      <c r="AO1408" s="1063"/>
      <c r="AP1408" s="1063"/>
      <c r="AQ1408" s="1063"/>
      <c r="AR1408" s="1063"/>
      <c r="AS1408" s="1063"/>
      <c r="AT1408" s="1063"/>
      <c r="AU1408" s="1063"/>
      <c r="AV1408" s="1063"/>
    </row>
    <row r="1409" spans="1:48" s="1108" customFormat="1" ht="27.75" customHeight="1">
      <c r="A1409" s="1076"/>
      <c r="B1409" s="1074">
        <f>+'[18]Bldg+Dev'!S2221</f>
        <v>0</v>
      </c>
      <c r="D1409" s="1063"/>
      <c r="F1409" s="1076"/>
      <c r="G1409" s="1063"/>
      <c r="H1409" s="1063"/>
      <c r="I1409" s="1063"/>
      <c r="J1409" s="1063"/>
      <c r="K1409" s="1063"/>
      <c r="L1409" s="1063"/>
      <c r="M1409" s="1063"/>
      <c r="N1409" s="1063"/>
      <c r="O1409" s="1063"/>
      <c r="P1409" s="1063"/>
      <c r="Q1409" s="1063"/>
      <c r="R1409" s="1063"/>
      <c r="S1409" s="1063"/>
      <c r="T1409" s="1063"/>
      <c r="U1409" s="1063"/>
      <c r="V1409" s="1063"/>
      <c r="W1409" s="1063"/>
      <c r="X1409" s="1063"/>
      <c r="Y1409" s="1063"/>
      <c r="Z1409" s="1063"/>
      <c r="AA1409" s="1063"/>
      <c r="AB1409" s="1063"/>
      <c r="AC1409" s="1063"/>
      <c r="AD1409" s="1063"/>
      <c r="AE1409" s="1063"/>
      <c r="AF1409" s="1063"/>
      <c r="AG1409" s="1063"/>
      <c r="AH1409" s="1063"/>
      <c r="AI1409" s="1063"/>
      <c r="AJ1409" s="1063"/>
      <c r="AK1409" s="1063"/>
      <c r="AL1409" s="1063"/>
      <c r="AM1409" s="1063"/>
      <c r="AN1409" s="1063"/>
      <c r="AO1409" s="1063"/>
      <c r="AP1409" s="1063"/>
      <c r="AQ1409" s="1063"/>
      <c r="AR1409" s="1063"/>
      <c r="AS1409" s="1063"/>
      <c r="AT1409" s="1063"/>
      <c r="AU1409" s="1063"/>
      <c r="AV1409" s="1063"/>
    </row>
    <row r="1410" spans="1:48" s="1108" customFormat="1" ht="27.75" customHeight="1">
      <c r="A1410" s="1076"/>
      <c r="B1410" s="1074">
        <f>+'[18]Bldg+Dev'!S2222</f>
        <v>0</v>
      </c>
      <c r="D1410" s="1063"/>
      <c r="F1410" s="1076"/>
      <c r="G1410" s="1063"/>
      <c r="H1410" s="1063"/>
      <c r="I1410" s="1063"/>
      <c r="J1410" s="1063"/>
      <c r="K1410" s="1063"/>
      <c r="L1410" s="1063"/>
      <c r="M1410" s="1063"/>
      <c r="N1410" s="1063"/>
      <c r="O1410" s="1063"/>
      <c r="P1410" s="1063"/>
      <c r="Q1410" s="1063"/>
      <c r="R1410" s="1063"/>
      <c r="S1410" s="1063"/>
      <c r="T1410" s="1063"/>
      <c r="U1410" s="1063"/>
      <c r="V1410" s="1063"/>
      <c r="W1410" s="1063"/>
      <c r="X1410" s="1063"/>
      <c r="Y1410" s="1063"/>
      <c r="Z1410" s="1063"/>
      <c r="AA1410" s="1063"/>
      <c r="AB1410" s="1063"/>
      <c r="AC1410" s="1063"/>
      <c r="AD1410" s="1063"/>
      <c r="AE1410" s="1063"/>
      <c r="AF1410" s="1063"/>
      <c r="AG1410" s="1063"/>
      <c r="AH1410" s="1063"/>
      <c r="AI1410" s="1063"/>
      <c r="AJ1410" s="1063"/>
      <c r="AK1410" s="1063"/>
      <c r="AL1410" s="1063"/>
      <c r="AM1410" s="1063"/>
      <c r="AN1410" s="1063"/>
      <c r="AO1410" s="1063"/>
      <c r="AP1410" s="1063"/>
      <c r="AQ1410" s="1063"/>
      <c r="AR1410" s="1063"/>
      <c r="AS1410" s="1063"/>
      <c r="AT1410" s="1063"/>
      <c r="AU1410" s="1063"/>
      <c r="AV1410" s="1063"/>
    </row>
    <row r="1411" spans="1:48" s="1108" customFormat="1" ht="27.75" customHeight="1">
      <c r="A1411" s="1076"/>
      <c r="B1411" s="1074">
        <f>+'[18]Bldg+Dev'!S2223</f>
        <v>0</v>
      </c>
      <c r="D1411" s="1063"/>
      <c r="F1411" s="1076"/>
      <c r="G1411" s="1063"/>
      <c r="H1411" s="1063"/>
      <c r="I1411" s="1063"/>
      <c r="J1411" s="1063"/>
      <c r="K1411" s="1063"/>
      <c r="L1411" s="1063"/>
      <c r="M1411" s="1063"/>
      <c r="N1411" s="1063"/>
      <c r="O1411" s="1063"/>
      <c r="P1411" s="1063"/>
      <c r="Q1411" s="1063"/>
      <c r="R1411" s="1063"/>
      <c r="S1411" s="1063"/>
      <c r="T1411" s="1063"/>
      <c r="U1411" s="1063"/>
      <c r="V1411" s="1063"/>
      <c r="W1411" s="1063"/>
      <c r="X1411" s="1063"/>
      <c r="Y1411" s="1063"/>
      <c r="Z1411" s="1063"/>
      <c r="AA1411" s="1063"/>
      <c r="AB1411" s="1063"/>
      <c r="AC1411" s="1063"/>
      <c r="AD1411" s="1063"/>
      <c r="AE1411" s="1063"/>
      <c r="AF1411" s="1063"/>
      <c r="AG1411" s="1063"/>
      <c r="AH1411" s="1063"/>
      <c r="AI1411" s="1063"/>
      <c r="AJ1411" s="1063"/>
      <c r="AK1411" s="1063"/>
      <c r="AL1411" s="1063"/>
      <c r="AM1411" s="1063"/>
      <c r="AN1411" s="1063"/>
      <c r="AO1411" s="1063"/>
      <c r="AP1411" s="1063"/>
      <c r="AQ1411" s="1063"/>
      <c r="AR1411" s="1063"/>
      <c r="AS1411" s="1063"/>
      <c r="AT1411" s="1063"/>
      <c r="AU1411" s="1063"/>
      <c r="AV1411" s="1063"/>
    </row>
    <row r="1412" spans="1:48" s="1108" customFormat="1" ht="27.75" customHeight="1">
      <c r="A1412" s="1076"/>
      <c r="B1412" s="1074">
        <f>+'[18]Bldg+Dev'!S2224</f>
        <v>0</v>
      </c>
      <c r="D1412" s="1063"/>
      <c r="F1412" s="1076"/>
      <c r="G1412" s="1063"/>
      <c r="H1412" s="1063"/>
      <c r="I1412" s="1063"/>
      <c r="J1412" s="1063"/>
      <c r="K1412" s="1063"/>
      <c r="L1412" s="1063"/>
      <c r="M1412" s="1063"/>
      <c r="N1412" s="1063"/>
      <c r="O1412" s="1063"/>
      <c r="P1412" s="1063"/>
      <c r="Q1412" s="1063"/>
      <c r="R1412" s="1063"/>
      <c r="S1412" s="1063"/>
      <c r="T1412" s="1063"/>
      <c r="U1412" s="1063"/>
      <c r="V1412" s="1063"/>
      <c r="W1412" s="1063"/>
      <c r="X1412" s="1063"/>
      <c r="Y1412" s="1063"/>
      <c r="Z1412" s="1063"/>
      <c r="AA1412" s="1063"/>
      <c r="AB1412" s="1063"/>
      <c r="AC1412" s="1063"/>
      <c r="AD1412" s="1063"/>
      <c r="AE1412" s="1063"/>
      <c r="AF1412" s="1063"/>
      <c r="AG1412" s="1063"/>
      <c r="AH1412" s="1063"/>
      <c r="AI1412" s="1063"/>
      <c r="AJ1412" s="1063"/>
      <c r="AK1412" s="1063"/>
      <c r="AL1412" s="1063"/>
      <c r="AM1412" s="1063"/>
      <c r="AN1412" s="1063"/>
      <c r="AO1412" s="1063"/>
      <c r="AP1412" s="1063"/>
      <c r="AQ1412" s="1063"/>
      <c r="AR1412" s="1063"/>
      <c r="AS1412" s="1063"/>
      <c r="AT1412" s="1063"/>
      <c r="AU1412" s="1063"/>
      <c r="AV1412" s="1063"/>
    </row>
    <row r="1413" spans="1:48" s="1108" customFormat="1" ht="27.75" customHeight="1">
      <c r="A1413" s="1076"/>
      <c r="B1413" s="1074">
        <f>+'[18]Bldg+Dev'!S2225</f>
        <v>0</v>
      </c>
      <c r="D1413" s="1063"/>
      <c r="F1413" s="1076"/>
      <c r="G1413" s="1063"/>
      <c r="H1413" s="1063"/>
      <c r="I1413" s="1063"/>
      <c r="J1413" s="1063"/>
      <c r="K1413" s="1063"/>
      <c r="L1413" s="1063"/>
      <c r="M1413" s="1063"/>
      <c r="N1413" s="1063"/>
      <c r="O1413" s="1063"/>
      <c r="P1413" s="1063"/>
      <c r="Q1413" s="1063"/>
      <c r="R1413" s="1063"/>
      <c r="S1413" s="1063"/>
      <c r="T1413" s="1063"/>
      <c r="U1413" s="1063"/>
      <c r="V1413" s="1063"/>
      <c r="W1413" s="1063"/>
      <c r="X1413" s="1063"/>
      <c r="Y1413" s="1063"/>
      <c r="Z1413" s="1063"/>
      <c r="AA1413" s="1063"/>
      <c r="AB1413" s="1063"/>
      <c r="AC1413" s="1063"/>
      <c r="AD1413" s="1063"/>
      <c r="AE1413" s="1063"/>
      <c r="AF1413" s="1063"/>
      <c r="AG1413" s="1063"/>
      <c r="AH1413" s="1063"/>
      <c r="AI1413" s="1063"/>
      <c r="AJ1413" s="1063"/>
      <c r="AK1413" s="1063"/>
      <c r="AL1413" s="1063"/>
      <c r="AM1413" s="1063"/>
      <c r="AN1413" s="1063"/>
      <c r="AO1413" s="1063"/>
      <c r="AP1413" s="1063"/>
      <c r="AQ1413" s="1063"/>
      <c r="AR1413" s="1063"/>
      <c r="AS1413" s="1063"/>
      <c r="AT1413" s="1063"/>
      <c r="AU1413" s="1063"/>
      <c r="AV1413" s="1063"/>
    </row>
    <row r="1414" spans="1:48" s="1108" customFormat="1" ht="27.75" customHeight="1">
      <c r="A1414" s="1076"/>
      <c r="B1414" s="1074">
        <f>+'[18]Bldg+Dev'!S2226</f>
        <v>0</v>
      </c>
      <c r="D1414" s="1063"/>
      <c r="F1414" s="1076"/>
      <c r="G1414" s="1063"/>
      <c r="H1414" s="1063"/>
      <c r="I1414" s="1063"/>
      <c r="J1414" s="1063"/>
      <c r="K1414" s="1063"/>
      <c r="L1414" s="1063"/>
      <c r="M1414" s="1063"/>
      <c r="N1414" s="1063"/>
      <c r="O1414" s="1063"/>
      <c r="P1414" s="1063"/>
      <c r="Q1414" s="1063"/>
      <c r="R1414" s="1063"/>
      <c r="S1414" s="1063"/>
      <c r="T1414" s="1063"/>
      <c r="U1414" s="1063"/>
      <c r="V1414" s="1063"/>
      <c r="W1414" s="1063"/>
      <c r="X1414" s="1063"/>
      <c r="Y1414" s="1063"/>
      <c r="Z1414" s="1063"/>
      <c r="AA1414" s="1063"/>
      <c r="AB1414" s="1063"/>
      <c r="AC1414" s="1063"/>
      <c r="AD1414" s="1063"/>
      <c r="AE1414" s="1063"/>
      <c r="AF1414" s="1063"/>
      <c r="AG1414" s="1063"/>
      <c r="AH1414" s="1063"/>
      <c r="AI1414" s="1063"/>
      <c r="AJ1414" s="1063"/>
      <c r="AK1414" s="1063"/>
      <c r="AL1414" s="1063"/>
      <c r="AM1414" s="1063"/>
      <c r="AN1414" s="1063"/>
      <c r="AO1414" s="1063"/>
      <c r="AP1414" s="1063"/>
      <c r="AQ1414" s="1063"/>
      <c r="AR1414" s="1063"/>
      <c r="AS1414" s="1063"/>
      <c r="AT1414" s="1063"/>
      <c r="AU1414" s="1063"/>
      <c r="AV1414" s="1063"/>
    </row>
    <row r="1415" spans="1:48" s="1108" customFormat="1" ht="27.75" customHeight="1">
      <c r="A1415" s="1076"/>
      <c r="B1415" s="1074">
        <f>+'[18]Bldg+Dev'!S2227</f>
        <v>0</v>
      </c>
      <c r="D1415" s="1063"/>
      <c r="F1415" s="1076"/>
      <c r="G1415" s="1063"/>
      <c r="H1415" s="1063"/>
      <c r="I1415" s="1063"/>
      <c r="J1415" s="1063"/>
      <c r="K1415" s="1063"/>
      <c r="L1415" s="1063"/>
      <c r="M1415" s="1063"/>
      <c r="N1415" s="1063"/>
      <c r="O1415" s="1063"/>
      <c r="P1415" s="1063"/>
      <c r="Q1415" s="1063"/>
      <c r="R1415" s="1063"/>
      <c r="S1415" s="1063"/>
      <c r="T1415" s="1063"/>
      <c r="U1415" s="1063"/>
      <c r="V1415" s="1063"/>
      <c r="W1415" s="1063"/>
      <c r="X1415" s="1063"/>
      <c r="Y1415" s="1063"/>
      <c r="Z1415" s="1063"/>
      <c r="AA1415" s="1063"/>
      <c r="AB1415" s="1063"/>
      <c r="AC1415" s="1063"/>
      <c r="AD1415" s="1063"/>
      <c r="AE1415" s="1063"/>
      <c r="AF1415" s="1063"/>
      <c r="AG1415" s="1063"/>
      <c r="AH1415" s="1063"/>
      <c r="AI1415" s="1063"/>
      <c r="AJ1415" s="1063"/>
      <c r="AK1415" s="1063"/>
      <c r="AL1415" s="1063"/>
      <c r="AM1415" s="1063"/>
      <c r="AN1415" s="1063"/>
      <c r="AO1415" s="1063"/>
      <c r="AP1415" s="1063"/>
      <c r="AQ1415" s="1063"/>
      <c r="AR1415" s="1063"/>
      <c r="AS1415" s="1063"/>
      <c r="AT1415" s="1063"/>
      <c r="AU1415" s="1063"/>
      <c r="AV1415" s="1063"/>
    </row>
    <row r="1416" spans="1:48" s="1108" customFormat="1" ht="27.75" customHeight="1">
      <c r="A1416" s="1076"/>
      <c r="B1416" s="1074">
        <f>+'[18]Bldg+Dev'!S2228</f>
        <v>0</v>
      </c>
      <c r="D1416" s="1063"/>
      <c r="F1416" s="1076"/>
      <c r="G1416" s="1063"/>
      <c r="H1416" s="1063"/>
      <c r="I1416" s="1063"/>
      <c r="J1416" s="1063"/>
      <c r="K1416" s="1063"/>
      <c r="L1416" s="1063"/>
      <c r="M1416" s="1063"/>
      <c r="N1416" s="1063"/>
      <c r="O1416" s="1063"/>
      <c r="P1416" s="1063"/>
      <c r="Q1416" s="1063"/>
      <c r="R1416" s="1063"/>
      <c r="S1416" s="1063"/>
      <c r="T1416" s="1063"/>
      <c r="U1416" s="1063"/>
      <c r="V1416" s="1063"/>
      <c r="W1416" s="1063"/>
      <c r="X1416" s="1063"/>
      <c r="Y1416" s="1063"/>
      <c r="Z1416" s="1063"/>
      <c r="AA1416" s="1063"/>
      <c r="AB1416" s="1063"/>
      <c r="AC1416" s="1063"/>
      <c r="AD1416" s="1063"/>
      <c r="AE1416" s="1063"/>
      <c r="AF1416" s="1063"/>
      <c r="AG1416" s="1063"/>
      <c r="AH1416" s="1063"/>
      <c r="AI1416" s="1063"/>
      <c r="AJ1416" s="1063"/>
      <c r="AK1416" s="1063"/>
      <c r="AL1416" s="1063"/>
      <c r="AM1416" s="1063"/>
      <c r="AN1416" s="1063"/>
      <c r="AO1416" s="1063"/>
      <c r="AP1416" s="1063"/>
      <c r="AQ1416" s="1063"/>
      <c r="AR1416" s="1063"/>
      <c r="AS1416" s="1063"/>
      <c r="AT1416" s="1063"/>
      <c r="AU1416" s="1063"/>
      <c r="AV1416" s="1063"/>
    </row>
    <row r="1417" spans="1:48" s="1108" customFormat="1" ht="27.75" customHeight="1">
      <c r="A1417" s="1076"/>
      <c r="B1417" s="1074">
        <f>+'[18]Bldg+Dev'!S2229</f>
        <v>0</v>
      </c>
      <c r="D1417" s="1063"/>
      <c r="F1417" s="1076"/>
      <c r="G1417" s="1063"/>
      <c r="H1417" s="1063"/>
      <c r="I1417" s="1063"/>
      <c r="J1417" s="1063"/>
      <c r="K1417" s="1063"/>
      <c r="L1417" s="1063"/>
      <c r="M1417" s="1063"/>
      <c r="N1417" s="1063"/>
      <c r="O1417" s="1063"/>
      <c r="P1417" s="1063"/>
      <c r="Q1417" s="1063"/>
      <c r="R1417" s="1063"/>
      <c r="S1417" s="1063"/>
      <c r="T1417" s="1063"/>
      <c r="U1417" s="1063"/>
      <c r="V1417" s="1063"/>
      <c r="W1417" s="1063"/>
      <c r="X1417" s="1063"/>
      <c r="Y1417" s="1063"/>
      <c r="Z1417" s="1063"/>
      <c r="AA1417" s="1063"/>
      <c r="AB1417" s="1063"/>
      <c r="AC1417" s="1063"/>
      <c r="AD1417" s="1063"/>
      <c r="AE1417" s="1063"/>
      <c r="AF1417" s="1063"/>
      <c r="AG1417" s="1063"/>
      <c r="AH1417" s="1063"/>
      <c r="AI1417" s="1063"/>
      <c r="AJ1417" s="1063"/>
      <c r="AK1417" s="1063"/>
      <c r="AL1417" s="1063"/>
      <c r="AM1417" s="1063"/>
      <c r="AN1417" s="1063"/>
      <c r="AO1417" s="1063"/>
      <c r="AP1417" s="1063"/>
      <c r="AQ1417" s="1063"/>
      <c r="AR1417" s="1063"/>
      <c r="AS1417" s="1063"/>
      <c r="AT1417" s="1063"/>
      <c r="AU1417" s="1063"/>
      <c r="AV1417" s="1063"/>
    </row>
    <row r="1418" spans="1:48" s="1108" customFormat="1" ht="27.75" customHeight="1">
      <c r="A1418" s="1076"/>
      <c r="B1418" s="1074">
        <f>+'[18]Bldg+Dev'!S2230</f>
        <v>0</v>
      </c>
      <c r="D1418" s="1063"/>
      <c r="F1418" s="1076"/>
      <c r="G1418" s="1063"/>
      <c r="H1418" s="1063"/>
      <c r="I1418" s="1063"/>
      <c r="J1418" s="1063"/>
      <c r="K1418" s="1063"/>
      <c r="L1418" s="1063"/>
      <c r="M1418" s="1063"/>
      <c r="N1418" s="1063"/>
      <c r="O1418" s="1063"/>
      <c r="P1418" s="1063"/>
      <c r="Q1418" s="1063"/>
      <c r="R1418" s="1063"/>
      <c r="S1418" s="1063"/>
      <c r="T1418" s="1063"/>
      <c r="U1418" s="1063"/>
      <c r="V1418" s="1063"/>
      <c r="W1418" s="1063"/>
      <c r="X1418" s="1063"/>
      <c r="Y1418" s="1063"/>
      <c r="Z1418" s="1063"/>
      <c r="AA1418" s="1063"/>
      <c r="AB1418" s="1063"/>
      <c r="AC1418" s="1063"/>
      <c r="AD1418" s="1063"/>
      <c r="AE1418" s="1063"/>
      <c r="AF1418" s="1063"/>
      <c r="AG1418" s="1063"/>
      <c r="AH1418" s="1063"/>
      <c r="AI1418" s="1063"/>
      <c r="AJ1418" s="1063"/>
      <c r="AK1418" s="1063"/>
      <c r="AL1418" s="1063"/>
      <c r="AM1418" s="1063"/>
      <c r="AN1418" s="1063"/>
      <c r="AO1418" s="1063"/>
      <c r="AP1418" s="1063"/>
      <c r="AQ1418" s="1063"/>
      <c r="AR1418" s="1063"/>
      <c r="AS1418" s="1063"/>
      <c r="AT1418" s="1063"/>
      <c r="AU1418" s="1063"/>
      <c r="AV1418" s="1063"/>
    </row>
    <row r="1419" spans="1:48" s="1108" customFormat="1" ht="27.75" customHeight="1">
      <c r="A1419" s="1076"/>
      <c r="B1419" s="1074">
        <f>+'[18]Bldg+Dev'!S2231</f>
        <v>0</v>
      </c>
      <c r="D1419" s="1063"/>
      <c r="F1419" s="1076"/>
      <c r="G1419" s="1063"/>
      <c r="H1419" s="1063"/>
      <c r="I1419" s="1063"/>
      <c r="J1419" s="1063"/>
      <c r="K1419" s="1063"/>
      <c r="L1419" s="1063"/>
      <c r="M1419" s="1063"/>
      <c r="N1419" s="1063"/>
      <c r="O1419" s="1063"/>
      <c r="P1419" s="1063"/>
      <c r="Q1419" s="1063"/>
      <c r="R1419" s="1063"/>
      <c r="S1419" s="1063"/>
      <c r="T1419" s="1063"/>
      <c r="U1419" s="1063"/>
      <c r="V1419" s="1063"/>
      <c r="W1419" s="1063"/>
      <c r="X1419" s="1063"/>
      <c r="Y1419" s="1063"/>
      <c r="Z1419" s="1063"/>
      <c r="AA1419" s="1063"/>
      <c r="AB1419" s="1063"/>
      <c r="AC1419" s="1063"/>
      <c r="AD1419" s="1063"/>
      <c r="AE1419" s="1063"/>
      <c r="AF1419" s="1063"/>
      <c r="AG1419" s="1063"/>
      <c r="AH1419" s="1063"/>
      <c r="AI1419" s="1063"/>
      <c r="AJ1419" s="1063"/>
      <c r="AK1419" s="1063"/>
      <c r="AL1419" s="1063"/>
      <c r="AM1419" s="1063"/>
      <c r="AN1419" s="1063"/>
      <c r="AO1419" s="1063"/>
      <c r="AP1419" s="1063"/>
      <c r="AQ1419" s="1063"/>
      <c r="AR1419" s="1063"/>
      <c r="AS1419" s="1063"/>
      <c r="AT1419" s="1063"/>
      <c r="AU1419" s="1063"/>
      <c r="AV1419" s="1063"/>
    </row>
    <row r="1420" spans="1:48" s="1108" customFormat="1" ht="27.75" customHeight="1">
      <c r="A1420" s="1076"/>
      <c r="B1420" s="1074">
        <f>+'[18]Bldg+Dev'!S2232</f>
        <v>0</v>
      </c>
      <c r="D1420" s="1063"/>
      <c r="F1420" s="1076"/>
      <c r="G1420" s="1063"/>
      <c r="H1420" s="1063"/>
      <c r="I1420" s="1063"/>
      <c r="J1420" s="1063"/>
      <c r="K1420" s="1063"/>
      <c r="L1420" s="1063"/>
      <c r="M1420" s="1063"/>
      <c r="N1420" s="1063"/>
      <c r="O1420" s="1063"/>
      <c r="P1420" s="1063"/>
      <c r="Q1420" s="1063"/>
      <c r="R1420" s="1063"/>
      <c r="S1420" s="1063"/>
      <c r="T1420" s="1063"/>
      <c r="U1420" s="1063"/>
      <c r="V1420" s="1063"/>
      <c r="W1420" s="1063"/>
      <c r="X1420" s="1063"/>
      <c r="Y1420" s="1063"/>
      <c r="Z1420" s="1063"/>
      <c r="AA1420" s="1063"/>
      <c r="AB1420" s="1063"/>
      <c r="AC1420" s="1063"/>
      <c r="AD1420" s="1063"/>
      <c r="AE1420" s="1063"/>
      <c r="AF1420" s="1063"/>
      <c r="AG1420" s="1063"/>
      <c r="AH1420" s="1063"/>
      <c r="AI1420" s="1063"/>
      <c r="AJ1420" s="1063"/>
      <c r="AK1420" s="1063"/>
      <c r="AL1420" s="1063"/>
      <c r="AM1420" s="1063"/>
      <c r="AN1420" s="1063"/>
      <c r="AO1420" s="1063"/>
      <c r="AP1420" s="1063"/>
      <c r="AQ1420" s="1063"/>
      <c r="AR1420" s="1063"/>
      <c r="AS1420" s="1063"/>
      <c r="AT1420" s="1063"/>
      <c r="AU1420" s="1063"/>
      <c r="AV1420" s="1063"/>
    </row>
    <row r="1421" spans="1:48" s="1108" customFormat="1" ht="27.75" customHeight="1">
      <c r="A1421" s="1076"/>
      <c r="B1421" s="1074">
        <f>+'[18]Bldg+Dev'!S2233</f>
        <v>0</v>
      </c>
      <c r="D1421" s="1063"/>
      <c r="F1421" s="1076"/>
      <c r="G1421" s="1063"/>
      <c r="H1421" s="1063"/>
      <c r="I1421" s="1063"/>
      <c r="J1421" s="1063"/>
      <c r="K1421" s="1063"/>
      <c r="L1421" s="1063"/>
      <c r="M1421" s="1063"/>
      <c r="N1421" s="1063"/>
      <c r="O1421" s="1063"/>
      <c r="P1421" s="1063"/>
      <c r="Q1421" s="1063"/>
      <c r="R1421" s="1063"/>
      <c r="S1421" s="1063"/>
      <c r="T1421" s="1063"/>
      <c r="U1421" s="1063"/>
      <c r="V1421" s="1063"/>
      <c r="W1421" s="1063"/>
      <c r="X1421" s="1063"/>
      <c r="Y1421" s="1063"/>
      <c r="Z1421" s="1063"/>
      <c r="AA1421" s="1063"/>
      <c r="AB1421" s="1063"/>
      <c r="AC1421" s="1063"/>
      <c r="AD1421" s="1063"/>
      <c r="AE1421" s="1063"/>
      <c r="AF1421" s="1063"/>
      <c r="AG1421" s="1063"/>
      <c r="AH1421" s="1063"/>
      <c r="AI1421" s="1063"/>
      <c r="AJ1421" s="1063"/>
      <c r="AK1421" s="1063"/>
      <c r="AL1421" s="1063"/>
      <c r="AM1421" s="1063"/>
      <c r="AN1421" s="1063"/>
      <c r="AO1421" s="1063"/>
      <c r="AP1421" s="1063"/>
      <c r="AQ1421" s="1063"/>
      <c r="AR1421" s="1063"/>
      <c r="AS1421" s="1063"/>
      <c r="AT1421" s="1063"/>
      <c r="AU1421" s="1063"/>
      <c r="AV1421" s="1063"/>
    </row>
    <row r="1422" spans="1:48" s="1108" customFormat="1" ht="27.75" customHeight="1">
      <c r="A1422" s="1076"/>
      <c r="B1422" s="1074">
        <f>+'[18]Bldg+Dev'!S2234</f>
        <v>0</v>
      </c>
      <c r="D1422" s="1063"/>
      <c r="F1422" s="1076"/>
      <c r="G1422" s="1063"/>
      <c r="H1422" s="1063"/>
      <c r="I1422" s="1063"/>
      <c r="J1422" s="1063"/>
      <c r="K1422" s="1063"/>
      <c r="L1422" s="1063"/>
      <c r="M1422" s="1063"/>
      <c r="N1422" s="1063"/>
      <c r="O1422" s="1063"/>
      <c r="P1422" s="1063"/>
      <c r="Q1422" s="1063"/>
      <c r="R1422" s="1063"/>
      <c r="S1422" s="1063"/>
      <c r="T1422" s="1063"/>
      <c r="U1422" s="1063"/>
      <c r="V1422" s="1063"/>
      <c r="W1422" s="1063"/>
      <c r="X1422" s="1063"/>
      <c r="Y1422" s="1063"/>
      <c r="Z1422" s="1063"/>
      <c r="AA1422" s="1063"/>
      <c r="AB1422" s="1063"/>
      <c r="AC1422" s="1063"/>
      <c r="AD1422" s="1063"/>
      <c r="AE1422" s="1063"/>
      <c r="AF1422" s="1063"/>
      <c r="AG1422" s="1063"/>
      <c r="AH1422" s="1063"/>
      <c r="AI1422" s="1063"/>
      <c r="AJ1422" s="1063"/>
      <c r="AK1422" s="1063"/>
      <c r="AL1422" s="1063"/>
      <c r="AM1422" s="1063"/>
      <c r="AN1422" s="1063"/>
      <c r="AO1422" s="1063"/>
      <c r="AP1422" s="1063"/>
      <c r="AQ1422" s="1063"/>
      <c r="AR1422" s="1063"/>
      <c r="AS1422" s="1063"/>
      <c r="AT1422" s="1063"/>
      <c r="AU1422" s="1063"/>
      <c r="AV1422" s="1063"/>
    </row>
    <row r="1423" spans="1:48" s="1108" customFormat="1" ht="27.75" customHeight="1">
      <c r="A1423" s="1076"/>
      <c r="B1423" s="1074">
        <f>+'[18]Bldg+Dev'!S2235</f>
        <v>0</v>
      </c>
      <c r="D1423" s="1063"/>
      <c r="F1423" s="1076"/>
      <c r="G1423" s="1063"/>
      <c r="H1423" s="1063"/>
      <c r="I1423" s="1063"/>
      <c r="J1423" s="1063"/>
      <c r="K1423" s="1063"/>
      <c r="L1423" s="1063"/>
      <c r="M1423" s="1063"/>
      <c r="N1423" s="1063"/>
      <c r="O1423" s="1063"/>
      <c r="P1423" s="1063"/>
      <c r="Q1423" s="1063"/>
      <c r="R1423" s="1063"/>
      <c r="S1423" s="1063"/>
      <c r="T1423" s="1063"/>
      <c r="U1423" s="1063"/>
      <c r="V1423" s="1063"/>
      <c r="W1423" s="1063"/>
      <c r="X1423" s="1063"/>
      <c r="Y1423" s="1063"/>
      <c r="Z1423" s="1063"/>
      <c r="AA1423" s="1063"/>
      <c r="AB1423" s="1063"/>
      <c r="AC1423" s="1063"/>
      <c r="AD1423" s="1063"/>
      <c r="AE1423" s="1063"/>
      <c r="AF1423" s="1063"/>
      <c r="AG1423" s="1063"/>
      <c r="AH1423" s="1063"/>
      <c r="AI1423" s="1063"/>
      <c r="AJ1423" s="1063"/>
      <c r="AK1423" s="1063"/>
      <c r="AL1423" s="1063"/>
      <c r="AM1423" s="1063"/>
      <c r="AN1423" s="1063"/>
      <c r="AO1423" s="1063"/>
      <c r="AP1423" s="1063"/>
      <c r="AQ1423" s="1063"/>
      <c r="AR1423" s="1063"/>
      <c r="AS1423" s="1063"/>
      <c r="AT1423" s="1063"/>
      <c r="AU1423" s="1063"/>
      <c r="AV1423" s="1063"/>
    </row>
    <row r="1424" spans="1:48" s="1108" customFormat="1" ht="27.75" customHeight="1">
      <c r="A1424" s="1076"/>
      <c r="B1424" s="1074">
        <f>+'[18]Bldg+Dev'!S2236</f>
        <v>0</v>
      </c>
      <c r="D1424" s="1063"/>
      <c r="F1424" s="1076"/>
      <c r="G1424" s="1063"/>
      <c r="H1424" s="1063"/>
      <c r="I1424" s="1063"/>
      <c r="J1424" s="1063"/>
      <c r="K1424" s="1063"/>
      <c r="L1424" s="1063"/>
      <c r="M1424" s="1063"/>
      <c r="N1424" s="1063"/>
      <c r="O1424" s="1063"/>
      <c r="P1424" s="1063"/>
      <c r="Q1424" s="1063"/>
      <c r="R1424" s="1063"/>
      <c r="S1424" s="1063"/>
      <c r="T1424" s="1063"/>
      <c r="U1424" s="1063"/>
      <c r="V1424" s="1063"/>
      <c r="W1424" s="1063"/>
      <c r="X1424" s="1063"/>
      <c r="Y1424" s="1063"/>
      <c r="Z1424" s="1063"/>
      <c r="AA1424" s="1063"/>
      <c r="AB1424" s="1063"/>
      <c r="AC1424" s="1063"/>
      <c r="AD1424" s="1063"/>
      <c r="AE1424" s="1063"/>
      <c r="AF1424" s="1063"/>
      <c r="AG1424" s="1063"/>
      <c r="AH1424" s="1063"/>
      <c r="AI1424" s="1063"/>
      <c r="AJ1424" s="1063"/>
      <c r="AK1424" s="1063"/>
      <c r="AL1424" s="1063"/>
      <c r="AM1424" s="1063"/>
      <c r="AN1424" s="1063"/>
      <c r="AO1424" s="1063"/>
      <c r="AP1424" s="1063"/>
      <c r="AQ1424" s="1063"/>
      <c r="AR1424" s="1063"/>
      <c r="AS1424" s="1063"/>
      <c r="AT1424" s="1063"/>
      <c r="AU1424" s="1063"/>
      <c r="AV1424" s="1063"/>
    </row>
    <row r="1425" spans="1:48" s="1108" customFormat="1" ht="27.75" customHeight="1">
      <c r="A1425" s="1076"/>
      <c r="B1425" s="1074">
        <f>+'[18]Bldg+Dev'!S2237</f>
        <v>0</v>
      </c>
      <c r="D1425" s="1063"/>
      <c r="F1425" s="1076"/>
      <c r="G1425" s="1063"/>
      <c r="H1425" s="1063"/>
      <c r="I1425" s="1063"/>
      <c r="J1425" s="1063"/>
      <c r="K1425" s="1063"/>
      <c r="L1425" s="1063"/>
      <c r="M1425" s="1063"/>
      <c r="N1425" s="1063"/>
      <c r="O1425" s="1063"/>
      <c r="P1425" s="1063"/>
      <c r="Q1425" s="1063"/>
      <c r="R1425" s="1063"/>
      <c r="S1425" s="1063"/>
      <c r="T1425" s="1063"/>
      <c r="U1425" s="1063"/>
      <c r="V1425" s="1063"/>
      <c r="W1425" s="1063"/>
      <c r="X1425" s="1063"/>
      <c r="Y1425" s="1063"/>
      <c r="Z1425" s="1063"/>
      <c r="AA1425" s="1063"/>
      <c r="AB1425" s="1063"/>
      <c r="AC1425" s="1063"/>
      <c r="AD1425" s="1063"/>
      <c r="AE1425" s="1063"/>
      <c r="AF1425" s="1063"/>
      <c r="AG1425" s="1063"/>
      <c r="AH1425" s="1063"/>
      <c r="AI1425" s="1063"/>
      <c r="AJ1425" s="1063"/>
      <c r="AK1425" s="1063"/>
      <c r="AL1425" s="1063"/>
      <c r="AM1425" s="1063"/>
      <c r="AN1425" s="1063"/>
      <c r="AO1425" s="1063"/>
      <c r="AP1425" s="1063"/>
      <c r="AQ1425" s="1063"/>
      <c r="AR1425" s="1063"/>
      <c r="AS1425" s="1063"/>
      <c r="AT1425" s="1063"/>
      <c r="AU1425" s="1063"/>
      <c r="AV1425" s="1063"/>
    </row>
    <row r="1426" spans="1:48" s="1108" customFormat="1" ht="27.75" customHeight="1">
      <c r="A1426" s="1076"/>
      <c r="B1426" s="1074">
        <f>+'[18]Bldg+Dev'!S2238</f>
        <v>0</v>
      </c>
      <c r="D1426" s="1063"/>
      <c r="F1426" s="1076"/>
      <c r="G1426" s="1063"/>
      <c r="H1426" s="1063"/>
      <c r="I1426" s="1063"/>
      <c r="J1426" s="1063"/>
      <c r="K1426" s="1063"/>
      <c r="L1426" s="1063"/>
      <c r="M1426" s="1063"/>
      <c r="N1426" s="1063"/>
      <c r="O1426" s="1063"/>
      <c r="P1426" s="1063"/>
      <c r="Q1426" s="1063"/>
      <c r="R1426" s="1063"/>
      <c r="S1426" s="1063"/>
      <c r="T1426" s="1063"/>
      <c r="U1426" s="1063"/>
      <c r="V1426" s="1063"/>
      <c r="W1426" s="1063"/>
      <c r="X1426" s="1063"/>
      <c r="Y1426" s="1063"/>
      <c r="Z1426" s="1063"/>
      <c r="AA1426" s="1063"/>
      <c r="AB1426" s="1063"/>
      <c r="AC1426" s="1063"/>
      <c r="AD1426" s="1063"/>
      <c r="AE1426" s="1063"/>
      <c r="AF1426" s="1063"/>
      <c r="AG1426" s="1063"/>
      <c r="AH1426" s="1063"/>
      <c r="AI1426" s="1063"/>
      <c r="AJ1426" s="1063"/>
      <c r="AK1426" s="1063"/>
      <c r="AL1426" s="1063"/>
      <c r="AM1426" s="1063"/>
      <c r="AN1426" s="1063"/>
      <c r="AO1426" s="1063"/>
      <c r="AP1426" s="1063"/>
      <c r="AQ1426" s="1063"/>
      <c r="AR1426" s="1063"/>
      <c r="AS1426" s="1063"/>
      <c r="AT1426" s="1063"/>
      <c r="AU1426" s="1063"/>
      <c r="AV1426" s="1063"/>
    </row>
    <row r="1427" spans="1:48" s="1108" customFormat="1" ht="27.75" customHeight="1">
      <c r="A1427" s="1076"/>
      <c r="B1427" s="1074">
        <f>+'[18]Bldg+Dev'!S2239</f>
        <v>0</v>
      </c>
      <c r="D1427" s="1063"/>
      <c r="F1427" s="1076"/>
      <c r="G1427" s="1063"/>
      <c r="H1427" s="1063"/>
      <c r="I1427" s="1063"/>
      <c r="J1427" s="1063"/>
      <c r="K1427" s="1063"/>
      <c r="L1427" s="1063"/>
      <c r="M1427" s="1063"/>
      <c r="N1427" s="1063"/>
      <c r="O1427" s="1063"/>
      <c r="P1427" s="1063"/>
      <c r="Q1427" s="1063"/>
      <c r="R1427" s="1063"/>
      <c r="S1427" s="1063"/>
      <c r="T1427" s="1063"/>
      <c r="U1427" s="1063"/>
      <c r="V1427" s="1063"/>
      <c r="W1427" s="1063"/>
      <c r="X1427" s="1063"/>
      <c r="Y1427" s="1063"/>
      <c r="Z1427" s="1063"/>
      <c r="AA1427" s="1063"/>
      <c r="AB1427" s="1063"/>
      <c r="AC1427" s="1063"/>
      <c r="AD1427" s="1063"/>
      <c r="AE1427" s="1063"/>
      <c r="AF1427" s="1063"/>
      <c r="AG1427" s="1063"/>
      <c r="AH1427" s="1063"/>
      <c r="AI1427" s="1063"/>
      <c r="AJ1427" s="1063"/>
      <c r="AK1427" s="1063"/>
      <c r="AL1427" s="1063"/>
      <c r="AM1427" s="1063"/>
      <c r="AN1427" s="1063"/>
      <c r="AO1427" s="1063"/>
      <c r="AP1427" s="1063"/>
      <c r="AQ1427" s="1063"/>
      <c r="AR1427" s="1063"/>
      <c r="AS1427" s="1063"/>
      <c r="AT1427" s="1063"/>
      <c r="AU1427" s="1063"/>
      <c r="AV1427" s="1063"/>
    </row>
    <row r="1428" spans="1:48" s="1108" customFormat="1" ht="27.75" customHeight="1">
      <c r="A1428" s="1076"/>
      <c r="B1428" s="1074">
        <f>+'[18]Bldg+Dev'!S2240</f>
        <v>0</v>
      </c>
      <c r="D1428" s="1063"/>
      <c r="F1428" s="1076"/>
      <c r="G1428" s="1063"/>
      <c r="H1428" s="1063"/>
      <c r="I1428" s="1063"/>
      <c r="J1428" s="1063"/>
      <c r="K1428" s="1063"/>
      <c r="L1428" s="1063"/>
      <c r="M1428" s="1063"/>
      <c r="N1428" s="1063"/>
      <c r="O1428" s="1063"/>
      <c r="P1428" s="1063"/>
      <c r="Q1428" s="1063"/>
      <c r="R1428" s="1063"/>
      <c r="S1428" s="1063"/>
      <c r="T1428" s="1063"/>
      <c r="U1428" s="1063"/>
      <c r="V1428" s="1063"/>
      <c r="W1428" s="1063"/>
      <c r="X1428" s="1063"/>
      <c r="Y1428" s="1063"/>
      <c r="Z1428" s="1063"/>
      <c r="AA1428" s="1063"/>
      <c r="AB1428" s="1063"/>
      <c r="AC1428" s="1063"/>
      <c r="AD1428" s="1063"/>
      <c r="AE1428" s="1063"/>
      <c r="AF1428" s="1063"/>
      <c r="AG1428" s="1063"/>
      <c r="AH1428" s="1063"/>
      <c r="AI1428" s="1063"/>
      <c r="AJ1428" s="1063"/>
      <c r="AK1428" s="1063"/>
      <c r="AL1428" s="1063"/>
      <c r="AM1428" s="1063"/>
      <c r="AN1428" s="1063"/>
      <c r="AO1428" s="1063"/>
      <c r="AP1428" s="1063"/>
      <c r="AQ1428" s="1063"/>
      <c r="AR1428" s="1063"/>
      <c r="AS1428" s="1063"/>
      <c r="AT1428" s="1063"/>
      <c r="AU1428" s="1063"/>
      <c r="AV1428" s="1063"/>
    </row>
    <row r="1429" spans="1:48" s="1108" customFormat="1" ht="27.75" customHeight="1">
      <c r="A1429" s="1076"/>
      <c r="B1429" s="1074">
        <f>+'[18]Bldg+Dev'!S2241</f>
        <v>0</v>
      </c>
      <c r="D1429" s="1063"/>
      <c r="F1429" s="1076"/>
      <c r="G1429" s="1063"/>
      <c r="H1429" s="1063"/>
      <c r="I1429" s="1063"/>
      <c r="J1429" s="1063"/>
      <c r="K1429" s="1063"/>
      <c r="L1429" s="1063"/>
      <c r="M1429" s="1063"/>
      <c r="N1429" s="1063"/>
      <c r="O1429" s="1063"/>
      <c r="P1429" s="1063"/>
      <c r="Q1429" s="1063"/>
      <c r="R1429" s="1063"/>
      <c r="S1429" s="1063"/>
      <c r="T1429" s="1063"/>
      <c r="U1429" s="1063"/>
      <c r="V1429" s="1063"/>
      <c r="W1429" s="1063"/>
      <c r="X1429" s="1063"/>
      <c r="Y1429" s="1063"/>
      <c r="Z1429" s="1063"/>
      <c r="AA1429" s="1063"/>
      <c r="AB1429" s="1063"/>
      <c r="AC1429" s="1063"/>
      <c r="AD1429" s="1063"/>
      <c r="AE1429" s="1063"/>
      <c r="AF1429" s="1063"/>
      <c r="AG1429" s="1063"/>
      <c r="AH1429" s="1063"/>
      <c r="AI1429" s="1063"/>
      <c r="AJ1429" s="1063"/>
      <c r="AK1429" s="1063"/>
      <c r="AL1429" s="1063"/>
      <c r="AM1429" s="1063"/>
      <c r="AN1429" s="1063"/>
      <c r="AO1429" s="1063"/>
      <c r="AP1429" s="1063"/>
      <c r="AQ1429" s="1063"/>
      <c r="AR1429" s="1063"/>
      <c r="AS1429" s="1063"/>
      <c r="AT1429" s="1063"/>
      <c r="AU1429" s="1063"/>
      <c r="AV1429" s="1063"/>
    </row>
    <row r="1430" spans="1:48" s="1108" customFormat="1" ht="27.75" customHeight="1">
      <c r="A1430" s="1076"/>
      <c r="B1430" s="1074">
        <f>+'[18]Bldg+Dev'!S2242</f>
        <v>0</v>
      </c>
      <c r="D1430" s="1063"/>
      <c r="F1430" s="1076"/>
      <c r="G1430" s="1063"/>
      <c r="H1430" s="1063"/>
      <c r="I1430" s="1063"/>
      <c r="J1430" s="1063"/>
      <c r="K1430" s="1063"/>
      <c r="L1430" s="1063"/>
      <c r="M1430" s="1063"/>
      <c r="N1430" s="1063"/>
      <c r="O1430" s="1063"/>
      <c r="P1430" s="1063"/>
      <c r="Q1430" s="1063"/>
      <c r="R1430" s="1063"/>
      <c r="S1430" s="1063"/>
      <c r="T1430" s="1063"/>
      <c r="U1430" s="1063"/>
      <c r="V1430" s="1063"/>
      <c r="W1430" s="1063"/>
      <c r="X1430" s="1063"/>
      <c r="Y1430" s="1063"/>
      <c r="Z1430" s="1063"/>
      <c r="AA1430" s="1063"/>
      <c r="AB1430" s="1063"/>
      <c r="AC1430" s="1063"/>
      <c r="AD1430" s="1063"/>
      <c r="AE1430" s="1063"/>
      <c r="AF1430" s="1063"/>
      <c r="AG1430" s="1063"/>
      <c r="AH1430" s="1063"/>
      <c r="AI1430" s="1063"/>
      <c r="AJ1430" s="1063"/>
      <c r="AK1430" s="1063"/>
      <c r="AL1430" s="1063"/>
      <c r="AM1430" s="1063"/>
      <c r="AN1430" s="1063"/>
      <c r="AO1430" s="1063"/>
      <c r="AP1430" s="1063"/>
      <c r="AQ1430" s="1063"/>
      <c r="AR1430" s="1063"/>
      <c r="AS1430" s="1063"/>
      <c r="AT1430" s="1063"/>
      <c r="AU1430" s="1063"/>
      <c r="AV1430" s="1063"/>
    </row>
    <row r="1431" spans="1:48" s="1108" customFormat="1" ht="27.75" customHeight="1">
      <c r="A1431" s="1076"/>
      <c r="B1431" s="1074">
        <f>+'[18]Bldg+Dev'!S2243</f>
        <v>0</v>
      </c>
      <c r="D1431" s="1063"/>
      <c r="F1431" s="1076"/>
      <c r="G1431" s="1063"/>
      <c r="H1431" s="1063"/>
      <c r="I1431" s="1063"/>
      <c r="J1431" s="1063"/>
      <c r="K1431" s="1063"/>
      <c r="L1431" s="1063"/>
      <c r="M1431" s="1063"/>
      <c r="N1431" s="1063"/>
      <c r="O1431" s="1063"/>
      <c r="P1431" s="1063"/>
      <c r="Q1431" s="1063"/>
      <c r="R1431" s="1063"/>
      <c r="S1431" s="1063"/>
      <c r="T1431" s="1063"/>
      <c r="U1431" s="1063"/>
      <c r="V1431" s="1063"/>
      <c r="W1431" s="1063"/>
      <c r="X1431" s="1063"/>
      <c r="Y1431" s="1063"/>
      <c r="Z1431" s="1063"/>
      <c r="AA1431" s="1063"/>
      <c r="AB1431" s="1063"/>
      <c r="AC1431" s="1063"/>
      <c r="AD1431" s="1063"/>
      <c r="AE1431" s="1063"/>
      <c r="AF1431" s="1063"/>
      <c r="AG1431" s="1063"/>
      <c r="AH1431" s="1063"/>
      <c r="AI1431" s="1063"/>
      <c r="AJ1431" s="1063"/>
      <c r="AK1431" s="1063"/>
      <c r="AL1431" s="1063"/>
      <c r="AM1431" s="1063"/>
      <c r="AN1431" s="1063"/>
      <c r="AO1431" s="1063"/>
      <c r="AP1431" s="1063"/>
      <c r="AQ1431" s="1063"/>
      <c r="AR1431" s="1063"/>
      <c r="AS1431" s="1063"/>
      <c r="AT1431" s="1063"/>
      <c r="AU1431" s="1063"/>
      <c r="AV1431" s="1063"/>
    </row>
    <row r="1432" spans="1:48" s="1108" customFormat="1" ht="27.75" customHeight="1">
      <c r="A1432" s="1076"/>
      <c r="B1432" s="1074">
        <f>+'[18]Bldg+Dev'!S2244</f>
        <v>0</v>
      </c>
      <c r="D1432" s="1063"/>
      <c r="F1432" s="1076"/>
      <c r="G1432" s="1063"/>
      <c r="H1432" s="1063"/>
      <c r="I1432" s="1063"/>
      <c r="J1432" s="1063"/>
      <c r="K1432" s="1063"/>
      <c r="L1432" s="1063"/>
      <c r="M1432" s="1063"/>
      <c r="N1432" s="1063"/>
      <c r="O1432" s="1063"/>
      <c r="P1432" s="1063"/>
      <c r="Q1432" s="1063"/>
      <c r="R1432" s="1063"/>
      <c r="S1432" s="1063"/>
      <c r="T1432" s="1063"/>
      <c r="U1432" s="1063"/>
      <c r="V1432" s="1063"/>
      <c r="W1432" s="1063"/>
      <c r="X1432" s="1063"/>
      <c r="Y1432" s="1063"/>
      <c r="Z1432" s="1063"/>
      <c r="AA1432" s="1063"/>
      <c r="AB1432" s="1063"/>
      <c r="AC1432" s="1063"/>
      <c r="AD1432" s="1063"/>
      <c r="AE1432" s="1063"/>
      <c r="AF1432" s="1063"/>
      <c r="AG1432" s="1063"/>
      <c r="AH1432" s="1063"/>
      <c r="AI1432" s="1063"/>
      <c r="AJ1432" s="1063"/>
      <c r="AK1432" s="1063"/>
      <c r="AL1432" s="1063"/>
      <c r="AM1432" s="1063"/>
      <c r="AN1432" s="1063"/>
      <c r="AO1432" s="1063"/>
      <c r="AP1432" s="1063"/>
      <c r="AQ1432" s="1063"/>
      <c r="AR1432" s="1063"/>
      <c r="AS1432" s="1063"/>
      <c r="AT1432" s="1063"/>
      <c r="AU1432" s="1063"/>
      <c r="AV1432" s="1063"/>
    </row>
    <row r="1433" spans="1:48" s="1108" customFormat="1" ht="27.75" customHeight="1">
      <c r="A1433" s="1076"/>
      <c r="B1433" s="1074">
        <f>+'[18]Bldg+Dev'!S2245</f>
        <v>0</v>
      </c>
      <c r="D1433" s="1063"/>
      <c r="F1433" s="1076"/>
      <c r="G1433" s="1063"/>
      <c r="H1433" s="1063"/>
      <c r="I1433" s="1063"/>
      <c r="J1433" s="1063"/>
      <c r="K1433" s="1063"/>
      <c r="L1433" s="1063"/>
      <c r="M1433" s="1063"/>
      <c r="N1433" s="1063"/>
      <c r="O1433" s="1063"/>
      <c r="P1433" s="1063"/>
      <c r="Q1433" s="1063"/>
      <c r="R1433" s="1063"/>
      <c r="S1433" s="1063"/>
      <c r="T1433" s="1063"/>
      <c r="U1433" s="1063"/>
      <c r="V1433" s="1063"/>
      <c r="W1433" s="1063"/>
      <c r="X1433" s="1063"/>
      <c r="Y1433" s="1063"/>
      <c r="Z1433" s="1063"/>
      <c r="AA1433" s="1063"/>
      <c r="AB1433" s="1063"/>
      <c r="AC1433" s="1063"/>
      <c r="AD1433" s="1063"/>
      <c r="AE1433" s="1063"/>
      <c r="AF1433" s="1063"/>
      <c r="AG1433" s="1063"/>
      <c r="AH1433" s="1063"/>
      <c r="AI1433" s="1063"/>
      <c r="AJ1433" s="1063"/>
      <c r="AK1433" s="1063"/>
      <c r="AL1433" s="1063"/>
      <c r="AM1433" s="1063"/>
      <c r="AN1433" s="1063"/>
      <c r="AO1433" s="1063"/>
      <c r="AP1433" s="1063"/>
      <c r="AQ1433" s="1063"/>
      <c r="AR1433" s="1063"/>
      <c r="AS1433" s="1063"/>
      <c r="AT1433" s="1063"/>
      <c r="AU1433" s="1063"/>
      <c r="AV1433" s="1063"/>
    </row>
    <row r="1434" spans="1:48" s="1108" customFormat="1" ht="27.75" customHeight="1">
      <c r="A1434" s="1076"/>
      <c r="B1434" s="1074">
        <f>+'[18]Bldg+Dev'!S2246</f>
        <v>0</v>
      </c>
      <c r="D1434" s="1063"/>
      <c r="F1434" s="1076"/>
      <c r="G1434" s="1063"/>
      <c r="H1434" s="1063"/>
      <c r="I1434" s="1063"/>
      <c r="J1434" s="1063"/>
      <c r="K1434" s="1063"/>
      <c r="L1434" s="1063"/>
      <c r="M1434" s="1063"/>
      <c r="N1434" s="1063"/>
      <c r="O1434" s="1063"/>
      <c r="P1434" s="1063"/>
      <c r="Q1434" s="1063"/>
      <c r="R1434" s="1063"/>
      <c r="S1434" s="1063"/>
      <c r="T1434" s="1063"/>
      <c r="U1434" s="1063"/>
      <c r="V1434" s="1063"/>
      <c r="W1434" s="1063"/>
      <c r="X1434" s="1063"/>
      <c r="Y1434" s="1063"/>
      <c r="Z1434" s="1063"/>
      <c r="AA1434" s="1063"/>
      <c r="AB1434" s="1063"/>
      <c r="AC1434" s="1063"/>
      <c r="AD1434" s="1063"/>
      <c r="AE1434" s="1063"/>
      <c r="AF1434" s="1063"/>
      <c r="AG1434" s="1063"/>
      <c r="AH1434" s="1063"/>
      <c r="AI1434" s="1063"/>
      <c r="AJ1434" s="1063"/>
      <c r="AK1434" s="1063"/>
      <c r="AL1434" s="1063"/>
      <c r="AM1434" s="1063"/>
      <c r="AN1434" s="1063"/>
      <c r="AO1434" s="1063"/>
      <c r="AP1434" s="1063"/>
      <c r="AQ1434" s="1063"/>
      <c r="AR1434" s="1063"/>
      <c r="AS1434" s="1063"/>
      <c r="AT1434" s="1063"/>
      <c r="AU1434" s="1063"/>
      <c r="AV1434" s="1063"/>
    </row>
    <row r="1435" spans="1:48" s="1108" customFormat="1" ht="27.75" customHeight="1">
      <c r="A1435" s="1076"/>
      <c r="B1435" s="1074">
        <f>+'[18]Bldg+Dev'!S2247</f>
        <v>0</v>
      </c>
      <c r="D1435" s="1063"/>
      <c r="F1435" s="1076"/>
      <c r="G1435" s="1063"/>
      <c r="H1435" s="1063"/>
      <c r="I1435" s="1063"/>
      <c r="J1435" s="1063"/>
      <c r="K1435" s="1063"/>
      <c r="L1435" s="1063"/>
      <c r="M1435" s="1063"/>
      <c r="N1435" s="1063"/>
      <c r="O1435" s="1063"/>
      <c r="P1435" s="1063"/>
      <c r="Q1435" s="1063"/>
      <c r="R1435" s="1063"/>
      <c r="S1435" s="1063"/>
      <c r="T1435" s="1063"/>
      <c r="U1435" s="1063"/>
      <c r="V1435" s="1063"/>
      <c r="W1435" s="1063"/>
      <c r="X1435" s="1063"/>
      <c r="Y1435" s="1063"/>
      <c r="Z1435" s="1063"/>
      <c r="AA1435" s="1063"/>
      <c r="AB1435" s="1063"/>
      <c r="AC1435" s="1063"/>
      <c r="AD1435" s="1063"/>
      <c r="AE1435" s="1063"/>
      <c r="AF1435" s="1063"/>
      <c r="AG1435" s="1063"/>
      <c r="AH1435" s="1063"/>
      <c r="AI1435" s="1063"/>
      <c r="AJ1435" s="1063"/>
      <c r="AK1435" s="1063"/>
      <c r="AL1435" s="1063"/>
      <c r="AM1435" s="1063"/>
      <c r="AN1435" s="1063"/>
      <c r="AO1435" s="1063"/>
      <c r="AP1435" s="1063"/>
      <c r="AQ1435" s="1063"/>
      <c r="AR1435" s="1063"/>
      <c r="AS1435" s="1063"/>
      <c r="AT1435" s="1063"/>
      <c r="AU1435" s="1063"/>
      <c r="AV1435" s="1063"/>
    </row>
    <row r="1436" spans="1:48" s="1108" customFormat="1" ht="27.75" customHeight="1">
      <c r="A1436" s="1076"/>
      <c r="B1436" s="1074">
        <f>+'[18]Bldg+Dev'!S2248</f>
        <v>0</v>
      </c>
      <c r="D1436" s="1063"/>
      <c r="F1436" s="1076"/>
      <c r="G1436" s="1063"/>
      <c r="H1436" s="1063"/>
      <c r="I1436" s="1063"/>
      <c r="J1436" s="1063"/>
      <c r="K1436" s="1063"/>
      <c r="L1436" s="1063"/>
      <c r="M1436" s="1063"/>
      <c r="N1436" s="1063"/>
      <c r="O1436" s="1063"/>
      <c r="P1436" s="1063"/>
      <c r="Q1436" s="1063"/>
      <c r="R1436" s="1063"/>
      <c r="S1436" s="1063"/>
      <c r="T1436" s="1063"/>
      <c r="U1436" s="1063"/>
      <c r="V1436" s="1063"/>
      <c r="W1436" s="1063"/>
      <c r="X1436" s="1063"/>
      <c r="Y1436" s="1063"/>
      <c r="Z1436" s="1063"/>
      <c r="AA1436" s="1063"/>
      <c r="AB1436" s="1063"/>
      <c r="AC1436" s="1063"/>
      <c r="AD1436" s="1063"/>
      <c r="AE1436" s="1063"/>
      <c r="AF1436" s="1063"/>
      <c r="AG1436" s="1063"/>
      <c r="AH1436" s="1063"/>
      <c r="AI1436" s="1063"/>
      <c r="AJ1436" s="1063"/>
      <c r="AK1436" s="1063"/>
      <c r="AL1436" s="1063"/>
      <c r="AM1436" s="1063"/>
      <c r="AN1436" s="1063"/>
      <c r="AO1436" s="1063"/>
      <c r="AP1436" s="1063"/>
      <c r="AQ1436" s="1063"/>
      <c r="AR1436" s="1063"/>
      <c r="AS1436" s="1063"/>
      <c r="AT1436" s="1063"/>
      <c r="AU1436" s="1063"/>
      <c r="AV1436" s="1063"/>
    </row>
    <row r="1437" spans="1:48" s="1108" customFormat="1" ht="27.75" customHeight="1">
      <c r="A1437" s="1076"/>
      <c r="B1437" s="1074">
        <f>+'[18]Bldg+Dev'!S2249</f>
        <v>0</v>
      </c>
      <c r="D1437" s="1063"/>
      <c r="F1437" s="1076"/>
      <c r="G1437" s="1063"/>
      <c r="H1437" s="1063"/>
      <c r="I1437" s="1063"/>
      <c r="J1437" s="1063"/>
      <c r="K1437" s="1063"/>
      <c r="L1437" s="1063"/>
      <c r="M1437" s="1063"/>
      <c r="N1437" s="1063"/>
      <c r="O1437" s="1063"/>
      <c r="P1437" s="1063"/>
      <c r="Q1437" s="1063"/>
      <c r="R1437" s="1063"/>
      <c r="S1437" s="1063"/>
      <c r="T1437" s="1063"/>
      <c r="U1437" s="1063"/>
      <c r="V1437" s="1063"/>
      <c r="W1437" s="1063"/>
      <c r="X1437" s="1063"/>
      <c r="Y1437" s="1063"/>
      <c r="Z1437" s="1063"/>
      <c r="AA1437" s="1063"/>
      <c r="AB1437" s="1063"/>
      <c r="AC1437" s="1063"/>
      <c r="AD1437" s="1063"/>
      <c r="AE1437" s="1063"/>
      <c r="AF1437" s="1063"/>
      <c r="AG1437" s="1063"/>
      <c r="AH1437" s="1063"/>
      <c r="AI1437" s="1063"/>
      <c r="AJ1437" s="1063"/>
      <c r="AK1437" s="1063"/>
      <c r="AL1437" s="1063"/>
      <c r="AM1437" s="1063"/>
      <c r="AN1437" s="1063"/>
      <c r="AO1437" s="1063"/>
      <c r="AP1437" s="1063"/>
      <c r="AQ1437" s="1063"/>
      <c r="AR1437" s="1063"/>
      <c r="AS1437" s="1063"/>
      <c r="AT1437" s="1063"/>
      <c r="AU1437" s="1063"/>
      <c r="AV1437" s="1063"/>
    </row>
    <row r="1438" spans="1:48" s="1108" customFormat="1" ht="27.75" customHeight="1">
      <c r="A1438" s="1076"/>
      <c r="B1438" s="1074">
        <f>+'[18]Bldg+Dev'!S2250</f>
        <v>0</v>
      </c>
      <c r="D1438" s="1063"/>
      <c r="F1438" s="1076"/>
      <c r="G1438" s="1063"/>
      <c r="H1438" s="1063"/>
      <c r="I1438" s="1063"/>
      <c r="J1438" s="1063"/>
      <c r="K1438" s="1063"/>
      <c r="L1438" s="1063"/>
      <c r="M1438" s="1063"/>
      <c r="N1438" s="1063"/>
      <c r="O1438" s="1063"/>
      <c r="P1438" s="1063"/>
      <c r="Q1438" s="1063"/>
      <c r="R1438" s="1063"/>
      <c r="S1438" s="1063"/>
      <c r="T1438" s="1063"/>
      <c r="U1438" s="1063"/>
      <c r="V1438" s="1063"/>
      <c r="W1438" s="1063"/>
      <c r="X1438" s="1063"/>
      <c r="Y1438" s="1063"/>
      <c r="Z1438" s="1063"/>
      <c r="AA1438" s="1063"/>
      <c r="AB1438" s="1063"/>
      <c r="AC1438" s="1063"/>
      <c r="AD1438" s="1063"/>
      <c r="AE1438" s="1063"/>
      <c r="AF1438" s="1063"/>
      <c r="AG1438" s="1063"/>
      <c r="AH1438" s="1063"/>
      <c r="AI1438" s="1063"/>
      <c r="AJ1438" s="1063"/>
      <c r="AK1438" s="1063"/>
      <c r="AL1438" s="1063"/>
      <c r="AM1438" s="1063"/>
      <c r="AN1438" s="1063"/>
      <c r="AO1438" s="1063"/>
      <c r="AP1438" s="1063"/>
      <c r="AQ1438" s="1063"/>
      <c r="AR1438" s="1063"/>
      <c r="AS1438" s="1063"/>
      <c r="AT1438" s="1063"/>
      <c r="AU1438" s="1063"/>
      <c r="AV1438" s="1063"/>
    </row>
    <row r="1439" spans="1:48" s="1108" customFormat="1" ht="27.75" customHeight="1">
      <c r="A1439" s="1076"/>
      <c r="B1439" s="1074">
        <f>+'[18]Bldg+Dev'!S2251</f>
        <v>0</v>
      </c>
      <c r="D1439" s="1063"/>
      <c r="F1439" s="1076"/>
      <c r="G1439" s="1063"/>
      <c r="H1439" s="1063"/>
      <c r="I1439" s="1063"/>
      <c r="J1439" s="1063"/>
      <c r="K1439" s="1063"/>
      <c r="L1439" s="1063"/>
      <c r="M1439" s="1063"/>
      <c r="N1439" s="1063"/>
      <c r="O1439" s="1063"/>
      <c r="P1439" s="1063"/>
      <c r="Q1439" s="1063"/>
      <c r="R1439" s="1063"/>
      <c r="S1439" s="1063"/>
      <c r="T1439" s="1063"/>
      <c r="U1439" s="1063"/>
      <c r="V1439" s="1063"/>
      <c r="W1439" s="1063"/>
      <c r="X1439" s="1063"/>
      <c r="Y1439" s="1063"/>
      <c r="Z1439" s="1063"/>
      <c r="AA1439" s="1063"/>
      <c r="AB1439" s="1063"/>
      <c r="AC1439" s="1063"/>
      <c r="AD1439" s="1063"/>
      <c r="AE1439" s="1063"/>
      <c r="AF1439" s="1063"/>
      <c r="AG1439" s="1063"/>
      <c r="AH1439" s="1063"/>
      <c r="AI1439" s="1063"/>
      <c r="AJ1439" s="1063"/>
      <c r="AK1439" s="1063"/>
      <c r="AL1439" s="1063"/>
      <c r="AM1439" s="1063"/>
      <c r="AN1439" s="1063"/>
      <c r="AO1439" s="1063"/>
      <c r="AP1439" s="1063"/>
      <c r="AQ1439" s="1063"/>
      <c r="AR1439" s="1063"/>
      <c r="AS1439" s="1063"/>
      <c r="AT1439" s="1063"/>
      <c r="AU1439" s="1063"/>
      <c r="AV1439" s="1063"/>
    </row>
    <row r="1440" spans="1:48" s="1108" customFormat="1" ht="27.75" customHeight="1">
      <c r="A1440" s="1076"/>
      <c r="B1440" s="1074">
        <f>+'[18]Bldg+Dev'!S2252</f>
        <v>0</v>
      </c>
      <c r="D1440" s="1063"/>
      <c r="F1440" s="1076"/>
      <c r="G1440" s="1063"/>
      <c r="H1440" s="1063"/>
      <c r="I1440" s="1063"/>
      <c r="J1440" s="1063"/>
      <c r="K1440" s="1063"/>
      <c r="L1440" s="1063"/>
      <c r="M1440" s="1063"/>
      <c r="N1440" s="1063"/>
      <c r="O1440" s="1063"/>
      <c r="P1440" s="1063"/>
      <c r="Q1440" s="1063"/>
      <c r="R1440" s="1063"/>
      <c r="S1440" s="1063"/>
      <c r="T1440" s="1063"/>
      <c r="U1440" s="1063"/>
      <c r="V1440" s="1063"/>
      <c r="W1440" s="1063"/>
      <c r="X1440" s="1063"/>
      <c r="Y1440" s="1063"/>
      <c r="Z1440" s="1063"/>
      <c r="AA1440" s="1063"/>
      <c r="AB1440" s="1063"/>
      <c r="AC1440" s="1063"/>
      <c r="AD1440" s="1063"/>
      <c r="AE1440" s="1063"/>
      <c r="AF1440" s="1063"/>
      <c r="AG1440" s="1063"/>
      <c r="AH1440" s="1063"/>
      <c r="AI1440" s="1063"/>
      <c r="AJ1440" s="1063"/>
      <c r="AK1440" s="1063"/>
      <c r="AL1440" s="1063"/>
      <c r="AM1440" s="1063"/>
      <c r="AN1440" s="1063"/>
      <c r="AO1440" s="1063"/>
      <c r="AP1440" s="1063"/>
      <c r="AQ1440" s="1063"/>
      <c r="AR1440" s="1063"/>
      <c r="AS1440" s="1063"/>
      <c r="AT1440" s="1063"/>
      <c r="AU1440" s="1063"/>
      <c r="AV1440" s="1063"/>
    </row>
    <row r="1441" spans="1:48" s="1108" customFormat="1" ht="27.75" customHeight="1">
      <c r="A1441" s="1076"/>
      <c r="B1441" s="1074">
        <f>+'[18]Bldg+Dev'!S2253</f>
        <v>0</v>
      </c>
      <c r="D1441" s="1063"/>
      <c r="F1441" s="1076"/>
      <c r="G1441" s="1063"/>
      <c r="H1441" s="1063"/>
      <c r="I1441" s="1063"/>
      <c r="J1441" s="1063"/>
      <c r="K1441" s="1063"/>
      <c r="L1441" s="1063"/>
      <c r="M1441" s="1063"/>
      <c r="N1441" s="1063"/>
      <c r="O1441" s="1063"/>
      <c r="P1441" s="1063"/>
      <c r="Q1441" s="1063"/>
      <c r="R1441" s="1063"/>
      <c r="S1441" s="1063"/>
      <c r="T1441" s="1063"/>
      <c r="U1441" s="1063"/>
      <c r="V1441" s="1063"/>
      <c r="W1441" s="1063"/>
      <c r="X1441" s="1063"/>
      <c r="Y1441" s="1063"/>
      <c r="Z1441" s="1063"/>
      <c r="AA1441" s="1063"/>
      <c r="AB1441" s="1063"/>
      <c r="AC1441" s="1063"/>
      <c r="AD1441" s="1063"/>
      <c r="AE1441" s="1063"/>
      <c r="AF1441" s="1063"/>
      <c r="AG1441" s="1063"/>
      <c r="AH1441" s="1063"/>
      <c r="AI1441" s="1063"/>
      <c r="AJ1441" s="1063"/>
      <c r="AK1441" s="1063"/>
      <c r="AL1441" s="1063"/>
      <c r="AM1441" s="1063"/>
      <c r="AN1441" s="1063"/>
      <c r="AO1441" s="1063"/>
      <c r="AP1441" s="1063"/>
      <c r="AQ1441" s="1063"/>
      <c r="AR1441" s="1063"/>
      <c r="AS1441" s="1063"/>
      <c r="AT1441" s="1063"/>
      <c r="AU1441" s="1063"/>
      <c r="AV1441" s="1063"/>
    </row>
    <row r="1442" spans="1:48" s="1108" customFormat="1" ht="27.75" customHeight="1">
      <c r="A1442" s="1076"/>
      <c r="B1442" s="1074">
        <f>+'[18]Bldg+Dev'!S2254</f>
        <v>0</v>
      </c>
      <c r="D1442" s="1063"/>
      <c r="F1442" s="1076"/>
      <c r="G1442" s="1063"/>
      <c r="H1442" s="1063"/>
      <c r="I1442" s="1063"/>
      <c r="J1442" s="1063"/>
      <c r="K1442" s="1063"/>
      <c r="L1442" s="1063"/>
      <c r="M1442" s="1063"/>
      <c r="N1442" s="1063"/>
      <c r="O1442" s="1063"/>
      <c r="P1442" s="1063"/>
      <c r="Q1442" s="1063"/>
      <c r="R1442" s="1063"/>
      <c r="S1442" s="1063"/>
      <c r="T1442" s="1063"/>
      <c r="U1442" s="1063"/>
      <c r="V1442" s="1063"/>
      <c r="W1442" s="1063"/>
      <c r="X1442" s="1063"/>
      <c r="Y1442" s="1063"/>
      <c r="Z1442" s="1063"/>
      <c r="AA1442" s="1063"/>
      <c r="AB1442" s="1063"/>
      <c r="AC1442" s="1063"/>
      <c r="AD1442" s="1063"/>
      <c r="AE1442" s="1063"/>
      <c r="AF1442" s="1063"/>
      <c r="AG1442" s="1063"/>
      <c r="AH1442" s="1063"/>
      <c r="AI1442" s="1063"/>
      <c r="AJ1442" s="1063"/>
      <c r="AK1442" s="1063"/>
      <c r="AL1442" s="1063"/>
      <c r="AM1442" s="1063"/>
      <c r="AN1442" s="1063"/>
      <c r="AO1442" s="1063"/>
      <c r="AP1442" s="1063"/>
      <c r="AQ1442" s="1063"/>
      <c r="AR1442" s="1063"/>
      <c r="AS1442" s="1063"/>
      <c r="AT1442" s="1063"/>
      <c r="AU1442" s="1063"/>
      <c r="AV1442" s="1063"/>
    </row>
    <row r="1443" spans="1:48" s="1108" customFormat="1" ht="27.75" customHeight="1">
      <c r="A1443" s="1076"/>
      <c r="B1443" s="1074">
        <f>+'[18]Bldg+Dev'!S2255</f>
        <v>0</v>
      </c>
      <c r="D1443" s="1063"/>
      <c r="F1443" s="1076"/>
      <c r="G1443" s="1063"/>
      <c r="H1443" s="1063"/>
      <c r="I1443" s="1063"/>
      <c r="J1443" s="1063"/>
      <c r="K1443" s="1063"/>
      <c r="L1443" s="1063"/>
      <c r="M1443" s="1063"/>
      <c r="N1443" s="1063"/>
      <c r="O1443" s="1063"/>
      <c r="P1443" s="1063"/>
      <c r="Q1443" s="1063"/>
      <c r="R1443" s="1063"/>
      <c r="S1443" s="1063"/>
      <c r="T1443" s="1063"/>
      <c r="U1443" s="1063"/>
      <c r="V1443" s="1063"/>
      <c r="W1443" s="1063"/>
      <c r="X1443" s="1063"/>
      <c r="Y1443" s="1063"/>
      <c r="Z1443" s="1063"/>
      <c r="AA1443" s="1063"/>
      <c r="AB1443" s="1063"/>
      <c r="AC1443" s="1063"/>
      <c r="AD1443" s="1063"/>
      <c r="AE1443" s="1063"/>
      <c r="AF1443" s="1063"/>
      <c r="AG1443" s="1063"/>
      <c r="AH1443" s="1063"/>
      <c r="AI1443" s="1063"/>
      <c r="AJ1443" s="1063"/>
      <c r="AK1443" s="1063"/>
      <c r="AL1443" s="1063"/>
      <c r="AM1443" s="1063"/>
      <c r="AN1443" s="1063"/>
      <c r="AO1443" s="1063"/>
      <c r="AP1443" s="1063"/>
      <c r="AQ1443" s="1063"/>
      <c r="AR1443" s="1063"/>
      <c r="AS1443" s="1063"/>
      <c r="AT1443" s="1063"/>
      <c r="AU1443" s="1063"/>
      <c r="AV1443" s="1063"/>
    </row>
    <row r="1444" spans="1:48" s="1108" customFormat="1" ht="27.75" customHeight="1">
      <c r="A1444" s="1076"/>
      <c r="B1444" s="1074">
        <f>+'[18]Bldg+Dev'!S2256</f>
        <v>0</v>
      </c>
      <c r="D1444" s="1063"/>
      <c r="F1444" s="1076"/>
      <c r="G1444" s="1063"/>
      <c r="H1444" s="1063"/>
      <c r="I1444" s="1063"/>
      <c r="J1444" s="1063"/>
      <c r="K1444" s="1063"/>
      <c r="L1444" s="1063"/>
      <c r="M1444" s="1063"/>
      <c r="N1444" s="1063"/>
      <c r="O1444" s="1063"/>
      <c r="P1444" s="1063"/>
      <c r="Q1444" s="1063"/>
      <c r="R1444" s="1063"/>
      <c r="S1444" s="1063"/>
      <c r="T1444" s="1063"/>
      <c r="U1444" s="1063"/>
      <c r="V1444" s="1063"/>
      <c r="W1444" s="1063"/>
      <c r="X1444" s="1063"/>
      <c r="Y1444" s="1063"/>
      <c r="Z1444" s="1063"/>
      <c r="AA1444" s="1063"/>
      <c r="AB1444" s="1063"/>
      <c r="AC1444" s="1063"/>
      <c r="AD1444" s="1063"/>
      <c r="AE1444" s="1063"/>
      <c r="AF1444" s="1063"/>
      <c r="AG1444" s="1063"/>
      <c r="AH1444" s="1063"/>
      <c r="AI1444" s="1063"/>
      <c r="AJ1444" s="1063"/>
      <c r="AK1444" s="1063"/>
      <c r="AL1444" s="1063"/>
      <c r="AM1444" s="1063"/>
      <c r="AN1444" s="1063"/>
      <c r="AO1444" s="1063"/>
      <c r="AP1444" s="1063"/>
      <c r="AQ1444" s="1063"/>
      <c r="AR1444" s="1063"/>
      <c r="AS1444" s="1063"/>
      <c r="AT1444" s="1063"/>
      <c r="AU1444" s="1063"/>
      <c r="AV1444" s="1063"/>
    </row>
    <row r="1445" spans="1:48" s="1108" customFormat="1" ht="27.75" customHeight="1">
      <c r="A1445" s="1076"/>
      <c r="B1445" s="1074">
        <f>+'[18]Bldg+Dev'!S2257</f>
        <v>0</v>
      </c>
      <c r="D1445" s="1063"/>
      <c r="F1445" s="1076"/>
      <c r="G1445" s="1063"/>
      <c r="H1445" s="1063"/>
      <c r="I1445" s="1063"/>
      <c r="J1445" s="1063"/>
      <c r="K1445" s="1063"/>
      <c r="L1445" s="1063"/>
      <c r="M1445" s="1063"/>
      <c r="N1445" s="1063"/>
      <c r="O1445" s="1063"/>
      <c r="P1445" s="1063"/>
      <c r="Q1445" s="1063"/>
      <c r="R1445" s="1063"/>
      <c r="S1445" s="1063"/>
      <c r="T1445" s="1063"/>
      <c r="U1445" s="1063"/>
      <c r="V1445" s="1063"/>
      <c r="W1445" s="1063"/>
      <c r="X1445" s="1063"/>
      <c r="Y1445" s="1063"/>
      <c r="Z1445" s="1063"/>
      <c r="AA1445" s="1063"/>
      <c r="AB1445" s="1063"/>
      <c r="AC1445" s="1063"/>
      <c r="AD1445" s="1063"/>
      <c r="AE1445" s="1063"/>
      <c r="AF1445" s="1063"/>
      <c r="AG1445" s="1063"/>
      <c r="AH1445" s="1063"/>
      <c r="AI1445" s="1063"/>
      <c r="AJ1445" s="1063"/>
      <c r="AK1445" s="1063"/>
      <c r="AL1445" s="1063"/>
      <c r="AM1445" s="1063"/>
      <c r="AN1445" s="1063"/>
      <c r="AO1445" s="1063"/>
      <c r="AP1445" s="1063"/>
      <c r="AQ1445" s="1063"/>
      <c r="AR1445" s="1063"/>
      <c r="AS1445" s="1063"/>
      <c r="AT1445" s="1063"/>
      <c r="AU1445" s="1063"/>
      <c r="AV1445" s="1063"/>
    </row>
    <row r="1446" spans="1:48" s="1108" customFormat="1" ht="27.75" customHeight="1">
      <c r="A1446" s="1076"/>
      <c r="B1446" s="1074">
        <f>+'[18]Bldg+Dev'!S2258</f>
        <v>0</v>
      </c>
      <c r="D1446" s="1063"/>
      <c r="F1446" s="1076"/>
      <c r="G1446" s="1063"/>
      <c r="H1446" s="1063"/>
      <c r="I1446" s="1063"/>
      <c r="J1446" s="1063"/>
      <c r="K1446" s="1063"/>
      <c r="L1446" s="1063"/>
      <c r="M1446" s="1063"/>
      <c r="N1446" s="1063"/>
      <c r="O1446" s="1063"/>
      <c r="P1446" s="1063"/>
      <c r="Q1446" s="1063"/>
      <c r="R1446" s="1063"/>
      <c r="S1446" s="1063"/>
      <c r="T1446" s="1063"/>
      <c r="U1446" s="1063"/>
      <c r="V1446" s="1063"/>
      <c r="W1446" s="1063"/>
      <c r="X1446" s="1063"/>
      <c r="Y1446" s="1063"/>
      <c r="Z1446" s="1063"/>
      <c r="AA1446" s="1063"/>
      <c r="AB1446" s="1063"/>
      <c r="AC1446" s="1063"/>
      <c r="AD1446" s="1063"/>
      <c r="AE1446" s="1063"/>
      <c r="AF1446" s="1063"/>
      <c r="AG1446" s="1063"/>
      <c r="AH1446" s="1063"/>
      <c r="AI1446" s="1063"/>
      <c r="AJ1446" s="1063"/>
      <c r="AK1446" s="1063"/>
      <c r="AL1446" s="1063"/>
      <c r="AM1446" s="1063"/>
      <c r="AN1446" s="1063"/>
      <c r="AO1446" s="1063"/>
      <c r="AP1446" s="1063"/>
      <c r="AQ1446" s="1063"/>
      <c r="AR1446" s="1063"/>
      <c r="AS1446" s="1063"/>
      <c r="AT1446" s="1063"/>
      <c r="AU1446" s="1063"/>
      <c r="AV1446" s="1063"/>
    </row>
    <row r="1447" spans="1:48" s="1108" customFormat="1" ht="27.75" customHeight="1">
      <c r="A1447" s="1076"/>
      <c r="B1447" s="1074">
        <f>+'[18]Bldg+Dev'!S2259</f>
        <v>0</v>
      </c>
      <c r="D1447" s="1063"/>
      <c r="F1447" s="1076"/>
      <c r="G1447" s="1063"/>
      <c r="H1447" s="1063"/>
      <c r="I1447" s="1063"/>
      <c r="J1447" s="1063"/>
      <c r="K1447" s="1063"/>
      <c r="L1447" s="1063"/>
      <c r="M1447" s="1063"/>
      <c r="N1447" s="1063"/>
      <c r="O1447" s="1063"/>
      <c r="P1447" s="1063"/>
      <c r="Q1447" s="1063"/>
      <c r="R1447" s="1063"/>
      <c r="S1447" s="1063"/>
      <c r="T1447" s="1063"/>
      <c r="U1447" s="1063"/>
      <c r="V1447" s="1063"/>
      <c r="W1447" s="1063"/>
      <c r="X1447" s="1063"/>
      <c r="Y1447" s="1063"/>
      <c r="Z1447" s="1063"/>
      <c r="AA1447" s="1063"/>
      <c r="AB1447" s="1063"/>
      <c r="AC1447" s="1063"/>
      <c r="AD1447" s="1063"/>
      <c r="AE1447" s="1063"/>
      <c r="AF1447" s="1063"/>
      <c r="AG1447" s="1063"/>
      <c r="AH1447" s="1063"/>
      <c r="AI1447" s="1063"/>
      <c r="AJ1447" s="1063"/>
      <c r="AK1447" s="1063"/>
      <c r="AL1447" s="1063"/>
      <c r="AM1447" s="1063"/>
      <c r="AN1447" s="1063"/>
      <c r="AO1447" s="1063"/>
      <c r="AP1447" s="1063"/>
      <c r="AQ1447" s="1063"/>
      <c r="AR1447" s="1063"/>
      <c r="AS1447" s="1063"/>
      <c r="AT1447" s="1063"/>
      <c r="AU1447" s="1063"/>
      <c r="AV1447" s="1063"/>
    </row>
    <row r="1448" spans="1:48" s="1108" customFormat="1" ht="27.75" customHeight="1">
      <c r="A1448" s="1076"/>
      <c r="B1448" s="1074">
        <f>+'[18]Bldg+Dev'!S2260</f>
        <v>0</v>
      </c>
      <c r="D1448" s="1063"/>
      <c r="F1448" s="1076"/>
      <c r="G1448" s="1063"/>
      <c r="H1448" s="1063"/>
      <c r="I1448" s="1063"/>
      <c r="J1448" s="1063"/>
      <c r="K1448" s="1063"/>
      <c r="L1448" s="1063"/>
      <c r="M1448" s="1063"/>
      <c r="N1448" s="1063"/>
      <c r="O1448" s="1063"/>
      <c r="P1448" s="1063"/>
      <c r="Q1448" s="1063"/>
      <c r="R1448" s="1063"/>
      <c r="S1448" s="1063"/>
      <c r="T1448" s="1063"/>
      <c r="U1448" s="1063"/>
      <c r="V1448" s="1063"/>
      <c r="W1448" s="1063"/>
      <c r="X1448" s="1063"/>
      <c r="Y1448" s="1063"/>
      <c r="Z1448" s="1063"/>
      <c r="AA1448" s="1063"/>
      <c r="AB1448" s="1063"/>
      <c r="AC1448" s="1063"/>
      <c r="AD1448" s="1063"/>
      <c r="AE1448" s="1063"/>
      <c r="AF1448" s="1063"/>
      <c r="AG1448" s="1063"/>
      <c r="AH1448" s="1063"/>
      <c r="AI1448" s="1063"/>
      <c r="AJ1448" s="1063"/>
      <c r="AK1448" s="1063"/>
      <c r="AL1448" s="1063"/>
      <c r="AM1448" s="1063"/>
      <c r="AN1448" s="1063"/>
      <c r="AO1448" s="1063"/>
      <c r="AP1448" s="1063"/>
      <c r="AQ1448" s="1063"/>
      <c r="AR1448" s="1063"/>
      <c r="AS1448" s="1063"/>
      <c r="AT1448" s="1063"/>
      <c r="AU1448" s="1063"/>
      <c r="AV1448" s="1063"/>
    </row>
    <row r="1449" spans="1:48" s="1108" customFormat="1" ht="27.75" customHeight="1">
      <c r="A1449" s="1076"/>
      <c r="B1449" s="1074">
        <f>+'[18]Bldg+Dev'!S2261</f>
        <v>0</v>
      </c>
      <c r="D1449" s="1063"/>
      <c r="F1449" s="1076"/>
      <c r="G1449" s="1063"/>
      <c r="H1449" s="1063"/>
      <c r="I1449" s="1063"/>
      <c r="J1449" s="1063"/>
      <c r="K1449" s="1063"/>
      <c r="L1449" s="1063"/>
      <c r="M1449" s="1063"/>
      <c r="N1449" s="1063"/>
      <c r="O1449" s="1063"/>
      <c r="P1449" s="1063"/>
      <c r="Q1449" s="1063"/>
      <c r="R1449" s="1063"/>
      <c r="S1449" s="1063"/>
      <c r="T1449" s="1063"/>
      <c r="U1449" s="1063"/>
      <c r="V1449" s="1063"/>
      <c r="W1449" s="1063"/>
      <c r="X1449" s="1063"/>
      <c r="Y1449" s="1063"/>
      <c r="Z1449" s="1063"/>
      <c r="AA1449" s="1063"/>
      <c r="AB1449" s="1063"/>
      <c r="AC1449" s="1063"/>
      <c r="AD1449" s="1063"/>
      <c r="AE1449" s="1063"/>
      <c r="AF1449" s="1063"/>
      <c r="AG1449" s="1063"/>
      <c r="AH1449" s="1063"/>
      <c r="AI1449" s="1063"/>
      <c r="AJ1449" s="1063"/>
      <c r="AK1449" s="1063"/>
      <c r="AL1449" s="1063"/>
      <c r="AM1449" s="1063"/>
      <c r="AN1449" s="1063"/>
      <c r="AO1449" s="1063"/>
      <c r="AP1449" s="1063"/>
      <c r="AQ1449" s="1063"/>
      <c r="AR1449" s="1063"/>
      <c r="AS1449" s="1063"/>
      <c r="AT1449" s="1063"/>
      <c r="AU1449" s="1063"/>
      <c r="AV1449" s="1063"/>
    </row>
    <row r="1450" spans="1:48" s="1108" customFormat="1" ht="27.75" customHeight="1">
      <c r="A1450" s="1076"/>
      <c r="B1450" s="1074">
        <f>+'[18]Bldg+Dev'!S2262</f>
        <v>0</v>
      </c>
      <c r="D1450" s="1063"/>
      <c r="F1450" s="1076"/>
      <c r="G1450" s="1063"/>
      <c r="H1450" s="1063"/>
      <c r="I1450" s="1063"/>
      <c r="J1450" s="1063"/>
      <c r="K1450" s="1063"/>
      <c r="L1450" s="1063"/>
      <c r="M1450" s="1063"/>
      <c r="N1450" s="1063"/>
      <c r="O1450" s="1063"/>
      <c r="P1450" s="1063"/>
      <c r="Q1450" s="1063"/>
      <c r="R1450" s="1063"/>
      <c r="S1450" s="1063"/>
      <c r="T1450" s="1063"/>
      <c r="U1450" s="1063"/>
      <c r="V1450" s="1063"/>
      <c r="W1450" s="1063"/>
      <c r="X1450" s="1063"/>
      <c r="Y1450" s="1063"/>
      <c r="Z1450" s="1063"/>
      <c r="AA1450" s="1063"/>
      <c r="AB1450" s="1063"/>
      <c r="AC1450" s="1063"/>
      <c r="AD1450" s="1063"/>
      <c r="AE1450" s="1063"/>
      <c r="AF1450" s="1063"/>
      <c r="AG1450" s="1063"/>
      <c r="AH1450" s="1063"/>
      <c r="AI1450" s="1063"/>
      <c r="AJ1450" s="1063"/>
      <c r="AK1450" s="1063"/>
      <c r="AL1450" s="1063"/>
      <c r="AM1450" s="1063"/>
      <c r="AN1450" s="1063"/>
      <c r="AO1450" s="1063"/>
      <c r="AP1450" s="1063"/>
      <c r="AQ1450" s="1063"/>
      <c r="AR1450" s="1063"/>
      <c r="AS1450" s="1063"/>
      <c r="AT1450" s="1063"/>
      <c r="AU1450" s="1063"/>
      <c r="AV1450" s="1063"/>
    </row>
    <row r="1451" spans="1:48" s="1108" customFormat="1" ht="27.75" customHeight="1">
      <c r="A1451" s="1076"/>
      <c r="B1451" s="1074">
        <f>+'[18]Bldg+Dev'!S2263</f>
        <v>0</v>
      </c>
      <c r="D1451" s="1063"/>
      <c r="F1451" s="1076"/>
      <c r="G1451" s="1063"/>
      <c r="H1451" s="1063"/>
      <c r="I1451" s="1063"/>
      <c r="J1451" s="1063"/>
      <c r="K1451" s="1063"/>
      <c r="L1451" s="1063"/>
      <c r="M1451" s="1063"/>
      <c r="N1451" s="1063"/>
      <c r="O1451" s="1063"/>
      <c r="P1451" s="1063"/>
      <c r="Q1451" s="1063"/>
      <c r="R1451" s="1063"/>
      <c r="S1451" s="1063"/>
      <c r="T1451" s="1063"/>
      <c r="U1451" s="1063"/>
      <c r="V1451" s="1063"/>
      <c r="W1451" s="1063"/>
      <c r="X1451" s="1063"/>
      <c r="Y1451" s="1063"/>
      <c r="Z1451" s="1063"/>
      <c r="AA1451" s="1063"/>
      <c r="AB1451" s="1063"/>
      <c r="AC1451" s="1063"/>
      <c r="AD1451" s="1063"/>
      <c r="AE1451" s="1063"/>
      <c r="AF1451" s="1063"/>
      <c r="AG1451" s="1063"/>
      <c r="AH1451" s="1063"/>
      <c r="AI1451" s="1063"/>
      <c r="AJ1451" s="1063"/>
      <c r="AK1451" s="1063"/>
      <c r="AL1451" s="1063"/>
      <c r="AM1451" s="1063"/>
      <c r="AN1451" s="1063"/>
      <c r="AO1451" s="1063"/>
      <c r="AP1451" s="1063"/>
      <c r="AQ1451" s="1063"/>
      <c r="AR1451" s="1063"/>
      <c r="AS1451" s="1063"/>
      <c r="AT1451" s="1063"/>
      <c r="AU1451" s="1063"/>
      <c r="AV1451" s="1063"/>
    </row>
    <row r="1452" spans="1:48" s="1108" customFormat="1" ht="27.75" customHeight="1">
      <c r="A1452" s="1076"/>
      <c r="B1452" s="1074">
        <f>+'[18]Bldg+Dev'!S2264</f>
        <v>0</v>
      </c>
      <c r="D1452" s="1063"/>
      <c r="F1452" s="1076"/>
      <c r="G1452" s="1063"/>
      <c r="H1452" s="1063"/>
      <c r="I1452" s="1063"/>
      <c r="J1452" s="1063"/>
      <c r="K1452" s="1063"/>
      <c r="L1452" s="1063"/>
      <c r="M1452" s="1063"/>
      <c r="N1452" s="1063"/>
      <c r="O1452" s="1063"/>
      <c r="P1452" s="1063"/>
      <c r="Q1452" s="1063"/>
      <c r="R1452" s="1063"/>
      <c r="S1452" s="1063"/>
      <c r="T1452" s="1063"/>
      <c r="U1452" s="1063"/>
      <c r="V1452" s="1063"/>
      <c r="W1452" s="1063"/>
      <c r="X1452" s="1063"/>
      <c r="Y1452" s="1063"/>
      <c r="Z1452" s="1063"/>
      <c r="AA1452" s="1063"/>
      <c r="AB1452" s="1063"/>
      <c r="AC1452" s="1063"/>
      <c r="AD1452" s="1063"/>
      <c r="AE1452" s="1063"/>
      <c r="AF1452" s="1063"/>
      <c r="AG1452" s="1063"/>
      <c r="AH1452" s="1063"/>
      <c r="AI1452" s="1063"/>
      <c r="AJ1452" s="1063"/>
      <c r="AK1452" s="1063"/>
      <c r="AL1452" s="1063"/>
      <c r="AM1452" s="1063"/>
      <c r="AN1452" s="1063"/>
      <c r="AO1452" s="1063"/>
      <c r="AP1452" s="1063"/>
      <c r="AQ1452" s="1063"/>
      <c r="AR1452" s="1063"/>
      <c r="AS1452" s="1063"/>
      <c r="AT1452" s="1063"/>
      <c r="AU1452" s="1063"/>
      <c r="AV1452" s="1063"/>
    </row>
    <row r="1453" spans="1:48" s="1108" customFormat="1" ht="27.75" customHeight="1">
      <c r="A1453" s="1076"/>
      <c r="B1453" s="1074">
        <f>+'[18]Bldg+Dev'!S2265</f>
        <v>0</v>
      </c>
      <c r="D1453" s="1063"/>
      <c r="F1453" s="1076"/>
      <c r="G1453" s="1063"/>
      <c r="H1453" s="1063"/>
      <c r="I1453" s="1063"/>
      <c r="J1453" s="1063"/>
      <c r="K1453" s="1063"/>
      <c r="L1453" s="1063"/>
      <c r="M1453" s="1063"/>
      <c r="N1453" s="1063"/>
      <c r="O1453" s="1063"/>
      <c r="P1453" s="1063"/>
      <c r="Q1453" s="1063"/>
      <c r="R1453" s="1063"/>
      <c r="S1453" s="1063"/>
      <c r="T1453" s="1063"/>
      <c r="U1453" s="1063"/>
      <c r="V1453" s="1063"/>
      <c r="W1453" s="1063"/>
      <c r="X1453" s="1063"/>
      <c r="Y1453" s="1063"/>
      <c r="Z1453" s="1063"/>
      <c r="AA1453" s="1063"/>
      <c r="AB1453" s="1063"/>
      <c r="AC1453" s="1063"/>
      <c r="AD1453" s="1063"/>
      <c r="AE1453" s="1063"/>
      <c r="AF1453" s="1063"/>
      <c r="AG1453" s="1063"/>
      <c r="AH1453" s="1063"/>
      <c r="AI1453" s="1063"/>
      <c r="AJ1453" s="1063"/>
      <c r="AK1453" s="1063"/>
      <c r="AL1453" s="1063"/>
      <c r="AM1453" s="1063"/>
      <c r="AN1453" s="1063"/>
      <c r="AO1453" s="1063"/>
      <c r="AP1453" s="1063"/>
      <c r="AQ1453" s="1063"/>
      <c r="AR1453" s="1063"/>
      <c r="AS1453" s="1063"/>
      <c r="AT1453" s="1063"/>
      <c r="AU1453" s="1063"/>
      <c r="AV1453" s="1063"/>
    </row>
    <row r="1454" spans="1:48" s="1108" customFormat="1" ht="27.75" customHeight="1">
      <c r="A1454" s="1076"/>
      <c r="B1454" s="1074">
        <f>+'[18]Bldg+Dev'!S2266</f>
        <v>0</v>
      </c>
      <c r="D1454" s="1063"/>
      <c r="F1454" s="1076"/>
      <c r="G1454" s="1063"/>
      <c r="H1454" s="1063"/>
      <c r="I1454" s="1063"/>
      <c r="J1454" s="1063"/>
      <c r="K1454" s="1063"/>
      <c r="L1454" s="1063"/>
      <c r="M1454" s="1063"/>
      <c r="N1454" s="1063"/>
      <c r="O1454" s="1063"/>
      <c r="P1454" s="1063"/>
      <c r="Q1454" s="1063"/>
      <c r="R1454" s="1063"/>
      <c r="S1454" s="1063"/>
      <c r="T1454" s="1063"/>
      <c r="U1454" s="1063"/>
      <c r="V1454" s="1063"/>
      <c r="W1454" s="1063"/>
      <c r="X1454" s="1063"/>
      <c r="Y1454" s="1063"/>
      <c r="Z1454" s="1063"/>
      <c r="AA1454" s="1063"/>
      <c r="AB1454" s="1063"/>
      <c r="AC1454" s="1063"/>
      <c r="AD1454" s="1063"/>
      <c r="AE1454" s="1063"/>
      <c r="AF1454" s="1063"/>
      <c r="AG1454" s="1063"/>
      <c r="AH1454" s="1063"/>
      <c r="AI1454" s="1063"/>
      <c r="AJ1454" s="1063"/>
      <c r="AK1454" s="1063"/>
      <c r="AL1454" s="1063"/>
      <c r="AM1454" s="1063"/>
      <c r="AN1454" s="1063"/>
      <c r="AO1454" s="1063"/>
      <c r="AP1454" s="1063"/>
      <c r="AQ1454" s="1063"/>
      <c r="AR1454" s="1063"/>
      <c r="AS1454" s="1063"/>
      <c r="AT1454" s="1063"/>
      <c r="AU1454" s="1063"/>
      <c r="AV1454" s="1063"/>
    </row>
    <row r="1455" spans="1:48" s="1108" customFormat="1" ht="27.75" customHeight="1">
      <c r="A1455" s="1076"/>
      <c r="B1455" s="1074">
        <f>+'[18]Bldg+Dev'!S2267</f>
        <v>0</v>
      </c>
      <c r="D1455" s="1063"/>
      <c r="F1455" s="1076"/>
      <c r="G1455" s="1063"/>
      <c r="H1455" s="1063"/>
      <c r="I1455" s="1063"/>
      <c r="J1455" s="1063"/>
      <c r="K1455" s="1063"/>
      <c r="L1455" s="1063"/>
      <c r="M1455" s="1063"/>
      <c r="N1455" s="1063"/>
      <c r="O1455" s="1063"/>
      <c r="P1455" s="1063"/>
      <c r="Q1455" s="1063"/>
      <c r="R1455" s="1063"/>
      <c r="S1455" s="1063"/>
      <c r="T1455" s="1063"/>
      <c r="U1455" s="1063"/>
      <c r="V1455" s="1063"/>
      <c r="W1455" s="1063"/>
      <c r="X1455" s="1063"/>
      <c r="Y1455" s="1063"/>
      <c r="Z1455" s="1063"/>
      <c r="AA1455" s="1063"/>
      <c r="AB1455" s="1063"/>
      <c r="AC1455" s="1063"/>
      <c r="AD1455" s="1063"/>
      <c r="AE1455" s="1063"/>
      <c r="AF1455" s="1063"/>
      <c r="AG1455" s="1063"/>
      <c r="AH1455" s="1063"/>
      <c r="AI1455" s="1063"/>
      <c r="AJ1455" s="1063"/>
      <c r="AK1455" s="1063"/>
      <c r="AL1455" s="1063"/>
      <c r="AM1455" s="1063"/>
      <c r="AN1455" s="1063"/>
      <c r="AO1455" s="1063"/>
      <c r="AP1455" s="1063"/>
      <c r="AQ1455" s="1063"/>
      <c r="AR1455" s="1063"/>
      <c r="AS1455" s="1063"/>
      <c r="AT1455" s="1063"/>
      <c r="AU1455" s="1063"/>
      <c r="AV1455" s="1063"/>
    </row>
    <row r="1456" spans="1:48" s="1108" customFormat="1" ht="27.75" customHeight="1">
      <c r="A1456" s="1076"/>
      <c r="B1456" s="1074">
        <f>+'[18]Bldg+Dev'!S2268</f>
        <v>0</v>
      </c>
      <c r="D1456" s="1063"/>
      <c r="F1456" s="1076"/>
      <c r="G1456" s="1063"/>
      <c r="H1456" s="1063"/>
      <c r="I1456" s="1063"/>
      <c r="J1456" s="1063"/>
      <c r="K1456" s="1063"/>
      <c r="L1456" s="1063"/>
      <c r="M1456" s="1063"/>
      <c r="N1456" s="1063"/>
      <c r="O1456" s="1063"/>
      <c r="P1456" s="1063"/>
      <c r="Q1456" s="1063"/>
      <c r="R1456" s="1063"/>
      <c r="S1456" s="1063"/>
      <c r="T1456" s="1063"/>
      <c r="U1456" s="1063"/>
      <c r="V1456" s="1063"/>
      <c r="W1456" s="1063"/>
      <c r="X1456" s="1063"/>
      <c r="Y1456" s="1063"/>
      <c r="Z1456" s="1063"/>
      <c r="AA1456" s="1063"/>
      <c r="AB1456" s="1063"/>
      <c r="AC1456" s="1063"/>
      <c r="AD1456" s="1063"/>
      <c r="AE1456" s="1063"/>
      <c r="AF1456" s="1063"/>
      <c r="AG1456" s="1063"/>
      <c r="AH1456" s="1063"/>
      <c r="AI1456" s="1063"/>
      <c r="AJ1456" s="1063"/>
      <c r="AK1456" s="1063"/>
      <c r="AL1456" s="1063"/>
      <c r="AM1456" s="1063"/>
      <c r="AN1456" s="1063"/>
      <c r="AO1456" s="1063"/>
      <c r="AP1456" s="1063"/>
      <c r="AQ1456" s="1063"/>
      <c r="AR1456" s="1063"/>
      <c r="AS1456" s="1063"/>
      <c r="AT1456" s="1063"/>
      <c r="AU1456" s="1063"/>
      <c r="AV1456" s="1063"/>
    </row>
    <row r="1457" spans="1:48" s="1108" customFormat="1" ht="27.75" customHeight="1">
      <c r="A1457" s="1076"/>
      <c r="B1457" s="1074">
        <f>+'[18]Bldg+Dev'!S2269</f>
        <v>0</v>
      </c>
      <c r="D1457" s="1063"/>
      <c r="F1457" s="1076"/>
      <c r="G1457" s="1063"/>
      <c r="H1457" s="1063"/>
      <c r="I1457" s="1063"/>
      <c r="J1457" s="1063"/>
      <c r="K1457" s="1063"/>
      <c r="L1457" s="1063"/>
      <c r="M1457" s="1063"/>
      <c r="N1457" s="1063"/>
      <c r="O1457" s="1063"/>
      <c r="P1457" s="1063"/>
      <c r="Q1457" s="1063"/>
      <c r="R1457" s="1063"/>
      <c r="S1457" s="1063"/>
      <c r="T1457" s="1063"/>
      <c r="U1457" s="1063"/>
      <c r="V1457" s="1063"/>
      <c r="W1457" s="1063"/>
      <c r="X1457" s="1063"/>
      <c r="Y1457" s="1063"/>
      <c r="Z1457" s="1063"/>
      <c r="AA1457" s="1063"/>
      <c r="AB1457" s="1063"/>
      <c r="AC1457" s="1063"/>
      <c r="AD1457" s="1063"/>
      <c r="AE1457" s="1063"/>
      <c r="AF1457" s="1063"/>
      <c r="AG1457" s="1063"/>
      <c r="AH1457" s="1063"/>
      <c r="AI1457" s="1063"/>
      <c r="AJ1457" s="1063"/>
      <c r="AK1457" s="1063"/>
      <c r="AL1457" s="1063"/>
      <c r="AM1457" s="1063"/>
      <c r="AN1457" s="1063"/>
      <c r="AO1457" s="1063"/>
      <c r="AP1457" s="1063"/>
      <c r="AQ1457" s="1063"/>
      <c r="AR1457" s="1063"/>
      <c r="AS1457" s="1063"/>
      <c r="AT1457" s="1063"/>
      <c r="AU1457" s="1063"/>
      <c r="AV1457" s="1063"/>
    </row>
    <row r="1458" spans="1:48" s="1108" customFormat="1" ht="27.75" customHeight="1">
      <c r="A1458" s="1076"/>
      <c r="B1458" s="1074">
        <f>+'[18]Bldg+Dev'!S2270</f>
        <v>0</v>
      </c>
      <c r="D1458" s="1063"/>
      <c r="F1458" s="1076"/>
      <c r="G1458" s="1063"/>
      <c r="H1458" s="1063"/>
      <c r="I1458" s="1063"/>
      <c r="J1458" s="1063"/>
      <c r="K1458" s="1063"/>
      <c r="L1458" s="1063"/>
      <c r="M1458" s="1063"/>
      <c r="N1458" s="1063"/>
      <c r="O1458" s="1063"/>
      <c r="P1458" s="1063"/>
      <c r="Q1458" s="1063"/>
      <c r="R1458" s="1063"/>
      <c r="S1458" s="1063"/>
      <c r="T1458" s="1063"/>
      <c r="U1458" s="1063"/>
      <c r="V1458" s="1063"/>
      <c r="W1458" s="1063"/>
      <c r="X1458" s="1063"/>
      <c r="Y1458" s="1063"/>
      <c r="Z1458" s="1063"/>
      <c r="AA1458" s="1063"/>
      <c r="AB1458" s="1063"/>
      <c r="AC1458" s="1063"/>
      <c r="AD1458" s="1063"/>
      <c r="AE1458" s="1063"/>
      <c r="AF1458" s="1063"/>
      <c r="AG1458" s="1063"/>
      <c r="AH1458" s="1063"/>
      <c r="AI1458" s="1063"/>
      <c r="AJ1458" s="1063"/>
      <c r="AK1458" s="1063"/>
      <c r="AL1458" s="1063"/>
      <c r="AM1458" s="1063"/>
      <c r="AN1458" s="1063"/>
      <c r="AO1458" s="1063"/>
      <c r="AP1458" s="1063"/>
      <c r="AQ1458" s="1063"/>
      <c r="AR1458" s="1063"/>
      <c r="AS1458" s="1063"/>
      <c r="AT1458" s="1063"/>
      <c r="AU1458" s="1063"/>
      <c r="AV1458" s="1063"/>
    </row>
    <row r="1459" spans="1:48" s="1108" customFormat="1" ht="27.75" customHeight="1">
      <c r="A1459" s="1076"/>
      <c r="B1459" s="1074">
        <f>+'[18]Bldg+Dev'!S2271</f>
        <v>0</v>
      </c>
      <c r="D1459" s="1063"/>
      <c r="F1459" s="1076"/>
      <c r="G1459" s="1063"/>
      <c r="H1459" s="1063"/>
      <c r="I1459" s="1063"/>
      <c r="J1459" s="1063"/>
      <c r="K1459" s="1063"/>
      <c r="L1459" s="1063"/>
      <c r="M1459" s="1063"/>
      <c r="N1459" s="1063"/>
      <c r="O1459" s="1063"/>
      <c r="P1459" s="1063"/>
      <c r="Q1459" s="1063"/>
      <c r="R1459" s="1063"/>
      <c r="S1459" s="1063"/>
      <c r="T1459" s="1063"/>
      <c r="U1459" s="1063"/>
      <c r="V1459" s="1063"/>
      <c r="W1459" s="1063"/>
      <c r="X1459" s="1063"/>
      <c r="Y1459" s="1063"/>
      <c r="Z1459" s="1063"/>
      <c r="AA1459" s="1063"/>
      <c r="AB1459" s="1063"/>
      <c r="AC1459" s="1063"/>
      <c r="AD1459" s="1063"/>
      <c r="AE1459" s="1063"/>
      <c r="AF1459" s="1063"/>
      <c r="AG1459" s="1063"/>
      <c r="AH1459" s="1063"/>
      <c r="AI1459" s="1063"/>
      <c r="AJ1459" s="1063"/>
      <c r="AK1459" s="1063"/>
      <c r="AL1459" s="1063"/>
      <c r="AM1459" s="1063"/>
      <c r="AN1459" s="1063"/>
      <c r="AO1459" s="1063"/>
      <c r="AP1459" s="1063"/>
      <c r="AQ1459" s="1063"/>
      <c r="AR1459" s="1063"/>
      <c r="AS1459" s="1063"/>
      <c r="AT1459" s="1063"/>
      <c r="AU1459" s="1063"/>
      <c r="AV1459" s="1063"/>
    </row>
    <row r="1460" spans="1:48" s="1108" customFormat="1" ht="27.75" customHeight="1">
      <c r="A1460" s="1076"/>
      <c r="B1460" s="1074">
        <f>+'[18]Bldg+Dev'!S2272</f>
        <v>0</v>
      </c>
      <c r="D1460" s="1063"/>
      <c r="F1460" s="1076"/>
      <c r="G1460" s="1063"/>
      <c r="H1460" s="1063"/>
      <c r="I1460" s="1063"/>
      <c r="J1460" s="1063"/>
      <c r="K1460" s="1063"/>
      <c r="L1460" s="1063"/>
      <c r="M1460" s="1063"/>
      <c r="N1460" s="1063"/>
      <c r="O1460" s="1063"/>
      <c r="P1460" s="1063"/>
      <c r="Q1460" s="1063"/>
      <c r="R1460" s="1063"/>
      <c r="S1460" s="1063"/>
      <c r="T1460" s="1063"/>
      <c r="U1460" s="1063"/>
      <c r="V1460" s="1063"/>
      <c r="W1460" s="1063"/>
      <c r="X1460" s="1063"/>
      <c r="Y1460" s="1063"/>
      <c r="Z1460" s="1063"/>
      <c r="AA1460" s="1063"/>
      <c r="AB1460" s="1063"/>
      <c r="AC1460" s="1063"/>
      <c r="AD1460" s="1063"/>
      <c r="AE1460" s="1063"/>
      <c r="AF1460" s="1063"/>
      <c r="AG1460" s="1063"/>
      <c r="AH1460" s="1063"/>
      <c r="AI1460" s="1063"/>
      <c r="AJ1460" s="1063"/>
      <c r="AK1460" s="1063"/>
      <c r="AL1460" s="1063"/>
      <c r="AM1460" s="1063"/>
      <c r="AN1460" s="1063"/>
      <c r="AO1460" s="1063"/>
      <c r="AP1460" s="1063"/>
      <c r="AQ1460" s="1063"/>
      <c r="AR1460" s="1063"/>
      <c r="AS1460" s="1063"/>
      <c r="AT1460" s="1063"/>
      <c r="AU1460" s="1063"/>
      <c r="AV1460" s="1063"/>
    </row>
    <row r="1461" spans="1:48" s="1108" customFormat="1" ht="27.75" customHeight="1">
      <c r="A1461" s="1076"/>
      <c r="B1461" s="1074">
        <f>+'[18]Bldg+Dev'!S2273</f>
        <v>0</v>
      </c>
      <c r="D1461" s="1063"/>
      <c r="F1461" s="1076"/>
      <c r="G1461" s="1063"/>
      <c r="H1461" s="1063"/>
      <c r="I1461" s="1063"/>
      <c r="J1461" s="1063"/>
      <c r="K1461" s="1063"/>
      <c r="L1461" s="1063"/>
      <c r="M1461" s="1063"/>
      <c r="N1461" s="1063"/>
      <c r="O1461" s="1063"/>
      <c r="P1461" s="1063"/>
      <c r="Q1461" s="1063"/>
      <c r="R1461" s="1063"/>
      <c r="S1461" s="1063"/>
      <c r="T1461" s="1063"/>
      <c r="U1461" s="1063"/>
      <c r="V1461" s="1063"/>
      <c r="W1461" s="1063"/>
      <c r="X1461" s="1063"/>
      <c r="Y1461" s="1063"/>
      <c r="Z1461" s="1063"/>
      <c r="AA1461" s="1063"/>
      <c r="AB1461" s="1063"/>
      <c r="AC1461" s="1063"/>
      <c r="AD1461" s="1063"/>
      <c r="AE1461" s="1063"/>
      <c r="AF1461" s="1063"/>
      <c r="AG1461" s="1063"/>
      <c r="AH1461" s="1063"/>
      <c r="AI1461" s="1063"/>
      <c r="AJ1461" s="1063"/>
      <c r="AK1461" s="1063"/>
      <c r="AL1461" s="1063"/>
      <c r="AM1461" s="1063"/>
      <c r="AN1461" s="1063"/>
      <c r="AO1461" s="1063"/>
      <c r="AP1461" s="1063"/>
      <c r="AQ1461" s="1063"/>
      <c r="AR1461" s="1063"/>
      <c r="AS1461" s="1063"/>
      <c r="AT1461" s="1063"/>
      <c r="AU1461" s="1063"/>
      <c r="AV1461" s="1063"/>
    </row>
    <row r="1462" spans="1:48" s="1108" customFormat="1" ht="27.75" customHeight="1">
      <c r="A1462" s="1076"/>
      <c r="B1462" s="1074">
        <f>+'[18]Bldg+Dev'!S2274</f>
        <v>0</v>
      </c>
      <c r="D1462" s="1063"/>
      <c r="F1462" s="1076"/>
      <c r="G1462" s="1063"/>
      <c r="H1462" s="1063"/>
      <c r="I1462" s="1063"/>
      <c r="J1462" s="1063"/>
      <c r="K1462" s="1063"/>
      <c r="L1462" s="1063"/>
      <c r="M1462" s="1063"/>
      <c r="N1462" s="1063"/>
      <c r="O1462" s="1063"/>
      <c r="P1462" s="1063"/>
      <c r="Q1462" s="1063"/>
      <c r="R1462" s="1063"/>
      <c r="S1462" s="1063"/>
      <c r="T1462" s="1063"/>
      <c r="U1462" s="1063"/>
      <c r="V1462" s="1063"/>
      <c r="W1462" s="1063"/>
      <c r="X1462" s="1063"/>
      <c r="Y1462" s="1063"/>
      <c r="Z1462" s="1063"/>
      <c r="AA1462" s="1063"/>
      <c r="AB1462" s="1063"/>
      <c r="AC1462" s="1063"/>
      <c r="AD1462" s="1063"/>
      <c r="AE1462" s="1063"/>
      <c r="AF1462" s="1063"/>
      <c r="AG1462" s="1063"/>
      <c r="AH1462" s="1063"/>
      <c r="AI1462" s="1063"/>
      <c r="AJ1462" s="1063"/>
      <c r="AK1462" s="1063"/>
      <c r="AL1462" s="1063"/>
      <c r="AM1462" s="1063"/>
      <c r="AN1462" s="1063"/>
      <c r="AO1462" s="1063"/>
      <c r="AP1462" s="1063"/>
      <c r="AQ1462" s="1063"/>
      <c r="AR1462" s="1063"/>
      <c r="AS1462" s="1063"/>
      <c r="AT1462" s="1063"/>
      <c r="AU1462" s="1063"/>
      <c r="AV1462" s="1063"/>
    </row>
    <row r="1463" spans="1:48" s="1108" customFormat="1" ht="27.75" customHeight="1">
      <c r="A1463" s="1076"/>
      <c r="B1463" s="1074">
        <f>+'[18]Bldg+Dev'!S2275</f>
        <v>0</v>
      </c>
      <c r="D1463" s="1063"/>
      <c r="F1463" s="1076"/>
      <c r="G1463" s="1063"/>
      <c r="H1463" s="1063"/>
      <c r="I1463" s="1063"/>
      <c r="J1463" s="1063"/>
      <c r="K1463" s="1063"/>
      <c r="L1463" s="1063"/>
      <c r="M1463" s="1063"/>
      <c r="N1463" s="1063"/>
      <c r="O1463" s="1063"/>
      <c r="P1463" s="1063"/>
      <c r="Q1463" s="1063"/>
      <c r="R1463" s="1063"/>
      <c r="S1463" s="1063"/>
      <c r="T1463" s="1063"/>
      <c r="U1463" s="1063"/>
      <c r="V1463" s="1063"/>
      <c r="W1463" s="1063"/>
      <c r="X1463" s="1063"/>
      <c r="Y1463" s="1063"/>
      <c r="Z1463" s="1063"/>
      <c r="AA1463" s="1063"/>
      <c r="AB1463" s="1063"/>
      <c r="AC1463" s="1063"/>
      <c r="AD1463" s="1063"/>
      <c r="AE1463" s="1063"/>
      <c r="AF1463" s="1063"/>
      <c r="AG1463" s="1063"/>
      <c r="AH1463" s="1063"/>
      <c r="AI1463" s="1063"/>
      <c r="AJ1463" s="1063"/>
      <c r="AK1463" s="1063"/>
      <c r="AL1463" s="1063"/>
      <c r="AM1463" s="1063"/>
      <c r="AN1463" s="1063"/>
      <c r="AO1463" s="1063"/>
      <c r="AP1463" s="1063"/>
      <c r="AQ1463" s="1063"/>
      <c r="AR1463" s="1063"/>
      <c r="AS1463" s="1063"/>
      <c r="AT1463" s="1063"/>
      <c r="AU1463" s="1063"/>
      <c r="AV1463" s="1063"/>
    </row>
    <row r="1464" spans="1:48" s="1108" customFormat="1" ht="27.75" customHeight="1">
      <c r="A1464" s="1076"/>
      <c r="B1464" s="1074">
        <f>+'[18]Bldg+Dev'!S2276</f>
        <v>0</v>
      </c>
      <c r="D1464" s="1063"/>
      <c r="F1464" s="1076"/>
      <c r="G1464" s="1063"/>
      <c r="H1464" s="1063"/>
      <c r="I1464" s="1063"/>
      <c r="J1464" s="1063"/>
      <c r="K1464" s="1063"/>
      <c r="L1464" s="1063"/>
      <c r="M1464" s="1063"/>
      <c r="N1464" s="1063"/>
      <c r="O1464" s="1063"/>
      <c r="P1464" s="1063"/>
      <c r="Q1464" s="1063"/>
      <c r="R1464" s="1063"/>
      <c r="S1464" s="1063"/>
      <c r="T1464" s="1063"/>
      <c r="U1464" s="1063"/>
      <c r="V1464" s="1063"/>
      <c r="W1464" s="1063"/>
      <c r="X1464" s="1063"/>
      <c r="Y1464" s="1063"/>
      <c r="Z1464" s="1063"/>
      <c r="AA1464" s="1063"/>
      <c r="AB1464" s="1063"/>
      <c r="AC1464" s="1063"/>
      <c r="AD1464" s="1063"/>
      <c r="AE1464" s="1063"/>
      <c r="AF1464" s="1063"/>
      <c r="AG1464" s="1063"/>
      <c r="AH1464" s="1063"/>
      <c r="AI1464" s="1063"/>
      <c r="AJ1464" s="1063"/>
      <c r="AK1464" s="1063"/>
      <c r="AL1464" s="1063"/>
      <c r="AM1464" s="1063"/>
      <c r="AN1464" s="1063"/>
      <c r="AO1464" s="1063"/>
      <c r="AP1464" s="1063"/>
      <c r="AQ1464" s="1063"/>
      <c r="AR1464" s="1063"/>
      <c r="AS1464" s="1063"/>
      <c r="AT1464" s="1063"/>
      <c r="AU1464" s="1063"/>
      <c r="AV1464" s="1063"/>
    </row>
    <row r="1465" spans="1:48" s="1108" customFormat="1" ht="27.75" customHeight="1">
      <c r="A1465" s="1076"/>
      <c r="B1465" s="1074">
        <f>+'[18]Bldg+Dev'!S2277</f>
        <v>0</v>
      </c>
      <c r="D1465" s="1063"/>
      <c r="F1465" s="1076"/>
      <c r="G1465" s="1063"/>
      <c r="H1465" s="1063"/>
      <c r="I1465" s="1063"/>
      <c r="J1465" s="1063"/>
      <c r="K1465" s="1063"/>
      <c r="L1465" s="1063"/>
      <c r="M1465" s="1063"/>
      <c r="N1465" s="1063"/>
      <c r="O1465" s="1063"/>
      <c r="P1465" s="1063"/>
      <c r="Q1465" s="1063"/>
      <c r="R1465" s="1063"/>
      <c r="S1465" s="1063"/>
      <c r="T1465" s="1063"/>
      <c r="U1465" s="1063"/>
      <c r="V1465" s="1063"/>
      <c r="W1465" s="1063"/>
      <c r="X1465" s="1063"/>
      <c r="Y1465" s="1063"/>
      <c r="Z1465" s="1063"/>
      <c r="AA1465" s="1063"/>
      <c r="AB1465" s="1063"/>
      <c r="AC1465" s="1063"/>
      <c r="AD1465" s="1063"/>
      <c r="AE1465" s="1063"/>
      <c r="AF1465" s="1063"/>
      <c r="AG1465" s="1063"/>
      <c r="AH1465" s="1063"/>
      <c r="AI1465" s="1063"/>
      <c r="AJ1465" s="1063"/>
      <c r="AK1465" s="1063"/>
      <c r="AL1465" s="1063"/>
      <c r="AM1465" s="1063"/>
      <c r="AN1465" s="1063"/>
      <c r="AO1465" s="1063"/>
      <c r="AP1465" s="1063"/>
      <c r="AQ1465" s="1063"/>
      <c r="AR1465" s="1063"/>
      <c r="AS1465" s="1063"/>
      <c r="AT1465" s="1063"/>
      <c r="AU1465" s="1063"/>
      <c r="AV1465" s="1063"/>
    </row>
    <row r="1466" spans="1:48" s="1108" customFormat="1" ht="27.75" customHeight="1">
      <c r="A1466" s="1076"/>
      <c r="B1466" s="1074">
        <f>+'[18]Bldg+Dev'!S2278</f>
        <v>0</v>
      </c>
      <c r="D1466" s="1063"/>
      <c r="F1466" s="1076"/>
      <c r="G1466" s="1063"/>
      <c r="H1466" s="1063"/>
      <c r="I1466" s="1063"/>
      <c r="J1466" s="1063"/>
      <c r="K1466" s="1063"/>
      <c r="L1466" s="1063"/>
      <c r="M1466" s="1063"/>
      <c r="N1466" s="1063"/>
      <c r="O1466" s="1063"/>
      <c r="P1466" s="1063"/>
      <c r="Q1466" s="1063"/>
      <c r="R1466" s="1063"/>
      <c r="S1466" s="1063"/>
      <c r="T1466" s="1063"/>
      <c r="U1466" s="1063"/>
      <c r="V1466" s="1063"/>
      <c r="W1466" s="1063"/>
      <c r="X1466" s="1063"/>
      <c r="Y1466" s="1063"/>
      <c r="Z1466" s="1063"/>
      <c r="AA1466" s="1063"/>
      <c r="AB1466" s="1063"/>
      <c r="AC1466" s="1063"/>
      <c r="AD1466" s="1063"/>
      <c r="AE1466" s="1063"/>
      <c r="AF1466" s="1063"/>
      <c r="AG1466" s="1063"/>
      <c r="AH1466" s="1063"/>
      <c r="AI1466" s="1063"/>
      <c r="AJ1466" s="1063"/>
      <c r="AK1466" s="1063"/>
      <c r="AL1466" s="1063"/>
      <c r="AM1466" s="1063"/>
      <c r="AN1466" s="1063"/>
      <c r="AO1466" s="1063"/>
      <c r="AP1466" s="1063"/>
      <c r="AQ1466" s="1063"/>
      <c r="AR1466" s="1063"/>
      <c r="AS1466" s="1063"/>
      <c r="AT1466" s="1063"/>
      <c r="AU1466" s="1063"/>
      <c r="AV1466" s="1063"/>
    </row>
    <row r="1467" spans="1:48" s="1108" customFormat="1" ht="27.75" customHeight="1">
      <c r="A1467" s="1076"/>
      <c r="B1467" s="1074">
        <f>+'[18]Bldg+Dev'!S2279</f>
        <v>0</v>
      </c>
      <c r="D1467" s="1063"/>
      <c r="F1467" s="1076"/>
      <c r="G1467" s="1063"/>
      <c r="H1467" s="1063"/>
      <c r="I1467" s="1063"/>
      <c r="J1467" s="1063"/>
      <c r="K1467" s="1063"/>
      <c r="L1467" s="1063"/>
      <c r="M1467" s="1063"/>
      <c r="N1467" s="1063"/>
      <c r="O1467" s="1063"/>
      <c r="P1467" s="1063"/>
      <c r="Q1467" s="1063"/>
      <c r="R1467" s="1063"/>
      <c r="S1467" s="1063"/>
      <c r="T1467" s="1063"/>
      <c r="U1467" s="1063"/>
      <c r="V1467" s="1063"/>
      <c r="W1467" s="1063"/>
      <c r="X1467" s="1063"/>
      <c r="Y1467" s="1063"/>
      <c r="Z1467" s="1063"/>
      <c r="AA1467" s="1063"/>
      <c r="AB1467" s="1063"/>
      <c r="AC1467" s="1063"/>
      <c r="AD1467" s="1063"/>
      <c r="AE1467" s="1063"/>
      <c r="AF1467" s="1063"/>
      <c r="AG1467" s="1063"/>
      <c r="AH1467" s="1063"/>
      <c r="AI1467" s="1063"/>
      <c r="AJ1467" s="1063"/>
      <c r="AK1467" s="1063"/>
      <c r="AL1467" s="1063"/>
      <c r="AM1467" s="1063"/>
      <c r="AN1467" s="1063"/>
      <c r="AO1467" s="1063"/>
      <c r="AP1467" s="1063"/>
      <c r="AQ1467" s="1063"/>
      <c r="AR1467" s="1063"/>
      <c r="AS1467" s="1063"/>
      <c r="AT1467" s="1063"/>
      <c r="AU1467" s="1063"/>
      <c r="AV1467" s="1063"/>
    </row>
    <row r="1468" spans="1:48" s="1108" customFormat="1" ht="27.75" customHeight="1">
      <c r="A1468" s="1076"/>
      <c r="B1468" s="1074">
        <f>+'[18]Bldg+Dev'!S2280</f>
        <v>0</v>
      </c>
      <c r="D1468" s="1063"/>
      <c r="F1468" s="1076"/>
      <c r="G1468" s="1063"/>
      <c r="H1468" s="1063"/>
      <c r="I1468" s="1063"/>
      <c r="J1468" s="1063"/>
      <c r="K1468" s="1063"/>
      <c r="L1468" s="1063"/>
      <c r="M1468" s="1063"/>
      <c r="N1468" s="1063"/>
      <c r="O1468" s="1063"/>
      <c r="P1468" s="1063"/>
      <c r="Q1468" s="1063"/>
      <c r="R1468" s="1063"/>
      <c r="S1468" s="1063"/>
      <c r="T1468" s="1063"/>
      <c r="U1468" s="1063"/>
      <c r="V1468" s="1063"/>
      <c r="W1468" s="1063"/>
      <c r="X1468" s="1063"/>
      <c r="Y1468" s="1063"/>
      <c r="Z1468" s="1063"/>
      <c r="AA1468" s="1063"/>
      <c r="AB1468" s="1063"/>
      <c r="AC1468" s="1063"/>
      <c r="AD1468" s="1063"/>
      <c r="AE1468" s="1063"/>
      <c r="AF1468" s="1063"/>
      <c r="AG1468" s="1063"/>
      <c r="AH1468" s="1063"/>
      <c r="AI1468" s="1063"/>
      <c r="AJ1468" s="1063"/>
      <c r="AK1468" s="1063"/>
      <c r="AL1468" s="1063"/>
      <c r="AM1468" s="1063"/>
      <c r="AN1468" s="1063"/>
      <c r="AO1468" s="1063"/>
      <c r="AP1468" s="1063"/>
      <c r="AQ1468" s="1063"/>
      <c r="AR1468" s="1063"/>
      <c r="AS1468" s="1063"/>
      <c r="AT1468" s="1063"/>
      <c r="AU1468" s="1063"/>
      <c r="AV1468" s="1063"/>
    </row>
    <row r="1469" spans="1:48" s="1108" customFormat="1" ht="27.75" customHeight="1">
      <c r="A1469" s="1076"/>
      <c r="B1469" s="1074">
        <f>+'[18]Bldg+Dev'!S2281</f>
        <v>0</v>
      </c>
      <c r="D1469" s="1063"/>
      <c r="F1469" s="1076"/>
      <c r="G1469" s="1063"/>
      <c r="H1469" s="1063"/>
      <c r="I1469" s="1063"/>
      <c r="J1469" s="1063"/>
      <c r="K1469" s="1063"/>
      <c r="L1469" s="1063"/>
      <c r="M1469" s="1063"/>
      <c r="N1469" s="1063"/>
      <c r="O1469" s="1063"/>
      <c r="P1469" s="1063"/>
      <c r="Q1469" s="1063"/>
      <c r="R1469" s="1063"/>
      <c r="S1469" s="1063"/>
      <c r="T1469" s="1063"/>
      <c r="U1469" s="1063"/>
      <c r="V1469" s="1063"/>
      <c r="W1469" s="1063"/>
      <c r="X1469" s="1063"/>
      <c r="Y1469" s="1063"/>
      <c r="Z1469" s="1063"/>
      <c r="AA1469" s="1063"/>
      <c r="AB1469" s="1063"/>
      <c r="AC1469" s="1063"/>
      <c r="AD1469" s="1063"/>
      <c r="AE1469" s="1063"/>
      <c r="AF1469" s="1063"/>
      <c r="AG1469" s="1063"/>
      <c r="AH1469" s="1063"/>
      <c r="AI1469" s="1063"/>
      <c r="AJ1469" s="1063"/>
      <c r="AK1469" s="1063"/>
      <c r="AL1469" s="1063"/>
      <c r="AM1469" s="1063"/>
      <c r="AN1469" s="1063"/>
      <c r="AO1469" s="1063"/>
      <c r="AP1469" s="1063"/>
      <c r="AQ1469" s="1063"/>
      <c r="AR1469" s="1063"/>
      <c r="AS1469" s="1063"/>
      <c r="AT1469" s="1063"/>
      <c r="AU1469" s="1063"/>
      <c r="AV1469" s="1063"/>
    </row>
    <row r="1470" spans="1:48" s="1108" customFormat="1" ht="27.75" customHeight="1">
      <c r="A1470" s="1076"/>
      <c r="B1470" s="1074">
        <f>+'[18]Bldg+Dev'!S2282</f>
        <v>0</v>
      </c>
      <c r="D1470" s="1063"/>
      <c r="F1470" s="1076"/>
      <c r="G1470" s="1063"/>
      <c r="H1470" s="1063"/>
      <c r="I1470" s="1063"/>
      <c r="J1470" s="1063"/>
      <c r="K1470" s="1063"/>
      <c r="L1470" s="1063"/>
      <c r="M1470" s="1063"/>
      <c r="N1470" s="1063"/>
      <c r="O1470" s="1063"/>
      <c r="P1470" s="1063"/>
      <c r="Q1470" s="1063"/>
      <c r="R1470" s="1063"/>
      <c r="S1470" s="1063"/>
      <c r="T1470" s="1063"/>
      <c r="U1470" s="1063"/>
      <c r="V1470" s="1063"/>
      <c r="W1470" s="1063"/>
      <c r="X1470" s="1063"/>
      <c r="Y1470" s="1063"/>
      <c r="Z1470" s="1063"/>
      <c r="AA1470" s="1063"/>
      <c r="AB1470" s="1063"/>
      <c r="AC1470" s="1063"/>
      <c r="AD1470" s="1063"/>
      <c r="AE1470" s="1063"/>
      <c r="AF1470" s="1063"/>
      <c r="AG1470" s="1063"/>
      <c r="AH1470" s="1063"/>
      <c r="AI1470" s="1063"/>
      <c r="AJ1470" s="1063"/>
      <c r="AK1470" s="1063"/>
      <c r="AL1470" s="1063"/>
      <c r="AM1470" s="1063"/>
      <c r="AN1470" s="1063"/>
      <c r="AO1470" s="1063"/>
      <c r="AP1470" s="1063"/>
      <c r="AQ1470" s="1063"/>
      <c r="AR1470" s="1063"/>
      <c r="AS1470" s="1063"/>
      <c r="AT1470" s="1063"/>
      <c r="AU1470" s="1063"/>
      <c r="AV1470" s="1063"/>
    </row>
    <row r="1471" spans="1:48" s="1108" customFormat="1" ht="27.75" customHeight="1">
      <c r="A1471" s="1076"/>
      <c r="B1471" s="1074">
        <f>+'[18]Bldg+Dev'!S2283</f>
        <v>0</v>
      </c>
      <c r="D1471" s="1063"/>
      <c r="F1471" s="1076"/>
      <c r="G1471" s="1063"/>
      <c r="H1471" s="1063"/>
      <c r="I1471" s="1063"/>
      <c r="J1471" s="1063"/>
      <c r="K1471" s="1063"/>
      <c r="L1471" s="1063"/>
      <c r="M1471" s="1063"/>
      <c r="N1471" s="1063"/>
      <c r="O1471" s="1063"/>
      <c r="P1471" s="1063"/>
      <c r="Q1471" s="1063"/>
      <c r="R1471" s="1063"/>
      <c r="S1471" s="1063"/>
      <c r="T1471" s="1063"/>
      <c r="U1471" s="1063"/>
      <c r="V1471" s="1063"/>
      <c r="W1471" s="1063"/>
      <c r="X1471" s="1063"/>
      <c r="Y1471" s="1063"/>
      <c r="Z1471" s="1063"/>
      <c r="AA1471" s="1063"/>
      <c r="AB1471" s="1063"/>
      <c r="AC1471" s="1063"/>
      <c r="AD1471" s="1063"/>
      <c r="AE1471" s="1063"/>
      <c r="AF1471" s="1063"/>
      <c r="AG1471" s="1063"/>
      <c r="AH1471" s="1063"/>
      <c r="AI1471" s="1063"/>
      <c r="AJ1471" s="1063"/>
      <c r="AK1471" s="1063"/>
      <c r="AL1471" s="1063"/>
      <c r="AM1471" s="1063"/>
      <c r="AN1471" s="1063"/>
      <c r="AO1471" s="1063"/>
      <c r="AP1471" s="1063"/>
      <c r="AQ1471" s="1063"/>
      <c r="AR1471" s="1063"/>
      <c r="AS1471" s="1063"/>
      <c r="AT1471" s="1063"/>
      <c r="AU1471" s="1063"/>
      <c r="AV1471" s="1063"/>
    </row>
    <row r="1472" spans="1:48" s="1108" customFormat="1" ht="27.75" customHeight="1">
      <c r="A1472" s="1076"/>
      <c r="B1472" s="1074">
        <f>+'[18]Bldg+Dev'!S2284</f>
        <v>0</v>
      </c>
      <c r="D1472" s="1063"/>
      <c r="F1472" s="1076"/>
      <c r="G1472" s="1063"/>
      <c r="H1472" s="1063"/>
      <c r="I1472" s="1063"/>
      <c r="J1472" s="1063"/>
      <c r="K1472" s="1063"/>
      <c r="L1472" s="1063"/>
      <c r="M1472" s="1063"/>
      <c r="N1472" s="1063"/>
      <c r="O1472" s="1063"/>
      <c r="P1472" s="1063"/>
      <c r="Q1472" s="1063"/>
      <c r="R1472" s="1063"/>
      <c r="S1472" s="1063"/>
      <c r="T1472" s="1063"/>
      <c r="U1472" s="1063"/>
      <c r="V1472" s="1063"/>
      <c r="W1472" s="1063"/>
      <c r="X1472" s="1063"/>
      <c r="Y1472" s="1063"/>
      <c r="Z1472" s="1063"/>
      <c r="AA1472" s="1063"/>
      <c r="AB1472" s="1063"/>
      <c r="AC1472" s="1063"/>
      <c r="AD1472" s="1063"/>
      <c r="AE1472" s="1063"/>
      <c r="AF1472" s="1063"/>
      <c r="AG1472" s="1063"/>
      <c r="AH1472" s="1063"/>
      <c r="AI1472" s="1063"/>
      <c r="AJ1472" s="1063"/>
      <c r="AK1472" s="1063"/>
      <c r="AL1472" s="1063"/>
      <c r="AM1472" s="1063"/>
      <c r="AN1472" s="1063"/>
      <c r="AO1472" s="1063"/>
      <c r="AP1472" s="1063"/>
      <c r="AQ1472" s="1063"/>
      <c r="AR1472" s="1063"/>
      <c r="AS1472" s="1063"/>
      <c r="AT1472" s="1063"/>
      <c r="AU1472" s="1063"/>
      <c r="AV1472" s="1063"/>
    </row>
    <row r="1473" spans="1:48" s="1108" customFormat="1" ht="27.75" customHeight="1">
      <c r="A1473" s="1076"/>
      <c r="B1473" s="1074">
        <f>+'[18]Bldg+Dev'!S2285</f>
        <v>0</v>
      </c>
      <c r="D1473" s="1063"/>
      <c r="F1473" s="1076"/>
      <c r="G1473" s="1063"/>
      <c r="H1473" s="1063"/>
      <c r="I1473" s="1063"/>
      <c r="J1473" s="1063"/>
      <c r="K1473" s="1063"/>
      <c r="L1473" s="1063"/>
      <c r="M1473" s="1063"/>
      <c r="N1473" s="1063"/>
      <c r="O1473" s="1063"/>
      <c r="P1473" s="1063"/>
      <c r="Q1473" s="1063"/>
      <c r="R1473" s="1063"/>
      <c r="S1473" s="1063"/>
      <c r="T1473" s="1063"/>
      <c r="U1473" s="1063"/>
      <c r="V1473" s="1063"/>
      <c r="W1473" s="1063"/>
      <c r="X1473" s="1063"/>
      <c r="Y1473" s="1063"/>
      <c r="Z1473" s="1063"/>
      <c r="AA1473" s="1063"/>
      <c r="AB1473" s="1063"/>
      <c r="AC1473" s="1063"/>
      <c r="AD1473" s="1063"/>
      <c r="AE1473" s="1063"/>
      <c r="AF1473" s="1063"/>
      <c r="AG1473" s="1063"/>
      <c r="AH1473" s="1063"/>
      <c r="AI1473" s="1063"/>
      <c r="AJ1473" s="1063"/>
      <c r="AK1473" s="1063"/>
      <c r="AL1473" s="1063"/>
      <c r="AM1473" s="1063"/>
      <c r="AN1473" s="1063"/>
      <c r="AO1473" s="1063"/>
      <c r="AP1473" s="1063"/>
      <c r="AQ1473" s="1063"/>
      <c r="AR1473" s="1063"/>
      <c r="AS1473" s="1063"/>
      <c r="AT1473" s="1063"/>
      <c r="AU1473" s="1063"/>
      <c r="AV1473" s="1063"/>
    </row>
    <row r="1474" spans="1:48" s="1108" customFormat="1" ht="27.75" customHeight="1">
      <c r="A1474" s="1076"/>
      <c r="B1474" s="1074">
        <f>+'[18]Bldg+Dev'!S2286</f>
        <v>0</v>
      </c>
      <c r="D1474" s="1063"/>
      <c r="F1474" s="1076"/>
      <c r="G1474" s="1063"/>
      <c r="H1474" s="1063"/>
      <c r="I1474" s="1063"/>
      <c r="J1474" s="1063"/>
      <c r="K1474" s="1063"/>
      <c r="L1474" s="1063"/>
      <c r="M1474" s="1063"/>
      <c r="N1474" s="1063"/>
      <c r="O1474" s="1063"/>
      <c r="P1474" s="1063"/>
      <c r="Q1474" s="1063"/>
      <c r="R1474" s="1063"/>
      <c r="S1474" s="1063"/>
      <c r="T1474" s="1063"/>
      <c r="U1474" s="1063"/>
      <c r="V1474" s="1063"/>
      <c r="W1474" s="1063"/>
      <c r="X1474" s="1063"/>
      <c r="Y1474" s="1063"/>
      <c r="Z1474" s="1063"/>
      <c r="AA1474" s="1063"/>
      <c r="AB1474" s="1063"/>
      <c r="AC1474" s="1063"/>
      <c r="AD1474" s="1063"/>
      <c r="AE1474" s="1063"/>
      <c r="AF1474" s="1063"/>
      <c r="AG1474" s="1063"/>
      <c r="AH1474" s="1063"/>
      <c r="AI1474" s="1063"/>
      <c r="AJ1474" s="1063"/>
      <c r="AK1474" s="1063"/>
      <c r="AL1474" s="1063"/>
      <c r="AM1474" s="1063"/>
      <c r="AN1474" s="1063"/>
      <c r="AO1474" s="1063"/>
      <c r="AP1474" s="1063"/>
      <c r="AQ1474" s="1063"/>
      <c r="AR1474" s="1063"/>
      <c r="AS1474" s="1063"/>
      <c r="AT1474" s="1063"/>
      <c r="AU1474" s="1063"/>
      <c r="AV1474" s="1063"/>
    </row>
    <row r="1475" spans="1:48" s="1108" customFormat="1" ht="27.75" customHeight="1">
      <c r="A1475" s="1076"/>
      <c r="B1475" s="1074">
        <f>+'[18]Bldg+Dev'!S2287</f>
        <v>0</v>
      </c>
      <c r="D1475" s="1063"/>
      <c r="F1475" s="1076"/>
      <c r="G1475" s="1063"/>
      <c r="H1475" s="1063"/>
      <c r="I1475" s="1063"/>
      <c r="J1475" s="1063"/>
      <c r="K1475" s="1063"/>
      <c r="L1475" s="1063"/>
      <c r="M1475" s="1063"/>
      <c r="N1475" s="1063"/>
      <c r="O1475" s="1063"/>
      <c r="P1475" s="1063"/>
      <c r="Q1475" s="1063"/>
      <c r="R1475" s="1063"/>
      <c r="S1475" s="1063"/>
      <c r="T1475" s="1063"/>
      <c r="U1475" s="1063"/>
      <c r="V1475" s="1063"/>
      <c r="W1475" s="1063"/>
      <c r="X1475" s="1063"/>
      <c r="Y1475" s="1063"/>
      <c r="Z1475" s="1063"/>
      <c r="AA1475" s="1063"/>
      <c r="AB1475" s="1063"/>
      <c r="AC1475" s="1063"/>
      <c r="AD1475" s="1063"/>
      <c r="AE1475" s="1063"/>
      <c r="AF1475" s="1063"/>
      <c r="AG1475" s="1063"/>
      <c r="AH1475" s="1063"/>
      <c r="AI1475" s="1063"/>
      <c r="AJ1475" s="1063"/>
      <c r="AK1475" s="1063"/>
      <c r="AL1475" s="1063"/>
      <c r="AM1475" s="1063"/>
      <c r="AN1475" s="1063"/>
      <c r="AO1475" s="1063"/>
      <c r="AP1475" s="1063"/>
      <c r="AQ1475" s="1063"/>
      <c r="AR1475" s="1063"/>
      <c r="AS1475" s="1063"/>
      <c r="AT1475" s="1063"/>
      <c r="AU1475" s="1063"/>
      <c r="AV1475" s="1063"/>
    </row>
    <row r="1476" spans="1:48" s="1108" customFormat="1" ht="27.75" customHeight="1">
      <c r="A1476" s="1076"/>
      <c r="B1476" s="1074">
        <f>+'[18]Bldg+Dev'!S2288</f>
        <v>0</v>
      </c>
      <c r="D1476" s="1063"/>
      <c r="F1476" s="1076"/>
      <c r="G1476" s="1063"/>
      <c r="H1476" s="1063"/>
      <c r="I1476" s="1063"/>
      <c r="J1476" s="1063"/>
      <c r="K1476" s="1063"/>
      <c r="L1476" s="1063"/>
      <c r="M1476" s="1063"/>
      <c r="N1476" s="1063"/>
      <c r="O1476" s="1063"/>
      <c r="P1476" s="1063"/>
      <c r="Q1476" s="1063"/>
      <c r="R1476" s="1063"/>
      <c r="S1476" s="1063"/>
      <c r="T1476" s="1063"/>
      <c r="U1476" s="1063"/>
      <c r="V1476" s="1063"/>
      <c r="W1476" s="1063"/>
      <c r="X1476" s="1063"/>
      <c r="Y1476" s="1063"/>
      <c r="Z1476" s="1063"/>
      <c r="AA1476" s="1063"/>
      <c r="AB1476" s="1063"/>
      <c r="AC1476" s="1063"/>
      <c r="AD1476" s="1063"/>
      <c r="AE1476" s="1063"/>
      <c r="AF1476" s="1063"/>
      <c r="AG1476" s="1063"/>
      <c r="AH1476" s="1063"/>
      <c r="AI1476" s="1063"/>
      <c r="AJ1476" s="1063"/>
      <c r="AK1476" s="1063"/>
      <c r="AL1476" s="1063"/>
      <c r="AM1476" s="1063"/>
      <c r="AN1476" s="1063"/>
      <c r="AO1476" s="1063"/>
      <c r="AP1476" s="1063"/>
      <c r="AQ1476" s="1063"/>
      <c r="AR1476" s="1063"/>
      <c r="AS1476" s="1063"/>
      <c r="AT1476" s="1063"/>
      <c r="AU1476" s="1063"/>
      <c r="AV1476" s="1063"/>
    </row>
    <row r="1477" spans="1:48" s="1108" customFormat="1" ht="27.75" customHeight="1">
      <c r="A1477" s="1076"/>
      <c r="B1477" s="1074">
        <f>+'[18]Bldg+Dev'!S2289</f>
        <v>0</v>
      </c>
      <c r="D1477" s="1063"/>
      <c r="F1477" s="1076"/>
      <c r="G1477" s="1063"/>
      <c r="H1477" s="1063"/>
      <c r="I1477" s="1063"/>
      <c r="J1477" s="1063"/>
      <c r="K1477" s="1063"/>
      <c r="L1477" s="1063"/>
      <c r="M1477" s="1063"/>
      <c r="N1477" s="1063"/>
      <c r="O1477" s="1063"/>
      <c r="P1477" s="1063"/>
      <c r="Q1477" s="1063"/>
      <c r="R1477" s="1063"/>
      <c r="S1477" s="1063"/>
      <c r="T1477" s="1063"/>
      <c r="U1477" s="1063"/>
      <c r="V1477" s="1063"/>
      <c r="W1477" s="1063"/>
      <c r="X1477" s="1063"/>
      <c r="Y1477" s="1063"/>
      <c r="Z1477" s="1063"/>
      <c r="AA1477" s="1063"/>
      <c r="AB1477" s="1063"/>
      <c r="AC1477" s="1063"/>
      <c r="AD1477" s="1063"/>
      <c r="AE1477" s="1063"/>
      <c r="AF1477" s="1063"/>
      <c r="AG1477" s="1063"/>
      <c r="AH1477" s="1063"/>
      <c r="AI1477" s="1063"/>
      <c r="AJ1477" s="1063"/>
      <c r="AK1477" s="1063"/>
      <c r="AL1477" s="1063"/>
      <c r="AM1477" s="1063"/>
      <c r="AN1477" s="1063"/>
      <c r="AO1477" s="1063"/>
      <c r="AP1477" s="1063"/>
      <c r="AQ1477" s="1063"/>
      <c r="AR1477" s="1063"/>
      <c r="AS1477" s="1063"/>
      <c r="AT1477" s="1063"/>
      <c r="AU1477" s="1063"/>
      <c r="AV1477" s="1063"/>
    </row>
    <row r="1478" spans="1:48" s="1108" customFormat="1" ht="27.75" customHeight="1">
      <c r="A1478" s="1076"/>
      <c r="B1478" s="1074">
        <f>+'[18]Bldg+Dev'!S2290</f>
        <v>0</v>
      </c>
      <c r="D1478" s="1063"/>
      <c r="F1478" s="1076"/>
      <c r="G1478" s="1063"/>
      <c r="H1478" s="1063"/>
      <c r="I1478" s="1063"/>
      <c r="J1478" s="1063"/>
      <c r="K1478" s="1063"/>
      <c r="L1478" s="1063"/>
      <c r="M1478" s="1063"/>
      <c r="N1478" s="1063"/>
      <c r="O1478" s="1063"/>
      <c r="P1478" s="1063"/>
      <c r="Q1478" s="1063"/>
      <c r="R1478" s="1063"/>
      <c r="S1478" s="1063"/>
      <c r="T1478" s="1063"/>
      <c r="U1478" s="1063"/>
      <c r="V1478" s="1063"/>
      <c r="W1478" s="1063"/>
      <c r="X1478" s="1063"/>
      <c r="Y1478" s="1063"/>
      <c r="Z1478" s="1063"/>
      <c r="AA1478" s="1063"/>
      <c r="AB1478" s="1063"/>
      <c r="AC1478" s="1063"/>
      <c r="AD1478" s="1063"/>
      <c r="AE1478" s="1063"/>
      <c r="AF1478" s="1063"/>
      <c r="AG1478" s="1063"/>
      <c r="AH1478" s="1063"/>
      <c r="AI1478" s="1063"/>
      <c r="AJ1478" s="1063"/>
      <c r="AK1478" s="1063"/>
      <c r="AL1478" s="1063"/>
      <c r="AM1478" s="1063"/>
      <c r="AN1478" s="1063"/>
      <c r="AO1478" s="1063"/>
      <c r="AP1478" s="1063"/>
      <c r="AQ1478" s="1063"/>
      <c r="AR1478" s="1063"/>
      <c r="AS1478" s="1063"/>
      <c r="AT1478" s="1063"/>
      <c r="AU1478" s="1063"/>
      <c r="AV1478" s="1063"/>
    </row>
    <row r="1479" spans="1:48" s="1108" customFormat="1" ht="27.75" customHeight="1">
      <c r="A1479" s="1076"/>
      <c r="B1479" s="1074">
        <f>+'[18]Bldg+Dev'!S2291</f>
        <v>0</v>
      </c>
      <c r="D1479" s="1063"/>
      <c r="F1479" s="1076"/>
      <c r="G1479" s="1063"/>
      <c r="H1479" s="1063"/>
      <c r="I1479" s="1063"/>
      <c r="J1479" s="1063"/>
      <c r="K1479" s="1063"/>
      <c r="L1479" s="1063"/>
      <c r="M1479" s="1063"/>
      <c r="N1479" s="1063"/>
      <c r="O1479" s="1063"/>
      <c r="P1479" s="1063"/>
      <c r="Q1479" s="1063"/>
      <c r="R1479" s="1063"/>
      <c r="S1479" s="1063"/>
      <c r="T1479" s="1063"/>
      <c r="U1479" s="1063"/>
      <c r="V1479" s="1063"/>
      <c r="W1479" s="1063"/>
      <c r="X1479" s="1063"/>
      <c r="Y1479" s="1063"/>
      <c r="Z1479" s="1063"/>
      <c r="AA1479" s="1063"/>
      <c r="AB1479" s="1063"/>
      <c r="AC1479" s="1063"/>
      <c r="AD1479" s="1063"/>
      <c r="AE1479" s="1063"/>
      <c r="AF1479" s="1063"/>
      <c r="AG1479" s="1063"/>
      <c r="AH1479" s="1063"/>
      <c r="AI1479" s="1063"/>
      <c r="AJ1479" s="1063"/>
      <c r="AK1479" s="1063"/>
      <c r="AL1479" s="1063"/>
      <c r="AM1479" s="1063"/>
      <c r="AN1479" s="1063"/>
      <c r="AO1479" s="1063"/>
      <c r="AP1479" s="1063"/>
      <c r="AQ1479" s="1063"/>
      <c r="AR1479" s="1063"/>
      <c r="AS1479" s="1063"/>
      <c r="AT1479" s="1063"/>
      <c r="AU1479" s="1063"/>
      <c r="AV1479" s="1063"/>
    </row>
    <row r="1480" spans="1:48" s="1108" customFormat="1" ht="27.75" customHeight="1">
      <c r="A1480" s="1076"/>
      <c r="B1480" s="1074">
        <f>+'[18]Bldg+Dev'!S2292</f>
        <v>0</v>
      </c>
      <c r="D1480" s="1063"/>
      <c r="F1480" s="1076"/>
      <c r="G1480" s="1063"/>
      <c r="H1480" s="1063"/>
      <c r="I1480" s="1063"/>
      <c r="J1480" s="1063"/>
      <c r="K1480" s="1063"/>
      <c r="L1480" s="1063"/>
      <c r="M1480" s="1063"/>
      <c r="N1480" s="1063"/>
      <c r="O1480" s="1063"/>
      <c r="P1480" s="1063"/>
      <c r="Q1480" s="1063"/>
      <c r="R1480" s="1063"/>
      <c r="S1480" s="1063"/>
      <c r="T1480" s="1063"/>
      <c r="U1480" s="1063"/>
      <c r="V1480" s="1063"/>
      <c r="W1480" s="1063"/>
      <c r="X1480" s="1063"/>
      <c r="Y1480" s="1063"/>
      <c r="Z1480" s="1063"/>
      <c r="AA1480" s="1063"/>
      <c r="AB1480" s="1063"/>
      <c r="AC1480" s="1063"/>
      <c r="AD1480" s="1063"/>
      <c r="AE1480" s="1063"/>
      <c r="AF1480" s="1063"/>
      <c r="AG1480" s="1063"/>
      <c r="AH1480" s="1063"/>
      <c r="AI1480" s="1063"/>
      <c r="AJ1480" s="1063"/>
      <c r="AK1480" s="1063"/>
      <c r="AL1480" s="1063"/>
      <c r="AM1480" s="1063"/>
      <c r="AN1480" s="1063"/>
      <c r="AO1480" s="1063"/>
      <c r="AP1480" s="1063"/>
      <c r="AQ1480" s="1063"/>
      <c r="AR1480" s="1063"/>
      <c r="AS1480" s="1063"/>
      <c r="AT1480" s="1063"/>
      <c r="AU1480" s="1063"/>
      <c r="AV1480" s="1063"/>
    </row>
    <row r="1481" spans="1:48" s="1108" customFormat="1" ht="27.75" customHeight="1">
      <c r="A1481" s="1076"/>
      <c r="B1481" s="1074">
        <f>+'[18]Bldg+Dev'!S2293</f>
        <v>0</v>
      </c>
      <c r="D1481" s="1063"/>
      <c r="F1481" s="1076"/>
      <c r="G1481" s="1063"/>
      <c r="H1481" s="1063"/>
      <c r="I1481" s="1063"/>
      <c r="J1481" s="1063"/>
      <c r="K1481" s="1063"/>
      <c r="L1481" s="1063"/>
      <c r="M1481" s="1063"/>
      <c r="N1481" s="1063"/>
      <c r="O1481" s="1063"/>
      <c r="P1481" s="1063"/>
      <c r="Q1481" s="1063"/>
      <c r="R1481" s="1063"/>
      <c r="S1481" s="1063"/>
      <c r="T1481" s="1063"/>
      <c r="U1481" s="1063"/>
      <c r="V1481" s="1063"/>
      <c r="W1481" s="1063"/>
      <c r="X1481" s="1063"/>
      <c r="Y1481" s="1063"/>
      <c r="Z1481" s="1063"/>
      <c r="AA1481" s="1063"/>
      <c r="AB1481" s="1063"/>
      <c r="AC1481" s="1063"/>
      <c r="AD1481" s="1063"/>
      <c r="AE1481" s="1063"/>
      <c r="AF1481" s="1063"/>
      <c r="AG1481" s="1063"/>
      <c r="AH1481" s="1063"/>
      <c r="AI1481" s="1063"/>
      <c r="AJ1481" s="1063"/>
      <c r="AK1481" s="1063"/>
      <c r="AL1481" s="1063"/>
      <c r="AM1481" s="1063"/>
      <c r="AN1481" s="1063"/>
      <c r="AO1481" s="1063"/>
      <c r="AP1481" s="1063"/>
      <c r="AQ1481" s="1063"/>
      <c r="AR1481" s="1063"/>
      <c r="AS1481" s="1063"/>
      <c r="AT1481" s="1063"/>
      <c r="AU1481" s="1063"/>
      <c r="AV1481" s="1063"/>
    </row>
    <row r="1482" spans="1:48" s="1108" customFormat="1" ht="27.75" customHeight="1">
      <c r="A1482" s="1076"/>
      <c r="B1482" s="1074">
        <f>+'[18]Bldg+Dev'!S2294</f>
        <v>0</v>
      </c>
      <c r="D1482" s="1063"/>
      <c r="F1482" s="1076"/>
      <c r="G1482" s="1063"/>
      <c r="H1482" s="1063"/>
      <c r="I1482" s="1063"/>
      <c r="J1482" s="1063"/>
      <c r="K1482" s="1063"/>
      <c r="L1482" s="1063"/>
      <c r="M1482" s="1063"/>
      <c r="N1482" s="1063"/>
      <c r="O1482" s="1063"/>
      <c r="P1482" s="1063"/>
      <c r="Q1482" s="1063"/>
      <c r="R1482" s="1063"/>
      <c r="S1482" s="1063"/>
      <c r="T1482" s="1063"/>
      <c r="U1482" s="1063"/>
      <c r="V1482" s="1063"/>
      <c r="W1482" s="1063"/>
      <c r="X1482" s="1063"/>
      <c r="Y1482" s="1063"/>
      <c r="Z1482" s="1063"/>
      <c r="AA1482" s="1063"/>
      <c r="AB1482" s="1063"/>
      <c r="AC1482" s="1063"/>
      <c r="AD1482" s="1063"/>
      <c r="AE1482" s="1063"/>
      <c r="AF1482" s="1063"/>
      <c r="AG1482" s="1063"/>
      <c r="AH1482" s="1063"/>
      <c r="AI1482" s="1063"/>
      <c r="AJ1482" s="1063"/>
      <c r="AK1482" s="1063"/>
      <c r="AL1482" s="1063"/>
      <c r="AM1482" s="1063"/>
      <c r="AN1482" s="1063"/>
      <c r="AO1482" s="1063"/>
      <c r="AP1482" s="1063"/>
      <c r="AQ1482" s="1063"/>
      <c r="AR1482" s="1063"/>
      <c r="AS1482" s="1063"/>
      <c r="AT1482" s="1063"/>
      <c r="AU1482" s="1063"/>
      <c r="AV1482" s="1063"/>
    </row>
    <row r="1483" spans="1:48" s="1108" customFormat="1" ht="27.75" customHeight="1">
      <c r="A1483" s="1076"/>
      <c r="B1483" s="1074">
        <f>+'[18]Bldg+Dev'!S2295</f>
        <v>0</v>
      </c>
      <c r="D1483" s="1063"/>
      <c r="F1483" s="1076"/>
      <c r="G1483" s="1063"/>
      <c r="H1483" s="1063"/>
      <c r="I1483" s="1063"/>
      <c r="J1483" s="1063"/>
      <c r="K1483" s="1063"/>
      <c r="L1483" s="1063"/>
      <c r="M1483" s="1063"/>
      <c r="N1483" s="1063"/>
      <c r="O1483" s="1063"/>
      <c r="P1483" s="1063"/>
      <c r="Q1483" s="1063"/>
      <c r="R1483" s="1063"/>
      <c r="S1483" s="1063"/>
      <c r="T1483" s="1063"/>
      <c r="U1483" s="1063"/>
      <c r="V1483" s="1063"/>
      <c r="W1483" s="1063"/>
      <c r="X1483" s="1063"/>
      <c r="Y1483" s="1063"/>
      <c r="Z1483" s="1063"/>
      <c r="AA1483" s="1063"/>
      <c r="AB1483" s="1063"/>
      <c r="AC1483" s="1063"/>
      <c r="AD1483" s="1063"/>
      <c r="AE1483" s="1063"/>
      <c r="AF1483" s="1063"/>
      <c r="AG1483" s="1063"/>
      <c r="AH1483" s="1063"/>
      <c r="AI1483" s="1063"/>
      <c r="AJ1483" s="1063"/>
      <c r="AK1483" s="1063"/>
      <c r="AL1483" s="1063"/>
      <c r="AM1483" s="1063"/>
      <c r="AN1483" s="1063"/>
      <c r="AO1483" s="1063"/>
      <c r="AP1483" s="1063"/>
      <c r="AQ1483" s="1063"/>
      <c r="AR1483" s="1063"/>
      <c r="AS1483" s="1063"/>
      <c r="AT1483" s="1063"/>
      <c r="AU1483" s="1063"/>
      <c r="AV1483" s="1063"/>
    </row>
    <row r="1484" spans="1:48" s="1108" customFormat="1" ht="27.75" customHeight="1">
      <c r="A1484" s="1076"/>
      <c r="B1484" s="1074">
        <f>+'[18]Bldg+Dev'!S2296</f>
        <v>0</v>
      </c>
      <c r="D1484" s="1063"/>
      <c r="F1484" s="1076"/>
      <c r="G1484" s="1063"/>
      <c r="H1484" s="1063"/>
      <c r="I1484" s="1063"/>
      <c r="J1484" s="1063"/>
      <c r="K1484" s="1063"/>
      <c r="L1484" s="1063"/>
      <c r="M1484" s="1063"/>
      <c r="N1484" s="1063"/>
      <c r="O1484" s="1063"/>
      <c r="P1484" s="1063"/>
      <c r="Q1484" s="1063"/>
      <c r="R1484" s="1063"/>
      <c r="S1484" s="1063"/>
      <c r="T1484" s="1063"/>
      <c r="U1484" s="1063"/>
      <c r="V1484" s="1063"/>
      <c r="W1484" s="1063"/>
      <c r="X1484" s="1063"/>
      <c r="Y1484" s="1063"/>
      <c r="Z1484" s="1063"/>
      <c r="AA1484" s="1063"/>
      <c r="AB1484" s="1063"/>
      <c r="AC1484" s="1063"/>
      <c r="AD1484" s="1063"/>
      <c r="AE1484" s="1063"/>
      <c r="AF1484" s="1063"/>
      <c r="AG1484" s="1063"/>
      <c r="AH1484" s="1063"/>
      <c r="AI1484" s="1063"/>
      <c r="AJ1484" s="1063"/>
      <c r="AK1484" s="1063"/>
      <c r="AL1484" s="1063"/>
      <c r="AM1484" s="1063"/>
      <c r="AN1484" s="1063"/>
      <c r="AO1484" s="1063"/>
      <c r="AP1484" s="1063"/>
      <c r="AQ1484" s="1063"/>
      <c r="AR1484" s="1063"/>
      <c r="AS1484" s="1063"/>
      <c r="AT1484" s="1063"/>
      <c r="AU1484" s="1063"/>
      <c r="AV1484" s="1063"/>
    </row>
    <row r="1485" spans="1:48" s="1108" customFormat="1" ht="27.75" customHeight="1">
      <c r="A1485" s="1076"/>
      <c r="B1485" s="1074">
        <f>+'[18]Bldg+Dev'!S2297</f>
        <v>0</v>
      </c>
      <c r="D1485" s="1063"/>
      <c r="F1485" s="1076"/>
      <c r="G1485" s="1063"/>
      <c r="H1485" s="1063"/>
      <c r="I1485" s="1063"/>
      <c r="J1485" s="1063"/>
      <c r="K1485" s="1063"/>
      <c r="L1485" s="1063"/>
      <c r="M1485" s="1063"/>
      <c r="N1485" s="1063"/>
      <c r="O1485" s="1063"/>
      <c r="P1485" s="1063"/>
      <c r="Q1485" s="1063"/>
      <c r="R1485" s="1063"/>
      <c r="S1485" s="1063"/>
      <c r="T1485" s="1063"/>
      <c r="U1485" s="1063"/>
      <c r="V1485" s="1063"/>
      <c r="W1485" s="1063"/>
      <c r="X1485" s="1063"/>
      <c r="Y1485" s="1063"/>
      <c r="Z1485" s="1063"/>
      <c r="AA1485" s="1063"/>
      <c r="AB1485" s="1063"/>
      <c r="AC1485" s="1063"/>
      <c r="AD1485" s="1063"/>
      <c r="AE1485" s="1063"/>
      <c r="AF1485" s="1063"/>
      <c r="AG1485" s="1063"/>
      <c r="AH1485" s="1063"/>
      <c r="AI1485" s="1063"/>
      <c r="AJ1485" s="1063"/>
      <c r="AK1485" s="1063"/>
      <c r="AL1485" s="1063"/>
      <c r="AM1485" s="1063"/>
      <c r="AN1485" s="1063"/>
      <c r="AO1485" s="1063"/>
      <c r="AP1485" s="1063"/>
      <c r="AQ1485" s="1063"/>
      <c r="AR1485" s="1063"/>
      <c r="AS1485" s="1063"/>
      <c r="AT1485" s="1063"/>
      <c r="AU1485" s="1063"/>
      <c r="AV1485" s="1063"/>
    </row>
    <row r="1486" spans="1:48" s="1108" customFormat="1" ht="27.75" customHeight="1">
      <c r="A1486" s="1076"/>
      <c r="B1486" s="1074">
        <f>+'[18]Bldg+Dev'!S2298</f>
        <v>0</v>
      </c>
      <c r="D1486" s="1063"/>
      <c r="F1486" s="1076"/>
      <c r="G1486" s="1063"/>
      <c r="H1486" s="1063"/>
      <c r="I1486" s="1063"/>
      <c r="J1486" s="1063"/>
      <c r="K1486" s="1063"/>
      <c r="L1486" s="1063"/>
      <c r="M1486" s="1063"/>
      <c r="N1486" s="1063"/>
      <c r="O1486" s="1063"/>
      <c r="P1486" s="1063"/>
      <c r="Q1486" s="1063"/>
      <c r="R1486" s="1063"/>
      <c r="S1486" s="1063"/>
      <c r="T1486" s="1063"/>
      <c r="U1486" s="1063"/>
      <c r="V1486" s="1063"/>
      <c r="W1486" s="1063"/>
      <c r="X1486" s="1063"/>
      <c r="Y1486" s="1063"/>
      <c r="Z1486" s="1063"/>
      <c r="AA1486" s="1063"/>
      <c r="AB1486" s="1063"/>
      <c r="AC1486" s="1063"/>
      <c r="AD1486" s="1063"/>
      <c r="AE1486" s="1063"/>
      <c r="AF1486" s="1063"/>
      <c r="AG1486" s="1063"/>
      <c r="AH1486" s="1063"/>
      <c r="AI1486" s="1063"/>
      <c r="AJ1486" s="1063"/>
      <c r="AK1486" s="1063"/>
      <c r="AL1486" s="1063"/>
      <c r="AM1486" s="1063"/>
      <c r="AN1486" s="1063"/>
      <c r="AO1486" s="1063"/>
      <c r="AP1486" s="1063"/>
      <c r="AQ1486" s="1063"/>
      <c r="AR1486" s="1063"/>
      <c r="AS1486" s="1063"/>
      <c r="AT1486" s="1063"/>
      <c r="AU1486" s="1063"/>
      <c r="AV1486" s="1063"/>
    </row>
    <row r="1487" spans="1:48" s="1108" customFormat="1" ht="27.75" customHeight="1">
      <c r="A1487" s="1076"/>
      <c r="B1487" s="1074">
        <f>+'[18]Bldg+Dev'!S2299</f>
        <v>0</v>
      </c>
      <c r="D1487" s="1063"/>
      <c r="F1487" s="1076"/>
      <c r="G1487" s="1063"/>
      <c r="H1487" s="1063"/>
      <c r="I1487" s="1063"/>
      <c r="J1487" s="1063"/>
      <c r="K1487" s="1063"/>
      <c r="L1487" s="1063"/>
      <c r="M1487" s="1063"/>
      <c r="N1487" s="1063"/>
      <c r="O1487" s="1063"/>
      <c r="P1487" s="1063"/>
      <c r="Q1487" s="1063"/>
      <c r="R1487" s="1063"/>
      <c r="S1487" s="1063"/>
      <c r="T1487" s="1063"/>
      <c r="U1487" s="1063"/>
      <c r="V1487" s="1063"/>
      <c r="W1487" s="1063"/>
      <c r="X1487" s="1063"/>
      <c r="Y1487" s="1063"/>
      <c r="Z1487" s="1063"/>
      <c r="AA1487" s="1063"/>
      <c r="AB1487" s="1063"/>
      <c r="AC1487" s="1063"/>
      <c r="AD1487" s="1063"/>
      <c r="AE1487" s="1063"/>
      <c r="AF1487" s="1063"/>
      <c r="AG1487" s="1063"/>
      <c r="AH1487" s="1063"/>
      <c r="AI1487" s="1063"/>
      <c r="AJ1487" s="1063"/>
      <c r="AK1487" s="1063"/>
      <c r="AL1487" s="1063"/>
      <c r="AM1487" s="1063"/>
      <c r="AN1487" s="1063"/>
      <c r="AO1487" s="1063"/>
      <c r="AP1487" s="1063"/>
      <c r="AQ1487" s="1063"/>
      <c r="AR1487" s="1063"/>
      <c r="AS1487" s="1063"/>
      <c r="AT1487" s="1063"/>
      <c r="AU1487" s="1063"/>
      <c r="AV1487" s="1063"/>
    </row>
    <row r="1488" spans="1:48" s="1108" customFormat="1" ht="27.75" customHeight="1">
      <c r="A1488" s="1076"/>
      <c r="B1488" s="1074">
        <f>+'[18]Bldg+Dev'!S2300</f>
        <v>0</v>
      </c>
      <c r="D1488" s="1063"/>
      <c r="F1488" s="1076"/>
      <c r="G1488" s="1063"/>
      <c r="H1488" s="1063"/>
      <c r="I1488" s="1063"/>
      <c r="J1488" s="1063"/>
      <c r="K1488" s="1063"/>
      <c r="L1488" s="1063"/>
      <c r="M1488" s="1063"/>
      <c r="N1488" s="1063"/>
      <c r="O1488" s="1063"/>
      <c r="P1488" s="1063"/>
      <c r="Q1488" s="1063"/>
      <c r="R1488" s="1063"/>
      <c r="S1488" s="1063"/>
      <c r="T1488" s="1063"/>
      <c r="U1488" s="1063"/>
      <c r="V1488" s="1063"/>
      <c r="W1488" s="1063"/>
      <c r="X1488" s="1063"/>
      <c r="Y1488" s="1063"/>
      <c r="Z1488" s="1063"/>
      <c r="AA1488" s="1063"/>
      <c r="AB1488" s="1063"/>
      <c r="AC1488" s="1063"/>
      <c r="AD1488" s="1063"/>
      <c r="AE1488" s="1063"/>
      <c r="AF1488" s="1063"/>
      <c r="AG1488" s="1063"/>
      <c r="AH1488" s="1063"/>
      <c r="AI1488" s="1063"/>
      <c r="AJ1488" s="1063"/>
      <c r="AK1488" s="1063"/>
      <c r="AL1488" s="1063"/>
      <c r="AM1488" s="1063"/>
      <c r="AN1488" s="1063"/>
      <c r="AO1488" s="1063"/>
      <c r="AP1488" s="1063"/>
      <c r="AQ1488" s="1063"/>
      <c r="AR1488" s="1063"/>
      <c r="AS1488" s="1063"/>
      <c r="AT1488" s="1063"/>
      <c r="AU1488" s="1063"/>
      <c r="AV1488" s="1063"/>
    </row>
    <row r="1489" spans="1:48" s="1108" customFormat="1" ht="27.75" customHeight="1">
      <c r="A1489" s="1076"/>
      <c r="B1489" s="1074">
        <f>+'[18]Bldg+Dev'!S2301</f>
        <v>0</v>
      </c>
      <c r="D1489" s="1063"/>
      <c r="F1489" s="1076"/>
      <c r="G1489" s="1063"/>
      <c r="H1489" s="1063"/>
      <c r="I1489" s="1063"/>
      <c r="J1489" s="1063"/>
      <c r="K1489" s="1063"/>
      <c r="L1489" s="1063"/>
      <c r="M1489" s="1063"/>
      <c r="N1489" s="1063"/>
      <c r="O1489" s="1063"/>
      <c r="P1489" s="1063"/>
      <c r="Q1489" s="1063"/>
      <c r="R1489" s="1063"/>
      <c r="S1489" s="1063"/>
      <c r="T1489" s="1063"/>
      <c r="U1489" s="1063"/>
      <c r="V1489" s="1063"/>
      <c r="W1489" s="1063"/>
      <c r="X1489" s="1063"/>
      <c r="Y1489" s="1063"/>
      <c r="Z1489" s="1063"/>
      <c r="AA1489" s="1063"/>
      <c r="AB1489" s="1063"/>
      <c r="AC1489" s="1063"/>
      <c r="AD1489" s="1063"/>
      <c r="AE1489" s="1063"/>
      <c r="AF1489" s="1063"/>
      <c r="AG1489" s="1063"/>
      <c r="AH1489" s="1063"/>
      <c r="AI1489" s="1063"/>
      <c r="AJ1489" s="1063"/>
      <c r="AK1489" s="1063"/>
      <c r="AL1489" s="1063"/>
      <c r="AM1489" s="1063"/>
      <c r="AN1489" s="1063"/>
      <c r="AO1489" s="1063"/>
      <c r="AP1489" s="1063"/>
      <c r="AQ1489" s="1063"/>
      <c r="AR1489" s="1063"/>
      <c r="AS1489" s="1063"/>
      <c r="AT1489" s="1063"/>
      <c r="AU1489" s="1063"/>
      <c r="AV1489" s="1063"/>
    </row>
    <row r="1490" spans="1:48" s="1108" customFormat="1" ht="27.75" customHeight="1">
      <c r="A1490" s="1076"/>
      <c r="B1490" s="1074">
        <f>+'[18]Bldg+Dev'!S2302</f>
        <v>0</v>
      </c>
      <c r="D1490" s="1063"/>
      <c r="F1490" s="1076"/>
      <c r="G1490" s="1063"/>
      <c r="H1490" s="1063"/>
      <c r="I1490" s="1063"/>
      <c r="J1490" s="1063"/>
      <c r="K1490" s="1063"/>
      <c r="L1490" s="1063"/>
      <c r="M1490" s="1063"/>
      <c r="N1490" s="1063"/>
      <c r="O1490" s="1063"/>
      <c r="P1490" s="1063"/>
      <c r="Q1490" s="1063"/>
      <c r="R1490" s="1063"/>
      <c r="S1490" s="1063"/>
      <c r="T1490" s="1063"/>
      <c r="U1490" s="1063"/>
      <c r="V1490" s="1063"/>
      <c r="W1490" s="1063"/>
      <c r="X1490" s="1063"/>
      <c r="Y1490" s="1063"/>
      <c r="Z1490" s="1063"/>
      <c r="AA1490" s="1063"/>
      <c r="AB1490" s="1063"/>
      <c r="AC1490" s="1063"/>
      <c r="AD1490" s="1063"/>
      <c r="AE1490" s="1063"/>
      <c r="AF1490" s="1063"/>
      <c r="AG1490" s="1063"/>
      <c r="AH1490" s="1063"/>
      <c r="AI1490" s="1063"/>
      <c r="AJ1490" s="1063"/>
      <c r="AK1490" s="1063"/>
      <c r="AL1490" s="1063"/>
      <c r="AM1490" s="1063"/>
      <c r="AN1490" s="1063"/>
      <c r="AO1490" s="1063"/>
      <c r="AP1490" s="1063"/>
      <c r="AQ1490" s="1063"/>
      <c r="AR1490" s="1063"/>
      <c r="AS1490" s="1063"/>
      <c r="AT1490" s="1063"/>
      <c r="AU1490" s="1063"/>
      <c r="AV1490" s="1063"/>
    </row>
    <row r="1491" spans="1:48" s="1108" customFormat="1" ht="27.75" customHeight="1">
      <c r="A1491" s="1076"/>
      <c r="B1491" s="1074">
        <f>+'[18]Bldg+Dev'!S2303</f>
        <v>0</v>
      </c>
      <c r="D1491" s="1063"/>
      <c r="F1491" s="1076"/>
      <c r="G1491" s="1063"/>
      <c r="H1491" s="1063"/>
      <c r="I1491" s="1063"/>
      <c r="J1491" s="1063"/>
      <c r="K1491" s="1063"/>
      <c r="L1491" s="1063"/>
      <c r="M1491" s="1063"/>
      <c r="N1491" s="1063"/>
      <c r="O1491" s="1063"/>
      <c r="P1491" s="1063"/>
      <c r="Q1491" s="1063"/>
      <c r="R1491" s="1063"/>
      <c r="S1491" s="1063"/>
      <c r="T1491" s="1063"/>
      <c r="U1491" s="1063"/>
      <c r="V1491" s="1063"/>
      <c r="W1491" s="1063"/>
      <c r="X1491" s="1063"/>
      <c r="Y1491" s="1063"/>
      <c r="Z1491" s="1063"/>
      <c r="AA1491" s="1063"/>
      <c r="AB1491" s="1063"/>
      <c r="AC1491" s="1063"/>
      <c r="AD1491" s="1063"/>
      <c r="AE1491" s="1063"/>
      <c r="AF1491" s="1063"/>
      <c r="AG1491" s="1063"/>
      <c r="AH1491" s="1063"/>
      <c r="AI1491" s="1063"/>
      <c r="AJ1491" s="1063"/>
      <c r="AK1491" s="1063"/>
      <c r="AL1491" s="1063"/>
      <c r="AM1491" s="1063"/>
      <c r="AN1491" s="1063"/>
      <c r="AO1491" s="1063"/>
      <c r="AP1491" s="1063"/>
      <c r="AQ1491" s="1063"/>
      <c r="AR1491" s="1063"/>
      <c r="AS1491" s="1063"/>
      <c r="AT1491" s="1063"/>
      <c r="AU1491" s="1063"/>
      <c r="AV1491" s="1063"/>
    </row>
    <row r="1492" spans="1:48" s="1108" customFormat="1" ht="27.75" customHeight="1">
      <c r="A1492" s="1076"/>
      <c r="B1492" s="1074">
        <f>+'[18]Bldg+Dev'!S2304</f>
        <v>0</v>
      </c>
      <c r="D1492" s="1063"/>
      <c r="F1492" s="1076"/>
      <c r="G1492" s="1063"/>
      <c r="H1492" s="1063"/>
      <c r="I1492" s="1063"/>
      <c r="J1492" s="1063"/>
      <c r="K1492" s="1063"/>
      <c r="L1492" s="1063"/>
      <c r="M1492" s="1063"/>
      <c r="N1492" s="1063"/>
      <c r="O1492" s="1063"/>
      <c r="P1492" s="1063"/>
      <c r="Q1492" s="1063"/>
      <c r="R1492" s="1063"/>
      <c r="S1492" s="1063"/>
      <c r="T1492" s="1063"/>
      <c r="U1492" s="1063"/>
      <c r="V1492" s="1063"/>
      <c r="W1492" s="1063"/>
      <c r="X1492" s="1063"/>
      <c r="Y1492" s="1063"/>
      <c r="Z1492" s="1063"/>
      <c r="AA1492" s="1063"/>
      <c r="AB1492" s="1063"/>
      <c r="AC1492" s="1063"/>
      <c r="AD1492" s="1063"/>
      <c r="AE1492" s="1063"/>
      <c r="AF1492" s="1063"/>
      <c r="AG1492" s="1063"/>
      <c r="AH1492" s="1063"/>
      <c r="AI1492" s="1063"/>
      <c r="AJ1492" s="1063"/>
      <c r="AK1492" s="1063"/>
      <c r="AL1492" s="1063"/>
      <c r="AM1492" s="1063"/>
      <c r="AN1492" s="1063"/>
      <c r="AO1492" s="1063"/>
      <c r="AP1492" s="1063"/>
      <c r="AQ1492" s="1063"/>
      <c r="AR1492" s="1063"/>
      <c r="AS1492" s="1063"/>
      <c r="AT1492" s="1063"/>
      <c r="AU1492" s="1063"/>
      <c r="AV1492" s="1063"/>
    </row>
    <row r="1493" spans="1:48" s="1108" customFormat="1" ht="27.75" customHeight="1">
      <c r="A1493" s="1076"/>
      <c r="B1493" s="1074">
        <f>+'[18]Bldg+Dev'!S2305</f>
        <v>0</v>
      </c>
      <c r="D1493" s="1063"/>
      <c r="F1493" s="1076"/>
      <c r="G1493" s="1063"/>
      <c r="H1493" s="1063"/>
      <c r="I1493" s="1063"/>
      <c r="J1493" s="1063"/>
      <c r="K1493" s="1063"/>
      <c r="L1493" s="1063"/>
      <c r="M1493" s="1063"/>
      <c r="N1493" s="1063"/>
      <c r="O1493" s="1063"/>
      <c r="P1493" s="1063"/>
      <c r="Q1493" s="1063"/>
      <c r="R1493" s="1063"/>
      <c r="S1493" s="1063"/>
      <c r="T1493" s="1063"/>
      <c r="U1493" s="1063"/>
      <c r="V1493" s="1063"/>
      <c r="W1493" s="1063"/>
      <c r="X1493" s="1063"/>
      <c r="Y1493" s="1063"/>
      <c r="Z1493" s="1063"/>
      <c r="AA1493" s="1063"/>
      <c r="AB1493" s="1063"/>
      <c r="AC1493" s="1063"/>
      <c r="AD1493" s="1063"/>
      <c r="AE1493" s="1063"/>
      <c r="AF1493" s="1063"/>
      <c r="AG1493" s="1063"/>
      <c r="AH1493" s="1063"/>
      <c r="AI1493" s="1063"/>
      <c r="AJ1493" s="1063"/>
      <c r="AK1493" s="1063"/>
      <c r="AL1493" s="1063"/>
      <c r="AM1493" s="1063"/>
      <c r="AN1493" s="1063"/>
      <c r="AO1493" s="1063"/>
      <c r="AP1493" s="1063"/>
      <c r="AQ1493" s="1063"/>
      <c r="AR1493" s="1063"/>
      <c r="AS1493" s="1063"/>
      <c r="AT1493" s="1063"/>
      <c r="AU1493" s="1063"/>
      <c r="AV1493" s="1063"/>
    </row>
    <row r="1494" spans="1:48" s="1108" customFormat="1" ht="27.75" customHeight="1">
      <c r="A1494" s="1076"/>
      <c r="B1494" s="1074">
        <f>+'[18]Bldg+Dev'!S2306</f>
        <v>0</v>
      </c>
      <c r="D1494" s="1063"/>
      <c r="F1494" s="1076"/>
      <c r="G1494" s="1063"/>
      <c r="H1494" s="1063"/>
      <c r="I1494" s="1063"/>
      <c r="J1494" s="1063"/>
      <c r="K1494" s="1063"/>
      <c r="L1494" s="1063"/>
      <c r="M1494" s="1063"/>
      <c r="N1494" s="1063"/>
      <c r="O1494" s="1063"/>
      <c r="P1494" s="1063"/>
      <c r="Q1494" s="1063"/>
      <c r="R1494" s="1063"/>
      <c r="S1494" s="1063"/>
      <c r="T1494" s="1063"/>
      <c r="U1494" s="1063"/>
      <c r="V1494" s="1063"/>
      <c r="W1494" s="1063"/>
      <c r="X1494" s="1063"/>
      <c r="Y1494" s="1063"/>
      <c r="Z1494" s="1063"/>
      <c r="AA1494" s="1063"/>
      <c r="AB1494" s="1063"/>
      <c r="AC1494" s="1063"/>
      <c r="AD1494" s="1063"/>
      <c r="AE1494" s="1063"/>
      <c r="AF1494" s="1063"/>
      <c r="AG1494" s="1063"/>
      <c r="AH1494" s="1063"/>
      <c r="AI1494" s="1063"/>
      <c r="AJ1494" s="1063"/>
      <c r="AK1494" s="1063"/>
      <c r="AL1494" s="1063"/>
      <c r="AM1494" s="1063"/>
      <c r="AN1494" s="1063"/>
      <c r="AO1494" s="1063"/>
      <c r="AP1494" s="1063"/>
      <c r="AQ1494" s="1063"/>
      <c r="AR1494" s="1063"/>
      <c r="AS1494" s="1063"/>
      <c r="AT1494" s="1063"/>
      <c r="AU1494" s="1063"/>
      <c r="AV1494" s="1063"/>
    </row>
    <row r="1495" spans="1:48" s="1108" customFormat="1" ht="27.75" customHeight="1">
      <c r="A1495" s="1076"/>
      <c r="B1495" s="1074">
        <f>+'[18]Bldg+Dev'!S2307</f>
        <v>0</v>
      </c>
      <c r="D1495" s="1063"/>
      <c r="F1495" s="1076"/>
      <c r="G1495" s="1063"/>
      <c r="H1495" s="1063"/>
      <c r="I1495" s="1063"/>
      <c r="J1495" s="1063"/>
      <c r="K1495" s="1063"/>
      <c r="L1495" s="1063"/>
      <c r="M1495" s="1063"/>
      <c r="N1495" s="1063"/>
      <c r="O1495" s="1063"/>
      <c r="P1495" s="1063"/>
      <c r="Q1495" s="1063"/>
      <c r="R1495" s="1063"/>
      <c r="S1495" s="1063"/>
      <c r="T1495" s="1063"/>
      <c r="U1495" s="1063"/>
      <c r="V1495" s="1063"/>
      <c r="W1495" s="1063"/>
      <c r="X1495" s="1063"/>
      <c r="Y1495" s="1063"/>
      <c r="Z1495" s="1063"/>
      <c r="AA1495" s="1063"/>
      <c r="AB1495" s="1063"/>
      <c r="AC1495" s="1063"/>
      <c r="AD1495" s="1063"/>
      <c r="AE1495" s="1063"/>
      <c r="AF1495" s="1063"/>
      <c r="AG1495" s="1063"/>
      <c r="AH1495" s="1063"/>
      <c r="AI1495" s="1063"/>
      <c r="AJ1495" s="1063"/>
      <c r="AK1495" s="1063"/>
      <c r="AL1495" s="1063"/>
      <c r="AM1495" s="1063"/>
      <c r="AN1495" s="1063"/>
      <c r="AO1495" s="1063"/>
      <c r="AP1495" s="1063"/>
      <c r="AQ1495" s="1063"/>
      <c r="AR1495" s="1063"/>
      <c r="AS1495" s="1063"/>
      <c r="AT1495" s="1063"/>
      <c r="AU1495" s="1063"/>
      <c r="AV1495" s="1063"/>
    </row>
    <row r="1496" spans="1:48" s="1108" customFormat="1" ht="27.75" customHeight="1">
      <c r="A1496" s="1076"/>
      <c r="B1496" s="1074">
        <f>+'[18]Bldg+Dev'!S2308</f>
        <v>0</v>
      </c>
      <c r="D1496" s="1063"/>
      <c r="F1496" s="1076"/>
      <c r="G1496" s="1063"/>
      <c r="H1496" s="1063"/>
      <c r="I1496" s="1063"/>
      <c r="J1496" s="1063"/>
      <c r="K1496" s="1063"/>
      <c r="L1496" s="1063"/>
      <c r="M1496" s="1063"/>
      <c r="N1496" s="1063"/>
      <c r="O1496" s="1063"/>
      <c r="P1496" s="1063"/>
      <c r="Q1496" s="1063"/>
      <c r="R1496" s="1063"/>
      <c r="S1496" s="1063"/>
      <c r="T1496" s="1063"/>
      <c r="U1496" s="1063"/>
      <c r="V1496" s="1063"/>
      <c r="W1496" s="1063"/>
      <c r="X1496" s="1063"/>
      <c r="Y1496" s="1063"/>
      <c r="Z1496" s="1063"/>
      <c r="AA1496" s="1063"/>
      <c r="AB1496" s="1063"/>
      <c r="AC1496" s="1063"/>
      <c r="AD1496" s="1063"/>
      <c r="AE1496" s="1063"/>
      <c r="AF1496" s="1063"/>
      <c r="AG1496" s="1063"/>
      <c r="AH1496" s="1063"/>
      <c r="AI1496" s="1063"/>
      <c r="AJ1496" s="1063"/>
      <c r="AK1496" s="1063"/>
      <c r="AL1496" s="1063"/>
      <c r="AM1496" s="1063"/>
      <c r="AN1496" s="1063"/>
      <c r="AO1496" s="1063"/>
      <c r="AP1496" s="1063"/>
      <c r="AQ1496" s="1063"/>
      <c r="AR1496" s="1063"/>
      <c r="AS1496" s="1063"/>
      <c r="AT1496" s="1063"/>
      <c r="AU1496" s="1063"/>
      <c r="AV1496" s="1063"/>
    </row>
    <row r="1497" spans="1:48" s="1108" customFormat="1" ht="27.75" customHeight="1">
      <c r="A1497" s="1076"/>
      <c r="B1497" s="1074">
        <f>+'[18]Bldg+Dev'!S2309</f>
        <v>0</v>
      </c>
      <c r="D1497" s="1063"/>
      <c r="F1497" s="1076"/>
      <c r="G1497" s="1063"/>
      <c r="H1497" s="1063"/>
      <c r="I1497" s="1063"/>
      <c r="J1497" s="1063"/>
      <c r="K1497" s="1063"/>
      <c r="L1497" s="1063"/>
      <c r="M1497" s="1063"/>
      <c r="N1497" s="1063"/>
      <c r="O1497" s="1063"/>
      <c r="P1497" s="1063"/>
      <c r="Q1497" s="1063"/>
      <c r="R1497" s="1063"/>
      <c r="S1497" s="1063"/>
      <c r="T1497" s="1063"/>
      <c r="U1497" s="1063"/>
      <c r="V1497" s="1063"/>
      <c r="W1497" s="1063"/>
      <c r="X1497" s="1063"/>
      <c r="Y1497" s="1063"/>
      <c r="Z1497" s="1063"/>
      <c r="AA1497" s="1063"/>
      <c r="AB1497" s="1063"/>
      <c r="AC1497" s="1063"/>
      <c r="AD1497" s="1063"/>
      <c r="AE1497" s="1063"/>
      <c r="AF1497" s="1063"/>
      <c r="AG1497" s="1063"/>
      <c r="AH1497" s="1063"/>
      <c r="AI1497" s="1063"/>
      <c r="AJ1497" s="1063"/>
      <c r="AK1497" s="1063"/>
      <c r="AL1497" s="1063"/>
      <c r="AM1497" s="1063"/>
      <c r="AN1497" s="1063"/>
      <c r="AO1497" s="1063"/>
      <c r="AP1497" s="1063"/>
      <c r="AQ1497" s="1063"/>
      <c r="AR1497" s="1063"/>
      <c r="AS1497" s="1063"/>
      <c r="AT1497" s="1063"/>
      <c r="AU1497" s="1063"/>
      <c r="AV1497" s="1063"/>
    </row>
    <row r="1498" spans="1:48" s="1108" customFormat="1" ht="27.75" customHeight="1">
      <c r="A1498" s="1076"/>
      <c r="B1498" s="1074">
        <f>+'[18]Bldg+Dev'!S2310</f>
        <v>0</v>
      </c>
      <c r="D1498" s="1063"/>
      <c r="F1498" s="1076"/>
      <c r="G1498" s="1063"/>
      <c r="H1498" s="1063"/>
      <c r="I1498" s="1063"/>
      <c r="J1498" s="1063"/>
      <c r="K1498" s="1063"/>
      <c r="L1498" s="1063"/>
      <c r="M1498" s="1063"/>
      <c r="N1498" s="1063"/>
      <c r="O1498" s="1063"/>
      <c r="P1498" s="1063"/>
      <c r="Q1498" s="1063"/>
      <c r="R1498" s="1063"/>
      <c r="S1498" s="1063"/>
      <c r="T1498" s="1063"/>
      <c r="U1498" s="1063"/>
      <c r="V1498" s="1063"/>
      <c r="W1498" s="1063"/>
      <c r="X1498" s="1063"/>
      <c r="Y1498" s="1063"/>
      <c r="Z1498" s="1063"/>
      <c r="AA1498" s="1063"/>
      <c r="AB1498" s="1063"/>
      <c r="AC1498" s="1063"/>
      <c r="AD1498" s="1063"/>
      <c r="AE1498" s="1063"/>
      <c r="AF1498" s="1063"/>
      <c r="AG1498" s="1063"/>
      <c r="AH1498" s="1063"/>
      <c r="AI1498" s="1063"/>
      <c r="AJ1498" s="1063"/>
      <c r="AK1498" s="1063"/>
      <c r="AL1498" s="1063"/>
      <c r="AM1498" s="1063"/>
      <c r="AN1498" s="1063"/>
      <c r="AO1498" s="1063"/>
      <c r="AP1498" s="1063"/>
      <c r="AQ1498" s="1063"/>
      <c r="AR1498" s="1063"/>
      <c r="AS1498" s="1063"/>
      <c r="AT1498" s="1063"/>
      <c r="AU1498" s="1063"/>
      <c r="AV1498" s="1063"/>
    </row>
    <row r="1499" spans="1:48" s="1108" customFormat="1" ht="27.75" customHeight="1">
      <c r="A1499" s="1076"/>
      <c r="B1499" s="1074">
        <f>+'[18]Bldg+Dev'!S2311</f>
        <v>0</v>
      </c>
      <c r="D1499" s="1063"/>
      <c r="F1499" s="1076"/>
      <c r="G1499" s="1063"/>
      <c r="H1499" s="1063"/>
      <c r="I1499" s="1063"/>
      <c r="J1499" s="1063"/>
      <c r="K1499" s="1063"/>
      <c r="L1499" s="1063"/>
      <c r="M1499" s="1063"/>
      <c r="N1499" s="1063"/>
      <c r="O1499" s="1063"/>
      <c r="P1499" s="1063"/>
      <c r="Q1499" s="1063"/>
      <c r="R1499" s="1063"/>
      <c r="S1499" s="1063"/>
      <c r="T1499" s="1063"/>
      <c r="U1499" s="1063"/>
      <c r="V1499" s="1063"/>
      <c r="W1499" s="1063"/>
      <c r="X1499" s="1063"/>
      <c r="Y1499" s="1063"/>
      <c r="Z1499" s="1063"/>
      <c r="AA1499" s="1063"/>
      <c r="AB1499" s="1063"/>
      <c r="AC1499" s="1063"/>
      <c r="AD1499" s="1063"/>
      <c r="AE1499" s="1063"/>
      <c r="AF1499" s="1063"/>
      <c r="AG1499" s="1063"/>
      <c r="AH1499" s="1063"/>
      <c r="AI1499" s="1063"/>
      <c r="AJ1499" s="1063"/>
      <c r="AK1499" s="1063"/>
      <c r="AL1499" s="1063"/>
      <c r="AM1499" s="1063"/>
      <c r="AN1499" s="1063"/>
      <c r="AO1499" s="1063"/>
      <c r="AP1499" s="1063"/>
      <c r="AQ1499" s="1063"/>
      <c r="AR1499" s="1063"/>
      <c r="AS1499" s="1063"/>
      <c r="AT1499" s="1063"/>
      <c r="AU1499" s="1063"/>
      <c r="AV1499" s="1063"/>
    </row>
    <row r="1500" spans="1:48" s="1108" customFormat="1" ht="27.75" customHeight="1">
      <c r="A1500" s="1076"/>
      <c r="B1500" s="1074">
        <f>+'[18]Bldg+Dev'!S2312</f>
        <v>0</v>
      </c>
      <c r="D1500" s="1063"/>
      <c r="F1500" s="1076"/>
      <c r="G1500" s="1063"/>
      <c r="H1500" s="1063"/>
      <c r="I1500" s="1063"/>
      <c r="J1500" s="1063"/>
      <c r="K1500" s="1063"/>
      <c r="L1500" s="1063"/>
      <c r="M1500" s="1063"/>
      <c r="N1500" s="1063"/>
      <c r="O1500" s="1063"/>
      <c r="P1500" s="1063"/>
      <c r="Q1500" s="1063"/>
      <c r="R1500" s="1063"/>
      <c r="S1500" s="1063"/>
      <c r="T1500" s="1063"/>
      <c r="U1500" s="1063"/>
      <c r="V1500" s="1063"/>
      <c r="W1500" s="1063"/>
      <c r="X1500" s="1063"/>
      <c r="Y1500" s="1063"/>
      <c r="Z1500" s="1063"/>
      <c r="AA1500" s="1063"/>
      <c r="AB1500" s="1063"/>
      <c r="AC1500" s="1063"/>
      <c r="AD1500" s="1063"/>
      <c r="AE1500" s="1063"/>
      <c r="AF1500" s="1063"/>
      <c r="AG1500" s="1063"/>
      <c r="AH1500" s="1063"/>
      <c r="AI1500" s="1063"/>
      <c r="AJ1500" s="1063"/>
      <c r="AK1500" s="1063"/>
      <c r="AL1500" s="1063"/>
      <c r="AM1500" s="1063"/>
      <c r="AN1500" s="1063"/>
      <c r="AO1500" s="1063"/>
      <c r="AP1500" s="1063"/>
      <c r="AQ1500" s="1063"/>
      <c r="AR1500" s="1063"/>
      <c r="AS1500" s="1063"/>
      <c r="AT1500" s="1063"/>
      <c r="AU1500" s="1063"/>
      <c r="AV1500" s="1063"/>
    </row>
    <row r="1501" spans="1:48" s="1108" customFormat="1" ht="27.75" customHeight="1">
      <c r="A1501" s="1076"/>
      <c r="B1501" s="1074">
        <f>+'[18]Bldg+Dev'!S2313</f>
        <v>0</v>
      </c>
      <c r="D1501" s="1063"/>
      <c r="F1501" s="1076"/>
      <c r="G1501" s="1063"/>
      <c r="H1501" s="1063"/>
      <c r="I1501" s="1063"/>
      <c r="J1501" s="1063"/>
      <c r="K1501" s="1063"/>
      <c r="L1501" s="1063"/>
      <c r="M1501" s="1063"/>
      <c r="N1501" s="1063"/>
      <c r="O1501" s="1063"/>
      <c r="P1501" s="1063"/>
      <c r="Q1501" s="1063"/>
      <c r="R1501" s="1063"/>
      <c r="S1501" s="1063"/>
      <c r="T1501" s="1063"/>
      <c r="U1501" s="1063"/>
      <c r="V1501" s="1063"/>
      <c r="W1501" s="1063"/>
      <c r="X1501" s="1063"/>
      <c r="Y1501" s="1063"/>
      <c r="Z1501" s="1063"/>
      <c r="AA1501" s="1063"/>
      <c r="AB1501" s="1063"/>
      <c r="AC1501" s="1063"/>
      <c r="AD1501" s="1063"/>
      <c r="AE1501" s="1063"/>
      <c r="AF1501" s="1063"/>
      <c r="AG1501" s="1063"/>
      <c r="AH1501" s="1063"/>
      <c r="AI1501" s="1063"/>
      <c r="AJ1501" s="1063"/>
      <c r="AK1501" s="1063"/>
      <c r="AL1501" s="1063"/>
      <c r="AM1501" s="1063"/>
      <c r="AN1501" s="1063"/>
      <c r="AO1501" s="1063"/>
      <c r="AP1501" s="1063"/>
      <c r="AQ1501" s="1063"/>
      <c r="AR1501" s="1063"/>
      <c r="AS1501" s="1063"/>
      <c r="AT1501" s="1063"/>
      <c r="AU1501" s="1063"/>
      <c r="AV1501" s="1063"/>
    </row>
    <row r="1502" spans="1:48" s="1108" customFormat="1" ht="27.75" customHeight="1">
      <c r="A1502" s="1076"/>
      <c r="B1502" s="1074">
        <f>+'[18]Bldg+Dev'!S2314</f>
        <v>0</v>
      </c>
      <c r="D1502" s="1063"/>
      <c r="F1502" s="1076"/>
      <c r="G1502" s="1063"/>
      <c r="H1502" s="1063"/>
      <c r="I1502" s="1063"/>
      <c r="J1502" s="1063"/>
      <c r="K1502" s="1063"/>
      <c r="L1502" s="1063"/>
      <c r="M1502" s="1063"/>
      <c r="N1502" s="1063"/>
      <c r="O1502" s="1063"/>
      <c r="P1502" s="1063"/>
      <c r="Q1502" s="1063"/>
      <c r="R1502" s="1063"/>
      <c r="S1502" s="1063"/>
      <c r="T1502" s="1063"/>
      <c r="U1502" s="1063"/>
      <c r="V1502" s="1063"/>
      <c r="W1502" s="1063"/>
      <c r="X1502" s="1063"/>
      <c r="Y1502" s="1063"/>
      <c r="Z1502" s="1063"/>
      <c r="AA1502" s="1063"/>
      <c r="AB1502" s="1063"/>
      <c r="AC1502" s="1063"/>
      <c r="AD1502" s="1063"/>
      <c r="AE1502" s="1063"/>
      <c r="AF1502" s="1063"/>
      <c r="AG1502" s="1063"/>
      <c r="AH1502" s="1063"/>
      <c r="AI1502" s="1063"/>
      <c r="AJ1502" s="1063"/>
      <c r="AK1502" s="1063"/>
      <c r="AL1502" s="1063"/>
      <c r="AM1502" s="1063"/>
      <c r="AN1502" s="1063"/>
      <c r="AO1502" s="1063"/>
      <c r="AP1502" s="1063"/>
      <c r="AQ1502" s="1063"/>
      <c r="AR1502" s="1063"/>
      <c r="AS1502" s="1063"/>
      <c r="AT1502" s="1063"/>
      <c r="AU1502" s="1063"/>
      <c r="AV1502" s="1063"/>
    </row>
    <row r="1503" spans="1:48" s="1108" customFormat="1" ht="27.75" customHeight="1">
      <c r="A1503" s="1076"/>
      <c r="B1503" s="1074">
        <f>+'[18]Bldg+Dev'!S2315</f>
        <v>0</v>
      </c>
      <c r="D1503" s="1063"/>
      <c r="F1503" s="1076"/>
      <c r="G1503" s="1063"/>
      <c r="H1503" s="1063"/>
      <c r="I1503" s="1063"/>
      <c r="J1503" s="1063"/>
      <c r="K1503" s="1063"/>
      <c r="L1503" s="1063"/>
      <c r="M1503" s="1063"/>
      <c r="N1503" s="1063"/>
      <c r="O1503" s="1063"/>
      <c r="P1503" s="1063"/>
      <c r="Q1503" s="1063"/>
      <c r="R1503" s="1063"/>
      <c r="S1503" s="1063"/>
      <c r="T1503" s="1063"/>
      <c r="U1503" s="1063"/>
      <c r="V1503" s="1063"/>
      <c r="W1503" s="1063"/>
      <c r="X1503" s="1063"/>
      <c r="Y1503" s="1063"/>
      <c r="Z1503" s="1063"/>
      <c r="AA1503" s="1063"/>
      <c r="AB1503" s="1063"/>
      <c r="AC1503" s="1063"/>
      <c r="AD1503" s="1063"/>
      <c r="AE1503" s="1063"/>
      <c r="AF1503" s="1063"/>
      <c r="AG1503" s="1063"/>
      <c r="AH1503" s="1063"/>
      <c r="AI1503" s="1063"/>
      <c r="AJ1503" s="1063"/>
      <c r="AK1503" s="1063"/>
      <c r="AL1503" s="1063"/>
      <c r="AM1503" s="1063"/>
      <c r="AN1503" s="1063"/>
      <c r="AO1503" s="1063"/>
      <c r="AP1503" s="1063"/>
      <c r="AQ1503" s="1063"/>
      <c r="AR1503" s="1063"/>
      <c r="AS1503" s="1063"/>
      <c r="AT1503" s="1063"/>
      <c r="AU1503" s="1063"/>
      <c r="AV1503" s="1063"/>
    </row>
    <row r="1504" spans="1:48" s="1108" customFormat="1" ht="27.75" customHeight="1">
      <c r="A1504" s="1076"/>
      <c r="B1504" s="1074">
        <f>+'[18]Bldg+Dev'!S2316</f>
        <v>0</v>
      </c>
      <c r="D1504" s="1063"/>
      <c r="F1504" s="1076"/>
      <c r="G1504" s="1063"/>
      <c r="H1504" s="1063"/>
      <c r="I1504" s="1063"/>
      <c r="J1504" s="1063"/>
      <c r="K1504" s="1063"/>
      <c r="L1504" s="1063"/>
      <c r="M1504" s="1063"/>
      <c r="N1504" s="1063"/>
      <c r="O1504" s="1063"/>
      <c r="P1504" s="1063"/>
      <c r="Q1504" s="1063"/>
      <c r="R1504" s="1063"/>
      <c r="S1504" s="1063"/>
      <c r="T1504" s="1063"/>
      <c r="U1504" s="1063"/>
      <c r="V1504" s="1063"/>
      <c r="W1504" s="1063"/>
      <c r="X1504" s="1063"/>
      <c r="Y1504" s="1063"/>
      <c r="Z1504" s="1063"/>
      <c r="AA1504" s="1063"/>
      <c r="AB1504" s="1063"/>
      <c r="AC1504" s="1063"/>
      <c r="AD1504" s="1063"/>
      <c r="AE1504" s="1063"/>
      <c r="AF1504" s="1063"/>
      <c r="AG1504" s="1063"/>
      <c r="AH1504" s="1063"/>
      <c r="AI1504" s="1063"/>
      <c r="AJ1504" s="1063"/>
      <c r="AK1504" s="1063"/>
      <c r="AL1504" s="1063"/>
      <c r="AM1504" s="1063"/>
      <c r="AN1504" s="1063"/>
      <c r="AO1504" s="1063"/>
      <c r="AP1504" s="1063"/>
      <c r="AQ1504" s="1063"/>
      <c r="AR1504" s="1063"/>
      <c r="AS1504" s="1063"/>
      <c r="AT1504" s="1063"/>
      <c r="AU1504" s="1063"/>
      <c r="AV1504" s="1063"/>
    </row>
    <row r="1505" spans="1:48" s="1108" customFormat="1" ht="27.75" customHeight="1">
      <c r="A1505" s="1076"/>
      <c r="B1505" s="1074">
        <f>+'[18]Bldg+Dev'!S2317</f>
        <v>0</v>
      </c>
      <c r="D1505" s="1063"/>
      <c r="F1505" s="1076"/>
      <c r="G1505" s="1063"/>
      <c r="H1505" s="1063"/>
      <c r="I1505" s="1063"/>
      <c r="J1505" s="1063"/>
      <c r="K1505" s="1063"/>
      <c r="L1505" s="1063"/>
      <c r="M1505" s="1063"/>
      <c r="N1505" s="1063"/>
      <c r="O1505" s="1063"/>
      <c r="P1505" s="1063"/>
      <c r="Q1505" s="1063"/>
      <c r="R1505" s="1063"/>
      <c r="S1505" s="1063"/>
      <c r="T1505" s="1063"/>
      <c r="U1505" s="1063"/>
      <c r="V1505" s="1063"/>
      <c r="W1505" s="1063"/>
      <c r="X1505" s="1063"/>
      <c r="Y1505" s="1063"/>
      <c r="Z1505" s="1063"/>
      <c r="AA1505" s="1063"/>
      <c r="AB1505" s="1063"/>
      <c r="AC1505" s="1063"/>
      <c r="AD1505" s="1063"/>
      <c r="AE1505" s="1063"/>
      <c r="AF1505" s="1063"/>
      <c r="AG1505" s="1063"/>
      <c r="AH1505" s="1063"/>
      <c r="AI1505" s="1063"/>
      <c r="AJ1505" s="1063"/>
      <c r="AK1505" s="1063"/>
      <c r="AL1505" s="1063"/>
      <c r="AM1505" s="1063"/>
      <c r="AN1505" s="1063"/>
      <c r="AO1505" s="1063"/>
      <c r="AP1505" s="1063"/>
      <c r="AQ1505" s="1063"/>
      <c r="AR1505" s="1063"/>
      <c r="AS1505" s="1063"/>
      <c r="AT1505" s="1063"/>
      <c r="AU1505" s="1063"/>
      <c r="AV1505" s="1063"/>
    </row>
    <row r="1506" spans="1:48" s="1108" customFormat="1" ht="27.75" customHeight="1">
      <c r="A1506" s="1076"/>
      <c r="B1506" s="1074">
        <f>+'[18]Bldg+Dev'!S2318</f>
        <v>0</v>
      </c>
      <c r="D1506" s="1063"/>
      <c r="F1506" s="1076"/>
      <c r="G1506" s="1063"/>
      <c r="H1506" s="1063"/>
      <c r="I1506" s="1063"/>
      <c r="J1506" s="1063"/>
      <c r="K1506" s="1063"/>
      <c r="L1506" s="1063"/>
      <c r="M1506" s="1063"/>
      <c r="N1506" s="1063"/>
      <c r="O1506" s="1063"/>
      <c r="P1506" s="1063"/>
      <c r="Q1506" s="1063"/>
      <c r="R1506" s="1063"/>
      <c r="S1506" s="1063"/>
      <c r="T1506" s="1063"/>
      <c r="U1506" s="1063"/>
      <c r="V1506" s="1063"/>
      <c r="W1506" s="1063"/>
      <c r="X1506" s="1063"/>
      <c r="Y1506" s="1063"/>
      <c r="Z1506" s="1063"/>
      <c r="AA1506" s="1063"/>
      <c r="AB1506" s="1063"/>
      <c r="AC1506" s="1063"/>
      <c r="AD1506" s="1063"/>
      <c r="AE1506" s="1063"/>
      <c r="AF1506" s="1063"/>
      <c r="AG1506" s="1063"/>
      <c r="AH1506" s="1063"/>
      <c r="AI1506" s="1063"/>
      <c r="AJ1506" s="1063"/>
      <c r="AK1506" s="1063"/>
      <c r="AL1506" s="1063"/>
      <c r="AM1506" s="1063"/>
      <c r="AN1506" s="1063"/>
      <c r="AO1506" s="1063"/>
      <c r="AP1506" s="1063"/>
      <c r="AQ1506" s="1063"/>
      <c r="AR1506" s="1063"/>
      <c r="AS1506" s="1063"/>
      <c r="AT1506" s="1063"/>
      <c r="AU1506" s="1063"/>
      <c r="AV1506" s="1063"/>
    </row>
    <row r="1507" spans="1:48" s="1108" customFormat="1" ht="27.75" customHeight="1">
      <c r="A1507" s="1076"/>
      <c r="B1507" s="1074">
        <f>+'[18]Bldg+Dev'!S2319</f>
        <v>0</v>
      </c>
      <c r="D1507" s="1063"/>
      <c r="F1507" s="1076"/>
      <c r="G1507" s="1063"/>
      <c r="H1507" s="1063"/>
      <c r="I1507" s="1063"/>
      <c r="J1507" s="1063"/>
      <c r="K1507" s="1063"/>
      <c r="L1507" s="1063"/>
      <c r="M1507" s="1063"/>
      <c r="N1507" s="1063"/>
      <c r="O1507" s="1063"/>
      <c r="P1507" s="1063"/>
      <c r="Q1507" s="1063"/>
      <c r="R1507" s="1063"/>
      <c r="S1507" s="1063"/>
      <c r="T1507" s="1063"/>
      <c r="U1507" s="1063"/>
      <c r="V1507" s="1063"/>
      <c r="W1507" s="1063"/>
      <c r="X1507" s="1063"/>
      <c r="Y1507" s="1063"/>
      <c r="Z1507" s="1063"/>
      <c r="AA1507" s="1063"/>
      <c r="AB1507" s="1063"/>
      <c r="AC1507" s="1063"/>
      <c r="AD1507" s="1063"/>
      <c r="AE1507" s="1063"/>
      <c r="AF1507" s="1063"/>
      <c r="AG1507" s="1063"/>
      <c r="AH1507" s="1063"/>
      <c r="AI1507" s="1063"/>
      <c r="AJ1507" s="1063"/>
      <c r="AK1507" s="1063"/>
      <c r="AL1507" s="1063"/>
      <c r="AM1507" s="1063"/>
      <c r="AN1507" s="1063"/>
      <c r="AO1507" s="1063"/>
      <c r="AP1507" s="1063"/>
      <c r="AQ1507" s="1063"/>
      <c r="AR1507" s="1063"/>
      <c r="AS1507" s="1063"/>
      <c r="AT1507" s="1063"/>
      <c r="AU1507" s="1063"/>
      <c r="AV1507" s="1063"/>
    </row>
    <row r="1508" spans="1:48" s="1108" customFormat="1" ht="27.75" customHeight="1">
      <c r="A1508" s="1076"/>
      <c r="B1508" s="1074">
        <f>+'[18]Bldg+Dev'!S2320</f>
        <v>0</v>
      </c>
      <c r="D1508" s="1063"/>
      <c r="F1508" s="1076"/>
      <c r="G1508" s="1063"/>
      <c r="H1508" s="1063"/>
      <c r="I1508" s="1063"/>
      <c r="J1508" s="1063"/>
      <c r="K1508" s="1063"/>
      <c r="L1508" s="1063"/>
      <c r="M1508" s="1063"/>
      <c r="N1508" s="1063"/>
      <c r="O1508" s="1063"/>
      <c r="P1508" s="1063"/>
      <c r="Q1508" s="1063"/>
      <c r="R1508" s="1063"/>
      <c r="S1508" s="1063"/>
      <c r="T1508" s="1063"/>
      <c r="U1508" s="1063"/>
      <c r="V1508" s="1063"/>
      <c r="W1508" s="1063"/>
      <c r="X1508" s="1063"/>
      <c r="Y1508" s="1063"/>
      <c r="Z1508" s="1063"/>
      <c r="AA1508" s="1063"/>
      <c r="AB1508" s="1063"/>
      <c r="AC1508" s="1063"/>
      <c r="AD1508" s="1063"/>
      <c r="AE1508" s="1063"/>
      <c r="AF1508" s="1063"/>
      <c r="AG1508" s="1063"/>
      <c r="AH1508" s="1063"/>
      <c r="AI1508" s="1063"/>
      <c r="AJ1508" s="1063"/>
      <c r="AK1508" s="1063"/>
      <c r="AL1508" s="1063"/>
      <c r="AM1508" s="1063"/>
      <c r="AN1508" s="1063"/>
      <c r="AO1508" s="1063"/>
      <c r="AP1508" s="1063"/>
      <c r="AQ1508" s="1063"/>
      <c r="AR1508" s="1063"/>
      <c r="AS1508" s="1063"/>
      <c r="AT1508" s="1063"/>
      <c r="AU1508" s="1063"/>
      <c r="AV1508" s="1063"/>
    </row>
    <row r="1509" spans="1:48" s="1108" customFormat="1" ht="27.75" customHeight="1">
      <c r="A1509" s="1076"/>
      <c r="B1509" s="1074">
        <f>+'[18]Bldg+Dev'!S2321</f>
        <v>0</v>
      </c>
      <c r="D1509" s="1063"/>
      <c r="F1509" s="1076"/>
      <c r="G1509" s="1063"/>
      <c r="H1509" s="1063"/>
      <c r="I1509" s="1063"/>
      <c r="J1509" s="1063"/>
      <c r="K1509" s="1063"/>
      <c r="L1509" s="1063"/>
      <c r="M1509" s="1063"/>
      <c r="N1509" s="1063"/>
      <c r="O1509" s="1063"/>
      <c r="P1509" s="1063"/>
      <c r="Q1509" s="1063"/>
      <c r="R1509" s="1063"/>
      <c r="S1509" s="1063"/>
      <c r="T1509" s="1063"/>
      <c r="U1509" s="1063"/>
      <c r="V1509" s="1063"/>
      <c r="W1509" s="1063"/>
      <c r="X1509" s="1063"/>
      <c r="Y1509" s="1063"/>
      <c r="Z1509" s="1063"/>
      <c r="AA1509" s="1063"/>
      <c r="AB1509" s="1063"/>
      <c r="AC1509" s="1063"/>
      <c r="AD1509" s="1063"/>
      <c r="AE1509" s="1063"/>
      <c r="AF1509" s="1063"/>
      <c r="AG1509" s="1063"/>
      <c r="AH1509" s="1063"/>
      <c r="AI1509" s="1063"/>
      <c r="AJ1509" s="1063"/>
      <c r="AK1509" s="1063"/>
      <c r="AL1509" s="1063"/>
      <c r="AM1509" s="1063"/>
      <c r="AN1509" s="1063"/>
      <c r="AO1509" s="1063"/>
      <c r="AP1509" s="1063"/>
      <c r="AQ1509" s="1063"/>
      <c r="AR1509" s="1063"/>
      <c r="AS1509" s="1063"/>
      <c r="AT1509" s="1063"/>
      <c r="AU1509" s="1063"/>
      <c r="AV1509" s="1063"/>
    </row>
    <row r="1510" spans="1:48" s="1108" customFormat="1" ht="27.75" customHeight="1">
      <c r="A1510" s="1076"/>
      <c r="B1510" s="1074">
        <f>+'[18]Bldg+Dev'!S2322</f>
        <v>0</v>
      </c>
      <c r="D1510" s="1063"/>
      <c r="F1510" s="1076"/>
      <c r="G1510" s="1063"/>
      <c r="H1510" s="1063"/>
      <c r="I1510" s="1063"/>
      <c r="J1510" s="1063"/>
      <c r="K1510" s="1063"/>
      <c r="L1510" s="1063"/>
      <c r="M1510" s="1063"/>
      <c r="N1510" s="1063"/>
      <c r="O1510" s="1063"/>
      <c r="P1510" s="1063"/>
      <c r="Q1510" s="1063"/>
      <c r="R1510" s="1063"/>
      <c r="S1510" s="1063"/>
      <c r="T1510" s="1063"/>
      <c r="U1510" s="1063"/>
      <c r="V1510" s="1063"/>
      <c r="W1510" s="1063"/>
      <c r="X1510" s="1063"/>
      <c r="Y1510" s="1063"/>
      <c r="Z1510" s="1063"/>
      <c r="AA1510" s="1063"/>
      <c r="AB1510" s="1063"/>
      <c r="AC1510" s="1063"/>
      <c r="AD1510" s="1063"/>
      <c r="AE1510" s="1063"/>
      <c r="AF1510" s="1063"/>
      <c r="AG1510" s="1063"/>
      <c r="AH1510" s="1063"/>
      <c r="AI1510" s="1063"/>
      <c r="AJ1510" s="1063"/>
      <c r="AK1510" s="1063"/>
      <c r="AL1510" s="1063"/>
      <c r="AM1510" s="1063"/>
      <c r="AN1510" s="1063"/>
      <c r="AO1510" s="1063"/>
      <c r="AP1510" s="1063"/>
      <c r="AQ1510" s="1063"/>
      <c r="AR1510" s="1063"/>
      <c r="AS1510" s="1063"/>
      <c r="AT1510" s="1063"/>
      <c r="AU1510" s="1063"/>
      <c r="AV1510" s="1063"/>
    </row>
    <row r="1511" spans="1:48" s="1108" customFormat="1" ht="27.75" customHeight="1">
      <c r="A1511" s="1076"/>
      <c r="B1511" s="1074">
        <f>+'[18]Bldg+Dev'!S2323</f>
        <v>0</v>
      </c>
      <c r="D1511" s="1063"/>
      <c r="F1511" s="1076"/>
      <c r="G1511" s="1063"/>
      <c r="H1511" s="1063"/>
      <c r="I1511" s="1063"/>
      <c r="J1511" s="1063"/>
      <c r="K1511" s="1063"/>
      <c r="L1511" s="1063"/>
      <c r="M1511" s="1063"/>
      <c r="N1511" s="1063"/>
      <c r="O1511" s="1063"/>
      <c r="P1511" s="1063"/>
      <c r="Q1511" s="1063"/>
      <c r="R1511" s="1063"/>
      <c r="S1511" s="1063"/>
      <c r="T1511" s="1063"/>
      <c r="U1511" s="1063"/>
      <c r="V1511" s="1063"/>
      <c r="W1511" s="1063"/>
      <c r="X1511" s="1063"/>
      <c r="Y1511" s="1063"/>
      <c r="Z1511" s="1063"/>
      <c r="AA1511" s="1063"/>
      <c r="AB1511" s="1063"/>
      <c r="AC1511" s="1063"/>
      <c r="AD1511" s="1063"/>
      <c r="AE1511" s="1063"/>
      <c r="AF1511" s="1063"/>
      <c r="AG1511" s="1063"/>
      <c r="AH1511" s="1063"/>
      <c r="AI1511" s="1063"/>
      <c r="AJ1511" s="1063"/>
      <c r="AK1511" s="1063"/>
      <c r="AL1511" s="1063"/>
      <c r="AM1511" s="1063"/>
      <c r="AN1511" s="1063"/>
      <c r="AO1511" s="1063"/>
      <c r="AP1511" s="1063"/>
      <c r="AQ1511" s="1063"/>
      <c r="AR1511" s="1063"/>
      <c r="AS1511" s="1063"/>
      <c r="AT1511" s="1063"/>
      <c r="AU1511" s="1063"/>
      <c r="AV1511" s="1063"/>
    </row>
    <row r="1512" spans="1:48" s="1108" customFormat="1" ht="27.75" customHeight="1">
      <c r="A1512" s="1076"/>
      <c r="B1512" s="1074">
        <f>+'[18]Bldg+Dev'!S2324</f>
        <v>0</v>
      </c>
      <c r="D1512" s="1063"/>
      <c r="F1512" s="1076"/>
      <c r="G1512" s="1063"/>
      <c r="H1512" s="1063"/>
      <c r="I1512" s="1063"/>
      <c r="J1512" s="1063"/>
      <c r="K1512" s="1063"/>
      <c r="L1512" s="1063"/>
      <c r="M1512" s="1063"/>
      <c r="N1512" s="1063"/>
      <c r="O1512" s="1063"/>
      <c r="P1512" s="1063"/>
      <c r="Q1512" s="1063"/>
      <c r="R1512" s="1063"/>
      <c r="S1512" s="1063"/>
      <c r="T1512" s="1063"/>
      <c r="U1512" s="1063"/>
      <c r="V1512" s="1063"/>
      <c r="W1512" s="1063"/>
      <c r="X1512" s="1063"/>
      <c r="Y1512" s="1063"/>
      <c r="Z1512" s="1063"/>
      <c r="AA1512" s="1063"/>
      <c r="AB1512" s="1063"/>
      <c r="AC1512" s="1063"/>
      <c r="AD1512" s="1063"/>
      <c r="AE1512" s="1063"/>
      <c r="AF1512" s="1063"/>
      <c r="AG1512" s="1063"/>
      <c r="AH1512" s="1063"/>
      <c r="AI1512" s="1063"/>
      <c r="AJ1512" s="1063"/>
      <c r="AK1512" s="1063"/>
      <c r="AL1512" s="1063"/>
      <c r="AM1512" s="1063"/>
      <c r="AN1512" s="1063"/>
      <c r="AO1512" s="1063"/>
      <c r="AP1512" s="1063"/>
      <c r="AQ1512" s="1063"/>
      <c r="AR1512" s="1063"/>
      <c r="AS1512" s="1063"/>
      <c r="AT1512" s="1063"/>
      <c r="AU1512" s="1063"/>
      <c r="AV1512" s="1063"/>
    </row>
    <row r="1513" spans="1:48" s="1108" customFormat="1" ht="27.75" customHeight="1">
      <c r="A1513" s="1076"/>
      <c r="B1513" s="1074">
        <f>+'[18]Bldg+Dev'!S2325</f>
        <v>0</v>
      </c>
      <c r="D1513" s="1063"/>
      <c r="F1513" s="1076"/>
      <c r="G1513" s="1063"/>
      <c r="H1513" s="1063"/>
      <c r="I1513" s="1063"/>
      <c r="J1513" s="1063"/>
      <c r="K1513" s="1063"/>
      <c r="L1513" s="1063"/>
      <c r="M1513" s="1063"/>
      <c r="N1513" s="1063"/>
      <c r="O1513" s="1063"/>
      <c r="P1513" s="1063"/>
      <c r="Q1513" s="1063"/>
      <c r="R1513" s="1063"/>
      <c r="S1513" s="1063"/>
      <c r="T1513" s="1063"/>
      <c r="U1513" s="1063"/>
      <c r="V1513" s="1063"/>
      <c r="W1513" s="1063"/>
      <c r="X1513" s="1063"/>
      <c r="Y1513" s="1063"/>
      <c r="Z1513" s="1063"/>
      <c r="AA1513" s="1063"/>
      <c r="AB1513" s="1063"/>
      <c r="AC1513" s="1063"/>
      <c r="AD1513" s="1063"/>
      <c r="AE1513" s="1063"/>
      <c r="AF1513" s="1063"/>
      <c r="AG1513" s="1063"/>
      <c r="AH1513" s="1063"/>
      <c r="AI1513" s="1063"/>
      <c r="AJ1513" s="1063"/>
      <c r="AK1513" s="1063"/>
      <c r="AL1513" s="1063"/>
      <c r="AM1513" s="1063"/>
      <c r="AN1513" s="1063"/>
      <c r="AO1513" s="1063"/>
      <c r="AP1513" s="1063"/>
      <c r="AQ1513" s="1063"/>
      <c r="AR1513" s="1063"/>
      <c r="AS1513" s="1063"/>
      <c r="AT1513" s="1063"/>
      <c r="AU1513" s="1063"/>
      <c r="AV1513" s="1063"/>
    </row>
    <row r="1514" spans="1:48" s="1108" customFormat="1" ht="27.75" customHeight="1">
      <c r="A1514" s="1076"/>
      <c r="B1514" s="1074">
        <f>+'[18]Bldg+Dev'!S2326</f>
        <v>0</v>
      </c>
      <c r="D1514" s="1063"/>
      <c r="F1514" s="1076"/>
      <c r="G1514" s="1063"/>
      <c r="H1514" s="1063"/>
      <c r="I1514" s="1063"/>
      <c r="J1514" s="1063"/>
      <c r="K1514" s="1063"/>
      <c r="L1514" s="1063"/>
      <c r="M1514" s="1063"/>
      <c r="N1514" s="1063"/>
      <c r="O1514" s="1063"/>
      <c r="P1514" s="1063"/>
      <c r="Q1514" s="1063"/>
      <c r="R1514" s="1063"/>
      <c r="S1514" s="1063"/>
      <c r="T1514" s="1063"/>
      <c r="U1514" s="1063"/>
      <c r="V1514" s="1063"/>
      <c r="W1514" s="1063"/>
      <c r="X1514" s="1063"/>
      <c r="Y1514" s="1063"/>
      <c r="Z1514" s="1063"/>
      <c r="AA1514" s="1063"/>
      <c r="AB1514" s="1063"/>
      <c r="AC1514" s="1063"/>
      <c r="AD1514" s="1063"/>
      <c r="AE1514" s="1063"/>
      <c r="AF1514" s="1063"/>
      <c r="AG1514" s="1063"/>
      <c r="AH1514" s="1063"/>
      <c r="AI1514" s="1063"/>
      <c r="AJ1514" s="1063"/>
      <c r="AK1514" s="1063"/>
      <c r="AL1514" s="1063"/>
      <c r="AM1514" s="1063"/>
      <c r="AN1514" s="1063"/>
      <c r="AO1514" s="1063"/>
      <c r="AP1514" s="1063"/>
      <c r="AQ1514" s="1063"/>
      <c r="AR1514" s="1063"/>
      <c r="AS1514" s="1063"/>
      <c r="AT1514" s="1063"/>
      <c r="AU1514" s="1063"/>
      <c r="AV1514" s="1063"/>
    </row>
    <row r="1515" spans="1:48" s="1108" customFormat="1" ht="27.75" customHeight="1">
      <c r="A1515" s="1076"/>
      <c r="B1515" s="1074">
        <f>+'[18]Bldg+Dev'!S2327</f>
        <v>0</v>
      </c>
      <c r="D1515" s="1063"/>
      <c r="F1515" s="1076"/>
      <c r="G1515" s="1063"/>
      <c r="H1515" s="1063"/>
      <c r="I1515" s="1063"/>
      <c r="J1515" s="1063"/>
      <c r="K1515" s="1063"/>
      <c r="L1515" s="1063"/>
      <c r="M1515" s="1063"/>
      <c r="N1515" s="1063"/>
      <c r="O1515" s="1063"/>
      <c r="P1515" s="1063"/>
      <c r="Q1515" s="1063"/>
      <c r="R1515" s="1063"/>
      <c r="S1515" s="1063"/>
      <c r="T1515" s="1063"/>
      <c r="U1515" s="1063"/>
      <c r="V1515" s="1063"/>
      <c r="W1515" s="1063"/>
      <c r="X1515" s="1063"/>
      <c r="Y1515" s="1063"/>
      <c r="Z1515" s="1063"/>
      <c r="AA1515" s="1063"/>
      <c r="AB1515" s="1063"/>
      <c r="AC1515" s="1063"/>
      <c r="AD1515" s="1063"/>
      <c r="AE1515" s="1063"/>
      <c r="AF1515" s="1063"/>
      <c r="AG1515" s="1063"/>
      <c r="AH1515" s="1063"/>
      <c r="AI1515" s="1063"/>
      <c r="AJ1515" s="1063"/>
      <c r="AK1515" s="1063"/>
      <c r="AL1515" s="1063"/>
      <c r="AM1515" s="1063"/>
      <c r="AN1515" s="1063"/>
      <c r="AO1515" s="1063"/>
      <c r="AP1515" s="1063"/>
      <c r="AQ1515" s="1063"/>
      <c r="AR1515" s="1063"/>
      <c r="AS1515" s="1063"/>
      <c r="AT1515" s="1063"/>
      <c r="AU1515" s="1063"/>
      <c r="AV1515" s="1063"/>
    </row>
    <row r="1516" spans="1:48" s="1108" customFormat="1" ht="27.75" customHeight="1">
      <c r="A1516" s="1076"/>
      <c r="B1516" s="1074">
        <f>+'[18]Bldg+Dev'!S2328</f>
        <v>0</v>
      </c>
      <c r="D1516" s="1063"/>
      <c r="F1516" s="1076"/>
      <c r="G1516" s="1063"/>
      <c r="H1516" s="1063"/>
      <c r="I1516" s="1063"/>
      <c r="J1516" s="1063"/>
      <c r="K1516" s="1063"/>
      <c r="L1516" s="1063"/>
      <c r="M1516" s="1063"/>
      <c r="N1516" s="1063"/>
      <c r="O1516" s="1063"/>
      <c r="P1516" s="1063"/>
      <c r="Q1516" s="1063"/>
      <c r="R1516" s="1063"/>
      <c r="S1516" s="1063"/>
      <c r="T1516" s="1063"/>
      <c r="U1516" s="1063"/>
      <c r="V1516" s="1063"/>
      <c r="W1516" s="1063"/>
      <c r="X1516" s="1063"/>
      <c r="Y1516" s="1063"/>
      <c r="Z1516" s="1063"/>
      <c r="AA1516" s="1063"/>
      <c r="AB1516" s="1063"/>
      <c r="AC1516" s="1063"/>
      <c r="AD1516" s="1063"/>
      <c r="AE1516" s="1063"/>
      <c r="AF1516" s="1063"/>
      <c r="AG1516" s="1063"/>
      <c r="AH1516" s="1063"/>
      <c r="AI1516" s="1063"/>
      <c r="AJ1516" s="1063"/>
      <c r="AK1516" s="1063"/>
      <c r="AL1516" s="1063"/>
      <c r="AM1516" s="1063"/>
      <c r="AN1516" s="1063"/>
      <c r="AO1516" s="1063"/>
      <c r="AP1516" s="1063"/>
      <c r="AQ1516" s="1063"/>
      <c r="AR1516" s="1063"/>
      <c r="AS1516" s="1063"/>
      <c r="AT1516" s="1063"/>
      <c r="AU1516" s="1063"/>
      <c r="AV1516" s="1063"/>
    </row>
    <row r="1517" spans="1:48" s="1108" customFormat="1" ht="27.75" customHeight="1">
      <c r="A1517" s="1076"/>
      <c r="B1517" s="1074">
        <f>+'[18]Bldg+Dev'!S2329</f>
        <v>0</v>
      </c>
      <c r="D1517" s="1063"/>
      <c r="F1517" s="1076"/>
      <c r="G1517" s="1063"/>
      <c r="H1517" s="1063"/>
      <c r="I1517" s="1063"/>
      <c r="J1517" s="1063"/>
      <c r="K1517" s="1063"/>
      <c r="L1517" s="1063"/>
      <c r="M1517" s="1063"/>
      <c r="N1517" s="1063"/>
      <c r="O1517" s="1063"/>
      <c r="P1517" s="1063"/>
      <c r="Q1517" s="1063"/>
      <c r="R1517" s="1063"/>
      <c r="S1517" s="1063"/>
      <c r="T1517" s="1063"/>
      <c r="U1517" s="1063"/>
      <c r="V1517" s="1063"/>
      <c r="W1517" s="1063"/>
      <c r="X1517" s="1063"/>
      <c r="Y1517" s="1063"/>
      <c r="Z1517" s="1063"/>
      <c r="AA1517" s="1063"/>
      <c r="AB1517" s="1063"/>
      <c r="AC1517" s="1063"/>
      <c r="AD1517" s="1063"/>
      <c r="AE1517" s="1063"/>
      <c r="AF1517" s="1063"/>
      <c r="AG1517" s="1063"/>
      <c r="AH1517" s="1063"/>
      <c r="AI1517" s="1063"/>
      <c r="AJ1517" s="1063"/>
      <c r="AK1517" s="1063"/>
      <c r="AL1517" s="1063"/>
      <c r="AM1517" s="1063"/>
      <c r="AN1517" s="1063"/>
      <c r="AO1517" s="1063"/>
      <c r="AP1517" s="1063"/>
      <c r="AQ1517" s="1063"/>
      <c r="AR1517" s="1063"/>
      <c r="AS1517" s="1063"/>
      <c r="AT1517" s="1063"/>
      <c r="AU1517" s="1063"/>
      <c r="AV1517" s="1063"/>
    </row>
    <row r="1518" spans="1:48" s="1108" customFormat="1" ht="27.75" customHeight="1">
      <c r="A1518" s="1076"/>
      <c r="B1518" s="1074">
        <f>+'[18]Bldg+Dev'!S2330</f>
        <v>0</v>
      </c>
      <c r="D1518" s="1063"/>
      <c r="F1518" s="1076"/>
      <c r="G1518" s="1063"/>
      <c r="H1518" s="1063"/>
      <c r="I1518" s="1063"/>
      <c r="J1518" s="1063"/>
      <c r="K1518" s="1063"/>
      <c r="L1518" s="1063"/>
      <c r="M1518" s="1063"/>
      <c r="N1518" s="1063"/>
      <c r="O1518" s="1063"/>
      <c r="P1518" s="1063"/>
      <c r="Q1518" s="1063"/>
      <c r="R1518" s="1063"/>
      <c r="S1518" s="1063"/>
      <c r="T1518" s="1063"/>
      <c r="U1518" s="1063"/>
      <c r="V1518" s="1063"/>
      <c r="W1518" s="1063"/>
      <c r="X1518" s="1063"/>
      <c r="Y1518" s="1063"/>
      <c r="Z1518" s="1063"/>
      <c r="AA1518" s="1063"/>
      <c r="AB1518" s="1063"/>
      <c r="AC1518" s="1063"/>
      <c r="AD1518" s="1063"/>
      <c r="AE1518" s="1063"/>
      <c r="AF1518" s="1063"/>
      <c r="AG1518" s="1063"/>
      <c r="AH1518" s="1063"/>
      <c r="AI1518" s="1063"/>
      <c r="AJ1518" s="1063"/>
      <c r="AK1518" s="1063"/>
      <c r="AL1518" s="1063"/>
      <c r="AM1518" s="1063"/>
      <c r="AN1518" s="1063"/>
      <c r="AO1518" s="1063"/>
      <c r="AP1518" s="1063"/>
      <c r="AQ1518" s="1063"/>
      <c r="AR1518" s="1063"/>
      <c r="AS1518" s="1063"/>
      <c r="AT1518" s="1063"/>
      <c r="AU1518" s="1063"/>
      <c r="AV1518" s="1063"/>
    </row>
    <row r="1519" spans="1:48" s="1108" customFormat="1" ht="27.75" customHeight="1">
      <c r="A1519" s="1076"/>
      <c r="B1519" s="1074">
        <f>+'[18]Bldg+Dev'!S2331</f>
        <v>0</v>
      </c>
      <c r="D1519" s="1063"/>
      <c r="F1519" s="1076"/>
      <c r="G1519" s="1063"/>
      <c r="H1519" s="1063"/>
      <c r="I1519" s="1063"/>
      <c r="J1519" s="1063"/>
      <c r="K1519" s="1063"/>
      <c r="L1519" s="1063"/>
      <c r="M1519" s="1063"/>
      <c r="N1519" s="1063"/>
      <c r="O1519" s="1063"/>
      <c r="P1519" s="1063"/>
      <c r="Q1519" s="1063"/>
      <c r="R1519" s="1063"/>
      <c r="S1519" s="1063"/>
      <c r="T1519" s="1063"/>
      <c r="U1519" s="1063"/>
      <c r="V1519" s="1063"/>
      <c r="W1519" s="1063"/>
      <c r="X1519" s="1063"/>
      <c r="Y1519" s="1063"/>
      <c r="Z1519" s="1063"/>
      <c r="AA1519" s="1063"/>
      <c r="AB1519" s="1063"/>
      <c r="AC1519" s="1063"/>
      <c r="AD1519" s="1063"/>
      <c r="AE1519" s="1063"/>
      <c r="AF1519" s="1063"/>
      <c r="AG1519" s="1063"/>
      <c r="AH1519" s="1063"/>
      <c r="AI1519" s="1063"/>
      <c r="AJ1519" s="1063"/>
      <c r="AK1519" s="1063"/>
      <c r="AL1519" s="1063"/>
      <c r="AM1519" s="1063"/>
      <c r="AN1519" s="1063"/>
      <c r="AO1519" s="1063"/>
      <c r="AP1519" s="1063"/>
      <c r="AQ1519" s="1063"/>
      <c r="AR1519" s="1063"/>
      <c r="AS1519" s="1063"/>
      <c r="AT1519" s="1063"/>
      <c r="AU1519" s="1063"/>
      <c r="AV1519" s="1063"/>
    </row>
    <row r="1520" spans="1:48" s="1108" customFormat="1" ht="27.75" customHeight="1">
      <c r="A1520" s="1076"/>
      <c r="B1520" s="1074">
        <f>+'[18]Bldg+Dev'!S2332</f>
        <v>0</v>
      </c>
      <c r="D1520" s="1063"/>
      <c r="F1520" s="1076"/>
      <c r="G1520" s="1063"/>
      <c r="H1520" s="1063"/>
      <c r="I1520" s="1063"/>
      <c r="J1520" s="1063"/>
      <c r="K1520" s="1063"/>
      <c r="L1520" s="1063"/>
      <c r="M1520" s="1063"/>
      <c r="N1520" s="1063"/>
      <c r="O1520" s="1063"/>
      <c r="P1520" s="1063"/>
      <c r="Q1520" s="1063"/>
      <c r="R1520" s="1063"/>
      <c r="S1520" s="1063"/>
      <c r="T1520" s="1063"/>
      <c r="U1520" s="1063"/>
      <c r="V1520" s="1063"/>
      <c r="W1520" s="1063"/>
      <c r="X1520" s="1063"/>
      <c r="Y1520" s="1063"/>
      <c r="Z1520" s="1063"/>
      <c r="AA1520" s="1063"/>
      <c r="AB1520" s="1063"/>
      <c r="AC1520" s="1063"/>
      <c r="AD1520" s="1063"/>
      <c r="AE1520" s="1063"/>
      <c r="AF1520" s="1063"/>
      <c r="AG1520" s="1063"/>
      <c r="AH1520" s="1063"/>
      <c r="AI1520" s="1063"/>
      <c r="AJ1520" s="1063"/>
      <c r="AK1520" s="1063"/>
      <c r="AL1520" s="1063"/>
      <c r="AM1520" s="1063"/>
      <c r="AN1520" s="1063"/>
      <c r="AO1520" s="1063"/>
      <c r="AP1520" s="1063"/>
      <c r="AQ1520" s="1063"/>
      <c r="AR1520" s="1063"/>
      <c r="AS1520" s="1063"/>
      <c r="AT1520" s="1063"/>
      <c r="AU1520" s="1063"/>
      <c r="AV1520" s="1063"/>
    </row>
    <row r="1521" spans="1:48" s="1108" customFormat="1" ht="27.75" customHeight="1">
      <c r="A1521" s="1076"/>
      <c r="B1521" s="1074">
        <f>+'[18]Bldg+Dev'!S2333</f>
        <v>0</v>
      </c>
      <c r="D1521" s="1063"/>
      <c r="F1521" s="1076"/>
      <c r="G1521" s="1063"/>
      <c r="H1521" s="1063"/>
      <c r="I1521" s="1063"/>
      <c r="J1521" s="1063"/>
      <c r="K1521" s="1063"/>
      <c r="L1521" s="1063"/>
      <c r="M1521" s="1063"/>
      <c r="N1521" s="1063"/>
      <c r="O1521" s="1063"/>
      <c r="P1521" s="1063"/>
      <c r="Q1521" s="1063"/>
      <c r="R1521" s="1063"/>
      <c r="S1521" s="1063"/>
      <c r="T1521" s="1063"/>
      <c r="U1521" s="1063"/>
      <c r="V1521" s="1063"/>
      <c r="W1521" s="1063"/>
      <c r="X1521" s="1063"/>
      <c r="Y1521" s="1063"/>
      <c r="Z1521" s="1063"/>
      <c r="AA1521" s="1063"/>
      <c r="AB1521" s="1063"/>
      <c r="AC1521" s="1063"/>
      <c r="AD1521" s="1063"/>
      <c r="AE1521" s="1063"/>
      <c r="AF1521" s="1063"/>
      <c r="AG1521" s="1063"/>
      <c r="AH1521" s="1063"/>
      <c r="AI1521" s="1063"/>
      <c r="AJ1521" s="1063"/>
      <c r="AK1521" s="1063"/>
      <c r="AL1521" s="1063"/>
      <c r="AM1521" s="1063"/>
      <c r="AN1521" s="1063"/>
      <c r="AO1521" s="1063"/>
      <c r="AP1521" s="1063"/>
      <c r="AQ1521" s="1063"/>
      <c r="AR1521" s="1063"/>
      <c r="AS1521" s="1063"/>
      <c r="AT1521" s="1063"/>
      <c r="AU1521" s="1063"/>
      <c r="AV1521" s="1063"/>
    </row>
    <row r="1522" spans="1:48" s="1108" customFormat="1" ht="27.75" customHeight="1">
      <c r="A1522" s="1076"/>
      <c r="B1522" s="1074">
        <f>+'[18]Bldg+Dev'!S2334</f>
        <v>0</v>
      </c>
      <c r="D1522" s="1063"/>
      <c r="F1522" s="1076"/>
      <c r="G1522" s="1063"/>
      <c r="H1522" s="1063"/>
      <c r="I1522" s="1063"/>
      <c r="J1522" s="1063"/>
      <c r="K1522" s="1063"/>
      <c r="L1522" s="1063"/>
      <c r="M1522" s="1063"/>
      <c r="N1522" s="1063"/>
      <c r="O1522" s="1063"/>
      <c r="P1522" s="1063"/>
      <c r="Q1522" s="1063"/>
      <c r="R1522" s="1063"/>
      <c r="S1522" s="1063"/>
      <c r="T1522" s="1063"/>
      <c r="U1522" s="1063"/>
      <c r="V1522" s="1063"/>
      <c r="W1522" s="1063"/>
      <c r="X1522" s="1063"/>
      <c r="Y1522" s="1063"/>
      <c r="Z1522" s="1063"/>
      <c r="AA1522" s="1063"/>
      <c r="AB1522" s="1063"/>
      <c r="AC1522" s="1063"/>
      <c r="AD1522" s="1063"/>
      <c r="AE1522" s="1063"/>
      <c r="AF1522" s="1063"/>
      <c r="AG1522" s="1063"/>
      <c r="AH1522" s="1063"/>
      <c r="AI1522" s="1063"/>
      <c r="AJ1522" s="1063"/>
      <c r="AK1522" s="1063"/>
      <c r="AL1522" s="1063"/>
      <c r="AM1522" s="1063"/>
      <c r="AN1522" s="1063"/>
      <c r="AO1522" s="1063"/>
      <c r="AP1522" s="1063"/>
      <c r="AQ1522" s="1063"/>
      <c r="AR1522" s="1063"/>
      <c r="AS1522" s="1063"/>
      <c r="AT1522" s="1063"/>
      <c r="AU1522" s="1063"/>
      <c r="AV1522" s="1063"/>
    </row>
    <row r="1523" spans="1:48" s="1108" customFormat="1" ht="27.75" customHeight="1">
      <c r="A1523" s="1076"/>
      <c r="B1523" s="1074">
        <f>+'[18]Bldg+Dev'!S2335</f>
        <v>0</v>
      </c>
      <c r="D1523" s="1063"/>
      <c r="F1523" s="1076"/>
      <c r="G1523" s="1063"/>
      <c r="H1523" s="1063"/>
      <c r="I1523" s="1063"/>
      <c r="J1523" s="1063"/>
      <c r="K1523" s="1063"/>
      <c r="L1523" s="1063"/>
      <c r="M1523" s="1063"/>
      <c r="N1523" s="1063"/>
      <c r="O1523" s="1063"/>
      <c r="P1523" s="1063"/>
      <c r="Q1523" s="1063"/>
      <c r="R1523" s="1063"/>
      <c r="S1523" s="1063"/>
      <c r="T1523" s="1063"/>
      <c r="U1523" s="1063"/>
      <c r="V1523" s="1063"/>
      <c r="W1523" s="1063"/>
      <c r="X1523" s="1063"/>
      <c r="Y1523" s="1063"/>
      <c r="Z1523" s="1063"/>
      <c r="AA1523" s="1063"/>
      <c r="AB1523" s="1063"/>
      <c r="AC1523" s="1063"/>
      <c r="AD1523" s="1063"/>
      <c r="AE1523" s="1063"/>
      <c r="AF1523" s="1063"/>
      <c r="AG1523" s="1063"/>
      <c r="AH1523" s="1063"/>
      <c r="AI1523" s="1063"/>
      <c r="AJ1523" s="1063"/>
      <c r="AK1523" s="1063"/>
      <c r="AL1523" s="1063"/>
      <c r="AM1523" s="1063"/>
      <c r="AN1523" s="1063"/>
      <c r="AO1523" s="1063"/>
      <c r="AP1523" s="1063"/>
      <c r="AQ1523" s="1063"/>
      <c r="AR1523" s="1063"/>
      <c r="AS1523" s="1063"/>
      <c r="AT1523" s="1063"/>
      <c r="AU1523" s="1063"/>
      <c r="AV1523" s="1063"/>
    </row>
    <row r="1524" spans="1:48" s="1108" customFormat="1" ht="27.75" customHeight="1">
      <c r="A1524" s="1076"/>
      <c r="B1524" s="1074">
        <f>+'[18]Bldg+Dev'!S2336</f>
        <v>0</v>
      </c>
      <c r="D1524" s="1063"/>
      <c r="F1524" s="1076"/>
      <c r="G1524" s="1063"/>
      <c r="H1524" s="1063"/>
      <c r="I1524" s="1063"/>
      <c r="J1524" s="1063"/>
      <c r="K1524" s="1063"/>
      <c r="L1524" s="1063"/>
      <c r="M1524" s="1063"/>
      <c r="N1524" s="1063"/>
      <c r="O1524" s="1063"/>
      <c r="P1524" s="1063"/>
      <c r="Q1524" s="1063"/>
      <c r="R1524" s="1063"/>
      <c r="S1524" s="1063"/>
      <c r="T1524" s="1063"/>
      <c r="U1524" s="1063"/>
      <c r="V1524" s="1063"/>
      <c r="W1524" s="1063"/>
      <c r="X1524" s="1063"/>
      <c r="Y1524" s="1063"/>
      <c r="Z1524" s="1063"/>
      <c r="AA1524" s="1063"/>
      <c r="AB1524" s="1063"/>
      <c r="AC1524" s="1063"/>
      <c r="AD1524" s="1063"/>
      <c r="AE1524" s="1063"/>
      <c r="AF1524" s="1063"/>
      <c r="AG1524" s="1063"/>
      <c r="AH1524" s="1063"/>
      <c r="AI1524" s="1063"/>
      <c r="AJ1524" s="1063"/>
      <c r="AK1524" s="1063"/>
      <c r="AL1524" s="1063"/>
      <c r="AM1524" s="1063"/>
      <c r="AN1524" s="1063"/>
      <c r="AO1524" s="1063"/>
      <c r="AP1524" s="1063"/>
      <c r="AQ1524" s="1063"/>
      <c r="AR1524" s="1063"/>
      <c r="AS1524" s="1063"/>
      <c r="AT1524" s="1063"/>
      <c r="AU1524" s="1063"/>
      <c r="AV1524" s="1063"/>
    </row>
    <row r="1525" spans="1:48" s="1108" customFormat="1" ht="27.75" customHeight="1">
      <c r="A1525" s="1076"/>
      <c r="B1525" s="1074">
        <f>+'[18]Bldg+Dev'!S2337</f>
        <v>0</v>
      </c>
      <c r="D1525" s="1063"/>
      <c r="F1525" s="1076"/>
      <c r="G1525" s="1063"/>
      <c r="H1525" s="1063"/>
      <c r="I1525" s="1063"/>
      <c r="J1525" s="1063"/>
      <c r="K1525" s="1063"/>
      <c r="L1525" s="1063"/>
      <c r="M1525" s="1063"/>
      <c r="N1525" s="1063"/>
      <c r="O1525" s="1063"/>
      <c r="P1525" s="1063"/>
      <c r="Q1525" s="1063"/>
      <c r="R1525" s="1063"/>
      <c r="S1525" s="1063"/>
      <c r="T1525" s="1063"/>
      <c r="U1525" s="1063"/>
      <c r="V1525" s="1063"/>
      <c r="W1525" s="1063"/>
      <c r="X1525" s="1063"/>
      <c r="Y1525" s="1063"/>
      <c r="Z1525" s="1063"/>
      <c r="AA1525" s="1063"/>
      <c r="AB1525" s="1063"/>
      <c r="AC1525" s="1063"/>
      <c r="AD1525" s="1063"/>
      <c r="AE1525" s="1063"/>
      <c r="AF1525" s="1063"/>
      <c r="AG1525" s="1063"/>
      <c r="AH1525" s="1063"/>
      <c r="AI1525" s="1063"/>
      <c r="AJ1525" s="1063"/>
      <c r="AK1525" s="1063"/>
      <c r="AL1525" s="1063"/>
      <c r="AM1525" s="1063"/>
      <c r="AN1525" s="1063"/>
      <c r="AO1525" s="1063"/>
      <c r="AP1525" s="1063"/>
      <c r="AQ1525" s="1063"/>
      <c r="AR1525" s="1063"/>
      <c r="AS1525" s="1063"/>
      <c r="AT1525" s="1063"/>
      <c r="AU1525" s="1063"/>
      <c r="AV1525" s="1063"/>
    </row>
    <row r="1526" spans="1:48" s="1108" customFormat="1" ht="27.75" customHeight="1">
      <c r="A1526" s="1076"/>
      <c r="B1526" s="1074">
        <f>+'[18]Bldg+Dev'!S2338</f>
        <v>0</v>
      </c>
      <c r="D1526" s="1063"/>
      <c r="F1526" s="1076"/>
      <c r="G1526" s="1063"/>
      <c r="H1526" s="1063"/>
      <c r="I1526" s="1063"/>
      <c r="J1526" s="1063"/>
      <c r="K1526" s="1063"/>
      <c r="L1526" s="1063"/>
      <c r="M1526" s="1063"/>
      <c r="N1526" s="1063"/>
      <c r="O1526" s="1063"/>
      <c r="P1526" s="1063"/>
      <c r="Q1526" s="1063"/>
      <c r="R1526" s="1063"/>
      <c r="S1526" s="1063"/>
      <c r="T1526" s="1063"/>
      <c r="U1526" s="1063"/>
      <c r="V1526" s="1063"/>
      <c r="W1526" s="1063"/>
      <c r="X1526" s="1063"/>
      <c r="Y1526" s="1063"/>
      <c r="Z1526" s="1063"/>
      <c r="AA1526" s="1063"/>
      <c r="AB1526" s="1063"/>
      <c r="AC1526" s="1063"/>
      <c r="AD1526" s="1063"/>
      <c r="AE1526" s="1063"/>
      <c r="AF1526" s="1063"/>
      <c r="AG1526" s="1063"/>
      <c r="AH1526" s="1063"/>
      <c r="AI1526" s="1063"/>
      <c r="AJ1526" s="1063"/>
      <c r="AK1526" s="1063"/>
      <c r="AL1526" s="1063"/>
      <c r="AM1526" s="1063"/>
      <c r="AN1526" s="1063"/>
      <c r="AO1526" s="1063"/>
      <c r="AP1526" s="1063"/>
      <c r="AQ1526" s="1063"/>
      <c r="AR1526" s="1063"/>
      <c r="AS1526" s="1063"/>
      <c r="AT1526" s="1063"/>
      <c r="AU1526" s="1063"/>
      <c r="AV1526" s="1063"/>
    </row>
    <row r="1527" spans="1:48" s="1108" customFormat="1" ht="27.75" customHeight="1">
      <c r="A1527" s="1076"/>
      <c r="B1527" s="1074">
        <f>+'[18]Bldg+Dev'!S2339</f>
        <v>0</v>
      </c>
      <c r="D1527" s="1063"/>
      <c r="F1527" s="1076"/>
      <c r="G1527" s="1063"/>
      <c r="H1527" s="1063"/>
      <c r="I1527" s="1063"/>
      <c r="J1527" s="1063"/>
      <c r="K1527" s="1063"/>
      <c r="L1527" s="1063"/>
      <c r="M1527" s="1063"/>
      <c r="N1527" s="1063"/>
      <c r="O1527" s="1063"/>
      <c r="P1527" s="1063"/>
      <c r="Q1527" s="1063"/>
      <c r="R1527" s="1063"/>
      <c r="S1527" s="1063"/>
      <c r="T1527" s="1063"/>
      <c r="U1527" s="1063"/>
      <c r="V1527" s="1063"/>
      <c r="W1527" s="1063"/>
      <c r="X1527" s="1063"/>
      <c r="Y1527" s="1063"/>
      <c r="Z1527" s="1063"/>
      <c r="AA1527" s="1063"/>
      <c r="AB1527" s="1063"/>
      <c r="AC1527" s="1063"/>
      <c r="AD1527" s="1063"/>
      <c r="AE1527" s="1063"/>
      <c r="AF1527" s="1063"/>
      <c r="AG1527" s="1063"/>
      <c r="AH1527" s="1063"/>
      <c r="AI1527" s="1063"/>
      <c r="AJ1527" s="1063"/>
      <c r="AK1527" s="1063"/>
      <c r="AL1527" s="1063"/>
      <c r="AM1527" s="1063"/>
      <c r="AN1527" s="1063"/>
      <c r="AO1527" s="1063"/>
      <c r="AP1527" s="1063"/>
      <c r="AQ1527" s="1063"/>
      <c r="AR1527" s="1063"/>
      <c r="AS1527" s="1063"/>
      <c r="AT1527" s="1063"/>
      <c r="AU1527" s="1063"/>
      <c r="AV1527" s="1063"/>
    </row>
    <row r="1528" spans="1:48" s="1108" customFormat="1" ht="27.75" customHeight="1">
      <c r="A1528" s="1076"/>
      <c r="B1528" s="1074">
        <f>+'[18]Bldg+Dev'!S2340</f>
        <v>0</v>
      </c>
      <c r="D1528" s="1063"/>
      <c r="F1528" s="1076"/>
      <c r="G1528" s="1063"/>
      <c r="H1528" s="1063"/>
      <c r="I1528" s="1063"/>
      <c r="J1528" s="1063"/>
      <c r="K1528" s="1063"/>
      <c r="L1528" s="1063"/>
      <c r="M1528" s="1063"/>
      <c r="N1528" s="1063"/>
      <c r="O1528" s="1063"/>
      <c r="P1528" s="1063"/>
      <c r="Q1528" s="1063"/>
      <c r="R1528" s="1063"/>
      <c r="S1528" s="1063"/>
      <c r="T1528" s="1063"/>
      <c r="U1528" s="1063"/>
      <c r="V1528" s="1063"/>
      <c r="W1528" s="1063"/>
      <c r="X1528" s="1063"/>
      <c r="Y1528" s="1063"/>
      <c r="Z1528" s="1063"/>
      <c r="AA1528" s="1063"/>
      <c r="AB1528" s="1063"/>
      <c r="AC1528" s="1063"/>
      <c r="AD1528" s="1063"/>
      <c r="AE1528" s="1063"/>
      <c r="AF1528" s="1063"/>
      <c r="AG1528" s="1063"/>
      <c r="AH1528" s="1063"/>
      <c r="AI1528" s="1063"/>
      <c r="AJ1528" s="1063"/>
      <c r="AK1528" s="1063"/>
      <c r="AL1528" s="1063"/>
      <c r="AM1528" s="1063"/>
      <c r="AN1528" s="1063"/>
      <c r="AO1528" s="1063"/>
      <c r="AP1528" s="1063"/>
      <c r="AQ1528" s="1063"/>
      <c r="AR1528" s="1063"/>
      <c r="AS1528" s="1063"/>
      <c r="AT1528" s="1063"/>
      <c r="AU1528" s="1063"/>
      <c r="AV1528" s="1063"/>
    </row>
    <row r="1529" spans="1:48" s="1108" customFormat="1" ht="27.75" customHeight="1">
      <c r="A1529" s="1076"/>
      <c r="B1529" s="1074">
        <f>+'[18]Bldg+Dev'!S2341</f>
        <v>0</v>
      </c>
      <c r="D1529" s="1063"/>
      <c r="F1529" s="1076"/>
      <c r="G1529" s="1063"/>
      <c r="H1529" s="1063"/>
      <c r="I1529" s="1063"/>
      <c r="J1529" s="1063"/>
      <c r="K1529" s="1063"/>
      <c r="L1529" s="1063"/>
      <c r="M1529" s="1063"/>
      <c r="N1529" s="1063"/>
      <c r="O1529" s="1063"/>
      <c r="P1529" s="1063"/>
      <c r="Q1529" s="1063"/>
      <c r="R1529" s="1063"/>
      <c r="S1529" s="1063"/>
      <c r="T1529" s="1063"/>
      <c r="U1529" s="1063"/>
      <c r="V1529" s="1063"/>
      <c r="W1529" s="1063"/>
      <c r="X1529" s="1063"/>
      <c r="Y1529" s="1063"/>
      <c r="Z1529" s="1063"/>
      <c r="AA1529" s="1063"/>
      <c r="AB1529" s="1063"/>
      <c r="AC1529" s="1063"/>
      <c r="AD1529" s="1063"/>
      <c r="AE1529" s="1063"/>
      <c r="AF1529" s="1063"/>
      <c r="AG1529" s="1063"/>
      <c r="AH1529" s="1063"/>
      <c r="AI1529" s="1063"/>
      <c r="AJ1529" s="1063"/>
      <c r="AK1529" s="1063"/>
      <c r="AL1529" s="1063"/>
      <c r="AM1529" s="1063"/>
      <c r="AN1529" s="1063"/>
      <c r="AO1529" s="1063"/>
      <c r="AP1529" s="1063"/>
      <c r="AQ1529" s="1063"/>
      <c r="AR1529" s="1063"/>
      <c r="AS1529" s="1063"/>
      <c r="AT1529" s="1063"/>
      <c r="AU1529" s="1063"/>
      <c r="AV1529" s="1063"/>
    </row>
    <row r="1530" spans="1:48" s="1108" customFormat="1" ht="27.75" customHeight="1">
      <c r="A1530" s="1076"/>
      <c r="B1530" s="1074">
        <f>+'[18]Bldg+Dev'!S2342</f>
        <v>0</v>
      </c>
      <c r="D1530" s="1063"/>
      <c r="F1530" s="1076"/>
      <c r="G1530" s="1063"/>
      <c r="H1530" s="1063"/>
      <c r="I1530" s="1063"/>
      <c r="J1530" s="1063"/>
      <c r="K1530" s="1063"/>
      <c r="L1530" s="1063"/>
      <c r="M1530" s="1063"/>
      <c r="N1530" s="1063"/>
      <c r="O1530" s="1063"/>
      <c r="P1530" s="1063"/>
      <c r="Q1530" s="1063"/>
      <c r="R1530" s="1063"/>
      <c r="S1530" s="1063"/>
      <c r="T1530" s="1063"/>
      <c r="U1530" s="1063"/>
      <c r="V1530" s="1063"/>
      <c r="W1530" s="1063"/>
      <c r="X1530" s="1063"/>
      <c r="Y1530" s="1063"/>
      <c r="Z1530" s="1063"/>
      <c r="AA1530" s="1063"/>
      <c r="AB1530" s="1063"/>
      <c r="AC1530" s="1063"/>
      <c r="AD1530" s="1063"/>
      <c r="AE1530" s="1063"/>
      <c r="AF1530" s="1063"/>
      <c r="AG1530" s="1063"/>
      <c r="AH1530" s="1063"/>
      <c r="AI1530" s="1063"/>
      <c r="AJ1530" s="1063"/>
      <c r="AK1530" s="1063"/>
      <c r="AL1530" s="1063"/>
      <c r="AM1530" s="1063"/>
      <c r="AN1530" s="1063"/>
      <c r="AO1530" s="1063"/>
      <c r="AP1530" s="1063"/>
      <c r="AQ1530" s="1063"/>
      <c r="AR1530" s="1063"/>
      <c r="AS1530" s="1063"/>
      <c r="AT1530" s="1063"/>
      <c r="AU1530" s="1063"/>
      <c r="AV1530" s="1063"/>
    </row>
    <row r="1531" spans="1:48" s="1108" customFormat="1" ht="27.75" customHeight="1">
      <c r="A1531" s="1076"/>
      <c r="B1531" s="1074">
        <f>+'[18]Bldg+Dev'!S2343</f>
        <v>0</v>
      </c>
      <c r="D1531" s="1063"/>
      <c r="F1531" s="1076"/>
      <c r="G1531" s="1063"/>
      <c r="H1531" s="1063"/>
      <c r="I1531" s="1063"/>
      <c r="J1531" s="1063"/>
      <c r="K1531" s="1063"/>
      <c r="L1531" s="1063"/>
      <c r="M1531" s="1063"/>
      <c r="N1531" s="1063"/>
      <c r="O1531" s="1063"/>
      <c r="P1531" s="1063"/>
      <c r="Q1531" s="1063"/>
      <c r="R1531" s="1063"/>
      <c r="S1531" s="1063"/>
      <c r="T1531" s="1063"/>
      <c r="U1531" s="1063"/>
      <c r="V1531" s="1063"/>
      <c r="W1531" s="1063"/>
      <c r="X1531" s="1063"/>
      <c r="Y1531" s="1063"/>
      <c r="Z1531" s="1063"/>
      <c r="AA1531" s="1063"/>
      <c r="AB1531" s="1063"/>
      <c r="AC1531" s="1063"/>
      <c r="AD1531" s="1063"/>
      <c r="AE1531" s="1063"/>
      <c r="AF1531" s="1063"/>
      <c r="AG1531" s="1063"/>
      <c r="AH1531" s="1063"/>
      <c r="AI1531" s="1063"/>
      <c r="AJ1531" s="1063"/>
      <c r="AK1531" s="1063"/>
      <c r="AL1531" s="1063"/>
      <c r="AM1531" s="1063"/>
      <c r="AN1531" s="1063"/>
      <c r="AO1531" s="1063"/>
      <c r="AP1531" s="1063"/>
      <c r="AQ1531" s="1063"/>
      <c r="AR1531" s="1063"/>
      <c r="AS1531" s="1063"/>
      <c r="AT1531" s="1063"/>
      <c r="AU1531" s="1063"/>
      <c r="AV1531" s="1063"/>
    </row>
    <row r="1532" spans="1:48" s="1108" customFormat="1" ht="27.75" customHeight="1">
      <c r="A1532" s="1076"/>
      <c r="B1532" s="1074">
        <f>+'[18]Bldg+Dev'!S2344</f>
        <v>0</v>
      </c>
      <c r="D1532" s="1063"/>
      <c r="F1532" s="1076"/>
      <c r="G1532" s="1063"/>
      <c r="H1532" s="1063"/>
      <c r="I1532" s="1063"/>
      <c r="J1532" s="1063"/>
      <c r="K1532" s="1063"/>
      <c r="L1532" s="1063"/>
      <c r="M1532" s="1063"/>
      <c r="N1532" s="1063"/>
      <c r="O1532" s="1063"/>
      <c r="P1532" s="1063"/>
      <c r="Q1532" s="1063"/>
      <c r="R1532" s="1063"/>
      <c r="S1532" s="1063"/>
      <c r="T1532" s="1063"/>
      <c r="U1532" s="1063"/>
      <c r="V1532" s="1063"/>
      <c r="W1532" s="1063"/>
      <c r="X1532" s="1063"/>
      <c r="Y1532" s="1063"/>
      <c r="Z1532" s="1063"/>
      <c r="AA1532" s="1063"/>
      <c r="AB1532" s="1063"/>
      <c r="AC1532" s="1063"/>
      <c r="AD1532" s="1063"/>
      <c r="AE1532" s="1063"/>
      <c r="AF1532" s="1063"/>
      <c r="AG1532" s="1063"/>
      <c r="AH1532" s="1063"/>
      <c r="AI1532" s="1063"/>
      <c r="AJ1532" s="1063"/>
      <c r="AK1532" s="1063"/>
      <c r="AL1532" s="1063"/>
      <c r="AM1532" s="1063"/>
      <c r="AN1532" s="1063"/>
      <c r="AO1532" s="1063"/>
      <c r="AP1532" s="1063"/>
      <c r="AQ1532" s="1063"/>
      <c r="AR1532" s="1063"/>
      <c r="AS1532" s="1063"/>
      <c r="AT1532" s="1063"/>
      <c r="AU1532" s="1063"/>
      <c r="AV1532" s="1063"/>
    </row>
    <row r="1533" spans="1:48" s="1108" customFormat="1" ht="27.75" customHeight="1">
      <c r="A1533" s="1076"/>
      <c r="B1533" s="1074">
        <f>+'[18]Bldg+Dev'!S2345</f>
        <v>0</v>
      </c>
      <c r="D1533" s="1063"/>
      <c r="F1533" s="1076"/>
      <c r="G1533" s="1063"/>
      <c r="H1533" s="1063"/>
      <c r="I1533" s="1063"/>
      <c r="J1533" s="1063"/>
      <c r="K1533" s="1063"/>
      <c r="L1533" s="1063"/>
      <c r="M1533" s="1063"/>
      <c r="N1533" s="1063"/>
      <c r="O1533" s="1063"/>
      <c r="P1533" s="1063"/>
      <c r="Q1533" s="1063"/>
      <c r="R1533" s="1063"/>
      <c r="S1533" s="1063"/>
      <c r="T1533" s="1063"/>
      <c r="U1533" s="1063"/>
      <c r="V1533" s="1063"/>
      <c r="W1533" s="1063"/>
      <c r="X1533" s="1063"/>
      <c r="Y1533" s="1063"/>
      <c r="Z1533" s="1063"/>
      <c r="AA1533" s="1063"/>
      <c r="AB1533" s="1063"/>
      <c r="AC1533" s="1063"/>
      <c r="AD1533" s="1063"/>
      <c r="AE1533" s="1063"/>
      <c r="AF1533" s="1063"/>
      <c r="AG1533" s="1063"/>
      <c r="AH1533" s="1063"/>
      <c r="AI1533" s="1063"/>
      <c r="AJ1533" s="1063"/>
      <c r="AK1533" s="1063"/>
      <c r="AL1533" s="1063"/>
      <c r="AM1533" s="1063"/>
      <c r="AN1533" s="1063"/>
      <c r="AO1533" s="1063"/>
      <c r="AP1533" s="1063"/>
      <c r="AQ1533" s="1063"/>
      <c r="AR1533" s="1063"/>
      <c r="AS1533" s="1063"/>
      <c r="AT1533" s="1063"/>
      <c r="AU1533" s="1063"/>
      <c r="AV1533" s="1063"/>
    </row>
    <row r="1534" spans="1:48" s="1108" customFormat="1" ht="27.75" customHeight="1">
      <c r="A1534" s="1076"/>
      <c r="B1534" s="1074">
        <f>+'[18]Bldg+Dev'!S2346</f>
        <v>0</v>
      </c>
      <c r="D1534" s="1063"/>
      <c r="F1534" s="1076"/>
      <c r="G1534" s="1063"/>
      <c r="H1534" s="1063"/>
      <c r="I1534" s="1063"/>
      <c r="J1534" s="1063"/>
      <c r="K1534" s="1063"/>
      <c r="L1534" s="1063"/>
      <c r="M1534" s="1063"/>
      <c r="N1534" s="1063"/>
      <c r="O1534" s="1063"/>
      <c r="P1534" s="1063"/>
      <c r="Q1534" s="1063"/>
      <c r="R1534" s="1063"/>
      <c r="S1534" s="1063"/>
      <c r="T1534" s="1063"/>
      <c r="U1534" s="1063"/>
      <c r="V1534" s="1063"/>
      <c r="W1534" s="1063"/>
      <c r="X1534" s="1063"/>
      <c r="Y1534" s="1063"/>
      <c r="Z1534" s="1063"/>
      <c r="AA1534" s="1063"/>
      <c r="AB1534" s="1063"/>
      <c r="AC1534" s="1063"/>
      <c r="AD1534" s="1063"/>
      <c r="AE1534" s="1063"/>
      <c r="AF1534" s="1063"/>
      <c r="AG1534" s="1063"/>
      <c r="AH1534" s="1063"/>
      <c r="AI1534" s="1063"/>
      <c r="AJ1534" s="1063"/>
      <c r="AK1534" s="1063"/>
      <c r="AL1534" s="1063"/>
      <c r="AM1534" s="1063"/>
      <c r="AN1534" s="1063"/>
      <c r="AO1534" s="1063"/>
      <c r="AP1534" s="1063"/>
      <c r="AQ1534" s="1063"/>
      <c r="AR1534" s="1063"/>
      <c r="AS1534" s="1063"/>
      <c r="AT1534" s="1063"/>
      <c r="AU1534" s="1063"/>
      <c r="AV1534" s="1063"/>
    </row>
    <row r="1535" spans="1:48" s="1108" customFormat="1" ht="27.75" customHeight="1">
      <c r="A1535" s="1076"/>
      <c r="B1535" s="1074">
        <f>+'[18]Bldg+Dev'!S2347</f>
        <v>0</v>
      </c>
      <c r="D1535" s="1063"/>
      <c r="F1535" s="1076"/>
      <c r="G1535" s="1063"/>
      <c r="H1535" s="1063"/>
      <c r="I1535" s="1063"/>
      <c r="J1535" s="1063"/>
      <c r="K1535" s="1063"/>
      <c r="L1535" s="1063"/>
      <c r="M1535" s="1063"/>
      <c r="N1535" s="1063"/>
      <c r="O1535" s="1063"/>
      <c r="P1535" s="1063"/>
      <c r="Q1535" s="1063"/>
      <c r="R1535" s="1063"/>
      <c r="S1535" s="1063"/>
      <c r="T1535" s="1063"/>
      <c r="U1535" s="1063"/>
      <c r="V1535" s="1063"/>
      <c r="W1535" s="1063"/>
      <c r="X1535" s="1063"/>
      <c r="Y1535" s="1063"/>
      <c r="Z1535" s="1063"/>
      <c r="AA1535" s="1063"/>
      <c r="AB1535" s="1063"/>
      <c r="AC1535" s="1063"/>
      <c r="AD1535" s="1063"/>
      <c r="AE1535" s="1063"/>
      <c r="AF1535" s="1063"/>
      <c r="AG1535" s="1063"/>
      <c r="AH1535" s="1063"/>
      <c r="AI1535" s="1063"/>
      <c r="AJ1535" s="1063"/>
      <c r="AK1535" s="1063"/>
      <c r="AL1535" s="1063"/>
      <c r="AM1535" s="1063"/>
      <c r="AN1535" s="1063"/>
      <c r="AO1535" s="1063"/>
      <c r="AP1535" s="1063"/>
      <c r="AQ1535" s="1063"/>
      <c r="AR1535" s="1063"/>
      <c r="AS1535" s="1063"/>
      <c r="AT1535" s="1063"/>
      <c r="AU1535" s="1063"/>
      <c r="AV1535" s="1063"/>
    </row>
    <row r="1536" spans="1:48" s="1108" customFormat="1" ht="27.75" customHeight="1">
      <c r="A1536" s="1076"/>
      <c r="B1536" s="1074">
        <f>+'[18]Bldg+Dev'!S2348</f>
        <v>0</v>
      </c>
      <c r="D1536" s="1063"/>
      <c r="F1536" s="1076"/>
      <c r="G1536" s="1063"/>
      <c r="H1536" s="1063"/>
      <c r="I1536" s="1063"/>
      <c r="J1536" s="1063"/>
      <c r="K1536" s="1063"/>
      <c r="L1536" s="1063"/>
      <c r="M1536" s="1063"/>
      <c r="N1536" s="1063"/>
      <c r="O1536" s="1063"/>
      <c r="P1536" s="1063"/>
      <c r="Q1536" s="1063"/>
      <c r="R1536" s="1063"/>
      <c r="S1536" s="1063"/>
      <c r="T1536" s="1063"/>
      <c r="U1536" s="1063"/>
      <c r="V1536" s="1063"/>
      <c r="W1536" s="1063"/>
      <c r="X1536" s="1063"/>
      <c r="Y1536" s="1063"/>
      <c r="Z1536" s="1063"/>
      <c r="AA1536" s="1063"/>
      <c r="AB1536" s="1063"/>
      <c r="AC1536" s="1063"/>
      <c r="AD1536" s="1063"/>
      <c r="AE1536" s="1063"/>
      <c r="AF1536" s="1063"/>
      <c r="AG1536" s="1063"/>
      <c r="AH1536" s="1063"/>
      <c r="AI1536" s="1063"/>
      <c r="AJ1536" s="1063"/>
      <c r="AK1536" s="1063"/>
      <c r="AL1536" s="1063"/>
      <c r="AM1536" s="1063"/>
      <c r="AN1536" s="1063"/>
      <c r="AO1536" s="1063"/>
      <c r="AP1536" s="1063"/>
      <c r="AQ1536" s="1063"/>
      <c r="AR1536" s="1063"/>
      <c r="AS1536" s="1063"/>
      <c r="AT1536" s="1063"/>
      <c r="AU1536" s="1063"/>
      <c r="AV1536" s="1063"/>
    </row>
    <row r="1537" spans="1:48" s="1108" customFormat="1" ht="27.75" customHeight="1">
      <c r="A1537" s="1076"/>
      <c r="B1537" s="1074">
        <f>+'[18]Bldg+Dev'!S2349</f>
        <v>0</v>
      </c>
      <c r="D1537" s="1063"/>
      <c r="F1537" s="1076"/>
      <c r="G1537" s="1063"/>
      <c r="H1537" s="1063"/>
      <c r="I1537" s="1063"/>
      <c r="J1537" s="1063"/>
      <c r="K1537" s="1063"/>
      <c r="L1537" s="1063"/>
      <c r="M1537" s="1063"/>
      <c r="N1537" s="1063"/>
      <c r="O1537" s="1063"/>
      <c r="P1537" s="1063"/>
      <c r="Q1537" s="1063"/>
      <c r="R1537" s="1063"/>
      <c r="S1537" s="1063"/>
      <c r="T1537" s="1063"/>
      <c r="U1537" s="1063"/>
      <c r="V1537" s="1063"/>
      <c r="W1537" s="1063"/>
      <c r="X1537" s="1063"/>
      <c r="Y1537" s="1063"/>
      <c r="Z1537" s="1063"/>
      <c r="AA1537" s="1063"/>
      <c r="AB1537" s="1063"/>
      <c r="AC1537" s="1063"/>
      <c r="AD1537" s="1063"/>
      <c r="AE1537" s="1063"/>
      <c r="AF1537" s="1063"/>
      <c r="AG1537" s="1063"/>
      <c r="AH1537" s="1063"/>
      <c r="AI1537" s="1063"/>
      <c r="AJ1537" s="1063"/>
      <c r="AK1537" s="1063"/>
      <c r="AL1537" s="1063"/>
      <c r="AM1537" s="1063"/>
      <c r="AN1537" s="1063"/>
      <c r="AO1537" s="1063"/>
      <c r="AP1537" s="1063"/>
      <c r="AQ1537" s="1063"/>
      <c r="AR1537" s="1063"/>
      <c r="AS1537" s="1063"/>
      <c r="AT1537" s="1063"/>
      <c r="AU1537" s="1063"/>
      <c r="AV1537" s="1063"/>
    </row>
    <row r="1538" spans="1:48" s="1108" customFormat="1" ht="27.75" customHeight="1">
      <c r="A1538" s="1076"/>
      <c r="B1538" s="1074">
        <f>+'[18]Bldg+Dev'!S2350</f>
        <v>0</v>
      </c>
      <c r="D1538" s="1063"/>
      <c r="F1538" s="1076"/>
      <c r="G1538" s="1063"/>
      <c r="H1538" s="1063"/>
      <c r="I1538" s="1063"/>
      <c r="J1538" s="1063"/>
      <c r="K1538" s="1063"/>
      <c r="L1538" s="1063"/>
      <c r="M1538" s="1063"/>
      <c r="N1538" s="1063"/>
      <c r="O1538" s="1063"/>
      <c r="P1538" s="1063"/>
      <c r="Q1538" s="1063"/>
      <c r="R1538" s="1063"/>
      <c r="S1538" s="1063"/>
      <c r="T1538" s="1063"/>
      <c r="U1538" s="1063"/>
      <c r="V1538" s="1063"/>
      <c r="W1538" s="1063"/>
      <c r="X1538" s="1063"/>
      <c r="Y1538" s="1063"/>
      <c r="Z1538" s="1063"/>
      <c r="AA1538" s="1063"/>
      <c r="AB1538" s="1063"/>
      <c r="AC1538" s="1063"/>
      <c r="AD1538" s="1063"/>
      <c r="AE1538" s="1063"/>
      <c r="AF1538" s="1063"/>
      <c r="AG1538" s="1063"/>
      <c r="AH1538" s="1063"/>
      <c r="AI1538" s="1063"/>
      <c r="AJ1538" s="1063"/>
      <c r="AK1538" s="1063"/>
      <c r="AL1538" s="1063"/>
      <c r="AM1538" s="1063"/>
      <c r="AN1538" s="1063"/>
      <c r="AO1538" s="1063"/>
      <c r="AP1538" s="1063"/>
      <c r="AQ1538" s="1063"/>
      <c r="AR1538" s="1063"/>
      <c r="AS1538" s="1063"/>
      <c r="AT1538" s="1063"/>
      <c r="AU1538" s="1063"/>
      <c r="AV1538" s="1063"/>
    </row>
    <row r="1539" spans="1:48" s="1108" customFormat="1" ht="27.75" customHeight="1">
      <c r="A1539" s="1076"/>
      <c r="B1539" s="1074">
        <f>+'[18]Bldg+Dev'!S2351</f>
        <v>0</v>
      </c>
      <c r="D1539" s="1063"/>
      <c r="F1539" s="1076"/>
      <c r="G1539" s="1063"/>
      <c r="H1539" s="1063"/>
      <c r="I1539" s="1063"/>
      <c r="J1539" s="1063"/>
      <c r="K1539" s="1063"/>
      <c r="L1539" s="1063"/>
      <c r="M1539" s="1063"/>
      <c r="N1539" s="1063"/>
      <c r="O1539" s="1063"/>
      <c r="P1539" s="1063"/>
      <c r="Q1539" s="1063"/>
      <c r="R1539" s="1063"/>
      <c r="S1539" s="1063"/>
      <c r="T1539" s="1063"/>
      <c r="U1539" s="1063"/>
      <c r="V1539" s="1063"/>
      <c r="W1539" s="1063"/>
      <c r="X1539" s="1063"/>
      <c r="Y1539" s="1063"/>
      <c r="Z1539" s="1063"/>
      <c r="AA1539" s="1063"/>
      <c r="AB1539" s="1063"/>
      <c r="AC1539" s="1063"/>
      <c r="AD1539" s="1063"/>
      <c r="AE1539" s="1063"/>
      <c r="AF1539" s="1063"/>
      <c r="AG1539" s="1063"/>
      <c r="AH1539" s="1063"/>
      <c r="AI1539" s="1063"/>
      <c r="AJ1539" s="1063"/>
      <c r="AK1539" s="1063"/>
      <c r="AL1539" s="1063"/>
      <c r="AM1539" s="1063"/>
      <c r="AN1539" s="1063"/>
      <c r="AO1539" s="1063"/>
      <c r="AP1539" s="1063"/>
      <c r="AQ1539" s="1063"/>
      <c r="AR1539" s="1063"/>
      <c r="AS1539" s="1063"/>
      <c r="AT1539" s="1063"/>
      <c r="AU1539" s="1063"/>
      <c r="AV1539" s="1063"/>
    </row>
    <row r="1540" spans="1:48" s="1108" customFormat="1" ht="27.75" customHeight="1">
      <c r="A1540" s="1076"/>
      <c r="B1540" s="1074">
        <f>+'[18]Bldg+Dev'!S2352</f>
        <v>0</v>
      </c>
      <c r="D1540" s="1063"/>
      <c r="F1540" s="1076"/>
      <c r="G1540" s="1063"/>
      <c r="H1540" s="1063"/>
      <c r="I1540" s="1063"/>
      <c r="J1540" s="1063"/>
      <c r="K1540" s="1063"/>
      <c r="L1540" s="1063"/>
      <c r="M1540" s="1063"/>
      <c r="N1540" s="1063"/>
      <c r="O1540" s="1063"/>
      <c r="P1540" s="1063"/>
      <c r="Q1540" s="1063"/>
      <c r="R1540" s="1063"/>
      <c r="S1540" s="1063"/>
      <c r="T1540" s="1063"/>
      <c r="U1540" s="1063"/>
      <c r="V1540" s="1063"/>
      <c r="W1540" s="1063"/>
      <c r="X1540" s="1063"/>
      <c r="Y1540" s="1063"/>
      <c r="Z1540" s="1063"/>
      <c r="AA1540" s="1063"/>
      <c r="AB1540" s="1063"/>
      <c r="AC1540" s="1063"/>
      <c r="AD1540" s="1063"/>
      <c r="AE1540" s="1063"/>
      <c r="AF1540" s="1063"/>
      <c r="AG1540" s="1063"/>
      <c r="AH1540" s="1063"/>
      <c r="AI1540" s="1063"/>
      <c r="AJ1540" s="1063"/>
      <c r="AK1540" s="1063"/>
      <c r="AL1540" s="1063"/>
      <c r="AM1540" s="1063"/>
      <c r="AN1540" s="1063"/>
      <c r="AO1540" s="1063"/>
      <c r="AP1540" s="1063"/>
      <c r="AQ1540" s="1063"/>
      <c r="AR1540" s="1063"/>
      <c r="AS1540" s="1063"/>
      <c r="AT1540" s="1063"/>
      <c r="AU1540" s="1063"/>
      <c r="AV1540" s="1063"/>
    </row>
    <row r="1541" spans="1:48" s="1108" customFormat="1" ht="27.75" customHeight="1">
      <c r="A1541" s="1076"/>
      <c r="B1541" s="1074">
        <f>+'[18]Bldg+Dev'!S2353</f>
        <v>0</v>
      </c>
      <c r="D1541" s="1063"/>
      <c r="F1541" s="1076"/>
      <c r="G1541" s="1063"/>
      <c r="H1541" s="1063"/>
      <c r="I1541" s="1063"/>
      <c r="J1541" s="1063"/>
      <c r="K1541" s="1063"/>
      <c r="L1541" s="1063"/>
      <c r="M1541" s="1063"/>
      <c r="N1541" s="1063"/>
      <c r="O1541" s="1063"/>
      <c r="P1541" s="1063"/>
      <c r="Q1541" s="1063"/>
      <c r="R1541" s="1063"/>
      <c r="S1541" s="1063"/>
      <c r="T1541" s="1063"/>
      <c r="U1541" s="1063"/>
      <c r="V1541" s="1063"/>
      <c r="W1541" s="1063"/>
      <c r="X1541" s="1063"/>
      <c r="Y1541" s="1063"/>
      <c r="Z1541" s="1063"/>
      <c r="AA1541" s="1063"/>
      <c r="AB1541" s="1063"/>
      <c r="AC1541" s="1063"/>
      <c r="AD1541" s="1063"/>
      <c r="AE1541" s="1063"/>
      <c r="AF1541" s="1063"/>
      <c r="AG1541" s="1063"/>
      <c r="AH1541" s="1063"/>
      <c r="AI1541" s="1063"/>
      <c r="AJ1541" s="1063"/>
      <c r="AK1541" s="1063"/>
      <c r="AL1541" s="1063"/>
      <c r="AM1541" s="1063"/>
      <c r="AN1541" s="1063"/>
      <c r="AO1541" s="1063"/>
      <c r="AP1541" s="1063"/>
      <c r="AQ1541" s="1063"/>
      <c r="AR1541" s="1063"/>
      <c r="AS1541" s="1063"/>
      <c r="AT1541" s="1063"/>
      <c r="AU1541" s="1063"/>
      <c r="AV1541" s="1063"/>
    </row>
    <row r="1542" spans="1:48" s="1108" customFormat="1" ht="27.75" customHeight="1">
      <c r="A1542" s="1076"/>
      <c r="B1542" s="1074">
        <f>+'[18]Bldg+Dev'!S2354</f>
        <v>0</v>
      </c>
      <c r="D1542" s="1063"/>
      <c r="F1542" s="1076"/>
      <c r="G1542" s="1063"/>
      <c r="H1542" s="1063"/>
      <c r="I1542" s="1063"/>
      <c r="J1542" s="1063"/>
      <c r="K1542" s="1063"/>
      <c r="L1542" s="1063"/>
      <c r="M1542" s="1063"/>
      <c r="N1542" s="1063"/>
      <c r="O1542" s="1063"/>
      <c r="P1542" s="1063"/>
      <c r="Q1542" s="1063"/>
      <c r="R1542" s="1063"/>
      <c r="S1542" s="1063"/>
      <c r="T1542" s="1063"/>
      <c r="U1542" s="1063"/>
      <c r="V1542" s="1063"/>
      <c r="W1542" s="1063"/>
      <c r="X1542" s="1063"/>
      <c r="Y1542" s="1063"/>
      <c r="Z1542" s="1063"/>
      <c r="AA1542" s="1063"/>
      <c r="AB1542" s="1063"/>
      <c r="AC1542" s="1063"/>
      <c r="AD1542" s="1063"/>
      <c r="AE1542" s="1063"/>
      <c r="AF1542" s="1063"/>
      <c r="AG1542" s="1063"/>
      <c r="AH1542" s="1063"/>
      <c r="AI1542" s="1063"/>
      <c r="AJ1542" s="1063"/>
      <c r="AK1542" s="1063"/>
      <c r="AL1542" s="1063"/>
      <c r="AM1542" s="1063"/>
      <c r="AN1542" s="1063"/>
      <c r="AO1542" s="1063"/>
      <c r="AP1542" s="1063"/>
      <c r="AQ1542" s="1063"/>
      <c r="AR1542" s="1063"/>
      <c r="AS1542" s="1063"/>
      <c r="AT1542" s="1063"/>
      <c r="AU1542" s="1063"/>
      <c r="AV1542" s="1063"/>
    </row>
    <row r="1543" spans="1:48" s="1108" customFormat="1" ht="27.75" customHeight="1">
      <c r="A1543" s="1076"/>
      <c r="B1543" s="1074">
        <f>+'[18]Bldg+Dev'!S2355</f>
        <v>0</v>
      </c>
      <c r="D1543" s="1063"/>
      <c r="F1543" s="1076"/>
      <c r="G1543" s="1063"/>
      <c r="H1543" s="1063"/>
      <c r="I1543" s="1063"/>
      <c r="J1543" s="1063"/>
      <c r="K1543" s="1063"/>
      <c r="L1543" s="1063"/>
      <c r="M1543" s="1063"/>
      <c r="N1543" s="1063"/>
      <c r="O1543" s="1063"/>
      <c r="P1543" s="1063"/>
      <c r="Q1543" s="1063"/>
      <c r="R1543" s="1063"/>
      <c r="S1543" s="1063"/>
      <c r="T1543" s="1063"/>
      <c r="U1543" s="1063"/>
      <c r="V1543" s="1063"/>
      <c r="W1543" s="1063"/>
      <c r="X1543" s="1063"/>
      <c r="Y1543" s="1063"/>
      <c r="Z1543" s="1063"/>
      <c r="AA1543" s="1063"/>
      <c r="AB1543" s="1063"/>
      <c r="AC1543" s="1063"/>
      <c r="AD1543" s="1063"/>
      <c r="AE1543" s="1063"/>
      <c r="AF1543" s="1063"/>
      <c r="AG1543" s="1063"/>
      <c r="AH1543" s="1063"/>
      <c r="AI1543" s="1063"/>
      <c r="AJ1543" s="1063"/>
      <c r="AK1543" s="1063"/>
      <c r="AL1543" s="1063"/>
      <c r="AM1543" s="1063"/>
      <c r="AN1543" s="1063"/>
      <c r="AO1543" s="1063"/>
      <c r="AP1543" s="1063"/>
      <c r="AQ1543" s="1063"/>
      <c r="AR1543" s="1063"/>
      <c r="AS1543" s="1063"/>
      <c r="AT1543" s="1063"/>
      <c r="AU1543" s="1063"/>
      <c r="AV1543" s="1063"/>
    </row>
    <row r="1544" spans="1:48" s="1108" customFormat="1" ht="27.75" customHeight="1">
      <c r="A1544" s="1076"/>
      <c r="B1544" s="1074">
        <f>+'[18]Bldg+Dev'!S2356</f>
        <v>0</v>
      </c>
      <c r="D1544" s="1063"/>
      <c r="F1544" s="1076"/>
      <c r="G1544" s="1063"/>
      <c r="H1544" s="1063"/>
      <c r="I1544" s="1063"/>
      <c r="J1544" s="1063"/>
      <c r="K1544" s="1063"/>
      <c r="L1544" s="1063"/>
      <c r="M1544" s="1063"/>
      <c r="N1544" s="1063"/>
      <c r="O1544" s="1063"/>
      <c r="P1544" s="1063"/>
      <c r="Q1544" s="1063"/>
      <c r="R1544" s="1063"/>
      <c r="S1544" s="1063"/>
      <c r="T1544" s="1063"/>
      <c r="U1544" s="1063"/>
      <c r="V1544" s="1063"/>
      <c r="W1544" s="1063"/>
      <c r="X1544" s="1063"/>
      <c r="Y1544" s="1063"/>
      <c r="Z1544" s="1063"/>
      <c r="AA1544" s="1063"/>
      <c r="AB1544" s="1063"/>
      <c r="AC1544" s="1063"/>
      <c r="AD1544" s="1063"/>
      <c r="AE1544" s="1063"/>
      <c r="AF1544" s="1063"/>
      <c r="AG1544" s="1063"/>
      <c r="AH1544" s="1063"/>
      <c r="AI1544" s="1063"/>
      <c r="AJ1544" s="1063"/>
      <c r="AK1544" s="1063"/>
      <c r="AL1544" s="1063"/>
      <c r="AM1544" s="1063"/>
      <c r="AN1544" s="1063"/>
      <c r="AO1544" s="1063"/>
      <c r="AP1544" s="1063"/>
      <c r="AQ1544" s="1063"/>
      <c r="AR1544" s="1063"/>
      <c r="AS1544" s="1063"/>
      <c r="AT1544" s="1063"/>
      <c r="AU1544" s="1063"/>
      <c r="AV1544" s="1063"/>
    </row>
    <row r="1545" spans="1:48" s="1108" customFormat="1" ht="27.75" customHeight="1">
      <c r="A1545" s="1076"/>
      <c r="B1545" s="1074">
        <f>+'[18]Bldg+Dev'!S2357</f>
        <v>0</v>
      </c>
      <c r="D1545" s="1063"/>
      <c r="F1545" s="1076"/>
      <c r="G1545" s="1063"/>
      <c r="H1545" s="1063"/>
      <c r="I1545" s="1063"/>
      <c r="J1545" s="1063"/>
      <c r="K1545" s="1063"/>
      <c r="L1545" s="1063"/>
      <c r="M1545" s="1063"/>
      <c r="N1545" s="1063"/>
      <c r="O1545" s="1063"/>
      <c r="P1545" s="1063"/>
      <c r="Q1545" s="1063"/>
      <c r="R1545" s="1063"/>
      <c r="S1545" s="1063"/>
      <c r="T1545" s="1063"/>
      <c r="U1545" s="1063"/>
      <c r="V1545" s="1063"/>
      <c r="W1545" s="1063"/>
      <c r="X1545" s="1063"/>
      <c r="Y1545" s="1063"/>
      <c r="Z1545" s="1063"/>
      <c r="AA1545" s="1063"/>
      <c r="AB1545" s="1063"/>
      <c r="AC1545" s="1063"/>
      <c r="AD1545" s="1063"/>
      <c r="AE1545" s="1063"/>
      <c r="AF1545" s="1063"/>
      <c r="AG1545" s="1063"/>
      <c r="AH1545" s="1063"/>
      <c r="AI1545" s="1063"/>
      <c r="AJ1545" s="1063"/>
      <c r="AK1545" s="1063"/>
      <c r="AL1545" s="1063"/>
      <c r="AM1545" s="1063"/>
      <c r="AN1545" s="1063"/>
      <c r="AO1545" s="1063"/>
      <c r="AP1545" s="1063"/>
      <c r="AQ1545" s="1063"/>
      <c r="AR1545" s="1063"/>
      <c r="AS1545" s="1063"/>
      <c r="AT1545" s="1063"/>
      <c r="AU1545" s="1063"/>
      <c r="AV1545" s="1063"/>
    </row>
    <row r="1546" spans="1:48" s="1108" customFormat="1" ht="27.75" customHeight="1">
      <c r="A1546" s="1076"/>
      <c r="B1546" s="1074">
        <f>+'[18]Bldg+Dev'!S2358</f>
        <v>0</v>
      </c>
      <c r="D1546" s="1063"/>
      <c r="F1546" s="1076"/>
      <c r="G1546" s="1063"/>
      <c r="H1546" s="1063"/>
      <c r="I1546" s="1063"/>
      <c r="J1546" s="1063"/>
      <c r="K1546" s="1063"/>
      <c r="L1546" s="1063"/>
      <c r="M1546" s="1063"/>
      <c r="N1546" s="1063"/>
      <c r="O1546" s="1063"/>
      <c r="P1546" s="1063"/>
      <c r="Q1546" s="1063"/>
      <c r="R1546" s="1063"/>
      <c r="S1546" s="1063"/>
      <c r="T1546" s="1063"/>
      <c r="U1546" s="1063"/>
      <c r="V1546" s="1063"/>
      <c r="W1546" s="1063"/>
      <c r="X1546" s="1063"/>
      <c r="Y1546" s="1063"/>
      <c r="Z1546" s="1063"/>
      <c r="AA1546" s="1063"/>
      <c r="AB1546" s="1063"/>
      <c r="AC1546" s="1063"/>
      <c r="AD1546" s="1063"/>
      <c r="AE1546" s="1063"/>
      <c r="AF1546" s="1063"/>
      <c r="AG1546" s="1063"/>
      <c r="AH1546" s="1063"/>
      <c r="AI1546" s="1063"/>
      <c r="AJ1546" s="1063"/>
      <c r="AK1546" s="1063"/>
      <c r="AL1546" s="1063"/>
      <c r="AM1546" s="1063"/>
      <c r="AN1546" s="1063"/>
      <c r="AO1546" s="1063"/>
      <c r="AP1546" s="1063"/>
      <c r="AQ1546" s="1063"/>
      <c r="AR1546" s="1063"/>
      <c r="AS1546" s="1063"/>
      <c r="AT1546" s="1063"/>
      <c r="AU1546" s="1063"/>
      <c r="AV1546" s="1063"/>
    </row>
    <row r="1547" spans="1:48" s="1108" customFormat="1" ht="27.75" customHeight="1">
      <c r="A1547" s="1076"/>
      <c r="B1547" s="1074">
        <f>+'[18]Bldg+Dev'!S2359</f>
        <v>0</v>
      </c>
      <c r="D1547" s="1063"/>
      <c r="F1547" s="1076"/>
      <c r="G1547" s="1063"/>
      <c r="H1547" s="1063"/>
      <c r="I1547" s="1063"/>
      <c r="J1547" s="1063"/>
      <c r="K1547" s="1063"/>
      <c r="L1547" s="1063"/>
      <c r="M1547" s="1063"/>
      <c r="N1547" s="1063"/>
      <c r="O1547" s="1063"/>
      <c r="P1547" s="1063"/>
      <c r="Q1547" s="1063"/>
      <c r="R1547" s="1063"/>
      <c r="S1547" s="1063"/>
      <c r="T1547" s="1063"/>
      <c r="U1547" s="1063"/>
      <c r="V1547" s="1063"/>
      <c r="W1547" s="1063"/>
      <c r="X1547" s="1063"/>
      <c r="Y1547" s="1063"/>
      <c r="Z1547" s="1063"/>
      <c r="AA1547" s="1063"/>
      <c r="AB1547" s="1063"/>
      <c r="AC1547" s="1063"/>
      <c r="AD1547" s="1063"/>
      <c r="AE1547" s="1063"/>
      <c r="AF1547" s="1063"/>
      <c r="AG1547" s="1063"/>
      <c r="AH1547" s="1063"/>
      <c r="AI1547" s="1063"/>
      <c r="AJ1547" s="1063"/>
      <c r="AK1547" s="1063"/>
      <c r="AL1547" s="1063"/>
      <c r="AM1547" s="1063"/>
      <c r="AN1547" s="1063"/>
      <c r="AO1547" s="1063"/>
      <c r="AP1547" s="1063"/>
      <c r="AQ1547" s="1063"/>
      <c r="AR1547" s="1063"/>
      <c r="AS1547" s="1063"/>
      <c r="AT1547" s="1063"/>
      <c r="AU1547" s="1063"/>
      <c r="AV1547" s="1063"/>
    </row>
    <row r="1548" spans="1:48" s="1108" customFormat="1" ht="27.75" customHeight="1">
      <c r="A1548" s="1076"/>
      <c r="B1548" s="1074">
        <f>+'[18]Bldg+Dev'!S2360</f>
        <v>0</v>
      </c>
      <c r="D1548" s="1063"/>
      <c r="F1548" s="1076"/>
      <c r="G1548" s="1063"/>
      <c r="H1548" s="1063"/>
      <c r="I1548" s="1063"/>
      <c r="J1548" s="1063"/>
      <c r="K1548" s="1063"/>
      <c r="L1548" s="1063"/>
      <c r="M1548" s="1063"/>
      <c r="N1548" s="1063"/>
      <c r="O1548" s="1063"/>
      <c r="P1548" s="1063"/>
      <c r="Q1548" s="1063"/>
      <c r="R1548" s="1063"/>
      <c r="S1548" s="1063"/>
      <c r="T1548" s="1063"/>
      <c r="U1548" s="1063"/>
      <c r="V1548" s="1063"/>
      <c r="W1548" s="1063"/>
      <c r="X1548" s="1063"/>
      <c r="Y1548" s="1063"/>
      <c r="Z1548" s="1063"/>
      <c r="AA1548" s="1063"/>
      <c r="AB1548" s="1063"/>
      <c r="AC1548" s="1063"/>
      <c r="AD1548" s="1063"/>
      <c r="AE1548" s="1063"/>
      <c r="AF1548" s="1063"/>
      <c r="AG1548" s="1063"/>
      <c r="AH1548" s="1063"/>
      <c r="AI1548" s="1063"/>
      <c r="AJ1548" s="1063"/>
      <c r="AK1548" s="1063"/>
      <c r="AL1548" s="1063"/>
      <c r="AM1548" s="1063"/>
      <c r="AN1548" s="1063"/>
      <c r="AO1548" s="1063"/>
      <c r="AP1548" s="1063"/>
      <c r="AQ1548" s="1063"/>
      <c r="AR1548" s="1063"/>
      <c r="AS1548" s="1063"/>
      <c r="AT1548" s="1063"/>
      <c r="AU1548" s="1063"/>
      <c r="AV1548" s="1063"/>
    </row>
    <row r="1549" spans="1:48" s="1108" customFormat="1" ht="27.75" customHeight="1">
      <c r="A1549" s="1076"/>
      <c r="B1549" s="1074">
        <f>+'[18]Bldg+Dev'!S2361</f>
        <v>0</v>
      </c>
      <c r="D1549" s="1063"/>
      <c r="F1549" s="1076"/>
      <c r="G1549" s="1063"/>
      <c r="H1549" s="1063"/>
      <c r="I1549" s="1063"/>
      <c r="J1549" s="1063"/>
      <c r="K1549" s="1063"/>
      <c r="L1549" s="1063"/>
      <c r="M1549" s="1063"/>
      <c r="N1549" s="1063"/>
      <c r="O1549" s="1063"/>
      <c r="P1549" s="1063"/>
      <c r="Q1549" s="1063"/>
      <c r="R1549" s="1063"/>
      <c r="S1549" s="1063"/>
      <c r="T1549" s="1063"/>
      <c r="U1549" s="1063"/>
      <c r="V1549" s="1063"/>
      <c r="W1549" s="1063"/>
      <c r="X1549" s="1063"/>
      <c r="Y1549" s="1063"/>
      <c r="Z1549" s="1063"/>
      <c r="AA1549" s="1063"/>
      <c r="AB1549" s="1063"/>
      <c r="AC1549" s="1063"/>
      <c r="AD1549" s="1063"/>
      <c r="AE1549" s="1063"/>
      <c r="AF1549" s="1063"/>
      <c r="AG1549" s="1063"/>
      <c r="AH1549" s="1063"/>
      <c r="AI1549" s="1063"/>
      <c r="AJ1549" s="1063"/>
      <c r="AK1549" s="1063"/>
      <c r="AL1549" s="1063"/>
      <c r="AM1549" s="1063"/>
      <c r="AN1549" s="1063"/>
      <c r="AO1549" s="1063"/>
      <c r="AP1549" s="1063"/>
      <c r="AQ1549" s="1063"/>
      <c r="AR1549" s="1063"/>
      <c r="AS1549" s="1063"/>
      <c r="AT1549" s="1063"/>
      <c r="AU1549" s="1063"/>
      <c r="AV1549" s="1063"/>
    </row>
    <row r="1550" spans="1:48" s="1108" customFormat="1" ht="27.75" customHeight="1">
      <c r="A1550" s="1076"/>
      <c r="B1550" s="1074">
        <f>+'[18]Bldg+Dev'!S2362</f>
        <v>0</v>
      </c>
      <c r="D1550" s="1063"/>
      <c r="F1550" s="1076"/>
      <c r="G1550" s="1063"/>
      <c r="H1550" s="1063"/>
      <c r="I1550" s="1063"/>
      <c r="J1550" s="1063"/>
      <c r="K1550" s="1063"/>
      <c r="L1550" s="1063"/>
      <c r="M1550" s="1063"/>
      <c r="N1550" s="1063"/>
      <c r="O1550" s="1063"/>
      <c r="P1550" s="1063"/>
      <c r="Q1550" s="1063"/>
      <c r="R1550" s="1063"/>
      <c r="S1550" s="1063"/>
      <c r="T1550" s="1063"/>
      <c r="U1550" s="1063"/>
      <c r="V1550" s="1063"/>
      <c r="W1550" s="1063"/>
      <c r="X1550" s="1063"/>
      <c r="Y1550" s="1063"/>
      <c r="Z1550" s="1063"/>
      <c r="AA1550" s="1063"/>
      <c r="AB1550" s="1063"/>
      <c r="AC1550" s="1063"/>
      <c r="AD1550" s="1063"/>
      <c r="AE1550" s="1063"/>
      <c r="AF1550" s="1063"/>
      <c r="AG1550" s="1063"/>
      <c r="AH1550" s="1063"/>
      <c r="AI1550" s="1063"/>
      <c r="AJ1550" s="1063"/>
      <c r="AK1550" s="1063"/>
      <c r="AL1550" s="1063"/>
      <c r="AM1550" s="1063"/>
      <c r="AN1550" s="1063"/>
      <c r="AO1550" s="1063"/>
      <c r="AP1550" s="1063"/>
      <c r="AQ1550" s="1063"/>
      <c r="AR1550" s="1063"/>
      <c r="AS1550" s="1063"/>
      <c r="AT1550" s="1063"/>
      <c r="AU1550" s="1063"/>
      <c r="AV1550" s="1063"/>
    </row>
    <row r="1551" spans="1:48" s="1108" customFormat="1" ht="27.75" customHeight="1">
      <c r="A1551" s="1076"/>
      <c r="B1551" s="1074">
        <f>+'[18]Bldg+Dev'!S2363</f>
        <v>0</v>
      </c>
      <c r="D1551" s="1063"/>
      <c r="F1551" s="1076"/>
      <c r="G1551" s="1063"/>
      <c r="H1551" s="1063"/>
      <c r="I1551" s="1063"/>
      <c r="J1551" s="1063"/>
      <c r="K1551" s="1063"/>
      <c r="L1551" s="1063"/>
      <c r="M1551" s="1063"/>
      <c r="N1551" s="1063"/>
      <c r="O1551" s="1063"/>
      <c r="P1551" s="1063"/>
      <c r="Q1551" s="1063"/>
      <c r="R1551" s="1063"/>
      <c r="S1551" s="1063"/>
      <c r="T1551" s="1063"/>
      <c r="U1551" s="1063"/>
      <c r="V1551" s="1063"/>
      <c r="W1551" s="1063"/>
      <c r="X1551" s="1063"/>
      <c r="Y1551" s="1063"/>
      <c r="Z1551" s="1063"/>
      <c r="AA1551" s="1063"/>
      <c r="AB1551" s="1063"/>
      <c r="AC1551" s="1063"/>
      <c r="AD1551" s="1063"/>
      <c r="AE1551" s="1063"/>
      <c r="AF1551" s="1063"/>
      <c r="AG1551" s="1063"/>
      <c r="AH1551" s="1063"/>
      <c r="AI1551" s="1063"/>
      <c r="AJ1551" s="1063"/>
      <c r="AK1551" s="1063"/>
      <c r="AL1551" s="1063"/>
      <c r="AM1551" s="1063"/>
      <c r="AN1551" s="1063"/>
      <c r="AO1551" s="1063"/>
      <c r="AP1551" s="1063"/>
      <c r="AQ1551" s="1063"/>
      <c r="AR1551" s="1063"/>
      <c r="AS1551" s="1063"/>
      <c r="AT1551" s="1063"/>
      <c r="AU1551" s="1063"/>
      <c r="AV1551" s="1063"/>
    </row>
    <row r="1552" spans="1:48" s="1108" customFormat="1" ht="27.75" customHeight="1">
      <c r="A1552" s="1076"/>
      <c r="B1552" s="1074">
        <f>+'[18]Bldg+Dev'!S2364</f>
        <v>0</v>
      </c>
      <c r="D1552" s="1063"/>
      <c r="F1552" s="1076"/>
      <c r="G1552" s="1063"/>
      <c r="H1552" s="1063"/>
      <c r="I1552" s="1063"/>
      <c r="J1552" s="1063"/>
      <c r="K1552" s="1063"/>
      <c r="L1552" s="1063"/>
      <c r="M1552" s="1063"/>
      <c r="N1552" s="1063"/>
      <c r="O1552" s="1063"/>
      <c r="P1552" s="1063"/>
      <c r="Q1552" s="1063"/>
      <c r="R1552" s="1063"/>
      <c r="S1552" s="1063"/>
      <c r="T1552" s="1063"/>
      <c r="U1552" s="1063"/>
      <c r="V1552" s="1063"/>
      <c r="W1552" s="1063"/>
      <c r="X1552" s="1063"/>
      <c r="Y1552" s="1063"/>
      <c r="Z1552" s="1063"/>
      <c r="AA1552" s="1063"/>
      <c r="AB1552" s="1063"/>
      <c r="AC1552" s="1063"/>
      <c r="AD1552" s="1063"/>
      <c r="AE1552" s="1063"/>
      <c r="AF1552" s="1063"/>
      <c r="AG1552" s="1063"/>
      <c r="AH1552" s="1063"/>
      <c r="AI1552" s="1063"/>
      <c r="AJ1552" s="1063"/>
      <c r="AK1552" s="1063"/>
      <c r="AL1552" s="1063"/>
      <c r="AM1552" s="1063"/>
      <c r="AN1552" s="1063"/>
      <c r="AO1552" s="1063"/>
      <c r="AP1552" s="1063"/>
      <c r="AQ1552" s="1063"/>
      <c r="AR1552" s="1063"/>
      <c r="AS1552" s="1063"/>
      <c r="AT1552" s="1063"/>
      <c r="AU1552" s="1063"/>
      <c r="AV1552" s="1063"/>
    </row>
    <row r="1553" spans="1:48" s="1108" customFormat="1" ht="27.75" customHeight="1">
      <c r="A1553" s="1076"/>
      <c r="B1553" s="1074">
        <f>+'[18]Bldg+Dev'!S2365</f>
        <v>0</v>
      </c>
      <c r="D1553" s="1063"/>
      <c r="F1553" s="1076"/>
      <c r="G1553" s="1063"/>
      <c r="H1553" s="1063"/>
      <c r="I1553" s="1063"/>
      <c r="J1553" s="1063"/>
      <c r="K1553" s="1063"/>
      <c r="L1553" s="1063"/>
      <c r="M1553" s="1063"/>
      <c r="N1553" s="1063"/>
      <c r="O1553" s="1063"/>
      <c r="P1553" s="1063"/>
      <c r="Q1553" s="1063"/>
      <c r="R1553" s="1063"/>
      <c r="S1553" s="1063"/>
      <c r="T1553" s="1063"/>
      <c r="U1553" s="1063"/>
      <c r="V1553" s="1063"/>
      <c r="W1553" s="1063"/>
      <c r="X1553" s="1063"/>
      <c r="Y1553" s="1063"/>
      <c r="Z1553" s="1063"/>
      <c r="AA1553" s="1063"/>
      <c r="AB1553" s="1063"/>
      <c r="AC1553" s="1063"/>
      <c r="AD1553" s="1063"/>
      <c r="AE1553" s="1063"/>
      <c r="AF1553" s="1063"/>
      <c r="AG1553" s="1063"/>
      <c r="AH1553" s="1063"/>
      <c r="AI1553" s="1063"/>
      <c r="AJ1553" s="1063"/>
      <c r="AK1553" s="1063"/>
      <c r="AL1553" s="1063"/>
      <c r="AM1553" s="1063"/>
      <c r="AN1553" s="1063"/>
      <c r="AO1553" s="1063"/>
      <c r="AP1553" s="1063"/>
      <c r="AQ1553" s="1063"/>
      <c r="AR1553" s="1063"/>
      <c r="AS1553" s="1063"/>
      <c r="AT1553" s="1063"/>
      <c r="AU1553" s="1063"/>
      <c r="AV1553" s="1063"/>
    </row>
    <row r="1554" spans="1:48" s="1108" customFormat="1" ht="27.75" customHeight="1">
      <c r="A1554" s="1076"/>
      <c r="B1554" s="1074">
        <f>+'[18]Bldg+Dev'!S2366</f>
        <v>0</v>
      </c>
      <c r="D1554" s="1063"/>
      <c r="F1554" s="1076"/>
      <c r="G1554" s="1063"/>
      <c r="H1554" s="1063"/>
      <c r="I1554" s="1063"/>
      <c r="J1554" s="1063"/>
      <c r="K1554" s="1063"/>
      <c r="L1554" s="1063"/>
      <c r="M1554" s="1063"/>
      <c r="N1554" s="1063"/>
      <c r="O1554" s="1063"/>
      <c r="P1554" s="1063"/>
      <c r="Q1554" s="1063"/>
      <c r="R1554" s="1063"/>
      <c r="S1554" s="1063"/>
      <c r="T1554" s="1063"/>
      <c r="U1554" s="1063"/>
      <c r="V1554" s="1063"/>
      <c r="W1554" s="1063"/>
      <c r="X1554" s="1063"/>
      <c r="Y1554" s="1063"/>
      <c r="Z1554" s="1063"/>
      <c r="AA1554" s="1063"/>
      <c r="AB1554" s="1063"/>
      <c r="AC1554" s="1063"/>
      <c r="AD1554" s="1063"/>
      <c r="AE1554" s="1063"/>
      <c r="AF1554" s="1063"/>
      <c r="AG1554" s="1063"/>
      <c r="AH1554" s="1063"/>
      <c r="AI1554" s="1063"/>
      <c r="AJ1554" s="1063"/>
      <c r="AK1554" s="1063"/>
      <c r="AL1554" s="1063"/>
      <c r="AM1554" s="1063"/>
      <c r="AN1554" s="1063"/>
      <c r="AO1554" s="1063"/>
      <c r="AP1554" s="1063"/>
      <c r="AQ1554" s="1063"/>
      <c r="AR1554" s="1063"/>
      <c r="AS1554" s="1063"/>
      <c r="AT1554" s="1063"/>
      <c r="AU1554" s="1063"/>
      <c r="AV1554" s="1063"/>
    </row>
    <row r="1555" spans="1:48" s="1108" customFormat="1" ht="27.75" customHeight="1">
      <c r="A1555" s="1076"/>
      <c r="B1555" s="1074">
        <f>+'[18]Bldg+Dev'!S2367</f>
        <v>0</v>
      </c>
      <c r="D1555" s="1063"/>
      <c r="F1555" s="1076"/>
      <c r="G1555" s="1063"/>
      <c r="H1555" s="1063"/>
      <c r="I1555" s="1063"/>
      <c r="J1555" s="1063"/>
      <c r="K1555" s="1063"/>
      <c r="L1555" s="1063"/>
      <c r="M1555" s="1063"/>
      <c r="N1555" s="1063"/>
      <c r="O1555" s="1063"/>
      <c r="P1555" s="1063"/>
      <c r="Q1555" s="1063"/>
      <c r="R1555" s="1063"/>
      <c r="S1555" s="1063"/>
      <c r="T1555" s="1063"/>
      <c r="U1555" s="1063"/>
      <c r="V1555" s="1063"/>
      <c r="W1555" s="1063"/>
      <c r="X1555" s="1063"/>
      <c r="Y1555" s="1063"/>
      <c r="Z1555" s="1063"/>
      <c r="AA1555" s="1063"/>
      <c r="AB1555" s="1063"/>
      <c r="AC1555" s="1063"/>
      <c r="AD1555" s="1063"/>
      <c r="AE1555" s="1063"/>
      <c r="AF1555" s="1063"/>
      <c r="AG1555" s="1063"/>
      <c r="AH1555" s="1063"/>
      <c r="AI1555" s="1063"/>
      <c r="AJ1555" s="1063"/>
      <c r="AK1555" s="1063"/>
      <c r="AL1555" s="1063"/>
      <c r="AM1555" s="1063"/>
      <c r="AN1555" s="1063"/>
      <c r="AO1555" s="1063"/>
      <c r="AP1555" s="1063"/>
      <c r="AQ1555" s="1063"/>
      <c r="AR1555" s="1063"/>
      <c r="AS1555" s="1063"/>
      <c r="AT1555" s="1063"/>
      <c r="AU1555" s="1063"/>
      <c r="AV1555" s="1063"/>
    </row>
    <row r="1556" spans="1:48" s="1108" customFormat="1" ht="27.75" customHeight="1">
      <c r="A1556" s="1076"/>
      <c r="B1556" s="1074">
        <f>+'[18]Bldg+Dev'!S2368</f>
        <v>0</v>
      </c>
      <c r="D1556" s="1063"/>
      <c r="F1556" s="1076"/>
      <c r="G1556" s="1063"/>
      <c r="H1556" s="1063"/>
      <c r="I1556" s="1063"/>
      <c r="J1556" s="1063"/>
      <c r="K1556" s="1063"/>
      <c r="L1556" s="1063"/>
      <c r="M1556" s="1063"/>
      <c r="N1556" s="1063"/>
      <c r="O1556" s="1063"/>
      <c r="P1556" s="1063"/>
      <c r="Q1556" s="1063"/>
      <c r="R1556" s="1063"/>
      <c r="S1556" s="1063"/>
      <c r="T1556" s="1063"/>
      <c r="U1556" s="1063"/>
      <c r="V1556" s="1063"/>
      <c r="W1556" s="1063"/>
      <c r="X1556" s="1063"/>
      <c r="Y1556" s="1063"/>
      <c r="Z1556" s="1063"/>
      <c r="AA1556" s="1063"/>
      <c r="AB1556" s="1063"/>
      <c r="AC1556" s="1063"/>
      <c r="AD1556" s="1063"/>
      <c r="AE1556" s="1063"/>
      <c r="AF1556" s="1063"/>
      <c r="AG1556" s="1063"/>
      <c r="AH1556" s="1063"/>
      <c r="AI1556" s="1063"/>
      <c r="AJ1556" s="1063"/>
      <c r="AK1556" s="1063"/>
      <c r="AL1556" s="1063"/>
      <c r="AM1556" s="1063"/>
      <c r="AN1556" s="1063"/>
      <c r="AO1556" s="1063"/>
      <c r="AP1556" s="1063"/>
      <c r="AQ1556" s="1063"/>
      <c r="AR1556" s="1063"/>
      <c r="AS1556" s="1063"/>
      <c r="AT1556" s="1063"/>
      <c r="AU1556" s="1063"/>
      <c r="AV1556" s="1063"/>
    </row>
    <row r="1557" spans="1:48" s="1108" customFormat="1" ht="27.75" customHeight="1">
      <c r="A1557" s="1076"/>
      <c r="B1557" s="1074">
        <f>+'[18]Bldg+Dev'!S2369</f>
        <v>0</v>
      </c>
      <c r="D1557" s="1063"/>
      <c r="F1557" s="1076"/>
      <c r="G1557" s="1063"/>
      <c r="H1557" s="1063"/>
      <c r="I1557" s="1063"/>
      <c r="J1557" s="1063"/>
      <c r="K1557" s="1063"/>
      <c r="L1557" s="1063"/>
      <c r="M1557" s="1063"/>
      <c r="N1557" s="1063"/>
      <c r="O1557" s="1063"/>
      <c r="P1557" s="1063"/>
      <c r="Q1557" s="1063"/>
      <c r="R1557" s="1063"/>
      <c r="S1557" s="1063"/>
      <c r="T1557" s="1063"/>
      <c r="U1557" s="1063"/>
      <c r="V1557" s="1063"/>
      <c r="W1557" s="1063"/>
      <c r="X1557" s="1063"/>
      <c r="Y1557" s="1063"/>
      <c r="Z1557" s="1063"/>
      <c r="AA1557" s="1063"/>
      <c r="AB1557" s="1063"/>
      <c r="AC1557" s="1063"/>
      <c r="AD1557" s="1063"/>
      <c r="AE1557" s="1063"/>
      <c r="AF1557" s="1063"/>
      <c r="AG1557" s="1063"/>
      <c r="AH1557" s="1063"/>
      <c r="AI1557" s="1063"/>
      <c r="AJ1557" s="1063"/>
      <c r="AK1557" s="1063"/>
      <c r="AL1557" s="1063"/>
      <c r="AM1557" s="1063"/>
      <c r="AN1557" s="1063"/>
      <c r="AO1557" s="1063"/>
      <c r="AP1557" s="1063"/>
      <c r="AQ1557" s="1063"/>
      <c r="AR1557" s="1063"/>
      <c r="AS1557" s="1063"/>
      <c r="AT1557" s="1063"/>
      <c r="AU1557" s="1063"/>
      <c r="AV1557" s="1063"/>
    </row>
    <row r="1558" spans="1:48" s="1108" customFormat="1" ht="27.75" customHeight="1">
      <c r="A1558" s="1076"/>
      <c r="B1558" s="1074">
        <f>+'[18]Bldg+Dev'!S2370</f>
        <v>0</v>
      </c>
      <c r="D1558" s="1063"/>
      <c r="F1558" s="1076"/>
      <c r="G1558" s="1063"/>
      <c r="H1558" s="1063"/>
      <c r="I1558" s="1063"/>
      <c r="J1558" s="1063"/>
      <c r="K1558" s="1063"/>
      <c r="L1558" s="1063"/>
      <c r="M1558" s="1063"/>
      <c r="N1558" s="1063"/>
      <c r="O1558" s="1063"/>
      <c r="P1558" s="1063"/>
      <c r="Q1558" s="1063"/>
      <c r="R1558" s="1063"/>
      <c r="S1558" s="1063"/>
      <c r="T1558" s="1063"/>
      <c r="U1558" s="1063"/>
      <c r="V1558" s="1063"/>
      <c r="W1558" s="1063"/>
      <c r="X1558" s="1063"/>
      <c r="Y1558" s="1063"/>
      <c r="Z1558" s="1063"/>
      <c r="AA1558" s="1063"/>
      <c r="AB1558" s="1063"/>
      <c r="AC1558" s="1063"/>
      <c r="AD1558" s="1063"/>
      <c r="AE1558" s="1063"/>
      <c r="AF1558" s="1063"/>
      <c r="AG1558" s="1063"/>
      <c r="AH1558" s="1063"/>
      <c r="AI1558" s="1063"/>
      <c r="AJ1558" s="1063"/>
      <c r="AK1558" s="1063"/>
      <c r="AL1558" s="1063"/>
      <c r="AM1558" s="1063"/>
      <c r="AN1558" s="1063"/>
      <c r="AO1558" s="1063"/>
      <c r="AP1558" s="1063"/>
      <c r="AQ1558" s="1063"/>
      <c r="AR1558" s="1063"/>
      <c r="AS1558" s="1063"/>
      <c r="AT1558" s="1063"/>
      <c r="AU1558" s="1063"/>
      <c r="AV1558" s="1063"/>
    </row>
    <row r="1559" spans="1:48" s="1108" customFormat="1" ht="27.75" customHeight="1">
      <c r="A1559" s="1076"/>
      <c r="B1559" s="1074">
        <f>+'[18]Bldg+Dev'!S2371</f>
        <v>0</v>
      </c>
      <c r="D1559" s="1063"/>
      <c r="F1559" s="1076"/>
      <c r="G1559" s="1063"/>
      <c r="H1559" s="1063"/>
      <c r="I1559" s="1063"/>
      <c r="J1559" s="1063"/>
      <c r="K1559" s="1063"/>
      <c r="L1559" s="1063"/>
      <c r="M1559" s="1063"/>
      <c r="N1559" s="1063"/>
      <c r="O1559" s="1063"/>
      <c r="P1559" s="1063"/>
      <c r="Q1559" s="1063"/>
      <c r="R1559" s="1063"/>
      <c r="S1559" s="1063"/>
      <c r="T1559" s="1063"/>
      <c r="U1559" s="1063"/>
      <c r="V1559" s="1063"/>
      <c r="W1559" s="1063"/>
      <c r="X1559" s="1063"/>
      <c r="Y1559" s="1063"/>
      <c r="Z1559" s="1063"/>
      <c r="AA1559" s="1063"/>
      <c r="AB1559" s="1063"/>
      <c r="AC1559" s="1063"/>
      <c r="AD1559" s="1063"/>
      <c r="AE1559" s="1063"/>
      <c r="AF1559" s="1063"/>
      <c r="AG1559" s="1063"/>
      <c r="AH1559" s="1063"/>
      <c r="AI1559" s="1063"/>
      <c r="AJ1559" s="1063"/>
      <c r="AK1559" s="1063"/>
      <c r="AL1559" s="1063"/>
      <c r="AM1559" s="1063"/>
      <c r="AN1559" s="1063"/>
      <c r="AO1559" s="1063"/>
      <c r="AP1559" s="1063"/>
      <c r="AQ1559" s="1063"/>
      <c r="AR1559" s="1063"/>
      <c r="AS1559" s="1063"/>
      <c r="AT1559" s="1063"/>
      <c r="AU1559" s="1063"/>
      <c r="AV1559" s="1063"/>
    </row>
    <row r="1560" spans="1:48" s="1108" customFormat="1" ht="27.75" customHeight="1">
      <c r="A1560" s="1076"/>
      <c r="B1560" s="1074">
        <f>+'[18]Bldg+Dev'!S2372</f>
        <v>0</v>
      </c>
      <c r="D1560" s="1063"/>
      <c r="F1560" s="1076"/>
      <c r="G1560" s="1063"/>
      <c r="H1560" s="1063"/>
      <c r="I1560" s="1063"/>
      <c r="J1560" s="1063"/>
      <c r="K1560" s="1063"/>
      <c r="L1560" s="1063"/>
      <c r="M1560" s="1063"/>
      <c r="N1560" s="1063"/>
      <c r="O1560" s="1063"/>
      <c r="P1560" s="1063"/>
      <c r="Q1560" s="1063"/>
      <c r="R1560" s="1063"/>
      <c r="S1560" s="1063"/>
      <c r="T1560" s="1063"/>
      <c r="U1560" s="1063"/>
      <c r="V1560" s="1063"/>
      <c r="W1560" s="1063"/>
      <c r="X1560" s="1063"/>
      <c r="Y1560" s="1063"/>
      <c r="Z1560" s="1063"/>
      <c r="AA1560" s="1063"/>
      <c r="AB1560" s="1063"/>
      <c r="AC1560" s="1063"/>
      <c r="AD1560" s="1063"/>
      <c r="AE1560" s="1063"/>
      <c r="AF1560" s="1063"/>
      <c r="AG1560" s="1063"/>
      <c r="AH1560" s="1063"/>
      <c r="AI1560" s="1063"/>
      <c r="AJ1560" s="1063"/>
      <c r="AK1560" s="1063"/>
      <c r="AL1560" s="1063"/>
      <c r="AM1560" s="1063"/>
      <c r="AN1560" s="1063"/>
      <c r="AO1560" s="1063"/>
      <c r="AP1560" s="1063"/>
      <c r="AQ1560" s="1063"/>
      <c r="AR1560" s="1063"/>
      <c r="AS1560" s="1063"/>
      <c r="AT1560" s="1063"/>
      <c r="AU1560" s="1063"/>
      <c r="AV1560" s="1063"/>
    </row>
    <row r="1561" spans="1:48" s="1108" customFormat="1" ht="27.75" customHeight="1">
      <c r="A1561" s="1076"/>
      <c r="B1561" s="1074">
        <f>+'[18]Bldg+Dev'!S2373</f>
        <v>0</v>
      </c>
      <c r="D1561" s="1063"/>
      <c r="F1561" s="1076"/>
      <c r="G1561" s="1063"/>
      <c r="H1561" s="1063"/>
      <c r="I1561" s="1063"/>
      <c r="J1561" s="1063"/>
      <c r="K1561" s="1063"/>
      <c r="L1561" s="1063"/>
      <c r="M1561" s="1063"/>
      <c r="N1561" s="1063"/>
      <c r="O1561" s="1063"/>
      <c r="P1561" s="1063"/>
      <c r="Q1561" s="1063"/>
      <c r="R1561" s="1063"/>
      <c r="S1561" s="1063"/>
      <c r="T1561" s="1063"/>
      <c r="U1561" s="1063"/>
      <c r="V1561" s="1063"/>
      <c r="W1561" s="1063"/>
      <c r="X1561" s="1063"/>
      <c r="Y1561" s="1063"/>
      <c r="Z1561" s="1063"/>
      <c r="AA1561" s="1063"/>
      <c r="AB1561" s="1063"/>
      <c r="AC1561" s="1063"/>
      <c r="AD1561" s="1063"/>
      <c r="AE1561" s="1063"/>
      <c r="AF1561" s="1063"/>
      <c r="AG1561" s="1063"/>
      <c r="AH1561" s="1063"/>
      <c r="AI1561" s="1063"/>
      <c r="AJ1561" s="1063"/>
      <c r="AK1561" s="1063"/>
      <c r="AL1561" s="1063"/>
      <c r="AM1561" s="1063"/>
      <c r="AN1561" s="1063"/>
      <c r="AO1561" s="1063"/>
      <c r="AP1561" s="1063"/>
      <c r="AQ1561" s="1063"/>
      <c r="AR1561" s="1063"/>
      <c r="AS1561" s="1063"/>
      <c r="AT1561" s="1063"/>
      <c r="AU1561" s="1063"/>
      <c r="AV1561" s="1063"/>
    </row>
    <row r="1562" spans="1:48" s="1108" customFormat="1" ht="27.75" customHeight="1">
      <c r="A1562" s="1076"/>
      <c r="B1562" s="1074">
        <f>+'[18]Bldg+Dev'!S2374</f>
        <v>0</v>
      </c>
      <c r="D1562" s="1063"/>
      <c r="F1562" s="1076"/>
      <c r="G1562" s="1063"/>
      <c r="H1562" s="1063"/>
      <c r="I1562" s="1063"/>
      <c r="J1562" s="1063"/>
      <c r="K1562" s="1063"/>
      <c r="L1562" s="1063"/>
      <c r="M1562" s="1063"/>
      <c r="N1562" s="1063"/>
      <c r="O1562" s="1063"/>
      <c r="P1562" s="1063"/>
      <c r="Q1562" s="1063"/>
      <c r="R1562" s="1063"/>
      <c r="S1562" s="1063"/>
      <c r="T1562" s="1063"/>
      <c r="U1562" s="1063"/>
      <c r="V1562" s="1063"/>
      <c r="W1562" s="1063"/>
      <c r="X1562" s="1063"/>
      <c r="Y1562" s="1063"/>
      <c r="Z1562" s="1063"/>
      <c r="AA1562" s="1063"/>
      <c r="AB1562" s="1063"/>
      <c r="AC1562" s="1063"/>
      <c r="AD1562" s="1063"/>
      <c r="AE1562" s="1063"/>
      <c r="AF1562" s="1063"/>
      <c r="AG1562" s="1063"/>
      <c r="AH1562" s="1063"/>
      <c r="AI1562" s="1063"/>
      <c r="AJ1562" s="1063"/>
      <c r="AK1562" s="1063"/>
      <c r="AL1562" s="1063"/>
      <c r="AM1562" s="1063"/>
      <c r="AN1562" s="1063"/>
      <c r="AO1562" s="1063"/>
      <c r="AP1562" s="1063"/>
      <c r="AQ1562" s="1063"/>
      <c r="AR1562" s="1063"/>
      <c r="AS1562" s="1063"/>
      <c r="AT1562" s="1063"/>
      <c r="AU1562" s="1063"/>
      <c r="AV1562" s="1063"/>
    </row>
    <row r="1563" spans="1:48" s="1108" customFormat="1" ht="27.75" customHeight="1">
      <c r="A1563" s="1076"/>
      <c r="B1563" s="1074">
        <f>+'[18]Bldg+Dev'!S2375</f>
        <v>0</v>
      </c>
      <c r="D1563" s="1063"/>
      <c r="F1563" s="1076"/>
      <c r="G1563" s="1063"/>
      <c r="H1563" s="1063"/>
      <c r="I1563" s="1063"/>
      <c r="J1563" s="1063"/>
      <c r="K1563" s="1063"/>
      <c r="L1563" s="1063"/>
      <c r="M1563" s="1063"/>
      <c r="N1563" s="1063"/>
      <c r="O1563" s="1063"/>
      <c r="P1563" s="1063"/>
      <c r="Q1563" s="1063"/>
      <c r="R1563" s="1063"/>
      <c r="S1563" s="1063"/>
      <c r="T1563" s="1063"/>
      <c r="U1563" s="1063"/>
      <c r="V1563" s="1063"/>
      <c r="W1563" s="1063"/>
      <c r="X1563" s="1063"/>
      <c r="Y1563" s="1063"/>
      <c r="Z1563" s="1063"/>
      <c r="AA1563" s="1063"/>
      <c r="AB1563" s="1063"/>
      <c r="AC1563" s="1063"/>
      <c r="AD1563" s="1063"/>
      <c r="AE1563" s="1063"/>
      <c r="AF1563" s="1063"/>
      <c r="AG1563" s="1063"/>
      <c r="AH1563" s="1063"/>
      <c r="AI1563" s="1063"/>
      <c r="AJ1563" s="1063"/>
      <c r="AK1563" s="1063"/>
      <c r="AL1563" s="1063"/>
      <c r="AM1563" s="1063"/>
      <c r="AN1563" s="1063"/>
      <c r="AO1563" s="1063"/>
      <c r="AP1563" s="1063"/>
      <c r="AQ1563" s="1063"/>
      <c r="AR1563" s="1063"/>
      <c r="AS1563" s="1063"/>
      <c r="AT1563" s="1063"/>
      <c r="AU1563" s="1063"/>
      <c r="AV1563" s="1063"/>
    </row>
    <row r="1564" spans="1:48" s="1108" customFormat="1" ht="27.75" customHeight="1">
      <c r="A1564" s="1076"/>
      <c r="B1564" s="1074">
        <f>+'[18]Bldg+Dev'!S2376</f>
        <v>0</v>
      </c>
      <c r="D1564" s="1063"/>
      <c r="F1564" s="1076"/>
      <c r="G1564" s="1063"/>
      <c r="H1564" s="1063"/>
      <c r="I1564" s="1063"/>
      <c r="J1564" s="1063"/>
      <c r="K1564" s="1063"/>
      <c r="L1564" s="1063"/>
      <c r="M1564" s="1063"/>
      <c r="N1564" s="1063"/>
      <c r="O1564" s="1063"/>
      <c r="P1564" s="1063"/>
      <c r="Q1564" s="1063"/>
      <c r="R1564" s="1063"/>
      <c r="S1564" s="1063"/>
      <c r="T1564" s="1063"/>
      <c r="U1564" s="1063"/>
      <c r="V1564" s="1063"/>
      <c r="W1564" s="1063"/>
      <c r="X1564" s="1063"/>
      <c r="Y1564" s="1063"/>
      <c r="Z1564" s="1063"/>
      <c r="AA1564" s="1063"/>
      <c r="AB1564" s="1063"/>
      <c r="AC1564" s="1063"/>
      <c r="AD1564" s="1063"/>
      <c r="AE1564" s="1063"/>
      <c r="AF1564" s="1063"/>
      <c r="AG1564" s="1063"/>
      <c r="AH1564" s="1063"/>
      <c r="AI1564" s="1063"/>
      <c r="AJ1564" s="1063"/>
      <c r="AK1564" s="1063"/>
      <c r="AL1564" s="1063"/>
      <c r="AM1564" s="1063"/>
      <c r="AN1564" s="1063"/>
      <c r="AO1564" s="1063"/>
      <c r="AP1564" s="1063"/>
      <c r="AQ1564" s="1063"/>
      <c r="AR1564" s="1063"/>
      <c r="AS1564" s="1063"/>
      <c r="AT1564" s="1063"/>
      <c r="AU1564" s="1063"/>
      <c r="AV1564" s="1063"/>
    </row>
    <row r="1565" spans="1:48" s="1108" customFormat="1" ht="27.75" customHeight="1">
      <c r="A1565" s="1076"/>
      <c r="B1565" s="1074">
        <f>+'[18]Bldg+Dev'!S2377</f>
        <v>0</v>
      </c>
      <c r="D1565" s="1063"/>
      <c r="F1565" s="1076"/>
      <c r="G1565" s="1063"/>
      <c r="H1565" s="1063"/>
      <c r="I1565" s="1063"/>
      <c r="J1565" s="1063"/>
      <c r="K1565" s="1063"/>
      <c r="L1565" s="1063"/>
      <c r="M1565" s="1063"/>
      <c r="N1565" s="1063"/>
      <c r="O1565" s="1063"/>
      <c r="P1565" s="1063"/>
      <c r="Q1565" s="1063"/>
      <c r="R1565" s="1063"/>
      <c r="S1565" s="1063"/>
      <c r="T1565" s="1063"/>
      <c r="U1565" s="1063"/>
      <c r="V1565" s="1063"/>
      <c r="W1565" s="1063"/>
      <c r="X1565" s="1063"/>
      <c r="Y1565" s="1063"/>
      <c r="Z1565" s="1063"/>
      <c r="AA1565" s="1063"/>
      <c r="AB1565" s="1063"/>
      <c r="AC1565" s="1063"/>
      <c r="AD1565" s="1063"/>
      <c r="AE1565" s="1063"/>
      <c r="AF1565" s="1063"/>
      <c r="AG1565" s="1063"/>
      <c r="AH1565" s="1063"/>
      <c r="AI1565" s="1063"/>
      <c r="AJ1565" s="1063"/>
      <c r="AK1565" s="1063"/>
      <c r="AL1565" s="1063"/>
      <c r="AM1565" s="1063"/>
      <c r="AN1565" s="1063"/>
      <c r="AO1565" s="1063"/>
      <c r="AP1565" s="1063"/>
      <c r="AQ1565" s="1063"/>
      <c r="AR1565" s="1063"/>
      <c r="AS1565" s="1063"/>
      <c r="AT1565" s="1063"/>
      <c r="AU1565" s="1063"/>
      <c r="AV1565" s="1063"/>
    </row>
    <row r="1566" spans="1:48" s="1108" customFormat="1" ht="27.75" customHeight="1">
      <c r="A1566" s="1076"/>
      <c r="B1566" s="1074">
        <f>+'[18]Bldg+Dev'!S2378</f>
        <v>0</v>
      </c>
      <c r="D1566" s="1063"/>
      <c r="F1566" s="1076"/>
      <c r="G1566" s="1063"/>
      <c r="H1566" s="1063"/>
      <c r="I1566" s="1063"/>
      <c r="J1566" s="1063"/>
      <c r="K1566" s="1063"/>
      <c r="L1566" s="1063"/>
      <c r="M1566" s="1063"/>
      <c r="N1566" s="1063"/>
      <c r="O1566" s="1063"/>
      <c r="P1566" s="1063"/>
      <c r="Q1566" s="1063"/>
      <c r="R1566" s="1063"/>
      <c r="S1566" s="1063"/>
      <c r="T1566" s="1063"/>
      <c r="U1566" s="1063"/>
      <c r="V1566" s="1063"/>
      <c r="W1566" s="1063"/>
      <c r="X1566" s="1063"/>
      <c r="Y1566" s="1063"/>
      <c r="Z1566" s="1063"/>
      <c r="AA1566" s="1063"/>
      <c r="AB1566" s="1063"/>
      <c r="AC1566" s="1063"/>
      <c r="AD1566" s="1063"/>
      <c r="AE1566" s="1063"/>
      <c r="AF1566" s="1063"/>
      <c r="AG1566" s="1063"/>
      <c r="AH1566" s="1063"/>
      <c r="AI1566" s="1063"/>
      <c r="AJ1566" s="1063"/>
      <c r="AK1566" s="1063"/>
      <c r="AL1566" s="1063"/>
      <c r="AM1566" s="1063"/>
      <c r="AN1566" s="1063"/>
      <c r="AO1566" s="1063"/>
      <c r="AP1566" s="1063"/>
      <c r="AQ1566" s="1063"/>
      <c r="AR1566" s="1063"/>
      <c r="AS1566" s="1063"/>
      <c r="AT1566" s="1063"/>
      <c r="AU1566" s="1063"/>
      <c r="AV1566" s="1063"/>
    </row>
    <row r="1567" spans="1:48" s="1108" customFormat="1" ht="27.75" customHeight="1">
      <c r="A1567" s="1076"/>
      <c r="B1567" s="1074">
        <f>+'[18]Bldg+Dev'!S2379</f>
        <v>0</v>
      </c>
      <c r="D1567" s="1063"/>
      <c r="F1567" s="1076"/>
      <c r="G1567" s="1063"/>
      <c r="H1567" s="1063"/>
      <c r="I1567" s="1063"/>
      <c r="J1567" s="1063"/>
      <c r="K1567" s="1063"/>
      <c r="L1567" s="1063"/>
      <c r="M1567" s="1063"/>
      <c r="N1567" s="1063"/>
      <c r="O1567" s="1063"/>
      <c r="P1567" s="1063"/>
      <c r="Q1567" s="1063"/>
      <c r="R1567" s="1063"/>
      <c r="S1567" s="1063"/>
      <c r="T1567" s="1063"/>
      <c r="U1567" s="1063"/>
      <c r="V1567" s="1063"/>
      <c r="W1567" s="1063"/>
      <c r="X1567" s="1063"/>
      <c r="Y1567" s="1063"/>
      <c r="Z1567" s="1063"/>
      <c r="AA1567" s="1063"/>
      <c r="AB1567" s="1063"/>
      <c r="AC1567" s="1063"/>
      <c r="AD1567" s="1063"/>
      <c r="AE1567" s="1063"/>
      <c r="AF1567" s="1063"/>
      <c r="AG1567" s="1063"/>
      <c r="AH1567" s="1063"/>
      <c r="AI1567" s="1063"/>
      <c r="AJ1567" s="1063"/>
      <c r="AK1567" s="1063"/>
      <c r="AL1567" s="1063"/>
      <c r="AM1567" s="1063"/>
      <c r="AN1567" s="1063"/>
      <c r="AO1567" s="1063"/>
      <c r="AP1567" s="1063"/>
      <c r="AQ1567" s="1063"/>
      <c r="AR1567" s="1063"/>
      <c r="AS1567" s="1063"/>
      <c r="AT1567" s="1063"/>
      <c r="AU1567" s="1063"/>
      <c r="AV1567" s="1063"/>
    </row>
    <row r="1568" spans="1:48" s="1108" customFormat="1" ht="27.75" customHeight="1">
      <c r="A1568" s="1076"/>
      <c r="B1568" s="1074">
        <f>+'[18]Bldg+Dev'!S2380</f>
        <v>0</v>
      </c>
      <c r="D1568" s="1063"/>
      <c r="F1568" s="1076"/>
      <c r="G1568" s="1063"/>
      <c r="H1568" s="1063"/>
      <c r="I1568" s="1063"/>
      <c r="J1568" s="1063"/>
      <c r="K1568" s="1063"/>
      <c r="L1568" s="1063"/>
      <c r="M1568" s="1063"/>
      <c r="N1568" s="1063"/>
      <c r="O1568" s="1063"/>
      <c r="P1568" s="1063"/>
      <c r="Q1568" s="1063"/>
      <c r="R1568" s="1063"/>
      <c r="S1568" s="1063"/>
      <c r="T1568" s="1063"/>
      <c r="U1568" s="1063"/>
      <c r="V1568" s="1063"/>
      <c r="W1568" s="1063"/>
      <c r="X1568" s="1063"/>
      <c r="Y1568" s="1063"/>
      <c r="Z1568" s="1063"/>
      <c r="AA1568" s="1063"/>
      <c r="AB1568" s="1063"/>
      <c r="AC1568" s="1063"/>
      <c r="AD1568" s="1063"/>
      <c r="AE1568" s="1063"/>
      <c r="AF1568" s="1063"/>
      <c r="AG1568" s="1063"/>
      <c r="AH1568" s="1063"/>
      <c r="AI1568" s="1063"/>
      <c r="AJ1568" s="1063"/>
      <c r="AK1568" s="1063"/>
      <c r="AL1568" s="1063"/>
      <c r="AM1568" s="1063"/>
      <c r="AN1568" s="1063"/>
      <c r="AO1568" s="1063"/>
      <c r="AP1568" s="1063"/>
      <c r="AQ1568" s="1063"/>
      <c r="AR1568" s="1063"/>
      <c r="AS1568" s="1063"/>
      <c r="AT1568" s="1063"/>
      <c r="AU1568" s="1063"/>
      <c r="AV1568" s="1063"/>
    </row>
    <row r="1569" spans="1:48" s="1108" customFormat="1" ht="27.75" customHeight="1">
      <c r="A1569" s="1076"/>
      <c r="B1569" s="1074">
        <f>+'[18]Bldg+Dev'!S2381</f>
        <v>0</v>
      </c>
      <c r="D1569" s="1063"/>
      <c r="F1569" s="1076"/>
      <c r="G1569" s="1063"/>
      <c r="H1569" s="1063"/>
      <c r="I1569" s="1063"/>
      <c r="J1569" s="1063"/>
      <c r="K1569" s="1063"/>
      <c r="L1569" s="1063"/>
      <c r="M1569" s="1063"/>
      <c r="N1569" s="1063"/>
      <c r="O1569" s="1063"/>
      <c r="P1569" s="1063"/>
      <c r="Q1569" s="1063"/>
      <c r="R1569" s="1063"/>
      <c r="S1569" s="1063"/>
      <c r="T1569" s="1063"/>
      <c r="U1569" s="1063"/>
      <c r="V1569" s="1063"/>
      <c r="W1569" s="1063"/>
      <c r="X1569" s="1063"/>
      <c r="Y1569" s="1063"/>
      <c r="Z1569" s="1063"/>
      <c r="AA1569" s="1063"/>
      <c r="AB1569" s="1063"/>
      <c r="AC1569" s="1063"/>
      <c r="AD1569" s="1063"/>
      <c r="AE1569" s="1063"/>
      <c r="AF1569" s="1063"/>
      <c r="AG1569" s="1063"/>
      <c r="AH1569" s="1063"/>
      <c r="AI1569" s="1063"/>
      <c r="AJ1569" s="1063"/>
      <c r="AK1569" s="1063"/>
      <c r="AL1569" s="1063"/>
      <c r="AM1569" s="1063"/>
      <c r="AN1569" s="1063"/>
      <c r="AO1569" s="1063"/>
      <c r="AP1569" s="1063"/>
      <c r="AQ1569" s="1063"/>
      <c r="AR1569" s="1063"/>
      <c r="AS1569" s="1063"/>
      <c r="AT1569" s="1063"/>
      <c r="AU1569" s="1063"/>
      <c r="AV1569" s="1063"/>
    </row>
    <row r="1570" spans="1:48" s="1108" customFormat="1" ht="27.75" customHeight="1">
      <c r="A1570" s="1076"/>
      <c r="B1570" s="1074">
        <f>+'[18]Bldg+Dev'!S2382</f>
        <v>0</v>
      </c>
      <c r="D1570" s="1063"/>
      <c r="F1570" s="1076"/>
      <c r="G1570" s="1063"/>
      <c r="H1570" s="1063"/>
      <c r="I1570" s="1063"/>
      <c r="J1570" s="1063"/>
      <c r="K1570" s="1063"/>
      <c r="L1570" s="1063"/>
      <c r="M1570" s="1063"/>
      <c r="N1570" s="1063"/>
      <c r="O1570" s="1063"/>
      <c r="P1570" s="1063"/>
      <c r="Q1570" s="1063"/>
      <c r="R1570" s="1063"/>
      <c r="S1570" s="1063"/>
      <c r="T1570" s="1063"/>
      <c r="U1570" s="1063"/>
      <c r="V1570" s="1063"/>
      <c r="W1570" s="1063"/>
      <c r="X1570" s="1063"/>
      <c r="Y1570" s="1063"/>
      <c r="Z1570" s="1063"/>
      <c r="AA1570" s="1063"/>
      <c r="AB1570" s="1063"/>
      <c r="AC1570" s="1063"/>
      <c r="AD1570" s="1063"/>
      <c r="AE1570" s="1063"/>
      <c r="AF1570" s="1063"/>
      <c r="AG1570" s="1063"/>
      <c r="AH1570" s="1063"/>
      <c r="AI1570" s="1063"/>
      <c r="AJ1570" s="1063"/>
      <c r="AK1570" s="1063"/>
      <c r="AL1570" s="1063"/>
      <c r="AM1570" s="1063"/>
      <c r="AN1570" s="1063"/>
      <c r="AO1570" s="1063"/>
      <c r="AP1570" s="1063"/>
      <c r="AQ1570" s="1063"/>
      <c r="AR1570" s="1063"/>
      <c r="AS1570" s="1063"/>
      <c r="AT1570" s="1063"/>
      <c r="AU1570" s="1063"/>
      <c r="AV1570" s="1063"/>
    </row>
    <row r="1571" spans="1:48" s="1108" customFormat="1" ht="27.75" customHeight="1">
      <c r="A1571" s="1076"/>
      <c r="B1571" s="1074">
        <f>+'[18]Bldg+Dev'!S2383</f>
        <v>0</v>
      </c>
      <c r="D1571" s="1063"/>
      <c r="F1571" s="1076"/>
      <c r="G1571" s="1063"/>
      <c r="H1571" s="1063"/>
      <c r="I1571" s="1063"/>
      <c r="J1571" s="1063"/>
      <c r="K1571" s="1063"/>
      <c r="L1571" s="1063"/>
      <c r="M1571" s="1063"/>
      <c r="N1571" s="1063"/>
      <c r="O1571" s="1063"/>
      <c r="P1571" s="1063"/>
      <c r="Q1571" s="1063"/>
      <c r="R1571" s="1063"/>
      <c r="S1571" s="1063"/>
      <c r="T1571" s="1063"/>
      <c r="U1571" s="1063"/>
      <c r="V1571" s="1063"/>
      <c r="W1571" s="1063"/>
      <c r="X1571" s="1063"/>
      <c r="Y1571" s="1063"/>
      <c r="Z1571" s="1063"/>
      <c r="AA1571" s="1063"/>
      <c r="AB1571" s="1063"/>
      <c r="AC1571" s="1063"/>
      <c r="AD1571" s="1063"/>
      <c r="AE1571" s="1063"/>
      <c r="AF1571" s="1063"/>
      <c r="AG1571" s="1063"/>
      <c r="AH1571" s="1063"/>
      <c r="AI1571" s="1063"/>
      <c r="AJ1571" s="1063"/>
      <c r="AK1571" s="1063"/>
      <c r="AL1571" s="1063"/>
      <c r="AM1571" s="1063"/>
      <c r="AN1571" s="1063"/>
      <c r="AO1571" s="1063"/>
      <c r="AP1571" s="1063"/>
      <c r="AQ1571" s="1063"/>
      <c r="AR1571" s="1063"/>
      <c r="AS1571" s="1063"/>
      <c r="AT1571" s="1063"/>
      <c r="AU1571" s="1063"/>
      <c r="AV1571" s="1063"/>
    </row>
    <row r="1572" spans="1:48" s="1108" customFormat="1" ht="27.75" customHeight="1">
      <c r="A1572" s="1076"/>
      <c r="B1572" s="1074">
        <f>+'[18]Bldg+Dev'!S2384</f>
        <v>0</v>
      </c>
      <c r="D1572" s="1063"/>
      <c r="F1572" s="1076"/>
      <c r="G1572" s="1063"/>
      <c r="H1572" s="1063"/>
      <c r="I1572" s="1063"/>
      <c r="J1572" s="1063"/>
      <c r="K1572" s="1063"/>
      <c r="L1572" s="1063"/>
      <c r="M1572" s="1063"/>
      <c r="N1572" s="1063"/>
      <c r="O1572" s="1063"/>
      <c r="P1572" s="1063"/>
      <c r="Q1572" s="1063"/>
      <c r="R1572" s="1063"/>
      <c r="S1572" s="1063"/>
      <c r="T1572" s="1063"/>
      <c r="U1572" s="1063"/>
      <c r="V1572" s="1063"/>
      <c r="W1572" s="1063"/>
      <c r="X1572" s="1063"/>
      <c r="Y1572" s="1063"/>
      <c r="Z1572" s="1063"/>
      <c r="AA1572" s="1063"/>
      <c r="AB1572" s="1063"/>
      <c r="AC1572" s="1063"/>
      <c r="AD1572" s="1063"/>
      <c r="AE1572" s="1063"/>
      <c r="AF1572" s="1063"/>
      <c r="AG1572" s="1063"/>
      <c r="AH1572" s="1063"/>
      <c r="AI1572" s="1063"/>
      <c r="AJ1572" s="1063"/>
      <c r="AK1572" s="1063"/>
      <c r="AL1572" s="1063"/>
      <c r="AM1572" s="1063"/>
      <c r="AN1572" s="1063"/>
      <c r="AO1572" s="1063"/>
      <c r="AP1572" s="1063"/>
      <c r="AQ1572" s="1063"/>
      <c r="AR1572" s="1063"/>
      <c r="AS1572" s="1063"/>
      <c r="AT1572" s="1063"/>
      <c r="AU1572" s="1063"/>
      <c r="AV1572" s="1063"/>
    </row>
    <row r="1573" spans="1:48" s="1108" customFormat="1" ht="27.75" customHeight="1">
      <c r="A1573" s="1076"/>
      <c r="B1573" s="1074">
        <f>+'[18]Bldg+Dev'!S2385</f>
        <v>0</v>
      </c>
      <c r="D1573" s="1063"/>
      <c r="F1573" s="1076"/>
      <c r="G1573" s="1063"/>
      <c r="H1573" s="1063"/>
      <c r="I1573" s="1063"/>
      <c r="J1573" s="1063"/>
      <c r="K1573" s="1063"/>
      <c r="L1573" s="1063"/>
      <c r="M1573" s="1063"/>
      <c r="N1573" s="1063"/>
      <c r="O1573" s="1063"/>
      <c r="P1573" s="1063"/>
      <c r="Q1573" s="1063"/>
      <c r="R1573" s="1063"/>
      <c r="S1573" s="1063"/>
      <c r="T1573" s="1063"/>
      <c r="U1573" s="1063"/>
      <c r="V1573" s="1063"/>
      <c r="W1573" s="1063"/>
      <c r="X1573" s="1063"/>
      <c r="Y1573" s="1063"/>
      <c r="Z1573" s="1063"/>
      <c r="AA1573" s="1063"/>
      <c r="AB1573" s="1063"/>
      <c r="AC1573" s="1063"/>
      <c r="AD1573" s="1063"/>
      <c r="AE1573" s="1063"/>
      <c r="AF1573" s="1063"/>
      <c r="AG1573" s="1063"/>
      <c r="AH1573" s="1063"/>
      <c r="AI1573" s="1063"/>
      <c r="AJ1573" s="1063"/>
      <c r="AK1573" s="1063"/>
      <c r="AL1573" s="1063"/>
      <c r="AM1573" s="1063"/>
      <c r="AN1573" s="1063"/>
      <c r="AO1573" s="1063"/>
      <c r="AP1573" s="1063"/>
      <c r="AQ1573" s="1063"/>
      <c r="AR1573" s="1063"/>
      <c r="AS1573" s="1063"/>
      <c r="AT1573" s="1063"/>
      <c r="AU1573" s="1063"/>
      <c r="AV1573" s="1063"/>
    </row>
    <row r="1574" spans="1:48" s="1108" customFormat="1" ht="27.75" customHeight="1">
      <c r="A1574" s="1076"/>
      <c r="B1574" s="1074">
        <f>+'[18]Bldg+Dev'!S2386</f>
        <v>0</v>
      </c>
      <c r="D1574" s="1063"/>
      <c r="F1574" s="1076"/>
      <c r="G1574" s="1063"/>
      <c r="H1574" s="1063"/>
      <c r="I1574" s="1063"/>
      <c r="J1574" s="1063"/>
      <c r="K1574" s="1063"/>
      <c r="L1574" s="1063"/>
      <c r="M1574" s="1063"/>
      <c r="N1574" s="1063"/>
      <c r="O1574" s="1063"/>
      <c r="P1574" s="1063"/>
      <c r="Q1574" s="1063"/>
      <c r="R1574" s="1063"/>
      <c r="S1574" s="1063"/>
      <c r="T1574" s="1063"/>
      <c r="U1574" s="1063"/>
      <c r="V1574" s="1063"/>
      <c r="W1574" s="1063"/>
      <c r="X1574" s="1063"/>
      <c r="Y1574" s="1063"/>
      <c r="Z1574" s="1063"/>
      <c r="AA1574" s="1063"/>
      <c r="AB1574" s="1063"/>
      <c r="AC1574" s="1063"/>
      <c r="AD1574" s="1063"/>
      <c r="AE1574" s="1063"/>
      <c r="AF1574" s="1063"/>
      <c r="AG1574" s="1063"/>
      <c r="AH1574" s="1063"/>
      <c r="AI1574" s="1063"/>
      <c r="AJ1574" s="1063"/>
      <c r="AK1574" s="1063"/>
      <c r="AL1574" s="1063"/>
      <c r="AM1574" s="1063"/>
      <c r="AN1574" s="1063"/>
      <c r="AO1574" s="1063"/>
      <c r="AP1574" s="1063"/>
      <c r="AQ1574" s="1063"/>
      <c r="AR1574" s="1063"/>
      <c r="AS1574" s="1063"/>
      <c r="AT1574" s="1063"/>
      <c r="AU1574" s="1063"/>
      <c r="AV1574" s="1063"/>
    </row>
    <row r="1575" spans="1:48" s="1108" customFormat="1" ht="27.75" customHeight="1">
      <c r="A1575" s="1076"/>
      <c r="B1575" s="1074">
        <f>+'[18]Bldg+Dev'!S2387</f>
        <v>0</v>
      </c>
      <c r="D1575" s="1063"/>
      <c r="F1575" s="1076"/>
      <c r="G1575" s="1063"/>
      <c r="H1575" s="1063"/>
      <c r="I1575" s="1063"/>
      <c r="J1575" s="1063"/>
      <c r="K1575" s="1063"/>
      <c r="L1575" s="1063"/>
      <c r="M1575" s="1063"/>
      <c r="N1575" s="1063"/>
      <c r="O1575" s="1063"/>
      <c r="P1575" s="1063"/>
      <c r="Q1575" s="1063"/>
      <c r="R1575" s="1063"/>
      <c r="S1575" s="1063"/>
      <c r="T1575" s="1063"/>
      <c r="U1575" s="1063"/>
      <c r="V1575" s="1063"/>
      <c r="W1575" s="1063"/>
      <c r="X1575" s="1063"/>
      <c r="Y1575" s="1063"/>
      <c r="Z1575" s="1063"/>
      <c r="AA1575" s="1063"/>
      <c r="AB1575" s="1063"/>
      <c r="AC1575" s="1063"/>
      <c r="AD1575" s="1063"/>
      <c r="AE1575" s="1063"/>
      <c r="AF1575" s="1063"/>
      <c r="AG1575" s="1063"/>
      <c r="AH1575" s="1063"/>
      <c r="AI1575" s="1063"/>
      <c r="AJ1575" s="1063"/>
      <c r="AK1575" s="1063"/>
      <c r="AL1575" s="1063"/>
      <c r="AM1575" s="1063"/>
      <c r="AN1575" s="1063"/>
      <c r="AO1575" s="1063"/>
      <c r="AP1575" s="1063"/>
      <c r="AQ1575" s="1063"/>
      <c r="AR1575" s="1063"/>
      <c r="AS1575" s="1063"/>
      <c r="AT1575" s="1063"/>
      <c r="AU1575" s="1063"/>
      <c r="AV1575" s="1063"/>
    </row>
    <row r="1576" spans="1:48" s="1108" customFormat="1" ht="27.75" customHeight="1">
      <c r="A1576" s="1076"/>
      <c r="B1576" s="1074">
        <f>+'[18]Bldg+Dev'!S2388</f>
        <v>0</v>
      </c>
      <c r="D1576" s="1063"/>
      <c r="F1576" s="1076"/>
      <c r="G1576" s="1063"/>
      <c r="H1576" s="1063"/>
      <c r="I1576" s="1063"/>
      <c r="J1576" s="1063"/>
      <c r="K1576" s="1063"/>
      <c r="L1576" s="1063"/>
      <c r="M1576" s="1063"/>
      <c r="N1576" s="1063"/>
      <c r="O1576" s="1063"/>
      <c r="P1576" s="1063"/>
      <c r="Q1576" s="1063"/>
      <c r="R1576" s="1063"/>
      <c r="S1576" s="1063"/>
      <c r="T1576" s="1063"/>
      <c r="U1576" s="1063"/>
      <c r="V1576" s="1063"/>
      <c r="W1576" s="1063"/>
      <c r="X1576" s="1063"/>
      <c r="Y1576" s="1063"/>
      <c r="Z1576" s="1063"/>
      <c r="AA1576" s="1063"/>
      <c r="AB1576" s="1063"/>
      <c r="AC1576" s="1063"/>
      <c r="AD1576" s="1063"/>
      <c r="AE1576" s="1063"/>
      <c r="AF1576" s="1063"/>
      <c r="AG1576" s="1063"/>
      <c r="AH1576" s="1063"/>
      <c r="AI1576" s="1063"/>
      <c r="AJ1576" s="1063"/>
      <c r="AK1576" s="1063"/>
      <c r="AL1576" s="1063"/>
      <c r="AM1576" s="1063"/>
      <c r="AN1576" s="1063"/>
      <c r="AO1576" s="1063"/>
      <c r="AP1576" s="1063"/>
      <c r="AQ1576" s="1063"/>
      <c r="AR1576" s="1063"/>
      <c r="AS1576" s="1063"/>
      <c r="AT1576" s="1063"/>
      <c r="AU1576" s="1063"/>
      <c r="AV1576" s="1063"/>
    </row>
    <row r="1577" spans="1:48" s="1108" customFormat="1" ht="27.75" customHeight="1">
      <c r="A1577" s="1076"/>
      <c r="B1577" s="1074">
        <f>+'[18]Bldg+Dev'!S2389</f>
        <v>0</v>
      </c>
      <c r="D1577" s="1063"/>
      <c r="F1577" s="1076"/>
      <c r="G1577" s="1063"/>
      <c r="H1577" s="1063"/>
      <c r="I1577" s="1063"/>
      <c r="J1577" s="1063"/>
      <c r="K1577" s="1063"/>
      <c r="L1577" s="1063"/>
      <c r="M1577" s="1063"/>
      <c r="N1577" s="1063"/>
      <c r="O1577" s="1063"/>
      <c r="P1577" s="1063"/>
      <c r="Q1577" s="1063"/>
      <c r="R1577" s="1063"/>
      <c r="S1577" s="1063"/>
      <c r="T1577" s="1063"/>
      <c r="U1577" s="1063"/>
      <c r="V1577" s="1063"/>
      <c r="W1577" s="1063"/>
      <c r="X1577" s="1063"/>
      <c r="Y1577" s="1063"/>
      <c r="Z1577" s="1063"/>
      <c r="AA1577" s="1063"/>
      <c r="AB1577" s="1063"/>
      <c r="AC1577" s="1063"/>
      <c r="AD1577" s="1063"/>
      <c r="AE1577" s="1063"/>
      <c r="AF1577" s="1063"/>
      <c r="AG1577" s="1063"/>
      <c r="AH1577" s="1063"/>
      <c r="AI1577" s="1063"/>
      <c r="AJ1577" s="1063"/>
      <c r="AK1577" s="1063"/>
      <c r="AL1577" s="1063"/>
      <c r="AM1577" s="1063"/>
      <c r="AN1577" s="1063"/>
      <c r="AO1577" s="1063"/>
      <c r="AP1577" s="1063"/>
      <c r="AQ1577" s="1063"/>
      <c r="AR1577" s="1063"/>
      <c r="AS1577" s="1063"/>
      <c r="AT1577" s="1063"/>
      <c r="AU1577" s="1063"/>
      <c r="AV1577" s="1063"/>
    </row>
    <row r="1578" spans="1:48" s="1108" customFormat="1" ht="27.75" customHeight="1">
      <c r="A1578" s="1076"/>
      <c r="B1578" s="1074">
        <f>+'[18]Bldg+Dev'!S2390</f>
        <v>0</v>
      </c>
      <c r="D1578" s="1063"/>
      <c r="F1578" s="1076"/>
      <c r="G1578" s="1063"/>
      <c r="H1578" s="1063"/>
      <c r="I1578" s="1063"/>
      <c r="J1578" s="1063"/>
      <c r="K1578" s="1063"/>
      <c r="L1578" s="1063"/>
      <c r="M1578" s="1063"/>
      <c r="N1578" s="1063"/>
      <c r="O1578" s="1063"/>
      <c r="P1578" s="1063"/>
      <c r="Q1578" s="1063"/>
      <c r="R1578" s="1063"/>
      <c r="S1578" s="1063"/>
      <c r="T1578" s="1063"/>
      <c r="U1578" s="1063"/>
      <c r="V1578" s="1063"/>
      <c r="W1578" s="1063"/>
      <c r="X1578" s="1063"/>
      <c r="Y1578" s="1063"/>
      <c r="Z1578" s="1063"/>
      <c r="AA1578" s="1063"/>
      <c r="AB1578" s="1063"/>
      <c r="AC1578" s="1063"/>
      <c r="AD1578" s="1063"/>
      <c r="AE1578" s="1063"/>
      <c r="AF1578" s="1063"/>
      <c r="AG1578" s="1063"/>
      <c r="AH1578" s="1063"/>
      <c r="AI1578" s="1063"/>
      <c r="AJ1578" s="1063"/>
      <c r="AK1578" s="1063"/>
      <c r="AL1578" s="1063"/>
      <c r="AM1578" s="1063"/>
      <c r="AN1578" s="1063"/>
      <c r="AO1578" s="1063"/>
      <c r="AP1578" s="1063"/>
      <c r="AQ1578" s="1063"/>
      <c r="AR1578" s="1063"/>
      <c r="AS1578" s="1063"/>
      <c r="AT1578" s="1063"/>
      <c r="AU1578" s="1063"/>
      <c r="AV1578" s="1063"/>
    </row>
    <row r="1579" spans="1:48" s="1108" customFormat="1" ht="27.75" customHeight="1">
      <c r="A1579" s="1076"/>
      <c r="B1579" s="1074">
        <f>+'[18]Bldg+Dev'!S2391</f>
        <v>0</v>
      </c>
      <c r="D1579" s="1063"/>
      <c r="F1579" s="1076"/>
      <c r="G1579" s="1063"/>
      <c r="H1579" s="1063"/>
      <c r="I1579" s="1063"/>
      <c r="J1579" s="1063"/>
      <c r="K1579" s="1063"/>
      <c r="L1579" s="1063"/>
      <c r="M1579" s="1063"/>
      <c r="N1579" s="1063"/>
      <c r="O1579" s="1063"/>
      <c r="P1579" s="1063"/>
      <c r="Q1579" s="1063"/>
      <c r="R1579" s="1063"/>
      <c r="S1579" s="1063"/>
      <c r="T1579" s="1063"/>
      <c r="U1579" s="1063"/>
      <c r="V1579" s="1063"/>
      <c r="W1579" s="1063"/>
      <c r="X1579" s="1063"/>
      <c r="Y1579" s="1063"/>
      <c r="Z1579" s="1063"/>
      <c r="AA1579" s="1063"/>
      <c r="AB1579" s="1063"/>
      <c r="AC1579" s="1063"/>
      <c r="AD1579" s="1063"/>
      <c r="AE1579" s="1063"/>
      <c r="AF1579" s="1063"/>
      <c r="AG1579" s="1063"/>
      <c r="AH1579" s="1063"/>
      <c r="AI1579" s="1063"/>
      <c r="AJ1579" s="1063"/>
      <c r="AK1579" s="1063"/>
      <c r="AL1579" s="1063"/>
      <c r="AM1579" s="1063"/>
      <c r="AN1579" s="1063"/>
      <c r="AO1579" s="1063"/>
      <c r="AP1579" s="1063"/>
      <c r="AQ1579" s="1063"/>
      <c r="AR1579" s="1063"/>
      <c r="AS1579" s="1063"/>
      <c r="AT1579" s="1063"/>
      <c r="AU1579" s="1063"/>
      <c r="AV1579" s="1063"/>
    </row>
    <row r="1580" spans="1:48" s="1108" customFormat="1" ht="27.75" customHeight="1">
      <c r="A1580" s="1076"/>
      <c r="B1580" s="1074">
        <f>+'[18]Bldg+Dev'!S2392</f>
        <v>0</v>
      </c>
      <c r="D1580" s="1063"/>
      <c r="F1580" s="1076"/>
      <c r="G1580" s="1063"/>
      <c r="H1580" s="1063"/>
      <c r="I1580" s="1063"/>
      <c r="J1580" s="1063"/>
      <c r="K1580" s="1063"/>
      <c r="L1580" s="1063"/>
      <c r="M1580" s="1063"/>
      <c r="N1580" s="1063"/>
      <c r="O1580" s="1063"/>
      <c r="P1580" s="1063"/>
      <c r="Q1580" s="1063"/>
      <c r="R1580" s="1063"/>
      <c r="S1580" s="1063"/>
      <c r="T1580" s="1063"/>
      <c r="U1580" s="1063"/>
      <c r="V1580" s="1063"/>
      <c r="W1580" s="1063"/>
      <c r="X1580" s="1063"/>
      <c r="Y1580" s="1063"/>
      <c r="Z1580" s="1063"/>
      <c r="AA1580" s="1063"/>
      <c r="AB1580" s="1063"/>
      <c r="AC1580" s="1063"/>
      <c r="AD1580" s="1063"/>
      <c r="AE1580" s="1063"/>
      <c r="AF1580" s="1063"/>
      <c r="AG1580" s="1063"/>
      <c r="AH1580" s="1063"/>
      <c r="AI1580" s="1063"/>
      <c r="AJ1580" s="1063"/>
      <c r="AK1580" s="1063"/>
      <c r="AL1580" s="1063"/>
      <c r="AM1580" s="1063"/>
      <c r="AN1580" s="1063"/>
      <c r="AO1580" s="1063"/>
      <c r="AP1580" s="1063"/>
      <c r="AQ1580" s="1063"/>
      <c r="AR1580" s="1063"/>
      <c r="AS1580" s="1063"/>
      <c r="AT1580" s="1063"/>
      <c r="AU1580" s="1063"/>
      <c r="AV1580" s="1063"/>
    </row>
    <row r="1581" spans="1:48" s="1108" customFormat="1" ht="27.75" customHeight="1">
      <c r="A1581" s="1076"/>
      <c r="B1581" s="1074">
        <f>+'[18]Bldg+Dev'!S2393</f>
        <v>0</v>
      </c>
      <c r="D1581" s="1063"/>
      <c r="F1581" s="1076"/>
      <c r="G1581" s="1063"/>
      <c r="H1581" s="1063"/>
      <c r="I1581" s="1063"/>
      <c r="J1581" s="1063"/>
      <c r="K1581" s="1063"/>
      <c r="L1581" s="1063"/>
      <c r="M1581" s="1063"/>
      <c r="N1581" s="1063"/>
      <c r="O1581" s="1063"/>
      <c r="P1581" s="1063"/>
      <c r="Q1581" s="1063"/>
      <c r="R1581" s="1063"/>
      <c r="S1581" s="1063"/>
      <c r="T1581" s="1063"/>
      <c r="U1581" s="1063"/>
      <c r="V1581" s="1063"/>
      <c r="W1581" s="1063"/>
      <c r="X1581" s="1063"/>
      <c r="Y1581" s="1063"/>
      <c r="Z1581" s="1063"/>
      <c r="AA1581" s="1063"/>
      <c r="AB1581" s="1063"/>
      <c r="AC1581" s="1063"/>
      <c r="AD1581" s="1063"/>
      <c r="AE1581" s="1063"/>
      <c r="AF1581" s="1063"/>
      <c r="AG1581" s="1063"/>
      <c r="AH1581" s="1063"/>
      <c r="AI1581" s="1063"/>
      <c r="AJ1581" s="1063"/>
      <c r="AK1581" s="1063"/>
      <c r="AL1581" s="1063"/>
      <c r="AM1581" s="1063"/>
      <c r="AN1581" s="1063"/>
      <c r="AO1581" s="1063"/>
      <c r="AP1581" s="1063"/>
      <c r="AQ1581" s="1063"/>
      <c r="AR1581" s="1063"/>
      <c r="AS1581" s="1063"/>
      <c r="AT1581" s="1063"/>
      <c r="AU1581" s="1063"/>
      <c r="AV1581" s="1063"/>
    </row>
    <row r="1582" spans="1:48" s="1108" customFormat="1" ht="27.75" customHeight="1">
      <c r="A1582" s="1076"/>
      <c r="B1582" s="1074">
        <f>+'[18]Bldg+Dev'!S2394</f>
        <v>0</v>
      </c>
      <c r="D1582" s="1063"/>
      <c r="F1582" s="1076"/>
      <c r="G1582" s="1063"/>
      <c r="H1582" s="1063"/>
      <c r="I1582" s="1063"/>
      <c r="J1582" s="1063"/>
      <c r="K1582" s="1063"/>
      <c r="L1582" s="1063"/>
      <c r="M1582" s="1063"/>
      <c r="N1582" s="1063"/>
      <c r="O1582" s="1063"/>
      <c r="P1582" s="1063"/>
      <c r="Q1582" s="1063"/>
      <c r="R1582" s="1063"/>
      <c r="S1582" s="1063"/>
      <c r="T1582" s="1063"/>
      <c r="U1582" s="1063"/>
      <c r="V1582" s="1063"/>
      <c r="W1582" s="1063"/>
      <c r="X1582" s="1063"/>
      <c r="Y1582" s="1063"/>
      <c r="Z1582" s="1063"/>
      <c r="AA1582" s="1063"/>
      <c r="AB1582" s="1063"/>
      <c r="AC1582" s="1063"/>
      <c r="AD1582" s="1063"/>
      <c r="AE1582" s="1063"/>
      <c r="AF1582" s="1063"/>
      <c r="AG1582" s="1063"/>
      <c r="AH1582" s="1063"/>
      <c r="AI1582" s="1063"/>
      <c r="AJ1582" s="1063"/>
      <c r="AK1582" s="1063"/>
      <c r="AL1582" s="1063"/>
      <c r="AM1582" s="1063"/>
      <c r="AN1582" s="1063"/>
      <c r="AO1582" s="1063"/>
      <c r="AP1582" s="1063"/>
      <c r="AQ1582" s="1063"/>
      <c r="AR1582" s="1063"/>
      <c r="AS1582" s="1063"/>
      <c r="AT1582" s="1063"/>
      <c r="AU1582" s="1063"/>
      <c r="AV1582" s="1063"/>
    </row>
    <row r="1583" spans="1:48" s="1108" customFormat="1" ht="27.75" customHeight="1">
      <c r="A1583" s="1076"/>
      <c r="B1583" s="1074">
        <f>+'[18]Bldg+Dev'!S2395</f>
        <v>0</v>
      </c>
      <c r="D1583" s="1063"/>
      <c r="F1583" s="1076"/>
      <c r="G1583" s="1063"/>
      <c r="H1583" s="1063"/>
      <c r="I1583" s="1063"/>
      <c r="J1583" s="1063"/>
      <c r="K1583" s="1063"/>
      <c r="L1583" s="1063"/>
      <c r="M1583" s="1063"/>
      <c r="N1583" s="1063"/>
      <c r="O1583" s="1063"/>
      <c r="P1583" s="1063"/>
      <c r="Q1583" s="1063"/>
      <c r="R1583" s="1063"/>
      <c r="S1583" s="1063"/>
      <c r="T1583" s="1063"/>
      <c r="U1583" s="1063"/>
      <c r="V1583" s="1063"/>
      <c r="W1583" s="1063"/>
      <c r="X1583" s="1063"/>
      <c r="Y1583" s="1063"/>
      <c r="Z1583" s="1063"/>
      <c r="AA1583" s="1063"/>
      <c r="AB1583" s="1063"/>
      <c r="AC1583" s="1063"/>
      <c r="AD1583" s="1063"/>
      <c r="AE1583" s="1063"/>
      <c r="AF1583" s="1063"/>
      <c r="AG1583" s="1063"/>
      <c r="AH1583" s="1063"/>
      <c r="AI1583" s="1063"/>
      <c r="AJ1583" s="1063"/>
      <c r="AK1583" s="1063"/>
      <c r="AL1583" s="1063"/>
      <c r="AM1583" s="1063"/>
      <c r="AN1583" s="1063"/>
      <c r="AO1583" s="1063"/>
      <c r="AP1583" s="1063"/>
      <c r="AQ1583" s="1063"/>
      <c r="AR1583" s="1063"/>
      <c r="AS1583" s="1063"/>
      <c r="AT1583" s="1063"/>
      <c r="AU1583" s="1063"/>
      <c r="AV1583" s="1063"/>
    </row>
    <row r="1584" spans="1:48" s="1108" customFormat="1" ht="27.75" customHeight="1">
      <c r="A1584" s="1076"/>
      <c r="B1584" s="1074">
        <f>+'[18]Bldg+Dev'!S2396</f>
        <v>0</v>
      </c>
      <c r="D1584" s="1063"/>
      <c r="F1584" s="1076"/>
      <c r="G1584" s="1063"/>
      <c r="H1584" s="1063"/>
      <c r="I1584" s="1063"/>
      <c r="J1584" s="1063"/>
      <c r="K1584" s="1063"/>
      <c r="L1584" s="1063"/>
      <c r="M1584" s="1063"/>
      <c r="N1584" s="1063"/>
      <c r="O1584" s="1063"/>
      <c r="P1584" s="1063"/>
      <c r="Q1584" s="1063"/>
      <c r="R1584" s="1063"/>
      <c r="S1584" s="1063"/>
      <c r="T1584" s="1063"/>
      <c r="U1584" s="1063"/>
      <c r="V1584" s="1063"/>
      <c r="W1584" s="1063"/>
      <c r="X1584" s="1063"/>
      <c r="Y1584" s="1063"/>
      <c r="Z1584" s="1063"/>
      <c r="AA1584" s="1063"/>
      <c r="AB1584" s="1063"/>
      <c r="AC1584" s="1063"/>
      <c r="AD1584" s="1063"/>
      <c r="AE1584" s="1063"/>
      <c r="AF1584" s="1063"/>
      <c r="AG1584" s="1063"/>
      <c r="AH1584" s="1063"/>
      <c r="AI1584" s="1063"/>
      <c r="AJ1584" s="1063"/>
      <c r="AK1584" s="1063"/>
      <c r="AL1584" s="1063"/>
      <c r="AM1584" s="1063"/>
      <c r="AN1584" s="1063"/>
      <c r="AO1584" s="1063"/>
      <c r="AP1584" s="1063"/>
      <c r="AQ1584" s="1063"/>
      <c r="AR1584" s="1063"/>
      <c r="AS1584" s="1063"/>
      <c r="AT1584" s="1063"/>
      <c r="AU1584" s="1063"/>
      <c r="AV1584" s="1063"/>
    </row>
    <row r="1585" spans="1:48" s="1108" customFormat="1" ht="27.75" customHeight="1">
      <c r="A1585" s="1076"/>
      <c r="B1585" s="1074">
        <f>+'[18]Bldg+Dev'!S2397</f>
        <v>0</v>
      </c>
      <c r="D1585" s="1063"/>
      <c r="F1585" s="1076"/>
      <c r="G1585" s="1063"/>
      <c r="H1585" s="1063"/>
      <c r="I1585" s="1063"/>
      <c r="J1585" s="1063"/>
      <c r="K1585" s="1063"/>
      <c r="L1585" s="1063"/>
      <c r="M1585" s="1063"/>
      <c r="N1585" s="1063"/>
      <c r="O1585" s="1063"/>
      <c r="P1585" s="1063"/>
      <c r="Q1585" s="1063"/>
      <c r="R1585" s="1063"/>
      <c r="S1585" s="1063"/>
      <c r="T1585" s="1063"/>
      <c r="U1585" s="1063"/>
      <c r="V1585" s="1063"/>
      <c r="W1585" s="1063"/>
      <c r="X1585" s="1063"/>
      <c r="Y1585" s="1063"/>
      <c r="Z1585" s="1063"/>
      <c r="AA1585" s="1063"/>
      <c r="AB1585" s="1063"/>
      <c r="AC1585" s="1063"/>
      <c r="AD1585" s="1063"/>
      <c r="AE1585" s="1063"/>
      <c r="AF1585" s="1063"/>
      <c r="AG1585" s="1063"/>
      <c r="AH1585" s="1063"/>
      <c r="AI1585" s="1063"/>
      <c r="AJ1585" s="1063"/>
      <c r="AK1585" s="1063"/>
      <c r="AL1585" s="1063"/>
      <c r="AM1585" s="1063"/>
      <c r="AN1585" s="1063"/>
      <c r="AO1585" s="1063"/>
      <c r="AP1585" s="1063"/>
      <c r="AQ1585" s="1063"/>
      <c r="AR1585" s="1063"/>
      <c r="AS1585" s="1063"/>
      <c r="AT1585" s="1063"/>
      <c r="AU1585" s="1063"/>
      <c r="AV1585" s="1063"/>
    </row>
    <row r="1586" spans="1:48" s="1108" customFormat="1" ht="27.75" customHeight="1">
      <c r="A1586" s="1076"/>
      <c r="B1586" s="1074">
        <f>+'[18]Bldg+Dev'!S2398</f>
        <v>0</v>
      </c>
      <c r="D1586" s="1063"/>
      <c r="F1586" s="1076"/>
      <c r="G1586" s="1063"/>
      <c r="H1586" s="1063"/>
      <c r="I1586" s="1063"/>
      <c r="J1586" s="1063"/>
      <c r="K1586" s="1063"/>
      <c r="L1586" s="1063"/>
      <c r="M1586" s="1063"/>
      <c r="N1586" s="1063"/>
      <c r="O1586" s="1063"/>
      <c r="P1586" s="1063"/>
      <c r="Q1586" s="1063"/>
      <c r="R1586" s="1063"/>
      <c r="S1586" s="1063"/>
      <c r="T1586" s="1063"/>
      <c r="U1586" s="1063"/>
      <c r="V1586" s="1063"/>
      <c r="W1586" s="1063"/>
      <c r="X1586" s="1063"/>
      <c r="Y1586" s="1063"/>
      <c r="Z1586" s="1063"/>
      <c r="AA1586" s="1063"/>
      <c r="AB1586" s="1063"/>
      <c r="AC1586" s="1063"/>
      <c r="AD1586" s="1063"/>
      <c r="AE1586" s="1063"/>
      <c r="AF1586" s="1063"/>
      <c r="AG1586" s="1063"/>
      <c r="AH1586" s="1063"/>
      <c r="AI1586" s="1063"/>
      <c r="AJ1586" s="1063"/>
      <c r="AK1586" s="1063"/>
      <c r="AL1586" s="1063"/>
      <c r="AM1586" s="1063"/>
      <c r="AN1586" s="1063"/>
      <c r="AO1586" s="1063"/>
      <c r="AP1586" s="1063"/>
      <c r="AQ1586" s="1063"/>
      <c r="AR1586" s="1063"/>
      <c r="AS1586" s="1063"/>
      <c r="AT1586" s="1063"/>
      <c r="AU1586" s="1063"/>
      <c r="AV1586" s="1063"/>
    </row>
    <row r="1587" spans="1:48" s="1108" customFormat="1" ht="27.75" customHeight="1">
      <c r="A1587" s="1076"/>
      <c r="B1587" s="1074">
        <f>+'[18]Bldg+Dev'!S2399</f>
        <v>0</v>
      </c>
      <c r="D1587" s="1063"/>
      <c r="F1587" s="1076"/>
      <c r="G1587" s="1063"/>
      <c r="H1587" s="1063"/>
      <c r="I1587" s="1063"/>
      <c r="J1587" s="1063"/>
      <c r="K1587" s="1063"/>
      <c r="L1587" s="1063"/>
      <c r="M1587" s="1063"/>
      <c r="N1587" s="1063"/>
      <c r="O1587" s="1063"/>
      <c r="P1587" s="1063"/>
      <c r="Q1587" s="1063"/>
      <c r="R1587" s="1063"/>
      <c r="S1587" s="1063"/>
      <c r="T1587" s="1063"/>
      <c r="U1587" s="1063"/>
      <c r="V1587" s="1063"/>
      <c r="W1587" s="1063"/>
      <c r="X1587" s="1063"/>
      <c r="Y1587" s="1063"/>
      <c r="Z1587" s="1063"/>
      <c r="AA1587" s="1063"/>
      <c r="AB1587" s="1063"/>
      <c r="AC1587" s="1063"/>
      <c r="AD1587" s="1063"/>
      <c r="AE1587" s="1063"/>
      <c r="AF1587" s="1063"/>
      <c r="AG1587" s="1063"/>
      <c r="AH1587" s="1063"/>
      <c r="AI1587" s="1063"/>
      <c r="AJ1587" s="1063"/>
      <c r="AK1587" s="1063"/>
      <c r="AL1587" s="1063"/>
      <c r="AM1587" s="1063"/>
      <c r="AN1587" s="1063"/>
      <c r="AO1587" s="1063"/>
      <c r="AP1587" s="1063"/>
      <c r="AQ1587" s="1063"/>
      <c r="AR1587" s="1063"/>
      <c r="AS1587" s="1063"/>
      <c r="AT1587" s="1063"/>
      <c r="AU1587" s="1063"/>
      <c r="AV1587" s="1063"/>
    </row>
    <row r="1588" spans="1:48" s="1108" customFormat="1" ht="27.75" customHeight="1">
      <c r="A1588" s="1076"/>
      <c r="B1588" s="1074">
        <f>+'[18]Bldg+Dev'!S2400</f>
        <v>0</v>
      </c>
      <c r="D1588" s="1063"/>
      <c r="F1588" s="1076"/>
      <c r="G1588" s="1063"/>
      <c r="H1588" s="1063"/>
      <c r="I1588" s="1063"/>
      <c r="J1588" s="1063"/>
      <c r="K1588" s="1063"/>
      <c r="L1588" s="1063"/>
      <c r="M1588" s="1063"/>
      <c r="N1588" s="1063"/>
      <c r="O1588" s="1063"/>
      <c r="P1588" s="1063"/>
      <c r="Q1588" s="1063"/>
      <c r="R1588" s="1063"/>
      <c r="S1588" s="1063"/>
      <c r="T1588" s="1063"/>
      <c r="U1588" s="1063"/>
      <c r="V1588" s="1063"/>
      <c r="W1588" s="1063"/>
      <c r="X1588" s="1063"/>
      <c r="Y1588" s="1063"/>
      <c r="Z1588" s="1063"/>
      <c r="AA1588" s="1063"/>
      <c r="AB1588" s="1063"/>
      <c r="AC1588" s="1063"/>
      <c r="AD1588" s="1063"/>
      <c r="AE1588" s="1063"/>
      <c r="AF1588" s="1063"/>
      <c r="AG1588" s="1063"/>
      <c r="AH1588" s="1063"/>
      <c r="AI1588" s="1063"/>
      <c r="AJ1588" s="1063"/>
      <c r="AK1588" s="1063"/>
      <c r="AL1588" s="1063"/>
      <c r="AM1588" s="1063"/>
      <c r="AN1588" s="1063"/>
      <c r="AO1588" s="1063"/>
      <c r="AP1588" s="1063"/>
      <c r="AQ1588" s="1063"/>
      <c r="AR1588" s="1063"/>
      <c r="AS1588" s="1063"/>
      <c r="AT1588" s="1063"/>
      <c r="AU1588" s="1063"/>
      <c r="AV1588" s="1063"/>
    </row>
    <row r="1589" spans="1:48" s="1108" customFormat="1" ht="27.75" customHeight="1">
      <c r="A1589" s="1076"/>
      <c r="B1589" s="1074">
        <f>+'[18]Bldg+Dev'!S2401</f>
        <v>0</v>
      </c>
      <c r="D1589" s="1063"/>
      <c r="F1589" s="1076"/>
      <c r="G1589" s="1063"/>
      <c r="H1589" s="1063"/>
      <c r="I1589" s="1063"/>
      <c r="J1589" s="1063"/>
      <c r="K1589" s="1063"/>
      <c r="L1589" s="1063"/>
      <c r="M1589" s="1063"/>
      <c r="N1589" s="1063"/>
      <c r="O1589" s="1063"/>
      <c r="P1589" s="1063"/>
      <c r="Q1589" s="1063"/>
      <c r="R1589" s="1063"/>
      <c r="S1589" s="1063"/>
      <c r="T1589" s="1063"/>
      <c r="U1589" s="1063"/>
      <c r="V1589" s="1063"/>
      <c r="W1589" s="1063"/>
      <c r="X1589" s="1063"/>
      <c r="Y1589" s="1063"/>
      <c r="Z1589" s="1063"/>
      <c r="AA1589" s="1063"/>
      <c r="AB1589" s="1063"/>
      <c r="AC1589" s="1063"/>
      <c r="AD1589" s="1063"/>
      <c r="AE1589" s="1063"/>
      <c r="AF1589" s="1063"/>
      <c r="AG1589" s="1063"/>
      <c r="AH1589" s="1063"/>
      <c r="AI1589" s="1063"/>
      <c r="AJ1589" s="1063"/>
      <c r="AK1589" s="1063"/>
      <c r="AL1589" s="1063"/>
      <c r="AM1589" s="1063"/>
      <c r="AN1589" s="1063"/>
      <c r="AO1589" s="1063"/>
      <c r="AP1589" s="1063"/>
      <c r="AQ1589" s="1063"/>
      <c r="AR1589" s="1063"/>
      <c r="AS1589" s="1063"/>
      <c r="AT1589" s="1063"/>
      <c r="AU1589" s="1063"/>
      <c r="AV1589" s="1063"/>
    </row>
    <row r="1590" spans="1:48" s="1108" customFormat="1" ht="27.75" customHeight="1">
      <c r="A1590" s="1076"/>
      <c r="B1590" s="1074">
        <f>+'[18]Bldg+Dev'!S2402</f>
        <v>0</v>
      </c>
      <c r="D1590" s="1063"/>
      <c r="F1590" s="1076"/>
      <c r="G1590" s="1063"/>
      <c r="H1590" s="1063"/>
      <c r="I1590" s="1063"/>
      <c r="J1590" s="1063"/>
      <c r="K1590" s="1063"/>
      <c r="L1590" s="1063"/>
      <c r="M1590" s="1063"/>
      <c r="N1590" s="1063"/>
      <c r="O1590" s="1063"/>
      <c r="P1590" s="1063"/>
      <c r="Q1590" s="1063"/>
      <c r="R1590" s="1063"/>
      <c r="S1590" s="1063"/>
      <c r="T1590" s="1063"/>
      <c r="U1590" s="1063"/>
      <c r="V1590" s="1063"/>
      <c r="W1590" s="1063"/>
      <c r="X1590" s="1063"/>
      <c r="Y1590" s="1063"/>
      <c r="Z1590" s="1063"/>
      <c r="AA1590" s="1063"/>
      <c r="AB1590" s="1063"/>
      <c r="AC1590" s="1063"/>
      <c r="AD1590" s="1063"/>
      <c r="AE1590" s="1063"/>
      <c r="AF1590" s="1063"/>
      <c r="AG1590" s="1063"/>
      <c r="AH1590" s="1063"/>
      <c r="AI1590" s="1063"/>
      <c r="AJ1590" s="1063"/>
      <c r="AK1590" s="1063"/>
      <c r="AL1590" s="1063"/>
      <c r="AM1590" s="1063"/>
      <c r="AN1590" s="1063"/>
      <c r="AO1590" s="1063"/>
      <c r="AP1590" s="1063"/>
      <c r="AQ1590" s="1063"/>
      <c r="AR1590" s="1063"/>
      <c r="AS1590" s="1063"/>
      <c r="AT1590" s="1063"/>
      <c r="AU1590" s="1063"/>
      <c r="AV1590" s="1063"/>
    </row>
    <row r="1591" spans="1:48" s="1108" customFormat="1" ht="27.75" customHeight="1">
      <c r="A1591" s="1076"/>
      <c r="B1591" s="1074">
        <f>+'[18]Bldg+Dev'!S2403</f>
        <v>0</v>
      </c>
      <c r="D1591" s="1063"/>
      <c r="F1591" s="1076"/>
      <c r="G1591" s="1063"/>
      <c r="H1591" s="1063"/>
      <c r="I1591" s="1063"/>
      <c r="J1591" s="1063"/>
      <c r="K1591" s="1063"/>
      <c r="L1591" s="1063"/>
      <c r="M1591" s="1063"/>
      <c r="N1591" s="1063"/>
      <c r="O1591" s="1063"/>
      <c r="P1591" s="1063"/>
      <c r="Q1591" s="1063"/>
      <c r="R1591" s="1063"/>
      <c r="S1591" s="1063"/>
      <c r="T1591" s="1063"/>
      <c r="U1591" s="1063"/>
      <c r="V1591" s="1063"/>
      <c r="W1591" s="1063"/>
      <c r="X1591" s="1063"/>
      <c r="Y1591" s="1063"/>
      <c r="Z1591" s="1063"/>
      <c r="AA1591" s="1063"/>
      <c r="AB1591" s="1063"/>
      <c r="AC1591" s="1063"/>
      <c r="AD1591" s="1063"/>
      <c r="AE1591" s="1063"/>
      <c r="AF1591" s="1063"/>
      <c r="AG1591" s="1063"/>
      <c r="AH1591" s="1063"/>
      <c r="AI1591" s="1063"/>
      <c r="AJ1591" s="1063"/>
      <c r="AK1591" s="1063"/>
      <c r="AL1591" s="1063"/>
      <c r="AM1591" s="1063"/>
      <c r="AN1591" s="1063"/>
      <c r="AO1591" s="1063"/>
      <c r="AP1591" s="1063"/>
      <c r="AQ1591" s="1063"/>
      <c r="AR1591" s="1063"/>
      <c r="AS1591" s="1063"/>
      <c r="AT1591" s="1063"/>
      <c r="AU1591" s="1063"/>
      <c r="AV1591" s="1063"/>
    </row>
    <row r="1592" spans="1:48" s="1108" customFormat="1" ht="27.75" customHeight="1">
      <c r="A1592" s="1076"/>
      <c r="B1592" s="1074">
        <f>+'[18]Bldg+Dev'!S2404</f>
        <v>0</v>
      </c>
      <c r="D1592" s="1063"/>
      <c r="F1592" s="1076"/>
      <c r="G1592" s="1063"/>
      <c r="H1592" s="1063"/>
      <c r="I1592" s="1063"/>
      <c r="J1592" s="1063"/>
      <c r="K1592" s="1063"/>
      <c r="L1592" s="1063"/>
      <c r="M1592" s="1063"/>
      <c r="N1592" s="1063"/>
      <c r="O1592" s="1063"/>
      <c r="P1592" s="1063"/>
      <c r="Q1592" s="1063"/>
      <c r="R1592" s="1063"/>
      <c r="S1592" s="1063"/>
      <c r="T1592" s="1063"/>
      <c r="U1592" s="1063"/>
      <c r="V1592" s="1063"/>
      <c r="W1592" s="1063"/>
      <c r="X1592" s="1063"/>
      <c r="Y1592" s="1063"/>
      <c r="Z1592" s="1063"/>
      <c r="AA1592" s="1063"/>
      <c r="AB1592" s="1063"/>
      <c r="AC1592" s="1063"/>
      <c r="AD1592" s="1063"/>
      <c r="AE1592" s="1063"/>
      <c r="AF1592" s="1063"/>
      <c r="AG1592" s="1063"/>
      <c r="AH1592" s="1063"/>
      <c r="AI1592" s="1063"/>
      <c r="AJ1592" s="1063"/>
      <c r="AK1592" s="1063"/>
      <c r="AL1592" s="1063"/>
      <c r="AM1592" s="1063"/>
      <c r="AN1592" s="1063"/>
      <c r="AO1592" s="1063"/>
      <c r="AP1592" s="1063"/>
      <c r="AQ1592" s="1063"/>
      <c r="AR1592" s="1063"/>
      <c r="AS1592" s="1063"/>
      <c r="AT1592" s="1063"/>
      <c r="AU1592" s="1063"/>
      <c r="AV1592" s="1063"/>
    </row>
    <row r="1593" spans="1:48" s="1108" customFormat="1" ht="27.75" customHeight="1">
      <c r="A1593" s="1076"/>
      <c r="B1593" s="1074">
        <f>+'[18]Bldg+Dev'!S2405</f>
        <v>0</v>
      </c>
      <c r="D1593" s="1063"/>
      <c r="F1593" s="1076"/>
      <c r="G1593" s="1063"/>
      <c r="H1593" s="1063"/>
      <c r="I1593" s="1063"/>
      <c r="J1593" s="1063"/>
      <c r="K1593" s="1063"/>
      <c r="L1593" s="1063"/>
      <c r="M1593" s="1063"/>
      <c r="N1593" s="1063"/>
      <c r="O1593" s="1063"/>
      <c r="P1593" s="1063"/>
      <c r="Q1593" s="1063"/>
      <c r="R1593" s="1063"/>
      <c r="S1593" s="1063"/>
      <c r="T1593" s="1063"/>
      <c r="U1593" s="1063"/>
      <c r="V1593" s="1063"/>
      <c r="W1593" s="1063"/>
      <c r="X1593" s="1063"/>
      <c r="Y1593" s="1063"/>
      <c r="Z1593" s="1063"/>
      <c r="AA1593" s="1063"/>
      <c r="AB1593" s="1063"/>
      <c r="AC1593" s="1063"/>
      <c r="AD1593" s="1063"/>
      <c r="AE1593" s="1063"/>
      <c r="AF1593" s="1063"/>
      <c r="AG1593" s="1063"/>
      <c r="AH1593" s="1063"/>
      <c r="AI1593" s="1063"/>
      <c r="AJ1593" s="1063"/>
      <c r="AK1593" s="1063"/>
      <c r="AL1593" s="1063"/>
      <c r="AM1593" s="1063"/>
      <c r="AN1593" s="1063"/>
      <c r="AO1593" s="1063"/>
      <c r="AP1593" s="1063"/>
      <c r="AQ1593" s="1063"/>
      <c r="AR1593" s="1063"/>
      <c r="AS1593" s="1063"/>
      <c r="AT1593" s="1063"/>
      <c r="AU1593" s="1063"/>
      <c r="AV1593" s="1063"/>
    </row>
    <row r="1594" spans="1:48" s="1108" customFormat="1" ht="27.75" customHeight="1">
      <c r="A1594" s="1076"/>
      <c r="B1594" s="1074">
        <f>+'[18]Bldg+Dev'!S2406</f>
        <v>0</v>
      </c>
      <c r="D1594" s="1063"/>
      <c r="F1594" s="1076"/>
      <c r="G1594" s="1063"/>
      <c r="H1594" s="1063"/>
      <c r="I1594" s="1063"/>
      <c r="J1594" s="1063"/>
      <c r="K1594" s="1063"/>
      <c r="L1594" s="1063"/>
      <c r="M1594" s="1063"/>
      <c r="N1594" s="1063"/>
      <c r="O1594" s="1063"/>
      <c r="P1594" s="1063"/>
      <c r="Q1594" s="1063"/>
      <c r="R1594" s="1063"/>
      <c r="S1594" s="1063"/>
      <c r="T1594" s="1063"/>
      <c r="U1594" s="1063"/>
      <c r="V1594" s="1063"/>
      <c r="W1594" s="1063"/>
      <c r="X1594" s="1063"/>
      <c r="Y1594" s="1063"/>
      <c r="Z1594" s="1063"/>
      <c r="AA1594" s="1063"/>
      <c r="AB1594" s="1063"/>
      <c r="AC1594" s="1063"/>
      <c r="AD1594" s="1063"/>
      <c r="AE1594" s="1063"/>
      <c r="AF1594" s="1063"/>
      <c r="AG1594" s="1063"/>
      <c r="AH1594" s="1063"/>
      <c r="AI1594" s="1063"/>
      <c r="AJ1594" s="1063"/>
      <c r="AK1594" s="1063"/>
      <c r="AL1594" s="1063"/>
      <c r="AM1594" s="1063"/>
      <c r="AN1594" s="1063"/>
      <c r="AO1594" s="1063"/>
      <c r="AP1594" s="1063"/>
      <c r="AQ1594" s="1063"/>
      <c r="AR1594" s="1063"/>
      <c r="AS1594" s="1063"/>
      <c r="AT1594" s="1063"/>
      <c r="AU1594" s="1063"/>
      <c r="AV1594" s="1063"/>
    </row>
    <row r="1595" spans="1:48" s="1108" customFormat="1" ht="27.75" customHeight="1">
      <c r="A1595" s="1076"/>
      <c r="B1595" s="1074">
        <f>+'[18]Bldg+Dev'!S2407</f>
        <v>0</v>
      </c>
      <c r="D1595" s="1063"/>
      <c r="F1595" s="1076"/>
      <c r="G1595" s="1063"/>
      <c r="H1595" s="1063"/>
      <c r="I1595" s="1063"/>
      <c r="J1595" s="1063"/>
      <c r="K1595" s="1063"/>
      <c r="L1595" s="1063"/>
      <c r="M1595" s="1063"/>
      <c r="N1595" s="1063"/>
      <c r="O1595" s="1063"/>
      <c r="P1595" s="1063"/>
      <c r="Q1595" s="1063"/>
      <c r="R1595" s="1063"/>
      <c r="S1595" s="1063"/>
      <c r="T1595" s="1063"/>
      <c r="U1595" s="1063"/>
      <c r="V1595" s="1063"/>
      <c r="W1595" s="1063"/>
      <c r="X1595" s="1063"/>
      <c r="Y1595" s="1063"/>
      <c r="Z1595" s="1063"/>
      <c r="AA1595" s="1063"/>
      <c r="AB1595" s="1063"/>
      <c r="AC1595" s="1063"/>
      <c r="AD1595" s="1063"/>
      <c r="AE1595" s="1063"/>
      <c r="AF1595" s="1063"/>
      <c r="AG1595" s="1063"/>
      <c r="AH1595" s="1063"/>
      <c r="AI1595" s="1063"/>
      <c r="AJ1595" s="1063"/>
      <c r="AK1595" s="1063"/>
      <c r="AL1595" s="1063"/>
      <c r="AM1595" s="1063"/>
      <c r="AN1595" s="1063"/>
      <c r="AO1595" s="1063"/>
      <c r="AP1595" s="1063"/>
      <c r="AQ1595" s="1063"/>
      <c r="AR1595" s="1063"/>
      <c r="AS1595" s="1063"/>
      <c r="AT1595" s="1063"/>
      <c r="AU1595" s="1063"/>
      <c r="AV1595" s="1063"/>
    </row>
    <row r="1596" spans="1:48" s="1108" customFormat="1" ht="27.75" customHeight="1">
      <c r="A1596" s="1076"/>
      <c r="B1596" s="1074">
        <f>+'[18]Bldg+Dev'!S2408</f>
        <v>0</v>
      </c>
      <c r="D1596" s="1063"/>
      <c r="F1596" s="1076"/>
      <c r="G1596" s="1063"/>
      <c r="H1596" s="1063"/>
      <c r="I1596" s="1063"/>
      <c r="J1596" s="1063"/>
      <c r="K1596" s="1063"/>
      <c r="L1596" s="1063"/>
      <c r="M1596" s="1063"/>
      <c r="N1596" s="1063"/>
      <c r="O1596" s="1063"/>
      <c r="P1596" s="1063"/>
      <c r="Q1596" s="1063"/>
      <c r="R1596" s="1063"/>
      <c r="S1596" s="1063"/>
      <c r="T1596" s="1063"/>
      <c r="U1596" s="1063"/>
      <c r="V1596" s="1063"/>
      <c r="W1596" s="1063"/>
      <c r="X1596" s="1063"/>
      <c r="Y1596" s="1063"/>
      <c r="Z1596" s="1063"/>
      <c r="AA1596" s="1063"/>
      <c r="AB1596" s="1063"/>
      <c r="AC1596" s="1063"/>
      <c r="AD1596" s="1063"/>
      <c r="AE1596" s="1063"/>
      <c r="AF1596" s="1063"/>
      <c r="AG1596" s="1063"/>
      <c r="AH1596" s="1063"/>
      <c r="AI1596" s="1063"/>
      <c r="AJ1596" s="1063"/>
      <c r="AK1596" s="1063"/>
      <c r="AL1596" s="1063"/>
      <c r="AM1596" s="1063"/>
      <c r="AN1596" s="1063"/>
      <c r="AO1596" s="1063"/>
      <c r="AP1596" s="1063"/>
      <c r="AQ1596" s="1063"/>
      <c r="AR1596" s="1063"/>
      <c r="AS1596" s="1063"/>
      <c r="AT1596" s="1063"/>
      <c r="AU1596" s="1063"/>
      <c r="AV1596" s="1063"/>
    </row>
    <row r="1597" spans="1:48" s="1108" customFormat="1" ht="27.75" customHeight="1">
      <c r="A1597" s="1076"/>
      <c r="B1597" s="1074">
        <f>+'[18]Bldg+Dev'!S2409</f>
        <v>0</v>
      </c>
      <c r="D1597" s="1063"/>
      <c r="F1597" s="1076"/>
      <c r="G1597" s="1063"/>
      <c r="H1597" s="1063"/>
      <c r="I1597" s="1063"/>
      <c r="J1597" s="1063"/>
      <c r="K1597" s="1063"/>
      <c r="L1597" s="1063"/>
      <c r="M1597" s="1063"/>
      <c r="N1597" s="1063"/>
      <c r="O1597" s="1063"/>
      <c r="P1597" s="1063"/>
      <c r="Q1597" s="1063"/>
      <c r="R1597" s="1063"/>
      <c r="S1597" s="1063"/>
      <c r="T1597" s="1063"/>
      <c r="U1597" s="1063"/>
      <c r="V1597" s="1063"/>
      <c r="W1597" s="1063"/>
      <c r="X1597" s="1063"/>
      <c r="Y1597" s="1063"/>
      <c r="Z1597" s="1063"/>
      <c r="AA1597" s="1063"/>
      <c r="AB1597" s="1063"/>
      <c r="AC1597" s="1063"/>
      <c r="AD1597" s="1063"/>
      <c r="AE1597" s="1063"/>
      <c r="AF1597" s="1063"/>
      <c r="AG1597" s="1063"/>
      <c r="AH1597" s="1063"/>
      <c r="AI1597" s="1063"/>
      <c r="AJ1597" s="1063"/>
      <c r="AK1597" s="1063"/>
      <c r="AL1597" s="1063"/>
      <c r="AM1597" s="1063"/>
      <c r="AN1597" s="1063"/>
      <c r="AO1597" s="1063"/>
      <c r="AP1597" s="1063"/>
      <c r="AQ1597" s="1063"/>
      <c r="AR1597" s="1063"/>
      <c r="AS1597" s="1063"/>
      <c r="AT1597" s="1063"/>
      <c r="AU1597" s="1063"/>
      <c r="AV1597" s="1063"/>
    </row>
    <row r="1598" spans="1:48" s="1108" customFormat="1" ht="27.75" customHeight="1">
      <c r="A1598" s="1076"/>
      <c r="B1598" s="1074">
        <f>+'[18]Bldg+Dev'!S2410</f>
        <v>0</v>
      </c>
      <c r="D1598" s="1063"/>
      <c r="F1598" s="1076"/>
      <c r="G1598" s="1063"/>
      <c r="H1598" s="1063"/>
      <c r="I1598" s="1063"/>
      <c r="J1598" s="1063"/>
      <c r="K1598" s="1063"/>
      <c r="L1598" s="1063"/>
      <c r="M1598" s="1063"/>
      <c r="N1598" s="1063"/>
      <c r="O1598" s="1063"/>
      <c r="P1598" s="1063"/>
      <c r="Q1598" s="1063"/>
      <c r="R1598" s="1063"/>
      <c r="S1598" s="1063"/>
      <c r="T1598" s="1063"/>
      <c r="U1598" s="1063"/>
      <c r="V1598" s="1063"/>
      <c r="W1598" s="1063"/>
      <c r="X1598" s="1063"/>
      <c r="Y1598" s="1063"/>
      <c r="Z1598" s="1063"/>
      <c r="AA1598" s="1063"/>
      <c r="AB1598" s="1063"/>
      <c r="AC1598" s="1063"/>
      <c r="AD1598" s="1063"/>
      <c r="AE1598" s="1063"/>
      <c r="AF1598" s="1063"/>
      <c r="AG1598" s="1063"/>
      <c r="AH1598" s="1063"/>
      <c r="AI1598" s="1063"/>
      <c r="AJ1598" s="1063"/>
      <c r="AK1598" s="1063"/>
      <c r="AL1598" s="1063"/>
      <c r="AM1598" s="1063"/>
      <c r="AN1598" s="1063"/>
      <c r="AO1598" s="1063"/>
      <c r="AP1598" s="1063"/>
      <c r="AQ1598" s="1063"/>
      <c r="AR1598" s="1063"/>
      <c r="AS1598" s="1063"/>
      <c r="AT1598" s="1063"/>
      <c r="AU1598" s="1063"/>
      <c r="AV1598" s="1063"/>
    </row>
    <row r="1599" spans="1:48" s="1108" customFormat="1" ht="27.75" customHeight="1">
      <c r="A1599" s="1076"/>
      <c r="B1599" s="1074">
        <f>+'[18]Bldg+Dev'!S2411</f>
        <v>0</v>
      </c>
      <c r="D1599" s="1063"/>
      <c r="F1599" s="1076"/>
      <c r="G1599" s="1063"/>
      <c r="H1599" s="1063"/>
      <c r="I1599" s="1063"/>
      <c r="J1599" s="1063"/>
      <c r="K1599" s="1063"/>
      <c r="L1599" s="1063"/>
      <c r="M1599" s="1063"/>
      <c r="N1599" s="1063"/>
      <c r="O1599" s="1063"/>
      <c r="P1599" s="1063"/>
      <c r="Q1599" s="1063"/>
      <c r="R1599" s="1063"/>
      <c r="S1599" s="1063"/>
      <c r="T1599" s="1063"/>
      <c r="U1599" s="1063"/>
      <c r="V1599" s="1063"/>
      <c r="W1599" s="1063"/>
      <c r="X1599" s="1063"/>
      <c r="Y1599" s="1063"/>
      <c r="Z1599" s="1063"/>
      <c r="AA1599" s="1063"/>
      <c r="AB1599" s="1063"/>
      <c r="AC1599" s="1063"/>
      <c r="AD1599" s="1063"/>
      <c r="AE1599" s="1063"/>
      <c r="AF1599" s="1063"/>
      <c r="AG1599" s="1063"/>
      <c r="AH1599" s="1063"/>
      <c r="AI1599" s="1063"/>
      <c r="AJ1599" s="1063"/>
      <c r="AK1599" s="1063"/>
      <c r="AL1599" s="1063"/>
      <c r="AM1599" s="1063"/>
      <c r="AN1599" s="1063"/>
      <c r="AO1599" s="1063"/>
      <c r="AP1599" s="1063"/>
      <c r="AQ1599" s="1063"/>
      <c r="AR1599" s="1063"/>
      <c r="AS1599" s="1063"/>
      <c r="AT1599" s="1063"/>
      <c r="AU1599" s="1063"/>
      <c r="AV1599" s="1063"/>
    </row>
    <row r="1600" spans="1:48" s="1108" customFormat="1" ht="27.75" customHeight="1">
      <c r="A1600" s="1076"/>
      <c r="B1600" s="1074">
        <f>+'[18]Bldg+Dev'!S2412</f>
        <v>0</v>
      </c>
      <c r="D1600" s="1063"/>
      <c r="F1600" s="1076"/>
      <c r="G1600" s="1063"/>
      <c r="H1600" s="1063"/>
      <c r="I1600" s="1063"/>
      <c r="J1600" s="1063"/>
      <c r="K1600" s="1063"/>
      <c r="L1600" s="1063"/>
      <c r="M1600" s="1063"/>
      <c r="N1600" s="1063"/>
      <c r="O1600" s="1063"/>
      <c r="P1600" s="1063"/>
      <c r="Q1600" s="1063"/>
      <c r="R1600" s="1063"/>
      <c r="S1600" s="1063"/>
      <c r="T1600" s="1063"/>
      <c r="U1600" s="1063"/>
      <c r="V1600" s="1063"/>
      <c r="W1600" s="1063"/>
      <c r="X1600" s="1063"/>
      <c r="Y1600" s="1063"/>
      <c r="Z1600" s="1063"/>
      <c r="AA1600" s="1063"/>
      <c r="AB1600" s="1063"/>
      <c r="AC1600" s="1063"/>
      <c r="AD1600" s="1063"/>
      <c r="AE1600" s="1063"/>
      <c r="AF1600" s="1063"/>
      <c r="AG1600" s="1063"/>
      <c r="AH1600" s="1063"/>
      <c r="AI1600" s="1063"/>
      <c r="AJ1600" s="1063"/>
      <c r="AK1600" s="1063"/>
      <c r="AL1600" s="1063"/>
      <c r="AM1600" s="1063"/>
      <c r="AN1600" s="1063"/>
      <c r="AO1600" s="1063"/>
      <c r="AP1600" s="1063"/>
      <c r="AQ1600" s="1063"/>
      <c r="AR1600" s="1063"/>
      <c r="AS1600" s="1063"/>
      <c r="AT1600" s="1063"/>
      <c r="AU1600" s="1063"/>
      <c r="AV1600" s="1063"/>
    </row>
    <row r="1601" spans="1:48" s="1108" customFormat="1" ht="27.75" customHeight="1">
      <c r="A1601" s="1076"/>
      <c r="B1601" s="1074">
        <f>+'[18]Bldg+Dev'!S2413</f>
        <v>0</v>
      </c>
      <c r="D1601" s="1063"/>
      <c r="F1601" s="1076"/>
      <c r="G1601" s="1063"/>
      <c r="H1601" s="1063"/>
      <c r="I1601" s="1063"/>
      <c r="J1601" s="1063"/>
      <c r="K1601" s="1063"/>
      <c r="L1601" s="1063"/>
      <c r="M1601" s="1063"/>
      <c r="N1601" s="1063"/>
      <c r="O1601" s="1063"/>
      <c r="P1601" s="1063"/>
      <c r="Q1601" s="1063"/>
      <c r="R1601" s="1063"/>
      <c r="S1601" s="1063"/>
      <c r="T1601" s="1063"/>
      <c r="U1601" s="1063"/>
      <c r="V1601" s="1063"/>
      <c r="W1601" s="1063"/>
      <c r="X1601" s="1063"/>
      <c r="Y1601" s="1063"/>
      <c r="Z1601" s="1063"/>
      <c r="AA1601" s="1063"/>
      <c r="AB1601" s="1063"/>
      <c r="AC1601" s="1063"/>
      <c r="AD1601" s="1063"/>
      <c r="AE1601" s="1063"/>
      <c r="AF1601" s="1063"/>
      <c r="AG1601" s="1063"/>
      <c r="AH1601" s="1063"/>
      <c r="AI1601" s="1063"/>
      <c r="AJ1601" s="1063"/>
      <c r="AK1601" s="1063"/>
      <c r="AL1601" s="1063"/>
      <c r="AM1601" s="1063"/>
      <c r="AN1601" s="1063"/>
      <c r="AO1601" s="1063"/>
      <c r="AP1601" s="1063"/>
      <c r="AQ1601" s="1063"/>
      <c r="AR1601" s="1063"/>
      <c r="AS1601" s="1063"/>
      <c r="AT1601" s="1063"/>
      <c r="AU1601" s="1063"/>
      <c r="AV1601" s="1063"/>
    </row>
    <row r="1602" spans="1:48" s="1108" customFormat="1" ht="27.75" customHeight="1">
      <c r="A1602" s="1076"/>
      <c r="B1602" s="1074">
        <f>+'[18]Bldg+Dev'!S2414</f>
        <v>0</v>
      </c>
      <c r="D1602" s="1063"/>
      <c r="F1602" s="1076"/>
      <c r="G1602" s="1063"/>
      <c r="H1602" s="1063"/>
      <c r="I1602" s="1063"/>
      <c r="J1602" s="1063"/>
      <c r="K1602" s="1063"/>
      <c r="L1602" s="1063"/>
      <c r="M1602" s="1063"/>
      <c r="N1602" s="1063"/>
      <c r="O1602" s="1063"/>
      <c r="P1602" s="1063"/>
      <c r="Q1602" s="1063"/>
      <c r="R1602" s="1063"/>
      <c r="S1602" s="1063"/>
      <c r="T1602" s="1063"/>
      <c r="U1602" s="1063"/>
      <c r="V1602" s="1063"/>
      <c r="W1602" s="1063"/>
      <c r="X1602" s="1063"/>
      <c r="Y1602" s="1063"/>
      <c r="Z1602" s="1063"/>
      <c r="AA1602" s="1063"/>
      <c r="AB1602" s="1063"/>
      <c r="AC1602" s="1063"/>
      <c r="AD1602" s="1063"/>
      <c r="AE1602" s="1063"/>
      <c r="AF1602" s="1063"/>
      <c r="AG1602" s="1063"/>
      <c r="AH1602" s="1063"/>
      <c r="AI1602" s="1063"/>
      <c r="AJ1602" s="1063"/>
      <c r="AK1602" s="1063"/>
      <c r="AL1602" s="1063"/>
      <c r="AM1602" s="1063"/>
      <c r="AN1602" s="1063"/>
      <c r="AO1602" s="1063"/>
      <c r="AP1602" s="1063"/>
      <c r="AQ1602" s="1063"/>
      <c r="AR1602" s="1063"/>
      <c r="AS1602" s="1063"/>
      <c r="AT1602" s="1063"/>
      <c r="AU1602" s="1063"/>
      <c r="AV1602" s="1063"/>
    </row>
    <row r="1603" spans="1:48" s="1108" customFormat="1" ht="27.75" customHeight="1">
      <c r="A1603" s="1076"/>
      <c r="B1603" s="1074">
        <f>+'[18]Bldg+Dev'!S2415</f>
        <v>0</v>
      </c>
      <c r="D1603" s="1063"/>
      <c r="F1603" s="1076"/>
      <c r="G1603" s="1063"/>
      <c r="H1603" s="1063"/>
      <c r="I1603" s="1063"/>
      <c r="J1603" s="1063"/>
      <c r="K1603" s="1063"/>
      <c r="L1603" s="1063"/>
      <c r="M1603" s="1063"/>
      <c r="N1603" s="1063"/>
      <c r="O1603" s="1063"/>
      <c r="P1603" s="1063"/>
      <c r="Q1603" s="1063"/>
      <c r="R1603" s="1063"/>
      <c r="S1603" s="1063"/>
      <c r="T1603" s="1063"/>
      <c r="U1603" s="1063"/>
      <c r="V1603" s="1063"/>
      <c r="W1603" s="1063"/>
      <c r="X1603" s="1063"/>
      <c r="Y1603" s="1063"/>
      <c r="Z1603" s="1063"/>
      <c r="AA1603" s="1063"/>
      <c r="AB1603" s="1063"/>
      <c r="AC1603" s="1063"/>
      <c r="AD1603" s="1063"/>
      <c r="AE1603" s="1063"/>
      <c r="AF1603" s="1063"/>
      <c r="AG1603" s="1063"/>
      <c r="AH1603" s="1063"/>
      <c r="AI1603" s="1063"/>
      <c r="AJ1603" s="1063"/>
      <c r="AK1603" s="1063"/>
      <c r="AL1603" s="1063"/>
      <c r="AM1603" s="1063"/>
      <c r="AN1603" s="1063"/>
      <c r="AO1603" s="1063"/>
      <c r="AP1603" s="1063"/>
      <c r="AQ1603" s="1063"/>
      <c r="AR1603" s="1063"/>
      <c r="AS1603" s="1063"/>
      <c r="AT1603" s="1063"/>
      <c r="AU1603" s="1063"/>
      <c r="AV1603" s="1063"/>
    </row>
    <row r="1604" spans="1:48" s="1108" customFormat="1" ht="27.75" customHeight="1">
      <c r="A1604" s="1076"/>
      <c r="B1604" s="1074">
        <f>+'[18]Bldg+Dev'!S2416</f>
        <v>0</v>
      </c>
      <c r="D1604" s="1063"/>
      <c r="F1604" s="1076"/>
      <c r="G1604" s="1063"/>
      <c r="H1604" s="1063"/>
      <c r="I1604" s="1063"/>
      <c r="J1604" s="1063"/>
      <c r="K1604" s="1063"/>
      <c r="L1604" s="1063"/>
      <c r="M1604" s="1063"/>
      <c r="N1604" s="1063"/>
      <c r="O1604" s="1063"/>
      <c r="P1604" s="1063"/>
      <c r="Q1604" s="1063"/>
      <c r="R1604" s="1063"/>
      <c r="S1604" s="1063"/>
      <c r="T1604" s="1063"/>
      <c r="U1604" s="1063"/>
      <c r="V1604" s="1063"/>
      <c r="W1604" s="1063"/>
      <c r="X1604" s="1063"/>
      <c r="Y1604" s="1063"/>
      <c r="Z1604" s="1063"/>
      <c r="AA1604" s="1063"/>
      <c r="AB1604" s="1063"/>
      <c r="AC1604" s="1063"/>
      <c r="AD1604" s="1063"/>
      <c r="AE1604" s="1063"/>
      <c r="AF1604" s="1063"/>
      <c r="AG1604" s="1063"/>
      <c r="AH1604" s="1063"/>
      <c r="AI1604" s="1063"/>
      <c r="AJ1604" s="1063"/>
      <c r="AK1604" s="1063"/>
      <c r="AL1604" s="1063"/>
      <c r="AM1604" s="1063"/>
      <c r="AN1604" s="1063"/>
      <c r="AO1604" s="1063"/>
      <c r="AP1604" s="1063"/>
      <c r="AQ1604" s="1063"/>
      <c r="AR1604" s="1063"/>
      <c r="AS1604" s="1063"/>
      <c r="AT1604" s="1063"/>
      <c r="AU1604" s="1063"/>
      <c r="AV1604" s="1063"/>
    </row>
    <row r="1605" spans="1:48" s="1108" customFormat="1" ht="27.75" customHeight="1">
      <c r="A1605" s="1076"/>
      <c r="B1605" s="1074">
        <f>+'[18]Bldg+Dev'!S2417</f>
        <v>0</v>
      </c>
      <c r="D1605" s="1063"/>
      <c r="F1605" s="1076"/>
      <c r="G1605" s="1063"/>
      <c r="H1605" s="1063"/>
      <c r="I1605" s="1063"/>
      <c r="J1605" s="1063"/>
      <c r="K1605" s="1063"/>
      <c r="L1605" s="1063"/>
      <c r="M1605" s="1063"/>
      <c r="N1605" s="1063"/>
      <c r="O1605" s="1063"/>
      <c r="P1605" s="1063"/>
      <c r="Q1605" s="1063"/>
      <c r="R1605" s="1063"/>
      <c r="S1605" s="1063"/>
      <c r="T1605" s="1063"/>
      <c r="U1605" s="1063"/>
      <c r="V1605" s="1063"/>
      <c r="W1605" s="1063"/>
      <c r="X1605" s="1063"/>
      <c r="Y1605" s="1063"/>
      <c r="Z1605" s="1063"/>
      <c r="AA1605" s="1063"/>
      <c r="AB1605" s="1063"/>
      <c r="AC1605" s="1063"/>
      <c r="AD1605" s="1063"/>
      <c r="AE1605" s="1063"/>
      <c r="AF1605" s="1063"/>
      <c r="AG1605" s="1063"/>
      <c r="AH1605" s="1063"/>
      <c r="AI1605" s="1063"/>
      <c r="AJ1605" s="1063"/>
      <c r="AK1605" s="1063"/>
      <c r="AL1605" s="1063"/>
      <c r="AM1605" s="1063"/>
      <c r="AN1605" s="1063"/>
      <c r="AO1605" s="1063"/>
      <c r="AP1605" s="1063"/>
      <c r="AQ1605" s="1063"/>
      <c r="AR1605" s="1063"/>
      <c r="AS1605" s="1063"/>
      <c r="AT1605" s="1063"/>
      <c r="AU1605" s="1063"/>
      <c r="AV1605" s="1063"/>
    </row>
    <row r="1606" spans="1:48" s="1108" customFormat="1" ht="27.75" customHeight="1">
      <c r="A1606" s="1076"/>
      <c r="B1606" s="1074">
        <f>+'[18]Bldg+Dev'!S2418</f>
        <v>0</v>
      </c>
      <c r="D1606" s="1063"/>
      <c r="F1606" s="1076"/>
      <c r="G1606" s="1063"/>
      <c r="H1606" s="1063"/>
      <c r="I1606" s="1063"/>
      <c r="J1606" s="1063"/>
      <c r="K1606" s="1063"/>
      <c r="L1606" s="1063"/>
      <c r="M1606" s="1063"/>
      <c r="N1606" s="1063"/>
      <c r="O1606" s="1063"/>
      <c r="P1606" s="1063"/>
      <c r="Q1606" s="1063"/>
      <c r="R1606" s="1063"/>
      <c r="S1606" s="1063"/>
      <c r="T1606" s="1063"/>
      <c r="U1606" s="1063"/>
      <c r="V1606" s="1063"/>
      <c r="W1606" s="1063"/>
      <c r="X1606" s="1063"/>
      <c r="Y1606" s="1063"/>
      <c r="Z1606" s="1063"/>
      <c r="AA1606" s="1063"/>
      <c r="AB1606" s="1063"/>
      <c r="AC1606" s="1063"/>
      <c r="AD1606" s="1063"/>
      <c r="AE1606" s="1063"/>
      <c r="AF1606" s="1063"/>
      <c r="AG1606" s="1063"/>
      <c r="AH1606" s="1063"/>
      <c r="AI1606" s="1063"/>
      <c r="AJ1606" s="1063"/>
      <c r="AK1606" s="1063"/>
      <c r="AL1606" s="1063"/>
      <c r="AM1606" s="1063"/>
      <c r="AN1606" s="1063"/>
      <c r="AO1606" s="1063"/>
      <c r="AP1606" s="1063"/>
      <c r="AQ1606" s="1063"/>
      <c r="AR1606" s="1063"/>
      <c r="AS1606" s="1063"/>
      <c r="AT1606" s="1063"/>
      <c r="AU1606" s="1063"/>
      <c r="AV1606" s="1063"/>
    </row>
    <row r="1607" spans="1:48" s="1108" customFormat="1" ht="27.75" customHeight="1">
      <c r="A1607" s="1076"/>
      <c r="B1607" s="1074">
        <f>+'[18]Bldg+Dev'!S2419</f>
        <v>0</v>
      </c>
      <c r="D1607" s="1063"/>
      <c r="F1607" s="1076"/>
      <c r="G1607" s="1063"/>
      <c r="H1607" s="1063"/>
      <c r="I1607" s="1063"/>
      <c r="J1607" s="1063"/>
      <c r="K1607" s="1063"/>
      <c r="L1607" s="1063"/>
      <c r="M1607" s="1063"/>
      <c r="N1607" s="1063"/>
      <c r="O1607" s="1063"/>
      <c r="P1607" s="1063"/>
      <c r="Q1607" s="1063"/>
      <c r="R1607" s="1063"/>
      <c r="S1607" s="1063"/>
      <c r="T1607" s="1063"/>
      <c r="U1607" s="1063"/>
      <c r="V1607" s="1063"/>
      <c r="W1607" s="1063"/>
      <c r="X1607" s="1063"/>
      <c r="Y1607" s="1063"/>
      <c r="Z1607" s="1063"/>
      <c r="AA1607" s="1063"/>
      <c r="AB1607" s="1063"/>
      <c r="AC1607" s="1063"/>
      <c r="AD1607" s="1063"/>
      <c r="AE1607" s="1063"/>
      <c r="AF1607" s="1063"/>
      <c r="AG1607" s="1063"/>
      <c r="AH1607" s="1063"/>
      <c r="AI1607" s="1063"/>
      <c r="AJ1607" s="1063"/>
      <c r="AK1607" s="1063"/>
      <c r="AL1607" s="1063"/>
      <c r="AM1607" s="1063"/>
      <c r="AN1607" s="1063"/>
      <c r="AO1607" s="1063"/>
      <c r="AP1607" s="1063"/>
      <c r="AQ1607" s="1063"/>
      <c r="AR1607" s="1063"/>
      <c r="AS1607" s="1063"/>
      <c r="AT1607" s="1063"/>
      <c r="AU1607" s="1063"/>
      <c r="AV1607" s="1063"/>
    </row>
    <row r="1608" spans="1:48" s="1108" customFormat="1" ht="27.75" customHeight="1">
      <c r="A1608" s="1076"/>
      <c r="B1608" s="1074">
        <f>+'[18]Bldg+Dev'!S2420</f>
        <v>0</v>
      </c>
      <c r="D1608" s="1063"/>
      <c r="F1608" s="1076"/>
      <c r="G1608" s="1063"/>
      <c r="H1608" s="1063"/>
      <c r="I1608" s="1063"/>
      <c r="J1608" s="1063"/>
      <c r="K1608" s="1063"/>
      <c r="L1608" s="1063"/>
      <c r="M1608" s="1063"/>
      <c r="N1608" s="1063"/>
      <c r="O1608" s="1063"/>
      <c r="P1608" s="1063"/>
      <c r="Q1608" s="1063"/>
      <c r="R1608" s="1063"/>
      <c r="S1608" s="1063"/>
      <c r="T1608" s="1063"/>
      <c r="U1608" s="1063"/>
      <c r="V1608" s="1063"/>
      <c r="W1608" s="1063"/>
      <c r="X1608" s="1063"/>
      <c r="Y1608" s="1063"/>
      <c r="Z1608" s="1063"/>
      <c r="AA1608" s="1063"/>
      <c r="AB1608" s="1063"/>
      <c r="AC1608" s="1063"/>
      <c r="AD1608" s="1063"/>
      <c r="AE1608" s="1063"/>
      <c r="AF1608" s="1063"/>
      <c r="AG1608" s="1063"/>
      <c r="AH1608" s="1063"/>
      <c r="AI1608" s="1063"/>
      <c r="AJ1608" s="1063"/>
      <c r="AK1608" s="1063"/>
      <c r="AL1608" s="1063"/>
      <c r="AM1608" s="1063"/>
      <c r="AN1608" s="1063"/>
      <c r="AO1608" s="1063"/>
      <c r="AP1608" s="1063"/>
      <c r="AQ1608" s="1063"/>
      <c r="AR1608" s="1063"/>
      <c r="AS1608" s="1063"/>
      <c r="AT1608" s="1063"/>
      <c r="AU1608" s="1063"/>
      <c r="AV1608" s="1063"/>
    </row>
    <row r="1609" spans="1:48" s="1108" customFormat="1" ht="27.75" customHeight="1">
      <c r="A1609" s="1076"/>
      <c r="B1609" s="1074">
        <f>+'[18]Bldg+Dev'!S2421</f>
        <v>0</v>
      </c>
      <c r="D1609" s="1063"/>
      <c r="F1609" s="1076"/>
      <c r="G1609" s="1063"/>
      <c r="H1609" s="1063"/>
      <c r="I1609" s="1063"/>
      <c r="J1609" s="1063"/>
      <c r="K1609" s="1063"/>
      <c r="L1609" s="1063"/>
      <c r="M1609" s="1063"/>
      <c r="N1609" s="1063"/>
      <c r="O1609" s="1063"/>
      <c r="P1609" s="1063"/>
      <c r="Q1609" s="1063"/>
      <c r="R1609" s="1063"/>
      <c r="S1609" s="1063"/>
      <c r="T1609" s="1063"/>
      <c r="U1609" s="1063"/>
      <c r="V1609" s="1063"/>
      <c r="W1609" s="1063"/>
      <c r="X1609" s="1063"/>
      <c r="Y1609" s="1063"/>
      <c r="Z1609" s="1063"/>
      <c r="AA1609" s="1063"/>
      <c r="AB1609" s="1063"/>
      <c r="AC1609" s="1063"/>
      <c r="AD1609" s="1063"/>
      <c r="AE1609" s="1063"/>
      <c r="AF1609" s="1063"/>
      <c r="AG1609" s="1063"/>
      <c r="AH1609" s="1063"/>
      <c r="AI1609" s="1063"/>
      <c r="AJ1609" s="1063"/>
      <c r="AK1609" s="1063"/>
      <c r="AL1609" s="1063"/>
      <c r="AM1609" s="1063"/>
      <c r="AN1609" s="1063"/>
      <c r="AO1609" s="1063"/>
      <c r="AP1609" s="1063"/>
      <c r="AQ1609" s="1063"/>
      <c r="AR1609" s="1063"/>
      <c r="AS1609" s="1063"/>
      <c r="AT1609" s="1063"/>
      <c r="AU1609" s="1063"/>
      <c r="AV1609" s="1063"/>
    </row>
    <row r="1610" spans="1:48" s="1108" customFormat="1" ht="27.75" customHeight="1">
      <c r="A1610" s="1076"/>
      <c r="B1610" s="1074">
        <f>+'[18]Bldg+Dev'!S2422</f>
        <v>0</v>
      </c>
      <c r="D1610" s="1063"/>
      <c r="F1610" s="1076"/>
      <c r="G1610" s="1063"/>
      <c r="H1610" s="1063"/>
      <c r="I1610" s="1063"/>
      <c r="J1610" s="1063"/>
      <c r="K1610" s="1063"/>
      <c r="L1610" s="1063"/>
      <c r="M1610" s="1063"/>
      <c r="N1610" s="1063"/>
      <c r="O1610" s="1063"/>
      <c r="P1610" s="1063"/>
      <c r="Q1610" s="1063"/>
      <c r="R1610" s="1063"/>
      <c r="S1610" s="1063"/>
      <c r="T1610" s="1063"/>
      <c r="U1610" s="1063"/>
      <c r="V1610" s="1063"/>
      <c r="W1610" s="1063"/>
      <c r="X1610" s="1063"/>
      <c r="Y1610" s="1063"/>
      <c r="Z1610" s="1063"/>
      <c r="AA1610" s="1063"/>
      <c r="AB1610" s="1063"/>
      <c r="AC1610" s="1063"/>
      <c r="AD1610" s="1063"/>
      <c r="AE1610" s="1063"/>
      <c r="AF1610" s="1063"/>
      <c r="AG1610" s="1063"/>
      <c r="AH1610" s="1063"/>
      <c r="AI1610" s="1063"/>
      <c r="AJ1610" s="1063"/>
      <c r="AK1610" s="1063"/>
      <c r="AL1610" s="1063"/>
      <c r="AM1610" s="1063"/>
      <c r="AN1610" s="1063"/>
      <c r="AO1610" s="1063"/>
      <c r="AP1610" s="1063"/>
      <c r="AQ1610" s="1063"/>
      <c r="AR1610" s="1063"/>
      <c r="AS1610" s="1063"/>
      <c r="AT1610" s="1063"/>
      <c r="AU1610" s="1063"/>
      <c r="AV1610" s="1063"/>
    </row>
    <row r="1611" spans="1:48" s="1108" customFormat="1" ht="27.75" customHeight="1">
      <c r="A1611" s="1076"/>
      <c r="B1611" s="1074">
        <f>+'[18]Bldg+Dev'!S2423</f>
        <v>0</v>
      </c>
      <c r="D1611" s="1063"/>
      <c r="F1611" s="1076"/>
      <c r="G1611" s="1063"/>
      <c r="H1611" s="1063"/>
      <c r="I1611" s="1063"/>
      <c r="J1611" s="1063"/>
      <c r="K1611" s="1063"/>
      <c r="L1611" s="1063"/>
      <c r="M1611" s="1063"/>
      <c r="N1611" s="1063"/>
      <c r="O1611" s="1063"/>
      <c r="P1611" s="1063"/>
      <c r="Q1611" s="1063"/>
      <c r="R1611" s="1063"/>
      <c r="S1611" s="1063"/>
      <c r="T1611" s="1063"/>
      <c r="U1611" s="1063"/>
      <c r="V1611" s="1063"/>
      <c r="W1611" s="1063"/>
      <c r="X1611" s="1063"/>
      <c r="Y1611" s="1063"/>
      <c r="Z1611" s="1063"/>
      <c r="AA1611" s="1063"/>
      <c r="AB1611" s="1063"/>
      <c r="AC1611" s="1063"/>
      <c r="AD1611" s="1063"/>
      <c r="AE1611" s="1063"/>
      <c r="AF1611" s="1063"/>
      <c r="AG1611" s="1063"/>
      <c r="AH1611" s="1063"/>
      <c r="AI1611" s="1063"/>
      <c r="AJ1611" s="1063"/>
      <c r="AK1611" s="1063"/>
      <c r="AL1611" s="1063"/>
      <c r="AM1611" s="1063"/>
      <c r="AN1611" s="1063"/>
      <c r="AO1611" s="1063"/>
      <c r="AP1611" s="1063"/>
      <c r="AQ1611" s="1063"/>
      <c r="AR1611" s="1063"/>
      <c r="AS1611" s="1063"/>
      <c r="AT1611" s="1063"/>
      <c r="AU1611" s="1063"/>
      <c r="AV1611" s="1063"/>
    </row>
    <row r="1612" spans="1:48" s="1108" customFormat="1" ht="27.75" customHeight="1">
      <c r="A1612" s="1076"/>
      <c r="B1612" s="1074">
        <f>+'[18]Bldg+Dev'!S2424</f>
        <v>0</v>
      </c>
      <c r="D1612" s="1063"/>
      <c r="F1612" s="1076"/>
      <c r="G1612" s="1063"/>
      <c r="H1612" s="1063"/>
      <c r="I1612" s="1063"/>
      <c r="J1612" s="1063"/>
      <c r="K1612" s="1063"/>
      <c r="L1612" s="1063"/>
      <c r="M1612" s="1063"/>
      <c r="N1612" s="1063"/>
      <c r="O1612" s="1063"/>
      <c r="P1612" s="1063"/>
      <c r="Q1612" s="1063"/>
      <c r="R1612" s="1063"/>
      <c r="S1612" s="1063"/>
      <c r="T1612" s="1063"/>
      <c r="U1612" s="1063"/>
      <c r="V1612" s="1063"/>
      <c r="W1612" s="1063"/>
      <c r="X1612" s="1063"/>
      <c r="Y1612" s="1063"/>
      <c r="Z1612" s="1063"/>
      <c r="AA1612" s="1063"/>
      <c r="AB1612" s="1063"/>
      <c r="AC1612" s="1063"/>
      <c r="AD1612" s="1063"/>
      <c r="AE1612" s="1063"/>
      <c r="AF1612" s="1063"/>
      <c r="AG1612" s="1063"/>
      <c r="AH1612" s="1063"/>
      <c r="AI1612" s="1063"/>
      <c r="AJ1612" s="1063"/>
      <c r="AK1612" s="1063"/>
      <c r="AL1612" s="1063"/>
      <c r="AM1612" s="1063"/>
      <c r="AN1612" s="1063"/>
      <c r="AO1612" s="1063"/>
      <c r="AP1612" s="1063"/>
      <c r="AQ1612" s="1063"/>
      <c r="AR1612" s="1063"/>
      <c r="AS1612" s="1063"/>
      <c r="AT1612" s="1063"/>
      <c r="AU1612" s="1063"/>
      <c r="AV1612" s="1063"/>
    </row>
    <row r="1613" spans="1:48" s="1108" customFormat="1" ht="27.75" customHeight="1">
      <c r="A1613" s="1076"/>
      <c r="B1613" s="1074">
        <f>+'[18]Bldg+Dev'!S2425</f>
        <v>0</v>
      </c>
      <c r="D1613" s="1063"/>
      <c r="F1613" s="1076"/>
      <c r="G1613" s="1063"/>
      <c r="H1613" s="1063"/>
      <c r="I1613" s="1063"/>
      <c r="J1613" s="1063"/>
      <c r="K1613" s="1063"/>
      <c r="L1613" s="1063"/>
      <c r="M1613" s="1063"/>
      <c r="N1613" s="1063"/>
      <c r="O1613" s="1063"/>
      <c r="P1613" s="1063"/>
      <c r="Q1613" s="1063"/>
      <c r="R1613" s="1063"/>
      <c r="S1613" s="1063"/>
      <c r="T1613" s="1063"/>
      <c r="U1613" s="1063"/>
      <c r="V1613" s="1063"/>
      <c r="W1613" s="1063"/>
      <c r="X1613" s="1063"/>
      <c r="Y1613" s="1063"/>
      <c r="Z1613" s="1063"/>
      <c r="AA1613" s="1063"/>
      <c r="AB1613" s="1063"/>
      <c r="AC1613" s="1063"/>
      <c r="AD1613" s="1063"/>
      <c r="AE1613" s="1063"/>
      <c r="AF1613" s="1063"/>
      <c r="AG1613" s="1063"/>
      <c r="AH1613" s="1063"/>
      <c r="AI1613" s="1063"/>
      <c r="AJ1613" s="1063"/>
      <c r="AK1613" s="1063"/>
      <c r="AL1613" s="1063"/>
      <c r="AM1613" s="1063"/>
      <c r="AN1613" s="1063"/>
      <c r="AO1613" s="1063"/>
      <c r="AP1613" s="1063"/>
      <c r="AQ1613" s="1063"/>
      <c r="AR1613" s="1063"/>
      <c r="AS1613" s="1063"/>
      <c r="AT1613" s="1063"/>
      <c r="AU1613" s="1063"/>
      <c r="AV1613" s="1063"/>
    </row>
    <row r="1614" spans="1:48" s="1108" customFormat="1" ht="27.75" customHeight="1">
      <c r="A1614" s="1076"/>
      <c r="B1614" s="1074">
        <f>+'[18]Bldg+Dev'!S2426</f>
        <v>0</v>
      </c>
      <c r="D1614" s="1063"/>
      <c r="F1614" s="1076"/>
      <c r="G1614" s="1063"/>
      <c r="H1614" s="1063"/>
      <c r="I1614" s="1063"/>
      <c r="J1614" s="1063"/>
      <c r="K1614" s="1063"/>
      <c r="L1614" s="1063"/>
      <c r="M1614" s="1063"/>
      <c r="N1614" s="1063"/>
      <c r="O1614" s="1063"/>
      <c r="P1614" s="1063"/>
      <c r="Q1614" s="1063"/>
      <c r="R1614" s="1063"/>
      <c r="S1614" s="1063"/>
      <c r="T1614" s="1063"/>
      <c r="U1614" s="1063"/>
      <c r="V1614" s="1063"/>
      <c r="W1614" s="1063"/>
      <c r="X1614" s="1063"/>
      <c r="Y1614" s="1063"/>
      <c r="Z1614" s="1063"/>
      <c r="AA1614" s="1063"/>
      <c r="AB1614" s="1063"/>
      <c r="AC1614" s="1063"/>
      <c r="AD1614" s="1063"/>
      <c r="AE1614" s="1063"/>
      <c r="AF1614" s="1063"/>
      <c r="AG1614" s="1063"/>
      <c r="AH1614" s="1063"/>
      <c r="AI1614" s="1063"/>
      <c r="AJ1614" s="1063"/>
      <c r="AK1614" s="1063"/>
      <c r="AL1614" s="1063"/>
      <c r="AM1614" s="1063"/>
      <c r="AN1614" s="1063"/>
      <c r="AO1614" s="1063"/>
      <c r="AP1614" s="1063"/>
      <c r="AQ1614" s="1063"/>
      <c r="AR1614" s="1063"/>
      <c r="AS1614" s="1063"/>
      <c r="AT1614" s="1063"/>
      <c r="AU1614" s="1063"/>
      <c r="AV1614" s="1063"/>
    </row>
    <row r="1615" spans="1:48" s="1108" customFormat="1" ht="27.75" customHeight="1">
      <c r="A1615" s="1076"/>
      <c r="B1615" s="1074">
        <f>+'[18]Bldg+Dev'!S2427</f>
        <v>0</v>
      </c>
      <c r="D1615" s="1063"/>
      <c r="F1615" s="1076"/>
      <c r="G1615" s="1063"/>
      <c r="H1615" s="1063"/>
      <c r="I1615" s="1063"/>
      <c r="J1615" s="1063"/>
      <c r="K1615" s="1063"/>
      <c r="L1615" s="1063"/>
      <c r="M1615" s="1063"/>
      <c r="N1615" s="1063"/>
      <c r="O1615" s="1063"/>
      <c r="P1615" s="1063"/>
      <c r="Q1615" s="1063"/>
      <c r="R1615" s="1063"/>
      <c r="S1615" s="1063"/>
      <c r="T1615" s="1063"/>
      <c r="U1615" s="1063"/>
      <c r="V1615" s="1063"/>
      <c r="W1615" s="1063"/>
      <c r="X1615" s="1063"/>
      <c r="Y1615" s="1063"/>
      <c r="Z1615" s="1063"/>
      <c r="AA1615" s="1063"/>
      <c r="AB1615" s="1063"/>
      <c r="AC1615" s="1063"/>
      <c r="AD1615" s="1063"/>
      <c r="AE1615" s="1063"/>
      <c r="AF1615" s="1063"/>
      <c r="AG1615" s="1063"/>
      <c r="AH1615" s="1063"/>
      <c r="AI1615" s="1063"/>
      <c r="AJ1615" s="1063"/>
      <c r="AK1615" s="1063"/>
      <c r="AL1615" s="1063"/>
      <c r="AM1615" s="1063"/>
      <c r="AN1615" s="1063"/>
      <c r="AO1615" s="1063"/>
      <c r="AP1615" s="1063"/>
      <c r="AQ1615" s="1063"/>
      <c r="AR1615" s="1063"/>
      <c r="AS1615" s="1063"/>
      <c r="AT1615" s="1063"/>
      <c r="AU1615" s="1063"/>
      <c r="AV1615" s="1063"/>
    </row>
    <row r="1616" spans="1:48" s="1108" customFormat="1" ht="27.75" customHeight="1">
      <c r="A1616" s="1076"/>
      <c r="B1616" s="1074">
        <f>+'[18]Bldg+Dev'!S2428</f>
        <v>0</v>
      </c>
      <c r="D1616" s="1063"/>
      <c r="F1616" s="1076"/>
      <c r="G1616" s="1063"/>
      <c r="H1616" s="1063"/>
      <c r="I1616" s="1063"/>
      <c r="J1616" s="1063"/>
      <c r="K1616" s="1063"/>
      <c r="L1616" s="1063"/>
      <c r="M1616" s="1063"/>
      <c r="N1616" s="1063"/>
      <c r="O1616" s="1063"/>
      <c r="P1616" s="1063"/>
      <c r="Q1616" s="1063"/>
      <c r="R1616" s="1063"/>
      <c r="S1616" s="1063"/>
      <c r="T1616" s="1063"/>
      <c r="U1616" s="1063"/>
      <c r="V1616" s="1063"/>
      <c r="W1616" s="1063"/>
      <c r="X1616" s="1063"/>
      <c r="Y1616" s="1063"/>
      <c r="Z1616" s="1063"/>
      <c r="AA1616" s="1063"/>
      <c r="AB1616" s="1063"/>
      <c r="AC1616" s="1063"/>
      <c r="AD1616" s="1063"/>
      <c r="AE1616" s="1063"/>
      <c r="AF1616" s="1063"/>
      <c r="AG1616" s="1063"/>
      <c r="AH1616" s="1063"/>
      <c r="AI1616" s="1063"/>
      <c r="AJ1616" s="1063"/>
      <c r="AK1616" s="1063"/>
      <c r="AL1616" s="1063"/>
      <c r="AM1616" s="1063"/>
      <c r="AN1616" s="1063"/>
      <c r="AO1616" s="1063"/>
      <c r="AP1616" s="1063"/>
      <c r="AQ1616" s="1063"/>
      <c r="AR1616" s="1063"/>
      <c r="AS1616" s="1063"/>
      <c r="AT1616" s="1063"/>
      <c r="AU1616" s="1063"/>
      <c r="AV1616" s="1063"/>
    </row>
    <row r="1617" spans="1:48" s="1108" customFormat="1" ht="27.75" customHeight="1">
      <c r="A1617" s="1076"/>
      <c r="B1617" s="1074">
        <f>+'[18]Bldg+Dev'!S2429</f>
        <v>0</v>
      </c>
      <c r="D1617" s="1063"/>
      <c r="F1617" s="1076"/>
      <c r="G1617" s="1063"/>
      <c r="H1617" s="1063"/>
      <c r="I1617" s="1063"/>
      <c r="J1617" s="1063"/>
      <c r="K1617" s="1063"/>
      <c r="L1617" s="1063"/>
      <c r="M1617" s="1063"/>
      <c r="N1617" s="1063"/>
      <c r="O1617" s="1063"/>
      <c r="P1617" s="1063"/>
      <c r="Q1617" s="1063"/>
      <c r="R1617" s="1063"/>
      <c r="S1617" s="1063"/>
      <c r="T1617" s="1063"/>
      <c r="U1617" s="1063"/>
      <c r="V1617" s="1063"/>
      <c r="W1617" s="1063"/>
      <c r="X1617" s="1063"/>
      <c r="Y1617" s="1063"/>
      <c r="Z1617" s="1063"/>
      <c r="AA1617" s="1063"/>
      <c r="AB1617" s="1063"/>
      <c r="AC1617" s="1063"/>
      <c r="AD1617" s="1063"/>
      <c r="AE1617" s="1063"/>
      <c r="AF1617" s="1063"/>
      <c r="AG1617" s="1063"/>
      <c r="AH1617" s="1063"/>
      <c r="AI1617" s="1063"/>
      <c r="AJ1617" s="1063"/>
      <c r="AK1617" s="1063"/>
      <c r="AL1617" s="1063"/>
      <c r="AM1617" s="1063"/>
      <c r="AN1617" s="1063"/>
      <c r="AO1617" s="1063"/>
      <c r="AP1617" s="1063"/>
      <c r="AQ1617" s="1063"/>
      <c r="AR1617" s="1063"/>
      <c r="AS1617" s="1063"/>
      <c r="AT1617" s="1063"/>
      <c r="AU1617" s="1063"/>
      <c r="AV1617" s="1063"/>
    </row>
    <row r="1618" spans="1:48" s="1108" customFormat="1" ht="27.75" customHeight="1">
      <c r="A1618" s="1076"/>
      <c r="B1618" s="1074">
        <f>+'[18]Bldg+Dev'!S2430</f>
        <v>0</v>
      </c>
      <c r="D1618" s="1063"/>
      <c r="F1618" s="1076"/>
      <c r="G1618" s="1063"/>
      <c r="H1618" s="1063"/>
      <c r="I1618" s="1063"/>
      <c r="J1618" s="1063"/>
      <c r="K1618" s="1063"/>
      <c r="L1618" s="1063"/>
      <c r="M1618" s="1063"/>
      <c r="N1618" s="1063"/>
      <c r="O1618" s="1063"/>
      <c r="P1618" s="1063"/>
      <c r="Q1618" s="1063"/>
      <c r="R1618" s="1063"/>
      <c r="S1618" s="1063"/>
      <c r="T1618" s="1063"/>
      <c r="U1618" s="1063"/>
      <c r="V1618" s="1063"/>
      <c r="W1618" s="1063"/>
      <c r="X1618" s="1063"/>
      <c r="Y1618" s="1063"/>
      <c r="Z1618" s="1063"/>
      <c r="AA1618" s="1063"/>
      <c r="AB1618" s="1063"/>
      <c r="AC1618" s="1063"/>
      <c r="AD1618" s="1063"/>
      <c r="AE1618" s="1063"/>
      <c r="AF1618" s="1063"/>
      <c r="AG1618" s="1063"/>
      <c r="AH1618" s="1063"/>
      <c r="AI1618" s="1063"/>
      <c r="AJ1618" s="1063"/>
      <c r="AK1618" s="1063"/>
      <c r="AL1618" s="1063"/>
      <c r="AM1618" s="1063"/>
      <c r="AN1618" s="1063"/>
      <c r="AO1618" s="1063"/>
      <c r="AP1618" s="1063"/>
      <c r="AQ1618" s="1063"/>
      <c r="AR1618" s="1063"/>
      <c r="AS1618" s="1063"/>
      <c r="AT1618" s="1063"/>
      <c r="AU1618" s="1063"/>
      <c r="AV1618" s="1063"/>
    </row>
    <row r="1619" spans="1:48" s="1108" customFormat="1" ht="27.75" customHeight="1">
      <c r="A1619" s="1076"/>
      <c r="B1619" s="1074">
        <f>+'[18]Bldg+Dev'!S2431</f>
        <v>0</v>
      </c>
      <c r="D1619" s="1063"/>
      <c r="F1619" s="1076"/>
      <c r="G1619" s="1063"/>
      <c r="H1619" s="1063"/>
      <c r="I1619" s="1063"/>
      <c r="J1619" s="1063"/>
      <c r="K1619" s="1063"/>
      <c r="L1619" s="1063"/>
      <c r="M1619" s="1063"/>
      <c r="N1619" s="1063"/>
      <c r="O1619" s="1063"/>
      <c r="P1619" s="1063"/>
      <c r="Q1619" s="1063"/>
      <c r="R1619" s="1063"/>
      <c r="S1619" s="1063"/>
      <c r="T1619" s="1063"/>
      <c r="U1619" s="1063"/>
      <c r="V1619" s="1063"/>
      <c r="W1619" s="1063"/>
      <c r="X1619" s="1063"/>
      <c r="Y1619" s="1063"/>
      <c r="Z1619" s="1063"/>
      <c r="AA1619" s="1063"/>
      <c r="AB1619" s="1063"/>
      <c r="AC1619" s="1063"/>
      <c r="AD1619" s="1063"/>
      <c r="AE1619" s="1063"/>
      <c r="AF1619" s="1063"/>
      <c r="AG1619" s="1063"/>
      <c r="AH1619" s="1063"/>
      <c r="AI1619" s="1063"/>
      <c r="AJ1619" s="1063"/>
      <c r="AK1619" s="1063"/>
      <c r="AL1619" s="1063"/>
      <c r="AM1619" s="1063"/>
      <c r="AN1619" s="1063"/>
      <c r="AO1619" s="1063"/>
      <c r="AP1619" s="1063"/>
      <c r="AQ1619" s="1063"/>
      <c r="AR1619" s="1063"/>
      <c r="AS1619" s="1063"/>
      <c r="AT1619" s="1063"/>
      <c r="AU1619" s="1063"/>
      <c r="AV1619" s="1063"/>
    </row>
    <row r="1620" spans="1:48" s="1108" customFormat="1" ht="27.75" customHeight="1">
      <c r="A1620" s="1076"/>
      <c r="B1620" s="1074">
        <f>+'[18]Bldg+Dev'!S2432</f>
        <v>0</v>
      </c>
      <c r="D1620" s="1063"/>
      <c r="F1620" s="1076"/>
      <c r="G1620" s="1063"/>
      <c r="H1620" s="1063"/>
      <c r="I1620" s="1063"/>
      <c r="J1620" s="1063"/>
      <c r="K1620" s="1063"/>
      <c r="L1620" s="1063"/>
      <c r="M1620" s="1063"/>
      <c r="N1620" s="1063"/>
      <c r="O1620" s="1063"/>
      <c r="P1620" s="1063"/>
      <c r="Q1620" s="1063"/>
      <c r="R1620" s="1063"/>
      <c r="S1620" s="1063"/>
      <c r="T1620" s="1063"/>
      <c r="U1620" s="1063"/>
      <c r="V1620" s="1063"/>
      <c r="W1620" s="1063"/>
      <c r="X1620" s="1063"/>
      <c r="Y1620" s="1063"/>
      <c r="Z1620" s="1063"/>
      <c r="AA1620" s="1063"/>
      <c r="AB1620" s="1063"/>
      <c r="AC1620" s="1063"/>
      <c r="AD1620" s="1063"/>
      <c r="AE1620" s="1063"/>
      <c r="AF1620" s="1063"/>
      <c r="AG1620" s="1063"/>
      <c r="AH1620" s="1063"/>
      <c r="AI1620" s="1063"/>
      <c r="AJ1620" s="1063"/>
      <c r="AK1620" s="1063"/>
      <c r="AL1620" s="1063"/>
      <c r="AM1620" s="1063"/>
      <c r="AN1620" s="1063"/>
      <c r="AO1620" s="1063"/>
      <c r="AP1620" s="1063"/>
      <c r="AQ1620" s="1063"/>
      <c r="AR1620" s="1063"/>
      <c r="AS1620" s="1063"/>
      <c r="AT1620" s="1063"/>
      <c r="AU1620" s="1063"/>
      <c r="AV1620" s="1063"/>
    </row>
    <row r="1621" spans="1:48" s="1108" customFormat="1" ht="27.75" customHeight="1">
      <c r="A1621" s="1076"/>
      <c r="B1621" s="1074">
        <f>+'[18]Bldg+Dev'!S2433</f>
        <v>0</v>
      </c>
      <c r="D1621" s="1063"/>
      <c r="F1621" s="1076"/>
      <c r="G1621" s="1063"/>
      <c r="H1621" s="1063"/>
      <c r="I1621" s="1063"/>
      <c r="J1621" s="1063"/>
      <c r="K1621" s="1063"/>
      <c r="L1621" s="1063"/>
      <c r="M1621" s="1063"/>
      <c r="N1621" s="1063"/>
      <c r="O1621" s="1063"/>
      <c r="P1621" s="1063"/>
      <c r="Q1621" s="1063"/>
      <c r="R1621" s="1063"/>
      <c r="S1621" s="1063"/>
      <c r="T1621" s="1063"/>
      <c r="U1621" s="1063"/>
      <c r="V1621" s="1063"/>
      <c r="W1621" s="1063"/>
      <c r="X1621" s="1063"/>
      <c r="Y1621" s="1063"/>
      <c r="Z1621" s="1063"/>
      <c r="AA1621" s="1063"/>
      <c r="AB1621" s="1063"/>
      <c r="AC1621" s="1063"/>
      <c r="AD1621" s="1063"/>
      <c r="AE1621" s="1063"/>
      <c r="AF1621" s="1063"/>
      <c r="AG1621" s="1063"/>
      <c r="AH1621" s="1063"/>
      <c r="AI1621" s="1063"/>
      <c r="AJ1621" s="1063"/>
      <c r="AK1621" s="1063"/>
      <c r="AL1621" s="1063"/>
      <c r="AM1621" s="1063"/>
      <c r="AN1621" s="1063"/>
      <c r="AO1621" s="1063"/>
      <c r="AP1621" s="1063"/>
      <c r="AQ1621" s="1063"/>
      <c r="AR1621" s="1063"/>
      <c r="AS1621" s="1063"/>
      <c r="AT1621" s="1063"/>
      <c r="AU1621" s="1063"/>
      <c r="AV1621" s="1063"/>
    </row>
    <row r="1622" spans="1:48" s="1108" customFormat="1" ht="27.75" customHeight="1">
      <c r="A1622" s="1076"/>
      <c r="B1622" s="1074">
        <f>+'[18]Bldg+Dev'!S2434</f>
        <v>0</v>
      </c>
      <c r="D1622" s="1063"/>
      <c r="F1622" s="1076"/>
      <c r="G1622" s="1063"/>
      <c r="H1622" s="1063"/>
      <c r="I1622" s="1063"/>
      <c r="J1622" s="1063"/>
      <c r="K1622" s="1063"/>
      <c r="L1622" s="1063"/>
      <c r="M1622" s="1063"/>
      <c r="N1622" s="1063"/>
      <c r="O1622" s="1063"/>
      <c r="P1622" s="1063"/>
      <c r="Q1622" s="1063"/>
      <c r="R1622" s="1063"/>
      <c r="S1622" s="1063"/>
      <c r="T1622" s="1063"/>
      <c r="U1622" s="1063"/>
      <c r="V1622" s="1063"/>
      <c r="W1622" s="1063"/>
      <c r="X1622" s="1063"/>
      <c r="Y1622" s="1063"/>
      <c r="Z1622" s="1063"/>
      <c r="AA1622" s="1063"/>
      <c r="AB1622" s="1063"/>
      <c r="AC1622" s="1063"/>
      <c r="AD1622" s="1063"/>
      <c r="AE1622" s="1063"/>
      <c r="AF1622" s="1063"/>
      <c r="AG1622" s="1063"/>
      <c r="AH1622" s="1063"/>
      <c r="AI1622" s="1063"/>
      <c r="AJ1622" s="1063"/>
      <c r="AK1622" s="1063"/>
      <c r="AL1622" s="1063"/>
      <c r="AM1622" s="1063"/>
      <c r="AN1622" s="1063"/>
      <c r="AO1622" s="1063"/>
      <c r="AP1622" s="1063"/>
      <c r="AQ1622" s="1063"/>
      <c r="AR1622" s="1063"/>
      <c r="AS1622" s="1063"/>
      <c r="AT1622" s="1063"/>
      <c r="AU1622" s="1063"/>
      <c r="AV1622" s="1063"/>
    </row>
    <row r="1623" spans="1:48" s="1108" customFormat="1" ht="27.75" customHeight="1">
      <c r="A1623" s="1076"/>
      <c r="B1623" s="1074">
        <f>+'[18]Bldg+Dev'!S2435</f>
        <v>0</v>
      </c>
      <c r="D1623" s="1063"/>
      <c r="F1623" s="1076"/>
      <c r="G1623" s="1063"/>
      <c r="H1623" s="1063"/>
      <c r="I1623" s="1063"/>
      <c r="J1623" s="1063"/>
      <c r="K1623" s="1063"/>
      <c r="L1623" s="1063"/>
      <c r="M1623" s="1063"/>
      <c r="N1623" s="1063"/>
      <c r="O1623" s="1063"/>
      <c r="P1623" s="1063"/>
      <c r="Q1623" s="1063"/>
      <c r="R1623" s="1063"/>
      <c r="S1623" s="1063"/>
      <c r="T1623" s="1063"/>
      <c r="U1623" s="1063"/>
      <c r="V1623" s="1063"/>
      <c r="W1623" s="1063"/>
      <c r="X1623" s="1063"/>
      <c r="Y1623" s="1063"/>
      <c r="Z1623" s="1063"/>
      <c r="AA1623" s="1063"/>
      <c r="AB1623" s="1063"/>
      <c r="AC1623" s="1063"/>
      <c r="AD1623" s="1063"/>
      <c r="AE1623" s="1063"/>
      <c r="AF1623" s="1063"/>
      <c r="AG1623" s="1063"/>
      <c r="AH1623" s="1063"/>
      <c r="AI1623" s="1063"/>
      <c r="AJ1623" s="1063"/>
      <c r="AK1623" s="1063"/>
      <c r="AL1623" s="1063"/>
      <c r="AM1623" s="1063"/>
      <c r="AN1623" s="1063"/>
      <c r="AO1623" s="1063"/>
      <c r="AP1623" s="1063"/>
      <c r="AQ1623" s="1063"/>
      <c r="AR1623" s="1063"/>
      <c r="AS1623" s="1063"/>
      <c r="AT1623" s="1063"/>
      <c r="AU1623" s="1063"/>
      <c r="AV1623" s="1063"/>
    </row>
    <row r="1624" spans="1:48" s="1108" customFormat="1" ht="27.75" customHeight="1">
      <c r="A1624" s="1076"/>
      <c r="B1624" s="1074">
        <f>+'[18]Bldg+Dev'!S2436</f>
        <v>0</v>
      </c>
      <c r="D1624" s="1063"/>
      <c r="F1624" s="1076"/>
      <c r="G1624" s="1063"/>
      <c r="H1624" s="1063"/>
      <c r="I1624" s="1063"/>
      <c r="J1624" s="1063"/>
      <c r="K1624" s="1063"/>
      <c r="L1624" s="1063"/>
      <c r="M1624" s="1063"/>
      <c r="N1624" s="1063"/>
      <c r="O1624" s="1063"/>
      <c r="P1624" s="1063"/>
      <c r="Q1624" s="1063"/>
      <c r="R1624" s="1063"/>
      <c r="S1624" s="1063"/>
      <c r="T1624" s="1063"/>
      <c r="U1624" s="1063"/>
      <c r="V1624" s="1063"/>
      <c r="W1624" s="1063"/>
      <c r="X1624" s="1063"/>
      <c r="Y1624" s="1063"/>
      <c r="Z1624" s="1063"/>
      <c r="AA1624" s="1063"/>
      <c r="AB1624" s="1063"/>
      <c r="AC1624" s="1063"/>
      <c r="AD1624" s="1063"/>
      <c r="AE1624" s="1063"/>
      <c r="AF1624" s="1063"/>
      <c r="AG1624" s="1063"/>
      <c r="AH1624" s="1063"/>
      <c r="AI1624" s="1063"/>
      <c r="AJ1624" s="1063"/>
      <c r="AK1624" s="1063"/>
      <c r="AL1624" s="1063"/>
      <c r="AM1624" s="1063"/>
      <c r="AN1624" s="1063"/>
      <c r="AO1624" s="1063"/>
      <c r="AP1624" s="1063"/>
      <c r="AQ1624" s="1063"/>
      <c r="AR1624" s="1063"/>
      <c r="AS1624" s="1063"/>
      <c r="AT1624" s="1063"/>
      <c r="AU1624" s="1063"/>
      <c r="AV1624" s="1063"/>
    </row>
    <row r="1625" spans="1:48" s="1108" customFormat="1" ht="27.75" customHeight="1">
      <c r="A1625" s="1076"/>
      <c r="B1625" s="1074">
        <f>+'[18]Bldg+Dev'!S2437</f>
        <v>0</v>
      </c>
      <c r="D1625" s="1063"/>
      <c r="F1625" s="1076"/>
      <c r="G1625" s="1063"/>
      <c r="H1625" s="1063"/>
      <c r="I1625" s="1063"/>
      <c r="J1625" s="1063"/>
      <c r="K1625" s="1063"/>
      <c r="L1625" s="1063"/>
      <c r="M1625" s="1063"/>
      <c r="N1625" s="1063"/>
      <c r="O1625" s="1063"/>
      <c r="P1625" s="1063"/>
      <c r="Q1625" s="1063"/>
      <c r="R1625" s="1063"/>
      <c r="S1625" s="1063"/>
      <c r="T1625" s="1063"/>
      <c r="U1625" s="1063"/>
      <c r="V1625" s="1063"/>
      <c r="W1625" s="1063"/>
      <c r="X1625" s="1063"/>
      <c r="Y1625" s="1063"/>
      <c r="Z1625" s="1063"/>
      <c r="AA1625" s="1063"/>
      <c r="AB1625" s="1063"/>
      <c r="AC1625" s="1063"/>
      <c r="AD1625" s="1063"/>
      <c r="AE1625" s="1063"/>
      <c r="AF1625" s="1063"/>
      <c r="AG1625" s="1063"/>
      <c r="AH1625" s="1063"/>
      <c r="AI1625" s="1063"/>
      <c r="AJ1625" s="1063"/>
      <c r="AK1625" s="1063"/>
      <c r="AL1625" s="1063"/>
      <c r="AM1625" s="1063"/>
      <c r="AN1625" s="1063"/>
      <c r="AO1625" s="1063"/>
      <c r="AP1625" s="1063"/>
      <c r="AQ1625" s="1063"/>
      <c r="AR1625" s="1063"/>
      <c r="AS1625" s="1063"/>
      <c r="AT1625" s="1063"/>
      <c r="AU1625" s="1063"/>
      <c r="AV1625" s="1063"/>
    </row>
    <row r="1626" spans="1:48" s="1108" customFormat="1" ht="27.75" customHeight="1">
      <c r="A1626" s="1076"/>
      <c r="B1626" s="1074">
        <f>+'[18]Bldg+Dev'!S2438</f>
        <v>0</v>
      </c>
      <c r="D1626" s="1063"/>
      <c r="F1626" s="1076"/>
      <c r="G1626" s="1063"/>
      <c r="H1626" s="1063"/>
      <c r="I1626" s="1063"/>
      <c r="J1626" s="1063"/>
      <c r="K1626" s="1063"/>
      <c r="L1626" s="1063"/>
      <c r="M1626" s="1063"/>
      <c r="N1626" s="1063"/>
      <c r="O1626" s="1063"/>
      <c r="P1626" s="1063"/>
      <c r="Q1626" s="1063"/>
      <c r="R1626" s="1063"/>
      <c r="S1626" s="1063"/>
      <c r="T1626" s="1063"/>
      <c r="U1626" s="1063"/>
      <c r="V1626" s="1063"/>
      <c r="W1626" s="1063"/>
      <c r="X1626" s="1063"/>
      <c r="Y1626" s="1063"/>
      <c r="Z1626" s="1063"/>
      <c r="AA1626" s="1063"/>
      <c r="AB1626" s="1063"/>
      <c r="AC1626" s="1063"/>
      <c r="AD1626" s="1063"/>
      <c r="AE1626" s="1063"/>
      <c r="AF1626" s="1063"/>
      <c r="AG1626" s="1063"/>
      <c r="AH1626" s="1063"/>
      <c r="AI1626" s="1063"/>
      <c r="AJ1626" s="1063"/>
      <c r="AK1626" s="1063"/>
      <c r="AL1626" s="1063"/>
      <c r="AM1626" s="1063"/>
      <c r="AN1626" s="1063"/>
      <c r="AO1626" s="1063"/>
      <c r="AP1626" s="1063"/>
      <c r="AQ1626" s="1063"/>
      <c r="AR1626" s="1063"/>
      <c r="AS1626" s="1063"/>
      <c r="AT1626" s="1063"/>
      <c r="AU1626" s="1063"/>
      <c r="AV1626" s="1063"/>
    </row>
    <row r="1627" spans="1:48" s="1108" customFormat="1" ht="27.75" customHeight="1">
      <c r="A1627" s="1076"/>
      <c r="B1627" s="1074">
        <f>+'[18]Bldg+Dev'!S2439</f>
        <v>0</v>
      </c>
      <c r="D1627" s="1063"/>
      <c r="F1627" s="1076"/>
      <c r="G1627" s="1063"/>
      <c r="H1627" s="1063"/>
      <c r="I1627" s="1063"/>
      <c r="J1627" s="1063"/>
      <c r="K1627" s="1063"/>
      <c r="L1627" s="1063"/>
      <c r="M1627" s="1063"/>
      <c r="N1627" s="1063"/>
      <c r="O1627" s="1063"/>
      <c r="P1627" s="1063"/>
      <c r="Q1627" s="1063"/>
      <c r="R1627" s="1063"/>
      <c r="S1627" s="1063"/>
      <c r="T1627" s="1063"/>
      <c r="U1627" s="1063"/>
      <c r="V1627" s="1063"/>
      <c r="W1627" s="1063"/>
      <c r="X1627" s="1063"/>
      <c r="Y1627" s="1063"/>
      <c r="Z1627" s="1063"/>
      <c r="AA1627" s="1063"/>
      <c r="AB1627" s="1063"/>
      <c r="AC1627" s="1063"/>
      <c r="AD1627" s="1063"/>
      <c r="AE1627" s="1063"/>
      <c r="AF1627" s="1063"/>
      <c r="AG1627" s="1063"/>
      <c r="AH1627" s="1063"/>
      <c r="AI1627" s="1063"/>
      <c r="AJ1627" s="1063"/>
      <c r="AK1627" s="1063"/>
      <c r="AL1627" s="1063"/>
      <c r="AM1627" s="1063"/>
      <c r="AN1627" s="1063"/>
      <c r="AO1627" s="1063"/>
      <c r="AP1627" s="1063"/>
      <c r="AQ1627" s="1063"/>
      <c r="AR1627" s="1063"/>
      <c r="AS1627" s="1063"/>
      <c r="AT1627" s="1063"/>
      <c r="AU1627" s="1063"/>
      <c r="AV1627" s="1063"/>
    </row>
    <row r="1628" spans="1:48" s="1108" customFormat="1" ht="27.75" customHeight="1">
      <c r="A1628" s="1076"/>
      <c r="B1628" s="1074">
        <f>+'[18]Bldg+Dev'!S2440</f>
        <v>0</v>
      </c>
      <c r="D1628" s="1063"/>
      <c r="F1628" s="1076"/>
      <c r="G1628" s="1063"/>
      <c r="H1628" s="1063"/>
      <c r="I1628" s="1063"/>
      <c r="J1628" s="1063"/>
      <c r="K1628" s="1063"/>
      <c r="L1628" s="1063"/>
      <c r="M1628" s="1063"/>
      <c r="N1628" s="1063"/>
      <c r="O1628" s="1063"/>
      <c r="P1628" s="1063"/>
      <c r="Q1628" s="1063"/>
      <c r="R1628" s="1063"/>
      <c r="S1628" s="1063"/>
      <c r="T1628" s="1063"/>
      <c r="U1628" s="1063"/>
      <c r="V1628" s="1063"/>
      <c r="W1628" s="1063"/>
      <c r="X1628" s="1063"/>
      <c r="Y1628" s="1063"/>
      <c r="Z1628" s="1063"/>
      <c r="AA1628" s="1063"/>
      <c r="AB1628" s="1063"/>
      <c r="AC1628" s="1063"/>
      <c r="AD1628" s="1063"/>
      <c r="AE1628" s="1063"/>
      <c r="AF1628" s="1063"/>
      <c r="AG1628" s="1063"/>
      <c r="AH1628" s="1063"/>
      <c r="AI1628" s="1063"/>
      <c r="AJ1628" s="1063"/>
      <c r="AK1628" s="1063"/>
      <c r="AL1628" s="1063"/>
      <c r="AM1628" s="1063"/>
      <c r="AN1628" s="1063"/>
      <c r="AO1628" s="1063"/>
      <c r="AP1628" s="1063"/>
      <c r="AQ1628" s="1063"/>
      <c r="AR1628" s="1063"/>
      <c r="AS1628" s="1063"/>
      <c r="AT1628" s="1063"/>
      <c r="AU1628" s="1063"/>
      <c r="AV1628" s="1063"/>
    </row>
    <row r="1629" spans="1:48" s="1108" customFormat="1" ht="27.75" customHeight="1">
      <c r="A1629" s="1076"/>
      <c r="B1629" s="1074">
        <f>+'[18]Bldg+Dev'!S2441</f>
        <v>0</v>
      </c>
      <c r="D1629" s="1063"/>
      <c r="F1629" s="1076"/>
      <c r="G1629" s="1063"/>
      <c r="H1629" s="1063"/>
      <c r="I1629" s="1063"/>
      <c r="J1629" s="1063"/>
      <c r="K1629" s="1063"/>
      <c r="L1629" s="1063"/>
      <c r="M1629" s="1063"/>
      <c r="N1629" s="1063"/>
      <c r="O1629" s="1063"/>
      <c r="P1629" s="1063"/>
      <c r="Q1629" s="1063"/>
      <c r="R1629" s="1063"/>
      <c r="S1629" s="1063"/>
      <c r="T1629" s="1063"/>
      <c r="U1629" s="1063"/>
      <c r="V1629" s="1063"/>
      <c r="W1629" s="1063"/>
      <c r="X1629" s="1063"/>
      <c r="Y1629" s="1063"/>
      <c r="Z1629" s="1063"/>
      <c r="AA1629" s="1063"/>
      <c r="AB1629" s="1063"/>
      <c r="AC1629" s="1063"/>
      <c r="AD1629" s="1063"/>
      <c r="AE1629" s="1063"/>
      <c r="AF1629" s="1063"/>
      <c r="AG1629" s="1063"/>
      <c r="AH1629" s="1063"/>
      <c r="AI1629" s="1063"/>
      <c r="AJ1629" s="1063"/>
      <c r="AK1629" s="1063"/>
      <c r="AL1629" s="1063"/>
      <c r="AM1629" s="1063"/>
      <c r="AN1629" s="1063"/>
      <c r="AO1629" s="1063"/>
      <c r="AP1629" s="1063"/>
      <c r="AQ1629" s="1063"/>
      <c r="AR1629" s="1063"/>
      <c r="AS1629" s="1063"/>
      <c r="AT1629" s="1063"/>
      <c r="AU1629" s="1063"/>
      <c r="AV1629" s="1063"/>
    </row>
    <row r="1630" spans="1:48" s="1108" customFormat="1" ht="27.75" customHeight="1">
      <c r="A1630" s="1076"/>
      <c r="B1630" s="1074">
        <f>+'[18]Bldg+Dev'!S2442</f>
        <v>0</v>
      </c>
      <c r="D1630" s="1063"/>
      <c r="F1630" s="1076"/>
      <c r="G1630" s="1063"/>
      <c r="H1630" s="1063"/>
      <c r="I1630" s="1063"/>
      <c r="J1630" s="1063"/>
      <c r="K1630" s="1063"/>
      <c r="L1630" s="1063"/>
      <c r="M1630" s="1063"/>
      <c r="N1630" s="1063"/>
      <c r="O1630" s="1063"/>
      <c r="P1630" s="1063"/>
      <c r="Q1630" s="1063"/>
      <c r="R1630" s="1063"/>
      <c r="S1630" s="1063"/>
      <c r="T1630" s="1063"/>
      <c r="U1630" s="1063"/>
      <c r="V1630" s="1063"/>
      <c r="W1630" s="1063"/>
      <c r="X1630" s="1063"/>
      <c r="Y1630" s="1063"/>
      <c r="Z1630" s="1063"/>
      <c r="AA1630" s="1063"/>
      <c r="AB1630" s="1063"/>
      <c r="AC1630" s="1063"/>
      <c r="AD1630" s="1063"/>
      <c r="AE1630" s="1063"/>
      <c r="AF1630" s="1063"/>
      <c r="AG1630" s="1063"/>
      <c r="AH1630" s="1063"/>
      <c r="AI1630" s="1063"/>
      <c r="AJ1630" s="1063"/>
      <c r="AK1630" s="1063"/>
      <c r="AL1630" s="1063"/>
      <c r="AM1630" s="1063"/>
      <c r="AN1630" s="1063"/>
      <c r="AO1630" s="1063"/>
      <c r="AP1630" s="1063"/>
      <c r="AQ1630" s="1063"/>
      <c r="AR1630" s="1063"/>
      <c r="AS1630" s="1063"/>
      <c r="AT1630" s="1063"/>
      <c r="AU1630" s="1063"/>
      <c r="AV1630" s="1063"/>
    </row>
    <row r="1631" spans="1:48" s="1108" customFormat="1" ht="27.75" customHeight="1">
      <c r="A1631" s="1076"/>
      <c r="B1631" s="1074">
        <f>+'[18]Bldg+Dev'!S2443</f>
        <v>0</v>
      </c>
      <c r="D1631" s="1063"/>
      <c r="F1631" s="1076"/>
      <c r="G1631" s="1063"/>
      <c r="H1631" s="1063"/>
      <c r="I1631" s="1063"/>
      <c r="J1631" s="1063"/>
      <c r="K1631" s="1063"/>
      <c r="L1631" s="1063"/>
      <c r="M1631" s="1063"/>
      <c r="N1631" s="1063"/>
      <c r="O1631" s="1063"/>
      <c r="P1631" s="1063"/>
      <c r="Q1631" s="1063"/>
      <c r="R1631" s="1063"/>
      <c r="S1631" s="1063"/>
      <c r="T1631" s="1063"/>
      <c r="U1631" s="1063"/>
      <c r="V1631" s="1063"/>
      <c r="W1631" s="1063"/>
      <c r="X1631" s="1063"/>
      <c r="Y1631" s="1063"/>
      <c r="Z1631" s="1063"/>
      <c r="AA1631" s="1063"/>
      <c r="AB1631" s="1063"/>
      <c r="AC1631" s="1063"/>
      <c r="AD1631" s="1063"/>
      <c r="AE1631" s="1063"/>
      <c r="AF1631" s="1063"/>
      <c r="AG1631" s="1063"/>
      <c r="AH1631" s="1063"/>
      <c r="AI1631" s="1063"/>
      <c r="AJ1631" s="1063"/>
      <c r="AK1631" s="1063"/>
      <c r="AL1631" s="1063"/>
      <c r="AM1631" s="1063"/>
      <c r="AN1631" s="1063"/>
      <c r="AO1631" s="1063"/>
      <c r="AP1631" s="1063"/>
      <c r="AQ1631" s="1063"/>
      <c r="AR1631" s="1063"/>
      <c r="AS1631" s="1063"/>
      <c r="AT1631" s="1063"/>
      <c r="AU1631" s="1063"/>
      <c r="AV1631" s="1063"/>
    </row>
    <row r="1632" spans="1:48" s="1108" customFormat="1" ht="27.75" customHeight="1">
      <c r="A1632" s="1076"/>
      <c r="B1632" s="1074">
        <f>+'[18]Bldg+Dev'!S2444</f>
        <v>0</v>
      </c>
      <c r="D1632" s="1063"/>
      <c r="F1632" s="1076"/>
      <c r="G1632" s="1063"/>
      <c r="H1632" s="1063"/>
      <c r="I1632" s="1063"/>
      <c r="J1632" s="1063"/>
      <c r="K1632" s="1063"/>
      <c r="L1632" s="1063"/>
      <c r="M1632" s="1063"/>
      <c r="N1632" s="1063"/>
      <c r="O1632" s="1063"/>
      <c r="P1632" s="1063"/>
      <c r="Q1632" s="1063"/>
      <c r="R1632" s="1063"/>
      <c r="S1632" s="1063"/>
      <c r="T1632" s="1063"/>
      <c r="U1632" s="1063"/>
      <c r="V1632" s="1063"/>
      <c r="W1632" s="1063"/>
      <c r="X1632" s="1063"/>
      <c r="Y1632" s="1063"/>
      <c r="Z1632" s="1063"/>
      <c r="AA1632" s="1063"/>
      <c r="AB1632" s="1063"/>
      <c r="AC1632" s="1063"/>
      <c r="AD1632" s="1063"/>
      <c r="AE1632" s="1063"/>
      <c r="AF1632" s="1063"/>
      <c r="AG1632" s="1063"/>
      <c r="AH1632" s="1063"/>
      <c r="AI1632" s="1063"/>
      <c r="AJ1632" s="1063"/>
      <c r="AK1632" s="1063"/>
      <c r="AL1632" s="1063"/>
      <c r="AM1632" s="1063"/>
      <c r="AN1632" s="1063"/>
      <c r="AO1632" s="1063"/>
      <c r="AP1632" s="1063"/>
      <c r="AQ1632" s="1063"/>
      <c r="AR1632" s="1063"/>
      <c r="AS1632" s="1063"/>
      <c r="AT1632" s="1063"/>
      <c r="AU1632" s="1063"/>
      <c r="AV1632" s="1063"/>
    </row>
    <row r="1633" spans="1:48" s="1108" customFormat="1" ht="27.75" customHeight="1">
      <c r="A1633" s="1076"/>
      <c r="B1633" s="1074">
        <f>+'[18]Bldg+Dev'!S2445</f>
        <v>0</v>
      </c>
      <c r="D1633" s="1063"/>
      <c r="F1633" s="1076"/>
      <c r="G1633" s="1063"/>
      <c r="H1633" s="1063"/>
      <c r="I1633" s="1063"/>
      <c r="J1633" s="1063"/>
      <c r="K1633" s="1063"/>
      <c r="L1633" s="1063"/>
      <c r="M1633" s="1063"/>
      <c r="N1633" s="1063"/>
      <c r="O1633" s="1063"/>
      <c r="P1633" s="1063"/>
      <c r="Q1633" s="1063"/>
      <c r="R1633" s="1063"/>
      <c r="S1633" s="1063"/>
      <c r="T1633" s="1063"/>
      <c r="U1633" s="1063"/>
      <c r="V1633" s="1063"/>
      <c r="W1633" s="1063"/>
      <c r="X1633" s="1063"/>
      <c r="Y1633" s="1063"/>
      <c r="Z1633" s="1063"/>
      <c r="AA1633" s="1063"/>
      <c r="AB1633" s="1063"/>
      <c r="AC1633" s="1063"/>
      <c r="AD1633" s="1063"/>
      <c r="AE1633" s="1063"/>
      <c r="AF1633" s="1063"/>
      <c r="AG1633" s="1063"/>
      <c r="AH1633" s="1063"/>
      <c r="AI1633" s="1063"/>
      <c r="AJ1633" s="1063"/>
      <c r="AK1633" s="1063"/>
      <c r="AL1633" s="1063"/>
      <c r="AM1633" s="1063"/>
      <c r="AN1633" s="1063"/>
      <c r="AO1633" s="1063"/>
      <c r="AP1633" s="1063"/>
      <c r="AQ1633" s="1063"/>
      <c r="AR1633" s="1063"/>
      <c r="AS1633" s="1063"/>
      <c r="AT1633" s="1063"/>
      <c r="AU1633" s="1063"/>
      <c r="AV1633" s="1063"/>
    </row>
    <row r="1634" spans="1:48" s="1108" customFormat="1" ht="27.75" customHeight="1">
      <c r="A1634" s="1076"/>
      <c r="B1634" s="1074">
        <f>+'[18]Bldg+Dev'!S2446</f>
        <v>0</v>
      </c>
      <c r="D1634" s="1063"/>
      <c r="F1634" s="1076"/>
      <c r="G1634" s="1063"/>
      <c r="H1634" s="1063"/>
      <c r="I1634" s="1063"/>
      <c r="J1634" s="1063"/>
      <c r="K1634" s="1063"/>
      <c r="L1634" s="1063"/>
      <c r="M1634" s="1063"/>
      <c r="N1634" s="1063"/>
      <c r="O1634" s="1063"/>
      <c r="P1634" s="1063"/>
      <c r="Q1634" s="1063"/>
      <c r="R1634" s="1063"/>
      <c r="S1634" s="1063"/>
      <c r="T1634" s="1063"/>
      <c r="U1634" s="1063"/>
      <c r="V1634" s="1063"/>
      <c r="W1634" s="1063"/>
      <c r="X1634" s="1063"/>
      <c r="Y1634" s="1063"/>
      <c r="Z1634" s="1063"/>
      <c r="AA1634" s="1063"/>
      <c r="AB1634" s="1063"/>
      <c r="AC1634" s="1063"/>
      <c r="AD1634" s="1063"/>
      <c r="AE1634" s="1063"/>
      <c r="AF1634" s="1063"/>
      <c r="AG1634" s="1063"/>
      <c r="AH1634" s="1063"/>
      <c r="AI1634" s="1063"/>
      <c r="AJ1634" s="1063"/>
      <c r="AK1634" s="1063"/>
      <c r="AL1634" s="1063"/>
      <c r="AM1634" s="1063"/>
      <c r="AN1634" s="1063"/>
      <c r="AO1634" s="1063"/>
      <c r="AP1634" s="1063"/>
      <c r="AQ1634" s="1063"/>
      <c r="AR1634" s="1063"/>
      <c r="AS1634" s="1063"/>
      <c r="AT1634" s="1063"/>
      <c r="AU1634" s="1063"/>
      <c r="AV1634" s="1063"/>
    </row>
    <row r="1635" spans="1:48" s="1108" customFormat="1" ht="27.75" customHeight="1">
      <c r="A1635" s="1076"/>
      <c r="B1635" s="1074">
        <f>+'[18]Bldg+Dev'!S2447</f>
        <v>0</v>
      </c>
      <c r="D1635" s="1063"/>
      <c r="F1635" s="1076"/>
      <c r="G1635" s="1063"/>
      <c r="H1635" s="1063"/>
      <c r="I1635" s="1063"/>
      <c r="J1635" s="1063"/>
      <c r="K1635" s="1063"/>
      <c r="L1635" s="1063"/>
      <c r="M1635" s="1063"/>
      <c r="N1635" s="1063"/>
      <c r="O1635" s="1063"/>
      <c r="P1635" s="1063"/>
      <c r="Q1635" s="1063"/>
      <c r="R1635" s="1063"/>
      <c r="S1635" s="1063"/>
      <c r="T1635" s="1063"/>
      <c r="U1635" s="1063"/>
      <c r="V1635" s="1063"/>
      <c r="W1635" s="1063"/>
      <c r="X1635" s="1063"/>
      <c r="Y1635" s="1063"/>
      <c r="Z1635" s="1063"/>
      <c r="AA1635" s="1063"/>
      <c r="AB1635" s="1063"/>
      <c r="AC1635" s="1063"/>
      <c r="AD1635" s="1063"/>
      <c r="AE1635" s="1063"/>
      <c r="AF1635" s="1063"/>
      <c r="AG1635" s="1063"/>
      <c r="AH1635" s="1063"/>
      <c r="AI1635" s="1063"/>
      <c r="AJ1635" s="1063"/>
      <c r="AK1635" s="1063"/>
      <c r="AL1635" s="1063"/>
      <c r="AM1635" s="1063"/>
      <c r="AN1635" s="1063"/>
      <c r="AO1635" s="1063"/>
      <c r="AP1635" s="1063"/>
      <c r="AQ1635" s="1063"/>
      <c r="AR1635" s="1063"/>
      <c r="AS1635" s="1063"/>
      <c r="AT1635" s="1063"/>
      <c r="AU1635" s="1063"/>
      <c r="AV1635" s="1063"/>
    </row>
    <row r="1636" spans="1:48" s="1108" customFormat="1" ht="27.75" customHeight="1">
      <c r="A1636" s="1076"/>
      <c r="B1636" s="1074">
        <f>+'[18]Bldg+Dev'!S2448</f>
        <v>0</v>
      </c>
      <c r="D1636" s="1063"/>
      <c r="F1636" s="1076"/>
      <c r="G1636" s="1063"/>
      <c r="H1636" s="1063"/>
      <c r="I1636" s="1063"/>
      <c r="J1636" s="1063"/>
      <c r="K1636" s="1063"/>
      <c r="L1636" s="1063"/>
      <c r="M1636" s="1063"/>
      <c r="N1636" s="1063"/>
      <c r="O1636" s="1063"/>
      <c r="P1636" s="1063"/>
      <c r="Q1636" s="1063"/>
      <c r="R1636" s="1063"/>
      <c r="S1636" s="1063"/>
      <c r="T1636" s="1063"/>
      <c r="U1636" s="1063"/>
      <c r="V1636" s="1063"/>
      <c r="W1636" s="1063"/>
      <c r="X1636" s="1063"/>
      <c r="Y1636" s="1063"/>
      <c r="Z1636" s="1063"/>
      <c r="AA1636" s="1063"/>
      <c r="AB1636" s="1063"/>
      <c r="AC1636" s="1063"/>
      <c r="AD1636" s="1063"/>
      <c r="AE1636" s="1063"/>
      <c r="AF1636" s="1063"/>
      <c r="AG1636" s="1063"/>
      <c r="AH1636" s="1063"/>
      <c r="AI1636" s="1063"/>
      <c r="AJ1636" s="1063"/>
      <c r="AK1636" s="1063"/>
      <c r="AL1636" s="1063"/>
      <c r="AM1636" s="1063"/>
      <c r="AN1636" s="1063"/>
      <c r="AO1636" s="1063"/>
      <c r="AP1636" s="1063"/>
      <c r="AQ1636" s="1063"/>
      <c r="AR1636" s="1063"/>
      <c r="AS1636" s="1063"/>
      <c r="AT1636" s="1063"/>
      <c r="AU1636" s="1063"/>
      <c r="AV1636" s="1063"/>
    </row>
    <row r="1637" spans="1:48" s="1108" customFormat="1" ht="27.75" customHeight="1">
      <c r="A1637" s="1076"/>
      <c r="B1637" s="1074">
        <f>+'[18]Bldg+Dev'!S2449</f>
        <v>0</v>
      </c>
      <c r="D1637" s="1063"/>
      <c r="F1637" s="1076"/>
      <c r="G1637" s="1063"/>
      <c r="H1637" s="1063"/>
      <c r="I1637" s="1063"/>
      <c r="J1637" s="1063"/>
      <c r="K1637" s="1063"/>
      <c r="L1637" s="1063"/>
      <c r="M1637" s="1063"/>
      <c r="N1637" s="1063"/>
      <c r="O1637" s="1063"/>
      <c r="P1637" s="1063"/>
      <c r="Q1637" s="1063"/>
      <c r="R1637" s="1063"/>
      <c r="S1637" s="1063"/>
      <c r="T1637" s="1063"/>
      <c r="U1637" s="1063"/>
      <c r="V1637" s="1063"/>
      <c r="W1637" s="1063"/>
      <c r="X1637" s="1063"/>
      <c r="Y1637" s="1063"/>
      <c r="Z1637" s="1063"/>
      <c r="AA1637" s="1063"/>
      <c r="AB1637" s="1063"/>
      <c r="AC1637" s="1063"/>
      <c r="AD1637" s="1063"/>
      <c r="AE1637" s="1063"/>
      <c r="AF1637" s="1063"/>
      <c r="AG1637" s="1063"/>
      <c r="AH1637" s="1063"/>
      <c r="AI1637" s="1063"/>
      <c r="AJ1637" s="1063"/>
      <c r="AK1637" s="1063"/>
      <c r="AL1637" s="1063"/>
      <c r="AM1637" s="1063"/>
      <c r="AN1637" s="1063"/>
      <c r="AO1637" s="1063"/>
      <c r="AP1637" s="1063"/>
      <c r="AQ1637" s="1063"/>
      <c r="AR1637" s="1063"/>
      <c r="AS1637" s="1063"/>
      <c r="AT1637" s="1063"/>
      <c r="AU1637" s="1063"/>
      <c r="AV1637" s="1063"/>
    </row>
    <row r="1638" spans="1:48" s="1108" customFormat="1" ht="27.75" customHeight="1">
      <c r="A1638" s="1076"/>
      <c r="B1638" s="1074">
        <f>+'[18]Bldg+Dev'!S2450</f>
        <v>0</v>
      </c>
      <c r="D1638" s="1063"/>
      <c r="F1638" s="1076"/>
      <c r="G1638" s="1063"/>
      <c r="H1638" s="1063"/>
      <c r="I1638" s="1063"/>
      <c r="J1638" s="1063"/>
      <c r="K1638" s="1063"/>
      <c r="L1638" s="1063"/>
      <c r="M1638" s="1063"/>
      <c r="N1638" s="1063"/>
      <c r="O1638" s="1063"/>
      <c r="P1638" s="1063"/>
      <c r="Q1638" s="1063"/>
      <c r="R1638" s="1063"/>
      <c r="S1638" s="1063"/>
      <c r="T1638" s="1063"/>
      <c r="U1638" s="1063"/>
      <c r="V1638" s="1063"/>
      <c r="W1638" s="1063"/>
      <c r="X1638" s="1063"/>
      <c r="Y1638" s="1063"/>
      <c r="Z1638" s="1063"/>
      <c r="AA1638" s="1063"/>
      <c r="AB1638" s="1063"/>
      <c r="AC1638" s="1063"/>
      <c r="AD1638" s="1063"/>
      <c r="AE1638" s="1063"/>
      <c r="AF1638" s="1063"/>
      <c r="AG1638" s="1063"/>
      <c r="AH1638" s="1063"/>
      <c r="AI1638" s="1063"/>
      <c r="AJ1638" s="1063"/>
      <c r="AK1638" s="1063"/>
      <c r="AL1638" s="1063"/>
      <c r="AM1638" s="1063"/>
      <c r="AN1638" s="1063"/>
      <c r="AO1638" s="1063"/>
      <c r="AP1638" s="1063"/>
      <c r="AQ1638" s="1063"/>
      <c r="AR1638" s="1063"/>
      <c r="AS1638" s="1063"/>
      <c r="AT1638" s="1063"/>
      <c r="AU1638" s="1063"/>
      <c r="AV1638" s="1063"/>
    </row>
    <row r="1639" spans="1:48" s="1108" customFormat="1" ht="27.75" customHeight="1">
      <c r="A1639" s="1076"/>
      <c r="B1639" s="1074">
        <f>+'[18]Bldg+Dev'!S2451</f>
        <v>0</v>
      </c>
      <c r="D1639" s="1063"/>
      <c r="F1639" s="1076"/>
      <c r="G1639" s="1063"/>
      <c r="H1639" s="1063"/>
      <c r="I1639" s="1063"/>
      <c r="J1639" s="1063"/>
      <c r="K1639" s="1063"/>
      <c r="L1639" s="1063"/>
      <c r="M1639" s="1063"/>
      <c r="N1639" s="1063"/>
      <c r="O1639" s="1063"/>
      <c r="P1639" s="1063"/>
      <c r="Q1639" s="1063"/>
      <c r="R1639" s="1063"/>
      <c r="S1639" s="1063"/>
      <c r="T1639" s="1063"/>
      <c r="U1639" s="1063"/>
      <c r="V1639" s="1063"/>
      <c r="W1639" s="1063"/>
      <c r="X1639" s="1063"/>
      <c r="Y1639" s="1063"/>
      <c r="Z1639" s="1063"/>
      <c r="AA1639" s="1063"/>
      <c r="AB1639" s="1063"/>
      <c r="AC1639" s="1063"/>
      <c r="AD1639" s="1063"/>
      <c r="AE1639" s="1063"/>
      <c r="AF1639" s="1063"/>
      <c r="AG1639" s="1063"/>
      <c r="AH1639" s="1063"/>
      <c r="AI1639" s="1063"/>
      <c r="AJ1639" s="1063"/>
      <c r="AK1639" s="1063"/>
      <c r="AL1639" s="1063"/>
      <c r="AM1639" s="1063"/>
      <c r="AN1639" s="1063"/>
      <c r="AO1639" s="1063"/>
      <c r="AP1639" s="1063"/>
      <c r="AQ1639" s="1063"/>
      <c r="AR1639" s="1063"/>
      <c r="AS1639" s="1063"/>
      <c r="AT1639" s="1063"/>
      <c r="AU1639" s="1063"/>
      <c r="AV1639" s="1063"/>
    </row>
    <row r="1640" spans="1:48" s="1108" customFormat="1" ht="27.75" customHeight="1">
      <c r="A1640" s="1076"/>
      <c r="B1640" s="1074">
        <f>+'[18]Bldg+Dev'!S2452</f>
        <v>0</v>
      </c>
      <c r="D1640" s="1063"/>
      <c r="F1640" s="1076"/>
      <c r="G1640" s="1063"/>
      <c r="H1640" s="1063"/>
      <c r="I1640" s="1063"/>
      <c r="J1640" s="1063"/>
      <c r="K1640" s="1063"/>
      <c r="L1640" s="1063"/>
      <c r="M1640" s="1063"/>
      <c r="N1640" s="1063"/>
      <c r="O1640" s="1063"/>
      <c r="P1640" s="1063"/>
      <c r="Q1640" s="1063"/>
      <c r="R1640" s="1063"/>
      <c r="S1640" s="1063"/>
      <c r="T1640" s="1063"/>
      <c r="U1640" s="1063"/>
      <c r="V1640" s="1063"/>
      <c r="W1640" s="1063"/>
      <c r="X1640" s="1063"/>
      <c r="Y1640" s="1063"/>
      <c r="Z1640" s="1063"/>
      <c r="AA1640" s="1063"/>
      <c r="AB1640" s="1063"/>
      <c r="AC1640" s="1063"/>
      <c r="AD1640" s="1063"/>
      <c r="AE1640" s="1063"/>
      <c r="AF1640" s="1063"/>
      <c r="AG1640" s="1063"/>
      <c r="AH1640" s="1063"/>
      <c r="AI1640" s="1063"/>
      <c r="AJ1640" s="1063"/>
      <c r="AK1640" s="1063"/>
      <c r="AL1640" s="1063"/>
      <c r="AM1640" s="1063"/>
      <c r="AN1640" s="1063"/>
      <c r="AO1640" s="1063"/>
      <c r="AP1640" s="1063"/>
      <c r="AQ1640" s="1063"/>
      <c r="AR1640" s="1063"/>
      <c r="AS1640" s="1063"/>
      <c r="AT1640" s="1063"/>
      <c r="AU1640" s="1063"/>
      <c r="AV1640" s="1063"/>
    </row>
    <row r="1641" spans="1:48" s="1108" customFormat="1" ht="27.75" customHeight="1">
      <c r="A1641" s="1076"/>
      <c r="B1641" s="1074">
        <f>+'[18]Bldg+Dev'!S2453</f>
        <v>0</v>
      </c>
      <c r="D1641" s="1063"/>
      <c r="F1641" s="1076"/>
      <c r="G1641" s="1063"/>
      <c r="H1641" s="1063"/>
      <c r="I1641" s="1063"/>
      <c r="J1641" s="1063"/>
      <c r="K1641" s="1063"/>
      <c r="L1641" s="1063"/>
      <c r="M1641" s="1063"/>
      <c r="N1641" s="1063"/>
      <c r="O1641" s="1063"/>
      <c r="P1641" s="1063"/>
      <c r="Q1641" s="1063"/>
      <c r="R1641" s="1063"/>
      <c r="S1641" s="1063"/>
      <c r="T1641" s="1063"/>
      <c r="U1641" s="1063"/>
      <c r="V1641" s="1063"/>
      <c r="W1641" s="1063"/>
      <c r="X1641" s="1063"/>
      <c r="Y1641" s="1063"/>
      <c r="Z1641" s="1063"/>
      <c r="AA1641" s="1063"/>
      <c r="AB1641" s="1063"/>
      <c r="AC1641" s="1063"/>
      <c r="AD1641" s="1063"/>
      <c r="AE1641" s="1063"/>
      <c r="AF1641" s="1063"/>
      <c r="AG1641" s="1063"/>
      <c r="AH1641" s="1063"/>
      <c r="AI1641" s="1063"/>
      <c r="AJ1641" s="1063"/>
      <c r="AK1641" s="1063"/>
      <c r="AL1641" s="1063"/>
      <c r="AM1641" s="1063"/>
      <c r="AN1641" s="1063"/>
      <c r="AO1641" s="1063"/>
      <c r="AP1641" s="1063"/>
      <c r="AQ1641" s="1063"/>
      <c r="AR1641" s="1063"/>
      <c r="AS1641" s="1063"/>
      <c r="AT1641" s="1063"/>
      <c r="AU1641" s="1063"/>
      <c r="AV1641" s="1063"/>
    </row>
    <row r="1642" spans="1:48" s="1108" customFormat="1" ht="27.75" customHeight="1">
      <c r="A1642" s="1076"/>
      <c r="B1642" s="1074">
        <f>+'[18]Bldg+Dev'!S2454</f>
        <v>0</v>
      </c>
      <c r="D1642" s="1063"/>
      <c r="F1642" s="1076"/>
      <c r="G1642" s="1063"/>
      <c r="H1642" s="1063"/>
      <c r="I1642" s="1063"/>
      <c r="J1642" s="1063"/>
      <c r="K1642" s="1063"/>
      <c r="L1642" s="1063"/>
      <c r="M1642" s="1063"/>
      <c r="N1642" s="1063"/>
      <c r="O1642" s="1063"/>
      <c r="P1642" s="1063"/>
      <c r="Q1642" s="1063"/>
      <c r="R1642" s="1063"/>
      <c r="S1642" s="1063"/>
      <c r="T1642" s="1063"/>
      <c r="U1642" s="1063"/>
      <c r="V1642" s="1063"/>
      <c r="W1642" s="1063"/>
      <c r="X1642" s="1063"/>
      <c r="Y1642" s="1063"/>
      <c r="Z1642" s="1063"/>
      <c r="AA1642" s="1063"/>
      <c r="AB1642" s="1063"/>
      <c r="AC1642" s="1063"/>
      <c r="AD1642" s="1063"/>
      <c r="AE1642" s="1063"/>
      <c r="AF1642" s="1063"/>
      <c r="AG1642" s="1063"/>
      <c r="AH1642" s="1063"/>
      <c r="AI1642" s="1063"/>
      <c r="AJ1642" s="1063"/>
      <c r="AK1642" s="1063"/>
      <c r="AL1642" s="1063"/>
      <c r="AM1642" s="1063"/>
      <c r="AN1642" s="1063"/>
      <c r="AO1642" s="1063"/>
      <c r="AP1642" s="1063"/>
      <c r="AQ1642" s="1063"/>
      <c r="AR1642" s="1063"/>
      <c r="AS1642" s="1063"/>
      <c r="AT1642" s="1063"/>
      <c r="AU1642" s="1063"/>
      <c r="AV1642" s="1063"/>
    </row>
    <row r="1643" spans="1:48" s="1108" customFormat="1" ht="27.75" customHeight="1">
      <c r="A1643" s="1076"/>
      <c r="B1643" s="1074">
        <f>+'[18]Bldg+Dev'!S2455</f>
        <v>0</v>
      </c>
      <c r="D1643" s="1063"/>
      <c r="F1643" s="1076"/>
      <c r="G1643" s="1063"/>
      <c r="H1643" s="1063"/>
      <c r="I1643" s="1063"/>
      <c r="J1643" s="1063"/>
      <c r="K1643" s="1063"/>
      <c r="L1643" s="1063"/>
      <c r="M1643" s="1063"/>
      <c r="N1643" s="1063"/>
      <c r="O1643" s="1063"/>
      <c r="P1643" s="1063"/>
      <c r="Q1643" s="1063"/>
      <c r="R1643" s="1063"/>
      <c r="S1643" s="1063"/>
      <c r="T1643" s="1063"/>
      <c r="U1643" s="1063"/>
      <c r="V1643" s="1063"/>
      <c r="W1643" s="1063"/>
      <c r="X1643" s="1063"/>
      <c r="Y1643" s="1063"/>
      <c r="Z1643" s="1063"/>
      <c r="AA1643" s="1063"/>
      <c r="AB1643" s="1063"/>
      <c r="AC1643" s="1063"/>
      <c r="AD1643" s="1063"/>
      <c r="AE1643" s="1063"/>
      <c r="AF1643" s="1063"/>
      <c r="AG1643" s="1063"/>
      <c r="AH1643" s="1063"/>
      <c r="AI1643" s="1063"/>
      <c r="AJ1643" s="1063"/>
      <c r="AK1643" s="1063"/>
      <c r="AL1643" s="1063"/>
      <c r="AM1643" s="1063"/>
      <c r="AN1643" s="1063"/>
      <c r="AO1643" s="1063"/>
      <c r="AP1643" s="1063"/>
      <c r="AQ1643" s="1063"/>
      <c r="AR1643" s="1063"/>
      <c r="AS1643" s="1063"/>
      <c r="AT1643" s="1063"/>
      <c r="AU1643" s="1063"/>
      <c r="AV1643" s="1063"/>
    </row>
    <row r="1644" spans="1:48" s="1108" customFormat="1" ht="27.75" customHeight="1">
      <c r="A1644" s="1076"/>
      <c r="B1644" s="1074">
        <f>+'[18]Bldg+Dev'!S2456</f>
        <v>0</v>
      </c>
      <c r="D1644" s="1063"/>
      <c r="F1644" s="1076"/>
      <c r="G1644" s="1063"/>
      <c r="H1644" s="1063"/>
      <c r="I1644" s="1063"/>
      <c r="J1644" s="1063"/>
      <c r="K1644" s="1063"/>
      <c r="L1644" s="1063"/>
      <c r="M1644" s="1063"/>
      <c r="N1644" s="1063"/>
      <c r="O1644" s="1063"/>
      <c r="P1644" s="1063"/>
      <c r="Q1644" s="1063"/>
      <c r="R1644" s="1063"/>
      <c r="S1644" s="1063"/>
      <c r="T1644" s="1063"/>
      <c r="U1644" s="1063"/>
      <c r="V1644" s="1063"/>
      <c r="W1644" s="1063"/>
      <c r="X1644" s="1063"/>
      <c r="Y1644" s="1063"/>
      <c r="Z1644" s="1063"/>
      <c r="AA1644" s="1063"/>
      <c r="AB1644" s="1063"/>
      <c r="AC1644" s="1063"/>
      <c r="AD1644" s="1063"/>
      <c r="AE1644" s="1063"/>
      <c r="AF1644" s="1063"/>
      <c r="AG1644" s="1063"/>
      <c r="AH1644" s="1063"/>
      <c r="AI1644" s="1063"/>
      <c r="AJ1644" s="1063"/>
      <c r="AK1644" s="1063"/>
      <c r="AL1644" s="1063"/>
      <c r="AM1644" s="1063"/>
      <c r="AN1644" s="1063"/>
      <c r="AO1644" s="1063"/>
      <c r="AP1644" s="1063"/>
      <c r="AQ1644" s="1063"/>
      <c r="AR1644" s="1063"/>
      <c r="AS1644" s="1063"/>
      <c r="AT1644" s="1063"/>
      <c r="AU1644" s="1063"/>
      <c r="AV1644" s="1063"/>
    </row>
    <row r="1645" spans="1:48" s="1108" customFormat="1" ht="27.75" customHeight="1">
      <c r="A1645" s="1076"/>
      <c r="B1645" s="1074">
        <f>+'[18]Bldg+Dev'!S2457</f>
        <v>0</v>
      </c>
      <c r="D1645" s="1063"/>
      <c r="F1645" s="1076"/>
      <c r="G1645" s="1063"/>
      <c r="H1645" s="1063"/>
      <c r="I1645" s="1063"/>
      <c r="J1645" s="1063"/>
      <c r="K1645" s="1063"/>
      <c r="L1645" s="1063"/>
      <c r="M1645" s="1063"/>
      <c r="N1645" s="1063"/>
      <c r="O1645" s="1063"/>
      <c r="P1645" s="1063"/>
      <c r="Q1645" s="1063"/>
      <c r="R1645" s="1063"/>
      <c r="S1645" s="1063"/>
      <c r="T1645" s="1063"/>
      <c r="U1645" s="1063"/>
      <c r="V1645" s="1063"/>
      <c r="W1645" s="1063"/>
      <c r="X1645" s="1063"/>
      <c r="Y1645" s="1063"/>
      <c r="Z1645" s="1063"/>
      <c r="AA1645" s="1063"/>
      <c r="AB1645" s="1063"/>
      <c r="AC1645" s="1063"/>
      <c r="AD1645" s="1063"/>
      <c r="AE1645" s="1063"/>
      <c r="AF1645" s="1063"/>
      <c r="AG1645" s="1063"/>
      <c r="AH1645" s="1063"/>
      <c r="AI1645" s="1063"/>
      <c r="AJ1645" s="1063"/>
      <c r="AK1645" s="1063"/>
      <c r="AL1645" s="1063"/>
      <c r="AM1645" s="1063"/>
      <c r="AN1645" s="1063"/>
      <c r="AO1645" s="1063"/>
      <c r="AP1645" s="1063"/>
      <c r="AQ1645" s="1063"/>
      <c r="AR1645" s="1063"/>
      <c r="AS1645" s="1063"/>
      <c r="AT1645" s="1063"/>
      <c r="AU1645" s="1063"/>
      <c r="AV1645" s="1063"/>
    </row>
    <row r="1646" spans="1:48" s="1108" customFormat="1" ht="27.75" customHeight="1">
      <c r="A1646" s="1076"/>
      <c r="B1646" s="1074">
        <f>+'[18]Bldg+Dev'!S2458</f>
        <v>0</v>
      </c>
      <c r="D1646" s="1063"/>
      <c r="F1646" s="1076"/>
      <c r="G1646" s="1063"/>
      <c r="H1646" s="1063"/>
      <c r="I1646" s="1063"/>
      <c r="J1646" s="1063"/>
      <c r="K1646" s="1063"/>
      <c r="L1646" s="1063"/>
      <c r="M1646" s="1063"/>
      <c r="N1646" s="1063"/>
      <c r="O1646" s="1063"/>
      <c r="P1646" s="1063"/>
      <c r="Q1646" s="1063"/>
      <c r="R1646" s="1063"/>
      <c r="S1646" s="1063"/>
      <c r="T1646" s="1063"/>
      <c r="U1646" s="1063"/>
      <c r="V1646" s="1063"/>
      <c r="W1646" s="1063"/>
      <c r="X1646" s="1063"/>
      <c r="Y1646" s="1063"/>
      <c r="Z1646" s="1063"/>
      <c r="AA1646" s="1063"/>
      <c r="AB1646" s="1063"/>
      <c r="AC1646" s="1063"/>
      <c r="AD1646" s="1063"/>
      <c r="AE1646" s="1063"/>
      <c r="AF1646" s="1063"/>
      <c r="AG1646" s="1063"/>
      <c r="AH1646" s="1063"/>
      <c r="AI1646" s="1063"/>
      <c r="AJ1646" s="1063"/>
      <c r="AK1646" s="1063"/>
      <c r="AL1646" s="1063"/>
      <c r="AM1646" s="1063"/>
      <c r="AN1646" s="1063"/>
      <c r="AO1646" s="1063"/>
      <c r="AP1646" s="1063"/>
      <c r="AQ1646" s="1063"/>
      <c r="AR1646" s="1063"/>
      <c r="AS1646" s="1063"/>
      <c r="AT1646" s="1063"/>
      <c r="AU1646" s="1063"/>
      <c r="AV1646" s="1063"/>
    </row>
    <row r="1647" spans="1:48" s="1108" customFormat="1" ht="27.75" customHeight="1">
      <c r="A1647" s="1076"/>
      <c r="B1647" s="1074">
        <f>+'[18]Bldg+Dev'!S2459</f>
        <v>0</v>
      </c>
      <c r="D1647" s="1063"/>
      <c r="F1647" s="1076"/>
      <c r="G1647" s="1063"/>
      <c r="H1647" s="1063"/>
      <c r="I1647" s="1063"/>
      <c r="J1647" s="1063"/>
      <c r="K1647" s="1063"/>
      <c r="L1647" s="1063"/>
      <c r="M1647" s="1063"/>
      <c r="N1647" s="1063"/>
      <c r="O1647" s="1063"/>
      <c r="P1647" s="1063"/>
      <c r="Q1647" s="1063"/>
      <c r="R1647" s="1063"/>
      <c r="S1647" s="1063"/>
      <c r="T1647" s="1063"/>
      <c r="U1647" s="1063"/>
      <c r="V1647" s="1063"/>
      <c r="W1647" s="1063"/>
      <c r="X1647" s="1063"/>
      <c r="Y1647" s="1063"/>
      <c r="Z1647" s="1063"/>
      <c r="AA1647" s="1063"/>
      <c r="AB1647" s="1063"/>
      <c r="AC1647" s="1063"/>
      <c r="AD1647" s="1063"/>
      <c r="AE1647" s="1063"/>
      <c r="AF1647" s="1063"/>
      <c r="AG1647" s="1063"/>
      <c r="AH1647" s="1063"/>
      <c r="AI1647" s="1063"/>
      <c r="AJ1647" s="1063"/>
      <c r="AK1647" s="1063"/>
      <c r="AL1647" s="1063"/>
      <c r="AM1647" s="1063"/>
      <c r="AN1647" s="1063"/>
      <c r="AO1647" s="1063"/>
      <c r="AP1647" s="1063"/>
      <c r="AQ1647" s="1063"/>
      <c r="AR1647" s="1063"/>
      <c r="AS1647" s="1063"/>
      <c r="AT1647" s="1063"/>
      <c r="AU1647" s="1063"/>
      <c r="AV1647" s="1063"/>
    </row>
    <row r="1648" spans="1:48" s="1108" customFormat="1" ht="27.75" customHeight="1">
      <c r="A1648" s="1076"/>
      <c r="B1648" s="1074">
        <f>+'[18]Bldg+Dev'!S2460</f>
        <v>0</v>
      </c>
      <c r="D1648" s="1063"/>
      <c r="F1648" s="1076"/>
      <c r="G1648" s="1063"/>
      <c r="H1648" s="1063"/>
      <c r="I1648" s="1063"/>
      <c r="J1648" s="1063"/>
      <c r="K1648" s="1063"/>
      <c r="L1648" s="1063"/>
      <c r="M1648" s="1063"/>
      <c r="N1648" s="1063"/>
      <c r="O1648" s="1063"/>
      <c r="P1648" s="1063"/>
      <c r="Q1648" s="1063"/>
      <c r="R1648" s="1063"/>
      <c r="S1648" s="1063"/>
      <c r="T1648" s="1063"/>
      <c r="U1648" s="1063"/>
      <c r="V1648" s="1063"/>
      <c r="W1648" s="1063"/>
      <c r="X1648" s="1063"/>
      <c r="Y1648" s="1063"/>
      <c r="Z1648" s="1063"/>
      <c r="AA1648" s="1063"/>
      <c r="AB1648" s="1063"/>
      <c r="AC1648" s="1063"/>
      <c r="AD1648" s="1063"/>
      <c r="AE1648" s="1063"/>
      <c r="AF1648" s="1063"/>
      <c r="AG1648" s="1063"/>
      <c r="AH1648" s="1063"/>
      <c r="AI1648" s="1063"/>
      <c r="AJ1648" s="1063"/>
      <c r="AK1648" s="1063"/>
      <c r="AL1648" s="1063"/>
      <c r="AM1648" s="1063"/>
      <c r="AN1648" s="1063"/>
      <c r="AO1648" s="1063"/>
      <c r="AP1648" s="1063"/>
      <c r="AQ1648" s="1063"/>
      <c r="AR1648" s="1063"/>
      <c r="AS1648" s="1063"/>
      <c r="AT1648" s="1063"/>
      <c r="AU1648" s="1063"/>
      <c r="AV1648" s="1063"/>
    </row>
    <row r="1649" spans="1:48" s="1108" customFormat="1" ht="27.75" customHeight="1">
      <c r="A1649" s="1076"/>
      <c r="B1649" s="1074">
        <f>+'[18]Bldg+Dev'!S2461</f>
        <v>0</v>
      </c>
      <c r="D1649" s="1063"/>
      <c r="F1649" s="1076"/>
      <c r="G1649" s="1063"/>
      <c r="H1649" s="1063"/>
      <c r="I1649" s="1063"/>
      <c r="J1649" s="1063"/>
      <c r="K1649" s="1063"/>
      <c r="L1649" s="1063"/>
      <c r="M1649" s="1063"/>
      <c r="N1649" s="1063"/>
      <c r="O1649" s="1063"/>
      <c r="P1649" s="1063"/>
      <c r="Q1649" s="1063"/>
      <c r="R1649" s="1063"/>
      <c r="S1649" s="1063"/>
      <c r="T1649" s="1063"/>
      <c r="U1649" s="1063"/>
      <c r="V1649" s="1063"/>
      <c r="W1649" s="1063"/>
      <c r="X1649" s="1063"/>
      <c r="Y1649" s="1063"/>
      <c r="Z1649" s="1063"/>
      <c r="AA1649" s="1063"/>
      <c r="AB1649" s="1063"/>
      <c r="AC1649" s="1063"/>
      <c r="AD1649" s="1063"/>
      <c r="AE1649" s="1063"/>
      <c r="AF1649" s="1063"/>
      <c r="AG1649" s="1063"/>
      <c r="AH1649" s="1063"/>
      <c r="AI1649" s="1063"/>
      <c r="AJ1649" s="1063"/>
      <c r="AK1649" s="1063"/>
      <c r="AL1649" s="1063"/>
      <c r="AM1649" s="1063"/>
      <c r="AN1649" s="1063"/>
      <c r="AO1649" s="1063"/>
      <c r="AP1649" s="1063"/>
      <c r="AQ1649" s="1063"/>
      <c r="AR1649" s="1063"/>
      <c r="AS1649" s="1063"/>
      <c r="AT1649" s="1063"/>
      <c r="AU1649" s="1063"/>
      <c r="AV1649" s="1063"/>
    </row>
    <row r="1650" spans="1:48" s="1108" customFormat="1" ht="27.75" customHeight="1">
      <c r="A1650" s="1076"/>
      <c r="B1650" s="1074">
        <f>+'[18]Bldg+Dev'!S2462</f>
        <v>0</v>
      </c>
      <c r="D1650" s="1063"/>
      <c r="F1650" s="1076"/>
      <c r="G1650" s="1063"/>
      <c r="H1650" s="1063"/>
      <c r="I1650" s="1063"/>
      <c r="J1650" s="1063"/>
      <c r="K1650" s="1063"/>
      <c r="L1650" s="1063"/>
      <c r="M1650" s="1063"/>
      <c r="N1650" s="1063"/>
      <c r="O1650" s="1063"/>
      <c r="P1650" s="1063"/>
      <c r="Q1650" s="1063"/>
      <c r="R1650" s="1063"/>
      <c r="S1650" s="1063"/>
      <c r="T1650" s="1063"/>
      <c r="U1650" s="1063"/>
      <c r="V1650" s="1063"/>
      <c r="W1650" s="1063"/>
      <c r="X1650" s="1063"/>
      <c r="Y1650" s="1063"/>
      <c r="Z1650" s="1063"/>
      <c r="AA1650" s="1063"/>
      <c r="AB1650" s="1063"/>
      <c r="AC1650" s="1063"/>
      <c r="AD1650" s="1063"/>
      <c r="AE1650" s="1063"/>
      <c r="AF1650" s="1063"/>
      <c r="AG1650" s="1063"/>
      <c r="AH1650" s="1063"/>
      <c r="AI1650" s="1063"/>
      <c r="AJ1650" s="1063"/>
      <c r="AK1650" s="1063"/>
      <c r="AL1650" s="1063"/>
      <c r="AM1650" s="1063"/>
      <c r="AN1650" s="1063"/>
      <c r="AO1650" s="1063"/>
      <c r="AP1650" s="1063"/>
      <c r="AQ1650" s="1063"/>
      <c r="AR1650" s="1063"/>
      <c r="AS1650" s="1063"/>
      <c r="AT1650" s="1063"/>
      <c r="AU1650" s="1063"/>
      <c r="AV1650" s="1063"/>
    </row>
    <row r="1651" spans="1:48" s="1108" customFormat="1" ht="27.75" customHeight="1">
      <c r="A1651" s="1076"/>
      <c r="B1651" s="1074">
        <f>+'[18]Bldg+Dev'!S2463</f>
        <v>0</v>
      </c>
      <c r="D1651" s="1063"/>
      <c r="F1651" s="1076"/>
      <c r="G1651" s="1063"/>
      <c r="H1651" s="1063"/>
      <c r="I1651" s="1063"/>
      <c r="J1651" s="1063"/>
      <c r="K1651" s="1063"/>
      <c r="L1651" s="1063"/>
      <c r="M1651" s="1063"/>
      <c r="N1651" s="1063"/>
      <c r="O1651" s="1063"/>
      <c r="P1651" s="1063"/>
      <c r="Q1651" s="1063"/>
      <c r="R1651" s="1063"/>
      <c r="S1651" s="1063"/>
      <c r="T1651" s="1063"/>
      <c r="U1651" s="1063"/>
      <c r="V1651" s="1063"/>
      <c r="W1651" s="1063"/>
      <c r="X1651" s="1063"/>
      <c r="Y1651" s="1063"/>
      <c r="Z1651" s="1063"/>
      <c r="AA1651" s="1063"/>
      <c r="AB1651" s="1063"/>
      <c r="AC1651" s="1063"/>
      <c r="AD1651" s="1063"/>
      <c r="AE1651" s="1063"/>
      <c r="AF1651" s="1063"/>
      <c r="AG1651" s="1063"/>
      <c r="AH1651" s="1063"/>
      <c r="AI1651" s="1063"/>
      <c r="AJ1651" s="1063"/>
      <c r="AK1651" s="1063"/>
      <c r="AL1651" s="1063"/>
      <c r="AM1651" s="1063"/>
      <c r="AN1651" s="1063"/>
      <c r="AO1651" s="1063"/>
      <c r="AP1651" s="1063"/>
      <c r="AQ1651" s="1063"/>
      <c r="AR1651" s="1063"/>
      <c r="AS1651" s="1063"/>
      <c r="AT1651" s="1063"/>
      <c r="AU1651" s="1063"/>
      <c r="AV1651" s="1063"/>
    </row>
    <row r="1652" spans="1:48" s="1108" customFormat="1" ht="27.75" customHeight="1">
      <c r="A1652" s="1076"/>
      <c r="B1652" s="1074">
        <f>+'[18]Bldg+Dev'!S2464</f>
        <v>0</v>
      </c>
      <c r="D1652" s="1063"/>
      <c r="F1652" s="1076"/>
      <c r="G1652" s="1063"/>
      <c r="H1652" s="1063"/>
      <c r="I1652" s="1063"/>
      <c r="J1652" s="1063"/>
      <c r="K1652" s="1063"/>
      <c r="L1652" s="1063"/>
      <c r="M1652" s="1063"/>
      <c r="N1652" s="1063"/>
      <c r="O1652" s="1063"/>
      <c r="P1652" s="1063"/>
      <c r="Q1652" s="1063"/>
      <c r="R1652" s="1063"/>
      <c r="S1652" s="1063"/>
      <c r="T1652" s="1063"/>
      <c r="U1652" s="1063"/>
      <c r="V1652" s="1063"/>
      <c r="W1652" s="1063"/>
      <c r="X1652" s="1063"/>
      <c r="Y1652" s="1063"/>
      <c r="Z1652" s="1063"/>
      <c r="AA1652" s="1063"/>
      <c r="AB1652" s="1063"/>
      <c r="AC1652" s="1063"/>
      <c r="AD1652" s="1063"/>
      <c r="AE1652" s="1063"/>
      <c r="AF1652" s="1063"/>
      <c r="AG1652" s="1063"/>
      <c r="AH1652" s="1063"/>
      <c r="AI1652" s="1063"/>
      <c r="AJ1652" s="1063"/>
      <c r="AK1652" s="1063"/>
      <c r="AL1652" s="1063"/>
      <c r="AM1652" s="1063"/>
      <c r="AN1652" s="1063"/>
      <c r="AO1652" s="1063"/>
      <c r="AP1652" s="1063"/>
      <c r="AQ1652" s="1063"/>
      <c r="AR1652" s="1063"/>
      <c r="AS1652" s="1063"/>
      <c r="AT1652" s="1063"/>
      <c r="AU1652" s="1063"/>
      <c r="AV1652" s="1063"/>
    </row>
    <row r="1653" spans="1:48" s="1108" customFormat="1" ht="27.75" customHeight="1">
      <c r="A1653" s="1076"/>
      <c r="B1653" s="1074">
        <f>+'[18]Bldg+Dev'!S2465</f>
        <v>0</v>
      </c>
      <c r="D1653" s="1063"/>
      <c r="F1653" s="1076"/>
      <c r="G1653" s="1063"/>
      <c r="H1653" s="1063"/>
      <c r="I1653" s="1063"/>
      <c r="J1653" s="1063"/>
      <c r="K1653" s="1063"/>
      <c r="L1653" s="1063"/>
      <c r="M1653" s="1063"/>
      <c r="N1653" s="1063"/>
      <c r="O1653" s="1063"/>
      <c r="P1653" s="1063"/>
      <c r="Q1653" s="1063"/>
      <c r="R1653" s="1063"/>
      <c r="S1653" s="1063"/>
      <c r="T1653" s="1063"/>
      <c r="U1653" s="1063"/>
      <c r="V1653" s="1063"/>
      <c r="W1653" s="1063"/>
      <c r="X1653" s="1063"/>
      <c r="Y1653" s="1063"/>
      <c r="Z1653" s="1063"/>
      <c r="AA1653" s="1063"/>
      <c r="AB1653" s="1063"/>
      <c r="AC1653" s="1063"/>
      <c r="AD1653" s="1063"/>
      <c r="AE1653" s="1063"/>
      <c r="AF1653" s="1063"/>
      <c r="AG1653" s="1063"/>
      <c r="AH1653" s="1063"/>
      <c r="AI1653" s="1063"/>
      <c r="AJ1653" s="1063"/>
      <c r="AK1653" s="1063"/>
      <c r="AL1653" s="1063"/>
      <c r="AM1653" s="1063"/>
      <c r="AN1653" s="1063"/>
      <c r="AO1653" s="1063"/>
      <c r="AP1653" s="1063"/>
      <c r="AQ1653" s="1063"/>
      <c r="AR1653" s="1063"/>
      <c r="AS1653" s="1063"/>
      <c r="AT1653" s="1063"/>
      <c r="AU1653" s="1063"/>
      <c r="AV1653" s="1063"/>
    </row>
    <row r="1654" spans="1:48" s="1108" customFormat="1" ht="27.75" customHeight="1">
      <c r="A1654" s="1076"/>
      <c r="B1654" s="1074">
        <f>+'[18]Bldg+Dev'!S2466</f>
        <v>0</v>
      </c>
      <c r="D1654" s="1063"/>
      <c r="F1654" s="1076"/>
      <c r="G1654" s="1063"/>
      <c r="H1654" s="1063"/>
      <c r="I1654" s="1063"/>
      <c r="J1654" s="1063"/>
      <c r="K1654" s="1063"/>
      <c r="L1654" s="1063"/>
      <c r="M1654" s="1063"/>
      <c r="N1654" s="1063"/>
      <c r="O1654" s="1063"/>
      <c r="P1654" s="1063"/>
      <c r="Q1654" s="1063"/>
      <c r="R1654" s="1063"/>
      <c r="S1654" s="1063"/>
      <c r="T1654" s="1063"/>
      <c r="U1654" s="1063"/>
      <c r="V1654" s="1063"/>
      <c r="W1654" s="1063"/>
      <c r="X1654" s="1063"/>
      <c r="Y1654" s="1063"/>
      <c r="Z1654" s="1063"/>
      <c r="AA1654" s="1063"/>
      <c r="AB1654" s="1063"/>
      <c r="AC1654" s="1063"/>
      <c r="AD1654" s="1063"/>
      <c r="AE1654" s="1063"/>
      <c r="AF1654" s="1063"/>
      <c r="AG1654" s="1063"/>
      <c r="AH1654" s="1063"/>
      <c r="AI1654" s="1063"/>
      <c r="AJ1654" s="1063"/>
      <c r="AK1654" s="1063"/>
      <c r="AL1654" s="1063"/>
      <c r="AM1654" s="1063"/>
      <c r="AN1654" s="1063"/>
      <c r="AO1654" s="1063"/>
      <c r="AP1654" s="1063"/>
      <c r="AQ1654" s="1063"/>
      <c r="AR1654" s="1063"/>
      <c r="AS1654" s="1063"/>
      <c r="AT1654" s="1063"/>
      <c r="AU1654" s="1063"/>
      <c r="AV1654" s="1063"/>
    </row>
    <row r="1655" spans="1:48" s="1108" customFormat="1" ht="27.75" customHeight="1">
      <c r="A1655" s="1076"/>
      <c r="B1655" s="1074">
        <f>+'[18]Bldg+Dev'!S2467</f>
        <v>0</v>
      </c>
      <c r="D1655" s="1063"/>
      <c r="F1655" s="1076"/>
      <c r="G1655" s="1063"/>
      <c r="H1655" s="1063"/>
      <c r="I1655" s="1063"/>
      <c r="J1655" s="1063"/>
      <c r="K1655" s="1063"/>
      <c r="L1655" s="1063"/>
      <c r="M1655" s="1063"/>
      <c r="N1655" s="1063"/>
      <c r="O1655" s="1063"/>
      <c r="P1655" s="1063"/>
      <c r="Q1655" s="1063"/>
      <c r="R1655" s="1063"/>
      <c r="S1655" s="1063"/>
      <c r="T1655" s="1063"/>
      <c r="U1655" s="1063"/>
      <c r="V1655" s="1063"/>
      <c r="W1655" s="1063"/>
      <c r="X1655" s="1063"/>
      <c r="Y1655" s="1063"/>
      <c r="Z1655" s="1063"/>
      <c r="AA1655" s="1063"/>
      <c r="AB1655" s="1063"/>
      <c r="AC1655" s="1063"/>
      <c r="AD1655" s="1063"/>
      <c r="AE1655" s="1063"/>
      <c r="AF1655" s="1063"/>
      <c r="AG1655" s="1063"/>
      <c r="AH1655" s="1063"/>
      <c r="AI1655" s="1063"/>
      <c r="AJ1655" s="1063"/>
      <c r="AK1655" s="1063"/>
      <c r="AL1655" s="1063"/>
      <c r="AM1655" s="1063"/>
      <c r="AN1655" s="1063"/>
      <c r="AO1655" s="1063"/>
      <c r="AP1655" s="1063"/>
      <c r="AQ1655" s="1063"/>
      <c r="AR1655" s="1063"/>
      <c r="AS1655" s="1063"/>
      <c r="AT1655" s="1063"/>
      <c r="AU1655" s="1063"/>
      <c r="AV1655" s="1063"/>
    </row>
    <row r="1656" spans="1:48" s="1108" customFormat="1" ht="27.75" customHeight="1">
      <c r="A1656" s="1076"/>
      <c r="B1656" s="1074">
        <f>+'[18]Bldg+Dev'!S2468</f>
        <v>0</v>
      </c>
      <c r="D1656" s="1063"/>
      <c r="F1656" s="1076"/>
      <c r="G1656" s="1063"/>
      <c r="H1656" s="1063"/>
      <c r="I1656" s="1063"/>
      <c r="J1656" s="1063"/>
      <c r="K1656" s="1063"/>
      <c r="L1656" s="1063"/>
      <c r="M1656" s="1063"/>
      <c r="N1656" s="1063"/>
      <c r="O1656" s="1063"/>
      <c r="P1656" s="1063"/>
      <c r="Q1656" s="1063"/>
      <c r="R1656" s="1063"/>
      <c r="S1656" s="1063"/>
      <c r="T1656" s="1063"/>
      <c r="U1656" s="1063"/>
      <c r="V1656" s="1063"/>
      <c r="W1656" s="1063"/>
      <c r="X1656" s="1063"/>
      <c r="Y1656" s="1063"/>
      <c r="Z1656" s="1063"/>
      <c r="AA1656" s="1063"/>
      <c r="AB1656" s="1063"/>
      <c r="AC1656" s="1063"/>
      <c r="AD1656" s="1063"/>
      <c r="AE1656" s="1063"/>
      <c r="AF1656" s="1063"/>
      <c r="AG1656" s="1063"/>
      <c r="AH1656" s="1063"/>
      <c r="AI1656" s="1063"/>
      <c r="AJ1656" s="1063"/>
      <c r="AK1656" s="1063"/>
      <c r="AL1656" s="1063"/>
      <c r="AM1656" s="1063"/>
      <c r="AN1656" s="1063"/>
      <c r="AO1656" s="1063"/>
      <c r="AP1656" s="1063"/>
      <c r="AQ1656" s="1063"/>
      <c r="AR1656" s="1063"/>
      <c r="AS1656" s="1063"/>
      <c r="AT1656" s="1063"/>
      <c r="AU1656" s="1063"/>
      <c r="AV1656" s="1063"/>
    </row>
    <row r="1657" spans="1:48" s="1108" customFormat="1" ht="27.75" customHeight="1">
      <c r="A1657" s="1076"/>
      <c r="B1657" s="1074">
        <f>+'[18]Bldg+Dev'!S2469</f>
        <v>0</v>
      </c>
      <c r="D1657" s="1063"/>
      <c r="F1657" s="1076"/>
      <c r="G1657" s="1063"/>
      <c r="H1657" s="1063"/>
      <c r="I1657" s="1063"/>
      <c r="J1657" s="1063"/>
      <c r="K1657" s="1063"/>
      <c r="L1657" s="1063"/>
      <c r="M1657" s="1063"/>
      <c r="N1657" s="1063"/>
      <c r="O1657" s="1063"/>
      <c r="P1657" s="1063"/>
      <c r="Q1657" s="1063"/>
      <c r="R1657" s="1063"/>
      <c r="S1657" s="1063"/>
      <c r="T1657" s="1063"/>
      <c r="U1657" s="1063"/>
      <c r="V1657" s="1063"/>
      <c r="W1657" s="1063"/>
      <c r="X1657" s="1063"/>
      <c r="Y1657" s="1063"/>
      <c r="Z1657" s="1063"/>
      <c r="AA1657" s="1063"/>
      <c r="AB1657" s="1063"/>
      <c r="AC1657" s="1063"/>
      <c r="AD1657" s="1063"/>
      <c r="AE1657" s="1063"/>
      <c r="AF1657" s="1063"/>
      <c r="AG1657" s="1063"/>
      <c r="AH1657" s="1063"/>
      <c r="AI1657" s="1063"/>
      <c r="AJ1657" s="1063"/>
      <c r="AK1657" s="1063"/>
      <c r="AL1657" s="1063"/>
      <c r="AM1657" s="1063"/>
      <c r="AN1657" s="1063"/>
      <c r="AO1657" s="1063"/>
      <c r="AP1657" s="1063"/>
      <c r="AQ1657" s="1063"/>
      <c r="AR1657" s="1063"/>
      <c r="AS1657" s="1063"/>
      <c r="AT1657" s="1063"/>
      <c r="AU1657" s="1063"/>
      <c r="AV1657" s="1063"/>
    </row>
    <row r="1658" spans="1:48" s="1108" customFormat="1" ht="27.75" customHeight="1">
      <c r="A1658" s="1076"/>
      <c r="B1658" s="1074">
        <f>+'[18]Bldg+Dev'!S2470</f>
        <v>0</v>
      </c>
      <c r="D1658" s="1063"/>
      <c r="F1658" s="1076"/>
      <c r="G1658" s="1063"/>
      <c r="H1658" s="1063"/>
      <c r="I1658" s="1063"/>
      <c r="J1658" s="1063"/>
      <c r="K1658" s="1063"/>
      <c r="L1658" s="1063"/>
      <c r="M1658" s="1063"/>
      <c r="N1658" s="1063"/>
      <c r="O1658" s="1063"/>
      <c r="P1658" s="1063"/>
      <c r="Q1658" s="1063"/>
      <c r="R1658" s="1063"/>
      <c r="S1658" s="1063"/>
      <c r="T1658" s="1063"/>
      <c r="U1658" s="1063"/>
      <c r="V1658" s="1063"/>
      <c r="W1658" s="1063"/>
      <c r="X1658" s="1063"/>
      <c r="Y1658" s="1063"/>
      <c r="Z1658" s="1063"/>
      <c r="AA1658" s="1063"/>
      <c r="AB1658" s="1063"/>
      <c r="AC1658" s="1063"/>
      <c r="AD1658" s="1063"/>
      <c r="AE1658" s="1063"/>
      <c r="AF1658" s="1063"/>
      <c r="AG1658" s="1063"/>
      <c r="AH1658" s="1063"/>
      <c r="AI1658" s="1063"/>
      <c r="AJ1658" s="1063"/>
      <c r="AK1658" s="1063"/>
      <c r="AL1658" s="1063"/>
      <c r="AM1658" s="1063"/>
      <c r="AN1658" s="1063"/>
      <c r="AO1658" s="1063"/>
      <c r="AP1658" s="1063"/>
      <c r="AQ1658" s="1063"/>
      <c r="AR1658" s="1063"/>
      <c r="AS1658" s="1063"/>
      <c r="AT1658" s="1063"/>
      <c r="AU1658" s="1063"/>
      <c r="AV1658" s="1063"/>
    </row>
    <row r="1659" spans="1:48" s="1108" customFormat="1" ht="27.75" customHeight="1">
      <c r="A1659" s="1076"/>
      <c r="B1659" s="1074">
        <f>+'[18]Bldg+Dev'!S2471</f>
        <v>0</v>
      </c>
      <c r="D1659" s="1063"/>
      <c r="F1659" s="1076"/>
      <c r="G1659" s="1063"/>
      <c r="H1659" s="1063"/>
      <c r="I1659" s="1063"/>
      <c r="J1659" s="1063"/>
      <c r="K1659" s="1063"/>
      <c r="L1659" s="1063"/>
      <c r="M1659" s="1063"/>
      <c r="N1659" s="1063"/>
      <c r="O1659" s="1063"/>
      <c r="P1659" s="1063"/>
      <c r="Q1659" s="1063"/>
      <c r="R1659" s="1063"/>
      <c r="S1659" s="1063"/>
      <c r="T1659" s="1063"/>
      <c r="U1659" s="1063"/>
      <c r="V1659" s="1063"/>
      <c r="W1659" s="1063"/>
      <c r="X1659" s="1063"/>
      <c r="Y1659" s="1063"/>
      <c r="Z1659" s="1063"/>
      <c r="AA1659" s="1063"/>
      <c r="AB1659" s="1063"/>
      <c r="AC1659" s="1063"/>
      <c r="AD1659" s="1063"/>
      <c r="AE1659" s="1063"/>
      <c r="AF1659" s="1063"/>
      <c r="AG1659" s="1063"/>
      <c r="AH1659" s="1063"/>
      <c r="AI1659" s="1063"/>
      <c r="AJ1659" s="1063"/>
      <c r="AK1659" s="1063"/>
      <c r="AL1659" s="1063"/>
      <c r="AM1659" s="1063"/>
      <c r="AN1659" s="1063"/>
      <c r="AO1659" s="1063"/>
      <c r="AP1659" s="1063"/>
      <c r="AQ1659" s="1063"/>
      <c r="AR1659" s="1063"/>
      <c r="AS1659" s="1063"/>
      <c r="AT1659" s="1063"/>
      <c r="AU1659" s="1063"/>
      <c r="AV1659" s="1063"/>
    </row>
    <row r="1660" spans="1:48" s="1108" customFormat="1" ht="27.75" customHeight="1">
      <c r="A1660" s="1076"/>
      <c r="B1660" s="1074">
        <f>+'[18]Bldg+Dev'!S2472</f>
        <v>0</v>
      </c>
      <c r="D1660" s="1063"/>
      <c r="F1660" s="1076"/>
      <c r="G1660" s="1063"/>
      <c r="H1660" s="1063"/>
      <c r="I1660" s="1063"/>
      <c r="J1660" s="1063"/>
      <c r="K1660" s="1063"/>
      <c r="L1660" s="1063"/>
      <c r="M1660" s="1063"/>
      <c r="N1660" s="1063"/>
      <c r="O1660" s="1063"/>
      <c r="P1660" s="1063"/>
      <c r="Q1660" s="1063"/>
      <c r="R1660" s="1063"/>
      <c r="S1660" s="1063"/>
      <c r="T1660" s="1063"/>
      <c r="U1660" s="1063"/>
      <c r="V1660" s="1063"/>
      <c r="W1660" s="1063"/>
      <c r="X1660" s="1063"/>
      <c r="Y1660" s="1063"/>
      <c r="Z1660" s="1063"/>
      <c r="AA1660" s="1063"/>
      <c r="AB1660" s="1063"/>
      <c r="AC1660" s="1063"/>
      <c r="AD1660" s="1063"/>
      <c r="AE1660" s="1063"/>
      <c r="AF1660" s="1063"/>
      <c r="AG1660" s="1063"/>
      <c r="AH1660" s="1063"/>
      <c r="AI1660" s="1063"/>
      <c r="AJ1660" s="1063"/>
      <c r="AK1660" s="1063"/>
      <c r="AL1660" s="1063"/>
      <c r="AM1660" s="1063"/>
      <c r="AN1660" s="1063"/>
      <c r="AO1660" s="1063"/>
      <c r="AP1660" s="1063"/>
      <c r="AQ1660" s="1063"/>
      <c r="AR1660" s="1063"/>
      <c r="AS1660" s="1063"/>
      <c r="AT1660" s="1063"/>
      <c r="AU1660" s="1063"/>
      <c r="AV1660" s="1063"/>
    </row>
    <row r="1661" spans="1:48" s="1108" customFormat="1" ht="27.75" customHeight="1">
      <c r="A1661" s="1076"/>
      <c r="B1661" s="1074">
        <f>+'[18]Bldg+Dev'!S2473</f>
        <v>0</v>
      </c>
      <c r="D1661" s="1063"/>
      <c r="F1661" s="1076"/>
      <c r="G1661" s="1063"/>
      <c r="H1661" s="1063"/>
      <c r="I1661" s="1063"/>
      <c r="J1661" s="1063"/>
      <c r="K1661" s="1063"/>
      <c r="L1661" s="1063"/>
      <c r="M1661" s="1063"/>
      <c r="N1661" s="1063"/>
      <c r="O1661" s="1063"/>
      <c r="P1661" s="1063"/>
      <c r="Q1661" s="1063"/>
      <c r="R1661" s="1063"/>
      <c r="S1661" s="1063"/>
      <c r="T1661" s="1063"/>
      <c r="U1661" s="1063"/>
      <c r="V1661" s="1063"/>
      <c r="W1661" s="1063"/>
      <c r="X1661" s="1063"/>
      <c r="Y1661" s="1063"/>
      <c r="Z1661" s="1063"/>
      <c r="AA1661" s="1063"/>
      <c r="AB1661" s="1063"/>
      <c r="AC1661" s="1063"/>
      <c r="AD1661" s="1063"/>
      <c r="AE1661" s="1063"/>
      <c r="AF1661" s="1063"/>
      <c r="AG1661" s="1063"/>
      <c r="AH1661" s="1063"/>
      <c r="AI1661" s="1063"/>
      <c r="AJ1661" s="1063"/>
      <c r="AK1661" s="1063"/>
      <c r="AL1661" s="1063"/>
      <c r="AM1661" s="1063"/>
      <c r="AN1661" s="1063"/>
      <c r="AO1661" s="1063"/>
      <c r="AP1661" s="1063"/>
      <c r="AQ1661" s="1063"/>
      <c r="AR1661" s="1063"/>
      <c r="AS1661" s="1063"/>
      <c r="AT1661" s="1063"/>
      <c r="AU1661" s="1063"/>
      <c r="AV1661" s="1063"/>
    </row>
    <row r="1662" spans="1:48" s="1108" customFormat="1" ht="27.75" customHeight="1">
      <c r="A1662" s="1076"/>
      <c r="B1662" s="1074">
        <f>+'[18]Bldg+Dev'!S2474</f>
        <v>0</v>
      </c>
      <c r="D1662" s="1063"/>
      <c r="F1662" s="1076"/>
      <c r="G1662" s="1063"/>
      <c r="H1662" s="1063"/>
      <c r="I1662" s="1063"/>
      <c r="J1662" s="1063"/>
      <c r="K1662" s="1063"/>
      <c r="L1662" s="1063"/>
      <c r="M1662" s="1063"/>
      <c r="N1662" s="1063"/>
      <c r="O1662" s="1063"/>
      <c r="P1662" s="1063"/>
      <c r="Q1662" s="1063"/>
      <c r="R1662" s="1063"/>
      <c r="S1662" s="1063"/>
      <c r="T1662" s="1063"/>
      <c r="U1662" s="1063"/>
      <c r="V1662" s="1063"/>
      <c r="W1662" s="1063"/>
      <c r="X1662" s="1063"/>
      <c r="Y1662" s="1063"/>
      <c r="Z1662" s="1063"/>
      <c r="AA1662" s="1063"/>
      <c r="AB1662" s="1063"/>
      <c r="AC1662" s="1063"/>
      <c r="AD1662" s="1063"/>
      <c r="AE1662" s="1063"/>
      <c r="AF1662" s="1063"/>
      <c r="AG1662" s="1063"/>
      <c r="AH1662" s="1063"/>
      <c r="AI1662" s="1063"/>
      <c r="AJ1662" s="1063"/>
      <c r="AK1662" s="1063"/>
      <c r="AL1662" s="1063"/>
      <c r="AM1662" s="1063"/>
      <c r="AN1662" s="1063"/>
      <c r="AO1662" s="1063"/>
      <c r="AP1662" s="1063"/>
      <c r="AQ1662" s="1063"/>
      <c r="AR1662" s="1063"/>
      <c r="AS1662" s="1063"/>
      <c r="AT1662" s="1063"/>
      <c r="AU1662" s="1063"/>
      <c r="AV1662" s="1063"/>
    </row>
    <row r="1663" spans="1:48" s="1108" customFormat="1" ht="27.75" customHeight="1">
      <c r="A1663" s="1076"/>
      <c r="B1663" s="1074">
        <f>+'[18]Bldg+Dev'!S2475</f>
        <v>0</v>
      </c>
      <c r="D1663" s="1063"/>
      <c r="F1663" s="1076"/>
      <c r="G1663" s="1063"/>
      <c r="H1663" s="1063"/>
      <c r="I1663" s="1063"/>
      <c r="J1663" s="1063"/>
      <c r="K1663" s="1063"/>
      <c r="L1663" s="1063"/>
      <c r="M1663" s="1063"/>
      <c r="N1663" s="1063"/>
      <c r="O1663" s="1063"/>
      <c r="P1663" s="1063"/>
      <c r="Q1663" s="1063"/>
      <c r="R1663" s="1063"/>
      <c r="S1663" s="1063"/>
      <c r="T1663" s="1063"/>
      <c r="U1663" s="1063"/>
      <c r="V1663" s="1063"/>
      <c r="W1663" s="1063"/>
      <c r="X1663" s="1063"/>
      <c r="Y1663" s="1063"/>
      <c r="Z1663" s="1063"/>
      <c r="AA1663" s="1063"/>
      <c r="AB1663" s="1063"/>
      <c r="AC1663" s="1063"/>
      <c r="AD1663" s="1063"/>
      <c r="AE1663" s="1063"/>
      <c r="AF1663" s="1063"/>
      <c r="AG1663" s="1063"/>
      <c r="AH1663" s="1063"/>
      <c r="AI1663" s="1063"/>
      <c r="AJ1663" s="1063"/>
      <c r="AK1663" s="1063"/>
      <c r="AL1663" s="1063"/>
      <c r="AM1663" s="1063"/>
      <c r="AN1663" s="1063"/>
      <c r="AO1663" s="1063"/>
      <c r="AP1663" s="1063"/>
      <c r="AQ1663" s="1063"/>
      <c r="AR1663" s="1063"/>
      <c r="AS1663" s="1063"/>
      <c r="AT1663" s="1063"/>
      <c r="AU1663" s="1063"/>
      <c r="AV1663" s="1063"/>
    </row>
    <row r="1664" spans="1:48" s="1108" customFormat="1" ht="27.75" customHeight="1">
      <c r="A1664" s="1076"/>
      <c r="B1664" s="1074">
        <f>+'[18]Bldg+Dev'!S2476</f>
        <v>0</v>
      </c>
      <c r="D1664" s="1063"/>
      <c r="F1664" s="1076"/>
      <c r="G1664" s="1063"/>
      <c r="H1664" s="1063"/>
      <c r="I1664" s="1063"/>
      <c r="J1664" s="1063"/>
      <c r="K1664" s="1063"/>
      <c r="L1664" s="1063"/>
      <c r="M1664" s="1063"/>
      <c r="N1664" s="1063"/>
      <c r="O1664" s="1063"/>
      <c r="P1664" s="1063"/>
      <c r="Q1664" s="1063"/>
      <c r="R1664" s="1063"/>
      <c r="S1664" s="1063"/>
      <c r="T1664" s="1063"/>
      <c r="U1664" s="1063"/>
      <c r="V1664" s="1063"/>
      <c r="W1664" s="1063"/>
      <c r="X1664" s="1063"/>
      <c r="Y1664" s="1063"/>
      <c r="Z1664" s="1063"/>
      <c r="AA1664" s="1063"/>
      <c r="AB1664" s="1063"/>
      <c r="AC1664" s="1063"/>
      <c r="AD1664" s="1063"/>
      <c r="AE1664" s="1063"/>
      <c r="AF1664" s="1063"/>
      <c r="AG1664" s="1063"/>
      <c r="AH1664" s="1063"/>
      <c r="AI1664" s="1063"/>
      <c r="AJ1664" s="1063"/>
      <c r="AK1664" s="1063"/>
      <c r="AL1664" s="1063"/>
      <c r="AM1664" s="1063"/>
      <c r="AN1664" s="1063"/>
      <c r="AO1664" s="1063"/>
      <c r="AP1664" s="1063"/>
      <c r="AQ1664" s="1063"/>
      <c r="AR1664" s="1063"/>
      <c r="AS1664" s="1063"/>
      <c r="AT1664" s="1063"/>
      <c r="AU1664" s="1063"/>
      <c r="AV1664" s="1063"/>
    </row>
    <row r="1665" spans="1:48" s="1108" customFormat="1" ht="27.75" customHeight="1">
      <c r="A1665" s="1076"/>
      <c r="B1665" s="1074">
        <f>+'[18]Bldg+Dev'!S2477</f>
        <v>0</v>
      </c>
      <c r="D1665" s="1063"/>
      <c r="F1665" s="1076"/>
      <c r="G1665" s="1063"/>
      <c r="H1665" s="1063"/>
      <c r="I1665" s="1063"/>
      <c r="J1665" s="1063"/>
      <c r="K1665" s="1063"/>
      <c r="L1665" s="1063"/>
      <c r="M1665" s="1063"/>
      <c r="N1665" s="1063"/>
      <c r="O1665" s="1063"/>
      <c r="P1665" s="1063"/>
      <c r="Q1665" s="1063"/>
      <c r="R1665" s="1063"/>
      <c r="S1665" s="1063"/>
      <c r="T1665" s="1063"/>
      <c r="U1665" s="1063"/>
      <c r="V1665" s="1063"/>
      <c r="W1665" s="1063"/>
      <c r="X1665" s="1063"/>
      <c r="Y1665" s="1063"/>
      <c r="Z1665" s="1063"/>
      <c r="AA1665" s="1063"/>
      <c r="AB1665" s="1063"/>
      <c r="AC1665" s="1063"/>
      <c r="AD1665" s="1063"/>
      <c r="AE1665" s="1063"/>
      <c r="AF1665" s="1063"/>
      <c r="AG1665" s="1063"/>
      <c r="AH1665" s="1063"/>
      <c r="AI1665" s="1063"/>
      <c r="AJ1665" s="1063"/>
      <c r="AK1665" s="1063"/>
      <c r="AL1665" s="1063"/>
      <c r="AM1665" s="1063"/>
      <c r="AN1665" s="1063"/>
      <c r="AO1665" s="1063"/>
      <c r="AP1665" s="1063"/>
      <c r="AQ1665" s="1063"/>
      <c r="AR1665" s="1063"/>
      <c r="AS1665" s="1063"/>
      <c r="AT1665" s="1063"/>
      <c r="AU1665" s="1063"/>
      <c r="AV1665" s="1063"/>
    </row>
    <row r="1666" spans="1:48" s="1108" customFormat="1" ht="27.75" customHeight="1">
      <c r="A1666" s="1076"/>
      <c r="B1666" s="1074">
        <f>+'[18]Bldg+Dev'!S2478</f>
        <v>0</v>
      </c>
      <c r="D1666" s="1063"/>
      <c r="F1666" s="1076"/>
      <c r="G1666" s="1063"/>
      <c r="H1666" s="1063"/>
      <c r="I1666" s="1063"/>
      <c r="J1666" s="1063"/>
      <c r="K1666" s="1063"/>
      <c r="L1666" s="1063"/>
      <c r="M1666" s="1063"/>
      <c r="N1666" s="1063"/>
      <c r="O1666" s="1063"/>
      <c r="P1666" s="1063"/>
      <c r="Q1666" s="1063"/>
      <c r="R1666" s="1063"/>
      <c r="S1666" s="1063"/>
      <c r="T1666" s="1063"/>
      <c r="U1666" s="1063"/>
      <c r="V1666" s="1063"/>
      <c r="W1666" s="1063"/>
      <c r="X1666" s="1063"/>
      <c r="Y1666" s="1063"/>
      <c r="Z1666" s="1063"/>
      <c r="AA1666" s="1063"/>
      <c r="AB1666" s="1063"/>
      <c r="AC1666" s="1063"/>
      <c r="AD1666" s="1063"/>
      <c r="AE1666" s="1063"/>
      <c r="AF1666" s="1063"/>
      <c r="AG1666" s="1063"/>
      <c r="AH1666" s="1063"/>
      <c r="AI1666" s="1063"/>
      <c r="AJ1666" s="1063"/>
      <c r="AK1666" s="1063"/>
      <c r="AL1666" s="1063"/>
      <c r="AM1666" s="1063"/>
      <c r="AN1666" s="1063"/>
      <c r="AO1666" s="1063"/>
      <c r="AP1666" s="1063"/>
      <c r="AQ1666" s="1063"/>
      <c r="AR1666" s="1063"/>
      <c r="AS1666" s="1063"/>
      <c r="AT1666" s="1063"/>
      <c r="AU1666" s="1063"/>
      <c r="AV1666" s="1063"/>
    </row>
    <row r="1667" spans="1:48" s="1108" customFormat="1" ht="27.75" customHeight="1">
      <c r="A1667" s="1076"/>
      <c r="B1667" s="1074">
        <f>+'[18]Bldg+Dev'!S2479</f>
        <v>0</v>
      </c>
      <c r="D1667" s="1063"/>
      <c r="F1667" s="1076"/>
      <c r="G1667" s="1063"/>
      <c r="H1667" s="1063"/>
      <c r="I1667" s="1063"/>
      <c r="J1667" s="1063"/>
      <c r="K1667" s="1063"/>
      <c r="L1667" s="1063"/>
      <c r="M1667" s="1063"/>
      <c r="N1667" s="1063"/>
      <c r="O1667" s="1063"/>
      <c r="P1667" s="1063"/>
      <c r="Q1667" s="1063"/>
      <c r="R1667" s="1063"/>
      <c r="S1667" s="1063"/>
      <c r="T1667" s="1063"/>
      <c r="U1667" s="1063"/>
      <c r="V1667" s="1063"/>
      <c r="W1667" s="1063"/>
      <c r="X1667" s="1063"/>
      <c r="Y1667" s="1063"/>
      <c r="Z1667" s="1063"/>
      <c r="AA1667" s="1063"/>
      <c r="AB1667" s="1063"/>
      <c r="AC1667" s="1063"/>
      <c r="AD1667" s="1063"/>
      <c r="AE1667" s="1063"/>
      <c r="AF1667" s="1063"/>
      <c r="AG1667" s="1063"/>
      <c r="AH1667" s="1063"/>
      <c r="AI1667" s="1063"/>
      <c r="AJ1667" s="1063"/>
      <c r="AK1667" s="1063"/>
      <c r="AL1667" s="1063"/>
      <c r="AM1667" s="1063"/>
      <c r="AN1667" s="1063"/>
      <c r="AO1667" s="1063"/>
      <c r="AP1667" s="1063"/>
      <c r="AQ1667" s="1063"/>
      <c r="AR1667" s="1063"/>
      <c r="AS1667" s="1063"/>
      <c r="AT1667" s="1063"/>
      <c r="AU1667" s="1063"/>
      <c r="AV1667" s="1063"/>
    </row>
    <row r="1668" spans="1:48" s="1108" customFormat="1" ht="27.75" customHeight="1">
      <c r="A1668" s="1076"/>
      <c r="B1668" s="1074">
        <f>+'[18]Bldg+Dev'!S2480</f>
        <v>0</v>
      </c>
      <c r="D1668" s="1063"/>
      <c r="F1668" s="1076"/>
      <c r="G1668" s="1063"/>
      <c r="H1668" s="1063"/>
      <c r="I1668" s="1063"/>
      <c r="J1668" s="1063"/>
      <c r="K1668" s="1063"/>
      <c r="L1668" s="1063"/>
      <c r="M1668" s="1063"/>
      <c r="N1668" s="1063"/>
      <c r="O1668" s="1063"/>
      <c r="P1668" s="1063"/>
      <c r="Q1668" s="1063"/>
      <c r="R1668" s="1063"/>
      <c r="S1668" s="1063"/>
      <c r="T1668" s="1063"/>
      <c r="U1668" s="1063"/>
      <c r="V1668" s="1063"/>
      <c r="W1668" s="1063"/>
      <c r="X1668" s="1063"/>
      <c r="Y1668" s="1063"/>
      <c r="Z1668" s="1063"/>
      <c r="AA1668" s="1063"/>
      <c r="AB1668" s="1063"/>
      <c r="AC1668" s="1063"/>
      <c r="AD1668" s="1063"/>
      <c r="AE1668" s="1063"/>
      <c r="AF1668" s="1063"/>
      <c r="AG1668" s="1063"/>
      <c r="AH1668" s="1063"/>
      <c r="AI1668" s="1063"/>
      <c r="AJ1668" s="1063"/>
      <c r="AK1668" s="1063"/>
      <c r="AL1668" s="1063"/>
      <c r="AM1668" s="1063"/>
      <c r="AN1668" s="1063"/>
      <c r="AO1668" s="1063"/>
      <c r="AP1668" s="1063"/>
      <c r="AQ1668" s="1063"/>
      <c r="AR1668" s="1063"/>
      <c r="AS1668" s="1063"/>
      <c r="AT1668" s="1063"/>
      <c r="AU1668" s="1063"/>
      <c r="AV1668" s="1063"/>
    </row>
    <row r="1669" spans="1:48" s="1108" customFormat="1" ht="27.75" customHeight="1">
      <c r="A1669" s="1076"/>
      <c r="B1669" s="1074">
        <f>+'[18]Bldg+Dev'!S2481</f>
        <v>0</v>
      </c>
      <c r="D1669" s="1063"/>
      <c r="F1669" s="1076"/>
      <c r="G1669" s="1063"/>
      <c r="H1669" s="1063"/>
      <c r="I1669" s="1063"/>
      <c r="J1669" s="1063"/>
      <c r="K1669" s="1063"/>
      <c r="L1669" s="1063"/>
      <c r="M1669" s="1063"/>
      <c r="N1669" s="1063"/>
      <c r="O1669" s="1063"/>
      <c r="P1669" s="1063"/>
      <c r="Q1669" s="1063"/>
      <c r="R1669" s="1063"/>
      <c r="S1669" s="1063"/>
      <c r="T1669" s="1063"/>
      <c r="U1669" s="1063"/>
      <c r="V1669" s="1063"/>
      <c r="W1669" s="1063"/>
      <c r="X1669" s="1063"/>
      <c r="Y1669" s="1063"/>
      <c r="Z1669" s="1063"/>
      <c r="AA1669" s="1063"/>
      <c r="AB1669" s="1063"/>
      <c r="AC1669" s="1063"/>
      <c r="AD1669" s="1063"/>
      <c r="AE1669" s="1063"/>
      <c r="AF1669" s="1063"/>
      <c r="AG1669" s="1063"/>
      <c r="AH1669" s="1063"/>
      <c r="AI1669" s="1063"/>
      <c r="AJ1669" s="1063"/>
      <c r="AK1669" s="1063"/>
      <c r="AL1669" s="1063"/>
      <c r="AM1669" s="1063"/>
      <c r="AN1669" s="1063"/>
      <c r="AO1669" s="1063"/>
      <c r="AP1669" s="1063"/>
      <c r="AQ1669" s="1063"/>
      <c r="AR1669" s="1063"/>
      <c r="AS1669" s="1063"/>
      <c r="AT1669" s="1063"/>
      <c r="AU1669" s="1063"/>
      <c r="AV1669" s="1063"/>
    </row>
    <row r="1670" spans="1:48" s="1108" customFormat="1" ht="27.75" customHeight="1">
      <c r="A1670" s="1076"/>
      <c r="B1670" s="1074">
        <f>+'[18]Bldg+Dev'!S2482</f>
        <v>0</v>
      </c>
      <c r="D1670" s="1063"/>
      <c r="F1670" s="1076"/>
      <c r="G1670" s="1063"/>
      <c r="H1670" s="1063"/>
      <c r="I1670" s="1063"/>
      <c r="J1670" s="1063"/>
      <c r="K1670" s="1063"/>
      <c r="L1670" s="1063"/>
      <c r="M1670" s="1063"/>
      <c r="N1670" s="1063"/>
      <c r="O1670" s="1063"/>
      <c r="P1670" s="1063"/>
      <c r="Q1670" s="1063"/>
      <c r="R1670" s="1063"/>
      <c r="S1670" s="1063"/>
      <c r="T1670" s="1063"/>
      <c r="U1670" s="1063"/>
      <c r="V1670" s="1063"/>
      <c r="W1670" s="1063"/>
      <c r="X1670" s="1063"/>
      <c r="Y1670" s="1063"/>
      <c r="Z1670" s="1063"/>
      <c r="AA1670" s="1063"/>
      <c r="AB1670" s="1063"/>
      <c r="AC1670" s="1063"/>
      <c r="AD1670" s="1063"/>
      <c r="AE1670" s="1063"/>
      <c r="AF1670" s="1063"/>
      <c r="AG1670" s="1063"/>
      <c r="AH1670" s="1063"/>
      <c r="AI1670" s="1063"/>
      <c r="AJ1670" s="1063"/>
      <c r="AK1670" s="1063"/>
      <c r="AL1670" s="1063"/>
      <c r="AM1670" s="1063"/>
      <c r="AN1670" s="1063"/>
      <c r="AO1670" s="1063"/>
      <c r="AP1670" s="1063"/>
      <c r="AQ1670" s="1063"/>
      <c r="AR1670" s="1063"/>
      <c r="AS1670" s="1063"/>
      <c r="AT1670" s="1063"/>
      <c r="AU1670" s="1063"/>
      <c r="AV1670" s="1063"/>
    </row>
    <row r="1671" spans="1:48" s="1108" customFormat="1" ht="27.75" customHeight="1">
      <c r="A1671" s="1076"/>
      <c r="B1671" s="1074">
        <f>+'[18]Bldg+Dev'!S2483</f>
        <v>0</v>
      </c>
      <c r="D1671" s="1063"/>
      <c r="F1671" s="1076"/>
      <c r="G1671" s="1063"/>
      <c r="H1671" s="1063"/>
      <c r="I1671" s="1063"/>
      <c r="J1671" s="1063"/>
      <c r="K1671" s="1063"/>
      <c r="L1671" s="1063"/>
      <c r="M1671" s="1063"/>
      <c r="N1671" s="1063"/>
      <c r="O1671" s="1063"/>
      <c r="P1671" s="1063"/>
      <c r="Q1671" s="1063"/>
      <c r="R1671" s="1063"/>
      <c r="S1671" s="1063"/>
      <c r="T1671" s="1063"/>
      <c r="U1671" s="1063"/>
      <c r="V1671" s="1063"/>
      <c r="W1671" s="1063"/>
      <c r="X1671" s="1063"/>
      <c r="Y1671" s="1063"/>
      <c r="Z1671" s="1063"/>
      <c r="AA1671" s="1063"/>
      <c r="AB1671" s="1063"/>
      <c r="AC1671" s="1063"/>
      <c r="AD1671" s="1063"/>
      <c r="AE1671" s="1063"/>
      <c r="AF1671" s="1063"/>
      <c r="AG1671" s="1063"/>
      <c r="AH1671" s="1063"/>
      <c r="AI1671" s="1063"/>
      <c r="AJ1671" s="1063"/>
      <c r="AK1671" s="1063"/>
      <c r="AL1671" s="1063"/>
      <c r="AM1671" s="1063"/>
      <c r="AN1671" s="1063"/>
      <c r="AO1671" s="1063"/>
      <c r="AP1671" s="1063"/>
      <c r="AQ1671" s="1063"/>
      <c r="AR1671" s="1063"/>
      <c r="AS1671" s="1063"/>
      <c r="AT1671" s="1063"/>
      <c r="AU1671" s="1063"/>
      <c r="AV1671" s="1063"/>
    </row>
    <row r="1672" spans="1:48" s="1108" customFormat="1" ht="27.75" customHeight="1">
      <c r="A1672" s="1076"/>
      <c r="B1672" s="1074">
        <f>+'[18]Bldg+Dev'!S2484</f>
        <v>0</v>
      </c>
      <c r="D1672" s="1063"/>
      <c r="F1672" s="1076"/>
      <c r="G1672" s="1063"/>
      <c r="H1672" s="1063"/>
      <c r="I1672" s="1063"/>
      <c r="J1672" s="1063"/>
      <c r="K1672" s="1063"/>
      <c r="L1672" s="1063"/>
      <c r="M1672" s="1063"/>
      <c r="N1672" s="1063"/>
      <c r="O1672" s="1063"/>
      <c r="P1672" s="1063"/>
      <c r="Q1672" s="1063"/>
      <c r="R1672" s="1063"/>
      <c r="S1672" s="1063"/>
      <c r="T1672" s="1063"/>
      <c r="U1672" s="1063"/>
      <c r="V1672" s="1063"/>
      <c r="W1672" s="1063"/>
      <c r="X1672" s="1063"/>
      <c r="Y1672" s="1063"/>
      <c r="Z1672" s="1063"/>
      <c r="AA1672" s="1063"/>
      <c r="AB1672" s="1063"/>
      <c r="AC1672" s="1063"/>
      <c r="AD1672" s="1063"/>
      <c r="AE1672" s="1063"/>
      <c r="AF1672" s="1063"/>
      <c r="AG1672" s="1063"/>
      <c r="AH1672" s="1063"/>
      <c r="AI1672" s="1063"/>
      <c r="AJ1672" s="1063"/>
      <c r="AK1672" s="1063"/>
      <c r="AL1672" s="1063"/>
      <c r="AM1672" s="1063"/>
      <c r="AN1672" s="1063"/>
      <c r="AO1672" s="1063"/>
      <c r="AP1672" s="1063"/>
      <c r="AQ1672" s="1063"/>
      <c r="AR1672" s="1063"/>
      <c r="AS1672" s="1063"/>
      <c r="AT1672" s="1063"/>
      <c r="AU1672" s="1063"/>
      <c r="AV1672" s="1063"/>
    </row>
    <row r="1673" spans="1:48" s="1108" customFormat="1" ht="27.75" customHeight="1">
      <c r="A1673" s="1076"/>
      <c r="B1673" s="1074">
        <f>+'[18]Bldg+Dev'!S2485</f>
        <v>0</v>
      </c>
      <c r="D1673" s="1063"/>
      <c r="F1673" s="1076"/>
      <c r="G1673" s="1063"/>
      <c r="H1673" s="1063"/>
      <c r="I1673" s="1063"/>
      <c r="J1673" s="1063"/>
      <c r="K1673" s="1063"/>
      <c r="L1673" s="1063"/>
      <c r="M1673" s="1063"/>
      <c r="N1673" s="1063"/>
      <c r="O1673" s="1063"/>
      <c r="P1673" s="1063"/>
      <c r="Q1673" s="1063"/>
      <c r="R1673" s="1063"/>
      <c r="S1673" s="1063"/>
      <c r="T1673" s="1063"/>
      <c r="U1673" s="1063"/>
      <c r="V1673" s="1063"/>
      <c r="W1673" s="1063"/>
      <c r="X1673" s="1063"/>
      <c r="Y1673" s="1063"/>
      <c r="Z1673" s="1063"/>
      <c r="AA1673" s="1063"/>
      <c r="AB1673" s="1063"/>
      <c r="AC1673" s="1063"/>
      <c r="AD1673" s="1063"/>
      <c r="AE1673" s="1063"/>
      <c r="AF1673" s="1063"/>
      <c r="AG1673" s="1063"/>
      <c r="AH1673" s="1063"/>
      <c r="AI1673" s="1063"/>
      <c r="AJ1673" s="1063"/>
      <c r="AK1673" s="1063"/>
      <c r="AL1673" s="1063"/>
      <c r="AM1673" s="1063"/>
      <c r="AN1673" s="1063"/>
      <c r="AO1673" s="1063"/>
      <c r="AP1673" s="1063"/>
      <c r="AQ1673" s="1063"/>
      <c r="AR1673" s="1063"/>
      <c r="AS1673" s="1063"/>
      <c r="AT1673" s="1063"/>
      <c r="AU1673" s="1063"/>
      <c r="AV1673" s="1063"/>
    </row>
    <row r="1674" spans="1:48" s="1108" customFormat="1" ht="27.75" customHeight="1">
      <c r="A1674" s="1076"/>
      <c r="B1674" s="1074">
        <f>+'[18]Bldg+Dev'!S2486</f>
        <v>0</v>
      </c>
      <c r="D1674" s="1063"/>
      <c r="F1674" s="1076"/>
      <c r="G1674" s="1063"/>
      <c r="H1674" s="1063"/>
      <c r="I1674" s="1063"/>
      <c r="J1674" s="1063"/>
      <c r="K1674" s="1063"/>
      <c r="L1674" s="1063"/>
      <c r="M1674" s="1063"/>
      <c r="N1674" s="1063"/>
      <c r="O1674" s="1063"/>
      <c r="P1674" s="1063"/>
      <c r="Q1674" s="1063"/>
      <c r="R1674" s="1063"/>
      <c r="S1674" s="1063"/>
      <c r="T1674" s="1063"/>
      <c r="U1674" s="1063"/>
      <c r="V1674" s="1063"/>
      <c r="W1674" s="1063"/>
      <c r="X1674" s="1063"/>
      <c r="Y1674" s="1063"/>
      <c r="Z1674" s="1063"/>
      <c r="AA1674" s="1063"/>
      <c r="AB1674" s="1063"/>
      <c r="AC1674" s="1063"/>
      <c r="AD1674" s="1063"/>
      <c r="AE1674" s="1063"/>
      <c r="AF1674" s="1063"/>
      <c r="AG1674" s="1063"/>
      <c r="AH1674" s="1063"/>
      <c r="AI1674" s="1063"/>
      <c r="AJ1674" s="1063"/>
      <c r="AK1674" s="1063"/>
      <c r="AL1674" s="1063"/>
      <c r="AM1674" s="1063"/>
      <c r="AN1674" s="1063"/>
      <c r="AO1674" s="1063"/>
      <c r="AP1674" s="1063"/>
      <c r="AQ1674" s="1063"/>
      <c r="AR1674" s="1063"/>
      <c r="AS1674" s="1063"/>
      <c r="AT1674" s="1063"/>
      <c r="AU1674" s="1063"/>
      <c r="AV1674" s="1063"/>
    </row>
    <row r="1675" spans="1:48" s="1108" customFormat="1" ht="27.75" customHeight="1">
      <c r="A1675" s="1076"/>
      <c r="B1675" s="1074">
        <f>+'[18]Bldg+Dev'!S2487</f>
        <v>0</v>
      </c>
      <c r="D1675" s="1063"/>
      <c r="F1675" s="1076"/>
      <c r="G1675" s="1063"/>
      <c r="H1675" s="1063"/>
      <c r="I1675" s="1063"/>
      <c r="J1675" s="1063"/>
      <c r="K1675" s="1063"/>
      <c r="L1675" s="1063"/>
      <c r="M1675" s="1063"/>
      <c r="N1675" s="1063"/>
      <c r="O1675" s="1063"/>
      <c r="P1675" s="1063"/>
      <c r="Q1675" s="1063"/>
      <c r="R1675" s="1063"/>
      <c r="S1675" s="1063"/>
      <c r="T1675" s="1063"/>
      <c r="U1675" s="1063"/>
      <c r="V1675" s="1063"/>
      <c r="W1675" s="1063"/>
      <c r="X1675" s="1063"/>
      <c r="Y1675" s="1063"/>
      <c r="Z1675" s="1063"/>
      <c r="AA1675" s="1063"/>
      <c r="AB1675" s="1063"/>
      <c r="AC1675" s="1063"/>
      <c r="AD1675" s="1063"/>
      <c r="AE1675" s="1063"/>
      <c r="AF1675" s="1063"/>
      <c r="AG1675" s="1063"/>
      <c r="AH1675" s="1063"/>
      <c r="AI1675" s="1063"/>
      <c r="AJ1675" s="1063"/>
      <c r="AK1675" s="1063"/>
      <c r="AL1675" s="1063"/>
      <c r="AM1675" s="1063"/>
      <c r="AN1675" s="1063"/>
      <c r="AO1675" s="1063"/>
      <c r="AP1675" s="1063"/>
      <c r="AQ1675" s="1063"/>
      <c r="AR1675" s="1063"/>
      <c r="AS1675" s="1063"/>
      <c r="AT1675" s="1063"/>
      <c r="AU1675" s="1063"/>
      <c r="AV1675" s="1063"/>
    </row>
    <row r="1676" spans="1:48" s="1108" customFormat="1" ht="27.75" customHeight="1">
      <c r="A1676" s="1076"/>
      <c r="B1676" s="1074">
        <f>+'[18]Bldg+Dev'!S2488</f>
        <v>0</v>
      </c>
      <c r="D1676" s="1063"/>
      <c r="F1676" s="1076"/>
      <c r="G1676" s="1063"/>
      <c r="H1676" s="1063"/>
      <c r="I1676" s="1063"/>
      <c r="J1676" s="1063"/>
      <c r="K1676" s="1063"/>
      <c r="L1676" s="1063"/>
      <c r="M1676" s="1063"/>
      <c r="N1676" s="1063"/>
      <c r="O1676" s="1063"/>
      <c r="P1676" s="1063"/>
      <c r="Q1676" s="1063"/>
      <c r="R1676" s="1063"/>
      <c r="S1676" s="1063"/>
      <c r="T1676" s="1063"/>
      <c r="U1676" s="1063"/>
      <c r="V1676" s="1063"/>
      <c r="W1676" s="1063"/>
      <c r="X1676" s="1063"/>
      <c r="Y1676" s="1063"/>
      <c r="Z1676" s="1063"/>
      <c r="AA1676" s="1063"/>
      <c r="AB1676" s="1063"/>
      <c r="AC1676" s="1063"/>
      <c r="AD1676" s="1063"/>
      <c r="AE1676" s="1063"/>
      <c r="AF1676" s="1063"/>
      <c r="AG1676" s="1063"/>
      <c r="AH1676" s="1063"/>
      <c r="AI1676" s="1063"/>
      <c r="AJ1676" s="1063"/>
      <c r="AK1676" s="1063"/>
      <c r="AL1676" s="1063"/>
      <c r="AM1676" s="1063"/>
      <c r="AN1676" s="1063"/>
      <c r="AO1676" s="1063"/>
      <c r="AP1676" s="1063"/>
      <c r="AQ1676" s="1063"/>
      <c r="AR1676" s="1063"/>
      <c r="AS1676" s="1063"/>
      <c r="AT1676" s="1063"/>
      <c r="AU1676" s="1063"/>
      <c r="AV1676" s="1063"/>
    </row>
    <row r="1677" spans="1:48" s="1108" customFormat="1" ht="27.75" customHeight="1">
      <c r="A1677" s="1076"/>
      <c r="B1677" s="1074">
        <f>+'[18]Bldg+Dev'!S2489</f>
        <v>0</v>
      </c>
      <c r="D1677" s="1063"/>
      <c r="F1677" s="1076"/>
      <c r="G1677" s="1063"/>
      <c r="H1677" s="1063"/>
      <c r="I1677" s="1063"/>
      <c r="J1677" s="1063"/>
      <c r="K1677" s="1063"/>
      <c r="L1677" s="1063"/>
      <c r="M1677" s="1063"/>
      <c r="N1677" s="1063"/>
      <c r="O1677" s="1063"/>
      <c r="P1677" s="1063"/>
      <c r="Q1677" s="1063"/>
      <c r="R1677" s="1063"/>
      <c r="S1677" s="1063"/>
      <c r="T1677" s="1063"/>
      <c r="U1677" s="1063"/>
      <c r="V1677" s="1063"/>
      <c r="W1677" s="1063"/>
      <c r="X1677" s="1063"/>
      <c r="Y1677" s="1063"/>
      <c r="Z1677" s="1063"/>
      <c r="AA1677" s="1063"/>
      <c r="AB1677" s="1063"/>
      <c r="AC1677" s="1063"/>
      <c r="AD1677" s="1063"/>
      <c r="AE1677" s="1063"/>
      <c r="AF1677" s="1063"/>
      <c r="AG1677" s="1063"/>
      <c r="AH1677" s="1063"/>
      <c r="AI1677" s="1063"/>
      <c r="AJ1677" s="1063"/>
      <c r="AK1677" s="1063"/>
      <c r="AL1677" s="1063"/>
      <c r="AM1677" s="1063"/>
      <c r="AN1677" s="1063"/>
      <c r="AO1677" s="1063"/>
      <c r="AP1677" s="1063"/>
      <c r="AQ1677" s="1063"/>
      <c r="AR1677" s="1063"/>
      <c r="AS1677" s="1063"/>
      <c r="AT1677" s="1063"/>
      <c r="AU1677" s="1063"/>
      <c r="AV1677" s="1063"/>
    </row>
    <row r="1678" spans="1:48" s="1108" customFormat="1" ht="27.75" customHeight="1">
      <c r="A1678" s="1076"/>
      <c r="B1678" s="1074">
        <f>+'[18]Bldg+Dev'!S2490</f>
        <v>0</v>
      </c>
      <c r="D1678" s="1063"/>
      <c r="F1678" s="1076"/>
      <c r="G1678" s="1063"/>
      <c r="H1678" s="1063"/>
      <c r="I1678" s="1063"/>
      <c r="J1678" s="1063"/>
      <c r="K1678" s="1063"/>
      <c r="L1678" s="1063"/>
      <c r="M1678" s="1063"/>
      <c r="N1678" s="1063"/>
      <c r="O1678" s="1063"/>
      <c r="P1678" s="1063"/>
      <c r="Q1678" s="1063"/>
      <c r="R1678" s="1063"/>
      <c r="S1678" s="1063"/>
      <c r="T1678" s="1063"/>
      <c r="U1678" s="1063"/>
      <c r="V1678" s="1063"/>
      <c r="W1678" s="1063"/>
      <c r="X1678" s="1063"/>
      <c r="Y1678" s="1063"/>
      <c r="Z1678" s="1063"/>
      <c r="AA1678" s="1063"/>
      <c r="AB1678" s="1063"/>
      <c r="AC1678" s="1063"/>
      <c r="AD1678" s="1063"/>
      <c r="AE1678" s="1063"/>
      <c r="AF1678" s="1063"/>
      <c r="AG1678" s="1063"/>
      <c r="AH1678" s="1063"/>
      <c r="AI1678" s="1063"/>
      <c r="AJ1678" s="1063"/>
      <c r="AK1678" s="1063"/>
      <c r="AL1678" s="1063"/>
      <c r="AM1678" s="1063"/>
      <c r="AN1678" s="1063"/>
      <c r="AO1678" s="1063"/>
      <c r="AP1678" s="1063"/>
      <c r="AQ1678" s="1063"/>
      <c r="AR1678" s="1063"/>
      <c r="AS1678" s="1063"/>
      <c r="AT1678" s="1063"/>
      <c r="AU1678" s="1063"/>
      <c r="AV1678" s="1063"/>
    </row>
    <row r="1679" spans="1:48" s="1108" customFormat="1" ht="27.75" customHeight="1">
      <c r="A1679" s="1076"/>
      <c r="B1679" s="1074">
        <f>+'[18]Bldg+Dev'!S2491</f>
        <v>0</v>
      </c>
      <c r="D1679" s="1063"/>
      <c r="F1679" s="1076"/>
      <c r="G1679" s="1063"/>
      <c r="H1679" s="1063"/>
      <c r="I1679" s="1063"/>
      <c r="J1679" s="1063"/>
      <c r="K1679" s="1063"/>
      <c r="L1679" s="1063"/>
      <c r="M1679" s="1063"/>
      <c r="N1679" s="1063"/>
      <c r="O1679" s="1063"/>
      <c r="P1679" s="1063"/>
      <c r="Q1679" s="1063"/>
      <c r="R1679" s="1063"/>
      <c r="S1679" s="1063"/>
      <c r="T1679" s="1063"/>
      <c r="U1679" s="1063"/>
      <c r="V1679" s="1063"/>
      <c r="W1679" s="1063"/>
      <c r="X1679" s="1063"/>
      <c r="Y1679" s="1063"/>
      <c r="Z1679" s="1063"/>
      <c r="AA1679" s="1063"/>
      <c r="AB1679" s="1063"/>
      <c r="AC1679" s="1063"/>
      <c r="AD1679" s="1063"/>
      <c r="AE1679" s="1063"/>
      <c r="AF1679" s="1063"/>
      <c r="AG1679" s="1063"/>
      <c r="AH1679" s="1063"/>
      <c r="AI1679" s="1063"/>
      <c r="AJ1679" s="1063"/>
      <c r="AK1679" s="1063"/>
      <c r="AL1679" s="1063"/>
      <c r="AM1679" s="1063"/>
      <c r="AN1679" s="1063"/>
      <c r="AO1679" s="1063"/>
      <c r="AP1679" s="1063"/>
      <c r="AQ1679" s="1063"/>
      <c r="AR1679" s="1063"/>
      <c r="AS1679" s="1063"/>
      <c r="AT1679" s="1063"/>
      <c r="AU1679" s="1063"/>
      <c r="AV1679" s="1063"/>
    </row>
    <row r="1680" spans="1:48" s="1108" customFormat="1" ht="27.75" customHeight="1">
      <c r="A1680" s="1076"/>
      <c r="B1680" s="1074">
        <f>+'[18]Bldg+Dev'!S2492</f>
        <v>0</v>
      </c>
      <c r="D1680" s="1063"/>
      <c r="F1680" s="1076"/>
      <c r="G1680" s="1063"/>
      <c r="H1680" s="1063"/>
      <c r="I1680" s="1063"/>
      <c r="J1680" s="1063"/>
      <c r="K1680" s="1063"/>
      <c r="L1680" s="1063"/>
      <c r="M1680" s="1063"/>
      <c r="N1680" s="1063"/>
      <c r="O1680" s="1063"/>
      <c r="P1680" s="1063"/>
      <c r="Q1680" s="1063"/>
      <c r="R1680" s="1063"/>
      <c r="S1680" s="1063"/>
      <c r="T1680" s="1063"/>
      <c r="U1680" s="1063"/>
      <c r="V1680" s="1063"/>
      <c r="W1680" s="1063"/>
      <c r="X1680" s="1063"/>
      <c r="Y1680" s="1063"/>
      <c r="Z1680" s="1063"/>
      <c r="AA1680" s="1063"/>
      <c r="AB1680" s="1063"/>
      <c r="AC1680" s="1063"/>
      <c r="AD1680" s="1063"/>
      <c r="AE1680" s="1063"/>
      <c r="AF1680" s="1063"/>
      <c r="AG1680" s="1063"/>
      <c r="AH1680" s="1063"/>
      <c r="AI1680" s="1063"/>
      <c r="AJ1680" s="1063"/>
      <c r="AK1680" s="1063"/>
      <c r="AL1680" s="1063"/>
      <c r="AM1680" s="1063"/>
      <c r="AN1680" s="1063"/>
      <c r="AO1680" s="1063"/>
      <c r="AP1680" s="1063"/>
      <c r="AQ1680" s="1063"/>
      <c r="AR1680" s="1063"/>
      <c r="AS1680" s="1063"/>
      <c r="AT1680" s="1063"/>
      <c r="AU1680" s="1063"/>
      <c r="AV1680" s="1063"/>
    </row>
    <row r="1681" spans="1:48" s="1108" customFormat="1" ht="27.75" customHeight="1">
      <c r="A1681" s="1076"/>
      <c r="B1681" s="1074">
        <f>+'[18]Bldg+Dev'!S2493</f>
        <v>0</v>
      </c>
      <c r="D1681" s="1063"/>
      <c r="F1681" s="1076"/>
      <c r="G1681" s="1063"/>
      <c r="H1681" s="1063"/>
      <c r="I1681" s="1063"/>
      <c r="J1681" s="1063"/>
      <c r="K1681" s="1063"/>
      <c r="L1681" s="1063"/>
      <c r="M1681" s="1063"/>
      <c r="N1681" s="1063"/>
      <c r="O1681" s="1063"/>
      <c r="P1681" s="1063"/>
      <c r="Q1681" s="1063"/>
      <c r="R1681" s="1063"/>
      <c r="S1681" s="1063"/>
      <c r="T1681" s="1063"/>
      <c r="U1681" s="1063"/>
      <c r="V1681" s="1063"/>
      <c r="W1681" s="1063"/>
      <c r="X1681" s="1063"/>
      <c r="Y1681" s="1063"/>
      <c r="Z1681" s="1063"/>
      <c r="AA1681" s="1063"/>
      <c r="AB1681" s="1063"/>
      <c r="AC1681" s="1063"/>
      <c r="AD1681" s="1063"/>
      <c r="AE1681" s="1063"/>
      <c r="AF1681" s="1063"/>
      <c r="AG1681" s="1063"/>
      <c r="AH1681" s="1063"/>
      <c r="AI1681" s="1063"/>
      <c r="AJ1681" s="1063"/>
      <c r="AK1681" s="1063"/>
      <c r="AL1681" s="1063"/>
      <c r="AM1681" s="1063"/>
      <c r="AN1681" s="1063"/>
      <c r="AO1681" s="1063"/>
      <c r="AP1681" s="1063"/>
      <c r="AQ1681" s="1063"/>
      <c r="AR1681" s="1063"/>
      <c r="AS1681" s="1063"/>
      <c r="AT1681" s="1063"/>
      <c r="AU1681" s="1063"/>
      <c r="AV1681" s="1063"/>
    </row>
    <row r="1682" spans="1:48" s="1108" customFormat="1" ht="27.75" customHeight="1">
      <c r="A1682" s="1076"/>
      <c r="B1682" s="1074">
        <f>+'[18]Bldg+Dev'!S2494</f>
        <v>0</v>
      </c>
      <c r="D1682" s="1063"/>
      <c r="F1682" s="1076"/>
      <c r="G1682" s="1063"/>
      <c r="H1682" s="1063"/>
      <c r="I1682" s="1063"/>
      <c r="J1682" s="1063"/>
      <c r="K1682" s="1063"/>
      <c r="L1682" s="1063"/>
      <c r="M1682" s="1063"/>
      <c r="N1682" s="1063"/>
      <c r="O1682" s="1063"/>
      <c r="P1682" s="1063"/>
      <c r="Q1682" s="1063"/>
      <c r="R1682" s="1063"/>
      <c r="S1682" s="1063"/>
      <c r="T1682" s="1063"/>
      <c r="U1682" s="1063"/>
      <c r="V1682" s="1063"/>
      <c r="W1682" s="1063"/>
      <c r="X1682" s="1063"/>
      <c r="Y1682" s="1063"/>
      <c r="Z1682" s="1063"/>
      <c r="AA1682" s="1063"/>
      <c r="AB1682" s="1063"/>
      <c r="AC1682" s="1063"/>
      <c r="AD1682" s="1063"/>
      <c r="AE1682" s="1063"/>
      <c r="AF1682" s="1063"/>
      <c r="AG1682" s="1063"/>
      <c r="AH1682" s="1063"/>
      <c r="AI1682" s="1063"/>
      <c r="AJ1682" s="1063"/>
      <c r="AK1682" s="1063"/>
      <c r="AL1682" s="1063"/>
      <c r="AM1682" s="1063"/>
      <c r="AN1682" s="1063"/>
      <c r="AO1682" s="1063"/>
      <c r="AP1682" s="1063"/>
      <c r="AQ1682" s="1063"/>
      <c r="AR1682" s="1063"/>
      <c r="AS1682" s="1063"/>
      <c r="AT1682" s="1063"/>
      <c r="AU1682" s="1063"/>
      <c r="AV1682" s="1063"/>
    </row>
    <row r="1683" spans="1:48" s="1108" customFormat="1" ht="27.75" customHeight="1">
      <c r="A1683" s="1076"/>
      <c r="B1683" s="1074">
        <f>+'[18]Bldg+Dev'!S2495</f>
        <v>0</v>
      </c>
      <c r="D1683" s="1063"/>
      <c r="F1683" s="1076"/>
      <c r="G1683" s="1063"/>
      <c r="H1683" s="1063"/>
      <c r="I1683" s="1063"/>
      <c r="J1683" s="1063"/>
      <c r="K1683" s="1063"/>
      <c r="L1683" s="1063"/>
      <c r="M1683" s="1063"/>
      <c r="N1683" s="1063"/>
      <c r="O1683" s="1063"/>
      <c r="P1683" s="1063"/>
      <c r="Q1683" s="1063"/>
      <c r="R1683" s="1063"/>
      <c r="S1683" s="1063"/>
      <c r="T1683" s="1063"/>
      <c r="U1683" s="1063"/>
      <c r="V1683" s="1063"/>
      <c r="W1683" s="1063"/>
      <c r="X1683" s="1063"/>
      <c r="Y1683" s="1063"/>
      <c r="Z1683" s="1063"/>
      <c r="AA1683" s="1063"/>
      <c r="AB1683" s="1063"/>
      <c r="AC1683" s="1063"/>
      <c r="AD1683" s="1063"/>
      <c r="AE1683" s="1063"/>
      <c r="AF1683" s="1063"/>
      <c r="AG1683" s="1063"/>
      <c r="AH1683" s="1063"/>
      <c r="AI1683" s="1063"/>
      <c r="AJ1683" s="1063"/>
      <c r="AK1683" s="1063"/>
      <c r="AL1683" s="1063"/>
      <c r="AM1683" s="1063"/>
      <c r="AN1683" s="1063"/>
      <c r="AO1683" s="1063"/>
      <c r="AP1683" s="1063"/>
      <c r="AQ1683" s="1063"/>
      <c r="AR1683" s="1063"/>
      <c r="AS1683" s="1063"/>
      <c r="AT1683" s="1063"/>
      <c r="AU1683" s="1063"/>
      <c r="AV1683" s="1063"/>
    </row>
    <row r="1684" spans="1:48" s="1108" customFormat="1" ht="27.75" customHeight="1">
      <c r="A1684" s="1076"/>
      <c r="B1684" s="1074">
        <f>+'[18]Bldg+Dev'!S2496</f>
        <v>0</v>
      </c>
      <c r="D1684" s="1063"/>
      <c r="F1684" s="1076"/>
      <c r="G1684" s="1063"/>
      <c r="H1684" s="1063"/>
      <c r="I1684" s="1063"/>
      <c r="J1684" s="1063"/>
      <c r="K1684" s="1063"/>
      <c r="L1684" s="1063"/>
      <c r="M1684" s="1063"/>
      <c r="N1684" s="1063"/>
      <c r="O1684" s="1063"/>
      <c r="P1684" s="1063"/>
      <c r="Q1684" s="1063"/>
      <c r="R1684" s="1063"/>
      <c r="S1684" s="1063"/>
      <c r="T1684" s="1063"/>
      <c r="U1684" s="1063"/>
      <c r="V1684" s="1063"/>
      <c r="W1684" s="1063"/>
      <c r="X1684" s="1063"/>
      <c r="Y1684" s="1063"/>
      <c r="Z1684" s="1063"/>
      <c r="AA1684" s="1063"/>
      <c r="AB1684" s="1063"/>
      <c r="AC1684" s="1063"/>
      <c r="AD1684" s="1063"/>
      <c r="AE1684" s="1063"/>
      <c r="AF1684" s="1063"/>
      <c r="AG1684" s="1063"/>
      <c r="AH1684" s="1063"/>
      <c r="AI1684" s="1063"/>
      <c r="AJ1684" s="1063"/>
      <c r="AK1684" s="1063"/>
      <c r="AL1684" s="1063"/>
      <c r="AM1684" s="1063"/>
      <c r="AN1684" s="1063"/>
      <c r="AO1684" s="1063"/>
      <c r="AP1684" s="1063"/>
      <c r="AQ1684" s="1063"/>
      <c r="AR1684" s="1063"/>
      <c r="AS1684" s="1063"/>
      <c r="AT1684" s="1063"/>
      <c r="AU1684" s="1063"/>
      <c r="AV1684" s="1063"/>
    </row>
    <row r="1685" spans="1:48" s="1108" customFormat="1" ht="27.75" customHeight="1">
      <c r="A1685" s="1076"/>
      <c r="B1685" s="1074">
        <f>+'[18]Bldg+Dev'!S2497</f>
        <v>0</v>
      </c>
      <c r="D1685" s="1063"/>
      <c r="F1685" s="1076"/>
      <c r="G1685" s="1063"/>
      <c r="H1685" s="1063"/>
      <c r="I1685" s="1063"/>
      <c r="J1685" s="1063"/>
      <c r="K1685" s="1063"/>
      <c r="L1685" s="1063"/>
      <c r="M1685" s="1063"/>
      <c r="N1685" s="1063"/>
      <c r="O1685" s="1063"/>
      <c r="P1685" s="1063"/>
      <c r="Q1685" s="1063"/>
      <c r="R1685" s="1063"/>
      <c r="S1685" s="1063"/>
      <c r="T1685" s="1063"/>
      <c r="U1685" s="1063"/>
      <c r="V1685" s="1063"/>
      <c r="W1685" s="1063"/>
      <c r="X1685" s="1063"/>
      <c r="Y1685" s="1063"/>
      <c r="Z1685" s="1063"/>
      <c r="AA1685" s="1063"/>
      <c r="AB1685" s="1063"/>
      <c r="AC1685" s="1063"/>
      <c r="AD1685" s="1063"/>
      <c r="AE1685" s="1063"/>
      <c r="AF1685" s="1063"/>
      <c r="AG1685" s="1063"/>
      <c r="AH1685" s="1063"/>
      <c r="AI1685" s="1063"/>
      <c r="AJ1685" s="1063"/>
      <c r="AK1685" s="1063"/>
      <c r="AL1685" s="1063"/>
      <c r="AM1685" s="1063"/>
      <c r="AN1685" s="1063"/>
      <c r="AO1685" s="1063"/>
      <c r="AP1685" s="1063"/>
      <c r="AQ1685" s="1063"/>
      <c r="AR1685" s="1063"/>
      <c r="AS1685" s="1063"/>
      <c r="AT1685" s="1063"/>
      <c r="AU1685" s="1063"/>
      <c r="AV1685" s="1063"/>
    </row>
    <row r="1686" spans="1:48" s="1108" customFormat="1" ht="27.75" customHeight="1">
      <c r="A1686" s="1076"/>
      <c r="B1686" s="1074">
        <f>+'[18]Bldg+Dev'!S2498</f>
        <v>0</v>
      </c>
      <c r="D1686" s="1063"/>
      <c r="F1686" s="1076"/>
      <c r="G1686" s="1063"/>
      <c r="H1686" s="1063"/>
      <c r="I1686" s="1063"/>
      <c r="J1686" s="1063"/>
      <c r="K1686" s="1063"/>
      <c r="L1686" s="1063"/>
      <c r="M1686" s="1063"/>
      <c r="N1686" s="1063"/>
      <c r="O1686" s="1063"/>
      <c r="P1686" s="1063"/>
      <c r="Q1686" s="1063"/>
      <c r="R1686" s="1063"/>
      <c r="S1686" s="1063"/>
      <c r="T1686" s="1063"/>
      <c r="U1686" s="1063"/>
      <c r="V1686" s="1063"/>
      <c r="W1686" s="1063"/>
      <c r="X1686" s="1063"/>
      <c r="Y1686" s="1063"/>
      <c r="Z1686" s="1063"/>
      <c r="AA1686" s="1063"/>
      <c r="AB1686" s="1063"/>
      <c r="AC1686" s="1063"/>
      <c r="AD1686" s="1063"/>
      <c r="AE1686" s="1063"/>
      <c r="AF1686" s="1063"/>
      <c r="AG1686" s="1063"/>
      <c r="AH1686" s="1063"/>
      <c r="AI1686" s="1063"/>
      <c r="AJ1686" s="1063"/>
      <c r="AK1686" s="1063"/>
      <c r="AL1686" s="1063"/>
      <c r="AM1686" s="1063"/>
      <c r="AN1686" s="1063"/>
      <c r="AO1686" s="1063"/>
      <c r="AP1686" s="1063"/>
      <c r="AQ1686" s="1063"/>
      <c r="AR1686" s="1063"/>
      <c r="AS1686" s="1063"/>
      <c r="AT1686" s="1063"/>
      <c r="AU1686" s="1063"/>
      <c r="AV1686" s="1063"/>
    </row>
    <row r="1687" spans="1:48" s="1108" customFormat="1" ht="27.75" customHeight="1">
      <c r="A1687" s="1076"/>
      <c r="B1687" s="1074">
        <f>+'[18]Bldg+Dev'!S2499</f>
        <v>0</v>
      </c>
      <c r="D1687" s="1063"/>
      <c r="F1687" s="1076"/>
      <c r="G1687" s="1063"/>
      <c r="H1687" s="1063"/>
      <c r="I1687" s="1063"/>
      <c r="J1687" s="1063"/>
      <c r="K1687" s="1063"/>
      <c r="L1687" s="1063"/>
      <c r="M1687" s="1063"/>
      <c r="N1687" s="1063"/>
      <c r="O1687" s="1063"/>
      <c r="P1687" s="1063"/>
      <c r="Q1687" s="1063"/>
      <c r="R1687" s="1063"/>
      <c r="S1687" s="1063"/>
      <c r="T1687" s="1063"/>
      <c r="U1687" s="1063"/>
      <c r="V1687" s="1063"/>
      <c r="W1687" s="1063"/>
      <c r="X1687" s="1063"/>
      <c r="Y1687" s="1063"/>
      <c r="Z1687" s="1063"/>
      <c r="AA1687" s="1063"/>
      <c r="AB1687" s="1063"/>
      <c r="AC1687" s="1063"/>
      <c r="AD1687" s="1063"/>
      <c r="AE1687" s="1063"/>
      <c r="AF1687" s="1063"/>
      <c r="AG1687" s="1063"/>
      <c r="AH1687" s="1063"/>
      <c r="AI1687" s="1063"/>
      <c r="AJ1687" s="1063"/>
      <c r="AK1687" s="1063"/>
      <c r="AL1687" s="1063"/>
      <c r="AM1687" s="1063"/>
      <c r="AN1687" s="1063"/>
      <c r="AO1687" s="1063"/>
      <c r="AP1687" s="1063"/>
      <c r="AQ1687" s="1063"/>
      <c r="AR1687" s="1063"/>
      <c r="AS1687" s="1063"/>
      <c r="AT1687" s="1063"/>
      <c r="AU1687" s="1063"/>
      <c r="AV1687" s="1063"/>
    </row>
    <row r="1688" spans="1:48" s="1108" customFormat="1" ht="27.75" customHeight="1">
      <c r="A1688" s="1076"/>
      <c r="B1688" s="1074">
        <f>+'[18]Bldg+Dev'!S2500</f>
        <v>0</v>
      </c>
      <c r="D1688" s="1063"/>
      <c r="F1688" s="1076"/>
      <c r="G1688" s="1063"/>
      <c r="H1688" s="1063"/>
      <c r="I1688" s="1063"/>
      <c r="J1688" s="1063"/>
      <c r="K1688" s="1063"/>
      <c r="L1688" s="1063"/>
      <c r="M1688" s="1063"/>
      <c r="N1688" s="1063"/>
      <c r="O1688" s="1063"/>
      <c r="P1688" s="1063"/>
      <c r="Q1688" s="1063"/>
      <c r="R1688" s="1063"/>
      <c r="S1688" s="1063"/>
      <c r="T1688" s="1063"/>
      <c r="U1688" s="1063"/>
      <c r="V1688" s="1063"/>
      <c r="W1688" s="1063"/>
      <c r="X1688" s="1063"/>
      <c r="Y1688" s="1063"/>
      <c r="Z1688" s="1063"/>
      <c r="AA1688" s="1063"/>
      <c r="AB1688" s="1063"/>
      <c r="AC1688" s="1063"/>
      <c r="AD1688" s="1063"/>
      <c r="AE1688" s="1063"/>
      <c r="AF1688" s="1063"/>
      <c r="AG1688" s="1063"/>
      <c r="AH1688" s="1063"/>
      <c r="AI1688" s="1063"/>
      <c r="AJ1688" s="1063"/>
      <c r="AK1688" s="1063"/>
      <c r="AL1688" s="1063"/>
      <c r="AM1688" s="1063"/>
      <c r="AN1688" s="1063"/>
      <c r="AO1688" s="1063"/>
      <c r="AP1688" s="1063"/>
      <c r="AQ1688" s="1063"/>
      <c r="AR1688" s="1063"/>
      <c r="AS1688" s="1063"/>
      <c r="AT1688" s="1063"/>
      <c r="AU1688" s="1063"/>
      <c r="AV1688" s="1063"/>
    </row>
    <row r="1689" spans="1:48" s="1108" customFormat="1" ht="27.75" customHeight="1">
      <c r="A1689" s="1076"/>
      <c r="B1689" s="1074">
        <f>+'[18]Bldg+Dev'!S2501</f>
        <v>0</v>
      </c>
      <c r="D1689" s="1063"/>
      <c r="F1689" s="1076"/>
      <c r="G1689" s="1063"/>
      <c r="H1689" s="1063"/>
      <c r="I1689" s="1063"/>
      <c r="J1689" s="1063"/>
      <c r="K1689" s="1063"/>
      <c r="L1689" s="1063"/>
      <c r="M1689" s="1063"/>
      <c r="N1689" s="1063"/>
      <c r="O1689" s="1063"/>
      <c r="P1689" s="1063"/>
      <c r="Q1689" s="1063"/>
      <c r="R1689" s="1063"/>
      <c r="S1689" s="1063"/>
      <c r="T1689" s="1063"/>
      <c r="U1689" s="1063"/>
      <c r="V1689" s="1063"/>
      <c r="W1689" s="1063"/>
      <c r="X1689" s="1063"/>
      <c r="Y1689" s="1063"/>
      <c r="Z1689" s="1063"/>
      <c r="AA1689" s="1063"/>
      <c r="AB1689" s="1063"/>
      <c r="AC1689" s="1063"/>
      <c r="AD1689" s="1063"/>
      <c r="AE1689" s="1063"/>
      <c r="AF1689" s="1063"/>
      <c r="AG1689" s="1063"/>
      <c r="AH1689" s="1063"/>
      <c r="AI1689" s="1063"/>
      <c r="AJ1689" s="1063"/>
      <c r="AK1689" s="1063"/>
      <c r="AL1689" s="1063"/>
      <c r="AM1689" s="1063"/>
      <c r="AN1689" s="1063"/>
      <c r="AO1689" s="1063"/>
      <c r="AP1689" s="1063"/>
      <c r="AQ1689" s="1063"/>
      <c r="AR1689" s="1063"/>
      <c r="AS1689" s="1063"/>
      <c r="AT1689" s="1063"/>
      <c r="AU1689" s="1063"/>
      <c r="AV1689" s="1063"/>
    </row>
    <row r="1690" spans="1:48" s="1108" customFormat="1" ht="27.75" customHeight="1">
      <c r="A1690" s="1076"/>
      <c r="B1690" s="1074">
        <f>+'[18]Bldg+Dev'!S2502</f>
        <v>0</v>
      </c>
      <c r="D1690" s="1063"/>
      <c r="F1690" s="1076"/>
      <c r="G1690" s="1063"/>
      <c r="H1690" s="1063"/>
      <c r="I1690" s="1063"/>
      <c r="J1690" s="1063"/>
      <c r="K1690" s="1063"/>
      <c r="L1690" s="1063"/>
      <c r="M1690" s="1063"/>
      <c r="N1690" s="1063"/>
      <c r="O1690" s="1063"/>
      <c r="P1690" s="1063"/>
      <c r="Q1690" s="1063"/>
      <c r="R1690" s="1063"/>
      <c r="S1690" s="1063"/>
      <c r="T1690" s="1063"/>
      <c r="U1690" s="1063"/>
      <c r="V1690" s="1063"/>
      <c r="W1690" s="1063"/>
      <c r="X1690" s="1063"/>
      <c r="Y1690" s="1063"/>
      <c r="Z1690" s="1063"/>
      <c r="AA1690" s="1063"/>
      <c r="AB1690" s="1063"/>
      <c r="AC1690" s="1063"/>
      <c r="AD1690" s="1063"/>
      <c r="AE1690" s="1063"/>
      <c r="AF1690" s="1063"/>
      <c r="AG1690" s="1063"/>
      <c r="AH1690" s="1063"/>
      <c r="AI1690" s="1063"/>
      <c r="AJ1690" s="1063"/>
      <c r="AK1690" s="1063"/>
      <c r="AL1690" s="1063"/>
      <c r="AM1690" s="1063"/>
      <c r="AN1690" s="1063"/>
      <c r="AO1690" s="1063"/>
      <c r="AP1690" s="1063"/>
      <c r="AQ1690" s="1063"/>
      <c r="AR1690" s="1063"/>
      <c r="AS1690" s="1063"/>
      <c r="AT1690" s="1063"/>
      <c r="AU1690" s="1063"/>
      <c r="AV1690" s="1063"/>
    </row>
    <row r="1691" spans="1:48" s="1108" customFormat="1" ht="27.75" customHeight="1">
      <c r="A1691" s="1076"/>
      <c r="B1691" s="1074">
        <f>+'[18]Bldg+Dev'!S2503</f>
        <v>0</v>
      </c>
      <c r="D1691" s="1063"/>
      <c r="F1691" s="1076"/>
      <c r="G1691" s="1063"/>
      <c r="H1691" s="1063"/>
      <c r="I1691" s="1063"/>
      <c r="J1691" s="1063"/>
      <c r="K1691" s="1063"/>
      <c r="L1691" s="1063"/>
      <c r="M1691" s="1063"/>
      <c r="N1691" s="1063"/>
      <c r="O1691" s="1063"/>
      <c r="P1691" s="1063"/>
      <c r="Q1691" s="1063"/>
      <c r="R1691" s="1063"/>
      <c r="S1691" s="1063"/>
      <c r="T1691" s="1063"/>
      <c r="U1691" s="1063"/>
      <c r="V1691" s="1063"/>
      <c r="W1691" s="1063"/>
      <c r="X1691" s="1063"/>
      <c r="Y1691" s="1063"/>
      <c r="Z1691" s="1063"/>
      <c r="AA1691" s="1063"/>
      <c r="AB1691" s="1063"/>
      <c r="AC1691" s="1063"/>
      <c r="AD1691" s="1063"/>
      <c r="AE1691" s="1063"/>
      <c r="AF1691" s="1063"/>
      <c r="AG1691" s="1063"/>
      <c r="AH1691" s="1063"/>
      <c r="AI1691" s="1063"/>
      <c r="AJ1691" s="1063"/>
      <c r="AK1691" s="1063"/>
      <c r="AL1691" s="1063"/>
      <c r="AM1691" s="1063"/>
      <c r="AN1691" s="1063"/>
      <c r="AO1691" s="1063"/>
      <c r="AP1691" s="1063"/>
      <c r="AQ1691" s="1063"/>
      <c r="AR1691" s="1063"/>
      <c r="AS1691" s="1063"/>
      <c r="AT1691" s="1063"/>
      <c r="AU1691" s="1063"/>
      <c r="AV1691" s="1063"/>
    </row>
    <row r="1692" spans="1:48" s="1108" customFormat="1" ht="27.75" customHeight="1">
      <c r="A1692" s="1076"/>
      <c r="B1692" s="1074">
        <f>+'[18]Bldg+Dev'!S2504</f>
        <v>0</v>
      </c>
      <c r="D1692" s="1063"/>
      <c r="F1692" s="1076"/>
      <c r="G1692" s="1063"/>
      <c r="H1692" s="1063"/>
      <c r="I1692" s="1063"/>
      <c r="J1692" s="1063"/>
      <c r="K1692" s="1063"/>
      <c r="L1692" s="1063"/>
      <c r="M1692" s="1063"/>
      <c r="N1692" s="1063"/>
      <c r="O1692" s="1063"/>
      <c r="P1692" s="1063"/>
      <c r="Q1692" s="1063"/>
      <c r="R1692" s="1063"/>
      <c r="S1692" s="1063"/>
      <c r="T1692" s="1063"/>
      <c r="U1692" s="1063"/>
      <c r="V1692" s="1063"/>
      <c r="W1692" s="1063"/>
      <c r="X1692" s="1063"/>
      <c r="Y1692" s="1063"/>
      <c r="Z1692" s="1063"/>
      <c r="AA1692" s="1063"/>
      <c r="AB1692" s="1063"/>
      <c r="AC1692" s="1063"/>
      <c r="AD1692" s="1063"/>
      <c r="AE1692" s="1063"/>
      <c r="AF1692" s="1063"/>
      <c r="AG1692" s="1063"/>
      <c r="AH1692" s="1063"/>
      <c r="AI1692" s="1063"/>
      <c r="AJ1692" s="1063"/>
      <c r="AK1692" s="1063"/>
      <c r="AL1692" s="1063"/>
      <c r="AM1692" s="1063"/>
      <c r="AN1692" s="1063"/>
      <c r="AO1692" s="1063"/>
      <c r="AP1692" s="1063"/>
      <c r="AQ1692" s="1063"/>
      <c r="AR1692" s="1063"/>
      <c r="AS1692" s="1063"/>
      <c r="AT1692" s="1063"/>
      <c r="AU1692" s="1063"/>
      <c r="AV1692" s="1063"/>
    </row>
    <row r="1693" spans="1:48" s="1108" customFormat="1" ht="27.75" customHeight="1">
      <c r="A1693" s="1076"/>
      <c r="B1693" s="1074">
        <f>+'[18]Bldg+Dev'!S2505</f>
        <v>0</v>
      </c>
      <c r="D1693" s="1063"/>
      <c r="F1693" s="1076"/>
      <c r="G1693" s="1063"/>
      <c r="H1693" s="1063"/>
      <c r="I1693" s="1063"/>
      <c r="J1693" s="1063"/>
      <c r="K1693" s="1063"/>
      <c r="L1693" s="1063"/>
      <c r="M1693" s="1063"/>
      <c r="N1693" s="1063"/>
      <c r="O1693" s="1063"/>
      <c r="P1693" s="1063"/>
      <c r="Q1693" s="1063"/>
      <c r="R1693" s="1063"/>
      <c r="S1693" s="1063"/>
      <c r="T1693" s="1063"/>
      <c r="U1693" s="1063"/>
      <c r="V1693" s="1063"/>
      <c r="W1693" s="1063"/>
      <c r="X1693" s="1063"/>
      <c r="Y1693" s="1063"/>
      <c r="Z1693" s="1063"/>
      <c r="AA1693" s="1063"/>
      <c r="AB1693" s="1063"/>
      <c r="AC1693" s="1063"/>
      <c r="AD1693" s="1063"/>
      <c r="AE1693" s="1063"/>
      <c r="AF1693" s="1063"/>
      <c r="AG1693" s="1063"/>
      <c r="AH1693" s="1063"/>
      <c r="AI1693" s="1063"/>
      <c r="AJ1693" s="1063"/>
      <c r="AK1693" s="1063"/>
      <c r="AL1693" s="1063"/>
      <c r="AM1693" s="1063"/>
      <c r="AN1693" s="1063"/>
      <c r="AO1693" s="1063"/>
      <c r="AP1693" s="1063"/>
      <c r="AQ1693" s="1063"/>
      <c r="AR1693" s="1063"/>
      <c r="AS1693" s="1063"/>
      <c r="AT1693" s="1063"/>
      <c r="AU1693" s="1063"/>
      <c r="AV1693" s="1063"/>
    </row>
    <row r="1694" spans="1:48" s="1108" customFormat="1" ht="27.75" customHeight="1">
      <c r="A1694" s="1076"/>
      <c r="B1694" s="1074">
        <f>+'[18]Bldg+Dev'!S2506</f>
        <v>0</v>
      </c>
      <c r="D1694" s="1063"/>
      <c r="F1694" s="1076"/>
      <c r="G1694" s="1063"/>
      <c r="H1694" s="1063"/>
      <c r="I1694" s="1063"/>
      <c r="J1694" s="1063"/>
      <c r="K1694" s="1063"/>
      <c r="L1694" s="1063"/>
      <c r="M1694" s="1063"/>
      <c r="N1694" s="1063"/>
      <c r="O1694" s="1063"/>
      <c r="P1694" s="1063"/>
      <c r="Q1694" s="1063"/>
      <c r="R1694" s="1063"/>
      <c r="S1694" s="1063"/>
      <c r="T1694" s="1063"/>
      <c r="U1694" s="1063"/>
      <c r="V1694" s="1063"/>
      <c r="W1694" s="1063"/>
      <c r="X1694" s="1063"/>
      <c r="Y1694" s="1063"/>
      <c r="Z1694" s="1063"/>
      <c r="AA1694" s="1063"/>
      <c r="AB1694" s="1063"/>
      <c r="AC1694" s="1063"/>
      <c r="AD1694" s="1063"/>
      <c r="AE1694" s="1063"/>
      <c r="AF1694" s="1063"/>
      <c r="AG1694" s="1063"/>
      <c r="AH1694" s="1063"/>
      <c r="AI1694" s="1063"/>
      <c r="AJ1694" s="1063"/>
      <c r="AK1694" s="1063"/>
      <c r="AL1694" s="1063"/>
      <c r="AM1694" s="1063"/>
      <c r="AN1694" s="1063"/>
      <c r="AO1694" s="1063"/>
      <c r="AP1694" s="1063"/>
      <c r="AQ1694" s="1063"/>
      <c r="AR1694" s="1063"/>
      <c r="AS1694" s="1063"/>
      <c r="AT1694" s="1063"/>
      <c r="AU1694" s="1063"/>
      <c r="AV1694" s="1063"/>
    </row>
    <row r="1695" spans="1:48" s="1108" customFormat="1" ht="27.75" customHeight="1">
      <c r="A1695" s="1076"/>
      <c r="B1695" s="1074">
        <f>+'[18]Bldg+Dev'!S2507</f>
        <v>0</v>
      </c>
      <c r="D1695" s="1063"/>
      <c r="F1695" s="1076"/>
      <c r="G1695" s="1063"/>
      <c r="H1695" s="1063"/>
      <c r="I1695" s="1063"/>
      <c r="J1695" s="1063"/>
      <c r="K1695" s="1063"/>
      <c r="L1695" s="1063"/>
      <c r="M1695" s="1063"/>
      <c r="N1695" s="1063"/>
      <c r="O1695" s="1063"/>
      <c r="P1695" s="1063"/>
      <c r="Q1695" s="1063"/>
      <c r="R1695" s="1063"/>
      <c r="S1695" s="1063"/>
      <c r="T1695" s="1063"/>
      <c r="U1695" s="1063"/>
      <c r="V1695" s="1063"/>
      <c r="W1695" s="1063"/>
      <c r="X1695" s="1063"/>
      <c r="Y1695" s="1063"/>
      <c r="Z1695" s="1063"/>
      <c r="AA1695" s="1063"/>
      <c r="AB1695" s="1063"/>
      <c r="AC1695" s="1063"/>
      <c r="AD1695" s="1063"/>
      <c r="AE1695" s="1063"/>
      <c r="AF1695" s="1063"/>
      <c r="AG1695" s="1063"/>
      <c r="AH1695" s="1063"/>
      <c r="AI1695" s="1063"/>
      <c r="AJ1695" s="1063"/>
      <c r="AK1695" s="1063"/>
      <c r="AL1695" s="1063"/>
      <c r="AM1695" s="1063"/>
      <c r="AN1695" s="1063"/>
      <c r="AO1695" s="1063"/>
      <c r="AP1695" s="1063"/>
      <c r="AQ1695" s="1063"/>
      <c r="AR1695" s="1063"/>
      <c r="AS1695" s="1063"/>
      <c r="AT1695" s="1063"/>
      <c r="AU1695" s="1063"/>
      <c r="AV1695" s="1063"/>
    </row>
    <row r="1696" spans="1:48" s="1108" customFormat="1" ht="27.75" customHeight="1">
      <c r="A1696" s="1076"/>
      <c r="B1696" s="1074">
        <f>+'[18]Bldg+Dev'!S2508</f>
        <v>0</v>
      </c>
      <c r="D1696" s="1063"/>
      <c r="F1696" s="1076"/>
      <c r="G1696" s="1063"/>
      <c r="H1696" s="1063"/>
      <c r="I1696" s="1063"/>
      <c r="J1696" s="1063"/>
      <c r="K1696" s="1063"/>
      <c r="L1696" s="1063"/>
      <c r="M1696" s="1063"/>
      <c r="N1696" s="1063"/>
      <c r="O1696" s="1063"/>
      <c r="P1696" s="1063"/>
      <c r="Q1696" s="1063"/>
      <c r="R1696" s="1063"/>
      <c r="S1696" s="1063"/>
      <c r="T1696" s="1063"/>
      <c r="U1696" s="1063"/>
      <c r="V1696" s="1063"/>
      <c r="W1696" s="1063"/>
      <c r="X1696" s="1063"/>
      <c r="Y1696" s="1063"/>
      <c r="Z1696" s="1063"/>
      <c r="AA1696" s="1063"/>
      <c r="AB1696" s="1063"/>
      <c r="AC1696" s="1063"/>
      <c r="AD1696" s="1063"/>
      <c r="AE1696" s="1063"/>
      <c r="AF1696" s="1063"/>
      <c r="AG1696" s="1063"/>
      <c r="AH1696" s="1063"/>
      <c r="AI1696" s="1063"/>
      <c r="AJ1696" s="1063"/>
      <c r="AK1696" s="1063"/>
      <c r="AL1696" s="1063"/>
      <c r="AM1696" s="1063"/>
      <c r="AN1696" s="1063"/>
      <c r="AO1696" s="1063"/>
      <c r="AP1696" s="1063"/>
      <c r="AQ1696" s="1063"/>
      <c r="AR1696" s="1063"/>
      <c r="AS1696" s="1063"/>
      <c r="AT1696" s="1063"/>
      <c r="AU1696" s="1063"/>
      <c r="AV1696" s="1063"/>
    </row>
    <row r="1697" spans="1:48" s="1108" customFormat="1" ht="27.75" customHeight="1">
      <c r="A1697" s="1076"/>
      <c r="B1697" s="1074">
        <f>+'[18]Bldg+Dev'!S2509</f>
        <v>0</v>
      </c>
      <c r="D1697" s="1063"/>
      <c r="F1697" s="1076"/>
      <c r="G1697" s="1063"/>
      <c r="H1697" s="1063"/>
      <c r="I1697" s="1063"/>
      <c r="J1697" s="1063"/>
      <c r="K1697" s="1063"/>
      <c r="L1697" s="1063"/>
      <c r="M1697" s="1063"/>
      <c r="N1697" s="1063"/>
      <c r="O1697" s="1063"/>
      <c r="P1697" s="1063"/>
      <c r="Q1697" s="1063"/>
      <c r="R1697" s="1063"/>
      <c r="S1697" s="1063"/>
      <c r="T1697" s="1063"/>
      <c r="U1697" s="1063"/>
      <c r="V1697" s="1063"/>
      <c r="W1697" s="1063"/>
      <c r="X1697" s="1063"/>
      <c r="Y1697" s="1063"/>
      <c r="Z1697" s="1063"/>
      <c r="AA1697" s="1063"/>
      <c r="AB1697" s="1063"/>
      <c r="AC1697" s="1063"/>
      <c r="AD1697" s="1063"/>
      <c r="AE1697" s="1063"/>
      <c r="AF1697" s="1063"/>
      <c r="AG1697" s="1063"/>
      <c r="AH1697" s="1063"/>
      <c r="AI1697" s="1063"/>
      <c r="AJ1697" s="1063"/>
      <c r="AK1697" s="1063"/>
      <c r="AL1697" s="1063"/>
      <c r="AM1697" s="1063"/>
      <c r="AN1697" s="1063"/>
      <c r="AO1697" s="1063"/>
      <c r="AP1697" s="1063"/>
      <c r="AQ1697" s="1063"/>
      <c r="AR1697" s="1063"/>
      <c r="AS1697" s="1063"/>
      <c r="AT1697" s="1063"/>
      <c r="AU1697" s="1063"/>
      <c r="AV1697" s="1063"/>
    </row>
    <row r="1698" spans="1:48" s="1108" customFormat="1" ht="27.75" customHeight="1">
      <c r="A1698" s="1076"/>
      <c r="B1698" s="1074">
        <f>+'[18]Bldg+Dev'!S2510</f>
        <v>0</v>
      </c>
      <c r="D1698" s="1063"/>
      <c r="F1698" s="1076"/>
      <c r="G1698" s="1063"/>
      <c r="H1698" s="1063"/>
      <c r="I1698" s="1063"/>
      <c r="J1698" s="1063"/>
      <c r="K1698" s="1063"/>
      <c r="L1698" s="1063"/>
      <c r="M1698" s="1063"/>
      <c r="N1698" s="1063"/>
      <c r="O1698" s="1063"/>
      <c r="P1698" s="1063"/>
      <c r="Q1698" s="1063"/>
      <c r="R1698" s="1063"/>
      <c r="S1698" s="1063"/>
      <c r="T1698" s="1063"/>
      <c r="U1698" s="1063"/>
      <c r="V1698" s="1063"/>
      <c r="W1698" s="1063"/>
      <c r="X1698" s="1063"/>
      <c r="Y1698" s="1063"/>
      <c r="Z1698" s="1063"/>
      <c r="AA1698" s="1063"/>
      <c r="AB1698" s="1063"/>
      <c r="AC1698" s="1063"/>
      <c r="AD1698" s="1063"/>
      <c r="AE1698" s="1063"/>
      <c r="AF1698" s="1063"/>
      <c r="AG1698" s="1063"/>
      <c r="AH1698" s="1063"/>
      <c r="AI1698" s="1063"/>
      <c r="AJ1698" s="1063"/>
      <c r="AK1698" s="1063"/>
      <c r="AL1698" s="1063"/>
      <c r="AM1698" s="1063"/>
      <c r="AN1698" s="1063"/>
      <c r="AO1698" s="1063"/>
      <c r="AP1698" s="1063"/>
      <c r="AQ1698" s="1063"/>
      <c r="AR1698" s="1063"/>
      <c r="AS1698" s="1063"/>
      <c r="AT1698" s="1063"/>
      <c r="AU1698" s="1063"/>
      <c r="AV1698" s="1063"/>
    </row>
    <row r="1699" spans="1:48" s="1108" customFormat="1" ht="27.75" customHeight="1">
      <c r="A1699" s="1076"/>
      <c r="B1699" s="1074">
        <f>+'[18]Bldg+Dev'!S2511</f>
        <v>0</v>
      </c>
      <c r="D1699" s="1063"/>
      <c r="F1699" s="1076"/>
      <c r="G1699" s="1063"/>
      <c r="H1699" s="1063"/>
      <c r="I1699" s="1063"/>
      <c r="J1699" s="1063"/>
      <c r="K1699" s="1063"/>
      <c r="L1699" s="1063"/>
      <c r="M1699" s="1063"/>
      <c r="N1699" s="1063"/>
      <c r="O1699" s="1063"/>
      <c r="P1699" s="1063"/>
      <c r="Q1699" s="1063"/>
      <c r="R1699" s="1063"/>
      <c r="S1699" s="1063"/>
      <c r="T1699" s="1063"/>
      <c r="U1699" s="1063"/>
      <c r="V1699" s="1063"/>
      <c r="W1699" s="1063"/>
      <c r="X1699" s="1063"/>
      <c r="Y1699" s="1063"/>
      <c r="Z1699" s="1063"/>
      <c r="AA1699" s="1063"/>
      <c r="AB1699" s="1063"/>
      <c r="AC1699" s="1063"/>
      <c r="AD1699" s="1063"/>
      <c r="AE1699" s="1063"/>
      <c r="AF1699" s="1063"/>
      <c r="AG1699" s="1063"/>
      <c r="AH1699" s="1063"/>
      <c r="AI1699" s="1063"/>
      <c r="AJ1699" s="1063"/>
      <c r="AK1699" s="1063"/>
      <c r="AL1699" s="1063"/>
      <c r="AM1699" s="1063"/>
      <c r="AN1699" s="1063"/>
      <c r="AO1699" s="1063"/>
      <c r="AP1699" s="1063"/>
      <c r="AQ1699" s="1063"/>
      <c r="AR1699" s="1063"/>
      <c r="AS1699" s="1063"/>
      <c r="AT1699" s="1063"/>
      <c r="AU1699" s="1063"/>
      <c r="AV1699" s="1063"/>
    </row>
    <row r="1700" spans="1:48" s="1108" customFormat="1" ht="27.75" customHeight="1">
      <c r="A1700" s="1076"/>
      <c r="B1700" s="1074">
        <f>+'[18]Bldg+Dev'!S2512</f>
        <v>0</v>
      </c>
      <c r="D1700" s="1063"/>
      <c r="F1700" s="1076"/>
      <c r="G1700" s="1063"/>
      <c r="H1700" s="1063"/>
      <c r="I1700" s="1063"/>
      <c r="J1700" s="1063"/>
      <c r="K1700" s="1063"/>
      <c r="L1700" s="1063"/>
      <c r="M1700" s="1063"/>
      <c r="N1700" s="1063"/>
      <c r="O1700" s="1063"/>
      <c r="P1700" s="1063"/>
      <c r="Q1700" s="1063"/>
      <c r="R1700" s="1063"/>
      <c r="S1700" s="1063"/>
      <c r="T1700" s="1063"/>
      <c r="U1700" s="1063"/>
      <c r="V1700" s="1063"/>
      <c r="W1700" s="1063"/>
      <c r="X1700" s="1063"/>
      <c r="Y1700" s="1063"/>
      <c r="Z1700" s="1063"/>
      <c r="AA1700" s="1063"/>
      <c r="AB1700" s="1063"/>
      <c r="AC1700" s="1063"/>
      <c r="AD1700" s="1063"/>
      <c r="AE1700" s="1063"/>
      <c r="AF1700" s="1063"/>
      <c r="AG1700" s="1063"/>
      <c r="AH1700" s="1063"/>
      <c r="AI1700" s="1063"/>
      <c r="AJ1700" s="1063"/>
      <c r="AK1700" s="1063"/>
      <c r="AL1700" s="1063"/>
      <c r="AM1700" s="1063"/>
      <c r="AN1700" s="1063"/>
      <c r="AO1700" s="1063"/>
      <c r="AP1700" s="1063"/>
      <c r="AQ1700" s="1063"/>
      <c r="AR1700" s="1063"/>
      <c r="AS1700" s="1063"/>
      <c r="AT1700" s="1063"/>
      <c r="AU1700" s="1063"/>
      <c r="AV1700" s="1063"/>
    </row>
    <row r="1701" spans="1:48" s="1108" customFormat="1" ht="27.75" customHeight="1">
      <c r="A1701" s="1076"/>
      <c r="B1701" s="1074">
        <f>+'[18]Bldg+Dev'!S2513</f>
        <v>0</v>
      </c>
      <c r="D1701" s="1063"/>
      <c r="F1701" s="1076"/>
      <c r="G1701" s="1063"/>
      <c r="H1701" s="1063"/>
      <c r="I1701" s="1063"/>
      <c r="J1701" s="1063"/>
      <c r="K1701" s="1063"/>
      <c r="L1701" s="1063"/>
      <c r="M1701" s="1063"/>
      <c r="N1701" s="1063"/>
      <c r="O1701" s="1063"/>
      <c r="P1701" s="1063"/>
      <c r="Q1701" s="1063"/>
      <c r="R1701" s="1063"/>
      <c r="S1701" s="1063"/>
      <c r="T1701" s="1063"/>
      <c r="U1701" s="1063"/>
      <c r="V1701" s="1063"/>
      <c r="W1701" s="1063"/>
      <c r="X1701" s="1063"/>
      <c r="Y1701" s="1063"/>
      <c r="Z1701" s="1063"/>
      <c r="AA1701" s="1063"/>
      <c r="AB1701" s="1063"/>
      <c r="AC1701" s="1063"/>
      <c r="AD1701" s="1063"/>
      <c r="AE1701" s="1063"/>
      <c r="AF1701" s="1063"/>
      <c r="AG1701" s="1063"/>
      <c r="AH1701" s="1063"/>
      <c r="AI1701" s="1063"/>
      <c r="AJ1701" s="1063"/>
      <c r="AK1701" s="1063"/>
      <c r="AL1701" s="1063"/>
      <c r="AM1701" s="1063"/>
      <c r="AN1701" s="1063"/>
      <c r="AO1701" s="1063"/>
      <c r="AP1701" s="1063"/>
      <c r="AQ1701" s="1063"/>
      <c r="AR1701" s="1063"/>
      <c r="AS1701" s="1063"/>
      <c r="AT1701" s="1063"/>
      <c r="AU1701" s="1063"/>
      <c r="AV1701" s="1063"/>
    </row>
    <row r="1702" spans="1:48" s="1108" customFormat="1" ht="27.75" customHeight="1">
      <c r="A1702" s="1076"/>
      <c r="B1702" s="1074">
        <f>+'[18]Bldg+Dev'!S2514</f>
        <v>0</v>
      </c>
      <c r="D1702" s="1063"/>
      <c r="F1702" s="1076"/>
      <c r="G1702" s="1063"/>
      <c r="H1702" s="1063"/>
      <c r="I1702" s="1063"/>
      <c r="J1702" s="1063"/>
      <c r="K1702" s="1063"/>
      <c r="L1702" s="1063"/>
      <c r="M1702" s="1063"/>
      <c r="N1702" s="1063"/>
      <c r="O1702" s="1063"/>
      <c r="P1702" s="1063"/>
      <c r="Q1702" s="1063"/>
      <c r="R1702" s="1063"/>
      <c r="S1702" s="1063"/>
      <c r="T1702" s="1063"/>
      <c r="U1702" s="1063"/>
      <c r="V1702" s="1063"/>
      <c r="W1702" s="1063"/>
      <c r="X1702" s="1063"/>
      <c r="Y1702" s="1063"/>
      <c r="Z1702" s="1063"/>
      <c r="AA1702" s="1063"/>
      <c r="AB1702" s="1063"/>
      <c r="AC1702" s="1063"/>
      <c r="AD1702" s="1063"/>
      <c r="AE1702" s="1063"/>
      <c r="AF1702" s="1063"/>
      <c r="AG1702" s="1063"/>
      <c r="AH1702" s="1063"/>
      <c r="AI1702" s="1063"/>
      <c r="AJ1702" s="1063"/>
      <c r="AK1702" s="1063"/>
      <c r="AL1702" s="1063"/>
      <c r="AM1702" s="1063"/>
      <c r="AN1702" s="1063"/>
      <c r="AO1702" s="1063"/>
      <c r="AP1702" s="1063"/>
      <c r="AQ1702" s="1063"/>
      <c r="AR1702" s="1063"/>
      <c r="AS1702" s="1063"/>
      <c r="AT1702" s="1063"/>
      <c r="AU1702" s="1063"/>
      <c r="AV1702" s="1063"/>
    </row>
    <row r="1703" spans="1:48" s="1108" customFormat="1" ht="27.75" customHeight="1">
      <c r="A1703" s="1076"/>
      <c r="B1703" s="1074">
        <f>+'[18]Bldg+Dev'!S2515</f>
        <v>0</v>
      </c>
      <c r="D1703" s="1063"/>
      <c r="F1703" s="1076"/>
      <c r="G1703" s="1063"/>
      <c r="H1703" s="1063"/>
      <c r="I1703" s="1063"/>
      <c r="J1703" s="1063"/>
      <c r="K1703" s="1063"/>
      <c r="L1703" s="1063"/>
      <c r="M1703" s="1063"/>
      <c r="N1703" s="1063"/>
      <c r="O1703" s="1063"/>
      <c r="P1703" s="1063"/>
      <c r="Q1703" s="1063"/>
      <c r="R1703" s="1063"/>
      <c r="S1703" s="1063"/>
      <c r="T1703" s="1063"/>
      <c r="U1703" s="1063"/>
      <c r="V1703" s="1063"/>
      <c r="W1703" s="1063"/>
      <c r="X1703" s="1063"/>
      <c r="Y1703" s="1063"/>
      <c r="Z1703" s="1063"/>
      <c r="AA1703" s="1063"/>
      <c r="AB1703" s="1063"/>
      <c r="AC1703" s="1063"/>
      <c r="AD1703" s="1063"/>
      <c r="AE1703" s="1063"/>
      <c r="AF1703" s="1063"/>
      <c r="AG1703" s="1063"/>
      <c r="AH1703" s="1063"/>
      <c r="AI1703" s="1063"/>
      <c r="AJ1703" s="1063"/>
      <c r="AK1703" s="1063"/>
      <c r="AL1703" s="1063"/>
      <c r="AM1703" s="1063"/>
      <c r="AN1703" s="1063"/>
      <c r="AO1703" s="1063"/>
      <c r="AP1703" s="1063"/>
      <c r="AQ1703" s="1063"/>
      <c r="AR1703" s="1063"/>
      <c r="AS1703" s="1063"/>
      <c r="AT1703" s="1063"/>
      <c r="AU1703" s="1063"/>
      <c r="AV1703" s="1063"/>
    </row>
    <row r="1704" spans="1:48" s="1108" customFormat="1" ht="27.75" customHeight="1">
      <c r="A1704" s="1076"/>
      <c r="B1704" s="1074">
        <f>+'[18]Bldg+Dev'!S2516</f>
        <v>0</v>
      </c>
      <c r="D1704" s="1063"/>
      <c r="F1704" s="1076"/>
      <c r="G1704" s="1063"/>
      <c r="H1704" s="1063"/>
      <c r="I1704" s="1063"/>
      <c r="J1704" s="1063"/>
      <c r="K1704" s="1063"/>
      <c r="L1704" s="1063"/>
      <c r="M1704" s="1063"/>
      <c r="N1704" s="1063"/>
      <c r="O1704" s="1063"/>
      <c r="P1704" s="1063"/>
      <c r="Q1704" s="1063"/>
      <c r="R1704" s="1063"/>
      <c r="S1704" s="1063"/>
      <c r="T1704" s="1063"/>
      <c r="U1704" s="1063"/>
      <c r="V1704" s="1063"/>
      <c r="W1704" s="1063"/>
      <c r="X1704" s="1063"/>
      <c r="Y1704" s="1063"/>
      <c r="Z1704" s="1063"/>
      <c r="AA1704" s="1063"/>
      <c r="AB1704" s="1063"/>
      <c r="AC1704" s="1063"/>
      <c r="AD1704" s="1063"/>
      <c r="AE1704" s="1063"/>
      <c r="AF1704" s="1063"/>
      <c r="AG1704" s="1063"/>
      <c r="AH1704" s="1063"/>
      <c r="AI1704" s="1063"/>
      <c r="AJ1704" s="1063"/>
      <c r="AK1704" s="1063"/>
      <c r="AL1704" s="1063"/>
      <c r="AM1704" s="1063"/>
      <c r="AN1704" s="1063"/>
      <c r="AO1704" s="1063"/>
      <c r="AP1704" s="1063"/>
      <c r="AQ1704" s="1063"/>
      <c r="AR1704" s="1063"/>
      <c r="AS1704" s="1063"/>
      <c r="AT1704" s="1063"/>
      <c r="AU1704" s="1063"/>
      <c r="AV1704" s="1063"/>
    </row>
    <row r="1705" spans="1:48" s="1108" customFormat="1" ht="27.75" customHeight="1">
      <c r="A1705" s="1076"/>
      <c r="B1705" s="1074">
        <f>+'[18]Bldg+Dev'!S2517</f>
        <v>0</v>
      </c>
      <c r="D1705" s="1063"/>
      <c r="F1705" s="1076"/>
      <c r="G1705" s="1063"/>
      <c r="H1705" s="1063"/>
      <c r="I1705" s="1063"/>
      <c r="J1705" s="1063"/>
      <c r="K1705" s="1063"/>
      <c r="L1705" s="1063"/>
      <c r="M1705" s="1063"/>
      <c r="N1705" s="1063"/>
      <c r="O1705" s="1063"/>
      <c r="P1705" s="1063"/>
      <c r="Q1705" s="1063"/>
      <c r="R1705" s="1063"/>
      <c r="S1705" s="1063"/>
      <c r="T1705" s="1063"/>
      <c r="U1705" s="1063"/>
      <c r="V1705" s="1063"/>
      <c r="W1705" s="1063"/>
      <c r="X1705" s="1063"/>
      <c r="Y1705" s="1063"/>
      <c r="Z1705" s="1063"/>
      <c r="AA1705" s="1063"/>
      <c r="AB1705" s="1063"/>
      <c r="AC1705" s="1063"/>
      <c r="AD1705" s="1063"/>
      <c r="AE1705" s="1063"/>
      <c r="AF1705" s="1063"/>
      <c r="AG1705" s="1063"/>
      <c r="AH1705" s="1063"/>
      <c r="AI1705" s="1063"/>
      <c r="AJ1705" s="1063"/>
      <c r="AK1705" s="1063"/>
      <c r="AL1705" s="1063"/>
      <c r="AM1705" s="1063"/>
      <c r="AN1705" s="1063"/>
      <c r="AO1705" s="1063"/>
      <c r="AP1705" s="1063"/>
      <c r="AQ1705" s="1063"/>
      <c r="AR1705" s="1063"/>
      <c r="AS1705" s="1063"/>
      <c r="AT1705" s="1063"/>
      <c r="AU1705" s="1063"/>
      <c r="AV1705" s="1063"/>
    </row>
    <row r="1706" spans="1:48" s="1108" customFormat="1" ht="27.75" customHeight="1">
      <c r="A1706" s="1076"/>
      <c r="B1706" s="1074">
        <f>+'[18]Bldg+Dev'!S2518</f>
        <v>0</v>
      </c>
      <c r="D1706" s="1063"/>
      <c r="F1706" s="1076"/>
      <c r="G1706" s="1063"/>
      <c r="H1706" s="1063"/>
      <c r="I1706" s="1063"/>
      <c r="J1706" s="1063"/>
      <c r="K1706" s="1063"/>
      <c r="L1706" s="1063"/>
      <c r="M1706" s="1063"/>
      <c r="N1706" s="1063"/>
      <c r="O1706" s="1063"/>
      <c r="P1706" s="1063"/>
      <c r="Q1706" s="1063"/>
      <c r="R1706" s="1063"/>
      <c r="S1706" s="1063"/>
      <c r="T1706" s="1063"/>
      <c r="U1706" s="1063"/>
      <c r="V1706" s="1063"/>
      <c r="W1706" s="1063"/>
      <c r="X1706" s="1063"/>
      <c r="Y1706" s="1063"/>
      <c r="Z1706" s="1063"/>
      <c r="AA1706" s="1063"/>
      <c r="AB1706" s="1063"/>
      <c r="AC1706" s="1063"/>
      <c r="AD1706" s="1063"/>
      <c r="AE1706" s="1063"/>
      <c r="AF1706" s="1063"/>
      <c r="AG1706" s="1063"/>
      <c r="AH1706" s="1063"/>
      <c r="AI1706" s="1063"/>
      <c r="AJ1706" s="1063"/>
      <c r="AK1706" s="1063"/>
      <c r="AL1706" s="1063"/>
      <c r="AM1706" s="1063"/>
      <c r="AN1706" s="1063"/>
      <c r="AO1706" s="1063"/>
      <c r="AP1706" s="1063"/>
      <c r="AQ1706" s="1063"/>
      <c r="AR1706" s="1063"/>
      <c r="AS1706" s="1063"/>
      <c r="AT1706" s="1063"/>
      <c r="AU1706" s="1063"/>
      <c r="AV1706" s="1063"/>
    </row>
    <row r="1707" spans="1:48" s="1108" customFormat="1" ht="27.75" customHeight="1">
      <c r="A1707" s="1076"/>
      <c r="B1707" s="1074">
        <f>+'[18]Bldg+Dev'!S2519</f>
        <v>0</v>
      </c>
      <c r="D1707" s="1063"/>
      <c r="F1707" s="1076"/>
      <c r="G1707" s="1063"/>
      <c r="H1707" s="1063"/>
      <c r="I1707" s="1063"/>
      <c r="J1707" s="1063"/>
      <c r="K1707" s="1063"/>
      <c r="L1707" s="1063"/>
      <c r="M1707" s="1063"/>
      <c r="N1707" s="1063"/>
      <c r="O1707" s="1063"/>
      <c r="P1707" s="1063"/>
      <c r="Q1707" s="1063"/>
      <c r="R1707" s="1063"/>
      <c r="S1707" s="1063"/>
      <c r="T1707" s="1063"/>
      <c r="U1707" s="1063"/>
      <c r="V1707" s="1063"/>
      <c r="W1707" s="1063"/>
      <c r="X1707" s="1063"/>
      <c r="Y1707" s="1063"/>
      <c r="Z1707" s="1063"/>
      <c r="AA1707" s="1063"/>
      <c r="AB1707" s="1063"/>
      <c r="AC1707" s="1063"/>
      <c r="AD1707" s="1063"/>
      <c r="AE1707" s="1063"/>
      <c r="AF1707" s="1063"/>
      <c r="AG1707" s="1063"/>
      <c r="AH1707" s="1063"/>
      <c r="AI1707" s="1063"/>
      <c r="AJ1707" s="1063"/>
      <c r="AK1707" s="1063"/>
      <c r="AL1707" s="1063"/>
      <c r="AM1707" s="1063"/>
      <c r="AN1707" s="1063"/>
      <c r="AO1707" s="1063"/>
      <c r="AP1707" s="1063"/>
      <c r="AQ1707" s="1063"/>
      <c r="AR1707" s="1063"/>
      <c r="AS1707" s="1063"/>
      <c r="AT1707" s="1063"/>
      <c r="AU1707" s="1063"/>
      <c r="AV1707" s="1063"/>
    </row>
    <row r="1708" spans="1:48" s="1108" customFormat="1" ht="27.75" customHeight="1">
      <c r="A1708" s="1076"/>
      <c r="B1708" s="1074">
        <f>+'[18]Bldg+Dev'!S2520</f>
        <v>0</v>
      </c>
      <c r="D1708" s="1063"/>
      <c r="F1708" s="1076"/>
      <c r="G1708" s="1063"/>
      <c r="H1708" s="1063"/>
      <c r="I1708" s="1063"/>
      <c r="J1708" s="1063"/>
      <c r="K1708" s="1063"/>
      <c r="L1708" s="1063"/>
      <c r="M1708" s="1063"/>
      <c r="N1708" s="1063"/>
      <c r="O1708" s="1063"/>
      <c r="P1708" s="1063"/>
      <c r="Q1708" s="1063"/>
      <c r="R1708" s="1063"/>
      <c r="S1708" s="1063"/>
      <c r="T1708" s="1063"/>
      <c r="U1708" s="1063"/>
      <c r="V1708" s="1063"/>
      <c r="W1708" s="1063"/>
      <c r="X1708" s="1063"/>
      <c r="Y1708" s="1063"/>
      <c r="Z1708" s="1063"/>
      <c r="AA1708" s="1063"/>
      <c r="AB1708" s="1063"/>
      <c r="AC1708" s="1063"/>
      <c r="AD1708" s="1063"/>
      <c r="AE1708" s="1063"/>
      <c r="AF1708" s="1063"/>
      <c r="AG1708" s="1063"/>
      <c r="AH1708" s="1063"/>
      <c r="AI1708" s="1063"/>
      <c r="AJ1708" s="1063"/>
      <c r="AK1708" s="1063"/>
      <c r="AL1708" s="1063"/>
      <c r="AM1708" s="1063"/>
      <c r="AN1708" s="1063"/>
      <c r="AO1708" s="1063"/>
      <c r="AP1708" s="1063"/>
      <c r="AQ1708" s="1063"/>
      <c r="AR1708" s="1063"/>
      <c r="AS1708" s="1063"/>
      <c r="AT1708" s="1063"/>
      <c r="AU1708" s="1063"/>
      <c r="AV1708" s="1063"/>
    </row>
    <row r="1709" spans="1:48" s="1108" customFormat="1" ht="27.75" customHeight="1">
      <c r="A1709" s="1076"/>
      <c r="B1709" s="1074">
        <f>+'[18]Bldg+Dev'!S2521</f>
        <v>0</v>
      </c>
      <c r="D1709" s="1063"/>
      <c r="F1709" s="1076"/>
      <c r="G1709" s="1063"/>
      <c r="H1709" s="1063"/>
      <c r="I1709" s="1063"/>
      <c r="J1709" s="1063"/>
      <c r="K1709" s="1063"/>
      <c r="L1709" s="1063"/>
      <c r="M1709" s="1063"/>
      <c r="N1709" s="1063"/>
      <c r="O1709" s="1063"/>
      <c r="P1709" s="1063"/>
      <c r="Q1709" s="1063"/>
      <c r="R1709" s="1063"/>
      <c r="S1709" s="1063"/>
      <c r="T1709" s="1063"/>
      <c r="U1709" s="1063"/>
      <c r="V1709" s="1063"/>
      <c r="W1709" s="1063"/>
      <c r="X1709" s="1063"/>
      <c r="Y1709" s="1063"/>
      <c r="Z1709" s="1063"/>
      <c r="AA1709" s="1063"/>
      <c r="AB1709" s="1063"/>
      <c r="AC1709" s="1063"/>
      <c r="AD1709" s="1063"/>
      <c r="AE1709" s="1063"/>
      <c r="AF1709" s="1063"/>
      <c r="AG1709" s="1063"/>
      <c r="AH1709" s="1063"/>
      <c r="AI1709" s="1063"/>
      <c r="AJ1709" s="1063"/>
      <c r="AK1709" s="1063"/>
      <c r="AL1709" s="1063"/>
      <c r="AM1709" s="1063"/>
      <c r="AN1709" s="1063"/>
      <c r="AO1709" s="1063"/>
      <c r="AP1709" s="1063"/>
      <c r="AQ1709" s="1063"/>
      <c r="AR1709" s="1063"/>
      <c r="AS1709" s="1063"/>
      <c r="AT1709" s="1063"/>
      <c r="AU1709" s="1063"/>
      <c r="AV1709" s="1063"/>
    </row>
    <row r="1710" spans="1:48" s="1108" customFormat="1" ht="27.75" customHeight="1">
      <c r="A1710" s="1076"/>
      <c r="B1710" s="1074">
        <f>+'[18]Bldg+Dev'!S2522</f>
        <v>0</v>
      </c>
      <c r="D1710" s="1063"/>
      <c r="F1710" s="1076"/>
      <c r="G1710" s="1063"/>
      <c r="H1710" s="1063"/>
      <c r="I1710" s="1063"/>
      <c r="J1710" s="1063"/>
      <c r="K1710" s="1063"/>
      <c r="L1710" s="1063"/>
      <c r="M1710" s="1063"/>
      <c r="N1710" s="1063"/>
      <c r="O1710" s="1063"/>
      <c r="P1710" s="1063"/>
      <c r="Q1710" s="1063"/>
      <c r="R1710" s="1063"/>
      <c r="S1710" s="1063"/>
      <c r="T1710" s="1063"/>
      <c r="U1710" s="1063"/>
      <c r="V1710" s="1063"/>
      <c r="W1710" s="1063"/>
      <c r="X1710" s="1063"/>
      <c r="Y1710" s="1063"/>
      <c r="Z1710" s="1063"/>
      <c r="AA1710" s="1063"/>
      <c r="AB1710" s="1063"/>
      <c r="AC1710" s="1063"/>
      <c r="AD1710" s="1063"/>
      <c r="AE1710" s="1063"/>
      <c r="AF1710" s="1063"/>
      <c r="AG1710" s="1063"/>
      <c r="AH1710" s="1063"/>
      <c r="AI1710" s="1063"/>
      <c r="AJ1710" s="1063"/>
      <c r="AK1710" s="1063"/>
      <c r="AL1710" s="1063"/>
      <c r="AM1710" s="1063"/>
      <c r="AN1710" s="1063"/>
      <c r="AO1710" s="1063"/>
      <c r="AP1710" s="1063"/>
      <c r="AQ1710" s="1063"/>
      <c r="AR1710" s="1063"/>
      <c r="AS1710" s="1063"/>
      <c r="AT1710" s="1063"/>
      <c r="AU1710" s="1063"/>
      <c r="AV1710" s="1063"/>
    </row>
    <row r="1711" spans="1:48" s="1108" customFormat="1" ht="27.75" customHeight="1">
      <c r="A1711" s="1076"/>
      <c r="B1711" s="1074">
        <f>+'[18]Bldg+Dev'!S2523</f>
        <v>0</v>
      </c>
      <c r="D1711" s="1063"/>
      <c r="F1711" s="1076"/>
      <c r="G1711" s="1063"/>
      <c r="H1711" s="1063"/>
      <c r="I1711" s="1063"/>
      <c r="J1711" s="1063"/>
      <c r="K1711" s="1063"/>
      <c r="L1711" s="1063"/>
      <c r="M1711" s="1063"/>
      <c r="N1711" s="1063"/>
      <c r="O1711" s="1063"/>
      <c r="P1711" s="1063"/>
      <c r="Q1711" s="1063"/>
      <c r="R1711" s="1063"/>
      <c r="S1711" s="1063"/>
      <c r="T1711" s="1063"/>
      <c r="U1711" s="1063"/>
      <c r="V1711" s="1063"/>
      <c r="W1711" s="1063"/>
      <c r="X1711" s="1063"/>
      <c r="Y1711" s="1063"/>
      <c r="Z1711" s="1063"/>
      <c r="AA1711" s="1063"/>
      <c r="AB1711" s="1063"/>
      <c r="AC1711" s="1063"/>
      <c r="AD1711" s="1063"/>
      <c r="AE1711" s="1063"/>
      <c r="AF1711" s="1063"/>
      <c r="AG1711" s="1063"/>
      <c r="AH1711" s="1063"/>
      <c r="AI1711" s="1063"/>
      <c r="AJ1711" s="1063"/>
      <c r="AK1711" s="1063"/>
      <c r="AL1711" s="1063"/>
      <c r="AM1711" s="1063"/>
      <c r="AN1711" s="1063"/>
      <c r="AO1711" s="1063"/>
      <c r="AP1711" s="1063"/>
      <c r="AQ1711" s="1063"/>
      <c r="AR1711" s="1063"/>
      <c r="AS1711" s="1063"/>
      <c r="AT1711" s="1063"/>
      <c r="AU1711" s="1063"/>
      <c r="AV1711" s="1063"/>
    </row>
    <row r="1712" spans="1:48" s="1108" customFormat="1" ht="27.75" customHeight="1">
      <c r="A1712" s="1076"/>
      <c r="B1712" s="1074">
        <f>+'[18]Bldg+Dev'!S2524</f>
        <v>0</v>
      </c>
      <c r="D1712" s="1063"/>
      <c r="F1712" s="1076"/>
      <c r="G1712" s="1063"/>
      <c r="H1712" s="1063"/>
      <c r="I1712" s="1063"/>
      <c r="J1712" s="1063"/>
      <c r="K1712" s="1063"/>
      <c r="L1712" s="1063"/>
      <c r="M1712" s="1063"/>
      <c r="N1712" s="1063"/>
      <c r="O1712" s="1063"/>
      <c r="P1712" s="1063"/>
      <c r="Q1712" s="1063"/>
      <c r="R1712" s="1063"/>
      <c r="S1712" s="1063"/>
      <c r="T1712" s="1063"/>
      <c r="U1712" s="1063"/>
      <c r="V1712" s="1063"/>
      <c r="W1712" s="1063"/>
      <c r="X1712" s="1063"/>
      <c r="Y1712" s="1063"/>
      <c r="Z1712" s="1063"/>
      <c r="AA1712" s="1063"/>
      <c r="AB1712" s="1063"/>
      <c r="AC1712" s="1063"/>
      <c r="AD1712" s="1063"/>
      <c r="AE1712" s="1063"/>
      <c r="AF1712" s="1063"/>
      <c r="AG1712" s="1063"/>
      <c r="AH1712" s="1063"/>
      <c r="AI1712" s="1063"/>
      <c r="AJ1712" s="1063"/>
      <c r="AK1712" s="1063"/>
      <c r="AL1712" s="1063"/>
      <c r="AM1712" s="1063"/>
      <c r="AN1712" s="1063"/>
      <c r="AO1712" s="1063"/>
      <c r="AP1712" s="1063"/>
      <c r="AQ1712" s="1063"/>
      <c r="AR1712" s="1063"/>
      <c r="AS1712" s="1063"/>
      <c r="AT1712" s="1063"/>
      <c r="AU1712" s="1063"/>
      <c r="AV1712" s="1063"/>
    </row>
    <row r="1713" spans="1:48" s="1108" customFormat="1" ht="27.75" customHeight="1">
      <c r="A1713" s="1076"/>
      <c r="B1713" s="1074">
        <f>+'[18]Bldg+Dev'!S2525</f>
        <v>0</v>
      </c>
      <c r="D1713" s="1063"/>
      <c r="F1713" s="1076"/>
      <c r="G1713" s="1063"/>
      <c r="H1713" s="1063"/>
      <c r="I1713" s="1063"/>
      <c r="J1713" s="1063"/>
      <c r="K1713" s="1063"/>
      <c r="L1713" s="1063"/>
      <c r="M1713" s="1063"/>
      <c r="N1713" s="1063"/>
      <c r="O1713" s="1063"/>
      <c r="P1713" s="1063"/>
      <c r="Q1713" s="1063"/>
      <c r="R1713" s="1063"/>
      <c r="S1713" s="1063"/>
      <c r="T1713" s="1063"/>
      <c r="U1713" s="1063"/>
      <c r="V1713" s="1063"/>
      <c r="W1713" s="1063"/>
      <c r="X1713" s="1063"/>
      <c r="Y1713" s="1063"/>
      <c r="Z1713" s="1063"/>
      <c r="AA1713" s="1063"/>
      <c r="AB1713" s="1063"/>
      <c r="AC1713" s="1063"/>
      <c r="AD1713" s="1063"/>
      <c r="AE1713" s="1063"/>
      <c r="AF1713" s="1063"/>
      <c r="AG1713" s="1063"/>
      <c r="AH1713" s="1063"/>
      <c r="AI1713" s="1063"/>
      <c r="AJ1713" s="1063"/>
      <c r="AK1713" s="1063"/>
      <c r="AL1713" s="1063"/>
      <c r="AM1713" s="1063"/>
      <c r="AN1713" s="1063"/>
      <c r="AO1713" s="1063"/>
      <c r="AP1713" s="1063"/>
      <c r="AQ1713" s="1063"/>
      <c r="AR1713" s="1063"/>
      <c r="AS1713" s="1063"/>
      <c r="AT1713" s="1063"/>
      <c r="AU1713" s="1063"/>
      <c r="AV1713" s="1063"/>
    </row>
    <row r="1714" spans="1:48" s="1108" customFormat="1" ht="27.75" customHeight="1">
      <c r="A1714" s="1076"/>
      <c r="B1714" s="1074">
        <f>+'[18]Bldg+Dev'!S2526</f>
        <v>0</v>
      </c>
      <c r="D1714" s="1063"/>
      <c r="F1714" s="1076"/>
      <c r="G1714" s="1063"/>
      <c r="H1714" s="1063"/>
      <c r="I1714" s="1063"/>
      <c r="J1714" s="1063"/>
      <c r="K1714" s="1063"/>
      <c r="L1714" s="1063"/>
      <c r="M1714" s="1063"/>
      <c r="N1714" s="1063"/>
      <c r="O1714" s="1063"/>
      <c r="P1714" s="1063"/>
      <c r="Q1714" s="1063"/>
      <c r="R1714" s="1063"/>
      <c r="S1714" s="1063"/>
      <c r="T1714" s="1063"/>
      <c r="U1714" s="1063"/>
      <c r="V1714" s="1063"/>
      <c r="W1714" s="1063"/>
      <c r="X1714" s="1063"/>
      <c r="Y1714" s="1063"/>
      <c r="Z1714" s="1063"/>
      <c r="AA1714" s="1063"/>
      <c r="AB1714" s="1063"/>
      <c r="AC1714" s="1063"/>
      <c r="AD1714" s="1063"/>
      <c r="AE1714" s="1063"/>
      <c r="AF1714" s="1063"/>
      <c r="AG1714" s="1063"/>
      <c r="AH1714" s="1063"/>
      <c r="AI1714" s="1063"/>
      <c r="AJ1714" s="1063"/>
      <c r="AK1714" s="1063"/>
      <c r="AL1714" s="1063"/>
      <c r="AM1714" s="1063"/>
      <c r="AN1714" s="1063"/>
      <c r="AO1714" s="1063"/>
      <c r="AP1714" s="1063"/>
      <c r="AQ1714" s="1063"/>
      <c r="AR1714" s="1063"/>
      <c r="AS1714" s="1063"/>
      <c r="AT1714" s="1063"/>
      <c r="AU1714" s="1063"/>
      <c r="AV1714" s="1063"/>
    </row>
    <row r="1715" spans="1:48" s="1108" customFormat="1" ht="27.75" customHeight="1">
      <c r="A1715" s="1076"/>
      <c r="B1715" s="1074">
        <f>+'[18]Bldg+Dev'!S2527</f>
        <v>0</v>
      </c>
      <c r="D1715" s="1063"/>
      <c r="F1715" s="1076"/>
      <c r="G1715" s="1063"/>
      <c r="H1715" s="1063"/>
      <c r="I1715" s="1063"/>
      <c r="J1715" s="1063"/>
      <c r="K1715" s="1063"/>
      <c r="L1715" s="1063"/>
      <c r="M1715" s="1063"/>
      <c r="N1715" s="1063"/>
      <c r="O1715" s="1063"/>
      <c r="P1715" s="1063"/>
      <c r="Q1715" s="1063"/>
      <c r="R1715" s="1063"/>
      <c r="S1715" s="1063"/>
      <c r="T1715" s="1063"/>
      <c r="U1715" s="1063"/>
      <c r="V1715" s="1063"/>
      <c r="W1715" s="1063"/>
      <c r="X1715" s="1063"/>
      <c r="Y1715" s="1063"/>
      <c r="Z1715" s="1063"/>
      <c r="AA1715" s="1063"/>
      <c r="AB1715" s="1063"/>
      <c r="AC1715" s="1063"/>
      <c r="AD1715" s="1063"/>
      <c r="AE1715" s="1063"/>
      <c r="AF1715" s="1063"/>
      <c r="AG1715" s="1063"/>
      <c r="AH1715" s="1063"/>
      <c r="AI1715" s="1063"/>
      <c r="AJ1715" s="1063"/>
      <c r="AK1715" s="1063"/>
      <c r="AL1715" s="1063"/>
      <c r="AM1715" s="1063"/>
      <c r="AN1715" s="1063"/>
      <c r="AO1715" s="1063"/>
      <c r="AP1715" s="1063"/>
      <c r="AQ1715" s="1063"/>
      <c r="AR1715" s="1063"/>
      <c r="AS1715" s="1063"/>
      <c r="AT1715" s="1063"/>
      <c r="AU1715" s="1063"/>
      <c r="AV1715" s="1063"/>
    </row>
    <row r="1716" spans="1:48" s="1108" customFormat="1" ht="27.75" customHeight="1">
      <c r="A1716" s="1076"/>
      <c r="B1716" s="1074">
        <f>+'[18]Bldg+Dev'!S2528</f>
        <v>0</v>
      </c>
      <c r="D1716" s="1063"/>
      <c r="F1716" s="1076"/>
      <c r="G1716" s="1063"/>
      <c r="H1716" s="1063"/>
      <c r="I1716" s="1063"/>
      <c r="J1716" s="1063"/>
      <c r="K1716" s="1063"/>
      <c r="L1716" s="1063"/>
      <c r="M1716" s="1063"/>
      <c r="N1716" s="1063"/>
      <c r="O1716" s="1063"/>
      <c r="P1716" s="1063"/>
      <c r="Q1716" s="1063"/>
      <c r="R1716" s="1063"/>
      <c r="S1716" s="1063"/>
      <c r="T1716" s="1063"/>
      <c r="U1716" s="1063"/>
      <c r="V1716" s="1063"/>
      <c r="W1716" s="1063"/>
      <c r="X1716" s="1063"/>
      <c r="Y1716" s="1063"/>
      <c r="Z1716" s="1063"/>
      <c r="AA1716" s="1063"/>
      <c r="AB1716" s="1063"/>
      <c r="AC1716" s="1063"/>
      <c r="AD1716" s="1063"/>
      <c r="AE1716" s="1063"/>
      <c r="AF1716" s="1063"/>
      <c r="AG1716" s="1063"/>
      <c r="AH1716" s="1063"/>
      <c r="AI1716" s="1063"/>
      <c r="AJ1716" s="1063"/>
      <c r="AK1716" s="1063"/>
      <c r="AL1716" s="1063"/>
      <c r="AM1716" s="1063"/>
      <c r="AN1716" s="1063"/>
      <c r="AO1716" s="1063"/>
      <c r="AP1716" s="1063"/>
      <c r="AQ1716" s="1063"/>
      <c r="AR1716" s="1063"/>
      <c r="AS1716" s="1063"/>
      <c r="AT1716" s="1063"/>
      <c r="AU1716" s="1063"/>
      <c r="AV1716" s="1063"/>
    </row>
    <row r="1717" spans="1:48" s="1108" customFormat="1" ht="27.75" customHeight="1">
      <c r="A1717" s="1076"/>
      <c r="B1717" s="1074">
        <f>+'[18]Bldg+Dev'!S2529</f>
        <v>0</v>
      </c>
      <c r="D1717" s="1063"/>
      <c r="F1717" s="1076"/>
      <c r="G1717" s="1063"/>
      <c r="H1717" s="1063"/>
      <c r="I1717" s="1063"/>
      <c r="J1717" s="1063"/>
      <c r="K1717" s="1063"/>
      <c r="L1717" s="1063"/>
      <c r="M1717" s="1063"/>
      <c r="N1717" s="1063"/>
      <c r="O1717" s="1063"/>
      <c r="P1717" s="1063"/>
      <c r="Q1717" s="1063"/>
      <c r="R1717" s="1063"/>
      <c r="S1717" s="1063"/>
      <c r="T1717" s="1063"/>
      <c r="U1717" s="1063"/>
      <c r="V1717" s="1063"/>
      <c r="W1717" s="1063"/>
      <c r="X1717" s="1063"/>
      <c r="Y1717" s="1063"/>
      <c r="Z1717" s="1063"/>
      <c r="AA1717" s="1063"/>
      <c r="AB1717" s="1063"/>
      <c r="AC1717" s="1063"/>
      <c r="AD1717" s="1063"/>
      <c r="AE1717" s="1063"/>
      <c r="AF1717" s="1063"/>
      <c r="AG1717" s="1063"/>
      <c r="AH1717" s="1063"/>
      <c r="AI1717" s="1063"/>
      <c r="AJ1717" s="1063"/>
      <c r="AK1717" s="1063"/>
      <c r="AL1717" s="1063"/>
      <c r="AM1717" s="1063"/>
      <c r="AN1717" s="1063"/>
      <c r="AO1717" s="1063"/>
      <c r="AP1717" s="1063"/>
      <c r="AQ1717" s="1063"/>
      <c r="AR1717" s="1063"/>
      <c r="AS1717" s="1063"/>
      <c r="AT1717" s="1063"/>
      <c r="AU1717" s="1063"/>
      <c r="AV1717" s="1063"/>
    </row>
    <row r="1718" spans="1:48" s="1108" customFormat="1" ht="27.75" customHeight="1">
      <c r="A1718" s="1076"/>
      <c r="B1718" s="1074">
        <f>+'[18]Bldg+Dev'!S2530</f>
        <v>0</v>
      </c>
      <c r="D1718" s="1063"/>
      <c r="F1718" s="1076"/>
      <c r="G1718" s="1063"/>
      <c r="H1718" s="1063"/>
      <c r="I1718" s="1063"/>
      <c r="J1718" s="1063"/>
      <c r="K1718" s="1063"/>
      <c r="L1718" s="1063"/>
      <c r="M1718" s="1063"/>
      <c r="N1718" s="1063"/>
      <c r="O1718" s="1063"/>
      <c r="P1718" s="1063"/>
      <c r="Q1718" s="1063"/>
      <c r="R1718" s="1063"/>
      <c r="S1718" s="1063"/>
      <c r="T1718" s="1063"/>
      <c r="U1718" s="1063"/>
      <c r="V1718" s="1063"/>
      <c r="W1718" s="1063"/>
      <c r="X1718" s="1063"/>
      <c r="Y1718" s="1063"/>
      <c r="Z1718" s="1063"/>
      <c r="AA1718" s="1063"/>
      <c r="AB1718" s="1063"/>
      <c r="AC1718" s="1063"/>
      <c r="AD1718" s="1063"/>
      <c r="AE1718" s="1063"/>
      <c r="AF1718" s="1063"/>
      <c r="AG1718" s="1063"/>
      <c r="AH1718" s="1063"/>
      <c r="AI1718" s="1063"/>
      <c r="AJ1718" s="1063"/>
      <c r="AK1718" s="1063"/>
      <c r="AL1718" s="1063"/>
      <c r="AM1718" s="1063"/>
      <c r="AN1718" s="1063"/>
      <c r="AO1718" s="1063"/>
      <c r="AP1718" s="1063"/>
      <c r="AQ1718" s="1063"/>
      <c r="AR1718" s="1063"/>
      <c r="AS1718" s="1063"/>
      <c r="AT1718" s="1063"/>
      <c r="AU1718" s="1063"/>
      <c r="AV1718" s="1063"/>
    </row>
    <row r="1719" spans="1:48" s="1108" customFormat="1" ht="27.75" customHeight="1">
      <c r="A1719" s="1076"/>
      <c r="B1719" s="1074">
        <f>+'[18]Bldg+Dev'!S2531</f>
        <v>0</v>
      </c>
      <c r="D1719" s="1063"/>
      <c r="F1719" s="1076"/>
      <c r="G1719" s="1063"/>
      <c r="H1719" s="1063"/>
      <c r="I1719" s="1063"/>
      <c r="J1719" s="1063"/>
      <c r="K1719" s="1063"/>
      <c r="L1719" s="1063"/>
      <c r="M1719" s="1063"/>
      <c r="N1719" s="1063"/>
      <c r="O1719" s="1063"/>
      <c r="P1719" s="1063"/>
      <c r="Q1719" s="1063"/>
      <c r="R1719" s="1063"/>
      <c r="S1719" s="1063"/>
      <c r="T1719" s="1063"/>
      <c r="U1719" s="1063"/>
      <c r="V1719" s="1063"/>
      <c r="W1719" s="1063"/>
      <c r="X1719" s="1063"/>
      <c r="Y1719" s="1063"/>
      <c r="Z1719" s="1063"/>
      <c r="AA1719" s="1063"/>
      <c r="AB1719" s="1063"/>
      <c r="AC1719" s="1063"/>
      <c r="AD1719" s="1063"/>
      <c r="AE1719" s="1063"/>
      <c r="AF1719" s="1063"/>
      <c r="AG1719" s="1063"/>
      <c r="AH1719" s="1063"/>
      <c r="AI1719" s="1063"/>
      <c r="AJ1719" s="1063"/>
      <c r="AK1719" s="1063"/>
      <c r="AL1719" s="1063"/>
      <c r="AM1719" s="1063"/>
      <c r="AN1719" s="1063"/>
      <c r="AO1719" s="1063"/>
      <c r="AP1719" s="1063"/>
      <c r="AQ1719" s="1063"/>
      <c r="AR1719" s="1063"/>
      <c r="AS1719" s="1063"/>
      <c r="AT1719" s="1063"/>
      <c r="AU1719" s="1063"/>
      <c r="AV1719" s="1063"/>
    </row>
    <row r="1720" spans="1:48" s="1108" customFormat="1" ht="27.75" customHeight="1">
      <c r="A1720" s="1076"/>
      <c r="B1720" s="1074">
        <f>+'[18]Bldg+Dev'!S2532</f>
        <v>0</v>
      </c>
      <c r="D1720" s="1063"/>
      <c r="F1720" s="1076"/>
      <c r="G1720" s="1063"/>
      <c r="H1720" s="1063"/>
      <c r="I1720" s="1063"/>
      <c r="J1720" s="1063"/>
      <c r="K1720" s="1063"/>
      <c r="L1720" s="1063"/>
      <c r="M1720" s="1063"/>
      <c r="N1720" s="1063"/>
      <c r="O1720" s="1063"/>
      <c r="P1720" s="1063"/>
      <c r="Q1720" s="1063"/>
      <c r="R1720" s="1063"/>
      <c r="S1720" s="1063"/>
      <c r="T1720" s="1063"/>
      <c r="U1720" s="1063"/>
      <c r="V1720" s="1063"/>
      <c r="W1720" s="1063"/>
      <c r="X1720" s="1063"/>
      <c r="Y1720" s="1063"/>
      <c r="Z1720" s="1063"/>
      <c r="AA1720" s="1063"/>
      <c r="AB1720" s="1063"/>
      <c r="AC1720" s="1063"/>
      <c r="AD1720" s="1063"/>
      <c r="AE1720" s="1063"/>
      <c r="AF1720" s="1063"/>
      <c r="AG1720" s="1063"/>
      <c r="AH1720" s="1063"/>
      <c r="AI1720" s="1063"/>
      <c r="AJ1720" s="1063"/>
      <c r="AK1720" s="1063"/>
      <c r="AL1720" s="1063"/>
      <c r="AM1720" s="1063"/>
      <c r="AN1720" s="1063"/>
      <c r="AO1720" s="1063"/>
      <c r="AP1720" s="1063"/>
      <c r="AQ1720" s="1063"/>
      <c r="AR1720" s="1063"/>
      <c r="AS1720" s="1063"/>
      <c r="AT1720" s="1063"/>
      <c r="AU1720" s="1063"/>
      <c r="AV1720" s="1063"/>
    </row>
    <row r="1721" spans="1:48" s="1108" customFormat="1" ht="27.75" customHeight="1">
      <c r="A1721" s="1076"/>
      <c r="B1721" s="1074">
        <f>+'[18]Bldg+Dev'!S2533</f>
        <v>0</v>
      </c>
      <c r="D1721" s="1063"/>
      <c r="F1721" s="1076"/>
      <c r="G1721" s="1063"/>
      <c r="H1721" s="1063"/>
      <c r="I1721" s="1063"/>
      <c r="J1721" s="1063"/>
      <c r="K1721" s="1063"/>
      <c r="L1721" s="1063"/>
      <c r="M1721" s="1063"/>
      <c r="N1721" s="1063"/>
      <c r="O1721" s="1063"/>
      <c r="P1721" s="1063"/>
      <c r="Q1721" s="1063"/>
      <c r="R1721" s="1063"/>
      <c r="S1721" s="1063"/>
      <c r="T1721" s="1063"/>
      <c r="U1721" s="1063"/>
      <c r="V1721" s="1063"/>
      <c r="W1721" s="1063"/>
      <c r="X1721" s="1063"/>
      <c r="Y1721" s="1063"/>
      <c r="Z1721" s="1063"/>
      <c r="AA1721" s="1063"/>
      <c r="AB1721" s="1063"/>
      <c r="AC1721" s="1063"/>
      <c r="AD1721" s="1063"/>
      <c r="AE1721" s="1063"/>
      <c r="AF1721" s="1063"/>
      <c r="AG1721" s="1063"/>
      <c r="AH1721" s="1063"/>
      <c r="AI1721" s="1063"/>
      <c r="AJ1721" s="1063"/>
      <c r="AK1721" s="1063"/>
      <c r="AL1721" s="1063"/>
      <c r="AM1721" s="1063"/>
      <c r="AN1721" s="1063"/>
      <c r="AO1721" s="1063"/>
      <c r="AP1721" s="1063"/>
      <c r="AQ1721" s="1063"/>
      <c r="AR1721" s="1063"/>
      <c r="AS1721" s="1063"/>
      <c r="AT1721" s="1063"/>
      <c r="AU1721" s="1063"/>
      <c r="AV1721" s="1063"/>
    </row>
    <row r="1722" spans="1:48" s="1108" customFormat="1" ht="27.75" customHeight="1">
      <c r="A1722" s="1076"/>
      <c r="B1722" s="1074">
        <f>+'[18]Bldg+Dev'!S2534</f>
        <v>0</v>
      </c>
      <c r="D1722" s="1063"/>
      <c r="F1722" s="1076"/>
      <c r="G1722" s="1063"/>
      <c r="H1722" s="1063"/>
      <c r="I1722" s="1063"/>
      <c r="J1722" s="1063"/>
      <c r="K1722" s="1063"/>
      <c r="L1722" s="1063"/>
      <c r="M1722" s="1063"/>
      <c r="N1722" s="1063"/>
      <c r="O1722" s="1063"/>
      <c r="P1722" s="1063"/>
      <c r="Q1722" s="1063"/>
      <c r="R1722" s="1063"/>
      <c r="S1722" s="1063"/>
      <c r="T1722" s="1063"/>
      <c r="U1722" s="1063"/>
      <c r="V1722" s="1063"/>
      <c r="W1722" s="1063"/>
      <c r="X1722" s="1063"/>
      <c r="Y1722" s="1063"/>
      <c r="Z1722" s="1063"/>
      <c r="AA1722" s="1063"/>
      <c r="AB1722" s="1063"/>
      <c r="AC1722" s="1063"/>
      <c r="AD1722" s="1063"/>
      <c r="AE1722" s="1063"/>
      <c r="AF1722" s="1063"/>
      <c r="AG1722" s="1063"/>
      <c r="AH1722" s="1063"/>
      <c r="AI1722" s="1063"/>
      <c r="AJ1722" s="1063"/>
      <c r="AK1722" s="1063"/>
      <c r="AL1722" s="1063"/>
      <c r="AM1722" s="1063"/>
      <c r="AN1722" s="1063"/>
      <c r="AO1722" s="1063"/>
      <c r="AP1722" s="1063"/>
      <c r="AQ1722" s="1063"/>
      <c r="AR1722" s="1063"/>
      <c r="AS1722" s="1063"/>
      <c r="AT1722" s="1063"/>
      <c r="AU1722" s="1063"/>
      <c r="AV1722" s="1063"/>
    </row>
    <row r="1723" spans="1:48" s="1108" customFormat="1" ht="27.75" customHeight="1">
      <c r="A1723" s="1076"/>
      <c r="B1723" s="1074">
        <f>+'[18]Bldg+Dev'!S2535</f>
        <v>0</v>
      </c>
      <c r="D1723" s="1063"/>
      <c r="F1723" s="1076"/>
      <c r="G1723" s="1063"/>
      <c r="H1723" s="1063"/>
      <c r="I1723" s="1063"/>
      <c r="J1723" s="1063"/>
      <c r="K1723" s="1063"/>
      <c r="L1723" s="1063"/>
      <c r="M1723" s="1063"/>
      <c r="N1723" s="1063"/>
      <c r="O1723" s="1063"/>
      <c r="P1723" s="1063"/>
      <c r="Q1723" s="1063"/>
      <c r="R1723" s="1063"/>
      <c r="S1723" s="1063"/>
      <c r="T1723" s="1063"/>
      <c r="U1723" s="1063"/>
      <c r="V1723" s="1063"/>
      <c r="W1723" s="1063"/>
      <c r="X1723" s="1063"/>
      <c r="Y1723" s="1063"/>
      <c r="Z1723" s="1063"/>
      <c r="AA1723" s="1063"/>
      <c r="AB1723" s="1063"/>
      <c r="AC1723" s="1063"/>
      <c r="AD1723" s="1063"/>
      <c r="AE1723" s="1063"/>
      <c r="AF1723" s="1063"/>
      <c r="AG1723" s="1063"/>
      <c r="AH1723" s="1063"/>
      <c r="AI1723" s="1063"/>
      <c r="AJ1723" s="1063"/>
      <c r="AK1723" s="1063"/>
      <c r="AL1723" s="1063"/>
      <c r="AM1723" s="1063"/>
      <c r="AN1723" s="1063"/>
      <c r="AO1723" s="1063"/>
      <c r="AP1723" s="1063"/>
      <c r="AQ1723" s="1063"/>
      <c r="AR1723" s="1063"/>
      <c r="AS1723" s="1063"/>
      <c r="AT1723" s="1063"/>
      <c r="AU1723" s="1063"/>
      <c r="AV1723" s="1063"/>
    </row>
    <row r="1724" spans="1:48" s="1108" customFormat="1" ht="27.75" customHeight="1">
      <c r="A1724" s="1076"/>
      <c r="B1724" s="1074">
        <f>+'[18]Bldg+Dev'!S2536</f>
        <v>0</v>
      </c>
      <c r="D1724" s="1063"/>
      <c r="F1724" s="1076"/>
      <c r="G1724" s="1063"/>
      <c r="H1724" s="1063"/>
      <c r="I1724" s="1063"/>
      <c r="J1724" s="1063"/>
      <c r="K1724" s="1063"/>
      <c r="L1724" s="1063"/>
      <c r="M1724" s="1063"/>
      <c r="N1724" s="1063"/>
      <c r="O1724" s="1063"/>
      <c r="P1724" s="1063"/>
      <c r="Q1724" s="1063"/>
      <c r="R1724" s="1063"/>
      <c r="S1724" s="1063"/>
      <c r="T1724" s="1063"/>
      <c r="U1724" s="1063"/>
      <c r="V1724" s="1063"/>
      <c r="W1724" s="1063"/>
      <c r="X1724" s="1063"/>
      <c r="Y1724" s="1063"/>
      <c r="Z1724" s="1063"/>
      <c r="AA1724" s="1063"/>
      <c r="AB1724" s="1063"/>
      <c r="AC1724" s="1063"/>
      <c r="AD1724" s="1063"/>
      <c r="AE1724" s="1063"/>
      <c r="AF1724" s="1063"/>
      <c r="AG1724" s="1063"/>
      <c r="AH1724" s="1063"/>
      <c r="AI1724" s="1063"/>
      <c r="AJ1724" s="1063"/>
      <c r="AK1724" s="1063"/>
      <c r="AL1724" s="1063"/>
      <c r="AM1724" s="1063"/>
      <c r="AN1724" s="1063"/>
      <c r="AO1724" s="1063"/>
      <c r="AP1724" s="1063"/>
      <c r="AQ1724" s="1063"/>
      <c r="AR1724" s="1063"/>
      <c r="AS1724" s="1063"/>
      <c r="AT1724" s="1063"/>
      <c r="AU1724" s="1063"/>
      <c r="AV1724" s="1063"/>
    </row>
    <row r="1725" spans="1:48" s="1108" customFormat="1" ht="27.75" customHeight="1">
      <c r="A1725" s="1076"/>
      <c r="B1725" s="1074">
        <f>+'[18]Bldg+Dev'!S2537</f>
        <v>0</v>
      </c>
      <c r="D1725" s="1063"/>
      <c r="F1725" s="1076"/>
      <c r="G1725" s="1063"/>
      <c r="H1725" s="1063"/>
      <c r="I1725" s="1063"/>
      <c r="J1725" s="1063"/>
      <c r="K1725" s="1063"/>
      <c r="L1725" s="1063"/>
      <c r="M1725" s="1063"/>
      <c r="N1725" s="1063"/>
      <c r="O1725" s="1063"/>
      <c r="P1725" s="1063"/>
      <c r="Q1725" s="1063"/>
      <c r="R1725" s="1063"/>
      <c r="S1725" s="1063"/>
      <c r="T1725" s="1063"/>
      <c r="U1725" s="1063"/>
      <c r="V1725" s="1063"/>
      <c r="W1725" s="1063"/>
      <c r="X1725" s="1063"/>
      <c r="Y1725" s="1063"/>
      <c r="Z1725" s="1063"/>
      <c r="AA1725" s="1063"/>
      <c r="AB1725" s="1063"/>
      <c r="AC1725" s="1063"/>
      <c r="AD1725" s="1063"/>
      <c r="AE1725" s="1063"/>
      <c r="AF1725" s="1063"/>
      <c r="AG1725" s="1063"/>
      <c r="AH1725" s="1063"/>
      <c r="AI1725" s="1063"/>
      <c r="AJ1725" s="1063"/>
      <c r="AK1725" s="1063"/>
      <c r="AL1725" s="1063"/>
      <c r="AM1725" s="1063"/>
      <c r="AN1725" s="1063"/>
      <c r="AO1725" s="1063"/>
      <c r="AP1725" s="1063"/>
      <c r="AQ1725" s="1063"/>
      <c r="AR1725" s="1063"/>
      <c r="AS1725" s="1063"/>
      <c r="AT1725" s="1063"/>
      <c r="AU1725" s="1063"/>
      <c r="AV1725" s="1063"/>
    </row>
    <row r="1726" spans="1:48" s="1108" customFormat="1" ht="27.75" customHeight="1">
      <c r="A1726" s="1076"/>
      <c r="B1726" s="1074">
        <f>+'[18]Bldg+Dev'!S2538</f>
        <v>0</v>
      </c>
      <c r="D1726" s="1063"/>
      <c r="F1726" s="1076"/>
      <c r="G1726" s="1063"/>
      <c r="H1726" s="1063"/>
      <c r="I1726" s="1063"/>
      <c r="J1726" s="1063"/>
      <c r="K1726" s="1063"/>
      <c r="L1726" s="1063"/>
      <c r="M1726" s="1063"/>
      <c r="N1726" s="1063"/>
      <c r="O1726" s="1063"/>
      <c r="P1726" s="1063"/>
      <c r="Q1726" s="1063"/>
      <c r="R1726" s="1063"/>
      <c r="S1726" s="1063"/>
      <c r="T1726" s="1063"/>
      <c r="U1726" s="1063"/>
      <c r="V1726" s="1063"/>
      <c r="W1726" s="1063"/>
      <c r="X1726" s="1063"/>
      <c r="Y1726" s="1063"/>
      <c r="Z1726" s="1063"/>
      <c r="AA1726" s="1063"/>
      <c r="AB1726" s="1063"/>
      <c r="AC1726" s="1063"/>
      <c r="AD1726" s="1063"/>
      <c r="AE1726" s="1063"/>
      <c r="AF1726" s="1063"/>
      <c r="AG1726" s="1063"/>
      <c r="AH1726" s="1063"/>
      <c r="AI1726" s="1063"/>
      <c r="AJ1726" s="1063"/>
      <c r="AK1726" s="1063"/>
      <c r="AL1726" s="1063"/>
      <c r="AM1726" s="1063"/>
      <c r="AN1726" s="1063"/>
      <c r="AO1726" s="1063"/>
      <c r="AP1726" s="1063"/>
      <c r="AQ1726" s="1063"/>
      <c r="AR1726" s="1063"/>
      <c r="AS1726" s="1063"/>
      <c r="AT1726" s="1063"/>
      <c r="AU1726" s="1063"/>
      <c r="AV1726" s="1063"/>
    </row>
    <row r="1727" spans="1:48" s="1108" customFormat="1" ht="27.75" customHeight="1">
      <c r="A1727" s="1076"/>
      <c r="B1727" s="1074">
        <f>+'[18]Bldg+Dev'!S2539</f>
        <v>0</v>
      </c>
      <c r="D1727" s="1063"/>
      <c r="F1727" s="1076"/>
      <c r="G1727" s="1063"/>
      <c r="H1727" s="1063"/>
      <c r="I1727" s="1063"/>
      <c r="J1727" s="1063"/>
      <c r="K1727" s="1063"/>
      <c r="L1727" s="1063"/>
      <c r="M1727" s="1063"/>
      <c r="N1727" s="1063"/>
      <c r="O1727" s="1063"/>
      <c r="P1727" s="1063"/>
      <c r="Q1727" s="1063"/>
      <c r="R1727" s="1063"/>
      <c r="S1727" s="1063"/>
      <c r="T1727" s="1063"/>
      <c r="U1727" s="1063"/>
      <c r="V1727" s="1063"/>
      <c r="W1727" s="1063"/>
      <c r="X1727" s="1063"/>
      <c r="Y1727" s="1063"/>
      <c r="Z1727" s="1063"/>
      <c r="AA1727" s="1063"/>
      <c r="AB1727" s="1063"/>
      <c r="AC1727" s="1063"/>
      <c r="AD1727" s="1063"/>
      <c r="AE1727" s="1063"/>
      <c r="AF1727" s="1063"/>
      <c r="AG1727" s="1063"/>
      <c r="AH1727" s="1063"/>
      <c r="AI1727" s="1063"/>
      <c r="AJ1727" s="1063"/>
      <c r="AK1727" s="1063"/>
      <c r="AL1727" s="1063"/>
      <c r="AM1727" s="1063"/>
      <c r="AN1727" s="1063"/>
      <c r="AO1727" s="1063"/>
      <c r="AP1727" s="1063"/>
      <c r="AQ1727" s="1063"/>
      <c r="AR1727" s="1063"/>
      <c r="AS1727" s="1063"/>
      <c r="AT1727" s="1063"/>
      <c r="AU1727" s="1063"/>
      <c r="AV1727" s="1063"/>
    </row>
    <row r="1728" spans="1:48" s="1108" customFormat="1" ht="27.75" customHeight="1">
      <c r="A1728" s="1076"/>
      <c r="B1728" s="1074">
        <f>+'[18]Bldg+Dev'!S2540</f>
        <v>0</v>
      </c>
      <c r="D1728" s="1063"/>
      <c r="F1728" s="1076"/>
      <c r="G1728" s="1063"/>
      <c r="H1728" s="1063"/>
      <c r="I1728" s="1063"/>
      <c r="J1728" s="1063"/>
      <c r="K1728" s="1063"/>
      <c r="L1728" s="1063"/>
      <c r="M1728" s="1063"/>
      <c r="N1728" s="1063"/>
      <c r="O1728" s="1063"/>
      <c r="P1728" s="1063"/>
      <c r="Q1728" s="1063"/>
      <c r="R1728" s="1063"/>
      <c r="S1728" s="1063"/>
      <c r="T1728" s="1063"/>
      <c r="U1728" s="1063"/>
      <c r="V1728" s="1063"/>
      <c r="W1728" s="1063"/>
      <c r="X1728" s="1063"/>
      <c r="Y1728" s="1063"/>
      <c r="Z1728" s="1063"/>
      <c r="AA1728" s="1063"/>
      <c r="AB1728" s="1063"/>
      <c r="AC1728" s="1063"/>
      <c r="AD1728" s="1063"/>
      <c r="AE1728" s="1063"/>
      <c r="AF1728" s="1063"/>
      <c r="AG1728" s="1063"/>
      <c r="AH1728" s="1063"/>
      <c r="AI1728" s="1063"/>
      <c r="AJ1728" s="1063"/>
      <c r="AK1728" s="1063"/>
      <c r="AL1728" s="1063"/>
      <c r="AM1728" s="1063"/>
      <c r="AN1728" s="1063"/>
      <c r="AO1728" s="1063"/>
      <c r="AP1728" s="1063"/>
      <c r="AQ1728" s="1063"/>
      <c r="AR1728" s="1063"/>
      <c r="AS1728" s="1063"/>
      <c r="AT1728" s="1063"/>
      <c r="AU1728" s="1063"/>
      <c r="AV1728" s="1063"/>
    </row>
    <row r="1729" spans="1:48" s="1108" customFormat="1" ht="27.75" customHeight="1">
      <c r="A1729" s="1076"/>
      <c r="B1729" s="1074">
        <f>+'[18]Bldg+Dev'!S2541</f>
        <v>0</v>
      </c>
      <c r="D1729" s="1063"/>
      <c r="F1729" s="1076"/>
      <c r="G1729" s="1063"/>
      <c r="H1729" s="1063"/>
      <c r="I1729" s="1063"/>
      <c r="J1729" s="1063"/>
      <c r="K1729" s="1063"/>
      <c r="L1729" s="1063"/>
      <c r="M1729" s="1063"/>
      <c r="N1729" s="1063"/>
      <c r="O1729" s="1063"/>
      <c r="P1729" s="1063"/>
      <c r="Q1729" s="1063"/>
      <c r="R1729" s="1063"/>
      <c r="S1729" s="1063"/>
      <c r="T1729" s="1063"/>
      <c r="U1729" s="1063"/>
      <c r="V1729" s="1063"/>
      <c r="W1729" s="1063"/>
      <c r="X1729" s="1063"/>
      <c r="Y1729" s="1063"/>
      <c r="Z1729" s="1063"/>
      <c r="AA1729" s="1063"/>
      <c r="AB1729" s="1063"/>
      <c r="AC1729" s="1063"/>
      <c r="AD1729" s="1063"/>
      <c r="AE1729" s="1063"/>
      <c r="AF1729" s="1063"/>
      <c r="AG1729" s="1063"/>
      <c r="AH1729" s="1063"/>
      <c r="AI1729" s="1063"/>
      <c r="AJ1729" s="1063"/>
      <c r="AK1729" s="1063"/>
      <c r="AL1729" s="1063"/>
      <c r="AM1729" s="1063"/>
      <c r="AN1729" s="1063"/>
      <c r="AO1729" s="1063"/>
      <c r="AP1729" s="1063"/>
      <c r="AQ1729" s="1063"/>
      <c r="AR1729" s="1063"/>
      <c r="AS1729" s="1063"/>
      <c r="AT1729" s="1063"/>
      <c r="AU1729" s="1063"/>
      <c r="AV1729" s="1063"/>
    </row>
    <row r="1730" spans="1:48" s="1108" customFormat="1" ht="27.75" customHeight="1">
      <c r="A1730" s="1076"/>
      <c r="B1730" s="1074">
        <f>+'[18]Bldg+Dev'!S2542</f>
        <v>0</v>
      </c>
      <c r="D1730" s="1063"/>
      <c r="F1730" s="1076"/>
      <c r="G1730" s="1063"/>
      <c r="H1730" s="1063"/>
      <c r="I1730" s="1063"/>
      <c r="J1730" s="1063"/>
      <c r="K1730" s="1063"/>
      <c r="L1730" s="1063"/>
      <c r="M1730" s="1063"/>
      <c r="N1730" s="1063"/>
      <c r="O1730" s="1063"/>
      <c r="P1730" s="1063"/>
      <c r="Q1730" s="1063"/>
      <c r="R1730" s="1063"/>
      <c r="S1730" s="1063"/>
      <c r="T1730" s="1063"/>
      <c r="U1730" s="1063"/>
      <c r="V1730" s="1063"/>
      <c r="W1730" s="1063"/>
      <c r="X1730" s="1063"/>
      <c r="Y1730" s="1063"/>
      <c r="Z1730" s="1063"/>
      <c r="AA1730" s="1063"/>
      <c r="AB1730" s="1063"/>
      <c r="AC1730" s="1063"/>
      <c r="AD1730" s="1063"/>
      <c r="AE1730" s="1063"/>
      <c r="AF1730" s="1063"/>
      <c r="AG1730" s="1063"/>
      <c r="AH1730" s="1063"/>
      <c r="AI1730" s="1063"/>
      <c r="AJ1730" s="1063"/>
      <c r="AK1730" s="1063"/>
      <c r="AL1730" s="1063"/>
      <c r="AM1730" s="1063"/>
      <c r="AN1730" s="1063"/>
      <c r="AO1730" s="1063"/>
      <c r="AP1730" s="1063"/>
      <c r="AQ1730" s="1063"/>
      <c r="AR1730" s="1063"/>
      <c r="AS1730" s="1063"/>
      <c r="AT1730" s="1063"/>
      <c r="AU1730" s="1063"/>
      <c r="AV1730" s="1063"/>
    </row>
    <row r="1731" spans="1:48" s="1108" customFormat="1" ht="27.75" customHeight="1">
      <c r="A1731" s="1076"/>
      <c r="B1731" s="1074">
        <f>+'[18]Bldg+Dev'!S2543</f>
        <v>0</v>
      </c>
      <c r="D1731" s="1063"/>
      <c r="F1731" s="1076"/>
      <c r="G1731" s="1063"/>
      <c r="H1731" s="1063"/>
      <c r="I1731" s="1063"/>
      <c r="J1731" s="1063"/>
      <c r="K1731" s="1063"/>
      <c r="L1731" s="1063"/>
      <c r="M1731" s="1063"/>
      <c r="N1731" s="1063"/>
      <c r="O1731" s="1063"/>
      <c r="P1731" s="1063"/>
      <c r="Q1731" s="1063"/>
      <c r="R1731" s="1063"/>
      <c r="S1731" s="1063"/>
      <c r="T1731" s="1063"/>
      <c r="U1731" s="1063"/>
      <c r="V1731" s="1063"/>
      <c r="W1731" s="1063"/>
      <c r="X1731" s="1063"/>
      <c r="Y1731" s="1063"/>
      <c r="Z1731" s="1063"/>
      <c r="AA1731" s="1063"/>
      <c r="AB1731" s="1063"/>
      <c r="AC1731" s="1063"/>
      <c r="AD1731" s="1063"/>
      <c r="AE1731" s="1063"/>
      <c r="AF1731" s="1063"/>
      <c r="AG1731" s="1063"/>
      <c r="AH1731" s="1063"/>
      <c r="AI1731" s="1063"/>
      <c r="AJ1731" s="1063"/>
      <c r="AK1731" s="1063"/>
      <c r="AL1731" s="1063"/>
      <c r="AM1731" s="1063"/>
      <c r="AN1731" s="1063"/>
      <c r="AO1731" s="1063"/>
      <c r="AP1731" s="1063"/>
      <c r="AQ1731" s="1063"/>
      <c r="AR1731" s="1063"/>
      <c r="AS1731" s="1063"/>
      <c r="AT1731" s="1063"/>
      <c r="AU1731" s="1063"/>
      <c r="AV1731" s="1063"/>
    </row>
    <row r="1732" spans="1:48" s="1108" customFormat="1" ht="27.75" customHeight="1">
      <c r="A1732" s="1076"/>
      <c r="B1732" s="1074">
        <f>+'[18]Bldg+Dev'!S2544</f>
        <v>0</v>
      </c>
      <c r="D1732" s="1063"/>
      <c r="F1732" s="1076"/>
      <c r="G1732" s="1063"/>
      <c r="H1732" s="1063"/>
      <c r="I1732" s="1063"/>
      <c r="J1732" s="1063"/>
      <c r="K1732" s="1063"/>
      <c r="L1732" s="1063"/>
      <c r="M1732" s="1063"/>
      <c r="N1732" s="1063"/>
      <c r="O1732" s="1063"/>
      <c r="P1732" s="1063"/>
      <c r="Q1732" s="1063"/>
      <c r="R1732" s="1063"/>
      <c r="S1732" s="1063"/>
      <c r="T1732" s="1063"/>
      <c r="U1732" s="1063"/>
      <c r="V1732" s="1063"/>
      <c r="W1732" s="1063"/>
      <c r="X1732" s="1063"/>
      <c r="Y1732" s="1063"/>
      <c r="Z1732" s="1063"/>
      <c r="AA1732" s="1063"/>
      <c r="AB1732" s="1063"/>
      <c r="AC1732" s="1063"/>
      <c r="AD1732" s="1063"/>
      <c r="AE1732" s="1063"/>
      <c r="AF1732" s="1063"/>
      <c r="AG1732" s="1063"/>
      <c r="AH1732" s="1063"/>
      <c r="AI1732" s="1063"/>
      <c r="AJ1732" s="1063"/>
      <c r="AK1732" s="1063"/>
      <c r="AL1732" s="1063"/>
      <c r="AM1732" s="1063"/>
      <c r="AN1732" s="1063"/>
      <c r="AO1732" s="1063"/>
      <c r="AP1732" s="1063"/>
      <c r="AQ1732" s="1063"/>
      <c r="AR1732" s="1063"/>
      <c r="AS1732" s="1063"/>
      <c r="AT1732" s="1063"/>
      <c r="AU1732" s="1063"/>
      <c r="AV1732" s="1063"/>
    </row>
    <row r="1733" spans="1:48" s="1108" customFormat="1" ht="27.75" customHeight="1">
      <c r="A1733" s="1076"/>
      <c r="B1733" s="1074">
        <f>+'[18]Bldg+Dev'!S2545</f>
        <v>0</v>
      </c>
      <c r="D1733" s="1063"/>
      <c r="F1733" s="1076"/>
      <c r="G1733" s="1063"/>
      <c r="H1733" s="1063"/>
      <c r="I1733" s="1063"/>
      <c r="J1733" s="1063"/>
      <c r="K1733" s="1063"/>
      <c r="L1733" s="1063"/>
      <c r="M1733" s="1063"/>
      <c r="N1733" s="1063"/>
      <c r="O1733" s="1063"/>
      <c r="P1733" s="1063"/>
      <c r="Q1733" s="1063"/>
      <c r="R1733" s="1063"/>
      <c r="S1733" s="1063"/>
      <c r="T1733" s="1063"/>
      <c r="U1733" s="1063"/>
      <c r="V1733" s="1063"/>
      <c r="W1733" s="1063"/>
      <c r="X1733" s="1063"/>
      <c r="Y1733" s="1063"/>
      <c r="Z1733" s="1063"/>
      <c r="AA1733" s="1063"/>
      <c r="AB1733" s="1063"/>
      <c r="AC1733" s="1063"/>
      <c r="AD1733" s="1063"/>
      <c r="AE1733" s="1063"/>
      <c r="AF1733" s="1063"/>
      <c r="AG1733" s="1063"/>
      <c r="AH1733" s="1063"/>
      <c r="AI1733" s="1063"/>
      <c r="AJ1733" s="1063"/>
      <c r="AK1733" s="1063"/>
      <c r="AL1733" s="1063"/>
      <c r="AM1733" s="1063"/>
      <c r="AN1733" s="1063"/>
      <c r="AO1733" s="1063"/>
      <c r="AP1733" s="1063"/>
      <c r="AQ1733" s="1063"/>
      <c r="AR1733" s="1063"/>
      <c r="AS1733" s="1063"/>
      <c r="AT1733" s="1063"/>
      <c r="AU1733" s="1063"/>
      <c r="AV1733" s="1063"/>
    </row>
    <row r="1734" spans="1:48" s="1108" customFormat="1" ht="27.75" customHeight="1">
      <c r="A1734" s="1076"/>
      <c r="B1734" s="1074">
        <f>+'[18]Bldg+Dev'!S2546</f>
        <v>0</v>
      </c>
      <c r="D1734" s="1063"/>
      <c r="F1734" s="1076"/>
      <c r="G1734" s="1063"/>
      <c r="H1734" s="1063"/>
      <c r="I1734" s="1063"/>
      <c r="J1734" s="1063"/>
      <c r="K1734" s="1063"/>
      <c r="L1734" s="1063"/>
      <c r="M1734" s="1063"/>
      <c r="N1734" s="1063"/>
      <c r="O1734" s="1063"/>
      <c r="P1734" s="1063"/>
      <c r="Q1734" s="1063"/>
      <c r="R1734" s="1063"/>
      <c r="S1734" s="1063"/>
      <c r="T1734" s="1063"/>
      <c r="U1734" s="1063"/>
      <c r="V1734" s="1063"/>
      <c r="W1734" s="1063"/>
      <c r="X1734" s="1063"/>
      <c r="Y1734" s="1063"/>
      <c r="Z1734" s="1063"/>
      <c r="AA1734" s="1063"/>
      <c r="AB1734" s="1063"/>
      <c r="AC1734" s="1063"/>
      <c r="AD1734" s="1063"/>
      <c r="AE1734" s="1063"/>
      <c r="AF1734" s="1063"/>
      <c r="AG1734" s="1063"/>
      <c r="AH1734" s="1063"/>
      <c r="AI1734" s="1063"/>
      <c r="AJ1734" s="1063"/>
      <c r="AK1734" s="1063"/>
      <c r="AL1734" s="1063"/>
      <c r="AM1734" s="1063"/>
      <c r="AN1734" s="1063"/>
      <c r="AO1734" s="1063"/>
      <c r="AP1734" s="1063"/>
      <c r="AQ1734" s="1063"/>
      <c r="AR1734" s="1063"/>
      <c r="AS1734" s="1063"/>
      <c r="AT1734" s="1063"/>
      <c r="AU1734" s="1063"/>
      <c r="AV1734" s="1063"/>
    </row>
    <row r="1735" spans="1:48" s="1108" customFormat="1" ht="27.75" customHeight="1">
      <c r="A1735" s="1076"/>
      <c r="B1735" s="1074">
        <f>+'[18]Bldg+Dev'!S2547</f>
        <v>0</v>
      </c>
      <c r="D1735" s="1063"/>
      <c r="F1735" s="1076"/>
      <c r="G1735" s="1063"/>
      <c r="H1735" s="1063"/>
      <c r="I1735" s="1063"/>
      <c r="J1735" s="1063"/>
      <c r="K1735" s="1063"/>
      <c r="L1735" s="1063"/>
      <c r="M1735" s="1063"/>
      <c r="N1735" s="1063"/>
      <c r="O1735" s="1063"/>
      <c r="P1735" s="1063"/>
      <c r="Q1735" s="1063"/>
      <c r="R1735" s="1063"/>
      <c r="S1735" s="1063"/>
      <c r="T1735" s="1063"/>
      <c r="U1735" s="1063"/>
      <c r="V1735" s="1063"/>
      <c r="W1735" s="1063"/>
      <c r="X1735" s="1063"/>
      <c r="Y1735" s="1063"/>
      <c r="Z1735" s="1063"/>
      <c r="AA1735" s="1063"/>
      <c r="AB1735" s="1063"/>
      <c r="AC1735" s="1063"/>
      <c r="AD1735" s="1063"/>
      <c r="AE1735" s="1063"/>
      <c r="AF1735" s="1063"/>
      <c r="AG1735" s="1063"/>
      <c r="AH1735" s="1063"/>
      <c r="AI1735" s="1063"/>
      <c r="AJ1735" s="1063"/>
      <c r="AK1735" s="1063"/>
      <c r="AL1735" s="1063"/>
      <c r="AM1735" s="1063"/>
      <c r="AN1735" s="1063"/>
      <c r="AO1735" s="1063"/>
      <c r="AP1735" s="1063"/>
      <c r="AQ1735" s="1063"/>
      <c r="AR1735" s="1063"/>
      <c r="AS1735" s="1063"/>
      <c r="AT1735" s="1063"/>
      <c r="AU1735" s="1063"/>
      <c r="AV1735" s="1063"/>
    </row>
    <row r="1736" spans="1:48" s="1108" customFormat="1" ht="27.75" customHeight="1">
      <c r="A1736" s="1076"/>
      <c r="B1736" s="1074">
        <f>+'[18]Bldg+Dev'!S2548</f>
        <v>0</v>
      </c>
      <c r="D1736" s="1063"/>
      <c r="F1736" s="1076"/>
      <c r="G1736" s="1063"/>
      <c r="H1736" s="1063"/>
      <c r="I1736" s="1063"/>
      <c r="J1736" s="1063"/>
      <c r="K1736" s="1063"/>
      <c r="L1736" s="1063"/>
      <c r="M1736" s="1063"/>
      <c r="N1736" s="1063"/>
      <c r="O1736" s="1063"/>
      <c r="P1736" s="1063"/>
      <c r="Q1736" s="1063"/>
      <c r="R1736" s="1063"/>
      <c r="S1736" s="1063"/>
      <c r="T1736" s="1063"/>
      <c r="U1736" s="1063"/>
      <c r="V1736" s="1063"/>
      <c r="W1736" s="1063"/>
      <c r="X1736" s="1063"/>
      <c r="Y1736" s="1063"/>
      <c r="Z1736" s="1063"/>
      <c r="AA1736" s="1063"/>
      <c r="AB1736" s="1063"/>
      <c r="AC1736" s="1063"/>
      <c r="AD1736" s="1063"/>
      <c r="AE1736" s="1063"/>
      <c r="AF1736" s="1063"/>
      <c r="AG1736" s="1063"/>
      <c r="AH1736" s="1063"/>
      <c r="AI1736" s="1063"/>
      <c r="AJ1736" s="1063"/>
      <c r="AK1736" s="1063"/>
      <c r="AL1736" s="1063"/>
      <c r="AM1736" s="1063"/>
      <c r="AN1736" s="1063"/>
      <c r="AO1736" s="1063"/>
      <c r="AP1736" s="1063"/>
      <c r="AQ1736" s="1063"/>
      <c r="AR1736" s="1063"/>
      <c r="AS1736" s="1063"/>
      <c r="AT1736" s="1063"/>
      <c r="AU1736" s="1063"/>
      <c r="AV1736" s="1063"/>
    </row>
    <row r="1737" spans="1:48" s="1108" customFormat="1" ht="27.75" customHeight="1">
      <c r="A1737" s="1076"/>
      <c r="B1737" s="1074">
        <f>+'[18]Bldg+Dev'!S2549</f>
        <v>0</v>
      </c>
      <c r="D1737" s="1063"/>
      <c r="F1737" s="1076"/>
      <c r="G1737" s="1063"/>
      <c r="H1737" s="1063"/>
      <c r="I1737" s="1063"/>
      <c r="J1737" s="1063"/>
      <c r="K1737" s="1063"/>
      <c r="L1737" s="1063"/>
      <c r="M1737" s="1063"/>
      <c r="N1737" s="1063"/>
      <c r="O1737" s="1063"/>
      <c r="P1737" s="1063"/>
      <c r="Q1737" s="1063"/>
      <c r="R1737" s="1063"/>
      <c r="S1737" s="1063"/>
      <c r="T1737" s="1063"/>
      <c r="U1737" s="1063"/>
      <c r="V1737" s="1063"/>
      <c r="W1737" s="1063"/>
      <c r="X1737" s="1063"/>
      <c r="Y1737" s="1063"/>
      <c r="Z1737" s="1063"/>
      <c r="AA1737" s="1063"/>
      <c r="AB1737" s="1063"/>
      <c r="AC1737" s="1063"/>
      <c r="AD1737" s="1063"/>
      <c r="AE1737" s="1063"/>
      <c r="AF1737" s="1063"/>
      <c r="AG1737" s="1063"/>
      <c r="AH1737" s="1063"/>
      <c r="AI1737" s="1063"/>
      <c r="AJ1737" s="1063"/>
      <c r="AK1737" s="1063"/>
      <c r="AL1737" s="1063"/>
      <c r="AM1737" s="1063"/>
      <c r="AN1737" s="1063"/>
      <c r="AO1737" s="1063"/>
      <c r="AP1737" s="1063"/>
      <c r="AQ1737" s="1063"/>
      <c r="AR1737" s="1063"/>
      <c r="AS1737" s="1063"/>
      <c r="AT1737" s="1063"/>
      <c r="AU1737" s="1063"/>
      <c r="AV1737" s="1063"/>
    </row>
    <row r="1738" spans="1:48" s="1108" customFormat="1" ht="27.75" customHeight="1">
      <c r="A1738" s="1076"/>
      <c r="B1738" s="1074">
        <f>+'[18]Bldg+Dev'!S2550</f>
        <v>0</v>
      </c>
      <c r="D1738" s="1063"/>
      <c r="F1738" s="1076"/>
      <c r="G1738" s="1063"/>
      <c r="H1738" s="1063"/>
      <c r="I1738" s="1063"/>
      <c r="J1738" s="1063"/>
      <c r="K1738" s="1063"/>
      <c r="L1738" s="1063"/>
      <c r="M1738" s="1063"/>
      <c r="N1738" s="1063"/>
      <c r="O1738" s="1063"/>
      <c r="P1738" s="1063"/>
      <c r="Q1738" s="1063"/>
      <c r="R1738" s="1063"/>
      <c r="S1738" s="1063"/>
      <c r="T1738" s="1063"/>
      <c r="U1738" s="1063"/>
      <c r="V1738" s="1063"/>
      <c r="W1738" s="1063"/>
      <c r="X1738" s="1063"/>
      <c r="Y1738" s="1063"/>
      <c r="Z1738" s="1063"/>
      <c r="AA1738" s="1063"/>
      <c r="AB1738" s="1063"/>
      <c r="AC1738" s="1063"/>
      <c r="AD1738" s="1063"/>
      <c r="AE1738" s="1063"/>
      <c r="AF1738" s="1063"/>
      <c r="AG1738" s="1063"/>
      <c r="AH1738" s="1063"/>
      <c r="AI1738" s="1063"/>
      <c r="AJ1738" s="1063"/>
      <c r="AK1738" s="1063"/>
      <c r="AL1738" s="1063"/>
      <c r="AM1738" s="1063"/>
      <c r="AN1738" s="1063"/>
      <c r="AO1738" s="1063"/>
      <c r="AP1738" s="1063"/>
      <c r="AQ1738" s="1063"/>
      <c r="AR1738" s="1063"/>
      <c r="AS1738" s="1063"/>
      <c r="AT1738" s="1063"/>
      <c r="AU1738" s="1063"/>
      <c r="AV1738" s="1063"/>
    </row>
    <row r="1739" spans="1:48" s="1108" customFormat="1" ht="27.75" customHeight="1">
      <c r="A1739" s="1076"/>
      <c r="B1739" s="1074">
        <f>+'[18]Bldg+Dev'!S2551</f>
        <v>0</v>
      </c>
      <c r="D1739" s="1063"/>
      <c r="F1739" s="1076"/>
      <c r="G1739" s="1063"/>
      <c r="H1739" s="1063"/>
      <c r="I1739" s="1063"/>
      <c r="J1739" s="1063"/>
      <c r="K1739" s="1063"/>
      <c r="L1739" s="1063"/>
      <c r="M1739" s="1063"/>
      <c r="N1739" s="1063"/>
      <c r="O1739" s="1063"/>
      <c r="P1739" s="1063"/>
      <c r="Q1739" s="1063"/>
      <c r="R1739" s="1063"/>
      <c r="S1739" s="1063"/>
      <c r="T1739" s="1063"/>
      <c r="U1739" s="1063"/>
      <c r="V1739" s="1063"/>
      <c r="W1739" s="1063"/>
      <c r="X1739" s="1063"/>
      <c r="Y1739" s="1063"/>
      <c r="Z1739" s="1063"/>
      <c r="AA1739" s="1063"/>
      <c r="AB1739" s="1063"/>
      <c r="AC1739" s="1063"/>
      <c r="AD1739" s="1063"/>
      <c r="AE1739" s="1063"/>
      <c r="AF1739" s="1063"/>
      <c r="AG1739" s="1063"/>
      <c r="AH1739" s="1063"/>
      <c r="AI1739" s="1063"/>
      <c r="AJ1739" s="1063"/>
      <c r="AK1739" s="1063"/>
      <c r="AL1739" s="1063"/>
      <c r="AM1739" s="1063"/>
      <c r="AN1739" s="1063"/>
      <c r="AO1739" s="1063"/>
      <c r="AP1739" s="1063"/>
      <c r="AQ1739" s="1063"/>
      <c r="AR1739" s="1063"/>
      <c r="AS1739" s="1063"/>
      <c r="AT1739" s="1063"/>
      <c r="AU1739" s="1063"/>
      <c r="AV1739" s="1063"/>
    </row>
    <row r="1740" spans="1:48" s="1108" customFormat="1" ht="27.75" customHeight="1">
      <c r="A1740" s="1076"/>
      <c r="B1740" s="1074">
        <f>+'[18]Bldg+Dev'!S2552</f>
        <v>0</v>
      </c>
      <c r="D1740" s="1063"/>
      <c r="F1740" s="1076"/>
      <c r="G1740" s="1063"/>
      <c r="H1740" s="1063"/>
      <c r="I1740" s="1063"/>
      <c r="J1740" s="1063"/>
      <c r="K1740" s="1063"/>
      <c r="L1740" s="1063"/>
      <c r="M1740" s="1063"/>
      <c r="N1740" s="1063"/>
      <c r="O1740" s="1063"/>
      <c r="P1740" s="1063"/>
      <c r="Q1740" s="1063"/>
      <c r="R1740" s="1063"/>
      <c r="S1740" s="1063"/>
      <c r="T1740" s="1063"/>
      <c r="U1740" s="1063"/>
      <c r="V1740" s="1063"/>
      <c r="W1740" s="1063"/>
      <c r="X1740" s="1063"/>
      <c r="Y1740" s="1063"/>
      <c r="Z1740" s="1063"/>
      <c r="AA1740" s="1063"/>
      <c r="AB1740" s="1063"/>
      <c r="AC1740" s="1063"/>
      <c r="AD1740" s="1063"/>
      <c r="AE1740" s="1063"/>
      <c r="AF1740" s="1063"/>
      <c r="AG1740" s="1063"/>
      <c r="AH1740" s="1063"/>
      <c r="AI1740" s="1063"/>
      <c r="AJ1740" s="1063"/>
      <c r="AK1740" s="1063"/>
      <c r="AL1740" s="1063"/>
      <c r="AM1740" s="1063"/>
      <c r="AN1740" s="1063"/>
      <c r="AO1740" s="1063"/>
      <c r="AP1740" s="1063"/>
      <c r="AQ1740" s="1063"/>
      <c r="AR1740" s="1063"/>
      <c r="AS1740" s="1063"/>
      <c r="AT1740" s="1063"/>
      <c r="AU1740" s="1063"/>
      <c r="AV1740" s="1063"/>
    </row>
    <row r="1741" spans="1:48" s="1108" customFormat="1" ht="27.75" customHeight="1">
      <c r="A1741" s="1076"/>
      <c r="B1741" s="1074">
        <f>+'[18]Bldg+Dev'!S2553</f>
        <v>0</v>
      </c>
      <c r="D1741" s="1063"/>
      <c r="F1741" s="1076"/>
      <c r="G1741" s="1063"/>
      <c r="H1741" s="1063"/>
      <c r="I1741" s="1063"/>
      <c r="J1741" s="1063"/>
      <c r="K1741" s="1063"/>
      <c r="L1741" s="1063"/>
      <c r="M1741" s="1063"/>
      <c r="N1741" s="1063"/>
      <c r="O1741" s="1063"/>
      <c r="P1741" s="1063"/>
      <c r="Q1741" s="1063"/>
      <c r="R1741" s="1063"/>
      <c r="S1741" s="1063"/>
      <c r="T1741" s="1063"/>
      <c r="U1741" s="1063"/>
      <c r="V1741" s="1063"/>
      <c r="W1741" s="1063"/>
      <c r="X1741" s="1063"/>
      <c r="Y1741" s="1063"/>
      <c r="Z1741" s="1063"/>
      <c r="AA1741" s="1063"/>
      <c r="AB1741" s="1063"/>
      <c r="AC1741" s="1063"/>
      <c r="AD1741" s="1063"/>
      <c r="AE1741" s="1063"/>
      <c r="AF1741" s="1063"/>
      <c r="AG1741" s="1063"/>
      <c r="AH1741" s="1063"/>
      <c r="AI1741" s="1063"/>
      <c r="AJ1741" s="1063"/>
      <c r="AK1741" s="1063"/>
      <c r="AL1741" s="1063"/>
      <c r="AM1741" s="1063"/>
      <c r="AN1741" s="1063"/>
      <c r="AO1741" s="1063"/>
      <c r="AP1741" s="1063"/>
      <c r="AQ1741" s="1063"/>
      <c r="AR1741" s="1063"/>
      <c r="AS1741" s="1063"/>
      <c r="AT1741" s="1063"/>
      <c r="AU1741" s="1063"/>
      <c r="AV1741" s="1063"/>
    </row>
    <row r="1742" spans="1:48" s="1108" customFormat="1" ht="27.75" customHeight="1">
      <c r="A1742" s="1076"/>
      <c r="B1742" s="1074">
        <f>+'[18]Bldg+Dev'!S2554</f>
        <v>0</v>
      </c>
      <c r="D1742" s="1063"/>
      <c r="F1742" s="1076"/>
      <c r="G1742" s="1063"/>
      <c r="H1742" s="1063"/>
      <c r="I1742" s="1063"/>
      <c r="J1742" s="1063"/>
      <c r="K1742" s="1063"/>
      <c r="L1742" s="1063"/>
      <c r="M1742" s="1063"/>
      <c r="N1742" s="1063"/>
      <c r="O1742" s="1063"/>
      <c r="P1742" s="1063"/>
      <c r="Q1742" s="1063"/>
      <c r="R1742" s="1063"/>
      <c r="S1742" s="1063"/>
      <c r="T1742" s="1063"/>
      <c r="U1742" s="1063"/>
      <c r="V1742" s="1063"/>
      <c r="W1742" s="1063"/>
      <c r="X1742" s="1063"/>
      <c r="Y1742" s="1063"/>
      <c r="Z1742" s="1063"/>
      <c r="AA1742" s="1063"/>
      <c r="AB1742" s="1063"/>
      <c r="AC1742" s="1063"/>
      <c r="AD1742" s="1063"/>
      <c r="AE1742" s="1063"/>
      <c r="AF1742" s="1063"/>
      <c r="AG1742" s="1063"/>
      <c r="AH1742" s="1063"/>
      <c r="AI1742" s="1063"/>
      <c r="AJ1742" s="1063"/>
      <c r="AK1742" s="1063"/>
      <c r="AL1742" s="1063"/>
      <c r="AM1742" s="1063"/>
      <c r="AN1742" s="1063"/>
      <c r="AO1742" s="1063"/>
      <c r="AP1742" s="1063"/>
      <c r="AQ1742" s="1063"/>
      <c r="AR1742" s="1063"/>
      <c r="AS1742" s="1063"/>
      <c r="AT1742" s="1063"/>
      <c r="AU1742" s="1063"/>
      <c r="AV1742" s="1063"/>
    </row>
    <row r="1743" spans="1:48" s="1108" customFormat="1" ht="27.75" customHeight="1">
      <c r="A1743" s="1076"/>
      <c r="B1743" s="1074">
        <f>+'[18]Bldg+Dev'!S2555</f>
        <v>0</v>
      </c>
      <c r="D1743" s="1063"/>
      <c r="F1743" s="1076"/>
      <c r="G1743" s="1063"/>
      <c r="H1743" s="1063"/>
      <c r="I1743" s="1063"/>
      <c r="J1743" s="1063"/>
      <c r="K1743" s="1063"/>
      <c r="L1743" s="1063"/>
      <c r="M1743" s="1063"/>
      <c r="N1743" s="1063"/>
      <c r="O1743" s="1063"/>
      <c r="P1743" s="1063"/>
      <c r="Q1743" s="1063"/>
      <c r="R1743" s="1063"/>
      <c r="S1743" s="1063"/>
      <c r="T1743" s="1063"/>
      <c r="U1743" s="1063"/>
      <c r="V1743" s="1063"/>
      <c r="W1743" s="1063"/>
      <c r="X1743" s="1063"/>
      <c r="Y1743" s="1063"/>
      <c r="Z1743" s="1063"/>
      <c r="AA1743" s="1063"/>
      <c r="AB1743" s="1063"/>
      <c r="AC1743" s="1063"/>
      <c r="AD1743" s="1063"/>
      <c r="AE1743" s="1063"/>
      <c r="AF1743" s="1063"/>
      <c r="AG1743" s="1063"/>
      <c r="AH1743" s="1063"/>
      <c r="AI1743" s="1063"/>
      <c r="AJ1743" s="1063"/>
      <c r="AK1743" s="1063"/>
      <c r="AL1743" s="1063"/>
      <c r="AM1743" s="1063"/>
      <c r="AN1743" s="1063"/>
      <c r="AO1743" s="1063"/>
      <c r="AP1743" s="1063"/>
      <c r="AQ1743" s="1063"/>
      <c r="AR1743" s="1063"/>
      <c r="AS1743" s="1063"/>
      <c r="AT1743" s="1063"/>
      <c r="AU1743" s="1063"/>
      <c r="AV1743" s="1063"/>
    </row>
    <row r="1744" spans="1:48" s="1108" customFormat="1" ht="27.75" customHeight="1">
      <c r="A1744" s="1076"/>
      <c r="B1744" s="1074">
        <f>+'[18]Bldg+Dev'!S2556</f>
        <v>0</v>
      </c>
      <c r="D1744" s="1063"/>
      <c r="F1744" s="1076"/>
      <c r="G1744" s="1063"/>
      <c r="H1744" s="1063"/>
      <c r="I1744" s="1063"/>
      <c r="J1744" s="1063"/>
      <c r="K1744" s="1063"/>
      <c r="L1744" s="1063"/>
      <c r="M1744" s="1063"/>
      <c r="N1744" s="1063"/>
      <c r="O1744" s="1063"/>
      <c r="P1744" s="1063"/>
      <c r="Q1744" s="1063"/>
      <c r="R1744" s="1063"/>
      <c r="S1744" s="1063"/>
      <c r="T1744" s="1063"/>
      <c r="U1744" s="1063"/>
      <c r="V1744" s="1063"/>
      <c r="W1744" s="1063"/>
      <c r="X1744" s="1063"/>
      <c r="Y1744" s="1063"/>
      <c r="Z1744" s="1063"/>
      <c r="AA1744" s="1063"/>
      <c r="AB1744" s="1063"/>
      <c r="AC1744" s="1063"/>
      <c r="AD1744" s="1063"/>
      <c r="AE1744" s="1063"/>
      <c r="AF1744" s="1063"/>
      <c r="AG1744" s="1063"/>
      <c r="AH1744" s="1063"/>
      <c r="AI1744" s="1063"/>
      <c r="AJ1744" s="1063"/>
      <c r="AK1744" s="1063"/>
      <c r="AL1744" s="1063"/>
      <c r="AM1744" s="1063"/>
      <c r="AN1744" s="1063"/>
      <c r="AO1744" s="1063"/>
      <c r="AP1744" s="1063"/>
      <c r="AQ1744" s="1063"/>
      <c r="AR1744" s="1063"/>
      <c r="AS1744" s="1063"/>
      <c r="AT1744" s="1063"/>
      <c r="AU1744" s="1063"/>
      <c r="AV1744" s="1063"/>
    </row>
    <row r="1745" spans="1:48" s="1108" customFormat="1" ht="27.75" customHeight="1">
      <c r="A1745" s="1076"/>
      <c r="B1745" s="1074">
        <f>+'[18]Bldg+Dev'!S2557</f>
        <v>0</v>
      </c>
      <c r="D1745" s="1063"/>
      <c r="F1745" s="1076"/>
      <c r="G1745" s="1063"/>
      <c r="H1745" s="1063"/>
      <c r="I1745" s="1063"/>
      <c r="J1745" s="1063"/>
      <c r="K1745" s="1063"/>
      <c r="L1745" s="1063"/>
      <c r="M1745" s="1063"/>
      <c r="N1745" s="1063"/>
      <c r="O1745" s="1063"/>
      <c r="P1745" s="1063"/>
      <c r="Q1745" s="1063"/>
      <c r="R1745" s="1063"/>
      <c r="S1745" s="1063"/>
      <c r="T1745" s="1063"/>
      <c r="U1745" s="1063"/>
      <c r="V1745" s="1063"/>
      <c r="W1745" s="1063"/>
      <c r="X1745" s="1063"/>
      <c r="Y1745" s="1063"/>
      <c r="Z1745" s="1063"/>
      <c r="AA1745" s="1063"/>
      <c r="AB1745" s="1063"/>
      <c r="AC1745" s="1063"/>
      <c r="AD1745" s="1063"/>
      <c r="AE1745" s="1063"/>
      <c r="AF1745" s="1063"/>
      <c r="AG1745" s="1063"/>
      <c r="AH1745" s="1063"/>
      <c r="AI1745" s="1063"/>
      <c r="AJ1745" s="1063"/>
      <c r="AK1745" s="1063"/>
      <c r="AL1745" s="1063"/>
      <c r="AM1745" s="1063"/>
      <c r="AN1745" s="1063"/>
      <c r="AO1745" s="1063"/>
      <c r="AP1745" s="1063"/>
      <c r="AQ1745" s="1063"/>
      <c r="AR1745" s="1063"/>
      <c r="AS1745" s="1063"/>
      <c r="AT1745" s="1063"/>
      <c r="AU1745" s="1063"/>
      <c r="AV1745" s="1063"/>
    </row>
    <row r="1746" spans="1:48" s="1108" customFormat="1" ht="27.75" customHeight="1">
      <c r="A1746" s="1076"/>
      <c r="B1746" s="1074">
        <f>+'[18]Bldg+Dev'!S2558</f>
        <v>0</v>
      </c>
      <c r="D1746" s="1063"/>
      <c r="F1746" s="1076"/>
      <c r="G1746" s="1063"/>
      <c r="H1746" s="1063"/>
      <c r="I1746" s="1063"/>
      <c r="J1746" s="1063"/>
      <c r="K1746" s="1063"/>
      <c r="L1746" s="1063"/>
      <c r="M1746" s="1063"/>
      <c r="N1746" s="1063"/>
      <c r="O1746" s="1063"/>
      <c r="P1746" s="1063"/>
      <c r="Q1746" s="1063"/>
      <c r="R1746" s="1063"/>
      <c r="S1746" s="1063"/>
      <c r="T1746" s="1063"/>
      <c r="U1746" s="1063"/>
      <c r="V1746" s="1063"/>
      <c r="W1746" s="1063"/>
      <c r="X1746" s="1063"/>
      <c r="Y1746" s="1063"/>
      <c r="Z1746" s="1063"/>
      <c r="AA1746" s="1063"/>
      <c r="AB1746" s="1063"/>
      <c r="AC1746" s="1063"/>
      <c r="AD1746" s="1063"/>
      <c r="AE1746" s="1063"/>
      <c r="AF1746" s="1063"/>
      <c r="AG1746" s="1063"/>
      <c r="AH1746" s="1063"/>
      <c r="AI1746" s="1063"/>
      <c r="AJ1746" s="1063"/>
      <c r="AK1746" s="1063"/>
      <c r="AL1746" s="1063"/>
      <c r="AM1746" s="1063"/>
      <c r="AN1746" s="1063"/>
      <c r="AO1746" s="1063"/>
      <c r="AP1746" s="1063"/>
      <c r="AQ1746" s="1063"/>
      <c r="AR1746" s="1063"/>
      <c r="AS1746" s="1063"/>
      <c r="AT1746" s="1063"/>
      <c r="AU1746" s="1063"/>
      <c r="AV1746" s="1063"/>
    </row>
    <row r="1747" spans="1:48" s="1108" customFormat="1" ht="27.75" customHeight="1">
      <c r="A1747" s="1076"/>
      <c r="B1747" s="1074">
        <f>+'[18]Bldg+Dev'!S2559</f>
        <v>0</v>
      </c>
      <c r="D1747" s="1063"/>
      <c r="F1747" s="1076"/>
      <c r="G1747" s="1063"/>
      <c r="H1747" s="1063"/>
      <c r="I1747" s="1063"/>
      <c r="J1747" s="1063"/>
      <c r="K1747" s="1063"/>
      <c r="L1747" s="1063"/>
      <c r="M1747" s="1063"/>
      <c r="N1747" s="1063"/>
      <c r="O1747" s="1063"/>
      <c r="P1747" s="1063"/>
      <c r="Q1747" s="1063"/>
      <c r="R1747" s="1063"/>
      <c r="S1747" s="1063"/>
      <c r="T1747" s="1063"/>
      <c r="U1747" s="1063"/>
      <c r="V1747" s="1063"/>
      <c r="W1747" s="1063"/>
      <c r="X1747" s="1063"/>
      <c r="Y1747" s="1063"/>
      <c r="Z1747" s="1063"/>
      <c r="AA1747" s="1063"/>
      <c r="AB1747" s="1063"/>
      <c r="AC1747" s="1063"/>
      <c r="AD1747" s="1063"/>
      <c r="AE1747" s="1063"/>
      <c r="AF1747" s="1063"/>
      <c r="AG1747" s="1063"/>
      <c r="AH1747" s="1063"/>
      <c r="AI1747" s="1063"/>
      <c r="AJ1747" s="1063"/>
      <c r="AK1747" s="1063"/>
      <c r="AL1747" s="1063"/>
      <c r="AM1747" s="1063"/>
      <c r="AN1747" s="1063"/>
      <c r="AO1747" s="1063"/>
      <c r="AP1747" s="1063"/>
      <c r="AQ1747" s="1063"/>
      <c r="AR1747" s="1063"/>
      <c r="AS1747" s="1063"/>
      <c r="AT1747" s="1063"/>
      <c r="AU1747" s="1063"/>
      <c r="AV1747" s="1063"/>
    </row>
    <row r="1748" spans="1:48" s="1108" customFormat="1" ht="27.75" customHeight="1">
      <c r="A1748" s="1076"/>
      <c r="B1748" s="1074">
        <f>+'[18]Bldg+Dev'!S2560</f>
        <v>0</v>
      </c>
      <c r="D1748" s="1063"/>
      <c r="F1748" s="1076"/>
      <c r="G1748" s="1063"/>
      <c r="H1748" s="1063"/>
      <c r="I1748" s="1063"/>
      <c r="J1748" s="1063"/>
      <c r="K1748" s="1063"/>
      <c r="L1748" s="1063"/>
      <c r="M1748" s="1063"/>
      <c r="N1748" s="1063"/>
      <c r="O1748" s="1063"/>
      <c r="P1748" s="1063"/>
      <c r="Q1748" s="1063"/>
      <c r="R1748" s="1063"/>
      <c r="S1748" s="1063"/>
      <c r="T1748" s="1063"/>
      <c r="U1748" s="1063"/>
      <c r="V1748" s="1063"/>
      <c r="W1748" s="1063"/>
      <c r="X1748" s="1063"/>
      <c r="Y1748" s="1063"/>
      <c r="Z1748" s="1063"/>
      <c r="AA1748" s="1063"/>
      <c r="AB1748" s="1063"/>
      <c r="AC1748" s="1063"/>
      <c r="AD1748" s="1063"/>
      <c r="AE1748" s="1063"/>
      <c r="AF1748" s="1063"/>
      <c r="AG1748" s="1063"/>
      <c r="AH1748" s="1063"/>
      <c r="AI1748" s="1063"/>
      <c r="AJ1748" s="1063"/>
      <c r="AK1748" s="1063"/>
      <c r="AL1748" s="1063"/>
      <c r="AM1748" s="1063"/>
      <c r="AN1748" s="1063"/>
      <c r="AO1748" s="1063"/>
      <c r="AP1748" s="1063"/>
      <c r="AQ1748" s="1063"/>
      <c r="AR1748" s="1063"/>
      <c r="AS1748" s="1063"/>
      <c r="AT1748" s="1063"/>
      <c r="AU1748" s="1063"/>
      <c r="AV1748" s="1063"/>
    </row>
    <row r="1749" spans="1:48" s="1108" customFormat="1" ht="27.75" customHeight="1">
      <c r="A1749" s="1076"/>
      <c r="B1749" s="1074">
        <f>+'[18]Bldg+Dev'!S2561</f>
        <v>0</v>
      </c>
      <c r="D1749" s="1063"/>
      <c r="F1749" s="1076"/>
      <c r="G1749" s="1063"/>
      <c r="H1749" s="1063"/>
      <c r="I1749" s="1063"/>
      <c r="J1749" s="1063"/>
      <c r="K1749" s="1063"/>
      <c r="L1749" s="1063"/>
      <c r="M1749" s="1063"/>
      <c r="N1749" s="1063"/>
      <c r="O1749" s="1063"/>
      <c r="P1749" s="1063"/>
      <c r="Q1749" s="1063"/>
      <c r="R1749" s="1063"/>
      <c r="S1749" s="1063"/>
      <c r="T1749" s="1063"/>
      <c r="U1749" s="1063"/>
      <c r="V1749" s="1063"/>
      <c r="W1749" s="1063"/>
      <c r="X1749" s="1063"/>
      <c r="Y1749" s="1063"/>
      <c r="Z1749" s="1063"/>
      <c r="AA1749" s="1063"/>
      <c r="AB1749" s="1063"/>
      <c r="AC1749" s="1063"/>
      <c r="AD1749" s="1063"/>
      <c r="AE1749" s="1063"/>
      <c r="AF1749" s="1063"/>
      <c r="AG1749" s="1063"/>
      <c r="AH1749" s="1063"/>
      <c r="AI1749" s="1063"/>
      <c r="AJ1749" s="1063"/>
      <c r="AK1749" s="1063"/>
      <c r="AL1749" s="1063"/>
      <c r="AM1749" s="1063"/>
      <c r="AN1749" s="1063"/>
      <c r="AO1749" s="1063"/>
      <c r="AP1749" s="1063"/>
      <c r="AQ1749" s="1063"/>
      <c r="AR1749" s="1063"/>
      <c r="AS1749" s="1063"/>
      <c r="AT1749" s="1063"/>
      <c r="AU1749" s="1063"/>
      <c r="AV1749" s="1063"/>
    </row>
    <row r="1750" spans="1:48" s="1108" customFormat="1" ht="27.75" customHeight="1">
      <c r="A1750" s="1076"/>
      <c r="B1750" s="1074">
        <f>+'[18]Bldg+Dev'!S2562</f>
        <v>0</v>
      </c>
      <c r="D1750" s="1063"/>
      <c r="F1750" s="1076"/>
      <c r="G1750" s="1063"/>
      <c r="H1750" s="1063"/>
      <c r="I1750" s="1063"/>
      <c r="J1750" s="1063"/>
      <c r="K1750" s="1063"/>
      <c r="L1750" s="1063"/>
      <c r="M1750" s="1063"/>
      <c r="N1750" s="1063"/>
      <c r="O1750" s="1063"/>
      <c r="P1750" s="1063"/>
      <c r="Q1750" s="1063"/>
      <c r="R1750" s="1063"/>
      <c r="S1750" s="1063"/>
      <c r="T1750" s="1063"/>
      <c r="U1750" s="1063"/>
      <c r="V1750" s="1063"/>
      <c r="W1750" s="1063"/>
      <c r="X1750" s="1063"/>
      <c r="Y1750" s="1063"/>
      <c r="Z1750" s="1063"/>
      <c r="AA1750" s="1063"/>
      <c r="AB1750" s="1063"/>
      <c r="AC1750" s="1063"/>
      <c r="AD1750" s="1063"/>
      <c r="AE1750" s="1063"/>
      <c r="AF1750" s="1063"/>
      <c r="AG1750" s="1063"/>
      <c r="AH1750" s="1063"/>
      <c r="AI1750" s="1063"/>
      <c r="AJ1750" s="1063"/>
      <c r="AK1750" s="1063"/>
      <c r="AL1750" s="1063"/>
      <c r="AM1750" s="1063"/>
      <c r="AN1750" s="1063"/>
      <c r="AO1750" s="1063"/>
      <c r="AP1750" s="1063"/>
      <c r="AQ1750" s="1063"/>
      <c r="AR1750" s="1063"/>
      <c r="AS1750" s="1063"/>
      <c r="AT1750" s="1063"/>
      <c r="AU1750" s="1063"/>
      <c r="AV1750" s="1063"/>
    </row>
    <row r="1751" spans="1:48" s="1108" customFormat="1" ht="27.75" customHeight="1">
      <c r="A1751" s="1076"/>
      <c r="B1751" s="1074">
        <f>+'[18]Bldg+Dev'!S2563</f>
        <v>0</v>
      </c>
      <c r="D1751" s="1063"/>
      <c r="F1751" s="1076"/>
      <c r="G1751" s="1063"/>
      <c r="H1751" s="1063"/>
      <c r="I1751" s="1063"/>
      <c r="J1751" s="1063"/>
      <c r="K1751" s="1063"/>
      <c r="L1751" s="1063"/>
      <c r="M1751" s="1063"/>
      <c r="N1751" s="1063"/>
      <c r="O1751" s="1063"/>
      <c r="P1751" s="1063"/>
      <c r="Q1751" s="1063"/>
      <c r="R1751" s="1063"/>
      <c r="S1751" s="1063"/>
      <c r="T1751" s="1063"/>
      <c r="U1751" s="1063"/>
      <c r="V1751" s="1063"/>
      <c r="W1751" s="1063"/>
      <c r="X1751" s="1063"/>
      <c r="Y1751" s="1063"/>
      <c r="Z1751" s="1063"/>
      <c r="AA1751" s="1063"/>
      <c r="AB1751" s="1063"/>
      <c r="AC1751" s="1063"/>
      <c r="AD1751" s="1063"/>
      <c r="AE1751" s="1063"/>
      <c r="AF1751" s="1063"/>
      <c r="AG1751" s="1063"/>
      <c r="AH1751" s="1063"/>
      <c r="AI1751" s="1063"/>
      <c r="AJ1751" s="1063"/>
      <c r="AK1751" s="1063"/>
      <c r="AL1751" s="1063"/>
      <c r="AM1751" s="1063"/>
      <c r="AN1751" s="1063"/>
      <c r="AO1751" s="1063"/>
      <c r="AP1751" s="1063"/>
      <c r="AQ1751" s="1063"/>
      <c r="AR1751" s="1063"/>
      <c r="AS1751" s="1063"/>
      <c r="AT1751" s="1063"/>
      <c r="AU1751" s="1063"/>
      <c r="AV1751" s="1063"/>
    </row>
    <row r="1752" spans="1:48" s="1108" customFormat="1" ht="27.75" customHeight="1">
      <c r="A1752" s="1076"/>
      <c r="B1752" s="1074">
        <f>+'[18]Bldg+Dev'!S2564</f>
        <v>0</v>
      </c>
      <c r="D1752" s="1063"/>
      <c r="F1752" s="1076"/>
      <c r="G1752" s="1063"/>
      <c r="H1752" s="1063"/>
      <c r="I1752" s="1063"/>
      <c r="J1752" s="1063"/>
      <c r="K1752" s="1063"/>
      <c r="L1752" s="1063"/>
      <c r="M1752" s="1063"/>
      <c r="N1752" s="1063"/>
      <c r="O1752" s="1063"/>
      <c r="P1752" s="1063"/>
      <c r="Q1752" s="1063"/>
      <c r="R1752" s="1063"/>
      <c r="S1752" s="1063"/>
      <c r="T1752" s="1063"/>
      <c r="U1752" s="1063"/>
      <c r="V1752" s="1063"/>
      <c r="W1752" s="1063"/>
      <c r="X1752" s="1063"/>
      <c r="Y1752" s="1063"/>
      <c r="Z1752" s="1063"/>
      <c r="AA1752" s="1063"/>
      <c r="AB1752" s="1063"/>
      <c r="AC1752" s="1063"/>
      <c r="AD1752" s="1063"/>
      <c r="AE1752" s="1063"/>
      <c r="AF1752" s="1063"/>
      <c r="AG1752" s="1063"/>
      <c r="AH1752" s="1063"/>
      <c r="AI1752" s="1063"/>
      <c r="AJ1752" s="1063"/>
      <c r="AK1752" s="1063"/>
      <c r="AL1752" s="1063"/>
      <c r="AM1752" s="1063"/>
      <c r="AN1752" s="1063"/>
      <c r="AO1752" s="1063"/>
      <c r="AP1752" s="1063"/>
      <c r="AQ1752" s="1063"/>
      <c r="AR1752" s="1063"/>
      <c r="AS1752" s="1063"/>
      <c r="AT1752" s="1063"/>
      <c r="AU1752" s="1063"/>
      <c r="AV1752" s="1063"/>
    </row>
    <row r="1753" spans="1:48" s="1108" customFormat="1" ht="27.75" customHeight="1">
      <c r="A1753" s="1076"/>
      <c r="B1753" s="1074">
        <f>+'[18]Bldg+Dev'!S2565</f>
        <v>0</v>
      </c>
      <c r="D1753" s="1063"/>
      <c r="F1753" s="1076"/>
      <c r="G1753" s="1063"/>
      <c r="H1753" s="1063"/>
      <c r="I1753" s="1063"/>
      <c r="J1753" s="1063"/>
      <c r="K1753" s="1063"/>
      <c r="L1753" s="1063"/>
      <c r="M1753" s="1063"/>
      <c r="N1753" s="1063"/>
      <c r="O1753" s="1063"/>
      <c r="P1753" s="1063"/>
      <c r="Q1753" s="1063"/>
      <c r="R1753" s="1063"/>
      <c r="S1753" s="1063"/>
      <c r="T1753" s="1063"/>
      <c r="U1753" s="1063"/>
      <c r="V1753" s="1063"/>
      <c r="W1753" s="1063"/>
      <c r="X1753" s="1063"/>
      <c r="Y1753" s="1063"/>
      <c r="Z1753" s="1063"/>
      <c r="AA1753" s="1063"/>
      <c r="AB1753" s="1063"/>
      <c r="AC1753" s="1063"/>
      <c r="AD1753" s="1063"/>
      <c r="AE1753" s="1063"/>
      <c r="AF1753" s="1063"/>
      <c r="AG1753" s="1063"/>
      <c r="AH1753" s="1063"/>
      <c r="AI1753" s="1063"/>
      <c r="AJ1753" s="1063"/>
      <c r="AK1753" s="1063"/>
      <c r="AL1753" s="1063"/>
      <c r="AM1753" s="1063"/>
      <c r="AN1753" s="1063"/>
      <c r="AO1753" s="1063"/>
      <c r="AP1753" s="1063"/>
      <c r="AQ1753" s="1063"/>
      <c r="AR1753" s="1063"/>
      <c r="AS1753" s="1063"/>
      <c r="AT1753" s="1063"/>
      <c r="AU1753" s="1063"/>
      <c r="AV1753" s="1063"/>
    </row>
    <row r="1754" spans="1:48" s="1108" customFormat="1" ht="27.75" customHeight="1">
      <c r="A1754" s="1076"/>
      <c r="B1754" s="1074">
        <f>+'[18]Bldg+Dev'!S2566</f>
        <v>0</v>
      </c>
      <c r="D1754" s="1063"/>
      <c r="F1754" s="1076"/>
      <c r="G1754" s="1063"/>
      <c r="H1754" s="1063"/>
      <c r="I1754" s="1063"/>
      <c r="J1754" s="1063"/>
      <c r="K1754" s="1063"/>
      <c r="L1754" s="1063"/>
      <c r="M1754" s="1063"/>
      <c r="N1754" s="1063"/>
      <c r="O1754" s="1063"/>
      <c r="P1754" s="1063"/>
      <c r="Q1754" s="1063"/>
      <c r="R1754" s="1063"/>
      <c r="S1754" s="1063"/>
      <c r="T1754" s="1063"/>
      <c r="U1754" s="1063"/>
      <c r="V1754" s="1063"/>
      <c r="W1754" s="1063"/>
      <c r="X1754" s="1063"/>
      <c r="Y1754" s="1063"/>
      <c r="Z1754" s="1063"/>
      <c r="AA1754" s="1063"/>
      <c r="AB1754" s="1063"/>
      <c r="AC1754" s="1063"/>
      <c r="AD1754" s="1063"/>
      <c r="AE1754" s="1063"/>
      <c r="AF1754" s="1063"/>
      <c r="AG1754" s="1063"/>
      <c r="AH1754" s="1063"/>
      <c r="AI1754" s="1063"/>
      <c r="AJ1754" s="1063"/>
      <c r="AK1754" s="1063"/>
      <c r="AL1754" s="1063"/>
      <c r="AM1754" s="1063"/>
      <c r="AN1754" s="1063"/>
      <c r="AO1754" s="1063"/>
      <c r="AP1754" s="1063"/>
      <c r="AQ1754" s="1063"/>
      <c r="AR1754" s="1063"/>
      <c r="AS1754" s="1063"/>
      <c r="AT1754" s="1063"/>
      <c r="AU1754" s="1063"/>
      <c r="AV1754" s="1063"/>
    </row>
    <row r="1755" spans="1:48" s="1108" customFormat="1" ht="27.75" customHeight="1">
      <c r="A1755" s="1076"/>
      <c r="B1755" s="1074">
        <f>+'[18]Bldg+Dev'!S2567</f>
        <v>0</v>
      </c>
      <c r="D1755" s="1063"/>
      <c r="F1755" s="1076"/>
      <c r="G1755" s="1063"/>
      <c r="H1755" s="1063"/>
      <c r="I1755" s="1063"/>
      <c r="J1755" s="1063"/>
      <c r="K1755" s="1063"/>
      <c r="L1755" s="1063"/>
      <c r="M1755" s="1063"/>
      <c r="N1755" s="1063"/>
      <c r="O1755" s="1063"/>
      <c r="P1755" s="1063"/>
      <c r="Q1755" s="1063"/>
      <c r="R1755" s="1063"/>
      <c r="S1755" s="1063"/>
      <c r="T1755" s="1063"/>
      <c r="U1755" s="1063"/>
      <c r="V1755" s="1063"/>
      <c r="W1755" s="1063"/>
      <c r="X1755" s="1063"/>
      <c r="Y1755" s="1063"/>
      <c r="Z1755" s="1063"/>
      <c r="AA1755" s="1063"/>
      <c r="AB1755" s="1063"/>
      <c r="AC1755" s="1063"/>
      <c r="AD1755" s="1063"/>
      <c r="AE1755" s="1063"/>
      <c r="AF1755" s="1063"/>
      <c r="AG1755" s="1063"/>
      <c r="AH1755" s="1063"/>
      <c r="AI1755" s="1063"/>
      <c r="AJ1755" s="1063"/>
      <c r="AK1755" s="1063"/>
      <c r="AL1755" s="1063"/>
      <c r="AM1755" s="1063"/>
      <c r="AN1755" s="1063"/>
      <c r="AO1755" s="1063"/>
      <c r="AP1755" s="1063"/>
      <c r="AQ1755" s="1063"/>
      <c r="AR1755" s="1063"/>
      <c r="AS1755" s="1063"/>
      <c r="AT1755" s="1063"/>
      <c r="AU1755" s="1063"/>
      <c r="AV1755" s="1063"/>
    </row>
    <row r="1756" spans="1:48" s="1108" customFormat="1" ht="27.75" customHeight="1">
      <c r="A1756" s="1076"/>
      <c r="B1756" s="1074">
        <f>+'[18]Bldg+Dev'!S2568</f>
        <v>0</v>
      </c>
      <c r="D1756" s="1063"/>
      <c r="F1756" s="1076"/>
      <c r="G1756" s="1063"/>
      <c r="H1756" s="1063"/>
      <c r="I1756" s="1063"/>
      <c r="J1756" s="1063"/>
      <c r="K1756" s="1063"/>
      <c r="L1756" s="1063"/>
      <c r="M1756" s="1063"/>
      <c r="N1756" s="1063"/>
      <c r="O1756" s="1063"/>
      <c r="P1756" s="1063"/>
      <c r="Q1756" s="1063"/>
      <c r="R1756" s="1063"/>
      <c r="S1756" s="1063"/>
      <c r="T1756" s="1063"/>
      <c r="U1756" s="1063"/>
      <c r="V1756" s="1063"/>
      <c r="W1756" s="1063"/>
      <c r="X1756" s="1063"/>
      <c r="Y1756" s="1063"/>
      <c r="Z1756" s="1063"/>
      <c r="AA1756" s="1063"/>
      <c r="AB1756" s="1063"/>
      <c r="AC1756" s="1063"/>
      <c r="AD1756" s="1063"/>
      <c r="AE1756" s="1063"/>
      <c r="AF1756" s="1063"/>
      <c r="AG1756" s="1063"/>
      <c r="AH1756" s="1063"/>
      <c r="AI1756" s="1063"/>
      <c r="AJ1756" s="1063"/>
      <c r="AK1756" s="1063"/>
      <c r="AL1756" s="1063"/>
      <c r="AM1756" s="1063"/>
      <c r="AN1756" s="1063"/>
      <c r="AO1756" s="1063"/>
      <c r="AP1756" s="1063"/>
      <c r="AQ1756" s="1063"/>
      <c r="AR1756" s="1063"/>
      <c r="AS1756" s="1063"/>
      <c r="AT1756" s="1063"/>
      <c r="AU1756" s="1063"/>
      <c r="AV1756" s="1063"/>
    </row>
    <row r="1757" spans="1:48" s="1108" customFormat="1" ht="27.75" customHeight="1">
      <c r="A1757" s="1076"/>
      <c r="B1757" s="1074">
        <f>+'[18]Bldg+Dev'!S2569</f>
        <v>0</v>
      </c>
      <c r="D1757" s="1063"/>
      <c r="F1757" s="1076"/>
      <c r="G1757" s="1063"/>
      <c r="H1757" s="1063"/>
      <c r="I1757" s="1063"/>
      <c r="J1757" s="1063"/>
      <c r="K1757" s="1063"/>
      <c r="L1757" s="1063"/>
      <c r="M1757" s="1063"/>
      <c r="N1757" s="1063"/>
      <c r="O1757" s="1063"/>
      <c r="P1757" s="1063"/>
      <c r="Q1757" s="1063"/>
      <c r="R1757" s="1063"/>
      <c r="S1757" s="1063"/>
      <c r="T1757" s="1063"/>
      <c r="U1757" s="1063"/>
      <c r="V1757" s="1063"/>
      <c r="W1757" s="1063"/>
      <c r="X1757" s="1063"/>
      <c r="Y1757" s="1063"/>
      <c r="Z1757" s="1063"/>
      <c r="AA1757" s="1063"/>
      <c r="AB1757" s="1063"/>
      <c r="AC1757" s="1063"/>
      <c r="AD1757" s="1063"/>
      <c r="AE1757" s="1063"/>
      <c r="AF1757" s="1063"/>
      <c r="AG1757" s="1063"/>
      <c r="AH1757" s="1063"/>
      <c r="AI1757" s="1063"/>
      <c r="AJ1757" s="1063"/>
      <c r="AK1757" s="1063"/>
      <c r="AL1757" s="1063"/>
      <c r="AM1757" s="1063"/>
      <c r="AN1757" s="1063"/>
      <c r="AO1757" s="1063"/>
      <c r="AP1757" s="1063"/>
      <c r="AQ1757" s="1063"/>
      <c r="AR1757" s="1063"/>
      <c r="AS1757" s="1063"/>
      <c r="AT1757" s="1063"/>
      <c r="AU1757" s="1063"/>
      <c r="AV1757" s="1063"/>
    </row>
    <row r="1758" spans="1:48" s="1108" customFormat="1" ht="27.75" customHeight="1">
      <c r="A1758" s="1076"/>
      <c r="B1758" s="1074">
        <f>+'[18]Bldg+Dev'!S2570</f>
        <v>0</v>
      </c>
      <c r="D1758" s="1063"/>
      <c r="F1758" s="1076"/>
      <c r="G1758" s="1063"/>
      <c r="H1758" s="1063"/>
      <c r="I1758" s="1063"/>
      <c r="J1758" s="1063"/>
      <c r="K1758" s="1063"/>
      <c r="L1758" s="1063"/>
      <c r="M1758" s="1063"/>
      <c r="N1758" s="1063"/>
      <c r="O1758" s="1063"/>
      <c r="P1758" s="1063"/>
      <c r="Q1758" s="1063"/>
      <c r="R1758" s="1063"/>
      <c r="S1758" s="1063"/>
      <c r="T1758" s="1063"/>
      <c r="U1758" s="1063"/>
      <c r="V1758" s="1063"/>
      <c r="W1758" s="1063"/>
      <c r="X1758" s="1063"/>
      <c r="Y1758" s="1063"/>
      <c r="Z1758" s="1063"/>
      <c r="AA1758" s="1063"/>
      <c r="AB1758" s="1063"/>
      <c r="AC1758" s="1063"/>
      <c r="AD1758" s="1063"/>
      <c r="AE1758" s="1063"/>
      <c r="AF1758" s="1063"/>
      <c r="AG1758" s="1063"/>
      <c r="AH1758" s="1063"/>
      <c r="AI1758" s="1063"/>
      <c r="AJ1758" s="1063"/>
      <c r="AK1758" s="1063"/>
      <c r="AL1758" s="1063"/>
      <c r="AM1758" s="1063"/>
      <c r="AN1758" s="1063"/>
      <c r="AO1758" s="1063"/>
      <c r="AP1758" s="1063"/>
      <c r="AQ1758" s="1063"/>
      <c r="AR1758" s="1063"/>
      <c r="AS1758" s="1063"/>
      <c r="AT1758" s="1063"/>
      <c r="AU1758" s="1063"/>
      <c r="AV1758" s="1063"/>
    </row>
    <row r="1759" spans="1:48" s="1108" customFormat="1" ht="27.75" customHeight="1">
      <c r="A1759" s="1076"/>
      <c r="B1759" s="1074">
        <f>+'[18]Bldg+Dev'!S2571</f>
        <v>0</v>
      </c>
      <c r="D1759" s="1063"/>
      <c r="F1759" s="1076"/>
      <c r="G1759" s="1063"/>
      <c r="H1759" s="1063"/>
      <c r="I1759" s="1063"/>
      <c r="J1759" s="1063"/>
      <c r="K1759" s="1063"/>
      <c r="L1759" s="1063"/>
      <c r="M1759" s="1063"/>
      <c r="N1759" s="1063"/>
      <c r="O1759" s="1063"/>
      <c r="P1759" s="1063"/>
      <c r="Q1759" s="1063"/>
      <c r="R1759" s="1063"/>
      <c r="S1759" s="1063"/>
      <c r="T1759" s="1063"/>
      <c r="U1759" s="1063"/>
      <c r="V1759" s="1063"/>
      <c r="W1759" s="1063"/>
      <c r="X1759" s="1063"/>
      <c r="Y1759" s="1063"/>
      <c r="Z1759" s="1063"/>
      <c r="AA1759" s="1063"/>
      <c r="AB1759" s="1063"/>
      <c r="AC1759" s="1063"/>
      <c r="AD1759" s="1063"/>
      <c r="AE1759" s="1063"/>
      <c r="AF1759" s="1063"/>
      <c r="AG1759" s="1063"/>
      <c r="AH1759" s="1063"/>
      <c r="AI1759" s="1063"/>
      <c r="AJ1759" s="1063"/>
      <c r="AK1759" s="1063"/>
      <c r="AL1759" s="1063"/>
      <c r="AM1759" s="1063"/>
      <c r="AN1759" s="1063"/>
      <c r="AO1759" s="1063"/>
      <c r="AP1759" s="1063"/>
      <c r="AQ1759" s="1063"/>
      <c r="AR1759" s="1063"/>
      <c r="AS1759" s="1063"/>
      <c r="AT1759" s="1063"/>
      <c r="AU1759" s="1063"/>
      <c r="AV1759" s="1063"/>
    </row>
    <row r="1760" spans="1:48" s="1108" customFormat="1" ht="27.75" customHeight="1">
      <c r="A1760" s="1076"/>
      <c r="B1760" s="1074">
        <f>+'[18]Bldg+Dev'!S2572</f>
        <v>0</v>
      </c>
      <c r="D1760" s="1063"/>
      <c r="F1760" s="1076"/>
      <c r="G1760" s="1063"/>
      <c r="H1760" s="1063"/>
      <c r="I1760" s="1063"/>
      <c r="J1760" s="1063"/>
      <c r="K1760" s="1063"/>
      <c r="L1760" s="1063"/>
      <c r="M1760" s="1063"/>
      <c r="N1760" s="1063"/>
      <c r="O1760" s="1063"/>
      <c r="P1760" s="1063"/>
      <c r="Q1760" s="1063"/>
      <c r="R1760" s="1063"/>
      <c r="S1760" s="1063"/>
      <c r="T1760" s="1063"/>
      <c r="U1760" s="1063"/>
      <c r="V1760" s="1063"/>
      <c r="W1760" s="1063"/>
      <c r="X1760" s="1063"/>
      <c r="Y1760" s="1063"/>
      <c r="Z1760" s="1063"/>
      <c r="AA1760" s="1063"/>
      <c r="AB1760" s="1063"/>
      <c r="AC1760" s="1063"/>
      <c r="AD1760" s="1063"/>
      <c r="AE1760" s="1063"/>
      <c r="AF1760" s="1063"/>
      <c r="AG1760" s="1063"/>
      <c r="AH1760" s="1063"/>
      <c r="AI1760" s="1063"/>
      <c r="AJ1760" s="1063"/>
      <c r="AK1760" s="1063"/>
      <c r="AL1760" s="1063"/>
      <c r="AM1760" s="1063"/>
      <c r="AN1760" s="1063"/>
      <c r="AO1760" s="1063"/>
      <c r="AP1760" s="1063"/>
      <c r="AQ1760" s="1063"/>
      <c r="AR1760" s="1063"/>
      <c r="AS1760" s="1063"/>
      <c r="AT1760" s="1063"/>
      <c r="AU1760" s="1063"/>
      <c r="AV1760" s="1063"/>
    </row>
    <row r="1761" spans="1:48" s="1108" customFormat="1" ht="27.75" customHeight="1">
      <c r="A1761" s="1076"/>
      <c r="B1761" s="1074">
        <f>+'[18]Bldg+Dev'!S2573</f>
        <v>0</v>
      </c>
      <c r="D1761" s="1063"/>
      <c r="F1761" s="1076"/>
      <c r="G1761" s="1063"/>
      <c r="H1761" s="1063"/>
      <c r="I1761" s="1063"/>
      <c r="J1761" s="1063"/>
      <c r="K1761" s="1063"/>
      <c r="L1761" s="1063"/>
      <c r="M1761" s="1063"/>
      <c r="N1761" s="1063"/>
      <c r="O1761" s="1063"/>
      <c r="P1761" s="1063"/>
      <c r="Q1761" s="1063"/>
      <c r="R1761" s="1063"/>
      <c r="S1761" s="1063"/>
      <c r="T1761" s="1063"/>
      <c r="U1761" s="1063"/>
      <c r="V1761" s="1063"/>
      <c r="W1761" s="1063"/>
      <c r="X1761" s="1063"/>
      <c r="Y1761" s="1063"/>
      <c r="Z1761" s="1063"/>
      <c r="AA1761" s="1063"/>
      <c r="AB1761" s="1063"/>
      <c r="AC1761" s="1063"/>
      <c r="AD1761" s="1063"/>
      <c r="AE1761" s="1063"/>
      <c r="AF1761" s="1063"/>
      <c r="AG1761" s="1063"/>
      <c r="AH1761" s="1063"/>
      <c r="AI1761" s="1063"/>
      <c r="AJ1761" s="1063"/>
      <c r="AK1761" s="1063"/>
      <c r="AL1761" s="1063"/>
      <c r="AM1761" s="1063"/>
      <c r="AN1761" s="1063"/>
      <c r="AO1761" s="1063"/>
      <c r="AP1761" s="1063"/>
      <c r="AQ1761" s="1063"/>
      <c r="AR1761" s="1063"/>
      <c r="AS1761" s="1063"/>
      <c r="AT1761" s="1063"/>
      <c r="AU1761" s="1063"/>
      <c r="AV1761" s="1063"/>
    </row>
    <row r="1762" spans="1:48" s="1108" customFormat="1" ht="27.75" customHeight="1">
      <c r="A1762" s="1076"/>
      <c r="B1762" s="1074">
        <f>+'[18]Bldg+Dev'!S2574</f>
        <v>0</v>
      </c>
      <c r="D1762" s="1063"/>
      <c r="F1762" s="1076"/>
      <c r="G1762" s="1063"/>
      <c r="H1762" s="1063"/>
      <c r="I1762" s="1063"/>
      <c r="J1762" s="1063"/>
      <c r="K1762" s="1063"/>
      <c r="L1762" s="1063"/>
      <c r="M1762" s="1063"/>
      <c r="N1762" s="1063"/>
      <c r="O1762" s="1063"/>
      <c r="P1762" s="1063"/>
      <c r="Q1762" s="1063"/>
      <c r="R1762" s="1063"/>
      <c r="S1762" s="1063"/>
      <c r="T1762" s="1063"/>
      <c r="U1762" s="1063"/>
      <c r="V1762" s="1063"/>
      <c r="W1762" s="1063"/>
      <c r="X1762" s="1063"/>
      <c r="Y1762" s="1063"/>
      <c r="Z1762" s="1063"/>
      <c r="AA1762" s="1063"/>
      <c r="AB1762" s="1063"/>
      <c r="AC1762" s="1063"/>
      <c r="AD1762" s="1063"/>
      <c r="AE1762" s="1063"/>
      <c r="AF1762" s="1063"/>
      <c r="AG1762" s="1063"/>
      <c r="AH1762" s="1063"/>
      <c r="AI1762" s="1063"/>
      <c r="AJ1762" s="1063"/>
      <c r="AK1762" s="1063"/>
      <c r="AL1762" s="1063"/>
      <c r="AM1762" s="1063"/>
      <c r="AN1762" s="1063"/>
      <c r="AO1762" s="1063"/>
      <c r="AP1762" s="1063"/>
      <c r="AQ1762" s="1063"/>
      <c r="AR1762" s="1063"/>
      <c r="AS1762" s="1063"/>
      <c r="AT1762" s="1063"/>
      <c r="AU1762" s="1063"/>
      <c r="AV1762" s="1063"/>
    </row>
    <row r="1763" spans="1:48" s="1108" customFormat="1" ht="27.75" customHeight="1">
      <c r="A1763" s="1076"/>
      <c r="B1763" s="1074">
        <f>+'[18]Bldg+Dev'!S2575</f>
        <v>0</v>
      </c>
      <c r="D1763" s="1063"/>
      <c r="F1763" s="1076"/>
      <c r="G1763" s="1063"/>
      <c r="H1763" s="1063"/>
      <c r="I1763" s="1063"/>
      <c r="J1763" s="1063"/>
      <c r="K1763" s="1063"/>
      <c r="L1763" s="1063"/>
      <c r="M1763" s="1063"/>
      <c r="N1763" s="1063"/>
      <c r="O1763" s="1063"/>
      <c r="P1763" s="1063"/>
      <c r="Q1763" s="1063"/>
      <c r="R1763" s="1063"/>
      <c r="S1763" s="1063"/>
      <c r="T1763" s="1063"/>
      <c r="U1763" s="1063"/>
      <c r="V1763" s="1063"/>
      <c r="W1763" s="1063"/>
      <c r="X1763" s="1063"/>
      <c r="Y1763" s="1063"/>
      <c r="Z1763" s="1063"/>
      <c r="AA1763" s="1063"/>
      <c r="AB1763" s="1063"/>
      <c r="AC1763" s="1063"/>
      <c r="AD1763" s="1063"/>
      <c r="AE1763" s="1063"/>
      <c r="AF1763" s="1063"/>
      <c r="AG1763" s="1063"/>
      <c r="AH1763" s="1063"/>
      <c r="AI1763" s="1063"/>
      <c r="AJ1763" s="1063"/>
      <c r="AK1763" s="1063"/>
      <c r="AL1763" s="1063"/>
      <c r="AM1763" s="1063"/>
      <c r="AN1763" s="1063"/>
      <c r="AO1763" s="1063"/>
      <c r="AP1763" s="1063"/>
      <c r="AQ1763" s="1063"/>
      <c r="AR1763" s="1063"/>
      <c r="AS1763" s="1063"/>
      <c r="AT1763" s="1063"/>
      <c r="AU1763" s="1063"/>
      <c r="AV1763" s="1063"/>
    </row>
    <row r="1764" spans="1:48" s="1108" customFormat="1" ht="27.75" customHeight="1">
      <c r="A1764" s="1076"/>
      <c r="B1764" s="1074">
        <f>+'[18]Bldg+Dev'!S2576</f>
        <v>0</v>
      </c>
      <c r="D1764" s="1063"/>
      <c r="F1764" s="1076"/>
      <c r="G1764" s="1063"/>
      <c r="H1764" s="1063"/>
      <c r="I1764" s="1063"/>
      <c r="J1764" s="1063"/>
      <c r="K1764" s="1063"/>
      <c r="L1764" s="1063"/>
      <c r="M1764" s="1063"/>
      <c r="N1764" s="1063"/>
      <c r="O1764" s="1063"/>
      <c r="P1764" s="1063"/>
      <c r="Q1764" s="1063"/>
      <c r="R1764" s="1063"/>
      <c r="S1764" s="1063"/>
      <c r="T1764" s="1063"/>
      <c r="U1764" s="1063"/>
      <c r="V1764" s="1063"/>
      <c r="W1764" s="1063"/>
      <c r="X1764" s="1063"/>
      <c r="Y1764" s="1063"/>
      <c r="Z1764" s="1063"/>
      <c r="AA1764" s="1063"/>
      <c r="AB1764" s="1063"/>
      <c r="AC1764" s="1063"/>
      <c r="AD1764" s="1063"/>
      <c r="AE1764" s="1063"/>
      <c r="AF1764" s="1063"/>
      <c r="AG1764" s="1063"/>
      <c r="AH1764" s="1063"/>
      <c r="AI1764" s="1063"/>
      <c r="AJ1764" s="1063"/>
      <c r="AK1764" s="1063"/>
      <c r="AL1764" s="1063"/>
      <c r="AM1764" s="1063"/>
      <c r="AN1764" s="1063"/>
      <c r="AO1764" s="1063"/>
      <c r="AP1764" s="1063"/>
      <c r="AQ1764" s="1063"/>
      <c r="AR1764" s="1063"/>
      <c r="AS1764" s="1063"/>
      <c r="AT1764" s="1063"/>
      <c r="AU1764" s="1063"/>
      <c r="AV1764" s="1063"/>
    </row>
    <row r="1765" spans="1:48" s="1108" customFormat="1" ht="27.75" customHeight="1">
      <c r="A1765" s="1076"/>
      <c r="B1765" s="1074">
        <f>+'[18]Bldg+Dev'!S2577</f>
        <v>0</v>
      </c>
      <c r="D1765" s="1063"/>
      <c r="F1765" s="1076"/>
      <c r="G1765" s="1063"/>
      <c r="H1765" s="1063"/>
      <c r="I1765" s="1063"/>
      <c r="J1765" s="1063"/>
      <c r="K1765" s="1063"/>
      <c r="L1765" s="1063"/>
      <c r="M1765" s="1063"/>
      <c r="N1765" s="1063"/>
      <c r="O1765" s="1063"/>
      <c r="P1765" s="1063"/>
      <c r="Q1765" s="1063"/>
      <c r="R1765" s="1063"/>
      <c r="S1765" s="1063"/>
      <c r="T1765" s="1063"/>
      <c r="U1765" s="1063"/>
      <c r="V1765" s="1063"/>
      <c r="W1765" s="1063"/>
      <c r="X1765" s="1063"/>
      <c r="Y1765" s="1063"/>
      <c r="Z1765" s="1063"/>
      <c r="AA1765" s="1063"/>
      <c r="AB1765" s="1063"/>
      <c r="AC1765" s="1063"/>
      <c r="AD1765" s="1063"/>
      <c r="AE1765" s="1063"/>
      <c r="AF1765" s="1063"/>
      <c r="AG1765" s="1063"/>
      <c r="AH1765" s="1063"/>
      <c r="AI1765" s="1063"/>
      <c r="AJ1765" s="1063"/>
      <c r="AK1765" s="1063"/>
      <c r="AL1765" s="1063"/>
      <c r="AM1765" s="1063"/>
      <c r="AN1765" s="1063"/>
      <c r="AO1765" s="1063"/>
      <c r="AP1765" s="1063"/>
      <c r="AQ1765" s="1063"/>
      <c r="AR1765" s="1063"/>
      <c r="AS1765" s="1063"/>
      <c r="AT1765" s="1063"/>
      <c r="AU1765" s="1063"/>
      <c r="AV1765" s="1063"/>
    </row>
    <row r="1766" spans="1:48" s="1108" customFormat="1" ht="27.75" customHeight="1">
      <c r="A1766" s="1076"/>
      <c r="B1766" s="1074">
        <f>+'[18]Bldg+Dev'!S2578</f>
        <v>0</v>
      </c>
      <c r="D1766" s="1063"/>
      <c r="F1766" s="1076"/>
      <c r="G1766" s="1063"/>
      <c r="H1766" s="1063"/>
      <c r="I1766" s="1063"/>
      <c r="J1766" s="1063"/>
      <c r="K1766" s="1063"/>
      <c r="L1766" s="1063"/>
      <c r="M1766" s="1063"/>
      <c r="N1766" s="1063"/>
      <c r="O1766" s="1063"/>
      <c r="P1766" s="1063"/>
      <c r="Q1766" s="1063"/>
      <c r="R1766" s="1063"/>
      <c r="S1766" s="1063"/>
      <c r="T1766" s="1063"/>
      <c r="U1766" s="1063"/>
      <c r="V1766" s="1063"/>
      <c r="W1766" s="1063"/>
      <c r="X1766" s="1063"/>
      <c r="Y1766" s="1063"/>
      <c r="Z1766" s="1063"/>
      <c r="AA1766" s="1063"/>
      <c r="AB1766" s="1063"/>
      <c r="AC1766" s="1063"/>
      <c r="AD1766" s="1063"/>
      <c r="AE1766" s="1063"/>
      <c r="AF1766" s="1063"/>
      <c r="AG1766" s="1063"/>
      <c r="AH1766" s="1063"/>
      <c r="AI1766" s="1063"/>
      <c r="AJ1766" s="1063"/>
      <c r="AK1766" s="1063"/>
      <c r="AL1766" s="1063"/>
      <c r="AM1766" s="1063"/>
      <c r="AN1766" s="1063"/>
      <c r="AO1766" s="1063"/>
      <c r="AP1766" s="1063"/>
      <c r="AQ1766" s="1063"/>
      <c r="AR1766" s="1063"/>
      <c r="AS1766" s="1063"/>
      <c r="AT1766" s="1063"/>
      <c r="AU1766" s="1063"/>
      <c r="AV1766" s="1063"/>
    </row>
    <row r="1767" spans="1:48" s="1108" customFormat="1" ht="27.75" customHeight="1">
      <c r="A1767" s="1076"/>
      <c r="B1767" s="1074">
        <f>+'[18]Bldg+Dev'!S2579</f>
        <v>0</v>
      </c>
      <c r="D1767" s="1063"/>
      <c r="F1767" s="1076"/>
      <c r="G1767" s="1063"/>
      <c r="H1767" s="1063"/>
      <c r="I1767" s="1063"/>
      <c r="J1767" s="1063"/>
      <c r="K1767" s="1063"/>
      <c r="L1767" s="1063"/>
      <c r="M1767" s="1063"/>
      <c r="N1767" s="1063"/>
      <c r="O1767" s="1063"/>
      <c r="P1767" s="1063"/>
      <c r="Q1767" s="1063"/>
      <c r="R1767" s="1063"/>
      <c r="S1767" s="1063"/>
      <c r="T1767" s="1063"/>
      <c r="U1767" s="1063"/>
      <c r="V1767" s="1063"/>
      <c r="W1767" s="1063"/>
      <c r="X1767" s="1063"/>
      <c r="Y1767" s="1063"/>
      <c r="Z1767" s="1063"/>
      <c r="AA1767" s="1063"/>
      <c r="AB1767" s="1063"/>
      <c r="AC1767" s="1063"/>
      <c r="AD1767" s="1063"/>
      <c r="AE1767" s="1063"/>
      <c r="AF1767" s="1063"/>
      <c r="AG1767" s="1063"/>
      <c r="AH1767" s="1063"/>
      <c r="AI1767" s="1063"/>
      <c r="AJ1767" s="1063"/>
      <c r="AK1767" s="1063"/>
      <c r="AL1767" s="1063"/>
      <c r="AM1767" s="1063"/>
      <c r="AN1767" s="1063"/>
      <c r="AO1767" s="1063"/>
      <c r="AP1767" s="1063"/>
      <c r="AQ1767" s="1063"/>
      <c r="AR1767" s="1063"/>
      <c r="AS1767" s="1063"/>
      <c r="AT1767" s="1063"/>
      <c r="AU1767" s="1063"/>
      <c r="AV1767" s="1063"/>
    </row>
    <row r="1768" spans="1:48" s="1108" customFormat="1" ht="27.75" customHeight="1">
      <c r="A1768" s="1076"/>
      <c r="B1768" s="1074">
        <f>+'[18]Bldg+Dev'!S2580</f>
        <v>0</v>
      </c>
      <c r="D1768" s="1063"/>
      <c r="F1768" s="1076"/>
      <c r="G1768" s="1063"/>
      <c r="H1768" s="1063"/>
      <c r="I1768" s="1063"/>
      <c r="J1768" s="1063"/>
      <c r="K1768" s="1063"/>
      <c r="L1768" s="1063"/>
      <c r="M1768" s="1063"/>
      <c r="N1768" s="1063"/>
      <c r="O1768" s="1063"/>
      <c r="P1768" s="1063"/>
      <c r="Q1768" s="1063"/>
      <c r="R1768" s="1063"/>
      <c r="S1768" s="1063"/>
      <c r="T1768" s="1063"/>
      <c r="U1768" s="1063"/>
      <c r="V1768" s="1063"/>
      <c r="W1768" s="1063"/>
      <c r="X1768" s="1063"/>
      <c r="Y1768" s="1063"/>
      <c r="Z1768" s="1063"/>
      <c r="AA1768" s="1063"/>
      <c r="AB1768" s="1063"/>
      <c r="AC1768" s="1063"/>
      <c r="AD1768" s="1063"/>
      <c r="AE1768" s="1063"/>
      <c r="AF1768" s="1063"/>
      <c r="AG1768" s="1063"/>
      <c r="AH1768" s="1063"/>
      <c r="AI1768" s="1063"/>
      <c r="AJ1768" s="1063"/>
      <c r="AK1768" s="1063"/>
      <c r="AL1768" s="1063"/>
      <c r="AM1768" s="1063"/>
      <c r="AN1768" s="1063"/>
      <c r="AO1768" s="1063"/>
      <c r="AP1768" s="1063"/>
      <c r="AQ1768" s="1063"/>
      <c r="AR1768" s="1063"/>
      <c r="AS1768" s="1063"/>
      <c r="AT1768" s="1063"/>
      <c r="AU1768" s="1063"/>
      <c r="AV1768" s="1063"/>
    </row>
    <row r="1769" spans="1:48" s="1108" customFormat="1" ht="27.75" customHeight="1">
      <c r="A1769" s="1076"/>
      <c r="B1769" s="1074">
        <f>+'[18]Bldg+Dev'!S2581</f>
        <v>0</v>
      </c>
      <c r="D1769" s="1063"/>
      <c r="F1769" s="1076"/>
      <c r="G1769" s="1063"/>
      <c r="H1769" s="1063"/>
      <c r="I1769" s="1063"/>
      <c r="J1769" s="1063"/>
      <c r="K1769" s="1063"/>
      <c r="L1769" s="1063"/>
      <c r="M1769" s="1063"/>
      <c r="N1769" s="1063"/>
      <c r="O1769" s="1063"/>
      <c r="P1769" s="1063"/>
      <c r="Q1769" s="1063"/>
      <c r="R1769" s="1063"/>
      <c r="S1769" s="1063"/>
      <c r="T1769" s="1063"/>
      <c r="U1769" s="1063"/>
      <c r="V1769" s="1063"/>
      <c r="W1769" s="1063"/>
      <c r="X1769" s="1063"/>
      <c r="Y1769" s="1063"/>
      <c r="Z1769" s="1063"/>
      <c r="AA1769" s="1063"/>
      <c r="AB1769" s="1063"/>
      <c r="AC1769" s="1063"/>
      <c r="AD1769" s="1063"/>
      <c r="AE1769" s="1063"/>
      <c r="AF1769" s="1063"/>
      <c r="AG1769" s="1063"/>
      <c r="AH1769" s="1063"/>
      <c r="AI1769" s="1063"/>
      <c r="AJ1769" s="1063"/>
      <c r="AK1769" s="1063"/>
      <c r="AL1769" s="1063"/>
      <c r="AM1769" s="1063"/>
      <c r="AN1769" s="1063"/>
      <c r="AO1769" s="1063"/>
      <c r="AP1769" s="1063"/>
      <c r="AQ1769" s="1063"/>
      <c r="AR1769" s="1063"/>
      <c r="AS1769" s="1063"/>
      <c r="AT1769" s="1063"/>
      <c r="AU1769" s="1063"/>
      <c r="AV1769" s="1063"/>
    </row>
    <row r="1770" spans="1:48" s="1108" customFormat="1" ht="27.75" customHeight="1">
      <c r="A1770" s="1076"/>
      <c r="B1770" s="1074">
        <f>+'[18]Bldg+Dev'!S2582</f>
        <v>0</v>
      </c>
      <c r="D1770" s="1063"/>
      <c r="F1770" s="1076"/>
      <c r="G1770" s="1063"/>
      <c r="H1770" s="1063"/>
      <c r="I1770" s="1063"/>
      <c r="J1770" s="1063"/>
      <c r="K1770" s="1063"/>
      <c r="L1770" s="1063"/>
      <c r="M1770" s="1063"/>
      <c r="N1770" s="1063"/>
      <c r="O1770" s="1063"/>
      <c r="P1770" s="1063"/>
      <c r="Q1770" s="1063"/>
      <c r="R1770" s="1063"/>
      <c r="S1770" s="1063"/>
      <c r="T1770" s="1063"/>
      <c r="U1770" s="1063"/>
      <c r="V1770" s="1063"/>
      <c r="W1770" s="1063"/>
      <c r="X1770" s="1063"/>
      <c r="Y1770" s="1063"/>
      <c r="Z1770" s="1063"/>
      <c r="AA1770" s="1063"/>
      <c r="AB1770" s="1063"/>
      <c r="AC1770" s="1063"/>
      <c r="AD1770" s="1063"/>
      <c r="AE1770" s="1063"/>
      <c r="AF1770" s="1063"/>
      <c r="AG1770" s="1063"/>
      <c r="AH1770" s="1063"/>
      <c r="AI1770" s="1063"/>
      <c r="AJ1770" s="1063"/>
      <c r="AK1770" s="1063"/>
      <c r="AL1770" s="1063"/>
      <c r="AM1770" s="1063"/>
      <c r="AN1770" s="1063"/>
      <c r="AO1770" s="1063"/>
      <c r="AP1770" s="1063"/>
      <c r="AQ1770" s="1063"/>
      <c r="AR1770" s="1063"/>
      <c r="AS1770" s="1063"/>
      <c r="AT1770" s="1063"/>
      <c r="AU1770" s="1063"/>
      <c r="AV1770" s="1063"/>
    </row>
    <row r="1771" spans="1:48" s="1108" customFormat="1" ht="27.75" customHeight="1">
      <c r="A1771" s="1076"/>
      <c r="B1771" s="1074">
        <f>+'[18]Bldg+Dev'!S2583</f>
        <v>0</v>
      </c>
      <c r="D1771" s="1063"/>
      <c r="F1771" s="1076"/>
      <c r="G1771" s="1063"/>
      <c r="H1771" s="1063"/>
      <c r="I1771" s="1063"/>
      <c r="J1771" s="1063"/>
      <c r="K1771" s="1063"/>
      <c r="L1771" s="1063"/>
      <c r="M1771" s="1063"/>
      <c r="N1771" s="1063"/>
      <c r="O1771" s="1063"/>
      <c r="P1771" s="1063"/>
      <c r="Q1771" s="1063"/>
      <c r="R1771" s="1063"/>
      <c r="S1771" s="1063"/>
      <c r="T1771" s="1063"/>
      <c r="U1771" s="1063"/>
      <c r="V1771" s="1063"/>
      <c r="W1771" s="1063"/>
      <c r="X1771" s="1063"/>
      <c r="Y1771" s="1063"/>
      <c r="Z1771" s="1063"/>
      <c r="AA1771" s="1063"/>
      <c r="AB1771" s="1063"/>
      <c r="AC1771" s="1063"/>
      <c r="AD1771" s="1063"/>
      <c r="AE1771" s="1063"/>
      <c r="AF1771" s="1063"/>
      <c r="AG1771" s="1063"/>
      <c r="AH1771" s="1063"/>
      <c r="AI1771" s="1063"/>
      <c r="AJ1771" s="1063"/>
      <c r="AK1771" s="1063"/>
      <c r="AL1771" s="1063"/>
      <c r="AM1771" s="1063"/>
      <c r="AN1771" s="1063"/>
      <c r="AO1771" s="1063"/>
      <c r="AP1771" s="1063"/>
      <c r="AQ1771" s="1063"/>
      <c r="AR1771" s="1063"/>
      <c r="AS1771" s="1063"/>
      <c r="AT1771" s="1063"/>
      <c r="AU1771" s="1063"/>
      <c r="AV1771" s="1063"/>
    </row>
    <row r="1772" spans="1:48" s="1108" customFormat="1" ht="27.75" customHeight="1">
      <c r="A1772" s="1076"/>
      <c r="B1772" s="1074">
        <f>+'[18]Bldg+Dev'!S2584</f>
        <v>0</v>
      </c>
      <c r="D1772" s="1063"/>
      <c r="F1772" s="1076"/>
      <c r="G1772" s="1063"/>
      <c r="H1772" s="1063"/>
      <c r="I1772" s="1063"/>
      <c r="J1772" s="1063"/>
      <c r="K1772" s="1063"/>
      <c r="L1772" s="1063"/>
      <c r="M1772" s="1063"/>
      <c r="N1772" s="1063"/>
      <c r="O1772" s="1063"/>
      <c r="P1772" s="1063"/>
      <c r="Q1772" s="1063"/>
      <c r="R1772" s="1063"/>
      <c r="S1772" s="1063"/>
      <c r="T1772" s="1063"/>
      <c r="U1772" s="1063"/>
      <c r="V1772" s="1063"/>
      <c r="W1772" s="1063"/>
      <c r="X1772" s="1063"/>
      <c r="Y1772" s="1063"/>
      <c r="Z1772" s="1063"/>
      <c r="AA1772" s="1063"/>
      <c r="AB1772" s="1063"/>
      <c r="AC1772" s="1063"/>
      <c r="AD1772" s="1063"/>
      <c r="AE1772" s="1063"/>
      <c r="AF1772" s="1063"/>
      <c r="AG1772" s="1063"/>
      <c r="AH1772" s="1063"/>
      <c r="AI1772" s="1063"/>
      <c r="AJ1772" s="1063"/>
      <c r="AK1772" s="1063"/>
      <c r="AL1772" s="1063"/>
      <c r="AM1772" s="1063"/>
      <c r="AN1772" s="1063"/>
      <c r="AO1772" s="1063"/>
      <c r="AP1772" s="1063"/>
      <c r="AQ1772" s="1063"/>
      <c r="AR1772" s="1063"/>
      <c r="AS1772" s="1063"/>
      <c r="AT1772" s="1063"/>
      <c r="AU1772" s="1063"/>
      <c r="AV1772" s="1063"/>
    </row>
    <row r="1773" spans="1:48" s="1108" customFormat="1" ht="27.75" customHeight="1">
      <c r="A1773" s="1076"/>
      <c r="B1773" s="1074">
        <f>+'[18]Bldg+Dev'!S2585</f>
        <v>0</v>
      </c>
      <c r="D1773" s="1063"/>
      <c r="F1773" s="1076"/>
      <c r="G1773" s="1063"/>
      <c r="H1773" s="1063"/>
      <c r="I1773" s="1063"/>
      <c r="J1773" s="1063"/>
      <c r="K1773" s="1063"/>
      <c r="L1773" s="1063"/>
      <c r="M1773" s="1063"/>
      <c r="N1773" s="1063"/>
      <c r="O1773" s="1063"/>
      <c r="P1773" s="1063"/>
      <c r="Q1773" s="1063"/>
      <c r="R1773" s="1063"/>
      <c r="S1773" s="1063"/>
      <c r="T1773" s="1063"/>
      <c r="U1773" s="1063"/>
      <c r="V1773" s="1063"/>
      <c r="W1773" s="1063"/>
      <c r="X1773" s="1063"/>
      <c r="Y1773" s="1063"/>
      <c r="Z1773" s="1063"/>
      <c r="AA1773" s="1063"/>
      <c r="AB1773" s="1063"/>
      <c r="AC1773" s="1063"/>
      <c r="AD1773" s="1063"/>
      <c r="AE1773" s="1063"/>
      <c r="AF1773" s="1063"/>
      <c r="AG1773" s="1063"/>
      <c r="AH1773" s="1063"/>
      <c r="AI1773" s="1063"/>
      <c r="AJ1773" s="1063"/>
      <c r="AK1773" s="1063"/>
      <c r="AL1773" s="1063"/>
      <c r="AM1773" s="1063"/>
      <c r="AN1773" s="1063"/>
      <c r="AO1773" s="1063"/>
      <c r="AP1773" s="1063"/>
      <c r="AQ1773" s="1063"/>
      <c r="AR1773" s="1063"/>
      <c r="AS1773" s="1063"/>
      <c r="AT1773" s="1063"/>
      <c r="AU1773" s="1063"/>
      <c r="AV1773" s="1063"/>
    </row>
    <row r="1774" spans="1:48" s="1108" customFormat="1" ht="27.75" customHeight="1">
      <c r="A1774" s="1076"/>
      <c r="B1774" s="1074">
        <f>+'[18]Bldg+Dev'!S2586</f>
        <v>0</v>
      </c>
      <c r="D1774" s="1063"/>
      <c r="F1774" s="1076"/>
      <c r="G1774" s="1063"/>
      <c r="H1774" s="1063"/>
      <c r="I1774" s="1063"/>
      <c r="J1774" s="1063"/>
      <c r="K1774" s="1063"/>
      <c r="L1774" s="1063"/>
      <c r="M1774" s="1063"/>
      <c r="N1774" s="1063"/>
      <c r="O1774" s="1063"/>
      <c r="P1774" s="1063"/>
      <c r="Q1774" s="1063"/>
      <c r="R1774" s="1063"/>
      <c r="S1774" s="1063"/>
      <c r="T1774" s="1063"/>
      <c r="U1774" s="1063"/>
      <c r="V1774" s="1063"/>
      <c r="W1774" s="1063"/>
      <c r="X1774" s="1063"/>
      <c r="Y1774" s="1063"/>
      <c r="Z1774" s="1063"/>
      <c r="AA1774" s="1063"/>
      <c r="AB1774" s="1063"/>
      <c r="AC1774" s="1063"/>
      <c r="AD1774" s="1063"/>
      <c r="AE1774" s="1063"/>
      <c r="AF1774" s="1063"/>
      <c r="AG1774" s="1063"/>
      <c r="AH1774" s="1063"/>
      <c r="AI1774" s="1063"/>
      <c r="AJ1774" s="1063"/>
      <c r="AK1774" s="1063"/>
      <c r="AL1774" s="1063"/>
      <c r="AM1774" s="1063"/>
      <c r="AN1774" s="1063"/>
      <c r="AO1774" s="1063"/>
      <c r="AP1774" s="1063"/>
      <c r="AQ1774" s="1063"/>
      <c r="AR1774" s="1063"/>
      <c r="AS1774" s="1063"/>
      <c r="AT1774" s="1063"/>
      <c r="AU1774" s="1063"/>
      <c r="AV1774" s="1063"/>
    </row>
    <row r="1775" spans="1:48" s="1108" customFormat="1" ht="27.75" customHeight="1">
      <c r="A1775" s="1076"/>
      <c r="B1775" s="1074">
        <f>+'[18]Bldg+Dev'!S2587</f>
        <v>0</v>
      </c>
      <c r="D1775" s="1063"/>
      <c r="F1775" s="1076"/>
      <c r="G1775" s="1063"/>
      <c r="H1775" s="1063"/>
      <c r="I1775" s="1063"/>
      <c r="J1775" s="1063"/>
      <c r="K1775" s="1063"/>
      <c r="L1775" s="1063"/>
      <c r="M1775" s="1063"/>
      <c r="N1775" s="1063"/>
      <c r="O1775" s="1063"/>
      <c r="P1775" s="1063"/>
      <c r="Q1775" s="1063"/>
      <c r="R1775" s="1063"/>
      <c r="S1775" s="1063"/>
      <c r="T1775" s="1063"/>
      <c r="U1775" s="1063"/>
      <c r="V1775" s="1063"/>
      <c r="W1775" s="1063"/>
      <c r="X1775" s="1063"/>
      <c r="Y1775" s="1063"/>
      <c r="Z1775" s="1063"/>
      <c r="AA1775" s="1063"/>
      <c r="AB1775" s="1063"/>
      <c r="AC1775" s="1063"/>
      <c r="AD1775" s="1063"/>
      <c r="AE1775" s="1063"/>
      <c r="AF1775" s="1063"/>
      <c r="AG1775" s="1063"/>
      <c r="AH1775" s="1063"/>
      <c r="AI1775" s="1063"/>
      <c r="AJ1775" s="1063"/>
      <c r="AK1775" s="1063"/>
      <c r="AL1775" s="1063"/>
      <c r="AM1775" s="1063"/>
      <c r="AN1775" s="1063"/>
      <c r="AO1775" s="1063"/>
      <c r="AP1775" s="1063"/>
      <c r="AQ1775" s="1063"/>
      <c r="AR1775" s="1063"/>
      <c r="AS1775" s="1063"/>
      <c r="AT1775" s="1063"/>
      <c r="AU1775" s="1063"/>
      <c r="AV1775" s="1063"/>
    </row>
    <row r="1776" spans="1:48" s="1108" customFormat="1" ht="27.75" customHeight="1">
      <c r="A1776" s="1076"/>
      <c r="B1776" s="1074">
        <f>+'[18]Bldg+Dev'!S2588</f>
        <v>0</v>
      </c>
      <c r="D1776" s="1063"/>
      <c r="F1776" s="1076"/>
      <c r="G1776" s="1063"/>
      <c r="H1776" s="1063"/>
      <c r="I1776" s="1063"/>
      <c r="J1776" s="1063"/>
      <c r="K1776" s="1063"/>
      <c r="L1776" s="1063"/>
      <c r="M1776" s="1063"/>
      <c r="N1776" s="1063"/>
      <c r="O1776" s="1063"/>
      <c r="P1776" s="1063"/>
      <c r="Q1776" s="1063"/>
      <c r="R1776" s="1063"/>
      <c r="S1776" s="1063"/>
      <c r="T1776" s="1063"/>
      <c r="U1776" s="1063"/>
      <c r="V1776" s="1063"/>
      <c r="W1776" s="1063"/>
      <c r="X1776" s="1063"/>
      <c r="Y1776" s="1063"/>
      <c r="Z1776" s="1063"/>
      <c r="AA1776" s="1063"/>
      <c r="AB1776" s="1063"/>
      <c r="AC1776" s="1063"/>
      <c r="AD1776" s="1063"/>
      <c r="AE1776" s="1063"/>
      <c r="AF1776" s="1063"/>
      <c r="AG1776" s="1063"/>
      <c r="AH1776" s="1063"/>
      <c r="AI1776" s="1063"/>
      <c r="AJ1776" s="1063"/>
      <c r="AK1776" s="1063"/>
      <c r="AL1776" s="1063"/>
      <c r="AM1776" s="1063"/>
      <c r="AN1776" s="1063"/>
      <c r="AO1776" s="1063"/>
      <c r="AP1776" s="1063"/>
      <c r="AQ1776" s="1063"/>
      <c r="AR1776" s="1063"/>
      <c r="AS1776" s="1063"/>
      <c r="AT1776" s="1063"/>
      <c r="AU1776" s="1063"/>
      <c r="AV1776" s="1063"/>
    </row>
    <row r="1777" spans="1:48" s="1108" customFormat="1" ht="27.75" customHeight="1">
      <c r="A1777" s="1076"/>
      <c r="B1777" s="1074">
        <f>+'[18]Bldg+Dev'!S2589</f>
        <v>0</v>
      </c>
      <c r="D1777" s="1063"/>
      <c r="F1777" s="1076"/>
      <c r="G1777" s="1063"/>
      <c r="H1777" s="1063"/>
      <c r="I1777" s="1063"/>
      <c r="J1777" s="1063"/>
      <c r="K1777" s="1063"/>
      <c r="L1777" s="1063"/>
      <c r="M1777" s="1063"/>
      <c r="N1777" s="1063"/>
      <c r="O1777" s="1063"/>
      <c r="P1777" s="1063"/>
      <c r="Q1777" s="1063"/>
      <c r="R1777" s="1063"/>
      <c r="S1777" s="1063"/>
      <c r="T1777" s="1063"/>
      <c r="U1777" s="1063"/>
      <c r="V1777" s="1063"/>
      <c r="W1777" s="1063"/>
      <c r="X1777" s="1063"/>
      <c r="Y1777" s="1063"/>
      <c r="Z1777" s="1063"/>
      <c r="AA1777" s="1063"/>
      <c r="AB1777" s="1063"/>
      <c r="AC1777" s="1063"/>
      <c r="AD1777" s="1063"/>
      <c r="AE1777" s="1063"/>
      <c r="AF1777" s="1063"/>
      <c r="AG1777" s="1063"/>
      <c r="AH1777" s="1063"/>
      <c r="AI1777" s="1063"/>
      <c r="AJ1777" s="1063"/>
      <c r="AK1777" s="1063"/>
      <c r="AL1777" s="1063"/>
      <c r="AM1777" s="1063"/>
      <c r="AN1777" s="1063"/>
      <c r="AO1777" s="1063"/>
      <c r="AP1777" s="1063"/>
      <c r="AQ1777" s="1063"/>
      <c r="AR1777" s="1063"/>
      <c r="AS1777" s="1063"/>
      <c r="AT1777" s="1063"/>
      <c r="AU1777" s="1063"/>
      <c r="AV1777" s="1063"/>
    </row>
    <row r="1778" spans="1:48" s="1108" customFormat="1" ht="27.75" customHeight="1">
      <c r="A1778" s="1076"/>
      <c r="B1778" s="1074">
        <f>+'[18]Bldg+Dev'!S2590</f>
        <v>0</v>
      </c>
      <c r="D1778" s="1063"/>
      <c r="F1778" s="1076"/>
      <c r="G1778" s="1063"/>
      <c r="H1778" s="1063"/>
      <c r="I1778" s="1063"/>
      <c r="J1778" s="1063"/>
      <c r="K1778" s="1063"/>
      <c r="L1778" s="1063"/>
      <c r="M1778" s="1063"/>
      <c r="N1778" s="1063"/>
      <c r="O1778" s="1063"/>
      <c r="P1778" s="1063"/>
      <c r="Q1778" s="1063"/>
      <c r="R1778" s="1063"/>
      <c r="S1778" s="1063"/>
      <c r="T1778" s="1063"/>
      <c r="U1778" s="1063"/>
      <c r="V1778" s="1063"/>
      <c r="W1778" s="1063"/>
      <c r="X1778" s="1063"/>
      <c r="Y1778" s="1063"/>
      <c r="Z1778" s="1063"/>
      <c r="AA1778" s="1063"/>
      <c r="AB1778" s="1063"/>
      <c r="AC1778" s="1063"/>
      <c r="AD1778" s="1063"/>
      <c r="AE1778" s="1063"/>
      <c r="AF1778" s="1063"/>
      <c r="AG1778" s="1063"/>
      <c r="AH1778" s="1063"/>
      <c r="AI1778" s="1063"/>
      <c r="AJ1778" s="1063"/>
      <c r="AK1778" s="1063"/>
      <c r="AL1778" s="1063"/>
      <c r="AM1778" s="1063"/>
      <c r="AN1778" s="1063"/>
      <c r="AO1778" s="1063"/>
      <c r="AP1778" s="1063"/>
      <c r="AQ1778" s="1063"/>
      <c r="AR1778" s="1063"/>
      <c r="AS1778" s="1063"/>
      <c r="AT1778" s="1063"/>
      <c r="AU1778" s="1063"/>
      <c r="AV1778" s="1063"/>
    </row>
    <row r="1779" spans="1:48" s="1108" customFormat="1" ht="27.75" customHeight="1">
      <c r="A1779" s="1076"/>
      <c r="B1779" s="1074">
        <f>+'[18]Bldg+Dev'!S2591</f>
        <v>0</v>
      </c>
      <c r="D1779" s="1063"/>
      <c r="F1779" s="1076"/>
      <c r="G1779" s="1063"/>
      <c r="H1779" s="1063"/>
      <c r="I1779" s="1063"/>
      <c r="J1779" s="1063"/>
      <c r="K1779" s="1063"/>
      <c r="L1779" s="1063"/>
      <c r="M1779" s="1063"/>
      <c r="N1779" s="1063"/>
      <c r="O1779" s="1063"/>
      <c r="P1779" s="1063"/>
      <c r="Q1779" s="1063"/>
      <c r="R1779" s="1063"/>
      <c r="S1779" s="1063"/>
      <c r="T1779" s="1063"/>
      <c r="U1779" s="1063"/>
      <c r="V1779" s="1063"/>
      <c r="W1779" s="1063"/>
      <c r="X1779" s="1063"/>
      <c r="Y1779" s="1063"/>
      <c r="Z1779" s="1063"/>
      <c r="AA1779" s="1063"/>
      <c r="AB1779" s="1063"/>
      <c r="AC1779" s="1063"/>
      <c r="AD1779" s="1063"/>
      <c r="AE1779" s="1063"/>
      <c r="AF1779" s="1063"/>
      <c r="AG1779" s="1063"/>
      <c r="AH1779" s="1063"/>
      <c r="AI1779" s="1063"/>
      <c r="AJ1779" s="1063"/>
      <c r="AK1779" s="1063"/>
      <c r="AL1779" s="1063"/>
      <c r="AM1779" s="1063"/>
      <c r="AN1779" s="1063"/>
      <c r="AO1779" s="1063"/>
      <c r="AP1779" s="1063"/>
      <c r="AQ1779" s="1063"/>
      <c r="AR1779" s="1063"/>
      <c r="AS1779" s="1063"/>
      <c r="AT1779" s="1063"/>
      <c r="AU1779" s="1063"/>
      <c r="AV1779" s="1063"/>
    </row>
    <row r="1780" spans="1:48" s="1108" customFormat="1" ht="27.75" customHeight="1">
      <c r="A1780" s="1076"/>
      <c r="B1780" s="1074">
        <f>+'[18]Bldg+Dev'!S2592</f>
        <v>0</v>
      </c>
      <c r="D1780" s="1063"/>
      <c r="F1780" s="1076"/>
      <c r="G1780" s="1063"/>
      <c r="H1780" s="1063"/>
      <c r="I1780" s="1063"/>
      <c r="J1780" s="1063"/>
      <c r="K1780" s="1063"/>
      <c r="L1780" s="1063"/>
      <c r="M1780" s="1063"/>
      <c r="N1780" s="1063"/>
      <c r="O1780" s="1063"/>
      <c r="P1780" s="1063"/>
      <c r="Q1780" s="1063"/>
      <c r="R1780" s="1063"/>
      <c r="S1780" s="1063"/>
      <c r="T1780" s="1063"/>
      <c r="U1780" s="1063"/>
      <c r="V1780" s="1063"/>
      <c r="W1780" s="1063"/>
      <c r="X1780" s="1063"/>
      <c r="Y1780" s="1063"/>
      <c r="Z1780" s="1063"/>
      <c r="AA1780" s="1063"/>
      <c r="AB1780" s="1063"/>
      <c r="AC1780" s="1063"/>
      <c r="AD1780" s="1063"/>
      <c r="AE1780" s="1063"/>
      <c r="AF1780" s="1063"/>
      <c r="AG1780" s="1063"/>
      <c r="AH1780" s="1063"/>
      <c r="AI1780" s="1063"/>
      <c r="AJ1780" s="1063"/>
      <c r="AK1780" s="1063"/>
      <c r="AL1780" s="1063"/>
      <c r="AM1780" s="1063"/>
      <c r="AN1780" s="1063"/>
      <c r="AO1780" s="1063"/>
      <c r="AP1780" s="1063"/>
      <c r="AQ1780" s="1063"/>
      <c r="AR1780" s="1063"/>
      <c r="AS1780" s="1063"/>
      <c r="AT1780" s="1063"/>
      <c r="AU1780" s="1063"/>
      <c r="AV1780" s="1063"/>
    </row>
    <row r="1781" spans="1:48" s="1108" customFormat="1" ht="27.75" customHeight="1">
      <c r="A1781" s="1076"/>
      <c r="B1781" s="1074">
        <f>+'[18]Bldg+Dev'!S2593</f>
        <v>0</v>
      </c>
      <c r="D1781" s="1063"/>
      <c r="F1781" s="1076"/>
      <c r="G1781" s="1063"/>
      <c r="H1781" s="1063"/>
      <c r="I1781" s="1063"/>
      <c r="J1781" s="1063"/>
      <c r="K1781" s="1063"/>
      <c r="L1781" s="1063"/>
      <c r="M1781" s="1063"/>
      <c r="N1781" s="1063"/>
      <c r="O1781" s="1063"/>
      <c r="P1781" s="1063"/>
      <c r="Q1781" s="1063"/>
      <c r="R1781" s="1063"/>
      <c r="S1781" s="1063"/>
      <c r="T1781" s="1063"/>
      <c r="U1781" s="1063"/>
      <c r="V1781" s="1063"/>
      <c r="W1781" s="1063"/>
      <c r="X1781" s="1063"/>
      <c r="Y1781" s="1063"/>
      <c r="Z1781" s="1063"/>
      <c r="AA1781" s="1063"/>
      <c r="AB1781" s="1063"/>
      <c r="AC1781" s="1063"/>
      <c r="AD1781" s="1063"/>
      <c r="AE1781" s="1063"/>
      <c r="AF1781" s="1063"/>
      <c r="AG1781" s="1063"/>
      <c r="AH1781" s="1063"/>
      <c r="AI1781" s="1063"/>
      <c r="AJ1781" s="1063"/>
      <c r="AK1781" s="1063"/>
      <c r="AL1781" s="1063"/>
      <c r="AM1781" s="1063"/>
      <c r="AN1781" s="1063"/>
      <c r="AO1781" s="1063"/>
      <c r="AP1781" s="1063"/>
      <c r="AQ1781" s="1063"/>
      <c r="AR1781" s="1063"/>
      <c r="AS1781" s="1063"/>
      <c r="AT1781" s="1063"/>
      <c r="AU1781" s="1063"/>
      <c r="AV1781" s="1063"/>
    </row>
    <row r="1782" spans="1:48" s="1108" customFormat="1" ht="27.75" customHeight="1">
      <c r="A1782" s="1076"/>
      <c r="B1782" s="1074">
        <f>+'[18]Bldg+Dev'!S2594</f>
        <v>0</v>
      </c>
      <c r="D1782" s="1063"/>
      <c r="F1782" s="1076"/>
      <c r="G1782" s="1063"/>
      <c r="H1782" s="1063"/>
      <c r="I1782" s="1063"/>
      <c r="J1782" s="1063"/>
      <c r="K1782" s="1063"/>
      <c r="L1782" s="1063"/>
      <c r="M1782" s="1063"/>
      <c r="N1782" s="1063"/>
      <c r="O1782" s="1063"/>
      <c r="P1782" s="1063"/>
      <c r="Q1782" s="1063"/>
      <c r="R1782" s="1063"/>
      <c r="S1782" s="1063"/>
      <c r="T1782" s="1063"/>
      <c r="U1782" s="1063"/>
      <c r="V1782" s="1063"/>
      <c r="W1782" s="1063"/>
      <c r="X1782" s="1063"/>
      <c r="Y1782" s="1063"/>
      <c r="Z1782" s="1063"/>
      <c r="AA1782" s="1063"/>
      <c r="AB1782" s="1063"/>
      <c r="AC1782" s="1063"/>
      <c r="AD1782" s="1063"/>
      <c r="AE1782" s="1063"/>
      <c r="AF1782" s="1063"/>
      <c r="AG1782" s="1063"/>
      <c r="AH1782" s="1063"/>
      <c r="AI1782" s="1063"/>
      <c r="AJ1782" s="1063"/>
      <c r="AK1782" s="1063"/>
      <c r="AL1782" s="1063"/>
      <c r="AM1782" s="1063"/>
      <c r="AN1782" s="1063"/>
      <c r="AO1782" s="1063"/>
      <c r="AP1782" s="1063"/>
      <c r="AQ1782" s="1063"/>
      <c r="AR1782" s="1063"/>
      <c r="AS1782" s="1063"/>
      <c r="AT1782" s="1063"/>
      <c r="AU1782" s="1063"/>
      <c r="AV1782" s="1063"/>
    </row>
    <row r="1783" spans="1:48" s="1108" customFormat="1" ht="27.75" customHeight="1">
      <c r="A1783" s="1076"/>
      <c r="B1783" s="1074">
        <f>+'[18]Bldg+Dev'!S2595</f>
        <v>0</v>
      </c>
      <c r="D1783" s="1063"/>
      <c r="F1783" s="1076"/>
      <c r="G1783" s="1063"/>
      <c r="H1783" s="1063"/>
      <c r="I1783" s="1063"/>
      <c r="J1783" s="1063"/>
      <c r="K1783" s="1063"/>
      <c r="L1783" s="1063"/>
      <c r="M1783" s="1063"/>
      <c r="N1783" s="1063"/>
      <c r="O1783" s="1063"/>
      <c r="P1783" s="1063"/>
      <c r="Q1783" s="1063"/>
      <c r="R1783" s="1063"/>
      <c r="S1783" s="1063"/>
      <c r="T1783" s="1063"/>
      <c r="U1783" s="1063"/>
      <c r="V1783" s="1063"/>
      <c r="W1783" s="1063"/>
      <c r="X1783" s="1063"/>
      <c r="Y1783" s="1063"/>
      <c r="Z1783" s="1063"/>
      <c r="AA1783" s="1063"/>
      <c r="AB1783" s="1063"/>
      <c r="AC1783" s="1063"/>
      <c r="AD1783" s="1063"/>
      <c r="AE1783" s="1063"/>
      <c r="AF1783" s="1063"/>
      <c r="AG1783" s="1063"/>
      <c r="AH1783" s="1063"/>
      <c r="AI1783" s="1063"/>
      <c r="AJ1783" s="1063"/>
      <c r="AK1783" s="1063"/>
      <c r="AL1783" s="1063"/>
      <c r="AM1783" s="1063"/>
      <c r="AN1783" s="1063"/>
      <c r="AO1783" s="1063"/>
      <c r="AP1783" s="1063"/>
      <c r="AQ1783" s="1063"/>
      <c r="AR1783" s="1063"/>
      <c r="AS1783" s="1063"/>
      <c r="AT1783" s="1063"/>
      <c r="AU1783" s="1063"/>
      <c r="AV1783" s="1063"/>
    </row>
    <row r="1784" spans="1:48" s="1108" customFormat="1" ht="27.75" customHeight="1">
      <c r="A1784" s="1076"/>
      <c r="B1784" s="1074">
        <f>+'[18]Bldg+Dev'!S2596</f>
        <v>0</v>
      </c>
      <c r="D1784" s="1063"/>
      <c r="F1784" s="1076"/>
      <c r="G1784" s="1063"/>
      <c r="H1784" s="1063"/>
      <c r="I1784" s="1063"/>
      <c r="J1784" s="1063"/>
      <c r="K1784" s="1063"/>
      <c r="L1784" s="1063"/>
      <c r="M1784" s="1063"/>
      <c r="N1784" s="1063"/>
      <c r="O1784" s="1063"/>
      <c r="P1784" s="1063"/>
      <c r="Q1784" s="1063"/>
      <c r="R1784" s="1063"/>
      <c r="S1784" s="1063"/>
      <c r="T1784" s="1063"/>
      <c r="U1784" s="1063"/>
      <c r="V1784" s="1063"/>
      <c r="W1784" s="1063"/>
      <c r="X1784" s="1063"/>
      <c r="Y1784" s="1063"/>
      <c r="Z1784" s="1063"/>
      <c r="AA1784" s="1063"/>
      <c r="AB1784" s="1063"/>
      <c r="AC1784" s="1063"/>
      <c r="AD1784" s="1063"/>
      <c r="AE1784" s="1063"/>
      <c r="AF1784" s="1063"/>
      <c r="AG1784" s="1063"/>
      <c r="AH1784" s="1063"/>
      <c r="AI1784" s="1063"/>
      <c r="AJ1784" s="1063"/>
      <c r="AK1784" s="1063"/>
      <c r="AL1784" s="1063"/>
      <c r="AM1784" s="1063"/>
      <c r="AN1784" s="1063"/>
      <c r="AO1784" s="1063"/>
      <c r="AP1784" s="1063"/>
      <c r="AQ1784" s="1063"/>
      <c r="AR1784" s="1063"/>
      <c r="AS1784" s="1063"/>
      <c r="AT1784" s="1063"/>
      <c r="AU1784" s="1063"/>
      <c r="AV1784" s="1063"/>
    </row>
    <row r="1785" spans="1:48" s="1108" customFormat="1" ht="27.75" customHeight="1">
      <c r="A1785" s="1076"/>
      <c r="B1785" s="1074">
        <f>+'[18]Bldg+Dev'!S2597</f>
        <v>0</v>
      </c>
      <c r="D1785" s="1063"/>
      <c r="F1785" s="1076"/>
      <c r="G1785" s="1063"/>
      <c r="H1785" s="1063"/>
      <c r="I1785" s="1063"/>
      <c r="J1785" s="1063"/>
      <c r="K1785" s="1063"/>
      <c r="L1785" s="1063"/>
      <c r="M1785" s="1063"/>
      <c r="N1785" s="1063"/>
      <c r="O1785" s="1063"/>
      <c r="P1785" s="1063"/>
      <c r="Q1785" s="1063"/>
      <c r="R1785" s="1063"/>
      <c r="S1785" s="1063"/>
      <c r="T1785" s="1063"/>
      <c r="U1785" s="1063"/>
      <c r="V1785" s="1063"/>
      <c r="W1785" s="1063"/>
      <c r="X1785" s="1063"/>
      <c r="Y1785" s="1063"/>
      <c r="Z1785" s="1063"/>
      <c r="AA1785" s="1063"/>
      <c r="AB1785" s="1063"/>
      <c r="AC1785" s="1063"/>
      <c r="AD1785" s="1063"/>
      <c r="AE1785" s="1063"/>
      <c r="AF1785" s="1063"/>
      <c r="AG1785" s="1063"/>
      <c r="AH1785" s="1063"/>
      <c r="AI1785" s="1063"/>
      <c r="AJ1785" s="1063"/>
      <c r="AK1785" s="1063"/>
      <c r="AL1785" s="1063"/>
      <c r="AM1785" s="1063"/>
      <c r="AN1785" s="1063"/>
      <c r="AO1785" s="1063"/>
      <c r="AP1785" s="1063"/>
      <c r="AQ1785" s="1063"/>
      <c r="AR1785" s="1063"/>
      <c r="AS1785" s="1063"/>
      <c r="AT1785" s="1063"/>
      <c r="AU1785" s="1063"/>
      <c r="AV1785" s="1063"/>
    </row>
    <row r="1786" spans="1:48" s="1108" customFormat="1" ht="27.75" customHeight="1">
      <c r="A1786" s="1076"/>
      <c r="B1786" s="1074">
        <f>+'[18]Bldg+Dev'!S2598</f>
        <v>0</v>
      </c>
      <c r="D1786" s="1063"/>
      <c r="F1786" s="1076"/>
      <c r="G1786" s="1063"/>
      <c r="H1786" s="1063"/>
      <c r="I1786" s="1063"/>
      <c r="J1786" s="1063"/>
      <c r="K1786" s="1063"/>
      <c r="L1786" s="1063"/>
      <c r="M1786" s="1063"/>
      <c r="N1786" s="1063"/>
      <c r="O1786" s="1063"/>
      <c r="P1786" s="1063"/>
      <c r="Q1786" s="1063"/>
      <c r="R1786" s="1063"/>
      <c r="S1786" s="1063"/>
      <c r="T1786" s="1063"/>
      <c r="U1786" s="1063"/>
      <c r="V1786" s="1063"/>
      <c r="W1786" s="1063"/>
      <c r="X1786" s="1063"/>
      <c r="Y1786" s="1063"/>
      <c r="Z1786" s="1063"/>
      <c r="AA1786" s="1063"/>
      <c r="AB1786" s="1063"/>
      <c r="AC1786" s="1063"/>
      <c r="AD1786" s="1063"/>
      <c r="AE1786" s="1063"/>
      <c r="AF1786" s="1063"/>
      <c r="AG1786" s="1063"/>
      <c r="AH1786" s="1063"/>
      <c r="AI1786" s="1063"/>
      <c r="AJ1786" s="1063"/>
      <c r="AK1786" s="1063"/>
      <c r="AL1786" s="1063"/>
      <c r="AM1786" s="1063"/>
      <c r="AN1786" s="1063"/>
      <c r="AO1786" s="1063"/>
      <c r="AP1786" s="1063"/>
      <c r="AQ1786" s="1063"/>
      <c r="AR1786" s="1063"/>
      <c r="AS1786" s="1063"/>
      <c r="AT1786" s="1063"/>
      <c r="AU1786" s="1063"/>
      <c r="AV1786" s="1063"/>
    </row>
    <row r="1787" spans="1:48" s="1108" customFormat="1" ht="27.75" customHeight="1">
      <c r="A1787" s="1076"/>
      <c r="B1787" s="1074">
        <f>+'[18]Bldg+Dev'!S2599</f>
        <v>0</v>
      </c>
      <c r="D1787" s="1063"/>
      <c r="F1787" s="1076"/>
      <c r="G1787" s="1063"/>
      <c r="H1787" s="1063"/>
      <c r="I1787" s="1063"/>
      <c r="J1787" s="1063"/>
      <c r="K1787" s="1063"/>
      <c r="L1787" s="1063"/>
      <c r="M1787" s="1063"/>
      <c r="N1787" s="1063"/>
      <c r="O1787" s="1063"/>
      <c r="P1787" s="1063"/>
      <c r="Q1787" s="1063"/>
      <c r="R1787" s="1063"/>
      <c r="S1787" s="1063"/>
      <c r="T1787" s="1063"/>
      <c r="U1787" s="1063"/>
      <c r="V1787" s="1063"/>
      <c r="W1787" s="1063"/>
      <c r="X1787" s="1063"/>
      <c r="Y1787" s="1063"/>
      <c r="Z1787" s="1063"/>
      <c r="AA1787" s="1063"/>
      <c r="AB1787" s="1063"/>
      <c r="AC1787" s="1063"/>
      <c r="AD1787" s="1063"/>
      <c r="AE1787" s="1063"/>
      <c r="AF1787" s="1063"/>
      <c r="AG1787" s="1063"/>
      <c r="AH1787" s="1063"/>
      <c r="AI1787" s="1063"/>
      <c r="AJ1787" s="1063"/>
      <c r="AK1787" s="1063"/>
      <c r="AL1787" s="1063"/>
      <c r="AM1787" s="1063"/>
      <c r="AN1787" s="1063"/>
      <c r="AO1787" s="1063"/>
      <c r="AP1787" s="1063"/>
      <c r="AQ1787" s="1063"/>
      <c r="AR1787" s="1063"/>
      <c r="AS1787" s="1063"/>
      <c r="AT1787" s="1063"/>
      <c r="AU1787" s="1063"/>
      <c r="AV1787" s="1063"/>
    </row>
    <row r="1788" spans="1:48" s="1108" customFormat="1" ht="27.75" customHeight="1">
      <c r="A1788" s="1076"/>
      <c r="B1788" s="1074">
        <f>+'[18]Bldg+Dev'!S2600</f>
        <v>0</v>
      </c>
      <c r="D1788" s="1063"/>
      <c r="F1788" s="1076"/>
      <c r="G1788" s="1063"/>
      <c r="H1788" s="1063"/>
      <c r="I1788" s="1063"/>
      <c r="J1788" s="1063"/>
      <c r="K1788" s="1063"/>
      <c r="L1788" s="1063"/>
      <c r="M1788" s="1063"/>
      <c r="N1788" s="1063"/>
      <c r="O1788" s="1063"/>
      <c r="P1788" s="1063"/>
      <c r="Q1788" s="1063"/>
      <c r="R1788" s="1063"/>
      <c r="S1788" s="1063"/>
      <c r="T1788" s="1063"/>
      <c r="U1788" s="1063"/>
      <c r="V1788" s="1063"/>
      <c r="W1788" s="1063"/>
      <c r="X1788" s="1063"/>
      <c r="Y1788" s="1063"/>
      <c r="Z1788" s="1063"/>
      <c r="AA1788" s="1063"/>
      <c r="AB1788" s="1063"/>
      <c r="AC1788" s="1063"/>
      <c r="AD1788" s="1063"/>
      <c r="AE1788" s="1063"/>
      <c r="AF1788" s="1063"/>
      <c r="AG1788" s="1063"/>
      <c r="AH1788" s="1063"/>
      <c r="AI1788" s="1063"/>
      <c r="AJ1788" s="1063"/>
      <c r="AK1788" s="1063"/>
      <c r="AL1788" s="1063"/>
      <c r="AM1788" s="1063"/>
      <c r="AN1788" s="1063"/>
      <c r="AO1788" s="1063"/>
      <c r="AP1788" s="1063"/>
      <c r="AQ1788" s="1063"/>
      <c r="AR1788" s="1063"/>
      <c r="AS1788" s="1063"/>
      <c r="AT1788" s="1063"/>
      <c r="AU1788" s="1063"/>
      <c r="AV1788" s="1063"/>
    </row>
    <row r="1789" spans="1:48" s="1108" customFormat="1" ht="27.75" customHeight="1">
      <c r="A1789" s="1076"/>
      <c r="B1789" s="1074">
        <f>+'[18]Bldg+Dev'!S2601</f>
        <v>0</v>
      </c>
      <c r="D1789" s="1063"/>
      <c r="F1789" s="1076"/>
      <c r="G1789" s="1063"/>
      <c r="H1789" s="1063"/>
      <c r="I1789" s="1063"/>
      <c r="J1789" s="1063"/>
      <c r="K1789" s="1063"/>
      <c r="L1789" s="1063"/>
      <c r="M1789" s="1063"/>
      <c r="N1789" s="1063"/>
      <c r="O1789" s="1063"/>
      <c r="P1789" s="1063"/>
      <c r="Q1789" s="1063"/>
      <c r="R1789" s="1063"/>
      <c r="S1789" s="1063"/>
      <c r="T1789" s="1063"/>
      <c r="U1789" s="1063"/>
      <c r="V1789" s="1063"/>
      <c r="W1789" s="1063"/>
      <c r="X1789" s="1063"/>
      <c r="Y1789" s="1063"/>
      <c r="Z1789" s="1063"/>
      <c r="AA1789" s="1063"/>
      <c r="AB1789" s="1063"/>
      <c r="AC1789" s="1063"/>
      <c r="AD1789" s="1063"/>
      <c r="AE1789" s="1063"/>
      <c r="AF1789" s="1063"/>
      <c r="AG1789" s="1063"/>
      <c r="AH1789" s="1063"/>
      <c r="AI1789" s="1063"/>
      <c r="AJ1789" s="1063"/>
      <c r="AK1789" s="1063"/>
      <c r="AL1789" s="1063"/>
      <c r="AM1789" s="1063"/>
      <c r="AN1789" s="1063"/>
      <c r="AO1789" s="1063"/>
      <c r="AP1789" s="1063"/>
      <c r="AQ1789" s="1063"/>
      <c r="AR1789" s="1063"/>
      <c r="AS1789" s="1063"/>
      <c r="AT1789" s="1063"/>
      <c r="AU1789" s="1063"/>
      <c r="AV1789" s="1063"/>
    </row>
    <row r="1790" spans="1:48" s="1108" customFormat="1" ht="27.75" customHeight="1">
      <c r="A1790" s="1076"/>
      <c r="B1790" s="1074">
        <f>+'[18]Bldg+Dev'!S2602</f>
        <v>0</v>
      </c>
      <c r="D1790" s="1063"/>
      <c r="F1790" s="1076"/>
      <c r="G1790" s="1063"/>
      <c r="H1790" s="1063"/>
      <c r="I1790" s="1063"/>
      <c r="J1790" s="1063"/>
      <c r="K1790" s="1063"/>
      <c r="L1790" s="1063"/>
      <c r="M1790" s="1063"/>
      <c r="N1790" s="1063"/>
      <c r="O1790" s="1063"/>
      <c r="P1790" s="1063"/>
      <c r="Q1790" s="1063"/>
      <c r="R1790" s="1063"/>
      <c r="S1790" s="1063"/>
      <c r="T1790" s="1063"/>
      <c r="U1790" s="1063"/>
      <c r="V1790" s="1063"/>
      <c r="W1790" s="1063"/>
      <c r="X1790" s="1063"/>
      <c r="Y1790" s="1063"/>
      <c r="Z1790" s="1063"/>
      <c r="AA1790" s="1063"/>
      <c r="AB1790" s="1063"/>
      <c r="AC1790" s="1063"/>
      <c r="AD1790" s="1063"/>
      <c r="AE1790" s="1063"/>
      <c r="AF1790" s="1063"/>
      <c r="AG1790" s="1063"/>
      <c r="AH1790" s="1063"/>
      <c r="AI1790" s="1063"/>
      <c r="AJ1790" s="1063"/>
      <c r="AK1790" s="1063"/>
      <c r="AL1790" s="1063"/>
      <c r="AM1790" s="1063"/>
      <c r="AN1790" s="1063"/>
      <c r="AO1790" s="1063"/>
      <c r="AP1790" s="1063"/>
      <c r="AQ1790" s="1063"/>
      <c r="AR1790" s="1063"/>
      <c r="AS1790" s="1063"/>
      <c r="AT1790" s="1063"/>
      <c r="AU1790" s="1063"/>
      <c r="AV1790" s="1063"/>
    </row>
    <row r="1791" spans="1:48" s="1108" customFormat="1" ht="27.75" customHeight="1">
      <c r="A1791" s="1076"/>
      <c r="B1791" s="1074">
        <f>+'[18]Bldg+Dev'!S2603</f>
        <v>0</v>
      </c>
      <c r="D1791" s="1063"/>
      <c r="F1791" s="1076"/>
      <c r="G1791" s="1063"/>
      <c r="H1791" s="1063"/>
      <c r="I1791" s="1063"/>
      <c r="J1791" s="1063"/>
      <c r="K1791" s="1063"/>
      <c r="L1791" s="1063"/>
      <c r="M1791" s="1063"/>
      <c r="N1791" s="1063"/>
      <c r="O1791" s="1063"/>
      <c r="P1791" s="1063"/>
      <c r="Q1791" s="1063"/>
      <c r="R1791" s="1063"/>
      <c r="S1791" s="1063"/>
      <c r="T1791" s="1063"/>
      <c r="U1791" s="1063"/>
      <c r="V1791" s="1063"/>
      <c r="W1791" s="1063"/>
      <c r="X1791" s="1063"/>
      <c r="Y1791" s="1063"/>
      <c r="Z1791" s="1063"/>
      <c r="AA1791" s="1063"/>
      <c r="AB1791" s="1063"/>
      <c r="AC1791" s="1063"/>
      <c r="AD1791" s="1063"/>
      <c r="AE1791" s="1063"/>
      <c r="AF1791" s="1063"/>
      <c r="AG1791" s="1063"/>
      <c r="AH1791" s="1063"/>
      <c r="AI1791" s="1063"/>
      <c r="AJ1791" s="1063"/>
      <c r="AK1791" s="1063"/>
      <c r="AL1791" s="1063"/>
      <c r="AM1791" s="1063"/>
      <c r="AN1791" s="1063"/>
      <c r="AO1791" s="1063"/>
      <c r="AP1791" s="1063"/>
      <c r="AQ1791" s="1063"/>
      <c r="AR1791" s="1063"/>
      <c r="AS1791" s="1063"/>
      <c r="AT1791" s="1063"/>
      <c r="AU1791" s="1063"/>
      <c r="AV1791" s="1063"/>
    </row>
    <row r="1792" spans="1:48" s="1108" customFormat="1" ht="27.75" customHeight="1">
      <c r="A1792" s="1076"/>
      <c r="B1792" s="1074">
        <f>+'[18]Bldg+Dev'!S2604</f>
        <v>0</v>
      </c>
      <c r="D1792" s="1063"/>
      <c r="F1792" s="1076"/>
      <c r="G1792" s="1063"/>
      <c r="H1792" s="1063"/>
      <c r="I1792" s="1063"/>
      <c r="J1792" s="1063"/>
      <c r="K1792" s="1063"/>
      <c r="L1792" s="1063"/>
      <c r="M1792" s="1063"/>
      <c r="N1792" s="1063"/>
      <c r="O1792" s="1063"/>
      <c r="P1792" s="1063"/>
      <c r="Q1792" s="1063"/>
      <c r="R1792" s="1063"/>
      <c r="S1792" s="1063"/>
      <c r="T1792" s="1063"/>
      <c r="U1792" s="1063"/>
      <c r="V1792" s="1063"/>
      <c r="W1792" s="1063"/>
      <c r="X1792" s="1063"/>
      <c r="Y1792" s="1063"/>
      <c r="Z1792" s="1063"/>
      <c r="AA1792" s="1063"/>
      <c r="AB1792" s="1063"/>
      <c r="AC1792" s="1063"/>
      <c r="AD1792" s="1063"/>
      <c r="AE1792" s="1063"/>
      <c r="AF1792" s="1063"/>
      <c r="AG1792" s="1063"/>
      <c r="AH1792" s="1063"/>
      <c r="AI1792" s="1063"/>
      <c r="AJ1792" s="1063"/>
      <c r="AK1792" s="1063"/>
      <c r="AL1792" s="1063"/>
      <c r="AM1792" s="1063"/>
      <c r="AN1792" s="1063"/>
      <c r="AO1792" s="1063"/>
      <c r="AP1792" s="1063"/>
      <c r="AQ1792" s="1063"/>
      <c r="AR1792" s="1063"/>
      <c r="AS1792" s="1063"/>
      <c r="AT1792" s="1063"/>
      <c r="AU1792" s="1063"/>
      <c r="AV1792" s="1063"/>
    </row>
    <row r="1793" spans="1:48" s="1108" customFormat="1" ht="27.75" customHeight="1">
      <c r="A1793" s="1076"/>
      <c r="B1793" s="1074">
        <f>+'[18]Bldg+Dev'!S2605</f>
        <v>0</v>
      </c>
      <c r="D1793" s="1063"/>
      <c r="F1793" s="1076"/>
      <c r="G1793" s="1063"/>
      <c r="H1793" s="1063"/>
      <c r="I1793" s="1063"/>
      <c r="J1793" s="1063"/>
      <c r="K1793" s="1063"/>
      <c r="L1793" s="1063"/>
      <c r="M1793" s="1063"/>
      <c r="N1793" s="1063"/>
      <c r="O1793" s="1063"/>
      <c r="P1793" s="1063"/>
      <c r="Q1793" s="1063"/>
      <c r="R1793" s="1063"/>
      <c r="S1793" s="1063"/>
      <c r="T1793" s="1063"/>
      <c r="U1793" s="1063"/>
      <c r="V1793" s="1063"/>
      <c r="W1793" s="1063"/>
      <c r="X1793" s="1063"/>
      <c r="Y1793" s="1063"/>
      <c r="Z1793" s="1063"/>
      <c r="AA1793" s="1063"/>
      <c r="AB1793" s="1063"/>
      <c r="AC1793" s="1063"/>
      <c r="AD1793" s="1063"/>
      <c r="AE1793" s="1063"/>
      <c r="AF1793" s="1063"/>
      <c r="AG1793" s="1063"/>
      <c r="AH1793" s="1063"/>
      <c r="AI1793" s="1063"/>
      <c r="AJ1793" s="1063"/>
      <c r="AK1793" s="1063"/>
      <c r="AL1793" s="1063"/>
      <c r="AM1793" s="1063"/>
      <c r="AN1793" s="1063"/>
      <c r="AO1793" s="1063"/>
      <c r="AP1793" s="1063"/>
      <c r="AQ1793" s="1063"/>
      <c r="AR1793" s="1063"/>
      <c r="AS1793" s="1063"/>
      <c r="AT1793" s="1063"/>
      <c r="AU1793" s="1063"/>
      <c r="AV1793" s="1063"/>
    </row>
    <row r="1794" spans="1:48" s="1108" customFormat="1" ht="27.75" customHeight="1">
      <c r="A1794" s="1076"/>
      <c r="B1794" s="1074">
        <f>+'[18]Bldg+Dev'!S2606</f>
        <v>0</v>
      </c>
      <c r="D1794" s="1063"/>
      <c r="F1794" s="1076"/>
      <c r="G1794" s="1063"/>
      <c r="H1794" s="1063"/>
      <c r="I1794" s="1063"/>
      <c r="J1794" s="1063"/>
      <c r="K1794" s="1063"/>
      <c r="L1794" s="1063"/>
      <c r="M1794" s="1063"/>
      <c r="N1794" s="1063"/>
      <c r="O1794" s="1063"/>
      <c r="P1794" s="1063"/>
      <c r="Q1794" s="1063"/>
      <c r="R1794" s="1063"/>
      <c r="S1794" s="1063"/>
      <c r="T1794" s="1063"/>
      <c r="U1794" s="1063"/>
      <c r="V1794" s="1063"/>
      <c r="W1794" s="1063"/>
      <c r="X1794" s="1063"/>
      <c r="Y1794" s="1063"/>
      <c r="Z1794" s="1063"/>
      <c r="AA1794" s="1063"/>
      <c r="AB1794" s="1063"/>
      <c r="AC1794" s="1063"/>
      <c r="AD1794" s="1063"/>
      <c r="AE1794" s="1063"/>
      <c r="AF1794" s="1063"/>
      <c r="AG1794" s="1063"/>
      <c r="AH1794" s="1063"/>
      <c r="AI1794" s="1063"/>
      <c r="AJ1794" s="1063"/>
      <c r="AK1794" s="1063"/>
      <c r="AL1794" s="1063"/>
      <c r="AM1794" s="1063"/>
      <c r="AN1794" s="1063"/>
      <c r="AO1794" s="1063"/>
      <c r="AP1794" s="1063"/>
      <c r="AQ1794" s="1063"/>
      <c r="AR1794" s="1063"/>
      <c r="AS1794" s="1063"/>
      <c r="AT1794" s="1063"/>
      <c r="AU1794" s="1063"/>
      <c r="AV1794" s="1063"/>
    </row>
    <row r="1795" spans="1:48" s="1108" customFormat="1" ht="27.75" customHeight="1">
      <c r="A1795" s="1076"/>
      <c r="B1795" s="1074">
        <f>+'[18]Bldg+Dev'!S2607</f>
        <v>0</v>
      </c>
      <c r="D1795" s="1063"/>
      <c r="F1795" s="1076"/>
      <c r="G1795" s="1063"/>
      <c r="H1795" s="1063"/>
      <c r="I1795" s="1063"/>
      <c r="J1795" s="1063"/>
      <c r="K1795" s="1063"/>
      <c r="L1795" s="1063"/>
      <c r="M1795" s="1063"/>
      <c r="N1795" s="1063"/>
      <c r="O1795" s="1063"/>
      <c r="P1795" s="1063"/>
      <c r="Q1795" s="1063"/>
      <c r="R1795" s="1063"/>
      <c r="S1795" s="1063"/>
      <c r="T1795" s="1063"/>
      <c r="U1795" s="1063"/>
      <c r="V1795" s="1063"/>
      <c r="W1795" s="1063"/>
      <c r="X1795" s="1063"/>
      <c r="Y1795" s="1063"/>
      <c r="Z1795" s="1063"/>
      <c r="AA1795" s="1063"/>
      <c r="AB1795" s="1063"/>
      <c r="AC1795" s="1063"/>
      <c r="AD1795" s="1063"/>
      <c r="AE1795" s="1063"/>
      <c r="AF1795" s="1063"/>
      <c r="AG1795" s="1063"/>
      <c r="AH1795" s="1063"/>
      <c r="AI1795" s="1063"/>
      <c r="AJ1795" s="1063"/>
      <c r="AK1795" s="1063"/>
      <c r="AL1795" s="1063"/>
      <c r="AM1795" s="1063"/>
      <c r="AN1795" s="1063"/>
      <c r="AO1795" s="1063"/>
      <c r="AP1795" s="1063"/>
      <c r="AQ1795" s="1063"/>
      <c r="AR1795" s="1063"/>
      <c r="AS1795" s="1063"/>
      <c r="AT1795" s="1063"/>
      <c r="AU1795" s="1063"/>
      <c r="AV1795" s="1063"/>
    </row>
    <row r="1796" spans="1:48" s="1108" customFormat="1" ht="27.75" customHeight="1">
      <c r="A1796" s="1076"/>
      <c r="B1796" s="1074">
        <f>+'[18]Bldg+Dev'!S2608</f>
        <v>0</v>
      </c>
      <c r="D1796" s="1063"/>
      <c r="F1796" s="1076"/>
      <c r="G1796" s="1063"/>
      <c r="H1796" s="1063"/>
      <c r="I1796" s="1063"/>
      <c r="J1796" s="1063"/>
      <c r="K1796" s="1063"/>
      <c r="L1796" s="1063"/>
      <c r="M1796" s="1063"/>
      <c r="N1796" s="1063"/>
      <c r="O1796" s="1063"/>
      <c r="P1796" s="1063"/>
      <c r="Q1796" s="1063"/>
      <c r="R1796" s="1063"/>
      <c r="S1796" s="1063"/>
      <c r="T1796" s="1063"/>
      <c r="U1796" s="1063"/>
      <c r="V1796" s="1063"/>
      <c r="W1796" s="1063"/>
      <c r="X1796" s="1063"/>
      <c r="Y1796" s="1063"/>
      <c r="Z1796" s="1063"/>
      <c r="AA1796" s="1063"/>
      <c r="AB1796" s="1063"/>
      <c r="AC1796" s="1063"/>
      <c r="AD1796" s="1063"/>
      <c r="AE1796" s="1063"/>
      <c r="AF1796" s="1063"/>
      <c r="AG1796" s="1063"/>
      <c r="AH1796" s="1063"/>
      <c r="AI1796" s="1063"/>
      <c r="AJ1796" s="1063"/>
      <c r="AK1796" s="1063"/>
      <c r="AL1796" s="1063"/>
      <c r="AM1796" s="1063"/>
      <c r="AN1796" s="1063"/>
      <c r="AO1796" s="1063"/>
      <c r="AP1796" s="1063"/>
      <c r="AQ1796" s="1063"/>
      <c r="AR1796" s="1063"/>
      <c r="AS1796" s="1063"/>
      <c r="AT1796" s="1063"/>
      <c r="AU1796" s="1063"/>
      <c r="AV1796" s="1063"/>
    </row>
    <row r="1797" spans="1:48" s="1108" customFormat="1" ht="27.75" customHeight="1">
      <c r="A1797" s="1076"/>
      <c r="B1797" s="1074">
        <f>+'[18]Bldg+Dev'!S2609</f>
        <v>0</v>
      </c>
      <c r="D1797" s="1063"/>
      <c r="F1797" s="1076"/>
      <c r="G1797" s="1063"/>
      <c r="H1797" s="1063"/>
      <c r="I1797" s="1063"/>
      <c r="J1797" s="1063"/>
      <c r="K1797" s="1063"/>
      <c r="L1797" s="1063"/>
      <c r="M1797" s="1063"/>
      <c r="N1797" s="1063"/>
      <c r="O1797" s="1063"/>
      <c r="P1797" s="1063"/>
      <c r="Q1797" s="1063"/>
      <c r="R1797" s="1063"/>
      <c r="S1797" s="1063"/>
      <c r="T1797" s="1063"/>
      <c r="U1797" s="1063"/>
      <c r="V1797" s="1063"/>
      <c r="W1797" s="1063"/>
      <c r="X1797" s="1063"/>
      <c r="Y1797" s="1063"/>
      <c r="Z1797" s="1063"/>
      <c r="AA1797" s="1063"/>
      <c r="AB1797" s="1063"/>
      <c r="AC1797" s="1063"/>
      <c r="AD1797" s="1063"/>
      <c r="AE1797" s="1063"/>
      <c r="AF1797" s="1063"/>
      <c r="AG1797" s="1063"/>
      <c r="AH1797" s="1063"/>
      <c r="AI1797" s="1063"/>
      <c r="AJ1797" s="1063"/>
      <c r="AK1797" s="1063"/>
      <c r="AL1797" s="1063"/>
      <c r="AM1797" s="1063"/>
      <c r="AN1797" s="1063"/>
      <c r="AO1797" s="1063"/>
      <c r="AP1797" s="1063"/>
      <c r="AQ1797" s="1063"/>
      <c r="AR1797" s="1063"/>
      <c r="AS1797" s="1063"/>
      <c r="AT1797" s="1063"/>
      <c r="AU1797" s="1063"/>
      <c r="AV1797" s="1063"/>
    </row>
    <row r="1798" spans="1:48" s="1108" customFormat="1" ht="27.75" customHeight="1">
      <c r="A1798" s="1076"/>
      <c r="B1798" s="1074">
        <f>+'[18]Bldg+Dev'!S2610</f>
        <v>0</v>
      </c>
      <c r="D1798" s="1063"/>
      <c r="F1798" s="1076"/>
      <c r="G1798" s="1063"/>
      <c r="H1798" s="1063"/>
      <c r="I1798" s="1063"/>
      <c r="J1798" s="1063"/>
      <c r="K1798" s="1063"/>
      <c r="L1798" s="1063"/>
      <c r="M1798" s="1063"/>
      <c r="N1798" s="1063"/>
      <c r="O1798" s="1063"/>
      <c r="P1798" s="1063"/>
      <c r="Q1798" s="1063"/>
      <c r="R1798" s="1063"/>
      <c r="S1798" s="1063"/>
      <c r="T1798" s="1063"/>
      <c r="U1798" s="1063"/>
      <c r="V1798" s="1063"/>
      <c r="W1798" s="1063"/>
      <c r="X1798" s="1063"/>
      <c r="Y1798" s="1063"/>
      <c r="Z1798" s="1063"/>
      <c r="AA1798" s="1063"/>
      <c r="AB1798" s="1063"/>
      <c r="AC1798" s="1063"/>
      <c r="AD1798" s="1063"/>
      <c r="AE1798" s="1063"/>
      <c r="AF1798" s="1063"/>
      <c r="AG1798" s="1063"/>
      <c r="AH1798" s="1063"/>
      <c r="AI1798" s="1063"/>
      <c r="AJ1798" s="1063"/>
      <c r="AK1798" s="1063"/>
      <c r="AL1798" s="1063"/>
      <c r="AM1798" s="1063"/>
      <c r="AN1798" s="1063"/>
      <c r="AO1798" s="1063"/>
      <c r="AP1798" s="1063"/>
      <c r="AQ1798" s="1063"/>
      <c r="AR1798" s="1063"/>
      <c r="AS1798" s="1063"/>
      <c r="AT1798" s="1063"/>
      <c r="AU1798" s="1063"/>
      <c r="AV1798" s="1063"/>
    </row>
    <row r="1799" spans="1:48" s="1108" customFormat="1" ht="27.75" customHeight="1">
      <c r="A1799" s="1076"/>
      <c r="B1799" s="1074">
        <f>+'[18]Bldg+Dev'!S2611</f>
        <v>0</v>
      </c>
      <c r="D1799" s="1063"/>
      <c r="F1799" s="1076"/>
      <c r="G1799" s="1063"/>
      <c r="H1799" s="1063"/>
      <c r="I1799" s="1063"/>
      <c r="J1799" s="1063"/>
      <c r="K1799" s="1063"/>
      <c r="L1799" s="1063"/>
      <c r="M1799" s="1063"/>
      <c r="N1799" s="1063"/>
      <c r="O1799" s="1063"/>
      <c r="P1799" s="1063"/>
      <c r="Q1799" s="1063"/>
      <c r="R1799" s="1063"/>
      <c r="S1799" s="1063"/>
      <c r="T1799" s="1063"/>
      <c r="U1799" s="1063"/>
      <c r="V1799" s="1063"/>
      <c r="W1799" s="1063"/>
      <c r="X1799" s="1063"/>
      <c r="Y1799" s="1063"/>
      <c r="Z1799" s="1063"/>
      <c r="AA1799" s="1063"/>
      <c r="AB1799" s="1063"/>
      <c r="AC1799" s="1063"/>
      <c r="AD1799" s="1063"/>
      <c r="AE1799" s="1063"/>
      <c r="AF1799" s="1063"/>
      <c r="AG1799" s="1063"/>
      <c r="AH1799" s="1063"/>
      <c r="AI1799" s="1063"/>
      <c r="AJ1799" s="1063"/>
      <c r="AK1799" s="1063"/>
      <c r="AL1799" s="1063"/>
      <c r="AM1799" s="1063"/>
      <c r="AN1799" s="1063"/>
      <c r="AO1799" s="1063"/>
      <c r="AP1799" s="1063"/>
      <c r="AQ1799" s="1063"/>
      <c r="AR1799" s="1063"/>
      <c r="AS1799" s="1063"/>
      <c r="AT1799" s="1063"/>
      <c r="AU1799" s="1063"/>
      <c r="AV1799" s="1063"/>
    </row>
    <row r="1800" spans="1:48" s="1108" customFormat="1" ht="27.75" customHeight="1">
      <c r="A1800" s="1076"/>
      <c r="B1800" s="1074">
        <f>+'[18]Bldg+Dev'!S2612</f>
        <v>0</v>
      </c>
      <c r="D1800" s="1063"/>
      <c r="F1800" s="1076"/>
      <c r="G1800" s="1063"/>
      <c r="H1800" s="1063"/>
      <c r="I1800" s="1063"/>
      <c r="J1800" s="1063"/>
      <c r="K1800" s="1063"/>
      <c r="L1800" s="1063"/>
      <c r="M1800" s="1063"/>
      <c r="N1800" s="1063"/>
      <c r="O1800" s="1063"/>
      <c r="P1800" s="1063"/>
      <c r="Q1800" s="1063"/>
      <c r="R1800" s="1063"/>
      <c r="S1800" s="1063"/>
      <c r="T1800" s="1063"/>
      <c r="U1800" s="1063"/>
      <c r="V1800" s="1063"/>
      <c r="W1800" s="1063"/>
      <c r="X1800" s="1063"/>
      <c r="Y1800" s="1063"/>
      <c r="Z1800" s="1063"/>
      <c r="AA1800" s="1063"/>
      <c r="AB1800" s="1063"/>
      <c r="AC1800" s="1063"/>
      <c r="AD1800" s="1063"/>
      <c r="AE1800" s="1063"/>
      <c r="AF1800" s="1063"/>
      <c r="AG1800" s="1063"/>
      <c r="AH1800" s="1063"/>
      <c r="AI1800" s="1063"/>
      <c r="AJ1800" s="1063"/>
      <c r="AK1800" s="1063"/>
      <c r="AL1800" s="1063"/>
      <c r="AM1800" s="1063"/>
      <c r="AN1800" s="1063"/>
      <c r="AO1800" s="1063"/>
      <c r="AP1800" s="1063"/>
      <c r="AQ1800" s="1063"/>
      <c r="AR1800" s="1063"/>
      <c r="AS1800" s="1063"/>
      <c r="AT1800" s="1063"/>
      <c r="AU1800" s="1063"/>
      <c r="AV1800" s="1063"/>
    </row>
    <row r="1801" spans="1:48" s="1108" customFormat="1" ht="27.75" customHeight="1">
      <c r="A1801" s="1076"/>
      <c r="B1801" s="1074">
        <f>+'[18]Bldg+Dev'!S2613</f>
        <v>0</v>
      </c>
      <c r="D1801" s="1063"/>
      <c r="F1801" s="1076"/>
      <c r="G1801" s="1063"/>
      <c r="H1801" s="1063"/>
      <c r="I1801" s="1063"/>
      <c r="J1801" s="1063"/>
      <c r="K1801" s="1063"/>
      <c r="L1801" s="1063"/>
      <c r="M1801" s="1063"/>
      <c r="N1801" s="1063"/>
      <c r="O1801" s="1063"/>
      <c r="P1801" s="1063"/>
      <c r="Q1801" s="1063"/>
      <c r="R1801" s="1063"/>
      <c r="S1801" s="1063"/>
      <c r="T1801" s="1063"/>
      <c r="U1801" s="1063"/>
      <c r="V1801" s="1063"/>
      <c r="W1801" s="1063"/>
      <c r="X1801" s="1063"/>
      <c r="Y1801" s="1063"/>
      <c r="Z1801" s="1063"/>
      <c r="AA1801" s="1063"/>
      <c r="AB1801" s="1063"/>
      <c r="AC1801" s="1063"/>
      <c r="AD1801" s="1063"/>
      <c r="AE1801" s="1063"/>
      <c r="AF1801" s="1063"/>
      <c r="AG1801" s="1063"/>
      <c r="AH1801" s="1063"/>
      <c r="AI1801" s="1063"/>
      <c r="AJ1801" s="1063"/>
      <c r="AK1801" s="1063"/>
      <c r="AL1801" s="1063"/>
      <c r="AM1801" s="1063"/>
      <c r="AN1801" s="1063"/>
      <c r="AO1801" s="1063"/>
      <c r="AP1801" s="1063"/>
      <c r="AQ1801" s="1063"/>
      <c r="AR1801" s="1063"/>
      <c r="AS1801" s="1063"/>
      <c r="AT1801" s="1063"/>
      <c r="AU1801" s="1063"/>
      <c r="AV1801" s="1063"/>
    </row>
    <row r="1802" spans="1:48" s="1108" customFormat="1" ht="27.75" customHeight="1">
      <c r="A1802" s="1076"/>
      <c r="B1802" s="1074">
        <f>+'[18]Bldg+Dev'!S2614</f>
        <v>0</v>
      </c>
      <c r="D1802" s="1063"/>
      <c r="F1802" s="1076"/>
      <c r="G1802" s="1063"/>
      <c r="H1802" s="1063"/>
      <c r="I1802" s="1063"/>
      <c r="J1802" s="1063"/>
      <c r="K1802" s="1063"/>
      <c r="L1802" s="1063"/>
      <c r="M1802" s="1063"/>
      <c r="N1802" s="1063"/>
      <c r="O1802" s="1063"/>
      <c r="P1802" s="1063"/>
      <c r="Q1802" s="1063"/>
      <c r="R1802" s="1063"/>
      <c r="S1802" s="1063"/>
      <c r="T1802" s="1063"/>
      <c r="U1802" s="1063"/>
      <c r="V1802" s="1063"/>
      <c r="W1802" s="1063"/>
      <c r="X1802" s="1063"/>
      <c r="Y1802" s="1063"/>
      <c r="Z1802" s="1063"/>
      <c r="AA1802" s="1063"/>
      <c r="AB1802" s="1063"/>
      <c r="AC1802" s="1063"/>
      <c r="AD1802" s="1063"/>
      <c r="AE1802" s="1063"/>
      <c r="AF1802" s="1063"/>
      <c r="AG1802" s="1063"/>
      <c r="AH1802" s="1063"/>
      <c r="AI1802" s="1063"/>
      <c r="AJ1802" s="1063"/>
      <c r="AK1802" s="1063"/>
      <c r="AL1802" s="1063"/>
      <c r="AM1802" s="1063"/>
      <c r="AN1802" s="1063"/>
      <c r="AO1802" s="1063"/>
      <c r="AP1802" s="1063"/>
      <c r="AQ1802" s="1063"/>
      <c r="AR1802" s="1063"/>
      <c r="AS1802" s="1063"/>
      <c r="AT1802" s="1063"/>
      <c r="AU1802" s="1063"/>
      <c r="AV1802" s="1063"/>
    </row>
    <row r="1803" spans="1:48" s="1108" customFormat="1" ht="27.75" customHeight="1">
      <c r="A1803" s="1076"/>
      <c r="B1803" s="1074">
        <f>+'[18]Bldg+Dev'!S2615</f>
        <v>0</v>
      </c>
      <c r="D1803" s="1063"/>
      <c r="F1803" s="1076"/>
      <c r="G1803" s="1063"/>
      <c r="H1803" s="1063"/>
      <c r="I1803" s="1063"/>
      <c r="J1803" s="1063"/>
      <c r="K1803" s="1063"/>
      <c r="L1803" s="1063"/>
      <c r="M1803" s="1063"/>
      <c r="N1803" s="1063"/>
      <c r="O1803" s="1063"/>
      <c r="P1803" s="1063"/>
      <c r="Q1803" s="1063"/>
      <c r="R1803" s="1063"/>
      <c r="S1803" s="1063"/>
      <c r="T1803" s="1063"/>
      <c r="U1803" s="1063"/>
      <c r="V1803" s="1063"/>
      <c r="W1803" s="1063"/>
      <c r="X1803" s="1063"/>
      <c r="Y1803" s="1063"/>
      <c r="Z1803" s="1063"/>
      <c r="AA1803" s="1063"/>
      <c r="AB1803" s="1063"/>
      <c r="AC1803" s="1063"/>
      <c r="AD1803" s="1063"/>
      <c r="AE1803" s="1063"/>
      <c r="AF1803" s="1063"/>
      <c r="AG1803" s="1063"/>
      <c r="AH1803" s="1063"/>
      <c r="AI1803" s="1063"/>
      <c r="AJ1803" s="1063"/>
      <c r="AK1803" s="1063"/>
      <c r="AL1803" s="1063"/>
      <c r="AM1803" s="1063"/>
      <c r="AN1803" s="1063"/>
      <c r="AO1803" s="1063"/>
      <c r="AP1803" s="1063"/>
      <c r="AQ1803" s="1063"/>
      <c r="AR1803" s="1063"/>
      <c r="AS1803" s="1063"/>
      <c r="AT1803" s="1063"/>
      <c r="AU1803" s="1063"/>
      <c r="AV1803" s="1063"/>
    </row>
    <row r="1804" spans="1:48" s="1108" customFormat="1" ht="27.75" customHeight="1">
      <c r="A1804" s="1076"/>
      <c r="B1804" s="1074">
        <f>+'[18]Bldg+Dev'!S2616</f>
        <v>0</v>
      </c>
      <c r="D1804" s="1063"/>
      <c r="F1804" s="1076"/>
      <c r="G1804" s="1063"/>
      <c r="H1804" s="1063"/>
      <c r="I1804" s="1063"/>
      <c r="J1804" s="1063"/>
      <c r="K1804" s="1063"/>
      <c r="L1804" s="1063"/>
      <c r="M1804" s="1063"/>
      <c r="N1804" s="1063"/>
      <c r="O1804" s="1063"/>
      <c r="P1804" s="1063"/>
      <c r="Q1804" s="1063"/>
      <c r="R1804" s="1063"/>
      <c r="S1804" s="1063"/>
      <c r="T1804" s="1063"/>
      <c r="U1804" s="1063"/>
      <c r="V1804" s="1063"/>
      <c r="W1804" s="1063"/>
      <c r="X1804" s="1063"/>
      <c r="Y1804" s="1063"/>
      <c r="Z1804" s="1063"/>
      <c r="AA1804" s="1063"/>
      <c r="AB1804" s="1063"/>
      <c r="AC1804" s="1063"/>
      <c r="AD1804" s="1063"/>
      <c r="AE1804" s="1063"/>
      <c r="AF1804" s="1063"/>
      <c r="AG1804" s="1063"/>
      <c r="AH1804" s="1063"/>
      <c r="AI1804" s="1063"/>
      <c r="AJ1804" s="1063"/>
      <c r="AK1804" s="1063"/>
      <c r="AL1804" s="1063"/>
      <c r="AM1804" s="1063"/>
      <c r="AN1804" s="1063"/>
      <c r="AO1804" s="1063"/>
      <c r="AP1804" s="1063"/>
      <c r="AQ1804" s="1063"/>
      <c r="AR1804" s="1063"/>
      <c r="AS1804" s="1063"/>
      <c r="AT1804" s="1063"/>
      <c r="AU1804" s="1063"/>
      <c r="AV1804" s="1063"/>
    </row>
    <row r="1805" spans="1:48" s="1108" customFormat="1" ht="27.75" customHeight="1">
      <c r="A1805" s="1076"/>
      <c r="B1805" s="1074">
        <f>+'[18]Bldg+Dev'!S2617</f>
        <v>0</v>
      </c>
      <c r="D1805" s="1063"/>
      <c r="F1805" s="1076"/>
      <c r="G1805" s="1063"/>
      <c r="H1805" s="1063"/>
      <c r="I1805" s="1063"/>
      <c r="J1805" s="1063"/>
      <c r="K1805" s="1063"/>
      <c r="L1805" s="1063"/>
      <c r="M1805" s="1063"/>
      <c r="N1805" s="1063"/>
      <c r="O1805" s="1063"/>
      <c r="P1805" s="1063"/>
      <c r="Q1805" s="1063"/>
      <c r="R1805" s="1063"/>
      <c r="S1805" s="1063"/>
      <c r="T1805" s="1063"/>
      <c r="U1805" s="1063"/>
      <c r="V1805" s="1063"/>
      <c r="W1805" s="1063"/>
      <c r="X1805" s="1063"/>
      <c r="Y1805" s="1063"/>
      <c r="Z1805" s="1063"/>
      <c r="AA1805" s="1063"/>
      <c r="AB1805" s="1063"/>
      <c r="AC1805" s="1063"/>
      <c r="AD1805" s="1063"/>
      <c r="AE1805" s="1063"/>
      <c r="AF1805" s="1063"/>
      <c r="AG1805" s="1063"/>
      <c r="AH1805" s="1063"/>
      <c r="AI1805" s="1063"/>
      <c r="AJ1805" s="1063"/>
      <c r="AK1805" s="1063"/>
      <c r="AL1805" s="1063"/>
      <c r="AM1805" s="1063"/>
      <c r="AN1805" s="1063"/>
      <c r="AO1805" s="1063"/>
      <c r="AP1805" s="1063"/>
      <c r="AQ1805" s="1063"/>
      <c r="AR1805" s="1063"/>
      <c r="AS1805" s="1063"/>
      <c r="AT1805" s="1063"/>
      <c r="AU1805" s="1063"/>
      <c r="AV1805" s="1063"/>
    </row>
    <row r="1806" spans="1:48" s="1108" customFormat="1" ht="27.75" customHeight="1">
      <c r="A1806" s="1076"/>
      <c r="B1806" s="1074">
        <f>+'[18]Bldg+Dev'!S2618</f>
        <v>0</v>
      </c>
      <c r="D1806" s="1063"/>
      <c r="F1806" s="1076"/>
      <c r="G1806" s="1063"/>
      <c r="H1806" s="1063"/>
      <c r="I1806" s="1063"/>
      <c r="J1806" s="1063"/>
      <c r="K1806" s="1063"/>
      <c r="L1806" s="1063"/>
      <c r="M1806" s="1063"/>
      <c r="N1806" s="1063"/>
      <c r="O1806" s="1063"/>
      <c r="P1806" s="1063"/>
      <c r="Q1806" s="1063"/>
      <c r="R1806" s="1063"/>
      <c r="S1806" s="1063"/>
      <c r="T1806" s="1063"/>
      <c r="U1806" s="1063"/>
      <c r="V1806" s="1063"/>
      <c r="W1806" s="1063"/>
      <c r="X1806" s="1063"/>
      <c r="Y1806" s="1063"/>
      <c r="Z1806" s="1063"/>
      <c r="AA1806" s="1063"/>
      <c r="AB1806" s="1063"/>
      <c r="AC1806" s="1063"/>
      <c r="AD1806" s="1063"/>
      <c r="AE1806" s="1063"/>
      <c r="AF1806" s="1063"/>
      <c r="AG1806" s="1063"/>
      <c r="AH1806" s="1063"/>
      <c r="AI1806" s="1063"/>
      <c r="AJ1806" s="1063"/>
      <c r="AK1806" s="1063"/>
      <c r="AL1806" s="1063"/>
      <c r="AM1806" s="1063"/>
      <c r="AN1806" s="1063"/>
      <c r="AO1806" s="1063"/>
      <c r="AP1806" s="1063"/>
      <c r="AQ1806" s="1063"/>
      <c r="AR1806" s="1063"/>
      <c r="AS1806" s="1063"/>
      <c r="AT1806" s="1063"/>
      <c r="AU1806" s="1063"/>
      <c r="AV1806" s="1063"/>
    </row>
    <row r="1807" spans="1:48" s="1108" customFormat="1" ht="27.75" customHeight="1">
      <c r="A1807" s="1076"/>
      <c r="B1807" s="1074">
        <f>+'[18]Bldg+Dev'!S2619</f>
        <v>0</v>
      </c>
      <c r="D1807" s="1063"/>
      <c r="F1807" s="1076"/>
      <c r="G1807" s="1063"/>
      <c r="H1807" s="1063"/>
      <c r="I1807" s="1063"/>
      <c r="J1807" s="1063"/>
      <c r="K1807" s="1063"/>
      <c r="L1807" s="1063"/>
      <c r="M1807" s="1063"/>
      <c r="N1807" s="1063"/>
      <c r="O1807" s="1063"/>
      <c r="P1807" s="1063"/>
      <c r="Q1807" s="1063"/>
      <c r="R1807" s="1063"/>
      <c r="S1807" s="1063"/>
      <c r="T1807" s="1063"/>
      <c r="U1807" s="1063"/>
      <c r="V1807" s="1063"/>
      <c r="W1807" s="1063"/>
      <c r="X1807" s="1063"/>
      <c r="Y1807" s="1063"/>
      <c r="Z1807" s="1063"/>
      <c r="AA1807" s="1063"/>
      <c r="AB1807" s="1063"/>
      <c r="AC1807" s="1063"/>
      <c r="AD1807" s="1063"/>
      <c r="AE1807" s="1063"/>
      <c r="AF1807" s="1063"/>
      <c r="AG1807" s="1063"/>
      <c r="AH1807" s="1063"/>
      <c r="AI1807" s="1063"/>
      <c r="AJ1807" s="1063"/>
      <c r="AK1807" s="1063"/>
      <c r="AL1807" s="1063"/>
      <c r="AM1807" s="1063"/>
      <c r="AN1807" s="1063"/>
      <c r="AO1807" s="1063"/>
      <c r="AP1807" s="1063"/>
      <c r="AQ1807" s="1063"/>
      <c r="AR1807" s="1063"/>
      <c r="AS1807" s="1063"/>
      <c r="AT1807" s="1063"/>
      <c r="AU1807" s="1063"/>
      <c r="AV1807" s="1063"/>
    </row>
    <row r="1808" spans="1:48" s="1108" customFormat="1" ht="27.75" customHeight="1">
      <c r="A1808" s="1076"/>
      <c r="B1808" s="1074">
        <f>+'[18]Bldg+Dev'!S2620</f>
        <v>0</v>
      </c>
      <c r="D1808" s="1063"/>
      <c r="F1808" s="1076"/>
      <c r="G1808" s="1063"/>
      <c r="H1808" s="1063"/>
      <c r="I1808" s="1063"/>
      <c r="J1808" s="1063"/>
      <c r="K1808" s="1063"/>
      <c r="L1808" s="1063"/>
      <c r="M1808" s="1063"/>
      <c r="N1808" s="1063"/>
      <c r="O1808" s="1063"/>
      <c r="P1808" s="1063"/>
      <c r="Q1808" s="1063"/>
      <c r="R1808" s="1063"/>
      <c r="S1808" s="1063"/>
      <c r="T1808" s="1063"/>
      <c r="U1808" s="1063"/>
      <c r="V1808" s="1063"/>
      <c r="W1808" s="1063"/>
      <c r="X1808" s="1063"/>
      <c r="Y1808" s="1063"/>
      <c r="Z1808" s="1063"/>
      <c r="AA1808" s="1063"/>
      <c r="AB1808" s="1063"/>
      <c r="AC1808" s="1063"/>
      <c r="AD1808" s="1063"/>
      <c r="AE1808" s="1063"/>
      <c r="AF1808" s="1063"/>
      <c r="AG1808" s="1063"/>
      <c r="AH1808" s="1063"/>
      <c r="AI1808" s="1063"/>
      <c r="AJ1808" s="1063"/>
      <c r="AK1808" s="1063"/>
      <c r="AL1808" s="1063"/>
      <c r="AM1808" s="1063"/>
      <c r="AN1808" s="1063"/>
      <c r="AO1808" s="1063"/>
      <c r="AP1808" s="1063"/>
      <c r="AQ1808" s="1063"/>
      <c r="AR1808" s="1063"/>
      <c r="AS1808" s="1063"/>
      <c r="AT1808" s="1063"/>
      <c r="AU1808" s="1063"/>
      <c r="AV1808" s="1063"/>
    </row>
    <row r="1809" spans="1:48" s="1108" customFormat="1" ht="27.75" customHeight="1">
      <c r="A1809" s="1076"/>
      <c r="B1809" s="1074">
        <f>+'[18]Bldg+Dev'!S2621</f>
        <v>0</v>
      </c>
      <c r="D1809" s="1063"/>
      <c r="F1809" s="1076"/>
      <c r="G1809" s="1063"/>
      <c r="H1809" s="1063"/>
      <c r="I1809" s="1063"/>
      <c r="J1809" s="1063"/>
      <c r="K1809" s="1063"/>
      <c r="L1809" s="1063"/>
      <c r="M1809" s="1063"/>
      <c r="N1809" s="1063"/>
      <c r="O1809" s="1063"/>
      <c r="P1809" s="1063"/>
      <c r="Q1809" s="1063"/>
      <c r="R1809" s="1063"/>
      <c r="S1809" s="1063"/>
      <c r="T1809" s="1063"/>
      <c r="U1809" s="1063"/>
      <c r="V1809" s="1063"/>
      <c r="W1809" s="1063"/>
      <c r="X1809" s="1063"/>
      <c r="Y1809" s="1063"/>
      <c r="Z1809" s="1063"/>
      <c r="AA1809" s="1063"/>
      <c r="AB1809" s="1063"/>
      <c r="AC1809" s="1063"/>
      <c r="AD1809" s="1063"/>
      <c r="AE1809" s="1063"/>
      <c r="AF1809" s="1063"/>
      <c r="AG1809" s="1063"/>
      <c r="AH1809" s="1063"/>
      <c r="AI1809" s="1063"/>
      <c r="AJ1809" s="1063"/>
      <c r="AK1809" s="1063"/>
      <c r="AL1809" s="1063"/>
      <c r="AM1809" s="1063"/>
      <c r="AN1809" s="1063"/>
      <c r="AO1809" s="1063"/>
      <c r="AP1809" s="1063"/>
      <c r="AQ1809" s="1063"/>
      <c r="AR1809" s="1063"/>
      <c r="AS1809" s="1063"/>
      <c r="AT1809" s="1063"/>
      <c r="AU1809" s="1063"/>
      <c r="AV1809" s="1063"/>
    </row>
    <row r="1810" spans="1:48" s="1108" customFormat="1" ht="27.75" customHeight="1">
      <c r="A1810" s="1076"/>
      <c r="B1810" s="1074">
        <f>+'[18]Bldg+Dev'!S2622</f>
        <v>0</v>
      </c>
      <c r="D1810" s="1063"/>
      <c r="F1810" s="1076"/>
      <c r="G1810" s="1063"/>
      <c r="H1810" s="1063"/>
      <c r="I1810" s="1063"/>
      <c r="J1810" s="1063"/>
      <c r="K1810" s="1063"/>
      <c r="L1810" s="1063"/>
      <c r="M1810" s="1063"/>
      <c r="N1810" s="1063"/>
      <c r="O1810" s="1063"/>
      <c r="P1810" s="1063"/>
      <c r="Q1810" s="1063"/>
      <c r="R1810" s="1063"/>
      <c r="S1810" s="1063"/>
      <c r="T1810" s="1063"/>
      <c r="U1810" s="1063"/>
      <c r="V1810" s="1063"/>
      <c r="W1810" s="1063"/>
      <c r="X1810" s="1063"/>
      <c r="Y1810" s="1063"/>
      <c r="Z1810" s="1063"/>
      <c r="AA1810" s="1063"/>
      <c r="AB1810" s="1063"/>
      <c r="AC1810" s="1063"/>
      <c r="AD1810" s="1063"/>
      <c r="AE1810" s="1063"/>
      <c r="AF1810" s="1063"/>
      <c r="AG1810" s="1063"/>
      <c r="AH1810" s="1063"/>
      <c r="AI1810" s="1063"/>
      <c r="AJ1810" s="1063"/>
      <c r="AK1810" s="1063"/>
      <c r="AL1810" s="1063"/>
      <c r="AM1810" s="1063"/>
      <c r="AN1810" s="1063"/>
      <c r="AO1810" s="1063"/>
      <c r="AP1810" s="1063"/>
      <c r="AQ1810" s="1063"/>
      <c r="AR1810" s="1063"/>
      <c r="AS1810" s="1063"/>
      <c r="AT1810" s="1063"/>
      <c r="AU1810" s="1063"/>
      <c r="AV1810" s="1063"/>
    </row>
    <row r="1811" spans="1:48" s="1108" customFormat="1" ht="27.75" customHeight="1">
      <c r="A1811" s="1076"/>
      <c r="B1811" s="1074">
        <f>+'[18]Bldg+Dev'!S2623</f>
        <v>0</v>
      </c>
      <c r="D1811" s="1063"/>
      <c r="F1811" s="1076"/>
      <c r="G1811" s="1063"/>
      <c r="H1811" s="1063"/>
      <c r="I1811" s="1063"/>
      <c r="J1811" s="1063"/>
      <c r="K1811" s="1063"/>
      <c r="L1811" s="1063"/>
      <c r="M1811" s="1063"/>
      <c r="N1811" s="1063"/>
      <c r="O1811" s="1063"/>
      <c r="P1811" s="1063"/>
      <c r="Q1811" s="1063"/>
      <c r="R1811" s="1063"/>
      <c r="S1811" s="1063"/>
      <c r="T1811" s="1063"/>
      <c r="U1811" s="1063"/>
      <c r="V1811" s="1063"/>
      <c r="W1811" s="1063"/>
      <c r="X1811" s="1063"/>
      <c r="Y1811" s="1063"/>
      <c r="Z1811" s="1063"/>
      <c r="AA1811" s="1063"/>
      <c r="AB1811" s="1063"/>
      <c r="AC1811" s="1063"/>
      <c r="AD1811" s="1063"/>
      <c r="AE1811" s="1063"/>
      <c r="AF1811" s="1063"/>
      <c r="AG1811" s="1063"/>
      <c r="AH1811" s="1063"/>
      <c r="AI1811" s="1063"/>
      <c r="AJ1811" s="1063"/>
      <c r="AK1811" s="1063"/>
      <c r="AL1811" s="1063"/>
      <c r="AM1811" s="1063"/>
      <c r="AN1811" s="1063"/>
      <c r="AO1811" s="1063"/>
      <c r="AP1811" s="1063"/>
      <c r="AQ1811" s="1063"/>
      <c r="AR1811" s="1063"/>
      <c r="AS1811" s="1063"/>
      <c r="AT1811" s="1063"/>
      <c r="AU1811" s="1063"/>
      <c r="AV1811" s="1063"/>
    </row>
    <row r="1812" spans="1:48" s="1108" customFormat="1" ht="27.75" customHeight="1">
      <c r="A1812" s="1076"/>
      <c r="B1812" s="1074">
        <f>+'[18]Bldg+Dev'!S2624</f>
        <v>0</v>
      </c>
      <c r="D1812" s="1063"/>
      <c r="F1812" s="1076"/>
      <c r="G1812" s="1063"/>
      <c r="H1812" s="1063"/>
      <c r="I1812" s="1063"/>
      <c r="J1812" s="1063"/>
      <c r="K1812" s="1063"/>
      <c r="L1812" s="1063"/>
      <c r="M1812" s="1063"/>
      <c r="N1812" s="1063"/>
      <c r="O1812" s="1063"/>
      <c r="P1812" s="1063"/>
      <c r="Q1812" s="1063"/>
      <c r="R1812" s="1063"/>
      <c r="S1812" s="1063"/>
      <c r="T1812" s="1063"/>
      <c r="U1812" s="1063"/>
      <c r="V1812" s="1063"/>
      <c r="W1812" s="1063"/>
      <c r="X1812" s="1063"/>
      <c r="Y1812" s="1063"/>
      <c r="Z1812" s="1063"/>
      <c r="AA1812" s="1063"/>
      <c r="AB1812" s="1063"/>
      <c r="AC1812" s="1063"/>
      <c r="AD1812" s="1063"/>
      <c r="AE1812" s="1063"/>
      <c r="AF1812" s="1063"/>
      <c r="AG1812" s="1063"/>
      <c r="AH1812" s="1063"/>
      <c r="AI1812" s="1063"/>
      <c r="AJ1812" s="1063"/>
      <c r="AK1812" s="1063"/>
      <c r="AL1812" s="1063"/>
      <c r="AM1812" s="1063"/>
      <c r="AN1812" s="1063"/>
      <c r="AO1812" s="1063"/>
      <c r="AP1812" s="1063"/>
      <c r="AQ1812" s="1063"/>
      <c r="AR1812" s="1063"/>
      <c r="AS1812" s="1063"/>
      <c r="AT1812" s="1063"/>
      <c r="AU1812" s="1063"/>
      <c r="AV1812" s="1063"/>
    </row>
    <row r="1813" spans="1:48" s="1108" customFormat="1" ht="27.75" customHeight="1">
      <c r="A1813" s="1076"/>
      <c r="B1813" s="1074">
        <f>+'[18]Bldg+Dev'!S2625</f>
        <v>0</v>
      </c>
      <c r="D1813" s="1063"/>
      <c r="F1813" s="1076"/>
      <c r="G1813" s="1063"/>
      <c r="H1813" s="1063"/>
      <c r="I1813" s="1063"/>
      <c r="J1813" s="1063"/>
      <c r="K1813" s="1063"/>
      <c r="L1813" s="1063"/>
      <c r="M1813" s="1063"/>
      <c r="N1813" s="1063"/>
      <c r="O1813" s="1063"/>
      <c r="P1813" s="1063"/>
      <c r="Q1813" s="1063"/>
      <c r="R1813" s="1063"/>
      <c r="S1813" s="1063"/>
      <c r="T1813" s="1063"/>
      <c r="U1813" s="1063"/>
      <c r="V1813" s="1063"/>
      <c r="W1813" s="1063"/>
      <c r="X1813" s="1063"/>
      <c r="Y1813" s="1063"/>
      <c r="Z1813" s="1063"/>
      <c r="AA1813" s="1063"/>
      <c r="AB1813" s="1063"/>
      <c r="AC1813" s="1063"/>
      <c r="AD1813" s="1063"/>
      <c r="AE1813" s="1063"/>
      <c r="AF1813" s="1063"/>
      <c r="AG1813" s="1063"/>
      <c r="AH1813" s="1063"/>
      <c r="AI1813" s="1063"/>
      <c r="AJ1813" s="1063"/>
      <c r="AK1813" s="1063"/>
      <c r="AL1813" s="1063"/>
      <c r="AM1813" s="1063"/>
      <c r="AN1813" s="1063"/>
      <c r="AO1813" s="1063"/>
      <c r="AP1813" s="1063"/>
      <c r="AQ1813" s="1063"/>
      <c r="AR1813" s="1063"/>
      <c r="AS1813" s="1063"/>
      <c r="AT1813" s="1063"/>
      <c r="AU1813" s="1063"/>
      <c r="AV1813" s="1063"/>
    </row>
    <row r="1814" spans="1:48" s="1108" customFormat="1" ht="27.75" customHeight="1">
      <c r="A1814" s="1076"/>
      <c r="B1814" s="1074">
        <f>+'[18]Bldg+Dev'!S2626</f>
        <v>0</v>
      </c>
      <c r="D1814" s="1063"/>
      <c r="F1814" s="1076"/>
      <c r="G1814" s="1063"/>
      <c r="H1814" s="1063"/>
      <c r="I1814" s="1063"/>
      <c r="J1814" s="1063"/>
      <c r="K1814" s="1063"/>
      <c r="L1814" s="1063"/>
      <c r="M1814" s="1063"/>
      <c r="N1814" s="1063"/>
      <c r="O1814" s="1063"/>
      <c r="P1814" s="1063"/>
      <c r="Q1814" s="1063"/>
      <c r="R1814" s="1063"/>
      <c r="S1814" s="1063"/>
      <c r="T1814" s="1063"/>
      <c r="U1814" s="1063"/>
      <c r="V1814" s="1063"/>
      <c r="W1814" s="1063"/>
      <c r="X1814" s="1063"/>
      <c r="Y1814" s="1063"/>
      <c r="Z1814" s="1063"/>
      <c r="AA1814" s="1063"/>
      <c r="AB1814" s="1063"/>
      <c r="AC1814" s="1063"/>
      <c r="AD1814" s="1063"/>
      <c r="AE1814" s="1063"/>
      <c r="AF1814" s="1063"/>
      <c r="AG1814" s="1063"/>
      <c r="AH1814" s="1063"/>
      <c r="AI1814" s="1063"/>
      <c r="AJ1814" s="1063"/>
      <c r="AK1814" s="1063"/>
      <c r="AL1814" s="1063"/>
      <c r="AM1814" s="1063"/>
      <c r="AN1814" s="1063"/>
      <c r="AO1814" s="1063"/>
      <c r="AP1814" s="1063"/>
      <c r="AQ1814" s="1063"/>
      <c r="AR1814" s="1063"/>
      <c r="AS1814" s="1063"/>
      <c r="AT1814" s="1063"/>
      <c r="AU1814" s="1063"/>
      <c r="AV1814" s="1063"/>
    </row>
    <row r="1815" spans="1:48" s="1108" customFormat="1" ht="27.75" customHeight="1">
      <c r="A1815" s="1076"/>
      <c r="B1815" s="1074">
        <f>+'[18]Bldg+Dev'!S2627</f>
        <v>0</v>
      </c>
      <c r="D1815" s="1063"/>
      <c r="F1815" s="1076"/>
      <c r="G1815" s="1063"/>
      <c r="H1815" s="1063"/>
      <c r="I1815" s="1063"/>
      <c r="J1815" s="1063"/>
      <c r="K1815" s="1063"/>
      <c r="L1815" s="1063"/>
      <c r="M1815" s="1063"/>
      <c r="N1815" s="1063"/>
      <c r="O1815" s="1063"/>
      <c r="P1815" s="1063"/>
      <c r="Q1815" s="1063"/>
      <c r="R1815" s="1063"/>
      <c r="S1815" s="1063"/>
      <c r="T1815" s="1063"/>
      <c r="U1815" s="1063"/>
      <c r="V1815" s="1063"/>
      <c r="W1815" s="1063"/>
      <c r="X1815" s="1063"/>
      <c r="Y1815" s="1063"/>
      <c r="Z1815" s="1063"/>
      <c r="AA1815" s="1063"/>
      <c r="AB1815" s="1063"/>
      <c r="AC1815" s="1063"/>
      <c r="AD1815" s="1063"/>
      <c r="AE1815" s="1063"/>
      <c r="AF1815" s="1063"/>
      <c r="AG1815" s="1063"/>
      <c r="AH1815" s="1063"/>
      <c r="AI1815" s="1063"/>
      <c r="AJ1815" s="1063"/>
      <c r="AK1815" s="1063"/>
      <c r="AL1815" s="1063"/>
      <c r="AM1815" s="1063"/>
      <c r="AN1815" s="1063"/>
      <c r="AO1815" s="1063"/>
      <c r="AP1815" s="1063"/>
      <c r="AQ1815" s="1063"/>
      <c r="AR1815" s="1063"/>
      <c r="AS1815" s="1063"/>
      <c r="AT1815" s="1063"/>
      <c r="AU1815" s="1063"/>
      <c r="AV1815" s="1063"/>
    </row>
    <row r="1816" spans="1:48" s="1108" customFormat="1" ht="27.75" customHeight="1">
      <c r="A1816" s="1076"/>
      <c r="B1816" s="1074">
        <f>+'[18]Bldg+Dev'!S2628</f>
        <v>0</v>
      </c>
      <c r="D1816" s="1063"/>
      <c r="F1816" s="1076"/>
      <c r="G1816" s="1063"/>
      <c r="H1816" s="1063"/>
      <c r="I1816" s="1063"/>
      <c r="J1816" s="1063"/>
      <c r="K1816" s="1063"/>
      <c r="L1816" s="1063"/>
      <c r="M1816" s="1063"/>
      <c r="N1816" s="1063"/>
      <c r="O1816" s="1063"/>
      <c r="P1816" s="1063"/>
      <c r="Q1816" s="1063"/>
      <c r="R1816" s="1063"/>
      <c r="S1816" s="1063"/>
      <c r="T1816" s="1063"/>
      <c r="U1816" s="1063"/>
      <c r="V1816" s="1063"/>
      <c r="W1816" s="1063"/>
      <c r="X1816" s="1063"/>
      <c r="Y1816" s="1063"/>
      <c r="Z1816" s="1063"/>
      <c r="AA1816" s="1063"/>
      <c r="AB1816" s="1063"/>
      <c r="AC1816" s="1063"/>
      <c r="AD1816" s="1063"/>
      <c r="AE1816" s="1063"/>
      <c r="AF1816" s="1063"/>
      <c r="AG1816" s="1063"/>
      <c r="AH1816" s="1063"/>
      <c r="AI1816" s="1063"/>
      <c r="AJ1816" s="1063"/>
      <c r="AK1816" s="1063"/>
      <c r="AL1816" s="1063"/>
      <c r="AM1816" s="1063"/>
      <c r="AN1816" s="1063"/>
      <c r="AO1816" s="1063"/>
      <c r="AP1816" s="1063"/>
      <c r="AQ1816" s="1063"/>
      <c r="AR1816" s="1063"/>
      <c r="AS1816" s="1063"/>
      <c r="AT1816" s="1063"/>
      <c r="AU1816" s="1063"/>
      <c r="AV1816" s="1063"/>
    </row>
    <row r="1817" spans="1:48" s="1108" customFormat="1" ht="27.75" customHeight="1">
      <c r="A1817" s="1076"/>
      <c r="B1817" s="1074">
        <f>+'[18]Bldg+Dev'!S2629</f>
        <v>0</v>
      </c>
      <c r="D1817" s="1063"/>
      <c r="F1817" s="1076"/>
      <c r="G1817" s="1063"/>
      <c r="H1817" s="1063"/>
      <c r="I1817" s="1063"/>
      <c r="J1817" s="1063"/>
      <c r="K1817" s="1063"/>
      <c r="L1817" s="1063"/>
      <c r="M1817" s="1063"/>
      <c r="N1817" s="1063"/>
      <c r="O1817" s="1063"/>
      <c r="P1817" s="1063"/>
      <c r="Q1817" s="1063"/>
      <c r="R1817" s="1063"/>
      <c r="S1817" s="1063"/>
      <c r="T1817" s="1063"/>
      <c r="U1817" s="1063"/>
      <c r="V1817" s="1063"/>
      <c r="W1817" s="1063"/>
      <c r="X1817" s="1063"/>
      <c r="Y1817" s="1063"/>
      <c r="Z1817" s="1063"/>
      <c r="AA1817" s="1063"/>
      <c r="AB1817" s="1063"/>
      <c r="AC1817" s="1063"/>
      <c r="AD1817" s="1063"/>
      <c r="AE1817" s="1063"/>
      <c r="AF1817" s="1063"/>
      <c r="AG1817" s="1063"/>
      <c r="AH1817" s="1063"/>
      <c r="AI1817" s="1063"/>
      <c r="AJ1817" s="1063"/>
      <c r="AK1817" s="1063"/>
      <c r="AL1817" s="1063"/>
      <c r="AM1817" s="1063"/>
      <c r="AN1817" s="1063"/>
      <c r="AO1817" s="1063"/>
      <c r="AP1817" s="1063"/>
      <c r="AQ1817" s="1063"/>
      <c r="AR1817" s="1063"/>
      <c r="AS1817" s="1063"/>
      <c r="AT1817" s="1063"/>
      <c r="AU1817" s="1063"/>
      <c r="AV1817" s="1063"/>
    </row>
    <row r="1818" spans="1:48" s="1108" customFormat="1" ht="27.75" customHeight="1">
      <c r="A1818" s="1076"/>
      <c r="B1818" s="1074">
        <f>+'[18]Bldg+Dev'!S2630</f>
        <v>0</v>
      </c>
      <c r="D1818" s="1063"/>
      <c r="F1818" s="1076"/>
      <c r="G1818" s="1063"/>
      <c r="H1818" s="1063"/>
      <c r="I1818" s="1063"/>
      <c r="J1818" s="1063"/>
      <c r="K1818" s="1063"/>
      <c r="L1818" s="1063"/>
      <c r="M1818" s="1063"/>
      <c r="N1818" s="1063"/>
      <c r="O1818" s="1063"/>
      <c r="P1818" s="1063"/>
      <c r="Q1818" s="1063"/>
      <c r="R1818" s="1063"/>
      <c r="S1818" s="1063"/>
      <c r="T1818" s="1063"/>
      <c r="U1818" s="1063"/>
      <c r="V1818" s="1063"/>
      <c r="W1818" s="1063"/>
      <c r="X1818" s="1063"/>
      <c r="Y1818" s="1063"/>
      <c r="Z1818" s="1063"/>
      <c r="AA1818" s="1063"/>
      <c r="AB1818" s="1063"/>
      <c r="AC1818" s="1063"/>
      <c r="AD1818" s="1063"/>
      <c r="AE1818" s="1063"/>
      <c r="AF1818" s="1063"/>
      <c r="AG1818" s="1063"/>
      <c r="AH1818" s="1063"/>
      <c r="AI1818" s="1063"/>
      <c r="AJ1818" s="1063"/>
      <c r="AK1818" s="1063"/>
      <c r="AL1818" s="1063"/>
      <c r="AM1818" s="1063"/>
      <c r="AN1818" s="1063"/>
      <c r="AO1818" s="1063"/>
      <c r="AP1818" s="1063"/>
      <c r="AQ1818" s="1063"/>
      <c r="AR1818" s="1063"/>
      <c r="AS1818" s="1063"/>
      <c r="AT1818" s="1063"/>
      <c r="AU1818" s="1063"/>
      <c r="AV1818" s="1063"/>
    </row>
    <row r="1819" spans="1:48" s="1108" customFormat="1" ht="27.75" customHeight="1">
      <c r="A1819" s="1076"/>
      <c r="B1819" s="1074">
        <f>+'[18]Bldg+Dev'!S2631</f>
        <v>0</v>
      </c>
      <c r="D1819" s="1063"/>
      <c r="F1819" s="1076"/>
      <c r="G1819" s="1063"/>
      <c r="H1819" s="1063"/>
      <c r="I1819" s="1063"/>
      <c r="J1819" s="1063"/>
      <c r="K1819" s="1063"/>
      <c r="L1819" s="1063"/>
      <c r="M1819" s="1063"/>
      <c r="N1819" s="1063"/>
      <c r="O1819" s="1063"/>
      <c r="P1819" s="1063"/>
      <c r="Q1819" s="1063"/>
      <c r="R1819" s="1063"/>
      <c r="S1819" s="1063"/>
      <c r="T1819" s="1063"/>
      <c r="U1819" s="1063"/>
      <c r="V1819" s="1063"/>
      <c r="W1819" s="1063"/>
      <c r="X1819" s="1063"/>
      <c r="Y1819" s="1063"/>
      <c r="Z1819" s="1063"/>
      <c r="AA1819" s="1063"/>
      <c r="AB1819" s="1063"/>
      <c r="AC1819" s="1063"/>
      <c r="AD1819" s="1063"/>
      <c r="AE1819" s="1063"/>
      <c r="AF1819" s="1063"/>
      <c r="AG1819" s="1063"/>
      <c r="AH1819" s="1063"/>
      <c r="AI1819" s="1063"/>
      <c r="AJ1819" s="1063"/>
      <c r="AK1819" s="1063"/>
      <c r="AL1819" s="1063"/>
      <c r="AM1819" s="1063"/>
      <c r="AN1819" s="1063"/>
      <c r="AO1819" s="1063"/>
      <c r="AP1819" s="1063"/>
      <c r="AQ1819" s="1063"/>
      <c r="AR1819" s="1063"/>
      <c r="AS1819" s="1063"/>
      <c r="AT1819" s="1063"/>
      <c r="AU1819" s="1063"/>
      <c r="AV1819" s="1063"/>
    </row>
    <row r="1820" spans="1:48" s="1108" customFormat="1" ht="27.75" customHeight="1">
      <c r="A1820" s="1076"/>
      <c r="B1820" s="1074">
        <f>+'[18]Bldg+Dev'!S2632</f>
        <v>0</v>
      </c>
      <c r="D1820" s="1063"/>
      <c r="F1820" s="1076"/>
      <c r="G1820" s="1063"/>
      <c r="H1820" s="1063"/>
      <c r="I1820" s="1063"/>
      <c r="J1820" s="1063"/>
      <c r="K1820" s="1063"/>
      <c r="L1820" s="1063"/>
      <c r="M1820" s="1063"/>
      <c r="N1820" s="1063"/>
      <c r="O1820" s="1063"/>
      <c r="P1820" s="1063"/>
      <c r="Q1820" s="1063"/>
      <c r="R1820" s="1063"/>
      <c r="S1820" s="1063"/>
      <c r="T1820" s="1063"/>
      <c r="U1820" s="1063"/>
      <c r="V1820" s="1063"/>
      <c r="W1820" s="1063"/>
      <c r="X1820" s="1063"/>
      <c r="Y1820" s="1063"/>
      <c r="Z1820" s="1063"/>
      <c r="AA1820" s="1063"/>
      <c r="AB1820" s="1063"/>
      <c r="AC1820" s="1063"/>
      <c r="AD1820" s="1063"/>
      <c r="AE1820" s="1063"/>
      <c r="AF1820" s="1063"/>
      <c r="AG1820" s="1063"/>
      <c r="AH1820" s="1063"/>
      <c r="AI1820" s="1063"/>
      <c r="AJ1820" s="1063"/>
      <c r="AK1820" s="1063"/>
      <c r="AL1820" s="1063"/>
      <c r="AM1820" s="1063"/>
      <c r="AN1820" s="1063"/>
      <c r="AO1820" s="1063"/>
      <c r="AP1820" s="1063"/>
      <c r="AQ1820" s="1063"/>
      <c r="AR1820" s="1063"/>
      <c r="AS1820" s="1063"/>
      <c r="AT1820" s="1063"/>
      <c r="AU1820" s="1063"/>
      <c r="AV1820" s="1063"/>
    </row>
    <row r="1821" spans="1:48" s="1108" customFormat="1" ht="27.75" customHeight="1">
      <c r="A1821" s="1076"/>
      <c r="B1821" s="1074">
        <f>+'[18]Bldg+Dev'!S2633</f>
        <v>0</v>
      </c>
      <c r="D1821" s="1063"/>
      <c r="F1821" s="1076"/>
      <c r="G1821" s="1063"/>
      <c r="H1821" s="1063"/>
      <c r="I1821" s="1063"/>
      <c r="J1821" s="1063"/>
      <c r="K1821" s="1063"/>
      <c r="L1821" s="1063"/>
      <c r="M1821" s="1063"/>
      <c r="N1821" s="1063"/>
      <c r="O1821" s="1063"/>
      <c r="P1821" s="1063"/>
      <c r="Q1821" s="1063"/>
      <c r="R1821" s="1063"/>
      <c r="S1821" s="1063"/>
      <c r="T1821" s="1063"/>
      <c r="U1821" s="1063"/>
      <c r="V1821" s="1063"/>
      <c r="W1821" s="1063"/>
      <c r="X1821" s="1063"/>
      <c r="Y1821" s="1063"/>
      <c r="Z1821" s="1063"/>
      <c r="AA1821" s="1063"/>
      <c r="AB1821" s="1063"/>
      <c r="AC1821" s="1063"/>
      <c r="AD1821" s="1063"/>
      <c r="AE1821" s="1063"/>
      <c r="AF1821" s="1063"/>
      <c r="AG1821" s="1063"/>
      <c r="AH1821" s="1063"/>
      <c r="AI1821" s="1063"/>
      <c r="AJ1821" s="1063"/>
      <c r="AK1821" s="1063"/>
      <c r="AL1821" s="1063"/>
      <c r="AM1821" s="1063"/>
      <c r="AN1821" s="1063"/>
      <c r="AO1821" s="1063"/>
      <c r="AP1821" s="1063"/>
      <c r="AQ1821" s="1063"/>
      <c r="AR1821" s="1063"/>
      <c r="AS1821" s="1063"/>
      <c r="AT1821" s="1063"/>
      <c r="AU1821" s="1063"/>
      <c r="AV1821" s="1063"/>
    </row>
    <row r="1822" spans="1:48" s="1108" customFormat="1" ht="27.75" customHeight="1">
      <c r="A1822" s="1076"/>
      <c r="B1822" s="1074">
        <f>+'[18]Bldg+Dev'!S2634</f>
        <v>0</v>
      </c>
      <c r="D1822" s="1063"/>
      <c r="F1822" s="1076"/>
      <c r="G1822" s="1063"/>
      <c r="H1822" s="1063"/>
      <c r="I1822" s="1063"/>
      <c r="J1822" s="1063"/>
      <c r="K1822" s="1063"/>
      <c r="L1822" s="1063"/>
      <c r="M1822" s="1063"/>
      <c r="N1822" s="1063"/>
      <c r="O1822" s="1063"/>
      <c r="P1822" s="1063"/>
      <c r="Q1822" s="1063"/>
      <c r="R1822" s="1063"/>
      <c r="S1822" s="1063"/>
      <c r="T1822" s="1063"/>
      <c r="U1822" s="1063"/>
      <c r="V1822" s="1063"/>
      <c r="W1822" s="1063"/>
      <c r="X1822" s="1063"/>
      <c r="Y1822" s="1063"/>
      <c r="Z1822" s="1063"/>
      <c r="AA1822" s="1063"/>
      <c r="AB1822" s="1063"/>
      <c r="AC1822" s="1063"/>
      <c r="AD1822" s="1063"/>
      <c r="AE1822" s="1063"/>
      <c r="AF1822" s="1063"/>
      <c r="AG1822" s="1063"/>
      <c r="AH1822" s="1063"/>
      <c r="AI1822" s="1063"/>
      <c r="AJ1822" s="1063"/>
      <c r="AK1822" s="1063"/>
      <c r="AL1822" s="1063"/>
      <c r="AM1822" s="1063"/>
      <c r="AN1822" s="1063"/>
      <c r="AO1822" s="1063"/>
      <c r="AP1822" s="1063"/>
      <c r="AQ1822" s="1063"/>
      <c r="AR1822" s="1063"/>
      <c r="AS1822" s="1063"/>
      <c r="AT1822" s="1063"/>
      <c r="AU1822" s="1063"/>
      <c r="AV1822" s="1063"/>
    </row>
    <row r="1823" spans="1:48" s="1108" customFormat="1" ht="27.75" customHeight="1">
      <c r="A1823" s="1076"/>
      <c r="B1823" s="1074">
        <f>+'[18]Bldg+Dev'!S2635</f>
        <v>0</v>
      </c>
      <c r="D1823" s="1063"/>
      <c r="F1823" s="1076"/>
      <c r="G1823" s="1063"/>
      <c r="H1823" s="1063"/>
      <c r="I1823" s="1063"/>
      <c r="J1823" s="1063"/>
      <c r="K1823" s="1063"/>
      <c r="L1823" s="1063"/>
      <c r="M1823" s="1063"/>
      <c r="N1823" s="1063"/>
      <c r="O1823" s="1063"/>
      <c r="P1823" s="1063"/>
      <c r="Q1823" s="1063"/>
      <c r="R1823" s="1063"/>
      <c r="S1823" s="1063"/>
      <c r="T1823" s="1063"/>
      <c r="U1823" s="1063"/>
      <c r="V1823" s="1063"/>
      <c r="W1823" s="1063"/>
      <c r="X1823" s="1063"/>
      <c r="Y1823" s="1063"/>
      <c r="Z1823" s="1063"/>
      <c r="AA1823" s="1063"/>
      <c r="AB1823" s="1063"/>
      <c r="AC1823" s="1063"/>
      <c r="AD1823" s="1063"/>
      <c r="AE1823" s="1063"/>
      <c r="AF1823" s="1063"/>
      <c r="AG1823" s="1063"/>
      <c r="AH1823" s="1063"/>
      <c r="AI1823" s="1063"/>
      <c r="AJ1823" s="1063"/>
      <c r="AK1823" s="1063"/>
      <c r="AL1823" s="1063"/>
      <c r="AM1823" s="1063"/>
      <c r="AN1823" s="1063"/>
      <c r="AO1823" s="1063"/>
      <c r="AP1823" s="1063"/>
      <c r="AQ1823" s="1063"/>
      <c r="AR1823" s="1063"/>
      <c r="AS1823" s="1063"/>
      <c r="AT1823" s="1063"/>
      <c r="AU1823" s="1063"/>
      <c r="AV1823" s="1063"/>
    </row>
    <row r="1824" spans="1:48" s="1108" customFormat="1" ht="27.75" customHeight="1">
      <c r="A1824" s="1076"/>
      <c r="B1824" s="1074">
        <f>+'[18]Bldg+Dev'!S2636</f>
        <v>0</v>
      </c>
      <c r="D1824" s="1063"/>
      <c r="F1824" s="1076"/>
      <c r="G1824" s="1063"/>
      <c r="H1824" s="1063"/>
      <c r="I1824" s="1063"/>
      <c r="J1824" s="1063"/>
      <c r="K1824" s="1063"/>
      <c r="L1824" s="1063"/>
      <c r="M1824" s="1063"/>
      <c r="N1824" s="1063"/>
      <c r="O1824" s="1063"/>
      <c r="P1824" s="1063"/>
      <c r="Q1824" s="1063"/>
      <c r="R1824" s="1063"/>
      <c r="S1824" s="1063"/>
      <c r="T1824" s="1063"/>
      <c r="U1824" s="1063"/>
      <c r="V1824" s="1063"/>
      <c r="W1824" s="1063"/>
      <c r="X1824" s="1063"/>
      <c r="Y1824" s="1063"/>
      <c r="Z1824" s="1063"/>
      <c r="AA1824" s="1063"/>
      <c r="AB1824" s="1063"/>
      <c r="AC1824" s="1063"/>
      <c r="AD1824" s="1063"/>
      <c r="AE1824" s="1063"/>
      <c r="AF1824" s="1063"/>
      <c r="AG1824" s="1063"/>
      <c r="AH1824" s="1063"/>
      <c r="AI1824" s="1063"/>
      <c r="AJ1824" s="1063"/>
      <c r="AK1824" s="1063"/>
      <c r="AL1824" s="1063"/>
      <c r="AM1824" s="1063"/>
      <c r="AN1824" s="1063"/>
      <c r="AO1824" s="1063"/>
      <c r="AP1824" s="1063"/>
      <c r="AQ1824" s="1063"/>
      <c r="AR1824" s="1063"/>
      <c r="AS1824" s="1063"/>
      <c r="AT1824" s="1063"/>
      <c r="AU1824" s="1063"/>
      <c r="AV1824" s="1063"/>
    </row>
    <row r="1825" spans="1:48" s="1108" customFormat="1" ht="27.75" customHeight="1">
      <c r="A1825" s="1076"/>
      <c r="B1825" s="1074">
        <f>+'[18]Bldg+Dev'!S2637</f>
        <v>0</v>
      </c>
      <c r="D1825" s="1063"/>
      <c r="F1825" s="1076"/>
      <c r="G1825" s="1063"/>
      <c r="H1825" s="1063"/>
      <c r="I1825" s="1063"/>
      <c r="J1825" s="1063"/>
      <c r="K1825" s="1063"/>
      <c r="L1825" s="1063"/>
      <c r="M1825" s="1063"/>
      <c r="N1825" s="1063"/>
      <c r="O1825" s="1063"/>
      <c r="P1825" s="1063"/>
      <c r="Q1825" s="1063"/>
      <c r="R1825" s="1063"/>
      <c r="S1825" s="1063"/>
      <c r="T1825" s="1063"/>
      <c r="U1825" s="1063"/>
      <c r="V1825" s="1063"/>
      <c r="W1825" s="1063"/>
      <c r="X1825" s="1063"/>
      <c r="Y1825" s="1063"/>
      <c r="Z1825" s="1063"/>
      <c r="AA1825" s="1063"/>
      <c r="AB1825" s="1063"/>
      <c r="AC1825" s="1063"/>
      <c r="AD1825" s="1063"/>
      <c r="AE1825" s="1063"/>
      <c r="AF1825" s="1063"/>
      <c r="AG1825" s="1063"/>
      <c r="AH1825" s="1063"/>
      <c r="AI1825" s="1063"/>
      <c r="AJ1825" s="1063"/>
      <c r="AK1825" s="1063"/>
      <c r="AL1825" s="1063"/>
      <c r="AM1825" s="1063"/>
      <c r="AN1825" s="1063"/>
      <c r="AO1825" s="1063"/>
      <c r="AP1825" s="1063"/>
      <c r="AQ1825" s="1063"/>
      <c r="AR1825" s="1063"/>
      <c r="AS1825" s="1063"/>
      <c r="AT1825" s="1063"/>
      <c r="AU1825" s="1063"/>
      <c r="AV1825" s="1063"/>
    </row>
    <row r="1826" spans="1:48" s="1108" customFormat="1" ht="27.75" customHeight="1">
      <c r="A1826" s="1076"/>
      <c r="B1826" s="1074">
        <f>+'[18]Bldg+Dev'!S2638</f>
        <v>0</v>
      </c>
      <c r="D1826" s="1063"/>
      <c r="F1826" s="1076"/>
      <c r="G1826" s="1063"/>
      <c r="H1826" s="1063"/>
      <c r="I1826" s="1063"/>
      <c r="J1826" s="1063"/>
      <c r="K1826" s="1063"/>
      <c r="L1826" s="1063"/>
      <c r="M1826" s="1063"/>
      <c r="N1826" s="1063"/>
      <c r="O1826" s="1063"/>
      <c r="P1826" s="1063"/>
      <c r="Q1826" s="1063"/>
      <c r="R1826" s="1063"/>
      <c r="S1826" s="1063"/>
      <c r="T1826" s="1063"/>
      <c r="U1826" s="1063"/>
      <c r="V1826" s="1063"/>
      <c r="W1826" s="1063"/>
      <c r="X1826" s="1063"/>
      <c r="Y1826" s="1063"/>
      <c r="Z1826" s="1063"/>
      <c r="AA1826" s="1063"/>
      <c r="AB1826" s="1063"/>
      <c r="AC1826" s="1063"/>
      <c r="AD1826" s="1063"/>
      <c r="AE1826" s="1063"/>
      <c r="AF1826" s="1063"/>
      <c r="AG1826" s="1063"/>
      <c r="AH1826" s="1063"/>
      <c r="AI1826" s="1063"/>
      <c r="AJ1826" s="1063"/>
      <c r="AK1826" s="1063"/>
      <c r="AL1826" s="1063"/>
      <c r="AM1826" s="1063"/>
      <c r="AN1826" s="1063"/>
      <c r="AO1826" s="1063"/>
      <c r="AP1826" s="1063"/>
      <c r="AQ1826" s="1063"/>
      <c r="AR1826" s="1063"/>
      <c r="AS1826" s="1063"/>
      <c r="AT1826" s="1063"/>
      <c r="AU1826" s="1063"/>
      <c r="AV1826" s="1063"/>
    </row>
    <row r="1827" spans="1:48" s="1108" customFormat="1" ht="27.75" customHeight="1">
      <c r="A1827" s="1076"/>
      <c r="B1827" s="1074">
        <f>+'[18]Bldg+Dev'!S2639</f>
        <v>0</v>
      </c>
      <c r="D1827" s="1063"/>
      <c r="F1827" s="1076"/>
      <c r="G1827" s="1063"/>
      <c r="H1827" s="1063"/>
      <c r="I1827" s="1063"/>
      <c r="J1827" s="1063"/>
      <c r="K1827" s="1063"/>
      <c r="L1827" s="1063"/>
      <c r="M1827" s="1063"/>
      <c r="N1827" s="1063"/>
      <c r="O1827" s="1063"/>
      <c r="P1827" s="1063"/>
      <c r="Q1827" s="1063"/>
      <c r="R1827" s="1063"/>
      <c r="S1827" s="1063"/>
      <c r="T1827" s="1063"/>
      <c r="U1827" s="1063"/>
      <c r="V1827" s="1063"/>
      <c r="W1827" s="1063"/>
      <c r="X1827" s="1063"/>
      <c r="Y1827" s="1063"/>
      <c r="Z1827" s="1063"/>
      <c r="AA1827" s="1063"/>
      <c r="AB1827" s="1063"/>
      <c r="AC1827" s="1063"/>
      <c r="AD1827" s="1063"/>
      <c r="AE1827" s="1063"/>
      <c r="AF1827" s="1063"/>
      <c r="AG1827" s="1063"/>
      <c r="AH1827" s="1063"/>
      <c r="AI1827" s="1063"/>
      <c r="AJ1827" s="1063"/>
      <c r="AK1827" s="1063"/>
      <c r="AL1827" s="1063"/>
      <c r="AM1827" s="1063"/>
      <c r="AN1827" s="1063"/>
      <c r="AO1827" s="1063"/>
      <c r="AP1827" s="1063"/>
      <c r="AQ1827" s="1063"/>
      <c r="AR1827" s="1063"/>
      <c r="AS1827" s="1063"/>
      <c r="AT1827" s="1063"/>
      <c r="AU1827" s="1063"/>
      <c r="AV1827" s="1063"/>
    </row>
    <row r="1828" spans="1:48" s="1108" customFormat="1" ht="27.75" customHeight="1">
      <c r="A1828" s="1076"/>
      <c r="B1828" s="1074">
        <f>+'[18]Bldg+Dev'!S2640</f>
        <v>0</v>
      </c>
      <c r="D1828" s="1063"/>
      <c r="F1828" s="1076"/>
      <c r="G1828" s="1063"/>
      <c r="H1828" s="1063"/>
      <c r="I1828" s="1063"/>
      <c r="J1828" s="1063"/>
      <c r="K1828" s="1063"/>
      <c r="L1828" s="1063"/>
      <c r="M1828" s="1063"/>
      <c r="N1828" s="1063"/>
      <c r="O1828" s="1063"/>
      <c r="P1828" s="1063"/>
      <c r="Q1828" s="1063"/>
      <c r="R1828" s="1063"/>
      <c r="S1828" s="1063"/>
      <c r="T1828" s="1063"/>
      <c r="U1828" s="1063"/>
      <c r="V1828" s="1063"/>
      <c r="W1828" s="1063"/>
      <c r="X1828" s="1063"/>
      <c r="Y1828" s="1063"/>
      <c r="Z1828" s="1063"/>
      <c r="AA1828" s="1063"/>
      <c r="AB1828" s="1063"/>
      <c r="AC1828" s="1063"/>
      <c r="AD1828" s="1063"/>
      <c r="AE1828" s="1063"/>
      <c r="AF1828" s="1063"/>
      <c r="AG1828" s="1063"/>
      <c r="AH1828" s="1063"/>
      <c r="AI1828" s="1063"/>
      <c r="AJ1828" s="1063"/>
      <c r="AK1828" s="1063"/>
      <c r="AL1828" s="1063"/>
      <c r="AM1828" s="1063"/>
      <c r="AN1828" s="1063"/>
      <c r="AO1828" s="1063"/>
      <c r="AP1828" s="1063"/>
      <c r="AQ1828" s="1063"/>
      <c r="AR1828" s="1063"/>
      <c r="AS1828" s="1063"/>
      <c r="AT1828" s="1063"/>
      <c r="AU1828" s="1063"/>
      <c r="AV1828" s="1063"/>
    </row>
    <row r="1829" spans="1:48" s="1108" customFormat="1" ht="27.75" customHeight="1">
      <c r="A1829" s="1076"/>
      <c r="B1829" s="1074">
        <f>+'[18]Bldg+Dev'!S2641</f>
        <v>0</v>
      </c>
      <c r="D1829" s="1063"/>
      <c r="F1829" s="1076"/>
      <c r="G1829" s="1063"/>
      <c r="H1829" s="1063"/>
      <c r="I1829" s="1063"/>
      <c r="J1829" s="1063"/>
      <c r="K1829" s="1063"/>
      <c r="L1829" s="1063"/>
      <c r="M1829" s="1063"/>
      <c r="N1829" s="1063"/>
      <c r="O1829" s="1063"/>
      <c r="P1829" s="1063"/>
      <c r="Q1829" s="1063"/>
      <c r="R1829" s="1063"/>
      <c r="S1829" s="1063"/>
      <c r="T1829" s="1063"/>
      <c r="U1829" s="1063"/>
      <c r="V1829" s="1063"/>
      <c r="W1829" s="1063"/>
      <c r="X1829" s="1063"/>
      <c r="Y1829" s="1063"/>
      <c r="Z1829" s="1063"/>
      <c r="AA1829" s="1063"/>
      <c r="AB1829" s="1063"/>
      <c r="AC1829" s="1063"/>
      <c r="AD1829" s="1063"/>
      <c r="AE1829" s="1063"/>
      <c r="AF1829" s="1063"/>
      <c r="AG1829" s="1063"/>
      <c r="AH1829" s="1063"/>
      <c r="AI1829" s="1063"/>
      <c r="AJ1829" s="1063"/>
      <c r="AK1829" s="1063"/>
      <c r="AL1829" s="1063"/>
      <c r="AM1829" s="1063"/>
      <c r="AN1829" s="1063"/>
      <c r="AO1829" s="1063"/>
      <c r="AP1829" s="1063"/>
      <c r="AQ1829" s="1063"/>
      <c r="AR1829" s="1063"/>
      <c r="AS1829" s="1063"/>
      <c r="AT1829" s="1063"/>
      <c r="AU1829" s="1063"/>
      <c r="AV1829" s="1063"/>
    </row>
    <row r="1830" spans="1:48" s="1108" customFormat="1" ht="27.75" customHeight="1">
      <c r="A1830" s="1076"/>
      <c r="B1830" s="1074">
        <f>+'[18]Bldg+Dev'!S2642</f>
        <v>0</v>
      </c>
      <c r="D1830" s="1063"/>
      <c r="F1830" s="1076"/>
      <c r="G1830" s="1063"/>
      <c r="H1830" s="1063"/>
      <c r="I1830" s="1063"/>
      <c r="J1830" s="1063"/>
      <c r="K1830" s="1063"/>
      <c r="L1830" s="1063"/>
      <c r="M1830" s="1063"/>
      <c r="N1830" s="1063"/>
      <c r="O1830" s="1063"/>
      <c r="P1830" s="1063"/>
      <c r="Q1830" s="1063"/>
      <c r="R1830" s="1063"/>
      <c r="S1830" s="1063"/>
      <c r="T1830" s="1063"/>
      <c r="U1830" s="1063"/>
      <c r="V1830" s="1063"/>
      <c r="W1830" s="1063"/>
      <c r="X1830" s="1063"/>
      <c r="Y1830" s="1063"/>
      <c r="Z1830" s="1063"/>
      <c r="AA1830" s="1063"/>
      <c r="AB1830" s="1063"/>
      <c r="AC1830" s="1063"/>
      <c r="AD1830" s="1063"/>
      <c r="AE1830" s="1063"/>
      <c r="AF1830" s="1063"/>
      <c r="AG1830" s="1063"/>
      <c r="AH1830" s="1063"/>
      <c r="AI1830" s="1063"/>
      <c r="AJ1830" s="1063"/>
      <c r="AK1830" s="1063"/>
      <c r="AL1830" s="1063"/>
      <c r="AM1830" s="1063"/>
      <c r="AN1830" s="1063"/>
      <c r="AO1830" s="1063"/>
      <c r="AP1830" s="1063"/>
      <c r="AQ1830" s="1063"/>
      <c r="AR1830" s="1063"/>
      <c r="AS1830" s="1063"/>
      <c r="AT1830" s="1063"/>
      <c r="AU1830" s="1063"/>
      <c r="AV1830" s="1063"/>
    </row>
    <row r="1831" spans="1:48" s="1108" customFormat="1" ht="27.75" customHeight="1">
      <c r="A1831" s="1076"/>
      <c r="B1831" s="1074">
        <f>+'[18]Bldg+Dev'!S2643</f>
        <v>0</v>
      </c>
      <c r="D1831" s="1063"/>
      <c r="F1831" s="1076"/>
      <c r="G1831" s="1063"/>
      <c r="H1831" s="1063"/>
      <c r="I1831" s="1063"/>
      <c r="J1831" s="1063"/>
      <c r="K1831" s="1063"/>
      <c r="L1831" s="1063"/>
      <c r="M1831" s="1063"/>
      <c r="N1831" s="1063"/>
      <c r="O1831" s="1063"/>
      <c r="P1831" s="1063"/>
      <c r="Q1831" s="1063"/>
      <c r="R1831" s="1063"/>
      <c r="S1831" s="1063"/>
      <c r="T1831" s="1063"/>
      <c r="U1831" s="1063"/>
      <c r="V1831" s="1063"/>
      <c r="W1831" s="1063"/>
      <c r="X1831" s="1063"/>
      <c r="Y1831" s="1063"/>
      <c r="Z1831" s="1063"/>
      <c r="AA1831" s="1063"/>
      <c r="AB1831" s="1063"/>
      <c r="AC1831" s="1063"/>
      <c r="AD1831" s="1063"/>
      <c r="AE1831" s="1063"/>
      <c r="AF1831" s="1063"/>
      <c r="AG1831" s="1063"/>
      <c r="AH1831" s="1063"/>
      <c r="AI1831" s="1063"/>
      <c r="AJ1831" s="1063"/>
      <c r="AK1831" s="1063"/>
      <c r="AL1831" s="1063"/>
      <c r="AM1831" s="1063"/>
      <c r="AN1831" s="1063"/>
      <c r="AO1831" s="1063"/>
      <c r="AP1831" s="1063"/>
      <c r="AQ1831" s="1063"/>
      <c r="AR1831" s="1063"/>
      <c r="AS1831" s="1063"/>
      <c r="AT1831" s="1063"/>
      <c r="AU1831" s="1063"/>
      <c r="AV1831" s="1063"/>
    </row>
    <row r="1832" spans="1:48" s="1108" customFormat="1" ht="27.75" customHeight="1">
      <c r="A1832" s="1076"/>
      <c r="B1832" s="1074">
        <f>+'[18]Bldg+Dev'!S2644</f>
        <v>0</v>
      </c>
      <c r="D1832" s="1063"/>
      <c r="F1832" s="1076"/>
      <c r="G1832" s="1063"/>
      <c r="H1832" s="1063"/>
      <c r="I1832" s="1063"/>
      <c r="J1832" s="1063"/>
      <c r="K1832" s="1063"/>
      <c r="L1832" s="1063"/>
      <c r="M1832" s="1063"/>
      <c r="N1832" s="1063"/>
      <c r="O1832" s="1063"/>
      <c r="P1832" s="1063"/>
      <c r="Q1832" s="1063"/>
      <c r="R1832" s="1063"/>
      <c r="S1832" s="1063"/>
      <c r="T1832" s="1063"/>
      <c r="U1832" s="1063"/>
      <c r="V1832" s="1063"/>
      <c r="W1832" s="1063"/>
      <c r="X1832" s="1063"/>
      <c r="Y1832" s="1063"/>
      <c r="Z1832" s="1063"/>
      <c r="AA1832" s="1063"/>
      <c r="AB1832" s="1063"/>
      <c r="AC1832" s="1063"/>
      <c r="AD1832" s="1063"/>
      <c r="AE1832" s="1063"/>
      <c r="AF1832" s="1063"/>
      <c r="AG1832" s="1063"/>
      <c r="AH1832" s="1063"/>
      <c r="AI1832" s="1063"/>
      <c r="AJ1832" s="1063"/>
      <c r="AK1832" s="1063"/>
      <c r="AL1832" s="1063"/>
      <c r="AM1832" s="1063"/>
      <c r="AN1832" s="1063"/>
      <c r="AO1832" s="1063"/>
      <c r="AP1832" s="1063"/>
      <c r="AQ1832" s="1063"/>
      <c r="AR1832" s="1063"/>
      <c r="AS1832" s="1063"/>
      <c r="AT1832" s="1063"/>
      <c r="AU1832" s="1063"/>
      <c r="AV1832" s="1063"/>
    </row>
    <row r="1833" spans="1:48" s="1108" customFormat="1" ht="27.75" customHeight="1">
      <c r="A1833" s="1076"/>
      <c r="B1833" s="1074">
        <f>+'[18]Bldg+Dev'!S2645</f>
        <v>0</v>
      </c>
      <c r="D1833" s="1063"/>
      <c r="F1833" s="1076"/>
      <c r="G1833" s="1063"/>
      <c r="H1833" s="1063"/>
      <c r="I1833" s="1063"/>
      <c r="J1833" s="1063"/>
      <c r="K1833" s="1063"/>
      <c r="L1833" s="1063"/>
      <c r="M1833" s="1063"/>
      <c r="N1833" s="1063"/>
      <c r="O1833" s="1063"/>
      <c r="P1833" s="1063"/>
      <c r="Q1833" s="1063"/>
      <c r="R1833" s="1063"/>
      <c r="S1833" s="1063"/>
      <c r="T1833" s="1063"/>
      <c r="U1833" s="1063"/>
      <c r="V1833" s="1063"/>
      <c r="W1833" s="1063"/>
      <c r="X1833" s="1063"/>
      <c r="Y1833" s="1063"/>
      <c r="Z1833" s="1063"/>
      <c r="AA1833" s="1063"/>
      <c r="AB1833" s="1063"/>
      <c r="AC1833" s="1063"/>
      <c r="AD1833" s="1063"/>
      <c r="AE1833" s="1063"/>
      <c r="AF1833" s="1063"/>
      <c r="AG1833" s="1063"/>
      <c r="AH1833" s="1063"/>
      <c r="AI1833" s="1063"/>
      <c r="AJ1833" s="1063"/>
      <c r="AK1833" s="1063"/>
      <c r="AL1833" s="1063"/>
      <c r="AM1833" s="1063"/>
      <c r="AN1833" s="1063"/>
      <c r="AO1833" s="1063"/>
      <c r="AP1833" s="1063"/>
      <c r="AQ1833" s="1063"/>
      <c r="AR1833" s="1063"/>
      <c r="AS1833" s="1063"/>
      <c r="AT1833" s="1063"/>
      <c r="AU1833" s="1063"/>
      <c r="AV1833" s="1063"/>
    </row>
    <row r="1834" spans="1:48" s="1108" customFormat="1" ht="27.75" customHeight="1">
      <c r="A1834" s="1076"/>
      <c r="B1834" s="1074">
        <f>+'[18]Bldg+Dev'!S2646</f>
        <v>0</v>
      </c>
      <c r="D1834" s="1063"/>
      <c r="F1834" s="1076"/>
      <c r="G1834" s="1063"/>
      <c r="H1834" s="1063"/>
      <c r="I1834" s="1063"/>
      <c r="J1834" s="1063"/>
      <c r="K1834" s="1063"/>
      <c r="L1834" s="1063"/>
      <c r="M1834" s="1063"/>
      <c r="N1834" s="1063"/>
      <c r="O1834" s="1063"/>
      <c r="P1834" s="1063"/>
      <c r="Q1834" s="1063"/>
      <c r="R1834" s="1063"/>
      <c r="S1834" s="1063"/>
      <c r="T1834" s="1063"/>
      <c r="U1834" s="1063"/>
      <c r="V1834" s="1063"/>
      <c r="W1834" s="1063"/>
      <c r="X1834" s="1063"/>
      <c r="Y1834" s="1063"/>
      <c r="Z1834" s="1063"/>
      <c r="AA1834" s="1063"/>
      <c r="AB1834" s="1063"/>
      <c r="AC1834" s="1063"/>
      <c r="AD1834" s="1063"/>
      <c r="AE1834" s="1063"/>
      <c r="AF1834" s="1063"/>
      <c r="AG1834" s="1063"/>
      <c r="AH1834" s="1063"/>
      <c r="AI1834" s="1063"/>
      <c r="AJ1834" s="1063"/>
      <c r="AK1834" s="1063"/>
      <c r="AL1834" s="1063"/>
      <c r="AM1834" s="1063"/>
      <c r="AN1834" s="1063"/>
      <c r="AO1834" s="1063"/>
      <c r="AP1834" s="1063"/>
      <c r="AQ1834" s="1063"/>
      <c r="AR1834" s="1063"/>
      <c r="AS1834" s="1063"/>
      <c r="AT1834" s="1063"/>
      <c r="AU1834" s="1063"/>
      <c r="AV1834" s="1063"/>
    </row>
    <row r="1835" spans="1:48" s="1108" customFormat="1" ht="27.75" customHeight="1">
      <c r="A1835" s="1076"/>
      <c r="B1835" s="1074">
        <f>+'[18]Bldg+Dev'!S2647</f>
        <v>0</v>
      </c>
      <c r="D1835" s="1063"/>
      <c r="F1835" s="1076"/>
      <c r="G1835" s="1063"/>
      <c r="H1835" s="1063"/>
      <c r="I1835" s="1063"/>
      <c r="J1835" s="1063"/>
      <c r="K1835" s="1063"/>
      <c r="L1835" s="1063"/>
      <c r="M1835" s="1063"/>
      <c r="N1835" s="1063"/>
      <c r="O1835" s="1063"/>
      <c r="P1835" s="1063"/>
      <c r="Q1835" s="1063"/>
      <c r="R1835" s="1063"/>
      <c r="S1835" s="1063"/>
      <c r="T1835" s="1063"/>
      <c r="U1835" s="1063"/>
      <c r="V1835" s="1063"/>
      <c r="W1835" s="1063"/>
      <c r="X1835" s="1063"/>
      <c r="Y1835" s="1063"/>
      <c r="Z1835" s="1063"/>
      <c r="AA1835" s="1063"/>
      <c r="AB1835" s="1063"/>
      <c r="AC1835" s="1063"/>
      <c r="AD1835" s="1063"/>
      <c r="AE1835" s="1063"/>
      <c r="AF1835" s="1063"/>
      <c r="AG1835" s="1063"/>
      <c r="AH1835" s="1063"/>
      <c r="AI1835" s="1063"/>
      <c r="AJ1835" s="1063"/>
      <c r="AK1835" s="1063"/>
      <c r="AL1835" s="1063"/>
      <c r="AM1835" s="1063"/>
      <c r="AN1835" s="1063"/>
      <c r="AO1835" s="1063"/>
      <c r="AP1835" s="1063"/>
      <c r="AQ1835" s="1063"/>
      <c r="AR1835" s="1063"/>
      <c r="AS1835" s="1063"/>
      <c r="AT1835" s="1063"/>
      <c r="AU1835" s="1063"/>
      <c r="AV1835" s="1063"/>
    </row>
    <row r="1836" spans="1:48" s="1108" customFormat="1" ht="27.75" customHeight="1">
      <c r="A1836" s="1076"/>
      <c r="B1836" s="1074">
        <f>+'[18]Bldg+Dev'!S2648</f>
        <v>0</v>
      </c>
      <c r="D1836" s="1063"/>
      <c r="F1836" s="1076"/>
      <c r="G1836" s="1063"/>
      <c r="H1836" s="1063"/>
      <c r="I1836" s="1063"/>
      <c r="J1836" s="1063"/>
      <c r="K1836" s="1063"/>
      <c r="L1836" s="1063"/>
      <c r="M1836" s="1063"/>
      <c r="N1836" s="1063"/>
      <c r="O1836" s="1063"/>
      <c r="P1836" s="1063"/>
      <c r="Q1836" s="1063"/>
      <c r="R1836" s="1063"/>
      <c r="S1836" s="1063"/>
      <c r="T1836" s="1063"/>
      <c r="U1836" s="1063"/>
      <c r="V1836" s="1063"/>
      <c r="W1836" s="1063"/>
      <c r="X1836" s="1063"/>
      <c r="Y1836" s="1063"/>
      <c r="Z1836" s="1063"/>
      <c r="AA1836" s="1063"/>
      <c r="AB1836" s="1063"/>
      <c r="AC1836" s="1063"/>
      <c r="AD1836" s="1063"/>
      <c r="AE1836" s="1063"/>
      <c r="AF1836" s="1063"/>
      <c r="AG1836" s="1063"/>
      <c r="AH1836" s="1063"/>
      <c r="AI1836" s="1063"/>
      <c r="AJ1836" s="1063"/>
      <c r="AK1836" s="1063"/>
      <c r="AL1836" s="1063"/>
      <c r="AM1836" s="1063"/>
      <c r="AN1836" s="1063"/>
      <c r="AO1836" s="1063"/>
      <c r="AP1836" s="1063"/>
      <c r="AQ1836" s="1063"/>
      <c r="AR1836" s="1063"/>
      <c r="AS1836" s="1063"/>
      <c r="AT1836" s="1063"/>
      <c r="AU1836" s="1063"/>
      <c r="AV1836" s="1063"/>
    </row>
    <row r="1837" spans="1:48" s="1108" customFormat="1" ht="27.75" customHeight="1">
      <c r="A1837" s="1076"/>
      <c r="B1837" s="1074">
        <f>+'[18]Bldg+Dev'!S2649</f>
        <v>0</v>
      </c>
      <c r="D1837" s="1063"/>
      <c r="F1837" s="1076"/>
      <c r="G1837" s="1063"/>
      <c r="H1837" s="1063"/>
      <c r="I1837" s="1063"/>
      <c r="J1837" s="1063"/>
      <c r="K1837" s="1063"/>
      <c r="L1837" s="1063"/>
      <c r="M1837" s="1063"/>
      <c r="N1837" s="1063"/>
      <c r="O1837" s="1063"/>
      <c r="P1837" s="1063"/>
      <c r="Q1837" s="1063"/>
      <c r="R1837" s="1063"/>
      <c r="S1837" s="1063"/>
      <c r="T1837" s="1063"/>
      <c r="U1837" s="1063"/>
      <c r="V1837" s="1063"/>
      <c r="W1837" s="1063"/>
      <c r="X1837" s="1063"/>
      <c r="Y1837" s="1063"/>
      <c r="Z1837" s="1063"/>
      <c r="AA1837" s="1063"/>
      <c r="AB1837" s="1063"/>
      <c r="AC1837" s="1063"/>
      <c r="AD1837" s="1063"/>
      <c r="AE1837" s="1063"/>
      <c r="AF1837" s="1063"/>
      <c r="AG1837" s="1063"/>
      <c r="AH1837" s="1063"/>
      <c r="AI1837" s="1063"/>
      <c r="AJ1837" s="1063"/>
      <c r="AK1837" s="1063"/>
      <c r="AL1837" s="1063"/>
      <c r="AM1837" s="1063"/>
      <c r="AN1837" s="1063"/>
      <c r="AO1837" s="1063"/>
      <c r="AP1837" s="1063"/>
      <c r="AQ1837" s="1063"/>
      <c r="AR1837" s="1063"/>
      <c r="AS1837" s="1063"/>
      <c r="AT1837" s="1063"/>
      <c r="AU1837" s="1063"/>
      <c r="AV1837" s="1063"/>
    </row>
    <row r="1838" spans="1:48" s="1108" customFormat="1" ht="27.75" customHeight="1">
      <c r="A1838" s="1076"/>
      <c r="B1838" s="1074">
        <f>+'[18]Bldg+Dev'!S2650</f>
        <v>0</v>
      </c>
      <c r="D1838" s="1063"/>
      <c r="F1838" s="1076"/>
      <c r="G1838" s="1063"/>
      <c r="H1838" s="1063"/>
      <c r="I1838" s="1063"/>
      <c r="J1838" s="1063"/>
      <c r="K1838" s="1063"/>
      <c r="L1838" s="1063"/>
      <c r="M1838" s="1063"/>
      <c r="N1838" s="1063"/>
      <c r="O1838" s="1063"/>
      <c r="P1838" s="1063"/>
      <c r="Q1838" s="1063"/>
      <c r="R1838" s="1063"/>
      <c r="S1838" s="1063"/>
      <c r="T1838" s="1063"/>
      <c r="U1838" s="1063"/>
      <c r="V1838" s="1063"/>
      <c r="W1838" s="1063"/>
      <c r="X1838" s="1063"/>
      <c r="Y1838" s="1063"/>
      <c r="Z1838" s="1063"/>
      <c r="AA1838" s="1063"/>
      <c r="AB1838" s="1063"/>
      <c r="AC1838" s="1063"/>
      <c r="AD1838" s="1063"/>
      <c r="AE1838" s="1063"/>
      <c r="AF1838" s="1063"/>
      <c r="AG1838" s="1063"/>
      <c r="AH1838" s="1063"/>
      <c r="AI1838" s="1063"/>
      <c r="AJ1838" s="1063"/>
      <c r="AK1838" s="1063"/>
      <c r="AL1838" s="1063"/>
      <c r="AM1838" s="1063"/>
      <c r="AN1838" s="1063"/>
      <c r="AO1838" s="1063"/>
      <c r="AP1838" s="1063"/>
      <c r="AQ1838" s="1063"/>
      <c r="AR1838" s="1063"/>
      <c r="AS1838" s="1063"/>
      <c r="AT1838" s="1063"/>
      <c r="AU1838" s="1063"/>
      <c r="AV1838" s="1063"/>
    </row>
    <row r="1839" spans="1:48" s="1108" customFormat="1" ht="27.75" customHeight="1">
      <c r="A1839" s="1076"/>
      <c r="B1839" s="1074">
        <f>+'[18]Bldg+Dev'!S2651</f>
        <v>0</v>
      </c>
      <c r="D1839" s="1063"/>
      <c r="F1839" s="1076"/>
      <c r="G1839" s="1063"/>
      <c r="H1839" s="1063"/>
      <c r="I1839" s="1063"/>
      <c r="J1839" s="1063"/>
      <c r="K1839" s="1063"/>
      <c r="L1839" s="1063"/>
      <c r="M1839" s="1063"/>
      <c r="N1839" s="1063"/>
      <c r="O1839" s="1063"/>
      <c r="P1839" s="1063"/>
      <c r="Q1839" s="1063"/>
      <c r="R1839" s="1063"/>
      <c r="S1839" s="1063"/>
      <c r="T1839" s="1063"/>
      <c r="U1839" s="1063"/>
      <c r="V1839" s="1063"/>
      <c r="W1839" s="1063"/>
      <c r="X1839" s="1063"/>
      <c r="Y1839" s="1063"/>
      <c r="Z1839" s="1063"/>
      <c r="AA1839" s="1063"/>
      <c r="AB1839" s="1063"/>
      <c r="AC1839" s="1063"/>
      <c r="AD1839" s="1063"/>
      <c r="AE1839" s="1063"/>
      <c r="AF1839" s="1063"/>
      <c r="AG1839" s="1063"/>
      <c r="AH1839" s="1063"/>
      <c r="AI1839" s="1063"/>
      <c r="AJ1839" s="1063"/>
      <c r="AK1839" s="1063"/>
      <c r="AL1839" s="1063"/>
      <c r="AM1839" s="1063"/>
      <c r="AN1839" s="1063"/>
      <c r="AO1839" s="1063"/>
      <c r="AP1839" s="1063"/>
      <c r="AQ1839" s="1063"/>
      <c r="AR1839" s="1063"/>
      <c r="AS1839" s="1063"/>
      <c r="AT1839" s="1063"/>
      <c r="AU1839" s="1063"/>
      <c r="AV1839" s="1063"/>
    </row>
    <row r="1840" spans="1:48" s="1108" customFormat="1" ht="27.75" customHeight="1">
      <c r="A1840" s="1076"/>
      <c r="B1840" s="1074">
        <f>+'[18]Bldg+Dev'!S2652</f>
        <v>0</v>
      </c>
      <c r="D1840" s="1063"/>
      <c r="F1840" s="1076"/>
      <c r="G1840" s="1063"/>
      <c r="H1840" s="1063"/>
      <c r="I1840" s="1063"/>
      <c r="J1840" s="1063"/>
      <c r="K1840" s="1063"/>
      <c r="L1840" s="1063"/>
      <c r="M1840" s="1063"/>
      <c r="N1840" s="1063"/>
      <c r="O1840" s="1063"/>
      <c r="P1840" s="1063"/>
      <c r="Q1840" s="1063"/>
      <c r="R1840" s="1063"/>
      <c r="S1840" s="1063"/>
      <c r="T1840" s="1063"/>
      <c r="U1840" s="1063"/>
      <c r="V1840" s="1063"/>
      <c r="W1840" s="1063"/>
      <c r="X1840" s="1063"/>
      <c r="Y1840" s="1063"/>
      <c r="Z1840" s="1063"/>
      <c r="AA1840" s="1063"/>
      <c r="AB1840" s="1063"/>
      <c r="AC1840" s="1063"/>
      <c r="AD1840" s="1063"/>
      <c r="AE1840" s="1063"/>
      <c r="AF1840" s="1063"/>
      <c r="AG1840" s="1063"/>
      <c r="AH1840" s="1063"/>
      <c r="AI1840" s="1063"/>
      <c r="AJ1840" s="1063"/>
      <c r="AK1840" s="1063"/>
      <c r="AL1840" s="1063"/>
      <c r="AM1840" s="1063"/>
      <c r="AN1840" s="1063"/>
      <c r="AO1840" s="1063"/>
      <c r="AP1840" s="1063"/>
      <c r="AQ1840" s="1063"/>
      <c r="AR1840" s="1063"/>
      <c r="AS1840" s="1063"/>
      <c r="AT1840" s="1063"/>
      <c r="AU1840" s="1063"/>
      <c r="AV1840" s="1063"/>
    </row>
    <row r="1841" spans="1:48" s="1108" customFormat="1" ht="27.75" customHeight="1">
      <c r="A1841" s="1076"/>
      <c r="B1841" s="1074">
        <f>+'[18]Bldg+Dev'!S2653</f>
        <v>0</v>
      </c>
      <c r="D1841" s="1063"/>
      <c r="F1841" s="1076"/>
      <c r="G1841" s="1063"/>
      <c r="H1841" s="1063"/>
      <c r="I1841" s="1063"/>
      <c r="J1841" s="1063"/>
      <c r="K1841" s="1063"/>
      <c r="L1841" s="1063"/>
      <c r="M1841" s="1063"/>
      <c r="N1841" s="1063"/>
      <c r="O1841" s="1063"/>
      <c r="P1841" s="1063"/>
      <c r="Q1841" s="1063"/>
      <c r="R1841" s="1063"/>
      <c r="S1841" s="1063"/>
      <c r="T1841" s="1063"/>
      <c r="U1841" s="1063"/>
      <c r="V1841" s="1063"/>
      <c r="W1841" s="1063"/>
      <c r="X1841" s="1063"/>
      <c r="Y1841" s="1063"/>
      <c r="Z1841" s="1063"/>
      <c r="AA1841" s="1063"/>
      <c r="AB1841" s="1063"/>
      <c r="AC1841" s="1063"/>
      <c r="AD1841" s="1063"/>
      <c r="AE1841" s="1063"/>
      <c r="AF1841" s="1063"/>
      <c r="AG1841" s="1063"/>
      <c r="AH1841" s="1063"/>
      <c r="AI1841" s="1063"/>
      <c r="AJ1841" s="1063"/>
      <c r="AK1841" s="1063"/>
      <c r="AL1841" s="1063"/>
      <c r="AM1841" s="1063"/>
      <c r="AN1841" s="1063"/>
      <c r="AO1841" s="1063"/>
      <c r="AP1841" s="1063"/>
      <c r="AQ1841" s="1063"/>
      <c r="AR1841" s="1063"/>
      <c r="AS1841" s="1063"/>
      <c r="AT1841" s="1063"/>
      <c r="AU1841" s="1063"/>
      <c r="AV1841" s="1063"/>
    </row>
    <row r="1842" spans="1:48" s="1108" customFormat="1" ht="27.75" customHeight="1">
      <c r="A1842" s="1076"/>
      <c r="B1842" s="1074">
        <f>+'[18]Bldg+Dev'!S2654</f>
        <v>0</v>
      </c>
      <c r="D1842" s="1063"/>
      <c r="F1842" s="1076"/>
      <c r="G1842" s="1063"/>
      <c r="H1842" s="1063"/>
      <c r="I1842" s="1063"/>
      <c r="J1842" s="1063"/>
      <c r="K1842" s="1063"/>
      <c r="L1842" s="1063"/>
      <c r="M1842" s="1063"/>
      <c r="N1842" s="1063"/>
      <c r="O1842" s="1063"/>
      <c r="P1842" s="1063"/>
      <c r="Q1842" s="1063"/>
      <c r="R1842" s="1063"/>
      <c r="S1842" s="1063"/>
      <c r="T1842" s="1063"/>
      <c r="U1842" s="1063"/>
      <c r="V1842" s="1063"/>
      <c r="W1842" s="1063"/>
      <c r="X1842" s="1063"/>
      <c r="Y1842" s="1063"/>
      <c r="Z1842" s="1063"/>
      <c r="AA1842" s="1063"/>
      <c r="AB1842" s="1063"/>
      <c r="AC1842" s="1063"/>
      <c r="AD1842" s="1063"/>
      <c r="AE1842" s="1063"/>
      <c r="AF1842" s="1063"/>
      <c r="AG1842" s="1063"/>
      <c r="AH1842" s="1063"/>
      <c r="AI1842" s="1063"/>
      <c r="AJ1842" s="1063"/>
      <c r="AK1842" s="1063"/>
      <c r="AL1842" s="1063"/>
      <c r="AM1842" s="1063"/>
      <c r="AN1842" s="1063"/>
      <c r="AO1842" s="1063"/>
      <c r="AP1842" s="1063"/>
      <c r="AQ1842" s="1063"/>
      <c r="AR1842" s="1063"/>
      <c r="AS1842" s="1063"/>
      <c r="AT1842" s="1063"/>
      <c r="AU1842" s="1063"/>
      <c r="AV1842" s="1063"/>
    </row>
    <row r="1843" spans="1:48" s="1108" customFormat="1" ht="27.75" customHeight="1">
      <c r="A1843" s="1076"/>
      <c r="B1843" s="1074">
        <f>+'[18]Bldg+Dev'!S2655</f>
        <v>0</v>
      </c>
      <c r="D1843" s="1063"/>
      <c r="F1843" s="1076"/>
      <c r="G1843" s="1063"/>
      <c r="H1843" s="1063"/>
      <c r="I1843" s="1063"/>
      <c r="J1843" s="1063"/>
      <c r="K1843" s="1063"/>
      <c r="L1843" s="1063"/>
      <c r="M1843" s="1063"/>
      <c r="N1843" s="1063"/>
      <c r="O1843" s="1063"/>
      <c r="P1843" s="1063"/>
      <c r="Q1843" s="1063"/>
      <c r="R1843" s="1063"/>
      <c r="S1843" s="1063"/>
      <c r="T1843" s="1063"/>
      <c r="U1843" s="1063"/>
      <c r="V1843" s="1063"/>
      <c r="W1843" s="1063"/>
      <c r="X1843" s="1063"/>
      <c r="Y1843" s="1063"/>
      <c r="Z1843" s="1063"/>
      <c r="AA1843" s="1063"/>
      <c r="AB1843" s="1063"/>
      <c r="AC1843" s="1063"/>
      <c r="AD1843" s="1063"/>
      <c r="AE1843" s="1063"/>
      <c r="AF1843" s="1063"/>
      <c r="AG1843" s="1063"/>
      <c r="AH1843" s="1063"/>
      <c r="AI1843" s="1063"/>
      <c r="AJ1843" s="1063"/>
      <c r="AK1843" s="1063"/>
      <c r="AL1843" s="1063"/>
      <c r="AM1843" s="1063"/>
      <c r="AN1843" s="1063"/>
      <c r="AO1843" s="1063"/>
      <c r="AP1843" s="1063"/>
      <c r="AQ1843" s="1063"/>
      <c r="AR1843" s="1063"/>
      <c r="AS1843" s="1063"/>
      <c r="AT1843" s="1063"/>
      <c r="AU1843" s="1063"/>
      <c r="AV1843" s="1063"/>
    </row>
    <row r="1844" spans="1:48" s="1108" customFormat="1" ht="27.75" customHeight="1">
      <c r="A1844" s="1076"/>
      <c r="B1844" s="1074">
        <f>+'[18]Bldg+Dev'!S2656</f>
        <v>0</v>
      </c>
      <c r="D1844" s="1063"/>
      <c r="F1844" s="1076"/>
      <c r="G1844" s="1063"/>
      <c r="H1844" s="1063"/>
      <c r="I1844" s="1063"/>
      <c r="J1844" s="1063"/>
      <c r="K1844" s="1063"/>
      <c r="L1844" s="1063"/>
      <c r="M1844" s="1063"/>
      <c r="N1844" s="1063"/>
      <c r="O1844" s="1063"/>
      <c r="P1844" s="1063"/>
      <c r="Q1844" s="1063"/>
      <c r="R1844" s="1063"/>
      <c r="S1844" s="1063"/>
      <c r="T1844" s="1063"/>
      <c r="U1844" s="1063"/>
      <c r="V1844" s="1063"/>
      <c r="W1844" s="1063"/>
      <c r="X1844" s="1063"/>
      <c r="Y1844" s="1063"/>
      <c r="Z1844" s="1063"/>
      <c r="AA1844" s="1063"/>
      <c r="AB1844" s="1063"/>
      <c r="AC1844" s="1063"/>
      <c r="AD1844" s="1063"/>
      <c r="AE1844" s="1063"/>
      <c r="AF1844" s="1063"/>
      <c r="AG1844" s="1063"/>
      <c r="AH1844" s="1063"/>
      <c r="AI1844" s="1063"/>
      <c r="AJ1844" s="1063"/>
      <c r="AK1844" s="1063"/>
      <c r="AL1844" s="1063"/>
      <c r="AM1844" s="1063"/>
      <c r="AN1844" s="1063"/>
      <c r="AO1844" s="1063"/>
      <c r="AP1844" s="1063"/>
      <c r="AQ1844" s="1063"/>
      <c r="AR1844" s="1063"/>
      <c r="AS1844" s="1063"/>
      <c r="AT1844" s="1063"/>
      <c r="AU1844" s="1063"/>
      <c r="AV1844" s="1063"/>
    </row>
    <row r="1845" spans="1:48" s="1108" customFormat="1" ht="27.75" customHeight="1">
      <c r="A1845" s="1076"/>
      <c r="B1845" s="1074">
        <f>+'[18]Bldg+Dev'!S2657</f>
        <v>0</v>
      </c>
      <c r="D1845" s="1063"/>
      <c r="F1845" s="1076"/>
      <c r="G1845" s="1063"/>
      <c r="H1845" s="1063"/>
      <c r="I1845" s="1063"/>
      <c r="J1845" s="1063"/>
      <c r="K1845" s="1063"/>
      <c r="L1845" s="1063"/>
      <c r="M1845" s="1063"/>
      <c r="N1845" s="1063"/>
      <c r="O1845" s="1063"/>
      <c r="P1845" s="1063"/>
      <c r="Q1845" s="1063"/>
      <c r="R1845" s="1063"/>
      <c r="S1845" s="1063"/>
      <c r="T1845" s="1063"/>
      <c r="U1845" s="1063"/>
      <c r="V1845" s="1063"/>
      <c r="W1845" s="1063"/>
      <c r="X1845" s="1063"/>
      <c r="Y1845" s="1063"/>
      <c r="Z1845" s="1063"/>
      <c r="AA1845" s="1063"/>
      <c r="AB1845" s="1063"/>
      <c r="AC1845" s="1063"/>
      <c r="AD1845" s="1063"/>
      <c r="AE1845" s="1063"/>
      <c r="AF1845" s="1063"/>
      <c r="AG1845" s="1063"/>
      <c r="AH1845" s="1063"/>
      <c r="AI1845" s="1063"/>
      <c r="AJ1845" s="1063"/>
      <c r="AK1845" s="1063"/>
      <c r="AL1845" s="1063"/>
      <c r="AM1845" s="1063"/>
      <c r="AN1845" s="1063"/>
      <c r="AO1845" s="1063"/>
      <c r="AP1845" s="1063"/>
      <c r="AQ1845" s="1063"/>
      <c r="AR1845" s="1063"/>
      <c r="AS1845" s="1063"/>
      <c r="AT1845" s="1063"/>
      <c r="AU1845" s="1063"/>
      <c r="AV1845" s="1063"/>
    </row>
    <row r="1846" spans="1:48" s="1108" customFormat="1" ht="27.75" customHeight="1">
      <c r="A1846" s="1076"/>
      <c r="B1846" s="1074">
        <f>+'[18]Bldg+Dev'!S2658</f>
        <v>0</v>
      </c>
      <c r="D1846" s="1063"/>
      <c r="F1846" s="1076"/>
      <c r="G1846" s="1063"/>
      <c r="H1846" s="1063"/>
      <c r="I1846" s="1063"/>
      <c r="J1846" s="1063"/>
      <c r="K1846" s="1063"/>
      <c r="L1846" s="1063"/>
      <c r="M1846" s="1063"/>
      <c r="N1846" s="1063"/>
      <c r="O1846" s="1063"/>
      <c r="P1846" s="1063"/>
      <c r="Q1846" s="1063"/>
      <c r="R1846" s="1063"/>
      <c r="S1846" s="1063"/>
      <c r="T1846" s="1063"/>
      <c r="U1846" s="1063"/>
      <c r="V1846" s="1063"/>
      <c r="W1846" s="1063"/>
      <c r="X1846" s="1063"/>
      <c r="Y1846" s="1063"/>
      <c r="Z1846" s="1063"/>
      <c r="AA1846" s="1063"/>
      <c r="AB1846" s="1063"/>
      <c r="AC1846" s="1063"/>
      <c r="AD1846" s="1063"/>
      <c r="AE1846" s="1063"/>
      <c r="AF1846" s="1063"/>
      <c r="AG1846" s="1063"/>
      <c r="AH1846" s="1063"/>
      <c r="AI1846" s="1063"/>
      <c r="AJ1846" s="1063"/>
      <c r="AK1846" s="1063"/>
      <c r="AL1846" s="1063"/>
      <c r="AM1846" s="1063"/>
      <c r="AN1846" s="1063"/>
      <c r="AO1846" s="1063"/>
      <c r="AP1846" s="1063"/>
      <c r="AQ1846" s="1063"/>
      <c r="AR1846" s="1063"/>
      <c r="AS1846" s="1063"/>
      <c r="AT1846" s="1063"/>
      <c r="AU1846" s="1063"/>
      <c r="AV1846" s="1063"/>
    </row>
    <row r="1847" spans="1:48" s="1108" customFormat="1" ht="27.75" customHeight="1">
      <c r="A1847" s="1076"/>
      <c r="B1847" s="1074">
        <f>+'[18]Bldg+Dev'!S2659</f>
        <v>0</v>
      </c>
      <c r="D1847" s="1063"/>
      <c r="F1847" s="1076"/>
      <c r="G1847" s="1063"/>
      <c r="H1847" s="1063"/>
      <c r="I1847" s="1063"/>
      <c r="J1847" s="1063"/>
      <c r="K1847" s="1063"/>
      <c r="L1847" s="1063"/>
      <c r="M1847" s="1063"/>
      <c r="N1847" s="1063"/>
      <c r="O1847" s="1063"/>
      <c r="P1847" s="1063"/>
      <c r="Q1847" s="1063"/>
      <c r="R1847" s="1063"/>
      <c r="S1847" s="1063"/>
      <c r="T1847" s="1063"/>
      <c r="U1847" s="1063"/>
      <c r="V1847" s="1063"/>
      <c r="W1847" s="1063"/>
      <c r="X1847" s="1063"/>
      <c r="Y1847" s="1063"/>
      <c r="Z1847" s="1063"/>
      <c r="AA1847" s="1063"/>
      <c r="AB1847" s="1063"/>
      <c r="AC1847" s="1063"/>
      <c r="AD1847" s="1063"/>
      <c r="AE1847" s="1063"/>
      <c r="AF1847" s="1063"/>
      <c r="AG1847" s="1063"/>
      <c r="AH1847" s="1063"/>
      <c r="AI1847" s="1063"/>
      <c r="AJ1847" s="1063"/>
      <c r="AK1847" s="1063"/>
      <c r="AL1847" s="1063"/>
      <c r="AM1847" s="1063"/>
      <c r="AN1847" s="1063"/>
      <c r="AO1847" s="1063"/>
      <c r="AP1847" s="1063"/>
      <c r="AQ1847" s="1063"/>
      <c r="AR1847" s="1063"/>
      <c r="AS1847" s="1063"/>
      <c r="AT1847" s="1063"/>
      <c r="AU1847" s="1063"/>
      <c r="AV1847" s="1063"/>
    </row>
    <row r="1848" spans="1:48" s="1108" customFormat="1" ht="27.75" customHeight="1">
      <c r="A1848" s="1076"/>
      <c r="B1848" s="1074">
        <f>+'[18]Bldg+Dev'!S2660</f>
        <v>0</v>
      </c>
      <c r="D1848" s="1063"/>
      <c r="F1848" s="1076"/>
      <c r="G1848" s="1063"/>
      <c r="H1848" s="1063"/>
      <c r="I1848" s="1063"/>
      <c r="J1848" s="1063"/>
      <c r="K1848" s="1063"/>
      <c r="L1848" s="1063"/>
      <c r="M1848" s="1063"/>
      <c r="N1848" s="1063"/>
      <c r="O1848" s="1063"/>
      <c r="P1848" s="1063"/>
      <c r="Q1848" s="1063"/>
      <c r="R1848" s="1063"/>
      <c r="S1848" s="1063"/>
      <c r="T1848" s="1063"/>
      <c r="U1848" s="1063"/>
      <c r="V1848" s="1063"/>
      <c r="W1848" s="1063"/>
      <c r="X1848" s="1063"/>
      <c r="Y1848" s="1063"/>
      <c r="Z1848" s="1063"/>
      <c r="AA1848" s="1063"/>
      <c r="AB1848" s="1063"/>
      <c r="AC1848" s="1063"/>
      <c r="AD1848" s="1063"/>
      <c r="AE1848" s="1063"/>
      <c r="AF1848" s="1063"/>
      <c r="AG1848" s="1063"/>
      <c r="AH1848" s="1063"/>
      <c r="AI1848" s="1063"/>
      <c r="AJ1848" s="1063"/>
      <c r="AK1848" s="1063"/>
      <c r="AL1848" s="1063"/>
      <c r="AM1848" s="1063"/>
      <c r="AN1848" s="1063"/>
      <c r="AO1848" s="1063"/>
      <c r="AP1848" s="1063"/>
      <c r="AQ1848" s="1063"/>
      <c r="AR1848" s="1063"/>
      <c r="AS1848" s="1063"/>
      <c r="AT1848" s="1063"/>
      <c r="AU1848" s="1063"/>
      <c r="AV1848" s="1063"/>
    </row>
    <row r="1849" spans="1:48" s="1108" customFormat="1" ht="27.75" customHeight="1">
      <c r="A1849" s="1076"/>
      <c r="B1849" s="1074">
        <f>+'[18]Bldg+Dev'!S2661</f>
        <v>0</v>
      </c>
      <c r="D1849" s="1063"/>
      <c r="F1849" s="1076"/>
      <c r="G1849" s="1063"/>
      <c r="H1849" s="1063"/>
      <c r="I1849" s="1063"/>
      <c r="J1849" s="1063"/>
      <c r="K1849" s="1063"/>
      <c r="L1849" s="1063"/>
      <c r="M1849" s="1063"/>
      <c r="N1849" s="1063"/>
      <c r="O1849" s="1063"/>
      <c r="P1849" s="1063"/>
      <c r="Q1849" s="1063"/>
      <c r="R1849" s="1063"/>
      <c r="S1849" s="1063"/>
      <c r="T1849" s="1063"/>
      <c r="U1849" s="1063"/>
      <c r="V1849" s="1063"/>
      <c r="W1849" s="1063"/>
      <c r="X1849" s="1063"/>
      <c r="Y1849" s="1063"/>
      <c r="Z1849" s="1063"/>
      <c r="AA1849" s="1063"/>
      <c r="AB1849" s="1063"/>
      <c r="AC1849" s="1063"/>
      <c r="AD1849" s="1063"/>
      <c r="AE1849" s="1063"/>
      <c r="AF1849" s="1063"/>
      <c r="AG1849" s="1063"/>
      <c r="AH1849" s="1063"/>
      <c r="AI1849" s="1063"/>
      <c r="AJ1849" s="1063"/>
      <c r="AK1849" s="1063"/>
      <c r="AL1849" s="1063"/>
      <c r="AM1849" s="1063"/>
      <c r="AN1849" s="1063"/>
      <c r="AO1849" s="1063"/>
      <c r="AP1849" s="1063"/>
      <c r="AQ1849" s="1063"/>
      <c r="AR1849" s="1063"/>
      <c r="AS1849" s="1063"/>
      <c r="AT1849" s="1063"/>
      <c r="AU1849" s="1063"/>
      <c r="AV1849" s="1063"/>
    </row>
    <row r="1850" spans="1:48" s="1108" customFormat="1" ht="27.75" customHeight="1">
      <c r="A1850" s="1076"/>
      <c r="B1850" s="1074">
        <f>+'[18]Bldg+Dev'!S2662</f>
        <v>0</v>
      </c>
      <c r="D1850" s="1063"/>
      <c r="F1850" s="1076"/>
      <c r="G1850" s="1063"/>
      <c r="H1850" s="1063"/>
      <c r="I1850" s="1063"/>
      <c r="J1850" s="1063"/>
      <c r="K1850" s="1063"/>
      <c r="L1850" s="1063"/>
      <c r="M1850" s="1063"/>
      <c r="N1850" s="1063"/>
      <c r="O1850" s="1063"/>
      <c r="P1850" s="1063"/>
      <c r="Q1850" s="1063"/>
      <c r="R1850" s="1063"/>
      <c r="S1850" s="1063"/>
      <c r="T1850" s="1063"/>
      <c r="U1850" s="1063"/>
      <c r="V1850" s="1063"/>
      <c r="W1850" s="1063"/>
      <c r="X1850" s="1063"/>
      <c r="Y1850" s="1063"/>
      <c r="Z1850" s="1063"/>
      <c r="AA1850" s="1063"/>
      <c r="AB1850" s="1063"/>
      <c r="AC1850" s="1063"/>
      <c r="AD1850" s="1063"/>
      <c r="AE1850" s="1063"/>
      <c r="AF1850" s="1063"/>
      <c r="AG1850" s="1063"/>
      <c r="AH1850" s="1063"/>
      <c r="AI1850" s="1063"/>
      <c r="AJ1850" s="1063"/>
      <c r="AK1850" s="1063"/>
      <c r="AL1850" s="1063"/>
      <c r="AM1850" s="1063"/>
      <c r="AN1850" s="1063"/>
      <c r="AO1850" s="1063"/>
      <c r="AP1850" s="1063"/>
      <c r="AQ1850" s="1063"/>
      <c r="AR1850" s="1063"/>
      <c r="AS1850" s="1063"/>
      <c r="AT1850" s="1063"/>
      <c r="AU1850" s="1063"/>
      <c r="AV1850" s="1063"/>
    </row>
    <row r="1851" spans="1:48" s="1108" customFormat="1" ht="27.75" customHeight="1">
      <c r="A1851" s="1076"/>
      <c r="B1851" s="1074">
        <f>+'[18]Bldg+Dev'!S2663</f>
        <v>0</v>
      </c>
      <c r="D1851" s="1063"/>
      <c r="F1851" s="1076"/>
      <c r="G1851" s="1063"/>
      <c r="H1851" s="1063"/>
      <c r="I1851" s="1063"/>
      <c r="J1851" s="1063"/>
      <c r="K1851" s="1063"/>
      <c r="L1851" s="1063"/>
      <c r="M1851" s="1063"/>
      <c r="N1851" s="1063"/>
      <c r="O1851" s="1063"/>
      <c r="P1851" s="1063"/>
      <c r="Q1851" s="1063"/>
      <c r="R1851" s="1063"/>
      <c r="S1851" s="1063"/>
      <c r="T1851" s="1063"/>
      <c r="U1851" s="1063"/>
      <c r="V1851" s="1063"/>
      <c r="W1851" s="1063"/>
      <c r="X1851" s="1063"/>
      <c r="Y1851" s="1063"/>
      <c r="Z1851" s="1063"/>
      <c r="AA1851" s="1063"/>
      <c r="AB1851" s="1063"/>
      <c r="AC1851" s="1063"/>
      <c r="AD1851" s="1063"/>
      <c r="AE1851" s="1063"/>
      <c r="AF1851" s="1063"/>
      <c r="AG1851" s="1063"/>
      <c r="AH1851" s="1063"/>
      <c r="AI1851" s="1063"/>
      <c r="AJ1851" s="1063"/>
      <c r="AK1851" s="1063"/>
      <c r="AL1851" s="1063"/>
      <c r="AM1851" s="1063"/>
      <c r="AN1851" s="1063"/>
      <c r="AO1851" s="1063"/>
      <c r="AP1851" s="1063"/>
      <c r="AQ1851" s="1063"/>
      <c r="AR1851" s="1063"/>
      <c r="AS1851" s="1063"/>
      <c r="AT1851" s="1063"/>
      <c r="AU1851" s="1063"/>
      <c r="AV1851" s="1063"/>
    </row>
    <row r="1852" spans="1:48" s="1108" customFormat="1" ht="27.75" customHeight="1">
      <c r="A1852" s="1076"/>
      <c r="B1852" s="1074">
        <f>+'[18]Bldg+Dev'!S2664</f>
        <v>0</v>
      </c>
      <c r="D1852" s="1063"/>
      <c r="F1852" s="1076"/>
      <c r="G1852" s="1063"/>
      <c r="H1852" s="1063"/>
      <c r="I1852" s="1063"/>
      <c r="J1852" s="1063"/>
      <c r="K1852" s="1063"/>
      <c r="L1852" s="1063"/>
      <c r="M1852" s="1063"/>
      <c r="N1852" s="1063"/>
      <c r="O1852" s="1063"/>
      <c r="P1852" s="1063"/>
      <c r="Q1852" s="1063"/>
      <c r="R1852" s="1063"/>
      <c r="S1852" s="1063"/>
      <c r="T1852" s="1063"/>
      <c r="U1852" s="1063"/>
      <c r="V1852" s="1063"/>
      <c r="W1852" s="1063"/>
      <c r="X1852" s="1063"/>
      <c r="Y1852" s="1063"/>
      <c r="Z1852" s="1063"/>
      <c r="AA1852" s="1063"/>
      <c r="AB1852" s="1063"/>
      <c r="AC1852" s="1063"/>
      <c r="AD1852" s="1063"/>
      <c r="AE1852" s="1063"/>
      <c r="AF1852" s="1063"/>
      <c r="AG1852" s="1063"/>
      <c r="AH1852" s="1063"/>
      <c r="AI1852" s="1063"/>
      <c r="AJ1852" s="1063"/>
      <c r="AK1852" s="1063"/>
      <c r="AL1852" s="1063"/>
      <c r="AM1852" s="1063"/>
      <c r="AN1852" s="1063"/>
      <c r="AO1852" s="1063"/>
      <c r="AP1852" s="1063"/>
      <c r="AQ1852" s="1063"/>
      <c r="AR1852" s="1063"/>
      <c r="AS1852" s="1063"/>
      <c r="AT1852" s="1063"/>
      <c r="AU1852" s="1063"/>
      <c r="AV1852" s="1063"/>
    </row>
    <row r="1853" spans="1:48" s="1108" customFormat="1" ht="27.75" customHeight="1">
      <c r="A1853" s="1076"/>
      <c r="B1853" s="1074">
        <f>+'[18]Bldg+Dev'!S2665</f>
        <v>0</v>
      </c>
      <c r="D1853" s="1063"/>
      <c r="F1853" s="1076"/>
      <c r="G1853" s="1063"/>
      <c r="H1853" s="1063"/>
      <c r="I1853" s="1063"/>
      <c r="J1853" s="1063"/>
      <c r="K1853" s="1063"/>
      <c r="L1853" s="1063"/>
      <c r="M1853" s="1063"/>
      <c r="N1853" s="1063"/>
      <c r="O1853" s="1063"/>
      <c r="P1853" s="1063"/>
      <c r="Q1853" s="1063"/>
      <c r="R1853" s="1063"/>
      <c r="S1853" s="1063"/>
      <c r="T1853" s="1063"/>
      <c r="U1853" s="1063"/>
      <c r="V1853" s="1063"/>
      <c r="W1853" s="1063"/>
      <c r="X1853" s="1063"/>
      <c r="Y1853" s="1063"/>
      <c r="Z1853" s="1063"/>
      <c r="AA1853" s="1063"/>
      <c r="AB1853" s="1063"/>
      <c r="AC1853" s="1063"/>
      <c r="AD1853" s="1063"/>
      <c r="AE1853" s="1063"/>
      <c r="AF1853" s="1063"/>
      <c r="AG1853" s="1063"/>
      <c r="AH1853" s="1063"/>
      <c r="AI1853" s="1063"/>
      <c r="AJ1853" s="1063"/>
      <c r="AK1853" s="1063"/>
      <c r="AL1853" s="1063"/>
      <c r="AM1853" s="1063"/>
      <c r="AN1853" s="1063"/>
      <c r="AO1853" s="1063"/>
      <c r="AP1853" s="1063"/>
      <c r="AQ1853" s="1063"/>
      <c r="AR1853" s="1063"/>
      <c r="AS1853" s="1063"/>
      <c r="AT1853" s="1063"/>
      <c r="AU1853" s="1063"/>
      <c r="AV1853" s="1063"/>
    </row>
    <row r="1854" spans="1:48" s="1108" customFormat="1" ht="27.75" customHeight="1">
      <c r="A1854" s="1076"/>
      <c r="B1854" s="1074">
        <f>+'[18]Bldg+Dev'!S2666</f>
        <v>0</v>
      </c>
      <c r="D1854" s="1063"/>
      <c r="F1854" s="1076"/>
      <c r="G1854" s="1063"/>
      <c r="H1854" s="1063"/>
      <c r="I1854" s="1063"/>
      <c r="J1854" s="1063"/>
      <c r="K1854" s="1063"/>
      <c r="L1854" s="1063"/>
      <c r="M1854" s="1063"/>
      <c r="N1854" s="1063"/>
      <c r="O1854" s="1063"/>
      <c r="P1854" s="1063"/>
      <c r="Q1854" s="1063"/>
      <c r="R1854" s="1063"/>
      <c r="S1854" s="1063"/>
      <c r="T1854" s="1063"/>
      <c r="U1854" s="1063"/>
      <c r="V1854" s="1063"/>
      <c r="W1854" s="1063"/>
      <c r="X1854" s="1063"/>
      <c r="Y1854" s="1063"/>
      <c r="Z1854" s="1063"/>
      <c r="AA1854" s="1063"/>
      <c r="AB1854" s="1063"/>
      <c r="AC1854" s="1063"/>
      <c r="AD1854" s="1063"/>
      <c r="AE1854" s="1063"/>
      <c r="AF1854" s="1063"/>
      <c r="AG1854" s="1063"/>
      <c r="AH1854" s="1063"/>
      <c r="AI1854" s="1063"/>
      <c r="AJ1854" s="1063"/>
      <c r="AK1854" s="1063"/>
      <c r="AL1854" s="1063"/>
      <c r="AM1854" s="1063"/>
      <c r="AN1854" s="1063"/>
      <c r="AO1854" s="1063"/>
      <c r="AP1854" s="1063"/>
      <c r="AQ1854" s="1063"/>
      <c r="AR1854" s="1063"/>
      <c r="AS1854" s="1063"/>
      <c r="AT1854" s="1063"/>
      <c r="AU1854" s="1063"/>
      <c r="AV1854" s="1063"/>
    </row>
    <row r="1855" spans="1:48" s="1108" customFormat="1" ht="27.75" customHeight="1">
      <c r="A1855" s="1076"/>
      <c r="B1855" s="1074">
        <f>+'[18]Bldg+Dev'!S2667</f>
        <v>0</v>
      </c>
      <c r="D1855" s="1063"/>
      <c r="F1855" s="1076"/>
      <c r="G1855" s="1063"/>
      <c r="H1855" s="1063"/>
      <c r="I1855" s="1063"/>
      <c r="J1855" s="1063"/>
      <c r="K1855" s="1063"/>
      <c r="L1855" s="1063"/>
      <c r="M1855" s="1063"/>
      <c r="N1855" s="1063"/>
      <c r="O1855" s="1063"/>
      <c r="P1855" s="1063"/>
      <c r="Q1855" s="1063"/>
      <c r="R1855" s="1063"/>
      <c r="S1855" s="1063"/>
      <c r="T1855" s="1063"/>
      <c r="U1855" s="1063"/>
      <c r="V1855" s="1063"/>
      <c r="W1855" s="1063"/>
      <c r="X1855" s="1063"/>
      <c r="Y1855" s="1063"/>
      <c r="Z1855" s="1063"/>
      <c r="AA1855" s="1063"/>
      <c r="AB1855" s="1063"/>
      <c r="AC1855" s="1063"/>
      <c r="AD1855" s="1063"/>
      <c r="AE1855" s="1063"/>
      <c r="AF1855" s="1063"/>
      <c r="AG1855" s="1063"/>
      <c r="AH1855" s="1063"/>
      <c r="AI1855" s="1063"/>
      <c r="AJ1855" s="1063"/>
      <c r="AK1855" s="1063"/>
      <c r="AL1855" s="1063"/>
      <c r="AM1855" s="1063"/>
      <c r="AN1855" s="1063"/>
      <c r="AO1855" s="1063"/>
      <c r="AP1855" s="1063"/>
      <c r="AQ1855" s="1063"/>
      <c r="AR1855" s="1063"/>
      <c r="AS1855" s="1063"/>
      <c r="AT1855" s="1063"/>
      <c r="AU1855" s="1063"/>
      <c r="AV1855" s="1063"/>
    </row>
    <row r="1856" spans="1:48" s="1108" customFormat="1" ht="27.75" customHeight="1">
      <c r="A1856" s="1076"/>
      <c r="B1856" s="1074">
        <f>+'[18]Bldg+Dev'!S2668</f>
        <v>0</v>
      </c>
      <c r="D1856" s="1063"/>
      <c r="F1856" s="1076"/>
      <c r="G1856" s="1063"/>
      <c r="H1856" s="1063"/>
      <c r="I1856" s="1063"/>
      <c r="J1856" s="1063"/>
      <c r="K1856" s="1063"/>
      <c r="L1856" s="1063"/>
      <c r="M1856" s="1063"/>
      <c r="N1856" s="1063"/>
      <c r="O1856" s="1063"/>
      <c r="P1856" s="1063"/>
      <c r="Q1856" s="1063"/>
      <c r="R1856" s="1063"/>
      <c r="S1856" s="1063"/>
      <c r="T1856" s="1063"/>
      <c r="U1856" s="1063"/>
      <c r="V1856" s="1063"/>
      <c r="W1856" s="1063"/>
      <c r="X1856" s="1063"/>
      <c r="Y1856" s="1063"/>
      <c r="Z1856" s="1063"/>
      <c r="AA1856" s="1063"/>
      <c r="AB1856" s="1063"/>
      <c r="AC1856" s="1063"/>
      <c r="AD1856" s="1063"/>
      <c r="AE1856" s="1063"/>
      <c r="AF1856" s="1063"/>
      <c r="AG1856" s="1063"/>
      <c r="AH1856" s="1063"/>
      <c r="AI1856" s="1063"/>
      <c r="AJ1856" s="1063"/>
      <c r="AK1856" s="1063"/>
      <c r="AL1856" s="1063"/>
      <c r="AM1856" s="1063"/>
      <c r="AN1856" s="1063"/>
      <c r="AO1856" s="1063"/>
      <c r="AP1856" s="1063"/>
      <c r="AQ1856" s="1063"/>
      <c r="AR1856" s="1063"/>
      <c r="AS1856" s="1063"/>
      <c r="AT1856" s="1063"/>
      <c r="AU1856" s="1063"/>
      <c r="AV1856" s="1063"/>
    </row>
    <row r="1857" spans="1:48" s="1108" customFormat="1" ht="27.75" customHeight="1">
      <c r="A1857" s="1076"/>
      <c r="B1857" s="1074">
        <f>+'[18]Bldg+Dev'!S2669</f>
        <v>0</v>
      </c>
      <c r="D1857" s="1063"/>
      <c r="F1857" s="1076"/>
      <c r="G1857" s="1063"/>
      <c r="H1857" s="1063"/>
      <c r="I1857" s="1063"/>
      <c r="J1857" s="1063"/>
      <c r="K1857" s="1063"/>
      <c r="L1857" s="1063"/>
      <c r="M1857" s="1063"/>
      <c r="N1857" s="1063"/>
      <c r="O1857" s="1063"/>
      <c r="P1857" s="1063"/>
      <c r="Q1857" s="1063"/>
      <c r="R1857" s="1063"/>
      <c r="S1857" s="1063"/>
      <c r="T1857" s="1063"/>
      <c r="U1857" s="1063"/>
      <c r="V1857" s="1063"/>
      <c r="W1857" s="1063"/>
      <c r="X1857" s="1063"/>
      <c r="Y1857" s="1063"/>
      <c r="Z1857" s="1063"/>
      <c r="AA1857" s="1063"/>
      <c r="AB1857" s="1063"/>
      <c r="AC1857" s="1063"/>
      <c r="AD1857" s="1063"/>
      <c r="AE1857" s="1063"/>
      <c r="AF1857" s="1063"/>
      <c r="AG1857" s="1063"/>
      <c r="AH1857" s="1063"/>
      <c r="AI1857" s="1063"/>
      <c r="AJ1857" s="1063"/>
      <c r="AK1857" s="1063"/>
      <c r="AL1857" s="1063"/>
      <c r="AM1857" s="1063"/>
      <c r="AN1857" s="1063"/>
      <c r="AO1857" s="1063"/>
      <c r="AP1857" s="1063"/>
      <c r="AQ1857" s="1063"/>
      <c r="AR1857" s="1063"/>
      <c r="AS1857" s="1063"/>
      <c r="AT1857" s="1063"/>
      <c r="AU1857" s="1063"/>
      <c r="AV1857" s="1063"/>
    </row>
    <row r="1858" spans="1:48" s="1108" customFormat="1" ht="27.75" customHeight="1">
      <c r="A1858" s="1076"/>
      <c r="B1858" s="1074">
        <f>+'[18]Bldg+Dev'!S2670</f>
        <v>0</v>
      </c>
      <c r="D1858" s="1063"/>
      <c r="F1858" s="1076"/>
      <c r="G1858" s="1063"/>
      <c r="H1858" s="1063"/>
      <c r="I1858" s="1063"/>
      <c r="J1858" s="1063"/>
      <c r="K1858" s="1063"/>
      <c r="L1858" s="1063"/>
      <c r="M1858" s="1063"/>
      <c r="N1858" s="1063"/>
      <c r="O1858" s="1063"/>
      <c r="P1858" s="1063"/>
      <c r="Q1858" s="1063"/>
      <c r="R1858" s="1063"/>
      <c r="S1858" s="1063"/>
      <c r="T1858" s="1063"/>
      <c r="U1858" s="1063"/>
      <c r="V1858" s="1063"/>
      <c r="W1858" s="1063"/>
      <c r="X1858" s="1063"/>
      <c r="Y1858" s="1063"/>
      <c r="Z1858" s="1063"/>
      <c r="AA1858" s="1063"/>
      <c r="AB1858" s="1063"/>
      <c r="AC1858" s="1063"/>
      <c r="AD1858" s="1063"/>
      <c r="AE1858" s="1063"/>
      <c r="AF1858" s="1063"/>
      <c r="AG1858" s="1063"/>
      <c r="AH1858" s="1063"/>
      <c r="AI1858" s="1063"/>
      <c r="AJ1858" s="1063"/>
      <c r="AK1858" s="1063"/>
      <c r="AL1858" s="1063"/>
      <c r="AM1858" s="1063"/>
      <c r="AN1858" s="1063"/>
      <c r="AO1858" s="1063"/>
      <c r="AP1858" s="1063"/>
      <c r="AQ1858" s="1063"/>
      <c r="AR1858" s="1063"/>
      <c r="AS1858" s="1063"/>
      <c r="AT1858" s="1063"/>
      <c r="AU1858" s="1063"/>
      <c r="AV1858" s="1063"/>
    </row>
    <row r="1859" spans="1:48" s="1108" customFormat="1" ht="27.75" customHeight="1">
      <c r="A1859" s="1076"/>
      <c r="B1859" s="1074">
        <f>+'[18]Bldg+Dev'!S2671</f>
        <v>0</v>
      </c>
      <c r="D1859" s="1063"/>
      <c r="F1859" s="1076"/>
      <c r="G1859" s="1063"/>
      <c r="H1859" s="1063"/>
      <c r="I1859" s="1063"/>
      <c r="J1859" s="1063"/>
      <c r="K1859" s="1063"/>
      <c r="L1859" s="1063"/>
      <c r="M1859" s="1063"/>
      <c r="N1859" s="1063"/>
      <c r="O1859" s="1063"/>
      <c r="P1859" s="1063"/>
      <c r="Q1859" s="1063"/>
      <c r="R1859" s="1063"/>
      <c r="S1859" s="1063"/>
      <c r="T1859" s="1063"/>
      <c r="U1859" s="1063"/>
      <c r="V1859" s="1063"/>
      <c r="W1859" s="1063"/>
      <c r="X1859" s="1063"/>
      <c r="Y1859" s="1063"/>
      <c r="Z1859" s="1063"/>
      <c r="AA1859" s="1063"/>
      <c r="AB1859" s="1063"/>
      <c r="AC1859" s="1063"/>
      <c r="AD1859" s="1063"/>
      <c r="AE1859" s="1063"/>
      <c r="AF1859" s="1063"/>
      <c r="AG1859" s="1063"/>
      <c r="AH1859" s="1063"/>
      <c r="AI1859" s="1063"/>
      <c r="AJ1859" s="1063"/>
      <c r="AK1859" s="1063"/>
      <c r="AL1859" s="1063"/>
      <c r="AM1859" s="1063"/>
      <c r="AN1859" s="1063"/>
      <c r="AO1859" s="1063"/>
      <c r="AP1859" s="1063"/>
      <c r="AQ1859" s="1063"/>
      <c r="AR1859" s="1063"/>
      <c r="AS1859" s="1063"/>
      <c r="AT1859" s="1063"/>
      <c r="AU1859" s="1063"/>
      <c r="AV1859" s="1063"/>
    </row>
    <row r="1860" spans="1:48" s="1108" customFormat="1" ht="27.75" customHeight="1">
      <c r="A1860" s="1076"/>
      <c r="B1860" s="1074">
        <f>+'[18]Bldg+Dev'!S2672</f>
        <v>0</v>
      </c>
      <c r="D1860" s="1063"/>
      <c r="F1860" s="1076"/>
      <c r="G1860" s="1063"/>
      <c r="H1860" s="1063"/>
      <c r="I1860" s="1063"/>
      <c r="J1860" s="1063"/>
      <c r="K1860" s="1063"/>
      <c r="L1860" s="1063"/>
      <c r="M1860" s="1063"/>
      <c r="N1860" s="1063"/>
      <c r="O1860" s="1063"/>
      <c r="P1860" s="1063"/>
      <c r="Q1860" s="1063"/>
      <c r="R1860" s="1063"/>
      <c r="S1860" s="1063"/>
      <c r="T1860" s="1063"/>
      <c r="U1860" s="1063"/>
      <c r="V1860" s="1063"/>
      <c r="W1860" s="1063"/>
      <c r="X1860" s="1063"/>
      <c r="Y1860" s="1063"/>
      <c r="Z1860" s="1063"/>
      <c r="AA1860" s="1063"/>
      <c r="AB1860" s="1063"/>
      <c r="AC1860" s="1063"/>
      <c r="AD1860" s="1063"/>
      <c r="AE1860" s="1063"/>
      <c r="AF1860" s="1063"/>
      <c r="AG1860" s="1063"/>
      <c r="AH1860" s="1063"/>
      <c r="AI1860" s="1063"/>
      <c r="AJ1860" s="1063"/>
      <c r="AK1860" s="1063"/>
      <c r="AL1860" s="1063"/>
      <c r="AM1860" s="1063"/>
      <c r="AN1860" s="1063"/>
      <c r="AO1860" s="1063"/>
      <c r="AP1860" s="1063"/>
      <c r="AQ1860" s="1063"/>
      <c r="AR1860" s="1063"/>
      <c r="AS1860" s="1063"/>
      <c r="AT1860" s="1063"/>
      <c r="AU1860" s="1063"/>
      <c r="AV1860" s="1063"/>
    </row>
    <row r="1861" spans="1:48" s="1108" customFormat="1" ht="27.75" customHeight="1">
      <c r="A1861" s="1076"/>
      <c r="B1861" s="1074">
        <f>+'[18]Bldg+Dev'!S2673</f>
        <v>0</v>
      </c>
      <c r="D1861" s="1063"/>
      <c r="F1861" s="1076"/>
      <c r="G1861" s="1063"/>
      <c r="H1861" s="1063"/>
      <c r="I1861" s="1063"/>
      <c r="J1861" s="1063"/>
      <c r="K1861" s="1063"/>
      <c r="L1861" s="1063"/>
      <c r="M1861" s="1063"/>
      <c r="N1861" s="1063"/>
      <c r="O1861" s="1063"/>
      <c r="P1861" s="1063"/>
      <c r="Q1861" s="1063"/>
      <c r="R1861" s="1063"/>
      <c r="S1861" s="1063"/>
      <c r="T1861" s="1063"/>
      <c r="U1861" s="1063"/>
      <c r="V1861" s="1063"/>
      <c r="W1861" s="1063"/>
      <c r="X1861" s="1063"/>
      <c r="Y1861" s="1063"/>
      <c r="Z1861" s="1063"/>
      <c r="AA1861" s="1063"/>
      <c r="AB1861" s="1063"/>
      <c r="AC1861" s="1063"/>
      <c r="AD1861" s="1063"/>
      <c r="AE1861" s="1063"/>
      <c r="AF1861" s="1063"/>
      <c r="AG1861" s="1063"/>
      <c r="AH1861" s="1063"/>
      <c r="AI1861" s="1063"/>
      <c r="AJ1861" s="1063"/>
      <c r="AK1861" s="1063"/>
      <c r="AL1861" s="1063"/>
      <c r="AM1861" s="1063"/>
      <c r="AN1861" s="1063"/>
      <c r="AO1861" s="1063"/>
      <c r="AP1861" s="1063"/>
      <c r="AQ1861" s="1063"/>
      <c r="AR1861" s="1063"/>
      <c r="AS1861" s="1063"/>
      <c r="AT1861" s="1063"/>
      <c r="AU1861" s="1063"/>
      <c r="AV1861" s="1063"/>
    </row>
    <row r="1862" spans="1:48" s="1108" customFormat="1" ht="27.75" customHeight="1">
      <c r="A1862" s="1076"/>
      <c r="B1862" s="1074">
        <f>+'[18]Bldg+Dev'!S2674</f>
        <v>0</v>
      </c>
      <c r="D1862" s="1063"/>
      <c r="F1862" s="1076"/>
      <c r="G1862" s="1063"/>
      <c r="H1862" s="1063"/>
      <c r="I1862" s="1063"/>
      <c r="J1862" s="1063"/>
      <c r="K1862" s="1063"/>
      <c r="L1862" s="1063"/>
      <c r="M1862" s="1063"/>
      <c r="N1862" s="1063"/>
      <c r="O1862" s="1063"/>
      <c r="P1862" s="1063"/>
      <c r="Q1862" s="1063"/>
      <c r="R1862" s="1063"/>
      <c r="S1862" s="1063"/>
      <c r="T1862" s="1063"/>
      <c r="U1862" s="1063"/>
      <c r="V1862" s="1063"/>
      <c r="W1862" s="1063"/>
      <c r="X1862" s="1063"/>
      <c r="Y1862" s="1063"/>
      <c r="Z1862" s="1063"/>
      <c r="AA1862" s="1063"/>
      <c r="AB1862" s="1063"/>
      <c r="AC1862" s="1063"/>
      <c r="AD1862" s="1063"/>
      <c r="AE1862" s="1063"/>
      <c r="AF1862" s="1063"/>
      <c r="AG1862" s="1063"/>
      <c r="AH1862" s="1063"/>
      <c r="AI1862" s="1063"/>
      <c r="AJ1862" s="1063"/>
      <c r="AK1862" s="1063"/>
      <c r="AL1862" s="1063"/>
      <c r="AM1862" s="1063"/>
      <c r="AN1862" s="1063"/>
      <c r="AO1862" s="1063"/>
      <c r="AP1862" s="1063"/>
      <c r="AQ1862" s="1063"/>
      <c r="AR1862" s="1063"/>
      <c r="AS1862" s="1063"/>
      <c r="AT1862" s="1063"/>
      <c r="AU1862" s="1063"/>
      <c r="AV1862" s="1063"/>
    </row>
    <row r="1863" spans="1:48" s="1108" customFormat="1" ht="27.75" customHeight="1">
      <c r="A1863" s="1076"/>
      <c r="B1863" s="1074">
        <f>+'[18]Bldg+Dev'!S2675</f>
        <v>0</v>
      </c>
      <c r="D1863" s="1063"/>
      <c r="F1863" s="1076"/>
      <c r="G1863" s="1063"/>
      <c r="H1863" s="1063"/>
      <c r="I1863" s="1063"/>
      <c r="J1863" s="1063"/>
      <c r="K1863" s="1063"/>
      <c r="L1863" s="1063"/>
      <c r="M1863" s="1063"/>
      <c r="N1863" s="1063"/>
      <c r="O1863" s="1063"/>
      <c r="P1863" s="1063"/>
      <c r="Q1863" s="1063"/>
      <c r="R1863" s="1063"/>
      <c r="S1863" s="1063"/>
      <c r="T1863" s="1063"/>
      <c r="U1863" s="1063"/>
      <c r="V1863" s="1063"/>
      <c r="W1863" s="1063"/>
      <c r="X1863" s="1063"/>
      <c r="Y1863" s="1063"/>
      <c r="Z1863" s="1063"/>
      <c r="AA1863" s="1063"/>
      <c r="AB1863" s="1063"/>
      <c r="AC1863" s="1063"/>
      <c r="AD1863" s="1063"/>
      <c r="AE1863" s="1063"/>
      <c r="AF1863" s="1063"/>
      <c r="AG1863" s="1063"/>
      <c r="AH1863" s="1063"/>
      <c r="AI1863" s="1063"/>
      <c r="AJ1863" s="1063"/>
      <c r="AK1863" s="1063"/>
      <c r="AL1863" s="1063"/>
      <c r="AM1863" s="1063"/>
      <c r="AN1863" s="1063"/>
      <c r="AO1863" s="1063"/>
      <c r="AP1863" s="1063"/>
      <c r="AQ1863" s="1063"/>
      <c r="AR1863" s="1063"/>
      <c r="AS1863" s="1063"/>
      <c r="AT1863" s="1063"/>
      <c r="AU1863" s="1063"/>
      <c r="AV1863" s="1063"/>
    </row>
    <row r="1864" spans="1:48" s="1108" customFormat="1" ht="27.75" customHeight="1">
      <c r="A1864" s="1076"/>
      <c r="B1864" s="1074">
        <f>+'[18]Bldg+Dev'!S2676</f>
        <v>0</v>
      </c>
      <c r="D1864" s="1063"/>
      <c r="F1864" s="1076"/>
      <c r="G1864" s="1063"/>
      <c r="H1864" s="1063"/>
      <c r="I1864" s="1063"/>
      <c r="J1864" s="1063"/>
      <c r="K1864" s="1063"/>
      <c r="L1864" s="1063"/>
      <c r="M1864" s="1063"/>
      <c r="N1864" s="1063"/>
      <c r="O1864" s="1063"/>
      <c r="P1864" s="1063"/>
      <c r="Q1864" s="1063"/>
      <c r="R1864" s="1063"/>
      <c r="S1864" s="1063"/>
      <c r="T1864" s="1063"/>
      <c r="U1864" s="1063"/>
      <c r="V1864" s="1063"/>
      <c r="W1864" s="1063"/>
      <c r="X1864" s="1063"/>
      <c r="Y1864" s="1063"/>
      <c r="Z1864" s="1063"/>
      <c r="AA1864" s="1063"/>
      <c r="AB1864" s="1063"/>
      <c r="AC1864" s="1063"/>
      <c r="AD1864" s="1063"/>
      <c r="AE1864" s="1063"/>
      <c r="AF1864" s="1063"/>
      <c r="AG1864" s="1063"/>
      <c r="AH1864" s="1063"/>
      <c r="AI1864" s="1063"/>
      <c r="AJ1864" s="1063"/>
      <c r="AK1864" s="1063"/>
      <c r="AL1864" s="1063"/>
      <c r="AM1864" s="1063"/>
      <c r="AN1864" s="1063"/>
      <c r="AO1864" s="1063"/>
      <c r="AP1864" s="1063"/>
      <c r="AQ1864" s="1063"/>
      <c r="AR1864" s="1063"/>
      <c r="AS1864" s="1063"/>
      <c r="AT1864" s="1063"/>
      <c r="AU1864" s="1063"/>
      <c r="AV1864" s="1063"/>
    </row>
    <row r="1865" spans="1:48" s="1108" customFormat="1" ht="27.75" customHeight="1">
      <c r="A1865" s="1076"/>
      <c r="B1865" s="1074">
        <f>+'[18]Bldg+Dev'!S2677</f>
        <v>0</v>
      </c>
      <c r="D1865" s="1063"/>
      <c r="F1865" s="1076"/>
      <c r="G1865" s="1063"/>
      <c r="H1865" s="1063"/>
      <c r="I1865" s="1063"/>
      <c r="J1865" s="1063"/>
      <c r="K1865" s="1063"/>
      <c r="L1865" s="1063"/>
      <c r="M1865" s="1063"/>
      <c r="N1865" s="1063"/>
      <c r="O1865" s="1063"/>
      <c r="P1865" s="1063"/>
      <c r="Q1865" s="1063"/>
      <c r="R1865" s="1063"/>
      <c r="S1865" s="1063"/>
      <c r="T1865" s="1063"/>
      <c r="U1865" s="1063"/>
      <c r="V1865" s="1063"/>
      <c r="W1865" s="1063"/>
      <c r="X1865" s="1063"/>
      <c r="Y1865" s="1063"/>
      <c r="Z1865" s="1063"/>
      <c r="AA1865" s="1063"/>
      <c r="AB1865" s="1063"/>
      <c r="AC1865" s="1063"/>
      <c r="AD1865" s="1063"/>
      <c r="AE1865" s="1063"/>
      <c r="AF1865" s="1063"/>
      <c r="AG1865" s="1063"/>
      <c r="AH1865" s="1063"/>
      <c r="AI1865" s="1063"/>
      <c r="AJ1865" s="1063"/>
      <c r="AK1865" s="1063"/>
      <c r="AL1865" s="1063"/>
      <c r="AM1865" s="1063"/>
      <c r="AN1865" s="1063"/>
      <c r="AO1865" s="1063"/>
      <c r="AP1865" s="1063"/>
      <c r="AQ1865" s="1063"/>
      <c r="AR1865" s="1063"/>
      <c r="AS1865" s="1063"/>
      <c r="AT1865" s="1063"/>
      <c r="AU1865" s="1063"/>
      <c r="AV1865" s="1063"/>
    </row>
    <row r="1866" spans="1:48" s="1108" customFormat="1" ht="27.75" customHeight="1">
      <c r="A1866" s="1076"/>
      <c r="B1866" s="1074">
        <f>+'[18]Bldg+Dev'!S2678</f>
        <v>0</v>
      </c>
      <c r="D1866" s="1063"/>
      <c r="F1866" s="1076"/>
      <c r="G1866" s="1063"/>
      <c r="H1866" s="1063"/>
      <c r="I1866" s="1063"/>
      <c r="J1866" s="1063"/>
      <c r="K1866" s="1063"/>
      <c r="L1866" s="1063"/>
      <c r="M1866" s="1063"/>
      <c r="N1866" s="1063"/>
      <c r="O1866" s="1063"/>
      <c r="P1866" s="1063"/>
      <c r="Q1866" s="1063"/>
      <c r="R1866" s="1063"/>
      <c r="S1866" s="1063"/>
      <c r="T1866" s="1063"/>
      <c r="U1866" s="1063"/>
      <c r="V1866" s="1063"/>
      <c r="W1866" s="1063"/>
      <c r="X1866" s="1063"/>
      <c r="Y1866" s="1063"/>
      <c r="Z1866" s="1063"/>
      <c r="AA1866" s="1063"/>
      <c r="AB1866" s="1063"/>
      <c r="AC1866" s="1063"/>
      <c r="AD1866" s="1063"/>
      <c r="AE1866" s="1063"/>
      <c r="AF1866" s="1063"/>
      <c r="AG1866" s="1063"/>
      <c r="AH1866" s="1063"/>
      <c r="AI1866" s="1063"/>
      <c r="AJ1866" s="1063"/>
      <c r="AK1866" s="1063"/>
      <c r="AL1866" s="1063"/>
      <c r="AM1866" s="1063"/>
      <c r="AN1866" s="1063"/>
      <c r="AO1866" s="1063"/>
      <c r="AP1866" s="1063"/>
      <c r="AQ1866" s="1063"/>
      <c r="AR1866" s="1063"/>
      <c r="AS1866" s="1063"/>
      <c r="AT1866" s="1063"/>
      <c r="AU1866" s="1063"/>
      <c r="AV1866" s="1063"/>
    </row>
    <row r="1867" spans="1:48" s="1108" customFormat="1" ht="27.75" customHeight="1">
      <c r="A1867" s="1076"/>
      <c r="B1867" s="1074">
        <f>+'[18]Bldg+Dev'!S2679</f>
        <v>0</v>
      </c>
      <c r="D1867" s="1063"/>
      <c r="F1867" s="1076"/>
      <c r="G1867" s="1063"/>
      <c r="H1867" s="1063"/>
      <c r="I1867" s="1063"/>
      <c r="J1867" s="1063"/>
      <c r="K1867" s="1063"/>
      <c r="L1867" s="1063"/>
      <c r="M1867" s="1063"/>
      <c r="N1867" s="1063"/>
      <c r="O1867" s="1063"/>
      <c r="P1867" s="1063"/>
      <c r="Q1867" s="1063"/>
      <c r="R1867" s="1063"/>
      <c r="S1867" s="1063"/>
      <c r="T1867" s="1063"/>
      <c r="U1867" s="1063"/>
      <c r="V1867" s="1063"/>
      <c r="W1867" s="1063"/>
      <c r="X1867" s="1063"/>
      <c r="Y1867" s="1063"/>
      <c r="Z1867" s="1063"/>
      <c r="AA1867" s="1063"/>
      <c r="AB1867" s="1063"/>
      <c r="AC1867" s="1063"/>
      <c r="AD1867" s="1063"/>
      <c r="AE1867" s="1063"/>
      <c r="AF1867" s="1063"/>
      <c r="AG1867" s="1063"/>
      <c r="AH1867" s="1063"/>
      <c r="AI1867" s="1063"/>
      <c r="AJ1867" s="1063"/>
      <c r="AK1867" s="1063"/>
      <c r="AL1867" s="1063"/>
      <c r="AM1867" s="1063"/>
      <c r="AN1867" s="1063"/>
      <c r="AO1867" s="1063"/>
      <c r="AP1867" s="1063"/>
      <c r="AQ1867" s="1063"/>
      <c r="AR1867" s="1063"/>
      <c r="AS1867" s="1063"/>
      <c r="AT1867" s="1063"/>
      <c r="AU1867" s="1063"/>
      <c r="AV1867" s="1063"/>
    </row>
    <row r="1868" spans="1:48" s="1108" customFormat="1" ht="27.75" customHeight="1">
      <c r="A1868" s="1076"/>
      <c r="B1868" s="1074">
        <f>+'[18]Bldg+Dev'!S2680</f>
        <v>0</v>
      </c>
      <c r="D1868" s="1063"/>
      <c r="F1868" s="1076"/>
      <c r="G1868" s="1063"/>
      <c r="H1868" s="1063"/>
      <c r="I1868" s="1063"/>
      <c r="J1868" s="1063"/>
      <c r="K1868" s="1063"/>
      <c r="L1868" s="1063"/>
      <c r="M1868" s="1063"/>
      <c r="N1868" s="1063"/>
      <c r="O1868" s="1063"/>
      <c r="P1868" s="1063"/>
      <c r="Q1868" s="1063"/>
      <c r="R1868" s="1063"/>
      <c r="S1868" s="1063"/>
      <c r="T1868" s="1063"/>
      <c r="U1868" s="1063"/>
      <c r="V1868" s="1063"/>
      <c r="W1868" s="1063"/>
      <c r="X1868" s="1063"/>
      <c r="Y1868" s="1063"/>
      <c r="Z1868" s="1063"/>
      <c r="AA1868" s="1063"/>
      <c r="AB1868" s="1063"/>
      <c r="AC1868" s="1063"/>
      <c r="AD1868" s="1063"/>
      <c r="AE1868" s="1063"/>
      <c r="AF1868" s="1063"/>
      <c r="AG1868" s="1063"/>
      <c r="AH1868" s="1063"/>
      <c r="AI1868" s="1063"/>
      <c r="AJ1868" s="1063"/>
      <c r="AK1868" s="1063"/>
      <c r="AL1868" s="1063"/>
      <c r="AM1868" s="1063"/>
      <c r="AN1868" s="1063"/>
      <c r="AO1868" s="1063"/>
      <c r="AP1868" s="1063"/>
      <c r="AQ1868" s="1063"/>
      <c r="AR1868" s="1063"/>
      <c r="AS1868" s="1063"/>
      <c r="AT1868" s="1063"/>
      <c r="AU1868" s="1063"/>
      <c r="AV1868" s="1063"/>
    </row>
    <row r="1869" spans="1:48" s="1108" customFormat="1" ht="27.75" customHeight="1">
      <c r="A1869" s="1076"/>
      <c r="B1869" s="1074">
        <f>+'[18]Bldg+Dev'!S2681</f>
        <v>0</v>
      </c>
      <c r="D1869" s="1063"/>
      <c r="F1869" s="1076"/>
      <c r="G1869" s="1063"/>
      <c r="H1869" s="1063"/>
      <c r="I1869" s="1063"/>
      <c r="J1869" s="1063"/>
      <c r="K1869" s="1063"/>
      <c r="L1869" s="1063"/>
      <c r="M1869" s="1063"/>
      <c r="N1869" s="1063"/>
      <c r="O1869" s="1063"/>
      <c r="P1869" s="1063"/>
      <c r="Q1869" s="1063"/>
      <c r="R1869" s="1063"/>
      <c r="S1869" s="1063"/>
      <c r="T1869" s="1063"/>
      <c r="U1869" s="1063"/>
      <c r="V1869" s="1063"/>
      <c r="W1869" s="1063"/>
      <c r="X1869" s="1063"/>
      <c r="Y1869" s="1063"/>
      <c r="Z1869" s="1063"/>
      <c r="AA1869" s="1063"/>
      <c r="AB1869" s="1063"/>
      <c r="AC1869" s="1063"/>
      <c r="AD1869" s="1063"/>
      <c r="AE1869" s="1063"/>
      <c r="AF1869" s="1063"/>
      <c r="AG1869" s="1063"/>
      <c r="AH1869" s="1063"/>
      <c r="AI1869" s="1063"/>
      <c r="AJ1869" s="1063"/>
      <c r="AK1869" s="1063"/>
      <c r="AL1869" s="1063"/>
      <c r="AM1869" s="1063"/>
      <c r="AN1869" s="1063"/>
      <c r="AO1869" s="1063"/>
      <c r="AP1869" s="1063"/>
      <c r="AQ1869" s="1063"/>
      <c r="AR1869" s="1063"/>
      <c r="AS1869" s="1063"/>
      <c r="AT1869" s="1063"/>
      <c r="AU1869" s="1063"/>
      <c r="AV1869" s="1063"/>
    </row>
    <row r="1870" spans="1:48" s="1108" customFormat="1" ht="27.75" customHeight="1">
      <c r="A1870" s="1076"/>
      <c r="B1870" s="1074">
        <f>+'[18]Bldg+Dev'!S2682</f>
        <v>0</v>
      </c>
      <c r="D1870" s="1063"/>
      <c r="F1870" s="1076"/>
      <c r="G1870" s="1063"/>
      <c r="H1870" s="1063"/>
      <c r="I1870" s="1063"/>
      <c r="J1870" s="1063"/>
      <c r="K1870" s="1063"/>
      <c r="L1870" s="1063"/>
      <c r="M1870" s="1063"/>
      <c r="N1870" s="1063"/>
      <c r="O1870" s="1063"/>
      <c r="P1870" s="1063"/>
      <c r="Q1870" s="1063"/>
      <c r="R1870" s="1063"/>
      <c r="S1870" s="1063"/>
      <c r="T1870" s="1063"/>
      <c r="U1870" s="1063"/>
      <c r="V1870" s="1063"/>
      <c r="W1870" s="1063"/>
      <c r="X1870" s="1063"/>
      <c r="Y1870" s="1063"/>
      <c r="Z1870" s="1063"/>
      <c r="AA1870" s="1063"/>
      <c r="AB1870" s="1063"/>
      <c r="AC1870" s="1063"/>
      <c r="AD1870" s="1063"/>
      <c r="AE1870" s="1063"/>
      <c r="AF1870" s="1063"/>
      <c r="AG1870" s="1063"/>
      <c r="AH1870" s="1063"/>
      <c r="AI1870" s="1063"/>
      <c r="AJ1870" s="1063"/>
      <c r="AK1870" s="1063"/>
      <c r="AL1870" s="1063"/>
      <c r="AM1870" s="1063"/>
      <c r="AN1870" s="1063"/>
      <c r="AO1870" s="1063"/>
      <c r="AP1870" s="1063"/>
      <c r="AQ1870" s="1063"/>
      <c r="AR1870" s="1063"/>
      <c r="AS1870" s="1063"/>
      <c r="AT1870" s="1063"/>
      <c r="AU1870" s="1063"/>
      <c r="AV1870" s="1063"/>
    </row>
    <row r="1871" spans="1:48" s="1108" customFormat="1" ht="27.75" customHeight="1">
      <c r="A1871" s="1076"/>
      <c r="B1871" s="1074">
        <f>+'[18]Bldg+Dev'!S2683</f>
        <v>0</v>
      </c>
      <c r="D1871" s="1063"/>
      <c r="F1871" s="1076"/>
      <c r="G1871" s="1063"/>
      <c r="H1871" s="1063"/>
      <c r="I1871" s="1063"/>
      <c r="J1871" s="1063"/>
      <c r="K1871" s="1063"/>
      <c r="L1871" s="1063"/>
      <c r="M1871" s="1063"/>
      <c r="N1871" s="1063"/>
      <c r="O1871" s="1063"/>
      <c r="P1871" s="1063"/>
      <c r="Q1871" s="1063"/>
      <c r="R1871" s="1063"/>
      <c r="S1871" s="1063"/>
      <c r="T1871" s="1063"/>
      <c r="U1871" s="1063"/>
      <c r="V1871" s="1063"/>
      <c r="W1871" s="1063"/>
      <c r="X1871" s="1063"/>
      <c r="Y1871" s="1063"/>
      <c r="Z1871" s="1063"/>
      <c r="AA1871" s="1063"/>
      <c r="AB1871" s="1063"/>
      <c r="AC1871" s="1063"/>
      <c r="AD1871" s="1063"/>
      <c r="AE1871" s="1063"/>
      <c r="AF1871" s="1063"/>
      <c r="AG1871" s="1063"/>
      <c r="AH1871" s="1063"/>
      <c r="AI1871" s="1063"/>
      <c r="AJ1871" s="1063"/>
      <c r="AK1871" s="1063"/>
      <c r="AL1871" s="1063"/>
      <c r="AM1871" s="1063"/>
      <c r="AN1871" s="1063"/>
      <c r="AO1871" s="1063"/>
      <c r="AP1871" s="1063"/>
      <c r="AQ1871" s="1063"/>
      <c r="AR1871" s="1063"/>
      <c r="AS1871" s="1063"/>
      <c r="AT1871" s="1063"/>
      <c r="AU1871" s="1063"/>
      <c r="AV1871" s="1063"/>
    </row>
    <row r="1872" spans="1:48" s="1108" customFormat="1" ht="27.75" customHeight="1">
      <c r="A1872" s="1076"/>
      <c r="B1872" s="1074">
        <f>+'[18]Bldg+Dev'!S2684</f>
        <v>0</v>
      </c>
      <c r="D1872" s="1063"/>
      <c r="F1872" s="1076"/>
      <c r="G1872" s="1063"/>
      <c r="H1872" s="1063"/>
      <c r="I1872" s="1063"/>
      <c r="J1872" s="1063"/>
      <c r="K1872" s="1063"/>
      <c r="L1872" s="1063"/>
      <c r="M1872" s="1063"/>
      <c r="N1872" s="1063"/>
      <c r="O1872" s="1063"/>
      <c r="P1872" s="1063"/>
      <c r="Q1872" s="1063"/>
      <c r="R1872" s="1063"/>
      <c r="S1872" s="1063"/>
      <c r="T1872" s="1063"/>
      <c r="U1872" s="1063"/>
      <c r="V1872" s="1063"/>
      <c r="W1872" s="1063"/>
      <c r="X1872" s="1063"/>
      <c r="Y1872" s="1063"/>
      <c r="Z1872" s="1063"/>
      <c r="AA1872" s="1063"/>
      <c r="AB1872" s="1063"/>
      <c r="AC1872" s="1063"/>
      <c r="AD1872" s="1063"/>
      <c r="AE1872" s="1063"/>
      <c r="AF1872" s="1063"/>
      <c r="AG1872" s="1063"/>
      <c r="AH1872" s="1063"/>
      <c r="AI1872" s="1063"/>
      <c r="AJ1872" s="1063"/>
      <c r="AK1872" s="1063"/>
      <c r="AL1872" s="1063"/>
      <c r="AM1872" s="1063"/>
      <c r="AN1872" s="1063"/>
      <c r="AO1872" s="1063"/>
      <c r="AP1872" s="1063"/>
      <c r="AQ1872" s="1063"/>
      <c r="AR1872" s="1063"/>
      <c r="AS1872" s="1063"/>
      <c r="AT1872" s="1063"/>
      <c r="AU1872" s="1063"/>
      <c r="AV1872" s="1063"/>
    </row>
    <row r="1873" spans="1:48" s="1108" customFormat="1" ht="27.75" customHeight="1">
      <c r="A1873" s="1076"/>
      <c r="B1873" s="1074">
        <f>+'[18]Bldg+Dev'!S2685</f>
        <v>0</v>
      </c>
      <c r="D1873" s="1063"/>
      <c r="F1873" s="1076"/>
      <c r="G1873" s="1063"/>
      <c r="H1873" s="1063"/>
      <c r="I1873" s="1063"/>
      <c r="J1873" s="1063"/>
      <c r="K1873" s="1063"/>
      <c r="L1873" s="1063"/>
      <c r="M1873" s="1063"/>
      <c r="N1873" s="1063"/>
      <c r="O1873" s="1063"/>
      <c r="P1873" s="1063"/>
      <c r="Q1873" s="1063"/>
      <c r="R1873" s="1063"/>
      <c r="S1873" s="1063"/>
      <c r="T1873" s="1063"/>
      <c r="U1873" s="1063"/>
      <c r="V1873" s="1063"/>
      <c r="W1873" s="1063"/>
      <c r="X1873" s="1063"/>
      <c r="Y1873" s="1063"/>
      <c r="Z1873" s="1063"/>
      <c r="AA1873" s="1063"/>
      <c r="AB1873" s="1063"/>
      <c r="AC1873" s="1063"/>
      <c r="AD1873" s="1063"/>
      <c r="AE1873" s="1063"/>
      <c r="AF1873" s="1063"/>
      <c r="AG1873" s="1063"/>
      <c r="AH1873" s="1063"/>
      <c r="AI1873" s="1063"/>
      <c r="AJ1873" s="1063"/>
      <c r="AK1873" s="1063"/>
      <c r="AL1873" s="1063"/>
      <c r="AM1873" s="1063"/>
      <c r="AN1873" s="1063"/>
      <c r="AO1873" s="1063"/>
      <c r="AP1873" s="1063"/>
      <c r="AQ1873" s="1063"/>
      <c r="AR1873" s="1063"/>
      <c r="AS1873" s="1063"/>
      <c r="AT1873" s="1063"/>
      <c r="AU1873" s="1063"/>
      <c r="AV1873" s="1063"/>
    </row>
    <row r="1874" spans="1:48" s="1108" customFormat="1" ht="27.75" customHeight="1">
      <c r="A1874" s="1076"/>
      <c r="B1874" s="1074">
        <f>+'[18]Bldg+Dev'!S2686</f>
        <v>0</v>
      </c>
      <c r="D1874" s="1063"/>
      <c r="F1874" s="1076"/>
      <c r="G1874" s="1063"/>
      <c r="H1874" s="1063"/>
      <c r="I1874" s="1063"/>
      <c r="J1874" s="1063"/>
      <c r="K1874" s="1063"/>
      <c r="L1874" s="1063"/>
      <c r="M1874" s="1063"/>
      <c r="N1874" s="1063"/>
      <c r="O1874" s="1063"/>
      <c r="P1874" s="1063"/>
      <c r="Q1874" s="1063"/>
      <c r="R1874" s="1063"/>
      <c r="S1874" s="1063"/>
      <c r="T1874" s="1063"/>
      <c r="U1874" s="1063"/>
      <c r="V1874" s="1063"/>
      <c r="W1874" s="1063"/>
      <c r="X1874" s="1063"/>
      <c r="Y1874" s="1063"/>
      <c r="Z1874" s="1063"/>
      <c r="AA1874" s="1063"/>
      <c r="AB1874" s="1063"/>
      <c r="AC1874" s="1063"/>
      <c r="AD1874" s="1063"/>
      <c r="AE1874" s="1063"/>
      <c r="AF1874" s="1063"/>
      <c r="AG1874" s="1063"/>
      <c r="AH1874" s="1063"/>
      <c r="AI1874" s="1063"/>
      <c r="AJ1874" s="1063"/>
      <c r="AK1874" s="1063"/>
      <c r="AL1874" s="1063"/>
      <c r="AM1874" s="1063"/>
      <c r="AN1874" s="1063"/>
      <c r="AO1874" s="1063"/>
      <c r="AP1874" s="1063"/>
      <c r="AQ1874" s="1063"/>
      <c r="AR1874" s="1063"/>
      <c r="AS1874" s="1063"/>
      <c r="AT1874" s="1063"/>
      <c r="AU1874" s="1063"/>
      <c r="AV1874" s="1063"/>
    </row>
    <row r="1875" spans="1:48" s="1108" customFormat="1" ht="27.75" customHeight="1">
      <c r="A1875" s="1076"/>
      <c r="B1875" s="1074">
        <f>+'[18]Bldg+Dev'!S2687</f>
        <v>0</v>
      </c>
      <c r="D1875" s="1063"/>
      <c r="F1875" s="1076"/>
      <c r="G1875" s="1063"/>
      <c r="H1875" s="1063"/>
      <c r="I1875" s="1063"/>
      <c r="J1875" s="1063"/>
      <c r="K1875" s="1063"/>
      <c r="L1875" s="1063"/>
      <c r="M1875" s="1063"/>
      <c r="N1875" s="1063"/>
      <c r="O1875" s="1063"/>
      <c r="P1875" s="1063"/>
      <c r="Q1875" s="1063"/>
      <c r="R1875" s="1063"/>
      <c r="S1875" s="1063"/>
      <c r="T1875" s="1063"/>
      <c r="U1875" s="1063"/>
      <c r="V1875" s="1063"/>
      <c r="W1875" s="1063"/>
      <c r="X1875" s="1063"/>
      <c r="Y1875" s="1063"/>
      <c r="Z1875" s="1063"/>
      <c r="AA1875" s="1063"/>
      <c r="AB1875" s="1063"/>
      <c r="AC1875" s="1063"/>
      <c r="AD1875" s="1063"/>
      <c r="AE1875" s="1063"/>
      <c r="AF1875" s="1063"/>
      <c r="AG1875" s="1063"/>
      <c r="AH1875" s="1063"/>
      <c r="AI1875" s="1063"/>
      <c r="AJ1875" s="1063"/>
      <c r="AK1875" s="1063"/>
      <c r="AL1875" s="1063"/>
      <c r="AM1875" s="1063"/>
      <c r="AN1875" s="1063"/>
      <c r="AO1875" s="1063"/>
      <c r="AP1875" s="1063"/>
      <c r="AQ1875" s="1063"/>
      <c r="AR1875" s="1063"/>
      <c r="AS1875" s="1063"/>
      <c r="AT1875" s="1063"/>
      <c r="AU1875" s="1063"/>
      <c r="AV1875" s="1063"/>
    </row>
    <row r="1876" spans="1:48" s="1108" customFormat="1" ht="27.75" customHeight="1">
      <c r="A1876" s="1076"/>
      <c r="B1876" s="1074">
        <f>+'[18]Bldg+Dev'!S2688</f>
        <v>0</v>
      </c>
      <c r="D1876" s="1063"/>
      <c r="F1876" s="1076"/>
      <c r="G1876" s="1063"/>
      <c r="H1876" s="1063"/>
      <c r="I1876" s="1063"/>
      <c r="J1876" s="1063"/>
      <c r="K1876" s="1063"/>
      <c r="L1876" s="1063"/>
      <c r="M1876" s="1063"/>
      <c r="N1876" s="1063"/>
      <c r="O1876" s="1063"/>
      <c r="P1876" s="1063"/>
      <c r="Q1876" s="1063"/>
      <c r="R1876" s="1063"/>
      <c r="S1876" s="1063"/>
      <c r="T1876" s="1063"/>
      <c r="U1876" s="1063"/>
      <c r="V1876" s="1063"/>
      <c r="W1876" s="1063"/>
      <c r="X1876" s="1063"/>
      <c r="Y1876" s="1063"/>
      <c r="Z1876" s="1063"/>
      <c r="AA1876" s="1063"/>
      <c r="AB1876" s="1063"/>
      <c r="AC1876" s="1063"/>
      <c r="AD1876" s="1063"/>
      <c r="AE1876" s="1063"/>
      <c r="AF1876" s="1063"/>
      <c r="AG1876" s="1063"/>
      <c r="AH1876" s="1063"/>
      <c r="AI1876" s="1063"/>
      <c r="AJ1876" s="1063"/>
      <c r="AK1876" s="1063"/>
      <c r="AL1876" s="1063"/>
      <c r="AM1876" s="1063"/>
      <c r="AN1876" s="1063"/>
      <c r="AO1876" s="1063"/>
      <c r="AP1876" s="1063"/>
      <c r="AQ1876" s="1063"/>
      <c r="AR1876" s="1063"/>
      <c r="AS1876" s="1063"/>
      <c r="AT1876" s="1063"/>
      <c r="AU1876" s="1063"/>
      <c r="AV1876" s="1063"/>
    </row>
    <row r="1877" spans="1:48" s="1108" customFormat="1" ht="27.75" customHeight="1">
      <c r="A1877" s="1076"/>
      <c r="B1877" s="1074">
        <f>+'[18]Bldg+Dev'!S2689</f>
        <v>0</v>
      </c>
      <c r="D1877" s="1063"/>
      <c r="F1877" s="1076"/>
      <c r="G1877" s="1063"/>
      <c r="H1877" s="1063"/>
      <c r="I1877" s="1063"/>
      <c r="J1877" s="1063"/>
      <c r="K1877" s="1063"/>
      <c r="L1877" s="1063"/>
      <c r="M1877" s="1063"/>
      <c r="N1877" s="1063"/>
      <c r="O1877" s="1063"/>
      <c r="P1877" s="1063"/>
      <c r="Q1877" s="1063"/>
      <c r="R1877" s="1063"/>
      <c r="S1877" s="1063"/>
      <c r="T1877" s="1063"/>
      <c r="U1877" s="1063"/>
      <c r="V1877" s="1063"/>
      <c r="W1877" s="1063"/>
      <c r="X1877" s="1063"/>
      <c r="Y1877" s="1063"/>
      <c r="Z1877" s="1063"/>
      <c r="AA1877" s="1063"/>
      <c r="AB1877" s="1063"/>
      <c r="AC1877" s="1063"/>
      <c r="AD1877" s="1063"/>
      <c r="AE1877" s="1063"/>
      <c r="AF1877" s="1063"/>
      <c r="AG1877" s="1063"/>
      <c r="AH1877" s="1063"/>
      <c r="AI1877" s="1063"/>
      <c r="AJ1877" s="1063"/>
      <c r="AK1877" s="1063"/>
      <c r="AL1877" s="1063"/>
      <c r="AM1877" s="1063"/>
      <c r="AN1877" s="1063"/>
      <c r="AO1877" s="1063"/>
      <c r="AP1877" s="1063"/>
      <c r="AQ1877" s="1063"/>
      <c r="AR1877" s="1063"/>
      <c r="AS1877" s="1063"/>
      <c r="AT1877" s="1063"/>
      <c r="AU1877" s="1063"/>
      <c r="AV1877" s="1063"/>
    </row>
    <row r="1878" spans="1:48" s="1108" customFormat="1" ht="27.75" customHeight="1">
      <c r="A1878" s="1076"/>
      <c r="B1878" s="1074">
        <f>+'[18]Bldg+Dev'!S2690</f>
        <v>0</v>
      </c>
      <c r="D1878" s="1063"/>
      <c r="F1878" s="1076"/>
      <c r="G1878" s="1063"/>
      <c r="H1878" s="1063"/>
      <c r="I1878" s="1063"/>
      <c r="J1878" s="1063"/>
      <c r="K1878" s="1063"/>
      <c r="L1878" s="1063"/>
      <c r="M1878" s="1063"/>
      <c r="N1878" s="1063"/>
      <c r="O1878" s="1063"/>
      <c r="P1878" s="1063"/>
      <c r="Q1878" s="1063"/>
      <c r="R1878" s="1063"/>
      <c r="S1878" s="1063"/>
      <c r="T1878" s="1063"/>
      <c r="U1878" s="1063"/>
      <c r="V1878" s="1063"/>
      <c r="W1878" s="1063"/>
      <c r="X1878" s="1063"/>
      <c r="Y1878" s="1063"/>
      <c r="Z1878" s="1063"/>
      <c r="AA1878" s="1063"/>
      <c r="AB1878" s="1063"/>
      <c r="AC1878" s="1063"/>
      <c r="AD1878" s="1063"/>
      <c r="AE1878" s="1063"/>
      <c r="AF1878" s="1063"/>
      <c r="AG1878" s="1063"/>
      <c r="AH1878" s="1063"/>
      <c r="AI1878" s="1063"/>
      <c r="AJ1878" s="1063"/>
      <c r="AK1878" s="1063"/>
      <c r="AL1878" s="1063"/>
      <c r="AM1878" s="1063"/>
      <c r="AN1878" s="1063"/>
      <c r="AO1878" s="1063"/>
      <c r="AP1878" s="1063"/>
      <c r="AQ1878" s="1063"/>
      <c r="AR1878" s="1063"/>
      <c r="AS1878" s="1063"/>
      <c r="AT1878" s="1063"/>
      <c r="AU1878" s="1063"/>
      <c r="AV1878" s="1063"/>
    </row>
    <row r="1879" spans="1:48" s="1108" customFormat="1" ht="27.75" customHeight="1">
      <c r="A1879" s="1076"/>
      <c r="B1879" s="1074">
        <f>+'[18]Bldg+Dev'!S2691</f>
        <v>0</v>
      </c>
      <c r="D1879" s="1063"/>
      <c r="F1879" s="1076"/>
      <c r="G1879" s="1063"/>
      <c r="H1879" s="1063"/>
      <c r="I1879" s="1063"/>
      <c r="J1879" s="1063"/>
      <c r="K1879" s="1063"/>
      <c r="L1879" s="1063"/>
      <c r="M1879" s="1063"/>
      <c r="N1879" s="1063"/>
      <c r="O1879" s="1063"/>
      <c r="P1879" s="1063"/>
      <c r="Q1879" s="1063"/>
      <c r="R1879" s="1063"/>
      <c r="S1879" s="1063"/>
      <c r="T1879" s="1063"/>
      <c r="U1879" s="1063"/>
      <c r="V1879" s="1063"/>
      <c r="W1879" s="1063"/>
      <c r="X1879" s="1063"/>
      <c r="Y1879" s="1063"/>
      <c r="Z1879" s="1063"/>
      <c r="AA1879" s="1063"/>
      <c r="AB1879" s="1063"/>
      <c r="AC1879" s="1063"/>
      <c r="AD1879" s="1063"/>
      <c r="AE1879" s="1063"/>
      <c r="AF1879" s="1063"/>
      <c r="AG1879" s="1063"/>
      <c r="AH1879" s="1063"/>
      <c r="AI1879" s="1063"/>
      <c r="AJ1879" s="1063"/>
      <c r="AK1879" s="1063"/>
      <c r="AL1879" s="1063"/>
      <c r="AM1879" s="1063"/>
      <c r="AN1879" s="1063"/>
      <c r="AO1879" s="1063"/>
      <c r="AP1879" s="1063"/>
      <c r="AQ1879" s="1063"/>
      <c r="AR1879" s="1063"/>
      <c r="AS1879" s="1063"/>
      <c r="AT1879" s="1063"/>
      <c r="AU1879" s="1063"/>
      <c r="AV1879" s="1063"/>
    </row>
    <row r="1880" spans="1:48" s="1108" customFormat="1" ht="27.75" customHeight="1">
      <c r="A1880" s="1076"/>
      <c r="B1880" s="1074">
        <f>+'[18]Bldg+Dev'!S2692</f>
        <v>0</v>
      </c>
      <c r="D1880" s="1063"/>
      <c r="F1880" s="1076"/>
      <c r="G1880" s="1063"/>
      <c r="H1880" s="1063"/>
      <c r="I1880" s="1063"/>
      <c r="J1880" s="1063"/>
      <c r="K1880" s="1063"/>
      <c r="L1880" s="1063"/>
      <c r="M1880" s="1063"/>
      <c r="N1880" s="1063"/>
      <c r="O1880" s="1063"/>
      <c r="P1880" s="1063"/>
      <c r="Q1880" s="1063"/>
      <c r="R1880" s="1063"/>
      <c r="S1880" s="1063"/>
      <c r="T1880" s="1063"/>
      <c r="U1880" s="1063"/>
      <c r="V1880" s="1063"/>
      <c r="W1880" s="1063"/>
      <c r="X1880" s="1063"/>
      <c r="Y1880" s="1063"/>
      <c r="Z1880" s="1063"/>
      <c r="AA1880" s="1063"/>
      <c r="AB1880" s="1063"/>
      <c r="AC1880" s="1063"/>
      <c r="AD1880" s="1063"/>
      <c r="AE1880" s="1063"/>
      <c r="AF1880" s="1063"/>
      <c r="AG1880" s="1063"/>
      <c r="AH1880" s="1063"/>
      <c r="AI1880" s="1063"/>
      <c r="AJ1880" s="1063"/>
      <c r="AK1880" s="1063"/>
      <c r="AL1880" s="1063"/>
      <c r="AM1880" s="1063"/>
      <c r="AN1880" s="1063"/>
      <c r="AO1880" s="1063"/>
      <c r="AP1880" s="1063"/>
      <c r="AQ1880" s="1063"/>
      <c r="AR1880" s="1063"/>
      <c r="AS1880" s="1063"/>
      <c r="AT1880" s="1063"/>
      <c r="AU1880" s="1063"/>
      <c r="AV1880" s="1063"/>
    </row>
    <row r="1881" spans="1:48" s="1108" customFormat="1" ht="27.75" customHeight="1">
      <c r="A1881" s="1076"/>
      <c r="B1881" s="1074">
        <f>+'[18]Bldg+Dev'!S2693</f>
        <v>0</v>
      </c>
      <c r="D1881" s="1063"/>
      <c r="F1881" s="1076"/>
      <c r="G1881" s="1063"/>
      <c r="H1881" s="1063"/>
      <c r="I1881" s="1063"/>
      <c r="J1881" s="1063"/>
      <c r="K1881" s="1063"/>
      <c r="L1881" s="1063"/>
      <c r="M1881" s="1063"/>
      <c r="N1881" s="1063"/>
      <c r="O1881" s="1063"/>
      <c r="P1881" s="1063"/>
      <c r="Q1881" s="1063"/>
      <c r="R1881" s="1063"/>
      <c r="S1881" s="1063"/>
      <c r="T1881" s="1063"/>
      <c r="U1881" s="1063"/>
      <c r="V1881" s="1063"/>
      <c r="W1881" s="1063"/>
      <c r="X1881" s="1063"/>
      <c r="Y1881" s="1063"/>
      <c r="Z1881" s="1063"/>
      <c r="AA1881" s="1063"/>
      <c r="AB1881" s="1063"/>
      <c r="AC1881" s="1063"/>
      <c r="AD1881" s="1063"/>
      <c r="AE1881" s="1063"/>
      <c r="AF1881" s="1063"/>
      <c r="AG1881" s="1063"/>
      <c r="AH1881" s="1063"/>
      <c r="AI1881" s="1063"/>
      <c r="AJ1881" s="1063"/>
      <c r="AK1881" s="1063"/>
      <c r="AL1881" s="1063"/>
      <c r="AM1881" s="1063"/>
      <c r="AN1881" s="1063"/>
      <c r="AO1881" s="1063"/>
      <c r="AP1881" s="1063"/>
      <c r="AQ1881" s="1063"/>
      <c r="AR1881" s="1063"/>
      <c r="AS1881" s="1063"/>
      <c r="AT1881" s="1063"/>
      <c r="AU1881" s="1063"/>
      <c r="AV1881" s="1063"/>
    </row>
    <row r="1882" spans="1:48" s="1108" customFormat="1" ht="27.75" customHeight="1">
      <c r="A1882" s="1076"/>
      <c r="B1882" s="1074">
        <f>+'[18]Bldg+Dev'!S2694</f>
        <v>0</v>
      </c>
      <c r="D1882" s="1063"/>
      <c r="F1882" s="1076"/>
      <c r="G1882" s="1063"/>
      <c r="H1882" s="1063"/>
      <c r="I1882" s="1063"/>
      <c r="J1882" s="1063"/>
      <c r="K1882" s="1063"/>
      <c r="L1882" s="1063"/>
      <c r="M1882" s="1063"/>
      <c r="N1882" s="1063"/>
      <c r="O1882" s="1063"/>
      <c r="P1882" s="1063"/>
      <c r="Q1882" s="1063"/>
      <c r="R1882" s="1063"/>
      <c r="S1882" s="1063"/>
      <c r="T1882" s="1063"/>
      <c r="U1882" s="1063"/>
      <c r="V1882" s="1063"/>
      <c r="W1882" s="1063"/>
      <c r="X1882" s="1063"/>
      <c r="Y1882" s="1063"/>
      <c r="Z1882" s="1063"/>
      <c r="AA1882" s="1063"/>
      <c r="AB1882" s="1063"/>
      <c r="AC1882" s="1063"/>
      <c r="AD1882" s="1063"/>
      <c r="AE1882" s="1063"/>
      <c r="AF1882" s="1063"/>
      <c r="AG1882" s="1063"/>
      <c r="AH1882" s="1063"/>
      <c r="AI1882" s="1063"/>
      <c r="AJ1882" s="1063"/>
      <c r="AK1882" s="1063"/>
      <c r="AL1882" s="1063"/>
      <c r="AM1882" s="1063"/>
      <c r="AN1882" s="1063"/>
      <c r="AO1882" s="1063"/>
      <c r="AP1882" s="1063"/>
      <c r="AQ1882" s="1063"/>
      <c r="AR1882" s="1063"/>
      <c r="AS1882" s="1063"/>
      <c r="AT1882" s="1063"/>
      <c r="AU1882" s="1063"/>
      <c r="AV1882" s="1063"/>
    </row>
    <row r="1883" spans="1:48" s="1108" customFormat="1" ht="27.75" customHeight="1">
      <c r="A1883" s="1076"/>
      <c r="B1883" s="1074">
        <f>+'[18]Bldg+Dev'!S2695</f>
        <v>0</v>
      </c>
      <c r="D1883" s="1063"/>
      <c r="F1883" s="1076"/>
      <c r="G1883" s="1063"/>
      <c r="H1883" s="1063"/>
      <c r="I1883" s="1063"/>
      <c r="J1883" s="1063"/>
      <c r="K1883" s="1063"/>
      <c r="L1883" s="1063"/>
      <c r="M1883" s="1063"/>
      <c r="N1883" s="1063"/>
      <c r="O1883" s="1063"/>
      <c r="P1883" s="1063"/>
      <c r="Q1883" s="1063"/>
      <c r="R1883" s="1063"/>
      <c r="S1883" s="1063"/>
      <c r="T1883" s="1063"/>
      <c r="U1883" s="1063"/>
      <c r="V1883" s="1063"/>
      <c r="W1883" s="1063"/>
      <c r="X1883" s="1063"/>
      <c r="Y1883" s="1063"/>
      <c r="Z1883" s="1063"/>
      <c r="AA1883" s="1063"/>
      <c r="AB1883" s="1063"/>
      <c r="AC1883" s="1063"/>
      <c r="AD1883" s="1063"/>
      <c r="AE1883" s="1063"/>
      <c r="AF1883" s="1063"/>
      <c r="AG1883" s="1063"/>
      <c r="AH1883" s="1063"/>
      <c r="AI1883" s="1063"/>
      <c r="AJ1883" s="1063"/>
      <c r="AK1883" s="1063"/>
      <c r="AL1883" s="1063"/>
      <c r="AM1883" s="1063"/>
      <c r="AN1883" s="1063"/>
      <c r="AO1883" s="1063"/>
      <c r="AP1883" s="1063"/>
      <c r="AQ1883" s="1063"/>
      <c r="AR1883" s="1063"/>
      <c r="AS1883" s="1063"/>
      <c r="AT1883" s="1063"/>
      <c r="AU1883" s="1063"/>
      <c r="AV1883" s="1063"/>
    </row>
    <row r="1884" spans="1:48" s="1108" customFormat="1" ht="27.75" customHeight="1">
      <c r="A1884" s="1076"/>
      <c r="B1884" s="1074">
        <f>+'[18]Bldg+Dev'!S2696</f>
        <v>0</v>
      </c>
      <c r="D1884" s="1063"/>
      <c r="F1884" s="1076"/>
      <c r="G1884" s="1063"/>
      <c r="H1884" s="1063"/>
      <c r="I1884" s="1063"/>
      <c r="J1884" s="1063"/>
      <c r="K1884" s="1063"/>
      <c r="L1884" s="1063"/>
      <c r="M1884" s="1063"/>
      <c r="N1884" s="1063"/>
      <c r="O1884" s="1063"/>
      <c r="P1884" s="1063"/>
      <c r="Q1884" s="1063"/>
      <c r="R1884" s="1063"/>
      <c r="S1884" s="1063"/>
      <c r="T1884" s="1063"/>
      <c r="U1884" s="1063"/>
      <c r="V1884" s="1063"/>
      <c r="W1884" s="1063"/>
      <c r="X1884" s="1063"/>
      <c r="Y1884" s="1063"/>
      <c r="Z1884" s="1063"/>
      <c r="AA1884" s="1063"/>
      <c r="AB1884" s="1063"/>
      <c r="AC1884" s="1063"/>
      <c r="AD1884" s="1063"/>
      <c r="AE1884" s="1063"/>
      <c r="AF1884" s="1063"/>
      <c r="AG1884" s="1063"/>
      <c r="AH1884" s="1063"/>
      <c r="AI1884" s="1063"/>
      <c r="AJ1884" s="1063"/>
      <c r="AK1884" s="1063"/>
      <c r="AL1884" s="1063"/>
      <c r="AM1884" s="1063"/>
      <c r="AN1884" s="1063"/>
      <c r="AO1884" s="1063"/>
      <c r="AP1884" s="1063"/>
      <c r="AQ1884" s="1063"/>
      <c r="AR1884" s="1063"/>
      <c r="AS1884" s="1063"/>
      <c r="AT1884" s="1063"/>
      <c r="AU1884" s="1063"/>
      <c r="AV1884" s="1063"/>
    </row>
    <row r="1885" spans="1:48" s="1108" customFormat="1" ht="27.75" customHeight="1">
      <c r="A1885" s="1076"/>
      <c r="B1885" s="1074">
        <f>+'[18]Bldg+Dev'!S2697</f>
        <v>0</v>
      </c>
      <c r="D1885" s="1063"/>
      <c r="F1885" s="1076"/>
      <c r="G1885" s="1063"/>
      <c r="H1885" s="1063"/>
      <c r="I1885" s="1063"/>
      <c r="J1885" s="1063"/>
      <c r="K1885" s="1063"/>
      <c r="L1885" s="1063"/>
      <c r="M1885" s="1063"/>
      <c r="N1885" s="1063"/>
      <c r="O1885" s="1063"/>
      <c r="P1885" s="1063"/>
      <c r="Q1885" s="1063"/>
      <c r="R1885" s="1063"/>
      <c r="S1885" s="1063"/>
      <c r="T1885" s="1063"/>
      <c r="U1885" s="1063"/>
      <c r="V1885" s="1063"/>
      <c r="W1885" s="1063"/>
      <c r="X1885" s="1063"/>
      <c r="Y1885" s="1063"/>
      <c r="Z1885" s="1063"/>
      <c r="AA1885" s="1063"/>
      <c r="AB1885" s="1063"/>
      <c r="AC1885" s="1063"/>
      <c r="AD1885" s="1063"/>
      <c r="AE1885" s="1063"/>
      <c r="AF1885" s="1063"/>
      <c r="AG1885" s="1063"/>
      <c r="AH1885" s="1063"/>
      <c r="AI1885" s="1063"/>
      <c r="AJ1885" s="1063"/>
      <c r="AK1885" s="1063"/>
      <c r="AL1885" s="1063"/>
      <c r="AM1885" s="1063"/>
      <c r="AN1885" s="1063"/>
      <c r="AO1885" s="1063"/>
      <c r="AP1885" s="1063"/>
      <c r="AQ1885" s="1063"/>
      <c r="AR1885" s="1063"/>
      <c r="AS1885" s="1063"/>
      <c r="AT1885" s="1063"/>
      <c r="AU1885" s="1063"/>
      <c r="AV1885" s="1063"/>
    </row>
    <row r="1886" spans="1:48" s="1108" customFormat="1" ht="27.75" customHeight="1">
      <c r="A1886" s="1076"/>
      <c r="B1886" s="1074">
        <f>+'[18]Bldg+Dev'!S2698</f>
        <v>0</v>
      </c>
      <c r="D1886" s="1063"/>
      <c r="F1886" s="1076"/>
      <c r="G1886" s="1063"/>
      <c r="H1886" s="1063"/>
      <c r="I1886" s="1063"/>
      <c r="J1886" s="1063"/>
      <c r="K1886" s="1063"/>
      <c r="L1886" s="1063"/>
      <c r="M1886" s="1063"/>
      <c r="N1886" s="1063"/>
      <c r="O1886" s="1063"/>
      <c r="P1886" s="1063"/>
      <c r="Q1886" s="1063"/>
      <c r="R1886" s="1063"/>
      <c r="S1886" s="1063"/>
      <c r="T1886" s="1063"/>
      <c r="U1886" s="1063"/>
      <c r="V1886" s="1063"/>
      <c r="W1886" s="1063"/>
      <c r="X1886" s="1063"/>
      <c r="Y1886" s="1063"/>
      <c r="Z1886" s="1063"/>
      <c r="AA1886" s="1063"/>
      <c r="AB1886" s="1063"/>
      <c r="AC1886" s="1063"/>
      <c r="AD1886" s="1063"/>
      <c r="AE1886" s="1063"/>
      <c r="AF1886" s="1063"/>
      <c r="AG1886" s="1063"/>
      <c r="AH1886" s="1063"/>
      <c r="AI1886" s="1063"/>
      <c r="AJ1886" s="1063"/>
      <c r="AK1886" s="1063"/>
      <c r="AL1886" s="1063"/>
      <c r="AM1886" s="1063"/>
      <c r="AN1886" s="1063"/>
      <c r="AO1886" s="1063"/>
      <c r="AP1886" s="1063"/>
      <c r="AQ1886" s="1063"/>
      <c r="AR1886" s="1063"/>
      <c r="AS1886" s="1063"/>
      <c r="AT1886" s="1063"/>
      <c r="AU1886" s="1063"/>
      <c r="AV1886" s="1063"/>
    </row>
    <row r="1887" spans="1:48" s="1108" customFormat="1" ht="27.75" customHeight="1">
      <c r="A1887" s="1076"/>
      <c r="B1887" s="1074">
        <f>+'[18]Bldg+Dev'!S2699</f>
        <v>0</v>
      </c>
      <c r="D1887" s="1063"/>
      <c r="F1887" s="1076"/>
      <c r="G1887" s="1063"/>
      <c r="H1887" s="1063"/>
      <c r="I1887" s="1063"/>
      <c r="J1887" s="1063"/>
      <c r="K1887" s="1063"/>
      <c r="L1887" s="1063"/>
      <c r="M1887" s="1063"/>
      <c r="N1887" s="1063"/>
      <c r="O1887" s="1063"/>
      <c r="P1887" s="1063"/>
      <c r="Q1887" s="1063"/>
      <c r="R1887" s="1063"/>
      <c r="S1887" s="1063"/>
      <c r="T1887" s="1063"/>
      <c r="U1887" s="1063"/>
      <c r="V1887" s="1063"/>
      <c r="W1887" s="1063"/>
      <c r="X1887" s="1063"/>
      <c r="Y1887" s="1063"/>
      <c r="Z1887" s="1063"/>
      <c r="AA1887" s="1063"/>
      <c r="AB1887" s="1063"/>
      <c r="AC1887" s="1063"/>
      <c r="AD1887" s="1063"/>
      <c r="AE1887" s="1063"/>
      <c r="AF1887" s="1063"/>
      <c r="AG1887" s="1063"/>
      <c r="AH1887" s="1063"/>
      <c r="AI1887" s="1063"/>
      <c r="AJ1887" s="1063"/>
      <c r="AK1887" s="1063"/>
      <c r="AL1887" s="1063"/>
      <c r="AM1887" s="1063"/>
      <c r="AN1887" s="1063"/>
      <c r="AO1887" s="1063"/>
      <c r="AP1887" s="1063"/>
      <c r="AQ1887" s="1063"/>
      <c r="AR1887" s="1063"/>
      <c r="AS1887" s="1063"/>
      <c r="AT1887" s="1063"/>
      <c r="AU1887" s="1063"/>
      <c r="AV1887" s="1063"/>
    </row>
    <row r="1888" spans="1:48" s="1108" customFormat="1" ht="27.75" customHeight="1">
      <c r="A1888" s="1076"/>
      <c r="B1888" s="1074">
        <f>+'[18]Bldg+Dev'!S2700</f>
        <v>0</v>
      </c>
      <c r="D1888" s="1063"/>
      <c r="F1888" s="1076"/>
      <c r="G1888" s="1063"/>
      <c r="H1888" s="1063"/>
      <c r="I1888" s="1063"/>
      <c r="J1888" s="1063"/>
      <c r="K1888" s="1063"/>
      <c r="L1888" s="1063"/>
      <c r="M1888" s="1063"/>
      <c r="N1888" s="1063"/>
      <c r="O1888" s="1063"/>
      <c r="P1888" s="1063"/>
      <c r="Q1888" s="1063"/>
      <c r="R1888" s="1063"/>
      <c r="S1888" s="1063"/>
      <c r="T1888" s="1063"/>
      <c r="U1888" s="1063"/>
      <c r="V1888" s="1063"/>
      <c r="W1888" s="1063"/>
      <c r="X1888" s="1063"/>
      <c r="Y1888" s="1063"/>
      <c r="Z1888" s="1063"/>
      <c r="AA1888" s="1063"/>
      <c r="AB1888" s="1063"/>
      <c r="AC1888" s="1063"/>
      <c r="AD1888" s="1063"/>
      <c r="AE1888" s="1063"/>
      <c r="AF1888" s="1063"/>
      <c r="AG1888" s="1063"/>
      <c r="AH1888" s="1063"/>
      <c r="AI1888" s="1063"/>
      <c r="AJ1888" s="1063"/>
      <c r="AK1888" s="1063"/>
      <c r="AL1888" s="1063"/>
      <c r="AM1888" s="1063"/>
      <c r="AN1888" s="1063"/>
      <c r="AO1888" s="1063"/>
      <c r="AP1888" s="1063"/>
      <c r="AQ1888" s="1063"/>
      <c r="AR1888" s="1063"/>
      <c r="AS1888" s="1063"/>
      <c r="AT1888" s="1063"/>
      <c r="AU1888" s="1063"/>
      <c r="AV1888" s="1063"/>
    </row>
    <row r="1889" spans="1:48" s="1108" customFormat="1" ht="27.75" customHeight="1">
      <c r="A1889" s="1076"/>
      <c r="B1889" s="1074">
        <f>+'[18]Bldg+Dev'!S2701</f>
        <v>0</v>
      </c>
      <c r="D1889" s="1063"/>
      <c r="F1889" s="1076"/>
      <c r="G1889" s="1063"/>
      <c r="H1889" s="1063"/>
      <c r="I1889" s="1063"/>
      <c r="J1889" s="1063"/>
      <c r="K1889" s="1063"/>
      <c r="L1889" s="1063"/>
      <c r="M1889" s="1063"/>
      <c r="N1889" s="1063"/>
      <c r="O1889" s="1063"/>
      <c r="P1889" s="1063"/>
      <c r="Q1889" s="1063"/>
      <c r="R1889" s="1063"/>
      <c r="S1889" s="1063"/>
      <c r="T1889" s="1063"/>
      <c r="U1889" s="1063"/>
      <c r="V1889" s="1063"/>
      <c r="W1889" s="1063"/>
      <c r="X1889" s="1063"/>
      <c r="Y1889" s="1063"/>
      <c r="Z1889" s="1063"/>
      <c r="AA1889" s="1063"/>
      <c r="AB1889" s="1063"/>
      <c r="AC1889" s="1063"/>
      <c r="AD1889" s="1063"/>
      <c r="AE1889" s="1063"/>
      <c r="AF1889" s="1063"/>
      <c r="AG1889" s="1063"/>
      <c r="AH1889" s="1063"/>
      <c r="AI1889" s="1063"/>
      <c r="AJ1889" s="1063"/>
      <c r="AK1889" s="1063"/>
      <c r="AL1889" s="1063"/>
      <c r="AM1889" s="1063"/>
      <c r="AN1889" s="1063"/>
      <c r="AO1889" s="1063"/>
      <c r="AP1889" s="1063"/>
      <c r="AQ1889" s="1063"/>
      <c r="AR1889" s="1063"/>
      <c r="AS1889" s="1063"/>
      <c r="AT1889" s="1063"/>
      <c r="AU1889" s="1063"/>
      <c r="AV1889" s="1063"/>
    </row>
    <row r="1890" spans="1:48" s="1108" customFormat="1" ht="27.75" customHeight="1">
      <c r="A1890" s="1076"/>
      <c r="B1890" s="1074">
        <f>+'[18]Bldg+Dev'!S2702</f>
        <v>0</v>
      </c>
      <c r="D1890" s="1063"/>
      <c r="F1890" s="1076"/>
      <c r="G1890" s="1063"/>
      <c r="H1890" s="1063"/>
      <c r="I1890" s="1063"/>
      <c r="J1890" s="1063"/>
      <c r="K1890" s="1063"/>
      <c r="L1890" s="1063"/>
      <c r="M1890" s="1063"/>
      <c r="N1890" s="1063"/>
      <c r="O1890" s="1063"/>
      <c r="P1890" s="1063"/>
      <c r="Q1890" s="1063"/>
      <c r="R1890" s="1063"/>
      <c r="S1890" s="1063"/>
      <c r="T1890" s="1063"/>
      <c r="U1890" s="1063"/>
      <c r="V1890" s="1063"/>
      <c r="W1890" s="1063"/>
      <c r="X1890" s="1063"/>
      <c r="Y1890" s="1063"/>
      <c r="Z1890" s="1063"/>
      <c r="AA1890" s="1063"/>
      <c r="AB1890" s="1063"/>
      <c r="AC1890" s="1063"/>
      <c r="AD1890" s="1063"/>
      <c r="AE1890" s="1063"/>
      <c r="AF1890" s="1063"/>
      <c r="AG1890" s="1063"/>
      <c r="AH1890" s="1063"/>
      <c r="AI1890" s="1063"/>
      <c r="AJ1890" s="1063"/>
      <c r="AK1890" s="1063"/>
      <c r="AL1890" s="1063"/>
      <c r="AM1890" s="1063"/>
      <c r="AN1890" s="1063"/>
      <c r="AO1890" s="1063"/>
      <c r="AP1890" s="1063"/>
      <c r="AQ1890" s="1063"/>
      <c r="AR1890" s="1063"/>
      <c r="AS1890" s="1063"/>
      <c r="AT1890" s="1063"/>
      <c r="AU1890" s="1063"/>
      <c r="AV1890" s="1063"/>
    </row>
    <row r="1891" spans="1:48" s="1108" customFormat="1" ht="27.75" customHeight="1">
      <c r="A1891" s="1076"/>
      <c r="B1891" s="1074">
        <f>+'[18]Bldg+Dev'!S2703</f>
        <v>0</v>
      </c>
      <c r="D1891" s="1063"/>
      <c r="F1891" s="1076"/>
      <c r="G1891" s="1063"/>
      <c r="H1891" s="1063"/>
      <c r="I1891" s="1063"/>
      <c r="J1891" s="1063"/>
      <c r="K1891" s="1063"/>
      <c r="L1891" s="1063"/>
      <c r="M1891" s="1063"/>
      <c r="N1891" s="1063"/>
      <c r="O1891" s="1063"/>
      <c r="P1891" s="1063"/>
      <c r="Q1891" s="1063"/>
      <c r="R1891" s="1063"/>
      <c r="S1891" s="1063"/>
      <c r="T1891" s="1063"/>
      <c r="U1891" s="1063"/>
      <c r="V1891" s="1063"/>
      <c r="W1891" s="1063"/>
      <c r="X1891" s="1063"/>
      <c r="Y1891" s="1063"/>
      <c r="Z1891" s="1063"/>
      <c r="AA1891" s="1063"/>
      <c r="AB1891" s="1063"/>
      <c r="AC1891" s="1063"/>
      <c r="AD1891" s="1063"/>
      <c r="AE1891" s="1063"/>
      <c r="AF1891" s="1063"/>
      <c r="AG1891" s="1063"/>
      <c r="AH1891" s="1063"/>
      <c r="AI1891" s="1063"/>
      <c r="AJ1891" s="1063"/>
      <c r="AK1891" s="1063"/>
      <c r="AL1891" s="1063"/>
      <c r="AM1891" s="1063"/>
      <c r="AN1891" s="1063"/>
      <c r="AO1891" s="1063"/>
      <c r="AP1891" s="1063"/>
      <c r="AQ1891" s="1063"/>
      <c r="AR1891" s="1063"/>
      <c r="AS1891" s="1063"/>
      <c r="AT1891" s="1063"/>
      <c r="AU1891" s="1063"/>
      <c r="AV1891" s="1063"/>
    </row>
    <row r="1892" spans="1:48" s="1108" customFormat="1" ht="27.75" customHeight="1">
      <c r="A1892" s="1076"/>
      <c r="B1892" s="1074">
        <f>+'[18]Bldg+Dev'!S2704</f>
        <v>0</v>
      </c>
      <c r="D1892" s="1063"/>
      <c r="F1892" s="1076"/>
      <c r="G1892" s="1063"/>
      <c r="H1892" s="1063"/>
      <c r="I1892" s="1063"/>
      <c r="J1892" s="1063"/>
      <c r="K1892" s="1063"/>
      <c r="L1892" s="1063"/>
      <c r="M1892" s="1063"/>
      <c r="N1892" s="1063"/>
      <c r="O1892" s="1063"/>
      <c r="P1892" s="1063"/>
      <c r="Q1892" s="1063"/>
      <c r="R1892" s="1063"/>
      <c r="S1892" s="1063"/>
      <c r="T1892" s="1063"/>
      <c r="U1892" s="1063"/>
      <c r="V1892" s="1063"/>
      <c r="W1892" s="1063"/>
      <c r="X1892" s="1063"/>
      <c r="Y1892" s="1063"/>
      <c r="Z1892" s="1063"/>
      <c r="AA1892" s="1063"/>
      <c r="AB1892" s="1063"/>
      <c r="AC1892" s="1063"/>
      <c r="AD1892" s="1063"/>
      <c r="AE1892" s="1063"/>
      <c r="AF1892" s="1063"/>
      <c r="AG1892" s="1063"/>
      <c r="AH1892" s="1063"/>
      <c r="AI1892" s="1063"/>
      <c r="AJ1892" s="1063"/>
      <c r="AK1892" s="1063"/>
      <c r="AL1892" s="1063"/>
      <c r="AM1892" s="1063"/>
      <c r="AN1892" s="1063"/>
      <c r="AO1892" s="1063"/>
      <c r="AP1892" s="1063"/>
      <c r="AQ1892" s="1063"/>
      <c r="AR1892" s="1063"/>
      <c r="AS1892" s="1063"/>
      <c r="AT1892" s="1063"/>
      <c r="AU1892" s="1063"/>
      <c r="AV1892" s="1063"/>
    </row>
    <row r="1893" spans="1:48" s="1108" customFormat="1" ht="27.75" customHeight="1">
      <c r="A1893" s="1076"/>
      <c r="B1893" s="1074">
        <f>+'[18]Bldg+Dev'!S2705</f>
        <v>0</v>
      </c>
      <c r="D1893" s="1063"/>
      <c r="F1893" s="1076"/>
      <c r="G1893" s="1063"/>
      <c r="H1893" s="1063"/>
      <c r="I1893" s="1063"/>
      <c r="J1893" s="1063"/>
      <c r="K1893" s="1063"/>
      <c r="L1893" s="1063"/>
      <c r="M1893" s="1063"/>
      <c r="N1893" s="1063"/>
      <c r="O1893" s="1063"/>
      <c r="P1893" s="1063"/>
      <c r="Q1893" s="1063"/>
      <c r="R1893" s="1063"/>
      <c r="S1893" s="1063"/>
      <c r="T1893" s="1063"/>
      <c r="U1893" s="1063"/>
      <c r="V1893" s="1063"/>
      <c r="W1893" s="1063"/>
      <c r="X1893" s="1063"/>
      <c r="Y1893" s="1063"/>
      <c r="Z1893" s="1063"/>
      <c r="AA1893" s="1063"/>
      <c r="AB1893" s="1063"/>
      <c r="AC1893" s="1063"/>
      <c r="AD1893" s="1063"/>
      <c r="AE1893" s="1063"/>
      <c r="AF1893" s="1063"/>
      <c r="AG1893" s="1063"/>
      <c r="AH1893" s="1063"/>
      <c r="AI1893" s="1063"/>
      <c r="AJ1893" s="1063"/>
      <c r="AK1893" s="1063"/>
      <c r="AL1893" s="1063"/>
      <c r="AM1893" s="1063"/>
      <c r="AN1893" s="1063"/>
      <c r="AO1893" s="1063"/>
      <c r="AP1893" s="1063"/>
      <c r="AQ1893" s="1063"/>
      <c r="AR1893" s="1063"/>
      <c r="AS1893" s="1063"/>
      <c r="AT1893" s="1063"/>
      <c r="AU1893" s="1063"/>
      <c r="AV1893" s="1063"/>
    </row>
    <row r="1894" spans="1:48" s="1108" customFormat="1" ht="27.75" customHeight="1">
      <c r="A1894" s="1076"/>
      <c r="B1894" s="1074">
        <f>+'[18]Bldg+Dev'!S2706</f>
        <v>0</v>
      </c>
      <c r="D1894" s="1063"/>
      <c r="F1894" s="1076"/>
      <c r="G1894" s="1063"/>
      <c r="H1894" s="1063"/>
      <c r="I1894" s="1063"/>
      <c r="J1894" s="1063"/>
      <c r="K1894" s="1063"/>
      <c r="L1894" s="1063"/>
      <c r="M1894" s="1063"/>
      <c r="N1894" s="1063"/>
      <c r="O1894" s="1063"/>
      <c r="P1894" s="1063"/>
      <c r="Q1894" s="1063"/>
      <c r="R1894" s="1063"/>
      <c r="S1894" s="1063"/>
      <c r="T1894" s="1063"/>
      <c r="U1894" s="1063"/>
      <c r="V1894" s="1063"/>
      <c r="W1894" s="1063"/>
      <c r="X1894" s="1063"/>
      <c r="Y1894" s="1063"/>
      <c r="Z1894" s="1063"/>
      <c r="AA1894" s="1063"/>
      <c r="AB1894" s="1063"/>
      <c r="AC1894" s="1063"/>
      <c r="AD1894" s="1063"/>
      <c r="AE1894" s="1063"/>
      <c r="AF1894" s="1063"/>
      <c r="AG1894" s="1063"/>
      <c r="AH1894" s="1063"/>
      <c r="AI1894" s="1063"/>
      <c r="AJ1894" s="1063"/>
      <c r="AK1894" s="1063"/>
      <c r="AL1894" s="1063"/>
      <c r="AM1894" s="1063"/>
      <c r="AN1894" s="1063"/>
      <c r="AO1894" s="1063"/>
      <c r="AP1894" s="1063"/>
      <c r="AQ1894" s="1063"/>
      <c r="AR1894" s="1063"/>
      <c r="AS1894" s="1063"/>
      <c r="AT1894" s="1063"/>
      <c r="AU1894" s="1063"/>
      <c r="AV1894" s="1063"/>
    </row>
    <row r="1895" spans="1:48" s="1108" customFormat="1" ht="27.75" customHeight="1">
      <c r="A1895" s="1076"/>
      <c r="B1895" s="1074">
        <f>+'[18]Bldg+Dev'!S2707</f>
        <v>0</v>
      </c>
      <c r="D1895" s="1063"/>
      <c r="F1895" s="1076"/>
      <c r="G1895" s="1063"/>
      <c r="H1895" s="1063"/>
      <c r="I1895" s="1063"/>
      <c r="J1895" s="1063"/>
      <c r="K1895" s="1063"/>
      <c r="L1895" s="1063"/>
      <c r="M1895" s="1063"/>
      <c r="N1895" s="1063"/>
      <c r="O1895" s="1063"/>
      <c r="P1895" s="1063"/>
      <c r="Q1895" s="1063"/>
      <c r="R1895" s="1063"/>
      <c r="S1895" s="1063"/>
      <c r="T1895" s="1063"/>
      <c r="U1895" s="1063"/>
      <c r="V1895" s="1063"/>
      <c r="W1895" s="1063"/>
      <c r="X1895" s="1063"/>
      <c r="Y1895" s="1063"/>
      <c r="Z1895" s="1063"/>
      <c r="AA1895" s="1063"/>
      <c r="AB1895" s="1063"/>
      <c r="AC1895" s="1063"/>
      <c r="AD1895" s="1063"/>
      <c r="AE1895" s="1063"/>
      <c r="AF1895" s="1063"/>
      <c r="AG1895" s="1063"/>
      <c r="AH1895" s="1063"/>
      <c r="AI1895" s="1063"/>
      <c r="AJ1895" s="1063"/>
      <c r="AK1895" s="1063"/>
      <c r="AL1895" s="1063"/>
      <c r="AM1895" s="1063"/>
      <c r="AN1895" s="1063"/>
      <c r="AO1895" s="1063"/>
      <c r="AP1895" s="1063"/>
      <c r="AQ1895" s="1063"/>
      <c r="AR1895" s="1063"/>
      <c r="AS1895" s="1063"/>
      <c r="AT1895" s="1063"/>
      <c r="AU1895" s="1063"/>
      <c r="AV1895" s="1063"/>
    </row>
    <row r="1896" spans="1:48" s="1108" customFormat="1" ht="27.75" customHeight="1">
      <c r="A1896" s="1076"/>
      <c r="B1896" s="1074">
        <f>+'[18]Bldg+Dev'!S2708</f>
        <v>0</v>
      </c>
      <c r="D1896" s="1063"/>
      <c r="F1896" s="1076"/>
      <c r="G1896" s="1063"/>
      <c r="H1896" s="1063"/>
      <c r="I1896" s="1063"/>
      <c r="J1896" s="1063"/>
      <c r="K1896" s="1063"/>
      <c r="L1896" s="1063"/>
      <c r="M1896" s="1063"/>
      <c r="N1896" s="1063"/>
      <c r="O1896" s="1063"/>
      <c r="P1896" s="1063"/>
      <c r="Q1896" s="1063"/>
      <c r="R1896" s="1063"/>
      <c r="S1896" s="1063"/>
      <c r="T1896" s="1063"/>
      <c r="U1896" s="1063"/>
      <c r="V1896" s="1063"/>
      <c r="W1896" s="1063"/>
      <c r="X1896" s="1063"/>
      <c r="Y1896" s="1063"/>
      <c r="Z1896" s="1063"/>
      <c r="AA1896" s="1063"/>
      <c r="AB1896" s="1063"/>
      <c r="AC1896" s="1063"/>
      <c r="AD1896" s="1063"/>
      <c r="AE1896" s="1063"/>
      <c r="AF1896" s="1063"/>
      <c r="AG1896" s="1063"/>
      <c r="AH1896" s="1063"/>
      <c r="AI1896" s="1063"/>
      <c r="AJ1896" s="1063"/>
      <c r="AK1896" s="1063"/>
      <c r="AL1896" s="1063"/>
      <c r="AM1896" s="1063"/>
      <c r="AN1896" s="1063"/>
      <c r="AO1896" s="1063"/>
      <c r="AP1896" s="1063"/>
      <c r="AQ1896" s="1063"/>
      <c r="AR1896" s="1063"/>
      <c r="AS1896" s="1063"/>
      <c r="AT1896" s="1063"/>
      <c r="AU1896" s="1063"/>
      <c r="AV1896" s="1063"/>
    </row>
    <row r="1897" spans="1:48" s="1108" customFormat="1" ht="27.75" customHeight="1">
      <c r="A1897" s="1076"/>
      <c r="B1897" s="1074">
        <f>+'[18]Bldg+Dev'!S2709</f>
        <v>0</v>
      </c>
      <c r="D1897" s="1063"/>
      <c r="F1897" s="1076"/>
      <c r="G1897" s="1063"/>
      <c r="H1897" s="1063"/>
      <c r="I1897" s="1063"/>
      <c r="J1897" s="1063"/>
      <c r="K1897" s="1063"/>
      <c r="L1897" s="1063"/>
      <c r="M1897" s="1063"/>
      <c r="N1897" s="1063"/>
      <c r="O1897" s="1063"/>
      <c r="P1897" s="1063"/>
      <c r="Q1897" s="1063"/>
      <c r="R1897" s="1063"/>
      <c r="S1897" s="1063"/>
      <c r="T1897" s="1063"/>
      <c r="U1897" s="1063"/>
      <c r="V1897" s="1063"/>
      <c r="W1897" s="1063"/>
      <c r="X1897" s="1063"/>
      <c r="Y1897" s="1063"/>
      <c r="Z1897" s="1063"/>
      <c r="AA1897" s="1063"/>
      <c r="AB1897" s="1063"/>
      <c r="AC1897" s="1063"/>
      <c r="AD1897" s="1063"/>
      <c r="AE1897" s="1063"/>
      <c r="AF1897" s="1063"/>
      <c r="AG1897" s="1063"/>
      <c r="AH1897" s="1063"/>
      <c r="AI1897" s="1063"/>
      <c r="AJ1897" s="1063"/>
      <c r="AK1897" s="1063"/>
      <c r="AL1897" s="1063"/>
      <c r="AM1897" s="1063"/>
      <c r="AN1897" s="1063"/>
      <c r="AO1897" s="1063"/>
      <c r="AP1897" s="1063"/>
      <c r="AQ1897" s="1063"/>
      <c r="AR1897" s="1063"/>
      <c r="AS1897" s="1063"/>
      <c r="AT1897" s="1063"/>
      <c r="AU1897" s="1063"/>
      <c r="AV1897" s="1063"/>
    </row>
    <row r="1898" spans="1:48" s="1108" customFormat="1" ht="27.75" customHeight="1">
      <c r="A1898" s="1076"/>
      <c r="B1898" s="1074">
        <f>+'[18]Bldg+Dev'!S2710</f>
        <v>0</v>
      </c>
      <c r="D1898" s="1063"/>
      <c r="F1898" s="1076"/>
      <c r="G1898" s="1063"/>
      <c r="H1898" s="1063"/>
      <c r="I1898" s="1063"/>
      <c r="J1898" s="1063"/>
      <c r="K1898" s="1063"/>
      <c r="L1898" s="1063"/>
      <c r="M1898" s="1063"/>
      <c r="N1898" s="1063"/>
      <c r="O1898" s="1063"/>
      <c r="P1898" s="1063"/>
      <c r="Q1898" s="1063"/>
      <c r="R1898" s="1063"/>
      <c r="S1898" s="1063"/>
      <c r="T1898" s="1063"/>
      <c r="U1898" s="1063"/>
      <c r="V1898" s="1063"/>
      <c r="W1898" s="1063"/>
      <c r="X1898" s="1063"/>
      <c r="Y1898" s="1063"/>
      <c r="Z1898" s="1063"/>
      <c r="AA1898" s="1063"/>
      <c r="AB1898" s="1063"/>
      <c r="AC1898" s="1063"/>
      <c r="AD1898" s="1063"/>
      <c r="AE1898" s="1063"/>
      <c r="AF1898" s="1063"/>
      <c r="AG1898" s="1063"/>
      <c r="AH1898" s="1063"/>
      <c r="AI1898" s="1063"/>
      <c r="AJ1898" s="1063"/>
      <c r="AK1898" s="1063"/>
      <c r="AL1898" s="1063"/>
      <c r="AM1898" s="1063"/>
      <c r="AN1898" s="1063"/>
      <c r="AO1898" s="1063"/>
      <c r="AP1898" s="1063"/>
      <c r="AQ1898" s="1063"/>
      <c r="AR1898" s="1063"/>
      <c r="AS1898" s="1063"/>
      <c r="AT1898" s="1063"/>
      <c r="AU1898" s="1063"/>
      <c r="AV1898" s="1063"/>
    </row>
    <row r="1899" spans="1:48" s="1108" customFormat="1" ht="27.75" customHeight="1">
      <c r="A1899" s="1076"/>
      <c r="B1899" s="1074">
        <f>+'[18]Bldg+Dev'!S2711</f>
        <v>0</v>
      </c>
      <c r="D1899" s="1063"/>
      <c r="F1899" s="1076"/>
      <c r="G1899" s="1063"/>
      <c r="H1899" s="1063"/>
      <c r="I1899" s="1063"/>
      <c r="J1899" s="1063"/>
      <c r="K1899" s="1063"/>
      <c r="L1899" s="1063"/>
      <c r="M1899" s="1063"/>
      <c r="N1899" s="1063"/>
      <c r="O1899" s="1063"/>
      <c r="P1899" s="1063"/>
      <c r="Q1899" s="1063"/>
      <c r="R1899" s="1063"/>
      <c r="S1899" s="1063"/>
      <c r="T1899" s="1063"/>
      <c r="U1899" s="1063"/>
      <c r="V1899" s="1063"/>
      <c r="W1899" s="1063"/>
      <c r="X1899" s="1063"/>
      <c r="Y1899" s="1063"/>
      <c r="Z1899" s="1063"/>
      <c r="AA1899" s="1063"/>
      <c r="AB1899" s="1063"/>
      <c r="AC1899" s="1063"/>
      <c r="AD1899" s="1063"/>
      <c r="AE1899" s="1063"/>
      <c r="AF1899" s="1063"/>
      <c r="AG1899" s="1063"/>
      <c r="AH1899" s="1063"/>
      <c r="AI1899" s="1063"/>
      <c r="AJ1899" s="1063"/>
      <c r="AK1899" s="1063"/>
      <c r="AL1899" s="1063"/>
      <c r="AM1899" s="1063"/>
      <c r="AN1899" s="1063"/>
      <c r="AO1899" s="1063"/>
      <c r="AP1899" s="1063"/>
      <c r="AQ1899" s="1063"/>
      <c r="AR1899" s="1063"/>
      <c r="AS1899" s="1063"/>
      <c r="AT1899" s="1063"/>
      <c r="AU1899" s="1063"/>
      <c r="AV1899" s="1063"/>
    </row>
    <row r="1900" spans="1:48" s="1108" customFormat="1" ht="27.75" customHeight="1">
      <c r="A1900" s="1076"/>
      <c r="B1900" s="1074">
        <f>+'[18]Bldg+Dev'!S2712</f>
        <v>0</v>
      </c>
      <c r="D1900" s="1063"/>
      <c r="F1900" s="1076"/>
      <c r="G1900" s="1063"/>
      <c r="H1900" s="1063"/>
      <c r="I1900" s="1063"/>
      <c r="J1900" s="1063"/>
      <c r="K1900" s="1063"/>
      <c r="L1900" s="1063"/>
      <c r="M1900" s="1063"/>
      <c r="N1900" s="1063"/>
      <c r="O1900" s="1063"/>
      <c r="P1900" s="1063"/>
      <c r="Q1900" s="1063"/>
      <c r="R1900" s="1063"/>
      <c r="S1900" s="1063"/>
      <c r="T1900" s="1063"/>
      <c r="U1900" s="1063"/>
      <c r="V1900" s="1063"/>
      <c r="W1900" s="1063"/>
      <c r="X1900" s="1063"/>
      <c r="Y1900" s="1063"/>
      <c r="Z1900" s="1063"/>
      <c r="AA1900" s="1063"/>
      <c r="AB1900" s="1063"/>
      <c r="AC1900" s="1063"/>
      <c r="AD1900" s="1063"/>
      <c r="AE1900" s="1063"/>
      <c r="AF1900" s="1063"/>
      <c r="AG1900" s="1063"/>
      <c r="AH1900" s="1063"/>
      <c r="AI1900" s="1063"/>
      <c r="AJ1900" s="1063"/>
      <c r="AK1900" s="1063"/>
      <c r="AL1900" s="1063"/>
      <c r="AM1900" s="1063"/>
      <c r="AN1900" s="1063"/>
      <c r="AO1900" s="1063"/>
      <c r="AP1900" s="1063"/>
      <c r="AQ1900" s="1063"/>
      <c r="AR1900" s="1063"/>
      <c r="AS1900" s="1063"/>
      <c r="AT1900" s="1063"/>
      <c r="AU1900" s="1063"/>
      <c r="AV1900" s="1063"/>
    </row>
    <row r="1901" spans="1:48" s="1108" customFormat="1" ht="27.75" customHeight="1">
      <c r="A1901" s="1076"/>
      <c r="B1901" s="1074">
        <f>+'[18]Bldg+Dev'!S2713</f>
        <v>0</v>
      </c>
      <c r="D1901" s="1063"/>
      <c r="F1901" s="1076"/>
      <c r="G1901" s="1063"/>
      <c r="H1901" s="1063"/>
      <c r="I1901" s="1063"/>
      <c r="J1901" s="1063"/>
      <c r="K1901" s="1063"/>
      <c r="L1901" s="1063"/>
      <c r="M1901" s="1063"/>
      <c r="N1901" s="1063"/>
      <c r="O1901" s="1063"/>
      <c r="P1901" s="1063"/>
      <c r="Q1901" s="1063"/>
      <c r="R1901" s="1063"/>
      <c r="S1901" s="1063"/>
      <c r="T1901" s="1063"/>
      <c r="U1901" s="1063"/>
      <c r="V1901" s="1063"/>
      <c r="W1901" s="1063"/>
      <c r="X1901" s="1063"/>
      <c r="Y1901" s="1063"/>
      <c r="Z1901" s="1063"/>
      <c r="AA1901" s="1063"/>
      <c r="AB1901" s="1063"/>
      <c r="AC1901" s="1063"/>
      <c r="AD1901" s="1063"/>
      <c r="AE1901" s="1063"/>
      <c r="AF1901" s="1063"/>
      <c r="AG1901" s="1063"/>
      <c r="AH1901" s="1063"/>
      <c r="AI1901" s="1063"/>
      <c r="AJ1901" s="1063"/>
      <c r="AK1901" s="1063"/>
      <c r="AL1901" s="1063"/>
      <c r="AM1901" s="1063"/>
      <c r="AN1901" s="1063"/>
      <c r="AO1901" s="1063"/>
      <c r="AP1901" s="1063"/>
      <c r="AQ1901" s="1063"/>
      <c r="AR1901" s="1063"/>
      <c r="AS1901" s="1063"/>
      <c r="AT1901" s="1063"/>
      <c r="AU1901" s="1063"/>
      <c r="AV1901" s="1063"/>
    </row>
    <row r="1902" spans="1:48" s="1108" customFormat="1" ht="27.75" customHeight="1">
      <c r="A1902" s="1076"/>
      <c r="B1902" s="1074">
        <f>+'[18]Bldg+Dev'!S2714</f>
        <v>0</v>
      </c>
      <c r="D1902" s="1063"/>
      <c r="F1902" s="1076"/>
      <c r="G1902" s="1063"/>
      <c r="H1902" s="1063"/>
      <c r="I1902" s="1063"/>
      <c r="J1902" s="1063"/>
      <c r="K1902" s="1063"/>
      <c r="L1902" s="1063"/>
      <c r="M1902" s="1063"/>
      <c r="N1902" s="1063"/>
      <c r="O1902" s="1063"/>
      <c r="P1902" s="1063"/>
      <c r="Q1902" s="1063"/>
      <c r="R1902" s="1063"/>
      <c r="S1902" s="1063"/>
      <c r="T1902" s="1063"/>
      <c r="U1902" s="1063"/>
      <c r="V1902" s="1063"/>
      <c r="W1902" s="1063"/>
      <c r="X1902" s="1063"/>
      <c r="Y1902" s="1063"/>
      <c r="Z1902" s="1063"/>
      <c r="AA1902" s="1063"/>
      <c r="AB1902" s="1063"/>
      <c r="AC1902" s="1063"/>
      <c r="AD1902" s="1063"/>
      <c r="AE1902" s="1063"/>
      <c r="AF1902" s="1063"/>
      <c r="AG1902" s="1063"/>
      <c r="AH1902" s="1063"/>
      <c r="AI1902" s="1063"/>
      <c r="AJ1902" s="1063"/>
      <c r="AK1902" s="1063"/>
      <c r="AL1902" s="1063"/>
      <c r="AM1902" s="1063"/>
      <c r="AN1902" s="1063"/>
      <c r="AO1902" s="1063"/>
      <c r="AP1902" s="1063"/>
      <c r="AQ1902" s="1063"/>
      <c r="AR1902" s="1063"/>
      <c r="AS1902" s="1063"/>
      <c r="AT1902" s="1063"/>
      <c r="AU1902" s="1063"/>
      <c r="AV1902" s="1063"/>
    </row>
    <row r="1903" spans="1:48" s="1108" customFormat="1" ht="27.75" customHeight="1">
      <c r="A1903" s="1076"/>
      <c r="B1903" s="1074">
        <f>+'[18]Bldg+Dev'!S2715</f>
        <v>0</v>
      </c>
      <c r="D1903" s="1063"/>
      <c r="F1903" s="1076"/>
      <c r="G1903" s="1063"/>
      <c r="H1903" s="1063"/>
      <c r="I1903" s="1063"/>
      <c r="J1903" s="1063"/>
      <c r="K1903" s="1063"/>
      <c r="L1903" s="1063"/>
      <c r="M1903" s="1063"/>
      <c r="N1903" s="1063"/>
      <c r="O1903" s="1063"/>
      <c r="P1903" s="1063"/>
      <c r="Q1903" s="1063"/>
      <c r="R1903" s="1063"/>
      <c r="S1903" s="1063"/>
      <c r="T1903" s="1063"/>
      <c r="U1903" s="1063"/>
      <c r="V1903" s="1063"/>
      <c r="W1903" s="1063"/>
      <c r="X1903" s="1063"/>
      <c r="Y1903" s="1063"/>
      <c r="Z1903" s="1063"/>
      <c r="AA1903" s="1063"/>
      <c r="AB1903" s="1063"/>
      <c r="AC1903" s="1063"/>
      <c r="AD1903" s="1063"/>
      <c r="AE1903" s="1063"/>
      <c r="AF1903" s="1063"/>
      <c r="AG1903" s="1063"/>
      <c r="AH1903" s="1063"/>
      <c r="AI1903" s="1063"/>
      <c r="AJ1903" s="1063"/>
      <c r="AK1903" s="1063"/>
      <c r="AL1903" s="1063"/>
      <c r="AM1903" s="1063"/>
      <c r="AN1903" s="1063"/>
      <c r="AO1903" s="1063"/>
      <c r="AP1903" s="1063"/>
      <c r="AQ1903" s="1063"/>
      <c r="AR1903" s="1063"/>
      <c r="AS1903" s="1063"/>
      <c r="AT1903" s="1063"/>
      <c r="AU1903" s="1063"/>
      <c r="AV1903" s="1063"/>
    </row>
    <row r="1904" spans="1:48" s="1108" customFormat="1" ht="27.75" customHeight="1">
      <c r="A1904" s="1076"/>
      <c r="B1904" s="1074">
        <f>+'[18]Bldg+Dev'!S2716</f>
        <v>0</v>
      </c>
      <c r="D1904" s="1063"/>
      <c r="F1904" s="1076"/>
      <c r="G1904" s="1063"/>
      <c r="H1904" s="1063"/>
      <c r="I1904" s="1063"/>
      <c r="J1904" s="1063"/>
      <c r="K1904" s="1063"/>
      <c r="L1904" s="1063"/>
      <c r="M1904" s="1063"/>
      <c r="N1904" s="1063"/>
      <c r="O1904" s="1063"/>
      <c r="P1904" s="1063"/>
      <c r="Q1904" s="1063"/>
      <c r="R1904" s="1063"/>
      <c r="S1904" s="1063"/>
      <c r="T1904" s="1063"/>
      <c r="U1904" s="1063"/>
      <c r="V1904" s="1063"/>
      <c r="W1904" s="1063"/>
      <c r="X1904" s="1063"/>
      <c r="Y1904" s="1063"/>
      <c r="Z1904" s="1063"/>
      <c r="AA1904" s="1063"/>
      <c r="AB1904" s="1063"/>
      <c r="AC1904" s="1063"/>
      <c r="AD1904" s="1063"/>
      <c r="AE1904" s="1063"/>
      <c r="AF1904" s="1063"/>
      <c r="AG1904" s="1063"/>
      <c r="AH1904" s="1063"/>
      <c r="AI1904" s="1063"/>
      <c r="AJ1904" s="1063"/>
      <c r="AK1904" s="1063"/>
      <c r="AL1904" s="1063"/>
      <c r="AM1904" s="1063"/>
      <c r="AN1904" s="1063"/>
      <c r="AO1904" s="1063"/>
      <c r="AP1904" s="1063"/>
      <c r="AQ1904" s="1063"/>
      <c r="AR1904" s="1063"/>
      <c r="AS1904" s="1063"/>
      <c r="AT1904" s="1063"/>
      <c r="AU1904" s="1063"/>
      <c r="AV1904" s="1063"/>
    </row>
    <row r="1905" spans="1:48" s="1108" customFormat="1" ht="27.75" customHeight="1">
      <c r="A1905" s="1076"/>
      <c r="B1905" s="1074">
        <f>+'[18]Bldg+Dev'!S2717</f>
        <v>0</v>
      </c>
      <c r="D1905" s="1063"/>
      <c r="F1905" s="1076"/>
      <c r="G1905" s="1063"/>
      <c r="H1905" s="1063"/>
      <c r="I1905" s="1063"/>
      <c r="J1905" s="1063"/>
      <c r="K1905" s="1063"/>
      <c r="L1905" s="1063"/>
      <c r="M1905" s="1063"/>
      <c r="N1905" s="1063"/>
      <c r="O1905" s="1063"/>
      <c r="P1905" s="1063"/>
      <c r="Q1905" s="1063"/>
      <c r="R1905" s="1063"/>
      <c r="S1905" s="1063"/>
      <c r="T1905" s="1063"/>
      <c r="U1905" s="1063"/>
      <c r="V1905" s="1063"/>
      <c r="W1905" s="1063"/>
      <c r="X1905" s="1063"/>
      <c r="Y1905" s="1063"/>
      <c r="Z1905" s="1063"/>
      <c r="AA1905" s="1063"/>
      <c r="AB1905" s="1063"/>
      <c r="AC1905" s="1063"/>
      <c r="AD1905" s="1063"/>
      <c r="AE1905" s="1063"/>
      <c r="AF1905" s="1063"/>
      <c r="AG1905" s="1063"/>
      <c r="AH1905" s="1063"/>
      <c r="AI1905" s="1063"/>
      <c r="AJ1905" s="1063"/>
      <c r="AK1905" s="1063"/>
      <c r="AL1905" s="1063"/>
      <c r="AM1905" s="1063"/>
      <c r="AN1905" s="1063"/>
      <c r="AO1905" s="1063"/>
      <c r="AP1905" s="1063"/>
      <c r="AQ1905" s="1063"/>
      <c r="AR1905" s="1063"/>
      <c r="AS1905" s="1063"/>
      <c r="AT1905" s="1063"/>
      <c r="AU1905" s="1063"/>
      <c r="AV1905" s="1063"/>
    </row>
    <row r="1906" spans="1:48" s="1108" customFormat="1" ht="27.75" customHeight="1">
      <c r="A1906" s="1076"/>
      <c r="B1906" s="1074">
        <f>+'[18]Bldg+Dev'!S2718</f>
        <v>0</v>
      </c>
      <c r="D1906" s="1063"/>
      <c r="F1906" s="1076"/>
      <c r="G1906" s="1063"/>
      <c r="H1906" s="1063"/>
      <c r="I1906" s="1063"/>
      <c r="J1906" s="1063"/>
      <c r="K1906" s="1063"/>
      <c r="L1906" s="1063"/>
      <c r="M1906" s="1063"/>
      <c r="N1906" s="1063"/>
      <c r="O1906" s="1063"/>
      <c r="P1906" s="1063"/>
      <c r="Q1906" s="1063"/>
      <c r="R1906" s="1063"/>
      <c r="S1906" s="1063"/>
      <c r="T1906" s="1063"/>
      <c r="U1906" s="1063"/>
      <c r="V1906" s="1063"/>
      <c r="W1906" s="1063"/>
      <c r="X1906" s="1063"/>
      <c r="Y1906" s="1063"/>
      <c r="Z1906" s="1063"/>
      <c r="AA1906" s="1063"/>
      <c r="AB1906" s="1063"/>
      <c r="AC1906" s="1063"/>
      <c r="AD1906" s="1063"/>
      <c r="AE1906" s="1063"/>
      <c r="AF1906" s="1063"/>
      <c r="AG1906" s="1063"/>
      <c r="AH1906" s="1063"/>
      <c r="AI1906" s="1063"/>
      <c r="AJ1906" s="1063"/>
      <c r="AK1906" s="1063"/>
      <c r="AL1906" s="1063"/>
      <c r="AM1906" s="1063"/>
      <c r="AN1906" s="1063"/>
      <c r="AO1906" s="1063"/>
      <c r="AP1906" s="1063"/>
      <c r="AQ1906" s="1063"/>
      <c r="AR1906" s="1063"/>
      <c r="AS1906" s="1063"/>
      <c r="AT1906" s="1063"/>
      <c r="AU1906" s="1063"/>
      <c r="AV1906" s="1063"/>
    </row>
    <row r="1907" spans="1:48" s="1108" customFormat="1" ht="27.75" customHeight="1">
      <c r="A1907" s="1076"/>
      <c r="B1907" s="1074">
        <f>+'[18]Bldg+Dev'!S2719</f>
        <v>0</v>
      </c>
      <c r="D1907" s="1063"/>
      <c r="F1907" s="1076"/>
      <c r="G1907" s="1063"/>
      <c r="H1907" s="1063"/>
      <c r="I1907" s="1063"/>
      <c r="J1907" s="1063"/>
      <c r="K1907" s="1063"/>
      <c r="L1907" s="1063"/>
      <c r="M1907" s="1063"/>
      <c r="N1907" s="1063"/>
      <c r="O1907" s="1063"/>
      <c r="P1907" s="1063"/>
      <c r="Q1907" s="1063"/>
      <c r="R1907" s="1063"/>
      <c r="S1907" s="1063"/>
      <c r="T1907" s="1063"/>
      <c r="U1907" s="1063"/>
      <c r="V1907" s="1063"/>
      <c r="W1907" s="1063"/>
      <c r="X1907" s="1063"/>
      <c r="Y1907" s="1063"/>
      <c r="Z1907" s="1063"/>
      <c r="AA1907" s="1063"/>
      <c r="AB1907" s="1063"/>
      <c r="AC1907" s="1063"/>
      <c r="AD1907" s="1063"/>
      <c r="AE1907" s="1063"/>
      <c r="AF1907" s="1063"/>
      <c r="AG1907" s="1063"/>
      <c r="AH1907" s="1063"/>
      <c r="AI1907" s="1063"/>
      <c r="AJ1907" s="1063"/>
      <c r="AK1907" s="1063"/>
      <c r="AL1907" s="1063"/>
      <c r="AM1907" s="1063"/>
      <c r="AN1907" s="1063"/>
      <c r="AO1907" s="1063"/>
      <c r="AP1907" s="1063"/>
      <c r="AQ1907" s="1063"/>
      <c r="AR1907" s="1063"/>
      <c r="AS1907" s="1063"/>
      <c r="AT1907" s="1063"/>
      <c r="AU1907" s="1063"/>
      <c r="AV1907" s="1063"/>
    </row>
    <row r="1908" spans="1:48" s="1108" customFormat="1" ht="27.75" customHeight="1">
      <c r="A1908" s="1076"/>
      <c r="B1908" s="1074">
        <f>+'[18]Bldg+Dev'!S2720</f>
        <v>0</v>
      </c>
      <c r="D1908" s="1063"/>
      <c r="F1908" s="1076"/>
      <c r="G1908" s="1063"/>
      <c r="H1908" s="1063"/>
      <c r="I1908" s="1063"/>
      <c r="J1908" s="1063"/>
      <c r="K1908" s="1063"/>
      <c r="L1908" s="1063"/>
      <c r="M1908" s="1063"/>
      <c r="N1908" s="1063"/>
      <c r="O1908" s="1063"/>
      <c r="P1908" s="1063"/>
      <c r="Q1908" s="1063"/>
      <c r="R1908" s="1063"/>
      <c r="S1908" s="1063"/>
      <c r="T1908" s="1063"/>
      <c r="U1908" s="1063"/>
      <c r="V1908" s="1063"/>
      <c r="W1908" s="1063"/>
      <c r="X1908" s="1063"/>
      <c r="Y1908" s="1063"/>
      <c r="Z1908" s="1063"/>
      <c r="AA1908" s="1063"/>
      <c r="AB1908" s="1063"/>
      <c r="AC1908" s="1063"/>
      <c r="AD1908" s="1063"/>
      <c r="AE1908" s="1063"/>
      <c r="AF1908" s="1063"/>
      <c r="AG1908" s="1063"/>
      <c r="AH1908" s="1063"/>
      <c r="AI1908" s="1063"/>
      <c r="AJ1908" s="1063"/>
      <c r="AK1908" s="1063"/>
      <c r="AL1908" s="1063"/>
      <c r="AM1908" s="1063"/>
      <c r="AN1908" s="1063"/>
      <c r="AO1908" s="1063"/>
      <c r="AP1908" s="1063"/>
      <c r="AQ1908" s="1063"/>
      <c r="AR1908" s="1063"/>
      <c r="AS1908" s="1063"/>
      <c r="AT1908" s="1063"/>
      <c r="AU1908" s="1063"/>
      <c r="AV1908" s="1063"/>
    </row>
    <row r="1909" spans="1:48" s="1108" customFormat="1" ht="27.75" customHeight="1">
      <c r="A1909" s="1076"/>
      <c r="B1909" s="1074">
        <f>+'[18]Bldg+Dev'!S2721</f>
        <v>0</v>
      </c>
      <c r="D1909" s="1063"/>
      <c r="F1909" s="1076"/>
      <c r="G1909" s="1063"/>
      <c r="H1909" s="1063"/>
      <c r="I1909" s="1063"/>
      <c r="J1909" s="1063"/>
      <c r="K1909" s="1063"/>
      <c r="L1909" s="1063"/>
      <c r="M1909" s="1063"/>
      <c r="N1909" s="1063"/>
      <c r="O1909" s="1063"/>
      <c r="P1909" s="1063"/>
      <c r="Q1909" s="1063"/>
      <c r="R1909" s="1063"/>
      <c r="S1909" s="1063"/>
      <c r="T1909" s="1063"/>
      <c r="U1909" s="1063"/>
      <c r="V1909" s="1063"/>
      <c r="W1909" s="1063"/>
      <c r="X1909" s="1063"/>
      <c r="Y1909" s="1063"/>
      <c r="Z1909" s="1063"/>
      <c r="AA1909" s="1063"/>
      <c r="AB1909" s="1063"/>
      <c r="AC1909" s="1063"/>
      <c r="AD1909" s="1063"/>
      <c r="AE1909" s="1063"/>
      <c r="AF1909" s="1063"/>
      <c r="AG1909" s="1063"/>
      <c r="AH1909" s="1063"/>
      <c r="AI1909" s="1063"/>
      <c r="AJ1909" s="1063"/>
      <c r="AK1909" s="1063"/>
      <c r="AL1909" s="1063"/>
      <c r="AM1909" s="1063"/>
      <c r="AN1909" s="1063"/>
      <c r="AO1909" s="1063"/>
      <c r="AP1909" s="1063"/>
      <c r="AQ1909" s="1063"/>
      <c r="AR1909" s="1063"/>
      <c r="AS1909" s="1063"/>
      <c r="AT1909" s="1063"/>
      <c r="AU1909" s="1063"/>
      <c r="AV1909" s="1063"/>
    </row>
    <row r="1910" spans="1:48" s="1108" customFormat="1" ht="27.75" customHeight="1">
      <c r="A1910" s="1076"/>
      <c r="B1910" s="1074">
        <f>+'[18]Bldg+Dev'!S2722</f>
        <v>0</v>
      </c>
      <c r="D1910" s="1063"/>
      <c r="F1910" s="1076"/>
      <c r="G1910" s="1063"/>
      <c r="H1910" s="1063"/>
      <c r="I1910" s="1063"/>
      <c r="J1910" s="1063"/>
      <c r="K1910" s="1063"/>
      <c r="L1910" s="1063"/>
      <c r="M1910" s="1063"/>
      <c r="N1910" s="1063"/>
      <c r="O1910" s="1063"/>
      <c r="P1910" s="1063"/>
      <c r="Q1910" s="1063"/>
      <c r="R1910" s="1063"/>
      <c r="S1910" s="1063"/>
      <c r="T1910" s="1063"/>
      <c r="U1910" s="1063"/>
      <c r="V1910" s="1063"/>
      <c r="W1910" s="1063"/>
      <c r="X1910" s="1063"/>
      <c r="Y1910" s="1063"/>
      <c r="Z1910" s="1063"/>
      <c r="AA1910" s="1063"/>
      <c r="AB1910" s="1063"/>
      <c r="AC1910" s="1063"/>
      <c r="AD1910" s="1063"/>
      <c r="AE1910" s="1063"/>
      <c r="AF1910" s="1063"/>
      <c r="AG1910" s="1063"/>
      <c r="AH1910" s="1063"/>
      <c r="AI1910" s="1063"/>
      <c r="AJ1910" s="1063"/>
      <c r="AK1910" s="1063"/>
      <c r="AL1910" s="1063"/>
      <c r="AM1910" s="1063"/>
      <c r="AN1910" s="1063"/>
      <c r="AO1910" s="1063"/>
      <c r="AP1910" s="1063"/>
      <c r="AQ1910" s="1063"/>
      <c r="AR1910" s="1063"/>
      <c r="AS1910" s="1063"/>
      <c r="AT1910" s="1063"/>
      <c r="AU1910" s="1063"/>
      <c r="AV1910" s="1063"/>
    </row>
    <row r="1911" spans="1:48" s="1108" customFormat="1" ht="27.75" customHeight="1">
      <c r="A1911" s="1076"/>
      <c r="B1911" s="1074">
        <f>+'[18]Bldg+Dev'!S2723</f>
        <v>0</v>
      </c>
      <c r="D1911" s="1063"/>
      <c r="F1911" s="1076"/>
      <c r="G1911" s="1063"/>
      <c r="H1911" s="1063"/>
      <c r="I1911" s="1063"/>
      <c r="J1911" s="1063"/>
      <c r="K1911" s="1063"/>
      <c r="L1911" s="1063"/>
      <c r="M1911" s="1063"/>
      <c r="N1911" s="1063"/>
      <c r="O1911" s="1063"/>
      <c r="P1911" s="1063"/>
      <c r="Q1911" s="1063"/>
      <c r="R1911" s="1063"/>
      <c r="S1911" s="1063"/>
      <c r="T1911" s="1063"/>
      <c r="U1911" s="1063"/>
      <c r="V1911" s="1063"/>
      <c r="W1911" s="1063"/>
      <c r="X1911" s="1063"/>
      <c r="Y1911" s="1063"/>
      <c r="Z1911" s="1063"/>
      <c r="AA1911" s="1063"/>
      <c r="AB1911" s="1063"/>
      <c r="AC1911" s="1063"/>
      <c r="AD1911" s="1063"/>
      <c r="AE1911" s="1063"/>
      <c r="AF1911" s="1063"/>
      <c r="AG1911" s="1063"/>
      <c r="AH1911" s="1063"/>
      <c r="AI1911" s="1063"/>
      <c r="AJ1911" s="1063"/>
      <c r="AK1911" s="1063"/>
      <c r="AL1911" s="1063"/>
      <c r="AM1911" s="1063"/>
      <c r="AN1911" s="1063"/>
      <c r="AO1911" s="1063"/>
      <c r="AP1911" s="1063"/>
      <c r="AQ1911" s="1063"/>
      <c r="AR1911" s="1063"/>
      <c r="AS1911" s="1063"/>
      <c r="AT1911" s="1063"/>
      <c r="AU1911" s="1063"/>
      <c r="AV1911" s="1063"/>
    </row>
    <row r="1912" spans="1:48" s="1108" customFormat="1" ht="27.75" customHeight="1">
      <c r="A1912" s="1076"/>
      <c r="B1912" s="1074">
        <f>+'[18]Bldg+Dev'!S2724</f>
        <v>0</v>
      </c>
      <c r="D1912" s="1063"/>
      <c r="F1912" s="1076"/>
      <c r="G1912" s="1063"/>
      <c r="H1912" s="1063"/>
      <c r="I1912" s="1063"/>
      <c r="J1912" s="1063"/>
      <c r="K1912" s="1063"/>
      <c r="L1912" s="1063"/>
      <c r="M1912" s="1063"/>
      <c r="N1912" s="1063"/>
      <c r="O1912" s="1063"/>
      <c r="P1912" s="1063"/>
      <c r="Q1912" s="1063"/>
      <c r="R1912" s="1063"/>
      <c r="S1912" s="1063"/>
      <c r="T1912" s="1063"/>
      <c r="U1912" s="1063"/>
      <c r="V1912" s="1063"/>
      <c r="W1912" s="1063"/>
      <c r="X1912" s="1063"/>
      <c r="Y1912" s="1063"/>
      <c r="Z1912" s="1063"/>
      <c r="AA1912" s="1063"/>
      <c r="AB1912" s="1063"/>
      <c r="AC1912" s="1063"/>
      <c r="AD1912" s="1063"/>
      <c r="AE1912" s="1063"/>
      <c r="AF1912" s="1063"/>
      <c r="AG1912" s="1063"/>
      <c r="AH1912" s="1063"/>
      <c r="AI1912" s="1063"/>
      <c r="AJ1912" s="1063"/>
      <c r="AK1912" s="1063"/>
      <c r="AL1912" s="1063"/>
      <c r="AM1912" s="1063"/>
      <c r="AN1912" s="1063"/>
      <c r="AO1912" s="1063"/>
      <c r="AP1912" s="1063"/>
      <c r="AQ1912" s="1063"/>
      <c r="AR1912" s="1063"/>
      <c r="AS1912" s="1063"/>
      <c r="AT1912" s="1063"/>
      <c r="AU1912" s="1063"/>
      <c r="AV1912" s="1063"/>
    </row>
    <row r="1913" spans="1:48" s="1108" customFormat="1" ht="27.75" customHeight="1">
      <c r="A1913" s="1076"/>
      <c r="B1913" s="1074">
        <f>+'[18]Bldg+Dev'!S2725</f>
        <v>0</v>
      </c>
      <c r="D1913" s="1063"/>
      <c r="F1913" s="1076"/>
      <c r="G1913" s="1063"/>
      <c r="H1913" s="1063"/>
      <c r="I1913" s="1063"/>
      <c r="J1913" s="1063"/>
      <c r="K1913" s="1063"/>
      <c r="L1913" s="1063"/>
      <c r="M1913" s="1063"/>
      <c r="N1913" s="1063"/>
      <c r="O1913" s="1063"/>
      <c r="P1913" s="1063"/>
      <c r="Q1913" s="1063"/>
      <c r="R1913" s="1063"/>
      <c r="S1913" s="1063"/>
      <c r="T1913" s="1063"/>
      <c r="U1913" s="1063"/>
      <c r="V1913" s="1063"/>
      <c r="W1913" s="1063"/>
      <c r="X1913" s="1063"/>
      <c r="Y1913" s="1063"/>
      <c r="Z1913" s="1063"/>
      <c r="AA1913" s="1063"/>
      <c r="AB1913" s="1063"/>
      <c r="AC1913" s="1063"/>
      <c r="AD1913" s="1063"/>
      <c r="AE1913" s="1063"/>
      <c r="AF1913" s="1063"/>
      <c r="AG1913" s="1063"/>
      <c r="AH1913" s="1063"/>
      <c r="AI1913" s="1063"/>
      <c r="AJ1913" s="1063"/>
      <c r="AK1913" s="1063"/>
      <c r="AL1913" s="1063"/>
      <c r="AM1913" s="1063"/>
      <c r="AN1913" s="1063"/>
      <c r="AO1913" s="1063"/>
      <c r="AP1913" s="1063"/>
      <c r="AQ1913" s="1063"/>
      <c r="AR1913" s="1063"/>
      <c r="AS1913" s="1063"/>
      <c r="AT1913" s="1063"/>
      <c r="AU1913" s="1063"/>
      <c r="AV1913" s="1063"/>
    </row>
    <row r="1914" spans="1:48" s="1108" customFormat="1" ht="27.75" customHeight="1">
      <c r="A1914" s="1076"/>
      <c r="B1914" s="1074">
        <f>+'[18]Bldg+Dev'!S2726</f>
        <v>0</v>
      </c>
      <c r="D1914" s="1063"/>
      <c r="F1914" s="1076"/>
      <c r="G1914" s="1063"/>
      <c r="H1914" s="1063"/>
      <c r="I1914" s="1063"/>
      <c r="J1914" s="1063"/>
      <c r="K1914" s="1063"/>
      <c r="L1914" s="1063"/>
      <c r="M1914" s="1063"/>
      <c r="N1914" s="1063"/>
      <c r="O1914" s="1063"/>
      <c r="P1914" s="1063"/>
      <c r="Q1914" s="1063"/>
      <c r="R1914" s="1063"/>
      <c r="S1914" s="1063"/>
      <c r="T1914" s="1063"/>
      <c r="U1914" s="1063"/>
      <c r="V1914" s="1063"/>
      <c r="W1914" s="1063"/>
      <c r="X1914" s="1063"/>
      <c r="Y1914" s="1063"/>
      <c r="Z1914" s="1063"/>
      <c r="AA1914" s="1063"/>
      <c r="AB1914" s="1063"/>
      <c r="AC1914" s="1063"/>
      <c r="AD1914" s="1063"/>
      <c r="AE1914" s="1063"/>
      <c r="AF1914" s="1063"/>
      <c r="AG1914" s="1063"/>
      <c r="AH1914" s="1063"/>
      <c r="AI1914" s="1063"/>
      <c r="AJ1914" s="1063"/>
      <c r="AK1914" s="1063"/>
      <c r="AL1914" s="1063"/>
      <c r="AM1914" s="1063"/>
      <c r="AN1914" s="1063"/>
      <c r="AO1914" s="1063"/>
      <c r="AP1914" s="1063"/>
      <c r="AQ1914" s="1063"/>
      <c r="AR1914" s="1063"/>
      <c r="AS1914" s="1063"/>
      <c r="AT1914" s="1063"/>
      <c r="AU1914" s="1063"/>
      <c r="AV1914" s="1063"/>
    </row>
    <row r="1915" spans="1:48" s="1108" customFormat="1" ht="27.75" customHeight="1">
      <c r="A1915" s="1076"/>
      <c r="B1915" s="1074">
        <f>+'[18]Bldg+Dev'!S2727</f>
        <v>0</v>
      </c>
      <c r="D1915" s="1063"/>
      <c r="F1915" s="1076"/>
      <c r="G1915" s="1063"/>
      <c r="H1915" s="1063"/>
      <c r="I1915" s="1063"/>
      <c r="J1915" s="1063"/>
      <c r="K1915" s="1063"/>
      <c r="L1915" s="1063"/>
      <c r="M1915" s="1063"/>
      <c r="N1915" s="1063"/>
      <c r="O1915" s="1063"/>
      <c r="P1915" s="1063"/>
      <c r="Q1915" s="1063"/>
      <c r="R1915" s="1063"/>
      <c r="S1915" s="1063"/>
      <c r="T1915" s="1063"/>
      <c r="U1915" s="1063"/>
      <c r="V1915" s="1063"/>
      <c r="W1915" s="1063"/>
      <c r="X1915" s="1063"/>
      <c r="Y1915" s="1063"/>
      <c r="Z1915" s="1063"/>
      <c r="AA1915" s="1063"/>
      <c r="AB1915" s="1063"/>
      <c r="AC1915" s="1063"/>
      <c r="AD1915" s="1063"/>
      <c r="AE1915" s="1063"/>
      <c r="AF1915" s="1063"/>
      <c r="AG1915" s="1063"/>
      <c r="AH1915" s="1063"/>
      <c r="AI1915" s="1063"/>
      <c r="AJ1915" s="1063"/>
      <c r="AK1915" s="1063"/>
      <c r="AL1915" s="1063"/>
      <c r="AM1915" s="1063"/>
      <c r="AN1915" s="1063"/>
      <c r="AO1915" s="1063"/>
      <c r="AP1915" s="1063"/>
      <c r="AQ1915" s="1063"/>
      <c r="AR1915" s="1063"/>
      <c r="AS1915" s="1063"/>
      <c r="AT1915" s="1063"/>
      <c r="AU1915" s="1063"/>
      <c r="AV1915" s="1063"/>
    </row>
    <row r="1916" spans="1:48" s="1108" customFormat="1" ht="27.75" customHeight="1">
      <c r="A1916" s="1076"/>
      <c r="B1916" s="1074">
        <f>+'[18]Bldg+Dev'!S2728</f>
        <v>0</v>
      </c>
      <c r="D1916" s="1063"/>
      <c r="F1916" s="1076"/>
      <c r="G1916" s="1063"/>
      <c r="H1916" s="1063"/>
      <c r="I1916" s="1063"/>
      <c r="J1916" s="1063"/>
      <c r="K1916" s="1063"/>
      <c r="L1916" s="1063"/>
      <c r="M1916" s="1063"/>
      <c r="N1916" s="1063"/>
      <c r="O1916" s="1063"/>
      <c r="P1916" s="1063"/>
      <c r="Q1916" s="1063"/>
      <c r="R1916" s="1063"/>
      <c r="S1916" s="1063"/>
      <c r="T1916" s="1063"/>
      <c r="U1916" s="1063"/>
      <c r="V1916" s="1063"/>
      <c r="W1916" s="1063"/>
      <c r="X1916" s="1063"/>
      <c r="Y1916" s="1063"/>
      <c r="Z1916" s="1063"/>
      <c r="AA1916" s="1063"/>
      <c r="AB1916" s="1063"/>
      <c r="AC1916" s="1063"/>
      <c r="AD1916" s="1063"/>
      <c r="AE1916" s="1063"/>
      <c r="AF1916" s="1063"/>
      <c r="AG1916" s="1063"/>
      <c r="AH1916" s="1063"/>
      <c r="AI1916" s="1063"/>
      <c r="AJ1916" s="1063"/>
      <c r="AK1916" s="1063"/>
      <c r="AL1916" s="1063"/>
      <c r="AM1916" s="1063"/>
      <c r="AN1916" s="1063"/>
      <c r="AO1916" s="1063"/>
      <c r="AP1916" s="1063"/>
      <c r="AQ1916" s="1063"/>
      <c r="AR1916" s="1063"/>
      <c r="AS1916" s="1063"/>
      <c r="AT1916" s="1063"/>
      <c r="AU1916" s="1063"/>
      <c r="AV1916" s="1063"/>
    </row>
    <row r="1917" spans="1:48" s="1108" customFormat="1" ht="27.75" customHeight="1">
      <c r="A1917" s="1076"/>
      <c r="B1917" s="1074">
        <f>+'[18]Bldg+Dev'!S2729</f>
        <v>0</v>
      </c>
      <c r="D1917" s="1063"/>
      <c r="F1917" s="1076"/>
      <c r="G1917" s="1063"/>
      <c r="H1917" s="1063"/>
      <c r="I1917" s="1063"/>
      <c r="J1917" s="1063"/>
      <c r="K1917" s="1063"/>
      <c r="L1917" s="1063"/>
      <c r="M1917" s="1063"/>
      <c r="N1917" s="1063"/>
      <c r="O1917" s="1063"/>
      <c r="P1917" s="1063"/>
      <c r="Q1917" s="1063"/>
      <c r="R1917" s="1063"/>
      <c r="S1917" s="1063"/>
      <c r="T1917" s="1063"/>
      <c r="U1917" s="1063"/>
      <c r="V1917" s="1063"/>
      <c r="W1917" s="1063"/>
      <c r="X1917" s="1063"/>
      <c r="Y1917" s="1063"/>
      <c r="Z1917" s="1063"/>
      <c r="AA1917" s="1063"/>
      <c r="AB1917" s="1063"/>
      <c r="AC1917" s="1063"/>
      <c r="AD1917" s="1063"/>
      <c r="AE1917" s="1063"/>
      <c r="AF1917" s="1063"/>
      <c r="AG1917" s="1063"/>
      <c r="AH1917" s="1063"/>
      <c r="AI1917" s="1063"/>
      <c r="AJ1917" s="1063"/>
      <c r="AK1917" s="1063"/>
      <c r="AL1917" s="1063"/>
      <c r="AM1917" s="1063"/>
      <c r="AN1917" s="1063"/>
      <c r="AO1917" s="1063"/>
      <c r="AP1917" s="1063"/>
      <c r="AQ1917" s="1063"/>
      <c r="AR1917" s="1063"/>
      <c r="AS1917" s="1063"/>
      <c r="AT1917" s="1063"/>
      <c r="AU1917" s="1063"/>
      <c r="AV1917" s="1063"/>
    </row>
    <row r="1918" spans="1:48" s="1108" customFormat="1" ht="27.75" customHeight="1">
      <c r="A1918" s="1076"/>
      <c r="B1918" s="1074">
        <f>+'[18]Bldg+Dev'!S2730</f>
        <v>0</v>
      </c>
      <c r="D1918" s="1063"/>
      <c r="F1918" s="1076"/>
      <c r="G1918" s="1063"/>
      <c r="H1918" s="1063"/>
      <c r="I1918" s="1063"/>
      <c r="J1918" s="1063"/>
      <c r="K1918" s="1063"/>
      <c r="L1918" s="1063"/>
      <c r="M1918" s="1063"/>
      <c r="N1918" s="1063"/>
      <c r="O1918" s="1063"/>
      <c r="P1918" s="1063"/>
      <c r="Q1918" s="1063"/>
      <c r="R1918" s="1063"/>
      <c r="S1918" s="1063"/>
      <c r="T1918" s="1063"/>
      <c r="U1918" s="1063"/>
      <c r="V1918" s="1063"/>
      <c r="W1918" s="1063"/>
      <c r="X1918" s="1063"/>
      <c r="Y1918" s="1063"/>
      <c r="Z1918" s="1063"/>
      <c r="AA1918" s="1063"/>
      <c r="AB1918" s="1063"/>
      <c r="AC1918" s="1063"/>
      <c r="AD1918" s="1063"/>
      <c r="AE1918" s="1063"/>
      <c r="AF1918" s="1063"/>
      <c r="AG1918" s="1063"/>
      <c r="AH1918" s="1063"/>
      <c r="AI1918" s="1063"/>
      <c r="AJ1918" s="1063"/>
      <c r="AK1918" s="1063"/>
      <c r="AL1918" s="1063"/>
      <c r="AM1918" s="1063"/>
      <c r="AN1918" s="1063"/>
      <c r="AO1918" s="1063"/>
      <c r="AP1918" s="1063"/>
      <c r="AQ1918" s="1063"/>
      <c r="AR1918" s="1063"/>
      <c r="AS1918" s="1063"/>
      <c r="AT1918" s="1063"/>
      <c r="AU1918" s="1063"/>
      <c r="AV1918" s="1063"/>
    </row>
    <row r="1919" spans="1:48" s="1108" customFormat="1" ht="27.75" customHeight="1">
      <c r="A1919" s="1076"/>
      <c r="B1919" s="1074">
        <f>+'[18]Bldg+Dev'!S2731</f>
        <v>0</v>
      </c>
      <c r="D1919" s="1063"/>
      <c r="F1919" s="1076"/>
      <c r="G1919" s="1063"/>
      <c r="H1919" s="1063"/>
      <c r="I1919" s="1063"/>
      <c r="J1919" s="1063"/>
      <c r="K1919" s="1063"/>
      <c r="L1919" s="1063"/>
      <c r="M1919" s="1063"/>
      <c r="N1919" s="1063"/>
      <c r="O1919" s="1063"/>
      <c r="P1919" s="1063"/>
      <c r="Q1919" s="1063"/>
      <c r="R1919" s="1063"/>
      <c r="S1919" s="1063"/>
      <c r="T1919" s="1063"/>
      <c r="U1919" s="1063"/>
      <c r="V1919" s="1063"/>
      <c r="W1919" s="1063"/>
      <c r="X1919" s="1063"/>
      <c r="Y1919" s="1063"/>
      <c r="Z1919" s="1063"/>
      <c r="AA1919" s="1063"/>
      <c r="AB1919" s="1063"/>
      <c r="AC1919" s="1063"/>
      <c r="AD1919" s="1063"/>
      <c r="AE1919" s="1063"/>
      <c r="AF1919" s="1063"/>
      <c r="AG1919" s="1063"/>
      <c r="AH1919" s="1063"/>
      <c r="AI1919" s="1063"/>
      <c r="AJ1919" s="1063"/>
      <c r="AK1919" s="1063"/>
      <c r="AL1919" s="1063"/>
      <c r="AM1919" s="1063"/>
      <c r="AN1919" s="1063"/>
      <c r="AO1919" s="1063"/>
      <c r="AP1919" s="1063"/>
      <c r="AQ1919" s="1063"/>
      <c r="AR1919" s="1063"/>
      <c r="AS1919" s="1063"/>
      <c r="AT1919" s="1063"/>
      <c r="AU1919" s="1063"/>
      <c r="AV1919" s="1063"/>
    </row>
    <row r="1920" spans="1:48" s="1108" customFormat="1" ht="27.75" customHeight="1">
      <c r="A1920" s="1076"/>
      <c r="B1920" s="1074">
        <f>+'[18]Bldg+Dev'!S2732</f>
        <v>0</v>
      </c>
      <c r="D1920" s="1063"/>
      <c r="F1920" s="1076"/>
      <c r="G1920" s="1063"/>
      <c r="H1920" s="1063"/>
      <c r="I1920" s="1063"/>
      <c r="J1920" s="1063"/>
      <c r="K1920" s="1063"/>
      <c r="L1920" s="1063"/>
      <c r="M1920" s="1063"/>
      <c r="N1920" s="1063"/>
      <c r="O1920" s="1063"/>
      <c r="P1920" s="1063"/>
      <c r="Q1920" s="1063"/>
      <c r="R1920" s="1063"/>
      <c r="S1920" s="1063"/>
      <c r="T1920" s="1063"/>
      <c r="U1920" s="1063"/>
      <c r="V1920" s="1063"/>
      <c r="W1920" s="1063"/>
      <c r="X1920" s="1063"/>
      <c r="Y1920" s="1063"/>
      <c r="Z1920" s="1063"/>
      <c r="AA1920" s="1063"/>
      <c r="AB1920" s="1063"/>
      <c r="AC1920" s="1063"/>
      <c r="AD1920" s="1063"/>
      <c r="AE1920" s="1063"/>
      <c r="AF1920" s="1063"/>
      <c r="AG1920" s="1063"/>
      <c r="AH1920" s="1063"/>
      <c r="AI1920" s="1063"/>
      <c r="AJ1920" s="1063"/>
      <c r="AK1920" s="1063"/>
      <c r="AL1920" s="1063"/>
      <c r="AM1920" s="1063"/>
      <c r="AN1920" s="1063"/>
      <c r="AO1920" s="1063"/>
      <c r="AP1920" s="1063"/>
      <c r="AQ1920" s="1063"/>
      <c r="AR1920" s="1063"/>
      <c r="AS1920" s="1063"/>
      <c r="AT1920" s="1063"/>
      <c r="AU1920" s="1063"/>
      <c r="AV1920" s="1063"/>
    </row>
    <row r="1921" spans="1:48" s="1108" customFormat="1" ht="27.75" customHeight="1">
      <c r="A1921" s="1076"/>
      <c r="B1921" s="1074">
        <f>+'[18]Bldg+Dev'!S2733</f>
        <v>0</v>
      </c>
      <c r="D1921" s="1063"/>
      <c r="F1921" s="1076"/>
      <c r="G1921" s="1063"/>
      <c r="H1921" s="1063"/>
      <c r="I1921" s="1063"/>
      <c r="J1921" s="1063"/>
      <c r="K1921" s="1063"/>
      <c r="L1921" s="1063"/>
      <c r="M1921" s="1063"/>
      <c r="N1921" s="1063"/>
      <c r="O1921" s="1063"/>
      <c r="P1921" s="1063"/>
      <c r="Q1921" s="1063"/>
      <c r="R1921" s="1063"/>
      <c r="S1921" s="1063"/>
      <c r="T1921" s="1063"/>
      <c r="U1921" s="1063"/>
      <c r="V1921" s="1063"/>
      <c r="W1921" s="1063"/>
      <c r="X1921" s="1063"/>
      <c r="Y1921" s="1063"/>
      <c r="Z1921" s="1063"/>
      <c r="AA1921" s="1063"/>
      <c r="AB1921" s="1063"/>
      <c r="AC1921" s="1063"/>
      <c r="AD1921" s="1063"/>
      <c r="AE1921" s="1063"/>
      <c r="AF1921" s="1063"/>
      <c r="AG1921" s="1063"/>
      <c r="AH1921" s="1063"/>
      <c r="AI1921" s="1063"/>
      <c r="AJ1921" s="1063"/>
      <c r="AK1921" s="1063"/>
      <c r="AL1921" s="1063"/>
      <c r="AM1921" s="1063"/>
      <c r="AN1921" s="1063"/>
      <c r="AO1921" s="1063"/>
      <c r="AP1921" s="1063"/>
      <c r="AQ1921" s="1063"/>
      <c r="AR1921" s="1063"/>
      <c r="AS1921" s="1063"/>
      <c r="AT1921" s="1063"/>
      <c r="AU1921" s="1063"/>
      <c r="AV1921" s="1063"/>
    </row>
    <row r="1922" spans="1:48" s="1108" customFormat="1" ht="27.75" customHeight="1">
      <c r="A1922" s="1076"/>
      <c r="B1922" s="1074">
        <f>+'[18]Bldg+Dev'!S2734</f>
        <v>0</v>
      </c>
      <c r="D1922" s="1063"/>
      <c r="F1922" s="1076"/>
      <c r="G1922" s="1063"/>
      <c r="H1922" s="1063"/>
      <c r="I1922" s="1063"/>
      <c r="J1922" s="1063"/>
      <c r="K1922" s="1063"/>
      <c r="L1922" s="1063"/>
      <c r="M1922" s="1063"/>
      <c r="N1922" s="1063"/>
      <c r="O1922" s="1063"/>
      <c r="P1922" s="1063"/>
      <c r="Q1922" s="1063"/>
      <c r="R1922" s="1063"/>
      <c r="S1922" s="1063"/>
      <c r="T1922" s="1063"/>
      <c r="U1922" s="1063"/>
      <c r="V1922" s="1063"/>
      <c r="W1922" s="1063"/>
      <c r="X1922" s="1063"/>
      <c r="Y1922" s="1063"/>
      <c r="Z1922" s="1063"/>
      <c r="AA1922" s="1063"/>
      <c r="AB1922" s="1063"/>
      <c r="AC1922" s="1063"/>
      <c r="AD1922" s="1063"/>
      <c r="AE1922" s="1063"/>
      <c r="AF1922" s="1063"/>
      <c r="AG1922" s="1063"/>
      <c r="AH1922" s="1063"/>
      <c r="AI1922" s="1063"/>
      <c r="AJ1922" s="1063"/>
      <c r="AK1922" s="1063"/>
      <c r="AL1922" s="1063"/>
      <c r="AM1922" s="1063"/>
      <c r="AN1922" s="1063"/>
      <c r="AO1922" s="1063"/>
      <c r="AP1922" s="1063"/>
      <c r="AQ1922" s="1063"/>
      <c r="AR1922" s="1063"/>
      <c r="AS1922" s="1063"/>
      <c r="AT1922" s="1063"/>
      <c r="AU1922" s="1063"/>
      <c r="AV1922" s="1063"/>
    </row>
    <row r="1923" spans="1:48" s="1108" customFormat="1" ht="27.75" customHeight="1">
      <c r="A1923" s="1076"/>
      <c r="B1923" s="1074">
        <f>+'[18]Bldg+Dev'!S2735</f>
        <v>0</v>
      </c>
      <c r="D1923" s="1063"/>
      <c r="F1923" s="1076"/>
      <c r="G1923" s="1063"/>
      <c r="H1923" s="1063"/>
      <c r="I1923" s="1063"/>
      <c r="J1923" s="1063"/>
      <c r="K1923" s="1063"/>
      <c r="L1923" s="1063"/>
      <c r="M1923" s="1063"/>
      <c r="N1923" s="1063"/>
      <c r="O1923" s="1063"/>
      <c r="P1923" s="1063"/>
      <c r="Q1923" s="1063"/>
      <c r="R1923" s="1063"/>
      <c r="S1923" s="1063"/>
      <c r="T1923" s="1063"/>
      <c r="U1923" s="1063"/>
      <c r="V1923" s="1063"/>
      <c r="W1923" s="1063"/>
      <c r="X1923" s="1063"/>
      <c r="Y1923" s="1063"/>
      <c r="Z1923" s="1063"/>
      <c r="AA1923" s="1063"/>
      <c r="AB1923" s="1063"/>
      <c r="AC1923" s="1063"/>
      <c r="AD1923" s="1063"/>
      <c r="AE1923" s="1063"/>
      <c r="AF1923" s="1063"/>
      <c r="AG1923" s="1063"/>
      <c r="AH1923" s="1063"/>
      <c r="AI1923" s="1063"/>
      <c r="AJ1923" s="1063"/>
      <c r="AK1923" s="1063"/>
      <c r="AL1923" s="1063"/>
      <c r="AM1923" s="1063"/>
      <c r="AN1923" s="1063"/>
      <c r="AO1923" s="1063"/>
      <c r="AP1923" s="1063"/>
      <c r="AQ1923" s="1063"/>
      <c r="AR1923" s="1063"/>
      <c r="AS1923" s="1063"/>
      <c r="AT1923" s="1063"/>
      <c r="AU1923" s="1063"/>
      <c r="AV1923" s="1063"/>
    </row>
    <row r="1924" spans="1:48" s="1108" customFormat="1" ht="27.75" customHeight="1">
      <c r="A1924" s="1076"/>
      <c r="B1924" s="1074">
        <f>+'[18]Bldg+Dev'!S2736</f>
        <v>0</v>
      </c>
      <c r="D1924" s="1063"/>
      <c r="F1924" s="1076"/>
      <c r="G1924" s="1063"/>
      <c r="H1924" s="1063"/>
      <c r="I1924" s="1063"/>
      <c r="J1924" s="1063"/>
      <c r="K1924" s="1063"/>
      <c r="L1924" s="1063"/>
      <c r="M1924" s="1063"/>
      <c r="N1924" s="1063"/>
      <c r="O1924" s="1063"/>
      <c r="P1924" s="1063"/>
      <c r="Q1924" s="1063"/>
      <c r="R1924" s="1063"/>
      <c r="S1924" s="1063"/>
      <c r="T1924" s="1063"/>
      <c r="U1924" s="1063"/>
      <c r="V1924" s="1063"/>
      <c r="W1924" s="1063"/>
      <c r="X1924" s="1063"/>
      <c r="Y1924" s="1063"/>
      <c r="Z1924" s="1063"/>
      <c r="AA1924" s="1063"/>
      <c r="AB1924" s="1063"/>
      <c r="AC1924" s="1063"/>
      <c r="AD1924" s="1063"/>
      <c r="AE1924" s="1063"/>
      <c r="AF1924" s="1063"/>
      <c r="AG1924" s="1063"/>
      <c r="AH1924" s="1063"/>
      <c r="AI1924" s="1063"/>
      <c r="AJ1924" s="1063"/>
      <c r="AK1924" s="1063"/>
      <c r="AL1924" s="1063"/>
      <c r="AM1924" s="1063"/>
      <c r="AN1924" s="1063"/>
      <c r="AO1924" s="1063"/>
      <c r="AP1924" s="1063"/>
      <c r="AQ1924" s="1063"/>
      <c r="AR1924" s="1063"/>
      <c r="AS1924" s="1063"/>
      <c r="AT1924" s="1063"/>
      <c r="AU1924" s="1063"/>
      <c r="AV1924" s="1063"/>
    </row>
    <row r="1925" spans="1:48" s="1108" customFormat="1" ht="27.75" customHeight="1">
      <c r="A1925" s="1076"/>
      <c r="B1925" s="1074">
        <f>+'[18]Bldg+Dev'!S2737</f>
        <v>0</v>
      </c>
      <c r="D1925" s="1063"/>
      <c r="F1925" s="1076"/>
      <c r="G1925" s="1063"/>
      <c r="H1925" s="1063"/>
      <c r="I1925" s="1063"/>
      <c r="J1925" s="1063"/>
      <c r="K1925" s="1063"/>
      <c r="L1925" s="1063"/>
      <c r="M1925" s="1063"/>
      <c r="N1925" s="1063"/>
      <c r="O1925" s="1063"/>
      <c r="P1925" s="1063"/>
      <c r="Q1925" s="1063"/>
      <c r="R1925" s="1063"/>
      <c r="S1925" s="1063"/>
      <c r="T1925" s="1063"/>
      <c r="U1925" s="1063"/>
      <c r="V1925" s="1063"/>
      <c r="W1925" s="1063"/>
      <c r="X1925" s="1063"/>
      <c r="Y1925" s="1063"/>
      <c r="Z1925" s="1063"/>
      <c r="AA1925" s="1063"/>
      <c r="AB1925" s="1063"/>
      <c r="AC1925" s="1063"/>
      <c r="AD1925" s="1063"/>
      <c r="AE1925" s="1063"/>
      <c r="AF1925" s="1063"/>
      <c r="AG1925" s="1063"/>
      <c r="AH1925" s="1063"/>
      <c r="AI1925" s="1063"/>
      <c r="AJ1925" s="1063"/>
      <c r="AK1925" s="1063"/>
      <c r="AL1925" s="1063"/>
      <c r="AM1925" s="1063"/>
      <c r="AN1925" s="1063"/>
      <c r="AO1925" s="1063"/>
      <c r="AP1925" s="1063"/>
      <c r="AQ1925" s="1063"/>
      <c r="AR1925" s="1063"/>
      <c r="AS1925" s="1063"/>
      <c r="AT1925" s="1063"/>
      <c r="AU1925" s="1063"/>
      <c r="AV1925" s="1063"/>
    </row>
    <row r="1926" spans="1:48" s="1108" customFormat="1" ht="27.75" customHeight="1">
      <c r="A1926" s="1076"/>
      <c r="B1926" s="1074">
        <f>+'[18]Bldg+Dev'!S2738</f>
        <v>0</v>
      </c>
      <c r="D1926" s="1063"/>
      <c r="F1926" s="1076"/>
      <c r="G1926" s="1063"/>
      <c r="H1926" s="1063"/>
      <c r="I1926" s="1063"/>
      <c r="J1926" s="1063"/>
      <c r="K1926" s="1063"/>
      <c r="L1926" s="1063"/>
      <c r="M1926" s="1063"/>
      <c r="N1926" s="1063"/>
      <c r="O1926" s="1063"/>
      <c r="P1926" s="1063"/>
      <c r="Q1926" s="1063"/>
      <c r="R1926" s="1063"/>
      <c r="S1926" s="1063"/>
      <c r="T1926" s="1063"/>
      <c r="U1926" s="1063"/>
      <c r="V1926" s="1063"/>
      <c r="W1926" s="1063"/>
      <c r="X1926" s="1063"/>
      <c r="Y1926" s="1063"/>
      <c r="Z1926" s="1063"/>
      <c r="AA1926" s="1063"/>
      <c r="AB1926" s="1063"/>
      <c r="AC1926" s="1063"/>
      <c r="AD1926" s="1063"/>
      <c r="AE1926" s="1063"/>
      <c r="AF1926" s="1063"/>
      <c r="AG1926" s="1063"/>
      <c r="AH1926" s="1063"/>
      <c r="AI1926" s="1063"/>
      <c r="AJ1926" s="1063"/>
      <c r="AK1926" s="1063"/>
      <c r="AL1926" s="1063"/>
      <c r="AM1926" s="1063"/>
      <c r="AN1926" s="1063"/>
      <c r="AO1926" s="1063"/>
      <c r="AP1926" s="1063"/>
      <c r="AQ1926" s="1063"/>
      <c r="AR1926" s="1063"/>
      <c r="AS1926" s="1063"/>
      <c r="AT1926" s="1063"/>
      <c r="AU1926" s="1063"/>
      <c r="AV1926" s="1063"/>
    </row>
    <row r="1927" spans="1:48" s="1108" customFormat="1" ht="27.75" customHeight="1">
      <c r="A1927" s="1076"/>
      <c r="B1927" s="1074">
        <f>+'[18]Bldg+Dev'!S2739</f>
        <v>0</v>
      </c>
      <c r="D1927" s="1063"/>
      <c r="F1927" s="1076"/>
      <c r="G1927" s="1063"/>
      <c r="H1927" s="1063"/>
      <c r="I1927" s="1063"/>
      <c r="J1927" s="1063"/>
      <c r="K1927" s="1063"/>
      <c r="L1927" s="1063"/>
      <c r="M1927" s="1063"/>
      <c r="N1927" s="1063"/>
      <c r="O1927" s="1063"/>
      <c r="P1927" s="1063"/>
      <c r="Q1927" s="1063"/>
      <c r="R1927" s="1063"/>
      <c r="S1927" s="1063"/>
      <c r="T1927" s="1063"/>
      <c r="U1927" s="1063"/>
      <c r="V1927" s="1063"/>
      <c r="W1927" s="1063"/>
      <c r="X1927" s="1063"/>
      <c r="Y1927" s="1063"/>
      <c r="Z1927" s="1063"/>
      <c r="AA1927" s="1063"/>
      <c r="AB1927" s="1063"/>
      <c r="AC1927" s="1063"/>
      <c r="AD1927" s="1063"/>
      <c r="AE1927" s="1063"/>
      <c r="AF1927" s="1063"/>
      <c r="AG1927" s="1063"/>
      <c r="AH1927" s="1063"/>
      <c r="AI1927" s="1063"/>
      <c r="AJ1927" s="1063"/>
      <c r="AK1927" s="1063"/>
      <c r="AL1927" s="1063"/>
      <c r="AM1927" s="1063"/>
      <c r="AN1927" s="1063"/>
      <c r="AO1927" s="1063"/>
      <c r="AP1927" s="1063"/>
      <c r="AQ1927" s="1063"/>
      <c r="AR1927" s="1063"/>
      <c r="AS1927" s="1063"/>
      <c r="AT1927" s="1063"/>
      <c r="AU1927" s="1063"/>
      <c r="AV1927" s="1063"/>
    </row>
    <row r="1928" spans="1:48" s="1108" customFormat="1" ht="27.75" customHeight="1">
      <c r="A1928" s="1076"/>
      <c r="B1928" s="1074">
        <f>+'[18]Bldg+Dev'!S2740</f>
        <v>0</v>
      </c>
      <c r="D1928" s="1063"/>
      <c r="F1928" s="1076"/>
      <c r="G1928" s="1063"/>
      <c r="H1928" s="1063"/>
      <c r="I1928" s="1063"/>
      <c r="J1928" s="1063"/>
      <c r="K1928" s="1063"/>
      <c r="L1928" s="1063"/>
      <c r="M1928" s="1063"/>
      <c r="N1928" s="1063"/>
      <c r="O1928" s="1063"/>
      <c r="P1928" s="1063"/>
      <c r="Q1928" s="1063"/>
      <c r="R1928" s="1063"/>
      <c r="S1928" s="1063"/>
      <c r="T1928" s="1063"/>
      <c r="U1928" s="1063"/>
      <c r="V1928" s="1063"/>
      <c r="W1928" s="1063"/>
      <c r="X1928" s="1063"/>
      <c r="Y1928" s="1063"/>
      <c r="Z1928" s="1063"/>
      <c r="AA1928" s="1063"/>
      <c r="AB1928" s="1063"/>
      <c r="AC1928" s="1063"/>
      <c r="AD1928" s="1063"/>
      <c r="AE1928" s="1063"/>
      <c r="AF1928" s="1063"/>
      <c r="AG1928" s="1063"/>
      <c r="AH1928" s="1063"/>
      <c r="AI1928" s="1063"/>
      <c r="AJ1928" s="1063"/>
      <c r="AK1928" s="1063"/>
      <c r="AL1928" s="1063"/>
      <c r="AM1928" s="1063"/>
      <c r="AN1928" s="1063"/>
      <c r="AO1928" s="1063"/>
      <c r="AP1928" s="1063"/>
      <c r="AQ1928" s="1063"/>
      <c r="AR1928" s="1063"/>
      <c r="AS1928" s="1063"/>
      <c r="AT1928" s="1063"/>
      <c r="AU1928" s="1063"/>
      <c r="AV1928" s="1063"/>
    </row>
    <row r="1929" spans="1:48" s="1108" customFormat="1" ht="27.75" customHeight="1">
      <c r="A1929" s="1076"/>
      <c r="B1929" s="1074">
        <f>+'[18]Bldg+Dev'!S2741</f>
        <v>0</v>
      </c>
      <c r="D1929" s="1063"/>
      <c r="F1929" s="1076"/>
      <c r="G1929" s="1063"/>
      <c r="H1929" s="1063"/>
      <c r="I1929" s="1063"/>
      <c r="J1929" s="1063"/>
      <c r="K1929" s="1063"/>
      <c r="L1929" s="1063"/>
      <c r="M1929" s="1063"/>
      <c r="N1929" s="1063"/>
      <c r="O1929" s="1063"/>
      <c r="P1929" s="1063"/>
      <c r="Q1929" s="1063"/>
      <c r="R1929" s="1063"/>
      <c r="S1929" s="1063"/>
      <c r="T1929" s="1063"/>
      <c r="U1929" s="1063"/>
      <c r="V1929" s="1063"/>
      <c r="W1929" s="1063"/>
      <c r="X1929" s="1063"/>
      <c r="Y1929" s="1063"/>
      <c r="Z1929" s="1063"/>
      <c r="AA1929" s="1063"/>
      <c r="AB1929" s="1063"/>
      <c r="AC1929" s="1063"/>
      <c r="AD1929" s="1063"/>
      <c r="AE1929" s="1063"/>
      <c r="AF1929" s="1063"/>
      <c r="AG1929" s="1063"/>
      <c r="AH1929" s="1063"/>
      <c r="AI1929" s="1063"/>
      <c r="AJ1929" s="1063"/>
      <c r="AK1929" s="1063"/>
      <c r="AL1929" s="1063"/>
      <c r="AM1929" s="1063"/>
      <c r="AN1929" s="1063"/>
      <c r="AO1929" s="1063"/>
      <c r="AP1929" s="1063"/>
      <c r="AQ1929" s="1063"/>
      <c r="AR1929" s="1063"/>
      <c r="AS1929" s="1063"/>
      <c r="AT1929" s="1063"/>
      <c r="AU1929" s="1063"/>
      <c r="AV1929" s="1063"/>
    </row>
    <row r="1930" spans="1:48" s="1108" customFormat="1" ht="27.75" customHeight="1">
      <c r="A1930" s="1076"/>
      <c r="B1930" s="1074">
        <f>+'[18]Bldg+Dev'!S2742</f>
        <v>0</v>
      </c>
      <c r="D1930" s="1063"/>
      <c r="F1930" s="1076"/>
      <c r="G1930" s="1063"/>
      <c r="H1930" s="1063"/>
      <c r="I1930" s="1063"/>
      <c r="J1930" s="1063"/>
      <c r="K1930" s="1063"/>
      <c r="L1930" s="1063"/>
      <c r="M1930" s="1063"/>
      <c r="N1930" s="1063"/>
      <c r="O1930" s="1063"/>
      <c r="P1930" s="1063"/>
      <c r="Q1930" s="1063"/>
      <c r="R1930" s="1063"/>
      <c r="S1930" s="1063"/>
      <c r="T1930" s="1063"/>
      <c r="U1930" s="1063"/>
      <c r="V1930" s="1063"/>
      <c r="W1930" s="1063"/>
      <c r="X1930" s="1063"/>
      <c r="Y1930" s="1063"/>
      <c r="Z1930" s="1063"/>
      <c r="AA1930" s="1063"/>
      <c r="AB1930" s="1063"/>
      <c r="AC1930" s="1063"/>
      <c r="AD1930" s="1063"/>
      <c r="AE1930" s="1063"/>
      <c r="AF1930" s="1063"/>
      <c r="AG1930" s="1063"/>
      <c r="AH1930" s="1063"/>
      <c r="AI1930" s="1063"/>
      <c r="AJ1930" s="1063"/>
      <c r="AK1930" s="1063"/>
      <c r="AL1930" s="1063"/>
      <c r="AM1930" s="1063"/>
      <c r="AN1930" s="1063"/>
      <c r="AO1930" s="1063"/>
      <c r="AP1930" s="1063"/>
      <c r="AQ1930" s="1063"/>
      <c r="AR1930" s="1063"/>
      <c r="AS1930" s="1063"/>
      <c r="AT1930" s="1063"/>
      <c r="AU1930" s="1063"/>
      <c r="AV1930" s="1063"/>
    </row>
    <row r="1931" spans="1:48" s="1108" customFormat="1" ht="27.75" customHeight="1">
      <c r="A1931" s="1076"/>
      <c r="B1931" s="1074">
        <f>+'[18]Bldg+Dev'!S2743</f>
        <v>0</v>
      </c>
      <c r="D1931" s="1063"/>
      <c r="F1931" s="1076"/>
      <c r="G1931" s="1063"/>
      <c r="H1931" s="1063"/>
      <c r="I1931" s="1063"/>
      <c r="J1931" s="1063"/>
      <c r="K1931" s="1063"/>
      <c r="L1931" s="1063"/>
      <c r="M1931" s="1063"/>
      <c r="N1931" s="1063"/>
      <c r="O1931" s="1063"/>
      <c r="P1931" s="1063"/>
      <c r="Q1931" s="1063"/>
      <c r="R1931" s="1063"/>
      <c r="S1931" s="1063"/>
      <c r="T1931" s="1063"/>
      <c r="U1931" s="1063"/>
      <c r="V1931" s="1063"/>
      <c r="W1931" s="1063"/>
      <c r="X1931" s="1063"/>
      <c r="Y1931" s="1063"/>
      <c r="Z1931" s="1063"/>
      <c r="AA1931" s="1063"/>
      <c r="AB1931" s="1063"/>
      <c r="AC1931" s="1063"/>
      <c r="AD1931" s="1063"/>
      <c r="AE1931" s="1063"/>
      <c r="AF1931" s="1063"/>
      <c r="AG1931" s="1063"/>
      <c r="AH1931" s="1063"/>
      <c r="AI1931" s="1063"/>
      <c r="AJ1931" s="1063"/>
      <c r="AK1931" s="1063"/>
      <c r="AL1931" s="1063"/>
      <c r="AM1931" s="1063"/>
      <c r="AN1931" s="1063"/>
      <c r="AO1931" s="1063"/>
      <c r="AP1931" s="1063"/>
      <c r="AQ1931" s="1063"/>
      <c r="AR1931" s="1063"/>
      <c r="AS1931" s="1063"/>
      <c r="AT1931" s="1063"/>
      <c r="AU1931" s="1063"/>
      <c r="AV1931" s="1063"/>
    </row>
    <row r="1932" spans="1:48" s="1108" customFormat="1" ht="27.75" customHeight="1">
      <c r="A1932" s="1076"/>
      <c r="B1932" s="1074">
        <f>+'[18]Bldg+Dev'!S2744</f>
        <v>0</v>
      </c>
      <c r="D1932" s="1063"/>
      <c r="F1932" s="1076"/>
      <c r="G1932" s="1063"/>
      <c r="H1932" s="1063"/>
      <c r="I1932" s="1063"/>
      <c r="J1932" s="1063"/>
      <c r="K1932" s="1063"/>
      <c r="L1932" s="1063"/>
      <c r="M1932" s="1063"/>
      <c r="N1932" s="1063"/>
      <c r="O1932" s="1063"/>
      <c r="P1932" s="1063"/>
      <c r="Q1932" s="1063"/>
      <c r="R1932" s="1063"/>
      <c r="S1932" s="1063"/>
      <c r="T1932" s="1063"/>
      <c r="U1932" s="1063"/>
      <c r="V1932" s="1063"/>
      <c r="W1932" s="1063"/>
      <c r="X1932" s="1063"/>
      <c r="Y1932" s="1063"/>
      <c r="Z1932" s="1063"/>
      <c r="AA1932" s="1063"/>
      <c r="AB1932" s="1063"/>
      <c r="AC1932" s="1063"/>
      <c r="AD1932" s="1063"/>
      <c r="AE1932" s="1063"/>
      <c r="AF1932" s="1063"/>
      <c r="AG1932" s="1063"/>
      <c r="AH1932" s="1063"/>
      <c r="AI1932" s="1063"/>
      <c r="AJ1932" s="1063"/>
      <c r="AK1932" s="1063"/>
      <c r="AL1932" s="1063"/>
      <c r="AM1932" s="1063"/>
      <c r="AN1932" s="1063"/>
      <c r="AO1932" s="1063"/>
      <c r="AP1932" s="1063"/>
      <c r="AQ1932" s="1063"/>
      <c r="AR1932" s="1063"/>
      <c r="AS1932" s="1063"/>
      <c r="AT1932" s="1063"/>
      <c r="AU1932" s="1063"/>
      <c r="AV1932" s="1063"/>
    </row>
    <row r="1933" spans="1:48" s="1108" customFormat="1" ht="27.75" customHeight="1">
      <c r="A1933" s="1076"/>
      <c r="B1933" s="1074">
        <f>+'[18]Bldg+Dev'!S2745</f>
        <v>0</v>
      </c>
      <c r="D1933" s="1063"/>
      <c r="F1933" s="1076"/>
      <c r="G1933" s="1063"/>
      <c r="H1933" s="1063"/>
      <c r="I1933" s="1063"/>
      <c r="J1933" s="1063"/>
      <c r="K1933" s="1063"/>
      <c r="L1933" s="1063"/>
      <c r="M1933" s="1063"/>
      <c r="N1933" s="1063"/>
      <c r="O1933" s="1063"/>
      <c r="P1933" s="1063"/>
      <c r="Q1933" s="1063"/>
      <c r="R1933" s="1063"/>
      <c r="S1933" s="1063"/>
      <c r="T1933" s="1063"/>
      <c r="U1933" s="1063"/>
      <c r="V1933" s="1063"/>
      <c r="W1933" s="1063"/>
      <c r="X1933" s="1063"/>
      <c r="Y1933" s="1063"/>
      <c r="Z1933" s="1063"/>
      <c r="AA1933" s="1063"/>
      <c r="AB1933" s="1063"/>
      <c r="AC1933" s="1063"/>
      <c r="AD1933" s="1063"/>
      <c r="AE1933" s="1063"/>
      <c r="AF1933" s="1063"/>
      <c r="AG1933" s="1063"/>
      <c r="AH1933" s="1063"/>
      <c r="AI1933" s="1063"/>
      <c r="AJ1933" s="1063"/>
      <c r="AK1933" s="1063"/>
      <c r="AL1933" s="1063"/>
      <c r="AM1933" s="1063"/>
      <c r="AN1933" s="1063"/>
      <c r="AO1933" s="1063"/>
      <c r="AP1933" s="1063"/>
      <c r="AQ1933" s="1063"/>
      <c r="AR1933" s="1063"/>
      <c r="AS1933" s="1063"/>
      <c r="AT1933" s="1063"/>
      <c r="AU1933" s="1063"/>
      <c r="AV1933" s="1063"/>
    </row>
    <row r="1934" spans="1:48" s="1108" customFormat="1" ht="27.75" customHeight="1">
      <c r="A1934" s="1076"/>
      <c r="B1934" s="1074">
        <f>+'[18]Bldg+Dev'!S2746</f>
        <v>0</v>
      </c>
      <c r="D1934" s="1063"/>
      <c r="F1934" s="1076"/>
      <c r="G1934" s="1063"/>
      <c r="H1934" s="1063"/>
      <c r="I1934" s="1063"/>
      <c r="J1934" s="1063"/>
      <c r="K1934" s="1063"/>
      <c r="L1934" s="1063"/>
      <c r="M1934" s="1063"/>
      <c r="N1934" s="1063"/>
      <c r="O1934" s="1063"/>
      <c r="P1934" s="1063"/>
      <c r="Q1934" s="1063"/>
      <c r="R1934" s="1063"/>
      <c r="S1934" s="1063"/>
      <c r="T1934" s="1063"/>
      <c r="U1934" s="1063"/>
      <c r="V1934" s="1063"/>
      <c r="W1934" s="1063"/>
      <c r="X1934" s="1063"/>
      <c r="Y1934" s="1063"/>
      <c r="Z1934" s="1063"/>
      <c r="AA1934" s="1063"/>
      <c r="AB1934" s="1063"/>
      <c r="AC1934" s="1063"/>
      <c r="AD1934" s="1063"/>
      <c r="AE1934" s="1063"/>
      <c r="AF1934" s="1063"/>
      <c r="AG1934" s="1063"/>
      <c r="AH1934" s="1063"/>
      <c r="AI1934" s="1063"/>
      <c r="AJ1934" s="1063"/>
      <c r="AK1934" s="1063"/>
      <c r="AL1934" s="1063"/>
      <c r="AM1934" s="1063"/>
      <c r="AN1934" s="1063"/>
      <c r="AO1934" s="1063"/>
      <c r="AP1934" s="1063"/>
      <c r="AQ1934" s="1063"/>
      <c r="AR1934" s="1063"/>
      <c r="AS1934" s="1063"/>
      <c r="AT1934" s="1063"/>
      <c r="AU1934" s="1063"/>
      <c r="AV1934" s="1063"/>
    </row>
    <row r="1935" spans="1:48" s="1108" customFormat="1" ht="27.75" customHeight="1">
      <c r="A1935" s="1076"/>
      <c r="B1935" s="1074">
        <f>+'[18]Bldg+Dev'!S2747</f>
        <v>0</v>
      </c>
      <c r="D1935" s="1063"/>
      <c r="F1935" s="1076"/>
      <c r="G1935" s="1063"/>
      <c r="H1935" s="1063"/>
      <c r="I1935" s="1063"/>
      <c r="J1935" s="1063"/>
      <c r="K1935" s="1063"/>
      <c r="L1935" s="1063"/>
      <c r="M1935" s="1063"/>
      <c r="N1935" s="1063"/>
      <c r="O1935" s="1063"/>
      <c r="P1935" s="1063"/>
      <c r="Q1935" s="1063"/>
      <c r="R1935" s="1063"/>
      <c r="S1935" s="1063"/>
      <c r="T1935" s="1063"/>
      <c r="U1935" s="1063"/>
      <c r="V1935" s="1063"/>
      <c r="W1935" s="1063"/>
      <c r="X1935" s="1063"/>
      <c r="Y1935" s="1063"/>
      <c r="Z1935" s="1063"/>
      <c r="AA1935" s="1063"/>
      <c r="AB1935" s="1063"/>
      <c r="AC1935" s="1063"/>
      <c r="AD1935" s="1063"/>
      <c r="AE1935" s="1063"/>
      <c r="AF1935" s="1063"/>
      <c r="AG1935" s="1063"/>
      <c r="AH1935" s="1063"/>
      <c r="AI1935" s="1063"/>
      <c r="AJ1935" s="1063"/>
      <c r="AK1935" s="1063"/>
      <c r="AL1935" s="1063"/>
      <c r="AM1935" s="1063"/>
      <c r="AN1935" s="1063"/>
      <c r="AO1935" s="1063"/>
      <c r="AP1935" s="1063"/>
      <c r="AQ1935" s="1063"/>
      <c r="AR1935" s="1063"/>
      <c r="AS1935" s="1063"/>
      <c r="AT1935" s="1063"/>
      <c r="AU1935" s="1063"/>
      <c r="AV1935" s="1063"/>
    </row>
    <row r="1936" spans="1:48" s="1108" customFormat="1" ht="27.75" customHeight="1">
      <c r="A1936" s="1076"/>
      <c r="B1936" s="1074">
        <f>+'[18]Bldg+Dev'!S2748</f>
        <v>0</v>
      </c>
      <c r="D1936" s="1063"/>
      <c r="F1936" s="1076"/>
      <c r="G1936" s="1063"/>
      <c r="H1936" s="1063"/>
      <c r="I1936" s="1063"/>
      <c r="J1936" s="1063"/>
      <c r="K1936" s="1063"/>
      <c r="L1936" s="1063"/>
      <c r="M1936" s="1063"/>
      <c r="N1936" s="1063"/>
      <c r="O1936" s="1063"/>
      <c r="P1936" s="1063"/>
      <c r="Q1936" s="1063"/>
      <c r="R1936" s="1063"/>
      <c r="S1936" s="1063"/>
      <c r="T1936" s="1063"/>
      <c r="U1936" s="1063"/>
      <c r="V1936" s="1063"/>
      <c r="W1936" s="1063"/>
      <c r="X1936" s="1063"/>
      <c r="Y1936" s="1063"/>
      <c r="Z1936" s="1063"/>
      <c r="AA1936" s="1063"/>
      <c r="AB1936" s="1063"/>
      <c r="AC1936" s="1063"/>
      <c r="AD1936" s="1063"/>
      <c r="AE1936" s="1063"/>
      <c r="AF1936" s="1063"/>
      <c r="AG1936" s="1063"/>
      <c r="AH1936" s="1063"/>
      <c r="AI1936" s="1063"/>
      <c r="AJ1936" s="1063"/>
      <c r="AK1936" s="1063"/>
      <c r="AL1936" s="1063"/>
      <c r="AM1936" s="1063"/>
      <c r="AN1936" s="1063"/>
      <c r="AO1936" s="1063"/>
      <c r="AP1936" s="1063"/>
      <c r="AQ1936" s="1063"/>
      <c r="AR1936" s="1063"/>
      <c r="AS1936" s="1063"/>
      <c r="AT1936" s="1063"/>
      <c r="AU1936" s="1063"/>
      <c r="AV1936" s="1063"/>
    </row>
    <row r="1937" spans="1:48" s="1108" customFormat="1" ht="27.75" customHeight="1">
      <c r="A1937" s="1076"/>
      <c r="B1937" s="1074">
        <f>+'[18]Bldg+Dev'!S2749</f>
        <v>0</v>
      </c>
      <c r="D1937" s="1063"/>
      <c r="F1937" s="1076"/>
      <c r="G1937" s="1063"/>
      <c r="H1937" s="1063"/>
      <c r="I1937" s="1063"/>
      <c r="J1937" s="1063"/>
      <c r="K1937" s="1063"/>
      <c r="L1937" s="1063"/>
      <c r="M1937" s="1063"/>
      <c r="N1937" s="1063"/>
      <c r="O1937" s="1063"/>
      <c r="P1937" s="1063"/>
      <c r="Q1937" s="1063"/>
      <c r="R1937" s="1063"/>
      <c r="S1937" s="1063"/>
      <c r="T1937" s="1063"/>
      <c r="U1937" s="1063"/>
      <c r="V1937" s="1063"/>
      <c r="W1937" s="1063"/>
      <c r="X1937" s="1063"/>
      <c r="Y1937" s="1063"/>
      <c r="Z1937" s="1063"/>
      <c r="AA1937" s="1063"/>
      <c r="AB1937" s="1063"/>
      <c r="AC1937" s="1063"/>
      <c r="AD1937" s="1063"/>
      <c r="AE1937" s="1063"/>
      <c r="AF1937" s="1063"/>
      <c r="AG1937" s="1063"/>
      <c r="AH1937" s="1063"/>
      <c r="AI1937" s="1063"/>
      <c r="AJ1937" s="1063"/>
      <c r="AK1937" s="1063"/>
      <c r="AL1937" s="1063"/>
      <c r="AM1937" s="1063"/>
      <c r="AN1937" s="1063"/>
      <c r="AO1937" s="1063"/>
      <c r="AP1937" s="1063"/>
      <c r="AQ1937" s="1063"/>
      <c r="AR1937" s="1063"/>
      <c r="AS1937" s="1063"/>
      <c r="AT1937" s="1063"/>
      <c r="AU1937" s="1063"/>
      <c r="AV1937" s="1063"/>
    </row>
    <row r="1938" spans="1:48" s="1108" customFormat="1" ht="27.75" customHeight="1">
      <c r="A1938" s="1076"/>
      <c r="B1938" s="1074">
        <f>+'[18]Bldg+Dev'!S2750</f>
        <v>0</v>
      </c>
      <c r="D1938" s="1063"/>
      <c r="F1938" s="1076"/>
      <c r="G1938" s="1063"/>
      <c r="H1938" s="1063"/>
      <c r="I1938" s="1063"/>
      <c r="J1938" s="1063"/>
      <c r="K1938" s="1063"/>
      <c r="L1938" s="1063"/>
      <c r="M1938" s="1063"/>
      <c r="N1938" s="1063"/>
      <c r="O1938" s="1063"/>
      <c r="P1938" s="1063"/>
      <c r="Q1938" s="1063"/>
      <c r="R1938" s="1063"/>
      <c r="S1938" s="1063"/>
      <c r="T1938" s="1063"/>
      <c r="U1938" s="1063"/>
      <c r="V1938" s="1063"/>
      <c r="W1938" s="1063"/>
      <c r="X1938" s="1063"/>
      <c r="Y1938" s="1063"/>
      <c r="Z1938" s="1063"/>
      <c r="AA1938" s="1063"/>
      <c r="AB1938" s="1063"/>
      <c r="AC1938" s="1063"/>
      <c r="AD1938" s="1063"/>
      <c r="AE1938" s="1063"/>
      <c r="AF1938" s="1063"/>
      <c r="AG1938" s="1063"/>
      <c r="AH1938" s="1063"/>
      <c r="AI1938" s="1063"/>
      <c r="AJ1938" s="1063"/>
      <c r="AK1938" s="1063"/>
      <c r="AL1938" s="1063"/>
      <c r="AM1938" s="1063"/>
      <c r="AN1938" s="1063"/>
      <c r="AO1938" s="1063"/>
      <c r="AP1938" s="1063"/>
      <c r="AQ1938" s="1063"/>
      <c r="AR1938" s="1063"/>
      <c r="AS1938" s="1063"/>
      <c r="AT1938" s="1063"/>
      <c r="AU1938" s="1063"/>
      <c r="AV1938" s="1063"/>
    </row>
    <row r="1939" spans="1:48" s="1108" customFormat="1" ht="27.75" customHeight="1">
      <c r="A1939" s="1076"/>
      <c r="B1939" s="1074">
        <f>+'[18]Bldg+Dev'!S2751</f>
        <v>0</v>
      </c>
      <c r="D1939" s="1063"/>
      <c r="F1939" s="1076"/>
      <c r="G1939" s="1063"/>
      <c r="H1939" s="1063"/>
      <c r="I1939" s="1063"/>
      <c r="J1939" s="1063"/>
      <c r="K1939" s="1063"/>
      <c r="L1939" s="1063"/>
      <c r="M1939" s="1063"/>
      <c r="N1939" s="1063"/>
      <c r="O1939" s="1063"/>
      <c r="P1939" s="1063"/>
      <c r="Q1939" s="1063"/>
      <c r="R1939" s="1063"/>
      <c r="S1939" s="1063"/>
      <c r="T1939" s="1063"/>
      <c r="U1939" s="1063"/>
      <c r="V1939" s="1063"/>
      <c r="W1939" s="1063"/>
      <c r="X1939" s="1063"/>
      <c r="Y1939" s="1063"/>
      <c r="Z1939" s="1063"/>
      <c r="AA1939" s="1063"/>
      <c r="AB1939" s="1063"/>
      <c r="AC1939" s="1063"/>
      <c r="AD1939" s="1063"/>
      <c r="AE1939" s="1063"/>
      <c r="AF1939" s="1063"/>
      <c r="AG1939" s="1063"/>
      <c r="AH1939" s="1063"/>
      <c r="AI1939" s="1063"/>
      <c r="AJ1939" s="1063"/>
      <c r="AK1939" s="1063"/>
      <c r="AL1939" s="1063"/>
      <c r="AM1939" s="1063"/>
      <c r="AN1939" s="1063"/>
      <c r="AO1939" s="1063"/>
      <c r="AP1939" s="1063"/>
      <c r="AQ1939" s="1063"/>
      <c r="AR1939" s="1063"/>
      <c r="AS1939" s="1063"/>
      <c r="AT1939" s="1063"/>
      <c r="AU1939" s="1063"/>
      <c r="AV1939" s="1063"/>
    </row>
    <row r="1940" spans="1:48" s="1108" customFormat="1" ht="27.75" customHeight="1">
      <c r="A1940" s="1076"/>
      <c r="B1940" s="1074">
        <f>+'[18]Bldg+Dev'!S2752</f>
        <v>0</v>
      </c>
      <c r="D1940" s="1063"/>
      <c r="F1940" s="1076"/>
      <c r="G1940" s="1063"/>
      <c r="H1940" s="1063"/>
      <c r="I1940" s="1063"/>
      <c r="J1940" s="1063"/>
      <c r="K1940" s="1063"/>
      <c r="L1940" s="1063"/>
      <c r="M1940" s="1063"/>
      <c r="N1940" s="1063"/>
      <c r="O1940" s="1063"/>
      <c r="P1940" s="1063"/>
      <c r="Q1940" s="1063"/>
      <c r="R1940" s="1063"/>
      <c r="S1940" s="1063"/>
      <c r="T1940" s="1063"/>
      <c r="U1940" s="1063"/>
      <c r="V1940" s="1063"/>
      <c r="W1940" s="1063"/>
      <c r="X1940" s="1063"/>
      <c r="Y1940" s="1063"/>
      <c r="Z1940" s="1063"/>
      <c r="AA1940" s="1063"/>
      <c r="AB1940" s="1063"/>
      <c r="AC1940" s="1063"/>
      <c r="AD1940" s="1063"/>
      <c r="AE1940" s="1063"/>
      <c r="AF1940" s="1063"/>
      <c r="AG1940" s="1063"/>
      <c r="AH1940" s="1063"/>
      <c r="AI1940" s="1063"/>
      <c r="AJ1940" s="1063"/>
      <c r="AK1940" s="1063"/>
      <c r="AL1940" s="1063"/>
      <c r="AM1940" s="1063"/>
      <c r="AN1940" s="1063"/>
      <c r="AO1940" s="1063"/>
      <c r="AP1940" s="1063"/>
      <c r="AQ1940" s="1063"/>
      <c r="AR1940" s="1063"/>
      <c r="AS1940" s="1063"/>
      <c r="AT1940" s="1063"/>
      <c r="AU1940" s="1063"/>
      <c r="AV1940" s="1063"/>
    </row>
    <row r="1941" spans="1:48" s="1108" customFormat="1" ht="27.75" customHeight="1">
      <c r="A1941" s="1076"/>
      <c r="B1941" s="1074">
        <f>+'[18]Bldg+Dev'!S2753</f>
        <v>0</v>
      </c>
      <c r="D1941" s="1063"/>
      <c r="F1941" s="1076"/>
      <c r="G1941" s="1063"/>
      <c r="H1941" s="1063"/>
      <c r="I1941" s="1063"/>
      <c r="J1941" s="1063"/>
      <c r="K1941" s="1063"/>
      <c r="L1941" s="1063"/>
      <c r="M1941" s="1063"/>
      <c r="N1941" s="1063"/>
      <c r="O1941" s="1063"/>
      <c r="P1941" s="1063"/>
      <c r="Q1941" s="1063"/>
      <c r="R1941" s="1063"/>
      <c r="S1941" s="1063"/>
      <c r="T1941" s="1063"/>
      <c r="U1941" s="1063"/>
      <c r="V1941" s="1063"/>
      <c r="W1941" s="1063"/>
      <c r="X1941" s="1063"/>
      <c r="Y1941" s="1063"/>
      <c r="Z1941" s="1063"/>
      <c r="AA1941" s="1063"/>
      <c r="AB1941" s="1063"/>
      <c r="AC1941" s="1063"/>
      <c r="AD1941" s="1063"/>
      <c r="AE1941" s="1063"/>
      <c r="AF1941" s="1063"/>
      <c r="AG1941" s="1063"/>
      <c r="AH1941" s="1063"/>
      <c r="AI1941" s="1063"/>
      <c r="AJ1941" s="1063"/>
      <c r="AK1941" s="1063"/>
      <c r="AL1941" s="1063"/>
      <c r="AM1941" s="1063"/>
      <c r="AN1941" s="1063"/>
      <c r="AO1941" s="1063"/>
      <c r="AP1941" s="1063"/>
      <c r="AQ1941" s="1063"/>
      <c r="AR1941" s="1063"/>
      <c r="AS1941" s="1063"/>
      <c r="AT1941" s="1063"/>
      <c r="AU1941" s="1063"/>
      <c r="AV1941" s="1063"/>
    </row>
    <row r="1942" spans="1:48" s="1108" customFormat="1" ht="27.75" customHeight="1">
      <c r="A1942" s="1076"/>
      <c r="B1942" s="1074">
        <f>+'[18]Bldg+Dev'!S2754</f>
        <v>0</v>
      </c>
      <c r="D1942" s="1063"/>
      <c r="F1942" s="1076"/>
      <c r="G1942" s="1063"/>
      <c r="H1942" s="1063"/>
      <c r="I1942" s="1063"/>
      <c r="J1942" s="1063"/>
      <c r="K1942" s="1063"/>
      <c r="L1942" s="1063"/>
      <c r="M1942" s="1063"/>
      <c r="N1942" s="1063"/>
      <c r="O1942" s="1063"/>
      <c r="P1942" s="1063"/>
      <c r="Q1942" s="1063"/>
      <c r="R1942" s="1063"/>
      <c r="S1942" s="1063"/>
      <c r="T1942" s="1063"/>
      <c r="U1942" s="1063"/>
      <c r="V1942" s="1063"/>
      <c r="W1942" s="1063"/>
      <c r="X1942" s="1063"/>
      <c r="Y1942" s="1063"/>
      <c r="Z1942" s="1063"/>
      <c r="AA1942" s="1063"/>
      <c r="AB1942" s="1063"/>
      <c r="AC1942" s="1063"/>
      <c r="AD1942" s="1063"/>
      <c r="AE1942" s="1063"/>
      <c r="AF1942" s="1063"/>
      <c r="AG1942" s="1063"/>
      <c r="AH1942" s="1063"/>
      <c r="AI1942" s="1063"/>
      <c r="AJ1942" s="1063"/>
      <c r="AK1942" s="1063"/>
      <c r="AL1942" s="1063"/>
      <c r="AM1942" s="1063"/>
      <c r="AN1942" s="1063"/>
      <c r="AO1942" s="1063"/>
      <c r="AP1942" s="1063"/>
      <c r="AQ1942" s="1063"/>
      <c r="AR1942" s="1063"/>
      <c r="AS1942" s="1063"/>
      <c r="AT1942" s="1063"/>
      <c r="AU1942" s="1063"/>
      <c r="AV1942" s="1063"/>
    </row>
    <row r="1943" spans="1:48" s="1108" customFormat="1" ht="27.75" customHeight="1">
      <c r="A1943" s="1076"/>
      <c r="B1943" s="1074">
        <f>+'[18]Bldg+Dev'!S2755</f>
        <v>0</v>
      </c>
      <c r="D1943" s="1063"/>
      <c r="F1943" s="1076"/>
      <c r="G1943" s="1063"/>
      <c r="H1943" s="1063"/>
      <c r="I1943" s="1063"/>
      <c r="J1943" s="1063"/>
      <c r="K1943" s="1063"/>
      <c r="L1943" s="1063"/>
      <c r="M1943" s="1063"/>
      <c r="N1943" s="1063"/>
      <c r="O1943" s="1063"/>
      <c r="P1943" s="1063"/>
      <c r="Q1943" s="1063"/>
      <c r="R1943" s="1063"/>
      <c r="S1943" s="1063"/>
      <c r="T1943" s="1063"/>
      <c r="U1943" s="1063"/>
      <c r="V1943" s="1063"/>
      <c r="W1943" s="1063"/>
      <c r="X1943" s="1063"/>
      <c r="Y1943" s="1063"/>
      <c r="Z1943" s="1063"/>
      <c r="AA1943" s="1063"/>
      <c r="AB1943" s="1063"/>
      <c r="AC1943" s="1063"/>
      <c r="AD1943" s="1063"/>
      <c r="AE1943" s="1063"/>
      <c r="AF1943" s="1063"/>
      <c r="AG1943" s="1063"/>
      <c r="AH1943" s="1063"/>
      <c r="AI1943" s="1063"/>
      <c r="AJ1943" s="1063"/>
      <c r="AK1943" s="1063"/>
      <c r="AL1943" s="1063"/>
      <c r="AM1943" s="1063"/>
      <c r="AN1943" s="1063"/>
      <c r="AO1943" s="1063"/>
      <c r="AP1943" s="1063"/>
      <c r="AQ1943" s="1063"/>
      <c r="AR1943" s="1063"/>
      <c r="AS1943" s="1063"/>
      <c r="AT1943" s="1063"/>
      <c r="AU1943" s="1063"/>
      <c r="AV1943" s="1063"/>
    </row>
    <row r="1944" spans="1:48" s="1108" customFormat="1" ht="27.75" customHeight="1">
      <c r="A1944" s="1076"/>
      <c r="B1944" s="1074">
        <f>+'[18]Bldg+Dev'!S2756</f>
        <v>0</v>
      </c>
      <c r="D1944" s="1063"/>
      <c r="F1944" s="1076"/>
      <c r="G1944" s="1063"/>
      <c r="H1944" s="1063"/>
      <c r="I1944" s="1063"/>
      <c r="J1944" s="1063"/>
      <c r="K1944" s="1063"/>
      <c r="L1944" s="1063"/>
      <c r="M1944" s="1063"/>
      <c r="N1944" s="1063"/>
      <c r="O1944" s="1063"/>
      <c r="P1944" s="1063"/>
      <c r="Q1944" s="1063"/>
      <c r="R1944" s="1063"/>
      <c r="S1944" s="1063"/>
      <c r="T1944" s="1063"/>
      <c r="U1944" s="1063"/>
      <c r="V1944" s="1063"/>
      <c r="W1944" s="1063"/>
      <c r="X1944" s="1063"/>
      <c r="Y1944" s="1063"/>
      <c r="Z1944" s="1063"/>
      <c r="AA1944" s="1063"/>
      <c r="AB1944" s="1063"/>
      <c r="AC1944" s="1063"/>
      <c r="AD1944" s="1063"/>
      <c r="AE1944" s="1063"/>
      <c r="AF1944" s="1063"/>
      <c r="AG1944" s="1063"/>
      <c r="AH1944" s="1063"/>
      <c r="AI1944" s="1063"/>
      <c r="AJ1944" s="1063"/>
      <c r="AK1944" s="1063"/>
      <c r="AL1944" s="1063"/>
      <c r="AM1944" s="1063"/>
      <c r="AN1944" s="1063"/>
      <c r="AO1944" s="1063"/>
      <c r="AP1944" s="1063"/>
      <c r="AQ1944" s="1063"/>
      <c r="AR1944" s="1063"/>
      <c r="AS1944" s="1063"/>
      <c r="AT1944" s="1063"/>
      <c r="AU1944" s="1063"/>
      <c r="AV1944" s="1063"/>
    </row>
    <row r="1945" spans="1:48" s="1108" customFormat="1" ht="27.75" customHeight="1">
      <c r="A1945" s="1076"/>
      <c r="B1945" s="1074">
        <f>+'[18]Bldg+Dev'!S2757</f>
        <v>0</v>
      </c>
      <c r="D1945" s="1063"/>
      <c r="F1945" s="1076"/>
      <c r="G1945" s="1063"/>
      <c r="H1945" s="1063"/>
      <c r="I1945" s="1063"/>
      <c r="J1945" s="1063"/>
      <c r="K1945" s="1063"/>
      <c r="L1945" s="1063"/>
      <c r="M1945" s="1063"/>
      <c r="N1945" s="1063"/>
      <c r="O1945" s="1063"/>
      <c r="P1945" s="1063"/>
      <c r="Q1945" s="1063"/>
      <c r="R1945" s="1063"/>
      <c r="S1945" s="1063"/>
      <c r="T1945" s="1063"/>
      <c r="U1945" s="1063"/>
      <c r="V1945" s="1063"/>
      <c r="W1945" s="1063"/>
      <c r="X1945" s="1063"/>
      <c r="Y1945" s="1063"/>
      <c r="Z1945" s="1063"/>
      <c r="AA1945" s="1063"/>
      <c r="AB1945" s="1063"/>
      <c r="AC1945" s="1063"/>
      <c r="AD1945" s="1063"/>
      <c r="AE1945" s="1063"/>
      <c r="AF1945" s="1063"/>
      <c r="AG1945" s="1063"/>
      <c r="AH1945" s="1063"/>
      <c r="AI1945" s="1063"/>
      <c r="AJ1945" s="1063"/>
      <c r="AK1945" s="1063"/>
      <c r="AL1945" s="1063"/>
      <c r="AM1945" s="1063"/>
      <c r="AN1945" s="1063"/>
      <c r="AO1945" s="1063"/>
      <c r="AP1945" s="1063"/>
      <c r="AQ1945" s="1063"/>
      <c r="AR1945" s="1063"/>
      <c r="AS1945" s="1063"/>
      <c r="AT1945" s="1063"/>
      <c r="AU1945" s="1063"/>
      <c r="AV1945" s="1063"/>
    </row>
    <row r="1946" spans="1:48" s="1108" customFormat="1" ht="27.75" customHeight="1">
      <c r="A1946" s="1076"/>
      <c r="B1946" s="1074">
        <f>+'[18]Bldg+Dev'!S2758</f>
        <v>0</v>
      </c>
      <c r="D1946" s="1063"/>
      <c r="F1946" s="1076"/>
      <c r="G1946" s="1063"/>
      <c r="H1946" s="1063"/>
      <c r="I1946" s="1063"/>
      <c r="J1946" s="1063"/>
      <c r="K1946" s="1063"/>
      <c r="L1946" s="1063"/>
      <c r="M1946" s="1063"/>
      <c r="N1946" s="1063"/>
      <c r="O1946" s="1063"/>
      <c r="P1946" s="1063"/>
      <c r="Q1946" s="1063"/>
      <c r="R1946" s="1063"/>
      <c r="S1946" s="1063"/>
      <c r="T1946" s="1063"/>
      <c r="U1946" s="1063"/>
      <c r="V1946" s="1063"/>
      <c r="W1946" s="1063"/>
      <c r="X1946" s="1063"/>
      <c r="Y1946" s="1063"/>
      <c r="Z1946" s="1063"/>
      <c r="AA1946" s="1063"/>
      <c r="AB1946" s="1063"/>
      <c r="AC1946" s="1063"/>
      <c r="AD1946" s="1063"/>
      <c r="AE1946" s="1063"/>
      <c r="AF1946" s="1063"/>
      <c r="AG1946" s="1063"/>
      <c r="AH1946" s="1063"/>
      <c r="AI1946" s="1063"/>
      <c r="AJ1946" s="1063"/>
      <c r="AK1946" s="1063"/>
      <c r="AL1946" s="1063"/>
      <c r="AM1946" s="1063"/>
      <c r="AN1946" s="1063"/>
      <c r="AO1946" s="1063"/>
      <c r="AP1946" s="1063"/>
      <c r="AQ1946" s="1063"/>
      <c r="AR1946" s="1063"/>
      <c r="AS1946" s="1063"/>
      <c r="AT1946" s="1063"/>
      <c r="AU1946" s="1063"/>
      <c r="AV1946" s="1063"/>
    </row>
    <row r="1947" spans="1:48" s="1108" customFormat="1" ht="27.75" customHeight="1">
      <c r="A1947" s="1076"/>
      <c r="B1947" s="1074">
        <f>+'[18]Bldg+Dev'!S2759</f>
        <v>0</v>
      </c>
      <c r="D1947" s="1063"/>
      <c r="F1947" s="1076"/>
      <c r="G1947" s="1063"/>
      <c r="H1947" s="1063"/>
      <c r="I1947" s="1063"/>
      <c r="J1947" s="1063"/>
      <c r="K1947" s="1063"/>
      <c r="L1947" s="1063"/>
      <c r="M1947" s="1063"/>
      <c r="N1947" s="1063"/>
      <c r="O1947" s="1063"/>
      <c r="P1947" s="1063"/>
      <c r="Q1947" s="1063"/>
      <c r="R1947" s="1063"/>
      <c r="S1947" s="1063"/>
      <c r="T1947" s="1063"/>
      <c r="U1947" s="1063"/>
      <c r="V1947" s="1063"/>
      <c r="W1947" s="1063"/>
      <c r="X1947" s="1063"/>
      <c r="Y1947" s="1063"/>
      <c r="Z1947" s="1063"/>
      <c r="AA1947" s="1063"/>
      <c r="AB1947" s="1063"/>
      <c r="AC1947" s="1063"/>
      <c r="AD1947" s="1063"/>
      <c r="AE1947" s="1063"/>
      <c r="AF1947" s="1063"/>
      <c r="AG1947" s="1063"/>
      <c r="AH1947" s="1063"/>
      <c r="AI1947" s="1063"/>
      <c r="AJ1947" s="1063"/>
      <c r="AK1947" s="1063"/>
      <c r="AL1947" s="1063"/>
      <c r="AM1947" s="1063"/>
      <c r="AN1947" s="1063"/>
      <c r="AO1947" s="1063"/>
      <c r="AP1947" s="1063"/>
      <c r="AQ1947" s="1063"/>
      <c r="AR1947" s="1063"/>
      <c r="AS1947" s="1063"/>
      <c r="AT1947" s="1063"/>
      <c r="AU1947" s="1063"/>
      <c r="AV1947" s="1063"/>
    </row>
    <row r="1948" spans="1:48" s="1108" customFormat="1" ht="27.75" customHeight="1">
      <c r="A1948" s="1076"/>
      <c r="B1948" s="1074">
        <f>+'[18]Bldg+Dev'!S2760</f>
        <v>0</v>
      </c>
      <c r="D1948" s="1063"/>
      <c r="F1948" s="1076"/>
      <c r="G1948" s="1063"/>
      <c r="H1948" s="1063"/>
      <c r="I1948" s="1063"/>
      <c r="J1948" s="1063"/>
      <c r="K1948" s="1063"/>
      <c r="L1948" s="1063"/>
      <c r="M1948" s="1063"/>
      <c r="N1948" s="1063"/>
      <c r="O1948" s="1063"/>
      <c r="P1948" s="1063"/>
      <c r="Q1948" s="1063"/>
      <c r="R1948" s="1063"/>
      <c r="S1948" s="1063"/>
      <c r="T1948" s="1063"/>
      <c r="U1948" s="1063"/>
      <c r="V1948" s="1063"/>
      <c r="W1948" s="1063"/>
      <c r="X1948" s="1063"/>
      <c r="Y1948" s="1063"/>
      <c r="Z1948" s="1063"/>
      <c r="AA1948" s="1063"/>
      <c r="AB1948" s="1063"/>
      <c r="AC1948" s="1063"/>
      <c r="AD1948" s="1063"/>
      <c r="AE1948" s="1063"/>
      <c r="AF1948" s="1063"/>
      <c r="AG1948" s="1063"/>
      <c r="AH1948" s="1063"/>
      <c r="AI1948" s="1063"/>
      <c r="AJ1948" s="1063"/>
      <c r="AK1948" s="1063"/>
      <c r="AL1948" s="1063"/>
      <c r="AM1948" s="1063"/>
      <c r="AN1948" s="1063"/>
      <c r="AO1948" s="1063"/>
      <c r="AP1948" s="1063"/>
      <c r="AQ1948" s="1063"/>
      <c r="AR1948" s="1063"/>
      <c r="AS1948" s="1063"/>
      <c r="AT1948" s="1063"/>
      <c r="AU1948" s="1063"/>
      <c r="AV1948" s="1063"/>
    </row>
    <row r="1949" spans="1:48" s="1108" customFormat="1" ht="27.75" customHeight="1">
      <c r="A1949" s="1076"/>
      <c r="B1949" s="1074">
        <f>+'[18]Bldg+Dev'!S2761</f>
        <v>0</v>
      </c>
      <c r="D1949" s="1063"/>
      <c r="F1949" s="1076"/>
      <c r="G1949" s="1063"/>
      <c r="H1949" s="1063"/>
      <c r="I1949" s="1063"/>
      <c r="J1949" s="1063"/>
      <c r="K1949" s="1063"/>
      <c r="L1949" s="1063"/>
      <c r="M1949" s="1063"/>
      <c r="N1949" s="1063"/>
      <c r="O1949" s="1063"/>
      <c r="P1949" s="1063"/>
      <c r="Q1949" s="1063"/>
      <c r="R1949" s="1063"/>
      <c r="S1949" s="1063"/>
      <c r="T1949" s="1063"/>
      <c r="U1949" s="1063"/>
      <c r="V1949" s="1063"/>
      <c r="W1949" s="1063"/>
      <c r="X1949" s="1063"/>
      <c r="Y1949" s="1063"/>
      <c r="Z1949" s="1063"/>
      <c r="AA1949" s="1063"/>
      <c r="AB1949" s="1063"/>
      <c r="AC1949" s="1063"/>
      <c r="AD1949" s="1063"/>
      <c r="AE1949" s="1063"/>
      <c r="AF1949" s="1063"/>
      <c r="AG1949" s="1063"/>
      <c r="AH1949" s="1063"/>
      <c r="AI1949" s="1063"/>
      <c r="AJ1949" s="1063"/>
      <c r="AK1949" s="1063"/>
      <c r="AL1949" s="1063"/>
      <c r="AM1949" s="1063"/>
      <c r="AN1949" s="1063"/>
      <c r="AO1949" s="1063"/>
      <c r="AP1949" s="1063"/>
      <c r="AQ1949" s="1063"/>
      <c r="AR1949" s="1063"/>
      <c r="AS1949" s="1063"/>
      <c r="AT1949" s="1063"/>
      <c r="AU1949" s="1063"/>
      <c r="AV1949" s="1063"/>
    </row>
    <row r="1950" spans="1:48" s="1108" customFormat="1" ht="27.75" customHeight="1">
      <c r="A1950" s="1076"/>
      <c r="B1950" s="1074">
        <f>+'[18]Bldg+Dev'!S2762</f>
        <v>0</v>
      </c>
      <c r="D1950" s="1063"/>
      <c r="F1950" s="1076"/>
      <c r="G1950" s="1063"/>
      <c r="H1950" s="1063"/>
      <c r="I1950" s="1063"/>
      <c r="J1950" s="1063"/>
      <c r="K1950" s="1063"/>
      <c r="L1950" s="1063"/>
      <c r="M1950" s="1063"/>
      <c r="N1950" s="1063"/>
      <c r="O1950" s="1063"/>
      <c r="P1950" s="1063"/>
      <c r="Q1950" s="1063"/>
      <c r="R1950" s="1063"/>
      <c r="S1950" s="1063"/>
      <c r="T1950" s="1063"/>
      <c r="U1950" s="1063"/>
      <c r="V1950" s="1063"/>
      <c r="W1950" s="1063"/>
      <c r="X1950" s="1063"/>
      <c r="Y1950" s="1063"/>
      <c r="Z1950" s="1063"/>
      <c r="AA1950" s="1063"/>
      <c r="AB1950" s="1063"/>
      <c r="AC1950" s="1063"/>
      <c r="AD1950" s="1063"/>
      <c r="AE1950" s="1063"/>
      <c r="AF1950" s="1063"/>
      <c r="AG1950" s="1063"/>
      <c r="AH1950" s="1063"/>
      <c r="AI1950" s="1063"/>
      <c r="AJ1950" s="1063"/>
      <c r="AK1950" s="1063"/>
      <c r="AL1950" s="1063"/>
      <c r="AM1950" s="1063"/>
      <c r="AN1950" s="1063"/>
      <c r="AO1950" s="1063"/>
      <c r="AP1950" s="1063"/>
      <c r="AQ1950" s="1063"/>
      <c r="AR1950" s="1063"/>
      <c r="AS1950" s="1063"/>
      <c r="AT1950" s="1063"/>
      <c r="AU1950" s="1063"/>
      <c r="AV1950" s="1063"/>
    </row>
    <row r="1951" spans="1:48" s="1108" customFormat="1" ht="27.75" customHeight="1">
      <c r="A1951" s="1076"/>
      <c r="B1951" s="1074">
        <f>+'[18]Bldg+Dev'!S2763</f>
        <v>0</v>
      </c>
      <c r="D1951" s="1063"/>
      <c r="F1951" s="1076"/>
      <c r="G1951" s="1063"/>
      <c r="H1951" s="1063"/>
      <c r="I1951" s="1063"/>
      <c r="J1951" s="1063"/>
      <c r="K1951" s="1063"/>
      <c r="L1951" s="1063"/>
      <c r="M1951" s="1063"/>
      <c r="N1951" s="1063"/>
      <c r="O1951" s="1063"/>
      <c r="P1951" s="1063"/>
      <c r="Q1951" s="1063"/>
      <c r="R1951" s="1063"/>
      <c r="S1951" s="1063"/>
      <c r="T1951" s="1063"/>
      <c r="U1951" s="1063"/>
      <c r="V1951" s="1063"/>
      <c r="W1951" s="1063"/>
      <c r="X1951" s="1063"/>
      <c r="Y1951" s="1063"/>
      <c r="Z1951" s="1063"/>
      <c r="AA1951" s="1063"/>
      <c r="AB1951" s="1063"/>
      <c r="AC1951" s="1063"/>
      <c r="AD1951" s="1063"/>
      <c r="AE1951" s="1063"/>
      <c r="AF1951" s="1063"/>
      <c r="AG1951" s="1063"/>
      <c r="AH1951" s="1063"/>
      <c r="AI1951" s="1063"/>
      <c r="AJ1951" s="1063"/>
      <c r="AK1951" s="1063"/>
      <c r="AL1951" s="1063"/>
      <c r="AM1951" s="1063"/>
      <c r="AN1951" s="1063"/>
      <c r="AO1951" s="1063"/>
      <c r="AP1951" s="1063"/>
      <c r="AQ1951" s="1063"/>
      <c r="AR1951" s="1063"/>
      <c r="AS1951" s="1063"/>
      <c r="AT1951" s="1063"/>
      <c r="AU1951" s="1063"/>
      <c r="AV1951" s="1063"/>
    </row>
    <row r="1952" spans="1:48" s="1108" customFormat="1" ht="27.75" customHeight="1">
      <c r="A1952" s="1076"/>
      <c r="B1952" s="1074">
        <f>+'[18]Bldg+Dev'!S2764</f>
        <v>0</v>
      </c>
      <c r="D1952" s="1063"/>
      <c r="F1952" s="1076"/>
      <c r="G1952" s="1063"/>
      <c r="H1952" s="1063"/>
      <c r="I1952" s="1063"/>
      <c r="J1952" s="1063"/>
      <c r="K1952" s="1063"/>
      <c r="L1952" s="1063"/>
      <c r="M1952" s="1063"/>
      <c r="N1952" s="1063"/>
      <c r="O1952" s="1063"/>
      <c r="P1952" s="1063"/>
      <c r="Q1952" s="1063"/>
      <c r="R1952" s="1063"/>
      <c r="S1952" s="1063"/>
      <c r="T1952" s="1063"/>
      <c r="U1952" s="1063"/>
      <c r="V1952" s="1063"/>
      <c r="W1952" s="1063"/>
      <c r="X1952" s="1063"/>
      <c r="Y1952" s="1063"/>
      <c r="Z1952" s="1063"/>
      <c r="AA1952" s="1063"/>
      <c r="AB1952" s="1063"/>
      <c r="AC1952" s="1063"/>
      <c r="AD1952" s="1063"/>
      <c r="AE1952" s="1063"/>
      <c r="AF1952" s="1063"/>
      <c r="AG1952" s="1063"/>
      <c r="AH1952" s="1063"/>
      <c r="AI1952" s="1063"/>
      <c r="AJ1952" s="1063"/>
      <c r="AK1952" s="1063"/>
      <c r="AL1952" s="1063"/>
      <c r="AM1952" s="1063"/>
      <c r="AN1952" s="1063"/>
      <c r="AO1952" s="1063"/>
      <c r="AP1952" s="1063"/>
      <c r="AQ1952" s="1063"/>
      <c r="AR1952" s="1063"/>
      <c r="AS1952" s="1063"/>
      <c r="AT1952" s="1063"/>
      <c r="AU1952" s="1063"/>
      <c r="AV1952" s="1063"/>
    </row>
    <row r="1953" spans="1:48" s="1108" customFormat="1" ht="27.75" customHeight="1">
      <c r="A1953" s="1076"/>
      <c r="B1953" s="1074">
        <f>+'[18]Bldg+Dev'!S2765</f>
        <v>0</v>
      </c>
      <c r="D1953" s="1063"/>
      <c r="F1953" s="1076"/>
      <c r="G1953" s="1063"/>
      <c r="H1953" s="1063"/>
      <c r="I1953" s="1063"/>
      <c r="J1953" s="1063"/>
      <c r="K1953" s="1063"/>
      <c r="L1953" s="1063"/>
      <c r="M1953" s="1063"/>
      <c r="N1953" s="1063"/>
      <c r="O1953" s="1063"/>
      <c r="P1953" s="1063"/>
      <c r="Q1953" s="1063"/>
      <c r="R1953" s="1063"/>
      <c r="S1953" s="1063"/>
      <c r="T1953" s="1063"/>
      <c r="U1953" s="1063"/>
      <c r="V1953" s="1063"/>
      <c r="W1953" s="1063"/>
      <c r="X1953" s="1063"/>
      <c r="Y1953" s="1063"/>
      <c r="Z1953" s="1063"/>
      <c r="AA1953" s="1063"/>
      <c r="AB1953" s="1063"/>
      <c r="AC1953" s="1063"/>
      <c r="AD1953" s="1063"/>
      <c r="AE1953" s="1063"/>
      <c r="AF1953" s="1063"/>
      <c r="AG1953" s="1063"/>
      <c r="AH1953" s="1063"/>
      <c r="AI1953" s="1063"/>
      <c r="AJ1953" s="1063"/>
      <c r="AK1953" s="1063"/>
      <c r="AL1953" s="1063"/>
      <c r="AM1953" s="1063"/>
      <c r="AN1953" s="1063"/>
      <c r="AO1953" s="1063"/>
      <c r="AP1953" s="1063"/>
      <c r="AQ1953" s="1063"/>
      <c r="AR1953" s="1063"/>
      <c r="AS1953" s="1063"/>
      <c r="AT1953" s="1063"/>
      <c r="AU1953" s="1063"/>
      <c r="AV1953" s="1063"/>
    </row>
    <row r="1954" spans="1:48" s="1108" customFormat="1" ht="27.75" customHeight="1">
      <c r="A1954" s="1076"/>
      <c r="B1954" s="1074">
        <f>+'[18]Bldg+Dev'!S2766</f>
        <v>0</v>
      </c>
      <c r="D1954" s="1063"/>
      <c r="F1954" s="1076"/>
      <c r="G1954" s="1063"/>
      <c r="H1954" s="1063"/>
      <c r="I1954" s="1063"/>
      <c r="J1954" s="1063"/>
      <c r="K1954" s="1063"/>
      <c r="L1954" s="1063"/>
      <c r="M1954" s="1063"/>
      <c r="N1954" s="1063"/>
      <c r="O1954" s="1063"/>
      <c r="P1954" s="1063"/>
      <c r="Q1954" s="1063"/>
      <c r="R1954" s="1063"/>
      <c r="S1954" s="1063"/>
      <c r="T1954" s="1063"/>
      <c r="U1954" s="1063"/>
      <c r="V1954" s="1063"/>
      <c r="W1954" s="1063"/>
      <c r="X1954" s="1063"/>
      <c r="Y1954" s="1063"/>
      <c r="Z1954" s="1063"/>
      <c r="AA1954" s="1063"/>
      <c r="AB1954" s="1063"/>
      <c r="AC1954" s="1063"/>
      <c r="AD1954" s="1063"/>
      <c r="AE1954" s="1063"/>
      <c r="AF1954" s="1063"/>
      <c r="AG1954" s="1063"/>
      <c r="AH1954" s="1063"/>
      <c r="AI1954" s="1063"/>
      <c r="AJ1954" s="1063"/>
      <c r="AK1954" s="1063"/>
      <c r="AL1954" s="1063"/>
      <c r="AM1954" s="1063"/>
      <c r="AN1954" s="1063"/>
      <c r="AO1954" s="1063"/>
      <c r="AP1954" s="1063"/>
      <c r="AQ1954" s="1063"/>
      <c r="AR1954" s="1063"/>
      <c r="AS1954" s="1063"/>
      <c r="AT1954" s="1063"/>
      <c r="AU1954" s="1063"/>
      <c r="AV1954" s="1063"/>
    </row>
    <row r="1955" spans="1:48" s="1108" customFormat="1" ht="27.75" customHeight="1">
      <c r="A1955" s="1076"/>
      <c r="B1955" s="1074">
        <f>+'[18]Bldg+Dev'!S2767</f>
        <v>0</v>
      </c>
      <c r="D1955" s="1063"/>
      <c r="F1955" s="1076"/>
      <c r="G1955" s="1063"/>
      <c r="H1955" s="1063"/>
      <c r="I1955" s="1063"/>
      <c r="J1955" s="1063"/>
      <c r="K1955" s="1063"/>
      <c r="L1955" s="1063"/>
      <c r="M1955" s="1063"/>
      <c r="N1955" s="1063"/>
      <c r="O1955" s="1063"/>
      <c r="P1955" s="1063"/>
      <c r="Q1955" s="1063"/>
      <c r="R1955" s="1063"/>
      <c r="S1955" s="1063"/>
      <c r="T1955" s="1063"/>
      <c r="U1955" s="1063"/>
      <c r="V1955" s="1063"/>
      <c r="W1955" s="1063"/>
      <c r="X1955" s="1063"/>
      <c r="Y1955" s="1063"/>
      <c r="Z1955" s="1063"/>
      <c r="AA1955" s="1063"/>
      <c r="AB1955" s="1063"/>
      <c r="AC1955" s="1063"/>
      <c r="AD1955" s="1063"/>
      <c r="AE1955" s="1063"/>
      <c r="AF1955" s="1063"/>
      <c r="AG1955" s="1063"/>
      <c r="AH1955" s="1063"/>
      <c r="AI1955" s="1063"/>
      <c r="AJ1955" s="1063"/>
      <c r="AK1955" s="1063"/>
      <c r="AL1955" s="1063"/>
      <c r="AM1955" s="1063"/>
      <c r="AN1955" s="1063"/>
      <c r="AO1955" s="1063"/>
      <c r="AP1955" s="1063"/>
      <c r="AQ1955" s="1063"/>
      <c r="AR1955" s="1063"/>
      <c r="AS1955" s="1063"/>
      <c r="AT1955" s="1063"/>
      <c r="AU1955" s="1063"/>
      <c r="AV1955" s="1063"/>
    </row>
    <row r="1956" spans="1:48" s="1108" customFormat="1" ht="27.75" customHeight="1">
      <c r="A1956" s="1076"/>
      <c r="B1956" s="1074">
        <f>+'[18]Bldg+Dev'!S2768</f>
        <v>0</v>
      </c>
      <c r="D1956" s="1063"/>
      <c r="F1956" s="1076"/>
      <c r="G1956" s="1063"/>
      <c r="H1956" s="1063"/>
      <c r="I1956" s="1063"/>
      <c r="J1956" s="1063"/>
      <c r="K1956" s="1063"/>
      <c r="L1956" s="1063"/>
      <c r="M1956" s="1063"/>
      <c r="N1956" s="1063"/>
      <c r="O1956" s="1063"/>
      <c r="P1956" s="1063"/>
      <c r="Q1956" s="1063"/>
      <c r="R1956" s="1063"/>
      <c r="S1956" s="1063"/>
      <c r="T1956" s="1063"/>
      <c r="U1956" s="1063"/>
      <c r="V1956" s="1063"/>
      <c r="W1956" s="1063"/>
      <c r="X1956" s="1063"/>
      <c r="Y1956" s="1063"/>
      <c r="Z1956" s="1063"/>
      <c r="AA1956" s="1063"/>
      <c r="AB1956" s="1063"/>
      <c r="AC1956" s="1063"/>
      <c r="AD1956" s="1063"/>
      <c r="AE1956" s="1063"/>
      <c r="AF1956" s="1063"/>
      <c r="AG1956" s="1063"/>
      <c r="AH1956" s="1063"/>
      <c r="AI1956" s="1063"/>
      <c r="AJ1956" s="1063"/>
      <c r="AK1956" s="1063"/>
      <c r="AL1956" s="1063"/>
      <c r="AM1956" s="1063"/>
      <c r="AN1956" s="1063"/>
      <c r="AO1956" s="1063"/>
      <c r="AP1956" s="1063"/>
      <c r="AQ1956" s="1063"/>
      <c r="AR1956" s="1063"/>
      <c r="AS1956" s="1063"/>
      <c r="AT1956" s="1063"/>
      <c r="AU1956" s="1063"/>
      <c r="AV1956" s="1063"/>
    </row>
    <row r="1957" spans="1:48" s="1108" customFormat="1" ht="27.75" customHeight="1">
      <c r="A1957" s="1076"/>
      <c r="B1957" s="1074">
        <f>+'[18]Bldg+Dev'!S2769</f>
        <v>0</v>
      </c>
      <c r="D1957" s="1063"/>
      <c r="F1957" s="1076"/>
      <c r="G1957" s="1063"/>
      <c r="H1957" s="1063"/>
      <c r="I1957" s="1063"/>
      <c r="J1957" s="1063"/>
      <c r="K1957" s="1063"/>
      <c r="L1957" s="1063"/>
      <c r="M1957" s="1063"/>
      <c r="N1957" s="1063"/>
      <c r="O1957" s="1063"/>
      <c r="P1957" s="1063"/>
      <c r="Q1957" s="1063"/>
      <c r="R1957" s="1063"/>
      <c r="S1957" s="1063"/>
      <c r="T1957" s="1063"/>
      <c r="U1957" s="1063"/>
      <c r="V1957" s="1063"/>
      <c r="W1957" s="1063"/>
      <c r="X1957" s="1063"/>
      <c r="Y1957" s="1063"/>
      <c r="Z1957" s="1063"/>
      <c r="AA1957" s="1063"/>
      <c r="AB1957" s="1063"/>
      <c r="AC1957" s="1063"/>
      <c r="AD1957" s="1063"/>
      <c r="AE1957" s="1063"/>
      <c r="AF1957" s="1063"/>
      <c r="AG1957" s="1063"/>
      <c r="AH1957" s="1063"/>
      <c r="AI1957" s="1063"/>
      <c r="AJ1957" s="1063"/>
      <c r="AK1957" s="1063"/>
      <c r="AL1957" s="1063"/>
      <c r="AM1957" s="1063"/>
      <c r="AN1957" s="1063"/>
      <c r="AO1957" s="1063"/>
      <c r="AP1957" s="1063"/>
      <c r="AQ1957" s="1063"/>
      <c r="AR1957" s="1063"/>
      <c r="AS1957" s="1063"/>
      <c r="AT1957" s="1063"/>
      <c r="AU1957" s="1063"/>
      <c r="AV1957" s="1063"/>
    </row>
    <row r="1958" spans="1:48" s="1108" customFormat="1" ht="27.75" customHeight="1">
      <c r="A1958" s="1076"/>
      <c r="B1958" s="1074">
        <f>+'[18]Bldg+Dev'!S2770</f>
        <v>0</v>
      </c>
      <c r="D1958" s="1063"/>
      <c r="F1958" s="1076"/>
      <c r="G1958" s="1063"/>
      <c r="H1958" s="1063"/>
      <c r="I1958" s="1063"/>
      <c r="J1958" s="1063"/>
      <c r="K1958" s="1063"/>
      <c r="L1958" s="1063"/>
      <c r="M1958" s="1063"/>
      <c r="N1958" s="1063"/>
      <c r="O1958" s="1063"/>
      <c r="P1958" s="1063"/>
      <c r="Q1958" s="1063"/>
      <c r="R1958" s="1063"/>
      <c r="S1958" s="1063"/>
      <c r="T1958" s="1063"/>
      <c r="U1958" s="1063"/>
      <c r="V1958" s="1063"/>
      <c r="W1958" s="1063"/>
      <c r="X1958" s="1063"/>
      <c r="Y1958" s="1063"/>
      <c r="Z1958" s="1063"/>
      <c r="AA1958" s="1063"/>
      <c r="AB1958" s="1063"/>
      <c r="AC1958" s="1063"/>
      <c r="AD1958" s="1063"/>
      <c r="AE1958" s="1063"/>
      <c r="AF1958" s="1063"/>
      <c r="AG1958" s="1063"/>
      <c r="AH1958" s="1063"/>
      <c r="AI1958" s="1063"/>
      <c r="AJ1958" s="1063"/>
      <c r="AK1958" s="1063"/>
      <c r="AL1958" s="1063"/>
      <c r="AM1958" s="1063"/>
      <c r="AN1958" s="1063"/>
      <c r="AO1958" s="1063"/>
      <c r="AP1958" s="1063"/>
      <c r="AQ1958" s="1063"/>
      <c r="AR1958" s="1063"/>
      <c r="AS1958" s="1063"/>
      <c r="AT1958" s="1063"/>
      <c r="AU1958" s="1063"/>
      <c r="AV1958" s="1063"/>
    </row>
    <row r="1959" spans="1:48" s="1108" customFormat="1" ht="27.75" customHeight="1">
      <c r="A1959" s="1076"/>
      <c r="B1959" s="1074">
        <f>+'[18]Bldg+Dev'!S2771</f>
        <v>0</v>
      </c>
      <c r="D1959" s="1063"/>
      <c r="F1959" s="1076"/>
      <c r="G1959" s="1063"/>
      <c r="H1959" s="1063"/>
      <c r="I1959" s="1063"/>
      <c r="J1959" s="1063"/>
      <c r="K1959" s="1063"/>
      <c r="L1959" s="1063"/>
      <c r="M1959" s="1063"/>
      <c r="N1959" s="1063"/>
      <c r="O1959" s="1063"/>
      <c r="P1959" s="1063"/>
      <c r="Q1959" s="1063"/>
      <c r="R1959" s="1063"/>
      <c r="S1959" s="1063"/>
      <c r="T1959" s="1063"/>
      <c r="U1959" s="1063"/>
      <c r="V1959" s="1063"/>
      <c r="W1959" s="1063"/>
      <c r="X1959" s="1063"/>
      <c r="Y1959" s="1063"/>
      <c r="Z1959" s="1063"/>
      <c r="AA1959" s="1063"/>
      <c r="AB1959" s="1063"/>
      <c r="AC1959" s="1063"/>
      <c r="AD1959" s="1063"/>
      <c r="AE1959" s="1063"/>
      <c r="AF1959" s="1063"/>
      <c r="AG1959" s="1063"/>
      <c r="AH1959" s="1063"/>
      <c r="AI1959" s="1063"/>
      <c r="AJ1959" s="1063"/>
      <c r="AK1959" s="1063"/>
      <c r="AL1959" s="1063"/>
      <c r="AM1959" s="1063"/>
      <c r="AN1959" s="1063"/>
      <c r="AO1959" s="1063"/>
      <c r="AP1959" s="1063"/>
      <c r="AQ1959" s="1063"/>
      <c r="AR1959" s="1063"/>
      <c r="AS1959" s="1063"/>
      <c r="AT1959" s="1063"/>
      <c r="AU1959" s="1063"/>
      <c r="AV1959" s="1063"/>
    </row>
    <row r="1960" spans="1:48" s="1108" customFormat="1" ht="27.75" customHeight="1">
      <c r="A1960" s="1076"/>
      <c r="B1960" s="1074">
        <f>+'[18]Bldg+Dev'!S2772</f>
        <v>0</v>
      </c>
      <c r="D1960" s="1063"/>
      <c r="F1960" s="1076"/>
      <c r="G1960" s="1063"/>
      <c r="H1960" s="1063"/>
      <c r="I1960" s="1063"/>
      <c r="J1960" s="1063"/>
      <c r="K1960" s="1063"/>
      <c r="L1960" s="1063"/>
      <c r="M1960" s="1063"/>
      <c r="N1960" s="1063"/>
      <c r="O1960" s="1063"/>
      <c r="P1960" s="1063"/>
      <c r="Q1960" s="1063"/>
      <c r="R1960" s="1063"/>
      <c r="S1960" s="1063"/>
      <c r="T1960" s="1063"/>
      <c r="U1960" s="1063"/>
      <c r="V1960" s="1063"/>
      <c r="W1960" s="1063"/>
      <c r="X1960" s="1063"/>
      <c r="Y1960" s="1063"/>
      <c r="Z1960" s="1063"/>
      <c r="AA1960" s="1063"/>
      <c r="AB1960" s="1063"/>
      <c r="AC1960" s="1063"/>
      <c r="AD1960" s="1063"/>
      <c r="AE1960" s="1063"/>
      <c r="AF1960" s="1063"/>
      <c r="AG1960" s="1063"/>
      <c r="AH1960" s="1063"/>
      <c r="AI1960" s="1063"/>
      <c r="AJ1960" s="1063"/>
      <c r="AK1960" s="1063"/>
      <c r="AL1960" s="1063"/>
      <c r="AM1960" s="1063"/>
      <c r="AN1960" s="1063"/>
      <c r="AO1960" s="1063"/>
      <c r="AP1960" s="1063"/>
      <c r="AQ1960" s="1063"/>
      <c r="AR1960" s="1063"/>
      <c r="AS1960" s="1063"/>
      <c r="AT1960" s="1063"/>
      <c r="AU1960" s="1063"/>
      <c r="AV1960" s="1063"/>
    </row>
    <row r="1961" spans="1:48" s="1108" customFormat="1" ht="27.75" customHeight="1">
      <c r="A1961" s="1076"/>
      <c r="B1961" s="1074">
        <f>+'[18]Bldg+Dev'!S2773</f>
        <v>0</v>
      </c>
      <c r="D1961" s="1063"/>
      <c r="F1961" s="1076"/>
      <c r="G1961" s="1063"/>
      <c r="H1961" s="1063"/>
      <c r="I1961" s="1063"/>
      <c r="J1961" s="1063"/>
      <c r="K1961" s="1063"/>
      <c r="L1961" s="1063"/>
      <c r="M1961" s="1063"/>
      <c r="N1961" s="1063"/>
      <c r="O1961" s="1063"/>
      <c r="P1961" s="1063"/>
      <c r="Q1961" s="1063"/>
      <c r="R1961" s="1063"/>
      <c r="S1961" s="1063"/>
      <c r="T1961" s="1063"/>
      <c r="U1961" s="1063"/>
      <c r="V1961" s="1063"/>
      <c r="W1961" s="1063"/>
      <c r="X1961" s="1063"/>
      <c r="Y1961" s="1063"/>
      <c r="Z1961" s="1063"/>
      <c r="AA1961" s="1063"/>
      <c r="AB1961" s="1063"/>
      <c r="AC1961" s="1063"/>
      <c r="AD1961" s="1063"/>
      <c r="AE1961" s="1063"/>
      <c r="AF1961" s="1063"/>
      <c r="AG1961" s="1063"/>
      <c r="AH1961" s="1063"/>
      <c r="AI1961" s="1063"/>
      <c r="AJ1961" s="1063"/>
      <c r="AK1961" s="1063"/>
      <c r="AL1961" s="1063"/>
      <c r="AM1961" s="1063"/>
      <c r="AN1961" s="1063"/>
      <c r="AO1961" s="1063"/>
      <c r="AP1961" s="1063"/>
      <c r="AQ1961" s="1063"/>
      <c r="AR1961" s="1063"/>
      <c r="AS1961" s="1063"/>
      <c r="AT1961" s="1063"/>
      <c r="AU1961" s="1063"/>
      <c r="AV1961" s="1063"/>
    </row>
    <row r="1962" spans="1:48" s="1108" customFormat="1" ht="27.75" customHeight="1">
      <c r="A1962" s="1076"/>
      <c r="B1962" s="1074">
        <f>+'[18]Bldg+Dev'!S2774</f>
        <v>0</v>
      </c>
      <c r="D1962" s="1063"/>
      <c r="F1962" s="1076"/>
      <c r="G1962" s="1063"/>
      <c r="H1962" s="1063"/>
      <c r="I1962" s="1063"/>
      <c r="J1962" s="1063"/>
      <c r="K1962" s="1063"/>
      <c r="L1962" s="1063"/>
      <c r="M1962" s="1063"/>
      <c r="N1962" s="1063"/>
      <c r="O1962" s="1063"/>
      <c r="P1962" s="1063"/>
      <c r="Q1962" s="1063"/>
      <c r="R1962" s="1063"/>
      <c r="S1962" s="1063"/>
      <c r="T1962" s="1063"/>
      <c r="U1962" s="1063"/>
      <c r="V1962" s="1063"/>
      <c r="W1962" s="1063"/>
      <c r="X1962" s="1063"/>
      <c r="Y1962" s="1063"/>
      <c r="Z1962" s="1063"/>
      <c r="AA1962" s="1063"/>
      <c r="AB1962" s="1063"/>
      <c r="AC1962" s="1063"/>
      <c r="AD1962" s="1063"/>
      <c r="AE1962" s="1063"/>
      <c r="AF1962" s="1063"/>
      <c r="AG1962" s="1063"/>
      <c r="AH1962" s="1063"/>
      <c r="AI1962" s="1063"/>
      <c r="AJ1962" s="1063"/>
      <c r="AK1962" s="1063"/>
      <c r="AL1962" s="1063"/>
      <c r="AM1962" s="1063"/>
      <c r="AN1962" s="1063"/>
      <c r="AO1962" s="1063"/>
      <c r="AP1962" s="1063"/>
      <c r="AQ1962" s="1063"/>
      <c r="AR1962" s="1063"/>
      <c r="AS1962" s="1063"/>
      <c r="AT1962" s="1063"/>
      <c r="AU1962" s="1063"/>
      <c r="AV1962" s="1063"/>
    </row>
    <row r="1963" spans="1:48" s="1108" customFormat="1" ht="27.75" customHeight="1">
      <c r="A1963" s="1076"/>
      <c r="B1963" s="1074">
        <f>+'[18]Bldg+Dev'!S2775</f>
        <v>0</v>
      </c>
      <c r="D1963" s="1063"/>
      <c r="F1963" s="1076"/>
      <c r="G1963" s="1063"/>
      <c r="H1963" s="1063"/>
      <c r="I1963" s="1063"/>
      <c r="J1963" s="1063"/>
      <c r="K1963" s="1063"/>
      <c r="L1963" s="1063"/>
      <c r="M1963" s="1063"/>
      <c r="N1963" s="1063"/>
      <c r="O1963" s="1063"/>
      <c r="P1963" s="1063"/>
      <c r="Q1963" s="1063"/>
      <c r="R1963" s="1063"/>
      <c r="S1963" s="1063"/>
      <c r="T1963" s="1063"/>
      <c r="U1963" s="1063"/>
      <c r="V1963" s="1063"/>
      <c r="W1963" s="1063"/>
      <c r="X1963" s="1063"/>
      <c r="Y1963" s="1063"/>
      <c r="Z1963" s="1063"/>
      <c r="AA1963" s="1063"/>
      <c r="AB1963" s="1063"/>
      <c r="AC1963" s="1063"/>
      <c r="AD1963" s="1063"/>
      <c r="AE1963" s="1063"/>
      <c r="AF1963" s="1063"/>
      <c r="AG1963" s="1063"/>
      <c r="AH1963" s="1063"/>
      <c r="AI1963" s="1063"/>
      <c r="AJ1963" s="1063"/>
      <c r="AK1963" s="1063"/>
      <c r="AL1963" s="1063"/>
      <c r="AM1963" s="1063"/>
      <c r="AN1963" s="1063"/>
      <c r="AO1963" s="1063"/>
      <c r="AP1963" s="1063"/>
      <c r="AQ1963" s="1063"/>
      <c r="AR1963" s="1063"/>
      <c r="AS1963" s="1063"/>
      <c r="AT1963" s="1063"/>
      <c r="AU1963" s="1063"/>
      <c r="AV1963" s="1063"/>
    </row>
    <row r="1964" spans="1:48" s="1108" customFormat="1" ht="27.75" customHeight="1">
      <c r="A1964" s="1076"/>
      <c r="B1964" s="1074">
        <f>+'[18]Bldg+Dev'!S2776</f>
        <v>0</v>
      </c>
      <c r="D1964" s="1063"/>
      <c r="F1964" s="1076"/>
      <c r="G1964" s="1063"/>
      <c r="H1964" s="1063"/>
      <c r="I1964" s="1063"/>
      <c r="J1964" s="1063"/>
      <c r="K1964" s="1063"/>
      <c r="L1964" s="1063"/>
      <c r="M1964" s="1063"/>
      <c r="N1964" s="1063"/>
      <c r="O1964" s="1063"/>
      <c r="P1964" s="1063"/>
      <c r="Q1964" s="1063"/>
      <c r="R1964" s="1063"/>
      <c r="S1964" s="1063"/>
      <c r="T1964" s="1063"/>
      <c r="U1964" s="1063"/>
      <c r="V1964" s="1063"/>
      <c r="W1964" s="1063"/>
      <c r="X1964" s="1063"/>
      <c r="Y1964" s="1063"/>
      <c r="Z1964" s="1063"/>
      <c r="AA1964" s="1063"/>
      <c r="AB1964" s="1063"/>
      <c r="AC1964" s="1063"/>
      <c r="AD1964" s="1063"/>
      <c r="AE1964" s="1063"/>
      <c r="AF1964" s="1063"/>
      <c r="AG1964" s="1063"/>
      <c r="AH1964" s="1063"/>
      <c r="AI1964" s="1063"/>
      <c r="AJ1964" s="1063"/>
      <c r="AK1964" s="1063"/>
      <c r="AL1964" s="1063"/>
      <c r="AM1964" s="1063"/>
      <c r="AN1964" s="1063"/>
      <c r="AO1964" s="1063"/>
      <c r="AP1964" s="1063"/>
      <c r="AQ1964" s="1063"/>
      <c r="AR1964" s="1063"/>
      <c r="AS1964" s="1063"/>
      <c r="AT1964" s="1063"/>
      <c r="AU1964" s="1063"/>
      <c r="AV1964" s="1063"/>
    </row>
    <row r="1965" spans="1:48" s="1108" customFormat="1" ht="27.75" customHeight="1">
      <c r="A1965" s="1076"/>
      <c r="B1965" s="1074">
        <f>+'[18]Bldg+Dev'!S2777</f>
        <v>0</v>
      </c>
      <c r="D1965" s="1063"/>
      <c r="F1965" s="1076"/>
      <c r="G1965" s="1063"/>
      <c r="H1965" s="1063"/>
      <c r="I1965" s="1063"/>
      <c r="J1965" s="1063"/>
      <c r="K1965" s="1063"/>
      <c r="L1965" s="1063"/>
      <c r="M1965" s="1063"/>
      <c r="N1965" s="1063"/>
      <c r="O1965" s="1063"/>
      <c r="P1965" s="1063"/>
      <c r="Q1965" s="1063"/>
      <c r="R1965" s="1063"/>
      <c r="S1965" s="1063"/>
      <c r="T1965" s="1063"/>
      <c r="U1965" s="1063"/>
      <c r="V1965" s="1063"/>
      <c r="W1965" s="1063"/>
      <c r="X1965" s="1063"/>
      <c r="Y1965" s="1063"/>
      <c r="Z1965" s="1063"/>
      <c r="AA1965" s="1063"/>
      <c r="AB1965" s="1063"/>
      <c r="AC1965" s="1063"/>
      <c r="AD1965" s="1063"/>
      <c r="AE1965" s="1063"/>
      <c r="AF1965" s="1063"/>
      <c r="AG1965" s="1063"/>
      <c r="AH1965" s="1063"/>
      <c r="AI1965" s="1063"/>
      <c r="AJ1965" s="1063"/>
      <c r="AK1965" s="1063"/>
      <c r="AL1965" s="1063"/>
      <c r="AM1965" s="1063"/>
      <c r="AN1965" s="1063"/>
      <c r="AO1965" s="1063"/>
      <c r="AP1965" s="1063"/>
      <c r="AQ1965" s="1063"/>
      <c r="AR1965" s="1063"/>
      <c r="AS1965" s="1063"/>
      <c r="AT1965" s="1063"/>
      <c r="AU1965" s="1063"/>
      <c r="AV1965" s="1063"/>
    </row>
    <row r="1966" spans="1:48" s="1108" customFormat="1" ht="27.75" customHeight="1">
      <c r="A1966" s="1076"/>
      <c r="B1966" s="1074">
        <f>+'[18]Bldg+Dev'!S2778</f>
        <v>0</v>
      </c>
      <c r="D1966" s="1063"/>
      <c r="F1966" s="1076"/>
      <c r="G1966" s="1063"/>
      <c r="H1966" s="1063"/>
      <c r="I1966" s="1063"/>
      <c r="J1966" s="1063"/>
      <c r="K1966" s="1063"/>
      <c r="L1966" s="1063"/>
      <c r="M1966" s="1063"/>
      <c r="N1966" s="1063"/>
      <c r="O1966" s="1063"/>
      <c r="P1966" s="1063"/>
      <c r="Q1966" s="1063"/>
      <c r="R1966" s="1063"/>
      <c r="S1966" s="1063"/>
      <c r="T1966" s="1063"/>
      <c r="U1966" s="1063"/>
      <c r="V1966" s="1063"/>
      <c r="W1966" s="1063"/>
      <c r="X1966" s="1063"/>
      <c r="Y1966" s="1063"/>
      <c r="Z1966" s="1063"/>
      <c r="AA1966" s="1063"/>
      <c r="AB1966" s="1063"/>
      <c r="AC1966" s="1063"/>
      <c r="AD1966" s="1063"/>
      <c r="AE1966" s="1063"/>
      <c r="AF1966" s="1063"/>
      <c r="AG1966" s="1063"/>
      <c r="AH1966" s="1063"/>
      <c r="AI1966" s="1063"/>
      <c r="AJ1966" s="1063"/>
      <c r="AK1966" s="1063"/>
      <c r="AL1966" s="1063"/>
      <c r="AM1966" s="1063"/>
      <c r="AN1966" s="1063"/>
      <c r="AO1966" s="1063"/>
      <c r="AP1966" s="1063"/>
      <c r="AQ1966" s="1063"/>
      <c r="AR1966" s="1063"/>
      <c r="AS1966" s="1063"/>
      <c r="AT1966" s="1063"/>
      <c r="AU1966" s="1063"/>
      <c r="AV1966" s="1063"/>
    </row>
    <row r="1967" spans="1:48" s="1108" customFormat="1" ht="27.75" customHeight="1">
      <c r="A1967" s="1076"/>
      <c r="B1967" s="1074">
        <f>+'[18]Bldg+Dev'!S2779</f>
        <v>0</v>
      </c>
      <c r="D1967" s="1063"/>
      <c r="F1967" s="1076"/>
      <c r="G1967" s="1063"/>
      <c r="H1967" s="1063"/>
      <c r="I1967" s="1063"/>
      <c r="J1967" s="1063"/>
      <c r="K1967" s="1063"/>
      <c r="L1967" s="1063"/>
      <c r="M1967" s="1063"/>
      <c r="N1967" s="1063"/>
      <c r="O1967" s="1063"/>
      <c r="P1967" s="1063"/>
      <c r="Q1967" s="1063"/>
      <c r="R1967" s="1063"/>
      <c r="S1967" s="1063"/>
      <c r="T1967" s="1063"/>
      <c r="U1967" s="1063"/>
      <c r="V1967" s="1063"/>
      <c r="W1967" s="1063"/>
      <c r="X1967" s="1063"/>
      <c r="Y1967" s="1063"/>
      <c r="Z1967" s="1063"/>
      <c r="AA1967" s="1063"/>
      <c r="AB1967" s="1063"/>
      <c r="AC1967" s="1063"/>
      <c r="AD1967" s="1063"/>
      <c r="AE1967" s="1063"/>
      <c r="AF1967" s="1063"/>
      <c r="AG1967" s="1063"/>
      <c r="AH1967" s="1063"/>
      <c r="AI1967" s="1063"/>
      <c r="AJ1967" s="1063"/>
      <c r="AK1967" s="1063"/>
      <c r="AL1967" s="1063"/>
      <c r="AM1967" s="1063"/>
      <c r="AN1967" s="1063"/>
      <c r="AO1967" s="1063"/>
      <c r="AP1967" s="1063"/>
      <c r="AQ1967" s="1063"/>
      <c r="AR1967" s="1063"/>
      <c r="AS1967" s="1063"/>
      <c r="AT1967" s="1063"/>
      <c r="AU1967" s="1063"/>
      <c r="AV1967" s="1063"/>
    </row>
    <row r="1968" spans="1:48" s="1108" customFormat="1" ht="27.75" customHeight="1">
      <c r="A1968" s="1076"/>
      <c r="B1968" s="1074">
        <f>+'[18]Bldg+Dev'!S2780</f>
        <v>0</v>
      </c>
      <c r="D1968" s="1063"/>
      <c r="F1968" s="1076"/>
      <c r="G1968" s="1063"/>
      <c r="H1968" s="1063"/>
      <c r="I1968" s="1063"/>
      <c r="J1968" s="1063"/>
      <c r="K1968" s="1063"/>
      <c r="L1968" s="1063"/>
      <c r="M1968" s="1063"/>
      <c r="N1968" s="1063"/>
      <c r="O1968" s="1063"/>
      <c r="P1968" s="1063"/>
      <c r="Q1968" s="1063"/>
      <c r="R1968" s="1063"/>
      <c r="S1968" s="1063"/>
      <c r="T1968" s="1063"/>
      <c r="U1968" s="1063"/>
      <c r="V1968" s="1063"/>
      <c r="W1968" s="1063"/>
      <c r="X1968" s="1063"/>
      <c r="Y1968" s="1063"/>
      <c r="Z1968" s="1063"/>
      <c r="AA1968" s="1063"/>
      <c r="AB1968" s="1063"/>
      <c r="AC1968" s="1063"/>
      <c r="AD1968" s="1063"/>
      <c r="AE1968" s="1063"/>
      <c r="AF1968" s="1063"/>
      <c r="AG1968" s="1063"/>
      <c r="AH1968" s="1063"/>
      <c r="AI1968" s="1063"/>
      <c r="AJ1968" s="1063"/>
      <c r="AK1968" s="1063"/>
      <c r="AL1968" s="1063"/>
      <c r="AM1968" s="1063"/>
      <c r="AN1968" s="1063"/>
      <c r="AO1968" s="1063"/>
      <c r="AP1968" s="1063"/>
      <c r="AQ1968" s="1063"/>
      <c r="AR1968" s="1063"/>
      <c r="AS1968" s="1063"/>
      <c r="AT1968" s="1063"/>
      <c r="AU1968" s="1063"/>
      <c r="AV1968" s="1063"/>
    </row>
    <row r="1969" spans="1:48" s="1108" customFormat="1" ht="27.75" customHeight="1">
      <c r="A1969" s="1076"/>
      <c r="B1969" s="1074">
        <f>+'[18]Bldg+Dev'!S2781</f>
        <v>0</v>
      </c>
      <c r="D1969" s="1063"/>
      <c r="F1969" s="1076"/>
      <c r="G1969" s="1063"/>
      <c r="H1969" s="1063"/>
      <c r="I1969" s="1063"/>
      <c r="J1969" s="1063"/>
      <c r="K1969" s="1063"/>
      <c r="L1969" s="1063"/>
      <c r="M1969" s="1063"/>
      <c r="N1969" s="1063"/>
      <c r="O1969" s="1063"/>
      <c r="P1969" s="1063"/>
      <c r="Q1969" s="1063"/>
      <c r="R1969" s="1063"/>
      <c r="S1969" s="1063"/>
      <c r="T1969" s="1063"/>
      <c r="U1969" s="1063"/>
      <c r="V1969" s="1063"/>
      <c r="W1969" s="1063"/>
      <c r="X1969" s="1063"/>
      <c r="Y1969" s="1063"/>
      <c r="Z1969" s="1063"/>
      <c r="AA1969" s="1063"/>
      <c r="AB1969" s="1063"/>
      <c r="AC1969" s="1063"/>
      <c r="AD1969" s="1063"/>
      <c r="AE1969" s="1063"/>
      <c r="AF1969" s="1063"/>
      <c r="AG1969" s="1063"/>
      <c r="AH1969" s="1063"/>
      <c r="AI1969" s="1063"/>
      <c r="AJ1969" s="1063"/>
      <c r="AK1969" s="1063"/>
      <c r="AL1969" s="1063"/>
      <c r="AM1969" s="1063"/>
      <c r="AN1969" s="1063"/>
      <c r="AO1969" s="1063"/>
      <c r="AP1969" s="1063"/>
      <c r="AQ1969" s="1063"/>
      <c r="AR1969" s="1063"/>
      <c r="AS1969" s="1063"/>
      <c r="AT1969" s="1063"/>
      <c r="AU1969" s="1063"/>
      <c r="AV1969" s="1063"/>
    </row>
    <row r="1970" spans="1:48" s="1108" customFormat="1" ht="27.75" customHeight="1">
      <c r="A1970" s="1076"/>
      <c r="B1970" s="1074">
        <f>+'[18]Bldg+Dev'!S2782</f>
        <v>0</v>
      </c>
      <c r="D1970" s="1063"/>
      <c r="F1970" s="1076"/>
      <c r="G1970" s="1063"/>
      <c r="H1970" s="1063"/>
      <c r="I1970" s="1063"/>
      <c r="J1970" s="1063"/>
      <c r="K1970" s="1063"/>
      <c r="L1970" s="1063"/>
      <c r="M1970" s="1063"/>
      <c r="N1970" s="1063"/>
      <c r="O1970" s="1063"/>
      <c r="P1970" s="1063"/>
      <c r="Q1970" s="1063"/>
      <c r="R1970" s="1063"/>
      <c r="S1970" s="1063"/>
      <c r="T1970" s="1063"/>
      <c r="U1970" s="1063"/>
      <c r="V1970" s="1063"/>
      <c r="W1970" s="1063"/>
      <c r="X1970" s="1063"/>
      <c r="Y1970" s="1063"/>
      <c r="Z1970" s="1063"/>
      <c r="AA1970" s="1063"/>
      <c r="AB1970" s="1063"/>
      <c r="AC1970" s="1063"/>
      <c r="AD1970" s="1063"/>
      <c r="AE1970" s="1063"/>
      <c r="AF1970" s="1063"/>
      <c r="AG1970" s="1063"/>
      <c r="AH1970" s="1063"/>
      <c r="AI1970" s="1063"/>
      <c r="AJ1970" s="1063"/>
      <c r="AK1970" s="1063"/>
      <c r="AL1970" s="1063"/>
      <c r="AM1970" s="1063"/>
      <c r="AN1970" s="1063"/>
      <c r="AO1970" s="1063"/>
      <c r="AP1970" s="1063"/>
      <c r="AQ1970" s="1063"/>
      <c r="AR1970" s="1063"/>
      <c r="AS1970" s="1063"/>
      <c r="AT1970" s="1063"/>
      <c r="AU1970" s="1063"/>
      <c r="AV1970" s="1063"/>
    </row>
    <row r="1971" spans="1:48" s="1108" customFormat="1" ht="27.75" customHeight="1">
      <c r="A1971" s="1076"/>
      <c r="B1971" s="1074">
        <f>+'[18]Bldg+Dev'!S2783</f>
        <v>0</v>
      </c>
      <c r="D1971" s="1063"/>
      <c r="F1971" s="1076"/>
      <c r="G1971" s="1063"/>
      <c r="H1971" s="1063"/>
      <c r="I1971" s="1063"/>
      <c r="J1971" s="1063"/>
      <c r="K1971" s="1063"/>
      <c r="L1971" s="1063"/>
      <c r="M1971" s="1063"/>
      <c r="N1971" s="1063"/>
      <c r="O1971" s="1063"/>
      <c r="P1971" s="1063"/>
      <c r="Q1971" s="1063"/>
      <c r="R1971" s="1063"/>
      <c r="S1971" s="1063"/>
      <c r="T1971" s="1063"/>
      <c r="U1971" s="1063"/>
      <c r="V1971" s="1063"/>
      <c r="W1971" s="1063"/>
      <c r="X1971" s="1063"/>
      <c r="Y1971" s="1063"/>
      <c r="Z1971" s="1063"/>
      <c r="AA1971" s="1063"/>
      <c r="AB1971" s="1063"/>
      <c r="AC1971" s="1063"/>
      <c r="AD1971" s="1063"/>
      <c r="AE1971" s="1063"/>
      <c r="AF1971" s="1063"/>
      <c r="AG1971" s="1063"/>
      <c r="AH1971" s="1063"/>
      <c r="AI1971" s="1063"/>
      <c r="AJ1971" s="1063"/>
      <c r="AK1971" s="1063"/>
      <c r="AL1971" s="1063"/>
      <c r="AM1971" s="1063"/>
      <c r="AN1971" s="1063"/>
      <c r="AO1971" s="1063"/>
      <c r="AP1971" s="1063"/>
      <c r="AQ1971" s="1063"/>
      <c r="AR1971" s="1063"/>
      <c r="AS1971" s="1063"/>
      <c r="AT1971" s="1063"/>
      <c r="AU1971" s="1063"/>
      <c r="AV1971" s="1063"/>
    </row>
    <row r="1972" spans="1:48" s="1108" customFormat="1" ht="27.75" customHeight="1">
      <c r="A1972" s="1076"/>
      <c r="B1972" s="1074">
        <f>+'[18]Bldg+Dev'!S2784</f>
        <v>0</v>
      </c>
      <c r="D1972" s="1063"/>
      <c r="F1972" s="1076"/>
      <c r="G1972" s="1063"/>
      <c r="H1972" s="1063"/>
      <c r="I1972" s="1063"/>
      <c r="J1972" s="1063"/>
      <c r="K1972" s="1063"/>
      <c r="L1972" s="1063"/>
      <c r="M1972" s="1063"/>
      <c r="N1972" s="1063"/>
      <c r="O1972" s="1063"/>
      <c r="P1972" s="1063"/>
      <c r="Q1972" s="1063"/>
      <c r="R1972" s="1063"/>
      <c r="S1972" s="1063"/>
      <c r="T1972" s="1063"/>
      <c r="U1972" s="1063"/>
      <c r="V1972" s="1063"/>
      <c r="W1972" s="1063"/>
      <c r="X1972" s="1063"/>
      <c r="Y1972" s="1063"/>
      <c r="Z1972" s="1063"/>
      <c r="AA1972" s="1063"/>
      <c r="AB1972" s="1063"/>
      <c r="AC1972" s="1063"/>
      <c r="AD1972" s="1063"/>
      <c r="AE1972" s="1063"/>
      <c r="AF1972" s="1063"/>
      <c r="AG1972" s="1063"/>
      <c r="AH1972" s="1063"/>
      <c r="AI1972" s="1063"/>
      <c r="AJ1972" s="1063"/>
      <c r="AK1972" s="1063"/>
      <c r="AL1972" s="1063"/>
      <c r="AM1972" s="1063"/>
      <c r="AN1972" s="1063"/>
      <c r="AO1972" s="1063"/>
      <c r="AP1972" s="1063"/>
      <c r="AQ1972" s="1063"/>
      <c r="AR1972" s="1063"/>
      <c r="AS1972" s="1063"/>
      <c r="AT1972" s="1063"/>
      <c r="AU1972" s="1063"/>
      <c r="AV1972" s="1063"/>
    </row>
    <row r="1973" spans="1:48" s="1108" customFormat="1" ht="27.75" customHeight="1">
      <c r="A1973" s="1076"/>
      <c r="B1973" s="1074">
        <f>+'[18]Bldg+Dev'!S2785</f>
        <v>0</v>
      </c>
      <c r="D1973" s="1063"/>
      <c r="F1973" s="1076"/>
      <c r="G1973" s="1063"/>
      <c r="H1973" s="1063"/>
      <c r="I1973" s="1063"/>
      <c r="J1973" s="1063"/>
      <c r="K1973" s="1063"/>
      <c r="L1973" s="1063"/>
      <c r="M1973" s="1063"/>
      <c r="N1973" s="1063"/>
      <c r="O1973" s="1063"/>
      <c r="P1973" s="1063"/>
      <c r="Q1973" s="1063"/>
      <c r="R1973" s="1063"/>
      <c r="S1973" s="1063"/>
      <c r="T1973" s="1063"/>
      <c r="U1973" s="1063"/>
      <c r="V1973" s="1063"/>
      <c r="W1973" s="1063"/>
      <c r="X1973" s="1063"/>
      <c r="Y1973" s="1063"/>
      <c r="Z1973" s="1063"/>
      <c r="AA1973" s="1063"/>
      <c r="AB1973" s="1063"/>
      <c r="AC1973" s="1063"/>
      <c r="AD1973" s="1063"/>
      <c r="AE1973" s="1063"/>
      <c r="AF1973" s="1063"/>
      <c r="AG1973" s="1063"/>
      <c r="AH1973" s="1063"/>
      <c r="AI1973" s="1063"/>
      <c r="AJ1973" s="1063"/>
      <c r="AK1973" s="1063"/>
      <c r="AL1973" s="1063"/>
      <c r="AM1973" s="1063"/>
      <c r="AN1973" s="1063"/>
      <c r="AO1973" s="1063"/>
      <c r="AP1973" s="1063"/>
      <c r="AQ1973" s="1063"/>
      <c r="AR1973" s="1063"/>
      <c r="AS1973" s="1063"/>
      <c r="AT1973" s="1063"/>
      <c r="AU1973" s="1063"/>
      <c r="AV1973" s="1063"/>
    </row>
    <row r="1974" spans="1:48" s="1108" customFormat="1" ht="27.75" customHeight="1">
      <c r="A1974" s="1076"/>
      <c r="B1974" s="1074">
        <f>+'[18]Bldg+Dev'!S2786</f>
        <v>0</v>
      </c>
      <c r="D1974" s="1063"/>
      <c r="F1974" s="1076"/>
      <c r="G1974" s="1063"/>
      <c r="H1974" s="1063"/>
      <c r="I1974" s="1063"/>
      <c r="J1974" s="1063"/>
      <c r="K1974" s="1063"/>
      <c r="L1974" s="1063"/>
      <c r="M1974" s="1063"/>
      <c r="N1974" s="1063"/>
      <c r="O1974" s="1063"/>
      <c r="P1974" s="1063"/>
      <c r="Q1974" s="1063"/>
      <c r="R1974" s="1063"/>
      <c r="S1974" s="1063"/>
      <c r="T1974" s="1063"/>
      <c r="U1974" s="1063"/>
      <c r="V1974" s="1063"/>
      <c r="W1974" s="1063"/>
      <c r="X1974" s="1063"/>
      <c r="Y1974" s="1063"/>
      <c r="Z1974" s="1063"/>
      <c r="AA1974" s="1063"/>
      <c r="AB1974" s="1063"/>
      <c r="AC1974" s="1063"/>
      <c r="AD1974" s="1063"/>
      <c r="AE1974" s="1063"/>
      <c r="AF1974" s="1063"/>
      <c r="AG1974" s="1063"/>
      <c r="AH1974" s="1063"/>
      <c r="AI1974" s="1063"/>
      <c r="AJ1974" s="1063"/>
      <c r="AK1974" s="1063"/>
      <c r="AL1974" s="1063"/>
      <c r="AM1974" s="1063"/>
      <c r="AN1974" s="1063"/>
      <c r="AO1974" s="1063"/>
      <c r="AP1974" s="1063"/>
      <c r="AQ1974" s="1063"/>
      <c r="AR1974" s="1063"/>
      <c r="AS1974" s="1063"/>
      <c r="AT1974" s="1063"/>
      <c r="AU1974" s="1063"/>
      <c r="AV1974" s="1063"/>
    </row>
    <row r="1975" spans="1:48" s="1108" customFormat="1" ht="27.75" customHeight="1">
      <c r="A1975" s="1076"/>
      <c r="B1975" s="1074">
        <f>+'[18]Bldg+Dev'!S2787</f>
        <v>0</v>
      </c>
      <c r="D1975" s="1063"/>
      <c r="F1975" s="1076"/>
      <c r="G1975" s="1063"/>
      <c r="H1975" s="1063"/>
      <c r="I1975" s="1063"/>
      <c r="J1975" s="1063"/>
      <c r="K1975" s="1063"/>
      <c r="L1975" s="1063"/>
      <c r="M1975" s="1063"/>
      <c r="N1975" s="1063"/>
      <c r="O1975" s="1063"/>
      <c r="P1975" s="1063"/>
      <c r="Q1975" s="1063"/>
      <c r="R1975" s="1063"/>
      <c r="S1975" s="1063"/>
      <c r="T1975" s="1063"/>
      <c r="U1975" s="1063"/>
      <c r="V1975" s="1063"/>
      <c r="W1975" s="1063"/>
      <c r="X1975" s="1063"/>
      <c r="Y1975" s="1063"/>
      <c r="Z1975" s="1063"/>
      <c r="AA1975" s="1063"/>
      <c r="AB1975" s="1063"/>
      <c r="AC1975" s="1063"/>
      <c r="AD1975" s="1063"/>
      <c r="AE1975" s="1063"/>
      <c r="AF1975" s="1063"/>
      <c r="AG1975" s="1063"/>
      <c r="AH1975" s="1063"/>
      <c r="AI1975" s="1063"/>
      <c r="AJ1975" s="1063"/>
      <c r="AK1975" s="1063"/>
      <c r="AL1975" s="1063"/>
      <c r="AM1975" s="1063"/>
      <c r="AN1975" s="1063"/>
      <c r="AO1975" s="1063"/>
      <c r="AP1975" s="1063"/>
      <c r="AQ1975" s="1063"/>
      <c r="AR1975" s="1063"/>
      <c r="AS1975" s="1063"/>
      <c r="AT1975" s="1063"/>
      <c r="AU1975" s="1063"/>
      <c r="AV1975" s="1063"/>
    </row>
    <row r="1976" spans="1:48" s="1108" customFormat="1" ht="27.75" customHeight="1">
      <c r="A1976" s="1076"/>
      <c r="B1976" s="1074">
        <f>+'[18]Bldg+Dev'!S2788</f>
        <v>0</v>
      </c>
      <c r="D1976" s="1063"/>
      <c r="F1976" s="1076"/>
      <c r="G1976" s="1063"/>
      <c r="H1976" s="1063"/>
      <c r="I1976" s="1063"/>
      <c r="J1976" s="1063"/>
      <c r="K1976" s="1063"/>
      <c r="L1976" s="1063"/>
      <c r="M1976" s="1063"/>
      <c r="N1976" s="1063"/>
      <c r="O1976" s="1063"/>
      <c r="P1976" s="1063"/>
      <c r="Q1976" s="1063"/>
      <c r="R1976" s="1063"/>
      <c r="S1976" s="1063"/>
      <c r="T1976" s="1063"/>
      <c r="U1976" s="1063"/>
      <c r="V1976" s="1063"/>
      <c r="W1976" s="1063"/>
      <c r="X1976" s="1063"/>
      <c r="Y1976" s="1063"/>
      <c r="Z1976" s="1063"/>
      <c r="AA1976" s="1063"/>
      <c r="AB1976" s="1063"/>
      <c r="AC1976" s="1063"/>
      <c r="AD1976" s="1063"/>
      <c r="AE1976" s="1063"/>
      <c r="AF1976" s="1063"/>
      <c r="AG1976" s="1063"/>
      <c r="AH1976" s="1063"/>
      <c r="AI1976" s="1063"/>
      <c r="AJ1976" s="1063"/>
      <c r="AK1976" s="1063"/>
      <c r="AL1976" s="1063"/>
      <c r="AM1976" s="1063"/>
      <c r="AN1976" s="1063"/>
      <c r="AO1976" s="1063"/>
      <c r="AP1976" s="1063"/>
      <c r="AQ1976" s="1063"/>
      <c r="AR1976" s="1063"/>
      <c r="AS1976" s="1063"/>
      <c r="AT1976" s="1063"/>
      <c r="AU1976" s="1063"/>
      <c r="AV1976" s="1063"/>
    </row>
    <row r="1977" spans="1:48" s="1108" customFormat="1" ht="27.75" customHeight="1">
      <c r="A1977" s="1076"/>
      <c r="B1977" s="1074">
        <f>+'[18]Bldg+Dev'!S2789</f>
        <v>0</v>
      </c>
      <c r="D1977" s="1063"/>
      <c r="F1977" s="1076"/>
      <c r="G1977" s="1063"/>
      <c r="H1977" s="1063"/>
      <c r="I1977" s="1063"/>
      <c r="J1977" s="1063"/>
      <c r="K1977" s="1063"/>
      <c r="L1977" s="1063"/>
      <c r="M1977" s="1063"/>
      <c r="N1977" s="1063"/>
      <c r="O1977" s="1063"/>
      <c r="P1977" s="1063"/>
      <c r="Q1977" s="1063"/>
      <c r="R1977" s="1063"/>
      <c r="S1977" s="1063"/>
      <c r="T1977" s="1063"/>
      <c r="U1977" s="1063"/>
      <c r="V1977" s="1063"/>
      <c r="W1977" s="1063"/>
      <c r="X1977" s="1063"/>
      <c r="Y1977" s="1063"/>
      <c r="Z1977" s="1063"/>
      <c r="AA1977" s="1063"/>
      <c r="AB1977" s="1063"/>
      <c r="AC1977" s="1063"/>
      <c r="AD1977" s="1063"/>
      <c r="AE1977" s="1063"/>
      <c r="AF1977" s="1063"/>
      <c r="AG1977" s="1063"/>
      <c r="AH1977" s="1063"/>
      <c r="AI1977" s="1063"/>
      <c r="AJ1977" s="1063"/>
      <c r="AK1977" s="1063"/>
      <c r="AL1977" s="1063"/>
      <c r="AM1977" s="1063"/>
      <c r="AN1977" s="1063"/>
      <c r="AO1977" s="1063"/>
      <c r="AP1977" s="1063"/>
      <c r="AQ1977" s="1063"/>
      <c r="AR1977" s="1063"/>
      <c r="AS1977" s="1063"/>
      <c r="AT1977" s="1063"/>
      <c r="AU1977" s="1063"/>
      <c r="AV1977" s="1063"/>
    </row>
    <row r="1978" spans="1:48" s="1108" customFormat="1" ht="27.75" customHeight="1">
      <c r="A1978" s="1076"/>
      <c r="B1978" s="1074">
        <f>+'[18]Bldg+Dev'!S2790</f>
        <v>0</v>
      </c>
      <c r="D1978" s="1063"/>
      <c r="F1978" s="1076"/>
      <c r="G1978" s="1063"/>
      <c r="H1978" s="1063"/>
      <c r="I1978" s="1063"/>
      <c r="J1978" s="1063"/>
      <c r="K1978" s="1063"/>
      <c r="L1978" s="1063"/>
      <c r="M1978" s="1063"/>
      <c r="N1978" s="1063"/>
      <c r="O1978" s="1063"/>
      <c r="P1978" s="1063"/>
      <c r="Q1978" s="1063"/>
      <c r="R1978" s="1063"/>
      <c r="S1978" s="1063"/>
      <c r="T1978" s="1063"/>
      <c r="U1978" s="1063"/>
      <c r="V1978" s="1063"/>
      <c r="W1978" s="1063"/>
      <c r="X1978" s="1063"/>
      <c r="Y1978" s="1063"/>
      <c r="Z1978" s="1063"/>
      <c r="AA1978" s="1063"/>
      <c r="AB1978" s="1063"/>
      <c r="AC1978" s="1063"/>
      <c r="AD1978" s="1063"/>
      <c r="AE1978" s="1063"/>
      <c r="AF1978" s="1063"/>
      <c r="AG1978" s="1063"/>
      <c r="AH1978" s="1063"/>
      <c r="AI1978" s="1063"/>
      <c r="AJ1978" s="1063"/>
      <c r="AK1978" s="1063"/>
      <c r="AL1978" s="1063"/>
      <c r="AM1978" s="1063"/>
      <c r="AN1978" s="1063"/>
      <c r="AO1978" s="1063"/>
      <c r="AP1978" s="1063"/>
      <c r="AQ1978" s="1063"/>
      <c r="AR1978" s="1063"/>
      <c r="AS1978" s="1063"/>
      <c r="AT1978" s="1063"/>
      <c r="AU1978" s="1063"/>
      <c r="AV1978" s="1063"/>
    </row>
    <row r="1979" spans="1:48" s="1108" customFormat="1" ht="27.75" customHeight="1">
      <c r="A1979" s="1076"/>
      <c r="B1979" s="1074">
        <f>+'[18]Bldg+Dev'!S2791</f>
        <v>0</v>
      </c>
      <c r="D1979" s="1063"/>
      <c r="F1979" s="1076"/>
      <c r="G1979" s="1063"/>
      <c r="H1979" s="1063"/>
      <c r="I1979" s="1063"/>
      <c r="J1979" s="1063"/>
      <c r="K1979" s="1063"/>
      <c r="L1979" s="1063"/>
      <c r="M1979" s="1063"/>
      <c r="N1979" s="1063"/>
      <c r="O1979" s="1063"/>
      <c r="P1979" s="1063"/>
      <c r="Q1979" s="1063"/>
      <c r="R1979" s="1063"/>
      <c r="S1979" s="1063"/>
      <c r="T1979" s="1063"/>
      <c r="U1979" s="1063"/>
      <c r="V1979" s="1063"/>
      <c r="W1979" s="1063"/>
      <c r="X1979" s="1063"/>
      <c r="Y1979" s="1063"/>
      <c r="Z1979" s="1063"/>
      <c r="AA1979" s="1063"/>
      <c r="AB1979" s="1063"/>
      <c r="AC1979" s="1063"/>
      <c r="AD1979" s="1063"/>
      <c r="AE1979" s="1063"/>
      <c r="AF1979" s="1063"/>
      <c r="AG1979" s="1063"/>
      <c r="AH1979" s="1063"/>
      <c r="AI1979" s="1063"/>
      <c r="AJ1979" s="1063"/>
      <c r="AK1979" s="1063"/>
      <c r="AL1979" s="1063"/>
      <c r="AM1979" s="1063"/>
      <c r="AN1979" s="1063"/>
      <c r="AO1979" s="1063"/>
      <c r="AP1979" s="1063"/>
      <c r="AQ1979" s="1063"/>
      <c r="AR1979" s="1063"/>
      <c r="AS1979" s="1063"/>
      <c r="AT1979" s="1063"/>
      <c r="AU1979" s="1063"/>
      <c r="AV1979" s="1063"/>
    </row>
    <row r="1980" spans="1:48" s="1108" customFormat="1" ht="27.75" customHeight="1">
      <c r="A1980" s="1076"/>
      <c r="B1980" s="1074">
        <f>+'[18]Bldg+Dev'!S2792</f>
        <v>0</v>
      </c>
      <c r="D1980" s="1063"/>
      <c r="F1980" s="1076"/>
      <c r="G1980" s="1063"/>
      <c r="H1980" s="1063"/>
      <c r="I1980" s="1063"/>
      <c r="J1980" s="1063"/>
      <c r="K1980" s="1063"/>
      <c r="L1980" s="1063"/>
      <c r="M1980" s="1063"/>
      <c r="N1980" s="1063"/>
      <c r="O1980" s="1063"/>
      <c r="P1980" s="1063"/>
      <c r="Q1980" s="1063"/>
      <c r="R1980" s="1063"/>
      <c r="S1980" s="1063"/>
      <c r="T1980" s="1063"/>
      <c r="U1980" s="1063"/>
      <c r="V1980" s="1063"/>
      <c r="W1980" s="1063"/>
      <c r="X1980" s="1063"/>
      <c r="Y1980" s="1063"/>
      <c r="Z1980" s="1063"/>
      <c r="AA1980" s="1063"/>
      <c r="AB1980" s="1063"/>
      <c r="AC1980" s="1063"/>
      <c r="AD1980" s="1063"/>
      <c r="AE1980" s="1063"/>
      <c r="AF1980" s="1063"/>
      <c r="AG1980" s="1063"/>
      <c r="AH1980" s="1063"/>
      <c r="AI1980" s="1063"/>
      <c r="AJ1980" s="1063"/>
      <c r="AK1980" s="1063"/>
      <c r="AL1980" s="1063"/>
      <c r="AM1980" s="1063"/>
      <c r="AN1980" s="1063"/>
      <c r="AO1980" s="1063"/>
      <c r="AP1980" s="1063"/>
      <c r="AQ1980" s="1063"/>
      <c r="AR1980" s="1063"/>
      <c r="AS1980" s="1063"/>
      <c r="AT1980" s="1063"/>
      <c r="AU1980" s="1063"/>
      <c r="AV1980" s="1063"/>
    </row>
    <row r="1981" spans="1:48" s="1108" customFormat="1" ht="27.75" customHeight="1">
      <c r="A1981" s="1076"/>
      <c r="B1981" s="1074">
        <f>+'[18]Bldg+Dev'!S2793</f>
        <v>0</v>
      </c>
      <c r="D1981" s="1063"/>
      <c r="F1981" s="1076"/>
      <c r="G1981" s="1063"/>
      <c r="H1981" s="1063"/>
      <c r="I1981" s="1063"/>
      <c r="J1981" s="1063"/>
      <c r="K1981" s="1063"/>
      <c r="L1981" s="1063"/>
      <c r="M1981" s="1063"/>
      <c r="N1981" s="1063"/>
      <c r="O1981" s="1063"/>
      <c r="P1981" s="1063"/>
      <c r="Q1981" s="1063"/>
      <c r="R1981" s="1063"/>
      <c r="S1981" s="1063"/>
      <c r="T1981" s="1063"/>
      <c r="U1981" s="1063"/>
      <c r="V1981" s="1063"/>
      <c r="W1981" s="1063"/>
      <c r="X1981" s="1063"/>
      <c r="Y1981" s="1063"/>
      <c r="Z1981" s="1063"/>
      <c r="AA1981" s="1063"/>
      <c r="AB1981" s="1063"/>
      <c r="AC1981" s="1063"/>
      <c r="AD1981" s="1063"/>
      <c r="AE1981" s="1063"/>
      <c r="AF1981" s="1063"/>
      <c r="AG1981" s="1063"/>
      <c r="AH1981" s="1063"/>
      <c r="AI1981" s="1063"/>
      <c r="AJ1981" s="1063"/>
      <c r="AK1981" s="1063"/>
      <c r="AL1981" s="1063"/>
      <c r="AM1981" s="1063"/>
      <c r="AN1981" s="1063"/>
      <c r="AO1981" s="1063"/>
      <c r="AP1981" s="1063"/>
      <c r="AQ1981" s="1063"/>
      <c r="AR1981" s="1063"/>
      <c r="AS1981" s="1063"/>
      <c r="AT1981" s="1063"/>
      <c r="AU1981" s="1063"/>
      <c r="AV1981" s="1063"/>
    </row>
    <row r="1982" spans="1:48" s="1108" customFormat="1" ht="27.75" customHeight="1">
      <c r="A1982" s="1076"/>
      <c r="B1982" s="1074">
        <f>+'[18]Bldg+Dev'!S2794</f>
        <v>0</v>
      </c>
      <c r="D1982" s="1063"/>
      <c r="F1982" s="1076"/>
      <c r="G1982" s="1063"/>
      <c r="H1982" s="1063"/>
      <c r="I1982" s="1063"/>
      <c r="J1982" s="1063"/>
      <c r="K1982" s="1063"/>
      <c r="L1982" s="1063"/>
      <c r="M1982" s="1063"/>
      <c r="N1982" s="1063"/>
      <c r="O1982" s="1063"/>
      <c r="P1982" s="1063"/>
      <c r="Q1982" s="1063"/>
      <c r="R1982" s="1063"/>
      <c r="S1982" s="1063"/>
      <c r="T1982" s="1063"/>
      <c r="U1982" s="1063"/>
      <c r="V1982" s="1063"/>
      <c r="W1982" s="1063"/>
      <c r="X1982" s="1063"/>
      <c r="Y1982" s="1063"/>
      <c r="Z1982" s="1063"/>
      <c r="AA1982" s="1063"/>
      <c r="AB1982" s="1063"/>
      <c r="AC1982" s="1063"/>
      <c r="AD1982" s="1063"/>
      <c r="AE1982" s="1063"/>
      <c r="AF1982" s="1063"/>
      <c r="AG1982" s="1063"/>
      <c r="AH1982" s="1063"/>
      <c r="AI1982" s="1063"/>
      <c r="AJ1982" s="1063"/>
      <c r="AK1982" s="1063"/>
      <c r="AL1982" s="1063"/>
      <c r="AM1982" s="1063"/>
      <c r="AN1982" s="1063"/>
      <c r="AO1982" s="1063"/>
      <c r="AP1982" s="1063"/>
      <c r="AQ1982" s="1063"/>
      <c r="AR1982" s="1063"/>
      <c r="AS1982" s="1063"/>
      <c r="AT1982" s="1063"/>
      <c r="AU1982" s="1063"/>
      <c r="AV1982" s="1063"/>
    </row>
    <row r="1983" spans="1:48" s="1108" customFormat="1" ht="27.75" customHeight="1">
      <c r="A1983" s="1076"/>
      <c r="B1983" s="1074">
        <f>+'[18]Bldg+Dev'!S2795</f>
        <v>0</v>
      </c>
      <c r="D1983" s="1063"/>
      <c r="F1983" s="1076"/>
      <c r="G1983" s="1063"/>
      <c r="H1983" s="1063"/>
      <c r="I1983" s="1063"/>
      <c r="J1983" s="1063"/>
      <c r="K1983" s="1063"/>
      <c r="L1983" s="1063"/>
      <c r="M1983" s="1063"/>
      <c r="N1983" s="1063"/>
      <c r="O1983" s="1063"/>
      <c r="P1983" s="1063"/>
      <c r="Q1983" s="1063"/>
      <c r="R1983" s="1063"/>
      <c r="S1983" s="1063"/>
      <c r="T1983" s="1063"/>
      <c r="U1983" s="1063"/>
      <c r="V1983" s="1063"/>
      <c r="W1983" s="1063"/>
      <c r="X1983" s="1063"/>
      <c r="Y1983" s="1063"/>
      <c r="Z1983" s="1063"/>
      <c r="AA1983" s="1063"/>
      <c r="AB1983" s="1063"/>
      <c r="AC1983" s="1063"/>
      <c r="AD1983" s="1063"/>
      <c r="AE1983" s="1063"/>
      <c r="AF1983" s="1063"/>
      <c r="AG1983" s="1063"/>
      <c r="AH1983" s="1063"/>
      <c r="AI1983" s="1063"/>
      <c r="AJ1983" s="1063"/>
      <c r="AK1983" s="1063"/>
      <c r="AL1983" s="1063"/>
      <c r="AM1983" s="1063"/>
      <c r="AN1983" s="1063"/>
      <c r="AO1983" s="1063"/>
      <c r="AP1983" s="1063"/>
      <c r="AQ1983" s="1063"/>
      <c r="AR1983" s="1063"/>
      <c r="AS1983" s="1063"/>
      <c r="AT1983" s="1063"/>
      <c r="AU1983" s="1063"/>
      <c r="AV1983" s="1063"/>
    </row>
    <row r="1984" spans="1:48" s="1108" customFormat="1" ht="27.75" customHeight="1">
      <c r="A1984" s="1076"/>
      <c r="B1984" s="1074">
        <f>+'[18]Bldg+Dev'!S2796</f>
        <v>0</v>
      </c>
      <c r="D1984" s="1063"/>
      <c r="F1984" s="1076"/>
      <c r="G1984" s="1063"/>
      <c r="H1984" s="1063"/>
      <c r="I1984" s="1063"/>
      <c r="J1984" s="1063"/>
      <c r="K1984" s="1063"/>
      <c r="L1984" s="1063"/>
      <c r="M1984" s="1063"/>
      <c r="N1984" s="1063"/>
      <c r="O1984" s="1063"/>
      <c r="P1984" s="1063"/>
      <c r="Q1984" s="1063"/>
      <c r="R1984" s="1063"/>
      <c r="S1984" s="1063"/>
      <c r="T1984" s="1063"/>
      <c r="U1984" s="1063"/>
      <c r="V1984" s="1063"/>
      <c r="W1984" s="1063"/>
      <c r="X1984" s="1063"/>
      <c r="Y1984" s="1063"/>
      <c r="Z1984" s="1063"/>
      <c r="AA1984" s="1063"/>
      <c r="AB1984" s="1063"/>
      <c r="AC1984" s="1063"/>
      <c r="AD1984" s="1063"/>
      <c r="AE1984" s="1063"/>
      <c r="AF1984" s="1063"/>
      <c r="AG1984" s="1063"/>
      <c r="AH1984" s="1063"/>
      <c r="AI1984" s="1063"/>
      <c r="AJ1984" s="1063"/>
      <c r="AK1984" s="1063"/>
      <c r="AL1984" s="1063"/>
      <c r="AM1984" s="1063"/>
      <c r="AN1984" s="1063"/>
      <c r="AO1984" s="1063"/>
      <c r="AP1984" s="1063"/>
      <c r="AQ1984" s="1063"/>
      <c r="AR1984" s="1063"/>
      <c r="AS1984" s="1063"/>
      <c r="AT1984" s="1063"/>
      <c r="AU1984" s="1063"/>
      <c r="AV1984" s="1063"/>
    </row>
    <row r="1985" spans="1:48" s="1108" customFormat="1" ht="27.75" customHeight="1">
      <c r="A1985" s="1076"/>
      <c r="B1985" s="1074">
        <f>+'[18]Bldg+Dev'!S2797</f>
        <v>0</v>
      </c>
      <c r="D1985" s="1063"/>
      <c r="F1985" s="1076"/>
      <c r="G1985" s="1063"/>
      <c r="H1985" s="1063"/>
      <c r="I1985" s="1063"/>
      <c r="J1985" s="1063"/>
      <c r="K1985" s="1063"/>
      <c r="L1985" s="1063"/>
      <c r="M1985" s="1063"/>
      <c r="N1985" s="1063"/>
      <c r="O1985" s="1063"/>
      <c r="P1985" s="1063"/>
      <c r="Q1985" s="1063"/>
      <c r="R1985" s="1063"/>
      <c r="S1985" s="1063"/>
      <c r="T1985" s="1063"/>
      <c r="U1985" s="1063"/>
      <c r="V1985" s="1063"/>
      <c r="W1985" s="1063"/>
      <c r="X1985" s="1063"/>
      <c r="Y1985" s="1063"/>
      <c r="Z1985" s="1063"/>
      <c r="AA1985" s="1063"/>
      <c r="AB1985" s="1063"/>
      <c r="AC1985" s="1063"/>
      <c r="AD1985" s="1063"/>
      <c r="AE1985" s="1063"/>
      <c r="AF1985" s="1063"/>
      <c r="AG1985" s="1063"/>
      <c r="AH1985" s="1063"/>
      <c r="AI1985" s="1063"/>
      <c r="AJ1985" s="1063"/>
      <c r="AK1985" s="1063"/>
      <c r="AL1985" s="1063"/>
      <c r="AM1985" s="1063"/>
      <c r="AN1985" s="1063"/>
      <c r="AO1985" s="1063"/>
      <c r="AP1985" s="1063"/>
      <c r="AQ1985" s="1063"/>
      <c r="AR1985" s="1063"/>
      <c r="AS1985" s="1063"/>
      <c r="AT1985" s="1063"/>
      <c r="AU1985" s="1063"/>
      <c r="AV1985" s="1063"/>
    </row>
    <row r="1986" spans="1:48" s="1108" customFormat="1" ht="27.75" customHeight="1">
      <c r="A1986" s="1076"/>
      <c r="B1986" s="1074">
        <f>+'[18]Bldg+Dev'!S2798</f>
        <v>0</v>
      </c>
      <c r="D1986" s="1063"/>
      <c r="F1986" s="1076"/>
      <c r="G1986" s="1063"/>
      <c r="H1986" s="1063"/>
      <c r="I1986" s="1063"/>
      <c r="J1986" s="1063"/>
      <c r="K1986" s="1063"/>
      <c r="L1986" s="1063"/>
      <c r="M1986" s="1063"/>
      <c r="N1986" s="1063"/>
      <c r="O1986" s="1063"/>
      <c r="P1986" s="1063"/>
      <c r="Q1986" s="1063"/>
      <c r="R1986" s="1063"/>
      <c r="S1986" s="1063"/>
      <c r="T1986" s="1063"/>
      <c r="U1986" s="1063"/>
      <c r="V1986" s="1063"/>
      <c r="W1986" s="1063"/>
      <c r="X1986" s="1063"/>
      <c r="Y1986" s="1063"/>
      <c r="Z1986" s="1063"/>
      <c r="AA1986" s="1063"/>
      <c r="AB1986" s="1063"/>
      <c r="AC1986" s="1063"/>
      <c r="AD1986" s="1063"/>
      <c r="AE1986" s="1063"/>
      <c r="AF1986" s="1063"/>
      <c r="AG1986" s="1063"/>
      <c r="AH1986" s="1063"/>
      <c r="AI1986" s="1063"/>
      <c r="AJ1986" s="1063"/>
      <c r="AK1986" s="1063"/>
      <c r="AL1986" s="1063"/>
      <c r="AM1986" s="1063"/>
      <c r="AN1986" s="1063"/>
      <c r="AO1986" s="1063"/>
      <c r="AP1986" s="1063"/>
      <c r="AQ1986" s="1063"/>
      <c r="AR1986" s="1063"/>
      <c r="AS1986" s="1063"/>
      <c r="AT1986" s="1063"/>
      <c r="AU1986" s="1063"/>
      <c r="AV1986" s="1063"/>
    </row>
    <row r="1987" spans="1:48" s="1108" customFormat="1" ht="27.75" customHeight="1">
      <c r="A1987" s="1076"/>
      <c r="B1987" s="1074">
        <f>+'[18]Bldg+Dev'!S2799</f>
        <v>0</v>
      </c>
      <c r="D1987" s="1063"/>
      <c r="F1987" s="1076"/>
      <c r="G1987" s="1063"/>
      <c r="H1987" s="1063"/>
      <c r="I1987" s="1063"/>
      <c r="J1987" s="1063"/>
      <c r="K1987" s="1063"/>
      <c r="L1987" s="1063"/>
      <c r="M1987" s="1063"/>
      <c r="N1987" s="1063"/>
      <c r="O1987" s="1063"/>
      <c r="P1987" s="1063"/>
      <c r="Q1987" s="1063"/>
      <c r="R1987" s="1063"/>
      <c r="S1987" s="1063"/>
      <c r="T1987" s="1063"/>
      <c r="U1987" s="1063"/>
      <c r="V1987" s="1063"/>
      <c r="W1987" s="1063"/>
      <c r="X1987" s="1063"/>
      <c r="Y1987" s="1063"/>
      <c r="Z1987" s="1063"/>
      <c r="AA1987" s="1063"/>
      <c r="AB1987" s="1063"/>
      <c r="AC1987" s="1063"/>
      <c r="AD1987" s="1063"/>
      <c r="AE1987" s="1063"/>
      <c r="AF1987" s="1063"/>
      <c r="AG1987" s="1063"/>
      <c r="AH1987" s="1063"/>
      <c r="AI1987" s="1063"/>
      <c r="AJ1987" s="1063"/>
      <c r="AK1987" s="1063"/>
      <c r="AL1987" s="1063"/>
      <c r="AM1987" s="1063"/>
      <c r="AN1987" s="1063"/>
      <c r="AO1987" s="1063"/>
      <c r="AP1987" s="1063"/>
      <c r="AQ1987" s="1063"/>
      <c r="AR1987" s="1063"/>
      <c r="AS1987" s="1063"/>
      <c r="AT1987" s="1063"/>
      <c r="AU1987" s="1063"/>
      <c r="AV1987" s="1063"/>
    </row>
    <row r="1988" spans="1:48" s="1108" customFormat="1" ht="27.75" customHeight="1">
      <c r="A1988" s="1076"/>
      <c r="B1988" s="1074">
        <f>+'[18]Bldg+Dev'!S2800</f>
        <v>0</v>
      </c>
      <c r="D1988" s="1063"/>
      <c r="F1988" s="1076"/>
      <c r="G1988" s="1063"/>
      <c r="H1988" s="1063"/>
      <c r="I1988" s="1063"/>
      <c r="J1988" s="1063"/>
      <c r="K1988" s="1063"/>
      <c r="L1988" s="1063"/>
      <c r="M1988" s="1063"/>
      <c r="N1988" s="1063"/>
      <c r="O1988" s="1063"/>
      <c r="P1988" s="1063"/>
      <c r="Q1988" s="1063"/>
      <c r="R1988" s="1063"/>
      <c r="S1988" s="1063"/>
      <c r="T1988" s="1063"/>
      <c r="U1988" s="1063"/>
      <c r="V1988" s="1063"/>
      <c r="W1988" s="1063"/>
      <c r="X1988" s="1063"/>
      <c r="Y1988" s="1063"/>
      <c r="Z1988" s="1063"/>
      <c r="AA1988" s="1063"/>
      <c r="AB1988" s="1063"/>
      <c r="AC1988" s="1063"/>
      <c r="AD1988" s="1063"/>
      <c r="AE1988" s="1063"/>
      <c r="AF1988" s="1063"/>
      <c r="AG1988" s="1063"/>
      <c r="AH1988" s="1063"/>
      <c r="AI1988" s="1063"/>
      <c r="AJ1988" s="1063"/>
      <c r="AK1988" s="1063"/>
      <c r="AL1988" s="1063"/>
      <c r="AM1988" s="1063"/>
      <c r="AN1988" s="1063"/>
      <c r="AO1988" s="1063"/>
      <c r="AP1988" s="1063"/>
      <c r="AQ1988" s="1063"/>
      <c r="AR1988" s="1063"/>
      <c r="AS1988" s="1063"/>
      <c r="AT1988" s="1063"/>
      <c r="AU1988" s="1063"/>
      <c r="AV1988" s="1063"/>
    </row>
    <row r="1989" spans="1:48" s="1108" customFormat="1" ht="27.75" customHeight="1">
      <c r="A1989" s="1076"/>
      <c r="B1989" s="1074">
        <f>+'[18]Bldg+Dev'!S2801</f>
        <v>0</v>
      </c>
      <c r="D1989" s="1063"/>
      <c r="F1989" s="1076"/>
      <c r="G1989" s="1063"/>
      <c r="H1989" s="1063"/>
      <c r="I1989" s="1063"/>
      <c r="J1989" s="1063"/>
      <c r="K1989" s="1063"/>
      <c r="L1989" s="1063"/>
      <c r="M1989" s="1063"/>
      <c r="N1989" s="1063"/>
      <c r="O1989" s="1063"/>
      <c r="P1989" s="1063"/>
      <c r="Q1989" s="1063"/>
      <c r="R1989" s="1063"/>
      <c r="S1989" s="1063"/>
      <c r="T1989" s="1063"/>
      <c r="U1989" s="1063"/>
      <c r="V1989" s="1063"/>
      <c r="W1989" s="1063"/>
      <c r="X1989" s="1063"/>
      <c r="Y1989" s="1063"/>
      <c r="Z1989" s="1063"/>
      <c r="AA1989" s="1063"/>
      <c r="AB1989" s="1063"/>
      <c r="AC1989" s="1063"/>
      <c r="AD1989" s="1063"/>
      <c r="AE1989" s="1063"/>
      <c r="AF1989" s="1063"/>
      <c r="AG1989" s="1063"/>
      <c r="AH1989" s="1063"/>
      <c r="AI1989" s="1063"/>
      <c r="AJ1989" s="1063"/>
      <c r="AK1989" s="1063"/>
      <c r="AL1989" s="1063"/>
      <c r="AM1989" s="1063"/>
      <c r="AN1989" s="1063"/>
      <c r="AO1989" s="1063"/>
      <c r="AP1989" s="1063"/>
      <c r="AQ1989" s="1063"/>
      <c r="AR1989" s="1063"/>
      <c r="AS1989" s="1063"/>
      <c r="AT1989" s="1063"/>
      <c r="AU1989" s="1063"/>
      <c r="AV1989" s="1063"/>
    </row>
    <row r="1990" spans="1:48" s="1108" customFormat="1" ht="27.75" customHeight="1">
      <c r="A1990" s="1076"/>
      <c r="B1990" s="1074">
        <f>+'[18]Bldg+Dev'!S2802</f>
        <v>0</v>
      </c>
      <c r="D1990" s="1063"/>
      <c r="F1990" s="1076"/>
      <c r="G1990" s="1063"/>
      <c r="H1990" s="1063"/>
      <c r="I1990" s="1063"/>
      <c r="J1990" s="1063"/>
      <c r="K1990" s="1063"/>
      <c r="L1990" s="1063"/>
      <c r="M1990" s="1063"/>
      <c r="N1990" s="1063"/>
      <c r="O1990" s="1063"/>
      <c r="P1990" s="1063"/>
      <c r="Q1990" s="1063"/>
      <c r="R1990" s="1063"/>
      <c r="S1990" s="1063"/>
      <c r="T1990" s="1063"/>
      <c r="U1990" s="1063"/>
      <c r="V1990" s="1063"/>
      <c r="W1990" s="1063"/>
      <c r="X1990" s="1063"/>
      <c r="Y1990" s="1063"/>
      <c r="Z1990" s="1063"/>
      <c r="AA1990" s="1063"/>
      <c r="AB1990" s="1063"/>
      <c r="AC1990" s="1063"/>
      <c r="AD1990" s="1063"/>
      <c r="AE1990" s="1063"/>
      <c r="AF1990" s="1063"/>
      <c r="AG1990" s="1063"/>
      <c r="AH1990" s="1063"/>
      <c r="AI1990" s="1063"/>
      <c r="AJ1990" s="1063"/>
      <c r="AK1990" s="1063"/>
      <c r="AL1990" s="1063"/>
      <c r="AM1990" s="1063"/>
      <c r="AN1990" s="1063"/>
      <c r="AO1990" s="1063"/>
      <c r="AP1990" s="1063"/>
      <c r="AQ1990" s="1063"/>
      <c r="AR1990" s="1063"/>
      <c r="AS1990" s="1063"/>
      <c r="AT1990" s="1063"/>
      <c r="AU1990" s="1063"/>
      <c r="AV1990" s="1063"/>
    </row>
    <row r="1991" spans="1:48" s="1108" customFormat="1" ht="27.75" customHeight="1">
      <c r="A1991" s="1076"/>
      <c r="B1991" s="1074">
        <f>+'[18]Bldg+Dev'!S2803</f>
        <v>0</v>
      </c>
      <c r="D1991" s="1063"/>
      <c r="F1991" s="1076"/>
      <c r="G1991" s="1063"/>
      <c r="H1991" s="1063"/>
      <c r="I1991" s="1063"/>
      <c r="J1991" s="1063"/>
      <c r="K1991" s="1063"/>
      <c r="L1991" s="1063"/>
      <c r="M1991" s="1063"/>
      <c r="N1991" s="1063"/>
      <c r="O1991" s="1063"/>
      <c r="P1991" s="1063"/>
      <c r="Q1991" s="1063"/>
      <c r="R1991" s="1063"/>
      <c r="S1991" s="1063"/>
      <c r="T1991" s="1063"/>
      <c r="U1991" s="1063"/>
      <c r="V1991" s="1063"/>
      <c r="W1991" s="1063"/>
      <c r="X1991" s="1063"/>
      <c r="Y1991" s="1063"/>
      <c r="Z1991" s="1063"/>
      <c r="AA1991" s="1063"/>
      <c r="AB1991" s="1063"/>
      <c r="AC1991" s="1063"/>
      <c r="AD1991" s="1063"/>
      <c r="AE1991" s="1063"/>
      <c r="AF1991" s="1063"/>
      <c r="AG1991" s="1063"/>
      <c r="AH1991" s="1063"/>
      <c r="AI1991" s="1063"/>
      <c r="AJ1991" s="1063"/>
      <c r="AK1991" s="1063"/>
      <c r="AL1991" s="1063"/>
      <c r="AM1991" s="1063"/>
      <c r="AN1991" s="1063"/>
      <c r="AO1991" s="1063"/>
      <c r="AP1991" s="1063"/>
      <c r="AQ1991" s="1063"/>
      <c r="AR1991" s="1063"/>
      <c r="AS1991" s="1063"/>
      <c r="AT1991" s="1063"/>
      <c r="AU1991" s="1063"/>
      <c r="AV1991" s="1063"/>
    </row>
    <row r="1992" spans="1:48" s="1108" customFormat="1" ht="27.75" customHeight="1">
      <c r="A1992" s="1076"/>
      <c r="B1992" s="1074">
        <f>+'[18]Bldg+Dev'!S2804</f>
        <v>0</v>
      </c>
      <c r="D1992" s="1063"/>
      <c r="F1992" s="1076"/>
      <c r="G1992" s="1063"/>
      <c r="H1992" s="1063"/>
      <c r="I1992" s="1063"/>
      <c r="J1992" s="1063"/>
      <c r="K1992" s="1063"/>
      <c r="L1992" s="1063"/>
      <c r="M1992" s="1063"/>
      <c r="N1992" s="1063"/>
      <c r="O1992" s="1063"/>
      <c r="P1992" s="1063"/>
      <c r="Q1992" s="1063"/>
      <c r="R1992" s="1063"/>
      <c r="S1992" s="1063"/>
      <c r="T1992" s="1063"/>
      <c r="U1992" s="1063"/>
      <c r="V1992" s="1063"/>
      <c r="W1992" s="1063"/>
      <c r="X1992" s="1063"/>
      <c r="Y1992" s="1063"/>
      <c r="Z1992" s="1063"/>
      <c r="AA1992" s="1063"/>
      <c r="AB1992" s="1063"/>
      <c r="AC1992" s="1063"/>
      <c r="AD1992" s="1063"/>
      <c r="AE1992" s="1063"/>
      <c r="AF1992" s="1063"/>
      <c r="AG1992" s="1063"/>
      <c r="AH1992" s="1063"/>
      <c r="AI1992" s="1063"/>
      <c r="AJ1992" s="1063"/>
      <c r="AK1992" s="1063"/>
      <c r="AL1992" s="1063"/>
      <c r="AM1992" s="1063"/>
      <c r="AN1992" s="1063"/>
      <c r="AO1992" s="1063"/>
      <c r="AP1992" s="1063"/>
      <c r="AQ1992" s="1063"/>
      <c r="AR1992" s="1063"/>
      <c r="AS1992" s="1063"/>
      <c r="AT1992" s="1063"/>
      <c r="AU1992" s="1063"/>
      <c r="AV1992" s="1063"/>
    </row>
    <row r="1993" spans="1:48" s="1108" customFormat="1" ht="27.75" customHeight="1">
      <c r="A1993" s="1076"/>
      <c r="B1993" s="1074">
        <f>+'[18]Bldg+Dev'!S2805</f>
        <v>0</v>
      </c>
      <c r="D1993" s="1063"/>
      <c r="F1993" s="1076"/>
      <c r="G1993" s="1063"/>
      <c r="H1993" s="1063"/>
      <c r="I1993" s="1063"/>
      <c r="J1993" s="1063"/>
      <c r="K1993" s="1063"/>
      <c r="L1993" s="1063"/>
      <c r="M1993" s="1063"/>
      <c r="N1993" s="1063"/>
      <c r="O1993" s="1063"/>
      <c r="P1993" s="1063"/>
      <c r="Q1993" s="1063"/>
      <c r="R1993" s="1063"/>
      <c r="S1993" s="1063"/>
      <c r="T1993" s="1063"/>
      <c r="U1993" s="1063"/>
      <c r="V1993" s="1063"/>
      <c r="W1993" s="1063"/>
      <c r="X1993" s="1063"/>
      <c r="Y1993" s="1063"/>
      <c r="Z1993" s="1063"/>
      <c r="AA1993" s="1063"/>
      <c r="AB1993" s="1063"/>
      <c r="AC1993" s="1063"/>
      <c r="AD1993" s="1063"/>
      <c r="AE1993" s="1063"/>
      <c r="AF1993" s="1063"/>
      <c r="AG1993" s="1063"/>
      <c r="AH1993" s="1063"/>
      <c r="AI1993" s="1063"/>
      <c r="AJ1993" s="1063"/>
      <c r="AK1993" s="1063"/>
      <c r="AL1993" s="1063"/>
      <c r="AM1993" s="1063"/>
      <c r="AN1993" s="1063"/>
      <c r="AO1993" s="1063"/>
      <c r="AP1993" s="1063"/>
      <c r="AQ1993" s="1063"/>
      <c r="AR1993" s="1063"/>
      <c r="AS1993" s="1063"/>
      <c r="AT1993" s="1063"/>
      <c r="AU1993" s="1063"/>
      <c r="AV1993" s="1063"/>
    </row>
    <row r="1994" spans="1:48" s="1108" customFormat="1" ht="27.75" customHeight="1">
      <c r="A1994" s="1076"/>
      <c r="B1994" s="1074">
        <f>+'[18]Bldg+Dev'!S2806</f>
        <v>0</v>
      </c>
      <c r="D1994" s="1063"/>
      <c r="F1994" s="1076"/>
      <c r="G1994" s="1063"/>
      <c r="H1994" s="1063"/>
      <c r="I1994" s="1063"/>
      <c r="J1994" s="1063"/>
      <c r="K1994" s="1063"/>
      <c r="L1994" s="1063"/>
      <c r="M1994" s="1063"/>
      <c r="N1994" s="1063"/>
      <c r="O1994" s="1063"/>
      <c r="P1994" s="1063"/>
      <c r="Q1994" s="1063"/>
      <c r="R1994" s="1063"/>
      <c r="S1994" s="1063"/>
      <c r="T1994" s="1063"/>
      <c r="U1994" s="1063"/>
      <c r="V1994" s="1063"/>
      <c r="W1994" s="1063"/>
      <c r="X1994" s="1063"/>
      <c r="Y1994" s="1063"/>
      <c r="Z1994" s="1063"/>
      <c r="AA1994" s="1063"/>
      <c r="AB1994" s="1063"/>
      <c r="AC1994" s="1063"/>
      <c r="AD1994" s="1063"/>
      <c r="AE1994" s="1063"/>
      <c r="AF1994" s="1063"/>
      <c r="AG1994" s="1063"/>
      <c r="AH1994" s="1063"/>
      <c r="AI1994" s="1063"/>
      <c r="AJ1994" s="1063"/>
      <c r="AK1994" s="1063"/>
      <c r="AL1994" s="1063"/>
      <c r="AM1994" s="1063"/>
      <c r="AN1994" s="1063"/>
      <c r="AO1994" s="1063"/>
      <c r="AP1994" s="1063"/>
      <c r="AQ1994" s="1063"/>
      <c r="AR1994" s="1063"/>
      <c r="AS1994" s="1063"/>
      <c r="AT1994" s="1063"/>
      <c r="AU1994" s="1063"/>
      <c r="AV1994" s="1063"/>
    </row>
    <row r="1995" spans="1:48" s="1108" customFormat="1" ht="27.75" customHeight="1">
      <c r="A1995" s="1076"/>
      <c r="B1995" s="1074">
        <f>+'[18]Bldg+Dev'!S2807</f>
        <v>0</v>
      </c>
      <c r="D1995" s="1063"/>
      <c r="F1995" s="1076"/>
      <c r="G1995" s="1063"/>
      <c r="H1995" s="1063"/>
      <c r="I1995" s="1063"/>
      <c r="J1995" s="1063"/>
      <c r="K1995" s="1063"/>
      <c r="L1995" s="1063"/>
      <c r="M1995" s="1063"/>
      <c r="N1995" s="1063"/>
      <c r="O1995" s="1063"/>
      <c r="P1995" s="1063"/>
      <c r="Q1995" s="1063"/>
      <c r="R1995" s="1063"/>
      <c r="S1995" s="1063"/>
      <c r="T1995" s="1063"/>
      <c r="U1995" s="1063"/>
      <c r="V1995" s="1063"/>
      <c r="W1995" s="1063"/>
      <c r="X1995" s="1063"/>
      <c r="Y1995" s="1063"/>
      <c r="Z1995" s="1063"/>
      <c r="AA1995" s="1063"/>
      <c r="AB1995" s="1063"/>
      <c r="AC1995" s="1063"/>
      <c r="AD1995" s="1063"/>
      <c r="AE1995" s="1063"/>
      <c r="AF1995" s="1063"/>
      <c r="AG1995" s="1063"/>
      <c r="AH1995" s="1063"/>
      <c r="AI1995" s="1063"/>
      <c r="AJ1995" s="1063"/>
      <c r="AK1995" s="1063"/>
      <c r="AL1995" s="1063"/>
      <c r="AM1995" s="1063"/>
      <c r="AN1995" s="1063"/>
      <c r="AO1995" s="1063"/>
      <c r="AP1995" s="1063"/>
      <c r="AQ1995" s="1063"/>
      <c r="AR1995" s="1063"/>
      <c r="AS1995" s="1063"/>
      <c r="AT1995" s="1063"/>
      <c r="AU1995" s="1063"/>
      <c r="AV1995" s="1063"/>
    </row>
    <row r="1996" spans="1:48" s="1108" customFormat="1" ht="27.75" customHeight="1">
      <c r="A1996" s="1076"/>
      <c r="B1996" s="1074">
        <f>+'[18]Bldg+Dev'!S2808</f>
        <v>0</v>
      </c>
      <c r="D1996" s="1063"/>
      <c r="F1996" s="1076"/>
      <c r="G1996" s="1063"/>
      <c r="H1996" s="1063"/>
      <c r="I1996" s="1063"/>
      <c r="J1996" s="1063"/>
      <c r="K1996" s="1063"/>
      <c r="L1996" s="1063"/>
      <c r="M1996" s="1063"/>
      <c r="N1996" s="1063"/>
      <c r="O1996" s="1063"/>
      <c r="P1996" s="1063"/>
      <c r="Q1996" s="1063"/>
      <c r="R1996" s="1063"/>
      <c r="S1996" s="1063"/>
      <c r="T1996" s="1063"/>
      <c r="U1996" s="1063"/>
      <c r="V1996" s="1063"/>
      <c r="W1996" s="1063"/>
      <c r="X1996" s="1063"/>
      <c r="Y1996" s="1063"/>
      <c r="Z1996" s="1063"/>
      <c r="AA1996" s="1063"/>
      <c r="AB1996" s="1063"/>
      <c r="AC1996" s="1063"/>
      <c r="AD1996" s="1063"/>
      <c r="AE1996" s="1063"/>
      <c r="AF1996" s="1063"/>
      <c r="AG1996" s="1063"/>
      <c r="AH1996" s="1063"/>
      <c r="AI1996" s="1063"/>
      <c r="AJ1996" s="1063"/>
      <c r="AK1996" s="1063"/>
      <c r="AL1996" s="1063"/>
      <c r="AM1996" s="1063"/>
      <c r="AN1996" s="1063"/>
      <c r="AO1996" s="1063"/>
      <c r="AP1996" s="1063"/>
      <c r="AQ1996" s="1063"/>
      <c r="AR1996" s="1063"/>
      <c r="AS1996" s="1063"/>
      <c r="AT1996" s="1063"/>
      <c r="AU1996" s="1063"/>
      <c r="AV1996" s="1063"/>
    </row>
    <row r="1997" spans="1:48" s="1108" customFormat="1" ht="27.75" customHeight="1">
      <c r="A1997" s="1076"/>
      <c r="B1997" s="1074">
        <f>+'[18]Bldg+Dev'!S2809</f>
        <v>0</v>
      </c>
      <c r="D1997" s="1063"/>
      <c r="F1997" s="1076"/>
      <c r="G1997" s="1063"/>
      <c r="H1997" s="1063"/>
      <c r="I1997" s="1063"/>
      <c r="J1997" s="1063"/>
      <c r="K1997" s="1063"/>
      <c r="L1997" s="1063"/>
      <c r="M1997" s="1063"/>
      <c r="N1997" s="1063"/>
      <c r="O1997" s="1063"/>
      <c r="P1997" s="1063"/>
      <c r="Q1997" s="1063"/>
      <c r="R1997" s="1063"/>
      <c r="S1997" s="1063"/>
      <c r="T1997" s="1063"/>
      <c r="U1997" s="1063"/>
      <c r="V1997" s="1063"/>
      <c r="W1997" s="1063"/>
      <c r="X1997" s="1063"/>
      <c r="Y1997" s="1063"/>
      <c r="Z1997" s="1063"/>
      <c r="AA1997" s="1063"/>
      <c r="AB1997" s="1063"/>
      <c r="AC1997" s="1063"/>
      <c r="AD1997" s="1063"/>
      <c r="AE1997" s="1063"/>
      <c r="AF1997" s="1063"/>
      <c r="AG1997" s="1063"/>
      <c r="AH1997" s="1063"/>
      <c r="AI1997" s="1063"/>
      <c r="AJ1997" s="1063"/>
      <c r="AK1997" s="1063"/>
      <c r="AL1997" s="1063"/>
      <c r="AM1997" s="1063"/>
      <c r="AN1997" s="1063"/>
      <c r="AO1997" s="1063"/>
      <c r="AP1997" s="1063"/>
      <c r="AQ1997" s="1063"/>
      <c r="AR1997" s="1063"/>
      <c r="AS1997" s="1063"/>
      <c r="AT1997" s="1063"/>
      <c r="AU1997" s="1063"/>
      <c r="AV1997" s="1063"/>
    </row>
    <row r="1998" spans="1:48" s="1108" customFormat="1" ht="27.75" customHeight="1">
      <c r="A1998" s="1076"/>
      <c r="B1998" s="1074">
        <f>+'[18]Bldg+Dev'!S2810</f>
        <v>0</v>
      </c>
      <c r="D1998" s="1063"/>
      <c r="F1998" s="1076"/>
      <c r="G1998" s="1063"/>
      <c r="H1998" s="1063"/>
      <c r="I1998" s="1063"/>
      <c r="J1998" s="1063"/>
      <c r="K1998" s="1063"/>
      <c r="L1998" s="1063"/>
      <c r="M1998" s="1063"/>
      <c r="N1998" s="1063"/>
      <c r="O1998" s="1063"/>
      <c r="P1998" s="1063"/>
      <c r="Q1998" s="1063"/>
      <c r="R1998" s="1063"/>
      <c r="S1998" s="1063"/>
      <c r="T1998" s="1063"/>
      <c r="U1998" s="1063"/>
      <c r="V1998" s="1063"/>
      <c r="W1998" s="1063"/>
      <c r="X1998" s="1063"/>
      <c r="Y1998" s="1063"/>
      <c r="Z1998" s="1063"/>
      <c r="AA1998" s="1063"/>
      <c r="AB1998" s="1063"/>
      <c r="AC1998" s="1063"/>
      <c r="AD1998" s="1063"/>
      <c r="AE1998" s="1063"/>
      <c r="AF1998" s="1063"/>
      <c r="AG1998" s="1063"/>
      <c r="AH1998" s="1063"/>
      <c r="AI1998" s="1063"/>
      <c r="AJ1998" s="1063"/>
      <c r="AK1998" s="1063"/>
      <c r="AL1998" s="1063"/>
      <c r="AM1998" s="1063"/>
      <c r="AN1998" s="1063"/>
      <c r="AO1998" s="1063"/>
      <c r="AP1998" s="1063"/>
      <c r="AQ1998" s="1063"/>
      <c r="AR1998" s="1063"/>
      <c r="AS1998" s="1063"/>
      <c r="AT1998" s="1063"/>
      <c r="AU1998" s="1063"/>
      <c r="AV1998" s="1063"/>
    </row>
    <row r="1999" spans="1:48" s="1108" customFormat="1" ht="27.75" customHeight="1">
      <c r="A1999" s="1076"/>
      <c r="B1999" s="1074">
        <f>+'[18]Bldg+Dev'!S2811</f>
        <v>0</v>
      </c>
      <c r="D1999" s="1063"/>
      <c r="F1999" s="1076"/>
      <c r="G1999" s="1063"/>
      <c r="H1999" s="1063"/>
      <c r="I1999" s="1063"/>
      <c r="J1999" s="1063"/>
      <c r="K1999" s="1063"/>
      <c r="L1999" s="1063"/>
      <c r="M1999" s="1063"/>
      <c r="N1999" s="1063"/>
      <c r="O1999" s="1063"/>
      <c r="P1999" s="1063"/>
      <c r="Q1999" s="1063"/>
      <c r="R1999" s="1063"/>
      <c r="S1999" s="1063"/>
      <c r="T1999" s="1063"/>
      <c r="U1999" s="1063"/>
      <c r="V1999" s="1063"/>
      <c r="W1999" s="1063"/>
      <c r="X1999" s="1063"/>
      <c r="Y1999" s="1063"/>
      <c r="Z1999" s="1063"/>
      <c r="AA1999" s="1063"/>
      <c r="AB1999" s="1063"/>
      <c r="AC1999" s="1063"/>
      <c r="AD1999" s="1063"/>
      <c r="AE1999" s="1063"/>
      <c r="AF1999" s="1063"/>
      <c r="AG1999" s="1063"/>
      <c r="AH1999" s="1063"/>
      <c r="AI1999" s="1063"/>
      <c r="AJ1999" s="1063"/>
      <c r="AK1999" s="1063"/>
      <c r="AL1999" s="1063"/>
      <c r="AM1999" s="1063"/>
      <c r="AN1999" s="1063"/>
      <c r="AO1999" s="1063"/>
      <c r="AP1999" s="1063"/>
      <c r="AQ1999" s="1063"/>
      <c r="AR1999" s="1063"/>
      <c r="AS1999" s="1063"/>
      <c r="AT1999" s="1063"/>
      <c r="AU1999" s="1063"/>
      <c r="AV1999" s="1063"/>
    </row>
    <row r="2000" spans="1:48" s="1108" customFormat="1" ht="27.75" customHeight="1">
      <c r="A2000" s="1076"/>
      <c r="B2000" s="1074">
        <f>+'[18]Bldg+Dev'!S2812</f>
        <v>0</v>
      </c>
      <c r="D2000" s="1063"/>
      <c r="F2000" s="1076"/>
      <c r="G2000" s="1063"/>
      <c r="H2000" s="1063"/>
      <c r="I2000" s="1063"/>
      <c r="J2000" s="1063"/>
      <c r="K2000" s="1063"/>
      <c r="L2000" s="1063"/>
      <c r="M2000" s="1063"/>
      <c r="N2000" s="1063"/>
      <c r="O2000" s="1063"/>
      <c r="P2000" s="1063"/>
      <c r="Q2000" s="1063"/>
      <c r="R2000" s="1063"/>
      <c r="S2000" s="1063"/>
      <c r="T2000" s="1063"/>
      <c r="U2000" s="1063"/>
      <c r="V2000" s="1063"/>
      <c r="W2000" s="1063"/>
      <c r="X2000" s="1063"/>
      <c r="Y2000" s="1063"/>
      <c r="Z2000" s="1063"/>
      <c r="AA2000" s="1063"/>
      <c r="AB2000" s="1063"/>
      <c r="AC2000" s="1063"/>
      <c r="AD2000" s="1063"/>
      <c r="AE2000" s="1063"/>
      <c r="AF2000" s="1063"/>
      <c r="AG2000" s="1063"/>
      <c r="AH2000" s="1063"/>
      <c r="AI2000" s="1063"/>
      <c r="AJ2000" s="1063"/>
      <c r="AK2000" s="1063"/>
      <c r="AL2000" s="1063"/>
      <c r="AM2000" s="1063"/>
      <c r="AN2000" s="1063"/>
      <c r="AO2000" s="1063"/>
      <c r="AP2000" s="1063"/>
      <c r="AQ2000" s="1063"/>
      <c r="AR2000" s="1063"/>
      <c r="AS2000" s="1063"/>
      <c r="AT2000" s="1063"/>
      <c r="AU2000" s="1063"/>
      <c r="AV2000" s="1063"/>
    </row>
    <row r="2001" spans="1:48" s="1108" customFormat="1" ht="27.75" customHeight="1">
      <c r="A2001" s="1076"/>
      <c r="B2001" s="1074">
        <f>+'[18]Bldg+Dev'!S2813</f>
        <v>0</v>
      </c>
      <c r="D2001" s="1063"/>
      <c r="F2001" s="1076"/>
      <c r="G2001" s="1063"/>
      <c r="H2001" s="1063"/>
      <c r="I2001" s="1063"/>
      <c r="J2001" s="1063"/>
      <c r="K2001" s="1063"/>
      <c r="L2001" s="1063"/>
      <c r="M2001" s="1063"/>
      <c r="N2001" s="1063"/>
      <c r="O2001" s="1063"/>
      <c r="P2001" s="1063"/>
      <c r="Q2001" s="1063"/>
      <c r="R2001" s="1063"/>
      <c r="S2001" s="1063"/>
      <c r="T2001" s="1063"/>
      <c r="U2001" s="1063"/>
      <c r="V2001" s="1063"/>
      <c r="W2001" s="1063"/>
      <c r="X2001" s="1063"/>
      <c r="Y2001" s="1063"/>
      <c r="Z2001" s="1063"/>
      <c r="AA2001" s="1063"/>
      <c r="AB2001" s="1063"/>
      <c r="AC2001" s="1063"/>
      <c r="AD2001" s="1063"/>
      <c r="AE2001" s="1063"/>
      <c r="AF2001" s="1063"/>
      <c r="AG2001" s="1063"/>
      <c r="AH2001" s="1063"/>
      <c r="AI2001" s="1063"/>
      <c r="AJ2001" s="1063"/>
      <c r="AK2001" s="1063"/>
      <c r="AL2001" s="1063"/>
      <c r="AM2001" s="1063"/>
      <c r="AN2001" s="1063"/>
      <c r="AO2001" s="1063"/>
      <c r="AP2001" s="1063"/>
      <c r="AQ2001" s="1063"/>
      <c r="AR2001" s="1063"/>
      <c r="AS2001" s="1063"/>
      <c r="AT2001" s="1063"/>
      <c r="AU2001" s="1063"/>
      <c r="AV2001" s="1063"/>
    </row>
    <row r="2002" spans="1:48" s="1108" customFormat="1" ht="27.75" customHeight="1">
      <c r="A2002" s="1076"/>
      <c r="B2002" s="1074">
        <f>+'[18]Bldg+Dev'!S2814</f>
        <v>0</v>
      </c>
      <c r="D2002" s="1063"/>
      <c r="F2002" s="1076"/>
      <c r="G2002" s="1063"/>
      <c r="H2002" s="1063"/>
      <c r="I2002" s="1063"/>
      <c r="J2002" s="1063"/>
      <c r="K2002" s="1063"/>
      <c r="L2002" s="1063"/>
      <c r="M2002" s="1063"/>
      <c r="N2002" s="1063"/>
      <c r="O2002" s="1063"/>
      <c r="P2002" s="1063"/>
      <c r="Q2002" s="1063"/>
      <c r="R2002" s="1063"/>
      <c r="S2002" s="1063"/>
      <c r="T2002" s="1063"/>
      <c r="U2002" s="1063"/>
      <c r="V2002" s="1063"/>
      <c r="W2002" s="1063"/>
      <c r="X2002" s="1063"/>
      <c r="Y2002" s="1063"/>
      <c r="Z2002" s="1063"/>
      <c r="AA2002" s="1063"/>
      <c r="AB2002" s="1063"/>
      <c r="AC2002" s="1063"/>
      <c r="AD2002" s="1063"/>
      <c r="AE2002" s="1063"/>
      <c r="AF2002" s="1063"/>
      <c r="AG2002" s="1063"/>
      <c r="AH2002" s="1063"/>
      <c r="AI2002" s="1063"/>
      <c r="AJ2002" s="1063"/>
      <c r="AK2002" s="1063"/>
      <c r="AL2002" s="1063"/>
      <c r="AM2002" s="1063"/>
      <c r="AN2002" s="1063"/>
      <c r="AO2002" s="1063"/>
      <c r="AP2002" s="1063"/>
      <c r="AQ2002" s="1063"/>
      <c r="AR2002" s="1063"/>
      <c r="AS2002" s="1063"/>
      <c r="AT2002" s="1063"/>
      <c r="AU2002" s="1063"/>
      <c r="AV2002" s="1063"/>
    </row>
    <row r="2003" spans="1:48" s="1108" customFormat="1" ht="27.75" customHeight="1">
      <c r="A2003" s="1076"/>
      <c r="B2003" s="1074">
        <f>+'[18]Bldg+Dev'!S2815</f>
        <v>0</v>
      </c>
      <c r="D2003" s="1063"/>
      <c r="F2003" s="1076"/>
      <c r="G2003" s="1063"/>
      <c r="H2003" s="1063"/>
      <c r="I2003" s="1063"/>
      <c r="J2003" s="1063"/>
      <c r="K2003" s="1063"/>
      <c r="L2003" s="1063"/>
      <c r="M2003" s="1063"/>
      <c r="N2003" s="1063"/>
      <c r="O2003" s="1063"/>
      <c r="P2003" s="1063"/>
      <c r="Q2003" s="1063"/>
      <c r="R2003" s="1063"/>
      <c r="S2003" s="1063"/>
      <c r="T2003" s="1063"/>
      <c r="U2003" s="1063"/>
      <c r="V2003" s="1063"/>
      <c r="W2003" s="1063"/>
      <c r="X2003" s="1063"/>
      <c r="Y2003" s="1063"/>
      <c r="Z2003" s="1063"/>
      <c r="AA2003" s="1063"/>
      <c r="AB2003" s="1063"/>
      <c r="AC2003" s="1063"/>
      <c r="AD2003" s="1063"/>
      <c r="AE2003" s="1063"/>
      <c r="AF2003" s="1063"/>
      <c r="AG2003" s="1063"/>
      <c r="AH2003" s="1063"/>
      <c r="AI2003" s="1063"/>
      <c r="AJ2003" s="1063"/>
      <c r="AK2003" s="1063"/>
      <c r="AL2003" s="1063"/>
      <c r="AM2003" s="1063"/>
      <c r="AN2003" s="1063"/>
      <c r="AO2003" s="1063"/>
      <c r="AP2003" s="1063"/>
      <c r="AQ2003" s="1063"/>
      <c r="AR2003" s="1063"/>
      <c r="AS2003" s="1063"/>
      <c r="AT2003" s="1063"/>
      <c r="AU2003" s="1063"/>
      <c r="AV2003" s="1063"/>
    </row>
    <row r="2004" spans="1:48" s="1108" customFormat="1" ht="27.75" customHeight="1">
      <c r="A2004" s="1076"/>
      <c r="B2004" s="1074">
        <f>+'[18]Bldg+Dev'!S2816</f>
        <v>0</v>
      </c>
      <c r="D2004" s="1063"/>
      <c r="F2004" s="1076"/>
      <c r="G2004" s="1063"/>
      <c r="H2004" s="1063"/>
      <c r="I2004" s="1063"/>
      <c r="J2004" s="1063"/>
      <c r="K2004" s="1063"/>
      <c r="L2004" s="1063"/>
      <c r="M2004" s="1063"/>
      <c r="N2004" s="1063"/>
      <c r="O2004" s="1063"/>
      <c r="P2004" s="1063"/>
      <c r="Q2004" s="1063"/>
      <c r="R2004" s="1063"/>
      <c r="S2004" s="1063"/>
      <c r="T2004" s="1063"/>
      <c r="U2004" s="1063"/>
      <c r="V2004" s="1063"/>
      <c r="W2004" s="1063"/>
      <c r="X2004" s="1063"/>
      <c r="Y2004" s="1063"/>
      <c r="Z2004" s="1063"/>
      <c r="AA2004" s="1063"/>
      <c r="AB2004" s="1063"/>
      <c r="AC2004" s="1063"/>
      <c r="AD2004" s="1063"/>
      <c r="AE2004" s="1063"/>
      <c r="AF2004" s="1063"/>
      <c r="AG2004" s="1063"/>
      <c r="AH2004" s="1063"/>
      <c r="AI2004" s="1063"/>
      <c r="AJ2004" s="1063"/>
      <c r="AK2004" s="1063"/>
      <c r="AL2004" s="1063"/>
      <c r="AM2004" s="1063"/>
      <c r="AN2004" s="1063"/>
      <c r="AO2004" s="1063"/>
      <c r="AP2004" s="1063"/>
      <c r="AQ2004" s="1063"/>
      <c r="AR2004" s="1063"/>
      <c r="AS2004" s="1063"/>
      <c r="AT2004" s="1063"/>
      <c r="AU2004" s="1063"/>
      <c r="AV2004" s="1063"/>
    </row>
    <row r="2005" spans="1:48" s="1108" customFormat="1" ht="27.75" customHeight="1">
      <c r="A2005" s="1076"/>
      <c r="B2005" s="1074">
        <f>+'[18]Bldg+Dev'!S2817</f>
        <v>0</v>
      </c>
      <c r="D2005" s="1063"/>
      <c r="F2005" s="1076"/>
      <c r="G2005" s="1063"/>
      <c r="H2005" s="1063"/>
      <c r="I2005" s="1063"/>
      <c r="J2005" s="1063"/>
      <c r="K2005" s="1063"/>
      <c r="L2005" s="1063"/>
      <c r="M2005" s="1063"/>
      <c r="N2005" s="1063"/>
      <c r="O2005" s="1063"/>
      <c r="P2005" s="1063"/>
      <c r="Q2005" s="1063"/>
      <c r="R2005" s="1063"/>
      <c r="S2005" s="1063"/>
      <c r="T2005" s="1063"/>
      <c r="U2005" s="1063"/>
      <c r="V2005" s="1063"/>
      <c r="W2005" s="1063"/>
      <c r="X2005" s="1063"/>
      <c r="Y2005" s="1063"/>
      <c r="Z2005" s="1063"/>
      <c r="AA2005" s="1063"/>
      <c r="AB2005" s="1063"/>
      <c r="AC2005" s="1063"/>
      <c r="AD2005" s="1063"/>
      <c r="AE2005" s="1063"/>
      <c r="AF2005" s="1063"/>
      <c r="AG2005" s="1063"/>
      <c r="AH2005" s="1063"/>
      <c r="AI2005" s="1063"/>
      <c r="AJ2005" s="1063"/>
      <c r="AK2005" s="1063"/>
      <c r="AL2005" s="1063"/>
      <c r="AM2005" s="1063"/>
      <c r="AN2005" s="1063"/>
      <c r="AO2005" s="1063"/>
      <c r="AP2005" s="1063"/>
      <c r="AQ2005" s="1063"/>
      <c r="AR2005" s="1063"/>
      <c r="AS2005" s="1063"/>
      <c r="AT2005" s="1063"/>
      <c r="AU2005" s="1063"/>
      <c r="AV2005" s="1063"/>
    </row>
    <row r="2006" spans="1:48" s="1108" customFormat="1" ht="27.75" customHeight="1">
      <c r="A2006" s="1076"/>
      <c r="B2006" s="1074">
        <f>+'[18]Bldg+Dev'!S2818</f>
        <v>0</v>
      </c>
      <c r="D2006" s="1063"/>
      <c r="F2006" s="1076"/>
      <c r="G2006" s="1063"/>
      <c r="H2006" s="1063"/>
      <c r="I2006" s="1063"/>
      <c r="J2006" s="1063"/>
      <c r="K2006" s="1063"/>
      <c r="L2006" s="1063"/>
      <c r="M2006" s="1063"/>
      <c r="N2006" s="1063"/>
      <c r="O2006" s="1063"/>
      <c r="P2006" s="1063"/>
      <c r="Q2006" s="1063"/>
      <c r="R2006" s="1063"/>
      <c r="S2006" s="1063"/>
      <c r="T2006" s="1063"/>
      <c r="U2006" s="1063"/>
      <c r="V2006" s="1063"/>
      <c r="W2006" s="1063"/>
      <c r="X2006" s="1063"/>
      <c r="Y2006" s="1063"/>
      <c r="Z2006" s="1063"/>
      <c r="AA2006" s="1063"/>
      <c r="AB2006" s="1063"/>
      <c r="AC2006" s="1063"/>
      <c r="AD2006" s="1063"/>
      <c r="AE2006" s="1063"/>
      <c r="AF2006" s="1063"/>
      <c r="AG2006" s="1063"/>
      <c r="AH2006" s="1063"/>
      <c r="AI2006" s="1063"/>
      <c r="AJ2006" s="1063"/>
      <c r="AK2006" s="1063"/>
      <c r="AL2006" s="1063"/>
      <c r="AM2006" s="1063"/>
      <c r="AN2006" s="1063"/>
      <c r="AO2006" s="1063"/>
      <c r="AP2006" s="1063"/>
      <c r="AQ2006" s="1063"/>
      <c r="AR2006" s="1063"/>
      <c r="AS2006" s="1063"/>
      <c r="AT2006" s="1063"/>
      <c r="AU2006" s="1063"/>
      <c r="AV2006" s="1063"/>
    </row>
    <row r="2007" spans="1:48" s="1108" customFormat="1" ht="27.75" customHeight="1">
      <c r="A2007" s="1076"/>
      <c r="B2007" s="1074">
        <f>+'[18]Bldg+Dev'!S2819</f>
        <v>0</v>
      </c>
      <c r="D2007" s="1063"/>
      <c r="F2007" s="1076"/>
      <c r="G2007" s="1063"/>
      <c r="H2007" s="1063"/>
      <c r="I2007" s="1063"/>
      <c r="J2007" s="1063"/>
      <c r="K2007" s="1063"/>
      <c r="L2007" s="1063"/>
      <c r="M2007" s="1063"/>
      <c r="N2007" s="1063"/>
      <c r="O2007" s="1063"/>
      <c r="P2007" s="1063"/>
      <c r="Q2007" s="1063"/>
      <c r="R2007" s="1063"/>
      <c r="S2007" s="1063"/>
      <c r="T2007" s="1063"/>
      <c r="U2007" s="1063"/>
      <c r="V2007" s="1063"/>
      <c r="W2007" s="1063"/>
      <c r="X2007" s="1063"/>
      <c r="Y2007" s="1063"/>
      <c r="Z2007" s="1063"/>
      <c r="AA2007" s="1063"/>
      <c r="AB2007" s="1063"/>
      <c r="AC2007" s="1063"/>
      <c r="AD2007" s="1063"/>
      <c r="AE2007" s="1063"/>
      <c r="AF2007" s="1063"/>
      <c r="AG2007" s="1063"/>
      <c r="AH2007" s="1063"/>
      <c r="AI2007" s="1063"/>
      <c r="AJ2007" s="1063"/>
      <c r="AK2007" s="1063"/>
      <c r="AL2007" s="1063"/>
      <c r="AM2007" s="1063"/>
      <c r="AN2007" s="1063"/>
      <c r="AO2007" s="1063"/>
      <c r="AP2007" s="1063"/>
      <c r="AQ2007" s="1063"/>
      <c r="AR2007" s="1063"/>
      <c r="AS2007" s="1063"/>
      <c r="AT2007" s="1063"/>
      <c r="AU2007" s="1063"/>
      <c r="AV2007" s="1063"/>
    </row>
    <row r="2008" spans="1:48" s="1108" customFormat="1" ht="27.75" customHeight="1">
      <c r="A2008" s="1076"/>
      <c r="B2008" s="1074">
        <f>+'[18]Bldg+Dev'!S2820</f>
        <v>0</v>
      </c>
      <c r="D2008" s="1063"/>
      <c r="F2008" s="1076"/>
      <c r="G2008" s="1063"/>
      <c r="H2008" s="1063"/>
      <c r="I2008" s="1063"/>
      <c r="J2008" s="1063"/>
      <c r="K2008" s="1063"/>
      <c r="L2008" s="1063"/>
      <c r="M2008" s="1063"/>
      <c r="N2008" s="1063"/>
      <c r="O2008" s="1063"/>
      <c r="P2008" s="1063"/>
      <c r="Q2008" s="1063"/>
      <c r="R2008" s="1063"/>
      <c r="S2008" s="1063"/>
      <c r="T2008" s="1063"/>
      <c r="U2008" s="1063"/>
      <c r="V2008" s="1063"/>
      <c r="W2008" s="1063"/>
      <c r="X2008" s="1063"/>
      <c r="Y2008" s="1063"/>
      <c r="Z2008" s="1063"/>
      <c r="AA2008" s="1063"/>
      <c r="AB2008" s="1063"/>
      <c r="AC2008" s="1063"/>
      <c r="AD2008" s="1063"/>
      <c r="AE2008" s="1063"/>
      <c r="AF2008" s="1063"/>
      <c r="AG2008" s="1063"/>
      <c r="AH2008" s="1063"/>
      <c r="AI2008" s="1063"/>
      <c r="AJ2008" s="1063"/>
      <c r="AK2008" s="1063"/>
      <c r="AL2008" s="1063"/>
      <c r="AM2008" s="1063"/>
      <c r="AN2008" s="1063"/>
      <c r="AO2008" s="1063"/>
      <c r="AP2008" s="1063"/>
      <c r="AQ2008" s="1063"/>
      <c r="AR2008" s="1063"/>
      <c r="AS2008" s="1063"/>
      <c r="AT2008" s="1063"/>
      <c r="AU2008" s="1063"/>
      <c r="AV2008" s="1063"/>
    </row>
    <row r="2009" spans="1:48" s="1108" customFormat="1" ht="27.75" customHeight="1">
      <c r="A2009" s="1076"/>
      <c r="B2009" s="1074">
        <f>+'[18]Bldg+Dev'!S2821</f>
        <v>0</v>
      </c>
      <c r="D2009" s="1063"/>
      <c r="F2009" s="1076"/>
      <c r="G2009" s="1063"/>
      <c r="H2009" s="1063"/>
      <c r="I2009" s="1063"/>
      <c r="J2009" s="1063"/>
      <c r="K2009" s="1063"/>
      <c r="L2009" s="1063"/>
      <c r="M2009" s="1063"/>
      <c r="N2009" s="1063"/>
      <c r="O2009" s="1063"/>
      <c r="P2009" s="1063"/>
      <c r="Q2009" s="1063"/>
      <c r="R2009" s="1063"/>
      <c r="S2009" s="1063"/>
      <c r="T2009" s="1063"/>
      <c r="U2009" s="1063"/>
      <c r="V2009" s="1063"/>
      <c r="W2009" s="1063"/>
      <c r="X2009" s="1063"/>
      <c r="Y2009" s="1063"/>
      <c r="Z2009" s="1063"/>
      <c r="AA2009" s="1063"/>
      <c r="AB2009" s="1063"/>
      <c r="AC2009" s="1063"/>
      <c r="AD2009" s="1063"/>
      <c r="AE2009" s="1063"/>
      <c r="AF2009" s="1063"/>
      <c r="AG2009" s="1063"/>
      <c r="AH2009" s="1063"/>
      <c r="AI2009" s="1063"/>
      <c r="AJ2009" s="1063"/>
      <c r="AK2009" s="1063"/>
      <c r="AL2009" s="1063"/>
      <c r="AM2009" s="1063"/>
      <c r="AN2009" s="1063"/>
      <c r="AO2009" s="1063"/>
      <c r="AP2009" s="1063"/>
      <c r="AQ2009" s="1063"/>
      <c r="AR2009" s="1063"/>
      <c r="AS2009" s="1063"/>
      <c r="AT2009" s="1063"/>
      <c r="AU2009" s="1063"/>
      <c r="AV2009" s="1063"/>
    </row>
    <row r="2010" spans="1:48" s="1108" customFormat="1" ht="27.75" customHeight="1">
      <c r="A2010" s="1076"/>
      <c r="B2010" s="1074">
        <f>+'[18]Bldg+Dev'!S2822</f>
        <v>0</v>
      </c>
      <c r="D2010" s="1063"/>
      <c r="F2010" s="1076"/>
      <c r="G2010" s="1063"/>
      <c r="H2010" s="1063"/>
      <c r="I2010" s="1063"/>
      <c r="J2010" s="1063"/>
      <c r="K2010" s="1063"/>
      <c r="L2010" s="1063"/>
      <c r="M2010" s="1063"/>
      <c r="N2010" s="1063"/>
      <c r="O2010" s="1063"/>
      <c r="P2010" s="1063"/>
      <c r="Q2010" s="1063"/>
      <c r="R2010" s="1063"/>
      <c r="S2010" s="1063"/>
      <c r="T2010" s="1063"/>
      <c r="U2010" s="1063"/>
      <c r="V2010" s="1063"/>
      <c r="W2010" s="1063"/>
      <c r="X2010" s="1063"/>
      <c r="Y2010" s="1063"/>
      <c r="Z2010" s="1063"/>
      <c r="AA2010" s="1063"/>
      <c r="AB2010" s="1063"/>
      <c r="AC2010" s="1063"/>
      <c r="AD2010" s="1063"/>
      <c r="AE2010" s="1063"/>
      <c r="AF2010" s="1063"/>
      <c r="AG2010" s="1063"/>
      <c r="AH2010" s="1063"/>
      <c r="AI2010" s="1063"/>
      <c r="AJ2010" s="1063"/>
      <c r="AK2010" s="1063"/>
      <c r="AL2010" s="1063"/>
      <c r="AM2010" s="1063"/>
      <c r="AN2010" s="1063"/>
      <c r="AO2010" s="1063"/>
      <c r="AP2010" s="1063"/>
      <c r="AQ2010" s="1063"/>
      <c r="AR2010" s="1063"/>
      <c r="AS2010" s="1063"/>
      <c r="AT2010" s="1063"/>
      <c r="AU2010" s="1063"/>
      <c r="AV2010" s="1063"/>
    </row>
    <row r="2011" spans="1:48" s="1108" customFormat="1" ht="27.75" customHeight="1">
      <c r="A2011" s="1076"/>
      <c r="B2011" s="1074">
        <f>+'[18]Bldg+Dev'!S2823</f>
        <v>0</v>
      </c>
      <c r="D2011" s="1063"/>
      <c r="F2011" s="1076"/>
      <c r="G2011" s="1063"/>
      <c r="H2011" s="1063"/>
      <c r="I2011" s="1063"/>
      <c r="J2011" s="1063"/>
      <c r="K2011" s="1063"/>
      <c r="L2011" s="1063"/>
      <c r="M2011" s="1063"/>
      <c r="N2011" s="1063"/>
      <c r="O2011" s="1063"/>
      <c r="P2011" s="1063"/>
      <c r="Q2011" s="1063"/>
      <c r="R2011" s="1063"/>
      <c r="S2011" s="1063"/>
      <c r="T2011" s="1063"/>
      <c r="U2011" s="1063"/>
      <c r="V2011" s="1063"/>
      <c r="W2011" s="1063"/>
      <c r="X2011" s="1063"/>
      <c r="Y2011" s="1063"/>
      <c r="Z2011" s="1063"/>
      <c r="AA2011" s="1063"/>
      <c r="AB2011" s="1063"/>
      <c r="AC2011" s="1063"/>
      <c r="AD2011" s="1063"/>
      <c r="AE2011" s="1063"/>
      <c r="AF2011" s="1063"/>
      <c r="AG2011" s="1063"/>
      <c r="AH2011" s="1063"/>
      <c r="AI2011" s="1063"/>
      <c r="AJ2011" s="1063"/>
      <c r="AK2011" s="1063"/>
      <c r="AL2011" s="1063"/>
      <c r="AM2011" s="1063"/>
      <c r="AN2011" s="1063"/>
      <c r="AO2011" s="1063"/>
      <c r="AP2011" s="1063"/>
      <c r="AQ2011" s="1063"/>
      <c r="AR2011" s="1063"/>
      <c r="AS2011" s="1063"/>
      <c r="AT2011" s="1063"/>
      <c r="AU2011" s="1063"/>
      <c r="AV2011" s="1063"/>
    </row>
    <row r="2012" spans="1:48" s="1108" customFormat="1" ht="27.75" customHeight="1">
      <c r="A2012" s="1076"/>
      <c r="B2012" s="1074">
        <f>+'[18]Bldg+Dev'!S2824</f>
        <v>0</v>
      </c>
      <c r="D2012" s="1063"/>
      <c r="F2012" s="1076"/>
      <c r="G2012" s="1063"/>
      <c r="H2012" s="1063"/>
      <c r="I2012" s="1063"/>
      <c r="J2012" s="1063"/>
      <c r="K2012" s="1063"/>
      <c r="L2012" s="1063"/>
      <c r="M2012" s="1063"/>
      <c r="N2012" s="1063"/>
      <c r="O2012" s="1063"/>
      <c r="P2012" s="1063"/>
      <c r="Q2012" s="1063"/>
      <c r="R2012" s="1063"/>
      <c r="S2012" s="1063"/>
      <c r="T2012" s="1063"/>
      <c r="U2012" s="1063"/>
      <c r="V2012" s="1063"/>
      <c r="W2012" s="1063"/>
      <c r="X2012" s="1063"/>
      <c r="Y2012" s="1063"/>
      <c r="Z2012" s="1063"/>
      <c r="AA2012" s="1063"/>
      <c r="AB2012" s="1063"/>
      <c r="AC2012" s="1063"/>
      <c r="AD2012" s="1063"/>
      <c r="AE2012" s="1063"/>
      <c r="AF2012" s="1063"/>
      <c r="AG2012" s="1063"/>
      <c r="AH2012" s="1063"/>
      <c r="AI2012" s="1063"/>
      <c r="AJ2012" s="1063"/>
      <c r="AK2012" s="1063"/>
      <c r="AL2012" s="1063"/>
      <c r="AM2012" s="1063"/>
      <c r="AN2012" s="1063"/>
      <c r="AO2012" s="1063"/>
      <c r="AP2012" s="1063"/>
      <c r="AQ2012" s="1063"/>
      <c r="AR2012" s="1063"/>
      <c r="AS2012" s="1063"/>
      <c r="AT2012" s="1063"/>
      <c r="AU2012" s="1063"/>
      <c r="AV2012" s="1063"/>
    </row>
    <row r="2013" spans="1:48" s="1108" customFormat="1" ht="27.75" customHeight="1">
      <c r="A2013" s="1076"/>
      <c r="B2013" s="1074">
        <f>+'[18]Bldg+Dev'!S2825</f>
        <v>0</v>
      </c>
      <c r="D2013" s="1063"/>
      <c r="F2013" s="1076"/>
      <c r="G2013" s="1063"/>
      <c r="H2013" s="1063"/>
      <c r="I2013" s="1063"/>
      <c r="J2013" s="1063"/>
      <c r="K2013" s="1063"/>
      <c r="L2013" s="1063"/>
      <c r="M2013" s="1063"/>
      <c r="N2013" s="1063"/>
      <c r="O2013" s="1063"/>
      <c r="P2013" s="1063"/>
      <c r="Q2013" s="1063"/>
      <c r="R2013" s="1063"/>
      <c r="S2013" s="1063"/>
      <c r="T2013" s="1063"/>
      <c r="U2013" s="1063"/>
      <c r="V2013" s="1063"/>
      <c r="W2013" s="1063"/>
      <c r="X2013" s="1063"/>
      <c r="Y2013" s="1063"/>
      <c r="Z2013" s="1063"/>
      <c r="AA2013" s="1063"/>
      <c r="AB2013" s="1063"/>
      <c r="AC2013" s="1063"/>
      <c r="AD2013" s="1063"/>
      <c r="AE2013" s="1063"/>
      <c r="AF2013" s="1063"/>
      <c r="AG2013" s="1063"/>
      <c r="AH2013" s="1063"/>
      <c r="AI2013" s="1063"/>
      <c r="AJ2013" s="1063"/>
      <c r="AK2013" s="1063"/>
      <c r="AL2013" s="1063"/>
      <c r="AM2013" s="1063"/>
      <c r="AN2013" s="1063"/>
      <c r="AO2013" s="1063"/>
      <c r="AP2013" s="1063"/>
      <c r="AQ2013" s="1063"/>
      <c r="AR2013" s="1063"/>
      <c r="AS2013" s="1063"/>
      <c r="AT2013" s="1063"/>
      <c r="AU2013" s="1063"/>
      <c r="AV2013" s="1063"/>
    </row>
    <row r="2014" spans="1:48" s="1108" customFormat="1" ht="27.75" customHeight="1">
      <c r="A2014" s="1076"/>
      <c r="B2014" s="1074">
        <f>+'[18]Bldg+Dev'!S2826</f>
        <v>0</v>
      </c>
      <c r="D2014" s="1063"/>
      <c r="F2014" s="1076"/>
      <c r="G2014" s="1063"/>
      <c r="H2014" s="1063"/>
      <c r="I2014" s="1063"/>
      <c r="J2014" s="1063"/>
      <c r="K2014" s="1063"/>
      <c r="L2014" s="1063"/>
      <c r="M2014" s="1063"/>
      <c r="N2014" s="1063"/>
      <c r="O2014" s="1063"/>
      <c r="P2014" s="1063"/>
      <c r="Q2014" s="1063"/>
      <c r="R2014" s="1063"/>
      <c r="S2014" s="1063"/>
      <c r="T2014" s="1063"/>
      <c r="U2014" s="1063"/>
      <c r="V2014" s="1063"/>
      <c r="W2014" s="1063"/>
      <c r="X2014" s="1063"/>
      <c r="Y2014" s="1063"/>
      <c r="Z2014" s="1063"/>
      <c r="AA2014" s="1063"/>
      <c r="AB2014" s="1063"/>
      <c r="AC2014" s="1063"/>
      <c r="AD2014" s="1063"/>
      <c r="AE2014" s="1063"/>
      <c r="AF2014" s="1063"/>
      <c r="AG2014" s="1063"/>
      <c r="AH2014" s="1063"/>
      <c r="AI2014" s="1063"/>
      <c r="AJ2014" s="1063"/>
      <c r="AK2014" s="1063"/>
      <c r="AL2014" s="1063"/>
      <c r="AM2014" s="1063"/>
      <c r="AN2014" s="1063"/>
      <c r="AO2014" s="1063"/>
      <c r="AP2014" s="1063"/>
      <c r="AQ2014" s="1063"/>
      <c r="AR2014" s="1063"/>
      <c r="AS2014" s="1063"/>
      <c r="AT2014" s="1063"/>
      <c r="AU2014" s="1063"/>
      <c r="AV2014" s="1063"/>
    </row>
    <row r="2015" spans="1:48" s="1108" customFormat="1" ht="27.75" customHeight="1">
      <c r="A2015" s="1076"/>
      <c r="B2015" s="1074">
        <f>+'[18]Bldg+Dev'!S2827</f>
        <v>0</v>
      </c>
      <c r="D2015" s="1063"/>
      <c r="F2015" s="1076"/>
      <c r="G2015" s="1063"/>
      <c r="H2015" s="1063"/>
      <c r="I2015" s="1063"/>
      <c r="J2015" s="1063"/>
      <c r="K2015" s="1063"/>
      <c r="L2015" s="1063"/>
      <c r="M2015" s="1063"/>
      <c r="N2015" s="1063"/>
      <c r="O2015" s="1063"/>
      <c r="P2015" s="1063"/>
      <c r="Q2015" s="1063"/>
      <c r="R2015" s="1063"/>
      <c r="S2015" s="1063"/>
      <c r="T2015" s="1063"/>
      <c r="U2015" s="1063"/>
      <c r="V2015" s="1063"/>
      <c r="W2015" s="1063"/>
      <c r="X2015" s="1063"/>
      <c r="Y2015" s="1063"/>
      <c r="Z2015" s="1063"/>
      <c r="AA2015" s="1063"/>
      <c r="AB2015" s="1063"/>
      <c r="AC2015" s="1063"/>
      <c r="AD2015" s="1063"/>
      <c r="AE2015" s="1063"/>
      <c r="AF2015" s="1063"/>
      <c r="AG2015" s="1063"/>
      <c r="AH2015" s="1063"/>
      <c r="AI2015" s="1063"/>
      <c r="AJ2015" s="1063"/>
      <c r="AK2015" s="1063"/>
      <c r="AL2015" s="1063"/>
      <c r="AM2015" s="1063"/>
      <c r="AN2015" s="1063"/>
      <c r="AO2015" s="1063"/>
      <c r="AP2015" s="1063"/>
      <c r="AQ2015" s="1063"/>
      <c r="AR2015" s="1063"/>
      <c r="AS2015" s="1063"/>
      <c r="AT2015" s="1063"/>
      <c r="AU2015" s="1063"/>
      <c r="AV2015" s="1063"/>
    </row>
    <row r="2016" spans="1:48" s="1108" customFormat="1" ht="27.75" customHeight="1">
      <c r="A2016" s="1076"/>
      <c r="B2016" s="1074">
        <f>+'[18]Bldg+Dev'!S2828</f>
        <v>0</v>
      </c>
      <c r="D2016" s="1063"/>
      <c r="F2016" s="1076"/>
      <c r="G2016" s="1063"/>
      <c r="H2016" s="1063"/>
      <c r="I2016" s="1063"/>
      <c r="J2016" s="1063"/>
      <c r="K2016" s="1063"/>
      <c r="L2016" s="1063"/>
      <c r="M2016" s="1063"/>
      <c r="N2016" s="1063"/>
      <c r="O2016" s="1063"/>
      <c r="P2016" s="1063"/>
      <c r="Q2016" s="1063"/>
      <c r="R2016" s="1063"/>
      <c r="S2016" s="1063"/>
      <c r="T2016" s="1063"/>
      <c r="U2016" s="1063"/>
      <c r="V2016" s="1063"/>
      <c r="W2016" s="1063"/>
      <c r="X2016" s="1063"/>
      <c r="Y2016" s="1063"/>
      <c r="Z2016" s="1063"/>
      <c r="AA2016" s="1063"/>
      <c r="AB2016" s="1063"/>
      <c r="AC2016" s="1063"/>
      <c r="AD2016" s="1063"/>
      <c r="AE2016" s="1063"/>
      <c r="AF2016" s="1063"/>
      <c r="AG2016" s="1063"/>
      <c r="AH2016" s="1063"/>
      <c r="AI2016" s="1063"/>
      <c r="AJ2016" s="1063"/>
      <c r="AK2016" s="1063"/>
      <c r="AL2016" s="1063"/>
      <c r="AM2016" s="1063"/>
      <c r="AN2016" s="1063"/>
      <c r="AO2016" s="1063"/>
      <c r="AP2016" s="1063"/>
      <c r="AQ2016" s="1063"/>
      <c r="AR2016" s="1063"/>
      <c r="AS2016" s="1063"/>
      <c r="AT2016" s="1063"/>
      <c r="AU2016" s="1063"/>
      <c r="AV2016" s="1063"/>
    </row>
    <row r="2017" spans="1:48" s="1108" customFormat="1" ht="27.75" customHeight="1">
      <c r="A2017" s="1076"/>
      <c r="B2017" s="1074">
        <f>+'[18]Bldg+Dev'!S2829</f>
        <v>0</v>
      </c>
      <c r="D2017" s="1063"/>
      <c r="F2017" s="1076"/>
      <c r="G2017" s="1063"/>
      <c r="H2017" s="1063"/>
      <c r="I2017" s="1063"/>
      <c r="J2017" s="1063"/>
      <c r="K2017" s="1063"/>
      <c r="L2017" s="1063"/>
      <c r="M2017" s="1063"/>
      <c r="N2017" s="1063"/>
      <c r="O2017" s="1063"/>
      <c r="P2017" s="1063"/>
      <c r="Q2017" s="1063"/>
      <c r="R2017" s="1063"/>
      <c r="S2017" s="1063"/>
      <c r="T2017" s="1063"/>
      <c r="U2017" s="1063"/>
      <c r="V2017" s="1063"/>
      <c r="W2017" s="1063"/>
      <c r="X2017" s="1063"/>
      <c r="Y2017" s="1063"/>
      <c r="Z2017" s="1063"/>
      <c r="AA2017" s="1063"/>
      <c r="AB2017" s="1063"/>
      <c r="AC2017" s="1063"/>
      <c r="AD2017" s="1063"/>
      <c r="AE2017" s="1063"/>
      <c r="AF2017" s="1063"/>
      <c r="AG2017" s="1063"/>
      <c r="AH2017" s="1063"/>
      <c r="AI2017" s="1063"/>
      <c r="AJ2017" s="1063"/>
      <c r="AK2017" s="1063"/>
      <c r="AL2017" s="1063"/>
      <c r="AM2017" s="1063"/>
      <c r="AN2017" s="1063"/>
      <c r="AO2017" s="1063"/>
      <c r="AP2017" s="1063"/>
      <c r="AQ2017" s="1063"/>
      <c r="AR2017" s="1063"/>
      <c r="AS2017" s="1063"/>
      <c r="AT2017" s="1063"/>
      <c r="AU2017" s="1063"/>
      <c r="AV2017" s="1063"/>
    </row>
    <row r="2018" spans="1:48" s="1108" customFormat="1" ht="27.75" customHeight="1">
      <c r="A2018" s="1076"/>
      <c r="B2018" s="1074">
        <f>+'[18]Bldg+Dev'!S2830</f>
        <v>0</v>
      </c>
      <c r="D2018" s="1063"/>
      <c r="F2018" s="1076"/>
      <c r="G2018" s="1063"/>
      <c r="H2018" s="1063"/>
      <c r="I2018" s="1063"/>
      <c r="J2018" s="1063"/>
      <c r="K2018" s="1063"/>
      <c r="L2018" s="1063"/>
      <c r="M2018" s="1063"/>
      <c r="N2018" s="1063"/>
      <c r="O2018" s="1063"/>
      <c r="P2018" s="1063"/>
      <c r="Q2018" s="1063"/>
      <c r="R2018" s="1063"/>
      <c r="S2018" s="1063"/>
      <c r="T2018" s="1063"/>
      <c r="U2018" s="1063"/>
      <c r="V2018" s="1063"/>
      <c r="W2018" s="1063"/>
      <c r="X2018" s="1063"/>
      <c r="Y2018" s="1063"/>
      <c r="Z2018" s="1063"/>
      <c r="AA2018" s="1063"/>
      <c r="AB2018" s="1063"/>
      <c r="AC2018" s="1063"/>
      <c r="AD2018" s="1063"/>
      <c r="AE2018" s="1063"/>
      <c r="AF2018" s="1063"/>
      <c r="AG2018" s="1063"/>
      <c r="AH2018" s="1063"/>
      <c r="AI2018" s="1063"/>
      <c r="AJ2018" s="1063"/>
      <c r="AK2018" s="1063"/>
      <c r="AL2018" s="1063"/>
      <c r="AM2018" s="1063"/>
      <c r="AN2018" s="1063"/>
      <c r="AO2018" s="1063"/>
      <c r="AP2018" s="1063"/>
      <c r="AQ2018" s="1063"/>
      <c r="AR2018" s="1063"/>
      <c r="AS2018" s="1063"/>
      <c r="AT2018" s="1063"/>
      <c r="AU2018" s="1063"/>
      <c r="AV2018" s="1063"/>
    </row>
    <row r="2019" spans="1:48" s="1108" customFormat="1" ht="27.75" customHeight="1">
      <c r="A2019" s="1076"/>
      <c r="B2019" s="1074">
        <f>+'[18]Bldg+Dev'!S2831</f>
        <v>0</v>
      </c>
      <c r="D2019" s="1063"/>
      <c r="F2019" s="1076"/>
      <c r="G2019" s="1063"/>
      <c r="H2019" s="1063"/>
      <c r="I2019" s="1063"/>
      <c r="J2019" s="1063"/>
      <c r="K2019" s="1063"/>
      <c r="L2019" s="1063"/>
      <c r="M2019" s="1063"/>
      <c r="N2019" s="1063"/>
      <c r="O2019" s="1063"/>
      <c r="P2019" s="1063"/>
      <c r="Q2019" s="1063"/>
      <c r="R2019" s="1063"/>
      <c r="S2019" s="1063"/>
      <c r="T2019" s="1063"/>
      <c r="U2019" s="1063"/>
      <c r="V2019" s="1063"/>
      <c r="W2019" s="1063"/>
      <c r="X2019" s="1063"/>
      <c r="Y2019" s="1063"/>
      <c r="Z2019" s="1063"/>
      <c r="AA2019" s="1063"/>
      <c r="AB2019" s="1063"/>
      <c r="AC2019" s="1063"/>
      <c r="AD2019" s="1063"/>
      <c r="AE2019" s="1063"/>
      <c r="AF2019" s="1063"/>
      <c r="AG2019" s="1063"/>
      <c r="AH2019" s="1063"/>
      <c r="AI2019" s="1063"/>
      <c r="AJ2019" s="1063"/>
      <c r="AK2019" s="1063"/>
      <c r="AL2019" s="1063"/>
      <c r="AM2019" s="1063"/>
      <c r="AN2019" s="1063"/>
      <c r="AO2019" s="1063"/>
      <c r="AP2019" s="1063"/>
      <c r="AQ2019" s="1063"/>
      <c r="AR2019" s="1063"/>
      <c r="AS2019" s="1063"/>
      <c r="AT2019" s="1063"/>
      <c r="AU2019" s="1063"/>
      <c r="AV2019" s="1063"/>
    </row>
    <row r="2020" spans="1:48" s="1108" customFormat="1" ht="27.75" customHeight="1">
      <c r="A2020" s="1076"/>
      <c r="B2020" s="1074">
        <f>+'[18]Bldg+Dev'!S2832</f>
        <v>0</v>
      </c>
      <c r="D2020" s="1063"/>
      <c r="F2020" s="1076"/>
      <c r="G2020" s="1063"/>
      <c r="H2020" s="1063"/>
      <c r="I2020" s="1063"/>
      <c r="J2020" s="1063"/>
      <c r="K2020" s="1063"/>
      <c r="L2020" s="1063"/>
      <c r="M2020" s="1063"/>
      <c r="N2020" s="1063"/>
      <c r="O2020" s="1063"/>
      <c r="P2020" s="1063"/>
      <c r="Q2020" s="1063"/>
      <c r="R2020" s="1063"/>
      <c r="S2020" s="1063"/>
      <c r="T2020" s="1063"/>
      <c r="U2020" s="1063"/>
      <c r="V2020" s="1063"/>
      <c r="W2020" s="1063"/>
      <c r="X2020" s="1063"/>
      <c r="Y2020" s="1063"/>
      <c r="Z2020" s="1063"/>
      <c r="AA2020" s="1063"/>
      <c r="AB2020" s="1063"/>
      <c r="AC2020" s="1063"/>
      <c r="AD2020" s="1063"/>
      <c r="AE2020" s="1063"/>
      <c r="AF2020" s="1063"/>
      <c r="AG2020" s="1063"/>
      <c r="AH2020" s="1063"/>
      <c r="AI2020" s="1063"/>
      <c r="AJ2020" s="1063"/>
      <c r="AK2020" s="1063"/>
      <c r="AL2020" s="1063"/>
      <c r="AM2020" s="1063"/>
      <c r="AN2020" s="1063"/>
      <c r="AO2020" s="1063"/>
      <c r="AP2020" s="1063"/>
      <c r="AQ2020" s="1063"/>
      <c r="AR2020" s="1063"/>
      <c r="AS2020" s="1063"/>
      <c r="AT2020" s="1063"/>
      <c r="AU2020" s="1063"/>
      <c r="AV2020" s="1063"/>
    </row>
    <row r="2021" spans="1:48" s="1108" customFormat="1" ht="27.75" customHeight="1">
      <c r="A2021" s="1076"/>
      <c r="B2021" s="1074">
        <f>+'[18]Bldg+Dev'!S2833</f>
        <v>0</v>
      </c>
      <c r="D2021" s="1063"/>
      <c r="F2021" s="1076"/>
      <c r="G2021" s="1063"/>
      <c r="H2021" s="1063"/>
      <c r="I2021" s="1063"/>
      <c r="J2021" s="1063"/>
      <c r="K2021" s="1063"/>
      <c r="L2021" s="1063"/>
      <c r="M2021" s="1063"/>
      <c r="N2021" s="1063"/>
      <c r="O2021" s="1063"/>
      <c r="P2021" s="1063"/>
      <c r="Q2021" s="1063"/>
      <c r="R2021" s="1063"/>
      <c r="S2021" s="1063"/>
      <c r="T2021" s="1063"/>
      <c r="U2021" s="1063"/>
      <c r="V2021" s="1063"/>
      <c r="W2021" s="1063"/>
      <c r="X2021" s="1063"/>
      <c r="Y2021" s="1063"/>
      <c r="Z2021" s="1063"/>
      <c r="AA2021" s="1063"/>
      <c r="AB2021" s="1063"/>
      <c r="AC2021" s="1063"/>
      <c r="AD2021" s="1063"/>
      <c r="AE2021" s="1063"/>
      <c r="AF2021" s="1063"/>
      <c r="AG2021" s="1063"/>
      <c r="AH2021" s="1063"/>
      <c r="AI2021" s="1063"/>
      <c r="AJ2021" s="1063"/>
      <c r="AK2021" s="1063"/>
      <c r="AL2021" s="1063"/>
      <c r="AM2021" s="1063"/>
      <c r="AN2021" s="1063"/>
      <c r="AO2021" s="1063"/>
      <c r="AP2021" s="1063"/>
      <c r="AQ2021" s="1063"/>
      <c r="AR2021" s="1063"/>
      <c r="AS2021" s="1063"/>
      <c r="AT2021" s="1063"/>
      <c r="AU2021" s="1063"/>
      <c r="AV2021" s="1063"/>
    </row>
    <row r="2022" spans="1:48" s="1108" customFormat="1" ht="27.75" customHeight="1">
      <c r="A2022" s="1076"/>
      <c r="B2022" s="1074">
        <f>+'[18]Bldg+Dev'!S2834</f>
        <v>0</v>
      </c>
      <c r="D2022" s="1063"/>
      <c r="F2022" s="1076"/>
      <c r="G2022" s="1063"/>
      <c r="H2022" s="1063"/>
      <c r="I2022" s="1063"/>
      <c r="J2022" s="1063"/>
      <c r="K2022" s="1063"/>
      <c r="L2022" s="1063"/>
      <c r="M2022" s="1063"/>
      <c r="N2022" s="1063"/>
      <c r="O2022" s="1063"/>
      <c r="P2022" s="1063"/>
      <c r="Q2022" s="1063"/>
      <c r="R2022" s="1063"/>
      <c r="S2022" s="1063"/>
      <c r="T2022" s="1063"/>
      <c r="U2022" s="1063"/>
      <c r="V2022" s="1063"/>
      <c r="W2022" s="1063"/>
      <c r="X2022" s="1063"/>
      <c r="Y2022" s="1063"/>
      <c r="Z2022" s="1063"/>
      <c r="AA2022" s="1063"/>
      <c r="AB2022" s="1063"/>
      <c r="AC2022" s="1063"/>
      <c r="AD2022" s="1063"/>
      <c r="AE2022" s="1063"/>
      <c r="AF2022" s="1063"/>
      <c r="AG2022" s="1063"/>
      <c r="AH2022" s="1063"/>
      <c r="AI2022" s="1063"/>
      <c r="AJ2022" s="1063"/>
      <c r="AK2022" s="1063"/>
      <c r="AL2022" s="1063"/>
      <c r="AM2022" s="1063"/>
      <c r="AN2022" s="1063"/>
      <c r="AO2022" s="1063"/>
      <c r="AP2022" s="1063"/>
      <c r="AQ2022" s="1063"/>
      <c r="AR2022" s="1063"/>
      <c r="AS2022" s="1063"/>
      <c r="AT2022" s="1063"/>
      <c r="AU2022" s="1063"/>
      <c r="AV2022" s="1063"/>
    </row>
    <row r="2023" spans="1:48" s="1108" customFormat="1" ht="27.75" customHeight="1">
      <c r="A2023" s="1076"/>
      <c r="B2023" s="1074">
        <f>+'[18]Bldg+Dev'!S2835</f>
        <v>0</v>
      </c>
      <c r="D2023" s="1063"/>
      <c r="F2023" s="1076"/>
      <c r="G2023" s="1063"/>
      <c r="H2023" s="1063"/>
      <c r="I2023" s="1063"/>
      <c r="J2023" s="1063"/>
      <c r="K2023" s="1063"/>
      <c r="L2023" s="1063"/>
      <c r="M2023" s="1063"/>
      <c r="N2023" s="1063"/>
      <c r="O2023" s="1063"/>
      <c r="P2023" s="1063"/>
      <c r="Q2023" s="1063"/>
      <c r="R2023" s="1063"/>
      <c r="S2023" s="1063"/>
      <c r="T2023" s="1063"/>
      <c r="U2023" s="1063"/>
      <c r="V2023" s="1063"/>
      <c r="W2023" s="1063"/>
      <c r="X2023" s="1063"/>
      <c r="Y2023" s="1063"/>
      <c r="Z2023" s="1063"/>
      <c r="AA2023" s="1063"/>
      <c r="AB2023" s="1063"/>
      <c r="AC2023" s="1063"/>
      <c r="AD2023" s="1063"/>
      <c r="AE2023" s="1063"/>
      <c r="AF2023" s="1063"/>
      <c r="AG2023" s="1063"/>
      <c r="AH2023" s="1063"/>
      <c r="AI2023" s="1063"/>
      <c r="AJ2023" s="1063"/>
      <c r="AK2023" s="1063"/>
      <c r="AL2023" s="1063"/>
      <c r="AM2023" s="1063"/>
      <c r="AN2023" s="1063"/>
      <c r="AO2023" s="1063"/>
      <c r="AP2023" s="1063"/>
      <c r="AQ2023" s="1063"/>
      <c r="AR2023" s="1063"/>
      <c r="AS2023" s="1063"/>
      <c r="AT2023" s="1063"/>
      <c r="AU2023" s="1063"/>
      <c r="AV2023" s="1063"/>
    </row>
    <row r="2024" spans="1:48" s="1108" customFormat="1" ht="27.75" customHeight="1">
      <c r="A2024" s="1076"/>
      <c r="B2024" s="1074">
        <f>+'[18]Bldg+Dev'!S2836</f>
        <v>0</v>
      </c>
      <c r="D2024" s="1063"/>
      <c r="F2024" s="1076"/>
      <c r="G2024" s="1063"/>
      <c r="H2024" s="1063"/>
      <c r="I2024" s="1063"/>
      <c r="J2024" s="1063"/>
      <c r="K2024" s="1063"/>
      <c r="L2024" s="1063"/>
      <c r="M2024" s="1063"/>
      <c r="N2024" s="1063"/>
      <c r="O2024" s="1063"/>
      <c r="P2024" s="1063"/>
      <c r="Q2024" s="1063"/>
      <c r="R2024" s="1063"/>
      <c r="S2024" s="1063"/>
      <c r="T2024" s="1063"/>
      <c r="U2024" s="1063"/>
      <c r="V2024" s="1063"/>
      <c r="W2024" s="1063"/>
      <c r="X2024" s="1063"/>
      <c r="Y2024" s="1063"/>
      <c r="Z2024" s="1063"/>
      <c r="AA2024" s="1063"/>
      <c r="AB2024" s="1063"/>
      <c r="AC2024" s="1063"/>
      <c r="AD2024" s="1063"/>
      <c r="AE2024" s="1063"/>
      <c r="AF2024" s="1063"/>
      <c r="AG2024" s="1063"/>
      <c r="AH2024" s="1063"/>
      <c r="AI2024" s="1063"/>
      <c r="AJ2024" s="1063"/>
      <c r="AK2024" s="1063"/>
      <c r="AL2024" s="1063"/>
      <c r="AM2024" s="1063"/>
      <c r="AN2024" s="1063"/>
      <c r="AO2024" s="1063"/>
      <c r="AP2024" s="1063"/>
      <c r="AQ2024" s="1063"/>
      <c r="AR2024" s="1063"/>
      <c r="AS2024" s="1063"/>
      <c r="AT2024" s="1063"/>
      <c r="AU2024" s="1063"/>
      <c r="AV2024" s="1063"/>
    </row>
    <row r="2025" spans="1:48" s="1108" customFormat="1" ht="27.75" customHeight="1">
      <c r="A2025" s="1076"/>
      <c r="B2025" s="1074">
        <f>+'[18]Bldg+Dev'!S2837</f>
        <v>0</v>
      </c>
      <c r="D2025" s="1063"/>
      <c r="F2025" s="1076"/>
      <c r="G2025" s="1063"/>
      <c r="H2025" s="1063"/>
      <c r="I2025" s="1063"/>
      <c r="J2025" s="1063"/>
      <c r="K2025" s="1063"/>
      <c r="L2025" s="1063"/>
      <c r="M2025" s="1063"/>
      <c r="N2025" s="1063"/>
      <c r="O2025" s="1063"/>
      <c r="P2025" s="1063"/>
      <c r="Q2025" s="1063"/>
      <c r="R2025" s="1063"/>
      <c r="S2025" s="1063"/>
      <c r="T2025" s="1063"/>
      <c r="U2025" s="1063"/>
      <c r="V2025" s="1063"/>
      <c r="W2025" s="1063"/>
      <c r="X2025" s="1063"/>
      <c r="Y2025" s="1063"/>
      <c r="Z2025" s="1063"/>
      <c r="AA2025" s="1063"/>
      <c r="AB2025" s="1063"/>
      <c r="AC2025" s="1063"/>
      <c r="AD2025" s="1063"/>
      <c r="AE2025" s="1063"/>
      <c r="AF2025" s="1063"/>
      <c r="AG2025" s="1063"/>
      <c r="AH2025" s="1063"/>
      <c r="AI2025" s="1063"/>
      <c r="AJ2025" s="1063"/>
      <c r="AK2025" s="1063"/>
      <c r="AL2025" s="1063"/>
      <c r="AM2025" s="1063"/>
      <c r="AN2025" s="1063"/>
      <c r="AO2025" s="1063"/>
      <c r="AP2025" s="1063"/>
      <c r="AQ2025" s="1063"/>
      <c r="AR2025" s="1063"/>
      <c r="AS2025" s="1063"/>
      <c r="AT2025" s="1063"/>
      <c r="AU2025" s="1063"/>
      <c r="AV2025" s="1063"/>
    </row>
    <row r="2026" spans="1:48" s="1108" customFormat="1" ht="27.75" customHeight="1">
      <c r="A2026" s="1076"/>
      <c r="B2026" s="1074">
        <f>+'[18]Bldg+Dev'!S2838</f>
        <v>0</v>
      </c>
      <c r="D2026" s="1063"/>
      <c r="F2026" s="1076"/>
      <c r="G2026" s="1063"/>
      <c r="H2026" s="1063"/>
      <c r="I2026" s="1063"/>
      <c r="J2026" s="1063"/>
      <c r="K2026" s="1063"/>
      <c r="L2026" s="1063"/>
      <c r="M2026" s="1063"/>
      <c r="N2026" s="1063"/>
      <c r="O2026" s="1063"/>
      <c r="P2026" s="1063"/>
      <c r="Q2026" s="1063"/>
      <c r="R2026" s="1063"/>
      <c r="S2026" s="1063"/>
      <c r="T2026" s="1063"/>
      <c r="U2026" s="1063"/>
      <c r="V2026" s="1063"/>
      <c r="W2026" s="1063"/>
      <c r="X2026" s="1063"/>
      <c r="Y2026" s="1063"/>
      <c r="Z2026" s="1063"/>
      <c r="AA2026" s="1063"/>
      <c r="AB2026" s="1063"/>
      <c r="AC2026" s="1063"/>
      <c r="AD2026" s="1063"/>
      <c r="AE2026" s="1063"/>
      <c r="AF2026" s="1063"/>
      <c r="AG2026" s="1063"/>
      <c r="AH2026" s="1063"/>
      <c r="AI2026" s="1063"/>
      <c r="AJ2026" s="1063"/>
      <c r="AK2026" s="1063"/>
      <c r="AL2026" s="1063"/>
      <c r="AM2026" s="1063"/>
      <c r="AN2026" s="1063"/>
      <c r="AO2026" s="1063"/>
      <c r="AP2026" s="1063"/>
      <c r="AQ2026" s="1063"/>
      <c r="AR2026" s="1063"/>
      <c r="AS2026" s="1063"/>
      <c r="AT2026" s="1063"/>
      <c r="AU2026" s="1063"/>
      <c r="AV2026" s="1063"/>
    </row>
    <row r="2027" spans="1:48" s="1108" customFormat="1" ht="27.75" customHeight="1">
      <c r="A2027" s="1076"/>
      <c r="B2027" s="1074">
        <f>+'[18]Bldg+Dev'!S2839</f>
        <v>0</v>
      </c>
      <c r="D2027" s="1063"/>
      <c r="F2027" s="1076"/>
      <c r="G2027" s="1063"/>
      <c r="H2027" s="1063"/>
      <c r="I2027" s="1063"/>
      <c r="J2027" s="1063"/>
      <c r="K2027" s="1063"/>
      <c r="L2027" s="1063"/>
      <c r="M2027" s="1063"/>
      <c r="N2027" s="1063"/>
      <c r="O2027" s="1063"/>
      <c r="P2027" s="1063"/>
      <c r="Q2027" s="1063"/>
      <c r="R2027" s="1063"/>
      <c r="S2027" s="1063"/>
      <c r="T2027" s="1063"/>
      <c r="U2027" s="1063"/>
      <c r="V2027" s="1063"/>
      <c r="W2027" s="1063"/>
      <c r="X2027" s="1063"/>
      <c r="Y2027" s="1063"/>
      <c r="Z2027" s="1063"/>
      <c r="AA2027" s="1063"/>
      <c r="AB2027" s="1063"/>
      <c r="AC2027" s="1063"/>
      <c r="AD2027" s="1063"/>
      <c r="AE2027" s="1063"/>
      <c r="AF2027" s="1063"/>
      <c r="AG2027" s="1063"/>
      <c r="AH2027" s="1063"/>
      <c r="AI2027" s="1063"/>
      <c r="AJ2027" s="1063"/>
      <c r="AK2027" s="1063"/>
      <c r="AL2027" s="1063"/>
      <c r="AM2027" s="1063"/>
      <c r="AN2027" s="1063"/>
      <c r="AO2027" s="1063"/>
      <c r="AP2027" s="1063"/>
      <c r="AQ2027" s="1063"/>
      <c r="AR2027" s="1063"/>
      <c r="AS2027" s="1063"/>
      <c r="AT2027" s="1063"/>
      <c r="AU2027" s="1063"/>
      <c r="AV2027" s="1063"/>
    </row>
    <row r="2028" spans="1:48" s="1108" customFormat="1" ht="27.75" customHeight="1">
      <c r="A2028" s="1076"/>
      <c r="B2028" s="1074">
        <f>+'[18]Bldg+Dev'!S2840</f>
        <v>0</v>
      </c>
      <c r="D2028" s="1063"/>
      <c r="F2028" s="1076"/>
      <c r="G2028" s="1063"/>
      <c r="H2028" s="1063"/>
      <c r="I2028" s="1063"/>
      <c r="J2028" s="1063"/>
      <c r="K2028" s="1063"/>
      <c r="L2028" s="1063"/>
      <c r="M2028" s="1063"/>
      <c r="N2028" s="1063"/>
      <c r="O2028" s="1063"/>
      <c r="P2028" s="1063"/>
      <c r="Q2028" s="1063"/>
      <c r="R2028" s="1063"/>
      <c r="S2028" s="1063"/>
      <c r="T2028" s="1063"/>
      <c r="U2028" s="1063"/>
      <c r="V2028" s="1063"/>
      <c r="W2028" s="1063"/>
      <c r="X2028" s="1063"/>
      <c r="Y2028" s="1063"/>
      <c r="Z2028" s="1063"/>
      <c r="AA2028" s="1063"/>
      <c r="AB2028" s="1063"/>
      <c r="AC2028" s="1063"/>
      <c r="AD2028" s="1063"/>
      <c r="AE2028" s="1063"/>
      <c r="AF2028" s="1063"/>
      <c r="AG2028" s="1063"/>
      <c r="AH2028" s="1063"/>
      <c r="AI2028" s="1063"/>
      <c r="AJ2028" s="1063"/>
      <c r="AK2028" s="1063"/>
      <c r="AL2028" s="1063"/>
      <c r="AM2028" s="1063"/>
      <c r="AN2028" s="1063"/>
      <c r="AO2028" s="1063"/>
      <c r="AP2028" s="1063"/>
      <c r="AQ2028" s="1063"/>
      <c r="AR2028" s="1063"/>
      <c r="AS2028" s="1063"/>
      <c r="AT2028" s="1063"/>
      <c r="AU2028" s="1063"/>
      <c r="AV2028" s="1063"/>
    </row>
    <row r="2029" spans="1:48" s="1108" customFormat="1" ht="27.75" customHeight="1">
      <c r="A2029" s="1076"/>
      <c r="B2029" s="1074">
        <f>+'[18]Bldg+Dev'!S2841</f>
        <v>0</v>
      </c>
      <c r="D2029" s="1063"/>
      <c r="F2029" s="1076"/>
      <c r="G2029" s="1063"/>
      <c r="H2029" s="1063"/>
      <c r="I2029" s="1063"/>
      <c r="J2029" s="1063"/>
      <c r="K2029" s="1063"/>
      <c r="L2029" s="1063"/>
      <c r="M2029" s="1063"/>
      <c r="N2029" s="1063"/>
      <c r="O2029" s="1063"/>
      <c r="P2029" s="1063"/>
      <c r="Q2029" s="1063"/>
      <c r="R2029" s="1063"/>
      <c r="S2029" s="1063"/>
      <c r="T2029" s="1063"/>
      <c r="U2029" s="1063"/>
      <c r="V2029" s="1063"/>
      <c r="W2029" s="1063"/>
      <c r="X2029" s="1063"/>
      <c r="Y2029" s="1063"/>
      <c r="Z2029" s="1063"/>
      <c r="AA2029" s="1063"/>
      <c r="AB2029" s="1063"/>
      <c r="AC2029" s="1063"/>
      <c r="AD2029" s="1063"/>
      <c r="AE2029" s="1063"/>
      <c r="AF2029" s="1063"/>
      <c r="AG2029" s="1063"/>
      <c r="AH2029" s="1063"/>
      <c r="AI2029" s="1063"/>
      <c r="AJ2029" s="1063"/>
      <c r="AK2029" s="1063"/>
      <c r="AL2029" s="1063"/>
      <c r="AM2029" s="1063"/>
      <c r="AN2029" s="1063"/>
      <c r="AO2029" s="1063"/>
      <c r="AP2029" s="1063"/>
      <c r="AQ2029" s="1063"/>
      <c r="AR2029" s="1063"/>
      <c r="AS2029" s="1063"/>
      <c r="AT2029" s="1063"/>
      <c r="AU2029" s="1063"/>
      <c r="AV2029" s="1063"/>
    </row>
    <row r="2030" spans="1:48" s="1108" customFormat="1" ht="27.75" customHeight="1">
      <c r="A2030" s="1076"/>
      <c r="B2030" s="1074">
        <f>+'[18]Bldg+Dev'!S2842</f>
        <v>0</v>
      </c>
      <c r="D2030" s="1063"/>
      <c r="F2030" s="1076"/>
      <c r="G2030" s="1063"/>
      <c r="H2030" s="1063"/>
      <c r="I2030" s="1063"/>
      <c r="J2030" s="1063"/>
      <c r="K2030" s="1063"/>
      <c r="L2030" s="1063"/>
      <c r="M2030" s="1063"/>
      <c r="N2030" s="1063"/>
      <c r="O2030" s="1063"/>
      <c r="P2030" s="1063"/>
      <c r="Q2030" s="1063"/>
      <c r="R2030" s="1063"/>
      <c r="S2030" s="1063"/>
      <c r="T2030" s="1063"/>
      <c r="U2030" s="1063"/>
      <c r="V2030" s="1063"/>
      <c r="W2030" s="1063"/>
      <c r="X2030" s="1063"/>
      <c r="Y2030" s="1063"/>
      <c r="Z2030" s="1063"/>
      <c r="AA2030" s="1063"/>
      <c r="AB2030" s="1063"/>
      <c r="AC2030" s="1063"/>
      <c r="AD2030" s="1063"/>
      <c r="AE2030" s="1063"/>
      <c r="AF2030" s="1063"/>
      <c r="AG2030" s="1063"/>
      <c r="AH2030" s="1063"/>
      <c r="AI2030" s="1063"/>
      <c r="AJ2030" s="1063"/>
      <c r="AK2030" s="1063"/>
      <c r="AL2030" s="1063"/>
      <c r="AM2030" s="1063"/>
      <c r="AN2030" s="1063"/>
      <c r="AO2030" s="1063"/>
      <c r="AP2030" s="1063"/>
      <c r="AQ2030" s="1063"/>
      <c r="AR2030" s="1063"/>
      <c r="AS2030" s="1063"/>
      <c r="AT2030" s="1063"/>
      <c r="AU2030" s="1063"/>
      <c r="AV2030" s="1063"/>
    </row>
    <row r="2031" spans="1:48" s="1108" customFormat="1" ht="27.75" customHeight="1">
      <c r="A2031" s="1076"/>
      <c r="B2031" s="1074">
        <f>+'[18]Bldg+Dev'!S2843</f>
        <v>0</v>
      </c>
      <c r="D2031" s="1063"/>
      <c r="F2031" s="1076"/>
      <c r="G2031" s="1063"/>
      <c r="H2031" s="1063"/>
      <c r="I2031" s="1063"/>
      <c r="J2031" s="1063"/>
      <c r="K2031" s="1063"/>
      <c r="L2031" s="1063"/>
      <c r="M2031" s="1063"/>
      <c r="N2031" s="1063"/>
      <c r="O2031" s="1063"/>
      <c r="P2031" s="1063"/>
      <c r="Q2031" s="1063"/>
      <c r="R2031" s="1063"/>
      <c r="S2031" s="1063"/>
      <c r="T2031" s="1063"/>
      <c r="U2031" s="1063"/>
      <c r="V2031" s="1063"/>
      <c r="W2031" s="1063"/>
      <c r="X2031" s="1063"/>
      <c r="Y2031" s="1063"/>
      <c r="Z2031" s="1063"/>
      <c r="AA2031" s="1063"/>
      <c r="AB2031" s="1063"/>
      <c r="AC2031" s="1063"/>
      <c r="AD2031" s="1063"/>
      <c r="AE2031" s="1063"/>
      <c r="AF2031" s="1063"/>
      <c r="AG2031" s="1063"/>
      <c r="AH2031" s="1063"/>
      <c r="AI2031" s="1063"/>
      <c r="AJ2031" s="1063"/>
      <c r="AK2031" s="1063"/>
      <c r="AL2031" s="1063"/>
      <c r="AM2031" s="1063"/>
      <c r="AN2031" s="1063"/>
      <c r="AO2031" s="1063"/>
      <c r="AP2031" s="1063"/>
      <c r="AQ2031" s="1063"/>
      <c r="AR2031" s="1063"/>
      <c r="AS2031" s="1063"/>
      <c r="AT2031" s="1063"/>
      <c r="AU2031" s="1063"/>
      <c r="AV2031" s="1063"/>
    </row>
    <row r="2032" spans="1:48" s="1108" customFormat="1" ht="27.75" customHeight="1">
      <c r="A2032" s="1076"/>
      <c r="B2032" s="1074">
        <f>+'[18]Bldg+Dev'!S2844</f>
        <v>0</v>
      </c>
      <c r="D2032" s="1063"/>
      <c r="F2032" s="1076"/>
      <c r="G2032" s="1063"/>
      <c r="H2032" s="1063"/>
      <c r="I2032" s="1063"/>
      <c r="J2032" s="1063"/>
      <c r="K2032" s="1063"/>
      <c r="L2032" s="1063"/>
      <c r="M2032" s="1063"/>
      <c r="N2032" s="1063"/>
      <c r="O2032" s="1063"/>
      <c r="P2032" s="1063"/>
      <c r="Q2032" s="1063"/>
      <c r="R2032" s="1063"/>
      <c r="S2032" s="1063"/>
      <c r="T2032" s="1063"/>
      <c r="U2032" s="1063"/>
      <c r="V2032" s="1063"/>
      <c r="W2032" s="1063"/>
      <c r="X2032" s="1063"/>
      <c r="Y2032" s="1063"/>
      <c r="Z2032" s="1063"/>
      <c r="AA2032" s="1063"/>
      <c r="AB2032" s="1063"/>
      <c r="AC2032" s="1063"/>
      <c r="AD2032" s="1063"/>
      <c r="AE2032" s="1063"/>
      <c r="AF2032" s="1063"/>
      <c r="AG2032" s="1063"/>
      <c r="AH2032" s="1063"/>
      <c r="AI2032" s="1063"/>
      <c r="AJ2032" s="1063"/>
      <c r="AK2032" s="1063"/>
      <c r="AL2032" s="1063"/>
      <c r="AM2032" s="1063"/>
      <c r="AN2032" s="1063"/>
      <c r="AO2032" s="1063"/>
      <c r="AP2032" s="1063"/>
      <c r="AQ2032" s="1063"/>
      <c r="AR2032" s="1063"/>
      <c r="AS2032" s="1063"/>
      <c r="AT2032" s="1063"/>
      <c r="AU2032" s="1063"/>
      <c r="AV2032" s="1063"/>
    </row>
    <row r="2033" spans="1:48" s="1108" customFormat="1" ht="27.75" customHeight="1">
      <c r="A2033" s="1076"/>
      <c r="B2033" s="1074">
        <f>+'[18]Bldg+Dev'!S2845</f>
        <v>0</v>
      </c>
      <c r="D2033" s="1063"/>
      <c r="F2033" s="1076"/>
      <c r="G2033" s="1063"/>
      <c r="H2033" s="1063"/>
      <c r="I2033" s="1063"/>
      <c r="J2033" s="1063"/>
      <c r="K2033" s="1063"/>
      <c r="L2033" s="1063"/>
      <c r="M2033" s="1063"/>
      <c r="N2033" s="1063"/>
      <c r="O2033" s="1063"/>
      <c r="P2033" s="1063"/>
      <c r="Q2033" s="1063"/>
      <c r="R2033" s="1063"/>
      <c r="S2033" s="1063"/>
      <c r="T2033" s="1063"/>
      <c r="U2033" s="1063"/>
      <c r="V2033" s="1063"/>
      <c r="W2033" s="1063"/>
      <c r="X2033" s="1063"/>
      <c r="Y2033" s="1063"/>
      <c r="Z2033" s="1063"/>
      <c r="AA2033" s="1063"/>
      <c r="AB2033" s="1063"/>
      <c r="AC2033" s="1063"/>
      <c r="AD2033" s="1063"/>
      <c r="AE2033" s="1063"/>
      <c r="AF2033" s="1063"/>
      <c r="AG2033" s="1063"/>
      <c r="AH2033" s="1063"/>
      <c r="AI2033" s="1063"/>
      <c r="AJ2033" s="1063"/>
      <c r="AK2033" s="1063"/>
      <c r="AL2033" s="1063"/>
      <c r="AM2033" s="1063"/>
      <c r="AN2033" s="1063"/>
      <c r="AO2033" s="1063"/>
      <c r="AP2033" s="1063"/>
      <c r="AQ2033" s="1063"/>
      <c r="AR2033" s="1063"/>
      <c r="AS2033" s="1063"/>
      <c r="AT2033" s="1063"/>
      <c r="AU2033" s="1063"/>
      <c r="AV2033" s="1063"/>
    </row>
    <row r="2034" spans="1:48" s="1108" customFormat="1" ht="27.75" customHeight="1">
      <c r="A2034" s="1076"/>
      <c r="B2034" s="1074">
        <f>+'[18]Bldg+Dev'!S2846</f>
        <v>0</v>
      </c>
      <c r="D2034" s="1063"/>
      <c r="F2034" s="1076"/>
      <c r="G2034" s="1063"/>
      <c r="H2034" s="1063"/>
      <c r="I2034" s="1063"/>
      <c r="J2034" s="1063"/>
      <c r="K2034" s="1063"/>
      <c r="L2034" s="1063"/>
      <c r="M2034" s="1063"/>
      <c r="N2034" s="1063"/>
      <c r="O2034" s="1063"/>
      <c r="P2034" s="1063"/>
      <c r="Q2034" s="1063"/>
      <c r="R2034" s="1063"/>
      <c r="S2034" s="1063"/>
      <c r="T2034" s="1063"/>
      <c r="U2034" s="1063"/>
      <c r="V2034" s="1063"/>
      <c r="W2034" s="1063"/>
      <c r="X2034" s="1063"/>
      <c r="Y2034" s="1063"/>
      <c r="Z2034" s="1063"/>
      <c r="AA2034" s="1063"/>
      <c r="AB2034" s="1063"/>
      <c r="AC2034" s="1063"/>
      <c r="AD2034" s="1063"/>
      <c r="AE2034" s="1063"/>
      <c r="AF2034" s="1063"/>
      <c r="AG2034" s="1063"/>
      <c r="AH2034" s="1063"/>
      <c r="AI2034" s="1063"/>
      <c r="AJ2034" s="1063"/>
      <c r="AK2034" s="1063"/>
      <c r="AL2034" s="1063"/>
      <c r="AM2034" s="1063"/>
      <c r="AN2034" s="1063"/>
      <c r="AO2034" s="1063"/>
      <c r="AP2034" s="1063"/>
      <c r="AQ2034" s="1063"/>
      <c r="AR2034" s="1063"/>
      <c r="AS2034" s="1063"/>
      <c r="AT2034" s="1063"/>
      <c r="AU2034" s="1063"/>
      <c r="AV2034" s="1063"/>
    </row>
    <row r="2035" spans="1:48" s="1108" customFormat="1" ht="27.75" customHeight="1">
      <c r="A2035" s="1076"/>
      <c r="B2035" s="1074">
        <f>+'[18]Bldg+Dev'!S2847</f>
        <v>0</v>
      </c>
      <c r="D2035" s="1063"/>
      <c r="F2035" s="1076"/>
      <c r="G2035" s="1063"/>
      <c r="H2035" s="1063"/>
      <c r="I2035" s="1063"/>
      <c r="J2035" s="1063"/>
      <c r="K2035" s="1063"/>
      <c r="L2035" s="1063"/>
      <c r="M2035" s="1063"/>
      <c r="N2035" s="1063"/>
      <c r="O2035" s="1063"/>
      <c r="P2035" s="1063"/>
      <c r="Q2035" s="1063"/>
      <c r="R2035" s="1063"/>
      <c r="S2035" s="1063"/>
      <c r="T2035" s="1063"/>
      <c r="U2035" s="1063"/>
      <c r="V2035" s="1063"/>
      <c r="W2035" s="1063"/>
      <c r="X2035" s="1063"/>
      <c r="Y2035" s="1063"/>
      <c r="Z2035" s="1063"/>
      <c r="AA2035" s="1063"/>
      <c r="AB2035" s="1063"/>
      <c r="AC2035" s="1063"/>
      <c r="AD2035" s="1063"/>
      <c r="AE2035" s="1063"/>
      <c r="AF2035" s="1063"/>
      <c r="AG2035" s="1063"/>
      <c r="AH2035" s="1063"/>
      <c r="AI2035" s="1063"/>
      <c r="AJ2035" s="1063"/>
      <c r="AK2035" s="1063"/>
      <c r="AL2035" s="1063"/>
      <c r="AM2035" s="1063"/>
      <c r="AN2035" s="1063"/>
      <c r="AO2035" s="1063"/>
      <c r="AP2035" s="1063"/>
      <c r="AQ2035" s="1063"/>
      <c r="AR2035" s="1063"/>
      <c r="AS2035" s="1063"/>
      <c r="AT2035" s="1063"/>
      <c r="AU2035" s="1063"/>
      <c r="AV2035" s="1063"/>
    </row>
    <row r="2036" spans="1:48" s="1108" customFormat="1" ht="27.75" customHeight="1">
      <c r="A2036" s="1076"/>
      <c r="B2036" s="1074">
        <f>+'[18]Bldg+Dev'!S2848</f>
        <v>0</v>
      </c>
      <c r="D2036" s="1063"/>
      <c r="F2036" s="1076"/>
      <c r="G2036" s="1063"/>
      <c r="H2036" s="1063"/>
      <c r="I2036" s="1063"/>
      <c r="J2036" s="1063"/>
      <c r="K2036" s="1063"/>
      <c r="L2036" s="1063"/>
      <c r="M2036" s="1063"/>
      <c r="N2036" s="1063"/>
      <c r="O2036" s="1063"/>
      <c r="P2036" s="1063"/>
      <c r="Q2036" s="1063"/>
      <c r="R2036" s="1063"/>
      <c r="S2036" s="1063"/>
      <c r="T2036" s="1063"/>
      <c r="U2036" s="1063"/>
      <c r="V2036" s="1063"/>
      <c r="W2036" s="1063"/>
      <c r="X2036" s="1063"/>
      <c r="Y2036" s="1063"/>
      <c r="Z2036" s="1063"/>
      <c r="AA2036" s="1063"/>
      <c r="AB2036" s="1063"/>
      <c r="AC2036" s="1063"/>
      <c r="AD2036" s="1063"/>
      <c r="AE2036" s="1063"/>
      <c r="AF2036" s="1063"/>
      <c r="AG2036" s="1063"/>
      <c r="AH2036" s="1063"/>
      <c r="AI2036" s="1063"/>
      <c r="AJ2036" s="1063"/>
      <c r="AK2036" s="1063"/>
      <c r="AL2036" s="1063"/>
      <c r="AM2036" s="1063"/>
      <c r="AN2036" s="1063"/>
      <c r="AO2036" s="1063"/>
      <c r="AP2036" s="1063"/>
      <c r="AQ2036" s="1063"/>
      <c r="AR2036" s="1063"/>
      <c r="AS2036" s="1063"/>
      <c r="AT2036" s="1063"/>
      <c r="AU2036" s="1063"/>
      <c r="AV2036" s="1063"/>
    </row>
    <row r="2037" spans="1:48" s="1108" customFormat="1" ht="27.75" customHeight="1">
      <c r="A2037" s="1076"/>
      <c r="B2037" s="1074">
        <f>+'[18]Bldg+Dev'!S2849</f>
        <v>0</v>
      </c>
      <c r="D2037" s="1063"/>
      <c r="F2037" s="1076"/>
      <c r="G2037" s="1063"/>
      <c r="H2037" s="1063"/>
      <c r="I2037" s="1063"/>
      <c r="J2037" s="1063"/>
      <c r="K2037" s="1063"/>
      <c r="L2037" s="1063"/>
      <c r="M2037" s="1063"/>
      <c r="N2037" s="1063"/>
      <c r="O2037" s="1063"/>
      <c r="P2037" s="1063"/>
      <c r="Q2037" s="1063"/>
      <c r="R2037" s="1063"/>
      <c r="S2037" s="1063"/>
      <c r="T2037" s="1063"/>
      <c r="U2037" s="1063"/>
      <c r="V2037" s="1063"/>
      <c r="W2037" s="1063"/>
      <c r="X2037" s="1063"/>
      <c r="Y2037" s="1063"/>
      <c r="Z2037" s="1063"/>
      <c r="AA2037" s="1063"/>
      <c r="AB2037" s="1063"/>
      <c r="AC2037" s="1063"/>
      <c r="AD2037" s="1063"/>
      <c r="AE2037" s="1063"/>
      <c r="AF2037" s="1063"/>
      <c r="AG2037" s="1063"/>
      <c r="AH2037" s="1063"/>
      <c r="AI2037" s="1063"/>
      <c r="AJ2037" s="1063"/>
      <c r="AK2037" s="1063"/>
      <c r="AL2037" s="1063"/>
      <c r="AM2037" s="1063"/>
      <c r="AN2037" s="1063"/>
      <c r="AO2037" s="1063"/>
      <c r="AP2037" s="1063"/>
      <c r="AQ2037" s="1063"/>
      <c r="AR2037" s="1063"/>
      <c r="AS2037" s="1063"/>
      <c r="AT2037" s="1063"/>
      <c r="AU2037" s="1063"/>
      <c r="AV2037" s="1063"/>
    </row>
    <row r="2038" spans="1:48" s="1108" customFormat="1" ht="27.75" customHeight="1">
      <c r="A2038" s="1076"/>
      <c r="B2038" s="1074">
        <f>+'[18]Bldg+Dev'!S2850</f>
        <v>0</v>
      </c>
      <c r="D2038" s="1063"/>
      <c r="F2038" s="1076"/>
      <c r="G2038" s="1063"/>
      <c r="H2038" s="1063"/>
      <c r="I2038" s="1063"/>
      <c r="J2038" s="1063"/>
      <c r="K2038" s="1063"/>
      <c r="L2038" s="1063"/>
      <c r="M2038" s="1063"/>
      <c r="N2038" s="1063"/>
      <c r="O2038" s="1063"/>
      <c r="P2038" s="1063"/>
      <c r="Q2038" s="1063"/>
      <c r="R2038" s="1063"/>
      <c r="S2038" s="1063"/>
      <c r="T2038" s="1063"/>
      <c r="U2038" s="1063"/>
      <c r="V2038" s="1063"/>
      <c r="W2038" s="1063"/>
      <c r="X2038" s="1063"/>
      <c r="Y2038" s="1063"/>
      <c r="Z2038" s="1063"/>
      <c r="AA2038" s="1063"/>
      <c r="AB2038" s="1063"/>
      <c r="AC2038" s="1063"/>
      <c r="AD2038" s="1063"/>
      <c r="AE2038" s="1063"/>
      <c r="AF2038" s="1063"/>
      <c r="AG2038" s="1063"/>
      <c r="AH2038" s="1063"/>
      <c r="AI2038" s="1063"/>
      <c r="AJ2038" s="1063"/>
      <c r="AK2038" s="1063"/>
      <c r="AL2038" s="1063"/>
      <c r="AM2038" s="1063"/>
      <c r="AN2038" s="1063"/>
      <c r="AO2038" s="1063"/>
      <c r="AP2038" s="1063"/>
      <c r="AQ2038" s="1063"/>
      <c r="AR2038" s="1063"/>
      <c r="AS2038" s="1063"/>
      <c r="AT2038" s="1063"/>
      <c r="AU2038" s="1063"/>
      <c r="AV2038" s="1063"/>
    </row>
    <row r="2039" spans="1:48" s="1108" customFormat="1" ht="27.75" customHeight="1">
      <c r="A2039" s="1076"/>
      <c r="B2039" s="1074">
        <f>+'[18]Bldg+Dev'!S2851</f>
        <v>0</v>
      </c>
      <c r="D2039" s="1063"/>
      <c r="F2039" s="1076"/>
      <c r="G2039" s="1063"/>
      <c r="H2039" s="1063"/>
      <c r="I2039" s="1063"/>
      <c r="J2039" s="1063"/>
      <c r="K2039" s="1063"/>
      <c r="L2039" s="1063"/>
      <c r="M2039" s="1063"/>
      <c r="N2039" s="1063"/>
      <c r="O2039" s="1063"/>
      <c r="P2039" s="1063"/>
      <c r="Q2039" s="1063"/>
      <c r="R2039" s="1063"/>
      <c r="S2039" s="1063"/>
      <c r="T2039" s="1063"/>
      <c r="U2039" s="1063"/>
      <c r="V2039" s="1063"/>
      <c r="W2039" s="1063"/>
      <c r="X2039" s="1063"/>
      <c r="Y2039" s="1063"/>
      <c r="Z2039" s="1063"/>
      <c r="AA2039" s="1063"/>
      <c r="AB2039" s="1063"/>
      <c r="AC2039" s="1063"/>
      <c r="AD2039" s="1063"/>
      <c r="AE2039" s="1063"/>
      <c r="AF2039" s="1063"/>
      <c r="AG2039" s="1063"/>
      <c r="AH2039" s="1063"/>
      <c r="AI2039" s="1063"/>
      <c r="AJ2039" s="1063"/>
      <c r="AK2039" s="1063"/>
      <c r="AL2039" s="1063"/>
      <c r="AM2039" s="1063"/>
      <c r="AN2039" s="1063"/>
      <c r="AO2039" s="1063"/>
      <c r="AP2039" s="1063"/>
      <c r="AQ2039" s="1063"/>
      <c r="AR2039" s="1063"/>
      <c r="AS2039" s="1063"/>
      <c r="AT2039" s="1063"/>
      <c r="AU2039" s="1063"/>
      <c r="AV2039" s="1063"/>
    </row>
    <row r="2040" spans="1:48" s="1108" customFormat="1" ht="27.75" customHeight="1">
      <c r="A2040" s="1076"/>
      <c r="B2040" s="1074">
        <f>+'[18]Bldg+Dev'!S2852</f>
        <v>0</v>
      </c>
      <c r="D2040" s="1063"/>
      <c r="F2040" s="1076"/>
      <c r="G2040" s="1063"/>
      <c r="H2040" s="1063"/>
      <c r="I2040" s="1063"/>
      <c r="J2040" s="1063"/>
      <c r="K2040" s="1063"/>
      <c r="L2040" s="1063"/>
      <c r="M2040" s="1063"/>
      <c r="N2040" s="1063"/>
      <c r="O2040" s="1063"/>
      <c r="P2040" s="1063"/>
      <c r="Q2040" s="1063"/>
      <c r="R2040" s="1063"/>
      <c r="S2040" s="1063"/>
      <c r="T2040" s="1063"/>
      <c r="U2040" s="1063"/>
      <c r="V2040" s="1063"/>
      <c r="W2040" s="1063"/>
      <c r="X2040" s="1063"/>
      <c r="Y2040" s="1063"/>
      <c r="Z2040" s="1063"/>
      <c r="AA2040" s="1063"/>
      <c r="AB2040" s="1063"/>
      <c r="AC2040" s="1063"/>
      <c r="AD2040" s="1063"/>
      <c r="AE2040" s="1063"/>
      <c r="AF2040" s="1063"/>
      <c r="AG2040" s="1063"/>
      <c r="AH2040" s="1063"/>
      <c r="AI2040" s="1063"/>
      <c r="AJ2040" s="1063"/>
      <c r="AK2040" s="1063"/>
      <c r="AL2040" s="1063"/>
      <c r="AM2040" s="1063"/>
      <c r="AN2040" s="1063"/>
      <c r="AO2040" s="1063"/>
      <c r="AP2040" s="1063"/>
      <c r="AQ2040" s="1063"/>
      <c r="AR2040" s="1063"/>
      <c r="AS2040" s="1063"/>
      <c r="AT2040" s="1063"/>
      <c r="AU2040" s="1063"/>
      <c r="AV2040" s="1063"/>
    </row>
    <row r="2041" spans="1:48" s="1108" customFormat="1" ht="27.75" customHeight="1">
      <c r="A2041" s="1076"/>
      <c r="B2041" s="1074">
        <f>+'[18]Bldg+Dev'!S2853</f>
        <v>0</v>
      </c>
      <c r="D2041" s="1063"/>
      <c r="F2041" s="1076"/>
      <c r="G2041" s="1063"/>
      <c r="H2041" s="1063"/>
      <c r="I2041" s="1063"/>
      <c r="J2041" s="1063"/>
      <c r="K2041" s="1063"/>
      <c r="L2041" s="1063"/>
      <c r="M2041" s="1063"/>
      <c r="N2041" s="1063"/>
      <c r="O2041" s="1063"/>
      <c r="P2041" s="1063"/>
      <c r="Q2041" s="1063"/>
      <c r="R2041" s="1063"/>
      <c r="S2041" s="1063"/>
      <c r="T2041" s="1063"/>
      <c r="U2041" s="1063"/>
      <c r="V2041" s="1063"/>
      <c r="W2041" s="1063"/>
      <c r="X2041" s="1063"/>
      <c r="Y2041" s="1063"/>
      <c r="Z2041" s="1063"/>
      <c r="AA2041" s="1063"/>
      <c r="AB2041" s="1063"/>
      <c r="AC2041" s="1063"/>
      <c r="AD2041" s="1063"/>
      <c r="AE2041" s="1063"/>
      <c r="AF2041" s="1063"/>
      <c r="AG2041" s="1063"/>
      <c r="AH2041" s="1063"/>
      <c r="AI2041" s="1063"/>
      <c r="AJ2041" s="1063"/>
      <c r="AK2041" s="1063"/>
      <c r="AL2041" s="1063"/>
      <c r="AM2041" s="1063"/>
      <c r="AN2041" s="1063"/>
      <c r="AO2041" s="1063"/>
      <c r="AP2041" s="1063"/>
      <c r="AQ2041" s="1063"/>
      <c r="AR2041" s="1063"/>
      <c r="AS2041" s="1063"/>
      <c r="AT2041" s="1063"/>
      <c r="AU2041" s="1063"/>
      <c r="AV2041" s="1063"/>
    </row>
    <row r="2042" spans="1:48" s="1108" customFormat="1" ht="27.75" customHeight="1">
      <c r="A2042" s="1076"/>
      <c r="B2042" s="1074">
        <f>+'[18]Bldg+Dev'!S2854</f>
        <v>0</v>
      </c>
      <c r="D2042" s="1063"/>
      <c r="F2042" s="1076"/>
      <c r="G2042" s="1063"/>
      <c r="H2042" s="1063"/>
      <c r="I2042" s="1063"/>
      <c r="J2042" s="1063"/>
      <c r="K2042" s="1063"/>
      <c r="L2042" s="1063"/>
      <c r="M2042" s="1063"/>
      <c r="N2042" s="1063"/>
      <c r="O2042" s="1063"/>
      <c r="P2042" s="1063"/>
      <c r="Q2042" s="1063"/>
      <c r="R2042" s="1063"/>
      <c r="S2042" s="1063"/>
      <c r="T2042" s="1063"/>
      <c r="U2042" s="1063"/>
      <c r="V2042" s="1063"/>
      <c r="W2042" s="1063"/>
      <c r="X2042" s="1063"/>
      <c r="Y2042" s="1063"/>
      <c r="Z2042" s="1063"/>
      <c r="AA2042" s="1063"/>
      <c r="AB2042" s="1063"/>
      <c r="AC2042" s="1063"/>
      <c r="AD2042" s="1063"/>
      <c r="AE2042" s="1063"/>
      <c r="AF2042" s="1063"/>
      <c r="AG2042" s="1063"/>
      <c r="AH2042" s="1063"/>
      <c r="AI2042" s="1063"/>
      <c r="AJ2042" s="1063"/>
      <c r="AK2042" s="1063"/>
      <c r="AL2042" s="1063"/>
      <c r="AM2042" s="1063"/>
      <c r="AN2042" s="1063"/>
      <c r="AO2042" s="1063"/>
      <c r="AP2042" s="1063"/>
      <c r="AQ2042" s="1063"/>
      <c r="AR2042" s="1063"/>
      <c r="AS2042" s="1063"/>
      <c r="AT2042" s="1063"/>
      <c r="AU2042" s="1063"/>
      <c r="AV2042" s="1063"/>
    </row>
    <row r="2043" spans="1:48" s="1108" customFormat="1" ht="27.75" customHeight="1">
      <c r="A2043" s="1076"/>
      <c r="B2043" s="1074">
        <f>+'[18]Bldg+Dev'!S2855</f>
        <v>0</v>
      </c>
      <c r="D2043" s="1063"/>
      <c r="F2043" s="1076"/>
      <c r="G2043" s="1063"/>
      <c r="H2043" s="1063"/>
      <c r="I2043" s="1063"/>
      <c r="J2043" s="1063"/>
      <c r="K2043" s="1063"/>
      <c r="L2043" s="1063"/>
      <c r="M2043" s="1063"/>
      <c r="N2043" s="1063"/>
      <c r="O2043" s="1063"/>
      <c r="P2043" s="1063"/>
      <c r="Q2043" s="1063"/>
      <c r="R2043" s="1063"/>
      <c r="S2043" s="1063"/>
      <c r="T2043" s="1063"/>
      <c r="U2043" s="1063"/>
      <c r="V2043" s="1063"/>
      <c r="W2043" s="1063"/>
      <c r="X2043" s="1063"/>
      <c r="Y2043" s="1063"/>
      <c r="Z2043" s="1063"/>
      <c r="AA2043" s="1063"/>
      <c r="AB2043" s="1063"/>
      <c r="AC2043" s="1063"/>
      <c r="AD2043" s="1063"/>
      <c r="AE2043" s="1063"/>
      <c r="AF2043" s="1063"/>
      <c r="AG2043" s="1063"/>
      <c r="AH2043" s="1063"/>
      <c r="AI2043" s="1063"/>
      <c r="AJ2043" s="1063"/>
      <c r="AK2043" s="1063"/>
      <c r="AL2043" s="1063"/>
      <c r="AM2043" s="1063"/>
      <c r="AN2043" s="1063"/>
      <c r="AO2043" s="1063"/>
      <c r="AP2043" s="1063"/>
      <c r="AQ2043" s="1063"/>
      <c r="AR2043" s="1063"/>
      <c r="AS2043" s="1063"/>
      <c r="AT2043" s="1063"/>
      <c r="AU2043" s="1063"/>
      <c r="AV2043" s="1063"/>
    </row>
    <row r="2044" spans="1:48" s="1108" customFormat="1" ht="27.75" customHeight="1">
      <c r="A2044" s="1076"/>
      <c r="B2044" s="1074">
        <f>+'[18]Bldg+Dev'!S2856</f>
        <v>0</v>
      </c>
      <c r="D2044" s="1063"/>
      <c r="F2044" s="1076"/>
      <c r="G2044" s="1063"/>
      <c r="H2044" s="1063"/>
      <c r="I2044" s="1063"/>
      <c r="J2044" s="1063"/>
      <c r="K2044" s="1063"/>
      <c r="L2044" s="1063"/>
      <c r="M2044" s="1063"/>
      <c r="N2044" s="1063"/>
      <c r="O2044" s="1063"/>
      <c r="P2044" s="1063"/>
      <c r="Q2044" s="1063"/>
      <c r="R2044" s="1063"/>
      <c r="S2044" s="1063"/>
      <c r="T2044" s="1063"/>
      <c r="U2044" s="1063"/>
      <c r="V2044" s="1063"/>
      <c r="W2044" s="1063"/>
      <c r="X2044" s="1063"/>
      <c r="Y2044" s="1063"/>
      <c r="Z2044" s="1063"/>
      <c r="AA2044" s="1063"/>
      <c r="AB2044" s="1063"/>
      <c r="AC2044" s="1063"/>
      <c r="AD2044" s="1063"/>
      <c r="AE2044" s="1063"/>
      <c r="AF2044" s="1063"/>
      <c r="AG2044" s="1063"/>
      <c r="AH2044" s="1063"/>
      <c r="AI2044" s="1063"/>
      <c r="AJ2044" s="1063"/>
      <c r="AK2044" s="1063"/>
      <c r="AL2044" s="1063"/>
      <c r="AM2044" s="1063"/>
      <c r="AN2044" s="1063"/>
      <c r="AO2044" s="1063"/>
      <c r="AP2044" s="1063"/>
      <c r="AQ2044" s="1063"/>
      <c r="AR2044" s="1063"/>
      <c r="AS2044" s="1063"/>
      <c r="AT2044" s="1063"/>
      <c r="AU2044" s="1063"/>
      <c r="AV2044" s="1063"/>
    </row>
    <row r="2045" spans="1:48" s="1108" customFormat="1" ht="27.75" customHeight="1">
      <c r="A2045" s="1076"/>
      <c r="B2045" s="1074">
        <f>+'[18]Bldg+Dev'!S2857</f>
        <v>0</v>
      </c>
      <c r="D2045" s="1063"/>
      <c r="F2045" s="1076"/>
      <c r="G2045" s="1063"/>
      <c r="H2045" s="1063"/>
      <c r="I2045" s="1063"/>
      <c r="J2045" s="1063"/>
      <c r="K2045" s="1063"/>
      <c r="L2045" s="1063"/>
      <c r="M2045" s="1063"/>
      <c r="N2045" s="1063"/>
      <c r="O2045" s="1063"/>
      <c r="P2045" s="1063"/>
      <c r="Q2045" s="1063"/>
      <c r="R2045" s="1063"/>
      <c r="S2045" s="1063"/>
      <c r="T2045" s="1063"/>
      <c r="U2045" s="1063"/>
      <c r="V2045" s="1063"/>
      <c r="W2045" s="1063"/>
      <c r="X2045" s="1063"/>
      <c r="Y2045" s="1063"/>
      <c r="Z2045" s="1063"/>
      <c r="AA2045" s="1063"/>
      <c r="AB2045" s="1063"/>
      <c r="AC2045" s="1063"/>
      <c r="AD2045" s="1063"/>
      <c r="AE2045" s="1063"/>
      <c r="AF2045" s="1063"/>
      <c r="AG2045" s="1063"/>
      <c r="AH2045" s="1063"/>
      <c r="AI2045" s="1063"/>
      <c r="AJ2045" s="1063"/>
      <c r="AK2045" s="1063"/>
      <c r="AL2045" s="1063"/>
      <c r="AM2045" s="1063"/>
      <c r="AN2045" s="1063"/>
      <c r="AO2045" s="1063"/>
      <c r="AP2045" s="1063"/>
      <c r="AQ2045" s="1063"/>
      <c r="AR2045" s="1063"/>
      <c r="AS2045" s="1063"/>
      <c r="AT2045" s="1063"/>
      <c r="AU2045" s="1063"/>
      <c r="AV2045" s="1063"/>
    </row>
    <row r="2046" spans="1:48" s="1108" customFormat="1" ht="27.75" customHeight="1">
      <c r="A2046" s="1076"/>
      <c r="B2046" s="1074">
        <f>+'[18]Bldg+Dev'!S2858</f>
        <v>0</v>
      </c>
      <c r="D2046" s="1063"/>
      <c r="F2046" s="1076"/>
      <c r="G2046" s="1063"/>
      <c r="H2046" s="1063"/>
      <c r="I2046" s="1063"/>
      <c r="J2046" s="1063"/>
      <c r="K2046" s="1063"/>
      <c r="L2046" s="1063"/>
      <c r="M2046" s="1063"/>
      <c r="N2046" s="1063"/>
      <c r="O2046" s="1063"/>
      <c r="P2046" s="1063"/>
      <c r="Q2046" s="1063"/>
      <c r="R2046" s="1063"/>
      <c r="S2046" s="1063"/>
      <c r="T2046" s="1063"/>
      <c r="U2046" s="1063"/>
      <c r="V2046" s="1063"/>
      <c r="W2046" s="1063"/>
      <c r="X2046" s="1063"/>
      <c r="Y2046" s="1063"/>
      <c r="Z2046" s="1063"/>
      <c r="AA2046" s="1063"/>
      <c r="AB2046" s="1063"/>
      <c r="AC2046" s="1063"/>
      <c r="AD2046" s="1063"/>
      <c r="AE2046" s="1063"/>
      <c r="AF2046" s="1063"/>
      <c r="AG2046" s="1063"/>
      <c r="AH2046" s="1063"/>
      <c r="AI2046" s="1063"/>
      <c r="AJ2046" s="1063"/>
      <c r="AK2046" s="1063"/>
      <c r="AL2046" s="1063"/>
      <c r="AM2046" s="1063"/>
      <c r="AN2046" s="1063"/>
      <c r="AO2046" s="1063"/>
      <c r="AP2046" s="1063"/>
      <c r="AQ2046" s="1063"/>
      <c r="AR2046" s="1063"/>
      <c r="AS2046" s="1063"/>
      <c r="AT2046" s="1063"/>
      <c r="AU2046" s="1063"/>
      <c r="AV2046" s="1063"/>
    </row>
    <row r="2047" spans="1:48" s="1108" customFormat="1" ht="27.75" customHeight="1">
      <c r="A2047" s="1076"/>
      <c r="B2047" s="1074">
        <f>+'[18]Bldg+Dev'!S2859</f>
        <v>0</v>
      </c>
      <c r="D2047" s="1063"/>
      <c r="F2047" s="1076"/>
      <c r="G2047" s="1063"/>
      <c r="H2047" s="1063"/>
      <c r="I2047" s="1063"/>
      <c r="J2047" s="1063"/>
      <c r="K2047" s="1063"/>
      <c r="L2047" s="1063"/>
      <c r="M2047" s="1063"/>
      <c r="N2047" s="1063"/>
      <c r="O2047" s="1063"/>
      <c r="P2047" s="1063"/>
      <c r="Q2047" s="1063"/>
      <c r="R2047" s="1063"/>
      <c r="S2047" s="1063"/>
      <c r="T2047" s="1063"/>
      <c r="U2047" s="1063"/>
      <c r="V2047" s="1063"/>
      <c r="W2047" s="1063"/>
      <c r="X2047" s="1063"/>
      <c r="Y2047" s="1063"/>
      <c r="Z2047" s="1063"/>
      <c r="AA2047" s="1063"/>
      <c r="AB2047" s="1063"/>
      <c r="AC2047" s="1063"/>
      <c r="AD2047" s="1063"/>
      <c r="AE2047" s="1063"/>
      <c r="AF2047" s="1063"/>
      <c r="AG2047" s="1063"/>
      <c r="AH2047" s="1063"/>
      <c r="AI2047" s="1063"/>
      <c r="AJ2047" s="1063"/>
      <c r="AK2047" s="1063"/>
      <c r="AL2047" s="1063"/>
      <c r="AM2047" s="1063"/>
      <c r="AN2047" s="1063"/>
      <c r="AO2047" s="1063"/>
      <c r="AP2047" s="1063"/>
      <c r="AQ2047" s="1063"/>
      <c r="AR2047" s="1063"/>
      <c r="AS2047" s="1063"/>
      <c r="AT2047" s="1063"/>
      <c r="AU2047" s="1063"/>
      <c r="AV2047" s="1063"/>
    </row>
    <row r="2048" spans="1:48" s="1108" customFormat="1" ht="27.75" customHeight="1">
      <c r="A2048" s="1076"/>
      <c r="B2048" s="1074">
        <f>+'[18]Bldg+Dev'!S2860</f>
        <v>0</v>
      </c>
      <c r="D2048" s="1063"/>
      <c r="F2048" s="1076"/>
      <c r="G2048" s="1063"/>
      <c r="H2048" s="1063"/>
      <c r="I2048" s="1063"/>
      <c r="J2048" s="1063"/>
      <c r="K2048" s="1063"/>
      <c r="L2048" s="1063"/>
      <c r="M2048" s="1063"/>
      <c r="N2048" s="1063"/>
      <c r="O2048" s="1063"/>
      <c r="P2048" s="1063"/>
      <c r="Q2048" s="1063"/>
      <c r="R2048" s="1063"/>
      <c r="S2048" s="1063"/>
      <c r="T2048" s="1063"/>
      <c r="U2048" s="1063"/>
      <c r="V2048" s="1063"/>
      <c r="W2048" s="1063"/>
      <c r="X2048" s="1063"/>
      <c r="Y2048" s="1063"/>
      <c r="Z2048" s="1063"/>
      <c r="AA2048" s="1063"/>
      <c r="AB2048" s="1063"/>
      <c r="AC2048" s="1063"/>
      <c r="AD2048" s="1063"/>
      <c r="AE2048" s="1063"/>
      <c r="AF2048" s="1063"/>
      <c r="AG2048" s="1063"/>
      <c r="AH2048" s="1063"/>
      <c r="AI2048" s="1063"/>
      <c r="AJ2048" s="1063"/>
      <c r="AK2048" s="1063"/>
      <c r="AL2048" s="1063"/>
      <c r="AM2048" s="1063"/>
      <c r="AN2048" s="1063"/>
      <c r="AO2048" s="1063"/>
      <c r="AP2048" s="1063"/>
      <c r="AQ2048" s="1063"/>
      <c r="AR2048" s="1063"/>
      <c r="AS2048" s="1063"/>
      <c r="AT2048" s="1063"/>
      <c r="AU2048" s="1063"/>
      <c r="AV2048" s="1063"/>
    </row>
    <row r="2049" spans="1:48" s="1108" customFormat="1" ht="27.75" customHeight="1">
      <c r="A2049" s="1076"/>
      <c r="B2049" s="1074">
        <f>+'[18]Bldg+Dev'!S2861</f>
        <v>0</v>
      </c>
      <c r="D2049" s="1063"/>
      <c r="F2049" s="1076"/>
      <c r="G2049" s="1063"/>
      <c r="H2049" s="1063"/>
      <c r="I2049" s="1063"/>
      <c r="J2049" s="1063"/>
      <c r="K2049" s="1063"/>
      <c r="L2049" s="1063"/>
      <c r="M2049" s="1063"/>
      <c r="N2049" s="1063"/>
      <c r="O2049" s="1063"/>
      <c r="P2049" s="1063"/>
      <c r="Q2049" s="1063"/>
      <c r="R2049" s="1063"/>
      <c r="S2049" s="1063"/>
      <c r="T2049" s="1063"/>
      <c r="U2049" s="1063"/>
      <c r="V2049" s="1063"/>
      <c r="W2049" s="1063"/>
      <c r="X2049" s="1063"/>
      <c r="Y2049" s="1063"/>
      <c r="Z2049" s="1063"/>
      <c r="AA2049" s="1063"/>
      <c r="AB2049" s="1063"/>
      <c r="AC2049" s="1063"/>
      <c r="AD2049" s="1063"/>
      <c r="AE2049" s="1063"/>
      <c r="AF2049" s="1063"/>
      <c r="AG2049" s="1063"/>
      <c r="AH2049" s="1063"/>
      <c r="AI2049" s="1063"/>
      <c r="AJ2049" s="1063"/>
      <c r="AK2049" s="1063"/>
      <c r="AL2049" s="1063"/>
      <c r="AM2049" s="1063"/>
      <c r="AN2049" s="1063"/>
      <c r="AO2049" s="1063"/>
      <c r="AP2049" s="1063"/>
      <c r="AQ2049" s="1063"/>
      <c r="AR2049" s="1063"/>
      <c r="AS2049" s="1063"/>
      <c r="AT2049" s="1063"/>
      <c r="AU2049" s="1063"/>
      <c r="AV2049" s="1063"/>
    </row>
    <row r="2050" spans="1:48" s="1108" customFormat="1" ht="27.75" customHeight="1">
      <c r="A2050" s="1076"/>
      <c r="B2050" s="1074">
        <f>+'[18]Bldg+Dev'!S2862</f>
        <v>0</v>
      </c>
      <c r="D2050" s="1063"/>
      <c r="F2050" s="1076"/>
      <c r="G2050" s="1063"/>
      <c r="H2050" s="1063"/>
      <c r="I2050" s="1063"/>
      <c r="J2050" s="1063"/>
      <c r="K2050" s="1063"/>
      <c r="L2050" s="1063"/>
      <c r="M2050" s="1063"/>
      <c r="N2050" s="1063"/>
      <c r="O2050" s="1063"/>
      <c r="P2050" s="1063"/>
      <c r="Q2050" s="1063"/>
      <c r="R2050" s="1063"/>
      <c r="S2050" s="1063"/>
      <c r="T2050" s="1063"/>
      <c r="U2050" s="1063"/>
      <c r="V2050" s="1063"/>
      <c r="W2050" s="1063"/>
      <c r="X2050" s="1063"/>
      <c r="Y2050" s="1063"/>
      <c r="Z2050" s="1063"/>
      <c r="AA2050" s="1063"/>
      <c r="AB2050" s="1063"/>
      <c r="AC2050" s="1063"/>
      <c r="AD2050" s="1063"/>
      <c r="AE2050" s="1063"/>
      <c r="AF2050" s="1063"/>
      <c r="AG2050" s="1063"/>
      <c r="AH2050" s="1063"/>
      <c r="AI2050" s="1063"/>
      <c r="AJ2050" s="1063"/>
      <c r="AK2050" s="1063"/>
      <c r="AL2050" s="1063"/>
      <c r="AM2050" s="1063"/>
      <c r="AN2050" s="1063"/>
      <c r="AO2050" s="1063"/>
      <c r="AP2050" s="1063"/>
      <c r="AQ2050" s="1063"/>
      <c r="AR2050" s="1063"/>
      <c r="AS2050" s="1063"/>
      <c r="AT2050" s="1063"/>
      <c r="AU2050" s="1063"/>
      <c r="AV2050" s="1063"/>
    </row>
    <row r="2051" spans="1:48" s="1108" customFormat="1" ht="27.75" customHeight="1">
      <c r="A2051" s="1076"/>
      <c r="B2051" s="1074">
        <f>+'[18]Bldg+Dev'!S2863</f>
        <v>0</v>
      </c>
      <c r="D2051" s="1063"/>
      <c r="F2051" s="1076"/>
      <c r="G2051" s="1063"/>
      <c r="H2051" s="1063"/>
      <c r="I2051" s="1063"/>
      <c r="J2051" s="1063"/>
      <c r="K2051" s="1063"/>
      <c r="L2051" s="1063"/>
      <c r="M2051" s="1063"/>
      <c r="N2051" s="1063"/>
      <c r="O2051" s="1063"/>
      <c r="P2051" s="1063"/>
      <c r="Q2051" s="1063"/>
      <c r="R2051" s="1063"/>
      <c r="S2051" s="1063"/>
      <c r="T2051" s="1063"/>
      <c r="U2051" s="1063"/>
      <c r="V2051" s="1063"/>
      <c r="W2051" s="1063"/>
      <c r="X2051" s="1063"/>
      <c r="Y2051" s="1063"/>
      <c r="Z2051" s="1063"/>
      <c r="AA2051" s="1063"/>
      <c r="AB2051" s="1063"/>
      <c r="AC2051" s="1063"/>
      <c r="AD2051" s="1063"/>
      <c r="AE2051" s="1063"/>
      <c r="AF2051" s="1063"/>
      <c r="AG2051" s="1063"/>
      <c r="AH2051" s="1063"/>
      <c r="AI2051" s="1063"/>
      <c r="AJ2051" s="1063"/>
      <c r="AK2051" s="1063"/>
      <c r="AL2051" s="1063"/>
      <c r="AM2051" s="1063"/>
      <c r="AN2051" s="1063"/>
      <c r="AO2051" s="1063"/>
      <c r="AP2051" s="1063"/>
      <c r="AQ2051" s="1063"/>
      <c r="AR2051" s="1063"/>
      <c r="AS2051" s="1063"/>
      <c r="AT2051" s="1063"/>
      <c r="AU2051" s="1063"/>
      <c r="AV2051" s="1063"/>
    </row>
    <row r="2052" spans="1:48" s="1108" customFormat="1" ht="27.75" customHeight="1">
      <c r="A2052" s="1076"/>
      <c r="B2052" s="1074">
        <f>+'[18]Bldg+Dev'!S2864</f>
        <v>0</v>
      </c>
      <c r="D2052" s="1063"/>
      <c r="F2052" s="1076"/>
      <c r="G2052" s="1063"/>
      <c r="H2052" s="1063"/>
      <c r="I2052" s="1063"/>
      <c r="J2052" s="1063"/>
      <c r="K2052" s="1063"/>
      <c r="L2052" s="1063"/>
      <c r="M2052" s="1063"/>
      <c r="N2052" s="1063"/>
      <c r="O2052" s="1063"/>
      <c r="P2052" s="1063"/>
      <c r="Q2052" s="1063"/>
      <c r="R2052" s="1063"/>
      <c r="S2052" s="1063"/>
      <c r="T2052" s="1063"/>
      <c r="U2052" s="1063"/>
      <c r="V2052" s="1063"/>
      <c r="W2052" s="1063"/>
      <c r="X2052" s="1063"/>
      <c r="Y2052" s="1063"/>
      <c r="Z2052" s="1063"/>
      <c r="AA2052" s="1063"/>
      <c r="AB2052" s="1063"/>
      <c r="AC2052" s="1063"/>
      <c r="AD2052" s="1063"/>
      <c r="AE2052" s="1063"/>
      <c r="AF2052" s="1063"/>
      <c r="AG2052" s="1063"/>
      <c r="AH2052" s="1063"/>
      <c r="AI2052" s="1063"/>
      <c r="AJ2052" s="1063"/>
      <c r="AK2052" s="1063"/>
      <c r="AL2052" s="1063"/>
      <c r="AM2052" s="1063"/>
      <c r="AN2052" s="1063"/>
      <c r="AO2052" s="1063"/>
      <c r="AP2052" s="1063"/>
      <c r="AQ2052" s="1063"/>
      <c r="AR2052" s="1063"/>
      <c r="AS2052" s="1063"/>
      <c r="AT2052" s="1063"/>
      <c r="AU2052" s="1063"/>
      <c r="AV2052" s="1063"/>
    </row>
    <row r="2053" spans="1:48" s="1108" customFormat="1" ht="27.75" customHeight="1">
      <c r="A2053" s="1076"/>
      <c r="B2053" s="1074">
        <f>+'[18]Bldg+Dev'!S2865</f>
        <v>0</v>
      </c>
      <c r="D2053" s="1063"/>
      <c r="F2053" s="1076"/>
      <c r="G2053" s="1063"/>
      <c r="H2053" s="1063"/>
      <c r="I2053" s="1063"/>
      <c r="J2053" s="1063"/>
      <c r="K2053" s="1063"/>
      <c r="L2053" s="1063"/>
      <c r="M2053" s="1063"/>
      <c r="N2053" s="1063"/>
      <c r="O2053" s="1063"/>
      <c r="P2053" s="1063"/>
      <c r="Q2053" s="1063"/>
      <c r="R2053" s="1063"/>
      <c r="S2053" s="1063"/>
      <c r="T2053" s="1063"/>
      <c r="U2053" s="1063"/>
      <c r="V2053" s="1063"/>
      <c r="W2053" s="1063"/>
      <c r="X2053" s="1063"/>
      <c r="Y2053" s="1063"/>
      <c r="Z2053" s="1063"/>
      <c r="AA2053" s="1063"/>
      <c r="AB2053" s="1063"/>
      <c r="AC2053" s="1063"/>
      <c r="AD2053" s="1063"/>
      <c r="AE2053" s="1063"/>
      <c r="AF2053" s="1063"/>
      <c r="AG2053" s="1063"/>
      <c r="AH2053" s="1063"/>
      <c r="AI2053" s="1063"/>
      <c r="AJ2053" s="1063"/>
      <c r="AK2053" s="1063"/>
      <c r="AL2053" s="1063"/>
      <c r="AM2053" s="1063"/>
      <c r="AN2053" s="1063"/>
      <c r="AO2053" s="1063"/>
      <c r="AP2053" s="1063"/>
      <c r="AQ2053" s="1063"/>
      <c r="AR2053" s="1063"/>
      <c r="AS2053" s="1063"/>
      <c r="AT2053" s="1063"/>
      <c r="AU2053" s="1063"/>
      <c r="AV2053" s="1063"/>
    </row>
    <row r="2054" spans="1:48" s="1108" customFormat="1" ht="27.75" customHeight="1">
      <c r="A2054" s="1076"/>
      <c r="B2054" s="1074">
        <f>+'[18]Bldg+Dev'!S2866</f>
        <v>0</v>
      </c>
      <c r="D2054" s="1063"/>
      <c r="F2054" s="1076"/>
      <c r="G2054" s="1063"/>
      <c r="H2054" s="1063"/>
      <c r="I2054" s="1063"/>
      <c r="J2054" s="1063"/>
      <c r="K2054" s="1063"/>
      <c r="L2054" s="1063"/>
      <c r="M2054" s="1063"/>
      <c r="N2054" s="1063"/>
      <c r="O2054" s="1063"/>
      <c r="P2054" s="1063"/>
      <c r="Q2054" s="1063"/>
      <c r="R2054" s="1063"/>
      <c r="S2054" s="1063"/>
      <c r="T2054" s="1063"/>
      <c r="U2054" s="1063"/>
      <c r="V2054" s="1063"/>
      <c r="W2054" s="1063"/>
      <c r="X2054" s="1063"/>
      <c r="Y2054" s="1063"/>
      <c r="Z2054" s="1063"/>
      <c r="AA2054" s="1063"/>
      <c r="AB2054" s="1063"/>
      <c r="AC2054" s="1063"/>
      <c r="AD2054" s="1063"/>
      <c r="AE2054" s="1063"/>
      <c r="AF2054" s="1063"/>
      <c r="AG2054" s="1063"/>
      <c r="AH2054" s="1063"/>
      <c r="AI2054" s="1063"/>
      <c r="AJ2054" s="1063"/>
      <c r="AK2054" s="1063"/>
      <c r="AL2054" s="1063"/>
      <c r="AM2054" s="1063"/>
      <c r="AN2054" s="1063"/>
      <c r="AO2054" s="1063"/>
      <c r="AP2054" s="1063"/>
      <c r="AQ2054" s="1063"/>
      <c r="AR2054" s="1063"/>
      <c r="AS2054" s="1063"/>
      <c r="AT2054" s="1063"/>
      <c r="AU2054" s="1063"/>
      <c r="AV2054" s="1063"/>
    </row>
    <row r="2055" spans="1:48" s="1108" customFormat="1" ht="27.75" customHeight="1">
      <c r="A2055" s="1076"/>
      <c r="B2055" s="1074">
        <f>+'[18]Bldg+Dev'!S2867</f>
        <v>0</v>
      </c>
      <c r="D2055" s="1063"/>
      <c r="F2055" s="1076"/>
      <c r="G2055" s="1063"/>
      <c r="H2055" s="1063"/>
      <c r="I2055" s="1063"/>
      <c r="J2055" s="1063"/>
      <c r="K2055" s="1063"/>
      <c r="L2055" s="1063"/>
      <c r="M2055" s="1063"/>
      <c r="N2055" s="1063"/>
      <c r="O2055" s="1063"/>
      <c r="P2055" s="1063"/>
      <c r="Q2055" s="1063"/>
      <c r="R2055" s="1063"/>
      <c r="S2055" s="1063"/>
      <c r="T2055" s="1063"/>
      <c r="U2055" s="1063"/>
      <c r="V2055" s="1063"/>
      <c r="W2055" s="1063"/>
      <c r="X2055" s="1063"/>
      <c r="Y2055" s="1063"/>
      <c r="Z2055" s="1063"/>
      <c r="AA2055" s="1063"/>
      <c r="AB2055" s="1063"/>
      <c r="AC2055" s="1063"/>
      <c r="AD2055" s="1063"/>
      <c r="AE2055" s="1063"/>
      <c r="AF2055" s="1063"/>
      <c r="AG2055" s="1063"/>
      <c r="AH2055" s="1063"/>
      <c r="AI2055" s="1063"/>
      <c r="AJ2055" s="1063"/>
      <c r="AK2055" s="1063"/>
      <c r="AL2055" s="1063"/>
      <c r="AM2055" s="1063"/>
      <c r="AN2055" s="1063"/>
      <c r="AO2055" s="1063"/>
      <c r="AP2055" s="1063"/>
      <c r="AQ2055" s="1063"/>
      <c r="AR2055" s="1063"/>
      <c r="AS2055" s="1063"/>
      <c r="AT2055" s="1063"/>
      <c r="AU2055" s="1063"/>
      <c r="AV2055" s="1063"/>
    </row>
    <row r="2056" spans="1:48" s="1108" customFormat="1" ht="27.75" customHeight="1">
      <c r="A2056" s="1076"/>
      <c r="B2056" s="1074">
        <f>+'[18]Bldg+Dev'!S2868</f>
        <v>0</v>
      </c>
      <c r="D2056" s="1063"/>
      <c r="F2056" s="1076"/>
      <c r="G2056" s="1063"/>
      <c r="H2056" s="1063"/>
      <c r="I2056" s="1063"/>
      <c r="J2056" s="1063"/>
      <c r="K2056" s="1063"/>
      <c r="L2056" s="1063"/>
      <c r="M2056" s="1063"/>
      <c r="N2056" s="1063"/>
      <c r="O2056" s="1063"/>
      <c r="P2056" s="1063"/>
      <c r="Q2056" s="1063"/>
      <c r="R2056" s="1063"/>
      <c r="S2056" s="1063"/>
      <c r="T2056" s="1063"/>
      <c r="U2056" s="1063"/>
      <c r="V2056" s="1063"/>
      <c r="W2056" s="1063"/>
      <c r="X2056" s="1063"/>
      <c r="Y2056" s="1063"/>
      <c r="Z2056" s="1063"/>
      <c r="AA2056" s="1063"/>
      <c r="AB2056" s="1063"/>
      <c r="AC2056" s="1063"/>
      <c r="AD2056" s="1063"/>
      <c r="AE2056" s="1063"/>
      <c r="AF2056" s="1063"/>
      <c r="AG2056" s="1063"/>
      <c r="AH2056" s="1063"/>
      <c r="AI2056" s="1063"/>
      <c r="AJ2056" s="1063"/>
      <c r="AK2056" s="1063"/>
      <c r="AL2056" s="1063"/>
      <c r="AM2056" s="1063"/>
      <c r="AN2056" s="1063"/>
      <c r="AO2056" s="1063"/>
      <c r="AP2056" s="1063"/>
      <c r="AQ2056" s="1063"/>
      <c r="AR2056" s="1063"/>
      <c r="AS2056" s="1063"/>
      <c r="AT2056" s="1063"/>
      <c r="AU2056" s="1063"/>
      <c r="AV2056" s="1063"/>
    </row>
    <row r="2057" spans="1:48" s="1108" customFormat="1" ht="27.75" customHeight="1">
      <c r="A2057" s="1076"/>
      <c r="B2057" s="1074">
        <f>+'[18]Bldg+Dev'!S2869</f>
        <v>0</v>
      </c>
      <c r="D2057" s="1063"/>
      <c r="F2057" s="1076"/>
      <c r="G2057" s="1063"/>
      <c r="H2057" s="1063"/>
      <c r="I2057" s="1063"/>
      <c r="J2057" s="1063"/>
      <c r="K2057" s="1063"/>
      <c r="L2057" s="1063"/>
      <c r="M2057" s="1063"/>
      <c r="N2057" s="1063"/>
      <c r="O2057" s="1063"/>
      <c r="P2057" s="1063"/>
      <c r="Q2057" s="1063"/>
      <c r="R2057" s="1063"/>
      <c r="S2057" s="1063"/>
      <c r="T2057" s="1063"/>
      <c r="U2057" s="1063"/>
      <c r="V2057" s="1063"/>
      <c r="W2057" s="1063"/>
      <c r="X2057" s="1063"/>
      <c r="Y2057" s="1063"/>
      <c r="Z2057" s="1063"/>
      <c r="AA2057" s="1063"/>
      <c r="AB2057" s="1063"/>
      <c r="AC2057" s="1063"/>
      <c r="AD2057" s="1063"/>
      <c r="AE2057" s="1063"/>
      <c r="AF2057" s="1063"/>
      <c r="AG2057" s="1063"/>
      <c r="AH2057" s="1063"/>
      <c r="AI2057" s="1063"/>
      <c r="AJ2057" s="1063"/>
      <c r="AK2057" s="1063"/>
      <c r="AL2057" s="1063"/>
      <c r="AM2057" s="1063"/>
      <c r="AN2057" s="1063"/>
      <c r="AO2057" s="1063"/>
      <c r="AP2057" s="1063"/>
      <c r="AQ2057" s="1063"/>
      <c r="AR2057" s="1063"/>
      <c r="AS2057" s="1063"/>
      <c r="AT2057" s="1063"/>
      <c r="AU2057" s="1063"/>
      <c r="AV2057" s="1063"/>
    </row>
    <row r="2058" spans="1:48" s="1108" customFormat="1" ht="27.75" customHeight="1">
      <c r="A2058" s="1076"/>
      <c r="B2058" s="1074">
        <f>+'[18]Bldg+Dev'!S2870</f>
        <v>0</v>
      </c>
      <c r="D2058" s="1063"/>
      <c r="F2058" s="1076"/>
      <c r="G2058" s="1063"/>
      <c r="H2058" s="1063"/>
      <c r="I2058" s="1063"/>
      <c r="J2058" s="1063"/>
      <c r="K2058" s="1063"/>
      <c r="L2058" s="1063"/>
      <c r="M2058" s="1063"/>
      <c r="N2058" s="1063"/>
      <c r="O2058" s="1063"/>
      <c r="P2058" s="1063"/>
      <c r="Q2058" s="1063"/>
      <c r="R2058" s="1063"/>
      <c r="S2058" s="1063"/>
      <c r="T2058" s="1063"/>
      <c r="U2058" s="1063"/>
      <c r="V2058" s="1063"/>
      <c r="W2058" s="1063"/>
      <c r="X2058" s="1063"/>
      <c r="Y2058" s="1063"/>
      <c r="Z2058" s="1063"/>
      <c r="AA2058" s="1063"/>
      <c r="AB2058" s="1063"/>
      <c r="AC2058" s="1063"/>
      <c r="AD2058" s="1063"/>
      <c r="AE2058" s="1063"/>
      <c r="AF2058" s="1063"/>
      <c r="AG2058" s="1063"/>
      <c r="AH2058" s="1063"/>
      <c r="AI2058" s="1063"/>
      <c r="AJ2058" s="1063"/>
      <c r="AK2058" s="1063"/>
      <c r="AL2058" s="1063"/>
      <c r="AM2058" s="1063"/>
      <c r="AN2058" s="1063"/>
      <c r="AO2058" s="1063"/>
      <c r="AP2058" s="1063"/>
      <c r="AQ2058" s="1063"/>
      <c r="AR2058" s="1063"/>
      <c r="AS2058" s="1063"/>
      <c r="AT2058" s="1063"/>
      <c r="AU2058" s="1063"/>
      <c r="AV2058" s="1063"/>
    </row>
    <row r="2059" spans="1:48" s="1108" customFormat="1" ht="27.75" customHeight="1">
      <c r="A2059" s="1076"/>
      <c r="B2059" s="1074">
        <f>+'[18]Bldg+Dev'!S2871</f>
        <v>0</v>
      </c>
      <c r="D2059" s="1063"/>
      <c r="F2059" s="1076"/>
      <c r="G2059" s="1063"/>
      <c r="H2059" s="1063"/>
      <c r="I2059" s="1063"/>
      <c r="J2059" s="1063"/>
      <c r="K2059" s="1063"/>
      <c r="L2059" s="1063"/>
      <c r="M2059" s="1063"/>
      <c r="N2059" s="1063"/>
      <c r="O2059" s="1063"/>
      <c r="P2059" s="1063"/>
      <c r="Q2059" s="1063"/>
      <c r="R2059" s="1063"/>
      <c r="S2059" s="1063"/>
      <c r="T2059" s="1063"/>
      <c r="U2059" s="1063"/>
      <c r="V2059" s="1063"/>
      <c r="W2059" s="1063"/>
      <c r="X2059" s="1063"/>
      <c r="Y2059" s="1063"/>
      <c r="Z2059" s="1063"/>
      <c r="AA2059" s="1063"/>
      <c r="AB2059" s="1063"/>
      <c r="AC2059" s="1063"/>
      <c r="AD2059" s="1063"/>
      <c r="AE2059" s="1063"/>
      <c r="AF2059" s="1063"/>
      <c r="AG2059" s="1063"/>
      <c r="AH2059" s="1063"/>
      <c r="AI2059" s="1063"/>
      <c r="AJ2059" s="1063"/>
      <c r="AK2059" s="1063"/>
      <c r="AL2059" s="1063"/>
      <c r="AM2059" s="1063"/>
      <c r="AN2059" s="1063"/>
      <c r="AO2059" s="1063"/>
      <c r="AP2059" s="1063"/>
      <c r="AQ2059" s="1063"/>
      <c r="AR2059" s="1063"/>
      <c r="AS2059" s="1063"/>
      <c r="AT2059" s="1063"/>
      <c r="AU2059" s="1063"/>
      <c r="AV2059" s="1063"/>
    </row>
    <row r="2060" spans="1:48" s="1108" customFormat="1" ht="27.75" customHeight="1">
      <c r="A2060" s="1076"/>
      <c r="B2060" s="1074">
        <f>+'[18]Bldg+Dev'!S2872</f>
        <v>0</v>
      </c>
      <c r="D2060" s="1063"/>
      <c r="F2060" s="1076"/>
      <c r="G2060" s="1063"/>
      <c r="H2060" s="1063"/>
      <c r="I2060" s="1063"/>
      <c r="J2060" s="1063"/>
      <c r="K2060" s="1063"/>
      <c r="L2060" s="1063"/>
      <c r="M2060" s="1063"/>
      <c r="N2060" s="1063"/>
      <c r="O2060" s="1063"/>
      <c r="P2060" s="1063"/>
      <c r="Q2060" s="1063"/>
      <c r="R2060" s="1063"/>
      <c r="S2060" s="1063"/>
      <c r="T2060" s="1063"/>
      <c r="U2060" s="1063"/>
      <c r="V2060" s="1063"/>
      <c r="W2060" s="1063"/>
      <c r="X2060" s="1063"/>
      <c r="Y2060" s="1063"/>
      <c r="Z2060" s="1063"/>
      <c r="AA2060" s="1063"/>
      <c r="AB2060" s="1063"/>
      <c r="AC2060" s="1063"/>
      <c r="AD2060" s="1063"/>
      <c r="AE2060" s="1063"/>
      <c r="AF2060" s="1063"/>
      <c r="AG2060" s="1063"/>
      <c r="AH2060" s="1063"/>
      <c r="AI2060" s="1063"/>
      <c r="AJ2060" s="1063"/>
      <c r="AK2060" s="1063"/>
      <c r="AL2060" s="1063"/>
      <c r="AM2060" s="1063"/>
      <c r="AN2060" s="1063"/>
      <c r="AO2060" s="1063"/>
      <c r="AP2060" s="1063"/>
      <c r="AQ2060" s="1063"/>
      <c r="AR2060" s="1063"/>
      <c r="AS2060" s="1063"/>
      <c r="AT2060" s="1063"/>
      <c r="AU2060" s="1063"/>
      <c r="AV2060" s="1063"/>
    </row>
    <row r="2061" spans="1:48" s="1108" customFormat="1" ht="27.75" customHeight="1">
      <c r="A2061" s="1076"/>
      <c r="B2061" s="1074">
        <f>+'[18]Bldg+Dev'!S2873</f>
        <v>0</v>
      </c>
      <c r="D2061" s="1063"/>
      <c r="F2061" s="1076"/>
      <c r="G2061" s="1063"/>
      <c r="H2061" s="1063"/>
      <c r="I2061" s="1063"/>
      <c r="J2061" s="1063"/>
      <c r="K2061" s="1063"/>
      <c r="L2061" s="1063"/>
      <c r="M2061" s="1063"/>
      <c r="N2061" s="1063"/>
      <c r="O2061" s="1063"/>
      <c r="P2061" s="1063"/>
      <c r="Q2061" s="1063"/>
      <c r="R2061" s="1063"/>
      <c r="S2061" s="1063"/>
      <c r="T2061" s="1063"/>
      <c r="U2061" s="1063"/>
      <c r="V2061" s="1063"/>
      <c r="W2061" s="1063"/>
      <c r="X2061" s="1063"/>
      <c r="Y2061" s="1063"/>
      <c r="Z2061" s="1063"/>
      <c r="AA2061" s="1063"/>
      <c r="AB2061" s="1063"/>
      <c r="AC2061" s="1063"/>
      <c r="AD2061" s="1063"/>
      <c r="AE2061" s="1063"/>
      <c r="AF2061" s="1063"/>
      <c r="AG2061" s="1063"/>
      <c r="AH2061" s="1063"/>
      <c r="AI2061" s="1063"/>
      <c r="AJ2061" s="1063"/>
      <c r="AK2061" s="1063"/>
      <c r="AL2061" s="1063"/>
      <c r="AM2061" s="1063"/>
      <c r="AN2061" s="1063"/>
      <c r="AO2061" s="1063"/>
      <c r="AP2061" s="1063"/>
      <c r="AQ2061" s="1063"/>
      <c r="AR2061" s="1063"/>
      <c r="AS2061" s="1063"/>
      <c r="AT2061" s="1063"/>
      <c r="AU2061" s="1063"/>
      <c r="AV2061" s="1063"/>
    </row>
    <row r="2062" spans="1:48" s="1108" customFormat="1" ht="27.75" customHeight="1">
      <c r="A2062" s="1076"/>
      <c r="B2062" s="1074">
        <f>+'[18]Bldg+Dev'!S2874</f>
        <v>0</v>
      </c>
      <c r="D2062" s="1063"/>
      <c r="F2062" s="1076"/>
      <c r="G2062" s="1063"/>
      <c r="H2062" s="1063"/>
      <c r="I2062" s="1063"/>
      <c r="J2062" s="1063"/>
      <c r="K2062" s="1063"/>
      <c r="L2062" s="1063"/>
      <c r="M2062" s="1063"/>
      <c r="N2062" s="1063"/>
      <c r="O2062" s="1063"/>
      <c r="P2062" s="1063"/>
      <c r="Q2062" s="1063"/>
      <c r="R2062" s="1063"/>
      <c r="S2062" s="1063"/>
      <c r="T2062" s="1063"/>
      <c r="U2062" s="1063"/>
      <c r="V2062" s="1063"/>
      <c r="W2062" s="1063"/>
      <c r="X2062" s="1063"/>
      <c r="Y2062" s="1063"/>
      <c r="Z2062" s="1063"/>
      <c r="AA2062" s="1063"/>
      <c r="AB2062" s="1063"/>
      <c r="AC2062" s="1063"/>
      <c r="AD2062" s="1063"/>
      <c r="AE2062" s="1063"/>
      <c r="AF2062" s="1063"/>
      <c r="AG2062" s="1063"/>
      <c r="AH2062" s="1063"/>
      <c r="AI2062" s="1063"/>
      <c r="AJ2062" s="1063"/>
      <c r="AK2062" s="1063"/>
      <c r="AL2062" s="1063"/>
      <c r="AM2062" s="1063"/>
      <c r="AN2062" s="1063"/>
      <c r="AO2062" s="1063"/>
      <c r="AP2062" s="1063"/>
      <c r="AQ2062" s="1063"/>
      <c r="AR2062" s="1063"/>
      <c r="AS2062" s="1063"/>
      <c r="AT2062" s="1063"/>
      <c r="AU2062" s="1063"/>
      <c r="AV2062" s="1063"/>
    </row>
    <row r="2063" spans="1:48" s="1108" customFormat="1" ht="27.75" customHeight="1">
      <c r="A2063" s="1076"/>
      <c r="B2063" s="1074">
        <f>+'[18]Bldg+Dev'!S2875</f>
        <v>0</v>
      </c>
      <c r="D2063" s="1063"/>
      <c r="F2063" s="1076"/>
      <c r="G2063" s="1063"/>
      <c r="H2063" s="1063"/>
      <c r="I2063" s="1063"/>
      <c r="J2063" s="1063"/>
      <c r="K2063" s="1063"/>
      <c r="L2063" s="1063"/>
      <c r="M2063" s="1063"/>
      <c r="N2063" s="1063"/>
      <c r="O2063" s="1063"/>
      <c r="P2063" s="1063"/>
      <c r="Q2063" s="1063"/>
      <c r="R2063" s="1063"/>
      <c r="S2063" s="1063"/>
      <c r="T2063" s="1063"/>
      <c r="U2063" s="1063"/>
      <c r="V2063" s="1063"/>
      <c r="W2063" s="1063"/>
      <c r="X2063" s="1063"/>
      <c r="Y2063" s="1063"/>
      <c r="Z2063" s="1063"/>
      <c r="AA2063" s="1063"/>
      <c r="AB2063" s="1063"/>
      <c r="AC2063" s="1063"/>
      <c r="AD2063" s="1063"/>
      <c r="AE2063" s="1063"/>
      <c r="AF2063" s="1063"/>
      <c r="AG2063" s="1063"/>
      <c r="AH2063" s="1063"/>
      <c r="AI2063" s="1063"/>
      <c r="AJ2063" s="1063"/>
      <c r="AK2063" s="1063"/>
      <c r="AL2063" s="1063"/>
      <c r="AM2063" s="1063"/>
      <c r="AN2063" s="1063"/>
      <c r="AO2063" s="1063"/>
      <c r="AP2063" s="1063"/>
      <c r="AQ2063" s="1063"/>
      <c r="AR2063" s="1063"/>
      <c r="AS2063" s="1063"/>
      <c r="AT2063" s="1063"/>
      <c r="AU2063" s="1063"/>
      <c r="AV2063" s="1063"/>
    </row>
    <row r="2064" spans="1:48" s="1108" customFormat="1" ht="27.75" customHeight="1">
      <c r="A2064" s="1076"/>
      <c r="B2064" s="1074">
        <f>+'[18]Bldg+Dev'!S2876</f>
        <v>0</v>
      </c>
      <c r="D2064" s="1063"/>
      <c r="F2064" s="1076"/>
      <c r="G2064" s="1063"/>
      <c r="H2064" s="1063"/>
      <c r="I2064" s="1063"/>
      <c r="J2064" s="1063"/>
      <c r="K2064" s="1063"/>
      <c r="L2064" s="1063"/>
      <c r="M2064" s="1063"/>
      <c r="N2064" s="1063"/>
      <c r="O2064" s="1063"/>
      <c r="P2064" s="1063"/>
      <c r="Q2064" s="1063"/>
      <c r="R2064" s="1063"/>
      <c r="S2064" s="1063"/>
      <c r="T2064" s="1063"/>
      <c r="U2064" s="1063"/>
      <c r="V2064" s="1063"/>
      <c r="W2064" s="1063"/>
      <c r="X2064" s="1063"/>
      <c r="Y2064" s="1063"/>
      <c r="Z2064" s="1063"/>
      <c r="AA2064" s="1063"/>
      <c r="AB2064" s="1063"/>
      <c r="AC2064" s="1063"/>
      <c r="AD2064" s="1063"/>
      <c r="AE2064" s="1063"/>
      <c r="AF2064" s="1063"/>
      <c r="AG2064" s="1063"/>
      <c r="AH2064" s="1063"/>
      <c r="AI2064" s="1063"/>
      <c r="AJ2064" s="1063"/>
      <c r="AK2064" s="1063"/>
      <c r="AL2064" s="1063"/>
      <c r="AM2064" s="1063"/>
      <c r="AN2064" s="1063"/>
      <c r="AO2064" s="1063"/>
      <c r="AP2064" s="1063"/>
      <c r="AQ2064" s="1063"/>
      <c r="AR2064" s="1063"/>
      <c r="AS2064" s="1063"/>
      <c r="AT2064" s="1063"/>
      <c r="AU2064" s="1063"/>
      <c r="AV2064" s="1063"/>
    </row>
    <row r="2065" spans="1:48" s="1108" customFormat="1" ht="27.75" customHeight="1">
      <c r="A2065" s="1076"/>
      <c r="B2065" s="1074">
        <f>+'[18]Bldg+Dev'!S2877</f>
        <v>0</v>
      </c>
      <c r="D2065" s="1063"/>
      <c r="F2065" s="1076"/>
      <c r="G2065" s="1063"/>
      <c r="H2065" s="1063"/>
      <c r="I2065" s="1063"/>
      <c r="J2065" s="1063"/>
      <c r="K2065" s="1063"/>
      <c r="L2065" s="1063"/>
      <c r="M2065" s="1063"/>
      <c r="N2065" s="1063"/>
      <c r="O2065" s="1063"/>
      <c r="P2065" s="1063"/>
      <c r="Q2065" s="1063"/>
      <c r="R2065" s="1063"/>
      <c r="S2065" s="1063"/>
      <c r="T2065" s="1063"/>
      <c r="U2065" s="1063"/>
      <c r="V2065" s="1063"/>
      <c r="W2065" s="1063"/>
      <c r="X2065" s="1063"/>
      <c r="Y2065" s="1063"/>
      <c r="Z2065" s="1063"/>
      <c r="AA2065" s="1063"/>
      <c r="AB2065" s="1063"/>
      <c r="AC2065" s="1063"/>
      <c r="AD2065" s="1063"/>
      <c r="AE2065" s="1063"/>
      <c r="AF2065" s="1063"/>
      <c r="AG2065" s="1063"/>
      <c r="AH2065" s="1063"/>
      <c r="AI2065" s="1063"/>
      <c r="AJ2065" s="1063"/>
      <c r="AK2065" s="1063"/>
      <c r="AL2065" s="1063"/>
      <c r="AM2065" s="1063"/>
      <c r="AN2065" s="1063"/>
      <c r="AO2065" s="1063"/>
      <c r="AP2065" s="1063"/>
      <c r="AQ2065" s="1063"/>
      <c r="AR2065" s="1063"/>
      <c r="AS2065" s="1063"/>
      <c r="AT2065" s="1063"/>
      <c r="AU2065" s="1063"/>
      <c r="AV2065" s="1063"/>
    </row>
    <row r="2066" spans="1:48" s="1108" customFormat="1" ht="27.75" customHeight="1">
      <c r="A2066" s="1076"/>
      <c r="B2066" s="1074">
        <f>+'[18]Bldg+Dev'!S2878</f>
        <v>0</v>
      </c>
      <c r="D2066" s="1063"/>
      <c r="F2066" s="1076"/>
      <c r="G2066" s="1063"/>
      <c r="H2066" s="1063"/>
      <c r="I2066" s="1063"/>
      <c r="J2066" s="1063"/>
      <c r="K2066" s="1063"/>
      <c r="L2066" s="1063"/>
      <c r="M2066" s="1063"/>
      <c r="N2066" s="1063"/>
      <c r="O2066" s="1063"/>
      <c r="P2066" s="1063"/>
      <c r="Q2066" s="1063"/>
      <c r="R2066" s="1063"/>
      <c r="S2066" s="1063"/>
      <c r="T2066" s="1063"/>
      <c r="U2066" s="1063"/>
      <c r="V2066" s="1063"/>
      <c r="W2066" s="1063"/>
      <c r="X2066" s="1063"/>
      <c r="Y2066" s="1063"/>
      <c r="Z2066" s="1063"/>
      <c r="AA2066" s="1063"/>
      <c r="AB2066" s="1063"/>
      <c r="AC2066" s="1063"/>
      <c r="AD2066" s="1063"/>
      <c r="AE2066" s="1063"/>
      <c r="AF2066" s="1063"/>
      <c r="AG2066" s="1063"/>
      <c r="AH2066" s="1063"/>
      <c r="AI2066" s="1063"/>
      <c r="AJ2066" s="1063"/>
      <c r="AK2066" s="1063"/>
      <c r="AL2066" s="1063"/>
      <c r="AM2066" s="1063"/>
      <c r="AN2066" s="1063"/>
      <c r="AO2066" s="1063"/>
      <c r="AP2066" s="1063"/>
      <c r="AQ2066" s="1063"/>
      <c r="AR2066" s="1063"/>
      <c r="AS2066" s="1063"/>
      <c r="AT2066" s="1063"/>
      <c r="AU2066" s="1063"/>
      <c r="AV2066" s="1063"/>
    </row>
    <row r="2067" spans="1:48" s="1108" customFormat="1" ht="27.75" customHeight="1">
      <c r="A2067" s="1076"/>
      <c r="B2067" s="1074">
        <f>+'[18]Bldg+Dev'!S2879</f>
        <v>0</v>
      </c>
      <c r="D2067" s="1063"/>
      <c r="F2067" s="1076"/>
      <c r="G2067" s="1063"/>
      <c r="H2067" s="1063"/>
      <c r="I2067" s="1063"/>
      <c r="J2067" s="1063"/>
      <c r="K2067" s="1063"/>
      <c r="L2067" s="1063"/>
      <c r="M2067" s="1063"/>
      <c r="N2067" s="1063"/>
      <c r="O2067" s="1063"/>
      <c r="P2067" s="1063"/>
      <c r="Q2067" s="1063"/>
      <c r="R2067" s="1063"/>
      <c r="S2067" s="1063"/>
      <c r="T2067" s="1063"/>
      <c r="U2067" s="1063"/>
      <c r="V2067" s="1063"/>
      <c r="W2067" s="1063"/>
      <c r="X2067" s="1063"/>
      <c r="Y2067" s="1063"/>
      <c r="Z2067" s="1063"/>
      <c r="AA2067" s="1063"/>
      <c r="AB2067" s="1063"/>
      <c r="AC2067" s="1063"/>
      <c r="AD2067" s="1063"/>
      <c r="AE2067" s="1063"/>
      <c r="AF2067" s="1063"/>
      <c r="AG2067" s="1063"/>
      <c r="AH2067" s="1063"/>
      <c r="AI2067" s="1063"/>
      <c r="AJ2067" s="1063"/>
      <c r="AK2067" s="1063"/>
      <c r="AL2067" s="1063"/>
      <c r="AM2067" s="1063"/>
      <c r="AN2067" s="1063"/>
      <c r="AO2067" s="1063"/>
      <c r="AP2067" s="1063"/>
      <c r="AQ2067" s="1063"/>
      <c r="AR2067" s="1063"/>
      <c r="AS2067" s="1063"/>
      <c r="AT2067" s="1063"/>
      <c r="AU2067" s="1063"/>
      <c r="AV2067" s="1063"/>
    </row>
    <row r="2068" spans="1:48" s="1108" customFormat="1" ht="27.75" customHeight="1">
      <c r="A2068" s="1076"/>
      <c r="B2068" s="1074">
        <f>+'[18]Bldg+Dev'!S2880</f>
        <v>0</v>
      </c>
      <c r="D2068" s="1063"/>
      <c r="F2068" s="1076"/>
      <c r="G2068" s="1063"/>
      <c r="H2068" s="1063"/>
      <c r="I2068" s="1063"/>
      <c r="J2068" s="1063"/>
      <c r="K2068" s="1063"/>
      <c r="L2068" s="1063"/>
      <c r="M2068" s="1063"/>
      <c r="N2068" s="1063"/>
      <c r="O2068" s="1063"/>
      <c r="P2068" s="1063"/>
      <c r="Q2068" s="1063"/>
      <c r="R2068" s="1063"/>
      <c r="S2068" s="1063"/>
      <c r="T2068" s="1063"/>
      <c r="U2068" s="1063"/>
      <c r="V2068" s="1063"/>
      <c r="W2068" s="1063"/>
      <c r="X2068" s="1063"/>
      <c r="Y2068" s="1063"/>
      <c r="Z2068" s="1063"/>
      <c r="AA2068" s="1063"/>
      <c r="AB2068" s="1063"/>
      <c r="AC2068" s="1063"/>
      <c r="AD2068" s="1063"/>
      <c r="AE2068" s="1063"/>
      <c r="AF2068" s="1063"/>
      <c r="AG2068" s="1063"/>
      <c r="AH2068" s="1063"/>
      <c r="AI2068" s="1063"/>
      <c r="AJ2068" s="1063"/>
      <c r="AK2068" s="1063"/>
      <c r="AL2068" s="1063"/>
      <c r="AM2068" s="1063"/>
      <c r="AN2068" s="1063"/>
      <c r="AO2068" s="1063"/>
      <c r="AP2068" s="1063"/>
      <c r="AQ2068" s="1063"/>
      <c r="AR2068" s="1063"/>
      <c r="AS2068" s="1063"/>
      <c r="AT2068" s="1063"/>
      <c r="AU2068" s="1063"/>
      <c r="AV2068" s="1063"/>
    </row>
    <row r="2069" spans="1:48" s="1108" customFormat="1" ht="27.75" customHeight="1">
      <c r="A2069" s="1076"/>
      <c r="B2069" s="1074">
        <f>+'[18]Bldg+Dev'!S2881</f>
        <v>0</v>
      </c>
      <c r="D2069" s="1063"/>
      <c r="F2069" s="1076"/>
      <c r="G2069" s="1063"/>
      <c r="H2069" s="1063"/>
      <c r="I2069" s="1063"/>
      <c r="J2069" s="1063"/>
      <c r="K2069" s="1063"/>
      <c r="L2069" s="1063"/>
      <c r="M2069" s="1063"/>
      <c r="N2069" s="1063"/>
      <c r="O2069" s="1063"/>
      <c r="P2069" s="1063"/>
      <c r="Q2069" s="1063"/>
      <c r="R2069" s="1063"/>
      <c r="S2069" s="1063"/>
      <c r="T2069" s="1063"/>
      <c r="U2069" s="1063"/>
      <c r="V2069" s="1063"/>
      <c r="W2069" s="1063"/>
      <c r="X2069" s="1063"/>
      <c r="Y2069" s="1063"/>
      <c r="Z2069" s="1063"/>
      <c r="AA2069" s="1063"/>
      <c r="AB2069" s="1063"/>
      <c r="AC2069" s="1063"/>
      <c r="AD2069" s="1063"/>
      <c r="AE2069" s="1063"/>
      <c r="AF2069" s="1063"/>
      <c r="AG2069" s="1063"/>
      <c r="AH2069" s="1063"/>
      <c r="AI2069" s="1063"/>
      <c r="AJ2069" s="1063"/>
      <c r="AK2069" s="1063"/>
      <c r="AL2069" s="1063"/>
      <c r="AM2069" s="1063"/>
      <c r="AN2069" s="1063"/>
      <c r="AO2069" s="1063"/>
      <c r="AP2069" s="1063"/>
      <c r="AQ2069" s="1063"/>
      <c r="AR2069" s="1063"/>
      <c r="AS2069" s="1063"/>
      <c r="AT2069" s="1063"/>
      <c r="AU2069" s="1063"/>
      <c r="AV2069" s="1063"/>
    </row>
    <row r="2070" spans="1:48" s="1108" customFormat="1" ht="27.75" customHeight="1">
      <c r="A2070" s="1076"/>
      <c r="B2070" s="1074">
        <f>+'[18]Bldg+Dev'!S2882</f>
        <v>0</v>
      </c>
      <c r="D2070" s="1063"/>
      <c r="F2070" s="1076"/>
      <c r="G2070" s="1063"/>
      <c r="H2070" s="1063"/>
      <c r="I2070" s="1063"/>
      <c r="J2070" s="1063"/>
      <c r="K2070" s="1063"/>
      <c r="L2070" s="1063"/>
      <c r="M2070" s="1063"/>
      <c r="N2070" s="1063"/>
      <c r="O2070" s="1063"/>
      <c r="P2070" s="1063"/>
      <c r="Q2070" s="1063"/>
      <c r="R2070" s="1063"/>
      <c r="S2070" s="1063"/>
      <c r="T2070" s="1063"/>
      <c r="U2070" s="1063"/>
      <c r="V2070" s="1063"/>
      <c r="W2070" s="1063"/>
      <c r="X2070" s="1063"/>
      <c r="Y2070" s="1063"/>
      <c r="Z2070" s="1063"/>
      <c r="AA2070" s="1063"/>
      <c r="AB2070" s="1063"/>
      <c r="AC2070" s="1063"/>
      <c r="AD2070" s="1063"/>
      <c r="AE2070" s="1063"/>
      <c r="AF2070" s="1063"/>
      <c r="AG2070" s="1063"/>
      <c r="AH2070" s="1063"/>
      <c r="AI2070" s="1063"/>
      <c r="AJ2070" s="1063"/>
      <c r="AK2070" s="1063"/>
      <c r="AL2070" s="1063"/>
      <c r="AM2070" s="1063"/>
      <c r="AN2070" s="1063"/>
      <c r="AO2070" s="1063"/>
      <c r="AP2070" s="1063"/>
      <c r="AQ2070" s="1063"/>
      <c r="AR2070" s="1063"/>
      <c r="AS2070" s="1063"/>
      <c r="AT2070" s="1063"/>
      <c r="AU2070" s="1063"/>
      <c r="AV2070" s="1063"/>
    </row>
    <row r="2071" spans="1:48" s="1108" customFormat="1" ht="27.75" customHeight="1">
      <c r="A2071" s="1076"/>
      <c r="B2071" s="1074">
        <f>+'[18]Bldg+Dev'!S2883</f>
        <v>0</v>
      </c>
      <c r="D2071" s="1063"/>
      <c r="F2071" s="1076"/>
      <c r="G2071" s="1063"/>
      <c r="H2071" s="1063"/>
      <c r="I2071" s="1063"/>
      <c r="J2071" s="1063"/>
      <c r="K2071" s="1063"/>
      <c r="L2071" s="1063"/>
      <c r="M2071" s="1063"/>
      <c r="N2071" s="1063"/>
      <c r="O2071" s="1063"/>
      <c r="P2071" s="1063"/>
      <c r="Q2071" s="1063"/>
      <c r="R2071" s="1063"/>
      <c r="S2071" s="1063"/>
      <c r="T2071" s="1063"/>
      <c r="U2071" s="1063"/>
      <c r="V2071" s="1063"/>
      <c r="W2071" s="1063"/>
      <c r="X2071" s="1063"/>
      <c r="Y2071" s="1063"/>
      <c r="Z2071" s="1063"/>
      <c r="AA2071" s="1063"/>
      <c r="AB2071" s="1063"/>
      <c r="AC2071" s="1063"/>
      <c r="AD2071" s="1063"/>
      <c r="AE2071" s="1063"/>
      <c r="AF2071" s="1063"/>
      <c r="AG2071" s="1063"/>
      <c r="AH2071" s="1063"/>
      <c r="AI2071" s="1063"/>
      <c r="AJ2071" s="1063"/>
      <c r="AK2071" s="1063"/>
      <c r="AL2071" s="1063"/>
      <c r="AM2071" s="1063"/>
      <c r="AN2071" s="1063"/>
      <c r="AO2071" s="1063"/>
      <c r="AP2071" s="1063"/>
      <c r="AQ2071" s="1063"/>
      <c r="AR2071" s="1063"/>
      <c r="AS2071" s="1063"/>
      <c r="AT2071" s="1063"/>
      <c r="AU2071" s="1063"/>
      <c r="AV2071" s="1063"/>
    </row>
    <row r="2072" spans="1:48" s="1108" customFormat="1" ht="27.75" customHeight="1">
      <c r="A2072" s="1076"/>
      <c r="B2072" s="1074">
        <f>+'[18]Bldg+Dev'!S2884</f>
        <v>0</v>
      </c>
      <c r="D2072" s="1063"/>
      <c r="F2072" s="1076"/>
      <c r="G2072" s="1063"/>
      <c r="H2072" s="1063"/>
      <c r="I2072" s="1063"/>
      <c r="J2072" s="1063"/>
      <c r="K2072" s="1063"/>
      <c r="L2072" s="1063"/>
      <c r="M2072" s="1063"/>
      <c r="N2072" s="1063"/>
      <c r="O2072" s="1063"/>
      <c r="P2072" s="1063"/>
      <c r="Q2072" s="1063"/>
      <c r="R2072" s="1063"/>
      <c r="S2072" s="1063"/>
      <c r="T2072" s="1063"/>
      <c r="U2072" s="1063"/>
      <c r="V2072" s="1063"/>
      <c r="W2072" s="1063"/>
      <c r="X2072" s="1063"/>
      <c r="Y2072" s="1063"/>
      <c r="Z2072" s="1063"/>
      <c r="AA2072" s="1063"/>
      <c r="AB2072" s="1063"/>
      <c r="AC2072" s="1063"/>
      <c r="AD2072" s="1063"/>
      <c r="AE2072" s="1063"/>
      <c r="AF2072" s="1063"/>
      <c r="AG2072" s="1063"/>
      <c r="AH2072" s="1063"/>
      <c r="AI2072" s="1063"/>
      <c r="AJ2072" s="1063"/>
      <c r="AK2072" s="1063"/>
      <c r="AL2072" s="1063"/>
      <c r="AM2072" s="1063"/>
      <c r="AN2072" s="1063"/>
      <c r="AO2072" s="1063"/>
      <c r="AP2072" s="1063"/>
      <c r="AQ2072" s="1063"/>
      <c r="AR2072" s="1063"/>
      <c r="AS2072" s="1063"/>
      <c r="AT2072" s="1063"/>
      <c r="AU2072" s="1063"/>
      <c r="AV2072" s="1063"/>
    </row>
    <row r="2073" spans="1:48" s="1108" customFormat="1" ht="27.75" customHeight="1">
      <c r="A2073" s="1076"/>
      <c r="B2073" s="1074">
        <f>+'[18]Bldg+Dev'!S2885</f>
        <v>0</v>
      </c>
      <c r="D2073" s="1063"/>
      <c r="F2073" s="1076"/>
      <c r="G2073" s="1063"/>
      <c r="H2073" s="1063"/>
      <c r="I2073" s="1063"/>
      <c r="J2073" s="1063"/>
      <c r="K2073" s="1063"/>
      <c r="L2073" s="1063"/>
      <c r="M2073" s="1063"/>
      <c r="N2073" s="1063"/>
      <c r="O2073" s="1063"/>
      <c r="P2073" s="1063"/>
      <c r="Q2073" s="1063"/>
      <c r="R2073" s="1063"/>
      <c r="S2073" s="1063"/>
      <c r="T2073" s="1063"/>
      <c r="U2073" s="1063"/>
      <c r="V2073" s="1063"/>
      <c r="W2073" s="1063"/>
      <c r="X2073" s="1063"/>
      <c r="Y2073" s="1063"/>
      <c r="Z2073" s="1063"/>
      <c r="AA2073" s="1063"/>
      <c r="AB2073" s="1063"/>
      <c r="AC2073" s="1063"/>
      <c r="AD2073" s="1063"/>
      <c r="AE2073" s="1063"/>
      <c r="AF2073" s="1063"/>
      <c r="AG2073" s="1063"/>
      <c r="AH2073" s="1063"/>
      <c r="AI2073" s="1063"/>
      <c r="AJ2073" s="1063"/>
      <c r="AK2073" s="1063"/>
      <c r="AL2073" s="1063"/>
      <c r="AM2073" s="1063"/>
      <c r="AN2073" s="1063"/>
      <c r="AO2073" s="1063"/>
      <c r="AP2073" s="1063"/>
      <c r="AQ2073" s="1063"/>
      <c r="AR2073" s="1063"/>
      <c r="AS2073" s="1063"/>
      <c r="AT2073" s="1063"/>
      <c r="AU2073" s="1063"/>
      <c r="AV2073" s="1063"/>
    </row>
    <row r="2074" spans="1:48" s="1108" customFormat="1" ht="27.75" customHeight="1">
      <c r="A2074" s="1076"/>
      <c r="B2074" s="1074">
        <f>+'[18]Bldg+Dev'!S2886</f>
        <v>0</v>
      </c>
      <c r="D2074" s="1063"/>
      <c r="F2074" s="1076"/>
      <c r="G2074" s="1063"/>
      <c r="H2074" s="1063"/>
      <c r="I2074" s="1063"/>
      <c r="J2074" s="1063"/>
      <c r="K2074" s="1063"/>
      <c r="L2074" s="1063"/>
      <c r="M2074" s="1063"/>
      <c r="N2074" s="1063"/>
      <c r="O2074" s="1063"/>
      <c r="P2074" s="1063"/>
      <c r="Q2074" s="1063"/>
      <c r="R2074" s="1063"/>
      <c r="S2074" s="1063"/>
      <c r="T2074" s="1063"/>
      <c r="U2074" s="1063"/>
      <c r="V2074" s="1063"/>
      <c r="W2074" s="1063"/>
      <c r="X2074" s="1063"/>
      <c r="Y2074" s="1063"/>
      <c r="Z2074" s="1063"/>
      <c r="AA2074" s="1063"/>
      <c r="AB2074" s="1063"/>
      <c r="AC2074" s="1063"/>
      <c r="AD2074" s="1063"/>
      <c r="AE2074" s="1063"/>
      <c r="AF2074" s="1063"/>
      <c r="AG2074" s="1063"/>
      <c r="AH2074" s="1063"/>
      <c r="AI2074" s="1063"/>
      <c r="AJ2074" s="1063"/>
      <c r="AK2074" s="1063"/>
      <c r="AL2074" s="1063"/>
      <c r="AM2074" s="1063"/>
      <c r="AN2074" s="1063"/>
      <c r="AO2074" s="1063"/>
      <c r="AP2074" s="1063"/>
      <c r="AQ2074" s="1063"/>
      <c r="AR2074" s="1063"/>
      <c r="AS2074" s="1063"/>
      <c r="AT2074" s="1063"/>
      <c r="AU2074" s="1063"/>
      <c r="AV2074" s="1063"/>
    </row>
    <row r="2075" spans="1:48" s="1108" customFormat="1" ht="27.75" customHeight="1">
      <c r="A2075" s="1076"/>
      <c r="B2075" s="1074">
        <f>+'[18]Bldg+Dev'!S2887</f>
        <v>0</v>
      </c>
      <c r="D2075" s="1063"/>
      <c r="F2075" s="1076"/>
      <c r="G2075" s="1063"/>
      <c r="H2075" s="1063"/>
      <c r="I2075" s="1063"/>
      <c r="J2075" s="1063"/>
      <c r="K2075" s="1063"/>
      <c r="L2075" s="1063"/>
      <c r="M2075" s="1063"/>
      <c r="N2075" s="1063"/>
      <c r="O2075" s="1063"/>
      <c r="P2075" s="1063"/>
      <c r="Q2075" s="1063"/>
      <c r="R2075" s="1063"/>
      <c r="S2075" s="1063"/>
      <c r="T2075" s="1063"/>
      <c r="U2075" s="1063"/>
      <c r="V2075" s="1063"/>
      <c r="W2075" s="1063"/>
      <c r="X2075" s="1063"/>
      <c r="Y2075" s="1063"/>
      <c r="Z2075" s="1063"/>
      <c r="AA2075" s="1063"/>
      <c r="AB2075" s="1063"/>
      <c r="AC2075" s="1063"/>
      <c r="AD2075" s="1063"/>
      <c r="AE2075" s="1063"/>
      <c r="AF2075" s="1063"/>
      <c r="AG2075" s="1063"/>
      <c r="AH2075" s="1063"/>
      <c r="AI2075" s="1063"/>
      <c r="AJ2075" s="1063"/>
      <c r="AK2075" s="1063"/>
      <c r="AL2075" s="1063"/>
      <c r="AM2075" s="1063"/>
      <c r="AN2075" s="1063"/>
      <c r="AO2075" s="1063"/>
      <c r="AP2075" s="1063"/>
      <c r="AQ2075" s="1063"/>
      <c r="AR2075" s="1063"/>
      <c r="AS2075" s="1063"/>
      <c r="AT2075" s="1063"/>
      <c r="AU2075" s="1063"/>
      <c r="AV2075" s="1063"/>
    </row>
    <row r="2076" spans="1:48" s="1108" customFormat="1" ht="27.75" customHeight="1">
      <c r="A2076" s="1076"/>
      <c r="B2076" s="1074">
        <f>+'[18]Bldg+Dev'!S2888</f>
        <v>0</v>
      </c>
      <c r="D2076" s="1063"/>
      <c r="F2076" s="1076"/>
      <c r="G2076" s="1063"/>
      <c r="H2076" s="1063"/>
      <c r="I2076" s="1063"/>
      <c r="J2076" s="1063"/>
      <c r="K2076" s="1063"/>
      <c r="L2076" s="1063"/>
      <c r="M2076" s="1063"/>
      <c r="N2076" s="1063"/>
      <c r="O2076" s="1063"/>
      <c r="P2076" s="1063"/>
      <c r="Q2076" s="1063"/>
      <c r="R2076" s="1063"/>
      <c r="S2076" s="1063"/>
      <c r="T2076" s="1063"/>
      <c r="U2076" s="1063"/>
      <c r="V2076" s="1063"/>
      <c r="W2076" s="1063"/>
      <c r="X2076" s="1063"/>
      <c r="Y2076" s="1063"/>
      <c r="Z2076" s="1063"/>
      <c r="AA2076" s="1063"/>
      <c r="AB2076" s="1063"/>
      <c r="AC2076" s="1063"/>
      <c r="AD2076" s="1063"/>
      <c r="AE2076" s="1063"/>
      <c r="AF2076" s="1063"/>
      <c r="AG2076" s="1063"/>
      <c r="AH2076" s="1063"/>
      <c r="AI2076" s="1063"/>
      <c r="AJ2076" s="1063"/>
      <c r="AK2076" s="1063"/>
      <c r="AL2076" s="1063"/>
      <c r="AM2076" s="1063"/>
      <c r="AN2076" s="1063"/>
      <c r="AO2076" s="1063"/>
      <c r="AP2076" s="1063"/>
      <c r="AQ2076" s="1063"/>
      <c r="AR2076" s="1063"/>
      <c r="AS2076" s="1063"/>
      <c r="AT2076" s="1063"/>
      <c r="AU2076" s="1063"/>
      <c r="AV2076" s="1063"/>
    </row>
    <row r="2077" spans="1:48" s="1108" customFormat="1" ht="27.75" customHeight="1">
      <c r="A2077" s="1076"/>
      <c r="B2077" s="1074">
        <f>+'[18]Bldg+Dev'!S2889</f>
        <v>0</v>
      </c>
      <c r="D2077" s="1063"/>
      <c r="F2077" s="1076"/>
      <c r="G2077" s="1063"/>
      <c r="H2077" s="1063"/>
      <c r="I2077" s="1063"/>
      <c r="J2077" s="1063"/>
      <c r="K2077" s="1063"/>
      <c r="L2077" s="1063"/>
      <c r="M2077" s="1063"/>
      <c r="N2077" s="1063"/>
      <c r="O2077" s="1063"/>
      <c r="P2077" s="1063"/>
      <c r="Q2077" s="1063"/>
      <c r="R2077" s="1063"/>
      <c r="S2077" s="1063"/>
      <c r="T2077" s="1063"/>
      <c r="U2077" s="1063"/>
      <c r="V2077" s="1063"/>
      <c r="W2077" s="1063"/>
      <c r="X2077" s="1063"/>
      <c r="Y2077" s="1063"/>
      <c r="Z2077" s="1063"/>
      <c r="AA2077" s="1063"/>
      <c r="AB2077" s="1063"/>
      <c r="AC2077" s="1063"/>
      <c r="AD2077" s="1063"/>
      <c r="AE2077" s="1063"/>
      <c r="AF2077" s="1063"/>
      <c r="AG2077" s="1063"/>
      <c r="AH2077" s="1063"/>
      <c r="AI2077" s="1063"/>
      <c r="AJ2077" s="1063"/>
      <c r="AK2077" s="1063"/>
      <c r="AL2077" s="1063"/>
      <c r="AM2077" s="1063"/>
      <c r="AN2077" s="1063"/>
      <c r="AO2077" s="1063"/>
      <c r="AP2077" s="1063"/>
      <c r="AQ2077" s="1063"/>
      <c r="AR2077" s="1063"/>
      <c r="AS2077" s="1063"/>
      <c r="AT2077" s="1063"/>
      <c r="AU2077" s="1063"/>
      <c r="AV2077" s="1063"/>
    </row>
    <row r="2078" spans="1:48" s="1108" customFormat="1" ht="27.75" customHeight="1">
      <c r="A2078" s="1076"/>
      <c r="B2078" s="1074">
        <f>+'[18]Bldg+Dev'!S2890</f>
        <v>0</v>
      </c>
      <c r="D2078" s="1063"/>
      <c r="F2078" s="1076"/>
      <c r="G2078" s="1063"/>
      <c r="H2078" s="1063"/>
      <c r="I2078" s="1063"/>
      <c r="J2078" s="1063"/>
      <c r="K2078" s="1063"/>
      <c r="L2078" s="1063"/>
      <c r="M2078" s="1063"/>
      <c r="N2078" s="1063"/>
      <c r="O2078" s="1063"/>
      <c r="P2078" s="1063"/>
      <c r="Q2078" s="1063"/>
      <c r="R2078" s="1063"/>
      <c r="S2078" s="1063"/>
      <c r="T2078" s="1063"/>
      <c r="U2078" s="1063"/>
      <c r="V2078" s="1063"/>
      <c r="W2078" s="1063"/>
      <c r="X2078" s="1063"/>
      <c r="Y2078" s="1063"/>
      <c r="Z2078" s="1063"/>
      <c r="AA2078" s="1063"/>
      <c r="AB2078" s="1063"/>
      <c r="AC2078" s="1063"/>
      <c r="AD2078" s="1063"/>
      <c r="AE2078" s="1063"/>
      <c r="AF2078" s="1063"/>
      <c r="AG2078" s="1063"/>
      <c r="AH2078" s="1063"/>
      <c r="AI2078" s="1063"/>
      <c r="AJ2078" s="1063"/>
      <c r="AK2078" s="1063"/>
      <c r="AL2078" s="1063"/>
      <c r="AM2078" s="1063"/>
      <c r="AN2078" s="1063"/>
      <c r="AO2078" s="1063"/>
      <c r="AP2078" s="1063"/>
      <c r="AQ2078" s="1063"/>
      <c r="AR2078" s="1063"/>
      <c r="AS2078" s="1063"/>
      <c r="AT2078" s="1063"/>
      <c r="AU2078" s="1063"/>
      <c r="AV2078" s="1063"/>
    </row>
    <row r="2079" spans="1:48" s="1108" customFormat="1" ht="27.75" customHeight="1">
      <c r="A2079" s="1076"/>
      <c r="B2079" s="1074">
        <f>+'[18]Bldg+Dev'!S2891</f>
        <v>0</v>
      </c>
      <c r="D2079" s="1063"/>
      <c r="F2079" s="1076"/>
      <c r="G2079" s="1063"/>
      <c r="H2079" s="1063"/>
      <c r="I2079" s="1063"/>
      <c r="J2079" s="1063"/>
      <c r="K2079" s="1063"/>
      <c r="L2079" s="1063"/>
      <c r="M2079" s="1063"/>
      <c r="N2079" s="1063"/>
      <c r="O2079" s="1063"/>
      <c r="P2079" s="1063"/>
      <c r="Q2079" s="1063"/>
      <c r="R2079" s="1063"/>
      <c r="S2079" s="1063"/>
      <c r="T2079" s="1063"/>
      <c r="U2079" s="1063"/>
      <c r="V2079" s="1063"/>
      <c r="W2079" s="1063"/>
      <c r="X2079" s="1063"/>
      <c r="Y2079" s="1063"/>
      <c r="Z2079" s="1063"/>
      <c r="AA2079" s="1063"/>
      <c r="AB2079" s="1063"/>
      <c r="AC2079" s="1063"/>
      <c r="AD2079" s="1063"/>
      <c r="AE2079" s="1063"/>
      <c r="AF2079" s="1063"/>
      <c r="AG2079" s="1063"/>
      <c r="AH2079" s="1063"/>
      <c r="AI2079" s="1063"/>
      <c r="AJ2079" s="1063"/>
      <c r="AK2079" s="1063"/>
      <c r="AL2079" s="1063"/>
      <c r="AM2079" s="1063"/>
      <c r="AN2079" s="1063"/>
      <c r="AO2079" s="1063"/>
      <c r="AP2079" s="1063"/>
      <c r="AQ2079" s="1063"/>
      <c r="AR2079" s="1063"/>
      <c r="AS2079" s="1063"/>
      <c r="AT2079" s="1063"/>
      <c r="AU2079" s="1063"/>
      <c r="AV2079" s="1063"/>
    </row>
    <row r="2080" spans="1:48" s="1108" customFormat="1" ht="27.75" customHeight="1">
      <c r="A2080" s="1076"/>
      <c r="B2080" s="1074">
        <f>+'[18]Bldg+Dev'!S2892</f>
        <v>0</v>
      </c>
      <c r="D2080" s="1063"/>
      <c r="F2080" s="1076"/>
      <c r="G2080" s="1063"/>
      <c r="H2080" s="1063"/>
      <c r="I2080" s="1063"/>
      <c r="J2080" s="1063"/>
      <c r="K2080" s="1063"/>
      <c r="L2080" s="1063"/>
      <c r="M2080" s="1063"/>
      <c r="N2080" s="1063"/>
      <c r="O2080" s="1063"/>
      <c r="P2080" s="1063"/>
      <c r="Q2080" s="1063"/>
      <c r="R2080" s="1063"/>
      <c r="S2080" s="1063"/>
      <c r="T2080" s="1063"/>
      <c r="U2080" s="1063"/>
      <c r="V2080" s="1063"/>
      <c r="W2080" s="1063"/>
      <c r="X2080" s="1063"/>
      <c r="Y2080" s="1063"/>
      <c r="Z2080" s="1063"/>
      <c r="AA2080" s="1063"/>
      <c r="AB2080" s="1063"/>
      <c r="AC2080" s="1063"/>
      <c r="AD2080" s="1063"/>
      <c r="AE2080" s="1063"/>
      <c r="AF2080" s="1063"/>
      <c r="AG2080" s="1063"/>
      <c r="AH2080" s="1063"/>
      <c r="AI2080" s="1063"/>
      <c r="AJ2080" s="1063"/>
      <c r="AK2080" s="1063"/>
      <c r="AL2080" s="1063"/>
      <c r="AM2080" s="1063"/>
      <c r="AN2080" s="1063"/>
      <c r="AO2080" s="1063"/>
      <c r="AP2080" s="1063"/>
      <c r="AQ2080" s="1063"/>
      <c r="AR2080" s="1063"/>
      <c r="AS2080" s="1063"/>
      <c r="AT2080" s="1063"/>
      <c r="AU2080" s="1063"/>
      <c r="AV2080" s="1063"/>
    </row>
    <row r="2081" spans="1:48" s="1108" customFormat="1" ht="27.75" customHeight="1">
      <c r="A2081" s="1076"/>
      <c r="B2081" s="1074">
        <f>+'[18]Bldg+Dev'!S2893</f>
        <v>0</v>
      </c>
      <c r="D2081" s="1063"/>
      <c r="F2081" s="1076"/>
      <c r="G2081" s="1063"/>
      <c r="H2081" s="1063"/>
      <c r="I2081" s="1063"/>
      <c r="J2081" s="1063"/>
      <c r="K2081" s="1063"/>
      <c r="L2081" s="1063"/>
      <c r="M2081" s="1063"/>
      <c r="N2081" s="1063"/>
      <c r="O2081" s="1063"/>
      <c r="P2081" s="1063"/>
      <c r="Q2081" s="1063"/>
      <c r="R2081" s="1063"/>
      <c r="S2081" s="1063"/>
      <c r="T2081" s="1063"/>
      <c r="U2081" s="1063"/>
      <c r="V2081" s="1063"/>
      <c r="W2081" s="1063"/>
      <c r="X2081" s="1063"/>
      <c r="Y2081" s="1063"/>
      <c r="Z2081" s="1063"/>
      <c r="AA2081" s="1063"/>
      <c r="AB2081" s="1063"/>
      <c r="AC2081" s="1063"/>
      <c r="AD2081" s="1063"/>
      <c r="AE2081" s="1063"/>
      <c r="AF2081" s="1063"/>
      <c r="AG2081" s="1063"/>
      <c r="AH2081" s="1063"/>
      <c r="AI2081" s="1063"/>
      <c r="AJ2081" s="1063"/>
      <c r="AK2081" s="1063"/>
      <c r="AL2081" s="1063"/>
      <c r="AM2081" s="1063"/>
      <c r="AN2081" s="1063"/>
      <c r="AO2081" s="1063"/>
      <c r="AP2081" s="1063"/>
      <c r="AQ2081" s="1063"/>
      <c r="AR2081" s="1063"/>
      <c r="AS2081" s="1063"/>
      <c r="AT2081" s="1063"/>
      <c r="AU2081" s="1063"/>
      <c r="AV2081" s="1063"/>
    </row>
    <row r="2082" spans="1:48" s="1108" customFormat="1" ht="27.75" customHeight="1">
      <c r="A2082" s="1076"/>
      <c r="B2082" s="1074">
        <f>+'[18]Bldg+Dev'!S2894</f>
        <v>0</v>
      </c>
      <c r="D2082" s="1063"/>
      <c r="F2082" s="1076"/>
      <c r="G2082" s="1063"/>
      <c r="H2082" s="1063"/>
      <c r="I2082" s="1063"/>
      <c r="J2082" s="1063"/>
      <c r="K2082" s="1063"/>
      <c r="L2082" s="1063"/>
      <c r="M2082" s="1063"/>
      <c r="N2082" s="1063"/>
      <c r="O2082" s="1063"/>
      <c r="P2082" s="1063"/>
      <c r="Q2082" s="1063"/>
      <c r="R2082" s="1063"/>
      <c r="S2082" s="1063"/>
      <c r="T2082" s="1063"/>
      <c r="U2082" s="1063"/>
      <c r="V2082" s="1063"/>
      <c r="W2082" s="1063"/>
      <c r="X2082" s="1063"/>
      <c r="Y2082" s="1063"/>
      <c r="Z2082" s="1063"/>
      <c r="AA2082" s="1063"/>
      <c r="AB2082" s="1063"/>
      <c r="AC2082" s="1063"/>
      <c r="AD2082" s="1063"/>
      <c r="AE2082" s="1063"/>
      <c r="AF2082" s="1063"/>
      <c r="AG2082" s="1063"/>
      <c r="AH2082" s="1063"/>
      <c r="AI2082" s="1063"/>
      <c r="AJ2082" s="1063"/>
      <c r="AK2082" s="1063"/>
      <c r="AL2082" s="1063"/>
      <c r="AM2082" s="1063"/>
      <c r="AN2082" s="1063"/>
      <c r="AO2082" s="1063"/>
      <c r="AP2082" s="1063"/>
      <c r="AQ2082" s="1063"/>
      <c r="AR2082" s="1063"/>
      <c r="AS2082" s="1063"/>
      <c r="AT2082" s="1063"/>
      <c r="AU2082" s="1063"/>
      <c r="AV2082" s="1063"/>
    </row>
    <row r="2083" spans="1:48" s="1108" customFormat="1" ht="27.75" customHeight="1">
      <c r="A2083" s="1076"/>
      <c r="B2083" s="1074">
        <f>+'[18]Bldg+Dev'!S2895</f>
        <v>0</v>
      </c>
      <c r="D2083" s="1063"/>
      <c r="F2083" s="1076"/>
      <c r="G2083" s="1063"/>
      <c r="H2083" s="1063"/>
      <c r="I2083" s="1063"/>
      <c r="J2083" s="1063"/>
      <c r="K2083" s="1063"/>
      <c r="L2083" s="1063"/>
      <c r="M2083" s="1063"/>
      <c r="N2083" s="1063"/>
      <c r="O2083" s="1063"/>
      <c r="P2083" s="1063"/>
      <c r="Q2083" s="1063"/>
      <c r="R2083" s="1063"/>
      <c r="S2083" s="1063"/>
      <c r="T2083" s="1063"/>
      <c r="U2083" s="1063"/>
      <c r="V2083" s="1063"/>
      <c r="W2083" s="1063"/>
      <c r="X2083" s="1063"/>
      <c r="Y2083" s="1063"/>
      <c r="Z2083" s="1063"/>
      <c r="AA2083" s="1063"/>
      <c r="AB2083" s="1063"/>
      <c r="AC2083" s="1063"/>
      <c r="AD2083" s="1063"/>
      <c r="AE2083" s="1063"/>
      <c r="AF2083" s="1063"/>
      <c r="AG2083" s="1063"/>
      <c r="AH2083" s="1063"/>
      <c r="AI2083" s="1063"/>
      <c r="AJ2083" s="1063"/>
      <c r="AK2083" s="1063"/>
      <c r="AL2083" s="1063"/>
      <c r="AM2083" s="1063"/>
      <c r="AN2083" s="1063"/>
      <c r="AO2083" s="1063"/>
      <c r="AP2083" s="1063"/>
      <c r="AQ2083" s="1063"/>
      <c r="AR2083" s="1063"/>
      <c r="AS2083" s="1063"/>
      <c r="AT2083" s="1063"/>
      <c r="AU2083" s="1063"/>
      <c r="AV2083" s="1063"/>
    </row>
    <row r="2084" spans="1:48" s="1108" customFormat="1" ht="27.75" customHeight="1">
      <c r="A2084" s="1076"/>
      <c r="B2084" s="1074">
        <f>+'[18]Bldg+Dev'!S2896</f>
        <v>0</v>
      </c>
      <c r="D2084" s="1063"/>
      <c r="F2084" s="1076"/>
      <c r="G2084" s="1063"/>
      <c r="H2084" s="1063"/>
      <c r="I2084" s="1063"/>
      <c r="J2084" s="1063"/>
      <c r="K2084" s="1063"/>
      <c r="L2084" s="1063"/>
      <c r="M2084" s="1063"/>
      <c r="N2084" s="1063"/>
      <c r="O2084" s="1063"/>
      <c r="P2084" s="1063"/>
      <c r="Q2084" s="1063"/>
      <c r="R2084" s="1063"/>
      <c r="S2084" s="1063"/>
      <c r="T2084" s="1063"/>
      <c r="U2084" s="1063"/>
      <c r="V2084" s="1063"/>
      <c r="W2084" s="1063"/>
      <c r="X2084" s="1063"/>
      <c r="Y2084" s="1063"/>
      <c r="Z2084" s="1063"/>
      <c r="AA2084" s="1063"/>
      <c r="AB2084" s="1063"/>
      <c r="AC2084" s="1063"/>
      <c r="AD2084" s="1063"/>
      <c r="AE2084" s="1063"/>
      <c r="AF2084" s="1063"/>
      <c r="AG2084" s="1063"/>
      <c r="AH2084" s="1063"/>
      <c r="AI2084" s="1063"/>
      <c r="AJ2084" s="1063"/>
      <c r="AK2084" s="1063"/>
      <c r="AL2084" s="1063"/>
      <c r="AM2084" s="1063"/>
      <c r="AN2084" s="1063"/>
      <c r="AO2084" s="1063"/>
      <c r="AP2084" s="1063"/>
      <c r="AQ2084" s="1063"/>
      <c r="AR2084" s="1063"/>
      <c r="AS2084" s="1063"/>
      <c r="AT2084" s="1063"/>
      <c r="AU2084" s="1063"/>
      <c r="AV2084" s="1063"/>
    </row>
    <row r="2085" spans="1:48" s="1108" customFormat="1" ht="27.75" customHeight="1">
      <c r="A2085" s="1076"/>
      <c r="B2085" s="1074">
        <f>+'[18]Bldg+Dev'!S2897</f>
        <v>0</v>
      </c>
      <c r="D2085" s="1063"/>
      <c r="F2085" s="1076"/>
      <c r="G2085" s="1063"/>
      <c r="H2085" s="1063"/>
      <c r="I2085" s="1063"/>
      <c r="J2085" s="1063"/>
      <c r="K2085" s="1063"/>
      <c r="L2085" s="1063"/>
      <c r="M2085" s="1063"/>
      <c r="N2085" s="1063"/>
      <c r="O2085" s="1063"/>
      <c r="P2085" s="1063"/>
      <c r="Q2085" s="1063"/>
      <c r="R2085" s="1063"/>
      <c r="S2085" s="1063"/>
      <c r="T2085" s="1063"/>
      <c r="U2085" s="1063"/>
      <c r="V2085" s="1063"/>
      <c r="W2085" s="1063"/>
      <c r="X2085" s="1063"/>
      <c r="Y2085" s="1063"/>
      <c r="Z2085" s="1063"/>
      <c r="AA2085" s="1063"/>
      <c r="AB2085" s="1063"/>
      <c r="AC2085" s="1063"/>
      <c r="AD2085" s="1063"/>
      <c r="AE2085" s="1063"/>
      <c r="AF2085" s="1063"/>
      <c r="AG2085" s="1063"/>
      <c r="AH2085" s="1063"/>
      <c r="AI2085" s="1063"/>
      <c r="AJ2085" s="1063"/>
      <c r="AK2085" s="1063"/>
      <c r="AL2085" s="1063"/>
      <c r="AM2085" s="1063"/>
      <c r="AN2085" s="1063"/>
      <c r="AO2085" s="1063"/>
      <c r="AP2085" s="1063"/>
      <c r="AQ2085" s="1063"/>
      <c r="AR2085" s="1063"/>
      <c r="AS2085" s="1063"/>
      <c r="AT2085" s="1063"/>
      <c r="AU2085" s="1063"/>
      <c r="AV2085" s="1063"/>
    </row>
    <row r="2086" spans="1:48" s="1108" customFormat="1" ht="27.75" customHeight="1">
      <c r="A2086" s="1076"/>
      <c r="B2086" s="1074">
        <f>+'[18]Bldg+Dev'!S2898</f>
        <v>0</v>
      </c>
      <c r="D2086" s="1063"/>
      <c r="F2086" s="1076"/>
      <c r="G2086" s="1063"/>
      <c r="H2086" s="1063"/>
      <c r="I2086" s="1063"/>
      <c r="J2086" s="1063"/>
      <c r="K2086" s="1063"/>
      <c r="L2086" s="1063"/>
      <c r="M2086" s="1063"/>
      <c r="N2086" s="1063"/>
      <c r="O2086" s="1063"/>
      <c r="P2086" s="1063"/>
      <c r="Q2086" s="1063"/>
      <c r="R2086" s="1063"/>
      <c r="S2086" s="1063"/>
      <c r="T2086" s="1063"/>
      <c r="U2086" s="1063"/>
      <c r="V2086" s="1063"/>
      <c r="W2086" s="1063"/>
      <c r="X2086" s="1063"/>
      <c r="Y2086" s="1063"/>
      <c r="Z2086" s="1063"/>
      <c r="AA2086" s="1063"/>
      <c r="AB2086" s="1063"/>
      <c r="AC2086" s="1063"/>
      <c r="AD2086" s="1063"/>
      <c r="AE2086" s="1063"/>
      <c r="AF2086" s="1063"/>
      <c r="AG2086" s="1063"/>
      <c r="AH2086" s="1063"/>
      <c r="AI2086" s="1063"/>
      <c r="AJ2086" s="1063"/>
      <c r="AK2086" s="1063"/>
      <c r="AL2086" s="1063"/>
      <c r="AM2086" s="1063"/>
      <c r="AN2086" s="1063"/>
      <c r="AO2086" s="1063"/>
      <c r="AP2086" s="1063"/>
      <c r="AQ2086" s="1063"/>
      <c r="AR2086" s="1063"/>
      <c r="AS2086" s="1063"/>
      <c r="AT2086" s="1063"/>
      <c r="AU2086" s="1063"/>
      <c r="AV2086" s="1063"/>
    </row>
    <row r="2087" spans="1:48" s="1108" customFormat="1" ht="27.75" customHeight="1">
      <c r="A2087" s="1076"/>
      <c r="B2087" s="1074">
        <f>+'[18]Bldg+Dev'!S2899</f>
        <v>0</v>
      </c>
      <c r="D2087" s="1063"/>
      <c r="F2087" s="1076"/>
      <c r="G2087" s="1063"/>
      <c r="H2087" s="1063"/>
      <c r="I2087" s="1063"/>
      <c r="J2087" s="1063"/>
      <c r="K2087" s="1063"/>
      <c r="L2087" s="1063"/>
      <c r="M2087" s="1063"/>
      <c r="N2087" s="1063"/>
      <c r="O2087" s="1063"/>
      <c r="P2087" s="1063"/>
      <c r="Q2087" s="1063"/>
      <c r="R2087" s="1063"/>
      <c r="S2087" s="1063"/>
      <c r="T2087" s="1063"/>
      <c r="U2087" s="1063"/>
      <c r="V2087" s="1063"/>
      <c r="W2087" s="1063"/>
      <c r="X2087" s="1063"/>
      <c r="Y2087" s="1063"/>
      <c r="Z2087" s="1063"/>
      <c r="AA2087" s="1063"/>
      <c r="AB2087" s="1063"/>
      <c r="AC2087" s="1063"/>
      <c r="AD2087" s="1063"/>
      <c r="AE2087" s="1063"/>
      <c r="AF2087" s="1063"/>
      <c r="AG2087" s="1063"/>
      <c r="AH2087" s="1063"/>
      <c r="AI2087" s="1063"/>
      <c r="AJ2087" s="1063"/>
      <c r="AK2087" s="1063"/>
      <c r="AL2087" s="1063"/>
      <c r="AM2087" s="1063"/>
      <c r="AN2087" s="1063"/>
      <c r="AO2087" s="1063"/>
      <c r="AP2087" s="1063"/>
      <c r="AQ2087" s="1063"/>
      <c r="AR2087" s="1063"/>
      <c r="AS2087" s="1063"/>
      <c r="AT2087" s="1063"/>
      <c r="AU2087" s="1063"/>
      <c r="AV2087" s="1063"/>
    </row>
    <row r="2088" spans="1:48" s="1108" customFormat="1" ht="27.75" customHeight="1">
      <c r="A2088" s="1076"/>
      <c r="B2088" s="1074">
        <f>+'[18]Bldg+Dev'!S2900</f>
        <v>0</v>
      </c>
      <c r="D2088" s="1063"/>
      <c r="F2088" s="1076"/>
      <c r="G2088" s="1063"/>
      <c r="H2088" s="1063"/>
      <c r="I2088" s="1063"/>
      <c r="J2088" s="1063"/>
      <c r="K2088" s="1063"/>
      <c r="L2088" s="1063"/>
      <c r="M2088" s="1063"/>
      <c r="N2088" s="1063"/>
      <c r="O2088" s="1063"/>
      <c r="P2088" s="1063"/>
      <c r="Q2088" s="1063"/>
      <c r="R2088" s="1063"/>
      <c r="S2088" s="1063"/>
      <c r="T2088" s="1063"/>
      <c r="U2088" s="1063"/>
      <c r="V2088" s="1063"/>
      <c r="W2088" s="1063"/>
      <c r="X2088" s="1063"/>
      <c r="Y2088" s="1063"/>
      <c r="Z2088" s="1063"/>
      <c r="AA2088" s="1063"/>
      <c r="AB2088" s="1063"/>
      <c r="AC2088" s="1063"/>
      <c r="AD2088" s="1063"/>
      <c r="AE2088" s="1063"/>
      <c r="AF2088" s="1063"/>
      <c r="AG2088" s="1063"/>
      <c r="AH2088" s="1063"/>
      <c r="AI2088" s="1063"/>
      <c r="AJ2088" s="1063"/>
      <c r="AK2088" s="1063"/>
      <c r="AL2088" s="1063"/>
      <c r="AM2088" s="1063"/>
      <c r="AN2088" s="1063"/>
      <c r="AO2088" s="1063"/>
      <c r="AP2088" s="1063"/>
      <c r="AQ2088" s="1063"/>
      <c r="AR2088" s="1063"/>
      <c r="AS2088" s="1063"/>
      <c r="AT2088" s="1063"/>
      <c r="AU2088" s="1063"/>
      <c r="AV2088" s="1063"/>
    </row>
    <row r="2089" spans="1:48" s="1108" customFormat="1" ht="27.75" customHeight="1">
      <c r="A2089" s="1076"/>
      <c r="B2089" s="1074">
        <f>+'[18]Bldg+Dev'!S2901</f>
        <v>0</v>
      </c>
      <c r="D2089" s="1063"/>
      <c r="F2089" s="1076"/>
      <c r="G2089" s="1063"/>
      <c r="H2089" s="1063"/>
      <c r="I2089" s="1063"/>
      <c r="J2089" s="1063"/>
      <c r="K2089" s="1063"/>
      <c r="L2089" s="1063"/>
      <c r="M2089" s="1063"/>
      <c r="N2089" s="1063"/>
      <c r="O2089" s="1063"/>
      <c r="P2089" s="1063"/>
      <c r="Q2089" s="1063"/>
      <c r="R2089" s="1063"/>
      <c r="S2089" s="1063"/>
      <c r="T2089" s="1063"/>
      <c r="U2089" s="1063"/>
      <c r="V2089" s="1063"/>
      <c r="W2089" s="1063"/>
      <c r="X2089" s="1063"/>
      <c r="Y2089" s="1063"/>
      <c r="Z2089" s="1063"/>
      <c r="AA2089" s="1063"/>
      <c r="AB2089" s="1063"/>
      <c r="AC2089" s="1063"/>
      <c r="AD2089" s="1063"/>
      <c r="AE2089" s="1063"/>
      <c r="AF2089" s="1063"/>
      <c r="AG2089" s="1063"/>
      <c r="AH2089" s="1063"/>
      <c r="AI2089" s="1063"/>
      <c r="AJ2089" s="1063"/>
      <c r="AK2089" s="1063"/>
      <c r="AL2089" s="1063"/>
      <c r="AM2089" s="1063"/>
      <c r="AN2089" s="1063"/>
      <c r="AO2089" s="1063"/>
      <c r="AP2089" s="1063"/>
      <c r="AQ2089" s="1063"/>
      <c r="AR2089" s="1063"/>
      <c r="AS2089" s="1063"/>
      <c r="AT2089" s="1063"/>
      <c r="AU2089" s="1063"/>
      <c r="AV2089" s="1063"/>
    </row>
    <row r="2090" spans="1:48" s="1108" customFormat="1" ht="27.75" customHeight="1">
      <c r="A2090" s="1076"/>
      <c r="B2090" s="1074">
        <f>+'[18]Bldg+Dev'!S2902</f>
        <v>0</v>
      </c>
      <c r="D2090" s="1063"/>
      <c r="F2090" s="1076"/>
      <c r="G2090" s="1063"/>
      <c r="H2090" s="1063"/>
      <c r="I2090" s="1063"/>
      <c r="J2090" s="1063"/>
      <c r="K2090" s="1063"/>
      <c r="L2090" s="1063"/>
      <c r="M2090" s="1063"/>
      <c r="N2090" s="1063"/>
      <c r="O2090" s="1063"/>
      <c r="P2090" s="1063"/>
      <c r="Q2090" s="1063"/>
      <c r="R2090" s="1063"/>
      <c r="S2090" s="1063"/>
      <c r="T2090" s="1063"/>
      <c r="U2090" s="1063"/>
      <c r="V2090" s="1063"/>
      <c r="W2090" s="1063"/>
      <c r="X2090" s="1063"/>
      <c r="Y2090" s="1063"/>
      <c r="Z2090" s="1063"/>
      <c r="AA2090" s="1063"/>
      <c r="AB2090" s="1063"/>
      <c r="AC2090" s="1063"/>
      <c r="AD2090" s="1063"/>
      <c r="AE2090" s="1063"/>
      <c r="AF2090" s="1063"/>
      <c r="AG2090" s="1063"/>
      <c r="AH2090" s="1063"/>
      <c r="AI2090" s="1063"/>
      <c r="AJ2090" s="1063"/>
      <c r="AK2090" s="1063"/>
      <c r="AL2090" s="1063"/>
      <c r="AM2090" s="1063"/>
      <c r="AN2090" s="1063"/>
      <c r="AO2090" s="1063"/>
      <c r="AP2090" s="1063"/>
      <c r="AQ2090" s="1063"/>
      <c r="AR2090" s="1063"/>
      <c r="AS2090" s="1063"/>
      <c r="AT2090" s="1063"/>
      <c r="AU2090" s="1063"/>
      <c r="AV2090" s="1063"/>
    </row>
    <row r="2091" spans="1:48" s="1108" customFormat="1" ht="27.75" customHeight="1">
      <c r="A2091" s="1076"/>
      <c r="B2091" s="1074">
        <f>+'[18]Bldg+Dev'!S2903</f>
        <v>0</v>
      </c>
      <c r="D2091" s="1063"/>
      <c r="F2091" s="1076"/>
      <c r="G2091" s="1063"/>
      <c r="H2091" s="1063"/>
      <c r="I2091" s="1063"/>
      <c r="J2091" s="1063"/>
      <c r="K2091" s="1063"/>
      <c r="L2091" s="1063"/>
      <c r="M2091" s="1063"/>
      <c r="N2091" s="1063"/>
      <c r="O2091" s="1063"/>
      <c r="P2091" s="1063"/>
      <c r="Q2091" s="1063"/>
      <c r="R2091" s="1063"/>
      <c r="S2091" s="1063"/>
      <c r="T2091" s="1063"/>
      <c r="U2091" s="1063"/>
      <c r="V2091" s="1063"/>
      <c r="W2091" s="1063"/>
      <c r="X2091" s="1063"/>
      <c r="Y2091" s="1063"/>
      <c r="Z2091" s="1063"/>
      <c r="AA2091" s="1063"/>
      <c r="AB2091" s="1063"/>
      <c r="AC2091" s="1063"/>
      <c r="AD2091" s="1063"/>
      <c r="AE2091" s="1063"/>
      <c r="AF2091" s="1063"/>
      <c r="AG2091" s="1063"/>
      <c r="AH2091" s="1063"/>
      <c r="AI2091" s="1063"/>
      <c r="AJ2091" s="1063"/>
      <c r="AK2091" s="1063"/>
      <c r="AL2091" s="1063"/>
      <c r="AM2091" s="1063"/>
      <c r="AN2091" s="1063"/>
      <c r="AO2091" s="1063"/>
      <c r="AP2091" s="1063"/>
      <c r="AQ2091" s="1063"/>
      <c r="AR2091" s="1063"/>
      <c r="AS2091" s="1063"/>
      <c r="AT2091" s="1063"/>
      <c r="AU2091" s="1063"/>
      <c r="AV2091" s="1063"/>
    </row>
    <row r="2092" spans="1:48" s="1108" customFormat="1" ht="27.75" customHeight="1">
      <c r="A2092" s="1076"/>
      <c r="B2092" s="1074">
        <f>+'[18]Bldg+Dev'!S2904</f>
        <v>0</v>
      </c>
      <c r="D2092" s="1063"/>
      <c r="F2092" s="1076"/>
      <c r="G2092" s="1063"/>
      <c r="H2092" s="1063"/>
      <c r="I2092" s="1063"/>
      <c r="J2092" s="1063"/>
      <c r="K2092" s="1063"/>
      <c r="L2092" s="1063"/>
      <c r="M2092" s="1063"/>
      <c r="N2092" s="1063"/>
      <c r="O2092" s="1063"/>
      <c r="P2092" s="1063"/>
      <c r="Q2092" s="1063"/>
      <c r="R2092" s="1063"/>
      <c r="S2092" s="1063"/>
      <c r="T2092" s="1063"/>
      <c r="U2092" s="1063"/>
      <c r="V2092" s="1063"/>
      <c r="W2092" s="1063"/>
      <c r="X2092" s="1063"/>
      <c r="Y2092" s="1063"/>
      <c r="Z2092" s="1063"/>
      <c r="AA2092" s="1063"/>
      <c r="AB2092" s="1063"/>
      <c r="AC2092" s="1063"/>
      <c r="AD2092" s="1063"/>
      <c r="AE2092" s="1063"/>
      <c r="AF2092" s="1063"/>
      <c r="AG2092" s="1063"/>
      <c r="AH2092" s="1063"/>
      <c r="AI2092" s="1063"/>
      <c r="AJ2092" s="1063"/>
      <c r="AK2092" s="1063"/>
      <c r="AL2092" s="1063"/>
      <c r="AM2092" s="1063"/>
      <c r="AN2092" s="1063"/>
      <c r="AO2092" s="1063"/>
      <c r="AP2092" s="1063"/>
      <c r="AQ2092" s="1063"/>
      <c r="AR2092" s="1063"/>
      <c r="AS2092" s="1063"/>
      <c r="AT2092" s="1063"/>
      <c r="AU2092" s="1063"/>
      <c r="AV2092" s="1063"/>
    </row>
    <row r="2093" spans="1:48" s="1108" customFormat="1" ht="27.75" customHeight="1">
      <c r="A2093" s="1076"/>
      <c r="B2093" s="1074">
        <f>+'[18]Bldg+Dev'!S2905</f>
        <v>0</v>
      </c>
      <c r="D2093" s="1063"/>
      <c r="F2093" s="1076"/>
      <c r="G2093" s="1063"/>
      <c r="H2093" s="1063"/>
      <c r="I2093" s="1063"/>
      <c r="J2093" s="1063"/>
      <c r="K2093" s="1063"/>
      <c r="L2093" s="1063"/>
      <c r="M2093" s="1063"/>
      <c r="N2093" s="1063"/>
      <c r="O2093" s="1063"/>
      <c r="P2093" s="1063"/>
      <c r="Q2093" s="1063"/>
      <c r="R2093" s="1063"/>
      <c r="S2093" s="1063"/>
      <c r="T2093" s="1063"/>
      <c r="U2093" s="1063"/>
      <c r="V2093" s="1063"/>
      <c r="W2093" s="1063"/>
      <c r="X2093" s="1063"/>
      <c r="Y2093" s="1063"/>
      <c r="Z2093" s="1063"/>
      <c r="AA2093" s="1063"/>
      <c r="AB2093" s="1063"/>
      <c r="AC2093" s="1063"/>
      <c r="AD2093" s="1063"/>
      <c r="AE2093" s="1063"/>
      <c r="AF2093" s="1063"/>
      <c r="AG2093" s="1063"/>
      <c r="AH2093" s="1063"/>
      <c r="AI2093" s="1063"/>
      <c r="AJ2093" s="1063"/>
      <c r="AK2093" s="1063"/>
      <c r="AL2093" s="1063"/>
      <c r="AM2093" s="1063"/>
      <c r="AN2093" s="1063"/>
      <c r="AO2093" s="1063"/>
      <c r="AP2093" s="1063"/>
      <c r="AQ2093" s="1063"/>
      <c r="AR2093" s="1063"/>
      <c r="AS2093" s="1063"/>
      <c r="AT2093" s="1063"/>
      <c r="AU2093" s="1063"/>
      <c r="AV2093" s="1063"/>
    </row>
    <row r="2094" spans="1:48" s="1108" customFormat="1" ht="27.75" customHeight="1">
      <c r="A2094" s="1076"/>
      <c r="B2094" s="1074">
        <f>+'[18]Bldg+Dev'!S2906</f>
        <v>0</v>
      </c>
      <c r="D2094" s="1063"/>
      <c r="F2094" s="1076"/>
      <c r="G2094" s="1063"/>
      <c r="H2094" s="1063"/>
      <c r="I2094" s="1063"/>
      <c r="J2094" s="1063"/>
      <c r="K2094" s="1063"/>
      <c r="L2094" s="1063"/>
      <c r="M2094" s="1063"/>
      <c r="N2094" s="1063"/>
      <c r="O2094" s="1063"/>
      <c r="P2094" s="1063"/>
      <c r="Q2094" s="1063"/>
      <c r="R2094" s="1063"/>
      <c r="S2094" s="1063"/>
      <c r="T2094" s="1063"/>
      <c r="U2094" s="1063"/>
      <c r="V2094" s="1063"/>
      <c r="W2094" s="1063"/>
      <c r="X2094" s="1063"/>
      <c r="Y2094" s="1063"/>
      <c r="Z2094" s="1063"/>
      <c r="AA2094" s="1063"/>
      <c r="AB2094" s="1063"/>
      <c r="AC2094" s="1063"/>
      <c r="AD2094" s="1063"/>
      <c r="AE2094" s="1063"/>
      <c r="AF2094" s="1063"/>
      <c r="AG2094" s="1063"/>
      <c r="AH2094" s="1063"/>
      <c r="AI2094" s="1063"/>
      <c r="AJ2094" s="1063"/>
      <c r="AK2094" s="1063"/>
      <c r="AL2094" s="1063"/>
      <c r="AM2094" s="1063"/>
      <c r="AN2094" s="1063"/>
      <c r="AO2094" s="1063"/>
      <c r="AP2094" s="1063"/>
      <c r="AQ2094" s="1063"/>
      <c r="AR2094" s="1063"/>
      <c r="AS2094" s="1063"/>
      <c r="AT2094" s="1063"/>
      <c r="AU2094" s="1063"/>
      <c r="AV2094" s="1063"/>
    </row>
    <row r="2095" spans="1:48" s="1108" customFormat="1" ht="27.75" customHeight="1">
      <c r="A2095" s="1076"/>
      <c r="B2095" s="1074">
        <f>+'[18]Bldg+Dev'!S2907</f>
        <v>0</v>
      </c>
      <c r="D2095" s="1063"/>
      <c r="F2095" s="1076"/>
      <c r="G2095" s="1063"/>
      <c r="H2095" s="1063"/>
      <c r="I2095" s="1063"/>
      <c r="J2095" s="1063"/>
      <c r="K2095" s="1063"/>
      <c r="L2095" s="1063"/>
      <c r="M2095" s="1063"/>
      <c r="N2095" s="1063"/>
      <c r="O2095" s="1063"/>
      <c r="P2095" s="1063"/>
      <c r="Q2095" s="1063"/>
      <c r="R2095" s="1063"/>
      <c r="S2095" s="1063"/>
      <c r="T2095" s="1063"/>
      <c r="U2095" s="1063"/>
      <c r="V2095" s="1063"/>
      <c r="W2095" s="1063"/>
      <c r="X2095" s="1063"/>
      <c r="Y2095" s="1063"/>
      <c r="Z2095" s="1063"/>
      <c r="AA2095" s="1063"/>
      <c r="AB2095" s="1063"/>
      <c r="AC2095" s="1063"/>
      <c r="AD2095" s="1063"/>
      <c r="AE2095" s="1063"/>
      <c r="AF2095" s="1063"/>
      <c r="AG2095" s="1063"/>
      <c r="AH2095" s="1063"/>
      <c r="AI2095" s="1063"/>
      <c r="AJ2095" s="1063"/>
      <c r="AK2095" s="1063"/>
      <c r="AL2095" s="1063"/>
      <c r="AM2095" s="1063"/>
      <c r="AN2095" s="1063"/>
      <c r="AO2095" s="1063"/>
      <c r="AP2095" s="1063"/>
      <c r="AQ2095" s="1063"/>
      <c r="AR2095" s="1063"/>
      <c r="AS2095" s="1063"/>
      <c r="AT2095" s="1063"/>
      <c r="AU2095" s="1063"/>
      <c r="AV2095" s="1063"/>
    </row>
    <row r="2096" spans="1:48" s="1108" customFormat="1" ht="27.75" customHeight="1">
      <c r="A2096" s="1076"/>
      <c r="B2096" s="1074">
        <f>+'[18]Bldg+Dev'!S2908</f>
        <v>0</v>
      </c>
      <c r="D2096" s="1063"/>
      <c r="F2096" s="1076"/>
      <c r="G2096" s="1063"/>
      <c r="H2096" s="1063"/>
      <c r="I2096" s="1063"/>
      <c r="J2096" s="1063"/>
      <c r="K2096" s="1063"/>
      <c r="L2096" s="1063"/>
      <c r="M2096" s="1063"/>
      <c r="N2096" s="1063"/>
      <c r="O2096" s="1063"/>
      <c r="P2096" s="1063"/>
      <c r="Q2096" s="1063"/>
      <c r="R2096" s="1063"/>
      <c r="S2096" s="1063"/>
      <c r="T2096" s="1063"/>
      <c r="U2096" s="1063"/>
      <c r="V2096" s="1063"/>
      <c r="W2096" s="1063"/>
      <c r="X2096" s="1063"/>
      <c r="Y2096" s="1063"/>
      <c r="Z2096" s="1063"/>
      <c r="AA2096" s="1063"/>
      <c r="AB2096" s="1063"/>
      <c r="AC2096" s="1063"/>
      <c r="AD2096" s="1063"/>
      <c r="AE2096" s="1063"/>
      <c r="AF2096" s="1063"/>
      <c r="AG2096" s="1063"/>
      <c r="AH2096" s="1063"/>
      <c r="AI2096" s="1063"/>
      <c r="AJ2096" s="1063"/>
      <c r="AK2096" s="1063"/>
      <c r="AL2096" s="1063"/>
      <c r="AM2096" s="1063"/>
      <c r="AN2096" s="1063"/>
      <c r="AO2096" s="1063"/>
      <c r="AP2096" s="1063"/>
      <c r="AQ2096" s="1063"/>
      <c r="AR2096" s="1063"/>
      <c r="AS2096" s="1063"/>
      <c r="AT2096" s="1063"/>
      <c r="AU2096" s="1063"/>
      <c r="AV2096" s="1063"/>
    </row>
    <row r="2097" spans="1:48" s="1108" customFormat="1" ht="27.75" customHeight="1">
      <c r="A2097" s="1076"/>
      <c r="B2097" s="1074">
        <f>+'[18]Bldg+Dev'!S2909</f>
        <v>0</v>
      </c>
      <c r="D2097" s="1063"/>
      <c r="F2097" s="1076"/>
      <c r="G2097" s="1063"/>
      <c r="H2097" s="1063"/>
      <c r="I2097" s="1063"/>
      <c r="J2097" s="1063"/>
      <c r="K2097" s="1063"/>
      <c r="L2097" s="1063"/>
      <c r="M2097" s="1063"/>
      <c r="N2097" s="1063"/>
      <c r="O2097" s="1063"/>
      <c r="P2097" s="1063"/>
      <c r="Q2097" s="1063"/>
      <c r="R2097" s="1063"/>
      <c r="S2097" s="1063"/>
      <c r="T2097" s="1063"/>
      <c r="U2097" s="1063"/>
      <c r="V2097" s="1063"/>
      <c r="W2097" s="1063"/>
      <c r="X2097" s="1063"/>
      <c r="Y2097" s="1063"/>
      <c r="Z2097" s="1063"/>
      <c r="AA2097" s="1063"/>
      <c r="AB2097" s="1063"/>
      <c r="AC2097" s="1063"/>
      <c r="AD2097" s="1063"/>
      <c r="AE2097" s="1063"/>
      <c r="AF2097" s="1063"/>
      <c r="AG2097" s="1063"/>
      <c r="AH2097" s="1063"/>
      <c r="AI2097" s="1063"/>
      <c r="AJ2097" s="1063"/>
      <c r="AK2097" s="1063"/>
      <c r="AL2097" s="1063"/>
      <c r="AM2097" s="1063"/>
      <c r="AN2097" s="1063"/>
      <c r="AO2097" s="1063"/>
      <c r="AP2097" s="1063"/>
      <c r="AQ2097" s="1063"/>
      <c r="AR2097" s="1063"/>
      <c r="AS2097" s="1063"/>
      <c r="AT2097" s="1063"/>
      <c r="AU2097" s="1063"/>
      <c r="AV2097" s="1063"/>
    </row>
    <row r="2098" spans="1:48" s="1108" customFormat="1" ht="27.75" customHeight="1">
      <c r="A2098" s="1076"/>
      <c r="B2098" s="1074">
        <f>+'[18]Bldg+Dev'!S2910</f>
        <v>0</v>
      </c>
      <c r="D2098" s="1063"/>
      <c r="F2098" s="1076"/>
      <c r="G2098" s="1063"/>
      <c r="H2098" s="1063"/>
      <c r="I2098" s="1063"/>
      <c r="J2098" s="1063"/>
      <c r="K2098" s="1063"/>
      <c r="L2098" s="1063"/>
      <c r="M2098" s="1063"/>
      <c r="N2098" s="1063"/>
      <c r="O2098" s="1063"/>
      <c r="P2098" s="1063"/>
      <c r="Q2098" s="1063"/>
      <c r="R2098" s="1063"/>
      <c r="S2098" s="1063"/>
      <c r="T2098" s="1063"/>
      <c r="U2098" s="1063"/>
      <c r="V2098" s="1063"/>
      <c r="W2098" s="1063"/>
      <c r="X2098" s="1063"/>
      <c r="Y2098" s="1063"/>
      <c r="Z2098" s="1063"/>
      <c r="AA2098" s="1063"/>
      <c r="AB2098" s="1063"/>
      <c r="AC2098" s="1063"/>
      <c r="AD2098" s="1063"/>
      <c r="AE2098" s="1063"/>
      <c r="AF2098" s="1063"/>
      <c r="AG2098" s="1063"/>
      <c r="AH2098" s="1063"/>
      <c r="AI2098" s="1063"/>
      <c r="AJ2098" s="1063"/>
      <c r="AK2098" s="1063"/>
      <c r="AL2098" s="1063"/>
      <c r="AM2098" s="1063"/>
      <c r="AN2098" s="1063"/>
      <c r="AO2098" s="1063"/>
      <c r="AP2098" s="1063"/>
      <c r="AQ2098" s="1063"/>
      <c r="AR2098" s="1063"/>
      <c r="AS2098" s="1063"/>
      <c r="AT2098" s="1063"/>
      <c r="AU2098" s="1063"/>
      <c r="AV2098" s="1063"/>
    </row>
    <row r="2099" spans="1:48" s="1108" customFormat="1" ht="27.75" customHeight="1">
      <c r="A2099" s="1076"/>
      <c r="B2099" s="1074">
        <f>+'[18]Bldg+Dev'!S2911</f>
        <v>0</v>
      </c>
      <c r="D2099" s="1063"/>
      <c r="F2099" s="1076"/>
      <c r="G2099" s="1063"/>
      <c r="H2099" s="1063"/>
      <c r="I2099" s="1063"/>
      <c r="J2099" s="1063"/>
      <c r="K2099" s="1063"/>
      <c r="L2099" s="1063"/>
      <c r="M2099" s="1063"/>
      <c r="N2099" s="1063"/>
      <c r="O2099" s="1063"/>
      <c r="P2099" s="1063"/>
      <c r="Q2099" s="1063"/>
      <c r="R2099" s="1063"/>
      <c r="S2099" s="1063"/>
      <c r="T2099" s="1063"/>
      <c r="U2099" s="1063"/>
      <c r="V2099" s="1063"/>
      <c r="W2099" s="1063"/>
      <c r="X2099" s="1063"/>
      <c r="Y2099" s="1063"/>
      <c r="Z2099" s="1063"/>
      <c r="AA2099" s="1063"/>
      <c r="AB2099" s="1063"/>
      <c r="AC2099" s="1063"/>
      <c r="AD2099" s="1063"/>
      <c r="AE2099" s="1063"/>
      <c r="AF2099" s="1063"/>
      <c r="AG2099" s="1063"/>
      <c r="AH2099" s="1063"/>
      <c r="AI2099" s="1063"/>
      <c r="AJ2099" s="1063"/>
      <c r="AK2099" s="1063"/>
      <c r="AL2099" s="1063"/>
      <c r="AM2099" s="1063"/>
      <c r="AN2099" s="1063"/>
      <c r="AO2099" s="1063"/>
      <c r="AP2099" s="1063"/>
      <c r="AQ2099" s="1063"/>
      <c r="AR2099" s="1063"/>
      <c r="AS2099" s="1063"/>
      <c r="AT2099" s="1063"/>
      <c r="AU2099" s="1063"/>
      <c r="AV2099" s="1063"/>
    </row>
    <row r="2100" spans="1:48" s="1108" customFormat="1" ht="27.75" customHeight="1">
      <c r="A2100" s="1076"/>
      <c r="B2100" s="1074">
        <f>+'[18]Bldg+Dev'!S2912</f>
        <v>0</v>
      </c>
      <c r="D2100" s="1063"/>
      <c r="F2100" s="1076"/>
      <c r="G2100" s="1063"/>
      <c r="H2100" s="1063"/>
      <c r="I2100" s="1063"/>
      <c r="J2100" s="1063"/>
      <c r="K2100" s="1063"/>
      <c r="L2100" s="1063"/>
      <c r="M2100" s="1063"/>
      <c r="N2100" s="1063"/>
      <c r="O2100" s="1063"/>
      <c r="P2100" s="1063"/>
      <c r="Q2100" s="1063"/>
      <c r="R2100" s="1063"/>
      <c r="S2100" s="1063"/>
      <c r="T2100" s="1063"/>
      <c r="U2100" s="1063"/>
      <c r="V2100" s="1063"/>
      <c r="W2100" s="1063"/>
      <c r="X2100" s="1063"/>
      <c r="Y2100" s="1063"/>
      <c r="Z2100" s="1063"/>
      <c r="AA2100" s="1063"/>
      <c r="AB2100" s="1063"/>
      <c r="AC2100" s="1063"/>
      <c r="AD2100" s="1063"/>
      <c r="AE2100" s="1063"/>
      <c r="AF2100" s="1063"/>
      <c r="AG2100" s="1063"/>
      <c r="AH2100" s="1063"/>
      <c r="AI2100" s="1063"/>
      <c r="AJ2100" s="1063"/>
      <c r="AK2100" s="1063"/>
      <c r="AL2100" s="1063"/>
      <c r="AM2100" s="1063"/>
      <c r="AN2100" s="1063"/>
      <c r="AO2100" s="1063"/>
      <c r="AP2100" s="1063"/>
      <c r="AQ2100" s="1063"/>
      <c r="AR2100" s="1063"/>
      <c r="AS2100" s="1063"/>
      <c r="AT2100" s="1063"/>
      <c r="AU2100" s="1063"/>
      <c r="AV2100" s="1063"/>
    </row>
    <row r="2101" spans="1:48" s="1108" customFormat="1" ht="27.75" customHeight="1">
      <c r="A2101" s="1076"/>
      <c r="B2101" s="1074">
        <f>+'[18]Bldg+Dev'!S2913</f>
        <v>0</v>
      </c>
      <c r="D2101" s="1063"/>
      <c r="F2101" s="1076"/>
      <c r="G2101" s="1063"/>
      <c r="H2101" s="1063"/>
      <c r="I2101" s="1063"/>
      <c r="J2101" s="1063"/>
      <c r="K2101" s="1063"/>
      <c r="L2101" s="1063"/>
      <c r="M2101" s="1063"/>
      <c r="N2101" s="1063"/>
      <c r="O2101" s="1063"/>
      <c r="P2101" s="1063"/>
      <c r="Q2101" s="1063"/>
      <c r="R2101" s="1063"/>
      <c r="S2101" s="1063"/>
      <c r="T2101" s="1063"/>
      <c r="U2101" s="1063"/>
      <c r="V2101" s="1063"/>
      <c r="W2101" s="1063"/>
      <c r="X2101" s="1063"/>
      <c r="Y2101" s="1063"/>
      <c r="Z2101" s="1063"/>
      <c r="AA2101" s="1063"/>
      <c r="AB2101" s="1063"/>
      <c r="AC2101" s="1063"/>
      <c r="AD2101" s="1063"/>
      <c r="AE2101" s="1063"/>
      <c r="AF2101" s="1063"/>
      <c r="AG2101" s="1063"/>
      <c r="AH2101" s="1063"/>
      <c r="AI2101" s="1063"/>
      <c r="AJ2101" s="1063"/>
      <c r="AK2101" s="1063"/>
      <c r="AL2101" s="1063"/>
      <c r="AM2101" s="1063"/>
      <c r="AN2101" s="1063"/>
      <c r="AO2101" s="1063"/>
      <c r="AP2101" s="1063"/>
      <c r="AQ2101" s="1063"/>
      <c r="AR2101" s="1063"/>
      <c r="AS2101" s="1063"/>
      <c r="AT2101" s="1063"/>
      <c r="AU2101" s="1063"/>
      <c r="AV2101" s="1063"/>
    </row>
    <row r="2102" spans="1:48" s="1108" customFormat="1" ht="27.75" customHeight="1">
      <c r="A2102" s="1076"/>
      <c r="B2102" s="1074">
        <f>+'[18]Bldg+Dev'!S2914</f>
        <v>0</v>
      </c>
      <c r="D2102" s="1063"/>
      <c r="F2102" s="1076"/>
      <c r="G2102" s="1063"/>
      <c r="H2102" s="1063"/>
      <c r="I2102" s="1063"/>
      <c r="J2102" s="1063"/>
      <c r="K2102" s="1063"/>
      <c r="L2102" s="1063"/>
      <c r="M2102" s="1063"/>
      <c r="N2102" s="1063"/>
      <c r="O2102" s="1063"/>
      <c r="P2102" s="1063"/>
      <c r="Q2102" s="1063"/>
      <c r="R2102" s="1063"/>
      <c r="S2102" s="1063"/>
      <c r="T2102" s="1063"/>
      <c r="U2102" s="1063"/>
      <c r="V2102" s="1063"/>
      <c r="W2102" s="1063"/>
      <c r="X2102" s="1063"/>
      <c r="Y2102" s="1063"/>
      <c r="Z2102" s="1063"/>
      <c r="AA2102" s="1063"/>
      <c r="AB2102" s="1063"/>
      <c r="AC2102" s="1063"/>
      <c r="AD2102" s="1063"/>
      <c r="AE2102" s="1063"/>
      <c r="AF2102" s="1063"/>
      <c r="AG2102" s="1063"/>
      <c r="AH2102" s="1063"/>
      <c r="AI2102" s="1063"/>
      <c r="AJ2102" s="1063"/>
      <c r="AK2102" s="1063"/>
      <c r="AL2102" s="1063"/>
      <c r="AM2102" s="1063"/>
      <c r="AN2102" s="1063"/>
      <c r="AO2102" s="1063"/>
      <c r="AP2102" s="1063"/>
      <c r="AQ2102" s="1063"/>
      <c r="AR2102" s="1063"/>
      <c r="AS2102" s="1063"/>
      <c r="AT2102" s="1063"/>
      <c r="AU2102" s="1063"/>
      <c r="AV2102" s="1063"/>
    </row>
    <row r="2103" spans="1:48" s="1108" customFormat="1" ht="27.75" customHeight="1">
      <c r="A2103" s="1076"/>
      <c r="B2103" s="1074">
        <f>+'[18]Bldg+Dev'!S2915</f>
        <v>0</v>
      </c>
      <c r="D2103" s="1063"/>
      <c r="F2103" s="1076"/>
      <c r="G2103" s="1063"/>
      <c r="H2103" s="1063"/>
      <c r="I2103" s="1063"/>
      <c r="J2103" s="1063"/>
      <c r="K2103" s="1063"/>
      <c r="L2103" s="1063"/>
      <c r="M2103" s="1063"/>
      <c r="N2103" s="1063"/>
      <c r="O2103" s="1063"/>
      <c r="P2103" s="1063"/>
      <c r="Q2103" s="1063"/>
      <c r="R2103" s="1063"/>
      <c r="S2103" s="1063"/>
      <c r="T2103" s="1063"/>
      <c r="U2103" s="1063"/>
      <c r="V2103" s="1063"/>
      <c r="W2103" s="1063"/>
      <c r="X2103" s="1063"/>
      <c r="Y2103" s="1063"/>
      <c r="Z2103" s="1063"/>
      <c r="AA2103" s="1063"/>
      <c r="AB2103" s="1063"/>
      <c r="AC2103" s="1063"/>
      <c r="AD2103" s="1063"/>
      <c r="AE2103" s="1063"/>
      <c r="AF2103" s="1063"/>
      <c r="AG2103" s="1063"/>
      <c r="AH2103" s="1063"/>
      <c r="AI2103" s="1063"/>
      <c r="AJ2103" s="1063"/>
      <c r="AK2103" s="1063"/>
      <c r="AL2103" s="1063"/>
      <c r="AM2103" s="1063"/>
      <c r="AN2103" s="1063"/>
      <c r="AO2103" s="1063"/>
      <c r="AP2103" s="1063"/>
      <c r="AQ2103" s="1063"/>
      <c r="AR2103" s="1063"/>
      <c r="AS2103" s="1063"/>
      <c r="AT2103" s="1063"/>
      <c r="AU2103" s="1063"/>
      <c r="AV2103" s="1063"/>
    </row>
    <row r="2104" spans="1:48" s="1108" customFormat="1" ht="27.75" customHeight="1">
      <c r="A2104" s="1076"/>
      <c r="B2104" s="1074">
        <f>+'[18]Bldg+Dev'!S2916</f>
        <v>0</v>
      </c>
      <c r="D2104" s="1063"/>
      <c r="F2104" s="1076"/>
      <c r="G2104" s="1063"/>
      <c r="H2104" s="1063"/>
      <c r="I2104" s="1063"/>
      <c r="J2104" s="1063"/>
      <c r="K2104" s="1063"/>
      <c r="L2104" s="1063"/>
      <c r="M2104" s="1063"/>
      <c r="N2104" s="1063"/>
      <c r="O2104" s="1063"/>
      <c r="P2104" s="1063"/>
      <c r="Q2104" s="1063"/>
      <c r="R2104" s="1063"/>
      <c r="S2104" s="1063"/>
      <c r="T2104" s="1063"/>
      <c r="U2104" s="1063"/>
      <c r="V2104" s="1063"/>
      <c r="W2104" s="1063"/>
      <c r="X2104" s="1063"/>
      <c r="Y2104" s="1063"/>
      <c r="Z2104" s="1063"/>
      <c r="AA2104" s="1063"/>
      <c r="AB2104" s="1063"/>
      <c r="AC2104" s="1063"/>
      <c r="AD2104" s="1063"/>
      <c r="AE2104" s="1063"/>
      <c r="AF2104" s="1063"/>
      <c r="AG2104" s="1063"/>
      <c r="AH2104" s="1063"/>
      <c r="AI2104" s="1063"/>
      <c r="AJ2104" s="1063"/>
      <c r="AK2104" s="1063"/>
      <c r="AL2104" s="1063"/>
      <c r="AM2104" s="1063"/>
      <c r="AN2104" s="1063"/>
      <c r="AO2104" s="1063"/>
      <c r="AP2104" s="1063"/>
      <c r="AQ2104" s="1063"/>
      <c r="AR2104" s="1063"/>
      <c r="AS2104" s="1063"/>
      <c r="AT2104" s="1063"/>
      <c r="AU2104" s="1063"/>
      <c r="AV2104" s="1063"/>
    </row>
    <row r="2105" spans="1:48" s="1108" customFormat="1" ht="27.75" customHeight="1">
      <c r="A2105" s="1076"/>
      <c r="B2105" s="1074">
        <f>+'[18]Bldg+Dev'!S2917</f>
        <v>0</v>
      </c>
      <c r="D2105" s="1063"/>
      <c r="F2105" s="1076"/>
      <c r="G2105" s="1063"/>
      <c r="H2105" s="1063"/>
      <c r="I2105" s="1063"/>
      <c r="J2105" s="1063"/>
      <c r="K2105" s="1063"/>
      <c r="L2105" s="1063"/>
      <c r="M2105" s="1063"/>
      <c r="N2105" s="1063"/>
      <c r="O2105" s="1063"/>
      <c r="P2105" s="1063"/>
      <c r="Q2105" s="1063"/>
      <c r="R2105" s="1063"/>
      <c r="S2105" s="1063"/>
      <c r="T2105" s="1063"/>
      <c r="U2105" s="1063"/>
      <c r="V2105" s="1063"/>
      <c r="W2105" s="1063"/>
      <c r="X2105" s="1063"/>
      <c r="Y2105" s="1063"/>
      <c r="Z2105" s="1063"/>
      <c r="AA2105" s="1063"/>
      <c r="AB2105" s="1063"/>
      <c r="AC2105" s="1063"/>
      <c r="AD2105" s="1063"/>
      <c r="AE2105" s="1063"/>
      <c r="AF2105" s="1063"/>
      <c r="AG2105" s="1063"/>
      <c r="AH2105" s="1063"/>
      <c r="AI2105" s="1063"/>
      <c r="AJ2105" s="1063"/>
      <c r="AK2105" s="1063"/>
      <c r="AL2105" s="1063"/>
      <c r="AM2105" s="1063"/>
      <c r="AN2105" s="1063"/>
      <c r="AO2105" s="1063"/>
      <c r="AP2105" s="1063"/>
      <c r="AQ2105" s="1063"/>
      <c r="AR2105" s="1063"/>
      <c r="AS2105" s="1063"/>
      <c r="AT2105" s="1063"/>
      <c r="AU2105" s="1063"/>
      <c r="AV2105" s="1063"/>
    </row>
    <row r="2106" spans="1:48" s="1108" customFormat="1" ht="27.75" customHeight="1">
      <c r="A2106" s="1076"/>
      <c r="B2106" s="1074">
        <f>+'[18]Bldg+Dev'!S2918</f>
        <v>0</v>
      </c>
      <c r="D2106" s="1063"/>
      <c r="F2106" s="1076"/>
      <c r="G2106" s="1063"/>
      <c r="H2106" s="1063"/>
      <c r="I2106" s="1063"/>
      <c r="J2106" s="1063"/>
      <c r="K2106" s="1063"/>
      <c r="L2106" s="1063"/>
      <c r="M2106" s="1063"/>
      <c r="N2106" s="1063"/>
      <c r="O2106" s="1063"/>
      <c r="P2106" s="1063"/>
      <c r="Q2106" s="1063"/>
      <c r="R2106" s="1063"/>
      <c r="S2106" s="1063"/>
      <c r="T2106" s="1063"/>
      <c r="U2106" s="1063"/>
      <c r="V2106" s="1063"/>
      <c r="W2106" s="1063"/>
      <c r="X2106" s="1063"/>
      <c r="Y2106" s="1063"/>
      <c r="Z2106" s="1063"/>
      <c r="AA2106" s="1063"/>
      <c r="AB2106" s="1063"/>
      <c r="AC2106" s="1063"/>
      <c r="AD2106" s="1063"/>
      <c r="AE2106" s="1063"/>
      <c r="AF2106" s="1063"/>
      <c r="AG2106" s="1063"/>
      <c r="AH2106" s="1063"/>
      <c r="AI2106" s="1063"/>
      <c r="AJ2106" s="1063"/>
      <c r="AK2106" s="1063"/>
      <c r="AL2106" s="1063"/>
      <c r="AM2106" s="1063"/>
      <c r="AN2106" s="1063"/>
      <c r="AO2106" s="1063"/>
      <c r="AP2106" s="1063"/>
      <c r="AQ2106" s="1063"/>
      <c r="AR2106" s="1063"/>
      <c r="AS2106" s="1063"/>
      <c r="AT2106" s="1063"/>
      <c r="AU2106" s="1063"/>
      <c r="AV2106" s="1063"/>
    </row>
    <row r="2107" spans="1:48" s="1108" customFormat="1" ht="27.75" customHeight="1">
      <c r="A2107" s="1076"/>
      <c r="B2107" s="1074">
        <f>+'[18]Bldg+Dev'!S2919</f>
        <v>0</v>
      </c>
      <c r="D2107" s="1063"/>
      <c r="F2107" s="1076"/>
      <c r="G2107" s="1063"/>
      <c r="H2107" s="1063"/>
      <c r="I2107" s="1063"/>
      <c r="J2107" s="1063"/>
      <c r="K2107" s="1063"/>
      <c r="L2107" s="1063"/>
      <c r="M2107" s="1063"/>
      <c r="N2107" s="1063"/>
      <c r="O2107" s="1063"/>
      <c r="P2107" s="1063"/>
      <c r="Q2107" s="1063"/>
      <c r="R2107" s="1063"/>
      <c r="S2107" s="1063"/>
      <c r="T2107" s="1063"/>
      <c r="U2107" s="1063"/>
      <c r="V2107" s="1063"/>
      <c r="W2107" s="1063"/>
      <c r="X2107" s="1063"/>
      <c r="Y2107" s="1063"/>
      <c r="Z2107" s="1063"/>
      <c r="AA2107" s="1063"/>
      <c r="AB2107" s="1063"/>
      <c r="AC2107" s="1063"/>
      <c r="AD2107" s="1063"/>
      <c r="AE2107" s="1063"/>
      <c r="AF2107" s="1063"/>
      <c r="AG2107" s="1063"/>
      <c r="AH2107" s="1063"/>
      <c r="AI2107" s="1063"/>
      <c r="AJ2107" s="1063"/>
      <c r="AK2107" s="1063"/>
      <c r="AL2107" s="1063"/>
      <c r="AM2107" s="1063"/>
      <c r="AN2107" s="1063"/>
      <c r="AO2107" s="1063"/>
      <c r="AP2107" s="1063"/>
      <c r="AQ2107" s="1063"/>
      <c r="AR2107" s="1063"/>
      <c r="AS2107" s="1063"/>
      <c r="AT2107" s="1063"/>
      <c r="AU2107" s="1063"/>
      <c r="AV2107" s="1063"/>
    </row>
    <row r="2108" spans="1:48" s="1108" customFormat="1" ht="27.75" customHeight="1">
      <c r="A2108" s="1076"/>
      <c r="B2108" s="1074">
        <f>+'[18]Bldg+Dev'!S2920</f>
        <v>0</v>
      </c>
      <c r="D2108" s="1063"/>
      <c r="F2108" s="1076"/>
      <c r="G2108" s="1063"/>
      <c r="H2108" s="1063"/>
      <c r="I2108" s="1063"/>
      <c r="J2108" s="1063"/>
      <c r="K2108" s="1063"/>
      <c r="L2108" s="1063"/>
      <c r="M2108" s="1063"/>
      <c r="N2108" s="1063"/>
      <c r="O2108" s="1063"/>
      <c r="P2108" s="1063"/>
      <c r="Q2108" s="1063"/>
      <c r="R2108" s="1063"/>
      <c r="S2108" s="1063"/>
      <c r="T2108" s="1063"/>
      <c r="U2108" s="1063"/>
      <c r="V2108" s="1063"/>
      <c r="W2108" s="1063"/>
      <c r="X2108" s="1063"/>
      <c r="Y2108" s="1063"/>
      <c r="Z2108" s="1063"/>
      <c r="AA2108" s="1063"/>
      <c r="AB2108" s="1063"/>
      <c r="AC2108" s="1063"/>
      <c r="AD2108" s="1063"/>
      <c r="AE2108" s="1063"/>
      <c r="AF2108" s="1063"/>
      <c r="AG2108" s="1063"/>
      <c r="AH2108" s="1063"/>
      <c r="AI2108" s="1063"/>
      <c r="AJ2108" s="1063"/>
      <c r="AK2108" s="1063"/>
      <c r="AL2108" s="1063"/>
      <c r="AM2108" s="1063"/>
      <c r="AN2108" s="1063"/>
      <c r="AO2108" s="1063"/>
      <c r="AP2108" s="1063"/>
      <c r="AQ2108" s="1063"/>
      <c r="AR2108" s="1063"/>
      <c r="AS2108" s="1063"/>
      <c r="AT2108" s="1063"/>
      <c r="AU2108" s="1063"/>
      <c r="AV2108" s="1063"/>
    </row>
    <row r="2109" spans="1:48" s="1108" customFormat="1" ht="27.75" customHeight="1">
      <c r="A2109" s="1076"/>
      <c r="B2109" s="1074">
        <f>+'[18]Bldg+Dev'!S2921</f>
        <v>0</v>
      </c>
      <c r="D2109" s="1063"/>
      <c r="F2109" s="1076"/>
      <c r="G2109" s="1063"/>
      <c r="H2109" s="1063"/>
      <c r="I2109" s="1063"/>
      <c r="J2109" s="1063"/>
      <c r="K2109" s="1063"/>
      <c r="L2109" s="1063"/>
      <c r="M2109" s="1063"/>
      <c r="N2109" s="1063"/>
      <c r="O2109" s="1063"/>
      <c r="P2109" s="1063"/>
      <c r="Q2109" s="1063"/>
      <c r="R2109" s="1063"/>
      <c r="S2109" s="1063"/>
      <c r="T2109" s="1063"/>
      <c r="U2109" s="1063"/>
      <c r="V2109" s="1063"/>
      <c r="W2109" s="1063"/>
      <c r="X2109" s="1063"/>
      <c r="Y2109" s="1063"/>
      <c r="Z2109" s="1063"/>
      <c r="AA2109" s="1063"/>
      <c r="AB2109" s="1063"/>
      <c r="AC2109" s="1063"/>
      <c r="AD2109" s="1063"/>
      <c r="AE2109" s="1063"/>
      <c r="AF2109" s="1063"/>
      <c r="AG2109" s="1063"/>
      <c r="AH2109" s="1063"/>
      <c r="AI2109" s="1063"/>
      <c r="AJ2109" s="1063"/>
      <c r="AK2109" s="1063"/>
      <c r="AL2109" s="1063"/>
      <c r="AM2109" s="1063"/>
      <c r="AN2109" s="1063"/>
      <c r="AO2109" s="1063"/>
      <c r="AP2109" s="1063"/>
      <c r="AQ2109" s="1063"/>
      <c r="AR2109" s="1063"/>
      <c r="AS2109" s="1063"/>
      <c r="AT2109" s="1063"/>
      <c r="AU2109" s="1063"/>
      <c r="AV2109" s="1063"/>
    </row>
    <row r="2110" spans="1:48" s="1108" customFormat="1" ht="27.75" customHeight="1">
      <c r="A2110" s="1076"/>
      <c r="B2110" s="1074">
        <f>+'[18]Bldg+Dev'!S2922</f>
        <v>0</v>
      </c>
      <c r="D2110" s="1063"/>
      <c r="F2110" s="1076"/>
      <c r="G2110" s="1063"/>
      <c r="H2110" s="1063"/>
      <c r="I2110" s="1063"/>
      <c r="J2110" s="1063"/>
      <c r="K2110" s="1063"/>
      <c r="L2110" s="1063"/>
      <c r="M2110" s="1063"/>
      <c r="N2110" s="1063"/>
      <c r="O2110" s="1063"/>
      <c r="P2110" s="1063"/>
      <c r="Q2110" s="1063"/>
      <c r="R2110" s="1063"/>
      <c r="S2110" s="1063"/>
      <c r="T2110" s="1063"/>
      <c r="U2110" s="1063"/>
      <c r="V2110" s="1063"/>
      <c r="W2110" s="1063"/>
      <c r="X2110" s="1063"/>
      <c r="Y2110" s="1063"/>
      <c r="Z2110" s="1063"/>
      <c r="AA2110" s="1063"/>
      <c r="AB2110" s="1063"/>
      <c r="AC2110" s="1063"/>
      <c r="AD2110" s="1063"/>
      <c r="AE2110" s="1063"/>
      <c r="AF2110" s="1063"/>
      <c r="AG2110" s="1063"/>
      <c r="AH2110" s="1063"/>
      <c r="AI2110" s="1063"/>
      <c r="AJ2110" s="1063"/>
      <c r="AK2110" s="1063"/>
      <c r="AL2110" s="1063"/>
      <c r="AM2110" s="1063"/>
      <c r="AN2110" s="1063"/>
      <c r="AO2110" s="1063"/>
      <c r="AP2110" s="1063"/>
      <c r="AQ2110" s="1063"/>
      <c r="AR2110" s="1063"/>
      <c r="AS2110" s="1063"/>
      <c r="AT2110" s="1063"/>
      <c r="AU2110" s="1063"/>
      <c r="AV2110" s="1063"/>
    </row>
    <row r="2111" spans="1:48" s="1108" customFormat="1" ht="27.75" customHeight="1">
      <c r="A2111" s="1076"/>
      <c r="B2111" s="1074">
        <f>+'[18]Bldg+Dev'!S2923</f>
        <v>0</v>
      </c>
      <c r="D2111" s="1063"/>
      <c r="F2111" s="1076"/>
      <c r="G2111" s="1063"/>
      <c r="H2111" s="1063"/>
      <c r="I2111" s="1063"/>
      <c r="J2111" s="1063"/>
      <c r="K2111" s="1063"/>
      <c r="L2111" s="1063"/>
      <c r="M2111" s="1063"/>
      <c r="N2111" s="1063"/>
      <c r="O2111" s="1063"/>
      <c r="P2111" s="1063"/>
      <c r="Q2111" s="1063"/>
      <c r="R2111" s="1063"/>
      <c r="S2111" s="1063"/>
      <c r="T2111" s="1063"/>
      <c r="U2111" s="1063"/>
      <c r="V2111" s="1063"/>
      <c r="W2111" s="1063"/>
      <c r="X2111" s="1063"/>
      <c r="Y2111" s="1063"/>
      <c r="Z2111" s="1063"/>
      <c r="AA2111" s="1063"/>
      <c r="AB2111" s="1063"/>
      <c r="AC2111" s="1063"/>
      <c r="AD2111" s="1063"/>
      <c r="AE2111" s="1063"/>
      <c r="AF2111" s="1063"/>
      <c r="AG2111" s="1063"/>
      <c r="AH2111" s="1063"/>
      <c r="AI2111" s="1063"/>
      <c r="AJ2111" s="1063"/>
      <c r="AK2111" s="1063"/>
      <c r="AL2111" s="1063"/>
      <c r="AM2111" s="1063"/>
      <c r="AN2111" s="1063"/>
      <c r="AO2111" s="1063"/>
      <c r="AP2111" s="1063"/>
      <c r="AQ2111" s="1063"/>
      <c r="AR2111" s="1063"/>
      <c r="AS2111" s="1063"/>
      <c r="AT2111" s="1063"/>
      <c r="AU2111" s="1063"/>
      <c r="AV2111" s="1063"/>
    </row>
    <row r="2112" spans="1:48" s="1108" customFormat="1" ht="27.75" customHeight="1">
      <c r="A2112" s="1076"/>
      <c r="B2112" s="1074">
        <f>+'[18]Bldg+Dev'!S2924</f>
        <v>0</v>
      </c>
      <c r="D2112" s="1063"/>
      <c r="F2112" s="1076"/>
      <c r="G2112" s="1063"/>
      <c r="H2112" s="1063"/>
      <c r="I2112" s="1063"/>
      <c r="J2112" s="1063"/>
      <c r="K2112" s="1063"/>
      <c r="L2112" s="1063"/>
      <c r="M2112" s="1063"/>
      <c r="N2112" s="1063"/>
      <c r="O2112" s="1063"/>
      <c r="P2112" s="1063"/>
      <c r="Q2112" s="1063"/>
      <c r="R2112" s="1063"/>
      <c r="S2112" s="1063"/>
      <c r="T2112" s="1063"/>
      <c r="U2112" s="1063"/>
      <c r="V2112" s="1063"/>
      <c r="W2112" s="1063"/>
      <c r="X2112" s="1063"/>
      <c r="Y2112" s="1063"/>
      <c r="Z2112" s="1063"/>
      <c r="AA2112" s="1063"/>
      <c r="AB2112" s="1063"/>
      <c r="AC2112" s="1063"/>
      <c r="AD2112" s="1063"/>
      <c r="AE2112" s="1063"/>
      <c r="AF2112" s="1063"/>
      <c r="AG2112" s="1063"/>
      <c r="AH2112" s="1063"/>
      <c r="AI2112" s="1063"/>
      <c r="AJ2112" s="1063"/>
      <c r="AK2112" s="1063"/>
      <c r="AL2112" s="1063"/>
      <c r="AM2112" s="1063"/>
      <c r="AN2112" s="1063"/>
      <c r="AO2112" s="1063"/>
      <c r="AP2112" s="1063"/>
      <c r="AQ2112" s="1063"/>
      <c r="AR2112" s="1063"/>
      <c r="AS2112" s="1063"/>
      <c r="AT2112" s="1063"/>
      <c r="AU2112" s="1063"/>
      <c r="AV2112" s="1063"/>
    </row>
    <row r="2113" spans="1:48" s="1108" customFormat="1" ht="27.75" customHeight="1">
      <c r="A2113" s="1076"/>
      <c r="B2113" s="1074">
        <f>+'[18]Bldg+Dev'!S2925</f>
        <v>0</v>
      </c>
      <c r="D2113" s="1063"/>
      <c r="F2113" s="1076"/>
      <c r="G2113" s="1063"/>
      <c r="H2113" s="1063"/>
      <c r="I2113" s="1063"/>
      <c r="J2113" s="1063"/>
      <c r="K2113" s="1063"/>
      <c r="L2113" s="1063"/>
      <c r="M2113" s="1063"/>
      <c r="N2113" s="1063"/>
      <c r="O2113" s="1063"/>
      <c r="P2113" s="1063"/>
      <c r="Q2113" s="1063"/>
      <c r="R2113" s="1063"/>
      <c r="S2113" s="1063"/>
      <c r="T2113" s="1063"/>
      <c r="U2113" s="1063"/>
      <c r="V2113" s="1063"/>
      <c r="W2113" s="1063"/>
      <c r="X2113" s="1063"/>
      <c r="Y2113" s="1063"/>
      <c r="Z2113" s="1063"/>
      <c r="AA2113" s="1063"/>
      <c r="AB2113" s="1063"/>
      <c r="AC2113" s="1063"/>
      <c r="AD2113" s="1063"/>
      <c r="AE2113" s="1063"/>
      <c r="AF2113" s="1063"/>
      <c r="AG2113" s="1063"/>
      <c r="AH2113" s="1063"/>
      <c r="AI2113" s="1063"/>
      <c r="AJ2113" s="1063"/>
      <c r="AK2113" s="1063"/>
      <c r="AL2113" s="1063"/>
      <c r="AM2113" s="1063"/>
      <c r="AN2113" s="1063"/>
      <c r="AO2113" s="1063"/>
      <c r="AP2113" s="1063"/>
      <c r="AQ2113" s="1063"/>
      <c r="AR2113" s="1063"/>
      <c r="AS2113" s="1063"/>
      <c r="AT2113" s="1063"/>
      <c r="AU2113" s="1063"/>
      <c r="AV2113" s="1063"/>
    </row>
    <row r="2114" spans="1:48" s="1108" customFormat="1" ht="27.75" customHeight="1">
      <c r="A2114" s="1076"/>
      <c r="B2114" s="1074">
        <f>+'[18]Bldg+Dev'!S2926</f>
        <v>0</v>
      </c>
      <c r="D2114" s="1063"/>
      <c r="F2114" s="1076"/>
      <c r="G2114" s="1063"/>
      <c r="H2114" s="1063"/>
      <c r="I2114" s="1063"/>
      <c r="J2114" s="1063"/>
      <c r="K2114" s="1063"/>
      <c r="L2114" s="1063"/>
      <c r="M2114" s="1063"/>
      <c r="N2114" s="1063"/>
      <c r="O2114" s="1063"/>
      <c r="P2114" s="1063"/>
      <c r="Q2114" s="1063"/>
      <c r="R2114" s="1063"/>
      <c r="S2114" s="1063"/>
      <c r="T2114" s="1063"/>
      <c r="U2114" s="1063"/>
      <c r="V2114" s="1063"/>
      <c r="W2114" s="1063"/>
      <c r="X2114" s="1063"/>
      <c r="Y2114" s="1063"/>
      <c r="Z2114" s="1063"/>
      <c r="AA2114" s="1063"/>
      <c r="AB2114" s="1063"/>
      <c r="AC2114" s="1063"/>
      <c r="AD2114" s="1063"/>
      <c r="AE2114" s="1063"/>
      <c r="AF2114" s="1063"/>
      <c r="AG2114" s="1063"/>
      <c r="AH2114" s="1063"/>
      <c r="AI2114" s="1063"/>
      <c r="AJ2114" s="1063"/>
      <c r="AK2114" s="1063"/>
      <c r="AL2114" s="1063"/>
      <c r="AM2114" s="1063"/>
      <c r="AN2114" s="1063"/>
      <c r="AO2114" s="1063"/>
      <c r="AP2114" s="1063"/>
      <c r="AQ2114" s="1063"/>
      <c r="AR2114" s="1063"/>
      <c r="AS2114" s="1063"/>
      <c r="AT2114" s="1063"/>
      <c r="AU2114" s="1063"/>
      <c r="AV2114" s="1063"/>
    </row>
    <row r="2115" spans="1:48" s="1108" customFormat="1" ht="27.75" customHeight="1">
      <c r="A2115" s="1076"/>
      <c r="B2115" s="1074">
        <f>+'[18]Bldg+Dev'!S2927</f>
        <v>0</v>
      </c>
      <c r="D2115" s="1063"/>
      <c r="F2115" s="1076"/>
      <c r="G2115" s="1063"/>
      <c r="H2115" s="1063"/>
      <c r="I2115" s="1063"/>
      <c r="J2115" s="1063"/>
      <c r="K2115" s="1063"/>
      <c r="L2115" s="1063"/>
      <c r="M2115" s="1063"/>
      <c r="N2115" s="1063"/>
      <c r="O2115" s="1063"/>
      <c r="P2115" s="1063"/>
      <c r="Q2115" s="1063"/>
      <c r="R2115" s="1063"/>
      <c r="S2115" s="1063"/>
      <c r="T2115" s="1063"/>
      <c r="U2115" s="1063"/>
      <c r="V2115" s="1063"/>
      <c r="W2115" s="1063"/>
      <c r="X2115" s="1063"/>
      <c r="Y2115" s="1063"/>
      <c r="Z2115" s="1063"/>
      <c r="AA2115" s="1063"/>
      <c r="AB2115" s="1063"/>
      <c r="AC2115" s="1063"/>
      <c r="AD2115" s="1063"/>
      <c r="AE2115" s="1063"/>
      <c r="AF2115" s="1063"/>
      <c r="AG2115" s="1063"/>
      <c r="AH2115" s="1063"/>
      <c r="AI2115" s="1063"/>
      <c r="AJ2115" s="1063"/>
      <c r="AK2115" s="1063"/>
      <c r="AL2115" s="1063"/>
      <c r="AM2115" s="1063"/>
      <c r="AN2115" s="1063"/>
      <c r="AO2115" s="1063"/>
      <c r="AP2115" s="1063"/>
      <c r="AQ2115" s="1063"/>
      <c r="AR2115" s="1063"/>
      <c r="AS2115" s="1063"/>
      <c r="AT2115" s="1063"/>
      <c r="AU2115" s="1063"/>
      <c r="AV2115" s="1063"/>
    </row>
    <row r="2116" spans="1:48" s="1108" customFormat="1" ht="27.75" customHeight="1">
      <c r="A2116" s="1076"/>
      <c r="B2116" s="1074">
        <f>+'[18]Bldg+Dev'!S2928</f>
        <v>0</v>
      </c>
      <c r="D2116" s="1063"/>
      <c r="F2116" s="1076"/>
      <c r="G2116" s="1063"/>
      <c r="H2116" s="1063"/>
      <c r="I2116" s="1063"/>
      <c r="J2116" s="1063"/>
      <c r="K2116" s="1063"/>
      <c r="L2116" s="1063"/>
      <c r="M2116" s="1063"/>
      <c r="N2116" s="1063"/>
      <c r="O2116" s="1063"/>
      <c r="P2116" s="1063"/>
      <c r="Q2116" s="1063"/>
      <c r="R2116" s="1063"/>
      <c r="S2116" s="1063"/>
      <c r="T2116" s="1063"/>
      <c r="U2116" s="1063"/>
      <c r="V2116" s="1063"/>
      <c r="W2116" s="1063"/>
      <c r="X2116" s="1063"/>
      <c r="Y2116" s="1063"/>
      <c r="Z2116" s="1063"/>
      <c r="AA2116" s="1063"/>
      <c r="AB2116" s="1063"/>
      <c r="AC2116" s="1063"/>
      <c r="AD2116" s="1063"/>
      <c r="AE2116" s="1063"/>
      <c r="AF2116" s="1063"/>
      <c r="AG2116" s="1063"/>
      <c r="AH2116" s="1063"/>
      <c r="AI2116" s="1063"/>
      <c r="AJ2116" s="1063"/>
      <c r="AK2116" s="1063"/>
      <c r="AL2116" s="1063"/>
      <c r="AM2116" s="1063"/>
      <c r="AN2116" s="1063"/>
      <c r="AO2116" s="1063"/>
      <c r="AP2116" s="1063"/>
      <c r="AQ2116" s="1063"/>
      <c r="AR2116" s="1063"/>
      <c r="AS2116" s="1063"/>
      <c r="AT2116" s="1063"/>
      <c r="AU2116" s="1063"/>
      <c r="AV2116" s="1063"/>
    </row>
    <row r="2117" spans="1:48" s="1108" customFormat="1" ht="27.75" customHeight="1">
      <c r="A2117" s="1076"/>
      <c r="B2117" s="1074">
        <f>+'[18]Bldg+Dev'!S2929</f>
        <v>0</v>
      </c>
      <c r="D2117" s="1063"/>
      <c r="F2117" s="1076"/>
      <c r="G2117" s="1063"/>
      <c r="H2117" s="1063"/>
      <c r="I2117" s="1063"/>
      <c r="J2117" s="1063"/>
      <c r="K2117" s="1063"/>
      <c r="L2117" s="1063"/>
      <c r="M2117" s="1063"/>
      <c r="N2117" s="1063"/>
      <c r="O2117" s="1063"/>
      <c r="P2117" s="1063"/>
      <c r="Q2117" s="1063"/>
      <c r="R2117" s="1063"/>
      <c r="S2117" s="1063"/>
      <c r="T2117" s="1063"/>
      <c r="U2117" s="1063"/>
      <c r="V2117" s="1063"/>
      <c r="W2117" s="1063"/>
      <c r="X2117" s="1063"/>
      <c r="Y2117" s="1063"/>
      <c r="Z2117" s="1063"/>
      <c r="AA2117" s="1063"/>
      <c r="AB2117" s="1063"/>
      <c r="AC2117" s="1063"/>
      <c r="AD2117" s="1063"/>
      <c r="AE2117" s="1063"/>
      <c r="AF2117" s="1063"/>
      <c r="AG2117" s="1063"/>
      <c r="AH2117" s="1063"/>
      <c r="AI2117" s="1063"/>
      <c r="AJ2117" s="1063"/>
      <c r="AK2117" s="1063"/>
      <c r="AL2117" s="1063"/>
      <c r="AM2117" s="1063"/>
      <c r="AN2117" s="1063"/>
      <c r="AO2117" s="1063"/>
      <c r="AP2117" s="1063"/>
      <c r="AQ2117" s="1063"/>
      <c r="AR2117" s="1063"/>
      <c r="AS2117" s="1063"/>
      <c r="AT2117" s="1063"/>
      <c r="AU2117" s="1063"/>
      <c r="AV2117" s="1063"/>
    </row>
    <row r="2118" spans="1:48" s="1108" customFormat="1" ht="27.75" customHeight="1">
      <c r="A2118" s="1076"/>
      <c r="B2118" s="1074">
        <f>+'[18]Bldg+Dev'!S2930</f>
        <v>0</v>
      </c>
      <c r="D2118" s="1063"/>
      <c r="F2118" s="1076"/>
      <c r="G2118" s="1063"/>
      <c r="H2118" s="1063"/>
      <c r="I2118" s="1063"/>
      <c r="J2118" s="1063"/>
      <c r="K2118" s="1063"/>
      <c r="L2118" s="1063"/>
      <c r="M2118" s="1063"/>
      <c r="N2118" s="1063"/>
      <c r="O2118" s="1063"/>
      <c r="P2118" s="1063"/>
      <c r="Q2118" s="1063"/>
      <c r="R2118" s="1063"/>
      <c r="S2118" s="1063"/>
      <c r="T2118" s="1063"/>
      <c r="U2118" s="1063"/>
      <c r="V2118" s="1063"/>
      <c r="W2118" s="1063"/>
      <c r="X2118" s="1063"/>
      <c r="Y2118" s="1063"/>
      <c r="Z2118" s="1063"/>
      <c r="AA2118" s="1063"/>
      <c r="AB2118" s="1063"/>
      <c r="AC2118" s="1063"/>
      <c r="AD2118" s="1063"/>
      <c r="AE2118" s="1063"/>
      <c r="AF2118" s="1063"/>
      <c r="AG2118" s="1063"/>
      <c r="AH2118" s="1063"/>
      <c r="AI2118" s="1063"/>
      <c r="AJ2118" s="1063"/>
      <c r="AK2118" s="1063"/>
      <c r="AL2118" s="1063"/>
      <c r="AM2118" s="1063"/>
      <c r="AN2118" s="1063"/>
      <c r="AO2118" s="1063"/>
      <c r="AP2118" s="1063"/>
      <c r="AQ2118" s="1063"/>
      <c r="AR2118" s="1063"/>
      <c r="AS2118" s="1063"/>
      <c r="AT2118" s="1063"/>
      <c r="AU2118" s="1063"/>
      <c r="AV2118" s="1063"/>
    </row>
    <row r="2119" spans="1:48" s="1108" customFormat="1" ht="27.75" customHeight="1">
      <c r="A2119" s="1076"/>
      <c r="B2119" s="1074">
        <f>+'[18]Bldg+Dev'!S2931</f>
        <v>0</v>
      </c>
      <c r="D2119" s="1063"/>
      <c r="F2119" s="1076"/>
      <c r="G2119" s="1063"/>
      <c r="H2119" s="1063"/>
      <c r="I2119" s="1063"/>
      <c r="J2119" s="1063"/>
      <c r="K2119" s="1063"/>
      <c r="L2119" s="1063"/>
      <c r="M2119" s="1063"/>
      <c r="N2119" s="1063"/>
      <c r="O2119" s="1063"/>
      <c r="P2119" s="1063"/>
      <c r="Q2119" s="1063"/>
      <c r="R2119" s="1063"/>
      <c r="S2119" s="1063"/>
      <c r="T2119" s="1063"/>
      <c r="U2119" s="1063"/>
      <c r="V2119" s="1063"/>
      <c r="W2119" s="1063"/>
      <c r="X2119" s="1063"/>
      <c r="Y2119" s="1063"/>
      <c r="Z2119" s="1063"/>
      <c r="AA2119" s="1063"/>
      <c r="AB2119" s="1063"/>
      <c r="AC2119" s="1063"/>
      <c r="AD2119" s="1063"/>
      <c r="AE2119" s="1063"/>
      <c r="AF2119" s="1063"/>
      <c r="AG2119" s="1063"/>
      <c r="AH2119" s="1063"/>
      <c r="AI2119" s="1063"/>
      <c r="AJ2119" s="1063"/>
      <c r="AK2119" s="1063"/>
      <c r="AL2119" s="1063"/>
      <c r="AM2119" s="1063"/>
      <c r="AN2119" s="1063"/>
      <c r="AO2119" s="1063"/>
      <c r="AP2119" s="1063"/>
      <c r="AQ2119" s="1063"/>
      <c r="AR2119" s="1063"/>
      <c r="AS2119" s="1063"/>
      <c r="AT2119" s="1063"/>
      <c r="AU2119" s="1063"/>
      <c r="AV2119" s="1063"/>
    </row>
    <row r="2120" spans="1:48" s="1108" customFormat="1" ht="27.75" customHeight="1">
      <c r="A2120" s="1076"/>
      <c r="B2120" s="1074">
        <f>+'[18]Bldg+Dev'!S2932</f>
        <v>0</v>
      </c>
      <c r="D2120" s="1063"/>
      <c r="F2120" s="1076"/>
      <c r="G2120" s="1063"/>
      <c r="H2120" s="1063"/>
      <c r="I2120" s="1063"/>
      <c r="J2120" s="1063"/>
      <c r="K2120" s="1063"/>
      <c r="L2120" s="1063"/>
      <c r="M2120" s="1063"/>
      <c r="N2120" s="1063"/>
      <c r="O2120" s="1063"/>
      <c r="P2120" s="1063"/>
      <c r="Q2120" s="1063"/>
      <c r="R2120" s="1063"/>
      <c r="S2120" s="1063"/>
      <c r="T2120" s="1063"/>
      <c r="U2120" s="1063"/>
      <c r="V2120" s="1063"/>
      <c r="W2120" s="1063"/>
      <c r="X2120" s="1063"/>
      <c r="Y2120" s="1063"/>
      <c r="Z2120" s="1063"/>
      <c r="AA2120" s="1063"/>
      <c r="AB2120" s="1063"/>
      <c r="AC2120" s="1063"/>
      <c r="AD2120" s="1063"/>
      <c r="AE2120" s="1063"/>
      <c r="AF2120" s="1063"/>
      <c r="AG2120" s="1063"/>
      <c r="AH2120" s="1063"/>
      <c r="AI2120" s="1063"/>
      <c r="AJ2120" s="1063"/>
      <c r="AK2120" s="1063"/>
      <c r="AL2120" s="1063"/>
      <c r="AM2120" s="1063"/>
      <c r="AN2120" s="1063"/>
      <c r="AO2120" s="1063"/>
      <c r="AP2120" s="1063"/>
      <c r="AQ2120" s="1063"/>
      <c r="AR2120" s="1063"/>
      <c r="AS2120" s="1063"/>
      <c r="AT2120" s="1063"/>
      <c r="AU2120" s="1063"/>
      <c r="AV2120" s="1063"/>
    </row>
    <row r="2121" spans="1:48" s="1108" customFormat="1" ht="27.75" customHeight="1">
      <c r="A2121" s="1076"/>
      <c r="B2121" s="1074">
        <f>+'[18]Bldg+Dev'!S2933</f>
        <v>0</v>
      </c>
      <c r="D2121" s="1063"/>
      <c r="F2121" s="1076"/>
      <c r="G2121" s="1063"/>
      <c r="H2121" s="1063"/>
      <c r="I2121" s="1063"/>
      <c r="J2121" s="1063"/>
      <c r="K2121" s="1063"/>
      <c r="L2121" s="1063"/>
      <c r="M2121" s="1063"/>
      <c r="N2121" s="1063"/>
      <c r="O2121" s="1063"/>
      <c r="P2121" s="1063"/>
      <c r="Q2121" s="1063"/>
      <c r="R2121" s="1063"/>
      <c r="S2121" s="1063"/>
      <c r="T2121" s="1063"/>
      <c r="U2121" s="1063"/>
      <c r="V2121" s="1063"/>
      <c r="W2121" s="1063"/>
      <c r="X2121" s="1063"/>
      <c r="Y2121" s="1063"/>
      <c r="Z2121" s="1063"/>
      <c r="AA2121" s="1063"/>
      <c r="AB2121" s="1063"/>
      <c r="AC2121" s="1063"/>
      <c r="AD2121" s="1063"/>
      <c r="AE2121" s="1063"/>
      <c r="AF2121" s="1063"/>
      <c r="AG2121" s="1063"/>
      <c r="AH2121" s="1063"/>
      <c r="AI2121" s="1063"/>
      <c r="AJ2121" s="1063"/>
      <c r="AK2121" s="1063"/>
      <c r="AL2121" s="1063"/>
      <c r="AM2121" s="1063"/>
      <c r="AN2121" s="1063"/>
      <c r="AO2121" s="1063"/>
      <c r="AP2121" s="1063"/>
      <c r="AQ2121" s="1063"/>
      <c r="AR2121" s="1063"/>
      <c r="AS2121" s="1063"/>
      <c r="AT2121" s="1063"/>
      <c r="AU2121" s="1063"/>
      <c r="AV2121" s="1063"/>
    </row>
    <row r="2122" spans="1:48" s="1108" customFormat="1" ht="27.75" customHeight="1">
      <c r="A2122" s="1076"/>
      <c r="B2122" s="1074">
        <f>+'[18]Bldg+Dev'!S2934</f>
        <v>0</v>
      </c>
      <c r="D2122" s="1063"/>
      <c r="F2122" s="1076"/>
      <c r="G2122" s="1063"/>
      <c r="H2122" s="1063"/>
      <c r="I2122" s="1063"/>
      <c r="J2122" s="1063"/>
      <c r="K2122" s="1063"/>
      <c r="L2122" s="1063"/>
      <c r="M2122" s="1063"/>
      <c r="N2122" s="1063"/>
      <c r="O2122" s="1063"/>
      <c r="P2122" s="1063"/>
      <c r="Q2122" s="1063"/>
      <c r="R2122" s="1063"/>
      <c r="S2122" s="1063"/>
      <c r="T2122" s="1063"/>
      <c r="U2122" s="1063"/>
      <c r="V2122" s="1063"/>
      <c r="W2122" s="1063"/>
      <c r="X2122" s="1063"/>
      <c r="Y2122" s="1063"/>
      <c r="Z2122" s="1063"/>
      <c r="AA2122" s="1063"/>
      <c r="AB2122" s="1063"/>
      <c r="AC2122" s="1063"/>
      <c r="AD2122" s="1063"/>
      <c r="AE2122" s="1063"/>
      <c r="AF2122" s="1063"/>
      <c r="AG2122" s="1063"/>
      <c r="AH2122" s="1063"/>
      <c r="AI2122" s="1063"/>
      <c r="AJ2122" s="1063"/>
      <c r="AK2122" s="1063"/>
      <c r="AL2122" s="1063"/>
      <c r="AM2122" s="1063"/>
      <c r="AN2122" s="1063"/>
      <c r="AO2122" s="1063"/>
      <c r="AP2122" s="1063"/>
      <c r="AQ2122" s="1063"/>
      <c r="AR2122" s="1063"/>
      <c r="AS2122" s="1063"/>
      <c r="AT2122" s="1063"/>
      <c r="AU2122" s="1063"/>
      <c r="AV2122" s="1063"/>
    </row>
    <row r="2123" spans="1:48" s="1108" customFormat="1" ht="27.75" customHeight="1">
      <c r="A2123" s="1076"/>
      <c r="B2123" s="1074">
        <f>+'[18]Bldg+Dev'!S2935</f>
        <v>0</v>
      </c>
      <c r="D2123" s="1063"/>
      <c r="F2123" s="1076"/>
      <c r="G2123" s="1063"/>
      <c r="H2123" s="1063"/>
      <c r="I2123" s="1063"/>
      <c r="J2123" s="1063"/>
      <c r="K2123" s="1063"/>
      <c r="L2123" s="1063"/>
      <c r="M2123" s="1063"/>
      <c r="N2123" s="1063"/>
      <c r="O2123" s="1063"/>
      <c r="P2123" s="1063"/>
      <c r="Q2123" s="1063"/>
      <c r="R2123" s="1063"/>
      <c r="S2123" s="1063"/>
      <c r="T2123" s="1063"/>
      <c r="U2123" s="1063"/>
      <c r="V2123" s="1063"/>
      <c r="W2123" s="1063"/>
      <c r="X2123" s="1063"/>
      <c r="Y2123" s="1063"/>
      <c r="Z2123" s="1063"/>
      <c r="AA2123" s="1063"/>
      <c r="AB2123" s="1063"/>
      <c r="AC2123" s="1063"/>
      <c r="AD2123" s="1063"/>
      <c r="AE2123" s="1063"/>
      <c r="AF2123" s="1063"/>
      <c r="AG2123" s="1063"/>
      <c r="AH2123" s="1063"/>
      <c r="AI2123" s="1063"/>
      <c r="AJ2123" s="1063"/>
      <c r="AK2123" s="1063"/>
      <c r="AL2123" s="1063"/>
      <c r="AM2123" s="1063"/>
      <c r="AN2123" s="1063"/>
      <c r="AO2123" s="1063"/>
      <c r="AP2123" s="1063"/>
      <c r="AQ2123" s="1063"/>
      <c r="AR2123" s="1063"/>
      <c r="AS2123" s="1063"/>
      <c r="AT2123" s="1063"/>
      <c r="AU2123" s="1063"/>
      <c r="AV2123" s="1063"/>
    </row>
    <row r="2124" spans="1:48" s="1108" customFormat="1" ht="27.75" customHeight="1">
      <c r="A2124" s="1076"/>
      <c r="B2124" s="1074">
        <f>+'[18]Bldg+Dev'!S2936</f>
        <v>0</v>
      </c>
      <c r="D2124" s="1063"/>
      <c r="F2124" s="1076"/>
      <c r="G2124" s="1063"/>
      <c r="H2124" s="1063"/>
      <c r="I2124" s="1063"/>
      <c r="J2124" s="1063"/>
      <c r="K2124" s="1063"/>
      <c r="L2124" s="1063"/>
      <c r="M2124" s="1063"/>
      <c r="N2124" s="1063"/>
      <c r="O2124" s="1063"/>
      <c r="P2124" s="1063"/>
      <c r="Q2124" s="1063"/>
      <c r="R2124" s="1063"/>
      <c r="S2124" s="1063"/>
      <c r="T2124" s="1063"/>
      <c r="U2124" s="1063"/>
      <c r="V2124" s="1063"/>
      <c r="W2124" s="1063"/>
      <c r="X2124" s="1063"/>
      <c r="Y2124" s="1063"/>
      <c r="Z2124" s="1063"/>
      <c r="AA2124" s="1063"/>
      <c r="AB2124" s="1063"/>
      <c r="AC2124" s="1063"/>
      <c r="AD2124" s="1063"/>
      <c r="AE2124" s="1063"/>
      <c r="AF2124" s="1063"/>
      <c r="AG2124" s="1063"/>
      <c r="AH2124" s="1063"/>
      <c r="AI2124" s="1063"/>
      <c r="AJ2124" s="1063"/>
      <c r="AK2124" s="1063"/>
      <c r="AL2124" s="1063"/>
      <c r="AM2124" s="1063"/>
      <c r="AN2124" s="1063"/>
      <c r="AO2124" s="1063"/>
      <c r="AP2124" s="1063"/>
      <c r="AQ2124" s="1063"/>
      <c r="AR2124" s="1063"/>
      <c r="AS2124" s="1063"/>
      <c r="AT2124" s="1063"/>
      <c r="AU2124" s="1063"/>
      <c r="AV2124" s="1063"/>
    </row>
    <row r="2125" spans="1:48" s="1108" customFormat="1" ht="27.75" customHeight="1">
      <c r="A2125" s="1076"/>
      <c r="B2125" s="1074">
        <f>+'[18]Bldg+Dev'!S2937</f>
        <v>0</v>
      </c>
      <c r="D2125" s="1063"/>
      <c r="F2125" s="1076"/>
      <c r="G2125" s="1063"/>
      <c r="H2125" s="1063"/>
      <c r="I2125" s="1063"/>
      <c r="J2125" s="1063"/>
      <c r="K2125" s="1063"/>
      <c r="L2125" s="1063"/>
      <c r="M2125" s="1063"/>
      <c r="N2125" s="1063"/>
      <c r="O2125" s="1063"/>
      <c r="P2125" s="1063"/>
      <c r="Q2125" s="1063"/>
      <c r="R2125" s="1063"/>
      <c r="S2125" s="1063"/>
      <c r="T2125" s="1063"/>
      <c r="U2125" s="1063"/>
      <c r="V2125" s="1063"/>
      <c r="W2125" s="1063"/>
      <c r="X2125" s="1063"/>
      <c r="Y2125" s="1063"/>
      <c r="Z2125" s="1063"/>
      <c r="AA2125" s="1063"/>
      <c r="AB2125" s="1063"/>
      <c r="AC2125" s="1063"/>
      <c r="AD2125" s="1063"/>
      <c r="AE2125" s="1063"/>
      <c r="AF2125" s="1063"/>
      <c r="AG2125" s="1063"/>
      <c r="AH2125" s="1063"/>
      <c r="AI2125" s="1063"/>
      <c r="AJ2125" s="1063"/>
      <c r="AK2125" s="1063"/>
      <c r="AL2125" s="1063"/>
      <c r="AM2125" s="1063"/>
      <c r="AN2125" s="1063"/>
      <c r="AO2125" s="1063"/>
      <c r="AP2125" s="1063"/>
      <c r="AQ2125" s="1063"/>
      <c r="AR2125" s="1063"/>
      <c r="AS2125" s="1063"/>
      <c r="AT2125" s="1063"/>
      <c r="AU2125" s="1063"/>
      <c r="AV2125" s="1063"/>
    </row>
    <row r="2126" spans="1:48" s="1108" customFormat="1" ht="27.75" customHeight="1">
      <c r="A2126" s="1076"/>
      <c r="B2126" s="1074">
        <f>+'[18]Bldg+Dev'!S2938</f>
        <v>0</v>
      </c>
      <c r="D2126" s="1063"/>
      <c r="F2126" s="1076"/>
      <c r="G2126" s="1063"/>
      <c r="H2126" s="1063"/>
      <c r="I2126" s="1063"/>
      <c r="J2126" s="1063"/>
      <c r="K2126" s="1063"/>
      <c r="L2126" s="1063"/>
      <c r="M2126" s="1063"/>
      <c r="N2126" s="1063"/>
      <c r="O2126" s="1063"/>
      <c r="P2126" s="1063"/>
      <c r="Q2126" s="1063"/>
      <c r="R2126" s="1063"/>
      <c r="S2126" s="1063"/>
      <c r="T2126" s="1063"/>
      <c r="U2126" s="1063"/>
      <c r="V2126" s="1063"/>
      <c r="W2126" s="1063"/>
      <c r="X2126" s="1063"/>
      <c r="Y2126" s="1063"/>
      <c r="Z2126" s="1063"/>
      <c r="AA2126" s="1063"/>
      <c r="AB2126" s="1063"/>
      <c r="AC2126" s="1063"/>
      <c r="AD2126" s="1063"/>
      <c r="AE2126" s="1063"/>
      <c r="AF2126" s="1063"/>
      <c r="AG2126" s="1063"/>
      <c r="AH2126" s="1063"/>
      <c r="AI2126" s="1063"/>
      <c r="AJ2126" s="1063"/>
      <c r="AK2126" s="1063"/>
      <c r="AL2126" s="1063"/>
      <c r="AM2126" s="1063"/>
      <c r="AN2126" s="1063"/>
      <c r="AO2126" s="1063"/>
      <c r="AP2126" s="1063"/>
      <c r="AQ2126" s="1063"/>
      <c r="AR2126" s="1063"/>
      <c r="AS2126" s="1063"/>
      <c r="AT2126" s="1063"/>
      <c r="AU2126" s="1063"/>
      <c r="AV2126" s="1063"/>
    </row>
    <row r="2127" spans="1:48" s="1108" customFormat="1" ht="27.75" customHeight="1">
      <c r="A2127" s="1076"/>
      <c r="B2127" s="1074">
        <f>+'[18]Bldg+Dev'!S2939</f>
        <v>0</v>
      </c>
      <c r="D2127" s="1063"/>
      <c r="F2127" s="1076"/>
      <c r="G2127" s="1063"/>
      <c r="H2127" s="1063"/>
      <c r="I2127" s="1063"/>
      <c r="J2127" s="1063"/>
      <c r="K2127" s="1063"/>
      <c r="L2127" s="1063"/>
      <c r="M2127" s="1063"/>
      <c r="N2127" s="1063"/>
      <c r="O2127" s="1063"/>
      <c r="P2127" s="1063"/>
      <c r="Q2127" s="1063"/>
      <c r="R2127" s="1063"/>
      <c r="S2127" s="1063"/>
      <c r="T2127" s="1063"/>
      <c r="U2127" s="1063"/>
      <c r="V2127" s="1063"/>
      <c r="W2127" s="1063"/>
      <c r="X2127" s="1063"/>
      <c r="Y2127" s="1063"/>
      <c r="Z2127" s="1063"/>
      <c r="AA2127" s="1063"/>
      <c r="AB2127" s="1063"/>
      <c r="AC2127" s="1063"/>
      <c r="AD2127" s="1063"/>
      <c r="AE2127" s="1063"/>
      <c r="AF2127" s="1063"/>
      <c r="AG2127" s="1063"/>
      <c r="AH2127" s="1063"/>
      <c r="AI2127" s="1063"/>
      <c r="AJ2127" s="1063"/>
      <c r="AK2127" s="1063"/>
      <c r="AL2127" s="1063"/>
      <c r="AM2127" s="1063"/>
      <c r="AN2127" s="1063"/>
      <c r="AO2127" s="1063"/>
      <c r="AP2127" s="1063"/>
      <c r="AQ2127" s="1063"/>
      <c r="AR2127" s="1063"/>
      <c r="AS2127" s="1063"/>
      <c r="AT2127" s="1063"/>
      <c r="AU2127" s="1063"/>
      <c r="AV2127" s="1063"/>
    </row>
    <row r="2128" spans="1:48" s="1108" customFormat="1" ht="27.75" customHeight="1">
      <c r="A2128" s="1076"/>
      <c r="B2128" s="1074">
        <f>+'[18]Bldg+Dev'!S2940</f>
        <v>0</v>
      </c>
      <c r="D2128" s="1063"/>
      <c r="F2128" s="1076"/>
      <c r="G2128" s="1063"/>
      <c r="H2128" s="1063"/>
      <c r="I2128" s="1063"/>
      <c r="J2128" s="1063"/>
      <c r="K2128" s="1063"/>
      <c r="L2128" s="1063"/>
      <c r="M2128" s="1063"/>
      <c r="N2128" s="1063"/>
      <c r="O2128" s="1063"/>
      <c r="P2128" s="1063"/>
      <c r="Q2128" s="1063"/>
      <c r="R2128" s="1063"/>
      <c r="S2128" s="1063"/>
      <c r="T2128" s="1063"/>
      <c r="U2128" s="1063"/>
      <c r="V2128" s="1063"/>
      <c r="W2128" s="1063"/>
      <c r="X2128" s="1063"/>
      <c r="Y2128" s="1063"/>
      <c r="Z2128" s="1063"/>
      <c r="AA2128" s="1063"/>
      <c r="AB2128" s="1063"/>
      <c r="AC2128" s="1063"/>
      <c r="AD2128" s="1063"/>
      <c r="AE2128" s="1063"/>
      <c r="AF2128" s="1063"/>
      <c r="AG2128" s="1063"/>
      <c r="AH2128" s="1063"/>
      <c r="AI2128" s="1063"/>
      <c r="AJ2128" s="1063"/>
      <c r="AK2128" s="1063"/>
      <c r="AL2128" s="1063"/>
      <c r="AM2128" s="1063"/>
      <c r="AN2128" s="1063"/>
      <c r="AO2128" s="1063"/>
      <c r="AP2128" s="1063"/>
      <c r="AQ2128" s="1063"/>
      <c r="AR2128" s="1063"/>
      <c r="AS2128" s="1063"/>
      <c r="AT2128" s="1063"/>
      <c r="AU2128" s="1063"/>
      <c r="AV2128" s="1063"/>
    </row>
    <row r="2129" spans="1:48" s="1108" customFormat="1" ht="27.75" customHeight="1">
      <c r="A2129" s="1076"/>
      <c r="B2129" s="1074">
        <f>+'[18]Bldg+Dev'!S2941</f>
        <v>0</v>
      </c>
      <c r="D2129" s="1063"/>
      <c r="F2129" s="1076"/>
      <c r="G2129" s="1063"/>
      <c r="H2129" s="1063"/>
      <c r="I2129" s="1063"/>
      <c r="J2129" s="1063"/>
      <c r="K2129" s="1063"/>
      <c r="L2129" s="1063"/>
      <c r="M2129" s="1063"/>
      <c r="N2129" s="1063"/>
      <c r="O2129" s="1063"/>
      <c r="P2129" s="1063"/>
      <c r="Q2129" s="1063"/>
      <c r="R2129" s="1063"/>
      <c r="S2129" s="1063"/>
      <c r="T2129" s="1063"/>
      <c r="U2129" s="1063"/>
      <c r="V2129" s="1063"/>
      <c r="W2129" s="1063"/>
      <c r="X2129" s="1063"/>
      <c r="Y2129" s="1063"/>
      <c r="Z2129" s="1063"/>
      <c r="AA2129" s="1063"/>
      <c r="AB2129" s="1063"/>
      <c r="AC2129" s="1063"/>
      <c r="AD2129" s="1063"/>
      <c r="AE2129" s="1063"/>
      <c r="AF2129" s="1063"/>
      <c r="AG2129" s="1063"/>
      <c r="AH2129" s="1063"/>
      <c r="AI2129" s="1063"/>
      <c r="AJ2129" s="1063"/>
      <c r="AK2129" s="1063"/>
      <c r="AL2129" s="1063"/>
      <c r="AM2129" s="1063"/>
      <c r="AN2129" s="1063"/>
      <c r="AO2129" s="1063"/>
      <c r="AP2129" s="1063"/>
      <c r="AQ2129" s="1063"/>
      <c r="AR2129" s="1063"/>
      <c r="AS2129" s="1063"/>
      <c r="AT2129" s="1063"/>
      <c r="AU2129" s="1063"/>
      <c r="AV2129" s="1063"/>
    </row>
    <row r="2130" spans="1:48" s="1108" customFormat="1" ht="27.75" customHeight="1">
      <c r="A2130" s="1076"/>
      <c r="B2130" s="1074">
        <f>+'[18]Bldg+Dev'!S2942</f>
        <v>0</v>
      </c>
      <c r="D2130" s="1063"/>
      <c r="F2130" s="1076"/>
      <c r="G2130" s="1063"/>
      <c r="H2130" s="1063"/>
      <c r="I2130" s="1063"/>
      <c r="J2130" s="1063"/>
      <c r="K2130" s="1063"/>
      <c r="L2130" s="1063"/>
      <c r="M2130" s="1063"/>
      <c r="N2130" s="1063"/>
      <c r="O2130" s="1063"/>
      <c r="P2130" s="1063"/>
      <c r="Q2130" s="1063"/>
      <c r="R2130" s="1063"/>
      <c r="S2130" s="1063"/>
      <c r="T2130" s="1063"/>
      <c r="U2130" s="1063"/>
      <c r="V2130" s="1063"/>
      <c r="W2130" s="1063"/>
      <c r="X2130" s="1063"/>
      <c r="Y2130" s="1063"/>
      <c r="Z2130" s="1063"/>
      <c r="AA2130" s="1063"/>
      <c r="AB2130" s="1063"/>
      <c r="AC2130" s="1063"/>
      <c r="AD2130" s="1063"/>
      <c r="AE2130" s="1063"/>
      <c r="AF2130" s="1063"/>
      <c r="AG2130" s="1063"/>
      <c r="AH2130" s="1063"/>
      <c r="AI2130" s="1063"/>
      <c r="AJ2130" s="1063"/>
      <c r="AK2130" s="1063"/>
      <c r="AL2130" s="1063"/>
      <c r="AM2130" s="1063"/>
      <c r="AN2130" s="1063"/>
      <c r="AO2130" s="1063"/>
      <c r="AP2130" s="1063"/>
      <c r="AQ2130" s="1063"/>
      <c r="AR2130" s="1063"/>
      <c r="AS2130" s="1063"/>
      <c r="AT2130" s="1063"/>
      <c r="AU2130" s="1063"/>
      <c r="AV2130" s="1063"/>
    </row>
    <row r="2131" spans="1:48" s="1108" customFormat="1" ht="27.75" customHeight="1">
      <c r="A2131" s="1076"/>
      <c r="B2131" s="1074">
        <f>+'[18]Bldg+Dev'!S2943</f>
        <v>0</v>
      </c>
      <c r="D2131" s="1063"/>
      <c r="F2131" s="1076"/>
      <c r="G2131" s="1063"/>
      <c r="H2131" s="1063"/>
      <c r="I2131" s="1063"/>
      <c r="J2131" s="1063"/>
      <c r="K2131" s="1063"/>
      <c r="L2131" s="1063"/>
      <c r="M2131" s="1063"/>
      <c r="N2131" s="1063"/>
      <c r="O2131" s="1063"/>
      <c r="P2131" s="1063"/>
      <c r="Q2131" s="1063"/>
      <c r="R2131" s="1063"/>
      <c r="S2131" s="1063"/>
      <c r="T2131" s="1063"/>
      <c r="U2131" s="1063"/>
      <c r="V2131" s="1063"/>
      <c r="W2131" s="1063"/>
      <c r="X2131" s="1063"/>
      <c r="Y2131" s="1063"/>
      <c r="Z2131" s="1063"/>
      <c r="AA2131" s="1063"/>
      <c r="AB2131" s="1063"/>
      <c r="AC2131" s="1063"/>
      <c r="AD2131" s="1063"/>
      <c r="AE2131" s="1063"/>
      <c r="AF2131" s="1063"/>
      <c r="AG2131" s="1063"/>
      <c r="AH2131" s="1063"/>
      <c r="AI2131" s="1063"/>
      <c r="AJ2131" s="1063"/>
      <c r="AK2131" s="1063"/>
      <c r="AL2131" s="1063"/>
      <c r="AM2131" s="1063"/>
      <c r="AN2131" s="1063"/>
      <c r="AO2131" s="1063"/>
      <c r="AP2131" s="1063"/>
      <c r="AQ2131" s="1063"/>
      <c r="AR2131" s="1063"/>
      <c r="AS2131" s="1063"/>
      <c r="AT2131" s="1063"/>
      <c r="AU2131" s="1063"/>
      <c r="AV2131" s="1063"/>
    </row>
    <row r="2132" spans="1:48" s="1108" customFormat="1" ht="27.75" customHeight="1">
      <c r="A2132" s="1076"/>
      <c r="B2132" s="1074">
        <f>+'[18]Bldg+Dev'!S2944</f>
        <v>0</v>
      </c>
      <c r="D2132" s="1063"/>
      <c r="F2132" s="1076"/>
      <c r="G2132" s="1063"/>
      <c r="H2132" s="1063"/>
      <c r="I2132" s="1063"/>
      <c r="J2132" s="1063"/>
      <c r="K2132" s="1063"/>
      <c r="L2132" s="1063"/>
      <c r="M2132" s="1063"/>
      <c r="N2132" s="1063"/>
      <c r="O2132" s="1063"/>
      <c r="P2132" s="1063"/>
      <c r="Q2132" s="1063"/>
      <c r="R2132" s="1063"/>
      <c r="S2132" s="1063"/>
      <c r="T2132" s="1063"/>
      <c r="U2132" s="1063"/>
      <c r="V2132" s="1063"/>
      <c r="W2132" s="1063"/>
      <c r="X2132" s="1063"/>
      <c r="Y2132" s="1063"/>
      <c r="Z2132" s="1063"/>
      <c r="AA2132" s="1063"/>
      <c r="AB2132" s="1063"/>
      <c r="AC2132" s="1063"/>
      <c r="AD2132" s="1063"/>
      <c r="AE2132" s="1063"/>
      <c r="AF2132" s="1063"/>
      <c r="AG2132" s="1063"/>
      <c r="AH2132" s="1063"/>
      <c r="AI2132" s="1063"/>
      <c r="AJ2132" s="1063"/>
      <c r="AK2132" s="1063"/>
      <c r="AL2132" s="1063"/>
      <c r="AM2132" s="1063"/>
      <c r="AN2132" s="1063"/>
      <c r="AO2132" s="1063"/>
      <c r="AP2132" s="1063"/>
      <c r="AQ2132" s="1063"/>
      <c r="AR2132" s="1063"/>
      <c r="AS2132" s="1063"/>
      <c r="AT2132" s="1063"/>
      <c r="AU2132" s="1063"/>
      <c r="AV2132" s="1063"/>
    </row>
    <row r="2133" spans="1:48" s="1108" customFormat="1" ht="27.75" customHeight="1">
      <c r="A2133" s="1076"/>
      <c r="B2133" s="1074">
        <f>+'[18]Bldg+Dev'!S2945</f>
        <v>0</v>
      </c>
      <c r="D2133" s="1063"/>
      <c r="F2133" s="1076"/>
      <c r="G2133" s="1063"/>
      <c r="H2133" s="1063"/>
      <c r="I2133" s="1063"/>
      <c r="J2133" s="1063"/>
      <c r="K2133" s="1063"/>
      <c r="L2133" s="1063"/>
      <c r="M2133" s="1063"/>
      <c r="N2133" s="1063"/>
      <c r="O2133" s="1063"/>
      <c r="P2133" s="1063"/>
      <c r="Q2133" s="1063"/>
      <c r="R2133" s="1063"/>
      <c r="S2133" s="1063"/>
      <c r="T2133" s="1063"/>
      <c r="U2133" s="1063"/>
      <c r="V2133" s="1063"/>
      <c r="W2133" s="1063"/>
      <c r="X2133" s="1063"/>
      <c r="Y2133" s="1063"/>
      <c r="Z2133" s="1063"/>
      <c r="AA2133" s="1063"/>
      <c r="AB2133" s="1063"/>
      <c r="AC2133" s="1063"/>
      <c r="AD2133" s="1063"/>
      <c r="AE2133" s="1063"/>
      <c r="AF2133" s="1063"/>
      <c r="AG2133" s="1063"/>
      <c r="AH2133" s="1063"/>
      <c r="AI2133" s="1063"/>
      <c r="AJ2133" s="1063"/>
      <c r="AK2133" s="1063"/>
      <c r="AL2133" s="1063"/>
      <c r="AM2133" s="1063"/>
      <c r="AN2133" s="1063"/>
      <c r="AO2133" s="1063"/>
      <c r="AP2133" s="1063"/>
      <c r="AQ2133" s="1063"/>
      <c r="AR2133" s="1063"/>
      <c r="AS2133" s="1063"/>
      <c r="AT2133" s="1063"/>
      <c r="AU2133" s="1063"/>
      <c r="AV2133" s="1063"/>
    </row>
    <row r="2134" spans="1:48" s="1108" customFormat="1" ht="27.75" customHeight="1">
      <c r="A2134" s="1076"/>
      <c r="B2134" s="1074">
        <f>+'[18]Bldg+Dev'!S2946</f>
        <v>0</v>
      </c>
      <c r="D2134" s="1063"/>
      <c r="F2134" s="1076"/>
      <c r="G2134" s="1063"/>
      <c r="H2134" s="1063"/>
      <c r="I2134" s="1063"/>
      <c r="J2134" s="1063"/>
      <c r="K2134" s="1063"/>
      <c r="L2134" s="1063"/>
      <c r="M2134" s="1063"/>
      <c r="N2134" s="1063"/>
      <c r="O2134" s="1063"/>
      <c r="P2134" s="1063"/>
      <c r="Q2134" s="1063"/>
      <c r="R2134" s="1063"/>
      <c r="S2134" s="1063"/>
      <c r="T2134" s="1063"/>
      <c r="U2134" s="1063"/>
      <c r="V2134" s="1063"/>
      <c r="W2134" s="1063"/>
      <c r="X2134" s="1063"/>
      <c r="Y2134" s="1063"/>
      <c r="Z2134" s="1063"/>
      <c r="AA2134" s="1063"/>
      <c r="AB2134" s="1063"/>
      <c r="AC2134" s="1063"/>
      <c r="AD2134" s="1063"/>
      <c r="AE2134" s="1063"/>
      <c r="AF2134" s="1063"/>
      <c r="AG2134" s="1063"/>
      <c r="AH2134" s="1063"/>
      <c r="AI2134" s="1063"/>
      <c r="AJ2134" s="1063"/>
      <c r="AK2134" s="1063"/>
      <c r="AL2134" s="1063"/>
      <c r="AM2134" s="1063"/>
      <c r="AN2134" s="1063"/>
      <c r="AO2134" s="1063"/>
      <c r="AP2134" s="1063"/>
      <c r="AQ2134" s="1063"/>
      <c r="AR2134" s="1063"/>
      <c r="AS2134" s="1063"/>
      <c r="AT2134" s="1063"/>
      <c r="AU2134" s="1063"/>
      <c r="AV2134" s="1063"/>
    </row>
    <row r="2135" spans="1:48" s="1108" customFormat="1" ht="27.75" customHeight="1">
      <c r="A2135" s="1076"/>
      <c r="B2135" s="1074">
        <f>+'[18]Bldg+Dev'!S2947</f>
        <v>0</v>
      </c>
      <c r="D2135" s="1063"/>
      <c r="F2135" s="1076"/>
      <c r="G2135" s="1063"/>
      <c r="H2135" s="1063"/>
      <c r="I2135" s="1063"/>
      <c r="J2135" s="1063"/>
      <c r="K2135" s="1063"/>
      <c r="L2135" s="1063"/>
      <c r="M2135" s="1063"/>
      <c r="N2135" s="1063"/>
      <c r="O2135" s="1063"/>
      <c r="P2135" s="1063"/>
      <c r="Q2135" s="1063"/>
      <c r="R2135" s="1063"/>
      <c r="S2135" s="1063"/>
      <c r="T2135" s="1063"/>
      <c r="U2135" s="1063"/>
      <c r="V2135" s="1063"/>
      <c r="W2135" s="1063"/>
      <c r="X2135" s="1063"/>
      <c r="Y2135" s="1063"/>
      <c r="Z2135" s="1063"/>
      <c r="AA2135" s="1063"/>
      <c r="AB2135" s="1063"/>
      <c r="AC2135" s="1063"/>
      <c r="AD2135" s="1063"/>
      <c r="AE2135" s="1063"/>
      <c r="AF2135" s="1063"/>
      <c r="AG2135" s="1063"/>
      <c r="AH2135" s="1063"/>
      <c r="AI2135" s="1063"/>
      <c r="AJ2135" s="1063"/>
      <c r="AK2135" s="1063"/>
      <c r="AL2135" s="1063"/>
      <c r="AM2135" s="1063"/>
      <c r="AN2135" s="1063"/>
      <c r="AO2135" s="1063"/>
      <c r="AP2135" s="1063"/>
      <c r="AQ2135" s="1063"/>
      <c r="AR2135" s="1063"/>
      <c r="AS2135" s="1063"/>
      <c r="AT2135" s="1063"/>
      <c r="AU2135" s="1063"/>
      <c r="AV2135" s="1063"/>
    </row>
    <row r="2136" spans="1:48" s="1108" customFormat="1" ht="27.75" customHeight="1">
      <c r="A2136" s="1076"/>
      <c r="B2136" s="1074">
        <f>+'[18]Bldg+Dev'!S2948</f>
        <v>0</v>
      </c>
      <c r="D2136" s="1063"/>
      <c r="F2136" s="1076"/>
      <c r="G2136" s="1063"/>
      <c r="H2136" s="1063"/>
      <c r="I2136" s="1063"/>
      <c r="J2136" s="1063"/>
      <c r="K2136" s="1063"/>
      <c r="L2136" s="1063"/>
      <c r="M2136" s="1063"/>
      <c r="N2136" s="1063"/>
      <c r="O2136" s="1063"/>
      <c r="P2136" s="1063"/>
      <c r="Q2136" s="1063"/>
      <c r="R2136" s="1063"/>
      <c r="S2136" s="1063"/>
      <c r="T2136" s="1063"/>
      <c r="U2136" s="1063"/>
      <c r="V2136" s="1063"/>
      <c r="W2136" s="1063"/>
      <c r="X2136" s="1063"/>
      <c r="Y2136" s="1063"/>
      <c r="Z2136" s="1063"/>
      <c r="AA2136" s="1063"/>
      <c r="AB2136" s="1063"/>
      <c r="AC2136" s="1063"/>
      <c r="AD2136" s="1063"/>
      <c r="AE2136" s="1063"/>
      <c r="AF2136" s="1063"/>
      <c r="AG2136" s="1063"/>
      <c r="AH2136" s="1063"/>
      <c r="AI2136" s="1063"/>
      <c r="AJ2136" s="1063"/>
      <c r="AK2136" s="1063"/>
      <c r="AL2136" s="1063"/>
      <c r="AM2136" s="1063"/>
      <c r="AN2136" s="1063"/>
      <c r="AO2136" s="1063"/>
      <c r="AP2136" s="1063"/>
      <c r="AQ2136" s="1063"/>
      <c r="AR2136" s="1063"/>
      <c r="AS2136" s="1063"/>
      <c r="AT2136" s="1063"/>
      <c r="AU2136" s="1063"/>
      <c r="AV2136" s="1063"/>
    </row>
    <row r="2137" spans="1:48" s="1108" customFormat="1" ht="27.75" customHeight="1">
      <c r="A2137" s="1076"/>
      <c r="B2137" s="1074">
        <f>+'[18]Bldg+Dev'!S2949</f>
        <v>0</v>
      </c>
      <c r="D2137" s="1063"/>
      <c r="F2137" s="1076"/>
      <c r="G2137" s="1063"/>
      <c r="H2137" s="1063"/>
      <c r="I2137" s="1063"/>
      <c r="J2137" s="1063"/>
      <c r="K2137" s="1063"/>
      <c r="L2137" s="1063"/>
      <c r="M2137" s="1063"/>
      <c r="N2137" s="1063"/>
      <c r="O2137" s="1063"/>
      <c r="P2137" s="1063"/>
      <c r="Q2137" s="1063"/>
      <c r="R2137" s="1063"/>
      <c r="S2137" s="1063"/>
      <c r="T2137" s="1063"/>
      <c r="U2137" s="1063"/>
      <c r="V2137" s="1063"/>
      <c r="W2137" s="1063"/>
      <c r="X2137" s="1063"/>
      <c r="Y2137" s="1063"/>
      <c r="Z2137" s="1063"/>
      <c r="AA2137" s="1063"/>
      <c r="AB2137" s="1063"/>
      <c r="AC2137" s="1063"/>
      <c r="AD2137" s="1063"/>
      <c r="AE2137" s="1063"/>
      <c r="AF2137" s="1063"/>
      <c r="AG2137" s="1063"/>
      <c r="AH2137" s="1063"/>
      <c r="AI2137" s="1063"/>
      <c r="AJ2137" s="1063"/>
      <c r="AK2137" s="1063"/>
      <c r="AL2137" s="1063"/>
      <c r="AM2137" s="1063"/>
      <c r="AN2137" s="1063"/>
      <c r="AO2137" s="1063"/>
      <c r="AP2137" s="1063"/>
      <c r="AQ2137" s="1063"/>
      <c r="AR2137" s="1063"/>
      <c r="AS2137" s="1063"/>
      <c r="AT2137" s="1063"/>
      <c r="AU2137" s="1063"/>
      <c r="AV2137" s="1063"/>
    </row>
    <row r="2138" spans="1:48" s="1108" customFormat="1" ht="27.75" customHeight="1">
      <c r="A2138" s="1076"/>
      <c r="B2138" s="1074">
        <f>+'[18]Bldg+Dev'!S2950</f>
        <v>0</v>
      </c>
      <c r="D2138" s="1063"/>
      <c r="F2138" s="1076"/>
      <c r="G2138" s="1063"/>
      <c r="H2138" s="1063"/>
      <c r="I2138" s="1063"/>
      <c r="J2138" s="1063"/>
      <c r="K2138" s="1063"/>
      <c r="L2138" s="1063"/>
      <c r="M2138" s="1063"/>
      <c r="N2138" s="1063"/>
      <c r="O2138" s="1063"/>
      <c r="P2138" s="1063"/>
      <c r="Q2138" s="1063"/>
      <c r="R2138" s="1063"/>
      <c r="S2138" s="1063"/>
      <c r="T2138" s="1063"/>
      <c r="U2138" s="1063"/>
      <c r="V2138" s="1063"/>
      <c r="W2138" s="1063"/>
      <c r="X2138" s="1063"/>
      <c r="Y2138" s="1063"/>
      <c r="Z2138" s="1063"/>
      <c r="AA2138" s="1063"/>
      <c r="AB2138" s="1063"/>
      <c r="AC2138" s="1063"/>
      <c r="AD2138" s="1063"/>
      <c r="AE2138" s="1063"/>
      <c r="AF2138" s="1063"/>
      <c r="AG2138" s="1063"/>
      <c r="AH2138" s="1063"/>
      <c r="AI2138" s="1063"/>
      <c r="AJ2138" s="1063"/>
      <c r="AK2138" s="1063"/>
      <c r="AL2138" s="1063"/>
      <c r="AM2138" s="1063"/>
      <c r="AN2138" s="1063"/>
      <c r="AO2138" s="1063"/>
      <c r="AP2138" s="1063"/>
      <c r="AQ2138" s="1063"/>
      <c r="AR2138" s="1063"/>
      <c r="AS2138" s="1063"/>
      <c r="AT2138" s="1063"/>
      <c r="AU2138" s="1063"/>
      <c r="AV2138" s="1063"/>
    </row>
    <row r="2139" spans="1:48" s="1108" customFormat="1" ht="27.75" customHeight="1">
      <c r="A2139" s="1076"/>
      <c r="B2139" s="1074">
        <f>+'[18]Bldg+Dev'!S2951</f>
        <v>0</v>
      </c>
      <c r="D2139" s="1063"/>
      <c r="F2139" s="1076"/>
      <c r="G2139" s="1063"/>
      <c r="H2139" s="1063"/>
      <c r="I2139" s="1063"/>
      <c r="J2139" s="1063"/>
      <c r="K2139" s="1063"/>
      <c r="L2139" s="1063"/>
      <c r="M2139" s="1063"/>
      <c r="N2139" s="1063"/>
      <c r="O2139" s="1063"/>
      <c r="P2139" s="1063"/>
      <c r="Q2139" s="1063"/>
      <c r="R2139" s="1063"/>
      <c r="S2139" s="1063"/>
      <c r="T2139" s="1063"/>
      <c r="U2139" s="1063"/>
      <c r="V2139" s="1063"/>
      <c r="W2139" s="1063"/>
      <c r="X2139" s="1063"/>
      <c r="Y2139" s="1063"/>
      <c r="Z2139" s="1063"/>
      <c r="AA2139" s="1063"/>
      <c r="AB2139" s="1063"/>
      <c r="AC2139" s="1063"/>
      <c r="AD2139" s="1063"/>
      <c r="AE2139" s="1063"/>
      <c r="AF2139" s="1063"/>
      <c r="AG2139" s="1063"/>
      <c r="AH2139" s="1063"/>
      <c r="AI2139" s="1063"/>
      <c r="AJ2139" s="1063"/>
      <c r="AK2139" s="1063"/>
      <c r="AL2139" s="1063"/>
      <c r="AM2139" s="1063"/>
      <c r="AN2139" s="1063"/>
      <c r="AO2139" s="1063"/>
      <c r="AP2139" s="1063"/>
      <c r="AQ2139" s="1063"/>
      <c r="AR2139" s="1063"/>
      <c r="AS2139" s="1063"/>
      <c r="AT2139" s="1063"/>
      <c r="AU2139" s="1063"/>
      <c r="AV2139" s="1063"/>
    </row>
    <row r="2140" spans="1:48" s="1108" customFormat="1" ht="27.75" customHeight="1">
      <c r="A2140" s="1076"/>
      <c r="B2140" s="1074">
        <f>+'[18]Bldg+Dev'!S2952</f>
        <v>0</v>
      </c>
      <c r="D2140" s="1063"/>
      <c r="F2140" s="1076"/>
      <c r="G2140" s="1063"/>
      <c r="H2140" s="1063"/>
      <c r="I2140" s="1063"/>
      <c r="J2140" s="1063"/>
      <c r="K2140" s="1063"/>
      <c r="L2140" s="1063"/>
      <c r="M2140" s="1063"/>
      <c r="N2140" s="1063"/>
      <c r="O2140" s="1063"/>
      <c r="P2140" s="1063"/>
      <c r="Q2140" s="1063"/>
      <c r="R2140" s="1063"/>
      <c r="S2140" s="1063"/>
      <c r="T2140" s="1063"/>
      <c r="U2140" s="1063"/>
      <c r="V2140" s="1063"/>
      <c r="W2140" s="1063"/>
      <c r="X2140" s="1063"/>
      <c r="Y2140" s="1063"/>
      <c r="Z2140" s="1063"/>
      <c r="AA2140" s="1063"/>
      <c r="AB2140" s="1063"/>
      <c r="AC2140" s="1063"/>
      <c r="AD2140" s="1063"/>
      <c r="AE2140" s="1063"/>
      <c r="AF2140" s="1063"/>
      <c r="AG2140" s="1063"/>
      <c r="AH2140" s="1063"/>
      <c r="AI2140" s="1063"/>
      <c r="AJ2140" s="1063"/>
      <c r="AK2140" s="1063"/>
      <c r="AL2140" s="1063"/>
      <c r="AM2140" s="1063"/>
      <c r="AN2140" s="1063"/>
      <c r="AO2140" s="1063"/>
      <c r="AP2140" s="1063"/>
      <c r="AQ2140" s="1063"/>
      <c r="AR2140" s="1063"/>
      <c r="AS2140" s="1063"/>
      <c r="AT2140" s="1063"/>
      <c r="AU2140" s="1063"/>
      <c r="AV2140" s="1063"/>
    </row>
    <row r="2141" spans="1:48" s="1108" customFormat="1" ht="27.75" customHeight="1">
      <c r="A2141" s="1076"/>
      <c r="B2141" s="1074">
        <f>+'[18]Bldg+Dev'!S2953</f>
        <v>0</v>
      </c>
      <c r="D2141" s="1063"/>
      <c r="F2141" s="1076"/>
      <c r="G2141" s="1063"/>
      <c r="H2141" s="1063"/>
      <c r="I2141" s="1063"/>
      <c r="J2141" s="1063"/>
      <c r="K2141" s="1063"/>
      <c r="L2141" s="1063"/>
      <c r="M2141" s="1063"/>
      <c r="N2141" s="1063"/>
      <c r="O2141" s="1063"/>
      <c r="P2141" s="1063"/>
      <c r="Q2141" s="1063"/>
      <c r="R2141" s="1063"/>
      <c r="S2141" s="1063"/>
      <c r="T2141" s="1063"/>
      <c r="U2141" s="1063"/>
      <c r="V2141" s="1063"/>
      <c r="W2141" s="1063"/>
      <c r="X2141" s="1063"/>
      <c r="Y2141" s="1063"/>
      <c r="Z2141" s="1063"/>
      <c r="AA2141" s="1063"/>
      <c r="AB2141" s="1063"/>
      <c r="AC2141" s="1063"/>
      <c r="AD2141" s="1063"/>
      <c r="AE2141" s="1063"/>
      <c r="AF2141" s="1063"/>
      <c r="AG2141" s="1063"/>
      <c r="AH2141" s="1063"/>
      <c r="AI2141" s="1063"/>
      <c r="AJ2141" s="1063"/>
      <c r="AK2141" s="1063"/>
      <c r="AL2141" s="1063"/>
      <c r="AM2141" s="1063"/>
      <c r="AN2141" s="1063"/>
      <c r="AO2141" s="1063"/>
      <c r="AP2141" s="1063"/>
      <c r="AQ2141" s="1063"/>
      <c r="AR2141" s="1063"/>
      <c r="AS2141" s="1063"/>
      <c r="AT2141" s="1063"/>
      <c r="AU2141" s="1063"/>
      <c r="AV2141" s="1063"/>
    </row>
    <row r="2142" spans="1:48" s="1108" customFormat="1" ht="27.75" customHeight="1">
      <c r="A2142" s="1076"/>
      <c r="B2142" s="1074">
        <f>+'[18]Bldg+Dev'!S2954</f>
        <v>0</v>
      </c>
      <c r="D2142" s="1063"/>
      <c r="F2142" s="1076"/>
      <c r="G2142" s="1063"/>
      <c r="H2142" s="1063"/>
      <c r="I2142" s="1063"/>
      <c r="J2142" s="1063"/>
      <c r="K2142" s="1063"/>
      <c r="L2142" s="1063"/>
      <c r="M2142" s="1063"/>
      <c r="N2142" s="1063"/>
      <c r="O2142" s="1063"/>
      <c r="P2142" s="1063"/>
      <c r="Q2142" s="1063"/>
      <c r="R2142" s="1063"/>
      <c r="S2142" s="1063"/>
      <c r="T2142" s="1063"/>
      <c r="U2142" s="1063"/>
      <c r="V2142" s="1063"/>
      <c r="W2142" s="1063"/>
      <c r="X2142" s="1063"/>
      <c r="Y2142" s="1063"/>
      <c r="Z2142" s="1063"/>
      <c r="AA2142" s="1063"/>
      <c r="AB2142" s="1063"/>
      <c r="AC2142" s="1063"/>
      <c r="AD2142" s="1063"/>
      <c r="AE2142" s="1063"/>
      <c r="AF2142" s="1063"/>
      <c r="AG2142" s="1063"/>
      <c r="AH2142" s="1063"/>
      <c r="AI2142" s="1063"/>
      <c r="AJ2142" s="1063"/>
      <c r="AK2142" s="1063"/>
      <c r="AL2142" s="1063"/>
      <c r="AM2142" s="1063"/>
      <c r="AN2142" s="1063"/>
      <c r="AO2142" s="1063"/>
      <c r="AP2142" s="1063"/>
      <c r="AQ2142" s="1063"/>
      <c r="AR2142" s="1063"/>
      <c r="AS2142" s="1063"/>
      <c r="AT2142" s="1063"/>
      <c r="AU2142" s="1063"/>
      <c r="AV2142" s="1063"/>
    </row>
    <row r="2143" spans="1:48" s="1108" customFormat="1" ht="27.75" customHeight="1">
      <c r="A2143" s="1076"/>
      <c r="B2143" s="1074">
        <f>+'[18]Bldg+Dev'!S2955</f>
        <v>0</v>
      </c>
      <c r="D2143" s="1063"/>
      <c r="F2143" s="1076"/>
      <c r="G2143" s="1063"/>
      <c r="H2143" s="1063"/>
      <c r="I2143" s="1063"/>
      <c r="J2143" s="1063"/>
      <c r="K2143" s="1063"/>
      <c r="L2143" s="1063"/>
      <c r="M2143" s="1063"/>
      <c r="N2143" s="1063"/>
      <c r="O2143" s="1063"/>
      <c r="P2143" s="1063"/>
      <c r="Q2143" s="1063"/>
      <c r="R2143" s="1063"/>
      <c r="S2143" s="1063"/>
      <c r="T2143" s="1063"/>
      <c r="U2143" s="1063"/>
      <c r="V2143" s="1063"/>
      <c r="W2143" s="1063"/>
      <c r="X2143" s="1063"/>
      <c r="Y2143" s="1063"/>
      <c r="Z2143" s="1063"/>
      <c r="AA2143" s="1063"/>
      <c r="AB2143" s="1063"/>
      <c r="AC2143" s="1063"/>
      <c r="AD2143" s="1063"/>
      <c r="AE2143" s="1063"/>
      <c r="AF2143" s="1063"/>
      <c r="AG2143" s="1063"/>
      <c r="AH2143" s="1063"/>
      <c r="AI2143" s="1063"/>
      <c r="AJ2143" s="1063"/>
      <c r="AK2143" s="1063"/>
      <c r="AL2143" s="1063"/>
      <c r="AM2143" s="1063"/>
      <c r="AN2143" s="1063"/>
      <c r="AO2143" s="1063"/>
      <c r="AP2143" s="1063"/>
      <c r="AQ2143" s="1063"/>
      <c r="AR2143" s="1063"/>
      <c r="AS2143" s="1063"/>
      <c r="AT2143" s="1063"/>
      <c r="AU2143" s="1063"/>
      <c r="AV2143" s="1063"/>
    </row>
    <row r="2144" spans="1:48" s="1108" customFormat="1" ht="27.75" customHeight="1">
      <c r="A2144" s="1076"/>
      <c r="B2144" s="1074">
        <f>+'[18]Bldg+Dev'!S2956</f>
        <v>0</v>
      </c>
      <c r="D2144" s="1063"/>
      <c r="F2144" s="1076"/>
      <c r="G2144" s="1063"/>
      <c r="H2144" s="1063"/>
      <c r="I2144" s="1063"/>
      <c r="J2144" s="1063"/>
      <c r="K2144" s="1063"/>
      <c r="L2144" s="1063"/>
      <c r="M2144" s="1063"/>
      <c r="N2144" s="1063"/>
      <c r="O2144" s="1063"/>
      <c r="P2144" s="1063"/>
      <c r="Q2144" s="1063"/>
      <c r="R2144" s="1063"/>
      <c r="S2144" s="1063"/>
      <c r="T2144" s="1063"/>
      <c r="U2144" s="1063"/>
      <c r="V2144" s="1063"/>
      <c r="W2144" s="1063"/>
      <c r="X2144" s="1063"/>
      <c r="Y2144" s="1063"/>
      <c r="Z2144" s="1063"/>
      <c r="AA2144" s="1063"/>
      <c r="AB2144" s="1063"/>
      <c r="AC2144" s="1063"/>
      <c r="AD2144" s="1063"/>
      <c r="AE2144" s="1063"/>
      <c r="AF2144" s="1063"/>
      <c r="AG2144" s="1063"/>
      <c r="AH2144" s="1063"/>
      <c r="AI2144" s="1063"/>
      <c r="AJ2144" s="1063"/>
      <c r="AK2144" s="1063"/>
      <c r="AL2144" s="1063"/>
      <c r="AM2144" s="1063"/>
      <c r="AN2144" s="1063"/>
      <c r="AO2144" s="1063"/>
      <c r="AP2144" s="1063"/>
      <c r="AQ2144" s="1063"/>
      <c r="AR2144" s="1063"/>
      <c r="AS2144" s="1063"/>
      <c r="AT2144" s="1063"/>
      <c r="AU2144" s="1063"/>
      <c r="AV2144" s="1063"/>
    </row>
    <row r="2145" spans="1:48" s="1108" customFormat="1" ht="27.75" customHeight="1">
      <c r="A2145" s="1076"/>
      <c r="B2145" s="1074">
        <f>+'[18]Bldg+Dev'!S2957</f>
        <v>0</v>
      </c>
      <c r="D2145" s="1063"/>
      <c r="F2145" s="1076"/>
      <c r="G2145" s="1063"/>
      <c r="H2145" s="1063"/>
      <c r="I2145" s="1063"/>
      <c r="J2145" s="1063"/>
      <c r="K2145" s="1063"/>
      <c r="L2145" s="1063"/>
      <c r="M2145" s="1063"/>
      <c r="N2145" s="1063"/>
      <c r="O2145" s="1063"/>
      <c r="P2145" s="1063"/>
      <c r="Q2145" s="1063"/>
      <c r="R2145" s="1063"/>
      <c r="S2145" s="1063"/>
      <c r="T2145" s="1063"/>
      <c r="U2145" s="1063"/>
      <c r="V2145" s="1063"/>
      <c r="W2145" s="1063"/>
      <c r="X2145" s="1063"/>
      <c r="Y2145" s="1063"/>
      <c r="Z2145" s="1063"/>
      <c r="AA2145" s="1063"/>
      <c r="AB2145" s="1063"/>
      <c r="AC2145" s="1063"/>
      <c r="AD2145" s="1063"/>
      <c r="AE2145" s="1063"/>
      <c r="AF2145" s="1063"/>
      <c r="AG2145" s="1063"/>
      <c r="AH2145" s="1063"/>
      <c r="AI2145" s="1063"/>
      <c r="AJ2145" s="1063"/>
      <c r="AK2145" s="1063"/>
      <c r="AL2145" s="1063"/>
      <c r="AM2145" s="1063"/>
      <c r="AN2145" s="1063"/>
      <c r="AO2145" s="1063"/>
      <c r="AP2145" s="1063"/>
      <c r="AQ2145" s="1063"/>
      <c r="AR2145" s="1063"/>
      <c r="AS2145" s="1063"/>
      <c r="AT2145" s="1063"/>
      <c r="AU2145" s="1063"/>
      <c r="AV2145" s="1063"/>
    </row>
    <row r="2146" spans="1:48" s="1108" customFormat="1" ht="27.75" customHeight="1">
      <c r="A2146" s="1076"/>
      <c r="B2146" s="1074">
        <f>+'[18]Bldg+Dev'!S2958</f>
        <v>0</v>
      </c>
      <c r="D2146" s="1063"/>
      <c r="F2146" s="1076"/>
      <c r="G2146" s="1063"/>
      <c r="H2146" s="1063"/>
      <c r="I2146" s="1063"/>
      <c r="J2146" s="1063"/>
      <c r="K2146" s="1063"/>
      <c r="L2146" s="1063"/>
      <c r="M2146" s="1063"/>
      <c r="N2146" s="1063"/>
      <c r="O2146" s="1063"/>
      <c r="P2146" s="1063"/>
      <c r="Q2146" s="1063"/>
      <c r="R2146" s="1063"/>
      <c r="S2146" s="1063"/>
      <c r="T2146" s="1063"/>
      <c r="U2146" s="1063"/>
      <c r="V2146" s="1063"/>
      <c r="W2146" s="1063"/>
      <c r="X2146" s="1063"/>
      <c r="Y2146" s="1063"/>
      <c r="Z2146" s="1063"/>
      <c r="AA2146" s="1063"/>
      <c r="AB2146" s="1063"/>
      <c r="AC2146" s="1063"/>
      <c r="AD2146" s="1063"/>
      <c r="AE2146" s="1063"/>
      <c r="AF2146" s="1063"/>
      <c r="AG2146" s="1063"/>
      <c r="AH2146" s="1063"/>
      <c r="AI2146" s="1063"/>
      <c r="AJ2146" s="1063"/>
      <c r="AK2146" s="1063"/>
      <c r="AL2146" s="1063"/>
      <c r="AM2146" s="1063"/>
      <c r="AN2146" s="1063"/>
      <c r="AO2146" s="1063"/>
      <c r="AP2146" s="1063"/>
      <c r="AQ2146" s="1063"/>
      <c r="AR2146" s="1063"/>
      <c r="AS2146" s="1063"/>
      <c r="AT2146" s="1063"/>
      <c r="AU2146" s="1063"/>
      <c r="AV2146" s="1063"/>
    </row>
    <row r="2147" spans="1:48" s="1108" customFormat="1" ht="27.75" customHeight="1">
      <c r="A2147" s="1076"/>
      <c r="B2147" s="1074">
        <f>+'[18]Bldg+Dev'!S2959</f>
        <v>0</v>
      </c>
      <c r="D2147" s="1063"/>
      <c r="F2147" s="1076"/>
      <c r="G2147" s="1063"/>
      <c r="H2147" s="1063"/>
      <c r="I2147" s="1063"/>
      <c r="J2147" s="1063"/>
      <c r="K2147" s="1063"/>
      <c r="L2147" s="1063"/>
      <c r="M2147" s="1063"/>
      <c r="N2147" s="1063"/>
      <c r="O2147" s="1063"/>
      <c r="P2147" s="1063"/>
      <c r="Q2147" s="1063"/>
      <c r="R2147" s="1063"/>
      <c r="S2147" s="1063"/>
      <c r="T2147" s="1063"/>
      <c r="U2147" s="1063"/>
      <c r="V2147" s="1063"/>
      <c r="W2147" s="1063"/>
      <c r="X2147" s="1063"/>
      <c r="Y2147" s="1063"/>
      <c r="Z2147" s="1063"/>
      <c r="AA2147" s="1063"/>
      <c r="AB2147" s="1063"/>
      <c r="AC2147" s="1063"/>
      <c r="AD2147" s="1063"/>
      <c r="AE2147" s="1063"/>
      <c r="AF2147" s="1063"/>
      <c r="AG2147" s="1063"/>
      <c r="AH2147" s="1063"/>
      <c r="AI2147" s="1063"/>
      <c r="AJ2147" s="1063"/>
      <c r="AK2147" s="1063"/>
      <c r="AL2147" s="1063"/>
      <c r="AM2147" s="1063"/>
      <c r="AN2147" s="1063"/>
      <c r="AO2147" s="1063"/>
      <c r="AP2147" s="1063"/>
      <c r="AQ2147" s="1063"/>
      <c r="AR2147" s="1063"/>
      <c r="AS2147" s="1063"/>
      <c r="AT2147" s="1063"/>
      <c r="AU2147" s="1063"/>
      <c r="AV2147" s="1063"/>
    </row>
    <row r="2148" spans="1:48" s="1108" customFormat="1" ht="27.75" customHeight="1">
      <c r="A2148" s="1076"/>
      <c r="B2148" s="1074">
        <f>+'[18]Bldg+Dev'!S2960</f>
        <v>0</v>
      </c>
      <c r="D2148" s="1063"/>
      <c r="F2148" s="1076"/>
      <c r="G2148" s="1063"/>
      <c r="H2148" s="1063"/>
      <c r="I2148" s="1063"/>
      <c r="J2148" s="1063"/>
      <c r="K2148" s="1063"/>
      <c r="L2148" s="1063"/>
      <c r="M2148" s="1063"/>
      <c r="N2148" s="1063"/>
      <c r="O2148" s="1063"/>
      <c r="P2148" s="1063"/>
      <c r="Q2148" s="1063"/>
      <c r="R2148" s="1063"/>
      <c r="S2148" s="1063"/>
      <c r="T2148" s="1063"/>
      <c r="U2148" s="1063"/>
      <c r="V2148" s="1063"/>
      <c r="W2148" s="1063"/>
      <c r="X2148" s="1063"/>
      <c r="Y2148" s="1063"/>
      <c r="Z2148" s="1063"/>
      <c r="AA2148" s="1063"/>
      <c r="AB2148" s="1063"/>
      <c r="AC2148" s="1063"/>
      <c r="AD2148" s="1063"/>
      <c r="AE2148" s="1063"/>
      <c r="AF2148" s="1063"/>
      <c r="AG2148" s="1063"/>
      <c r="AH2148" s="1063"/>
      <c r="AI2148" s="1063"/>
      <c r="AJ2148" s="1063"/>
      <c r="AK2148" s="1063"/>
      <c r="AL2148" s="1063"/>
      <c r="AM2148" s="1063"/>
      <c r="AN2148" s="1063"/>
      <c r="AO2148" s="1063"/>
      <c r="AP2148" s="1063"/>
      <c r="AQ2148" s="1063"/>
      <c r="AR2148" s="1063"/>
      <c r="AS2148" s="1063"/>
      <c r="AT2148" s="1063"/>
      <c r="AU2148" s="1063"/>
      <c r="AV2148" s="1063"/>
    </row>
    <row r="2149" spans="1:48" s="1108" customFormat="1" ht="27.75" customHeight="1">
      <c r="A2149" s="1076"/>
      <c r="B2149" s="1074">
        <f>+'[18]Bldg+Dev'!S2961</f>
        <v>0</v>
      </c>
      <c r="D2149" s="1063"/>
      <c r="F2149" s="1076"/>
      <c r="G2149" s="1063"/>
      <c r="H2149" s="1063"/>
      <c r="I2149" s="1063"/>
      <c r="J2149" s="1063"/>
      <c r="K2149" s="1063"/>
      <c r="L2149" s="1063"/>
      <c r="M2149" s="1063"/>
      <c r="N2149" s="1063"/>
      <c r="O2149" s="1063"/>
      <c r="P2149" s="1063"/>
      <c r="Q2149" s="1063"/>
      <c r="R2149" s="1063"/>
      <c r="S2149" s="1063"/>
      <c r="T2149" s="1063"/>
      <c r="U2149" s="1063"/>
      <c r="V2149" s="1063"/>
      <c r="W2149" s="1063"/>
      <c r="X2149" s="1063"/>
      <c r="Y2149" s="1063"/>
      <c r="Z2149" s="1063"/>
      <c r="AA2149" s="1063"/>
      <c r="AB2149" s="1063"/>
      <c r="AC2149" s="1063"/>
      <c r="AD2149" s="1063"/>
      <c r="AE2149" s="1063"/>
      <c r="AF2149" s="1063"/>
      <c r="AG2149" s="1063"/>
      <c r="AH2149" s="1063"/>
      <c r="AI2149" s="1063"/>
      <c r="AJ2149" s="1063"/>
      <c r="AK2149" s="1063"/>
      <c r="AL2149" s="1063"/>
      <c r="AM2149" s="1063"/>
      <c r="AN2149" s="1063"/>
      <c r="AO2149" s="1063"/>
      <c r="AP2149" s="1063"/>
      <c r="AQ2149" s="1063"/>
      <c r="AR2149" s="1063"/>
      <c r="AS2149" s="1063"/>
      <c r="AT2149" s="1063"/>
      <c r="AU2149" s="1063"/>
      <c r="AV2149" s="1063"/>
    </row>
    <row r="2150" spans="1:48" s="1108" customFormat="1" ht="27.75" customHeight="1">
      <c r="A2150" s="1076"/>
      <c r="B2150" s="1074">
        <f>+'[18]Bldg+Dev'!S2962</f>
        <v>0</v>
      </c>
      <c r="D2150" s="1063"/>
      <c r="F2150" s="1076"/>
      <c r="G2150" s="1063"/>
      <c r="H2150" s="1063"/>
      <c r="I2150" s="1063"/>
      <c r="J2150" s="1063"/>
      <c r="K2150" s="1063"/>
      <c r="L2150" s="1063"/>
      <c r="M2150" s="1063"/>
      <c r="N2150" s="1063"/>
      <c r="O2150" s="1063"/>
      <c r="P2150" s="1063"/>
      <c r="Q2150" s="1063"/>
      <c r="R2150" s="1063"/>
      <c r="S2150" s="1063"/>
      <c r="T2150" s="1063"/>
      <c r="U2150" s="1063"/>
      <c r="V2150" s="1063"/>
      <c r="W2150" s="1063"/>
      <c r="X2150" s="1063"/>
      <c r="Y2150" s="1063"/>
      <c r="Z2150" s="1063"/>
      <c r="AA2150" s="1063"/>
      <c r="AB2150" s="1063"/>
      <c r="AC2150" s="1063"/>
      <c r="AD2150" s="1063"/>
      <c r="AE2150" s="1063"/>
      <c r="AF2150" s="1063"/>
      <c r="AG2150" s="1063"/>
      <c r="AH2150" s="1063"/>
      <c r="AI2150" s="1063"/>
      <c r="AJ2150" s="1063"/>
      <c r="AK2150" s="1063"/>
      <c r="AL2150" s="1063"/>
      <c r="AM2150" s="1063"/>
      <c r="AN2150" s="1063"/>
      <c r="AO2150" s="1063"/>
      <c r="AP2150" s="1063"/>
      <c r="AQ2150" s="1063"/>
      <c r="AR2150" s="1063"/>
      <c r="AS2150" s="1063"/>
      <c r="AT2150" s="1063"/>
      <c r="AU2150" s="1063"/>
      <c r="AV2150" s="1063"/>
    </row>
    <row r="2151" spans="1:48" s="1108" customFormat="1" ht="27.75" customHeight="1">
      <c r="A2151" s="1076"/>
      <c r="B2151" s="1074">
        <f>+'[18]Bldg+Dev'!S2963</f>
        <v>0</v>
      </c>
      <c r="D2151" s="1063"/>
      <c r="F2151" s="1076"/>
      <c r="G2151" s="1063"/>
      <c r="H2151" s="1063"/>
      <c r="I2151" s="1063"/>
      <c r="J2151" s="1063"/>
      <c r="K2151" s="1063"/>
      <c r="L2151" s="1063"/>
      <c r="M2151" s="1063"/>
      <c r="N2151" s="1063"/>
      <c r="O2151" s="1063"/>
      <c r="P2151" s="1063"/>
      <c r="Q2151" s="1063"/>
      <c r="R2151" s="1063"/>
      <c r="S2151" s="1063"/>
      <c r="T2151" s="1063"/>
      <c r="U2151" s="1063"/>
      <c r="V2151" s="1063"/>
      <c r="W2151" s="1063"/>
      <c r="X2151" s="1063"/>
      <c r="Y2151" s="1063"/>
      <c r="Z2151" s="1063"/>
      <c r="AA2151" s="1063"/>
      <c r="AB2151" s="1063"/>
      <c r="AC2151" s="1063"/>
      <c r="AD2151" s="1063"/>
      <c r="AE2151" s="1063"/>
      <c r="AF2151" s="1063"/>
      <c r="AG2151" s="1063"/>
      <c r="AH2151" s="1063"/>
      <c r="AI2151" s="1063"/>
      <c r="AJ2151" s="1063"/>
      <c r="AK2151" s="1063"/>
      <c r="AL2151" s="1063"/>
      <c r="AM2151" s="1063"/>
      <c r="AN2151" s="1063"/>
      <c r="AO2151" s="1063"/>
      <c r="AP2151" s="1063"/>
      <c r="AQ2151" s="1063"/>
      <c r="AR2151" s="1063"/>
      <c r="AS2151" s="1063"/>
      <c r="AT2151" s="1063"/>
      <c r="AU2151" s="1063"/>
      <c r="AV2151" s="1063"/>
    </row>
    <row r="2152" spans="1:48" s="1108" customFormat="1" ht="27.75" customHeight="1">
      <c r="A2152" s="1076"/>
      <c r="B2152" s="1074">
        <f>+'[18]Bldg+Dev'!S2964</f>
        <v>0</v>
      </c>
      <c r="D2152" s="1063"/>
      <c r="F2152" s="1076"/>
      <c r="G2152" s="1063"/>
      <c r="H2152" s="1063"/>
      <c r="I2152" s="1063"/>
      <c r="J2152" s="1063"/>
      <c r="K2152" s="1063"/>
      <c r="L2152" s="1063"/>
      <c r="M2152" s="1063"/>
      <c r="N2152" s="1063"/>
      <c r="O2152" s="1063"/>
      <c r="P2152" s="1063"/>
      <c r="Q2152" s="1063"/>
      <c r="R2152" s="1063"/>
      <c r="S2152" s="1063"/>
      <c r="T2152" s="1063"/>
      <c r="U2152" s="1063"/>
      <c r="V2152" s="1063"/>
      <c r="W2152" s="1063"/>
      <c r="X2152" s="1063"/>
      <c r="Y2152" s="1063"/>
      <c r="Z2152" s="1063"/>
      <c r="AA2152" s="1063"/>
      <c r="AB2152" s="1063"/>
      <c r="AC2152" s="1063"/>
      <c r="AD2152" s="1063"/>
      <c r="AE2152" s="1063"/>
      <c r="AF2152" s="1063"/>
      <c r="AG2152" s="1063"/>
      <c r="AH2152" s="1063"/>
      <c r="AI2152" s="1063"/>
      <c r="AJ2152" s="1063"/>
      <c r="AK2152" s="1063"/>
      <c r="AL2152" s="1063"/>
      <c r="AM2152" s="1063"/>
      <c r="AN2152" s="1063"/>
      <c r="AO2152" s="1063"/>
      <c r="AP2152" s="1063"/>
      <c r="AQ2152" s="1063"/>
      <c r="AR2152" s="1063"/>
      <c r="AS2152" s="1063"/>
      <c r="AT2152" s="1063"/>
      <c r="AU2152" s="1063"/>
      <c r="AV2152" s="1063"/>
    </row>
    <row r="2153" spans="1:48" s="1108" customFormat="1" ht="27.75" customHeight="1">
      <c r="A2153" s="1076"/>
      <c r="B2153" s="1074">
        <f>+'[18]Bldg+Dev'!S2965</f>
        <v>0</v>
      </c>
      <c r="D2153" s="1063"/>
      <c r="F2153" s="1076"/>
      <c r="G2153" s="1063"/>
      <c r="H2153" s="1063"/>
      <c r="I2153" s="1063"/>
      <c r="J2153" s="1063"/>
      <c r="K2153" s="1063"/>
      <c r="L2153" s="1063"/>
      <c r="M2153" s="1063"/>
      <c r="N2153" s="1063"/>
      <c r="O2153" s="1063"/>
      <c r="P2153" s="1063"/>
      <c r="Q2153" s="1063"/>
      <c r="R2153" s="1063"/>
      <c r="S2153" s="1063"/>
      <c r="T2153" s="1063"/>
      <c r="U2153" s="1063"/>
      <c r="V2153" s="1063"/>
      <c r="W2153" s="1063"/>
      <c r="X2153" s="1063"/>
      <c r="Y2153" s="1063"/>
      <c r="Z2153" s="1063"/>
      <c r="AA2153" s="1063"/>
      <c r="AB2153" s="1063"/>
      <c r="AC2153" s="1063"/>
      <c r="AD2153" s="1063"/>
      <c r="AE2153" s="1063"/>
      <c r="AF2153" s="1063"/>
      <c r="AG2153" s="1063"/>
      <c r="AH2153" s="1063"/>
      <c r="AI2153" s="1063"/>
      <c r="AJ2153" s="1063"/>
      <c r="AK2153" s="1063"/>
      <c r="AL2153" s="1063"/>
      <c r="AM2153" s="1063"/>
      <c r="AN2153" s="1063"/>
      <c r="AO2153" s="1063"/>
      <c r="AP2153" s="1063"/>
      <c r="AQ2153" s="1063"/>
      <c r="AR2153" s="1063"/>
      <c r="AS2153" s="1063"/>
      <c r="AT2153" s="1063"/>
      <c r="AU2153" s="1063"/>
      <c r="AV2153" s="1063"/>
    </row>
    <row r="2154" spans="1:48" s="1108" customFormat="1" ht="27.75" customHeight="1">
      <c r="A2154" s="1076"/>
      <c r="B2154" s="1074">
        <f>+'[18]Bldg+Dev'!S2966</f>
        <v>0</v>
      </c>
      <c r="D2154" s="1063"/>
      <c r="F2154" s="1076"/>
      <c r="G2154" s="1063"/>
      <c r="H2154" s="1063"/>
      <c r="I2154" s="1063"/>
      <c r="J2154" s="1063"/>
      <c r="K2154" s="1063"/>
      <c r="L2154" s="1063"/>
      <c r="M2154" s="1063"/>
      <c r="N2154" s="1063"/>
      <c r="O2154" s="1063"/>
      <c r="P2154" s="1063"/>
      <c r="Q2154" s="1063"/>
      <c r="R2154" s="1063"/>
      <c r="S2154" s="1063"/>
      <c r="T2154" s="1063"/>
      <c r="U2154" s="1063"/>
      <c r="V2154" s="1063"/>
      <c r="W2154" s="1063"/>
      <c r="X2154" s="1063"/>
      <c r="Y2154" s="1063"/>
      <c r="Z2154" s="1063"/>
      <c r="AA2154" s="1063"/>
      <c r="AB2154" s="1063"/>
      <c r="AC2154" s="1063"/>
      <c r="AD2154" s="1063"/>
      <c r="AE2154" s="1063"/>
      <c r="AF2154" s="1063"/>
      <c r="AG2154" s="1063"/>
      <c r="AH2154" s="1063"/>
      <c r="AI2154" s="1063"/>
      <c r="AJ2154" s="1063"/>
      <c r="AK2154" s="1063"/>
      <c r="AL2154" s="1063"/>
      <c r="AM2154" s="1063"/>
      <c r="AN2154" s="1063"/>
      <c r="AO2154" s="1063"/>
      <c r="AP2154" s="1063"/>
      <c r="AQ2154" s="1063"/>
      <c r="AR2154" s="1063"/>
      <c r="AS2154" s="1063"/>
      <c r="AT2154" s="1063"/>
      <c r="AU2154" s="1063"/>
      <c r="AV2154" s="1063"/>
    </row>
    <row r="2155" spans="1:48" s="1108" customFormat="1" ht="27.75" customHeight="1">
      <c r="A2155" s="1076"/>
      <c r="B2155" s="1074">
        <f>+'[18]Bldg+Dev'!S2967</f>
        <v>0</v>
      </c>
      <c r="D2155" s="1063"/>
      <c r="F2155" s="1076"/>
      <c r="G2155" s="1063"/>
      <c r="H2155" s="1063"/>
      <c r="I2155" s="1063"/>
      <c r="J2155" s="1063"/>
      <c r="K2155" s="1063"/>
      <c r="L2155" s="1063"/>
      <c r="M2155" s="1063"/>
      <c r="N2155" s="1063"/>
      <c r="O2155" s="1063"/>
      <c r="P2155" s="1063"/>
      <c r="Q2155" s="1063"/>
      <c r="R2155" s="1063"/>
      <c r="S2155" s="1063"/>
      <c r="T2155" s="1063"/>
      <c r="U2155" s="1063"/>
      <c r="V2155" s="1063"/>
      <c r="W2155" s="1063"/>
      <c r="X2155" s="1063"/>
      <c r="Y2155" s="1063"/>
      <c r="Z2155" s="1063"/>
      <c r="AA2155" s="1063"/>
      <c r="AB2155" s="1063"/>
      <c r="AC2155" s="1063"/>
      <c r="AD2155" s="1063"/>
      <c r="AE2155" s="1063"/>
      <c r="AF2155" s="1063"/>
      <c r="AG2155" s="1063"/>
      <c r="AH2155" s="1063"/>
      <c r="AI2155" s="1063"/>
      <c r="AJ2155" s="1063"/>
      <c r="AK2155" s="1063"/>
      <c r="AL2155" s="1063"/>
      <c r="AM2155" s="1063"/>
      <c r="AN2155" s="1063"/>
      <c r="AO2155" s="1063"/>
      <c r="AP2155" s="1063"/>
      <c r="AQ2155" s="1063"/>
      <c r="AR2155" s="1063"/>
      <c r="AS2155" s="1063"/>
      <c r="AT2155" s="1063"/>
      <c r="AU2155" s="1063"/>
      <c r="AV2155" s="1063"/>
    </row>
    <row r="2156" spans="1:48" s="1108" customFormat="1" ht="27.75" customHeight="1">
      <c r="A2156" s="1076"/>
      <c r="B2156" s="1074">
        <f>+'[18]Bldg+Dev'!S2968</f>
        <v>0</v>
      </c>
      <c r="D2156" s="1063"/>
      <c r="F2156" s="1076"/>
      <c r="G2156" s="1063"/>
      <c r="H2156" s="1063"/>
      <c r="I2156" s="1063"/>
      <c r="J2156" s="1063"/>
      <c r="K2156" s="1063"/>
      <c r="L2156" s="1063"/>
      <c r="M2156" s="1063"/>
      <c r="N2156" s="1063"/>
      <c r="O2156" s="1063"/>
      <c r="P2156" s="1063"/>
      <c r="Q2156" s="1063"/>
      <c r="R2156" s="1063"/>
      <c r="S2156" s="1063"/>
      <c r="T2156" s="1063"/>
      <c r="U2156" s="1063"/>
      <c r="V2156" s="1063"/>
      <c r="W2156" s="1063"/>
      <c r="X2156" s="1063"/>
      <c r="Y2156" s="1063"/>
      <c r="Z2156" s="1063"/>
      <c r="AA2156" s="1063"/>
      <c r="AB2156" s="1063"/>
      <c r="AC2156" s="1063"/>
      <c r="AD2156" s="1063"/>
      <c r="AE2156" s="1063"/>
      <c r="AF2156" s="1063"/>
      <c r="AG2156" s="1063"/>
      <c r="AH2156" s="1063"/>
      <c r="AI2156" s="1063"/>
      <c r="AJ2156" s="1063"/>
      <c r="AK2156" s="1063"/>
      <c r="AL2156" s="1063"/>
      <c r="AM2156" s="1063"/>
      <c r="AN2156" s="1063"/>
      <c r="AO2156" s="1063"/>
      <c r="AP2156" s="1063"/>
      <c r="AQ2156" s="1063"/>
      <c r="AR2156" s="1063"/>
      <c r="AS2156" s="1063"/>
      <c r="AT2156" s="1063"/>
      <c r="AU2156" s="1063"/>
      <c r="AV2156" s="1063"/>
    </row>
    <row r="2157" spans="1:48" s="1108" customFormat="1" ht="27.75" customHeight="1">
      <c r="A2157" s="1076"/>
      <c r="B2157" s="1074">
        <f>+'[18]Bldg+Dev'!S2969</f>
        <v>0</v>
      </c>
      <c r="D2157" s="1063"/>
      <c r="F2157" s="1076"/>
      <c r="G2157" s="1063"/>
      <c r="H2157" s="1063"/>
      <c r="I2157" s="1063"/>
      <c r="J2157" s="1063"/>
      <c r="K2157" s="1063"/>
      <c r="L2157" s="1063"/>
      <c r="M2157" s="1063"/>
      <c r="N2157" s="1063"/>
      <c r="O2157" s="1063"/>
      <c r="P2157" s="1063"/>
      <c r="Q2157" s="1063"/>
      <c r="R2157" s="1063"/>
      <c r="S2157" s="1063"/>
      <c r="T2157" s="1063"/>
      <c r="U2157" s="1063"/>
      <c r="V2157" s="1063"/>
      <c r="W2157" s="1063"/>
      <c r="X2157" s="1063"/>
      <c r="Y2157" s="1063"/>
      <c r="Z2157" s="1063"/>
      <c r="AA2157" s="1063"/>
      <c r="AB2157" s="1063"/>
      <c r="AC2157" s="1063"/>
      <c r="AD2157" s="1063"/>
      <c r="AE2157" s="1063"/>
      <c r="AF2157" s="1063"/>
      <c r="AG2157" s="1063"/>
      <c r="AH2157" s="1063"/>
      <c r="AI2157" s="1063"/>
      <c r="AJ2157" s="1063"/>
      <c r="AK2157" s="1063"/>
      <c r="AL2157" s="1063"/>
      <c r="AM2157" s="1063"/>
      <c r="AN2157" s="1063"/>
      <c r="AO2157" s="1063"/>
      <c r="AP2157" s="1063"/>
      <c r="AQ2157" s="1063"/>
      <c r="AR2157" s="1063"/>
      <c r="AS2157" s="1063"/>
      <c r="AT2157" s="1063"/>
      <c r="AU2157" s="1063"/>
      <c r="AV2157" s="1063"/>
    </row>
    <row r="2158" spans="1:48" s="1108" customFormat="1" ht="27.75" customHeight="1">
      <c r="A2158" s="1076"/>
      <c r="B2158" s="1074">
        <f>+'[18]Bldg+Dev'!S2970</f>
        <v>0</v>
      </c>
      <c r="D2158" s="1063"/>
      <c r="F2158" s="1076"/>
      <c r="G2158" s="1063"/>
      <c r="H2158" s="1063"/>
      <c r="I2158" s="1063"/>
      <c r="J2158" s="1063"/>
      <c r="K2158" s="1063"/>
      <c r="L2158" s="1063"/>
      <c r="M2158" s="1063"/>
      <c r="N2158" s="1063"/>
      <c r="O2158" s="1063"/>
      <c r="P2158" s="1063"/>
      <c r="Q2158" s="1063"/>
      <c r="R2158" s="1063"/>
      <c r="S2158" s="1063"/>
      <c r="T2158" s="1063"/>
      <c r="U2158" s="1063"/>
      <c r="V2158" s="1063"/>
      <c r="W2158" s="1063"/>
      <c r="X2158" s="1063"/>
      <c r="Y2158" s="1063"/>
      <c r="Z2158" s="1063"/>
      <c r="AA2158" s="1063"/>
      <c r="AB2158" s="1063"/>
      <c r="AC2158" s="1063"/>
      <c r="AD2158" s="1063"/>
      <c r="AE2158" s="1063"/>
      <c r="AF2158" s="1063"/>
      <c r="AG2158" s="1063"/>
      <c r="AH2158" s="1063"/>
      <c r="AI2158" s="1063"/>
      <c r="AJ2158" s="1063"/>
      <c r="AK2158" s="1063"/>
      <c r="AL2158" s="1063"/>
      <c r="AM2158" s="1063"/>
      <c r="AN2158" s="1063"/>
      <c r="AO2158" s="1063"/>
      <c r="AP2158" s="1063"/>
      <c r="AQ2158" s="1063"/>
      <c r="AR2158" s="1063"/>
      <c r="AS2158" s="1063"/>
      <c r="AT2158" s="1063"/>
      <c r="AU2158" s="1063"/>
      <c r="AV2158" s="1063"/>
    </row>
    <row r="2159" spans="1:48" s="1108" customFormat="1" ht="27.75" customHeight="1">
      <c r="A2159" s="1076"/>
      <c r="B2159" s="1074">
        <f>+'[18]Bldg+Dev'!S2971</f>
        <v>0</v>
      </c>
      <c r="D2159" s="1063"/>
      <c r="F2159" s="1076"/>
      <c r="G2159" s="1063"/>
      <c r="H2159" s="1063"/>
      <c r="I2159" s="1063"/>
      <c r="J2159" s="1063"/>
      <c r="K2159" s="1063"/>
      <c r="L2159" s="1063"/>
      <c r="M2159" s="1063"/>
      <c r="N2159" s="1063"/>
      <c r="O2159" s="1063"/>
      <c r="P2159" s="1063"/>
      <c r="Q2159" s="1063"/>
      <c r="R2159" s="1063"/>
      <c r="S2159" s="1063"/>
      <c r="T2159" s="1063"/>
      <c r="U2159" s="1063"/>
      <c r="V2159" s="1063"/>
      <c r="W2159" s="1063"/>
      <c r="X2159" s="1063"/>
      <c r="Y2159" s="1063"/>
      <c r="Z2159" s="1063"/>
      <c r="AA2159" s="1063"/>
      <c r="AB2159" s="1063"/>
      <c r="AC2159" s="1063"/>
      <c r="AD2159" s="1063"/>
      <c r="AE2159" s="1063"/>
      <c r="AF2159" s="1063"/>
      <c r="AG2159" s="1063"/>
      <c r="AH2159" s="1063"/>
      <c r="AI2159" s="1063"/>
      <c r="AJ2159" s="1063"/>
      <c r="AK2159" s="1063"/>
      <c r="AL2159" s="1063"/>
      <c r="AM2159" s="1063"/>
      <c r="AN2159" s="1063"/>
      <c r="AO2159" s="1063"/>
      <c r="AP2159" s="1063"/>
      <c r="AQ2159" s="1063"/>
      <c r="AR2159" s="1063"/>
      <c r="AS2159" s="1063"/>
      <c r="AT2159" s="1063"/>
      <c r="AU2159" s="1063"/>
      <c r="AV2159" s="1063"/>
    </row>
    <row r="2160" spans="1:48" s="1108" customFormat="1" ht="27.75" customHeight="1">
      <c r="A2160" s="1076"/>
      <c r="B2160" s="1074">
        <f>+'[18]Bldg+Dev'!S2972</f>
        <v>0</v>
      </c>
      <c r="D2160" s="1063"/>
      <c r="F2160" s="1076"/>
      <c r="G2160" s="1063"/>
      <c r="H2160" s="1063"/>
      <c r="I2160" s="1063"/>
      <c r="J2160" s="1063"/>
      <c r="K2160" s="1063"/>
      <c r="L2160" s="1063"/>
      <c r="M2160" s="1063"/>
      <c r="N2160" s="1063"/>
      <c r="O2160" s="1063"/>
      <c r="P2160" s="1063"/>
      <c r="Q2160" s="1063"/>
      <c r="R2160" s="1063"/>
      <c r="S2160" s="1063"/>
      <c r="T2160" s="1063"/>
      <c r="U2160" s="1063"/>
      <c r="V2160" s="1063"/>
      <c r="W2160" s="1063"/>
      <c r="X2160" s="1063"/>
      <c r="Y2160" s="1063"/>
      <c r="Z2160" s="1063"/>
      <c r="AA2160" s="1063"/>
      <c r="AB2160" s="1063"/>
      <c r="AC2160" s="1063"/>
      <c r="AD2160" s="1063"/>
      <c r="AE2160" s="1063"/>
      <c r="AF2160" s="1063"/>
      <c r="AG2160" s="1063"/>
      <c r="AH2160" s="1063"/>
      <c r="AI2160" s="1063"/>
      <c r="AJ2160" s="1063"/>
      <c r="AK2160" s="1063"/>
      <c r="AL2160" s="1063"/>
      <c r="AM2160" s="1063"/>
      <c r="AN2160" s="1063"/>
      <c r="AO2160" s="1063"/>
      <c r="AP2160" s="1063"/>
      <c r="AQ2160" s="1063"/>
      <c r="AR2160" s="1063"/>
      <c r="AS2160" s="1063"/>
      <c r="AT2160" s="1063"/>
      <c r="AU2160" s="1063"/>
      <c r="AV2160" s="1063"/>
    </row>
    <row r="2161" spans="1:48" s="1108" customFormat="1" ht="27.75" customHeight="1">
      <c r="A2161" s="1076"/>
      <c r="B2161" s="1074">
        <f>+'[18]Bldg+Dev'!S2973</f>
        <v>0</v>
      </c>
      <c r="D2161" s="1063"/>
      <c r="F2161" s="1076"/>
      <c r="G2161" s="1063"/>
      <c r="H2161" s="1063"/>
      <c r="I2161" s="1063"/>
      <c r="J2161" s="1063"/>
      <c r="K2161" s="1063"/>
      <c r="L2161" s="1063"/>
      <c r="M2161" s="1063"/>
      <c r="N2161" s="1063"/>
      <c r="O2161" s="1063"/>
      <c r="P2161" s="1063"/>
      <c r="Q2161" s="1063"/>
      <c r="R2161" s="1063"/>
      <c r="S2161" s="1063"/>
      <c r="T2161" s="1063"/>
      <c r="U2161" s="1063"/>
      <c r="V2161" s="1063"/>
      <c r="W2161" s="1063"/>
      <c r="X2161" s="1063"/>
      <c r="Y2161" s="1063"/>
      <c r="Z2161" s="1063"/>
      <c r="AA2161" s="1063"/>
      <c r="AB2161" s="1063"/>
      <c r="AC2161" s="1063"/>
      <c r="AD2161" s="1063"/>
      <c r="AE2161" s="1063"/>
      <c r="AF2161" s="1063"/>
      <c r="AG2161" s="1063"/>
      <c r="AH2161" s="1063"/>
      <c r="AI2161" s="1063"/>
      <c r="AJ2161" s="1063"/>
      <c r="AK2161" s="1063"/>
      <c r="AL2161" s="1063"/>
      <c r="AM2161" s="1063"/>
      <c r="AN2161" s="1063"/>
      <c r="AO2161" s="1063"/>
      <c r="AP2161" s="1063"/>
      <c r="AQ2161" s="1063"/>
      <c r="AR2161" s="1063"/>
      <c r="AS2161" s="1063"/>
      <c r="AT2161" s="1063"/>
      <c r="AU2161" s="1063"/>
      <c r="AV2161" s="1063"/>
    </row>
    <row r="2162" spans="1:48" s="1108" customFormat="1" ht="27.75" customHeight="1">
      <c r="A2162" s="1076"/>
      <c r="B2162" s="1074">
        <f>+'[18]Bldg+Dev'!S2974</f>
        <v>0</v>
      </c>
      <c r="D2162" s="1063"/>
      <c r="F2162" s="1076"/>
      <c r="G2162" s="1063"/>
      <c r="H2162" s="1063"/>
      <c r="I2162" s="1063"/>
      <c r="J2162" s="1063"/>
      <c r="K2162" s="1063"/>
      <c r="L2162" s="1063"/>
      <c r="M2162" s="1063"/>
      <c r="N2162" s="1063"/>
      <c r="O2162" s="1063"/>
      <c r="P2162" s="1063"/>
      <c r="Q2162" s="1063"/>
      <c r="R2162" s="1063"/>
      <c r="S2162" s="1063"/>
      <c r="T2162" s="1063"/>
      <c r="U2162" s="1063"/>
      <c r="V2162" s="1063"/>
      <c r="W2162" s="1063"/>
      <c r="X2162" s="1063"/>
      <c r="Y2162" s="1063"/>
      <c r="Z2162" s="1063"/>
      <c r="AA2162" s="1063"/>
      <c r="AB2162" s="1063"/>
      <c r="AC2162" s="1063"/>
      <c r="AD2162" s="1063"/>
      <c r="AE2162" s="1063"/>
      <c r="AF2162" s="1063"/>
      <c r="AG2162" s="1063"/>
      <c r="AH2162" s="1063"/>
      <c r="AI2162" s="1063"/>
      <c r="AJ2162" s="1063"/>
      <c r="AK2162" s="1063"/>
      <c r="AL2162" s="1063"/>
      <c r="AM2162" s="1063"/>
      <c r="AN2162" s="1063"/>
      <c r="AO2162" s="1063"/>
      <c r="AP2162" s="1063"/>
      <c r="AQ2162" s="1063"/>
      <c r="AR2162" s="1063"/>
      <c r="AS2162" s="1063"/>
      <c r="AT2162" s="1063"/>
      <c r="AU2162" s="1063"/>
      <c r="AV2162" s="1063"/>
    </row>
    <row r="2163" spans="1:48" s="1108" customFormat="1" ht="27.75" customHeight="1">
      <c r="A2163" s="1076"/>
      <c r="B2163" s="1074">
        <f>+'[18]Bldg+Dev'!S2975</f>
        <v>0</v>
      </c>
      <c r="D2163" s="1063"/>
      <c r="F2163" s="1076"/>
      <c r="G2163" s="1063"/>
      <c r="H2163" s="1063"/>
      <c r="I2163" s="1063"/>
      <c r="J2163" s="1063"/>
      <c r="K2163" s="1063"/>
      <c r="L2163" s="1063"/>
      <c r="M2163" s="1063"/>
      <c r="N2163" s="1063"/>
      <c r="O2163" s="1063"/>
      <c r="P2163" s="1063"/>
      <c r="Q2163" s="1063"/>
      <c r="R2163" s="1063"/>
      <c r="S2163" s="1063"/>
      <c r="T2163" s="1063"/>
      <c r="U2163" s="1063"/>
      <c r="V2163" s="1063"/>
      <c r="W2163" s="1063"/>
      <c r="X2163" s="1063"/>
      <c r="Y2163" s="1063"/>
      <c r="Z2163" s="1063"/>
      <c r="AA2163" s="1063"/>
      <c r="AB2163" s="1063"/>
      <c r="AC2163" s="1063"/>
      <c r="AD2163" s="1063"/>
      <c r="AE2163" s="1063"/>
      <c r="AF2163" s="1063"/>
      <c r="AG2163" s="1063"/>
      <c r="AH2163" s="1063"/>
      <c r="AI2163" s="1063"/>
      <c r="AJ2163" s="1063"/>
      <c r="AK2163" s="1063"/>
      <c r="AL2163" s="1063"/>
      <c r="AM2163" s="1063"/>
      <c r="AN2163" s="1063"/>
      <c r="AO2163" s="1063"/>
      <c r="AP2163" s="1063"/>
      <c r="AQ2163" s="1063"/>
      <c r="AR2163" s="1063"/>
      <c r="AS2163" s="1063"/>
      <c r="AT2163" s="1063"/>
      <c r="AU2163" s="1063"/>
      <c r="AV2163" s="1063"/>
    </row>
    <row r="2164" spans="1:48" s="1108" customFormat="1" ht="27.75" customHeight="1">
      <c r="A2164" s="1076"/>
      <c r="B2164" s="1074">
        <f>+'[18]Bldg+Dev'!S2976</f>
        <v>0</v>
      </c>
      <c r="D2164" s="1063"/>
      <c r="F2164" s="1076"/>
      <c r="G2164" s="1063"/>
      <c r="H2164" s="1063"/>
      <c r="I2164" s="1063"/>
      <c r="J2164" s="1063"/>
      <c r="K2164" s="1063"/>
      <c r="L2164" s="1063"/>
      <c r="M2164" s="1063"/>
      <c r="N2164" s="1063"/>
      <c r="O2164" s="1063"/>
      <c r="P2164" s="1063"/>
      <c r="Q2164" s="1063"/>
      <c r="R2164" s="1063"/>
      <c r="S2164" s="1063"/>
      <c r="T2164" s="1063"/>
      <c r="U2164" s="1063"/>
      <c r="V2164" s="1063"/>
      <c r="W2164" s="1063"/>
      <c r="X2164" s="1063"/>
      <c r="Y2164" s="1063"/>
      <c r="Z2164" s="1063"/>
      <c r="AA2164" s="1063"/>
      <c r="AB2164" s="1063"/>
      <c r="AC2164" s="1063"/>
      <c r="AD2164" s="1063"/>
      <c r="AE2164" s="1063"/>
      <c r="AF2164" s="1063"/>
      <c r="AG2164" s="1063"/>
      <c r="AH2164" s="1063"/>
      <c r="AI2164" s="1063"/>
      <c r="AJ2164" s="1063"/>
      <c r="AK2164" s="1063"/>
      <c r="AL2164" s="1063"/>
      <c r="AM2164" s="1063"/>
      <c r="AN2164" s="1063"/>
      <c r="AO2164" s="1063"/>
      <c r="AP2164" s="1063"/>
      <c r="AQ2164" s="1063"/>
      <c r="AR2164" s="1063"/>
      <c r="AS2164" s="1063"/>
      <c r="AT2164" s="1063"/>
      <c r="AU2164" s="1063"/>
      <c r="AV2164" s="1063"/>
    </row>
    <row r="2165" spans="1:48" s="1108" customFormat="1" ht="27.75" customHeight="1">
      <c r="A2165" s="1076"/>
      <c r="B2165" s="1074">
        <f>+'[18]Bldg+Dev'!S2977</f>
        <v>0</v>
      </c>
      <c r="D2165" s="1063"/>
      <c r="F2165" s="1076"/>
      <c r="G2165" s="1063"/>
      <c r="H2165" s="1063"/>
      <c r="I2165" s="1063"/>
      <c r="J2165" s="1063"/>
      <c r="K2165" s="1063"/>
      <c r="L2165" s="1063"/>
      <c r="M2165" s="1063"/>
      <c r="N2165" s="1063"/>
      <c r="O2165" s="1063"/>
      <c r="P2165" s="1063"/>
      <c r="Q2165" s="1063"/>
      <c r="R2165" s="1063"/>
      <c r="S2165" s="1063"/>
      <c r="T2165" s="1063"/>
      <c r="U2165" s="1063"/>
      <c r="V2165" s="1063"/>
      <c r="W2165" s="1063"/>
      <c r="X2165" s="1063"/>
      <c r="Y2165" s="1063"/>
      <c r="Z2165" s="1063"/>
      <c r="AA2165" s="1063"/>
      <c r="AB2165" s="1063"/>
      <c r="AC2165" s="1063"/>
      <c r="AD2165" s="1063"/>
      <c r="AE2165" s="1063"/>
      <c r="AF2165" s="1063"/>
      <c r="AG2165" s="1063"/>
      <c r="AH2165" s="1063"/>
      <c r="AI2165" s="1063"/>
      <c r="AJ2165" s="1063"/>
      <c r="AK2165" s="1063"/>
      <c r="AL2165" s="1063"/>
      <c r="AM2165" s="1063"/>
      <c r="AN2165" s="1063"/>
      <c r="AO2165" s="1063"/>
      <c r="AP2165" s="1063"/>
      <c r="AQ2165" s="1063"/>
      <c r="AR2165" s="1063"/>
      <c r="AS2165" s="1063"/>
      <c r="AT2165" s="1063"/>
      <c r="AU2165" s="1063"/>
      <c r="AV2165" s="1063"/>
    </row>
    <row r="2166" spans="1:48" s="1108" customFormat="1" ht="27.75" customHeight="1">
      <c r="A2166" s="1076"/>
      <c r="B2166" s="1074">
        <f>+'[18]Bldg+Dev'!S2978</f>
        <v>0</v>
      </c>
      <c r="D2166" s="1063"/>
      <c r="F2166" s="1076"/>
      <c r="G2166" s="1063"/>
      <c r="H2166" s="1063"/>
      <c r="I2166" s="1063"/>
      <c r="J2166" s="1063"/>
      <c r="K2166" s="1063"/>
      <c r="L2166" s="1063"/>
      <c r="M2166" s="1063"/>
      <c r="N2166" s="1063"/>
      <c r="O2166" s="1063"/>
      <c r="P2166" s="1063"/>
      <c r="Q2166" s="1063"/>
      <c r="R2166" s="1063"/>
      <c r="S2166" s="1063"/>
      <c r="T2166" s="1063"/>
      <c r="U2166" s="1063"/>
      <c r="V2166" s="1063"/>
      <c r="W2166" s="1063"/>
      <c r="X2166" s="1063"/>
      <c r="Y2166" s="1063"/>
      <c r="Z2166" s="1063"/>
      <c r="AA2166" s="1063"/>
      <c r="AB2166" s="1063"/>
      <c r="AC2166" s="1063"/>
      <c r="AD2166" s="1063"/>
      <c r="AE2166" s="1063"/>
      <c r="AF2166" s="1063"/>
      <c r="AG2166" s="1063"/>
      <c r="AH2166" s="1063"/>
      <c r="AI2166" s="1063"/>
      <c r="AJ2166" s="1063"/>
      <c r="AK2166" s="1063"/>
      <c r="AL2166" s="1063"/>
      <c r="AM2166" s="1063"/>
      <c r="AN2166" s="1063"/>
      <c r="AO2166" s="1063"/>
      <c r="AP2166" s="1063"/>
      <c r="AQ2166" s="1063"/>
      <c r="AR2166" s="1063"/>
      <c r="AS2166" s="1063"/>
      <c r="AT2166" s="1063"/>
      <c r="AU2166" s="1063"/>
      <c r="AV2166" s="1063"/>
    </row>
    <row r="2167" spans="1:48" s="1108" customFormat="1" ht="27.75" customHeight="1">
      <c r="A2167" s="1076"/>
      <c r="B2167" s="1074">
        <f>+'[18]Bldg+Dev'!S2979</f>
        <v>0</v>
      </c>
      <c r="D2167" s="1063"/>
      <c r="F2167" s="1076"/>
      <c r="G2167" s="1063"/>
      <c r="H2167" s="1063"/>
      <c r="I2167" s="1063"/>
      <c r="J2167" s="1063"/>
      <c r="K2167" s="1063"/>
      <c r="L2167" s="1063"/>
      <c r="M2167" s="1063"/>
      <c r="N2167" s="1063"/>
      <c r="O2167" s="1063"/>
      <c r="P2167" s="1063"/>
      <c r="Q2167" s="1063"/>
      <c r="R2167" s="1063"/>
      <c r="S2167" s="1063"/>
      <c r="T2167" s="1063"/>
      <c r="U2167" s="1063"/>
      <c r="V2167" s="1063"/>
      <c r="W2167" s="1063"/>
      <c r="X2167" s="1063"/>
      <c r="Y2167" s="1063"/>
      <c r="Z2167" s="1063"/>
      <c r="AA2167" s="1063"/>
      <c r="AB2167" s="1063"/>
      <c r="AC2167" s="1063"/>
      <c r="AD2167" s="1063"/>
      <c r="AE2167" s="1063"/>
      <c r="AF2167" s="1063"/>
      <c r="AG2167" s="1063"/>
      <c r="AH2167" s="1063"/>
      <c r="AI2167" s="1063"/>
      <c r="AJ2167" s="1063"/>
      <c r="AK2167" s="1063"/>
      <c r="AL2167" s="1063"/>
      <c r="AM2167" s="1063"/>
      <c r="AN2167" s="1063"/>
      <c r="AO2167" s="1063"/>
      <c r="AP2167" s="1063"/>
      <c r="AQ2167" s="1063"/>
      <c r="AR2167" s="1063"/>
      <c r="AS2167" s="1063"/>
      <c r="AT2167" s="1063"/>
      <c r="AU2167" s="1063"/>
      <c r="AV2167" s="1063"/>
    </row>
    <row r="2168" spans="1:48" s="1108" customFormat="1" ht="27.75" customHeight="1">
      <c r="A2168" s="1076"/>
      <c r="B2168" s="1074">
        <f>+'[18]Bldg+Dev'!S2980</f>
        <v>0</v>
      </c>
      <c r="D2168" s="1063"/>
      <c r="F2168" s="1076"/>
      <c r="G2168" s="1063"/>
      <c r="H2168" s="1063"/>
      <c r="I2168" s="1063"/>
      <c r="J2168" s="1063"/>
      <c r="K2168" s="1063"/>
      <c r="L2168" s="1063"/>
      <c r="M2168" s="1063"/>
      <c r="N2168" s="1063"/>
      <c r="O2168" s="1063"/>
      <c r="P2168" s="1063"/>
      <c r="Q2168" s="1063"/>
      <c r="R2168" s="1063"/>
      <c r="S2168" s="1063"/>
      <c r="T2168" s="1063"/>
      <c r="U2168" s="1063"/>
      <c r="V2168" s="1063"/>
      <c r="W2168" s="1063"/>
      <c r="X2168" s="1063"/>
      <c r="Y2168" s="1063"/>
      <c r="Z2168" s="1063"/>
      <c r="AA2168" s="1063"/>
      <c r="AB2168" s="1063"/>
      <c r="AC2168" s="1063"/>
      <c r="AD2168" s="1063"/>
      <c r="AE2168" s="1063"/>
      <c r="AF2168" s="1063"/>
      <c r="AG2168" s="1063"/>
      <c r="AH2168" s="1063"/>
      <c r="AI2168" s="1063"/>
      <c r="AJ2168" s="1063"/>
      <c r="AK2168" s="1063"/>
      <c r="AL2168" s="1063"/>
      <c r="AM2168" s="1063"/>
      <c r="AN2168" s="1063"/>
      <c r="AO2168" s="1063"/>
      <c r="AP2168" s="1063"/>
      <c r="AQ2168" s="1063"/>
      <c r="AR2168" s="1063"/>
      <c r="AS2168" s="1063"/>
      <c r="AT2168" s="1063"/>
      <c r="AU2168" s="1063"/>
      <c r="AV2168" s="1063"/>
    </row>
    <row r="2169" spans="1:48" s="1108" customFormat="1" ht="27.75" customHeight="1">
      <c r="A2169" s="1076"/>
      <c r="B2169" s="1074">
        <f>+'[18]Bldg+Dev'!S2981</f>
        <v>0</v>
      </c>
      <c r="D2169" s="1063"/>
      <c r="F2169" s="1076"/>
      <c r="G2169" s="1063"/>
      <c r="H2169" s="1063"/>
      <c r="I2169" s="1063"/>
      <c r="J2169" s="1063"/>
      <c r="K2169" s="1063"/>
      <c r="L2169" s="1063"/>
      <c r="M2169" s="1063"/>
      <c r="N2169" s="1063"/>
      <c r="O2169" s="1063"/>
      <c r="P2169" s="1063"/>
      <c r="Q2169" s="1063"/>
      <c r="R2169" s="1063"/>
      <c r="S2169" s="1063"/>
      <c r="T2169" s="1063"/>
      <c r="U2169" s="1063"/>
      <c r="V2169" s="1063"/>
      <c r="W2169" s="1063"/>
      <c r="X2169" s="1063"/>
      <c r="Y2169" s="1063"/>
      <c r="Z2169" s="1063"/>
      <c r="AA2169" s="1063"/>
      <c r="AB2169" s="1063"/>
      <c r="AC2169" s="1063"/>
      <c r="AD2169" s="1063"/>
      <c r="AE2169" s="1063"/>
      <c r="AF2169" s="1063"/>
      <c r="AG2169" s="1063"/>
      <c r="AH2169" s="1063"/>
      <c r="AI2169" s="1063"/>
      <c r="AJ2169" s="1063"/>
      <c r="AK2169" s="1063"/>
      <c r="AL2169" s="1063"/>
      <c r="AM2169" s="1063"/>
      <c r="AN2169" s="1063"/>
      <c r="AO2169" s="1063"/>
      <c r="AP2169" s="1063"/>
      <c r="AQ2169" s="1063"/>
      <c r="AR2169" s="1063"/>
      <c r="AS2169" s="1063"/>
      <c r="AT2169" s="1063"/>
      <c r="AU2169" s="1063"/>
      <c r="AV2169" s="1063"/>
    </row>
    <row r="2170" spans="1:48" s="1108" customFormat="1" ht="27.75" customHeight="1">
      <c r="A2170" s="1076"/>
      <c r="B2170" s="1074">
        <f>+'[18]Bldg+Dev'!S2982</f>
        <v>0</v>
      </c>
      <c r="D2170" s="1063"/>
      <c r="F2170" s="1076"/>
      <c r="G2170" s="1063"/>
      <c r="H2170" s="1063"/>
      <c r="I2170" s="1063"/>
      <c r="J2170" s="1063"/>
      <c r="K2170" s="1063"/>
      <c r="L2170" s="1063"/>
      <c r="M2170" s="1063"/>
      <c r="N2170" s="1063"/>
      <c r="O2170" s="1063"/>
      <c r="P2170" s="1063"/>
      <c r="Q2170" s="1063"/>
      <c r="R2170" s="1063"/>
      <c r="S2170" s="1063"/>
      <c r="T2170" s="1063"/>
      <c r="U2170" s="1063"/>
      <c r="V2170" s="1063"/>
      <c r="W2170" s="1063"/>
      <c r="X2170" s="1063"/>
      <c r="Y2170" s="1063"/>
      <c r="Z2170" s="1063"/>
      <c r="AA2170" s="1063"/>
      <c r="AB2170" s="1063"/>
      <c r="AC2170" s="1063"/>
      <c r="AD2170" s="1063"/>
      <c r="AE2170" s="1063"/>
      <c r="AF2170" s="1063"/>
      <c r="AG2170" s="1063"/>
      <c r="AH2170" s="1063"/>
      <c r="AI2170" s="1063"/>
      <c r="AJ2170" s="1063"/>
      <c r="AK2170" s="1063"/>
      <c r="AL2170" s="1063"/>
      <c r="AM2170" s="1063"/>
      <c r="AN2170" s="1063"/>
      <c r="AO2170" s="1063"/>
      <c r="AP2170" s="1063"/>
      <c r="AQ2170" s="1063"/>
      <c r="AR2170" s="1063"/>
      <c r="AS2170" s="1063"/>
      <c r="AT2170" s="1063"/>
      <c r="AU2170" s="1063"/>
      <c r="AV2170" s="1063"/>
    </row>
    <row r="2171" spans="1:48" s="1108" customFormat="1" ht="27.75" customHeight="1">
      <c r="A2171" s="1076"/>
      <c r="B2171" s="1074">
        <f>+'[18]Bldg+Dev'!S2983</f>
        <v>0</v>
      </c>
      <c r="D2171" s="1063"/>
      <c r="F2171" s="1076"/>
      <c r="G2171" s="1063"/>
      <c r="H2171" s="1063"/>
      <c r="I2171" s="1063"/>
      <c r="J2171" s="1063"/>
      <c r="K2171" s="1063"/>
      <c r="L2171" s="1063"/>
      <c r="M2171" s="1063"/>
      <c r="N2171" s="1063"/>
      <c r="O2171" s="1063"/>
      <c r="P2171" s="1063"/>
      <c r="Q2171" s="1063"/>
      <c r="R2171" s="1063"/>
      <c r="S2171" s="1063"/>
      <c r="T2171" s="1063"/>
      <c r="U2171" s="1063"/>
      <c r="V2171" s="1063"/>
      <c r="W2171" s="1063"/>
      <c r="X2171" s="1063"/>
      <c r="Y2171" s="1063"/>
      <c r="Z2171" s="1063"/>
      <c r="AA2171" s="1063"/>
      <c r="AB2171" s="1063"/>
      <c r="AC2171" s="1063"/>
      <c r="AD2171" s="1063"/>
      <c r="AE2171" s="1063"/>
      <c r="AF2171" s="1063"/>
      <c r="AG2171" s="1063"/>
      <c r="AH2171" s="1063"/>
      <c r="AI2171" s="1063"/>
      <c r="AJ2171" s="1063"/>
      <c r="AK2171" s="1063"/>
      <c r="AL2171" s="1063"/>
      <c r="AM2171" s="1063"/>
      <c r="AN2171" s="1063"/>
      <c r="AO2171" s="1063"/>
      <c r="AP2171" s="1063"/>
      <c r="AQ2171" s="1063"/>
      <c r="AR2171" s="1063"/>
      <c r="AS2171" s="1063"/>
      <c r="AT2171" s="1063"/>
      <c r="AU2171" s="1063"/>
      <c r="AV2171" s="1063"/>
    </row>
    <row r="2172" spans="1:48" s="1108" customFormat="1" ht="27.75" customHeight="1">
      <c r="A2172" s="1076"/>
      <c r="B2172" s="1074">
        <f>+'[18]Bldg+Dev'!S2984</f>
        <v>0</v>
      </c>
      <c r="D2172" s="1063"/>
      <c r="F2172" s="1076"/>
      <c r="G2172" s="1063"/>
      <c r="H2172" s="1063"/>
      <c r="I2172" s="1063"/>
      <c r="J2172" s="1063"/>
      <c r="K2172" s="1063"/>
      <c r="L2172" s="1063"/>
      <c r="M2172" s="1063"/>
      <c r="N2172" s="1063"/>
      <c r="O2172" s="1063"/>
      <c r="P2172" s="1063"/>
      <c r="Q2172" s="1063"/>
      <c r="R2172" s="1063"/>
      <c r="S2172" s="1063"/>
      <c r="T2172" s="1063"/>
      <c r="U2172" s="1063"/>
      <c r="V2172" s="1063"/>
      <c r="W2172" s="1063"/>
      <c r="X2172" s="1063"/>
      <c r="Y2172" s="1063"/>
      <c r="Z2172" s="1063"/>
      <c r="AA2172" s="1063"/>
      <c r="AB2172" s="1063"/>
      <c r="AC2172" s="1063"/>
      <c r="AD2172" s="1063"/>
      <c r="AE2172" s="1063"/>
      <c r="AF2172" s="1063"/>
      <c r="AG2172" s="1063"/>
      <c r="AH2172" s="1063"/>
      <c r="AI2172" s="1063"/>
      <c r="AJ2172" s="1063"/>
      <c r="AK2172" s="1063"/>
      <c r="AL2172" s="1063"/>
      <c r="AM2172" s="1063"/>
      <c r="AN2172" s="1063"/>
      <c r="AO2172" s="1063"/>
      <c r="AP2172" s="1063"/>
      <c r="AQ2172" s="1063"/>
      <c r="AR2172" s="1063"/>
      <c r="AS2172" s="1063"/>
      <c r="AT2172" s="1063"/>
      <c r="AU2172" s="1063"/>
      <c r="AV2172" s="1063"/>
    </row>
    <row r="2173" spans="1:48" s="1108" customFormat="1" ht="27.75" customHeight="1">
      <c r="A2173" s="1076"/>
      <c r="B2173" s="1074">
        <f>+'[18]Bldg+Dev'!S2985</f>
        <v>0</v>
      </c>
      <c r="D2173" s="1063"/>
      <c r="F2173" s="1076"/>
      <c r="G2173" s="1063"/>
      <c r="H2173" s="1063"/>
      <c r="I2173" s="1063"/>
      <c r="J2173" s="1063"/>
      <c r="K2173" s="1063"/>
      <c r="L2173" s="1063"/>
      <c r="M2173" s="1063"/>
      <c r="N2173" s="1063"/>
      <c r="O2173" s="1063"/>
      <c r="P2173" s="1063"/>
      <c r="Q2173" s="1063"/>
      <c r="R2173" s="1063"/>
      <c r="S2173" s="1063"/>
      <c r="T2173" s="1063"/>
      <c r="U2173" s="1063"/>
      <c r="V2173" s="1063"/>
      <c r="W2173" s="1063"/>
      <c r="X2173" s="1063"/>
      <c r="Y2173" s="1063"/>
      <c r="Z2173" s="1063"/>
      <c r="AA2173" s="1063"/>
      <c r="AB2173" s="1063"/>
      <c r="AC2173" s="1063"/>
      <c r="AD2173" s="1063"/>
      <c r="AE2173" s="1063"/>
      <c r="AF2173" s="1063"/>
      <c r="AG2173" s="1063"/>
      <c r="AH2173" s="1063"/>
      <c r="AI2173" s="1063"/>
      <c r="AJ2173" s="1063"/>
      <c r="AK2173" s="1063"/>
      <c r="AL2173" s="1063"/>
      <c r="AM2173" s="1063"/>
      <c r="AN2173" s="1063"/>
      <c r="AO2173" s="1063"/>
      <c r="AP2173" s="1063"/>
      <c r="AQ2173" s="1063"/>
      <c r="AR2173" s="1063"/>
      <c r="AS2173" s="1063"/>
      <c r="AT2173" s="1063"/>
      <c r="AU2173" s="1063"/>
      <c r="AV2173" s="1063"/>
    </row>
    <row r="2174" spans="1:48" s="1108" customFormat="1" ht="27.75" customHeight="1">
      <c r="A2174" s="1076"/>
      <c r="B2174" s="1074">
        <f>+'[18]Bldg+Dev'!S2986</f>
        <v>0</v>
      </c>
      <c r="D2174" s="1063"/>
      <c r="F2174" s="1076"/>
      <c r="G2174" s="1063"/>
      <c r="H2174" s="1063"/>
      <c r="I2174" s="1063"/>
      <c r="J2174" s="1063"/>
      <c r="K2174" s="1063"/>
      <c r="L2174" s="1063"/>
      <c r="M2174" s="1063"/>
      <c r="N2174" s="1063"/>
      <c r="O2174" s="1063"/>
      <c r="P2174" s="1063"/>
      <c r="Q2174" s="1063"/>
      <c r="R2174" s="1063"/>
      <c r="S2174" s="1063"/>
      <c r="T2174" s="1063"/>
      <c r="U2174" s="1063"/>
      <c r="V2174" s="1063"/>
      <c r="W2174" s="1063"/>
      <c r="X2174" s="1063"/>
      <c r="Y2174" s="1063"/>
      <c r="Z2174" s="1063"/>
      <c r="AA2174" s="1063"/>
      <c r="AB2174" s="1063"/>
      <c r="AC2174" s="1063"/>
      <c r="AD2174" s="1063"/>
      <c r="AE2174" s="1063"/>
      <c r="AF2174" s="1063"/>
      <c r="AG2174" s="1063"/>
      <c r="AH2174" s="1063"/>
      <c r="AI2174" s="1063"/>
      <c r="AJ2174" s="1063"/>
      <c r="AK2174" s="1063"/>
      <c r="AL2174" s="1063"/>
      <c r="AM2174" s="1063"/>
      <c r="AN2174" s="1063"/>
      <c r="AO2174" s="1063"/>
      <c r="AP2174" s="1063"/>
      <c r="AQ2174" s="1063"/>
      <c r="AR2174" s="1063"/>
      <c r="AS2174" s="1063"/>
      <c r="AT2174" s="1063"/>
      <c r="AU2174" s="1063"/>
      <c r="AV2174" s="1063"/>
    </row>
    <row r="2175" spans="1:48" s="1108" customFormat="1" ht="27.75" customHeight="1">
      <c r="A2175" s="1076"/>
      <c r="B2175" s="1074">
        <f>+'[18]Bldg+Dev'!S2987</f>
        <v>0</v>
      </c>
      <c r="D2175" s="1063"/>
      <c r="F2175" s="1076"/>
      <c r="G2175" s="1063"/>
      <c r="H2175" s="1063"/>
      <c r="I2175" s="1063"/>
      <c r="J2175" s="1063"/>
      <c r="K2175" s="1063"/>
      <c r="L2175" s="1063"/>
      <c r="M2175" s="1063"/>
      <c r="N2175" s="1063"/>
      <c r="O2175" s="1063"/>
      <c r="P2175" s="1063"/>
      <c r="Q2175" s="1063"/>
      <c r="R2175" s="1063"/>
      <c r="S2175" s="1063"/>
      <c r="T2175" s="1063"/>
      <c r="U2175" s="1063"/>
      <c r="V2175" s="1063"/>
      <c r="W2175" s="1063"/>
      <c r="X2175" s="1063"/>
      <c r="Y2175" s="1063"/>
      <c r="Z2175" s="1063"/>
      <c r="AA2175" s="1063"/>
      <c r="AB2175" s="1063"/>
      <c r="AC2175" s="1063"/>
      <c r="AD2175" s="1063"/>
      <c r="AE2175" s="1063"/>
      <c r="AF2175" s="1063"/>
      <c r="AG2175" s="1063"/>
      <c r="AH2175" s="1063"/>
      <c r="AI2175" s="1063"/>
      <c r="AJ2175" s="1063"/>
      <c r="AK2175" s="1063"/>
      <c r="AL2175" s="1063"/>
      <c r="AM2175" s="1063"/>
      <c r="AN2175" s="1063"/>
      <c r="AO2175" s="1063"/>
      <c r="AP2175" s="1063"/>
      <c r="AQ2175" s="1063"/>
      <c r="AR2175" s="1063"/>
      <c r="AS2175" s="1063"/>
      <c r="AT2175" s="1063"/>
      <c r="AU2175" s="1063"/>
      <c r="AV2175" s="1063"/>
    </row>
    <row r="2176" spans="1:48" s="1108" customFormat="1" ht="27.75" customHeight="1">
      <c r="A2176" s="1076"/>
      <c r="B2176" s="1074">
        <f>+'[18]Bldg+Dev'!S2988</f>
        <v>0</v>
      </c>
      <c r="D2176" s="1063"/>
      <c r="F2176" s="1076"/>
      <c r="G2176" s="1063"/>
      <c r="H2176" s="1063"/>
      <c r="I2176" s="1063"/>
      <c r="J2176" s="1063"/>
      <c r="K2176" s="1063"/>
      <c r="L2176" s="1063"/>
      <c r="M2176" s="1063"/>
      <c r="N2176" s="1063"/>
      <c r="O2176" s="1063"/>
      <c r="P2176" s="1063"/>
      <c r="Q2176" s="1063"/>
      <c r="R2176" s="1063"/>
      <c r="S2176" s="1063"/>
      <c r="T2176" s="1063"/>
      <c r="U2176" s="1063"/>
      <c r="V2176" s="1063"/>
      <c r="W2176" s="1063"/>
      <c r="X2176" s="1063"/>
      <c r="Y2176" s="1063"/>
      <c r="Z2176" s="1063"/>
      <c r="AA2176" s="1063"/>
      <c r="AB2176" s="1063"/>
      <c r="AC2176" s="1063"/>
      <c r="AD2176" s="1063"/>
      <c r="AE2176" s="1063"/>
      <c r="AF2176" s="1063"/>
      <c r="AG2176" s="1063"/>
      <c r="AH2176" s="1063"/>
      <c r="AI2176" s="1063"/>
      <c r="AJ2176" s="1063"/>
      <c r="AK2176" s="1063"/>
      <c r="AL2176" s="1063"/>
      <c r="AM2176" s="1063"/>
      <c r="AN2176" s="1063"/>
      <c r="AO2176" s="1063"/>
      <c r="AP2176" s="1063"/>
      <c r="AQ2176" s="1063"/>
      <c r="AR2176" s="1063"/>
      <c r="AS2176" s="1063"/>
      <c r="AT2176" s="1063"/>
      <c r="AU2176" s="1063"/>
      <c r="AV2176" s="1063"/>
    </row>
    <row r="2177" spans="1:48" s="1108" customFormat="1" ht="27.75" customHeight="1">
      <c r="A2177" s="1076"/>
      <c r="B2177" s="1074">
        <f>+'[18]Bldg+Dev'!S2989</f>
        <v>0</v>
      </c>
      <c r="D2177" s="1063"/>
      <c r="F2177" s="1076"/>
      <c r="G2177" s="1063"/>
      <c r="H2177" s="1063"/>
      <c r="I2177" s="1063"/>
      <c r="J2177" s="1063"/>
      <c r="K2177" s="1063"/>
      <c r="L2177" s="1063"/>
      <c r="M2177" s="1063"/>
      <c r="N2177" s="1063"/>
      <c r="O2177" s="1063"/>
      <c r="P2177" s="1063"/>
      <c r="Q2177" s="1063"/>
      <c r="R2177" s="1063"/>
      <c r="S2177" s="1063"/>
      <c r="T2177" s="1063"/>
      <c r="U2177" s="1063"/>
      <c r="V2177" s="1063"/>
      <c r="W2177" s="1063"/>
      <c r="X2177" s="1063"/>
      <c r="Y2177" s="1063"/>
      <c r="Z2177" s="1063"/>
      <c r="AA2177" s="1063"/>
      <c r="AB2177" s="1063"/>
      <c r="AC2177" s="1063"/>
      <c r="AD2177" s="1063"/>
      <c r="AE2177" s="1063"/>
      <c r="AF2177" s="1063"/>
      <c r="AG2177" s="1063"/>
      <c r="AH2177" s="1063"/>
      <c r="AI2177" s="1063"/>
      <c r="AJ2177" s="1063"/>
      <c r="AK2177" s="1063"/>
      <c r="AL2177" s="1063"/>
      <c r="AM2177" s="1063"/>
      <c r="AN2177" s="1063"/>
      <c r="AO2177" s="1063"/>
      <c r="AP2177" s="1063"/>
      <c r="AQ2177" s="1063"/>
      <c r="AR2177" s="1063"/>
      <c r="AS2177" s="1063"/>
      <c r="AT2177" s="1063"/>
      <c r="AU2177" s="1063"/>
      <c r="AV2177" s="1063"/>
    </row>
    <row r="2178" spans="1:48" s="1108" customFormat="1" ht="27.75" customHeight="1">
      <c r="A2178" s="1076"/>
      <c r="B2178" s="1074">
        <f>+'[18]Bldg+Dev'!S2990</f>
        <v>0</v>
      </c>
      <c r="D2178" s="1063"/>
      <c r="F2178" s="1076"/>
      <c r="G2178" s="1063"/>
      <c r="H2178" s="1063"/>
      <c r="I2178" s="1063"/>
      <c r="J2178" s="1063"/>
      <c r="K2178" s="1063"/>
      <c r="L2178" s="1063"/>
      <c r="M2178" s="1063"/>
      <c r="N2178" s="1063"/>
      <c r="O2178" s="1063"/>
      <c r="P2178" s="1063"/>
      <c r="Q2178" s="1063"/>
      <c r="R2178" s="1063"/>
      <c r="S2178" s="1063"/>
      <c r="T2178" s="1063"/>
      <c r="U2178" s="1063"/>
      <c r="V2178" s="1063"/>
      <c r="W2178" s="1063"/>
      <c r="X2178" s="1063"/>
      <c r="Y2178" s="1063"/>
      <c r="Z2178" s="1063"/>
      <c r="AA2178" s="1063"/>
      <c r="AB2178" s="1063"/>
      <c r="AC2178" s="1063"/>
      <c r="AD2178" s="1063"/>
      <c r="AE2178" s="1063"/>
      <c r="AF2178" s="1063"/>
      <c r="AG2178" s="1063"/>
      <c r="AH2178" s="1063"/>
      <c r="AI2178" s="1063"/>
      <c r="AJ2178" s="1063"/>
      <c r="AK2178" s="1063"/>
      <c r="AL2178" s="1063"/>
      <c r="AM2178" s="1063"/>
      <c r="AN2178" s="1063"/>
      <c r="AO2178" s="1063"/>
      <c r="AP2178" s="1063"/>
      <c r="AQ2178" s="1063"/>
      <c r="AR2178" s="1063"/>
      <c r="AS2178" s="1063"/>
      <c r="AT2178" s="1063"/>
      <c r="AU2178" s="1063"/>
      <c r="AV2178" s="1063"/>
    </row>
    <row r="2179" spans="1:48" s="1108" customFormat="1" ht="27.75" customHeight="1">
      <c r="A2179" s="1076"/>
      <c r="B2179" s="1074">
        <f>+'[18]Bldg+Dev'!S2991</f>
        <v>0</v>
      </c>
      <c r="D2179" s="1063"/>
      <c r="F2179" s="1076"/>
      <c r="G2179" s="1063"/>
      <c r="H2179" s="1063"/>
      <c r="I2179" s="1063"/>
      <c r="J2179" s="1063"/>
      <c r="K2179" s="1063"/>
      <c r="L2179" s="1063"/>
      <c r="M2179" s="1063"/>
      <c r="N2179" s="1063"/>
      <c r="O2179" s="1063"/>
      <c r="P2179" s="1063"/>
      <c r="Q2179" s="1063"/>
      <c r="R2179" s="1063"/>
      <c r="S2179" s="1063"/>
      <c r="T2179" s="1063"/>
      <c r="U2179" s="1063"/>
      <c r="V2179" s="1063"/>
      <c r="W2179" s="1063"/>
      <c r="X2179" s="1063"/>
      <c r="Y2179" s="1063"/>
      <c r="Z2179" s="1063"/>
      <c r="AA2179" s="1063"/>
      <c r="AB2179" s="1063"/>
      <c r="AC2179" s="1063"/>
      <c r="AD2179" s="1063"/>
      <c r="AE2179" s="1063"/>
      <c r="AF2179" s="1063"/>
      <c r="AG2179" s="1063"/>
      <c r="AH2179" s="1063"/>
      <c r="AI2179" s="1063"/>
      <c r="AJ2179" s="1063"/>
      <c r="AK2179" s="1063"/>
      <c r="AL2179" s="1063"/>
      <c r="AM2179" s="1063"/>
      <c r="AN2179" s="1063"/>
      <c r="AO2179" s="1063"/>
      <c r="AP2179" s="1063"/>
      <c r="AQ2179" s="1063"/>
      <c r="AR2179" s="1063"/>
      <c r="AS2179" s="1063"/>
      <c r="AT2179" s="1063"/>
      <c r="AU2179" s="1063"/>
      <c r="AV2179" s="1063"/>
    </row>
    <row r="2180" spans="1:48" s="1108" customFormat="1" ht="27.75" customHeight="1">
      <c r="A2180" s="1076"/>
      <c r="B2180" s="1074">
        <f>+'[18]Bldg+Dev'!S2992</f>
        <v>0</v>
      </c>
      <c r="D2180" s="1063"/>
      <c r="F2180" s="1076"/>
      <c r="G2180" s="1063"/>
      <c r="H2180" s="1063"/>
      <c r="I2180" s="1063"/>
      <c r="J2180" s="1063"/>
      <c r="K2180" s="1063"/>
      <c r="L2180" s="1063"/>
      <c r="M2180" s="1063"/>
      <c r="N2180" s="1063"/>
      <c r="O2180" s="1063"/>
      <c r="P2180" s="1063"/>
      <c r="Q2180" s="1063"/>
      <c r="R2180" s="1063"/>
      <c r="S2180" s="1063"/>
      <c r="T2180" s="1063"/>
      <c r="U2180" s="1063"/>
      <c r="V2180" s="1063"/>
      <c r="W2180" s="1063"/>
      <c r="X2180" s="1063"/>
      <c r="Y2180" s="1063"/>
      <c r="Z2180" s="1063"/>
      <c r="AA2180" s="1063"/>
      <c r="AB2180" s="1063"/>
      <c r="AC2180" s="1063"/>
      <c r="AD2180" s="1063"/>
      <c r="AE2180" s="1063"/>
      <c r="AF2180" s="1063"/>
      <c r="AG2180" s="1063"/>
      <c r="AH2180" s="1063"/>
      <c r="AI2180" s="1063"/>
      <c r="AJ2180" s="1063"/>
      <c r="AK2180" s="1063"/>
      <c r="AL2180" s="1063"/>
      <c r="AM2180" s="1063"/>
      <c r="AN2180" s="1063"/>
      <c r="AO2180" s="1063"/>
      <c r="AP2180" s="1063"/>
      <c r="AQ2180" s="1063"/>
      <c r="AR2180" s="1063"/>
      <c r="AS2180" s="1063"/>
      <c r="AT2180" s="1063"/>
      <c r="AU2180" s="1063"/>
      <c r="AV2180" s="1063"/>
    </row>
    <row r="2181" spans="1:48" s="1108" customFormat="1" ht="27.75" customHeight="1">
      <c r="A2181" s="1076"/>
      <c r="B2181" s="1074">
        <f>+'[18]Bldg+Dev'!S2993</f>
        <v>0</v>
      </c>
      <c r="D2181" s="1063"/>
      <c r="F2181" s="1076"/>
      <c r="G2181" s="1063"/>
      <c r="H2181" s="1063"/>
      <c r="I2181" s="1063"/>
      <c r="J2181" s="1063"/>
      <c r="K2181" s="1063"/>
      <c r="L2181" s="1063"/>
      <c r="M2181" s="1063"/>
      <c r="N2181" s="1063"/>
      <c r="O2181" s="1063"/>
      <c r="P2181" s="1063"/>
      <c r="Q2181" s="1063"/>
      <c r="R2181" s="1063"/>
      <c r="S2181" s="1063"/>
      <c r="T2181" s="1063"/>
      <c r="U2181" s="1063"/>
      <c r="V2181" s="1063"/>
      <c r="W2181" s="1063"/>
      <c r="X2181" s="1063"/>
      <c r="Y2181" s="1063"/>
      <c r="Z2181" s="1063"/>
      <c r="AA2181" s="1063"/>
      <c r="AB2181" s="1063"/>
      <c r="AC2181" s="1063"/>
      <c r="AD2181" s="1063"/>
      <c r="AE2181" s="1063"/>
      <c r="AF2181" s="1063"/>
      <c r="AG2181" s="1063"/>
      <c r="AH2181" s="1063"/>
      <c r="AI2181" s="1063"/>
      <c r="AJ2181" s="1063"/>
      <c r="AK2181" s="1063"/>
      <c r="AL2181" s="1063"/>
      <c r="AM2181" s="1063"/>
      <c r="AN2181" s="1063"/>
      <c r="AO2181" s="1063"/>
      <c r="AP2181" s="1063"/>
      <c r="AQ2181" s="1063"/>
      <c r="AR2181" s="1063"/>
      <c r="AS2181" s="1063"/>
      <c r="AT2181" s="1063"/>
      <c r="AU2181" s="1063"/>
      <c r="AV2181" s="1063"/>
    </row>
    <row r="2182" spans="1:48" s="1108" customFormat="1" ht="27.75" customHeight="1">
      <c r="A2182" s="1076"/>
      <c r="B2182" s="1074">
        <f>+'[18]Bldg+Dev'!S2994</f>
        <v>0</v>
      </c>
      <c r="D2182" s="1063"/>
      <c r="F2182" s="1076"/>
      <c r="G2182" s="1063"/>
      <c r="H2182" s="1063"/>
      <c r="I2182" s="1063"/>
      <c r="J2182" s="1063"/>
      <c r="K2182" s="1063"/>
      <c r="L2182" s="1063"/>
      <c r="M2182" s="1063"/>
      <c r="N2182" s="1063"/>
      <c r="O2182" s="1063"/>
      <c r="P2182" s="1063"/>
      <c r="Q2182" s="1063"/>
      <c r="R2182" s="1063"/>
      <c r="S2182" s="1063"/>
      <c r="T2182" s="1063"/>
      <c r="U2182" s="1063"/>
      <c r="V2182" s="1063"/>
      <c r="W2182" s="1063"/>
      <c r="X2182" s="1063"/>
      <c r="Y2182" s="1063"/>
      <c r="Z2182" s="1063"/>
      <c r="AA2182" s="1063"/>
      <c r="AB2182" s="1063"/>
      <c r="AC2182" s="1063"/>
      <c r="AD2182" s="1063"/>
      <c r="AE2182" s="1063"/>
      <c r="AF2182" s="1063"/>
      <c r="AG2182" s="1063"/>
      <c r="AH2182" s="1063"/>
      <c r="AI2182" s="1063"/>
      <c r="AJ2182" s="1063"/>
      <c r="AK2182" s="1063"/>
      <c r="AL2182" s="1063"/>
      <c r="AM2182" s="1063"/>
      <c r="AN2182" s="1063"/>
      <c r="AO2182" s="1063"/>
      <c r="AP2182" s="1063"/>
      <c r="AQ2182" s="1063"/>
      <c r="AR2182" s="1063"/>
      <c r="AS2182" s="1063"/>
      <c r="AT2182" s="1063"/>
      <c r="AU2182" s="1063"/>
      <c r="AV2182" s="1063"/>
    </row>
    <row r="2183" spans="1:48" s="1108" customFormat="1" ht="27.75" customHeight="1">
      <c r="A2183" s="1076"/>
      <c r="B2183" s="1074">
        <f>+'[18]Bldg+Dev'!S2995</f>
        <v>0</v>
      </c>
      <c r="D2183" s="1063"/>
      <c r="F2183" s="1076"/>
      <c r="G2183" s="1063"/>
      <c r="H2183" s="1063"/>
      <c r="I2183" s="1063"/>
      <c r="J2183" s="1063"/>
      <c r="K2183" s="1063"/>
      <c r="L2183" s="1063"/>
      <c r="M2183" s="1063"/>
      <c r="N2183" s="1063"/>
      <c r="O2183" s="1063"/>
      <c r="P2183" s="1063"/>
      <c r="Q2183" s="1063"/>
      <c r="R2183" s="1063"/>
      <c r="S2183" s="1063"/>
      <c r="T2183" s="1063"/>
      <c r="U2183" s="1063"/>
      <c r="V2183" s="1063"/>
      <c r="W2183" s="1063"/>
      <c r="X2183" s="1063"/>
      <c r="Y2183" s="1063"/>
      <c r="Z2183" s="1063"/>
      <c r="AA2183" s="1063"/>
      <c r="AB2183" s="1063"/>
      <c r="AC2183" s="1063"/>
      <c r="AD2183" s="1063"/>
      <c r="AE2183" s="1063"/>
      <c r="AF2183" s="1063"/>
      <c r="AG2183" s="1063"/>
      <c r="AH2183" s="1063"/>
      <c r="AI2183" s="1063"/>
      <c r="AJ2183" s="1063"/>
      <c r="AK2183" s="1063"/>
      <c r="AL2183" s="1063"/>
      <c r="AM2183" s="1063"/>
      <c r="AN2183" s="1063"/>
      <c r="AO2183" s="1063"/>
      <c r="AP2183" s="1063"/>
      <c r="AQ2183" s="1063"/>
      <c r="AR2183" s="1063"/>
      <c r="AS2183" s="1063"/>
      <c r="AT2183" s="1063"/>
      <c r="AU2183" s="1063"/>
      <c r="AV2183" s="1063"/>
    </row>
    <row r="2184" spans="1:48" s="1108" customFormat="1" ht="27.75" customHeight="1">
      <c r="A2184" s="1076"/>
      <c r="B2184" s="1074">
        <f>+'[18]Bldg+Dev'!S2996</f>
        <v>0</v>
      </c>
      <c r="D2184" s="1063"/>
      <c r="F2184" s="1076"/>
      <c r="G2184" s="1063"/>
      <c r="H2184" s="1063"/>
      <c r="I2184" s="1063"/>
      <c r="J2184" s="1063"/>
      <c r="K2184" s="1063"/>
      <c r="L2184" s="1063"/>
      <c r="M2184" s="1063"/>
      <c r="N2184" s="1063"/>
      <c r="O2184" s="1063"/>
      <c r="P2184" s="1063"/>
      <c r="Q2184" s="1063"/>
      <c r="R2184" s="1063"/>
      <c r="S2184" s="1063"/>
      <c r="T2184" s="1063"/>
      <c r="U2184" s="1063"/>
      <c r="V2184" s="1063"/>
      <c r="W2184" s="1063"/>
      <c r="X2184" s="1063"/>
      <c r="Y2184" s="1063"/>
      <c r="Z2184" s="1063"/>
      <c r="AA2184" s="1063"/>
      <c r="AB2184" s="1063"/>
      <c r="AC2184" s="1063"/>
      <c r="AD2184" s="1063"/>
      <c r="AE2184" s="1063"/>
      <c r="AF2184" s="1063"/>
      <c r="AG2184" s="1063"/>
      <c r="AH2184" s="1063"/>
      <c r="AI2184" s="1063"/>
      <c r="AJ2184" s="1063"/>
      <c r="AK2184" s="1063"/>
      <c r="AL2184" s="1063"/>
      <c r="AM2184" s="1063"/>
      <c r="AN2184" s="1063"/>
      <c r="AO2184" s="1063"/>
      <c r="AP2184" s="1063"/>
      <c r="AQ2184" s="1063"/>
      <c r="AR2184" s="1063"/>
      <c r="AS2184" s="1063"/>
      <c r="AT2184" s="1063"/>
      <c r="AU2184" s="1063"/>
      <c r="AV2184" s="1063"/>
    </row>
    <row r="2185" spans="1:48" s="1108" customFormat="1" ht="27.75" customHeight="1">
      <c r="A2185" s="1076"/>
      <c r="B2185" s="1074">
        <f>+'[18]Bldg+Dev'!S2997</f>
        <v>0</v>
      </c>
      <c r="D2185" s="1063"/>
      <c r="F2185" s="1076"/>
      <c r="G2185" s="1063"/>
      <c r="H2185" s="1063"/>
      <c r="I2185" s="1063"/>
      <c r="J2185" s="1063"/>
      <c r="K2185" s="1063"/>
      <c r="L2185" s="1063"/>
      <c r="M2185" s="1063"/>
      <c r="N2185" s="1063"/>
      <c r="O2185" s="1063"/>
      <c r="P2185" s="1063"/>
      <c r="Q2185" s="1063"/>
      <c r="R2185" s="1063"/>
      <c r="S2185" s="1063"/>
      <c r="T2185" s="1063"/>
      <c r="U2185" s="1063"/>
      <c r="V2185" s="1063"/>
      <c r="W2185" s="1063"/>
      <c r="X2185" s="1063"/>
      <c r="Y2185" s="1063"/>
      <c r="Z2185" s="1063"/>
      <c r="AA2185" s="1063"/>
      <c r="AB2185" s="1063"/>
      <c r="AC2185" s="1063"/>
      <c r="AD2185" s="1063"/>
      <c r="AE2185" s="1063"/>
      <c r="AF2185" s="1063"/>
      <c r="AG2185" s="1063"/>
      <c r="AH2185" s="1063"/>
      <c r="AI2185" s="1063"/>
      <c r="AJ2185" s="1063"/>
      <c r="AK2185" s="1063"/>
      <c r="AL2185" s="1063"/>
      <c r="AM2185" s="1063"/>
      <c r="AN2185" s="1063"/>
      <c r="AO2185" s="1063"/>
      <c r="AP2185" s="1063"/>
      <c r="AQ2185" s="1063"/>
      <c r="AR2185" s="1063"/>
      <c r="AS2185" s="1063"/>
      <c r="AT2185" s="1063"/>
      <c r="AU2185" s="1063"/>
      <c r="AV2185" s="1063"/>
    </row>
    <row r="2186" spans="1:48" s="1108" customFormat="1" ht="27.75" customHeight="1">
      <c r="A2186" s="1076"/>
      <c r="B2186" s="1074">
        <f>+'[18]Bldg+Dev'!S2998</f>
        <v>0</v>
      </c>
      <c r="D2186" s="1063"/>
      <c r="F2186" s="1076"/>
      <c r="G2186" s="1063"/>
      <c r="H2186" s="1063"/>
      <c r="I2186" s="1063"/>
      <c r="J2186" s="1063"/>
      <c r="K2186" s="1063"/>
      <c r="L2186" s="1063"/>
      <c r="M2186" s="1063"/>
      <c r="N2186" s="1063"/>
      <c r="O2186" s="1063"/>
      <c r="P2186" s="1063"/>
      <c r="Q2186" s="1063"/>
      <c r="R2186" s="1063"/>
      <c r="S2186" s="1063"/>
      <c r="T2186" s="1063"/>
      <c r="U2186" s="1063"/>
      <c r="V2186" s="1063"/>
      <c r="W2186" s="1063"/>
      <c r="X2186" s="1063"/>
      <c r="Y2186" s="1063"/>
      <c r="Z2186" s="1063"/>
      <c r="AA2186" s="1063"/>
      <c r="AB2186" s="1063"/>
      <c r="AC2186" s="1063"/>
      <c r="AD2186" s="1063"/>
      <c r="AE2186" s="1063"/>
      <c r="AF2186" s="1063"/>
      <c r="AG2186" s="1063"/>
      <c r="AH2186" s="1063"/>
      <c r="AI2186" s="1063"/>
      <c r="AJ2186" s="1063"/>
      <c r="AK2186" s="1063"/>
      <c r="AL2186" s="1063"/>
      <c r="AM2186" s="1063"/>
      <c r="AN2186" s="1063"/>
      <c r="AO2186" s="1063"/>
      <c r="AP2186" s="1063"/>
      <c r="AQ2186" s="1063"/>
      <c r="AR2186" s="1063"/>
      <c r="AS2186" s="1063"/>
      <c r="AT2186" s="1063"/>
      <c r="AU2186" s="1063"/>
      <c r="AV2186" s="1063"/>
    </row>
    <row r="2187" spans="1:48" s="1108" customFormat="1" ht="27.75" customHeight="1">
      <c r="A2187" s="1076"/>
      <c r="B2187" s="1074">
        <f>+'[18]Bldg+Dev'!S2999</f>
        <v>0</v>
      </c>
      <c r="D2187" s="1063"/>
      <c r="F2187" s="1076"/>
      <c r="G2187" s="1063"/>
      <c r="H2187" s="1063"/>
      <c r="I2187" s="1063"/>
      <c r="J2187" s="1063"/>
      <c r="K2187" s="1063"/>
      <c r="L2187" s="1063"/>
      <c r="M2187" s="1063"/>
      <c r="N2187" s="1063"/>
      <c r="O2187" s="1063"/>
      <c r="P2187" s="1063"/>
      <c r="Q2187" s="1063"/>
      <c r="R2187" s="1063"/>
      <c r="S2187" s="1063"/>
      <c r="T2187" s="1063"/>
      <c r="U2187" s="1063"/>
      <c r="V2187" s="1063"/>
      <c r="W2187" s="1063"/>
      <c r="X2187" s="1063"/>
      <c r="Y2187" s="1063"/>
      <c r="Z2187" s="1063"/>
      <c r="AA2187" s="1063"/>
      <c r="AB2187" s="1063"/>
      <c r="AC2187" s="1063"/>
      <c r="AD2187" s="1063"/>
      <c r="AE2187" s="1063"/>
      <c r="AF2187" s="1063"/>
      <c r="AG2187" s="1063"/>
      <c r="AH2187" s="1063"/>
      <c r="AI2187" s="1063"/>
      <c r="AJ2187" s="1063"/>
      <c r="AK2187" s="1063"/>
      <c r="AL2187" s="1063"/>
      <c r="AM2187" s="1063"/>
      <c r="AN2187" s="1063"/>
      <c r="AO2187" s="1063"/>
      <c r="AP2187" s="1063"/>
      <c r="AQ2187" s="1063"/>
      <c r="AR2187" s="1063"/>
      <c r="AS2187" s="1063"/>
      <c r="AT2187" s="1063"/>
      <c r="AU2187" s="1063"/>
      <c r="AV2187" s="1063"/>
    </row>
    <row r="2188" spans="1:48" s="1108" customFormat="1" ht="27.75" customHeight="1">
      <c r="A2188" s="1076"/>
      <c r="B2188" s="1074">
        <f>+'[18]Bldg+Dev'!S3000</f>
        <v>0</v>
      </c>
      <c r="D2188" s="1063"/>
      <c r="F2188" s="1076"/>
      <c r="G2188" s="1063"/>
      <c r="H2188" s="1063"/>
      <c r="I2188" s="1063"/>
      <c r="J2188" s="1063"/>
      <c r="K2188" s="1063"/>
      <c r="L2188" s="1063"/>
      <c r="M2188" s="1063"/>
      <c r="N2188" s="1063"/>
      <c r="O2188" s="1063"/>
      <c r="P2188" s="1063"/>
      <c r="Q2188" s="1063"/>
      <c r="R2188" s="1063"/>
      <c r="S2188" s="1063"/>
      <c r="T2188" s="1063"/>
      <c r="U2188" s="1063"/>
      <c r="V2188" s="1063"/>
      <c r="W2188" s="1063"/>
      <c r="X2188" s="1063"/>
      <c r="Y2188" s="1063"/>
      <c r="Z2188" s="1063"/>
      <c r="AA2188" s="1063"/>
      <c r="AB2188" s="1063"/>
      <c r="AC2188" s="1063"/>
      <c r="AD2188" s="1063"/>
      <c r="AE2188" s="1063"/>
      <c r="AF2188" s="1063"/>
      <c r="AG2188" s="1063"/>
      <c r="AH2188" s="1063"/>
      <c r="AI2188" s="1063"/>
      <c r="AJ2188" s="1063"/>
      <c r="AK2188" s="1063"/>
      <c r="AL2188" s="1063"/>
      <c r="AM2188" s="1063"/>
      <c r="AN2188" s="1063"/>
      <c r="AO2188" s="1063"/>
      <c r="AP2188" s="1063"/>
      <c r="AQ2188" s="1063"/>
      <c r="AR2188" s="1063"/>
      <c r="AS2188" s="1063"/>
      <c r="AT2188" s="1063"/>
      <c r="AU2188" s="1063"/>
      <c r="AV2188" s="1063"/>
    </row>
    <row r="2189" spans="1:48" s="1108" customFormat="1" ht="27.75" customHeight="1">
      <c r="A2189" s="1076"/>
      <c r="B2189" s="1074">
        <f>+'[18]Bldg+Dev'!S3001</f>
        <v>0</v>
      </c>
      <c r="D2189" s="1063"/>
      <c r="F2189" s="1076"/>
      <c r="G2189" s="1063"/>
      <c r="H2189" s="1063"/>
      <c r="I2189" s="1063"/>
      <c r="J2189" s="1063"/>
      <c r="K2189" s="1063"/>
      <c r="L2189" s="1063"/>
      <c r="M2189" s="1063"/>
      <c r="N2189" s="1063"/>
      <c r="O2189" s="1063"/>
      <c r="P2189" s="1063"/>
      <c r="Q2189" s="1063"/>
      <c r="R2189" s="1063"/>
      <c r="S2189" s="1063"/>
      <c r="T2189" s="1063"/>
      <c r="U2189" s="1063"/>
      <c r="V2189" s="1063"/>
      <c r="W2189" s="1063"/>
      <c r="X2189" s="1063"/>
      <c r="Y2189" s="1063"/>
      <c r="Z2189" s="1063"/>
      <c r="AA2189" s="1063"/>
      <c r="AB2189" s="1063"/>
      <c r="AC2189" s="1063"/>
      <c r="AD2189" s="1063"/>
      <c r="AE2189" s="1063"/>
      <c r="AF2189" s="1063"/>
      <c r="AG2189" s="1063"/>
      <c r="AH2189" s="1063"/>
      <c r="AI2189" s="1063"/>
      <c r="AJ2189" s="1063"/>
      <c r="AK2189" s="1063"/>
      <c r="AL2189" s="1063"/>
      <c r="AM2189" s="1063"/>
      <c r="AN2189" s="1063"/>
      <c r="AO2189" s="1063"/>
      <c r="AP2189" s="1063"/>
      <c r="AQ2189" s="1063"/>
      <c r="AR2189" s="1063"/>
      <c r="AS2189" s="1063"/>
      <c r="AT2189" s="1063"/>
      <c r="AU2189" s="1063"/>
      <c r="AV2189" s="1063"/>
    </row>
    <row r="2190" spans="1:48" s="1108" customFormat="1" ht="27.75" customHeight="1">
      <c r="A2190" s="1076"/>
      <c r="B2190" s="1074">
        <f>+'[18]Bldg+Dev'!S3002</f>
        <v>0</v>
      </c>
      <c r="D2190" s="1063"/>
      <c r="F2190" s="1076"/>
      <c r="G2190" s="1063"/>
      <c r="H2190" s="1063"/>
      <c r="I2190" s="1063"/>
      <c r="J2190" s="1063"/>
      <c r="K2190" s="1063"/>
      <c r="L2190" s="1063"/>
      <c r="M2190" s="1063"/>
      <c r="N2190" s="1063"/>
      <c r="O2190" s="1063"/>
      <c r="P2190" s="1063"/>
      <c r="Q2190" s="1063"/>
      <c r="R2190" s="1063"/>
      <c r="S2190" s="1063"/>
      <c r="T2190" s="1063"/>
      <c r="U2190" s="1063"/>
      <c r="V2190" s="1063"/>
      <c r="W2190" s="1063"/>
      <c r="X2190" s="1063"/>
      <c r="Y2190" s="1063"/>
      <c r="Z2190" s="1063"/>
      <c r="AA2190" s="1063"/>
      <c r="AB2190" s="1063"/>
      <c r="AC2190" s="1063"/>
      <c r="AD2190" s="1063"/>
      <c r="AE2190" s="1063"/>
      <c r="AF2190" s="1063"/>
      <c r="AG2190" s="1063"/>
      <c r="AH2190" s="1063"/>
      <c r="AI2190" s="1063"/>
      <c r="AJ2190" s="1063"/>
      <c r="AK2190" s="1063"/>
      <c r="AL2190" s="1063"/>
      <c r="AM2190" s="1063"/>
      <c r="AN2190" s="1063"/>
      <c r="AO2190" s="1063"/>
      <c r="AP2190" s="1063"/>
      <c r="AQ2190" s="1063"/>
      <c r="AR2190" s="1063"/>
      <c r="AS2190" s="1063"/>
      <c r="AT2190" s="1063"/>
      <c r="AU2190" s="1063"/>
      <c r="AV2190" s="1063"/>
    </row>
    <row r="2191" spans="1:48" s="1108" customFormat="1" ht="27.75" customHeight="1">
      <c r="A2191" s="1076"/>
      <c r="B2191" s="1074">
        <f>+'[18]Bldg+Dev'!S3003</f>
        <v>0</v>
      </c>
      <c r="D2191" s="1063"/>
      <c r="F2191" s="1076"/>
      <c r="G2191" s="1063"/>
      <c r="H2191" s="1063"/>
      <c r="I2191" s="1063"/>
      <c r="J2191" s="1063"/>
      <c r="K2191" s="1063"/>
      <c r="L2191" s="1063"/>
      <c r="M2191" s="1063"/>
      <c r="N2191" s="1063"/>
      <c r="O2191" s="1063"/>
      <c r="P2191" s="1063"/>
      <c r="Q2191" s="1063"/>
      <c r="R2191" s="1063"/>
      <c r="S2191" s="1063"/>
      <c r="T2191" s="1063"/>
      <c r="U2191" s="1063"/>
      <c r="V2191" s="1063"/>
      <c r="W2191" s="1063"/>
      <c r="X2191" s="1063"/>
      <c r="Y2191" s="1063"/>
      <c r="Z2191" s="1063"/>
      <c r="AA2191" s="1063"/>
      <c r="AB2191" s="1063"/>
      <c r="AC2191" s="1063"/>
      <c r="AD2191" s="1063"/>
      <c r="AE2191" s="1063"/>
      <c r="AF2191" s="1063"/>
      <c r="AG2191" s="1063"/>
      <c r="AH2191" s="1063"/>
      <c r="AI2191" s="1063"/>
      <c r="AJ2191" s="1063"/>
      <c r="AK2191" s="1063"/>
      <c r="AL2191" s="1063"/>
      <c r="AM2191" s="1063"/>
      <c r="AN2191" s="1063"/>
      <c r="AO2191" s="1063"/>
      <c r="AP2191" s="1063"/>
      <c r="AQ2191" s="1063"/>
      <c r="AR2191" s="1063"/>
      <c r="AS2191" s="1063"/>
      <c r="AT2191" s="1063"/>
      <c r="AU2191" s="1063"/>
      <c r="AV2191" s="1063"/>
    </row>
    <row r="2192" spans="1:48" s="1108" customFormat="1" ht="27.75" customHeight="1">
      <c r="A2192" s="1076"/>
      <c r="B2192" s="1074">
        <f>+'[18]Bldg+Dev'!S3004</f>
        <v>0</v>
      </c>
      <c r="D2192" s="1063"/>
      <c r="F2192" s="1076"/>
      <c r="G2192" s="1063"/>
      <c r="H2192" s="1063"/>
      <c r="I2192" s="1063"/>
      <c r="J2192" s="1063"/>
      <c r="K2192" s="1063"/>
      <c r="L2192" s="1063"/>
      <c r="M2192" s="1063"/>
      <c r="N2192" s="1063"/>
      <c r="O2192" s="1063"/>
      <c r="P2192" s="1063"/>
      <c r="Q2192" s="1063"/>
      <c r="R2192" s="1063"/>
      <c r="S2192" s="1063"/>
      <c r="T2192" s="1063"/>
      <c r="U2192" s="1063"/>
      <c r="V2192" s="1063"/>
      <c r="W2192" s="1063"/>
      <c r="X2192" s="1063"/>
      <c r="Y2192" s="1063"/>
      <c r="Z2192" s="1063"/>
      <c r="AA2192" s="1063"/>
      <c r="AB2192" s="1063"/>
      <c r="AC2192" s="1063"/>
      <c r="AD2192" s="1063"/>
      <c r="AE2192" s="1063"/>
      <c r="AF2192" s="1063"/>
      <c r="AG2192" s="1063"/>
      <c r="AH2192" s="1063"/>
      <c r="AI2192" s="1063"/>
      <c r="AJ2192" s="1063"/>
      <c r="AK2192" s="1063"/>
      <c r="AL2192" s="1063"/>
      <c r="AM2192" s="1063"/>
      <c r="AN2192" s="1063"/>
      <c r="AO2192" s="1063"/>
      <c r="AP2192" s="1063"/>
      <c r="AQ2192" s="1063"/>
      <c r="AR2192" s="1063"/>
      <c r="AS2192" s="1063"/>
      <c r="AT2192" s="1063"/>
      <c r="AU2192" s="1063"/>
      <c r="AV2192" s="1063"/>
    </row>
    <row r="2193" spans="1:48" s="1108" customFormat="1" ht="27.75" customHeight="1">
      <c r="A2193" s="1076"/>
      <c r="B2193" s="1074">
        <f>+'[18]Bldg+Dev'!S3005</f>
        <v>0</v>
      </c>
      <c r="D2193" s="1063"/>
      <c r="F2193" s="1076"/>
      <c r="G2193" s="1063"/>
      <c r="H2193" s="1063"/>
      <c r="I2193" s="1063"/>
      <c r="J2193" s="1063"/>
      <c r="K2193" s="1063"/>
      <c r="L2193" s="1063"/>
      <c r="M2193" s="1063"/>
      <c r="N2193" s="1063"/>
      <c r="O2193" s="1063"/>
      <c r="P2193" s="1063"/>
      <c r="Q2193" s="1063"/>
      <c r="R2193" s="1063"/>
      <c r="S2193" s="1063"/>
      <c r="T2193" s="1063"/>
      <c r="U2193" s="1063"/>
      <c r="V2193" s="1063"/>
      <c r="W2193" s="1063"/>
      <c r="X2193" s="1063"/>
      <c r="Y2193" s="1063"/>
      <c r="Z2193" s="1063"/>
      <c r="AA2193" s="1063"/>
      <c r="AB2193" s="1063"/>
      <c r="AC2193" s="1063"/>
      <c r="AD2193" s="1063"/>
      <c r="AE2193" s="1063"/>
      <c r="AF2193" s="1063"/>
      <c r="AG2193" s="1063"/>
      <c r="AH2193" s="1063"/>
      <c r="AI2193" s="1063"/>
      <c r="AJ2193" s="1063"/>
      <c r="AK2193" s="1063"/>
      <c r="AL2193" s="1063"/>
      <c r="AM2193" s="1063"/>
      <c r="AN2193" s="1063"/>
      <c r="AO2193" s="1063"/>
      <c r="AP2193" s="1063"/>
      <c r="AQ2193" s="1063"/>
      <c r="AR2193" s="1063"/>
      <c r="AS2193" s="1063"/>
      <c r="AT2193" s="1063"/>
      <c r="AU2193" s="1063"/>
      <c r="AV2193" s="1063"/>
    </row>
    <row r="2194" spans="1:48" s="1108" customFormat="1" ht="27.75" customHeight="1">
      <c r="A2194" s="1076"/>
      <c r="B2194" s="1074">
        <f>+'[18]Bldg+Dev'!S3006</f>
        <v>0</v>
      </c>
      <c r="D2194" s="1063"/>
      <c r="F2194" s="1076"/>
      <c r="G2194" s="1063"/>
      <c r="H2194" s="1063"/>
      <c r="I2194" s="1063"/>
      <c r="J2194" s="1063"/>
      <c r="K2194" s="1063"/>
      <c r="L2194" s="1063"/>
      <c r="M2194" s="1063"/>
      <c r="N2194" s="1063"/>
      <c r="O2194" s="1063"/>
      <c r="P2194" s="1063"/>
      <c r="Q2194" s="1063"/>
      <c r="R2194" s="1063"/>
      <c r="S2194" s="1063"/>
      <c r="T2194" s="1063"/>
      <c r="U2194" s="1063"/>
      <c r="V2194" s="1063"/>
      <c r="W2194" s="1063"/>
      <c r="X2194" s="1063"/>
      <c r="Y2194" s="1063"/>
      <c r="Z2194" s="1063"/>
      <c r="AA2194" s="1063"/>
      <c r="AB2194" s="1063"/>
      <c r="AC2194" s="1063"/>
      <c r="AD2194" s="1063"/>
      <c r="AE2194" s="1063"/>
      <c r="AF2194" s="1063"/>
      <c r="AG2194" s="1063"/>
      <c r="AH2194" s="1063"/>
      <c r="AI2194" s="1063"/>
      <c r="AJ2194" s="1063"/>
      <c r="AK2194" s="1063"/>
      <c r="AL2194" s="1063"/>
      <c r="AM2194" s="1063"/>
      <c r="AN2194" s="1063"/>
      <c r="AO2194" s="1063"/>
      <c r="AP2194" s="1063"/>
      <c r="AQ2194" s="1063"/>
      <c r="AR2194" s="1063"/>
      <c r="AS2194" s="1063"/>
      <c r="AT2194" s="1063"/>
      <c r="AU2194" s="1063"/>
      <c r="AV2194" s="1063"/>
    </row>
    <row r="2195" spans="1:48" s="1108" customFormat="1" ht="27.75" customHeight="1">
      <c r="A2195" s="1076"/>
      <c r="B2195" s="1074">
        <f>+'[18]Bldg+Dev'!S3007</f>
        <v>0</v>
      </c>
      <c r="D2195" s="1063"/>
      <c r="F2195" s="1076"/>
      <c r="G2195" s="1063"/>
      <c r="H2195" s="1063"/>
      <c r="I2195" s="1063"/>
      <c r="J2195" s="1063"/>
      <c r="K2195" s="1063"/>
      <c r="L2195" s="1063"/>
      <c r="M2195" s="1063"/>
      <c r="N2195" s="1063"/>
      <c r="O2195" s="1063"/>
      <c r="P2195" s="1063"/>
      <c r="Q2195" s="1063"/>
      <c r="R2195" s="1063"/>
      <c r="S2195" s="1063"/>
      <c r="T2195" s="1063"/>
      <c r="U2195" s="1063"/>
      <c r="V2195" s="1063"/>
      <c r="W2195" s="1063"/>
      <c r="X2195" s="1063"/>
      <c r="Y2195" s="1063"/>
      <c r="Z2195" s="1063"/>
      <c r="AA2195" s="1063"/>
      <c r="AB2195" s="1063"/>
      <c r="AC2195" s="1063"/>
      <c r="AD2195" s="1063"/>
      <c r="AE2195" s="1063"/>
      <c r="AF2195" s="1063"/>
      <c r="AG2195" s="1063"/>
      <c r="AH2195" s="1063"/>
      <c r="AI2195" s="1063"/>
      <c r="AJ2195" s="1063"/>
      <c r="AK2195" s="1063"/>
      <c r="AL2195" s="1063"/>
      <c r="AM2195" s="1063"/>
      <c r="AN2195" s="1063"/>
      <c r="AO2195" s="1063"/>
      <c r="AP2195" s="1063"/>
      <c r="AQ2195" s="1063"/>
      <c r="AR2195" s="1063"/>
      <c r="AS2195" s="1063"/>
      <c r="AT2195" s="1063"/>
      <c r="AU2195" s="1063"/>
      <c r="AV2195" s="1063"/>
    </row>
    <row r="2196" spans="1:48" s="1108" customFormat="1" ht="27.75" customHeight="1">
      <c r="A2196" s="1076"/>
      <c r="B2196" s="1074">
        <f>+'[18]Bldg+Dev'!S3008</f>
        <v>0</v>
      </c>
      <c r="D2196" s="1063"/>
      <c r="F2196" s="1076"/>
      <c r="G2196" s="1063"/>
      <c r="H2196" s="1063"/>
      <c r="I2196" s="1063"/>
      <c r="J2196" s="1063"/>
      <c r="K2196" s="1063"/>
      <c r="L2196" s="1063"/>
      <c r="M2196" s="1063"/>
      <c r="N2196" s="1063"/>
      <c r="O2196" s="1063"/>
      <c r="P2196" s="1063"/>
      <c r="Q2196" s="1063"/>
      <c r="R2196" s="1063"/>
      <c r="S2196" s="1063"/>
      <c r="T2196" s="1063"/>
      <c r="U2196" s="1063"/>
      <c r="V2196" s="1063"/>
      <c r="W2196" s="1063"/>
      <c r="X2196" s="1063"/>
      <c r="Y2196" s="1063"/>
      <c r="Z2196" s="1063"/>
      <c r="AA2196" s="1063"/>
      <c r="AB2196" s="1063"/>
      <c r="AC2196" s="1063"/>
      <c r="AD2196" s="1063"/>
      <c r="AE2196" s="1063"/>
      <c r="AF2196" s="1063"/>
      <c r="AG2196" s="1063"/>
      <c r="AH2196" s="1063"/>
      <c r="AI2196" s="1063"/>
      <c r="AJ2196" s="1063"/>
      <c r="AK2196" s="1063"/>
      <c r="AL2196" s="1063"/>
      <c r="AM2196" s="1063"/>
      <c r="AN2196" s="1063"/>
      <c r="AO2196" s="1063"/>
      <c r="AP2196" s="1063"/>
      <c r="AQ2196" s="1063"/>
      <c r="AR2196" s="1063"/>
      <c r="AS2196" s="1063"/>
      <c r="AT2196" s="1063"/>
      <c r="AU2196" s="1063"/>
      <c r="AV2196" s="1063"/>
    </row>
    <row r="2197" spans="1:48" s="1108" customFormat="1" ht="27.75" customHeight="1">
      <c r="A2197" s="1076"/>
      <c r="B2197" s="1074">
        <f>+'[18]Bldg+Dev'!S3009</f>
        <v>0</v>
      </c>
      <c r="D2197" s="1063"/>
      <c r="F2197" s="1076"/>
      <c r="G2197" s="1063"/>
      <c r="H2197" s="1063"/>
      <c r="I2197" s="1063"/>
      <c r="J2197" s="1063"/>
      <c r="K2197" s="1063"/>
      <c r="L2197" s="1063"/>
      <c r="M2197" s="1063"/>
      <c r="N2197" s="1063"/>
      <c r="O2197" s="1063"/>
      <c r="P2197" s="1063"/>
      <c r="Q2197" s="1063"/>
      <c r="R2197" s="1063"/>
      <c r="S2197" s="1063"/>
      <c r="T2197" s="1063"/>
      <c r="U2197" s="1063"/>
      <c r="V2197" s="1063"/>
      <c r="W2197" s="1063"/>
      <c r="X2197" s="1063"/>
      <c r="Y2197" s="1063"/>
      <c r="Z2197" s="1063"/>
      <c r="AA2197" s="1063"/>
      <c r="AB2197" s="1063"/>
      <c r="AC2197" s="1063"/>
      <c r="AD2197" s="1063"/>
      <c r="AE2197" s="1063"/>
      <c r="AF2197" s="1063"/>
      <c r="AG2197" s="1063"/>
      <c r="AH2197" s="1063"/>
      <c r="AI2197" s="1063"/>
      <c r="AJ2197" s="1063"/>
      <c r="AK2197" s="1063"/>
      <c r="AL2197" s="1063"/>
      <c r="AM2197" s="1063"/>
      <c r="AN2197" s="1063"/>
      <c r="AO2197" s="1063"/>
      <c r="AP2197" s="1063"/>
      <c r="AQ2197" s="1063"/>
      <c r="AR2197" s="1063"/>
      <c r="AS2197" s="1063"/>
      <c r="AT2197" s="1063"/>
      <c r="AU2197" s="1063"/>
      <c r="AV2197" s="1063"/>
    </row>
    <row r="2198" spans="1:48" s="1108" customFormat="1" ht="27.75" customHeight="1">
      <c r="A2198" s="1076"/>
      <c r="B2198" s="1074">
        <f>+'[18]Bldg+Dev'!S3010</f>
        <v>0</v>
      </c>
      <c r="D2198" s="1063"/>
      <c r="F2198" s="1076"/>
      <c r="G2198" s="1063"/>
      <c r="H2198" s="1063"/>
      <c r="I2198" s="1063"/>
      <c r="J2198" s="1063"/>
      <c r="K2198" s="1063"/>
      <c r="L2198" s="1063"/>
      <c r="M2198" s="1063"/>
      <c r="N2198" s="1063"/>
      <c r="O2198" s="1063"/>
      <c r="P2198" s="1063"/>
      <c r="Q2198" s="1063"/>
      <c r="R2198" s="1063"/>
      <c r="S2198" s="1063"/>
      <c r="T2198" s="1063"/>
      <c r="U2198" s="1063"/>
      <c r="V2198" s="1063"/>
      <c r="W2198" s="1063"/>
      <c r="X2198" s="1063"/>
      <c r="Y2198" s="1063"/>
      <c r="Z2198" s="1063"/>
      <c r="AA2198" s="1063"/>
      <c r="AB2198" s="1063"/>
      <c r="AC2198" s="1063"/>
      <c r="AD2198" s="1063"/>
      <c r="AE2198" s="1063"/>
      <c r="AF2198" s="1063"/>
      <c r="AG2198" s="1063"/>
      <c r="AH2198" s="1063"/>
      <c r="AI2198" s="1063"/>
      <c r="AJ2198" s="1063"/>
      <c r="AK2198" s="1063"/>
      <c r="AL2198" s="1063"/>
      <c r="AM2198" s="1063"/>
      <c r="AN2198" s="1063"/>
      <c r="AO2198" s="1063"/>
      <c r="AP2198" s="1063"/>
      <c r="AQ2198" s="1063"/>
      <c r="AR2198" s="1063"/>
      <c r="AS2198" s="1063"/>
      <c r="AT2198" s="1063"/>
      <c r="AU2198" s="1063"/>
      <c r="AV2198" s="1063"/>
    </row>
    <row r="2199" spans="1:48" s="1108" customFormat="1" ht="27.75" customHeight="1">
      <c r="A2199" s="1076"/>
      <c r="B2199" s="1074">
        <f>+'[18]Bldg+Dev'!S3011</f>
        <v>0</v>
      </c>
      <c r="D2199" s="1063"/>
      <c r="F2199" s="1076"/>
      <c r="G2199" s="1063"/>
      <c r="H2199" s="1063"/>
      <c r="I2199" s="1063"/>
      <c r="J2199" s="1063"/>
      <c r="K2199" s="1063"/>
      <c r="L2199" s="1063"/>
      <c r="M2199" s="1063"/>
      <c r="N2199" s="1063"/>
      <c r="O2199" s="1063"/>
      <c r="P2199" s="1063"/>
      <c r="Q2199" s="1063"/>
      <c r="R2199" s="1063"/>
      <c r="S2199" s="1063"/>
      <c r="T2199" s="1063"/>
      <c r="U2199" s="1063"/>
      <c r="V2199" s="1063"/>
      <c r="W2199" s="1063"/>
      <c r="X2199" s="1063"/>
      <c r="Y2199" s="1063"/>
      <c r="Z2199" s="1063"/>
      <c r="AA2199" s="1063"/>
      <c r="AB2199" s="1063"/>
      <c r="AC2199" s="1063"/>
      <c r="AD2199" s="1063"/>
      <c r="AE2199" s="1063"/>
      <c r="AF2199" s="1063"/>
      <c r="AG2199" s="1063"/>
      <c r="AH2199" s="1063"/>
      <c r="AI2199" s="1063"/>
      <c r="AJ2199" s="1063"/>
      <c r="AK2199" s="1063"/>
      <c r="AL2199" s="1063"/>
      <c r="AM2199" s="1063"/>
      <c r="AN2199" s="1063"/>
      <c r="AO2199" s="1063"/>
      <c r="AP2199" s="1063"/>
      <c r="AQ2199" s="1063"/>
      <c r="AR2199" s="1063"/>
      <c r="AS2199" s="1063"/>
      <c r="AT2199" s="1063"/>
      <c r="AU2199" s="1063"/>
      <c r="AV2199" s="1063"/>
    </row>
    <row r="2200" spans="1:48" s="1108" customFormat="1" ht="27.75" customHeight="1">
      <c r="A2200" s="1076"/>
      <c r="B2200" s="1074">
        <f>+'[18]Bldg+Dev'!S3012</f>
        <v>0</v>
      </c>
      <c r="D2200" s="1063"/>
      <c r="F2200" s="1076"/>
      <c r="G2200" s="1063"/>
      <c r="H2200" s="1063"/>
      <c r="I2200" s="1063"/>
      <c r="J2200" s="1063"/>
      <c r="K2200" s="1063"/>
      <c r="L2200" s="1063"/>
      <c r="M2200" s="1063"/>
      <c r="N2200" s="1063"/>
      <c r="O2200" s="1063"/>
      <c r="P2200" s="1063"/>
      <c r="Q2200" s="1063"/>
      <c r="R2200" s="1063"/>
      <c r="S2200" s="1063"/>
      <c r="T2200" s="1063"/>
      <c r="U2200" s="1063"/>
      <c r="V2200" s="1063"/>
      <c r="W2200" s="1063"/>
      <c r="X2200" s="1063"/>
      <c r="Y2200" s="1063"/>
      <c r="Z2200" s="1063"/>
      <c r="AA2200" s="1063"/>
      <c r="AB2200" s="1063"/>
      <c r="AC2200" s="1063"/>
      <c r="AD2200" s="1063"/>
      <c r="AE2200" s="1063"/>
      <c r="AF2200" s="1063"/>
      <c r="AG2200" s="1063"/>
      <c r="AH2200" s="1063"/>
      <c r="AI2200" s="1063"/>
      <c r="AJ2200" s="1063"/>
      <c r="AK2200" s="1063"/>
      <c r="AL2200" s="1063"/>
      <c r="AM2200" s="1063"/>
      <c r="AN2200" s="1063"/>
      <c r="AO2200" s="1063"/>
      <c r="AP2200" s="1063"/>
      <c r="AQ2200" s="1063"/>
      <c r="AR2200" s="1063"/>
      <c r="AS2200" s="1063"/>
      <c r="AT2200" s="1063"/>
      <c r="AU2200" s="1063"/>
      <c r="AV2200" s="1063"/>
    </row>
    <row r="2201" spans="1:48" s="1108" customFormat="1" ht="27.75" customHeight="1">
      <c r="A2201" s="1076"/>
      <c r="B2201" s="1074">
        <f>+'[18]Bldg+Dev'!S3013</f>
        <v>0</v>
      </c>
      <c r="D2201" s="1063"/>
      <c r="F2201" s="1076"/>
      <c r="G2201" s="1063"/>
      <c r="H2201" s="1063"/>
      <c r="I2201" s="1063"/>
      <c r="J2201" s="1063"/>
      <c r="K2201" s="1063"/>
      <c r="L2201" s="1063"/>
      <c r="M2201" s="1063"/>
      <c r="N2201" s="1063"/>
      <c r="O2201" s="1063"/>
      <c r="P2201" s="1063"/>
      <c r="Q2201" s="1063"/>
      <c r="R2201" s="1063"/>
      <c r="S2201" s="1063"/>
      <c r="T2201" s="1063"/>
      <c r="U2201" s="1063"/>
      <c r="V2201" s="1063"/>
      <c r="W2201" s="1063"/>
      <c r="X2201" s="1063"/>
      <c r="Y2201" s="1063"/>
      <c r="Z2201" s="1063"/>
      <c r="AA2201" s="1063"/>
      <c r="AB2201" s="1063"/>
      <c r="AC2201" s="1063"/>
      <c r="AD2201" s="1063"/>
      <c r="AE2201" s="1063"/>
      <c r="AF2201" s="1063"/>
      <c r="AG2201" s="1063"/>
      <c r="AH2201" s="1063"/>
      <c r="AI2201" s="1063"/>
      <c r="AJ2201" s="1063"/>
      <c r="AK2201" s="1063"/>
      <c r="AL2201" s="1063"/>
      <c r="AM2201" s="1063"/>
      <c r="AN2201" s="1063"/>
      <c r="AO2201" s="1063"/>
      <c r="AP2201" s="1063"/>
      <c r="AQ2201" s="1063"/>
      <c r="AR2201" s="1063"/>
      <c r="AS2201" s="1063"/>
      <c r="AT2201" s="1063"/>
      <c r="AU2201" s="1063"/>
      <c r="AV2201" s="1063"/>
    </row>
    <row r="2202" spans="1:48" s="1108" customFormat="1" ht="27.75" customHeight="1">
      <c r="A2202" s="1076"/>
      <c r="B2202" s="1074">
        <f>+'[18]Bldg+Dev'!S3014</f>
        <v>0</v>
      </c>
      <c r="D2202" s="1063"/>
      <c r="F2202" s="1076"/>
      <c r="G2202" s="1063"/>
      <c r="H2202" s="1063"/>
      <c r="I2202" s="1063"/>
      <c r="J2202" s="1063"/>
      <c r="K2202" s="1063"/>
      <c r="L2202" s="1063"/>
      <c r="M2202" s="1063"/>
      <c r="N2202" s="1063"/>
      <c r="O2202" s="1063"/>
      <c r="P2202" s="1063"/>
      <c r="Q2202" s="1063"/>
      <c r="R2202" s="1063"/>
      <c r="S2202" s="1063"/>
      <c r="T2202" s="1063"/>
      <c r="U2202" s="1063"/>
      <c r="V2202" s="1063"/>
      <c r="W2202" s="1063"/>
      <c r="X2202" s="1063"/>
      <c r="Y2202" s="1063"/>
      <c r="Z2202" s="1063"/>
      <c r="AA2202" s="1063"/>
      <c r="AB2202" s="1063"/>
      <c r="AC2202" s="1063"/>
      <c r="AD2202" s="1063"/>
      <c r="AE2202" s="1063"/>
      <c r="AF2202" s="1063"/>
      <c r="AG2202" s="1063"/>
      <c r="AH2202" s="1063"/>
      <c r="AI2202" s="1063"/>
      <c r="AJ2202" s="1063"/>
      <c r="AK2202" s="1063"/>
      <c r="AL2202" s="1063"/>
      <c r="AM2202" s="1063"/>
      <c r="AN2202" s="1063"/>
      <c r="AO2202" s="1063"/>
      <c r="AP2202" s="1063"/>
      <c r="AQ2202" s="1063"/>
      <c r="AR2202" s="1063"/>
      <c r="AS2202" s="1063"/>
      <c r="AT2202" s="1063"/>
      <c r="AU2202" s="1063"/>
      <c r="AV2202" s="1063"/>
    </row>
    <row r="2203" spans="1:48" s="1108" customFormat="1" ht="27.75" customHeight="1">
      <c r="A2203" s="1076"/>
      <c r="B2203" s="1074">
        <f>+'[18]Bldg+Dev'!S3015</f>
        <v>0</v>
      </c>
      <c r="D2203" s="1063"/>
      <c r="F2203" s="1076"/>
      <c r="G2203" s="1063"/>
      <c r="H2203" s="1063"/>
      <c r="I2203" s="1063"/>
      <c r="J2203" s="1063"/>
      <c r="K2203" s="1063"/>
      <c r="L2203" s="1063"/>
      <c r="M2203" s="1063"/>
      <c r="N2203" s="1063"/>
      <c r="O2203" s="1063"/>
      <c r="P2203" s="1063"/>
      <c r="Q2203" s="1063"/>
      <c r="R2203" s="1063"/>
      <c r="S2203" s="1063"/>
      <c r="T2203" s="1063"/>
      <c r="U2203" s="1063"/>
      <c r="V2203" s="1063"/>
      <c r="W2203" s="1063"/>
      <c r="X2203" s="1063"/>
      <c r="Y2203" s="1063"/>
      <c r="Z2203" s="1063"/>
      <c r="AA2203" s="1063"/>
      <c r="AB2203" s="1063"/>
      <c r="AC2203" s="1063"/>
      <c r="AD2203" s="1063"/>
      <c r="AE2203" s="1063"/>
      <c r="AF2203" s="1063"/>
      <c r="AG2203" s="1063"/>
      <c r="AH2203" s="1063"/>
      <c r="AI2203" s="1063"/>
      <c r="AJ2203" s="1063"/>
      <c r="AK2203" s="1063"/>
      <c r="AL2203" s="1063"/>
      <c r="AM2203" s="1063"/>
      <c r="AN2203" s="1063"/>
      <c r="AO2203" s="1063"/>
      <c r="AP2203" s="1063"/>
      <c r="AQ2203" s="1063"/>
      <c r="AR2203" s="1063"/>
      <c r="AS2203" s="1063"/>
      <c r="AT2203" s="1063"/>
      <c r="AU2203" s="1063"/>
      <c r="AV2203" s="1063"/>
    </row>
    <row r="2204" spans="1:48" s="1108" customFormat="1" ht="27.75" customHeight="1">
      <c r="A2204" s="1076"/>
      <c r="B2204" s="1074">
        <f>+'[18]Bldg+Dev'!S3016</f>
        <v>0</v>
      </c>
      <c r="D2204" s="1063"/>
      <c r="F2204" s="1076"/>
      <c r="G2204" s="1063"/>
      <c r="H2204" s="1063"/>
      <c r="I2204" s="1063"/>
      <c r="J2204" s="1063"/>
      <c r="K2204" s="1063"/>
      <c r="L2204" s="1063"/>
      <c r="M2204" s="1063"/>
      <c r="N2204" s="1063"/>
      <c r="O2204" s="1063"/>
      <c r="P2204" s="1063"/>
      <c r="Q2204" s="1063"/>
      <c r="R2204" s="1063"/>
      <c r="S2204" s="1063"/>
      <c r="T2204" s="1063"/>
      <c r="U2204" s="1063"/>
      <c r="V2204" s="1063"/>
      <c r="W2204" s="1063"/>
      <c r="X2204" s="1063"/>
      <c r="Y2204" s="1063"/>
      <c r="Z2204" s="1063"/>
      <c r="AA2204" s="1063"/>
      <c r="AB2204" s="1063"/>
      <c r="AC2204" s="1063"/>
      <c r="AD2204" s="1063"/>
      <c r="AE2204" s="1063"/>
      <c r="AF2204" s="1063"/>
      <c r="AG2204" s="1063"/>
      <c r="AH2204" s="1063"/>
      <c r="AI2204" s="1063"/>
      <c r="AJ2204" s="1063"/>
      <c r="AK2204" s="1063"/>
      <c r="AL2204" s="1063"/>
      <c r="AM2204" s="1063"/>
      <c r="AN2204" s="1063"/>
      <c r="AO2204" s="1063"/>
      <c r="AP2204" s="1063"/>
      <c r="AQ2204" s="1063"/>
      <c r="AR2204" s="1063"/>
      <c r="AS2204" s="1063"/>
      <c r="AT2204" s="1063"/>
      <c r="AU2204" s="1063"/>
      <c r="AV2204" s="1063"/>
    </row>
    <row r="2205" spans="1:48" s="1108" customFormat="1" ht="27.75" customHeight="1">
      <c r="A2205" s="1076"/>
      <c r="B2205" s="1074">
        <f>+'[18]Bldg+Dev'!S3017</f>
        <v>0</v>
      </c>
      <c r="D2205" s="1063"/>
      <c r="F2205" s="1076"/>
      <c r="G2205" s="1063"/>
      <c r="H2205" s="1063"/>
      <c r="I2205" s="1063"/>
      <c r="J2205" s="1063"/>
      <c r="K2205" s="1063"/>
      <c r="L2205" s="1063"/>
      <c r="M2205" s="1063"/>
      <c r="N2205" s="1063"/>
      <c r="O2205" s="1063"/>
      <c r="P2205" s="1063"/>
      <c r="Q2205" s="1063"/>
      <c r="R2205" s="1063"/>
      <c r="S2205" s="1063"/>
      <c r="T2205" s="1063"/>
      <c r="U2205" s="1063"/>
      <c r="V2205" s="1063"/>
      <c r="W2205" s="1063"/>
      <c r="X2205" s="1063"/>
      <c r="Y2205" s="1063"/>
      <c r="Z2205" s="1063"/>
      <c r="AA2205" s="1063"/>
      <c r="AB2205" s="1063"/>
      <c r="AC2205" s="1063"/>
      <c r="AD2205" s="1063"/>
      <c r="AE2205" s="1063"/>
      <c r="AF2205" s="1063"/>
      <c r="AG2205" s="1063"/>
      <c r="AH2205" s="1063"/>
      <c r="AI2205" s="1063"/>
      <c r="AJ2205" s="1063"/>
      <c r="AK2205" s="1063"/>
      <c r="AL2205" s="1063"/>
      <c r="AM2205" s="1063"/>
      <c r="AN2205" s="1063"/>
      <c r="AO2205" s="1063"/>
      <c r="AP2205" s="1063"/>
      <c r="AQ2205" s="1063"/>
      <c r="AR2205" s="1063"/>
      <c r="AS2205" s="1063"/>
      <c r="AT2205" s="1063"/>
      <c r="AU2205" s="1063"/>
      <c r="AV2205" s="1063"/>
    </row>
    <row r="2206" spans="1:48" s="1108" customFormat="1" ht="27.75" customHeight="1">
      <c r="A2206" s="1076"/>
      <c r="B2206" s="1074">
        <f>+'[18]Bldg+Dev'!S3018</f>
        <v>0</v>
      </c>
      <c r="D2206" s="1063"/>
      <c r="F2206" s="1076"/>
      <c r="G2206" s="1063"/>
      <c r="H2206" s="1063"/>
      <c r="I2206" s="1063"/>
      <c r="J2206" s="1063"/>
      <c r="K2206" s="1063"/>
      <c r="L2206" s="1063"/>
      <c r="M2206" s="1063"/>
      <c r="N2206" s="1063"/>
      <c r="O2206" s="1063"/>
      <c r="P2206" s="1063"/>
      <c r="Q2206" s="1063"/>
      <c r="R2206" s="1063"/>
      <c r="S2206" s="1063"/>
      <c r="T2206" s="1063"/>
      <c r="U2206" s="1063"/>
      <c r="V2206" s="1063"/>
      <c r="W2206" s="1063"/>
      <c r="X2206" s="1063"/>
      <c r="Y2206" s="1063"/>
      <c r="Z2206" s="1063"/>
      <c r="AA2206" s="1063"/>
      <c r="AB2206" s="1063"/>
      <c r="AC2206" s="1063"/>
      <c r="AD2206" s="1063"/>
      <c r="AE2206" s="1063"/>
      <c r="AF2206" s="1063"/>
      <c r="AG2206" s="1063"/>
      <c r="AH2206" s="1063"/>
      <c r="AI2206" s="1063"/>
      <c r="AJ2206" s="1063"/>
      <c r="AK2206" s="1063"/>
      <c r="AL2206" s="1063"/>
      <c r="AM2206" s="1063"/>
      <c r="AN2206" s="1063"/>
      <c r="AO2206" s="1063"/>
      <c r="AP2206" s="1063"/>
      <c r="AQ2206" s="1063"/>
      <c r="AR2206" s="1063"/>
      <c r="AS2206" s="1063"/>
      <c r="AT2206" s="1063"/>
      <c r="AU2206" s="1063"/>
      <c r="AV2206" s="1063"/>
    </row>
    <row r="2207" spans="1:48" s="1108" customFormat="1" ht="27.75" customHeight="1">
      <c r="A2207" s="1076"/>
      <c r="B2207" s="1074">
        <f>+'[18]Bldg+Dev'!S3019</f>
        <v>0</v>
      </c>
      <c r="D2207" s="1063"/>
      <c r="F2207" s="1076"/>
      <c r="G2207" s="1063"/>
      <c r="H2207" s="1063"/>
      <c r="I2207" s="1063"/>
      <c r="J2207" s="1063"/>
      <c r="K2207" s="1063"/>
      <c r="L2207" s="1063"/>
      <c r="M2207" s="1063"/>
      <c r="N2207" s="1063"/>
      <c r="O2207" s="1063"/>
      <c r="P2207" s="1063"/>
      <c r="Q2207" s="1063"/>
      <c r="R2207" s="1063"/>
      <c r="S2207" s="1063"/>
      <c r="T2207" s="1063"/>
      <c r="U2207" s="1063"/>
      <c r="V2207" s="1063"/>
      <c r="W2207" s="1063"/>
      <c r="X2207" s="1063"/>
      <c r="Y2207" s="1063"/>
      <c r="Z2207" s="1063"/>
      <c r="AA2207" s="1063"/>
      <c r="AB2207" s="1063"/>
      <c r="AC2207" s="1063"/>
      <c r="AD2207" s="1063"/>
      <c r="AE2207" s="1063"/>
      <c r="AF2207" s="1063"/>
      <c r="AG2207" s="1063"/>
      <c r="AH2207" s="1063"/>
      <c r="AI2207" s="1063"/>
      <c r="AJ2207" s="1063"/>
      <c r="AK2207" s="1063"/>
      <c r="AL2207" s="1063"/>
      <c r="AM2207" s="1063"/>
      <c r="AN2207" s="1063"/>
      <c r="AO2207" s="1063"/>
      <c r="AP2207" s="1063"/>
      <c r="AQ2207" s="1063"/>
      <c r="AR2207" s="1063"/>
      <c r="AS2207" s="1063"/>
      <c r="AT2207" s="1063"/>
      <c r="AU2207" s="1063"/>
      <c r="AV2207" s="1063"/>
    </row>
    <row r="2208" spans="1:48" s="1108" customFormat="1" ht="27.75" customHeight="1">
      <c r="A2208" s="1076"/>
      <c r="B2208" s="1074">
        <f>+'[18]Bldg+Dev'!S3020</f>
        <v>0</v>
      </c>
      <c r="D2208" s="1063"/>
      <c r="F2208" s="1076"/>
      <c r="G2208" s="1063"/>
      <c r="H2208" s="1063"/>
      <c r="I2208" s="1063"/>
      <c r="J2208" s="1063"/>
      <c r="K2208" s="1063"/>
      <c r="L2208" s="1063"/>
      <c r="M2208" s="1063"/>
      <c r="N2208" s="1063"/>
      <c r="O2208" s="1063"/>
      <c r="P2208" s="1063"/>
      <c r="Q2208" s="1063"/>
      <c r="R2208" s="1063"/>
      <c r="S2208" s="1063"/>
      <c r="T2208" s="1063"/>
      <c r="U2208" s="1063"/>
      <c r="V2208" s="1063"/>
      <c r="W2208" s="1063"/>
      <c r="X2208" s="1063"/>
      <c r="Y2208" s="1063"/>
      <c r="Z2208" s="1063"/>
      <c r="AA2208" s="1063"/>
      <c r="AB2208" s="1063"/>
      <c r="AC2208" s="1063"/>
      <c r="AD2208" s="1063"/>
      <c r="AE2208" s="1063"/>
      <c r="AF2208" s="1063"/>
      <c r="AG2208" s="1063"/>
      <c r="AH2208" s="1063"/>
      <c r="AI2208" s="1063"/>
      <c r="AJ2208" s="1063"/>
      <c r="AK2208" s="1063"/>
      <c r="AL2208" s="1063"/>
      <c r="AM2208" s="1063"/>
      <c r="AN2208" s="1063"/>
      <c r="AO2208" s="1063"/>
      <c r="AP2208" s="1063"/>
      <c r="AQ2208" s="1063"/>
      <c r="AR2208" s="1063"/>
      <c r="AS2208" s="1063"/>
      <c r="AT2208" s="1063"/>
      <c r="AU2208" s="1063"/>
      <c r="AV2208" s="1063"/>
    </row>
    <row r="2209" spans="1:48" s="1108" customFormat="1" ht="27.75" customHeight="1">
      <c r="A2209" s="1076"/>
      <c r="B2209" s="1074">
        <f>+'[18]Bldg+Dev'!S3021</f>
        <v>0</v>
      </c>
      <c r="D2209" s="1063"/>
      <c r="F2209" s="1076"/>
      <c r="G2209" s="1063"/>
      <c r="H2209" s="1063"/>
      <c r="I2209" s="1063"/>
      <c r="J2209" s="1063"/>
      <c r="K2209" s="1063"/>
      <c r="L2209" s="1063"/>
      <c r="M2209" s="1063"/>
      <c r="N2209" s="1063"/>
      <c r="O2209" s="1063"/>
      <c r="P2209" s="1063"/>
      <c r="Q2209" s="1063"/>
      <c r="R2209" s="1063"/>
      <c r="S2209" s="1063"/>
      <c r="T2209" s="1063"/>
      <c r="U2209" s="1063"/>
      <c r="V2209" s="1063"/>
      <c r="W2209" s="1063"/>
      <c r="X2209" s="1063"/>
      <c r="Y2209" s="1063"/>
      <c r="Z2209" s="1063"/>
      <c r="AA2209" s="1063"/>
      <c r="AB2209" s="1063"/>
      <c r="AC2209" s="1063"/>
      <c r="AD2209" s="1063"/>
      <c r="AE2209" s="1063"/>
      <c r="AF2209" s="1063"/>
      <c r="AG2209" s="1063"/>
      <c r="AH2209" s="1063"/>
      <c r="AI2209" s="1063"/>
      <c r="AJ2209" s="1063"/>
      <c r="AK2209" s="1063"/>
      <c r="AL2209" s="1063"/>
      <c r="AM2209" s="1063"/>
      <c r="AN2209" s="1063"/>
      <c r="AO2209" s="1063"/>
      <c r="AP2209" s="1063"/>
      <c r="AQ2209" s="1063"/>
      <c r="AR2209" s="1063"/>
      <c r="AS2209" s="1063"/>
      <c r="AT2209" s="1063"/>
      <c r="AU2209" s="1063"/>
      <c r="AV2209" s="1063"/>
    </row>
    <row r="2210" spans="1:48" s="1108" customFormat="1" ht="27.75" customHeight="1">
      <c r="A2210" s="1076"/>
      <c r="B2210" s="1074">
        <f>+'[18]Bldg+Dev'!S3022</f>
        <v>0</v>
      </c>
      <c r="D2210" s="1063"/>
      <c r="F2210" s="1076"/>
      <c r="G2210" s="1063"/>
      <c r="H2210" s="1063"/>
      <c r="I2210" s="1063"/>
      <c r="J2210" s="1063"/>
      <c r="K2210" s="1063"/>
      <c r="L2210" s="1063"/>
      <c r="M2210" s="1063"/>
      <c r="N2210" s="1063"/>
      <c r="O2210" s="1063"/>
      <c r="P2210" s="1063"/>
      <c r="Q2210" s="1063"/>
      <c r="R2210" s="1063"/>
      <c r="S2210" s="1063"/>
      <c r="T2210" s="1063"/>
      <c r="U2210" s="1063"/>
      <c r="V2210" s="1063"/>
      <c r="W2210" s="1063"/>
      <c r="X2210" s="1063"/>
      <c r="Y2210" s="1063"/>
      <c r="Z2210" s="1063"/>
      <c r="AA2210" s="1063"/>
      <c r="AB2210" s="1063"/>
      <c r="AC2210" s="1063"/>
      <c r="AD2210" s="1063"/>
      <c r="AE2210" s="1063"/>
      <c r="AF2210" s="1063"/>
      <c r="AG2210" s="1063"/>
      <c r="AH2210" s="1063"/>
      <c r="AI2210" s="1063"/>
      <c r="AJ2210" s="1063"/>
      <c r="AK2210" s="1063"/>
      <c r="AL2210" s="1063"/>
      <c r="AM2210" s="1063"/>
      <c r="AN2210" s="1063"/>
      <c r="AO2210" s="1063"/>
      <c r="AP2210" s="1063"/>
      <c r="AQ2210" s="1063"/>
      <c r="AR2210" s="1063"/>
      <c r="AS2210" s="1063"/>
      <c r="AT2210" s="1063"/>
      <c r="AU2210" s="1063"/>
      <c r="AV2210" s="1063"/>
    </row>
    <row r="2211" spans="1:48" s="1108" customFormat="1" ht="27.75" customHeight="1">
      <c r="A2211" s="1076"/>
      <c r="B2211" s="1074">
        <f>+'[18]Bldg+Dev'!S3023</f>
        <v>0</v>
      </c>
      <c r="D2211" s="1063"/>
      <c r="F2211" s="1076"/>
      <c r="G2211" s="1063"/>
      <c r="H2211" s="1063"/>
      <c r="I2211" s="1063"/>
      <c r="J2211" s="1063"/>
      <c r="K2211" s="1063"/>
      <c r="L2211" s="1063"/>
      <c r="M2211" s="1063"/>
      <c r="N2211" s="1063"/>
      <c r="O2211" s="1063"/>
      <c r="P2211" s="1063"/>
      <c r="Q2211" s="1063"/>
      <c r="R2211" s="1063"/>
      <c r="S2211" s="1063"/>
      <c r="T2211" s="1063"/>
      <c r="U2211" s="1063"/>
      <c r="V2211" s="1063"/>
      <c r="W2211" s="1063"/>
      <c r="X2211" s="1063"/>
      <c r="Y2211" s="1063"/>
      <c r="Z2211" s="1063"/>
      <c r="AA2211" s="1063"/>
      <c r="AB2211" s="1063"/>
      <c r="AC2211" s="1063"/>
      <c r="AD2211" s="1063"/>
      <c r="AE2211" s="1063"/>
      <c r="AF2211" s="1063"/>
      <c r="AG2211" s="1063"/>
      <c r="AH2211" s="1063"/>
      <c r="AI2211" s="1063"/>
      <c r="AJ2211" s="1063"/>
      <c r="AK2211" s="1063"/>
      <c r="AL2211" s="1063"/>
      <c r="AM2211" s="1063"/>
      <c r="AN2211" s="1063"/>
      <c r="AO2211" s="1063"/>
      <c r="AP2211" s="1063"/>
      <c r="AQ2211" s="1063"/>
      <c r="AR2211" s="1063"/>
      <c r="AS2211" s="1063"/>
      <c r="AT2211" s="1063"/>
      <c r="AU2211" s="1063"/>
      <c r="AV2211" s="1063"/>
    </row>
    <row r="2212" spans="1:48" s="1108" customFormat="1" ht="27.75" customHeight="1">
      <c r="A2212" s="1076"/>
      <c r="B2212" s="1074">
        <f>+'[18]Bldg+Dev'!S3024</f>
        <v>0</v>
      </c>
      <c r="D2212" s="1063"/>
      <c r="F2212" s="1076"/>
      <c r="G2212" s="1063"/>
      <c r="H2212" s="1063"/>
      <c r="I2212" s="1063"/>
      <c r="J2212" s="1063"/>
      <c r="K2212" s="1063"/>
      <c r="L2212" s="1063"/>
      <c r="M2212" s="1063"/>
      <c r="N2212" s="1063"/>
      <c r="O2212" s="1063"/>
      <c r="P2212" s="1063"/>
      <c r="Q2212" s="1063"/>
      <c r="R2212" s="1063"/>
      <c r="S2212" s="1063"/>
      <c r="T2212" s="1063"/>
      <c r="U2212" s="1063"/>
      <c r="V2212" s="1063"/>
      <c r="W2212" s="1063"/>
      <c r="X2212" s="1063"/>
      <c r="Y2212" s="1063"/>
      <c r="Z2212" s="1063"/>
      <c r="AA2212" s="1063"/>
      <c r="AB2212" s="1063"/>
      <c r="AC2212" s="1063"/>
      <c r="AD2212" s="1063"/>
      <c r="AE2212" s="1063"/>
      <c r="AF2212" s="1063"/>
      <c r="AG2212" s="1063"/>
      <c r="AH2212" s="1063"/>
      <c r="AI2212" s="1063"/>
      <c r="AJ2212" s="1063"/>
      <c r="AK2212" s="1063"/>
      <c r="AL2212" s="1063"/>
      <c r="AM2212" s="1063"/>
      <c r="AN2212" s="1063"/>
      <c r="AO2212" s="1063"/>
      <c r="AP2212" s="1063"/>
      <c r="AQ2212" s="1063"/>
      <c r="AR2212" s="1063"/>
      <c r="AS2212" s="1063"/>
      <c r="AT2212" s="1063"/>
      <c r="AU2212" s="1063"/>
      <c r="AV2212" s="1063"/>
    </row>
    <row r="2213" spans="1:48" s="1108" customFormat="1" ht="27.75" customHeight="1">
      <c r="A2213" s="1076"/>
      <c r="B2213" s="1074">
        <f>+'[18]Bldg+Dev'!S3025</f>
        <v>0</v>
      </c>
      <c r="D2213" s="1063"/>
      <c r="F2213" s="1076"/>
      <c r="G2213" s="1063"/>
      <c r="H2213" s="1063"/>
      <c r="I2213" s="1063"/>
      <c r="J2213" s="1063"/>
      <c r="K2213" s="1063"/>
      <c r="L2213" s="1063"/>
      <c r="M2213" s="1063"/>
      <c r="N2213" s="1063"/>
      <c r="O2213" s="1063"/>
      <c r="P2213" s="1063"/>
      <c r="Q2213" s="1063"/>
      <c r="R2213" s="1063"/>
      <c r="S2213" s="1063"/>
      <c r="T2213" s="1063"/>
      <c r="U2213" s="1063"/>
      <c r="V2213" s="1063"/>
      <c r="W2213" s="1063"/>
      <c r="X2213" s="1063"/>
      <c r="Y2213" s="1063"/>
      <c r="Z2213" s="1063"/>
      <c r="AA2213" s="1063"/>
      <c r="AB2213" s="1063"/>
      <c r="AC2213" s="1063"/>
      <c r="AD2213" s="1063"/>
      <c r="AE2213" s="1063"/>
      <c r="AF2213" s="1063"/>
      <c r="AG2213" s="1063"/>
      <c r="AH2213" s="1063"/>
      <c r="AI2213" s="1063"/>
      <c r="AJ2213" s="1063"/>
      <c r="AK2213" s="1063"/>
      <c r="AL2213" s="1063"/>
      <c r="AM2213" s="1063"/>
      <c r="AN2213" s="1063"/>
      <c r="AO2213" s="1063"/>
      <c r="AP2213" s="1063"/>
      <c r="AQ2213" s="1063"/>
      <c r="AR2213" s="1063"/>
      <c r="AS2213" s="1063"/>
      <c r="AT2213" s="1063"/>
      <c r="AU2213" s="1063"/>
      <c r="AV2213" s="1063"/>
    </row>
    <row r="2214" spans="1:48" s="1108" customFormat="1" ht="27.75" customHeight="1">
      <c r="A2214" s="1076"/>
      <c r="B2214" s="1074">
        <f>+'[18]Bldg+Dev'!S3026</f>
        <v>0</v>
      </c>
      <c r="D2214" s="1063"/>
      <c r="F2214" s="1076"/>
      <c r="G2214" s="1063"/>
      <c r="H2214" s="1063"/>
      <c r="I2214" s="1063"/>
      <c r="J2214" s="1063"/>
      <c r="K2214" s="1063"/>
      <c r="L2214" s="1063"/>
      <c r="M2214" s="1063"/>
      <c r="N2214" s="1063"/>
      <c r="O2214" s="1063"/>
      <c r="P2214" s="1063"/>
      <c r="Q2214" s="1063"/>
      <c r="R2214" s="1063"/>
      <c r="S2214" s="1063"/>
      <c r="T2214" s="1063"/>
      <c r="U2214" s="1063"/>
      <c r="V2214" s="1063"/>
      <c r="W2214" s="1063"/>
      <c r="X2214" s="1063"/>
      <c r="Y2214" s="1063"/>
      <c r="Z2214" s="1063"/>
      <c r="AA2214" s="1063"/>
      <c r="AB2214" s="1063"/>
      <c r="AC2214" s="1063"/>
      <c r="AD2214" s="1063"/>
      <c r="AE2214" s="1063"/>
      <c r="AF2214" s="1063"/>
      <c r="AG2214" s="1063"/>
      <c r="AH2214" s="1063"/>
      <c r="AI2214" s="1063"/>
      <c r="AJ2214" s="1063"/>
      <c r="AK2214" s="1063"/>
      <c r="AL2214" s="1063"/>
      <c r="AM2214" s="1063"/>
      <c r="AN2214" s="1063"/>
      <c r="AO2214" s="1063"/>
      <c r="AP2214" s="1063"/>
      <c r="AQ2214" s="1063"/>
      <c r="AR2214" s="1063"/>
      <c r="AS2214" s="1063"/>
      <c r="AT2214" s="1063"/>
      <c r="AU2214" s="1063"/>
      <c r="AV2214" s="1063"/>
    </row>
    <row r="2215" spans="1:48" s="1108" customFormat="1" ht="27.75" customHeight="1">
      <c r="A2215" s="1076"/>
      <c r="B2215" s="1074">
        <f>+'[18]Bldg+Dev'!S3027</f>
        <v>0</v>
      </c>
      <c r="D2215" s="1063"/>
      <c r="F2215" s="1076"/>
      <c r="G2215" s="1063"/>
      <c r="H2215" s="1063"/>
      <c r="I2215" s="1063"/>
      <c r="J2215" s="1063"/>
      <c r="K2215" s="1063"/>
      <c r="L2215" s="1063"/>
      <c r="M2215" s="1063"/>
      <c r="N2215" s="1063"/>
      <c r="O2215" s="1063"/>
      <c r="P2215" s="1063"/>
      <c r="Q2215" s="1063"/>
      <c r="R2215" s="1063"/>
      <c r="S2215" s="1063"/>
      <c r="T2215" s="1063"/>
      <c r="U2215" s="1063"/>
      <c r="V2215" s="1063"/>
      <c r="W2215" s="1063"/>
      <c r="X2215" s="1063"/>
      <c r="Y2215" s="1063"/>
      <c r="Z2215" s="1063"/>
      <c r="AA2215" s="1063"/>
      <c r="AB2215" s="1063"/>
      <c r="AC2215" s="1063"/>
      <c r="AD2215" s="1063"/>
      <c r="AE2215" s="1063"/>
      <c r="AF2215" s="1063"/>
      <c r="AG2215" s="1063"/>
      <c r="AH2215" s="1063"/>
      <c r="AI2215" s="1063"/>
      <c r="AJ2215" s="1063"/>
      <c r="AK2215" s="1063"/>
      <c r="AL2215" s="1063"/>
      <c r="AM2215" s="1063"/>
      <c r="AN2215" s="1063"/>
      <c r="AO2215" s="1063"/>
      <c r="AP2215" s="1063"/>
      <c r="AQ2215" s="1063"/>
      <c r="AR2215" s="1063"/>
      <c r="AS2215" s="1063"/>
      <c r="AT2215" s="1063"/>
      <c r="AU2215" s="1063"/>
      <c r="AV2215" s="1063"/>
    </row>
    <row r="2216" spans="1:48" s="1108" customFormat="1" ht="27.75" customHeight="1">
      <c r="A2216" s="1076"/>
      <c r="B2216" s="1074">
        <f>+'[18]Bldg+Dev'!S3028</f>
        <v>0</v>
      </c>
      <c r="D2216" s="1063"/>
      <c r="F2216" s="1076"/>
      <c r="G2216" s="1063"/>
      <c r="H2216" s="1063"/>
      <c r="I2216" s="1063"/>
      <c r="J2216" s="1063"/>
      <c r="K2216" s="1063"/>
      <c r="L2216" s="1063"/>
      <c r="M2216" s="1063"/>
      <c r="N2216" s="1063"/>
      <c r="O2216" s="1063"/>
      <c r="P2216" s="1063"/>
      <c r="Q2216" s="1063"/>
      <c r="R2216" s="1063"/>
      <c r="S2216" s="1063"/>
      <c r="T2216" s="1063"/>
      <c r="U2216" s="1063"/>
      <c r="V2216" s="1063"/>
      <c r="W2216" s="1063"/>
      <c r="X2216" s="1063"/>
      <c r="Y2216" s="1063"/>
      <c r="Z2216" s="1063"/>
      <c r="AA2216" s="1063"/>
      <c r="AB2216" s="1063"/>
      <c r="AC2216" s="1063"/>
      <c r="AD2216" s="1063"/>
      <c r="AE2216" s="1063"/>
      <c r="AF2216" s="1063"/>
      <c r="AG2216" s="1063"/>
      <c r="AH2216" s="1063"/>
      <c r="AI2216" s="1063"/>
      <c r="AJ2216" s="1063"/>
      <c r="AK2216" s="1063"/>
      <c r="AL2216" s="1063"/>
      <c r="AM2216" s="1063"/>
      <c r="AN2216" s="1063"/>
      <c r="AO2216" s="1063"/>
      <c r="AP2216" s="1063"/>
      <c r="AQ2216" s="1063"/>
      <c r="AR2216" s="1063"/>
      <c r="AS2216" s="1063"/>
      <c r="AT2216" s="1063"/>
      <c r="AU2216" s="1063"/>
      <c r="AV2216" s="1063"/>
    </row>
    <row r="2217" spans="1:48" s="1108" customFormat="1" ht="27.75" customHeight="1">
      <c r="A2217" s="1076"/>
      <c r="B2217" s="1074">
        <f>+'[18]Bldg+Dev'!S3029</f>
        <v>0</v>
      </c>
      <c r="D2217" s="1063"/>
      <c r="F2217" s="1076"/>
      <c r="G2217" s="1063"/>
      <c r="H2217" s="1063"/>
      <c r="I2217" s="1063"/>
      <c r="J2217" s="1063"/>
      <c r="K2217" s="1063"/>
      <c r="L2217" s="1063"/>
      <c r="M2217" s="1063"/>
      <c r="N2217" s="1063"/>
      <c r="O2217" s="1063"/>
      <c r="P2217" s="1063"/>
      <c r="Q2217" s="1063"/>
      <c r="R2217" s="1063"/>
      <c r="S2217" s="1063"/>
      <c r="T2217" s="1063"/>
      <c r="U2217" s="1063"/>
      <c r="V2217" s="1063"/>
      <c r="W2217" s="1063"/>
      <c r="X2217" s="1063"/>
      <c r="Y2217" s="1063"/>
      <c r="Z2217" s="1063"/>
      <c r="AA2217" s="1063"/>
      <c r="AB2217" s="1063"/>
      <c r="AC2217" s="1063"/>
      <c r="AD2217" s="1063"/>
      <c r="AE2217" s="1063"/>
      <c r="AF2217" s="1063"/>
      <c r="AG2217" s="1063"/>
      <c r="AH2217" s="1063"/>
      <c r="AI2217" s="1063"/>
      <c r="AJ2217" s="1063"/>
      <c r="AK2217" s="1063"/>
      <c r="AL2217" s="1063"/>
      <c r="AM2217" s="1063"/>
      <c r="AN2217" s="1063"/>
      <c r="AO2217" s="1063"/>
      <c r="AP2217" s="1063"/>
      <c r="AQ2217" s="1063"/>
      <c r="AR2217" s="1063"/>
      <c r="AS2217" s="1063"/>
      <c r="AT2217" s="1063"/>
      <c r="AU2217" s="1063"/>
      <c r="AV2217" s="1063"/>
    </row>
    <row r="2218" spans="1:48" s="1108" customFormat="1" ht="27.75" customHeight="1">
      <c r="A2218" s="1076"/>
      <c r="B2218" s="1074">
        <f>+'[18]Bldg+Dev'!S3030</f>
        <v>0</v>
      </c>
      <c r="D2218" s="1063"/>
      <c r="F2218" s="1076"/>
      <c r="G2218" s="1063"/>
      <c r="H2218" s="1063"/>
      <c r="I2218" s="1063"/>
      <c r="J2218" s="1063"/>
      <c r="K2218" s="1063"/>
      <c r="L2218" s="1063"/>
      <c r="M2218" s="1063"/>
      <c r="N2218" s="1063"/>
      <c r="O2218" s="1063"/>
      <c r="P2218" s="1063"/>
      <c r="Q2218" s="1063"/>
      <c r="R2218" s="1063"/>
      <c r="S2218" s="1063"/>
      <c r="T2218" s="1063"/>
      <c r="U2218" s="1063"/>
      <c r="V2218" s="1063"/>
      <c r="W2218" s="1063"/>
      <c r="X2218" s="1063"/>
      <c r="Y2218" s="1063"/>
      <c r="Z2218" s="1063"/>
      <c r="AA2218" s="1063"/>
      <c r="AB2218" s="1063"/>
      <c r="AC2218" s="1063"/>
      <c r="AD2218" s="1063"/>
      <c r="AE2218" s="1063"/>
      <c r="AF2218" s="1063"/>
      <c r="AG2218" s="1063"/>
      <c r="AH2218" s="1063"/>
      <c r="AI2218" s="1063"/>
      <c r="AJ2218" s="1063"/>
      <c r="AK2218" s="1063"/>
      <c r="AL2218" s="1063"/>
      <c r="AM2218" s="1063"/>
      <c r="AN2218" s="1063"/>
      <c r="AO2218" s="1063"/>
      <c r="AP2218" s="1063"/>
      <c r="AQ2218" s="1063"/>
      <c r="AR2218" s="1063"/>
      <c r="AS2218" s="1063"/>
      <c r="AT2218" s="1063"/>
      <c r="AU2218" s="1063"/>
      <c r="AV2218" s="1063"/>
    </row>
    <row r="2219" spans="1:48" s="1108" customFormat="1" ht="27.75" customHeight="1">
      <c r="A2219" s="1076"/>
      <c r="B2219" s="1074">
        <f>+'[18]Bldg+Dev'!S3031</f>
        <v>0</v>
      </c>
      <c r="D2219" s="1063"/>
      <c r="F2219" s="1076"/>
      <c r="G2219" s="1063"/>
      <c r="H2219" s="1063"/>
      <c r="I2219" s="1063"/>
      <c r="J2219" s="1063"/>
      <c r="K2219" s="1063"/>
      <c r="L2219" s="1063"/>
      <c r="M2219" s="1063"/>
      <c r="N2219" s="1063"/>
      <c r="O2219" s="1063"/>
      <c r="P2219" s="1063"/>
      <c r="Q2219" s="1063"/>
      <c r="R2219" s="1063"/>
      <c r="S2219" s="1063"/>
      <c r="T2219" s="1063"/>
      <c r="U2219" s="1063"/>
      <c r="V2219" s="1063"/>
      <c r="W2219" s="1063"/>
      <c r="X2219" s="1063"/>
      <c r="Y2219" s="1063"/>
      <c r="Z2219" s="1063"/>
      <c r="AA2219" s="1063"/>
      <c r="AB2219" s="1063"/>
      <c r="AC2219" s="1063"/>
      <c r="AD2219" s="1063"/>
      <c r="AE2219" s="1063"/>
      <c r="AF2219" s="1063"/>
      <c r="AG2219" s="1063"/>
      <c r="AH2219" s="1063"/>
      <c r="AI2219" s="1063"/>
      <c r="AJ2219" s="1063"/>
      <c r="AK2219" s="1063"/>
      <c r="AL2219" s="1063"/>
      <c r="AM2219" s="1063"/>
      <c r="AN2219" s="1063"/>
      <c r="AO2219" s="1063"/>
      <c r="AP2219" s="1063"/>
      <c r="AQ2219" s="1063"/>
      <c r="AR2219" s="1063"/>
      <c r="AS2219" s="1063"/>
      <c r="AT2219" s="1063"/>
      <c r="AU2219" s="1063"/>
      <c r="AV2219" s="1063"/>
    </row>
    <row r="2220" spans="1:48" s="1108" customFormat="1" ht="27.75" customHeight="1">
      <c r="A2220" s="1076"/>
      <c r="B2220" s="1074">
        <f>+'[18]Bldg+Dev'!S3032</f>
        <v>0</v>
      </c>
      <c r="D2220" s="1063"/>
      <c r="F2220" s="1076"/>
      <c r="G2220" s="1063"/>
      <c r="H2220" s="1063"/>
      <c r="I2220" s="1063"/>
      <c r="J2220" s="1063"/>
      <c r="K2220" s="1063"/>
      <c r="L2220" s="1063"/>
      <c r="M2220" s="1063"/>
      <c r="N2220" s="1063"/>
      <c r="O2220" s="1063"/>
      <c r="P2220" s="1063"/>
      <c r="Q2220" s="1063"/>
      <c r="R2220" s="1063"/>
      <c r="S2220" s="1063"/>
      <c r="T2220" s="1063"/>
      <c r="U2220" s="1063"/>
      <c r="V2220" s="1063"/>
      <c r="W2220" s="1063"/>
      <c r="X2220" s="1063"/>
      <c r="Y2220" s="1063"/>
      <c r="Z2220" s="1063"/>
      <c r="AA2220" s="1063"/>
      <c r="AB2220" s="1063"/>
      <c r="AC2220" s="1063"/>
      <c r="AD2220" s="1063"/>
      <c r="AE2220" s="1063"/>
      <c r="AF2220" s="1063"/>
      <c r="AG2220" s="1063"/>
      <c r="AH2220" s="1063"/>
      <c r="AI2220" s="1063"/>
      <c r="AJ2220" s="1063"/>
      <c r="AK2220" s="1063"/>
      <c r="AL2220" s="1063"/>
      <c r="AM2220" s="1063"/>
      <c r="AN2220" s="1063"/>
      <c r="AO2220" s="1063"/>
      <c r="AP2220" s="1063"/>
      <c r="AQ2220" s="1063"/>
      <c r="AR2220" s="1063"/>
      <c r="AS2220" s="1063"/>
      <c r="AT2220" s="1063"/>
      <c r="AU2220" s="1063"/>
      <c r="AV2220" s="1063"/>
    </row>
    <row r="2221" spans="1:48" s="1108" customFormat="1" ht="27.75" customHeight="1">
      <c r="A2221" s="1076"/>
      <c r="B2221" s="1074">
        <f>+'[18]Bldg+Dev'!S3033</f>
        <v>0</v>
      </c>
      <c r="D2221" s="1063"/>
      <c r="F2221" s="1076"/>
      <c r="G2221" s="1063"/>
      <c r="H2221" s="1063"/>
      <c r="I2221" s="1063"/>
      <c r="J2221" s="1063"/>
      <c r="K2221" s="1063"/>
      <c r="L2221" s="1063"/>
      <c r="M2221" s="1063"/>
      <c r="N2221" s="1063"/>
      <c r="O2221" s="1063"/>
      <c r="P2221" s="1063"/>
      <c r="Q2221" s="1063"/>
      <c r="R2221" s="1063"/>
      <c r="S2221" s="1063"/>
      <c r="T2221" s="1063"/>
      <c r="U2221" s="1063"/>
      <c r="V2221" s="1063"/>
      <c r="W2221" s="1063"/>
      <c r="X2221" s="1063"/>
      <c r="Y2221" s="1063"/>
      <c r="Z2221" s="1063"/>
      <c r="AA2221" s="1063"/>
      <c r="AB2221" s="1063"/>
      <c r="AC2221" s="1063"/>
      <c r="AD2221" s="1063"/>
      <c r="AE2221" s="1063"/>
      <c r="AF2221" s="1063"/>
      <c r="AG2221" s="1063"/>
      <c r="AH2221" s="1063"/>
      <c r="AI2221" s="1063"/>
      <c r="AJ2221" s="1063"/>
      <c r="AK2221" s="1063"/>
      <c r="AL2221" s="1063"/>
      <c r="AM2221" s="1063"/>
      <c r="AN2221" s="1063"/>
      <c r="AO2221" s="1063"/>
      <c r="AP2221" s="1063"/>
      <c r="AQ2221" s="1063"/>
      <c r="AR2221" s="1063"/>
      <c r="AS2221" s="1063"/>
      <c r="AT2221" s="1063"/>
      <c r="AU2221" s="1063"/>
      <c r="AV2221" s="1063"/>
    </row>
    <row r="2222" spans="1:48" s="1108" customFormat="1" ht="27.75" customHeight="1">
      <c r="A2222" s="1076"/>
      <c r="B2222" s="1074">
        <f>+'[18]Bldg+Dev'!S3034</f>
        <v>0</v>
      </c>
      <c r="D2222" s="1063"/>
      <c r="F2222" s="1076"/>
      <c r="G2222" s="1063"/>
      <c r="H2222" s="1063"/>
      <c r="I2222" s="1063"/>
      <c r="J2222" s="1063"/>
      <c r="K2222" s="1063"/>
      <c r="L2222" s="1063"/>
      <c r="M2222" s="1063"/>
      <c r="N2222" s="1063"/>
      <c r="O2222" s="1063"/>
      <c r="P2222" s="1063"/>
      <c r="Q2222" s="1063"/>
      <c r="R2222" s="1063"/>
      <c r="S2222" s="1063"/>
      <c r="T2222" s="1063"/>
      <c r="U2222" s="1063"/>
      <c r="V2222" s="1063"/>
      <c r="W2222" s="1063"/>
      <c r="X2222" s="1063"/>
      <c r="Y2222" s="1063"/>
      <c r="Z2222" s="1063"/>
      <c r="AA2222" s="1063"/>
      <c r="AB2222" s="1063"/>
      <c r="AC2222" s="1063"/>
      <c r="AD2222" s="1063"/>
      <c r="AE2222" s="1063"/>
      <c r="AF2222" s="1063"/>
      <c r="AG2222" s="1063"/>
      <c r="AH2222" s="1063"/>
      <c r="AI2222" s="1063"/>
      <c r="AJ2222" s="1063"/>
      <c r="AK2222" s="1063"/>
      <c r="AL2222" s="1063"/>
      <c r="AM2222" s="1063"/>
      <c r="AN2222" s="1063"/>
      <c r="AO2222" s="1063"/>
      <c r="AP2222" s="1063"/>
      <c r="AQ2222" s="1063"/>
      <c r="AR2222" s="1063"/>
      <c r="AS2222" s="1063"/>
      <c r="AT2222" s="1063"/>
      <c r="AU2222" s="1063"/>
      <c r="AV2222" s="1063"/>
    </row>
    <row r="2223" spans="1:48" s="1108" customFormat="1" ht="27.75" customHeight="1">
      <c r="A2223" s="1076"/>
      <c r="B2223" s="1074">
        <f>+'[18]Bldg+Dev'!S3035</f>
        <v>0</v>
      </c>
      <c r="D2223" s="1063"/>
      <c r="F2223" s="1076"/>
      <c r="G2223" s="1063"/>
      <c r="H2223" s="1063"/>
      <c r="I2223" s="1063"/>
      <c r="J2223" s="1063"/>
      <c r="K2223" s="1063"/>
      <c r="L2223" s="1063"/>
      <c r="M2223" s="1063"/>
      <c r="N2223" s="1063"/>
      <c r="O2223" s="1063"/>
      <c r="P2223" s="1063"/>
      <c r="Q2223" s="1063"/>
      <c r="R2223" s="1063"/>
      <c r="S2223" s="1063"/>
      <c r="T2223" s="1063"/>
      <c r="U2223" s="1063"/>
      <c r="V2223" s="1063"/>
      <c r="W2223" s="1063"/>
      <c r="X2223" s="1063"/>
      <c r="Y2223" s="1063"/>
      <c r="Z2223" s="1063"/>
      <c r="AA2223" s="1063"/>
      <c r="AB2223" s="1063"/>
      <c r="AC2223" s="1063"/>
      <c r="AD2223" s="1063"/>
      <c r="AE2223" s="1063"/>
      <c r="AF2223" s="1063"/>
      <c r="AG2223" s="1063"/>
      <c r="AH2223" s="1063"/>
      <c r="AI2223" s="1063"/>
      <c r="AJ2223" s="1063"/>
      <c r="AK2223" s="1063"/>
      <c r="AL2223" s="1063"/>
      <c r="AM2223" s="1063"/>
      <c r="AN2223" s="1063"/>
      <c r="AO2223" s="1063"/>
      <c r="AP2223" s="1063"/>
      <c r="AQ2223" s="1063"/>
      <c r="AR2223" s="1063"/>
      <c r="AS2223" s="1063"/>
      <c r="AT2223" s="1063"/>
      <c r="AU2223" s="1063"/>
      <c r="AV2223" s="1063"/>
    </row>
    <row r="2224" spans="1:48" s="1108" customFormat="1" ht="27.75" customHeight="1">
      <c r="A2224" s="1076"/>
      <c r="B2224" s="1074">
        <f>+'[18]Bldg+Dev'!S3036</f>
        <v>0</v>
      </c>
      <c r="D2224" s="1063"/>
      <c r="F2224" s="1076"/>
      <c r="G2224" s="1063"/>
      <c r="H2224" s="1063"/>
      <c r="I2224" s="1063"/>
      <c r="J2224" s="1063"/>
      <c r="K2224" s="1063"/>
      <c r="L2224" s="1063"/>
      <c r="M2224" s="1063"/>
      <c r="N2224" s="1063"/>
      <c r="O2224" s="1063"/>
      <c r="P2224" s="1063"/>
      <c r="Q2224" s="1063"/>
      <c r="R2224" s="1063"/>
      <c r="S2224" s="1063"/>
      <c r="T2224" s="1063"/>
      <c r="U2224" s="1063"/>
      <c r="V2224" s="1063"/>
      <c r="W2224" s="1063"/>
      <c r="X2224" s="1063"/>
      <c r="Y2224" s="1063"/>
      <c r="Z2224" s="1063"/>
      <c r="AA2224" s="1063"/>
      <c r="AB2224" s="1063"/>
      <c r="AC2224" s="1063"/>
      <c r="AD2224" s="1063"/>
      <c r="AE2224" s="1063"/>
      <c r="AF2224" s="1063"/>
      <c r="AG2224" s="1063"/>
      <c r="AH2224" s="1063"/>
      <c r="AI2224" s="1063"/>
      <c r="AJ2224" s="1063"/>
      <c r="AK2224" s="1063"/>
      <c r="AL2224" s="1063"/>
      <c r="AM2224" s="1063"/>
      <c r="AN2224" s="1063"/>
      <c r="AO2224" s="1063"/>
      <c r="AP2224" s="1063"/>
      <c r="AQ2224" s="1063"/>
      <c r="AR2224" s="1063"/>
      <c r="AS2224" s="1063"/>
      <c r="AT2224" s="1063"/>
      <c r="AU2224" s="1063"/>
      <c r="AV2224" s="1063"/>
    </row>
    <row r="2225" spans="1:48" s="1108" customFormat="1" ht="27.75" customHeight="1">
      <c r="A2225" s="1076"/>
      <c r="B2225" s="1074">
        <f>+'[18]Bldg+Dev'!S3037</f>
        <v>0</v>
      </c>
      <c r="D2225" s="1063"/>
      <c r="F2225" s="1076"/>
      <c r="G2225" s="1063"/>
      <c r="H2225" s="1063"/>
      <c r="I2225" s="1063"/>
      <c r="J2225" s="1063"/>
      <c r="K2225" s="1063"/>
      <c r="L2225" s="1063"/>
      <c r="M2225" s="1063"/>
      <c r="N2225" s="1063"/>
      <c r="O2225" s="1063"/>
      <c r="P2225" s="1063"/>
      <c r="Q2225" s="1063"/>
      <c r="R2225" s="1063"/>
      <c r="S2225" s="1063"/>
      <c r="T2225" s="1063"/>
      <c r="U2225" s="1063"/>
      <c r="V2225" s="1063"/>
      <c r="W2225" s="1063"/>
      <c r="X2225" s="1063"/>
      <c r="Y2225" s="1063"/>
      <c r="Z2225" s="1063"/>
      <c r="AA2225" s="1063"/>
      <c r="AB2225" s="1063"/>
      <c r="AC2225" s="1063"/>
      <c r="AD2225" s="1063"/>
      <c r="AE2225" s="1063"/>
      <c r="AF2225" s="1063"/>
      <c r="AG2225" s="1063"/>
      <c r="AH2225" s="1063"/>
      <c r="AI2225" s="1063"/>
      <c r="AJ2225" s="1063"/>
      <c r="AK2225" s="1063"/>
      <c r="AL2225" s="1063"/>
      <c r="AM2225" s="1063"/>
      <c r="AN2225" s="1063"/>
      <c r="AO2225" s="1063"/>
      <c r="AP2225" s="1063"/>
      <c r="AQ2225" s="1063"/>
      <c r="AR2225" s="1063"/>
      <c r="AS2225" s="1063"/>
      <c r="AT2225" s="1063"/>
      <c r="AU2225" s="1063"/>
      <c r="AV2225" s="1063"/>
    </row>
    <row r="2226" spans="1:48" s="1108" customFormat="1" ht="27.75" customHeight="1">
      <c r="A2226" s="1076"/>
      <c r="B2226" s="1074">
        <f>+'[18]Bldg+Dev'!S3038</f>
        <v>0</v>
      </c>
      <c r="D2226" s="1063"/>
      <c r="F2226" s="1076"/>
      <c r="G2226" s="1063"/>
      <c r="H2226" s="1063"/>
      <c r="I2226" s="1063"/>
      <c r="J2226" s="1063"/>
      <c r="K2226" s="1063"/>
      <c r="L2226" s="1063"/>
      <c r="M2226" s="1063"/>
      <c r="N2226" s="1063"/>
      <c r="O2226" s="1063"/>
      <c r="P2226" s="1063"/>
      <c r="Q2226" s="1063"/>
      <c r="R2226" s="1063"/>
      <c r="S2226" s="1063"/>
      <c r="T2226" s="1063"/>
      <c r="U2226" s="1063"/>
      <c r="V2226" s="1063"/>
      <c r="W2226" s="1063"/>
      <c r="X2226" s="1063"/>
      <c r="Y2226" s="1063"/>
      <c r="Z2226" s="1063"/>
      <c r="AA2226" s="1063"/>
      <c r="AB2226" s="1063"/>
      <c r="AC2226" s="1063"/>
      <c r="AD2226" s="1063"/>
      <c r="AE2226" s="1063"/>
      <c r="AF2226" s="1063"/>
      <c r="AG2226" s="1063"/>
      <c r="AH2226" s="1063"/>
      <c r="AI2226" s="1063"/>
      <c r="AJ2226" s="1063"/>
      <c r="AK2226" s="1063"/>
      <c r="AL2226" s="1063"/>
      <c r="AM2226" s="1063"/>
      <c r="AN2226" s="1063"/>
      <c r="AO2226" s="1063"/>
      <c r="AP2226" s="1063"/>
      <c r="AQ2226" s="1063"/>
      <c r="AR2226" s="1063"/>
      <c r="AS2226" s="1063"/>
      <c r="AT2226" s="1063"/>
      <c r="AU2226" s="1063"/>
      <c r="AV2226" s="1063"/>
    </row>
    <row r="2227" spans="1:48" s="1108" customFormat="1" ht="27.75" customHeight="1">
      <c r="A2227" s="1076"/>
      <c r="B2227" s="1074">
        <f>+'[18]Bldg+Dev'!S3039</f>
        <v>0</v>
      </c>
      <c r="D2227" s="1063"/>
      <c r="F2227" s="1076"/>
      <c r="G2227" s="1063"/>
      <c r="H2227" s="1063"/>
      <c r="I2227" s="1063"/>
      <c r="J2227" s="1063"/>
      <c r="K2227" s="1063"/>
      <c r="L2227" s="1063"/>
      <c r="M2227" s="1063"/>
      <c r="N2227" s="1063"/>
      <c r="O2227" s="1063"/>
      <c r="P2227" s="1063"/>
      <c r="Q2227" s="1063"/>
      <c r="R2227" s="1063"/>
      <c r="S2227" s="1063"/>
      <c r="T2227" s="1063"/>
      <c r="U2227" s="1063"/>
      <c r="V2227" s="1063"/>
      <c r="W2227" s="1063"/>
      <c r="X2227" s="1063"/>
      <c r="Y2227" s="1063"/>
      <c r="Z2227" s="1063"/>
      <c r="AA2227" s="1063"/>
      <c r="AB2227" s="1063"/>
      <c r="AC2227" s="1063"/>
      <c r="AD2227" s="1063"/>
      <c r="AE2227" s="1063"/>
      <c r="AF2227" s="1063"/>
      <c r="AG2227" s="1063"/>
      <c r="AH2227" s="1063"/>
      <c r="AI2227" s="1063"/>
      <c r="AJ2227" s="1063"/>
      <c r="AK2227" s="1063"/>
      <c r="AL2227" s="1063"/>
      <c r="AM2227" s="1063"/>
      <c r="AN2227" s="1063"/>
      <c r="AO2227" s="1063"/>
      <c r="AP2227" s="1063"/>
      <c r="AQ2227" s="1063"/>
      <c r="AR2227" s="1063"/>
      <c r="AS2227" s="1063"/>
      <c r="AT2227" s="1063"/>
      <c r="AU2227" s="1063"/>
      <c r="AV2227" s="1063"/>
    </row>
    <row r="2228" spans="1:48" s="1108" customFormat="1" ht="27.75" customHeight="1">
      <c r="A2228" s="1076"/>
      <c r="B2228" s="1074">
        <f>+'[18]Bldg+Dev'!S3040</f>
        <v>0</v>
      </c>
      <c r="D2228" s="1063"/>
      <c r="F2228" s="1076"/>
      <c r="G2228" s="1063"/>
      <c r="H2228" s="1063"/>
      <c r="I2228" s="1063"/>
      <c r="J2228" s="1063"/>
      <c r="K2228" s="1063"/>
      <c r="L2228" s="1063"/>
      <c r="M2228" s="1063"/>
      <c r="N2228" s="1063"/>
      <c r="O2228" s="1063"/>
      <c r="P2228" s="1063"/>
      <c r="Q2228" s="1063"/>
      <c r="R2228" s="1063"/>
      <c r="S2228" s="1063"/>
      <c r="T2228" s="1063"/>
      <c r="U2228" s="1063"/>
      <c r="V2228" s="1063"/>
      <c r="W2228" s="1063"/>
      <c r="X2228" s="1063"/>
      <c r="Y2228" s="1063"/>
      <c r="Z2228" s="1063"/>
      <c r="AA2228" s="1063"/>
      <c r="AB2228" s="1063"/>
      <c r="AC2228" s="1063"/>
      <c r="AD2228" s="1063"/>
      <c r="AE2228" s="1063"/>
      <c r="AF2228" s="1063"/>
      <c r="AG2228" s="1063"/>
      <c r="AH2228" s="1063"/>
      <c r="AI2228" s="1063"/>
      <c r="AJ2228" s="1063"/>
      <c r="AK2228" s="1063"/>
      <c r="AL2228" s="1063"/>
      <c r="AM2228" s="1063"/>
      <c r="AN2228" s="1063"/>
      <c r="AO2228" s="1063"/>
      <c r="AP2228" s="1063"/>
      <c r="AQ2228" s="1063"/>
      <c r="AR2228" s="1063"/>
      <c r="AS2228" s="1063"/>
      <c r="AT2228" s="1063"/>
      <c r="AU2228" s="1063"/>
      <c r="AV2228" s="1063"/>
    </row>
    <row r="2229" spans="1:48" s="1108" customFormat="1" ht="27.75" customHeight="1">
      <c r="A2229" s="1076"/>
      <c r="B2229" s="1074">
        <f>+'[18]Bldg+Dev'!S3041</f>
        <v>0</v>
      </c>
      <c r="D2229" s="1063"/>
      <c r="F2229" s="1076"/>
      <c r="G2229" s="1063"/>
      <c r="H2229" s="1063"/>
      <c r="I2229" s="1063"/>
      <c r="J2229" s="1063"/>
      <c r="K2229" s="1063"/>
      <c r="L2229" s="1063"/>
      <c r="M2229" s="1063"/>
      <c r="N2229" s="1063"/>
      <c r="O2229" s="1063"/>
      <c r="P2229" s="1063"/>
      <c r="Q2229" s="1063"/>
      <c r="R2229" s="1063"/>
      <c r="S2229" s="1063"/>
      <c r="T2229" s="1063"/>
      <c r="U2229" s="1063"/>
      <c r="V2229" s="1063"/>
      <c r="W2229" s="1063"/>
      <c r="X2229" s="1063"/>
      <c r="Y2229" s="1063"/>
      <c r="Z2229" s="1063"/>
      <c r="AA2229" s="1063"/>
      <c r="AB2229" s="1063"/>
      <c r="AC2229" s="1063"/>
      <c r="AD2229" s="1063"/>
      <c r="AE2229" s="1063"/>
      <c r="AF2229" s="1063"/>
      <c r="AG2229" s="1063"/>
      <c r="AH2229" s="1063"/>
      <c r="AI2229" s="1063"/>
      <c r="AJ2229" s="1063"/>
      <c r="AK2229" s="1063"/>
      <c r="AL2229" s="1063"/>
      <c r="AM2229" s="1063"/>
      <c r="AN2229" s="1063"/>
      <c r="AO2229" s="1063"/>
      <c r="AP2229" s="1063"/>
      <c r="AQ2229" s="1063"/>
      <c r="AR2229" s="1063"/>
      <c r="AS2229" s="1063"/>
      <c r="AT2229" s="1063"/>
      <c r="AU2229" s="1063"/>
      <c r="AV2229" s="1063"/>
    </row>
    <row r="2230" spans="1:48" s="1108" customFormat="1" ht="27.75" customHeight="1">
      <c r="A2230" s="1076"/>
      <c r="B2230" s="1074">
        <f>+'[18]Bldg+Dev'!S3042</f>
        <v>0</v>
      </c>
      <c r="D2230" s="1063"/>
      <c r="F2230" s="1076"/>
      <c r="G2230" s="1063"/>
      <c r="H2230" s="1063"/>
      <c r="I2230" s="1063"/>
      <c r="J2230" s="1063"/>
      <c r="K2230" s="1063"/>
      <c r="L2230" s="1063"/>
      <c r="M2230" s="1063"/>
      <c r="N2230" s="1063"/>
      <c r="O2230" s="1063"/>
      <c r="P2230" s="1063"/>
      <c r="Q2230" s="1063"/>
      <c r="R2230" s="1063"/>
      <c r="S2230" s="1063"/>
      <c r="T2230" s="1063"/>
      <c r="U2230" s="1063"/>
      <c r="V2230" s="1063"/>
      <c r="W2230" s="1063"/>
      <c r="X2230" s="1063"/>
      <c r="Y2230" s="1063"/>
      <c r="Z2230" s="1063"/>
      <c r="AA2230" s="1063"/>
      <c r="AB2230" s="1063"/>
      <c r="AC2230" s="1063"/>
      <c r="AD2230" s="1063"/>
      <c r="AE2230" s="1063"/>
      <c r="AF2230" s="1063"/>
      <c r="AG2230" s="1063"/>
      <c r="AH2230" s="1063"/>
      <c r="AI2230" s="1063"/>
      <c r="AJ2230" s="1063"/>
      <c r="AK2230" s="1063"/>
      <c r="AL2230" s="1063"/>
      <c r="AM2230" s="1063"/>
      <c r="AN2230" s="1063"/>
      <c r="AO2230" s="1063"/>
      <c r="AP2230" s="1063"/>
      <c r="AQ2230" s="1063"/>
      <c r="AR2230" s="1063"/>
      <c r="AS2230" s="1063"/>
      <c r="AT2230" s="1063"/>
      <c r="AU2230" s="1063"/>
      <c r="AV2230" s="1063"/>
    </row>
    <row r="2231" spans="1:48" s="1108" customFormat="1" ht="27.75" customHeight="1">
      <c r="A2231" s="1076"/>
      <c r="B2231" s="1074">
        <f>+'[18]Bldg+Dev'!S3043</f>
        <v>0</v>
      </c>
      <c r="D2231" s="1063"/>
      <c r="F2231" s="1076"/>
      <c r="G2231" s="1063"/>
      <c r="H2231" s="1063"/>
      <c r="I2231" s="1063"/>
      <c r="J2231" s="1063"/>
      <c r="K2231" s="1063"/>
      <c r="L2231" s="1063"/>
      <c r="M2231" s="1063"/>
      <c r="N2231" s="1063"/>
      <c r="O2231" s="1063"/>
      <c r="P2231" s="1063"/>
      <c r="Q2231" s="1063"/>
      <c r="R2231" s="1063"/>
      <c r="S2231" s="1063"/>
      <c r="T2231" s="1063"/>
      <c r="U2231" s="1063"/>
      <c r="V2231" s="1063"/>
      <c r="W2231" s="1063"/>
      <c r="X2231" s="1063"/>
      <c r="Y2231" s="1063"/>
      <c r="Z2231" s="1063"/>
      <c r="AA2231" s="1063"/>
      <c r="AB2231" s="1063"/>
      <c r="AC2231" s="1063"/>
      <c r="AD2231" s="1063"/>
      <c r="AE2231" s="1063"/>
      <c r="AF2231" s="1063"/>
      <c r="AG2231" s="1063"/>
      <c r="AH2231" s="1063"/>
      <c r="AI2231" s="1063"/>
      <c r="AJ2231" s="1063"/>
      <c r="AK2231" s="1063"/>
      <c r="AL2231" s="1063"/>
      <c r="AM2231" s="1063"/>
      <c r="AN2231" s="1063"/>
      <c r="AO2231" s="1063"/>
      <c r="AP2231" s="1063"/>
      <c r="AQ2231" s="1063"/>
      <c r="AR2231" s="1063"/>
      <c r="AS2231" s="1063"/>
      <c r="AT2231" s="1063"/>
      <c r="AU2231" s="1063"/>
      <c r="AV2231" s="1063"/>
    </row>
    <row r="2232" spans="1:48" s="1108" customFormat="1" ht="27.75" customHeight="1">
      <c r="A2232" s="1076"/>
      <c r="B2232" s="1074">
        <f>+'[18]Bldg+Dev'!S3044</f>
        <v>0</v>
      </c>
      <c r="D2232" s="1063"/>
      <c r="F2232" s="1076"/>
      <c r="G2232" s="1063"/>
      <c r="H2232" s="1063"/>
      <c r="I2232" s="1063"/>
      <c r="J2232" s="1063"/>
      <c r="K2232" s="1063"/>
      <c r="L2232" s="1063"/>
      <c r="M2232" s="1063"/>
      <c r="N2232" s="1063"/>
      <c r="O2232" s="1063"/>
      <c r="P2232" s="1063"/>
      <c r="Q2232" s="1063"/>
      <c r="R2232" s="1063"/>
      <c r="S2232" s="1063"/>
      <c r="T2232" s="1063"/>
      <c r="U2232" s="1063"/>
      <c r="V2232" s="1063"/>
      <c r="W2232" s="1063"/>
      <c r="X2232" s="1063"/>
      <c r="Y2232" s="1063"/>
      <c r="Z2232" s="1063"/>
      <c r="AA2232" s="1063"/>
      <c r="AB2232" s="1063"/>
      <c r="AC2232" s="1063"/>
      <c r="AD2232" s="1063"/>
      <c r="AE2232" s="1063"/>
      <c r="AF2232" s="1063"/>
      <c r="AG2232" s="1063"/>
      <c r="AH2232" s="1063"/>
      <c r="AI2232" s="1063"/>
      <c r="AJ2232" s="1063"/>
      <c r="AK2232" s="1063"/>
      <c r="AL2232" s="1063"/>
      <c r="AM2232" s="1063"/>
      <c r="AN2232" s="1063"/>
      <c r="AO2232" s="1063"/>
      <c r="AP2232" s="1063"/>
      <c r="AQ2232" s="1063"/>
      <c r="AR2232" s="1063"/>
      <c r="AS2232" s="1063"/>
      <c r="AT2232" s="1063"/>
      <c r="AU2232" s="1063"/>
      <c r="AV2232" s="1063"/>
    </row>
    <row r="2233" spans="1:48" s="1108" customFormat="1" ht="27.75" customHeight="1">
      <c r="A2233" s="1076"/>
      <c r="B2233" s="1074">
        <f>+'[18]Bldg+Dev'!S3045</f>
        <v>0</v>
      </c>
      <c r="D2233" s="1063"/>
      <c r="F2233" s="1076"/>
      <c r="G2233" s="1063"/>
      <c r="H2233" s="1063"/>
      <c r="I2233" s="1063"/>
      <c r="J2233" s="1063"/>
      <c r="K2233" s="1063"/>
      <c r="L2233" s="1063"/>
      <c r="M2233" s="1063"/>
      <c r="N2233" s="1063"/>
      <c r="O2233" s="1063"/>
      <c r="P2233" s="1063"/>
      <c r="Q2233" s="1063"/>
      <c r="R2233" s="1063"/>
      <c r="S2233" s="1063"/>
      <c r="T2233" s="1063"/>
      <c r="U2233" s="1063"/>
      <c r="V2233" s="1063"/>
      <c r="W2233" s="1063"/>
      <c r="X2233" s="1063"/>
      <c r="Y2233" s="1063"/>
      <c r="Z2233" s="1063"/>
      <c r="AA2233" s="1063"/>
      <c r="AB2233" s="1063"/>
      <c r="AC2233" s="1063"/>
      <c r="AD2233" s="1063"/>
      <c r="AE2233" s="1063"/>
      <c r="AF2233" s="1063"/>
      <c r="AG2233" s="1063"/>
      <c r="AH2233" s="1063"/>
      <c r="AI2233" s="1063"/>
      <c r="AJ2233" s="1063"/>
      <c r="AK2233" s="1063"/>
      <c r="AL2233" s="1063"/>
      <c r="AM2233" s="1063"/>
      <c r="AN2233" s="1063"/>
      <c r="AO2233" s="1063"/>
      <c r="AP2233" s="1063"/>
      <c r="AQ2233" s="1063"/>
      <c r="AR2233" s="1063"/>
      <c r="AS2233" s="1063"/>
      <c r="AT2233" s="1063"/>
      <c r="AU2233" s="1063"/>
      <c r="AV2233" s="1063"/>
    </row>
    <row r="2234" spans="1:48" s="1108" customFormat="1" ht="27.75" customHeight="1">
      <c r="A2234" s="1076"/>
      <c r="B2234" s="1074">
        <f>+'[18]Bldg+Dev'!S3046</f>
        <v>0</v>
      </c>
      <c r="D2234" s="1063"/>
      <c r="F2234" s="1076"/>
      <c r="G2234" s="1063"/>
      <c r="H2234" s="1063"/>
      <c r="I2234" s="1063"/>
      <c r="J2234" s="1063"/>
      <c r="K2234" s="1063"/>
      <c r="L2234" s="1063"/>
      <c r="M2234" s="1063"/>
      <c r="N2234" s="1063"/>
      <c r="O2234" s="1063"/>
      <c r="P2234" s="1063"/>
      <c r="Q2234" s="1063"/>
      <c r="R2234" s="1063"/>
      <c r="S2234" s="1063"/>
      <c r="T2234" s="1063"/>
      <c r="U2234" s="1063"/>
      <c r="V2234" s="1063"/>
      <c r="W2234" s="1063"/>
      <c r="X2234" s="1063"/>
      <c r="Y2234" s="1063"/>
      <c r="Z2234" s="1063"/>
      <c r="AA2234" s="1063"/>
      <c r="AB2234" s="1063"/>
      <c r="AC2234" s="1063"/>
      <c r="AD2234" s="1063"/>
      <c r="AE2234" s="1063"/>
      <c r="AF2234" s="1063"/>
      <c r="AG2234" s="1063"/>
      <c r="AH2234" s="1063"/>
      <c r="AI2234" s="1063"/>
      <c r="AJ2234" s="1063"/>
      <c r="AK2234" s="1063"/>
      <c r="AL2234" s="1063"/>
      <c r="AM2234" s="1063"/>
      <c r="AN2234" s="1063"/>
      <c r="AO2234" s="1063"/>
      <c r="AP2234" s="1063"/>
      <c r="AQ2234" s="1063"/>
      <c r="AR2234" s="1063"/>
      <c r="AS2234" s="1063"/>
      <c r="AT2234" s="1063"/>
      <c r="AU2234" s="1063"/>
      <c r="AV2234" s="1063"/>
    </row>
    <row r="2235" spans="1:48" s="1108" customFormat="1" ht="27.75" customHeight="1">
      <c r="A2235" s="1076"/>
      <c r="B2235" s="1074">
        <f>+'[18]Bldg+Dev'!S3047</f>
        <v>0</v>
      </c>
      <c r="D2235" s="1063"/>
      <c r="F2235" s="1076"/>
      <c r="G2235" s="1063"/>
      <c r="H2235" s="1063"/>
      <c r="I2235" s="1063"/>
      <c r="J2235" s="1063"/>
      <c r="K2235" s="1063"/>
      <c r="L2235" s="1063"/>
      <c r="M2235" s="1063"/>
      <c r="N2235" s="1063"/>
      <c r="O2235" s="1063"/>
      <c r="P2235" s="1063"/>
      <c r="Q2235" s="1063"/>
      <c r="R2235" s="1063"/>
      <c r="S2235" s="1063"/>
      <c r="T2235" s="1063"/>
      <c r="U2235" s="1063"/>
      <c r="V2235" s="1063"/>
      <c r="W2235" s="1063"/>
      <c r="X2235" s="1063"/>
      <c r="Y2235" s="1063"/>
      <c r="Z2235" s="1063"/>
      <c r="AA2235" s="1063"/>
      <c r="AB2235" s="1063"/>
      <c r="AC2235" s="1063"/>
      <c r="AD2235" s="1063"/>
      <c r="AE2235" s="1063"/>
      <c r="AF2235" s="1063"/>
      <c r="AG2235" s="1063"/>
      <c r="AH2235" s="1063"/>
      <c r="AI2235" s="1063"/>
      <c r="AJ2235" s="1063"/>
      <c r="AK2235" s="1063"/>
      <c r="AL2235" s="1063"/>
      <c r="AM2235" s="1063"/>
      <c r="AN2235" s="1063"/>
      <c r="AO2235" s="1063"/>
      <c r="AP2235" s="1063"/>
      <c r="AQ2235" s="1063"/>
      <c r="AR2235" s="1063"/>
      <c r="AS2235" s="1063"/>
      <c r="AT2235" s="1063"/>
      <c r="AU2235" s="1063"/>
      <c r="AV2235" s="1063"/>
    </row>
    <row r="2236" spans="1:48" s="1108" customFormat="1" ht="27.75" customHeight="1">
      <c r="A2236" s="1076"/>
      <c r="B2236" s="1074">
        <f>+'[18]Bldg+Dev'!S3048</f>
        <v>0</v>
      </c>
      <c r="D2236" s="1063"/>
      <c r="F2236" s="1076"/>
      <c r="G2236" s="1063"/>
      <c r="H2236" s="1063"/>
      <c r="I2236" s="1063"/>
      <c r="J2236" s="1063"/>
      <c r="K2236" s="1063"/>
      <c r="L2236" s="1063"/>
      <c r="M2236" s="1063"/>
      <c r="N2236" s="1063"/>
      <c r="O2236" s="1063"/>
      <c r="P2236" s="1063"/>
      <c r="Q2236" s="1063"/>
      <c r="R2236" s="1063"/>
      <c r="S2236" s="1063"/>
      <c r="T2236" s="1063"/>
      <c r="U2236" s="1063"/>
      <c r="V2236" s="1063"/>
      <c r="W2236" s="1063"/>
      <c r="X2236" s="1063"/>
      <c r="Y2236" s="1063"/>
      <c r="Z2236" s="1063"/>
      <c r="AA2236" s="1063"/>
      <c r="AB2236" s="1063"/>
      <c r="AC2236" s="1063"/>
      <c r="AD2236" s="1063"/>
      <c r="AE2236" s="1063"/>
      <c r="AF2236" s="1063"/>
      <c r="AG2236" s="1063"/>
      <c r="AH2236" s="1063"/>
      <c r="AI2236" s="1063"/>
      <c r="AJ2236" s="1063"/>
      <c r="AK2236" s="1063"/>
      <c r="AL2236" s="1063"/>
      <c r="AM2236" s="1063"/>
      <c r="AN2236" s="1063"/>
      <c r="AO2236" s="1063"/>
      <c r="AP2236" s="1063"/>
      <c r="AQ2236" s="1063"/>
      <c r="AR2236" s="1063"/>
      <c r="AS2236" s="1063"/>
      <c r="AT2236" s="1063"/>
      <c r="AU2236" s="1063"/>
      <c r="AV2236" s="1063"/>
    </row>
    <row r="2237" spans="1:48" s="1108" customFormat="1" ht="27.75" customHeight="1">
      <c r="A2237" s="1076"/>
      <c r="B2237" s="1074">
        <f>+'[18]Bldg+Dev'!S3049</f>
        <v>0</v>
      </c>
      <c r="D2237" s="1063"/>
      <c r="F2237" s="1076"/>
      <c r="G2237" s="1063"/>
      <c r="H2237" s="1063"/>
      <c r="I2237" s="1063"/>
      <c r="J2237" s="1063"/>
      <c r="K2237" s="1063"/>
      <c r="L2237" s="1063"/>
      <c r="M2237" s="1063"/>
      <c r="N2237" s="1063"/>
      <c r="O2237" s="1063"/>
      <c r="P2237" s="1063"/>
      <c r="Q2237" s="1063"/>
      <c r="R2237" s="1063"/>
      <c r="S2237" s="1063"/>
      <c r="T2237" s="1063"/>
      <c r="U2237" s="1063"/>
      <c r="V2237" s="1063"/>
      <c r="W2237" s="1063"/>
      <c r="X2237" s="1063"/>
      <c r="Y2237" s="1063"/>
      <c r="Z2237" s="1063"/>
      <c r="AA2237" s="1063"/>
      <c r="AB2237" s="1063"/>
      <c r="AC2237" s="1063"/>
      <c r="AD2237" s="1063"/>
      <c r="AE2237" s="1063"/>
      <c r="AF2237" s="1063"/>
      <c r="AG2237" s="1063"/>
      <c r="AH2237" s="1063"/>
      <c r="AI2237" s="1063"/>
      <c r="AJ2237" s="1063"/>
      <c r="AK2237" s="1063"/>
      <c r="AL2237" s="1063"/>
      <c r="AM2237" s="1063"/>
      <c r="AN2237" s="1063"/>
      <c r="AO2237" s="1063"/>
      <c r="AP2237" s="1063"/>
      <c r="AQ2237" s="1063"/>
      <c r="AR2237" s="1063"/>
      <c r="AS2237" s="1063"/>
      <c r="AT2237" s="1063"/>
      <c r="AU2237" s="1063"/>
      <c r="AV2237" s="1063"/>
    </row>
    <row r="2238" spans="1:48" s="1108" customFormat="1" ht="27.75" customHeight="1">
      <c r="A2238" s="1076"/>
      <c r="B2238" s="1074">
        <f>+'[18]Bldg+Dev'!S3050</f>
        <v>0</v>
      </c>
      <c r="D2238" s="1063"/>
      <c r="F2238" s="1076"/>
      <c r="G2238" s="1063"/>
      <c r="H2238" s="1063"/>
      <c r="I2238" s="1063"/>
      <c r="J2238" s="1063"/>
      <c r="K2238" s="1063"/>
      <c r="L2238" s="1063"/>
      <c r="M2238" s="1063"/>
      <c r="N2238" s="1063"/>
      <c r="O2238" s="1063"/>
      <c r="P2238" s="1063"/>
      <c r="Q2238" s="1063"/>
      <c r="R2238" s="1063"/>
      <c r="S2238" s="1063"/>
      <c r="T2238" s="1063"/>
      <c r="U2238" s="1063"/>
      <c r="V2238" s="1063"/>
      <c r="W2238" s="1063"/>
      <c r="X2238" s="1063"/>
      <c r="Y2238" s="1063"/>
      <c r="Z2238" s="1063"/>
      <c r="AA2238" s="1063"/>
      <c r="AB2238" s="1063"/>
      <c r="AC2238" s="1063"/>
      <c r="AD2238" s="1063"/>
      <c r="AE2238" s="1063"/>
      <c r="AF2238" s="1063"/>
      <c r="AG2238" s="1063"/>
      <c r="AH2238" s="1063"/>
      <c r="AI2238" s="1063"/>
      <c r="AJ2238" s="1063"/>
      <c r="AK2238" s="1063"/>
      <c r="AL2238" s="1063"/>
      <c r="AM2238" s="1063"/>
      <c r="AN2238" s="1063"/>
      <c r="AO2238" s="1063"/>
      <c r="AP2238" s="1063"/>
      <c r="AQ2238" s="1063"/>
      <c r="AR2238" s="1063"/>
      <c r="AS2238" s="1063"/>
      <c r="AT2238" s="1063"/>
      <c r="AU2238" s="1063"/>
      <c r="AV2238" s="1063"/>
    </row>
    <row r="2239" spans="1:48" s="1108" customFormat="1" ht="27.75" customHeight="1">
      <c r="A2239" s="1076"/>
      <c r="B2239" s="1074">
        <f>+'[18]Bldg+Dev'!S3051</f>
        <v>0</v>
      </c>
      <c r="D2239" s="1063"/>
      <c r="F2239" s="1076"/>
      <c r="G2239" s="1063"/>
      <c r="H2239" s="1063"/>
      <c r="I2239" s="1063"/>
      <c r="J2239" s="1063"/>
      <c r="K2239" s="1063"/>
      <c r="L2239" s="1063"/>
      <c r="M2239" s="1063"/>
      <c r="N2239" s="1063"/>
      <c r="O2239" s="1063"/>
      <c r="P2239" s="1063"/>
      <c r="Q2239" s="1063"/>
      <c r="R2239" s="1063"/>
      <c r="S2239" s="1063"/>
      <c r="T2239" s="1063"/>
      <c r="U2239" s="1063"/>
      <c r="V2239" s="1063"/>
      <c r="W2239" s="1063"/>
      <c r="X2239" s="1063"/>
      <c r="Y2239" s="1063"/>
      <c r="Z2239" s="1063"/>
      <c r="AA2239" s="1063"/>
      <c r="AB2239" s="1063"/>
      <c r="AC2239" s="1063"/>
      <c r="AD2239" s="1063"/>
      <c r="AE2239" s="1063"/>
      <c r="AF2239" s="1063"/>
      <c r="AG2239" s="1063"/>
      <c r="AH2239" s="1063"/>
      <c r="AI2239" s="1063"/>
      <c r="AJ2239" s="1063"/>
      <c r="AK2239" s="1063"/>
      <c r="AL2239" s="1063"/>
      <c r="AM2239" s="1063"/>
      <c r="AN2239" s="1063"/>
      <c r="AO2239" s="1063"/>
      <c r="AP2239" s="1063"/>
      <c r="AQ2239" s="1063"/>
      <c r="AR2239" s="1063"/>
      <c r="AS2239" s="1063"/>
      <c r="AT2239" s="1063"/>
      <c r="AU2239" s="1063"/>
      <c r="AV2239" s="1063"/>
    </row>
    <row r="2240" spans="1:48" s="1108" customFormat="1" ht="27.75" customHeight="1">
      <c r="A2240" s="1076"/>
      <c r="B2240" s="1074">
        <f>+'[18]Bldg+Dev'!S3052</f>
        <v>0</v>
      </c>
      <c r="D2240" s="1063"/>
      <c r="F2240" s="1076"/>
      <c r="G2240" s="1063"/>
      <c r="H2240" s="1063"/>
      <c r="I2240" s="1063"/>
      <c r="J2240" s="1063"/>
      <c r="K2240" s="1063"/>
      <c r="L2240" s="1063"/>
      <c r="M2240" s="1063"/>
      <c r="N2240" s="1063"/>
      <c r="O2240" s="1063"/>
      <c r="P2240" s="1063"/>
      <c r="Q2240" s="1063"/>
      <c r="R2240" s="1063"/>
      <c r="S2240" s="1063"/>
      <c r="T2240" s="1063"/>
      <c r="U2240" s="1063"/>
      <c r="V2240" s="1063"/>
      <c r="W2240" s="1063"/>
      <c r="X2240" s="1063"/>
      <c r="Y2240" s="1063"/>
      <c r="Z2240" s="1063"/>
      <c r="AA2240" s="1063"/>
      <c r="AB2240" s="1063"/>
      <c r="AC2240" s="1063"/>
      <c r="AD2240" s="1063"/>
      <c r="AE2240" s="1063"/>
      <c r="AF2240" s="1063"/>
      <c r="AG2240" s="1063"/>
      <c r="AH2240" s="1063"/>
      <c r="AI2240" s="1063"/>
      <c r="AJ2240" s="1063"/>
      <c r="AK2240" s="1063"/>
      <c r="AL2240" s="1063"/>
      <c r="AM2240" s="1063"/>
      <c r="AN2240" s="1063"/>
      <c r="AO2240" s="1063"/>
      <c r="AP2240" s="1063"/>
      <c r="AQ2240" s="1063"/>
      <c r="AR2240" s="1063"/>
      <c r="AS2240" s="1063"/>
      <c r="AT2240" s="1063"/>
      <c r="AU2240" s="1063"/>
      <c r="AV2240" s="1063"/>
    </row>
    <row r="2241" spans="1:48" s="1108" customFormat="1" ht="27.75" customHeight="1">
      <c r="A2241" s="1076"/>
      <c r="B2241" s="1074">
        <f>+'[18]Bldg+Dev'!S3053</f>
        <v>0</v>
      </c>
      <c r="D2241" s="1063"/>
      <c r="F2241" s="1076"/>
      <c r="G2241" s="1063"/>
      <c r="H2241" s="1063"/>
      <c r="I2241" s="1063"/>
      <c r="J2241" s="1063"/>
      <c r="K2241" s="1063"/>
      <c r="L2241" s="1063"/>
      <c r="M2241" s="1063"/>
      <c r="N2241" s="1063"/>
      <c r="O2241" s="1063"/>
      <c r="P2241" s="1063"/>
      <c r="Q2241" s="1063"/>
      <c r="R2241" s="1063"/>
      <c r="S2241" s="1063"/>
      <c r="T2241" s="1063"/>
      <c r="U2241" s="1063"/>
      <c r="V2241" s="1063"/>
      <c r="W2241" s="1063"/>
      <c r="X2241" s="1063"/>
      <c r="Y2241" s="1063"/>
      <c r="Z2241" s="1063"/>
      <c r="AA2241" s="1063"/>
      <c r="AB2241" s="1063"/>
      <c r="AC2241" s="1063"/>
      <c r="AD2241" s="1063"/>
      <c r="AE2241" s="1063"/>
      <c r="AF2241" s="1063"/>
      <c r="AG2241" s="1063"/>
      <c r="AH2241" s="1063"/>
      <c r="AI2241" s="1063"/>
      <c r="AJ2241" s="1063"/>
      <c r="AK2241" s="1063"/>
      <c r="AL2241" s="1063"/>
      <c r="AM2241" s="1063"/>
      <c r="AN2241" s="1063"/>
      <c r="AO2241" s="1063"/>
      <c r="AP2241" s="1063"/>
      <c r="AQ2241" s="1063"/>
      <c r="AR2241" s="1063"/>
      <c r="AS2241" s="1063"/>
      <c r="AT2241" s="1063"/>
      <c r="AU2241" s="1063"/>
      <c r="AV2241" s="1063"/>
    </row>
    <row r="2242" spans="1:48" s="1108" customFormat="1" ht="27.75" customHeight="1">
      <c r="A2242" s="1076"/>
      <c r="B2242" s="1074">
        <f>+'[18]Bldg+Dev'!S3054</f>
        <v>0</v>
      </c>
      <c r="D2242" s="1063"/>
      <c r="F2242" s="1076"/>
      <c r="G2242" s="1063"/>
      <c r="H2242" s="1063"/>
      <c r="I2242" s="1063"/>
      <c r="J2242" s="1063"/>
      <c r="K2242" s="1063"/>
      <c r="L2242" s="1063"/>
      <c r="M2242" s="1063"/>
      <c r="N2242" s="1063"/>
      <c r="O2242" s="1063"/>
      <c r="P2242" s="1063"/>
      <c r="Q2242" s="1063"/>
      <c r="R2242" s="1063"/>
      <c r="S2242" s="1063"/>
      <c r="T2242" s="1063"/>
      <c r="U2242" s="1063"/>
      <c r="V2242" s="1063"/>
      <c r="W2242" s="1063"/>
      <c r="X2242" s="1063"/>
      <c r="Y2242" s="1063"/>
      <c r="Z2242" s="1063"/>
      <c r="AA2242" s="1063"/>
      <c r="AB2242" s="1063"/>
      <c r="AC2242" s="1063"/>
      <c r="AD2242" s="1063"/>
      <c r="AE2242" s="1063"/>
      <c r="AF2242" s="1063"/>
      <c r="AG2242" s="1063"/>
      <c r="AH2242" s="1063"/>
      <c r="AI2242" s="1063"/>
      <c r="AJ2242" s="1063"/>
      <c r="AK2242" s="1063"/>
      <c r="AL2242" s="1063"/>
      <c r="AM2242" s="1063"/>
      <c r="AN2242" s="1063"/>
      <c r="AO2242" s="1063"/>
      <c r="AP2242" s="1063"/>
      <c r="AQ2242" s="1063"/>
      <c r="AR2242" s="1063"/>
      <c r="AS2242" s="1063"/>
      <c r="AT2242" s="1063"/>
      <c r="AU2242" s="1063"/>
      <c r="AV2242" s="1063"/>
    </row>
    <row r="2243" spans="1:48" s="1108" customFormat="1" ht="27.75" customHeight="1">
      <c r="A2243" s="1076"/>
      <c r="B2243" s="1074">
        <f>+'[18]Bldg+Dev'!S3055</f>
        <v>0</v>
      </c>
      <c r="D2243" s="1063"/>
      <c r="F2243" s="1076"/>
      <c r="G2243" s="1063"/>
      <c r="H2243" s="1063"/>
      <c r="I2243" s="1063"/>
      <c r="J2243" s="1063"/>
      <c r="K2243" s="1063"/>
      <c r="L2243" s="1063"/>
      <c r="M2243" s="1063"/>
      <c r="N2243" s="1063"/>
      <c r="O2243" s="1063"/>
      <c r="P2243" s="1063"/>
      <c r="Q2243" s="1063"/>
      <c r="R2243" s="1063"/>
      <c r="S2243" s="1063"/>
      <c r="T2243" s="1063"/>
      <c r="U2243" s="1063"/>
      <c r="V2243" s="1063"/>
      <c r="W2243" s="1063"/>
      <c r="X2243" s="1063"/>
      <c r="Y2243" s="1063"/>
      <c r="Z2243" s="1063"/>
      <c r="AA2243" s="1063"/>
      <c r="AB2243" s="1063"/>
      <c r="AC2243" s="1063"/>
      <c r="AD2243" s="1063"/>
      <c r="AE2243" s="1063"/>
      <c r="AF2243" s="1063"/>
      <c r="AG2243" s="1063"/>
      <c r="AH2243" s="1063"/>
      <c r="AI2243" s="1063"/>
      <c r="AJ2243" s="1063"/>
      <c r="AK2243" s="1063"/>
      <c r="AL2243" s="1063"/>
      <c r="AM2243" s="1063"/>
      <c r="AN2243" s="1063"/>
      <c r="AO2243" s="1063"/>
      <c r="AP2243" s="1063"/>
      <c r="AQ2243" s="1063"/>
      <c r="AR2243" s="1063"/>
      <c r="AS2243" s="1063"/>
      <c r="AT2243" s="1063"/>
      <c r="AU2243" s="1063"/>
      <c r="AV2243" s="1063"/>
    </row>
    <row r="2244" spans="1:48" s="1108" customFormat="1" ht="27.75" customHeight="1">
      <c r="A2244" s="1076"/>
      <c r="B2244" s="1074">
        <f>+'[18]Bldg+Dev'!S3056</f>
        <v>0</v>
      </c>
      <c r="D2244" s="1063"/>
      <c r="F2244" s="1076"/>
      <c r="G2244" s="1063"/>
      <c r="H2244" s="1063"/>
      <c r="I2244" s="1063"/>
      <c r="J2244" s="1063"/>
      <c r="K2244" s="1063"/>
      <c r="L2244" s="1063"/>
      <c r="M2244" s="1063"/>
      <c r="N2244" s="1063"/>
      <c r="O2244" s="1063"/>
      <c r="P2244" s="1063"/>
      <c r="Q2244" s="1063"/>
      <c r="R2244" s="1063"/>
      <c r="S2244" s="1063"/>
      <c r="T2244" s="1063"/>
      <c r="U2244" s="1063"/>
      <c r="V2244" s="1063"/>
      <c r="W2244" s="1063"/>
      <c r="X2244" s="1063"/>
      <c r="Y2244" s="1063"/>
      <c r="Z2244" s="1063"/>
      <c r="AA2244" s="1063"/>
      <c r="AB2244" s="1063"/>
      <c r="AC2244" s="1063"/>
      <c r="AD2244" s="1063"/>
      <c r="AE2244" s="1063"/>
      <c r="AF2244" s="1063"/>
      <c r="AG2244" s="1063"/>
      <c r="AH2244" s="1063"/>
      <c r="AI2244" s="1063"/>
      <c r="AJ2244" s="1063"/>
      <c r="AK2244" s="1063"/>
      <c r="AL2244" s="1063"/>
      <c r="AM2244" s="1063"/>
      <c r="AN2244" s="1063"/>
      <c r="AO2244" s="1063"/>
      <c r="AP2244" s="1063"/>
      <c r="AQ2244" s="1063"/>
      <c r="AR2244" s="1063"/>
      <c r="AS2244" s="1063"/>
      <c r="AT2244" s="1063"/>
      <c r="AU2244" s="1063"/>
      <c r="AV2244" s="1063"/>
    </row>
    <row r="2245" spans="1:48" s="1108" customFormat="1" ht="27.75" customHeight="1">
      <c r="A2245" s="1076"/>
      <c r="B2245" s="1074">
        <f>+'[18]Bldg+Dev'!S3057</f>
        <v>0</v>
      </c>
      <c r="D2245" s="1063"/>
      <c r="F2245" s="1076"/>
      <c r="G2245" s="1063"/>
      <c r="H2245" s="1063"/>
      <c r="I2245" s="1063"/>
      <c r="J2245" s="1063"/>
      <c r="K2245" s="1063"/>
      <c r="L2245" s="1063"/>
      <c r="M2245" s="1063"/>
      <c r="N2245" s="1063"/>
      <c r="O2245" s="1063"/>
      <c r="P2245" s="1063"/>
      <c r="Q2245" s="1063"/>
      <c r="R2245" s="1063"/>
      <c r="S2245" s="1063"/>
      <c r="T2245" s="1063"/>
      <c r="U2245" s="1063"/>
      <c r="V2245" s="1063"/>
      <c r="W2245" s="1063"/>
      <c r="X2245" s="1063"/>
      <c r="Y2245" s="1063"/>
      <c r="Z2245" s="1063"/>
      <c r="AA2245" s="1063"/>
      <c r="AB2245" s="1063"/>
      <c r="AC2245" s="1063"/>
      <c r="AD2245" s="1063"/>
      <c r="AE2245" s="1063"/>
      <c r="AF2245" s="1063"/>
      <c r="AG2245" s="1063"/>
      <c r="AH2245" s="1063"/>
      <c r="AI2245" s="1063"/>
      <c r="AJ2245" s="1063"/>
      <c r="AK2245" s="1063"/>
      <c r="AL2245" s="1063"/>
      <c r="AM2245" s="1063"/>
      <c r="AN2245" s="1063"/>
      <c r="AO2245" s="1063"/>
      <c r="AP2245" s="1063"/>
      <c r="AQ2245" s="1063"/>
      <c r="AR2245" s="1063"/>
      <c r="AS2245" s="1063"/>
      <c r="AT2245" s="1063"/>
      <c r="AU2245" s="1063"/>
      <c r="AV2245" s="1063"/>
    </row>
    <row r="2246" spans="1:48" s="1108" customFormat="1" ht="27.75" customHeight="1">
      <c r="A2246" s="1076"/>
      <c r="B2246" s="1074">
        <f>+'[18]Bldg+Dev'!S3058</f>
        <v>0</v>
      </c>
      <c r="D2246" s="1063"/>
      <c r="F2246" s="1076"/>
      <c r="G2246" s="1063"/>
      <c r="H2246" s="1063"/>
      <c r="I2246" s="1063"/>
      <c r="J2246" s="1063"/>
      <c r="K2246" s="1063"/>
      <c r="L2246" s="1063"/>
      <c r="M2246" s="1063"/>
      <c r="N2246" s="1063"/>
      <c r="O2246" s="1063"/>
      <c r="P2246" s="1063"/>
      <c r="Q2246" s="1063"/>
      <c r="R2246" s="1063"/>
      <c r="S2246" s="1063"/>
      <c r="T2246" s="1063"/>
      <c r="U2246" s="1063"/>
      <c r="V2246" s="1063"/>
      <c r="W2246" s="1063"/>
      <c r="X2246" s="1063"/>
      <c r="Y2246" s="1063"/>
      <c r="Z2246" s="1063"/>
      <c r="AA2246" s="1063"/>
      <c r="AB2246" s="1063"/>
      <c r="AC2246" s="1063"/>
      <c r="AD2246" s="1063"/>
      <c r="AE2246" s="1063"/>
      <c r="AF2246" s="1063"/>
      <c r="AG2246" s="1063"/>
      <c r="AH2246" s="1063"/>
      <c r="AI2246" s="1063"/>
      <c r="AJ2246" s="1063"/>
      <c r="AK2246" s="1063"/>
      <c r="AL2246" s="1063"/>
      <c r="AM2246" s="1063"/>
      <c r="AN2246" s="1063"/>
      <c r="AO2246" s="1063"/>
      <c r="AP2246" s="1063"/>
      <c r="AQ2246" s="1063"/>
      <c r="AR2246" s="1063"/>
      <c r="AS2246" s="1063"/>
      <c r="AT2246" s="1063"/>
      <c r="AU2246" s="1063"/>
      <c r="AV2246" s="1063"/>
    </row>
    <row r="2247" spans="1:48" s="1108" customFormat="1" ht="27.75" customHeight="1">
      <c r="A2247" s="1076"/>
      <c r="B2247" s="1074">
        <f>+'[18]Bldg+Dev'!S3059</f>
        <v>0</v>
      </c>
      <c r="D2247" s="1063"/>
      <c r="F2247" s="1076"/>
      <c r="G2247" s="1063"/>
      <c r="H2247" s="1063"/>
      <c r="I2247" s="1063"/>
      <c r="J2247" s="1063"/>
      <c r="K2247" s="1063"/>
      <c r="L2247" s="1063"/>
      <c r="M2247" s="1063"/>
      <c r="N2247" s="1063"/>
      <c r="O2247" s="1063"/>
      <c r="P2247" s="1063"/>
      <c r="Q2247" s="1063"/>
      <c r="R2247" s="1063"/>
      <c r="S2247" s="1063"/>
      <c r="T2247" s="1063"/>
      <c r="U2247" s="1063"/>
      <c r="V2247" s="1063"/>
      <c r="W2247" s="1063"/>
      <c r="X2247" s="1063"/>
      <c r="Y2247" s="1063"/>
      <c r="Z2247" s="1063"/>
      <c r="AA2247" s="1063"/>
      <c r="AB2247" s="1063"/>
      <c r="AC2247" s="1063"/>
      <c r="AD2247" s="1063"/>
      <c r="AE2247" s="1063"/>
      <c r="AF2247" s="1063"/>
      <c r="AG2247" s="1063"/>
      <c r="AH2247" s="1063"/>
      <c r="AI2247" s="1063"/>
      <c r="AJ2247" s="1063"/>
      <c r="AK2247" s="1063"/>
      <c r="AL2247" s="1063"/>
      <c r="AM2247" s="1063"/>
      <c r="AN2247" s="1063"/>
      <c r="AO2247" s="1063"/>
      <c r="AP2247" s="1063"/>
      <c r="AQ2247" s="1063"/>
      <c r="AR2247" s="1063"/>
      <c r="AS2247" s="1063"/>
      <c r="AT2247" s="1063"/>
      <c r="AU2247" s="1063"/>
      <c r="AV2247" s="1063"/>
    </row>
    <row r="2248" spans="1:48" s="1108" customFormat="1" ht="27.75" customHeight="1">
      <c r="A2248" s="1076"/>
      <c r="B2248" s="1074">
        <f>+'[18]Bldg+Dev'!S3060</f>
        <v>0</v>
      </c>
      <c r="D2248" s="1063"/>
      <c r="F2248" s="1076"/>
      <c r="G2248" s="1063"/>
      <c r="H2248" s="1063"/>
      <c r="I2248" s="1063"/>
      <c r="J2248" s="1063"/>
      <c r="K2248" s="1063"/>
      <c r="L2248" s="1063"/>
      <c r="M2248" s="1063"/>
      <c r="N2248" s="1063"/>
      <c r="O2248" s="1063"/>
      <c r="P2248" s="1063"/>
      <c r="Q2248" s="1063"/>
      <c r="R2248" s="1063"/>
      <c r="S2248" s="1063"/>
      <c r="T2248" s="1063"/>
      <c r="U2248" s="1063"/>
      <c r="V2248" s="1063"/>
      <c r="W2248" s="1063"/>
      <c r="X2248" s="1063"/>
      <c r="Y2248" s="1063"/>
      <c r="Z2248" s="1063"/>
      <c r="AA2248" s="1063"/>
      <c r="AB2248" s="1063"/>
      <c r="AC2248" s="1063"/>
      <c r="AD2248" s="1063"/>
      <c r="AE2248" s="1063"/>
      <c r="AF2248" s="1063"/>
      <c r="AG2248" s="1063"/>
      <c r="AH2248" s="1063"/>
      <c r="AI2248" s="1063"/>
      <c r="AJ2248" s="1063"/>
      <c r="AK2248" s="1063"/>
      <c r="AL2248" s="1063"/>
      <c r="AM2248" s="1063"/>
      <c r="AN2248" s="1063"/>
      <c r="AO2248" s="1063"/>
      <c r="AP2248" s="1063"/>
      <c r="AQ2248" s="1063"/>
      <c r="AR2248" s="1063"/>
      <c r="AS2248" s="1063"/>
      <c r="AT2248" s="1063"/>
      <c r="AU2248" s="1063"/>
      <c r="AV2248" s="1063"/>
    </row>
    <row r="2249" spans="1:48" s="1108" customFormat="1" ht="27.75" customHeight="1">
      <c r="A2249" s="1076"/>
      <c r="B2249" s="1074">
        <f>+'[18]Bldg+Dev'!S3061</f>
        <v>0</v>
      </c>
      <c r="D2249" s="1063"/>
      <c r="F2249" s="1076"/>
      <c r="G2249" s="1063"/>
      <c r="H2249" s="1063"/>
      <c r="I2249" s="1063"/>
      <c r="J2249" s="1063"/>
      <c r="K2249" s="1063"/>
      <c r="L2249" s="1063"/>
      <c r="M2249" s="1063"/>
      <c r="N2249" s="1063"/>
      <c r="O2249" s="1063"/>
      <c r="P2249" s="1063"/>
      <c r="Q2249" s="1063"/>
      <c r="R2249" s="1063"/>
      <c r="S2249" s="1063"/>
      <c r="T2249" s="1063"/>
      <c r="U2249" s="1063"/>
      <c r="V2249" s="1063"/>
      <c r="W2249" s="1063"/>
      <c r="X2249" s="1063"/>
      <c r="Y2249" s="1063"/>
      <c r="Z2249" s="1063"/>
      <c r="AA2249" s="1063"/>
      <c r="AB2249" s="1063"/>
      <c r="AC2249" s="1063"/>
      <c r="AD2249" s="1063"/>
      <c r="AE2249" s="1063"/>
      <c r="AF2249" s="1063"/>
      <c r="AG2249" s="1063"/>
      <c r="AH2249" s="1063"/>
      <c r="AI2249" s="1063"/>
      <c r="AJ2249" s="1063"/>
      <c r="AK2249" s="1063"/>
      <c r="AL2249" s="1063"/>
      <c r="AM2249" s="1063"/>
      <c r="AN2249" s="1063"/>
      <c r="AO2249" s="1063"/>
      <c r="AP2249" s="1063"/>
      <c r="AQ2249" s="1063"/>
      <c r="AR2249" s="1063"/>
      <c r="AS2249" s="1063"/>
      <c r="AT2249" s="1063"/>
      <c r="AU2249" s="1063"/>
      <c r="AV2249" s="1063"/>
    </row>
    <row r="2250" spans="1:48" s="1108" customFormat="1" ht="27.75" customHeight="1">
      <c r="A2250" s="1076"/>
      <c r="B2250" s="1074">
        <f>+'[18]Bldg+Dev'!S3062</f>
        <v>0</v>
      </c>
      <c r="D2250" s="1063"/>
      <c r="F2250" s="1076"/>
      <c r="G2250" s="1063"/>
      <c r="H2250" s="1063"/>
      <c r="I2250" s="1063"/>
      <c r="J2250" s="1063"/>
      <c r="K2250" s="1063"/>
      <c r="L2250" s="1063"/>
      <c r="M2250" s="1063"/>
      <c r="N2250" s="1063"/>
      <c r="O2250" s="1063"/>
      <c r="P2250" s="1063"/>
      <c r="Q2250" s="1063"/>
      <c r="R2250" s="1063"/>
      <c r="S2250" s="1063"/>
      <c r="T2250" s="1063"/>
      <c r="U2250" s="1063"/>
      <c r="V2250" s="1063"/>
      <c r="W2250" s="1063"/>
      <c r="X2250" s="1063"/>
      <c r="Y2250" s="1063"/>
      <c r="Z2250" s="1063"/>
      <c r="AA2250" s="1063"/>
      <c r="AB2250" s="1063"/>
      <c r="AC2250" s="1063"/>
      <c r="AD2250" s="1063"/>
      <c r="AE2250" s="1063"/>
      <c r="AF2250" s="1063"/>
      <c r="AG2250" s="1063"/>
      <c r="AH2250" s="1063"/>
      <c r="AI2250" s="1063"/>
      <c r="AJ2250" s="1063"/>
      <c r="AK2250" s="1063"/>
      <c r="AL2250" s="1063"/>
      <c r="AM2250" s="1063"/>
      <c r="AN2250" s="1063"/>
      <c r="AO2250" s="1063"/>
      <c r="AP2250" s="1063"/>
      <c r="AQ2250" s="1063"/>
      <c r="AR2250" s="1063"/>
      <c r="AS2250" s="1063"/>
      <c r="AT2250" s="1063"/>
      <c r="AU2250" s="1063"/>
      <c r="AV2250" s="1063"/>
    </row>
    <row r="2251" spans="1:48" s="1108" customFormat="1" ht="27.75" customHeight="1">
      <c r="A2251" s="1076"/>
      <c r="B2251" s="1074">
        <f>+'[18]Bldg+Dev'!S3063</f>
        <v>0</v>
      </c>
      <c r="D2251" s="1063"/>
      <c r="F2251" s="1076"/>
      <c r="G2251" s="1063"/>
      <c r="H2251" s="1063"/>
      <c r="I2251" s="1063"/>
      <c r="J2251" s="1063"/>
      <c r="K2251" s="1063"/>
      <c r="L2251" s="1063"/>
      <c r="M2251" s="1063"/>
      <c r="N2251" s="1063"/>
      <c r="O2251" s="1063"/>
      <c r="P2251" s="1063"/>
      <c r="Q2251" s="1063"/>
      <c r="R2251" s="1063"/>
      <c r="S2251" s="1063"/>
      <c r="T2251" s="1063"/>
      <c r="U2251" s="1063"/>
      <c r="V2251" s="1063"/>
      <c r="W2251" s="1063"/>
      <c r="X2251" s="1063"/>
      <c r="Y2251" s="1063"/>
      <c r="Z2251" s="1063"/>
      <c r="AA2251" s="1063"/>
      <c r="AB2251" s="1063"/>
      <c r="AC2251" s="1063"/>
      <c r="AD2251" s="1063"/>
      <c r="AE2251" s="1063"/>
      <c r="AF2251" s="1063"/>
      <c r="AG2251" s="1063"/>
      <c r="AH2251" s="1063"/>
      <c r="AI2251" s="1063"/>
      <c r="AJ2251" s="1063"/>
      <c r="AK2251" s="1063"/>
      <c r="AL2251" s="1063"/>
      <c r="AM2251" s="1063"/>
      <c r="AN2251" s="1063"/>
      <c r="AO2251" s="1063"/>
      <c r="AP2251" s="1063"/>
      <c r="AQ2251" s="1063"/>
      <c r="AR2251" s="1063"/>
      <c r="AS2251" s="1063"/>
      <c r="AT2251" s="1063"/>
      <c r="AU2251" s="1063"/>
      <c r="AV2251" s="1063"/>
    </row>
    <row r="2252" spans="1:48" s="1108" customFormat="1" ht="27.75" customHeight="1">
      <c r="A2252" s="1076"/>
      <c r="B2252" s="1074">
        <f>+'[18]Bldg+Dev'!S3064</f>
        <v>0</v>
      </c>
      <c r="D2252" s="1063"/>
      <c r="F2252" s="1076"/>
      <c r="G2252" s="1063"/>
      <c r="H2252" s="1063"/>
      <c r="I2252" s="1063"/>
      <c r="J2252" s="1063"/>
      <c r="K2252" s="1063"/>
      <c r="L2252" s="1063"/>
      <c r="M2252" s="1063"/>
      <c r="N2252" s="1063"/>
      <c r="O2252" s="1063"/>
      <c r="P2252" s="1063"/>
      <c r="Q2252" s="1063"/>
      <c r="R2252" s="1063"/>
      <c r="S2252" s="1063"/>
      <c r="T2252" s="1063"/>
      <c r="U2252" s="1063"/>
      <c r="V2252" s="1063"/>
      <c r="W2252" s="1063"/>
      <c r="X2252" s="1063"/>
      <c r="Y2252" s="1063"/>
      <c r="Z2252" s="1063"/>
      <c r="AA2252" s="1063"/>
      <c r="AB2252" s="1063"/>
      <c r="AC2252" s="1063"/>
      <c r="AD2252" s="1063"/>
      <c r="AE2252" s="1063"/>
      <c r="AF2252" s="1063"/>
      <c r="AG2252" s="1063"/>
      <c r="AH2252" s="1063"/>
      <c r="AI2252" s="1063"/>
      <c r="AJ2252" s="1063"/>
      <c r="AK2252" s="1063"/>
      <c r="AL2252" s="1063"/>
      <c r="AM2252" s="1063"/>
      <c r="AN2252" s="1063"/>
      <c r="AO2252" s="1063"/>
      <c r="AP2252" s="1063"/>
      <c r="AQ2252" s="1063"/>
      <c r="AR2252" s="1063"/>
      <c r="AS2252" s="1063"/>
      <c r="AT2252" s="1063"/>
      <c r="AU2252" s="1063"/>
      <c r="AV2252" s="1063"/>
    </row>
    <row r="2253" spans="1:48" s="1108" customFormat="1" ht="27.75" customHeight="1">
      <c r="A2253" s="1076"/>
      <c r="B2253" s="1074">
        <f>+'[18]Bldg+Dev'!S3065</f>
        <v>0</v>
      </c>
      <c r="D2253" s="1063"/>
      <c r="F2253" s="1076"/>
      <c r="G2253" s="1063"/>
      <c r="H2253" s="1063"/>
      <c r="I2253" s="1063"/>
      <c r="J2253" s="1063"/>
      <c r="K2253" s="1063"/>
      <c r="L2253" s="1063"/>
      <c r="M2253" s="1063"/>
      <c r="N2253" s="1063"/>
      <c r="O2253" s="1063"/>
      <c r="P2253" s="1063"/>
      <c r="Q2253" s="1063"/>
      <c r="R2253" s="1063"/>
      <c r="S2253" s="1063"/>
      <c r="T2253" s="1063"/>
      <c r="U2253" s="1063"/>
      <c r="V2253" s="1063"/>
      <c r="W2253" s="1063"/>
      <c r="X2253" s="1063"/>
      <c r="Y2253" s="1063"/>
      <c r="Z2253" s="1063"/>
      <c r="AA2253" s="1063"/>
      <c r="AB2253" s="1063"/>
      <c r="AC2253" s="1063"/>
      <c r="AD2253" s="1063"/>
      <c r="AE2253" s="1063"/>
      <c r="AF2253" s="1063"/>
      <c r="AG2253" s="1063"/>
      <c r="AH2253" s="1063"/>
      <c r="AI2253" s="1063"/>
      <c r="AJ2253" s="1063"/>
      <c r="AK2253" s="1063"/>
      <c r="AL2253" s="1063"/>
      <c r="AM2253" s="1063"/>
      <c r="AN2253" s="1063"/>
      <c r="AO2253" s="1063"/>
      <c r="AP2253" s="1063"/>
      <c r="AQ2253" s="1063"/>
      <c r="AR2253" s="1063"/>
      <c r="AS2253" s="1063"/>
      <c r="AT2253" s="1063"/>
      <c r="AU2253" s="1063"/>
      <c r="AV2253" s="1063"/>
    </row>
    <row r="2254" spans="1:48" s="1108" customFormat="1" ht="27.75" customHeight="1">
      <c r="A2254" s="1076"/>
      <c r="B2254" s="1074">
        <f>+'[18]Bldg+Dev'!S3066</f>
        <v>0</v>
      </c>
      <c r="D2254" s="1063"/>
      <c r="F2254" s="1076"/>
      <c r="G2254" s="1063"/>
      <c r="H2254" s="1063"/>
      <c r="I2254" s="1063"/>
      <c r="J2254" s="1063"/>
      <c r="K2254" s="1063"/>
      <c r="L2254" s="1063"/>
      <c r="M2254" s="1063"/>
      <c r="N2254" s="1063"/>
      <c r="O2254" s="1063"/>
      <c r="P2254" s="1063"/>
      <c r="Q2254" s="1063"/>
      <c r="R2254" s="1063"/>
      <c r="S2254" s="1063"/>
      <c r="T2254" s="1063"/>
      <c r="U2254" s="1063"/>
      <c r="V2254" s="1063"/>
      <c r="W2254" s="1063"/>
      <c r="X2254" s="1063"/>
      <c r="Y2254" s="1063"/>
      <c r="Z2254" s="1063"/>
      <c r="AA2254" s="1063"/>
      <c r="AB2254" s="1063"/>
      <c r="AC2254" s="1063"/>
      <c r="AD2254" s="1063"/>
      <c r="AE2254" s="1063"/>
      <c r="AF2254" s="1063"/>
      <c r="AG2254" s="1063"/>
      <c r="AH2254" s="1063"/>
      <c r="AI2254" s="1063"/>
      <c r="AJ2254" s="1063"/>
      <c r="AK2254" s="1063"/>
      <c r="AL2254" s="1063"/>
      <c r="AM2254" s="1063"/>
      <c r="AN2254" s="1063"/>
      <c r="AO2254" s="1063"/>
      <c r="AP2254" s="1063"/>
      <c r="AQ2254" s="1063"/>
      <c r="AR2254" s="1063"/>
      <c r="AS2254" s="1063"/>
      <c r="AT2254" s="1063"/>
      <c r="AU2254" s="1063"/>
      <c r="AV2254" s="1063"/>
    </row>
    <row r="2255" spans="1:48" s="1108" customFormat="1" ht="27.75" customHeight="1">
      <c r="A2255" s="1076"/>
      <c r="B2255" s="1074">
        <f>+'[18]Bldg+Dev'!S3067</f>
        <v>0</v>
      </c>
      <c r="D2255" s="1063"/>
      <c r="F2255" s="1076"/>
      <c r="G2255" s="1063"/>
      <c r="H2255" s="1063"/>
      <c r="I2255" s="1063"/>
      <c r="J2255" s="1063"/>
      <c r="K2255" s="1063"/>
      <c r="L2255" s="1063"/>
      <c r="M2255" s="1063"/>
      <c r="N2255" s="1063"/>
      <c r="O2255" s="1063"/>
      <c r="P2255" s="1063"/>
      <c r="Q2255" s="1063"/>
      <c r="R2255" s="1063"/>
      <c r="S2255" s="1063"/>
      <c r="T2255" s="1063"/>
      <c r="U2255" s="1063"/>
      <c r="V2255" s="1063"/>
      <c r="W2255" s="1063"/>
      <c r="X2255" s="1063"/>
      <c r="Y2255" s="1063"/>
      <c r="Z2255" s="1063"/>
      <c r="AA2255" s="1063"/>
      <c r="AB2255" s="1063"/>
      <c r="AC2255" s="1063"/>
      <c r="AD2255" s="1063"/>
      <c r="AE2255" s="1063"/>
      <c r="AF2255" s="1063"/>
      <c r="AG2255" s="1063"/>
      <c r="AH2255" s="1063"/>
      <c r="AI2255" s="1063"/>
      <c r="AJ2255" s="1063"/>
      <c r="AK2255" s="1063"/>
      <c r="AL2255" s="1063"/>
      <c r="AM2255" s="1063"/>
      <c r="AN2255" s="1063"/>
      <c r="AO2255" s="1063"/>
      <c r="AP2255" s="1063"/>
      <c r="AQ2255" s="1063"/>
      <c r="AR2255" s="1063"/>
      <c r="AS2255" s="1063"/>
      <c r="AT2255" s="1063"/>
      <c r="AU2255" s="1063"/>
      <c r="AV2255" s="1063"/>
    </row>
    <row r="2256" spans="1:48" s="1108" customFormat="1" ht="27.75" customHeight="1">
      <c r="A2256" s="1076"/>
      <c r="B2256" s="1074">
        <f>+'[18]Bldg+Dev'!S3068</f>
        <v>0</v>
      </c>
      <c r="D2256" s="1063"/>
      <c r="F2256" s="1076"/>
      <c r="G2256" s="1063"/>
      <c r="H2256" s="1063"/>
      <c r="I2256" s="1063"/>
      <c r="J2256" s="1063"/>
      <c r="K2256" s="1063"/>
      <c r="L2256" s="1063"/>
      <c r="M2256" s="1063"/>
      <c r="N2256" s="1063"/>
      <c r="O2256" s="1063"/>
      <c r="P2256" s="1063"/>
      <c r="Q2256" s="1063"/>
      <c r="R2256" s="1063"/>
      <c r="S2256" s="1063"/>
      <c r="T2256" s="1063"/>
      <c r="U2256" s="1063"/>
      <c r="V2256" s="1063"/>
      <c r="W2256" s="1063"/>
      <c r="X2256" s="1063"/>
      <c r="Y2256" s="1063"/>
      <c r="Z2256" s="1063"/>
      <c r="AA2256" s="1063"/>
      <c r="AB2256" s="1063"/>
      <c r="AC2256" s="1063"/>
      <c r="AD2256" s="1063"/>
      <c r="AE2256" s="1063"/>
      <c r="AF2256" s="1063"/>
      <c r="AG2256" s="1063"/>
      <c r="AH2256" s="1063"/>
      <c r="AI2256" s="1063"/>
      <c r="AJ2256" s="1063"/>
      <c r="AK2256" s="1063"/>
      <c r="AL2256" s="1063"/>
      <c r="AM2256" s="1063"/>
      <c r="AN2256" s="1063"/>
      <c r="AO2256" s="1063"/>
      <c r="AP2256" s="1063"/>
      <c r="AQ2256" s="1063"/>
      <c r="AR2256" s="1063"/>
      <c r="AS2256" s="1063"/>
      <c r="AT2256" s="1063"/>
      <c r="AU2256" s="1063"/>
      <c r="AV2256" s="1063"/>
    </row>
    <row r="2257" spans="1:48" s="1108" customFormat="1" ht="27.75" customHeight="1">
      <c r="A2257" s="1076"/>
      <c r="B2257" s="1074">
        <f>+'[18]Bldg+Dev'!S3069</f>
        <v>0</v>
      </c>
      <c r="D2257" s="1063"/>
      <c r="F2257" s="1076"/>
      <c r="G2257" s="1063"/>
      <c r="H2257" s="1063"/>
      <c r="I2257" s="1063"/>
      <c r="J2257" s="1063"/>
      <c r="K2257" s="1063"/>
      <c r="L2257" s="1063"/>
      <c r="M2257" s="1063"/>
      <c r="N2257" s="1063"/>
      <c r="O2257" s="1063"/>
      <c r="P2257" s="1063"/>
      <c r="Q2257" s="1063"/>
      <c r="R2257" s="1063"/>
      <c r="S2257" s="1063"/>
      <c r="T2257" s="1063"/>
      <c r="U2257" s="1063"/>
      <c r="V2257" s="1063"/>
      <c r="W2257" s="1063"/>
      <c r="X2257" s="1063"/>
      <c r="Y2257" s="1063"/>
      <c r="Z2257" s="1063"/>
      <c r="AA2257" s="1063"/>
      <c r="AB2257" s="1063"/>
      <c r="AC2257" s="1063"/>
      <c r="AD2257" s="1063"/>
      <c r="AE2257" s="1063"/>
      <c r="AF2257" s="1063"/>
      <c r="AG2257" s="1063"/>
      <c r="AH2257" s="1063"/>
      <c r="AI2257" s="1063"/>
      <c r="AJ2257" s="1063"/>
      <c r="AK2257" s="1063"/>
      <c r="AL2257" s="1063"/>
      <c r="AM2257" s="1063"/>
      <c r="AN2257" s="1063"/>
      <c r="AO2257" s="1063"/>
      <c r="AP2257" s="1063"/>
      <c r="AQ2257" s="1063"/>
      <c r="AR2257" s="1063"/>
      <c r="AS2257" s="1063"/>
      <c r="AT2257" s="1063"/>
      <c r="AU2257" s="1063"/>
      <c r="AV2257" s="1063"/>
    </row>
    <row r="2258" spans="1:48" s="1108" customFormat="1" ht="27.75" customHeight="1">
      <c r="A2258" s="1076"/>
      <c r="B2258" s="1074">
        <f>+'[18]Bldg+Dev'!S3070</f>
        <v>0</v>
      </c>
      <c r="D2258" s="1063"/>
      <c r="F2258" s="1076"/>
      <c r="G2258" s="1063"/>
      <c r="H2258" s="1063"/>
      <c r="I2258" s="1063"/>
      <c r="J2258" s="1063"/>
      <c r="K2258" s="1063"/>
      <c r="L2258" s="1063"/>
      <c r="M2258" s="1063"/>
      <c r="N2258" s="1063"/>
      <c r="O2258" s="1063"/>
      <c r="P2258" s="1063"/>
      <c r="Q2258" s="1063"/>
      <c r="R2258" s="1063"/>
      <c r="S2258" s="1063"/>
      <c r="T2258" s="1063"/>
      <c r="U2258" s="1063"/>
      <c r="V2258" s="1063"/>
      <c r="W2258" s="1063"/>
      <c r="X2258" s="1063"/>
      <c r="Y2258" s="1063"/>
      <c r="Z2258" s="1063"/>
      <c r="AA2258" s="1063"/>
      <c r="AB2258" s="1063"/>
      <c r="AC2258" s="1063"/>
      <c r="AD2258" s="1063"/>
      <c r="AE2258" s="1063"/>
      <c r="AF2258" s="1063"/>
      <c r="AG2258" s="1063"/>
      <c r="AH2258" s="1063"/>
      <c r="AI2258" s="1063"/>
      <c r="AJ2258" s="1063"/>
      <c r="AK2258" s="1063"/>
      <c r="AL2258" s="1063"/>
      <c r="AM2258" s="1063"/>
      <c r="AN2258" s="1063"/>
      <c r="AO2258" s="1063"/>
      <c r="AP2258" s="1063"/>
      <c r="AQ2258" s="1063"/>
      <c r="AR2258" s="1063"/>
      <c r="AS2258" s="1063"/>
      <c r="AT2258" s="1063"/>
      <c r="AU2258" s="1063"/>
      <c r="AV2258" s="1063"/>
    </row>
    <row r="2259" spans="1:48" s="1108" customFormat="1" ht="27.75" customHeight="1">
      <c r="A2259" s="1076"/>
      <c r="B2259" s="1074">
        <f>+'[18]Bldg+Dev'!S3071</f>
        <v>0</v>
      </c>
      <c r="D2259" s="1063"/>
      <c r="F2259" s="1076"/>
      <c r="G2259" s="1063"/>
      <c r="H2259" s="1063"/>
      <c r="I2259" s="1063"/>
      <c r="J2259" s="1063"/>
      <c r="K2259" s="1063"/>
      <c r="L2259" s="1063"/>
      <c r="M2259" s="1063"/>
      <c r="N2259" s="1063"/>
      <c r="O2259" s="1063"/>
      <c r="P2259" s="1063"/>
      <c r="Q2259" s="1063"/>
      <c r="R2259" s="1063"/>
      <c r="S2259" s="1063"/>
      <c r="T2259" s="1063"/>
      <c r="U2259" s="1063"/>
      <c r="V2259" s="1063"/>
      <c r="W2259" s="1063"/>
      <c r="X2259" s="1063"/>
      <c r="Y2259" s="1063"/>
      <c r="Z2259" s="1063"/>
      <c r="AA2259" s="1063"/>
      <c r="AB2259" s="1063"/>
      <c r="AC2259" s="1063"/>
      <c r="AD2259" s="1063"/>
      <c r="AE2259" s="1063"/>
      <c r="AF2259" s="1063"/>
      <c r="AG2259" s="1063"/>
      <c r="AH2259" s="1063"/>
      <c r="AI2259" s="1063"/>
      <c r="AJ2259" s="1063"/>
      <c r="AK2259" s="1063"/>
      <c r="AL2259" s="1063"/>
      <c r="AM2259" s="1063"/>
      <c r="AN2259" s="1063"/>
      <c r="AO2259" s="1063"/>
      <c r="AP2259" s="1063"/>
      <c r="AQ2259" s="1063"/>
      <c r="AR2259" s="1063"/>
      <c r="AS2259" s="1063"/>
      <c r="AT2259" s="1063"/>
      <c r="AU2259" s="1063"/>
      <c r="AV2259" s="1063"/>
    </row>
    <row r="2260" spans="1:48" s="1108" customFormat="1" ht="27.75" customHeight="1">
      <c r="A2260" s="1076"/>
      <c r="B2260" s="1074">
        <f>+'[18]Bldg+Dev'!S3072</f>
        <v>0</v>
      </c>
      <c r="D2260" s="1063"/>
      <c r="F2260" s="1076"/>
      <c r="G2260" s="1063"/>
      <c r="H2260" s="1063"/>
      <c r="I2260" s="1063"/>
      <c r="J2260" s="1063"/>
      <c r="K2260" s="1063"/>
      <c r="L2260" s="1063"/>
      <c r="M2260" s="1063"/>
      <c r="N2260" s="1063"/>
      <c r="O2260" s="1063"/>
      <c r="P2260" s="1063"/>
      <c r="Q2260" s="1063"/>
      <c r="R2260" s="1063"/>
      <c r="S2260" s="1063"/>
      <c r="T2260" s="1063"/>
      <c r="U2260" s="1063"/>
      <c r="V2260" s="1063"/>
      <c r="W2260" s="1063"/>
      <c r="X2260" s="1063"/>
      <c r="Y2260" s="1063"/>
      <c r="Z2260" s="1063"/>
      <c r="AA2260" s="1063"/>
      <c r="AB2260" s="1063"/>
      <c r="AC2260" s="1063"/>
      <c r="AD2260" s="1063"/>
      <c r="AE2260" s="1063"/>
      <c r="AF2260" s="1063"/>
      <c r="AG2260" s="1063"/>
      <c r="AH2260" s="1063"/>
      <c r="AI2260" s="1063"/>
      <c r="AJ2260" s="1063"/>
      <c r="AK2260" s="1063"/>
      <c r="AL2260" s="1063"/>
      <c r="AM2260" s="1063"/>
      <c r="AN2260" s="1063"/>
      <c r="AO2260" s="1063"/>
      <c r="AP2260" s="1063"/>
      <c r="AQ2260" s="1063"/>
      <c r="AR2260" s="1063"/>
      <c r="AS2260" s="1063"/>
      <c r="AT2260" s="1063"/>
      <c r="AU2260" s="1063"/>
      <c r="AV2260" s="1063"/>
    </row>
    <row r="2261" spans="1:48" s="1108" customFormat="1" ht="27.75" customHeight="1">
      <c r="A2261" s="1076"/>
      <c r="B2261" s="1074">
        <f>+'[18]Bldg+Dev'!S3073</f>
        <v>0</v>
      </c>
      <c r="D2261" s="1063"/>
      <c r="F2261" s="1076"/>
      <c r="G2261" s="1063"/>
      <c r="H2261" s="1063"/>
      <c r="I2261" s="1063"/>
      <c r="J2261" s="1063"/>
      <c r="K2261" s="1063"/>
      <c r="L2261" s="1063"/>
      <c r="M2261" s="1063"/>
      <c r="N2261" s="1063"/>
      <c r="O2261" s="1063"/>
      <c r="P2261" s="1063"/>
      <c r="Q2261" s="1063"/>
      <c r="R2261" s="1063"/>
      <c r="S2261" s="1063"/>
      <c r="T2261" s="1063"/>
      <c r="U2261" s="1063"/>
      <c r="V2261" s="1063"/>
      <c r="W2261" s="1063"/>
      <c r="X2261" s="1063"/>
      <c r="Y2261" s="1063"/>
      <c r="Z2261" s="1063"/>
      <c r="AA2261" s="1063"/>
      <c r="AB2261" s="1063"/>
      <c r="AC2261" s="1063"/>
      <c r="AD2261" s="1063"/>
      <c r="AE2261" s="1063"/>
      <c r="AF2261" s="1063"/>
      <c r="AG2261" s="1063"/>
      <c r="AH2261" s="1063"/>
      <c r="AI2261" s="1063"/>
      <c r="AJ2261" s="1063"/>
      <c r="AK2261" s="1063"/>
      <c r="AL2261" s="1063"/>
      <c r="AM2261" s="1063"/>
      <c r="AN2261" s="1063"/>
      <c r="AO2261" s="1063"/>
      <c r="AP2261" s="1063"/>
      <c r="AQ2261" s="1063"/>
      <c r="AR2261" s="1063"/>
      <c r="AS2261" s="1063"/>
      <c r="AT2261" s="1063"/>
      <c r="AU2261" s="1063"/>
      <c r="AV2261" s="1063"/>
    </row>
    <row r="2262" spans="1:48" s="1108" customFormat="1" ht="27.75" customHeight="1">
      <c r="A2262" s="1076"/>
      <c r="B2262" s="1074">
        <f>+'[18]Bldg+Dev'!S3074</f>
        <v>0</v>
      </c>
      <c r="D2262" s="1063"/>
      <c r="F2262" s="1076"/>
      <c r="G2262" s="1063"/>
      <c r="H2262" s="1063"/>
      <c r="I2262" s="1063"/>
      <c r="J2262" s="1063"/>
      <c r="K2262" s="1063"/>
      <c r="L2262" s="1063"/>
      <c r="M2262" s="1063"/>
      <c r="N2262" s="1063"/>
      <c r="O2262" s="1063"/>
      <c r="P2262" s="1063"/>
      <c r="Q2262" s="1063"/>
      <c r="R2262" s="1063"/>
      <c r="S2262" s="1063"/>
      <c r="T2262" s="1063"/>
      <c r="U2262" s="1063"/>
      <c r="V2262" s="1063"/>
      <c r="W2262" s="1063"/>
      <c r="X2262" s="1063"/>
      <c r="Y2262" s="1063"/>
      <c r="Z2262" s="1063"/>
      <c r="AA2262" s="1063"/>
      <c r="AB2262" s="1063"/>
      <c r="AC2262" s="1063"/>
      <c r="AD2262" s="1063"/>
      <c r="AE2262" s="1063"/>
      <c r="AF2262" s="1063"/>
      <c r="AG2262" s="1063"/>
      <c r="AH2262" s="1063"/>
      <c r="AI2262" s="1063"/>
      <c r="AJ2262" s="1063"/>
      <c r="AK2262" s="1063"/>
      <c r="AL2262" s="1063"/>
      <c r="AM2262" s="1063"/>
      <c r="AN2262" s="1063"/>
      <c r="AO2262" s="1063"/>
      <c r="AP2262" s="1063"/>
      <c r="AQ2262" s="1063"/>
      <c r="AR2262" s="1063"/>
      <c r="AS2262" s="1063"/>
      <c r="AT2262" s="1063"/>
      <c r="AU2262" s="1063"/>
      <c r="AV2262" s="1063"/>
    </row>
    <row r="2263" spans="1:48" s="1108" customFormat="1" ht="27.75" customHeight="1">
      <c r="A2263" s="1076"/>
      <c r="B2263" s="1074">
        <f>+'[18]Bldg+Dev'!S3075</f>
        <v>0</v>
      </c>
      <c r="D2263" s="1063"/>
      <c r="F2263" s="1076"/>
      <c r="G2263" s="1063"/>
      <c r="H2263" s="1063"/>
      <c r="I2263" s="1063"/>
      <c r="J2263" s="1063"/>
      <c r="K2263" s="1063"/>
      <c r="L2263" s="1063"/>
      <c r="M2263" s="1063"/>
      <c r="N2263" s="1063"/>
      <c r="O2263" s="1063"/>
      <c r="P2263" s="1063"/>
      <c r="Q2263" s="1063"/>
      <c r="R2263" s="1063"/>
      <c r="S2263" s="1063"/>
      <c r="T2263" s="1063"/>
      <c r="U2263" s="1063"/>
      <c r="V2263" s="1063"/>
      <c r="W2263" s="1063"/>
      <c r="X2263" s="1063"/>
      <c r="Y2263" s="1063"/>
      <c r="Z2263" s="1063"/>
      <c r="AA2263" s="1063"/>
      <c r="AB2263" s="1063"/>
      <c r="AC2263" s="1063"/>
      <c r="AD2263" s="1063"/>
      <c r="AE2263" s="1063"/>
      <c r="AF2263" s="1063"/>
      <c r="AG2263" s="1063"/>
      <c r="AH2263" s="1063"/>
      <c r="AI2263" s="1063"/>
      <c r="AJ2263" s="1063"/>
      <c r="AK2263" s="1063"/>
      <c r="AL2263" s="1063"/>
      <c r="AM2263" s="1063"/>
      <c r="AN2263" s="1063"/>
      <c r="AO2263" s="1063"/>
      <c r="AP2263" s="1063"/>
      <c r="AQ2263" s="1063"/>
      <c r="AR2263" s="1063"/>
      <c r="AS2263" s="1063"/>
      <c r="AT2263" s="1063"/>
      <c r="AU2263" s="1063"/>
      <c r="AV2263" s="1063"/>
    </row>
    <row r="2264" spans="1:48" s="1108" customFormat="1" ht="27.75" customHeight="1">
      <c r="A2264" s="1076"/>
      <c r="B2264" s="1074">
        <f>+'[18]Bldg+Dev'!S3076</f>
        <v>0</v>
      </c>
      <c r="D2264" s="1063"/>
      <c r="F2264" s="1076"/>
      <c r="G2264" s="1063"/>
      <c r="H2264" s="1063"/>
      <c r="I2264" s="1063"/>
      <c r="J2264" s="1063"/>
      <c r="K2264" s="1063"/>
      <c r="L2264" s="1063"/>
      <c r="M2264" s="1063"/>
      <c r="N2264" s="1063"/>
      <c r="O2264" s="1063"/>
      <c r="P2264" s="1063"/>
      <c r="Q2264" s="1063"/>
      <c r="R2264" s="1063"/>
      <c r="S2264" s="1063"/>
      <c r="T2264" s="1063"/>
      <c r="U2264" s="1063"/>
      <c r="V2264" s="1063"/>
      <c r="W2264" s="1063"/>
      <c r="X2264" s="1063"/>
      <c r="Y2264" s="1063"/>
      <c r="Z2264" s="1063"/>
      <c r="AA2264" s="1063"/>
      <c r="AB2264" s="1063"/>
      <c r="AC2264" s="1063"/>
      <c r="AD2264" s="1063"/>
      <c r="AE2264" s="1063"/>
      <c r="AF2264" s="1063"/>
      <c r="AG2264" s="1063"/>
      <c r="AH2264" s="1063"/>
      <c r="AI2264" s="1063"/>
      <c r="AJ2264" s="1063"/>
      <c r="AK2264" s="1063"/>
      <c r="AL2264" s="1063"/>
      <c r="AM2264" s="1063"/>
      <c r="AN2264" s="1063"/>
      <c r="AO2264" s="1063"/>
      <c r="AP2264" s="1063"/>
      <c r="AQ2264" s="1063"/>
      <c r="AR2264" s="1063"/>
      <c r="AS2264" s="1063"/>
      <c r="AT2264" s="1063"/>
      <c r="AU2264" s="1063"/>
      <c r="AV2264" s="1063"/>
    </row>
    <row r="2265" spans="1:48" s="1108" customFormat="1" ht="27.75" customHeight="1">
      <c r="A2265" s="1076"/>
      <c r="B2265" s="1074">
        <f>+'[18]Bldg+Dev'!S3077</f>
        <v>0</v>
      </c>
      <c r="D2265" s="1063"/>
      <c r="F2265" s="1076"/>
      <c r="G2265" s="1063"/>
      <c r="H2265" s="1063"/>
      <c r="I2265" s="1063"/>
      <c r="J2265" s="1063"/>
      <c r="K2265" s="1063"/>
      <c r="L2265" s="1063"/>
      <c r="M2265" s="1063"/>
      <c r="N2265" s="1063"/>
      <c r="O2265" s="1063"/>
      <c r="P2265" s="1063"/>
      <c r="Q2265" s="1063"/>
      <c r="R2265" s="1063"/>
      <c r="S2265" s="1063"/>
      <c r="T2265" s="1063"/>
      <c r="U2265" s="1063"/>
      <c r="V2265" s="1063"/>
      <c r="W2265" s="1063"/>
      <c r="X2265" s="1063"/>
      <c r="Y2265" s="1063"/>
      <c r="Z2265" s="1063"/>
      <c r="AA2265" s="1063"/>
      <c r="AB2265" s="1063"/>
      <c r="AC2265" s="1063"/>
      <c r="AD2265" s="1063"/>
      <c r="AE2265" s="1063"/>
      <c r="AF2265" s="1063"/>
      <c r="AG2265" s="1063"/>
      <c r="AH2265" s="1063"/>
      <c r="AI2265" s="1063"/>
      <c r="AJ2265" s="1063"/>
      <c r="AK2265" s="1063"/>
      <c r="AL2265" s="1063"/>
      <c r="AM2265" s="1063"/>
      <c r="AN2265" s="1063"/>
      <c r="AO2265" s="1063"/>
      <c r="AP2265" s="1063"/>
      <c r="AQ2265" s="1063"/>
      <c r="AR2265" s="1063"/>
      <c r="AS2265" s="1063"/>
      <c r="AT2265" s="1063"/>
      <c r="AU2265" s="1063"/>
      <c r="AV2265" s="1063"/>
    </row>
    <row r="2266" spans="1:48" s="1108" customFormat="1" ht="27.75" customHeight="1">
      <c r="A2266" s="1076"/>
      <c r="B2266" s="1074">
        <f>+'[18]Bldg+Dev'!S3078</f>
        <v>0</v>
      </c>
      <c r="D2266" s="1063"/>
      <c r="F2266" s="1076"/>
      <c r="G2266" s="1063"/>
      <c r="H2266" s="1063"/>
      <c r="I2266" s="1063"/>
      <c r="J2266" s="1063"/>
      <c r="K2266" s="1063"/>
      <c r="L2266" s="1063"/>
      <c r="M2266" s="1063"/>
      <c r="N2266" s="1063"/>
      <c r="O2266" s="1063"/>
      <c r="P2266" s="1063"/>
      <c r="Q2266" s="1063"/>
      <c r="R2266" s="1063"/>
      <c r="S2266" s="1063"/>
      <c r="T2266" s="1063"/>
      <c r="U2266" s="1063"/>
      <c r="V2266" s="1063"/>
      <c r="W2266" s="1063"/>
      <c r="X2266" s="1063"/>
      <c r="Y2266" s="1063"/>
      <c r="Z2266" s="1063"/>
      <c r="AA2266" s="1063"/>
      <c r="AB2266" s="1063"/>
      <c r="AC2266" s="1063"/>
      <c r="AD2266" s="1063"/>
      <c r="AE2266" s="1063"/>
      <c r="AF2266" s="1063"/>
      <c r="AG2266" s="1063"/>
      <c r="AH2266" s="1063"/>
      <c r="AI2266" s="1063"/>
      <c r="AJ2266" s="1063"/>
      <c r="AK2266" s="1063"/>
      <c r="AL2266" s="1063"/>
      <c r="AM2266" s="1063"/>
      <c r="AN2266" s="1063"/>
      <c r="AO2266" s="1063"/>
      <c r="AP2266" s="1063"/>
      <c r="AQ2266" s="1063"/>
      <c r="AR2266" s="1063"/>
      <c r="AS2266" s="1063"/>
      <c r="AT2266" s="1063"/>
      <c r="AU2266" s="1063"/>
      <c r="AV2266" s="1063"/>
    </row>
    <row r="2267" spans="1:48" s="1108" customFormat="1" ht="27.75" customHeight="1">
      <c r="A2267" s="1076"/>
      <c r="B2267" s="1074">
        <f>+'[18]Bldg+Dev'!S3079</f>
        <v>0</v>
      </c>
      <c r="D2267" s="1063"/>
      <c r="F2267" s="1076"/>
      <c r="G2267" s="1063"/>
      <c r="H2267" s="1063"/>
      <c r="I2267" s="1063"/>
      <c r="J2267" s="1063"/>
      <c r="K2267" s="1063"/>
      <c r="L2267" s="1063"/>
      <c r="M2267" s="1063"/>
      <c r="N2267" s="1063"/>
      <c r="O2267" s="1063"/>
      <c r="P2267" s="1063"/>
      <c r="Q2267" s="1063"/>
      <c r="R2267" s="1063"/>
      <c r="S2267" s="1063"/>
      <c r="T2267" s="1063"/>
      <c r="U2267" s="1063"/>
      <c r="V2267" s="1063"/>
      <c r="W2267" s="1063"/>
      <c r="X2267" s="1063"/>
      <c r="Y2267" s="1063"/>
      <c r="Z2267" s="1063"/>
      <c r="AA2267" s="1063"/>
      <c r="AB2267" s="1063"/>
      <c r="AC2267" s="1063"/>
      <c r="AD2267" s="1063"/>
      <c r="AE2267" s="1063"/>
      <c r="AF2267" s="1063"/>
      <c r="AG2267" s="1063"/>
      <c r="AH2267" s="1063"/>
      <c r="AI2267" s="1063"/>
      <c r="AJ2267" s="1063"/>
      <c r="AK2267" s="1063"/>
      <c r="AL2267" s="1063"/>
      <c r="AM2267" s="1063"/>
      <c r="AN2267" s="1063"/>
      <c r="AO2267" s="1063"/>
      <c r="AP2267" s="1063"/>
      <c r="AQ2267" s="1063"/>
      <c r="AR2267" s="1063"/>
      <c r="AS2267" s="1063"/>
      <c r="AT2267" s="1063"/>
      <c r="AU2267" s="1063"/>
      <c r="AV2267" s="1063"/>
    </row>
    <row r="2268" spans="1:48" s="1108" customFormat="1" ht="27.75" customHeight="1">
      <c r="A2268" s="1076"/>
      <c r="B2268" s="1074">
        <f>+'[18]Bldg+Dev'!S3080</f>
        <v>0</v>
      </c>
      <c r="D2268" s="1063"/>
      <c r="F2268" s="1076"/>
      <c r="G2268" s="1063"/>
      <c r="H2268" s="1063"/>
      <c r="I2268" s="1063"/>
      <c r="J2268" s="1063"/>
      <c r="K2268" s="1063"/>
      <c r="L2268" s="1063"/>
      <c r="M2268" s="1063"/>
      <c r="N2268" s="1063"/>
      <c r="O2268" s="1063"/>
      <c r="P2268" s="1063"/>
      <c r="Q2268" s="1063"/>
      <c r="R2268" s="1063"/>
      <c r="S2268" s="1063"/>
      <c r="T2268" s="1063"/>
      <c r="U2268" s="1063"/>
      <c r="V2268" s="1063"/>
      <c r="W2268" s="1063"/>
      <c r="X2268" s="1063"/>
      <c r="Y2268" s="1063"/>
      <c r="Z2268" s="1063"/>
      <c r="AA2268" s="1063"/>
      <c r="AB2268" s="1063"/>
      <c r="AC2268" s="1063"/>
      <c r="AD2268" s="1063"/>
      <c r="AE2268" s="1063"/>
      <c r="AF2268" s="1063"/>
      <c r="AG2268" s="1063"/>
      <c r="AH2268" s="1063"/>
      <c r="AI2268" s="1063"/>
      <c r="AJ2268" s="1063"/>
      <c r="AK2268" s="1063"/>
      <c r="AL2268" s="1063"/>
      <c r="AM2268" s="1063"/>
      <c r="AN2268" s="1063"/>
      <c r="AO2268" s="1063"/>
      <c r="AP2268" s="1063"/>
      <c r="AQ2268" s="1063"/>
      <c r="AR2268" s="1063"/>
      <c r="AS2268" s="1063"/>
      <c r="AT2268" s="1063"/>
      <c r="AU2268" s="1063"/>
      <c r="AV2268" s="1063"/>
    </row>
    <row r="2269" spans="1:48" s="1108" customFormat="1" ht="27.75" customHeight="1">
      <c r="A2269" s="1076"/>
      <c r="B2269" s="1074">
        <f>+'[18]Bldg+Dev'!S3081</f>
        <v>0</v>
      </c>
      <c r="D2269" s="1063"/>
      <c r="F2269" s="1076"/>
      <c r="G2269" s="1063"/>
      <c r="H2269" s="1063"/>
      <c r="I2269" s="1063"/>
      <c r="J2269" s="1063"/>
      <c r="K2269" s="1063"/>
      <c r="L2269" s="1063"/>
      <c r="M2269" s="1063"/>
      <c r="N2269" s="1063"/>
      <c r="O2269" s="1063"/>
      <c r="P2269" s="1063"/>
      <c r="Q2269" s="1063"/>
      <c r="R2269" s="1063"/>
      <c r="S2269" s="1063"/>
      <c r="T2269" s="1063"/>
      <c r="U2269" s="1063"/>
      <c r="V2269" s="1063"/>
      <c r="W2269" s="1063"/>
      <c r="X2269" s="1063"/>
      <c r="Y2269" s="1063"/>
      <c r="Z2269" s="1063"/>
      <c r="AA2269" s="1063"/>
      <c r="AB2269" s="1063"/>
      <c r="AC2269" s="1063"/>
      <c r="AD2269" s="1063"/>
      <c r="AE2269" s="1063"/>
      <c r="AF2269" s="1063"/>
      <c r="AG2269" s="1063"/>
      <c r="AH2269" s="1063"/>
      <c r="AI2269" s="1063"/>
      <c r="AJ2269" s="1063"/>
      <c r="AK2269" s="1063"/>
      <c r="AL2269" s="1063"/>
      <c r="AM2269" s="1063"/>
      <c r="AN2269" s="1063"/>
      <c r="AO2269" s="1063"/>
      <c r="AP2269" s="1063"/>
      <c r="AQ2269" s="1063"/>
      <c r="AR2269" s="1063"/>
      <c r="AS2269" s="1063"/>
      <c r="AT2269" s="1063"/>
      <c r="AU2269" s="1063"/>
      <c r="AV2269" s="1063"/>
    </row>
    <row r="2270" spans="1:48" s="1108" customFormat="1" ht="27.75" customHeight="1">
      <c r="A2270" s="1076"/>
      <c r="B2270" s="1074">
        <f>+'[18]Bldg+Dev'!S3082</f>
        <v>0</v>
      </c>
      <c r="D2270" s="1063"/>
      <c r="F2270" s="1076"/>
      <c r="G2270" s="1063"/>
      <c r="H2270" s="1063"/>
      <c r="I2270" s="1063"/>
      <c r="J2270" s="1063"/>
      <c r="K2270" s="1063"/>
      <c r="L2270" s="1063"/>
      <c r="M2270" s="1063"/>
      <c r="N2270" s="1063"/>
      <c r="O2270" s="1063"/>
      <c r="P2270" s="1063"/>
      <c r="Q2270" s="1063"/>
      <c r="R2270" s="1063"/>
      <c r="S2270" s="1063"/>
      <c r="T2270" s="1063"/>
      <c r="U2270" s="1063"/>
      <c r="V2270" s="1063"/>
      <c r="W2270" s="1063"/>
      <c r="X2270" s="1063"/>
      <c r="Y2270" s="1063"/>
      <c r="Z2270" s="1063"/>
      <c r="AA2270" s="1063"/>
      <c r="AB2270" s="1063"/>
      <c r="AC2270" s="1063"/>
      <c r="AD2270" s="1063"/>
      <c r="AE2270" s="1063"/>
      <c r="AF2270" s="1063"/>
      <c r="AG2270" s="1063"/>
      <c r="AH2270" s="1063"/>
      <c r="AI2270" s="1063"/>
      <c r="AJ2270" s="1063"/>
      <c r="AK2270" s="1063"/>
      <c r="AL2270" s="1063"/>
      <c r="AM2270" s="1063"/>
      <c r="AN2270" s="1063"/>
      <c r="AO2270" s="1063"/>
      <c r="AP2270" s="1063"/>
      <c r="AQ2270" s="1063"/>
      <c r="AR2270" s="1063"/>
      <c r="AS2270" s="1063"/>
      <c r="AT2270" s="1063"/>
      <c r="AU2270" s="1063"/>
      <c r="AV2270" s="1063"/>
    </row>
    <row r="2271" spans="1:48" s="1108" customFormat="1" ht="27.75" customHeight="1">
      <c r="A2271" s="1076"/>
      <c r="B2271" s="1074">
        <f>+'[18]Bldg+Dev'!S3083</f>
        <v>0</v>
      </c>
      <c r="D2271" s="1063"/>
      <c r="F2271" s="1076"/>
      <c r="G2271" s="1063"/>
      <c r="H2271" s="1063"/>
      <c r="I2271" s="1063"/>
      <c r="J2271" s="1063"/>
      <c r="K2271" s="1063"/>
      <c r="L2271" s="1063"/>
      <c r="M2271" s="1063"/>
      <c r="N2271" s="1063"/>
      <c r="O2271" s="1063"/>
      <c r="P2271" s="1063"/>
      <c r="Q2271" s="1063"/>
      <c r="R2271" s="1063"/>
      <c r="S2271" s="1063"/>
      <c r="T2271" s="1063"/>
      <c r="U2271" s="1063"/>
      <c r="V2271" s="1063"/>
      <c r="W2271" s="1063"/>
      <c r="X2271" s="1063"/>
      <c r="Y2271" s="1063"/>
      <c r="Z2271" s="1063"/>
      <c r="AA2271" s="1063"/>
      <c r="AB2271" s="1063"/>
      <c r="AC2271" s="1063"/>
      <c r="AD2271" s="1063"/>
      <c r="AE2271" s="1063"/>
      <c r="AF2271" s="1063"/>
      <c r="AG2271" s="1063"/>
      <c r="AH2271" s="1063"/>
      <c r="AI2271" s="1063"/>
      <c r="AJ2271" s="1063"/>
      <c r="AK2271" s="1063"/>
      <c r="AL2271" s="1063"/>
      <c r="AM2271" s="1063"/>
      <c r="AN2271" s="1063"/>
      <c r="AO2271" s="1063"/>
      <c r="AP2271" s="1063"/>
      <c r="AQ2271" s="1063"/>
      <c r="AR2271" s="1063"/>
      <c r="AS2271" s="1063"/>
      <c r="AT2271" s="1063"/>
      <c r="AU2271" s="1063"/>
      <c r="AV2271" s="1063"/>
    </row>
    <row r="2272" spans="1:48" s="1108" customFormat="1" ht="27.75" customHeight="1">
      <c r="A2272" s="1076"/>
      <c r="B2272" s="1074">
        <f>+'[18]Bldg+Dev'!S3084</f>
        <v>0</v>
      </c>
      <c r="D2272" s="1063"/>
      <c r="F2272" s="1076"/>
      <c r="G2272" s="1063"/>
      <c r="H2272" s="1063"/>
      <c r="I2272" s="1063"/>
      <c r="J2272" s="1063"/>
      <c r="K2272" s="1063"/>
      <c r="L2272" s="1063"/>
      <c r="M2272" s="1063"/>
      <c r="N2272" s="1063"/>
      <c r="O2272" s="1063"/>
      <c r="P2272" s="1063"/>
      <c r="Q2272" s="1063"/>
      <c r="R2272" s="1063"/>
      <c r="S2272" s="1063"/>
      <c r="T2272" s="1063"/>
      <c r="U2272" s="1063"/>
      <c r="V2272" s="1063"/>
      <c r="W2272" s="1063"/>
      <c r="X2272" s="1063"/>
      <c r="Y2272" s="1063"/>
      <c r="Z2272" s="1063"/>
      <c r="AA2272" s="1063"/>
      <c r="AB2272" s="1063"/>
      <c r="AC2272" s="1063"/>
      <c r="AD2272" s="1063"/>
      <c r="AE2272" s="1063"/>
      <c r="AF2272" s="1063"/>
      <c r="AG2272" s="1063"/>
      <c r="AH2272" s="1063"/>
      <c r="AI2272" s="1063"/>
      <c r="AJ2272" s="1063"/>
      <c r="AK2272" s="1063"/>
      <c r="AL2272" s="1063"/>
      <c r="AM2272" s="1063"/>
      <c r="AN2272" s="1063"/>
      <c r="AO2272" s="1063"/>
      <c r="AP2272" s="1063"/>
      <c r="AQ2272" s="1063"/>
      <c r="AR2272" s="1063"/>
      <c r="AS2272" s="1063"/>
      <c r="AT2272" s="1063"/>
      <c r="AU2272" s="1063"/>
      <c r="AV2272" s="1063"/>
    </row>
    <row r="2273" spans="1:48" s="1108" customFormat="1" ht="27.75" customHeight="1">
      <c r="A2273" s="1076"/>
      <c r="B2273" s="1074">
        <f>+'[18]Bldg+Dev'!S3085</f>
        <v>0</v>
      </c>
      <c r="D2273" s="1063"/>
      <c r="F2273" s="1076"/>
      <c r="G2273" s="1063"/>
      <c r="H2273" s="1063"/>
      <c r="I2273" s="1063"/>
      <c r="J2273" s="1063"/>
      <c r="K2273" s="1063"/>
      <c r="L2273" s="1063"/>
      <c r="M2273" s="1063"/>
      <c r="N2273" s="1063"/>
      <c r="O2273" s="1063"/>
      <c r="P2273" s="1063"/>
      <c r="Q2273" s="1063"/>
      <c r="R2273" s="1063"/>
      <c r="S2273" s="1063"/>
      <c r="T2273" s="1063"/>
      <c r="U2273" s="1063"/>
      <c r="V2273" s="1063"/>
      <c r="W2273" s="1063"/>
      <c r="X2273" s="1063"/>
      <c r="Y2273" s="1063"/>
      <c r="Z2273" s="1063"/>
      <c r="AA2273" s="1063"/>
      <c r="AB2273" s="1063"/>
      <c r="AC2273" s="1063"/>
      <c r="AD2273" s="1063"/>
      <c r="AE2273" s="1063"/>
      <c r="AF2273" s="1063"/>
      <c r="AG2273" s="1063"/>
      <c r="AH2273" s="1063"/>
      <c r="AI2273" s="1063"/>
      <c r="AJ2273" s="1063"/>
      <c r="AK2273" s="1063"/>
      <c r="AL2273" s="1063"/>
      <c r="AM2273" s="1063"/>
      <c r="AN2273" s="1063"/>
      <c r="AO2273" s="1063"/>
      <c r="AP2273" s="1063"/>
      <c r="AQ2273" s="1063"/>
      <c r="AR2273" s="1063"/>
      <c r="AS2273" s="1063"/>
      <c r="AT2273" s="1063"/>
      <c r="AU2273" s="1063"/>
      <c r="AV2273" s="1063"/>
    </row>
    <row r="2274" spans="1:48" s="1108" customFormat="1" ht="27.75" customHeight="1">
      <c r="A2274" s="1076"/>
      <c r="B2274" s="1074">
        <f>+'[18]Bldg+Dev'!S3086</f>
        <v>0</v>
      </c>
      <c r="D2274" s="1063"/>
      <c r="F2274" s="1076"/>
      <c r="G2274" s="1063"/>
      <c r="H2274" s="1063"/>
      <c r="I2274" s="1063"/>
      <c r="J2274" s="1063"/>
      <c r="K2274" s="1063"/>
      <c r="L2274" s="1063"/>
      <c r="M2274" s="1063"/>
      <c r="N2274" s="1063"/>
      <c r="O2274" s="1063"/>
      <c r="P2274" s="1063"/>
      <c r="Q2274" s="1063"/>
      <c r="R2274" s="1063"/>
      <c r="S2274" s="1063"/>
      <c r="T2274" s="1063"/>
      <c r="U2274" s="1063"/>
      <c r="V2274" s="1063"/>
      <c r="W2274" s="1063"/>
      <c r="X2274" s="1063"/>
      <c r="Y2274" s="1063"/>
      <c r="Z2274" s="1063"/>
      <c r="AA2274" s="1063"/>
      <c r="AB2274" s="1063"/>
      <c r="AC2274" s="1063"/>
      <c r="AD2274" s="1063"/>
      <c r="AE2274" s="1063"/>
      <c r="AF2274" s="1063"/>
      <c r="AG2274" s="1063"/>
      <c r="AH2274" s="1063"/>
      <c r="AI2274" s="1063"/>
      <c r="AJ2274" s="1063"/>
      <c r="AK2274" s="1063"/>
      <c r="AL2274" s="1063"/>
      <c r="AM2274" s="1063"/>
      <c r="AN2274" s="1063"/>
      <c r="AO2274" s="1063"/>
      <c r="AP2274" s="1063"/>
      <c r="AQ2274" s="1063"/>
      <c r="AR2274" s="1063"/>
      <c r="AS2274" s="1063"/>
      <c r="AT2274" s="1063"/>
      <c r="AU2274" s="1063"/>
      <c r="AV2274" s="1063"/>
    </row>
    <row r="2275" spans="1:48" s="1108" customFormat="1" ht="27.75" customHeight="1">
      <c r="A2275" s="1076"/>
      <c r="B2275" s="1074">
        <f>+'[18]Bldg+Dev'!S3087</f>
        <v>0</v>
      </c>
      <c r="D2275" s="1063"/>
      <c r="F2275" s="1076"/>
      <c r="G2275" s="1063"/>
      <c r="H2275" s="1063"/>
      <c r="I2275" s="1063"/>
      <c r="J2275" s="1063"/>
      <c r="K2275" s="1063"/>
      <c r="L2275" s="1063"/>
      <c r="M2275" s="1063"/>
      <c r="N2275" s="1063"/>
      <c r="O2275" s="1063"/>
      <c r="P2275" s="1063"/>
      <c r="Q2275" s="1063"/>
      <c r="R2275" s="1063"/>
      <c r="S2275" s="1063"/>
      <c r="T2275" s="1063"/>
      <c r="U2275" s="1063"/>
      <c r="V2275" s="1063"/>
      <c r="W2275" s="1063"/>
      <c r="X2275" s="1063"/>
      <c r="Y2275" s="1063"/>
      <c r="Z2275" s="1063"/>
      <c r="AA2275" s="1063"/>
      <c r="AB2275" s="1063"/>
      <c r="AC2275" s="1063"/>
      <c r="AD2275" s="1063"/>
      <c r="AE2275" s="1063"/>
      <c r="AF2275" s="1063"/>
      <c r="AG2275" s="1063"/>
      <c r="AH2275" s="1063"/>
      <c r="AI2275" s="1063"/>
      <c r="AJ2275" s="1063"/>
      <c r="AK2275" s="1063"/>
      <c r="AL2275" s="1063"/>
      <c r="AM2275" s="1063"/>
      <c r="AN2275" s="1063"/>
      <c r="AO2275" s="1063"/>
      <c r="AP2275" s="1063"/>
      <c r="AQ2275" s="1063"/>
      <c r="AR2275" s="1063"/>
      <c r="AS2275" s="1063"/>
      <c r="AT2275" s="1063"/>
      <c r="AU2275" s="1063"/>
      <c r="AV2275" s="1063"/>
    </row>
    <row r="2276" spans="1:48" s="1108" customFormat="1" ht="27.75" customHeight="1">
      <c r="A2276" s="1076"/>
      <c r="B2276" s="1074">
        <f>+'[18]Bldg+Dev'!S3088</f>
        <v>0</v>
      </c>
      <c r="D2276" s="1063"/>
      <c r="F2276" s="1076"/>
      <c r="G2276" s="1063"/>
      <c r="H2276" s="1063"/>
      <c r="I2276" s="1063"/>
      <c r="J2276" s="1063"/>
      <c r="K2276" s="1063"/>
      <c r="L2276" s="1063"/>
      <c r="M2276" s="1063"/>
      <c r="N2276" s="1063"/>
      <c r="O2276" s="1063"/>
      <c r="P2276" s="1063"/>
      <c r="Q2276" s="1063"/>
      <c r="R2276" s="1063"/>
      <c r="S2276" s="1063"/>
      <c r="T2276" s="1063"/>
      <c r="U2276" s="1063"/>
      <c r="V2276" s="1063"/>
      <c r="W2276" s="1063"/>
      <c r="X2276" s="1063"/>
      <c r="Y2276" s="1063"/>
      <c r="Z2276" s="1063"/>
      <c r="AA2276" s="1063"/>
      <c r="AB2276" s="1063"/>
      <c r="AC2276" s="1063"/>
      <c r="AD2276" s="1063"/>
      <c r="AE2276" s="1063"/>
      <c r="AF2276" s="1063"/>
      <c r="AG2276" s="1063"/>
      <c r="AH2276" s="1063"/>
      <c r="AI2276" s="1063"/>
      <c r="AJ2276" s="1063"/>
      <c r="AK2276" s="1063"/>
      <c r="AL2276" s="1063"/>
      <c r="AM2276" s="1063"/>
      <c r="AN2276" s="1063"/>
      <c r="AO2276" s="1063"/>
      <c r="AP2276" s="1063"/>
      <c r="AQ2276" s="1063"/>
      <c r="AR2276" s="1063"/>
      <c r="AS2276" s="1063"/>
      <c r="AT2276" s="1063"/>
      <c r="AU2276" s="1063"/>
      <c r="AV2276" s="1063"/>
    </row>
    <row r="2277" spans="1:48" s="1108" customFormat="1" ht="27.75" customHeight="1">
      <c r="A2277" s="1076"/>
      <c r="B2277" s="1074">
        <f>+'[18]Bldg+Dev'!S3089</f>
        <v>0</v>
      </c>
      <c r="D2277" s="1063"/>
      <c r="F2277" s="1076"/>
      <c r="G2277" s="1063"/>
      <c r="H2277" s="1063"/>
      <c r="I2277" s="1063"/>
      <c r="J2277" s="1063"/>
      <c r="K2277" s="1063"/>
      <c r="L2277" s="1063"/>
      <c r="M2277" s="1063"/>
      <c r="N2277" s="1063"/>
      <c r="O2277" s="1063"/>
      <c r="P2277" s="1063"/>
      <c r="Q2277" s="1063"/>
      <c r="R2277" s="1063"/>
      <c r="S2277" s="1063"/>
      <c r="T2277" s="1063"/>
      <c r="U2277" s="1063"/>
      <c r="V2277" s="1063"/>
      <c r="W2277" s="1063"/>
      <c r="X2277" s="1063"/>
      <c r="Y2277" s="1063"/>
      <c r="Z2277" s="1063"/>
      <c r="AA2277" s="1063"/>
      <c r="AB2277" s="1063"/>
      <c r="AC2277" s="1063"/>
      <c r="AD2277" s="1063"/>
      <c r="AE2277" s="1063"/>
      <c r="AF2277" s="1063"/>
      <c r="AG2277" s="1063"/>
      <c r="AH2277" s="1063"/>
      <c r="AI2277" s="1063"/>
      <c r="AJ2277" s="1063"/>
      <c r="AK2277" s="1063"/>
      <c r="AL2277" s="1063"/>
      <c r="AM2277" s="1063"/>
      <c r="AN2277" s="1063"/>
      <c r="AO2277" s="1063"/>
      <c r="AP2277" s="1063"/>
      <c r="AQ2277" s="1063"/>
      <c r="AR2277" s="1063"/>
      <c r="AS2277" s="1063"/>
      <c r="AT2277" s="1063"/>
      <c r="AU2277" s="1063"/>
      <c r="AV2277" s="1063"/>
    </row>
    <row r="2278" spans="1:48" s="1108" customFormat="1" ht="27.75" customHeight="1">
      <c r="A2278" s="1076"/>
      <c r="B2278" s="1074">
        <f>+'[18]Bldg+Dev'!S3090</f>
        <v>0</v>
      </c>
      <c r="D2278" s="1063"/>
      <c r="F2278" s="1076"/>
      <c r="G2278" s="1063"/>
      <c r="H2278" s="1063"/>
      <c r="I2278" s="1063"/>
      <c r="J2278" s="1063"/>
      <c r="K2278" s="1063"/>
      <c r="L2278" s="1063"/>
      <c r="M2278" s="1063"/>
      <c r="N2278" s="1063"/>
      <c r="O2278" s="1063"/>
      <c r="P2278" s="1063"/>
      <c r="Q2278" s="1063"/>
      <c r="R2278" s="1063"/>
      <c r="S2278" s="1063"/>
      <c r="T2278" s="1063"/>
      <c r="U2278" s="1063"/>
      <c r="V2278" s="1063"/>
      <c r="W2278" s="1063"/>
      <c r="X2278" s="1063"/>
      <c r="Y2278" s="1063"/>
      <c r="Z2278" s="1063"/>
      <c r="AA2278" s="1063"/>
      <c r="AB2278" s="1063"/>
      <c r="AC2278" s="1063"/>
      <c r="AD2278" s="1063"/>
      <c r="AE2278" s="1063"/>
      <c r="AF2278" s="1063"/>
      <c r="AG2278" s="1063"/>
      <c r="AH2278" s="1063"/>
      <c r="AI2278" s="1063"/>
      <c r="AJ2278" s="1063"/>
      <c r="AK2278" s="1063"/>
      <c r="AL2278" s="1063"/>
      <c r="AM2278" s="1063"/>
      <c r="AN2278" s="1063"/>
      <c r="AO2278" s="1063"/>
      <c r="AP2278" s="1063"/>
      <c r="AQ2278" s="1063"/>
      <c r="AR2278" s="1063"/>
      <c r="AS2278" s="1063"/>
      <c r="AT2278" s="1063"/>
      <c r="AU2278" s="1063"/>
      <c r="AV2278" s="1063"/>
    </row>
    <row r="2279" spans="1:48" s="1108" customFormat="1" ht="27.75" customHeight="1">
      <c r="A2279" s="1076"/>
      <c r="B2279" s="1074">
        <f>+'[18]Bldg+Dev'!S3091</f>
        <v>0</v>
      </c>
      <c r="D2279" s="1063"/>
      <c r="F2279" s="1076"/>
      <c r="G2279" s="1063"/>
      <c r="H2279" s="1063"/>
      <c r="I2279" s="1063"/>
      <c r="J2279" s="1063"/>
      <c r="K2279" s="1063"/>
      <c r="L2279" s="1063"/>
      <c r="M2279" s="1063"/>
      <c r="N2279" s="1063"/>
      <c r="O2279" s="1063"/>
      <c r="P2279" s="1063"/>
      <c r="Q2279" s="1063"/>
      <c r="R2279" s="1063"/>
      <c r="S2279" s="1063"/>
      <c r="T2279" s="1063"/>
      <c r="U2279" s="1063"/>
      <c r="V2279" s="1063"/>
      <c r="W2279" s="1063"/>
      <c r="X2279" s="1063"/>
      <c r="Y2279" s="1063"/>
      <c r="Z2279" s="1063"/>
      <c r="AA2279" s="1063"/>
      <c r="AB2279" s="1063"/>
      <c r="AC2279" s="1063"/>
      <c r="AD2279" s="1063"/>
      <c r="AE2279" s="1063"/>
      <c r="AF2279" s="1063"/>
      <c r="AG2279" s="1063"/>
      <c r="AH2279" s="1063"/>
      <c r="AI2279" s="1063"/>
      <c r="AJ2279" s="1063"/>
      <c r="AK2279" s="1063"/>
      <c r="AL2279" s="1063"/>
      <c r="AM2279" s="1063"/>
      <c r="AN2279" s="1063"/>
      <c r="AO2279" s="1063"/>
      <c r="AP2279" s="1063"/>
      <c r="AQ2279" s="1063"/>
      <c r="AR2279" s="1063"/>
      <c r="AS2279" s="1063"/>
      <c r="AT2279" s="1063"/>
      <c r="AU2279" s="1063"/>
      <c r="AV2279" s="1063"/>
    </row>
    <row r="2280" spans="1:48" s="1108" customFormat="1" ht="27.75" customHeight="1">
      <c r="A2280" s="1076"/>
      <c r="B2280" s="1074">
        <f>+'[18]Bldg+Dev'!S3092</f>
        <v>0</v>
      </c>
      <c r="D2280" s="1063"/>
      <c r="F2280" s="1076"/>
      <c r="G2280" s="1063"/>
      <c r="H2280" s="1063"/>
      <c r="I2280" s="1063"/>
      <c r="J2280" s="1063"/>
      <c r="K2280" s="1063"/>
      <c r="L2280" s="1063"/>
      <c r="M2280" s="1063"/>
      <c r="N2280" s="1063"/>
      <c r="O2280" s="1063"/>
      <c r="P2280" s="1063"/>
      <c r="Q2280" s="1063"/>
      <c r="R2280" s="1063"/>
      <c r="S2280" s="1063"/>
      <c r="T2280" s="1063"/>
      <c r="U2280" s="1063"/>
      <c r="V2280" s="1063"/>
      <c r="W2280" s="1063"/>
      <c r="X2280" s="1063"/>
      <c r="Y2280" s="1063"/>
      <c r="Z2280" s="1063"/>
      <c r="AA2280" s="1063"/>
      <c r="AB2280" s="1063"/>
      <c r="AC2280" s="1063"/>
      <c r="AD2280" s="1063"/>
      <c r="AE2280" s="1063"/>
      <c r="AF2280" s="1063"/>
      <c r="AG2280" s="1063"/>
      <c r="AH2280" s="1063"/>
      <c r="AI2280" s="1063"/>
      <c r="AJ2280" s="1063"/>
      <c r="AK2280" s="1063"/>
      <c r="AL2280" s="1063"/>
      <c r="AM2280" s="1063"/>
      <c r="AN2280" s="1063"/>
      <c r="AO2280" s="1063"/>
      <c r="AP2280" s="1063"/>
      <c r="AQ2280" s="1063"/>
      <c r="AR2280" s="1063"/>
      <c r="AS2280" s="1063"/>
      <c r="AT2280" s="1063"/>
      <c r="AU2280" s="1063"/>
      <c r="AV2280" s="1063"/>
    </row>
    <row r="2281" spans="1:48" s="1108" customFormat="1" ht="27.75" customHeight="1">
      <c r="A2281" s="1076"/>
      <c r="B2281" s="1074">
        <f>+'[18]Bldg+Dev'!S3093</f>
        <v>0</v>
      </c>
      <c r="D2281" s="1063"/>
      <c r="F2281" s="1076"/>
      <c r="G2281" s="1063"/>
      <c r="H2281" s="1063"/>
      <c r="I2281" s="1063"/>
      <c r="J2281" s="1063"/>
      <c r="K2281" s="1063"/>
      <c r="L2281" s="1063"/>
      <c r="M2281" s="1063"/>
      <c r="N2281" s="1063"/>
      <c r="O2281" s="1063"/>
      <c r="P2281" s="1063"/>
      <c r="Q2281" s="1063"/>
      <c r="R2281" s="1063"/>
      <c r="S2281" s="1063"/>
      <c r="T2281" s="1063"/>
      <c r="U2281" s="1063"/>
      <c r="V2281" s="1063"/>
      <c r="W2281" s="1063"/>
      <c r="X2281" s="1063"/>
      <c r="Y2281" s="1063"/>
      <c r="Z2281" s="1063"/>
      <c r="AA2281" s="1063"/>
      <c r="AB2281" s="1063"/>
      <c r="AC2281" s="1063"/>
      <c r="AD2281" s="1063"/>
      <c r="AE2281" s="1063"/>
      <c r="AF2281" s="1063"/>
      <c r="AG2281" s="1063"/>
      <c r="AH2281" s="1063"/>
      <c r="AI2281" s="1063"/>
      <c r="AJ2281" s="1063"/>
      <c r="AK2281" s="1063"/>
      <c r="AL2281" s="1063"/>
      <c r="AM2281" s="1063"/>
      <c r="AN2281" s="1063"/>
      <c r="AO2281" s="1063"/>
      <c r="AP2281" s="1063"/>
      <c r="AQ2281" s="1063"/>
      <c r="AR2281" s="1063"/>
      <c r="AS2281" s="1063"/>
      <c r="AT2281" s="1063"/>
      <c r="AU2281" s="1063"/>
      <c r="AV2281" s="1063"/>
    </row>
    <row r="2282" spans="1:48" s="1108" customFormat="1" ht="27.75" customHeight="1">
      <c r="A2282" s="1076"/>
      <c r="B2282" s="1074">
        <f>+'[18]Bldg+Dev'!S3094</f>
        <v>0</v>
      </c>
      <c r="D2282" s="1063"/>
      <c r="F2282" s="1076"/>
      <c r="G2282" s="1063"/>
      <c r="H2282" s="1063"/>
      <c r="I2282" s="1063"/>
      <c r="J2282" s="1063"/>
      <c r="K2282" s="1063"/>
      <c r="L2282" s="1063"/>
      <c r="M2282" s="1063"/>
      <c r="N2282" s="1063"/>
      <c r="O2282" s="1063"/>
      <c r="P2282" s="1063"/>
      <c r="Q2282" s="1063"/>
      <c r="R2282" s="1063"/>
      <c r="S2282" s="1063"/>
      <c r="T2282" s="1063"/>
      <c r="U2282" s="1063"/>
      <c r="V2282" s="1063"/>
      <c r="W2282" s="1063"/>
      <c r="X2282" s="1063"/>
      <c r="Y2282" s="1063"/>
      <c r="Z2282" s="1063"/>
      <c r="AA2282" s="1063"/>
      <c r="AB2282" s="1063"/>
      <c r="AC2282" s="1063"/>
      <c r="AD2282" s="1063"/>
      <c r="AE2282" s="1063"/>
      <c r="AF2282" s="1063"/>
      <c r="AG2282" s="1063"/>
      <c r="AH2282" s="1063"/>
      <c r="AI2282" s="1063"/>
      <c r="AJ2282" s="1063"/>
      <c r="AK2282" s="1063"/>
      <c r="AL2282" s="1063"/>
      <c r="AM2282" s="1063"/>
      <c r="AN2282" s="1063"/>
      <c r="AO2282" s="1063"/>
      <c r="AP2282" s="1063"/>
      <c r="AQ2282" s="1063"/>
      <c r="AR2282" s="1063"/>
      <c r="AS2282" s="1063"/>
      <c r="AT2282" s="1063"/>
      <c r="AU2282" s="1063"/>
      <c r="AV2282" s="1063"/>
    </row>
    <row r="2283" spans="1:48" s="1108" customFormat="1" ht="27.75" customHeight="1">
      <c r="A2283" s="1076"/>
      <c r="B2283" s="1074">
        <f>+'[18]Bldg+Dev'!S3095</f>
        <v>0</v>
      </c>
      <c r="D2283" s="1063"/>
      <c r="F2283" s="1076"/>
      <c r="G2283" s="1063"/>
      <c r="H2283" s="1063"/>
      <c r="I2283" s="1063"/>
      <c r="J2283" s="1063"/>
      <c r="K2283" s="1063"/>
      <c r="L2283" s="1063"/>
      <c r="M2283" s="1063"/>
      <c r="N2283" s="1063"/>
      <c r="O2283" s="1063"/>
      <c r="P2283" s="1063"/>
      <c r="Q2283" s="1063"/>
      <c r="R2283" s="1063"/>
      <c r="S2283" s="1063"/>
      <c r="T2283" s="1063"/>
      <c r="U2283" s="1063"/>
      <c r="V2283" s="1063"/>
      <c r="W2283" s="1063"/>
      <c r="X2283" s="1063"/>
      <c r="Y2283" s="1063"/>
      <c r="Z2283" s="1063"/>
      <c r="AA2283" s="1063"/>
      <c r="AB2283" s="1063"/>
      <c r="AC2283" s="1063"/>
      <c r="AD2283" s="1063"/>
      <c r="AE2283" s="1063"/>
      <c r="AF2283" s="1063"/>
      <c r="AG2283" s="1063"/>
      <c r="AH2283" s="1063"/>
      <c r="AI2283" s="1063"/>
      <c r="AJ2283" s="1063"/>
      <c r="AK2283" s="1063"/>
      <c r="AL2283" s="1063"/>
      <c r="AM2283" s="1063"/>
      <c r="AN2283" s="1063"/>
      <c r="AO2283" s="1063"/>
      <c r="AP2283" s="1063"/>
      <c r="AQ2283" s="1063"/>
      <c r="AR2283" s="1063"/>
      <c r="AS2283" s="1063"/>
      <c r="AT2283" s="1063"/>
      <c r="AU2283" s="1063"/>
      <c r="AV2283" s="1063"/>
    </row>
    <row r="2284" spans="1:48" s="1108" customFormat="1" ht="27.75" customHeight="1">
      <c r="A2284" s="1076"/>
      <c r="B2284" s="1074">
        <f>+'[18]Bldg+Dev'!S3096</f>
        <v>0</v>
      </c>
      <c r="D2284" s="1063"/>
      <c r="F2284" s="1076"/>
      <c r="G2284" s="1063"/>
      <c r="H2284" s="1063"/>
      <c r="I2284" s="1063"/>
      <c r="J2284" s="1063"/>
      <c r="K2284" s="1063"/>
      <c r="L2284" s="1063"/>
      <c r="M2284" s="1063"/>
      <c r="N2284" s="1063"/>
      <c r="O2284" s="1063"/>
      <c r="P2284" s="1063"/>
      <c r="Q2284" s="1063"/>
      <c r="R2284" s="1063"/>
      <c r="S2284" s="1063"/>
      <c r="T2284" s="1063"/>
      <c r="U2284" s="1063"/>
      <c r="V2284" s="1063"/>
      <c r="W2284" s="1063"/>
      <c r="X2284" s="1063"/>
      <c r="Y2284" s="1063"/>
      <c r="Z2284" s="1063"/>
      <c r="AA2284" s="1063"/>
      <c r="AB2284" s="1063"/>
      <c r="AC2284" s="1063"/>
      <c r="AD2284" s="1063"/>
      <c r="AE2284" s="1063"/>
      <c r="AF2284" s="1063"/>
      <c r="AG2284" s="1063"/>
      <c r="AH2284" s="1063"/>
      <c r="AI2284" s="1063"/>
      <c r="AJ2284" s="1063"/>
      <c r="AK2284" s="1063"/>
      <c r="AL2284" s="1063"/>
      <c r="AM2284" s="1063"/>
      <c r="AN2284" s="1063"/>
      <c r="AO2284" s="1063"/>
      <c r="AP2284" s="1063"/>
      <c r="AQ2284" s="1063"/>
      <c r="AR2284" s="1063"/>
      <c r="AS2284" s="1063"/>
      <c r="AT2284" s="1063"/>
      <c r="AU2284" s="1063"/>
      <c r="AV2284" s="1063"/>
    </row>
    <row r="2285" spans="1:48" s="1108" customFormat="1" ht="27.75" customHeight="1">
      <c r="A2285" s="1076"/>
      <c r="B2285" s="1074">
        <f>+'[18]Bldg+Dev'!S3097</f>
        <v>0</v>
      </c>
      <c r="D2285" s="1063"/>
      <c r="F2285" s="1076"/>
      <c r="G2285" s="1063"/>
      <c r="H2285" s="1063"/>
      <c r="I2285" s="1063"/>
      <c r="J2285" s="1063"/>
      <c r="K2285" s="1063"/>
      <c r="L2285" s="1063"/>
      <c r="M2285" s="1063"/>
      <c r="N2285" s="1063"/>
      <c r="O2285" s="1063"/>
      <c r="P2285" s="1063"/>
      <c r="Q2285" s="1063"/>
      <c r="R2285" s="1063"/>
      <c r="S2285" s="1063"/>
      <c r="T2285" s="1063"/>
      <c r="U2285" s="1063"/>
      <c r="V2285" s="1063"/>
      <c r="W2285" s="1063"/>
      <c r="X2285" s="1063"/>
      <c r="Y2285" s="1063"/>
      <c r="Z2285" s="1063"/>
      <c r="AA2285" s="1063"/>
      <c r="AB2285" s="1063"/>
      <c r="AC2285" s="1063"/>
      <c r="AD2285" s="1063"/>
      <c r="AE2285" s="1063"/>
      <c r="AF2285" s="1063"/>
      <c r="AG2285" s="1063"/>
      <c r="AH2285" s="1063"/>
      <c r="AI2285" s="1063"/>
      <c r="AJ2285" s="1063"/>
      <c r="AK2285" s="1063"/>
      <c r="AL2285" s="1063"/>
      <c r="AM2285" s="1063"/>
      <c r="AN2285" s="1063"/>
      <c r="AO2285" s="1063"/>
      <c r="AP2285" s="1063"/>
      <c r="AQ2285" s="1063"/>
      <c r="AR2285" s="1063"/>
      <c r="AS2285" s="1063"/>
      <c r="AT2285" s="1063"/>
      <c r="AU2285" s="1063"/>
      <c r="AV2285" s="1063"/>
    </row>
    <row r="2286" spans="1:48" s="1108" customFormat="1" ht="27.75" customHeight="1">
      <c r="A2286" s="1076"/>
      <c r="B2286" s="1074">
        <f>+'[18]Bldg+Dev'!S3098</f>
        <v>0</v>
      </c>
      <c r="D2286" s="1063"/>
      <c r="F2286" s="1076"/>
      <c r="G2286" s="1063"/>
      <c r="H2286" s="1063"/>
      <c r="I2286" s="1063"/>
      <c r="J2286" s="1063"/>
      <c r="K2286" s="1063"/>
      <c r="L2286" s="1063"/>
      <c r="M2286" s="1063"/>
      <c r="N2286" s="1063"/>
      <c r="O2286" s="1063"/>
      <c r="P2286" s="1063"/>
      <c r="Q2286" s="1063"/>
      <c r="R2286" s="1063"/>
      <c r="S2286" s="1063"/>
      <c r="T2286" s="1063"/>
      <c r="U2286" s="1063"/>
      <c r="V2286" s="1063"/>
      <c r="W2286" s="1063"/>
      <c r="X2286" s="1063"/>
      <c r="Y2286" s="1063"/>
      <c r="Z2286" s="1063"/>
      <c r="AA2286" s="1063"/>
      <c r="AB2286" s="1063"/>
      <c r="AC2286" s="1063"/>
      <c r="AD2286" s="1063"/>
      <c r="AE2286" s="1063"/>
      <c r="AF2286" s="1063"/>
      <c r="AG2286" s="1063"/>
      <c r="AH2286" s="1063"/>
      <c r="AI2286" s="1063"/>
      <c r="AJ2286" s="1063"/>
      <c r="AK2286" s="1063"/>
      <c r="AL2286" s="1063"/>
      <c r="AM2286" s="1063"/>
      <c r="AN2286" s="1063"/>
      <c r="AO2286" s="1063"/>
      <c r="AP2286" s="1063"/>
      <c r="AQ2286" s="1063"/>
      <c r="AR2286" s="1063"/>
      <c r="AS2286" s="1063"/>
      <c r="AT2286" s="1063"/>
      <c r="AU2286" s="1063"/>
      <c r="AV2286" s="1063"/>
    </row>
    <row r="2287" spans="1:48" s="1108" customFormat="1" ht="27.75" customHeight="1">
      <c r="A2287" s="1076"/>
      <c r="B2287" s="1074">
        <f>+'[18]Bldg+Dev'!S3099</f>
        <v>0</v>
      </c>
      <c r="D2287" s="1063"/>
      <c r="F2287" s="1076"/>
      <c r="G2287" s="1063"/>
      <c r="H2287" s="1063"/>
      <c r="I2287" s="1063"/>
      <c r="J2287" s="1063"/>
      <c r="K2287" s="1063"/>
      <c r="L2287" s="1063"/>
      <c r="M2287" s="1063"/>
      <c r="N2287" s="1063"/>
      <c r="O2287" s="1063"/>
      <c r="P2287" s="1063"/>
      <c r="Q2287" s="1063"/>
      <c r="R2287" s="1063"/>
      <c r="S2287" s="1063"/>
      <c r="T2287" s="1063"/>
      <c r="U2287" s="1063"/>
      <c r="V2287" s="1063"/>
      <c r="W2287" s="1063"/>
      <c r="X2287" s="1063"/>
      <c r="Y2287" s="1063"/>
      <c r="Z2287" s="1063"/>
      <c r="AA2287" s="1063"/>
      <c r="AB2287" s="1063"/>
      <c r="AC2287" s="1063"/>
      <c r="AD2287" s="1063"/>
      <c r="AE2287" s="1063"/>
      <c r="AF2287" s="1063"/>
      <c r="AG2287" s="1063"/>
      <c r="AH2287" s="1063"/>
      <c r="AI2287" s="1063"/>
      <c r="AJ2287" s="1063"/>
      <c r="AK2287" s="1063"/>
      <c r="AL2287" s="1063"/>
      <c r="AM2287" s="1063"/>
      <c r="AN2287" s="1063"/>
      <c r="AO2287" s="1063"/>
      <c r="AP2287" s="1063"/>
      <c r="AQ2287" s="1063"/>
      <c r="AR2287" s="1063"/>
      <c r="AS2287" s="1063"/>
      <c r="AT2287" s="1063"/>
      <c r="AU2287" s="1063"/>
      <c r="AV2287" s="1063"/>
    </row>
    <row r="2288" spans="1:48" s="1108" customFormat="1" ht="27.75" customHeight="1">
      <c r="A2288" s="1076"/>
      <c r="B2288" s="1074">
        <f>+'[18]Bldg+Dev'!S3100</f>
        <v>0</v>
      </c>
      <c r="D2288" s="1063"/>
      <c r="F2288" s="1076"/>
      <c r="G2288" s="1063"/>
      <c r="H2288" s="1063"/>
      <c r="I2288" s="1063"/>
      <c r="J2288" s="1063"/>
      <c r="K2288" s="1063"/>
      <c r="L2288" s="1063"/>
      <c r="M2288" s="1063"/>
      <c r="N2288" s="1063"/>
      <c r="O2288" s="1063"/>
      <c r="P2288" s="1063"/>
      <c r="Q2288" s="1063"/>
      <c r="R2288" s="1063"/>
      <c r="S2288" s="1063"/>
      <c r="T2288" s="1063"/>
      <c r="U2288" s="1063"/>
      <c r="V2288" s="1063"/>
      <c r="W2288" s="1063"/>
      <c r="X2288" s="1063"/>
      <c r="Y2288" s="1063"/>
      <c r="Z2288" s="1063"/>
      <c r="AA2288" s="1063"/>
      <c r="AB2288" s="1063"/>
      <c r="AC2288" s="1063"/>
      <c r="AD2288" s="1063"/>
      <c r="AE2288" s="1063"/>
      <c r="AF2288" s="1063"/>
      <c r="AG2288" s="1063"/>
      <c r="AH2288" s="1063"/>
      <c r="AI2288" s="1063"/>
      <c r="AJ2288" s="1063"/>
      <c r="AK2288" s="1063"/>
      <c r="AL2288" s="1063"/>
      <c r="AM2288" s="1063"/>
      <c r="AN2288" s="1063"/>
      <c r="AO2288" s="1063"/>
      <c r="AP2288" s="1063"/>
      <c r="AQ2288" s="1063"/>
      <c r="AR2288" s="1063"/>
      <c r="AS2288" s="1063"/>
      <c r="AT2288" s="1063"/>
      <c r="AU2288" s="1063"/>
      <c r="AV2288" s="1063"/>
    </row>
    <row r="2289" spans="1:48" s="1108" customFormat="1" ht="27.75" customHeight="1">
      <c r="A2289" s="1076"/>
      <c r="B2289" s="1074">
        <f>+'[18]Bldg+Dev'!S3101</f>
        <v>0</v>
      </c>
      <c r="D2289" s="1063"/>
      <c r="F2289" s="1076"/>
      <c r="G2289" s="1063"/>
      <c r="H2289" s="1063"/>
      <c r="I2289" s="1063"/>
      <c r="J2289" s="1063"/>
      <c r="K2289" s="1063"/>
      <c r="L2289" s="1063"/>
      <c r="M2289" s="1063"/>
      <c r="N2289" s="1063"/>
      <c r="O2289" s="1063"/>
      <c r="P2289" s="1063"/>
      <c r="Q2289" s="1063"/>
      <c r="R2289" s="1063"/>
      <c r="S2289" s="1063"/>
      <c r="T2289" s="1063"/>
      <c r="U2289" s="1063"/>
      <c r="V2289" s="1063"/>
      <c r="W2289" s="1063"/>
      <c r="X2289" s="1063"/>
      <c r="Y2289" s="1063"/>
      <c r="Z2289" s="1063"/>
      <c r="AA2289" s="1063"/>
      <c r="AB2289" s="1063"/>
      <c r="AC2289" s="1063"/>
      <c r="AD2289" s="1063"/>
      <c r="AE2289" s="1063"/>
      <c r="AF2289" s="1063"/>
      <c r="AG2289" s="1063"/>
      <c r="AH2289" s="1063"/>
      <c r="AI2289" s="1063"/>
      <c r="AJ2289" s="1063"/>
      <c r="AK2289" s="1063"/>
      <c r="AL2289" s="1063"/>
      <c r="AM2289" s="1063"/>
      <c r="AN2289" s="1063"/>
      <c r="AO2289" s="1063"/>
      <c r="AP2289" s="1063"/>
      <c r="AQ2289" s="1063"/>
      <c r="AR2289" s="1063"/>
      <c r="AS2289" s="1063"/>
      <c r="AT2289" s="1063"/>
      <c r="AU2289" s="1063"/>
      <c r="AV2289" s="1063"/>
    </row>
    <row r="2290" spans="1:48" s="1108" customFormat="1" ht="27.75" customHeight="1">
      <c r="A2290" s="1076"/>
      <c r="B2290" s="1074">
        <f>+'[18]Bldg+Dev'!S3102</f>
        <v>0</v>
      </c>
      <c r="D2290" s="1063"/>
      <c r="F2290" s="1076"/>
      <c r="G2290" s="1063"/>
      <c r="H2290" s="1063"/>
      <c r="I2290" s="1063"/>
      <c r="J2290" s="1063"/>
      <c r="K2290" s="1063"/>
      <c r="L2290" s="1063"/>
      <c r="M2290" s="1063"/>
      <c r="N2290" s="1063"/>
      <c r="O2290" s="1063"/>
      <c r="P2290" s="1063"/>
      <c r="Q2290" s="1063"/>
      <c r="R2290" s="1063"/>
      <c r="S2290" s="1063"/>
      <c r="T2290" s="1063"/>
      <c r="U2290" s="1063"/>
      <c r="V2290" s="1063"/>
      <c r="W2290" s="1063"/>
      <c r="X2290" s="1063"/>
      <c r="Y2290" s="1063"/>
      <c r="Z2290" s="1063"/>
      <c r="AA2290" s="1063"/>
      <c r="AB2290" s="1063"/>
      <c r="AC2290" s="1063"/>
      <c r="AD2290" s="1063"/>
      <c r="AE2290" s="1063"/>
      <c r="AF2290" s="1063"/>
      <c r="AG2290" s="1063"/>
      <c r="AH2290" s="1063"/>
      <c r="AI2290" s="1063"/>
      <c r="AJ2290" s="1063"/>
      <c r="AK2290" s="1063"/>
      <c r="AL2290" s="1063"/>
      <c r="AM2290" s="1063"/>
      <c r="AN2290" s="1063"/>
      <c r="AO2290" s="1063"/>
      <c r="AP2290" s="1063"/>
      <c r="AQ2290" s="1063"/>
      <c r="AR2290" s="1063"/>
      <c r="AS2290" s="1063"/>
      <c r="AT2290" s="1063"/>
      <c r="AU2290" s="1063"/>
      <c r="AV2290" s="1063"/>
    </row>
    <row r="2291" spans="1:48" s="1108" customFormat="1" ht="27.75" customHeight="1">
      <c r="A2291" s="1076"/>
      <c r="B2291" s="1074">
        <f>+'[18]Bldg+Dev'!S3103</f>
        <v>0</v>
      </c>
      <c r="D2291" s="1063"/>
      <c r="F2291" s="1076"/>
      <c r="G2291" s="1063"/>
      <c r="H2291" s="1063"/>
      <c r="I2291" s="1063"/>
      <c r="J2291" s="1063"/>
      <c r="K2291" s="1063"/>
      <c r="L2291" s="1063"/>
      <c r="M2291" s="1063"/>
      <c r="N2291" s="1063"/>
      <c r="O2291" s="1063"/>
      <c r="P2291" s="1063"/>
      <c r="Q2291" s="1063"/>
      <c r="R2291" s="1063"/>
      <c r="S2291" s="1063"/>
      <c r="T2291" s="1063"/>
      <c r="U2291" s="1063"/>
      <c r="V2291" s="1063"/>
      <c r="W2291" s="1063"/>
      <c r="X2291" s="1063"/>
      <c r="Y2291" s="1063"/>
      <c r="Z2291" s="1063"/>
      <c r="AA2291" s="1063"/>
      <c r="AB2291" s="1063"/>
      <c r="AC2291" s="1063"/>
      <c r="AD2291" s="1063"/>
      <c r="AE2291" s="1063"/>
      <c r="AF2291" s="1063"/>
      <c r="AG2291" s="1063"/>
      <c r="AH2291" s="1063"/>
      <c r="AI2291" s="1063"/>
      <c r="AJ2291" s="1063"/>
      <c r="AK2291" s="1063"/>
      <c r="AL2291" s="1063"/>
      <c r="AM2291" s="1063"/>
      <c r="AN2291" s="1063"/>
      <c r="AO2291" s="1063"/>
      <c r="AP2291" s="1063"/>
      <c r="AQ2291" s="1063"/>
      <c r="AR2291" s="1063"/>
      <c r="AS2291" s="1063"/>
      <c r="AT2291" s="1063"/>
      <c r="AU2291" s="1063"/>
      <c r="AV2291" s="1063"/>
    </row>
    <row r="2292" spans="1:48" s="1108" customFormat="1" ht="27.75" customHeight="1">
      <c r="A2292" s="1076"/>
      <c r="B2292" s="1074">
        <f>+'[18]Bldg+Dev'!S3104</f>
        <v>0</v>
      </c>
      <c r="D2292" s="1063"/>
      <c r="F2292" s="1076"/>
      <c r="G2292" s="1063"/>
      <c r="H2292" s="1063"/>
      <c r="I2292" s="1063"/>
      <c r="J2292" s="1063"/>
      <c r="K2292" s="1063"/>
      <c r="L2292" s="1063"/>
      <c r="M2292" s="1063"/>
      <c r="N2292" s="1063"/>
      <c r="O2292" s="1063"/>
      <c r="P2292" s="1063"/>
      <c r="Q2292" s="1063"/>
      <c r="R2292" s="1063"/>
      <c r="S2292" s="1063"/>
      <c r="T2292" s="1063"/>
      <c r="U2292" s="1063"/>
      <c r="V2292" s="1063"/>
      <c r="W2292" s="1063"/>
      <c r="X2292" s="1063"/>
      <c r="Y2292" s="1063"/>
      <c r="Z2292" s="1063"/>
      <c r="AA2292" s="1063"/>
      <c r="AB2292" s="1063"/>
      <c r="AC2292" s="1063"/>
      <c r="AD2292" s="1063"/>
      <c r="AE2292" s="1063"/>
      <c r="AF2292" s="1063"/>
      <c r="AG2292" s="1063"/>
      <c r="AH2292" s="1063"/>
      <c r="AI2292" s="1063"/>
      <c r="AJ2292" s="1063"/>
      <c r="AK2292" s="1063"/>
      <c r="AL2292" s="1063"/>
      <c r="AM2292" s="1063"/>
      <c r="AN2292" s="1063"/>
      <c r="AO2292" s="1063"/>
      <c r="AP2292" s="1063"/>
      <c r="AQ2292" s="1063"/>
      <c r="AR2292" s="1063"/>
      <c r="AS2292" s="1063"/>
      <c r="AT2292" s="1063"/>
      <c r="AU2292" s="1063"/>
      <c r="AV2292" s="1063"/>
    </row>
    <row r="2293" spans="1:48" s="1108" customFormat="1" ht="27.75" customHeight="1">
      <c r="A2293" s="1076"/>
      <c r="B2293" s="1074">
        <f>+'[18]Bldg+Dev'!S3105</f>
        <v>0</v>
      </c>
      <c r="D2293" s="1063"/>
      <c r="F2293" s="1076"/>
      <c r="G2293" s="1063"/>
      <c r="H2293" s="1063"/>
      <c r="I2293" s="1063"/>
      <c r="J2293" s="1063"/>
      <c r="K2293" s="1063"/>
      <c r="L2293" s="1063"/>
      <c r="M2293" s="1063"/>
      <c r="N2293" s="1063"/>
      <c r="O2293" s="1063"/>
      <c r="P2293" s="1063"/>
      <c r="Q2293" s="1063"/>
      <c r="R2293" s="1063"/>
      <c r="S2293" s="1063"/>
      <c r="T2293" s="1063"/>
      <c r="U2293" s="1063"/>
      <c r="V2293" s="1063"/>
      <c r="W2293" s="1063"/>
      <c r="X2293" s="1063"/>
      <c r="Y2293" s="1063"/>
      <c r="Z2293" s="1063"/>
      <c r="AA2293" s="1063"/>
      <c r="AB2293" s="1063"/>
      <c r="AC2293" s="1063"/>
      <c r="AD2293" s="1063"/>
      <c r="AE2293" s="1063"/>
      <c r="AF2293" s="1063"/>
      <c r="AG2293" s="1063"/>
      <c r="AH2293" s="1063"/>
      <c r="AI2293" s="1063"/>
      <c r="AJ2293" s="1063"/>
      <c r="AK2293" s="1063"/>
      <c r="AL2293" s="1063"/>
      <c r="AM2293" s="1063"/>
      <c r="AN2293" s="1063"/>
      <c r="AO2293" s="1063"/>
      <c r="AP2293" s="1063"/>
      <c r="AQ2293" s="1063"/>
      <c r="AR2293" s="1063"/>
      <c r="AS2293" s="1063"/>
      <c r="AT2293" s="1063"/>
      <c r="AU2293" s="1063"/>
      <c r="AV2293" s="1063"/>
    </row>
    <row r="2294" spans="1:48" s="1108" customFormat="1" ht="27.75" customHeight="1">
      <c r="A2294" s="1076"/>
      <c r="B2294" s="1074">
        <f>+'[18]Bldg+Dev'!S3106</f>
        <v>0</v>
      </c>
      <c r="D2294" s="1063"/>
      <c r="F2294" s="1076"/>
      <c r="G2294" s="1063"/>
      <c r="H2294" s="1063"/>
      <c r="I2294" s="1063"/>
      <c r="J2294" s="1063"/>
      <c r="K2294" s="1063"/>
      <c r="L2294" s="1063"/>
      <c r="M2294" s="1063"/>
      <c r="N2294" s="1063"/>
      <c r="O2294" s="1063"/>
      <c r="P2294" s="1063"/>
      <c r="Q2294" s="1063"/>
      <c r="R2294" s="1063"/>
      <c r="S2294" s="1063"/>
      <c r="T2294" s="1063"/>
      <c r="U2294" s="1063"/>
      <c r="V2294" s="1063"/>
      <c r="W2294" s="1063"/>
      <c r="X2294" s="1063"/>
      <c r="Y2294" s="1063"/>
      <c r="Z2294" s="1063"/>
      <c r="AA2294" s="1063"/>
      <c r="AB2294" s="1063"/>
      <c r="AC2294" s="1063"/>
      <c r="AD2294" s="1063"/>
      <c r="AE2294" s="1063"/>
      <c r="AF2294" s="1063"/>
      <c r="AG2294" s="1063"/>
      <c r="AH2294" s="1063"/>
      <c r="AI2294" s="1063"/>
      <c r="AJ2294" s="1063"/>
      <c r="AK2294" s="1063"/>
      <c r="AL2294" s="1063"/>
      <c r="AM2294" s="1063"/>
      <c r="AN2294" s="1063"/>
      <c r="AO2294" s="1063"/>
      <c r="AP2294" s="1063"/>
      <c r="AQ2294" s="1063"/>
      <c r="AR2294" s="1063"/>
      <c r="AS2294" s="1063"/>
      <c r="AT2294" s="1063"/>
      <c r="AU2294" s="1063"/>
      <c r="AV2294" s="1063"/>
    </row>
    <row r="2295" spans="1:48" s="1108" customFormat="1" ht="27.75" customHeight="1">
      <c r="A2295" s="1076"/>
      <c r="B2295" s="1074">
        <f>+'[18]Bldg+Dev'!S3107</f>
        <v>0</v>
      </c>
      <c r="D2295" s="1063"/>
      <c r="F2295" s="1076"/>
      <c r="G2295" s="1063"/>
      <c r="H2295" s="1063"/>
      <c r="I2295" s="1063"/>
      <c r="J2295" s="1063"/>
      <c r="K2295" s="1063"/>
      <c r="L2295" s="1063"/>
      <c r="M2295" s="1063"/>
      <c r="N2295" s="1063"/>
      <c r="O2295" s="1063"/>
      <c r="P2295" s="1063"/>
      <c r="Q2295" s="1063"/>
      <c r="R2295" s="1063"/>
      <c r="S2295" s="1063"/>
      <c r="T2295" s="1063"/>
      <c r="U2295" s="1063"/>
      <c r="V2295" s="1063"/>
      <c r="W2295" s="1063"/>
      <c r="X2295" s="1063"/>
      <c r="Y2295" s="1063"/>
      <c r="Z2295" s="1063"/>
      <c r="AA2295" s="1063"/>
      <c r="AB2295" s="1063"/>
      <c r="AC2295" s="1063"/>
      <c r="AD2295" s="1063"/>
      <c r="AE2295" s="1063"/>
      <c r="AF2295" s="1063"/>
      <c r="AG2295" s="1063"/>
      <c r="AH2295" s="1063"/>
      <c r="AI2295" s="1063"/>
      <c r="AJ2295" s="1063"/>
      <c r="AK2295" s="1063"/>
      <c r="AL2295" s="1063"/>
      <c r="AM2295" s="1063"/>
      <c r="AN2295" s="1063"/>
      <c r="AO2295" s="1063"/>
      <c r="AP2295" s="1063"/>
      <c r="AQ2295" s="1063"/>
      <c r="AR2295" s="1063"/>
      <c r="AS2295" s="1063"/>
      <c r="AT2295" s="1063"/>
      <c r="AU2295" s="1063"/>
      <c r="AV2295" s="1063"/>
    </row>
    <row r="2296" spans="1:48" s="1108" customFormat="1" ht="27.75" customHeight="1">
      <c r="A2296" s="1076"/>
      <c r="B2296" s="1074">
        <f>+'[18]Bldg+Dev'!S3108</f>
        <v>0</v>
      </c>
      <c r="D2296" s="1063"/>
      <c r="F2296" s="1076"/>
      <c r="G2296" s="1063"/>
      <c r="H2296" s="1063"/>
      <c r="I2296" s="1063"/>
      <c r="J2296" s="1063"/>
      <c r="K2296" s="1063"/>
      <c r="L2296" s="1063"/>
      <c r="M2296" s="1063"/>
      <c r="N2296" s="1063"/>
      <c r="O2296" s="1063"/>
      <c r="P2296" s="1063"/>
      <c r="Q2296" s="1063"/>
      <c r="R2296" s="1063"/>
      <c r="S2296" s="1063"/>
      <c r="T2296" s="1063"/>
      <c r="U2296" s="1063"/>
      <c r="V2296" s="1063"/>
      <c r="W2296" s="1063"/>
      <c r="X2296" s="1063"/>
      <c r="Y2296" s="1063"/>
      <c r="Z2296" s="1063"/>
      <c r="AA2296" s="1063"/>
      <c r="AB2296" s="1063"/>
      <c r="AC2296" s="1063"/>
      <c r="AD2296" s="1063"/>
      <c r="AE2296" s="1063"/>
      <c r="AF2296" s="1063"/>
      <c r="AG2296" s="1063"/>
      <c r="AH2296" s="1063"/>
      <c r="AI2296" s="1063"/>
      <c r="AJ2296" s="1063"/>
      <c r="AK2296" s="1063"/>
      <c r="AL2296" s="1063"/>
      <c r="AM2296" s="1063"/>
      <c r="AN2296" s="1063"/>
      <c r="AO2296" s="1063"/>
      <c r="AP2296" s="1063"/>
      <c r="AQ2296" s="1063"/>
      <c r="AR2296" s="1063"/>
      <c r="AS2296" s="1063"/>
      <c r="AT2296" s="1063"/>
      <c r="AU2296" s="1063"/>
      <c r="AV2296" s="1063"/>
    </row>
    <row r="2297" spans="1:48" s="1108" customFormat="1" ht="27.75" customHeight="1">
      <c r="A2297" s="1076"/>
      <c r="B2297" s="1074">
        <f>+'[18]Bldg+Dev'!S3109</f>
        <v>0</v>
      </c>
      <c r="D2297" s="1063"/>
      <c r="F2297" s="1076"/>
      <c r="G2297" s="1063"/>
      <c r="H2297" s="1063"/>
      <c r="I2297" s="1063"/>
      <c r="J2297" s="1063"/>
      <c r="K2297" s="1063"/>
      <c r="L2297" s="1063"/>
      <c r="M2297" s="1063"/>
      <c r="N2297" s="1063"/>
      <c r="O2297" s="1063"/>
      <c r="P2297" s="1063"/>
      <c r="Q2297" s="1063"/>
      <c r="R2297" s="1063"/>
      <c r="S2297" s="1063"/>
      <c r="T2297" s="1063"/>
      <c r="U2297" s="1063"/>
      <c r="V2297" s="1063"/>
      <c r="W2297" s="1063"/>
      <c r="X2297" s="1063"/>
      <c r="Y2297" s="1063"/>
      <c r="Z2297" s="1063"/>
      <c r="AA2297" s="1063"/>
      <c r="AB2297" s="1063"/>
      <c r="AC2297" s="1063"/>
      <c r="AD2297" s="1063"/>
      <c r="AE2297" s="1063"/>
      <c r="AF2297" s="1063"/>
      <c r="AG2297" s="1063"/>
      <c r="AH2297" s="1063"/>
      <c r="AI2297" s="1063"/>
      <c r="AJ2297" s="1063"/>
      <c r="AK2297" s="1063"/>
      <c r="AL2297" s="1063"/>
      <c r="AM2297" s="1063"/>
      <c r="AN2297" s="1063"/>
      <c r="AO2297" s="1063"/>
      <c r="AP2297" s="1063"/>
      <c r="AQ2297" s="1063"/>
      <c r="AR2297" s="1063"/>
      <c r="AS2297" s="1063"/>
      <c r="AT2297" s="1063"/>
      <c r="AU2297" s="1063"/>
      <c r="AV2297" s="1063"/>
    </row>
    <row r="2298" spans="1:48" s="1108" customFormat="1" ht="27.75" customHeight="1">
      <c r="A2298" s="1076"/>
      <c r="B2298" s="1074">
        <f>+'[18]Bldg+Dev'!S3110</f>
        <v>0</v>
      </c>
      <c r="D2298" s="1063"/>
      <c r="F2298" s="1076"/>
      <c r="G2298" s="1063"/>
      <c r="H2298" s="1063"/>
      <c r="I2298" s="1063"/>
      <c r="J2298" s="1063"/>
      <c r="K2298" s="1063"/>
      <c r="L2298" s="1063"/>
      <c r="M2298" s="1063"/>
      <c r="N2298" s="1063"/>
      <c r="O2298" s="1063"/>
      <c r="P2298" s="1063"/>
      <c r="Q2298" s="1063"/>
      <c r="R2298" s="1063"/>
      <c r="S2298" s="1063"/>
      <c r="T2298" s="1063"/>
      <c r="U2298" s="1063"/>
      <c r="V2298" s="1063"/>
      <c r="W2298" s="1063"/>
      <c r="X2298" s="1063"/>
      <c r="Y2298" s="1063"/>
      <c r="Z2298" s="1063"/>
      <c r="AA2298" s="1063"/>
      <c r="AB2298" s="1063"/>
      <c r="AC2298" s="1063"/>
      <c r="AD2298" s="1063"/>
      <c r="AE2298" s="1063"/>
      <c r="AF2298" s="1063"/>
      <c r="AG2298" s="1063"/>
      <c r="AH2298" s="1063"/>
      <c r="AI2298" s="1063"/>
      <c r="AJ2298" s="1063"/>
      <c r="AK2298" s="1063"/>
      <c r="AL2298" s="1063"/>
      <c r="AM2298" s="1063"/>
      <c r="AN2298" s="1063"/>
      <c r="AO2298" s="1063"/>
      <c r="AP2298" s="1063"/>
      <c r="AQ2298" s="1063"/>
      <c r="AR2298" s="1063"/>
      <c r="AS2298" s="1063"/>
      <c r="AT2298" s="1063"/>
      <c r="AU2298" s="1063"/>
      <c r="AV2298" s="1063"/>
    </row>
    <row r="2299" spans="1:48" s="1108" customFormat="1" ht="27.75" customHeight="1">
      <c r="A2299" s="1076"/>
      <c r="B2299" s="1074">
        <f>+'[18]Bldg+Dev'!S3111</f>
        <v>0</v>
      </c>
      <c r="D2299" s="1063"/>
      <c r="F2299" s="1076"/>
      <c r="G2299" s="1063"/>
      <c r="H2299" s="1063"/>
      <c r="I2299" s="1063"/>
      <c r="J2299" s="1063"/>
      <c r="K2299" s="1063"/>
      <c r="L2299" s="1063"/>
      <c r="M2299" s="1063"/>
      <c r="N2299" s="1063"/>
      <c r="O2299" s="1063"/>
      <c r="P2299" s="1063"/>
      <c r="Q2299" s="1063"/>
      <c r="R2299" s="1063"/>
      <c r="S2299" s="1063"/>
      <c r="T2299" s="1063"/>
      <c r="U2299" s="1063"/>
      <c r="V2299" s="1063"/>
      <c r="W2299" s="1063"/>
      <c r="X2299" s="1063"/>
      <c r="Y2299" s="1063"/>
      <c r="Z2299" s="1063"/>
      <c r="AA2299" s="1063"/>
      <c r="AB2299" s="1063"/>
      <c r="AC2299" s="1063"/>
      <c r="AD2299" s="1063"/>
      <c r="AE2299" s="1063"/>
      <c r="AF2299" s="1063"/>
      <c r="AG2299" s="1063"/>
      <c r="AH2299" s="1063"/>
      <c r="AI2299" s="1063"/>
      <c r="AJ2299" s="1063"/>
      <c r="AK2299" s="1063"/>
      <c r="AL2299" s="1063"/>
      <c r="AM2299" s="1063"/>
      <c r="AN2299" s="1063"/>
      <c r="AO2299" s="1063"/>
      <c r="AP2299" s="1063"/>
      <c r="AQ2299" s="1063"/>
      <c r="AR2299" s="1063"/>
      <c r="AS2299" s="1063"/>
      <c r="AT2299" s="1063"/>
      <c r="AU2299" s="1063"/>
      <c r="AV2299" s="1063"/>
    </row>
    <row r="2300" spans="1:48" s="1108" customFormat="1" ht="27.75" customHeight="1">
      <c r="A2300" s="1076"/>
      <c r="B2300" s="1074">
        <f>+'[18]Bldg+Dev'!S3112</f>
        <v>0</v>
      </c>
      <c r="D2300" s="1063"/>
      <c r="F2300" s="1076"/>
      <c r="G2300" s="1063"/>
      <c r="H2300" s="1063"/>
      <c r="I2300" s="1063"/>
      <c r="J2300" s="1063"/>
      <c r="K2300" s="1063"/>
      <c r="L2300" s="1063"/>
      <c r="M2300" s="1063"/>
      <c r="N2300" s="1063"/>
      <c r="O2300" s="1063"/>
      <c r="P2300" s="1063"/>
      <c r="Q2300" s="1063"/>
      <c r="R2300" s="1063"/>
      <c r="S2300" s="1063"/>
      <c r="T2300" s="1063"/>
      <c r="U2300" s="1063"/>
      <c r="V2300" s="1063"/>
      <c r="W2300" s="1063"/>
      <c r="X2300" s="1063"/>
      <c r="Y2300" s="1063"/>
      <c r="Z2300" s="1063"/>
      <c r="AA2300" s="1063"/>
      <c r="AB2300" s="1063"/>
      <c r="AC2300" s="1063"/>
      <c r="AD2300" s="1063"/>
      <c r="AE2300" s="1063"/>
      <c r="AF2300" s="1063"/>
      <c r="AG2300" s="1063"/>
      <c r="AH2300" s="1063"/>
      <c r="AI2300" s="1063"/>
      <c r="AJ2300" s="1063"/>
      <c r="AK2300" s="1063"/>
      <c r="AL2300" s="1063"/>
      <c r="AM2300" s="1063"/>
      <c r="AN2300" s="1063"/>
      <c r="AO2300" s="1063"/>
      <c r="AP2300" s="1063"/>
      <c r="AQ2300" s="1063"/>
      <c r="AR2300" s="1063"/>
      <c r="AS2300" s="1063"/>
      <c r="AT2300" s="1063"/>
      <c r="AU2300" s="1063"/>
      <c r="AV2300" s="1063"/>
    </row>
    <row r="2301" spans="1:48" s="1108" customFormat="1" ht="27.75" customHeight="1">
      <c r="A2301" s="1076"/>
      <c r="B2301" s="1074">
        <f>+'[18]Bldg+Dev'!S3113</f>
        <v>0</v>
      </c>
      <c r="D2301" s="1063"/>
      <c r="F2301" s="1076"/>
      <c r="G2301" s="1063"/>
      <c r="H2301" s="1063"/>
      <c r="I2301" s="1063"/>
      <c r="J2301" s="1063"/>
      <c r="K2301" s="1063"/>
      <c r="L2301" s="1063"/>
      <c r="M2301" s="1063"/>
      <c r="N2301" s="1063"/>
      <c r="O2301" s="1063"/>
      <c r="P2301" s="1063"/>
      <c r="Q2301" s="1063"/>
      <c r="R2301" s="1063"/>
      <c r="S2301" s="1063"/>
      <c r="T2301" s="1063"/>
      <c r="U2301" s="1063"/>
      <c r="V2301" s="1063"/>
      <c r="W2301" s="1063"/>
      <c r="X2301" s="1063"/>
      <c r="Y2301" s="1063"/>
      <c r="Z2301" s="1063"/>
      <c r="AA2301" s="1063"/>
      <c r="AB2301" s="1063"/>
      <c r="AC2301" s="1063"/>
      <c r="AD2301" s="1063"/>
      <c r="AE2301" s="1063"/>
      <c r="AF2301" s="1063"/>
      <c r="AG2301" s="1063"/>
      <c r="AH2301" s="1063"/>
      <c r="AI2301" s="1063"/>
      <c r="AJ2301" s="1063"/>
      <c r="AK2301" s="1063"/>
      <c r="AL2301" s="1063"/>
      <c r="AM2301" s="1063"/>
      <c r="AN2301" s="1063"/>
      <c r="AO2301" s="1063"/>
      <c r="AP2301" s="1063"/>
      <c r="AQ2301" s="1063"/>
      <c r="AR2301" s="1063"/>
      <c r="AS2301" s="1063"/>
      <c r="AT2301" s="1063"/>
      <c r="AU2301" s="1063"/>
      <c r="AV2301" s="1063"/>
    </row>
    <row r="2302" spans="1:48" s="1108" customFormat="1" ht="27.75" customHeight="1">
      <c r="A2302" s="1076"/>
      <c r="B2302" s="1074">
        <f>+'[18]Bldg+Dev'!S3114</f>
        <v>0</v>
      </c>
      <c r="D2302" s="1063"/>
      <c r="F2302" s="1076"/>
      <c r="G2302" s="1063"/>
      <c r="H2302" s="1063"/>
      <c r="I2302" s="1063"/>
      <c r="J2302" s="1063"/>
      <c r="K2302" s="1063"/>
      <c r="L2302" s="1063"/>
      <c r="M2302" s="1063"/>
      <c r="N2302" s="1063"/>
      <c r="O2302" s="1063"/>
      <c r="P2302" s="1063"/>
      <c r="Q2302" s="1063"/>
      <c r="R2302" s="1063"/>
      <c r="S2302" s="1063"/>
      <c r="T2302" s="1063"/>
      <c r="U2302" s="1063"/>
      <c r="V2302" s="1063"/>
      <c r="W2302" s="1063"/>
      <c r="X2302" s="1063"/>
      <c r="Y2302" s="1063"/>
      <c r="Z2302" s="1063"/>
      <c r="AA2302" s="1063"/>
      <c r="AB2302" s="1063"/>
      <c r="AC2302" s="1063"/>
      <c r="AD2302" s="1063"/>
      <c r="AE2302" s="1063"/>
      <c r="AF2302" s="1063"/>
      <c r="AG2302" s="1063"/>
      <c r="AH2302" s="1063"/>
      <c r="AI2302" s="1063"/>
      <c r="AJ2302" s="1063"/>
      <c r="AK2302" s="1063"/>
      <c r="AL2302" s="1063"/>
      <c r="AM2302" s="1063"/>
      <c r="AN2302" s="1063"/>
      <c r="AO2302" s="1063"/>
      <c r="AP2302" s="1063"/>
      <c r="AQ2302" s="1063"/>
      <c r="AR2302" s="1063"/>
      <c r="AS2302" s="1063"/>
      <c r="AT2302" s="1063"/>
      <c r="AU2302" s="1063"/>
      <c r="AV2302" s="1063"/>
    </row>
    <row r="2303" spans="1:48" s="1108" customFormat="1" ht="27.75" customHeight="1">
      <c r="A2303" s="1076"/>
      <c r="B2303" s="1074">
        <f>+'[18]Bldg+Dev'!S3115</f>
        <v>0</v>
      </c>
      <c r="D2303" s="1063"/>
      <c r="F2303" s="1076"/>
      <c r="G2303" s="1063"/>
      <c r="H2303" s="1063"/>
      <c r="I2303" s="1063"/>
      <c r="J2303" s="1063"/>
      <c r="K2303" s="1063"/>
      <c r="L2303" s="1063"/>
      <c r="M2303" s="1063"/>
      <c r="N2303" s="1063"/>
      <c r="O2303" s="1063"/>
      <c r="P2303" s="1063"/>
      <c r="Q2303" s="1063"/>
      <c r="R2303" s="1063"/>
      <c r="S2303" s="1063"/>
      <c r="T2303" s="1063"/>
      <c r="U2303" s="1063"/>
      <c r="V2303" s="1063"/>
      <c r="W2303" s="1063"/>
      <c r="X2303" s="1063"/>
      <c r="Y2303" s="1063"/>
      <c r="Z2303" s="1063"/>
      <c r="AA2303" s="1063"/>
      <c r="AB2303" s="1063"/>
      <c r="AC2303" s="1063"/>
      <c r="AD2303" s="1063"/>
      <c r="AE2303" s="1063"/>
      <c r="AF2303" s="1063"/>
      <c r="AG2303" s="1063"/>
      <c r="AH2303" s="1063"/>
      <c r="AI2303" s="1063"/>
      <c r="AJ2303" s="1063"/>
      <c r="AK2303" s="1063"/>
      <c r="AL2303" s="1063"/>
      <c r="AM2303" s="1063"/>
      <c r="AN2303" s="1063"/>
      <c r="AO2303" s="1063"/>
      <c r="AP2303" s="1063"/>
      <c r="AQ2303" s="1063"/>
      <c r="AR2303" s="1063"/>
      <c r="AS2303" s="1063"/>
      <c r="AT2303" s="1063"/>
      <c r="AU2303" s="1063"/>
      <c r="AV2303" s="1063"/>
    </row>
    <row r="2304" spans="1:48" s="1108" customFormat="1" ht="27.75" customHeight="1">
      <c r="A2304" s="1076"/>
      <c r="B2304" s="1074">
        <f>+'[18]Bldg+Dev'!S3116</f>
        <v>0</v>
      </c>
      <c r="D2304" s="1063"/>
      <c r="F2304" s="1076"/>
      <c r="G2304" s="1063"/>
      <c r="H2304" s="1063"/>
      <c r="I2304" s="1063"/>
      <c r="J2304" s="1063"/>
      <c r="K2304" s="1063"/>
      <c r="L2304" s="1063"/>
      <c r="M2304" s="1063"/>
      <c r="N2304" s="1063"/>
      <c r="O2304" s="1063"/>
      <c r="P2304" s="1063"/>
      <c r="Q2304" s="1063"/>
      <c r="R2304" s="1063"/>
      <c r="S2304" s="1063"/>
      <c r="T2304" s="1063"/>
      <c r="U2304" s="1063"/>
      <c r="V2304" s="1063"/>
      <c r="W2304" s="1063"/>
      <c r="X2304" s="1063"/>
      <c r="Y2304" s="1063"/>
      <c r="Z2304" s="1063"/>
      <c r="AA2304" s="1063"/>
      <c r="AB2304" s="1063"/>
      <c r="AC2304" s="1063"/>
      <c r="AD2304" s="1063"/>
      <c r="AE2304" s="1063"/>
      <c r="AF2304" s="1063"/>
      <c r="AG2304" s="1063"/>
      <c r="AH2304" s="1063"/>
      <c r="AI2304" s="1063"/>
      <c r="AJ2304" s="1063"/>
      <c r="AK2304" s="1063"/>
      <c r="AL2304" s="1063"/>
      <c r="AM2304" s="1063"/>
      <c r="AN2304" s="1063"/>
      <c r="AO2304" s="1063"/>
      <c r="AP2304" s="1063"/>
      <c r="AQ2304" s="1063"/>
      <c r="AR2304" s="1063"/>
      <c r="AS2304" s="1063"/>
      <c r="AT2304" s="1063"/>
      <c r="AU2304" s="1063"/>
      <c r="AV2304" s="1063"/>
    </row>
    <row r="2305" spans="1:48" s="1108" customFormat="1" ht="27.75" customHeight="1">
      <c r="A2305" s="1076"/>
      <c r="B2305" s="1074">
        <f>+'[18]Bldg+Dev'!S3117</f>
        <v>0</v>
      </c>
      <c r="D2305" s="1063"/>
      <c r="F2305" s="1076"/>
      <c r="G2305" s="1063"/>
      <c r="H2305" s="1063"/>
      <c r="I2305" s="1063"/>
      <c r="J2305" s="1063"/>
      <c r="K2305" s="1063"/>
      <c r="L2305" s="1063"/>
      <c r="M2305" s="1063"/>
      <c r="N2305" s="1063"/>
      <c r="O2305" s="1063"/>
      <c r="P2305" s="1063"/>
      <c r="Q2305" s="1063"/>
      <c r="R2305" s="1063"/>
      <c r="S2305" s="1063"/>
      <c r="T2305" s="1063"/>
      <c r="U2305" s="1063"/>
      <c r="V2305" s="1063"/>
      <c r="W2305" s="1063"/>
      <c r="X2305" s="1063"/>
      <c r="Y2305" s="1063"/>
      <c r="Z2305" s="1063"/>
      <c r="AA2305" s="1063"/>
      <c r="AB2305" s="1063"/>
      <c r="AC2305" s="1063"/>
      <c r="AD2305" s="1063"/>
      <c r="AE2305" s="1063"/>
      <c r="AF2305" s="1063"/>
      <c r="AG2305" s="1063"/>
      <c r="AH2305" s="1063"/>
      <c r="AI2305" s="1063"/>
      <c r="AJ2305" s="1063"/>
      <c r="AK2305" s="1063"/>
      <c r="AL2305" s="1063"/>
      <c r="AM2305" s="1063"/>
      <c r="AN2305" s="1063"/>
      <c r="AO2305" s="1063"/>
      <c r="AP2305" s="1063"/>
      <c r="AQ2305" s="1063"/>
      <c r="AR2305" s="1063"/>
      <c r="AS2305" s="1063"/>
      <c r="AT2305" s="1063"/>
      <c r="AU2305" s="1063"/>
      <c r="AV2305" s="1063"/>
    </row>
    <row r="2306" spans="1:48" s="1108" customFormat="1" ht="27.75" customHeight="1">
      <c r="A2306" s="1076"/>
      <c r="B2306" s="1074">
        <f>+'[18]Bldg+Dev'!S3118</f>
        <v>0</v>
      </c>
      <c r="D2306" s="1063"/>
      <c r="F2306" s="1076"/>
      <c r="G2306" s="1063"/>
      <c r="H2306" s="1063"/>
      <c r="I2306" s="1063"/>
      <c r="J2306" s="1063"/>
      <c r="K2306" s="1063"/>
      <c r="L2306" s="1063"/>
      <c r="M2306" s="1063"/>
      <c r="N2306" s="1063"/>
      <c r="O2306" s="1063"/>
      <c r="P2306" s="1063"/>
      <c r="Q2306" s="1063"/>
      <c r="R2306" s="1063"/>
      <c r="S2306" s="1063"/>
      <c r="T2306" s="1063"/>
      <c r="U2306" s="1063"/>
      <c r="V2306" s="1063"/>
      <c r="W2306" s="1063"/>
      <c r="X2306" s="1063"/>
      <c r="Y2306" s="1063"/>
      <c r="Z2306" s="1063"/>
      <c r="AA2306" s="1063"/>
      <c r="AB2306" s="1063"/>
      <c r="AC2306" s="1063"/>
      <c r="AD2306" s="1063"/>
      <c r="AE2306" s="1063"/>
      <c r="AF2306" s="1063"/>
      <c r="AG2306" s="1063"/>
      <c r="AH2306" s="1063"/>
      <c r="AI2306" s="1063"/>
      <c r="AJ2306" s="1063"/>
      <c r="AK2306" s="1063"/>
      <c r="AL2306" s="1063"/>
      <c r="AM2306" s="1063"/>
      <c r="AN2306" s="1063"/>
      <c r="AO2306" s="1063"/>
      <c r="AP2306" s="1063"/>
      <c r="AQ2306" s="1063"/>
      <c r="AR2306" s="1063"/>
      <c r="AS2306" s="1063"/>
      <c r="AT2306" s="1063"/>
      <c r="AU2306" s="1063"/>
      <c r="AV2306" s="1063"/>
    </row>
    <row r="2307" spans="1:48" s="1108" customFormat="1" ht="27.75" customHeight="1">
      <c r="A2307" s="1076"/>
      <c r="B2307" s="1074">
        <f>+'[18]Bldg+Dev'!S3119</f>
        <v>0</v>
      </c>
      <c r="D2307" s="1063"/>
      <c r="F2307" s="1076"/>
      <c r="G2307" s="1063"/>
      <c r="H2307" s="1063"/>
      <c r="I2307" s="1063"/>
      <c r="J2307" s="1063"/>
      <c r="K2307" s="1063"/>
      <c r="L2307" s="1063"/>
      <c r="M2307" s="1063"/>
      <c r="N2307" s="1063"/>
      <c r="O2307" s="1063"/>
      <c r="P2307" s="1063"/>
      <c r="Q2307" s="1063"/>
      <c r="R2307" s="1063"/>
      <c r="S2307" s="1063"/>
      <c r="T2307" s="1063"/>
      <c r="U2307" s="1063"/>
      <c r="V2307" s="1063"/>
      <c r="W2307" s="1063"/>
      <c r="X2307" s="1063"/>
      <c r="Y2307" s="1063"/>
      <c r="Z2307" s="1063"/>
      <c r="AA2307" s="1063"/>
      <c r="AB2307" s="1063"/>
      <c r="AC2307" s="1063"/>
      <c r="AD2307" s="1063"/>
      <c r="AE2307" s="1063"/>
      <c r="AF2307" s="1063"/>
      <c r="AG2307" s="1063"/>
      <c r="AH2307" s="1063"/>
      <c r="AI2307" s="1063"/>
      <c r="AJ2307" s="1063"/>
      <c r="AK2307" s="1063"/>
      <c r="AL2307" s="1063"/>
      <c r="AM2307" s="1063"/>
      <c r="AN2307" s="1063"/>
      <c r="AO2307" s="1063"/>
      <c r="AP2307" s="1063"/>
      <c r="AQ2307" s="1063"/>
      <c r="AR2307" s="1063"/>
      <c r="AS2307" s="1063"/>
      <c r="AT2307" s="1063"/>
      <c r="AU2307" s="1063"/>
      <c r="AV2307" s="1063"/>
    </row>
    <row r="2308" spans="1:48" s="1108" customFormat="1" ht="27.75" customHeight="1">
      <c r="A2308" s="1076"/>
      <c r="B2308" s="1074">
        <f>+'[18]Bldg+Dev'!S3120</f>
        <v>0</v>
      </c>
      <c r="D2308" s="1063"/>
      <c r="F2308" s="1076"/>
      <c r="G2308" s="1063"/>
      <c r="H2308" s="1063"/>
      <c r="I2308" s="1063"/>
      <c r="J2308" s="1063"/>
      <c r="K2308" s="1063"/>
      <c r="L2308" s="1063"/>
      <c r="M2308" s="1063"/>
      <c r="N2308" s="1063"/>
      <c r="O2308" s="1063"/>
      <c r="P2308" s="1063"/>
      <c r="Q2308" s="1063"/>
      <c r="R2308" s="1063"/>
      <c r="S2308" s="1063"/>
      <c r="T2308" s="1063"/>
      <c r="U2308" s="1063"/>
      <c r="V2308" s="1063"/>
      <c r="W2308" s="1063"/>
      <c r="X2308" s="1063"/>
      <c r="Y2308" s="1063"/>
      <c r="Z2308" s="1063"/>
      <c r="AA2308" s="1063"/>
      <c r="AB2308" s="1063"/>
      <c r="AC2308" s="1063"/>
      <c r="AD2308" s="1063"/>
      <c r="AE2308" s="1063"/>
      <c r="AF2308" s="1063"/>
      <c r="AG2308" s="1063"/>
      <c r="AH2308" s="1063"/>
      <c r="AI2308" s="1063"/>
      <c r="AJ2308" s="1063"/>
      <c r="AK2308" s="1063"/>
      <c r="AL2308" s="1063"/>
      <c r="AM2308" s="1063"/>
      <c r="AN2308" s="1063"/>
      <c r="AO2308" s="1063"/>
      <c r="AP2308" s="1063"/>
      <c r="AQ2308" s="1063"/>
      <c r="AR2308" s="1063"/>
      <c r="AS2308" s="1063"/>
      <c r="AT2308" s="1063"/>
      <c r="AU2308" s="1063"/>
      <c r="AV2308" s="1063"/>
    </row>
    <row r="2309" spans="1:48" s="1108" customFormat="1" ht="27.75" customHeight="1">
      <c r="A2309" s="1076"/>
      <c r="B2309" s="1074">
        <f>+'[18]Bldg+Dev'!S3121</f>
        <v>0</v>
      </c>
      <c r="D2309" s="1063"/>
      <c r="F2309" s="1076"/>
      <c r="G2309" s="1063"/>
      <c r="H2309" s="1063"/>
      <c r="I2309" s="1063"/>
      <c r="J2309" s="1063"/>
      <c r="K2309" s="1063"/>
      <c r="L2309" s="1063"/>
      <c r="M2309" s="1063"/>
      <c r="N2309" s="1063"/>
      <c r="O2309" s="1063"/>
      <c r="P2309" s="1063"/>
      <c r="Q2309" s="1063"/>
      <c r="R2309" s="1063"/>
      <c r="S2309" s="1063"/>
      <c r="T2309" s="1063"/>
      <c r="U2309" s="1063"/>
      <c r="V2309" s="1063"/>
      <c r="W2309" s="1063"/>
      <c r="X2309" s="1063"/>
      <c r="Y2309" s="1063"/>
      <c r="Z2309" s="1063"/>
      <c r="AA2309" s="1063"/>
      <c r="AB2309" s="1063"/>
      <c r="AC2309" s="1063"/>
      <c r="AD2309" s="1063"/>
      <c r="AE2309" s="1063"/>
      <c r="AF2309" s="1063"/>
      <c r="AG2309" s="1063"/>
      <c r="AH2309" s="1063"/>
      <c r="AI2309" s="1063"/>
      <c r="AJ2309" s="1063"/>
      <c r="AK2309" s="1063"/>
      <c r="AL2309" s="1063"/>
      <c r="AM2309" s="1063"/>
      <c r="AN2309" s="1063"/>
      <c r="AO2309" s="1063"/>
      <c r="AP2309" s="1063"/>
      <c r="AQ2309" s="1063"/>
      <c r="AR2309" s="1063"/>
      <c r="AS2309" s="1063"/>
      <c r="AT2309" s="1063"/>
      <c r="AU2309" s="1063"/>
      <c r="AV2309" s="1063"/>
    </row>
    <row r="2310" spans="1:48" s="1108" customFormat="1" ht="27.75" customHeight="1">
      <c r="A2310" s="1076"/>
      <c r="B2310" s="1074">
        <f>+'[18]Bldg+Dev'!S3122</f>
        <v>0</v>
      </c>
      <c r="D2310" s="1063"/>
      <c r="F2310" s="1076"/>
      <c r="G2310" s="1063"/>
      <c r="H2310" s="1063"/>
      <c r="I2310" s="1063"/>
      <c r="J2310" s="1063"/>
      <c r="K2310" s="1063"/>
      <c r="L2310" s="1063"/>
      <c r="M2310" s="1063"/>
      <c r="N2310" s="1063"/>
      <c r="O2310" s="1063"/>
      <c r="P2310" s="1063"/>
      <c r="Q2310" s="1063"/>
      <c r="R2310" s="1063"/>
      <c r="S2310" s="1063"/>
      <c r="T2310" s="1063"/>
      <c r="U2310" s="1063"/>
      <c r="V2310" s="1063"/>
      <c r="W2310" s="1063"/>
      <c r="X2310" s="1063"/>
      <c r="Y2310" s="1063"/>
      <c r="Z2310" s="1063"/>
      <c r="AA2310" s="1063"/>
      <c r="AB2310" s="1063"/>
      <c r="AC2310" s="1063"/>
      <c r="AD2310" s="1063"/>
      <c r="AE2310" s="1063"/>
      <c r="AF2310" s="1063"/>
      <c r="AG2310" s="1063"/>
      <c r="AH2310" s="1063"/>
      <c r="AI2310" s="1063"/>
      <c r="AJ2310" s="1063"/>
      <c r="AK2310" s="1063"/>
      <c r="AL2310" s="1063"/>
      <c r="AM2310" s="1063"/>
      <c r="AN2310" s="1063"/>
      <c r="AO2310" s="1063"/>
      <c r="AP2310" s="1063"/>
      <c r="AQ2310" s="1063"/>
      <c r="AR2310" s="1063"/>
      <c r="AS2310" s="1063"/>
      <c r="AT2310" s="1063"/>
      <c r="AU2310" s="1063"/>
      <c r="AV2310" s="1063"/>
    </row>
    <row r="2311" spans="1:48" s="1108" customFormat="1" ht="27.75" customHeight="1">
      <c r="A2311" s="1076"/>
      <c r="B2311" s="1074">
        <f>+'[18]Bldg+Dev'!S3123</f>
        <v>0</v>
      </c>
      <c r="D2311" s="1063"/>
      <c r="F2311" s="1076"/>
      <c r="G2311" s="1063"/>
      <c r="H2311" s="1063"/>
      <c r="I2311" s="1063"/>
      <c r="J2311" s="1063"/>
      <c r="K2311" s="1063"/>
      <c r="L2311" s="1063"/>
      <c r="M2311" s="1063"/>
      <c r="N2311" s="1063"/>
      <c r="O2311" s="1063"/>
      <c r="P2311" s="1063"/>
      <c r="Q2311" s="1063"/>
      <c r="R2311" s="1063"/>
      <c r="S2311" s="1063"/>
      <c r="T2311" s="1063"/>
      <c r="U2311" s="1063"/>
      <c r="V2311" s="1063"/>
      <c r="W2311" s="1063"/>
      <c r="X2311" s="1063"/>
      <c r="Y2311" s="1063"/>
      <c r="Z2311" s="1063"/>
      <c r="AA2311" s="1063"/>
      <c r="AB2311" s="1063"/>
      <c r="AC2311" s="1063"/>
      <c r="AD2311" s="1063"/>
      <c r="AE2311" s="1063"/>
      <c r="AF2311" s="1063"/>
      <c r="AG2311" s="1063"/>
      <c r="AH2311" s="1063"/>
      <c r="AI2311" s="1063"/>
      <c r="AJ2311" s="1063"/>
      <c r="AK2311" s="1063"/>
      <c r="AL2311" s="1063"/>
      <c r="AM2311" s="1063"/>
      <c r="AN2311" s="1063"/>
      <c r="AO2311" s="1063"/>
      <c r="AP2311" s="1063"/>
      <c r="AQ2311" s="1063"/>
      <c r="AR2311" s="1063"/>
      <c r="AS2311" s="1063"/>
      <c r="AT2311" s="1063"/>
      <c r="AU2311" s="1063"/>
      <c r="AV2311" s="1063"/>
    </row>
    <row r="2312" spans="1:48" s="1108" customFormat="1" ht="27.75" customHeight="1">
      <c r="A2312" s="1076"/>
      <c r="B2312" s="1074">
        <f>+'[18]Bldg+Dev'!S3124</f>
        <v>0</v>
      </c>
      <c r="D2312" s="1063"/>
      <c r="F2312" s="1076"/>
      <c r="G2312" s="1063"/>
      <c r="H2312" s="1063"/>
      <c r="I2312" s="1063"/>
      <c r="J2312" s="1063"/>
      <c r="K2312" s="1063"/>
      <c r="L2312" s="1063"/>
      <c r="M2312" s="1063"/>
      <c r="N2312" s="1063"/>
      <c r="O2312" s="1063"/>
      <c r="P2312" s="1063"/>
      <c r="Q2312" s="1063"/>
      <c r="R2312" s="1063"/>
      <c r="S2312" s="1063"/>
      <c r="T2312" s="1063"/>
      <c r="U2312" s="1063"/>
      <c r="V2312" s="1063"/>
      <c r="W2312" s="1063"/>
      <c r="X2312" s="1063"/>
      <c r="Y2312" s="1063"/>
      <c r="Z2312" s="1063"/>
      <c r="AA2312" s="1063"/>
      <c r="AB2312" s="1063"/>
      <c r="AC2312" s="1063"/>
      <c r="AD2312" s="1063"/>
      <c r="AE2312" s="1063"/>
      <c r="AF2312" s="1063"/>
      <c r="AG2312" s="1063"/>
      <c r="AH2312" s="1063"/>
      <c r="AI2312" s="1063"/>
      <c r="AJ2312" s="1063"/>
      <c r="AK2312" s="1063"/>
      <c r="AL2312" s="1063"/>
      <c r="AM2312" s="1063"/>
      <c r="AN2312" s="1063"/>
      <c r="AO2312" s="1063"/>
      <c r="AP2312" s="1063"/>
      <c r="AQ2312" s="1063"/>
      <c r="AR2312" s="1063"/>
      <c r="AS2312" s="1063"/>
      <c r="AT2312" s="1063"/>
      <c r="AU2312" s="1063"/>
      <c r="AV2312" s="1063"/>
    </row>
    <row r="2313" spans="1:48" s="1108" customFormat="1" ht="27.75" customHeight="1">
      <c r="A2313" s="1076"/>
      <c r="B2313" s="1074">
        <f>+'[18]Bldg+Dev'!S3125</f>
        <v>0</v>
      </c>
      <c r="D2313" s="1063"/>
      <c r="F2313" s="1076"/>
      <c r="G2313" s="1063"/>
      <c r="H2313" s="1063"/>
      <c r="I2313" s="1063"/>
      <c r="J2313" s="1063"/>
      <c r="K2313" s="1063"/>
      <c r="L2313" s="1063"/>
      <c r="M2313" s="1063"/>
      <c r="N2313" s="1063"/>
      <c r="O2313" s="1063"/>
      <c r="P2313" s="1063"/>
      <c r="Q2313" s="1063"/>
      <c r="R2313" s="1063"/>
      <c r="S2313" s="1063"/>
      <c r="T2313" s="1063"/>
      <c r="U2313" s="1063"/>
      <c r="V2313" s="1063"/>
      <c r="W2313" s="1063"/>
      <c r="X2313" s="1063"/>
      <c r="Y2313" s="1063"/>
      <c r="Z2313" s="1063"/>
      <c r="AA2313" s="1063"/>
      <c r="AB2313" s="1063"/>
      <c r="AC2313" s="1063"/>
      <c r="AD2313" s="1063"/>
      <c r="AE2313" s="1063"/>
      <c r="AF2313" s="1063"/>
      <c r="AG2313" s="1063"/>
      <c r="AH2313" s="1063"/>
      <c r="AI2313" s="1063"/>
      <c r="AJ2313" s="1063"/>
      <c r="AK2313" s="1063"/>
      <c r="AL2313" s="1063"/>
      <c r="AM2313" s="1063"/>
      <c r="AN2313" s="1063"/>
      <c r="AO2313" s="1063"/>
      <c r="AP2313" s="1063"/>
      <c r="AQ2313" s="1063"/>
      <c r="AR2313" s="1063"/>
      <c r="AS2313" s="1063"/>
      <c r="AT2313" s="1063"/>
      <c r="AU2313" s="1063"/>
      <c r="AV2313" s="1063"/>
    </row>
    <row r="2314" spans="1:48" s="1108" customFormat="1" ht="27.75" customHeight="1">
      <c r="A2314" s="1076"/>
      <c r="B2314" s="1074">
        <f>+'[18]Bldg+Dev'!S3126</f>
        <v>0</v>
      </c>
      <c r="D2314" s="1063"/>
      <c r="F2314" s="1076"/>
      <c r="G2314" s="1063"/>
      <c r="H2314" s="1063"/>
      <c r="I2314" s="1063"/>
      <c r="J2314" s="1063"/>
      <c r="K2314" s="1063"/>
      <c r="L2314" s="1063"/>
      <c r="M2314" s="1063"/>
      <c r="N2314" s="1063"/>
      <c r="O2314" s="1063"/>
      <c r="P2314" s="1063"/>
      <c r="Q2314" s="1063"/>
      <c r="R2314" s="1063"/>
      <c r="S2314" s="1063"/>
      <c r="T2314" s="1063"/>
      <c r="U2314" s="1063"/>
      <c r="V2314" s="1063"/>
      <c r="W2314" s="1063"/>
      <c r="X2314" s="1063"/>
      <c r="Y2314" s="1063"/>
      <c r="Z2314" s="1063"/>
      <c r="AA2314" s="1063"/>
      <c r="AB2314" s="1063"/>
      <c r="AC2314" s="1063"/>
      <c r="AD2314" s="1063"/>
      <c r="AE2314" s="1063"/>
      <c r="AF2314" s="1063"/>
      <c r="AG2314" s="1063"/>
      <c r="AH2314" s="1063"/>
      <c r="AI2314" s="1063"/>
      <c r="AJ2314" s="1063"/>
      <c r="AK2314" s="1063"/>
      <c r="AL2314" s="1063"/>
      <c r="AM2314" s="1063"/>
      <c r="AN2314" s="1063"/>
      <c r="AO2314" s="1063"/>
      <c r="AP2314" s="1063"/>
      <c r="AQ2314" s="1063"/>
      <c r="AR2314" s="1063"/>
      <c r="AS2314" s="1063"/>
      <c r="AT2314" s="1063"/>
      <c r="AU2314" s="1063"/>
      <c r="AV2314" s="1063"/>
    </row>
    <row r="2315" spans="1:48" s="1108" customFormat="1" ht="27.75" customHeight="1">
      <c r="A2315" s="1076"/>
      <c r="B2315" s="1074">
        <f>+'[18]Bldg+Dev'!S3127</f>
        <v>0</v>
      </c>
      <c r="D2315" s="1063"/>
      <c r="F2315" s="1076"/>
      <c r="G2315" s="1063"/>
      <c r="H2315" s="1063"/>
      <c r="I2315" s="1063"/>
      <c r="J2315" s="1063"/>
      <c r="K2315" s="1063"/>
      <c r="L2315" s="1063"/>
      <c r="M2315" s="1063"/>
      <c r="N2315" s="1063"/>
      <c r="O2315" s="1063"/>
      <c r="P2315" s="1063"/>
      <c r="Q2315" s="1063"/>
      <c r="R2315" s="1063"/>
      <c r="S2315" s="1063"/>
      <c r="T2315" s="1063"/>
      <c r="U2315" s="1063"/>
      <c r="V2315" s="1063"/>
      <c r="W2315" s="1063"/>
      <c r="X2315" s="1063"/>
      <c r="Y2315" s="1063"/>
      <c r="Z2315" s="1063"/>
      <c r="AA2315" s="1063"/>
      <c r="AB2315" s="1063"/>
      <c r="AC2315" s="1063"/>
      <c r="AD2315" s="1063"/>
      <c r="AE2315" s="1063"/>
      <c r="AF2315" s="1063"/>
      <c r="AG2315" s="1063"/>
      <c r="AH2315" s="1063"/>
      <c r="AI2315" s="1063"/>
      <c r="AJ2315" s="1063"/>
      <c r="AK2315" s="1063"/>
      <c r="AL2315" s="1063"/>
      <c r="AM2315" s="1063"/>
      <c r="AN2315" s="1063"/>
      <c r="AO2315" s="1063"/>
      <c r="AP2315" s="1063"/>
      <c r="AQ2315" s="1063"/>
      <c r="AR2315" s="1063"/>
      <c r="AS2315" s="1063"/>
      <c r="AT2315" s="1063"/>
      <c r="AU2315" s="1063"/>
      <c r="AV2315" s="1063"/>
    </row>
    <row r="2316" spans="1:48" s="1108" customFormat="1" ht="27.75" customHeight="1">
      <c r="A2316" s="1076"/>
      <c r="B2316" s="1074">
        <f>+'[18]Bldg+Dev'!S3128</f>
        <v>0</v>
      </c>
      <c r="D2316" s="1063"/>
      <c r="F2316" s="1076"/>
      <c r="G2316" s="1063"/>
      <c r="H2316" s="1063"/>
      <c r="I2316" s="1063"/>
      <c r="J2316" s="1063"/>
      <c r="K2316" s="1063"/>
      <c r="L2316" s="1063"/>
      <c r="M2316" s="1063"/>
      <c r="N2316" s="1063"/>
      <c r="O2316" s="1063"/>
      <c r="P2316" s="1063"/>
      <c r="Q2316" s="1063"/>
      <c r="R2316" s="1063"/>
      <c r="S2316" s="1063"/>
      <c r="T2316" s="1063"/>
      <c r="U2316" s="1063"/>
      <c r="V2316" s="1063"/>
      <c r="W2316" s="1063"/>
      <c r="X2316" s="1063"/>
      <c r="Y2316" s="1063"/>
      <c r="Z2316" s="1063"/>
      <c r="AA2316" s="1063"/>
      <c r="AB2316" s="1063"/>
      <c r="AC2316" s="1063"/>
      <c r="AD2316" s="1063"/>
      <c r="AE2316" s="1063"/>
      <c r="AF2316" s="1063"/>
      <c r="AG2316" s="1063"/>
      <c r="AH2316" s="1063"/>
      <c r="AI2316" s="1063"/>
      <c r="AJ2316" s="1063"/>
      <c r="AK2316" s="1063"/>
      <c r="AL2316" s="1063"/>
      <c r="AM2316" s="1063"/>
      <c r="AN2316" s="1063"/>
      <c r="AO2316" s="1063"/>
      <c r="AP2316" s="1063"/>
      <c r="AQ2316" s="1063"/>
      <c r="AR2316" s="1063"/>
      <c r="AS2316" s="1063"/>
      <c r="AT2316" s="1063"/>
      <c r="AU2316" s="1063"/>
      <c r="AV2316" s="1063"/>
    </row>
    <row r="2317" spans="1:48" s="1108" customFormat="1" ht="27.75" customHeight="1">
      <c r="A2317" s="1076"/>
      <c r="B2317" s="1074">
        <f>+'[18]Bldg+Dev'!S3129</f>
        <v>0</v>
      </c>
      <c r="D2317" s="1063"/>
      <c r="F2317" s="1076"/>
      <c r="G2317" s="1063"/>
      <c r="H2317" s="1063"/>
      <c r="I2317" s="1063"/>
      <c r="J2317" s="1063"/>
      <c r="K2317" s="1063"/>
      <c r="L2317" s="1063"/>
      <c r="M2317" s="1063"/>
      <c r="N2317" s="1063"/>
      <c r="O2317" s="1063"/>
      <c r="P2317" s="1063"/>
      <c r="Q2317" s="1063"/>
      <c r="R2317" s="1063"/>
      <c r="S2317" s="1063"/>
      <c r="T2317" s="1063"/>
      <c r="U2317" s="1063"/>
      <c r="V2317" s="1063"/>
      <c r="W2317" s="1063"/>
      <c r="X2317" s="1063"/>
      <c r="Y2317" s="1063"/>
      <c r="Z2317" s="1063"/>
      <c r="AA2317" s="1063"/>
      <c r="AB2317" s="1063"/>
      <c r="AC2317" s="1063"/>
      <c r="AD2317" s="1063"/>
      <c r="AE2317" s="1063"/>
      <c r="AF2317" s="1063"/>
      <c r="AG2317" s="1063"/>
      <c r="AH2317" s="1063"/>
      <c r="AI2317" s="1063"/>
      <c r="AJ2317" s="1063"/>
      <c r="AK2317" s="1063"/>
      <c r="AL2317" s="1063"/>
      <c r="AM2317" s="1063"/>
      <c r="AN2317" s="1063"/>
      <c r="AO2317" s="1063"/>
      <c r="AP2317" s="1063"/>
      <c r="AQ2317" s="1063"/>
      <c r="AR2317" s="1063"/>
      <c r="AS2317" s="1063"/>
      <c r="AT2317" s="1063"/>
      <c r="AU2317" s="1063"/>
      <c r="AV2317" s="1063"/>
    </row>
    <row r="2318" spans="1:48" s="1108" customFormat="1" ht="27.75" customHeight="1">
      <c r="A2318" s="1076"/>
      <c r="B2318" s="1074">
        <f>+'[18]Bldg+Dev'!S3130</f>
        <v>0</v>
      </c>
      <c r="D2318" s="1063"/>
      <c r="F2318" s="1076"/>
      <c r="G2318" s="1063"/>
      <c r="H2318" s="1063"/>
      <c r="I2318" s="1063"/>
      <c r="J2318" s="1063"/>
      <c r="K2318" s="1063"/>
      <c r="L2318" s="1063"/>
      <c r="M2318" s="1063"/>
      <c r="N2318" s="1063"/>
      <c r="O2318" s="1063"/>
      <c r="P2318" s="1063"/>
      <c r="Q2318" s="1063"/>
      <c r="R2318" s="1063"/>
      <c r="S2318" s="1063"/>
      <c r="T2318" s="1063"/>
      <c r="U2318" s="1063"/>
      <c r="V2318" s="1063"/>
      <c r="W2318" s="1063"/>
      <c r="X2318" s="1063"/>
      <c r="Y2318" s="1063"/>
      <c r="Z2318" s="1063"/>
      <c r="AA2318" s="1063"/>
      <c r="AB2318" s="1063"/>
      <c r="AC2318" s="1063"/>
      <c r="AD2318" s="1063"/>
      <c r="AE2318" s="1063"/>
      <c r="AF2318" s="1063"/>
      <c r="AG2318" s="1063"/>
      <c r="AH2318" s="1063"/>
      <c r="AI2318" s="1063"/>
      <c r="AJ2318" s="1063"/>
      <c r="AK2318" s="1063"/>
      <c r="AL2318" s="1063"/>
      <c r="AM2318" s="1063"/>
      <c r="AN2318" s="1063"/>
      <c r="AO2318" s="1063"/>
      <c r="AP2318" s="1063"/>
      <c r="AQ2318" s="1063"/>
      <c r="AR2318" s="1063"/>
      <c r="AS2318" s="1063"/>
      <c r="AT2318" s="1063"/>
      <c r="AU2318" s="1063"/>
      <c r="AV2318" s="1063"/>
    </row>
    <row r="2319" spans="1:48" s="1108" customFormat="1" ht="27.75" customHeight="1">
      <c r="A2319" s="1076"/>
      <c r="B2319" s="1074">
        <f>+'[18]Bldg+Dev'!S3131</f>
        <v>0</v>
      </c>
      <c r="D2319" s="1063"/>
      <c r="F2319" s="1076"/>
      <c r="G2319" s="1063"/>
      <c r="H2319" s="1063"/>
      <c r="I2319" s="1063"/>
      <c r="J2319" s="1063"/>
      <c r="K2319" s="1063"/>
      <c r="L2319" s="1063"/>
      <c r="M2319" s="1063"/>
      <c r="N2319" s="1063"/>
      <c r="O2319" s="1063"/>
      <c r="P2319" s="1063"/>
      <c r="Q2319" s="1063"/>
      <c r="R2319" s="1063"/>
      <c r="S2319" s="1063"/>
      <c r="T2319" s="1063"/>
      <c r="U2319" s="1063"/>
      <c r="V2319" s="1063"/>
      <c r="W2319" s="1063"/>
      <c r="X2319" s="1063"/>
      <c r="Y2319" s="1063"/>
      <c r="Z2319" s="1063"/>
      <c r="AA2319" s="1063"/>
      <c r="AB2319" s="1063"/>
      <c r="AC2319" s="1063"/>
      <c r="AD2319" s="1063"/>
      <c r="AE2319" s="1063"/>
      <c r="AF2319" s="1063"/>
      <c r="AG2319" s="1063"/>
      <c r="AH2319" s="1063"/>
      <c r="AI2319" s="1063"/>
      <c r="AJ2319" s="1063"/>
      <c r="AK2319" s="1063"/>
      <c r="AL2319" s="1063"/>
      <c r="AM2319" s="1063"/>
      <c r="AN2319" s="1063"/>
      <c r="AO2319" s="1063"/>
      <c r="AP2319" s="1063"/>
      <c r="AQ2319" s="1063"/>
      <c r="AR2319" s="1063"/>
      <c r="AS2319" s="1063"/>
      <c r="AT2319" s="1063"/>
      <c r="AU2319" s="1063"/>
      <c r="AV2319" s="1063"/>
    </row>
    <row r="2320" spans="1:48" s="1108" customFormat="1" ht="27.75" customHeight="1">
      <c r="A2320" s="1076"/>
      <c r="B2320" s="1074">
        <f>+'[18]Bldg+Dev'!S3132</f>
        <v>0</v>
      </c>
      <c r="D2320" s="1063"/>
      <c r="F2320" s="1076"/>
      <c r="G2320" s="1063"/>
      <c r="H2320" s="1063"/>
      <c r="I2320" s="1063"/>
      <c r="J2320" s="1063"/>
      <c r="K2320" s="1063"/>
      <c r="L2320" s="1063"/>
      <c r="M2320" s="1063"/>
      <c r="N2320" s="1063"/>
      <c r="O2320" s="1063"/>
      <c r="P2320" s="1063"/>
      <c r="Q2320" s="1063"/>
      <c r="R2320" s="1063"/>
      <c r="S2320" s="1063"/>
      <c r="T2320" s="1063"/>
      <c r="U2320" s="1063"/>
      <c r="V2320" s="1063"/>
      <c r="W2320" s="1063"/>
      <c r="X2320" s="1063"/>
      <c r="Y2320" s="1063"/>
      <c r="Z2320" s="1063"/>
      <c r="AA2320" s="1063"/>
      <c r="AB2320" s="1063"/>
      <c r="AC2320" s="1063"/>
      <c r="AD2320" s="1063"/>
      <c r="AE2320" s="1063"/>
      <c r="AF2320" s="1063"/>
      <c r="AG2320" s="1063"/>
      <c r="AH2320" s="1063"/>
      <c r="AI2320" s="1063"/>
      <c r="AJ2320" s="1063"/>
      <c r="AK2320" s="1063"/>
      <c r="AL2320" s="1063"/>
      <c r="AM2320" s="1063"/>
      <c r="AN2320" s="1063"/>
      <c r="AO2320" s="1063"/>
      <c r="AP2320" s="1063"/>
      <c r="AQ2320" s="1063"/>
      <c r="AR2320" s="1063"/>
      <c r="AS2320" s="1063"/>
      <c r="AT2320" s="1063"/>
      <c r="AU2320" s="1063"/>
      <c r="AV2320" s="1063"/>
    </row>
    <row r="2321" spans="1:48" s="1108" customFormat="1" ht="27.75" customHeight="1">
      <c r="A2321" s="1076"/>
      <c r="B2321" s="1074">
        <f>+'[18]Bldg+Dev'!S3133</f>
        <v>0</v>
      </c>
      <c r="D2321" s="1063"/>
      <c r="F2321" s="1076"/>
      <c r="G2321" s="1063"/>
      <c r="H2321" s="1063"/>
      <c r="I2321" s="1063"/>
      <c r="J2321" s="1063"/>
      <c r="K2321" s="1063"/>
      <c r="L2321" s="1063"/>
      <c r="M2321" s="1063"/>
      <c r="N2321" s="1063"/>
      <c r="O2321" s="1063"/>
      <c r="P2321" s="1063"/>
      <c r="Q2321" s="1063"/>
      <c r="R2321" s="1063"/>
      <c r="S2321" s="1063"/>
      <c r="T2321" s="1063"/>
      <c r="U2321" s="1063"/>
      <c r="V2321" s="1063"/>
      <c r="W2321" s="1063"/>
      <c r="X2321" s="1063"/>
      <c r="Y2321" s="1063"/>
      <c r="Z2321" s="1063"/>
      <c r="AA2321" s="1063"/>
      <c r="AB2321" s="1063"/>
      <c r="AC2321" s="1063"/>
      <c r="AD2321" s="1063"/>
      <c r="AE2321" s="1063"/>
      <c r="AF2321" s="1063"/>
      <c r="AG2321" s="1063"/>
      <c r="AH2321" s="1063"/>
      <c r="AI2321" s="1063"/>
      <c r="AJ2321" s="1063"/>
      <c r="AK2321" s="1063"/>
      <c r="AL2321" s="1063"/>
      <c r="AM2321" s="1063"/>
      <c r="AN2321" s="1063"/>
      <c r="AO2321" s="1063"/>
      <c r="AP2321" s="1063"/>
      <c r="AQ2321" s="1063"/>
      <c r="AR2321" s="1063"/>
      <c r="AS2321" s="1063"/>
      <c r="AT2321" s="1063"/>
      <c r="AU2321" s="1063"/>
      <c r="AV2321" s="1063"/>
    </row>
    <row r="2322" spans="1:48" s="1108" customFormat="1" ht="27.75" customHeight="1">
      <c r="A2322" s="1076"/>
      <c r="B2322" s="1074">
        <f>+'[18]Bldg+Dev'!S3134</f>
        <v>0</v>
      </c>
      <c r="D2322" s="1063"/>
      <c r="F2322" s="1076"/>
      <c r="G2322" s="1063"/>
      <c r="H2322" s="1063"/>
      <c r="I2322" s="1063"/>
      <c r="J2322" s="1063"/>
      <c r="K2322" s="1063"/>
      <c r="L2322" s="1063"/>
      <c r="M2322" s="1063"/>
      <c r="N2322" s="1063"/>
      <c r="O2322" s="1063"/>
      <c r="P2322" s="1063"/>
      <c r="Q2322" s="1063"/>
      <c r="R2322" s="1063"/>
      <c r="S2322" s="1063"/>
      <c r="T2322" s="1063"/>
      <c r="U2322" s="1063"/>
      <c r="V2322" s="1063"/>
      <c r="W2322" s="1063"/>
      <c r="X2322" s="1063"/>
      <c r="Y2322" s="1063"/>
      <c r="Z2322" s="1063"/>
      <c r="AA2322" s="1063"/>
      <c r="AB2322" s="1063"/>
      <c r="AC2322" s="1063"/>
      <c r="AD2322" s="1063"/>
      <c r="AE2322" s="1063"/>
      <c r="AF2322" s="1063"/>
      <c r="AG2322" s="1063"/>
      <c r="AH2322" s="1063"/>
      <c r="AI2322" s="1063"/>
      <c r="AJ2322" s="1063"/>
      <c r="AK2322" s="1063"/>
      <c r="AL2322" s="1063"/>
      <c r="AM2322" s="1063"/>
      <c r="AN2322" s="1063"/>
      <c r="AO2322" s="1063"/>
      <c r="AP2322" s="1063"/>
      <c r="AQ2322" s="1063"/>
      <c r="AR2322" s="1063"/>
      <c r="AS2322" s="1063"/>
      <c r="AT2322" s="1063"/>
      <c r="AU2322" s="1063"/>
      <c r="AV2322" s="1063"/>
    </row>
    <row r="2323" spans="1:48" s="1108" customFormat="1" ht="27.75" customHeight="1">
      <c r="A2323" s="1076"/>
      <c r="B2323" s="1074">
        <f>+'[18]Bldg+Dev'!S3135</f>
        <v>0</v>
      </c>
      <c r="D2323" s="1063"/>
      <c r="F2323" s="1076"/>
      <c r="G2323" s="1063"/>
      <c r="H2323" s="1063"/>
      <c r="I2323" s="1063"/>
      <c r="J2323" s="1063"/>
      <c r="K2323" s="1063"/>
      <c r="L2323" s="1063"/>
      <c r="M2323" s="1063"/>
      <c r="N2323" s="1063"/>
      <c r="O2323" s="1063"/>
      <c r="P2323" s="1063"/>
      <c r="Q2323" s="1063"/>
      <c r="R2323" s="1063"/>
      <c r="S2323" s="1063"/>
      <c r="T2323" s="1063"/>
      <c r="U2323" s="1063"/>
      <c r="V2323" s="1063"/>
      <c r="W2323" s="1063"/>
      <c r="X2323" s="1063"/>
      <c r="Y2323" s="1063"/>
      <c r="Z2323" s="1063"/>
      <c r="AA2323" s="1063"/>
      <c r="AB2323" s="1063"/>
      <c r="AC2323" s="1063"/>
      <c r="AD2323" s="1063"/>
      <c r="AE2323" s="1063"/>
      <c r="AF2323" s="1063"/>
      <c r="AG2323" s="1063"/>
      <c r="AH2323" s="1063"/>
      <c r="AI2323" s="1063"/>
      <c r="AJ2323" s="1063"/>
      <c r="AK2323" s="1063"/>
      <c r="AL2323" s="1063"/>
      <c r="AM2323" s="1063"/>
      <c r="AN2323" s="1063"/>
      <c r="AO2323" s="1063"/>
      <c r="AP2323" s="1063"/>
      <c r="AQ2323" s="1063"/>
      <c r="AR2323" s="1063"/>
      <c r="AS2323" s="1063"/>
      <c r="AT2323" s="1063"/>
      <c r="AU2323" s="1063"/>
      <c r="AV2323" s="1063"/>
    </row>
    <row r="2324" spans="1:48" s="1108" customFormat="1" ht="27.75" customHeight="1">
      <c r="A2324" s="1076"/>
      <c r="B2324" s="1074">
        <f>+'[18]Bldg+Dev'!S3136</f>
        <v>0</v>
      </c>
      <c r="D2324" s="1063"/>
      <c r="F2324" s="1076"/>
      <c r="G2324" s="1063"/>
      <c r="H2324" s="1063"/>
      <c r="I2324" s="1063"/>
      <c r="J2324" s="1063"/>
      <c r="K2324" s="1063"/>
      <c r="L2324" s="1063"/>
      <c r="M2324" s="1063"/>
      <c r="N2324" s="1063"/>
      <c r="O2324" s="1063"/>
      <c r="P2324" s="1063"/>
      <c r="Q2324" s="1063"/>
      <c r="R2324" s="1063"/>
      <c r="S2324" s="1063"/>
      <c r="T2324" s="1063"/>
      <c r="U2324" s="1063"/>
      <c r="V2324" s="1063"/>
      <c r="W2324" s="1063"/>
      <c r="X2324" s="1063"/>
      <c r="Y2324" s="1063"/>
      <c r="Z2324" s="1063"/>
      <c r="AA2324" s="1063"/>
      <c r="AB2324" s="1063"/>
      <c r="AC2324" s="1063"/>
      <c r="AD2324" s="1063"/>
      <c r="AE2324" s="1063"/>
      <c r="AF2324" s="1063"/>
      <c r="AG2324" s="1063"/>
      <c r="AH2324" s="1063"/>
      <c r="AI2324" s="1063"/>
      <c r="AJ2324" s="1063"/>
      <c r="AK2324" s="1063"/>
      <c r="AL2324" s="1063"/>
      <c r="AM2324" s="1063"/>
      <c r="AN2324" s="1063"/>
      <c r="AO2324" s="1063"/>
      <c r="AP2324" s="1063"/>
      <c r="AQ2324" s="1063"/>
      <c r="AR2324" s="1063"/>
      <c r="AS2324" s="1063"/>
      <c r="AT2324" s="1063"/>
      <c r="AU2324" s="1063"/>
      <c r="AV2324" s="1063"/>
    </row>
    <row r="2325" spans="1:48" s="1108" customFormat="1" ht="27.75" customHeight="1">
      <c r="A2325" s="1076"/>
      <c r="B2325" s="1074">
        <f>+'[18]Bldg+Dev'!S3137</f>
        <v>0</v>
      </c>
      <c r="D2325" s="1063"/>
      <c r="F2325" s="1076"/>
      <c r="G2325" s="1063"/>
      <c r="H2325" s="1063"/>
      <c r="I2325" s="1063"/>
      <c r="J2325" s="1063"/>
      <c r="K2325" s="1063"/>
      <c r="L2325" s="1063"/>
      <c r="M2325" s="1063"/>
      <c r="N2325" s="1063"/>
      <c r="O2325" s="1063"/>
      <c r="P2325" s="1063"/>
      <c r="Q2325" s="1063"/>
      <c r="R2325" s="1063"/>
      <c r="S2325" s="1063"/>
      <c r="T2325" s="1063"/>
      <c r="U2325" s="1063"/>
      <c r="V2325" s="1063"/>
      <c r="W2325" s="1063"/>
      <c r="X2325" s="1063"/>
      <c r="Y2325" s="1063"/>
      <c r="Z2325" s="1063"/>
      <c r="AA2325" s="1063"/>
      <c r="AB2325" s="1063"/>
      <c r="AC2325" s="1063"/>
      <c r="AD2325" s="1063"/>
      <c r="AE2325" s="1063"/>
      <c r="AF2325" s="1063"/>
      <c r="AG2325" s="1063"/>
      <c r="AH2325" s="1063"/>
      <c r="AI2325" s="1063"/>
      <c r="AJ2325" s="1063"/>
      <c r="AK2325" s="1063"/>
      <c r="AL2325" s="1063"/>
      <c r="AM2325" s="1063"/>
      <c r="AN2325" s="1063"/>
      <c r="AO2325" s="1063"/>
      <c r="AP2325" s="1063"/>
      <c r="AQ2325" s="1063"/>
      <c r="AR2325" s="1063"/>
      <c r="AS2325" s="1063"/>
      <c r="AT2325" s="1063"/>
      <c r="AU2325" s="1063"/>
      <c r="AV2325" s="1063"/>
    </row>
    <row r="2326" spans="1:48" s="1108" customFormat="1" ht="27.75" customHeight="1">
      <c r="A2326" s="1076"/>
      <c r="B2326" s="1074">
        <f>+'[18]Bldg+Dev'!S3138</f>
        <v>0</v>
      </c>
      <c r="D2326" s="1063"/>
      <c r="F2326" s="1076"/>
      <c r="G2326" s="1063"/>
      <c r="H2326" s="1063"/>
      <c r="I2326" s="1063"/>
      <c r="J2326" s="1063"/>
      <c r="K2326" s="1063"/>
      <c r="L2326" s="1063"/>
      <c r="M2326" s="1063"/>
      <c r="N2326" s="1063"/>
      <c r="O2326" s="1063"/>
      <c r="P2326" s="1063"/>
      <c r="Q2326" s="1063"/>
      <c r="R2326" s="1063"/>
      <c r="S2326" s="1063"/>
      <c r="T2326" s="1063"/>
      <c r="U2326" s="1063"/>
      <c r="V2326" s="1063"/>
      <c r="W2326" s="1063"/>
      <c r="X2326" s="1063"/>
      <c r="Y2326" s="1063"/>
      <c r="Z2326" s="1063"/>
      <c r="AA2326" s="1063"/>
      <c r="AB2326" s="1063"/>
      <c r="AC2326" s="1063"/>
      <c r="AD2326" s="1063"/>
      <c r="AE2326" s="1063"/>
      <c r="AF2326" s="1063"/>
      <c r="AG2326" s="1063"/>
      <c r="AH2326" s="1063"/>
      <c r="AI2326" s="1063"/>
      <c r="AJ2326" s="1063"/>
      <c r="AK2326" s="1063"/>
      <c r="AL2326" s="1063"/>
      <c r="AM2326" s="1063"/>
      <c r="AN2326" s="1063"/>
      <c r="AO2326" s="1063"/>
      <c r="AP2326" s="1063"/>
      <c r="AQ2326" s="1063"/>
      <c r="AR2326" s="1063"/>
      <c r="AS2326" s="1063"/>
      <c r="AT2326" s="1063"/>
      <c r="AU2326" s="1063"/>
      <c r="AV2326" s="1063"/>
    </row>
    <row r="2327" spans="1:48" s="1108" customFormat="1" ht="27.75" customHeight="1">
      <c r="A2327" s="1076"/>
      <c r="B2327" s="1074">
        <f>+'[18]Bldg+Dev'!S3139</f>
        <v>0</v>
      </c>
      <c r="D2327" s="1063"/>
      <c r="F2327" s="1076"/>
      <c r="G2327" s="1063"/>
      <c r="H2327" s="1063"/>
      <c r="I2327" s="1063"/>
      <c r="J2327" s="1063"/>
      <c r="K2327" s="1063"/>
      <c r="L2327" s="1063"/>
      <c r="M2327" s="1063"/>
      <c r="N2327" s="1063"/>
      <c r="O2327" s="1063"/>
      <c r="P2327" s="1063"/>
      <c r="Q2327" s="1063"/>
      <c r="R2327" s="1063"/>
      <c r="S2327" s="1063"/>
      <c r="T2327" s="1063"/>
      <c r="U2327" s="1063"/>
      <c r="V2327" s="1063"/>
      <c r="W2327" s="1063"/>
      <c r="X2327" s="1063"/>
      <c r="Y2327" s="1063"/>
      <c r="Z2327" s="1063"/>
      <c r="AA2327" s="1063"/>
      <c r="AB2327" s="1063"/>
      <c r="AC2327" s="1063"/>
      <c r="AD2327" s="1063"/>
      <c r="AE2327" s="1063"/>
      <c r="AF2327" s="1063"/>
      <c r="AG2327" s="1063"/>
      <c r="AH2327" s="1063"/>
      <c r="AI2327" s="1063"/>
      <c r="AJ2327" s="1063"/>
      <c r="AK2327" s="1063"/>
      <c r="AL2327" s="1063"/>
      <c r="AM2327" s="1063"/>
      <c r="AN2327" s="1063"/>
      <c r="AO2327" s="1063"/>
      <c r="AP2327" s="1063"/>
      <c r="AQ2327" s="1063"/>
      <c r="AR2327" s="1063"/>
      <c r="AS2327" s="1063"/>
      <c r="AT2327" s="1063"/>
      <c r="AU2327" s="1063"/>
      <c r="AV2327" s="1063"/>
    </row>
    <row r="2328" spans="1:48" s="1108" customFormat="1" ht="27.75" customHeight="1">
      <c r="A2328" s="1076"/>
      <c r="B2328" s="1074">
        <f>+'[18]Bldg+Dev'!S3140</f>
        <v>0</v>
      </c>
      <c r="D2328" s="1063"/>
      <c r="F2328" s="1076"/>
      <c r="G2328" s="1063"/>
      <c r="H2328" s="1063"/>
      <c r="I2328" s="1063"/>
      <c r="J2328" s="1063"/>
      <c r="K2328" s="1063"/>
      <c r="L2328" s="1063"/>
      <c r="M2328" s="1063"/>
      <c r="N2328" s="1063"/>
      <c r="O2328" s="1063"/>
      <c r="P2328" s="1063"/>
      <c r="Q2328" s="1063"/>
      <c r="R2328" s="1063"/>
      <c r="S2328" s="1063"/>
      <c r="T2328" s="1063"/>
      <c r="U2328" s="1063"/>
      <c r="V2328" s="1063"/>
      <c r="W2328" s="1063"/>
      <c r="X2328" s="1063"/>
      <c r="Y2328" s="1063"/>
      <c r="Z2328" s="1063"/>
      <c r="AA2328" s="1063"/>
      <c r="AB2328" s="1063"/>
      <c r="AC2328" s="1063"/>
      <c r="AD2328" s="1063"/>
      <c r="AE2328" s="1063"/>
      <c r="AF2328" s="1063"/>
      <c r="AG2328" s="1063"/>
      <c r="AH2328" s="1063"/>
      <c r="AI2328" s="1063"/>
      <c r="AJ2328" s="1063"/>
      <c r="AK2328" s="1063"/>
      <c r="AL2328" s="1063"/>
      <c r="AM2328" s="1063"/>
      <c r="AN2328" s="1063"/>
      <c r="AO2328" s="1063"/>
      <c r="AP2328" s="1063"/>
      <c r="AQ2328" s="1063"/>
      <c r="AR2328" s="1063"/>
      <c r="AS2328" s="1063"/>
      <c r="AT2328" s="1063"/>
      <c r="AU2328" s="1063"/>
      <c r="AV2328" s="1063"/>
    </row>
    <row r="2329" spans="1:48" s="1108" customFormat="1" ht="27.75" customHeight="1">
      <c r="A2329" s="1076"/>
      <c r="B2329" s="1074">
        <f>+'[18]Bldg+Dev'!S3141</f>
        <v>0</v>
      </c>
      <c r="D2329" s="1063"/>
      <c r="F2329" s="1076"/>
      <c r="G2329" s="1063"/>
      <c r="H2329" s="1063"/>
      <c r="I2329" s="1063"/>
      <c r="J2329" s="1063"/>
      <c r="K2329" s="1063"/>
      <c r="L2329" s="1063"/>
      <c r="M2329" s="1063"/>
      <c r="N2329" s="1063"/>
      <c r="O2329" s="1063"/>
      <c r="P2329" s="1063"/>
      <c r="Q2329" s="1063"/>
      <c r="R2329" s="1063"/>
      <c r="S2329" s="1063"/>
      <c r="T2329" s="1063"/>
      <c r="U2329" s="1063"/>
      <c r="V2329" s="1063"/>
      <c r="W2329" s="1063"/>
      <c r="X2329" s="1063"/>
      <c r="Y2329" s="1063"/>
      <c r="Z2329" s="1063"/>
      <c r="AA2329" s="1063"/>
      <c r="AB2329" s="1063"/>
      <c r="AC2329" s="1063"/>
      <c r="AD2329" s="1063"/>
      <c r="AE2329" s="1063"/>
      <c r="AF2329" s="1063"/>
      <c r="AG2329" s="1063"/>
      <c r="AH2329" s="1063"/>
      <c r="AI2329" s="1063"/>
      <c r="AJ2329" s="1063"/>
      <c r="AK2329" s="1063"/>
      <c r="AL2329" s="1063"/>
      <c r="AM2329" s="1063"/>
      <c r="AN2329" s="1063"/>
      <c r="AO2329" s="1063"/>
      <c r="AP2329" s="1063"/>
      <c r="AQ2329" s="1063"/>
      <c r="AR2329" s="1063"/>
      <c r="AS2329" s="1063"/>
      <c r="AT2329" s="1063"/>
      <c r="AU2329" s="1063"/>
      <c r="AV2329" s="1063"/>
    </row>
    <row r="2330" spans="1:48" s="1108" customFormat="1" ht="27.75" customHeight="1">
      <c r="A2330" s="1076"/>
      <c r="B2330" s="1074">
        <f>+'[18]Bldg+Dev'!S3142</f>
        <v>0</v>
      </c>
      <c r="D2330" s="1063"/>
      <c r="F2330" s="1076"/>
      <c r="G2330" s="1063"/>
      <c r="H2330" s="1063"/>
      <c r="I2330" s="1063"/>
      <c r="J2330" s="1063"/>
      <c r="K2330" s="1063"/>
      <c r="L2330" s="1063"/>
      <c r="M2330" s="1063"/>
      <c r="N2330" s="1063"/>
      <c r="O2330" s="1063"/>
      <c r="P2330" s="1063"/>
      <c r="Q2330" s="1063"/>
      <c r="R2330" s="1063"/>
      <c r="S2330" s="1063"/>
      <c r="T2330" s="1063"/>
      <c r="U2330" s="1063"/>
      <c r="V2330" s="1063"/>
      <c r="W2330" s="1063"/>
      <c r="X2330" s="1063"/>
      <c r="Y2330" s="1063"/>
      <c r="Z2330" s="1063"/>
      <c r="AA2330" s="1063"/>
      <c r="AB2330" s="1063"/>
      <c r="AC2330" s="1063"/>
      <c r="AD2330" s="1063"/>
      <c r="AE2330" s="1063"/>
      <c r="AF2330" s="1063"/>
      <c r="AG2330" s="1063"/>
      <c r="AH2330" s="1063"/>
      <c r="AI2330" s="1063"/>
      <c r="AJ2330" s="1063"/>
      <c r="AK2330" s="1063"/>
      <c r="AL2330" s="1063"/>
      <c r="AM2330" s="1063"/>
      <c r="AN2330" s="1063"/>
      <c r="AO2330" s="1063"/>
      <c r="AP2330" s="1063"/>
      <c r="AQ2330" s="1063"/>
      <c r="AR2330" s="1063"/>
      <c r="AS2330" s="1063"/>
      <c r="AT2330" s="1063"/>
      <c r="AU2330" s="1063"/>
      <c r="AV2330" s="1063"/>
    </row>
    <row r="2331" spans="1:48" s="1108" customFormat="1" ht="27.75" customHeight="1">
      <c r="A2331" s="1076"/>
      <c r="B2331" s="1074">
        <f>+'[18]Bldg+Dev'!S3143</f>
        <v>0</v>
      </c>
      <c r="D2331" s="1063"/>
      <c r="F2331" s="1076"/>
      <c r="G2331" s="1063"/>
      <c r="H2331" s="1063"/>
      <c r="I2331" s="1063"/>
      <c r="J2331" s="1063"/>
      <c r="K2331" s="1063"/>
      <c r="L2331" s="1063"/>
      <c r="M2331" s="1063"/>
      <c r="N2331" s="1063"/>
      <c r="O2331" s="1063"/>
      <c r="P2331" s="1063"/>
      <c r="Q2331" s="1063"/>
      <c r="R2331" s="1063"/>
      <c r="S2331" s="1063"/>
      <c r="T2331" s="1063"/>
      <c r="U2331" s="1063"/>
      <c r="V2331" s="1063"/>
      <c r="W2331" s="1063"/>
      <c r="X2331" s="1063"/>
      <c r="Y2331" s="1063"/>
      <c r="Z2331" s="1063"/>
      <c r="AA2331" s="1063"/>
      <c r="AB2331" s="1063"/>
      <c r="AC2331" s="1063"/>
      <c r="AD2331" s="1063"/>
      <c r="AE2331" s="1063"/>
      <c r="AF2331" s="1063"/>
      <c r="AG2331" s="1063"/>
      <c r="AH2331" s="1063"/>
      <c r="AI2331" s="1063"/>
      <c r="AJ2331" s="1063"/>
      <c r="AK2331" s="1063"/>
      <c r="AL2331" s="1063"/>
      <c r="AM2331" s="1063"/>
      <c r="AN2331" s="1063"/>
      <c r="AO2331" s="1063"/>
      <c r="AP2331" s="1063"/>
      <c r="AQ2331" s="1063"/>
      <c r="AR2331" s="1063"/>
      <c r="AS2331" s="1063"/>
      <c r="AT2331" s="1063"/>
      <c r="AU2331" s="1063"/>
      <c r="AV2331" s="1063"/>
    </row>
    <row r="2332" spans="1:48" s="1108" customFormat="1" ht="27.75" customHeight="1">
      <c r="A2332" s="1076"/>
      <c r="B2332" s="1074">
        <f>+'[18]Bldg+Dev'!S3144</f>
        <v>0</v>
      </c>
      <c r="D2332" s="1063"/>
      <c r="F2332" s="1076"/>
      <c r="G2332" s="1063"/>
      <c r="H2332" s="1063"/>
      <c r="I2332" s="1063"/>
      <c r="J2332" s="1063"/>
      <c r="K2332" s="1063"/>
      <c r="L2332" s="1063"/>
      <c r="M2332" s="1063"/>
      <c r="N2332" s="1063"/>
      <c r="O2332" s="1063"/>
      <c r="P2332" s="1063"/>
      <c r="Q2332" s="1063"/>
      <c r="R2332" s="1063"/>
      <c r="S2332" s="1063"/>
      <c r="T2332" s="1063"/>
      <c r="U2332" s="1063"/>
      <c r="V2332" s="1063"/>
      <c r="W2332" s="1063"/>
      <c r="X2332" s="1063"/>
      <c r="Y2332" s="1063"/>
      <c r="Z2332" s="1063"/>
      <c r="AA2332" s="1063"/>
      <c r="AB2332" s="1063"/>
      <c r="AC2332" s="1063"/>
      <c r="AD2332" s="1063"/>
      <c r="AE2332" s="1063"/>
      <c r="AF2332" s="1063"/>
      <c r="AG2332" s="1063"/>
      <c r="AH2332" s="1063"/>
      <c r="AI2332" s="1063"/>
      <c r="AJ2332" s="1063"/>
      <c r="AK2332" s="1063"/>
      <c r="AL2332" s="1063"/>
      <c r="AM2332" s="1063"/>
      <c r="AN2332" s="1063"/>
      <c r="AO2332" s="1063"/>
      <c r="AP2332" s="1063"/>
      <c r="AQ2332" s="1063"/>
      <c r="AR2332" s="1063"/>
      <c r="AS2332" s="1063"/>
      <c r="AT2332" s="1063"/>
      <c r="AU2332" s="1063"/>
      <c r="AV2332" s="1063"/>
    </row>
    <row r="2333" spans="1:48" s="1108" customFormat="1" ht="27.75" customHeight="1">
      <c r="A2333" s="1076"/>
      <c r="B2333" s="1074">
        <f>+'[18]Bldg+Dev'!S3145</f>
        <v>0</v>
      </c>
      <c r="D2333" s="1063"/>
      <c r="F2333" s="1076"/>
      <c r="G2333" s="1063"/>
      <c r="H2333" s="1063"/>
      <c r="I2333" s="1063"/>
      <c r="J2333" s="1063"/>
      <c r="K2333" s="1063"/>
      <c r="L2333" s="1063"/>
      <c r="M2333" s="1063"/>
      <c r="N2333" s="1063"/>
      <c r="O2333" s="1063"/>
      <c r="P2333" s="1063"/>
      <c r="Q2333" s="1063"/>
      <c r="R2333" s="1063"/>
      <c r="S2333" s="1063"/>
      <c r="T2333" s="1063"/>
      <c r="U2333" s="1063"/>
      <c r="V2333" s="1063"/>
      <c r="W2333" s="1063"/>
      <c r="X2333" s="1063"/>
      <c r="Y2333" s="1063"/>
      <c r="Z2333" s="1063"/>
      <c r="AA2333" s="1063"/>
      <c r="AB2333" s="1063"/>
      <c r="AC2333" s="1063"/>
      <c r="AD2333" s="1063"/>
      <c r="AE2333" s="1063"/>
      <c r="AF2333" s="1063"/>
      <c r="AG2333" s="1063"/>
      <c r="AH2333" s="1063"/>
      <c r="AI2333" s="1063"/>
      <c r="AJ2333" s="1063"/>
      <c r="AK2333" s="1063"/>
      <c r="AL2333" s="1063"/>
      <c r="AM2333" s="1063"/>
      <c r="AN2333" s="1063"/>
      <c r="AO2333" s="1063"/>
      <c r="AP2333" s="1063"/>
      <c r="AQ2333" s="1063"/>
      <c r="AR2333" s="1063"/>
      <c r="AS2333" s="1063"/>
      <c r="AT2333" s="1063"/>
      <c r="AU2333" s="1063"/>
      <c r="AV2333" s="1063"/>
    </row>
    <row r="2334" spans="1:48" s="1108" customFormat="1" ht="27.75" customHeight="1">
      <c r="A2334" s="1076"/>
      <c r="B2334" s="1074">
        <f>+'[18]Bldg+Dev'!S3146</f>
        <v>0</v>
      </c>
      <c r="D2334" s="1063"/>
      <c r="F2334" s="1076"/>
      <c r="G2334" s="1063"/>
      <c r="H2334" s="1063"/>
      <c r="I2334" s="1063"/>
      <c r="J2334" s="1063"/>
      <c r="K2334" s="1063"/>
      <c r="L2334" s="1063"/>
      <c r="M2334" s="1063"/>
      <c r="N2334" s="1063"/>
      <c r="O2334" s="1063"/>
      <c r="P2334" s="1063"/>
      <c r="Q2334" s="1063"/>
      <c r="R2334" s="1063"/>
      <c r="S2334" s="1063"/>
      <c r="T2334" s="1063"/>
      <c r="U2334" s="1063"/>
      <c r="V2334" s="1063"/>
      <c r="W2334" s="1063"/>
      <c r="X2334" s="1063"/>
      <c r="Y2334" s="1063"/>
      <c r="Z2334" s="1063"/>
      <c r="AA2334" s="1063"/>
      <c r="AB2334" s="1063"/>
      <c r="AC2334" s="1063"/>
      <c r="AD2334" s="1063"/>
      <c r="AE2334" s="1063"/>
      <c r="AF2334" s="1063"/>
      <c r="AG2334" s="1063"/>
      <c r="AH2334" s="1063"/>
      <c r="AI2334" s="1063"/>
      <c r="AJ2334" s="1063"/>
      <c r="AK2334" s="1063"/>
      <c r="AL2334" s="1063"/>
      <c r="AM2334" s="1063"/>
      <c r="AN2334" s="1063"/>
      <c r="AO2334" s="1063"/>
      <c r="AP2334" s="1063"/>
      <c r="AQ2334" s="1063"/>
      <c r="AR2334" s="1063"/>
      <c r="AS2334" s="1063"/>
      <c r="AT2334" s="1063"/>
      <c r="AU2334" s="1063"/>
      <c r="AV2334" s="1063"/>
    </row>
    <row r="2335" spans="1:48" s="1108" customFormat="1" ht="27.75" customHeight="1">
      <c r="A2335" s="1076"/>
      <c r="B2335" s="1074">
        <f>+'[18]Bldg+Dev'!S3147</f>
        <v>0</v>
      </c>
      <c r="D2335" s="1063"/>
      <c r="F2335" s="1076"/>
      <c r="G2335" s="1063"/>
      <c r="H2335" s="1063"/>
      <c r="I2335" s="1063"/>
      <c r="J2335" s="1063"/>
      <c r="K2335" s="1063"/>
      <c r="L2335" s="1063"/>
      <c r="M2335" s="1063"/>
      <c r="N2335" s="1063"/>
      <c r="O2335" s="1063"/>
      <c r="P2335" s="1063"/>
      <c r="Q2335" s="1063"/>
      <c r="R2335" s="1063"/>
      <c r="S2335" s="1063"/>
      <c r="T2335" s="1063"/>
      <c r="U2335" s="1063"/>
      <c r="V2335" s="1063"/>
      <c r="W2335" s="1063"/>
      <c r="X2335" s="1063"/>
      <c r="Y2335" s="1063"/>
      <c r="Z2335" s="1063"/>
      <c r="AA2335" s="1063"/>
      <c r="AB2335" s="1063"/>
      <c r="AC2335" s="1063"/>
      <c r="AD2335" s="1063"/>
      <c r="AE2335" s="1063"/>
      <c r="AF2335" s="1063"/>
      <c r="AG2335" s="1063"/>
      <c r="AH2335" s="1063"/>
      <c r="AI2335" s="1063"/>
      <c r="AJ2335" s="1063"/>
      <c r="AK2335" s="1063"/>
      <c r="AL2335" s="1063"/>
      <c r="AM2335" s="1063"/>
      <c r="AN2335" s="1063"/>
      <c r="AO2335" s="1063"/>
      <c r="AP2335" s="1063"/>
      <c r="AQ2335" s="1063"/>
      <c r="AR2335" s="1063"/>
      <c r="AS2335" s="1063"/>
      <c r="AT2335" s="1063"/>
      <c r="AU2335" s="1063"/>
      <c r="AV2335" s="1063"/>
    </row>
    <row r="2336" spans="1:48" s="1108" customFormat="1" ht="27.75" customHeight="1">
      <c r="A2336" s="1076"/>
      <c r="B2336" s="1074">
        <f>+'[18]Bldg+Dev'!S3148</f>
        <v>0</v>
      </c>
      <c r="D2336" s="1063"/>
      <c r="F2336" s="1076"/>
      <c r="G2336" s="1063"/>
      <c r="H2336" s="1063"/>
      <c r="I2336" s="1063"/>
      <c r="J2336" s="1063"/>
      <c r="K2336" s="1063"/>
      <c r="L2336" s="1063"/>
      <c r="M2336" s="1063"/>
      <c r="N2336" s="1063"/>
      <c r="O2336" s="1063"/>
      <c r="P2336" s="1063"/>
      <c r="Q2336" s="1063"/>
      <c r="R2336" s="1063"/>
      <c r="S2336" s="1063"/>
      <c r="T2336" s="1063"/>
      <c r="U2336" s="1063"/>
      <c r="V2336" s="1063"/>
      <c r="W2336" s="1063"/>
      <c r="X2336" s="1063"/>
      <c r="Y2336" s="1063"/>
      <c r="Z2336" s="1063"/>
      <c r="AA2336" s="1063"/>
      <c r="AB2336" s="1063"/>
      <c r="AC2336" s="1063"/>
      <c r="AD2336" s="1063"/>
      <c r="AE2336" s="1063"/>
      <c r="AF2336" s="1063"/>
      <c r="AG2336" s="1063"/>
      <c r="AH2336" s="1063"/>
      <c r="AI2336" s="1063"/>
      <c r="AJ2336" s="1063"/>
      <c r="AK2336" s="1063"/>
      <c r="AL2336" s="1063"/>
      <c r="AM2336" s="1063"/>
      <c r="AN2336" s="1063"/>
      <c r="AO2336" s="1063"/>
      <c r="AP2336" s="1063"/>
      <c r="AQ2336" s="1063"/>
      <c r="AR2336" s="1063"/>
      <c r="AS2336" s="1063"/>
      <c r="AT2336" s="1063"/>
      <c r="AU2336" s="1063"/>
      <c r="AV2336" s="1063"/>
    </row>
    <row r="2337" spans="1:48" s="1108" customFormat="1" ht="27.75" customHeight="1">
      <c r="A2337" s="1076"/>
      <c r="B2337" s="1074">
        <f>+'[18]Bldg+Dev'!S3149</f>
        <v>0</v>
      </c>
      <c r="D2337" s="1063"/>
      <c r="F2337" s="1076"/>
      <c r="G2337" s="1063"/>
      <c r="H2337" s="1063"/>
      <c r="I2337" s="1063"/>
      <c r="J2337" s="1063"/>
      <c r="K2337" s="1063"/>
      <c r="L2337" s="1063"/>
      <c r="M2337" s="1063"/>
      <c r="N2337" s="1063"/>
      <c r="O2337" s="1063"/>
      <c r="P2337" s="1063"/>
      <c r="Q2337" s="1063"/>
      <c r="R2337" s="1063"/>
      <c r="S2337" s="1063"/>
      <c r="T2337" s="1063"/>
      <c r="U2337" s="1063"/>
      <c r="V2337" s="1063"/>
      <c r="W2337" s="1063"/>
      <c r="X2337" s="1063"/>
      <c r="Y2337" s="1063"/>
      <c r="Z2337" s="1063"/>
      <c r="AA2337" s="1063"/>
      <c r="AB2337" s="1063"/>
      <c r="AC2337" s="1063"/>
      <c r="AD2337" s="1063"/>
      <c r="AE2337" s="1063"/>
      <c r="AF2337" s="1063"/>
      <c r="AG2337" s="1063"/>
      <c r="AH2337" s="1063"/>
      <c r="AI2337" s="1063"/>
      <c r="AJ2337" s="1063"/>
      <c r="AK2337" s="1063"/>
      <c r="AL2337" s="1063"/>
      <c r="AM2337" s="1063"/>
      <c r="AN2337" s="1063"/>
      <c r="AO2337" s="1063"/>
      <c r="AP2337" s="1063"/>
      <c r="AQ2337" s="1063"/>
      <c r="AR2337" s="1063"/>
      <c r="AS2337" s="1063"/>
      <c r="AT2337" s="1063"/>
      <c r="AU2337" s="1063"/>
      <c r="AV2337" s="1063"/>
    </row>
    <row r="2338" spans="1:48" s="1108" customFormat="1" ht="27.75" customHeight="1">
      <c r="A2338" s="1076"/>
      <c r="B2338" s="1074">
        <f>+'[18]Bldg+Dev'!S3150</f>
        <v>0</v>
      </c>
      <c r="D2338" s="1063"/>
      <c r="F2338" s="1076"/>
      <c r="G2338" s="1063"/>
      <c r="H2338" s="1063"/>
      <c r="I2338" s="1063"/>
      <c r="J2338" s="1063"/>
      <c r="K2338" s="1063"/>
      <c r="L2338" s="1063"/>
      <c r="M2338" s="1063"/>
      <c r="N2338" s="1063"/>
      <c r="O2338" s="1063"/>
      <c r="P2338" s="1063"/>
      <c r="Q2338" s="1063"/>
      <c r="R2338" s="1063"/>
      <c r="S2338" s="1063"/>
      <c r="T2338" s="1063"/>
      <c r="U2338" s="1063"/>
      <c r="V2338" s="1063"/>
      <c r="W2338" s="1063"/>
      <c r="X2338" s="1063"/>
      <c r="Y2338" s="1063"/>
      <c r="Z2338" s="1063"/>
      <c r="AA2338" s="1063"/>
      <c r="AB2338" s="1063"/>
      <c r="AC2338" s="1063"/>
      <c r="AD2338" s="1063"/>
      <c r="AE2338" s="1063"/>
      <c r="AF2338" s="1063"/>
      <c r="AG2338" s="1063"/>
      <c r="AH2338" s="1063"/>
      <c r="AI2338" s="1063"/>
      <c r="AJ2338" s="1063"/>
      <c r="AK2338" s="1063"/>
      <c r="AL2338" s="1063"/>
      <c r="AM2338" s="1063"/>
      <c r="AN2338" s="1063"/>
      <c r="AO2338" s="1063"/>
      <c r="AP2338" s="1063"/>
      <c r="AQ2338" s="1063"/>
      <c r="AR2338" s="1063"/>
      <c r="AS2338" s="1063"/>
      <c r="AT2338" s="1063"/>
      <c r="AU2338" s="1063"/>
      <c r="AV2338" s="1063"/>
    </row>
    <row r="2339" spans="1:48" s="1108" customFormat="1" ht="27.75" customHeight="1">
      <c r="A2339" s="1076"/>
      <c r="B2339" s="1074">
        <f>+'[18]Bldg+Dev'!S3151</f>
        <v>0</v>
      </c>
      <c r="D2339" s="1063"/>
      <c r="F2339" s="1076"/>
      <c r="G2339" s="1063"/>
      <c r="H2339" s="1063"/>
      <c r="I2339" s="1063"/>
      <c r="J2339" s="1063"/>
      <c r="K2339" s="1063"/>
      <c r="L2339" s="1063"/>
      <c r="M2339" s="1063"/>
      <c r="N2339" s="1063"/>
      <c r="O2339" s="1063"/>
      <c r="P2339" s="1063"/>
      <c r="Q2339" s="1063"/>
      <c r="R2339" s="1063"/>
      <c r="S2339" s="1063"/>
      <c r="T2339" s="1063"/>
      <c r="U2339" s="1063"/>
      <c r="V2339" s="1063"/>
      <c r="W2339" s="1063"/>
      <c r="X2339" s="1063"/>
      <c r="Y2339" s="1063"/>
      <c r="Z2339" s="1063"/>
      <c r="AA2339" s="1063"/>
      <c r="AB2339" s="1063"/>
      <c r="AC2339" s="1063"/>
      <c r="AD2339" s="1063"/>
      <c r="AE2339" s="1063"/>
      <c r="AF2339" s="1063"/>
      <c r="AG2339" s="1063"/>
      <c r="AH2339" s="1063"/>
      <c r="AI2339" s="1063"/>
      <c r="AJ2339" s="1063"/>
      <c r="AK2339" s="1063"/>
      <c r="AL2339" s="1063"/>
      <c r="AM2339" s="1063"/>
      <c r="AN2339" s="1063"/>
      <c r="AO2339" s="1063"/>
      <c r="AP2339" s="1063"/>
      <c r="AQ2339" s="1063"/>
      <c r="AR2339" s="1063"/>
      <c r="AS2339" s="1063"/>
      <c r="AT2339" s="1063"/>
      <c r="AU2339" s="1063"/>
      <c r="AV2339" s="1063"/>
    </row>
    <row r="2340" spans="1:48" s="1108" customFormat="1" ht="27.75" customHeight="1">
      <c r="A2340" s="1076"/>
      <c r="B2340" s="1074">
        <f>+'[18]Bldg+Dev'!S3152</f>
        <v>0</v>
      </c>
      <c r="D2340" s="1063"/>
      <c r="F2340" s="1076"/>
      <c r="G2340" s="1063"/>
      <c r="H2340" s="1063"/>
      <c r="I2340" s="1063"/>
      <c r="J2340" s="1063"/>
      <c r="K2340" s="1063"/>
      <c r="L2340" s="1063"/>
      <c r="M2340" s="1063"/>
      <c r="N2340" s="1063"/>
      <c r="O2340" s="1063"/>
      <c r="P2340" s="1063"/>
      <c r="Q2340" s="1063"/>
      <c r="R2340" s="1063"/>
      <c r="S2340" s="1063"/>
      <c r="T2340" s="1063"/>
      <c r="U2340" s="1063"/>
      <c r="V2340" s="1063"/>
      <c r="W2340" s="1063"/>
      <c r="X2340" s="1063"/>
      <c r="Y2340" s="1063"/>
      <c r="Z2340" s="1063"/>
      <c r="AA2340" s="1063"/>
      <c r="AB2340" s="1063"/>
      <c r="AC2340" s="1063"/>
      <c r="AD2340" s="1063"/>
      <c r="AE2340" s="1063"/>
      <c r="AF2340" s="1063"/>
      <c r="AG2340" s="1063"/>
      <c r="AH2340" s="1063"/>
      <c r="AI2340" s="1063"/>
      <c r="AJ2340" s="1063"/>
      <c r="AK2340" s="1063"/>
      <c r="AL2340" s="1063"/>
      <c r="AM2340" s="1063"/>
      <c r="AN2340" s="1063"/>
      <c r="AO2340" s="1063"/>
      <c r="AP2340" s="1063"/>
      <c r="AQ2340" s="1063"/>
      <c r="AR2340" s="1063"/>
      <c r="AS2340" s="1063"/>
      <c r="AT2340" s="1063"/>
      <c r="AU2340" s="1063"/>
      <c r="AV2340" s="1063"/>
    </row>
    <row r="2341" spans="1:48" s="1108" customFormat="1" ht="27.75" customHeight="1">
      <c r="A2341" s="1076"/>
      <c r="B2341" s="1074">
        <f>+'[18]Bldg+Dev'!S3153</f>
        <v>0</v>
      </c>
      <c r="D2341" s="1063"/>
      <c r="F2341" s="1076"/>
      <c r="G2341" s="1063"/>
      <c r="H2341" s="1063"/>
      <c r="I2341" s="1063"/>
      <c r="J2341" s="1063"/>
      <c r="K2341" s="1063"/>
      <c r="L2341" s="1063"/>
      <c r="M2341" s="1063"/>
      <c r="N2341" s="1063"/>
      <c r="O2341" s="1063"/>
      <c r="P2341" s="1063"/>
      <c r="Q2341" s="1063"/>
      <c r="R2341" s="1063"/>
      <c r="S2341" s="1063"/>
      <c r="T2341" s="1063"/>
      <c r="U2341" s="1063"/>
      <c r="V2341" s="1063"/>
      <c r="W2341" s="1063"/>
      <c r="X2341" s="1063"/>
      <c r="Y2341" s="1063"/>
      <c r="Z2341" s="1063"/>
      <c r="AA2341" s="1063"/>
      <c r="AB2341" s="1063"/>
      <c r="AC2341" s="1063"/>
      <c r="AD2341" s="1063"/>
      <c r="AE2341" s="1063"/>
      <c r="AF2341" s="1063"/>
      <c r="AG2341" s="1063"/>
      <c r="AH2341" s="1063"/>
      <c r="AI2341" s="1063"/>
      <c r="AJ2341" s="1063"/>
      <c r="AK2341" s="1063"/>
      <c r="AL2341" s="1063"/>
      <c r="AM2341" s="1063"/>
      <c r="AN2341" s="1063"/>
      <c r="AO2341" s="1063"/>
      <c r="AP2341" s="1063"/>
      <c r="AQ2341" s="1063"/>
      <c r="AR2341" s="1063"/>
      <c r="AS2341" s="1063"/>
      <c r="AT2341" s="1063"/>
      <c r="AU2341" s="1063"/>
      <c r="AV2341" s="1063"/>
    </row>
    <row r="2342" spans="1:48" s="1108" customFormat="1" ht="27.75" customHeight="1">
      <c r="A2342" s="1076"/>
      <c r="B2342" s="1074">
        <f>+'[18]Bldg+Dev'!S3154</f>
        <v>0</v>
      </c>
      <c r="D2342" s="1063"/>
      <c r="F2342" s="1076"/>
      <c r="G2342" s="1063"/>
      <c r="H2342" s="1063"/>
      <c r="I2342" s="1063"/>
      <c r="J2342" s="1063"/>
      <c r="K2342" s="1063"/>
      <c r="L2342" s="1063"/>
      <c r="M2342" s="1063"/>
      <c r="N2342" s="1063"/>
      <c r="O2342" s="1063"/>
      <c r="P2342" s="1063"/>
      <c r="Q2342" s="1063"/>
      <c r="R2342" s="1063"/>
      <c r="S2342" s="1063"/>
      <c r="T2342" s="1063"/>
      <c r="U2342" s="1063"/>
      <c r="V2342" s="1063"/>
      <c r="W2342" s="1063"/>
      <c r="X2342" s="1063"/>
      <c r="Y2342" s="1063"/>
      <c r="Z2342" s="1063"/>
      <c r="AA2342" s="1063"/>
      <c r="AB2342" s="1063"/>
      <c r="AC2342" s="1063"/>
      <c r="AD2342" s="1063"/>
      <c r="AE2342" s="1063"/>
      <c r="AF2342" s="1063"/>
      <c r="AG2342" s="1063"/>
      <c r="AH2342" s="1063"/>
      <c r="AI2342" s="1063"/>
      <c r="AJ2342" s="1063"/>
      <c r="AK2342" s="1063"/>
      <c r="AL2342" s="1063"/>
      <c r="AM2342" s="1063"/>
      <c r="AN2342" s="1063"/>
      <c r="AO2342" s="1063"/>
      <c r="AP2342" s="1063"/>
      <c r="AQ2342" s="1063"/>
      <c r="AR2342" s="1063"/>
      <c r="AS2342" s="1063"/>
      <c r="AT2342" s="1063"/>
      <c r="AU2342" s="1063"/>
      <c r="AV2342" s="1063"/>
    </row>
    <row r="2343" spans="1:48" s="1108" customFormat="1" ht="27.75" customHeight="1">
      <c r="A2343" s="1076"/>
      <c r="B2343" s="1074">
        <f>+'[18]Bldg+Dev'!S3155</f>
        <v>0</v>
      </c>
      <c r="D2343" s="1063"/>
      <c r="F2343" s="1076"/>
      <c r="G2343" s="1063"/>
      <c r="H2343" s="1063"/>
      <c r="I2343" s="1063"/>
      <c r="J2343" s="1063"/>
      <c r="K2343" s="1063"/>
      <c r="L2343" s="1063"/>
      <c r="M2343" s="1063"/>
      <c r="N2343" s="1063"/>
      <c r="O2343" s="1063"/>
      <c r="P2343" s="1063"/>
      <c r="Q2343" s="1063"/>
      <c r="R2343" s="1063"/>
      <c r="S2343" s="1063"/>
      <c r="T2343" s="1063"/>
      <c r="U2343" s="1063"/>
      <c r="V2343" s="1063"/>
      <c r="W2343" s="1063"/>
      <c r="X2343" s="1063"/>
      <c r="Y2343" s="1063"/>
      <c r="Z2343" s="1063"/>
      <c r="AA2343" s="1063"/>
      <c r="AB2343" s="1063"/>
      <c r="AC2343" s="1063"/>
      <c r="AD2343" s="1063"/>
      <c r="AE2343" s="1063"/>
      <c r="AF2343" s="1063"/>
      <c r="AG2343" s="1063"/>
      <c r="AH2343" s="1063"/>
      <c r="AI2343" s="1063"/>
      <c r="AJ2343" s="1063"/>
      <c r="AK2343" s="1063"/>
      <c r="AL2343" s="1063"/>
      <c r="AM2343" s="1063"/>
      <c r="AN2343" s="1063"/>
      <c r="AO2343" s="1063"/>
      <c r="AP2343" s="1063"/>
      <c r="AQ2343" s="1063"/>
      <c r="AR2343" s="1063"/>
      <c r="AS2343" s="1063"/>
      <c r="AT2343" s="1063"/>
      <c r="AU2343" s="1063"/>
      <c r="AV2343" s="1063"/>
    </row>
    <row r="2344" spans="1:48" s="1108" customFormat="1" ht="27.75" customHeight="1">
      <c r="A2344" s="1076"/>
      <c r="B2344" s="1074">
        <f>+'[18]Bldg+Dev'!S3156</f>
        <v>0</v>
      </c>
      <c r="D2344" s="1063"/>
      <c r="F2344" s="1076"/>
      <c r="G2344" s="1063"/>
      <c r="H2344" s="1063"/>
      <c r="I2344" s="1063"/>
      <c r="J2344" s="1063"/>
      <c r="K2344" s="1063"/>
      <c r="L2344" s="1063"/>
      <c r="M2344" s="1063"/>
      <c r="N2344" s="1063"/>
      <c r="O2344" s="1063"/>
      <c r="P2344" s="1063"/>
      <c r="Q2344" s="1063"/>
      <c r="R2344" s="1063"/>
      <c r="S2344" s="1063"/>
      <c r="T2344" s="1063"/>
      <c r="U2344" s="1063"/>
      <c r="V2344" s="1063"/>
      <c r="W2344" s="1063"/>
      <c r="X2344" s="1063"/>
      <c r="Y2344" s="1063"/>
      <c r="Z2344" s="1063"/>
      <c r="AA2344" s="1063"/>
      <c r="AB2344" s="1063"/>
      <c r="AC2344" s="1063"/>
      <c r="AD2344" s="1063"/>
      <c r="AE2344" s="1063"/>
      <c r="AF2344" s="1063"/>
      <c r="AG2344" s="1063"/>
      <c r="AH2344" s="1063"/>
      <c r="AI2344" s="1063"/>
      <c r="AJ2344" s="1063"/>
      <c r="AK2344" s="1063"/>
      <c r="AL2344" s="1063"/>
      <c r="AM2344" s="1063"/>
      <c r="AN2344" s="1063"/>
      <c r="AO2344" s="1063"/>
      <c r="AP2344" s="1063"/>
      <c r="AQ2344" s="1063"/>
      <c r="AR2344" s="1063"/>
      <c r="AS2344" s="1063"/>
      <c r="AT2344" s="1063"/>
      <c r="AU2344" s="1063"/>
      <c r="AV2344" s="1063"/>
    </row>
    <row r="2345" spans="1:48" s="1108" customFormat="1" ht="27.75" customHeight="1">
      <c r="A2345" s="1076"/>
      <c r="B2345" s="1074">
        <f>+'[18]Bldg+Dev'!S3157</f>
        <v>0</v>
      </c>
      <c r="D2345" s="1063"/>
      <c r="F2345" s="1076"/>
      <c r="G2345" s="1063"/>
      <c r="H2345" s="1063"/>
      <c r="I2345" s="1063"/>
      <c r="J2345" s="1063"/>
      <c r="K2345" s="1063"/>
      <c r="L2345" s="1063"/>
      <c r="M2345" s="1063"/>
      <c r="N2345" s="1063"/>
      <c r="O2345" s="1063"/>
      <c r="P2345" s="1063"/>
      <c r="Q2345" s="1063"/>
      <c r="R2345" s="1063"/>
      <c r="S2345" s="1063"/>
      <c r="T2345" s="1063"/>
      <c r="U2345" s="1063"/>
      <c r="V2345" s="1063"/>
      <c r="W2345" s="1063"/>
      <c r="X2345" s="1063"/>
      <c r="Y2345" s="1063"/>
      <c r="Z2345" s="1063"/>
      <c r="AA2345" s="1063"/>
      <c r="AB2345" s="1063"/>
      <c r="AC2345" s="1063"/>
      <c r="AD2345" s="1063"/>
      <c r="AE2345" s="1063"/>
      <c r="AF2345" s="1063"/>
      <c r="AG2345" s="1063"/>
      <c r="AH2345" s="1063"/>
      <c r="AI2345" s="1063"/>
      <c r="AJ2345" s="1063"/>
      <c r="AK2345" s="1063"/>
      <c r="AL2345" s="1063"/>
      <c r="AM2345" s="1063"/>
      <c r="AN2345" s="1063"/>
      <c r="AO2345" s="1063"/>
      <c r="AP2345" s="1063"/>
      <c r="AQ2345" s="1063"/>
      <c r="AR2345" s="1063"/>
      <c r="AS2345" s="1063"/>
      <c r="AT2345" s="1063"/>
      <c r="AU2345" s="1063"/>
      <c r="AV2345" s="1063"/>
    </row>
    <row r="2346" spans="1:48" s="1108" customFormat="1" ht="27.75" customHeight="1">
      <c r="A2346" s="1076"/>
      <c r="B2346" s="1074">
        <f>+'[18]Bldg+Dev'!S3158</f>
        <v>0</v>
      </c>
      <c r="D2346" s="1063"/>
      <c r="F2346" s="1076"/>
      <c r="G2346" s="1063"/>
      <c r="H2346" s="1063"/>
      <c r="I2346" s="1063"/>
      <c r="J2346" s="1063"/>
      <c r="K2346" s="1063"/>
      <c r="L2346" s="1063"/>
      <c r="M2346" s="1063"/>
      <c r="N2346" s="1063"/>
      <c r="O2346" s="1063"/>
      <c r="P2346" s="1063"/>
      <c r="Q2346" s="1063"/>
      <c r="R2346" s="1063"/>
      <c r="S2346" s="1063"/>
      <c r="T2346" s="1063"/>
      <c r="U2346" s="1063"/>
      <c r="V2346" s="1063"/>
      <c r="W2346" s="1063"/>
      <c r="X2346" s="1063"/>
      <c r="Y2346" s="1063"/>
      <c r="Z2346" s="1063"/>
      <c r="AA2346" s="1063"/>
      <c r="AB2346" s="1063"/>
      <c r="AC2346" s="1063"/>
      <c r="AD2346" s="1063"/>
      <c r="AE2346" s="1063"/>
      <c r="AF2346" s="1063"/>
      <c r="AG2346" s="1063"/>
      <c r="AH2346" s="1063"/>
      <c r="AI2346" s="1063"/>
      <c r="AJ2346" s="1063"/>
      <c r="AK2346" s="1063"/>
      <c r="AL2346" s="1063"/>
      <c r="AM2346" s="1063"/>
      <c r="AN2346" s="1063"/>
      <c r="AO2346" s="1063"/>
      <c r="AP2346" s="1063"/>
      <c r="AQ2346" s="1063"/>
      <c r="AR2346" s="1063"/>
      <c r="AS2346" s="1063"/>
      <c r="AT2346" s="1063"/>
      <c r="AU2346" s="1063"/>
      <c r="AV2346" s="1063"/>
    </row>
    <row r="2347" spans="1:48" s="1108" customFormat="1" ht="27.75" customHeight="1">
      <c r="A2347" s="1076"/>
      <c r="B2347" s="1074">
        <f>+'[18]Bldg+Dev'!S3159</f>
        <v>0</v>
      </c>
      <c r="D2347" s="1063"/>
      <c r="F2347" s="1076"/>
      <c r="G2347" s="1063"/>
      <c r="H2347" s="1063"/>
      <c r="I2347" s="1063"/>
      <c r="J2347" s="1063"/>
      <c r="K2347" s="1063"/>
      <c r="L2347" s="1063"/>
      <c r="M2347" s="1063"/>
      <c r="N2347" s="1063"/>
      <c r="O2347" s="1063"/>
      <c r="P2347" s="1063"/>
      <c r="Q2347" s="1063"/>
      <c r="R2347" s="1063"/>
      <c r="S2347" s="1063"/>
      <c r="T2347" s="1063"/>
      <c r="U2347" s="1063"/>
      <c r="V2347" s="1063"/>
      <c r="W2347" s="1063"/>
      <c r="X2347" s="1063"/>
      <c r="Y2347" s="1063"/>
      <c r="Z2347" s="1063"/>
      <c r="AA2347" s="1063"/>
      <c r="AB2347" s="1063"/>
      <c r="AC2347" s="1063"/>
      <c r="AD2347" s="1063"/>
      <c r="AE2347" s="1063"/>
      <c r="AF2347" s="1063"/>
      <c r="AG2347" s="1063"/>
      <c r="AH2347" s="1063"/>
      <c r="AI2347" s="1063"/>
      <c r="AJ2347" s="1063"/>
      <c r="AK2347" s="1063"/>
      <c r="AL2347" s="1063"/>
      <c r="AM2347" s="1063"/>
      <c r="AN2347" s="1063"/>
      <c r="AO2347" s="1063"/>
      <c r="AP2347" s="1063"/>
      <c r="AQ2347" s="1063"/>
      <c r="AR2347" s="1063"/>
      <c r="AS2347" s="1063"/>
      <c r="AT2347" s="1063"/>
      <c r="AU2347" s="1063"/>
      <c r="AV2347" s="1063"/>
    </row>
    <row r="2348" spans="1:48" s="1108" customFormat="1" ht="27.75" customHeight="1">
      <c r="A2348" s="1076"/>
      <c r="B2348" s="1074">
        <f>+'[18]Bldg+Dev'!S3160</f>
        <v>0</v>
      </c>
      <c r="D2348" s="1063"/>
      <c r="F2348" s="1076"/>
      <c r="G2348" s="1063"/>
      <c r="H2348" s="1063"/>
      <c r="I2348" s="1063"/>
      <c r="J2348" s="1063"/>
      <c r="K2348" s="1063"/>
      <c r="L2348" s="1063"/>
      <c r="M2348" s="1063"/>
      <c r="N2348" s="1063"/>
      <c r="O2348" s="1063"/>
      <c r="P2348" s="1063"/>
      <c r="Q2348" s="1063"/>
      <c r="R2348" s="1063"/>
      <c r="S2348" s="1063"/>
      <c r="T2348" s="1063"/>
      <c r="U2348" s="1063"/>
      <c r="V2348" s="1063"/>
      <c r="W2348" s="1063"/>
      <c r="X2348" s="1063"/>
      <c r="Y2348" s="1063"/>
      <c r="Z2348" s="1063"/>
      <c r="AA2348" s="1063"/>
      <c r="AB2348" s="1063"/>
      <c r="AC2348" s="1063"/>
      <c r="AD2348" s="1063"/>
      <c r="AE2348" s="1063"/>
      <c r="AF2348" s="1063"/>
      <c r="AG2348" s="1063"/>
      <c r="AH2348" s="1063"/>
      <c r="AI2348" s="1063"/>
      <c r="AJ2348" s="1063"/>
      <c r="AK2348" s="1063"/>
      <c r="AL2348" s="1063"/>
      <c r="AM2348" s="1063"/>
      <c r="AN2348" s="1063"/>
      <c r="AO2348" s="1063"/>
      <c r="AP2348" s="1063"/>
      <c r="AQ2348" s="1063"/>
      <c r="AR2348" s="1063"/>
      <c r="AS2348" s="1063"/>
      <c r="AT2348" s="1063"/>
      <c r="AU2348" s="1063"/>
      <c r="AV2348" s="1063"/>
    </row>
    <row r="2349" spans="1:48" s="1108" customFormat="1" ht="27.75" customHeight="1">
      <c r="A2349" s="1076"/>
      <c r="B2349" s="1074">
        <f>+'[18]Bldg+Dev'!S3161</f>
        <v>0</v>
      </c>
      <c r="D2349" s="1063"/>
      <c r="F2349" s="1076"/>
      <c r="G2349" s="1063"/>
      <c r="H2349" s="1063"/>
      <c r="I2349" s="1063"/>
      <c r="J2349" s="1063"/>
      <c r="K2349" s="1063"/>
      <c r="L2349" s="1063"/>
      <c r="M2349" s="1063"/>
      <c r="N2349" s="1063"/>
      <c r="O2349" s="1063"/>
      <c r="P2349" s="1063"/>
      <c r="Q2349" s="1063"/>
      <c r="R2349" s="1063"/>
      <c r="S2349" s="1063"/>
      <c r="T2349" s="1063"/>
      <c r="U2349" s="1063"/>
      <c r="V2349" s="1063"/>
      <c r="W2349" s="1063"/>
      <c r="X2349" s="1063"/>
      <c r="Y2349" s="1063"/>
      <c r="Z2349" s="1063"/>
      <c r="AA2349" s="1063"/>
      <c r="AB2349" s="1063"/>
      <c r="AC2349" s="1063"/>
      <c r="AD2349" s="1063"/>
      <c r="AE2349" s="1063"/>
      <c r="AF2349" s="1063"/>
      <c r="AG2349" s="1063"/>
      <c r="AH2349" s="1063"/>
      <c r="AI2349" s="1063"/>
      <c r="AJ2349" s="1063"/>
      <c r="AK2349" s="1063"/>
      <c r="AL2349" s="1063"/>
      <c r="AM2349" s="1063"/>
      <c r="AN2349" s="1063"/>
      <c r="AO2349" s="1063"/>
      <c r="AP2349" s="1063"/>
      <c r="AQ2349" s="1063"/>
      <c r="AR2349" s="1063"/>
      <c r="AS2349" s="1063"/>
      <c r="AT2349" s="1063"/>
      <c r="AU2349" s="1063"/>
      <c r="AV2349" s="1063"/>
    </row>
    <row r="2350" spans="1:48" s="1108" customFormat="1" ht="27.75" customHeight="1">
      <c r="A2350" s="1076"/>
      <c r="B2350" s="1074">
        <f>+'[18]Bldg+Dev'!S3162</f>
        <v>0</v>
      </c>
      <c r="D2350" s="1063"/>
      <c r="F2350" s="1076"/>
      <c r="G2350" s="1063"/>
      <c r="H2350" s="1063"/>
      <c r="I2350" s="1063"/>
      <c r="J2350" s="1063"/>
      <c r="K2350" s="1063"/>
      <c r="L2350" s="1063"/>
      <c r="M2350" s="1063"/>
      <c r="N2350" s="1063"/>
      <c r="O2350" s="1063"/>
      <c r="P2350" s="1063"/>
      <c r="Q2350" s="1063"/>
      <c r="R2350" s="1063"/>
      <c r="S2350" s="1063"/>
      <c r="T2350" s="1063"/>
      <c r="U2350" s="1063"/>
      <c r="V2350" s="1063"/>
      <c r="W2350" s="1063"/>
      <c r="X2350" s="1063"/>
      <c r="Y2350" s="1063"/>
      <c r="Z2350" s="1063"/>
      <c r="AA2350" s="1063"/>
      <c r="AB2350" s="1063"/>
      <c r="AC2350" s="1063"/>
      <c r="AD2350" s="1063"/>
      <c r="AE2350" s="1063"/>
      <c r="AF2350" s="1063"/>
      <c r="AG2350" s="1063"/>
      <c r="AH2350" s="1063"/>
      <c r="AI2350" s="1063"/>
      <c r="AJ2350" s="1063"/>
      <c r="AK2350" s="1063"/>
      <c r="AL2350" s="1063"/>
      <c r="AM2350" s="1063"/>
      <c r="AN2350" s="1063"/>
      <c r="AO2350" s="1063"/>
      <c r="AP2350" s="1063"/>
      <c r="AQ2350" s="1063"/>
      <c r="AR2350" s="1063"/>
      <c r="AS2350" s="1063"/>
      <c r="AT2350" s="1063"/>
      <c r="AU2350" s="1063"/>
      <c r="AV2350" s="1063"/>
    </row>
    <row r="2351" spans="1:48" s="1108" customFormat="1" ht="27.75" customHeight="1">
      <c r="A2351" s="1076"/>
      <c r="B2351" s="1074">
        <f>+'[18]Bldg+Dev'!S3163</f>
        <v>0</v>
      </c>
      <c r="D2351" s="1063"/>
      <c r="F2351" s="1076"/>
      <c r="G2351" s="1063"/>
      <c r="H2351" s="1063"/>
      <c r="I2351" s="1063"/>
      <c r="J2351" s="1063"/>
      <c r="K2351" s="1063"/>
      <c r="L2351" s="1063"/>
      <c r="M2351" s="1063"/>
      <c r="N2351" s="1063"/>
      <c r="O2351" s="1063"/>
      <c r="P2351" s="1063"/>
      <c r="Q2351" s="1063"/>
      <c r="R2351" s="1063"/>
      <c r="S2351" s="1063"/>
      <c r="T2351" s="1063"/>
      <c r="U2351" s="1063"/>
      <c r="V2351" s="1063"/>
      <c r="W2351" s="1063"/>
      <c r="X2351" s="1063"/>
      <c r="Y2351" s="1063"/>
      <c r="Z2351" s="1063"/>
      <c r="AA2351" s="1063"/>
      <c r="AB2351" s="1063"/>
      <c r="AC2351" s="1063"/>
      <c r="AD2351" s="1063"/>
      <c r="AE2351" s="1063"/>
      <c r="AF2351" s="1063"/>
      <c r="AG2351" s="1063"/>
      <c r="AH2351" s="1063"/>
      <c r="AI2351" s="1063"/>
      <c r="AJ2351" s="1063"/>
      <c r="AK2351" s="1063"/>
      <c r="AL2351" s="1063"/>
      <c r="AM2351" s="1063"/>
      <c r="AN2351" s="1063"/>
      <c r="AO2351" s="1063"/>
      <c r="AP2351" s="1063"/>
      <c r="AQ2351" s="1063"/>
      <c r="AR2351" s="1063"/>
      <c r="AS2351" s="1063"/>
      <c r="AT2351" s="1063"/>
      <c r="AU2351" s="1063"/>
      <c r="AV2351" s="1063"/>
    </row>
    <row r="2352" spans="1:48" s="1108" customFormat="1" ht="27.75" customHeight="1">
      <c r="A2352" s="1076"/>
      <c r="B2352" s="1074">
        <f>+'[18]Bldg+Dev'!S3164</f>
        <v>0</v>
      </c>
      <c r="D2352" s="1063"/>
      <c r="F2352" s="1076"/>
      <c r="G2352" s="1063"/>
      <c r="H2352" s="1063"/>
      <c r="I2352" s="1063"/>
      <c r="J2352" s="1063"/>
      <c r="K2352" s="1063"/>
      <c r="L2352" s="1063"/>
      <c r="M2352" s="1063"/>
      <c r="N2352" s="1063"/>
      <c r="O2352" s="1063"/>
      <c r="P2352" s="1063"/>
      <c r="Q2352" s="1063"/>
      <c r="R2352" s="1063"/>
      <c r="S2352" s="1063"/>
      <c r="T2352" s="1063"/>
      <c r="U2352" s="1063"/>
      <c r="V2352" s="1063"/>
      <c r="W2352" s="1063"/>
      <c r="X2352" s="1063"/>
      <c r="Y2352" s="1063"/>
      <c r="Z2352" s="1063"/>
      <c r="AA2352" s="1063"/>
      <c r="AB2352" s="1063"/>
      <c r="AC2352" s="1063"/>
      <c r="AD2352" s="1063"/>
      <c r="AE2352" s="1063"/>
      <c r="AF2352" s="1063"/>
      <c r="AG2352" s="1063"/>
      <c r="AH2352" s="1063"/>
      <c r="AI2352" s="1063"/>
      <c r="AJ2352" s="1063"/>
      <c r="AK2352" s="1063"/>
      <c r="AL2352" s="1063"/>
      <c r="AM2352" s="1063"/>
      <c r="AN2352" s="1063"/>
      <c r="AO2352" s="1063"/>
      <c r="AP2352" s="1063"/>
      <c r="AQ2352" s="1063"/>
      <c r="AR2352" s="1063"/>
      <c r="AS2352" s="1063"/>
      <c r="AT2352" s="1063"/>
      <c r="AU2352" s="1063"/>
      <c r="AV2352" s="1063"/>
    </row>
    <row r="2353" spans="1:48" s="1108" customFormat="1" ht="27.75" customHeight="1">
      <c r="A2353" s="1076"/>
      <c r="B2353" s="1074">
        <f>+'[18]Bldg+Dev'!S3165</f>
        <v>0</v>
      </c>
      <c r="D2353" s="1063"/>
      <c r="F2353" s="1076"/>
      <c r="G2353" s="1063"/>
      <c r="H2353" s="1063"/>
      <c r="I2353" s="1063"/>
      <c r="J2353" s="1063"/>
      <c r="K2353" s="1063"/>
      <c r="L2353" s="1063"/>
      <c r="M2353" s="1063"/>
      <c r="N2353" s="1063"/>
      <c r="O2353" s="1063"/>
      <c r="P2353" s="1063"/>
      <c r="Q2353" s="1063"/>
      <c r="R2353" s="1063"/>
      <c r="S2353" s="1063"/>
      <c r="T2353" s="1063"/>
      <c r="U2353" s="1063"/>
      <c r="V2353" s="1063"/>
      <c r="W2353" s="1063"/>
      <c r="X2353" s="1063"/>
      <c r="Y2353" s="1063"/>
      <c r="Z2353" s="1063"/>
      <c r="AA2353" s="1063"/>
      <c r="AB2353" s="1063"/>
      <c r="AC2353" s="1063"/>
      <c r="AD2353" s="1063"/>
      <c r="AE2353" s="1063"/>
      <c r="AF2353" s="1063"/>
      <c r="AG2353" s="1063"/>
      <c r="AH2353" s="1063"/>
      <c r="AI2353" s="1063"/>
      <c r="AJ2353" s="1063"/>
      <c r="AK2353" s="1063"/>
      <c r="AL2353" s="1063"/>
      <c r="AM2353" s="1063"/>
      <c r="AN2353" s="1063"/>
      <c r="AO2353" s="1063"/>
      <c r="AP2353" s="1063"/>
      <c r="AQ2353" s="1063"/>
      <c r="AR2353" s="1063"/>
      <c r="AS2353" s="1063"/>
      <c r="AT2353" s="1063"/>
      <c r="AU2353" s="1063"/>
      <c r="AV2353" s="1063"/>
    </row>
    <row r="2354" spans="1:48" s="1108" customFormat="1" ht="27.75" customHeight="1">
      <c r="A2354" s="1076"/>
      <c r="B2354" s="1074">
        <f>+'[18]Bldg+Dev'!S3166</f>
        <v>0</v>
      </c>
      <c r="D2354" s="1063"/>
      <c r="F2354" s="1076"/>
      <c r="G2354" s="1063"/>
      <c r="H2354" s="1063"/>
      <c r="I2354" s="1063"/>
      <c r="J2354" s="1063"/>
      <c r="K2354" s="1063"/>
      <c r="L2354" s="1063"/>
      <c r="M2354" s="1063"/>
      <c r="N2354" s="1063"/>
      <c r="O2354" s="1063"/>
      <c r="P2354" s="1063"/>
      <c r="Q2354" s="1063"/>
      <c r="R2354" s="1063"/>
      <c r="S2354" s="1063"/>
      <c r="T2354" s="1063"/>
      <c r="U2354" s="1063"/>
      <c r="V2354" s="1063"/>
      <c r="W2354" s="1063"/>
      <c r="X2354" s="1063"/>
      <c r="Y2354" s="1063"/>
      <c r="Z2354" s="1063"/>
      <c r="AA2354" s="1063"/>
      <c r="AB2354" s="1063"/>
      <c r="AC2354" s="1063"/>
      <c r="AD2354" s="1063"/>
      <c r="AE2354" s="1063"/>
      <c r="AF2354" s="1063"/>
      <c r="AG2354" s="1063"/>
      <c r="AH2354" s="1063"/>
      <c r="AI2354" s="1063"/>
      <c r="AJ2354" s="1063"/>
      <c r="AK2354" s="1063"/>
      <c r="AL2354" s="1063"/>
      <c r="AM2354" s="1063"/>
      <c r="AN2354" s="1063"/>
      <c r="AO2354" s="1063"/>
      <c r="AP2354" s="1063"/>
      <c r="AQ2354" s="1063"/>
      <c r="AR2354" s="1063"/>
      <c r="AS2354" s="1063"/>
      <c r="AT2354" s="1063"/>
      <c r="AU2354" s="1063"/>
      <c r="AV2354" s="1063"/>
    </row>
    <row r="2355" spans="1:48" s="1108" customFormat="1" ht="27.75" customHeight="1">
      <c r="A2355" s="1076"/>
      <c r="B2355" s="1074">
        <f>+'[18]Bldg+Dev'!S3167</f>
        <v>0</v>
      </c>
      <c r="D2355" s="1063"/>
      <c r="F2355" s="1076"/>
      <c r="G2355" s="1063"/>
      <c r="H2355" s="1063"/>
      <c r="I2355" s="1063"/>
      <c r="J2355" s="1063"/>
      <c r="K2355" s="1063"/>
      <c r="L2355" s="1063"/>
      <c r="M2355" s="1063"/>
      <c r="N2355" s="1063"/>
      <c r="O2355" s="1063"/>
      <c r="P2355" s="1063"/>
      <c r="Q2355" s="1063"/>
      <c r="R2355" s="1063"/>
      <c r="S2355" s="1063"/>
      <c r="T2355" s="1063"/>
      <c r="U2355" s="1063"/>
      <c r="V2355" s="1063"/>
      <c r="W2355" s="1063"/>
      <c r="X2355" s="1063"/>
      <c r="Y2355" s="1063"/>
      <c r="Z2355" s="1063"/>
      <c r="AA2355" s="1063"/>
      <c r="AB2355" s="1063"/>
      <c r="AC2355" s="1063"/>
      <c r="AD2355" s="1063"/>
      <c r="AE2355" s="1063"/>
      <c r="AF2355" s="1063"/>
      <c r="AG2355" s="1063"/>
      <c r="AH2355" s="1063"/>
      <c r="AI2355" s="1063"/>
      <c r="AJ2355" s="1063"/>
      <c r="AK2355" s="1063"/>
      <c r="AL2355" s="1063"/>
      <c r="AM2355" s="1063"/>
      <c r="AN2355" s="1063"/>
      <c r="AO2355" s="1063"/>
      <c r="AP2355" s="1063"/>
      <c r="AQ2355" s="1063"/>
      <c r="AR2355" s="1063"/>
      <c r="AS2355" s="1063"/>
      <c r="AT2355" s="1063"/>
      <c r="AU2355" s="1063"/>
      <c r="AV2355" s="1063"/>
    </row>
    <row r="2356" spans="1:48" s="1108" customFormat="1" ht="27.75" customHeight="1">
      <c r="A2356" s="1076"/>
      <c r="B2356" s="1074">
        <f>+'[18]Bldg+Dev'!S3168</f>
        <v>0</v>
      </c>
      <c r="D2356" s="1063"/>
      <c r="F2356" s="1076"/>
      <c r="G2356" s="1063"/>
      <c r="H2356" s="1063"/>
      <c r="I2356" s="1063"/>
      <c r="J2356" s="1063"/>
      <c r="K2356" s="1063"/>
      <c r="L2356" s="1063"/>
      <c r="M2356" s="1063"/>
      <c r="N2356" s="1063"/>
      <c r="O2356" s="1063"/>
      <c r="P2356" s="1063"/>
      <c r="Q2356" s="1063"/>
      <c r="R2356" s="1063"/>
      <c r="S2356" s="1063"/>
      <c r="T2356" s="1063"/>
      <c r="U2356" s="1063"/>
      <c r="V2356" s="1063"/>
      <c r="W2356" s="1063"/>
      <c r="X2356" s="1063"/>
      <c r="Y2356" s="1063"/>
      <c r="Z2356" s="1063"/>
      <c r="AA2356" s="1063"/>
      <c r="AB2356" s="1063"/>
      <c r="AC2356" s="1063"/>
      <c r="AD2356" s="1063"/>
      <c r="AE2356" s="1063"/>
      <c r="AF2356" s="1063"/>
      <c r="AG2356" s="1063"/>
      <c r="AH2356" s="1063"/>
      <c r="AI2356" s="1063"/>
      <c r="AJ2356" s="1063"/>
      <c r="AK2356" s="1063"/>
      <c r="AL2356" s="1063"/>
      <c r="AM2356" s="1063"/>
      <c r="AN2356" s="1063"/>
      <c r="AO2356" s="1063"/>
      <c r="AP2356" s="1063"/>
      <c r="AQ2356" s="1063"/>
      <c r="AR2356" s="1063"/>
      <c r="AS2356" s="1063"/>
      <c r="AT2356" s="1063"/>
      <c r="AU2356" s="1063"/>
      <c r="AV2356" s="1063"/>
    </row>
    <row r="2357" spans="1:48" s="1108" customFormat="1" ht="27.75" customHeight="1">
      <c r="A2357" s="1076"/>
      <c r="B2357" s="1074">
        <f>+'[18]Bldg+Dev'!S3169</f>
        <v>0</v>
      </c>
      <c r="D2357" s="1063"/>
      <c r="F2357" s="1076"/>
      <c r="G2357" s="1063"/>
      <c r="H2357" s="1063"/>
      <c r="I2357" s="1063"/>
      <c r="J2357" s="1063"/>
      <c r="K2357" s="1063"/>
      <c r="L2357" s="1063"/>
      <c r="M2357" s="1063"/>
      <c r="N2357" s="1063"/>
      <c r="O2357" s="1063"/>
      <c r="P2357" s="1063"/>
      <c r="Q2357" s="1063"/>
      <c r="R2357" s="1063"/>
      <c r="S2357" s="1063"/>
      <c r="T2357" s="1063"/>
      <c r="U2357" s="1063"/>
      <c r="V2357" s="1063"/>
      <c r="W2357" s="1063"/>
      <c r="X2357" s="1063"/>
      <c r="Y2357" s="1063"/>
      <c r="Z2357" s="1063"/>
      <c r="AA2357" s="1063"/>
      <c r="AB2357" s="1063"/>
      <c r="AC2357" s="1063"/>
      <c r="AD2357" s="1063"/>
      <c r="AE2357" s="1063"/>
      <c r="AF2357" s="1063"/>
      <c r="AG2357" s="1063"/>
      <c r="AH2357" s="1063"/>
      <c r="AI2357" s="1063"/>
      <c r="AJ2357" s="1063"/>
      <c r="AK2357" s="1063"/>
      <c r="AL2357" s="1063"/>
      <c r="AM2357" s="1063"/>
      <c r="AN2357" s="1063"/>
      <c r="AO2357" s="1063"/>
      <c r="AP2357" s="1063"/>
      <c r="AQ2357" s="1063"/>
      <c r="AR2357" s="1063"/>
      <c r="AS2357" s="1063"/>
      <c r="AT2357" s="1063"/>
      <c r="AU2357" s="1063"/>
      <c r="AV2357" s="1063"/>
    </row>
    <row r="2358" spans="1:48" s="1108" customFormat="1" ht="27.75" customHeight="1">
      <c r="A2358" s="1076"/>
      <c r="B2358" s="1074">
        <f>+'[18]Bldg+Dev'!S3170</f>
        <v>0</v>
      </c>
      <c r="D2358" s="1063"/>
      <c r="F2358" s="1076"/>
      <c r="G2358" s="1063"/>
      <c r="H2358" s="1063"/>
      <c r="I2358" s="1063"/>
      <c r="J2358" s="1063"/>
      <c r="K2358" s="1063"/>
      <c r="L2358" s="1063"/>
      <c r="M2358" s="1063"/>
      <c r="N2358" s="1063"/>
      <c r="O2358" s="1063"/>
      <c r="P2358" s="1063"/>
      <c r="Q2358" s="1063"/>
      <c r="R2358" s="1063"/>
      <c r="S2358" s="1063"/>
      <c r="T2358" s="1063"/>
      <c r="U2358" s="1063"/>
      <c r="V2358" s="1063"/>
      <c r="W2358" s="1063"/>
      <c r="X2358" s="1063"/>
      <c r="Y2358" s="1063"/>
      <c r="Z2358" s="1063"/>
      <c r="AA2358" s="1063"/>
      <c r="AB2358" s="1063"/>
      <c r="AC2358" s="1063"/>
      <c r="AD2358" s="1063"/>
      <c r="AE2358" s="1063"/>
      <c r="AF2358" s="1063"/>
      <c r="AG2358" s="1063"/>
      <c r="AH2358" s="1063"/>
      <c r="AI2358" s="1063"/>
      <c r="AJ2358" s="1063"/>
      <c r="AK2358" s="1063"/>
      <c r="AL2358" s="1063"/>
      <c r="AM2358" s="1063"/>
      <c r="AN2358" s="1063"/>
      <c r="AO2358" s="1063"/>
      <c r="AP2358" s="1063"/>
      <c r="AQ2358" s="1063"/>
      <c r="AR2358" s="1063"/>
      <c r="AS2358" s="1063"/>
      <c r="AT2358" s="1063"/>
      <c r="AU2358" s="1063"/>
      <c r="AV2358" s="1063"/>
    </row>
    <row r="2359" spans="1:48" s="1108" customFormat="1" ht="27.75" customHeight="1">
      <c r="A2359" s="1076"/>
      <c r="B2359" s="1074">
        <f>+'[18]Bldg+Dev'!S3171</f>
        <v>0</v>
      </c>
      <c r="D2359" s="1063"/>
      <c r="F2359" s="1076"/>
      <c r="G2359" s="1063"/>
      <c r="H2359" s="1063"/>
      <c r="I2359" s="1063"/>
      <c r="J2359" s="1063"/>
      <c r="K2359" s="1063"/>
      <c r="L2359" s="1063"/>
      <c r="M2359" s="1063"/>
      <c r="N2359" s="1063"/>
      <c r="O2359" s="1063"/>
      <c r="P2359" s="1063"/>
      <c r="Q2359" s="1063"/>
      <c r="R2359" s="1063"/>
      <c r="S2359" s="1063"/>
      <c r="T2359" s="1063"/>
      <c r="U2359" s="1063"/>
      <c r="V2359" s="1063"/>
      <c r="W2359" s="1063"/>
      <c r="X2359" s="1063"/>
      <c r="Y2359" s="1063"/>
      <c r="Z2359" s="1063"/>
      <c r="AA2359" s="1063"/>
      <c r="AB2359" s="1063"/>
      <c r="AC2359" s="1063"/>
      <c r="AD2359" s="1063"/>
      <c r="AE2359" s="1063"/>
      <c r="AF2359" s="1063"/>
      <c r="AG2359" s="1063"/>
      <c r="AH2359" s="1063"/>
      <c r="AI2359" s="1063"/>
      <c r="AJ2359" s="1063"/>
      <c r="AK2359" s="1063"/>
      <c r="AL2359" s="1063"/>
      <c r="AM2359" s="1063"/>
      <c r="AN2359" s="1063"/>
      <c r="AO2359" s="1063"/>
      <c r="AP2359" s="1063"/>
      <c r="AQ2359" s="1063"/>
      <c r="AR2359" s="1063"/>
      <c r="AS2359" s="1063"/>
      <c r="AT2359" s="1063"/>
      <c r="AU2359" s="1063"/>
      <c r="AV2359" s="1063"/>
    </row>
    <row r="2360" spans="1:48" s="1108" customFormat="1" ht="27.75" customHeight="1">
      <c r="A2360" s="1076"/>
      <c r="B2360" s="1074">
        <f>+'[18]Bldg+Dev'!S3172</f>
        <v>0</v>
      </c>
      <c r="D2360" s="1063"/>
      <c r="F2360" s="1076"/>
      <c r="G2360" s="1063"/>
      <c r="H2360" s="1063"/>
      <c r="I2360" s="1063"/>
      <c r="J2360" s="1063"/>
      <c r="K2360" s="1063"/>
      <c r="L2360" s="1063"/>
      <c r="M2360" s="1063"/>
      <c r="N2360" s="1063"/>
      <c r="O2360" s="1063"/>
      <c r="P2360" s="1063"/>
      <c r="Q2360" s="1063"/>
      <c r="R2360" s="1063"/>
      <c r="S2360" s="1063"/>
      <c r="T2360" s="1063"/>
      <c r="U2360" s="1063"/>
      <c r="V2360" s="1063"/>
      <c r="W2360" s="1063"/>
      <c r="X2360" s="1063"/>
      <c r="Y2360" s="1063"/>
      <c r="Z2360" s="1063"/>
      <c r="AA2360" s="1063"/>
      <c r="AB2360" s="1063"/>
      <c r="AC2360" s="1063"/>
      <c r="AD2360" s="1063"/>
      <c r="AE2360" s="1063"/>
      <c r="AF2360" s="1063"/>
      <c r="AG2360" s="1063"/>
      <c r="AH2360" s="1063"/>
      <c r="AI2360" s="1063"/>
      <c r="AJ2360" s="1063"/>
      <c r="AK2360" s="1063"/>
      <c r="AL2360" s="1063"/>
      <c r="AM2360" s="1063"/>
      <c r="AN2360" s="1063"/>
      <c r="AO2360" s="1063"/>
      <c r="AP2360" s="1063"/>
      <c r="AQ2360" s="1063"/>
      <c r="AR2360" s="1063"/>
      <c r="AS2360" s="1063"/>
      <c r="AT2360" s="1063"/>
      <c r="AU2360" s="1063"/>
      <c r="AV2360" s="1063"/>
    </row>
    <row r="2361" spans="1:48" s="1108" customFormat="1" ht="27.75" customHeight="1">
      <c r="A2361" s="1076"/>
      <c r="B2361" s="1074">
        <f>+'[18]Bldg+Dev'!S3173</f>
        <v>0</v>
      </c>
      <c r="D2361" s="1063"/>
      <c r="F2361" s="1076"/>
      <c r="G2361" s="1063"/>
      <c r="H2361" s="1063"/>
      <c r="I2361" s="1063"/>
      <c r="J2361" s="1063"/>
      <c r="K2361" s="1063"/>
      <c r="L2361" s="1063"/>
      <c r="M2361" s="1063"/>
      <c r="N2361" s="1063"/>
      <c r="O2361" s="1063"/>
      <c r="P2361" s="1063"/>
      <c r="Q2361" s="1063"/>
      <c r="R2361" s="1063"/>
      <c r="S2361" s="1063"/>
      <c r="T2361" s="1063"/>
      <c r="U2361" s="1063"/>
      <c r="V2361" s="1063"/>
      <c r="W2361" s="1063"/>
      <c r="X2361" s="1063"/>
      <c r="Y2361" s="1063"/>
      <c r="Z2361" s="1063"/>
      <c r="AA2361" s="1063"/>
      <c r="AB2361" s="1063"/>
      <c r="AC2361" s="1063"/>
      <c r="AD2361" s="1063"/>
      <c r="AE2361" s="1063"/>
      <c r="AF2361" s="1063"/>
      <c r="AG2361" s="1063"/>
      <c r="AH2361" s="1063"/>
      <c r="AI2361" s="1063"/>
      <c r="AJ2361" s="1063"/>
      <c r="AK2361" s="1063"/>
      <c r="AL2361" s="1063"/>
      <c r="AM2361" s="1063"/>
      <c r="AN2361" s="1063"/>
      <c r="AO2361" s="1063"/>
      <c r="AP2361" s="1063"/>
      <c r="AQ2361" s="1063"/>
      <c r="AR2361" s="1063"/>
      <c r="AS2361" s="1063"/>
      <c r="AT2361" s="1063"/>
      <c r="AU2361" s="1063"/>
      <c r="AV2361" s="1063"/>
    </row>
    <row r="2362" spans="1:48" s="1108" customFormat="1" ht="27.75" customHeight="1">
      <c r="A2362" s="1076"/>
      <c r="B2362" s="1074">
        <f>+'[18]Bldg+Dev'!S3174</f>
        <v>0</v>
      </c>
      <c r="D2362" s="1063"/>
      <c r="F2362" s="1076"/>
      <c r="G2362" s="1063"/>
      <c r="H2362" s="1063"/>
      <c r="I2362" s="1063"/>
      <c r="J2362" s="1063"/>
      <c r="K2362" s="1063"/>
      <c r="L2362" s="1063"/>
      <c r="M2362" s="1063"/>
      <c r="N2362" s="1063"/>
      <c r="O2362" s="1063"/>
      <c r="P2362" s="1063"/>
      <c r="Q2362" s="1063"/>
      <c r="R2362" s="1063"/>
      <c r="S2362" s="1063"/>
      <c r="T2362" s="1063"/>
      <c r="U2362" s="1063"/>
      <c r="V2362" s="1063"/>
      <c r="W2362" s="1063"/>
      <c r="X2362" s="1063"/>
      <c r="Y2362" s="1063"/>
      <c r="Z2362" s="1063"/>
      <c r="AA2362" s="1063"/>
      <c r="AB2362" s="1063"/>
      <c r="AC2362" s="1063"/>
      <c r="AD2362" s="1063"/>
      <c r="AE2362" s="1063"/>
      <c r="AF2362" s="1063"/>
      <c r="AG2362" s="1063"/>
      <c r="AH2362" s="1063"/>
      <c r="AI2362" s="1063"/>
      <c r="AJ2362" s="1063"/>
      <c r="AK2362" s="1063"/>
      <c r="AL2362" s="1063"/>
      <c r="AM2362" s="1063"/>
      <c r="AN2362" s="1063"/>
      <c r="AO2362" s="1063"/>
      <c r="AP2362" s="1063"/>
      <c r="AQ2362" s="1063"/>
      <c r="AR2362" s="1063"/>
      <c r="AS2362" s="1063"/>
      <c r="AT2362" s="1063"/>
      <c r="AU2362" s="1063"/>
      <c r="AV2362" s="1063"/>
    </row>
    <row r="2363" spans="1:48" s="1108" customFormat="1" ht="27.75" customHeight="1">
      <c r="A2363" s="1076"/>
      <c r="B2363" s="1074">
        <f>+'[18]Bldg+Dev'!S3175</f>
        <v>0</v>
      </c>
      <c r="D2363" s="1063"/>
      <c r="F2363" s="1076"/>
      <c r="G2363" s="1063"/>
      <c r="H2363" s="1063"/>
      <c r="I2363" s="1063"/>
      <c r="J2363" s="1063"/>
      <c r="K2363" s="1063"/>
      <c r="L2363" s="1063"/>
      <c r="M2363" s="1063"/>
      <c r="N2363" s="1063"/>
      <c r="O2363" s="1063"/>
      <c r="P2363" s="1063"/>
      <c r="Q2363" s="1063"/>
      <c r="R2363" s="1063"/>
      <c r="S2363" s="1063"/>
      <c r="T2363" s="1063"/>
      <c r="U2363" s="1063"/>
      <c r="V2363" s="1063"/>
      <c r="W2363" s="1063"/>
      <c r="X2363" s="1063"/>
      <c r="Y2363" s="1063"/>
      <c r="Z2363" s="1063"/>
      <c r="AA2363" s="1063"/>
      <c r="AB2363" s="1063"/>
      <c r="AC2363" s="1063"/>
      <c r="AD2363" s="1063"/>
      <c r="AE2363" s="1063"/>
      <c r="AF2363" s="1063"/>
      <c r="AG2363" s="1063"/>
      <c r="AH2363" s="1063"/>
      <c r="AI2363" s="1063"/>
      <c r="AJ2363" s="1063"/>
      <c r="AK2363" s="1063"/>
      <c r="AL2363" s="1063"/>
      <c r="AM2363" s="1063"/>
      <c r="AN2363" s="1063"/>
      <c r="AO2363" s="1063"/>
      <c r="AP2363" s="1063"/>
      <c r="AQ2363" s="1063"/>
      <c r="AR2363" s="1063"/>
      <c r="AS2363" s="1063"/>
      <c r="AT2363" s="1063"/>
      <c r="AU2363" s="1063"/>
      <c r="AV2363" s="1063"/>
    </row>
    <row r="2364" spans="1:48" s="1108" customFormat="1" ht="27.75" customHeight="1">
      <c r="A2364" s="1076"/>
      <c r="B2364" s="1074">
        <f>+'[18]Bldg+Dev'!S3176</f>
        <v>0</v>
      </c>
      <c r="D2364" s="1063"/>
      <c r="F2364" s="1076"/>
      <c r="G2364" s="1063"/>
      <c r="H2364" s="1063"/>
      <c r="I2364" s="1063"/>
      <c r="J2364" s="1063"/>
      <c r="K2364" s="1063"/>
      <c r="L2364" s="1063"/>
      <c r="M2364" s="1063"/>
      <c r="N2364" s="1063"/>
      <c r="O2364" s="1063"/>
      <c r="P2364" s="1063"/>
      <c r="Q2364" s="1063"/>
      <c r="R2364" s="1063"/>
      <c r="S2364" s="1063"/>
      <c r="T2364" s="1063"/>
      <c r="U2364" s="1063"/>
      <c r="V2364" s="1063"/>
      <c r="W2364" s="1063"/>
      <c r="X2364" s="1063"/>
      <c r="Y2364" s="1063"/>
      <c r="Z2364" s="1063"/>
      <c r="AA2364" s="1063"/>
      <c r="AB2364" s="1063"/>
      <c r="AC2364" s="1063"/>
      <c r="AD2364" s="1063"/>
      <c r="AE2364" s="1063"/>
      <c r="AF2364" s="1063"/>
      <c r="AG2364" s="1063"/>
      <c r="AH2364" s="1063"/>
      <c r="AI2364" s="1063"/>
      <c r="AJ2364" s="1063"/>
      <c r="AK2364" s="1063"/>
      <c r="AL2364" s="1063"/>
      <c r="AM2364" s="1063"/>
      <c r="AN2364" s="1063"/>
      <c r="AO2364" s="1063"/>
      <c r="AP2364" s="1063"/>
      <c r="AQ2364" s="1063"/>
      <c r="AR2364" s="1063"/>
      <c r="AS2364" s="1063"/>
      <c r="AT2364" s="1063"/>
      <c r="AU2364" s="1063"/>
      <c r="AV2364" s="1063"/>
    </row>
    <row r="2365" spans="1:48" s="1108" customFormat="1" ht="27.75" customHeight="1">
      <c r="A2365" s="1076"/>
      <c r="B2365" s="1074">
        <f>+'[18]Bldg+Dev'!S3177</f>
        <v>0</v>
      </c>
      <c r="D2365" s="1063"/>
      <c r="F2365" s="1076"/>
      <c r="G2365" s="1063"/>
      <c r="H2365" s="1063"/>
      <c r="I2365" s="1063"/>
      <c r="J2365" s="1063"/>
      <c r="K2365" s="1063"/>
      <c r="L2365" s="1063"/>
      <c r="M2365" s="1063"/>
      <c r="N2365" s="1063"/>
      <c r="O2365" s="1063"/>
      <c r="P2365" s="1063"/>
      <c r="Q2365" s="1063"/>
      <c r="R2365" s="1063"/>
      <c r="S2365" s="1063"/>
      <c r="T2365" s="1063"/>
      <c r="U2365" s="1063"/>
      <c r="V2365" s="1063"/>
      <c r="W2365" s="1063"/>
      <c r="X2365" s="1063"/>
      <c r="Y2365" s="1063"/>
      <c r="Z2365" s="1063"/>
      <c r="AA2365" s="1063"/>
      <c r="AB2365" s="1063"/>
      <c r="AC2365" s="1063"/>
      <c r="AD2365" s="1063"/>
      <c r="AE2365" s="1063"/>
      <c r="AF2365" s="1063"/>
      <c r="AG2365" s="1063"/>
      <c r="AH2365" s="1063"/>
      <c r="AI2365" s="1063"/>
      <c r="AJ2365" s="1063"/>
      <c r="AK2365" s="1063"/>
      <c r="AL2365" s="1063"/>
      <c r="AM2365" s="1063"/>
      <c r="AN2365" s="1063"/>
      <c r="AO2365" s="1063"/>
      <c r="AP2365" s="1063"/>
      <c r="AQ2365" s="1063"/>
      <c r="AR2365" s="1063"/>
      <c r="AS2365" s="1063"/>
      <c r="AT2365" s="1063"/>
      <c r="AU2365" s="1063"/>
      <c r="AV2365" s="1063"/>
    </row>
    <row r="2366" spans="1:48" s="1108" customFormat="1" ht="27.75" customHeight="1">
      <c r="A2366" s="1076"/>
      <c r="B2366" s="1074">
        <f>+'[18]Bldg+Dev'!S3178</f>
        <v>0</v>
      </c>
      <c r="D2366" s="1063"/>
      <c r="F2366" s="1076"/>
      <c r="G2366" s="1063"/>
      <c r="H2366" s="1063"/>
      <c r="I2366" s="1063"/>
      <c r="J2366" s="1063"/>
      <c r="K2366" s="1063"/>
      <c r="L2366" s="1063"/>
      <c r="M2366" s="1063"/>
      <c r="N2366" s="1063"/>
      <c r="O2366" s="1063"/>
      <c r="P2366" s="1063"/>
      <c r="Q2366" s="1063"/>
      <c r="R2366" s="1063"/>
      <c r="S2366" s="1063"/>
      <c r="T2366" s="1063"/>
      <c r="U2366" s="1063"/>
      <c r="V2366" s="1063"/>
      <c r="W2366" s="1063"/>
      <c r="X2366" s="1063"/>
      <c r="Y2366" s="1063"/>
      <c r="Z2366" s="1063"/>
      <c r="AA2366" s="1063"/>
      <c r="AB2366" s="1063"/>
      <c r="AC2366" s="1063"/>
      <c r="AD2366" s="1063"/>
      <c r="AE2366" s="1063"/>
      <c r="AF2366" s="1063"/>
      <c r="AG2366" s="1063"/>
      <c r="AH2366" s="1063"/>
      <c r="AI2366" s="1063"/>
      <c r="AJ2366" s="1063"/>
      <c r="AK2366" s="1063"/>
      <c r="AL2366" s="1063"/>
      <c r="AM2366" s="1063"/>
      <c r="AN2366" s="1063"/>
      <c r="AO2366" s="1063"/>
      <c r="AP2366" s="1063"/>
      <c r="AQ2366" s="1063"/>
      <c r="AR2366" s="1063"/>
      <c r="AS2366" s="1063"/>
      <c r="AT2366" s="1063"/>
      <c r="AU2366" s="1063"/>
      <c r="AV2366" s="1063"/>
    </row>
    <row r="2367" spans="1:48" s="1108" customFormat="1" ht="27.75" customHeight="1">
      <c r="A2367" s="1076"/>
      <c r="B2367" s="1074">
        <f>+'[18]Bldg+Dev'!S3179</f>
        <v>0</v>
      </c>
      <c r="D2367" s="1063"/>
      <c r="F2367" s="1076"/>
      <c r="G2367" s="1063"/>
      <c r="H2367" s="1063"/>
      <c r="I2367" s="1063"/>
      <c r="J2367" s="1063"/>
      <c r="K2367" s="1063"/>
      <c r="L2367" s="1063"/>
      <c r="M2367" s="1063"/>
      <c r="N2367" s="1063"/>
      <c r="O2367" s="1063"/>
      <c r="P2367" s="1063"/>
      <c r="Q2367" s="1063"/>
      <c r="R2367" s="1063"/>
      <c r="S2367" s="1063"/>
      <c r="T2367" s="1063"/>
      <c r="U2367" s="1063"/>
      <c r="V2367" s="1063"/>
      <c r="W2367" s="1063"/>
      <c r="X2367" s="1063"/>
      <c r="Y2367" s="1063"/>
      <c r="Z2367" s="1063"/>
      <c r="AA2367" s="1063"/>
      <c r="AB2367" s="1063"/>
      <c r="AC2367" s="1063"/>
      <c r="AD2367" s="1063"/>
      <c r="AE2367" s="1063"/>
      <c r="AF2367" s="1063"/>
      <c r="AG2367" s="1063"/>
      <c r="AH2367" s="1063"/>
      <c r="AI2367" s="1063"/>
      <c r="AJ2367" s="1063"/>
      <c r="AK2367" s="1063"/>
      <c r="AL2367" s="1063"/>
      <c r="AM2367" s="1063"/>
      <c r="AN2367" s="1063"/>
      <c r="AO2367" s="1063"/>
      <c r="AP2367" s="1063"/>
      <c r="AQ2367" s="1063"/>
      <c r="AR2367" s="1063"/>
      <c r="AS2367" s="1063"/>
      <c r="AT2367" s="1063"/>
      <c r="AU2367" s="1063"/>
      <c r="AV2367" s="1063"/>
    </row>
    <row r="2368" spans="1:48" s="1108" customFormat="1" ht="27.75" customHeight="1">
      <c r="A2368" s="1076"/>
      <c r="B2368" s="1074">
        <f>+'[18]Bldg+Dev'!S3180</f>
        <v>0</v>
      </c>
      <c r="D2368" s="1063"/>
      <c r="F2368" s="1076"/>
      <c r="G2368" s="1063"/>
      <c r="H2368" s="1063"/>
      <c r="I2368" s="1063"/>
      <c r="J2368" s="1063"/>
      <c r="K2368" s="1063"/>
      <c r="L2368" s="1063"/>
      <c r="M2368" s="1063"/>
      <c r="N2368" s="1063"/>
      <c r="O2368" s="1063"/>
      <c r="P2368" s="1063"/>
      <c r="Q2368" s="1063"/>
      <c r="R2368" s="1063"/>
      <c r="S2368" s="1063"/>
      <c r="T2368" s="1063"/>
      <c r="U2368" s="1063"/>
      <c r="V2368" s="1063"/>
      <c r="W2368" s="1063"/>
      <c r="X2368" s="1063"/>
      <c r="Y2368" s="1063"/>
      <c r="Z2368" s="1063"/>
      <c r="AA2368" s="1063"/>
      <c r="AB2368" s="1063"/>
      <c r="AC2368" s="1063"/>
      <c r="AD2368" s="1063"/>
      <c r="AE2368" s="1063"/>
      <c r="AF2368" s="1063"/>
      <c r="AG2368" s="1063"/>
      <c r="AH2368" s="1063"/>
      <c r="AI2368" s="1063"/>
      <c r="AJ2368" s="1063"/>
      <c r="AK2368" s="1063"/>
      <c r="AL2368" s="1063"/>
      <c r="AM2368" s="1063"/>
      <c r="AN2368" s="1063"/>
      <c r="AO2368" s="1063"/>
      <c r="AP2368" s="1063"/>
      <c r="AQ2368" s="1063"/>
      <c r="AR2368" s="1063"/>
      <c r="AS2368" s="1063"/>
      <c r="AT2368" s="1063"/>
      <c r="AU2368" s="1063"/>
      <c r="AV2368" s="1063"/>
    </row>
    <row r="2369" spans="1:48" s="1108" customFormat="1" ht="27.75" customHeight="1">
      <c r="A2369" s="1076"/>
      <c r="B2369" s="1074">
        <f>+'[18]Bldg+Dev'!S3181</f>
        <v>0</v>
      </c>
      <c r="D2369" s="1063"/>
      <c r="F2369" s="1076"/>
      <c r="G2369" s="1063"/>
      <c r="H2369" s="1063"/>
      <c r="I2369" s="1063"/>
      <c r="J2369" s="1063"/>
      <c r="K2369" s="1063"/>
      <c r="L2369" s="1063"/>
      <c r="M2369" s="1063"/>
      <c r="N2369" s="1063"/>
      <c r="O2369" s="1063"/>
      <c r="P2369" s="1063"/>
      <c r="Q2369" s="1063"/>
      <c r="R2369" s="1063"/>
      <c r="S2369" s="1063"/>
      <c r="T2369" s="1063"/>
      <c r="U2369" s="1063"/>
      <c r="V2369" s="1063"/>
      <c r="W2369" s="1063"/>
      <c r="X2369" s="1063"/>
      <c r="Y2369" s="1063"/>
      <c r="Z2369" s="1063"/>
      <c r="AA2369" s="1063"/>
      <c r="AB2369" s="1063"/>
      <c r="AC2369" s="1063"/>
      <c r="AD2369" s="1063"/>
      <c r="AE2369" s="1063"/>
      <c r="AF2369" s="1063"/>
      <c r="AG2369" s="1063"/>
      <c r="AH2369" s="1063"/>
      <c r="AI2369" s="1063"/>
      <c r="AJ2369" s="1063"/>
      <c r="AK2369" s="1063"/>
      <c r="AL2369" s="1063"/>
      <c r="AM2369" s="1063"/>
      <c r="AN2369" s="1063"/>
      <c r="AO2369" s="1063"/>
      <c r="AP2369" s="1063"/>
      <c r="AQ2369" s="1063"/>
      <c r="AR2369" s="1063"/>
      <c r="AS2369" s="1063"/>
      <c r="AT2369" s="1063"/>
      <c r="AU2369" s="1063"/>
      <c r="AV2369" s="1063"/>
    </row>
    <row r="2370" spans="1:48" s="1108" customFormat="1" ht="27.75" customHeight="1">
      <c r="A2370" s="1076"/>
      <c r="B2370" s="1074">
        <f>+'[18]Bldg+Dev'!S3182</f>
        <v>0</v>
      </c>
      <c r="D2370" s="1063"/>
      <c r="F2370" s="1076"/>
      <c r="G2370" s="1063"/>
      <c r="H2370" s="1063"/>
      <c r="I2370" s="1063"/>
      <c r="J2370" s="1063"/>
      <c r="K2370" s="1063"/>
      <c r="L2370" s="1063"/>
      <c r="M2370" s="1063"/>
      <c r="N2370" s="1063"/>
      <c r="O2370" s="1063"/>
      <c r="P2370" s="1063"/>
      <c r="Q2370" s="1063"/>
      <c r="R2370" s="1063"/>
      <c r="S2370" s="1063"/>
      <c r="T2370" s="1063"/>
      <c r="U2370" s="1063"/>
      <c r="V2370" s="1063"/>
      <c r="W2370" s="1063"/>
      <c r="X2370" s="1063"/>
      <c r="Y2370" s="1063"/>
      <c r="Z2370" s="1063"/>
      <c r="AA2370" s="1063"/>
      <c r="AB2370" s="1063"/>
      <c r="AC2370" s="1063"/>
      <c r="AD2370" s="1063"/>
      <c r="AE2370" s="1063"/>
      <c r="AF2370" s="1063"/>
      <c r="AG2370" s="1063"/>
      <c r="AH2370" s="1063"/>
      <c r="AI2370" s="1063"/>
      <c r="AJ2370" s="1063"/>
      <c r="AK2370" s="1063"/>
      <c r="AL2370" s="1063"/>
      <c r="AM2370" s="1063"/>
      <c r="AN2370" s="1063"/>
      <c r="AO2370" s="1063"/>
      <c r="AP2370" s="1063"/>
      <c r="AQ2370" s="1063"/>
      <c r="AR2370" s="1063"/>
      <c r="AS2370" s="1063"/>
      <c r="AT2370" s="1063"/>
      <c r="AU2370" s="1063"/>
      <c r="AV2370" s="1063"/>
    </row>
    <row r="2371" spans="1:48" s="1108" customFormat="1" ht="27.75" customHeight="1">
      <c r="A2371" s="1076"/>
      <c r="B2371" s="1074">
        <f>+'[18]Bldg+Dev'!S3183</f>
        <v>0</v>
      </c>
      <c r="D2371" s="1063"/>
      <c r="F2371" s="1076"/>
      <c r="G2371" s="1063"/>
      <c r="H2371" s="1063"/>
      <c r="I2371" s="1063"/>
      <c r="J2371" s="1063"/>
      <c r="K2371" s="1063"/>
      <c r="L2371" s="1063"/>
      <c r="M2371" s="1063"/>
      <c r="N2371" s="1063"/>
      <c r="O2371" s="1063"/>
      <c r="P2371" s="1063"/>
      <c r="Q2371" s="1063"/>
      <c r="R2371" s="1063"/>
      <c r="S2371" s="1063"/>
      <c r="T2371" s="1063"/>
      <c r="U2371" s="1063"/>
      <c r="V2371" s="1063"/>
      <c r="W2371" s="1063"/>
      <c r="X2371" s="1063"/>
      <c r="Y2371" s="1063"/>
      <c r="Z2371" s="1063"/>
      <c r="AA2371" s="1063"/>
      <c r="AB2371" s="1063"/>
      <c r="AC2371" s="1063"/>
      <c r="AD2371" s="1063"/>
      <c r="AE2371" s="1063"/>
      <c r="AF2371" s="1063"/>
      <c r="AG2371" s="1063"/>
      <c r="AH2371" s="1063"/>
      <c r="AI2371" s="1063"/>
      <c r="AJ2371" s="1063"/>
      <c r="AK2371" s="1063"/>
      <c r="AL2371" s="1063"/>
      <c r="AM2371" s="1063"/>
      <c r="AN2371" s="1063"/>
      <c r="AO2371" s="1063"/>
      <c r="AP2371" s="1063"/>
      <c r="AQ2371" s="1063"/>
      <c r="AR2371" s="1063"/>
      <c r="AS2371" s="1063"/>
      <c r="AT2371" s="1063"/>
      <c r="AU2371" s="1063"/>
      <c r="AV2371" s="1063"/>
    </row>
    <row r="2372" spans="1:48" s="1108" customFormat="1" ht="27.75" customHeight="1">
      <c r="A2372" s="1076"/>
      <c r="B2372" s="1074">
        <f>+'[18]Bldg+Dev'!S3184</f>
        <v>0</v>
      </c>
      <c r="D2372" s="1063"/>
      <c r="F2372" s="1076"/>
      <c r="G2372" s="1063"/>
      <c r="H2372" s="1063"/>
      <c r="I2372" s="1063"/>
      <c r="J2372" s="1063"/>
      <c r="K2372" s="1063"/>
      <c r="L2372" s="1063"/>
      <c r="M2372" s="1063"/>
      <c r="N2372" s="1063"/>
      <c r="O2372" s="1063"/>
      <c r="P2372" s="1063"/>
      <c r="Q2372" s="1063"/>
      <c r="R2372" s="1063"/>
      <c r="S2372" s="1063"/>
      <c r="T2372" s="1063"/>
      <c r="U2372" s="1063"/>
      <c r="V2372" s="1063"/>
      <c r="W2372" s="1063"/>
      <c r="X2372" s="1063"/>
      <c r="Y2372" s="1063"/>
      <c r="Z2372" s="1063"/>
      <c r="AA2372" s="1063"/>
      <c r="AB2372" s="1063"/>
      <c r="AC2372" s="1063"/>
      <c r="AD2372" s="1063"/>
      <c r="AE2372" s="1063"/>
      <c r="AF2372" s="1063"/>
      <c r="AG2372" s="1063"/>
      <c r="AH2372" s="1063"/>
      <c r="AI2372" s="1063"/>
      <c r="AJ2372" s="1063"/>
      <c r="AK2372" s="1063"/>
      <c r="AL2372" s="1063"/>
      <c r="AM2372" s="1063"/>
      <c r="AN2372" s="1063"/>
      <c r="AO2372" s="1063"/>
      <c r="AP2372" s="1063"/>
      <c r="AQ2372" s="1063"/>
      <c r="AR2372" s="1063"/>
      <c r="AS2372" s="1063"/>
      <c r="AT2372" s="1063"/>
      <c r="AU2372" s="1063"/>
      <c r="AV2372" s="1063"/>
    </row>
    <row r="2373" spans="1:48" s="1108" customFormat="1" ht="27.75" customHeight="1">
      <c r="A2373" s="1076"/>
      <c r="B2373" s="1074">
        <f>+'[18]Bldg+Dev'!S3185</f>
        <v>0</v>
      </c>
      <c r="D2373" s="1063"/>
      <c r="F2373" s="1076"/>
      <c r="G2373" s="1063"/>
      <c r="H2373" s="1063"/>
      <c r="I2373" s="1063"/>
      <c r="J2373" s="1063"/>
      <c r="K2373" s="1063"/>
      <c r="L2373" s="1063"/>
      <c r="M2373" s="1063"/>
      <c r="N2373" s="1063"/>
      <c r="O2373" s="1063"/>
      <c r="P2373" s="1063"/>
      <c r="Q2373" s="1063"/>
      <c r="R2373" s="1063"/>
      <c r="S2373" s="1063"/>
      <c r="T2373" s="1063"/>
      <c r="U2373" s="1063"/>
      <c r="V2373" s="1063"/>
      <c r="W2373" s="1063"/>
      <c r="X2373" s="1063"/>
      <c r="Y2373" s="1063"/>
      <c r="Z2373" s="1063"/>
      <c r="AA2373" s="1063"/>
      <c r="AB2373" s="1063"/>
      <c r="AC2373" s="1063"/>
      <c r="AD2373" s="1063"/>
      <c r="AE2373" s="1063"/>
      <c r="AF2373" s="1063"/>
      <c r="AG2373" s="1063"/>
      <c r="AH2373" s="1063"/>
      <c r="AI2373" s="1063"/>
      <c r="AJ2373" s="1063"/>
      <c r="AK2373" s="1063"/>
      <c r="AL2373" s="1063"/>
      <c r="AM2373" s="1063"/>
      <c r="AN2373" s="1063"/>
      <c r="AO2373" s="1063"/>
      <c r="AP2373" s="1063"/>
      <c r="AQ2373" s="1063"/>
      <c r="AR2373" s="1063"/>
      <c r="AS2373" s="1063"/>
      <c r="AT2373" s="1063"/>
      <c r="AU2373" s="1063"/>
      <c r="AV2373" s="1063"/>
    </row>
    <row r="2374" spans="1:48" s="1108" customFormat="1" ht="27.75" customHeight="1">
      <c r="A2374" s="1076"/>
      <c r="B2374" s="1074">
        <f>+'[18]Bldg+Dev'!S3186</f>
        <v>0</v>
      </c>
      <c r="D2374" s="1063"/>
      <c r="F2374" s="1076"/>
      <c r="G2374" s="1063"/>
      <c r="H2374" s="1063"/>
      <c r="I2374" s="1063"/>
      <c r="J2374" s="1063"/>
      <c r="K2374" s="1063"/>
      <c r="L2374" s="1063"/>
      <c r="M2374" s="1063"/>
      <c r="N2374" s="1063"/>
      <c r="O2374" s="1063"/>
      <c r="P2374" s="1063"/>
      <c r="Q2374" s="1063"/>
      <c r="R2374" s="1063"/>
      <c r="S2374" s="1063"/>
      <c r="T2374" s="1063"/>
      <c r="U2374" s="1063"/>
      <c r="V2374" s="1063"/>
      <c r="W2374" s="1063"/>
      <c r="X2374" s="1063"/>
      <c r="Y2374" s="1063"/>
      <c r="Z2374" s="1063"/>
      <c r="AA2374" s="1063"/>
      <c r="AB2374" s="1063"/>
      <c r="AC2374" s="1063"/>
      <c r="AD2374" s="1063"/>
      <c r="AE2374" s="1063"/>
      <c r="AF2374" s="1063"/>
      <c r="AG2374" s="1063"/>
      <c r="AH2374" s="1063"/>
      <c r="AI2374" s="1063"/>
      <c r="AJ2374" s="1063"/>
      <c r="AK2374" s="1063"/>
      <c r="AL2374" s="1063"/>
      <c r="AM2374" s="1063"/>
      <c r="AN2374" s="1063"/>
      <c r="AO2374" s="1063"/>
      <c r="AP2374" s="1063"/>
      <c r="AQ2374" s="1063"/>
      <c r="AR2374" s="1063"/>
      <c r="AS2374" s="1063"/>
      <c r="AT2374" s="1063"/>
      <c r="AU2374" s="1063"/>
      <c r="AV2374" s="1063"/>
    </row>
    <row r="2375" spans="1:48" s="1108" customFormat="1" ht="27.75" customHeight="1">
      <c r="A2375" s="1076"/>
      <c r="B2375" s="1074">
        <f>+'[18]Bldg+Dev'!S3187</f>
        <v>0</v>
      </c>
      <c r="D2375" s="1063"/>
      <c r="F2375" s="1076"/>
      <c r="G2375" s="1063"/>
      <c r="H2375" s="1063"/>
      <c r="I2375" s="1063"/>
      <c r="J2375" s="1063"/>
      <c r="K2375" s="1063"/>
      <c r="L2375" s="1063"/>
      <c r="M2375" s="1063"/>
      <c r="N2375" s="1063"/>
      <c r="O2375" s="1063"/>
      <c r="P2375" s="1063"/>
      <c r="Q2375" s="1063"/>
      <c r="R2375" s="1063"/>
      <c r="S2375" s="1063"/>
      <c r="T2375" s="1063"/>
      <c r="U2375" s="1063"/>
      <c r="V2375" s="1063"/>
      <c r="W2375" s="1063"/>
      <c r="X2375" s="1063"/>
      <c r="Y2375" s="1063"/>
      <c r="Z2375" s="1063"/>
      <c r="AA2375" s="1063"/>
      <c r="AB2375" s="1063"/>
      <c r="AC2375" s="1063"/>
      <c r="AD2375" s="1063"/>
      <c r="AE2375" s="1063"/>
      <c r="AF2375" s="1063"/>
      <c r="AG2375" s="1063"/>
      <c r="AH2375" s="1063"/>
      <c r="AI2375" s="1063"/>
      <c r="AJ2375" s="1063"/>
      <c r="AK2375" s="1063"/>
      <c r="AL2375" s="1063"/>
      <c r="AM2375" s="1063"/>
      <c r="AN2375" s="1063"/>
      <c r="AO2375" s="1063"/>
      <c r="AP2375" s="1063"/>
      <c r="AQ2375" s="1063"/>
      <c r="AR2375" s="1063"/>
      <c r="AS2375" s="1063"/>
      <c r="AT2375" s="1063"/>
      <c r="AU2375" s="1063"/>
      <c r="AV2375" s="1063"/>
    </row>
    <row r="2376" spans="1:48" s="1108" customFormat="1" ht="27.75" customHeight="1">
      <c r="A2376" s="1076"/>
      <c r="B2376" s="1074">
        <f>+'[18]Bldg+Dev'!S3188</f>
        <v>0</v>
      </c>
      <c r="D2376" s="1063"/>
      <c r="F2376" s="1076"/>
      <c r="G2376" s="1063"/>
      <c r="H2376" s="1063"/>
      <c r="I2376" s="1063"/>
      <c r="J2376" s="1063"/>
      <c r="K2376" s="1063"/>
      <c r="L2376" s="1063"/>
      <c r="M2376" s="1063"/>
      <c r="N2376" s="1063"/>
      <c r="O2376" s="1063"/>
      <c r="P2376" s="1063"/>
      <c r="Q2376" s="1063"/>
      <c r="R2376" s="1063"/>
      <c r="S2376" s="1063"/>
      <c r="T2376" s="1063"/>
      <c r="U2376" s="1063"/>
      <c r="V2376" s="1063"/>
      <c r="W2376" s="1063"/>
      <c r="X2376" s="1063"/>
      <c r="Y2376" s="1063"/>
      <c r="Z2376" s="1063"/>
      <c r="AA2376" s="1063"/>
      <c r="AB2376" s="1063"/>
      <c r="AC2376" s="1063"/>
      <c r="AD2376" s="1063"/>
      <c r="AE2376" s="1063"/>
      <c r="AF2376" s="1063"/>
      <c r="AG2376" s="1063"/>
      <c r="AH2376" s="1063"/>
      <c r="AI2376" s="1063"/>
      <c r="AJ2376" s="1063"/>
      <c r="AK2376" s="1063"/>
      <c r="AL2376" s="1063"/>
      <c r="AM2376" s="1063"/>
      <c r="AN2376" s="1063"/>
      <c r="AO2376" s="1063"/>
      <c r="AP2376" s="1063"/>
      <c r="AQ2376" s="1063"/>
      <c r="AR2376" s="1063"/>
      <c r="AS2376" s="1063"/>
      <c r="AT2376" s="1063"/>
      <c r="AU2376" s="1063"/>
      <c r="AV2376" s="1063"/>
    </row>
    <row r="2377" spans="1:48" s="1108" customFormat="1" ht="27.75" customHeight="1">
      <c r="A2377" s="1076"/>
      <c r="B2377" s="1074">
        <f>+'[18]Bldg+Dev'!S3189</f>
        <v>0</v>
      </c>
      <c r="D2377" s="1063"/>
      <c r="F2377" s="1076"/>
      <c r="G2377" s="1063"/>
      <c r="H2377" s="1063"/>
      <c r="I2377" s="1063"/>
      <c r="J2377" s="1063"/>
      <c r="K2377" s="1063"/>
      <c r="L2377" s="1063"/>
      <c r="M2377" s="1063"/>
      <c r="N2377" s="1063"/>
      <c r="O2377" s="1063"/>
      <c r="P2377" s="1063"/>
      <c r="Q2377" s="1063"/>
      <c r="R2377" s="1063"/>
      <c r="S2377" s="1063"/>
      <c r="T2377" s="1063"/>
      <c r="U2377" s="1063"/>
      <c r="V2377" s="1063"/>
      <c r="W2377" s="1063"/>
      <c r="X2377" s="1063"/>
      <c r="Y2377" s="1063"/>
      <c r="Z2377" s="1063"/>
      <c r="AA2377" s="1063"/>
      <c r="AB2377" s="1063"/>
      <c r="AC2377" s="1063"/>
      <c r="AD2377" s="1063"/>
      <c r="AE2377" s="1063"/>
      <c r="AF2377" s="1063"/>
      <c r="AG2377" s="1063"/>
      <c r="AH2377" s="1063"/>
      <c r="AI2377" s="1063"/>
      <c r="AJ2377" s="1063"/>
      <c r="AK2377" s="1063"/>
      <c r="AL2377" s="1063"/>
      <c r="AM2377" s="1063"/>
      <c r="AN2377" s="1063"/>
      <c r="AO2377" s="1063"/>
      <c r="AP2377" s="1063"/>
      <c r="AQ2377" s="1063"/>
      <c r="AR2377" s="1063"/>
      <c r="AS2377" s="1063"/>
      <c r="AT2377" s="1063"/>
      <c r="AU2377" s="1063"/>
      <c r="AV2377" s="1063"/>
    </row>
    <row r="2378" spans="1:48" s="1108" customFormat="1" ht="27.75" customHeight="1">
      <c r="A2378" s="1076"/>
      <c r="B2378" s="1074">
        <f>+'[18]Bldg+Dev'!S3190</f>
        <v>0</v>
      </c>
      <c r="D2378" s="1063"/>
      <c r="F2378" s="1076"/>
      <c r="G2378" s="1063"/>
      <c r="H2378" s="1063"/>
      <c r="I2378" s="1063"/>
      <c r="J2378" s="1063"/>
      <c r="K2378" s="1063"/>
      <c r="L2378" s="1063"/>
      <c r="M2378" s="1063"/>
      <c r="N2378" s="1063"/>
      <c r="O2378" s="1063"/>
      <c r="P2378" s="1063"/>
      <c r="Q2378" s="1063"/>
      <c r="R2378" s="1063"/>
      <c r="S2378" s="1063"/>
      <c r="T2378" s="1063"/>
      <c r="U2378" s="1063"/>
      <c r="V2378" s="1063"/>
      <c r="W2378" s="1063"/>
      <c r="X2378" s="1063"/>
      <c r="Y2378" s="1063"/>
      <c r="Z2378" s="1063"/>
      <c r="AA2378" s="1063"/>
      <c r="AB2378" s="1063"/>
      <c r="AC2378" s="1063"/>
      <c r="AD2378" s="1063"/>
      <c r="AE2378" s="1063"/>
      <c r="AF2378" s="1063"/>
      <c r="AG2378" s="1063"/>
      <c r="AH2378" s="1063"/>
      <c r="AI2378" s="1063"/>
      <c r="AJ2378" s="1063"/>
      <c r="AK2378" s="1063"/>
      <c r="AL2378" s="1063"/>
      <c r="AM2378" s="1063"/>
      <c r="AN2378" s="1063"/>
      <c r="AO2378" s="1063"/>
      <c r="AP2378" s="1063"/>
      <c r="AQ2378" s="1063"/>
      <c r="AR2378" s="1063"/>
      <c r="AS2378" s="1063"/>
      <c r="AT2378" s="1063"/>
      <c r="AU2378" s="1063"/>
      <c r="AV2378" s="1063"/>
    </row>
    <row r="2379" spans="1:48" s="1108" customFormat="1" ht="27.75" customHeight="1">
      <c r="A2379" s="1076"/>
      <c r="B2379" s="1074">
        <f>+'[18]Bldg+Dev'!S3191</f>
        <v>0</v>
      </c>
      <c r="D2379" s="1063"/>
      <c r="F2379" s="1076"/>
      <c r="G2379" s="1063"/>
      <c r="H2379" s="1063"/>
      <c r="I2379" s="1063"/>
      <c r="J2379" s="1063"/>
      <c r="K2379" s="1063"/>
      <c r="L2379" s="1063"/>
      <c r="M2379" s="1063"/>
      <c r="N2379" s="1063"/>
      <c r="O2379" s="1063"/>
      <c r="P2379" s="1063"/>
      <c r="Q2379" s="1063"/>
      <c r="R2379" s="1063"/>
      <c r="S2379" s="1063"/>
      <c r="T2379" s="1063"/>
      <c r="U2379" s="1063"/>
      <c r="V2379" s="1063"/>
      <c r="W2379" s="1063"/>
      <c r="X2379" s="1063"/>
      <c r="Y2379" s="1063"/>
      <c r="Z2379" s="1063"/>
      <c r="AA2379" s="1063"/>
      <c r="AB2379" s="1063"/>
      <c r="AC2379" s="1063"/>
      <c r="AD2379" s="1063"/>
      <c r="AE2379" s="1063"/>
      <c r="AF2379" s="1063"/>
      <c r="AG2379" s="1063"/>
      <c r="AH2379" s="1063"/>
      <c r="AI2379" s="1063"/>
      <c r="AJ2379" s="1063"/>
      <c r="AK2379" s="1063"/>
      <c r="AL2379" s="1063"/>
      <c r="AM2379" s="1063"/>
      <c r="AN2379" s="1063"/>
      <c r="AO2379" s="1063"/>
      <c r="AP2379" s="1063"/>
      <c r="AQ2379" s="1063"/>
      <c r="AR2379" s="1063"/>
      <c r="AS2379" s="1063"/>
      <c r="AT2379" s="1063"/>
      <c r="AU2379" s="1063"/>
      <c r="AV2379" s="1063"/>
    </row>
    <row r="2380" spans="1:48" s="1108" customFormat="1" ht="27.75" customHeight="1">
      <c r="A2380" s="1076"/>
      <c r="B2380" s="1074">
        <f>+'[18]Bldg+Dev'!S3192</f>
        <v>0</v>
      </c>
      <c r="D2380" s="1063"/>
      <c r="F2380" s="1076"/>
      <c r="G2380" s="1063"/>
      <c r="H2380" s="1063"/>
      <c r="I2380" s="1063"/>
      <c r="J2380" s="1063"/>
      <c r="K2380" s="1063"/>
      <c r="L2380" s="1063"/>
      <c r="M2380" s="1063"/>
      <c r="N2380" s="1063"/>
      <c r="O2380" s="1063"/>
      <c r="P2380" s="1063"/>
      <c r="Q2380" s="1063"/>
      <c r="R2380" s="1063"/>
      <c r="S2380" s="1063"/>
      <c r="T2380" s="1063"/>
      <c r="U2380" s="1063"/>
      <c r="V2380" s="1063"/>
      <c r="W2380" s="1063"/>
      <c r="X2380" s="1063"/>
      <c r="Y2380" s="1063"/>
      <c r="Z2380" s="1063"/>
      <c r="AA2380" s="1063"/>
      <c r="AB2380" s="1063"/>
      <c r="AC2380" s="1063"/>
      <c r="AD2380" s="1063"/>
      <c r="AE2380" s="1063"/>
      <c r="AF2380" s="1063"/>
      <c r="AG2380" s="1063"/>
      <c r="AH2380" s="1063"/>
      <c r="AI2380" s="1063"/>
      <c r="AJ2380" s="1063"/>
      <c r="AK2380" s="1063"/>
      <c r="AL2380" s="1063"/>
      <c r="AM2380" s="1063"/>
      <c r="AN2380" s="1063"/>
      <c r="AO2380" s="1063"/>
      <c r="AP2380" s="1063"/>
      <c r="AQ2380" s="1063"/>
      <c r="AR2380" s="1063"/>
      <c r="AS2380" s="1063"/>
      <c r="AT2380" s="1063"/>
      <c r="AU2380" s="1063"/>
      <c r="AV2380" s="1063"/>
    </row>
    <row r="2381" spans="1:48" s="1108" customFormat="1" ht="27.75" customHeight="1">
      <c r="A2381" s="1076"/>
      <c r="B2381" s="1074">
        <f>+'[18]Bldg+Dev'!S3193</f>
        <v>0</v>
      </c>
      <c r="D2381" s="1063"/>
      <c r="F2381" s="1076"/>
      <c r="G2381" s="1063"/>
      <c r="H2381" s="1063"/>
      <c r="I2381" s="1063"/>
      <c r="J2381" s="1063"/>
      <c r="K2381" s="1063"/>
      <c r="L2381" s="1063"/>
      <c r="M2381" s="1063"/>
      <c r="N2381" s="1063"/>
      <c r="O2381" s="1063"/>
      <c r="P2381" s="1063"/>
      <c r="Q2381" s="1063"/>
      <c r="R2381" s="1063"/>
      <c r="S2381" s="1063"/>
      <c r="T2381" s="1063"/>
      <c r="U2381" s="1063"/>
      <c r="V2381" s="1063"/>
      <c r="W2381" s="1063"/>
      <c r="X2381" s="1063"/>
      <c r="Y2381" s="1063"/>
      <c r="Z2381" s="1063"/>
      <c r="AA2381" s="1063"/>
      <c r="AB2381" s="1063"/>
      <c r="AC2381" s="1063"/>
      <c r="AD2381" s="1063"/>
      <c r="AE2381" s="1063"/>
      <c r="AF2381" s="1063"/>
      <c r="AG2381" s="1063"/>
      <c r="AH2381" s="1063"/>
      <c r="AI2381" s="1063"/>
      <c r="AJ2381" s="1063"/>
      <c r="AK2381" s="1063"/>
      <c r="AL2381" s="1063"/>
      <c r="AM2381" s="1063"/>
      <c r="AN2381" s="1063"/>
      <c r="AO2381" s="1063"/>
      <c r="AP2381" s="1063"/>
      <c r="AQ2381" s="1063"/>
      <c r="AR2381" s="1063"/>
      <c r="AS2381" s="1063"/>
      <c r="AT2381" s="1063"/>
      <c r="AU2381" s="1063"/>
      <c r="AV2381" s="1063"/>
    </row>
    <row r="2382" spans="1:48" s="1108" customFormat="1" ht="27.75" customHeight="1">
      <c r="A2382" s="1076"/>
      <c r="B2382" s="1074">
        <f>+'[18]Bldg+Dev'!S3194</f>
        <v>0</v>
      </c>
      <c r="D2382" s="1063"/>
      <c r="F2382" s="1076"/>
      <c r="G2382" s="1063"/>
      <c r="H2382" s="1063"/>
      <c r="I2382" s="1063"/>
      <c r="J2382" s="1063"/>
      <c r="K2382" s="1063"/>
      <c r="L2382" s="1063"/>
      <c r="M2382" s="1063"/>
      <c r="N2382" s="1063"/>
      <c r="O2382" s="1063"/>
      <c r="P2382" s="1063"/>
      <c r="Q2382" s="1063"/>
      <c r="R2382" s="1063"/>
      <c r="S2382" s="1063"/>
      <c r="T2382" s="1063"/>
      <c r="U2382" s="1063"/>
      <c r="V2382" s="1063"/>
      <c r="W2382" s="1063"/>
      <c r="X2382" s="1063"/>
      <c r="Y2382" s="1063"/>
      <c r="Z2382" s="1063"/>
      <c r="AA2382" s="1063"/>
      <c r="AB2382" s="1063"/>
      <c r="AC2382" s="1063"/>
      <c r="AD2382" s="1063"/>
      <c r="AE2382" s="1063"/>
      <c r="AF2382" s="1063"/>
      <c r="AG2382" s="1063"/>
      <c r="AH2382" s="1063"/>
      <c r="AI2382" s="1063"/>
      <c r="AJ2382" s="1063"/>
      <c r="AK2382" s="1063"/>
      <c r="AL2382" s="1063"/>
      <c r="AM2382" s="1063"/>
      <c r="AN2382" s="1063"/>
      <c r="AO2382" s="1063"/>
      <c r="AP2382" s="1063"/>
      <c r="AQ2382" s="1063"/>
      <c r="AR2382" s="1063"/>
      <c r="AS2382" s="1063"/>
      <c r="AT2382" s="1063"/>
      <c r="AU2382" s="1063"/>
      <c r="AV2382" s="1063"/>
    </row>
    <row r="2383" spans="1:48" s="1108" customFormat="1" ht="27.75" customHeight="1">
      <c r="A2383" s="1076"/>
      <c r="B2383" s="1074">
        <f>+'[18]Bldg+Dev'!S3195</f>
        <v>0</v>
      </c>
      <c r="D2383" s="1063"/>
      <c r="F2383" s="1076"/>
      <c r="G2383" s="1063"/>
      <c r="H2383" s="1063"/>
      <c r="I2383" s="1063"/>
      <c r="J2383" s="1063"/>
      <c r="K2383" s="1063"/>
      <c r="L2383" s="1063"/>
      <c r="M2383" s="1063"/>
      <c r="N2383" s="1063"/>
      <c r="O2383" s="1063"/>
      <c r="P2383" s="1063"/>
      <c r="Q2383" s="1063"/>
      <c r="R2383" s="1063"/>
      <c r="S2383" s="1063"/>
      <c r="T2383" s="1063"/>
      <c r="U2383" s="1063"/>
      <c r="V2383" s="1063"/>
      <c r="W2383" s="1063"/>
      <c r="X2383" s="1063"/>
      <c r="Y2383" s="1063"/>
      <c r="Z2383" s="1063"/>
      <c r="AA2383" s="1063"/>
      <c r="AB2383" s="1063"/>
      <c r="AC2383" s="1063"/>
      <c r="AD2383" s="1063"/>
      <c r="AE2383" s="1063"/>
      <c r="AF2383" s="1063"/>
      <c r="AG2383" s="1063"/>
      <c r="AH2383" s="1063"/>
      <c r="AI2383" s="1063"/>
      <c r="AJ2383" s="1063"/>
      <c r="AK2383" s="1063"/>
      <c r="AL2383" s="1063"/>
      <c r="AM2383" s="1063"/>
      <c r="AN2383" s="1063"/>
      <c r="AO2383" s="1063"/>
      <c r="AP2383" s="1063"/>
      <c r="AQ2383" s="1063"/>
      <c r="AR2383" s="1063"/>
      <c r="AS2383" s="1063"/>
      <c r="AT2383" s="1063"/>
      <c r="AU2383" s="1063"/>
      <c r="AV2383" s="1063"/>
    </row>
    <row r="2384" spans="1:48" s="1108" customFormat="1" ht="27.75" customHeight="1">
      <c r="A2384" s="1076"/>
      <c r="B2384" s="1074">
        <f>+'[18]Bldg+Dev'!S3196</f>
        <v>0</v>
      </c>
      <c r="D2384" s="1063"/>
      <c r="F2384" s="1076"/>
      <c r="G2384" s="1063"/>
      <c r="H2384" s="1063"/>
      <c r="I2384" s="1063"/>
      <c r="J2384" s="1063"/>
      <c r="K2384" s="1063"/>
      <c r="L2384" s="1063"/>
      <c r="M2384" s="1063"/>
      <c r="N2384" s="1063"/>
      <c r="O2384" s="1063"/>
      <c r="P2384" s="1063"/>
      <c r="Q2384" s="1063"/>
      <c r="R2384" s="1063"/>
      <c r="S2384" s="1063"/>
      <c r="T2384" s="1063"/>
      <c r="U2384" s="1063"/>
      <c r="V2384" s="1063"/>
      <c r="W2384" s="1063"/>
      <c r="X2384" s="1063"/>
      <c r="Y2384" s="1063"/>
      <c r="Z2384" s="1063"/>
      <c r="AA2384" s="1063"/>
      <c r="AB2384" s="1063"/>
      <c r="AC2384" s="1063"/>
      <c r="AD2384" s="1063"/>
      <c r="AE2384" s="1063"/>
      <c r="AF2384" s="1063"/>
      <c r="AG2384" s="1063"/>
      <c r="AH2384" s="1063"/>
      <c r="AI2384" s="1063"/>
      <c r="AJ2384" s="1063"/>
      <c r="AK2384" s="1063"/>
      <c r="AL2384" s="1063"/>
      <c r="AM2384" s="1063"/>
      <c r="AN2384" s="1063"/>
      <c r="AO2384" s="1063"/>
      <c r="AP2384" s="1063"/>
      <c r="AQ2384" s="1063"/>
      <c r="AR2384" s="1063"/>
      <c r="AS2384" s="1063"/>
      <c r="AT2384" s="1063"/>
      <c r="AU2384" s="1063"/>
      <c r="AV2384" s="1063"/>
    </row>
    <row r="2385" spans="1:48" s="1108" customFormat="1" ht="27.75" customHeight="1">
      <c r="A2385" s="1076"/>
      <c r="B2385" s="1074">
        <f>+'[18]Bldg+Dev'!S3197</f>
        <v>0</v>
      </c>
      <c r="D2385" s="1063"/>
      <c r="F2385" s="1076"/>
      <c r="G2385" s="1063"/>
      <c r="H2385" s="1063"/>
      <c r="I2385" s="1063"/>
      <c r="J2385" s="1063"/>
      <c r="K2385" s="1063"/>
      <c r="L2385" s="1063"/>
      <c r="M2385" s="1063"/>
      <c r="N2385" s="1063"/>
      <c r="O2385" s="1063"/>
      <c r="P2385" s="1063"/>
      <c r="Q2385" s="1063"/>
      <c r="R2385" s="1063"/>
      <c r="S2385" s="1063"/>
      <c r="T2385" s="1063"/>
      <c r="U2385" s="1063"/>
      <c r="V2385" s="1063"/>
      <c r="W2385" s="1063"/>
      <c r="X2385" s="1063"/>
      <c r="Y2385" s="1063"/>
      <c r="Z2385" s="1063"/>
      <c r="AA2385" s="1063"/>
      <c r="AB2385" s="1063"/>
      <c r="AC2385" s="1063"/>
      <c r="AD2385" s="1063"/>
      <c r="AE2385" s="1063"/>
      <c r="AF2385" s="1063"/>
      <c r="AG2385" s="1063"/>
      <c r="AH2385" s="1063"/>
      <c r="AI2385" s="1063"/>
      <c r="AJ2385" s="1063"/>
      <c r="AK2385" s="1063"/>
      <c r="AL2385" s="1063"/>
      <c r="AM2385" s="1063"/>
      <c r="AN2385" s="1063"/>
      <c r="AO2385" s="1063"/>
      <c r="AP2385" s="1063"/>
      <c r="AQ2385" s="1063"/>
      <c r="AR2385" s="1063"/>
      <c r="AS2385" s="1063"/>
      <c r="AT2385" s="1063"/>
      <c r="AU2385" s="1063"/>
      <c r="AV2385" s="1063"/>
    </row>
    <row r="2386" spans="1:48" s="1108" customFormat="1" ht="27.75" customHeight="1">
      <c r="A2386" s="1076"/>
      <c r="B2386" s="1074">
        <f>+'[18]Bldg+Dev'!S3198</f>
        <v>0</v>
      </c>
      <c r="D2386" s="1063"/>
      <c r="F2386" s="1076"/>
      <c r="G2386" s="1063"/>
      <c r="H2386" s="1063"/>
      <c r="I2386" s="1063"/>
      <c r="J2386" s="1063"/>
      <c r="K2386" s="1063"/>
      <c r="L2386" s="1063"/>
      <c r="M2386" s="1063"/>
      <c r="N2386" s="1063"/>
      <c r="O2386" s="1063"/>
      <c r="P2386" s="1063"/>
      <c r="Q2386" s="1063"/>
      <c r="R2386" s="1063"/>
      <c r="S2386" s="1063"/>
      <c r="T2386" s="1063"/>
      <c r="U2386" s="1063"/>
      <c r="V2386" s="1063"/>
      <c r="W2386" s="1063"/>
      <c r="X2386" s="1063"/>
      <c r="Y2386" s="1063"/>
      <c r="Z2386" s="1063"/>
      <c r="AA2386" s="1063"/>
      <c r="AB2386" s="1063"/>
      <c r="AC2386" s="1063"/>
      <c r="AD2386" s="1063"/>
      <c r="AE2386" s="1063"/>
      <c r="AF2386" s="1063"/>
      <c r="AG2386" s="1063"/>
      <c r="AH2386" s="1063"/>
      <c r="AI2386" s="1063"/>
      <c r="AJ2386" s="1063"/>
      <c r="AK2386" s="1063"/>
      <c r="AL2386" s="1063"/>
      <c r="AM2386" s="1063"/>
      <c r="AN2386" s="1063"/>
      <c r="AO2386" s="1063"/>
      <c r="AP2386" s="1063"/>
      <c r="AQ2386" s="1063"/>
      <c r="AR2386" s="1063"/>
      <c r="AS2386" s="1063"/>
      <c r="AT2386" s="1063"/>
      <c r="AU2386" s="1063"/>
      <c r="AV2386" s="1063"/>
    </row>
    <row r="2387" spans="1:48" s="1108" customFormat="1" ht="27.75" customHeight="1">
      <c r="A2387" s="1076"/>
      <c r="B2387" s="1074">
        <f>+'[18]Bldg+Dev'!S3199</f>
        <v>0</v>
      </c>
      <c r="D2387" s="1063"/>
      <c r="F2387" s="1076"/>
      <c r="G2387" s="1063"/>
      <c r="H2387" s="1063"/>
      <c r="I2387" s="1063"/>
      <c r="J2387" s="1063"/>
      <c r="K2387" s="1063"/>
      <c r="L2387" s="1063"/>
      <c r="M2387" s="1063"/>
      <c r="N2387" s="1063"/>
      <c r="O2387" s="1063"/>
      <c r="P2387" s="1063"/>
      <c r="Q2387" s="1063"/>
      <c r="R2387" s="1063"/>
      <c r="S2387" s="1063"/>
      <c r="T2387" s="1063"/>
      <c r="U2387" s="1063"/>
      <c r="V2387" s="1063"/>
      <c r="W2387" s="1063"/>
      <c r="X2387" s="1063"/>
      <c r="Y2387" s="1063"/>
      <c r="Z2387" s="1063"/>
      <c r="AA2387" s="1063"/>
      <c r="AB2387" s="1063"/>
      <c r="AC2387" s="1063"/>
      <c r="AD2387" s="1063"/>
      <c r="AE2387" s="1063"/>
      <c r="AF2387" s="1063"/>
      <c r="AG2387" s="1063"/>
      <c r="AH2387" s="1063"/>
      <c r="AI2387" s="1063"/>
      <c r="AJ2387" s="1063"/>
      <c r="AK2387" s="1063"/>
      <c r="AL2387" s="1063"/>
      <c r="AM2387" s="1063"/>
      <c r="AN2387" s="1063"/>
      <c r="AO2387" s="1063"/>
      <c r="AP2387" s="1063"/>
      <c r="AQ2387" s="1063"/>
      <c r="AR2387" s="1063"/>
      <c r="AS2387" s="1063"/>
      <c r="AT2387" s="1063"/>
      <c r="AU2387" s="1063"/>
      <c r="AV2387" s="1063"/>
    </row>
    <row r="2388" spans="1:48" s="1108" customFormat="1" ht="27.75" customHeight="1">
      <c r="A2388" s="1076"/>
      <c r="B2388" s="1074">
        <f>+'[18]Bldg+Dev'!S3200</f>
        <v>0</v>
      </c>
      <c r="D2388" s="1063"/>
      <c r="F2388" s="1076"/>
      <c r="G2388" s="1063"/>
      <c r="H2388" s="1063"/>
      <c r="I2388" s="1063"/>
      <c r="J2388" s="1063"/>
      <c r="K2388" s="1063"/>
      <c r="L2388" s="1063"/>
      <c r="M2388" s="1063"/>
      <c r="N2388" s="1063"/>
      <c r="O2388" s="1063"/>
      <c r="P2388" s="1063"/>
      <c r="Q2388" s="1063"/>
      <c r="R2388" s="1063"/>
      <c r="S2388" s="1063"/>
      <c r="T2388" s="1063"/>
      <c r="U2388" s="1063"/>
      <c r="V2388" s="1063"/>
      <c r="W2388" s="1063"/>
      <c r="X2388" s="1063"/>
      <c r="Y2388" s="1063"/>
      <c r="Z2388" s="1063"/>
      <c r="AA2388" s="1063"/>
      <c r="AB2388" s="1063"/>
      <c r="AC2388" s="1063"/>
      <c r="AD2388" s="1063"/>
      <c r="AE2388" s="1063"/>
      <c r="AF2388" s="1063"/>
      <c r="AG2388" s="1063"/>
      <c r="AH2388" s="1063"/>
      <c r="AI2388" s="1063"/>
      <c r="AJ2388" s="1063"/>
      <c r="AK2388" s="1063"/>
      <c r="AL2388" s="1063"/>
      <c r="AM2388" s="1063"/>
      <c r="AN2388" s="1063"/>
      <c r="AO2388" s="1063"/>
      <c r="AP2388" s="1063"/>
      <c r="AQ2388" s="1063"/>
      <c r="AR2388" s="1063"/>
      <c r="AS2388" s="1063"/>
      <c r="AT2388" s="1063"/>
      <c r="AU2388" s="1063"/>
      <c r="AV2388" s="1063"/>
    </row>
    <row r="2389" spans="1:48" s="1108" customFormat="1" ht="27.75" customHeight="1">
      <c r="A2389" s="1076"/>
      <c r="B2389" s="1074">
        <f>+'[18]Bldg+Dev'!S3201</f>
        <v>0</v>
      </c>
      <c r="D2389" s="1063"/>
      <c r="F2389" s="1076"/>
      <c r="G2389" s="1063"/>
      <c r="H2389" s="1063"/>
      <c r="I2389" s="1063"/>
      <c r="J2389" s="1063"/>
      <c r="K2389" s="1063"/>
      <c r="L2389" s="1063"/>
      <c r="M2389" s="1063"/>
      <c r="N2389" s="1063"/>
      <c r="O2389" s="1063"/>
      <c r="P2389" s="1063"/>
      <c r="Q2389" s="1063"/>
      <c r="R2389" s="1063"/>
      <c r="S2389" s="1063"/>
      <c r="T2389" s="1063"/>
      <c r="U2389" s="1063"/>
      <c r="V2389" s="1063"/>
      <c r="W2389" s="1063"/>
      <c r="X2389" s="1063"/>
      <c r="Y2389" s="1063"/>
      <c r="Z2389" s="1063"/>
      <c r="AA2389" s="1063"/>
      <c r="AB2389" s="1063"/>
      <c r="AC2389" s="1063"/>
      <c r="AD2389" s="1063"/>
      <c r="AE2389" s="1063"/>
      <c r="AF2389" s="1063"/>
      <c r="AG2389" s="1063"/>
      <c r="AH2389" s="1063"/>
      <c r="AI2389" s="1063"/>
      <c r="AJ2389" s="1063"/>
      <c r="AK2389" s="1063"/>
      <c r="AL2389" s="1063"/>
      <c r="AM2389" s="1063"/>
      <c r="AN2389" s="1063"/>
      <c r="AO2389" s="1063"/>
      <c r="AP2389" s="1063"/>
      <c r="AQ2389" s="1063"/>
      <c r="AR2389" s="1063"/>
      <c r="AS2389" s="1063"/>
      <c r="AT2389" s="1063"/>
      <c r="AU2389" s="1063"/>
      <c r="AV2389" s="1063"/>
    </row>
    <row r="2390" spans="1:48" s="1108" customFormat="1" ht="27.75" customHeight="1">
      <c r="A2390" s="1076"/>
      <c r="B2390" s="1074">
        <f>+'[18]Bldg+Dev'!S3202</f>
        <v>0</v>
      </c>
      <c r="D2390" s="1063"/>
      <c r="F2390" s="1076"/>
      <c r="G2390" s="1063"/>
      <c r="H2390" s="1063"/>
      <c r="I2390" s="1063"/>
      <c r="J2390" s="1063"/>
      <c r="K2390" s="1063"/>
      <c r="L2390" s="1063"/>
      <c r="M2390" s="1063"/>
      <c r="N2390" s="1063"/>
      <c r="O2390" s="1063"/>
      <c r="P2390" s="1063"/>
      <c r="Q2390" s="1063"/>
      <c r="R2390" s="1063"/>
      <c r="S2390" s="1063"/>
      <c r="T2390" s="1063"/>
      <c r="U2390" s="1063"/>
      <c r="V2390" s="1063"/>
      <c r="W2390" s="1063"/>
      <c r="X2390" s="1063"/>
      <c r="Y2390" s="1063"/>
      <c r="Z2390" s="1063"/>
      <c r="AA2390" s="1063"/>
      <c r="AB2390" s="1063"/>
      <c r="AC2390" s="1063"/>
      <c r="AD2390" s="1063"/>
      <c r="AE2390" s="1063"/>
      <c r="AF2390" s="1063"/>
      <c r="AG2390" s="1063"/>
      <c r="AH2390" s="1063"/>
      <c r="AI2390" s="1063"/>
      <c r="AJ2390" s="1063"/>
      <c r="AK2390" s="1063"/>
      <c r="AL2390" s="1063"/>
      <c r="AM2390" s="1063"/>
      <c r="AN2390" s="1063"/>
      <c r="AO2390" s="1063"/>
      <c r="AP2390" s="1063"/>
      <c r="AQ2390" s="1063"/>
      <c r="AR2390" s="1063"/>
      <c r="AS2390" s="1063"/>
      <c r="AT2390" s="1063"/>
      <c r="AU2390" s="1063"/>
      <c r="AV2390" s="1063"/>
    </row>
    <row r="2391" spans="1:48" s="1108" customFormat="1" ht="27.75" customHeight="1">
      <c r="A2391" s="1076"/>
      <c r="B2391" s="1074">
        <f>+'[18]Bldg+Dev'!S3203</f>
        <v>0</v>
      </c>
      <c r="D2391" s="1063"/>
      <c r="F2391" s="1076"/>
      <c r="G2391" s="1063"/>
      <c r="H2391" s="1063"/>
      <c r="I2391" s="1063"/>
      <c r="J2391" s="1063"/>
      <c r="K2391" s="1063"/>
      <c r="L2391" s="1063"/>
      <c r="M2391" s="1063"/>
      <c r="N2391" s="1063"/>
      <c r="O2391" s="1063"/>
      <c r="P2391" s="1063"/>
      <c r="Q2391" s="1063"/>
      <c r="R2391" s="1063"/>
      <c r="S2391" s="1063"/>
      <c r="T2391" s="1063"/>
      <c r="U2391" s="1063"/>
      <c r="V2391" s="1063"/>
      <c r="W2391" s="1063"/>
      <c r="X2391" s="1063"/>
      <c r="Y2391" s="1063"/>
      <c r="Z2391" s="1063"/>
      <c r="AA2391" s="1063"/>
      <c r="AB2391" s="1063"/>
      <c r="AC2391" s="1063"/>
      <c r="AD2391" s="1063"/>
      <c r="AE2391" s="1063"/>
      <c r="AF2391" s="1063"/>
      <c r="AG2391" s="1063"/>
      <c r="AH2391" s="1063"/>
      <c r="AI2391" s="1063"/>
      <c r="AJ2391" s="1063"/>
      <c r="AK2391" s="1063"/>
      <c r="AL2391" s="1063"/>
      <c r="AM2391" s="1063"/>
      <c r="AN2391" s="1063"/>
      <c r="AO2391" s="1063"/>
      <c r="AP2391" s="1063"/>
      <c r="AQ2391" s="1063"/>
      <c r="AR2391" s="1063"/>
      <c r="AS2391" s="1063"/>
      <c r="AT2391" s="1063"/>
      <c r="AU2391" s="1063"/>
      <c r="AV2391" s="1063"/>
    </row>
    <row r="2392" spans="1:48" s="1108" customFormat="1" ht="27.75" customHeight="1">
      <c r="A2392" s="1076"/>
      <c r="B2392" s="1074">
        <f>+'[18]Bldg+Dev'!S3204</f>
        <v>0</v>
      </c>
      <c r="D2392" s="1063"/>
      <c r="F2392" s="1076"/>
      <c r="G2392" s="1063"/>
      <c r="H2392" s="1063"/>
      <c r="I2392" s="1063"/>
      <c r="J2392" s="1063"/>
      <c r="K2392" s="1063"/>
      <c r="L2392" s="1063"/>
      <c r="M2392" s="1063"/>
      <c r="N2392" s="1063"/>
      <c r="O2392" s="1063"/>
      <c r="P2392" s="1063"/>
      <c r="Q2392" s="1063"/>
      <c r="R2392" s="1063"/>
      <c r="S2392" s="1063"/>
      <c r="T2392" s="1063"/>
      <c r="U2392" s="1063"/>
      <c r="V2392" s="1063"/>
      <c r="W2392" s="1063"/>
      <c r="X2392" s="1063"/>
      <c r="Y2392" s="1063"/>
      <c r="Z2392" s="1063"/>
      <c r="AA2392" s="1063"/>
      <c r="AB2392" s="1063"/>
      <c r="AC2392" s="1063"/>
      <c r="AD2392" s="1063"/>
      <c r="AE2392" s="1063"/>
      <c r="AF2392" s="1063"/>
      <c r="AG2392" s="1063"/>
      <c r="AH2392" s="1063"/>
      <c r="AI2392" s="1063"/>
      <c r="AJ2392" s="1063"/>
      <c r="AK2392" s="1063"/>
      <c r="AL2392" s="1063"/>
      <c r="AM2392" s="1063"/>
      <c r="AN2392" s="1063"/>
      <c r="AO2392" s="1063"/>
      <c r="AP2392" s="1063"/>
      <c r="AQ2392" s="1063"/>
      <c r="AR2392" s="1063"/>
      <c r="AS2392" s="1063"/>
      <c r="AT2392" s="1063"/>
      <c r="AU2392" s="1063"/>
      <c r="AV2392" s="1063"/>
    </row>
    <row r="2393" spans="1:48" s="1108" customFormat="1" ht="27.75" customHeight="1">
      <c r="A2393" s="1076"/>
      <c r="B2393" s="1074">
        <f>+'[18]Bldg+Dev'!S3205</f>
        <v>0</v>
      </c>
      <c r="D2393" s="1063"/>
      <c r="F2393" s="1076"/>
      <c r="G2393" s="1063"/>
      <c r="H2393" s="1063"/>
      <c r="I2393" s="1063"/>
      <c r="J2393" s="1063"/>
      <c r="K2393" s="1063"/>
      <c r="L2393" s="1063"/>
      <c r="M2393" s="1063"/>
      <c r="N2393" s="1063"/>
      <c r="O2393" s="1063"/>
      <c r="P2393" s="1063"/>
      <c r="Q2393" s="1063"/>
      <c r="R2393" s="1063"/>
      <c r="S2393" s="1063"/>
      <c r="T2393" s="1063"/>
      <c r="U2393" s="1063"/>
      <c r="V2393" s="1063"/>
      <c r="W2393" s="1063"/>
      <c r="X2393" s="1063"/>
      <c r="Y2393" s="1063"/>
      <c r="Z2393" s="1063"/>
      <c r="AA2393" s="1063"/>
      <c r="AB2393" s="1063"/>
      <c r="AC2393" s="1063"/>
      <c r="AD2393" s="1063"/>
      <c r="AE2393" s="1063"/>
      <c r="AF2393" s="1063"/>
      <c r="AG2393" s="1063"/>
      <c r="AH2393" s="1063"/>
      <c r="AI2393" s="1063"/>
      <c r="AJ2393" s="1063"/>
      <c r="AK2393" s="1063"/>
      <c r="AL2393" s="1063"/>
      <c r="AM2393" s="1063"/>
      <c r="AN2393" s="1063"/>
      <c r="AO2393" s="1063"/>
      <c r="AP2393" s="1063"/>
      <c r="AQ2393" s="1063"/>
      <c r="AR2393" s="1063"/>
      <c r="AS2393" s="1063"/>
      <c r="AT2393" s="1063"/>
      <c r="AU2393" s="1063"/>
      <c r="AV2393" s="1063"/>
    </row>
    <row r="2394" spans="1:48" s="1108" customFormat="1" ht="27.75" customHeight="1">
      <c r="A2394" s="1076"/>
      <c r="B2394" s="1074">
        <f>+'[18]Bldg+Dev'!S3206</f>
        <v>0</v>
      </c>
      <c r="D2394" s="1063"/>
      <c r="F2394" s="1076"/>
      <c r="G2394" s="1063"/>
      <c r="H2394" s="1063"/>
      <c r="I2394" s="1063"/>
      <c r="J2394" s="1063"/>
      <c r="K2394" s="1063"/>
      <c r="L2394" s="1063"/>
      <c r="M2394" s="1063"/>
      <c r="N2394" s="1063"/>
      <c r="O2394" s="1063"/>
      <c r="P2394" s="1063"/>
      <c r="Q2394" s="1063"/>
      <c r="R2394" s="1063"/>
      <c r="S2394" s="1063"/>
      <c r="T2394" s="1063"/>
      <c r="U2394" s="1063"/>
      <c r="V2394" s="1063"/>
      <c r="W2394" s="1063"/>
      <c r="X2394" s="1063"/>
      <c r="Y2394" s="1063"/>
      <c r="Z2394" s="1063"/>
      <c r="AA2394" s="1063"/>
      <c r="AB2394" s="1063"/>
      <c r="AC2394" s="1063"/>
      <c r="AD2394" s="1063"/>
      <c r="AE2394" s="1063"/>
      <c r="AF2394" s="1063"/>
      <c r="AG2394" s="1063"/>
      <c r="AH2394" s="1063"/>
      <c r="AI2394" s="1063"/>
      <c r="AJ2394" s="1063"/>
      <c r="AK2394" s="1063"/>
      <c r="AL2394" s="1063"/>
      <c r="AM2394" s="1063"/>
      <c r="AN2394" s="1063"/>
      <c r="AO2394" s="1063"/>
      <c r="AP2394" s="1063"/>
      <c r="AQ2394" s="1063"/>
      <c r="AR2394" s="1063"/>
      <c r="AS2394" s="1063"/>
      <c r="AT2394" s="1063"/>
      <c r="AU2394" s="1063"/>
      <c r="AV2394" s="1063"/>
    </row>
    <row r="2395" spans="1:48" s="1108" customFormat="1" ht="27.75" customHeight="1">
      <c r="A2395" s="1076"/>
      <c r="B2395" s="1074">
        <f>+'[18]Bldg+Dev'!S3207</f>
        <v>0</v>
      </c>
      <c r="D2395" s="1063"/>
      <c r="F2395" s="1076"/>
      <c r="G2395" s="1063"/>
      <c r="H2395" s="1063"/>
      <c r="I2395" s="1063"/>
      <c r="J2395" s="1063"/>
      <c r="K2395" s="1063"/>
      <c r="L2395" s="1063"/>
      <c r="M2395" s="1063"/>
      <c r="N2395" s="1063"/>
      <c r="O2395" s="1063"/>
      <c r="P2395" s="1063"/>
      <c r="Q2395" s="1063"/>
      <c r="R2395" s="1063"/>
      <c r="S2395" s="1063"/>
      <c r="T2395" s="1063"/>
      <c r="U2395" s="1063"/>
      <c r="V2395" s="1063"/>
      <c r="W2395" s="1063"/>
      <c r="X2395" s="1063"/>
      <c r="Y2395" s="1063"/>
      <c r="Z2395" s="1063"/>
      <c r="AA2395" s="1063"/>
      <c r="AB2395" s="1063"/>
      <c r="AC2395" s="1063"/>
      <c r="AD2395" s="1063"/>
      <c r="AE2395" s="1063"/>
      <c r="AF2395" s="1063"/>
      <c r="AG2395" s="1063"/>
      <c r="AH2395" s="1063"/>
      <c r="AI2395" s="1063"/>
      <c r="AJ2395" s="1063"/>
      <c r="AK2395" s="1063"/>
      <c r="AL2395" s="1063"/>
      <c r="AM2395" s="1063"/>
      <c r="AN2395" s="1063"/>
      <c r="AO2395" s="1063"/>
      <c r="AP2395" s="1063"/>
      <c r="AQ2395" s="1063"/>
      <c r="AR2395" s="1063"/>
      <c r="AS2395" s="1063"/>
      <c r="AT2395" s="1063"/>
      <c r="AU2395" s="1063"/>
      <c r="AV2395" s="1063"/>
    </row>
    <row r="2396" spans="1:48" s="1108" customFormat="1" ht="27.75" customHeight="1">
      <c r="A2396" s="1076"/>
      <c r="B2396" s="1074">
        <f>+'[18]Bldg+Dev'!S3208</f>
        <v>0</v>
      </c>
      <c r="D2396" s="1063"/>
      <c r="F2396" s="1076"/>
      <c r="G2396" s="1063"/>
      <c r="H2396" s="1063"/>
      <c r="I2396" s="1063"/>
      <c r="J2396" s="1063"/>
      <c r="K2396" s="1063"/>
      <c r="L2396" s="1063"/>
      <c r="M2396" s="1063"/>
      <c r="N2396" s="1063"/>
      <c r="O2396" s="1063"/>
      <c r="P2396" s="1063"/>
      <c r="Q2396" s="1063"/>
      <c r="R2396" s="1063"/>
      <c r="S2396" s="1063"/>
      <c r="T2396" s="1063"/>
      <c r="U2396" s="1063"/>
      <c r="V2396" s="1063"/>
      <c r="W2396" s="1063"/>
      <c r="X2396" s="1063"/>
      <c r="Y2396" s="1063"/>
      <c r="Z2396" s="1063"/>
      <c r="AA2396" s="1063"/>
      <c r="AB2396" s="1063"/>
      <c r="AC2396" s="1063"/>
      <c r="AD2396" s="1063"/>
      <c r="AE2396" s="1063"/>
      <c r="AF2396" s="1063"/>
      <c r="AG2396" s="1063"/>
      <c r="AH2396" s="1063"/>
      <c r="AI2396" s="1063"/>
      <c r="AJ2396" s="1063"/>
      <c r="AK2396" s="1063"/>
      <c r="AL2396" s="1063"/>
      <c r="AM2396" s="1063"/>
      <c r="AN2396" s="1063"/>
      <c r="AO2396" s="1063"/>
      <c r="AP2396" s="1063"/>
      <c r="AQ2396" s="1063"/>
      <c r="AR2396" s="1063"/>
      <c r="AS2396" s="1063"/>
      <c r="AT2396" s="1063"/>
      <c r="AU2396" s="1063"/>
      <c r="AV2396" s="1063"/>
    </row>
    <row r="2397" spans="1:48" s="1108" customFormat="1" ht="27.75" customHeight="1">
      <c r="A2397" s="1076"/>
      <c r="B2397" s="1074">
        <f>+'[18]Bldg+Dev'!S3209</f>
        <v>0</v>
      </c>
      <c r="D2397" s="1063"/>
      <c r="F2397" s="1076"/>
      <c r="G2397" s="1063"/>
      <c r="H2397" s="1063"/>
      <c r="I2397" s="1063"/>
      <c r="J2397" s="1063"/>
      <c r="K2397" s="1063"/>
      <c r="L2397" s="1063"/>
      <c r="M2397" s="1063"/>
      <c r="N2397" s="1063"/>
      <c r="O2397" s="1063"/>
      <c r="P2397" s="1063"/>
      <c r="Q2397" s="1063"/>
      <c r="R2397" s="1063"/>
      <c r="S2397" s="1063"/>
      <c r="T2397" s="1063"/>
      <c r="U2397" s="1063"/>
      <c r="V2397" s="1063"/>
      <c r="W2397" s="1063"/>
      <c r="X2397" s="1063"/>
      <c r="Y2397" s="1063"/>
      <c r="Z2397" s="1063"/>
      <c r="AA2397" s="1063"/>
      <c r="AB2397" s="1063"/>
      <c r="AC2397" s="1063"/>
      <c r="AD2397" s="1063"/>
      <c r="AE2397" s="1063"/>
      <c r="AF2397" s="1063"/>
      <c r="AG2397" s="1063"/>
      <c r="AH2397" s="1063"/>
      <c r="AI2397" s="1063"/>
      <c r="AJ2397" s="1063"/>
      <c r="AK2397" s="1063"/>
      <c r="AL2397" s="1063"/>
      <c r="AM2397" s="1063"/>
      <c r="AN2397" s="1063"/>
      <c r="AO2397" s="1063"/>
      <c r="AP2397" s="1063"/>
      <c r="AQ2397" s="1063"/>
      <c r="AR2397" s="1063"/>
      <c r="AS2397" s="1063"/>
      <c r="AT2397" s="1063"/>
      <c r="AU2397" s="1063"/>
      <c r="AV2397" s="1063"/>
    </row>
    <row r="2398" spans="1:48" s="1108" customFormat="1" ht="27.75" customHeight="1">
      <c r="A2398" s="1076"/>
      <c r="B2398" s="1074">
        <f>+'[18]Bldg+Dev'!S3210</f>
        <v>0</v>
      </c>
      <c r="D2398" s="1063"/>
      <c r="F2398" s="1076"/>
      <c r="G2398" s="1063"/>
      <c r="H2398" s="1063"/>
      <c r="I2398" s="1063"/>
      <c r="J2398" s="1063"/>
      <c r="K2398" s="1063"/>
      <c r="L2398" s="1063"/>
      <c r="M2398" s="1063"/>
      <c r="N2398" s="1063"/>
      <c r="O2398" s="1063"/>
      <c r="P2398" s="1063"/>
      <c r="Q2398" s="1063"/>
      <c r="R2398" s="1063"/>
      <c r="S2398" s="1063"/>
      <c r="T2398" s="1063"/>
      <c r="U2398" s="1063"/>
      <c r="V2398" s="1063"/>
      <c r="W2398" s="1063"/>
      <c r="X2398" s="1063"/>
      <c r="Y2398" s="1063"/>
      <c r="Z2398" s="1063"/>
      <c r="AA2398" s="1063"/>
      <c r="AB2398" s="1063"/>
      <c r="AC2398" s="1063"/>
      <c r="AD2398" s="1063"/>
      <c r="AE2398" s="1063"/>
      <c r="AF2398" s="1063"/>
      <c r="AG2398" s="1063"/>
      <c r="AH2398" s="1063"/>
      <c r="AI2398" s="1063"/>
      <c r="AJ2398" s="1063"/>
      <c r="AK2398" s="1063"/>
      <c r="AL2398" s="1063"/>
      <c r="AM2398" s="1063"/>
      <c r="AN2398" s="1063"/>
      <c r="AO2398" s="1063"/>
      <c r="AP2398" s="1063"/>
      <c r="AQ2398" s="1063"/>
      <c r="AR2398" s="1063"/>
      <c r="AS2398" s="1063"/>
      <c r="AT2398" s="1063"/>
      <c r="AU2398" s="1063"/>
      <c r="AV2398" s="1063"/>
    </row>
    <row r="2399" spans="1:48" s="1108" customFormat="1" ht="27.75" customHeight="1">
      <c r="A2399" s="1076"/>
      <c r="B2399" s="1074">
        <f>+'[18]Bldg+Dev'!S3211</f>
        <v>0</v>
      </c>
      <c r="D2399" s="1063"/>
      <c r="F2399" s="1076"/>
      <c r="G2399" s="1063"/>
      <c r="H2399" s="1063"/>
      <c r="I2399" s="1063"/>
      <c r="J2399" s="1063"/>
      <c r="K2399" s="1063"/>
      <c r="L2399" s="1063"/>
      <c r="M2399" s="1063"/>
      <c r="N2399" s="1063"/>
      <c r="O2399" s="1063"/>
      <c r="P2399" s="1063"/>
      <c r="Q2399" s="1063"/>
      <c r="R2399" s="1063"/>
      <c r="S2399" s="1063"/>
      <c r="T2399" s="1063"/>
      <c r="U2399" s="1063"/>
      <c r="V2399" s="1063"/>
      <c r="W2399" s="1063"/>
      <c r="X2399" s="1063"/>
      <c r="Y2399" s="1063"/>
      <c r="Z2399" s="1063"/>
      <c r="AA2399" s="1063"/>
      <c r="AB2399" s="1063"/>
      <c r="AC2399" s="1063"/>
      <c r="AD2399" s="1063"/>
      <c r="AE2399" s="1063"/>
      <c r="AF2399" s="1063"/>
      <c r="AG2399" s="1063"/>
      <c r="AH2399" s="1063"/>
      <c r="AI2399" s="1063"/>
      <c r="AJ2399" s="1063"/>
      <c r="AK2399" s="1063"/>
      <c r="AL2399" s="1063"/>
      <c r="AM2399" s="1063"/>
      <c r="AN2399" s="1063"/>
      <c r="AO2399" s="1063"/>
      <c r="AP2399" s="1063"/>
      <c r="AQ2399" s="1063"/>
      <c r="AR2399" s="1063"/>
      <c r="AS2399" s="1063"/>
      <c r="AT2399" s="1063"/>
      <c r="AU2399" s="1063"/>
      <c r="AV2399" s="1063"/>
    </row>
    <row r="2400" spans="1:48" s="1108" customFormat="1" ht="27.75" customHeight="1">
      <c r="A2400" s="1076"/>
      <c r="B2400" s="1074">
        <f>+'[18]Bldg+Dev'!S3212</f>
        <v>0</v>
      </c>
      <c r="D2400" s="1063"/>
      <c r="F2400" s="1076"/>
      <c r="G2400" s="1063"/>
      <c r="H2400" s="1063"/>
      <c r="I2400" s="1063"/>
      <c r="J2400" s="1063"/>
      <c r="K2400" s="1063"/>
      <c r="L2400" s="1063"/>
      <c r="M2400" s="1063"/>
      <c r="N2400" s="1063"/>
      <c r="O2400" s="1063"/>
      <c r="P2400" s="1063"/>
      <c r="Q2400" s="1063"/>
      <c r="R2400" s="1063"/>
      <c r="S2400" s="1063"/>
      <c r="T2400" s="1063"/>
      <c r="U2400" s="1063"/>
      <c r="V2400" s="1063"/>
      <c r="W2400" s="1063"/>
      <c r="X2400" s="1063"/>
      <c r="Y2400" s="1063"/>
      <c r="Z2400" s="1063"/>
      <c r="AA2400" s="1063"/>
      <c r="AB2400" s="1063"/>
      <c r="AC2400" s="1063"/>
      <c r="AD2400" s="1063"/>
      <c r="AE2400" s="1063"/>
      <c r="AF2400" s="1063"/>
      <c r="AG2400" s="1063"/>
      <c r="AH2400" s="1063"/>
      <c r="AI2400" s="1063"/>
      <c r="AJ2400" s="1063"/>
      <c r="AK2400" s="1063"/>
      <c r="AL2400" s="1063"/>
      <c r="AM2400" s="1063"/>
      <c r="AN2400" s="1063"/>
      <c r="AO2400" s="1063"/>
      <c r="AP2400" s="1063"/>
      <c r="AQ2400" s="1063"/>
      <c r="AR2400" s="1063"/>
      <c r="AS2400" s="1063"/>
      <c r="AT2400" s="1063"/>
      <c r="AU2400" s="1063"/>
      <c r="AV2400" s="1063"/>
    </row>
    <row r="2401" spans="1:48" s="1108" customFormat="1" ht="27.75" customHeight="1">
      <c r="A2401" s="1076"/>
      <c r="B2401" s="1074">
        <f>+'[18]Bldg+Dev'!S3213</f>
        <v>0</v>
      </c>
      <c r="D2401" s="1063"/>
      <c r="F2401" s="1076"/>
      <c r="G2401" s="1063"/>
      <c r="H2401" s="1063"/>
      <c r="I2401" s="1063"/>
      <c r="J2401" s="1063"/>
      <c r="K2401" s="1063"/>
      <c r="L2401" s="1063"/>
      <c r="M2401" s="1063"/>
      <c r="N2401" s="1063"/>
      <c r="O2401" s="1063"/>
      <c r="P2401" s="1063"/>
      <c r="Q2401" s="1063"/>
      <c r="R2401" s="1063"/>
      <c r="S2401" s="1063"/>
      <c r="T2401" s="1063"/>
      <c r="U2401" s="1063"/>
      <c r="V2401" s="1063"/>
      <c r="W2401" s="1063"/>
      <c r="X2401" s="1063"/>
      <c r="Y2401" s="1063"/>
      <c r="Z2401" s="1063"/>
      <c r="AA2401" s="1063"/>
      <c r="AB2401" s="1063"/>
      <c r="AC2401" s="1063"/>
      <c r="AD2401" s="1063"/>
      <c r="AE2401" s="1063"/>
      <c r="AF2401" s="1063"/>
      <c r="AG2401" s="1063"/>
      <c r="AH2401" s="1063"/>
      <c r="AI2401" s="1063"/>
      <c r="AJ2401" s="1063"/>
      <c r="AK2401" s="1063"/>
      <c r="AL2401" s="1063"/>
      <c r="AM2401" s="1063"/>
      <c r="AN2401" s="1063"/>
      <c r="AO2401" s="1063"/>
      <c r="AP2401" s="1063"/>
      <c r="AQ2401" s="1063"/>
      <c r="AR2401" s="1063"/>
      <c r="AS2401" s="1063"/>
      <c r="AT2401" s="1063"/>
      <c r="AU2401" s="1063"/>
      <c r="AV2401" s="1063"/>
    </row>
    <row r="2402" spans="1:48" s="1108" customFormat="1" ht="27.75" customHeight="1">
      <c r="A2402" s="1076"/>
      <c r="B2402" s="1074">
        <f>+'[18]Bldg+Dev'!S3214</f>
        <v>0</v>
      </c>
      <c r="D2402" s="1063"/>
      <c r="F2402" s="1076"/>
      <c r="G2402" s="1063"/>
      <c r="H2402" s="1063"/>
      <c r="I2402" s="1063"/>
      <c r="J2402" s="1063"/>
      <c r="K2402" s="1063"/>
      <c r="L2402" s="1063"/>
      <c r="M2402" s="1063"/>
      <c r="N2402" s="1063"/>
      <c r="O2402" s="1063"/>
      <c r="P2402" s="1063"/>
      <c r="Q2402" s="1063"/>
      <c r="R2402" s="1063"/>
      <c r="S2402" s="1063"/>
      <c r="T2402" s="1063"/>
      <c r="U2402" s="1063"/>
      <c r="V2402" s="1063"/>
      <c r="W2402" s="1063"/>
      <c r="X2402" s="1063"/>
      <c r="Y2402" s="1063"/>
      <c r="Z2402" s="1063"/>
      <c r="AA2402" s="1063"/>
      <c r="AB2402" s="1063"/>
      <c r="AC2402" s="1063"/>
      <c r="AD2402" s="1063"/>
      <c r="AE2402" s="1063"/>
      <c r="AF2402" s="1063"/>
      <c r="AG2402" s="1063"/>
      <c r="AH2402" s="1063"/>
      <c r="AI2402" s="1063"/>
      <c r="AJ2402" s="1063"/>
      <c r="AK2402" s="1063"/>
      <c r="AL2402" s="1063"/>
      <c r="AM2402" s="1063"/>
      <c r="AN2402" s="1063"/>
      <c r="AO2402" s="1063"/>
      <c r="AP2402" s="1063"/>
      <c r="AQ2402" s="1063"/>
      <c r="AR2402" s="1063"/>
      <c r="AS2402" s="1063"/>
      <c r="AT2402" s="1063"/>
      <c r="AU2402" s="1063"/>
      <c r="AV2402" s="1063"/>
    </row>
    <row r="2403" spans="1:48" s="1108" customFormat="1" ht="27.75" customHeight="1">
      <c r="A2403" s="1076"/>
      <c r="B2403" s="1074">
        <f>+'[18]Bldg+Dev'!S3215</f>
        <v>0</v>
      </c>
      <c r="D2403" s="1063"/>
      <c r="F2403" s="1076"/>
      <c r="G2403" s="1063"/>
      <c r="H2403" s="1063"/>
      <c r="I2403" s="1063"/>
      <c r="J2403" s="1063"/>
      <c r="K2403" s="1063"/>
      <c r="L2403" s="1063"/>
      <c r="M2403" s="1063"/>
      <c r="N2403" s="1063"/>
      <c r="O2403" s="1063"/>
      <c r="P2403" s="1063"/>
      <c r="Q2403" s="1063"/>
      <c r="R2403" s="1063"/>
      <c r="S2403" s="1063"/>
      <c r="T2403" s="1063"/>
      <c r="U2403" s="1063"/>
      <c r="V2403" s="1063"/>
      <c r="W2403" s="1063"/>
      <c r="X2403" s="1063"/>
      <c r="Y2403" s="1063"/>
      <c r="Z2403" s="1063"/>
      <c r="AA2403" s="1063"/>
      <c r="AB2403" s="1063"/>
      <c r="AC2403" s="1063"/>
      <c r="AD2403" s="1063"/>
      <c r="AE2403" s="1063"/>
      <c r="AF2403" s="1063"/>
      <c r="AG2403" s="1063"/>
      <c r="AH2403" s="1063"/>
      <c r="AI2403" s="1063"/>
      <c r="AJ2403" s="1063"/>
      <c r="AK2403" s="1063"/>
      <c r="AL2403" s="1063"/>
      <c r="AM2403" s="1063"/>
      <c r="AN2403" s="1063"/>
      <c r="AO2403" s="1063"/>
      <c r="AP2403" s="1063"/>
      <c r="AQ2403" s="1063"/>
      <c r="AR2403" s="1063"/>
      <c r="AS2403" s="1063"/>
      <c r="AT2403" s="1063"/>
      <c r="AU2403" s="1063"/>
      <c r="AV2403" s="1063"/>
    </row>
    <row r="2404" spans="1:48" s="1108" customFormat="1" ht="27.75" customHeight="1">
      <c r="A2404" s="1076"/>
      <c r="B2404" s="1074">
        <f>+'[18]Bldg+Dev'!S3216</f>
        <v>0</v>
      </c>
      <c r="D2404" s="1063"/>
      <c r="F2404" s="1076"/>
      <c r="G2404" s="1063"/>
      <c r="H2404" s="1063"/>
      <c r="I2404" s="1063"/>
      <c r="J2404" s="1063"/>
      <c r="K2404" s="1063"/>
      <c r="L2404" s="1063"/>
      <c r="M2404" s="1063"/>
      <c r="N2404" s="1063"/>
      <c r="O2404" s="1063"/>
      <c r="P2404" s="1063"/>
      <c r="Q2404" s="1063"/>
      <c r="R2404" s="1063"/>
      <c r="S2404" s="1063"/>
      <c r="T2404" s="1063"/>
      <c r="U2404" s="1063"/>
      <c r="V2404" s="1063"/>
      <c r="W2404" s="1063"/>
      <c r="X2404" s="1063"/>
      <c r="Y2404" s="1063"/>
      <c r="Z2404" s="1063"/>
      <c r="AA2404" s="1063"/>
      <c r="AB2404" s="1063"/>
      <c r="AC2404" s="1063"/>
      <c r="AD2404" s="1063"/>
      <c r="AE2404" s="1063"/>
      <c r="AF2404" s="1063"/>
      <c r="AG2404" s="1063"/>
      <c r="AH2404" s="1063"/>
      <c r="AI2404" s="1063"/>
      <c r="AJ2404" s="1063"/>
      <c r="AK2404" s="1063"/>
      <c r="AL2404" s="1063"/>
      <c r="AM2404" s="1063"/>
      <c r="AN2404" s="1063"/>
      <c r="AO2404" s="1063"/>
      <c r="AP2404" s="1063"/>
      <c r="AQ2404" s="1063"/>
      <c r="AR2404" s="1063"/>
      <c r="AS2404" s="1063"/>
      <c r="AT2404" s="1063"/>
      <c r="AU2404" s="1063"/>
      <c r="AV2404" s="1063"/>
    </row>
    <row r="2405" spans="1:48" s="1108" customFormat="1" ht="27.75" customHeight="1">
      <c r="A2405" s="1076"/>
      <c r="B2405" s="1074">
        <f>+'[18]Bldg+Dev'!S3217</f>
        <v>0</v>
      </c>
      <c r="D2405" s="1063"/>
      <c r="F2405" s="1076"/>
      <c r="G2405" s="1063"/>
      <c r="H2405" s="1063"/>
      <c r="I2405" s="1063"/>
      <c r="J2405" s="1063"/>
      <c r="K2405" s="1063"/>
      <c r="L2405" s="1063"/>
      <c r="M2405" s="1063"/>
      <c r="N2405" s="1063"/>
      <c r="O2405" s="1063"/>
      <c r="P2405" s="1063"/>
      <c r="Q2405" s="1063"/>
      <c r="R2405" s="1063"/>
      <c r="S2405" s="1063"/>
      <c r="T2405" s="1063"/>
      <c r="U2405" s="1063"/>
      <c r="V2405" s="1063"/>
      <c r="W2405" s="1063"/>
      <c r="X2405" s="1063"/>
      <c r="Y2405" s="1063"/>
      <c r="Z2405" s="1063"/>
      <c r="AA2405" s="1063"/>
      <c r="AB2405" s="1063"/>
      <c r="AC2405" s="1063"/>
      <c r="AD2405" s="1063"/>
      <c r="AE2405" s="1063"/>
      <c r="AF2405" s="1063"/>
      <c r="AG2405" s="1063"/>
      <c r="AH2405" s="1063"/>
      <c r="AI2405" s="1063"/>
      <c r="AJ2405" s="1063"/>
      <c r="AK2405" s="1063"/>
      <c r="AL2405" s="1063"/>
      <c r="AM2405" s="1063"/>
      <c r="AN2405" s="1063"/>
      <c r="AO2405" s="1063"/>
      <c r="AP2405" s="1063"/>
      <c r="AQ2405" s="1063"/>
      <c r="AR2405" s="1063"/>
      <c r="AS2405" s="1063"/>
      <c r="AT2405" s="1063"/>
      <c r="AU2405" s="1063"/>
      <c r="AV2405" s="1063"/>
    </row>
    <row r="2406" spans="1:48" s="1108" customFormat="1" ht="27.75" customHeight="1">
      <c r="A2406" s="1076"/>
      <c r="B2406" s="1074">
        <f>+'[18]Bldg+Dev'!S3218</f>
        <v>0</v>
      </c>
      <c r="D2406" s="1063"/>
      <c r="F2406" s="1076"/>
      <c r="G2406" s="1063"/>
      <c r="H2406" s="1063"/>
      <c r="I2406" s="1063"/>
      <c r="J2406" s="1063"/>
      <c r="K2406" s="1063"/>
      <c r="L2406" s="1063"/>
      <c r="M2406" s="1063"/>
      <c r="N2406" s="1063"/>
      <c r="O2406" s="1063"/>
      <c r="P2406" s="1063"/>
      <c r="Q2406" s="1063"/>
      <c r="R2406" s="1063"/>
      <c r="S2406" s="1063"/>
      <c r="T2406" s="1063"/>
      <c r="U2406" s="1063"/>
      <c r="V2406" s="1063"/>
      <c r="W2406" s="1063"/>
      <c r="X2406" s="1063"/>
      <c r="Y2406" s="1063"/>
      <c r="Z2406" s="1063"/>
      <c r="AA2406" s="1063"/>
      <c r="AB2406" s="1063"/>
      <c r="AC2406" s="1063"/>
      <c r="AD2406" s="1063"/>
      <c r="AE2406" s="1063"/>
      <c r="AF2406" s="1063"/>
      <c r="AG2406" s="1063"/>
      <c r="AH2406" s="1063"/>
      <c r="AI2406" s="1063"/>
      <c r="AJ2406" s="1063"/>
      <c r="AK2406" s="1063"/>
      <c r="AL2406" s="1063"/>
      <c r="AM2406" s="1063"/>
      <c r="AN2406" s="1063"/>
      <c r="AO2406" s="1063"/>
      <c r="AP2406" s="1063"/>
      <c r="AQ2406" s="1063"/>
      <c r="AR2406" s="1063"/>
      <c r="AS2406" s="1063"/>
      <c r="AT2406" s="1063"/>
      <c r="AU2406" s="1063"/>
      <c r="AV2406" s="1063"/>
    </row>
    <row r="2407" spans="1:48" s="1108" customFormat="1" ht="27.75" customHeight="1">
      <c r="A2407" s="1076"/>
      <c r="B2407" s="1074">
        <f>+'[18]Bldg+Dev'!S3219</f>
        <v>0</v>
      </c>
      <c r="D2407" s="1063"/>
      <c r="F2407" s="1076"/>
      <c r="G2407" s="1063"/>
      <c r="H2407" s="1063"/>
      <c r="I2407" s="1063"/>
      <c r="J2407" s="1063"/>
      <c r="K2407" s="1063"/>
      <c r="L2407" s="1063"/>
      <c r="M2407" s="1063"/>
      <c r="N2407" s="1063"/>
      <c r="O2407" s="1063"/>
      <c r="P2407" s="1063"/>
      <c r="Q2407" s="1063"/>
      <c r="R2407" s="1063"/>
      <c r="S2407" s="1063"/>
      <c r="T2407" s="1063"/>
      <c r="U2407" s="1063"/>
      <c r="V2407" s="1063"/>
      <c r="W2407" s="1063"/>
      <c r="X2407" s="1063"/>
      <c r="Y2407" s="1063"/>
      <c r="Z2407" s="1063"/>
      <c r="AA2407" s="1063"/>
      <c r="AB2407" s="1063"/>
      <c r="AC2407" s="1063"/>
      <c r="AD2407" s="1063"/>
      <c r="AE2407" s="1063"/>
      <c r="AF2407" s="1063"/>
      <c r="AG2407" s="1063"/>
      <c r="AH2407" s="1063"/>
      <c r="AI2407" s="1063"/>
      <c r="AJ2407" s="1063"/>
      <c r="AK2407" s="1063"/>
      <c r="AL2407" s="1063"/>
      <c r="AM2407" s="1063"/>
      <c r="AN2407" s="1063"/>
      <c r="AO2407" s="1063"/>
      <c r="AP2407" s="1063"/>
      <c r="AQ2407" s="1063"/>
      <c r="AR2407" s="1063"/>
      <c r="AS2407" s="1063"/>
      <c r="AT2407" s="1063"/>
      <c r="AU2407" s="1063"/>
      <c r="AV2407" s="1063"/>
    </row>
    <row r="2408" spans="1:48" s="1108" customFormat="1" ht="27.75" customHeight="1">
      <c r="A2408" s="1076"/>
      <c r="B2408" s="1074">
        <f>+'[18]Bldg+Dev'!S3220</f>
        <v>0</v>
      </c>
      <c r="D2408" s="1063"/>
      <c r="F2408" s="1076"/>
      <c r="G2408" s="1063"/>
      <c r="H2408" s="1063"/>
      <c r="I2408" s="1063"/>
      <c r="J2408" s="1063"/>
      <c r="K2408" s="1063"/>
      <c r="L2408" s="1063"/>
      <c r="M2408" s="1063"/>
      <c r="N2408" s="1063"/>
      <c r="O2408" s="1063"/>
      <c r="P2408" s="1063"/>
      <c r="Q2408" s="1063"/>
      <c r="R2408" s="1063"/>
      <c r="S2408" s="1063"/>
      <c r="T2408" s="1063"/>
      <c r="U2408" s="1063"/>
      <c r="V2408" s="1063"/>
      <c r="W2408" s="1063"/>
      <c r="X2408" s="1063"/>
      <c r="Y2408" s="1063"/>
      <c r="Z2408" s="1063"/>
      <c r="AA2408" s="1063"/>
      <c r="AB2408" s="1063"/>
      <c r="AC2408" s="1063"/>
      <c r="AD2408" s="1063"/>
      <c r="AE2408" s="1063"/>
      <c r="AF2408" s="1063"/>
      <c r="AG2408" s="1063"/>
      <c r="AH2408" s="1063"/>
      <c r="AI2408" s="1063"/>
      <c r="AJ2408" s="1063"/>
      <c r="AK2408" s="1063"/>
      <c r="AL2408" s="1063"/>
      <c r="AM2408" s="1063"/>
      <c r="AN2408" s="1063"/>
      <c r="AO2408" s="1063"/>
      <c r="AP2408" s="1063"/>
      <c r="AQ2408" s="1063"/>
      <c r="AR2408" s="1063"/>
      <c r="AS2408" s="1063"/>
      <c r="AT2408" s="1063"/>
      <c r="AU2408" s="1063"/>
      <c r="AV2408" s="1063"/>
    </row>
    <row r="2409" spans="1:48" s="1108" customFormat="1" ht="27.75" customHeight="1">
      <c r="A2409" s="1076"/>
      <c r="B2409" s="1074">
        <f>+'[18]Bldg+Dev'!S3221</f>
        <v>0</v>
      </c>
      <c r="D2409" s="1063"/>
      <c r="F2409" s="1076"/>
      <c r="G2409" s="1063"/>
      <c r="H2409" s="1063"/>
      <c r="I2409" s="1063"/>
      <c r="J2409" s="1063"/>
      <c r="K2409" s="1063"/>
      <c r="L2409" s="1063"/>
      <c r="M2409" s="1063"/>
      <c r="N2409" s="1063"/>
      <c r="O2409" s="1063"/>
      <c r="P2409" s="1063"/>
      <c r="Q2409" s="1063"/>
      <c r="R2409" s="1063"/>
      <c r="S2409" s="1063"/>
      <c r="T2409" s="1063"/>
      <c r="U2409" s="1063"/>
      <c r="V2409" s="1063"/>
      <c r="W2409" s="1063"/>
      <c r="X2409" s="1063"/>
      <c r="Y2409" s="1063"/>
      <c r="Z2409" s="1063"/>
      <c r="AA2409" s="1063"/>
      <c r="AB2409" s="1063"/>
      <c r="AC2409" s="1063"/>
      <c r="AD2409" s="1063"/>
      <c r="AE2409" s="1063"/>
      <c r="AF2409" s="1063"/>
      <c r="AG2409" s="1063"/>
      <c r="AH2409" s="1063"/>
      <c r="AI2409" s="1063"/>
      <c r="AJ2409" s="1063"/>
      <c r="AK2409" s="1063"/>
      <c r="AL2409" s="1063"/>
      <c r="AM2409" s="1063"/>
      <c r="AN2409" s="1063"/>
      <c r="AO2409" s="1063"/>
      <c r="AP2409" s="1063"/>
      <c r="AQ2409" s="1063"/>
      <c r="AR2409" s="1063"/>
      <c r="AS2409" s="1063"/>
      <c r="AT2409" s="1063"/>
      <c r="AU2409" s="1063"/>
      <c r="AV2409" s="1063"/>
    </row>
    <row r="2410" spans="1:48" s="1108" customFormat="1" ht="27.75" customHeight="1">
      <c r="A2410" s="1076"/>
      <c r="B2410" s="1074">
        <f>+'[18]Bldg+Dev'!S3222</f>
        <v>0</v>
      </c>
      <c r="D2410" s="1063"/>
      <c r="F2410" s="1076"/>
      <c r="G2410" s="1063"/>
      <c r="H2410" s="1063"/>
      <c r="I2410" s="1063"/>
      <c r="J2410" s="1063"/>
      <c r="K2410" s="1063"/>
      <c r="L2410" s="1063"/>
      <c r="M2410" s="1063"/>
      <c r="N2410" s="1063"/>
      <c r="O2410" s="1063"/>
      <c r="P2410" s="1063"/>
      <c r="Q2410" s="1063"/>
      <c r="R2410" s="1063"/>
      <c r="S2410" s="1063"/>
      <c r="T2410" s="1063"/>
      <c r="U2410" s="1063"/>
      <c r="V2410" s="1063"/>
      <c r="W2410" s="1063"/>
      <c r="X2410" s="1063"/>
      <c r="Y2410" s="1063"/>
      <c r="Z2410" s="1063"/>
      <c r="AA2410" s="1063"/>
      <c r="AB2410" s="1063"/>
      <c r="AC2410" s="1063"/>
      <c r="AD2410" s="1063"/>
      <c r="AE2410" s="1063"/>
      <c r="AF2410" s="1063"/>
      <c r="AG2410" s="1063"/>
      <c r="AH2410" s="1063"/>
      <c r="AI2410" s="1063"/>
      <c r="AJ2410" s="1063"/>
      <c r="AK2410" s="1063"/>
      <c r="AL2410" s="1063"/>
      <c r="AM2410" s="1063"/>
      <c r="AN2410" s="1063"/>
      <c r="AO2410" s="1063"/>
      <c r="AP2410" s="1063"/>
      <c r="AQ2410" s="1063"/>
      <c r="AR2410" s="1063"/>
      <c r="AS2410" s="1063"/>
      <c r="AT2410" s="1063"/>
      <c r="AU2410" s="1063"/>
      <c r="AV2410" s="1063"/>
    </row>
    <row r="2411" spans="1:48" s="1108" customFormat="1" ht="27.75" customHeight="1">
      <c r="A2411" s="1076"/>
      <c r="B2411" s="1074">
        <f>+'[18]Bldg+Dev'!S3223</f>
        <v>0</v>
      </c>
      <c r="D2411" s="1063"/>
      <c r="F2411" s="1076"/>
      <c r="G2411" s="1063"/>
      <c r="H2411" s="1063"/>
      <c r="I2411" s="1063"/>
      <c r="J2411" s="1063"/>
      <c r="K2411" s="1063"/>
      <c r="L2411" s="1063"/>
      <c r="M2411" s="1063"/>
      <c r="N2411" s="1063"/>
      <c r="O2411" s="1063"/>
      <c r="P2411" s="1063"/>
      <c r="Q2411" s="1063"/>
      <c r="R2411" s="1063"/>
      <c r="S2411" s="1063"/>
      <c r="T2411" s="1063"/>
      <c r="U2411" s="1063"/>
      <c r="V2411" s="1063"/>
      <c r="W2411" s="1063"/>
      <c r="X2411" s="1063"/>
      <c r="Y2411" s="1063"/>
      <c r="Z2411" s="1063"/>
      <c r="AA2411" s="1063"/>
      <c r="AB2411" s="1063"/>
      <c r="AC2411" s="1063"/>
      <c r="AD2411" s="1063"/>
      <c r="AE2411" s="1063"/>
      <c r="AF2411" s="1063"/>
      <c r="AG2411" s="1063"/>
      <c r="AH2411" s="1063"/>
      <c r="AI2411" s="1063"/>
      <c r="AJ2411" s="1063"/>
      <c r="AK2411" s="1063"/>
      <c r="AL2411" s="1063"/>
      <c r="AM2411" s="1063"/>
      <c r="AN2411" s="1063"/>
      <c r="AO2411" s="1063"/>
      <c r="AP2411" s="1063"/>
      <c r="AQ2411" s="1063"/>
      <c r="AR2411" s="1063"/>
      <c r="AS2411" s="1063"/>
      <c r="AT2411" s="1063"/>
      <c r="AU2411" s="1063"/>
      <c r="AV2411" s="1063"/>
    </row>
    <row r="2412" spans="1:48" s="1108" customFormat="1" ht="27.75" customHeight="1">
      <c r="A2412" s="1076"/>
      <c r="B2412" s="1074">
        <f>+'[18]Bldg+Dev'!S3224</f>
        <v>0</v>
      </c>
      <c r="D2412" s="1063"/>
      <c r="F2412" s="1076"/>
      <c r="G2412" s="1063"/>
      <c r="H2412" s="1063"/>
      <c r="I2412" s="1063"/>
      <c r="J2412" s="1063"/>
      <c r="K2412" s="1063"/>
      <c r="L2412" s="1063"/>
      <c r="M2412" s="1063"/>
      <c r="N2412" s="1063"/>
      <c r="O2412" s="1063"/>
      <c r="P2412" s="1063"/>
      <c r="Q2412" s="1063"/>
      <c r="R2412" s="1063"/>
      <c r="S2412" s="1063"/>
      <c r="T2412" s="1063"/>
      <c r="U2412" s="1063"/>
      <c r="V2412" s="1063"/>
      <c r="W2412" s="1063"/>
      <c r="X2412" s="1063"/>
      <c r="Y2412" s="1063"/>
      <c r="Z2412" s="1063"/>
      <c r="AA2412" s="1063"/>
      <c r="AB2412" s="1063"/>
      <c r="AC2412" s="1063"/>
      <c r="AD2412" s="1063"/>
      <c r="AE2412" s="1063"/>
      <c r="AF2412" s="1063"/>
      <c r="AG2412" s="1063"/>
      <c r="AH2412" s="1063"/>
      <c r="AI2412" s="1063"/>
      <c r="AJ2412" s="1063"/>
      <c r="AK2412" s="1063"/>
      <c r="AL2412" s="1063"/>
      <c r="AM2412" s="1063"/>
      <c r="AN2412" s="1063"/>
      <c r="AO2412" s="1063"/>
      <c r="AP2412" s="1063"/>
      <c r="AQ2412" s="1063"/>
      <c r="AR2412" s="1063"/>
      <c r="AS2412" s="1063"/>
      <c r="AT2412" s="1063"/>
      <c r="AU2412" s="1063"/>
      <c r="AV2412" s="1063"/>
    </row>
    <row r="2413" spans="1:48" s="1108" customFormat="1" ht="27.75" customHeight="1">
      <c r="A2413" s="1076"/>
      <c r="B2413" s="1074">
        <f>+'[18]Bldg+Dev'!S3225</f>
        <v>0</v>
      </c>
      <c r="D2413" s="1063"/>
      <c r="F2413" s="1076"/>
      <c r="G2413" s="1063"/>
      <c r="H2413" s="1063"/>
      <c r="I2413" s="1063"/>
      <c r="J2413" s="1063"/>
      <c r="K2413" s="1063"/>
      <c r="L2413" s="1063"/>
      <c r="M2413" s="1063"/>
      <c r="N2413" s="1063"/>
      <c r="O2413" s="1063"/>
      <c r="P2413" s="1063"/>
      <c r="Q2413" s="1063"/>
      <c r="R2413" s="1063"/>
      <c r="S2413" s="1063"/>
      <c r="T2413" s="1063"/>
      <c r="U2413" s="1063"/>
      <c r="V2413" s="1063"/>
      <c r="W2413" s="1063"/>
      <c r="X2413" s="1063"/>
      <c r="Y2413" s="1063"/>
      <c r="Z2413" s="1063"/>
      <c r="AA2413" s="1063"/>
      <c r="AB2413" s="1063"/>
      <c r="AC2413" s="1063"/>
      <c r="AD2413" s="1063"/>
      <c r="AE2413" s="1063"/>
      <c r="AF2413" s="1063"/>
      <c r="AG2413" s="1063"/>
      <c r="AH2413" s="1063"/>
      <c r="AI2413" s="1063"/>
      <c r="AJ2413" s="1063"/>
      <c r="AK2413" s="1063"/>
      <c r="AL2413" s="1063"/>
      <c r="AM2413" s="1063"/>
      <c r="AN2413" s="1063"/>
      <c r="AO2413" s="1063"/>
      <c r="AP2413" s="1063"/>
      <c r="AQ2413" s="1063"/>
      <c r="AR2413" s="1063"/>
      <c r="AS2413" s="1063"/>
      <c r="AT2413" s="1063"/>
      <c r="AU2413" s="1063"/>
      <c r="AV2413" s="1063"/>
    </row>
    <row r="2414" spans="1:48" s="1108" customFormat="1" ht="27.75" customHeight="1">
      <c r="A2414" s="1076"/>
      <c r="B2414" s="1074">
        <f>+'[18]Bldg+Dev'!S3226</f>
        <v>0</v>
      </c>
      <c r="D2414" s="1063"/>
      <c r="F2414" s="1076"/>
      <c r="G2414" s="1063"/>
      <c r="H2414" s="1063"/>
      <c r="I2414" s="1063"/>
      <c r="J2414" s="1063"/>
      <c r="K2414" s="1063"/>
      <c r="L2414" s="1063"/>
      <c r="M2414" s="1063"/>
      <c r="N2414" s="1063"/>
      <c r="O2414" s="1063"/>
      <c r="P2414" s="1063"/>
      <c r="Q2414" s="1063"/>
      <c r="R2414" s="1063"/>
      <c r="S2414" s="1063"/>
      <c r="T2414" s="1063"/>
      <c r="U2414" s="1063"/>
      <c r="V2414" s="1063"/>
      <c r="W2414" s="1063"/>
      <c r="X2414" s="1063"/>
      <c r="Y2414" s="1063"/>
      <c r="Z2414" s="1063"/>
      <c r="AA2414" s="1063"/>
      <c r="AB2414" s="1063"/>
      <c r="AC2414" s="1063"/>
      <c r="AD2414" s="1063"/>
      <c r="AE2414" s="1063"/>
      <c r="AF2414" s="1063"/>
      <c r="AG2414" s="1063"/>
      <c r="AH2414" s="1063"/>
      <c r="AI2414" s="1063"/>
      <c r="AJ2414" s="1063"/>
      <c r="AK2414" s="1063"/>
      <c r="AL2414" s="1063"/>
      <c r="AM2414" s="1063"/>
      <c r="AN2414" s="1063"/>
      <c r="AO2414" s="1063"/>
      <c r="AP2414" s="1063"/>
      <c r="AQ2414" s="1063"/>
      <c r="AR2414" s="1063"/>
      <c r="AS2414" s="1063"/>
      <c r="AT2414" s="1063"/>
      <c r="AU2414" s="1063"/>
      <c r="AV2414" s="1063"/>
    </row>
    <row r="2415" spans="1:48" s="1108" customFormat="1" ht="27.75" customHeight="1">
      <c r="A2415" s="1076"/>
      <c r="B2415" s="1074">
        <f>+'[18]Bldg+Dev'!S3227</f>
        <v>0</v>
      </c>
      <c r="D2415" s="1063"/>
      <c r="F2415" s="1076"/>
      <c r="G2415" s="1063"/>
      <c r="H2415" s="1063"/>
      <c r="I2415" s="1063"/>
      <c r="J2415" s="1063"/>
      <c r="K2415" s="1063"/>
      <c r="L2415" s="1063"/>
      <c r="M2415" s="1063"/>
      <c r="N2415" s="1063"/>
      <c r="O2415" s="1063"/>
      <c r="P2415" s="1063"/>
      <c r="Q2415" s="1063"/>
      <c r="R2415" s="1063"/>
      <c r="S2415" s="1063"/>
      <c r="T2415" s="1063"/>
      <c r="U2415" s="1063"/>
      <c r="V2415" s="1063"/>
      <c r="W2415" s="1063"/>
      <c r="X2415" s="1063"/>
      <c r="Y2415" s="1063"/>
      <c r="Z2415" s="1063"/>
      <c r="AA2415" s="1063"/>
      <c r="AB2415" s="1063"/>
      <c r="AC2415" s="1063"/>
      <c r="AD2415" s="1063"/>
      <c r="AE2415" s="1063"/>
      <c r="AF2415" s="1063"/>
      <c r="AG2415" s="1063"/>
      <c r="AH2415" s="1063"/>
      <c r="AI2415" s="1063"/>
      <c r="AJ2415" s="1063"/>
      <c r="AK2415" s="1063"/>
      <c r="AL2415" s="1063"/>
      <c r="AM2415" s="1063"/>
      <c r="AN2415" s="1063"/>
      <c r="AO2415" s="1063"/>
      <c r="AP2415" s="1063"/>
      <c r="AQ2415" s="1063"/>
      <c r="AR2415" s="1063"/>
      <c r="AS2415" s="1063"/>
      <c r="AT2415" s="1063"/>
      <c r="AU2415" s="1063"/>
      <c r="AV2415" s="1063"/>
    </row>
    <row r="2416" spans="1:48" s="1108" customFormat="1" ht="27.75" customHeight="1">
      <c r="A2416" s="1076"/>
      <c r="B2416" s="1074">
        <f>+'[18]Bldg+Dev'!S3228</f>
        <v>0</v>
      </c>
      <c r="D2416" s="1063"/>
      <c r="F2416" s="1076"/>
      <c r="G2416" s="1063"/>
      <c r="H2416" s="1063"/>
      <c r="I2416" s="1063"/>
      <c r="J2416" s="1063"/>
      <c r="K2416" s="1063"/>
      <c r="L2416" s="1063"/>
      <c r="M2416" s="1063"/>
      <c r="N2416" s="1063"/>
      <c r="O2416" s="1063"/>
      <c r="P2416" s="1063"/>
      <c r="Q2416" s="1063"/>
      <c r="R2416" s="1063"/>
      <c r="S2416" s="1063"/>
      <c r="T2416" s="1063"/>
      <c r="U2416" s="1063"/>
      <c r="V2416" s="1063"/>
      <c r="W2416" s="1063"/>
      <c r="X2416" s="1063"/>
      <c r="Y2416" s="1063"/>
      <c r="Z2416" s="1063"/>
      <c r="AA2416" s="1063"/>
      <c r="AB2416" s="1063"/>
      <c r="AC2416" s="1063"/>
      <c r="AD2416" s="1063"/>
      <c r="AE2416" s="1063"/>
      <c r="AF2416" s="1063"/>
      <c r="AG2416" s="1063"/>
      <c r="AH2416" s="1063"/>
      <c r="AI2416" s="1063"/>
      <c r="AJ2416" s="1063"/>
      <c r="AK2416" s="1063"/>
      <c r="AL2416" s="1063"/>
      <c r="AM2416" s="1063"/>
      <c r="AN2416" s="1063"/>
      <c r="AO2416" s="1063"/>
      <c r="AP2416" s="1063"/>
      <c r="AQ2416" s="1063"/>
      <c r="AR2416" s="1063"/>
      <c r="AS2416" s="1063"/>
      <c r="AT2416" s="1063"/>
      <c r="AU2416" s="1063"/>
      <c r="AV2416" s="1063"/>
    </row>
    <row r="2417" spans="1:48" s="1108" customFormat="1" ht="27.75" customHeight="1">
      <c r="A2417" s="1076"/>
      <c r="B2417" s="1074">
        <f>+'[18]Bldg+Dev'!S3229</f>
        <v>0</v>
      </c>
      <c r="D2417" s="1063"/>
      <c r="F2417" s="1076"/>
      <c r="G2417" s="1063"/>
      <c r="H2417" s="1063"/>
      <c r="I2417" s="1063"/>
      <c r="J2417" s="1063"/>
      <c r="K2417" s="1063"/>
      <c r="L2417" s="1063"/>
      <c r="M2417" s="1063"/>
      <c r="N2417" s="1063"/>
      <c r="O2417" s="1063"/>
      <c r="P2417" s="1063"/>
      <c r="Q2417" s="1063"/>
      <c r="R2417" s="1063"/>
      <c r="S2417" s="1063"/>
      <c r="T2417" s="1063"/>
      <c r="U2417" s="1063"/>
      <c r="V2417" s="1063"/>
      <c r="W2417" s="1063"/>
      <c r="X2417" s="1063"/>
      <c r="Y2417" s="1063"/>
      <c r="Z2417" s="1063"/>
      <c r="AA2417" s="1063"/>
      <c r="AB2417" s="1063"/>
      <c r="AC2417" s="1063"/>
      <c r="AD2417" s="1063"/>
      <c r="AE2417" s="1063"/>
      <c r="AF2417" s="1063"/>
      <c r="AG2417" s="1063"/>
      <c r="AH2417" s="1063"/>
      <c r="AI2417" s="1063"/>
      <c r="AJ2417" s="1063"/>
      <c r="AK2417" s="1063"/>
      <c r="AL2417" s="1063"/>
      <c r="AM2417" s="1063"/>
      <c r="AN2417" s="1063"/>
      <c r="AO2417" s="1063"/>
      <c r="AP2417" s="1063"/>
      <c r="AQ2417" s="1063"/>
      <c r="AR2417" s="1063"/>
      <c r="AS2417" s="1063"/>
      <c r="AT2417" s="1063"/>
      <c r="AU2417" s="1063"/>
      <c r="AV2417" s="1063"/>
    </row>
    <row r="2418" spans="1:48" s="1108" customFormat="1" ht="27.75" customHeight="1">
      <c r="A2418" s="1076"/>
      <c r="B2418" s="1074">
        <f>+'[18]Bldg+Dev'!S3230</f>
        <v>0</v>
      </c>
      <c r="D2418" s="1063"/>
      <c r="F2418" s="1076"/>
      <c r="G2418" s="1063"/>
      <c r="H2418" s="1063"/>
      <c r="I2418" s="1063"/>
      <c r="J2418" s="1063"/>
      <c r="K2418" s="1063"/>
      <c r="L2418" s="1063"/>
      <c r="M2418" s="1063"/>
      <c r="N2418" s="1063"/>
      <c r="O2418" s="1063"/>
      <c r="P2418" s="1063"/>
      <c r="Q2418" s="1063"/>
      <c r="R2418" s="1063"/>
      <c r="S2418" s="1063"/>
      <c r="T2418" s="1063"/>
      <c r="U2418" s="1063"/>
      <c r="V2418" s="1063"/>
      <c r="W2418" s="1063"/>
      <c r="X2418" s="1063"/>
      <c r="Y2418" s="1063"/>
      <c r="Z2418" s="1063"/>
      <c r="AA2418" s="1063"/>
      <c r="AB2418" s="1063"/>
      <c r="AC2418" s="1063"/>
      <c r="AD2418" s="1063"/>
      <c r="AE2418" s="1063"/>
      <c r="AF2418" s="1063"/>
      <c r="AG2418" s="1063"/>
      <c r="AH2418" s="1063"/>
      <c r="AI2418" s="1063"/>
      <c r="AJ2418" s="1063"/>
      <c r="AK2418" s="1063"/>
      <c r="AL2418" s="1063"/>
      <c r="AM2418" s="1063"/>
      <c r="AN2418" s="1063"/>
      <c r="AO2418" s="1063"/>
      <c r="AP2418" s="1063"/>
      <c r="AQ2418" s="1063"/>
      <c r="AR2418" s="1063"/>
      <c r="AS2418" s="1063"/>
      <c r="AT2418" s="1063"/>
      <c r="AU2418" s="1063"/>
      <c r="AV2418" s="1063"/>
    </row>
    <row r="2419" spans="1:48" s="1108" customFormat="1" ht="27.75" customHeight="1">
      <c r="A2419" s="1076"/>
      <c r="B2419" s="1074">
        <f>+'[18]Bldg+Dev'!S3231</f>
        <v>0</v>
      </c>
      <c r="D2419" s="1063"/>
      <c r="F2419" s="1076"/>
      <c r="G2419" s="1063"/>
      <c r="H2419" s="1063"/>
      <c r="I2419" s="1063"/>
      <c r="J2419" s="1063"/>
      <c r="K2419" s="1063"/>
      <c r="L2419" s="1063"/>
      <c r="M2419" s="1063"/>
      <c r="N2419" s="1063"/>
      <c r="O2419" s="1063"/>
      <c r="P2419" s="1063"/>
      <c r="Q2419" s="1063"/>
      <c r="R2419" s="1063"/>
      <c r="S2419" s="1063"/>
      <c r="T2419" s="1063"/>
      <c r="U2419" s="1063"/>
      <c r="V2419" s="1063"/>
      <c r="W2419" s="1063"/>
      <c r="X2419" s="1063"/>
      <c r="Y2419" s="1063"/>
      <c r="Z2419" s="1063"/>
      <c r="AA2419" s="1063"/>
      <c r="AB2419" s="1063"/>
      <c r="AC2419" s="1063"/>
      <c r="AD2419" s="1063"/>
      <c r="AE2419" s="1063"/>
      <c r="AF2419" s="1063"/>
      <c r="AG2419" s="1063"/>
      <c r="AH2419" s="1063"/>
      <c r="AI2419" s="1063"/>
      <c r="AJ2419" s="1063"/>
      <c r="AK2419" s="1063"/>
      <c r="AL2419" s="1063"/>
      <c r="AM2419" s="1063"/>
      <c r="AN2419" s="1063"/>
      <c r="AO2419" s="1063"/>
      <c r="AP2419" s="1063"/>
      <c r="AQ2419" s="1063"/>
      <c r="AR2419" s="1063"/>
      <c r="AS2419" s="1063"/>
      <c r="AT2419" s="1063"/>
      <c r="AU2419" s="1063"/>
      <c r="AV2419" s="1063"/>
    </row>
    <row r="2420" spans="1:48" s="1108" customFormat="1" ht="27.75" customHeight="1">
      <c r="A2420" s="1076"/>
      <c r="B2420" s="1074">
        <f>+'[18]Bldg+Dev'!S3232</f>
        <v>0</v>
      </c>
      <c r="D2420" s="1063"/>
      <c r="F2420" s="1076"/>
      <c r="G2420" s="1063"/>
      <c r="H2420" s="1063"/>
      <c r="I2420" s="1063"/>
      <c r="J2420" s="1063"/>
      <c r="K2420" s="1063"/>
      <c r="L2420" s="1063"/>
      <c r="M2420" s="1063"/>
      <c r="N2420" s="1063"/>
      <c r="O2420" s="1063"/>
      <c r="P2420" s="1063"/>
      <c r="Q2420" s="1063"/>
      <c r="R2420" s="1063"/>
      <c r="S2420" s="1063"/>
      <c r="T2420" s="1063"/>
      <c r="U2420" s="1063"/>
      <c r="V2420" s="1063"/>
      <c r="W2420" s="1063"/>
      <c r="X2420" s="1063"/>
      <c r="Y2420" s="1063"/>
      <c r="Z2420" s="1063"/>
      <c r="AA2420" s="1063"/>
      <c r="AB2420" s="1063"/>
      <c r="AC2420" s="1063"/>
      <c r="AD2420" s="1063"/>
      <c r="AE2420" s="1063"/>
      <c r="AF2420" s="1063"/>
      <c r="AG2420" s="1063"/>
      <c r="AH2420" s="1063"/>
      <c r="AI2420" s="1063"/>
      <c r="AJ2420" s="1063"/>
      <c r="AK2420" s="1063"/>
      <c r="AL2420" s="1063"/>
      <c r="AM2420" s="1063"/>
      <c r="AN2420" s="1063"/>
      <c r="AO2420" s="1063"/>
      <c r="AP2420" s="1063"/>
      <c r="AQ2420" s="1063"/>
      <c r="AR2420" s="1063"/>
      <c r="AS2420" s="1063"/>
      <c r="AT2420" s="1063"/>
      <c r="AU2420" s="1063"/>
      <c r="AV2420" s="1063"/>
    </row>
    <row r="2421" spans="1:48" s="1108" customFormat="1" ht="27.75" customHeight="1">
      <c r="A2421" s="1076"/>
      <c r="B2421" s="1074">
        <f>+'[18]Bldg+Dev'!S3233</f>
        <v>0</v>
      </c>
      <c r="D2421" s="1063"/>
      <c r="F2421" s="1076"/>
      <c r="G2421" s="1063"/>
      <c r="H2421" s="1063"/>
      <c r="I2421" s="1063"/>
      <c r="J2421" s="1063"/>
      <c r="K2421" s="1063"/>
      <c r="L2421" s="1063"/>
      <c r="M2421" s="1063"/>
      <c r="N2421" s="1063"/>
      <c r="O2421" s="1063"/>
      <c r="P2421" s="1063"/>
      <c r="Q2421" s="1063"/>
      <c r="R2421" s="1063"/>
      <c r="S2421" s="1063"/>
      <c r="T2421" s="1063"/>
      <c r="U2421" s="1063"/>
      <c r="V2421" s="1063"/>
      <c r="W2421" s="1063"/>
      <c r="X2421" s="1063"/>
      <c r="Y2421" s="1063"/>
      <c r="Z2421" s="1063"/>
      <c r="AA2421" s="1063"/>
      <c r="AB2421" s="1063"/>
      <c r="AC2421" s="1063"/>
      <c r="AD2421" s="1063"/>
      <c r="AE2421" s="1063"/>
      <c r="AF2421" s="1063"/>
      <c r="AG2421" s="1063"/>
      <c r="AH2421" s="1063"/>
      <c r="AI2421" s="1063"/>
      <c r="AJ2421" s="1063"/>
      <c r="AK2421" s="1063"/>
      <c r="AL2421" s="1063"/>
      <c r="AM2421" s="1063"/>
      <c r="AN2421" s="1063"/>
      <c r="AO2421" s="1063"/>
      <c r="AP2421" s="1063"/>
      <c r="AQ2421" s="1063"/>
      <c r="AR2421" s="1063"/>
      <c r="AS2421" s="1063"/>
      <c r="AT2421" s="1063"/>
      <c r="AU2421" s="1063"/>
      <c r="AV2421" s="1063"/>
    </row>
    <row r="2422" spans="1:48" s="1108" customFormat="1" ht="27.75" customHeight="1">
      <c r="A2422" s="1076"/>
      <c r="B2422" s="1074">
        <f>+'[18]Bldg+Dev'!S3234</f>
        <v>0</v>
      </c>
      <c r="D2422" s="1063"/>
      <c r="F2422" s="1076"/>
      <c r="G2422" s="1063"/>
      <c r="H2422" s="1063"/>
      <c r="I2422" s="1063"/>
      <c r="J2422" s="1063"/>
      <c r="K2422" s="1063"/>
      <c r="L2422" s="1063"/>
      <c r="M2422" s="1063"/>
      <c r="N2422" s="1063"/>
      <c r="O2422" s="1063"/>
      <c r="P2422" s="1063"/>
      <c r="Q2422" s="1063"/>
      <c r="R2422" s="1063"/>
      <c r="S2422" s="1063"/>
      <c r="T2422" s="1063"/>
      <c r="U2422" s="1063"/>
      <c r="V2422" s="1063"/>
      <c r="W2422" s="1063"/>
      <c r="X2422" s="1063"/>
      <c r="Y2422" s="1063"/>
      <c r="Z2422" s="1063"/>
      <c r="AA2422" s="1063"/>
      <c r="AB2422" s="1063"/>
      <c r="AC2422" s="1063"/>
      <c r="AD2422" s="1063"/>
      <c r="AE2422" s="1063"/>
      <c r="AF2422" s="1063"/>
      <c r="AG2422" s="1063"/>
      <c r="AH2422" s="1063"/>
      <c r="AI2422" s="1063"/>
      <c r="AJ2422" s="1063"/>
      <c r="AK2422" s="1063"/>
      <c r="AL2422" s="1063"/>
      <c r="AM2422" s="1063"/>
      <c r="AN2422" s="1063"/>
      <c r="AO2422" s="1063"/>
      <c r="AP2422" s="1063"/>
      <c r="AQ2422" s="1063"/>
      <c r="AR2422" s="1063"/>
      <c r="AS2422" s="1063"/>
      <c r="AT2422" s="1063"/>
      <c r="AU2422" s="1063"/>
      <c r="AV2422" s="1063"/>
    </row>
    <row r="2423" spans="1:48" s="1108" customFormat="1" ht="27.75" customHeight="1">
      <c r="A2423" s="1076"/>
      <c r="B2423" s="1074">
        <f>+'[18]Bldg+Dev'!S3235</f>
        <v>0</v>
      </c>
      <c r="D2423" s="1063"/>
      <c r="F2423" s="1076"/>
      <c r="G2423" s="1063"/>
      <c r="H2423" s="1063"/>
      <c r="I2423" s="1063"/>
      <c r="J2423" s="1063"/>
      <c r="K2423" s="1063"/>
      <c r="L2423" s="1063"/>
      <c r="M2423" s="1063"/>
      <c r="N2423" s="1063"/>
      <c r="O2423" s="1063"/>
      <c r="P2423" s="1063"/>
      <c r="Q2423" s="1063"/>
      <c r="R2423" s="1063"/>
      <c r="S2423" s="1063"/>
      <c r="T2423" s="1063"/>
      <c r="U2423" s="1063"/>
      <c r="V2423" s="1063"/>
      <c r="W2423" s="1063"/>
      <c r="X2423" s="1063"/>
      <c r="Y2423" s="1063"/>
      <c r="Z2423" s="1063"/>
      <c r="AA2423" s="1063"/>
      <c r="AB2423" s="1063"/>
      <c r="AC2423" s="1063"/>
      <c r="AD2423" s="1063"/>
      <c r="AE2423" s="1063"/>
      <c r="AF2423" s="1063"/>
      <c r="AG2423" s="1063"/>
      <c r="AH2423" s="1063"/>
      <c r="AI2423" s="1063"/>
      <c r="AJ2423" s="1063"/>
      <c r="AK2423" s="1063"/>
      <c r="AL2423" s="1063"/>
      <c r="AM2423" s="1063"/>
      <c r="AN2423" s="1063"/>
      <c r="AO2423" s="1063"/>
      <c r="AP2423" s="1063"/>
      <c r="AQ2423" s="1063"/>
      <c r="AR2423" s="1063"/>
      <c r="AS2423" s="1063"/>
      <c r="AT2423" s="1063"/>
      <c r="AU2423" s="1063"/>
      <c r="AV2423" s="1063"/>
    </row>
    <row r="2424" spans="1:48" s="1108" customFormat="1" ht="27.75" customHeight="1">
      <c r="A2424" s="1076"/>
      <c r="B2424" s="1074">
        <f>+'[18]Bldg+Dev'!S3236</f>
        <v>0</v>
      </c>
      <c r="D2424" s="1063"/>
      <c r="F2424" s="1076"/>
      <c r="G2424" s="1063"/>
      <c r="H2424" s="1063"/>
      <c r="I2424" s="1063"/>
      <c r="J2424" s="1063"/>
      <c r="K2424" s="1063"/>
      <c r="L2424" s="1063"/>
      <c r="M2424" s="1063"/>
      <c r="N2424" s="1063"/>
      <c r="O2424" s="1063"/>
      <c r="P2424" s="1063"/>
      <c r="Q2424" s="1063"/>
      <c r="R2424" s="1063"/>
      <c r="S2424" s="1063"/>
      <c r="T2424" s="1063"/>
      <c r="U2424" s="1063"/>
      <c r="V2424" s="1063"/>
      <c r="W2424" s="1063"/>
      <c r="X2424" s="1063"/>
      <c r="Y2424" s="1063"/>
      <c r="Z2424" s="1063"/>
      <c r="AA2424" s="1063"/>
      <c r="AB2424" s="1063"/>
      <c r="AC2424" s="1063"/>
      <c r="AD2424" s="1063"/>
      <c r="AE2424" s="1063"/>
      <c r="AF2424" s="1063"/>
      <c r="AG2424" s="1063"/>
      <c r="AH2424" s="1063"/>
      <c r="AI2424" s="1063"/>
      <c r="AJ2424" s="1063"/>
      <c r="AK2424" s="1063"/>
      <c r="AL2424" s="1063"/>
      <c r="AM2424" s="1063"/>
      <c r="AN2424" s="1063"/>
      <c r="AO2424" s="1063"/>
      <c r="AP2424" s="1063"/>
      <c r="AQ2424" s="1063"/>
      <c r="AR2424" s="1063"/>
      <c r="AS2424" s="1063"/>
      <c r="AT2424" s="1063"/>
      <c r="AU2424" s="1063"/>
      <c r="AV2424" s="1063"/>
    </row>
    <row r="2425" spans="1:48" s="1108" customFormat="1" ht="27.75" customHeight="1">
      <c r="A2425" s="1076"/>
      <c r="B2425" s="1074">
        <f>+'[18]Bldg+Dev'!S3237</f>
        <v>0</v>
      </c>
      <c r="D2425" s="1063"/>
      <c r="F2425" s="1076"/>
      <c r="G2425" s="1063"/>
      <c r="H2425" s="1063"/>
      <c r="I2425" s="1063"/>
      <c r="J2425" s="1063"/>
      <c r="K2425" s="1063"/>
      <c r="L2425" s="1063"/>
      <c r="M2425" s="1063"/>
      <c r="N2425" s="1063"/>
      <c r="O2425" s="1063"/>
      <c r="P2425" s="1063"/>
      <c r="Q2425" s="1063"/>
      <c r="R2425" s="1063"/>
      <c r="S2425" s="1063"/>
      <c r="T2425" s="1063"/>
      <c r="U2425" s="1063"/>
      <c r="V2425" s="1063"/>
      <c r="W2425" s="1063"/>
      <c r="X2425" s="1063"/>
      <c r="Y2425" s="1063"/>
      <c r="Z2425" s="1063"/>
      <c r="AA2425" s="1063"/>
      <c r="AB2425" s="1063"/>
      <c r="AC2425" s="1063"/>
      <c r="AD2425" s="1063"/>
      <c r="AE2425" s="1063"/>
      <c r="AF2425" s="1063"/>
      <c r="AG2425" s="1063"/>
      <c r="AH2425" s="1063"/>
      <c r="AI2425" s="1063"/>
      <c r="AJ2425" s="1063"/>
      <c r="AK2425" s="1063"/>
      <c r="AL2425" s="1063"/>
      <c r="AM2425" s="1063"/>
      <c r="AN2425" s="1063"/>
      <c r="AO2425" s="1063"/>
      <c r="AP2425" s="1063"/>
      <c r="AQ2425" s="1063"/>
      <c r="AR2425" s="1063"/>
      <c r="AS2425" s="1063"/>
      <c r="AT2425" s="1063"/>
      <c r="AU2425" s="1063"/>
      <c r="AV2425" s="1063"/>
    </row>
    <row r="2426" spans="1:48" s="1108" customFormat="1" ht="27.75" customHeight="1">
      <c r="A2426" s="1076"/>
      <c r="B2426" s="1074">
        <f>+'[18]Bldg+Dev'!S3238</f>
        <v>0</v>
      </c>
      <c r="D2426" s="1063"/>
      <c r="F2426" s="1076"/>
      <c r="G2426" s="1063"/>
      <c r="H2426" s="1063"/>
      <c r="I2426" s="1063"/>
      <c r="J2426" s="1063"/>
      <c r="K2426" s="1063"/>
      <c r="L2426" s="1063"/>
      <c r="M2426" s="1063"/>
      <c r="N2426" s="1063"/>
      <c r="O2426" s="1063"/>
      <c r="P2426" s="1063"/>
      <c r="Q2426" s="1063"/>
      <c r="R2426" s="1063"/>
      <c r="S2426" s="1063"/>
      <c r="T2426" s="1063"/>
      <c r="U2426" s="1063"/>
      <c r="V2426" s="1063"/>
      <c r="W2426" s="1063"/>
      <c r="X2426" s="1063"/>
      <c r="Y2426" s="1063"/>
      <c r="Z2426" s="1063"/>
      <c r="AA2426" s="1063"/>
      <c r="AB2426" s="1063"/>
      <c r="AC2426" s="1063"/>
      <c r="AD2426" s="1063"/>
      <c r="AE2426" s="1063"/>
      <c r="AF2426" s="1063"/>
      <c r="AG2426" s="1063"/>
      <c r="AH2426" s="1063"/>
      <c r="AI2426" s="1063"/>
      <c r="AJ2426" s="1063"/>
      <c r="AK2426" s="1063"/>
      <c r="AL2426" s="1063"/>
      <c r="AM2426" s="1063"/>
      <c r="AN2426" s="1063"/>
      <c r="AO2426" s="1063"/>
      <c r="AP2426" s="1063"/>
      <c r="AQ2426" s="1063"/>
      <c r="AR2426" s="1063"/>
      <c r="AS2426" s="1063"/>
      <c r="AT2426" s="1063"/>
      <c r="AU2426" s="1063"/>
      <c r="AV2426" s="1063"/>
    </row>
    <row r="2427" spans="1:48" s="1108" customFormat="1" ht="27.75" customHeight="1">
      <c r="A2427" s="1076"/>
      <c r="B2427" s="1074">
        <f>+'[18]Bldg+Dev'!S3239</f>
        <v>0</v>
      </c>
      <c r="D2427" s="1063"/>
      <c r="F2427" s="1076"/>
      <c r="G2427" s="1063"/>
      <c r="H2427" s="1063"/>
      <c r="I2427" s="1063"/>
      <c r="J2427" s="1063"/>
      <c r="K2427" s="1063"/>
      <c r="L2427" s="1063"/>
      <c r="M2427" s="1063"/>
      <c r="N2427" s="1063"/>
      <c r="O2427" s="1063"/>
      <c r="P2427" s="1063"/>
      <c r="Q2427" s="1063"/>
      <c r="R2427" s="1063"/>
      <c r="S2427" s="1063"/>
      <c r="T2427" s="1063"/>
      <c r="U2427" s="1063"/>
      <c r="V2427" s="1063"/>
      <c r="W2427" s="1063"/>
      <c r="X2427" s="1063"/>
      <c r="Y2427" s="1063"/>
      <c r="Z2427" s="1063"/>
      <c r="AA2427" s="1063"/>
      <c r="AB2427" s="1063"/>
      <c r="AC2427" s="1063"/>
      <c r="AD2427" s="1063"/>
      <c r="AE2427" s="1063"/>
      <c r="AF2427" s="1063"/>
      <c r="AG2427" s="1063"/>
      <c r="AH2427" s="1063"/>
      <c r="AI2427" s="1063"/>
      <c r="AJ2427" s="1063"/>
      <c r="AK2427" s="1063"/>
      <c r="AL2427" s="1063"/>
      <c r="AM2427" s="1063"/>
      <c r="AN2427" s="1063"/>
      <c r="AO2427" s="1063"/>
      <c r="AP2427" s="1063"/>
      <c r="AQ2427" s="1063"/>
      <c r="AR2427" s="1063"/>
      <c r="AS2427" s="1063"/>
      <c r="AT2427" s="1063"/>
      <c r="AU2427" s="1063"/>
      <c r="AV2427" s="1063"/>
    </row>
    <row r="2428" spans="1:48" s="1108" customFormat="1" ht="27.75" customHeight="1">
      <c r="A2428" s="1076"/>
      <c r="B2428" s="1074">
        <f>+'[18]Bldg+Dev'!S3240</f>
        <v>0</v>
      </c>
      <c r="D2428" s="1063"/>
      <c r="F2428" s="1076"/>
      <c r="G2428" s="1063"/>
      <c r="H2428" s="1063"/>
      <c r="I2428" s="1063"/>
      <c r="J2428" s="1063"/>
      <c r="K2428" s="1063"/>
      <c r="L2428" s="1063"/>
      <c r="M2428" s="1063"/>
      <c r="N2428" s="1063"/>
      <c r="O2428" s="1063"/>
      <c r="P2428" s="1063"/>
      <c r="Q2428" s="1063"/>
      <c r="R2428" s="1063"/>
      <c r="S2428" s="1063"/>
      <c r="T2428" s="1063"/>
      <c r="U2428" s="1063"/>
      <c r="V2428" s="1063"/>
      <c r="W2428" s="1063"/>
      <c r="X2428" s="1063"/>
      <c r="Y2428" s="1063"/>
      <c r="Z2428" s="1063"/>
      <c r="AA2428" s="1063"/>
      <c r="AB2428" s="1063"/>
      <c r="AC2428" s="1063"/>
      <c r="AD2428" s="1063"/>
      <c r="AE2428" s="1063"/>
      <c r="AF2428" s="1063"/>
      <c r="AG2428" s="1063"/>
      <c r="AH2428" s="1063"/>
      <c r="AI2428" s="1063"/>
      <c r="AJ2428" s="1063"/>
      <c r="AK2428" s="1063"/>
      <c r="AL2428" s="1063"/>
      <c r="AM2428" s="1063"/>
      <c r="AN2428" s="1063"/>
      <c r="AO2428" s="1063"/>
      <c r="AP2428" s="1063"/>
      <c r="AQ2428" s="1063"/>
      <c r="AR2428" s="1063"/>
      <c r="AS2428" s="1063"/>
      <c r="AT2428" s="1063"/>
      <c r="AU2428" s="1063"/>
      <c r="AV2428" s="1063"/>
    </row>
    <row r="2429" spans="1:48" s="1108" customFormat="1" ht="27.75" customHeight="1">
      <c r="A2429" s="1076"/>
      <c r="B2429" s="1074">
        <f>+'[18]Bldg+Dev'!S3241</f>
        <v>0</v>
      </c>
      <c r="D2429" s="1063"/>
      <c r="F2429" s="1076"/>
      <c r="G2429" s="1063"/>
      <c r="H2429" s="1063"/>
      <c r="I2429" s="1063"/>
      <c r="J2429" s="1063"/>
      <c r="K2429" s="1063"/>
      <c r="L2429" s="1063"/>
      <c r="M2429" s="1063"/>
      <c r="N2429" s="1063"/>
      <c r="O2429" s="1063"/>
      <c r="P2429" s="1063"/>
      <c r="Q2429" s="1063"/>
      <c r="R2429" s="1063"/>
      <c r="S2429" s="1063"/>
      <c r="T2429" s="1063"/>
      <c r="U2429" s="1063"/>
      <c r="V2429" s="1063"/>
      <c r="W2429" s="1063"/>
      <c r="X2429" s="1063"/>
      <c r="Y2429" s="1063"/>
      <c r="Z2429" s="1063"/>
      <c r="AA2429" s="1063"/>
      <c r="AB2429" s="1063"/>
      <c r="AC2429" s="1063"/>
      <c r="AD2429" s="1063"/>
      <c r="AE2429" s="1063"/>
      <c r="AF2429" s="1063"/>
      <c r="AG2429" s="1063"/>
      <c r="AH2429" s="1063"/>
      <c r="AI2429" s="1063"/>
      <c r="AJ2429" s="1063"/>
      <c r="AK2429" s="1063"/>
      <c r="AL2429" s="1063"/>
      <c r="AM2429" s="1063"/>
      <c r="AN2429" s="1063"/>
      <c r="AO2429" s="1063"/>
      <c r="AP2429" s="1063"/>
      <c r="AQ2429" s="1063"/>
      <c r="AR2429" s="1063"/>
      <c r="AS2429" s="1063"/>
      <c r="AT2429" s="1063"/>
      <c r="AU2429" s="1063"/>
      <c r="AV2429" s="1063"/>
    </row>
    <row r="2430" spans="1:48" s="1108" customFormat="1" ht="27.75" customHeight="1">
      <c r="A2430" s="1076"/>
      <c r="B2430" s="1074">
        <f>+'[18]Bldg+Dev'!S3242</f>
        <v>0</v>
      </c>
      <c r="D2430" s="1063"/>
      <c r="F2430" s="1076"/>
      <c r="G2430" s="1063"/>
      <c r="H2430" s="1063"/>
      <c r="I2430" s="1063"/>
      <c r="J2430" s="1063"/>
      <c r="K2430" s="1063"/>
      <c r="L2430" s="1063"/>
      <c r="M2430" s="1063"/>
      <c r="N2430" s="1063"/>
      <c r="O2430" s="1063"/>
      <c r="P2430" s="1063"/>
      <c r="Q2430" s="1063"/>
      <c r="R2430" s="1063"/>
      <c r="S2430" s="1063"/>
      <c r="T2430" s="1063"/>
      <c r="U2430" s="1063"/>
      <c r="V2430" s="1063"/>
      <c r="W2430" s="1063"/>
      <c r="X2430" s="1063"/>
      <c r="Y2430" s="1063"/>
      <c r="Z2430" s="1063"/>
      <c r="AA2430" s="1063"/>
      <c r="AB2430" s="1063"/>
      <c r="AC2430" s="1063"/>
      <c r="AD2430" s="1063"/>
      <c r="AE2430" s="1063"/>
      <c r="AF2430" s="1063"/>
      <c r="AG2430" s="1063"/>
      <c r="AH2430" s="1063"/>
      <c r="AI2430" s="1063"/>
      <c r="AJ2430" s="1063"/>
      <c r="AK2430" s="1063"/>
      <c r="AL2430" s="1063"/>
      <c r="AM2430" s="1063"/>
      <c r="AN2430" s="1063"/>
      <c r="AO2430" s="1063"/>
      <c r="AP2430" s="1063"/>
      <c r="AQ2430" s="1063"/>
      <c r="AR2430" s="1063"/>
      <c r="AS2430" s="1063"/>
      <c r="AT2430" s="1063"/>
      <c r="AU2430" s="1063"/>
      <c r="AV2430" s="1063"/>
    </row>
    <row r="2431" spans="1:48" s="1108" customFormat="1" ht="27.75" customHeight="1">
      <c r="A2431" s="1076"/>
      <c r="B2431" s="1074">
        <f>+'[18]Bldg+Dev'!S3243</f>
        <v>0</v>
      </c>
      <c r="D2431" s="1063"/>
      <c r="F2431" s="1076"/>
      <c r="G2431" s="1063"/>
      <c r="H2431" s="1063"/>
      <c r="I2431" s="1063"/>
      <c r="J2431" s="1063"/>
      <c r="K2431" s="1063"/>
      <c r="L2431" s="1063"/>
      <c r="M2431" s="1063"/>
      <c r="N2431" s="1063"/>
      <c r="O2431" s="1063"/>
      <c r="P2431" s="1063"/>
      <c r="Q2431" s="1063"/>
      <c r="R2431" s="1063"/>
      <c r="S2431" s="1063"/>
      <c r="T2431" s="1063"/>
      <c r="U2431" s="1063"/>
      <c r="V2431" s="1063"/>
      <c r="W2431" s="1063"/>
      <c r="X2431" s="1063"/>
      <c r="Y2431" s="1063"/>
      <c r="Z2431" s="1063"/>
      <c r="AA2431" s="1063"/>
      <c r="AB2431" s="1063"/>
      <c r="AC2431" s="1063"/>
      <c r="AD2431" s="1063"/>
      <c r="AE2431" s="1063"/>
      <c r="AF2431" s="1063"/>
      <c r="AG2431" s="1063"/>
      <c r="AH2431" s="1063"/>
      <c r="AI2431" s="1063"/>
      <c r="AJ2431" s="1063"/>
      <c r="AK2431" s="1063"/>
      <c r="AL2431" s="1063"/>
      <c r="AM2431" s="1063"/>
      <c r="AN2431" s="1063"/>
      <c r="AO2431" s="1063"/>
      <c r="AP2431" s="1063"/>
      <c r="AQ2431" s="1063"/>
      <c r="AR2431" s="1063"/>
      <c r="AS2431" s="1063"/>
      <c r="AT2431" s="1063"/>
      <c r="AU2431" s="1063"/>
      <c r="AV2431" s="1063"/>
    </row>
    <row r="2432" spans="1:48" s="1108" customFormat="1" ht="27.75" customHeight="1">
      <c r="A2432" s="1076"/>
      <c r="B2432" s="1074">
        <f>+'[18]Bldg+Dev'!S3244</f>
        <v>0</v>
      </c>
      <c r="D2432" s="1063"/>
      <c r="F2432" s="1076"/>
      <c r="G2432" s="1063"/>
      <c r="H2432" s="1063"/>
      <c r="I2432" s="1063"/>
      <c r="J2432" s="1063"/>
      <c r="K2432" s="1063"/>
      <c r="L2432" s="1063"/>
      <c r="M2432" s="1063"/>
      <c r="N2432" s="1063"/>
      <c r="O2432" s="1063"/>
      <c r="P2432" s="1063"/>
      <c r="Q2432" s="1063"/>
      <c r="R2432" s="1063"/>
      <c r="S2432" s="1063"/>
      <c r="T2432" s="1063"/>
      <c r="U2432" s="1063"/>
      <c r="V2432" s="1063"/>
      <c r="W2432" s="1063"/>
      <c r="X2432" s="1063"/>
      <c r="Y2432" s="1063"/>
      <c r="Z2432" s="1063"/>
      <c r="AA2432" s="1063"/>
      <c r="AB2432" s="1063"/>
      <c r="AC2432" s="1063"/>
      <c r="AD2432" s="1063"/>
      <c r="AE2432" s="1063"/>
      <c r="AF2432" s="1063"/>
      <c r="AG2432" s="1063"/>
      <c r="AH2432" s="1063"/>
      <c r="AI2432" s="1063"/>
      <c r="AJ2432" s="1063"/>
      <c r="AK2432" s="1063"/>
      <c r="AL2432" s="1063"/>
      <c r="AM2432" s="1063"/>
      <c r="AN2432" s="1063"/>
      <c r="AO2432" s="1063"/>
      <c r="AP2432" s="1063"/>
      <c r="AQ2432" s="1063"/>
      <c r="AR2432" s="1063"/>
      <c r="AS2432" s="1063"/>
      <c r="AT2432" s="1063"/>
      <c r="AU2432" s="1063"/>
      <c r="AV2432" s="1063"/>
    </row>
    <row r="2433" spans="1:48" s="1108" customFormat="1" ht="27.75" customHeight="1">
      <c r="A2433" s="1076"/>
      <c r="B2433" s="1074">
        <f>+'[18]Bldg+Dev'!S3245</f>
        <v>0</v>
      </c>
      <c r="D2433" s="1063"/>
      <c r="F2433" s="1076"/>
      <c r="G2433" s="1063"/>
      <c r="H2433" s="1063"/>
      <c r="I2433" s="1063"/>
      <c r="J2433" s="1063"/>
      <c r="K2433" s="1063"/>
      <c r="L2433" s="1063"/>
      <c r="M2433" s="1063"/>
      <c r="N2433" s="1063"/>
      <c r="O2433" s="1063"/>
      <c r="P2433" s="1063"/>
      <c r="Q2433" s="1063"/>
      <c r="R2433" s="1063"/>
      <c r="S2433" s="1063"/>
      <c r="T2433" s="1063"/>
      <c r="U2433" s="1063"/>
      <c r="V2433" s="1063"/>
      <c r="W2433" s="1063"/>
      <c r="X2433" s="1063"/>
      <c r="Y2433" s="1063"/>
      <c r="Z2433" s="1063"/>
      <c r="AA2433" s="1063"/>
      <c r="AB2433" s="1063"/>
      <c r="AC2433" s="1063"/>
      <c r="AD2433" s="1063"/>
      <c r="AE2433" s="1063"/>
      <c r="AF2433" s="1063"/>
      <c r="AG2433" s="1063"/>
      <c r="AH2433" s="1063"/>
      <c r="AI2433" s="1063"/>
      <c r="AJ2433" s="1063"/>
      <c r="AK2433" s="1063"/>
      <c r="AL2433" s="1063"/>
      <c r="AM2433" s="1063"/>
      <c r="AN2433" s="1063"/>
      <c r="AO2433" s="1063"/>
      <c r="AP2433" s="1063"/>
      <c r="AQ2433" s="1063"/>
      <c r="AR2433" s="1063"/>
      <c r="AS2433" s="1063"/>
      <c r="AT2433" s="1063"/>
      <c r="AU2433" s="1063"/>
      <c r="AV2433" s="1063"/>
    </row>
    <row r="2434" spans="1:48" s="1108" customFormat="1" ht="27.75" customHeight="1">
      <c r="A2434" s="1076"/>
      <c r="B2434" s="1074">
        <f>+'[18]Bldg+Dev'!S3246</f>
        <v>0</v>
      </c>
      <c r="D2434" s="1063"/>
      <c r="F2434" s="1076"/>
      <c r="G2434" s="1063"/>
      <c r="H2434" s="1063"/>
      <c r="I2434" s="1063"/>
      <c r="J2434" s="1063"/>
      <c r="K2434" s="1063"/>
      <c r="L2434" s="1063"/>
      <c r="M2434" s="1063"/>
      <c r="N2434" s="1063"/>
      <c r="O2434" s="1063"/>
      <c r="P2434" s="1063"/>
      <c r="Q2434" s="1063"/>
      <c r="R2434" s="1063"/>
      <c r="S2434" s="1063"/>
      <c r="T2434" s="1063"/>
      <c r="U2434" s="1063"/>
      <c r="V2434" s="1063"/>
      <c r="W2434" s="1063"/>
      <c r="X2434" s="1063"/>
      <c r="Y2434" s="1063"/>
      <c r="Z2434" s="1063"/>
      <c r="AA2434" s="1063"/>
      <c r="AB2434" s="1063"/>
      <c r="AC2434" s="1063"/>
      <c r="AD2434" s="1063"/>
      <c r="AE2434" s="1063"/>
      <c r="AF2434" s="1063"/>
      <c r="AG2434" s="1063"/>
      <c r="AH2434" s="1063"/>
      <c r="AI2434" s="1063"/>
      <c r="AJ2434" s="1063"/>
      <c r="AK2434" s="1063"/>
      <c r="AL2434" s="1063"/>
      <c r="AM2434" s="1063"/>
      <c r="AN2434" s="1063"/>
      <c r="AO2434" s="1063"/>
      <c r="AP2434" s="1063"/>
      <c r="AQ2434" s="1063"/>
      <c r="AR2434" s="1063"/>
      <c r="AS2434" s="1063"/>
      <c r="AT2434" s="1063"/>
      <c r="AU2434" s="1063"/>
      <c r="AV2434" s="1063"/>
    </row>
    <row r="2435" spans="1:48" s="1108" customFormat="1" ht="27.75" customHeight="1">
      <c r="A2435" s="1076"/>
      <c r="B2435" s="1074">
        <f>+'[18]Bldg+Dev'!S3247</f>
        <v>0</v>
      </c>
      <c r="D2435" s="1063"/>
      <c r="F2435" s="1076"/>
      <c r="G2435" s="1063"/>
      <c r="H2435" s="1063"/>
      <c r="I2435" s="1063"/>
      <c r="J2435" s="1063"/>
      <c r="K2435" s="1063"/>
      <c r="L2435" s="1063"/>
      <c r="M2435" s="1063"/>
      <c r="N2435" s="1063"/>
      <c r="O2435" s="1063"/>
      <c r="P2435" s="1063"/>
      <c r="Q2435" s="1063"/>
      <c r="R2435" s="1063"/>
      <c r="S2435" s="1063"/>
      <c r="T2435" s="1063"/>
      <c r="U2435" s="1063"/>
      <c r="V2435" s="1063"/>
      <c r="W2435" s="1063"/>
      <c r="X2435" s="1063"/>
      <c r="Y2435" s="1063"/>
      <c r="Z2435" s="1063"/>
      <c r="AA2435" s="1063"/>
      <c r="AB2435" s="1063"/>
      <c r="AC2435" s="1063"/>
      <c r="AD2435" s="1063"/>
      <c r="AE2435" s="1063"/>
      <c r="AF2435" s="1063"/>
      <c r="AG2435" s="1063"/>
      <c r="AH2435" s="1063"/>
      <c r="AI2435" s="1063"/>
      <c r="AJ2435" s="1063"/>
      <c r="AK2435" s="1063"/>
      <c r="AL2435" s="1063"/>
      <c r="AM2435" s="1063"/>
      <c r="AN2435" s="1063"/>
      <c r="AO2435" s="1063"/>
      <c r="AP2435" s="1063"/>
      <c r="AQ2435" s="1063"/>
      <c r="AR2435" s="1063"/>
      <c r="AS2435" s="1063"/>
      <c r="AT2435" s="1063"/>
      <c r="AU2435" s="1063"/>
      <c r="AV2435" s="1063"/>
    </row>
    <row r="2436" spans="1:48" s="1108" customFormat="1" ht="27.75" customHeight="1">
      <c r="A2436" s="1076"/>
      <c r="B2436" s="1074">
        <f>+'[18]Bldg+Dev'!S3248</f>
        <v>0</v>
      </c>
      <c r="D2436" s="1063"/>
      <c r="F2436" s="1076"/>
      <c r="G2436" s="1063"/>
      <c r="H2436" s="1063"/>
      <c r="I2436" s="1063"/>
      <c r="J2436" s="1063"/>
      <c r="K2436" s="1063"/>
      <c r="L2436" s="1063"/>
      <c r="M2436" s="1063"/>
      <c r="N2436" s="1063"/>
      <c r="O2436" s="1063"/>
      <c r="P2436" s="1063"/>
      <c r="Q2436" s="1063"/>
      <c r="R2436" s="1063"/>
      <c r="S2436" s="1063"/>
      <c r="T2436" s="1063"/>
      <c r="U2436" s="1063"/>
      <c r="V2436" s="1063"/>
      <c r="W2436" s="1063"/>
      <c r="X2436" s="1063"/>
      <c r="Y2436" s="1063"/>
      <c r="Z2436" s="1063"/>
      <c r="AA2436" s="1063"/>
      <c r="AB2436" s="1063"/>
      <c r="AC2436" s="1063"/>
      <c r="AD2436" s="1063"/>
      <c r="AE2436" s="1063"/>
      <c r="AF2436" s="1063"/>
      <c r="AG2436" s="1063"/>
      <c r="AH2436" s="1063"/>
      <c r="AI2436" s="1063"/>
      <c r="AJ2436" s="1063"/>
      <c r="AK2436" s="1063"/>
      <c r="AL2436" s="1063"/>
      <c r="AM2436" s="1063"/>
      <c r="AN2436" s="1063"/>
      <c r="AO2436" s="1063"/>
      <c r="AP2436" s="1063"/>
      <c r="AQ2436" s="1063"/>
      <c r="AR2436" s="1063"/>
      <c r="AS2436" s="1063"/>
      <c r="AT2436" s="1063"/>
      <c r="AU2436" s="1063"/>
      <c r="AV2436" s="1063"/>
    </row>
    <row r="2437" spans="1:48" s="1108" customFormat="1" ht="27.75" customHeight="1">
      <c r="A2437" s="1076"/>
      <c r="B2437" s="1074">
        <f>+'[18]Bldg+Dev'!S3249</f>
        <v>0</v>
      </c>
      <c r="D2437" s="1063"/>
      <c r="F2437" s="1076"/>
      <c r="G2437" s="1063"/>
      <c r="H2437" s="1063"/>
      <c r="I2437" s="1063"/>
      <c r="J2437" s="1063"/>
      <c r="K2437" s="1063"/>
      <c r="L2437" s="1063"/>
      <c r="M2437" s="1063"/>
      <c r="N2437" s="1063"/>
      <c r="O2437" s="1063"/>
      <c r="P2437" s="1063"/>
      <c r="Q2437" s="1063"/>
      <c r="R2437" s="1063"/>
      <c r="S2437" s="1063"/>
      <c r="T2437" s="1063"/>
      <c r="U2437" s="1063"/>
      <c r="V2437" s="1063"/>
      <c r="W2437" s="1063"/>
      <c r="X2437" s="1063"/>
      <c r="Y2437" s="1063"/>
      <c r="Z2437" s="1063"/>
      <c r="AA2437" s="1063"/>
      <c r="AB2437" s="1063"/>
      <c r="AC2437" s="1063"/>
      <c r="AD2437" s="1063"/>
      <c r="AE2437" s="1063"/>
      <c r="AF2437" s="1063"/>
      <c r="AG2437" s="1063"/>
      <c r="AH2437" s="1063"/>
      <c r="AI2437" s="1063"/>
      <c r="AJ2437" s="1063"/>
      <c r="AK2437" s="1063"/>
      <c r="AL2437" s="1063"/>
      <c r="AM2437" s="1063"/>
      <c r="AN2437" s="1063"/>
      <c r="AO2437" s="1063"/>
      <c r="AP2437" s="1063"/>
      <c r="AQ2437" s="1063"/>
      <c r="AR2437" s="1063"/>
      <c r="AS2437" s="1063"/>
      <c r="AT2437" s="1063"/>
      <c r="AU2437" s="1063"/>
      <c r="AV2437" s="1063"/>
    </row>
    <row r="2438" spans="1:48" s="1108" customFormat="1" ht="27.75" customHeight="1">
      <c r="A2438" s="1076"/>
      <c r="B2438" s="1074">
        <f>+'[18]Bldg+Dev'!S3250</f>
        <v>0</v>
      </c>
      <c r="D2438" s="1063"/>
      <c r="F2438" s="1076"/>
      <c r="G2438" s="1063"/>
      <c r="H2438" s="1063"/>
      <c r="I2438" s="1063"/>
      <c r="J2438" s="1063"/>
      <c r="K2438" s="1063"/>
      <c r="L2438" s="1063"/>
      <c r="M2438" s="1063"/>
      <c r="N2438" s="1063"/>
      <c r="O2438" s="1063"/>
      <c r="P2438" s="1063"/>
      <c r="Q2438" s="1063"/>
      <c r="R2438" s="1063"/>
      <c r="S2438" s="1063"/>
      <c r="T2438" s="1063"/>
      <c r="U2438" s="1063"/>
      <c r="V2438" s="1063"/>
      <c r="W2438" s="1063"/>
      <c r="X2438" s="1063"/>
      <c r="Y2438" s="1063"/>
      <c r="Z2438" s="1063"/>
      <c r="AA2438" s="1063"/>
      <c r="AB2438" s="1063"/>
      <c r="AC2438" s="1063"/>
      <c r="AD2438" s="1063"/>
      <c r="AE2438" s="1063"/>
      <c r="AF2438" s="1063"/>
      <c r="AG2438" s="1063"/>
      <c r="AH2438" s="1063"/>
      <c r="AI2438" s="1063"/>
      <c r="AJ2438" s="1063"/>
      <c r="AK2438" s="1063"/>
      <c r="AL2438" s="1063"/>
      <c r="AM2438" s="1063"/>
      <c r="AN2438" s="1063"/>
      <c r="AO2438" s="1063"/>
      <c r="AP2438" s="1063"/>
      <c r="AQ2438" s="1063"/>
      <c r="AR2438" s="1063"/>
      <c r="AS2438" s="1063"/>
      <c r="AT2438" s="1063"/>
      <c r="AU2438" s="1063"/>
      <c r="AV2438" s="1063"/>
    </row>
    <row r="2439" spans="1:48" s="1108" customFormat="1" ht="27.75" customHeight="1">
      <c r="A2439" s="1076"/>
      <c r="B2439" s="1074">
        <f>+'[18]Bldg+Dev'!S3251</f>
        <v>0</v>
      </c>
      <c r="D2439" s="1063"/>
      <c r="F2439" s="1076"/>
      <c r="G2439" s="1063"/>
      <c r="H2439" s="1063"/>
      <c r="I2439" s="1063"/>
      <c r="J2439" s="1063"/>
      <c r="K2439" s="1063"/>
      <c r="L2439" s="1063"/>
      <c r="M2439" s="1063"/>
      <c r="N2439" s="1063"/>
      <c r="O2439" s="1063"/>
      <c r="P2439" s="1063"/>
      <c r="Q2439" s="1063"/>
      <c r="R2439" s="1063"/>
      <c r="S2439" s="1063"/>
      <c r="T2439" s="1063"/>
      <c r="U2439" s="1063"/>
      <c r="V2439" s="1063"/>
      <c r="W2439" s="1063"/>
      <c r="X2439" s="1063"/>
      <c r="Y2439" s="1063"/>
      <c r="Z2439" s="1063"/>
      <c r="AA2439" s="1063"/>
      <c r="AB2439" s="1063"/>
      <c r="AC2439" s="1063"/>
      <c r="AD2439" s="1063"/>
      <c r="AE2439" s="1063"/>
      <c r="AF2439" s="1063"/>
      <c r="AG2439" s="1063"/>
      <c r="AH2439" s="1063"/>
      <c r="AI2439" s="1063"/>
      <c r="AJ2439" s="1063"/>
      <c r="AK2439" s="1063"/>
      <c r="AL2439" s="1063"/>
      <c r="AM2439" s="1063"/>
      <c r="AN2439" s="1063"/>
      <c r="AO2439" s="1063"/>
      <c r="AP2439" s="1063"/>
      <c r="AQ2439" s="1063"/>
      <c r="AR2439" s="1063"/>
      <c r="AS2439" s="1063"/>
      <c r="AT2439" s="1063"/>
      <c r="AU2439" s="1063"/>
      <c r="AV2439" s="1063"/>
    </row>
    <row r="2440" spans="1:48" s="1108" customFormat="1" ht="27.75" customHeight="1">
      <c r="A2440" s="1076"/>
      <c r="B2440" s="1074">
        <f>+'[18]Bldg+Dev'!S3252</f>
        <v>0</v>
      </c>
      <c r="D2440" s="1063"/>
      <c r="F2440" s="1076"/>
      <c r="G2440" s="1063"/>
      <c r="H2440" s="1063"/>
      <c r="I2440" s="1063"/>
      <c r="J2440" s="1063"/>
      <c r="K2440" s="1063"/>
      <c r="L2440" s="1063"/>
      <c r="M2440" s="1063"/>
      <c r="N2440" s="1063"/>
      <c r="O2440" s="1063"/>
      <c r="P2440" s="1063"/>
      <c r="Q2440" s="1063"/>
      <c r="R2440" s="1063"/>
      <c r="S2440" s="1063"/>
      <c r="T2440" s="1063"/>
      <c r="U2440" s="1063"/>
      <c r="V2440" s="1063"/>
      <c r="W2440" s="1063"/>
      <c r="X2440" s="1063"/>
      <c r="Y2440" s="1063"/>
      <c r="Z2440" s="1063"/>
      <c r="AA2440" s="1063"/>
      <c r="AB2440" s="1063"/>
      <c r="AC2440" s="1063"/>
      <c r="AD2440" s="1063"/>
      <c r="AE2440" s="1063"/>
      <c r="AF2440" s="1063"/>
      <c r="AG2440" s="1063"/>
      <c r="AH2440" s="1063"/>
      <c r="AI2440" s="1063"/>
      <c r="AJ2440" s="1063"/>
      <c r="AK2440" s="1063"/>
      <c r="AL2440" s="1063"/>
      <c r="AM2440" s="1063"/>
      <c r="AN2440" s="1063"/>
      <c r="AO2440" s="1063"/>
      <c r="AP2440" s="1063"/>
      <c r="AQ2440" s="1063"/>
      <c r="AR2440" s="1063"/>
      <c r="AS2440" s="1063"/>
      <c r="AT2440" s="1063"/>
      <c r="AU2440" s="1063"/>
      <c r="AV2440" s="1063"/>
    </row>
    <row r="2441" spans="1:48" s="1108" customFormat="1" ht="27.75" customHeight="1">
      <c r="A2441" s="1076"/>
      <c r="B2441" s="1074">
        <f>+'[18]Bldg+Dev'!S3253</f>
        <v>0</v>
      </c>
      <c r="D2441" s="1063"/>
      <c r="F2441" s="1076"/>
      <c r="G2441" s="1063"/>
      <c r="H2441" s="1063"/>
      <c r="I2441" s="1063"/>
      <c r="J2441" s="1063"/>
      <c r="K2441" s="1063"/>
      <c r="L2441" s="1063"/>
      <c r="M2441" s="1063"/>
      <c r="N2441" s="1063"/>
      <c r="O2441" s="1063"/>
      <c r="P2441" s="1063"/>
      <c r="Q2441" s="1063"/>
      <c r="R2441" s="1063"/>
      <c r="S2441" s="1063"/>
      <c r="T2441" s="1063"/>
      <c r="U2441" s="1063"/>
      <c r="V2441" s="1063"/>
      <c r="W2441" s="1063"/>
      <c r="X2441" s="1063"/>
      <c r="Y2441" s="1063"/>
      <c r="Z2441" s="1063"/>
      <c r="AA2441" s="1063"/>
      <c r="AB2441" s="1063"/>
      <c r="AC2441" s="1063"/>
      <c r="AD2441" s="1063"/>
      <c r="AE2441" s="1063"/>
      <c r="AF2441" s="1063"/>
      <c r="AG2441" s="1063"/>
      <c r="AH2441" s="1063"/>
      <c r="AI2441" s="1063"/>
      <c r="AJ2441" s="1063"/>
      <c r="AK2441" s="1063"/>
      <c r="AL2441" s="1063"/>
      <c r="AM2441" s="1063"/>
      <c r="AN2441" s="1063"/>
      <c r="AO2441" s="1063"/>
      <c r="AP2441" s="1063"/>
      <c r="AQ2441" s="1063"/>
      <c r="AR2441" s="1063"/>
      <c r="AS2441" s="1063"/>
      <c r="AT2441" s="1063"/>
      <c r="AU2441" s="1063"/>
      <c r="AV2441" s="1063"/>
    </row>
    <row r="2442" spans="1:48" s="1108" customFormat="1" ht="27.75" customHeight="1">
      <c r="A2442" s="1076"/>
      <c r="B2442" s="1074">
        <f>+'[18]Bldg+Dev'!S3254</f>
        <v>0</v>
      </c>
      <c r="D2442" s="1063"/>
      <c r="F2442" s="1076"/>
      <c r="G2442" s="1063"/>
      <c r="H2442" s="1063"/>
      <c r="I2442" s="1063"/>
      <c r="J2442" s="1063"/>
      <c r="K2442" s="1063"/>
      <c r="L2442" s="1063"/>
      <c r="M2442" s="1063"/>
      <c r="N2442" s="1063"/>
      <c r="O2442" s="1063"/>
      <c r="P2442" s="1063"/>
      <c r="Q2442" s="1063"/>
      <c r="R2442" s="1063"/>
      <c r="S2442" s="1063"/>
      <c r="T2442" s="1063"/>
      <c r="U2442" s="1063"/>
      <c r="V2442" s="1063"/>
      <c r="W2442" s="1063"/>
      <c r="X2442" s="1063"/>
      <c r="Y2442" s="1063"/>
      <c r="Z2442" s="1063"/>
      <c r="AA2442" s="1063"/>
      <c r="AB2442" s="1063"/>
      <c r="AC2442" s="1063"/>
      <c r="AD2442" s="1063"/>
      <c r="AE2442" s="1063"/>
      <c r="AF2442" s="1063"/>
      <c r="AG2442" s="1063"/>
      <c r="AH2442" s="1063"/>
      <c r="AI2442" s="1063"/>
      <c r="AJ2442" s="1063"/>
      <c r="AK2442" s="1063"/>
      <c r="AL2442" s="1063"/>
      <c r="AM2442" s="1063"/>
      <c r="AN2442" s="1063"/>
      <c r="AO2442" s="1063"/>
      <c r="AP2442" s="1063"/>
      <c r="AQ2442" s="1063"/>
      <c r="AR2442" s="1063"/>
      <c r="AS2442" s="1063"/>
      <c r="AT2442" s="1063"/>
      <c r="AU2442" s="1063"/>
      <c r="AV2442" s="1063"/>
    </row>
    <row r="2443" spans="1:48" s="1108" customFormat="1" ht="27.75" customHeight="1">
      <c r="A2443" s="1076"/>
      <c r="B2443" s="1074">
        <f>+'[18]Bldg+Dev'!S3255</f>
        <v>0</v>
      </c>
      <c r="D2443" s="1063"/>
      <c r="F2443" s="1076"/>
      <c r="G2443" s="1063"/>
      <c r="H2443" s="1063"/>
      <c r="I2443" s="1063"/>
      <c r="J2443" s="1063"/>
      <c r="K2443" s="1063"/>
      <c r="L2443" s="1063"/>
      <c r="M2443" s="1063"/>
      <c r="N2443" s="1063"/>
      <c r="O2443" s="1063"/>
      <c r="P2443" s="1063"/>
      <c r="Q2443" s="1063"/>
      <c r="R2443" s="1063"/>
      <c r="S2443" s="1063"/>
      <c r="T2443" s="1063"/>
      <c r="U2443" s="1063"/>
      <c r="V2443" s="1063"/>
      <c r="W2443" s="1063"/>
      <c r="X2443" s="1063"/>
      <c r="Y2443" s="1063"/>
      <c r="Z2443" s="1063"/>
      <c r="AA2443" s="1063"/>
      <c r="AB2443" s="1063"/>
      <c r="AC2443" s="1063"/>
      <c r="AD2443" s="1063"/>
      <c r="AE2443" s="1063"/>
      <c r="AF2443" s="1063"/>
      <c r="AG2443" s="1063"/>
      <c r="AH2443" s="1063"/>
      <c r="AI2443" s="1063"/>
      <c r="AJ2443" s="1063"/>
      <c r="AK2443" s="1063"/>
      <c r="AL2443" s="1063"/>
      <c r="AM2443" s="1063"/>
      <c r="AN2443" s="1063"/>
      <c r="AO2443" s="1063"/>
      <c r="AP2443" s="1063"/>
      <c r="AQ2443" s="1063"/>
      <c r="AR2443" s="1063"/>
      <c r="AS2443" s="1063"/>
      <c r="AT2443" s="1063"/>
      <c r="AU2443" s="1063"/>
      <c r="AV2443" s="1063"/>
    </row>
    <row r="2444" spans="1:48" s="1108" customFormat="1" ht="27.75" customHeight="1">
      <c r="A2444" s="1076"/>
      <c r="B2444" s="1074">
        <f>+'[18]Bldg+Dev'!S3256</f>
        <v>0</v>
      </c>
      <c r="D2444" s="1063"/>
      <c r="F2444" s="1076"/>
      <c r="G2444" s="1063"/>
      <c r="H2444" s="1063"/>
      <c r="I2444" s="1063"/>
      <c r="J2444" s="1063"/>
      <c r="K2444" s="1063"/>
      <c r="L2444" s="1063"/>
      <c r="M2444" s="1063"/>
      <c r="N2444" s="1063"/>
      <c r="O2444" s="1063"/>
      <c r="P2444" s="1063"/>
      <c r="Q2444" s="1063"/>
      <c r="R2444" s="1063"/>
      <c r="S2444" s="1063"/>
      <c r="T2444" s="1063"/>
      <c r="U2444" s="1063"/>
      <c r="V2444" s="1063"/>
      <c r="W2444" s="1063"/>
      <c r="X2444" s="1063"/>
      <c r="Y2444" s="1063"/>
      <c r="Z2444" s="1063"/>
      <c r="AA2444" s="1063"/>
      <c r="AB2444" s="1063"/>
      <c r="AC2444" s="1063"/>
      <c r="AD2444" s="1063"/>
      <c r="AE2444" s="1063"/>
      <c r="AF2444" s="1063"/>
      <c r="AG2444" s="1063"/>
      <c r="AH2444" s="1063"/>
      <c r="AI2444" s="1063"/>
      <c r="AJ2444" s="1063"/>
      <c r="AK2444" s="1063"/>
      <c r="AL2444" s="1063"/>
      <c r="AM2444" s="1063"/>
      <c r="AN2444" s="1063"/>
      <c r="AO2444" s="1063"/>
      <c r="AP2444" s="1063"/>
      <c r="AQ2444" s="1063"/>
      <c r="AR2444" s="1063"/>
      <c r="AS2444" s="1063"/>
      <c r="AT2444" s="1063"/>
      <c r="AU2444" s="1063"/>
      <c r="AV2444" s="1063"/>
    </row>
    <row r="2445" spans="1:48" s="1108" customFormat="1" ht="27.75" customHeight="1">
      <c r="A2445" s="1076"/>
      <c r="B2445" s="1074">
        <f>+'[18]Bldg+Dev'!S3257</f>
        <v>0</v>
      </c>
      <c r="D2445" s="1063"/>
      <c r="F2445" s="1076"/>
      <c r="G2445" s="1063"/>
      <c r="H2445" s="1063"/>
      <c r="I2445" s="1063"/>
      <c r="J2445" s="1063"/>
      <c r="K2445" s="1063"/>
      <c r="L2445" s="1063"/>
      <c r="M2445" s="1063"/>
      <c r="N2445" s="1063"/>
      <c r="O2445" s="1063"/>
      <c r="P2445" s="1063"/>
      <c r="Q2445" s="1063"/>
      <c r="R2445" s="1063"/>
      <c r="S2445" s="1063"/>
      <c r="T2445" s="1063"/>
      <c r="U2445" s="1063"/>
      <c r="V2445" s="1063"/>
      <c r="W2445" s="1063"/>
      <c r="X2445" s="1063"/>
      <c r="Y2445" s="1063"/>
      <c r="Z2445" s="1063"/>
      <c r="AA2445" s="1063"/>
      <c r="AB2445" s="1063"/>
      <c r="AC2445" s="1063"/>
      <c r="AD2445" s="1063"/>
      <c r="AE2445" s="1063"/>
      <c r="AF2445" s="1063"/>
      <c r="AG2445" s="1063"/>
      <c r="AH2445" s="1063"/>
      <c r="AI2445" s="1063"/>
      <c r="AJ2445" s="1063"/>
      <c r="AK2445" s="1063"/>
      <c r="AL2445" s="1063"/>
      <c r="AM2445" s="1063"/>
      <c r="AN2445" s="1063"/>
      <c r="AO2445" s="1063"/>
      <c r="AP2445" s="1063"/>
      <c r="AQ2445" s="1063"/>
      <c r="AR2445" s="1063"/>
      <c r="AS2445" s="1063"/>
      <c r="AT2445" s="1063"/>
      <c r="AU2445" s="1063"/>
      <c r="AV2445" s="1063"/>
    </row>
    <row r="2446" spans="1:48" s="1108" customFormat="1" ht="27.75" customHeight="1">
      <c r="A2446" s="1076"/>
      <c r="B2446" s="1074">
        <f>+'[18]Bldg+Dev'!S3258</f>
        <v>0</v>
      </c>
      <c r="D2446" s="1063"/>
      <c r="F2446" s="1076"/>
      <c r="G2446" s="1063"/>
      <c r="H2446" s="1063"/>
      <c r="I2446" s="1063"/>
      <c r="J2446" s="1063"/>
      <c r="K2446" s="1063"/>
      <c r="L2446" s="1063"/>
      <c r="M2446" s="1063"/>
      <c r="N2446" s="1063"/>
      <c r="O2446" s="1063"/>
      <c r="P2446" s="1063"/>
      <c r="Q2446" s="1063"/>
      <c r="R2446" s="1063"/>
      <c r="S2446" s="1063"/>
      <c r="T2446" s="1063"/>
      <c r="U2446" s="1063"/>
      <c r="V2446" s="1063"/>
      <c r="W2446" s="1063"/>
      <c r="X2446" s="1063"/>
      <c r="Y2446" s="1063"/>
      <c r="Z2446" s="1063"/>
      <c r="AA2446" s="1063"/>
      <c r="AB2446" s="1063"/>
      <c r="AC2446" s="1063"/>
      <c r="AD2446" s="1063"/>
      <c r="AE2446" s="1063"/>
      <c r="AF2446" s="1063"/>
      <c r="AG2446" s="1063"/>
      <c r="AH2446" s="1063"/>
      <c r="AI2446" s="1063"/>
      <c r="AJ2446" s="1063"/>
      <c r="AK2446" s="1063"/>
      <c r="AL2446" s="1063"/>
      <c r="AM2446" s="1063"/>
      <c r="AN2446" s="1063"/>
      <c r="AO2446" s="1063"/>
      <c r="AP2446" s="1063"/>
      <c r="AQ2446" s="1063"/>
      <c r="AR2446" s="1063"/>
      <c r="AS2446" s="1063"/>
      <c r="AT2446" s="1063"/>
      <c r="AU2446" s="1063"/>
      <c r="AV2446" s="1063"/>
    </row>
    <row r="2447" spans="1:48" s="1108" customFormat="1" ht="27.75" customHeight="1">
      <c r="A2447" s="1076"/>
      <c r="B2447" s="1074">
        <f>+'[18]Bldg+Dev'!S3259</f>
        <v>0</v>
      </c>
      <c r="D2447" s="1063"/>
      <c r="F2447" s="1076"/>
      <c r="G2447" s="1063"/>
      <c r="H2447" s="1063"/>
      <c r="I2447" s="1063"/>
      <c r="J2447" s="1063"/>
      <c r="K2447" s="1063"/>
      <c r="L2447" s="1063"/>
      <c r="M2447" s="1063"/>
      <c r="N2447" s="1063"/>
      <c r="O2447" s="1063"/>
      <c r="P2447" s="1063"/>
      <c r="Q2447" s="1063"/>
      <c r="R2447" s="1063"/>
      <c r="S2447" s="1063"/>
      <c r="T2447" s="1063"/>
      <c r="U2447" s="1063"/>
      <c r="V2447" s="1063"/>
      <c r="W2447" s="1063"/>
      <c r="X2447" s="1063"/>
      <c r="Y2447" s="1063"/>
      <c r="Z2447" s="1063"/>
      <c r="AA2447" s="1063"/>
      <c r="AB2447" s="1063"/>
      <c r="AC2447" s="1063"/>
      <c r="AD2447" s="1063"/>
      <c r="AE2447" s="1063"/>
      <c r="AF2447" s="1063"/>
      <c r="AG2447" s="1063"/>
      <c r="AH2447" s="1063"/>
      <c r="AI2447" s="1063"/>
      <c r="AJ2447" s="1063"/>
      <c r="AK2447" s="1063"/>
      <c r="AL2447" s="1063"/>
      <c r="AM2447" s="1063"/>
      <c r="AN2447" s="1063"/>
      <c r="AO2447" s="1063"/>
      <c r="AP2447" s="1063"/>
      <c r="AQ2447" s="1063"/>
      <c r="AR2447" s="1063"/>
      <c r="AS2447" s="1063"/>
      <c r="AT2447" s="1063"/>
      <c r="AU2447" s="1063"/>
      <c r="AV2447" s="1063"/>
    </row>
    <row r="2448" spans="1:48" s="1108" customFormat="1" ht="27.75" customHeight="1">
      <c r="A2448" s="1076"/>
      <c r="B2448" s="1074">
        <f>+'[18]Bldg+Dev'!S3260</f>
        <v>0</v>
      </c>
      <c r="D2448" s="1063"/>
      <c r="F2448" s="1076"/>
      <c r="G2448" s="1063"/>
      <c r="H2448" s="1063"/>
      <c r="I2448" s="1063"/>
      <c r="J2448" s="1063"/>
      <c r="K2448" s="1063"/>
      <c r="L2448" s="1063"/>
      <c r="M2448" s="1063"/>
      <c r="N2448" s="1063"/>
      <c r="O2448" s="1063"/>
      <c r="P2448" s="1063"/>
      <c r="Q2448" s="1063"/>
      <c r="R2448" s="1063"/>
      <c r="S2448" s="1063"/>
      <c r="T2448" s="1063"/>
      <c r="U2448" s="1063"/>
      <c r="V2448" s="1063"/>
      <c r="W2448" s="1063"/>
      <c r="X2448" s="1063"/>
      <c r="Y2448" s="1063"/>
      <c r="Z2448" s="1063"/>
      <c r="AA2448" s="1063"/>
      <c r="AB2448" s="1063"/>
      <c r="AC2448" s="1063"/>
      <c r="AD2448" s="1063"/>
      <c r="AE2448" s="1063"/>
      <c r="AF2448" s="1063"/>
      <c r="AG2448" s="1063"/>
      <c r="AH2448" s="1063"/>
      <c r="AI2448" s="1063"/>
      <c r="AJ2448" s="1063"/>
      <c r="AK2448" s="1063"/>
      <c r="AL2448" s="1063"/>
      <c r="AM2448" s="1063"/>
      <c r="AN2448" s="1063"/>
      <c r="AO2448" s="1063"/>
      <c r="AP2448" s="1063"/>
      <c r="AQ2448" s="1063"/>
      <c r="AR2448" s="1063"/>
      <c r="AS2448" s="1063"/>
      <c r="AT2448" s="1063"/>
      <c r="AU2448" s="1063"/>
      <c r="AV2448" s="1063"/>
    </row>
    <row r="2449" spans="1:48" s="1108" customFormat="1" ht="27.75" customHeight="1">
      <c r="A2449" s="1076"/>
      <c r="B2449" s="1074">
        <f>+'[18]Bldg+Dev'!S3261</f>
        <v>0</v>
      </c>
      <c r="D2449" s="1063"/>
      <c r="F2449" s="1076"/>
      <c r="G2449" s="1063"/>
      <c r="H2449" s="1063"/>
      <c r="I2449" s="1063"/>
      <c r="J2449" s="1063"/>
      <c r="K2449" s="1063"/>
      <c r="L2449" s="1063"/>
      <c r="M2449" s="1063"/>
      <c r="N2449" s="1063"/>
      <c r="O2449" s="1063"/>
      <c r="P2449" s="1063"/>
      <c r="Q2449" s="1063"/>
      <c r="R2449" s="1063"/>
      <c r="S2449" s="1063"/>
      <c r="T2449" s="1063"/>
      <c r="U2449" s="1063"/>
      <c r="V2449" s="1063"/>
      <c r="W2449" s="1063"/>
      <c r="X2449" s="1063"/>
      <c r="Y2449" s="1063"/>
      <c r="Z2449" s="1063"/>
      <c r="AA2449" s="1063"/>
      <c r="AB2449" s="1063"/>
      <c r="AC2449" s="1063"/>
      <c r="AD2449" s="1063"/>
      <c r="AE2449" s="1063"/>
      <c r="AF2449" s="1063"/>
      <c r="AG2449" s="1063"/>
      <c r="AH2449" s="1063"/>
      <c r="AI2449" s="1063"/>
      <c r="AJ2449" s="1063"/>
      <c r="AK2449" s="1063"/>
      <c r="AL2449" s="1063"/>
      <c r="AM2449" s="1063"/>
      <c r="AN2449" s="1063"/>
      <c r="AO2449" s="1063"/>
      <c r="AP2449" s="1063"/>
      <c r="AQ2449" s="1063"/>
      <c r="AR2449" s="1063"/>
      <c r="AS2449" s="1063"/>
      <c r="AT2449" s="1063"/>
      <c r="AU2449" s="1063"/>
      <c r="AV2449" s="1063"/>
    </row>
    <row r="2450" spans="1:48" s="1108" customFormat="1" ht="27.75" customHeight="1">
      <c r="A2450" s="1076"/>
      <c r="B2450" s="1074">
        <f>+'[18]Bldg+Dev'!S3262</f>
        <v>0</v>
      </c>
      <c r="D2450" s="1063"/>
      <c r="F2450" s="1076"/>
      <c r="G2450" s="1063"/>
      <c r="H2450" s="1063"/>
      <c r="I2450" s="1063"/>
      <c r="J2450" s="1063"/>
      <c r="K2450" s="1063"/>
      <c r="L2450" s="1063"/>
      <c r="M2450" s="1063"/>
      <c r="N2450" s="1063"/>
      <c r="O2450" s="1063"/>
      <c r="P2450" s="1063"/>
      <c r="Q2450" s="1063"/>
      <c r="R2450" s="1063"/>
      <c r="S2450" s="1063"/>
      <c r="T2450" s="1063"/>
      <c r="U2450" s="1063"/>
      <c r="V2450" s="1063"/>
      <c r="W2450" s="1063"/>
      <c r="X2450" s="1063"/>
      <c r="Y2450" s="1063"/>
      <c r="Z2450" s="1063"/>
      <c r="AA2450" s="1063"/>
      <c r="AB2450" s="1063"/>
      <c r="AC2450" s="1063"/>
      <c r="AD2450" s="1063"/>
      <c r="AE2450" s="1063"/>
      <c r="AF2450" s="1063"/>
      <c r="AG2450" s="1063"/>
      <c r="AH2450" s="1063"/>
      <c r="AI2450" s="1063"/>
      <c r="AJ2450" s="1063"/>
      <c r="AK2450" s="1063"/>
      <c r="AL2450" s="1063"/>
      <c r="AM2450" s="1063"/>
      <c r="AN2450" s="1063"/>
      <c r="AO2450" s="1063"/>
      <c r="AP2450" s="1063"/>
      <c r="AQ2450" s="1063"/>
      <c r="AR2450" s="1063"/>
      <c r="AS2450" s="1063"/>
      <c r="AT2450" s="1063"/>
      <c r="AU2450" s="1063"/>
      <c r="AV2450" s="1063"/>
    </row>
    <row r="2451" spans="1:48" s="1108" customFormat="1" ht="27.75" customHeight="1">
      <c r="A2451" s="1076"/>
      <c r="B2451" s="1074">
        <f>+'[18]Bldg+Dev'!S3263</f>
        <v>0</v>
      </c>
      <c r="D2451" s="1063"/>
      <c r="F2451" s="1076"/>
      <c r="G2451" s="1063"/>
      <c r="H2451" s="1063"/>
      <c r="I2451" s="1063"/>
      <c r="J2451" s="1063"/>
      <c r="K2451" s="1063"/>
      <c r="L2451" s="1063"/>
      <c r="M2451" s="1063"/>
      <c r="N2451" s="1063"/>
      <c r="O2451" s="1063"/>
      <c r="P2451" s="1063"/>
      <c r="Q2451" s="1063"/>
      <c r="R2451" s="1063"/>
      <c r="S2451" s="1063"/>
      <c r="T2451" s="1063"/>
      <c r="U2451" s="1063"/>
      <c r="V2451" s="1063"/>
      <c r="W2451" s="1063"/>
      <c r="X2451" s="1063"/>
      <c r="Y2451" s="1063"/>
      <c r="Z2451" s="1063"/>
      <c r="AA2451" s="1063"/>
      <c r="AB2451" s="1063"/>
      <c r="AC2451" s="1063"/>
      <c r="AD2451" s="1063"/>
      <c r="AE2451" s="1063"/>
      <c r="AF2451" s="1063"/>
      <c r="AG2451" s="1063"/>
      <c r="AH2451" s="1063"/>
      <c r="AI2451" s="1063"/>
      <c r="AJ2451" s="1063"/>
      <c r="AK2451" s="1063"/>
      <c r="AL2451" s="1063"/>
      <c r="AM2451" s="1063"/>
      <c r="AN2451" s="1063"/>
      <c r="AO2451" s="1063"/>
      <c r="AP2451" s="1063"/>
      <c r="AQ2451" s="1063"/>
      <c r="AR2451" s="1063"/>
      <c r="AS2451" s="1063"/>
      <c r="AT2451" s="1063"/>
      <c r="AU2451" s="1063"/>
      <c r="AV2451" s="1063"/>
    </row>
    <row r="2452" spans="1:48" s="1108" customFormat="1" ht="27.75" customHeight="1">
      <c r="A2452" s="1076"/>
      <c r="B2452" s="1074">
        <f>+'[18]Bldg+Dev'!S3264</f>
        <v>0</v>
      </c>
      <c r="D2452" s="1063"/>
      <c r="F2452" s="1076"/>
      <c r="G2452" s="1063"/>
      <c r="H2452" s="1063"/>
      <c r="I2452" s="1063"/>
      <c r="J2452" s="1063"/>
      <c r="K2452" s="1063"/>
      <c r="L2452" s="1063"/>
      <c r="M2452" s="1063"/>
      <c r="N2452" s="1063"/>
      <c r="O2452" s="1063"/>
      <c r="P2452" s="1063"/>
      <c r="Q2452" s="1063"/>
      <c r="R2452" s="1063"/>
      <c r="S2452" s="1063"/>
      <c r="T2452" s="1063"/>
      <c r="U2452" s="1063"/>
      <c r="V2452" s="1063"/>
      <c r="W2452" s="1063"/>
      <c r="X2452" s="1063"/>
      <c r="Y2452" s="1063"/>
      <c r="Z2452" s="1063"/>
      <c r="AA2452" s="1063"/>
      <c r="AB2452" s="1063"/>
      <c r="AC2452" s="1063"/>
      <c r="AD2452" s="1063"/>
      <c r="AE2452" s="1063"/>
      <c r="AF2452" s="1063"/>
      <c r="AG2452" s="1063"/>
      <c r="AH2452" s="1063"/>
      <c r="AI2452" s="1063"/>
      <c r="AJ2452" s="1063"/>
      <c r="AK2452" s="1063"/>
      <c r="AL2452" s="1063"/>
      <c r="AM2452" s="1063"/>
      <c r="AN2452" s="1063"/>
      <c r="AO2452" s="1063"/>
      <c r="AP2452" s="1063"/>
      <c r="AQ2452" s="1063"/>
      <c r="AR2452" s="1063"/>
      <c r="AS2452" s="1063"/>
      <c r="AT2452" s="1063"/>
      <c r="AU2452" s="1063"/>
      <c r="AV2452" s="1063"/>
    </row>
    <row r="2453" spans="1:48" s="1108" customFormat="1" ht="27.75" customHeight="1">
      <c r="A2453" s="1076"/>
      <c r="B2453" s="1074">
        <f>+'[18]Bldg+Dev'!S3265</f>
        <v>0</v>
      </c>
      <c r="D2453" s="1063"/>
      <c r="F2453" s="1076"/>
      <c r="G2453" s="1063"/>
      <c r="H2453" s="1063"/>
      <c r="I2453" s="1063"/>
      <c r="J2453" s="1063"/>
      <c r="K2453" s="1063"/>
      <c r="L2453" s="1063"/>
      <c r="M2453" s="1063"/>
      <c r="N2453" s="1063"/>
      <c r="O2453" s="1063"/>
      <c r="P2453" s="1063"/>
      <c r="Q2453" s="1063"/>
      <c r="R2453" s="1063"/>
      <c r="S2453" s="1063"/>
      <c r="T2453" s="1063"/>
      <c r="U2453" s="1063"/>
      <c r="V2453" s="1063"/>
      <c r="W2453" s="1063"/>
      <c r="X2453" s="1063"/>
      <c r="Y2453" s="1063"/>
      <c r="Z2453" s="1063"/>
      <c r="AA2453" s="1063"/>
      <c r="AB2453" s="1063"/>
      <c r="AC2453" s="1063"/>
      <c r="AD2453" s="1063"/>
      <c r="AE2453" s="1063"/>
      <c r="AF2453" s="1063"/>
      <c r="AG2453" s="1063"/>
      <c r="AH2453" s="1063"/>
      <c r="AI2453" s="1063"/>
      <c r="AJ2453" s="1063"/>
      <c r="AK2453" s="1063"/>
      <c r="AL2453" s="1063"/>
      <c r="AM2453" s="1063"/>
      <c r="AN2453" s="1063"/>
      <c r="AO2453" s="1063"/>
      <c r="AP2453" s="1063"/>
      <c r="AQ2453" s="1063"/>
      <c r="AR2453" s="1063"/>
      <c r="AS2453" s="1063"/>
      <c r="AT2453" s="1063"/>
      <c r="AU2453" s="1063"/>
      <c r="AV2453" s="1063"/>
    </row>
    <row r="2454" spans="1:48" s="1108" customFormat="1" ht="27.75" customHeight="1">
      <c r="A2454" s="1076"/>
      <c r="B2454" s="1074">
        <f>+'[18]Bldg+Dev'!S3266</f>
        <v>0</v>
      </c>
      <c r="D2454" s="1063"/>
      <c r="F2454" s="1076"/>
      <c r="G2454" s="1063"/>
      <c r="H2454" s="1063"/>
      <c r="I2454" s="1063"/>
      <c r="J2454" s="1063"/>
      <c r="K2454" s="1063"/>
      <c r="L2454" s="1063"/>
      <c r="M2454" s="1063"/>
      <c r="N2454" s="1063"/>
      <c r="O2454" s="1063"/>
      <c r="P2454" s="1063"/>
      <c r="Q2454" s="1063"/>
      <c r="R2454" s="1063"/>
      <c r="S2454" s="1063"/>
      <c r="T2454" s="1063"/>
      <c r="U2454" s="1063"/>
      <c r="V2454" s="1063"/>
      <c r="W2454" s="1063"/>
      <c r="X2454" s="1063"/>
      <c r="Y2454" s="1063"/>
      <c r="Z2454" s="1063"/>
      <c r="AA2454" s="1063"/>
      <c r="AB2454" s="1063"/>
      <c r="AC2454" s="1063"/>
      <c r="AD2454" s="1063"/>
      <c r="AE2454" s="1063"/>
      <c r="AF2454" s="1063"/>
      <c r="AG2454" s="1063"/>
      <c r="AH2454" s="1063"/>
      <c r="AI2454" s="1063"/>
      <c r="AJ2454" s="1063"/>
      <c r="AK2454" s="1063"/>
      <c r="AL2454" s="1063"/>
      <c r="AM2454" s="1063"/>
      <c r="AN2454" s="1063"/>
      <c r="AO2454" s="1063"/>
      <c r="AP2454" s="1063"/>
      <c r="AQ2454" s="1063"/>
      <c r="AR2454" s="1063"/>
      <c r="AS2454" s="1063"/>
      <c r="AT2454" s="1063"/>
      <c r="AU2454" s="1063"/>
      <c r="AV2454" s="1063"/>
    </row>
    <row r="2455" spans="1:48" s="1108" customFormat="1" ht="27.75" customHeight="1">
      <c r="A2455" s="1076"/>
      <c r="B2455" s="1074">
        <f>+'[18]Bldg+Dev'!S3267</f>
        <v>0</v>
      </c>
      <c r="D2455" s="1063"/>
      <c r="F2455" s="1076"/>
      <c r="G2455" s="1063"/>
      <c r="H2455" s="1063"/>
      <c r="I2455" s="1063"/>
      <c r="J2455" s="1063"/>
      <c r="K2455" s="1063"/>
      <c r="L2455" s="1063"/>
      <c r="M2455" s="1063"/>
      <c r="N2455" s="1063"/>
      <c r="O2455" s="1063"/>
      <c r="P2455" s="1063"/>
      <c r="Q2455" s="1063"/>
      <c r="R2455" s="1063"/>
      <c r="S2455" s="1063"/>
      <c r="T2455" s="1063"/>
      <c r="U2455" s="1063"/>
      <c r="V2455" s="1063"/>
      <c r="W2455" s="1063"/>
      <c r="X2455" s="1063"/>
      <c r="Y2455" s="1063"/>
      <c r="Z2455" s="1063"/>
      <c r="AA2455" s="1063"/>
      <c r="AB2455" s="1063"/>
      <c r="AC2455" s="1063"/>
      <c r="AD2455" s="1063"/>
      <c r="AE2455" s="1063"/>
      <c r="AF2455" s="1063"/>
      <c r="AG2455" s="1063"/>
      <c r="AH2455" s="1063"/>
      <c r="AI2455" s="1063"/>
      <c r="AJ2455" s="1063"/>
      <c r="AK2455" s="1063"/>
      <c r="AL2455" s="1063"/>
      <c r="AM2455" s="1063"/>
      <c r="AN2455" s="1063"/>
      <c r="AO2455" s="1063"/>
      <c r="AP2455" s="1063"/>
      <c r="AQ2455" s="1063"/>
      <c r="AR2455" s="1063"/>
      <c r="AS2455" s="1063"/>
      <c r="AT2455" s="1063"/>
      <c r="AU2455" s="1063"/>
      <c r="AV2455" s="1063"/>
    </row>
    <row r="2456" spans="1:48" s="1108" customFormat="1" ht="27.75" customHeight="1">
      <c r="A2456" s="1076"/>
      <c r="B2456" s="1074">
        <f>+'[18]Bldg+Dev'!S3268</f>
        <v>0</v>
      </c>
      <c r="D2456" s="1063"/>
      <c r="F2456" s="1076"/>
      <c r="G2456" s="1063"/>
      <c r="H2456" s="1063"/>
      <c r="I2456" s="1063"/>
      <c r="J2456" s="1063"/>
      <c r="K2456" s="1063"/>
      <c r="L2456" s="1063"/>
      <c r="M2456" s="1063"/>
      <c r="N2456" s="1063"/>
      <c r="O2456" s="1063"/>
      <c r="P2456" s="1063"/>
      <c r="Q2456" s="1063"/>
      <c r="R2456" s="1063"/>
      <c r="S2456" s="1063"/>
      <c r="T2456" s="1063"/>
      <c r="U2456" s="1063"/>
      <c r="V2456" s="1063"/>
      <c r="W2456" s="1063"/>
      <c r="X2456" s="1063"/>
      <c r="Y2456" s="1063"/>
      <c r="Z2456" s="1063"/>
      <c r="AA2456" s="1063"/>
      <c r="AB2456" s="1063"/>
      <c r="AC2456" s="1063"/>
      <c r="AD2456" s="1063"/>
      <c r="AE2456" s="1063"/>
      <c r="AF2456" s="1063"/>
      <c r="AG2456" s="1063"/>
      <c r="AH2456" s="1063"/>
      <c r="AI2456" s="1063"/>
      <c r="AJ2456" s="1063"/>
      <c r="AK2456" s="1063"/>
      <c r="AL2456" s="1063"/>
      <c r="AM2456" s="1063"/>
      <c r="AN2456" s="1063"/>
      <c r="AO2456" s="1063"/>
      <c r="AP2456" s="1063"/>
      <c r="AQ2456" s="1063"/>
      <c r="AR2456" s="1063"/>
      <c r="AS2456" s="1063"/>
      <c r="AT2456" s="1063"/>
      <c r="AU2456" s="1063"/>
      <c r="AV2456" s="1063"/>
    </row>
    <row r="2457" spans="1:48" s="1108" customFormat="1" ht="27.75" customHeight="1">
      <c r="A2457" s="1076"/>
      <c r="B2457" s="1074">
        <f>+'[18]Bldg+Dev'!S3269</f>
        <v>0</v>
      </c>
      <c r="D2457" s="1063"/>
      <c r="F2457" s="1076"/>
      <c r="G2457" s="1063"/>
      <c r="H2457" s="1063"/>
      <c r="I2457" s="1063"/>
      <c r="J2457" s="1063"/>
      <c r="K2457" s="1063"/>
      <c r="L2457" s="1063"/>
      <c r="M2457" s="1063"/>
      <c r="N2457" s="1063"/>
      <c r="O2457" s="1063"/>
      <c r="P2457" s="1063"/>
      <c r="Q2457" s="1063"/>
      <c r="R2457" s="1063"/>
      <c r="S2457" s="1063"/>
      <c r="T2457" s="1063"/>
      <c r="U2457" s="1063"/>
      <c r="V2457" s="1063"/>
      <c r="W2457" s="1063"/>
      <c r="X2457" s="1063"/>
      <c r="Y2457" s="1063"/>
      <c r="Z2457" s="1063"/>
      <c r="AA2457" s="1063"/>
      <c r="AB2457" s="1063"/>
      <c r="AC2457" s="1063"/>
      <c r="AD2457" s="1063"/>
      <c r="AE2457" s="1063"/>
      <c r="AF2457" s="1063"/>
      <c r="AG2457" s="1063"/>
      <c r="AH2457" s="1063"/>
      <c r="AI2457" s="1063"/>
      <c r="AJ2457" s="1063"/>
      <c r="AK2457" s="1063"/>
      <c r="AL2457" s="1063"/>
      <c r="AM2457" s="1063"/>
      <c r="AN2457" s="1063"/>
      <c r="AO2457" s="1063"/>
      <c r="AP2457" s="1063"/>
      <c r="AQ2457" s="1063"/>
      <c r="AR2457" s="1063"/>
      <c r="AS2457" s="1063"/>
      <c r="AT2457" s="1063"/>
      <c r="AU2457" s="1063"/>
      <c r="AV2457" s="1063"/>
    </row>
    <row r="2458" spans="1:48" s="1108" customFormat="1" ht="27.75" customHeight="1">
      <c r="A2458" s="1076"/>
      <c r="B2458" s="1074">
        <f>+'[18]Bldg+Dev'!S3270</f>
        <v>0</v>
      </c>
      <c r="D2458" s="1063"/>
      <c r="F2458" s="1076"/>
      <c r="G2458" s="1063"/>
      <c r="H2458" s="1063"/>
      <c r="I2458" s="1063"/>
      <c r="J2458" s="1063"/>
      <c r="K2458" s="1063"/>
      <c r="L2458" s="1063"/>
      <c r="M2458" s="1063"/>
      <c r="N2458" s="1063"/>
      <c r="O2458" s="1063"/>
      <c r="P2458" s="1063"/>
      <c r="Q2458" s="1063"/>
      <c r="R2458" s="1063"/>
      <c r="S2458" s="1063"/>
      <c r="T2458" s="1063"/>
      <c r="U2458" s="1063"/>
      <c r="V2458" s="1063"/>
      <c r="W2458" s="1063"/>
      <c r="X2458" s="1063"/>
      <c r="Y2458" s="1063"/>
      <c r="Z2458" s="1063"/>
      <c r="AA2458" s="1063"/>
      <c r="AB2458" s="1063"/>
      <c r="AC2458" s="1063"/>
      <c r="AD2458" s="1063"/>
      <c r="AE2458" s="1063"/>
      <c r="AF2458" s="1063"/>
      <c r="AG2458" s="1063"/>
      <c r="AH2458" s="1063"/>
      <c r="AI2458" s="1063"/>
      <c r="AJ2458" s="1063"/>
      <c r="AK2458" s="1063"/>
      <c r="AL2458" s="1063"/>
      <c r="AM2458" s="1063"/>
      <c r="AN2458" s="1063"/>
      <c r="AO2458" s="1063"/>
      <c r="AP2458" s="1063"/>
      <c r="AQ2458" s="1063"/>
      <c r="AR2458" s="1063"/>
      <c r="AS2458" s="1063"/>
      <c r="AT2458" s="1063"/>
      <c r="AU2458" s="1063"/>
      <c r="AV2458" s="1063"/>
    </row>
    <row r="2459" spans="1:48" s="1108" customFormat="1" ht="27.75" customHeight="1">
      <c r="A2459" s="1076"/>
      <c r="B2459" s="1074">
        <f>+'[18]Bldg+Dev'!S3271</f>
        <v>0</v>
      </c>
      <c r="D2459" s="1063"/>
      <c r="F2459" s="1076"/>
      <c r="G2459" s="1063"/>
      <c r="H2459" s="1063"/>
      <c r="I2459" s="1063"/>
      <c r="J2459" s="1063"/>
      <c r="K2459" s="1063"/>
      <c r="L2459" s="1063"/>
      <c r="M2459" s="1063"/>
      <c r="N2459" s="1063"/>
      <c r="O2459" s="1063"/>
      <c r="P2459" s="1063"/>
      <c r="Q2459" s="1063"/>
      <c r="R2459" s="1063"/>
      <c r="S2459" s="1063"/>
      <c r="T2459" s="1063"/>
      <c r="U2459" s="1063"/>
      <c r="V2459" s="1063"/>
      <c r="W2459" s="1063"/>
      <c r="X2459" s="1063"/>
      <c r="Y2459" s="1063"/>
      <c r="Z2459" s="1063"/>
      <c r="AA2459" s="1063"/>
      <c r="AB2459" s="1063"/>
      <c r="AC2459" s="1063"/>
      <c r="AD2459" s="1063"/>
      <c r="AE2459" s="1063"/>
      <c r="AF2459" s="1063"/>
      <c r="AG2459" s="1063"/>
      <c r="AH2459" s="1063"/>
      <c r="AI2459" s="1063"/>
      <c r="AJ2459" s="1063"/>
      <c r="AK2459" s="1063"/>
      <c r="AL2459" s="1063"/>
      <c r="AM2459" s="1063"/>
      <c r="AN2459" s="1063"/>
      <c r="AO2459" s="1063"/>
      <c r="AP2459" s="1063"/>
      <c r="AQ2459" s="1063"/>
      <c r="AR2459" s="1063"/>
      <c r="AS2459" s="1063"/>
      <c r="AT2459" s="1063"/>
      <c r="AU2459" s="1063"/>
      <c r="AV2459" s="1063"/>
    </row>
    <row r="2460" spans="1:48" s="1108" customFormat="1" ht="27.75" customHeight="1">
      <c r="A2460" s="1076"/>
      <c r="B2460" s="1074">
        <f>+'[18]Bldg+Dev'!S3272</f>
        <v>0</v>
      </c>
      <c r="D2460" s="1063"/>
      <c r="F2460" s="1076"/>
      <c r="G2460" s="1063"/>
      <c r="H2460" s="1063"/>
      <c r="I2460" s="1063"/>
      <c r="J2460" s="1063"/>
      <c r="K2460" s="1063"/>
      <c r="L2460" s="1063"/>
      <c r="M2460" s="1063"/>
      <c r="N2460" s="1063"/>
      <c r="O2460" s="1063"/>
      <c r="P2460" s="1063"/>
      <c r="Q2460" s="1063"/>
      <c r="R2460" s="1063"/>
      <c r="S2460" s="1063"/>
      <c r="T2460" s="1063"/>
      <c r="U2460" s="1063"/>
      <c r="V2460" s="1063"/>
      <c r="W2460" s="1063"/>
      <c r="X2460" s="1063"/>
      <c r="Y2460" s="1063"/>
      <c r="Z2460" s="1063"/>
      <c r="AA2460" s="1063"/>
      <c r="AB2460" s="1063"/>
      <c r="AC2460" s="1063"/>
      <c r="AD2460" s="1063"/>
      <c r="AE2460" s="1063"/>
      <c r="AF2460" s="1063"/>
      <c r="AG2460" s="1063"/>
      <c r="AH2460" s="1063"/>
      <c r="AI2460" s="1063"/>
      <c r="AJ2460" s="1063"/>
      <c r="AK2460" s="1063"/>
      <c r="AL2460" s="1063"/>
      <c r="AM2460" s="1063"/>
      <c r="AN2460" s="1063"/>
      <c r="AO2460" s="1063"/>
      <c r="AP2460" s="1063"/>
      <c r="AQ2460" s="1063"/>
      <c r="AR2460" s="1063"/>
      <c r="AS2460" s="1063"/>
      <c r="AT2460" s="1063"/>
      <c r="AU2460" s="1063"/>
      <c r="AV2460" s="1063"/>
    </row>
    <row r="2461" spans="1:48" s="1108" customFormat="1" ht="27.75" customHeight="1">
      <c r="A2461" s="1076"/>
      <c r="B2461" s="1074">
        <f>+'[18]Bldg+Dev'!S3273</f>
        <v>0</v>
      </c>
      <c r="D2461" s="1063"/>
      <c r="F2461" s="1076"/>
      <c r="G2461" s="1063"/>
      <c r="H2461" s="1063"/>
      <c r="I2461" s="1063"/>
      <c r="J2461" s="1063"/>
      <c r="K2461" s="1063"/>
      <c r="L2461" s="1063"/>
      <c r="M2461" s="1063"/>
      <c r="N2461" s="1063"/>
      <c r="O2461" s="1063"/>
      <c r="P2461" s="1063"/>
      <c r="Q2461" s="1063"/>
      <c r="R2461" s="1063"/>
      <c r="S2461" s="1063"/>
      <c r="T2461" s="1063"/>
      <c r="U2461" s="1063"/>
      <c r="V2461" s="1063"/>
      <c r="W2461" s="1063"/>
      <c r="X2461" s="1063"/>
      <c r="Y2461" s="1063"/>
      <c r="Z2461" s="1063"/>
      <c r="AA2461" s="1063"/>
      <c r="AB2461" s="1063"/>
      <c r="AC2461" s="1063"/>
      <c r="AD2461" s="1063"/>
      <c r="AE2461" s="1063"/>
      <c r="AF2461" s="1063"/>
      <c r="AG2461" s="1063"/>
      <c r="AH2461" s="1063"/>
      <c r="AI2461" s="1063"/>
      <c r="AJ2461" s="1063"/>
      <c r="AK2461" s="1063"/>
      <c r="AL2461" s="1063"/>
      <c r="AM2461" s="1063"/>
      <c r="AN2461" s="1063"/>
      <c r="AO2461" s="1063"/>
      <c r="AP2461" s="1063"/>
      <c r="AQ2461" s="1063"/>
      <c r="AR2461" s="1063"/>
      <c r="AS2461" s="1063"/>
      <c r="AT2461" s="1063"/>
      <c r="AU2461" s="1063"/>
      <c r="AV2461" s="1063"/>
    </row>
    <row r="2462" spans="1:48" s="1108" customFormat="1" ht="27.75" customHeight="1">
      <c r="A2462" s="1076"/>
      <c r="B2462" s="1074">
        <f>+'[18]Bldg+Dev'!S3274</f>
        <v>0</v>
      </c>
      <c r="D2462" s="1063"/>
      <c r="F2462" s="1076"/>
      <c r="G2462" s="1063"/>
      <c r="H2462" s="1063"/>
      <c r="I2462" s="1063"/>
      <c r="J2462" s="1063"/>
      <c r="K2462" s="1063"/>
      <c r="L2462" s="1063"/>
      <c r="M2462" s="1063"/>
      <c r="N2462" s="1063"/>
      <c r="O2462" s="1063"/>
      <c r="P2462" s="1063"/>
      <c r="Q2462" s="1063"/>
      <c r="R2462" s="1063"/>
      <c r="S2462" s="1063"/>
      <c r="T2462" s="1063"/>
      <c r="U2462" s="1063"/>
      <c r="V2462" s="1063"/>
      <c r="W2462" s="1063"/>
      <c r="X2462" s="1063"/>
      <c r="Y2462" s="1063"/>
      <c r="Z2462" s="1063"/>
      <c r="AA2462" s="1063"/>
      <c r="AB2462" s="1063"/>
      <c r="AC2462" s="1063"/>
      <c r="AD2462" s="1063"/>
      <c r="AE2462" s="1063"/>
      <c r="AF2462" s="1063"/>
      <c r="AG2462" s="1063"/>
      <c r="AH2462" s="1063"/>
      <c r="AI2462" s="1063"/>
      <c r="AJ2462" s="1063"/>
      <c r="AK2462" s="1063"/>
      <c r="AL2462" s="1063"/>
      <c r="AM2462" s="1063"/>
      <c r="AN2462" s="1063"/>
      <c r="AO2462" s="1063"/>
      <c r="AP2462" s="1063"/>
      <c r="AQ2462" s="1063"/>
      <c r="AR2462" s="1063"/>
      <c r="AS2462" s="1063"/>
      <c r="AT2462" s="1063"/>
      <c r="AU2462" s="1063"/>
      <c r="AV2462" s="1063"/>
    </row>
    <row r="2463" spans="1:48" s="1108" customFormat="1" ht="27.75" customHeight="1">
      <c r="A2463" s="1076"/>
      <c r="B2463" s="1074">
        <f>+'[18]Bldg+Dev'!S3275</f>
        <v>0</v>
      </c>
      <c r="D2463" s="1063"/>
      <c r="F2463" s="1076"/>
      <c r="G2463" s="1063"/>
      <c r="H2463" s="1063"/>
      <c r="I2463" s="1063"/>
      <c r="J2463" s="1063"/>
      <c r="K2463" s="1063"/>
      <c r="L2463" s="1063"/>
      <c r="M2463" s="1063"/>
      <c r="N2463" s="1063"/>
      <c r="O2463" s="1063"/>
      <c r="P2463" s="1063"/>
      <c r="Q2463" s="1063"/>
      <c r="R2463" s="1063"/>
      <c r="S2463" s="1063"/>
      <c r="T2463" s="1063"/>
      <c r="U2463" s="1063"/>
      <c r="V2463" s="1063"/>
      <c r="W2463" s="1063"/>
      <c r="X2463" s="1063"/>
      <c r="Y2463" s="1063"/>
      <c r="Z2463" s="1063"/>
      <c r="AA2463" s="1063"/>
      <c r="AB2463" s="1063"/>
      <c r="AC2463" s="1063"/>
      <c r="AD2463" s="1063"/>
      <c r="AE2463" s="1063"/>
      <c r="AF2463" s="1063"/>
      <c r="AG2463" s="1063"/>
      <c r="AH2463" s="1063"/>
      <c r="AI2463" s="1063"/>
      <c r="AJ2463" s="1063"/>
      <c r="AK2463" s="1063"/>
      <c r="AL2463" s="1063"/>
      <c r="AM2463" s="1063"/>
      <c r="AN2463" s="1063"/>
      <c r="AO2463" s="1063"/>
      <c r="AP2463" s="1063"/>
      <c r="AQ2463" s="1063"/>
      <c r="AR2463" s="1063"/>
      <c r="AS2463" s="1063"/>
      <c r="AT2463" s="1063"/>
      <c r="AU2463" s="1063"/>
      <c r="AV2463" s="1063"/>
    </row>
    <row r="2464" spans="1:48" s="1108" customFormat="1" ht="27.75" customHeight="1">
      <c r="A2464" s="1076"/>
      <c r="B2464" s="1074">
        <f>+'[18]Bldg+Dev'!S3276</f>
        <v>0</v>
      </c>
      <c r="D2464" s="1063"/>
      <c r="F2464" s="1076"/>
      <c r="G2464" s="1063"/>
      <c r="H2464" s="1063"/>
      <c r="I2464" s="1063"/>
      <c r="J2464" s="1063"/>
      <c r="K2464" s="1063"/>
      <c r="L2464" s="1063"/>
      <c r="M2464" s="1063"/>
      <c r="N2464" s="1063"/>
      <c r="O2464" s="1063"/>
      <c r="P2464" s="1063"/>
      <c r="Q2464" s="1063"/>
      <c r="R2464" s="1063"/>
      <c r="S2464" s="1063"/>
      <c r="T2464" s="1063"/>
      <c r="U2464" s="1063"/>
      <c r="V2464" s="1063"/>
      <c r="W2464" s="1063"/>
      <c r="X2464" s="1063"/>
      <c r="Y2464" s="1063"/>
      <c r="Z2464" s="1063"/>
      <c r="AA2464" s="1063"/>
      <c r="AB2464" s="1063"/>
      <c r="AC2464" s="1063"/>
      <c r="AD2464" s="1063"/>
      <c r="AE2464" s="1063"/>
      <c r="AF2464" s="1063"/>
      <c r="AG2464" s="1063"/>
      <c r="AH2464" s="1063"/>
      <c r="AI2464" s="1063"/>
      <c r="AJ2464" s="1063"/>
      <c r="AK2464" s="1063"/>
      <c r="AL2464" s="1063"/>
      <c r="AM2464" s="1063"/>
      <c r="AN2464" s="1063"/>
      <c r="AO2464" s="1063"/>
      <c r="AP2464" s="1063"/>
      <c r="AQ2464" s="1063"/>
      <c r="AR2464" s="1063"/>
      <c r="AS2464" s="1063"/>
      <c r="AT2464" s="1063"/>
      <c r="AU2464" s="1063"/>
      <c r="AV2464" s="1063"/>
    </row>
    <row r="2465" spans="1:48" s="1108" customFormat="1" ht="27.75" customHeight="1">
      <c r="A2465" s="1076"/>
      <c r="B2465" s="1074">
        <f>+'[18]Bldg+Dev'!S3277</f>
        <v>0</v>
      </c>
      <c r="D2465" s="1063"/>
      <c r="F2465" s="1076"/>
      <c r="G2465" s="1063"/>
      <c r="H2465" s="1063"/>
      <c r="I2465" s="1063"/>
      <c r="J2465" s="1063"/>
      <c r="K2465" s="1063"/>
      <c r="L2465" s="1063"/>
      <c r="M2465" s="1063"/>
      <c r="N2465" s="1063"/>
      <c r="O2465" s="1063"/>
      <c r="P2465" s="1063"/>
      <c r="Q2465" s="1063"/>
      <c r="R2465" s="1063"/>
      <c r="S2465" s="1063"/>
      <c r="T2465" s="1063"/>
      <c r="U2465" s="1063"/>
      <c r="V2465" s="1063"/>
      <c r="W2465" s="1063"/>
      <c r="X2465" s="1063"/>
      <c r="Y2465" s="1063"/>
      <c r="Z2465" s="1063"/>
      <c r="AA2465" s="1063"/>
      <c r="AB2465" s="1063"/>
      <c r="AC2465" s="1063"/>
      <c r="AD2465" s="1063"/>
      <c r="AE2465" s="1063"/>
      <c r="AF2465" s="1063"/>
      <c r="AG2465" s="1063"/>
      <c r="AH2465" s="1063"/>
      <c r="AI2465" s="1063"/>
      <c r="AJ2465" s="1063"/>
      <c r="AK2465" s="1063"/>
      <c r="AL2465" s="1063"/>
      <c r="AM2465" s="1063"/>
      <c r="AN2465" s="1063"/>
      <c r="AO2465" s="1063"/>
      <c r="AP2465" s="1063"/>
      <c r="AQ2465" s="1063"/>
      <c r="AR2465" s="1063"/>
      <c r="AS2465" s="1063"/>
      <c r="AT2465" s="1063"/>
      <c r="AU2465" s="1063"/>
      <c r="AV2465" s="1063"/>
    </row>
    <row r="2466" spans="1:48" s="1108" customFormat="1" ht="27.75" customHeight="1">
      <c r="A2466" s="1076"/>
      <c r="B2466" s="1074">
        <f>+'[18]Bldg+Dev'!S3278</f>
        <v>0</v>
      </c>
      <c r="D2466" s="1063"/>
      <c r="F2466" s="1076"/>
      <c r="G2466" s="1063"/>
      <c r="H2466" s="1063"/>
      <c r="I2466" s="1063"/>
      <c r="J2466" s="1063"/>
      <c r="K2466" s="1063"/>
      <c r="L2466" s="1063"/>
      <c r="M2466" s="1063"/>
      <c r="N2466" s="1063"/>
      <c r="O2466" s="1063"/>
      <c r="P2466" s="1063"/>
      <c r="Q2466" s="1063"/>
      <c r="R2466" s="1063"/>
      <c r="S2466" s="1063"/>
      <c r="T2466" s="1063"/>
      <c r="U2466" s="1063"/>
      <c r="V2466" s="1063"/>
      <c r="W2466" s="1063"/>
      <c r="X2466" s="1063"/>
      <c r="Y2466" s="1063"/>
      <c r="Z2466" s="1063"/>
      <c r="AA2466" s="1063"/>
      <c r="AB2466" s="1063"/>
      <c r="AC2466" s="1063"/>
      <c r="AD2466" s="1063"/>
      <c r="AE2466" s="1063"/>
      <c r="AF2466" s="1063"/>
      <c r="AG2466" s="1063"/>
      <c r="AH2466" s="1063"/>
      <c r="AI2466" s="1063"/>
      <c r="AJ2466" s="1063"/>
      <c r="AK2466" s="1063"/>
      <c r="AL2466" s="1063"/>
      <c r="AM2466" s="1063"/>
      <c r="AN2466" s="1063"/>
      <c r="AO2466" s="1063"/>
      <c r="AP2466" s="1063"/>
      <c r="AQ2466" s="1063"/>
      <c r="AR2466" s="1063"/>
      <c r="AS2466" s="1063"/>
      <c r="AT2466" s="1063"/>
      <c r="AU2466" s="1063"/>
      <c r="AV2466" s="1063"/>
    </row>
    <row r="2467" spans="1:48" s="1108" customFormat="1" ht="27.75" customHeight="1">
      <c r="A2467" s="1076"/>
      <c r="B2467" s="1074">
        <f>+'[18]Bldg+Dev'!S3279</f>
        <v>0</v>
      </c>
      <c r="D2467" s="1063"/>
      <c r="F2467" s="1076"/>
      <c r="G2467" s="1063"/>
      <c r="H2467" s="1063"/>
      <c r="I2467" s="1063"/>
      <c r="J2467" s="1063"/>
      <c r="K2467" s="1063"/>
      <c r="L2467" s="1063"/>
      <c r="M2467" s="1063"/>
      <c r="N2467" s="1063"/>
      <c r="O2467" s="1063"/>
      <c r="P2467" s="1063"/>
      <c r="Q2467" s="1063"/>
      <c r="R2467" s="1063"/>
      <c r="S2467" s="1063"/>
      <c r="T2467" s="1063"/>
      <c r="U2467" s="1063"/>
      <c r="V2467" s="1063"/>
      <c r="W2467" s="1063"/>
      <c r="X2467" s="1063"/>
      <c r="Y2467" s="1063"/>
      <c r="Z2467" s="1063"/>
      <c r="AA2467" s="1063"/>
      <c r="AB2467" s="1063"/>
      <c r="AC2467" s="1063"/>
      <c r="AD2467" s="1063"/>
      <c r="AE2467" s="1063"/>
      <c r="AF2467" s="1063"/>
      <c r="AG2467" s="1063"/>
      <c r="AH2467" s="1063"/>
      <c r="AI2467" s="1063"/>
      <c r="AJ2467" s="1063"/>
      <c r="AK2467" s="1063"/>
      <c r="AL2467" s="1063"/>
      <c r="AM2467" s="1063"/>
      <c r="AN2467" s="1063"/>
      <c r="AO2467" s="1063"/>
      <c r="AP2467" s="1063"/>
      <c r="AQ2467" s="1063"/>
      <c r="AR2467" s="1063"/>
      <c r="AS2467" s="1063"/>
      <c r="AT2467" s="1063"/>
      <c r="AU2467" s="1063"/>
      <c r="AV2467" s="1063"/>
    </row>
    <row r="2468" spans="1:48" s="1108" customFormat="1" ht="27.75" customHeight="1">
      <c r="A2468" s="1076"/>
      <c r="B2468" s="1074">
        <f>+'[18]Bldg+Dev'!S3280</f>
        <v>0</v>
      </c>
      <c r="D2468" s="1063"/>
      <c r="F2468" s="1076"/>
      <c r="G2468" s="1063"/>
      <c r="H2468" s="1063"/>
      <c r="I2468" s="1063"/>
      <c r="J2468" s="1063"/>
      <c r="K2468" s="1063"/>
      <c r="L2468" s="1063"/>
      <c r="M2468" s="1063"/>
      <c r="N2468" s="1063"/>
      <c r="O2468" s="1063"/>
      <c r="P2468" s="1063"/>
      <c r="Q2468" s="1063"/>
      <c r="R2468" s="1063"/>
      <c r="S2468" s="1063"/>
      <c r="T2468" s="1063"/>
      <c r="U2468" s="1063"/>
      <c r="V2468" s="1063"/>
      <c r="W2468" s="1063"/>
      <c r="X2468" s="1063"/>
      <c r="Y2468" s="1063"/>
      <c r="Z2468" s="1063"/>
      <c r="AA2468" s="1063"/>
      <c r="AB2468" s="1063"/>
      <c r="AC2468" s="1063"/>
      <c r="AD2468" s="1063"/>
      <c r="AE2468" s="1063"/>
      <c r="AF2468" s="1063"/>
      <c r="AG2468" s="1063"/>
      <c r="AH2468" s="1063"/>
      <c r="AI2468" s="1063"/>
      <c r="AJ2468" s="1063"/>
      <c r="AK2468" s="1063"/>
      <c r="AL2468" s="1063"/>
      <c r="AM2468" s="1063"/>
      <c r="AN2468" s="1063"/>
      <c r="AO2468" s="1063"/>
      <c r="AP2468" s="1063"/>
      <c r="AQ2468" s="1063"/>
      <c r="AR2468" s="1063"/>
      <c r="AS2468" s="1063"/>
      <c r="AT2468" s="1063"/>
      <c r="AU2468" s="1063"/>
      <c r="AV2468" s="1063"/>
    </row>
    <row r="2469" spans="1:48" s="1108" customFormat="1" ht="27.75" customHeight="1">
      <c r="A2469" s="1076"/>
      <c r="B2469" s="1074">
        <f>+'[18]Bldg+Dev'!S3281</f>
        <v>0</v>
      </c>
      <c r="D2469" s="1063"/>
      <c r="F2469" s="1076"/>
      <c r="G2469" s="1063"/>
      <c r="H2469" s="1063"/>
      <c r="I2469" s="1063"/>
      <c r="J2469" s="1063"/>
      <c r="K2469" s="1063"/>
      <c r="L2469" s="1063"/>
      <c r="M2469" s="1063"/>
      <c r="N2469" s="1063"/>
      <c r="O2469" s="1063"/>
      <c r="P2469" s="1063"/>
      <c r="Q2469" s="1063"/>
      <c r="R2469" s="1063"/>
      <c r="S2469" s="1063"/>
      <c r="T2469" s="1063"/>
      <c r="U2469" s="1063"/>
      <c r="V2469" s="1063"/>
      <c r="W2469" s="1063"/>
      <c r="X2469" s="1063"/>
      <c r="Y2469" s="1063"/>
      <c r="Z2469" s="1063"/>
      <c r="AA2469" s="1063"/>
      <c r="AB2469" s="1063"/>
      <c r="AC2469" s="1063"/>
      <c r="AD2469" s="1063"/>
      <c r="AE2469" s="1063"/>
      <c r="AF2469" s="1063"/>
      <c r="AG2469" s="1063"/>
      <c r="AH2469" s="1063"/>
      <c r="AI2469" s="1063"/>
      <c r="AJ2469" s="1063"/>
      <c r="AK2469" s="1063"/>
      <c r="AL2469" s="1063"/>
      <c r="AM2469" s="1063"/>
      <c r="AN2469" s="1063"/>
      <c r="AO2469" s="1063"/>
      <c r="AP2469" s="1063"/>
      <c r="AQ2469" s="1063"/>
      <c r="AR2469" s="1063"/>
      <c r="AS2469" s="1063"/>
      <c r="AT2469" s="1063"/>
      <c r="AU2469" s="1063"/>
      <c r="AV2469" s="1063"/>
    </row>
    <row r="2470" spans="1:48" s="1108" customFormat="1" ht="27.75" customHeight="1">
      <c r="A2470" s="1076"/>
      <c r="B2470" s="1074">
        <f>+'[18]Bldg+Dev'!S3282</f>
        <v>0</v>
      </c>
      <c r="D2470" s="1063"/>
      <c r="F2470" s="1076"/>
      <c r="G2470" s="1063"/>
      <c r="H2470" s="1063"/>
      <c r="I2470" s="1063"/>
      <c r="J2470" s="1063"/>
      <c r="K2470" s="1063"/>
      <c r="L2470" s="1063"/>
      <c r="M2470" s="1063"/>
      <c r="N2470" s="1063"/>
      <c r="O2470" s="1063"/>
      <c r="P2470" s="1063"/>
      <c r="Q2470" s="1063"/>
      <c r="R2470" s="1063"/>
      <c r="S2470" s="1063"/>
      <c r="T2470" s="1063"/>
      <c r="U2470" s="1063"/>
      <c r="V2470" s="1063"/>
      <c r="W2470" s="1063"/>
      <c r="X2470" s="1063"/>
      <c r="Y2470" s="1063"/>
      <c r="Z2470" s="1063"/>
      <c r="AA2470" s="1063"/>
      <c r="AB2470" s="1063"/>
      <c r="AC2470" s="1063"/>
      <c r="AD2470" s="1063"/>
      <c r="AE2470" s="1063"/>
      <c r="AF2470" s="1063"/>
      <c r="AG2470" s="1063"/>
      <c r="AH2470" s="1063"/>
      <c r="AI2470" s="1063"/>
      <c r="AJ2470" s="1063"/>
      <c r="AK2470" s="1063"/>
      <c r="AL2470" s="1063"/>
      <c r="AM2470" s="1063"/>
      <c r="AN2470" s="1063"/>
      <c r="AO2470" s="1063"/>
      <c r="AP2470" s="1063"/>
      <c r="AQ2470" s="1063"/>
      <c r="AR2470" s="1063"/>
      <c r="AS2470" s="1063"/>
      <c r="AT2470" s="1063"/>
      <c r="AU2470" s="1063"/>
      <c r="AV2470" s="1063"/>
    </row>
    <row r="2471" spans="1:48" s="1108" customFormat="1" ht="27.75" customHeight="1">
      <c r="A2471" s="1076"/>
      <c r="B2471" s="1074">
        <f>+'[18]Bldg+Dev'!S3283</f>
        <v>0</v>
      </c>
      <c r="D2471" s="1063"/>
      <c r="F2471" s="1076"/>
      <c r="G2471" s="1063"/>
      <c r="H2471" s="1063"/>
      <c r="I2471" s="1063"/>
      <c r="J2471" s="1063"/>
      <c r="K2471" s="1063"/>
      <c r="L2471" s="1063"/>
      <c r="M2471" s="1063"/>
      <c r="N2471" s="1063"/>
      <c r="O2471" s="1063"/>
      <c r="P2471" s="1063"/>
      <c r="Q2471" s="1063"/>
      <c r="R2471" s="1063"/>
      <c r="S2471" s="1063"/>
      <c r="T2471" s="1063"/>
      <c r="U2471" s="1063"/>
      <c r="V2471" s="1063"/>
      <c r="W2471" s="1063"/>
      <c r="X2471" s="1063"/>
      <c r="Y2471" s="1063"/>
      <c r="Z2471" s="1063"/>
      <c r="AA2471" s="1063"/>
      <c r="AB2471" s="1063"/>
      <c r="AC2471" s="1063"/>
      <c r="AD2471" s="1063"/>
      <c r="AE2471" s="1063"/>
      <c r="AF2471" s="1063"/>
      <c r="AG2471" s="1063"/>
      <c r="AH2471" s="1063"/>
      <c r="AI2471" s="1063"/>
      <c r="AJ2471" s="1063"/>
      <c r="AK2471" s="1063"/>
      <c r="AL2471" s="1063"/>
      <c r="AM2471" s="1063"/>
      <c r="AN2471" s="1063"/>
      <c r="AO2471" s="1063"/>
      <c r="AP2471" s="1063"/>
      <c r="AQ2471" s="1063"/>
      <c r="AR2471" s="1063"/>
      <c r="AS2471" s="1063"/>
      <c r="AT2471" s="1063"/>
      <c r="AU2471" s="1063"/>
      <c r="AV2471" s="1063"/>
    </row>
    <row r="2472" spans="1:48" s="1108" customFormat="1" ht="27.75" customHeight="1">
      <c r="A2472" s="1076"/>
      <c r="B2472" s="1074">
        <f>+'[18]Bldg+Dev'!S3284</f>
        <v>0</v>
      </c>
      <c r="D2472" s="1063"/>
      <c r="F2472" s="1076"/>
      <c r="G2472" s="1063"/>
      <c r="H2472" s="1063"/>
      <c r="I2472" s="1063"/>
      <c r="J2472" s="1063"/>
      <c r="K2472" s="1063"/>
      <c r="L2472" s="1063"/>
      <c r="M2472" s="1063"/>
      <c r="N2472" s="1063"/>
      <c r="O2472" s="1063"/>
      <c r="P2472" s="1063"/>
      <c r="Q2472" s="1063"/>
      <c r="R2472" s="1063"/>
      <c r="S2472" s="1063"/>
      <c r="T2472" s="1063"/>
      <c r="U2472" s="1063"/>
      <c r="V2472" s="1063"/>
      <c r="W2472" s="1063"/>
      <c r="X2472" s="1063"/>
      <c r="Y2472" s="1063"/>
      <c r="Z2472" s="1063"/>
      <c r="AA2472" s="1063"/>
      <c r="AB2472" s="1063"/>
      <c r="AC2472" s="1063"/>
      <c r="AD2472" s="1063"/>
      <c r="AE2472" s="1063"/>
      <c r="AF2472" s="1063"/>
      <c r="AG2472" s="1063"/>
      <c r="AH2472" s="1063"/>
      <c r="AI2472" s="1063"/>
      <c r="AJ2472" s="1063"/>
      <c r="AK2472" s="1063"/>
      <c r="AL2472" s="1063"/>
      <c r="AM2472" s="1063"/>
      <c r="AN2472" s="1063"/>
      <c r="AO2472" s="1063"/>
      <c r="AP2472" s="1063"/>
      <c r="AQ2472" s="1063"/>
      <c r="AR2472" s="1063"/>
      <c r="AS2472" s="1063"/>
      <c r="AT2472" s="1063"/>
      <c r="AU2472" s="1063"/>
      <c r="AV2472" s="1063"/>
    </row>
    <row r="2473" spans="1:48" s="1108" customFormat="1" ht="27.75" customHeight="1">
      <c r="A2473" s="1076"/>
      <c r="B2473" s="1074">
        <f>+'[18]Bldg+Dev'!S3285</f>
        <v>0</v>
      </c>
      <c r="D2473" s="1063"/>
      <c r="F2473" s="1076"/>
      <c r="G2473" s="1063"/>
      <c r="H2473" s="1063"/>
      <c r="I2473" s="1063"/>
      <c r="J2473" s="1063"/>
      <c r="K2473" s="1063"/>
      <c r="L2473" s="1063"/>
      <c r="M2473" s="1063"/>
      <c r="N2473" s="1063"/>
      <c r="O2473" s="1063"/>
      <c r="P2473" s="1063"/>
      <c r="Q2473" s="1063"/>
      <c r="R2473" s="1063"/>
      <c r="S2473" s="1063"/>
      <c r="T2473" s="1063"/>
      <c r="U2473" s="1063"/>
      <c r="V2473" s="1063"/>
      <c r="W2473" s="1063"/>
      <c r="X2473" s="1063"/>
      <c r="Y2473" s="1063"/>
      <c r="Z2473" s="1063"/>
      <c r="AA2473" s="1063"/>
      <c r="AB2473" s="1063"/>
      <c r="AC2473" s="1063"/>
      <c r="AD2473" s="1063"/>
      <c r="AE2473" s="1063"/>
      <c r="AF2473" s="1063"/>
      <c r="AG2473" s="1063"/>
      <c r="AH2473" s="1063"/>
      <c r="AI2473" s="1063"/>
      <c r="AJ2473" s="1063"/>
      <c r="AK2473" s="1063"/>
      <c r="AL2473" s="1063"/>
      <c r="AM2473" s="1063"/>
      <c r="AN2473" s="1063"/>
      <c r="AO2473" s="1063"/>
      <c r="AP2473" s="1063"/>
      <c r="AQ2473" s="1063"/>
      <c r="AR2473" s="1063"/>
      <c r="AS2473" s="1063"/>
      <c r="AT2473" s="1063"/>
      <c r="AU2473" s="1063"/>
      <c r="AV2473" s="1063"/>
    </row>
    <row r="2474" spans="1:48" s="1108" customFormat="1" ht="27.75" customHeight="1">
      <c r="A2474" s="1076"/>
      <c r="B2474" s="1074">
        <f>+'[18]Bldg+Dev'!S3286</f>
        <v>0</v>
      </c>
      <c r="D2474" s="1063"/>
      <c r="F2474" s="1076"/>
      <c r="G2474" s="1063"/>
      <c r="H2474" s="1063"/>
      <c r="I2474" s="1063"/>
      <c r="J2474" s="1063"/>
      <c r="K2474" s="1063"/>
      <c r="L2474" s="1063"/>
      <c r="M2474" s="1063"/>
      <c r="N2474" s="1063"/>
      <c r="O2474" s="1063"/>
      <c r="P2474" s="1063"/>
      <c r="Q2474" s="1063"/>
      <c r="R2474" s="1063"/>
      <c r="S2474" s="1063"/>
      <c r="T2474" s="1063"/>
      <c r="U2474" s="1063"/>
      <c r="V2474" s="1063"/>
      <c r="W2474" s="1063"/>
      <c r="X2474" s="1063"/>
      <c r="Y2474" s="1063"/>
      <c r="Z2474" s="1063"/>
      <c r="AA2474" s="1063"/>
      <c r="AB2474" s="1063"/>
      <c r="AC2474" s="1063"/>
      <c r="AD2474" s="1063"/>
      <c r="AE2474" s="1063"/>
      <c r="AF2474" s="1063"/>
      <c r="AG2474" s="1063"/>
      <c r="AH2474" s="1063"/>
      <c r="AI2474" s="1063"/>
      <c r="AJ2474" s="1063"/>
      <c r="AK2474" s="1063"/>
      <c r="AL2474" s="1063"/>
      <c r="AM2474" s="1063"/>
      <c r="AN2474" s="1063"/>
      <c r="AO2474" s="1063"/>
      <c r="AP2474" s="1063"/>
      <c r="AQ2474" s="1063"/>
      <c r="AR2474" s="1063"/>
      <c r="AS2474" s="1063"/>
      <c r="AT2474" s="1063"/>
      <c r="AU2474" s="1063"/>
      <c r="AV2474" s="1063"/>
    </row>
    <row r="2475" spans="1:48" s="1108" customFormat="1" ht="27.75" customHeight="1">
      <c r="A2475" s="1076"/>
      <c r="B2475" s="1074">
        <f>+'[18]Bldg+Dev'!S3287</f>
        <v>0</v>
      </c>
      <c r="D2475" s="1063"/>
      <c r="F2475" s="1076"/>
      <c r="G2475" s="1063"/>
      <c r="H2475" s="1063"/>
      <c r="I2475" s="1063"/>
      <c r="J2475" s="1063"/>
      <c r="K2475" s="1063"/>
      <c r="L2475" s="1063"/>
      <c r="M2475" s="1063"/>
      <c r="N2475" s="1063"/>
      <c r="O2475" s="1063"/>
      <c r="P2475" s="1063"/>
      <c r="Q2475" s="1063"/>
      <c r="R2475" s="1063"/>
      <c r="S2475" s="1063"/>
      <c r="T2475" s="1063"/>
      <c r="U2475" s="1063"/>
      <c r="V2475" s="1063"/>
      <c r="W2475" s="1063"/>
      <c r="X2475" s="1063"/>
      <c r="Y2475" s="1063"/>
      <c r="Z2475" s="1063"/>
      <c r="AA2475" s="1063"/>
      <c r="AB2475" s="1063"/>
      <c r="AC2475" s="1063"/>
      <c r="AD2475" s="1063"/>
      <c r="AE2475" s="1063"/>
      <c r="AF2475" s="1063"/>
      <c r="AG2475" s="1063"/>
      <c r="AH2475" s="1063"/>
      <c r="AI2475" s="1063"/>
      <c r="AJ2475" s="1063"/>
      <c r="AK2475" s="1063"/>
      <c r="AL2475" s="1063"/>
      <c r="AM2475" s="1063"/>
      <c r="AN2475" s="1063"/>
      <c r="AO2475" s="1063"/>
      <c r="AP2475" s="1063"/>
      <c r="AQ2475" s="1063"/>
      <c r="AR2475" s="1063"/>
      <c r="AS2475" s="1063"/>
      <c r="AT2475" s="1063"/>
      <c r="AU2475" s="1063"/>
      <c r="AV2475" s="1063"/>
    </row>
    <row r="2476" spans="1:48" s="1108" customFormat="1" ht="27.75" customHeight="1">
      <c r="A2476" s="1076"/>
      <c r="B2476" s="1074">
        <f>+'[18]Bldg+Dev'!S3288</f>
        <v>0</v>
      </c>
      <c r="D2476" s="1063"/>
      <c r="F2476" s="1076"/>
      <c r="G2476" s="1063"/>
      <c r="H2476" s="1063"/>
      <c r="I2476" s="1063"/>
      <c r="J2476" s="1063"/>
      <c r="K2476" s="1063"/>
      <c r="L2476" s="1063"/>
      <c r="M2476" s="1063"/>
      <c r="N2476" s="1063"/>
      <c r="O2476" s="1063"/>
      <c r="P2476" s="1063"/>
      <c r="Q2476" s="1063"/>
      <c r="R2476" s="1063"/>
      <c r="S2476" s="1063"/>
      <c r="T2476" s="1063"/>
      <c r="U2476" s="1063"/>
      <c r="V2476" s="1063"/>
      <c r="W2476" s="1063"/>
      <c r="X2476" s="1063"/>
      <c r="Y2476" s="1063"/>
      <c r="Z2476" s="1063"/>
      <c r="AA2476" s="1063"/>
      <c r="AB2476" s="1063"/>
      <c r="AC2476" s="1063"/>
      <c r="AD2476" s="1063"/>
      <c r="AE2476" s="1063"/>
      <c r="AF2476" s="1063"/>
      <c r="AG2476" s="1063"/>
      <c r="AH2476" s="1063"/>
      <c r="AI2476" s="1063"/>
      <c r="AJ2476" s="1063"/>
      <c r="AK2476" s="1063"/>
      <c r="AL2476" s="1063"/>
      <c r="AM2476" s="1063"/>
      <c r="AN2476" s="1063"/>
      <c r="AO2476" s="1063"/>
      <c r="AP2476" s="1063"/>
      <c r="AQ2476" s="1063"/>
      <c r="AR2476" s="1063"/>
      <c r="AS2476" s="1063"/>
      <c r="AT2476" s="1063"/>
      <c r="AU2476" s="1063"/>
      <c r="AV2476" s="1063"/>
    </row>
    <row r="2477" spans="1:48" s="1108" customFormat="1" ht="27.75" customHeight="1">
      <c r="A2477" s="1076"/>
      <c r="B2477" s="1074">
        <f>+'[18]Bldg+Dev'!S3289</f>
        <v>0</v>
      </c>
      <c r="D2477" s="1063"/>
      <c r="F2477" s="1076"/>
      <c r="G2477" s="1063"/>
      <c r="H2477" s="1063"/>
      <c r="I2477" s="1063"/>
      <c r="J2477" s="1063"/>
      <c r="K2477" s="1063"/>
      <c r="L2477" s="1063"/>
      <c r="M2477" s="1063"/>
      <c r="N2477" s="1063"/>
      <c r="O2477" s="1063"/>
      <c r="P2477" s="1063"/>
      <c r="Q2477" s="1063"/>
      <c r="R2477" s="1063"/>
      <c r="S2477" s="1063"/>
      <c r="T2477" s="1063"/>
      <c r="U2477" s="1063"/>
      <c r="V2477" s="1063"/>
      <c r="W2477" s="1063"/>
      <c r="X2477" s="1063"/>
      <c r="Y2477" s="1063"/>
      <c r="Z2477" s="1063"/>
      <c r="AA2477" s="1063"/>
      <c r="AB2477" s="1063"/>
      <c r="AC2477" s="1063"/>
      <c r="AD2477" s="1063"/>
      <c r="AE2477" s="1063"/>
      <c r="AF2477" s="1063"/>
      <c r="AG2477" s="1063"/>
      <c r="AH2477" s="1063"/>
      <c r="AI2477" s="1063"/>
      <c r="AJ2477" s="1063"/>
      <c r="AK2477" s="1063"/>
      <c r="AL2477" s="1063"/>
      <c r="AM2477" s="1063"/>
      <c r="AN2477" s="1063"/>
      <c r="AO2477" s="1063"/>
      <c r="AP2477" s="1063"/>
      <c r="AQ2477" s="1063"/>
      <c r="AR2477" s="1063"/>
      <c r="AS2477" s="1063"/>
      <c r="AT2477" s="1063"/>
      <c r="AU2477" s="1063"/>
      <c r="AV2477" s="1063"/>
    </row>
    <row r="2478" spans="1:48" s="1108" customFormat="1" ht="27.75" customHeight="1">
      <c r="A2478" s="1076"/>
      <c r="B2478" s="1074">
        <f>+'[18]Bldg+Dev'!S3290</f>
        <v>0</v>
      </c>
      <c r="D2478" s="1063"/>
      <c r="F2478" s="1076"/>
      <c r="G2478" s="1063"/>
      <c r="H2478" s="1063"/>
      <c r="I2478" s="1063"/>
      <c r="J2478" s="1063"/>
      <c r="K2478" s="1063"/>
      <c r="L2478" s="1063"/>
      <c r="M2478" s="1063"/>
      <c r="N2478" s="1063"/>
      <c r="O2478" s="1063"/>
      <c r="P2478" s="1063"/>
      <c r="Q2478" s="1063"/>
      <c r="R2478" s="1063"/>
      <c r="S2478" s="1063"/>
      <c r="T2478" s="1063"/>
      <c r="U2478" s="1063"/>
      <c r="V2478" s="1063"/>
      <c r="W2478" s="1063"/>
      <c r="X2478" s="1063"/>
      <c r="Y2478" s="1063"/>
      <c r="Z2478" s="1063"/>
      <c r="AA2478" s="1063"/>
      <c r="AB2478" s="1063"/>
      <c r="AC2478" s="1063"/>
      <c r="AD2478" s="1063"/>
      <c r="AE2478" s="1063"/>
      <c r="AF2478" s="1063"/>
      <c r="AG2478" s="1063"/>
      <c r="AH2478" s="1063"/>
      <c r="AI2478" s="1063"/>
      <c r="AJ2478" s="1063"/>
      <c r="AK2478" s="1063"/>
      <c r="AL2478" s="1063"/>
      <c r="AM2478" s="1063"/>
      <c r="AN2478" s="1063"/>
      <c r="AO2478" s="1063"/>
      <c r="AP2478" s="1063"/>
      <c r="AQ2478" s="1063"/>
      <c r="AR2478" s="1063"/>
      <c r="AS2478" s="1063"/>
      <c r="AT2478" s="1063"/>
      <c r="AU2478" s="1063"/>
      <c r="AV2478" s="1063"/>
    </row>
    <row r="2479" spans="1:48" s="1108" customFormat="1" ht="27.75" customHeight="1">
      <c r="A2479" s="1076"/>
      <c r="B2479" s="1074">
        <f>+'[18]Bldg+Dev'!S3291</f>
        <v>0</v>
      </c>
      <c r="D2479" s="1063"/>
      <c r="F2479" s="1076"/>
      <c r="G2479" s="1063"/>
      <c r="H2479" s="1063"/>
      <c r="I2479" s="1063"/>
      <c r="J2479" s="1063"/>
      <c r="K2479" s="1063"/>
      <c r="L2479" s="1063"/>
      <c r="M2479" s="1063"/>
      <c r="N2479" s="1063"/>
      <c r="O2479" s="1063"/>
      <c r="P2479" s="1063"/>
      <c r="Q2479" s="1063"/>
      <c r="R2479" s="1063"/>
      <c r="S2479" s="1063"/>
      <c r="T2479" s="1063"/>
      <c r="U2479" s="1063"/>
      <c r="V2479" s="1063"/>
      <c r="W2479" s="1063"/>
      <c r="X2479" s="1063"/>
      <c r="Y2479" s="1063"/>
      <c r="Z2479" s="1063"/>
      <c r="AA2479" s="1063"/>
      <c r="AB2479" s="1063"/>
      <c r="AC2479" s="1063"/>
      <c r="AD2479" s="1063"/>
      <c r="AE2479" s="1063"/>
      <c r="AF2479" s="1063"/>
      <c r="AG2479" s="1063"/>
      <c r="AH2479" s="1063"/>
      <c r="AI2479" s="1063"/>
      <c r="AJ2479" s="1063"/>
      <c r="AK2479" s="1063"/>
      <c r="AL2479" s="1063"/>
      <c r="AM2479" s="1063"/>
      <c r="AN2479" s="1063"/>
      <c r="AO2479" s="1063"/>
      <c r="AP2479" s="1063"/>
      <c r="AQ2479" s="1063"/>
      <c r="AR2479" s="1063"/>
      <c r="AS2479" s="1063"/>
      <c r="AT2479" s="1063"/>
      <c r="AU2479" s="1063"/>
      <c r="AV2479" s="1063"/>
    </row>
    <row r="2480" spans="1:48" s="1108" customFormat="1" ht="27.75" customHeight="1">
      <c r="A2480" s="1076"/>
      <c r="B2480" s="1074">
        <f>+'[18]Bldg+Dev'!S3292</f>
        <v>0</v>
      </c>
      <c r="D2480" s="1063"/>
      <c r="F2480" s="1076"/>
      <c r="G2480" s="1063"/>
      <c r="H2480" s="1063"/>
      <c r="I2480" s="1063"/>
      <c r="J2480" s="1063"/>
      <c r="K2480" s="1063"/>
      <c r="L2480" s="1063"/>
      <c r="M2480" s="1063"/>
      <c r="N2480" s="1063"/>
      <c r="O2480" s="1063"/>
      <c r="P2480" s="1063"/>
      <c r="Q2480" s="1063"/>
      <c r="R2480" s="1063"/>
      <c r="S2480" s="1063"/>
      <c r="T2480" s="1063"/>
      <c r="U2480" s="1063"/>
      <c r="V2480" s="1063"/>
      <c r="W2480" s="1063"/>
      <c r="X2480" s="1063"/>
      <c r="Y2480" s="1063"/>
      <c r="Z2480" s="1063"/>
      <c r="AA2480" s="1063"/>
      <c r="AB2480" s="1063"/>
      <c r="AC2480" s="1063"/>
      <c r="AD2480" s="1063"/>
      <c r="AE2480" s="1063"/>
      <c r="AF2480" s="1063"/>
      <c r="AG2480" s="1063"/>
      <c r="AH2480" s="1063"/>
      <c r="AI2480" s="1063"/>
      <c r="AJ2480" s="1063"/>
      <c r="AK2480" s="1063"/>
      <c r="AL2480" s="1063"/>
      <c r="AM2480" s="1063"/>
      <c r="AN2480" s="1063"/>
      <c r="AO2480" s="1063"/>
      <c r="AP2480" s="1063"/>
      <c r="AQ2480" s="1063"/>
      <c r="AR2480" s="1063"/>
      <c r="AS2480" s="1063"/>
      <c r="AT2480" s="1063"/>
      <c r="AU2480" s="1063"/>
      <c r="AV2480" s="1063"/>
    </row>
    <row r="2481" spans="1:48" s="1108" customFormat="1" ht="27.75" customHeight="1">
      <c r="A2481" s="1076"/>
      <c r="B2481" s="1074">
        <f>+'[18]Bldg+Dev'!S3293</f>
        <v>0</v>
      </c>
      <c r="D2481" s="1063"/>
      <c r="F2481" s="1076"/>
      <c r="G2481" s="1063"/>
      <c r="H2481" s="1063"/>
      <c r="I2481" s="1063"/>
      <c r="J2481" s="1063"/>
      <c r="K2481" s="1063"/>
      <c r="L2481" s="1063"/>
      <c r="M2481" s="1063"/>
      <c r="N2481" s="1063"/>
      <c r="O2481" s="1063"/>
      <c r="P2481" s="1063"/>
      <c r="Q2481" s="1063"/>
      <c r="R2481" s="1063"/>
      <c r="S2481" s="1063"/>
      <c r="T2481" s="1063"/>
      <c r="U2481" s="1063"/>
      <c r="V2481" s="1063"/>
      <c r="W2481" s="1063"/>
      <c r="X2481" s="1063"/>
      <c r="Y2481" s="1063"/>
      <c r="Z2481" s="1063"/>
      <c r="AA2481" s="1063"/>
      <c r="AB2481" s="1063"/>
      <c r="AC2481" s="1063"/>
      <c r="AD2481" s="1063"/>
      <c r="AE2481" s="1063"/>
      <c r="AF2481" s="1063"/>
      <c r="AG2481" s="1063"/>
      <c r="AH2481" s="1063"/>
      <c r="AI2481" s="1063"/>
      <c r="AJ2481" s="1063"/>
      <c r="AK2481" s="1063"/>
      <c r="AL2481" s="1063"/>
      <c r="AM2481" s="1063"/>
      <c r="AN2481" s="1063"/>
      <c r="AO2481" s="1063"/>
      <c r="AP2481" s="1063"/>
      <c r="AQ2481" s="1063"/>
      <c r="AR2481" s="1063"/>
      <c r="AS2481" s="1063"/>
      <c r="AT2481" s="1063"/>
      <c r="AU2481" s="1063"/>
      <c r="AV2481" s="1063"/>
    </row>
    <row r="2482" spans="1:48" s="1108" customFormat="1" ht="27.75" customHeight="1">
      <c r="A2482" s="1076"/>
      <c r="B2482" s="1074">
        <f>+'[18]Bldg+Dev'!S3294</f>
        <v>0</v>
      </c>
      <c r="D2482" s="1063"/>
      <c r="F2482" s="1076"/>
      <c r="G2482" s="1063"/>
      <c r="H2482" s="1063"/>
      <c r="I2482" s="1063"/>
      <c r="J2482" s="1063"/>
      <c r="K2482" s="1063"/>
      <c r="L2482" s="1063"/>
      <c r="M2482" s="1063"/>
      <c r="N2482" s="1063"/>
      <c r="O2482" s="1063"/>
      <c r="P2482" s="1063"/>
      <c r="Q2482" s="1063"/>
      <c r="R2482" s="1063"/>
      <c r="S2482" s="1063"/>
      <c r="T2482" s="1063"/>
      <c r="U2482" s="1063"/>
      <c r="V2482" s="1063"/>
      <c r="W2482" s="1063"/>
      <c r="X2482" s="1063"/>
      <c r="Y2482" s="1063"/>
      <c r="Z2482" s="1063"/>
      <c r="AA2482" s="1063"/>
      <c r="AB2482" s="1063"/>
      <c r="AC2482" s="1063"/>
      <c r="AD2482" s="1063"/>
      <c r="AE2482" s="1063"/>
      <c r="AF2482" s="1063"/>
      <c r="AG2482" s="1063"/>
      <c r="AH2482" s="1063"/>
      <c r="AI2482" s="1063"/>
      <c r="AJ2482" s="1063"/>
      <c r="AK2482" s="1063"/>
      <c r="AL2482" s="1063"/>
      <c r="AM2482" s="1063"/>
      <c r="AN2482" s="1063"/>
      <c r="AO2482" s="1063"/>
      <c r="AP2482" s="1063"/>
      <c r="AQ2482" s="1063"/>
      <c r="AR2482" s="1063"/>
      <c r="AS2482" s="1063"/>
      <c r="AT2482" s="1063"/>
      <c r="AU2482" s="1063"/>
      <c r="AV2482" s="1063"/>
    </row>
    <row r="2483" spans="1:48" s="1108" customFormat="1" ht="27.75" customHeight="1">
      <c r="A2483" s="1076"/>
      <c r="B2483" s="1074">
        <f>+'[18]Bldg+Dev'!S3295</f>
        <v>0</v>
      </c>
      <c r="D2483" s="1063"/>
      <c r="F2483" s="1076"/>
      <c r="G2483" s="1063"/>
      <c r="H2483" s="1063"/>
      <c r="I2483" s="1063"/>
      <c r="J2483" s="1063"/>
      <c r="K2483" s="1063"/>
      <c r="L2483" s="1063"/>
      <c r="M2483" s="1063"/>
      <c r="N2483" s="1063"/>
      <c r="O2483" s="1063"/>
      <c r="P2483" s="1063"/>
      <c r="Q2483" s="1063"/>
      <c r="R2483" s="1063"/>
      <c r="S2483" s="1063"/>
      <c r="T2483" s="1063"/>
      <c r="U2483" s="1063"/>
      <c r="V2483" s="1063"/>
      <c r="W2483" s="1063"/>
      <c r="X2483" s="1063"/>
      <c r="Y2483" s="1063"/>
      <c r="Z2483" s="1063"/>
      <c r="AA2483" s="1063"/>
      <c r="AB2483" s="1063"/>
      <c r="AC2483" s="1063"/>
      <c r="AD2483" s="1063"/>
      <c r="AE2483" s="1063"/>
      <c r="AF2483" s="1063"/>
      <c r="AG2483" s="1063"/>
      <c r="AH2483" s="1063"/>
      <c r="AI2483" s="1063"/>
      <c r="AJ2483" s="1063"/>
      <c r="AK2483" s="1063"/>
      <c r="AL2483" s="1063"/>
      <c r="AM2483" s="1063"/>
      <c r="AN2483" s="1063"/>
      <c r="AO2483" s="1063"/>
      <c r="AP2483" s="1063"/>
      <c r="AQ2483" s="1063"/>
      <c r="AR2483" s="1063"/>
      <c r="AS2483" s="1063"/>
      <c r="AT2483" s="1063"/>
      <c r="AU2483" s="1063"/>
      <c r="AV2483" s="1063"/>
    </row>
    <row r="2484" spans="1:48" s="1108" customFormat="1" ht="27.75" customHeight="1">
      <c r="A2484" s="1076"/>
      <c r="B2484" s="1074">
        <f>+'[18]Bldg+Dev'!S3296</f>
        <v>0</v>
      </c>
      <c r="D2484" s="1063"/>
      <c r="F2484" s="1076"/>
      <c r="G2484" s="1063"/>
      <c r="H2484" s="1063"/>
      <c r="I2484" s="1063"/>
      <c r="J2484" s="1063"/>
      <c r="K2484" s="1063"/>
      <c r="L2484" s="1063"/>
      <c r="M2484" s="1063"/>
      <c r="N2484" s="1063"/>
      <c r="O2484" s="1063"/>
      <c r="P2484" s="1063"/>
      <c r="Q2484" s="1063"/>
      <c r="R2484" s="1063"/>
      <c r="S2484" s="1063"/>
      <c r="T2484" s="1063"/>
      <c r="U2484" s="1063"/>
      <c r="V2484" s="1063"/>
      <c r="W2484" s="1063"/>
      <c r="X2484" s="1063"/>
      <c r="Y2484" s="1063"/>
      <c r="Z2484" s="1063"/>
      <c r="AA2484" s="1063"/>
      <c r="AB2484" s="1063"/>
      <c r="AC2484" s="1063"/>
      <c r="AD2484" s="1063"/>
      <c r="AE2484" s="1063"/>
      <c r="AF2484" s="1063"/>
      <c r="AG2484" s="1063"/>
      <c r="AH2484" s="1063"/>
      <c r="AI2484" s="1063"/>
      <c r="AJ2484" s="1063"/>
      <c r="AK2484" s="1063"/>
      <c r="AL2484" s="1063"/>
      <c r="AM2484" s="1063"/>
      <c r="AN2484" s="1063"/>
      <c r="AO2484" s="1063"/>
      <c r="AP2484" s="1063"/>
      <c r="AQ2484" s="1063"/>
      <c r="AR2484" s="1063"/>
      <c r="AS2484" s="1063"/>
      <c r="AT2484" s="1063"/>
      <c r="AU2484" s="1063"/>
      <c r="AV2484" s="1063"/>
    </row>
    <row r="2485" spans="1:48" s="1108" customFormat="1" ht="27.75" customHeight="1">
      <c r="A2485" s="1076"/>
      <c r="B2485" s="1074">
        <f>+'[18]Bldg+Dev'!S3297</f>
        <v>0</v>
      </c>
      <c r="D2485" s="1063"/>
      <c r="F2485" s="1076"/>
      <c r="G2485" s="1063"/>
      <c r="H2485" s="1063"/>
      <c r="I2485" s="1063"/>
      <c r="J2485" s="1063"/>
      <c r="K2485" s="1063"/>
      <c r="L2485" s="1063"/>
      <c r="M2485" s="1063"/>
      <c r="N2485" s="1063"/>
      <c r="O2485" s="1063"/>
      <c r="P2485" s="1063"/>
      <c r="Q2485" s="1063"/>
      <c r="R2485" s="1063"/>
      <c r="S2485" s="1063"/>
      <c r="T2485" s="1063"/>
      <c r="U2485" s="1063"/>
      <c r="V2485" s="1063"/>
      <c r="W2485" s="1063"/>
      <c r="X2485" s="1063"/>
      <c r="Y2485" s="1063"/>
      <c r="Z2485" s="1063"/>
      <c r="AA2485" s="1063"/>
      <c r="AB2485" s="1063"/>
      <c r="AC2485" s="1063"/>
      <c r="AD2485" s="1063"/>
      <c r="AE2485" s="1063"/>
      <c r="AF2485" s="1063"/>
      <c r="AG2485" s="1063"/>
      <c r="AH2485" s="1063"/>
      <c r="AI2485" s="1063"/>
      <c r="AJ2485" s="1063"/>
      <c r="AK2485" s="1063"/>
      <c r="AL2485" s="1063"/>
      <c r="AM2485" s="1063"/>
      <c r="AN2485" s="1063"/>
      <c r="AO2485" s="1063"/>
      <c r="AP2485" s="1063"/>
      <c r="AQ2485" s="1063"/>
      <c r="AR2485" s="1063"/>
      <c r="AS2485" s="1063"/>
      <c r="AT2485" s="1063"/>
      <c r="AU2485" s="1063"/>
      <c r="AV2485" s="1063"/>
    </row>
    <row r="2486" spans="1:48" s="1108" customFormat="1" ht="27.75" customHeight="1">
      <c r="A2486" s="1076"/>
      <c r="B2486" s="1074">
        <f>+'[18]Bldg+Dev'!S3298</f>
        <v>0</v>
      </c>
      <c r="D2486" s="1063"/>
      <c r="F2486" s="1076"/>
      <c r="G2486" s="1063"/>
      <c r="H2486" s="1063"/>
      <c r="I2486" s="1063"/>
      <c r="J2486" s="1063"/>
      <c r="K2486" s="1063"/>
      <c r="L2486" s="1063"/>
      <c r="M2486" s="1063"/>
      <c r="N2486" s="1063"/>
      <c r="O2486" s="1063"/>
      <c r="P2486" s="1063"/>
      <c r="Q2486" s="1063"/>
      <c r="R2486" s="1063"/>
      <c r="S2486" s="1063"/>
      <c r="T2486" s="1063"/>
      <c r="U2486" s="1063"/>
      <c r="V2486" s="1063"/>
      <c r="W2486" s="1063"/>
      <c r="X2486" s="1063"/>
      <c r="Y2486" s="1063"/>
      <c r="Z2486" s="1063"/>
      <c r="AA2486" s="1063"/>
      <c r="AB2486" s="1063"/>
      <c r="AC2486" s="1063"/>
      <c r="AD2486" s="1063"/>
      <c r="AE2486" s="1063"/>
      <c r="AF2486" s="1063"/>
      <c r="AG2486" s="1063"/>
      <c r="AH2486" s="1063"/>
      <c r="AI2486" s="1063"/>
      <c r="AJ2486" s="1063"/>
      <c r="AK2486" s="1063"/>
      <c r="AL2486" s="1063"/>
      <c r="AM2486" s="1063"/>
      <c r="AN2486" s="1063"/>
      <c r="AO2486" s="1063"/>
      <c r="AP2486" s="1063"/>
      <c r="AQ2486" s="1063"/>
      <c r="AR2486" s="1063"/>
      <c r="AS2486" s="1063"/>
      <c r="AT2486" s="1063"/>
      <c r="AU2486" s="1063"/>
      <c r="AV2486" s="1063"/>
    </row>
    <row r="2487" spans="1:48" s="1108" customFormat="1" ht="27.75" customHeight="1">
      <c r="A2487" s="1076"/>
      <c r="B2487" s="1074">
        <f>+'[18]Bldg+Dev'!S3299</f>
        <v>0</v>
      </c>
      <c r="D2487" s="1063"/>
      <c r="F2487" s="1076"/>
      <c r="G2487" s="1063"/>
      <c r="H2487" s="1063"/>
      <c r="I2487" s="1063"/>
      <c r="J2487" s="1063"/>
      <c r="K2487" s="1063"/>
      <c r="L2487" s="1063"/>
      <c r="M2487" s="1063"/>
      <c r="N2487" s="1063"/>
      <c r="O2487" s="1063"/>
      <c r="P2487" s="1063"/>
      <c r="Q2487" s="1063"/>
      <c r="R2487" s="1063"/>
      <c r="S2487" s="1063"/>
      <c r="T2487" s="1063"/>
      <c r="U2487" s="1063"/>
      <c r="V2487" s="1063"/>
      <c r="W2487" s="1063"/>
      <c r="X2487" s="1063"/>
      <c r="Y2487" s="1063"/>
      <c r="Z2487" s="1063"/>
      <c r="AA2487" s="1063"/>
      <c r="AB2487" s="1063"/>
      <c r="AC2487" s="1063"/>
      <c r="AD2487" s="1063"/>
      <c r="AE2487" s="1063"/>
      <c r="AF2487" s="1063"/>
      <c r="AG2487" s="1063"/>
      <c r="AH2487" s="1063"/>
      <c r="AI2487" s="1063"/>
      <c r="AJ2487" s="1063"/>
      <c r="AK2487" s="1063"/>
      <c r="AL2487" s="1063"/>
      <c r="AM2487" s="1063"/>
      <c r="AN2487" s="1063"/>
      <c r="AO2487" s="1063"/>
      <c r="AP2487" s="1063"/>
      <c r="AQ2487" s="1063"/>
      <c r="AR2487" s="1063"/>
      <c r="AS2487" s="1063"/>
      <c r="AT2487" s="1063"/>
      <c r="AU2487" s="1063"/>
      <c r="AV2487" s="1063"/>
    </row>
    <row r="2488" spans="1:48" s="1108" customFormat="1" ht="27.75" customHeight="1">
      <c r="A2488" s="1076"/>
      <c r="B2488" s="1074">
        <f>+'[18]Bldg+Dev'!S3300</f>
        <v>0</v>
      </c>
      <c r="D2488" s="1063"/>
      <c r="F2488" s="1076"/>
      <c r="G2488" s="1063"/>
      <c r="H2488" s="1063"/>
      <c r="I2488" s="1063"/>
      <c r="J2488" s="1063"/>
      <c r="K2488" s="1063"/>
      <c r="L2488" s="1063"/>
      <c r="M2488" s="1063"/>
      <c r="N2488" s="1063"/>
      <c r="O2488" s="1063"/>
      <c r="P2488" s="1063"/>
      <c r="Q2488" s="1063"/>
      <c r="R2488" s="1063"/>
      <c r="S2488" s="1063"/>
      <c r="T2488" s="1063"/>
      <c r="U2488" s="1063"/>
      <c r="V2488" s="1063"/>
      <c r="W2488" s="1063"/>
      <c r="X2488" s="1063"/>
      <c r="Y2488" s="1063"/>
      <c r="Z2488" s="1063"/>
      <c r="AA2488" s="1063"/>
      <c r="AB2488" s="1063"/>
      <c r="AC2488" s="1063"/>
      <c r="AD2488" s="1063"/>
      <c r="AE2488" s="1063"/>
      <c r="AF2488" s="1063"/>
      <c r="AG2488" s="1063"/>
      <c r="AH2488" s="1063"/>
      <c r="AI2488" s="1063"/>
      <c r="AJ2488" s="1063"/>
      <c r="AK2488" s="1063"/>
      <c r="AL2488" s="1063"/>
      <c r="AM2488" s="1063"/>
      <c r="AN2488" s="1063"/>
      <c r="AO2488" s="1063"/>
      <c r="AP2488" s="1063"/>
      <c r="AQ2488" s="1063"/>
      <c r="AR2488" s="1063"/>
      <c r="AS2488" s="1063"/>
      <c r="AT2488" s="1063"/>
      <c r="AU2488" s="1063"/>
      <c r="AV2488" s="1063"/>
    </row>
    <row r="2489" spans="1:48" s="1108" customFormat="1" ht="27.75" customHeight="1">
      <c r="A2489" s="1076"/>
      <c r="B2489" s="1074">
        <f>+'[18]Bldg+Dev'!S3301</f>
        <v>0</v>
      </c>
      <c r="D2489" s="1063"/>
      <c r="F2489" s="1076"/>
      <c r="G2489" s="1063"/>
      <c r="H2489" s="1063"/>
      <c r="I2489" s="1063"/>
      <c r="J2489" s="1063"/>
      <c r="K2489" s="1063"/>
      <c r="L2489" s="1063"/>
      <c r="M2489" s="1063"/>
      <c r="N2489" s="1063"/>
      <c r="O2489" s="1063"/>
      <c r="P2489" s="1063"/>
      <c r="Q2489" s="1063"/>
      <c r="R2489" s="1063"/>
      <c r="S2489" s="1063"/>
      <c r="T2489" s="1063"/>
      <c r="U2489" s="1063"/>
      <c r="V2489" s="1063"/>
      <c r="W2489" s="1063"/>
      <c r="X2489" s="1063"/>
      <c r="Y2489" s="1063"/>
      <c r="Z2489" s="1063"/>
      <c r="AA2489" s="1063"/>
      <c r="AB2489" s="1063"/>
      <c r="AC2489" s="1063"/>
      <c r="AD2489" s="1063"/>
      <c r="AE2489" s="1063"/>
      <c r="AF2489" s="1063"/>
      <c r="AG2489" s="1063"/>
      <c r="AH2489" s="1063"/>
      <c r="AI2489" s="1063"/>
      <c r="AJ2489" s="1063"/>
      <c r="AK2489" s="1063"/>
      <c r="AL2489" s="1063"/>
      <c r="AM2489" s="1063"/>
      <c r="AN2489" s="1063"/>
      <c r="AO2489" s="1063"/>
      <c r="AP2489" s="1063"/>
      <c r="AQ2489" s="1063"/>
      <c r="AR2489" s="1063"/>
      <c r="AS2489" s="1063"/>
      <c r="AT2489" s="1063"/>
      <c r="AU2489" s="1063"/>
      <c r="AV2489" s="1063"/>
    </row>
    <row r="2490" spans="1:48" s="1108" customFormat="1" ht="27.75" customHeight="1">
      <c r="A2490" s="1076"/>
      <c r="B2490" s="1074">
        <f>+'[18]Bldg+Dev'!S3302</f>
        <v>0</v>
      </c>
      <c r="D2490" s="1063"/>
      <c r="F2490" s="1076"/>
      <c r="G2490" s="1063"/>
      <c r="H2490" s="1063"/>
      <c r="I2490" s="1063"/>
      <c r="J2490" s="1063"/>
      <c r="K2490" s="1063"/>
      <c r="L2490" s="1063"/>
      <c r="M2490" s="1063"/>
      <c r="N2490" s="1063"/>
      <c r="O2490" s="1063"/>
      <c r="P2490" s="1063"/>
      <c r="Q2490" s="1063"/>
      <c r="R2490" s="1063"/>
      <c r="S2490" s="1063"/>
      <c r="T2490" s="1063"/>
      <c r="U2490" s="1063"/>
      <c r="V2490" s="1063"/>
      <c r="W2490" s="1063"/>
      <c r="X2490" s="1063"/>
      <c r="Y2490" s="1063"/>
      <c r="Z2490" s="1063"/>
      <c r="AA2490" s="1063"/>
      <c r="AB2490" s="1063"/>
      <c r="AC2490" s="1063"/>
      <c r="AD2490" s="1063"/>
      <c r="AE2490" s="1063"/>
      <c r="AF2490" s="1063"/>
      <c r="AG2490" s="1063"/>
      <c r="AH2490" s="1063"/>
      <c r="AI2490" s="1063"/>
      <c r="AJ2490" s="1063"/>
      <c r="AK2490" s="1063"/>
      <c r="AL2490" s="1063"/>
      <c r="AM2490" s="1063"/>
      <c r="AN2490" s="1063"/>
      <c r="AO2490" s="1063"/>
      <c r="AP2490" s="1063"/>
      <c r="AQ2490" s="1063"/>
      <c r="AR2490" s="1063"/>
      <c r="AS2490" s="1063"/>
      <c r="AT2490" s="1063"/>
      <c r="AU2490" s="1063"/>
      <c r="AV2490" s="1063"/>
    </row>
    <row r="2491" spans="1:48" s="1108" customFormat="1" ht="27.75" customHeight="1">
      <c r="A2491" s="1076"/>
      <c r="B2491" s="1074">
        <f>+'[18]Bldg+Dev'!S3303</f>
        <v>0</v>
      </c>
      <c r="D2491" s="1063"/>
      <c r="F2491" s="1076"/>
      <c r="G2491" s="1063"/>
      <c r="H2491" s="1063"/>
      <c r="I2491" s="1063"/>
      <c r="J2491" s="1063"/>
      <c r="K2491" s="1063"/>
      <c r="L2491" s="1063"/>
      <c r="M2491" s="1063"/>
      <c r="N2491" s="1063"/>
      <c r="O2491" s="1063"/>
      <c r="P2491" s="1063"/>
      <c r="Q2491" s="1063"/>
      <c r="R2491" s="1063"/>
      <c r="S2491" s="1063"/>
      <c r="T2491" s="1063"/>
      <c r="U2491" s="1063"/>
      <c r="V2491" s="1063"/>
      <c r="W2491" s="1063"/>
      <c r="X2491" s="1063"/>
      <c r="Y2491" s="1063"/>
      <c r="Z2491" s="1063"/>
      <c r="AA2491" s="1063"/>
      <c r="AB2491" s="1063"/>
      <c r="AC2491" s="1063"/>
      <c r="AD2491" s="1063"/>
      <c r="AE2491" s="1063"/>
      <c r="AF2491" s="1063"/>
      <c r="AG2491" s="1063"/>
      <c r="AH2491" s="1063"/>
      <c r="AI2491" s="1063"/>
      <c r="AJ2491" s="1063"/>
      <c r="AK2491" s="1063"/>
      <c r="AL2491" s="1063"/>
      <c r="AM2491" s="1063"/>
      <c r="AN2491" s="1063"/>
      <c r="AO2491" s="1063"/>
      <c r="AP2491" s="1063"/>
      <c r="AQ2491" s="1063"/>
      <c r="AR2491" s="1063"/>
      <c r="AS2491" s="1063"/>
      <c r="AT2491" s="1063"/>
      <c r="AU2491" s="1063"/>
      <c r="AV2491" s="1063"/>
    </row>
    <row r="2492" spans="1:48" s="1108" customFormat="1" ht="27.75" customHeight="1">
      <c r="A2492" s="1076"/>
      <c r="B2492" s="1074">
        <f>+'[18]Bldg+Dev'!S3304</f>
        <v>0</v>
      </c>
      <c r="D2492" s="1063"/>
      <c r="F2492" s="1076"/>
      <c r="G2492" s="1063"/>
      <c r="H2492" s="1063"/>
      <c r="I2492" s="1063"/>
      <c r="J2492" s="1063"/>
      <c r="K2492" s="1063"/>
      <c r="L2492" s="1063"/>
      <c r="M2492" s="1063"/>
      <c r="N2492" s="1063"/>
      <c r="O2492" s="1063"/>
      <c r="P2492" s="1063"/>
      <c r="Q2492" s="1063"/>
      <c r="R2492" s="1063"/>
      <c r="S2492" s="1063"/>
      <c r="T2492" s="1063"/>
      <c r="U2492" s="1063"/>
      <c r="V2492" s="1063"/>
      <c r="W2492" s="1063"/>
      <c r="X2492" s="1063"/>
      <c r="Y2492" s="1063"/>
      <c r="Z2492" s="1063"/>
      <c r="AA2492" s="1063"/>
      <c r="AB2492" s="1063"/>
      <c r="AC2492" s="1063"/>
      <c r="AD2492" s="1063"/>
      <c r="AE2492" s="1063"/>
      <c r="AF2492" s="1063"/>
      <c r="AG2492" s="1063"/>
      <c r="AH2492" s="1063"/>
      <c r="AI2492" s="1063"/>
      <c r="AJ2492" s="1063"/>
      <c r="AK2492" s="1063"/>
      <c r="AL2492" s="1063"/>
      <c r="AM2492" s="1063"/>
      <c r="AN2492" s="1063"/>
      <c r="AO2492" s="1063"/>
      <c r="AP2492" s="1063"/>
      <c r="AQ2492" s="1063"/>
      <c r="AR2492" s="1063"/>
      <c r="AS2492" s="1063"/>
      <c r="AT2492" s="1063"/>
      <c r="AU2492" s="1063"/>
      <c r="AV2492" s="1063"/>
    </row>
    <row r="2493" spans="1:48" s="1108" customFormat="1" ht="27.75" customHeight="1">
      <c r="A2493" s="1076"/>
      <c r="B2493" s="1074">
        <f>+'[18]Bldg+Dev'!S3305</f>
        <v>0</v>
      </c>
      <c r="D2493" s="1063"/>
      <c r="F2493" s="1076"/>
      <c r="G2493" s="1063"/>
      <c r="H2493" s="1063"/>
      <c r="I2493" s="1063"/>
      <c r="J2493" s="1063"/>
      <c r="K2493" s="1063"/>
      <c r="L2493" s="1063"/>
      <c r="M2493" s="1063"/>
      <c r="N2493" s="1063"/>
      <c r="O2493" s="1063"/>
      <c r="P2493" s="1063"/>
      <c r="Q2493" s="1063"/>
      <c r="R2493" s="1063"/>
      <c r="S2493" s="1063"/>
      <c r="T2493" s="1063"/>
      <c r="U2493" s="1063"/>
      <c r="V2493" s="1063"/>
      <c r="W2493" s="1063"/>
      <c r="X2493" s="1063"/>
      <c r="Y2493" s="1063"/>
      <c r="Z2493" s="1063"/>
      <c r="AA2493" s="1063"/>
      <c r="AB2493" s="1063"/>
      <c r="AC2493" s="1063"/>
      <c r="AD2493" s="1063"/>
      <c r="AE2493" s="1063"/>
      <c r="AF2493" s="1063"/>
      <c r="AG2493" s="1063"/>
      <c r="AH2493" s="1063"/>
      <c r="AI2493" s="1063"/>
      <c r="AJ2493" s="1063"/>
      <c r="AK2493" s="1063"/>
      <c r="AL2493" s="1063"/>
      <c r="AM2493" s="1063"/>
      <c r="AN2493" s="1063"/>
      <c r="AO2493" s="1063"/>
      <c r="AP2493" s="1063"/>
      <c r="AQ2493" s="1063"/>
      <c r="AR2493" s="1063"/>
      <c r="AS2493" s="1063"/>
      <c r="AT2493" s="1063"/>
      <c r="AU2493" s="1063"/>
      <c r="AV2493" s="1063"/>
    </row>
    <row r="2494" spans="1:48" s="1108" customFormat="1" ht="27.75" customHeight="1">
      <c r="A2494" s="1076"/>
      <c r="B2494" s="1074">
        <f>+'[18]Bldg+Dev'!S3306</f>
        <v>0</v>
      </c>
      <c r="D2494" s="1063"/>
      <c r="F2494" s="1076"/>
      <c r="G2494" s="1063"/>
      <c r="H2494" s="1063"/>
      <c r="I2494" s="1063"/>
      <c r="J2494" s="1063"/>
      <c r="K2494" s="1063"/>
      <c r="L2494" s="1063"/>
      <c r="M2494" s="1063"/>
      <c r="N2494" s="1063"/>
      <c r="O2494" s="1063"/>
      <c r="P2494" s="1063"/>
      <c r="Q2494" s="1063"/>
      <c r="R2494" s="1063"/>
      <c r="S2494" s="1063"/>
      <c r="T2494" s="1063"/>
      <c r="U2494" s="1063"/>
      <c r="V2494" s="1063"/>
      <c r="W2494" s="1063"/>
      <c r="X2494" s="1063"/>
      <c r="Y2494" s="1063"/>
      <c r="Z2494" s="1063"/>
      <c r="AA2494" s="1063"/>
      <c r="AB2494" s="1063"/>
      <c r="AC2494" s="1063"/>
      <c r="AD2494" s="1063"/>
      <c r="AE2494" s="1063"/>
      <c r="AF2494" s="1063"/>
      <c r="AG2494" s="1063"/>
      <c r="AH2494" s="1063"/>
      <c r="AI2494" s="1063"/>
      <c r="AJ2494" s="1063"/>
      <c r="AK2494" s="1063"/>
      <c r="AL2494" s="1063"/>
      <c r="AM2494" s="1063"/>
      <c r="AN2494" s="1063"/>
      <c r="AO2494" s="1063"/>
      <c r="AP2494" s="1063"/>
      <c r="AQ2494" s="1063"/>
      <c r="AR2494" s="1063"/>
      <c r="AS2494" s="1063"/>
      <c r="AT2494" s="1063"/>
      <c r="AU2494" s="1063"/>
      <c r="AV2494" s="1063"/>
    </row>
    <row r="2495" spans="1:48" s="1108" customFormat="1" ht="27.75" customHeight="1">
      <c r="A2495" s="1076"/>
      <c r="B2495" s="1074">
        <f>+'[18]Bldg+Dev'!S3307</f>
        <v>0</v>
      </c>
      <c r="D2495" s="1063"/>
      <c r="F2495" s="1076"/>
      <c r="G2495" s="1063"/>
      <c r="H2495" s="1063"/>
      <c r="I2495" s="1063"/>
      <c r="J2495" s="1063"/>
      <c r="K2495" s="1063"/>
      <c r="L2495" s="1063"/>
      <c r="M2495" s="1063"/>
      <c r="N2495" s="1063"/>
      <c r="O2495" s="1063"/>
      <c r="P2495" s="1063"/>
      <c r="Q2495" s="1063"/>
      <c r="R2495" s="1063"/>
      <c r="S2495" s="1063"/>
      <c r="T2495" s="1063"/>
      <c r="U2495" s="1063"/>
      <c r="V2495" s="1063"/>
      <c r="W2495" s="1063"/>
      <c r="X2495" s="1063"/>
      <c r="Y2495" s="1063"/>
      <c r="Z2495" s="1063"/>
      <c r="AA2495" s="1063"/>
      <c r="AB2495" s="1063"/>
      <c r="AC2495" s="1063"/>
      <c r="AD2495" s="1063"/>
      <c r="AE2495" s="1063"/>
      <c r="AF2495" s="1063"/>
      <c r="AG2495" s="1063"/>
      <c r="AH2495" s="1063"/>
      <c r="AI2495" s="1063"/>
      <c r="AJ2495" s="1063"/>
      <c r="AK2495" s="1063"/>
      <c r="AL2495" s="1063"/>
      <c r="AM2495" s="1063"/>
      <c r="AN2495" s="1063"/>
      <c r="AO2495" s="1063"/>
      <c r="AP2495" s="1063"/>
      <c r="AQ2495" s="1063"/>
      <c r="AR2495" s="1063"/>
      <c r="AS2495" s="1063"/>
      <c r="AT2495" s="1063"/>
      <c r="AU2495" s="1063"/>
      <c r="AV2495" s="1063"/>
    </row>
    <row r="2496" spans="1:48" s="1108" customFormat="1" ht="27.75" customHeight="1">
      <c r="A2496" s="1076"/>
      <c r="B2496" s="1074">
        <f>+'[18]Bldg+Dev'!S3308</f>
        <v>0</v>
      </c>
      <c r="D2496" s="1063"/>
      <c r="F2496" s="1076"/>
      <c r="G2496" s="1063"/>
      <c r="H2496" s="1063"/>
      <c r="I2496" s="1063"/>
      <c r="J2496" s="1063"/>
      <c r="K2496" s="1063"/>
      <c r="L2496" s="1063"/>
      <c r="M2496" s="1063"/>
      <c r="N2496" s="1063"/>
      <c r="O2496" s="1063"/>
      <c r="P2496" s="1063"/>
      <c r="Q2496" s="1063"/>
      <c r="R2496" s="1063"/>
      <c r="S2496" s="1063"/>
      <c r="T2496" s="1063"/>
      <c r="U2496" s="1063"/>
      <c r="V2496" s="1063"/>
      <c r="W2496" s="1063"/>
      <c r="X2496" s="1063"/>
      <c r="Y2496" s="1063"/>
      <c r="Z2496" s="1063"/>
      <c r="AA2496" s="1063"/>
      <c r="AB2496" s="1063"/>
      <c r="AC2496" s="1063"/>
      <c r="AD2496" s="1063"/>
      <c r="AE2496" s="1063"/>
      <c r="AF2496" s="1063"/>
      <c r="AG2496" s="1063"/>
      <c r="AH2496" s="1063"/>
      <c r="AI2496" s="1063"/>
      <c r="AJ2496" s="1063"/>
      <c r="AK2496" s="1063"/>
      <c r="AL2496" s="1063"/>
      <c r="AM2496" s="1063"/>
      <c r="AN2496" s="1063"/>
      <c r="AO2496" s="1063"/>
      <c r="AP2496" s="1063"/>
      <c r="AQ2496" s="1063"/>
      <c r="AR2496" s="1063"/>
      <c r="AS2496" s="1063"/>
      <c r="AT2496" s="1063"/>
      <c r="AU2496" s="1063"/>
      <c r="AV2496" s="1063"/>
    </row>
    <row r="2497" spans="1:48" s="1108" customFormat="1" ht="27.75" customHeight="1">
      <c r="A2497" s="1076"/>
      <c r="B2497" s="1074">
        <f>+'[18]Bldg+Dev'!S3309</f>
        <v>0</v>
      </c>
      <c r="D2497" s="1063"/>
      <c r="F2497" s="1076"/>
      <c r="G2497" s="1063"/>
      <c r="H2497" s="1063"/>
      <c r="I2497" s="1063"/>
      <c r="J2497" s="1063"/>
      <c r="K2497" s="1063"/>
      <c r="L2497" s="1063"/>
      <c r="M2497" s="1063"/>
      <c r="N2497" s="1063"/>
      <c r="O2497" s="1063"/>
      <c r="P2497" s="1063"/>
      <c r="Q2497" s="1063"/>
      <c r="R2497" s="1063"/>
      <c r="S2497" s="1063"/>
      <c r="T2497" s="1063"/>
      <c r="U2497" s="1063"/>
      <c r="V2497" s="1063"/>
      <c r="W2497" s="1063"/>
      <c r="X2497" s="1063"/>
      <c r="Y2497" s="1063"/>
      <c r="Z2497" s="1063"/>
      <c r="AA2497" s="1063"/>
      <c r="AB2497" s="1063"/>
      <c r="AC2497" s="1063"/>
      <c r="AD2497" s="1063"/>
      <c r="AE2497" s="1063"/>
      <c r="AF2497" s="1063"/>
      <c r="AG2497" s="1063"/>
      <c r="AH2497" s="1063"/>
      <c r="AI2497" s="1063"/>
      <c r="AJ2497" s="1063"/>
      <c r="AK2497" s="1063"/>
      <c r="AL2497" s="1063"/>
      <c r="AM2497" s="1063"/>
      <c r="AN2497" s="1063"/>
      <c r="AO2497" s="1063"/>
      <c r="AP2497" s="1063"/>
      <c r="AQ2497" s="1063"/>
      <c r="AR2497" s="1063"/>
      <c r="AS2497" s="1063"/>
      <c r="AT2497" s="1063"/>
      <c r="AU2497" s="1063"/>
      <c r="AV2497" s="1063"/>
    </row>
    <row r="2498" spans="1:48" s="1108" customFormat="1" ht="27.75" customHeight="1">
      <c r="A2498" s="1076"/>
      <c r="B2498" s="1074">
        <f>+'[18]Bldg+Dev'!S3310</f>
        <v>0</v>
      </c>
      <c r="D2498" s="1063"/>
      <c r="F2498" s="1076"/>
      <c r="G2498" s="1063"/>
      <c r="H2498" s="1063"/>
      <c r="I2498" s="1063"/>
      <c r="J2498" s="1063"/>
      <c r="K2498" s="1063"/>
      <c r="L2498" s="1063"/>
      <c r="M2498" s="1063"/>
      <c r="N2498" s="1063"/>
      <c r="O2498" s="1063"/>
      <c r="P2498" s="1063"/>
      <c r="Q2498" s="1063"/>
      <c r="R2498" s="1063"/>
      <c r="S2498" s="1063"/>
      <c r="T2498" s="1063"/>
      <c r="U2498" s="1063"/>
      <c r="V2498" s="1063"/>
      <c r="W2498" s="1063"/>
      <c r="X2498" s="1063"/>
      <c r="Y2498" s="1063"/>
      <c r="Z2498" s="1063"/>
      <c r="AA2498" s="1063"/>
      <c r="AB2498" s="1063"/>
      <c r="AC2498" s="1063"/>
      <c r="AD2498" s="1063"/>
      <c r="AE2498" s="1063"/>
      <c r="AF2498" s="1063"/>
      <c r="AG2498" s="1063"/>
      <c r="AH2498" s="1063"/>
      <c r="AI2498" s="1063"/>
      <c r="AJ2498" s="1063"/>
      <c r="AK2498" s="1063"/>
      <c r="AL2498" s="1063"/>
      <c r="AM2498" s="1063"/>
      <c r="AN2498" s="1063"/>
      <c r="AO2498" s="1063"/>
      <c r="AP2498" s="1063"/>
      <c r="AQ2498" s="1063"/>
      <c r="AR2498" s="1063"/>
      <c r="AS2498" s="1063"/>
      <c r="AT2498" s="1063"/>
      <c r="AU2498" s="1063"/>
      <c r="AV2498" s="1063"/>
    </row>
    <row r="2499" spans="1:48" s="1108" customFormat="1" ht="27.75" customHeight="1">
      <c r="A2499" s="1076"/>
      <c r="B2499" s="1074">
        <f>+'[18]Bldg+Dev'!S3311</f>
        <v>0</v>
      </c>
      <c r="D2499" s="1063"/>
      <c r="F2499" s="1076"/>
      <c r="G2499" s="1063"/>
      <c r="H2499" s="1063"/>
      <c r="I2499" s="1063"/>
      <c r="J2499" s="1063"/>
      <c r="K2499" s="1063"/>
      <c r="L2499" s="1063"/>
      <c r="M2499" s="1063"/>
      <c r="N2499" s="1063"/>
      <c r="O2499" s="1063"/>
      <c r="P2499" s="1063"/>
      <c r="Q2499" s="1063"/>
      <c r="R2499" s="1063"/>
      <c r="S2499" s="1063"/>
      <c r="T2499" s="1063"/>
      <c r="U2499" s="1063"/>
      <c r="V2499" s="1063"/>
      <c r="W2499" s="1063"/>
      <c r="X2499" s="1063"/>
      <c r="Y2499" s="1063"/>
      <c r="Z2499" s="1063"/>
      <c r="AA2499" s="1063"/>
      <c r="AB2499" s="1063"/>
      <c r="AC2499" s="1063"/>
      <c r="AD2499" s="1063"/>
      <c r="AE2499" s="1063"/>
      <c r="AF2499" s="1063"/>
      <c r="AG2499" s="1063"/>
      <c r="AH2499" s="1063"/>
      <c r="AI2499" s="1063"/>
      <c r="AJ2499" s="1063"/>
      <c r="AK2499" s="1063"/>
      <c r="AL2499" s="1063"/>
      <c r="AM2499" s="1063"/>
      <c r="AN2499" s="1063"/>
      <c r="AO2499" s="1063"/>
      <c r="AP2499" s="1063"/>
      <c r="AQ2499" s="1063"/>
      <c r="AR2499" s="1063"/>
      <c r="AS2499" s="1063"/>
      <c r="AT2499" s="1063"/>
      <c r="AU2499" s="1063"/>
      <c r="AV2499" s="1063"/>
    </row>
    <row r="2500" spans="1:48" s="1108" customFormat="1" ht="27.75" customHeight="1">
      <c r="A2500" s="1076"/>
      <c r="B2500" s="1074">
        <f>+'[18]Bldg+Dev'!S3312</f>
        <v>0</v>
      </c>
      <c r="D2500" s="1063"/>
      <c r="F2500" s="1076"/>
      <c r="G2500" s="1063"/>
      <c r="H2500" s="1063"/>
      <c r="I2500" s="1063"/>
      <c r="J2500" s="1063"/>
      <c r="K2500" s="1063"/>
      <c r="L2500" s="1063"/>
      <c r="M2500" s="1063"/>
      <c r="N2500" s="1063"/>
      <c r="O2500" s="1063"/>
      <c r="P2500" s="1063"/>
      <c r="Q2500" s="1063"/>
      <c r="R2500" s="1063"/>
      <c r="S2500" s="1063"/>
      <c r="T2500" s="1063"/>
      <c r="U2500" s="1063"/>
      <c r="V2500" s="1063"/>
      <c r="W2500" s="1063"/>
      <c r="X2500" s="1063"/>
      <c r="Y2500" s="1063"/>
      <c r="Z2500" s="1063"/>
      <c r="AA2500" s="1063"/>
      <c r="AB2500" s="1063"/>
      <c r="AC2500" s="1063"/>
      <c r="AD2500" s="1063"/>
      <c r="AE2500" s="1063"/>
      <c r="AF2500" s="1063"/>
      <c r="AG2500" s="1063"/>
      <c r="AH2500" s="1063"/>
      <c r="AI2500" s="1063"/>
      <c r="AJ2500" s="1063"/>
      <c r="AK2500" s="1063"/>
      <c r="AL2500" s="1063"/>
      <c r="AM2500" s="1063"/>
      <c r="AN2500" s="1063"/>
      <c r="AO2500" s="1063"/>
      <c r="AP2500" s="1063"/>
      <c r="AQ2500" s="1063"/>
      <c r="AR2500" s="1063"/>
      <c r="AS2500" s="1063"/>
      <c r="AT2500" s="1063"/>
      <c r="AU2500" s="1063"/>
      <c r="AV2500" s="1063"/>
    </row>
    <row r="2501" spans="1:48" s="1108" customFormat="1" ht="27.75" customHeight="1">
      <c r="A2501" s="1076"/>
      <c r="B2501" s="1074">
        <f>+'[18]Bldg+Dev'!S3313</f>
        <v>0</v>
      </c>
      <c r="D2501" s="1063"/>
      <c r="F2501" s="1076"/>
      <c r="G2501" s="1063"/>
      <c r="H2501" s="1063"/>
      <c r="I2501" s="1063"/>
      <c r="J2501" s="1063"/>
      <c r="K2501" s="1063"/>
      <c r="L2501" s="1063"/>
      <c r="M2501" s="1063"/>
      <c r="N2501" s="1063"/>
      <c r="O2501" s="1063"/>
      <c r="P2501" s="1063"/>
      <c r="Q2501" s="1063"/>
      <c r="R2501" s="1063"/>
      <c r="S2501" s="1063"/>
      <c r="T2501" s="1063"/>
      <c r="U2501" s="1063"/>
      <c r="V2501" s="1063"/>
      <c r="W2501" s="1063"/>
      <c r="X2501" s="1063"/>
      <c r="Y2501" s="1063"/>
      <c r="Z2501" s="1063"/>
      <c r="AA2501" s="1063"/>
      <c r="AB2501" s="1063"/>
      <c r="AC2501" s="1063"/>
      <c r="AD2501" s="1063"/>
      <c r="AE2501" s="1063"/>
      <c r="AF2501" s="1063"/>
      <c r="AG2501" s="1063"/>
      <c r="AH2501" s="1063"/>
      <c r="AI2501" s="1063"/>
      <c r="AJ2501" s="1063"/>
      <c r="AK2501" s="1063"/>
      <c r="AL2501" s="1063"/>
      <c r="AM2501" s="1063"/>
      <c r="AN2501" s="1063"/>
      <c r="AO2501" s="1063"/>
      <c r="AP2501" s="1063"/>
      <c r="AQ2501" s="1063"/>
      <c r="AR2501" s="1063"/>
      <c r="AS2501" s="1063"/>
      <c r="AT2501" s="1063"/>
      <c r="AU2501" s="1063"/>
      <c r="AV2501" s="1063"/>
    </row>
    <row r="2502" spans="1:48" s="1108" customFormat="1" ht="27.75" customHeight="1">
      <c r="A2502" s="1076"/>
      <c r="B2502" s="1074">
        <f>+'[18]Bldg+Dev'!S3314</f>
        <v>0</v>
      </c>
      <c r="D2502" s="1063"/>
      <c r="F2502" s="1076"/>
      <c r="G2502" s="1063"/>
      <c r="H2502" s="1063"/>
      <c r="I2502" s="1063"/>
      <c r="J2502" s="1063"/>
      <c r="K2502" s="1063"/>
      <c r="L2502" s="1063"/>
      <c r="M2502" s="1063"/>
      <c r="N2502" s="1063"/>
      <c r="O2502" s="1063"/>
      <c r="P2502" s="1063"/>
      <c r="Q2502" s="1063"/>
      <c r="R2502" s="1063"/>
      <c r="S2502" s="1063"/>
      <c r="T2502" s="1063"/>
      <c r="U2502" s="1063"/>
      <c r="V2502" s="1063"/>
      <c r="W2502" s="1063"/>
      <c r="X2502" s="1063"/>
      <c r="Y2502" s="1063"/>
      <c r="Z2502" s="1063"/>
      <c r="AA2502" s="1063"/>
      <c r="AB2502" s="1063"/>
      <c r="AC2502" s="1063"/>
      <c r="AD2502" s="1063"/>
      <c r="AE2502" s="1063"/>
      <c r="AF2502" s="1063"/>
      <c r="AG2502" s="1063"/>
      <c r="AH2502" s="1063"/>
      <c r="AI2502" s="1063"/>
      <c r="AJ2502" s="1063"/>
      <c r="AK2502" s="1063"/>
      <c r="AL2502" s="1063"/>
      <c r="AM2502" s="1063"/>
      <c r="AN2502" s="1063"/>
      <c r="AO2502" s="1063"/>
      <c r="AP2502" s="1063"/>
      <c r="AQ2502" s="1063"/>
      <c r="AR2502" s="1063"/>
      <c r="AS2502" s="1063"/>
      <c r="AT2502" s="1063"/>
      <c r="AU2502" s="1063"/>
      <c r="AV2502" s="1063"/>
    </row>
    <row r="2503" spans="1:48" s="1108" customFormat="1" ht="27.75" customHeight="1">
      <c r="A2503" s="1076"/>
      <c r="B2503" s="1074">
        <f>+'[18]Bldg+Dev'!S3315</f>
        <v>0</v>
      </c>
      <c r="D2503" s="1063"/>
      <c r="F2503" s="1076"/>
      <c r="G2503" s="1063"/>
      <c r="H2503" s="1063"/>
      <c r="I2503" s="1063"/>
      <c r="J2503" s="1063"/>
      <c r="K2503" s="1063"/>
      <c r="L2503" s="1063"/>
      <c r="M2503" s="1063"/>
      <c r="N2503" s="1063"/>
      <c r="O2503" s="1063"/>
      <c r="P2503" s="1063"/>
      <c r="Q2503" s="1063"/>
      <c r="R2503" s="1063"/>
      <c r="S2503" s="1063"/>
      <c r="T2503" s="1063"/>
      <c r="U2503" s="1063"/>
      <c r="V2503" s="1063"/>
      <c r="W2503" s="1063"/>
      <c r="X2503" s="1063"/>
      <c r="Y2503" s="1063"/>
      <c r="Z2503" s="1063"/>
      <c r="AA2503" s="1063"/>
      <c r="AB2503" s="1063"/>
      <c r="AC2503" s="1063"/>
      <c r="AD2503" s="1063"/>
      <c r="AE2503" s="1063"/>
      <c r="AF2503" s="1063"/>
      <c r="AG2503" s="1063"/>
      <c r="AH2503" s="1063"/>
      <c r="AI2503" s="1063"/>
      <c r="AJ2503" s="1063"/>
      <c r="AK2503" s="1063"/>
      <c r="AL2503" s="1063"/>
      <c r="AM2503" s="1063"/>
      <c r="AN2503" s="1063"/>
      <c r="AO2503" s="1063"/>
      <c r="AP2503" s="1063"/>
      <c r="AQ2503" s="1063"/>
      <c r="AR2503" s="1063"/>
      <c r="AS2503" s="1063"/>
      <c r="AT2503" s="1063"/>
      <c r="AU2503" s="1063"/>
      <c r="AV2503" s="1063"/>
    </row>
    <row r="2504" spans="1:48" s="1108" customFormat="1" ht="27.75" customHeight="1">
      <c r="A2504" s="1076"/>
      <c r="B2504" s="1074">
        <f>+'[18]Bldg+Dev'!S3316</f>
        <v>0</v>
      </c>
      <c r="D2504" s="1063"/>
      <c r="F2504" s="1076"/>
      <c r="G2504" s="1063"/>
      <c r="H2504" s="1063"/>
      <c r="I2504" s="1063"/>
      <c r="J2504" s="1063"/>
      <c r="K2504" s="1063"/>
      <c r="L2504" s="1063"/>
      <c r="M2504" s="1063"/>
      <c r="N2504" s="1063"/>
      <c r="O2504" s="1063"/>
      <c r="P2504" s="1063"/>
      <c r="Q2504" s="1063"/>
      <c r="R2504" s="1063"/>
      <c r="S2504" s="1063"/>
      <c r="T2504" s="1063"/>
      <c r="U2504" s="1063"/>
      <c r="V2504" s="1063"/>
      <c r="W2504" s="1063"/>
      <c r="X2504" s="1063"/>
      <c r="Y2504" s="1063"/>
      <c r="Z2504" s="1063"/>
      <c r="AA2504" s="1063"/>
      <c r="AB2504" s="1063"/>
      <c r="AC2504" s="1063"/>
      <c r="AD2504" s="1063"/>
      <c r="AE2504" s="1063"/>
      <c r="AF2504" s="1063"/>
      <c r="AG2504" s="1063"/>
      <c r="AH2504" s="1063"/>
      <c r="AI2504" s="1063"/>
      <c r="AJ2504" s="1063"/>
      <c r="AK2504" s="1063"/>
      <c r="AL2504" s="1063"/>
      <c r="AM2504" s="1063"/>
      <c r="AN2504" s="1063"/>
      <c r="AO2504" s="1063"/>
      <c r="AP2504" s="1063"/>
      <c r="AQ2504" s="1063"/>
      <c r="AR2504" s="1063"/>
      <c r="AS2504" s="1063"/>
      <c r="AT2504" s="1063"/>
      <c r="AU2504" s="1063"/>
      <c r="AV2504" s="1063"/>
    </row>
    <row r="2505" spans="1:48" s="1108" customFormat="1" ht="27.75" customHeight="1">
      <c r="A2505" s="1076"/>
      <c r="B2505" s="1074">
        <f>+'[18]Bldg+Dev'!S3317</f>
        <v>0</v>
      </c>
      <c r="D2505" s="1063"/>
      <c r="F2505" s="1076"/>
      <c r="G2505" s="1063"/>
      <c r="H2505" s="1063"/>
      <c r="I2505" s="1063"/>
      <c r="J2505" s="1063"/>
      <c r="K2505" s="1063"/>
      <c r="L2505" s="1063"/>
      <c r="M2505" s="1063"/>
      <c r="N2505" s="1063"/>
      <c r="O2505" s="1063"/>
      <c r="P2505" s="1063"/>
      <c r="Q2505" s="1063"/>
      <c r="R2505" s="1063"/>
      <c r="S2505" s="1063"/>
      <c r="T2505" s="1063"/>
      <c r="U2505" s="1063"/>
      <c r="V2505" s="1063"/>
      <c r="W2505" s="1063"/>
      <c r="X2505" s="1063"/>
      <c r="Y2505" s="1063"/>
      <c r="Z2505" s="1063"/>
      <c r="AA2505" s="1063"/>
      <c r="AB2505" s="1063"/>
      <c r="AC2505" s="1063"/>
      <c r="AD2505" s="1063"/>
      <c r="AE2505" s="1063"/>
      <c r="AF2505" s="1063"/>
      <c r="AG2505" s="1063"/>
      <c r="AH2505" s="1063"/>
      <c r="AI2505" s="1063"/>
      <c r="AJ2505" s="1063"/>
      <c r="AK2505" s="1063"/>
      <c r="AL2505" s="1063"/>
      <c r="AM2505" s="1063"/>
      <c r="AN2505" s="1063"/>
      <c r="AO2505" s="1063"/>
      <c r="AP2505" s="1063"/>
      <c r="AQ2505" s="1063"/>
      <c r="AR2505" s="1063"/>
      <c r="AS2505" s="1063"/>
      <c r="AT2505" s="1063"/>
      <c r="AU2505" s="1063"/>
      <c r="AV2505" s="1063"/>
    </row>
    <row r="2506" spans="1:48" s="1108" customFormat="1" ht="27.75" customHeight="1">
      <c r="A2506" s="1076"/>
      <c r="B2506" s="1074">
        <f>+'[18]Bldg+Dev'!S3318</f>
        <v>0</v>
      </c>
      <c r="D2506" s="1063"/>
      <c r="F2506" s="1076"/>
      <c r="G2506" s="1063"/>
      <c r="H2506" s="1063"/>
      <c r="I2506" s="1063"/>
      <c r="J2506" s="1063"/>
      <c r="K2506" s="1063"/>
      <c r="L2506" s="1063"/>
      <c r="M2506" s="1063"/>
      <c r="N2506" s="1063"/>
      <c r="O2506" s="1063"/>
      <c r="P2506" s="1063"/>
      <c r="Q2506" s="1063"/>
      <c r="R2506" s="1063"/>
      <c r="S2506" s="1063"/>
      <c r="T2506" s="1063"/>
      <c r="U2506" s="1063"/>
      <c r="V2506" s="1063"/>
      <c r="W2506" s="1063"/>
      <c r="X2506" s="1063"/>
      <c r="Y2506" s="1063"/>
      <c r="Z2506" s="1063"/>
      <c r="AA2506" s="1063"/>
      <c r="AB2506" s="1063"/>
      <c r="AC2506" s="1063"/>
      <c r="AD2506" s="1063"/>
      <c r="AE2506" s="1063"/>
      <c r="AF2506" s="1063"/>
      <c r="AG2506" s="1063"/>
      <c r="AH2506" s="1063"/>
      <c r="AI2506" s="1063"/>
      <c r="AJ2506" s="1063"/>
      <c r="AK2506" s="1063"/>
      <c r="AL2506" s="1063"/>
      <c r="AM2506" s="1063"/>
      <c r="AN2506" s="1063"/>
      <c r="AO2506" s="1063"/>
      <c r="AP2506" s="1063"/>
      <c r="AQ2506" s="1063"/>
      <c r="AR2506" s="1063"/>
      <c r="AS2506" s="1063"/>
      <c r="AT2506" s="1063"/>
      <c r="AU2506" s="1063"/>
      <c r="AV2506" s="1063"/>
    </row>
    <row r="2507" spans="1:48" s="1108" customFormat="1" ht="27.75" customHeight="1">
      <c r="A2507" s="1076"/>
      <c r="B2507" s="1074">
        <f>+'[18]Bldg+Dev'!S3319</f>
        <v>0</v>
      </c>
      <c r="D2507" s="1063"/>
      <c r="F2507" s="1076"/>
      <c r="G2507" s="1063"/>
      <c r="H2507" s="1063"/>
      <c r="I2507" s="1063"/>
      <c r="J2507" s="1063"/>
      <c r="K2507" s="1063"/>
      <c r="L2507" s="1063"/>
      <c r="M2507" s="1063"/>
      <c r="N2507" s="1063"/>
      <c r="O2507" s="1063"/>
      <c r="P2507" s="1063"/>
      <c r="Q2507" s="1063"/>
      <c r="R2507" s="1063"/>
      <c r="S2507" s="1063"/>
      <c r="T2507" s="1063"/>
      <c r="U2507" s="1063"/>
      <c r="V2507" s="1063"/>
      <c r="W2507" s="1063"/>
      <c r="X2507" s="1063"/>
      <c r="Y2507" s="1063"/>
      <c r="Z2507" s="1063"/>
      <c r="AA2507" s="1063"/>
      <c r="AB2507" s="1063"/>
      <c r="AC2507" s="1063"/>
      <c r="AD2507" s="1063"/>
      <c r="AE2507" s="1063"/>
      <c r="AF2507" s="1063"/>
      <c r="AG2507" s="1063"/>
      <c r="AH2507" s="1063"/>
      <c r="AI2507" s="1063"/>
      <c r="AJ2507" s="1063"/>
      <c r="AK2507" s="1063"/>
      <c r="AL2507" s="1063"/>
      <c r="AM2507" s="1063"/>
      <c r="AN2507" s="1063"/>
      <c r="AO2507" s="1063"/>
      <c r="AP2507" s="1063"/>
      <c r="AQ2507" s="1063"/>
      <c r="AR2507" s="1063"/>
      <c r="AS2507" s="1063"/>
      <c r="AT2507" s="1063"/>
      <c r="AU2507" s="1063"/>
      <c r="AV2507" s="1063"/>
    </row>
    <row r="2508" spans="1:48" s="1108" customFormat="1" ht="27.75" customHeight="1">
      <c r="A2508" s="1076"/>
      <c r="B2508" s="1074">
        <f>+'[18]Bldg+Dev'!S3320</f>
        <v>0</v>
      </c>
      <c r="D2508" s="1063"/>
      <c r="F2508" s="1076"/>
      <c r="G2508" s="1063"/>
      <c r="H2508" s="1063"/>
      <c r="I2508" s="1063"/>
      <c r="J2508" s="1063"/>
      <c r="K2508" s="1063"/>
      <c r="L2508" s="1063"/>
      <c r="M2508" s="1063"/>
      <c r="N2508" s="1063"/>
      <c r="O2508" s="1063"/>
      <c r="P2508" s="1063"/>
      <c r="Q2508" s="1063"/>
      <c r="R2508" s="1063"/>
      <c r="S2508" s="1063"/>
      <c r="T2508" s="1063"/>
      <c r="U2508" s="1063"/>
      <c r="V2508" s="1063"/>
      <c r="W2508" s="1063"/>
      <c r="X2508" s="1063"/>
      <c r="Y2508" s="1063"/>
      <c r="Z2508" s="1063"/>
      <c r="AA2508" s="1063"/>
      <c r="AB2508" s="1063"/>
      <c r="AC2508" s="1063"/>
      <c r="AD2508" s="1063"/>
      <c r="AE2508" s="1063"/>
      <c r="AF2508" s="1063"/>
      <c r="AG2508" s="1063"/>
      <c r="AH2508" s="1063"/>
      <c r="AI2508" s="1063"/>
      <c r="AJ2508" s="1063"/>
      <c r="AK2508" s="1063"/>
      <c r="AL2508" s="1063"/>
      <c r="AM2508" s="1063"/>
      <c r="AN2508" s="1063"/>
      <c r="AO2508" s="1063"/>
      <c r="AP2508" s="1063"/>
      <c r="AQ2508" s="1063"/>
      <c r="AR2508" s="1063"/>
      <c r="AS2508" s="1063"/>
      <c r="AT2508" s="1063"/>
      <c r="AU2508" s="1063"/>
      <c r="AV2508" s="1063"/>
    </row>
    <row r="2509" spans="1:48" s="1108" customFormat="1" ht="27.75" customHeight="1">
      <c r="A2509" s="1076"/>
      <c r="B2509" s="1074">
        <f>+'[18]Bldg+Dev'!S3321</f>
        <v>0</v>
      </c>
      <c r="D2509" s="1063"/>
      <c r="F2509" s="1076"/>
      <c r="G2509" s="1063"/>
      <c r="H2509" s="1063"/>
      <c r="I2509" s="1063"/>
      <c r="J2509" s="1063"/>
      <c r="K2509" s="1063"/>
      <c r="L2509" s="1063"/>
      <c r="M2509" s="1063"/>
      <c r="N2509" s="1063"/>
      <c r="O2509" s="1063"/>
      <c r="P2509" s="1063"/>
      <c r="Q2509" s="1063"/>
      <c r="R2509" s="1063"/>
      <c r="S2509" s="1063"/>
      <c r="T2509" s="1063"/>
      <c r="U2509" s="1063"/>
      <c r="V2509" s="1063"/>
      <c r="W2509" s="1063"/>
      <c r="X2509" s="1063"/>
      <c r="Y2509" s="1063"/>
      <c r="Z2509" s="1063"/>
      <c r="AA2509" s="1063"/>
      <c r="AB2509" s="1063"/>
      <c r="AC2509" s="1063"/>
      <c r="AD2509" s="1063"/>
      <c r="AE2509" s="1063"/>
      <c r="AF2509" s="1063"/>
      <c r="AG2509" s="1063"/>
      <c r="AH2509" s="1063"/>
      <c r="AI2509" s="1063"/>
      <c r="AJ2509" s="1063"/>
      <c r="AK2509" s="1063"/>
      <c r="AL2509" s="1063"/>
      <c r="AM2509" s="1063"/>
      <c r="AN2509" s="1063"/>
      <c r="AO2509" s="1063"/>
      <c r="AP2509" s="1063"/>
      <c r="AQ2509" s="1063"/>
      <c r="AR2509" s="1063"/>
      <c r="AS2509" s="1063"/>
      <c r="AT2509" s="1063"/>
      <c r="AU2509" s="1063"/>
      <c r="AV2509" s="1063"/>
    </row>
    <row r="2510" spans="1:48" s="1108" customFormat="1" ht="27.75" customHeight="1">
      <c r="A2510" s="1076"/>
      <c r="B2510" s="1074">
        <f>+'[18]Bldg+Dev'!S3322</f>
        <v>0</v>
      </c>
      <c r="D2510" s="1063"/>
      <c r="F2510" s="1076"/>
      <c r="G2510" s="1063"/>
      <c r="H2510" s="1063"/>
      <c r="I2510" s="1063"/>
      <c r="J2510" s="1063"/>
      <c r="K2510" s="1063"/>
      <c r="L2510" s="1063"/>
      <c r="M2510" s="1063"/>
      <c r="N2510" s="1063"/>
      <c r="O2510" s="1063"/>
      <c r="P2510" s="1063"/>
      <c r="Q2510" s="1063"/>
      <c r="R2510" s="1063"/>
      <c r="S2510" s="1063"/>
      <c r="T2510" s="1063"/>
      <c r="U2510" s="1063"/>
      <c r="V2510" s="1063"/>
      <c r="W2510" s="1063"/>
      <c r="X2510" s="1063"/>
      <c r="Y2510" s="1063"/>
      <c r="Z2510" s="1063"/>
      <c r="AA2510" s="1063"/>
      <c r="AB2510" s="1063"/>
      <c r="AC2510" s="1063"/>
      <c r="AD2510" s="1063"/>
      <c r="AE2510" s="1063"/>
      <c r="AF2510" s="1063"/>
      <c r="AG2510" s="1063"/>
      <c r="AH2510" s="1063"/>
      <c r="AI2510" s="1063"/>
      <c r="AJ2510" s="1063"/>
      <c r="AK2510" s="1063"/>
      <c r="AL2510" s="1063"/>
      <c r="AM2510" s="1063"/>
      <c r="AN2510" s="1063"/>
      <c r="AO2510" s="1063"/>
      <c r="AP2510" s="1063"/>
      <c r="AQ2510" s="1063"/>
      <c r="AR2510" s="1063"/>
      <c r="AS2510" s="1063"/>
      <c r="AT2510" s="1063"/>
      <c r="AU2510" s="1063"/>
      <c r="AV2510" s="1063"/>
    </row>
    <row r="2511" spans="1:48" s="1108" customFormat="1" ht="27.75" customHeight="1">
      <c r="A2511" s="1076"/>
      <c r="B2511" s="1074">
        <f>+'[18]Bldg+Dev'!S3323</f>
        <v>0</v>
      </c>
      <c r="D2511" s="1063"/>
      <c r="F2511" s="1076"/>
      <c r="G2511" s="1063"/>
      <c r="H2511" s="1063"/>
      <c r="I2511" s="1063"/>
      <c r="J2511" s="1063"/>
      <c r="K2511" s="1063"/>
      <c r="L2511" s="1063"/>
      <c r="M2511" s="1063"/>
      <c r="N2511" s="1063"/>
      <c r="O2511" s="1063"/>
      <c r="P2511" s="1063"/>
      <c r="Q2511" s="1063"/>
      <c r="R2511" s="1063"/>
      <c r="S2511" s="1063"/>
      <c r="T2511" s="1063"/>
      <c r="U2511" s="1063"/>
      <c r="V2511" s="1063"/>
      <c r="W2511" s="1063"/>
      <c r="X2511" s="1063"/>
      <c r="Y2511" s="1063"/>
      <c r="Z2511" s="1063"/>
      <c r="AA2511" s="1063"/>
      <c r="AB2511" s="1063"/>
      <c r="AC2511" s="1063"/>
      <c r="AD2511" s="1063"/>
      <c r="AE2511" s="1063"/>
      <c r="AF2511" s="1063"/>
      <c r="AG2511" s="1063"/>
      <c r="AH2511" s="1063"/>
      <c r="AI2511" s="1063"/>
      <c r="AJ2511" s="1063"/>
      <c r="AK2511" s="1063"/>
      <c r="AL2511" s="1063"/>
      <c r="AM2511" s="1063"/>
      <c r="AN2511" s="1063"/>
      <c r="AO2511" s="1063"/>
      <c r="AP2511" s="1063"/>
      <c r="AQ2511" s="1063"/>
      <c r="AR2511" s="1063"/>
      <c r="AS2511" s="1063"/>
      <c r="AT2511" s="1063"/>
      <c r="AU2511" s="1063"/>
      <c r="AV2511" s="1063"/>
    </row>
    <row r="2512" spans="1:48" s="1108" customFormat="1" ht="27.75" customHeight="1">
      <c r="A2512" s="1076"/>
      <c r="B2512" s="1074">
        <f>+'[18]Bldg+Dev'!S3324</f>
        <v>0</v>
      </c>
      <c r="D2512" s="1063"/>
      <c r="F2512" s="1076"/>
      <c r="G2512" s="1063"/>
      <c r="H2512" s="1063"/>
      <c r="I2512" s="1063"/>
      <c r="J2512" s="1063"/>
      <c r="K2512" s="1063"/>
      <c r="L2512" s="1063"/>
      <c r="M2512" s="1063"/>
      <c r="N2512" s="1063"/>
      <c r="O2512" s="1063"/>
      <c r="P2512" s="1063"/>
      <c r="Q2512" s="1063"/>
      <c r="R2512" s="1063"/>
      <c r="S2512" s="1063"/>
      <c r="T2512" s="1063"/>
      <c r="U2512" s="1063"/>
      <c r="V2512" s="1063"/>
      <c r="W2512" s="1063"/>
      <c r="X2512" s="1063"/>
      <c r="Y2512" s="1063"/>
      <c r="Z2512" s="1063"/>
      <c r="AA2512" s="1063"/>
      <c r="AB2512" s="1063"/>
      <c r="AC2512" s="1063"/>
      <c r="AD2512" s="1063"/>
      <c r="AE2512" s="1063"/>
      <c r="AF2512" s="1063"/>
      <c r="AG2512" s="1063"/>
      <c r="AH2512" s="1063"/>
      <c r="AI2512" s="1063"/>
      <c r="AJ2512" s="1063"/>
      <c r="AK2512" s="1063"/>
      <c r="AL2512" s="1063"/>
      <c r="AM2512" s="1063"/>
      <c r="AN2512" s="1063"/>
      <c r="AO2512" s="1063"/>
      <c r="AP2512" s="1063"/>
      <c r="AQ2512" s="1063"/>
      <c r="AR2512" s="1063"/>
      <c r="AS2512" s="1063"/>
      <c r="AT2512" s="1063"/>
      <c r="AU2512" s="1063"/>
      <c r="AV2512" s="1063"/>
    </row>
    <row r="2513" spans="1:48" s="1108" customFormat="1" ht="27.75" customHeight="1">
      <c r="A2513" s="1076"/>
      <c r="B2513" s="1074">
        <f>+'[18]Bldg+Dev'!S3325</f>
        <v>0</v>
      </c>
      <c r="D2513" s="1063"/>
      <c r="F2513" s="1076"/>
      <c r="G2513" s="1063"/>
      <c r="H2513" s="1063"/>
      <c r="I2513" s="1063"/>
      <c r="J2513" s="1063"/>
      <c r="K2513" s="1063"/>
      <c r="L2513" s="1063"/>
      <c r="M2513" s="1063"/>
      <c r="N2513" s="1063"/>
      <c r="O2513" s="1063"/>
      <c r="P2513" s="1063"/>
      <c r="Q2513" s="1063"/>
      <c r="R2513" s="1063"/>
      <c r="S2513" s="1063"/>
      <c r="T2513" s="1063"/>
      <c r="U2513" s="1063"/>
      <c r="V2513" s="1063"/>
      <c r="W2513" s="1063"/>
      <c r="X2513" s="1063"/>
      <c r="Y2513" s="1063"/>
      <c r="Z2513" s="1063"/>
      <c r="AA2513" s="1063"/>
      <c r="AB2513" s="1063"/>
      <c r="AC2513" s="1063"/>
      <c r="AD2513" s="1063"/>
      <c r="AE2513" s="1063"/>
      <c r="AF2513" s="1063"/>
      <c r="AG2513" s="1063"/>
      <c r="AH2513" s="1063"/>
      <c r="AI2513" s="1063"/>
      <c r="AJ2513" s="1063"/>
      <c r="AK2513" s="1063"/>
      <c r="AL2513" s="1063"/>
      <c r="AM2513" s="1063"/>
      <c r="AN2513" s="1063"/>
      <c r="AO2513" s="1063"/>
      <c r="AP2513" s="1063"/>
      <c r="AQ2513" s="1063"/>
      <c r="AR2513" s="1063"/>
      <c r="AS2513" s="1063"/>
      <c r="AT2513" s="1063"/>
      <c r="AU2513" s="1063"/>
      <c r="AV2513" s="1063"/>
    </row>
    <row r="2514" spans="1:48" s="1108" customFormat="1" ht="27.75" customHeight="1">
      <c r="A2514" s="1076"/>
      <c r="B2514" s="1074">
        <f>+'[18]Bldg+Dev'!S3326</f>
        <v>0</v>
      </c>
      <c r="D2514" s="1063"/>
      <c r="F2514" s="1076"/>
      <c r="G2514" s="1063"/>
      <c r="H2514" s="1063"/>
      <c r="I2514" s="1063"/>
      <c r="J2514" s="1063"/>
      <c r="K2514" s="1063"/>
      <c r="L2514" s="1063"/>
      <c r="M2514" s="1063"/>
      <c r="N2514" s="1063"/>
      <c r="O2514" s="1063"/>
      <c r="P2514" s="1063"/>
      <c r="Q2514" s="1063"/>
      <c r="R2514" s="1063"/>
      <c r="S2514" s="1063"/>
      <c r="T2514" s="1063"/>
      <c r="U2514" s="1063"/>
      <c r="V2514" s="1063"/>
      <c r="W2514" s="1063"/>
      <c r="X2514" s="1063"/>
      <c r="Y2514" s="1063"/>
      <c r="Z2514" s="1063"/>
      <c r="AA2514" s="1063"/>
      <c r="AB2514" s="1063"/>
      <c r="AC2514" s="1063"/>
      <c r="AD2514" s="1063"/>
      <c r="AE2514" s="1063"/>
      <c r="AF2514" s="1063"/>
      <c r="AG2514" s="1063"/>
      <c r="AH2514" s="1063"/>
      <c r="AI2514" s="1063"/>
      <c r="AJ2514" s="1063"/>
      <c r="AK2514" s="1063"/>
      <c r="AL2514" s="1063"/>
      <c r="AM2514" s="1063"/>
      <c r="AN2514" s="1063"/>
      <c r="AO2514" s="1063"/>
      <c r="AP2514" s="1063"/>
      <c r="AQ2514" s="1063"/>
      <c r="AR2514" s="1063"/>
      <c r="AS2514" s="1063"/>
      <c r="AT2514" s="1063"/>
      <c r="AU2514" s="1063"/>
      <c r="AV2514" s="1063"/>
    </row>
    <row r="2515" spans="1:48" s="1108" customFormat="1" ht="27.75" customHeight="1">
      <c r="A2515" s="1076"/>
      <c r="B2515" s="1074">
        <f>+'[18]Bldg+Dev'!S3327</f>
        <v>0</v>
      </c>
      <c r="D2515" s="1063"/>
      <c r="F2515" s="1076"/>
      <c r="G2515" s="1063"/>
      <c r="H2515" s="1063"/>
      <c r="I2515" s="1063"/>
      <c r="J2515" s="1063"/>
      <c r="K2515" s="1063"/>
      <c r="L2515" s="1063"/>
      <c r="M2515" s="1063"/>
      <c r="N2515" s="1063"/>
      <c r="O2515" s="1063"/>
      <c r="P2515" s="1063"/>
      <c r="Q2515" s="1063"/>
      <c r="R2515" s="1063"/>
      <c r="S2515" s="1063"/>
      <c r="T2515" s="1063"/>
      <c r="U2515" s="1063"/>
      <c r="V2515" s="1063"/>
      <c r="W2515" s="1063"/>
      <c r="X2515" s="1063"/>
      <c r="Y2515" s="1063"/>
      <c r="Z2515" s="1063"/>
      <c r="AA2515" s="1063"/>
      <c r="AB2515" s="1063"/>
      <c r="AC2515" s="1063"/>
      <c r="AD2515" s="1063"/>
      <c r="AE2515" s="1063"/>
      <c r="AF2515" s="1063"/>
      <c r="AG2515" s="1063"/>
      <c r="AH2515" s="1063"/>
      <c r="AI2515" s="1063"/>
      <c r="AJ2515" s="1063"/>
      <c r="AK2515" s="1063"/>
      <c r="AL2515" s="1063"/>
      <c r="AM2515" s="1063"/>
      <c r="AN2515" s="1063"/>
      <c r="AO2515" s="1063"/>
      <c r="AP2515" s="1063"/>
      <c r="AQ2515" s="1063"/>
      <c r="AR2515" s="1063"/>
      <c r="AS2515" s="1063"/>
      <c r="AT2515" s="1063"/>
      <c r="AU2515" s="1063"/>
      <c r="AV2515" s="1063"/>
    </row>
    <row r="2516" spans="1:48" s="1108" customFormat="1" ht="27.75" customHeight="1">
      <c r="A2516" s="1076"/>
      <c r="B2516" s="1074">
        <f>+'[18]Bldg+Dev'!S3328</f>
        <v>0</v>
      </c>
      <c r="D2516" s="1063"/>
      <c r="F2516" s="1076"/>
      <c r="G2516" s="1063"/>
      <c r="H2516" s="1063"/>
      <c r="I2516" s="1063"/>
      <c r="J2516" s="1063"/>
      <c r="K2516" s="1063"/>
      <c r="L2516" s="1063"/>
      <c r="M2516" s="1063"/>
      <c r="N2516" s="1063"/>
      <c r="O2516" s="1063"/>
      <c r="P2516" s="1063"/>
      <c r="Q2516" s="1063"/>
      <c r="R2516" s="1063"/>
      <c r="S2516" s="1063"/>
      <c r="T2516" s="1063"/>
      <c r="U2516" s="1063"/>
      <c r="V2516" s="1063"/>
      <c r="W2516" s="1063"/>
      <c r="X2516" s="1063"/>
      <c r="Y2516" s="1063"/>
      <c r="Z2516" s="1063"/>
      <c r="AA2516" s="1063"/>
      <c r="AB2516" s="1063"/>
      <c r="AC2516" s="1063"/>
      <c r="AD2516" s="1063"/>
      <c r="AE2516" s="1063"/>
      <c r="AF2516" s="1063"/>
      <c r="AG2516" s="1063"/>
      <c r="AH2516" s="1063"/>
      <c r="AI2516" s="1063"/>
      <c r="AJ2516" s="1063"/>
      <c r="AK2516" s="1063"/>
      <c r="AL2516" s="1063"/>
      <c r="AM2516" s="1063"/>
      <c r="AN2516" s="1063"/>
      <c r="AO2516" s="1063"/>
      <c r="AP2516" s="1063"/>
      <c r="AQ2516" s="1063"/>
      <c r="AR2516" s="1063"/>
      <c r="AS2516" s="1063"/>
      <c r="AT2516" s="1063"/>
      <c r="AU2516" s="1063"/>
      <c r="AV2516" s="1063"/>
    </row>
    <row r="2517" spans="1:48" s="1108" customFormat="1" ht="27.75" customHeight="1">
      <c r="A2517" s="1076"/>
      <c r="B2517" s="1074">
        <f>+'[18]Bldg+Dev'!S3329</f>
        <v>0</v>
      </c>
      <c r="D2517" s="1063"/>
      <c r="F2517" s="1076"/>
      <c r="G2517" s="1063"/>
      <c r="H2517" s="1063"/>
      <c r="I2517" s="1063"/>
      <c r="J2517" s="1063"/>
      <c r="K2517" s="1063"/>
      <c r="L2517" s="1063"/>
      <c r="M2517" s="1063"/>
      <c r="N2517" s="1063"/>
      <c r="O2517" s="1063"/>
      <c r="P2517" s="1063"/>
      <c r="Q2517" s="1063"/>
      <c r="R2517" s="1063"/>
      <c r="S2517" s="1063"/>
      <c r="T2517" s="1063"/>
      <c r="U2517" s="1063"/>
      <c r="V2517" s="1063"/>
      <c r="W2517" s="1063"/>
      <c r="X2517" s="1063"/>
      <c r="Y2517" s="1063"/>
      <c r="Z2517" s="1063"/>
      <c r="AA2517" s="1063"/>
      <c r="AB2517" s="1063"/>
      <c r="AC2517" s="1063"/>
      <c r="AD2517" s="1063"/>
      <c r="AE2517" s="1063"/>
      <c r="AF2517" s="1063"/>
      <c r="AG2517" s="1063"/>
      <c r="AH2517" s="1063"/>
      <c r="AI2517" s="1063"/>
      <c r="AJ2517" s="1063"/>
      <c r="AK2517" s="1063"/>
      <c r="AL2517" s="1063"/>
      <c r="AM2517" s="1063"/>
      <c r="AN2517" s="1063"/>
      <c r="AO2517" s="1063"/>
      <c r="AP2517" s="1063"/>
      <c r="AQ2517" s="1063"/>
      <c r="AR2517" s="1063"/>
      <c r="AS2517" s="1063"/>
      <c r="AT2517" s="1063"/>
      <c r="AU2517" s="1063"/>
      <c r="AV2517" s="1063"/>
    </row>
    <row r="2518" spans="1:48" s="1108" customFormat="1" ht="27.75" customHeight="1">
      <c r="A2518" s="1076"/>
      <c r="B2518" s="1074">
        <f>+'[18]Bldg+Dev'!S3330</f>
        <v>0</v>
      </c>
      <c r="D2518" s="1063"/>
      <c r="F2518" s="1076"/>
      <c r="G2518" s="1063"/>
      <c r="H2518" s="1063"/>
      <c r="I2518" s="1063"/>
      <c r="J2518" s="1063"/>
      <c r="K2518" s="1063"/>
      <c r="L2518" s="1063"/>
      <c r="M2518" s="1063"/>
      <c r="N2518" s="1063"/>
      <c r="O2518" s="1063"/>
      <c r="P2518" s="1063"/>
      <c r="Q2518" s="1063"/>
      <c r="R2518" s="1063"/>
      <c r="S2518" s="1063"/>
      <c r="T2518" s="1063"/>
      <c r="U2518" s="1063"/>
      <c r="V2518" s="1063"/>
      <c r="W2518" s="1063"/>
      <c r="X2518" s="1063"/>
      <c r="Y2518" s="1063"/>
      <c r="Z2518" s="1063"/>
      <c r="AA2518" s="1063"/>
      <c r="AB2518" s="1063"/>
      <c r="AC2518" s="1063"/>
      <c r="AD2518" s="1063"/>
      <c r="AE2518" s="1063"/>
      <c r="AF2518" s="1063"/>
      <c r="AG2518" s="1063"/>
      <c r="AH2518" s="1063"/>
      <c r="AI2518" s="1063"/>
      <c r="AJ2518" s="1063"/>
      <c r="AK2518" s="1063"/>
      <c r="AL2518" s="1063"/>
      <c r="AM2518" s="1063"/>
      <c r="AN2518" s="1063"/>
      <c r="AO2518" s="1063"/>
      <c r="AP2518" s="1063"/>
      <c r="AQ2518" s="1063"/>
      <c r="AR2518" s="1063"/>
      <c r="AS2518" s="1063"/>
      <c r="AT2518" s="1063"/>
      <c r="AU2518" s="1063"/>
      <c r="AV2518" s="1063"/>
    </row>
    <row r="2519" spans="1:48" s="1108" customFormat="1" ht="27.75" customHeight="1">
      <c r="A2519" s="1076"/>
      <c r="B2519" s="1074">
        <f>+'[18]Bldg+Dev'!S3331</f>
        <v>0</v>
      </c>
      <c r="D2519" s="1063"/>
      <c r="F2519" s="1076"/>
      <c r="G2519" s="1063"/>
      <c r="H2519" s="1063"/>
      <c r="I2519" s="1063"/>
      <c r="J2519" s="1063"/>
      <c r="K2519" s="1063"/>
      <c r="L2519" s="1063"/>
      <c r="M2519" s="1063"/>
      <c r="N2519" s="1063"/>
      <c r="O2519" s="1063"/>
      <c r="P2519" s="1063"/>
      <c r="Q2519" s="1063"/>
      <c r="R2519" s="1063"/>
      <c r="S2519" s="1063"/>
      <c r="T2519" s="1063"/>
      <c r="U2519" s="1063"/>
      <c r="V2519" s="1063"/>
      <c r="W2519" s="1063"/>
      <c r="X2519" s="1063"/>
      <c r="Y2519" s="1063"/>
      <c r="Z2519" s="1063"/>
      <c r="AA2519" s="1063"/>
      <c r="AB2519" s="1063"/>
      <c r="AC2519" s="1063"/>
      <c r="AD2519" s="1063"/>
      <c r="AE2519" s="1063"/>
      <c r="AF2519" s="1063"/>
      <c r="AG2519" s="1063"/>
      <c r="AH2519" s="1063"/>
      <c r="AI2519" s="1063"/>
      <c r="AJ2519" s="1063"/>
      <c r="AK2519" s="1063"/>
      <c r="AL2519" s="1063"/>
      <c r="AM2519" s="1063"/>
      <c r="AN2519" s="1063"/>
      <c r="AO2519" s="1063"/>
      <c r="AP2519" s="1063"/>
      <c r="AQ2519" s="1063"/>
      <c r="AR2519" s="1063"/>
      <c r="AS2519" s="1063"/>
      <c r="AT2519" s="1063"/>
      <c r="AU2519" s="1063"/>
      <c r="AV2519" s="1063"/>
    </row>
    <row r="2520" spans="1:48" s="1108" customFormat="1" ht="27.75" customHeight="1">
      <c r="A2520" s="1076"/>
      <c r="B2520" s="1074">
        <f>+'[18]Bldg+Dev'!S3332</f>
        <v>0</v>
      </c>
      <c r="D2520" s="1063"/>
      <c r="F2520" s="1076"/>
      <c r="G2520" s="1063"/>
      <c r="H2520" s="1063"/>
      <c r="I2520" s="1063"/>
      <c r="J2520" s="1063"/>
      <c r="K2520" s="1063"/>
      <c r="L2520" s="1063"/>
      <c r="M2520" s="1063"/>
      <c r="N2520" s="1063"/>
      <c r="O2520" s="1063"/>
      <c r="P2520" s="1063"/>
      <c r="Q2520" s="1063"/>
      <c r="R2520" s="1063"/>
      <c r="S2520" s="1063"/>
      <c r="T2520" s="1063"/>
      <c r="U2520" s="1063"/>
      <c r="V2520" s="1063"/>
      <c r="W2520" s="1063"/>
      <c r="X2520" s="1063"/>
      <c r="Y2520" s="1063"/>
      <c r="Z2520" s="1063"/>
      <c r="AA2520" s="1063"/>
      <c r="AB2520" s="1063"/>
      <c r="AC2520" s="1063"/>
      <c r="AD2520" s="1063"/>
      <c r="AE2520" s="1063"/>
      <c r="AF2520" s="1063"/>
      <c r="AG2520" s="1063"/>
      <c r="AH2520" s="1063"/>
      <c r="AI2520" s="1063"/>
      <c r="AJ2520" s="1063"/>
      <c r="AK2520" s="1063"/>
      <c r="AL2520" s="1063"/>
      <c r="AM2520" s="1063"/>
      <c r="AN2520" s="1063"/>
      <c r="AO2520" s="1063"/>
      <c r="AP2520" s="1063"/>
      <c r="AQ2520" s="1063"/>
      <c r="AR2520" s="1063"/>
      <c r="AS2520" s="1063"/>
      <c r="AT2520" s="1063"/>
      <c r="AU2520" s="1063"/>
      <c r="AV2520" s="1063"/>
    </row>
    <row r="2521" spans="1:48" s="1108" customFormat="1" ht="27.75" customHeight="1">
      <c r="A2521" s="1076"/>
      <c r="B2521" s="1074">
        <f>+'[18]Bldg+Dev'!S3333</f>
        <v>0</v>
      </c>
      <c r="D2521" s="1063"/>
      <c r="F2521" s="1076"/>
      <c r="G2521" s="1063"/>
      <c r="H2521" s="1063"/>
      <c r="I2521" s="1063"/>
      <c r="J2521" s="1063"/>
      <c r="K2521" s="1063"/>
      <c r="L2521" s="1063"/>
      <c r="M2521" s="1063"/>
      <c r="N2521" s="1063"/>
      <c r="O2521" s="1063"/>
      <c r="P2521" s="1063"/>
      <c r="Q2521" s="1063"/>
      <c r="R2521" s="1063"/>
      <c r="S2521" s="1063"/>
      <c r="T2521" s="1063"/>
      <c r="U2521" s="1063"/>
      <c r="V2521" s="1063"/>
      <c r="W2521" s="1063"/>
      <c r="X2521" s="1063"/>
      <c r="Y2521" s="1063"/>
      <c r="Z2521" s="1063"/>
      <c r="AA2521" s="1063"/>
      <c r="AB2521" s="1063"/>
      <c r="AC2521" s="1063"/>
      <c r="AD2521" s="1063"/>
      <c r="AE2521" s="1063"/>
      <c r="AF2521" s="1063"/>
      <c r="AG2521" s="1063"/>
      <c r="AH2521" s="1063"/>
      <c r="AI2521" s="1063"/>
      <c r="AJ2521" s="1063"/>
      <c r="AK2521" s="1063"/>
      <c r="AL2521" s="1063"/>
      <c r="AM2521" s="1063"/>
      <c r="AN2521" s="1063"/>
      <c r="AO2521" s="1063"/>
      <c r="AP2521" s="1063"/>
      <c r="AQ2521" s="1063"/>
      <c r="AR2521" s="1063"/>
      <c r="AS2521" s="1063"/>
      <c r="AT2521" s="1063"/>
      <c r="AU2521" s="1063"/>
      <c r="AV2521" s="1063"/>
    </row>
    <row r="2522" spans="1:48" s="1108" customFormat="1" ht="27.75" customHeight="1">
      <c r="A2522" s="1076"/>
      <c r="B2522" s="1074">
        <f>+'[18]Bldg+Dev'!S3334</f>
        <v>0</v>
      </c>
      <c r="D2522" s="1063"/>
      <c r="F2522" s="1076"/>
      <c r="G2522" s="1063"/>
      <c r="H2522" s="1063"/>
      <c r="I2522" s="1063"/>
      <c r="J2522" s="1063"/>
      <c r="K2522" s="1063"/>
      <c r="L2522" s="1063"/>
      <c r="M2522" s="1063"/>
      <c r="N2522" s="1063"/>
      <c r="O2522" s="1063"/>
      <c r="P2522" s="1063"/>
      <c r="Q2522" s="1063"/>
      <c r="R2522" s="1063"/>
      <c r="S2522" s="1063"/>
      <c r="T2522" s="1063"/>
      <c r="U2522" s="1063"/>
      <c r="V2522" s="1063"/>
      <c r="W2522" s="1063"/>
      <c r="X2522" s="1063"/>
      <c r="Y2522" s="1063"/>
      <c r="Z2522" s="1063"/>
      <c r="AA2522" s="1063"/>
      <c r="AB2522" s="1063"/>
      <c r="AC2522" s="1063"/>
      <c r="AD2522" s="1063"/>
      <c r="AE2522" s="1063"/>
      <c r="AF2522" s="1063"/>
      <c r="AG2522" s="1063"/>
      <c r="AH2522" s="1063"/>
      <c r="AI2522" s="1063"/>
      <c r="AJ2522" s="1063"/>
      <c r="AK2522" s="1063"/>
      <c r="AL2522" s="1063"/>
      <c r="AM2522" s="1063"/>
      <c r="AN2522" s="1063"/>
      <c r="AO2522" s="1063"/>
      <c r="AP2522" s="1063"/>
      <c r="AQ2522" s="1063"/>
      <c r="AR2522" s="1063"/>
      <c r="AS2522" s="1063"/>
      <c r="AT2522" s="1063"/>
      <c r="AU2522" s="1063"/>
      <c r="AV2522" s="1063"/>
    </row>
    <row r="2523" spans="1:48" s="1108" customFormat="1" ht="27.75" customHeight="1">
      <c r="A2523" s="1076"/>
      <c r="B2523" s="1074">
        <f>+'[18]Bldg+Dev'!S3335</f>
        <v>0</v>
      </c>
      <c r="D2523" s="1063"/>
      <c r="F2523" s="1076"/>
      <c r="G2523" s="1063"/>
      <c r="H2523" s="1063"/>
      <c r="I2523" s="1063"/>
      <c r="J2523" s="1063"/>
      <c r="K2523" s="1063"/>
      <c r="L2523" s="1063"/>
      <c r="M2523" s="1063"/>
      <c r="N2523" s="1063"/>
      <c r="O2523" s="1063"/>
      <c r="P2523" s="1063"/>
      <c r="Q2523" s="1063"/>
      <c r="R2523" s="1063"/>
      <c r="S2523" s="1063"/>
      <c r="T2523" s="1063"/>
      <c r="U2523" s="1063"/>
      <c r="V2523" s="1063"/>
      <c r="W2523" s="1063"/>
      <c r="X2523" s="1063"/>
      <c r="Y2523" s="1063"/>
      <c r="Z2523" s="1063"/>
      <c r="AA2523" s="1063"/>
      <c r="AB2523" s="1063"/>
      <c r="AC2523" s="1063"/>
      <c r="AD2523" s="1063"/>
      <c r="AE2523" s="1063"/>
      <c r="AF2523" s="1063"/>
      <c r="AG2523" s="1063"/>
      <c r="AH2523" s="1063"/>
      <c r="AI2523" s="1063"/>
      <c r="AJ2523" s="1063"/>
      <c r="AK2523" s="1063"/>
      <c r="AL2523" s="1063"/>
      <c r="AM2523" s="1063"/>
      <c r="AN2523" s="1063"/>
      <c r="AO2523" s="1063"/>
      <c r="AP2523" s="1063"/>
      <c r="AQ2523" s="1063"/>
      <c r="AR2523" s="1063"/>
      <c r="AS2523" s="1063"/>
      <c r="AT2523" s="1063"/>
      <c r="AU2523" s="1063"/>
      <c r="AV2523" s="1063"/>
    </row>
    <row r="2524" spans="1:48" s="1108" customFormat="1" ht="27.75" customHeight="1">
      <c r="A2524" s="1076"/>
      <c r="B2524" s="1074">
        <f>+'[18]Bldg+Dev'!S3336</f>
        <v>0</v>
      </c>
      <c r="D2524" s="1063"/>
      <c r="F2524" s="1076"/>
      <c r="G2524" s="1063"/>
      <c r="H2524" s="1063"/>
      <c r="I2524" s="1063"/>
      <c r="J2524" s="1063"/>
      <c r="K2524" s="1063"/>
      <c r="L2524" s="1063"/>
      <c r="M2524" s="1063"/>
      <c r="N2524" s="1063"/>
      <c r="O2524" s="1063"/>
      <c r="P2524" s="1063"/>
      <c r="Q2524" s="1063"/>
      <c r="R2524" s="1063"/>
      <c r="S2524" s="1063"/>
      <c r="T2524" s="1063"/>
      <c r="U2524" s="1063"/>
      <c r="V2524" s="1063"/>
      <c r="W2524" s="1063"/>
      <c r="X2524" s="1063"/>
      <c r="Y2524" s="1063"/>
      <c r="Z2524" s="1063"/>
      <c r="AA2524" s="1063"/>
      <c r="AB2524" s="1063"/>
      <c r="AC2524" s="1063"/>
      <c r="AD2524" s="1063"/>
      <c r="AE2524" s="1063"/>
      <c r="AF2524" s="1063"/>
      <c r="AG2524" s="1063"/>
      <c r="AH2524" s="1063"/>
      <c r="AI2524" s="1063"/>
      <c r="AJ2524" s="1063"/>
      <c r="AK2524" s="1063"/>
      <c r="AL2524" s="1063"/>
      <c r="AM2524" s="1063"/>
      <c r="AN2524" s="1063"/>
      <c r="AO2524" s="1063"/>
      <c r="AP2524" s="1063"/>
      <c r="AQ2524" s="1063"/>
      <c r="AR2524" s="1063"/>
      <c r="AS2524" s="1063"/>
      <c r="AT2524" s="1063"/>
      <c r="AU2524" s="1063"/>
      <c r="AV2524" s="1063"/>
    </row>
    <row r="2525" spans="1:48" s="1108" customFormat="1" ht="27.75" customHeight="1">
      <c r="A2525" s="1076"/>
      <c r="B2525" s="1074">
        <f>+'[18]Bldg+Dev'!S3337</f>
        <v>0</v>
      </c>
      <c r="D2525" s="1063"/>
      <c r="F2525" s="1076"/>
      <c r="G2525" s="1063"/>
      <c r="H2525" s="1063"/>
      <c r="I2525" s="1063"/>
      <c r="J2525" s="1063"/>
      <c r="K2525" s="1063"/>
      <c r="L2525" s="1063"/>
      <c r="M2525" s="1063"/>
      <c r="N2525" s="1063"/>
      <c r="O2525" s="1063"/>
      <c r="P2525" s="1063"/>
      <c r="Q2525" s="1063"/>
      <c r="R2525" s="1063"/>
      <c r="S2525" s="1063"/>
      <c r="T2525" s="1063"/>
      <c r="U2525" s="1063"/>
      <c r="V2525" s="1063"/>
      <c r="W2525" s="1063"/>
      <c r="X2525" s="1063"/>
      <c r="Y2525" s="1063"/>
      <c r="Z2525" s="1063"/>
      <c r="AA2525" s="1063"/>
      <c r="AB2525" s="1063"/>
      <c r="AC2525" s="1063"/>
      <c r="AD2525" s="1063"/>
      <c r="AE2525" s="1063"/>
      <c r="AF2525" s="1063"/>
      <c r="AG2525" s="1063"/>
      <c r="AH2525" s="1063"/>
      <c r="AI2525" s="1063"/>
      <c r="AJ2525" s="1063"/>
      <c r="AK2525" s="1063"/>
      <c r="AL2525" s="1063"/>
      <c r="AM2525" s="1063"/>
      <c r="AN2525" s="1063"/>
      <c r="AO2525" s="1063"/>
      <c r="AP2525" s="1063"/>
      <c r="AQ2525" s="1063"/>
      <c r="AR2525" s="1063"/>
      <c r="AS2525" s="1063"/>
      <c r="AT2525" s="1063"/>
      <c r="AU2525" s="1063"/>
      <c r="AV2525" s="1063"/>
    </row>
    <row r="2526" spans="1:48" s="1108" customFormat="1" ht="27.75" customHeight="1">
      <c r="A2526" s="1076"/>
      <c r="B2526" s="1074">
        <f>+'[18]Bldg+Dev'!S3338</f>
        <v>0</v>
      </c>
      <c r="D2526" s="1063"/>
      <c r="F2526" s="1076"/>
      <c r="G2526" s="1063"/>
      <c r="H2526" s="1063"/>
      <c r="I2526" s="1063"/>
      <c r="J2526" s="1063"/>
      <c r="K2526" s="1063"/>
      <c r="L2526" s="1063"/>
      <c r="M2526" s="1063"/>
      <c r="N2526" s="1063"/>
      <c r="O2526" s="1063"/>
      <c r="P2526" s="1063"/>
      <c r="Q2526" s="1063"/>
      <c r="R2526" s="1063"/>
      <c r="S2526" s="1063"/>
      <c r="T2526" s="1063"/>
      <c r="U2526" s="1063"/>
      <c r="V2526" s="1063"/>
      <c r="W2526" s="1063"/>
      <c r="X2526" s="1063"/>
      <c r="Y2526" s="1063"/>
      <c r="Z2526" s="1063"/>
      <c r="AA2526" s="1063"/>
      <c r="AB2526" s="1063"/>
      <c r="AC2526" s="1063"/>
      <c r="AD2526" s="1063"/>
      <c r="AE2526" s="1063"/>
      <c r="AF2526" s="1063"/>
      <c r="AG2526" s="1063"/>
      <c r="AH2526" s="1063"/>
      <c r="AI2526" s="1063"/>
      <c r="AJ2526" s="1063"/>
      <c r="AK2526" s="1063"/>
      <c r="AL2526" s="1063"/>
      <c r="AM2526" s="1063"/>
      <c r="AN2526" s="1063"/>
      <c r="AO2526" s="1063"/>
      <c r="AP2526" s="1063"/>
      <c r="AQ2526" s="1063"/>
      <c r="AR2526" s="1063"/>
      <c r="AS2526" s="1063"/>
      <c r="AT2526" s="1063"/>
      <c r="AU2526" s="1063"/>
      <c r="AV2526" s="1063"/>
    </row>
    <row r="2527" spans="1:48" s="1108" customFormat="1" ht="27.75" customHeight="1">
      <c r="A2527" s="1076"/>
      <c r="B2527" s="1074">
        <f>+'[18]Bldg+Dev'!S3339</f>
        <v>0</v>
      </c>
      <c r="D2527" s="1063"/>
      <c r="F2527" s="1076"/>
      <c r="G2527" s="1063"/>
      <c r="H2527" s="1063"/>
      <c r="I2527" s="1063"/>
      <c r="J2527" s="1063"/>
      <c r="K2527" s="1063"/>
      <c r="L2527" s="1063"/>
      <c r="M2527" s="1063"/>
      <c r="N2527" s="1063"/>
      <c r="O2527" s="1063"/>
      <c r="P2527" s="1063"/>
      <c r="Q2527" s="1063"/>
      <c r="R2527" s="1063"/>
      <c r="S2527" s="1063"/>
      <c r="T2527" s="1063"/>
      <c r="U2527" s="1063"/>
      <c r="V2527" s="1063"/>
      <c r="W2527" s="1063"/>
      <c r="X2527" s="1063"/>
      <c r="Y2527" s="1063"/>
      <c r="Z2527" s="1063"/>
      <c r="AA2527" s="1063"/>
      <c r="AB2527" s="1063"/>
      <c r="AC2527" s="1063"/>
      <c r="AD2527" s="1063"/>
      <c r="AE2527" s="1063"/>
      <c r="AF2527" s="1063"/>
      <c r="AG2527" s="1063"/>
      <c r="AH2527" s="1063"/>
      <c r="AI2527" s="1063"/>
      <c r="AJ2527" s="1063"/>
      <c r="AK2527" s="1063"/>
      <c r="AL2527" s="1063"/>
      <c r="AM2527" s="1063"/>
      <c r="AN2527" s="1063"/>
      <c r="AO2527" s="1063"/>
      <c r="AP2527" s="1063"/>
      <c r="AQ2527" s="1063"/>
      <c r="AR2527" s="1063"/>
      <c r="AS2527" s="1063"/>
      <c r="AT2527" s="1063"/>
      <c r="AU2527" s="1063"/>
      <c r="AV2527" s="1063"/>
    </row>
    <row r="2528" spans="1:48" s="1108" customFormat="1" ht="27.75" customHeight="1">
      <c r="A2528" s="1076"/>
      <c r="B2528" s="1074">
        <f>+'[18]Bldg+Dev'!S3340</f>
        <v>0</v>
      </c>
      <c r="D2528" s="1063"/>
      <c r="F2528" s="1076"/>
      <c r="G2528" s="1063"/>
      <c r="H2528" s="1063"/>
      <c r="I2528" s="1063"/>
      <c r="J2528" s="1063"/>
      <c r="K2528" s="1063"/>
      <c r="L2528" s="1063"/>
      <c r="M2528" s="1063"/>
      <c r="N2528" s="1063"/>
      <c r="O2528" s="1063"/>
      <c r="P2528" s="1063"/>
      <c r="Q2528" s="1063"/>
      <c r="R2528" s="1063"/>
      <c r="S2528" s="1063"/>
      <c r="T2528" s="1063"/>
      <c r="U2528" s="1063"/>
      <c r="V2528" s="1063"/>
      <c r="W2528" s="1063"/>
      <c r="X2528" s="1063"/>
      <c r="Y2528" s="1063"/>
      <c r="Z2528" s="1063"/>
      <c r="AA2528" s="1063"/>
      <c r="AB2528" s="1063"/>
      <c r="AC2528" s="1063"/>
      <c r="AD2528" s="1063"/>
      <c r="AE2528" s="1063"/>
      <c r="AF2528" s="1063"/>
      <c r="AG2528" s="1063"/>
      <c r="AH2528" s="1063"/>
      <c r="AI2528" s="1063"/>
      <c r="AJ2528" s="1063"/>
      <c r="AK2528" s="1063"/>
      <c r="AL2528" s="1063"/>
      <c r="AM2528" s="1063"/>
      <c r="AN2528" s="1063"/>
      <c r="AO2528" s="1063"/>
      <c r="AP2528" s="1063"/>
      <c r="AQ2528" s="1063"/>
      <c r="AR2528" s="1063"/>
      <c r="AS2528" s="1063"/>
      <c r="AT2528" s="1063"/>
      <c r="AU2528" s="1063"/>
      <c r="AV2528" s="1063"/>
    </row>
    <row r="2529" spans="1:48" s="1108" customFormat="1" ht="27.75" customHeight="1">
      <c r="A2529" s="1076"/>
      <c r="B2529" s="1074">
        <f>+'[18]Bldg+Dev'!S3341</f>
        <v>0</v>
      </c>
      <c r="D2529" s="1063"/>
      <c r="F2529" s="1076"/>
      <c r="G2529" s="1063"/>
      <c r="H2529" s="1063"/>
      <c r="I2529" s="1063"/>
      <c r="J2529" s="1063"/>
      <c r="K2529" s="1063"/>
      <c r="L2529" s="1063"/>
      <c r="M2529" s="1063"/>
      <c r="N2529" s="1063"/>
      <c r="O2529" s="1063"/>
      <c r="P2529" s="1063"/>
      <c r="Q2529" s="1063"/>
      <c r="R2529" s="1063"/>
      <c r="S2529" s="1063"/>
      <c r="T2529" s="1063"/>
      <c r="U2529" s="1063"/>
      <c r="V2529" s="1063"/>
      <c r="W2529" s="1063"/>
      <c r="X2529" s="1063"/>
      <c r="Y2529" s="1063"/>
      <c r="Z2529" s="1063"/>
      <c r="AA2529" s="1063"/>
      <c r="AB2529" s="1063"/>
      <c r="AC2529" s="1063"/>
      <c r="AD2529" s="1063"/>
      <c r="AE2529" s="1063"/>
      <c r="AF2529" s="1063"/>
      <c r="AG2529" s="1063"/>
      <c r="AH2529" s="1063"/>
      <c r="AI2529" s="1063"/>
      <c r="AJ2529" s="1063"/>
      <c r="AK2529" s="1063"/>
      <c r="AL2529" s="1063"/>
      <c r="AM2529" s="1063"/>
      <c r="AN2529" s="1063"/>
      <c r="AO2529" s="1063"/>
      <c r="AP2529" s="1063"/>
      <c r="AQ2529" s="1063"/>
      <c r="AR2529" s="1063"/>
      <c r="AS2529" s="1063"/>
      <c r="AT2529" s="1063"/>
      <c r="AU2529" s="1063"/>
      <c r="AV2529" s="1063"/>
    </row>
    <row r="2530" spans="1:48" s="1108" customFormat="1" ht="27.75" customHeight="1">
      <c r="A2530" s="1076"/>
      <c r="B2530" s="1074">
        <f>+'[18]Bldg+Dev'!S3342</f>
        <v>0</v>
      </c>
      <c r="D2530" s="1063"/>
      <c r="F2530" s="1076"/>
      <c r="G2530" s="1063"/>
      <c r="H2530" s="1063"/>
      <c r="I2530" s="1063"/>
      <c r="J2530" s="1063"/>
      <c r="K2530" s="1063"/>
      <c r="L2530" s="1063"/>
      <c r="M2530" s="1063"/>
      <c r="N2530" s="1063"/>
      <c r="O2530" s="1063"/>
      <c r="P2530" s="1063"/>
      <c r="Q2530" s="1063"/>
      <c r="R2530" s="1063"/>
      <c r="S2530" s="1063"/>
      <c r="T2530" s="1063"/>
      <c r="U2530" s="1063"/>
      <c r="V2530" s="1063"/>
      <c r="W2530" s="1063"/>
      <c r="X2530" s="1063"/>
      <c r="Y2530" s="1063"/>
      <c r="Z2530" s="1063"/>
      <c r="AA2530" s="1063"/>
      <c r="AB2530" s="1063"/>
      <c r="AC2530" s="1063"/>
      <c r="AD2530" s="1063"/>
      <c r="AE2530" s="1063"/>
      <c r="AF2530" s="1063"/>
      <c r="AG2530" s="1063"/>
      <c r="AH2530" s="1063"/>
      <c r="AI2530" s="1063"/>
      <c r="AJ2530" s="1063"/>
      <c r="AK2530" s="1063"/>
      <c r="AL2530" s="1063"/>
      <c r="AM2530" s="1063"/>
      <c r="AN2530" s="1063"/>
      <c r="AO2530" s="1063"/>
      <c r="AP2530" s="1063"/>
      <c r="AQ2530" s="1063"/>
      <c r="AR2530" s="1063"/>
      <c r="AS2530" s="1063"/>
      <c r="AT2530" s="1063"/>
      <c r="AU2530" s="1063"/>
      <c r="AV2530" s="1063"/>
    </row>
    <row r="2531" spans="1:48" s="1108" customFormat="1" ht="27.75" customHeight="1">
      <c r="A2531" s="1076"/>
      <c r="B2531" s="1074">
        <f>+'[18]Bldg+Dev'!S3343</f>
        <v>0</v>
      </c>
      <c r="D2531" s="1063"/>
      <c r="F2531" s="1076"/>
      <c r="G2531" s="1063"/>
      <c r="H2531" s="1063"/>
      <c r="I2531" s="1063"/>
      <c r="J2531" s="1063"/>
      <c r="K2531" s="1063"/>
      <c r="L2531" s="1063"/>
      <c r="M2531" s="1063"/>
      <c r="N2531" s="1063"/>
      <c r="O2531" s="1063"/>
      <c r="P2531" s="1063"/>
      <c r="Q2531" s="1063"/>
      <c r="R2531" s="1063"/>
      <c r="S2531" s="1063"/>
      <c r="T2531" s="1063"/>
      <c r="U2531" s="1063"/>
      <c r="V2531" s="1063"/>
      <c r="W2531" s="1063"/>
      <c r="X2531" s="1063"/>
      <c r="Y2531" s="1063"/>
      <c r="Z2531" s="1063"/>
      <c r="AA2531" s="1063"/>
      <c r="AB2531" s="1063"/>
      <c r="AC2531" s="1063"/>
      <c r="AD2531" s="1063"/>
      <c r="AE2531" s="1063"/>
      <c r="AF2531" s="1063"/>
      <c r="AG2531" s="1063"/>
      <c r="AH2531" s="1063"/>
      <c r="AI2531" s="1063"/>
      <c r="AJ2531" s="1063"/>
      <c r="AK2531" s="1063"/>
      <c r="AL2531" s="1063"/>
      <c r="AM2531" s="1063"/>
      <c r="AN2531" s="1063"/>
      <c r="AO2531" s="1063"/>
      <c r="AP2531" s="1063"/>
      <c r="AQ2531" s="1063"/>
      <c r="AR2531" s="1063"/>
      <c r="AS2531" s="1063"/>
      <c r="AT2531" s="1063"/>
      <c r="AU2531" s="1063"/>
      <c r="AV2531" s="1063"/>
    </row>
    <row r="2532" spans="1:48" s="1108" customFormat="1" ht="27.75" customHeight="1">
      <c r="A2532" s="1076"/>
      <c r="B2532" s="1074">
        <f>+'[18]Bldg+Dev'!S3344</f>
        <v>0</v>
      </c>
      <c r="D2532" s="1063"/>
      <c r="F2532" s="1076"/>
      <c r="G2532" s="1063"/>
      <c r="H2532" s="1063"/>
      <c r="I2532" s="1063"/>
      <c r="J2532" s="1063"/>
      <c r="K2532" s="1063"/>
      <c r="L2532" s="1063"/>
      <c r="M2532" s="1063"/>
      <c r="N2532" s="1063"/>
      <c r="O2532" s="1063"/>
      <c r="P2532" s="1063"/>
      <c r="Q2532" s="1063"/>
      <c r="R2532" s="1063"/>
      <c r="S2532" s="1063"/>
      <c r="T2532" s="1063"/>
      <c r="U2532" s="1063"/>
      <c r="V2532" s="1063"/>
      <c r="W2532" s="1063"/>
      <c r="X2532" s="1063"/>
      <c r="Y2532" s="1063"/>
      <c r="Z2532" s="1063"/>
      <c r="AA2532" s="1063"/>
      <c r="AB2532" s="1063"/>
      <c r="AC2532" s="1063"/>
      <c r="AD2532" s="1063"/>
      <c r="AE2532" s="1063"/>
      <c r="AF2532" s="1063"/>
      <c r="AG2532" s="1063"/>
      <c r="AH2532" s="1063"/>
      <c r="AI2532" s="1063"/>
      <c r="AJ2532" s="1063"/>
      <c r="AK2532" s="1063"/>
      <c r="AL2532" s="1063"/>
      <c r="AM2532" s="1063"/>
      <c r="AN2532" s="1063"/>
      <c r="AO2532" s="1063"/>
      <c r="AP2532" s="1063"/>
      <c r="AQ2532" s="1063"/>
      <c r="AR2532" s="1063"/>
      <c r="AS2532" s="1063"/>
      <c r="AT2532" s="1063"/>
      <c r="AU2532" s="1063"/>
      <c r="AV2532" s="1063"/>
    </row>
    <row r="2533" spans="1:48" s="1108" customFormat="1" ht="27.75" customHeight="1">
      <c r="A2533" s="1076"/>
      <c r="B2533" s="1074">
        <f>+'[18]Bldg+Dev'!S3345</f>
        <v>0</v>
      </c>
      <c r="D2533" s="1063"/>
      <c r="F2533" s="1076"/>
      <c r="G2533" s="1063"/>
      <c r="H2533" s="1063"/>
      <c r="I2533" s="1063"/>
      <c r="J2533" s="1063"/>
      <c r="K2533" s="1063"/>
      <c r="L2533" s="1063"/>
      <c r="M2533" s="1063"/>
      <c r="N2533" s="1063"/>
      <c r="O2533" s="1063"/>
      <c r="P2533" s="1063"/>
      <c r="Q2533" s="1063"/>
      <c r="R2533" s="1063"/>
      <c r="S2533" s="1063"/>
      <c r="T2533" s="1063"/>
      <c r="U2533" s="1063"/>
      <c r="V2533" s="1063"/>
      <c r="W2533" s="1063"/>
      <c r="X2533" s="1063"/>
      <c r="Y2533" s="1063"/>
      <c r="Z2533" s="1063"/>
      <c r="AA2533" s="1063"/>
      <c r="AB2533" s="1063"/>
      <c r="AC2533" s="1063"/>
      <c r="AD2533" s="1063"/>
      <c r="AE2533" s="1063"/>
      <c r="AF2533" s="1063"/>
      <c r="AG2533" s="1063"/>
      <c r="AH2533" s="1063"/>
      <c r="AI2533" s="1063"/>
      <c r="AJ2533" s="1063"/>
      <c r="AK2533" s="1063"/>
      <c r="AL2533" s="1063"/>
      <c r="AM2533" s="1063"/>
      <c r="AN2533" s="1063"/>
      <c r="AO2533" s="1063"/>
      <c r="AP2533" s="1063"/>
      <c r="AQ2533" s="1063"/>
      <c r="AR2533" s="1063"/>
      <c r="AS2533" s="1063"/>
      <c r="AT2533" s="1063"/>
      <c r="AU2533" s="1063"/>
      <c r="AV2533" s="1063"/>
    </row>
    <row r="2534" spans="1:48" s="1108" customFormat="1" ht="27.75" customHeight="1">
      <c r="A2534" s="1076"/>
      <c r="B2534" s="1074">
        <f>+'[18]Bldg+Dev'!S3346</f>
        <v>0</v>
      </c>
      <c r="D2534" s="1063"/>
      <c r="F2534" s="1076"/>
      <c r="G2534" s="1063"/>
      <c r="H2534" s="1063"/>
      <c r="I2534" s="1063"/>
      <c r="J2534" s="1063"/>
      <c r="K2534" s="1063"/>
      <c r="L2534" s="1063"/>
      <c r="M2534" s="1063"/>
      <c r="N2534" s="1063"/>
      <c r="O2534" s="1063"/>
      <c r="P2534" s="1063"/>
      <c r="Q2534" s="1063"/>
      <c r="R2534" s="1063"/>
      <c r="S2534" s="1063"/>
      <c r="T2534" s="1063"/>
      <c r="U2534" s="1063"/>
      <c r="V2534" s="1063"/>
      <c r="W2534" s="1063"/>
      <c r="X2534" s="1063"/>
      <c r="Y2534" s="1063"/>
      <c r="Z2534" s="1063"/>
      <c r="AA2534" s="1063"/>
      <c r="AB2534" s="1063"/>
      <c r="AC2534" s="1063"/>
      <c r="AD2534" s="1063"/>
      <c r="AE2534" s="1063"/>
      <c r="AF2534" s="1063"/>
      <c r="AG2534" s="1063"/>
      <c r="AH2534" s="1063"/>
      <c r="AI2534" s="1063"/>
      <c r="AJ2534" s="1063"/>
      <c r="AK2534" s="1063"/>
      <c r="AL2534" s="1063"/>
      <c r="AM2534" s="1063"/>
      <c r="AN2534" s="1063"/>
      <c r="AO2534" s="1063"/>
      <c r="AP2534" s="1063"/>
      <c r="AQ2534" s="1063"/>
      <c r="AR2534" s="1063"/>
      <c r="AS2534" s="1063"/>
      <c r="AT2534" s="1063"/>
      <c r="AU2534" s="1063"/>
      <c r="AV2534" s="1063"/>
    </row>
    <row r="2535" spans="1:48" s="1108" customFormat="1" ht="27.75" customHeight="1">
      <c r="A2535" s="1076"/>
      <c r="B2535" s="1074">
        <f>+'[18]Bldg+Dev'!S3347</f>
        <v>0</v>
      </c>
      <c r="D2535" s="1063"/>
      <c r="F2535" s="1076"/>
      <c r="G2535" s="1063"/>
      <c r="H2535" s="1063"/>
      <c r="I2535" s="1063"/>
      <c r="J2535" s="1063"/>
      <c r="K2535" s="1063"/>
      <c r="L2535" s="1063"/>
      <c r="M2535" s="1063"/>
      <c r="N2535" s="1063"/>
      <c r="O2535" s="1063"/>
      <c r="P2535" s="1063"/>
      <c r="Q2535" s="1063"/>
      <c r="R2535" s="1063"/>
      <c r="S2535" s="1063"/>
      <c r="T2535" s="1063"/>
      <c r="U2535" s="1063"/>
      <c r="V2535" s="1063"/>
      <c r="W2535" s="1063"/>
      <c r="X2535" s="1063"/>
      <c r="Y2535" s="1063"/>
      <c r="Z2535" s="1063"/>
      <c r="AA2535" s="1063"/>
      <c r="AB2535" s="1063"/>
      <c r="AC2535" s="1063"/>
      <c r="AD2535" s="1063"/>
      <c r="AE2535" s="1063"/>
      <c r="AF2535" s="1063"/>
      <c r="AG2535" s="1063"/>
      <c r="AH2535" s="1063"/>
      <c r="AI2535" s="1063"/>
      <c r="AJ2535" s="1063"/>
      <c r="AK2535" s="1063"/>
      <c r="AL2535" s="1063"/>
      <c r="AM2535" s="1063"/>
      <c r="AN2535" s="1063"/>
      <c r="AO2535" s="1063"/>
      <c r="AP2535" s="1063"/>
      <c r="AQ2535" s="1063"/>
      <c r="AR2535" s="1063"/>
      <c r="AS2535" s="1063"/>
      <c r="AT2535" s="1063"/>
      <c r="AU2535" s="1063"/>
      <c r="AV2535" s="1063"/>
    </row>
    <row r="2536" spans="1:48" s="1108" customFormat="1" ht="27.75" customHeight="1">
      <c r="A2536" s="1076"/>
      <c r="B2536" s="1074">
        <f>+'[18]Bldg+Dev'!S3348</f>
        <v>0</v>
      </c>
      <c r="D2536" s="1063"/>
      <c r="F2536" s="1076"/>
      <c r="G2536" s="1063"/>
      <c r="H2536" s="1063"/>
      <c r="I2536" s="1063"/>
      <c r="J2536" s="1063"/>
      <c r="K2536" s="1063"/>
      <c r="L2536" s="1063"/>
      <c r="M2536" s="1063"/>
      <c r="N2536" s="1063"/>
      <c r="O2536" s="1063"/>
      <c r="P2536" s="1063"/>
      <c r="Q2536" s="1063"/>
      <c r="R2536" s="1063"/>
      <c r="S2536" s="1063"/>
      <c r="T2536" s="1063"/>
      <c r="U2536" s="1063"/>
      <c r="V2536" s="1063"/>
      <c r="W2536" s="1063"/>
      <c r="X2536" s="1063"/>
      <c r="Y2536" s="1063"/>
      <c r="Z2536" s="1063"/>
      <c r="AA2536" s="1063"/>
      <c r="AB2536" s="1063"/>
      <c r="AC2536" s="1063"/>
      <c r="AD2536" s="1063"/>
      <c r="AE2536" s="1063"/>
      <c r="AF2536" s="1063"/>
      <c r="AG2536" s="1063"/>
      <c r="AH2536" s="1063"/>
      <c r="AI2536" s="1063"/>
      <c r="AJ2536" s="1063"/>
      <c r="AK2536" s="1063"/>
      <c r="AL2536" s="1063"/>
      <c r="AM2536" s="1063"/>
      <c r="AN2536" s="1063"/>
      <c r="AO2536" s="1063"/>
      <c r="AP2536" s="1063"/>
      <c r="AQ2536" s="1063"/>
      <c r="AR2536" s="1063"/>
      <c r="AS2536" s="1063"/>
      <c r="AT2536" s="1063"/>
      <c r="AU2536" s="1063"/>
      <c r="AV2536" s="1063"/>
    </row>
    <row r="2537" spans="1:48" s="1108" customFormat="1" ht="27.75" customHeight="1">
      <c r="A2537" s="1076"/>
      <c r="B2537" s="1074">
        <f>+'[18]Bldg+Dev'!S3349</f>
        <v>0</v>
      </c>
      <c r="D2537" s="1063"/>
      <c r="F2537" s="1076"/>
      <c r="G2537" s="1063"/>
      <c r="H2537" s="1063"/>
      <c r="I2537" s="1063"/>
      <c r="J2537" s="1063"/>
      <c r="K2537" s="1063"/>
      <c r="L2537" s="1063"/>
      <c r="M2537" s="1063"/>
      <c r="N2537" s="1063"/>
      <c r="O2537" s="1063"/>
      <c r="P2537" s="1063"/>
      <c r="Q2537" s="1063"/>
      <c r="R2537" s="1063"/>
      <c r="S2537" s="1063"/>
      <c r="T2537" s="1063"/>
      <c r="U2537" s="1063"/>
      <c r="V2537" s="1063"/>
      <c r="W2537" s="1063"/>
      <c r="X2537" s="1063"/>
      <c r="Y2537" s="1063"/>
      <c r="Z2537" s="1063"/>
      <c r="AA2537" s="1063"/>
      <c r="AB2537" s="1063"/>
      <c r="AC2537" s="1063"/>
      <c r="AD2537" s="1063"/>
      <c r="AE2537" s="1063"/>
      <c r="AF2537" s="1063"/>
      <c r="AG2537" s="1063"/>
      <c r="AH2537" s="1063"/>
      <c r="AI2537" s="1063"/>
      <c r="AJ2537" s="1063"/>
      <c r="AK2537" s="1063"/>
      <c r="AL2537" s="1063"/>
      <c r="AM2537" s="1063"/>
      <c r="AN2537" s="1063"/>
      <c r="AO2537" s="1063"/>
      <c r="AP2537" s="1063"/>
      <c r="AQ2537" s="1063"/>
      <c r="AR2537" s="1063"/>
      <c r="AS2537" s="1063"/>
      <c r="AT2537" s="1063"/>
      <c r="AU2537" s="1063"/>
      <c r="AV2537" s="1063"/>
    </row>
    <row r="2538" spans="1:48" s="1108" customFormat="1" ht="27.75" customHeight="1">
      <c r="A2538" s="1076"/>
      <c r="B2538" s="1074">
        <f>+'[18]Bldg+Dev'!S3350</f>
        <v>0</v>
      </c>
      <c r="D2538" s="1063"/>
      <c r="F2538" s="1076"/>
      <c r="G2538" s="1063"/>
      <c r="H2538" s="1063"/>
      <c r="I2538" s="1063"/>
      <c r="J2538" s="1063"/>
      <c r="K2538" s="1063"/>
      <c r="L2538" s="1063"/>
      <c r="M2538" s="1063"/>
      <c r="N2538" s="1063"/>
      <c r="O2538" s="1063"/>
      <c r="P2538" s="1063"/>
      <c r="Q2538" s="1063"/>
      <c r="R2538" s="1063"/>
      <c r="S2538" s="1063"/>
      <c r="T2538" s="1063"/>
      <c r="U2538" s="1063"/>
      <c r="V2538" s="1063"/>
      <c r="W2538" s="1063"/>
      <c r="X2538" s="1063"/>
      <c r="Y2538" s="1063"/>
      <c r="Z2538" s="1063"/>
      <c r="AA2538" s="1063"/>
      <c r="AB2538" s="1063"/>
      <c r="AC2538" s="1063"/>
      <c r="AD2538" s="1063"/>
      <c r="AE2538" s="1063"/>
      <c r="AF2538" s="1063"/>
      <c r="AG2538" s="1063"/>
      <c r="AH2538" s="1063"/>
      <c r="AI2538" s="1063"/>
      <c r="AJ2538" s="1063"/>
      <c r="AK2538" s="1063"/>
      <c r="AL2538" s="1063"/>
      <c r="AM2538" s="1063"/>
      <c r="AN2538" s="1063"/>
      <c r="AO2538" s="1063"/>
      <c r="AP2538" s="1063"/>
      <c r="AQ2538" s="1063"/>
      <c r="AR2538" s="1063"/>
      <c r="AS2538" s="1063"/>
      <c r="AT2538" s="1063"/>
      <c r="AU2538" s="1063"/>
      <c r="AV2538" s="1063"/>
    </row>
    <row r="2539" spans="1:48" s="1108" customFormat="1" ht="27.75" customHeight="1">
      <c r="A2539" s="1076"/>
      <c r="B2539" s="1074">
        <f>+'[18]Bldg+Dev'!S3351</f>
        <v>0</v>
      </c>
      <c r="D2539" s="1063"/>
      <c r="F2539" s="1076"/>
      <c r="G2539" s="1063"/>
      <c r="H2539" s="1063"/>
      <c r="I2539" s="1063"/>
      <c r="J2539" s="1063"/>
      <c r="K2539" s="1063"/>
      <c r="L2539" s="1063"/>
      <c r="M2539" s="1063"/>
      <c r="N2539" s="1063"/>
      <c r="O2539" s="1063"/>
      <c r="P2539" s="1063"/>
      <c r="Q2539" s="1063"/>
      <c r="R2539" s="1063"/>
      <c r="S2539" s="1063"/>
      <c r="T2539" s="1063"/>
      <c r="U2539" s="1063"/>
      <c r="V2539" s="1063"/>
      <c r="W2539" s="1063"/>
      <c r="X2539" s="1063"/>
      <c r="Y2539" s="1063"/>
      <c r="Z2539" s="1063"/>
      <c r="AA2539" s="1063"/>
      <c r="AB2539" s="1063"/>
      <c r="AC2539" s="1063"/>
      <c r="AD2539" s="1063"/>
      <c r="AE2539" s="1063"/>
      <c r="AF2539" s="1063"/>
      <c r="AG2539" s="1063"/>
      <c r="AH2539" s="1063"/>
      <c r="AI2539" s="1063"/>
      <c r="AJ2539" s="1063"/>
      <c r="AK2539" s="1063"/>
      <c r="AL2539" s="1063"/>
      <c r="AM2539" s="1063"/>
      <c r="AN2539" s="1063"/>
      <c r="AO2539" s="1063"/>
      <c r="AP2539" s="1063"/>
      <c r="AQ2539" s="1063"/>
      <c r="AR2539" s="1063"/>
      <c r="AS2539" s="1063"/>
      <c r="AT2539" s="1063"/>
      <c r="AU2539" s="1063"/>
      <c r="AV2539" s="1063"/>
    </row>
    <row r="2540" spans="1:48" s="1108" customFormat="1" ht="27.75" customHeight="1">
      <c r="A2540" s="1076"/>
      <c r="B2540" s="1074">
        <f>+'[18]Bldg+Dev'!S3352</f>
        <v>0</v>
      </c>
      <c r="D2540" s="1063"/>
      <c r="F2540" s="1076"/>
      <c r="G2540" s="1063"/>
      <c r="H2540" s="1063"/>
      <c r="I2540" s="1063"/>
      <c r="J2540" s="1063"/>
      <c r="K2540" s="1063"/>
      <c r="L2540" s="1063"/>
      <c r="M2540" s="1063"/>
      <c r="N2540" s="1063"/>
      <c r="O2540" s="1063"/>
      <c r="P2540" s="1063"/>
      <c r="Q2540" s="1063"/>
      <c r="R2540" s="1063"/>
      <c r="S2540" s="1063"/>
      <c r="T2540" s="1063"/>
      <c r="U2540" s="1063"/>
      <c r="V2540" s="1063"/>
      <c r="W2540" s="1063"/>
      <c r="X2540" s="1063"/>
      <c r="Y2540" s="1063"/>
      <c r="Z2540" s="1063"/>
      <c r="AA2540" s="1063"/>
      <c r="AB2540" s="1063"/>
      <c r="AC2540" s="1063"/>
      <c r="AD2540" s="1063"/>
      <c r="AE2540" s="1063"/>
      <c r="AF2540" s="1063"/>
      <c r="AG2540" s="1063"/>
      <c r="AH2540" s="1063"/>
      <c r="AI2540" s="1063"/>
      <c r="AJ2540" s="1063"/>
      <c r="AK2540" s="1063"/>
      <c r="AL2540" s="1063"/>
      <c r="AM2540" s="1063"/>
      <c r="AN2540" s="1063"/>
      <c r="AO2540" s="1063"/>
      <c r="AP2540" s="1063"/>
      <c r="AQ2540" s="1063"/>
      <c r="AR2540" s="1063"/>
      <c r="AS2540" s="1063"/>
      <c r="AT2540" s="1063"/>
      <c r="AU2540" s="1063"/>
      <c r="AV2540" s="1063"/>
    </row>
    <row r="2541" spans="1:48" s="1108" customFormat="1" ht="27.75" customHeight="1">
      <c r="A2541" s="1076"/>
      <c r="B2541" s="1074">
        <f>+'[18]Bldg+Dev'!S3353</f>
        <v>0</v>
      </c>
      <c r="D2541" s="1063"/>
      <c r="F2541" s="1076"/>
      <c r="G2541" s="1063"/>
      <c r="H2541" s="1063"/>
      <c r="I2541" s="1063"/>
      <c r="J2541" s="1063"/>
      <c r="K2541" s="1063"/>
      <c r="L2541" s="1063"/>
      <c r="M2541" s="1063"/>
      <c r="N2541" s="1063"/>
      <c r="O2541" s="1063"/>
      <c r="P2541" s="1063"/>
      <c r="Q2541" s="1063"/>
      <c r="R2541" s="1063"/>
      <c r="S2541" s="1063"/>
      <c r="T2541" s="1063"/>
      <c r="U2541" s="1063"/>
      <c r="V2541" s="1063"/>
      <c r="W2541" s="1063"/>
      <c r="X2541" s="1063"/>
      <c r="Y2541" s="1063"/>
      <c r="Z2541" s="1063"/>
      <c r="AA2541" s="1063"/>
      <c r="AB2541" s="1063"/>
      <c r="AC2541" s="1063"/>
      <c r="AD2541" s="1063"/>
      <c r="AE2541" s="1063"/>
      <c r="AF2541" s="1063"/>
      <c r="AG2541" s="1063"/>
      <c r="AH2541" s="1063"/>
      <c r="AI2541" s="1063"/>
      <c r="AJ2541" s="1063"/>
      <c r="AK2541" s="1063"/>
      <c r="AL2541" s="1063"/>
      <c r="AM2541" s="1063"/>
      <c r="AN2541" s="1063"/>
      <c r="AO2541" s="1063"/>
      <c r="AP2541" s="1063"/>
      <c r="AQ2541" s="1063"/>
      <c r="AR2541" s="1063"/>
      <c r="AS2541" s="1063"/>
      <c r="AT2541" s="1063"/>
      <c r="AU2541" s="1063"/>
      <c r="AV2541" s="1063"/>
    </row>
    <row r="2542" spans="1:48" s="1108" customFormat="1" ht="27.75" customHeight="1">
      <c r="A2542" s="1076"/>
      <c r="B2542" s="1074">
        <f>+'[18]Bldg+Dev'!S3354</f>
        <v>0</v>
      </c>
      <c r="D2542" s="1063"/>
      <c r="F2542" s="1076"/>
      <c r="G2542" s="1063"/>
      <c r="H2542" s="1063"/>
      <c r="I2542" s="1063"/>
      <c r="J2542" s="1063"/>
      <c r="K2542" s="1063"/>
      <c r="L2542" s="1063"/>
      <c r="M2542" s="1063"/>
      <c r="N2542" s="1063"/>
      <c r="O2542" s="1063"/>
      <c r="P2542" s="1063"/>
      <c r="Q2542" s="1063"/>
      <c r="R2542" s="1063"/>
      <c r="S2542" s="1063"/>
      <c r="T2542" s="1063"/>
      <c r="U2542" s="1063"/>
      <c r="V2542" s="1063"/>
      <c r="W2542" s="1063"/>
      <c r="X2542" s="1063"/>
      <c r="Y2542" s="1063"/>
      <c r="Z2542" s="1063"/>
      <c r="AA2542" s="1063"/>
      <c r="AB2542" s="1063"/>
      <c r="AC2542" s="1063"/>
      <c r="AD2542" s="1063"/>
      <c r="AE2542" s="1063"/>
      <c r="AF2542" s="1063"/>
      <c r="AG2542" s="1063"/>
      <c r="AH2542" s="1063"/>
      <c r="AI2542" s="1063"/>
      <c r="AJ2542" s="1063"/>
      <c r="AK2542" s="1063"/>
      <c r="AL2542" s="1063"/>
      <c r="AM2542" s="1063"/>
      <c r="AN2542" s="1063"/>
      <c r="AO2542" s="1063"/>
      <c r="AP2542" s="1063"/>
      <c r="AQ2542" s="1063"/>
      <c r="AR2542" s="1063"/>
      <c r="AS2542" s="1063"/>
      <c r="AT2542" s="1063"/>
      <c r="AU2542" s="1063"/>
      <c r="AV2542" s="1063"/>
    </row>
    <row r="2543" spans="1:48" s="1108" customFormat="1" ht="27.75" customHeight="1">
      <c r="A2543" s="1076"/>
      <c r="B2543" s="1074">
        <f>+'[18]Bldg+Dev'!S3355</f>
        <v>0</v>
      </c>
      <c r="D2543" s="1063"/>
      <c r="F2543" s="1076"/>
      <c r="G2543" s="1063"/>
      <c r="H2543" s="1063"/>
      <c r="I2543" s="1063"/>
      <c r="J2543" s="1063"/>
      <c r="K2543" s="1063"/>
      <c r="L2543" s="1063"/>
      <c r="M2543" s="1063"/>
      <c r="N2543" s="1063"/>
      <c r="O2543" s="1063"/>
      <c r="P2543" s="1063"/>
      <c r="Q2543" s="1063"/>
      <c r="R2543" s="1063"/>
      <c r="S2543" s="1063"/>
      <c r="T2543" s="1063"/>
      <c r="U2543" s="1063"/>
      <c r="V2543" s="1063"/>
      <c r="W2543" s="1063"/>
      <c r="X2543" s="1063"/>
      <c r="Y2543" s="1063"/>
      <c r="Z2543" s="1063"/>
      <c r="AA2543" s="1063"/>
      <c r="AB2543" s="1063"/>
      <c r="AC2543" s="1063"/>
      <c r="AD2543" s="1063"/>
      <c r="AE2543" s="1063"/>
      <c r="AF2543" s="1063"/>
      <c r="AG2543" s="1063"/>
      <c r="AH2543" s="1063"/>
      <c r="AI2543" s="1063"/>
      <c r="AJ2543" s="1063"/>
      <c r="AK2543" s="1063"/>
      <c r="AL2543" s="1063"/>
      <c r="AM2543" s="1063"/>
      <c r="AN2543" s="1063"/>
      <c r="AO2543" s="1063"/>
      <c r="AP2543" s="1063"/>
      <c r="AQ2543" s="1063"/>
      <c r="AR2543" s="1063"/>
      <c r="AS2543" s="1063"/>
      <c r="AT2543" s="1063"/>
      <c r="AU2543" s="1063"/>
      <c r="AV2543" s="1063"/>
    </row>
    <row r="2544" spans="1:48" s="1108" customFormat="1" ht="27.75" customHeight="1">
      <c r="A2544" s="1076"/>
      <c r="B2544" s="1074">
        <f>+'[18]Bldg+Dev'!S3356</f>
        <v>0</v>
      </c>
      <c r="D2544" s="1063"/>
      <c r="F2544" s="1076"/>
      <c r="G2544" s="1063"/>
      <c r="H2544" s="1063"/>
      <c r="I2544" s="1063"/>
      <c r="J2544" s="1063"/>
      <c r="K2544" s="1063"/>
      <c r="L2544" s="1063"/>
      <c r="M2544" s="1063"/>
      <c r="N2544" s="1063"/>
      <c r="O2544" s="1063"/>
      <c r="P2544" s="1063"/>
      <c r="Q2544" s="1063"/>
      <c r="R2544" s="1063"/>
      <c r="S2544" s="1063"/>
      <c r="T2544" s="1063"/>
      <c r="U2544" s="1063"/>
      <c r="V2544" s="1063"/>
      <c r="W2544" s="1063"/>
      <c r="X2544" s="1063"/>
      <c r="Y2544" s="1063"/>
      <c r="Z2544" s="1063"/>
      <c r="AA2544" s="1063"/>
      <c r="AB2544" s="1063"/>
      <c r="AC2544" s="1063"/>
      <c r="AD2544" s="1063"/>
      <c r="AE2544" s="1063"/>
      <c r="AF2544" s="1063"/>
      <c r="AG2544" s="1063"/>
      <c r="AH2544" s="1063"/>
      <c r="AI2544" s="1063"/>
      <c r="AJ2544" s="1063"/>
      <c r="AK2544" s="1063"/>
      <c r="AL2544" s="1063"/>
      <c r="AM2544" s="1063"/>
      <c r="AN2544" s="1063"/>
      <c r="AO2544" s="1063"/>
      <c r="AP2544" s="1063"/>
      <c r="AQ2544" s="1063"/>
      <c r="AR2544" s="1063"/>
      <c r="AS2544" s="1063"/>
      <c r="AT2544" s="1063"/>
      <c r="AU2544" s="1063"/>
      <c r="AV2544" s="1063"/>
    </row>
    <row r="2545" spans="1:48" s="1108" customFormat="1" ht="27.75" customHeight="1">
      <c r="A2545" s="1076"/>
      <c r="B2545" s="1074">
        <f>+'[18]Bldg+Dev'!S3357</f>
        <v>0</v>
      </c>
      <c r="D2545" s="1063"/>
      <c r="F2545" s="1076"/>
      <c r="G2545" s="1063"/>
      <c r="H2545" s="1063"/>
      <c r="I2545" s="1063"/>
      <c r="J2545" s="1063"/>
      <c r="K2545" s="1063"/>
      <c r="L2545" s="1063"/>
      <c r="M2545" s="1063"/>
      <c r="N2545" s="1063"/>
      <c r="O2545" s="1063"/>
      <c r="P2545" s="1063"/>
      <c r="Q2545" s="1063"/>
      <c r="R2545" s="1063"/>
      <c r="S2545" s="1063"/>
      <c r="T2545" s="1063"/>
      <c r="U2545" s="1063"/>
      <c r="V2545" s="1063"/>
      <c r="W2545" s="1063"/>
      <c r="X2545" s="1063"/>
      <c r="Y2545" s="1063"/>
      <c r="Z2545" s="1063"/>
      <c r="AA2545" s="1063"/>
      <c r="AB2545" s="1063"/>
      <c r="AC2545" s="1063"/>
      <c r="AD2545" s="1063"/>
      <c r="AE2545" s="1063"/>
      <c r="AF2545" s="1063"/>
      <c r="AG2545" s="1063"/>
      <c r="AH2545" s="1063"/>
      <c r="AI2545" s="1063"/>
      <c r="AJ2545" s="1063"/>
      <c r="AK2545" s="1063"/>
      <c r="AL2545" s="1063"/>
      <c r="AM2545" s="1063"/>
      <c r="AN2545" s="1063"/>
      <c r="AO2545" s="1063"/>
      <c r="AP2545" s="1063"/>
      <c r="AQ2545" s="1063"/>
      <c r="AR2545" s="1063"/>
      <c r="AS2545" s="1063"/>
      <c r="AT2545" s="1063"/>
      <c r="AU2545" s="1063"/>
      <c r="AV2545" s="1063"/>
    </row>
    <row r="2546" spans="1:48" s="1108" customFormat="1" ht="27.75" customHeight="1">
      <c r="A2546" s="1076"/>
      <c r="B2546" s="1074">
        <f>+'[18]Bldg+Dev'!S3358</f>
        <v>0</v>
      </c>
      <c r="D2546" s="1063"/>
      <c r="F2546" s="1076"/>
      <c r="G2546" s="1063"/>
      <c r="H2546" s="1063"/>
      <c r="I2546" s="1063"/>
      <c r="J2546" s="1063"/>
      <c r="K2546" s="1063"/>
      <c r="L2546" s="1063"/>
      <c r="M2546" s="1063"/>
      <c r="N2546" s="1063"/>
      <c r="O2546" s="1063"/>
      <c r="P2546" s="1063"/>
      <c r="Q2546" s="1063"/>
      <c r="R2546" s="1063"/>
      <c r="S2546" s="1063"/>
      <c r="T2546" s="1063"/>
      <c r="U2546" s="1063"/>
      <c r="V2546" s="1063"/>
      <c r="W2546" s="1063"/>
      <c r="X2546" s="1063"/>
      <c r="Y2546" s="1063"/>
      <c r="Z2546" s="1063"/>
      <c r="AA2546" s="1063"/>
      <c r="AB2546" s="1063"/>
      <c r="AC2546" s="1063"/>
      <c r="AD2546" s="1063"/>
      <c r="AE2546" s="1063"/>
      <c r="AF2546" s="1063"/>
      <c r="AG2546" s="1063"/>
      <c r="AH2546" s="1063"/>
      <c r="AI2546" s="1063"/>
      <c r="AJ2546" s="1063"/>
      <c r="AK2546" s="1063"/>
      <c r="AL2546" s="1063"/>
      <c r="AM2546" s="1063"/>
      <c r="AN2546" s="1063"/>
      <c r="AO2546" s="1063"/>
      <c r="AP2546" s="1063"/>
      <c r="AQ2546" s="1063"/>
      <c r="AR2546" s="1063"/>
      <c r="AS2546" s="1063"/>
      <c r="AT2546" s="1063"/>
      <c r="AU2546" s="1063"/>
      <c r="AV2546" s="1063"/>
    </row>
    <row r="2547" spans="1:48" s="1108" customFormat="1" ht="27.75" customHeight="1">
      <c r="A2547" s="1076"/>
      <c r="B2547" s="1074">
        <f>+'[18]Bldg+Dev'!S3359</f>
        <v>0</v>
      </c>
      <c r="D2547" s="1063"/>
      <c r="F2547" s="1076"/>
      <c r="G2547" s="1063"/>
      <c r="H2547" s="1063"/>
      <c r="I2547" s="1063"/>
      <c r="J2547" s="1063"/>
      <c r="K2547" s="1063"/>
      <c r="L2547" s="1063"/>
      <c r="M2547" s="1063"/>
      <c r="N2547" s="1063"/>
      <c r="O2547" s="1063"/>
      <c r="P2547" s="1063"/>
      <c r="Q2547" s="1063"/>
      <c r="R2547" s="1063"/>
      <c r="S2547" s="1063"/>
      <c r="T2547" s="1063"/>
      <c r="U2547" s="1063"/>
      <c r="V2547" s="1063"/>
      <c r="W2547" s="1063"/>
      <c r="X2547" s="1063"/>
      <c r="Y2547" s="1063"/>
      <c r="Z2547" s="1063"/>
      <c r="AA2547" s="1063"/>
      <c r="AB2547" s="1063"/>
      <c r="AC2547" s="1063"/>
      <c r="AD2547" s="1063"/>
      <c r="AE2547" s="1063"/>
      <c r="AF2547" s="1063"/>
      <c r="AG2547" s="1063"/>
      <c r="AH2547" s="1063"/>
      <c r="AI2547" s="1063"/>
      <c r="AJ2547" s="1063"/>
      <c r="AK2547" s="1063"/>
      <c r="AL2547" s="1063"/>
      <c r="AM2547" s="1063"/>
      <c r="AN2547" s="1063"/>
      <c r="AO2547" s="1063"/>
      <c r="AP2547" s="1063"/>
      <c r="AQ2547" s="1063"/>
      <c r="AR2547" s="1063"/>
      <c r="AS2547" s="1063"/>
      <c r="AT2547" s="1063"/>
      <c r="AU2547" s="1063"/>
      <c r="AV2547" s="1063"/>
    </row>
    <row r="2548" spans="1:48" s="1108" customFormat="1" ht="27.75" customHeight="1">
      <c r="A2548" s="1076"/>
      <c r="B2548" s="1074">
        <f>+'[18]Bldg+Dev'!S3360</f>
        <v>0</v>
      </c>
      <c r="D2548" s="1063"/>
      <c r="F2548" s="1076"/>
      <c r="G2548" s="1063"/>
      <c r="H2548" s="1063"/>
      <c r="I2548" s="1063"/>
      <c r="J2548" s="1063"/>
      <c r="K2548" s="1063"/>
      <c r="L2548" s="1063"/>
      <c r="M2548" s="1063"/>
      <c r="N2548" s="1063"/>
      <c r="O2548" s="1063"/>
      <c r="P2548" s="1063"/>
      <c r="Q2548" s="1063"/>
      <c r="R2548" s="1063"/>
      <c r="S2548" s="1063"/>
      <c r="T2548" s="1063"/>
      <c r="U2548" s="1063"/>
      <c r="V2548" s="1063"/>
      <c r="W2548" s="1063"/>
      <c r="X2548" s="1063"/>
      <c r="Y2548" s="1063"/>
      <c r="Z2548" s="1063"/>
      <c r="AA2548" s="1063"/>
      <c r="AB2548" s="1063"/>
      <c r="AC2548" s="1063"/>
      <c r="AD2548" s="1063"/>
      <c r="AE2548" s="1063"/>
      <c r="AF2548" s="1063"/>
      <c r="AG2548" s="1063"/>
      <c r="AH2548" s="1063"/>
      <c r="AI2548" s="1063"/>
      <c r="AJ2548" s="1063"/>
      <c r="AK2548" s="1063"/>
      <c r="AL2548" s="1063"/>
      <c r="AM2548" s="1063"/>
      <c r="AN2548" s="1063"/>
      <c r="AO2548" s="1063"/>
      <c r="AP2548" s="1063"/>
      <c r="AQ2548" s="1063"/>
      <c r="AR2548" s="1063"/>
      <c r="AS2548" s="1063"/>
      <c r="AT2548" s="1063"/>
      <c r="AU2548" s="1063"/>
      <c r="AV2548" s="1063"/>
    </row>
    <row r="2549" spans="1:48" s="1108" customFormat="1" ht="27.75" customHeight="1">
      <c r="A2549" s="1076"/>
      <c r="B2549" s="1074">
        <f>+'[18]Bldg+Dev'!S3361</f>
        <v>0</v>
      </c>
      <c r="D2549" s="1063"/>
      <c r="F2549" s="1076"/>
      <c r="G2549" s="1063"/>
      <c r="H2549" s="1063"/>
      <c r="I2549" s="1063"/>
      <c r="J2549" s="1063"/>
      <c r="K2549" s="1063"/>
      <c r="L2549" s="1063"/>
      <c r="M2549" s="1063"/>
      <c r="N2549" s="1063"/>
      <c r="O2549" s="1063"/>
      <c r="P2549" s="1063"/>
      <c r="Q2549" s="1063"/>
      <c r="R2549" s="1063"/>
      <c r="S2549" s="1063"/>
      <c r="T2549" s="1063"/>
      <c r="U2549" s="1063"/>
      <c r="V2549" s="1063"/>
      <c r="W2549" s="1063"/>
      <c r="X2549" s="1063"/>
      <c r="Y2549" s="1063"/>
      <c r="Z2549" s="1063"/>
      <c r="AA2549" s="1063"/>
      <c r="AB2549" s="1063"/>
      <c r="AC2549" s="1063"/>
      <c r="AD2549" s="1063"/>
      <c r="AE2549" s="1063"/>
      <c r="AF2549" s="1063"/>
      <c r="AG2549" s="1063"/>
      <c r="AH2549" s="1063"/>
      <c r="AI2549" s="1063"/>
      <c r="AJ2549" s="1063"/>
      <c r="AK2549" s="1063"/>
      <c r="AL2549" s="1063"/>
      <c r="AM2549" s="1063"/>
      <c r="AN2549" s="1063"/>
      <c r="AO2549" s="1063"/>
      <c r="AP2549" s="1063"/>
      <c r="AQ2549" s="1063"/>
      <c r="AR2549" s="1063"/>
      <c r="AS2549" s="1063"/>
      <c r="AT2549" s="1063"/>
      <c r="AU2549" s="1063"/>
      <c r="AV2549" s="1063"/>
    </row>
    <row r="2550" spans="1:48" s="1108" customFormat="1" ht="27.75" customHeight="1">
      <c r="A2550" s="1076"/>
      <c r="B2550" s="1074">
        <f>+'[18]Bldg+Dev'!S3362</f>
        <v>0</v>
      </c>
      <c r="D2550" s="1063"/>
      <c r="F2550" s="1076"/>
      <c r="G2550" s="1063"/>
      <c r="H2550" s="1063"/>
      <c r="I2550" s="1063"/>
      <c r="J2550" s="1063"/>
      <c r="K2550" s="1063"/>
      <c r="L2550" s="1063"/>
      <c r="M2550" s="1063"/>
      <c r="N2550" s="1063"/>
      <c r="O2550" s="1063"/>
      <c r="P2550" s="1063"/>
      <c r="Q2550" s="1063"/>
      <c r="R2550" s="1063"/>
      <c r="S2550" s="1063"/>
      <c r="T2550" s="1063"/>
      <c r="U2550" s="1063"/>
      <c r="V2550" s="1063"/>
      <c r="W2550" s="1063"/>
      <c r="X2550" s="1063"/>
      <c r="Y2550" s="1063"/>
      <c r="Z2550" s="1063"/>
      <c r="AA2550" s="1063"/>
      <c r="AB2550" s="1063"/>
      <c r="AC2550" s="1063"/>
      <c r="AD2550" s="1063"/>
      <c r="AE2550" s="1063"/>
      <c r="AF2550" s="1063"/>
      <c r="AG2550" s="1063"/>
      <c r="AH2550" s="1063"/>
      <c r="AI2550" s="1063"/>
      <c r="AJ2550" s="1063"/>
      <c r="AK2550" s="1063"/>
      <c r="AL2550" s="1063"/>
      <c r="AM2550" s="1063"/>
      <c r="AN2550" s="1063"/>
      <c r="AO2550" s="1063"/>
      <c r="AP2550" s="1063"/>
      <c r="AQ2550" s="1063"/>
      <c r="AR2550" s="1063"/>
      <c r="AS2550" s="1063"/>
      <c r="AT2550" s="1063"/>
      <c r="AU2550" s="1063"/>
      <c r="AV2550" s="1063"/>
    </row>
    <row r="2551" spans="1:48" s="1108" customFormat="1" ht="27.75" customHeight="1">
      <c r="A2551" s="1076"/>
      <c r="B2551" s="1074">
        <f>+'[18]Bldg+Dev'!S3363</f>
        <v>0</v>
      </c>
      <c r="D2551" s="1063"/>
      <c r="F2551" s="1076"/>
      <c r="G2551" s="1063"/>
      <c r="H2551" s="1063"/>
      <c r="I2551" s="1063"/>
      <c r="J2551" s="1063"/>
      <c r="K2551" s="1063"/>
      <c r="L2551" s="1063"/>
      <c r="M2551" s="1063"/>
      <c r="N2551" s="1063"/>
      <c r="O2551" s="1063"/>
      <c r="P2551" s="1063"/>
      <c r="Q2551" s="1063"/>
      <c r="R2551" s="1063"/>
      <c r="S2551" s="1063"/>
      <c r="T2551" s="1063"/>
      <c r="U2551" s="1063"/>
      <c r="V2551" s="1063"/>
      <c r="W2551" s="1063"/>
      <c r="X2551" s="1063"/>
      <c r="Y2551" s="1063"/>
      <c r="Z2551" s="1063"/>
      <c r="AA2551" s="1063"/>
      <c r="AB2551" s="1063"/>
      <c r="AC2551" s="1063"/>
      <c r="AD2551" s="1063"/>
      <c r="AE2551" s="1063"/>
      <c r="AF2551" s="1063"/>
      <c r="AG2551" s="1063"/>
      <c r="AH2551" s="1063"/>
      <c r="AI2551" s="1063"/>
      <c r="AJ2551" s="1063"/>
      <c r="AK2551" s="1063"/>
      <c r="AL2551" s="1063"/>
      <c r="AM2551" s="1063"/>
      <c r="AN2551" s="1063"/>
      <c r="AO2551" s="1063"/>
      <c r="AP2551" s="1063"/>
      <c r="AQ2551" s="1063"/>
      <c r="AR2551" s="1063"/>
      <c r="AS2551" s="1063"/>
      <c r="AT2551" s="1063"/>
      <c r="AU2551" s="1063"/>
      <c r="AV2551" s="1063"/>
    </row>
    <row r="2552" spans="1:48" s="1108" customFormat="1" ht="27.75" customHeight="1">
      <c r="A2552" s="1076"/>
      <c r="B2552" s="1074">
        <f>+'[18]Bldg+Dev'!S3364</f>
        <v>0</v>
      </c>
      <c r="D2552" s="1063"/>
      <c r="F2552" s="1076"/>
      <c r="G2552" s="1063"/>
      <c r="H2552" s="1063"/>
      <c r="I2552" s="1063"/>
      <c r="J2552" s="1063"/>
      <c r="K2552" s="1063"/>
      <c r="L2552" s="1063"/>
      <c r="M2552" s="1063"/>
      <c r="N2552" s="1063"/>
      <c r="O2552" s="1063"/>
      <c r="P2552" s="1063"/>
      <c r="Q2552" s="1063"/>
      <c r="R2552" s="1063"/>
      <c r="S2552" s="1063"/>
      <c r="T2552" s="1063"/>
      <c r="U2552" s="1063"/>
      <c r="V2552" s="1063"/>
      <c r="W2552" s="1063"/>
      <c r="X2552" s="1063"/>
      <c r="Y2552" s="1063"/>
      <c r="Z2552" s="1063"/>
      <c r="AA2552" s="1063"/>
      <c r="AB2552" s="1063"/>
      <c r="AC2552" s="1063"/>
      <c r="AD2552" s="1063"/>
      <c r="AE2552" s="1063"/>
      <c r="AF2552" s="1063"/>
      <c r="AG2552" s="1063"/>
      <c r="AH2552" s="1063"/>
      <c r="AI2552" s="1063"/>
      <c r="AJ2552" s="1063"/>
      <c r="AK2552" s="1063"/>
      <c r="AL2552" s="1063"/>
      <c r="AM2552" s="1063"/>
      <c r="AN2552" s="1063"/>
      <c r="AO2552" s="1063"/>
      <c r="AP2552" s="1063"/>
      <c r="AQ2552" s="1063"/>
      <c r="AR2552" s="1063"/>
      <c r="AS2552" s="1063"/>
      <c r="AT2552" s="1063"/>
      <c r="AU2552" s="1063"/>
      <c r="AV2552" s="1063"/>
    </row>
    <row r="2553" spans="1:48" s="1108" customFormat="1" ht="27.75" customHeight="1">
      <c r="A2553" s="1076"/>
      <c r="B2553" s="1074">
        <f>+'[18]Bldg+Dev'!S3365</f>
        <v>0</v>
      </c>
      <c r="D2553" s="1063"/>
      <c r="F2553" s="1076"/>
      <c r="G2553" s="1063"/>
      <c r="H2553" s="1063"/>
      <c r="I2553" s="1063"/>
      <c r="J2553" s="1063"/>
      <c r="K2553" s="1063"/>
      <c r="L2553" s="1063"/>
      <c r="M2553" s="1063"/>
      <c r="N2553" s="1063"/>
      <c r="O2553" s="1063"/>
      <c r="P2553" s="1063"/>
      <c r="Q2553" s="1063"/>
      <c r="R2553" s="1063"/>
      <c r="S2553" s="1063"/>
      <c r="T2553" s="1063"/>
      <c r="U2553" s="1063"/>
      <c r="V2553" s="1063"/>
      <c r="W2553" s="1063"/>
      <c r="X2553" s="1063"/>
      <c r="Y2553" s="1063"/>
      <c r="Z2553" s="1063"/>
      <c r="AA2553" s="1063"/>
      <c r="AB2553" s="1063"/>
      <c r="AC2553" s="1063"/>
      <c r="AD2553" s="1063"/>
      <c r="AE2553" s="1063"/>
      <c r="AF2553" s="1063"/>
      <c r="AG2553" s="1063"/>
      <c r="AH2553" s="1063"/>
      <c r="AI2553" s="1063"/>
      <c r="AJ2553" s="1063"/>
      <c r="AK2553" s="1063"/>
      <c r="AL2553" s="1063"/>
      <c r="AM2553" s="1063"/>
      <c r="AN2553" s="1063"/>
      <c r="AO2553" s="1063"/>
      <c r="AP2553" s="1063"/>
      <c r="AQ2553" s="1063"/>
      <c r="AR2553" s="1063"/>
      <c r="AS2553" s="1063"/>
      <c r="AT2553" s="1063"/>
      <c r="AU2553" s="1063"/>
      <c r="AV2553" s="1063"/>
    </row>
    <row r="2554" spans="1:48" s="1108" customFormat="1" ht="27.75" customHeight="1">
      <c r="A2554" s="1076"/>
      <c r="B2554" s="1074">
        <f>+'[18]Bldg+Dev'!S3366</f>
        <v>0</v>
      </c>
      <c r="D2554" s="1063"/>
      <c r="F2554" s="1076"/>
      <c r="G2554" s="1063"/>
      <c r="H2554" s="1063"/>
      <c r="I2554" s="1063"/>
      <c r="J2554" s="1063"/>
      <c r="K2554" s="1063"/>
      <c r="L2554" s="1063"/>
      <c r="M2554" s="1063"/>
      <c r="N2554" s="1063"/>
      <c r="O2554" s="1063"/>
      <c r="P2554" s="1063"/>
      <c r="Q2554" s="1063"/>
      <c r="R2554" s="1063"/>
      <c r="S2554" s="1063"/>
      <c r="T2554" s="1063"/>
      <c r="U2554" s="1063"/>
      <c r="V2554" s="1063"/>
      <c r="W2554" s="1063"/>
      <c r="X2554" s="1063"/>
      <c r="Y2554" s="1063"/>
      <c r="Z2554" s="1063"/>
      <c r="AA2554" s="1063"/>
      <c r="AB2554" s="1063"/>
      <c r="AC2554" s="1063"/>
      <c r="AD2554" s="1063"/>
      <c r="AE2554" s="1063"/>
      <c r="AF2554" s="1063"/>
      <c r="AG2554" s="1063"/>
      <c r="AH2554" s="1063"/>
      <c r="AI2554" s="1063"/>
      <c r="AJ2554" s="1063"/>
      <c r="AK2554" s="1063"/>
      <c r="AL2554" s="1063"/>
      <c r="AM2554" s="1063"/>
      <c r="AN2554" s="1063"/>
      <c r="AO2554" s="1063"/>
      <c r="AP2554" s="1063"/>
      <c r="AQ2554" s="1063"/>
      <c r="AR2554" s="1063"/>
      <c r="AS2554" s="1063"/>
      <c r="AT2554" s="1063"/>
      <c r="AU2554" s="1063"/>
      <c r="AV2554" s="1063"/>
    </row>
    <row r="2555" spans="1:48" s="1108" customFormat="1" ht="27.75" customHeight="1">
      <c r="A2555" s="1076"/>
      <c r="B2555" s="1074">
        <f>+'[18]Bldg+Dev'!S3367</f>
        <v>0</v>
      </c>
      <c r="D2555" s="1063"/>
      <c r="F2555" s="1076"/>
      <c r="G2555" s="1063"/>
      <c r="H2555" s="1063"/>
      <c r="I2555" s="1063"/>
      <c r="J2555" s="1063"/>
      <c r="K2555" s="1063"/>
      <c r="L2555" s="1063"/>
      <c r="M2555" s="1063"/>
      <c r="N2555" s="1063"/>
      <c r="O2555" s="1063"/>
      <c r="P2555" s="1063"/>
      <c r="Q2555" s="1063"/>
      <c r="R2555" s="1063"/>
      <c r="S2555" s="1063"/>
      <c r="T2555" s="1063"/>
      <c r="U2555" s="1063"/>
      <c r="V2555" s="1063"/>
      <c r="W2555" s="1063"/>
      <c r="X2555" s="1063"/>
      <c r="Y2555" s="1063"/>
      <c r="Z2555" s="1063"/>
      <c r="AA2555" s="1063"/>
      <c r="AB2555" s="1063"/>
      <c r="AC2555" s="1063"/>
      <c r="AD2555" s="1063"/>
      <c r="AE2555" s="1063"/>
      <c r="AF2555" s="1063"/>
      <c r="AG2555" s="1063"/>
      <c r="AH2555" s="1063"/>
      <c r="AI2555" s="1063"/>
      <c r="AJ2555" s="1063"/>
      <c r="AK2555" s="1063"/>
      <c r="AL2555" s="1063"/>
      <c r="AM2555" s="1063"/>
      <c r="AN2555" s="1063"/>
      <c r="AO2555" s="1063"/>
      <c r="AP2555" s="1063"/>
      <c r="AQ2555" s="1063"/>
      <c r="AR2555" s="1063"/>
      <c r="AS2555" s="1063"/>
      <c r="AT2555" s="1063"/>
      <c r="AU2555" s="1063"/>
      <c r="AV2555" s="1063"/>
    </row>
    <row r="2556" spans="1:48" s="1108" customFormat="1" ht="27.75" customHeight="1">
      <c r="A2556" s="1076"/>
      <c r="B2556" s="1074">
        <f>+'[18]Bldg+Dev'!S3368</f>
        <v>0</v>
      </c>
      <c r="D2556" s="1063"/>
      <c r="F2556" s="1076"/>
      <c r="G2556" s="1063"/>
      <c r="H2556" s="1063"/>
      <c r="I2556" s="1063"/>
      <c r="J2556" s="1063"/>
      <c r="K2556" s="1063"/>
      <c r="L2556" s="1063"/>
      <c r="M2556" s="1063"/>
      <c r="N2556" s="1063"/>
      <c r="O2556" s="1063"/>
      <c r="P2556" s="1063"/>
      <c r="Q2556" s="1063"/>
      <c r="R2556" s="1063"/>
      <c r="S2556" s="1063"/>
      <c r="T2556" s="1063"/>
      <c r="U2556" s="1063"/>
      <c r="V2556" s="1063"/>
      <c r="W2556" s="1063"/>
      <c r="X2556" s="1063"/>
      <c r="Y2556" s="1063"/>
      <c r="Z2556" s="1063"/>
      <c r="AA2556" s="1063"/>
      <c r="AB2556" s="1063"/>
      <c r="AC2556" s="1063"/>
      <c r="AD2556" s="1063"/>
      <c r="AE2556" s="1063"/>
      <c r="AF2556" s="1063"/>
      <c r="AG2556" s="1063"/>
      <c r="AH2556" s="1063"/>
      <c r="AI2556" s="1063"/>
      <c r="AJ2556" s="1063"/>
      <c r="AK2556" s="1063"/>
      <c r="AL2556" s="1063"/>
      <c r="AM2556" s="1063"/>
      <c r="AN2556" s="1063"/>
      <c r="AO2556" s="1063"/>
      <c r="AP2556" s="1063"/>
      <c r="AQ2556" s="1063"/>
      <c r="AR2556" s="1063"/>
      <c r="AS2556" s="1063"/>
      <c r="AT2556" s="1063"/>
      <c r="AU2556" s="1063"/>
      <c r="AV2556" s="1063"/>
    </row>
    <row r="2557" spans="1:48" s="1108" customFormat="1" ht="27.75" customHeight="1">
      <c r="A2557" s="1076"/>
      <c r="B2557" s="1074">
        <f>+'[18]Bldg+Dev'!S3369</f>
        <v>0</v>
      </c>
      <c r="D2557" s="1063"/>
      <c r="F2557" s="1076"/>
      <c r="G2557" s="1063"/>
      <c r="H2557" s="1063"/>
      <c r="I2557" s="1063"/>
      <c r="J2557" s="1063"/>
      <c r="K2557" s="1063"/>
      <c r="L2557" s="1063"/>
      <c r="M2557" s="1063"/>
      <c r="N2557" s="1063"/>
      <c r="O2557" s="1063"/>
      <c r="P2557" s="1063"/>
      <c r="Q2557" s="1063"/>
      <c r="R2557" s="1063"/>
      <c r="S2557" s="1063"/>
      <c r="T2557" s="1063"/>
      <c r="U2557" s="1063"/>
      <c r="V2557" s="1063"/>
      <c r="W2557" s="1063"/>
      <c r="X2557" s="1063"/>
      <c r="Y2557" s="1063"/>
      <c r="Z2557" s="1063"/>
      <c r="AA2557" s="1063"/>
      <c r="AB2557" s="1063"/>
      <c r="AC2557" s="1063"/>
      <c r="AD2557" s="1063"/>
      <c r="AE2557" s="1063"/>
      <c r="AF2557" s="1063"/>
      <c r="AG2557" s="1063"/>
      <c r="AH2557" s="1063"/>
      <c r="AI2557" s="1063"/>
      <c r="AJ2557" s="1063"/>
      <c r="AK2557" s="1063"/>
      <c r="AL2557" s="1063"/>
      <c r="AM2557" s="1063"/>
      <c r="AN2557" s="1063"/>
      <c r="AO2557" s="1063"/>
      <c r="AP2557" s="1063"/>
      <c r="AQ2557" s="1063"/>
      <c r="AR2557" s="1063"/>
      <c r="AS2557" s="1063"/>
      <c r="AT2557" s="1063"/>
      <c r="AU2557" s="1063"/>
      <c r="AV2557" s="1063"/>
    </row>
    <row r="2558" spans="1:48" s="1108" customFormat="1" ht="27.75" customHeight="1">
      <c r="A2558" s="1076"/>
      <c r="B2558" s="1074">
        <f>+'[18]Bldg+Dev'!S3370</f>
        <v>0</v>
      </c>
      <c r="D2558" s="1063"/>
      <c r="F2558" s="1076"/>
      <c r="G2558" s="1063"/>
      <c r="H2558" s="1063"/>
      <c r="I2558" s="1063"/>
      <c r="J2558" s="1063"/>
      <c r="K2558" s="1063"/>
      <c r="L2558" s="1063"/>
      <c r="M2558" s="1063"/>
      <c r="N2558" s="1063"/>
      <c r="O2558" s="1063"/>
      <c r="P2558" s="1063"/>
      <c r="Q2558" s="1063"/>
      <c r="R2558" s="1063"/>
      <c r="S2558" s="1063"/>
      <c r="T2558" s="1063"/>
      <c r="U2558" s="1063"/>
      <c r="V2558" s="1063"/>
      <c r="W2558" s="1063"/>
      <c r="X2558" s="1063"/>
      <c r="Y2558" s="1063"/>
      <c r="Z2558" s="1063"/>
      <c r="AA2558" s="1063"/>
      <c r="AB2558" s="1063"/>
      <c r="AC2558" s="1063"/>
      <c r="AD2558" s="1063"/>
      <c r="AE2558" s="1063"/>
      <c r="AF2558" s="1063"/>
      <c r="AG2558" s="1063"/>
      <c r="AH2558" s="1063"/>
      <c r="AI2558" s="1063"/>
      <c r="AJ2558" s="1063"/>
      <c r="AK2558" s="1063"/>
      <c r="AL2558" s="1063"/>
      <c r="AM2558" s="1063"/>
      <c r="AN2558" s="1063"/>
      <c r="AO2558" s="1063"/>
      <c r="AP2558" s="1063"/>
      <c r="AQ2558" s="1063"/>
      <c r="AR2558" s="1063"/>
      <c r="AS2558" s="1063"/>
      <c r="AT2558" s="1063"/>
      <c r="AU2558" s="1063"/>
      <c r="AV2558" s="1063"/>
    </row>
    <row r="2559" spans="1:48" s="1108" customFormat="1" ht="27.75" customHeight="1">
      <c r="A2559" s="1076"/>
      <c r="B2559" s="1074">
        <f>+'[18]Bldg+Dev'!S3371</f>
        <v>0</v>
      </c>
      <c r="D2559" s="1063"/>
      <c r="F2559" s="1076"/>
      <c r="G2559" s="1063"/>
      <c r="H2559" s="1063"/>
      <c r="I2559" s="1063"/>
      <c r="J2559" s="1063"/>
      <c r="K2559" s="1063"/>
      <c r="L2559" s="1063"/>
      <c r="M2559" s="1063"/>
      <c r="N2559" s="1063"/>
      <c r="O2559" s="1063"/>
      <c r="P2559" s="1063"/>
      <c r="Q2559" s="1063"/>
      <c r="R2559" s="1063"/>
      <c r="S2559" s="1063"/>
      <c r="T2559" s="1063"/>
      <c r="U2559" s="1063"/>
      <c r="V2559" s="1063"/>
      <c r="W2559" s="1063"/>
      <c r="X2559" s="1063"/>
      <c r="Y2559" s="1063"/>
      <c r="Z2559" s="1063"/>
      <c r="AA2559" s="1063"/>
      <c r="AB2559" s="1063"/>
      <c r="AC2559" s="1063"/>
      <c r="AD2559" s="1063"/>
      <c r="AE2559" s="1063"/>
      <c r="AF2559" s="1063"/>
      <c r="AG2559" s="1063"/>
      <c r="AH2559" s="1063"/>
      <c r="AI2559" s="1063"/>
      <c r="AJ2559" s="1063"/>
      <c r="AK2559" s="1063"/>
      <c r="AL2559" s="1063"/>
      <c r="AM2559" s="1063"/>
      <c r="AN2559" s="1063"/>
      <c r="AO2559" s="1063"/>
      <c r="AP2559" s="1063"/>
      <c r="AQ2559" s="1063"/>
      <c r="AR2559" s="1063"/>
      <c r="AS2559" s="1063"/>
      <c r="AT2559" s="1063"/>
      <c r="AU2559" s="1063"/>
      <c r="AV2559" s="1063"/>
    </row>
    <row r="2560" spans="1:48" s="1108" customFormat="1" ht="27.75" customHeight="1">
      <c r="A2560" s="1076"/>
      <c r="B2560" s="1074">
        <f>+'[18]Bldg+Dev'!S3372</f>
        <v>0</v>
      </c>
      <c r="D2560" s="1063"/>
      <c r="F2560" s="1076"/>
      <c r="G2560" s="1063"/>
      <c r="H2560" s="1063"/>
      <c r="I2560" s="1063"/>
      <c r="J2560" s="1063"/>
      <c r="K2560" s="1063"/>
      <c r="L2560" s="1063"/>
      <c r="M2560" s="1063"/>
      <c r="N2560" s="1063"/>
      <c r="O2560" s="1063"/>
      <c r="P2560" s="1063"/>
      <c r="Q2560" s="1063"/>
      <c r="R2560" s="1063"/>
      <c r="S2560" s="1063"/>
      <c r="T2560" s="1063"/>
      <c r="U2560" s="1063"/>
      <c r="V2560" s="1063"/>
      <c r="W2560" s="1063"/>
      <c r="X2560" s="1063"/>
      <c r="Y2560" s="1063"/>
      <c r="Z2560" s="1063"/>
      <c r="AA2560" s="1063"/>
      <c r="AB2560" s="1063"/>
      <c r="AC2560" s="1063"/>
      <c r="AD2560" s="1063"/>
      <c r="AE2560" s="1063"/>
      <c r="AF2560" s="1063"/>
      <c r="AG2560" s="1063"/>
      <c r="AH2560" s="1063"/>
      <c r="AI2560" s="1063"/>
      <c r="AJ2560" s="1063"/>
      <c r="AK2560" s="1063"/>
      <c r="AL2560" s="1063"/>
      <c r="AM2560" s="1063"/>
      <c r="AN2560" s="1063"/>
      <c r="AO2560" s="1063"/>
      <c r="AP2560" s="1063"/>
      <c r="AQ2560" s="1063"/>
      <c r="AR2560" s="1063"/>
      <c r="AS2560" s="1063"/>
      <c r="AT2560" s="1063"/>
      <c r="AU2560" s="1063"/>
      <c r="AV2560" s="1063"/>
    </row>
    <row r="2561" spans="1:48" s="1108" customFormat="1" ht="27.75" customHeight="1">
      <c r="A2561" s="1076"/>
      <c r="B2561" s="1074">
        <f>+'[18]Bldg+Dev'!S3373</f>
        <v>0</v>
      </c>
      <c r="D2561" s="1063"/>
      <c r="F2561" s="1076"/>
      <c r="G2561" s="1063"/>
      <c r="H2561" s="1063"/>
      <c r="I2561" s="1063"/>
      <c r="J2561" s="1063"/>
      <c r="K2561" s="1063"/>
      <c r="L2561" s="1063"/>
      <c r="M2561" s="1063"/>
      <c r="N2561" s="1063"/>
      <c r="O2561" s="1063"/>
      <c r="P2561" s="1063"/>
      <c r="Q2561" s="1063"/>
      <c r="R2561" s="1063"/>
      <c r="S2561" s="1063"/>
      <c r="T2561" s="1063"/>
      <c r="U2561" s="1063"/>
      <c r="V2561" s="1063"/>
      <c r="W2561" s="1063"/>
      <c r="X2561" s="1063"/>
      <c r="Y2561" s="1063"/>
      <c r="Z2561" s="1063"/>
      <c r="AA2561" s="1063"/>
      <c r="AB2561" s="1063"/>
      <c r="AC2561" s="1063"/>
      <c r="AD2561" s="1063"/>
      <c r="AE2561" s="1063"/>
      <c r="AF2561" s="1063"/>
      <c r="AG2561" s="1063"/>
      <c r="AH2561" s="1063"/>
      <c r="AI2561" s="1063"/>
      <c r="AJ2561" s="1063"/>
      <c r="AK2561" s="1063"/>
      <c r="AL2561" s="1063"/>
      <c r="AM2561" s="1063"/>
      <c r="AN2561" s="1063"/>
      <c r="AO2561" s="1063"/>
      <c r="AP2561" s="1063"/>
      <c r="AQ2561" s="1063"/>
      <c r="AR2561" s="1063"/>
      <c r="AS2561" s="1063"/>
      <c r="AT2561" s="1063"/>
      <c r="AU2561" s="1063"/>
      <c r="AV2561" s="1063"/>
    </row>
    <row r="2562" spans="1:48" s="1108" customFormat="1" ht="27.75" customHeight="1">
      <c r="A2562" s="1076"/>
      <c r="B2562" s="1074">
        <f>+'[18]Bldg+Dev'!S3374</f>
        <v>0</v>
      </c>
      <c r="D2562" s="1063"/>
      <c r="F2562" s="1076"/>
      <c r="G2562" s="1063"/>
      <c r="H2562" s="1063"/>
      <c r="I2562" s="1063"/>
      <c r="J2562" s="1063"/>
      <c r="K2562" s="1063"/>
      <c r="L2562" s="1063"/>
      <c r="M2562" s="1063"/>
      <c r="N2562" s="1063"/>
      <c r="O2562" s="1063"/>
      <c r="P2562" s="1063"/>
      <c r="Q2562" s="1063"/>
      <c r="R2562" s="1063"/>
      <c r="S2562" s="1063"/>
      <c r="T2562" s="1063"/>
      <c r="U2562" s="1063"/>
      <c r="V2562" s="1063"/>
      <c r="W2562" s="1063"/>
      <c r="X2562" s="1063"/>
      <c r="Y2562" s="1063"/>
      <c r="Z2562" s="1063"/>
      <c r="AA2562" s="1063"/>
      <c r="AB2562" s="1063"/>
      <c r="AC2562" s="1063"/>
      <c r="AD2562" s="1063"/>
      <c r="AE2562" s="1063"/>
      <c r="AF2562" s="1063"/>
      <c r="AG2562" s="1063"/>
      <c r="AH2562" s="1063"/>
      <c r="AI2562" s="1063"/>
      <c r="AJ2562" s="1063"/>
      <c r="AK2562" s="1063"/>
      <c r="AL2562" s="1063"/>
      <c r="AM2562" s="1063"/>
      <c r="AN2562" s="1063"/>
      <c r="AO2562" s="1063"/>
      <c r="AP2562" s="1063"/>
      <c r="AQ2562" s="1063"/>
      <c r="AR2562" s="1063"/>
      <c r="AS2562" s="1063"/>
      <c r="AT2562" s="1063"/>
      <c r="AU2562" s="1063"/>
      <c r="AV2562" s="1063"/>
    </row>
    <row r="2563" spans="1:48" s="1108" customFormat="1" ht="27.75" customHeight="1">
      <c r="A2563" s="1076"/>
      <c r="B2563" s="1074">
        <f>+'[18]Bldg+Dev'!S3375</f>
        <v>0</v>
      </c>
      <c r="D2563" s="1063"/>
      <c r="F2563" s="1076"/>
      <c r="G2563" s="1063"/>
      <c r="H2563" s="1063"/>
      <c r="I2563" s="1063"/>
      <c r="J2563" s="1063"/>
      <c r="K2563" s="1063"/>
      <c r="L2563" s="1063"/>
      <c r="M2563" s="1063"/>
      <c r="N2563" s="1063"/>
      <c r="O2563" s="1063"/>
      <c r="P2563" s="1063"/>
      <c r="Q2563" s="1063"/>
      <c r="R2563" s="1063"/>
      <c r="S2563" s="1063"/>
      <c r="T2563" s="1063"/>
      <c r="U2563" s="1063"/>
      <c r="V2563" s="1063"/>
      <c r="W2563" s="1063"/>
      <c r="X2563" s="1063"/>
      <c r="Y2563" s="1063"/>
      <c r="Z2563" s="1063"/>
      <c r="AA2563" s="1063"/>
      <c r="AB2563" s="1063"/>
      <c r="AC2563" s="1063"/>
      <c r="AD2563" s="1063"/>
      <c r="AE2563" s="1063"/>
      <c r="AF2563" s="1063"/>
      <c r="AG2563" s="1063"/>
      <c r="AH2563" s="1063"/>
      <c r="AI2563" s="1063"/>
      <c r="AJ2563" s="1063"/>
      <c r="AK2563" s="1063"/>
      <c r="AL2563" s="1063"/>
      <c r="AM2563" s="1063"/>
      <c r="AN2563" s="1063"/>
      <c r="AO2563" s="1063"/>
      <c r="AP2563" s="1063"/>
      <c r="AQ2563" s="1063"/>
      <c r="AR2563" s="1063"/>
      <c r="AS2563" s="1063"/>
      <c r="AT2563" s="1063"/>
      <c r="AU2563" s="1063"/>
      <c r="AV2563" s="1063"/>
    </row>
    <row r="2564" spans="1:48" s="1108" customFormat="1" ht="27.75" customHeight="1">
      <c r="A2564" s="1076"/>
      <c r="B2564" s="1074">
        <f>+'[18]Bldg+Dev'!S3376</f>
        <v>0</v>
      </c>
      <c r="D2564" s="1063"/>
      <c r="F2564" s="1076"/>
      <c r="G2564" s="1063"/>
      <c r="H2564" s="1063"/>
      <c r="I2564" s="1063"/>
      <c r="J2564" s="1063"/>
      <c r="K2564" s="1063"/>
      <c r="L2564" s="1063"/>
      <c r="M2564" s="1063"/>
      <c r="N2564" s="1063"/>
      <c r="O2564" s="1063"/>
      <c r="P2564" s="1063"/>
      <c r="Q2564" s="1063"/>
      <c r="R2564" s="1063"/>
      <c r="S2564" s="1063"/>
      <c r="T2564" s="1063"/>
      <c r="U2564" s="1063"/>
      <c r="V2564" s="1063"/>
      <c r="W2564" s="1063"/>
      <c r="X2564" s="1063"/>
      <c r="Y2564" s="1063"/>
      <c r="Z2564" s="1063"/>
      <c r="AA2564" s="1063"/>
      <c r="AB2564" s="1063"/>
      <c r="AC2564" s="1063"/>
      <c r="AD2564" s="1063"/>
      <c r="AE2564" s="1063"/>
      <c r="AF2564" s="1063"/>
      <c r="AG2564" s="1063"/>
      <c r="AH2564" s="1063"/>
      <c r="AI2564" s="1063"/>
      <c r="AJ2564" s="1063"/>
      <c r="AK2564" s="1063"/>
      <c r="AL2564" s="1063"/>
      <c r="AM2564" s="1063"/>
      <c r="AN2564" s="1063"/>
      <c r="AO2564" s="1063"/>
      <c r="AP2564" s="1063"/>
      <c r="AQ2564" s="1063"/>
      <c r="AR2564" s="1063"/>
      <c r="AS2564" s="1063"/>
      <c r="AT2564" s="1063"/>
      <c r="AU2564" s="1063"/>
      <c r="AV2564" s="1063"/>
    </row>
    <row r="2565" spans="1:48" s="1108" customFormat="1" ht="27.75" customHeight="1">
      <c r="A2565" s="1076"/>
      <c r="B2565" s="1074">
        <f>+'[18]Bldg+Dev'!S3377</f>
        <v>0</v>
      </c>
      <c r="D2565" s="1063"/>
      <c r="F2565" s="1076"/>
      <c r="G2565" s="1063"/>
      <c r="H2565" s="1063"/>
      <c r="I2565" s="1063"/>
      <c r="J2565" s="1063"/>
      <c r="K2565" s="1063"/>
      <c r="L2565" s="1063"/>
      <c r="M2565" s="1063"/>
      <c r="N2565" s="1063"/>
      <c r="O2565" s="1063"/>
      <c r="P2565" s="1063"/>
      <c r="Q2565" s="1063"/>
      <c r="R2565" s="1063"/>
      <c r="S2565" s="1063"/>
      <c r="T2565" s="1063"/>
      <c r="U2565" s="1063"/>
      <c r="V2565" s="1063"/>
      <c r="W2565" s="1063"/>
      <c r="X2565" s="1063"/>
      <c r="Y2565" s="1063"/>
      <c r="Z2565" s="1063"/>
      <c r="AA2565" s="1063"/>
      <c r="AB2565" s="1063"/>
      <c r="AC2565" s="1063"/>
      <c r="AD2565" s="1063"/>
      <c r="AE2565" s="1063"/>
      <c r="AF2565" s="1063"/>
      <c r="AG2565" s="1063"/>
      <c r="AH2565" s="1063"/>
      <c r="AI2565" s="1063"/>
      <c r="AJ2565" s="1063"/>
      <c r="AK2565" s="1063"/>
      <c r="AL2565" s="1063"/>
      <c r="AM2565" s="1063"/>
      <c r="AN2565" s="1063"/>
      <c r="AO2565" s="1063"/>
      <c r="AP2565" s="1063"/>
      <c r="AQ2565" s="1063"/>
      <c r="AR2565" s="1063"/>
      <c r="AS2565" s="1063"/>
      <c r="AT2565" s="1063"/>
      <c r="AU2565" s="1063"/>
      <c r="AV2565" s="1063"/>
    </row>
    <row r="2566" spans="1:48" s="1108" customFormat="1" ht="27.75" customHeight="1">
      <c r="A2566" s="1076"/>
      <c r="B2566" s="1074">
        <f>+'[18]Bldg+Dev'!S3378</f>
        <v>0</v>
      </c>
      <c r="D2566" s="1063"/>
      <c r="F2566" s="1076"/>
      <c r="G2566" s="1063"/>
      <c r="H2566" s="1063"/>
      <c r="I2566" s="1063"/>
      <c r="J2566" s="1063"/>
      <c r="K2566" s="1063"/>
      <c r="L2566" s="1063"/>
      <c r="M2566" s="1063"/>
      <c r="N2566" s="1063"/>
      <c r="O2566" s="1063"/>
      <c r="P2566" s="1063"/>
      <c r="Q2566" s="1063"/>
      <c r="R2566" s="1063"/>
      <c r="S2566" s="1063"/>
      <c r="T2566" s="1063"/>
      <c r="U2566" s="1063"/>
      <c r="V2566" s="1063"/>
      <c r="W2566" s="1063"/>
      <c r="X2566" s="1063"/>
      <c r="Y2566" s="1063"/>
      <c r="Z2566" s="1063"/>
      <c r="AA2566" s="1063"/>
      <c r="AB2566" s="1063"/>
      <c r="AC2566" s="1063"/>
      <c r="AD2566" s="1063"/>
      <c r="AE2566" s="1063"/>
      <c r="AF2566" s="1063"/>
      <c r="AG2566" s="1063"/>
      <c r="AH2566" s="1063"/>
      <c r="AI2566" s="1063"/>
      <c r="AJ2566" s="1063"/>
      <c r="AK2566" s="1063"/>
      <c r="AL2566" s="1063"/>
      <c r="AM2566" s="1063"/>
      <c r="AN2566" s="1063"/>
      <c r="AO2566" s="1063"/>
      <c r="AP2566" s="1063"/>
      <c r="AQ2566" s="1063"/>
      <c r="AR2566" s="1063"/>
      <c r="AS2566" s="1063"/>
      <c r="AT2566" s="1063"/>
      <c r="AU2566" s="1063"/>
      <c r="AV2566" s="1063"/>
    </row>
    <row r="2567" spans="1:48" s="1108" customFormat="1" ht="27.75" customHeight="1">
      <c r="A2567" s="1076"/>
      <c r="B2567" s="1074">
        <f>+'[18]Bldg+Dev'!S3379</f>
        <v>0</v>
      </c>
      <c r="D2567" s="1063"/>
      <c r="F2567" s="1076"/>
      <c r="G2567" s="1063"/>
      <c r="H2567" s="1063"/>
      <c r="I2567" s="1063"/>
      <c r="J2567" s="1063"/>
      <c r="K2567" s="1063"/>
      <c r="L2567" s="1063"/>
      <c r="M2567" s="1063"/>
      <c r="N2567" s="1063"/>
      <c r="O2567" s="1063"/>
      <c r="P2567" s="1063"/>
      <c r="Q2567" s="1063"/>
      <c r="R2567" s="1063"/>
      <c r="S2567" s="1063"/>
      <c r="T2567" s="1063"/>
      <c r="U2567" s="1063"/>
      <c r="V2567" s="1063"/>
      <c r="W2567" s="1063"/>
      <c r="X2567" s="1063"/>
      <c r="Y2567" s="1063"/>
      <c r="Z2567" s="1063"/>
      <c r="AA2567" s="1063"/>
      <c r="AB2567" s="1063"/>
      <c r="AC2567" s="1063"/>
      <c r="AD2567" s="1063"/>
      <c r="AE2567" s="1063"/>
      <c r="AF2567" s="1063"/>
      <c r="AG2567" s="1063"/>
      <c r="AH2567" s="1063"/>
      <c r="AI2567" s="1063"/>
      <c r="AJ2567" s="1063"/>
      <c r="AK2567" s="1063"/>
      <c r="AL2567" s="1063"/>
      <c r="AM2567" s="1063"/>
      <c r="AN2567" s="1063"/>
      <c r="AO2567" s="1063"/>
      <c r="AP2567" s="1063"/>
      <c r="AQ2567" s="1063"/>
      <c r="AR2567" s="1063"/>
      <c r="AS2567" s="1063"/>
      <c r="AT2567" s="1063"/>
      <c r="AU2567" s="1063"/>
      <c r="AV2567" s="1063"/>
    </row>
    <row r="2568" spans="1:48" s="1108" customFormat="1" ht="27.75" customHeight="1">
      <c r="A2568" s="1076"/>
      <c r="B2568" s="1074">
        <f>+'[18]Bldg+Dev'!S3380</f>
        <v>0</v>
      </c>
      <c r="D2568" s="1063"/>
      <c r="F2568" s="1076"/>
      <c r="G2568" s="1063"/>
      <c r="H2568" s="1063"/>
      <c r="I2568" s="1063"/>
      <c r="J2568" s="1063"/>
      <c r="K2568" s="1063"/>
      <c r="L2568" s="1063"/>
      <c r="M2568" s="1063"/>
      <c r="N2568" s="1063"/>
      <c r="O2568" s="1063"/>
      <c r="P2568" s="1063"/>
      <c r="Q2568" s="1063"/>
      <c r="R2568" s="1063"/>
      <c r="S2568" s="1063"/>
      <c r="T2568" s="1063"/>
      <c r="U2568" s="1063"/>
      <c r="V2568" s="1063"/>
      <c r="W2568" s="1063"/>
      <c r="X2568" s="1063"/>
      <c r="Y2568" s="1063"/>
      <c r="Z2568" s="1063"/>
      <c r="AA2568" s="1063"/>
      <c r="AB2568" s="1063"/>
      <c r="AC2568" s="1063"/>
      <c r="AD2568" s="1063"/>
      <c r="AE2568" s="1063"/>
      <c r="AF2568" s="1063"/>
      <c r="AG2568" s="1063"/>
      <c r="AH2568" s="1063"/>
      <c r="AI2568" s="1063"/>
      <c r="AJ2568" s="1063"/>
      <c r="AK2568" s="1063"/>
      <c r="AL2568" s="1063"/>
      <c r="AM2568" s="1063"/>
      <c r="AN2568" s="1063"/>
      <c r="AO2568" s="1063"/>
      <c r="AP2568" s="1063"/>
      <c r="AQ2568" s="1063"/>
      <c r="AR2568" s="1063"/>
      <c r="AS2568" s="1063"/>
      <c r="AT2568" s="1063"/>
      <c r="AU2568" s="1063"/>
      <c r="AV2568" s="1063"/>
    </row>
    <row r="2569" spans="1:48" s="1108" customFormat="1" ht="27.75" customHeight="1">
      <c r="A2569" s="1076"/>
      <c r="B2569" s="1074">
        <f>+'[18]Bldg+Dev'!S3381</f>
        <v>0</v>
      </c>
      <c r="D2569" s="1063"/>
      <c r="F2569" s="1076"/>
      <c r="G2569" s="1063"/>
      <c r="H2569" s="1063"/>
      <c r="I2569" s="1063"/>
      <c r="J2569" s="1063"/>
      <c r="K2569" s="1063"/>
      <c r="L2569" s="1063"/>
      <c r="M2569" s="1063"/>
      <c r="N2569" s="1063"/>
      <c r="O2569" s="1063"/>
      <c r="P2569" s="1063"/>
      <c r="Q2569" s="1063"/>
      <c r="R2569" s="1063"/>
      <c r="S2569" s="1063"/>
      <c r="T2569" s="1063"/>
      <c r="U2569" s="1063"/>
      <c r="V2569" s="1063"/>
      <c r="W2569" s="1063"/>
      <c r="X2569" s="1063"/>
      <c r="Y2569" s="1063"/>
      <c r="Z2569" s="1063"/>
      <c r="AA2569" s="1063"/>
      <c r="AB2569" s="1063"/>
      <c r="AC2569" s="1063"/>
      <c r="AD2569" s="1063"/>
      <c r="AE2569" s="1063"/>
      <c r="AF2569" s="1063"/>
      <c r="AG2569" s="1063"/>
      <c r="AH2569" s="1063"/>
      <c r="AI2569" s="1063"/>
      <c r="AJ2569" s="1063"/>
      <c r="AK2569" s="1063"/>
      <c r="AL2569" s="1063"/>
      <c r="AM2569" s="1063"/>
      <c r="AN2569" s="1063"/>
      <c r="AO2569" s="1063"/>
      <c r="AP2569" s="1063"/>
      <c r="AQ2569" s="1063"/>
      <c r="AR2569" s="1063"/>
      <c r="AS2569" s="1063"/>
      <c r="AT2569" s="1063"/>
      <c r="AU2569" s="1063"/>
      <c r="AV2569" s="1063"/>
    </row>
    <row r="2570" spans="1:48" s="1108" customFormat="1" ht="27.75" customHeight="1">
      <c r="A2570" s="1076"/>
      <c r="B2570" s="1074">
        <f>+'[18]Bldg+Dev'!S3382</f>
        <v>0</v>
      </c>
      <c r="D2570" s="1063"/>
      <c r="F2570" s="1076"/>
      <c r="G2570" s="1063"/>
      <c r="H2570" s="1063"/>
      <c r="I2570" s="1063"/>
      <c r="J2570" s="1063"/>
      <c r="K2570" s="1063"/>
      <c r="L2570" s="1063"/>
      <c r="M2570" s="1063"/>
      <c r="N2570" s="1063"/>
      <c r="O2570" s="1063"/>
      <c r="P2570" s="1063"/>
      <c r="Q2570" s="1063"/>
      <c r="R2570" s="1063"/>
      <c r="S2570" s="1063"/>
      <c r="T2570" s="1063"/>
      <c r="U2570" s="1063"/>
      <c r="V2570" s="1063"/>
      <c r="W2570" s="1063"/>
      <c r="X2570" s="1063"/>
      <c r="Y2570" s="1063"/>
      <c r="Z2570" s="1063"/>
      <c r="AA2570" s="1063"/>
      <c r="AB2570" s="1063"/>
      <c r="AC2570" s="1063"/>
      <c r="AD2570" s="1063"/>
      <c r="AE2570" s="1063"/>
      <c r="AF2570" s="1063"/>
      <c r="AG2570" s="1063"/>
      <c r="AH2570" s="1063"/>
      <c r="AI2570" s="1063"/>
      <c r="AJ2570" s="1063"/>
      <c r="AK2570" s="1063"/>
      <c r="AL2570" s="1063"/>
      <c r="AM2570" s="1063"/>
      <c r="AN2570" s="1063"/>
      <c r="AO2570" s="1063"/>
      <c r="AP2570" s="1063"/>
      <c r="AQ2570" s="1063"/>
      <c r="AR2570" s="1063"/>
      <c r="AS2570" s="1063"/>
      <c r="AT2570" s="1063"/>
      <c r="AU2570" s="1063"/>
      <c r="AV2570" s="1063"/>
    </row>
    <row r="2571" spans="1:48" s="1108" customFormat="1" ht="27.75" customHeight="1">
      <c r="A2571" s="1076"/>
      <c r="B2571" s="1074">
        <f>+'[18]Bldg+Dev'!S3383</f>
        <v>0</v>
      </c>
      <c r="D2571" s="1063"/>
      <c r="F2571" s="1076"/>
      <c r="G2571" s="1063"/>
      <c r="H2571" s="1063"/>
      <c r="I2571" s="1063"/>
      <c r="J2571" s="1063"/>
      <c r="K2571" s="1063"/>
      <c r="L2571" s="1063"/>
      <c r="M2571" s="1063"/>
      <c r="N2571" s="1063"/>
      <c r="O2571" s="1063"/>
      <c r="P2571" s="1063"/>
      <c r="Q2571" s="1063"/>
      <c r="R2571" s="1063"/>
      <c r="S2571" s="1063"/>
      <c r="T2571" s="1063"/>
      <c r="U2571" s="1063"/>
      <c r="V2571" s="1063"/>
      <c r="W2571" s="1063"/>
      <c r="X2571" s="1063"/>
      <c r="Y2571" s="1063"/>
      <c r="Z2571" s="1063"/>
      <c r="AA2571" s="1063"/>
      <c r="AB2571" s="1063"/>
      <c r="AC2571" s="1063"/>
      <c r="AD2571" s="1063"/>
      <c r="AE2571" s="1063"/>
      <c r="AF2571" s="1063"/>
      <c r="AG2571" s="1063"/>
      <c r="AH2571" s="1063"/>
      <c r="AI2571" s="1063"/>
      <c r="AJ2571" s="1063"/>
      <c r="AK2571" s="1063"/>
      <c r="AL2571" s="1063"/>
      <c r="AM2571" s="1063"/>
      <c r="AN2571" s="1063"/>
      <c r="AO2571" s="1063"/>
      <c r="AP2571" s="1063"/>
      <c r="AQ2571" s="1063"/>
      <c r="AR2571" s="1063"/>
      <c r="AS2571" s="1063"/>
      <c r="AT2571" s="1063"/>
      <c r="AU2571" s="1063"/>
      <c r="AV2571" s="1063"/>
    </row>
    <row r="2572" spans="1:48" s="1108" customFormat="1" ht="27.75" customHeight="1">
      <c r="A2572" s="1076"/>
      <c r="B2572" s="1074">
        <f>+'[18]Bldg+Dev'!S3384</f>
        <v>0</v>
      </c>
      <c r="D2572" s="1063"/>
      <c r="F2572" s="1076"/>
      <c r="G2572" s="1063"/>
      <c r="H2572" s="1063"/>
      <c r="I2572" s="1063"/>
      <c r="J2572" s="1063"/>
      <c r="K2572" s="1063"/>
      <c r="L2572" s="1063"/>
      <c r="M2572" s="1063"/>
      <c r="N2572" s="1063"/>
      <c r="O2572" s="1063"/>
      <c r="P2572" s="1063"/>
      <c r="Q2572" s="1063"/>
      <c r="R2572" s="1063"/>
      <c r="S2572" s="1063"/>
      <c r="T2572" s="1063"/>
      <c r="U2572" s="1063"/>
      <c r="V2572" s="1063"/>
      <c r="W2572" s="1063"/>
      <c r="X2572" s="1063"/>
      <c r="Y2572" s="1063"/>
      <c r="Z2572" s="1063"/>
      <c r="AA2572" s="1063"/>
      <c r="AB2572" s="1063"/>
      <c r="AC2572" s="1063"/>
      <c r="AD2572" s="1063"/>
      <c r="AE2572" s="1063"/>
      <c r="AF2572" s="1063"/>
      <c r="AG2572" s="1063"/>
      <c r="AH2572" s="1063"/>
      <c r="AI2572" s="1063"/>
      <c r="AJ2572" s="1063"/>
      <c r="AK2572" s="1063"/>
      <c r="AL2572" s="1063"/>
      <c r="AM2572" s="1063"/>
      <c r="AN2572" s="1063"/>
      <c r="AO2572" s="1063"/>
      <c r="AP2572" s="1063"/>
      <c r="AQ2572" s="1063"/>
      <c r="AR2572" s="1063"/>
      <c r="AS2572" s="1063"/>
      <c r="AT2572" s="1063"/>
      <c r="AU2572" s="1063"/>
      <c r="AV2572" s="1063"/>
    </row>
    <row r="2573" spans="1:48" s="1108" customFormat="1" ht="27.75" customHeight="1">
      <c r="A2573" s="1076"/>
      <c r="B2573" s="1074">
        <f>+'[18]Bldg+Dev'!S3385</f>
        <v>0</v>
      </c>
      <c r="D2573" s="1063"/>
      <c r="F2573" s="1076"/>
      <c r="G2573" s="1063"/>
      <c r="H2573" s="1063"/>
      <c r="I2573" s="1063"/>
      <c r="J2573" s="1063"/>
      <c r="K2573" s="1063"/>
      <c r="L2573" s="1063"/>
      <c r="M2573" s="1063"/>
      <c r="N2573" s="1063"/>
      <c r="O2573" s="1063"/>
      <c r="P2573" s="1063"/>
      <c r="Q2573" s="1063"/>
      <c r="R2573" s="1063"/>
      <c r="S2573" s="1063"/>
      <c r="T2573" s="1063"/>
      <c r="U2573" s="1063"/>
      <c r="V2573" s="1063"/>
      <c r="W2573" s="1063"/>
      <c r="X2573" s="1063"/>
      <c r="Y2573" s="1063"/>
      <c r="Z2573" s="1063"/>
      <c r="AA2573" s="1063"/>
      <c r="AB2573" s="1063"/>
      <c r="AC2573" s="1063"/>
      <c r="AD2573" s="1063"/>
      <c r="AE2573" s="1063"/>
      <c r="AF2573" s="1063"/>
      <c r="AG2573" s="1063"/>
      <c r="AH2573" s="1063"/>
      <c r="AI2573" s="1063"/>
      <c r="AJ2573" s="1063"/>
      <c r="AK2573" s="1063"/>
      <c r="AL2573" s="1063"/>
      <c r="AM2573" s="1063"/>
      <c r="AN2573" s="1063"/>
      <c r="AO2573" s="1063"/>
      <c r="AP2573" s="1063"/>
      <c r="AQ2573" s="1063"/>
      <c r="AR2573" s="1063"/>
      <c r="AS2573" s="1063"/>
      <c r="AT2573" s="1063"/>
      <c r="AU2573" s="1063"/>
      <c r="AV2573" s="1063"/>
    </row>
    <row r="2574" spans="1:48" s="1108" customFormat="1" ht="27.75" customHeight="1">
      <c r="A2574" s="1076"/>
      <c r="B2574" s="1074">
        <f>+'[18]Bldg+Dev'!S3386</f>
        <v>0</v>
      </c>
      <c r="D2574" s="1063"/>
      <c r="F2574" s="1076"/>
      <c r="G2574" s="1063"/>
      <c r="H2574" s="1063"/>
      <c r="I2574" s="1063"/>
      <c r="J2574" s="1063"/>
      <c r="K2574" s="1063"/>
      <c r="L2574" s="1063"/>
      <c r="M2574" s="1063"/>
      <c r="N2574" s="1063"/>
      <c r="O2574" s="1063"/>
      <c r="P2574" s="1063"/>
      <c r="Q2574" s="1063"/>
      <c r="R2574" s="1063"/>
      <c r="S2574" s="1063"/>
      <c r="T2574" s="1063"/>
      <c r="U2574" s="1063"/>
      <c r="V2574" s="1063"/>
      <c r="W2574" s="1063"/>
      <c r="X2574" s="1063"/>
      <c r="Y2574" s="1063"/>
      <c r="Z2574" s="1063"/>
      <c r="AA2574" s="1063"/>
      <c r="AB2574" s="1063"/>
      <c r="AC2574" s="1063"/>
      <c r="AD2574" s="1063"/>
      <c r="AE2574" s="1063"/>
      <c r="AF2574" s="1063"/>
      <c r="AG2574" s="1063"/>
      <c r="AH2574" s="1063"/>
      <c r="AI2574" s="1063"/>
      <c r="AJ2574" s="1063"/>
      <c r="AK2574" s="1063"/>
      <c r="AL2574" s="1063"/>
      <c r="AM2574" s="1063"/>
      <c r="AN2574" s="1063"/>
      <c r="AO2574" s="1063"/>
      <c r="AP2574" s="1063"/>
      <c r="AQ2574" s="1063"/>
      <c r="AR2574" s="1063"/>
      <c r="AS2574" s="1063"/>
      <c r="AT2574" s="1063"/>
      <c r="AU2574" s="1063"/>
      <c r="AV2574" s="1063"/>
    </row>
    <row r="2575" spans="1:48" s="1108" customFormat="1" ht="27.75" customHeight="1">
      <c r="A2575" s="1076"/>
      <c r="B2575" s="1074">
        <f>+'[18]Bldg+Dev'!S3387</f>
        <v>0</v>
      </c>
      <c r="D2575" s="1063"/>
      <c r="F2575" s="1076"/>
      <c r="G2575" s="1063"/>
      <c r="H2575" s="1063"/>
      <c r="I2575" s="1063"/>
      <c r="J2575" s="1063"/>
      <c r="K2575" s="1063"/>
      <c r="L2575" s="1063"/>
      <c r="M2575" s="1063"/>
      <c r="N2575" s="1063"/>
      <c r="O2575" s="1063"/>
      <c r="P2575" s="1063"/>
      <c r="Q2575" s="1063"/>
      <c r="R2575" s="1063"/>
      <c r="S2575" s="1063"/>
      <c r="T2575" s="1063"/>
      <c r="U2575" s="1063"/>
      <c r="V2575" s="1063"/>
      <c r="W2575" s="1063"/>
      <c r="X2575" s="1063"/>
      <c r="Y2575" s="1063"/>
      <c r="Z2575" s="1063"/>
      <c r="AA2575" s="1063"/>
      <c r="AB2575" s="1063"/>
      <c r="AC2575" s="1063"/>
      <c r="AD2575" s="1063"/>
      <c r="AE2575" s="1063"/>
      <c r="AF2575" s="1063"/>
      <c r="AG2575" s="1063"/>
      <c r="AH2575" s="1063"/>
      <c r="AI2575" s="1063"/>
      <c r="AJ2575" s="1063"/>
      <c r="AK2575" s="1063"/>
      <c r="AL2575" s="1063"/>
      <c r="AM2575" s="1063"/>
      <c r="AN2575" s="1063"/>
      <c r="AO2575" s="1063"/>
      <c r="AP2575" s="1063"/>
      <c r="AQ2575" s="1063"/>
      <c r="AR2575" s="1063"/>
      <c r="AS2575" s="1063"/>
      <c r="AT2575" s="1063"/>
      <c r="AU2575" s="1063"/>
      <c r="AV2575" s="1063"/>
    </row>
    <row r="2576" spans="1:48" s="1108" customFormat="1" ht="27.75" customHeight="1">
      <c r="A2576" s="1076"/>
      <c r="B2576" s="1074">
        <f>+'[18]Bldg+Dev'!S3388</f>
        <v>0</v>
      </c>
      <c r="D2576" s="1063"/>
      <c r="F2576" s="1076"/>
      <c r="G2576" s="1063"/>
      <c r="H2576" s="1063"/>
      <c r="I2576" s="1063"/>
      <c r="J2576" s="1063"/>
      <c r="K2576" s="1063"/>
      <c r="L2576" s="1063"/>
      <c r="M2576" s="1063"/>
      <c r="N2576" s="1063"/>
      <c r="O2576" s="1063"/>
      <c r="P2576" s="1063"/>
      <c r="Q2576" s="1063"/>
      <c r="R2576" s="1063"/>
      <c r="S2576" s="1063"/>
      <c r="T2576" s="1063"/>
      <c r="U2576" s="1063"/>
      <c r="V2576" s="1063"/>
      <c r="W2576" s="1063"/>
      <c r="X2576" s="1063"/>
      <c r="Y2576" s="1063"/>
      <c r="Z2576" s="1063"/>
      <c r="AA2576" s="1063"/>
      <c r="AB2576" s="1063"/>
      <c r="AC2576" s="1063"/>
      <c r="AD2576" s="1063"/>
      <c r="AE2576" s="1063"/>
      <c r="AF2576" s="1063"/>
      <c r="AG2576" s="1063"/>
      <c r="AH2576" s="1063"/>
      <c r="AI2576" s="1063"/>
      <c r="AJ2576" s="1063"/>
      <c r="AK2576" s="1063"/>
      <c r="AL2576" s="1063"/>
      <c r="AM2576" s="1063"/>
      <c r="AN2576" s="1063"/>
      <c r="AO2576" s="1063"/>
      <c r="AP2576" s="1063"/>
      <c r="AQ2576" s="1063"/>
      <c r="AR2576" s="1063"/>
      <c r="AS2576" s="1063"/>
      <c r="AT2576" s="1063"/>
      <c r="AU2576" s="1063"/>
      <c r="AV2576" s="1063"/>
    </row>
    <row r="2577" spans="1:48" s="1108" customFormat="1" ht="27.75" customHeight="1">
      <c r="A2577" s="1076"/>
      <c r="B2577" s="1074">
        <f>+'[18]Bldg+Dev'!S3389</f>
        <v>0</v>
      </c>
      <c r="D2577" s="1063"/>
      <c r="F2577" s="1076"/>
      <c r="G2577" s="1063"/>
      <c r="H2577" s="1063"/>
      <c r="I2577" s="1063"/>
      <c r="J2577" s="1063"/>
      <c r="K2577" s="1063"/>
      <c r="L2577" s="1063"/>
      <c r="M2577" s="1063"/>
      <c r="N2577" s="1063"/>
      <c r="O2577" s="1063"/>
      <c r="P2577" s="1063"/>
      <c r="Q2577" s="1063"/>
      <c r="R2577" s="1063"/>
      <c r="S2577" s="1063"/>
      <c r="T2577" s="1063"/>
      <c r="U2577" s="1063"/>
      <c r="V2577" s="1063"/>
      <c r="W2577" s="1063"/>
      <c r="X2577" s="1063"/>
      <c r="Y2577" s="1063"/>
      <c r="Z2577" s="1063"/>
      <c r="AA2577" s="1063"/>
      <c r="AB2577" s="1063"/>
      <c r="AC2577" s="1063"/>
      <c r="AD2577" s="1063"/>
      <c r="AE2577" s="1063"/>
      <c r="AF2577" s="1063"/>
      <c r="AG2577" s="1063"/>
      <c r="AH2577" s="1063"/>
      <c r="AI2577" s="1063"/>
      <c r="AJ2577" s="1063"/>
      <c r="AK2577" s="1063"/>
      <c r="AL2577" s="1063"/>
      <c r="AM2577" s="1063"/>
      <c r="AN2577" s="1063"/>
      <c r="AO2577" s="1063"/>
      <c r="AP2577" s="1063"/>
      <c r="AQ2577" s="1063"/>
      <c r="AR2577" s="1063"/>
      <c r="AS2577" s="1063"/>
      <c r="AT2577" s="1063"/>
      <c r="AU2577" s="1063"/>
      <c r="AV2577" s="1063"/>
    </row>
    <row r="2578" spans="1:48" s="1108" customFormat="1" ht="27.75" customHeight="1">
      <c r="A2578" s="1076"/>
      <c r="B2578" s="1074">
        <f>+'[18]Bldg+Dev'!S3390</f>
        <v>0</v>
      </c>
      <c r="D2578" s="1063"/>
      <c r="F2578" s="1076"/>
      <c r="G2578" s="1063"/>
      <c r="H2578" s="1063"/>
      <c r="I2578" s="1063"/>
      <c r="J2578" s="1063"/>
      <c r="K2578" s="1063"/>
      <c r="L2578" s="1063"/>
      <c r="M2578" s="1063"/>
      <c r="N2578" s="1063"/>
      <c r="O2578" s="1063"/>
      <c r="P2578" s="1063"/>
      <c r="Q2578" s="1063"/>
      <c r="R2578" s="1063"/>
      <c r="S2578" s="1063"/>
      <c r="T2578" s="1063"/>
      <c r="U2578" s="1063"/>
      <c r="V2578" s="1063"/>
      <c r="W2578" s="1063"/>
      <c r="X2578" s="1063"/>
      <c r="Y2578" s="1063"/>
      <c r="Z2578" s="1063"/>
      <c r="AA2578" s="1063"/>
      <c r="AB2578" s="1063"/>
      <c r="AC2578" s="1063"/>
      <c r="AD2578" s="1063"/>
      <c r="AE2578" s="1063"/>
      <c r="AF2578" s="1063"/>
      <c r="AG2578" s="1063"/>
      <c r="AH2578" s="1063"/>
      <c r="AI2578" s="1063"/>
      <c r="AJ2578" s="1063"/>
      <c r="AK2578" s="1063"/>
      <c r="AL2578" s="1063"/>
      <c r="AM2578" s="1063"/>
      <c r="AN2578" s="1063"/>
      <c r="AO2578" s="1063"/>
      <c r="AP2578" s="1063"/>
      <c r="AQ2578" s="1063"/>
      <c r="AR2578" s="1063"/>
      <c r="AS2578" s="1063"/>
      <c r="AT2578" s="1063"/>
      <c r="AU2578" s="1063"/>
      <c r="AV2578" s="1063"/>
    </row>
    <row r="2579" spans="1:48" s="1108" customFormat="1" ht="27.75" customHeight="1">
      <c r="A2579" s="1076"/>
      <c r="B2579" s="1074">
        <f>+'[18]Bldg+Dev'!S3391</f>
        <v>0</v>
      </c>
      <c r="D2579" s="1063"/>
      <c r="F2579" s="1076"/>
      <c r="G2579" s="1063"/>
      <c r="H2579" s="1063"/>
      <c r="I2579" s="1063"/>
      <c r="J2579" s="1063"/>
      <c r="K2579" s="1063"/>
      <c r="L2579" s="1063"/>
      <c r="M2579" s="1063"/>
      <c r="N2579" s="1063"/>
      <c r="O2579" s="1063"/>
      <c r="P2579" s="1063"/>
      <c r="Q2579" s="1063"/>
      <c r="R2579" s="1063"/>
      <c r="S2579" s="1063"/>
      <c r="T2579" s="1063"/>
      <c r="U2579" s="1063"/>
      <c r="V2579" s="1063"/>
      <c r="W2579" s="1063"/>
      <c r="X2579" s="1063"/>
      <c r="Y2579" s="1063"/>
      <c r="Z2579" s="1063"/>
      <c r="AA2579" s="1063"/>
      <c r="AB2579" s="1063"/>
      <c r="AC2579" s="1063"/>
      <c r="AD2579" s="1063"/>
      <c r="AE2579" s="1063"/>
      <c r="AF2579" s="1063"/>
      <c r="AG2579" s="1063"/>
      <c r="AH2579" s="1063"/>
      <c r="AI2579" s="1063"/>
      <c r="AJ2579" s="1063"/>
      <c r="AK2579" s="1063"/>
      <c r="AL2579" s="1063"/>
      <c r="AM2579" s="1063"/>
      <c r="AN2579" s="1063"/>
      <c r="AO2579" s="1063"/>
      <c r="AP2579" s="1063"/>
      <c r="AQ2579" s="1063"/>
      <c r="AR2579" s="1063"/>
      <c r="AS2579" s="1063"/>
      <c r="AT2579" s="1063"/>
      <c r="AU2579" s="1063"/>
      <c r="AV2579" s="1063"/>
    </row>
    <row r="2580" spans="1:48" s="1108" customFormat="1" ht="27.75" customHeight="1">
      <c r="A2580" s="1076"/>
      <c r="B2580" s="1074">
        <f>+'[18]Bldg+Dev'!S3392</f>
        <v>0</v>
      </c>
      <c r="D2580" s="1063"/>
      <c r="F2580" s="1076"/>
      <c r="G2580" s="1063"/>
      <c r="H2580" s="1063"/>
      <c r="I2580" s="1063"/>
      <c r="J2580" s="1063"/>
      <c r="K2580" s="1063"/>
      <c r="L2580" s="1063"/>
      <c r="M2580" s="1063"/>
      <c r="N2580" s="1063"/>
      <c r="O2580" s="1063"/>
      <c r="P2580" s="1063"/>
      <c r="Q2580" s="1063"/>
      <c r="R2580" s="1063"/>
      <c r="S2580" s="1063"/>
      <c r="T2580" s="1063"/>
      <c r="U2580" s="1063"/>
      <c r="V2580" s="1063"/>
      <c r="W2580" s="1063"/>
      <c r="X2580" s="1063"/>
      <c r="Y2580" s="1063"/>
      <c r="Z2580" s="1063"/>
      <c r="AA2580" s="1063"/>
      <c r="AB2580" s="1063"/>
      <c r="AC2580" s="1063"/>
      <c r="AD2580" s="1063"/>
      <c r="AE2580" s="1063"/>
      <c r="AF2580" s="1063"/>
      <c r="AG2580" s="1063"/>
      <c r="AH2580" s="1063"/>
      <c r="AI2580" s="1063"/>
      <c r="AJ2580" s="1063"/>
      <c r="AK2580" s="1063"/>
      <c r="AL2580" s="1063"/>
      <c r="AM2580" s="1063"/>
      <c r="AN2580" s="1063"/>
      <c r="AO2580" s="1063"/>
      <c r="AP2580" s="1063"/>
      <c r="AQ2580" s="1063"/>
      <c r="AR2580" s="1063"/>
      <c r="AS2580" s="1063"/>
      <c r="AT2580" s="1063"/>
      <c r="AU2580" s="1063"/>
      <c r="AV2580" s="1063"/>
    </row>
    <row r="2581" spans="1:48" s="1108" customFormat="1" ht="27.75" customHeight="1">
      <c r="A2581" s="1076"/>
      <c r="B2581" s="1074">
        <f>+'[18]Bldg+Dev'!S3393</f>
        <v>0</v>
      </c>
      <c r="D2581" s="1063"/>
      <c r="F2581" s="1076"/>
      <c r="G2581" s="1063"/>
      <c r="H2581" s="1063"/>
      <c r="I2581" s="1063"/>
      <c r="J2581" s="1063"/>
      <c r="K2581" s="1063"/>
      <c r="L2581" s="1063"/>
      <c r="M2581" s="1063"/>
      <c r="N2581" s="1063"/>
      <c r="O2581" s="1063"/>
      <c r="P2581" s="1063"/>
      <c r="Q2581" s="1063"/>
      <c r="R2581" s="1063"/>
      <c r="S2581" s="1063"/>
      <c r="T2581" s="1063"/>
      <c r="U2581" s="1063"/>
      <c r="V2581" s="1063"/>
      <c r="W2581" s="1063"/>
      <c r="X2581" s="1063"/>
      <c r="Y2581" s="1063"/>
      <c r="Z2581" s="1063"/>
      <c r="AA2581" s="1063"/>
      <c r="AB2581" s="1063"/>
      <c r="AC2581" s="1063"/>
      <c r="AD2581" s="1063"/>
      <c r="AE2581" s="1063"/>
      <c r="AF2581" s="1063"/>
      <c r="AG2581" s="1063"/>
      <c r="AH2581" s="1063"/>
      <c r="AI2581" s="1063"/>
      <c r="AJ2581" s="1063"/>
      <c r="AK2581" s="1063"/>
      <c r="AL2581" s="1063"/>
      <c r="AM2581" s="1063"/>
      <c r="AN2581" s="1063"/>
      <c r="AO2581" s="1063"/>
      <c r="AP2581" s="1063"/>
      <c r="AQ2581" s="1063"/>
      <c r="AR2581" s="1063"/>
      <c r="AS2581" s="1063"/>
      <c r="AT2581" s="1063"/>
      <c r="AU2581" s="1063"/>
      <c r="AV2581" s="1063"/>
    </row>
    <row r="2582" spans="1:48" s="1108" customFormat="1" ht="27.75" customHeight="1">
      <c r="A2582" s="1076"/>
      <c r="B2582" s="1074">
        <f>+'[18]Bldg+Dev'!S3394</f>
        <v>0</v>
      </c>
      <c r="D2582" s="1063"/>
      <c r="F2582" s="1076"/>
      <c r="G2582" s="1063"/>
      <c r="H2582" s="1063"/>
      <c r="I2582" s="1063"/>
      <c r="J2582" s="1063"/>
      <c r="K2582" s="1063"/>
      <c r="L2582" s="1063"/>
      <c r="M2582" s="1063"/>
      <c r="N2582" s="1063"/>
      <c r="O2582" s="1063"/>
      <c r="P2582" s="1063"/>
      <c r="Q2582" s="1063"/>
      <c r="R2582" s="1063"/>
      <c r="S2582" s="1063"/>
      <c r="T2582" s="1063"/>
      <c r="U2582" s="1063"/>
      <c r="V2582" s="1063"/>
      <c r="W2582" s="1063"/>
      <c r="X2582" s="1063"/>
      <c r="Y2582" s="1063"/>
      <c r="Z2582" s="1063"/>
      <c r="AA2582" s="1063"/>
      <c r="AB2582" s="1063"/>
      <c r="AC2582" s="1063"/>
      <c r="AD2582" s="1063"/>
      <c r="AE2582" s="1063"/>
      <c r="AF2582" s="1063"/>
      <c r="AG2582" s="1063"/>
      <c r="AH2582" s="1063"/>
      <c r="AI2582" s="1063"/>
      <c r="AJ2582" s="1063"/>
      <c r="AK2582" s="1063"/>
      <c r="AL2582" s="1063"/>
      <c r="AM2582" s="1063"/>
      <c r="AN2582" s="1063"/>
      <c r="AO2582" s="1063"/>
      <c r="AP2582" s="1063"/>
      <c r="AQ2582" s="1063"/>
      <c r="AR2582" s="1063"/>
      <c r="AS2582" s="1063"/>
      <c r="AT2582" s="1063"/>
      <c r="AU2582" s="1063"/>
      <c r="AV2582" s="1063"/>
    </row>
    <row r="2583" spans="1:48" s="1108" customFormat="1" ht="27.75" customHeight="1">
      <c r="A2583" s="1076"/>
      <c r="B2583" s="1074">
        <f>+'[18]Bldg+Dev'!S3395</f>
        <v>0</v>
      </c>
      <c r="D2583" s="1063"/>
      <c r="F2583" s="1076"/>
      <c r="G2583" s="1063"/>
      <c r="H2583" s="1063"/>
      <c r="I2583" s="1063"/>
      <c r="J2583" s="1063"/>
      <c r="K2583" s="1063"/>
      <c r="L2583" s="1063"/>
      <c r="M2583" s="1063"/>
      <c r="N2583" s="1063"/>
      <c r="O2583" s="1063"/>
      <c r="P2583" s="1063"/>
      <c r="Q2583" s="1063"/>
      <c r="R2583" s="1063"/>
      <c r="S2583" s="1063"/>
      <c r="T2583" s="1063"/>
      <c r="U2583" s="1063"/>
      <c r="V2583" s="1063"/>
      <c r="W2583" s="1063"/>
      <c r="X2583" s="1063"/>
      <c r="Y2583" s="1063"/>
      <c r="Z2583" s="1063"/>
      <c r="AA2583" s="1063"/>
      <c r="AB2583" s="1063"/>
      <c r="AC2583" s="1063"/>
      <c r="AD2583" s="1063"/>
      <c r="AE2583" s="1063"/>
      <c r="AF2583" s="1063"/>
      <c r="AG2583" s="1063"/>
      <c r="AH2583" s="1063"/>
      <c r="AI2583" s="1063"/>
      <c r="AJ2583" s="1063"/>
      <c r="AK2583" s="1063"/>
      <c r="AL2583" s="1063"/>
      <c r="AM2583" s="1063"/>
      <c r="AN2583" s="1063"/>
      <c r="AO2583" s="1063"/>
      <c r="AP2583" s="1063"/>
      <c r="AQ2583" s="1063"/>
      <c r="AR2583" s="1063"/>
      <c r="AS2583" s="1063"/>
      <c r="AT2583" s="1063"/>
      <c r="AU2583" s="1063"/>
      <c r="AV2583" s="1063"/>
    </row>
    <row r="2584" spans="1:48" s="1108" customFormat="1" ht="27.75" customHeight="1">
      <c r="A2584" s="1076"/>
      <c r="B2584" s="1074">
        <f>+'[18]Bldg+Dev'!S3396</f>
        <v>0</v>
      </c>
      <c r="D2584" s="1063"/>
      <c r="F2584" s="1076"/>
      <c r="G2584" s="1063"/>
      <c r="H2584" s="1063"/>
      <c r="I2584" s="1063"/>
      <c r="J2584" s="1063"/>
      <c r="K2584" s="1063"/>
      <c r="L2584" s="1063"/>
      <c r="M2584" s="1063"/>
      <c r="N2584" s="1063"/>
      <c r="O2584" s="1063"/>
      <c r="P2584" s="1063"/>
      <c r="Q2584" s="1063"/>
      <c r="R2584" s="1063"/>
      <c r="S2584" s="1063"/>
      <c r="T2584" s="1063"/>
      <c r="U2584" s="1063"/>
      <c r="V2584" s="1063"/>
      <c r="W2584" s="1063"/>
      <c r="X2584" s="1063"/>
      <c r="Y2584" s="1063"/>
      <c r="Z2584" s="1063"/>
      <c r="AA2584" s="1063"/>
      <c r="AB2584" s="1063"/>
      <c r="AC2584" s="1063"/>
      <c r="AD2584" s="1063"/>
      <c r="AE2584" s="1063"/>
      <c r="AF2584" s="1063"/>
      <c r="AG2584" s="1063"/>
      <c r="AH2584" s="1063"/>
      <c r="AI2584" s="1063"/>
      <c r="AJ2584" s="1063"/>
      <c r="AK2584" s="1063"/>
      <c r="AL2584" s="1063"/>
      <c r="AM2584" s="1063"/>
      <c r="AN2584" s="1063"/>
      <c r="AO2584" s="1063"/>
      <c r="AP2584" s="1063"/>
      <c r="AQ2584" s="1063"/>
      <c r="AR2584" s="1063"/>
      <c r="AS2584" s="1063"/>
      <c r="AT2584" s="1063"/>
      <c r="AU2584" s="1063"/>
      <c r="AV2584" s="1063"/>
    </row>
    <row r="2585" spans="1:48" s="1108" customFormat="1" ht="27.75" customHeight="1">
      <c r="A2585" s="1076"/>
      <c r="B2585" s="1074">
        <f>+'[18]Bldg+Dev'!S3397</f>
        <v>0</v>
      </c>
      <c r="D2585" s="1063"/>
      <c r="F2585" s="1076"/>
      <c r="G2585" s="1063"/>
      <c r="H2585" s="1063"/>
      <c r="I2585" s="1063"/>
      <c r="J2585" s="1063"/>
      <c r="K2585" s="1063"/>
      <c r="L2585" s="1063"/>
      <c r="M2585" s="1063"/>
      <c r="N2585" s="1063"/>
      <c r="O2585" s="1063"/>
      <c r="P2585" s="1063"/>
      <c r="Q2585" s="1063"/>
      <c r="R2585" s="1063"/>
      <c r="S2585" s="1063"/>
      <c r="T2585" s="1063"/>
      <c r="U2585" s="1063"/>
      <c r="V2585" s="1063"/>
      <c r="W2585" s="1063"/>
      <c r="X2585" s="1063"/>
      <c r="Y2585" s="1063"/>
      <c r="Z2585" s="1063"/>
      <c r="AA2585" s="1063"/>
      <c r="AB2585" s="1063"/>
      <c r="AC2585" s="1063"/>
      <c r="AD2585" s="1063"/>
      <c r="AE2585" s="1063"/>
      <c r="AF2585" s="1063"/>
      <c r="AG2585" s="1063"/>
      <c r="AH2585" s="1063"/>
      <c r="AI2585" s="1063"/>
      <c r="AJ2585" s="1063"/>
      <c r="AK2585" s="1063"/>
      <c r="AL2585" s="1063"/>
      <c r="AM2585" s="1063"/>
      <c r="AN2585" s="1063"/>
      <c r="AO2585" s="1063"/>
      <c r="AP2585" s="1063"/>
      <c r="AQ2585" s="1063"/>
      <c r="AR2585" s="1063"/>
      <c r="AS2585" s="1063"/>
      <c r="AT2585" s="1063"/>
      <c r="AU2585" s="1063"/>
      <c r="AV2585" s="1063"/>
    </row>
    <row r="2586" spans="1:48" s="1108" customFormat="1" ht="27.75" customHeight="1">
      <c r="A2586" s="1076"/>
      <c r="B2586" s="1074">
        <f>+'[18]Bldg+Dev'!S3398</f>
        <v>0</v>
      </c>
      <c r="D2586" s="1063"/>
      <c r="F2586" s="1076"/>
      <c r="G2586" s="1063"/>
      <c r="H2586" s="1063"/>
      <c r="I2586" s="1063"/>
      <c r="J2586" s="1063"/>
      <c r="K2586" s="1063"/>
      <c r="L2586" s="1063"/>
      <c r="M2586" s="1063"/>
      <c r="N2586" s="1063"/>
      <c r="O2586" s="1063"/>
      <c r="P2586" s="1063"/>
      <c r="Q2586" s="1063"/>
      <c r="R2586" s="1063"/>
      <c r="S2586" s="1063"/>
      <c r="T2586" s="1063"/>
      <c r="U2586" s="1063"/>
      <c r="V2586" s="1063"/>
      <c r="W2586" s="1063"/>
      <c r="X2586" s="1063"/>
      <c r="Y2586" s="1063"/>
      <c r="Z2586" s="1063"/>
      <c r="AA2586" s="1063"/>
      <c r="AB2586" s="1063"/>
      <c r="AC2586" s="1063"/>
      <c r="AD2586" s="1063"/>
      <c r="AE2586" s="1063"/>
      <c r="AF2586" s="1063"/>
      <c r="AG2586" s="1063"/>
      <c r="AH2586" s="1063"/>
      <c r="AI2586" s="1063"/>
      <c r="AJ2586" s="1063"/>
      <c r="AK2586" s="1063"/>
      <c r="AL2586" s="1063"/>
      <c r="AM2586" s="1063"/>
      <c r="AN2586" s="1063"/>
      <c r="AO2586" s="1063"/>
      <c r="AP2586" s="1063"/>
      <c r="AQ2586" s="1063"/>
      <c r="AR2586" s="1063"/>
      <c r="AS2586" s="1063"/>
      <c r="AT2586" s="1063"/>
      <c r="AU2586" s="1063"/>
      <c r="AV2586" s="1063"/>
    </row>
    <row r="2587" spans="1:48" s="1108" customFormat="1" ht="27.75" customHeight="1">
      <c r="A2587" s="1076"/>
      <c r="B2587" s="1074">
        <f>+'[18]Bldg+Dev'!S3399</f>
        <v>0</v>
      </c>
      <c r="D2587" s="1063"/>
      <c r="F2587" s="1076"/>
      <c r="G2587" s="1063"/>
      <c r="H2587" s="1063"/>
      <c r="I2587" s="1063"/>
      <c r="J2587" s="1063"/>
      <c r="K2587" s="1063"/>
      <c r="L2587" s="1063"/>
      <c r="M2587" s="1063"/>
      <c r="N2587" s="1063"/>
      <c r="O2587" s="1063"/>
      <c r="P2587" s="1063"/>
      <c r="Q2587" s="1063"/>
      <c r="R2587" s="1063"/>
      <c r="S2587" s="1063"/>
      <c r="T2587" s="1063"/>
      <c r="U2587" s="1063"/>
      <c r="V2587" s="1063"/>
      <c r="W2587" s="1063"/>
      <c r="X2587" s="1063"/>
      <c r="Y2587" s="1063"/>
      <c r="Z2587" s="1063"/>
      <c r="AA2587" s="1063"/>
      <c r="AB2587" s="1063"/>
      <c r="AC2587" s="1063"/>
      <c r="AD2587" s="1063"/>
      <c r="AE2587" s="1063"/>
      <c r="AF2587" s="1063"/>
      <c r="AG2587" s="1063"/>
      <c r="AH2587" s="1063"/>
      <c r="AI2587" s="1063"/>
      <c r="AJ2587" s="1063"/>
      <c r="AK2587" s="1063"/>
      <c r="AL2587" s="1063"/>
      <c r="AM2587" s="1063"/>
      <c r="AN2587" s="1063"/>
      <c r="AO2587" s="1063"/>
      <c r="AP2587" s="1063"/>
      <c r="AQ2587" s="1063"/>
      <c r="AR2587" s="1063"/>
      <c r="AS2587" s="1063"/>
      <c r="AT2587" s="1063"/>
      <c r="AU2587" s="1063"/>
      <c r="AV2587" s="1063"/>
    </row>
    <row r="2588" spans="1:48" s="1108" customFormat="1" ht="27.75" customHeight="1">
      <c r="A2588" s="1076"/>
      <c r="B2588" s="1074">
        <f>+'[18]Bldg+Dev'!S3400</f>
        <v>0</v>
      </c>
      <c r="D2588" s="1063"/>
      <c r="F2588" s="1076"/>
      <c r="G2588" s="1063"/>
      <c r="H2588" s="1063"/>
      <c r="I2588" s="1063"/>
      <c r="J2588" s="1063"/>
      <c r="K2588" s="1063"/>
      <c r="L2588" s="1063"/>
      <c r="M2588" s="1063"/>
      <c r="N2588" s="1063"/>
      <c r="O2588" s="1063"/>
      <c r="P2588" s="1063"/>
      <c r="Q2588" s="1063"/>
      <c r="R2588" s="1063"/>
      <c r="S2588" s="1063"/>
      <c r="T2588" s="1063"/>
      <c r="U2588" s="1063"/>
      <c r="V2588" s="1063"/>
      <c r="W2588" s="1063"/>
      <c r="X2588" s="1063"/>
      <c r="Y2588" s="1063"/>
      <c r="Z2588" s="1063"/>
      <c r="AA2588" s="1063"/>
      <c r="AB2588" s="1063"/>
      <c r="AC2588" s="1063"/>
      <c r="AD2588" s="1063"/>
      <c r="AE2588" s="1063"/>
      <c r="AF2588" s="1063"/>
      <c r="AG2588" s="1063"/>
      <c r="AH2588" s="1063"/>
      <c r="AI2588" s="1063"/>
      <c r="AJ2588" s="1063"/>
      <c r="AK2588" s="1063"/>
      <c r="AL2588" s="1063"/>
      <c r="AM2588" s="1063"/>
      <c r="AN2588" s="1063"/>
      <c r="AO2588" s="1063"/>
      <c r="AP2588" s="1063"/>
      <c r="AQ2588" s="1063"/>
      <c r="AR2588" s="1063"/>
      <c r="AS2588" s="1063"/>
      <c r="AT2588" s="1063"/>
      <c r="AU2588" s="1063"/>
      <c r="AV2588" s="1063"/>
    </row>
    <row r="2589" spans="1:48" s="1108" customFormat="1" ht="27.75" customHeight="1">
      <c r="A2589" s="1076"/>
      <c r="B2589" s="1074">
        <f>+'[18]Bldg+Dev'!S3401</f>
        <v>0</v>
      </c>
      <c r="D2589" s="1063"/>
      <c r="F2589" s="1076"/>
      <c r="G2589" s="1063"/>
      <c r="H2589" s="1063"/>
      <c r="I2589" s="1063"/>
      <c r="J2589" s="1063"/>
      <c r="K2589" s="1063"/>
      <c r="L2589" s="1063"/>
      <c r="M2589" s="1063"/>
      <c r="N2589" s="1063"/>
      <c r="O2589" s="1063"/>
      <c r="P2589" s="1063"/>
      <c r="Q2589" s="1063"/>
      <c r="R2589" s="1063"/>
      <c r="S2589" s="1063"/>
      <c r="T2589" s="1063"/>
      <c r="U2589" s="1063"/>
      <c r="V2589" s="1063"/>
      <c r="W2589" s="1063"/>
      <c r="X2589" s="1063"/>
      <c r="Y2589" s="1063"/>
      <c r="Z2589" s="1063"/>
      <c r="AA2589" s="1063"/>
      <c r="AB2589" s="1063"/>
      <c r="AC2589" s="1063"/>
      <c r="AD2589" s="1063"/>
      <c r="AE2589" s="1063"/>
      <c r="AF2589" s="1063"/>
      <c r="AG2589" s="1063"/>
      <c r="AH2589" s="1063"/>
      <c r="AI2589" s="1063"/>
      <c r="AJ2589" s="1063"/>
      <c r="AK2589" s="1063"/>
      <c r="AL2589" s="1063"/>
      <c r="AM2589" s="1063"/>
      <c r="AN2589" s="1063"/>
      <c r="AO2589" s="1063"/>
      <c r="AP2589" s="1063"/>
      <c r="AQ2589" s="1063"/>
      <c r="AR2589" s="1063"/>
      <c r="AS2589" s="1063"/>
      <c r="AT2589" s="1063"/>
      <c r="AU2589" s="1063"/>
      <c r="AV2589" s="1063"/>
    </row>
    <row r="2590" spans="1:48" s="1108" customFormat="1" ht="27.75" customHeight="1">
      <c r="A2590" s="1076"/>
      <c r="B2590" s="1074">
        <f>+'[18]Bldg+Dev'!S3402</f>
        <v>0</v>
      </c>
      <c r="D2590" s="1063"/>
      <c r="F2590" s="1076"/>
      <c r="G2590" s="1063"/>
      <c r="H2590" s="1063"/>
      <c r="I2590" s="1063"/>
      <c r="J2590" s="1063"/>
      <c r="K2590" s="1063"/>
      <c r="L2590" s="1063"/>
      <c r="M2590" s="1063"/>
      <c r="N2590" s="1063"/>
      <c r="O2590" s="1063"/>
      <c r="P2590" s="1063"/>
      <c r="Q2590" s="1063"/>
      <c r="R2590" s="1063"/>
      <c r="S2590" s="1063"/>
      <c r="T2590" s="1063"/>
      <c r="U2590" s="1063"/>
      <c r="V2590" s="1063"/>
      <c r="W2590" s="1063"/>
      <c r="X2590" s="1063"/>
      <c r="Y2590" s="1063"/>
      <c r="Z2590" s="1063"/>
      <c r="AA2590" s="1063"/>
      <c r="AB2590" s="1063"/>
      <c r="AC2590" s="1063"/>
      <c r="AD2590" s="1063"/>
      <c r="AE2590" s="1063"/>
      <c r="AF2590" s="1063"/>
      <c r="AG2590" s="1063"/>
      <c r="AH2590" s="1063"/>
      <c r="AI2590" s="1063"/>
      <c r="AJ2590" s="1063"/>
      <c r="AK2590" s="1063"/>
      <c r="AL2590" s="1063"/>
      <c r="AM2590" s="1063"/>
      <c r="AN2590" s="1063"/>
      <c r="AO2590" s="1063"/>
      <c r="AP2590" s="1063"/>
      <c r="AQ2590" s="1063"/>
      <c r="AR2590" s="1063"/>
      <c r="AS2590" s="1063"/>
      <c r="AT2590" s="1063"/>
      <c r="AU2590" s="1063"/>
      <c r="AV2590" s="1063"/>
    </row>
    <row r="2591" spans="1:48" s="1108" customFormat="1" ht="27.75" customHeight="1">
      <c r="A2591" s="1076"/>
      <c r="B2591" s="1074">
        <f>+'[18]Bldg+Dev'!S3403</f>
        <v>0</v>
      </c>
      <c r="D2591" s="1063"/>
      <c r="F2591" s="1076"/>
      <c r="G2591" s="1063"/>
      <c r="H2591" s="1063"/>
      <c r="I2591" s="1063"/>
      <c r="J2591" s="1063"/>
      <c r="K2591" s="1063"/>
      <c r="L2591" s="1063"/>
      <c r="M2591" s="1063"/>
      <c r="N2591" s="1063"/>
      <c r="O2591" s="1063"/>
      <c r="P2591" s="1063"/>
      <c r="Q2591" s="1063"/>
      <c r="R2591" s="1063"/>
      <c r="S2591" s="1063"/>
      <c r="T2591" s="1063"/>
      <c r="U2591" s="1063"/>
      <c r="V2591" s="1063"/>
      <c r="W2591" s="1063"/>
      <c r="X2591" s="1063"/>
      <c r="Y2591" s="1063"/>
      <c r="Z2591" s="1063"/>
      <c r="AA2591" s="1063"/>
      <c r="AB2591" s="1063"/>
      <c r="AC2591" s="1063"/>
      <c r="AD2591" s="1063"/>
      <c r="AE2591" s="1063"/>
      <c r="AF2591" s="1063"/>
      <c r="AG2591" s="1063"/>
      <c r="AH2591" s="1063"/>
      <c r="AI2591" s="1063"/>
      <c r="AJ2591" s="1063"/>
      <c r="AK2591" s="1063"/>
      <c r="AL2591" s="1063"/>
      <c r="AM2591" s="1063"/>
      <c r="AN2591" s="1063"/>
      <c r="AO2591" s="1063"/>
      <c r="AP2591" s="1063"/>
      <c r="AQ2591" s="1063"/>
      <c r="AR2591" s="1063"/>
      <c r="AS2591" s="1063"/>
      <c r="AT2591" s="1063"/>
      <c r="AU2591" s="1063"/>
      <c r="AV2591" s="1063"/>
    </row>
    <row r="2592" spans="1:48" s="1108" customFormat="1" ht="27.75" customHeight="1">
      <c r="A2592" s="1076"/>
      <c r="B2592" s="1074">
        <f>+'[18]Bldg+Dev'!S3404</f>
        <v>0</v>
      </c>
      <c r="D2592" s="1063"/>
      <c r="F2592" s="1076"/>
      <c r="G2592" s="1063"/>
      <c r="H2592" s="1063"/>
      <c r="I2592" s="1063"/>
      <c r="J2592" s="1063"/>
      <c r="K2592" s="1063"/>
      <c r="L2592" s="1063"/>
      <c r="M2592" s="1063"/>
      <c r="N2592" s="1063"/>
      <c r="O2592" s="1063"/>
      <c r="P2592" s="1063"/>
      <c r="Q2592" s="1063"/>
      <c r="R2592" s="1063"/>
      <c r="S2592" s="1063"/>
      <c r="T2592" s="1063"/>
      <c r="U2592" s="1063"/>
      <c r="V2592" s="1063"/>
      <c r="W2592" s="1063"/>
      <c r="X2592" s="1063"/>
      <c r="Y2592" s="1063"/>
      <c r="Z2592" s="1063"/>
      <c r="AA2592" s="1063"/>
      <c r="AB2592" s="1063"/>
      <c r="AC2592" s="1063"/>
      <c r="AD2592" s="1063"/>
      <c r="AE2592" s="1063"/>
      <c r="AF2592" s="1063"/>
      <c r="AG2592" s="1063"/>
      <c r="AH2592" s="1063"/>
      <c r="AI2592" s="1063"/>
      <c r="AJ2592" s="1063"/>
      <c r="AK2592" s="1063"/>
      <c r="AL2592" s="1063"/>
      <c r="AM2592" s="1063"/>
      <c r="AN2592" s="1063"/>
      <c r="AO2592" s="1063"/>
      <c r="AP2592" s="1063"/>
      <c r="AQ2592" s="1063"/>
      <c r="AR2592" s="1063"/>
      <c r="AS2592" s="1063"/>
      <c r="AT2592" s="1063"/>
      <c r="AU2592" s="1063"/>
      <c r="AV2592" s="1063"/>
    </row>
    <row r="2593" spans="1:48" s="1108" customFormat="1" ht="27.75" customHeight="1">
      <c r="A2593" s="1076"/>
      <c r="B2593" s="1074">
        <f>+'[18]Bldg+Dev'!S3405</f>
        <v>0</v>
      </c>
      <c r="D2593" s="1063"/>
      <c r="F2593" s="1076"/>
      <c r="G2593" s="1063"/>
      <c r="H2593" s="1063"/>
      <c r="I2593" s="1063"/>
      <c r="J2593" s="1063"/>
      <c r="K2593" s="1063"/>
      <c r="L2593" s="1063"/>
      <c r="M2593" s="1063"/>
      <c r="N2593" s="1063"/>
      <c r="O2593" s="1063"/>
      <c r="P2593" s="1063"/>
      <c r="Q2593" s="1063"/>
      <c r="R2593" s="1063"/>
      <c r="S2593" s="1063"/>
      <c r="T2593" s="1063"/>
      <c r="U2593" s="1063"/>
      <c r="V2593" s="1063"/>
      <c r="W2593" s="1063"/>
      <c r="X2593" s="1063"/>
      <c r="Y2593" s="1063"/>
      <c r="Z2593" s="1063"/>
      <c r="AA2593" s="1063"/>
      <c r="AB2593" s="1063"/>
      <c r="AC2593" s="1063"/>
      <c r="AD2593" s="1063"/>
      <c r="AE2593" s="1063"/>
      <c r="AF2593" s="1063"/>
      <c r="AG2593" s="1063"/>
      <c r="AH2593" s="1063"/>
      <c r="AI2593" s="1063"/>
      <c r="AJ2593" s="1063"/>
      <c r="AK2593" s="1063"/>
      <c r="AL2593" s="1063"/>
      <c r="AM2593" s="1063"/>
      <c r="AN2593" s="1063"/>
      <c r="AO2593" s="1063"/>
      <c r="AP2593" s="1063"/>
      <c r="AQ2593" s="1063"/>
      <c r="AR2593" s="1063"/>
      <c r="AS2593" s="1063"/>
      <c r="AT2593" s="1063"/>
      <c r="AU2593" s="1063"/>
      <c r="AV2593" s="1063"/>
    </row>
    <row r="2594" spans="1:48" s="1108" customFormat="1" ht="27.75" customHeight="1">
      <c r="A2594" s="1076"/>
      <c r="B2594" s="1074">
        <f>+'[18]Bldg+Dev'!S3406</f>
        <v>0</v>
      </c>
      <c r="D2594" s="1063"/>
      <c r="F2594" s="1076"/>
      <c r="G2594" s="1063"/>
      <c r="H2594" s="1063"/>
      <c r="I2594" s="1063"/>
      <c r="J2594" s="1063"/>
      <c r="K2594" s="1063"/>
      <c r="L2594" s="1063"/>
      <c r="M2594" s="1063"/>
      <c r="N2594" s="1063"/>
      <c r="O2594" s="1063"/>
      <c r="P2594" s="1063"/>
      <c r="Q2594" s="1063"/>
      <c r="R2594" s="1063"/>
      <c r="S2594" s="1063"/>
      <c r="T2594" s="1063"/>
      <c r="U2594" s="1063"/>
      <c r="V2594" s="1063"/>
      <c r="W2594" s="1063"/>
      <c r="X2594" s="1063"/>
      <c r="Y2594" s="1063"/>
      <c r="Z2594" s="1063"/>
      <c r="AA2594" s="1063"/>
      <c r="AB2594" s="1063"/>
      <c r="AC2594" s="1063"/>
      <c r="AD2594" s="1063"/>
      <c r="AE2594" s="1063"/>
      <c r="AF2594" s="1063"/>
      <c r="AG2594" s="1063"/>
      <c r="AH2594" s="1063"/>
      <c r="AI2594" s="1063"/>
      <c r="AJ2594" s="1063"/>
      <c r="AK2594" s="1063"/>
      <c r="AL2594" s="1063"/>
      <c r="AM2594" s="1063"/>
      <c r="AN2594" s="1063"/>
      <c r="AO2594" s="1063"/>
      <c r="AP2594" s="1063"/>
      <c r="AQ2594" s="1063"/>
      <c r="AR2594" s="1063"/>
      <c r="AS2594" s="1063"/>
      <c r="AT2594" s="1063"/>
      <c r="AU2594" s="1063"/>
      <c r="AV2594" s="1063"/>
    </row>
    <row r="2595" spans="1:48" s="1108" customFormat="1" ht="27.75" customHeight="1">
      <c r="A2595" s="1076"/>
      <c r="B2595" s="1074">
        <f>+'[18]Bldg+Dev'!S3407</f>
        <v>0</v>
      </c>
      <c r="D2595" s="1063"/>
      <c r="F2595" s="1076"/>
      <c r="G2595" s="1063"/>
      <c r="H2595" s="1063"/>
      <c r="I2595" s="1063"/>
      <c r="J2595" s="1063"/>
      <c r="K2595" s="1063"/>
      <c r="L2595" s="1063"/>
      <c r="M2595" s="1063"/>
      <c r="N2595" s="1063"/>
      <c r="O2595" s="1063"/>
      <c r="P2595" s="1063"/>
      <c r="Q2595" s="1063"/>
      <c r="R2595" s="1063"/>
      <c r="S2595" s="1063"/>
      <c r="T2595" s="1063"/>
      <c r="U2595" s="1063"/>
      <c r="V2595" s="1063"/>
      <c r="W2595" s="1063"/>
      <c r="X2595" s="1063"/>
      <c r="Y2595" s="1063"/>
      <c r="Z2595" s="1063"/>
      <c r="AA2595" s="1063"/>
      <c r="AB2595" s="1063"/>
      <c r="AC2595" s="1063"/>
      <c r="AD2595" s="1063"/>
      <c r="AE2595" s="1063"/>
      <c r="AF2595" s="1063"/>
      <c r="AG2595" s="1063"/>
      <c r="AH2595" s="1063"/>
      <c r="AI2595" s="1063"/>
      <c r="AJ2595" s="1063"/>
      <c r="AK2595" s="1063"/>
      <c r="AL2595" s="1063"/>
      <c r="AM2595" s="1063"/>
      <c r="AN2595" s="1063"/>
      <c r="AO2595" s="1063"/>
      <c r="AP2595" s="1063"/>
      <c r="AQ2595" s="1063"/>
      <c r="AR2595" s="1063"/>
      <c r="AS2595" s="1063"/>
      <c r="AT2595" s="1063"/>
      <c r="AU2595" s="1063"/>
      <c r="AV2595" s="1063"/>
    </row>
    <row r="2596" spans="1:48" s="1108" customFormat="1" ht="27.75" customHeight="1">
      <c r="A2596" s="1076"/>
      <c r="B2596" s="1074">
        <f>+'[18]Bldg+Dev'!S3408</f>
        <v>0</v>
      </c>
      <c r="D2596" s="1063"/>
      <c r="F2596" s="1076"/>
      <c r="G2596" s="1063"/>
      <c r="H2596" s="1063"/>
      <c r="I2596" s="1063"/>
      <c r="J2596" s="1063"/>
      <c r="K2596" s="1063"/>
      <c r="L2596" s="1063"/>
      <c r="M2596" s="1063"/>
      <c r="N2596" s="1063"/>
      <c r="O2596" s="1063"/>
      <c r="P2596" s="1063"/>
      <c r="Q2596" s="1063"/>
      <c r="R2596" s="1063"/>
      <c r="S2596" s="1063"/>
      <c r="T2596" s="1063"/>
      <c r="U2596" s="1063"/>
      <c r="V2596" s="1063"/>
      <c r="W2596" s="1063"/>
      <c r="X2596" s="1063"/>
      <c r="Y2596" s="1063"/>
      <c r="Z2596" s="1063"/>
      <c r="AA2596" s="1063"/>
      <c r="AB2596" s="1063"/>
      <c r="AC2596" s="1063"/>
      <c r="AD2596" s="1063"/>
      <c r="AE2596" s="1063"/>
      <c r="AF2596" s="1063"/>
      <c r="AG2596" s="1063"/>
      <c r="AH2596" s="1063"/>
      <c r="AI2596" s="1063"/>
      <c r="AJ2596" s="1063"/>
      <c r="AK2596" s="1063"/>
      <c r="AL2596" s="1063"/>
      <c r="AM2596" s="1063"/>
      <c r="AN2596" s="1063"/>
      <c r="AO2596" s="1063"/>
      <c r="AP2596" s="1063"/>
      <c r="AQ2596" s="1063"/>
      <c r="AR2596" s="1063"/>
      <c r="AS2596" s="1063"/>
      <c r="AT2596" s="1063"/>
      <c r="AU2596" s="1063"/>
      <c r="AV2596" s="1063"/>
    </row>
    <row r="2597" spans="1:48" s="1108" customFormat="1" ht="27.75" customHeight="1">
      <c r="A2597" s="1076"/>
      <c r="B2597" s="1074">
        <f>+'[18]Bldg+Dev'!S3409</f>
        <v>0</v>
      </c>
      <c r="D2597" s="1063"/>
      <c r="F2597" s="1076"/>
      <c r="G2597" s="1063"/>
      <c r="H2597" s="1063"/>
      <c r="I2597" s="1063"/>
      <c r="J2597" s="1063"/>
      <c r="K2597" s="1063"/>
      <c r="L2597" s="1063"/>
      <c r="M2597" s="1063"/>
      <c r="N2597" s="1063"/>
      <c r="O2597" s="1063"/>
      <c r="P2597" s="1063"/>
      <c r="Q2597" s="1063"/>
      <c r="R2597" s="1063"/>
      <c r="S2597" s="1063"/>
      <c r="T2597" s="1063"/>
      <c r="U2597" s="1063"/>
      <c r="V2597" s="1063"/>
      <c r="W2597" s="1063"/>
      <c r="X2597" s="1063"/>
      <c r="Y2597" s="1063"/>
      <c r="Z2597" s="1063"/>
      <c r="AA2597" s="1063"/>
      <c r="AB2597" s="1063"/>
      <c r="AC2597" s="1063"/>
      <c r="AD2597" s="1063"/>
      <c r="AE2597" s="1063"/>
      <c r="AF2597" s="1063"/>
      <c r="AG2597" s="1063"/>
      <c r="AH2597" s="1063"/>
      <c r="AI2597" s="1063"/>
      <c r="AJ2597" s="1063"/>
      <c r="AK2597" s="1063"/>
      <c r="AL2597" s="1063"/>
      <c r="AM2597" s="1063"/>
      <c r="AN2597" s="1063"/>
      <c r="AO2597" s="1063"/>
      <c r="AP2597" s="1063"/>
      <c r="AQ2597" s="1063"/>
      <c r="AR2597" s="1063"/>
      <c r="AS2597" s="1063"/>
      <c r="AT2597" s="1063"/>
      <c r="AU2597" s="1063"/>
      <c r="AV2597" s="1063"/>
    </row>
    <row r="2598" spans="1:48" s="1108" customFormat="1" ht="27.75" customHeight="1">
      <c r="A2598" s="1076"/>
      <c r="B2598" s="1074">
        <f>+'[18]Bldg+Dev'!S3410</f>
        <v>0</v>
      </c>
      <c r="D2598" s="1063"/>
      <c r="F2598" s="1076"/>
      <c r="G2598" s="1063"/>
      <c r="H2598" s="1063"/>
      <c r="I2598" s="1063"/>
      <c r="J2598" s="1063"/>
      <c r="K2598" s="1063"/>
      <c r="L2598" s="1063"/>
      <c r="M2598" s="1063"/>
      <c r="N2598" s="1063"/>
      <c r="O2598" s="1063"/>
      <c r="P2598" s="1063"/>
      <c r="Q2598" s="1063"/>
      <c r="R2598" s="1063"/>
      <c r="S2598" s="1063"/>
      <c r="T2598" s="1063"/>
      <c r="U2598" s="1063"/>
      <c r="V2598" s="1063"/>
      <c r="W2598" s="1063"/>
      <c r="X2598" s="1063"/>
      <c r="Y2598" s="1063"/>
      <c r="Z2598" s="1063"/>
      <c r="AA2598" s="1063"/>
      <c r="AB2598" s="1063"/>
      <c r="AC2598" s="1063"/>
      <c r="AD2598" s="1063"/>
      <c r="AE2598" s="1063"/>
      <c r="AF2598" s="1063"/>
      <c r="AG2598" s="1063"/>
      <c r="AH2598" s="1063"/>
      <c r="AI2598" s="1063"/>
      <c r="AJ2598" s="1063"/>
      <c r="AK2598" s="1063"/>
      <c r="AL2598" s="1063"/>
      <c r="AM2598" s="1063"/>
      <c r="AN2598" s="1063"/>
      <c r="AO2598" s="1063"/>
      <c r="AP2598" s="1063"/>
      <c r="AQ2598" s="1063"/>
      <c r="AR2598" s="1063"/>
      <c r="AS2598" s="1063"/>
      <c r="AT2598" s="1063"/>
      <c r="AU2598" s="1063"/>
      <c r="AV2598" s="1063"/>
    </row>
    <row r="2599" spans="1:48" s="1108" customFormat="1" ht="27.75" customHeight="1">
      <c r="A2599" s="1076"/>
      <c r="B2599" s="1074">
        <f>+'[18]Bldg+Dev'!S3411</f>
        <v>0</v>
      </c>
      <c r="D2599" s="1063"/>
      <c r="F2599" s="1076"/>
      <c r="G2599" s="1063"/>
      <c r="H2599" s="1063"/>
      <c r="I2599" s="1063"/>
      <c r="J2599" s="1063"/>
      <c r="K2599" s="1063"/>
      <c r="L2599" s="1063"/>
      <c r="M2599" s="1063"/>
      <c r="N2599" s="1063"/>
      <c r="O2599" s="1063"/>
      <c r="P2599" s="1063"/>
      <c r="Q2599" s="1063"/>
      <c r="R2599" s="1063"/>
      <c r="S2599" s="1063"/>
      <c r="T2599" s="1063"/>
      <c r="U2599" s="1063"/>
      <c r="V2599" s="1063"/>
      <c r="W2599" s="1063"/>
      <c r="X2599" s="1063"/>
      <c r="Y2599" s="1063"/>
      <c r="Z2599" s="1063"/>
      <c r="AA2599" s="1063"/>
      <c r="AB2599" s="1063"/>
      <c r="AC2599" s="1063"/>
      <c r="AD2599" s="1063"/>
      <c r="AE2599" s="1063"/>
      <c r="AF2599" s="1063"/>
      <c r="AG2599" s="1063"/>
      <c r="AH2599" s="1063"/>
      <c r="AI2599" s="1063"/>
      <c r="AJ2599" s="1063"/>
      <c r="AK2599" s="1063"/>
      <c r="AL2599" s="1063"/>
      <c r="AM2599" s="1063"/>
      <c r="AN2599" s="1063"/>
      <c r="AO2599" s="1063"/>
      <c r="AP2599" s="1063"/>
      <c r="AQ2599" s="1063"/>
      <c r="AR2599" s="1063"/>
      <c r="AS2599" s="1063"/>
      <c r="AT2599" s="1063"/>
      <c r="AU2599" s="1063"/>
      <c r="AV2599" s="1063"/>
    </row>
    <row r="2600" spans="1:48" s="1108" customFormat="1" ht="27.75" customHeight="1">
      <c r="A2600" s="1076"/>
      <c r="B2600" s="1074">
        <f>+'[18]Bldg+Dev'!S3412</f>
        <v>0</v>
      </c>
      <c r="D2600" s="1063"/>
      <c r="F2600" s="1076"/>
      <c r="G2600" s="1063"/>
      <c r="H2600" s="1063"/>
      <c r="I2600" s="1063"/>
      <c r="J2600" s="1063"/>
      <c r="K2600" s="1063"/>
      <c r="L2600" s="1063"/>
      <c r="M2600" s="1063"/>
      <c r="N2600" s="1063"/>
      <c r="O2600" s="1063"/>
      <c r="P2600" s="1063"/>
      <c r="Q2600" s="1063"/>
      <c r="R2600" s="1063"/>
      <c r="S2600" s="1063"/>
      <c r="T2600" s="1063"/>
      <c r="U2600" s="1063"/>
      <c r="V2600" s="1063"/>
      <c r="W2600" s="1063"/>
      <c r="X2600" s="1063"/>
      <c r="Y2600" s="1063"/>
      <c r="Z2600" s="1063"/>
      <c r="AA2600" s="1063"/>
      <c r="AB2600" s="1063"/>
      <c r="AC2600" s="1063"/>
      <c r="AD2600" s="1063"/>
      <c r="AE2600" s="1063"/>
      <c r="AF2600" s="1063"/>
      <c r="AG2600" s="1063"/>
      <c r="AH2600" s="1063"/>
      <c r="AI2600" s="1063"/>
      <c r="AJ2600" s="1063"/>
      <c r="AK2600" s="1063"/>
      <c r="AL2600" s="1063"/>
      <c r="AM2600" s="1063"/>
      <c r="AN2600" s="1063"/>
      <c r="AO2600" s="1063"/>
      <c r="AP2600" s="1063"/>
      <c r="AQ2600" s="1063"/>
      <c r="AR2600" s="1063"/>
      <c r="AS2600" s="1063"/>
      <c r="AT2600" s="1063"/>
      <c r="AU2600" s="1063"/>
      <c r="AV2600" s="1063"/>
    </row>
    <row r="2601" spans="1:48" s="1108" customFormat="1" ht="27.75" customHeight="1">
      <c r="A2601" s="1076"/>
      <c r="B2601" s="1074">
        <f>+'[18]Bldg+Dev'!S3413</f>
        <v>0</v>
      </c>
      <c r="D2601" s="1063"/>
      <c r="F2601" s="1076"/>
      <c r="G2601" s="1063"/>
      <c r="H2601" s="1063"/>
      <c r="I2601" s="1063"/>
      <c r="J2601" s="1063"/>
      <c r="K2601" s="1063"/>
      <c r="L2601" s="1063"/>
      <c r="M2601" s="1063"/>
      <c r="N2601" s="1063"/>
      <c r="O2601" s="1063"/>
      <c r="P2601" s="1063"/>
      <c r="Q2601" s="1063"/>
      <c r="R2601" s="1063"/>
      <c r="S2601" s="1063"/>
      <c r="T2601" s="1063"/>
      <c r="U2601" s="1063"/>
      <c r="V2601" s="1063"/>
      <c r="W2601" s="1063"/>
      <c r="X2601" s="1063"/>
      <c r="Y2601" s="1063"/>
      <c r="Z2601" s="1063"/>
      <c r="AA2601" s="1063"/>
      <c r="AB2601" s="1063"/>
      <c r="AC2601" s="1063"/>
      <c r="AD2601" s="1063"/>
      <c r="AE2601" s="1063"/>
      <c r="AF2601" s="1063"/>
      <c r="AG2601" s="1063"/>
      <c r="AH2601" s="1063"/>
      <c r="AI2601" s="1063"/>
      <c r="AJ2601" s="1063"/>
      <c r="AK2601" s="1063"/>
      <c r="AL2601" s="1063"/>
      <c r="AM2601" s="1063"/>
      <c r="AN2601" s="1063"/>
      <c r="AO2601" s="1063"/>
      <c r="AP2601" s="1063"/>
      <c r="AQ2601" s="1063"/>
      <c r="AR2601" s="1063"/>
      <c r="AS2601" s="1063"/>
      <c r="AT2601" s="1063"/>
      <c r="AU2601" s="1063"/>
      <c r="AV2601" s="1063"/>
    </row>
    <row r="2602" spans="1:48" s="1108" customFormat="1" ht="27.75" customHeight="1">
      <c r="A2602" s="1076"/>
      <c r="B2602" s="1074">
        <f>+'[18]Bldg+Dev'!S3414</f>
        <v>0</v>
      </c>
      <c r="D2602" s="1063"/>
      <c r="F2602" s="1076"/>
      <c r="G2602" s="1063"/>
      <c r="H2602" s="1063"/>
      <c r="I2602" s="1063"/>
      <c r="J2602" s="1063"/>
      <c r="K2602" s="1063"/>
      <c r="L2602" s="1063"/>
      <c r="M2602" s="1063"/>
      <c r="N2602" s="1063"/>
      <c r="O2602" s="1063"/>
      <c r="P2602" s="1063"/>
      <c r="Q2602" s="1063"/>
      <c r="R2602" s="1063"/>
      <c r="S2602" s="1063"/>
      <c r="T2602" s="1063"/>
      <c r="U2602" s="1063"/>
      <c r="V2602" s="1063"/>
      <c r="W2602" s="1063"/>
      <c r="X2602" s="1063"/>
      <c r="Y2602" s="1063"/>
      <c r="Z2602" s="1063"/>
      <c r="AA2602" s="1063"/>
      <c r="AB2602" s="1063"/>
      <c r="AC2602" s="1063"/>
      <c r="AD2602" s="1063"/>
      <c r="AE2602" s="1063"/>
      <c r="AF2602" s="1063"/>
      <c r="AG2602" s="1063"/>
      <c r="AH2602" s="1063"/>
      <c r="AI2602" s="1063"/>
      <c r="AJ2602" s="1063"/>
      <c r="AK2602" s="1063"/>
      <c r="AL2602" s="1063"/>
      <c r="AM2602" s="1063"/>
      <c r="AN2602" s="1063"/>
      <c r="AO2602" s="1063"/>
      <c r="AP2602" s="1063"/>
      <c r="AQ2602" s="1063"/>
      <c r="AR2602" s="1063"/>
      <c r="AS2602" s="1063"/>
      <c r="AT2602" s="1063"/>
      <c r="AU2602" s="1063"/>
      <c r="AV2602" s="1063"/>
    </row>
    <row r="2603" spans="1:48" s="1108" customFormat="1" ht="27.75" customHeight="1">
      <c r="A2603" s="1076"/>
      <c r="B2603" s="1074">
        <f>+'[18]Bldg+Dev'!S3415</f>
        <v>0</v>
      </c>
      <c r="D2603" s="1063"/>
      <c r="F2603" s="1076"/>
      <c r="G2603" s="1063"/>
      <c r="H2603" s="1063"/>
      <c r="I2603" s="1063"/>
      <c r="J2603" s="1063"/>
      <c r="K2603" s="1063"/>
      <c r="L2603" s="1063"/>
      <c r="M2603" s="1063"/>
      <c r="N2603" s="1063"/>
      <c r="O2603" s="1063"/>
      <c r="P2603" s="1063"/>
      <c r="Q2603" s="1063"/>
      <c r="R2603" s="1063"/>
      <c r="S2603" s="1063"/>
      <c r="T2603" s="1063"/>
      <c r="U2603" s="1063"/>
      <c r="V2603" s="1063"/>
      <c r="W2603" s="1063"/>
      <c r="X2603" s="1063"/>
      <c r="Y2603" s="1063"/>
      <c r="Z2603" s="1063"/>
      <c r="AA2603" s="1063"/>
      <c r="AB2603" s="1063"/>
      <c r="AC2603" s="1063"/>
      <c r="AD2603" s="1063"/>
      <c r="AE2603" s="1063"/>
      <c r="AF2603" s="1063"/>
      <c r="AG2603" s="1063"/>
      <c r="AH2603" s="1063"/>
      <c r="AI2603" s="1063"/>
      <c r="AJ2603" s="1063"/>
      <c r="AK2603" s="1063"/>
      <c r="AL2603" s="1063"/>
      <c r="AM2603" s="1063"/>
      <c r="AN2603" s="1063"/>
      <c r="AO2603" s="1063"/>
      <c r="AP2603" s="1063"/>
      <c r="AQ2603" s="1063"/>
      <c r="AR2603" s="1063"/>
      <c r="AS2603" s="1063"/>
      <c r="AT2603" s="1063"/>
      <c r="AU2603" s="1063"/>
      <c r="AV2603" s="1063"/>
    </row>
    <row r="2604" spans="1:48" s="1108" customFormat="1" ht="27.75" customHeight="1">
      <c r="A2604" s="1076"/>
      <c r="B2604" s="1074">
        <f>+'[18]Bldg+Dev'!S3416</f>
        <v>0</v>
      </c>
      <c r="D2604" s="1063"/>
      <c r="F2604" s="1076"/>
      <c r="G2604" s="1063"/>
      <c r="H2604" s="1063"/>
      <c r="I2604" s="1063"/>
      <c r="J2604" s="1063"/>
      <c r="K2604" s="1063"/>
      <c r="L2604" s="1063"/>
      <c r="M2604" s="1063"/>
      <c r="N2604" s="1063"/>
      <c r="O2604" s="1063"/>
      <c r="P2604" s="1063"/>
      <c r="Q2604" s="1063"/>
      <c r="R2604" s="1063"/>
      <c r="S2604" s="1063"/>
      <c r="T2604" s="1063"/>
      <c r="U2604" s="1063"/>
      <c r="V2604" s="1063"/>
      <c r="W2604" s="1063"/>
      <c r="X2604" s="1063"/>
      <c r="Y2604" s="1063"/>
      <c r="Z2604" s="1063"/>
      <c r="AA2604" s="1063"/>
      <c r="AB2604" s="1063"/>
      <c r="AC2604" s="1063"/>
      <c r="AD2604" s="1063"/>
      <c r="AE2604" s="1063"/>
      <c r="AF2604" s="1063"/>
      <c r="AG2604" s="1063"/>
      <c r="AH2604" s="1063"/>
      <c r="AI2604" s="1063"/>
      <c r="AJ2604" s="1063"/>
      <c r="AK2604" s="1063"/>
      <c r="AL2604" s="1063"/>
      <c r="AM2604" s="1063"/>
      <c r="AN2604" s="1063"/>
      <c r="AO2604" s="1063"/>
      <c r="AP2604" s="1063"/>
      <c r="AQ2604" s="1063"/>
      <c r="AR2604" s="1063"/>
      <c r="AS2604" s="1063"/>
      <c r="AT2604" s="1063"/>
      <c r="AU2604" s="1063"/>
      <c r="AV2604" s="1063"/>
    </row>
    <row r="2605" spans="1:48" s="1108" customFormat="1" ht="27.75" customHeight="1">
      <c r="A2605" s="1076"/>
      <c r="B2605" s="1074">
        <f>+'[18]Bldg+Dev'!S3417</f>
        <v>0</v>
      </c>
      <c r="D2605" s="1063"/>
      <c r="F2605" s="1076"/>
      <c r="G2605" s="1063"/>
      <c r="H2605" s="1063"/>
      <c r="I2605" s="1063"/>
      <c r="J2605" s="1063"/>
      <c r="K2605" s="1063"/>
      <c r="L2605" s="1063"/>
      <c r="M2605" s="1063"/>
      <c r="N2605" s="1063"/>
      <c r="O2605" s="1063"/>
      <c r="P2605" s="1063"/>
      <c r="Q2605" s="1063"/>
      <c r="R2605" s="1063"/>
      <c r="S2605" s="1063"/>
      <c r="T2605" s="1063"/>
      <c r="U2605" s="1063"/>
      <c r="V2605" s="1063"/>
      <c r="W2605" s="1063"/>
      <c r="X2605" s="1063"/>
      <c r="Y2605" s="1063"/>
      <c r="Z2605" s="1063"/>
      <c r="AA2605" s="1063"/>
      <c r="AB2605" s="1063"/>
      <c r="AC2605" s="1063"/>
      <c r="AD2605" s="1063"/>
      <c r="AE2605" s="1063"/>
      <c r="AF2605" s="1063"/>
      <c r="AG2605" s="1063"/>
      <c r="AH2605" s="1063"/>
      <c r="AI2605" s="1063"/>
      <c r="AJ2605" s="1063"/>
      <c r="AK2605" s="1063"/>
      <c r="AL2605" s="1063"/>
      <c r="AM2605" s="1063"/>
      <c r="AN2605" s="1063"/>
      <c r="AO2605" s="1063"/>
      <c r="AP2605" s="1063"/>
      <c r="AQ2605" s="1063"/>
      <c r="AR2605" s="1063"/>
      <c r="AS2605" s="1063"/>
      <c r="AT2605" s="1063"/>
      <c r="AU2605" s="1063"/>
      <c r="AV2605" s="1063"/>
    </row>
    <row r="2606" spans="1:48" s="1108" customFormat="1" ht="27.75" customHeight="1">
      <c r="A2606" s="1076"/>
      <c r="B2606" s="1074">
        <f>+'[18]Bldg+Dev'!S3418</f>
        <v>0</v>
      </c>
      <c r="D2606" s="1063"/>
      <c r="F2606" s="1076"/>
      <c r="G2606" s="1063"/>
      <c r="H2606" s="1063"/>
      <c r="I2606" s="1063"/>
      <c r="J2606" s="1063"/>
      <c r="K2606" s="1063"/>
      <c r="L2606" s="1063"/>
      <c r="M2606" s="1063"/>
      <c r="N2606" s="1063"/>
      <c r="O2606" s="1063"/>
      <c r="P2606" s="1063"/>
      <c r="Q2606" s="1063"/>
      <c r="R2606" s="1063"/>
      <c r="S2606" s="1063"/>
      <c r="T2606" s="1063"/>
      <c r="U2606" s="1063"/>
      <c r="V2606" s="1063"/>
      <c r="W2606" s="1063"/>
      <c r="X2606" s="1063"/>
      <c r="Y2606" s="1063"/>
      <c r="Z2606" s="1063"/>
      <c r="AA2606" s="1063"/>
      <c r="AB2606" s="1063"/>
      <c r="AC2606" s="1063"/>
      <c r="AD2606" s="1063"/>
      <c r="AE2606" s="1063"/>
      <c r="AF2606" s="1063"/>
      <c r="AG2606" s="1063"/>
      <c r="AH2606" s="1063"/>
      <c r="AI2606" s="1063"/>
      <c r="AJ2606" s="1063"/>
      <c r="AK2606" s="1063"/>
      <c r="AL2606" s="1063"/>
      <c r="AM2606" s="1063"/>
      <c r="AN2606" s="1063"/>
      <c r="AO2606" s="1063"/>
      <c r="AP2606" s="1063"/>
      <c r="AQ2606" s="1063"/>
      <c r="AR2606" s="1063"/>
      <c r="AS2606" s="1063"/>
      <c r="AT2606" s="1063"/>
      <c r="AU2606" s="1063"/>
      <c r="AV2606" s="1063"/>
    </row>
    <row r="2607" spans="1:48" s="1108" customFormat="1" ht="27.75" customHeight="1">
      <c r="A2607" s="1076"/>
      <c r="B2607" s="1074">
        <f>+'[18]Bldg+Dev'!S3419</f>
        <v>0</v>
      </c>
      <c r="D2607" s="1063"/>
      <c r="F2607" s="1076"/>
      <c r="G2607" s="1063"/>
      <c r="H2607" s="1063"/>
      <c r="I2607" s="1063"/>
      <c r="J2607" s="1063"/>
      <c r="K2607" s="1063"/>
      <c r="L2607" s="1063"/>
      <c r="M2607" s="1063"/>
      <c r="N2607" s="1063"/>
      <c r="O2607" s="1063"/>
      <c r="P2607" s="1063"/>
      <c r="Q2607" s="1063"/>
      <c r="R2607" s="1063"/>
      <c r="S2607" s="1063"/>
      <c r="T2607" s="1063"/>
      <c r="U2607" s="1063"/>
      <c r="V2607" s="1063"/>
      <c r="W2607" s="1063"/>
      <c r="X2607" s="1063"/>
      <c r="Y2607" s="1063"/>
      <c r="Z2607" s="1063"/>
      <c r="AA2607" s="1063"/>
      <c r="AB2607" s="1063"/>
      <c r="AC2607" s="1063"/>
      <c r="AD2607" s="1063"/>
      <c r="AE2607" s="1063"/>
      <c r="AF2607" s="1063"/>
      <c r="AG2607" s="1063"/>
      <c r="AH2607" s="1063"/>
      <c r="AI2607" s="1063"/>
      <c r="AJ2607" s="1063"/>
      <c r="AK2607" s="1063"/>
      <c r="AL2607" s="1063"/>
      <c r="AM2607" s="1063"/>
      <c r="AN2607" s="1063"/>
      <c r="AO2607" s="1063"/>
      <c r="AP2607" s="1063"/>
      <c r="AQ2607" s="1063"/>
      <c r="AR2607" s="1063"/>
      <c r="AS2607" s="1063"/>
      <c r="AT2607" s="1063"/>
      <c r="AU2607" s="1063"/>
      <c r="AV2607" s="1063"/>
    </row>
    <row r="2608" spans="1:48" s="1108" customFormat="1" ht="27.75" customHeight="1">
      <c r="A2608" s="1076"/>
      <c r="B2608" s="1074">
        <f>+'[18]Bldg+Dev'!S3420</f>
        <v>0</v>
      </c>
      <c r="D2608" s="1063"/>
      <c r="F2608" s="1076"/>
      <c r="G2608" s="1063"/>
      <c r="H2608" s="1063"/>
      <c r="I2608" s="1063"/>
      <c r="J2608" s="1063"/>
      <c r="K2608" s="1063"/>
      <c r="L2608" s="1063"/>
      <c r="M2608" s="1063"/>
      <c r="N2608" s="1063"/>
      <c r="O2608" s="1063"/>
      <c r="P2608" s="1063"/>
      <c r="Q2608" s="1063"/>
      <c r="R2608" s="1063"/>
      <c r="S2608" s="1063"/>
      <c r="T2608" s="1063"/>
      <c r="U2608" s="1063"/>
      <c r="V2608" s="1063"/>
      <c r="W2608" s="1063"/>
      <c r="X2608" s="1063"/>
      <c r="Y2608" s="1063"/>
      <c r="Z2608" s="1063"/>
      <c r="AA2608" s="1063"/>
      <c r="AB2608" s="1063"/>
      <c r="AC2608" s="1063"/>
      <c r="AD2608" s="1063"/>
      <c r="AE2608" s="1063"/>
      <c r="AF2608" s="1063"/>
      <c r="AG2608" s="1063"/>
      <c r="AH2608" s="1063"/>
      <c r="AI2608" s="1063"/>
      <c r="AJ2608" s="1063"/>
      <c r="AK2608" s="1063"/>
      <c r="AL2608" s="1063"/>
      <c r="AM2608" s="1063"/>
      <c r="AN2608" s="1063"/>
      <c r="AO2608" s="1063"/>
      <c r="AP2608" s="1063"/>
      <c r="AQ2608" s="1063"/>
      <c r="AR2608" s="1063"/>
      <c r="AS2608" s="1063"/>
      <c r="AT2608" s="1063"/>
      <c r="AU2608" s="1063"/>
      <c r="AV2608" s="1063"/>
    </row>
    <row r="2609" spans="1:48" s="1108" customFormat="1" ht="27.75" customHeight="1">
      <c r="A2609" s="1076"/>
      <c r="B2609" s="1074">
        <f>+'[18]Bldg+Dev'!S3421</f>
        <v>0</v>
      </c>
      <c r="D2609" s="1063"/>
      <c r="F2609" s="1076"/>
      <c r="G2609" s="1063"/>
      <c r="H2609" s="1063"/>
      <c r="I2609" s="1063"/>
      <c r="J2609" s="1063"/>
      <c r="K2609" s="1063"/>
      <c r="L2609" s="1063"/>
      <c r="M2609" s="1063"/>
      <c r="N2609" s="1063"/>
      <c r="O2609" s="1063"/>
      <c r="P2609" s="1063"/>
      <c r="Q2609" s="1063"/>
      <c r="R2609" s="1063"/>
      <c r="S2609" s="1063"/>
      <c r="T2609" s="1063"/>
      <c r="U2609" s="1063"/>
      <c r="V2609" s="1063"/>
      <c r="W2609" s="1063"/>
      <c r="X2609" s="1063"/>
      <c r="Y2609" s="1063"/>
      <c r="Z2609" s="1063"/>
      <c r="AA2609" s="1063"/>
      <c r="AB2609" s="1063"/>
      <c r="AC2609" s="1063"/>
      <c r="AD2609" s="1063"/>
      <c r="AE2609" s="1063"/>
      <c r="AF2609" s="1063"/>
      <c r="AG2609" s="1063"/>
      <c r="AH2609" s="1063"/>
      <c r="AI2609" s="1063"/>
      <c r="AJ2609" s="1063"/>
      <c r="AK2609" s="1063"/>
      <c r="AL2609" s="1063"/>
      <c r="AM2609" s="1063"/>
      <c r="AN2609" s="1063"/>
      <c r="AO2609" s="1063"/>
      <c r="AP2609" s="1063"/>
      <c r="AQ2609" s="1063"/>
      <c r="AR2609" s="1063"/>
      <c r="AS2609" s="1063"/>
      <c r="AT2609" s="1063"/>
      <c r="AU2609" s="1063"/>
      <c r="AV2609" s="1063"/>
    </row>
    <row r="2610" spans="1:48" s="1108" customFormat="1" ht="27.75" customHeight="1">
      <c r="A2610" s="1076"/>
      <c r="B2610" s="1074">
        <f>+'[18]Bldg+Dev'!S3422</f>
        <v>0</v>
      </c>
      <c r="D2610" s="1063"/>
      <c r="F2610" s="1076"/>
      <c r="G2610" s="1063"/>
      <c r="H2610" s="1063"/>
      <c r="I2610" s="1063"/>
      <c r="J2610" s="1063"/>
      <c r="K2610" s="1063"/>
      <c r="L2610" s="1063"/>
      <c r="M2610" s="1063"/>
      <c r="N2610" s="1063"/>
      <c r="O2610" s="1063"/>
      <c r="P2610" s="1063"/>
      <c r="Q2610" s="1063"/>
      <c r="R2610" s="1063"/>
      <c r="S2610" s="1063"/>
      <c r="T2610" s="1063"/>
      <c r="U2610" s="1063"/>
      <c r="V2610" s="1063"/>
      <c r="W2610" s="1063"/>
      <c r="X2610" s="1063"/>
      <c r="Y2610" s="1063"/>
      <c r="Z2610" s="1063"/>
      <c r="AA2610" s="1063"/>
      <c r="AB2610" s="1063"/>
      <c r="AC2610" s="1063"/>
      <c r="AD2610" s="1063"/>
      <c r="AE2610" s="1063"/>
      <c r="AF2610" s="1063"/>
      <c r="AG2610" s="1063"/>
      <c r="AH2610" s="1063"/>
      <c r="AI2610" s="1063"/>
      <c r="AJ2610" s="1063"/>
      <c r="AK2610" s="1063"/>
      <c r="AL2610" s="1063"/>
      <c r="AM2610" s="1063"/>
      <c r="AN2610" s="1063"/>
      <c r="AO2610" s="1063"/>
      <c r="AP2610" s="1063"/>
      <c r="AQ2610" s="1063"/>
      <c r="AR2610" s="1063"/>
      <c r="AS2610" s="1063"/>
      <c r="AT2610" s="1063"/>
      <c r="AU2610" s="1063"/>
      <c r="AV2610" s="1063"/>
    </row>
    <row r="2611" spans="1:48" s="1108" customFormat="1" ht="27.75" customHeight="1">
      <c r="A2611" s="1076"/>
      <c r="B2611" s="1074">
        <f>+'[18]Bldg+Dev'!S3423</f>
        <v>0</v>
      </c>
      <c r="D2611" s="1063"/>
      <c r="F2611" s="1076"/>
      <c r="G2611" s="1063"/>
      <c r="H2611" s="1063"/>
      <c r="I2611" s="1063"/>
      <c r="J2611" s="1063"/>
      <c r="K2611" s="1063"/>
      <c r="L2611" s="1063"/>
      <c r="M2611" s="1063"/>
      <c r="N2611" s="1063"/>
      <c r="O2611" s="1063"/>
      <c r="P2611" s="1063"/>
      <c r="Q2611" s="1063"/>
      <c r="R2611" s="1063"/>
      <c r="S2611" s="1063"/>
      <c r="T2611" s="1063"/>
      <c r="U2611" s="1063"/>
      <c r="V2611" s="1063"/>
      <c r="W2611" s="1063"/>
      <c r="X2611" s="1063"/>
      <c r="Y2611" s="1063"/>
      <c r="Z2611" s="1063"/>
      <c r="AA2611" s="1063"/>
      <c r="AB2611" s="1063"/>
      <c r="AC2611" s="1063"/>
      <c r="AD2611" s="1063"/>
      <c r="AE2611" s="1063"/>
      <c r="AF2611" s="1063"/>
      <c r="AG2611" s="1063"/>
      <c r="AH2611" s="1063"/>
      <c r="AI2611" s="1063"/>
      <c r="AJ2611" s="1063"/>
      <c r="AK2611" s="1063"/>
      <c r="AL2611" s="1063"/>
      <c r="AM2611" s="1063"/>
      <c r="AN2611" s="1063"/>
      <c r="AO2611" s="1063"/>
      <c r="AP2611" s="1063"/>
      <c r="AQ2611" s="1063"/>
      <c r="AR2611" s="1063"/>
      <c r="AS2611" s="1063"/>
      <c r="AT2611" s="1063"/>
      <c r="AU2611" s="1063"/>
      <c r="AV2611" s="1063"/>
    </row>
    <row r="2612" spans="1:48" s="1108" customFormat="1" ht="27.75" customHeight="1">
      <c r="A2612" s="1076"/>
      <c r="B2612" s="1074">
        <f>+'[18]Bldg+Dev'!S3424</f>
        <v>0</v>
      </c>
      <c r="D2612" s="1063"/>
      <c r="F2612" s="1076"/>
      <c r="G2612" s="1063"/>
      <c r="H2612" s="1063"/>
      <c r="I2612" s="1063"/>
      <c r="J2612" s="1063"/>
      <c r="K2612" s="1063"/>
      <c r="L2612" s="1063"/>
      <c r="M2612" s="1063"/>
      <c r="N2612" s="1063"/>
      <c r="O2612" s="1063"/>
      <c r="P2612" s="1063"/>
      <c r="Q2612" s="1063"/>
      <c r="R2612" s="1063"/>
      <c r="S2612" s="1063"/>
      <c r="T2612" s="1063"/>
      <c r="U2612" s="1063"/>
      <c r="V2612" s="1063"/>
      <c r="W2612" s="1063"/>
      <c r="X2612" s="1063"/>
      <c r="Y2612" s="1063"/>
      <c r="Z2612" s="1063"/>
      <c r="AA2612" s="1063"/>
      <c r="AB2612" s="1063"/>
      <c r="AC2612" s="1063"/>
      <c r="AD2612" s="1063"/>
      <c r="AE2612" s="1063"/>
      <c r="AF2612" s="1063"/>
      <c r="AG2612" s="1063"/>
      <c r="AH2612" s="1063"/>
      <c r="AI2612" s="1063"/>
      <c r="AJ2612" s="1063"/>
      <c r="AK2612" s="1063"/>
      <c r="AL2612" s="1063"/>
      <c r="AM2612" s="1063"/>
      <c r="AN2612" s="1063"/>
      <c r="AO2612" s="1063"/>
      <c r="AP2612" s="1063"/>
      <c r="AQ2612" s="1063"/>
      <c r="AR2612" s="1063"/>
      <c r="AS2612" s="1063"/>
      <c r="AT2612" s="1063"/>
      <c r="AU2612" s="1063"/>
      <c r="AV2612" s="1063"/>
    </row>
    <row r="2613" spans="1:48" s="1108" customFormat="1" ht="27.75" customHeight="1">
      <c r="A2613" s="1076"/>
      <c r="B2613" s="1074">
        <f>+'[18]Bldg+Dev'!S3425</f>
        <v>0</v>
      </c>
      <c r="D2613" s="1063"/>
      <c r="F2613" s="1076"/>
      <c r="G2613" s="1063"/>
      <c r="H2613" s="1063"/>
      <c r="I2613" s="1063"/>
      <c r="J2613" s="1063"/>
      <c r="K2613" s="1063"/>
      <c r="L2613" s="1063"/>
      <c r="M2613" s="1063"/>
      <c r="N2613" s="1063"/>
      <c r="O2613" s="1063"/>
      <c r="P2613" s="1063"/>
      <c r="Q2613" s="1063"/>
      <c r="R2613" s="1063"/>
      <c r="S2613" s="1063"/>
      <c r="T2613" s="1063"/>
      <c r="U2613" s="1063"/>
      <c r="V2613" s="1063"/>
      <c r="W2613" s="1063"/>
      <c r="X2613" s="1063"/>
      <c r="Y2613" s="1063"/>
      <c r="Z2613" s="1063"/>
      <c r="AA2613" s="1063"/>
      <c r="AB2613" s="1063"/>
      <c r="AC2613" s="1063"/>
      <c r="AD2613" s="1063"/>
      <c r="AE2613" s="1063"/>
      <c r="AF2613" s="1063"/>
      <c r="AG2613" s="1063"/>
      <c r="AH2613" s="1063"/>
      <c r="AI2613" s="1063"/>
      <c r="AJ2613" s="1063"/>
      <c r="AK2613" s="1063"/>
      <c r="AL2613" s="1063"/>
      <c r="AM2613" s="1063"/>
      <c r="AN2613" s="1063"/>
      <c r="AO2613" s="1063"/>
      <c r="AP2613" s="1063"/>
      <c r="AQ2613" s="1063"/>
      <c r="AR2613" s="1063"/>
      <c r="AS2613" s="1063"/>
      <c r="AT2613" s="1063"/>
      <c r="AU2613" s="1063"/>
      <c r="AV2613" s="1063"/>
    </row>
    <row r="2614" spans="1:48" s="1108" customFormat="1" ht="27.75" customHeight="1">
      <c r="A2614" s="1076"/>
      <c r="B2614" s="1074">
        <f>+'[18]Bldg+Dev'!S3426</f>
        <v>0</v>
      </c>
      <c r="D2614" s="1063"/>
      <c r="F2614" s="1076"/>
      <c r="G2614" s="1063"/>
      <c r="H2614" s="1063"/>
      <c r="I2614" s="1063"/>
      <c r="J2614" s="1063"/>
      <c r="K2614" s="1063"/>
      <c r="L2614" s="1063"/>
      <c r="M2614" s="1063"/>
      <c r="N2614" s="1063"/>
      <c r="O2614" s="1063"/>
      <c r="P2614" s="1063"/>
      <c r="Q2614" s="1063"/>
      <c r="R2614" s="1063"/>
      <c r="S2614" s="1063"/>
      <c r="T2614" s="1063"/>
      <c r="U2614" s="1063"/>
      <c r="V2614" s="1063"/>
      <c r="W2614" s="1063"/>
      <c r="X2614" s="1063"/>
      <c r="Y2614" s="1063"/>
      <c r="Z2614" s="1063"/>
      <c r="AA2614" s="1063"/>
      <c r="AB2614" s="1063"/>
      <c r="AC2614" s="1063"/>
      <c r="AD2614" s="1063"/>
      <c r="AE2614" s="1063"/>
      <c r="AF2614" s="1063"/>
      <c r="AG2614" s="1063"/>
      <c r="AH2614" s="1063"/>
      <c r="AI2614" s="1063"/>
      <c r="AJ2614" s="1063"/>
      <c r="AK2614" s="1063"/>
      <c r="AL2614" s="1063"/>
      <c r="AM2614" s="1063"/>
      <c r="AN2614" s="1063"/>
      <c r="AO2614" s="1063"/>
      <c r="AP2614" s="1063"/>
      <c r="AQ2614" s="1063"/>
      <c r="AR2614" s="1063"/>
      <c r="AS2614" s="1063"/>
      <c r="AT2614" s="1063"/>
      <c r="AU2614" s="1063"/>
      <c r="AV2614" s="1063"/>
    </row>
    <row r="2615" spans="1:48" s="1108" customFormat="1" ht="27.75" customHeight="1">
      <c r="A2615" s="1076"/>
      <c r="B2615" s="1074">
        <f>+'[18]Bldg+Dev'!S3427</f>
        <v>0</v>
      </c>
      <c r="D2615" s="1063"/>
      <c r="F2615" s="1076"/>
      <c r="G2615" s="1063"/>
      <c r="H2615" s="1063"/>
      <c r="I2615" s="1063"/>
      <c r="J2615" s="1063"/>
      <c r="K2615" s="1063"/>
      <c r="L2615" s="1063"/>
      <c r="M2615" s="1063"/>
      <c r="N2615" s="1063"/>
      <c r="O2615" s="1063"/>
      <c r="P2615" s="1063"/>
      <c r="Q2615" s="1063"/>
      <c r="R2615" s="1063"/>
      <c r="S2615" s="1063"/>
      <c r="T2615" s="1063"/>
      <c r="U2615" s="1063"/>
      <c r="V2615" s="1063"/>
      <c r="W2615" s="1063"/>
      <c r="X2615" s="1063"/>
      <c r="Y2615" s="1063"/>
      <c r="Z2615" s="1063"/>
      <c r="AA2615" s="1063"/>
      <c r="AB2615" s="1063"/>
      <c r="AC2615" s="1063"/>
      <c r="AD2615" s="1063"/>
      <c r="AE2615" s="1063"/>
      <c r="AF2615" s="1063"/>
      <c r="AG2615" s="1063"/>
      <c r="AH2615" s="1063"/>
      <c r="AI2615" s="1063"/>
      <c r="AJ2615" s="1063"/>
      <c r="AK2615" s="1063"/>
      <c r="AL2615" s="1063"/>
      <c r="AM2615" s="1063"/>
      <c r="AN2615" s="1063"/>
      <c r="AO2615" s="1063"/>
      <c r="AP2615" s="1063"/>
      <c r="AQ2615" s="1063"/>
      <c r="AR2615" s="1063"/>
      <c r="AS2615" s="1063"/>
      <c r="AT2615" s="1063"/>
      <c r="AU2615" s="1063"/>
      <c r="AV2615" s="1063"/>
    </row>
    <row r="2616" spans="1:48" s="1108" customFormat="1" ht="27.75" customHeight="1">
      <c r="A2616" s="1076"/>
      <c r="B2616" s="1074">
        <f>+'[18]Bldg+Dev'!S3428</f>
        <v>0</v>
      </c>
      <c r="D2616" s="1063"/>
      <c r="F2616" s="1076"/>
      <c r="G2616" s="1063"/>
      <c r="H2616" s="1063"/>
      <c r="I2616" s="1063"/>
      <c r="J2616" s="1063"/>
      <c r="K2616" s="1063"/>
      <c r="L2616" s="1063"/>
      <c r="M2616" s="1063"/>
      <c r="N2616" s="1063"/>
      <c r="O2616" s="1063"/>
      <c r="P2616" s="1063"/>
      <c r="Q2616" s="1063"/>
      <c r="R2616" s="1063"/>
      <c r="S2616" s="1063"/>
      <c r="T2616" s="1063"/>
      <c r="U2616" s="1063"/>
      <c r="V2616" s="1063"/>
      <c r="W2616" s="1063"/>
      <c r="X2616" s="1063"/>
      <c r="Y2616" s="1063"/>
      <c r="Z2616" s="1063"/>
      <c r="AA2616" s="1063"/>
      <c r="AB2616" s="1063"/>
      <c r="AC2616" s="1063"/>
      <c r="AD2616" s="1063"/>
      <c r="AE2616" s="1063"/>
      <c r="AF2616" s="1063"/>
      <c r="AG2616" s="1063"/>
      <c r="AH2616" s="1063"/>
      <c r="AI2616" s="1063"/>
      <c r="AJ2616" s="1063"/>
      <c r="AK2616" s="1063"/>
      <c r="AL2616" s="1063"/>
      <c r="AM2616" s="1063"/>
      <c r="AN2616" s="1063"/>
      <c r="AO2616" s="1063"/>
      <c r="AP2616" s="1063"/>
      <c r="AQ2616" s="1063"/>
      <c r="AR2616" s="1063"/>
      <c r="AS2616" s="1063"/>
      <c r="AT2616" s="1063"/>
      <c r="AU2616" s="1063"/>
      <c r="AV2616" s="1063"/>
    </row>
    <row r="2617" spans="1:48" s="1108" customFormat="1" ht="27.75" customHeight="1">
      <c r="A2617" s="1076"/>
      <c r="B2617" s="1074">
        <f>+'[18]Bldg+Dev'!S3429</f>
        <v>0</v>
      </c>
      <c r="D2617" s="1063"/>
      <c r="F2617" s="1076"/>
      <c r="G2617" s="1063"/>
      <c r="H2617" s="1063"/>
      <c r="I2617" s="1063"/>
      <c r="J2617" s="1063"/>
      <c r="K2617" s="1063"/>
      <c r="L2617" s="1063"/>
      <c r="M2617" s="1063"/>
      <c r="N2617" s="1063"/>
      <c r="O2617" s="1063"/>
      <c r="P2617" s="1063"/>
      <c r="Q2617" s="1063"/>
      <c r="R2617" s="1063"/>
      <c r="S2617" s="1063"/>
      <c r="T2617" s="1063"/>
      <c r="U2617" s="1063"/>
      <c r="V2617" s="1063"/>
      <c r="W2617" s="1063"/>
      <c r="X2617" s="1063"/>
      <c r="Y2617" s="1063"/>
      <c r="Z2617" s="1063"/>
      <c r="AA2617" s="1063"/>
      <c r="AB2617" s="1063"/>
      <c r="AC2617" s="1063"/>
      <c r="AD2617" s="1063"/>
      <c r="AE2617" s="1063"/>
      <c r="AF2617" s="1063"/>
      <c r="AG2617" s="1063"/>
      <c r="AH2617" s="1063"/>
      <c r="AI2617" s="1063"/>
      <c r="AJ2617" s="1063"/>
      <c r="AK2617" s="1063"/>
      <c r="AL2617" s="1063"/>
      <c r="AM2617" s="1063"/>
      <c r="AN2617" s="1063"/>
      <c r="AO2617" s="1063"/>
      <c r="AP2617" s="1063"/>
      <c r="AQ2617" s="1063"/>
      <c r="AR2617" s="1063"/>
      <c r="AS2617" s="1063"/>
      <c r="AT2617" s="1063"/>
      <c r="AU2617" s="1063"/>
      <c r="AV2617" s="1063"/>
    </row>
    <row r="2618" spans="1:48" s="1108" customFormat="1" ht="27.75" customHeight="1">
      <c r="A2618" s="1076"/>
      <c r="B2618" s="1074">
        <f>+'[18]Bldg+Dev'!S3430</f>
        <v>0</v>
      </c>
      <c r="D2618" s="1063"/>
      <c r="F2618" s="1076"/>
      <c r="G2618" s="1063"/>
      <c r="H2618" s="1063"/>
      <c r="I2618" s="1063"/>
      <c r="J2618" s="1063"/>
      <c r="K2618" s="1063"/>
      <c r="L2618" s="1063"/>
      <c r="M2618" s="1063"/>
      <c r="N2618" s="1063"/>
      <c r="O2618" s="1063"/>
      <c r="P2618" s="1063"/>
      <c r="Q2618" s="1063"/>
      <c r="R2618" s="1063"/>
      <c r="S2618" s="1063"/>
      <c r="T2618" s="1063"/>
      <c r="U2618" s="1063"/>
      <c r="V2618" s="1063"/>
      <c r="W2618" s="1063"/>
      <c r="X2618" s="1063"/>
      <c r="Y2618" s="1063"/>
      <c r="Z2618" s="1063"/>
      <c r="AA2618" s="1063"/>
      <c r="AB2618" s="1063"/>
      <c r="AC2618" s="1063"/>
      <c r="AD2618" s="1063"/>
      <c r="AE2618" s="1063"/>
      <c r="AF2618" s="1063"/>
      <c r="AG2618" s="1063"/>
      <c r="AH2618" s="1063"/>
      <c r="AI2618" s="1063"/>
      <c r="AJ2618" s="1063"/>
      <c r="AK2618" s="1063"/>
      <c r="AL2618" s="1063"/>
      <c r="AM2618" s="1063"/>
      <c r="AN2618" s="1063"/>
      <c r="AO2618" s="1063"/>
      <c r="AP2618" s="1063"/>
      <c r="AQ2618" s="1063"/>
      <c r="AR2618" s="1063"/>
      <c r="AS2618" s="1063"/>
      <c r="AT2618" s="1063"/>
      <c r="AU2618" s="1063"/>
      <c r="AV2618" s="1063"/>
    </row>
    <row r="2619" spans="1:48" s="1108" customFormat="1" ht="27.75" customHeight="1">
      <c r="A2619" s="1076"/>
      <c r="B2619" s="1074">
        <f>+'[18]Bldg+Dev'!S3431</f>
        <v>0</v>
      </c>
      <c r="D2619" s="1063"/>
      <c r="F2619" s="1076"/>
      <c r="G2619" s="1063"/>
      <c r="H2619" s="1063"/>
      <c r="I2619" s="1063"/>
      <c r="J2619" s="1063"/>
      <c r="K2619" s="1063"/>
      <c r="L2619" s="1063"/>
      <c r="M2619" s="1063"/>
      <c r="N2619" s="1063"/>
      <c r="O2619" s="1063"/>
      <c r="P2619" s="1063"/>
      <c r="Q2619" s="1063"/>
      <c r="R2619" s="1063"/>
      <c r="S2619" s="1063"/>
      <c r="T2619" s="1063"/>
      <c r="U2619" s="1063"/>
      <c r="V2619" s="1063"/>
      <c r="W2619" s="1063"/>
      <c r="X2619" s="1063"/>
      <c r="Y2619" s="1063"/>
      <c r="Z2619" s="1063"/>
      <c r="AA2619" s="1063"/>
      <c r="AB2619" s="1063"/>
      <c r="AC2619" s="1063"/>
      <c r="AD2619" s="1063"/>
      <c r="AE2619" s="1063"/>
      <c r="AF2619" s="1063"/>
      <c r="AG2619" s="1063"/>
      <c r="AH2619" s="1063"/>
      <c r="AI2619" s="1063"/>
      <c r="AJ2619" s="1063"/>
      <c r="AK2619" s="1063"/>
      <c r="AL2619" s="1063"/>
      <c r="AM2619" s="1063"/>
      <c r="AN2619" s="1063"/>
      <c r="AO2619" s="1063"/>
      <c r="AP2619" s="1063"/>
      <c r="AQ2619" s="1063"/>
      <c r="AR2619" s="1063"/>
      <c r="AS2619" s="1063"/>
      <c r="AT2619" s="1063"/>
      <c r="AU2619" s="1063"/>
      <c r="AV2619" s="1063"/>
    </row>
    <row r="2620" spans="1:48" s="1108" customFormat="1" ht="27.75" customHeight="1">
      <c r="A2620" s="1076"/>
      <c r="B2620" s="1074">
        <f>+'[18]Bldg+Dev'!S3432</f>
        <v>0</v>
      </c>
      <c r="D2620" s="1063"/>
      <c r="F2620" s="1076"/>
      <c r="G2620" s="1063"/>
      <c r="H2620" s="1063"/>
      <c r="I2620" s="1063"/>
      <c r="J2620" s="1063"/>
      <c r="K2620" s="1063"/>
      <c r="L2620" s="1063"/>
      <c r="M2620" s="1063"/>
      <c r="N2620" s="1063"/>
      <c r="O2620" s="1063"/>
      <c r="P2620" s="1063"/>
      <c r="Q2620" s="1063"/>
      <c r="R2620" s="1063"/>
      <c r="S2620" s="1063"/>
      <c r="T2620" s="1063"/>
      <c r="U2620" s="1063"/>
      <c r="V2620" s="1063"/>
      <c r="W2620" s="1063"/>
      <c r="X2620" s="1063"/>
      <c r="Y2620" s="1063"/>
      <c r="Z2620" s="1063"/>
      <c r="AA2620" s="1063"/>
      <c r="AB2620" s="1063"/>
      <c r="AC2620" s="1063"/>
      <c r="AD2620" s="1063"/>
      <c r="AE2620" s="1063"/>
      <c r="AF2620" s="1063"/>
      <c r="AG2620" s="1063"/>
      <c r="AH2620" s="1063"/>
      <c r="AI2620" s="1063"/>
      <c r="AJ2620" s="1063"/>
      <c r="AK2620" s="1063"/>
      <c r="AL2620" s="1063"/>
      <c r="AM2620" s="1063"/>
      <c r="AN2620" s="1063"/>
      <c r="AO2620" s="1063"/>
      <c r="AP2620" s="1063"/>
      <c r="AQ2620" s="1063"/>
      <c r="AR2620" s="1063"/>
      <c r="AS2620" s="1063"/>
      <c r="AT2620" s="1063"/>
      <c r="AU2620" s="1063"/>
      <c r="AV2620" s="1063"/>
    </row>
    <row r="2621" spans="1:48" s="1108" customFormat="1" ht="27.75" customHeight="1">
      <c r="A2621" s="1076"/>
      <c r="B2621" s="1074">
        <f>+'[18]Bldg+Dev'!S3433</f>
        <v>0</v>
      </c>
      <c r="D2621" s="1063"/>
      <c r="F2621" s="1076"/>
      <c r="G2621" s="1063"/>
      <c r="H2621" s="1063"/>
      <c r="I2621" s="1063"/>
      <c r="J2621" s="1063"/>
      <c r="K2621" s="1063"/>
      <c r="L2621" s="1063"/>
      <c r="M2621" s="1063"/>
      <c r="N2621" s="1063"/>
      <c r="O2621" s="1063"/>
      <c r="P2621" s="1063"/>
      <c r="Q2621" s="1063"/>
      <c r="R2621" s="1063"/>
      <c r="S2621" s="1063"/>
      <c r="T2621" s="1063"/>
      <c r="U2621" s="1063"/>
      <c r="V2621" s="1063"/>
      <c r="W2621" s="1063"/>
      <c r="X2621" s="1063"/>
      <c r="Y2621" s="1063"/>
      <c r="Z2621" s="1063"/>
      <c r="AA2621" s="1063"/>
      <c r="AB2621" s="1063"/>
      <c r="AC2621" s="1063"/>
      <c r="AD2621" s="1063"/>
      <c r="AE2621" s="1063"/>
      <c r="AF2621" s="1063"/>
      <c r="AG2621" s="1063"/>
      <c r="AH2621" s="1063"/>
      <c r="AI2621" s="1063"/>
      <c r="AJ2621" s="1063"/>
      <c r="AK2621" s="1063"/>
      <c r="AL2621" s="1063"/>
      <c r="AM2621" s="1063"/>
      <c r="AN2621" s="1063"/>
      <c r="AO2621" s="1063"/>
      <c r="AP2621" s="1063"/>
      <c r="AQ2621" s="1063"/>
      <c r="AR2621" s="1063"/>
      <c r="AS2621" s="1063"/>
      <c r="AT2621" s="1063"/>
      <c r="AU2621" s="1063"/>
      <c r="AV2621" s="1063"/>
    </row>
    <row r="2622" spans="1:48" s="1108" customFormat="1" ht="27.75" customHeight="1">
      <c r="A2622" s="1076"/>
      <c r="B2622" s="1074">
        <f>+'[18]Bldg+Dev'!S3434</f>
        <v>0</v>
      </c>
      <c r="D2622" s="1063"/>
      <c r="F2622" s="1076"/>
      <c r="G2622" s="1063"/>
      <c r="H2622" s="1063"/>
      <c r="I2622" s="1063"/>
      <c r="J2622" s="1063"/>
      <c r="K2622" s="1063"/>
      <c r="L2622" s="1063"/>
      <c r="M2622" s="1063"/>
      <c r="N2622" s="1063"/>
      <c r="O2622" s="1063"/>
      <c r="P2622" s="1063"/>
      <c r="Q2622" s="1063"/>
      <c r="R2622" s="1063"/>
      <c r="S2622" s="1063"/>
      <c r="T2622" s="1063"/>
      <c r="U2622" s="1063"/>
      <c r="V2622" s="1063"/>
      <c r="W2622" s="1063"/>
      <c r="X2622" s="1063"/>
      <c r="Y2622" s="1063"/>
      <c r="Z2622" s="1063"/>
      <c r="AA2622" s="1063"/>
      <c r="AB2622" s="1063"/>
      <c r="AC2622" s="1063"/>
      <c r="AD2622" s="1063"/>
      <c r="AE2622" s="1063"/>
      <c r="AF2622" s="1063"/>
      <c r="AG2622" s="1063"/>
      <c r="AH2622" s="1063"/>
      <c r="AI2622" s="1063"/>
      <c r="AJ2622" s="1063"/>
      <c r="AK2622" s="1063"/>
      <c r="AL2622" s="1063"/>
      <c r="AM2622" s="1063"/>
      <c r="AN2622" s="1063"/>
      <c r="AO2622" s="1063"/>
      <c r="AP2622" s="1063"/>
      <c r="AQ2622" s="1063"/>
      <c r="AR2622" s="1063"/>
      <c r="AS2622" s="1063"/>
      <c r="AT2622" s="1063"/>
      <c r="AU2622" s="1063"/>
      <c r="AV2622" s="1063"/>
    </row>
    <row r="2623" spans="1:48" s="1108" customFormat="1" ht="27.75" customHeight="1">
      <c r="A2623" s="1076"/>
      <c r="B2623" s="1074">
        <f>+'[18]Bldg+Dev'!S3435</f>
        <v>0</v>
      </c>
      <c r="D2623" s="1063"/>
      <c r="F2623" s="1076"/>
      <c r="G2623" s="1063"/>
      <c r="H2623" s="1063"/>
      <c r="I2623" s="1063"/>
      <c r="J2623" s="1063"/>
      <c r="K2623" s="1063"/>
      <c r="L2623" s="1063"/>
      <c r="M2623" s="1063"/>
      <c r="N2623" s="1063"/>
      <c r="O2623" s="1063"/>
      <c r="P2623" s="1063"/>
      <c r="Q2623" s="1063"/>
      <c r="R2623" s="1063"/>
      <c r="S2623" s="1063"/>
      <c r="T2623" s="1063"/>
      <c r="U2623" s="1063"/>
      <c r="V2623" s="1063"/>
      <c r="W2623" s="1063"/>
      <c r="X2623" s="1063"/>
      <c r="Y2623" s="1063"/>
      <c r="Z2623" s="1063"/>
      <c r="AA2623" s="1063"/>
      <c r="AB2623" s="1063"/>
      <c r="AC2623" s="1063"/>
      <c r="AD2623" s="1063"/>
      <c r="AE2623" s="1063"/>
      <c r="AF2623" s="1063"/>
      <c r="AG2623" s="1063"/>
      <c r="AH2623" s="1063"/>
      <c r="AI2623" s="1063"/>
      <c r="AJ2623" s="1063"/>
      <c r="AK2623" s="1063"/>
      <c r="AL2623" s="1063"/>
      <c r="AM2623" s="1063"/>
      <c r="AN2623" s="1063"/>
      <c r="AO2623" s="1063"/>
      <c r="AP2623" s="1063"/>
      <c r="AQ2623" s="1063"/>
      <c r="AR2623" s="1063"/>
      <c r="AS2623" s="1063"/>
      <c r="AT2623" s="1063"/>
      <c r="AU2623" s="1063"/>
      <c r="AV2623" s="1063"/>
    </row>
    <row r="2624" spans="1:48" s="1108" customFormat="1" ht="27.75" customHeight="1">
      <c r="A2624" s="1076"/>
      <c r="B2624" s="1074">
        <f>+'[18]Bldg+Dev'!S3436</f>
        <v>0</v>
      </c>
      <c r="D2624" s="1063"/>
      <c r="F2624" s="1076"/>
      <c r="G2624" s="1063"/>
      <c r="H2624" s="1063"/>
      <c r="I2624" s="1063"/>
      <c r="J2624" s="1063"/>
      <c r="K2624" s="1063"/>
      <c r="L2624" s="1063"/>
      <c r="M2624" s="1063"/>
      <c r="N2624" s="1063"/>
      <c r="O2624" s="1063"/>
      <c r="P2624" s="1063"/>
      <c r="Q2624" s="1063"/>
      <c r="R2624" s="1063"/>
      <c r="S2624" s="1063"/>
      <c r="T2624" s="1063"/>
      <c r="U2624" s="1063"/>
      <c r="V2624" s="1063"/>
      <c r="W2624" s="1063"/>
      <c r="X2624" s="1063"/>
      <c r="Y2624" s="1063"/>
      <c r="Z2624" s="1063"/>
      <c r="AA2624" s="1063"/>
      <c r="AB2624" s="1063"/>
      <c r="AC2624" s="1063"/>
      <c r="AD2624" s="1063"/>
      <c r="AE2624" s="1063"/>
      <c r="AF2624" s="1063"/>
      <c r="AG2624" s="1063"/>
      <c r="AH2624" s="1063"/>
      <c r="AI2624" s="1063"/>
      <c r="AJ2624" s="1063"/>
      <c r="AK2624" s="1063"/>
      <c r="AL2624" s="1063"/>
      <c r="AM2624" s="1063"/>
      <c r="AN2624" s="1063"/>
      <c r="AO2624" s="1063"/>
      <c r="AP2624" s="1063"/>
      <c r="AQ2624" s="1063"/>
      <c r="AR2624" s="1063"/>
      <c r="AS2624" s="1063"/>
      <c r="AT2624" s="1063"/>
      <c r="AU2624" s="1063"/>
      <c r="AV2624" s="1063"/>
    </row>
    <row r="2625" spans="1:48" s="1108" customFormat="1" ht="27.75" customHeight="1">
      <c r="A2625" s="1076"/>
      <c r="B2625" s="1074">
        <f>+'[18]Bldg+Dev'!S3437</f>
        <v>0</v>
      </c>
      <c r="D2625" s="1063"/>
      <c r="F2625" s="1076"/>
      <c r="G2625" s="1063"/>
      <c r="H2625" s="1063"/>
      <c r="I2625" s="1063"/>
      <c r="J2625" s="1063"/>
      <c r="K2625" s="1063"/>
      <c r="L2625" s="1063"/>
      <c r="M2625" s="1063"/>
      <c r="N2625" s="1063"/>
      <c r="O2625" s="1063"/>
      <c r="P2625" s="1063"/>
      <c r="Q2625" s="1063"/>
      <c r="R2625" s="1063"/>
      <c r="S2625" s="1063"/>
      <c r="T2625" s="1063"/>
      <c r="U2625" s="1063"/>
      <c r="V2625" s="1063"/>
      <c r="W2625" s="1063"/>
      <c r="X2625" s="1063"/>
      <c r="Y2625" s="1063"/>
      <c r="Z2625" s="1063"/>
      <c r="AA2625" s="1063"/>
      <c r="AB2625" s="1063"/>
      <c r="AC2625" s="1063"/>
      <c r="AD2625" s="1063"/>
      <c r="AE2625" s="1063"/>
      <c r="AF2625" s="1063"/>
      <c r="AG2625" s="1063"/>
      <c r="AH2625" s="1063"/>
      <c r="AI2625" s="1063"/>
      <c r="AJ2625" s="1063"/>
      <c r="AK2625" s="1063"/>
      <c r="AL2625" s="1063"/>
      <c r="AM2625" s="1063"/>
      <c r="AN2625" s="1063"/>
      <c r="AO2625" s="1063"/>
      <c r="AP2625" s="1063"/>
      <c r="AQ2625" s="1063"/>
      <c r="AR2625" s="1063"/>
      <c r="AS2625" s="1063"/>
      <c r="AT2625" s="1063"/>
      <c r="AU2625" s="1063"/>
      <c r="AV2625" s="1063"/>
    </row>
    <row r="2626" spans="1:48" s="1108" customFormat="1" ht="27.75" customHeight="1">
      <c r="A2626" s="1076"/>
      <c r="B2626" s="1074">
        <f>+'[18]Bldg+Dev'!S3438</f>
        <v>0</v>
      </c>
      <c r="D2626" s="1063"/>
      <c r="F2626" s="1076"/>
      <c r="G2626" s="1063"/>
      <c r="H2626" s="1063"/>
      <c r="I2626" s="1063"/>
      <c r="J2626" s="1063"/>
      <c r="K2626" s="1063"/>
      <c r="L2626" s="1063"/>
      <c r="M2626" s="1063"/>
      <c r="N2626" s="1063"/>
      <c r="O2626" s="1063"/>
      <c r="P2626" s="1063"/>
      <c r="Q2626" s="1063"/>
      <c r="R2626" s="1063"/>
      <c r="S2626" s="1063"/>
      <c r="T2626" s="1063"/>
      <c r="U2626" s="1063"/>
      <c r="V2626" s="1063"/>
      <c r="W2626" s="1063"/>
      <c r="X2626" s="1063"/>
      <c r="Y2626" s="1063"/>
      <c r="Z2626" s="1063"/>
      <c r="AA2626" s="1063"/>
      <c r="AB2626" s="1063"/>
      <c r="AC2626" s="1063"/>
      <c r="AD2626" s="1063"/>
      <c r="AE2626" s="1063"/>
      <c r="AF2626" s="1063"/>
      <c r="AG2626" s="1063"/>
      <c r="AH2626" s="1063"/>
      <c r="AI2626" s="1063"/>
      <c r="AJ2626" s="1063"/>
      <c r="AK2626" s="1063"/>
      <c r="AL2626" s="1063"/>
      <c r="AM2626" s="1063"/>
      <c r="AN2626" s="1063"/>
      <c r="AO2626" s="1063"/>
      <c r="AP2626" s="1063"/>
      <c r="AQ2626" s="1063"/>
      <c r="AR2626" s="1063"/>
      <c r="AS2626" s="1063"/>
      <c r="AT2626" s="1063"/>
      <c r="AU2626" s="1063"/>
      <c r="AV2626" s="1063"/>
    </row>
    <row r="2627" spans="1:48" s="1108" customFormat="1" ht="27.75" customHeight="1">
      <c r="A2627" s="1076"/>
      <c r="B2627" s="1074">
        <f>+'[18]Bldg+Dev'!S3439</f>
        <v>0</v>
      </c>
      <c r="D2627" s="1063"/>
      <c r="F2627" s="1076"/>
      <c r="G2627" s="1063"/>
      <c r="H2627" s="1063"/>
      <c r="I2627" s="1063"/>
      <c r="J2627" s="1063"/>
      <c r="K2627" s="1063"/>
      <c r="L2627" s="1063"/>
      <c r="M2627" s="1063"/>
      <c r="N2627" s="1063"/>
      <c r="O2627" s="1063"/>
      <c r="P2627" s="1063"/>
      <c r="Q2627" s="1063"/>
      <c r="R2627" s="1063"/>
      <c r="S2627" s="1063"/>
      <c r="T2627" s="1063"/>
      <c r="U2627" s="1063"/>
      <c r="V2627" s="1063"/>
      <c r="W2627" s="1063"/>
      <c r="X2627" s="1063"/>
      <c r="Y2627" s="1063"/>
      <c r="Z2627" s="1063"/>
      <c r="AA2627" s="1063"/>
      <c r="AB2627" s="1063"/>
      <c r="AC2627" s="1063"/>
      <c r="AD2627" s="1063"/>
      <c r="AE2627" s="1063"/>
      <c r="AF2627" s="1063"/>
      <c r="AG2627" s="1063"/>
      <c r="AH2627" s="1063"/>
      <c r="AI2627" s="1063"/>
      <c r="AJ2627" s="1063"/>
      <c r="AK2627" s="1063"/>
      <c r="AL2627" s="1063"/>
      <c r="AM2627" s="1063"/>
      <c r="AN2627" s="1063"/>
      <c r="AO2627" s="1063"/>
      <c r="AP2627" s="1063"/>
      <c r="AQ2627" s="1063"/>
      <c r="AR2627" s="1063"/>
      <c r="AS2627" s="1063"/>
      <c r="AT2627" s="1063"/>
      <c r="AU2627" s="1063"/>
      <c r="AV2627" s="1063"/>
    </row>
    <row r="2628" spans="1:48" s="1108" customFormat="1" ht="27.75" customHeight="1">
      <c r="A2628" s="1076"/>
      <c r="B2628" s="1074">
        <f>+'[18]Bldg+Dev'!S3440</f>
        <v>0</v>
      </c>
      <c r="D2628" s="1063"/>
      <c r="F2628" s="1076"/>
      <c r="G2628" s="1063"/>
      <c r="H2628" s="1063"/>
      <c r="I2628" s="1063"/>
      <c r="J2628" s="1063"/>
      <c r="K2628" s="1063"/>
      <c r="L2628" s="1063"/>
      <c r="M2628" s="1063"/>
      <c r="N2628" s="1063"/>
      <c r="O2628" s="1063"/>
      <c r="P2628" s="1063"/>
      <c r="Q2628" s="1063"/>
      <c r="R2628" s="1063"/>
      <c r="S2628" s="1063"/>
      <c r="T2628" s="1063"/>
      <c r="U2628" s="1063"/>
      <c r="V2628" s="1063"/>
      <c r="W2628" s="1063"/>
      <c r="X2628" s="1063"/>
      <c r="Y2628" s="1063"/>
      <c r="Z2628" s="1063"/>
      <c r="AA2628" s="1063"/>
      <c r="AB2628" s="1063"/>
      <c r="AC2628" s="1063"/>
      <c r="AD2628" s="1063"/>
      <c r="AE2628" s="1063"/>
      <c r="AF2628" s="1063"/>
      <c r="AG2628" s="1063"/>
      <c r="AH2628" s="1063"/>
      <c r="AI2628" s="1063"/>
      <c r="AJ2628" s="1063"/>
      <c r="AK2628" s="1063"/>
      <c r="AL2628" s="1063"/>
      <c r="AM2628" s="1063"/>
      <c r="AN2628" s="1063"/>
      <c r="AO2628" s="1063"/>
      <c r="AP2628" s="1063"/>
      <c r="AQ2628" s="1063"/>
      <c r="AR2628" s="1063"/>
      <c r="AS2628" s="1063"/>
      <c r="AT2628" s="1063"/>
      <c r="AU2628" s="1063"/>
      <c r="AV2628" s="1063"/>
    </row>
    <row r="2629" spans="1:48" s="1108" customFormat="1" ht="27.75" customHeight="1">
      <c r="A2629" s="1076"/>
      <c r="B2629" s="1074">
        <f>+'[18]Bldg+Dev'!S3441</f>
        <v>0</v>
      </c>
      <c r="D2629" s="1063"/>
      <c r="F2629" s="1076"/>
      <c r="G2629" s="1063"/>
      <c r="H2629" s="1063"/>
      <c r="I2629" s="1063"/>
      <c r="J2629" s="1063"/>
      <c r="K2629" s="1063"/>
      <c r="L2629" s="1063"/>
      <c r="M2629" s="1063"/>
      <c r="N2629" s="1063"/>
      <c r="O2629" s="1063"/>
      <c r="P2629" s="1063"/>
      <c r="Q2629" s="1063"/>
      <c r="R2629" s="1063"/>
      <c r="S2629" s="1063"/>
      <c r="T2629" s="1063"/>
      <c r="U2629" s="1063"/>
      <c r="V2629" s="1063"/>
      <c r="W2629" s="1063"/>
      <c r="X2629" s="1063"/>
      <c r="Y2629" s="1063"/>
      <c r="Z2629" s="1063"/>
      <c r="AA2629" s="1063"/>
      <c r="AB2629" s="1063"/>
      <c r="AC2629" s="1063"/>
      <c r="AD2629" s="1063"/>
      <c r="AE2629" s="1063"/>
      <c r="AF2629" s="1063"/>
      <c r="AG2629" s="1063"/>
      <c r="AH2629" s="1063"/>
      <c r="AI2629" s="1063"/>
      <c r="AJ2629" s="1063"/>
      <c r="AK2629" s="1063"/>
      <c r="AL2629" s="1063"/>
      <c r="AM2629" s="1063"/>
      <c r="AN2629" s="1063"/>
      <c r="AO2629" s="1063"/>
      <c r="AP2629" s="1063"/>
      <c r="AQ2629" s="1063"/>
      <c r="AR2629" s="1063"/>
      <c r="AS2629" s="1063"/>
      <c r="AT2629" s="1063"/>
      <c r="AU2629" s="1063"/>
      <c r="AV2629" s="1063"/>
    </row>
    <row r="2630" spans="1:48" s="1108" customFormat="1" ht="27.75" customHeight="1">
      <c r="A2630" s="1076"/>
      <c r="B2630" s="1074">
        <f>+'[18]Bldg+Dev'!S3442</f>
        <v>0</v>
      </c>
      <c r="D2630" s="1063"/>
      <c r="F2630" s="1076"/>
      <c r="G2630" s="1063"/>
      <c r="H2630" s="1063"/>
      <c r="I2630" s="1063"/>
      <c r="J2630" s="1063"/>
      <c r="K2630" s="1063"/>
      <c r="L2630" s="1063"/>
      <c r="M2630" s="1063"/>
      <c r="N2630" s="1063"/>
      <c r="O2630" s="1063"/>
      <c r="P2630" s="1063"/>
      <c r="Q2630" s="1063"/>
      <c r="R2630" s="1063"/>
      <c r="S2630" s="1063"/>
      <c r="T2630" s="1063"/>
      <c r="U2630" s="1063"/>
      <c r="V2630" s="1063"/>
      <c r="W2630" s="1063"/>
      <c r="X2630" s="1063"/>
      <c r="Y2630" s="1063"/>
      <c r="Z2630" s="1063"/>
      <c r="AA2630" s="1063"/>
      <c r="AB2630" s="1063"/>
      <c r="AC2630" s="1063"/>
      <c r="AD2630" s="1063"/>
      <c r="AE2630" s="1063"/>
      <c r="AF2630" s="1063"/>
      <c r="AG2630" s="1063"/>
      <c r="AH2630" s="1063"/>
      <c r="AI2630" s="1063"/>
      <c r="AJ2630" s="1063"/>
      <c r="AK2630" s="1063"/>
      <c r="AL2630" s="1063"/>
      <c r="AM2630" s="1063"/>
      <c r="AN2630" s="1063"/>
      <c r="AO2630" s="1063"/>
      <c r="AP2630" s="1063"/>
      <c r="AQ2630" s="1063"/>
      <c r="AR2630" s="1063"/>
      <c r="AS2630" s="1063"/>
      <c r="AT2630" s="1063"/>
      <c r="AU2630" s="1063"/>
      <c r="AV2630" s="1063"/>
    </row>
    <row r="2631" spans="1:48" s="1108" customFormat="1" ht="27.75" customHeight="1">
      <c r="A2631" s="1076"/>
      <c r="B2631" s="1074">
        <f>+'[18]Bldg+Dev'!S3443</f>
        <v>0</v>
      </c>
      <c r="D2631" s="1063"/>
      <c r="F2631" s="1076"/>
      <c r="G2631" s="1063"/>
      <c r="H2631" s="1063"/>
      <c r="I2631" s="1063"/>
      <c r="J2631" s="1063"/>
      <c r="K2631" s="1063"/>
      <c r="L2631" s="1063"/>
      <c r="M2631" s="1063"/>
      <c r="N2631" s="1063"/>
      <c r="O2631" s="1063"/>
      <c r="P2631" s="1063"/>
      <c r="Q2631" s="1063"/>
      <c r="R2631" s="1063"/>
      <c r="S2631" s="1063"/>
      <c r="T2631" s="1063"/>
      <c r="U2631" s="1063"/>
      <c r="V2631" s="1063"/>
      <c r="W2631" s="1063"/>
      <c r="X2631" s="1063"/>
      <c r="Y2631" s="1063"/>
      <c r="Z2631" s="1063"/>
      <c r="AA2631" s="1063"/>
      <c r="AB2631" s="1063"/>
      <c r="AC2631" s="1063"/>
      <c r="AD2631" s="1063"/>
      <c r="AE2631" s="1063"/>
      <c r="AF2631" s="1063"/>
      <c r="AG2631" s="1063"/>
      <c r="AH2631" s="1063"/>
      <c r="AI2631" s="1063"/>
      <c r="AJ2631" s="1063"/>
      <c r="AK2631" s="1063"/>
      <c r="AL2631" s="1063"/>
      <c r="AM2631" s="1063"/>
      <c r="AN2631" s="1063"/>
      <c r="AO2631" s="1063"/>
      <c r="AP2631" s="1063"/>
      <c r="AQ2631" s="1063"/>
      <c r="AR2631" s="1063"/>
      <c r="AS2631" s="1063"/>
      <c r="AT2631" s="1063"/>
      <c r="AU2631" s="1063"/>
      <c r="AV2631" s="1063"/>
    </row>
    <row r="2632" spans="1:48" s="1108" customFormat="1" ht="27.75" customHeight="1">
      <c r="A2632" s="1076"/>
      <c r="B2632" s="1074">
        <f>+'[18]Bldg+Dev'!S3444</f>
        <v>0</v>
      </c>
      <c r="D2632" s="1063"/>
      <c r="F2632" s="1076"/>
      <c r="G2632" s="1063"/>
      <c r="H2632" s="1063"/>
      <c r="I2632" s="1063"/>
      <c r="J2632" s="1063"/>
      <c r="K2632" s="1063"/>
      <c r="L2632" s="1063"/>
      <c r="M2632" s="1063"/>
      <c r="N2632" s="1063"/>
      <c r="O2632" s="1063"/>
      <c r="P2632" s="1063"/>
      <c r="Q2632" s="1063"/>
      <c r="R2632" s="1063"/>
      <c r="S2632" s="1063"/>
      <c r="T2632" s="1063"/>
      <c r="U2632" s="1063"/>
      <c r="V2632" s="1063"/>
      <c r="W2632" s="1063"/>
      <c r="X2632" s="1063"/>
      <c r="Y2632" s="1063"/>
      <c r="Z2632" s="1063"/>
      <c r="AA2632" s="1063"/>
      <c r="AB2632" s="1063"/>
      <c r="AC2632" s="1063"/>
      <c r="AD2632" s="1063"/>
      <c r="AE2632" s="1063"/>
      <c r="AF2632" s="1063"/>
      <c r="AG2632" s="1063"/>
      <c r="AH2632" s="1063"/>
      <c r="AI2632" s="1063"/>
      <c r="AJ2632" s="1063"/>
      <c r="AK2632" s="1063"/>
      <c r="AL2632" s="1063"/>
      <c r="AM2632" s="1063"/>
      <c r="AN2632" s="1063"/>
      <c r="AO2632" s="1063"/>
      <c r="AP2632" s="1063"/>
      <c r="AQ2632" s="1063"/>
      <c r="AR2632" s="1063"/>
      <c r="AS2632" s="1063"/>
      <c r="AT2632" s="1063"/>
      <c r="AU2632" s="1063"/>
      <c r="AV2632" s="1063"/>
    </row>
    <row r="2633" spans="1:48" s="1108" customFormat="1" ht="27.75" customHeight="1">
      <c r="A2633" s="1076"/>
      <c r="B2633" s="1074">
        <f>+'[18]Bldg+Dev'!S3445</f>
        <v>0</v>
      </c>
      <c r="D2633" s="1063"/>
      <c r="F2633" s="1076"/>
      <c r="G2633" s="1063"/>
      <c r="H2633" s="1063"/>
      <c r="I2633" s="1063"/>
      <c r="J2633" s="1063"/>
      <c r="K2633" s="1063"/>
      <c r="L2633" s="1063"/>
      <c r="M2633" s="1063"/>
      <c r="N2633" s="1063"/>
      <c r="O2633" s="1063"/>
      <c r="P2633" s="1063"/>
      <c r="Q2633" s="1063"/>
      <c r="R2633" s="1063"/>
      <c r="S2633" s="1063"/>
      <c r="T2633" s="1063"/>
      <c r="U2633" s="1063"/>
      <c r="V2633" s="1063"/>
      <c r="W2633" s="1063"/>
      <c r="X2633" s="1063"/>
      <c r="Y2633" s="1063"/>
      <c r="Z2633" s="1063"/>
      <c r="AA2633" s="1063"/>
      <c r="AB2633" s="1063"/>
      <c r="AC2633" s="1063"/>
      <c r="AD2633" s="1063"/>
      <c r="AE2633" s="1063"/>
      <c r="AF2633" s="1063"/>
      <c r="AG2633" s="1063"/>
      <c r="AH2633" s="1063"/>
      <c r="AI2633" s="1063"/>
      <c r="AJ2633" s="1063"/>
      <c r="AK2633" s="1063"/>
      <c r="AL2633" s="1063"/>
      <c r="AM2633" s="1063"/>
      <c r="AN2633" s="1063"/>
      <c r="AO2633" s="1063"/>
      <c r="AP2633" s="1063"/>
      <c r="AQ2633" s="1063"/>
      <c r="AR2633" s="1063"/>
      <c r="AS2633" s="1063"/>
      <c r="AT2633" s="1063"/>
      <c r="AU2633" s="1063"/>
      <c r="AV2633" s="1063"/>
    </row>
    <row r="2634" spans="1:48" s="1108" customFormat="1" ht="27.75" customHeight="1">
      <c r="A2634" s="1076"/>
      <c r="B2634" s="1074">
        <f>+'[18]Bldg+Dev'!S3446</f>
        <v>0</v>
      </c>
      <c r="D2634" s="1063"/>
      <c r="F2634" s="1076"/>
      <c r="G2634" s="1063"/>
      <c r="H2634" s="1063"/>
      <c r="I2634" s="1063"/>
      <c r="J2634" s="1063"/>
      <c r="K2634" s="1063"/>
      <c r="L2634" s="1063"/>
      <c r="M2634" s="1063"/>
      <c r="N2634" s="1063"/>
      <c r="O2634" s="1063"/>
      <c r="P2634" s="1063"/>
      <c r="Q2634" s="1063"/>
      <c r="R2634" s="1063"/>
      <c r="S2634" s="1063"/>
      <c r="T2634" s="1063"/>
      <c r="U2634" s="1063"/>
      <c r="V2634" s="1063"/>
      <c r="W2634" s="1063"/>
      <c r="X2634" s="1063"/>
      <c r="Y2634" s="1063"/>
      <c r="Z2634" s="1063"/>
      <c r="AA2634" s="1063"/>
      <c r="AB2634" s="1063"/>
      <c r="AC2634" s="1063"/>
      <c r="AD2634" s="1063"/>
      <c r="AE2634" s="1063"/>
      <c r="AF2634" s="1063"/>
      <c r="AG2634" s="1063"/>
      <c r="AH2634" s="1063"/>
      <c r="AI2634" s="1063"/>
      <c r="AJ2634" s="1063"/>
      <c r="AK2634" s="1063"/>
      <c r="AL2634" s="1063"/>
      <c r="AM2634" s="1063"/>
      <c r="AN2634" s="1063"/>
      <c r="AO2634" s="1063"/>
      <c r="AP2634" s="1063"/>
      <c r="AQ2634" s="1063"/>
      <c r="AR2634" s="1063"/>
      <c r="AS2634" s="1063"/>
      <c r="AT2634" s="1063"/>
      <c r="AU2634" s="1063"/>
      <c r="AV2634" s="1063"/>
    </row>
    <row r="2635" spans="1:48" s="1108" customFormat="1" ht="27.75" customHeight="1">
      <c r="A2635" s="1076"/>
      <c r="B2635" s="1074">
        <f>+'[18]Bldg+Dev'!S3447</f>
        <v>0</v>
      </c>
      <c r="D2635" s="1063"/>
      <c r="F2635" s="1076"/>
      <c r="G2635" s="1063"/>
      <c r="H2635" s="1063"/>
      <c r="I2635" s="1063"/>
      <c r="J2635" s="1063"/>
      <c r="K2635" s="1063"/>
      <c r="L2635" s="1063"/>
      <c r="M2635" s="1063"/>
      <c r="N2635" s="1063"/>
      <c r="O2635" s="1063"/>
      <c r="P2635" s="1063"/>
      <c r="Q2635" s="1063"/>
      <c r="R2635" s="1063"/>
      <c r="S2635" s="1063"/>
      <c r="T2635" s="1063"/>
      <c r="U2635" s="1063"/>
      <c r="V2635" s="1063"/>
      <c r="W2635" s="1063"/>
      <c r="X2635" s="1063"/>
      <c r="Y2635" s="1063"/>
      <c r="Z2635" s="1063"/>
      <c r="AA2635" s="1063"/>
      <c r="AB2635" s="1063"/>
      <c r="AC2635" s="1063"/>
      <c r="AD2635" s="1063"/>
      <c r="AE2635" s="1063"/>
      <c r="AF2635" s="1063"/>
      <c r="AG2635" s="1063"/>
      <c r="AH2635" s="1063"/>
      <c r="AI2635" s="1063"/>
      <c r="AJ2635" s="1063"/>
      <c r="AK2635" s="1063"/>
      <c r="AL2635" s="1063"/>
      <c r="AM2635" s="1063"/>
      <c r="AN2635" s="1063"/>
      <c r="AO2635" s="1063"/>
      <c r="AP2635" s="1063"/>
      <c r="AQ2635" s="1063"/>
      <c r="AR2635" s="1063"/>
      <c r="AS2635" s="1063"/>
      <c r="AT2635" s="1063"/>
      <c r="AU2635" s="1063"/>
      <c r="AV2635" s="1063"/>
    </row>
    <row r="2636" spans="1:48" s="1108" customFormat="1" ht="27.75" customHeight="1">
      <c r="A2636" s="1076"/>
      <c r="B2636" s="1074">
        <f>+'[18]Bldg+Dev'!S3448</f>
        <v>0</v>
      </c>
      <c r="D2636" s="1063"/>
      <c r="F2636" s="1076"/>
      <c r="G2636" s="1063"/>
      <c r="H2636" s="1063"/>
      <c r="I2636" s="1063"/>
      <c r="J2636" s="1063"/>
      <c r="K2636" s="1063"/>
      <c r="L2636" s="1063"/>
      <c r="M2636" s="1063"/>
      <c r="N2636" s="1063"/>
      <c r="O2636" s="1063"/>
      <c r="P2636" s="1063"/>
      <c r="Q2636" s="1063"/>
      <c r="R2636" s="1063"/>
      <c r="S2636" s="1063"/>
      <c r="T2636" s="1063"/>
      <c r="U2636" s="1063"/>
      <c r="V2636" s="1063"/>
      <c r="W2636" s="1063"/>
      <c r="X2636" s="1063"/>
      <c r="Y2636" s="1063"/>
      <c r="Z2636" s="1063"/>
      <c r="AA2636" s="1063"/>
      <c r="AB2636" s="1063"/>
      <c r="AC2636" s="1063"/>
      <c r="AD2636" s="1063"/>
      <c r="AE2636" s="1063"/>
      <c r="AF2636" s="1063"/>
      <c r="AG2636" s="1063"/>
      <c r="AH2636" s="1063"/>
      <c r="AI2636" s="1063"/>
      <c r="AJ2636" s="1063"/>
      <c r="AK2636" s="1063"/>
      <c r="AL2636" s="1063"/>
      <c r="AM2636" s="1063"/>
      <c r="AN2636" s="1063"/>
      <c r="AO2636" s="1063"/>
      <c r="AP2636" s="1063"/>
      <c r="AQ2636" s="1063"/>
      <c r="AR2636" s="1063"/>
      <c r="AS2636" s="1063"/>
      <c r="AT2636" s="1063"/>
      <c r="AU2636" s="1063"/>
      <c r="AV2636" s="1063"/>
    </row>
    <row r="2637" spans="1:48" s="1108" customFormat="1" ht="27.75" customHeight="1">
      <c r="A2637" s="1076"/>
      <c r="B2637" s="1074">
        <f>+'[18]Bldg+Dev'!S3449</f>
        <v>0</v>
      </c>
      <c r="D2637" s="1063"/>
      <c r="F2637" s="1076"/>
      <c r="G2637" s="1063"/>
      <c r="H2637" s="1063"/>
      <c r="I2637" s="1063"/>
      <c r="J2637" s="1063"/>
      <c r="K2637" s="1063"/>
      <c r="L2637" s="1063"/>
      <c r="M2637" s="1063"/>
      <c r="N2637" s="1063"/>
      <c r="O2637" s="1063"/>
      <c r="P2637" s="1063"/>
      <c r="Q2637" s="1063"/>
      <c r="R2637" s="1063"/>
      <c r="S2637" s="1063"/>
      <c r="T2637" s="1063"/>
      <c r="U2637" s="1063"/>
      <c r="V2637" s="1063"/>
      <c r="W2637" s="1063"/>
      <c r="X2637" s="1063"/>
      <c r="Y2637" s="1063"/>
      <c r="Z2637" s="1063"/>
      <c r="AA2637" s="1063"/>
      <c r="AB2637" s="1063"/>
      <c r="AC2637" s="1063"/>
      <c r="AD2637" s="1063"/>
      <c r="AE2637" s="1063"/>
      <c r="AF2637" s="1063"/>
      <c r="AG2637" s="1063"/>
      <c r="AH2637" s="1063"/>
      <c r="AI2637" s="1063"/>
      <c r="AJ2637" s="1063"/>
      <c r="AK2637" s="1063"/>
      <c r="AL2637" s="1063"/>
      <c r="AM2637" s="1063"/>
      <c r="AN2637" s="1063"/>
      <c r="AO2637" s="1063"/>
      <c r="AP2637" s="1063"/>
      <c r="AQ2637" s="1063"/>
      <c r="AR2637" s="1063"/>
      <c r="AS2637" s="1063"/>
      <c r="AT2637" s="1063"/>
      <c r="AU2637" s="1063"/>
      <c r="AV2637" s="1063"/>
    </row>
    <row r="2638" spans="1:48" s="1108" customFormat="1" ht="27.75" customHeight="1">
      <c r="A2638" s="1076"/>
      <c r="B2638" s="1074">
        <f>+'[18]Bldg+Dev'!S3450</f>
        <v>0</v>
      </c>
      <c r="D2638" s="1063"/>
      <c r="F2638" s="1076"/>
      <c r="G2638" s="1063"/>
      <c r="H2638" s="1063"/>
      <c r="I2638" s="1063"/>
      <c r="J2638" s="1063"/>
      <c r="K2638" s="1063"/>
      <c r="L2638" s="1063"/>
      <c r="M2638" s="1063"/>
      <c r="N2638" s="1063"/>
      <c r="O2638" s="1063"/>
      <c r="P2638" s="1063"/>
      <c r="Q2638" s="1063"/>
      <c r="R2638" s="1063"/>
      <c r="S2638" s="1063"/>
      <c r="T2638" s="1063"/>
      <c r="U2638" s="1063"/>
      <c r="V2638" s="1063"/>
      <c r="W2638" s="1063"/>
      <c r="X2638" s="1063"/>
      <c r="Y2638" s="1063"/>
      <c r="Z2638" s="1063"/>
      <c r="AA2638" s="1063"/>
      <c r="AB2638" s="1063"/>
      <c r="AC2638" s="1063"/>
      <c r="AD2638" s="1063"/>
      <c r="AE2638" s="1063"/>
      <c r="AF2638" s="1063"/>
      <c r="AG2638" s="1063"/>
      <c r="AH2638" s="1063"/>
      <c r="AI2638" s="1063"/>
      <c r="AJ2638" s="1063"/>
      <c r="AK2638" s="1063"/>
      <c r="AL2638" s="1063"/>
      <c r="AM2638" s="1063"/>
      <c r="AN2638" s="1063"/>
      <c r="AO2638" s="1063"/>
      <c r="AP2638" s="1063"/>
      <c r="AQ2638" s="1063"/>
      <c r="AR2638" s="1063"/>
      <c r="AS2638" s="1063"/>
      <c r="AT2638" s="1063"/>
      <c r="AU2638" s="1063"/>
      <c r="AV2638" s="1063"/>
    </row>
    <row r="2639" spans="1:48" s="1108" customFormat="1" ht="27.75" customHeight="1">
      <c r="A2639" s="1076"/>
      <c r="B2639" s="1074">
        <f>+'[18]Bldg+Dev'!S3451</f>
        <v>0</v>
      </c>
      <c r="D2639" s="1063"/>
      <c r="F2639" s="1076"/>
      <c r="G2639" s="1063"/>
      <c r="H2639" s="1063"/>
      <c r="I2639" s="1063"/>
      <c r="J2639" s="1063"/>
      <c r="K2639" s="1063"/>
      <c r="L2639" s="1063"/>
      <c r="M2639" s="1063"/>
      <c r="N2639" s="1063"/>
      <c r="O2639" s="1063"/>
      <c r="P2639" s="1063"/>
      <c r="Q2639" s="1063"/>
      <c r="R2639" s="1063"/>
      <c r="S2639" s="1063"/>
      <c r="T2639" s="1063"/>
      <c r="U2639" s="1063"/>
      <c r="V2639" s="1063"/>
      <c r="W2639" s="1063"/>
      <c r="X2639" s="1063"/>
      <c r="Y2639" s="1063"/>
      <c r="Z2639" s="1063"/>
      <c r="AA2639" s="1063"/>
      <c r="AB2639" s="1063"/>
      <c r="AC2639" s="1063"/>
      <c r="AD2639" s="1063"/>
      <c r="AE2639" s="1063"/>
      <c r="AF2639" s="1063"/>
      <c r="AG2639" s="1063"/>
      <c r="AH2639" s="1063"/>
      <c r="AI2639" s="1063"/>
      <c r="AJ2639" s="1063"/>
      <c r="AK2639" s="1063"/>
      <c r="AL2639" s="1063"/>
      <c r="AM2639" s="1063"/>
      <c r="AN2639" s="1063"/>
      <c r="AO2639" s="1063"/>
      <c r="AP2639" s="1063"/>
      <c r="AQ2639" s="1063"/>
      <c r="AR2639" s="1063"/>
      <c r="AS2639" s="1063"/>
      <c r="AT2639" s="1063"/>
      <c r="AU2639" s="1063"/>
      <c r="AV2639" s="1063"/>
    </row>
    <row r="2640" spans="1:48" s="1108" customFormat="1" ht="27.75" customHeight="1">
      <c r="A2640" s="1076"/>
      <c r="B2640" s="1074">
        <f>+'[18]Bldg+Dev'!S3452</f>
        <v>0</v>
      </c>
      <c r="D2640" s="1063"/>
      <c r="F2640" s="1076"/>
      <c r="G2640" s="1063"/>
      <c r="H2640" s="1063"/>
      <c r="I2640" s="1063"/>
      <c r="J2640" s="1063"/>
      <c r="K2640" s="1063"/>
      <c r="L2640" s="1063"/>
      <c r="M2640" s="1063"/>
      <c r="N2640" s="1063"/>
      <c r="O2640" s="1063"/>
      <c r="P2640" s="1063"/>
      <c r="Q2640" s="1063"/>
      <c r="R2640" s="1063"/>
      <c r="S2640" s="1063"/>
      <c r="T2640" s="1063"/>
      <c r="U2640" s="1063"/>
      <c r="V2640" s="1063"/>
      <c r="W2640" s="1063"/>
      <c r="X2640" s="1063"/>
      <c r="Y2640" s="1063"/>
      <c r="Z2640" s="1063"/>
      <c r="AA2640" s="1063"/>
      <c r="AB2640" s="1063"/>
      <c r="AC2640" s="1063"/>
      <c r="AD2640" s="1063"/>
      <c r="AE2640" s="1063"/>
      <c r="AF2640" s="1063"/>
      <c r="AG2640" s="1063"/>
      <c r="AH2640" s="1063"/>
      <c r="AI2640" s="1063"/>
      <c r="AJ2640" s="1063"/>
      <c r="AK2640" s="1063"/>
      <c r="AL2640" s="1063"/>
      <c r="AM2640" s="1063"/>
      <c r="AN2640" s="1063"/>
      <c r="AO2640" s="1063"/>
      <c r="AP2640" s="1063"/>
      <c r="AQ2640" s="1063"/>
      <c r="AR2640" s="1063"/>
      <c r="AS2640" s="1063"/>
      <c r="AT2640" s="1063"/>
      <c r="AU2640" s="1063"/>
      <c r="AV2640" s="1063"/>
    </row>
    <row r="2641" spans="1:48" s="1108" customFormat="1" ht="27.75" customHeight="1">
      <c r="A2641" s="1076"/>
      <c r="B2641" s="1074">
        <f>+'[18]Bldg+Dev'!S3453</f>
        <v>0</v>
      </c>
      <c r="D2641" s="1063"/>
      <c r="F2641" s="1076"/>
      <c r="G2641" s="1063"/>
      <c r="H2641" s="1063"/>
      <c r="I2641" s="1063"/>
      <c r="J2641" s="1063"/>
      <c r="K2641" s="1063"/>
      <c r="L2641" s="1063"/>
      <c r="M2641" s="1063"/>
      <c r="N2641" s="1063"/>
      <c r="O2641" s="1063"/>
      <c r="P2641" s="1063"/>
      <c r="Q2641" s="1063"/>
      <c r="R2641" s="1063"/>
      <c r="S2641" s="1063"/>
      <c r="T2641" s="1063"/>
      <c r="U2641" s="1063"/>
      <c r="V2641" s="1063"/>
      <c r="W2641" s="1063"/>
      <c r="X2641" s="1063"/>
      <c r="Y2641" s="1063"/>
      <c r="Z2641" s="1063"/>
      <c r="AA2641" s="1063"/>
      <c r="AB2641" s="1063"/>
      <c r="AC2641" s="1063"/>
      <c r="AD2641" s="1063"/>
      <c r="AE2641" s="1063"/>
      <c r="AF2641" s="1063"/>
      <c r="AG2641" s="1063"/>
      <c r="AH2641" s="1063"/>
      <c r="AI2641" s="1063"/>
      <c r="AJ2641" s="1063"/>
      <c r="AK2641" s="1063"/>
      <c r="AL2641" s="1063"/>
      <c r="AM2641" s="1063"/>
      <c r="AN2641" s="1063"/>
      <c r="AO2641" s="1063"/>
      <c r="AP2641" s="1063"/>
      <c r="AQ2641" s="1063"/>
      <c r="AR2641" s="1063"/>
      <c r="AS2641" s="1063"/>
      <c r="AT2641" s="1063"/>
      <c r="AU2641" s="1063"/>
      <c r="AV2641" s="1063"/>
    </row>
    <row r="2642" spans="1:48" s="1108" customFormat="1" ht="27.75" customHeight="1">
      <c r="A2642" s="1076"/>
      <c r="B2642" s="1074">
        <f>+'[18]Bldg+Dev'!S3454</f>
        <v>0</v>
      </c>
      <c r="D2642" s="1063"/>
      <c r="F2642" s="1076"/>
      <c r="G2642" s="1063"/>
      <c r="H2642" s="1063"/>
      <c r="I2642" s="1063"/>
      <c r="J2642" s="1063"/>
      <c r="K2642" s="1063"/>
      <c r="L2642" s="1063"/>
      <c r="M2642" s="1063"/>
      <c r="N2642" s="1063"/>
      <c r="O2642" s="1063"/>
      <c r="P2642" s="1063"/>
      <c r="Q2642" s="1063"/>
      <c r="R2642" s="1063"/>
      <c r="S2642" s="1063"/>
      <c r="T2642" s="1063"/>
      <c r="U2642" s="1063"/>
      <c r="V2642" s="1063"/>
      <c r="W2642" s="1063"/>
      <c r="X2642" s="1063"/>
      <c r="Y2642" s="1063"/>
      <c r="Z2642" s="1063"/>
      <c r="AA2642" s="1063"/>
      <c r="AB2642" s="1063"/>
      <c r="AC2642" s="1063"/>
      <c r="AD2642" s="1063"/>
      <c r="AE2642" s="1063"/>
      <c r="AF2642" s="1063"/>
      <c r="AG2642" s="1063"/>
      <c r="AH2642" s="1063"/>
      <c r="AI2642" s="1063"/>
      <c r="AJ2642" s="1063"/>
      <c r="AK2642" s="1063"/>
      <c r="AL2642" s="1063"/>
      <c r="AM2642" s="1063"/>
      <c r="AN2642" s="1063"/>
      <c r="AO2642" s="1063"/>
      <c r="AP2642" s="1063"/>
      <c r="AQ2642" s="1063"/>
      <c r="AR2642" s="1063"/>
      <c r="AS2642" s="1063"/>
      <c r="AT2642" s="1063"/>
      <c r="AU2642" s="1063"/>
      <c r="AV2642" s="1063"/>
    </row>
    <row r="2643" spans="1:48" s="1108" customFormat="1" ht="27.75" customHeight="1">
      <c r="A2643" s="1076"/>
      <c r="B2643" s="1074">
        <f>+'[18]Bldg+Dev'!S3455</f>
        <v>0</v>
      </c>
      <c r="D2643" s="1063"/>
      <c r="F2643" s="1076"/>
      <c r="G2643" s="1063"/>
      <c r="H2643" s="1063"/>
      <c r="I2643" s="1063"/>
      <c r="J2643" s="1063"/>
      <c r="K2643" s="1063"/>
      <c r="L2643" s="1063"/>
      <c r="M2643" s="1063"/>
      <c r="N2643" s="1063"/>
      <c r="O2643" s="1063"/>
      <c r="P2643" s="1063"/>
      <c r="Q2643" s="1063"/>
      <c r="R2643" s="1063"/>
      <c r="S2643" s="1063"/>
      <c r="T2643" s="1063"/>
      <c r="U2643" s="1063"/>
      <c r="V2643" s="1063"/>
      <c r="W2643" s="1063"/>
      <c r="X2643" s="1063"/>
      <c r="Y2643" s="1063"/>
      <c r="Z2643" s="1063"/>
      <c r="AA2643" s="1063"/>
      <c r="AB2643" s="1063"/>
      <c r="AC2643" s="1063"/>
      <c r="AD2643" s="1063"/>
      <c r="AE2643" s="1063"/>
      <c r="AF2643" s="1063"/>
      <c r="AG2643" s="1063"/>
      <c r="AH2643" s="1063"/>
      <c r="AI2643" s="1063"/>
      <c r="AJ2643" s="1063"/>
      <c r="AK2643" s="1063"/>
      <c r="AL2643" s="1063"/>
      <c r="AM2643" s="1063"/>
      <c r="AN2643" s="1063"/>
      <c r="AO2643" s="1063"/>
      <c r="AP2643" s="1063"/>
      <c r="AQ2643" s="1063"/>
      <c r="AR2643" s="1063"/>
      <c r="AS2643" s="1063"/>
      <c r="AT2643" s="1063"/>
      <c r="AU2643" s="1063"/>
      <c r="AV2643" s="1063"/>
    </row>
    <row r="2644" spans="1:48" s="1108" customFormat="1" ht="27.75" customHeight="1">
      <c r="A2644" s="1076"/>
      <c r="B2644" s="1074">
        <f>+'[18]Bldg+Dev'!S3456</f>
        <v>0</v>
      </c>
      <c r="D2644" s="1063"/>
      <c r="F2644" s="1076"/>
      <c r="G2644" s="1063"/>
      <c r="H2644" s="1063"/>
      <c r="I2644" s="1063"/>
      <c r="J2644" s="1063"/>
      <c r="K2644" s="1063"/>
      <c r="L2644" s="1063"/>
      <c r="M2644" s="1063"/>
      <c r="N2644" s="1063"/>
      <c r="O2644" s="1063"/>
      <c r="P2644" s="1063"/>
      <c r="Q2644" s="1063"/>
      <c r="R2644" s="1063"/>
      <c r="S2644" s="1063"/>
      <c r="T2644" s="1063"/>
      <c r="U2644" s="1063"/>
      <c r="V2644" s="1063"/>
      <c r="W2644" s="1063"/>
      <c r="X2644" s="1063"/>
      <c r="Y2644" s="1063"/>
      <c r="Z2644" s="1063"/>
      <c r="AA2644" s="1063"/>
      <c r="AB2644" s="1063"/>
      <c r="AC2644" s="1063"/>
      <c r="AD2644" s="1063"/>
      <c r="AE2644" s="1063"/>
      <c r="AF2644" s="1063"/>
      <c r="AG2644" s="1063"/>
      <c r="AH2644" s="1063"/>
      <c r="AI2644" s="1063"/>
      <c r="AJ2644" s="1063"/>
      <c r="AK2644" s="1063"/>
      <c r="AL2644" s="1063"/>
      <c r="AM2644" s="1063"/>
      <c r="AN2644" s="1063"/>
      <c r="AO2644" s="1063"/>
      <c r="AP2644" s="1063"/>
      <c r="AQ2644" s="1063"/>
      <c r="AR2644" s="1063"/>
      <c r="AS2644" s="1063"/>
      <c r="AT2644" s="1063"/>
      <c r="AU2644" s="1063"/>
      <c r="AV2644" s="1063"/>
    </row>
    <row r="2645" spans="1:48" s="1108" customFormat="1" ht="27.75" customHeight="1">
      <c r="A2645" s="1076"/>
      <c r="B2645" s="1074">
        <f>+'[18]Bldg+Dev'!S3457</f>
        <v>0</v>
      </c>
      <c r="D2645" s="1063"/>
      <c r="F2645" s="1076"/>
      <c r="G2645" s="1063"/>
      <c r="H2645" s="1063"/>
      <c r="I2645" s="1063"/>
      <c r="J2645" s="1063"/>
      <c r="K2645" s="1063"/>
      <c r="L2645" s="1063"/>
      <c r="M2645" s="1063"/>
      <c r="N2645" s="1063"/>
      <c r="O2645" s="1063"/>
      <c r="P2645" s="1063"/>
      <c r="Q2645" s="1063"/>
      <c r="R2645" s="1063"/>
      <c r="S2645" s="1063"/>
      <c r="T2645" s="1063"/>
      <c r="U2645" s="1063"/>
      <c r="V2645" s="1063"/>
      <c r="W2645" s="1063"/>
      <c r="X2645" s="1063"/>
      <c r="Y2645" s="1063"/>
      <c r="Z2645" s="1063"/>
      <c r="AA2645" s="1063"/>
      <c r="AB2645" s="1063"/>
      <c r="AC2645" s="1063"/>
      <c r="AD2645" s="1063"/>
      <c r="AE2645" s="1063"/>
      <c r="AF2645" s="1063"/>
      <c r="AG2645" s="1063"/>
      <c r="AH2645" s="1063"/>
      <c r="AI2645" s="1063"/>
      <c r="AJ2645" s="1063"/>
      <c r="AK2645" s="1063"/>
      <c r="AL2645" s="1063"/>
      <c r="AM2645" s="1063"/>
      <c r="AN2645" s="1063"/>
      <c r="AO2645" s="1063"/>
      <c r="AP2645" s="1063"/>
      <c r="AQ2645" s="1063"/>
      <c r="AR2645" s="1063"/>
      <c r="AS2645" s="1063"/>
      <c r="AT2645" s="1063"/>
      <c r="AU2645" s="1063"/>
      <c r="AV2645" s="1063"/>
    </row>
    <row r="2646" spans="1:48" s="1108" customFormat="1" ht="27.75" customHeight="1">
      <c r="A2646" s="1076"/>
      <c r="B2646" s="1074">
        <f>+'[18]Bldg+Dev'!S3458</f>
        <v>0</v>
      </c>
      <c r="D2646" s="1063"/>
      <c r="F2646" s="1076"/>
      <c r="G2646" s="1063"/>
      <c r="H2646" s="1063"/>
      <c r="I2646" s="1063"/>
      <c r="J2646" s="1063"/>
      <c r="K2646" s="1063"/>
      <c r="L2646" s="1063"/>
      <c r="M2646" s="1063"/>
      <c r="N2646" s="1063"/>
      <c r="O2646" s="1063"/>
      <c r="P2646" s="1063"/>
      <c r="Q2646" s="1063"/>
      <c r="R2646" s="1063"/>
      <c r="S2646" s="1063"/>
      <c r="T2646" s="1063"/>
      <c r="U2646" s="1063"/>
      <c r="V2646" s="1063"/>
      <c r="W2646" s="1063"/>
      <c r="X2646" s="1063"/>
      <c r="Y2646" s="1063"/>
      <c r="Z2646" s="1063"/>
      <c r="AA2646" s="1063"/>
      <c r="AB2646" s="1063"/>
      <c r="AC2646" s="1063"/>
      <c r="AD2646" s="1063"/>
      <c r="AE2646" s="1063"/>
      <c r="AF2646" s="1063"/>
      <c r="AG2646" s="1063"/>
      <c r="AH2646" s="1063"/>
      <c r="AI2646" s="1063"/>
      <c r="AJ2646" s="1063"/>
      <c r="AK2646" s="1063"/>
      <c r="AL2646" s="1063"/>
      <c r="AM2646" s="1063"/>
      <c r="AN2646" s="1063"/>
      <c r="AO2646" s="1063"/>
      <c r="AP2646" s="1063"/>
      <c r="AQ2646" s="1063"/>
      <c r="AR2646" s="1063"/>
      <c r="AS2646" s="1063"/>
      <c r="AT2646" s="1063"/>
      <c r="AU2646" s="1063"/>
      <c r="AV2646" s="1063"/>
    </row>
    <row r="2647" spans="1:48" s="1108" customFormat="1" ht="27.75" customHeight="1">
      <c r="A2647" s="1076"/>
      <c r="B2647" s="1074">
        <f>+'[18]Bldg+Dev'!S3459</f>
        <v>0</v>
      </c>
      <c r="D2647" s="1063"/>
      <c r="F2647" s="1076"/>
      <c r="G2647" s="1063"/>
      <c r="H2647" s="1063"/>
      <c r="I2647" s="1063"/>
      <c r="J2647" s="1063"/>
      <c r="K2647" s="1063"/>
      <c r="L2647" s="1063"/>
      <c r="M2647" s="1063"/>
      <c r="N2647" s="1063"/>
      <c r="O2647" s="1063"/>
      <c r="P2647" s="1063"/>
      <c r="Q2647" s="1063"/>
      <c r="R2647" s="1063"/>
      <c r="S2647" s="1063"/>
      <c r="T2647" s="1063"/>
      <c r="U2647" s="1063"/>
      <c r="V2647" s="1063"/>
      <c r="W2647" s="1063"/>
      <c r="X2647" s="1063"/>
      <c r="Y2647" s="1063"/>
      <c r="Z2647" s="1063"/>
      <c r="AA2647" s="1063"/>
      <c r="AB2647" s="1063"/>
      <c r="AC2647" s="1063"/>
      <c r="AD2647" s="1063"/>
      <c r="AE2647" s="1063"/>
      <c r="AF2647" s="1063"/>
      <c r="AG2647" s="1063"/>
      <c r="AH2647" s="1063"/>
      <c r="AI2647" s="1063"/>
      <c r="AJ2647" s="1063"/>
      <c r="AK2647" s="1063"/>
      <c r="AL2647" s="1063"/>
      <c r="AM2647" s="1063"/>
      <c r="AN2647" s="1063"/>
      <c r="AO2647" s="1063"/>
      <c r="AP2647" s="1063"/>
      <c r="AQ2647" s="1063"/>
      <c r="AR2647" s="1063"/>
      <c r="AS2647" s="1063"/>
      <c r="AT2647" s="1063"/>
      <c r="AU2647" s="1063"/>
      <c r="AV2647" s="1063"/>
    </row>
    <row r="2648" spans="1:48" s="1108" customFormat="1" ht="27.75" customHeight="1">
      <c r="A2648" s="1076"/>
      <c r="B2648" s="1074">
        <f>+'[18]Bldg+Dev'!S3460</f>
        <v>0</v>
      </c>
      <c r="D2648" s="1063"/>
      <c r="F2648" s="1076"/>
      <c r="G2648" s="1063"/>
      <c r="H2648" s="1063"/>
      <c r="I2648" s="1063"/>
      <c r="J2648" s="1063"/>
      <c r="K2648" s="1063"/>
      <c r="L2648" s="1063"/>
      <c r="M2648" s="1063"/>
      <c r="N2648" s="1063"/>
      <c r="O2648" s="1063"/>
      <c r="P2648" s="1063"/>
      <c r="Q2648" s="1063"/>
      <c r="R2648" s="1063"/>
      <c r="S2648" s="1063"/>
      <c r="T2648" s="1063"/>
      <c r="U2648" s="1063"/>
      <c r="V2648" s="1063"/>
      <c r="W2648" s="1063"/>
      <c r="X2648" s="1063"/>
      <c r="Y2648" s="1063"/>
      <c r="Z2648" s="1063"/>
      <c r="AA2648" s="1063"/>
      <c r="AB2648" s="1063"/>
      <c r="AC2648" s="1063"/>
      <c r="AD2648" s="1063"/>
      <c r="AE2648" s="1063"/>
      <c r="AF2648" s="1063"/>
      <c r="AG2648" s="1063"/>
      <c r="AH2648" s="1063"/>
      <c r="AI2648" s="1063"/>
      <c r="AJ2648" s="1063"/>
      <c r="AK2648" s="1063"/>
      <c r="AL2648" s="1063"/>
      <c r="AM2648" s="1063"/>
      <c r="AN2648" s="1063"/>
      <c r="AO2648" s="1063"/>
      <c r="AP2648" s="1063"/>
      <c r="AQ2648" s="1063"/>
      <c r="AR2648" s="1063"/>
      <c r="AS2648" s="1063"/>
      <c r="AT2648" s="1063"/>
      <c r="AU2648" s="1063"/>
      <c r="AV2648" s="1063"/>
    </row>
    <row r="2649" spans="1:48" s="1108" customFormat="1" ht="27.75" customHeight="1">
      <c r="A2649" s="1076"/>
      <c r="B2649" s="1074">
        <f>+'[18]Bldg+Dev'!S3461</f>
        <v>0</v>
      </c>
      <c r="D2649" s="1063"/>
      <c r="F2649" s="1076"/>
      <c r="G2649" s="1063"/>
      <c r="H2649" s="1063"/>
      <c r="I2649" s="1063"/>
      <c r="J2649" s="1063"/>
      <c r="K2649" s="1063"/>
      <c r="L2649" s="1063"/>
      <c r="M2649" s="1063"/>
      <c r="N2649" s="1063"/>
      <c r="O2649" s="1063"/>
      <c r="P2649" s="1063"/>
      <c r="Q2649" s="1063"/>
      <c r="R2649" s="1063"/>
      <c r="S2649" s="1063"/>
      <c r="T2649" s="1063"/>
      <c r="U2649" s="1063"/>
      <c r="V2649" s="1063"/>
      <c r="W2649" s="1063"/>
      <c r="X2649" s="1063"/>
      <c r="Y2649" s="1063"/>
      <c r="Z2649" s="1063"/>
      <c r="AA2649" s="1063"/>
      <c r="AB2649" s="1063"/>
      <c r="AC2649" s="1063"/>
      <c r="AD2649" s="1063"/>
      <c r="AE2649" s="1063"/>
      <c r="AF2649" s="1063"/>
      <c r="AG2649" s="1063"/>
      <c r="AH2649" s="1063"/>
      <c r="AI2649" s="1063"/>
      <c r="AJ2649" s="1063"/>
      <c r="AK2649" s="1063"/>
      <c r="AL2649" s="1063"/>
      <c r="AM2649" s="1063"/>
      <c r="AN2649" s="1063"/>
      <c r="AO2649" s="1063"/>
      <c r="AP2649" s="1063"/>
      <c r="AQ2649" s="1063"/>
      <c r="AR2649" s="1063"/>
      <c r="AS2649" s="1063"/>
      <c r="AT2649" s="1063"/>
      <c r="AU2649" s="1063"/>
      <c r="AV2649" s="1063"/>
    </row>
    <row r="2650" spans="1:48" s="1108" customFormat="1" ht="27.75" customHeight="1">
      <c r="A2650" s="1076"/>
      <c r="B2650" s="1074">
        <f>+'[18]Bldg+Dev'!S3462</f>
        <v>0</v>
      </c>
      <c r="D2650" s="1063"/>
      <c r="F2650" s="1076"/>
      <c r="G2650" s="1063"/>
      <c r="H2650" s="1063"/>
      <c r="I2650" s="1063"/>
      <c r="J2650" s="1063"/>
      <c r="K2650" s="1063"/>
      <c r="L2650" s="1063"/>
      <c r="M2650" s="1063"/>
      <c r="N2650" s="1063"/>
      <c r="O2650" s="1063"/>
      <c r="P2650" s="1063"/>
      <c r="Q2650" s="1063"/>
      <c r="R2650" s="1063"/>
      <c r="S2650" s="1063"/>
      <c r="T2650" s="1063"/>
      <c r="U2650" s="1063"/>
      <c r="V2650" s="1063"/>
      <c r="W2650" s="1063"/>
      <c r="X2650" s="1063"/>
      <c r="Y2650" s="1063"/>
      <c r="Z2650" s="1063"/>
      <c r="AA2650" s="1063"/>
      <c r="AB2650" s="1063"/>
      <c r="AC2650" s="1063"/>
      <c r="AD2650" s="1063"/>
      <c r="AE2650" s="1063"/>
      <c r="AF2650" s="1063"/>
      <c r="AG2650" s="1063"/>
      <c r="AH2650" s="1063"/>
      <c r="AI2650" s="1063"/>
      <c r="AJ2650" s="1063"/>
      <c r="AK2650" s="1063"/>
      <c r="AL2650" s="1063"/>
      <c r="AM2650" s="1063"/>
      <c r="AN2650" s="1063"/>
      <c r="AO2650" s="1063"/>
      <c r="AP2650" s="1063"/>
      <c r="AQ2650" s="1063"/>
      <c r="AR2650" s="1063"/>
      <c r="AS2650" s="1063"/>
      <c r="AT2650" s="1063"/>
      <c r="AU2650" s="1063"/>
      <c r="AV2650" s="1063"/>
    </row>
    <row r="2651" spans="1:48" s="1108" customFormat="1" ht="27.75" customHeight="1">
      <c r="A2651" s="1076"/>
      <c r="B2651" s="1074">
        <f>+'[18]Bldg+Dev'!S3463</f>
        <v>0</v>
      </c>
      <c r="D2651" s="1063"/>
      <c r="F2651" s="1076"/>
      <c r="G2651" s="1063"/>
      <c r="H2651" s="1063"/>
      <c r="I2651" s="1063"/>
      <c r="J2651" s="1063"/>
      <c r="K2651" s="1063"/>
      <c r="L2651" s="1063"/>
      <c r="M2651" s="1063"/>
      <c r="N2651" s="1063"/>
      <c r="O2651" s="1063"/>
      <c r="P2651" s="1063"/>
      <c r="Q2651" s="1063"/>
      <c r="R2651" s="1063"/>
      <c r="S2651" s="1063"/>
      <c r="T2651" s="1063"/>
      <c r="U2651" s="1063"/>
      <c r="V2651" s="1063"/>
      <c r="W2651" s="1063"/>
      <c r="X2651" s="1063"/>
      <c r="Y2651" s="1063"/>
      <c r="Z2651" s="1063"/>
      <c r="AA2651" s="1063"/>
      <c r="AB2651" s="1063"/>
      <c r="AC2651" s="1063"/>
      <c r="AD2651" s="1063"/>
      <c r="AE2651" s="1063"/>
      <c r="AF2651" s="1063"/>
      <c r="AG2651" s="1063"/>
      <c r="AH2651" s="1063"/>
      <c r="AI2651" s="1063"/>
      <c r="AJ2651" s="1063"/>
      <c r="AK2651" s="1063"/>
      <c r="AL2651" s="1063"/>
      <c r="AM2651" s="1063"/>
      <c r="AN2651" s="1063"/>
      <c r="AO2651" s="1063"/>
      <c r="AP2651" s="1063"/>
      <c r="AQ2651" s="1063"/>
      <c r="AR2651" s="1063"/>
      <c r="AS2651" s="1063"/>
      <c r="AT2651" s="1063"/>
      <c r="AU2651" s="1063"/>
      <c r="AV2651" s="1063"/>
    </row>
    <row r="2652" spans="1:48" s="1108" customFormat="1" ht="27.75" customHeight="1">
      <c r="A2652" s="1076"/>
      <c r="B2652" s="1074">
        <f>+'[18]Bldg+Dev'!S3464</f>
        <v>0</v>
      </c>
      <c r="D2652" s="1063"/>
      <c r="F2652" s="1076"/>
      <c r="G2652" s="1063"/>
      <c r="H2652" s="1063"/>
      <c r="I2652" s="1063"/>
      <c r="J2652" s="1063"/>
      <c r="K2652" s="1063"/>
      <c r="L2652" s="1063"/>
      <c r="M2652" s="1063"/>
      <c r="N2652" s="1063"/>
      <c r="O2652" s="1063"/>
      <c r="P2652" s="1063"/>
      <c r="Q2652" s="1063"/>
      <c r="R2652" s="1063"/>
      <c r="S2652" s="1063"/>
      <c r="T2652" s="1063"/>
      <c r="U2652" s="1063"/>
      <c r="V2652" s="1063"/>
      <c r="W2652" s="1063"/>
      <c r="X2652" s="1063"/>
      <c r="Y2652" s="1063"/>
      <c r="Z2652" s="1063"/>
      <c r="AA2652" s="1063"/>
      <c r="AB2652" s="1063"/>
      <c r="AC2652" s="1063"/>
      <c r="AD2652" s="1063"/>
      <c r="AE2652" s="1063"/>
      <c r="AF2652" s="1063"/>
      <c r="AG2652" s="1063"/>
      <c r="AH2652" s="1063"/>
      <c r="AI2652" s="1063"/>
      <c r="AJ2652" s="1063"/>
      <c r="AK2652" s="1063"/>
      <c r="AL2652" s="1063"/>
      <c r="AM2652" s="1063"/>
      <c r="AN2652" s="1063"/>
      <c r="AO2652" s="1063"/>
      <c r="AP2652" s="1063"/>
      <c r="AQ2652" s="1063"/>
      <c r="AR2652" s="1063"/>
      <c r="AS2652" s="1063"/>
      <c r="AT2652" s="1063"/>
      <c r="AU2652" s="1063"/>
      <c r="AV2652" s="1063"/>
    </row>
    <row r="2653" spans="1:48" s="1108" customFormat="1" ht="27.75" customHeight="1">
      <c r="A2653" s="1076"/>
      <c r="B2653" s="1074">
        <f>+'[18]Bldg+Dev'!S3465</f>
        <v>0</v>
      </c>
      <c r="D2653" s="1063"/>
      <c r="F2653" s="1076"/>
      <c r="G2653" s="1063"/>
      <c r="H2653" s="1063"/>
      <c r="I2653" s="1063"/>
      <c r="J2653" s="1063"/>
      <c r="K2653" s="1063"/>
      <c r="L2653" s="1063"/>
      <c r="M2653" s="1063"/>
      <c r="N2653" s="1063"/>
      <c r="O2653" s="1063"/>
      <c r="P2653" s="1063"/>
      <c r="Q2653" s="1063"/>
      <c r="R2653" s="1063"/>
      <c r="S2653" s="1063"/>
      <c r="T2653" s="1063"/>
      <c r="U2653" s="1063"/>
      <c r="V2653" s="1063"/>
      <c r="W2653" s="1063"/>
      <c r="X2653" s="1063"/>
      <c r="Y2653" s="1063"/>
      <c r="Z2653" s="1063"/>
      <c r="AA2653" s="1063"/>
      <c r="AB2653" s="1063"/>
      <c r="AC2653" s="1063"/>
      <c r="AD2653" s="1063"/>
      <c r="AE2653" s="1063"/>
      <c r="AF2653" s="1063"/>
      <c r="AG2653" s="1063"/>
      <c r="AH2653" s="1063"/>
      <c r="AI2653" s="1063"/>
      <c r="AJ2653" s="1063"/>
      <c r="AK2653" s="1063"/>
      <c r="AL2653" s="1063"/>
      <c r="AM2653" s="1063"/>
      <c r="AN2653" s="1063"/>
      <c r="AO2653" s="1063"/>
      <c r="AP2653" s="1063"/>
      <c r="AQ2653" s="1063"/>
      <c r="AR2653" s="1063"/>
      <c r="AS2653" s="1063"/>
      <c r="AT2653" s="1063"/>
      <c r="AU2653" s="1063"/>
      <c r="AV2653" s="1063"/>
    </row>
    <row r="2654" spans="1:48" s="1108" customFormat="1" ht="27.75" customHeight="1">
      <c r="A2654" s="1076"/>
      <c r="B2654" s="1074">
        <f>+'[18]Bldg+Dev'!S3466</f>
        <v>0</v>
      </c>
      <c r="D2654" s="1063"/>
      <c r="F2654" s="1076"/>
      <c r="G2654" s="1063"/>
      <c r="H2654" s="1063"/>
      <c r="I2654" s="1063"/>
      <c r="J2654" s="1063"/>
      <c r="K2654" s="1063"/>
      <c r="L2654" s="1063"/>
      <c r="M2654" s="1063"/>
      <c r="N2654" s="1063"/>
      <c r="O2654" s="1063"/>
      <c r="P2654" s="1063"/>
      <c r="Q2654" s="1063"/>
      <c r="R2654" s="1063"/>
      <c r="S2654" s="1063"/>
      <c r="T2654" s="1063"/>
      <c r="U2654" s="1063"/>
      <c r="V2654" s="1063"/>
      <c r="W2654" s="1063"/>
      <c r="X2654" s="1063"/>
      <c r="Y2654" s="1063"/>
      <c r="Z2654" s="1063"/>
      <c r="AA2654" s="1063"/>
      <c r="AB2654" s="1063"/>
      <c r="AC2654" s="1063"/>
      <c r="AD2654" s="1063"/>
      <c r="AE2654" s="1063"/>
      <c r="AF2654" s="1063"/>
      <c r="AG2654" s="1063"/>
      <c r="AH2654" s="1063"/>
      <c r="AI2654" s="1063"/>
      <c r="AJ2654" s="1063"/>
      <c r="AK2654" s="1063"/>
      <c r="AL2654" s="1063"/>
      <c r="AM2654" s="1063"/>
      <c r="AN2654" s="1063"/>
      <c r="AO2654" s="1063"/>
      <c r="AP2654" s="1063"/>
      <c r="AQ2654" s="1063"/>
      <c r="AR2654" s="1063"/>
      <c r="AS2654" s="1063"/>
      <c r="AT2654" s="1063"/>
      <c r="AU2654" s="1063"/>
      <c r="AV2654" s="1063"/>
    </row>
    <row r="2655" spans="1:48" s="1108" customFormat="1" ht="27.75" customHeight="1">
      <c r="A2655" s="1076"/>
      <c r="B2655" s="1074">
        <f>+'[18]Bldg+Dev'!S3467</f>
        <v>0</v>
      </c>
      <c r="D2655" s="1063"/>
      <c r="F2655" s="1076"/>
      <c r="G2655" s="1063"/>
      <c r="H2655" s="1063"/>
      <c r="I2655" s="1063"/>
      <c r="J2655" s="1063"/>
      <c r="K2655" s="1063"/>
      <c r="L2655" s="1063"/>
      <c r="M2655" s="1063"/>
      <c r="N2655" s="1063"/>
      <c r="O2655" s="1063"/>
      <c r="P2655" s="1063"/>
      <c r="Q2655" s="1063"/>
      <c r="R2655" s="1063"/>
      <c r="S2655" s="1063"/>
      <c r="T2655" s="1063"/>
      <c r="U2655" s="1063"/>
      <c r="V2655" s="1063"/>
      <c r="W2655" s="1063"/>
      <c r="X2655" s="1063"/>
      <c r="Y2655" s="1063"/>
      <c r="Z2655" s="1063"/>
      <c r="AA2655" s="1063"/>
      <c r="AB2655" s="1063"/>
      <c r="AC2655" s="1063"/>
      <c r="AD2655" s="1063"/>
      <c r="AE2655" s="1063"/>
      <c r="AF2655" s="1063"/>
      <c r="AG2655" s="1063"/>
      <c r="AH2655" s="1063"/>
      <c r="AI2655" s="1063"/>
      <c r="AJ2655" s="1063"/>
      <c r="AK2655" s="1063"/>
      <c r="AL2655" s="1063"/>
      <c r="AM2655" s="1063"/>
      <c r="AN2655" s="1063"/>
      <c r="AO2655" s="1063"/>
      <c r="AP2655" s="1063"/>
      <c r="AQ2655" s="1063"/>
      <c r="AR2655" s="1063"/>
      <c r="AS2655" s="1063"/>
      <c r="AT2655" s="1063"/>
      <c r="AU2655" s="1063"/>
      <c r="AV2655" s="1063"/>
    </row>
    <row r="2656" spans="1:48" s="1108" customFormat="1" ht="27.75" customHeight="1">
      <c r="A2656" s="1076"/>
      <c r="B2656" s="1074">
        <f>+'[18]Bldg+Dev'!S3468</f>
        <v>0</v>
      </c>
      <c r="D2656" s="1063"/>
      <c r="F2656" s="1076"/>
      <c r="G2656" s="1063"/>
      <c r="H2656" s="1063"/>
      <c r="I2656" s="1063"/>
      <c r="J2656" s="1063"/>
      <c r="K2656" s="1063"/>
      <c r="L2656" s="1063"/>
      <c r="M2656" s="1063"/>
      <c r="N2656" s="1063"/>
      <c r="O2656" s="1063"/>
      <c r="P2656" s="1063"/>
      <c r="Q2656" s="1063"/>
      <c r="R2656" s="1063"/>
      <c r="S2656" s="1063"/>
      <c r="T2656" s="1063"/>
      <c r="U2656" s="1063"/>
      <c r="V2656" s="1063"/>
      <c r="W2656" s="1063"/>
      <c r="X2656" s="1063"/>
      <c r="Y2656" s="1063"/>
      <c r="Z2656" s="1063"/>
      <c r="AA2656" s="1063"/>
      <c r="AB2656" s="1063"/>
      <c r="AC2656" s="1063"/>
      <c r="AD2656" s="1063"/>
      <c r="AE2656" s="1063"/>
      <c r="AF2656" s="1063"/>
      <c r="AG2656" s="1063"/>
      <c r="AH2656" s="1063"/>
      <c r="AI2656" s="1063"/>
      <c r="AJ2656" s="1063"/>
      <c r="AK2656" s="1063"/>
      <c r="AL2656" s="1063"/>
      <c r="AM2656" s="1063"/>
      <c r="AN2656" s="1063"/>
      <c r="AO2656" s="1063"/>
      <c r="AP2656" s="1063"/>
      <c r="AQ2656" s="1063"/>
      <c r="AR2656" s="1063"/>
      <c r="AS2656" s="1063"/>
      <c r="AT2656" s="1063"/>
      <c r="AU2656" s="1063"/>
      <c r="AV2656" s="1063"/>
    </row>
    <row r="2657" spans="1:48" s="1108" customFormat="1" ht="27.75" customHeight="1">
      <c r="A2657" s="1076"/>
      <c r="B2657" s="1074">
        <f>+'[18]Bldg+Dev'!S3469</f>
        <v>0</v>
      </c>
      <c r="D2657" s="1063"/>
      <c r="F2657" s="1076"/>
      <c r="G2657" s="1063"/>
      <c r="H2657" s="1063"/>
      <c r="I2657" s="1063"/>
      <c r="J2657" s="1063"/>
      <c r="K2657" s="1063"/>
      <c r="L2657" s="1063"/>
      <c r="M2657" s="1063"/>
      <c r="N2657" s="1063"/>
      <c r="O2657" s="1063"/>
      <c r="P2657" s="1063"/>
      <c r="Q2657" s="1063"/>
      <c r="R2657" s="1063"/>
      <c r="S2657" s="1063"/>
      <c r="T2657" s="1063"/>
      <c r="U2657" s="1063"/>
      <c r="V2657" s="1063"/>
      <c r="W2657" s="1063"/>
      <c r="X2657" s="1063"/>
      <c r="Y2657" s="1063"/>
      <c r="Z2657" s="1063"/>
      <c r="AA2657" s="1063"/>
      <c r="AB2657" s="1063"/>
      <c r="AC2657" s="1063"/>
      <c r="AD2657" s="1063"/>
      <c r="AE2657" s="1063"/>
      <c r="AF2657" s="1063"/>
      <c r="AG2657" s="1063"/>
      <c r="AH2657" s="1063"/>
      <c r="AI2657" s="1063"/>
      <c r="AJ2657" s="1063"/>
      <c r="AK2657" s="1063"/>
      <c r="AL2657" s="1063"/>
      <c r="AM2657" s="1063"/>
      <c r="AN2657" s="1063"/>
      <c r="AO2657" s="1063"/>
      <c r="AP2657" s="1063"/>
      <c r="AQ2657" s="1063"/>
      <c r="AR2657" s="1063"/>
      <c r="AS2657" s="1063"/>
      <c r="AT2657" s="1063"/>
      <c r="AU2657" s="1063"/>
      <c r="AV2657" s="1063"/>
    </row>
    <row r="2658" spans="1:48" s="1108" customFormat="1" ht="27.75" customHeight="1">
      <c r="A2658" s="1076"/>
      <c r="B2658" s="1074">
        <f>+'[18]Bldg+Dev'!S3470</f>
        <v>0</v>
      </c>
      <c r="D2658" s="1063"/>
      <c r="F2658" s="1076"/>
      <c r="G2658" s="1063"/>
      <c r="H2658" s="1063"/>
      <c r="I2658" s="1063"/>
      <c r="J2658" s="1063"/>
      <c r="K2658" s="1063"/>
      <c r="L2658" s="1063"/>
      <c r="M2658" s="1063"/>
      <c r="N2658" s="1063"/>
      <c r="O2658" s="1063"/>
      <c r="P2658" s="1063"/>
      <c r="Q2658" s="1063"/>
      <c r="R2658" s="1063"/>
      <c r="S2658" s="1063"/>
      <c r="T2658" s="1063"/>
      <c r="U2658" s="1063"/>
      <c r="V2658" s="1063"/>
      <c r="W2658" s="1063"/>
      <c r="X2658" s="1063"/>
      <c r="Y2658" s="1063"/>
      <c r="Z2658" s="1063"/>
      <c r="AA2658" s="1063"/>
      <c r="AB2658" s="1063"/>
      <c r="AC2658" s="1063"/>
      <c r="AD2658" s="1063"/>
      <c r="AE2658" s="1063"/>
      <c r="AF2658" s="1063"/>
      <c r="AG2658" s="1063"/>
      <c r="AH2658" s="1063"/>
      <c r="AI2658" s="1063"/>
      <c r="AJ2658" s="1063"/>
      <c r="AK2658" s="1063"/>
      <c r="AL2658" s="1063"/>
      <c r="AM2658" s="1063"/>
      <c r="AN2658" s="1063"/>
      <c r="AO2658" s="1063"/>
      <c r="AP2658" s="1063"/>
      <c r="AQ2658" s="1063"/>
      <c r="AR2658" s="1063"/>
      <c r="AS2658" s="1063"/>
      <c r="AT2658" s="1063"/>
      <c r="AU2658" s="1063"/>
      <c r="AV2658" s="1063"/>
    </row>
    <row r="2659" spans="1:48" s="1108" customFormat="1" ht="27.75" customHeight="1">
      <c r="A2659" s="1076"/>
      <c r="B2659" s="1074">
        <f>+'[18]Bldg+Dev'!S3471</f>
        <v>0</v>
      </c>
      <c r="D2659" s="1063"/>
      <c r="F2659" s="1076"/>
      <c r="G2659" s="1063"/>
      <c r="H2659" s="1063"/>
      <c r="I2659" s="1063"/>
      <c r="J2659" s="1063"/>
      <c r="K2659" s="1063"/>
      <c r="L2659" s="1063"/>
      <c r="M2659" s="1063"/>
      <c r="N2659" s="1063"/>
      <c r="O2659" s="1063"/>
      <c r="P2659" s="1063"/>
      <c r="Q2659" s="1063"/>
      <c r="R2659" s="1063"/>
      <c r="S2659" s="1063"/>
      <c r="T2659" s="1063"/>
      <c r="U2659" s="1063"/>
      <c r="V2659" s="1063"/>
      <c r="W2659" s="1063"/>
      <c r="X2659" s="1063"/>
      <c r="Y2659" s="1063"/>
      <c r="Z2659" s="1063"/>
      <c r="AA2659" s="1063"/>
      <c r="AB2659" s="1063"/>
      <c r="AC2659" s="1063"/>
      <c r="AD2659" s="1063"/>
      <c r="AE2659" s="1063"/>
      <c r="AF2659" s="1063"/>
      <c r="AG2659" s="1063"/>
      <c r="AH2659" s="1063"/>
      <c r="AI2659" s="1063"/>
      <c r="AJ2659" s="1063"/>
      <c r="AK2659" s="1063"/>
      <c r="AL2659" s="1063"/>
      <c r="AM2659" s="1063"/>
      <c r="AN2659" s="1063"/>
      <c r="AO2659" s="1063"/>
      <c r="AP2659" s="1063"/>
      <c r="AQ2659" s="1063"/>
      <c r="AR2659" s="1063"/>
      <c r="AS2659" s="1063"/>
      <c r="AT2659" s="1063"/>
      <c r="AU2659" s="1063"/>
      <c r="AV2659" s="1063"/>
    </row>
    <row r="2660" spans="1:48" s="1108" customFormat="1" ht="27.75" customHeight="1">
      <c r="A2660" s="1076"/>
      <c r="B2660" s="1074">
        <f>+'[18]Bldg+Dev'!S3472</f>
        <v>0</v>
      </c>
      <c r="D2660" s="1063"/>
      <c r="F2660" s="1076"/>
      <c r="G2660" s="1063"/>
      <c r="H2660" s="1063"/>
      <c r="I2660" s="1063"/>
      <c r="J2660" s="1063"/>
      <c r="K2660" s="1063"/>
      <c r="L2660" s="1063"/>
      <c r="M2660" s="1063"/>
      <c r="N2660" s="1063"/>
      <c r="O2660" s="1063"/>
      <c r="P2660" s="1063"/>
      <c r="Q2660" s="1063"/>
      <c r="R2660" s="1063"/>
      <c r="S2660" s="1063"/>
      <c r="T2660" s="1063"/>
      <c r="U2660" s="1063"/>
      <c r="V2660" s="1063"/>
      <c r="W2660" s="1063"/>
      <c r="X2660" s="1063"/>
      <c r="Y2660" s="1063"/>
      <c r="Z2660" s="1063"/>
      <c r="AA2660" s="1063"/>
      <c r="AB2660" s="1063"/>
      <c r="AC2660" s="1063"/>
      <c r="AD2660" s="1063"/>
      <c r="AE2660" s="1063"/>
      <c r="AF2660" s="1063"/>
      <c r="AG2660" s="1063"/>
      <c r="AH2660" s="1063"/>
      <c r="AI2660" s="1063"/>
      <c r="AJ2660" s="1063"/>
      <c r="AK2660" s="1063"/>
      <c r="AL2660" s="1063"/>
      <c r="AM2660" s="1063"/>
      <c r="AN2660" s="1063"/>
      <c r="AO2660" s="1063"/>
      <c r="AP2660" s="1063"/>
      <c r="AQ2660" s="1063"/>
      <c r="AR2660" s="1063"/>
      <c r="AS2660" s="1063"/>
      <c r="AT2660" s="1063"/>
      <c r="AU2660" s="1063"/>
      <c r="AV2660" s="1063"/>
    </row>
    <row r="2661" spans="1:48" s="1108" customFormat="1" ht="27.75" customHeight="1">
      <c r="A2661" s="1076"/>
      <c r="B2661" s="1074">
        <f>+'[18]Bldg+Dev'!S3473</f>
        <v>0</v>
      </c>
      <c r="D2661" s="1063"/>
      <c r="F2661" s="1076"/>
      <c r="G2661" s="1063"/>
      <c r="H2661" s="1063"/>
      <c r="I2661" s="1063"/>
      <c r="J2661" s="1063"/>
      <c r="K2661" s="1063"/>
      <c r="L2661" s="1063"/>
      <c r="M2661" s="1063"/>
      <c r="N2661" s="1063"/>
      <c r="O2661" s="1063"/>
      <c r="P2661" s="1063"/>
      <c r="Q2661" s="1063"/>
      <c r="R2661" s="1063"/>
      <c r="S2661" s="1063"/>
      <c r="T2661" s="1063"/>
      <c r="U2661" s="1063"/>
      <c r="V2661" s="1063"/>
      <c r="W2661" s="1063"/>
      <c r="X2661" s="1063"/>
      <c r="Y2661" s="1063"/>
      <c r="Z2661" s="1063"/>
      <c r="AA2661" s="1063"/>
      <c r="AB2661" s="1063"/>
      <c r="AC2661" s="1063"/>
      <c r="AD2661" s="1063"/>
      <c r="AE2661" s="1063"/>
      <c r="AF2661" s="1063"/>
      <c r="AG2661" s="1063"/>
      <c r="AH2661" s="1063"/>
      <c r="AI2661" s="1063"/>
      <c r="AJ2661" s="1063"/>
      <c r="AK2661" s="1063"/>
      <c r="AL2661" s="1063"/>
      <c r="AM2661" s="1063"/>
      <c r="AN2661" s="1063"/>
      <c r="AO2661" s="1063"/>
      <c r="AP2661" s="1063"/>
      <c r="AQ2661" s="1063"/>
      <c r="AR2661" s="1063"/>
      <c r="AS2661" s="1063"/>
      <c r="AT2661" s="1063"/>
      <c r="AU2661" s="1063"/>
      <c r="AV2661" s="1063"/>
    </row>
    <row r="2662" spans="1:48" s="1108" customFormat="1" ht="27.75" customHeight="1">
      <c r="A2662" s="1076"/>
      <c r="B2662" s="1074">
        <f>+'[18]Bldg+Dev'!S3474</f>
        <v>0</v>
      </c>
      <c r="D2662" s="1063"/>
      <c r="F2662" s="1076"/>
      <c r="G2662" s="1063"/>
      <c r="H2662" s="1063"/>
      <c r="I2662" s="1063"/>
      <c r="J2662" s="1063"/>
      <c r="K2662" s="1063"/>
      <c r="L2662" s="1063"/>
      <c r="M2662" s="1063"/>
      <c r="N2662" s="1063"/>
      <c r="O2662" s="1063"/>
      <c r="P2662" s="1063"/>
      <c r="Q2662" s="1063"/>
      <c r="R2662" s="1063"/>
      <c r="S2662" s="1063"/>
      <c r="T2662" s="1063"/>
      <c r="U2662" s="1063"/>
      <c r="V2662" s="1063"/>
      <c r="W2662" s="1063"/>
      <c r="X2662" s="1063"/>
      <c r="Y2662" s="1063"/>
      <c r="Z2662" s="1063"/>
      <c r="AA2662" s="1063"/>
      <c r="AB2662" s="1063"/>
      <c r="AC2662" s="1063"/>
      <c r="AD2662" s="1063"/>
      <c r="AE2662" s="1063"/>
      <c r="AF2662" s="1063"/>
      <c r="AG2662" s="1063"/>
      <c r="AH2662" s="1063"/>
      <c r="AI2662" s="1063"/>
      <c r="AJ2662" s="1063"/>
      <c r="AK2662" s="1063"/>
      <c r="AL2662" s="1063"/>
      <c r="AM2662" s="1063"/>
      <c r="AN2662" s="1063"/>
      <c r="AO2662" s="1063"/>
      <c r="AP2662" s="1063"/>
      <c r="AQ2662" s="1063"/>
      <c r="AR2662" s="1063"/>
      <c r="AS2662" s="1063"/>
      <c r="AT2662" s="1063"/>
      <c r="AU2662" s="1063"/>
      <c r="AV2662" s="1063"/>
    </row>
    <row r="2663" spans="1:48" s="1108" customFormat="1" ht="27.75" customHeight="1">
      <c r="A2663" s="1076"/>
      <c r="B2663" s="1074">
        <f>+'[18]Bldg+Dev'!S3475</f>
        <v>0</v>
      </c>
      <c r="D2663" s="1063"/>
      <c r="F2663" s="1076"/>
      <c r="G2663" s="1063"/>
      <c r="H2663" s="1063"/>
      <c r="I2663" s="1063"/>
      <c r="J2663" s="1063"/>
      <c r="K2663" s="1063"/>
      <c r="L2663" s="1063"/>
      <c r="M2663" s="1063"/>
      <c r="N2663" s="1063"/>
      <c r="O2663" s="1063"/>
      <c r="P2663" s="1063"/>
      <c r="Q2663" s="1063"/>
      <c r="R2663" s="1063"/>
      <c r="S2663" s="1063"/>
      <c r="T2663" s="1063"/>
      <c r="U2663" s="1063"/>
      <c r="V2663" s="1063"/>
      <c r="W2663" s="1063"/>
      <c r="X2663" s="1063"/>
      <c r="Y2663" s="1063"/>
      <c r="Z2663" s="1063"/>
      <c r="AA2663" s="1063"/>
      <c r="AB2663" s="1063"/>
      <c r="AC2663" s="1063"/>
      <c r="AD2663" s="1063"/>
      <c r="AE2663" s="1063"/>
      <c r="AF2663" s="1063"/>
      <c r="AG2663" s="1063"/>
      <c r="AH2663" s="1063"/>
      <c r="AI2663" s="1063"/>
      <c r="AJ2663" s="1063"/>
      <c r="AK2663" s="1063"/>
      <c r="AL2663" s="1063"/>
      <c r="AM2663" s="1063"/>
      <c r="AN2663" s="1063"/>
      <c r="AO2663" s="1063"/>
      <c r="AP2663" s="1063"/>
      <c r="AQ2663" s="1063"/>
      <c r="AR2663" s="1063"/>
      <c r="AS2663" s="1063"/>
      <c r="AT2663" s="1063"/>
      <c r="AU2663" s="1063"/>
      <c r="AV2663" s="1063"/>
    </row>
    <row r="2664" spans="1:48" s="1108" customFormat="1" ht="27.75" customHeight="1">
      <c r="A2664" s="1076"/>
      <c r="B2664" s="1074">
        <f>+'[18]Bldg+Dev'!S3476</f>
        <v>0</v>
      </c>
      <c r="D2664" s="1063"/>
      <c r="F2664" s="1076"/>
      <c r="G2664" s="1063"/>
      <c r="H2664" s="1063"/>
      <c r="I2664" s="1063"/>
      <c r="J2664" s="1063"/>
      <c r="K2664" s="1063"/>
      <c r="L2664" s="1063"/>
      <c r="M2664" s="1063"/>
      <c r="N2664" s="1063"/>
      <c r="O2664" s="1063"/>
      <c r="P2664" s="1063"/>
      <c r="Q2664" s="1063"/>
      <c r="R2664" s="1063"/>
      <c r="S2664" s="1063"/>
      <c r="T2664" s="1063"/>
      <c r="U2664" s="1063"/>
      <c r="V2664" s="1063"/>
      <c r="W2664" s="1063"/>
      <c r="X2664" s="1063"/>
      <c r="Y2664" s="1063"/>
      <c r="Z2664" s="1063"/>
      <c r="AA2664" s="1063"/>
      <c r="AB2664" s="1063"/>
      <c r="AC2664" s="1063"/>
      <c r="AD2664" s="1063"/>
      <c r="AE2664" s="1063"/>
      <c r="AF2664" s="1063"/>
      <c r="AG2664" s="1063"/>
      <c r="AH2664" s="1063"/>
      <c r="AI2664" s="1063"/>
      <c r="AJ2664" s="1063"/>
      <c r="AK2664" s="1063"/>
      <c r="AL2664" s="1063"/>
      <c r="AM2664" s="1063"/>
      <c r="AN2664" s="1063"/>
      <c r="AO2664" s="1063"/>
      <c r="AP2664" s="1063"/>
      <c r="AQ2664" s="1063"/>
      <c r="AR2664" s="1063"/>
      <c r="AS2664" s="1063"/>
      <c r="AT2664" s="1063"/>
      <c r="AU2664" s="1063"/>
      <c r="AV2664" s="1063"/>
    </row>
    <row r="2665" spans="1:48" s="1108" customFormat="1" ht="27.75" customHeight="1">
      <c r="A2665" s="1076"/>
      <c r="B2665" s="1074">
        <f>+'[18]Bldg+Dev'!S3477</f>
        <v>0</v>
      </c>
      <c r="D2665" s="1063"/>
      <c r="F2665" s="1076"/>
      <c r="G2665" s="1063"/>
      <c r="H2665" s="1063"/>
      <c r="I2665" s="1063"/>
      <c r="J2665" s="1063"/>
      <c r="K2665" s="1063"/>
      <c r="L2665" s="1063"/>
      <c r="M2665" s="1063"/>
      <c r="N2665" s="1063"/>
      <c r="O2665" s="1063"/>
      <c r="P2665" s="1063"/>
      <c r="Q2665" s="1063"/>
      <c r="R2665" s="1063"/>
      <c r="S2665" s="1063"/>
      <c r="T2665" s="1063"/>
      <c r="U2665" s="1063"/>
      <c r="V2665" s="1063"/>
      <c r="W2665" s="1063"/>
      <c r="X2665" s="1063"/>
      <c r="Y2665" s="1063"/>
      <c r="Z2665" s="1063"/>
      <c r="AA2665" s="1063"/>
      <c r="AB2665" s="1063"/>
      <c r="AC2665" s="1063"/>
      <c r="AD2665" s="1063"/>
      <c r="AE2665" s="1063"/>
      <c r="AF2665" s="1063"/>
      <c r="AG2665" s="1063"/>
      <c r="AH2665" s="1063"/>
      <c r="AI2665" s="1063"/>
      <c r="AJ2665" s="1063"/>
      <c r="AK2665" s="1063"/>
      <c r="AL2665" s="1063"/>
      <c r="AM2665" s="1063"/>
      <c r="AN2665" s="1063"/>
      <c r="AO2665" s="1063"/>
      <c r="AP2665" s="1063"/>
      <c r="AQ2665" s="1063"/>
      <c r="AR2665" s="1063"/>
      <c r="AS2665" s="1063"/>
      <c r="AT2665" s="1063"/>
      <c r="AU2665" s="1063"/>
      <c r="AV2665" s="1063"/>
    </row>
    <row r="2666" spans="1:48" s="1108" customFormat="1" ht="27.75" customHeight="1">
      <c r="A2666" s="1076"/>
      <c r="B2666" s="1074">
        <f>+'[18]Bldg+Dev'!S3478</f>
        <v>0</v>
      </c>
      <c r="D2666" s="1063"/>
      <c r="F2666" s="1076"/>
      <c r="G2666" s="1063"/>
      <c r="H2666" s="1063"/>
      <c r="I2666" s="1063"/>
      <c r="J2666" s="1063"/>
      <c r="K2666" s="1063"/>
      <c r="L2666" s="1063"/>
      <c r="M2666" s="1063"/>
      <c r="N2666" s="1063"/>
      <c r="O2666" s="1063"/>
      <c r="P2666" s="1063"/>
      <c r="Q2666" s="1063"/>
      <c r="R2666" s="1063"/>
      <c r="S2666" s="1063"/>
      <c r="T2666" s="1063"/>
      <c r="U2666" s="1063"/>
      <c r="V2666" s="1063"/>
      <c r="W2666" s="1063"/>
      <c r="X2666" s="1063"/>
      <c r="Y2666" s="1063"/>
      <c r="Z2666" s="1063"/>
      <c r="AA2666" s="1063"/>
      <c r="AB2666" s="1063"/>
      <c r="AC2666" s="1063"/>
      <c r="AD2666" s="1063"/>
      <c r="AE2666" s="1063"/>
      <c r="AF2666" s="1063"/>
      <c r="AG2666" s="1063"/>
      <c r="AH2666" s="1063"/>
      <c r="AI2666" s="1063"/>
      <c r="AJ2666" s="1063"/>
      <c r="AK2666" s="1063"/>
      <c r="AL2666" s="1063"/>
      <c r="AM2666" s="1063"/>
      <c r="AN2666" s="1063"/>
      <c r="AO2666" s="1063"/>
      <c r="AP2666" s="1063"/>
      <c r="AQ2666" s="1063"/>
      <c r="AR2666" s="1063"/>
      <c r="AS2666" s="1063"/>
      <c r="AT2666" s="1063"/>
      <c r="AU2666" s="1063"/>
      <c r="AV2666" s="1063"/>
    </row>
    <row r="2667" spans="1:48" s="1108" customFormat="1" ht="27.75" customHeight="1">
      <c r="A2667" s="1076"/>
      <c r="B2667" s="1074">
        <f>+'[18]Bldg+Dev'!S3479</f>
        <v>0</v>
      </c>
      <c r="D2667" s="1063"/>
      <c r="F2667" s="1076"/>
      <c r="G2667" s="1063"/>
      <c r="H2667" s="1063"/>
      <c r="I2667" s="1063"/>
      <c r="J2667" s="1063"/>
      <c r="K2667" s="1063"/>
      <c r="L2667" s="1063"/>
      <c r="M2667" s="1063"/>
      <c r="N2667" s="1063"/>
      <c r="O2667" s="1063"/>
      <c r="P2667" s="1063"/>
      <c r="Q2667" s="1063"/>
      <c r="R2667" s="1063"/>
      <c r="S2667" s="1063"/>
      <c r="T2667" s="1063"/>
      <c r="U2667" s="1063"/>
      <c r="V2667" s="1063"/>
      <c r="W2667" s="1063"/>
      <c r="X2667" s="1063"/>
      <c r="Y2667" s="1063"/>
      <c r="Z2667" s="1063"/>
      <c r="AA2667" s="1063"/>
      <c r="AB2667" s="1063"/>
      <c r="AC2667" s="1063"/>
      <c r="AD2667" s="1063"/>
      <c r="AE2667" s="1063"/>
      <c r="AF2667" s="1063"/>
      <c r="AG2667" s="1063"/>
      <c r="AH2667" s="1063"/>
      <c r="AI2667" s="1063"/>
      <c r="AJ2667" s="1063"/>
      <c r="AK2667" s="1063"/>
      <c r="AL2667" s="1063"/>
      <c r="AM2667" s="1063"/>
      <c r="AN2667" s="1063"/>
      <c r="AO2667" s="1063"/>
      <c r="AP2667" s="1063"/>
      <c r="AQ2667" s="1063"/>
      <c r="AR2667" s="1063"/>
      <c r="AS2667" s="1063"/>
      <c r="AT2667" s="1063"/>
      <c r="AU2667" s="1063"/>
      <c r="AV2667" s="1063"/>
    </row>
    <row r="2668" spans="1:48" s="1108" customFormat="1" ht="27.75" customHeight="1">
      <c r="A2668" s="1076"/>
      <c r="B2668" s="1074">
        <f>+'[18]Bldg+Dev'!S3480</f>
        <v>0</v>
      </c>
      <c r="D2668" s="1063"/>
      <c r="F2668" s="1076"/>
      <c r="G2668" s="1063"/>
      <c r="H2668" s="1063"/>
      <c r="I2668" s="1063"/>
      <c r="J2668" s="1063"/>
      <c r="K2668" s="1063"/>
      <c r="L2668" s="1063"/>
      <c r="M2668" s="1063"/>
      <c r="N2668" s="1063"/>
      <c r="O2668" s="1063"/>
      <c r="P2668" s="1063"/>
      <c r="Q2668" s="1063"/>
      <c r="R2668" s="1063"/>
      <c r="S2668" s="1063"/>
      <c r="T2668" s="1063"/>
      <c r="U2668" s="1063"/>
      <c r="V2668" s="1063"/>
      <c r="W2668" s="1063"/>
      <c r="X2668" s="1063"/>
      <c r="Y2668" s="1063"/>
      <c r="Z2668" s="1063"/>
      <c r="AA2668" s="1063"/>
      <c r="AB2668" s="1063"/>
      <c r="AC2668" s="1063"/>
      <c r="AD2668" s="1063"/>
      <c r="AE2668" s="1063"/>
      <c r="AF2668" s="1063"/>
      <c r="AG2668" s="1063"/>
      <c r="AH2668" s="1063"/>
      <c r="AI2668" s="1063"/>
      <c r="AJ2668" s="1063"/>
      <c r="AK2668" s="1063"/>
      <c r="AL2668" s="1063"/>
      <c r="AM2668" s="1063"/>
      <c r="AN2668" s="1063"/>
      <c r="AO2668" s="1063"/>
      <c r="AP2668" s="1063"/>
      <c r="AQ2668" s="1063"/>
      <c r="AR2668" s="1063"/>
      <c r="AS2668" s="1063"/>
      <c r="AT2668" s="1063"/>
      <c r="AU2668" s="1063"/>
      <c r="AV2668" s="1063"/>
    </row>
    <row r="2669" spans="1:48" s="1108" customFormat="1" ht="27.75" customHeight="1">
      <c r="A2669" s="1076"/>
      <c r="B2669" s="1074">
        <f>+'[18]Bldg+Dev'!S3481</f>
        <v>0</v>
      </c>
      <c r="D2669" s="1063"/>
      <c r="F2669" s="1076"/>
      <c r="G2669" s="1063"/>
      <c r="H2669" s="1063"/>
      <c r="I2669" s="1063"/>
      <c r="J2669" s="1063"/>
      <c r="K2669" s="1063"/>
      <c r="L2669" s="1063"/>
      <c r="M2669" s="1063"/>
      <c r="N2669" s="1063"/>
      <c r="O2669" s="1063"/>
      <c r="P2669" s="1063"/>
      <c r="Q2669" s="1063"/>
      <c r="R2669" s="1063"/>
      <c r="S2669" s="1063"/>
      <c r="T2669" s="1063"/>
      <c r="U2669" s="1063"/>
      <c r="V2669" s="1063"/>
      <c r="W2669" s="1063"/>
      <c r="X2669" s="1063"/>
      <c r="Y2669" s="1063"/>
      <c r="Z2669" s="1063"/>
      <c r="AA2669" s="1063"/>
      <c r="AB2669" s="1063"/>
      <c r="AC2669" s="1063"/>
      <c r="AD2669" s="1063"/>
      <c r="AE2669" s="1063"/>
      <c r="AF2669" s="1063"/>
      <c r="AG2669" s="1063"/>
      <c r="AH2669" s="1063"/>
      <c r="AI2669" s="1063"/>
      <c r="AJ2669" s="1063"/>
      <c r="AK2669" s="1063"/>
      <c r="AL2669" s="1063"/>
      <c r="AM2669" s="1063"/>
      <c r="AN2669" s="1063"/>
      <c r="AO2669" s="1063"/>
      <c r="AP2669" s="1063"/>
      <c r="AQ2669" s="1063"/>
      <c r="AR2669" s="1063"/>
      <c r="AS2669" s="1063"/>
      <c r="AT2669" s="1063"/>
      <c r="AU2669" s="1063"/>
      <c r="AV2669" s="1063"/>
    </row>
    <row r="2670" spans="1:48" s="1108" customFormat="1" ht="27.75" customHeight="1">
      <c r="A2670" s="1076"/>
      <c r="B2670" s="1074">
        <f>+'[18]Bldg+Dev'!S3482</f>
        <v>0</v>
      </c>
      <c r="D2670" s="1063"/>
      <c r="F2670" s="1076"/>
      <c r="G2670" s="1063"/>
      <c r="H2670" s="1063"/>
      <c r="I2670" s="1063"/>
      <c r="J2670" s="1063"/>
      <c r="K2670" s="1063"/>
      <c r="L2670" s="1063"/>
      <c r="M2670" s="1063"/>
      <c r="N2670" s="1063"/>
      <c r="O2670" s="1063"/>
      <c r="P2670" s="1063"/>
      <c r="Q2670" s="1063"/>
      <c r="R2670" s="1063"/>
      <c r="S2670" s="1063"/>
      <c r="T2670" s="1063"/>
      <c r="U2670" s="1063"/>
      <c r="V2670" s="1063"/>
      <c r="W2670" s="1063"/>
      <c r="X2670" s="1063"/>
      <c r="Y2670" s="1063"/>
      <c r="Z2670" s="1063"/>
      <c r="AA2670" s="1063"/>
      <c r="AB2670" s="1063"/>
      <c r="AC2670" s="1063"/>
      <c r="AD2670" s="1063"/>
      <c r="AE2670" s="1063"/>
      <c r="AF2670" s="1063"/>
      <c r="AG2670" s="1063"/>
      <c r="AH2670" s="1063"/>
      <c r="AI2670" s="1063"/>
      <c r="AJ2670" s="1063"/>
      <c r="AK2670" s="1063"/>
      <c r="AL2670" s="1063"/>
      <c r="AM2670" s="1063"/>
      <c r="AN2670" s="1063"/>
      <c r="AO2670" s="1063"/>
      <c r="AP2670" s="1063"/>
      <c r="AQ2670" s="1063"/>
      <c r="AR2670" s="1063"/>
      <c r="AS2670" s="1063"/>
      <c r="AT2670" s="1063"/>
      <c r="AU2670" s="1063"/>
      <c r="AV2670" s="1063"/>
    </row>
    <row r="2671" spans="1:48" s="1108" customFormat="1" ht="27.75" customHeight="1">
      <c r="A2671" s="1076"/>
      <c r="B2671" s="1074">
        <f>+'[18]Bldg+Dev'!S3483</f>
        <v>0</v>
      </c>
      <c r="D2671" s="1063"/>
      <c r="F2671" s="1076"/>
      <c r="G2671" s="1063"/>
      <c r="H2671" s="1063"/>
      <c r="I2671" s="1063"/>
      <c r="J2671" s="1063"/>
      <c r="K2671" s="1063"/>
      <c r="L2671" s="1063"/>
      <c r="M2671" s="1063"/>
      <c r="N2671" s="1063"/>
      <c r="O2671" s="1063"/>
      <c r="P2671" s="1063"/>
      <c r="Q2671" s="1063"/>
      <c r="R2671" s="1063"/>
      <c r="S2671" s="1063"/>
      <c r="T2671" s="1063"/>
      <c r="U2671" s="1063"/>
      <c r="V2671" s="1063"/>
      <c r="W2671" s="1063"/>
      <c r="X2671" s="1063"/>
      <c r="Y2671" s="1063"/>
      <c r="Z2671" s="1063"/>
      <c r="AA2671" s="1063"/>
      <c r="AB2671" s="1063"/>
      <c r="AC2671" s="1063"/>
      <c r="AD2671" s="1063"/>
      <c r="AE2671" s="1063"/>
      <c r="AF2671" s="1063"/>
      <c r="AG2671" s="1063"/>
      <c r="AH2671" s="1063"/>
      <c r="AI2671" s="1063"/>
      <c r="AJ2671" s="1063"/>
      <c r="AK2671" s="1063"/>
      <c r="AL2671" s="1063"/>
      <c r="AM2671" s="1063"/>
      <c r="AN2671" s="1063"/>
      <c r="AO2671" s="1063"/>
      <c r="AP2671" s="1063"/>
      <c r="AQ2671" s="1063"/>
      <c r="AR2671" s="1063"/>
      <c r="AS2671" s="1063"/>
      <c r="AT2671" s="1063"/>
      <c r="AU2671" s="1063"/>
      <c r="AV2671" s="1063"/>
    </row>
    <row r="2672" spans="1:48" s="1108" customFormat="1" ht="27.75" customHeight="1">
      <c r="A2672" s="1076"/>
      <c r="B2672" s="1074">
        <f>+'[18]Bldg+Dev'!S3484</f>
        <v>0</v>
      </c>
      <c r="D2672" s="1063"/>
      <c r="F2672" s="1076"/>
      <c r="G2672" s="1063"/>
      <c r="H2672" s="1063"/>
      <c r="I2672" s="1063"/>
      <c r="J2672" s="1063"/>
      <c r="K2672" s="1063"/>
      <c r="L2672" s="1063"/>
      <c r="M2672" s="1063"/>
      <c r="N2672" s="1063"/>
      <c r="O2672" s="1063"/>
      <c r="P2672" s="1063"/>
      <c r="Q2672" s="1063"/>
      <c r="R2672" s="1063"/>
      <c r="S2672" s="1063"/>
      <c r="T2672" s="1063"/>
      <c r="U2672" s="1063"/>
      <c r="V2672" s="1063"/>
      <c r="W2672" s="1063"/>
      <c r="X2672" s="1063"/>
      <c r="Y2672" s="1063"/>
      <c r="Z2672" s="1063"/>
      <c r="AA2672" s="1063"/>
      <c r="AB2672" s="1063"/>
      <c r="AC2672" s="1063"/>
      <c r="AD2672" s="1063"/>
      <c r="AE2672" s="1063"/>
      <c r="AF2672" s="1063"/>
      <c r="AG2672" s="1063"/>
      <c r="AH2672" s="1063"/>
      <c r="AI2672" s="1063"/>
      <c r="AJ2672" s="1063"/>
      <c r="AK2672" s="1063"/>
      <c r="AL2672" s="1063"/>
      <c r="AM2672" s="1063"/>
      <c r="AN2672" s="1063"/>
      <c r="AO2672" s="1063"/>
      <c r="AP2672" s="1063"/>
      <c r="AQ2672" s="1063"/>
      <c r="AR2672" s="1063"/>
      <c r="AS2672" s="1063"/>
      <c r="AT2672" s="1063"/>
      <c r="AU2672" s="1063"/>
      <c r="AV2672" s="1063"/>
    </row>
    <row r="2673" spans="1:48" s="1108" customFormat="1" ht="27.75" customHeight="1">
      <c r="A2673" s="1076"/>
      <c r="B2673" s="1074">
        <f>+'[18]Bldg+Dev'!S3485</f>
        <v>0</v>
      </c>
      <c r="D2673" s="1063"/>
      <c r="F2673" s="1076"/>
      <c r="G2673" s="1063"/>
      <c r="H2673" s="1063"/>
      <c r="I2673" s="1063"/>
      <c r="J2673" s="1063"/>
      <c r="K2673" s="1063"/>
      <c r="L2673" s="1063"/>
      <c r="M2673" s="1063"/>
      <c r="N2673" s="1063"/>
      <c r="O2673" s="1063"/>
      <c r="P2673" s="1063"/>
      <c r="Q2673" s="1063"/>
      <c r="R2673" s="1063"/>
      <c r="S2673" s="1063"/>
      <c r="T2673" s="1063"/>
      <c r="U2673" s="1063"/>
      <c r="V2673" s="1063"/>
      <c r="W2673" s="1063"/>
      <c r="X2673" s="1063"/>
      <c r="Y2673" s="1063"/>
      <c r="Z2673" s="1063"/>
      <c r="AA2673" s="1063"/>
      <c r="AB2673" s="1063"/>
      <c r="AC2673" s="1063"/>
      <c r="AD2673" s="1063"/>
      <c r="AE2673" s="1063"/>
      <c r="AF2673" s="1063"/>
      <c r="AG2673" s="1063"/>
      <c r="AH2673" s="1063"/>
      <c r="AI2673" s="1063"/>
      <c r="AJ2673" s="1063"/>
      <c r="AK2673" s="1063"/>
      <c r="AL2673" s="1063"/>
      <c r="AM2673" s="1063"/>
      <c r="AN2673" s="1063"/>
      <c r="AO2673" s="1063"/>
      <c r="AP2673" s="1063"/>
      <c r="AQ2673" s="1063"/>
      <c r="AR2673" s="1063"/>
      <c r="AS2673" s="1063"/>
      <c r="AT2673" s="1063"/>
      <c r="AU2673" s="1063"/>
      <c r="AV2673" s="1063"/>
    </row>
    <row r="2674" spans="1:48" s="1108" customFormat="1" ht="27.75" customHeight="1">
      <c r="A2674" s="1076"/>
      <c r="B2674" s="1074">
        <f>+'[18]Bldg+Dev'!S3486</f>
        <v>0</v>
      </c>
      <c r="D2674" s="1063"/>
      <c r="F2674" s="1076"/>
      <c r="G2674" s="1063"/>
      <c r="H2674" s="1063"/>
      <c r="I2674" s="1063"/>
      <c r="J2674" s="1063"/>
      <c r="K2674" s="1063"/>
      <c r="L2674" s="1063"/>
      <c r="M2674" s="1063"/>
      <c r="N2674" s="1063"/>
      <c r="O2674" s="1063"/>
      <c r="P2674" s="1063"/>
      <c r="Q2674" s="1063"/>
      <c r="R2674" s="1063"/>
      <c r="S2674" s="1063"/>
      <c r="T2674" s="1063"/>
      <c r="U2674" s="1063"/>
      <c r="V2674" s="1063"/>
      <c r="W2674" s="1063"/>
      <c r="X2674" s="1063"/>
      <c r="Y2674" s="1063"/>
      <c r="Z2674" s="1063"/>
      <c r="AA2674" s="1063"/>
      <c r="AB2674" s="1063"/>
      <c r="AC2674" s="1063"/>
      <c r="AD2674" s="1063"/>
      <c r="AE2674" s="1063"/>
      <c r="AF2674" s="1063"/>
      <c r="AG2674" s="1063"/>
      <c r="AH2674" s="1063"/>
      <c r="AI2674" s="1063"/>
      <c r="AJ2674" s="1063"/>
      <c r="AK2674" s="1063"/>
      <c r="AL2674" s="1063"/>
      <c r="AM2674" s="1063"/>
      <c r="AN2674" s="1063"/>
      <c r="AO2674" s="1063"/>
      <c r="AP2674" s="1063"/>
      <c r="AQ2674" s="1063"/>
      <c r="AR2674" s="1063"/>
      <c r="AS2674" s="1063"/>
      <c r="AT2674" s="1063"/>
      <c r="AU2674" s="1063"/>
      <c r="AV2674" s="1063"/>
    </row>
    <row r="2675" spans="1:48" s="1108" customFormat="1" ht="27.75" customHeight="1">
      <c r="A2675" s="1076"/>
      <c r="B2675" s="1074">
        <f>+'[18]Bldg+Dev'!S3487</f>
        <v>0</v>
      </c>
      <c r="D2675" s="1063"/>
      <c r="F2675" s="1076"/>
      <c r="G2675" s="1063"/>
      <c r="H2675" s="1063"/>
      <c r="I2675" s="1063"/>
      <c r="J2675" s="1063"/>
      <c r="K2675" s="1063"/>
      <c r="L2675" s="1063"/>
      <c r="M2675" s="1063"/>
      <c r="N2675" s="1063"/>
      <c r="O2675" s="1063"/>
      <c r="P2675" s="1063"/>
      <c r="Q2675" s="1063"/>
      <c r="R2675" s="1063"/>
      <c r="S2675" s="1063"/>
      <c r="T2675" s="1063"/>
      <c r="U2675" s="1063"/>
      <c r="V2675" s="1063"/>
      <c r="W2675" s="1063"/>
      <c r="X2675" s="1063"/>
      <c r="Y2675" s="1063"/>
      <c r="Z2675" s="1063"/>
      <c r="AA2675" s="1063"/>
      <c r="AB2675" s="1063"/>
      <c r="AC2675" s="1063"/>
      <c r="AD2675" s="1063"/>
      <c r="AE2675" s="1063"/>
      <c r="AF2675" s="1063"/>
      <c r="AG2675" s="1063"/>
      <c r="AH2675" s="1063"/>
      <c r="AI2675" s="1063"/>
      <c r="AJ2675" s="1063"/>
      <c r="AK2675" s="1063"/>
      <c r="AL2675" s="1063"/>
      <c r="AM2675" s="1063"/>
      <c r="AN2675" s="1063"/>
      <c r="AO2675" s="1063"/>
      <c r="AP2675" s="1063"/>
      <c r="AQ2675" s="1063"/>
      <c r="AR2675" s="1063"/>
      <c r="AS2675" s="1063"/>
      <c r="AT2675" s="1063"/>
      <c r="AU2675" s="1063"/>
      <c r="AV2675" s="1063"/>
    </row>
    <row r="2676" spans="1:48" s="1108" customFormat="1" ht="27.75" customHeight="1">
      <c r="A2676" s="1076"/>
      <c r="B2676" s="1074">
        <f>+'[18]Bldg+Dev'!S3488</f>
        <v>0</v>
      </c>
      <c r="D2676" s="1063"/>
      <c r="F2676" s="1076"/>
      <c r="G2676" s="1063"/>
      <c r="H2676" s="1063"/>
      <c r="I2676" s="1063"/>
      <c r="J2676" s="1063"/>
      <c r="K2676" s="1063"/>
      <c r="L2676" s="1063"/>
      <c r="M2676" s="1063"/>
      <c r="N2676" s="1063"/>
      <c r="O2676" s="1063"/>
      <c r="P2676" s="1063"/>
      <c r="Q2676" s="1063"/>
      <c r="R2676" s="1063"/>
      <c r="S2676" s="1063"/>
      <c r="T2676" s="1063"/>
      <c r="U2676" s="1063"/>
      <c r="V2676" s="1063"/>
      <c r="W2676" s="1063"/>
      <c r="X2676" s="1063"/>
      <c r="Y2676" s="1063"/>
      <c r="Z2676" s="1063"/>
      <c r="AA2676" s="1063"/>
      <c r="AB2676" s="1063"/>
      <c r="AC2676" s="1063"/>
      <c r="AD2676" s="1063"/>
      <c r="AE2676" s="1063"/>
      <c r="AF2676" s="1063"/>
      <c r="AG2676" s="1063"/>
      <c r="AH2676" s="1063"/>
      <c r="AI2676" s="1063"/>
      <c r="AJ2676" s="1063"/>
      <c r="AK2676" s="1063"/>
      <c r="AL2676" s="1063"/>
      <c r="AM2676" s="1063"/>
      <c r="AN2676" s="1063"/>
      <c r="AO2676" s="1063"/>
      <c r="AP2676" s="1063"/>
      <c r="AQ2676" s="1063"/>
      <c r="AR2676" s="1063"/>
      <c r="AS2676" s="1063"/>
      <c r="AT2676" s="1063"/>
      <c r="AU2676" s="1063"/>
      <c r="AV2676" s="1063"/>
    </row>
    <row r="2677" spans="1:48" s="1108" customFormat="1" ht="27.75" customHeight="1">
      <c r="A2677" s="1076"/>
      <c r="B2677" s="1074">
        <f>+'[18]Bldg+Dev'!S3489</f>
        <v>0</v>
      </c>
      <c r="D2677" s="1063"/>
      <c r="F2677" s="1076"/>
      <c r="G2677" s="1063"/>
      <c r="H2677" s="1063"/>
      <c r="I2677" s="1063"/>
      <c r="J2677" s="1063"/>
      <c r="K2677" s="1063"/>
      <c r="L2677" s="1063"/>
      <c r="M2677" s="1063"/>
      <c r="N2677" s="1063"/>
      <c r="O2677" s="1063"/>
      <c r="P2677" s="1063"/>
      <c r="Q2677" s="1063"/>
      <c r="R2677" s="1063"/>
      <c r="S2677" s="1063"/>
      <c r="T2677" s="1063"/>
      <c r="U2677" s="1063"/>
      <c r="V2677" s="1063"/>
      <c r="W2677" s="1063"/>
      <c r="X2677" s="1063"/>
      <c r="Y2677" s="1063"/>
      <c r="Z2677" s="1063"/>
      <c r="AA2677" s="1063"/>
      <c r="AB2677" s="1063"/>
      <c r="AC2677" s="1063"/>
      <c r="AD2677" s="1063"/>
      <c r="AE2677" s="1063"/>
      <c r="AF2677" s="1063"/>
      <c r="AG2677" s="1063"/>
      <c r="AH2677" s="1063"/>
      <c r="AI2677" s="1063"/>
      <c r="AJ2677" s="1063"/>
      <c r="AK2677" s="1063"/>
      <c r="AL2677" s="1063"/>
      <c r="AM2677" s="1063"/>
      <c r="AN2677" s="1063"/>
      <c r="AO2677" s="1063"/>
      <c r="AP2677" s="1063"/>
      <c r="AQ2677" s="1063"/>
      <c r="AR2677" s="1063"/>
      <c r="AS2677" s="1063"/>
      <c r="AT2677" s="1063"/>
      <c r="AU2677" s="1063"/>
      <c r="AV2677" s="1063"/>
    </row>
    <row r="2678" spans="1:48" s="1108" customFormat="1" ht="27.75" customHeight="1">
      <c r="A2678" s="1076"/>
      <c r="B2678" s="1074">
        <f>+'[18]Bldg+Dev'!S3490</f>
        <v>0</v>
      </c>
      <c r="D2678" s="1063"/>
      <c r="F2678" s="1076"/>
      <c r="G2678" s="1063"/>
      <c r="H2678" s="1063"/>
      <c r="I2678" s="1063"/>
      <c r="J2678" s="1063"/>
      <c r="K2678" s="1063"/>
      <c r="L2678" s="1063"/>
      <c r="M2678" s="1063"/>
      <c r="N2678" s="1063"/>
      <c r="O2678" s="1063"/>
      <c r="P2678" s="1063"/>
      <c r="Q2678" s="1063"/>
      <c r="R2678" s="1063"/>
      <c r="S2678" s="1063"/>
      <c r="T2678" s="1063"/>
      <c r="U2678" s="1063"/>
      <c r="V2678" s="1063"/>
      <c r="W2678" s="1063"/>
      <c r="X2678" s="1063"/>
      <c r="Y2678" s="1063"/>
      <c r="Z2678" s="1063"/>
      <c r="AA2678" s="1063"/>
      <c r="AB2678" s="1063"/>
      <c r="AC2678" s="1063"/>
      <c r="AD2678" s="1063"/>
      <c r="AE2678" s="1063"/>
      <c r="AF2678" s="1063"/>
      <c r="AG2678" s="1063"/>
      <c r="AH2678" s="1063"/>
      <c r="AI2678" s="1063"/>
      <c r="AJ2678" s="1063"/>
      <c r="AK2678" s="1063"/>
      <c r="AL2678" s="1063"/>
      <c r="AM2678" s="1063"/>
      <c r="AN2678" s="1063"/>
      <c r="AO2678" s="1063"/>
      <c r="AP2678" s="1063"/>
      <c r="AQ2678" s="1063"/>
      <c r="AR2678" s="1063"/>
      <c r="AS2678" s="1063"/>
      <c r="AT2678" s="1063"/>
      <c r="AU2678" s="1063"/>
      <c r="AV2678" s="1063"/>
    </row>
    <row r="2679" spans="1:48" s="1108" customFormat="1" ht="27.75" customHeight="1">
      <c r="A2679" s="1076"/>
      <c r="B2679" s="1074">
        <f>+'[18]Bldg+Dev'!S3491</f>
        <v>0</v>
      </c>
      <c r="D2679" s="1063"/>
      <c r="F2679" s="1076"/>
      <c r="G2679" s="1063"/>
      <c r="H2679" s="1063"/>
      <c r="I2679" s="1063"/>
      <c r="J2679" s="1063"/>
      <c r="K2679" s="1063"/>
      <c r="L2679" s="1063"/>
      <c r="M2679" s="1063"/>
      <c r="N2679" s="1063"/>
      <c r="O2679" s="1063"/>
      <c r="P2679" s="1063"/>
      <c r="Q2679" s="1063"/>
      <c r="R2679" s="1063"/>
      <c r="S2679" s="1063"/>
      <c r="T2679" s="1063"/>
      <c r="U2679" s="1063"/>
      <c r="V2679" s="1063"/>
      <c r="W2679" s="1063"/>
      <c r="X2679" s="1063"/>
      <c r="Y2679" s="1063"/>
      <c r="Z2679" s="1063"/>
      <c r="AA2679" s="1063"/>
      <c r="AB2679" s="1063"/>
      <c r="AC2679" s="1063"/>
      <c r="AD2679" s="1063"/>
      <c r="AE2679" s="1063"/>
      <c r="AF2679" s="1063"/>
      <c r="AG2679" s="1063"/>
      <c r="AH2679" s="1063"/>
      <c r="AI2679" s="1063"/>
      <c r="AJ2679" s="1063"/>
      <c r="AK2679" s="1063"/>
      <c r="AL2679" s="1063"/>
      <c r="AM2679" s="1063"/>
      <c r="AN2679" s="1063"/>
      <c r="AO2679" s="1063"/>
      <c r="AP2679" s="1063"/>
      <c r="AQ2679" s="1063"/>
      <c r="AR2679" s="1063"/>
      <c r="AS2679" s="1063"/>
      <c r="AT2679" s="1063"/>
      <c r="AU2679" s="1063"/>
      <c r="AV2679" s="1063"/>
    </row>
    <row r="2680" spans="1:48" s="1108" customFormat="1" ht="27.75" customHeight="1">
      <c r="A2680" s="1076"/>
      <c r="B2680" s="1074">
        <f>+'[18]Bldg+Dev'!S3492</f>
        <v>0</v>
      </c>
      <c r="D2680" s="1063"/>
      <c r="F2680" s="1076"/>
      <c r="G2680" s="1063"/>
      <c r="H2680" s="1063"/>
      <c r="I2680" s="1063"/>
      <c r="J2680" s="1063"/>
      <c r="K2680" s="1063"/>
      <c r="L2680" s="1063"/>
      <c r="M2680" s="1063"/>
      <c r="N2680" s="1063"/>
      <c r="O2680" s="1063"/>
      <c r="P2680" s="1063"/>
      <c r="Q2680" s="1063"/>
      <c r="R2680" s="1063"/>
      <c r="S2680" s="1063"/>
      <c r="T2680" s="1063"/>
      <c r="U2680" s="1063"/>
      <c r="V2680" s="1063"/>
      <c r="W2680" s="1063"/>
      <c r="X2680" s="1063"/>
      <c r="Y2680" s="1063"/>
      <c r="Z2680" s="1063"/>
      <c r="AA2680" s="1063"/>
      <c r="AB2680" s="1063"/>
      <c r="AC2680" s="1063"/>
      <c r="AD2680" s="1063"/>
      <c r="AE2680" s="1063"/>
      <c r="AF2680" s="1063"/>
      <c r="AG2680" s="1063"/>
      <c r="AH2680" s="1063"/>
      <c r="AI2680" s="1063"/>
      <c r="AJ2680" s="1063"/>
      <c r="AK2680" s="1063"/>
      <c r="AL2680" s="1063"/>
      <c r="AM2680" s="1063"/>
      <c r="AN2680" s="1063"/>
      <c r="AO2680" s="1063"/>
      <c r="AP2680" s="1063"/>
      <c r="AQ2680" s="1063"/>
      <c r="AR2680" s="1063"/>
      <c r="AS2680" s="1063"/>
      <c r="AT2680" s="1063"/>
      <c r="AU2680" s="1063"/>
      <c r="AV2680" s="1063"/>
    </row>
    <row r="2681" spans="1:48" s="1108" customFormat="1" ht="27.75" customHeight="1">
      <c r="A2681" s="1076"/>
      <c r="B2681" s="1074">
        <f>+'[18]Bldg+Dev'!S3493</f>
        <v>0</v>
      </c>
      <c r="D2681" s="1063"/>
      <c r="F2681" s="1076"/>
      <c r="G2681" s="1063"/>
      <c r="H2681" s="1063"/>
      <c r="I2681" s="1063"/>
      <c r="J2681" s="1063"/>
      <c r="K2681" s="1063"/>
      <c r="L2681" s="1063"/>
      <c r="M2681" s="1063"/>
      <c r="N2681" s="1063"/>
      <c r="O2681" s="1063"/>
      <c r="P2681" s="1063"/>
      <c r="Q2681" s="1063"/>
      <c r="R2681" s="1063"/>
      <c r="S2681" s="1063"/>
      <c r="T2681" s="1063"/>
      <c r="U2681" s="1063"/>
      <c r="V2681" s="1063"/>
      <c r="W2681" s="1063"/>
      <c r="X2681" s="1063"/>
      <c r="Y2681" s="1063"/>
      <c r="Z2681" s="1063"/>
      <c r="AA2681" s="1063"/>
      <c r="AB2681" s="1063"/>
      <c r="AC2681" s="1063"/>
      <c r="AD2681" s="1063"/>
      <c r="AE2681" s="1063"/>
      <c r="AF2681" s="1063"/>
      <c r="AG2681" s="1063"/>
      <c r="AH2681" s="1063"/>
      <c r="AI2681" s="1063"/>
      <c r="AJ2681" s="1063"/>
      <c r="AK2681" s="1063"/>
      <c r="AL2681" s="1063"/>
      <c r="AM2681" s="1063"/>
      <c r="AN2681" s="1063"/>
      <c r="AO2681" s="1063"/>
      <c r="AP2681" s="1063"/>
      <c r="AQ2681" s="1063"/>
      <c r="AR2681" s="1063"/>
      <c r="AS2681" s="1063"/>
      <c r="AT2681" s="1063"/>
      <c r="AU2681" s="1063"/>
      <c r="AV2681" s="1063"/>
    </row>
    <row r="2682" spans="1:48" s="1108" customFormat="1" ht="27.75" customHeight="1">
      <c r="A2682" s="1076"/>
      <c r="B2682" s="1074">
        <f>+'[18]Bldg+Dev'!S3494</f>
        <v>0</v>
      </c>
      <c r="D2682" s="1063"/>
      <c r="F2682" s="1076"/>
      <c r="G2682" s="1063"/>
      <c r="H2682" s="1063"/>
      <c r="I2682" s="1063"/>
      <c r="J2682" s="1063"/>
      <c r="K2682" s="1063"/>
      <c r="L2682" s="1063"/>
      <c r="M2682" s="1063"/>
      <c r="N2682" s="1063"/>
      <c r="O2682" s="1063"/>
      <c r="P2682" s="1063"/>
      <c r="Q2682" s="1063"/>
      <c r="R2682" s="1063"/>
      <c r="S2682" s="1063"/>
      <c r="T2682" s="1063"/>
      <c r="U2682" s="1063"/>
      <c r="V2682" s="1063"/>
      <c r="W2682" s="1063"/>
      <c r="X2682" s="1063"/>
      <c r="Y2682" s="1063"/>
      <c r="Z2682" s="1063"/>
      <c r="AA2682" s="1063"/>
      <c r="AB2682" s="1063"/>
      <c r="AC2682" s="1063"/>
      <c r="AD2682" s="1063"/>
      <c r="AE2682" s="1063"/>
      <c r="AF2682" s="1063"/>
      <c r="AG2682" s="1063"/>
      <c r="AH2682" s="1063"/>
      <c r="AI2682" s="1063"/>
      <c r="AJ2682" s="1063"/>
      <c r="AK2682" s="1063"/>
      <c r="AL2682" s="1063"/>
      <c r="AM2682" s="1063"/>
      <c r="AN2682" s="1063"/>
      <c r="AO2682" s="1063"/>
      <c r="AP2682" s="1063"/>
      <c r="AQ2682" s="1063"/>
      <c r="AR2682" s="1063"/>
      <c r="AS2682" s="1063"/>
      <c r="AT2682" s="1063"/>
      <c r="AU2682" s="1063"/>
      <c r="AV2682" s="1063"/>
    </row>
    <row r="2683" spans="1:48" s="1108" customFormat="1" ht="27.75" customHeight="1">
      <c r="A2683" s="1076"/>
      <c r="B2683" s="1074">
        <f>+'[18]Bldg+Dev'!S3495</f>
        <v>0</v>
      </c>
      <c r="D2683" s="1063"/>
      <c r="F2683" s="1076"/>
      <c r="G2683" s="1063"/>
      <c r="H2683" s="1063"/>
      <c r="I2683" s="1063"/>
      <c r="J2683" s="1063"/>
      <c r="K2683" s="1063"/>
      <c r="L2683" s="1063"/>
      <c r="M2683" s="1063"/>
      <c r="N2683" s="1063"/>
      <c r="O2683" s="1063"/>
      <c r="P2683" s="1063"/>
      <c r="Q2683" s="1063"/>
      <c r="R2683" s="1063"/>
      <c r="S2683" s="1063"/>
      <c r="T2683" s="1063"/>
      <c r="U2683" s="1063"/>
      <c r="V2683" s="1063"/>
      <c r="W2683" s="1063"/>
      <c r="X2683" s="1063"/>
      <c r="Y2683" s="1063"/>
      <c r="Z2683" s="1063"/>
      <c r="AA2683" s="1063"/>
      <c r="AB2683" s="1063"/>
      <c r="AC2683" s="1063"/>
      <c r="AD2683" s="1063"/>
      <c r="AE2683" s="1063"/>
      <c r="AF2683" s="1063"/>
      <c r="AG2683" s="1063"/>
      <c r="AH2683" s="1063"/>
      <c r="AI2683" s="1063"/>
      <c r="AJ2683" s="1063"/>
      <c r="AK2683" s="1063"/>
      <c r="AL2683" s="1063"/>
      <c r="AM2683" s="1063"/>
      <c r="AN2683" s="1063"/>
      <c r="AO2683" s="1063"/>
      <c r="AP2683" s="1063"/>
      <c r="AQ2683" s="1063"/>
      <c r="AR2683" s="1063"/>
      <c r="AS2683" s="1063"/>
      <c r="AT2683" s="1063"/>
      <c r="AU2683" s="1063"/>
      <c r="AV2683" s="1063"/>
    </row>
    <row r="2684" spans="1:48" s="1108" customFormat="1" ht="27.75" customHeight="1">
      <c r="A2684" s="1076"/>
      <c r="B2684" s="1074">
        <f>+'[18]Bldg+Dev'!S3496</f>
        <v>0</v>
      </c>
      <c r="D2684" s="1063"/>
      <c r="F2684" s="1076"/>
      <c r="G2684" s="1063"/>
      <c r="H2684" s="1063"/>
      <c r="I2684" s="1063"/>
      <c r="J2684" s="1063"/>
      <c r="K2684" s="1063"/>
      <c r="L2684" s="1063"/>
      <c r="M2684" s="1063"/>
      <c r="N2684" s="1063"/>
      <c r="O2684" s="1063"/>
      <c r="P2684" s="1063"/>
      <c r="Q2684" s="1063"/>
      <c r="R2684" s="1063"/>
      <c r="S2684" s="1063"/>
      <c r="T2684" s="1063"/>
      <c r="U2684" s="1063"/>
      <c r="V2684" s="1063"/>
      <c r="W2684" s="1063"/>
      <c r="X2684" s="1063"/>
      <c r="Y2684" s="1063"/>
      <c r="Z2684" s="1063"/>
      <c r="AA2684" s="1063"/>
      <c r="AB2684" s="1063"/>
      <c r="AC2684" s="1063"/>
      <c r="AD2684" s="1063"/>
      <c r="AE2684" s="1063"/>
      <c r="AF2684" s="1063"/>
      <c r="AG2684" s="1063"/>
      <c r="AH2684" s="1063"/>
      <c r="AI2684" s="1063"/>
      <c r="AJ2684" s="1063"/>
      <c r="AK2684" s="1063"/>
      <c r="AL2684" s="1063"/>
      <c r="AM2684" s="1063"/>
      <c r="AN2684" s="1063"/>
      <c r="AO2684" s="1063"/>
      <c r="AP2684" s="1063"/>
      <c r="AQ2684" s="1063"/>
      <c r="AR2684" s="1063"/>
      <c r="AS2684" s="1063"/>
      <c r="AT2684" s="1063"/>
      <c r="AU2684" s="1063"/>
      <c r="AV2684" s="1063"/>
    </row>
    <row r="2685" spans="1:48" s="1108" customFormat="1" ht="27.75" customHeight="1">
      <c r="A2685" s="1076"/>
      <c r="B2685" s="1074">
        <f>+'[18]Bldg+Dev'!S3497</f>
        <v>0</v>
      </c>
      <c r="D2685" s="1063"/>
      <c r="F2685" s="1076"/>
      <c r="G2685" s="1063"/>
      <c r="H2685" s="1063"/>
      <c r="I2685" s="1063"/>
      <c r="J2685" s="1063"/>
      <c r="K2685" s="1063"/>
      <c r="L2685" s="1063"/>
      <c r="M2685" s="1063"/>
      <c r="N2685" s="1063"/>
      <c r="O2685" s="1063"/>
      <c r="P2685" s="1063"/>
      <c r="Q2685" s="1063"/>
      <c r="R2685" s="1063"/>
      <c r="S2685" s="1063"/>
      <c r="T2685" s="1063"/>
      <c r="U2685" s="1063"/>
      <c r="V2685" s="1063"/>
      <c r="W2685" s="1063"/>
      <c r="X2685" s="1063"/>
      <c r="Y2685" s="1063"/>
      <c r="Z2685" s="1063"/>
      <c r="AA2685" s="1063"/>
      <c r="AB2685" s="1063"/>
      <c r="AC2685" s="1063"/>
      <c r="AD2685" s="1063"/>
      <c r="AE2685" s="1063"/>
      <c r="AF2685" s="1063"/>
      <c r="AG2685" s="1063"/>
      <c r="AH2685" s="1063"/>
      <c r="AI2685" s="1063"/>
      <c r="AJ2685" s="1063"/>
      <c r="AK2685" s="1063"/>
      <c r="AL2685" s="1063"/>
      <c r="AM2685" s="1063"/>
      <c r="AN2685" s="1063"/>
      <c r="AO2685" s="1063"/>
      <c r="AP2685" s="1063"/>
      <c r="AQ2685" s="1063"/>
      <c r="AR2685" s="1063"/>
      <c r="AS2685" s="1063"/>
      <c r="AT2685" s="1063"/>
      <c r="AU2685" s="1063"/>
      <c r="AV2685" s="1063"/>
    </row>
    <row r="2686" spans="1:48" s="1108" customFormat="1" ht="27.75" customHeight="1">
      <c r="A2686" s="1076"/>
      <c r="B2686" s="1074">
        <f>+'[18]Bldg+Dev'!S3498</f>
        <v>0</v>
      </c>
      <c r="D2686" s="1063"/>
      <c r="F2686" s="1076"/>
      <c r="G2686" s="1063"/>
      <c r="H2686" s="1063"/>
      <c r="I2686" s="1063"/>
      <c r="J2686" s="1063"/>
      <c r="K2686" s="1063"/>
      <c r="L2686" s="1063"/>
      <c r="M2686" s="1063"/>
      <c r="N2686" s="1063"/>
      <c r="O2686" s="1063"/>
      <c r="P2686" s="1063"/>
      <c r="Q2686" s="1063"/>
      <c r="R2686" s="1063"/>
      <c r="S2686" s="1063"/>
      <c r="T2686" s="1063"/>
      <c r="U2686" s="1063"/>
      <c r="V2686" s="1063"/>
      <c r="W2686" s="1063"/>
      <c r="X2686" s="1063"/>
      <c r="Y2686" s="1063"/>
      <c r="Z2686" s="1063"/>
      <c r="AA2686" s="1063"/>
      <c r="AB2686" s="1063"/>
      <c r="AC2686" s="1063"/>
      <c r="AD2686" s="1063"/>
      <c r="AE2686" s="1063"/>
      <c r="AF2686" s="1063"/>
      <c r="AG2686" s="1063"/>
      <c r="AH2686" s="1063"/>
      <c r="AI2686" s="1063"/>
      <c r="AJ2686" s="1063"/>
      <c r="AK2686" s="1063"/>
      <c r="AL2686" s="1063"/>
      <c r="AM2686" s="1063"/>
      <c r="AN2686" s="1063"/>
      <c r="AO2686" s="1063"/>
      <c r="AP2686" s="1063"/>
      <c r="AQ2686" s="1063"/>
      <c r="AR2686" s="1063"/>
      <c r="AS2686" s="1063"/>
      <c r="AT2686" s="1063"/>
      <c r="AU2686" s="1063"/>
      <c r="AV2686" s="1063"/>
    </row>
    <row r="2687" spans="1:48" s="1108" customFormat="1" ht="27.75" customHeight="1">
      <c r="A2687" s="1076"/>
      <c r="B2687" s="1074">
        <f>+'[18]Bldg+Dev'!S3499</f>
        <v>0</v>
      </c>
      <c r="D2687" s="1063"/>
      <c r="F2687" s="1076"/>
      <c r="G2687" s="1063"/>
      <c r="H2687" s="1063"/>
      <c r="I2687" s="1063"/>
      <c r="J2687" s="1063"/>
      <c r="K2687" s="1063"/>
      <c r="L2687" s="1063"/>
      <c r="M2687" s="1063"/>
      <c r="N2687" s="1063"/>
      <c r="O2687" s="1063"/>
      <c r="P2687" s="1063"/>
      <c r="Q2687" s="1063"/>
      <c r="R2687" s="1063"/>
      <c r="S2687" s="1063"/>
      <c r="T2687" s="1063"/>
      <c r="U2687" s="1063"/>
      <c r="V2687" s="1063"/>
      <c r="W2687" s="1063"/>
      <c r="X2687" s="1063"/>
      <c r="Y2687" s="1063"/>
      <c r="Z2687" s="1063"/>
      <c r="AA2687" s="1063"/>
      <c r="AB2687" s="1063"/>
      <c r="AC2687" s="1063"/>
      <c r="AD2687" s="1063"/>
      <c r="AE2687" s="1063"/>
      <c r="AF2687" s="1063"/>
      <c r="AG2687" s="1063"/>
      <c r="AH2687" s="1063"/>
      <c r="AI2687" s="1063"/>
      <c r="AJ2687" s="1063"/>
      <c r="AK2687" s="1063"/>
      <c r="AL2687" s="1063"/>
      <c r="AM2687" s="1063"/>
      <c r="AN2687" s="1063"/>
      <c r="AO2687" s="1063"/>
      <c r="AP2687" s="1063"/>
      <c r="AQ2687" s="1063"/>
      <c r="AR2687" s="1063"/>
      <c r="AS2687" s="1063"/>
      <c r="AT2687" s="1063"/>
      <c r="AU2687" s="1063"/>
      <c r="AV2687" s="1063"/>
    </row>
    <row r="2688" spans="1:48" s="1108" customFormat="1" ht="27.75" customHeight="1">
      <c r="A2688" s="1076"/>
      <c r="B2688" s="1074">
        <f>+'[18]Bldg+Dev'!S3500</f>
        <v>0</v>
      </c>
      <c r="D2688" s="1063"/>
      <c r="F2688" s="1076"/>
      <c r="G2688" s="1063"/>
      <c r="H2688" s="1063"/>
      <c r="I2688" s="1063"/>
      <c r="J2688" s="1063"/>
      <c r="K2688" s="1063"/>
      <c r="L2688" s="1063"/>
      <c r="M2688" s="1063"/>
      <c r="N2688" s="1063"/>
      <c r="O2688" s="1063"/>
      <c r="P2688" s="1063"/>
      <c r="Q2688" s="1063"/>
      <c r="R2688" s="1063"/>
      <c r="S2688" s="1063"/>
      <c r="T2688" s="1063"/>
      <c r="U2688" s="1063"/>
      <c r="V2688" s="1063"/>
      <c r="W2688" s="1063"/>
      <c r="X2688" s="1063"/>
      <c r="Y2688" s="1063"/>
      <c r="Z2688" s="1063"/>
      <c r="AA2688" s="1063"/>
      <c r="AB2688" s="1063"/>
      <c r="AC2688" s="1063"/>
      <c r="AD2688" s="1063"/>
      <c r="AE2688" s="1063"/>
      <c r="AF2688" s="1063"/>
      <c r="AG2688" s="1063"/>
      <c r="AH2688" s="1063"/>
      <c r="AI2688" s="1063"/>
      <c r="AJ2688" s="1063"/>
      <c r="AK2688" s="1063"/>
      <c r="AL2688" s="1063"/>
      <c r="AM2688" s="1063"/>
      <c r="AN2688" s="1063"/>
      <c r="AO2688" s="1063"/>
      <c r="AP2688" s="1063"/>
      <c r="AQ2688" s="1063"/>
      <c r="AR2688" s="1063"/>
      <c r="AS2688" s="1063"/>
      <c r="AT2688" s="1063"/>
      <c r="AU2688" s="1063"/>
      <c r="AV2688" s="1063"/>
    </row>
    <row r="2689" spans="1:48" s="1108" customFormat="1" ht="27.75" customHeight="1">
      <c r="A2689" s="1076"/>
      <c r="B2689" s="1074">
        <f>+'[18]Bldg+Dev'!S3501</f>
        <v>0</v>
      </c>
      <c r="D2689" s="1063"/>
      <c r="F2689" s="1076"/>
      <c r="G2689" s="1063"/>
      <c r="H2689" s="1063"/>
      <c r="I2689" s="1063"/>
      <c r="J2689" s="1063"/>
      <c r="K2689" s="1063"/>
      <c r="L2689" s="1063"/>
      <c r="M2689" s="1063"/>
      <c r="N2689" s="1063"/>
      <c r="O2689" s="1063"/>
      <c r="P2689" s="1063"/>
      <c r="Q2689" s="1063"/>
      <c r="R2689" s="1063"/>
      <c r="S2689" s="1063"/>
      <c r="T2689" s="1063"/>
      <c r="U2689" s="1063"/>
      <c r="V2689" s="1063"/>
      <c r="W2689" s="1063"/>
      <c r="X2689" s="1063"/>
      <c r="Y2689" s="1063"/>
      <c r="Z2689" s="1063"/>
      <c r="AA2689" s="1063"/>
      <c r="AB2689" s="1063"/>
      <c r="AC2689" s="1063"/>
      <c r="AD2689" s="1063"/>
      <c r="AE2689" s="1063"/>
      <c r="AF2689" s="1063"/>
      <c r="AG2689" s="1063"/>
      <c r="AH2689" s="1063"/>
      <c r="AI2689" s="1063"/>
      <c r="AJ2689" s="1063"/>
      <c r="AK2689" s="1063"/>
      <c r="AL2689" s="1063"/>
      <c r="AM2689" s="1063"/>
      <c r="AN2689" s="1063"/>
      <c r="AO2689" s="1063"/>
      <c r="AP2689" s="1063"/>
      <c r="AQ2689" s="1063"/>
      <c r="AR2689" s="1063"/>
      <c r="AS2689" s="1063"/>
      <c r="AT2689" s="1063"/>
      <c r="AU2689" s="1063"/>
      <c r="AV2689" s="1063"/>
    </row>
    <row r="2690" spans="1:48" s="1108" customFormat="1" ht="27.75" customHeight="1">
      <c r="A2690" s="1076"/>
      <c r="B2690" s="1074">
        <f>+'[18]Bldg+Dev'!S3502</f>
        <v>0</v>
      </c>
      <c r="D2690" s="1063"/>
      <c r="F2690" s="1076"/>
      <c r="G2690" s="1063"/>
      <c r="H2690" s="1063"/>
      <c r="I2690" s="1063"/>
      <c r="J2690" s="1063"/>
      <c r="K2690" s="1063"/>
      <c r="L2690" s="1063"/>
      <c r="M2690" s="1063"/>
      <c r="N2690" s="1063"/>
      <c r="O2690" s="1063"/>
      <c r="P2690" s="1063"/>
      <c r="Q2690" s="1063"/>
      <c r="R2690" s="1063"/>
      <c r="S2690" s="1063"/>
      <c r="T2690" s="1063"/>
      <c r="U2690" s="1063"/>
      <c r="V2690" s="1063"/>
      <c r="W2690" s="1063"/>
      <c r="X2690" s="1063"/>
      <c r="Y2690" s="1063"/>
      <c r="Z2690" s="1063"/>
      <c r="AA2690" s="1063"/>
      <c r="AB2690" s="1063"/>
      <c r="AC2690" s="1063"/>
      <c r="AD2690" s="1063"/>
      <c r="AE2690" s="1063"/>
      <c r="AF2690" s="1063"/>
      <c r="AG2690" s="1063"/>
      <c r="AH2690" s="1063"/>
      <c r="AI2690" s="1063"/>
      <c r="AJ2690" s="1063"/>
      <c r="AK2690" s="1063"/>
      <c r="AL2690" s="1063"/>
      <c r="AM2690" s="1063"/>
      <c r="AN2690" s="1063"/>
      <c r="AO2690" s="1063"/>
      <c r="AP2690" s="1063"/>
      <c r="AQ2690" s="1063"/>
      <c r="AR2690" s="1063"/>
      <c r="AS2690" s="1063"/>
      <c r="AT2690" s="1063"/>
      <c r="AU2690" s="1063"/>
      <c r="AV2690" s="1063"/>
    </row>
    <row r="2691" spans="1:48" s="1108" customFormat="1" ht="27.75" customHeight="1">
      <c r="A2691" s="1076"/>
      <c r="B2691" s="1074">
        <f>+'[18]Bldg+Dev'!S3503</f>
        <v>0</v>
      </c>
      <c r="D2691" s="1063"/>
      <c r="F2691" s="1076"/>
      <c r="G2691" s="1063"/>
      <c r="H2691" s="1063"/>
      <c r="I2691" s="1063"/>
      <c r="J2691" s="1063"/>
      <c r="K2691" s="1063"/>
      <c r="L2691" s="1063"/>
      <c r="M2691" s="1063"/>
      <c r="N2691" s="1063"/>
      <c r="O2691" s="1063"/>
      <c r="P2691" s="1063"/>
      <c r="Q2691" s="1063"/>
      <c r="R2691" s="1063"/>
      <c r="S2691" s="1063"/>
      <c r="T2691" s="1063"/>
      <c r="U2691" s="1063"/>
      <c r="V2691" s="1063"/>
      <c r="W2691" s="1063"/>
      <c r="X2691" s="1063"/>
      <c r="Y2691" s="1063"/>
      <c r="Z2691" s="1063"/>
      <c r="AA2691" s="1063"/>
      <c r="AB2691" s="1063"/>
      <c r="AC2691" s="1063"/>
      <c r="AD2691" s="1063"/>
      <c r="AE2691" s="1063"/>
      <c r="AF2691" s="1063"/>
      <c r="AG2691" s="1063"/>
      <c r="AH2691" s="1063"/>
      <c r="AI2691" s="1063"/>
      <c r="AJ2691" s="1063"/>
      <c r="AK2691" s="1063"/>
      <c r="AL2691" s="1063"/>
      <c r="AM2691" s="1063"/>
      <c r="AN2691" s="1063"/>
      <c r="AO2691" s="1063"/>
      <c r="AP2691" s="1063"/>
      <c r="AQ2691" s="1063"/>
      <c r="AR2691" s="1063"/>
      <c r="AS2691" s="1063"/>
      <c r="AT2691" s="1063"/>
      <c r="AU2691" s="1063"/>
      <c r="AV2691" s="1063"/>
    </row>
    <row r="2692" spans="1:48" s="1108" customFormat="1" ht="27.75" customHeight="1">
      <c r="A2692" s="1076"/>
      <c r="B2692" s="1074">
        <f>+'[18]Bldg+Dev'!S3504</f>
        <v>0</v>
      </c>
      <c r="D2692" s="1063"/>
      <c r="F2692" s="1076"/>
      <c r="G2692" s="1063"/>
      <c r="H2692" s="1063"/>
      <c r="I2692" s="1063"/>
      <c r="J2692" s="1063"/>
      <c r="K2692" s="1063"/>
      <c r="L2692" s="1063"/>
      <c r="M2692" s="1063"/>
      <c r="N2692" s="1063"/>
      <c r="O2692" s="1063"/>
      <c r="P2692" s="1063"/>
      <c r="Q2692" s="1063"/>
      <c r="R2692" s="1063"/>
      <c r="S2692" s="1063"/>
      <c r="T2692" s="1063"/>
      <c r="U2692" s="1063"/>
      <c r="V2692" s="1063"/>
      <c r="W2692" s="1063"/>
      <c r="X2692" s="1063"/>
      <c r="Y2692" s="1063"/>
      <c r="Z2692" s="1063"/>
      <c r="AA2692" s="1063"/>
      <c r="AB2692" s="1063"/>
      <c r="AC2692" s="1063"/>
      <c r="AD2692" s="1063"/>
      <c r="AE2692" s="1063"/>
      <c r="AF2692" s="1063"/>
      <c r="AG2692" s="1063"/>
      <c r="AH2692" s="1063"/>
      <c r="AI2692" s="1063"/>
      <c r="AJ2692" s="1063"/>
      <c r="AK2692" s="1063"/>
      <c r="AL2692" s="1063"/>
      <c r="AM2692" s="1063"/>
      <c r="AN2692" s="1063"/>
      <c r="AO2692" s="1063"/>
      <c r="AP2692" s="1063"/>
      <c r="AQ2692" s="1063"/>
      <c r="AR2692" s="1063"/>
      <c r="AS2692" s="1063"/>
      <c r="AT2692" s="1063"/>
      <c r="AU2692" s="1063"/>
      <c r="AV2692" s="1063"/>
    </row>
    <row r="2693" spans="1:48" s="1108" customFormat="1" ht="27.75" customHeight="1">
      <c r="A2693" s="1076"/>
      <c r="B2693" s="1074">
        <f>+'[18]Bldg+Dev'!S3505</f>
        <v>0</v>
      </c>
      <c r="D2693" s="1063"/>
      <c r="F2693" s="1076"/>
      <c r="G2693" s="1063"/>
      <c r="H2693" s="1063"/>
      <c r="I2693" s="1063"/>
      <c r="J2693" s="1063"/>
      <c r="K2693" s="1063"/>
      <c r="L2693" s="1063"/>
      <c r="M2693" s="1063"/>
      <c r="N2693" s="1063"/>
      <c r="O2693" s="1063"/>
      <c r="P2693" s="1063"/>
      <c r="Q2693" s="1063"/>
      <c r="R2693" s="1063"/>
      <c r="S2693" s="1063"/>
      <c r="T2693" s="1063"/>
      <c r="U2693" s="1063"/>
      <c r="V2693" s="1063"/>
      <c r="W2693" s="1063"/>
      <c r="X2693" s="1063"/>
      <c r="Y2693" s="1063"/>
      <c r="Z2693" s="1063"/>
      <c r="AA2693" s="1063"/>
      <c r="AB2693" s="1063"/>
      <c r="AC2693" s="1063"/>
      <c r="AD2693" s="1063"/>
      <c r="AE2693" s="1063"/>
      <c r="AF2693" s="1063"/>
      <c r="AG2693" s="1063"/>
      <c r="AH2693" s="1063"/>
      <c r="AI2693" s="1063"/>
      <c r="AJ2693" s="1063"/>
      <c r="AK2693" s="1063"/>
      <c r="AL2693" s="1063"/>
      <c r="AM2693" s="1063"/>
      <c r="AN2693" s="1063"/>
      <c r="AO2693" s="1063"/>
      <c r="AP2693" s="1063"/>
      <c r="AQ2693" s="1063"/>
      <c r="AR2693" s="1063"/>
      <c r="AS2693" s="1063"/>
      <c r="AT2693" s="1063"/>
      <c r="AU2693" s="1063"/>
      <c r="AV2693" s="1063"/>
    </row>
    <row r="2694" spans="1:48" s="1108" customFormat="1" ht="27.75" customHeight="1">
      <c r="A2694" s="1076"/>
      <c r="B2694" s="1074">
        <f>+'[18]Bldg+Dev'!S3506</f>
        <v>0</v>
      </c>
      <c r="D2694" s="1063"/>
      <c r="F2694" s="1076"/>
      <c r="G2694" s="1063"/>
      <c r="H2694" s="1063"/>
      <c r="I2694" s="1063"/>
      <c r="J2694" s="1063"/>
      <c r="K2694" s="1063"/>
      <c r="L2694" s="1063"/>
      <c r="M2694" s="1063"/>
      <c r="N2694" s="1063"/>
      <c r="O2694" s="1063"/>
      <c r="P2694" s="1063"/>
      <c r="Q2694" s="1063"/>
      <c r="R2694" s="1063"/>
      <c r="S2694" s="1063"/>
      <c r="T2694" s="1063"/>
      <c r="U2694" s="1063"/>
      <c r="V2694" s="1063"/>
      <c r="W2694" s="1063"/>
      <c r="X2694" s="1063"/>
      <c r="Y2694" s="1063"/>
      <c r="Z2694" s="1063"/>
      <c r="AA2694" s="1063"/>
      <c r="AB2694" s="1063"/>
      <c r="AC2694" s="1063"/>
      <c r="AD2694" s="1063"/>
      <c r="AE2694" s="1063"/>
      <c r="AF2694" s="1063"/>
      <c r="AG2694" s="1063"/>
      <c r="AH2694" s="1063"/>
      <c r="AI2694" s="1063"/>
      <c r="AJ2694" s="1063"/>
      <c r="AK2694" s="1063"/>
      <c r="AL2694" s="1063"/>
      <c r="AM2694" s="1063"/>
      <c r="AN2694" s="1063"/>
      <c r="AO2694" s="1063"/>
      <c r="AP2694" s="1063"/>
      <c r="AQ2694" s="1063"/>
      <c r="AR2694" s="1063"/>
      <c r="AS2694" s="1063"/>
      <c r="AT2694" s="1063"/>
      <c r="AU2694" s="1063"/>
      <c r="AV2694" s="1063"/>
    </row>
    <row r="2695" spans="1:48" s="1108" customFormat="1" ht="27.75" customHeight="1">
      <c r="A2695" s="1076"/>
      <c r="B2695" s="1074">
        <f>+'[18]Bldg+Dev'!S3507</f>
        <v>0</v>
      </c>
      <c r="D2695" s="1063"/>
      <c r="F2695" s="1076"/>
      <c r="G2695" s="1063"/>
      <c r="H2695" s="1063"/>
      <c r="I2695" s="1063"/>
      <c r="J2695" s="1063"/>
      <c r="K2695" s="1063"/>
      <c r="L2695" s="1063"/>
      <c r="M2695" s="1063"/>
      <c r="N2695" s="1063"/>
      <c r="O2695" s="1063"/>
      <c r="P2695" s="1063"/>
      <c r="Q2695" s="1063"/>
      <c r="R2695" s="1063"/>
      <c r="S2695" s="1063"/>
      <c r="T2695" s="1063"/>
      <c r="U2695" s="1063"/>
      <c r="V2695" s="1063"/>
      <c r="W2695" s="1063"/>
      <c r="X2695" s="1063"/>
      <c r="Y2695" s="1063"/>
      <c r="Z2695" s="1063"/>
      <c r="AA2695" s="1063"/>
      <c r="AB2695" s="1063"/>
      <c r="AC2695" s="1063"/>
      <c r="AD2695" s="1063"/>
      <c r="AE2695" s="1063"/>
      <c r="AF2695" s="1063"/>
      <c r="AG2695" s="1063"/>
      <c r="AH2695" s="1063"/>
      <c r="AI2695" s="1063"/>
      <c r="AJ2695" s="1063"/>
      <c r="AK2695" s="1063"/>
      <c r="AL2695" s="1063"/>
      <c r="AM2695" s="1063"/>
      <c r="AN2695" s="1063"/>
      <c r="AO2695" s="1063"/>
      <c r="AP2695" s="1063"/>
      <c r="AQ2695" s="1063"/>
      <c r="AR2695" s="1063"/>
      <c r="AS2695" s="1063"/>
      <c r="AT2695" s="1063"/>
      <c r="AU2695" s="1063"/>
      <c r="AV2695" s="1063"/>
    </row>
    <row r="2696" spans="1:48" s="1108" customFormat="1" ht="27.75" customHeight="1">
      <c r="A2696" s="1076"/>
      <c r="B2696" s="1074">
        <f>+'[18]Bldg+Dev'!S3508</f>
        <v>0</v>
      </c>
      <c r="D2696" s="1063"/>
      <c r="F2696" s="1076"/>
      <c r="G2696" s="1063"/>
      <c r="H2696" s="1063"/>
      <c r="I2696" s="1063"/>
      <c r="J2696" s="1063"/>
      <c r="K2696" s="1063"/>
      <c r="L2696" s="1063"/>
      <c r="M2696" s="1063"/>
      <c r="N2696" s="1063"/>
      <c r="O2696" s="1063"/>
      <c r="P2696" s="1063"/>
      <c r="Q2696" s="1063"/>
      <c r="R2696" s="1063"/>
      <c r="S2696" s="1063"/>
      <c r="T2696" s="1063"/>
      <c r="U2696" s="1063"/>
      <c r="V2696" s="1063"/>
      <c r="W2696" s="1063"/>
      <c r="X2696" s="1063"/>
      <c r="Y2696" s="1063"/>
      <c r="Z2696" s="1063"/>
      <c r="AA2696" s="1063"/>
      <c r="AB2696" s="1063"/>
      <c r="AC2696" s="1063"/>
      <c r="AD2696" s="1063"/>
      <c r="AE2696" s="1063"/>
      <c r="AF2696" s="1063"/>
      <c r="AG2696" s="1063"/>
      <c r="AH2696" s="1063"/>
      <c r="AI2696" s="1063"/>
      <c r="AJ2696" s="1063"/>
      <c r="AK2696" s="1063"/>
      <c r="AL2696" s="1063"/>
      <c r="AM2696" s="1063"/>
      <c r="AN2696" s="1063"/>
      <c r="AO2696" s="1063"/>
      <c r="AP2696" s="1063"/>
      <c r="AQ2696" s="1063"/>
      <c r="AR2696" s="1063"/>
      <c r="AS2696" s="1063"/>
      <c r="AT2696" s="1063"/>
      <c r="AU2696" s="1063"/>
      <c r="AV2696" s="1063"/>
    </row>
    <row r="2697" spans="1:48" s="1108" customFormat="1" ht="27.75" customHeight="1">
      <c r="A2697" s="1076"/>
      <c r="B2697" s="1074">
        <f>+'[18]Bldg+Dev'!S3509</f>
        <v>0</v>
      </c>
      <c r="D2697" s="1063"/>
      <c r="F2697" s="1076"/>
      <c r="G2697" s="1063"/>
      <c r="H2697" s="1063"/>
      <c r="I2697" s="1063"/>
      <c r="J2697" s="1063"/>
      <c r="K2697" s="1063"/>
      <c r="L2697" s="1063"/>
      <c r="M2697" s="1063"/>
      <c r="N2697" s="1063"/>
      <c r="O2697" s="1063"/>
      <c r="P2697" s="1063"/>
      <c r="Q2697" s="1063"/>
      <c r="R2697" s="1063"/>
      <c r="S2697" s="1063"/>
      <c r="T2697" s="1063"/>
      <c r="U2697" s="1063"/>
      <c r="V2697" s="1063"/>
      <c r="W2697" s="1063"/>
      <c r="X2697" s="1063"/>
      <c r="Y2697" s="1063"/>
      <c r="Z2697" s="1063"/>
      <c r="AA2697" s="1063"/>
      <c r="AB2697" s="1063"/>
      <c r="AC2697" s="1063"/>
      <c r="AD2697" s="1063"/>
      <c r="AE2697" s="1063"/>
      <c r="AF2697" s="1063"/>
      <c r="AG2697" s="1063"/>
      <c r="AH2697" s="1063"/>
      <c r="AI2697" s="1063"/>
      <c r="AJ2697" s="1063"/>
      <c r="AK2697" s="1063"/>
      <c r="AL2697" s="1063"/>
      <c r="AM2697" s="1063"/>
      <c r="AN2697" s="1063"/>
      <c r="AO2697" s="1063"/>
      <c r="AP2697" s="1063"/>
      <c r="AQ2697" s="1063"/>
      <c r="AR2697" s="1063"/>
      <c r="AS2697" s="1063"/>
      <c r="AT2697" s="1063"/>
      <c r="AU2697" s="1063"/>
      <c r="AV2697" s="1063"/>
    </row>
    <row r="2698" spans="1:48" s="1108" customFormat="1" ht="27.75" customHeight="1">
      <c r="A2698" s="1076"/>
      <c r="B2698" s="1074">
        <f>+'[18]Bldg+Dev'!S3510</f>
        <v>0</v>
      </c>
      <c r="D2698" s="1063"/>
      <c r="F2698" s="1076"/>
      <c r="G2698" s="1063"/>
      <c r="H2698" s="1063"/>
      <c r="I2698" s="1063"/>
      <c r="J2698" s="1063"/>
      <c r="K2698" s="1063"/>
      <c r="L2698" s="1063"/>
      <c r="M2698" s="1063"/>
      <c r="N2698" s="1063"/>
      <c r="O2698" s="1063"/>
      <c r="P2698" s="1063"/>
      <c r="Q2698" s="1063"/>
      <c r="R2698" s="1063"/>
      <c r="S2698" s="1063"/>
      <c r="T2698" s="1063"/>
      <c r="U2698" s="1063"/>
      <c r="V2698" s="1063"/>
      <c r="W2698" s="1063"/>
      <c r="X2698" s="1063"/>
      <c r="Y2698" s="1063"/>
      <c r="Z2698" s="1063"/>
      <c r="AA2698" s="1063"/>
      <c r="AB2698" s="1063"/>
      <c r="AC2698" s="1063"/>
      <c r="AD2698" s="1063"/>
      <c r="AE2698" s="1063"/>
      <c r="AF2698" s="1063"/>
      <c r="AG2698" s="1063"/>
      <c r="AH2698" s="1063"/>
      <c r="AI2698" s="1063"/>
      <c r="AJ2698" s="1063"/>
      <c r="AK2698" s="1063"/>
      <c r="AL2698" s="1063"/>
      <c r="AM2698" s="1063"/>
      <c r="AN2698" s="1063"/>
      <c r="AO2698" s="1063"/>
      <c r="AP2698" s="1063"/>
      <c r="AQ2698" s="1063"/>
      <c r="AR2698" s="1063"/>
      <c r="AS2698" s="1063"/>
      <c r="AT2698" s="1063"/>
      <c r="AU2698" s="1063"/>
      <c r="AV2698" s="1063"/>
    </row>
    <row r="2699" spans="1:48" s="1108" customFormat="1" ht="27.75" customHeight="1">
      <c r="A2699" s="1076"/>
      <c r="B2699" s="1074">
        <f>+'[18]Bldg+Dev'!S3511</f>
        <v>0</v>
      </c>
      <c r="D2699" s="1063"/>
      <c r="F2699" s="1076"/>
      <c r="G2699" s="1063"/>
      <c r="H2699" s="1063"/>
      <c r="I2699" s="1063"/>
      <c r="J2699" s="1063"/>
      <c r="K2699" s="1063"/>
      <c r="L2699" s="1063"/>
      <c r="M2699" s="1063"/>
      <c r="N2699" s="1063"/>
      <c r="O2699" s="1063"/>
      <c r="P2699" s="1063"/>
      <c r="Q2699" s="1063"/>
      <c r="R2699" s="1063"/>
      <c r="S2699" s="1063"/>
      <c r="T2699" s="1063"/>
      <c r="U2699" s="1063"/>
      <c r="V2699" s="1063"/>
      <c r="W2699" s="1063"/>
      <c r="X2699" s="1063"/>
      <c r="Y2699" s="1063"/>
      <c r="Z2699" s="1063"/>
      <c r="AA2699" s="1063"/>
      <c r="AB2699" s="1063"/>
      <c r="AC2699" s="1063"/>
      <c r="AD2699" s="1063"/>
      <c r="AE2699" s="1063"/>
      <c r="AF2699" s="1063"/>
      <c r="AG2699" s="1063"/>
      <c r="AH2699" s="1063"/>
      <c r="AI2699" s="1063"/>
      <c r="AJ2699" s="1063"/>
      <c r="AK2699" s="1063"/>
      <c r="AL2699" s="1063"/>
      <c r="AM2699" s="1063"/>
      <c r="AN2699" s="1063"/>
      <c r="AO2699" s="1063"/>
      <c r="AP2699" s="1063"/>
      <c r="AQ2699" s="1063"/>
      <c r="AR2699" s="1063"/>
      <c r="AS2699" s="1063"/>
      <c r="AT2699" s="1063"/>
      <c r="AU2699" s="1063"/>
      <c r="AV2699" s="1063"/>
    </row>
    <row r="2700" spans="1:48" s="1108" customFormat="1" ht="27.75" customHeight="1">
      <c r="A2700" s="1076"/>
      <c r="B2700" s="1074">
        <f>+'[18]Bldg+Dev'!S3512</f>
        <v>0</v>
      </c>
      <c r="D2700" s="1063"/>
      <c r="F2700" s="1076"/>
      <c r="G2700" s="1063"/>
      <c r="H2700" s="1063"/>
      <c r="I2700" s="1063"/>
      <c r="J2700" s="1063"/>
      <c r="K2700" s="1063"/>
      <c r="L2700" s="1063"/>
      <c r="M2700" s="1063"/>
      <c r="N2700" s="1063"/>
      <c r="O2700" s="1063"/>
      <c r="P2700" s="1063"/>
      <c r="Q2700" s="1063"/>
      <c r="R2700" s="1063"/>
      <c r="S2700" s="1063"/>
      <c r="T2700" s="1063"/>
      <c r="U2700" s="1063"/>
      <c r="V2700" s="1063"/>
      <c r="W2700" s="1063"/>
      <c r="X2700" s="1063"/>
      <c r="Y2700" s="1063"/>
      <c r="Z2700" s="1063"/>
      <c r="AA2700" s="1063"/>
      <c r="AB2700" s="1063"/>
      <c r="AC2700" s="1063"/>
      <c r="AD2700" s="1063"/>
      <c r="AE2700" s="1063"/>
      <c r="AF2700" s="1063"/>
      <c r="AG2700" s="1063"/>
      <c r="AH2700" s="1063"/>
      <c r="AI2700" s="1063"/>
      <c r="AJ2700" s="1063"/>
      <c r="AK2700" s="1063"/>
      <c r="AL2700" s="1063"/>
      <c r="AM2700" s="1063"/>
      <c r="AN2700" s="1063"/>
      <c r="AO2700" s="1063"/>
      <c r="AP2700" s="1063"/>
      <c r="AQ2700" s="1063"/>
      <c r="AR2700" s="1063"/>
      <c r="AS2700" s="1063"/>
      <c r="AT2700" s="1063"/>
      <c r="AU2700" s="1063"/>
      <c r="AV2700" s="1063"/>
    </row>
    <row r="2701" spans="1:48" s="1108" customFormat="1" ht="27.75" customHeight="1">
      <c r="A2701" s="1076"/>
      <c r="B2701" s="1074">
        <f>+'[18]Bldg+Dev'!S3513</f>
        <v>0</v>
      </c>
      <c r="D2701" s="1063"/>
      <c r="F2701" s="1076"/>
      <c r="G2701" s="1063"/>
      <c r="H2701" s="1063"/>
      <c r="I2701" s="1063"/>
      <c r="J2701" s="1063"/>
      <c r="K2701" s="1063"/>
      <c r="L2701" s="1063"/>
      <c r="M2701" s="1063"/>
      <c r="N2701" s="1063"/>
      <c r="O2701" s="1063"/>
      <c r="P2701" s="1063"/>
      <c r="Q2701" s="1063"/>
      <c r="R2701" s="1063"/>
      <c r="S2701" s="1063"/>
      <c r="T2701" s="1063"/>
      <c r="U2701" s="1063"/>
      <c r="V2701" s="1063"/>
      <c r="W2701" s="1063"/>
      <c r="X2701" s="1063"/>
      <c r="Y2701" s="1063"/>
      <c r="Z2701" s="1063"/>
      <c r="AA2701" s="1063"/>
      <c r="AB2701" s="1063"/>
      <c r="AC2701" s="1063"/>
      <c r="AD2701" s="1063"/>
      <c r="AE2701" s="1063"/>
      <c r="AF2701" s="1063"/>
      <c r="AG2701" s="1063"/>
      <c r="AH2701" s="1063"/>
      <c r="AI2701" s="1063"/>
      <c r="AJ2701" s="1063"/>
      <c r="AK2701" s="1063"/>
      <c r="AL2701" s="1063"/>
      <c r="AM2701" s="1063"/>
      <c r="AN2701" s="1063"/>
      <c r="AO2701" s="1063"/>
      <c r="AP2701" s="1063"/>
      <c r="AQ2701" s="1063"/>
      <c r="AR2701" s="1063"/>
      <c r="AS2701" s="1063"/>
      <c r="AT2701" s="1063"/>
      <c r="AU2701" s="1063"/>
      <c r="AV2701" s="1063"/>
    </row>
    <row r="2702" spans="1:48" s="1108" customFormat="1" ht="27.75" customHeight="1">
      <c r="A2702" s="1076"/>
      <c r="B2702" s="1074">
        <f>+'[18]Bldg+Dev'!S3514</f>
        <v>0</v>
      </c>
      <c r="D2702" s="1063"/>
      <c r="F2702" s="1076"/>
      <c r="G2702" s="1063"/>
      <c r="H2702" s="1063"/>
      <c r="I2702" s="1063"/>
      <c r="J2702" s="1063"/>
      <c r="K2702" s="1063"/>
      <c r="L2702" s="1063"/>
      <c r="M2702" s="1063"/>
      <c r="N2702" s="1063"/>
      <c r="O2702" s="1063"/>
      <c r="P2702" s="1063"/>
      <c r="Q2702" s="1063"/>
      <c r="R2702" s="1063"/>
      <c r="S2702" s="1063"/>
      <c r="T2702" s="1063"/>
      <c r="U2702" s="1063"/>
      <c r="V2702" s="1063"/>
      <c r="W2702" s="1063"/>
      <c r="X2702" s="1063"/>
      <c r="Y2702" s="1063"/>
      <c r="Z2702" s="1063"/>
      <c r="AA2702" s="1063"/>
      <c r="AB2702" s="1063"/>
      <c r="AC2702" s="1063"/>
      <c r="AD2702" s="1063"/>
      <c r="AE2702" s="1063"/>
      <c r="AF2702" s="1063"/>
      <c r="AG2702" s="1063"/>
      <c r="AH2702" s="1063"/>
      <c r="AI2702" s="1063"/>
      <c r="AJ2702" s="1063"/>
      <c r="AK2702" s="1063"/>
      <c r="AL2702" s="1063"/>
      <c r="AM2702" s="1063"/>
      <c r="AN2702" s="1063"/>
      <c r="AO2702" s="1063"/>
      <c r="AP2702" s="1063"/>
      <c r="AQ2702" s="1063"/>
      <c r="AR2702" s="1063"/>
      <c r="AS2702" s="1063"/>
      <c r="AT2702" s="1063"/>
      <c r="AU2702" s="1063"/>
      <c r="AV2702" s="1063"/>
    </row>
    <row r="2703" spans="1:48" s="1108" customFormat="1" ht="27.75" customHeight="1">
      <c r="A2703" s="1076"/>
      <c r="B2703" s="1074">
        <f>+'[18]Bldg+Dev'!S3515</f>
        <v>0</v>
      </c>
      <c r="D2703" s="1063"/>
      <c r="F2703" s="1076"/>
      <c r="G2703" s="1063"/>
      <c r="H2703" s="1063"/>
      <c r="I2703" s="1063"/>
      <c r="J2703" s="1063"/>
      <c r="K2703" s="1063"/>
      <c r="L2703" s="1063"/>
      <c r="M2703" s="1063"/>
      <c r="N2703" s="1063"/>
      <c r="O2703" s="1063"/>
      <c r="P2703" s="1063"/>
      <c r="Q2703" s="1063"/>
      <c r="R2703" s="1063"/>
      <c r="S2703" s="1063"/>
      <c r="T2703" s="1063"/>
      <c r="U2703" s="1063"/>
      <c r="V2703" s="1063"/>
      <c r="W2703" s="1063"/>
      <c r="X2703" s="1063"/>
      <c r="Y2703" s="1063"/>
      <c r="Z2703" s="1063"/>
      <c r="AA2703" s="1063"/>
      <c r="AB2703" s="1063"/>
      <c r="AC2703" s="1063"/>
      <c r="AD2703" s="1063"/>
      <c r="AE2703" s="1063"/>
      <c r="AF2703" s="1063"/>
      <c r="AG2703" s="1063"/>
      <c r="AH2703" s="1063"/>
      <c r="AI2703" s="1063"/>
      <c r="AJ2703" s="1063"/>
      <c r="AK2703" s="1063"/>
      <c r="AL2703" s="1063"/>
      <c r="AM2703" s="1063"/>
      <c r="AN2703" s="1063"/>
      <c r="AO2703" s="1063"/>
      <c r="AP2703" s="1063"/>
      <c r="AQ2703" s="1063"/>
      <c r="AR2703" s="1063"/>
      <c r="AS2703" s="1063"/>
      <c r="AT2703" s="1063"/>
      <c r="AU2703" s="1063"/>
      <c r="AV2703" s="1063"/>
    </row>
    <row r="2704" spans="1:48" s="1108" customFormat="1" ht="27.75" customHeight="1">
      <c r="A2704" s="1076"/>
      <c r="B2704" s="1074">
        <f>+'[18]Bldg+Dev'!S3516</f>
        <v>0</v>
      </c>
      <c r="D2704" s="1063"/>
      <c r="F2704" s="1076"/>
      <c r="G2704" s="1063"/>
      <c r="H2704" s="1063"/>
      <c r="I2704" s="1063"/>
      <c r="J2704" s="1063"/>
      <c r="K2704" s="1063"/>
      <c r="L2704" s="1063"/>
      <c r="M2704" s="1063"/>
      <c r="N2704" s="1063"/>
      <c r="O2704" s="1063"/>
      <c r="P2704" s="1063"/>
      <c r="Q2704" s="1063"/>
      <c r="R2704" s="1063"/>
      <c r="S2704" s="1063"/>
      <c r="T2704" s="1063"/>
      <c r="U2704" s="1063"/>
      <c r="V2704" s="1063"/>
      <c r="W2704" s="1063"/>
      <c r="X2704" s="1063"/>
      <c r="Y2704" s="1063"/>
      <c r="Z2704" s="1063"/>
      <c r="AA2704" s="1063"/>
      <c r="AB2704" s="1063"/>
      <c r="AC2704" s="1063"/>
      <c r="AD2704" s="1063"/>
      <c r="AE2704" s="1063"/>
      <c r="AF2704" s="1063"/>
      <c r="AG2704" s="1063"/>
      <c r="AH2704" s="1063"/>
      <c r="AI2704" s="1063"/>
      <c r="AJ2704" s="1063"/>
      <c r="AK2704" s="1063"/>
      <c r="AL2704" s="1063"/>
      <c r="AM2704" s="1063"/>
      <c r="AN2704" s="1063"/>
      <c r="AO2704" s="1063"/>
      <c r="AP2704" s="1063"/>
      <c r="AQ2704" s="1063"/>
      <c r="AR2704" s="1063"/>
      <c r="AS2704" s="1063"/>
      <c r="AT2704" s="1063"/>
      <c r="AU2704" s="1063"/>
      <c r="AV2704" s="1063"/>
    </row>
    <row r="2705" spans="1:48" s="1108" customFormat="1" ht="27.75" customHeight="1">
      <c r="A2705" s="1076"/>
      <c r="B2705" s="1074">
        <f>+'[18]Bldg+Dev'!S3517</f>
        <v>0</v>
      </c>
      <c r="D2705" s="1063"/>
      <c r="F2705" s="1076"/>
      <c r="G2705" s="1063"/>
      <c r="H2705" s="1063"/>
      <c r="I2705" s="1063"/>
      <c r="J2705" s="1063"/>
      <c r="K2705" s="1063"/>
      <c r="L2705" s="1063"/>
      <c r="M2705" s="1063"/>
      <c r="N2705" s="1063"/>
      <c r="O2705" s="1063"/>
      <c r="P2705" s="1063"/>
      <c r="Q2705" s="1063"/>
      <c r="R2705" s="1063"/>
      <c r="S2705" s="1063"/>
      <c r="T2705" s="1063"/>
      <c r="U2705" s="1063"/>
      <c r="V2705" s="1063"/>
      <c r="W2705" s="1063"/>
      <c r="X2705" s="1063"/>
      <c r="Y2705" s="1063"/>
      <c r="Z2705" s="1063"/>
      <c r="AA2705" s="1063"/>
      <c r="AB2705" s="1063"/>
      <c r="AC2705" s="1063"/>
      <c r="AD2705" s="1063"/>
      <c r="AE2705" s="1063"/>
      <c r="AF2705" s="1063"/>
      <c r="AG2705" s="1063"/>
      <c r="AH2705" s="1063"/>
      <c r="AI2705" s="1063"/>
      <c r="AJ2705" s="1063"/>
      <c r="AK2705" s="1063"/>
      <c r="AL2705" s="1063"/>
      <c r="AM2705" s="1063"/>
      <c r="AN2705" s="1063"/>
      <c r="AO2705" s="1063"/>
      <c r="AP2705" s="1063"/>
      <c r="AQ2705" s="1063"/>
      <c r="AR2705" s="1063"/>
      <c r="AS2705" s="1063"/>
      <c r="AT2705" s="1063"/>
      <c r="AU2705" s="1063"/>
      <c r="AV2705" s="1063"/>
    </row>
    <row r="2706" spans="1:48" s="1108" customFormat="1" ht="27.75" customHeight="1">
      <c r="A2706" s="1076"/>
      <c r="B2706" s="1074">
        <f>+'[18]Bldg+Dev'!S3518</f>
        <v>0</v>
      </c>
      <c r="D2706" s="1063"/>
      <c r="F2706" s="1076"/>
      <c r="G2706" s="1063"/>
      <c r="H2706" s="1063"/>
      <c r="I2706" s="1063"/>
      <c r="J2706" s="1063"/>
      <c r="K2706" s="1063"/>
      <c r="L2706" s="1063"/>
      <c r="M2706" s="1063"/>
      <c r="N2706" s="1063"/>
      <c r="O2706" s="1063"/>
      <c r="P2706" s="1063"/>
      <c r="Q2706" s="1063"/>
      <c r="R2706" s="1063"/>
      <c r="S2706" s="1063"/>
      <c r="T2706" s="1063"/>
      <c r="U2706" s="1063"/>
      <c r="V2706" s="1063"/>
      <c r="W2706" s="1063"/>
      <c r="X2706" s="1063"/>
      <c r="Y2706" s="1063"/>
      <c r="Z2706" s="1063"/>
      <c r="AA2706" s="1063"/>
      <c r="AB2706" s="1063"/>
      <c r="AC2706" s="1063"/>
      <c r="AD2706" s="1063"/>
      <c r="AE2706" s="1063"/>
      <c r="AF2706" s="1063"/>
      <c r="AG2706" s="1063"/>
      <c r="AH2706" s="1063"/>
      <c r="AI2706" s="1063"/>
      <c r="AJ2706" s="1063"/>
      <c r="AK2706" s="1063"/>
      <c r="AL2706" s="1063"/>
      <c r="AM2706" s="1063"/>
      <c r="AN2706" s="1063"/>
      <c r="AO2706" s="1063"/>
      <c r="AP2706" s="1063"/>
      <c r="AQ2706" s="1063"/>
      <c r="AR2706" s="1063"/>
      <c r="AS2706" s="1063"/>
      <c r="AT2706" s="1063"/>
      <c r="AU2706" s="1063"/>
      <c r="AV2706" s="1063"/>
    </row>
    <row r="2707" spans="1:48" s="1108" customFormat="1" ht="27.75" customHeight="1">
      <c r="A2707" s="1076"/>
      <c r="B2707" s="1074">
        <f>+'[18]Bldg+Dev'!S3519</f>
        <v>0</v>
      </c>
      <c r="D2707" s="1063"/>
      <c r="F2707" s="1076"/>
      <c r="G2707" s="1063"/>
      <c r="H2707" s="1063"/>
      <c r="I2707" s="1063"/>
      <c r="J2707" s="1063"/>
      <c r="K2707" s="1063"/>
      <c r="L2707" s="1063"/>
      <c r="M2707" s="1063"/>
      <c r="N2707" s="1063"/>
      <c r="O2707" s="1063"/>
      <c r="P2707" s="1063"/>
      <c r="Q2707" s="1063"/>
      <c r="R2707" s="1063"/>
      <c r="S2707" s="1063"/>
      <c r="T2707" s="1063"/>
      <c r="U2707" s="1063"/>
      <c r="V2707" s="1063"/>
      <c r="W2707" s="1063"/>
      <c r="X2707" s="1063"/>
      <c r="Y2707" s="1063"/>
      <c r="Z2707" s="1063"/>
      <c r="AA2707" s="1063"/>
      <c r="AB2707" s="1063"/>
      <c r="AC2707" s="1063"/>
      <c r="AD2707" s="1063"/>
      <c r="AE2707" s="1063"/>
      <c r="AF2707" s="1063"/>
      <c r="AG2707" s="1063"/>
      <c r="AH2707" s="1063"/>
      <c r="AI2707" s="1063"/>
      <c r="AJ2707" s="1063"/>
      <c r="AK2707" s="1063"/>
      <c r="AL2707" s="1063"/>
      <c r="AM2707" s="1063"/>
      <c r="AN2707" s="1063"/>
      <c r="AO2707" s="1063"/>
      <c r="AP2707" s="1063"/>
      <c r="AQ2707" s="1063"/>
      <c r="AR2707" s="1063"/>
      <c r="AS2707" s="1063"/>
      <c r="AT2707" s="1063"/>
      <c r="AU2707" s="1063"/>
      <c r="AV2707" s="1063"/>
    </row>
    <row r="2708" spans="1:48" s="1108" customFormat="1" ht="27.75" customHeight="1">
      <c r="A2708" s="1076"/>
      <c r="B2708" s="1074">
        <f>+'[18]Bldg+Dev'!S3520</f>
        <v>0</v>
      </c>
      <c r="D2708" s="1063"/>
      <c r="F2708" s="1076"/>
      <c r="G2708" s="1063"/>
      <c r="H2708" s="1063"/>
      <c r="I2708" s="1063"/>
      <c r="J2708" s="1063"/>
      <c r="K2708" s="1063"/>
      <c r="L2708" s="1063"/>
      <c r="M2708" s="1063"/>
      <c r="N2708" s="1063"/>
      <c r="O2708" s="1063"/>
      <c r="P2708" s="1063"/>
      <c r="Q2708" s="1063"/>
      <c r="R2708" s="1063"/>
      <c r="S2708" s="1063"/>
      <c r="T2708" s="1063"/>
      <c r="U2708" s="1063"/>
      <c r="V2708" s="1063"/>
      <c r="W2708" s="1063"/>
      <c r="X2708" s="1063"/>
      <c r="Y2708" s="1063"/>
      <c r="Z2708" s="1063"/>
      <c r="AA2708" s="1063"/>
      <c r="AB2708" s="1063"/>
      <c r="AC2708" s="1063"/>
      <c r="AD2708" s="1063"/>
      <c r="AE2708" s="1063"/>
      <c r="AF2708" s="1063"/>
      <c r="AG2708" s="1063"/>
      <c r="AH2708" s="1063"/>
      <c r="AI2708" s="1063"/>
      <c r="AJ2708" s="1063"/>
      <c r="AK2708" s="1063"/>
      <c r="AL2708" s="1063"/>
      <c r="AM2708" s="1063"/>
      <c r="AN2708" s="1063"/>
      <c r="AO2708" s="1063"/>
      <c r="AP2708" s="1063"/>
      <c r="AQ2708" s="1063"/>
      <c r="AR2708" s="1063"/>
      <c r="AS2708" s="1063"/>
      <c r="AT2708" s="1063"/>
      <c r="AU2708" s="1063"/>
      <c r="AV2708" s="1063"/>
    </row>
    <row r="2709" spans="1:48" s="1108" customFormat="1" ht="27.75" customHeight="1">
      <c r="A2709" s="1076"/>
      <c r="B2709" s="1074">
        <f>+'[18]Bldg+Dev'!S3521</f>
        <v>0</v>
      </c>
      <c r="D2709" s="1063"/>
      <c r="F2709" s="1076"/>
      <c r="G2709" s="1063"/>
      <c r="H2709" s="1063"/>
      <c r="I2709" s="1063"/>
      <c r="J2709" s="1063"/>
      <c r="K2709" s="1063"/>
      <c r="L2709" s="1063"/>
      <c r="M2709" s="1063"/>
      <c r="N2709" s="1063"/>
      <c r="O2709" s="1063"/>
      <c r="P2709" s="1063"/>
      <c r="Q2709" s="1063"/>
      <c r="R2709" s="1063"/>
      <c r="S2709" s="1063"/>
      <c r="T2709" s="1063"/>
      <c r="U2709" s="1063"/>
      <c r="V2709" s="1063"/>
      <c r="W2709" s="1063"/>
      <c r="X2709" s="1063"/>
      <c r="Y2709" s="1063"/>
      <c r="Z2709" s="1063"/>
      <c r="AA2709" s="1063"/>
      <c r="AB2709" s="1063"/>
      <c r="AC2709" s="1063"/>
      <c r="AD2709" s="1063"/>
      <c r="AE2709" s="1063"/>
      <c r="AF2709" s="1063"/>
      <c r="AG2709" s="1063"/>
      <c r="AH2709" s="1063"/>
      <c r="AI2709" s="1063"/>
      <c r="AJ2709" s="1063"/>
      <c r="AK2709" s="1063"/>
      <c r="AL2709" s="1063"/>
      <c r="AM2709" s="1063"/>
      <c r="AN2709" s="1063"/>
      <c r="AO2709" s="1063"/>
      <c r="AP2709" s="1063"/>
      <c r="AQ2709" s="1063"/>
      <c r="AR2709" s="1063"/>
      <c r="AS2709" s="1063"/>
      <c r="AT2709" s="1063"/>
      <c r="AU2709" s="1063"/>
      <c r="AV2709" s="1063"/>
    </row>
    <row r="2710" spans="1:48" s="1108" customFormat="1" ht="27.75" customHeight="1">
      <c r="A2710" s="1076"/>
      <c r="B2710" s="1074">
        <f>+'[18]Bldg+Dev'!S3522</f>
        <v>0</v>
      </c>
      <c r="D2710" s="1063"/>
      <c r="F2710" s="1076"/>
      <c r="G2710" s="1063"/>
      <c r="H2710" s="1063"/>
      <c r="I2710" s="1063"/>
      <c r="J2710" s="1063"/>
      <c r="K2710" s="1063"/>
      <c r="L2710" s="1063"/>
      <c r="M2710" s="1063"/>
      <c r="N2710" s="1063"/>
      <c r="O2710" s="1063"/>
      <c r="P2710" s="1063"/>
      <c r="Q2710" s="1063"/>
      <c r="R2710" s="1063"/>
      <c r="S2710" s="1063"/>
      <c r="T2710" s="1063"/>
      <c r="U2710" s="1063"/>
      <c r="V2710" s="1063"/>
      <c r="W2710" s="1063"/>
      <c r="X2710" s="1063"/>
      <c r="Y2710" s="1063"/>
      <c r="Z2710" s="1063"/>
      <c r="AA2710" s="1063"/>
      <c r="AB2710" s="1063"/>
      <c r="AC2710" s="1063"/>
      <c r="AD2710" s="1063"/>
      <c r="AE2710" s="1063"/>
      <c r="AF2710" s="1063"/>
      <c r="AG2710" s="1063"/>
      <c r="AH2710" s="1063"/>
      <c r="AI2710" s="1063"/>
      <c r="AJ2710" s="1063"/>
      <c r="AK2710" s="1063"/>
      <c r="AL2710" s="1063"/>
      <c r="AM2710" s="1063"/>
      <c r="AN2710" s="1063"/>
      <c r="AO2710" s="1063"/>
      <c r="AP2710" s="1063"/>
      <c r="AQ2710" s="1063"/>
      <c r="AR2710" s="1063"/>
      <c r="AS2710" s="1063"/>
      <c r="AT2710" s="1063"/>
      <c r="AU2710" s="1063"/>
      <c r="AV2710" s="1063"/>
    </row>
    <row r="2711" spans="1:48" s="1108" customFormat="1" ht="27.75" customHeight="1">
      <c r="A2711" s="1076"/>
      <c r="B2711" s="1074">
        <f>+'[18]Bldg+Dev'!S3523</f>
        <v>0</v>
      </c>
      <c r="D2711" s="1063"/>
      <c r="F2711" s="1076"/>
      <c r="G2711" s="1063"/>
      <c r="H2711" s="1063"/>
      <c r="I2711" s="1063"/>
      <c r="J2711" s="1063"/>
      <c r="K2711" s="1063"/>
      <c r="L2711" s="1063"/>
      <c r="M2711" s="1063"/>
      <c r="N2711" s="1063"/>
      <c r="O2711" s="1063"/>
      <c r="P2711" s="1063"/>
      <c r="Q2711" s="1063"/>
      <c r="R2711" s="1063"/>
      <c r="S2711" s="1063"/>
      <c r="T2711" s="1063"/>
      <c r="U2711" s="1063"/>
      <c r="V2711" s="1063"/>
      <c r="W2711" s="1063"/>
      <c r="X2711" s="1063"/>
      <c r="Y2711" s="1063"/>
      <c r="Z2711" s="1063"/>
      <c r="AA2711" s="1063"/>
      <c r="AB2711" s="1063"/>
      <c r="AC2711" s="1063"/>
      <c r="AD2711" s="1063"/>
      <c r="AE2711" s="1063"/>
      <c r="AF2711" s="1063"/>
      <c r="AG2711" s="1063"/>
      <c r="AH2711" s="1063"/>
      <c r="AI2711" s="1063"/>
      <c r="AJ2711" s="1063"/>
      <c r="AK2711" s="1063"/>
      <c r="AL2711" s="1063"/>
      <c r="AM2711" s="1063"/>
      <c r="AN2711" s="1063"/>
      <c r="AO2711" s="1063"/>
      <c r="AP2711" s="1063"/>
      <c r="AQ2711" s="1063"/>
      <c r="AR2711" s="1063"/>
      <c r="AS2711" s="1063"/>
      <c r="AT2711" s="1063"/>
      <c r="AU2711" s="1063"/>
      <c r="AV2711" s="1063"/>
    </row>
    <row r="2712" spans="1:48" s="1108" customFormat="1" ht="27.75" customHeight="1">
      <c r="A2712" s="1076"/>
      <c r="B2712" s="1074">
        <f>+'[18]Bldg+Dev'!S3524</f>
        <v>0</v>
      </c>
      <c r="D2712" s="1063"/>
      <c r="F2712" s="1076"/>
      <c r="G2712" s="1063"/>
      <c r="H2712" s="1063"/>
      <c r="I2712" s="1063"/>
      <c r="J2712" s="1063"/>
      <c r="K2712" s="1063"/>
      <c r="L2712" s="1063"/>
      <c r="M2712" s="1063"/>
      <c r="N2712" s="1063"/>
      <c r="O2712" s="1063"/>
      <c r="P2712" s="1063"/>
      <c r="Q2712" s="1063"/>
      <c r="R2712" s="1063"/>
      <c r="S2712" s="1063"/>
      <c r="T2712" s="1063"/>
      <c r="U2712" s="1063"/>
      <c r="V2712" s="1063"/>
      <c r="W2712" s="1063"/>
      <c r="X2712" s="1063"/>
      <c r="Y2712" s="1063"/>
      <c r="Z2712" s="1063"/>
      <c r="AA2712" s="1063"/>
      <c r="AB2712" s="1063"/>
      <c r="AC2712" s="1063"/>
      <c r="AD2712" s="1063"/>
      <c r="AE2712" s="1063"/>
      <c r="AF2712" s="1063"/>
      <c r="AG2712" s="1063"/>
      <c r="AH2712" s="1063"/>
      <c r="AI2712" s="1063"/>
      <c r="AJ2712" s="1063"/>
      <c r="AK2712" s="1063"/>
      <c r="AL2712" s="1063"/>
      <c r="AM2712" s="1063"/>
      <c r="AN2712" s="1063"/>
      <c r="AO2712" s="1063"/>
      <c r="AP2712" s="1063"/>
      <c r="AQ2712" s="1063"/>
      <c r="AR2712" s="1063"/>
      <c r="AS2712" s="1063"/>
      <c r="AT2712" s="1063"/>
      <c r="AU2712" s="1063"/>
      <c r="AV2712" s="1063"/>
    </row>
    <row r="2713" spans="1:48" s="1108" customFormat="1" ht="27.75" customHeight="1">
      <c r="A2713" s="1076"/>
      <c r="B2713" s="1074">
        <f>+'[18]Bldg+Dev'!S3525</f>
        <v>0</v>
      </c>
      <c r="D2713" s="1063"/>
      <c r="F2713" s="1076"/>
      <c r="G2713" s="1063"/>
      <c r="H2713" s="1063"/>
      <c r="I2713" s="1063"/>
      <c r="J2713" s="1063"/>
      <c r="K2713" s="1063"/>
      <c r="L2713" s="1063"/>
      <c r="M2713" s="1063"/>
      <c r="N2713" s="1063"/>
      <c r="O2713" s="1063"/>
      <c r="P2713" s="1063"/>
      <c r="Q2713" s="1063"/>
      <c r="R2713" s="1063"/>
      <c r="S2713" s="1063"/>
      <c r="T2713" s="1063"/>
      <c r="U2713" s="1063"/>
      <c r="V2713" s="1063"/>
      <c r="W2713" s="1063"/>
      <c r="X2713" s="1063"/>
      <c r="Y2713" s="1063"/>
      <c r="Z2713" s="1063"/>
      <c r="AA2713" s="1063"/>
      <c r="AB2713" s="1063"/>
      <c r="AC2713" s="1063"/>
      <c r="AD2713" s="1063"/>
      <c r="AE2713" s="1063"/>
      <c r="AF2713" s="1063"/>
      <c r="AG2713" s="1063"/>
      <c r="AH2713" s="1063"/>
      <c r="AI2713" s="1063"/>
      <c r="AJ2713" s="1063"/>
      <c r="AK2713" s="1063"/>
      <c r="AL2713" s="1063"/>
      <c r="AM2713" s="1063"/>
      <c r="AN2713" s="1063"/>
      <c r="AO2713" s="1063"/>
      <c r="AP2713" s="1063"/>
      <c r="AQ2713" s="1063"/>
      <c r="AR2713" s="1063"/>
      <c r="AS2713" s="1063"/>
      <c r="AT2713" s="1063"/>
      <c r="AU2713" s="1063"/>
      <c r="AV2713" s="1063"/>
    </row>
    <row r="2714" spans="1:48" s="1108" customFormat="1" ht="27.75" customHeight="1">
      <c r="A2714" s="1076"/>
      <c r="B2714" s="1074">
        <f>+'[18]Bldg+Dev'!S3526</f>
        <v>0</v>
      </c>
      <c r="D2714" s="1063"/>
      <c r="F2714" s="1076"/>
      <c r="G2714" s="1063"/>
      <c r="H2714" s="1063"/>
      <c r="I2714" s="1063"/>
      <c r="J2714" s="1063"/>
      <c r="K2714" s="1063"/>
      <c r="L2714" s="1063"/>
      <c r="M2714" s="1063"/>
      <c r="N2714" s="1063"/>
      <c r="O2714" s="1063"/>
      <c r="P2714" s="1063"/>
      <c r="Q2714" s="1063"/>
      <c r="R2714" s="1063"/>
      <c r="S2714" s="1063"/>
      <c r="T2714" s="1063"/>
      <c r="U2714" s="1063"/>
      <c r="V2714" s="1063"/>
      <c r="W2714" s="1063"/>
      <c r="X2714" s="1063"/>
      <c r="Y2714" s="1063"/>
      <c r="Z2714" s="1063"/>
      <c r="AA2714" s="1063"/>
      <c r="AB2714" s="1063"/>
      <c r="AC2714" s="1063"/>
      <c r="AD2714" s="1063"/>
      <c r="AE2714" s="1063"/>
      <c r="AF2714" s="1063"/>
      <c r="AG2714" s="1063"/>
      <c r="AH2714" s="1063"/>
      <c r="AI2714" s="1063"/>
      <c r="AJ2714" s="1063"/>
      <c r="AK2714" s="1063"/>
      <c r="AL2714" s="1063"/>
      <c r="AM2714" s="1063"/>
      <c r="AN2714" s="1063"/>
      <c r="AO2714" s="1063"/>
      <c r="AP2714" s="1063"/>
      <c r="AQ2714" s="1063"/>
      <c r="AR2714" s="1063"/>
      <c r="AS2714" s="1063"/>
      <c r="AT2714" s="1063"/>
      <c r="AU2714" s="1063"/>
      <c r="AV2714" s="1063"/>
    </row>
    <row r="2715" spans="1:48" s="1108" customFormat="1" ht="27.75" customHeight="1">
      <c r="A2715" s="1076"/>
      <c r="B2715" s="1074">
        <f>+'[18]Bldg+Dev'!S3527</f>
        <v>0</v>
      </c>
      <c r="D2715" s="1063"/>
      <c r="F2715" s="1076"/>
      <c r="G2715" s="1063"/>
      <c r="H2715" s="1063"/>
      <c r="I2715" s="1063"/>
      <c r="J2715" s="1063"/>
      <c r="K2715" s="1063"/>
      <c r="L2715" s="1063"/>
      <c r="M2715" s="1063"/>
      <c r="N2715" s="1063"/>
      <c r="O2715" s="1063"/>
      <c r="P2715" s="1063"/>
      <c r="Q2715" s="1063"/>
      <c r="R2715" s="1063"/>
      <c r="S2715" s="1063"/>
      <c r="T2715" s="1063"/>
      <c r="U2715" s="1063"/>
      <c r="V2715" s="1063"/>
      <c r="W2715" s="1063"/>
      <c r="X2715" s="1063"/>
      <c r="Y2715" s="1063"/>
      <c r="Z2715" s="1063"/>
      <c r="AA2715" s="1063"/>
      <c r="AB2715" s="1063"/>
      <c r="AC2715" s="1063"/>
      <c r="AD2715" s="1063"/>
      <c r="AE2715" s="1063"/>
      <c r="AF2715" s="1063"/>
      <c r="AG2715" s="1063"/>
      <c r="AH2715" s="1063"/>
      <c r="AI2715" s="1063"/>
      <c r="AJ2715" s="1063"/>
      <c r="AK2715" s="1063"/>
      <c r="AL2715" s="1063"/>
      <c r="AM2715" s="1063"/>
      <c r="AN2715" s="1063"/>
      <c r="AO2715" s="1063"/>
      <c r="AP2715" s="1063"/>
      <c r="AQ2715" s="1063"/>
      <c r="AR2715" s="1063"/>
      <c r="AS2715" s="1063"/>
      <c r="AT2715" s="1063"/>
      <c r="AU2715" s="1063"/>
      <c r="AV2715" s="1063"/>
    </row>
    <row r="2716" spans="1:48" s="1108" customFormat="1" ht="27.75" customHeight="1">
      <c r="A2716" s="1076"/>
      <c r="B2716" s="1074">
        <f>+'[18]Bldg+Dev'!S3528</f>
        <v>0</v>
      </c>
      <c r="D2716" s="1063"/>
      <c r="F2716" s="1076"/>
      <c r="G2716" s="1063"/>
      <c r="H2716" s="1063"/>
      <c r="I2716" s="1063"/>
      <c r="J2716" s="1063"/>
      <c r="K2716" s="1063"/>
      <c r="L2716" s="1063"/>
      <c r="M2716" s="1063"/>
      <c r="N2716" s="1063"/>
      <c r="O2716" s="1063"/>
      <c r="P2716" s="1063"/>
      <c r="Q2716" s="1063"/>
      <c r="R2716" s="1063"/>
      <c r="S2716" s="1063"/>
      <c r="T2716" s="1063"/>
      <c r="U2716" s="1063"/>
      <c r="V2716" s="1063"/>
      <c r="W2716" s="1063"/>
      <c r="X2716" s="1063"/>
      <c r="Y2716" s="1063"/>
      <c r="Z2716" s="1063"/>
      <c r="AA2716" s="1063"/>
      <c r="AB2716" s="1063"/>
      <c r="AC2716" s="1063"/>
      <c r="AD2716" s="1063"/>
      <c r="AE2716" s="1063"/>
      <c r="AF2716" s="1063"/>
      <c r="AG2716" s="1063"/>
      <c r="AH2716" s="1063"/>
      <c r="AI2716" s="1063"/>
      <c r="AJ2716" s="1063"/>
      <c r="AK2716" s="1063"/>
      <c r="AL2716" s="1063"/>
      <c r="AM2716" s="1063"/>
      <c r="AN2716" s="1063"/>
      <c r="AO2716" s="1063"/>
      <c r="AP2716" s="1063"/>
      <c r="AQ2716" s="1063"/>
      <c r="AR2716" s="1063"/>
      <c r="AS2716" s="1063"/>
      <c r="AT2716" s="1063"/>
      <c r="AU2716" s="1063"/>
      <c r="AV2716" s="1063"/>
    </row>
    <row r="2717" spans="1:48" s="1108" customFormat="1" ht="27.75" customHeight="1">
      <c r="A2717" s="1076"/>
      <c r="B2717" s="1074">
        <f>+'[18]Bldg+Dev'!S3529</f>
        <v>0</v>
      </c>
      <c r="D2717" s="1063"/>
      <c r="F2717" s="1076"/>
      <c r="G2717" s="1063"/>
      <c r="H2717" s="1063"/>
      <c r="I2717" s="1063"/>
      <c r="J2717" s="1063"/>
      <c r="K2717" s="1063"/>
      <c r="L2717" s="1063"/>
      <c r="M2717" s="1063"/>
      <c r="N2717" s="1063"/>
      <c r="O2717" s="1063"/>
      <c r="P2717" s="1063"/>
      <c r="Q2717" s="1063"/>
      <c r="R2717" s="1063"/>
      <c r="S2717" s="1063"/>
      <c r="T2717" s="1063"/>
      <c r="U2717" s="1063"/>
      <c r="V2717" s="1063"/>
      <c r="W2717" s="1063"/>
      <c r="X2717" s="1063"/>
      <c r="Y2717" s="1063"/>
      <c r="Z2717" s="1063"/>
      <c r="AA2717" s="1063"/>
      <c r="AB2717" s="1063"/>
      <c r="AC2717" s="1063"/>
      <c r="AD2717" s="1063"/>
      <c r="AE2717" s="1063"/>
      <c r="AF2717" s="1063"/>
      <c r="AG2717" s="1063"/>
      <c r="AH2717" s="1063"/>
      <c r="AI2717" s="1063"/>
      <c r="AJ2717" s="1063"/>
      <c r="AK2717" s="1063"/>
      <c r="AL2717" s="1063"/>
      <c r="AM2717" s="1063"/>
      <c r="AN2717" s="1063"/>
      <c r="AO2717" s="1063"/>
      <c r="AP2717" s="1063"/>
      <c r="AQ2717" s="1063"/>
      <c r="AR2717" s="1063"/>
      <c r="AS2717" s="1063"/>
      <c r="AT2717" s="1063"/>
      <c r="AU2717" s="1063"/>
      <c r="AV2717" s="1063"/>
    </row>
    <row r="2718" spans="1:48" s="1108" customFormat="1" ht="27.75" customHeight="1">
      <c r="A2718" s="1076"/>
      <c r="B2718" s="1074">
        <f>+'[18]Bldg+Dev'!S3530</f>
        <v>0</v>
      </c>
      <c r="D2718" s="1063"/>
      <c r="F2718" s="1076"/>
      <c r="G2718" s="1063"/>
      <c r="H2718" s="1063"/>
      <c r="I2718" s="1063"/>
      <c r="J2718" s="1063"/>
      <c r="K2718" s="1063"/>
      <c r="L2718" s="1063"/>
      <c r="M2718" s="1063"/>
      <c r="N2718" s="1063"/>
      <c r="O2718" s="1063"/>
      <c r="P2718" s="1063"/>
      <c r="Q2718" s="1063"/>
      <c r="R2718" s="1063"/>
      <c r="S2718" s="1063"/>
      <c r="T2718" s="1063"/>
      <c r="U2718" s="1063"/>
      <c r="V2718" s="1063"/>
      <c r="W2718" s="1063"/>
      <c r="X2718" s="1063"/>
      <c r="Y2718" s="1063"/>
      <c r="Z2718" s="1063"/>
      <c r="AA2718" s="1063"/>
      <c r="AB2718" s="1063"/>
      <c r="AC2718" s="1063"/>
      <c r="AD2718" s="1063"/>
      <c r="AE2718" s="1063"/>
      <c r="AF2718" s="1063"/>
      <c r="AG2718" s="1063"/>
      <c r="AH2718" s="1063"/>
      <c r="AI2718" s="1063"/>
      <c r="AJ2718" s="1063"/>
      <c r="AK2718" s="1063"/>
      <c r="AL2718" s="1063"/>
      <c r="AM2718" s="1063"/>
      <c r="AN2718" s="1063"/>
      <c r="AO2718" s="1063"/>
      <c r="AP2718" s="1063"/>
      <c r="AQ2718" s="1063"/>
      <c r="AR2718" s="1063"/>
      <c r="AS2718" s="1063"/>
      <c r="AT2718" s="1063"/>
      <c r="AU2718" s="1063"/>
      <c r="AV2718" s="1063"/>
    </row>
    <row r="2719" spans="1:48" s="1108" customFormat="1" ht="27.75" customHeight="1">
      <c r="A2719" s="1076"/>
      <c r="B2719" s="1074">
        <f>+'[18]Bldg+Dev'!S3531</f>
        <v>0</v>
      </c>
      <c r="D2719" s="1063"/>
      <c r="F2719" s="1076"/>
      <c r="G2719" s="1063"/>
      <c r="H2719" s="1063"/>
      <c r="I2719" s="1063"/>
      <c r="J2719" s="1063"/>
      <c r="K2719" s="1063"/>
      <c r="L2719" s="1063"/>
      <c r="M2719" s="1063"/>
      <c r="N2719" s="1063"/>
      <c r="O2719" s="1063"/>
      <c r="P2719" s="1063"/>
      <c r="Q2719" s="1063"/>
      <c r="R2719" s="1063"/>
      <c r="S2719" s="1063"/>
      <c r="T2719" s="1063"/>
      <c r="U2719" s="1063"/>
      <c r="V2719" s="1063"/>
      <c r="W2719" s="1063"/>
      <c r="X2719" s="1063"/>
      <c r="Y2719" s="1063"/>
      <c r="Z2719" s="1063"/>
      <c r="AA2719" s="1063"/>
      <c r="AB2719" s="1063"/>
      <c r="AC2719" s="1063"/>
      <c r="AD2719" s="1063"/>
      <c r="AE2719" s="1063"/>
      <c r="AF2719" s="1063"/>
      <c r="AG2719" s="1063"/>
      <c r="AH2719" s="1063"/>
      <c r="AI2719" s="1063"/>
      <c r="AJ2719" s="1063"/>
      <c r="AK2719" s="1063"/>
      <c r="AL2719" s="1063"/>
      <c r="AM2719" s="1063"/>
      <c r="AN2719" s="1063"/>
      <c r="AO2719" s="1063"/>
      <c r="AP2719" s="1063"/>
      <c r="AQ2719" s="1063"/>
      <c r="AR2719" s="1063"/>
      <c r="AS2719" s="1063"/>
      <c r="AT2719" s="1063"/>
      <c r="AU2719" s="1063"/>
      <c r="AV2719" s="1063"/>
    </row>
    <row r="2720" spans="1:48" s="1108" customFormat="1" ht="27.75" customHeight="1">
      <c r="A2720" s="1076"/>
      <c r="B2720" s="1074">
        <f>+'[18]Bldg+Dev'!S3532</f>
        <v>0</v>
      </c>
      <c r="D2720" s="1063"/>
      <c r="F2720" s="1076"/>
      <c r="G2720" s="1063"/>
      <c r="H2720" s="1063"/>
      <c r="I2720" s="1063"/>
      <c r="J2720" s="1063"/>
      <c r="K2720" s="1063"/>
      <c r="L2720" s="1063"/>
      <c r="M2720" s="1063"/>
      <c r="N2720" s="1063"/>
      <c r="O2720" s="1063"/>
      <c r="P2720" s="1063"/>
      <c r="Q2720" s="1063"/>
      <c r="R2720" s="1063"/>
      <c r="S2720" s="1063"/>
      <c r="T2720" s="1063"/>
      <c r="U2720" s="1063"/>
      <c r="V2720" s="1063"/>
      <c r="W2720" s="1063"/>
      <c r="X2720" s="1063"/>
      <c r="Y2720" s="1063"/>
      <c r="Z2720" s="1063"/>
      <c r="AA2720" s="1063"/>
      <c r="AB2720" s="1063"/>
      <c r="AC2720" s="1063"/>
      <c r="AD2720" s="1063"/>
      <c r="AE2720" s="1063"/>
      <c r="AF2720" s="1063"/>
      <c r="AG2720" s="1063"/>
      <c r="AH2720" s="1063"/>
      <c r="AI2720" s="1063"/>
      <c r="AJ2720" s="1063"/>
      <c r="AK2720" s="1063"/>
      <c r="AL2720" s="1063"/>
      <c r="AM2720" s="1063"/>
      <c r="AN2720" s="1063"/>
      <c r="AO2720" s="1063"/>
      <c r="AP2720" s="1063"/>
      <c r="AQ2720" s="1063"/>
      <c r="AR2720" s="1063"/>
      <c r="AS2720" s="1063"/>
      <c r="AT2720" s="1063"/>
      <c r="AU2720" s="1063"/>
      <c r="AV2720" s="1063"/>
    </row>
    <row r="2721" spans="1:48" s="1108" customFormat="1" ht="27.75" customHeight="1">
      <c r="A2721" s="1076"/>
      <c r="B2721" s="1074">
        <f>+'[18]Bldg+Dev'!S3533</f>
        <v>0</v>
      </c>
      <c r="D2721" s="1063"/>
      <c r="F2721" s="1076"/>
      <c r="G2721" s="1063"/>
      <c r="H2721" s="1063"/>
      <c r="I2721" s="1063"/>
      <c r="J2721" s="1063"/>
      <c r="K2721" s="1063"/>
      <c r="L2721" s="1063"/>
      <c r="M2721" s="1063"/>
      <c r="N2721" s="1063"/>
      <c r="O2721" s="1063"/>
      <c r="P2721" s="1063"/>
      <c r="Q2721" s="1063"/>
      <c r="R2721" s="1063"/>
      <c r="S2721" s="1063"/>
      <c r="T2721" s="1063"/>
      <c r="U2721" s="1063"/>
      <c r="V2721" s="1063"/>
      <c r="W2721" s="1063"/>
      <c r="X2721" s="1063"/>
      <c r="Y2721" s="1063"/>
      <c r="Z2721" s="1063"/>
      <c r="AA2721" s="1063"/>
      <c r="AB2721" s="1063"/>
      <c r="AC2721" s="1063"/>
      <c r="AD2721" s="1063"/>
      <c r="AE2721" s="1063"/>
      <c r="AF2721" s="1063"/>
      <c r="AG2721" s="1063"/>
      <c r="AH2721" s="1063"/>
      <c r="AI2721" s="1063"/>
      <c r="AJ2721" s="1063"/>
      <c r="AK2721" s="1063"/>
      <c r="AL2721" s="1063"/>
      <c r="AM2721" s="1063"/>
      <c r="AN2721" s="1063"/>
      <c r="AO2721" s="1063"/>
      <c r="AP2721" s="1063"/>
      <c r="AQ2721" s="1063"/>
      <c r="AR2721" s="1063"/>
      <c r="AS2721" s="1063"/>
      <c r="AT2721" s="1063"/>
      <c r="AU2721" s="1063"/>
      <c r="AV2721" s="1063"/>
    </row>
    <row r="2722" spans="1:48" s="1108" customFormat="1" ht="27.75" customHeight="1">
      <c r="A2722" s="1076"/>
      <c r="B2722" s="1074">
        <f>+'[18]Bldg+Dev'!S3534</f>
        <v>0</v>
      </c>
      <c r="D2722" s="1063"/>
      <c r="F2722" s="1076"/>
      <c r="G2722" s="1063"/>
      <c r="H2722" s="1063"/>
      <c r="I2722" s="1063"/>
      <c r="J2722" s="1063"/>
      <c r="K2722" s="1063"/>
      <c r="L2722" s="1063"/>
      <c r="M2722" s="1063"/>
      <c r="N2722" s="1063"/>
      <c r="O2722" s="1063"/>
      <c r="P2722" s="1063"/>
      <c r="Q2722" s="1063"/>
      <c r="R2722" s="1063"/>
      <c r="S2722" s="1063"/>
      <c r="T2722" s="1063"/>
      <c r="U2722" s="1063"/>
      <c r="V2722" s="1063"/>
      <c r="W2722" s="1063"/>
      <c r="X2722" s="1063"/>
      <c r="Y2722" s="1063"/>
      <c r="Z2722" s="1063"/>
      <c r="AA2722" s="1063"/>
      <c r="AB2722" s="1063"/>
      <c r="AC2722" s="1063"/>
      <c r="AD2722" s="1063"/>
      <c r="AE2722" s="1063"/>
      <c r="AF2722" s="1063"/>
      <c r="AG2722" s="1063"/>
      <c r="AH2722" s="1063"/>
      <c r="AI2722" s="1063"/>
      <c r="AJ2722" s="1063"/>
      <c r="AK2722" s="1063"/>
      <c r="AL2722" s="1063"/>
      <c r="AM2722" s="1063"/>
      <c r="AN2722" s="1063"/>
      <c r="AO2722" s="1063"/>
      <c r="AP2722" s="1063"/>
      <c r="AQ2722" s="1063"/>
      <c r="AR2722" s="1063"/>
      <c r="AS2722" s="1063"/>
      <c r="AT2722" s="1063"/>
      <c r="AU2722" s="1063"/>
      <c r="AV2722" s="1063"/>
    </row>
    <row r="2723" spans="1:48" s="1108" customFormat="1" ht="27.75" customHeight="1">
      <c r="A2723" s="1076"/>
      <c r="B2723" s="1074">
        <f>+'[18]Bldg+Dev'!S3535</f>
        <v>0</v>
      </c>
      <c r="D2723" s="1063"/>
      <c r="F2723" s="1076"/>
      <c r="G2723" s="1063"/>
      <c r="H2723" s="1063"/>
      <c r="I2723" s="1063"/>
      <c r="J2723" s="1063"/>
      <c r="K2723" s="1063"/>
      <c r="L2723" s="1063"/>
      <c r="M2723" s="1063"/>
      <c r="N2723" s="1063"/>
      <c r="O2723" s="1063"/>
      <c r="P2723" s="1063"/>
      <c r="Q2723" s="1063"/>
      <c r="R2723" s="1063"/>
      <c r="S2723" s="1063"/>
      <c r="T2723" s="1063"/>
      <c r="U2723" s="1063"/>
      <c r="V2723" s="1063"/>
      <c r="W2723" s="1063"/>
      <c r="X2723" s="1063"/>
      <c r="Y2723" s="1063"/>
      <c r="Z2723" s="1063"/>
      <c r="AA2723" s="1063"/>
      <c r="AB2723" s="1063"/>
      <c r="AC2723" s="1063"/>
      <c r="AD2723" s="1063"/>
      <c r="AE2723" s="1063"/>
      <c r="AF2723" s="1063"/>
      <c r="AG2723" s="1063"/>
      <c r="AH2723" s="1063"/>
      <c r="AI2723" s="1063"/>
      <c r="AJ2723" s="1063"/>
      <c r="AK2723" s="1063"/>
      <c r="AL2723" s="1063"/>
      <c r="AM2723" s="1063"/>
      <c r="AN2723" s="1063"/>
      <c r="AO2723" s="1063"/>
      <c r="AP2723" s="1063"/>
      <c r="AQ2723" s="1063"/>
      <c r="AR2723" s="1063"/>
      <c r="AS2723" s="1063"/>
      <c r="AT2723" s="1063"/>
      <c r="AU2723" s="1063"/>
      <c r="AV2723" s="1063"/>
    </row>
    <row r="2724" spans="1:48" s="1108" customFormat="1" ht="27.75" customHeight="1">
      <c r="A2724" s="1076"/>
      <c r="B2724" s="1074">
        <f>+'[18]Bldg+Dev'!S3536</f>
        <v>0</v>
      </c>
      <c r="D2724" s="1063"/>
      <c r="F2724" s="1076"/>
      <c r="G2724" s="1063"/>
      <c r="H2724" s="1063"/>
      <c r="I2724" s="1063"/>
      <c r="J2724" s="1063"/>
      <c r="K2724" s="1063"/>
      <c r="L2724" s="1063"/>
      <c r="M2724" s="1063"/>
      <c r="N2724" s="1063"/>
      <c r="O2724" s="1063"/>
      <c r="P2724" s="1063"/>
      <c r="Q2724" s="1063"/>
      <c r="R2724" s="1063"/>
      <c r="S2724" s="1063"/>
      <c r="T2724" s="1063"/>
      <c r="U2724" s="1063"/>
      <c r="V2724" s="1063"/>
      <c r="W2724" s="1063"/>
      <c r="X2724" s="1063"/>
      <c r="Y2724" s="1063"/>
      <c r="Z2724" s="1063"/>
      <c r="AA2724" s="1063"/>
      <c r="AB2724" s="1063"/>
      <c r="AC2724" s="1063"/>
      <c r="AD2724" s="1063"/>
      <c r="AE2724" s="1063"/>
      <c r="AF2724" s="1063"/>
      <c r="AG2724" s="1063"/>
      <c r="AH2724" s="1063"/>
      <c r="AI2724" s="1063"/>
      <c r="AJ2724" s="1063"/>
      <c r="AK2724" s="1063"/>
      <c r="AL2724" s="1063"/>
      <c r="AM2724" s="1063"/>
      <c r="AN2724" s="1063"/>
      <c r="AO2724" s="1063"/>
      <c r="AP2724" s="1063"/>
      <c r="AQ2724" s="1063"/>
      <c r="AR2724" s="1063"/>
      <c r="AS2724" s="1063"/>
      <c r="AT2724" s="1063"/>
      <c r="AU2724" s="1063"/>
      <c r="AV2724" s="1063"/>
    </row>
    <row r="2725" spans="1:48" s="1108" customFormat="1" ht="27.75" customHeight="1">
      <c r="A2725" s="1076"/>
      <c r="B2725" s="1074">
        <f>+'[18]Bldg+Dev'!S3537</f>
        <v>0</v>
      </c>
      <c r="D2725" s="1063"/>
      <c r="F2725" s="1076"/>
      <c r="G2725" s="1063"/>
      <c r="H2725" s="1063"/>
      <c r="I2725" s="1063"/>
      <c r="J2725" s="1063"/>
      <c r="K2725" s="1063"/>
      <c r="L2725" s="1063"/>
      <c r="M2725" s="1063"/>
      <c r="N2725" s="1063"/>
      <c r="O2725" s="1063"/>
      <c r="P2725" s="1063"/>
      <c r="Q2725" s="1063"/>
      <c r="R2725" s="1063"/>
      <c r="S2725" s="1063"/>
      <c r="T2725" s="1063"/>
      <c r="U2725" s="1063"/>
      <c r="V2725" s="1063"/>
      <c r="W2725" s="1063"/>
      <c r="X2725" s="1063"/>
      <c r="Y2725" s="1063"/>
      <c r="Z2725" s="1063"/>
      <c r="AA2725" s="1063"/>
      <c r="AB2725" s="1063"/>
      <c r="AC2725" s="1063"/>
      <c r="AD2725" s="1063"/>
      <c r="AE2725" s="1063"/>
      <c r="AF2725" s="1063"/>
      <c r="AG2725" s="1063"/>
      <c r="AH2725" s="1063"/>
      <c r="AI2725" s="1063"/>
      <c r="AJ2725" s="1063"/>
      <c r="AK2725" s="1063"/>
      <c r="AL2725" s="1063"/>
      <c r="AM2725" s="1063"/>
      <c r="AN2725" s="1063"/>
      <c r="AO2725" s="1063"/>
      <c r="AP2725" s="1063"/>
      <c r="AQ2725" s="1063"/>
      <c r="AR2725" s="1063"/>
      <c r="AS2725" s="1063"/>
      <c r="AT2725" s="1063"/>
      <c r="AU2725" s="1063"/>
      <c r="AV2725" s="1063"/>
    </row>
    <row r="2726" spans="1:48" s="1108" customFormat="1" ht="27.75" customHeight="1">
      <c r="A2726" s="1076"/>
      <c r="B2726" s="1074">
        <f>+'[18]Bldg+Dev'!S3538</f>
        <v>0</v>
      </c>
      <c r="D2726" s="1063"/>
      <c r="F2726" s="1076"/>
      <c r="G2726" s="1063"/>
      <c r="H2726" s="1063"/>
      <c r="I2726" s="1063"/>
      <c r="J2726" s="1063"/>
      <c r="K2726" s="1063"/>
      <c r="L2726" s="1063"/>
      <c r="M2726" s="1063"/>
      <c r="N2726" s="1063"/>
      <c r="O2726" s="1063"/>
      <c r="P2726" s="1063"/>
      <c r="Q2726" s="1063"/>
      <c r="R2726" s="1063"/>
      <c r="S2726" s="1063"/>
      <c r="T2726" s="1063"/>
      <c r="U2726" s="1063"/>
      <c r="V2726" s="1063"/>
      <c r="W2726" s="1063"/>
      <c r="X2726" s="1063"/>
      <c r="Y2726" s="1063"/>
      <c r="Z2726" s="1063"/>
      <c r="AA2726" s="1063"/>
      <c r="AB2726" s="1063"/>
      <c r="AC2726" s="1063"/>
      <c r="AD2726" s="1063"/>
      <c r="AE2726" s="1063"/>
      <c r="AF2726" s="1063"/>
      <c r="AG2726" s="1063"/>
      <c r="AH2726" s="1063"/>
      <c r="AI2726" s="1063"/>
      <c r="AJ2726" s="1063"/>
      <c r="AK2726" s="1063"/>
      <c r="AL2726" s="1063"/>
      <c r="AM2726" s="1063"/>
      <c r="AN2726" s="1063"/>
      <c r="AO2726" s="1063"/>
      <c r="AP2726" s="1063"/>
      <c r="AQ2726" s="1063"/>
      <c r="AR2726" s="1063"/>
      <c r="AS2726" s="1063"/>
      <c r="AT2726" s="1063"/>
      <c r="AU2726" s="1063"/>
      <c r="AV2726" s="1063"/>
    </row>
    <row r="2727" spans="1:48" s="1108" customFormat="1" ht="27.75" customHeight="1">
      <c r="A2727" s="1076"/>
      <c r="B2727" s="1074">
        <f>+'[18]Bldg+Dev'!S3539</f>
        <v>0</v>
      </c>
      <c r="D2727" s="1063"/>
      <c r="F2727" s="1076"/>
      <c r="G2727" s="1063"/>
      <c r="H2727" s="1063"/>
      <c r="I2727" s="1063"/>
      <c r="J2727" s="1063"/>
      <c r="K2727" s="1063"/>
      <c r="L2727" s="1063"/>
      <c r="M2727" s="1063"/>
      <c r="N2727" s="1063"/>
      <c r="O2727" s="1063"/>
      <c r="P2727" s="1063"/>
      <c r="Q2727" s="1063"/>
      <c r="R2727" s="1063"/>
      <c r="S2727" s="1063"/>
      <c r="T2727" s="1063"/>
      <c r="U2727" s="1063"/>
      <c r="V2727" s="1063"/>
      <c r="W2727" s="1063"/>
      <c r="X2727" s="1063"/>
      <c r="Y2727" s="1063"/>
      <c r="Z2727" s="1063"/>
      <c r="AA2727" s="1063"/>
      <c r="AB2727" s="1063"/>
      <c r="AC2727" s="1063"/>
      <c r="AD2727" s="1063"/>
      <c r="AE2727" s="1063"/>
      <c r="AF2727" s="1063"/>
      <c r="AG2727" s="1063"/>
      <c r="AH2727" s="1063"/>
      <c r="AI2727" s="1063"/>
      <c r="AJ2727" s="1063"/>
      <c r="AK2727" s="1063"/>
      <c r="AL2727" s="1063"/>
      <c r="AM2727" s="1063"/>
      <c r="AN2727" s="1063"/>
      <c r="AO2727" s="1063"/>
      <c r="AP2727" s="1063"/>
      <c r="AQ2727" s="1063"/>
      <c r="AR2727" s="1063"/>
      <c r="AS2727" s="1063"/>
      <c r="AT2727" s="1063"/>
      <c r="AU2727" s="1063"/>
      <c r="AV2727" s="1063"/>
    </row>
    <row r="2728" spans="1:48" s="1108" customFormat="1" ht="27.75" customHeight="1">
      <c r="A2728" s="1076"/>
      <c r="B2728" s="1074">
        <f>+'[18]Bldg+Dev'!S3540</f>
        <v>0</v>
      </c>
      <c r="D2728" s="1063"/>
      <c r="F2728" s="1076"/>
      <c r="G2728" s="1063"/>
      <c r="H2728" s="1063"/>
      <c r="I2728" s="1063"/>
      <c r="J2728" s="1063"/>
      <c r="K2728" s="1063"/>
      <c r="L2728" s="1063"/>
      <c r="M2728" s="1063"/>
      <c r="N2728" s="1063"/>
      <c r="O2728" s="1063"/>
      <c r="P2728" s="1063"/>
      <c r="Q2728" s="1063"/>
      <c r="R2728" s="1063"/>
      <c r="S2728" s="1063"/>
      <c r="T2728" s="1063"/>
      <c r="U2728" s="1063"/>
      <c r="V2728" s="1063"/>
      <c r="W2728" s="1063"/>
      <c r="X2728" s="1063"/>
      <c r="Y2728" s="1063"/>
      <c r="Z2728" s="1063"/>
      <c r="AA2728" s="1063"/>
      <c r="AB2728" s="1063"/>
      <c r="AC2728" s="1063"/>
      <c r="AD2728" s="1063"/>
      <c r="AE2728" s="1063"/>
      <c r="AF2728" s="1063"/>
      <c r="AG2728" s="1063"/>
      <c r="AH2728" s="1063"/>
      <c r="AI2728" s="1063"/>
      <c r="AJ2728" s="1063"/>
      <c r="AK2728" s="1063"/>
      <c r="AL2728" s="1063"/>
      <c r="AM2728" s="1063"/>
      <c r="AN2728" s="1063"/>
      <c r="AO2728" s="1063"/>
      <c r="AP2728" s="1063"/>
      <c r="AQ2728" s="1063"/>
      <c r="AR2728" s="1063"/>
      <c r="AS2728" s="1063"/>
      <c r="AT2728" s="1063"/>
      <c r="AU2728" s="1063"/>
      <c r="AV2728" s="1063"/>
    </row>
    <row r="2729" spans="1:48" s="1108" customFormat="1" ht="27.75" customHeight="1">
      <c r="A2729" s="1076"/>
      <c r="B2729" s="1074">
        <f>+'[18]Bldg+Dev'!S3541</f>
        <v>0</v>
      </c>
      <c r="D2729" s="1063"/>
      <c r="F2729" s="1076"/>
      <c r="G2729" s="1063"/>
      <c r="H2729" s="1063"/>
      <c r="I2729" s="1063"/>
      <c r="J2729" s="1063"/>
      <c r="K2729" s="1063"/>
      <c r="L2729" s="1063"/>
      <c r="M2729" s="1063"/>
      <c r="N2729" s="1063"/>
      <c r="O2729" s="1063"/>
      <c r="P2729" s="1063"/>
      <c r="Q2729" s="1063"/>
      <c r="R2729" s="1063"/>
      <c r="S2729" s="1063"/>
      <c r="T2729" s="1063"/>
      <c r="U2729" s="1063"/>
      <c r="V2729" s="1063"/>
      <c r="W2729" s="1063"/>
      <c r="X2729" s="1063"/>
      <c r="Y2729" s="1063"/>
      <c r="Z2729" s="1063"/>
      <c r="AA2729" s="1063"/>
      <c r="AB2729" s="1063"/>
      <c r="AC2729" s="1063"/>
      <c r="AD2729" s="1063"/>
      <c r="AE2729" s="1063"/>
      <c r="AF2729" s="1063"/>
      <c r="AG2729" s="1063"/>
      <c r="AH2729" s="1063"/>
      <c r="AI2729" s="1063"/>
      <c r="AJ2729" s="1063"/>
      <c r="AK2729" s="1063"/>
      <c r="AL2729" s="1063"/>
      <c r="AM2729" s="1063"/>
      <c r="AN2729" s="1063"/>
      <c r="AO2729" s="1063"/>
      <c r="AP2729" s="1063"/>
      <c r="AQ2729" s="1063"/>
      <c r="AR2729" s="1063"/>
      <c r="AS2729" s="1063"/>
      <c r="AT2729" s="1063"/>
      <c r="AU2729" s="1063"/>
      <c r="AV2729" s="1063"/>
    </row>
    <row r="2730" spans="1:48" s="1108" customFormat="1" ht="27.75" customHeight="1">
      <c r="A2730" s="1076"/>
      <c r="B2730" s="1074">
        <f>+'[18]Bldg+Dev'!S3542</f>
        <v>0</v>
      </c>
      <c r="D2730" s="1063"/>
      <c r="F2730" s="1076"/>
      <c r="G2730" s="1063"/>
      <c r="H2730" s="1063"/>
      <c r="I2730" s="1063"/>
      <c r="J2730" s="1063"/>
      <c r="K2730" s="1063"/>
      <c r="L2730" s="1063"/>
      <c r="M2730" s="1063"/>
      <c r="N2730" s="1063"/>
      <c r="O2730" s="1063"/>
      <c r="P2730" s="1063"/>
      <c r="Q2730" s="1063"/>
      <c r="R2730" s="1063"/>
      <c r="S2730" s="1063"/>
      <c r="T2730" s="1063"/>
      <c r="U2730" s="1063"/>
      <c r="V2730" s="1063"/>
      <c r="W2730" s="1063"/>
      <c r="X2730" s="1063"/>
      <c r="Y2730" s="1063"/>
      <c r="Z2730" s="1063"/>
      <c r="AA2730" s="1063"/>
      <c r="AB2730" s="1063"/>
      <c r="AC2730" s="1063"/>
      <c r="AD2730" s="1063"/>
      <c r="AE2730" s="1063"/>
      <c r="AF2730" s="1063"/>
      <c r="AG2730" s="1063"/>
      <c r="AH2730" s="1063"/>
      <c r="AI2730" s="1063"/>
      <c r="AJ2730" s="1063"/>
      <c r="AK2730" s="1063"/>
      <c r="AL2730" s="1063"/>
      <c r="AM2730" s="1063"/>
      <c r="AN2730" s="1063"/>
      <c r="AO2730" s="1063"/>
      <c r="AP2730" s="1063"/>
      <c r="AQ2730" s="1063"/>
      <c r="AR2730" s="1063"/>
      <c r="AS2730" s="1063"/>
      <c r="AT2730" s="1063"/>
      <c r="AU2730" s="1063"/>
      <c r="AV2730" s="1063"/>
    </row>
    <row r="2731" spans="1:48" s="1108" customFormat="1" ht="27.75" customHeight="1">
      <c r="A2731" s="1076"/>
      <c r="B2731" s="1074">
        <f>+'[18]Bldg+Dev'!S3543</f>
        <v>0</v>
      </c>
      <c r="D2731" s="1063"/>
      <c r="F2731" s="1076"/>
      <c r="G2731" s="1063"/>
      <c r="H2731" s="1063"/>
      <c r="I2731" s="1063"/>
      <c r="J2731" s="1063"/>
      <c r="K2731" s="1063"/>
      <c r="L2731" s="1063"/>
      <c r="M2731" s="1063"/>
      <c r="N2731" s="1063"/>
      <c r="O2731" s="1063"/>
      <c r="P2731" s="1063"/>
      <c r="Q2731" s="1063"/>
      <c r="R2731" s="1063"/>
      <c r="S2731" s="1063"/>
      <c r="T2731" s="1063"/>
      <c r="U2731" s="1063"/>
      <c r="V2731" s="1063"/>
      <c r="W2731" s="1063"/>
      <c r="X2731" s="1063"/>
      <c r="Y2731" s="1063"/>
      <c r="Z2731" s="1063"/>
      <c r="AA2731" s="1063"/>
      <c r="AB2731" s="1063"/>
      <c r="AC2731" s="1063"/>
      <c r="AD2731" s="1063"/>
      <c r="AE2731" s="1063"/>
      <c r="AF2731" s="1063"/>
      <c r="AG2731" s="1063"/>
      <c r="AH2731" s="1063"/>
      <c r="AI2731" s="1063"/>
      <c r="AJ2731" s="1063"/>
      <c r="AK2731" s="1063"/>
      <c r="AL2731" s="1063"/>
      <c r="AM2731" s="1063"/>
      <c r="AN2731" s="1063"/>
      <c r="AO2731" s="1063"/>
      <c r="AP2731" s="1063"/>
      <c r="AQ2731" s="1063"/>
      <c r="AR2731" s="1063"/>
      <c r="AS2731" s="1063"/>
      <c r="AT2731" s="1063"/>
      <c r="AU2731" s="1063"/>
      <c r="AV2731" s="1063"/>
    </row>
    <row r="2732" spans="1:48" s="1108" customFormat="1" ht="27.75" customHeight="1">
      <c r="A2732" s="1076"/>
      <c r="B2732" s="1074">
        <f>+'[18]Bldg+Dev'!S3544</f>
        <v>0</v>
      </c>
      <c r="D2732" s="1063"/>
      <c r="F2732" s="1076"/>
      <c r="G2732" s="1063"/>
      <c r="H2732" s="1063"/>
      <c r="I2732" s="1063"/>
      <c r="J2732" s="1063"/>
      <c r="K2732" s="1063"/>
      <c r="L2732" s="1063"/>
      <c r="M2732" s="1063"/>
      <c r="N2732" s="1063"/>
      <c r="O2732" s="1063"/>
      <c r="P2732" s="1063"/>
      <c r="Q2732" s="1063"/>
      <c r="R2732" s="1063"/>
      <c r="S2732" s="1063"/>
      <c r="T2732" s="1063"/>
      <c r="U2732" s="1063"/>
      <c r="V2732" s="1063"/>
      <c r="W2732" s="1063"/>
      <c r="X2732" s="1063"/>
      <c r="Y2732" s="1063"/>
      <c r="Z2732" s="1063"/>
      <c r="AA2732" s="1063"/>
      <c r="AB2732" s="1063"/>
      <c r="AC2732" s="1063"/>
      <c r="AD2732" s="1063"/>
      <c r="AE2732" s="1063"/>
      <c r="AF2732" s="1063"/>
      <c r="AG2732" s="1063"/>
      <c r="AH2732" s="1063"/>
      <c r="AI2732" s="1063"/>
      <c r="AJ2732" s="1063"/>
      <c r="AK2732" s="1063"/>
      <c r="AL2732" s="1063"/>
      <c r="AM2732" s="1063"/>
      <c r="AN2732" s="1063"/>
      <c r="AO2732" s="1063"/>
      <c r="AP2732" s="1063"/>
      <c r="AQ2732" s="1063"/>
      <c r="AR2732" s="1063"/>
      <c r="AS2732" s="1063"/>
      <c r="AT2732" s="1063"/>
      <c r="AU2732" s="1063"/>
      <c r="AV2732" s="1063"/>
    </row>
    <row r="2733" spans="1:48" s="1108" customFormat="1" ht="27.75" customHeight="1">
      <c r="A2733" s="1076"/>
      <c r="B2733" s="1074">
        <f>+'[18]Bldg+Dev'!S3545</f>
        <v>0</v>
      </c>
      <c r="D2733" s="1063"/>
      <c r="F2733" s="1076"/>
      <c r="G2733" s="1063"/>
      <c r="H2733" s="1063"/>
      <c r="I2733" s="1063"/>
      <c r="J2733" s="1063"/>
      <c r="K2733" s="1063"/>
      <c r="L2733" s="1063"/>
      <c r="M2733" s="1063"/>
      <c r="N2733" s="1063"/>
      <c r="O2733" s="1063"/>
      <c r="P2733" s="1063"/>
      <c r="Q2733" s="1063"/>
      <c r="R2733" s="1063"/>
      <c r="S2733" s="1063"/>
      <c r="T2733" s="1063"/>
      <c r="U2733" s="1063"/>
      <c r="V2733" s="1063"/>
      <c r="W2733" s="1063"/>
      <c r="X2733" s="1063"/>
      <c r="Y2733" s="1063"/>
      <c r="Z2733" s="1063"/>
      <c r="AA2733" s="1063"/>
      <c r="AB2733" s="1063"/>
      <c r="AC2733" s="1063"/>
      <c r="AD2733" s="1063"/>
      <c r="AE2733" s="1063"/>
      <c r="AF2733" s="1063"/>
      <c r="AG2733" s="1063"/>
      <c r="AH2733" s="1063"/>
      <c r="AI2733" s="1063"/>
      <c r="AJ2733" s="1063"/>
      <c r="AK2733" s="1063"/>
      <c r="AL2733" s="1063"/>
      <c r="AM2733" s="1063"/>
      <c r="AN2733" s="1063"/>
      <c r="AO2733" s="1063"/>
      <c r="AP2733" s="1063"/>
      <c r="AQ2733" s="1063"/>
      <c r="AR2733" s="1063"/>
      <c r="AS2733" s="1063"/>
      <c r="AT2733" s="1063"/>
      <c r="AU2733" s="1063"/>
      <c r="AV2733" s="1063"/>
    </row>
    <row r="2734" spans="1:48" s="1108" customFormat="1" ht="27.75" customHeight="1">
      <c r="A2734" s="1076"/>
      <c r="B2734" s="1074">
        <f>+'[18]Bldg+Dev'!S3546</f>
        <v>0</v>
      </c>
      <c r="D2734" s="1063"/>
      <c r="F2734" s="1076"/>
      <c r="G2734" s="1063"/>
      <c r="H2734" s="1063"/>
      <c r="I2734" s="1063"/>
      <c r="J2734" s="1063"/>
      <c r="K2734" s="1063"/>
      <c r="L2734" s="1063"/>
      <c r="M2734" s="1063"/>
      <c r="N2734" s="1063"/>
      <c r="O2734" s="1063"/>
      <c r="P2734" s="1063"/>
      <c r="Q2734" s="1063"/>
      <c r="R2734" s="1063"/>
      <c r="S2734" s="1063"/>
      <c r="T2734" s="1063"/>
      <c r="U2734" s="1063"/>
      <c r="V2734" s="1063"/>
      <c r="W2734" s="1063"/>
      <c r="X2734" s="1063"/>
      <c r="Y2734" s="1063"/>
      <c r="Z2734" s="1063"/>
      <c r="AA2734" s="1063"/>
      <c r="AB2734" s="1063"/>
      <c r="AC2734" s="1063"/>
      <c r="AD2734" s="1063"/>
      <c r="AE2734" s="1063"/>
      <c r="AF2734" s="1063"/>
      <c r="AG2734" s="1063"/>
      <c r="AH2734" s="1063"/>
      <c r="AI2734" s="1063"/>
      <c r="AJ2734" s="1063"/>
      <c r="AK2734" s="1063"/>
      <c r="AL2734" s="1063"/>
      <c r="AM2734" s="1063"/>
      <c r="AN2734" s="1063"/>
      <c r="AO2734" s="1063"/>
      <c r="AP2734" s="1063"/>
      <c r="AQ2734" s="1063"/>
      <c r="AR2734" s="1063"/>
      <c r="AS2734" s="1063"/>
      <c r="AT2734" s="1063"/>
      <c r="AU2734" s="1063"/>
      <c r="AV2734" s="1063"/>
    </row>
    <row r="2735" spans="1:48" s="1108" customFormat="1" ht="27.75" customHeight="1">
      <c r="A2735" s="1076"/>
      <c r="B2735" s="1074">
        <f>+'[18]Bldg+Dev'!S3547</f>
        <v>0</v>
      </c>
      <c r="D2735" s="1063"/>
      <c r="F2735" s="1076"/>
      <c r="G2735" s="1063"/>
      <c r="H2735" s="1063"/>
      <c r="I2735" s="1063"/>
      <c r="J2735" s="1063"/>
      <c r="K2735" s="1063"/>
      <c r="L2735" s="1063"/>
      <c r="M2735" s="1063"/>
      <c r="N2735" s="1063"/>
      <c r="O2735" s="1063"/>
      <c r="P2735" s="1063"/>
      <c r="Q2735" s="1063"/>
      <c r="R2735" s="1063"/>
      <c r="S2735" s="1063"/>
      <c r="T2735" s="1063"/>
      <c r="U2735" s="1063"/>
      <c r="V2735" s="1063"/>
      <c r="W2735" s="1063"/>
      <c r="X2735" s="1063"/>
      <c r="Y2735" s="1063"/>
      <c r="Z2735" s="1063"/>
      <c r="AA2735" s="1063"/>
      <c r="AB2735" s="1063"/>
      <c r="AC2735" s="1063"/>
      <c r="AD2735" s="1063"/>
      <c r="AE2735" s="1063"/>
      <c r="AF2735" s="1063"/>
      <c r="AG2735" s="1063"/>
      <c r="AH2735" s="1063"/>
      <c r="AI2735" s="1063"/>
      <c r="AJ2735" s="1063"/>
      <c r="AK2735" s="1063"/>
      <c r="AL2735" s="1063"/>
      <c r="AM2735" s="1063"/>
      <c r="AN2735" s="1063"/>
      <c r="AO2735" s="1063"/>
      <c r="AP2735" s="1063"/>
      <c r="AQ2735" s="1063"/>
      <c r="AR2735" s="1063"/>
      <c r="AS2735" s="1063"/>
      <c r="AT2735" s="1063"/>
      <c r="AU2735" s="1063"/>
      <c r="AV2735" s="1063"/>
    </row>
    <row r="2736" spans="1:48" s="1108" customFormat="1" ht="27.75" customHeight="1">
      <c r="A2736" s="1076"/>
      <c r="B2736" s="1074">
        <f>+'[18]Bldg+Dev'!S3548</f>
        <v>0</v>
      </c>
      <c r="D2736" s="1063"/>
      <c r="F2736" s="1076"/>
      <c r="G2736" s="1063"/>
      <c r="H2736" s="1063"/>
      <c r="I2736" s="1063"/>
      <c r="J2736" s="1063"/>
      <c r="K2736" s="1063"/>
      <c r="L2736" s="1063"/>
      <c r="M2736" s="1063"/>
      <c r="N2736" s="1063"/>
      <c r="O2736" s="1063"/>
      <c r="P2736" s="1063"/>
      <c r="Q2736" s="1063"/>
      <c r="R2736" s="1063"/>
      <c r="S2736" s="1063"/>
      <c r="T2736" s="1063"/>
      <c r="U2736" s="1063"/>
      <c r="V2736" s="1063"/>
      <c r="W2736" s="1063"/>
      <c r="X2736" s="1063"/>
      <c r="Y2736" s="1063"/>
      <c r="Z2736" s="1063"/>
      <c r="AA2736" s="1063"/>
      <c r="AB2736" s="1063"/>
      <c r="AC2736" s="1063"/>
      <c r="AD2736" s="1063"/>
      <c r="AE2736" s="1063"/>
      <c r="AF2736" s="1063"/>
      <c r="AG2736" s="1063"/>
      <c r="AH2736" s="1063"/>
      <c r="AI2736" s="1063"/>
      <c r="AJ2736" s="1063"/>
      <c r="AK2736" s="1063"/>
      <c r="AL2736" s="1063"/>
      <c r="AM2736" s="1063"/>
      <c r="AN2736" s="1063"/>
      <c r="AO2736" s="1063"/>
      <c r="AP2736" s="1063"/>
      <c r="AQ2736" s="1063"/>
      <c r="AR2736" s="1063"/>
      <c r="AS2736" s="1063"/>
      <c r="AT2736" s="1063"/>
      <c r="AU2736" s="1063"/>
      <c r="AV2736" s="1063"/>
    </row>
    <row r="2737" spans="1:48" s="1108" customFormat="1" ht="27.75" customHeight="1">
      <c r="A2737" s="1076"/>
      <c r="B2737" s="1074">
        <f>+'[18]Bldg+Dev'!S3549</f>
        <v>0</v>
      </c>
      <c r="D2737" s="1063"/>
      <c r="F2737" s="1076"/>
      <c r="G2737" s="1063"/>
      <c r="H2737" s="1063"/>
      <c r="I2737" s="1063"/>
      <c r="J2737" s="1063"/>
      <c r="K2737" s="1063"/>
      <c r="L2737" s="1063"/>
      <c r="M2737" s="1063"/>
      <c r="N2737" s="1063"/>
      <c r="O2737" s="1063"/>
      <c r="P2737" s="1063"/>
      <c r="Q2737" s="1063"/>
      <c r="R2737" s="1063"/>
      <c r="S2737" s="1063"/>
      <c r="T2737" s="1063"/>
      <c r="U2737" s="1063"/>
      <c r="V2737" s="1063"/>
      <c r="W2737" s="1063"/>
      <c r="X2737" s="1063"/>
      <c r="Y2737" s="1063"/>
      <c r="Z2737" s="1063"/>
      <c r="AA2737" s="1063"/>
      <c r="AB2737" s="1063"/>
      <c r="AC2737" s="1063"/>
      <c r="AD2737" s="1063"/>
      <c r="AE2737" s="1063"/>
      <c r="AF2737" s="1063"/>
      <c r="AG2737" s="1063"/>
      <c r="AH2737" s="1063"/>
      <c r="AI2737" s="1063"/>
      <c r="AJ2737" s="1063"/>
      <c r="AK2737" s="1063"/>
      <c r="AL2737" s="1063"/>
      <c r="AM2737" s="1063"/>
      <c r="AN2737" s="1063"/>
      <c r="AO2737" s="1063"/>
      <c r="AP2737" s="1063"/>
      <c r="AQ2737" s="1063"/>
      <c r="AR2737" s="1063"/>
      <c r="AS2737" s="1063"/>
      <c r="AT2737" s="1063"/>
      <c r="AU2737" s="1063"/>
      <c r="AV2737" s="1063"/>
    </row>
    <row r="2738" spans="1:48" s="1108" customFormat="1" ht="27.75" customHeight="1">
      <c r="A2738" s="1076"/>
      <c r="B2738" s="1074">
        <f>+'[18]Bldg+Dev'!S3550</f>
        <v>0</v>
      </c>
      <c r="D2738" s="1063"/>
      <c r="F2738" s="1076"/>
      <c r="G2738" s="1063"/>
      <c r="H2738" s="1063"/>
      <c r="I2738" s="1063"/>
      <c r="J2738" s="1063"/>
      <c r="K2738" s="1063"/>
      <c r="L2738" s="1063"/>
      <c r="M2738" s="1063"/>
      <c r="N2738" s="1063"/>
      <c r="O2738" s="1063"/>
      <c r="P2738" s="1063"/>
      <c r="Q2738" s="1063"/>
      <c r="R2738" s="1063"/>
      <c r="S2738" s="1063"/>
      <c r="T2738" s="1063"/>
      <c r="U2738" s="1063"/>
      <c r="V2738" s="1063"/>
      <c r="W2738" s="1063"/>
      <c r="X2738" s="1063"/>
      <c r="Y2738" s="1063"/>
      <c r="Z2738" s="1063"/>
      <c r="AA2738" s="1063"/>
      <c r="AB2738" s="1063"/>
      <c r="AC2738" s="1063"/>
      <c r="AD2738" s="1063"/>
      <c r="AE2738" s="1063"/>
      <c r="AF2738" s="1063"/>
      <c r="AG2738" s="1063"/>
      <c r="AH2738" s="1063"/>
      <c r="AI2738" s="1063"/>
      <c r="AJ2738" s="1063"/>
      <c r="AK2738" s="1063"/>
      <c r="AL2738" s="1063"/>
      <c r="AM2738" s="1063"/>
      <c r="AN2738" s="1063"/>
      <c r="AO2738" s="1063"/>
      <c r="AP2738" s="1063"/>
      <c r="AQ2738" s="1063"/>
      <c r="AR2738" s="1063"/>
      <c r="AS2738" s="1063"/>
      <c r="AT2738" s="1063"/>
      <c r="AU2738" s="1063"/>
      <c r="AV2738" s="1063"/>
    </row>
    <row r="2739" spans="1:48" s="1108" customFormat="1" ht="27.75" customHeight="1">
      <c r="A2739" s="1076"/>
      <c r="B2739" s="1074">
        <f>+'[18]Bldg+Dev'!S3551</f>
        <v>0</v>
      </c>
      <c r="D2739" s="1063"/>
      <c r="F2739" s="1076"/>
      <c r="G2739" s="1063"/>
      <c r="H2739" s="1063"/>
      <c r="I2739" s="1063"/>
      <c r="J2739" s="1063"/>
      <c r="K2739" s="1063"/>
      <c r="L2739" s="1063"/>
      <c r="M2739" s="1063"/>
      <c r="N2739" s="1063"/>
      <c r="O2739" s="1063"/>
      <c r="P2739" s="1063"/>
      <c r="Q2739" s="1063"/>
      <c r="R2739" s="1063"/>
      <c r="S2739" s="1063"/>
      <c r="T2739" s="1063"/>
      <c r="U2739" s="1063"/>
      <c r="V2739" s="1063"/>
      <c r="W2739" s="1063"/>
      <c r="X2739" s="1063"/>
      <c r="Y2739" s="1063"/>
      <c r="Z2739" s="1063"/>
      <c r="AA2739" s="1063"/>
      <c r="AB2739" s="1063"/>
      <c r="AC2739" s="1063"/>
      <c r="AD2739" s="1063"/>
      <c r="AE2739" s="1063"/>
      <c r="AF2739" s="1063"/>
      <c r="AG2739" s="1063"/>
      <c r="AH2739" s="1063"/>
      <c r="AI2739" s="1063"/>
      <c r="AJ2739" s="1063"/>
      <c r="AK2739" s="1063"/>
      <c r="AL2739" s="1063"/>
      <c r="AM2739" s="1063"/>
      <c r="AN2739" s="1063"/>
      <c r="AO2739" s="1063"/>
      <c r="AP2739" s="1063"/>
      <c r="AQ2739" s="1063"/>
      <c r="AR2739" s="1063"/>
      <c r="AS2739" s="1063"/>
      <c r="AT2739" s="1063"/>
      <c r="AU2739" s="1063"/>
      <c r="AV2739" s="1063"/>
    </row>
    <row r="2740" spans="1:48" s="1108" customFormat="1" ht="27.75" customHeight="1">
      <c r="A2740" s="1076"/>
      <c r="B2740" s="1074">
        <f>+'[18]Bldg+Dev'!S3552</f>
        <v>0</v>
      </c>
      <c r="D2740" s="1063"/>
      <c r="F2740" s="1076"/>
      <c r="G2740" s="1063"/>
      <c r="H2740" s="1063"/>
      <c r="I2740" s="1063"/>
      <c r="J2740" s="1063"/>
      <c r="K2740" s="1063"/>
      <c r="L2740" s="1063"/>
      <c r="M2740" s="1063"/>
      <c r="N2740" s="1063"/>
      <c r="O2740" s="1063"/>
      <c r="P2740" s="1063"/>
      <c r="Q2740" s="1063"/>
      <c r="R2740" s="1063"/>
      <c r="S2740" s="1063"/>
      <c r="T2740" s="1063"/>
      <c r="U2740" s="1063"/>
      <c r="V2740" s="1063"/>
      <c r="W2740" s="1063"/>
      <c r="X2740" s="1063"/>
      <c r="Y2740" s="1063"/>
      <c r="Z2740" s="1063"/>
      <c r="AA2740" s="1063"/>
      <c r="AB2740" s="1063"/>
      <c r="AC2740" s="1063"/>
      <c r="AD2740" s="1063"/>
      <c r="AE2740" s="1063"/>
      <c r="AF2740" s="1063"/>
      <c r="AG2740" s="1063"/>
      <c r="AH2740" s="1063"/>
      <c r="AI2740" s="1063"/>
      <c r="AJ2740" s="1063"/>
      <c r="AK2740" s="1063"/>
      <c r="AL2740" s="1063"/>
      <c r="AM2740" s="1063"/>
      <c r="AN2740" s="1063"/>
      <c r="AO2740" s="1063"/>
      <c r="AP2740" s="1063"/>
      <c r="AQ2740" s="1063"/>
      <c r="AR2740" s="1063"/>
      <c r="AS2740" s="1063"/>
      <c r="AT2740" s="1063"/>
      <c r="AU2740" s="1063"/>
      <c r="AV2740" s="1063"/>
    </row>
    <row r="2741" spans="1:48" s="1108" customFormat="1" ht="27.75" customHeight="1">
      <c r="A2741" s="1076"/>
      <c r="B2741" s="1074">
        <f>+'[18]Bldg+Dev'!S3553</f>
        <v>0</v>
      </c>
      <c r="D2741" s="1063"/>
      <c r="F2741" s="1076"/>
      <c r="G2741" s="1063"/>
      <c r="H2741" s="1063"/>
      <c r="I2741" s="1063"/>
      <c r="J2741" s="1063"/>
      <c r="K2741" s="1063"/>
      <c r="L2741" s="1063"/>
      <c r="M2741" s="1063"/>
      <c r="N2741" s="1063"/>
      <c r="O2741" s="1063"/>
      <c r="P2741" s="1063"/>
      <c r="Q2741" s="1063"/>
      <c r="R2741" s="1063"/>
      <c r="S2741" s="1063"/>
      <c r="T2741" s="1063"/>
      <c r="U2741" s="1063"/>
      <c r="V2741" s="1063"/>
      <c r="W2741" s="1063"/>
      <c r="X2741" s="1063"/>
      <c r="Y2741" s="1063"/>
      <c r="Z2741" s="1063"/>
      <c r="AA2741" s="1063"/>
      <c r="AB2741" s="1063"/>
      <c r="AC2741" s="1063"/>
      <c r="AD2741" s="1063"/>
      <c r="AE2741" s="1063"/>
      <c r="AF2741" s="1063"/>
      <c r="AG2741" s="1063"/>
      <c r="AH2741" s="1063"/>
      <c r="AI2741" s="1063"/>
      <c r="AJ2741" s="1063"/>
      <c r="AK2741" s="1063"/>
      <c r="AL2741" s="1063"/>
      <c r="AM2741" s="1063"/>
      <c r="AN2741" s="1063"/>
      <c r="AO2741" s="1063"/>
      <c r="AP2741" s="1063"/>
      <c r="AQ2741" s="1063"/>
      <c r="AR2741" s="1063"/>
      <c r="AS2741" s="1063"/>
      <c r="AT2741" s="1063"/>
      <c r="AU2741" s="1063"/>
      <c r="AV2741" s="1063"/>
    </row>
    <row r="2742" spans="1:48" s="1108" customFormat="1" ht="27.75" customHeight="1">
      <c r="A2742" s="1076"/>
      <c r="B2742" s="1074">
        <f>+'[18]Bldg+Dev'!S3554</f>
        <v>0</v>
      </c>
      <c r="D2742" s="1063"/>
      <c r="F2742" s="1076"/>
      <c r="G2742" s="1063"/>
      <c r="H2742" s="1063"/>
      <c r="I2742" s="1063"/>
      <c r="J2742" s="1063"/>
      <c r="K2742" s="1063"/>
      <c r="L2742" s="1063"/>
      <c r="M2742" s="1063"/>
      <c r="N2742" s="1063"/>
      <c r="O2742" s="1063"/>
      <c r="P2742" s="1063"/>
      <c r="Q2742" s="1063"/>
      <c r="R2742" s="1063"/>
      <c r="S2742" s="1063"/>
      <c r="T2742" s="1063"/>
      <c r="U2742" s="1063"/>
      <c r="V2742" s="1063"/>
      <c r="W2742" s="1063"/>
      <c r="X2742" s="1063"/>
      <c r="Y2742" s="1063"/>
      <c r="Z2742" s="1063"/>
      <c r="AA2742" s="1063"/>
      <c r="AB2742" s="1063"/>
      <c r="AC2742" s="1063"/>
      <c r="AD2742" s="1063"/>
      <c r="AE2742" s="1063"/>
      <c r="AF2742" s="1063"/>
      <c r="AG2742" s="1063"/>
      <c r="AH2742" s="1063"/>
      <c r="AI2742" s="1063"/>
      <c r="AJ2742" s="1063"/>
      <c r="AK2742" s="1063"/>
      <c r="AL2742" s="1063"/>
      <c r="AM2742" s="1063"/>
      <c r="AN2742" s="1063"/>
      <c r="AO2742" s="1063"/>
      <c r="AP2742" s="1063"/>
      <c r="AQ2742" s="1063"/>
      <c r="AR2742" s="1063"/>
      <c r="AS2742" s="1063"/>
      <c r="AT2742" s="1063"/>
      <c r="AU2742" s="1063"/>
      <c r="AV2742" s="1063"/>
    </row>
    <row r="2743" spans="1:48" s="1108" customFormat="1" ht="27.75" customHeight="1">
      <c r="A2743" s="1076"/>
      <c r="B2743" s="1074">
        <f>+'[18]Bldg+Dev'!S3555</f>
        <v>0</v>
      </c>
      <c r="D2743" s="1063"/>
      <c r="F2743" s="1076"/>
      <c r="G2743" s="1063"/>
      <c r="H2743" s="1063"/>
      <c r="I2743" s="1063"/>
      <c r="J2743" s="1063"/>
      <c r="K2743" s="1063"/>
      <c r="L2743" s="1063"/>
      <c r="M2743" s="1063"/>
      <c r="N2743" s="1063"/>
      <c r="O2743" s="1063"/>
      <c r="P2743" s="1063"/>
      <c r="Q2743" s="1063"/>
      <c r="R2743" s="1063"/>
      <c r="S2743" s="1063"/>
      <c r="T2743" s="1063"/>
      <c r="U2743" s="1063"/>
      <c r="V2743" s="1063"/>
      <c r="W2743" s="1063"/>
      <c r="X2743" s="1063"/>
      <c r="Y2743" s="1063"/>
      <c r="Z2743" s="1063"/>
      <c r="AA2743" s="1063"/>
      <c r="AB2743" s="1063"/>
      <c r="AC2743" s="1063"/>
      <c r="AD2743" s="1063"/>
      <c r="AE2743" s="1063"/>
      <c r="AF2743" s="1063"/>
      <c r="AG2743" s="1063"/>
      <c r="AH2743" s="1063"/>
      <c r="AI2743" s="1063"/>
      <c r="AJ2743" s="1063"/>
      <c r="AK2743" s="1063"/>
      <c r="AL2743" s="1063"/>
      <c r="AM2743" s="1063"/>
      <c r="AN2743" s="1063"/>
      <c r="AO2743" s="1063"/>
      <c r="AP2743" s="1063"/>
      <c r="AQ2743" s="1063"/>
      <c r="AR2743" s="1063"/>
      <c r="AS2743" s="1063"/>
      <c r="AT2743" s="1063"/>
      <c r="AU2743" s="1063"/>
      <c r="AV2743" s="1063"/>
    </row>
    <row r="2744" spans="1:48" s="1108" customFormat="1" ht="27.75" customHeight="1">
      <c r="A2744" s="1076"/>
      <c r="B2744" s="1074">
        <f>+'[18]Bldg+Dev'!S3556</f>
        <v>0</v>
      </c>
      <c r="D2744" s="1063"/>
      <c r="F2744" s="1076"/>
      <c r="G2744" s="1063"/>
      <c r="H2744" s="1063"/>
      <c r="I2744" s="1063"/>
      <c r="J2744" s="1063"/>
      <c r="K2744" s="1063"/>
      <c r="L2744" s="1063"/>
      <c r="M2744" s="1063"/>
      <c r="N2744" s="1063"/>
      <c r="O2744" s="1063"/>
      <c r="P2744" s="1063"/>
      <c r="Q2744" s="1063"/>
      <c r="R2744" s="1063"/>
      <c r="S2744" s="1063"/>
      <c r="T2744" s="1063"/>
      <c r="U2744" s="1063"/>
      <c r="V2744" s="1063"/>
      <c r="W2744" s="1063"/>
      <c r="X2744" s="1063"/>
      <c r="Y2744" s="1063"/>
      <c r="Z2744" s="1063"/>
      <c r="AA2744" s="1063"/>
      <c r="AB2744" s="1063"/>
      <c r="AC2744" s="1063"/>
      <c r="AD2744" s="1063"/>
      <c r="AE2744" s="1063"/>
      <c r="AF2744" s="1063"/>
      <c r="AG2744" s="1063"/>
      <c r="AH2744" s="1063"/>
      <c r="AI2744" s="1063"/>
      <c r="AJ2744" s="1063"/>
      <c r="AK2744" s="1063"/>
      <c r="AL2744" s="1063"/>
      <c r="AM2744" s="1063"/>
      <c r="AN2744" s="1063"/>
      <c r="AO2744" s="1063"/>
      <c r="AP2744" s="1063"/>
      <c r="AQ2744" s="1063"/>
      <c r="AR2744" s="1063"/>
      <c r="AS2744" s="1063"/>
      <c r="AT2744" s="1063"/>
      <c r="AU2744" s="1063"/>
      <c r="AV2744" s="1063"/>
    </row>
    <row r="2745" spans="1:48" s="1108" customFormat="1" ht="27.75" customHeight="1">
      <c r="A2745" s="1076"/>
      <c r="B2745" s="1074">
        <f>+'[18]Bldg+Dev'!S3557</f>
        <v>0</v>
      </c>
      <c r="D2745" s="1063"/>
      <c r="F2745" s="1076"/>
      <c r="G2745" s="1063"/>
      <c r="H2745" s="1063"/>
      <c r="I2745" s="1063"/>
      <c r="J2745" s="1063"/>
      <c r="K2745" s="1063"/>
      <c r="L2745" s="1063"/>
      <c r="M2745" s="1063"/>
      <c r="N2745" s="1063"/>
      <c r="O2745" s="1063"/>
      <c r="P2745" s="1063"/>
      <c r="Q2745" s="1063"/>
      <c r="R2745" s="1063"/>
      <c r="S2745" s="1063"/>
      <c r="T2745" s="1063"/>
      <c r="U2745" s="1063"/>
      <c r="V2745" s="1063"/>
      <c r="W2745" s="1063"/>
      <c r="X2745" s="1063"/>
      <c r="Y2745" s="1063"/>
      <c r="Z2745" s="1063"/>
      <c r="AA2745" s="1063"/>
      <c r="AB2745" s="1063"/>
      <c r="AC2745" s="1063"/>
      <c r="AD2745" s="1063"/>
      <c r="AE2745" s="1063"/>
      <c r="AF2745" s="1063"/>
      <c r="AG2745" s="1063"/>
      <c r="AH2745" s="1063"/>
      <c r="AI2745" s="1063"/>
      <c r="AJ2745" s="1063"/>
      <c r="AK2745" s="1063"/>
      <c r="AL2745" s="1063"/>
      <c r="AM2745" s="1063"/>
      <c r="AN2745" s="1063"/>
      <c r="AO2745" s="1063"/>
      <c r="AP2745" s="1063"/>
      <c r="AQ2745" s="1063"/>
      <c r="AR2745" s="1063"/>
      <c r="AS2745" s="1063"/>
      <c r="AT2745" s="1063"/>
      <c r="AU2745" s="1063"/>
      <c r="AV2745" s="1063"/>
    </row>
    <row r="2746" spans="1:48" s="1108" customFormat="1" ht="27.75" customHeight="1">
      <c r="A2746" s="1076"/>
      <c r="B2746" s="1074">
        <f>+'[18]Bldg+Dev'!S3558</f>
        <v>0</v>
      </c>
      <c r="D2746" s="1063"/>
      <c r="F2746" s="1076"/>
      <c r="G2746" s="1063"/>
      <c r="H2746" s="1063"/>
      <c r="I2746" s="1063"/>
      <c r="J2746" s="1063"/>
      <c r="K2746" s="1063"/>
      <c r="L2746" s="1063"/>
      <c r="M2746" s="1063"/>
      <c r="N2746" s="1063"/>
      <c r="O2746" s="1063"/>
      <c r="P2746" s="1063"/>
      <c r="Q2746" s="1063"/>
      <c r="R2746" s="1063"/>
      <c r="S2746" s="1063"/>
      <c r="T2746" s="1063"/>
      <c r="U2746" s="1063"/>
      <c r="V2746" s="1063"/>
      <c r="W2746" s="1063"/>
      <c r="X2746" s="1063"/>
      <c r="Y2746" s="1063"/>
      <c r="Z2746" s="1063"/>
      <c r="AA2746" s="1063"/>
      <c r="AB2746" s="1063"/>
      <c r="AC2746" s="1063"/>
      <c r="AD2746" s="1063"/>
      <c r="AE2746" s="1063"/>
      <c r="AF2746" s="1063"/>
      <c r="AG2746" s="1063"/>
      <c r="AH2746" s="1063"/>
      <c r="AI2746" s="1063"/>
      <c r="AJ2746" s="1063"/>
      <c r="AK2746" s="1063"/>
      <c r="AL2746" s="1063"/>
      <c r="AM2746" s="1063"/>
      <c r="AN2746" s="1063"/>
      <c r="AO2746" s="1063"/>
      <c r="AP2746" s="1063"/>
      <c r="AQ2746" s="1063"/>
      <c r="AR2746" s="1063"/>
      <c r="AS2746" s="1063"/>
      <c r="AT2746" s="1063"/>
      <c r="AU2746" s="1063"/>
      <c r="AV2746" s="1063"/>
    </row>
    <row r="2747" spans="1:48" s="1108" customFormat="1" ht="27.75" customHeight="1">
      <c r="A2747" s="1076"/>
      <c r="B2747" s="1074">
        <f>+'[18]Bldg+Dev'!S3559</f>
        <v>0</v>
      </c>
      <c r="D2747" s="1063"/>
      <c r="F2747" s="1076"/>
      <c r="G2747" s="1063"/>
      <c r="H2747" s="1063"/>
      <c r="I2747" s="1063"/>
      <c r="J2747" s="1063"/>
      <c r="K2747" s="1063"/>
      <c r="L2747" s="1063"/>
      <c r="M2747" s="1063"/>
      <c r="N2747" s="1063"/>
      <c r="O2747" s="1063"/>
      <c r="P2747" s="1063"/>
      <c r="Q2747" s="1063"/>
      <c r="R2747" s="1063"/>
      <c r="S2747" s="1063"/>
      <c r="T2747" s="1063"/>
      <c r="U2747" s="1063"/>
      <c r="V2747" s="1063"/>
      <c r="W2747" s="1063"/>
      <c r="X2747" s="1063"/>
      <c r="Y2747" s="1063"/>
      <c r="Z2747" s="1063"/>
      <c r="AA2747" s="1063"/>
      <c r="AB2747" s="1063"/>
      <c r="AC2747" s="1063"/>
      <c r="AD2747" s="1063"/>
      <c r="AE2747" s="1063"/>
      <c r="AF2747" s="1063"/>
      <c r="AG2747" s="1063"/>
      <c r="AH2747" s="1063"/>
      <c r="AI2747" s="1063"/>
      <c r="AJ2747" s="1063"/>
      <c r="AK2747" s="1063"/>
      <c r="AL2747" s="1063"/>
      <c r="AM2747" s="1063"/>
      <c r="AN2747" s="1063"/>
      <c r="AO2747" s="1063"/>
      <c r="AP2747" s="1063"/>
      <c r="AQ2747" s="1063"/>
      <c r="AR2747" s="1063"/>
      <c r="AS2747" s="1063"/>
      <c r="AT2747" s="1063"/>
      <c r="AU2747" s="1063"/>
      <c r="AV2747" s="1063"/>
    </row>
    <row r="2748" spans="1:48" s="1108" customFormat="1" ht="27.75" customHeight="1">
      <c r="A2748" s="1076"/>
      <c r="B2748" s="1074">
        <f>+'[18]Bldg+Dev'!S3560</f>
        <v>0</v>
      </c>
      <c r="D2748" s="1063"/>
      <c r="F2748" s="1076"/>
      <c r="G2748" s="1063"/>
      <c r="H2748" s="1063"/>
      <c r="I2748" s="1063"/>
      <c r="J2748" s="1063"/>
      <c r="K2748" s="1063"/>
      <c r="L2748" s="1063"/>
      <c r="M2748" s="1063"/>
      <c r="N2748" s="1063"/>
      <c r="O2748" s="1063"/>
      <c r="P2748" s="1063"/>
      <c r="Q2748" s="1063"/>
      <c r="R2748" s="1063"/>
      <c r="S2748" s="1063"/>
      <c r="T2748" s="1063"/>
      <c r="U2748" s="1063"/>
      <c r="V2748" s="1063"/>
      <c r="W2748" s="1063"/>
      <c r="X2748" s="1063"/>
      <c r="Y2748" s="1063"/>
      <c r="Z2748" s="1063"/>
      <c r="AA2748" s="1063"/>
      <c r="AB2748" s="1063"/>
      <c r="AC2748" s="1063"/>
      <c r="AD2748" s="1063"/>
      <c r="AE2748" s="1063"/>
      <c r="AF2748" s="1063"/>
      <c r="AG2748" s="1063"/>
      <c r="AH2748" s="1063"/>
      <c r="AI2748" s="1063"/>
      <c r="AJ2748" s="1063"/>
      <c r="AK2748" s="1063"/>
      <c r="AL2748" s="1063"/>
      <c r="AM2748" s="1063"/>
      <c r="AN2748" s="1063"/>
      <c r="AO2748" s="1063"/>
      <c r="AP2748" s="1063"/>
      <c r="AQ2748" s="1063"/>
      <c r="AR2748" s="1063"/>
      <c r="AS2748" s="1063"/>
      <c r="AT2748" s="1063"/>
      <c r="AU2748" s="1063"/>
      <c r="AV2748" s="1063"/>
    </row>
    <row r="2749" spans="1:48" s="1108" customFormat="1" ht="27.75" customHeight="1">
      <c r="A2749" s="1076"/>
      <c r="B2749" s="1074">
        <f>+'[18]Bldg+Dev'!S3561</f>
        <v>0</v>
      </c>
      <c r="D2749" s="1063"/>
      <c r="F2749" s="1076"/>
      <c r="G2749" s="1063"/>
      <c r="H2749" s="1063"/>
      <c r="I2749" s="1063"/>
      <c r="J2749" s="1063"/>
      <c r="K2749" s="1063"/>
      <c r="L2749" s="1063"/>
      <c r="M2749" s="1063"/>
      <c r="N2749" s="1063"/>
      <c r="O2749" s="1063"/>
      <c r="P2749" s="1063"/>
      <c r="Q2749" s="1063"/>
      <c r="R2749" s="1063"/>
      <c r="S2749" s="1063"/>
      <c r="T2749" s="1063"/>
      <c r="U2749" s="1063"/>
      <c r="V2749" s="1063"/>
      <c r="W2749" s="1063"/>
      <c r="X2749" s="1063"/>
      <c r="Y2749" s="1063"/>
      <c r="Z2749" s="1063"/>
      <c r="AA2749" s="1063"/>
      <c r="AB2749" s="1063"/>
      <c r="AC2749" s="1063"/>
      <c r="AD2749" s="1063"/>
      <c r="AE2749" s="1063"/>
      <c r="AF2749" s="1063"/>
      <c r="AG2749" s="1063"/>
      <c r="AH2749" s="1063"/>
      <c r="AI2749" s="1063"/>
      <c r="AJ2749" s="1063"/>
      <c r="AK2749" s="1063"/>
      <c r="AL2749" s="1063"/>
      <c r="AM2749" s="1063"/>
      <c r="AN2749" s="1063"/>
      <c r="AO2749" s="1063"/>
      <c r="AP2749" s="1063"/>
      <c r="AQ2749" s="1063"/>
      <c r="AR2749" s="1063"/>
      <c r="AS2749" s="1063"/>
      <c r="AT2749" s="1063"/>
      <c r="AU2749" s="1063"/>
      <c r="AV2749" s="1063"/>
    </row>
    <row r="2750" spans="1:48" s="1108" customFormat="1" ht="27.75" customHeight="1">
      <c r="A2750" s="1076"/>
      <c r="B2750" s="1074">
        <f>+'[18]Bldg+Dev'!S3562</f>
        <v>0</v>
      </c>
      <c r="D2750" s="1063"/>
      <c r="F2750" s="1076"/>
      <c r="G2750" s="1063"/>
      <c r="H2750" s="1063"/>
      <c r="I2750" s="1063"/>
      <c r="J2750" s="1063"/>
      <c r="K2750" s="1063"/>
      <c r="L2750" s="1063"/>
      <c r="M2750" s="1063"/>
      <c r="N2750" s="1063"/>
      <c r="O2750" s="1063"/>
      <c r="P2750" s="1063"/>
      <c r="Q2750" s="1063"/>
      <c r="R2750" s="1063"/>
      <c r="S2750" s="1063"/>
      <c r="T2750" s="1063"/>
      <c r="U2750" s="1063"/>
      <c r="V2750" s="1063"/>
      <c r="W2750" s="1063"/>
      <c r="X2750" s="1063"/>
      <c r="Y2750" s="1063"/>
      <c r="Z2750" s="1063"/>
      <c r="AA2750" s="1063"/>
      <c r="AB2750" s="1063"/>
      <c r="AC2750" s="1063"/>
      <c r="AD2750" s="1063"/>
      <c r="AE2750" s="1063"/>
      <c r="AF2750" s="1063"/>
      <c r="AG2750" s="1063"/>
      <c r="AH2750" s="1063"/>
      <c r="AI2750" s="1063"/>
      <c r="AJ2750" s="1063"/>
      <c r="AK2750" s="1063"/>
      <c r="AL2750" s="1063"/>
      <c r="AM2750" s="1063"/>
      <c r="AN2750" s="1063"/>
      <c r="AO2750" s="1063"/>
      <c r="AP2750" s="1063"/>
      <c r="AQ2750" s="1063"/>
      <c r="AR2750" s="1063"/>
      <c r="AS2750" s="1063"/>
      <c r="AT2750" s="1063"/>
      <c r="AU2750" s="1063"/>
      <c r="AV2750" s="1063"/>
    </row>
    <row r="2751" spans="1:48" s="1108" customFormat="1" ht="27.75" customHeight="1">
      <c r="A2751" s="1076"/>
      <c r="B2751" s="1074">
        <f>+'[18]Bldg+Dev'!S3563</f>
        <v>0</v>
      </c>
      <c r="D2751" s="1063"/>
      <c r="F2751" s="1076"/>
      <c r="G2751" s="1063"/>
      <c r="H2751" s="1063"/>
      <c r="I2751" s="1063"/>
      <c r="J2751" s="1063"/>
      <c r="K2751" s="1063"/>
      <c r="L2751" s="1063"/>
      <c r="M2751" s="1063"/>
      <c r="N2751" s="1063"/>
      <c r="O2751" s="1063"/>
      <c r="P2751" s="1063"/>
      <c r="Q2751" s="1063"/>
      <c r="R2751" s="1063"/>
      <c r="S2751" s="1063"/>
      <c r="T2751" s="1063"/>
      <c r="U2751" s="1063"/>
      <c r="V2751" s="1063"/>
      <c r="W2751" s="1063"/>
      <c r="X2751" s="1063"/>
      <c r="Y2751" s="1063"/>
      <c r="Z2751" s="1063"/>
      <c r="AA2751" s="1063"/>
      <c r="AB2751" s="1063"/>
      <c r="AC2751" s="1063"/>
      <c r="AD2751" s="1063"/>
      <c r="AE2751" s="1063"/>
      <c r="AF2751" s="1063"/>
      <c r="AG2751" s="1063"/>
      <c r="AH2751" s="1063"/>
      <c r="AI2751" s="1063"/>
      <c r="AJ2751" s="1063"/>
      <c r="AK2751" s="1063"/>
      <c r="AL2751" s="1063"/>
      <c r="AM2751" s="1063"/>
      <c r="AN2751" s="1063"/>
      <c r="AO2751" s="1063"/>
      <c r="AP2751" s="1063"/>
      <c r="AQ2751" s="1063"/>
      <c r="AR2751" s="1063"/>
      <c r="AS2751" s="1063"/>
      <c r="AT2751" s="1063"/>
      <c r="AU2751" s="1063"/>
      <c r="AV2751" s="1063"/>
    </row>
    <row r="2752" spans="1:48" s="1108" customFormat="1" ht="27.75" customHeight="1">
      <c r="A2752" s="1076"/>
      <c r="B2752" s="1074">
        <f>+'[18]Bldg+Dev'!S3564</f>
        <v>0</v>
      </c>
      <c r="D2752" s="1063"/>
      <c r="F2752" s="1076"/>
      <c r="G2752" s="1063"/>
      <c r="H2752" s="1063"/>
      <c r="I2752" s="1063"/>
      <c r="J2752" s="1063"/>
      <c r="K2752" s="1063"/>
      <c r="L2752" s="1063"/>
      <c r="M2752" s="1063"/>
      <c r="N2752" s="1063"/>
      <c r="O2752" s="1063"/>
      <c r="P2752" s="1063"/>
      <c r="Q2752" s="1063"/>
      <c r="R2752" s="1063"/>
      <c r="S2752" s="1063"/>
      <c r="T2752" s="1063"/>
      <c r="U2752" s="1063"/>
      <c r="V2752" s="1063"/>
      <c r="W2752" s="1063"/>
      <c r="X2752" s="1063"/>
      <c r="Y2752" s="1063"/>
      <c r="Z2752" s="1063"/>
      <c r="AA2752" s="1063"/>
      <c r="AB2752" s="1063"/>
      <c r="AC2752" s="1063"/>
      <c r="AD2752" s="1063"/>
      <c r="AE2752" s="1063"/>
      <c r="AF2752" s="1063"/>
      <c r="AG2752" s="1063"/>
      <c r="AH2752" s="1063"/>
      <c r="AI2752" s="1063"/>
      <c r="AJ2752" s="1063"/>
      <c r="AK2752" s="1063"/>
      <c r="AL2752" s="1063"/>
      <c r="AM2752" s="1063"/>
      <c r="AN2752" s="1063"/>
      <c r="AO2752" s="1063"/>
      <c r="AP2752" s="1063"/>
      <c r="AQ2752" s="1063"/>
      <c r="AR2752" s="1063"/>
      <c r="AS2752" s="1063"/>
      <c r="AT2752" s="1063"/>
      <c r="AU2752" s="1063"/>
      <c r="AV2752" s="1063"/>
    </row>
    <row r="2753" spans="1:48" s="1108" customFormat="1" ht="27.75" customHeight="1">
      <c r="A2753" s="1076"/>
      <c r="B2753" s="1074">
        <f>+'[18]Bldg+Dev'!S3565</f>
        <v>0</v>
      </c>
      <c r="D2753" s="1063"/>
      <c r="F2753" s="1076"/>
      <c r="G2753" s="1063"/>
      <c r="H2753" s="1063"/>
      <c r="I2753" s="1063"/>
      <c r="J2753" s="1063"/>
      <c r="K2753" s="1063"/>
      <c r="L2753" s="1063"/>
      <c r="M2753" s="1063"/>
      <c r="N2753" s="1063"/>
      <c r="O2753" s="1063"/>
      <c r="P2753" s="1063"/>
      <c r="Q2753" s="1063"/>
      <c r="R2753" s="1063"/>
      <c r="S2753" s="1063"/>
      <c r="T2753" s="1063"/>
      <c r="U2753" s="1063"/>
      <c r="V2753" s="1063"/>
      <c r="W2753" s="1063"/>
      <c r="X2753" s="1063"/>
      <c r="Y2753" s="1063"/>
      <c r="Z2753" s="1063"/>
      <c r="AA2753" s="1063"/>
      <c r="AB2753" s="1063"/>
      <c r="AC2753" s="1063"/>
      <c r="AD2753" s="1063"/>
      <c r="AE2753" s="1063"/>
      <c r="AF2753" s="1063"/>
      <c r="AG2753" s="1063"/>
      <c r="AH2753" s="1063"/>
      <c r="AI2753" s="1063"/>
      <c r="AJ2753" s="1063"/>
      <c r="AK2753" s="1063"/>
      <c r="AL2753" s="1063"/>
      <c r="AM2753" s="1063"/>
      <c r="AN2753" s="1063"/>
      <c r="AO2753" s="1063"/>
      <c r="AP2753" s="1063"/>
      <c r="AQ2753" s="1063"/>
      <c r="AR2753" s="1063"/>
      <c r="AS2753" s="1063"/>
      <c r="AT2753" s="1063"/>
      <c r="AU2753" s="1063"/>
      <c r="AV2753" s="1063"/>
    </row>
    <row r="2754" spans="1:48" s="1108" customFormat="1" ht="27.75" customHeight="1">
      <c r="A2754" s="1076"/>
      <c r="B2754" s="1074">
        <f>+'[18]Bldg+Dev'!S3566</f>
        <v>0</v>
      </c>
      <c r="D2754" s="1063"/>
      <c r="F2754" s="1076"/>
      <c r="G2754" s="1063"/>
      <c r="H2754" s="1063"/>
      <c r="I2754" s="1063"/>
      <c r="J2754" s="1063"/>
      <c r="K2754" s="1063"/>
      <c r="L2754" s="1063"/>
      <c r="M2754" s="1063"/>
      <c r="N2754" s="1063"/>
      <c r="O2754" s="1063"/>
      <c r="P2754" s="1063"/>
      <c r="Q2754" s="1063"/>
      <c r="R2754" s="1063"/>
      <c r="S2754" s="1063"/>
      <c r="T2754" s="1063"/>
      <c r="U2754" s="1063"/>
      <c r="V2754" s="1063"/>
      <c r="W2754" s="1063"/>
      <c r="X2754" s="1063"/>
      <c r="Y2754" s="1063"/>
      <c r="Z2754" s="1063"/>
      <c r="AA2754" s="1063"/>
      <c r="AB2754" s="1063"/>
      <c r="AC2754" s="1063"/>
      <c r="AD2754" s="1063"/>
      <c r="AE2754" s="1063"/>
      <c r="AF2754" s="1063"/>
      <c r="AG2754" s="1063"/>
      <c r="AH2754" s="1063"/>
      <c r="AI2754" s="1063"/>
      <c r="AJ2754" s="1063"/>
      <c r="AK2754" s="1063"/>
      <c r="AL2754" s="1063"/>
      <c r="AM2754" s="1063"/>
      <c r="AN2754" s="1063"/>
      <c r="AO2754" s="1063"/>
      <c r="AP2754" s="1063"/>
      <c r="AQ2754" s="1063"/>
      <c r="AR2754" s="1063"/>
      <c r="AS2754" s="1063"/>
      <c r="AT2754" s="1063"/>
      <c r="AU2754" s="1063"/>
      <c r="AV2754" s="1063"/>
    </row>
    <row r="2755" spans="1:48" s="1108" customFormat="1" ht="27.75" customHeight="1">
      <c r="A2755" s="1076"/>
      <c r="B2755" s="1074">
        <f>+'[18]Bldg+Dev'!S3567</f>
        <v>0</v>
      </c>
      <c r="D2755" s="1063"/>
      <c r="F2755" s="1076"/>
      <c r="G2755" s="1063"/>
      <c r="H2755" s="1063"/>
      <c r="I2755" s="1063"/>
      <c r="J2755" s="1063"/>
      <c r="K2755" s="1063"/>
      <c r="L2755" s="1063"/>
      <c r="M2755" s="1063"/>
      <c r="N2755" s="1063"/>
      <c r="O2755" s="1063"/>
      <c r="P2755" s="1063"/>
      <c r="Q2755" s="1063"/>
      <c r="R2755" s="1063"/>
      <c r="S2755" s="1063"/>
      <c r="T2755" s="1063"/>
      <c r="U2755" s="1063"/>
      <c r="V2755" s="1063"/>
      <c r="W2755" s="1063"/>
      <c r="X2755" s="1063"/>
      <c r="Y2755" s="1063"/>
      <c r="Z2755" s="1063"/>
      <c r="AA2755" s="1063"/>
      <c r="AB2755" s="1063"/>
      <c r="AC2755" s="1063"/>
      <c r="AD2755" s="1063"/>
      <c r="AE2755" s="1063"/>
      <c r="AF2755" s="1063"/>
      <c r="AG2755" s="1063"/>
      <c r="AH2755" s="1063"/>
      <c r="AI2755" s="1063"/>
      <c r="AJ2755" s="1063"/>
      <c r="AK2755" s="1063"/>
      <c r="AL2755" s="1063"/>
      <c r="AM2755" s="1063"/>
      <c r="AN2755" s="1063"/>
      <c r="AO2755" s="1063"/>
      <c r="AP2755" s="1063"/>
      <c r="AQ2755" s="1063"/>
      <c r="AR2755" s="1063"/>
      <c r="AS2755" s="1063"/>
      <c r="AT2755" s="1063"/>
      <c r="AU2755" s="1063"/>
      <c r="AV2755" s="1063"/>
    </row>
    <row r="2756" spans="1:48" s="1108" customFormat="1" ht="27.75" customHeight="1">
      <c r="A2756" s="1076"/>
      <c r="B2756" s="1074">
        <f>+'[18]Bldg+Dev'!S3568</f>
        <v>0</v>
      </c>
      <c r="D2756" s="1063"/>
      <c r="F2756" s="1076"/>
      <c r="G2756" s="1063"/>
      <c r="H2756" s="1063"/>
      <c r="I2756" s="1063"/>
      <c r="J2756" s="1063"/>
      <c r="K2756" s="1063"/>
      <c r="L2756" s="1063"/>
      <c r="M2756" s="1063"/>
      <c r="N2756" s="1063"/>
      <c r="O2756" s="1063"/>
      <c r="P2756" s="1063"/>
      <c r="Q2756" s="1063"/>
      <c r="R2756" s="1063"/>
      <c r="S2756" s="1063"/>
      <c r="T2756" s="1063"/>
      <c r="U2756" s="1063"/>
      <c r="V2756" s="1063"/>
      <c r="W2756" s="1063"/>
      <c r="X2756" s="1063"/>
      <c r="Y2756" s="1063"/>
      <c r="Z2756" s="1063"/>
      <c r="AA2756" s="1063"/>
      <c r="AB2756" s="1063"/>
      <c r="AC2756" s="1063"/>
      <c r="AD2756" s="1063"/>
      <c r="AE2756" s="1063"/>
      <c r="AF2756" s="1063"/>
      <c r="AG2756" s="1063"/>
      <c r="AH2756" s="1063"/>
      <c r="AI2756" s="1063"/>
      <c r="AJ2756" s="1063"/>
      <c r="AK2756" s="1063"/>
      <c r="AL2756" s="1063"/>
      <c r="AM2756" s="1063"/>
      <c r="AN2756" s="1063"/>
      <c r="AO2756" s="1063"/>
      <c r="AP2756" s="1063"/>
      <c r="AQ2756" s="1063"/>
      <c r="AR2756" s="1063"/>
      <c r="AS2756" s="1063"/>
      <c r="AT2756" s="1063"/>
      <c r="AU2756" s="1063"/>
      <c r="AV2756" s="1063"/>
    </row>
    <row r="2757" spans="1:48" s="1108" customFormat="1" ht="27.75" customHeight="1">
      <c r="A2757" s="1076"/>
      <c r="B2757" s="1074">
        <f>+'[18]Bldg+Dev'!S3569</f>
        <v>0</v>
      </c>
      <c r="D2757" s="1063"/>
      <c r="F2757" s="1076"/>
      <c r="G2757" s="1063"/>
      <c r="H2757" s="1063"/>
      <c r="I2757" s="1063"/>
      <c r="J2757" s="1063"/>
      <c r="K2757" s="1063"/>
      <c r="L2757" s="1063"/>
      <c r="M2757" s="1063"/>
      <c r="N2757" s="1063"/>
      <c r="O2757" s="1063"/>
      <c r="P2757" s="1063"/>
      <c r="Q2757" s="1063"/>
      <c r="R2757" s="1063"/>
      <c r="S2757" s="1063"/>
      <c r="T2757" s="1063"/>
      <c r="U2757" s="1063"/>
      <c r="V2757" s="1063"/>
      <c r="W2757" s="1063"/>
      <c r="X2757" s="1063"/>
      <c r="Y2757" s="1063"/>
      <c r="Z2757" s="1063"/>
      <c r="AA2757" s="1063"/>
      <c r="AB2757" s="1063"/>
      <c r="AC2757" s="1063"/>
      <c r="AD2757" s="1063"/>
      <c r="AE2757" s="1063"/>
      <c r="AF2757" s="1063"/>
      <c r="AG2757" s="1063"/>
      <c r="AH2757" s="1063"/>
      <c r="AI2757" s="1063"/>
      <c r="AJ2757" s="1063"/>
      <c r="AK2757" s="1063"/>
      <c r="AL2757" s="1063"/>
      <c r="AM2757" s="1063"/>
      <c r="AN2757" s="1063"/>
      <c r="AO2757" s="1063"/>
      <c r="AP2757" s="1063"/>
      <c r="AQ2757" s="1063"/>
      <c r="AR2757" s="1063"/>
      <c r="AS2757" s="1063"/>
      <c r="AT2757" s="1063"/>
      <c r="AU2757" s="1063"/>
      <c r="AV2757" s="1063"/>
    </row>
    <row r="2758" spans="1:48" s="1108" customFormat="1" ht="27.75" customHeight="1">
      <c r="A2758" s="1076"/>
      <c r="B2758" s="1074">
        <f>+'[18]Bldg+Dev'!S3570</f>
        <v>0</v>
      </c>
      <c r="D2758" s="1063"/>
      <c r="F2758" s="1076"/>
      <c r="G2758" s="1063"/>
      <c r="H2758" s="1063"/>
      <c r="I2758" s="1063"/>
      <c r="J2758" s="1063"/>
      <c r="K2758" s="1063"/>
      <c r="L2758" s="1063"/>
      <c r="M2758" s="1063"/>
      <c r="N2758" s="1063"/>
      <c r="O2758" s="1063"/>
      <c r="P2758" s="1063"/>
      <c r="Q2758" s="1063"/>
      <c r="R2758" s="1063"/>
      <c r="S2758" s="1063"/>
      <c r="T2758" s="1063"/>
      <c r="U2758" s="1063"/>
      <c r="V2758" s="1063"/>
      <c r="W2758" s="1063"/>
      <c r="X2758" s="1063"/>
      <c r="Y2758" s="1063"/>
      <c r="Z2758" s="1063"/>
      <c r="AA2758" s="1063"/>
      <c r="AB2758" s="1063"/>
      <c r="AC2758" s="1063"/>
      <c r="AD2758" s="1063"/>
      <c r="AE2758" s="1063"/>
      <c r="AF2758" s="1063"/>
      <c r="AG2758" s="1063"/>
      <c r="AH2758" s="1063"/>
      <c r="AI2758" s="1063"/>
      <c r="AJ2758" s="1063"/>
      <c r="AK2758" s="1063"/>
      <c r="AL2758" s="1063"/>
      <c r="AM2758" s="1063"/>
      <c r="AN2758" s="1063"/>
      <c r="AO2758" s="1063"/>
      <c r="AP2758" s="1063"/>
      <c r="AQ2758" s="1063"/>
      <c r="AR2758" s="1063"/>
      <c r="AS2758" s="1063"/>
      <c r="AT2758" s="1063"/>
      <c r="AU2758" s="1063"/>
      <c r="AV2758" s="1063"/>
    </row>
    <row r="2759" spans="1:48" s="1108" customFormat="1" ht="27.75" customHeight="1">
      <c r="A2759" s="1076"/>
      <c r="B2759" s="1074">
        <f>+'[18]Bldg+Dev'!S3571</f>
        <v>0</v>
      </c>
      <c r="D2759" s="1063"/>
      <c r="F2759" s="1076"/>
      <c r="G2759" s="1063"/>
      <c r="H2759" s="1063"/>
      <c r="I2759" s="1063"/>
      <c r="J2759" s="1063"/>
      <c r="K2759" s="1063"/>
      <c r="L2759" s="1063"/>
      <c r="M2759" s="1063"/>
      <c r="N2759" s="1063"/>
      <c r="O2759" s="1063"/>
      <c r="P2759" s="1063"/>
      <c r="Q2759" s="1063"/>
      <c r="R2759" s="1063"/>
      <c r="S2759" s="1063"/>
      <c r="T2759" s="1063"/>
      <c r="U2759" s="1063"/>
      <c r="V2759" s="1063"/>
      <c r="W2759" s="1063"/>
      <c r="X2759" s="1063"/>
      <c r="Y2759" s="1063"/>
      <c r="Z2759" s="1063"/>
      <c r="AA2759" s="1063"/>
      <c r="AB2759" s="1063"/>
      <c r="AC2759" s="1063"/>
      <c r="AD2759" s="1063"/>
      <c r="AE2759" s="1063"/>
      <c r="AF2759" s="1063"/>
      <c r="AG2759" s="1063"/>
      <c r="AH2759" s="1063"/>
      <c r="AI2759" s="1063"/>
      <c r="AJ2759" s="1063"/>
      <c r="AK2759" s="1063"/>
      <c r="AL2759" s="1063"/>
      <c r="AM2759" s="1063"/>
      <c r="AN2759" s="1063"/>
      <c r="AO2759" s="1063"/>
      <c r="AP2759" s="1063"/>
      <c r="AQ2759" s="1063"/>
      <c r="AR2759" s="1063"/>
      <c r="AS2759" s="1063"/>
      <c r="AT2759" s="1063"/>
      <c r="AU2759" s="1063"/>
      <c r="AV2759" s="1063"/>
    </row>
    <row r="2760" spans="1:48" s="1108" customFormat="1" ht="27.75" customHeight="1">
      <c r="A2760" s="1076"/>
      <c r="B2760" s="1074">
        <f>+'[18]Bldg+Dev'!S3572</f>
        <v>0</v>
      </c>
      <c r="D2760" s="1063"/>
      <c r="F2760" s="1076"/>
      <c r="G2760" s="1063"/>
      <c r="H2760" s="1063"/>
      <c r="I2760" s="1063"/>
      <c r="J2760" s="1063"/>
      <c r="K2760" s="1063"/>
      <c r="L2760" s="1063"/>
      <c r="M2760" s="1063"/>
      <c r="N2760" s="1063"/>
      <c r="O2760" s="1063"/>
      <c r="P2760" s="1063"/>
      <c r="Q2760" s="1063"/>
      <c r="R2760" s="1063"/>
      <c r="S2760" s="1063"/>
      <c r="T2760" s="1063"/>
      <c r="U2760" s="1063"/>
      <c r="V2760" s="1063"/>
      <c r="W2760" s="1063"/>
      <c r="X2760" s="1063"/>
      <c r="Y2760" s="1063"/>
      <c r="Z2760" s="1063"/>
      <c r="AA2760" s="1063"/>
      <c r="AB2760" s="1063"/>
      <c r="AC2760" s="1063"/>
      <c r="AD2760" s="1063"/>
      <c r="AE2760" s="1063"/>
      <c r="AF2760" s="1063"/>
      <c r="AG2760" s="1063"/>
      <c r="AH2760" s="1063"/>
      <c r="AI2760" s="1063"/>
      <c r="AJ2760" s="1063"/>
      <c r="AK2760" s="1063"/>
      <c r="AL2760" s="1063"/>
      <c r="AM2760" s="1063"/>
      <c r="AN2760" s="1063"/>
      <c r="AO2760" s="1063"/>
      <c r="AP2760" s="1063"/>
      <c r="AQ2760" s="1063"/>
      <c r="AR2760" s="1063"/>
      <c r="AS2760" s="1063"/>
      <c r="AT2760" s="1063"/>
      <c r="AU2760" s="1063"/>
      <c r="AV2760" s="1063"/>
    </row>
    <row r="2761" spans="1:48" s="1108" customFormat="1" ht="27.75" customHeight="1">
      <c r="A2761" s="1076"/>
      <c r="B2761" s="1074">
        <f>+'[18]Bldg+Dev'!S3573</f>
        <v>0</v>
      </c>
      <c r="D2761" s="1063"/>
      <c r="F2761" s="1076"/>
      <c r="G2761" s="1063"/>
      <c r="H2761" s="1063"/>
      <c r="I2761" s="1063"/>
      <c r="J2761" s="1063"/>
      <c r="K2761" s="1063"/>
      <c r="L2761" s="1063"/>
      <c r="M2761" s="1063"/>
      <c r="N2761" s="1063"/>
      <c r="O2761" s="1063"/>
      <c r="P2761" s="1063"/>
      <c r="Q2761" s="1063"/>
      <c r="R2761" s="1063"/>
      <c r="S2761" s="1063"/>
      <c r="T2761" s="1063"/>
      <c r="U2761" s="1063"/>
      <c r="V2761" s="1063"/>
      <c r="W2761" s="1063"/>
      <c r="X2761" s="1063"/>
      <c r="Y2761" s="1063"/>
      <c r="Z2761" s="1063"/>
      <c r="AA2761" s="1063"/>
      <c r="AB2761" s="1063"/>
      <c r="AC2761" s="1063"/>
      <c r="AD2761" s="1063"/>
      <c r="AE2761" s="1063"/>
      <c r="AF2761" s="1063"/>
      <c r="AG2761" s="1063"/>
      <c r="AH2761" s="1063"/>
      <c r="AI2761" s="1063"/>
      <c r="AJ2761" s="1063"/>
      <c r="AK2761" s="1063"/>
      <c r="AL2761" s="1063"/>
      <c r="AM2761" s="1063"/>
      <c r="AN2761" s="1063"/>
      <c r="AO2761" s="1063"/>
      <c r="AP2761" s="1063"/>
      <c r="AQ2761" s="1063"/>
      <c r="AR2761" s="1063"/>
      <c r="AS2761" s="1063"/>
      <c r="AT2761" s="1063"/>
      <c r="AU2761" s="1063"/>
      <c r="AV2761" s="1063"/>
    </row>
    <row r="2762" spans="1:48" s="1108" customFormat="1" ht="27.75" customHeight="1">
      <c r="A2762" s="1076"/>
      <c r="B2762" s="1074">
        <f>+'[18]Bldg+Dev'!S3574</f>
        <v>0</v>
      </c>
      <c r="D2762" s="1063"/>
      <c r="F2762" s="1076"/>
      <c r="G2762" s="1063"/>
      <c r="H2762" s="1063"/>
      <c r="I2762" s="1063"/>
      <c r="J2762" s="1063"/>
      <c r="K2762" s="1063"/>
      <c r="L2762" s="1063"/>
      <c r="M2762" s="1063"/>
      <c r="N2762" s="1063"/>
      <c r="O2762" s="1063"/>
      <c r="P2762" s="1063"/>
      <c r="Q2762" s="1063"/>
      <c r="R2762" s="1063"/>
      <c r="S2762" s="1063"/>
      <c r="T2762" s="1063"/>
      <c r="U2762" s="1063"/>
      <c r="V2762" s="1063"/>
      <c r="W2762" s="1063"/>
      <c r="X2762" s="1063"/>
      <c r="Y2762" s="1063"/>
      <c r="Z2762" s="1063"/>
      <c r="AA2762" s="1063"/>
      <c r="AB2762" s="1063"/>
      <c r="AC2762" s="1063"/>
      <c r="AD2762" s="1063"/>
      <c r="AE2762" s="1063"/>
      <c r="AF2762" s="1063"/>
      <c r="AG2762" s="1063"/>
      <c r="AH2762" s="1063"/>
      <c r="AI2762" s="1063"/>
      <c r="AJ2762" s="1063"/>
      <c r="AK2762" s="1063"/>
      <c r="AL2762" s="1063"/>
      <c r="AM2762" s="1063"/>
      <c r="AN2762" s="1063"/>
      <c r="AO2762" s="1063"/>
      <c r="AP2762" s="1063"/>
      <c r="AQ2762" s="1063"/>
      <c r="AR2762" s="1063"/>
      <c r="AS2762" s="1063"/>
      <c r="AT2762" s="1063"/>
      <c r="AU2762" s="1063"/>
      <c r="AV2762" s="1063"/>
    </row>
    <row r="2763" spans="1:48" s="1108" customFormat="1" ht="27.75" customHeight="1">
      <c r="A2763" s="1076"/>
      <c r="B2763" s="1074">
        <f>+'[18]Bldg+Dev'!S3575</f>
        <v>0</v>
      </c>
      <c r="D2763" s="1063"/>
      <c r="F2763" s="1076"/>
      <c r="G2763" s="1063"/>
      <c r="H2763" s="1063"/>
      <c r="I2763" s="1063"/>
      <c r="J2763" s="1063"/>
      <c r="K2763" s="1063"/>
      <c r="L2763" s="1063"/>
      <c r="M2763" s="1063"/>
      <c r="N2763" s="1063"/>
      <c r="O2763" s="1063"/>
      <c r="P2763" s="1063"/>
      <c r="Q2763" s="1063"/>
      <c r="R2763" s="1063"/>
      <c r="S2763" s="1063"/>
      <c r="T2763" s="1063"/>
      <c r="U2763" s="1063"/>
      <c r="V2763" s="1063"/>
      <c r="W2763" s="1063"/>
      <c r="X2763" s="1063"/>
      <c r="Y2763" s="1063"/>
      <c r="Z2763" s="1063"/>
      <c r="AA2763" s="1063"/>
      <c r="AB2763" s="1063"/>
      <c r="AC2763" s="1063"/>
      <c r="AD2763" s="1063"/>
      <c r="AE2763" s="1063"/>
      <c r="AF2763" s="1063"/>
      <c r="AG2763" s="1063"/>
      <c r="AH2763" s="1063"/>
      <c r="AI2763" s="1063"/>
      <c r="AJ2763" s="1063"/>
      <c r="AK2763" s="1063"/>
      <c r="AL2763" s="1063"/>
      <c r="AM2763" s="1063"/>
      <c r="AN2763" s="1063"/>
      <c r="AO2763" s="1063"/>
      <c r="AP2763" s="1063"/>
      <c r="AQ2763" s="1063"/>
      <c r="AR2763" s="1063"/>
      <c r="AS2763" s="1063"/>
      <c r="AT2763" s="1063"/>
      <c r="AU2763" s="1063"/>
      <c r="AV2763" s="1063"/>
    </row>
    <row r="2764" spans="1:48" s="1108" customFormat="1" ht="27.75" customHeight="1">
      <c r="A2764" s="1076"/>
      <c r="B2764" s="1074">
        <f>+'[18]Bldg+Dev'!S3576</f>
        <v>0</v>
      </c>
      <c r="D2764" s="1063"/>
      <c r="F2764" s="1076"/>
      <c r="G2764" s="1063"/>
      <c r="H2764" s="1063"/>
      <c r="I2764" s="1063"/>
      <c r="J2764" s="1063"/>
      <c r="K2764" s="1063"/>
      <c r="L2764" s="1063"/>
      <c r="M2764" s="1063"/>
      <c r="N2764" s="1063"/>
      <c r="O2764" s="1063"/>
      <c r="P2764" s="1063"/>
      <c r="Q2764" s="1063"/>
      <c r="R2764" s="1063"/>
      <c r="S2764" s="1063"/>
      <c r="T2764" s="1063"/>
      <c r="U2764" s="1063"/>
      <c r="V2764" s="1063"/>
      <c r="W2764" s="1063"/>
      <c r="X2764" s="1063"/>
      <c r="Y2764" s="1063"/>
      <c r="Z2764" s="1063"/>
      <c r="AA2764" s="1063"/>
      <c r="AB2764" s="1063"/>
      <c r="AC2764" s="1063"/>
      <c r="AD2764" s="1063"/>
      <c r="AE2764" s="1063"/>
      <c r="AF2764" s="1063"/>
      <c r="AG2764" s="1063"/>
      <c r="AH2764" s="1063"/>
      <c r="AI2764" s="1063"/>
      <c r="AJ2764" s="1063"/>
      <c r="AK2764" s="1063"/>
      <c r="AL2764" s="1063"/>
      <c r="AM2764" s="1063"/>
      <c r="AN2764" s="1063"/>
      <c r="AO2764" s="1063"/>
      <c r="AP2764" s="1063"/>
      <c r="AQ2764" s="1063"/>
      <c r="AR2764" s="1063"/>
      <c r="AS2764" s="1063"/>
      <c r="AT2764" s="1063"/>
      <c r="AU2764" s="1063"/>
      <c r="AV2764" s="1063"/>
    </row>
    <row r="2765" spans="1:48" s="1108" customFormat="1" ht="27.75" customHeight="1">
      <c r="A2765" s="1076"/>
      <c r="B2765" s="1074">
        <f>+'[18]Bldg+Dev'!S3577</f>
        <v>0</v>
      </c>
      <c r="D2765" s="1063"/>
      <c r="F2765" s="1076"/>
      <c r="G2765" s="1063"/>
      <c r="H2765" s="1063"/>
      <c r="I2765" s="1063"/>
      <c r="J2765" s="1063"/>
      <c r="K2765" s="1063"/>
      <c r="L2765" s="1063"/>
      <c r="M2765" s="1063"/>
      <c r="N2765" s="1063"/>
      <c r="O2765" s="1063"/>
      <c r="P2765" s="1063"/>
      <c r="Q2765" s="1063"/>
      <c r="R2765" s="1063"/>
      <c r="S2765" s="1063"/>
      <c r="T2765" s="1063"/>
      <c r="U2765" s="1063"/>
      <c r="V2765" s="1063"/>
      <c r="W2765" s="1063"/>
      <c r="X2765" s="1063"/>
      <c r="Y2765" s="1063"/>
      <c r="Z2765" s="1063"/>
      <c r="AA2765" s="1063"/>
      <c r="AB2765" s="1063"/>
      <c r="AC2765" s="1063"/>
      <c r="AD2765" s="1063"/>
      <c r="AE2765" s="1063"/>
      <c r="AF2765" s="1063"/>
      <c r="AG2765" s="1063"/>
      <c r="AH2765" s="1063"/>
      <c r="AI2765" s="1063"/>
      <c r="AJ2765" s="1063"/>
      <c r="AK2765" s="1063"/>
      <c r="AL2765" s="1063"/>
      <c r="AM2765" s="1063"/>
      <c r="AN2765" s="1063"/>
      <c r="AO2765" s="1063"/>
      <c r="AP2765" s="1063"/>
      <c r="AQ2765" s="1063"/>
      <c r="AR2765" s="1063"/>
      <c r="AS2765" s="1063"/>
      <c r="AT2765" s="1063"/>
      <c r="AU2765" s="1063"/>
      <c r="AV2765" s="1063"/>
    </row>
    <row r="2766" spans="1:48" s="1108" customFormat="1" ht="27.75" customHeight="1">
      <c r="A2766" s="1076"/>
      <c r="B2766" s="1074">
        <f>+'[18]Bldg+Dev'!S3578</f>
        <v>0</v>
      </c>
      <c r="D2766" s="1063"/>
      <c r="F2766" s="1076"/>
      <c r="G2766" s="1063"/>
      <c r="H2766" s="1063"/>
      <c r="I2766" s="1063"/>
      <c r="J2766" s="1063"/>
      <c r="K2766" s="1063"/>
      <c r="L2766" s="1063"/>
      <c r="M2766" s="1063"/>
      <c r="N2766" s="1063"/>
      <c r="O2766" s="1063"/>
      <c r="P2766" s="1063"/>
      <c r="Q2766" s="1063"/>
      <c r="R2766" s="1063"/>
      <c r="S2766" s="1063"/>
      <c r="T2766" s="1063"/>
      <c r="U2766" s="1063"/>
      <c r="V2766" s="1063"/>
      <c r="W2766" s="1063"/>
      <c r="X2766" s="1063"/>
      <c r="Y2766" s="1063"/>
      <c r="Z2766" s="1063"/>
      <c r="AA2766" s="1063"/>
      <c r="AB2766" s="1063"/>
      <c r="AC2766" s="1063"/>
      <c r="AD2766" s="1063"/>
      <c r="AE2766" s="1063"/>
      <c r="AF2766" s="1063"/>
      <c r="AG2766" s="1063"/>
      <c r="AH2766" s="1063"/>
      <c r="AI2766" s="1063"/>
      <c r="AJ2766" s="1063"/>
      <c r="AK2766" s="1063"/>
      <c r="AL2766" s="1063"/>
      <c r="AM2766" s="1063"/>
      <c r="AN2766" s="1063"/>
      <c r="AO2766" s="1063"/>
      <c r="AP2766" s="1063"/>
      <c r="AQ2766" s="1063"/>
      <c r="AR2766" s="1063"/>
      <c r="AS2766" s="1063"/>
      <c r="AT2766" s="1063"/>
      <c r="AU2766" s="1063"/>
      <c r="AV2766" s="1063"/>
    </row>
    <row r="2767" spans="1:48" s="1108" customFormat="1" ht="27.75" customHeight="1">
      <c r="A2767" s="1076"/>
      <c r="B2767" s="1074">
        <f>+'[18]Bldg+Dev'!S3579</f>
        <v>0</v>
      </c>
      <c r="D2767" s="1063"/>
      <c r="F2767" s="1076"/>
      <c r="G2767" s="1063"/>
      <c r="H2767" s="1063"/>
      <c r="I2767" s="1063"/>
      <c r="J2767" s="1063"/>
      <c r="K2767" s="1063"/>
      <c r="L2767" s="1063"/>
      <c r="M2767" s="1063"/>
      <c r="N2767" s="1063"/>
      <c r="O2767" s="1063"/>
      <c r="P2767" s="1063"/>
      <c r="Q2767" s="1063"/>
      <c r="R2767" s="1063"/>
      <c r="S2767" s="1063"/>
      <c r="T2767" s="1063"/>
      <c r="U2767" s="1063"/>
      <c r="V2767" s="1063"/>
      <c r="W2767" s="1063"/>
      <c r="X2767" s="1063"/>
      <c r="Y2767" s="1063"/>
      <c r="Z2767" s="1063"/>
      <c r="AA2767" s="1063"/>
      <c r="AB2767" s="1063"/>
      <c r="AC2767" s="1063"/>
      <c r="AD2767" s="1063"/>
      <c r="AE2767" s="1063"/>
      <c r="AF2767" s="1063"/>
      <c r="AG2767" s="1063"/>
      <c r="AH2767" s="1063"/>
      <c r="AI2767" s="1063"/>
      <c r="AJ2767" s="1063"/>
      <c r="AK2767" s="1063"/>
      <c r="AL2767" s="1063"/>
      <c r="AM2767" s="1063"/>
      <c r="AN2767" s="1063"/>
      <c r="AO2767" s="1063"/>
      <c r="AP2767" s="1063"/>
      <c r="AQ2767" s="1063"/>
      <c r="AR2767" s="1063"/>
      <c r="AS2767" s="1063"/>
      <c r="AT2767" s="1063"/>
      <c r="AU2767" s="1063"/>
      <c r="AV2767" s="1063"/>
    </row>
    <row r="2768" spans="1:48" s="1108" customFormat="1" ht="27.75" customHeight="1">
      <c r="A2768" s="1076"/>
      <c r="B2768" s="1074">
        <f>+'[18]Bldg+Dev'!S3580</f>
        <v>0</v>
      </c>
      <c r="D2768" s="1063"/>
      <c r="F2768" s="1076"/>
      <c r="G2768" s="1063"/>
      <c r="H2768" s="1063"/>
      <c r="I2768" s="1063"/>
      <c r="J2768" s="1063"/>
      <c r="K2768" s="1063"/>
      <c r="L2768" s="1063"/>
      <c r="M2768" s="1063"/>
      <c r="N2768" s="1063"/>
      <c r="O2768" s="1063"/>
      <c r="P2768" s="1063"/>
      <c r="Q2768" s="1063"/>
      <c r="R2768" s="1063"/>
      <c r="S2768" s="1063"/>
      <c r="T2768" s="1063"/>
      <c r="U2768" s="1063"/>
      <c r="V2768" s="1063"/>
      <c r="W2768" s="1063"/>
      <c r="X2768" s="1063"/>
      <c r="Y2768" s="1063"/>
      <c r="Z2768" s="1063"/>
      <c r="AA2768" s="1063"/>
      <c r="AB2768" s="1063"/>
      <c r="AC2768" s="1063"/>
      <c r="AD2768" s="1063"/>
      <c r="AE2768" s="1063"/>
      <c r="AF2768" s="1063"/>
      <c r="AG2768" s="1063"/>
      <c r="AH2768" s="1063"/>
      <c r="AI2768" s="1063"/>
      <c r="AJ2768" s="1063"/>
      <c r="AK2768" s="1063"/>
      <c r="AL2768" s="1063"/>
      <c r="AM2768" s="1063"/>
      <c r="AN2768" s="1063"/>
      <c r="AO2768" s="1063"/>
      <c r="AP2768" s="1063"/>
      <c r="AQ2768" s="1063"/>
      <c r="AR2768" s="1063"/>
      <c r="AS2768" s="1063"/>
      <c r="AT2768" s="1063"/>
      <c r="AU2768" s="1063"/>
      <c r="AV2768" s="1063"/>
    </row>
    <row r="2769" spans="1:48" s="1108" customFormat="1" ht="27.75" customHeight="1">
      <c r="A2769" s="1076"/>
      <c r="B2769" s="1074">
        <f>+'[18]Bldg+Dev'!S3581</f>
        <v>0</v>
      </c>
      <c r="D2769" s="1063"/>
      <c r="F2769" s="1076"/>
      <c r="G2769" s="1063"/>
      <c r="H2769" s="1063"/>
      <c r="I2769" s="1063"/>
      <c r="J2769" s="1063"/>
      <c r="K2769" s="1063"/>
      <c r="L2769" s="1063"/>
      <c r="M2769" s="1063"/>
      <c r="N2769" s="1063"/>
      <c r="O2769" s="1063"/>
      <c r="P2769" s="1063"/>
      <c r="Q2769" s="1063"/>
      <c r="R2769" s="1063"/>
      <c r="S2769" s="1063"/>
      <c r="T2769" s="1063"/>
      <c r="U2769" s="1063"/>
      <c r="V2769" s="1063"/>
      <c r="W2769" s="1063"/>
      <c r="X2769" s="1063"/>
      <c r="Y2769" s="1063"/>
      <c r="Z2769" s="1063"/>
      <c r="AA2769" s="1063"/>
      <c r="AB2769" s="1063"/>
      <c r="AC2769" s="1063"/>
      <c r="AD2769" s="1063"/>
      <c r="AE2769" s="1063"/>
      <c r="AF2769" s="1063"/>
      <c r="AG2769" s="1063"/>
      <c r="AH2769" s="1063"/>
      <c r="AI2769" s="1063"/>
      <c r="AJ2769" s="1063"/>
      <c r="AK2769" s="1063"/>
      <c r="AL2769" s="1063"/>
      <c r="AM2769" s="1063"/>
      <c r="AN2769" s="1063"/>
      <c r="AO2769" s="1063"/>
      <c r="AP2769" s="1063"/>
      <c r="AQ2769" s="1063"/>
      <c r="AR2769" s="1063"/>
      <c r="AS2769" s="1063"/>
      <c r="AT2769" s="1063"/>
      <c r="AU2769" s="1063"/>
      <c r="AV2769" s="1063"/>
    </row>
    <row r="2770" spans="1:48" s="1108" customFormat="1" ht="27.75" customHeight="1">
      <c r="A2770" s="1076"/>
      <c r="B2770" s="1074">
        <f>+'[18]Bldg+Dev'!S3582</f>
        <v>0</v>
      </c>
      <c r="D2770" s="1063"/>
      <c r="F2770" s="1076"/>
      <c r="G2770" s="1063"/>
      <c r="H2770" s="1063"/>
      <c r="I2770" s="1063"/>
      <c r="J2770" s="1063"/>
      <c r="K2770" s="1063"/>
      <c r="L2770" s="1063"/>
      <c r="M2770" s="1063"/>
      <c r="N2770" s="1063"/>
      <c r="O2770" s="1063"/>
      <c r="P2770" s="1063"/>
      <c r="Q2770" s="1063"/>
      <c r="R2770" s="1063"/>
      <c r="S2770" s="1063"/>
      <c r="T2770" s="1063"/>
      <c r="U2770" s="1063"/>
      <c r="V2770" s="1063"/>
      <c r="W2770" s="1063"/>
      <c r="X2770" s="1063"/>
      <c r="Y2770" s="1063"/>
      <c r="Z2770" s="1063"/>
      <c r="AA2770" s="1063"/>
      <c r="AB2770" s="1063"/>
      <c r="AC2770" s="1063"/>
      <c r="AD2770" s="1063"/>
      <c r="AE2770" s="1063"/>
      <c r="AF2770" s="1063"/>
      <c r="AG2770" s="1063"/>
      <c r="AH2770" s="1063"/>
      <c r="AI2770" s="1063"/>
      <c r="AJ2770" s="1063"/>
      <c r="AK2770" s="1063"/>
      <c r="AL2770" s="1063"/>
      <c r="AM2770" s="1063"/>
      <c r="AN2770" s="1063"/>
      <c r="AO2770" s="1063"/>
      <c r="AP2770" s="1063"/>
      <c r="AQ2770" s="1063"/>
      <c r="AR2770" s="1063"/>
      <c r="AS2770" s="1063"/>
      <c r="AT2770" s="1063"/>
      <c r="AU2770" s="1063"/>
      <c r="AV2770" s="1063"/>
    </row>
    <row r="2771" spans="1:48" s="1108" customFormat="1" ht="27.75" customHeight="1">
      <c r="A2771" s="1076"/>
      <c r="B2771" s="1074">
        <f>+'[18]Bldg+Dev'!S3583</f>
        <v>0</v>
      </c>
      <c r="D2771" s="1063"/>
      <c r="F2771" s="1076"/>
      <c r="G2771" s="1063"/>
      <c r="H2771" s="1063"/>
      <c r="I2771" s="1063"/>
      <c r="J2771" s="1063"/>
      <c r="K2771" s="1063"/>
      <c r="L2771" s="1063"/>
      <c r="M2771" s="1063"/>
      <c r="N2771" s="1063"/>
      <c r="O2771" s="1063"/>
      <c r="P2771" s="1063"/>
      <c r="Q2771" s="1063"/>
      <c r="R2771" s="1063"/>
      <c r="S2771" s="1063"/>
      <c r="T2771" s="1063"/>
      <c r="U2771" s="1063"/>
      <c r="V2771" s="1063"/>
      <c r="W2771" s="1063"/>
      <c r="X2771" s="1063"/>
      <c r="Y2771" s="1063"/>
      <c r="Z2771" s="1063"/>
      <c r="AA2771" s="1063"/>
      <c r="AB2771" s="1063"/>
      <c r="AC2771" s="1063"/>
      <c r="AD2771" s="1063"/>
      <c r="AE2771" s="1063"/>
      <c r="AF2771" s="1063"/>
      <c r="AG2771" s="1063"/>
      <c r="AH2771" s="1063"/>
      <c r="AI2771" s="1063"/>
      <c r="AJ2771" s="1063"/>
      <c r="AK2771" s="1063"/>
      <c r="AL2771" s="1063"/>
      <c r="AM2771" s="1063"/>
      <c r="AN2771" s="1063"/>
      <c r="AO2771" s="1063"/>
      <c r="AP2771" s="1063"/>
      <c r="AQ2771" s="1063"/>
      <c r="AR2771" s="1063"/>
      <c r="AS2771" s="1063"/>
      <c r="AT2771" s="1063"/>
      <c r="AU2771" s="1063"/>
      <c r="AV2771" s="1063"/>
    </row>
    <row r="2772" spans="1:48" s="1108" customFormat="1" ht="27.75" customHeight="1">
      <c r="A2772" s="1076"/>
      <c r="B2772" s="1074">
        <f>+'[18]Bldg+Dev'!S3584</f>
        <v>0</v>
      </c>
      <c r="D2772" s="1063"/>
      <c r="F2772" s="1076"/>
      <c r="G2772" s="1063"/>
      <c r="H2772" s="1063"/>
      <c r="I2772" s="1063"/>
      <c r="J2772" s="1063"/>
      <c r="K2772" s="1063"/>
      <c r="L2772" s="1063"/>
      <c r="M2772" s="1063"/>
      <c r="N2772" s="1063"/>
      <c r="O2772" s="1063"/>
      <c r="P2772" s="1063"/>
      <c r="Q2772" s="1063"/>
      <c r="R2772" s="1063"/>
      <c r="S2772" s="1063"/>
      <c r="T2772" s="1063"/>
      <c r="U2772" s="1063"/>
      <c r="V2772" s="1063"/>
      <c r="W2772" s="1063"/>
      <c r="X2772" s="1063"/>
      <c r="Y2772" s="1063"/>
      <c r="Z2772" s="1063"/>
      <c r="AA2772" s="1063"/>
      <c r="AB2772" s="1063"/>
      <c r="AC2772" s="1063"/>
      <c r="AD2772" s="1063"/>
      <c r="AE2772" s="1063"/>
      <c r="AF2772" s="1063"/>
      <c r="AG2772" s="1063"/>
      <c r="AH2772" s="1063"/>
      <c r="AI2772" s="1063"/>
      <c r="AJ2772" s="1063"/>
      <c r="AK2772" s="1063"/>
      <c r="AL2772" s="1063"/>
      <c r="AM2772" s="1063"/>
      <c r="AN2772" s="1063"/>
      <c r="AO2772" s="1063"/>
      <c r="AP2772" s="1063"/>
      <c r="AQ2772" s="1063"/>
      <c r="AR2772" s="1063"/>
      <c r="AS2772" s="1063"/>
      <c r="AT2772" s="1063"/>
      <c r="AU2772" s="1063"/>
      <c r="AV2772" s="1063"/>
    </row>
    <row r="2773" spans="1:48" s="1108" customFormat="1" ht="27.75" customHeight="1">
      <c r="A2773" s="1076"/>
      <c r="B2773" s="1074">
        <f>+'[18]Bldg+Dev'!S3585</f>
        <v>0</v>
      </c>
      <c r="D2773" s="1063"/>
      <c r="F2773" s="1076"/>
      <c r="G2773" s="1063"/>
      <c r="H2773" s="1063"/>
      <c r="I2773" s="1063"/>
      <c r="J2773" s="1063"/>
      <c r="K2773" s="1063"/>
      <c r="L2773" s="1063"/>
      <c r="M2773" s="1063"/>
      <c r="N2773" s="1063"/>
      <c r="O2773" s="1063"/>
      <c r="P2773" s="1063"/>
      <c r="Q2773" s="1063"/>
      <c r="R2773" s="1063"/>
      <c r="S2773" s="1063"/>
      <c r="T2773" s="1063"/>
      <c r="U2773" s="1063"/>
      <c r="V2773" s="1063"/>
      <c r="W2773" s="1063"/>
      <c r="X2773" s="1063"/>
      <c r="Y2773" s="1063"/>
      <c r="Z2773" s="1063"/>
      <c r="AA2773" s="1063"/>
      <c r="AB2773" s="1063"/>
      <c r="AC2773" s="1063"/>
      <c r="AD2773" s="1063"/>
      <c r="AE2773" s="1063"/>
      <c r="AF2773" s="1063"/>
      <c r="AG2773" s="1063"/>
      <c r="AH2773" s="1063"/>
      <c r="AI2773" s="1063"/>
      <c r="AJ2773" s="1063"/>
      <c r="AK2773" s="1063"/>
      <c r="AL2773" s="1063"/>
      <c r="AM2773" s="1063"/>
      <c r="AN2773" s="1063"/>
      <c r="AO2773" s="1063"/>
      <c r="AP2773" s="1063"/>
      <c r="AQ2773" s="1063"/>
      <c r="AR2773" s="1063"/>
      <c r="AS2773" s="1063"/>
      <c r="AT2773" s="1063"/>
      <c r="AU2773" s="1063"/>
      <c r="AV2773" s="1063"/>
    </row>
    <row r="2774" spans="1:48" s="1108" customFormat="1" ht="27.75" customHeight="1">
      <c r="A2774" s="1076"/>
      <c r="B2774" s="1074">
        <f>+'[18]Bldg+Dev'!S3586</f>
        <v>0</v>
      </c>
      <c r="D2774" s="1063"/>
      <c r="F2774" s="1076"/>
      <c r="G2774" s="1063"/>
      <c r="H2774" s="1063"/>
      <c r="I2774" s="1063"/>
      <c r="J2774" s="1063"/>
      <c r="K2774" s="1063"/>
      <c r="L2774" s="1063"/>
      <c r="M2774" s="1063"/>
      <c r="N2774" s="1063"/>
      <c r="O2774" s="1063"/>
      <c r="P2774" s="1063"/>
      <c r="Q2774" s="1063"/>
      <c r="R2774" s="1063"/>
      <c r="S2774" s="1063"/>
      <c r="T2774" s="1063"/>
      <c r="U2774" s="1063"/>
      <c r="V2774" s="1063"/>
      <c r="W2774" s="1063"/>
      <c r="X2774" s="1063"/>
      <c r="Y2774" s="1063"/>
      <c r="Z2774" s="1063"/>
      <c r="AA2774" s="1063"/>
      <c r="AB2774" s="1063"/>
      <c r="AC2774" s="1063"/>
      <c r="AD2774" s="1063"/>
      <c r="AE2774" s="1063"/>
      <c r="AF2774" s="1063"/>
      <c r="AG2774" s="1063"/>
      <c r="AH2774" s="1063"/>
      <c r="AI2774" s="1063"/>
      <c r="AJ2774" s="1063"/>
      <c r="AK2774" s="1063"/>
      <c r="AL2774" s="1063"/>
      <c r="AM2774" s="1063"/>
      <c r="AN2774" s="1063"/>
      <c r="AO2774" s="1063"/>
      <c r="AP2774" s="1063"/>
      <c r="AQ2774" s="1063"/>
      <c r="AR2774" s="1063"/>
      <c r="AS2774" s="1063"/>
      <c r="AT2774" s="1063"/>
      <c r="AU2774" s="1063"/>
      <c r="AV2774" s="1063"/>
    </row>
    <row r="2775" spans="1:48" s="1108" customFormat="1" ht="27.75" customHeight="1">
      <c r="A2775" s="1076"/>
      <c r="B2775" s="1074">
        <f>+'[18]Bldg+Dev'!S3587</f>
        <v>0</v>
      </c>
      <c r="D2775" s="1063"/>
      <c r="F2775" s="1076"/>
      <c r="G2775" s="1063"/>
      <c r="H2775" s="1063"/>
      <c r="I2775" s="1063"/>
      <c r="J2775" s="1063"/>
      <c r="K2775" s="1063"/>
      <c r="L2775" s="1063"/>
      <c r="M2775" s="1063"/>
      <c r="N2775" s="1063"/>
      <c r="O2775" s="1063"/>
      <c r="P2775" s="1063"/>
      <c r="Q2775" s="1063"/>
      <c r="R2775" s="1063"/>
      <c r="S2775" s="1063"/>
      <c r="T2775" s="1063"/>
      <c r="U2775" s="1063"/>
      <c r="V2775" s="1063"/>
      <c r="W2775" s="1063"/>
      <c r="X2775" s="1063"/>
      <c r="Y2775" s="1063"/>
      <c r="Z2775" s="1063"/>
      <c r="AA2775" s="1063"/>
      <c r="AB2775" s="1063"/>
      <c r="AC2775" s="1063"/>
      <c r="AD2775" s="1063"/>
      <c r="AE2775" s="1063"/>
      <c r="AF2775" s="1063"/>
      <c r="AG2775" s="1063"/>
      <c r="AH2775" s="1063"/>
      <c r="AI2775" s="1063"/>
      <c r="AJ2775" s="1063"/>
      <c r="AK2775" s="1063"/>
      <c r="AL2775" s="1063"/>
      <c r="AM2775" s="1063"/>
      <c r="AN2775" s="1063"/>
      <c r="AO2775" s="1063"/>
      <c r="AP2775" s="1063"/>
      <c r="AQ2775" s="1063"/>
      <c r="AR2775" s="1063"/>
      <c r="AS2775" s="1063"/>
      <c r="AT2775" s="1063"/>
      <c r="AU2775" s="1063"/>
      <c r="AV2775" s="1063"/>
    </row>
    <row r="2776" spans="1:48" s="1108" customFormat="1" ht="27.75" customHeight="1">
      <c r="A2776" s="1076"/>
      <c r="B2776" s="1074">
        <f>+'[18]Bldg+Dev'!S3588</f>
        <v>0</v>
      </c>
      <c r="D2776" s="1063"/>
      <c r="F2776" s="1076"/>
      <c r="G2776" s="1063"/>
      <c r="H2776" s="1063"/>
      <c r="I2776" s="1063"/>
      <c r="J2776" s="1063"/>
      <c r="K2776" s="1063"/>
      <c r="L2776" s="1063"/>
      <c r="M2776" s="1063"/>
      <c r="N2776" s="1063"/>
      <c r="O2776" s="1063"/>
      <c r="P2776" s="1063"/>
      <c r="Q2776" s="1063"/>
      <c r="R2776" s="1063"/>
      <c r="S2776" s="1063"/>
      <c r="T2776" s="1063"/>
      <c r="U2776" s="1063"/>
      <c r="V2776" s="1063"/>
      <c r="W2776" s="1063"/>
      <c r="X2776" s="1063"/>
      <c r="Y2776" s="1063"/>
      <c r="Z2776" s="1063"/>
      <c r="AA2776" s="1063"/>
      <c r="AB2776" s="1063"/>
      <c r="AC2776" s="1063"/>
      <c r="AD2776" s="1063"/>
      <c r="AE2776" s="1063"/>
      <c r="AF2776" s="1063"/>
      <c r="AG2776" s="1063"/>
      <c r="AH2776" s="1063"/>
      <c r="AI2776" s="1063"/>
      <c r="AJ2776" s="1063"/>
      <c r="AK2776" s="1063"/>
      <c r="AL2776" s="1063"/>
      <c r="AM2776" s="1063"/>
      <c r="AN2776" s="1063"/>
      <c r="AO2776" s="1063"/>
      <c r="AP2776" s="1063"/>
      <c r="AQ2776" s="1063"/>
      <c r="AR2776" s="1063"/>
      <c r="AS2776" s="1063"/>
      <c r="AT2776" s="1063"/>
      <c r="AU2776" s="1063"/>
      <c r="AV2776" s="1063"/>
    </row>
    <row r="2777" spans="1:48" s="1108" customFormat="1" ht="27.75" customHeight="1">
      <c r="A2777" s="1076"/>
      <c r="B2777" s="1074">
        <f>+'[18]Bldg+Dev'!S3589</f>
        <v>0</v>
      </c>
      <c r="D2777" s="1063"/>
      <c r="F2777" s="1076"/>
      <c r="G2777" s="1063"/>
      <c r="H2777" s="1063"/>
      <c r="I2777" s="1063"/>
      <c r="J2777" s="1063"/>
      <c r="K2777" s="1063"/>
      <c r="L2777" s="1063"/>
      <c r="M2777" s="1063"/>
      <c r="N2777" s="1063"/>
      <c r="O2777" s="1063"/>
      <c r="P2777" s="1063"/>
      <c r="Q2777" s="1063"/>
      <c r="R2777" s="1063"/>
      <c r="S2777" s="1063"/>
      <c r="T2777" s="1063"/>
      <c r="U2777" s="1063"/>
      <c r="V2777" s="1063"/>
      <c r="W2777" s="1063"/>
      <c r="X2777" s="1063"/>
      <c r="Y2777" s="1063"/>
      <c r="Z2777" s="1063"/>
      <c r="AA2777" s="1063"/>
      <c r="AB2777" s="1063"/>
      <c r="AC2777" s="1063"/>
      <c r="AD2777" s="1063"/>
      <c r="AE2777" s="1063"/>
      <c r="AF2777" s="1063"/>
      <c r="AG2777" s="1063"/>
      <c r="AH2777" s="1063"/>
      <c r="AI2777" s="1063"/>
      <c r="AJ2777" s="1063"/>
      <c r="AK2777" s="1063"/>
      <c r="AL2777" s="1063"/>
      <c r="AM2777" s="1063"/>
      <c r="AN2777" s="1063"/>
      <c r="AO2777" s="1063"/>
      <c r="AP2777" s="1063"/>
      <c r="AQ2777" s="1063"/>
      <c r="AR2777" s="1063"/>
      <c r="AS2777" s="1063"/>
      <c r="AT2777" s="1063"/>
      <c r="AU2777" s="1063"/>
      <c r="AV2777" s="1063"/>
    </row>
    <row r="2778" spans="1:48" s="1108" customFormat="1" ht="27.75" customHeight="1">
      <c r="A2778" s="1076"/>
      <c r="B2778" s="1074">
        <f>+'[18]Bldg+Dev'!S3590</f>
        <v>0</v>
      </c>
      <c r="D2778" s="1063"/>
      <c r="F2778" s="1076"/>
      <c r="G2778" s="1063"/>
      <c r="H2778" s="1063"/>
      <c r="I2778" s="1063"/>
      <c r="J2778" s="1063"/>
      <c r="K2778" s="1063"/>
      <c r="L2778" s="1063"/>
      <c r="M2778" s="1063"/>
      <c r="N2778" s="1063"/>
      <c r="O2778" s="1063"/>
      <c r="P2778" s="1063"/>
      <c r="Q2778" s="1063"/>
      <c r="R2778" s="1063"/>
      <c r="S2778" s="1063"/>
      <c r="T2778" s="1063"/>
      <c r="U2778" s="1063"/>
      <c r="V2778" s="1063"/>
      <c r="W2778" s="1063"/>
      <c r="X2778" s="1063"/>
      <c r="Y2778" s="1063"/>
      <c r="Z2778" s="1063"/>
      <c r="AA2778" s="1063"/>
      <c r="AB2778" s="1063"/>
      <c r="AC2778" s="1063"/>
      <c r="AD2778" s="1063"/>
      <c r="AE2778" s="1063"/>
      <c r="AF2778" s="1063"/>
      <c r="AG2778" s="1063"/>
      <c r="AH2778" s="1063"/>
      <c r="AI2778" s="1063"/>
      <c r="AJ2778" s="1063"/>
      <c r="AK2778" s="1063"/>
      <c r="AL2778" s="1063"/>
      <c r="AM2778" s="1063"/>
      <c r="AN2778" s="1063"/>
      <c r="AO2778" s="1063"/>
      <c r="AP2778" s="1063"/>
      <c r="AQ2778" s="1063"/>
      <c r="AR2778" s="1063"/>
      <c r="AS2778" s="1063"/>
      <c r="AT2778" s="1063"/>
      <c r="AU2778" s="1063"/>
      <c r="AV2778" s="1063"/>
    </row>
    <row r="2779" spans="1:48" s="1108" customFormat="1" ht="27.75" customHeight="1">
      <c r="A2779" s="1076"/>
      <c r="B2779" s="1074">
        <f>+'[18]Bldg+Dev'!S3591</f>
        <v>0</v>
      </c>
      <c r="D2779" s="1063"/>
      <c r="F2779" s="1076"/>
      <c r="G2779" s="1063"/>
      <c r="H2779" s="1063"/>
      <c r="I2779" s="1063"/>
      <c r="J2779" s="1063"/>
      <c r="K2779" s="1063"/>
      <c r="L2779" s="1063"/>
      <c r="M2779" s="1063"/>
      <c r="N2779" s="1063"/>
      <c r="O2779" s="1063"/>
      <c r="P2779" s="1063"/>
      <c r="Q2779" s="1063"/>
      <c r="R2779" s="1063"/>
      <c r="S2779" s="1063"/>
      <c r="T2779" s="1063"/>
      <c r="U2779" s="1063"/>
      <c r="V2779" s="1063"/>
      <c r="W2779" s="1063"/>
      <c r="X2779" s="1063"/>
      <c r="Y2779" s="1063"/>
      <c r="Z2779" s="1063"/>
      <c r="AA2779" s="1063"/>
      <c r="AB2779" s="1063"/>
      <c r="AC2779" s="1063"/>
      <c r="AD2779" s="1063"/>
      <c r="AE2779" s="1063"/>
      <c r="AF2779" s="1063"/>
      <c r="AG2779" s="1063"/>
      <c r="AH2779" s="1063"/>
      <c r="AI2779" s="1063"/>
      <c r="AJ2779" s="1063"/>
      <c r="AK2779" s="1063"/>
      <c r="AL2779" s="1063"/>
      <c r="AM2779" s="1063"/>
      <c r="AN2779" s="1063"/>
      <c r="AO2779" s="1063"/>
      <c r="AP2779" s="1063"/>
      <c r="AQ2779" s="1063"/>
      <c r="AR2779" s="1063"/>
      <c r="AS2779" s="1063"/>
      <c r="AT2779" s="1063"/>
      <c r="AU2779" s="1063"/>
      <c r="AV2779" s="1063"/>
    </row>
    <row r="2780" spans="1:48" s="1108" customFormat="1" ht="27.75" customHeight="1">
      <c r="A2780" s="1076"/>
      <c r="B2780" s="1074">
        <f>+'[18]Bldg+Dev'!S3592</f>
        <v>0</v>
      </c>
      <c r="D2780" s="1063"/>
      <c r="F2780" s="1076"/>
      <c r="G2780" s="1063"/>
      <c r="H2780" s="1063"/>
      <c r="I2780" s="1063"/>
      <c r="J2780" s="1063"/>
      <c r="K2780" s="1063"/>
      <c r="L2780" s="1063"/>
      <c r="M2780" s="1063"/>
      <c r="N2780" s="1063"/>
      <c r="O2780" s="1063"/>
      <c r="P2780" s="1063"/>
      <c r="Q2780" s="1063"/>
      <c r="R2780" s="1063"/>
      <c r="S2780" s="1063"/>
      <c r="T2780" s="1063"/>
      <c r="U2780" s="1063"/>
      <c r="V2780" s="1063"/>
      <c r="W2780" s="1063"/>
      <c r="X2780" s="1063"/>
      <c r="Y2780" s="1063"/>
      <c r="Z2780" s="1063"/>
      <c r="AA2780" s="1063"/>
      <c r="AB2780" s="1063"/>
      <c r="AC2780" s="1063"/>
      <c r="AD2780" s="1063"/>
      <c r="AE2780" s="1063"/>
      <c r="AF2780" s="1063"/>
      <c r="AG2780" s="1063"/>
      <c r="AH2780" s="1063"/>
      <c r="AI2780" s="1063"/>
      <c r="AJ2780" s="1063"/>
      <c r="AK2780" s="1063"/>
      <c r="AL2780" s="1063"/>
      <c r="AM2780" s="1063"/>
      <c r="AN2780" s="1063"/>
      <c r="AO2780" s="1063"/>
      <c r="AP2780" s="1063"/>
      <c r="AQ2780" s="1063"/>
      <c r="AR2780" s="1063"/>
      <c r="AS2780" s="1063"/>
      <c r="AT2780" s="1063"/>
      <c r="AU2780" s="1063"/>
      <c r="AV2780" s="1063"/>
    </row>
    <row r="2781" spans="1:48" s="1108" customFormat="1" ht="27.75" customHeight="1">
      <c r="A2781" s="1076"/>
      <c r="B2781" s="1074">
        <f>+'[18]Bldg+Dev'!S3593</f>
        <v>0</v>
      </c>
      <c r="D2781" s="1063"/>
      <c r="F2781" s="1076"/>
      <c r="G2781" s="1063"/>
      <c r="H2781" s="1063"/>
      <c r="I2781" s="1063"/>
      <c r="J2781" s="1063"/>
      <c r="K2781" s="1063"/>
      <c r="L2781" s="1063"/>
      <c r="M2781" s="1063"/>
      <c r="N2781" s="1063"/>
      <c r="O2781" s="1063"/>
      <c r="P2781" s="1063"/>
      <c r="Q2781" s="1063"/>
      <c r="R2781" s="1063"/>
      <c r="S2781" s="1063"/>
      <c r="T2781" s="1063"/>
      <c r="U2781" s="1063"/>
      <c r="V2781" s="1063"/>
      <c r="W2781" s="1063"/>
      <c r="X2781" s="1063"/>
      <c r="Y2781" s="1063"/>
      <c r="Z2781" s="1063"/>
      <c r="AA2781" s="1063"/>
      <c r="AB2781" s="1063"/>
      <c r="AC2781" s="1063"/>
      <c r="AD2781" s="1063"/>
      <c r="AE2781" s="1063"/>
      <c r="AF2781" s="1063"/>
      <c r="AG2781" s="1063"/>
      <c r="AH2781" s="1063"/>
      <c r="AI2781" s="1063"/>
      <c r="AJ2781" s="1063"/>
      <c r="AK2781" s="1063"/>
      <c r="AL2781" s="1063"/>
      <c r="AM2781" s="1063"/>
      <c r="AN2781" s="1063"/>
      <c r="AO2781" s="1063"/>
      <c r="AP2781" s="1063"/>
      <c r="AQ2781" s="1063"/>
      <c r="AR2781" s="1063"/>
      <c r="AS2781" s="1063"/>
      <c r="AT2781" s="1063"/>
      <c r="AU2781" s="1063"/>
      <c r="AV2781" s="1063"/>
    </row>
    <row r="2782" spans="1:48" s="1108" customFormat="1" ht="27.75" customHeight="1">
      <c r="A2782" s="1076"/>
      <c r="B2782" s="1074">
        <f>+'[18]Bldg+Dev'!S3594</f>
        <v>0</v>
      </c>
      <c r="D2782" s="1063"/>
      <c r="F2782" s="1076"/>
      <c r="G2782" s="1063"/>
      <c r="H2782" s="1063"/>
      <c r="I2782" s="1063"/>
      <c r="J2782" s="1063"/>
      <c r="K2782" s="1063"/>
      <c r="L2782" s="1063"/>
      <c r="M2782" s="1063"/>
      <c r="N2782" s="1063"/>
      <c r="O2782" s="1063"/>
      <c r="P2782" s="1063"/>
      <c r="Q2782" s="1063"/>
      <c r="R2782" s="1063"/>
      <c r="S2782" s="1063"/>
      <c r="T2782" s="1063"/>
      <c r="U2782" s="1063"/>
      <c r="V2782" s="1063"/>
      <c r="W2782" s="1063"/>
      <c r="X2782" s="1063"/>
      <c r="Y2782" s="1063"/>
      <c r="Z2782" s="1063"/>
      <c r="AA2782" s="1063"/>
      <c r="AB2782" s="1063"/>
      <c r="AC2782" s="1063"/>
      <c r="AD2782" s="1063"/>
      <c r="AE2782" s="1063"/>
      <c r="AF2782" s="1063"/>
      <c r="AG2782" s="1063"/>
      <c r="AH2782" s="1063"/>
      <c r="AI2782" s="1063"/>
      <c r="AJ2782" s="1063"/>
      <c r="AK2782" s="1063"/>
      <c r="AL2782" s="1063"/>
      <c r="AM2782" s="1063"/>
      <c r="AN2782" s="1063"/>
      <c r="AO2782" s="1063"/>
      <c r="AP2782" s="1063"/>
      <c r="AQ2782" s="1063"/>
      <c r="AR2782" s="1063"/>
      <c r="AS2782" s="1063"/>
      <c r="AT2782" s="1063"/>
      <c r="AU2782" s="1063"/>
      <c r="AV2782" s="1063"/>
    </row>
    <row r="2783" spans="1:48" s="1108" customFormat="1" ht="27.75" customHeight="1">
      <c r="A2783" s="1076"/>
      <c r="B2783" s="1074">
        <f>+'[18]Bldg+Dev'!S3595</f>
        <v>0</v>
      </c>
      <c r="D2783" s="1063"/>
      <c r="F2783" s="1076"/>
      <c r="G2783" s="1063"/>
      <c r="H2783" s="1063"/>
      <c r="I2783" s="1063"/>
      <c r="J2783" s="1063"/>
      <c r="K2783" s="1063"/>
      <c r="L2783" s="1063"/>
      <c r="M2783" s="1063"/>
      <c r="N2783" s="1063"/>
      <c r="O2783" s="1063"/>
      <c r="P2783" s="1063"/>
      <c r="Q2783" s="1063"/>
      <c r="R2783" s="1063"/>
      <c r="S2783" s="1063"/>
      <c r="T2783" s="1063"/>
      <c r="U2783" s="1063"/>
      <c r="V2783" s="1063"/>
      <c r="W2783" s="1063"/>
      <c r="X2783" s="1063"/>
      <c r="Y2783" s="1063"/>
      <c r="Z2783" s="1063"/>
      <c r="AA2783" s="1063"/>
      <c r="AB2783" s="1063"/>
      <c r="AC2783" s="1063"/>
      <c r="AD2783" s="1063"/>
      <c r="AE2783" s="1063"/>
      <c r="AF2783" s="1063"/>
      <c r="AG2783" s="1063"/>
      <c r="AH2783" s="1063"/>
      <c r="AI2783" s="1063"/>
      <c r="AJ2783" s="1063"/>
      <c r="AK2783" s="1063"/>
      <c r="AL2783" s="1063"/>
      <c r="AM2783" s="1063"/>
      <c r="AN2783" s="1063"/>
      <c r="AO2783" s="1063"/>
      <c r="AP2783" s="1063"/>
      <c r="AQ2783" s="1063"/>
      <c r="AR2783" s="1063"/>
      <c r="AS2783" s="1063"/>
      <c r="AT2783" s="1063"/>
      <c r="AU2783" s="1063"/>
      <c r="AV2783" s="1063"/>
    </row>
    <row r="2784" spans="1:48" s="1108" customFormat="1" ht="27.75" customHeight="1">
      <c r="A2784" s="1076"/>
      <c r="B2784" s="1074">
        <f>+'[18]Bldg+Dev'!S3596</f>
        <v>0</v>
      </c>
      <c r="D2784" s="1063"/>
      <c r="F2784" s="1076"/>
      <c r="G2784" s="1063"/>
      <c r="H2784" s="1063"/>
      <c r="I2784" s="1063"/>
      <c r="J2784" s="1063"/>
      <c r="K2784" s="1063"/>
      <c r="L2784" s="1063"/>
      <c r="M2784" s="1063"/>
      <c r="N2784" s="1063"/>
      <c r="O2784" s="1063"/>
      <c r="P2784" s="1063"/>
      <c r="Q2784" s="1063"/>
      <c r="R2784" s="1063"/>
      <c r="S2784" s="1063"/>
      <c r="T2784" s="1063"/>
      <c r="U2784" s="1063"/>
      <c r="V2784" s="1063"/>
      <c r="W2784" s="1063"/>
      <c r="X2784" s="1063"/>
      <c r="Y2784" s="1063"/>
      <c r="Z2784" s="1063"/>
      <c r="AA2784" s="1063"/>
      <c r="AB2784" s="1063"/>
      <c r="AC2784" s="1063"/>
      <c r="AD2784" s="1063"/>
      <c r="AE2784" s="1063"/>
      <c r="AF2784" s="1063"/>
      <c r="AG2784" s="1063"/>
      <c r="AH2784" s="1063"/>
      <c r="AI2784" s="1063"/>
      <c r="AJ2784" s="1063"/>
      <c r="AK2784" s="1063"/>
      <c r="AL2784" s="1063"/>
      <c r="AM2784" s="1063"/>
      <c r="AN2784" s="1063"/>
      <c r="AO2784" s="1063"/>
      <c r="AP2784" s="1063"/>
      <c r="AQ2784" s="1063"/>
      <c r="AR2784" s="1063"/>
      <c r="AS2784" s="1063"/>
      <c r="AT2784" s="1063"/>
      <c r="AU2784" s="1063"/>
      <c r="AV2784" s="1063"/>
    </row>
    <row r="2785" spans="1:48" s="1108" customFormat="1" ht="27.75" customHeight="1">
      <c r="A2785" s="1076"/>
      <c r="B2785" s="1074">
        <f>+'[18]Bldg+Dev'!S3597</f>
        <v>0</v>
      </c>
      <c r="D2785" s="1063"/>
      <c r="F2785" s="1076"/>
      <c r="G2785" s="1063"/>
      <c r="H2785" s="1063"/>
      <c r="I2785" s="1063"/>
      <c r="J2785" s="1063"/>
      <c r="K2785" s="1063"/>
      <c r="L2785" s="1063"/>
      <c r="M2785" s="1063"/>
      <c r="N2785" s="1063"/>
      <c r="O2785" s="1063"/>
      <c r="P2785" s="1063"/>
      <c r="Q2785" s="1063"/>
      <c r="R2785" s="1063"/>
      <c r="S2785" s="1063"/>
      <c r="T2785" s="1063"/>
      <c r="U2785" s="1063"/>
      <c r="V2785" s="1063"/>
      <c r="W2785" s="1063"/>
      <c r="X2785" s="1063"/>
      <c r="Y2785" s="1063"/>
      <c r="Z2785" s="1063"/>
      <c r="AA2785" s="1063"/>
      <c r="AB2785" s="1063"/>
      <c r="AC2785" s="1063"/>
      <c r="AD2785" s="1063"/>
      <c r="AE2785" s="1063"/>
      <c r="AF2785" s="1063"/>
      <c r="AG2785" s="1063"/>
      <c r="AH2785" s="1063"/>
      <c r="AI2785" s="1063"/>
      <c r="AJ2785" s="1063"/>
      <c r="AK2785" s="1063"/>
      <c r="AL2785" s="1063"/>
      <c r="AM2785" s="1063"/>
      <c r="AN2785" s="1063"/>
      <c r="AO2785" s="1063"/>
      <c r="AP2785" s="1063"/>
      <c r="AQ2785" s="1063"/>
      <c r="AR2785" s="1063"/>
      <c r="AS2785" s="1063"/>
      <c r="AT2785" s="1063"/>
      <c r="AU2785" s="1063"/>
      <c r="AV2785" s="1063"/>
    </row>
    <row r="2786" spans="1:48" s="1108" customFormat="1" ht="27.75" customHeight="1">
      <c r="A2786" s="1076"/>
      <c r="B2786" s="1074">
        <f>+'[18]Bldg+Dev'!S3598</f>
        <v>0</v>
      </c>
      <c r="D2786" s="1063"/>
      <c r="F2786" s="1076"/>
      <c r="G2786" s="1063"/>
      <c r="H2786" s="1063"/>
      <c r="I2786" s="1063"/>
      <c r="J2786" s="1063"/>
      <c r="K2786" s="1063"/>
      <c r="L2786" s="1063"/>
      <c r="M2786" s="1063"/>
      <c r="N2786" s="1063"/>
      <c r="O2786" s="1063"/>
      <c r="P2786" s="1063"/>
      <c r="Q2786" s="1063"/>
      <c r="R2786" s="1063"/>
      <c r="S2786" s="1063"/>
      <c r="T2786" s="1063"/>
      <c r="U2786" s="1063"/>
      <c r="V2786" s="1063"/>
      <c r="W2786" s="1063"/>
      <c r="X2786" s="1063"/>
      <c r="Y2786" s="1063"/>
      <c r="Z2786" s="1063"/>
      <c r="AA2786" s="1063"/>
      <c r="AB2786" s="1063"/>
      <c r="AC2786" s="1063"/>
      <c r="AD2786" s="1063"/>
      <c r="AE2786" s="1063"/>
      <c r="AF2786" s="1063"/>
      <c r="AG2786" s="1063"/>
      <c r="AH2786" s="1063"/>
      <c r="AI2786" s="1063"/>
      <c r="AJ2786" s="1063"/>
      <c r="AK2786" s="1063"/>
      <c r="AL2786" s="1063"/>
      <c r="AM2786" s="1063"/>
      <c r="AN2786" s="1063"/>
      <c r="AO2786" s="1063"/>
      <c r="AP2786" s="1063"/>
      <c r="AQ2786" s="1063"/>
      <c r="AR2786" s="1063"/>
      <c r="AS2786" s="1063"/>
      <c r="AT2786" s="1063"/>
      <c r="AU2786" s="1063"/>
      <c r="AV2786" s="1063"/>
    </row>
    <row r="2787" spans="1:48" s="1108" customFormat="1" ht="27.75" customHeight="1">
      <c r="A2787" s="1076"/>
      <c r="B2787" s="1074">
        <f>+'[18]Bldg+Dev'!S3599</f>
        <v>0</v>
      </c>
      <c r="D2787" s="1063"/>
      <c r="F2787" s="1076"/>
      <c r="G2787" s="1063"/>
      <c r="H2787" s="1063"/>
      <c r="I2787" s="1063"/>
      <c r="J2787" s="1063"/>
      <c r="K2787" s="1063"/>
      <c r="L2787" s="1063"/>
      <c r="M2787" s="1063"/>
      <c r="N2787" s="1063"/>
      <c r="O2787" s="1063"/>
      <c r="P2787" s="1063"/>
      <c r="Q2787" s="1063"/>
      <c r="R2787" s="1063"/>
      <c r="S2787" s="1063"/>
      <c r="T2787" s="1063"/>
      <c r="U2787" s="1063"/>
      <c r="V2787" s="1063"/>
      <c r="W2787" s="1063"/>
      <c r="X2787" s="1063"/>
      <c r="Y2787" s="1063"/>
      <c r="Z2787" s="1063"/>
      <c r="AA2787" s="1063"/>
      <c r="AB2787" s="1063"/>
      <c r="AC2787" s="1063"/>
      <c r="AD2787" s="1063"/>
      <c r="AE2787" s="1063"/>
      <c r="AF2787" s="1063"/>
      <c r="AG2787" s="1063"/>
      <c r="AH2787" s="1063"/>
      <c r="AI2787" s="1063"/>
      <c r="AJ2787" s="1063"/>
      <c r="AK2787" s="1063"/>
      <c r="AL2787" s="1063"/>
      <c r="AM2787" s="1063"/>
      <c r="AN2787" s="1063"/>
      <c r="AO2787" s="1063"/>
      <c r="AP2787" s="1063"/>
      <c r="AQ2787" s="1063"/>
      <c r="AR2787" s="1063"/>
      <c r="AS2787" s="1063"/>
      <c r="AT2787" s="1063"/>
      <c r="AU2787" s="1063"/>
      <c r="AV2787" s="1063"/>
    </row>
    <row r="2788" spans="1:48" s="1108" customFormat="1" ht="27.75" customHeight="1">
      <c r="A2788" s="1076"/>
      <c r="B2788" s="1074">
        <f>+'[18]Bldg+Dev'!S3600</f>
        <v>0</v>
      </c>
      <c r="D2788" s="1063"/>
      <c r="F2788" s="1076"/>
      <c r="G2788" s="1063"/>
      <c r="H2788" s="1063"/>
      <c r="I2788" s="1063"/>
      <c r="J2788" s="1063"/>
      <c r="K2788" s="1063"/>
      <c r="L2788" s="1063"/>
      <c r="M2788" s="1063"/>
      <c r="N2788" s="1063"/>
      <c r="O2788" s="1063"/>
      <c r="P2788" s="1063"/>
      <c r="Q2788" s="1063"/>
      <c r="R2788" s="1063"/>
      <c r="S2788" s="1063"/>
      <c r="T2788" s="1063"/>
      <c r="U2788" s="1063"/>
      <c r="V2788" s="1063"/>
      <c r="W2788" s="1063"/>
      <c r="X2788" s="1063"/>
      <c r="Y2788" s="1063"/>
      <c r="Z2788" s="1063"/>
      <c r="AA2788" s="1063"/>
      <c r="AB2788" s="1063"/>
      <c r="AC2788" s="1063"/>
      <c r="AD2788" s="1063"/>
      <c r="AE2788" s="1063"/>
      <c r="AF2788" s="1063"/>
      <c r="AG2788" s="1063"/>
      <c r="AH2788" s="1063"/>
      <c r="AI2788" s="1063"/>
      <c r="AJ2788" s="1063"/>
      <c r="AK2788" s="1063"/>
      <c r="AL2788" s="1063"/>
      <c r="AM2788" s="1063"/>
      <c r="AN2788" s="1063"/>
      <c r="AO2788" s="1063"/>
      <c r="AP2788" s="1063"/>
      <c r="AQ2788" s="1063"/>
      <c r="AR2788" s="1063"/>
      <c r="AS2788" s="1063"/>
      <c r="AT2788" s="1063"/>
      <c r="AU2788" s="1063"/>
      <c r="AV2788" s="1063"/>
    </row>
    <row r="2789" spans="1:48" s="1108" customFormat="1" ht="27.75" customHeight="1">
      <c r="A2789" s="1076"/>
      <c r="B2789" s="1074">
        <f>+'[18]Bldg+Dev'!S3601</f>
        <v>0</v>
      </c>
      <c r="D2789" s="1063"/>
      <c r="F2789" s="1076"/>
      <c r="G2789" s="1063"/>
      <c r="H2789" s="1063"/>
      <c r="I2789" s="1063"/>
      <c r="J2789" s="1063"/>
      <c r="K2789" s="1063"/>
      <c r="L2789" s="1063"/>
      <c r="M2789" s="1063"/>
      <c r="N2789" s="1063"/>
      <c r="O2789" s="1063"/>
      <c r="P2789" s="1063"/>
      <c r="Q2789" s="1063"/>
      <c r="R2789" s="1063"/>
      <c r="S2789" s="1063"/>
      <c r="T2789" s="1063"/>
      <c r="U2789" s="1063"/>
      <c r="V2789" s="1063"/>
      <c r="W2789" s="1063"/>
      <c r="X2789" s="1063"/>
      <c r="Y2789" s="1063"/>
      <c r="Z2789" s="1063"/>
      <c r="AA2789" s="1063"/>
      <c r="AB2789" s="1063"/>
      <c r="AC2789" s="1063"/>
      <c r="AD2789" s="1063"/>
      <c r="AE2789" s="1063"/>
      <c r="AF2789" s="1063"/>
      <c r="AG2789" s="1063"/>
      <c r="AH2789" s="1063"/>
      <c r="AI2789" s="1063"/>
      <c r="AJ2789" s="1063"/>
      <c r="AK2789" s="1063"/>
      <c r="AL2789" s="1063"/>
      <c r="AM2789" s="1063"/>
      <c r="AN2789" s="1063"/>
      <c r="AO2789" s="1063"/>
      <c r="AP2789" s="1063"/>
      <c r="AQ2789" s="1063"/>
      <c r="AR2789" s="1063"/>
      <c r="AS2789" s="1063"/>
      <c r="AT2789" s="1063"/>
      <c r="AU2789" s="1063"/>
      <c r="AV2789" s="1063"/>
    </row>
    <row r="2790" spans="1:48" s="1108" customFormat="1" ht="27.75" customHeight="1">
      <c r="A2790" s="1076"/>
      <c r="B2790" s="1074">
        <f>+'[18]Bldg+Dev'!S3602</f>
        <v>0</v>
      </c>
      <c r="D2790" s="1063"/>
      <c r="F2790" s="1076"/>
      <c r="G2790" s="1063"/>
      <c r="H2790" s="1063"/>
      <c r="I2790" s="1063"/>
      <c r="J2790" s="1063"/>
      <c r="K2790" s="1063"/>
      <c r="L2790" s="1063"/>
      <c r="M2790" s="1063"/>
      <c r="N2790" s="1063"/>
      <c r="O2790" s="1063"/>
      <c r="P2790" s="1063"/>
      <c r="Q2790" s="1063"/>
      <c r="R2790" s="1063"/>
      <c r="S2790" s="1063"/>
      <c r="T2790" s="1063"/>
      <c r="U2790" s="1063"/>
      <c r="V2790" s="1063"/>
      <c r="W2790" s="1063"/>
      <c r="X2790" s="1063"/>
      <c r="Y2790" s="1063"/>
      <c r="Z2790" s="1063"/>
      <c r="AA2790" s="1063"/>
      <c r="AB2790" s="1063"/>
      <c r="AC2790" s="1063"/>
      <c r="AD2790" s="1063"/>
      <c r="AE2790" s="1063"/>
      <c r="AF2790" s="1063"/>
      <c r="AG2790" s="1063"/>
      <c r="AH2790" s="1063"/>
      <c r="AI2790" s="1063"/>
      <c r="AJ2790" s="1063"/>
      <c r="AK2790" s="1063"/>
      <c r="AL2790" s="1063"/>
      <c r="AM2790" s="1063"/>
      <c r="AN2790" s="1063"/>
      <c r="AO2790" s="1063"/>
      <c r="AP2790" s="1063"/>
      <c r="AQ2790" s="1063"/>
      <c r="AR2790" s="1063"/>
      <c r="AS2790" s="1063"/>
      <c r="AT2790" s="1063"/>
      <c r="AU2790" s="1063"/>
      <c r="AV2790" s="1063"/>
    </row>
    <row r="2791" spans="1:48" s="1108" customFormat="1" ht="27.75" customHeight="1">
      <c r="A2791" s="1076"/>
      <c r="B2791" s="1074">
        <f>+'[18]Bldg+Dev'!S3603</f>
        <v>0</v>
      </c>
      <c r="D2791" s="1063"/>
      <c r="F2791" s="1076"/>
      <c r="G2791" s="1063"/>
      <c r="H2791" s="1063"/>
      <c r="I2791" s="1063"/>
      <c r="J2791" s="1063"/>
      <c r="K2791" s="1063"/>
      <c r="L2791" s="1063"/>
      <c r="M2791" s="1063"/>
      <c r="N2791" s="1063"/>
      <c r="O2791" s="1063"/>
      <c r="P2791" s="1063"/>
      <c r="Q2791" s="1063"/>
      <c r="R2791" s="1063"/>
      <c r="S2791" s="1063"/>
      <c r="T2791" s="1063"/>
      <c r="U2791" s="1063"/>
      <c r="V2791" s="1063"/>
      <c r="W2791" s="1063"/>
      <c r="X2791" s="1063"/>
      <c r="Y2791" s="1063"/>
      <c r="Z2791" s="1063"/>
      <c r="AA2791" s="1063"/>
      <c r="AB2791" s="1063"/>
      <c r="AC2791" s="1063"/>
      <c r="AD2791" s="1063"/>
      <c r="AE2791" s="1063"/>
      <c r="AF2791" s="1063"/>
      <c r="AG2791" s="1063"/>
      <c r="AH2791" s="1063"/>
      <c r="AI2791" s="1063"/>
      <c r="AJ2791" s="1063"/>
      <c r="AK2791" s="1063"/>
      <c r="AL2791" s="1063"/>
      <c r="AM2791" s="1063"/>
      <c r="AN2791" s="1063"/>
      <c r="AO2791" s="1063"/>
      <c r="AP2791" s="1063"/>
      <c r="AQ2791" s="1063"/>
      <c r="AR2791" s="1063"/>
      <c r="AS2791" s="1063"/>
      <c r="AT2791" s="1063"/>
      <c r="AU2791" s="1063"/>
      <c r="AV2791" s="1063"/>
    </row>
    <row r="2792" spans="1:48" s="1108" customFormat="1" ht="27.75" customHeight="1">
      <c r="A2792" s="1076"/>
      <c r="B2792" s="1074">
        <f>+'[18]Bldg+Dev'!S3604</f>
        <v>0</v>
      </c>
      <c r="D2792" s="1063"/>
      <c r="F2792" s="1076"/>
      <c r="G2792" s="1063"/>
      <c r="H2792" s="1063"/>
      <c r="I2792" s="1063"/>
      <c r="J2792" s="1063"/>
      <c r="K2792" s="1063"/>
      <c r="L2792" s="1063"/>
      <c r="M2792" s="1063"/>
      <c r="N2792" s="1063"/>
      <c r="O2792" s="1063"/>
      <c r="P2792" s="1063"/>
      <c r="Q2792" s="1063"/>
      <c r="R2792" s="1063"/>
      <c r="S2792" s="1063"/>
      <c r="T2792" s="1063"/>
      <c r="U2792" s="1063"/>
      <c r="V2792" s="1063"/>
      <c r="W2792" s="1063"/>
      <c r="X2792" s="1063"/>
      <c r="Y2792" s="1063"/>
      <c r="Z2792" s="1063"/>
      <c r="AA2792" s="1063"/>
      <c r="AB2792" s="1063"/>
      <c r="AC2792" s="1063"/>
      <c r="AD2792" s="1063"/>
      <c r="AE2792" s="1063"/>
      <c r="AF2792" s="1063"/>
      <c r="AG2792" s="1063"/>
      <c r="AH2792" s="1063"/>
      <c r="AI2792" s="1063"/>
      <c r="AJ2792" s="1063"/>
      <c r="AK2792" s="1063"/>
      <c r="AL2792" s="1063"/>
      <c r="AM2792" s="1063"/>
      <c r="AN2792" s="1063"/>
      <c r="AO2792" s="1063"/>
      <c r="AP2792" s="1063"/>
      <c r="AQ2792" s="1063"/>
      <c r="AR2792" s="1063"/>
      <c r="AS2792" s="1063"/>
      <c r="AT2792" s="1063"/>
      <c r="AU2792" s="1063"/>
      <c r="AV2792" s="1063"/>
    </row>
    <row r="2793" spans="1:48" s="1108" customFormat="1" ht="27.75" customHeight="1">
      <c r="A2793" s="1076"/>
      <c r="B2793" s="1074">
        <f>+'[18]Bldg+Dev'!S3605</f>
        <v>0</v>
      </c>
      <c r="D2793" s="1063"/>
      <c r="F2793" s="1076"/>
      <c r="G2793" s="1063"/>
      <c r="H2793" s="1063"/>
      <c r="I2793" s="1063"/>
      <c r="J2793" s="1063"/>
      <c r="K2793" s="1063"/>
      <c r="L2793" s="1063"/>
      <c r="M2793" s="1063"/>
      <c r="N2793" s="1063"/>
      <c r="O2793" s="1063"/>
      <c r="P2793" s="1063"/>
      <c r="Q2793" s="1063"/>
      <c r="R2793" s="1063"/>
      <c r="S2793" s="1063"/>
      <c r="T2793" s="1063"/>
      <c r="U2793" s="1063"/>
      <c r="V2793" s="1063"/>
      <c r="W2793" s="1063"/>
      <c r="X2793" s="1063"/>
      <c r="Y2793" s="1063"/>
      <c r="Z2793" s="1063"/>
      <c r="AA2793" s="1063"/>
      <c r="AB2793" s="1063"/>
      <c r="AC2793" s="1063"/>
      <c r="AD2793" s="1063"/>
      <c r="AE2793" s="1063"/>
      <c r="AF2793" s="1063"/>
      <c r="AG2793" s="1063"/>
      <c r="AH2793" s="1063"/>
      <c r="AI2793" s="1063"/>
      <c r="AJ2793" s="1063"/>
      <c r="AK2793" s="1063"/>
      <c r="AL2793" s="1063"/>
      <c r="AM2793" s="1063"/>
      <c r="AN2793" s="1063"/>
      <c r="AO2793" s="1063"/>
      <c r="AP2793" s="1063"/>
      <c r="AQ2793" s="1063"/>
      <c r="AR2793" s="1063"/>
      <c r="AS2793" s="1063"/>
      <c r="AT2793" s="1063"/>
      <c r="AU2793" s="1063"/>
      <c r="AV2793" s="1063"/>
    </row>
    <row r="2794" spans="1:48" s="1108" customFormat="1" ht="27.75" customHeight="1">
      <c r="A2794" s="1076"/>
      <c r="B2794" s="1074">
        <f>+'[18]Bldg+Dev'!S3606</f>
        <v>0</v>
      </c>
      <c r="D2794" s="1063"/>
      <c r="F2794" s="1076"/>
      <c r="G2794" s="1063"/>
      <c r="H2794" s="1063"/>
      <c r="I2794" s="1063"/>
      <c r="J2794" s="1063"/>
      <c r="K2794" s="1063"/>
      <c r="L2794" s="1063"/>
      <c r="M2794" s="1063"/>
      <c r="N2794" s="1063"/>
      <c r="O2794" s="1063"/>
      <c r="P2794" s="1063"/>
      <c r="Q2794" s="1063"/>
      <c r="R2794" s="1063"/>
      <c r="S2794" s="1063"/>
      <c r="T2794" s="1063"/>
      <c r="U2794" s="1063"/>
      <c r="V2794" s="1063"/>
      <c r="W2794" s="1063"/>
      <c r="X2794" s="1063"/>
      <c r="Y2794" s="1063"/>
      <c r="Z2794" s="1063"/>
      <c r="AA2794" s="1063"/>
      <c r="AB2794" s="1063"/>
      <c r="AC2794" s="1063"/>
      <c r="AD2794" s="1063"/>
      <c r="AE2794" s="1063"/>
      <c r="AF2794" s="1063"/>
      <c r="AG2794" s="1063"/>
      <c r="AH2794" s="1063"/>
      <c r="AI2794" s="1063"/>
      <c r="AJ2794" s="1063"/>
      <c r="AK2794" s="1063"/>
      <c r="AL2794" s="1063"/>
      <c r="AM2794" s="1063"/>
      <c r="AN2794" s="1063"/>
      <c r="AO2794" s="1063"/>
      <c r="AP2794" s="1063"/>
      <c r="AQ2794" s="1063"/>
      <c r="AR2794" s="1063"/>
      <c r="AS2794" s="1063"/>
      <c r="AT2794" s="1063"/>
      <c r="AU2794" s="1063"/>
      <c r="AV2794" s="1063"/>
    </row>
    <row r="2795" spans="1:48" s="1108" customFormat="1" ht="27.75" customHeight="1">
      <c r="A2795" s="1076"/>
      <c r="B2795" s="1074">
        <f>+'[18]Bldg+Dev'!S3607</f>
        <v>0</v>
      </c>
      <c r="D2795" s="1063"/>
      <c r="F2795" s="1076"/>
      <c r="G2795" s="1063"/>
      <c r="H2795" s="1063"/>
      <c r="I2795" s="1063"/>
      <c r="J2795" s="1063"/>
      <c r="K2795" s="1063"/>
      <c r="L2795" s="1063"/>
      <c r="M2795" s="1063"/>
      <c r="N2795" s="1063"/>
      <c r="O2795" s="1063"/>
      <c r="P2795" s="1063"/>
      <c r="Q2795" s="1063"/>
      <c r="R2795" s="1063"/>
      <c r="S2795" s="1063"/>
      <c r="T2795" s="1063"/>
      <c r="U2795" s="1063"/>
      <c r="V2795" s="1063"/>
      <c r="W2795" s="1063"/>
      <c r="X2795" s="1063"/>
      <c r="Y2795" s="1063"/>
      <c r="Z2795" s="1063"/>
      <c r="AA2795" s="1063"/>
      <c r="AB2795" s="1063"/>
      <c r="AC2795" s="1063"/>
      <c r="AD2795" s="1063"/>
      <c r="AE2795" s="1063"/>
      <c r="AF2795" s="1063"/>
      <c r="AG2795" s="1063"/>
      <c r="AH2795" s="1063"/>
      <c r="AI2795" s="1063"/>
      <c r="AJ2795" s="1063"/>
      <c r="AK2795" s="1063"/>
      <c r="AL2795" s="1063"/>
      <c r="AM2795" s="1063"/>
      <c r="AN2795" s="1063"/>
      <c r="AO2795" s="1063"/>
      <c r="AP2795" s="1063"/>
      <c r="AQ2795" s="1063"/>
      <c r="AR2795" s="1063"/>
      <c r="AS2795" s="1063"/>
      <c r="AT2795" s="1063"/>
      <c r="AU2795" s="1063"/>
      <c r="AV2795" s="1063"/>
    </row>
    <row r="2796" spans="1:48" s="1108" customFormat="1" ht="27.75" customHeight="1">
      <c r="A2796" s="1076"/>
      <c r="B2796" s="1074">
        <f>+'[18]Bldg+Dev'!S3608</f>
        <v>0</v>
      </c>
      <c r="D2796" s="1063"/>
      <c r="F2796" s="1076"/>
      <c r="G2796" s="1063"/>
      <c r="H2796" s="1063"/>
      <c r="I2796" s="1063"/>
      <c r="J2796" s="1063"/>
      <c r="K2796" s="1063"/>
      <c r="L2796" s="1063"/>
      <c r="M2796" s="1063"/>
      <c r="N2796" s="1063"/>
      <c r="O2796" s="1063"/>
      <c r="P2796" s="1063"/>
      <c r="Q2796" s="1063"/>
      <c r="R2796" s="1063"/>
      <c r="S2796" s="1063"/>
      <c r="T2796" s="1063"/>
      <c r="U2796" s="1063"/>
      <c r="V2796" s="1063"/>
      <c r="W2796" s="1063"/>
      <c r="X2796" s="1063"/>
      <c r="Y2796" s="1063"/>
      <c r="Z2796" s="1063"/>
      <c r="AA2796" s="1063"/>
      <c r="AB2796" s="1063"/>
      <c r="AC2796" s="1063"/>
      <c r="AD2796" s="1063"/>
      <c r="AE2796" s="1063"/>
      <c r="AF2796" s="1063"/>
      <c r="AG2796" s="1063"/>
      <c r="AH2796" s="1063"/>
      <c r="AI2796" s="1063"/>
      <c r="AJ2796" s="1063"/>
      <c r="AK2796" s="1063"/>
      <c r="AL2796" s="1063"/>
      <c r="AM2796" s="1063"/>
      <c r="AN2796" s="1063"/>
      <c r="AO2796" s="1063"/>
      <c r="AP2796" s="1063"/>
      <c r="AQ2796" s="1063"/>
      <c r="AR2796" s="1063"/>
      <c r="AS2796" s="1063"/>
      <c r="AT2796" s="1063"/>
      <c r="AU2796" s="1063"/>
      <c r="AV2796" s="1063"/>
    </row>
    <row r="2797" spans="1:48" s="1108" customFormat="1" ht="27.75" customHeight="1">
      <c r="A2797" s="1076"/>
      <c r="B2797" s="1074">
        <f>+'[18]Bldg+Dev'!S3609</f>
        <v>0</v>
      </c>
      <c r="D2797" s="1063"/>
      <c r="F2797" s="1076"/>
      <c r="G2797" s="1063"/>
      <c r="H2797" s="1063"/>
      <c r="I2797" s="1063"/>
      <c r="J2797" s="1063"/>
      <c r="K2797" s="1063"/>
      <c r="L2797" s="1063"/>
      <c r="M2797" s="1063"/>
      <c r="N2797" s="1063"/>
      <c r="O2797" s="1063"/>
      <c r="P2797" s="1063"/>
      <c r="Q2797" s="1063"/>
      <c r="R2797" s="1063"/>
      <c r="S2797" s="1063"/>
      <c r="T2797" s="1063"/>
      <c r="U2797" s="1063"/>
      <c r="V2797" s="1063"/>
      <c r="W2797" s="1063"/>
      <c r="X2797" s="1063"/>
      <c r="Y2797" s="1063"/>
      <c r="Z2797" s="1063"/>
      <c r="AA2797" s="1063"/>
      <c r="AB2797" s="1063"/>
      <c r="AC2797" s="1063"/>
      <c r="AD2797" s="1063"/>
      <c r="AE2797" s="1063"/>
      <c r="AF2797" s="1063"/>
      <c r="AG2797" s="1063"/>
      <c r="AH2797" s="1063"/>
      <c r="AI2797" s="1063"/>
      <c r="AJ2797" s="1063"/>
      <c r="AK2797" s="1063"/>
      <c r="AL2797" s="1063"/>
      <c r="AM2797" s="1063"/>
      <c r="AN2797" s="1063"/>
      <c r="AO2797" s="1063"/>
      <c r="AP2797" s="1063"/>
      <c r="AQ2797" s="1063"/>
      <c r="AR2797" s="1063"/>
      <c r="AS2797" s="1063"/>
      <c r="AT2797" s="1063"/>
      <c r="AU2797" s="1063"/>
      <c r="AV2797" s="1063"/>
    </row>
    <row r="2798" spans="1:48" s="1108" customFormat="1" ht="27.75" customHeight="1">
      <c r="A2798" s="1076"/>
      <c r="B2798" s="1074">
        <f>+'[18]Bldg+Dev'!S3610</f>
        <v>0</v>
      </c>
      <c r="D2798" s="1063"/>
      <c r="F2798" s="1076"/>
      <c r="G2798" s="1063"/>
      <c r="H2798" s="1063"/>
      <c r="I2798" s="1063"/>
      <c r="J2798" s="1063"/>
      <c r="K2798" s="1063"/>
      <c r="L2798" s="1063"/>
      <c r="M2798" s="1063"/>
      <c r="N2798" s="1063"/>
      <c r="O2798" s="1063"/>
      <c r="P2798" s="1063"/>
      <c r="Q2798" s="1063"/>
      <c r="R2798" s="1063"/>
      <c r="S2798" s="1063"/>
      <c r="T2798" s="1063"/>
      <c r="U2798" s="1063"/>
      <c r="V2798" s="1063"/>
      <c r="W2798" s="1063"/>
      <c r="X2798" s="1063"/>
      <c r="Y2798" s="1063"/>
      <c r="Z2798" s="1063"/>
      <c r="AA2798" s="1063"/>
      <c r="AB2798" s="1063"/>
      <c r="AC2798" s="1063"/>
      <c r="AD2798" s="1063"/>
      <c r="AE2798" s="1063"/>
      <c r="AF2798" s="1063"/>
      <c r="AG2798" s="1063"/>
      <c r="AH2798" s="1063"/>
      <c r="AI2798" s="1063"/>
      <c r="AJ2798" s="1063"/>
      <c r="AK2798" s="1063"/>
      <c r="AL2798" s="1063"/>
      <c r="AM2798" s="1063"/>
      <c r="AN2798" s="1063"/>
      <c r="AO2798" s="1063"/>
      <c r="AP2798" s="1063"/>
      <c r="AQ2798" s="1063"/>
      <c r="AR2798" s="1063"/>
      <c r="AS2798" s="1063"/>
      <c r="AT2798" s="1063"/>
      <c r="AU2798" s="1063"/>
      <c r="AV2798" s="1063"/>
    </row>
    <row r="2799" spans="1:48" s="1108" customFormat="1" ht="27.75" customHeight="1">
      <c r="A2799" s="1076"/>
      <c r="B2799" s="1074">
        <f>+'[18]Bldg+Dev'!S3611</f>
        <v>0</v>
      </c>
      <c r="D2799" s="1063"/>
      <c r="F2799" s="1076"/>
      <c r="G2799" s="1063"/>
      <c r="H2799" s="1063"/>
      <c r="I2799" s="1063"/>
      <c r="J2799" s="1063"/>
      <c r="K2799" s="1063"/>
      <c r="L2799" s="1063"/>
      <c r="M2799" s="1063"/>
      <c r="N2799" s="1063"/>
      <c r="O2799" s="1063"/>
      <c r="P2799" s="1063"/>
      <c r="Q2799" s="1063"/>
      <c r="R2799" s="1063"/>
      <c r="S2799" s="1063"/>
      <c r="T2799" s="1063"/>
      <c r="U2799" s="1063"/>
      <c r="V2799" s="1063"/>
      <c r="W2799" s="1063"/>
      <c r="X2799" s="1063"/>
      <c r="Y2799" s="1063"/>
      <c r="Z2799" s="1063"/>
      <c r="AA2799" s="1063"/>
      <c r="AB2799" s="1063"/>
      <c r="AC2799" s="1063"/>
      <c r="AD2799" s="1063"/>
      <c r="AE2799" s="1063"/>
      <c r="AF2799" s="1063"/>
      <c r="AG2799" s="1063"/>
      <c r="AH2799" s="1063"/>
      <c r="AI2799" s="1063"/>
      <c r="AJ2799" s="1063"/>
      <c r="AK2799" s="1063"/>
      <c r="AL2799" s="1063"/>
      <c r="AM2799" s="1063"/>
      <c r="AN2799" s="1063"/>
      <c r="AO2799" s="1063"/>
      <c r="AP2799" s="1063"/>
      <c r="AQ2799" s="1063"/>
      <c r="AR2799" s="1063"/>
      <c r="AS2799" s="1063"/>
      <c r="AT2799" s="1063"/>
      <c r="AU2799" s="1063"/>
      <c r="AV2799" s="1063"/>
    </row>
    <row r="2800" spans="1:48" s="1108" customFormat="1" ht="27.75" customHeight="1">
      <c r="A2800" s="1076"/>
      <c r="B2800" s="1074">
        <f>+'[18]Bldg+Dev'!S3612</f>
        <v>0</v>
      </c>
      <c r="D2800" s="1063"/>
      <c r="F2800" s="1076"/>
      <c r="G2800" s="1063"/>
      <c r="H2800" s="1063"/>
      <c r="I2800" s="1063"/>
      <c r="J2800" s="1063"/>
      <c r="K2800" s="1063"/>
      <c r="L2800" s="1063"/>
      <c r="M2800" s="1063"/>
      <c r="N2800" s="1063"/>
      <c r="O2800" s="1063"/>
      <c r="P2800" s="1063"/>
      <c r="Q2800" s="1063"/>
      <c r="R2800" s="1063"/>
      <c r="S2800" s="1063"/>
      <c r="T2800" s="1063"/>
      <c r="U2800" s="1063"/>
      <c r="V2800" s="1063"/>
      <c r="W2800" s="1063"/>
      <c r="X2800" s="1063"/>
      <c r="Y2800" s="1063"/>
      <c r="Z2800" s="1063"/>
      <c r="AA2800" s="1063"/>
      <c r="AB2800" s="1063"/>
      <c r="AC2800" s="1063"/>
      <c r="AD2800" s="1063"/>
      <c r="AE2800" s="1063"/>
      <c r="AF2800" s="1063"/>
      <c r="AG2800" s="1063"/>
      <c r="AH2800" s="1063"/>
      <c r="AI2800" s="1063"/>
      <c r="AJ2800" s="1063"/>
      <c r="AK2800" s="1063"/>
      <c r="AL2800" s="1063"/>
      <c r="AM2800" s="1063"/>
      <c r="AN2800" s="1063"/>
      <c r="AO2800" s="1063"/>
      <c r="AP2800" s="1063"/>
      <c r="AQ2800" s="1063"/>
      <c r="AR2800" s="1063"/>
      <c r="AS2800" s="1063"/>
      <c r="AT2800" s="1063"/>
      <c r="AU2800" s="1063"/>
      <c r="AV2800" s="1063"/>
    </row>
    <row r="2801" spans="1:48" s="1108" customFormat="1" ht="27.75" customHeight="1">
      <c r="A2801" s="1076"/>
      <c r="B2801" s="1074">
        <f>+'[18]Bldg+Dev'!S3613</f>
        <v>0</v>
      </c>
      <c r="D2801" s="1063"/>
      <c r="F2801" s="1076"/>
      <c r="G2801" s="1063"/>
      <c r="H2801" s="1063"/>
      <c r="I2801" s="1063"/>
      <c r="J2801" s="1063"/>
      <c r="K2801" s="1063"/>
      <c r="L2801" s="1063"/>
      <c r="M2801" s="1063"/>
      <c r="N2801" s="1063"/>
      <c r="O2801" s="1063"/>
      <c r="P2801" s="1063"/>
      <c r="Q2801" s="1063"/>
      <c r="R2801" s="1063"/>
      <c r="S2801" s="1063"/>
      <c r="T2801" s="1063"/>
      <c r="U2801" s="1063"/>
      <c r="V2801" s="1063"/>
      <c r="W2801" s="1063"/>
      <c r="X2801" s="1063"/>
      <c r="Y2801" s="1063"/>
      <c r="Z2801" s="1063"/>
      <c r="AA2801" s="1063"/>
      <c r="AB2801" s="1063"/>
      <c r="AC2801" s="1063"/>
      <c r="AD2801" s="1063"/>
      <c r="AE2801" s="1063"/>
      <c r="AF2801" s="1063"/>
      <c r="AG2801" s="1063"/>
      <c r="AH2801" s="1063"/>
      <c r="AI2801" s="1063"/>
      <c r="AJ2801" s="1063"/>
      <c r="AK2801" s="1063"/>
      <c r="AL2801" s="1063"/>
      <c r="AM2801" s="1063"/>
      <c r="AN2801" s="1063"/>
      <c r="AO2801" s="1063"/>
      <c r="AP2801" s="1063"/>
      <c r="AQ2801" s="1063"/>
      <c r="AR2801" s="1063"/>
      <c r="AS2801" s="1063"/>
      <c r="AT2801" s="1063"/>
      <c r="AU2801" s="1063"/>
      <c r="AV2801" s="1063"/>
    </row>
    <row r="2802" spans="1:48" s="1108" customFormat="1" ht="27.75" customHeight="1">
      <c r="A2802" s="1076"/>
      <c r="B2802" s="1074">
        <f>+'[18]Bldg+Dev'!S3614</f>
        <v>0</v>
      </c>
      <c r="D2802" s="1063"/>
      <c r="F2802" s="1076"/>
      <c r="G2802" s="1063"/>
      <c r="H2802" s="1063"/>
      <c r="I2802" s="1063"/>
      <c r="J2802" s="1063"/>
      <c r="K2802" s="1063"/>
      <c r="L2802" s="1063"/>
      <c r="M2802" s="1063"/>
      <c r="N2802" s="1063"/>
      <c r="O2802" s="1063"/>
      <c r="P2802" s="1063"/>
      <c r="Q2802" s="1063"/>
      <c r="R2802" s="1063"/>
      <c r="S2802" s="1063"/>
      <c r="T2802" s="1063"/>
      <c r="U2802" s="1063"/>
      <c r="V2802" s="1063"/>
      <c r="W2802" s="1063"/>
      <c r="X2802" s="1063"/>
      <c r="Y2802" s="1063"/>
      <c r="Z2802" s="1063"/>
      <c r="AA2802" s="1063"/>
      <c r="AB2802" s="1063"/>
      <c r="AC2802" s="1063"/>
      <c r="AD2802" s="1063"/>
      <c r="AE2802" s="1063"/>
      <c r="AF2802" s="1063"/>
      <c r="AG2802" s="1063"/>
      <c r="AH2802" s="1063"/>
      <c r="AI2802" s="1063"/>
      <c r="AJ2802" s="1063"/>
      <c r="AK2802" s="1063"/>
      <c r="AL2802" s="1063"/>
      <c r="AM2802" s="1063"/>
      <c r="AN2802" s="1063"/>
      <c r="AO2802" s="1063"/>
      <c r="AP2802" s="1063"/>
      <c r="AQ2802" s="1063"/>
      <c r="AR2802" s="1063"/>
      <c r="AS2802" s="1063"/>
      <c r="AT2802" s="1063"/>
      <c r="AU2802" s="1063"/>
      <c r="AV2802" s="1063"/>
    </row>
    <row r="2803" spans="1:48" s="1108" customFormat="1" ht="27.75" customHeight="1">
      <c r="A2803" s="1076"/>
      <c r="B2803" s="1074">
        <f>+'[18]Bldg+Dev'!S3615</f>
        <v>0</v>
      </c>
      <c r="D2803" s="1063"/>
      <c r="F2803" s="1076"/>
      <c r="G2803" s="1063"/>
      <c r="H2803" s="1063"/>
      <c r="I2803" s="1063"/>
      <c r="J2803" s="1063"/>
      <c r="K2803" s="1063"/>
      <c r="L2803" s="1063"/>
      <c r="M2803" s="1063"/>
      <c r="N2803" s="1063"/>
      <c r="O2803" s="1063"/>
      <c r="P2803" s="1063"/>
      <c r="Q2803" s="1063"/>
      <c r="R2803" s="1063"/>
      <c r="S2803" s="1063"/>
      <c r="T2803" s="1063"/>
      <c r="U2803" s="1063"/>
      <c r="V2803" s="1063"/>
      <c r="W2803" s="1063"/>
      <c r="X2803" s="1063"/>
      <c r="Y2803" s="1063"/>
      <c r="Z2803" s="1063"/>
      <c r="AA2803" s="1063"/>
      <c r="AB2803" s="1063"/>
      <c r="AC2803" s="1063"/>
      <c r="AD2803" s="1063"/>
      <c r="AE2803" s="1063"/>
      <c r="AF2803" s="1063"/>
      <c r="AG2803" s="1063"/>
      <c r="AH2803" s="1063"/>
      <c r="AI2803" s="1063"/>
      <c r="AJ2803" s="1063"/>
      <c r="AK2803" s="1063"/>
      <c r="AL2803" s="1063"/>
      <c r="AM2803" s="1063"/>
      <c r="AN2803" s="1063"/>
      <c r="AO2803" s="1063"/>
      <c r="AP2803" s="1063"/>
      <c r="AQ2803" s="1063"/>
      <c r="AR2803" s="1063"/>
      <c r="AS2803" s="1063"/>
      <c r="AT2803" s="1063"/>
      <c r="AU2803" s="1063"/>
      <c r="AV2803" s="1063"/>
    </row>
    <row r="2804" spans="1:48" s="1108" customFormat="1" ht="27.75" customHeight="1">
      <c r="A2804" s="1076"/>
      <c r="B2804" s="1074">
        <f>+'[18]Bldg+Dev'!S3616</f>
        <v>0</v>
      </c>
      <c r="D2804" s="1063"/>
      <c r="F2804" s="1076"/>
      <c r="G2804" s="1063"/>
      <c r="H2804" s="1063"/>
      <c r="I2804" s="1063"/>
      <c r="J2804" s="1063"/>
      <c r="K2804" s="1063"/>
      <c r="L2804" s="1063"/>
      <c r="M2804" s="1063"/>
      <c r="N2804" s="1063"/>
      <c r="O2804" s="1063"/>
      <c r="P2804" s="1063"/>
      <c r="Q2804" s="1063"/>
      <c r="R2804" s="1063"/>
      <c r="S2804" s="1063"/>
      <c r="T2804" s="1063"/>
      <c r="U2804" s="1063"/>
      <c r="V2804" s="1063"/>
      <c r="W2804" s="1063"/>
      <c r="X2804" s="1063"/>
      <c r="Y2804" s="1063"/>
      <c r="Z2804" s="1063"/>
      <c r="AA2804" s="1063"/>
      <c r="AB2804" s="1063"/>
      <c r="AC2804" s="1063"/>
      <c r="AD2804" s="1063"/>
      <c r="AE2804" s="1063"/>
      <c r="AF2804" s="1063"/>
      <c r="AG2804" s="1063"/>
      <c r="AH2804" s="1063"/>
      <c r="AI2804" s="1063"/>
      <c r="AJ2804" s="1063"/>
      <c r="AK2804" s="1063"/>
      <c r="AL2804" s="1063"/>
      <c r="AM2804" s="1063"/>
      <c r="AN2804" s="1063"/>
      <c r="AO2804" s="1063"/>
      <c r="AP2804" s="1063"/>
      <c r="AQ2804" s="1063"/>
      <c r="AR2804" s="1063"/>
      <c r="AS2804" s="1063"/>
      <c r="AT2804" s="1063"/>
      <c r="AU2804" s="1063"/>
      <c r="AV2804" s="1063"/>
    </row>
    <row r="2805" spans="1:48" s="1108" customFormat="1" ht="27.75" customHeight="1">
      <c r="A2805" s="1076"/>
      <c r="B2805" s="1074">
        <f>+'[18]Bldg+Dev'!S3617</f>
        <v>0</v>
      </c>
      <c r="D2805" s="1063"/>
      <c r="F2805" s="1076"/>
      <c r="G2805" s="1063"/>
      <c r="H2805" s="1063"/>
      <c r="I2805" s="1063"/>
      <c r="J2805" s="1063"/>
      <c r="K2805" s="1063"/>
      <c r="L2805" s="1063"/>
      <c r="M2805" s="1063"/>
      <c r="N2805" s="1063"/>
      <c r="O2805" s="1063"/>
      <c r="P2805" s="1063"/>
      <c r="Q2805" s="1063"/>
      <c r="R2805" s="1063"/>
      <c r="S2805" s="1063"/>
      <c r="T2805" s="1063"/>
      <c r="U2805" s="1063"/>
      <c r="V2805" s="1063"/>
      <c r="W2805" s="1063"/>
      <c r="X2805" s="1063"/>
      <c r="Y2805" s="1063"/>
      <c r="Z2805" s="1063"/>
      <c r="AA2805" s="1063"/>
      <c r="AB2805" s="1063"/>
      <c r="AC2805" s="1063"/>
      <c r="AD2805" s="1063"/>
      <c r="AE2805" s="1063"/>
      <c r="AF2805" s="1063"/>
      <c r="AG2805" s="1063"/>
      <c r="AH2805" s="1063"/>
      <c r="AI2805" s="1063"/>
      <c r="AJ2805" s="1063"/>
      <c r="AK2805" s="1063"/>
      <c r="AL2805" s="1063"/>
      <c r="AM2805" s="1063"/>
      <c r="AN2805" s="1063"/>
      <c r="AO2805" s="1063"/>
      <c r="AP2805" s="1063"/>
      <c r="AQ2805" s="1063"/>
      <c r="AR2805" s="1063"/>
      <c r="AS2805" s="1063"/>
      <c r="AT2805" s="1063"/>
      <c r="AU2805" s="1063"/>
      <c r="AV2805" s="1063"/>
    </row>
    <row r="2806" spans="1:48" s="1108" customFormat="1" ht="27.75" customHeight="1">
      <c r="A2806" s="1076"/>
      <c r="B2806" s="1074">
        <f>+'[18]Bldg+Dev'!S3618</f>
        <v>0</v>
      </c>
      <c r="D2806" s="1063"/>
      <c r="F2806" s="1076"/>
      <c r="G2806" s="1063"/>
      <c r="H2806" s="1063"/>
      <c r="I2806" s="1063"/>
      <c r="J2806" s="1063"/>
      <c r="K2806" s="1063"/>
      <c r="L2806" s="1063"/>
      <c r="M2806" s="1063"/>
      <c r="N2806" s="1063"/>
      <c r="O2806" s="1063"/>
      <c r="P2806" s="1063"/>
      <c r="Q2806" s="1063"/>
      <c r="R2806" s="1063"/>
      <c r="S2806" s="1063"/>
      <c r="T2806" s="1063"/>
      <c r="U2806" s="1063"/>
      <c r="V2806" s="1063"/>
      <c r="W2806" s="1063"/>
      <c r="X2806" s="1063"/>
      <c r="Y2806" s="1063"/>
      <c r="Z2806" s="1063"/>
      <c r="AA2806" s="1063"/>
      <c r="AB2806" s="1063"/>
      <c r="AC2806" s="1063"/>
      <c r="AD2806" s="1063"/>
      <c r="AE2806" s="1063"/>
      <c r="AF2806" s="1063"/>
      <c r="AG2806" s="1063"/>
      <c r="AH2806" s="1063"/>
      <c r="AI2806" s="1063"/>
      <c r="AJ2806" s="1063"/>
      <c r="AK2806" s="1063"/>
      <c r="AL2806" s="1063"/>
      <c r="AM2806" s="1063"/>
      <c r="AN2806" s="1063"/>
      <c r="AO2806" s="1063"/>
      <c r="AP2806" s="1063"/>
      <c r="AQ2806" s="1063"/>
      <c r="AR2806" s="1063"/>
      <c r="AS2806" s="1063"/>
      <c r="AT2806" s="1063"/>
      <c r="AU2806" s="1063"/>
      <c r="AV2806" s="1063"/>
    </row>
    <row r="2807" spans="1:48" s="1108" customFormat="1" ht="27.75" customHeight="1">
      <c r="A2807" s="1076"/>
      <c r="B2807" s="1074">
        <f>+'[18]Bldg+Dev'!S3619</f>
        <v>0</v>
      </c>
      <c r="D2807" s="1063"/>
      <c r="F2807" s="1076"/>
      <c r="G2807" s="1063"/>
      <c r="H2807" s="1063"/>
      <c r="I2807" s="1063"/>
      <c r="J2807" s="1063"/>
      <c r="K2807" s="1063"/>
      <c r="L2807" s="1063"/>
      <c r="M2807" s="1063"/>
      <c r="N2807" s="1063"/>
      <c r="O2807" s="1063"/>
      <c r="P2807" s="1063"/>
      <c r="Q2807" s="1063"/>
      <c r="R2807" s="1063"/>
      <c r="S2807" s="1063"/>
      <c r="T2807" s="1063"/>
      <c r="U2807" s="1063"/>
      <c r="V2807" s="1063"/>
      <c r="W2807" s="1063"/>
      <c r="X2807" s="1063"/>
      <c r="Y2807" s="1063"/>
      <c r="Z2807" s="1063"/>
      <c r="AA2807" s="1063"/>
      <c r="AB2807" s="1063"/>
      <c r="AC2807" s="1063"/>
      <c r="AD2807" s="1063"/>
      <c r="AE2807" s="1063"/>
      <c r="AF2807" s="1063"/>
      <c r="AG2807" s="1063"/>
      <c r="AH2807" s="1063"/>
      <c r="AI2807" s="1063"/>
      <c r="AJ2807" s="1063"/>
      <c r="AK2807" s="1063"/>
      <c r="AL2807" s="1063"/>
      <c r="AM2807" s="1063"/>
      <c r="AN2807" s="1063"/>
      <c r="AO2807" s="1063"/>
      <c r="AP2807" s="1063"/>
      <c r="AQ2807" s="1063"/>
      <c r="AR2807" s="1063"/>
      <c r="AS2807" s="1063"/>
      <c r="AT2807" s="1063"/>
      <c r="AU2807" s="1063"/>
      <c r="AV2807" s="1063"/>
    </row>
    <row r="2808" spans="1:48" s="1108" customFormat="1" ht="27.75" customHeight="1">
      <c r="A2808" s="1076"/>
      <c r="B2808" s="1074">
        <f>+'[18]Bldg+Dev'!S3620</f>
        <v>0</v>
      </c>
      <c r="D2808" s="1063"/>
      <c r="F2808" s="1076"/>
      <c r="G2808" s="1063"/>
      <c r="H2808" s="1063"/>
      <c r="I2808" s="1063"/>
      <c r="J2808" s="1063"/>
      <c r="K2808" s="1063"/>
      <c r="L2808" s="1063"/>
      <c r="M2808" s="1063"/>
      <c r="N2808" s="1063"/>
      <c r="O2808" s="1063"/>
      <c r="P2808" s="1063"/>
      <c r="Q2808" s="1063"/>
      <c r="R2808" s="1063"/>
      <c r="S2808" s="1063"/>
      <c r="T2808" s="1063"/>
      <c r="U2808" s="1063"/>
      <c r="V2808" s="1063"/>
      <c r="W2808" s="1063"/>
      <c r="X2808" s="1063"/>
      <c r="Y2808" s="1063"/>
      <c r="Z2808" s="1063"/>
      <c r="AA2808" s="1063"/>
      <c r="AB2808" s="1063"/>
      <c r="AC2808" s="1063"/>
      <c r="AD2808" s="1063"/>
      <c r="AE2808" s="1063"/>
      <c r="AF2808" s="1063"/>
      <c r="AG2808" s="1063"/>
      <c r="AH2808" s="1063"/>
      <c r="AI2808" s="1063"/>
      <c r="AJ2808" s="1063"/>
      <c r="AK2808" s="1063"/>
      <c r="AL2808" s="1063"/>
      <c r="AM2808" s="1063"/>
      <c r="AN2808" s="1063"/>
      <c r="AO2808" s="1063"/>
      <c r="AP2808" s="1063"/>
      <c r="AQ2808" s="1063"/>
      <c r="AR2808" s="1063"/>
      <c r="AS2808" s="1063"/>
      <c r="AT2808" s="1063"/>
      <c r="AU2808" s="1063"/>
      <c r="AV2808" s="1063"/>
    </row>
    <row r="2809" spans="1:48" s="1108" customFormat="1" ht="27.75" customHeight="1">
      <c r="A2809" s="1076"/>
      <c r="B2809" s="1074">
        <f>+'[18]Bldg+Dev'!S3621</f>
        <v>0</v>
      </c>
      <c r="D2809" s="1063"/>
      <c r="F2809" s="1076"/>
      <c r="G2809" s="1063"/>
      <c r="H2809" s="1063"/>
      <c r="I2809" s="1063"/>
      <c r="J2809" s="1063"/>
      <c r="K2809" s="1063"/>
      <c r="L2809" s="1063"/>
      <c r="M2809" s="1063"/>
      <c r="N2809" s="1063"/>
      <c r="O2809" s="1063"/>
      <c r="P2809" s="1063"/>
      <c r="Q2809" s="1063"/>
      <c r="R2809" s="1063"/>
      <c r="S2809" s="1063"/>
      <c r="T2809" s="1063"/>
      <c r="U2809" s="1063"/>
      <c r="V2809" s="1063"/>
      <c r="W2809" s="1063"/>
      <c r="X2809" s="1063"/>
      <c r="Y2809" s="1063"/>
      <c r="Z2809" s="1063"/>
      <c r="AA2809" s="1063"/>
      <c r="AB2809" s="1063"/>
      <c r="AC2809" s="1063"/>
      <c r="AD2809" s="1063"/>
      <c r="AE2809" s="1063"/>
      <c r="AF2809" s="1063"/>
      <c r="AG2809" s="1063"/>
      <c r="AH2809" s="1063"/>
      <c r="AI2809" s="1063"/>
      <c r="AJ2809" s="1063"/>
      <c r="AK2809" s="1063"/>
      <c r="AL2809" s="1063"/>
      <c r="AM2809" s="1063"/>
      <c r="AN2809" s="1063"/>
      <c r="AO2809" s="1063"/>
      <c r="AP2809" s="1063"/>
      <c r="AQ2809" s="1063"/>
      <c r="AR2809" s="1063"/>
      <c r="AS2809" s="1063"/>
      <c r="AT2809" s="1063"/>
      <c r="AU2809" s="1063"/>
      <c r="AV2809" s="1063"/>
    </row>
    <row r="2810" spans="1:48" s="1108" customFormat="1" ht="27.75" customHeight="1">
      <c r="A2810" s="1076"/>
      <c r="B2810" s="1074">
        <f>+'[18]Bldg+Dev'!S3622</f>
        <v>0</v>
      </c>
      <c r="D2810" s="1063"/>
      <c r="F2810" s="1076"/>
      <c r="G2810" s="1063"/>
      <c r="H2810" s="1063"/>
      <c r="I2810" s="1063"/>
      <c r="J2810" s="1063"/>
      <c r="K2810" s="1063"/>
      <c r="L2810" s="1063"/>
      <c r="M2810" s="1063"/>
      <c r="N2810" s="1063"/>
      <c r="O2810" s="1063"/>
      <c r="P2810" s="1063"/>
      <c r="Q2810" s="1063"/>
      <c r="R2810" s="1063"/>
      <c r="S2810" s="1063"/>
      <c r="T2810" s="1063"/>
      <c r="U2810" s="1063"/>
      <c r="V2810" s="1063"/>
      <c r="W2810" s="1063"/>
      <c r="X2810" s="1063"/>
      <c r="Y2810" s="1063"/>
      <c r="Z2810" s="1063"/>
      <c r="AA2810" s="1063"/>
      <c r="AB2810" s="1063"/>
      <c r="AC2810" s="1063"/>
      <c r="AD2810" s="1063"/>
      <c r="AE2810" s="1063"/>
      <c r="AF2810" s="1063"/>
      <c r="AG2810" s="1063"/>
      <c r="AH2810" s="1063"/>
      <c r="AI2810" s="1063"/>
      <c r="AJ2810" s="1063"/>
      <c r="AK2810" s="1063"/>
      <c r="AL2810" s="1063"/>
      <c r="AM2810" s="1063"/>
      <c r="AN2810" s="1063"/>
      <c r="AO2810" s="1063"/>
      <c r="AP2810" s="1063"/>
      <c r="AQ2810" s="1063"/>
      <c r="AR2810" s="1063"/>
      <c r="AS2810" s="1063"/>
      <c r="AT2810" s="1063"/>
      <c r="AU2810" s="1063"/>
      <c r="AV2810" s="1063"/>
    </row>
    <row r="2811" spans="1:48" s="1108" customFormat="1" ht="27.75" customHeight="1">
      <c r="A2811" s="1076"/>
      <c r="B2811" s="1074">
        <f>+'[18]Bldg+Dev'!S3623</f>
        <v>0</v>
      </c>
      <c r="D2811" s="1063"/>
      <c r="F2811" s="1076"/>
      <c r="G2811" s="1063"/>
      <c r="H2811" s="1063"/>
      <c r="I2811" s="1063"/>
      <c r="J2811" s="1063"/>
      <c r="K2811" s="1063"/>
      <c r="L2811" s="1063"/>
      <c r="M2811" s="1063"/>
      <c r="N2811" s="1063"/>
      <c r="O2811" s="1063"/>
      <c r="P2811" s="1063"/>
      <c r="Q2811" s="1063"/>
      <c r="R2811" s="1063"/>
      <c r="S2811" s="1063"/>
      <c r="T2811" s="1063"/>
      <c r="U2811" s="1063"/>
      <c r="V2811" s="1063"/>
      <c r="W2811" s="1063"/>
      <c r="X2811" s="1063"/>
      <c r="Y2811" s="1063"/>
      <c r="Z2811" s="1063"/>
      <c r="AA2811" s="1063"/>
      <c r="AB2811" s="1063"/>
      <c r="AC2811" s="1063"/>
      <c r="AD2811" s="1063"/>
      <c r="AE2811" s="1063"/>
      <c r="AF2811" s="1063"/>
      <c r="AG2811" s="1063"/>
      <c r="AH2811" s="1063"/>
      <c r="AI2811" s="1063"/>
      <c r="AJ2811" s="1063"/>
      <c r="AK2811" s="1063"/>
      <c r="AL2811" s="1063"/>
      <c r="AM2811" s="1063"/>
      <c r="AN2811" s="1063"/>
      <c r="AO2811" s="1063"/>
      <c r="AP2811" s="1063"/>
      <c r="AQ2811" s="1063"/>
      <c r="AR2811" s="1063"/>
      <c r="AS2811" s="1063"/>
      <c r="AT2811" s="1063"/>
      <c r="AU2811" s="1063"/>
      <c r="AV2811" s="1063"/>
    </row>
    <row r="2812" spans="1:48" s="1108" customFormat="1" ht="27.75" customHeight="1">
      <c r="A2812" s="1076"/>
      <c r="B2812" s="1074">
        <f>+'[18]Bldg+Dev'!S3624</f>
        <v>0</v>
      </c>
      <c r="D2812" s="1063"/>
      <c r="F2812" s="1076"/>
      <c r="G2812" s="1063"/>
      <c r="H2812" s="1063"/>
      <c r="I2812" s="1063"/>
      <c r="J2812" s="1063"/>
      <c r="K2812" s="1063"/>
      <c r="L2812" s="1063"/>
      <c r="M2812" s="1063"/>
      <c r="N2812" s="1063"/>
      <c r="O2812" s="1063"/>
      <c r="P2812" s="1063"/>
      <c r="Q2812" s="1063"/>
      <c r="R2812" s="1063"/>
      <c r="S2812" s="1063"/>
      <c r="T2812" s="1063"/>
      <c r="U2812" s="1063"/>
      <c r="V2812" s="1063"/>
      <c r="W2812" s="1063"/>
      <c r="X2812" s="1063"/>
      <c r="Y2812" s="1063"/>
      <c r="Z2812" s="1063"/>
      <c r="AA2812" s="1063"/>
      <c r="AB2812" s="1063"/>
      <c r="AC2812" s="1063"/>
      <c r="AD2812" s="1063"/>
      <c r="AE2812" s="1063"/>
      <c r="AF2812" s="1063"/>
      <c r="AG2812" s="1063"/>
      <c r="AH2812" s="1063"/>
      <c r="AI2812" s="1063"/>
      <c r="AJ2812" s="1063"/>
      <c r="AK2812" s="1063"/>
      <c r="AL2812" s="1063"/>
      <c r="AM2812" s="1063"/>
      <c r="AN2812" s="1063"/>
      <c r="AO2812" s="1063"/>
      <c r="AP2812" s="1063"/>
      <c r="AQ2812" s="1063"/>
      <c r="AR2812" s="1063"/>
      <c r="AS2812" s="1063"/>
      <c r="AT2812" s="1063"/>
      <c r="AU2812" s="1063"/>
      <c r="AV2812" s="1063"/>
    </row>
    <row r="2813" spans="1:48" s="1108" customFormat="1" ht="27.75" customHeight="1">
      <c r="A2813" s="1076"/>
      <c r="B2813" s="1074">
        <f>+'[18]Bldg+Dev'!S3625</f>
        <v>0</v>
      </c>
      <c r="D2813" s="1063"/>
      <c r="F2813" s="1076"/>
      <c r="G2813" s="1063"/>
      <c r="H2813" s="1063"/>
      <c r="I2813" s="1063"/>
      <c r="J2813" s="1063"/>
      <c r="K2813" s="1063"/>
      <c r="L2813" s="1063"/>
      <c r="M2813" s="1063"/>
      <c r="N2813" s="1063"/>
      <c r="O2813" s="1063"/>
      <c r="P2813" s="1063"/>
      <c r="Q2813" s="1063"/>
      <c r="R2813" s="1063"/>
      <c r="S2813" s="1063"/>
      <c r="T2813" s="1063"/>
      <c r="U2813" s="1063"/>
      <c r="V2813" s="1063"/>
      <c r="W2813" s="1063"/>
      <c r="X2813" s="1063"/>
      <c r="Y2813" s="1063"/>
      <c r="Z2813" s="1063"/>
      <c r="AA2813" s="1063"/>
      <c r="AB2813" s="1063"/>
      <c r="AC2813" s="1063"/>
      <c r="AD2813" s="1063"/>
      <c r="AE2813" s="1063"/>
      <c r="AF2813" s="1063"/>
      <c r="AG2813" s="1063"/>
      <c r="AH2813" s="1063"/>
      <c r="AI2813" s="1063"/>
      <c r="AJ2813" s="1063"/>
      <c r="AK2813" s="1063"/>
      <c r="AL2813" s="1063"/>
      <c r="AM2813" s="1063"/>
      <c r="AN2813" s="1063"/>
      <c r="AO2813" s="1063"/>
      <c r="AP2813" s="1063"/>
      <c r="AQ2813" s="1063"/>
      <c r="AR2813" s="1063"/>
      <c r="AS2813" s="1063"/>
      <c r="AT2813" s="1063"/>
      <c r="AU2813" s="1063"/>
      <c r="AV2813" s="1063"/>
    </row>
    <row r="2814" spans="1:48" s="1108" customFormat="1" ht="27.75" customHeight="1">
      <c r="A2814" s="1076"/>
      <c r="B2814" s="1074">
        <f>+'[18]Bldg+Dev'!S3626</f>
        <v>0</v>
      </c>
      <c r="D2814" s="1063"/>
      <c r="F2814" s="1076"/>
      <c r="G2814" s="1063"/>
      <c r="H2814" s="1063"/>
      <c r="I2814" s="1063"/>
      <c r="J2814" s="1063"/>
      <c r="K2814" s="1063"/>
      <c r="L2814" s="1063"/>
      <c r="M2814" s="1063"/>
      <c r="N2814" s="1063"/>
      <c r="O2814" s="1063"/>
      <c r="P2814" s="1063"/>
      <c r="Q2814" s="1063"/>
      <c r="R2814" s="1063"/>
      <c r="S2814" s="1063"/>
      <c r="T2814" s="1063"/>
      <c r="U2814" s="1063"/>
      <c r="V2814" s="1063"/>
      <c r="W2814" s="1063"/>
      <c r="X2814" s="1063"/>
      <c r="Y2814" s="1063"/>
      <c r="Z2814" s="1063"/>
      <c r="AA2814" s="1063"/>
      <c r="AB2814" s="1063"/>
      <c r="AC2814" s="1063"/>
      <c r="AD2814" s="1063"/>
      <c r="AE2814" s="1063"/>
      <c r="AF2814" s="1063"/>
      <c r="AG2814" s="1063"/>
      <c r="AH2814" s="1063"/>
      <c r="AI2814" s="1063"/>
      <c r="AJ2814" s="1063"/>
      <c r="AK2814" s="1063"/>
      <c r="AL2814" s="1063"/>
      <c r="AM2814" s="1063"/>
      <c r="AN2814" s="1063"/>
      <c r="AO2814" s="1063"/>
      <c r="AP2814" s="1063"/>
      <c r="AQ2814" s="1063"/>
      <c r="AR2814" s="1063"/>
      <c r="AS2814" s="1063"/>
      <c r="AT2814" s="1063"/>
      <c r="AU2814" s="1063"/>
      <c r="AV2814" s="1063"/>
    </row>
    <row r="2815" spans="1:48" s="1108" customFormat="1" ht="27.75" customHeight="1">
      <c r="A2815" s="1076"/>
      <c r="B2815" s="1074">
        <f>+'[18]Bldg+Dev'!S3627</f>
        <v>0</v>
      </c>
      <c r="D2815" s="1063"/>
      <c r="F2815" s="1076"/>
      <c r="G2815" s="1063"/>
      <c r="H2815" s="1063"/>
      <c r="I2815" s="1063"/>
      <c r="J2815" s="1063"/>
      <c r="K2815" s="1063"/>
      <c r="L2815" s="1063"/>
      <c r="M2815" s="1063"/>
      <c r="N2815" s="1063"/>
      <c r="O2815" s="1063"/>
      <c r="P2815" s="1063"/>
      <c r="Q2815" s="1063"/>
      <c r="R2815" s="1063"/>
      <c r="S2815" s="1063"/>
      <c r="T2815" s="1063"/>
      <c r="U2815" s="1063"/>
      <c r="V2815" s="1063"/>
      <c r="W2815" s="1063"/>
      <c r="X2815" s="1063"/>
      <c r="Y2815" s="1063"/>
      <c r="Z2815" s="1063"/>
      <c r="AA2815" s="1063"/>
      <c r="AB2815" s="1063"/>
      <c r="AC2815" s="1063"/>
      <c r="AD2815" s="1063"/>
      <c r="AE2815" s="1063"/>
      <c r="AF2815" s="1063"/>
      <c r="AG2815" s="1063"/>
      <c r="AH2815" s="1063"/>
      <c r="AI2815" s="1063"/>
      <c r="AJ2815" s="1063"/>
      <c r="AK2815" s="1063"/>
      <c r="AL2815" s="1063"/>
      <c r="AM2815" s="1063"/>
      <c r="AN2815" s="1063"/>
      <c r="AO2815" s="1063"/>
      <c r="AP2815" s="1063"/>
      <c r="AQ2815" s="1063"/>
      <c r="AR2815" s="1063"/>
      <c r="AS2815" s="1063"/>
      <c r="AT2815" s="1063"/>
      <c r="AU2815" s="1063"/>
      <c r="AV2815" s="1063"/>
    </row>
    <row r="2816" spans="1:48" s="1108" customFormat="1" ht="27.75" customHeight="1">
      <c r="A2816" s="1076"/>
      <c r="B2816" s="1074">
        <f>+'[18]Bldg+Dev'!S3628</f>
        <v>0</v>
      </c>
      <c r="D2816" s="1063"/>
      <c r="F2816" s="1076"/>
      <c r="G2816" s="1063"/>
      <c r="H2816" s="1063"/>
      <c r="I2816" s="1063"/>
      <c r="J2816" s="1063"/>
      <c r="K2816" s="1063"/>
      <c r="L2816" s="1063"/>
      <c r="M2816" s="1063"/>
      <c r="N2816" s="1063"/>
      <c r="O2816" s="1063"/>
      <c r="P2816" s="1063"/>
      <c r="Q2816" s="1063"/>
      <c r="R2816" s="1063"/>
      <c r="S2816" s="1063"/>
      <c r="T2816" s="1063"/>
      <c r="U2816" s="1063"/>
      <c r="V2816" s="1063"/>
      <c r="W2816" s="1063"/>
      <c r="X2816" s="1063"/>
      <c r="Y2816" s="1063"/>
      <c r="Z2816" s="1063"/>
      <c r="AA2816" s="1063"/>
      <c r="AB2816" s="1063"/>
      <c r="AC2816" s="1063"/>
      <c r="AD2816" s="1063"/>
      <c r="AE2816" s="1063"/>
      <c r="AF2816" s="1063"/>
      <c r="AG2816" s="1063"/>
      <c r="AH2816" s="1063"/>
      <c r="AI2816" s="1063"/>
      <c r="AJ2816" s="1063"/>
      <c r="AK2816" s="1063"/>
      <c r="AL2816" s="1063"/>
      <c r="AM2816" s="1063"/>
      <c r="AN2816" s="1063"/>
      <c r="AO2816" s="1063"/>
      <c r="AP2816" s="1063"/>
      <c r="AQ2816" s="1063"/>
      <c r="AR2816" s="1063"/>
      <c r="AS2816" s="1063"/>
      <c r="AT2816" s="1063"/>
      <c r="AU2816" s="1063"/>
      <c r="AV2816" s="1063"/>
    </row>
    <row r="2817" spans="1:48" s="1108" customFormat="1" ht="27.75" customHeight="1">
      <c r="A2817" s="1076"/>
      <c r="B2817" s="1074">
        <f>+'[18]Bldg+Dev'!S3629</f>
        <v>0</v>
      </c>
      <c r="D2817" s="1063"/>
      <c r="F2817" s="1076"/>
      <c r="G2817" s="1063"/>
      <c r="H2817" s="1063"/>
      <c r="I2817" s="1063"/>
      <c r="J2817" s="1063"/>
      <c r="K2817" s="1063"/>
      <c r="L2817" s="1063"/>
      <c r="M2817" s="1063"/>
      <c r="N2817" s="1063"/>
      <c r="O2817" s="1063"/>
      <c r="P2817" s="1063"/>
      <c r="Q2817" s="1063"/>
      <c r="R2817" s="1063"/>
      <c r="S2817" s="1063"/>
      <c r="T2817" s="1063"/>
      <c r="U2817" s="1063"/>
      <c r="V2817" s="1063"/>
      <c r="W2817" s="1063"/>
      <c r="X2817" s="1063"/>
      <c r="Y2817" s="1063"/>
      <c r="Z2817" s="1063"/>
      <c r="AA2817" s="1063"/>
      <c r="AB2817" s="1063"/>
      <c r="AC2817" s="1063"/>
      <c r="AD2817" s="1063"/>
      <c r="AE2817" s="1063"/>
      <c r="AF2817" s="1063"/>
      <c r="AG2817" s="1063"/>
      <c r="AH2817" s="1063"/>
      <c r="AI2817" s="1063"/>
      <c r="AJ2817" s="1063"/>
      <c r="AK2817" s="1063"/>
      <c r="AL2817" s="1063"/>
      <c r="AM2817" s="1063"/>
      <c r="AN2817" s="1063"/>
      <c r="AO2817" s="1063"/>
      <c r="AP2817" s="1063"/>
      <c r="AQ2817" s="1063"/>
      <c r="AR2817" s="1063"/>
      <c r="AS2817" s="1063"/>
      <c r="AT2817" s="1063"/>
      <c r="AU2817" s="1063"/>
      <c r="AV2817" s="1063"/>
    </row>
    <row r="2818" spans="1:48" s="1108" customFormat="1" ht="27.75" customHeight="1">
      <c r="A2818" s="1076"/>
      <c r="B2818" s="1074">
        <f>+'[18]Bldg+Dev'!S3630</f>
        <v>0</v>
      </c>
      <c r="D2818" s="1063"/>
      <c r="F2818" s="1076"/>
      <c r="G2818" s="1063"/>
      <c r="H2818" s="1063"/>
      <c r="I2818" s="1063"/>
      <c r="J2818" s="1063"/>
      <c r="K2818" s="1063"/>
      <c r="L2818" s="1063"/>
      <c r="M2818" s="1063"/>
      <c r="N2818" s="1063"/>
      <c r="O2818" s="1063"/>
      <c r="P2818" s="1063"/>
      <c r="Q2818" s="1063"/>
      <c r="R2818" s="1063"/>
      <c r="S2818" s="1063"/>
      <c r="T2818" s="1063"/>
      <c r="U2818" s="1063"/>
      <c r="V2818" s="1063"/>
      <c r="W2818" s="1063"/>
      <c r="X2818" s="1063"/>
      <c r="Y2818" s="1063"/>
      <c r="Z2818" s="1063"/>
      <c r="AA2818" s="1063"/>
      <c r="AB2818" s="1063"/>
      <c r="AC2818" s="1063"/>
      <c r="AD2818" s="1063"/>
      <c r="AE2818" s="1063"/>
      <c r="AF2818" s="1063"/>
      <c r="AG2818" s="1063"/>
      <c r="AH2818" s="1063"/>
      <c r="AI2818" s="1063"/>
      <c r="AJ2818" s="1063"/>
      <c r="AK2818" s="1063"/>
      <c r="AL2818" s="1063"/>
      <c r="AM2818" s="1063"/>
      <c r="AN2818" s="1063"/>
      <c r="AO2818" s="1063"/>
      <c r="AP2818" s="1063"/>
      <c r="AQ2818" s="1063"/>
      <c r="AR2818" s="1063"/>
      <c r="AS2818" s="1063"/>
      <c r="AT2818" s="1063"/>
      <c r="AU2818" s="1063"/>
      <c r="AV2818" s="1063"/>
    </row>
    <row r="2819" spans="1:48" s="1108" customFormat="1" ht="27.75" customHeight="1">
      <c r="A2819" s="1076"/>
      <c r="B2819" s="1074">
        <f>+'[18]Bldg+Dev'!S3631</f>
        <v>0</v>
      </c>
      <c r="D2819" s="1063"/>
      <c r="F2819" s="1076"/>
      <c r="G2819" s="1063"/>
      <c r="H2819" s="1063"/>
      <c r="I2819" s="1063"/>
      <c r="J2819" s="1063"/>
      <c r="K2819" s="1063"/>
      <c r="L2819" s="1063"/>
      <c r="M2819" s="1063"/>
      <c r="N2819" s="1063"/>
      <c r="O2819" s="1063"/>
      <c r="P2819" s="1063"/>
      <c r="Q2819" s="1063"/>
      <c r="R2819" s="1063"/>
      <c r="S2819" s="1063"/>
      <c r="T2819" s="1063"/>
      <c r="U2819" s="1063"/>
      <c r="V2819" s="1063"/>
      <c r="W2819" s="1063"/>
      <c r="X2819" s="1063"/>
      <c r="Y2819" s="1063"/>
      <c r="Z2819" s="1063"/>
      <c r="AA2819" s="1063"/>
      <c r="AB2819" s="1063"/>
      <c r="AC2819" s="1063"/>
      <c r="AD2819" s="1063"/>
      <c r="AE2819" s="1063"/>
      <c r="AF2819" s="1063"/>
      <c r="AG2819" s="1063"/>
      <c r="AH2819" s="1063"/>
      <c r="AI2819" s="1063"/>
      <c r="AJ2819" s="1063"/>
      <c r="AK2819" s="1063"/>
      <c r="AL2819" s="1063"/>
      <c r="AM2819" s="1063"/>
      <c r="AN2819" s="1063"/>
      <c r="AO2819" s="1063"/>
      <c r="AP2819" s="1063"/>
      <c r="AQ2819" s="1063"/>
      <c r="AR2819" s="1063"/>
      <c r="AS2819" s="1063"/>
      <c r="AT2819" s="1063"/>
      <c r="AU2819" s="1063"/>
      <c r="AV2819" s="1063"/>
    </row>
    <row r="2820" spans="1:48" s="1108" customFormat="1" ht="27.75" customHeight="1">
      <c r="A2820" s="1076"/>
      <c r="B2820" s="1074">
        <f>+'[18]Bldg+Dev'!S3632</f>
        <v>0</v>
      </c>
      <c r="D2820" s="1063"/>
      <c r="F2820" s="1076"/>
      <c r="G2820" s="1063"/>
      <c r="H2820" s="1063"/>
      <c r="I2820" s="1063"/>
      <c r="J2820" s="1063"/>
      <c r="K2820" s="1063"/>
      <c r="L2820" s="1063"/>
      <c r="M2820" s="1063"/>
      <c r="N2820" s="1063"/>
      <c r="O2820" s="1063"/>
      <c r="P2820" s="1063"/>
      <c r="Q2820" s="1063"/>
      <c r="R2820" s="1063"/>
      <c r="S2820" s="1063"/>
      <c r="T2820" s="1063"/>
      <c r="U2820" s="1063"/>
      <c r="V2820" s="1063"/>
      <c r="W2820" s="1063"/>
      <c r="X2820" s="1063"/>
      <c r="Y2820" s="1063"/>
      <c r="Z2820" s="1063"/>
      <c r="AA2820" s="1063"/>
      <c r="AB2820" s="1063"/>
      <c r="AC2820" s="1063"/>
      <c r="AD2820" s="1063"/>
      <c r="AE2820" s="1063"/>
      <c r="AF2820" s="1063"/>
      <c r="AG2820" s="1063"/>
      <c r="AH2820" s="1063"/>
      <c r="AI2820" s="1063"/>
      <c r="AJ2820" s="1063"/>
      <c r="AK2820" s="1063"/>
      <c r="AL2820" s="1063"/>
      <c r="AM2820" s="1063"/>
      <c r="AN2820" s="1063"/>
      <c r="AO2820" s="1063"/>
      <c r="AP2820" s="1063"/>
      <c r="AQ2820" s="1063"/>
      <c r="AR2820" s="1063"/>
      <c r="AS2820" s="1063"/>
      <c r="AT2820" s="1063"/>
      <c r="AU2820" s="1063"/>
      <c r="AV2820" s="1063"/>
    </row>
    <row r="2821" spans="1:48" s="1108" customFormat="1" ht="27.75" customHeight="1">
      <c r="A2821" s="1076"/>
      <c r="B2821" s="1074">
        <f>+'[18]Bldg+Dev'!S3633</f>
        <v>0</v>
      </c>
      <c r="D2821" s="1063"/>
      <c r="F2821" s="1076"/>
      <c r="G2821" s="1063"/>
      <c r="H2821" s="1063"/>
      <c r="I2821" s="1063"/>
      <c r="J2821" s="1063"/>
      <c r="K2821" s="1063"/>
      <c r="L2821" s="1063"/>
      <c r="M2821" s="1063"/>
      <c r="N2821" s="1063"/>
      <c r="O2821" s="1063"/>
      <c r="P2821" s="1063"/>
      <c r="Q2821" s="1063"/>
      <c r="R2821" s="1063"/>
      <c r="S2821" s="1063"/>
      <c r="T2821" s="1063"/>
      <c r="U2821" s="1063"/>
      <c r="V2821" s="1063"/>
      <c r="W2821" s="1063"/>
      <c r="X2821" s="1063"/>
      <c r="Y2821" s="1063"/>
      <c r="Z2821" s="1063"/>
      <c r="AA2821" s="1063"/>
      <c r="AB2821" s="1063"/>
      <c r="AC2821" s="1063"/>
      <c r="AD2821" s="1063"/>
      <c r="AE2821" s="1063"/>
      <c r="AF2821" s="1063"/>
      <c r="AG2821" s="1063"/>
      <c r="AH2821" s="1063"/>
      <c r="AI2821" s="1063"/>
      <c r="AJ2821" s="1063"/>
      <c r="AK2821" s="1063"/>
      <c r="AL2821" s="1063"/>
      <c r="AM2821" s="1063"/>
      <c r="AN2821" s="1063"/>
      <c r="AO2821" s="1063"/>
      <c r="AP2821" s="1063"/>
      <c r="AQ2821" s="1063"/>
      <c r="AR2821" s="1063"/>
      <c r="AS2821" s="1063"/>
      <c r="AT2821" s="1063"/>
      <c r="AU2821" s="1063"/>
      <c r="AV2821" s="1063"/>
    </row>
    <row r="2822" spans="1:48" s="1108" customFormat="1" ht="27.75" customHeight="1">
      <c r="A2822" s="1076"/>
      <c r="B2822" s="1074">
        <f>+'[18]Bldg+Dev'!S3634</f>
        <v>0</v>
      </c>
      <c r="D2822" s="1063"/>
      <c r="F2822" s="1076"/>
      <c r="G2822" s="1063"/>
      <c r="H2822" s="1063"/>
      <c r="I2822" s="1063"/>
      <c r="J2822" s="1063"/>
      <c r="K2822" s="1063"/>
      <c r="L2822" s="1063"/>
      <c r="M2822" s="1063"/>
      <c r="N2822" s="1063"/>
      <c r="O2822" s="1063"/>
      <c r="P2822" s="1063"/>
      <c r="Q2822" s="1063"/>
      <c r="R2822" s="1063"/>
      <c r="S2822" s="1063"/>
      <c r="T2822" s="1063"/>
      <c r="U2822" s="1063"/>
      <c r="V2822" s="1063"/>
      <c r="W2822" s="1063"/>
      <c r="X2822" s="1063"/>
      <c r="Y2822" s="1063"/>
      <c r="Z2822" s="1063"/>
      <c r="AA2822" s="1063"/>
      <c r="AB2822" s="1063"/>
      <c r="AC2822" s="1063"/>
      <c r="AD2822" s="1063"/>
      <c r="AE2822" s="1063"/>
      <c r="AF2822" s="1063"/>
      <c r="AG2822" s="1063"/>
      <c r="AH2822" s="1063"/>
      <c r="AI2822" s="1063"/>
      <c r="AJ2822" s="1063"/>
      <c r="AK2822" s="1063"/>
      <c r="AL2822" s="1063"/>
      <c r="AM2822" s="1063"/>
      <c r="AN2822" s="1063"/>
      <c r="AO2822" s="1063"/>
      <c r="AP2822" s="1063"/>
      <c r="AQ2822" s="1063"/>
      <c r="AR2822" s="1063"/>
      <c r="AS2822" s="1063"/>
      <c r="AT2822" s="1063"/>
      <c r="AU2822" s="1063"/>
      <c r="AV2822" s="1063"/>
    </row>
    <row r="2823" spans="1:48" s="1108" customFormat="1" ht="27.75" customHeight="1">
      <c r="A2823" s="1076"/>
      <c r="B2823" s="1074">
        <f>+'[18]Bldg+Dev'!S3635</f>
        <v>0</v>
      </c>
      <c r="D2823" s="1063"/>
      <c r="F2823" s="1076"/>
      <c r="G2823" s="1063"/>
      <c r="H2823" s="1063"/>
      <c r="I2823" s="1063"/>
      <c r="J2823" s="1063"/>
      <c r="K2823" s="1063"/>
      <c r="L2823" s="1063"/>
      <c r="M2823" s="1063"/>
      <c r="N2823" s="1063"/>
      <c r="O2823" s="1063"/>
      <c r="P2823" s="1063"/>
      <c r="Q2823" s="1063"/>
      <c r="R2823" s="1063"/>
      <c r="S2823" s="1063"/>
      <c r="T2823" s="1063"/>
      <c r="U2823" s="1063"/>
      <c r="V2823" s="1063"/>
      <c r="W2823" s="1063"/>
      <c r="X2823" s="1063"/>
      <c r="Y2823" s="1063"/>
      <c r="Z2823" s="1063"/>
      <c r="AA2823" s="1063"/>
      <c r="AB2823" s="1063"/>
      <c r="AC2823" s="1063"/>
      <c r="AD2823" s="1063"/>
      <c r="AE2823" s="1063"/>
      <c r="AF2823" s="1063"/>
      <c r="AG2823" s="1063"/>
      <c r="AH2823" s="1063"/>
      <c r="AI2823" s="1063"/>
      <c r="AJ2823" s="1063"/>
      <c r="AK2823" s="1063"/>
      <c r="AL2823" s="1063"/>
      <c r="AM2823" s="1063"/>
      <c r="AN2823" s="1063"/>
      <c r="AO2823" s="1063"/>
      <c r="AP2823" s="1063"/>
      <c r="AQ2823" s="1063"/>
      <c r="AR2823" s="1063"/>
      <c r="AS2823" s="1063"/>
      <c r="AT2823" s="1063"/>
      <c r="AU2823" s="1063"/>
      <c r="AV2823" s="1063"/>
    </row>
    <row r="2824" spans="1:48" s="1108" customFormat="1" ht="27.75" customHeight="1">
      <c r="A2824" s="1076"/>
      <c r="B2824" s="1074">
        <f>+'[18]Bldg+Dev'!S3636</f>
        <v>0</v>
      </c>
      <c r="D2824" s="1063"/>
      <c r="F2824" s="1076"/>
      <c r="G2824" s="1063"/>
      <c r="H2824" s="1063"/>
      <c r="I2824" s="1063"/>
      <c r="J2824" s="1063"/>
      <c r="K2824" s="1063"/>
      <c r="L2824" s="1063"/>
      <c r="M2824" s="1063"/>
      <c r="N2824" s="1063"/>
      <c r="O2824" s="1063"/>
      <c r="P2824" s="1063"/>
      <c r="Q2824" s="1063"/>
      <c r="R2824" s="1063"/>
      <c r="S2824" s="1063"/>
      <c r="T2824" s="1063"/>
      <c r="U2824" s="1063"/>
      <c r="V2824" s="1063"/>
      <c r="W2824" s="1063"/>
      <c r="X2824" s="1063"/>
      <c r="Y2824" s="1063"/>
      <c r="Z2824" s="1063"/>
      <c r="AA2824" s="1063"/>
      <c r="AB2824" s="1063"/>
      <c r="AC2824" s="1063"/>
      <c r="AD2824" s="1063"/>
      <c r="AE2824" s="1063"/>
      <c r="AF2824" s="1063"/>
      <c r="AG2824" s="1063"/>
      <c r="AH2824" s="1063"/>
      <c r="AI2824" s="1063"/>
      <c r="AJ2824" s="1063"/>
      <c r="AK2824" s="1063"/>
      <c r="AL2824" s="1063"/>
      <c r="AM2824" s="1063"/>
      <c r="AN2824" s="1063"/>
      <c r="AO2824" s="1063"/>
      <c r="AP2824" s="1063"/>
      <c r="AQ2824" s="1063"/>
      <c r="AR2824" s="1063"/>
      <c r="AS2824" s="1063"/>
      <c r="AT2824" s="1063"/>
      <c r="AU2824" s="1063"/>
      <c r="AV2824" s="1063"/>
    </row>
    <row r="2825" spans="1:48" s="1108" customFormat="1" ht="27.75" customHeight="1">
      <c r="A2825" s="1076"/>
      <c r="B2825" s="1074">
        <f>+'[18]Bldg+Dev'!S3637</f>
        <v>0</v>
      </c>
      <c r="D2825" s="1063"/>
      <c r="F2825" s="1076"/>
      <c r="G2825" s="1063"/>
      <c r="H2825" s="1063"/>
      <c r="I2825" s="1063"/>
      <c r="J2825" s="1063"/>
      <c r="K2825" s="1063"/>
      <c r="L2825" s="1063"/>
      <c r="M2825" s="1063"/>
      <c r="N2825" s="1063"/>
      <c r="O2825" s="1063"/>
      <c r="P2825" s="1063"/>
      <c r="Q2825" s="1063"/>
      <c r="R2825" s="1063"/>
      <c r="S2825" s="1063"/>
      <c r="T2825" s="1063"/>
      <c r="U2825" s="1063"/>
      <c r="V2825" s="1063"/>
      <c r="W2825" s="1063"/>
      <c r="X2825" s="1063"/>
      <c r="Y2825" s="1063"/>
      <c r="Z2825" s="1063"/>
      <c r="AA2825" s="1063"/>
      <c r="AB2825" s="1063"/>
      <c r="AC2825" s="1063"/>
      <c r="AD2825" s="1063"/>
      <c r="AE2825" s="1063"/>
      <c r="AF2825" s="1063"/>
      <c r="AG2825" s="1063"/>
      <c r="AH2825" s="1063"/>
      <c r="AI2825" s="1063"/>
      <c r="AJ2825" s="1063"/>
      <c r="AK2825" s="1063"/>
      <c r="AL2825" s="1063"/>
      <c r="AM2825" s="1063"/>
      <c r="AN2825" s="1063"/>
      <c r="AO2825" s="1063"/>
      <c r="AP2825" s="1063"/>
      <c r="AQ2825" s="1063"/>
      <c r="AR2825" s="1063"/>
      <c r="AS2825" s="1063"/>
      <c r="AT2825" s="1063"/>
      <c r="AU2825" s="1063"/>
      <c r="AV2825" s="1063"/>
    </row>
    <row r="2826" spans="1:48" s="1108" customFormat="1" ht="27.75" customHeight="1">
      <c r="A2826" s="1076"/>
      <c r="B2826" s="1074">
        <f>+'[18]Bldg+Dev'!S3638</f>
        <v>0</v>
      </c>
      <c r="D2826" s="1063"/>
      <c r="F2826" s="1076"/>
      <c r="G2826" s="1063"/>
      <c r="H2826" s="1063"/>
      <c r="I2826" s="1063"/>
      <c r="J2826" s="1063"/>
      <c r="K2826" s="1063"/>
      <c r="L2826" s="1063"/>
      <c r="M2826" s="1063"/>
      <c r="N2826" s="1063"/>
      <c r="O2826" s="1063"/>
      <c r="P2826" s="1063"/>
      <c r="Q2826" s="1063"/>
      <c r="R2826" s="1063"/>
      <c r="S2826" s="1063"/>
      <c r="T2826" s="1063"/>
      <c r="U2826" s="1063"/>
      <c r="V2826" s="1063"/>
      <c r="W2826" s="1063"/>
      <c r="X2826" s="1063"/>
      <c r="Y2826" s="1063"/>
      <c r="Z2826" s="1063"/>
      <c r="AA2826" s="1063"/>
      <c r="AB2826" s="1063"/>
      <c r="AC2826" s="1063"/>
      <c r="AD2826" s="1063"/>
      <c r="AE2826" s="1063"/>
      <c r="AF2826" s="1063"/>
      <c r="AG2826" s="1063"/>
      <c r="AH2826" s="1063"/>
      <c r="AI2826" s="1063"/>
      <c r="AJ2826" s="1063"/>
      <c r="AK2826" s="1063"/>
      <c r="AL2826" s="1063"/>
      <c r="AM2826" s="1063"/>
      <c r="AN2826" s="1063"/>
      <c r="AO2826" s="1063"/>
      <c r="AP2826" s="1063"/>
      <c r="AQ2826" s="1063"/>
      <c r="AR2826" s="1063"/>
      <c r="AS2826" s="1063"/>
      <c r="AT2826" s="1063"/>
      <c r="AU2826" s="1063"/>
      <c r="AV2826" s="1063"/>
    </row>
    <row r="2827" spans="1:48" s="1108" customFormat="1" ht="27.75" customHeight="1">
      <c r="A2827" s="1076"/>
      <c r="B2827" s="1074">
        <f>+'[18]Bldg+Dev'!S3639</f>
        <v>0</v>
      </c>
      <c r="D2827" s="1063"/>
      <c r="F2827" s="1076"/>
      <c r="G2827" s="1063"/>
      <c r="H2827" s="1063"/>
      <c r="I2827" s="1063"/>
      <c r="J2827" s="1063"/>
      <c r="K2827" s="1063"/>
      <c r="L2827" s="1063"/>
      <c r="M2827" s="1063"/>
      <c r="N2827" s="1063"/>
      <c r="O2827" s="1063"/>
      <c r="P2827" s="1063"/>
      <c r="Q2827" s="1063"/>
      <c r="R2827" s="1063"/>
      <c r="S2827" s="1063"/>
      <c r="T2827" s="1063"/>
      <c r="U2827" s="1063"/>
      <c r="V2827" s="1063"/>
      <c r="W2827" s="1063"/>
      <c r="X2827" s="1063"/>
      <c r="Y2827" s="1063"/>
      <c r="Z2827" s="1063"/>
      <c r="AA2827" s="1063"/>
      <c r="AB2827" s="1063"/>
      <c r="AC2827" s="1063"/>
      <c r="AD2827" s="1063"/>
      <c r="AE2827" s="1063"/>
      <c r="AF2827" s="1063"/>
      <c r="AG2827" s="1063"/>
      <c r="AH2827" s="1063"/>
      <c r="AI2827" s="1063"/>
      <c r="AJ2827" s="1063"/>
      <c r="AK2827" s="1063"/>
      <c r="AL2827" s="1063"/>
      <c r="AM2827" s="1063"/>
      <c r="AN2827" s="1063"/>
      <c r="AO2827" s="1063"/>
      <c r="AP2827" s="1063"/>
      <c r="AQ2827" s="1063"/>
      <c r="AR2827" s="1063"/>
      <c r="AS2827" s="1063"/>
      <c r="AT2827" s="1063"/>
      <c r="AU2827" s="1063"/>
      <c r="AV2827" s="1063"/>
    </row>
    <row r="2828" spans="1:48" s="1108" customFormat="1" ht="27.75" customHeight="1">
      <c r="A2828" s="1076"/>
      <c r="B2828" s="1074">
        <f>+'[18]Bldg+Dev'!S3640</f>
        <v>0</v>
      </c>
      <c r="D2828" s="1063"/>
      <c r="F2828" s="1076"/>
      <c r="G2828" s="1063"/>
      <c r="H2828" s="1063"/>
      <c r="I2828" s="1063"/>
      <c r="J2828" s="1063"/>
      <c r="K2828" s="1063"/>
      <c r="L2828" s="1063"/>
      <c r="M2828" s="1063"/>
      <c r="N2828" s="1063"/>
      <c r="O2828" s="1063"/>
      <c r="P2828" s="1063"/>
      <c r="Q2828" s="1063"/>
      <c r="R2828" s="1063"/>
      <c r="S2828" s="1063"/>
      <c r="T2828" s="1063"/>
      <c r="U2828" s="1063"/>
      <c r="V2828" s="1063"/>
      <c r="W2828" s="1063"/>
      <c r="X2828" s="1063"/>
      <c r="Y2828" s="1063"/>
      <c r="Z2828" s="1063"/>
      <c r="AA2828" s="1063"/>
      <c r="AB2828" s="1063"/>
      <c r="AC2828" s="1063"/>
      <c r="AD2828" s="1063"/>
      <c r="AE2828" s="1063"/>
      <c r="AF2828" s="1063"/>
      <c r="AG2828" s="1063"/>
      <c r="AH2828" s="1063"/>
      <c r="AI2828" s="1063"/>
      <c r="AJ2828" s="1063"/>
      <c r="AK2828" s="1063"/>
      <c r="AL2828" s="1063"/>
      <c r="AM2828" s="1063"/>
      <c r="AN2828" s="1063"/>
      <c r="AO2828" s="1063"/>
      <c r="AP2828" s="1063"/>
      <c r="AQ2828" s="1063"/>
      <c r="AR2828" s="1063"/>
      <c r="AS2828" s="1063"/>
      <c r="AT2828" s="1063"/>
      <c r="AU2828" s="1063"/>
      <c r="AV2828" s="1063"/>
    </row>
    <row r="2829" spans="1:48" s="1108" customFormat="1" ht="27.75" customHeight="1">
      <c r="A2829" s="1076"/>
      <c r="B2829" s="1074">
        <f>+'[18]Bldg+Dev'!S3641</f>
        <v>0</v>
      </c>
      <c r="D2829" s="1063"/>
      <c r="F2829" s="1076"/>
      <c r="G2829" s="1063"/>
      <c r="H2829" s="1063"/>
      <c r="I2829" s="1063"/>
      <c r="J2829" s="1063"/>
      <c r="K2829" s="1063"/>
      <c r="L2829" s="1063"/>
      <c r="M2829" s="1063"/>
      <c r="N2829" s="1063"/>
      <c r="O2829" s="1063"/>
      <c r="P2829" s="1063"/>
      <c r="Q2829" s="1063"/>
      <c r="R2829" s="1063"/>
      <c r="S2829" s="1063"/>
      <c r="T2829" s="1063"/>
      <c r="U2829" s="1063"/>
      <c r="V2829" s="1063"/>
      <c r="W2829" s="1063"/>
      <c r="X2829" s="1063"/>
      <c r="Y2829" s="1063"/>
      <c r="Z2829" s="1063"/>
      <c r="AA2829" s="1063"/>
      <c r="AB2829" s="1063"/>
      <c r="AC2829" s="1063"/>
      <c r="AD2829" s="1063"/>
      <c r="AE2829" s="1063"/>
      <c r="AF2829" s="1063"/>
      <c r="AG2829" s="1063"/>
      <c r="AH2829" s="1063"/>
      <c r="AI2829" s="1063"/>
      <c r="AJ2829" s="1063"/>
      <c r="AK2829" s="1063"/>
      <c r="AL2829" s="1063"/>
      <c r="AM2829" s="1063"/>
      <c r="AN2829" s="1063"/>
      <c r="AO2829" s="1063"/>
      <c r="AP2829" s="1063"/>
      <c r="AQ2829" s="1063"/>
      <c r="AR2829" s="1063"/>
      <c r="AS2829" s="1063"/>
      <c r="AT2829" s="1063"/>
      <c r="AU2829" s="1063"/>
      <c r="AV2829" s="1063"/>
    </row>
    <row r="2830" spans="1:48" s="1108" customFormat="1" ht="27.75" customHeight="1">
      <c r="A2830" s="1076"/>
      <c r="B2830" s="1074">
        <f>+'[18]Bldg+Dev'!S3642</f>
        <v>0</v>
      </c>
      <c r="D2830" s="1063"/>
      <c r="F2830" s="1076"/>
      <c r="G2830" s="1063"/>
      <c r="H2830" s="1063"/>
      <c r="I2830" s="1063"/>
      <c r="J2830" s="1063"/>
      <c r="K2830" s="1063"/>
      <c r="L2830" s="1063"/>
      <c r="M2830" s="1063"/>
      <c r="N2830" s="1063"/>
      <c r="O2830" s="1063"/>
      <c r="P2830" s="1063"/>
      <c r="Q2830" s="1063"/>
      <c r="R2830" s="1063"/>
      <c r="S2830" s="1063"/>
      <c r="T2830" s="1063"/>
      <c r="U2830" s="1063"/>
      <c r="V2830" s="1063"/>
      <c r="W2830" s="1063"/>
      <c r="X2830" s="1063"/>
      <c r="Y2830" s="1063"/>
      <c r="Z2830" s="1063"/>
      <c r="AA2830" s="1063"/>
      <c r="AB2830" s="1063"/>
      <c r="AC2830" s="1063"/>
      <c r="AD2830" s="1063"/>
      <c r="AE2830" s="1063"/>
      <c r="AF2830" s="1063"/>
      <c r="AG2830" s="1063"/>
      <c r="AH2830" s="1063"/>
      <c r="AI2830" s="1063"/>
      <c r="AJ2830" s="1063"/>
      <c r="AK2830" s="1063"/>
      <c r="AL2830" s="1063"/>
      <c r="AM2830" s="1063"/>
      <c r="AN2830" s="1063"/>
      <c r="AO2830" s="1063"/>
      <c r="AP2830" s="1063"/>
      <c r="AQ2830" s="1063"/>
      <c r="AR2830" s="1063"/>
      <c r="AS2830" s="1063"/>
      <c r="AT2830" s="1063"/>
      <c r="AU2830" s="1063"/>
      <c r="AV2830" s="1063"/>
    </row>
    <row r="2831" spans="1:48" s="1108" customFormat="1" ht="27.75" customHeight="1">
      <c r="A2831" s="1076"/>
      <c r="B2831" s="1074">
        <f>+'[18]Bldg+Dev'!S3643</f>
        <v>0</v>
      </c>
      <c r="D2831" s="1063"/>
      <c r="F2831" s="1076"/>
      <c r="G2831" s="1063"/>
      <c r="H2831" s="1063"/>
      <c r="I2831" s="1063"/>
      <c r="J2831" s="1063"/>
      <c r="K2831" s="1063"/>
      <c r="L2831" s="1063"/>
      <c r="M2831" s="1063"/>
      <c r="N2831" s="1063"/>
      <c r="O2831" s="1063"/>
      <c r="P2831" s="1063"/>
      <c r="Q2831" s="1063"/>
      <c r="R2831" s="1063"/>
      <c r="S2831" s="1063"/>
      <c r="T2831" s="1063"/>
      <c r="U2831" s="1063"/>
      <c r="V2831" s="1063"/>
      <c r="W2831" s="1063"/>
      <c r="X2831" s="1063"/>
      <c r="Y2831" s="1063"/>
      <c r="Z2831" s="1063"/>
      <c r="AA2831" s="1063"/>
      <c r="AB2831" s="1063"/>
      <c r="AC2831" s="1063"/>
      <c r="AD2831" s="1063"/>
      <c r="AE2831" s="1063"/>
      <c r="AF2831" s="1063"/>
      <c r="AG2831" s="1063"/>
      <c r="AH2831" s="1063"/>
      <c r="AI2831" s="1063"/>
      <c r="AJ2831" s="1063"/>
      <c r="AK2831" s="1063"/>
      <c r="AL2831" s="1063"/>
      <c r="AM2831" s="1063"/>
      <c r="AN2831" s="1063"/>
      <c r="AO2831" s="1063"/>
      <c r="AP2831" s="1063"/>
      <c r="AQ2831" s="1063"/>
      <c r="AR2831" s="1063"/>
      <c r="AS2831" s="1063"/>
      <c r="AT2831" s="1063"/>
      <c r="AU2831" s="1063"/>
      <c r="AV2831" s="1063"/>
    </row>
    <row r="2832" spans="1:48" s="1108" customFormat="1" ht="27.75" customHeight="1">
      <c r="A2832" s="1076"/>
      <c r="B2832" s="1074">
        <f>+'[18]Bldg+Dev'!S3644</f>
        <v>0</v>
      </c>
      <c r="D2832" s="1063"/>
      <c r="F2832" s="1076"/>
      <c r="G2832" s="1063"/>
      <c r="H2832" s="1063"/>
      <c r="I2832" s="1063"/>
      <c r="J2832" s="1063"/>
      <c r="K2832" s="1063"/>
      <c r="L2832" s="1063"/>
      <c r="M2832" s="1063"/>
      <c r="N2832" s="1063"/>
      <c r="O2832" s="1063"/>
      <c r="P2832" s="1063"/>
      <c r="Q2832" s="1063"/>
      <c r="R2832" s="1063"/>
      <c r="S2832" s="1063"/>
      <c r="T2832" s="1063"/>
      <c r="U2832" s="1063"/>
      <c r="V2832" s="1063"/>
      <c r="W2832" s="1063"/>
      <c r="X2832" s="1063"/>
      <c r="Y2832" s="1063"/>
      <c r="Z2832" s="1063"/>
      <c r="AA2832" s="1063"/>
      <c r="AB2832" s="1063"/>
      <c r="AC2832" s="1063"/>
      <c r="AD2832" s="1063"/>
      <c r="AE2832" s="1063"/>
      <c r="AF2832" s="1063"/>
      <c r="AG2832" s="1063"/>
      <c r="AH2832" s="1063"/>
      <c r="AI2832" s="1063"/>
      <c r="AJ2832" s="1063"/>
      <c r="AK2832" s="1063"/>
      <c r="AL2832" s="1063"/>
      <c r="AM2832" s="1063"/>
      <c r="AN2832" s="1063"/>
      <c r="AO2832" s="1063"/>
      <c r="AP2832" s="1063"/>
      <c r="AQ2832" s="1063"/>
      <c r="AR2832" s="1063"/>
      <c r="AS2832" s="1063"/>
      <c r="AT2832" s="1063"/>
      <c r="AU2832" s="1063"/>
      <c r="AV2832" s="1063"/>
    </row>
    <row r="2833" spans="1:48" s="1108" customFormat="1" ht="27.75" customHeight="1">
      <c r="A2833" s="1076"/>
      <c r="B2833" s="1074">
        <f>+'[18]Bldg+Dev'!S3645</f>
        <v>0</v>
      </c>
      <c r="D2833" s="1063"/>
      <c r="F2833" s="1076"/>
      <c r="G2833" s="1063"/>
      <c r="H2833" s="1063"/>
      <c r="I2833" s="1063"/>
      <c r="J2833" s="1063"/>
      <c r="K2833" s="1063"/>
      <c r="L2833" s="1063"/>
      <c r="M2833" s="1063"/>
      <c r="N2833" s="1063"/>
      <c r="O2833" s="1063"/>
      <c r="P2833" s="1063"/>
      <c r="Q2833" s="1063"/>
      <c r="R2833" s="1063"/>
      <c r="S2833" s="1063"/>
      <c r="T2833" s="1063"/>
      <c r="U2833" s="1063"/>
      <c r="V2833" s="1063"/>
      <c r="W2833" s="1063"/>
      <c r="X2833" s="1063"/>
      <c r="Y2833" s="1063"/>
      <c r="Z2833" s="1063"/>
      <c r="AA2833" s="1063"/>
      <c r="AB2833" s="1063"/>
      <c r="AC2833" s="1063"/>
      <c r="AD2833" s="1063"/>
      <c r="AE2833" s="1063"/>
      <c r="AF2833" s="1063"/>
      <c r="AG2833" s="1063"/>
      <c r="AH2833" s="1063"/>
      <c r="AI2833" s="1063"/>
      <c r="AJ2833" s="1063"/>
      <c r="AK2833" s="1063"/>
      <c r="AL2833" s="1063"/>
      <c r="AM2833" s="1063"/>
      <c r="AN2833" s="1063"/>
      <c r="AO2833" s="1063"/>
      <c r="AP2833" s="1063"/>
      <c r="AQ2833" s="1063"/>
      <c r="AR2833" s="1063"/>
      <c r="AS2833" s="1063"/>
      <c r="AT2833" s="1063"/>
      <c r="AU2833" s="1063"/>
      <c r="AV2833" s="1063"/>
    </row>
    <row r="2834" spans="1:48" s="1108" customFormat="1" ht="27.75" customHeight="1">
      <c r="A2834" s="1076"/>
      <c r="B2834" s="1074">
        <f>+'[18]Bldg+Dev'!S3646</f>
        <v>0</v>
      </c>
      <c r="D2834" s="1063"/>
      <c r="F2834" s="1076"/>
      <c r="G2834" s="1063"/>
      <c r="H2834" s="1063"/>
      <c r="I2834" s="1063"/>
      <c r="J2834" s="1063"/>
      <c r="K2834" s="1063"/>
      <c r="L2834" s="1063"/>
      <c r="M2834" s="1063"/>
      <c r="N2834" s="1063"/>
      <c r="O2834" s="1063"/>
      <c r="P2834" s="1063"/>
      <c r="Q2834" s="1063"/>
      <c r="R2834" s="1063"/>
      <c r="S2834" s="1063"/>
      <c r="T2834" s="1063"/>
      <c r="U2834" s="1063"/>
      <c r="V2834" s="1063"/>
      <c r="W2834" s="1063"/>
      <c r="X2834" s="1063"/>
      <c r="Y2834" s="1063"/>
      <c r="Z2834" s="1063"/>
      <c r="AA2834" s="1063"/>
      <c r="AB2834" s="1063"/>
      <c r="AC2834" s="1063"/>
      <c r="AD2834" s="1063"/>
      <c r="AE2834" s="1063"/>
      <c r="AF2834" s="1063"/>
      <c r="AG2834" s="1063"/>
      <c r="AH2834" s="1063"/>
      <c r="AI2834" s="1063"/>
      <c r="AJ2834" s="1063"/>
      <c r="AK2834" s="1063"/>
      <c r="AL2834" s="1063"/>
      <c r="AM2834" s="1063"/>
      <c r="AN2834" s="1063"/>
      <c r="AO2834" s="1063"/>
      <c r="AP2834" s="1063"/>
      <c r="AQ2834" s="1063"/>
      <c r="AR2834" s="1063"/>
      <c r="AS2834" s="1063"/>
      <c r="AT2834" s="1063"/>
      <c r="AU2834" s="1063"/>
      <c r="AV2834" s="1063"/>
    </row>
    <row r="2835" spans="1:48" s="1108" customFormat="1" ht="27.75" customHeight="1">
      <c r="A2835" s="1076"/>
      <c r="B2835" s="1074">
        <f>+'[18]Bldg+Dev'!S3647</f>
        <v>0</v>
      </c>
      <c r="D2835" s="1063"/>
      <c r="F2835" s="1076"/>
      <c r="G2835" s="1063"/>
      <c r="H2835" s="1063"/>
      <c r="I2835" s="1063"/>
      <c r="J2835" s="1063"/>
      <c r="K2835" s="1063"/>
      <c r="L2835" s="1063"/>
      <c r="M2835" s="1063"/>
      <c r="N2835" s="1063"/>
      <c r="O2835" s="1063"/>
      <c r="P2835" s="1063"/>
      <c r="Q2835" s="1063"/>
      <c r="R2835" s="1063"/>
      <c r="S2835" s="1063"/>
      <c r="T2835" s="1063"/>
      <c r="U2835" s="1063"/>
      <c r="V2835" s="1063"/>
      <c r="W2835" s="1063"/>
      <c r="X2835" s="1063"/>
      <c r="Y2835" s="1063"/>
      <c r="Z2835" s="1063"/>
      <c r="AA2835" s="1063"/>
      <c r="AB2835" s="1063"/>
      <c r="AC2835" s="1063"/>
      <c r="AD2835" s="1063"/>
      <c r="AE2835" s="1063"/>
      <c r="AF2835" s="1063"/>
      <c r="AG2835" s="1063"/>
      <c r="AH2835" s="1063"/>
      <c r="AI2835" s="1063"/>
      <c r="AJ2835" s="1063"/>
      <c r="AK2835" s="1063"/>
      <c r="AL2835" s="1063"/>
      <c r="AM2835" s="1063"/>
      <c r="AN2835" s="1063"/>
      <c r="AO2835" s="1063"/>
      <c r="AP2835" s="1063"/>
      <c r="AQ2835" s="1063"/>
      <c r="AR2835" s="1063"/>
      <c r="AS2835" s="1063"/>
      <c r="AT2835" s="1063"/>
      <c r="AU2835" s="1063"/>
      <c r="AV2835" s="1063"/>
    </row>
    <row r="2836" spans="1:48" s="1108" customFormat="1" ht="27.75" customHeight="1">
      <c r="A2836" s="1076"/>
      <c r="B2836" s="1074">
        <f>+'[18]Bldg+Dev'!S3648</f>
        <v>0</v>
      </c>
      <c r="D2836" s="1063"/>
      <c r="F2836" s="1076"/>
      <c r="G2836" s="1063"/>
      <c r="H2836" s="1063"/>
      <c r="I2836" s="1063"/>
      <c r="J2836" s="1063"/>
      <c r="K2836" s="1063"/>
      <c r="L2836" s="1063"/>
      <c r="M2836" s="1063"/>
      <c r="N2836" s="1063"/>
      <c r="O2836" s="1063"/>
      <c r="P2836" s="1063"/>
      <c r="Q2836" s="1063"/>
      <c r="R2836" s="1063"/>
      <c r="S2836" s="1063"/>
      <c r="T2836" s="1063"/>
      <c r="U2836" s="1063"/>
      <c r="V2836" s="1063"/>
      <c r="W2836" s="1063"/>
      <c r="X2836" s="1063"/>
      <c r="Y2836" s="1063"/>
      <c r="Z2836" s="1063"/>
      <c r="AA2836" s="1063"/>
      <c r="AB2836" s="1063"/>
      <c r="AC2836" s="1063"/>
      <c r="AD2836" s="1063"/>
      <c r="AE2836" s="1063"/>
      <c r="AF2836" s="1063"/>
      <c r="AG2836" s="1063"/>
      <c r="AH2836" s="1063"/>
      <c r="AI2836" s="1063"/>
      <c r="AJ2836" s="1063"/>
      <c r="AK2836" s="1063"/>
      <c r="AL2836" s="1063"/>
      <c r="AM2836" s="1063"/>
      <c r="AN2836" s="1063"/>
      <c r="AO2836" s="1063"/>
      <c r="AP2836" s="1063"/>
      <c r="AQ2836" s="1063"/>
      <c r="AR2836" s="1063"/>
      <c r="AS2836" s="1063"/>
      <c r="AT2836" s="1063"/>
      <c r="AU2836" s="1063"/>
      <c r="AV2836" s="1063"/>
    </row>
    <row r="2837" spans="1:48" s="1108" customFormat="1" ht="27.75" customHeight="1">
      <c r="A2837" s="1076"/>
      <c r="B2837" s="1074">
        <f>+'[18]Bldg+Dev'!S3649</f>
        <v>0</v>
      </c>
      <c r="D2837" s="1063"/>
      <c r="F2837" s="1076"/>
      <c r="G2837" s="1063"/>
      <c r="H2837" s="1063"/>
      <c r="I2837" s="1063"/>
      <c r="J2837" s="1063"/>
      <c r="K2837" s="1063"/>
      <c r="L2837" s="1063"/>
      <c r="M2837" s="1063"/>
      <c r="N2837" s="1063"/>
      <c r="O2837" s="1063"/>
      <c r="P2837" s="1063"/>
      <c r="Q2837" s="1063"/>
      <c r="R2837" s="1063"/>
      <c r="S2837" s="1063"/>
      <c r="T2837" s="1063"/>
      <c r="U2837" s="1063"/>
      <c r="V2837" s="1063"/>
      <c r="W2837" s="1063"/>
      <c r="X2837" s="1063"/>
      <c r="Y2837" s="1063"/>
      <c r="Z2837" s="1063"/>
      <c r="AA2837" s="1063"/>
      <c r="AB2837" s="1063"/>
      <c r="AC2837" s="1063"/>
      <c r="AD2837" s="1063"/>
      <c r="AE2837" s="1063"/>
      <c r="AF2837" s="1063"/>
      <c r="AG2837" s="1063"/>
      <c r="AH2837" s="1063"/>
      <c r="AI2837" s="1063"/>
      <c r="AJ2837" s="1063"/>
      <c r="AK2837" s="1063"/>
      <c r="AL2837" s="1063"/>
      <c r="AM2837" s="1063"/>
      <c r="AN2837" s="1063"/>
      <c r="AO2837" s="1063"/>
      <c r="AP2837" s="1063"/>
      <c r="AQ2837" s="1063"/>
      <c r="AR2837" s="1063"/>
      <c r="AS2837" s="1063"/>
      <c r="AT2837" s="1063"/>
      <c r="AU2837" s="1063"/>
      <c r="AV2837" s="1063"/>
    </row>
    <row r="2838" spans="1:48" s="1108" customFormat="1" ht="27.75" customHeight="1">
      <c r="A2838" s="1076"/>
      <c r="B2838" s="1074">
        <f>+'[18]Bldg+Dev'!S3650</f>
        <v>0</v>
      </c>
      <c r="D2838" s="1063"/>
      <c r="F2838" s="1076"/>
      <c r="G2838" s="1063"/>
      <c r="H2838" s="1063"/>
      <c r="I2838" s="1063"/>
      <c r="J2838" s="1063"/>
      <c r="K2838" s="1063"/>
      <c r="L2838" s="1063"/>
      <c r="M2838" s="1063"/>
      <c r="N2838" s="1063"/>
      <c r="O2838" s="1063"/>
      <c r="P2838" s="1063"/>
      <c r="Q2838" s="1063"/>
      <c r="R2838" s="1063"/>
      <c r="S2838" s="1063"/>
      <c r="T2838" s="1063"/>
      <c r="U2838" s="1063"/>
      <c r="V2838" s="1063"/>
      <c r="W2838" s="1063"/>
      <c r="X2838" s="1063"/>
      <c r="Y2838" s="1063"/>
      <c r="Z2838" s="1063"/>
      <c r="AA2838" s="1063"/>
      <c r="AB2838" s="1063"/>
      <c r="AC2838" s="1063"/>
      <c r="AD2838" s="1063"/>
      <c r="AE2838" s="1063"/>
      <c r="AF2838" s="1063"/>
      <c r="AG2838" s="1063"/>
      <c r="AH2838" s="1063"/>
      <c r="AI2838" s="1063"/>
      <c r="AJ2838" s="1063"/>
      <c r="AK2838" s="1063"/>
      <c r="AL2838" s="1063"/>
      <c r="AM2838" s="1063"/>
      <c r="AN2838" s="1063"/>
      <c r="AO2838" s="1063"/>
      <c r="AP2838" s="1063"/>
      <c r="AQ2838" s="1063"/>
      <c r="AR2838" s="1063"/>
      <c r="AS2838" s="1063"/>
      <c r="AT2838" s="1063"/>
      <c r="AU2838" s="1063"/>
      <c r="AV2838" s="1063"/>
    </row>
    <row r="2839" spans="1:48" s="1108" customFormat="1" ht="27.75" customHeight="1">
      <c r="A2839" s="1076"/>
      <c r="B2839" s="1074">
        <f>+'[18]Bldg+Dev'!S3651</f>
        <v>0</v>
      </c>
      <c r="D2839" s="1063"/>
      <c r="F2839" s="1076"/>
      <c r="G2839" s="1063"/>
      <c r="H2839" s="1063"/>
      <c r="I2839" s="1063"/>
      <c r="J2839" s="1063"/>
      <c r="K2839" s="1063"/>
      <c r="L2839" s="1063"/>
      <c r="M2839" s="1063"/>
      <c r="N2839" s="1063"/>
      <c r="O2839" s="1063"/>
      <c r="P2839" s="1063"/>
      <c r="Q2839" s="1063"/>
      <c r="R2839" s="1063"/>
      <c r="S2839" s="1063"/>
      <c r="T2839" s="1063"/>
      <c r="U2839" s="1063"/>
      <c r="V2839" s="1063"/>
      <c r="W2839" s="1063"/>
      <c r="X2839" s="1063"/>
      <c r="Y2839" s="1063"/>
      <c r="Z2839" s="1063"/>
      <c r="AA2839" s="1063"/>
      <c r="AB2839" s="1063"/>
      <c r="AC2839" s="1063"/>
      <c r="AD2839" s="1063"/>
      <c r="AE2839" s="1063"/>
      <c r="AF2839" s="1063"/>
      <c r="AG2839" s="1063"/>
      <c r="AH2839" s="1063"/>
      <c r="AI2839" s="1063"/>
      <c r="AJ2839" s="1063"/>
      <c r="AK2839" s="1063"/>
      <c r="AL2839" s="1063"/>
      <c r="AM2839" s="1063"/>
      <c r="AN2839" s="1063"/>
      <c r="AO2839" s="1063"/>
      <c r="AP2839" s="1063"/>
      <c r="AQ2839" s="1063"/>
      <c r="AR2839" s="1063"/>
      <c r="AS2839" s="1063"/>
      <c r="AT2839" s="1063"/>
      <c r="AU2839" s="1063"/>
      <c r="AV2839" s="1063"/>
    </row>
    <row r="2840" spans="1:48" s="1108" customFormat="1" ht="27.75" customHeight="1">
      <c r="A2840" s="1076"/>
      <c r="B2840" s="1074">
        <f>+'[18]Bldg+Dev'!S3652</f>
        <v>0</v>
      </c>
      <c r="D2840" s="1063"/>
      <c r="F2840" s="1076"/>
      <c r="G2840" s="1063"/>
      <c r="H2840" s="1063"/>
      <c r="I2840" s="1063"/>
      <c r="J2840" s="1063"/>
      <c r="K2840" s="1063"/>
      <c r="L2840" s="1063"/>
      <c r="M2840" s="1063"/>
      <c r="N2840" s="1063"/>
      <c r="O2840" s="1063"/>
      <c r="P2840" s="1063"/>
      <c r="Q2840" s="1063"/>
      <c r="R2840" s="1063"/>
      <c r="S2840" s="1063"/>
      <c r="T2840" s="1063"/>
      <c r="U2840" s="1063"/>
      <c r="V2840" s="1063"/>
      <c r="W2840" s="1063"/>
      <c r="X2840" s="1063"/>
      <c r="Y2840" s="1063"/>
      <c r="Z2840" s="1063"/>
      <c r="AA2840" s="1063"/>
      <c r="AB2840" s="1063"/>
      <c r="AC2840" s="1063"/>
      <c r="AD2840" s="1063"/>
      <c r="AE2840" s="1063"/>
      <c r="AF2840" s="1063"/>
      <c r="AG2840" s="1063"/>
      <c r="AH2840" s="1063"/>
      <c r="AI2840" s="1063"/>
      <c r="AJ2840" s="1063"/>
      <c r="AK2840" s="1063"/>
      <c r="AL2840" s="1063"/>
      <c r="AM2840" s="1063"/>
      <c r="AN2840" s="1063"/>
      <c r="AO2840" s="1063"/>
      <c r="AP2840" s="1063"/>
      <c r="AQ2840" s="1063"/>
      <c r="AR2840" s="1063"/>
      <c r="AS2840" s="1063"/>
      <c r="AT2840" s="1063"/>
      <c r="AU2840" s="1063"/>
      <c r="AV2840" s="1063"/>
    </row>
    <row r="2841" spans="1:48" s="1108" customFormat="1" ht="27.75" customHeight="1">
      <c r="A2841" s="1076"/>
      <c r="B2841" s="1074">
        <f>+'[18]Bldg+Dev'!S3653</f>
        <v>0</v>
      </c>
      <c r="D2841" s="1063"/>
      <c r="F2841" s="1076"/>
      <c r="G2841" s="1063"/>
      <c r="H2841" s="1063"/>
      <c r="I2841" s="1063"/>
      <c r="J2841" s="1063"/>
      <c r="K2841" s="1063"/>
      <c r="L2841" s="1063"/>
      <c r="M2841" s="1063"/>
      <c r="N2841" s="1063"/>
      <c r="O2841" s="1063"/>
      <c r="P2841" s="1063"/>
      <c r="Q2841" s="1063"/>
      <c r="R2841" s="1063"/>
      <c r="S2841" s="1063"/>
      <c r="T2841" s="1063"/>
      <c r="U2841" s="1063"/>
      <c r="V2841" s="1063"/>
      <c r="W2841" s="1063"/>
      <c r="X2841" s="1063"/>
      <c r="Y2841" s="1063"/>
      <c r="Z2841" s="1063"/>
      <c r="AA2841" s="1063"/>
      <c r="AB2841" s="1063"/>
      <c r="AC2841" s="1063"/>
      <c r="AD2841" s="1063"/>
      <c r="AE2841" s="1063"/>
      <c r="AF2841" s="1063"/>
      <c r="AG2841" s="1063"/>
      <c r="AH2841" s="1063"/>
      <c r="AI2841" s="1063"/>
      <c r="AJ2841" s="1063"/>
      <c r="AK2841" s="1063"/>
      <c r="AL2841" s="1063"/>
      <c r="AM2841" s="1063"/>
      <c r="AN2841" s="1063"/>
      <c r="AO2841" s="1063"/>
      <c r="AP2841" s="1063"/>
      <c r="AQ2841" s="1063"/>
      <c r="AR2841" s="1063"/>
      <c r="AS2841" s="1063"/>
      <c r="AT2841" s="1063"/>
      <c r="AU2841" s="1063"/>
      <c r="AV2841" s="1063"/>
    </row>
    <row r="2842" spans="1:48" s="1108" customFormat="1" ht="27.75" customHeight="1">
      <c r="A2842" s="1076"/>
      <c r="B2842" s="1074">
        <f>+'[18]Bldg+Dev'!S3654</f>
        <v>0</v>
      </c>
      <c r="D2842" s="1063"/>
      <c r="F2842" s="1076"/>
      <c r="G2842" s="1063"/>
      <c r="H2842" s="1063"/>
      <c r="I2842" s="1063"/>
      <c r="J2842" s="1063"/>
      <c r="K2842" s="1063"/>
      <c r="L2842" s="1063"/>
      <c r="M2842" s="1063"/>
      <c r="N2842" s="1063"/>
      <c r="O2842" s="1063"/>
      <c r="P2842" s="1063"/>
      <c r="Q2842" s="1063"/>
      <c r="R2842" s="1063"/>
      <c r="S2842" s="1063"/>
      <c r="T2842" s="1063"/>
      <c r="U2842" s="1063"/>
      <c r="V2842" s="1063"/>
      <c r="W2842" s="1063"/>
      <c r="X2842" s="1063"/>
      <c r="Y2842" s="1063"/>
      <c r="Z2842" s="1063"/>
      <c r="AA2842" s="1063"/>
      <c r="AB2842" s="1063"/>
      <c r="AC2842" s="1063"/>
      <c r="AD2842" s="1063"/>
      <c r="AE2842" s="1063"/>
      <c r="AF2842" s="1063"/>
      <c r="AG2842" s="1063"/>
      <c r="AH2842" s="1063"/>
      <c r="AI2842" s="1063"/>
      <c r="AJ2842" s="1063"/>
      <c r="AK2842" s="1063"/>
      <c r="AL2842" s="1063"/>
      <c r="AM2842" s="1063"/>
      <c r="AN2842" s="1063"/>
      <c r="AO2842" s="1063"/>
      <c r="AP2842" s="1063"/>
      <c r="AQ2842" s="1063"/>
      <c r="AR2842" s="1063"/>
      <c r="AS2842" s="1063"/>
      <c r="AT2842" s="1063"/>
      <c r="AU2842" s="1063"/>
      <c r="AV2842" s="1063"/>
    </row>
    <row r="2843" spans="1:48" s="1108" customFormat="1" ht="27.75" customHeight="1">
      <c r="A2843" s="1076"/>
      <c r="B2843" s="1074">
        <f>+'[18]Bldg+Dev'!S3655</f>
        <v>0</v>
      </c>
      <c r="D2843" s="1063"/>
      <c r="F2843" s="1076"/>
      <c r="G2843" s="1063"/>
      <c r="H2843" s="1063"/>
      <c r="I2843" s="1063"/>
      <c r="J2843" s="1063"/>
      <c r="K2843" s="1063"/>
      <c r="L2843" s="1063"/>
      <c r="M2843" s="1063"/>
      <c r="N2843" s="1063"/>
      <c r="O2843" s="1063"/>
      <c r="P2843" s="1063"/>
      <c r="Q2843" s="1063"/>
      <c r="R2843" s="1063"/>
      <c r="S2843" s="1063"/>
      <c r="T2843" s="1063"/>
      <c r="U2843" s="1063"/>
      <c r="V2843" s="1063"/>
      <c r="W2843" s="1063"/>
      <c r="X2843" s="1063"/>
      <c r="Y2843" s="1063"/>
      <c r="Z2843" s="1063"/>
      <c r="AA2843" s="1063"/>
      <c r="AB2843" s="1063"/>
      <c r="AC2843" s="1063"/>
      <c r="AD2843" s="1063"/>
      <c r="AE2843" s="1063"/>
      <c r="AF2843" s="1063"/>
      <c r="AG2843" s="1063"/>
      <c r="AH2843" s="1063"/>
      <c r="AI2843" s="1063"/>
      <c r="AJ2843" s="1063"/>
      <c r="AK2843" s="1063"/>
      <c r="AL2843" s="1063"/>
      <c r="AM2843" s="1063"/>
      <c r="AN2843" s="1063"/>
      <c r="AO2843" s="1063"/>
      <c r="AP2843" s="1063"/>
      <c r="AQ2843" s="1063"/>
      <c r="AR2843" s="1063"/>
      <c r="AS2843" s="1063"/>
      <c r="AT2843" s="1063"/>
      <c r="AU2843" s="1063"/>
      <c r="AV2843" s="1063"/>
    </row>
    <row r="2844" spans="1:48" s="1108" customFormat="1" ht="27.75" customHeight="1">
      <c r="A2844" s="1076"/>
      <c r="B2844" s="1074">
        <f>+'[18]Bldg+Dev'!S3656</f>
        <v>0</v>
      </c>
      <c r="D2844" s="1063"/>
      <c r="F2844" s="1076"/>
      <c r="G2844" s="1063"/>
      <c r="H2844" s="1063"/>
      <c r="I2844" s="1063"/>
      <c r="J2844" s="1063"/>
      <c r="K2844" s="1063"/>
      <c r="L2844" s="1063"/>
      <c r="M2844" s="1063"/>
      <c r="N2844" s="1063"/>
      <c r="O2844" s="1063"/>
      <c r="P2844" s="1063"/>
      <c r="Q2844" s="1063"/>
      <c r="R2844" s="1063"/>
      <c r="S2844" s="1063"/>
      <c r="T2844" s="1063"/>
      <c r="U2844" s="1063"/>
      <c r="V2844" s="1063"/>
      <c r="W2844" s="1063"/>
      <c r="X2844" s="1063"/>
      <c r="Y2844" s="1063"/>
      <c r="Z2844" s="1063"/>
      <c r="AA2844" s="1063"/>
      <c r="AB2844" s="1063"/>
      <c r="AC2844" s="1063"/>
      <c r="AD2844" s="1063"/>
      <c r="AE2844" s="1063"/>
      <c r="AF2844" s="1063"/>
      <c r="AG2844" s="1063"/>
      <c r="AH2844" s="1063"/>
      <c r="AI2844" s="1063"/>
      <c r="AJ2844" s="1063"/>
      <c r="AK2844" s="1063"/>
      <c r="AL2844" s="1063"/>
      <c r="AM2844" s="1063"/>
      <c r="AN2844" s="1063"/>
      <c r="AO2844" s="1063"/>
      <c r="AP2844" s="1063"/>
      <c r="AQ2844" s="1063"/>
      <c r="AR2844" s="1063"/>
      <c r="AS2844" s="1063"/>
      <c r="AT2844" s="1063"/>
      <c r="AU2844" s="1063"/>
      <c r="AV2844" s="1063"/>
    </row>
    <row r="2845" spans="1:48" s="1108" customFormat="1" ht="27.75" customHeight="1">
      <c r="A2845" s="1076"/>
      <c r="B2845" s="1074">
        <f>+'[18]Bldg+Dev'!S3657</f>
        <v>0</v>
      </c>
      <c r="D2845" s="1063"/>
      <c r="F2845" s="1076"/>
      <c r="G2845" s="1063"/>
      <c r="H2845" s="1063"/>
      <c r="I2845" s="1063"/>
      <c r="J2845" s="1063"/>
      <c r="K2845" s="1063"/>
      <c r="L2845" s="1063"/>
      <c r="M2845" s="1063"/>
      <c r="N2845" s="1063"/>
      <c r="O2845" s="1063"/>
      <c r="P2845" s="1063"/>
      <c r="Q2845" s="1063"/>
      <c r="R2845" s="1063"/>
      <c r="S2845" s="1063"/>
      <c r="T2845" s="1063"/>
      <c r="U2845" s="1063"/>
      <c r="V2845" s="1063"/>
      <c r="W2845" s="1063"/>
      <c r="X2845" s="1063"/>
      <c r="Y2845" s="1063"/>
      <c r="Z2845" s="1063"/>
      <c r="AA2845" s="1063"/>
      <c r="AB2845" s="1063"/>
      <c r="AC2845" s="1063"/>
      <c r="AD2845" s="1063"/>
      <c r="AE2845" s="1063"/>
      <c r="AF2845" s="1063"/>
      <c r="AG2845" s="1063"/>
      <c r="AH2845" s="1063"/>
      <c r="AI2845" s="1063"/>
      <c r="AJ2845" s="1063"/>
      <c r="AK2845" s="1063"/>
      <c r="AL2845" s="1063"/>
      <c r="AM2845" s="1063"/>
      <c r="AN2845" s="1063"/>
      <c r="AO2845" s="1063"/>
      <c r="AP2845" s="1063"/>
      <c r="AQ2845" s="1063"/>
      <c r="AR2845" s="1063"/>
      <c r="AS2845" s="1063"/>
      <c r="AT2845" s="1063"/>
      <c r="AU2845" s="1063"/>
      <c r="AV2845" s="1063"/>
    </row>
    <row r="2846" spans="1:48" s="1108" customFormat="1" ht="27.75" customHeight="1">
      <c r="A2846" s="1076"/>
      <c r="B2846" s="1074">
        <f>+'[18]Bldg+Dev'!S3658</f>
        <v>0</v>
      </c>
      <c r="D2846" s="1063"/>
      <c r="F2846" s="1076"/>
      <c r="G2846" s="1063"/>
      <c r="H2846" s="1063"/>
      <c r="I2846" s="1063"/>
      <c r="J2846" s="1063"/>
      <c r="K2846" s="1063"/>
      <c r="L2846" s="1063"/>
      <c r="M2846" s="1063"/>
      <c r="N2846" s="1063"/>
      <c r="O2846" s="1063"/>
      <c r="P2846" s="1063"/>
      <c r="Q2846" s="1063"/>
      <c r="R2846" s="1063"/>
      <c r="S2846" s="1063"/>
      <c r="T2846" s="1063"/>
      <c r="U2846" s="1063"/>
      <c r="V2846" s="1063"/>
      <c r="W2846" s="1063"/>
      <c r="X2846" s="1063"/>
      <c r="Y2846" s="1063"/>
      <c r="Z2846" s="1063"/>
      <c r="AA2846" s="1063"/>
      <c r="AB2846" s="1063"/>
      <c r="AC2846" s="1063"/>
      <c r="AD2846" s="1063"/>
      <c r="AE2846" s="1063"/>
      <c r="AF2846" s="1063"/>
      <c r="AG2846" s="1063"/>
      <c r="AH2846" s="1063"/>
      <c r="AI2846" s="1063"/>
      <c r="AJ2846" s="1063"/>
      <c r="AK2846" s="1063"/>
      <c r="AL2846" s="1063"/>
      <c r="AM2846" s="1063"/>
      <c r="AN2846" s="1063"/>
      <c r="AO2846" s="1063"/>
      <c r="AP2846" s="1063"/>
      <c r="AQ2846" s="1063"/>
      <c r="AR2846" s="1063"/>
      <c r="AS2846" s="1063"/>
      <c r="AT2846" s="1063"/>
      <c r="AU2846" s="1063"/>
      <c r="AV2846" s="1063"/>
    </row>
    <row r="2847" spans="1:48" s="1108" customFormat="1" ht="27.75" customHeight="1">
      <c r="A2847" s="1076"/>
      <c r="B2847" s="1074">
        <f>+'[18]Bldg+Dev'!S3659</f>
        <v>0</v>
      </c>
      <c r="D2847" s="1063"/>
      <c r="F2847" s="1076"/>
      <c r="G2847" s="1063"/>
      <c r="H2847" s="1063"/>
      <c r="I2847" s="1063"/>
      <c r="J2847" s="1063"/>
      <c r="K2847" s="1063"/>
      <c r="L2847" s="1063"/>
      <c r="M2847" s="1063"/>
      <c r="N2847" s="1063"/>
      <c r="O2847" s="1063"/>
      <c r="P2847" s="1063"/>
      <c r="Q2847" s="1063"/>
      <c r="R2847" s="1063"/>
      <c r="S2847" s="1063"/>
      <c r="T2847" s="1063"/>
      <c r="U2847" s="1063"/>
      <c r="V2847" s="1063"/>
      <c r="W2847" s="1063"/>
      <c r="X2847" s="1063"/>
      <c r="Y2847" s="1063"/>
      <c r="Z2847" s="1063"/>
      <c r="AA2847" s="1063"/>
      <c r="AB2847" s="1063"/>
      <c r="AC2847" s="1063"/>
      <c r="AD2847" s="1063"/>
      <c r="AE2847" s="1063"/>
      <c r="AF2847" s="1063"/>
      <c r="AG2847" s="1063"/>
      <c r="AH2847" s="1063"/>
      <c r="AI2847" s="1063"/>
      <c r="AJ2847" s="1063"/>
      <c r="AK2847" s="1063"/>
      <c r="AL2847" s="1063"/>
      <c r="AM2847" s="1063"/>
      <c r="AN2847" s="1063"/>
      <c r="AO2847" s="1063"/>
      <c r="AP2847" s="1063"/>
      <c r="AQ2847" s="1063"/>
      <c r="AR2847" s="1063"/>
      <c r="AS2847" s="1063"/>
      <c r="AT2847" s="1063"/>
      <c r="AU2847" s="1063"/>
      <c r="AV2847" s="1063"/>
    </row>
    <row r="2848" spans="1:48" s="1108" customFormat="1" ht="27.75" customHeight="1">
      <c r="A2848" s="1076"/>
      <c r="B2848" s="1074">
        <f>+'[18]Bldg+Dev'!S3660</f>
        <v>0</v>
      </c>
      <c r="D2848" s="1063"/>
      <c r="F2848" s="1076"/>
      <c r="G2848" s="1063"/>
      <c r="H2848" s="1063"/>
      <c r="I2848" s="1063"/>
      <c r="J2848" s="1063"/>
      <c r="K2848" s="1063"/>
      <c r="L2848" s="1063"/>
      <c r="M2848" s="1063"/>
      <c r="N2848" s="1063"/>
      <c r="O2848" s="1063"/>
      <c r="P2848" s="1063"/>
      <c r="Q2848" s="1063"/>
      <c r="R2848" s="1063"/>
      <c r="S2848" s="1063"/>
      <c r="T2848" s="1063"/>
      <c r="U2848" s="1063"/>
      <c r="V2848" s="1063"/>
      <c r="W2848" s="1063"/>
      <c r="X2848" s="1063"/>
      <c r="Y2848" s="1063"/>
      <c r="Z2848" s="1063"/>
      <c r="AA2848" s="1063"/>
      <c r="AB2848" s="1063"/>
      <c r="AC2848" s="1063"/>
      <c r="AD2848" s="1063"/>
      <c r="AE2848" s="1063"/>
      <c r="AF2848" s="1063"/>
      <c r="AG2848" s="1063"/>
      <c r="AH2848" s="1063"/>
      <c r="AI2848" s="1063"/>
      <c r="AJ2848" s="1063"/>
      <c r="AK2848" s="1063"/>
      <c r="AL2848" s="1063"/>
      <c r="AM2848" s="1063"/>
      <c r="AN2848" s="1063"/>
      <c r="AO2848" s="1063"/>
      <c r="AP2848" s="1063"/>
      <c r="AQ2848" s="1063"/>
      <c r="AR2848" s="1063"/>
      <c r="AS2848" s="1063"/>
      <c r="AT2848" s="1063"/>
      <c r="AU2848" s="1063"/>
      <c r="AV2848" s="1063"/>
    </row>
    <row r="2849" spans="1:48" s="1108" customFormat="1" ht="27.75" customHeight="1">
      <c r="A2849" s="1076"/>
      <c r="B2849" s="1074">
        <f>+'[18]Bldg+Dev'!S3661</f>
        <v>0</v>
      </c>
      <c r="D2849" s="1063"/>
      <c r="F2849" s="1076"/>
      <c r="G2849" s="1063"/>
      <c r="H2849" s="1063"/>
      <c r="I2849" s="1063"/>
      <c r="J2849" s="1063"/>
      <c r="K2849" s="1063"/>
      <c r="L2849" s="1063"/>
      <c r="M2849" s="1063"/>
      <c r="N2849" s="1063"/>
      <c r="O2849" s="1063"/>
      <c r="P2849" s="1063"/>
      <c r="Q2849" s="1063"/>
      <c r="R2849" s="1063"/>
      <c r="S2849" s="1063"/>
      <c r="T2849" s="1063"/>
      <c r="U2849" s="1063"/>
      <c r="V2849" s="1063"/>
      <c r="W2849" s="1063"/>
      <c r="X2849" s="1063"/>
      <c r="Y2849" s="1063"/>
      <c r="Z2849" s="1063"/>
      <c r="AA2849" s="1063"/>
      <c r="AB2849" s="1063"/>
      <c r="AC2849" s="1063"/>
      <c r="AD2849" s="1063"/>
      <c r="AE2849" s="1063"/>
      <c r="AF2849" s="1063"/>
      <c r="AG2849" s="1063"/>
      <c r="AH2849" s="1063"/>
      <c r="AI2849" s="1063"/>
      <c r="AJ2849" s="1063"/>
      <c r="AK2849" s="1063"/>
      <c r="AL2849" s="1063"/>
      <c r="AM2849" s="1063"/>
      <c r="AN2849" s="1063"/>
      <c r="AO2849" s="1063"/>
      <c r="AP2849" s="1063"/>
      <c r="AQ2849" s="1063"/>
      <c r="AR2849" s="1063"/>
      <c r="AS2849" s="1063"/>
      <c r="AT2849" s="1063"/>
      <c r="AU2849" s="1063"/>
      <c r="AV2849" s="1063"/>
    </row>
    <row r="2850" spans="1:48" s="1108" customFormat="1" ht="27.75" customHeight="1">
      <c r="A2850" s="1076"/>
      <c r="B2850" s="1074">
        <f>+'[18]Bldg+Dev'!S3662</f>
        <v>0</v>
      </c>
      <c r="D2850" s="1063"/>
      <c r="F2850" s="1076"/>
      <c r="G2850" s="1063"/>
      <c r="H2850" s="1063"/>
      <c r="I2850" s="1063"/>
      <c r="J2850" s="1063"/>
      <c r="K2850" s="1063"/>
      <c r="L2850" s="1063"/>
      <c r="M2850" s="1063"/>
      <c r="N2850" s="1063"/>
      <c r="O2850" s="1063"/>
      <c r="P2850" s="1063"/>
      <c r="Q2850" s="1063"/>
      <c r="R2850" s="1063"/>
      <c r="S2850" s="1063"/>
      <c r="T2850" s="1063"/>
      <c r="U2850" s="1063"/>
      <c r="V2850" s="1063"/>
      <c r="W2850" s="1063"/>
      <c r="X2850" s="1063"/>
      <c r="Y2850" s="1063"/>
      <c r="Z2850" s="1063"/>
      <c r="AA2850" s="1063"/>
      <c r="AB2850" s="1063"/>
      <c r="AC2850" s="1063"/>
      <c r="AD2850" s="1063"/>
      <c r="AE2850" s="1063"/>
      <c r="AF2850" s="1063"/>
      <c r="AG2850" s="1063"/>
      <c r="AH2850" s="1063"/>
      <c r="AI2850" s="1063"/>
      <c r="AJ2850" s="1063"/>
      <c r="AK2850" s="1063"/>
      <c r="AL2850" s="1063"/>
      <c r="AM2850" s="1063"/>
      <c r="AN2850" s="1063"/>
      <c r="AO2850" s="1063"/>
      <c r="AP2850" s="1063"/>
      <c r="AQ2850" s="1063"/>
      <c r="AR2850" s="1063"/>
      <c r="AS2850" s="1063"/>
      <c r="AT2850" s="1063"/>
      <c r="AU2850" s="1063"/>
      <c r="AV2850" s="1063"/>
    </row>
    <row r="2851" spans="1:48" s="1108" customFormat="1" ht="27.75" customHeight="1">
      <c r="A2851" s="1076"/>
      <c r="B2851" s="1074">
        <f>+'[18]Bldg+Dev'!S3663</f>
        <v>0</v>
      </c>
      <c r="D2851" s="1063"/>
      <c r="F2851" s="1076"/>
      <c r="G2851" s="1063"/>
      <c r="H2851" s="1063"/>
      <c r="I2851" s="1063"/>
      <c r="J2851" s="1063"/>
      <c r="K2851" s="1063"/>
      <c r="L2851" s="1063"/>
      <c r="M2851" s="1063"/>
      <c r="N2851" s="1063"/>
      <c r="O2851" s="1063"/>
      <c r="P2851" s="1063"/>
      <c r="Q2851" s="1063"/>
      <c r="R2851" s="1063"/>
      <c r="S2851" s="1063"/>
      <c r="T2851" s="1063"/>
      <c r="U2851" s="1063"/>
      <c r="V2851" s="1063"/>
      <c r="W2851" s="1063"/>
      <c r="X2851" s="1063"/>
      <c r="Y2851" s="1063"/>
      <c r="Z2851" s="1063"/>
      <c r="AA2851" s="1063"/>
      <c r="AB2851" s="1063"/>
      <c r="AC2851" s="1063"/>
      <c r="AD2851" s="1063"/>
      <c r="AE2851" s="1063"/>
      <c r="AF2851" s="1063"/>
      <c r="AG2851" s="1063"/>
      <c r="AH2851" s="1063"/>
      <c r="AI2851" s="1063"/>
      <c r="AJ2851" s="1063"/>
      <c r="AK2851" s="1063"/>
      <c r="AL2851" s="1063"/>
      <c r="AM2851" s="1063"/>
      <c r="AN2851" s="1063"/>
      <c r="AO2851" s="1063"/>
      <c r="AP2851" s="1063"/>
      <c r="AQ2851" s="1063"/>
      <c r="AR2851" s="1063"/>
      <c r="AS2851" s="1063"/>
      <c r="AT2851" s="1063"/>
      <c r="AU2851" s="1063"/>
      <c r="AV2851" s="1063"/>
    </row>
    <row r="2852" spans="1:48" s="1108" customFormat="1" ht="27.75" customHeight="1">
      <c r="A2852" s="1076"/>
      <c r="B2852" s="1074">
        <f>+'[18]Bldg+Dev'!S3664</f>
        <v>0</v>
      </c>
      <c r="D2852" s="1063"/>
      <c r="F2852" s="1076"/>
      <c r="G2852" s="1063"/>
      <c r="H2852" s="1063"/>
      <c r="I2852" s="1063"/>
      <c r="J2852" s="1063"/>
      <c r="K2852" s="1063"/>
      <c r="L2852" s="1063"/>
      <c r="M2852" s="1063"/>
      <c r="N2852" s="1063"/>
      <c r="O2852" s="1063"/>
      <c r="P2852" s="1063"/>
      <c r="Q2852" s="1063"/>
      <c r="R2852" s="1063"/>
      <c r="S2852" s="1063"/>
      <c r="T2852" s="1063"/>
      <c r="U2852" s="1063"/>
      <c r="V2852" s="1063"/>
      <c r="W2852" s="1063"/>
      <c r="X2852" s="1063"/>
      <c r="Y2852" s="1063"/>
      <c r="Z2852" s="1063"/>
      <c r="AA2852" s="1063"/>
      <c r="AB2852" s="1063"/>
      <c r="AC2852" s="1063"/>
      <c r="AD2852" s="1063"/>
      <c r="AE2852" s="1063"/>
      <c r="AF2852" s="1063"/>
      <c r="AG2852" s="1063"/>
      <c r="AH2852" s="1063"/>
      <c r="AI2852" s="1063"/>
      <c r="AJ2852" s="1063"/>
      <c r="AK2852" s="1063"/>
      <c r="AL2852" s="1063"/>
      <c r="AM2852" s="1063"/>
      <c r="AN2852" s="1063"/>
      <c r="AO2852" s="1063"/>
      <c r="AP2852" s="1063"/>
      <c r="AQ2852" s="1063"/>
      <c r="AR2852" s="1063"/>
      <c r="AS2852" s="1063"/>
      <c r="AT2852" s="1063"/>
      <c r="AU2852" s="1063"/>
      <c r="AV2852" s="1063"/>
    </row>
    <row r="2853" spans="1:48" s="1108" customFormat="1" ht="27.75" customHeight="1">
      <c r="A2853" s="1076"/>
      <c r="B2853" s="1074">
        <f>+'[18]Bldg+Dev'!S3665</f>
        <v>0</v>
      </c>
      <c r="D2853" s="1063"/>
      <c r="F2853" s="1076"/>
      <c r="G2853" s="1063"/>
      <c r="H2853" s="1063"/>
      <c r="I2853" s="1063"/>
      <c r="J2853" s="1063"/>
      <c r="K2853" s="1063"/>
      <c r="L2853" s="1063"/>
      <c r="M2853" s="1063"/>
      <c r="N2853" s="1063"/>
      <c r="O2853" s="1063"/>
      <c r="P2853" s="1063"/>
      <c r="Q2853" s="1063"/>
      <c r="R2853" s="1063"/>
      <c r="S2853" s="1063"/>
      <c r="T2853" s="1063"/>
      <c r="U2853" s="1063"/>
      <c r="V2853" s="1063"/>
      <c r="W2853" s="1063"/>
      <c r="X2853" s="1063"/>
      <c r="Y2853" s="1063"/>
      <c r="Z2853" s="1063"/>
      <c r="AA2853" s="1063"/>
      <c r="AB2853" s="1063"/>
      <c r="AC2853" s="1063"/>
      <c r="AD2853" s="1063"/>
      <c r="AE2853" s="1063"/>
      <c r="AF2853" s="1063"/>
      <c r="AG2853" s="1063"/>
      <c r="AH2853" s="1063"/>
      <c r="AI2853" s="1063"/>
      <c r="AJ2853" s="1063"/>
      <c r="AK2853" s="1063"/>
      <c r="AL2853" s="1063"/>
      <c r="AM2853" s="1063"/>
      <c r="AN2853" s="1063"/>
      <c r="AO2853" s="1063"/>
      <c r="AP2853" s="1063"/>
      <c r="AQ2853" s="1063"/>
      <c r="AR2853" s="1063"/>
      <c r="AS2853" s="1063"/>
      <c r="AT2853" s="1063"/>
      <c r="AU2853" s="1063"/>
      <c r="AV2853" s="1063"/>
    </row>
    <row r="2854" spans="1:48" s="1108" customFormat="1" ht="27.75" customHeight="1">
      <c r="A2854" s="1076"/>
      <c r="B2854" s="1074">
        <f>+'[18]Bldg+Dev'!S3666</f>
        <v>0</v>
      </c>
      <c r="D2854" s="1063"/>
      <c r="F2854" s="1076"/>
      <c r="G2854" s="1063"/>
      <c r="H2854" s="1063"/>
      <c r="I2854" s="1063"/>
      <c r="J2854" s="1063"/>
      <c r="K2854" s="1063"/>
      <c r="L2854" s="1063"/>
      <c r="M2854" s="1063"/>
      <c r="N2854" s="1063"/>
      <c r="O2854" s="1063"/>
      <c r="P2854" s="1063"/>
      <c r="Q2854" s="1063"/>
      <c r="R2854" s="1063"/>
      <c r="S2854" s="1063"/>
      <c r="T2854" s="1063"/>
      <c r="U2854" s="1063"/>
      <c r="V2854" s="1063"/>
      <c r="W2854" s="1063"/>
      <c r="X2854" s="1063"/>
      <c r="Y2854" s="1063"/>
      <c r="Z2854" s="1063"/>
      <c r="AA2854" s="1063"/>
      <c r="AB2854" s="1063"/>
      <c r="AC2854" s="1063"/>
      <c r="AD2854" s="1063"/>
      <c r="AE2854" s="1063"/>
      <c r="AF2854" s="1063"/>
      <c r="AG2854" s="1063"/>
      <c r="AH2854" s="1063"/>
      <c r="AI2854" s="1063"/>
      <c r="AJ2854" s="1063"/>
      <c r="AK2854" s="1063"/>
      <c r="AL2854" s="1063"/>
      <c r="AM2854" s="1063"/>
      <c r="AN2854" s="1063"/>
      <c r="AO2854" s="1063"/>
      <c r="AP2854" s="1063"/>
      <c r="AQ2854" s="1063"/>
      <c r="AR2854" s="1063"/>
      <c r="AS2854" s="1063"/>
      <c r="AT2854" s="1063"/>
      <c r="AU2854" s="1063"/>
      <c r="AV2854" s="1063"/>
    </row>
    <row r="2855" spans="1:48" s="1108" customFormat="1" ht="27.75" customHeight="1">
      <c r="A2855" s="1076"/>
      <c r="B2855" s="1074">
        <f>+'[18]Bldg+Dev'!S3667</f>
        <v>0</v>
      </c>
      <c r="D2855" s="1063"/>
      <c r="F2855" s="1076"/>
      <c r="G2855" s="1063"/>
      <c r="H2855" s="1063"/>
      <c r="I2855" s="1063"/>
      <c r="J2855" s="1063"/>
      <c r="K2855" s="1063"/>
      <c r="L2855" s="1063"/>
      <c r="M2855" s="1063"/>
      <c r="N2855" s="1063"/>
      <c r="O2855" s="1063"/>
      <c r="P2855" s="1063"/>
      <c r="Q2855" s="1063"/>
      <c r="R2855" s="1063"/>
      <c r="S2855" s="1063"/>
      <c r="T2855" s="1063"/>
      <c r="U2855" s="1063"/>
      <c r="V2855" s="1063"/>
      <c r="W2855" s="1063"/>
      <c r="X2855" s="1063"/>
      <c r="Y2855" s="1063"/>
      <c r="Z2855" s="1063"/>
      <c r="AA2855" s="1063"/>
      <c r="AB2855" s="1063"/>
      <c r="AC2855" s="1063"/>
      <c r="AD2855" s="1063"/>
      <c r="AE2855" s="1063"/>
      <c r="AF2855" s="1063"/>
      <c r="AG2855" s="1063"/>
      <c r="AH2855" s="1063"/>
      <c r="AI2855" s="1063"/>
      <c r="AJ2855" s="1063"/>
      <c r="AK2855" s="1063"/>
      <c r="AL2855" s="1063"/>
      <c r="AM2855" s="1063"/>
      <c r="AN2855" s="1063"/>
      <c r="AO2855" s="1063"/>
      <c r="AP2855" s="1063"/>
      <c r="AQ2855" s="1063"/>
      <c r="AR2855" s="1063"/>
      <c r="AS2855" s="1063"/>
      <c r="AT2855" s="1063"/>
      <c r="AU2855" s="1063"/>
      <c r="AV2855" s="1063"/>
    </row>
    <row r="2856" spans="1:48" s="1108" customFormat="1" ht="27.75" customHeight="1">
      <c r="A2856" s="1076"/>
      <c r="B2856" s="1074">
        <f>+'[18]Bldg+Dev'!S3668</f>
        <v>0</v>
      </c>
      <c r="D2856" s="1063"/>
      <c r="F2856" s="1076"/>
      <c r="G2856" s="1063"/>
      <c r="H2856" s="1063"/>
      <c r="I2856" s="1063"/>
      <c r="J2856" s="1063"/>
      <c r="K2856" s="1063"/>
      <c r="L2856" s="1063"/>
      <c r="M2856" s="1063"/>
      <c r="N2856" s="1063"/>
      <c r="O2856" s="1063"/>
      <c r="P2856" s="1063"/>
      <c r="Q2856" s="1063"/>
      <c r="R2856" s="1063"/>
      <c r="S2856" s="1063"/>
      <c r="T2856" s="1063"/>
      <c r="U2856" s="1063"/>
      <c r="V2856" s="1063"/>
      <c r="W2856" s="1063"/>
      <c r="X2856" s="1063"/>
      <c r="Y2856" s="1063"/>
      <c r="Z2856" s="1063"/>
      <c r="AA2856" s="1063"/>
      <c r="AB2856" s="1063"/>
      <c r="AC2856" s="1063"/>
      <c r="AD2856" s="1063"/>
      <c r="AE2856" s="1063"/>
      <c r="AF2856" s="1063"/>
      <c r="AG2856" s="1063"/>
      <c r="AH2856" s="1063"/>
      <c r="AI2856" s="1063"/>
      <c r="AJ2856" s="1063"/>
      <c r="AK2856" s="1063"/>
      <c r="AL2856" s="1063"/>
      <c r="AM2856" s="1063"/>
      <c r="AN2856" s="1063"/>
      <c r="AO2856" s="1063"/>
      <c r="AP2856" s="1063"/>
      <c r="AQ2856" s="1063"/>
      <c r="AR2856" s="1063"/>
      <c r="AS2856" s="1063"/>
      <c r="AT2856" s="1063"/>
      <c r="AU2856" s="1063"/>
      <c r="AV2856" s="1063"/>
    </row>
    <row r="2857" spans="1:48" s="1108" customFormat="1" ht="27.75" customHeight="1">
      <c r="A2857" s="1076"/>
      <c r="B2857" s="1074">
        <f>+'[18]Bldg+Dev'!S3669</f>
        <v>0</v>
      </c>
      <c r="D2857" s="1063"/>
      <c r="F2857" s="1076"/>
      <c r="G2857" s="1063"/>
      <c r="H2857" s="1063"/>
      <c r="I2857" s="1063"/>
      <c r="J2857" s="1063"/>
      <c r="K2857" s="1063"/>
      <c r="L2857" s="1063"/>
      <c r="M2857" s="1063"/>
      <c r="N2857" s="1063"/>
      <c r="O2857" s="1063"/>
      <c r="P2857" s="1063"/>
      <c r="Q2857" s="1063"/>
      <c r="R2857" s="1063"/>
      <c r="S2857" s="1063"/>
      <c r="T2857" s="1063"/>
      <c r="U2857" s="1063"/>
      <c r="V2857" s="1063"/>
      <c r="W2857" s="1063"/>
      <c r="X2857" s="1063"/>
      <c r="Y2857" s="1063"/>
      <c r="Z2857" s="1063"/>
      <c r="AA2857" s="1063"/>
      <c r="AB2857" s="1063"/>
      <c r="AC2857" s="1063"/>
      <c r="AD2857" s="1063"/>
      <c r="AE2857" s="1063"/>
      <c r="AF2857" s="1063"/>
      <c r="AG2857" s="1063"/>
      <c r="AH2857" s="1063"/>
      <c r="AI2857" s="1063"/>
      <c r="AJ2857" s="1063"/>
      <c r="AK2857" s="1063"/>
      <c r="AL2857" s="1063"/>
      <c r="AM2857" s="1063"/>
      <c r="AN2857" s="1063"/>
      <c r="AO2857" s="1063"/>
      <c r="AP2857" s="1063"/>
      <c r="AQ2857" s="1063"/>
      <c r="AR2857" s="1063"/>
      <c r="AS2857" s="1063"/>
      <c r="AT2857" s="1063"/>
      <c r="AU2857" s="1063"/>
      <c r="AV2857" s="1063"/>
    </row>
    <row r="2858" spans="1:48" s="1108" customFormat="1" ht="27.75" customHeight="1">
      <c r="A2858" s="1076"/>
      <c r="B2858" s="1074">
        <f>+'[18]Bldg+Dev'!S3670</f>
        <v>0</v>
      </c>
      <c r="D2858" s="1063"/>
      <c r="F2858" s="1076"/>
      <c r="G2858" s="1063"/>
      <c r="H2858" s="1063"/>
      <c r="I2858" s="1063"/>
      <c r="J2858" s="1063"/>
      <c r="K2858" s="1063"/>
      <c r="L2858" s="1063"/>
      <c r="M2858" s="1063"/>
      <c r="N2858" s="1063"/>
      <c r="O2858" s="1063"/>
      <c r="P2858" s="1063"/>
      <c r="Q2858" s="1063"/>
      <c r="R2858" s="1063"/>
      <c r="S2858" s="1063"/>
      <c r="T2858" s="1063"/>
      <c r="U2858" s="1063"/>
      <c r="V2858" s="1063"/>
      <c r="W2858" s="1063"/>
      <c r="X2858" s="1063"/>
      <c r="Y2858" s="1063"/>
      <c r="Z2858" s="1063"/>
      <c r="AA2858" s="1063"/>
      <c r="AB2858" s="1063"/>
      <c r="AC2858" s="1063"/>
      <c r="AD2858" s="1063"/>
      <c r="AE2858" s="1063"/>
      <c r="AF2858" s="1063"/>
      <c r="AG2858" s="1063"/>
      <c r="AH2858" s="1063"/>
      <c r="AI2858" s="1063"/>
      <c r="AJ2858" s="1063"/>
      <c r="AK2858" s="1063"/>
      <c r="AL2858" s="1063"/>
      <c r="AM2858" s="1063"/>
      <c r="AN2858" s="1063"/>
      <c r="AO2858" s="1063"/>
      <c r="AP2858" s="1063"/>
      <c r="AQ2858" s="1063"/>
      <c r="AR2858" s="1063"/>
      <c r="AS2858" s="1063"/>
      <c r="AT2858" s="1063"/>
      <c r="AU2858" s="1063"/>
      <c r="AV2858" s="1063"/>
    </row>
    <row r="2859" spans="1:48" s="1108" customFormat="1" ht="27.75" customHeight="1">
      <c r="A2859" s="1076"/>
      <c r="B2859" s="1074">
        <f>+'[18]Bldg+Dev'!S3671</f>
        <v>0</v>
      </c>
      <c r="D2859" s="1063"/>
      <c r="F2859" s="1076"/>
      <c r="G2859" s="1063"/>
      <c r="H2859" s="1063"/>
      <c r="I2859" s="1063"/>
      <c r="J2859" s="1063"/>
      <c r="K2859" s="1063"/>
      <c r="L2859" s="1063"/>
      <c r="M2859" s="1063"/>
      <c r="N2859" s="1063"/>
      <c r="O2859" s="1063"/>
      <c r="P2859" s="1063"/>
      <c r="Q2859" s="1063"/>
      <c r="R2859" s="1063"/>
      <c r="S2859" s="1063"/>
      <c r="T2859" s="1063"/>
      <c r="U2859" s="1063"/>
      <c r="V2859" s="1063"/>
      <c r="W2859" s="1063"/>
      <c r="X2859" s="1063"/>
      <c r="Y2859" s="1063"/>
      <c r="Z2859" s="1063"/>
      <c r="AA2859" s="1063"/>
      <c r="AB2859" s="1063"/>
      <c r="AC2859" s="1063"/>
      <c r="AD2859" s="1063"/>
      <c r="AE2859" s="1063"/>
      <c r="AF2859" s="1063"/>
      <c r="AG2859" s="1063"/>
      <c r="AH2859" s="1063"/>
      <c r="AI2859" s="1063"/>
      <c r="AJ2859" s="1063"/>
      <c r="AK2859" s="1063"/>
      <c r="AL2859" s="1063"/>
      <c r="AM2859" s="1063"/>
      <c r="AN2859" s="1063"/>
      <c r="AO2859" s="1063"/>
      <c r="AP2859" s="1063"/>
      <c r="AQ2859" s="1063"/>
      <c r="AR2859" s="1063"/>
      <c r="AS2859" s="1063"/>
      <c r="AT2859" s="1063"/>
      <c r="AU2859" s="1063"/>
      <c r="AV2859" s="1063"/>
    </row>
    <row r="2860" spans="1:48" s="1108" customFormat="1" ht="27.75" customHeight="1">
      <c r="A2860" s="1076"/>
      <c r="B2860" s="1074">
        <f>+'[18]Bldg+Dev'!S3672</f>
        <v>0</v>
      </c>
      <c r="D2860" s="1063"/>
      <c r="F2860" s="1076"/>
      <c r="G2860" s="1063"/>
      <c r="H2860" s="1063"/>
      <c r="I2860" s="1063"/>
      <c r="J2860" s="1063"/>
      <c r="K2860" s="1063"/>
      <c r="L2860" s="1063"/>
      <c r="M2860" s="1063"/>
      <c r="N2860" s="1063"/>
      <c r="O2860" s="1063"/>
      <c r="P2860" s="1063"/>
      <c r="Q2860" s="1063"/>
      <c r="R2860" s="1063"/>
      <c r="S2860" s="1063"/>
      <c r="T2860" s="1063"/>
      <c r="U2860" s="1063"/>
      <c r="V2860" s="1063"/>
      <c r="W2860" s="1063"/>
      <c r="X2860" s="1063"/>
      <c r="Y2860" s="1063"/>
      <c r="Z2860" s="1063"/>
      <c r="AA2860" s="1063"/>
      <c r="AB2860" s="1063"/>
      <c r="AC2860" s="1063"/>
      <c r="AD2860" s="1063"/>
      <c r="AE2860" s="1063"/>
      <c r="AF2860" s="1063"/>
      <c r="AG2860" s="1063"/>
      <c r="AH2860" s="1063"/>
      <c r="AI2860" s="1063"/>
      <c r="AJ2860" s="1063"/>
      <c r="AK2860" s="1063"/>
      <c r="AL2860" s="1063"/>
      <c r="AM2860" s="1063"/>
      <c r="AN2860" s="1063"/>
      <c r="AO2860" s="1063"/>
      <c r="AP2860" s="1063"/>
      <c r="AQ2860" s="1063"/>
      <c r="AR2860" s="1063"/>
      <c r="AS2860" s="1063"/>
      <c r="AT2860" s="1063"/>
      <c r="AU2860" s="1063"/>
      <c r="AV2860" s="1063"/>
    </row>
    <row r="2861" spans="1:48" s="1108" customFormat="1" ht="27.75" customHeight="1">
      <c r="A2861" s="1076"/>
      <c r="B2861" s="1074">
        <f>+'[18]Bldg+Dev'!S3673</f>
        <v>0</v>
      </c>
      <c r="D2861" s="1063"/>
      <c r="F2861" s="1076"/>
      <c r="G2861" s="1063"/>
      <c r="H2861" s="1063"/>
      <c r="I2861" s="1063"/>
      <c r="J2861" s="1063"/>
      <c r="K2861" s="1063"/>
      <c r="L2861" s="1063"/>
      <c r="M2861" s="1063"/>
      <c r="N2861" s="1063"/>
      <c r="O2861" s="1063"/>
      <c r="P2861" s="1063"/>
      <c r="Q2861" s="1063"/>
      <c r="R2861" s="1063"/>
      <c r="S2861" s="1063"/>
      <c r="T2861" s="1063"/>
      <c r="U2861" s="1063"/>
      <c r="V2861" s="1063"/>
      <c r="W2861" s="1063"/>
      <c r="X2861" s="1063"/>
      <c r="Y2861" s="1063"/>
      <c r="Z2861" s="1063"/>
      <c r="AA2861" s="1063"/>
      <c r="AB2861" s="1063"/>
      <c r="AC2861" s="1063"/>
      <c r="AD2861" s="1063"/>
      <c r="AE2861" s="1063"/>
      <c r="AF2861" s="1063"/>
      <c r="AG2861" s="1063"/>
      <c r="AH2861" s="1063"/>
      <c r="AI2861" s="1063"/>
      <c r="AJ2861" s="1063"/>
      <c r="AK2861" s="1063"/>
      <c r="AL2861" s="1063"/>
      <c r="AM2861" s="1063"/>
      <c r="AN2861" s="1063"/>
      <c r="AO2861" s="1063"/>
      <c r="AP2861" s="1063"/>
      <c r="AQ2861" s="1063"/>
      <c r="AR2861" s="1063"/>
      <c r="AS2861" s="1063"/>
      <c r="AT2861" s="1063"/>
      <c r="AU2861" s="1063"/>
      <c r="AV2861" s="1063"/>
    </row>
    <row r="2862" spans="1:48" s="1108" customFormat="1" ht="27.75" customHeight="1">
      <c r="A2862" s="1076"/>
      <c r="B2862" s="1074">
        <f>+'[18]Bldg+Dev'!S3674</f>
        <v>0</v>
      </c>
      <c r="D2862" s="1063"/>
      <c r="F2862" s="1076"/>
      <c r="G2862" s="1063"/>
      <c r="H2862" s="1063"/>
      <c r="I2862" s="1063"/>
      <c r="J2862" s="1063"/>
      <c r="K2862" s="1063"/>
      <c r="L2862" s="1063"/>
      <c r="M2862" s="1063"/>
      <c r="N2862" s="1063"/>
      <c r="O2862" s="1063"/>
      <c r="P2862" s="1063"/>
      <c r="Q2862" s="1063"/>
      <c r="R2862" s="1063"/>
      <c r="S2862" s="1063"/>
      <c r="T2862" s="1063"/>
      <c r="U2862" s="1063"/>
      <c r="V2862" s="1063"/>
      <c r="W2862" s="1063"/>
      <c r="X2862" s="1063"/>
      <c r="Y2862" s="1063"/>
      <c r="Z2862" s="1063"/>
      <c r="AA2862" s="1063"/>
      <c r="AB2862" s="1063"/>
      <c r="AC2862" s="1063"/>
      <c r="AD2862" s="1063"/>
      <c r="AE2862" s="1063"/>
      <c r="AF2862" s="1063"/>
      <c r="AG2862" s="1063"/>
      <c r="AH2862" s="1063"/>
      <c r="AI2862" s="1063"/>
      <c r="AJ2862" s="1063"/>
      <c r="AK2862" s="1063"/>
      <c r="AL2862" s="1063"/>
      <c r="AM2862" s="1063"/>
      <c r="AN2862" s="1063"/>
      <c r="AO2862" s="1063"/>
      <c r="AP2862" s="1063"/>
      <c r="AQ2862" s="1063"/>
      <c r="AR2862" s="1063"/>
      <c r="AS2862" s="1063"/>
      <c r="AT2862" s="1063"/>
      <c r="AU2862" s="1063"/>
      <c r="AV2862" s="1063"/>
    </row>
    <row r="2863" spans="1:48" s="1108" customFormat="1" ht="27.75" customHeight="1">
      <c r="A2863" s="1076"/>
      <c r="B2863" s="1074">
        <f>+'[18]Bldg+Dev'!S3675</f>
        <v>0</v>
      </c>
      <c r="D2863" s="1063"/>
      <c r="F2863" s="1076"/>
      <c r="G2863" s="1063"/>
      <c r="H2863" s="1063"/>
      <c r="I2863" s="1063"/>
      <c r="J2863" s="1063"/>
      <c r="K2863" s="1063"/>
      <c r="L2863" s="1063"/>
      <c r="M2863" s="1063"/>
      <c r="N2863" s="1063"/>
      <c r="O2863" s="1063"/>
      <c r="P2863" s="1063"/>
      <c r="Q2863" s="1063"/>
      <c r="R2863" s="1063"/>
      <c r="S2863" s="1063"/>
      <c r="T2863" s="1063"/>
      <c r="U2863" s="1063"/>
      <c r="V2863" s="1063"/>
      <c r="W2863" s="1063"/>
      <c r="X2863" s="1063"/>
      <c r="Y2863" s="1063"/>
      <c r="Z2863" s="1063"/>
      <c r="AA2863" s="1063"/>
      <c r="AB2863" s="1063"/>
      <c r="AC2863" s="1063"/>
      <c r="AD2863" s="1063"/>
      <c r="AE2863" s="1063"/>
      <c r="AF2863" s="1063"/>
      <c r="AG2863" s="1063"/>
      <c r="AH2863" s="1063"/>
      <c r="AI2863" s="1063"/>
      <c r="AJ2863" s="1063"/>
      <c r="AK2863" s="1063"/>
      <c r="AL2863" s="1063"/>
      <c r="AM2863" s="1063"/>
      <c r="AN2863" s="1063"/>
      <c r="AO2863" s="1063"/>
      <c r="AP2863" s="1063"/>
      <c r="AQ2863" s="1063"/>
      <c r="AR2863" s="1063"/>
      <c r="AS2863" s="1063"/>
      <c r="AT2863" s="1063"/>
      <c r="AU2863" s="1063"/>
      <c r="AV2863" s="1063"/>
    </row>
    <row r="2864" spans="1:48" s="1108" customFormat="1" ht="27.75" customHeight="1">
      <c r="A2864" s="1076"/>
      <c r="B2864" s="1074">
        <f>+'[18]Bldg+Dev'!S3676</f>
        <v>0</v>
      </c>
      <c r="D2864" s="1063"/>
      <c r="F2864" s="1076"/>
      <c r="G2864" s="1063"/>
      <c r="H2864" s="1063"/>
      <c r="I2864" s="1063"/>
      <c r="J2864" s="1063"/>
      <c r="K2864" s="1063"/>
      <c r="L2864" s="1063"/>
      <c r="M2864" s="1063"/>
      <c r="N2864" s="1063"/>
      <c r="O2864" s="1063"/>
      <c r="P2864" s="1063"/>
      <c r="Q2864" s="1063"/>
      <c r="R2864" s="1063"/>
      <c r="S2864" s="1063"/>
      <c r="T2864" s="1063"/>
      <c r="U2864" s="1063"/>
      <c r="V2864" s="1063"/>
      <c r="W2864" s="1063"/>
      <c r="X2864" s="1063"/>
      <c r="Y2864" s="1063"/>
      <c r="Z2864" s="1063"/>
      <c r="AA2864" s="1063"/>
      <c r="AB2864" s="1063"/>
      <c r="AC2864" s="1063"/>
      <c r="AD2864" s="1063"/>
      <c r="AE2864" s="1063"/>
      <c r="AF2864" s="1063"/>
      <c r="AG2864" s="1063"/>
      <c r="AH2864" s="1063"/>
      <c r="AI2864" s="1063"/>
      <c r="AJ2864" s="1063"/>
      <c r="AK2864" s="1063"/>
      <c r="AL2864" s="1063"/>
      <c r="AM2864" s="1063"/>
      <c r="AN2864" s="1063"/>
      <c r="AO2864" s="1063"/>
      <c r="AP2864" s="1063"/>
      <c r="AQ2864" s="1063"/>
      <c r="AR2864" s="1063"/>
      <c r="AS2864" s="1063"/>
      <c r="AT2864" s="1063"/>
      <c r="AU2864" s="1063"/>
      <c r="AV2864" s="1063"/>
    </row>
    <row r="2865" spans="1:48" s="1108" customFormat="1" ht="27.75" customHeight="1">
      <c r="A2865" s="1076"/>
      <c r="B2865" s="1074">
        <f>+'[18]Bldg+Dev'!S3677</f>
        <v>0</v>
      </c>
      <c r="D2865" s="1063"/>
      <c r="F2865" s="1076"/>
      <c r="G2865" s="1063"/>
      <c r="H2865" s="1063"/>
      <c r="I2865" s="1063"/>
      <c r="J2865" s="1063"/>
      <c r="K2865" s="1063"/>
      <c r="L2865" s="1063"/>
      <c r="M2865" s="1063"/>
      <c r="N2865" s="1063"/>
      <c r="O2865" s="1063"/>
      <c r="P2865" s="1063"/>
      <c r="Q2865" s="1063"/>
      <c r="R2865" s="1063"/>
      <c r="S2865" s="1063"/>
      <c r="T2865" s="1063"/>
      <c r="U2865" s="1063"/>
      <c r="V2865" s="1063"/>
      <c r="W2865" s="1063"/>
      <c r="X2865" s="1063"/>
      <c r="Y2865" s="1063"/>
      <c r="Z2865" s="1063"/>
      <c r="AA2865" s="1063"/>
      <c r="AB2865" s="1063"/>
      <c r="AC2865" s="1063"/>
      <c r="AD2865" s="1063"/>
      <c r="AE2865" s="1063"/>
      <c r="AF2865" s="1063"/>
      <c r="AG2865" s="1063"/>
      <c r="AH2865" s="1063"/>
      <c r="AI2865" s="1063"/>
      <c r="AJ2865" s="1063"/>
      <c r="AK2865" s="1063"/>
      <c r="AL2865" s="1063"/>
      <c r="AM2865" s="1063"/>
      <c r="AN2865" s="1063"/>
      <c r="AO2865" s="1063"/>
      <c r="AP2865" s="1063"/>
      <c r="AQ2865" s="1063"/>
      <c r="AR2865" s="1063"/>
      <c r="AS2865" s="1063"/>
      <c r="AT2865" s="1063"/>
      <c r="AU2865" s="1063"/>
      <c r="AV2865" s="1063"/>
    </row>
    <row r="2866" spans="1:48" s="1108" customFormat="1" ht="27.75" customHeight="1">
      <c r="A2866" s="1076"/>
      <c r="B2866" s="1074">
        <f>+'[18]Bldg+Dev'!S3678</f>
        <v>0</v>
      </c>
      <c r="D2866" s="1063"/>
      <c r="F2866" s="1076"/>
      <c r="G2866" s="1063"/>
      <c r="H2866" s="1063"/>
      <c r="I2866" s="1063"/>
      <c r="J2866" s="1063"/>
      <c r="K2866" s="1063"/>
      <c r="L2866" s="1063"/>
      <c r="M2866" s="1063"/>
      <c r="N2866" s="1063"/>
      <c r="O2866" s="1063"/>
      <c r="P2866" s="1063"/>
      <c r="Q2866" s="1063"/>
      <c r="R2866" s="1063"/>
      <c r="S2866" s="1063"/>
      <c r="T2866" s="1063"/>
      <c r="U2866" s="1063"/>
      <c r="V2866" s="1063"/>
      <c r="W2866" s="1063"/>
      <c r="X2866" s="1063"/>
      <c r="Y2866" s="1063"/>
      <c r="Z2866" s="1063"/>
      <c r="AA2866" s="1063"/>
      <c r="AB2866" s="1063"/>
      <c r="AC2866" s="1063"/>
      <c r="AD2866" s="1063"/>
      <c r="AE2866" s="1063"/>
      <c r="AF2866" s="1063"/>
      <c r="AG2866" s="1063"/>
      <c r="AH2866" s="1063"/>
      <c r="AI2866" s="1063"/>
      <c r="AJ2866" s="1063"/>
      <c r="AK2866" s="1063"/>
      <c r="AL2866" s="1063"/>
      <c r="AM2866" s="1063"/>
      <c r="AN2866" s="1063"/>
      <c r="AO2866" s="1063"/>
      <c r="AP2866" s="1063"/>
      <c r="AQ2866" s="1063"/>
      <c r="AR2866" s="1063"/>
      <c r="AS2866" s="1063"/>
      <c r="AT2866" s="1063"/>
      <c r="AU2866" s="1063"/>
      <c r="AV2866" s="1063"/>
    </row>
    <row r="2867" spans="1:48" s="1108" customFormat="1" ht="27.75" customHeight="1">
      <c r="A2867" s="1076"/>
      <c r="B2867" s="1074">
        <f>+'[18]Bldg+Dev'!S3679</f>
        <v>0</v>
      </c>
      <c r="D2867" s="1063"/>
      <c r="F2867" s="1076"/>
      <c r="G2867" s="1063"/>
      <c r="H2867" s="1063"/>
      <c r="I2867" s="1063"/>
      <c r="J2867" s="1063"/>
      <c r="K2867" s="1063"/>
      <c r="L2867" s="1063"/>
      <c r="M2867" s="1063"/>
      <c r="N2867" s="1063"/>
      <c r="O2867" s="1063"/>
      <c r="P2867" s="1063"/>
      <c r="Q2867" s="1063"/>
      <c r="R2867" s="1063"/>
      <c r="S2867" s="1063"/>
      <c r="T2867" s="1063"/>
      <c r="U2867" s="1063"/>
      <c r="V2867" s="1063"/>
      <c r="W2867" s="1063"/>
      <c r="X2867" s="1063"/>
      <c r="Y2867" s="1063"/>
      <c r="Z2867" s="1063"/>
      <c r="AA2867" s="1063"/>
      <c r="AB2867" s="1063"/>
      <c r="AC2867" s="1063"/>
      <c r="AD2867" s="1063"/>
      <c r="AE2867" s="1063"/>
      <c r="AF2867" s="1063"/>
      <c r="AG2867" s="1063"/>
      <c r="AH2867" s="1063"/>
      <c r="AI2867" s="1063"/>
      <c r="AJ2867" s="1063"/>
      <c r="AK2867" s="1063"/>
      <c r="AL2867" s="1063"/>
      <c r="AM2867" s="1063"/>
      <c r="AN2867" s="1063"/>
      <c r="AO2867" s="1063"/>
      <c r="AP2867" s="1063"/>
      <c r="AQ2867" s="1063"/>
      <c r="AR2867" s="1063"/>
      <c r="AS2867" s="1063"/>
      <c r="AT2867" s="1063"/>
      <c r="AU2867" s="1063"/>
      <c r="AV2867" s="1063"/>
    </row>
    <row r="2868" spans="1:48" s="1108" customFormat="1" ht="27.75" customHeight="1">
      <c r="A2868" s="1076"/>
      <c r="B2868" s="1074">
        <f>+'[18]Bldg+Dev'!S3680</f>
        <v>0</v>
      </c>
      <c r="D2868" s="1063"/>
      <c r="F2868" s="1076"/>
      <c r="G2868" s="1063"/>
      <c r="H2868" s="1063"/>
      <c r="I2868" s="1063"/>
      <c r="J2868" s="1063"/>
      <c r="K2868" s="1063"/>
      <c r="L2868" s="1063"/>
      <c r="M2868" s="1063"/>
      <c r="N2868" s="1063"/>
      <c r="O2868" s="1063"/>
      <c r="P2868" s="1063"/>
      <c r="Q2868" s="1063"/>
      <c r="R2868" s="1063"/>
      <c r="S2868" s="1063"/>
      <c r="T2868" s="1063"/>
      <c r="U2868" s="1063"/>
      <c r="V2868" s="1063"/>
      <c r="W2868" s="1063"/>
      <c r="X2868" s="1063"/>
      <c r="Y2868" s="1063"/>
      <c r="Z2868" s="1063"/>
      <c r="AA2868" s="1063"/>
      <c r="AB2868" s="1063"/>
      <c r="AC2868" s="1063"/>
      <c r="AD2868" s="1063"/>
      <c r="AE2868" s="1063"/>
      <c r="AF2868" s="1063"/>
      <c r="AG2868" s="1063"/>
      <c r="AH2868" s="1063"/>
      <c r="AI2868" s="1063"/>
      <c r="AJ2868" s="1063"/>
      <c r="AK2868" s="1063"/>
      <c r="AL2868" s="1063"/>
      <c r="AM2868" s="1063"/>
      <c r="AN2868" s="1063"/>
      <c r="AO2868" s="1063"/>
      <c r="AP2868" s="1063"/>
      <c r="AQ2868" s="1063"/>
      <c r="AR2868" s="1063"/>
      <c r="AS2868" s="1063"/>
      <c r="AT2868" s="1063"/>
      <c r="AU2868" s="1063"/>
      <c r="AV2868" s="1063"/>
    </row>
    <row r="2869" spans="1:48" s="1108" customFormat="1" ht="27.75" customHeight="1">
      <c r="A2869" s="1076"/>
      <c r="B2869" s="1074">
        <f>+'[18]Bldg+Dev'!S3681</f>
        <v>0</v>
      </c>
      <c r="D2869" s="1063"/>
      <c r="F2869" s="1076"/>
      <c r="G2869" s="1063"/>
      <c r="H2869" s="1063"/>
      <c r="I2869" s="1063"/>
      <c r="J2869" s="1063"/>
      <c r="K2869" s="1063"/>
      <c r="L2869" s="1063"/>
      <c r="M2869" s="1063"/>
      <c r="N2869" s="1063"/>
      <c r="O2869" s="1063"/>
      <c r="P2869" s="1063"/>
      <c r="Q2869" s="1063"/>
      <c r="R2869" s="1063"/>
      <c r="S2869" s="1063"/>
      <c r="T2869" s="1063"/>
      <c r="U2869" s="1063"/>
      <c r="V2869" s="1063"/>
      <c r="W2869" s="1063"/>
      <c r="X2869" s="1063"/>
      <c r="Y2869" s="1063"/>
      <c r="Z2869" s="1063"/>
      <c r="AA2869" s="1063"/>
      <c r="AB2869" s="1063"/>
      <c r="AC2869" s="1063"/>
      <c r="AD2869" s="1063"/>
      <c r="AE2869" s="1063"/>
      <c r="AF2869" s="1063"/>
      <c r="AG2869" s="1063"/>
      <c r="AH2869" s="1063"/>
      <c r="AI2869" s="1063"/>
      <c r="AJ2869" s="1063"/>
      <c r="AK2869" s="1063"/>
      <c r="AL2869" s="1063"/>
      <c r="AM2869" s="1063"/>
      <c r="AN2869" s="1063"/>
      <c r="AO2869" s="1063"/>
      <c r="AP2869" s="1063"/>
      <c r="AQ2869" s="1063"/>
      <c r="AR2869" s="1063"/>
      <c r="AS2869" s="1063"/>
      <c r="AT2869" s="1063"/>
      <c r="AU2869" s="1063"/>
      <c r="AV2869" s="1063"/>
    </row>
    <row r="2870" spans="1:48" s="1108" customFormat="1" ht="27.75" customHeight="1">
      <c r="A2870" s="1076"/>
      <c r="B2870" s="1074">
        <f>+'[18]Bldg+Dev'!S3682</f>
        <v>0</v>
      </c>
      <c r="D2870" s="1063"/>
      <c r="F2870" s="1076"/>
      <c r="G2870" s="1063"/>
      <c r="H2870" s="1063"/>
      <c r="I2870" s="1063"/>
      <c r="J2870" s="1063"/>
      <c r="K2870" s="1063"/>
      <c r="L2870" s="1063"/>
      <c r="M2870" s="1063"/>
      <c r="N2870" s="1063"/>
      <c r="O2870" s="1063"/>
      <c r="P2870" s="1063"/>
      <c r="Q2870" s="1063"/>
      <c r="R2870" s="1063"/>
      <c r="S2870" s="1063"/>
      <c r="T2870" s="1063"/>
      <c r="U2870" s="1063"/>
      <c r="V2870" s="1063"/>
      <c r="W2870" s="1063"/>
      <c r="X2870" s="1063"/>
      <c r="Y2870" s="1063"/>
      <c r="Z2870" s="1063"/>
      <c r="AA2870" s="1063"/>
      <c r="AB2870" s="1063"/>
      <c r="AC2870" s="1063"/>
      <c r="AD2870" s="1063"/>
      <c r="AE2870" s="1063"/>
      <c r="AF2870" s="1063"/>
      <c r="AG2870" s="1063"/>
      <c r="AH2870" s="1063"/>
      <c r="AI2870" s="1063"/>
      <c r="AJ2870" s="1063"/>
      <c r="AK2870" s="1063"/>
      <c r="AL2870" s="1063"/>
      <c r="AM2870" s="1063"/>
      <c r="AN2870" s="1063"/>
      <c r="AO2870" s="1063"/>
      <c r="AP2870" s="1063"/>
      <c r="AQ2870" s="1063"/>
      <c r="AR2870" s="1063"/>
      <c r="AS2870" s="1063"/>
      <c r="AT2870" s="1063"/>
      <c r="AU2870" s="1063"/>
      <c r="AV2870" s="1063"/>
    </row>
    <row r="2871" spans="1:48" s="1108" customFormat="1" ht="27.75" customHeight="1">
      <c r="A2871" s="1076"/>
      <c r="B2871" s="1074">
        <f>+'[18]Bldg+Dev'!S3683</f>
        <v>0</v>
      </c>
      <c r="D2871" s="1063"/>
      <c r="F2871" s="1076"/>
      <c r="G2871" s="1063"/>
      <c r="H2871" s="1063"/>
      <c r="I2871" s="1063"/>
      <c r="J2871" s="1063"/>
      <c r="K2871" s="1063"/>
      <c r="L2871" s="1063"/>
      <c r="M2871" s="1063"/>
      <c r="N2871" s="1063"/>
      <c r="O2871" s="1063"/>
      <c r="P2871" s="1063"/>
      <c r="Q2871" s="1063"/>
      <c r="R2871" s="1063"/>
      <c r="S2871" s="1063"/>
      <c r="T2871" s="1063"/>
      <c r="U2871" s="1063"/>
      <c r="V2871" s="1063"/>
      <c r="W2871" s="1063"/>
      <c r="X2871" s="1063"/>
      <c r="Y2871" s="1063"/>
      <c r="Z2871" s="1063"/>
      <c r="AA2871" s="1063"/>
      <c r="AB2871" s="1063"/>
      <c r="AC2871" s="1063"/>
      <c r="AD2871" s="1063"/>
      <c r="AE2871" s="1063"/>
      <c r="AF2871" s="1063"/>
      <c r="AG2871" s="1063"/>
      <c r="AH2871" s="1063"/>
      <c r="AI2871" s="1063"/>
      <c r="AJ2871" s="1063"/>
      <c r="AK2871" s="1063"/>
      <c r="AL2871" s="1063"/>
      <c r="AM2871" s="1063"/>
      <c r="AN2871" s="1063"/>
      <c r="AO2871" s="1063"/>
      <c r="AP2871" s="1063"/>
      <c r="AQ2871" s="1063"/>
      <c r="AR2871" s="1063"/>
      <c r="AS2871" s="1063"/>
      <c r="AT2871" s="1063"/>
      <c r="AU2871" s="1063"/>
      <c r="AV2871" s="1063"/>
    </row>
    <row r="2872" spans="1:48" s="1108" customFormat="1" ht="27.75" customHeight="1">
      <c r="A2872" s="1076"/>
      <c r="B2872" s="1074">
        <f>+'[18]Bldg+Dev'!S3684</f>
        <v>0</v>
      </c>
      <c r="D2872" s="1063"/>
      <c r="F2872" s="1076"/>
      <c r="G2872" s="1063"/>
      <c r="H2872" s="1063"/>
      <c r="I2872" s="1063"/>
      <c r="J2872" s="1063"/>
      <c r="K2872" s="1063"/>
      <c r="L2872" s="1063"/>
      <c r="M2872" s="1063"/>
      <c r="N2872" s="1063"/>
      <c r="O2872" s="1063"/>
      <c r="P2872" s="1063"/>
      <c r="Q2872" s="1063"/>
      <c r="R2872" s="1063"/>
      <c r="S2872" s="1063"/>
      <c r="T2872" s="1063"/>
      <c r="U2872" s="1063"/>
      <c r="V2872" s="1063"/>
      <c r="W2872" s="1063"/>
      <c r="X2872" s="1063"/>
      <c r="Y2872" s="1063"/>
      <c r="Z2872" s="1063"/>
      <c r="AA2872" s="1063"/>
      <c r="AB2872" s="1063"/>
      <c r="AC2872" s="1063"/>
      <c r="AD2872" s="1063"/>
      <c r="AE2872" s="1063"/>
      <c r="AF2872" s="1063"/>
      <c r="AG2872" s="1063"/>
      <c r="AH2872" s="1063"/>
      <c r="AI2872" s="1063"/>
      <c r="AJ2872" s="1063"/>
      <c r="AK2872" s="1063"/>
      <c r="AL2872" s="1063"/>
      <c r="AM2872" s="1063"/>
      <c r="AN2872" s="1063"/>
      <c r="AO2872" s="1063"/>
      <c r="AP2872" s="1063"/>
      <c r="AQ2872" s="1063"/>
      <c r="AR2872" s="1063"/>
      <c r="AS2872" s="1063"/>
      <c r="AT2872" s="1063"/>
      <c r="AU2872" s="1063"/>
      <c r="AV2872" s="1063"/>
    </row>
    <row r="2873" spans="1:48" s="1108" customFormat="1" ht="27.75" customHeight="1">
      <c r="A2873" s="1076"/>
      <c r="B2873" s="1074">
        <f>+'[18]Bldg+Dev'!S3685</f>
        <v>0</v>
      </c>
      <c r="D2873" s="1063"/>
      <c r="F2873" s="1076"/>
      <c r="G2873" s="1063"/>
      <c r="H2873" s="1063"/>
      <c r="I2873" s="1063"/>
      <c r="J2873" s="1063"/>
      <c r="K2873" s="1063"/>
      <c r="L2873" s="1063"/>
      <c r="M2873" s="1063"/>
      <c r="N2873" s="1063"/>
      <c r="O2873" s="1063"/>
      <c r="P2873" s="1063"/>
      <c r="Q2873" s="1063"/>
      <c r="R2873" s="1063"/>
      <c r="S2873" s="1063"/>
      <c r="T2873" s="1063"/>
      <c r="U2873" s="1063"/>
      <c r="V2873" s="1063"/>
      <c r="W2873" s="1063"/>
      <c r="X2873" s="1063"/>
      <c r="Y2873" s="1063"/>
      <c r="Z2873" s="1063"/>
      <c r="AA2873" s="1063"/>
      <c r="AB2873" s="1063"/>
      <c r="AC2873" s="1063"/>
      <c r="AD2873" s="1063"/>
      <c r="AE2873" s="1063"/>
      <c r="AF2873" s="1063"/>
      <c r="AG2873" s="1063"/>
      <c r="AH2873" s="1063"/>
      <c r="AI2873" s="1063"/>
      <c r="AJ2873" s="1063"/>
      <c r="AK2873" s="1063"/>
      <c r="AL2873" s="1063"/>
      <c r="AM2873" s="1063"/>
      <c r="AN2873" s="1063"/>
      <c r="AO2873" s="1063"/>
      <c r="AP2873" s="1063"/>
      <c r="AQ2873" s="1063"/>
      <c r="AR2873" s="1063"/>
      <c r="AS2873" s="1063"/>
      <c r="AT2873" s="1063"/>
      <c r="AU2873" s="1063"/>
      <c r="AV2873" s="1063"/>
    </row>
    <row r="2874" spans="1:48" s="1108" customFormat="1" ht="27.75" customHeight="1">
      <c r="A2874" s="1076"/>
      <c r="B2874" s="1074">
        <f>+'[18]Bldg+Dev'!S3686</f>
        <v>0</v>
      </c>
      <c r="D2874" s="1063"/>
      <c r="F2874" s="1076"/>
      <c r="G2874" s="1063"/>
      <c r="H2874" s="1063"/>
      <c r="I2874" s="1063"/>
      <c r="J2874" s="1063"/>
      <c r="K2874" s="1063"/>
      <c r="L2874" s="1063"/>
      <c r="M2874" s="1063"/>
      <c r="N2874" s="1063"/>
      <c r="O2874" s="1063"/>
      <c r="P2874" s="1063"/>
      <c r="Q2874" s="1063"/>
      <c r="R2874" s="1063"/>
      <c r="S2874" s="1063"/>
      <c r="T2874" s="1063"/>
      <c r="U2874" s="1063"/>
      <c r="V2874" s="1063"/>
      <c r="W2874" s="1063"/>
      <c r="X2874" s="1063"/>
      <c r="Y2874" s="1063"/>
      <c r="Z2874" s="1063"/>
      <c r="AA2874" s="1063"/>
      <c r="AB2874" s="1063"/>
      <c r="AC2874" s="1063"/>
      <c r="AD2874" s="1063"/>
      <c r="AE2874" s="1063"/>
      <c r="AF2874" s="1063"/>
      <c r="AG2874" s="1063"/>
      <c r="AH2874" s="1063"/>
      <c r="AI2874" s="1063"/>
      <c r="AJ2874" s="1063"/>
      <c r="AK2874" s="1063"/>
      <c r="AL2874" s="1063"/>
      <c r="AM2874" s="1063"/>
      <c r="AN2874" s="1063"/>
      <c r="AO2874" s="1063"/>
      <c r="AP2874" s="1063"/>
      <c r="AQ2874" s="1063"/>
      <c r="AR2874" s="1063"/>
      <c r="AS2874" s="1063"/>
      <c r="AT2874" s="1063"/>
      <c r="AU2874" s="1063"/>
      <c r="AV2874" s="1063"/>
    </row>
    <row r="2875" spans="1:48" s="1108" customFormat="1" ht="27.75" customHeight="1">
      <c r="A2875" s="1076"/>
      <c r="B2875" s="1074">
        <f>+'[18]Bldg+Dev'!S3687</f>
        <v>0</v>
      </c>
      <c r="D2875" s="1063"/>
      <c r="F2875" s="1076"/>
      <c r="G2875" s="1063"/>
      <c r="H2875" s="1063"/>
      <c r="I2875" s="1063"/>
      <c r="J2875" s="1063"/>
      <c r="K2875" s="1063"/>
      <c r="L2875" s="1063"/>
      <c r="M2875" s="1063"/>
      <c r="N2875" s="1063"/>
      <c r="O2875" s="1063"/>
      <c r="P2875" s="1063"/>
      <c r="Q2875" s="1063"/>
      <c r="R2875" s="1063"/>
      <c r="S2875" s="1063"/>
      <c r="T2875" s="1063"/>
      <c r="U2875" s="1063"/>
      <c r="V2875" s="1063"/>
      <c r="W2875" s="1063"/>
      <c r="X2875" s="1063"/>
      <c r="Y2875" s="1063"/>
      <c r="Z2875" s="1063"/>
      <c r="AA2875" s="1063"/>
      <c r="AB2875" s="1063"/>
      <c r="AC2875" s="1063"/>
      <c r="AD2875" s="1063"/>
      <c r="AE2875" s="1063"/>
      <c r="AF2875" s="1063"/>
      <c r="AG2875" s="1063"/>
      <c r="AH2875" s="1063"/>
      <c r="AI2875" s="1063"/>
      <c r="AJ2875" s="1063"/>
      <c r="AK2875" s="1063"/>
      <c r="AL2875" s="1063"/>
      <c r="AM2875" s="1063"/>
      <c r="AN2875" s="1063"/>
      <c r="AO2875" s="1063"/>
      <c r="AP2875" s="1063"/>
      <c r="AQ2875" s="1063"/>
      <c r="AR2875" s="1063"/>
      <c r="AS2875" s="1063"/>
      <c r="AT2875" s="1063"/>
      <c r="AU2875" s="1063"/>
      <c r="AV2875" s="1063"/>
    </row>
    <row r="2876" spans="1:48" s="1108" customFormat="1" ht="27.75" customHeight="1">
      <c r="A2876" s="1076"/>
      <c r="B2876" s="1074">
        <f>+'[18]Bldg+Dev'!S3688</f>
        <v>0</v>
      </c>
      <c r="D2876" s="1063"/>
      <c r="F2876" s="1076"/>
      <c r="G2876" s="1063"/>
      <c r="H2876" s="1063"/>
      <c r="I2876" s="1063"/>
      <c r="J2876" s="1063"/>
      <c r="K2876" s="1063"/>
      <c r="L2876" s="1063"/>
      <c r="M2876" s="1063"/>
      <c r="N2876" s="1063"/>
      <c r="O2876" s="1063"/>
      <c r="P2876" s="1063"/>
      <c r="Q2876" s="1063"/>
      <c r="R2876" s="1063"/>
      <c r="S2876" s="1063"/>
      <c r="T2876" s="1063"/>
      <c r="U2876" s="1063"/>
      <c r="V2876" s="1063"/>
      <c r="W2876" s="1063"/>
      <c r="X2876" s="1063"/>
      <c r="Y2876" s="1063"/>
      <c r="Z2876" s="1063"/>
      <c r="AA2876" s="1063"/>
      <c r="AB2876" s="1063"/>
      <c r="AC2876" s="1063"/>
      <c r="AD2876" s="1063"/>
      <c r="AE2876" s="1063"/>
      <c r="AF2876" s="1063"/>
      <c r="AG2876" s="1063"/>
      <c r="AH2876" s="1063"/>
      <c r="AI2876" s="1063"/>
      <c r="AJ2876" s="1063"/>
      <c r="AK2876" s="1063"/>
      <c r="AL2876" s="1063"/>
      <c r="AM2876" s="1063"/>
      <c r="AN2876" s="1063"/>
      <c r="AO2876" s="1063"/>
      <c r="AP2876" s="1063"/>
      <c r="AQ2876" s="1063"/>
      <c r="AR2876" s="1063"/>
      <c r="AS2876" s="1063"/>
      <c r="AT2876" s="1063"/>
      <c r="AU2876" s="1063"/>
      <c r="AV2876" s="1063"/>
    </row>
    <row r="2877" spans="1:48" s="1108" customFormat="1" ht="27.75" customHeight="1">
      <c r="A2877" s="1076"/>
      <c r="B2877" s="1074">
        <f>+'[18]Bldg+Dev'!S3689</f>
        <v>0</v>
      </c>
      <c r="D2877" s="1063"/>
      <c r="F2877" s="1076"/>
      <c r="G2877" s="1063"/>
      <c r="H2877" s="1063"/>
      <c r="I2877" s="1063"/>
      <c r="J2877" s="1063"/>
      <c r="K2877" s="1063"/>
      <c r="L2877" s="1063"/>
      <c r="M2877" s="1063"/>
      <c r="N2877" s="1063"/>
      <c r="O2877" s="1063"/>
      <c r="P2877" s="1063"/>
      <c r="Q2877" s="1063"/>
      <c r="R2877" s="1063"/>
      <c r="S2877" s="1063"/>
      <c r="T2877" s="1063"/>
      <c r="U2877" s="1063"/>
      <c r="V2877" s="1063"/>
      <c r="W2877" s="1063"/>
      <c r="X2877" s="1063"/>
      <c r="Y2877" s="1063"/>
      <c r="Z2877" s="1063"/>
      <c r="AA2877" s="1063"/>
      <c r="AB2877" s="1063"/>
      <c r="AC2877" s="1063"/>
      <c r="AD2877" s="1063"/>
      <c r="AE2877" s="1063"/>
      <c r="AF2877" s="1063"/>
      <c r="AG2877" s="1063"/>
      <c r="AH2877" s="1063"/>
      <c r="AI2877" s="1063"/>
      <c r="AJ2877" s="1063"/>
      <c r="AK2877" s="1063"/>
      <c r="AL2877" s="1063"/>
      <c r="AM2877" s="1063"/>
      <c r="AN2877" s="1063"/>
      <c r="AO2877" s="1063"/>
      <c r="AP2877" s="1063"/>
      <c r="AQ2877" s="1063"/>
      <c r="AR2877" s="1063"/>
      <c r="AS2877" s="1063"/>
      <c r="AT2877" s="1063"/>
      <c r="AU2877" s="1063"/>
      <c r="AV2877" s="1063"/>
    </row>
    <row r="2878" spans="1:48" s="1108" customFormat="1" ht="27.75" customHeight="1">
      <c r="A2878" s="1076"/>
      <c r="B2878" s="1074">
        <f>+'[18]Bldg+Dev'!S3690</f>
        <v>0</v>
      </c>
      <c r="D2878" s="1063"/>
      <c r="F2878" s="1076"/>
      <c r="G2878" s="1063"/>
      <c r="H2878" s="1063"/>
      <c r="I2878" s="1063"/>
      <c r="J2878" s="1063"/>
      <c r="K2878" s="1063"/>
      <c r="L2878" s="1063"/>
      <c r="M2878" s="1063"/>
      <c r="N2878" s="1063"/>
      <c r="O2878" s="1063"/>
      <c r="P2878" s="1063"/>
      <c r="Q2878" s="1063"/>
      <c r="R2878" s="1063"/>
      <c r="S2878" s="1063"/>
      <c r="T2878" s="1063"/>
      <c r="U2878" s="1063"/>
      <c r="V2878" s="1063"/>
      <c r="W2878" s="1063"/>
      <c r="X2878" s="1063"/>
      <c r="Y2878" s="1063"/>
      <c r="Z2878" s="1063"/>
      <c r="AA2878" s="1063"/>
      <c r="AB2878" s="1063"/>
      <c r="AC2878" s="1063"/>
      <c r="AD2878" s="1063"/>
      <c r="AE2878" s="1063"/>
      <c r="AF2878" s="1063"/>
      <c r="AG2878" s="1063"/>
      <c r="AH2878" s="1063"/>
      <c r="AI2878" s="1063"/>
      <c r="AJ2878" s="1063"/>
      <c r="AK2878" s="1063"/>
      <c r="AL2878" s="1063"/>
      <c r="AM2878" s="1063"/>
      <c r="AN2878" s="1063"/>
      <c r="AO2878" s="1063"/>
      <c r="AP2878" s="1063"/>
      <c r="AQ2878" s="1063"/>
      <c r="AR2878" s="1063"/>
      <c r="AS2878" s="1063"/>
      <c r="AT2878" s="1063"/>
      <c r="AU2878" s="1063"/>
      <c r="AV2878" s="1063"/>
    </row>
    <row r="2879" spans="1:48" s="1108" customFormat="1" ht="27.75" customHeight="1">
      <c r="A2879" s="1076"/>
      <c r="B2879" s="1074">
        <f>+'[18]Bldg+Dev'!S3691</f>
        <v>0</v>
      </c>
      <c r="D2879" s="1063"/>
      <c r="F2879" s="1076"/>
      <c r="G2879" s="1063"/>
      <c r="H2879" s="1063"/>
      <c r="I2879" s="1063"/>
      <c r="J2879" s="1063"/>
      <c r="K2879" s="1063"/>
      <c r="L2879" s="1063"/>
      <c r="M2879" s="1063"/>
      <c r="N2879" s="1063"/>
      <c r="O2879" s="1063"/>
      <c r="P2879" s="1063"/>
      <c r="Q2879" s="1063"/>
      <c r="R2879" s="1063"/>
      <c r="S2879" s="1063"/>
      <c r="T2879" s="1063"/>
      <c r="U2879" s="1063"/>
      <c r="V2879" s="1063"/>
      <c r="W2879" s="1063"/>
      <c r="X2879" s="1063"/>
      <c r="Y2879" s="1063"/>
      <c r="Z2879" s="1063"/>
      <c r="AA2879" s="1063"/>
      <c r="AB2879" s="1063"/>
      <c r="AC2879" s="1063"/>
      <c r="AD2879" s="1063"/>
      <c r="AE2879" s="1063"/>
      <c r="AF2879" s="1063"/>
      <c r="AG2879" s="1063"/>
      <c r="AH2879" s="1063"/>
      <c r="AI2879" s="1063"/>
      <c r="AJ2879" s="1063"/>
      <c r="AK2879" s="1063"/>
      <c r="AL2879" s="1063"/>
      <c r="AM2879" s="1063"/>
      <c r="AN2879" s="1063"/>
      <c r="AO2879" s="1063"/>
      <c r="AP2879" s="1063"/>
      <c r="AQ2879" s="1063"/>
      <c r="AR2879" s="1063"/>
      <c r="AS2879" s="1063"/>
      <c r="AT2879" s="1063"/>
      <c r="AU2879" s="1063"/>
      <c r="AV2879" s="1063"/>
    </row>
    <row r="2880" spans="1:48" s="1108" customFormat="1" ht="27.75" customHeight="1">
      <c r="A2880" s="1076"/>
      <c r="B2880" s="1074">
        <f>+'[18]Bldg+Dev'!S3692</f>
        <v>0</v>
      </c>
      <c r="D2880" s="1063"/>
      <c r="F2880" s="1076"/>
      <c r="G2880" s="1063"/>
      <c r="H2880" s="1063"/>
      <c r="I2880" s="1063"/>
      <c r="J2880" s="1063"/>
      <c r="K2880" s="1063"/>
      <c r="L2880" s="1063"/>
      <c r="M2880" s="1063"/>
      <c r="N2880" s="1063"/>
      <c r="O2880" s="1063"/>
      <c r="P2880" s="1063"/>
      <c r="Q2880" s="1063"/>
      <c r="R2880" s="1063"/>
      <c r="S2880" s="1063"/>
      <c r="T2880" s="1063"/>
      <c r="U2880" s="1063"/>
      <c r="V2880" s="1063"/>
      <c r="W2880" s="1063"/>
      <c r="X2880" s="1063"/>
      <c r="Y2880" s="1063"/>
      <c r="Z2880" s="1063"/>
      <c r="AA2880" s="1063"/>
      <c r="AB2880" s="1063"/>
      <c r="AC2880" s="1063"/>
      <c r="AD2880" s="1063"/>
      <c r="AE2880" s="1063"/>
      <c r="AF2880" s="1063"/>
      <c r="AG2880" s="1063"/>
      <c r="AH2880" s="1063"/>
      <c r="AI2880" s="1063"/>
      <c r="AJ2880" s="1063"/>
      <c r="AK2880" s="1063"/>
      <c r="AL2880" s="1063"/>
      <c r="AM2880" s="1063"/>
      <c r="AN2880" s="1063"/>
      <c r="AO2880" s="1063"/>
      <c r="AP2880" s="1063"/>
      <c r="AQ2880" s="1063"/>
      <c r="AR2880" s="1063"/>
      <c r="AS2880" s="1063"/>
      <c r="AT2880" s="1063"/>
      <c r="AU2880" s="1063"/>
      <c r="AV2880" s="1063"/>
    </row>
    <row r="2881" spans="1:48" s="1108" customFormat="1" ht="27.75" customHeight="1">
      <c r="A2881" s="1076"/>
      <c r="B2881" s="1074">
        <f>+'[18]Bldg+Dev'!S3693</f>
        <v>0</v>
      </c>
      <c r="D2881" s="1063"/>
      <c r="F2881" s="1076"/>
      <c r="G2881" s="1063"/>
      <c r="H2881" s="1063"/>
      <c r="I2881" s="1063"/>
      <c r="J2881" s="1063"/>
      <c r="K2881" s="1063"/>
      <c r="L2881" s="1063"/>
      <c r="M2881" s="1063"/>
      <c r="N2881" s="1063"/>
      <c r="O2881" s="1063"/>
      <c r="P2881" s="1063"/>
      <c r="Q2881" s="1063"/>
      <c r="R2881" s="1063"/>
      <c r="S2881" s="1063"/>
      <c r="T2881" s="1063"/>
      <c r="U2881" s="1063"/>
      <c r="V2881" s="1063"/>
      <c r="W2881" s="1063"/>
      <c r="X2881" s="1063"/>
      <c r="Y2881" s="1063"/>
      <c r="Z2881" s="1063"/>
      <c r="AA2881" s="1063"/>
      <c r="AB2881" s="1063"/>
      <c r="AC2881" s="1063"/>
      <c r="AD2881" s="1063"/>
      <c r="AE2881" s="1063"/>
      <c r="AF2881" s="1063"/>
      <c r="AG2881" s="1063"/>
      <c r="AH2881" s="1063"/>
      <c r="AI2881" s="1063"/>
      <c r="AJ2881" s="1063"/>
      <c r="AK2881" s="1063"/>
      <c r="AL2881" s="1063"/>
      <c r="AM2881" s="1063"/>
      <c r="AN2881" s="1063"/>
      <c r="AO2881" s="1063"/>
      <c r="AP2881" s="1063"/>
      <c r="AQ2881" s="1063"/>
      <c r="AR2881" s="1063"/>
      <c r="AS2881" s="1063"/>
      <c r="AT2881" s="1063"/>
      <c r="AU2881" s="1063"/>
      <c r="AV2881" s="1063"/>
    </row>
    <row r="2882" spans="1:48" s="1108" customFormat="1" ht="27.75" customHeight="1">
      <c r="A2882" s="1076"/>
      <c r="B2882" s="1074">
        <f>+'[18]Bldg+Dev'!S3694</f>
        <v>0</v>
      </c>
      <c r="D2882" s="1063"/>
      <c r="F2882" s="1076"/>
      <c r="G2882" s="1063"/>
      <c r="H2882" s="1063"/>
      <c r="I2882" s="1063"/>
      <c r="J2882" s="1063"/>
      <c r="K2882" s="1063"/>
      <c r="L2882" s="1063"/>
      <c r="M2882" s="1063"/>
      <c r="N2882" s="1063"/>
      <c r="O2882" s="1063"/>
      <c r="P2882" s="1063"/>
      <c r="Q2882" s="1063"/>
      <c r="R2882" s="1063"/>
      <c r="S2882" s="1063"/>
      <c r="T2882" s="1063"/>
      <c r="U2882" s="1063"/>
      <c r="V2882" s="1063"/>
      <c r="W2882" s="1063"/>
      <c r="X2882" s="1063"/>
      <c r="Y2882" s="1063"/>
      <c r="Z2882" s="1063"/>
      <c r="AA2882" s="1063"/>
      <c r="AB2882" s="1063"/>
      <c r="AC2882" s="1063"/>
      <c r="AD2882" s="1063"/>
      <c r="AE2882" s="1063"/>
      <c r="AF2882" s="1063"/>
      <c r="AG2882" s="1063"/>
      <c r="AH2882" s="1063"/>
      <c r="AI2882" s="1063"/>
      <c r="AJ2882" s="1063"/>
      <c r="AK2882" s="1063"/>
      <c r="AL2882" s="1063"/>
      <c r="AM2882" s="1063"/>
      <c r="AN2882" s="1063"/>
      <c r="AO2882" s="1063"/>
      <c r="AP2882" s="1063"/>
      <c r="AQ2882" s="1063"/>
      <c r="AR2882" s="1063"/>
      <c r="AS2882" s="1063"/>
      <c r="AT2882" s="1063"/>
      <c r="AU2882" s="1063"/>
      <c r="AV2882" s="1063"/>
    </row>
    <row r="2883" spans="1:48" s="1108" customFormat="1" ht="27.75" customHeight="1">
      <c r="A2883" s="1076"/>
      <c r="B2883" s="1074">
        <f>+'[18]Bldg+Dev'!S3695</f>
        <v>0</v>
      </c>
      <c r="D2883" s="1063"/>
      <c r="F2883" s="1076"/>
      <c r="G2883" s="1063"/>
      <c r="H2883" s="1063"/>
      <c r="I2883" s="1063"/>
      <c r="J2883" s="1063"/>
      <c r="K2883" s="1063"/>
      <c r="L2883" s="1063"/>
      <c r="M2883" s="1063"/>
      <c r="N2883" s="1063"/>
      <c r="O2883" s="1063"/>
      <c r="P2883" s="1063"/>
      <c r="Q2883" s="1063"/>
      <c r="R2883" s="1063"/>
      <c r="S2883" s="1063"/>
      <c r="T2883" s="1063"/>
      <c r="U2883" s="1063"/>
      <c r="V2883" s="1063"/>
      <c r="W2883" s="1063"/>
      <c r="X2883" s="1063"/>
      <c r="Y2883" s="1063"/>
      <c r="Z2883" s="1063"/>
      <c r="AA2883" s="1063"/>
      <c r="AB2883" s="1063"/>
      <c r="AC2883" s="1063"/>
      <c r="AD2883" s="1063"/>
      <c r="AE2883" s="1063"/>
      <c r="AF2883" s="1063"/>
      <c r="AG2883" s="1063"/>
      <c r="AH2883" s="1063"/>
      <c r="AI2883" s="1063"/>
      <c r="AJ2883" s="1063"/>
      <c r="AK2883" s="1063"/>
      <c r="AL2883" s="1063"/>
      <c r="AM2883" s="1063"/>
      <c r="AN2883" s="1063"/>
      <c r="AO2883" s="1063"/>
      <c r="AP2883" s="1063"/>
      <c r="AQ2883" s="1063"/>
      <c r="AR2883" s="1063"/>
      <c r="AS2883" s="1063"/>
      <c r="AT2883" s="1063"/>
      <c r="AU2883" s="1063"/>
      <c r="AV2883" s="1063"/>
    </row>
    <row r="2884" spans="1:48" s="1108" customFormat="1" ht="27.75" customHeight="1">
      <c r="A2884" s="1076"/>
      <c r="B2884" s="1074">
        <f>+'[18]Bldg+Dev'!S3696</f>
        <v>0</v>
      </c>
      <c r="D2884" s="1063"/>
      <c r="F2884" s="1076"/>
      <c r="G2884" s="1063"/>
      <c r="H2884" s="1063"/>
      <c r="I2884" s="1063"/>
      <c r="J2884" s="1063"/>
      <c r="K2884" s="1063"/>
      <c r="L2884" s="1063"/>
      <c r="M2884" s="1063"/>
      <c r="N2884" s="1063"/>
      <c r="O2884" s="1063"/>
      <c r="P2884" s="1063"/>
      <c r="Q2884" s="1063"/>
      <c r="R2884" s="1063"/>
      <c r="S2884" s="1063"/>
      <c r="T2884" s="1063"/>
      <c r="U2884" s="1063"/>
      <c r="V2884" s="1063"/>
      <c r="W2884" s="1063"/>
      <c r="X2884" s="1063"/>
      <c r="Y2884" s="1063"/>
      <c r="Z2884" s="1063"/>
      <c r="AA2884" s="1063"/>
      <c r="AB2884" s="1063"/>
      <c r="AC2884" s="1063"/>
      <c r="AD2884" s="1063"/>
      <c r="AE2884" s="1063"/>
      <c r="AF2884" s="1063"/>
      <c r="AG2884" s="1063"/>
      <c r="AH2884" s="1063"/>
      <c r="AI2884" s="1063"/>
      <c r="AJ2884" s="1063"/>
      <c r="AK2884" s="1063"/>
      <c r="AL2884" s="1063"/>
      <c r="AM2884" s="1063"/>
      <c r="AN2884" s="1063"/>
      <c r="AO2884" s="1063"/>
      <c r="AP2884" s="1063"/>
      <c r="AQ2884" s="1063"/>
      <c r="AR2884" s="1063"/>
      <c r="AS2884" s="1063"/>
      <c r="AT2884" s="1063"/>
      <c r="AU2884" s="1063"/>
      <c r="AV2884" s="1063"/>
    </row>
    <row r="2885" spans="1:48" s="1108" customFormat="1" ht="27.75" customHeight="1">
      <c r="A2885" s="1076"/>
      <c r="B2885" s="1074">
        <f>+'[18]Bldg+Dev'!S3697</f>
        <v>0</v>
      </c>
      <c r="D2885" s="1063"/>
      <c r="F2885" s="1076"/>
      <c r="G2885" s="1063"/>
      <c r="H2885" s="1063"/>
      <c r="I2885" s="1063"/>
      <c r="J2885" s="1063"/>
      <c r="K2885" s="1063"/>
      <c r="L2885" s="1063"/>
      <c r="M2885" s="1063"/>
      <c r="N2885" s="1063"/>
      <c r="O2885" s="1063"/>
      <c r="P2885" s="1063"/>
      <c r="Q2885" s="1063"/>
      <c r="R2885" s="1063"/>
      <c r="S2885" s="1063"/>
      <c r="T2885" s="1063"/>
      <c r="U2885" s="1063"/>
      <c r="V2885" s="1063"/>
      <c r="W2885" s="1063"/>
      <c r="X2885" s="1063"/>
      <c r="Y2885" s="1063"/>
      <c r="Z2885" s="1063"/>
      <c r="AA2885" s="1063"/>
      <c r="AB2885" s="1063"/>
      <c r="AC2885" s="1063"/>
      <c r="AD2885" s="1063"/>
      <c r="AE2885" s="1063"/>
      <c r="AF2885" s="1063"/>
      <c r="AG2885" s="1063"/>
      <c r="AH2885" s="1063"/>
      <c r="AI2885" s="1063"/>
      <c r="AJ2885" s="1063"/>
      <c r="AK2885" s="1063"/>
      <c r="AL2885" s="1063"/>
      <c r="AM2885" s="1063"/>
      <c r="AN2885" s="1063"/>
      <c r="AO2885" s="1063"/>
      <c r="AP2885" s="1063"/>
      <c r="AQ2885" s="1063"/>
      <c r="AR2885" s="1063"/>
      <c r="AS2885" s="1063"/>
      <c r="AT2885" s="1063"/>
      <c r="AU2885" s="1063"/>
      <c r="AV2885" s="1063"/>
    </row>
    <row r="2886" spans="1:48" s="1108" customFormat="1" ht="27.75" customHeight="1">
      <c r="A2886" s="1076"/>
      <c r="B2886" s="1074">
        <f>+'[18]Bldg+Dev'!S3698</f>
        <v>0</v>
      </c>
      <c r="D2886" s="1063"/>
      <c r="F2886" s="1076"/>
      <c r="G2886" s="1063"/>
      <c r="H2886" s="1063"/>
      <c r="I2886" s="1063"/>
      <c r="J2886" s="1063"/>
      <c r="K2886" s="1063"/>
      <c r="L2886" s="1063"/>
      <c r="M2886" s="1063"/>
      <c r="N2886" s="1063"/>
      <c r="O2886" s="1063"/>
      <c r="P2886" s="1063"/>
      <c r="Q2886" s="1063"/>
      <c r="R2886" s="1063"/>
      <c r="S2886" s="1063"/>
      <c r="T2886" s="1063"/>
      <c r="U2886" s="1063"/>
      <c r="V2886" s="1063"/>
      <c r="W2886" s="1063"/>
      <c r="X2886" s="1063"/>
      <c r="Y2886" s="1063"/>
      <c r="Z2886" s="1063"/>
      <c r="AA2886" s="1063"/>
      <c r="AB2886" s="1063"/>
      <c r="AC2886" s="1063"/>
      <c r="AD2886" s="1063"/>
      <c r="AE2886" s="1063"/>
      <c r="AF2886" s="1063"/>
      <c r="AG2886" s="1063"/>
      <c r="AH2886" s="1063"/>
      <c r="AI2886" s="1063"/>
      <c r="AJ2886" s="1063"/>
      <c r="AK2886" s="1063"/>
      <c r="AL2886" s="1063"/>
      <c r="AM2886" s="1063"/>
      <c r="AN2886" s="1063"/>
      <c r="AO2886" s="1063"/>
      <c r="AP2886" s="1063"/>
      <c r="AQ2886" s="1063"/>
      <c r="AR2886" s="1063"/>
      <c r="AS2886" s="1063"/>
      <c r="AT2886" s="1063"/>
      <c r="AU2886" s="1063"/>
      <c r="AV2886" s="1063"/>
    </row>
    <row r="2887" spans="1:48" s="1108" customFormat="1" ht="27.75" customHeight="1">
      <c r="A2887" s="1076"/>
      <c r="B2887" s="1074">
        <f>+'[18]Bldg+Dev'!S3699</f>
        <v>0</v>
      </c>
      <c r="D2887" s="1063"/>
      <c r="F2887" s="1076"/>
      <c r="G2887" s="1063"/>
      <c r="H2887" s="1063"/>
      <c r="I2887" s="1063"/>
      <c r="J2887" s="1063"/>
      <c r="K2887" s="1063"/>
      <c r="L2887" s="1063"/>
      <c r="M2887" s="1063"/>
      <c r="N2887" s="1063"/>
      <c r="O2887" s="1063"/>
      <c r="P2887" s="1063"/>
      <c r="Q2887" s="1063"/>
      <c r="R2887" s="1063"/>
      <c r="S2887" s="1063"/>
      <c r="T2887" s="1063"/>
      <c r="U2887" s="1063"/>
      <c r="V2887" s="1063"/>
      <c r="W2887" s="1063"/>
      <c r="X2887" s="1063"/>
      <c r="Y2887" s="1063"/>
      <c r="Z2887" s="1063"/>
      <c r="AA2887" s="1063"/>
      <c r="AB2887" s="1063"/>
      <c r="AC2887" s="1063"/>
      <c r="AD2887" s="1063"/>
      <c r="AE2887" s="1063"/>
      <c r="AF2887" s="1063"/>
      <c r="AG2887" s="1063"/>
      <c r="AH2887" s="1063"/>
      <c r="AI2887" s="1063"/>
      <c r="AJ2887" s="1063"/>
      <c r="AK2887" s="1063"/>
      <c r="AL2887" s="1063"/>
      <c r="AM2887" s="1063"/>
      <c r="AN2887" s="1063"/>
      <c r="AO2887" s="1063"/>
      <c r="AP2887" s="1063"/>
      <c r="AQ2887" s="1063"/>
      <c r="AR2887" s="1063"/>
      <c r="AS2887" s="1063"/>
      <c r="AT2887" s="1063"/>
      <c r="AU2887" s="1063"/>
      <c r="AV2887" s="1063"/>
    </row>
    <row r="2888" spans="1:48" s="1108" customFormat="1" ht="27.75" customHeight="1">
      <c r="A2888" s="1076"/>
      <c r="B2888" s="1074">
        <f>+'[18]Bldg+Dev'!S3700</f>
        <v>0</v>
      </c>
      <c r="D2888" s="1063"/>
      <c r="F2888" s="1076"/>
      <c r="G2888" s="1063"/>
      <c r="H2888" s="1063"/>
      <c r="I2888" s="1063"/>
      <c r="J2888" s="1063"/>
      <c r="K2888" s="1063"/>
      <c r="L2888" s="1063"/>
      <c r="M2888" s="1063"/>
      <c r="N2888" s="1063"/>
      <c r="O2888" s="1063"/>
      <c r="P2888" s="1063"/>
      <c r="Q2888" s="1063"/>
      <c r="R2888" s="1063"/>
      <c r="S2888" s="1063"/>
      <c r="T2888" s="1063"/>
      <c r="U2888" s="1063"/>
      <c r="V2888" s="1063"/>
      <c r="W2888" s="1063"/>
      <c r="X2888" s="1063"/>
      <c r="Y2888" s="1063"/>
      <c r="Z2888" s="1063"/>
      <c r="AA2888" s="1063"/>
      <c r="AB2888" s="1063"/>
      <c r="AC2888" s="1063"/>
      <c r="AD2888" s="1063"/>
      <c r="AE2888" s="1063"/>
      <c r="AF2888" s="1063"/>
      <c r="AG2888" s="1063"/>
      <c r="AH2888" s="1063"/>
      <c r="AI2888" s="1063"/>
      <c r="AJ2888" s="1063"/>
      <c r="AK2888" s="1063"/>
      <c r="AL2888" s="1063"/>
      <c r="AM2888" s="1063"/>
      <c r="AN2888" s="1063"/>
      <c r="AO2888" s="1063"/>
      <c r="AP2888" s="1063"/>
      <c r="AQ2888" s="1063"/>
      <c r="AR2888" s="1063"/>
      <c r="AS2888" s="1063"/>
      <c r="AT2888" s="1063"/>
      <c r="AU2888" s="1063"/>
      <c r="AV2888" s="1063"/>
    </row>
    <row r="2889" spans="1:48" s="1108" customFormat="1" ht="27.75" customHeight="1">
      <c r="A2889" s="1076"/>
      <c r="B2889" s="1074">
        <f>+'[18]Bldg+Dev'!S3701</f>
        <v>0</v>
      </c>
      <c r="D2889" s="1063"/>
      <c r="F2889" s="1076"/>
      <c r="G2889" s="1063"/>
      <c r="H2889" s="1063"/>
      <c r="I2889" s="1063"/>
      <c r="J2889" s="1063"/>
      <c r="K2889" s="1063"/>
      <c r="L2889" s="1063"/>
      <c r="M2889" s="1063"/>
      <c r="N2889" s="1063"/>
      <c r="O2889" s="1063"/>
      <c r="P2889" s="1063"/>
      <c r="Q2889" s="1063"/>
      <c r="R2889" s="1063"/>
      <c r="S2889" s="1063"/>
      <c r="T2889" s="1063"/>
      <c r="U2889" s="1063"/>
      <c r="V2889" s="1063"/>
      <c r="W2889" s="1063"/>
      <c r="X2889" s="1063"/>
      <c r="Y2889" s="1063"/>
      <c r="Z2889" s="1063"/>
      <c r="AA2889" s="1063"/>
      <c r="AB2889" s="1063"/>
      <c r="AC2889" s="1063"/>
      <c r="AD2889" s="1063"/>
      <c r="AE2889" s="1063"/>
      <c r="AF2889" s="1063"/>
      <c r="AG2889" s="1063"/>
      <c r="AH2889" s="1063"/>
      <c r="AI2889" s="1063"/>
      <c r="AJ2889" s="1063"/>
      <c r="AK2889" s="1063"/>
      <c r="AL2889" s="1063"/>
      <c r="AM2889" s="1063"/>
      <c r="AN2889" s="1063"/>
      <c r="AO2889" s="1063"/>
      <c r="AP2889" s="1063"/>
      <c r="AQ2889" s="1063"/>
      <c r="AR2889" s="1063"/>
      <c r="AS2889" s="1063"/>
      <c r="AT2889" s="1063"/>
      <c r="AU2889" s="1063"/>
      <c r="AV2889" s="1063"/>
    </row>
    <row r="2890" spans="1:48" s="1108" customFormat="1" ht="27.75" customHeight="1">
      <c r="A2890" s="1076"/>
      <c r="B2890" s="1074">
        <f>+'[18]Bldg+Dev'!S3702</f>
        <v>0</v>
      </c>
      <c r="D2890" s="1063"/>
      <c r="F2890" s="1076"/>
      <c r="G2890" s="1063"/>
      <c r="H2890" s="1063"/>
      <c r="I2890" s="1063"/>
      <c r="J2890" s="1063"/>
      <c r="K2890" s="1063"/>
      <c r="L2890" s="1063"/>
      <c r="M2890" s="1063"/>
      <c r="N2890" s="1063"/>
      <c r="O2890" s="1063"/>
      <c r="P2890" s="1063"/>
      <c r="Q2890" s="1063"/>
      <c r="R2890" s="1063"/>
      <c r="S2890" s="1063"/>
      <c r="T2890" s="1063"/>
      <c r="U2890" s="1063"/>
      <c r="V2890" s="1063"/>
      <c r="W2890" s="1063"/>
      <c r="X2890" s="1063"/>
      <c r="Y2890" s="1063"/>
      <c r="Z2890" s="1063"/>
      <c r="AA2890" s="1063"/>
      <c r="AB2890" s="1063"/>
      <c r="AC2890" s="1063"/>
      <c r="AD2890" s="1063"/>
      <c r="AE2890" s="1063"/>
      <c r="AF2890" s="1063"/>
      <c r="AG2890" s="1063"/>
      <c r="AH2890" s="1063"/>
      <c r="AI2890" s="1063"/>
      <c r="AJ2890" s="1063"/>
      <c r="AK2890" s="1063"/>
      <c r="AL2890" s="1063"/>
      <c r="AM2890" s="1063"/>
      <c r="AN2890" s="1063"/>
      <c r="AO2890" s="1063"/>
      <c r="AP2890" s="1063"/>
      <c r="AQ2890" s="1063"/>
      <c r="AR2890" s="1063"/>
      <c r="AS2890" s="1063"/>
      <c r="AT2890" s="1063"/>
      <c r="AU2890" s="1063"/>
      <c r="AV2890" s="1063"/>
    </row>
    <row r="2891" spans="1:48" s="1108" customFormat="1" ht="27.75" customHeight="1">
      <c r="A2891" s="1076"/>
      <c r="B2891" s="1074">
        <f>+'[18]Bldg+Dev'!S3703</f>
        <v>0</v>
      </c>
      <c r="D2891" s="1063"/>
      <c r="F2891" s="1076"/>
      <c r="G2891" s="1063"/>
      <c r="H2891" s="1063"/>
      <c r="I2891" s="1063"/>
      <c r="J2891" s="1063"/>
      <c r="K2891" s="1063"/>
      <c r="L2891" s="1063"/>
      <c r="M2891" s="1063"/>
      <c r="N2891" s="1063"/>
      <c r="O2891" s="1063"/>
      <c r="P2891" s="1063"/>
      <c r="Q2891" s="1063"/>
      <c r="R2891" s="1063"/>
      <c r="S2891" s="1063"/>
      <c r="T2891" s="1063"/>
      <c r="U2891" s="1063"/>
      <c r="V2891" s="1063"/>
      <c r="W2891" s="1063"/>
      <c r="X2891" s="1063"/>
      <c r="Y2891" s="1063"/>
      <c r="Z2891" s="1063"/>
      <c r="AA2891" s="1063"/>
      <c r="AB2891" s="1063"/>
      <c r="AC2891" s="1063"/>
      <c r="AD2891" s="1063"/>
      <c r="AE2891" s="1063"/>
      <c r="AF2891" s="1063"/>
      <c r="AG2891" s="1063"/>
      <c r="AH2891" s="1063"/>
      <c r="AI2891" s="1063"/>
      <c r="AJ2891" s="1063"/>
      <c r="AK2891" s="1063"/>
      <c r="AL2891" s="1063"/>
      <c r="AM2891" s="1063"/>
      <c r="AN2891" s="1063"/>
      <c r="AO2891" s="1063"/>
      <c r="AP2891" s="1063"/>
      <c r="AQ2891" s="1063"/>
      <c r="AR2891" s="1063"/>
      <c r="AS2891" s="1063"/>
      <c r="AT2891" s="1063"/>
      <c r="AU2891" s="1063"/>
      <c r="AV2891" s="1063"/>
    </row>
    <row r="2892" spans="1:48" s="1108" customFormat="1" ht="27.75" customHeight="1">
      <c r="A2892" s="1076"/>
      <c r="B2892" s="1074">
        <f>+'[18]Bldg+Dev'!S3704</f>
        <v>0</v>
      </c>
      <c r="D2892" s="1063"/>
      <c r="F2892" s="1076"/>
      <c r="G2892" s="1063"/>
      <c r="H2892" s="1063"/>
      <c r="I2892" s="1063"/>
      <c r="J2892" s="1063"/>
      <c r="K2892" s="1063"/>
      <c r="L2892" s="1063"/>
      <c r="M2892" s="1063"/>
      <c r="N2892" s="1063"/>
      <c r="O2892" s="1063"/>
      <c r="P2892" s="1063"/>
      <c r="Q2892" s="1063"/>
      <c r="R2892" s="1063"/>
      <c r="S2892" s="1063"/>
      <c r="T2892" s="1063"/>
      <c r="U2892" s="1063"/>
      <c r="V2892" s="1063"/>
      <c r="W2892" s="1063"/>
      <c r="X2892" s="1063"/>
      <c r="Y2892" s="1063"/>
      <c r="Z2892" s="1063"/>
      <c r="AA2892" s="1063"/>
      <c r="AB2892" s="1063"/>
      <c r="AC2892" s="1063"/>
      <c r="AD2892" s="1063"/>
      <c r="AE2892" s="1063"/>
      <c r="AF2892" s="1063"/>
      <c r="AG2892" s="1063"/>
      <c r="AH2892" s="1063"/>
      <c r="AI2892" s="1063"/>
      <c r="AJ2892" s="1063"/>
      <c r="AK2892" s="1063"/>
      <c r="AL2892" s="1063"/>
      <c r="AM2892" s="1063"/>
      <c r="AN2892" s="1063"/>
      <c r="AO2892" s="1063"/>
      <c r="AP2892" s="1063"/>
      <c r="AQ2892" s="1063"/>
      <c r="AR2892" s="1063"/>
      <c r="AS2892" s="1063"/>
      <c r="AT2892" s="1063"/>
      <c r="AU2892" s="1063"/>
      <c r="AV2892" s="1063"/>
    </row>
    <row r="2893" spans="1:48" s="1108" customFormat="1" ht="27.75" customHeight="1">
      <c r="A2893" s="1076"/>
      <c r="B2893" s="1074">
        <f>+'[18]Bldg+Dev'!S3705</f>
        <v>0</v>
      </c>
      <c r="D2893" s="1063"/>
      <c r="F2893" s="1076"/>
      <c r="G2893" s="1063"/>
      <c r="H2893" s="1063"/>
      <c r="I2893" s="1063"/>
      <c r="J2893" s="1063"/>
      <c r="K2893" s="1063"/>
      <c r="L2893" s="1063"/>
      <c r="M2893" s="1063"/>
      <c r="N2893" s="1063"/>
      <c r="O2893" s="1063"/>
      <c r="P2893" s="1063"/>
      <c r="Q2893" s="1063"/>
      <c r="R2893" s="1063"/>
      <c r="S2893" s="1063"/>
      <c r="T2893" s="1063"/>
      <c r="U2893" s="1063"/>
      <c r="V2893" s="1063"/>
      <c r="W2893" s="1063"/>
      <c r="X2893" s="1063"/>
      <c r="Y2893" s="1063"/>
      <c r="Z2893" s="1063"/>
      <c r="AA2893" s="1063"/>
      <c r="AB2893" s="1063"/>
      <c r="AC2893" s="1063"/>
      <c r="AD2893" s="1063"/>
      <c r="AE2893" s="1063"/>
      <c r="AF2893" s="1063"/>
      <c r="AG2893" s="1063"/>
      <c r="AH2893" s="1063"/>
      <c r="AI2893" s="1063"/>
      <c r="AJ2893" s="1063"/>
      <c r="AK2893" s="1063"/>
      <c r="AL2893" s="1063"/>
      <c r="AM2893" s="1063"/>
      <c r="AN2893" s="1063"/>
      <c r="AO2893" s="1063"/>
      <c r="AP2893" s="1063"/>
      <c r="AQ2893" s="1063"/>
      <c r="AR2893" s="1063"/>
      <c r="AS2893" s="1063"/>
      <c r="AT2893" s="1063"/>
      <c r="AU2893" s="1063"/>
      <c r="AV2893" s="1063"/>
    </row>
    <row r="2894" spans="1:48" s="1108" customFormat="1" ht="27.75" customHeight="1">
      <c r="A2894" s="1076"/>
      <c r="B2894" s="1074">
        <f>+'[18]Bldg+Dev'!S3706</f>
        <v>0</v>
      </c>
      <c r="D2894" s="1063"/>
      <c r="F2894" s="1076"/>
      <c r="G2894" s="1063"/>
      <c r="H2894" s="1063"/>
      <c r="I2894" s="1063"/>
      <c r="J2894" s="1063"/>
      <c r="K2894" s="1063"/>
      <c r="L2894" s="1063"/>
      <c r="M2894" s="1063"/>
      <c r="N2894" s="1063"/>
      <c r="O2894" s="1063"/>
      <c r="P2894" s="1063"/>
      <c r="Q2894" s="1063"/>
      <c r="R2894" s="1063"/>
      <c r="S2894" s="1063"/>
      <c r="T2894" s="1063"/>
      <c r="U2894" s="1063"/>
      <c r="V2894" s="1063"/>
      <c r="W2894" s="1063"/>
      <c r="X2894" s="1063"/>
      <c r="Y2894" s="1063"/>
      <c r="Z2894" s="1063"/>
      <c r="AA2894" s="1063"/>
      <c r="AB2894" s="1063"/>
      <c r="AC2894" s="1063"/>
      <c r="AD2894" s="1063"/>
      <c r="AE2894" s="1063"/>
      <c r="AF2894" s="1063"/>
      <c r="AG2894" s="1063"/>
      <c r="AH2894" s="1063"/>
      <c r="AI2894" s="1063"/>
      <c r="AJ2894" s="1063"/>
      <c r="AK2894" s="1063"/>
      <c r="AL2894" s="1063"/>
      <c r="AM2894" s="1063"/>
      <c r="AN2894" s="1063"/>
      <c r="AO2894" s="1063"/>
      <c r="AP2894" s="1063"/>
      <c r="AQ2894" s="1063"/>
      <c r="AR2894" s="1063"/>
      <c r="AS2894" s="1063"/>
      <c r="AT2894" s="1063"/>
      <c r="AU2894" s="1063"/>
      <c r="AV2894" s="1063"/>
    </row>
    <row r="2895" spans="1:48" s="1108" customFormat="1" ht="27.75" customHeight="1">
      <c r="A2895" s="1076"/>
      <c r="B2895" s="1074">
        <f>+'[18]Bldg+Dev'!S3707</f>
        <v>0</v>
      </c>
      <c r="D2895" s="1063"/>
      <c r="F2895" s="1076"/>
      <c r="G2895" s="1063"/>
      <c r="H2895" s="1063"/>
      <c r="I2895" s="1063"/>
      <c r="J2895" s="1063"/>
      <c r="K2895" s="1063"/>
      <c r="L2895" s="1063"/>
      <c r="M2895" s="1063"/>
      <c r="N2895" s="1063"/>
      <c r="O2895" s="1063"/>
      <c r="P2895" s="1063"/>
      <c r="Q2895" s="1063"/>
      <c r="R2895" s="1063"/>
      <c r="S2895" s="1063"/>
      <c r="T2895" s="1063"/>
      <c r="U2895" s="1063"/>
      <c r="V2895" s="1063"/>
      <c r="W2895" s="1063"/>
      <c r="X2895" s="1063"/>
      <c r="Y2895" s="1063"/>
      <c r="Z2895" s="1063"/>
      <c r="AA2895" s="1063"/>
      <c r="AB2895" s="1063"/>
      <c r="AC2895" s="1063"/>
      <c r="AD2895" s="1063"/>
      <c r="AE2895" s="1063"/>
      <c r="AF2895" s="1063"/>
      <c r="AG2895" s="1063"/>
      <c r="AH2895" s="1063"/>
      <c r="AI2895" s="1063"/>
      <c r="AJ2895" s="1063"/>
      <c r="AK2895" s="1063"/>
      <c r="AL2895" s="1063"/>
      <c r="AM2895" s="1063"/>
      <c r="AN2895" s="1063"/>
      <c r="AO2895" s="1063"/>
      <c r="AP2895" s="1063"/>
      <c r="AQ2895" s="1063"/>
      <c r="AR2895" s="1063"/>
      <c r="AS2895" s="1063"/>
      <c r="AT2895" s="1063"/>
      <c r="AU2895" s="1063"/>
      <c r="AV2895" s="1063"/>
    </row>
    <row r="2896" spans="1:48" s="1108" customFormat="1" ht="27.75" customHeight="1">
      <c r="A2896" s="1076"/>
      <c r="B2896" s="1074">
        <f>+'[18]Bldg+Dev'!S3708</f>
        <v>0</v>
      </c>
      <c r="D2896" s="1063"/>
      <c r="F2896" s="1076"/>
      <c r="G2896" s="1063"/>
      <c r="H2896" s="1063"/>
      <c r="I2896" s="1063"/>
      <c r="J2896" s="1063"/>
      <c r="K2896" s="1063"/>
      <c r="L2896" s="1063"/>
      <c r="M2896" s="1063"/>
      <c r="N2896" s="1063"/>
      <c r="O2896" s="1063"/>
      <c r="P2896" s="1063"/>
      <c r="Q2896" s="1063"/>
      <c r="R2896" s="1063"/>
      <c r="S2896" s="1063"/>
      <c r="T2896" s="1063"/>
      <c r="U2896" s="1063"/>
      <c r="V2896" s="1063"/>
      <c r="W2896" s="1063"/>
      <c r="X2896" s="1063"/>
      <c r="Y2896" s="1063"/>
      <c r="Z2896" s="1063"/>
      <c r="AA2896" s="1063"/>
      <c r="AB2896" s="1063"/>
      <c r="AC2896" s="1063"/>
      <c r="AD2896" s="1063"/>
      <c r="AE2896" s="1063"/>
      <c r="AF2896" s="1063"/>
      <c r="AG2896" s="1063"/>
      <c r="AH2896" s="1063"/>
      <c r="AI2896" s="1063"/>
      <c r="AJ2896" s="1063"/>
      <c r="AK2896" s="1063"/>
      <c r="AL2896" s="1063"/>
      <c r="AM2896" s="1063"/>
      <c r="AN2896" s="1063"/>
      <c r="AO2896" s="1063"/>
      <c r="AP2896" s="1063"/>
      <c r="AQ2896" s="1063"/>
      <c r="AR2896" s="1063"/>
      <c r="AS2896" s="1063"/>
      <c r="AT2896" s="1063"/>
      <c r="AU2896" s="1063"/>
      <c r="AV2896" s="1063"/>
    </row>
    <row r="2897" spans="1:48" s="1108" customFormat="1" ht="27.75" customHeight="1">
      <c r="A2897" s="1076"/>
      <c r="B2897" s="1074">
        <f>+'[18]Bldg+Dev'!S3709</f>
        <v>0</v>
      </c>
      <c r="D2897" s="1063"/>
      <c r="F2897" s="1076"/>
      <c r="G2897" s="1063"/>
      <c r="H2897" s="1063"/>
      <c r="I2897" s="1063"/>
      <c r="J2897" s="1063"/>
      <c r="K2897" s="1063"/>
      <c r="L2897" s="1063"/>
      <c r="M2897" s="1063"/>
      <c r="N2897" s="1063"/>
      <c r="O2897" s="1063"/>
      <c r="P2897" s="1063"/>
      <c r="Q2897" s="1063"/>
      <c r="R2897" s="1063"/>
      <c r="S2897" s="1063"/>
      <c r="T2897" s="1063"/>
      <c r="U2897" s="1063"/>
      <c r="V2897" s="1063"/>
      <c r="W2897" s="1063"/>
      <c r="X2897" s="1063"/>
      <c r="Y2897" s="1063"/>
      <c r="Z2897" s="1063"/>
      <c r="AA2897" s="1063"/>
      <c r="AB2897" s="1063"/>
      <c r="AC2897" s="1063"/>
      <c r="AD2897" s="1063"/>
      <c r="AE2897" s="1063"/>
      <c r="AF2897" s="1063"/>
      <c r="AG2897" s="1063"/>
      <c r="AH2897" s="1063"/>
      <c r="AI2897" s="1063"/>
      <c r="AJ2897" s="1063"/>
      <c r="AK2897" s="1063"/>
      <c r="AL2897" s="1063"/>
      <c r="AM2897" s="1063"/>
      <c r="AN2897" s="1063"/>
      <c r="AO2897" s="1063"/>
      <c r="AP2897" s="1063"/>
      <c r="AQ2897" s="1063"/>
      <c r="AR2897" s="1063"/>
      <c r="AS2897" s="1063"/>
      <c r="AT2897" s="1063"/>
      <c r="AU2897" s="1063"/>
      <c r="AV2897" s="1063"/>
    </row>
    <row r="2898" spans="1:48" s="1108" customFormat="1" ht="27.75" customHeight="1">
      <c r="A2898" s="1076"/>
      <c r="B2898" s="1074">
        <f>+'[18]Bldg+Dev'!S3710</f>
        <v>0</v>
      </c>
      <c r="D2898" s="1063"/>
      <c r="F2898" s="1076"/>
      <c r="G2898" s="1063"/>
      <c r="H2898" s="1063"/>
      <c r="I2898" s="1063"/>
      <c r="J2898" s="1063"/>
      <c r="K2898" s="1063"/>
      <c r="L2898" s="1063"/>
      <c r="M2898" s="1063"/>
      <c r="N2898" s="1063"/>
      <c r="O2898" s="1063"/>
      <c r="P2898" s="1063"/>
      <c r="Q2898" s="1063"/>
      <c r="R2898" s="1063"/>
      <c r="S2898" s="1063"/>
      <c r="T2898" s="1063"/>
      <c r="U2898" s="1063"/>
      <c r="V2898" s="1063"/>
      <c r="W2898" s="1063"/>
      <c r="X2898" s="1063"/>
      <c r="Y2898" s="1063"/>
      <c r="Z2898" s="1063"/>
      <c r="AA2898" s="1063"/>
      <c r="AB2898" s="1063"/>
      <c r="AC2898" s="1063"/>
      <c r="AD2898" s="1063"/>
      <c r="AE2898" s="1063"/>
      <c r="AF2898" s="1063"/>
      <c r="AG2898" s="1063"/>
      <c r="AH2898" s="1063"/>
      <c r="AI2898" s="1063"/>
      <c r="AJ2898" s="1063"/>
      <c r="AK2898" s="1063"/>
      <c r="AL2898" s="1063"/>
      <c r="AM2898" s="1063"/>
      <c r="AN2898" s="1063"/>
      <c r="AO2898" s="1063"/>
      <c r="AP2898" s="1063"/>
      <c r="AQ2898" s="1063"/>
      <c r="AR2898" s="1063"/>
      <c r="AS2898" s="1063"/>
      <c r="AT2898" s="1063"/>
      <c r="AU2898" s="1063"/>
      <c r="AV2898" s="1063"/>
    </row>
    <row r="2899" spans="1:48" s="1108" customFormat="1" ht="27.75" customHeight="1">
      <c r="A2899" s="1076"/>
      <c r="B2899" s="1074">
        <f>+'[18]Bldg+Dev'!S3711</f>
        <v>0</v>
      </c>
      <c r="D2899" s="1063"/>
      <c r="F2899" s="1076"/>
      <c r="G2899" s="1063"/>
      <c r="H2899" s="1063"/>
      <c r="I2899" s="1063"/>
      <c r="J2899" s="1063"/>
      <c r="K2899" s="1063"/>
      <c r="L2899" s="1063"/>
      <c r="M2899" s="1063"/>
      <c r="N2899" s="1063"/>
      <c r="O2899" s="1063"/>
      <c r="P2899" s="1063"/>
      <c r="Q2899" s="1063"/>
      <c r="R2899" s="1063"/>
      <c r="S2899" s="1063"/>
      <c r="T2899" s="1063"/>
      <c r="U2899" s="1063"/>
      <c r="V2899" s="1063"/>
      <c r="W2899" s="1063"/>
      <c r="X2899" s="1063"/>
      <c r="Y2899" s="1063"/>
      <c r="Z2899" s="1063"/>
      <c r="AA2899" s="1063"/>
      <c r="AB2899" s="1063"/>
      <c r="AC2899" s="1063"/>
      <c r="AD2899" s="1063"/>
      <c r="AE2899" s="1063"/>
      <c r="AF2899" s="1063"/>
      <c r="AG2899" s="1063"/>
      <c r="AH2899" s="1063"/>
      <c r="AI2899" s="1063"/>
      <c r="AJ2899" s="1063"/>
      <c r="AK2899" s="1063"/>
      <c r="AL2899" s="1063"/>
      <c r="AM2899" s="1063"/>
      <c r="AN2899" s="1063"/>
      <c r="AO2899" s="1063"/>
      <c r="AP2899" s="1063"/>
      <c r="AQ2899" s="1063"/>
      <c r="AR2899" s="1063"/>
      <c r="AS2899" s="1063"/>
      <c r="AT2899" s="1063"/>
      <c r="AU2899" s="1063"/>
      <c r="AV2899" s="1063"/>
    </row>
    <row r="2900" spans="1:48" s="1108" customFormat="1" ht="27.75" customHeight="1">
      <c r="A2900" s="1076"/>
      <c r="B2900" s="1074">
        <f>+'[18]Bldg+Dev'!S3712</f>
        <v>0</v>
      </c>
      <c r="D2900" s="1063"/>
      <c r="F2900" s="1076"/>
      <c r="G2900" s="1063"/>
      <c r="H2900" s="1063"/>
      <c r="I2900" s="1063"/>
      <c r="J2900" s="1063"/>
      <c r="K2900" s="1063"/>
      <c r="L2900" s="1063"/>
      <c r="M2900" s="1063"/>
      <c r="N2900" s="1063"/>
      <c r="O2900" s="1063"/>
      <c r="P2900" s="1063"/>
      <c r="Q2900" s="1063"/>
      <c r="R2900" s="1063"/>
      <c r="S2900" s="1063"/>
      <c r="T2900" s="1063"/>
      <c r="U2900" s="1063"/>
      <c r="V2900" s="1063"/>
      <c r="W2900" s="1063"/>
      <c r="X2900" s="1063"/>
      <c r="Y2900" s="1063"/>
      <c r="Z2900" s="1063"/>
      <c r="AA2900" s="1063"/>
      <c r="AB2900" s="1063"/>
      <c r="AC2900" s="1063"/>
      <c r="AD2900" s="1063"/>
      <c r="AE2900" s="1063"/>
      <c r="AF2900" s="1063"/>
      <c r="AG2900" s="1063"/>
      <c r="AH2900" s="1063"/>
      <c r="AI2900" s="1063"/>
      <c r="AJ2900" s="1063"/>
      <c r="AK2900" s="1063"/>
      <c r="AL2900" s="1063"/>
      <c r="AM2900" s="1063"/>
      <c r="AN2900" s="1063"/>
      <c r="AO2900" s="1063"/>
      <c r="AP2900" s="1063"/>
      <c r="AQ2900" s="1063"/>
      <c r="AR2900" s="1063"/>
      <c r="AS2900" s="1063"/>
      <c r="AT2900" s="1063"/>
      <c r="AU2900" s="1063"/>
      <c r="AV2900" s="1063"/>
    </row>
    <row r="2901" spans="1:48" s="1108" customFormat="1" ht="27.75" customHeight="1">
      <c r="A2901" s="1076"/>
      <c r="B2901" s="1074">
        <f>+'[18]Bldg+Dev'!S3713</f>
        <v>0</v>
      </c>
      <c r="D2901" s="1063"/>
      <c r="F2901" s="1076"/>
      <c r="G2901" s="1063"/>
      <c r="H2901" s="1063"/>
      <c r="I2901" s="1063"/>
      <c r="J2901" s="1063"/>
      <c r="K2901" s="1063"/>
      <c r="L2901" s="1063"/>
      <c r="M2901" s="1063"/>
      <c r="N2901" s="1063"/>
      <c r="O2901" s="1063"/>
      <c r="P2901" s="1063"/>
      <c r="Q2901" s="1063"/>
      <c r="R2901" s="1063"/>
      <c r="S2901" s="1063"/>
      <c r="T2901" s="1063"/>
      <c r="U2901" s="1063"/>
      <c r="V2901" s="1063"/>
      <c r="W2901" s="1063"/>
      <c r="X2901" s="1063"/>
      <c r="Y2901" s="1063"/>
      <c r="Z2901" s="1063"/>
      <c r="AA2901" s="1063"/>
      <c r="AB2901" s="1063"/>
      <c r="AC2901" s="1063"/>
      <c r="AD2901" s="1063"/>
      <c r="AE2901" s="1063"/>
      <c r="AF2901" s="1063"/>
      <c r="AG2901" s="1063"/>
      <c r="AH2901" s="1063"/>
      <c r="AI2901" s="1063"/>
      <c r="AJ2901" s="1063"/>
      <c r="AK2901" s="1063"/>
      <c r="AL2901" s="1063"/>
      <c r="AM2901" s="1063"/>
      <c r="AN2901" s="1063"/>
      <c r="AO2901" s="1063"/>
      <c r="AP2901" s="1063"/>
      <c r="AQ2901" s="1063"/>
      <c r="AR2901" s="1063"/>
      <c r="AS2901" s="1063"/>
      <c r="AT2901" s="1063"/>
      <c r="AU2901" s="1063"/>
      <c r="AV2901" s="1063"/>
    </row>
    <row r="2902" spans="1:48" s="1108" customFormat="1" ht="27.75" customHeight="1">
      <c r="A2902" s="1076"/>
      <c r="B2902" s="1074">
        <f>+'[18]Bldg+Dev'!S3714</f>
        <v>0</v>
      </c>
      <c r="D2902" s="1063"/>
      <c r="F2902" s="1076"/>
      <c r="G2902" s="1063"/>
      <c r="H2902" s="1063"/>
      <c r="I2902" s="1063"/>
      <c r="J2902" s="1063"/>
      <c r="K2902" s="1063"/>
      <c r="L2902" s="1063"/>
      <c r="M2902" s="1063"/>
      <c r="N2902" s="1063"/>
      <c r="O2902" s="1063"/>
      <c r="P2902" s="1063"/>
      <c r="Q2902" s="1063"/>
      <c r="R2902" s="1063"/>
      <c r="S2902" s="1063"/>
      <c r="T2902" s="1063"/>
      <c r="U2902" s="1063"/>
      <c r="V2902" s="1063"/>
      <c r="W2902" s="1063"/>
      <c r="X2902" s="1063"/>
      <c r="Y2902" s="1063"/>
      <c r="Z2902" s="1063"/>
      <c r="AA2902" s="1063"/>
      <c r="AB2902" s="1063"/>
      <c r="AC2902" s="1063"/>
      <c r="AD2902" s="1063"/>
      <c r="AE2902" s="1063"/>
      <c r="AF2902" s="1063"/>
      <c r="AG2902" s="1063"/>
      <c r="AH2902" s="1063"/>
      <c r="AI2902" s="1063"/>
      <c r="AJ2902" s="1063"/>
      <c r="AK2902" s="1063"/>
      <c r="AL2902" s="1063"/>
      <c r="AM2902" s="1063"/>
      <c r="AN2902" s="1063"/>
      <c r="AO2902" s="1063"/>
      <c r="AP2902" s="1063"/>
      <c r="AQ2902" s="1063"/>
      <c r="AR2902" s="1063"/>
      <c r="AS2902" s="1063"/>
      <c r="AT2902" s="1063"/>
      <c r="AU2902" s="1063"/>
      <c r="AV2902" s="1063"/>
    </row>
    <row r="2903" spans="1:48" s="1108" customFormat="1" ht="27.75" customHeight="1">
      <c r="A2903" s="1076"/>
      <c r="B2903" s="1074">
        <f>+'[18]Bldg+Dev'!S3715</f>
        <v>0</v>
      </c>
      <c r="D2903" s="1063"/>
      <c r="F2903" s="1076"/>
      <c r="G2903" s="1063"/>
      <c r="H2903" s="1063"/>
      <c r="I2903" s="1063"/>
      <c r="J2903" s="1063"/>
      <c r="K2903" s="1063"/>
      <c r="L2903" s="1063"/>
      <c r="M2903" s="1063"/>
      <c r="N2903" s="1063"/>
      <c r="O2903" s="1063"/>
      <c r="P2903" s="1063"/>
      <c r="Q2903" s="1063"/>
      <c r="R2903" s="1063"/>
      <c r="S2903" s="1063"/>
      <c r="T2903" s="1063"/>
      <c r="U2903" s="1063"/>
      <c r="V2903" s="1063"/>
      <c r="W2903" s="1063"/>
      <c r="X2903" s="1063"/>
      <c r="Y2903" s="1063"/>
      <c r="Z2903" s="1063"/>
      <c r="AA2903" s="1063"/>
      <c r="AB2903" s="1063"/>
      <c r="AC2903" s="1063"/>
      <c r="AD2903" s="1063"/>
      <c r="AE2903" s="1063"/>
      <c r="AF2903" s="1063"/>
      <c r="AG2903" s="1063"/>
      <c r="AH2903" s="1063"/>
      <c r="AI2903" s="1063"/>
      <c r="AJ2903" s="1063"/>
      <c r="AK2903" s="1063"/>
      <c r="AL2903" s="1063"/>
      <c r="AM2903" s="1063"/>
      <c r="AN2903" s="1063"/>
      <c r="AO2903" s="1063"/>
      <c r="AP2903" s="1063"/>
      <c r="AQ2903" s="1063"/>
      <c r="AR2903" s="1063"/>
      <c r="AS2903" s="1063"/>
      <c r="AT2903" s="1063"/>
      <c r="AU2903" s="1063"/>
      <c r="AV2903" s="1063"/>
    </row>
    <row r="2904" spans="1:48" s="1108" customFormat="1" ht="27.75" customHeight="1">
      <c r="A2904" s="1076"/>
      <c r="B2904" s="1074">
        <f>+'[18]Bldg+Dev'!S3716</f>
        <v>0</v>
      </c>
      <c r="D2904" s="1063"/>
      <c r="F2904" s="1076"/>
      <c r="G2904" s="1063"/>
      <c r="H2904" s="1063"/>
      <c r="I2904" s="1063"/>
      <c r="J2904" s="1063"/>
      <c r="K2904" s="1063"/>
      <c r="L2904" s="1063"/>
      <c r="M2904" s="1063"/>
      <c r="N2904" s="1063"/>
      <c r="O2904" s="1063"/>
      <c r="P2904" s="1063"/>
      <c r="Q2904" s="1063"/>
      <c r="R2904" s="1063"/>
      <c r="S2904" s="1063"/>
      <c r="T2904" s="1063"/>
      <c r="U2904" s="1063"/>
      <c r="V2904" s="1063"/>
      <c r="W2904" s="1063"/>
      <c r="X2904" s="1063"/>
      <c r="Y2904" s="1063"/>
      <c r="Z2904" s="1063"/>
      <c r="AA2904" s="1063"/>
      <c r="AB2904" s="1063"/>
      <c r="AC2904" s="1063"/>
      <c r="AD2904" s="1063"/>
      <c r="AE2904" s="1063"/>
      <c r="AF2904" s="1063"/>
      <c r="AG2904" s="1063"/>
      <c r="AH2904" s="1063"/>
      <c r="AI2904" s="1063"/>
      <c r="AJ2904" s="1063"/>
      <c r="AK2904" s="1063"/>
      <c r="AL2904" s="1063"/>
      <c r="AM2904" s="1063"/>
      <c r="AN2904" s="1063"/>
      <c r="AO2904" s="1063"/>
      <c r="AP2904" s="1063"/>
      <c r="AQ2904" s="1063"/>
      <c r="AR2904" s="1063"/>
      <c r="AS2904" s="1063"/>
      <c r="AT2904" s="1063"/>
      <c r="AU2904" s="1063"/>
      <c r="AV2904" s="1063"/>
    </row>
    <row r="2905" spans="1:48" s="1108" customFormat="1" ht="27.75" customHeight="1">
      <c r="A2905" s="1076"/>
      <c r="B2905" s="1074">
        <f>+'[18]Bldg+Dev'!S3717</f>
        <v>0</v>
      </c>
      <c r="D2905" s="1063"/>
      <c r="F2905" s="1076"/>
      <c r="G2905" s="1063"/>
      <c r="H2905" s="1063"/>
      <c r="I2905" s="1063"/>
      <c r="J2905" s="1063"/>
      <c r="K2905" s="1063"/>
      <c r="L2905" s="1063"/>
      <c r="M2905" s="1063"/>
      <c r="N2905" s="1063"/>
      <c r="O2905" s="1063"/>
      <c r="P2905" s="1063"/>
      <c r="Q2905" s="1063"/>
      <c r="R2905" s="1063"/>
      <c r="S2905" s="1063"/>
      <c r="T2905" s="1063"/>
      <c r="U2905" s="1063"/>
      <c r="V2905" s="1063"/>
      <c r="W2905" s="1063"/>
      <c r="X2905" s="1063"/>
      <c r="Y2905" s="1063"/>
      <c r="Z2905" s="1063"/>
      <c r="AA2905" s="1063"/>
      <c r="AB2905" s="1063"/>
      <c r="AC2905" s="1063"/>
      <c r="AD2905" s="1063"/>
      <c r="AE2905" s="1063"/>
      <c r="AF2905" s="1063"/>
      <c r="AG2905" s="1063"/>
      <c r="AH2905" s="1063"/>
      <c r="AI2905" s="1063"/>
      <c r="AJ2905" s="1063"/>
      <c r="AK2905" s="1063"/>
      <c r="AL2905" s="1063"/>
      <c r="AM2905" s="1063"/>
      <c r="AN2905" s="1063"/>
      <c r="AO2905" s="1063"/>
      <c r="AP2905" s="1063"/>
      <c r="AQ2905" s="1063"/>
      <c r="AR2905" s="1063"/>
      <c r="AS2905" s="1063"/>
      <c r="AT2905" s="1063"/>
      <c r="AU2905" s="1063"/>
      <c r="AV2905" s="1063"/>
    </row>
    <row r="2906" spans="1:48" s="1108" customFormat="1" ht="27.75" customHeight="1">
      <c r="A2906" s="1076"/>
      <c r="B2906" s="1074">
        <f>+'[18]Bldg+Dev'!S3718</f>
        <v>0</v>
      </c>
      <c r="D2906" s="1063"/>
      <c r="F2906" s="1076"/>
      <c r="G2906" s="1063"/>
      <c r="H2906" s="1063"/>
      <c r="I2906" s="1063"/>
      <c r="J2906" s="1063"/>
      <c r="K2906" s="1063"/>
      <c r="L2906" s="1063"/>
      <c r="M2906" s="1063"/>
      <c r="N2906" s="1063"/>
      <c r="O2906" s="1063"/>
      <c r="P2906" s="1063"/>
      <c r="Q2906" s="1063"/>
      <c r="R2906" s="1063"/>
      <c r="S2906" s="1063"/>
      <c r="T2906" s="1063"/>
      <c r="U2906" s="1063"/>
      <c r="V2906" s="1063"/>
      <c r="W2906" s="1063"/>
      <c r="X2906" s="1063"/>
      <c r="Y2906" s="1063"/>
      <c r="Z2906" s="1063"/>
      <c r="AA2906" s="1063"/>
      <c r="AB2906" s="1063"/>
      <c r="AC2906" s="1063"/>
      <c r="AD2906" s="1063"/>
      <c r="AE2906" s="1063"/>
      <c r="AF2906" s="1063"/>
      <c r="AG2906" s="1063"/>
      <c r="AH2906" s="1063"/>
      <c r="AI2906" s="1063"/>
      <c r="AJ2906" s="1063"/>
      <c r="AK2906" s="1063"/>
      <c r="AL2906" s="1063"/>
      <c r="AM2906" s="1063"/>
      <c r="AN2906" s="1063"/>
      <c r="AO2906" s="1063"/>
      <c r="AP2906" s="1063"/>
      <c r="AQ2906" s="1063"/>
      <c r="AR2906" s="1063"/>
      <c r="AS2906" s="1063"/>
      <c r="AT2906" s="1063"/>
      <c r="AU2906" s="1063"/>
      <c r="AV2906" s="1063"/>
    </row>
    <row r="2907" spans="1:48" s="1108" customFormat="1" ht="27.75" customHeight="1">
      <c r="A2907" s="1076"/>
      <c r="B2907" s="1074">
        <f>+'[18]Bldg+Dev'!S3719</f>
        <v>0</v>
      </c>
      <c r="D2907" s="1063"/>
      <c r="F2907" s="1076"/>
      <c r="G2907" s="1063"/>
      <c r="H2907" s="1063"/>
      <c r="I2907" s="1063"/>
      <c r="J2907" s="1063"/>
      <c r="K2907" s="1063"/>
      <c r="L2907" s="1063"/>
      <c r="M2907" s="1063"/>
      <c r="N2907" s="1063"/>
      <c r="O2907" s="1063"/>
      <c r="P2907" s="1063"/>
      <c r="Q2907" s="1063"/>
      <c r="R2907" s="1063"/>
      <c r="S2907" s="1063"/>
      <c r="T2907" s="1063"/>
      <c r="U2907" s="1063"/>
      <c r="V2907" s="1063"/>
      <c r="W2907" s="1063"/>
      <c r="X2907" s="1063"/>
      <c r="Y2907" s="1063"/>
      <c r="Z2907" s="1063"/>
      <c r="AA2907" s="1063"/>
      <c r="AB2907" s="1063"/>
      <c r="AC2907" s="1063"/>
      <c r="AD2907" s="1063"/>
      <c r="AE2907" s="1063"/>
      <c r="AF2907" s="1063"/>
      <c r="AG2907" s="1063"/>
      <c r="AH2907" s="1063"/>
      <c r="AI2907" s="1063"/>
      <c r="AJ2907" s="1063"/>
      <c r="AK2907" s="1063"/>
      <c r="AL2907" s="1063"/>
      <c r="AM2907" s="1063"/>
      <c r="AN2907" s="1063"/>
      <c r="AO2907" s="1063"/>
      <c r="AP2907" s="1063"/>
      <c r="AQ2907" s="1063"/>
      <c r="AR2907" s="1063"/>
      <c r="AS2907" s="1063"/>
      <c r="AT2907" s="1063"/>
      <c r="AU2907" s="1063"/>
      <c r="AV2907" s="1063"/>
    </row>
    <row r="2908" spans="1:48" s="1108" customFormat="1" ht="27.75" customHeight="1">
      <c r="A2908" s="1076"/>
      <c r="B2908" s="1074">
        <f>+'[18]Bldg+Dev'!S3720</f>
        <v>0</v>
      </c>
      <c r="D2908" s="1063"/>
      <c r="F2908" s="1076"/>
      <c r="G2908" s="1063"/>
      <c r="H2908" s="1063"/>
      <c r="I2908" s="1063"/>
      <c r="J2908" s="1063"/>
      <c r="K2908" s="1063"/>
      <c r="L2908" s="1063"/>
      <c r="M2908" s="1063"/>
      <c r="N2908" s="1063"/>
      <c r="O2908" s="1063"/>
      <c r="P2908" s="1063"/>
      <c r="Q2908" s="1063"/>
      <c r="R2908" s="1063"/>
      <c r="S2908" s="1063"/>
      <c r="T2908" s="1063"/>
      <c r="U2908" s="1063"/>
      <c r="V2908" s="1063"/>
      <c r="W2908" s="1063"/>
      <c r="X2908" s="1063"/>
      <c r="Y2908" s="1063"/>
      <c r="Z2908" s="1063"/>
      <c r="AA2908" s="1063"/>
      <c r="AB2908" s="1063"/>
      <c r="AC2908" s="1063"/>
      <c r="AD2908" s="1063"/>
      <c r="AE2908" s="1063"/>
      <c r="AF2908" s="1063"/>
      <c r="AG2908" s="1063"/>
      <c r="AH2908" s="1063"/>
      <c r="AI2908" s="1063"/>
      <c r="AJ2908" s="1063"/>
      <c r="AK2908" s="1063"/>
      <c r="AL2908" s="1063"/>
      <c r="AM2908" s="1063"/>
      <c r="AN2908" s="1063"/>
      <c r="AO2908" s="1063"/>
      <c r="AP2908" s="1063"/>
      <c r="AQ2908" s="1063"/>
      <c r="AR2908" s="1063"/>
      <c r="AS2908" s="1063"/>
      <c r="AT2908" s="1063"/>
      <c r="AU2908" s="1063"/>
      <c r="AV2908" s="1063"/>
    </row>
    <row r="2909" spans="1:48" s="1108" customFormat="1" ht="27.75" customHeight="1">
      <c r="A2909" s="1076"/>
      <c r="B2909" s="1074">
        <f>+'[18]Bldg+Dev'!S3721</f>
        <v>0</v>
      </c>
      <c r="D2909" s="1063"/>
      <c r="F2909" s="1076"/>
      <c r="G2909" s="1063"/>
      <c r="H2909" s="1063"/>
      <c r="I2909" s="1063"/>
      <c r="J2909" s="1063"/>
      <c r="K2909" s="1063"/>
      <c r="L2909" s="1063"/>
      <c r="M2909" s="1063"/>
      <c r="N2909" s="1063"/>
      <c r="O2909" s="1063"/>
      <c r="P2909" s="1063"/>
      <c r="Q2909" s="1063"/>
      <c r="R2909" s="1063"/>
      <c r="S2909" s="1063"/>
      <c r="T2909" s="1063"/>
      <c r="U2909" s="1063"/>
      <c r="V2909" s="1063"/>
      <c r="W2909" s="1063"/>
      <c r="X2909" s="1063"/>
      <c r="Y2909" s="1063"/>
      <c r="Z2909" s="1063"/>
      <c r="AA2909" s="1063"/>
      <c r="AB2909" s="1063"/>
      <c r="AC2909" s="1063"/>
      <c r="AD2909" s="1063"/>
      <c r="AE2909" s="1063"/>
      <c r="AF2909" s="1063"/>
      <c r="AG2909" s="1063"/>
      <c r="AH2909" s="1063"/>
      <c r="AI2909" s="1063"/>
      <c r="AJ2909" s="1063"/>
      <c r="AK2909" s="1063"/>
      <c r="AL2909" s="1063"/>
      <c r="AM2909" s="1063"/>
      <c r="AN2909" s="1063"/>
      <c r="AO2909" s="1063"/>
      <c r="AP2909" s="1063"/>
      <c r="AQ2909" s="1063"/>
      <c r="AR2909" s="1063"/>
      <c r="AS2909" s="1063"/>
      <c r="AT2909" s="1063"/>
      <c r="AU2909" s="1063"/>
      <c r="AV2909" s="1063"/>
    </row>
    <row r="2910" spans="1:48" s="1108" customFormat="1" ht="27.75" customHeight="1">
      <c r="A2910" s="1076"/>
      <c r="B2910" s="1074">
        <f>+'[18]Bldg+Dev'!S3722</f>
        <v>0</v>
      </c>
      <c r="D2910" s="1063"/>
      <c r="F2910" s="1076"/>
      <c r="G2910" s="1063"/>
      <c r="H2910" s="1063"/>
      <c r="I2910" s="1063"/>
      <c r="J2910" s="1063"/>
      <c r="K2910" s="1063"/>
      <c r="L2910" s="1063"/>
      <c r="M2910" s="1063"/>
      <c r="N2910" s="1063"/>
      <c r="O2910" s="1063"/>
      <c r="P2910" s="1063"/>
      <c r="Q2910" s="1063"/>
      <c r="R2910" s="1063"/>
      <c r="S2910" s="1063"/>
      <c r="T2910" s="1063"/>
      <c r="U2910" s="1063"/>
      <c r="V2910" s="1063"/>
      <c r="W2910" s="1063"/>
      <c r="X2910" s="1063"/>
      <c r="Y2910" s="1063"/>
      <c r="Z2910" s="1063"/>
      <c r="AA2910" s="1063"/>
      <c r="AB2910" s="1063"/>
      <c r="AC2910" s="1063"/>
      <c r="AD2910" s="1063"/>
      <c r="AE2910" s="1063"/>
      <c r="AF2910" s="1063"/>
      <c r="AG2910" s="1063"/>
      <c r="AH2910" s="1063"/>
      <c r="AI2910" s="1063"/>
      <c r="AJ2910" s="1063"/>
      <c r="AK2910" s="1063"/>
      <c r="AL2910" s="1063"/>
      <c r="AM2910" s="1063"/>
      <c r="AN2910" s="1063"/>
      <c r="AO2910" s="1063"/>
      <c r="AP2910" s="1063"/>
      <c r="AQ2910" s="1063"/>
      <c r="AR2910" s="1063"/>
      <c r="AS2910" s="1063"/>
      <c r="AT2910" s="1063"/>
      <c r="AU2910" s="1063"/>
      <c r="AV2910" s="1063"/>
    </row>
    <row r="2911" spans="1:48" s="1108" customFormat="1" ht="27.75" customHeight="1">
      <c r="A2911" s="1076"/>
      <c r="B2911" s="1074">
        <f>+'[18]Bldg+Dev'!S3723</f>
        <v>0</v>
      </c>
      <c r="D2911" s="1063"/>
      <c r="F2911" s="1076"/>
      <c r="G2911" s="1063"/>
      <c r="H2911" s="1063"/>
      <c r="I2911" s="1063"/>
      <c r="J2911" s="1063"/>
      <c r="K2911" s="1063"/>
      <c r="L2911" s="1063"/>
      <c r="M2911" s="1063"/>
      <c r="N2911" s="1063"/>
      <c r="O2911" s="1063"/>
      <c r="P2911" s="1063"/>
      <c r="Q2911" s="1063"/>
      <c r="R2911" s="1063"/>
      <c r="S2911" s="1063"/>
      <c r="T2911" s="1063"/>
      <c r="U2911" s="1063"/>
      <c r="V2911" s="1063"/>
      <c r="W2911" s="1063"/>
      <c r="X2911" s="1063"/>
      <c r="Y2911" s="1063"/>
      <c r="Z2911" s="1063"/>
      <c r="AA2911" s="1063"/>
      <c r="AB2911" s="1063"/>
      <c r="AC2911" s="1063"/>
      <c r="AD2911" s="1063"/>
      <c r="AE2911" s="1063"/>
      <c r="AF2911" s="1063"/>
      <c r="AG2911" s="1063"/>
      <c r="AH2911" s="1063"/>
      <c r="AI2911" s="1063"/>
      <c r="AJ2911" s="1063"/>
      <c r="AK2911" s="1063"/>
      <c r="AL2911" s="1063"/>
      <c r="AM2911" s="1063"/>
      <c r="AN2911" s="1063"/>
      <c r="AO2911" s="1063"/>
      <c r="AP2911" s="1063"/>
      <c r="AQ2911" s="1063"/>
      <c r="AR2911" s="1063"/>
      <c r="AS2911" s="1063"/>
      <c r="AT2911" s="1063"/>
      <c r="AU2911" s="1063"/>
      <c r="AV2911" s="1063"/>
    </row>
    <row r="2912" spans="1:48" s="1108" customFormat="1" ht="27.75" customHeight="1">
      <c r="A2912" s="1076"/>
      <c r="B2912" s="1074">
        <f>+'[18]Bldg+Dev'!S3724</f>
        <v>0</v>
      </c>
      <c r="D2912" s="1063"/>
      <c r="F2912" s="1076"/>
      <c r="G2912" s="1063"/>
      <c r="H2912" s="1063"/>
      <c r="I2912" s="1063"/>
      <c r="J2912" s="1063"/>
      <c r="K2912" s="1063"/>
      <c r="L2912" s="1063"/>
      <c r="M2912" s="1063"/>
      <c r="N2912" s="1063"/>
      <c r="O2912" s="1063"/>
      <c r="P2912" s="1063"/>
      <c r="Q2912" s="1063"/>
      <c r="R2912" s="1063"/>
      <c r="S2912" s="1063"/>
      <c r="T2912" s="1063"/>
      <c r="U2912" s="1063"/>
      <c r="V2912" s="1063"/>
      <c r="W2912" s="1063"/>
      <c r="X2912" s="1063"/>
      <c r="Y2912" s="1063"/>
      <c r="Z2912" s="1063"/>
      <c r="AA2912" s="1063"/>
      <c r="AB2912" s="1063"/>
      <c r="AC2912" s="1063"/>
      <c r="AD2912" s="1063"/>
      <c r="AE2912" s="1063"/>
      <c r="AF2912" s="1063"/>
      <c r="AG2912" s="1063"/>
      <c r="AH2912" s="1063"/>
      <c r="AI2912" s="1063"/>
      <c r="AJ2912" s="1063"/>
      <c r="AK2912" s="1063"/>
      <c r="AL2912" s="1063"/>
      <c r="AM2912" s="1063"/>
      <c r="AN2912" s="1063"/>
      <c r="AO2912" s="1063"/>
      <c r="AP2912" s="1063"/>
      <c r="AQ2912" s="1063"/>
      <c r="AR2912" s="1063"/>
      <c r="AS2912" s="1063"/>
      <c r="AT2912" s="1063"/>
      <c r="AU2912" s="1063"/>
      <c r="AV2912" s="1063"/>
    </row>
    <row r="2913" spans="1:48" s="1108" customFormat="1" ht="27.75" customHeight="1">
      <c r="A2913" s="1076"/>
      <c r="B2913" s="1074">
        <f>+'[18]Bldg+Dev'!S3725</f>
        <v>0</v>
      </c>
      <c r="D2913" s="1063"/>
      <c r="F2913" s="1076"/>
      <c r="G2913" s="1063"/>
      <c r="H2913" s="1063"/>
      <c r="I2913" s="1063"/>
      <c r="J2913" s="1063"/>
      <c r="K2913" s="1063"/>
      <c r="L2913" s="1063"/>
      <c r="M2913" s="1063"/>
      <c r="N2913" s="1063"/>
      <c r="O2913" s="1063"/>
      <c r="P2913" s="1063"/>
      <c r="Q2913" s="1063"/>
      <c r="R2913" s="1063"/>
      <c r="S2913" s="1063"/>
      <c r="T2913" s="1063"/>
      <c r="U2913" s="1063"/>
      <c r="V2913" s="1063"/>
      <c r="W2913" s="1063"/>
      <c r="X2913" s="1063"/>
      <c r="Y2913" s="1063"/>
      <c r="Z2913" s="1063"/>
      <c r="AA2913" s="1063"/>
      <c r="AB2913" s="1063"/>
      <c r="AC2913" s="1063"/>
      <c r="AD2913" s="1063"/>
      <c r="AE2913" s="1063"/>
      <c r="AF2913" s="1063"/>
      <c r="AG2913" s="1063"/>
      <c r="AH2913" s="1063"/>
      <c r="AI2913" s="1063"/>
      <c r="AJ2913" s="1063"/>
      <c r="AK2913" s="1063"/>
      <c r="AL2913" s="1063"/>
      <c r="AM2913" s="1063"/>
      <c r="AN2913" s="1063"/>
      <c r="AO2913" s="1063"/>
      <c r="AP2913" s="1063"/>
      <c r="AQ2913" s="1063"/>
      <c r="AR2913" s="1063"/>
      <c r="AS2913" s="1063"/>
      <c r="AT2913" s="1063"/>
      <c r="AU2913" s="1063"/>
      <c r="AV2913" s="1063"/>
    </row>
    <row r="2914" spans="1:48" s="1108" customFormat="1" ht="27.75" customHeight="1">
      <c r="A2914" s="1076"/>
      <c r="B2914" s="1074">
        <f>+'[18]Bldg+Dev'!S3726</f>
        <v>0</v>
      </c>
      <c r="D2914" s="1063"/>
      <c r="F2914" s="1076"/>
      <c r="G2914" s="1063"/>
      <c r="H2914" s="1063"/>
      <c r="I2914" s="1063"/>
      <c r="J2914" s="1063"/>
      <c r="K2914" s="1063"/>
      <c r="L2914" s="1063"/>
      <c r="M2914" s="1063"/>
      <c r="N2914" s="1063"/>
      <c r="O2914" s="1063"/>
      <c r="P2914" s="1063"/>
      <c r="Q2914" s="1063"/>
      <c r="R2914" s="1063"/>
      <c r="S2914" s="1063"/>
      <c r="T2914" s="1063"/>
      <c r="U2914" s="1063"/>
      <c r="V2914" s="1063"/>
      <c r="W2914" s="1063"/>
      <c r="X2914" s="1063"/>
      <c r="Y2914" s="1063"/>
      <c r="Z2914" s="1063"/>
      <c r="AA2914" s="1063"/>
      <c r="AB2914" s="1063"/>
      <c r="AC2914" s="1063"/>
      <c r="AD2914" s="1063"/>
      <c r="AE2914" s="1063"/>
      <c r="AF2914" s="1063"/>
      <c r="AG2914" s="1063"/>
      <c r="AH2914" s="1063"/>
      <c r="AI2914" s="1063"/>
      <c r="AJ2914" s="1063"/>
      <c r="AK2914" s="1063"/>
      <c r="AL2914" s="1063"/>
      <c r="AM2914" s="1063"/>
      <c r="AN2914" s="1063"/>
      <c r="AO2914" s="1063"/>
      <c r="AP2914" s="1063"/>
      <c r="AQ2914" s="1063"/>
      <c r="AR2914" s="1063"/>
      <c r="AS2914" s="1063"/>
      <c r="AT2914" s="1063"/>
      <c r="AU2914" s="1063"/>
      <c r="AV2914" s="1063"/>
    </row>
    <row r="2915" spans="1:48" s="1108" customFormat="1" ht="27.75" customHeight="1">
      <c r="A2915" s="1076"/>
      <c r="B2915" s="1074">
        <f>+'[18]Bldg+Dev'!S3727</f>
        <v>0</v>
      </c>
      <c r="D2915" s="1063"/>
      <c r="F2915" s="1076"/>
      <c r="G2915" s="1063"/>
      <c r="H2915" s="1063"/>
      <c r="I2915" s="1063"/>
      <c r="J2915" s="1063"/>
      <c r="K2915" s="1063"/>
      <c r="L2915" s="1063"/>
      <c r="M2915" s="1063"/>
      <c r="N2915" s="1063"/>
      <c r="O2915" s="1063"/>
      <c r="P2915" s="1063"/>
      <c r="Q2915" s="1063"/>
      <c r="R2915" s="1063"/>
      <c r="S2915" s="1063"/>
      <c r="T2915" s="1063"/>
      <c r="U2915" s="1063"/>
      <c r="V2915" s="1063"/>
      <c r="W2915" s="1063"/>
      <c r="X2915" s="1063"/>
      <c r="Y2915" s="1063"/>
      <c r="Z2915" s="1063"/>
      <c r="AA2915" s="1063"/>
      <c r="AB2915" s="1063"/>
      <c r="AC2915" s="1063"/>
      <c r="AD2915" s="1063"/>
      <c r="AE2915" s="1063"/>
      <c r="AF2915" s="1063"/>
      <c r="AG2915" s="1063"/>
      <c r="AH2915" s="1063"/>
      <c r="AI2915" s="1063"/>
      <c r="AJ2915" s="1063"/>
      <c r="AK2915" s="1063"/>
      <c r="AL2915" s="1063"/>
      <c r="AM2915" s="1063"/>
      <c r="AN2915" s="1063"/>
      <c r="AO2915" s="1063"/>
      <c r="AP2915" s="1063"/>
      <c r="AQ2915" s="1063"/>
      <c r="AR2915" s="1063"/>
      <c r="AS2915" s="1063"/>
      <c r="AT2915" s="1063"/>
      <c r="AU2915" s="1063"/>
      <c r="AV2915" s="1063"/>
    </row>
    <row r="2916" spans="1:48" s="1108" customFormat="1" ht="27.75" customHeight="1">
      <c r="A2916" s="1076"/>
      <c r="B2916" s="1074">
        <f>+'[18]Bldg+Dev'!S3728</f>
        <v>0</v>
      </c>
      <c r="D2916" s="1063"/>
      <c r="F2916" s="1076"/>
      <c r="G2916" s="1063"/>
      <c r="H2916" s="1063"/>
      <c r="I2916" s="1063"/>
      <c r="J2916" s="1063"/>
      <c r="K2916" s="1063"/>
      <c r="L2916" s="1063"/>
      <c r="M2916" s="1063"/>
      <c r="N2916" s="1063"/>
      <c r="O2916" s="1063"/>
      <c r="P2916" s="1063"/>
      <c r="Q2916" s="1063"/>
      <c r="R2916" s="1063"/>
      <c r="S2916" s="1063"/>
      <c r="T2916" s="1063"/>
      <c r="U2916" s="1063"/>
      <c r="V2916" s="1063"/>
      <c r="W2916" s="1063"/>
      <c r="X2916" s="1063"/>
      <c r="Y2916" s="1063"/>
      <c r="Z2916" s="1063"/>
      <c r="AA2916" s="1063"/>
      <c r="AB2916" s="1063"/>
      <c r="AC2916" s="1063"/>
      <c r="AD2916" s="1063"/>
      <c r="AE2916" s="1063"/>
      <c r="AF2916" s="1063"/>
      <c r="AG2916" s="1063"/>
      <c r="AH2916" s="1063"/>
      <c r="AI2916" s="1063"/>
      <c r="AJ2916" s="1063"/>
      <c r="AK2916" s="1063"/>
      <c r="AL2916" s="1063"/>
      <c r="AM2916" s="1063"/>
      <c r="AN2916" s="1063"/>
      <c r="AO2916" s="1063"/>
      <c r="AP2916" s="1063"/>
      <c r="AQ2916" s="1063"/>
      <c r="AR2916" s="1063"/>
      <c r="AS2916" s="1063"/>
      <c r="AT2916" s="1063"/>
      <c r="AU2916" s="1063"/>
      <c r="AV2916" s="1063"/>
    </row>
    <row r="2917" spans="1:48" s="1108" customFormat="1" ht="27.75" customHeight="1">
      <c r="A2917" s="1076"/>
      <c r="B2917" s="1074">
        <f>+'[18]Bldg+Dev'!S3729</f>
        <v>0</v>
      </c>
      <c r="D2917" s="1063"/>
      <c r="F2917" s="1076"/>
      <c r="G2917" s="1063"/>
      <c r="H2917" s="1063"/>
      <c r="I2917" s="1063"/>
      <c r="J2917" s="1063"/>
      <c r="K2917" s="1063"/>
      <c r="L2917" s="1063"/>
      <c r="M2917" s="1063"/>
      <c r="N2917" s="1063"/>
      <c r="O2917" s="1063"/>
      <c r="P2917" s="1063"/>
      <c r="Q2917" s="1063"/>
      <c r="R2917" s="1063"/>
      <c r="S2917" s="1063"/>
      <c r="T2917" s="1063"/>
      <c r="U2917" s="1063"/>
      <c r="V2917" s="1063"/>
      <c r="W2917" s="1063"/>
      <c r="X2917" s="1063"/>
      <c r="Y2917" s="1063"/>
      <c r="Z2917" s="1063"/>
      <c r="AA2917" s="1063"/>
      <c r="AB2917" s="1063"/>
      <c r="AC2917" s="1063"/>
      <c r="AD2917" s="1063"/>
      <c r="AE2917" s="1063"/>
      <c r="AF2917" s="1063"/>
      <c r="AG2917" s="1063"/>
      <c r="AH2917" s="1063"/>
      <c r="AI2917" s="1063"/>
      <c r="AJ2917" s="1063"/>
      <c r="AK2917" s="1063"/>
      <c r="AL2917" s="1063"/>
      <c r="AM2917" s="1063"/>
      <c r="AN2917" s="1063"/>
      <c r="AO2917" s="1063"/>
      <c r="AP2917" s="1063"/>
      <c r="AQ2917" s="1063"/>
      <c r="AR2917" s="1063"/>
      <c r="AS2917" s="1063"/>
      <c r="AT2917" s="1063"/>
      <c r="AU2917" s="1063"/>
      <c r="AV2917" s="1063"/>
    </row>
    <row r="2918" spans="1:48" s="1108" customFormat="1" ht="27.75" customHeight="1">
      <c r="A2918" s="1076"/>
      <c r="B2918" s="1074">
        <f>+'[18]Bldg+Dev'!S3730</f>
        <v>0</v>
      </c>
      <c r="D2918" s="1063"/>
      <c r="F2918" s="1076"/>
      <c r="G2918" s="1063"/>
      <c r="H2918" s="1063"/>
      <c r="I2918" s="1063"/>
      <c r="J2918" s="1063"/>
      <c r="K2918" s="1063"/>
      <c r="L2918" s="1063"/>
      <c r="M2918" s="1063"/>
      <c r="N2918" s="1063"/>
      <c r="O2918" s="1063"/>
      <c r="P2918" s="1063"/>
      <c r="Q2918" s="1063"/>
      <c r="R2918" s="1063"/>
      <c r="S2918" s="1063"/>
      <c r="T2918" s="1063"/>
      <c r="U2918" s="1063"/>
      <c r="V2918" s="1063"/>
      <c r="W2918" s="1063"/>
      <c r="X2918" s="1063"/>
      <c r="Y2918" s="1063"/>
      <c r="Z2918" s="1063"/>
      <c r="AA2918" s="1063"/>
      <c r="AB2918" s="1063"/>
      <c r="AC2918" s="1063"/>
      <c r="AD2918" s="1063"/>
      <c r="AE2918" s="1063"/>
      <c r="AF2918" s="1063"/>
      <c r="AG2918" s="1063"/>
      <c r="AH2918" s="1063"/>
      <c r="AI2918" s="1063"/>
      <c r="AJ2918" s="1063"/>
      <c r="AK2918" s="1063"/>
      <c r="AL2918" s="1063"/>
      <c r="AM2918" s="1063"/>
      <c r="AN2918" s="1063"/>
      <c r="AO2918" s="1063"/>
      <c r="AP2918" s="1063"/>
      <c r="AQ2918" s="1063"/>
      <c r="AR2918" s="1063"/>
      <c r="AS2918" s="1063"/>
      <c r="AT2918" s="1063"/>
      <c r="AU2918" s="1063"/>
      <c r="AV2918" s="1063"/>
    </row>
    <row r="2919" spans="1:48" s="1108" customFormat="1" ht="27.75" customHeight="1">
      <c r="A2919" s="1076"/>
      <c r="B2919" s="1074">
        <f>+'[18]Bldg+Dev'!S3731</f>
        <v>0</v>
      </c>
      <c r="D2919" s="1063"/>
      <c r="F2919" s="1076"/>
      <c r="G2919" s="1063"/>
      <c r="H2919" s="1063"/>
      <c r="I2919" s="1063"/>
      <c r="J2919" s="1063"/>
      <c r="K2919" s="1063"/>
      <c r="L2919" s="1063"/>
      <c r="M2919" s="1063"/>
      <c r="N2919" s="1063"/>
      <c r="O2919" s="1063"/>
      <c r="P2919" s="1063"/>
      <c r="Q2919" s="1063"/>
      <c r="R2919" s="1063"/>
      <c r="S2919" s="1063"/>
      <c r="T2919" s="1063"/>
      <c r="U2919" s="1063"/>
      <c r="V2919" s="1063"/>
      <c r="W2919" s="1063"/>
      <c r="X2919" s="1063"/>
      <c r="Y2919" s="1063"/>
      <c r="Z2919" s="1063"/>
      <c r="AA2919" s="1063"/>
      <c r="AB2919" s="1063"/>
      <c r="AC2919" s="1063"/>
      <c r="AD2919" s="1063"/>
      <c r="AE2919" s="1063"/>
      <c r="AF2919" s="1063"/>
      <c r="AG2919" s="1063"/>
      <c r="AH2919" s="1063"/>
      <c r="AI2919" s="1063"/>
      <c r="AJ2919" s="1063"/>
      <c r="AK2919" s="1063"/>
      <c r="AL2919" s="1063"/>
      <c r="AM2919" s="1063"/>
      <c r="AN2919" s="1063"/>
      <c r="AO2919" s="1063"/>
      <c r="AP2919" s="1063"/>
      <c r="AQ2919" s="1063"/>
      <c r="AR2919" s="1063"/>
      <c r="AS2919" s="1063"/>
      <c r="AT2919" s="1063"/>
      <c r="AU2919" s="1063"/>
      <c r="AV2919" s="1063"/>
    </row>
    <row r="2920" spans="1:48" s="1108" customFormat="1" ht="27.75" customHeight="1">
      <c r="A2920" s="1076"/>
      <c r="B2920" s="1074">
        <f>+'[18]Bldg+Dev'!S3732</f>
        <v>0</v>
      </c>
      <c r="D2920" s="1063"/>
      <c r="F2920" s="1076"/>
      <c r="G2920" s="1063"/>
      <c r="H2920" s="1063"/>
      <c r="I2920" s="1063"/>
      <c r="J2920" s="1063"/>
      <c r="K2920" s="1063"/>
      <c r="L2920" s="1063"/>
      <c r="M2920" s="1063"/>
      <c r="N2920" s="1063"/>
      <c r="O2920" s="1063"/>
      <c r="P2920" s="1063"/>
      <c r="Q2920" s="1063"/>
      <c r="R2920" s="1063"/>
      <c r="S2920" s="1063"/>
      <c r="T2920" s="1063"/>
      <c r="U2920" s="1063"/>
      <c r="V2920" s="1063"/>
      <c r="W2920" s="1063"/>
      <c r="X2920" s="1063"/>
      <c r="Y2920" s="1063"/>
      <c r="Z2920" s="1063"/>
      <c r="AA2920" s="1063"/>
      <c r="AB2920" s="1063"/>
      <c r="AC2920" s="1063"/>
      <c r="AD2920" s="1063"/>
      <c r="AE2920" s="1063"/>
      <c r="AF2920" s="1063"/>
      <c r="AG2920" s="1063"/>
      <c r="AH2920" s="1063"/>
      <c r="AI2920" s="1063"/>
      <c r="AJ2920" s="1063"/>
      <c r="AK2920" s="1063"/>
      <c r="AL2920" s="1063"/>
      <c r="AM2920" s="1063"/>
      <c r="AN2920" s="1063"/>
      <c r="AO2920" s="1063"/>
      <c r="AP2920" s="1063"/>
      <c r="AQ2920" s="1063"/>
      <c r="AR2920" s="1063"/>
      <c r="AS2920" s="1063"/>
      <c r="AT2920" s="1063"/>
      <c r="AU2920" s="1063"/>
      <c r="AV2920" s="1063"/>
    </row>
    <row r="2921" spans="1:48" s="1108" customFormat="1" ht="27.75" customHeight="1">
      <c r="A2921" s="1076"/>
      <c r="B2921" s="1074">
        <f>+'[18]Bldg+Dev'!S3733</f>
        <v>0</v>
      </c>
      <c r="D2921" s="1063"/>
      <c r="F2921" s="1076"/>
      <c r="G2921" s="1063"/>
      <c r="H2921" s="1063"/>
      <c r="I2921" s="1063"/>
      <c r="J2921" s="1063"/>
      <c r="K2921" s="1063"/>
      <c r="L2921" s="1063"/>
      <c r="M2921" s="1063"/>
      <c r="N2921" s="1063"/>
      <c r="O2921" s="1063"/>
      <c r="P2921" s="1063"/>
      <c r="Q2921" s="1063"/>
      <c r="R2921" s="1063"/>
      <c r="S2921" s="1063"/>
      <c r="T2921" s="1063"/>
      <c r="U2921" s="1063"/>
      <c r="V2921" s="1063"/>
      <c r="W2921" s="1063"/>
      <c r="X2921" s="1063"/>
      <c r="Y2921" s="1063"/>
      <c r="Z2921" s="1063"/>
      <c r="AA2921" s="1063"/>
      <c r="AB2921" s="1063"/>
      <c r="AC2921" s="1063"/>
      <c r="AD2921" s="1063"/>
      <c r="AE2921" s="1063"/>
      <c r="AF2921" s="1063"/>
      <c r="AG2921" s="1063"/>
      <c r="AH2921" s="1063"/>
      <c r="AI2921" s="1063"/>
      <c r="AJ2921" s="1063"/>
      <c r="AK2921" s="1063"/>
      <c r="AL2921" s="1063"/>
      <c r="AM2921" s="1063"/>
      <c r="AN2921" s="1063"/>
      <c r="AO2921" s="1063"/>
      <c r="AP2921" s="1063"/>
      <c r="AQ2921" s="1063"/>
      <c r="AR2921" s="1063"/>
      <c r="AS2921" s="1063"/>
      <c r="AT2921" s="1063"/>
      <c r="AU2921" s="1063"/>
      <c r="AV2921" s="1063"/>
    </row>
    <row r="2922" spans="1:48" s="1108" customFormat="1" ht="27.75" customHeight="1">
      <c r="A2922" s="1076"/>
      <c r="B2922" s="1074">
        <f>+'[18]Bldg+Dev'!S3734</f>
        <v>0</v>
      </c>
      <c r="D2922" s="1063"/>
      <c r="F2922" s="1076"/>
      <c r="G2922" s="1063"/>
      <c r="H2922" s="1063"/>
      <c r="I2922" s="1063"/>
      <c r="J2922" s="1063"/>
      <c r="K2922" s="1063"/>
      <c r="L2922" s="1063"/>
      <c r="M2922" s="1063"/>
      <c r="N2922" s="1063"/>
      <c r="O2922" s="1063"/>
      <c r="P2922" s="1063"/>
      <c r="Q2922" s="1063"/>
      <c r="R2922" s="1063"/>
      <c r="S2922" s="1063"/>
      <c r="T2922" s="1063"/>
      <c r="U2922" s="1063"/>
      <c r="V2922" s="1063"/>
      <c r="W2922" s="1063"/>
      <c r="X2922" s="1063"/>
      <c r="Y2922" s="1063"/>
      <c r="Z2922" s="1063"/>
      <c r="AA2922" s="1063"/>
      <c r="AB2922" s="1063"/>
      <c r="AC2922" s="1063"/>
      <c r="AD2922" s="1063"/>
      <c r="AE2922" s="1063"/>
      <c r="AF2922" s="1063"/>
      <c r="AG2922" s="1063"/>
      <c r="AH2922" s="1063"/>
      <c r="AI2922" s="1063"/>
      <c r="AJ2922" s="1063"/>
      <c r="AK2922" s="1063"/>
      <c r="AL2922" s="1063"/>
      <c r="AM2922" s="1063"/>
      <c r="AN2922" s="1063"/>
      <c r="AO2922" s="1063"/>
      <c r="AP2922" s="1063"/>
      <c r="AQ2922" s="1063"/>
      <c r="AR2922" s="1063"/>
      <c r="AS2922" s="1063"/>
      <c r="AT2922" s="1063"/>
      <c r="AU2922" s="1063"/>
      <c r="AV2922" s="1063"/>
    </row>
    <row r="2923" spans="1:48" s="1108" customFormat="1" ht="27.75" customHeight="1">
      <c r="A2923" s="1076"/>
      <c r="B2923" s="1074">
        <f>+'[18]Bldg+Dev'!S3735</f>
        <v>0</v>
      </c>
      <c r="D2923" s="1063"/>
      <c r="F2923" s="1076"/>
      <c r="G2923" s="1063"/>
      <c r="H2923" s="1063"/>
      <c r="I2923" s="1063"/>
      <c r="J2923" s="1063"/>
      <c r="K2923" s="1063"/>
      <c r="L2923" s="1063"/>
      <c r="M2923" s="1063"/>
      <c r="N2923" s="1063"/>
      <c r="O2923" s="1063"/>
      <c r="P2923" s="1063"/>
      <c r="Q2923" s="1063"/>
      <c r="R2923" s="1063"/>
      <c r="S2923" s="1063"/>
      <c r="T2923" s="1063"/>
      <c r="U2923" s="1063"/>
      <c r="V2923" s="1063"/>
      <c r="W2923" s="1063"/>
      <c r="X2923" s="1063"/>
      <c r="Y2923" s="1063"/>
      <c r="Z2923" s="1063"/>
      <c r="AA2923" s="1063"/>
      <c r="AB2923" s="1063"/>
      <c r="AC2923" s="1063"/>
      <c r="AD2923" s="1063"/>
      <c r="AE2923" s="1063"/>
      <c r="AF2923" s="1063"/>
      <c r="AG2923" s="1063"/>
      <c r="AH2923" s="1063"/>
      <c r="AI2923" s="1063"/>
      <c r="AJ2923" s="1063"/>
      <c r="AK2923" s="1063"/>
      <c r="AL2923" s="1063"/>
      <c r="AM2923" s="1063"/>
      <c r="AN2923" s="1063"/>
      <c r="AO2923" s="1063"/>
      <c r="AP2923" s="1063"/>
      <c r="AQ2923" s="1063"/>
      <c r="AR2923" s="1063"/>
      <c r="AS2923" s="1063"/>
      <c r="AT2923" s="1063"/>
      <c r="AU2923" s="1063"/>
      <c r="AV2923" s="1063"/>
    </row>
    <row r="2924" spans="1:48" s="1108" customFormat="1" ht="27.75" customHeight="1">
      <c r="A2924" s="1076"/>
      <c r="B2924" s="1074">
        <f>+'[18]Bldg+Dev'!S3736</f>
        <v>0</v>
      </c>
      <c r="D2924" s="1063"/>
      <c r="F2924" s="1076"/>
      <c r="G2924" s="1063"/>
      <c r="H2924" s="1063"/>
      <c r="I2924" s="1063"/>
      <c r="J2924" s="1063"/>
      <c r="K2924" s="1063"/>
      <c r="L2924" s="1063"/>
      <c r="M2924" s="1063"/>
      <c r="N2924" s="1063"/>
      <c r="O2924" s="1063"/>
      <c r="P2924" s="1063"/>
      <c r="Q2924" s="1063"/>
      <c r="R2924" s="1063"/>
      <c r="S2924" s="1063"/>
      <c r="T2924" s="1063"/>
      <c r="U2924" s="1063"/>
      <c r="V2924" s="1063"/>
      <c r="W2924" s="1063"/>
      <c r="X2924" s="1063"/>
      <c r="Y2924" s="1063"/>
      <c r="Z2924" s="1063"/>
      <c r="AA2924" s="1063"/>
      <c r="AB2924" s="1063"/>
      <c r="AC2924" s="1063"/>
      <c r="AD2924" s="1063"/>
      <c r="AE2924" s="1063"/>
      <c r="AF2924" s="1063"/>
      <c r="AG2924" s="1063"/>
      <c r="AH2924" s="1063"/>
      <c r="AI2924" s="1063"/>
      <c r="AJ2924" s="1063"/>
      <c r="AK2924" s="1063"/>
      <c r="AL2924" s="1063"/>
      <c r="AM2924" s="1063"/>
      <c r="AN2924" s="1063"/>
      <c r="AO2924" s="1063"/>
      <c r="AP2924" s="1063"/>
      <c r="AQ2924" s="1063"/>
      <c r="AR2924" s="1063"/>
      <c r="AS2924" s="1063"/>
      <c r="AT2924" s="1063"/>
      <c r="AU2924" s="1063"/>
      <c r="AV2924" s="1063"/>
    </row>
    <row r="2925" spans="1:48" s="1108" customFormat="1" ht="27.75" customHeight="1">
      <c r="A2925" s="1076"/>
      <c r="B2925" s="1074">
        <f>+'[18]Bldg+Dev'!S3737</f>
        <v>0</v>
      </c>
      <c r="D2925" s="1063"/>
      <c r="F2925" s="1076"/>
      <c r="G2925" s="1063"/>
      <c r="H2925" s="1063"/>
      <c r="I2925" s="1063"/>
      <c r="J2925" s="1063"/>
      <c r="K2925" s="1063"/>
      <c r="L2925" s="1063"/>
      <c r="M2925" s="1063"/>
      <c r="N2925" s="1063"/>
      <c r="O2925" s="1063"/>
      <c r="P2925" s="1063"/>
      <c r="Q2925" s="1063"/>
      <c r="R2925" s="1063"/>
      <c r="S2925" s="1063"/>
      <c r="T2925" s="1063"/>
      <c r="U2925" s="1063"/>
      <c r="V2925" s="1063"/>
      <c r="W2925" s="1063"/>
      <c r="X2925" s="1063"/>
      <c r="Y2925" s="1063"/>
      <c r="Z2925" s="1063"/>
      <c r="AA2925" s="1063"/>
      <c r="AB2925" s="1063"/>
      <c r="AC2925" s="1063"/>
      <c r="AD2925" s="1063"/>
      <c r="AE2925" s="1063"/>
      <c r="AF2925" s="1063"/>
      <c r="AG2925" s="1063"/>
      <c r="AH2925" s="1063"/>
      <c r="AI2925" s="1063"/>
      <c r="AJ2925" s="1063"/>
      <c r="AK2925" s="1063"/>
      <c r="AL2925" s="1063"/>
      <c r="AM2925" s="1063"/>
      <c r="AN2925" s="1063"/>
      <c r="AO2925" s="1063"/>
      <c r="AP2925" s="1063"/>
      <c r="AQ2925" s="1063"/>
      <c r="AR2925" s="1063"/>
      <c r="AS2925" s="1063"/>
      <c r="AT2925" s="1063"/>
      <c r="AU2925" s="1063"/>
      <c r="AV2925" s="1063"/>
    </row>
    <row r="2926" spans="1:48" s="1108" customFormat="1" ht="27.75" customHeight="1">
      <c r="A2926" s="1076"/>
      <c r="B2926" s="1074">
        <f>+'[18]Bldg+Dev'!S3738</f>
        <v>0</v>
      </c>
      <c r="D2926" s="1063"/>
      <c r="F2926" s="1076"/>
      <c r="G2926" s="1063"/>
      <c r="H2926" s="1063"/>
      <c r="I2926" s="1063"/>
      <c r="J2926" s="1063"/>
      <c r="K2926" s="1063"/>
      <c r="L2926" s="1063"/>
      <c r="M2926" s="1063"/>
      <c r="N2926" s="1063"/>
      <c r="O2926" s="1063"/>
      <c r="P2926" s="1063"/>
      <c r="Q2926" s="1063"/>
      <c r="R2926" s="1063"/>
      <c r="S2926" s="1063"/>
      <c r="T2926" s="1063"/>
      <c r="U2926" s="1063"/>
      <c r="V2926" s="1063"/>
      <c r="W2926" s="1063"/>
      <c r="X2926" s="1063"/>
      <c r="Y2926" s="1063"/>
      <c r="Z2926" s="1063"/>
      <c r="AA2926" s="1063"/>
      <c r="AB2926" s="1063"/>
      <c r="AC2926" s="1063"/>
      <c r="AD2926" s="1063"/>
      <c r="AE2926" s="1063"/>
      <c r="AF2926" s="1063"/>
      <c r="AG2926" s="1063"/>
      <c r="AH2926" s="1063"/>
      <c r="AI2926" s="1063"/>
      <c r="AJ2926" s="1063"/>
      <c r="AK2926" s="1063"/>
      <c r="AL2926" s="1063"/>
      <c r="AM2926" s="1063"/>
      <c r="AN2926" s="1063"/>
      <c r="AO2926" s="1063"/>
      <c r="AP2926" s="1063"/>
      <c r="AQ2926" s="1063"/>
      <c r="AR2926" s="1063"/>
      <c r="AS2926" s="1063"/>
      <c r="AT2926" s="1063"/>
      <c r="AU2926" s="1063"/>
      <c r="AV2926" s="1063"/>
    </row>
    <row r="2927" spans="1:48" s="1108" customFormat="1" ht="27.75" customHeight="1">
      <c r="A2927" s="1076"/>
      <c r="B2927" s="1074">
        <f>+'[18]Bldg+Dev'!S3739</f>
        <v>0</v>
      </c>
      <c r="D2927" s="1063"/>
      <c r="F2927" s="1076"/>
      <c r="G2927" s="1063"/>
      <c r="H2927" s="1063"/>
      <c r="I2927" s="1063"/>
      <c r="J2927" s="1063"/>
      <c r="K2927" s="1063"/>
      <c r="L2927" s="1063"/>
      <c r="M2927" s="1063"/>
      <c r="N2927" s="1063"/>
      <c r="O2927" s="1063"/>
      <c r="P2927" s="1063"/>
      <c r="Q2927" s="1063"/>
      <c r="R2927" s="1063"/>
      <c r="S2927" s="1063"/>
      <c r="T2927" s="1063"/>
      <c r="U2927" s="1063"/>
      <c r="V2927" s="1063"/>
      <c r="W2927" s="1063"/>
      <c r="X2927" s="1063"/>
      <c r="Y2927" s="1063"/>
      <c r="Z2927" s="1063"/>
      <c r="AA2927" s="1063"/>
      <c r="AB2927" s="1063"/>
      <c r="AC2927" s="1063"/>
      <c r="AD2927" s="1063"/>
      <c r="AE2927" s="1063"/>
      <c r="AF2927" s="1063"/>
      <c r="AG2927" s="1063"/>
      <c r="AH2927" s="1063"/>
      <c r="AI2927" s="1063"/>
      <c r="AJ2927" s="1063"/>
      <c r="AK2927" s="1063"/>
      <c r="AL2927" s="1063"/>
      <c r="AM2927" s="1063"/>
      <c r="AN2927" s="1063"/>
      <c r="AO2927" s="1063"/>
      <c r="AP2927" s="1063"/>
      <c r="AQ2927" s="1063"/>
      <c r="AR2927" s="1063"/>
      <c r="AS2927" s="1063"/>
      <c r="AT2927" s="1063"/>
      <c r="AU2927" s="1063"/>
      <c r="AV2927" s="1063"/>
    </row>
    <row r="2928" spans="1:48" s="1108" customFormat="1" ht="27.75" customHeight="1">
      <c r="A2928" s="1076"/>
      <c r="B2928" s="1074">
        <f>+'[18]Bldg+Dev'!S3740</f>
        <v>0</v>
      </c>
      <c r="D2928" s="1063"/>
      <c r="F2928" s="1076"/>
      <c r="G2928" s="1063"/>
      <c r="H2928" s="1063"/>
      <c r="I2928" s="1063"/>
      <c r="J2928" s="1063"/>
      <c r="K2928" s="1063"/>
      <c r="L2928" s="1063"/>
      <c r="M2928" s="1063"/>
      <c r="N2928" s="1063"/>
      <c r="O2928" s="1063"/>
      <c r="P2928" s="1063"/>
      <c r="Q2928" s="1063"/>
      <c r="R2928" s="1063"/>
      <c r="S2928" s="1063"/>
      <c r="T2928" s="1063"/>
      <c r="U2928" s="1063"/>
      <c r="V2928" s="1063"/>
      <c r="W2928" s="1063"/>
      <c r="X2928" s="1063"/>
      <c r="Y2928" s="1063"/>
      <c r="Z2928" s="1063"/>
      <c r="AA2928" s="1063"/>
      <c r="AB2928" s="1063"/>
      <c r="AC2928" s="1063"/>
      <c r="AD2928" s="1063"/>
      <c r="AE2928" s="1063"/>
      <c r="AF2928" s="1063"/>
      <c r="AG2928" s="1063"/>
      <c r="AH2928" s="1063"/>
      <c r="AI2928" s="1063"/>
      <c r="AJ2928" s="1063"/>
      <c r="AK2928" s="1063"/>
      <c r="AL2928" s="1063"/>
      <c r="AM2928" s="1063"/>
      <c r="AN2928" s="1063"/>
      <c r="AO2928" s="1063"/>
      <c r="AP2928" s="1063"/>
      <c r="AQ2928" s="1063"/>
      <c r="AR2928" s="1063"/>
      <c r="AS2928" s="1063"/>
      <c r="AT2928" s="1063"/>
      <c r="AU2928" s="1063"/>
      <c r="AV2928" s="1063"/>
    </row>
    <row r="2929" spans="1:48" s="1108" customFormat="1" ht="27.75" customHeight="1">
      <c r="A2929" s="1076"/>
      <c r="B2929" s="1074">
        <f>+'[18]Bldg+Dev'!S3741</f>
        <v>0</v>
      </c>
      <c r="D2929" s="1063"/>
      <c r="F2929" s="1076"/>
      <c r="G2929" s="1063"/>
      <c r="H2929" s="1063"/>
      <c r="I2929" s="1063"/>
      <c r="J2929" s="1063"/>
      <c r="K2929" s="1063"/>
      <c r="L2929" s="1063"/>
      <c r="M2929" s="1063"/>
      <c r="N2929" s="1063"/>
      <c r="O2929" s="1063"/>
      <c r="P2929" s="1063"/>
      <c r="Q2929" s="1063"/>
      <c r="R2929" s="1063"/>
      <c r="S2929" s="1063"/>
      <c r="T2929" s="1063"/>
      <c r="U2929" s="1063"/>
      <c r="V2929" s="1063"/>
      <c r="W2929" s="1063"/>
      <c r="X2929" s="1063"/>
      <c r="Y2929" s="1063"/>
      <c r="Z2929" s="1063"/>
      <c r="AA2929" s="1063"/>
      <c r="AB2929" s="1063"/>
      <c r="AC2929" s="1063"/>
      <c r="AD2929" s="1063"/>
      <c r="AE2929" s="1063"/>
      <c r="AF2929" s="1063"/>
      <c r="AG2929" s="1063"/>
      <c r="AH2929" s="1063"/>
      <c r="AI2929" s="1063"/>
      <c r="AJ2929" s="1063"/>
      <c r="AK2929" s="1063"/>
      <c r="AL2929" s="1063"/>
      <c r="AM2929" s="1063"/>
      <c r="AN2929" s="1063"/>
      <c r="AO2929" s="1063"/>
      <c r="AP2929" s="1063"/>
      <c r="AQ2929" s="1063"/>
      <c r="AR2929" s="1063"/>
      <c r="AS2929" s="1063"/>
      <c r="AT2929" s="1063"/>
      <c r="AU2929" s="1063"/>
      <c r="AV2929" s="1063"/>
    </row>
    <row r="2930" spans="1:48" s="1108" customFormat="1" ht="27.75" customHeight="1">
      <c r="A2930" s="1076"/>
      <c r="B2930" s="1074">
        <f>+'[18]Bldg+Dev'!S3742</f>
        <v>0</v>
      </c>
      <c r="D2930" s="1063"/>
      <c r="F2930" s="1076"/>
      <c r="G2930" s="1063"/>
      <c r="H2930" s="1063"/>
      <c r="I2930" s="1063"/>
      <c r="J2930" s="1063"/>
      <c r="K2930" s="1063"/>
      <c r="L2930" s="1063"/>
      <c r="M2930" s="1063"/>
      <c r="N2930" s="1063"/>
      <c r="O2930" s="1063"/>
      <c r="P2930" s="1063"/>
      <c r="Q2930" s="1063"/>
      <c r="R2930" s="1063"/>
      <c r="S2930" s="1063"/>
      <c r="T2930" s="1063"/>
      <c r="U2930" s="1063"/>
      <c r="V2930" s="1063"/>
      <c r="W2930" s="1063"/>
      <c r="X2930" s="1063"/>
      <c r="Y2930" s="1063"/>
      <c r="Z2930" s="1063"/>
      <c r="AA2930" s="1063"/>
      <c r="AB2930" s="1063"/>
      <c r="AC2930" s="1063"/>
      <c r="AD2930" s="1063"/>
      <c r="AE2930" s="1063"/>
      <c r="AF2930" s="1063"/>
      <c r="AG2930" s="1063"/>
      <c r="AH2930" s="1063"/>
      <c r="AI2930" s="1063"/>
      <c r="AJ2930" s="1063"/>
      <c r="AK2930" s="1063"/>
      <c r="AL2930" s="1063"/>
      <c r="AM2930" s="1063"/>
      <c r="AN2930" s="1063"/>
      <c r="AO2930" s="1063"/>
      <c r="AP2930" s="1063"/>
      <c r="AQ2930" s="1063"/>
      <c r="AR2930" s="1063"/>
      <c r="AS2930" s="1063"/>
      <c r="AT2930" s="1063"/>
      <c r="AU2930" s="1063"/>
      <c r="AV2930" s="1063"/>
    </row>
    <row r="2931" spans="1:48" s="1108" customFormat="1" ht="27.75" customHeight="1">
      <c r="A2931" s="1076"/>
      <c r="B2931" s="1074">
        <f>+'[18]Bldg+Dev'!S3743</f>
        <v>0</v>
      </c>
      <c r="D2931" s="1063"/>
      <c r="F2931" s="1076"/>
      <c r="G2931" s="1063"/>
      <c r="H2931" s="1063"/>
      <c r="I2931" s="1063"/>
      <c r="J2931" s="1063"/>
      <c r="K2931" s="1063"/>
      <c r="L2931" s="1063"/>
      <c r="M2931" s="1063"/>
      <c r="N2931" s="1063"/>
      <c r="O2931" s="1063"/>
      <c r="P2931" s="1063"/>
      <c r="Q2931" s="1063"/>
      <c r="R2931" s="1063"/>
      <c r="S2931" s="1063"/>
      <c r="T2931" s="1063"/>
      <c r="U2931" s="1063"/>
      <c r="V2931" s="1063"/>
      <c r="W2931" s="1063"/>
      <c r="X2931" s="1063"/>
      <c r="Y2931" s="1063"/>
      <c r="Z2931" s="1063"/>
      <c r="AA2931" s="1063"/>
      <c r="AB2931" s="1063"/>
      <c r="AC2931" s="1063"/>
      <c r="AD2931" s="1063"/>
      <c r="AE2931" s="1063"/>
      <c r="AF2931" s="1063"/>
      <c r="AG2931" s="1063"/>
      <c r="AH2931" s="1063"/>
      <c r="AI2931" s="1063"/>
      <c r="AJ2931" s="1063"/>
      <c r="AK2931" s="1063"/>
      <c r="AL2931" s="1063"/>
      <c r="AM2931" s="1063"/>
      <c r="AN2931" s="1063"/>
      <c r="AO2931" s="1063"/>
      <c r="AP2931" s="1063"/>
      <c r="AQ2931" s="1063"/>
      <c r="AR2931" s="1063"/>
      <c r="AS2931" s="1063"/>
      <c r="AT2931" s="1063"/>
      <c r="AU2931" s="1063"/>
      <c r="AV2931" s="1063"/>
    </row>
    <row r="2932" spans="1:48" s="1108" customFormat="1" ht="27.75" customHeight="1">
      <c r="A2932" s="1076"/>
      <c r="B2932" s="1074">
        <f>+'[18]Bldg+Dev'!S3744</f>
        <v>0</v>
      </c>
      <c r="D2932" s="1063"/>
      <c r="F2932" s="1076"/>
      <c r="G2932" s="1063"/>
      <c r="H2932" s="1063"/>
      <c r="I2932" s="1063"/>
      <c r="J2932" s="1063"/>
      <c r="K2932" s="1063"/>
      <c r="L2932" s="1063"/>
      <c r="M2932" s="1063"/>
      <c r="N2932" s="1063"/>
      <c r="O2932" s="1063"/>
      <c r="P2932" s="1063"/>
      <c r="Q2932" s="1063"/>
      <c r="R2932" s="1063"/>
      <c r="S2932" s="1063"/>
      <c r="T2932" s="1063"/>
      <c r="U2932" s="1063"/>
      <c r="V2932" s="1063"/>
      <c r="W2932" s="1063"/>
      <c r="X2932" s="1063"/>
      <c r="Y2932" s="1063"/>
      <c r="Z2932" s="1063"/>
      <c r="AA2932" s="1063"/>
      <c r="AB2932" s="1063"/>
      <c r="AC2932" s="1063"/>
      <c r="AD2932" s="1063"/>
      <c r="AE2932" s="1063"/>
      <c r="AF2932" s="1063"/>
      <c r="AG2932" s="1063"/>
      <c r="AH2932" s="1063"/>
      <c r="AI2932" s="1063"/>
      <c r="AJ2932" s="1063"/>
      <c r="AK2932" s="1063"/>
      <c r="AL2932" s="1063"/>
      <c r="AM2932" s="1063"/>
      <c r="AN2932" s="1063"/>
      <c r="AO2932" s="1063"/>
      <c r="AP2932" s="1063"/>
      <c r="AQ2932" s="1063"/>
      <c r="AR2932" s="1063"/>
      <c r="AS2932" s="1063"/>
      <c r="AT2932" s="1063"/>
      <c r="AU2932" s="1063"/>
      <c r="AV2932" s="1063"/>
    </row>
    <row r="2933" spans="1:48" s="1108" customFormat="1" ht="27.75" customHeight="1">
      <c r="A2933" s="1076"/>
      <c r="B2933" s="1074">
        <f>+'[18]Bldg+Dev'!S3745</f>
        <v>0</v>
      </c>
      <c r="D2933" s="1063"/>
      <c r="F2933" s="1076"/>
      <c r="G2933" s="1063"/>
      <c r="H2933" s="1063"/>
      <c r="I2933" s="1063"/>
      <c r="J2933" s="1063"/>
      <c r="K2933" s="1063"/>
      <c r="L2933" s="1063"/>
      <c r="M2933" s="1063"/>
      <c r="N2933" s="1063"/>
      <c r="O2933" s="1063"/>
      <c r="P2933" s="1063"/>
      <c r="Q2933" s="1063"/>
      <c r="R2933" s="1063"/>
      <c r="S2933" s="1063"/>
      <c r="T2933" s="1063"/>
      <c r="U2933" s="1063"/>
      <c r="V2933" s="1063"/>
      <c r="W2933" s="1063"/>
      <c r="X2933" s="1063"/>
      <c r="Y2933" s="1063"/>
      <c r="Z2933" s="1063"/>
      <c r="AA2933" s="1063"/>
      <c r="AB2933" s="1063"/>
      <c r="AC2933" s="1063"/>
      <c r="AD2933" s="1063"/>
      <c r="AE2933" s="1063"/>
      <c r="AF2933" s="1063"/>
      <c r="AG2933" s="1063"/>
      <c r="AH2933" s="1063"/>
      <c r="AI2933" s="1063"/>
      <c r="AJ2933" s="1063"/>
      <c r="AK2933" s="1063"/>
      <c r="AL2933" s="1063"/>
      <c r="AM2933" s="1063"/>
      <c r="AN2933" s="1063"/>
      <c r="AO2933" s="1063"/>
      <c r="AP2933" s="1063"/>
      <c r="AQ2933" s="1063"/>
      <c r="AR2933" s="1063"/>
      <c r="AS2933" s="1063"/>
      <c r="AT2933" s="1063"/>
      <c r="AU2933" s="1063"/>
      <c r="AV2933" s="1063"/>
    </row>
    <row r="2934" spans="1:48" s="1108" customFormat="1" ht="27.75" customHeight="1">
      <c r="A2934" s="1076"/>
      <c r="B2934" s="1074">
        <f>+'[18]Bldg+Dev'!S3746</f>
        <v>0</v>
      </c>
      <c r="D2934" s="1063"/>
      <c r="F2934" s="1076"/>
      <c r="G2934" s="1063"/>
      <c r="H2934" s="1063"/>
      <c r="I2934" s="1063"/>
      <c r="J2934" s="1063"/>
      <c r="K2934" s="1063"/>
      <c r="L2934" s="1063"/>
      <c r="M2934" s="1063"/>
      <c r="N2934" s="1063"/>
      <c r="O2934" s="1063"/>
      <c r="P2934" s="1063"/>
      <c r="Q2934" s="1063"/>
      <c r="R2934" s="1063"/>
      <c r="S2934" s="1063"/>
      <c r="T2934" s="1063"/>
      <c r="U2934" s="1063"/>
      <c r="V2934" s="1063"/>
      <c r="W2934" s="1063"/>
      <c r="X2934" s="1063"/>
      <c r="Y2934" s="1063"/>
      <c r="Z2934" s="1063"/>
      <c r="AA2934" s="1063"/>
      <c r="AB2934" s="1063"/>
      <c r="AC2934" s="1063"/>
      <c r="AD2934" s="1063"/>
      <c r="AE2934" s="1063"/>
      <c r="AF2934" s="1063"/>
      <c r="AG2934" s="1063"/>
      <c r="AH2934" s="1063"/>
      <c r="AI2934" s="1063"/>
      <c r="AJ2934" s="1063"/>
      <c r="AK2934" s="1063"/>
      <c r="AL2934" s="1063"/>
      <c r="AM2934" s="1063"/>
      <c r="AN2934" s="1063"/>
      <c r="AO2934" s="1063"/>
      <c r="AP2934" s="1063"/>
      <c r="AQ2934" s="1063"/>
      <c r="AR2934" s="1063"/>
      <c r="AS2934" s="1063"/>
      <c r="AT2934" s="1063"/>
      <c r="AU2934" s="1063"/>
      <c r="AV2934" s="1063"/>
    </row>
    <row r="2935" spans="1:48" s="1108" customFormat="1" ht="27.75" customHeight="1">
      <c r="A2935" s="1076"/>
      <c r="B2935" s="1074">
        <f>+'[18]Bldg+Dev'!S3747</f>
        <v>0</v>
      </c>
      <c r="D2935" s="1063"/>
      <c r="F2935" s="1076"/>
      <c r="G2935" s="1063"/>
      <c r="H2935" s="1063"/>
      <c r="I2935" s="1063"/>
      <c r="J2935" s="1063"/>
      <c r="K2935" s="1063"/>
      <c r="L2935" s="1063"/>
      <c r="M2935" s="1063"/>
      <c r="N2935" s="1063"/>
      <c r="O2935" s="1063"/>
      <c r="P2935" s="1063"/>
      <c r="Q2935" s="1063"/>
      <c r="R2935" s="1063"/>
      <c r="S2935" s="1063"/>
      <c r="T2935" s="1063"/>
      <c r="U2935" s="1063"/>
      <c r="V2935" s="1063"/>
      <c r="W2935" s="1063"/>
      <c r="X2935" s="1063"/>
      <c r="Y2935" s="1063"/>
      <c r="Z2935" s="1063"/>
      <c r="AA2935" s="1063"/>
      <c r="AB2935" s="1063"/>
      <c r="AC2935" s="1063"/>
      <c r="AD2935" s="1063"/>
      <c r="AE2935" s="1063"/>
      <c r="AF2935" s="1063"/>
      <c r="AG2935" s="1063"/>
      <c r="AH2935" s="1063"/>
      <c r="AI2935" s="1063"/>
      <c r="AJ2935" s="1063"/>
      <c r="AK2935" s="1063"/>
      <c r="AL2935" s="1063"/>
      <c r="AM2935" s="1063"/>
      <c r="AN2935" s="1063"/>
      <c r="AO2935" s="1063"/>
      <c r="AP2935" s="1063"/>
      <c r="AQ2935" s="1063"/>
      <c r="AR2935" s="1063"/>
      <c r="AS2935" s="1063"/>
      <c r="AT2935" s="1063"/>
      <c r="AU2935" s="1063"/>
      <c r="AV2935" s="1063"/>
    </row>
    <row r="2936" spans="1:48" s="1108" customFormat="1" ht="27.75" customHeight="1">
      <c r="A2936" s="1076"/>
      <c r="B2936" s="1074">
        <f>+'[18]Bldg+Dev'!S3748</f>
        <v>0</v>
      </c>
      <c r="D2936" s="1063"/>
      <c r="F2936" s="1076"/>
      <c r="G2936" s="1063"/>
      <c r="H2936" s="1063"/>
      <c r="I2936" s="1063"/>
      <c r="J2936" s="1063"/>
      <c r="K2936" s="1063"/>
      <c r="L2936" s="1063"/>
      <c r="M2936" s="1063"/>
      <c r="N2936" s="1063"/>
      <c r="O2936" s="1063"/>
      <c r="P2936" s="1063"/>
      <c r="Q2936" s="1063"/>
      <c r="R2936" s="1063"/>
      <c r="S2936" s="1063"/>
      <c r="T2936" s="1063"/>
      <c r="U2936" s="1063"/>
      <c r="V2936" s="1063"/>
      <c r="W2936" s="1063"/>
      <c r="X2936" s="1063"/>
      <c r="Y2936" s="1063"/>
      <c r="Z2936" s="1063"/>
      <c r="AA2936" s="1063"/>
      <c r="AB2936" s="1063"/>
      <c r="AC2936" s="1063"/>
      <c r="AD2936" s="1063"/>
      <c r="AE2936" s="1063"/>
      <c r="AF2936" s="1063"/>
      <c r="AG2936" s="1063"/>
      <c r="AH2936" s="1063"/>
      <c r="AI2936" s="1063"/>
      <c r="AJ2936" s="1063"/>
      <c r="AK2936" s="1063"/>
      <c r="AL2936" s="1063"/>
      <c r="AM2936" s="1063"/>
      <c r="AN2936" s="1063"/>
      <c r="AO2936" s="1063"/>
      <c r="AP2936" s="1063"/>
      <c r="AQ2936" s="1063"/>
      <c r="AR2936" s="1063"/>
      <c r="AS2936" s="1063"/>
      <c r="AT2936" s="1063"/>
      <c r="AU2936" s="1063"/>
      <c r="AV2936" s="1063"/>
    </row>
    <row r="2937" spans="1:48" s="1108" customFormat="1" ht="27.75" customHeight="1">
      <c r="A2937" s="1076"/>
      <c r="B2937" s="1074">
        <f>+'[18]Bldg+Dev'!S3749</f>
        <v>0</v>
      </c>
      <c r="D2937" s="1063"/>
      <c r="F2937" s="1076"/>
      <c r="G2937" s="1063"/>
      <c r="H2937" s="1063"/>
      <c r="I2937" s="1063"/>
      <c r="J2937" s="1063"/>
      <c r="K2937" s="1063"/>
      <c r="L2937" s="1063"/>
      <c r="M2937" s="1063"/>
      <c r="N2937" s="1063"/>
      <c r="O2937" s="1063"/>
      <c r="P2937" s="1063"/>
      <c r="Q2937" s="1063"/>
      <c r="R2937" s="1063"/>
      <c r="S2937" s="1063"/>
      <c r="T2937" s="1063"/>
      <c r="U2937" s="1063"/>
      <c r="V2937" s="1063"/>
      <c r="W2937" s="1063"/>
      <c r="X2937" s="1063"/>
      <c r="Y2937" s="1063"/>
      <c r="Z2937" s="1063"/>
      <c r="AA2937" s="1063"/>
      <c r="AB2937" s="1063"/>
      <c r="AC2937" s="1063"/>
      <c r="AD2937" s="1063"/>
      <c r="AE2937" s="1063"/>
      <c r="AF2937" s="1063"/>
      <c r="AG2937" s="1063"/>
      <c r="AH2937" s="1063"/>
      <c r="AI2937" s="1063"/>
      <c r="AJ2937" s="1063"/>
      <c r="AK2937" s="1063"/>
      <c r="AL2937" s="1063"/>
      <c r="AM2937" s="1063"/>
      <c r="AN2937" s="1063"/>
      <c r="AO2937" s="1063"/>
      <c r="AP2937" s="1063"/>
      <c r="AQ2937" s="1063"/>
      <c r="AR2937" s="1063"/>
      <c r="AS2937" s="1063"/>
      <c r="AT2937" s="1063"/>
      <c r="AU2937" s="1063"/>
      <c r="AV2937" s="1063"/>
    </row>
    <row r="2938" spans="1:48" s="1108" customFormat="1" ht="27.75" customHeight="1">
      <c r="A2938" s="1076"/>
      <c r="B2938" s="1074">
        <f>+'[18]Bldg+Dev'!S3750</f>
        <v>0</v>
      </c>
      <c r="D2938" s="1063"/>
      <c r="F2938" s="1076"/>
      <c r="G2938" s="1063"/>
      <c r="H2938" s="1063"/>
      <c r="I2938" s="1063"/>
      <c r="J2938" s="1063"/>
      <c r="K2938" s="1063"/>
      <c r="L2938" s="1063"/>
      <c r="M2938" s="1063"/>
      <c r="N2938" s="1063"/>
      <c r="O2938" s="1063"/>
      <c r="P2938" s="1063"/>
      <c r="Q2938" s="1063"/>
      <c r="R2938" s="1063"/>
      <c r="S2938" s="1063"/>
      <c r="T2938" s="1063"/>
      <c r="U2938" s="1063"/>
      <c r="V2938" s="1063"/>
      <c r="W2938" s="1063"/>
      <c r="X2938" s="1063"/>
      <c r="Y2938" s="1063"/>
      <c r="Z2938" s="1063"/>
      <c r="AA2938" s="1063"/>
      <c r="AB2938" s="1063"/>
      <c r="AC2938" s="1063"/>
      <c r="AD2938" s="1063"/>
      <c r="AE2938" s="1063"/>
      <c r="AF2938" s="1063"/>
      <c r="AG2938" s="1063"/>
      <c r="AH2938" s="1063"/>
      <c r="AI2938" s="1063"/>
      <c r="AJ2938" s="1063"/>
      <c r="AK2938" s="1063"/>
      <c r="AL2938" s="1063"/>
      <c r="AM2938" s="1063"/>
      <c r="AN2938" s="1063"/>
      <c r="AO2938" s="1063"/>
      <c r="AP2938" s="1063"/>
      <c r="AQ2938" s="1063"/>
      <c r="AR2938" s="1063"/>
      <c r="AS2938" s="1063"/>
      <c r="AT2938" s="1063"/>
      <c r="AU2938" s="1063"/>
      <c r="AV2938" s="1063"/>
    </row>
    <row r="2939" spans="1:48" s="1108" customFormat="1" ht="27.75" customHeight="1">
      <c r="A2939" s="1076"/>
      <c r="B2939" s="1074">
        <f>+'[18]Bldg+Dev'!S3751</f>
        <v>0</v>
      </c>
      <c r="D2939" s="1063"/>
      <c r="F2939" s="1076"/>
      <c r="G2939" s="1063"/>
      <c r="H2939" s="1063"/>
      <c r="I2939" s="1063"/>
      <c r="J2939" s="1063"/>
      <c r="K2939" s="1063"/>
      <c r="L2939" s="1063"/>
      <c r="M2939" s="1063"/>
      <c r="N2939" s="1063"/>
      <c r="O2939" s="1063"/>
      <c r="P2939" s="1063"/>
      <c r="Q2939" s="1063"/>
      <c r="R2939" s="1063"/>
      <c r="S2939" s="1063"/>
      <c r="T2939" s="1063"/>
      <c r="U2939" s="1063"/>
      <c r="V2939" s="1063"/>
      <c r="W2939" s="1063"/>
      <c r="X2939" s="1063"/>
      <c r="Y2939" s="1063"/>
      <c r="Z2939" s="1063"/>
      <c r="AA2939" s="1063"/>
      <c r="AB2939" s="1063"/>
      <c r="AC2939" s="1063"/>
      <c r="AD2939" s="1063"/>
      <c r="AE2939" s="1063"/>
      <c r="AF2939" s="1063"/>
      <c r="AG2939" s="1063"/>
      <c r="AH2939" s="1063"/>
      <c r="AI2939" s="1063"/>
      <c r="AJ2939" s="1063"/>
      <c r="AK2939" s="1063"/>
      <c r="AL2939" s="1063"/>
      <c r="AM2939" s="1063"/>
      <c r="AN2939" s="1063"/>
      <c r="AO2939" s="1063"/>
      <c r="AP2939" s="1063"/>
      <c r="AQ2939" s="1063"/>
      <c r="AR2939" s="1063"/>
      <c r="AS2939" s="1063"/>
      <c r="AT2939" s="1063"/>
      <c r="AU2939" s="1063"/>
      <c r="AV2939" s="1063"/>
    </row>
    <row r="2940" spans="1:48" s="1108" customFormat="1" ht="27.75" customHeight="1">
      <c r="A2940" s="1076"/>
      <c r="B2940" s="1074">
        <f>+'[18]Bldg+Dev'!S3752</f>
        <v>0</v>
      </c>
      <c r="D2940" s="1063"/>
      <c r="F2940" s="1076"/>
      <c r="G2940" s="1063"/>
      <c r="H2940" s="1063"/>
      <c r="I2940" s="1063"/>
      <c r="J2940" s="1063"/>
      <c r="K2940" s="1063"/>
      <c r="L2940" s="1063"/>
      <c r="M2940" s="1063"/>
      <c r="N2940" s="1063"/>
      <c r="O2940" s="1063"/>
      <c r="P2940" s="1063"/>
      <c r="Q2940" s="1063"/>
      <c r="R2940" s="1063"/>
      <c r="S2940" s="1063"/>
      <c r="T2940" s="1063"/>
      <c r="U2940" s="1063"/>
      <c r="V2940" s="1063"/>
      <c r="W2940" s="1063"/>
      <c r="X2940" s="1063"/>
      <c r="Y2940" s="1063"/>
      <c r="Z2940" s="1063"/>
      <c r="AA2940" s="1063"/>
      <c r="AB2940" s="1063"/>
      <c r="AC2940" s="1063"/>
      <c r="AD2940" s="1063"/>
      <c r="AE2940" s="1063"/>
      <c r="AF2940" s="1063"/>
      <c r="AG2940" s="1063"/>
      <c r="AH2940" s="1063"/>
      <c r="AI2940" s="1063"/>
      <c r="AJ2940" s="1063"/>
      <c r="AK2940" s="1063"/>
      <c r="AL2940" s="1063"/>
      <c r="AM2940" s="1063"/>
      <c r="AN2940" s="1063"/>
      <c r="AO2940" s="1063"/>
      <c r="AP2940" s="1063"/>
      <c r="AQ2940" s="1063"/>
      <c r="AR2940" s="1063"/>
      <c r="AS2940" s="1063"/>
      <c r="AT2940" s="1063"/>
      <c r="AU2940" s="1063"/>
      <c r="AV2940" s="1063"/>
    </row>
    <row r="2941" spans="1:48" s="1108" customFormat="1" ht="27.75" customHeight="1">
      <c r="A2941" s="1076"/>
      <c r="B2941" s="1074">
        <f>+'[18]Bldg+Dev'!S3753</f>
        <v>0</v>
      </c>
      <c r="D2941" s="1063"/>
      <c r="F2941" s="1076"/>
      <c r="G2941" s="1063"/>
      <c r="H2941" s="1063"/>
      <c r="I2941" s="1063"/>
      <c r="J2941" s="1063"/>
      <c r="K2941" s="1063"/>
      <c r="L2941" s="1063"/>
      <c r="M2941" s="1063"/>
      <c r="N2941" s="1063"/>
      <c r="O2941" s="1063"/>
      <c r="P2941" s="1063"/>
      <c r="Q2941" s="1063"/>
      <c r="R2941" s="1063"/>
      <c r="S2941" s="1063"/>
      <c r="T2941" s="1063"/>
      <c r="U2941" s="1063"/>
      <c r="V2941" s="1063"/>
      <c r="W2941" s="1063"/>
      <c r="X2941" s="1063"/>
      <c r="Y2941" s="1063"/>
      <c r="Z2941" s="1063"/>
      <c r="AA2941" s="1063"/>
      <c r="AB2941" s="1063"/>
      <c r="AC2941" s="1063"/>
      <c r="AD2941" s="1063"/>
      <c r="AE2941" s="1063"/>
      <c r="AF2941" s="1063"/>
      <c r="AG2941" s="1063"/>
      <c r="AH2941" s="1063"/>
      <c r="AI2941" s="1063"/>
      <c r="AJ2941" s="1063"/>
      <c r="AK2941" s="1063"/>
      <c r="AL2941" s="1063"/>
      <c r="AM2941" s="1063"/>
      <c r="AN2941" s="1063"/>
      <c r="AO2941" s="1063"/>
      <c r="AP2941" s="1063"/>
      <c r="AQ2941" s="1063"/>
      <c r="AR2941" s="1063"/>
      <c r="AS2941" s="1063"/>
      <c r="AT2941" s="1063"/>
      <c r="AU2941" s="1063"/>
      <c r="AV2941" s="1063"/>
    </row>
    <row r="2942" spans="1:48" s="1108" customFormat="1" ht="27.75" customHeight="1">
      <c r="A2942" s="1076"/>
      <c r="B2942" s="1074">
        <f>+'[18]Bldg+Dev'!S3754</f>
        <v>0</v>
      </c>
      <c r="D2942" s="1063"/>
      <c r="F2942" s="1076"/>
      <c r="G2942" s="1063"/>
      <c r="H2942" s="1063"/>
      <c r="I2942" s="1063"/>
      <c r="J2942" s="1063"/>
      <c r="K2942" s="1063"/>
      <c r="L2942" s="1063"/>
      <c r="M2942" s="1063"/>
      <c r="N2942" s="1063"/>
      <c r="O2942" s="1063"/>
      <c r="P2942" s="1063"/>
      <c r="Q2942" s="1063"/>
      <c r="R2942" s="1063"/>
      <c r="S2942" s="1063"/>
      <c r="T2942" s="1063"/>
      <c r="U2942" s="1063"/>
      <c r="V2942" s="1063"/>
      <c r="W2942" s="1063"/>
      <c r="X2942" s="1063"/>
      <c r="Y2942" s="1063"/>
      <c r="Z2942" s="1063"/>
      <c r="AA2942" s="1063"/>
      <c r="AB2942" s="1063"/>
      <c r="AC2942" s="1063"/>
      <c r="AD2942" s="1063"/>
      <c r="AE2942" s="1063"/>
      <c r="AF2942" s="1063"/>
      <c r="AG2942" s="1063"/>
      <c r="AH2942" s="1063"/>
      <c r="AI2942" s="1063"/>
      <c r="AJ2942" s="1063"/>
      <c r="AK2942" s="1063"/>
      <c r="AL2942" s="1063"/>
      <c r="AM2942" s="1063"/>
      <c r="AN2942" s="1063"/>
      <c r="AO2942" s="1063"/>
      <c r="AP2942" s="1063"/>
      <c r="AQ2942" s="1063"/>
      <c r="AR2942" s="1063"/>
      <c r="AS2942" s="1063"/>
      <c r="AT2942" s="1063"/>
      <c r="AU2942" s="1063"/>
      <c r="AV2942" s="1063"/>
    </row>
    <row r="2943" spans="1:48" s="1108" customFormat="1" ht="27.75" customHeight="1">
      <c r="A2943" s="1076"/>
      <c r="B2943" s="1074">
        <f>+'[18]Bldg+Dev'!S3755</f>
        <v>0</v>
      </c>
      <c r="D2943" s="1063"/>
      <c r="F2943" s="1076"/>
      <c r="G2943" s="1063"/>
      <c r="H2943" s="1063"/>
      <c r="I2943" s="1063"/>
      <c r="J2943" s="1063"/>
      <c r="K2943" s="1063"/>
      <c r="L2943" s="1063"/>
      <c r="M2943" s="1063"/>
      <c r="N2943" s="1063"/>
      <c r="O2943" s="1063"/>
      <c r="P2943" s="1063"/>
      <c r="Q2943" s="1063"/>
      <c r="R2943" s="1063"/>
      <c r="S2943" s="1063"/>
      <c r="T2943" s="1063"/>
      <c r="U2943" s="1063"/>
      <c r="V2943" s="1063"/>
      <c r="W2943" s="1063"/>
      <c r="X2943" s="1063"/>
      <c r="Y2943" s="1063"/>
      <c r="Z2943" s="1063"/>
      <c r="AA2943" s="1063"/>
      <c r="AB2943" s="1063"/>
      <c r="AC2943" s="1063"/>
      <c r="AD2943" s="1063"/>
      <c r="AE2943" s="1063"/>
      <c r="AF2943" s="1063"/>
      <c r="AG2943" s="1063"/>
      <c r="AH2943" s="1063"/>
      <c r="AI2943" s="1063"/>
      <c r="AJ2943" s="1063"/>
      <c r="AK2943" s="1063"/>
      <c r="AL2943" s="1063"/>
      <c r="AM2943" s="1063"/>
      <c r="AN2943" s="1063"/>
      <c r="AO2943" s="1063"/>
      <c r="AP2943" s="1063"/>
      <c r="AQ2943" s="1063"/>
      <c r="AR2943" s="1063"/>
      <c r="AS2943" s="1063"/>
      <c r="AT2943" s="1063"/>
      <c r="AU2943" s="1063"/>
      <c r="AV2943" s="1063"/>
    </row>
    <row r="2944" spans="1:48" s="1108" customFormat="1" ht="27.75" customHeight="1">
      <c r="A2944" s="1076"/>
      <c r="B2944" s="1074">
        <f>+'[18]Bldg+Dev'!S3756</f>
        <v>0</v>
      </c>
      <c r="D2944" s="1063"/>
      <c r="F2944" s="1076"/>
      <c r="G2944" s="1063"/>
      <c r="H2944" s="1063"/>
      <c r="I2944" s="1063"/>
      <c r="J2944" s="1063"/>
      <c r="K2944" s="1063"/>
      <c r="L2944" s="1063"/>
      <c r="M2944" s="1063"/>
      <c r="N2944" s="1063"/>
      <c r="O2944" s="1063"/>
      <c r="P2944" s="1063"/>
      <c r="Q2944" s="1063"/>
      <c r="R2944" s="1063"/>
      <c r="S2944" s="1063"/>
      <c r="T2944" s="1063"/>
      <c r="U2944" s="1063"/>
      <c r="V2944" s="1063"/>
      <c r="W2944" s="1063"/>
      <c r="X2944" s="1063"/>
      <c r="Y2944" s="1063"/>
      <c r="Z2944" s="1063"/>
      <c r="AA2944" s="1063"/>
      <c r="AB2944" s="1063"/>
      <c r="AC2944" s="1063"/>
      <c r="AD2944" s="1063"/>
      <c r="AE2944" s="1063"/>
      <c r="AF2944" s="1063"/>
      <c r="AG2944" s="1063"/>
      <c r="AH2944" s="1063"/>
      <c r="AI2944" s="1063"/>
      <c r="AJ2944" s="1063"/>
      <c r="AK2944" s="1063"/>
      <c r="AL2944" s="1063"/>
      <c r="AM2944" s="1063"/>
      <c r="AN2944" s="1063"/>
      <c r="AO2944" s="1063"/>
      <c r="AP2944" s="1063"/>
      <c r="AQ2944" s="1063"/>
      <c r="AR2944" s="1063"/>
      <c r="AS2944" s="1063"/>
      <c r="AT2944" s="1063"/>
      <c r="AU2944" s="1063"/>
      <c r="AV2944" s="1063"/>
    </row>
    <row r="2945" spans="1:48" s="1108" customFormat="1" ht="27.75" customHeight="1">
      <c r="A2945" s="1076"/>
      <c r="B2945" s="1074">
        <f>+'[18]Bldg+Dev'!S3757</f>
        <v>0</v>
      </c>
      <c r="D2945" s="1063"/>
      <c r="F2945" s="1076"/>
      <c r="G2945" s="1063"/>
      <c r="H2945" s="1063"/>
      <c r="I2945" s="1063"/>
      <c r="J2945" s="1063"/>
      <c r="K2945" s="1063"/>
      <c r="L2945" s="1063"/>
      <c r="M2945" s="1063"/>
      <c r="N2945" s="1063"/>
      <c r="O2945" s="1063"/>
      <c r="P2945" s="1063"/>
      <c r="Q2945" s="1063"/>
      <c r="R2945" s="1063"/>
      <c r="S2945" s="1063"/>
      <c r="T2945" s="1063"/>
      <c r="U2945" s="1063"/>
      <c r="V2945" s="1063"/>
      <c r="W2945" s="1063"/>
      <c r="X2945" s="1063"/>
      <c r="Y2945" s="1063"/>
      <c r="Z2945" s="1063"/>
      <c r="AA2945" s="1063"/>
      <c r="AB2945" s="1063"/>
      <c r="AC2945" s="1063"/>
      <c r="AD2945" s="1063"/>
      <c r="AE2945" s="1063"/>
      <c r="AF2945" s="1063"/>
      <c r="AG2945" s="1063"/>
      <c r="AH2945" s="1063"/>
      <c r="AI2945" s="1063"/>
      <c r="AJ2945" s="1063"/>
      <c r="AK2945" s="1063"/>
      <c r="AL2945" s="1063"/>
      <c r="AM2945" s="1063"/>
      <c r="AN2945" s="1063"/>
      <c r="AO2945" s="1063"/>
      <c r="AP2945" s="1063"/>
      <c r="AQ2945" s="1063"/>
      <c r="AR2945" s="1063"/>
      <c r="AS2945" s="1063"/>
      <c r="AT2945" s="1063"/>
      <c r="AU2945" s="1063"/>
      <c r="AV2945" s="1063"/>
    </row>
    <row r="2946" spans="1:48" s="1108" customFormat="1" ht="27.75" customHeight="1">
      <c r="A2946" s="1076"/>
      <c r="B2946" s="1074">
        <f>+'[18]Bldg+Dev'!S3758</f>
        <v>0</v>
      </c>
      <c r="D2946" s="1063"/>
      <c r="F2946" s="1076"/>
      <c r="G2946" s="1063"/>
      <c r="H2946" s="1063"/>
      <c r="I2946" s="1063"/>
      <c r="J2946" s="1063"/>
      <c r="K2946" s="1063"/>
      <c r="L2946" s="1063"/>
      <c r="M2946" s="1063"/>
      <c r="N2946" s="1063"/>
      <c r="O2946" s="1063"/>
      <c r="P2946" s="1063"/>
      <c r="Q2946" s="1063"/>
      <c r="R2946" s="1063"/>
      <c r="S2946" s="1063"/>
      <c r="T2946" s="1063"/>
      <c r="U2946" s="1063"/>
      <c r="V2946" s="1063"/>
      <c r="W2946" s="1063"/>
      <c r="X2946" s="1063"/>
      <c r="Y2946" s="1063"/>
      <c r="Z2946" s="1063"/>
      <c r="AA2946" s="1063"/>
      <c r="AB2946" s="1063"/>
      <c r="AC2946" s="1063"/>
      <c r="AD2946" s="1063"/>
      <c r="AE2946" s="1063"/>
      <c r="AF2946" s="1063"/>
      <c r="AG2946" s="1063"/>
      <c r="AH2946" s="1063"/>
      <c r="AI2946" s="1063"/>
      <c r="AJ2946" s="1063"/>
      <c r="AK2946" s="1063"/>
      <c r="AL2946" s="1063"/>
      <c r="AM2946" s="1063"/>
      <c r="AN2946" s="1063"/>
      <c r="AO2946" s="1063"/>
      <c r="AP2946" s="1063"/>
      <c r="AQ2946" s="1063"/>
      <c r="AR2946" s="1063"/>
      <c r="AS2946" s="1063"/>
      <c r="AT2946" s="1063"/>
      <c r="AU2946" s="1063"/>
      <c r="AV2946" s="1063"/>
    </row>
    <row r="2947" spans="1:48" s="1108" customFormat="1" ht="27.75" customHeight="1">
      <c r="A2947" s="1076"/>
      <c r="B2947" s="1074">
        <f>+'[18]Bldg+Dev'!S3759</f>
        <v>0</v>
      </c>
      <c r="D2947" s="1063"/>
      <c r="F2947" s="1076"/>
      <c r="G2947" s="1063"/>
      <c r="H2947" s="1063"/>
      <c r="I2947" s="1063"/>
      <c r="J2947" s="1063"/>
      <c r="K2947" s="1063"/>
      <c r="L2947" s="1063"/>
      <c r="M2947" s="1063"/>
      <c r="N2947" s="1063"/>
      <c r="O2947" s="1063"/>
      <c r="P2947" s="1063"/>
      <c r="Q2947" s="1063"/>
      <c r="R2947" s="1063"/>
      <c r="S2947" s="1063"/>
      <c r="T2947" s="1063"/>
      <c r="U2947" s="1063"/>
      <c r="V2947" s="1063"/>
      <c r="W2947" s="1063"/>
      <c r="X2947" s="1063"/>
      <c r="Y2947" s="1063"/>
      <c r="Z2947" s="1063"/>
      <c r="AA2947" s="1063"/>
      <c r="AB2947" s="1063"/>
      <c r="AC2947" s="1063"/>
      <c r="AD2947" s="1063"/>
      <c r="AE2947" s="1063"/>
      <c r="AF2947" s="1063"/>
      <c r="AG2947" s="1063"/>
      <c r="AH2947" s="1063"/>
      <c r="AI2947" s="1063"/>
      <c r="AJ2947" s="1063"/>
      <c r="AK2947" s="1063"/>
      <c r="AL2947" s="1063"/>
      <c r="AM2947" s="1063"/>
      <c r="AN2947" s="1063"/>
      <c r="AO2947" s="1063"/>
      <c r="AP2947" s="1063"/>
      <c r="AQ2947" s="1063"/>
      <c r="AR2947" s="1063"/>
      <c r="AS2947" s="1063"/>
      <c r="AT2947" s="1063"/>
      <c r="AU2947" s="1063"/>
      <c r="AV2947" s="1063"/>
    </row>
    <row r="2948" spans="1:48" s="1108" customFormat="1" ht="27.75" customHeight="1">
      <c r="A2948" s="1076"/>
      <c r="B2948" s="1074">
        <f>+'[18]Bldg+Dev'!S3760</f>
        <v>0</v>
      </c>
      <c r="D2948" s="1063"/>
      <c r="F2948" s="1076"/>
      <c r="G2948" s="1063"/>
      <c r="H2948" s="1063"/>
      <c r="I2948" s="1063"/>
      <c r="J2948" s="1063"/>
      <c r="K2948" s="1063"/>
      <c r="L2948" s="1063"/>
      <c r="M2948" s="1063"/>
      <c r="N2948" s="1063"/>
      <c r="O2948" s="1063"/>
      <c r="P2948" s="1063"/>
      <c r="Q2948" s="1063"/>
      <c r="R2948" s="1063"/>
      <c r="S2948" s="1063"/>
      <c r="T2948" s="1063"/>
      <c r="U2948" s="1063"/>
      <c r="V2948" s="1063"/>
      <c r="W2948" s="1063"/>
      <c r="X2948" s="1063"/>
      <c r="Y2948" s="1063"/>
      <c r="Z2948" s="1063"/>
      <c r="AA2948" s="1063"/>
      <c r="AB2948" s="1063"/>
      <c r="AC2948" s="1063"/>
      <c r="AD2948" s="1063"/>
      <c r="AE2948" s="1063"/>
      <c r="AF2948" s="1063"/>
      <c r="AG2948" s="1063"/>
      <c r="AH2948" s="1063"/>
      <c r="AI2948" s="1063"/>
      <c r="AJ2948" s="1063"/>
      <c r="AK2948" s="1063"/>
      <c r="AL2948" s="1063"/>
      <c r="AM2948" s="1063"/>
      <c r="AN2948" s="1063"/>
      <c r="AO2948" s="1063"/>
      <c r="AP2948" s="1063"/>
      <c r="AQ2948" s="1063"/>
      <c r="AR2948" s="1063"/>
      <c r="AS2948" s="1063"/>
      <c r="AT2948" s="1063"/>
      <c r="AU2948" s="1063"/>
      <c r="AV2948" s="1063"/>
    </row>
    <row r="2949" spans="1:48" s="1108" customFormat="1" ht="27.75" customHeight="1">
      <c r="A2949" s="1076"/>
      <c r="B2949" s="1074">
        <f>+'[18]Bldg+Dev'!S3761</f>
        <v>0</v>
      </c>
      <c r="D2949" s="1063"/>
      <c r="F2949" s="1076"/>
      <c r="G2949" s="1063"/>
      <c r="H2949" s="1063"/>
      <c r="I2949" s="1063"/>
      <c r="J2949" s="1063"/>
      <c r="K2949" s="1063"/>
      <c r="L2949" s="1063"/>
      <c r="M2949" s="1063"/>
      <c r="N2949" s="1063"/>
      <c r="O2949" s="1063"/>
      <c r="P2949" s="1063"/>
      <c r="Q2949" s="1063"/>
      <c r="R2949" s="1063"/>
      <c r="S2949" s="1063"/>
      <c r="T2949" s="1063"/>
      <c r="U2949" s="1063"/>
      <c r="V2949" s="1063"/>
      <c r="W2949" s="1063"/>
      <c r="X2949" s="1063"/>
      <c r="Y2949" s="1063"/>
      <c r="Z2949" s="1063"/>
      <c r="AA2949" s="1063"/>
      <c r="AB2949" s="1063"/>
      <c r="AC2949" s="1063"/>
      <c r="AD2949" s="1063"/>
      <c r="AE2949" s="1063"/>
      <c r="AF2949" s="1063"/>
      <c r="AG2949" s="1063"/>
      <c r="AH2949" s="1063"/>
      <c r="AI2949" s="1063"/>
      <c r="AJ2949" s="1063"/>
      <c r="AK2949" s="1063"/>
      <c r="AL2949" s="1063"/>
      <c r="AM2949" s="1063"/>
      <c r="AN2949" s="1063"/>
      <c r="AO2949" s="1063"/>
      <c r="AP2949" s="1063"/>
      <c r="AQ2949" s="1063"/>
      <c r="AR2949" s="1063"/>
      <c r="AS2949" s="1063"/>
      <c r="AT2949" s="1063"/>
      <c r="AU2949" s="1063"/>
      <c r="AV2949" s="1063"/>
    </row>
    <row r="2950" spans="1:48" s="1108" customFormat="1" ht="27.75" customHeight="1">
      <c r="A2950" s="1076"/>
      <c r="B2950" s="1074">
        <f>+'[18]Bldg+Dev'!S3762</f>
        <v>0</v>
      </c>
      <c r="D2950" s="1063"/>
      <c r="F2950" s="1076"/>
      <c r="G2950" s="1063"/>
      <c r="H2950" s="1063"/>
      <c r="I2950" s="1063"/>
      <c r="J2950" s="1063"/>
      <c r="K2950" s="1063"/>
      <c r="L2950" s="1063"/>
      <c r="M2950" s="1063"/>
      <c r="N2950" s="1063"/>
      <c r="O2950" s="1063"/>
      <c r="P2950" s="1063"/>
      <c r="Q2950" s="1063"/>
      <c r="R2950" s="1063"/>
      <c r="S2950" s="1063"/>
      <c r="T2950" s="1063"/>
      <c r="U2950" s="1063"/>
      <c r="V2950" s="1063"/>
      <c r="W2950" s="1063"/>
      <c r="X2950" s="1063"/>
      <c r="Y2950" s="1063"/>
      <c r="Z2950" s="1063"/>
      <c r="AA2950" s="1063"/>
      <c r="AB2950" s="1063"/>
      <c r="AC2950" s="1063"/>
      <c r="AD2950" s="1063"/>
      <c r="AE2950" s="1063"/>
      <c r="AF2950" s="1063"/>
      <c r="AG2950" s="1063"/>
      <c r="AH2950" s="1063"/>
      <c r="AI2950" s="1063"/>
      <c r="AJ2950" s="1063"/>
      <c r="AK2950" s="1063"/>
      <c r="AL2950" s="1063"/>
      <c r="AM2950" s="1063"/>
      <c r="AN2950" s="1063"/>
      <c r="AO2950" s="1063"/>
      <c r="AP2950" s="1063"/>
      <c r="AQ2950" s="1063"/>
      <c r="AR2950" s="1063"/>
      <c r="AS2950" s="1063"/>
      <c r="AT2950" s="1063"/>
      <c r="AU2950" s="1063"/>
      <c r="AV2950" s="1063"/>
    </row>
    <row r="2951" spans="1:48" s="1108" customFormat="1" ht="27.75" customHeight="1">
      <c r="A2951" s="1076"/>
      <c r="B2951" s="1074">
        <f>+'[18]Bldg+Dev'!S3763</f>
        <v>0</v>
      </c>
      <c r="D2951" s="1063"/>
      <c r="F2951" s="1076"/>
      <c r="G2951" s="1063"/>
      <c r="H2951" s="1063"/>
      <c r="I2951" s="1063"/>
      <c r="J2951" s="1063"/>
      <c r="K2951" s="1063"/>
      <c r="L2951" s="1063"/>
      <c r="M2951" s="1063"/>
      <c r="N2951" s="1063"/>
      <c r="O2951" s="1063"/>
      <c r="P2951" s="1063"/>
      <c r="Q2951" s="1063"/>
      <c r="R2951" s="1063"/>
      <c r="S2951" s="1063"/>
      <c r="T2951" s="1063"/>
      <c r="U2951" s="1063"/>
      <c r="V2951" s="1063"/>
      <c r="W2951" s="1063"/>
      <c r="X2951" s="1063"/>
      <c r="Y2951" s="1063"/>
      <c r="Z2951" s="1063"/>
      <c r="AA2951" s="1063"/>
      <c r="AB2951" s="1063"/>
      <c r="AC2951" s="1063"/>
      <c r="AD2951" s="1063"/>
      <c r="AE2951" s="1063"/>
      <c r="AF2951" s="1063"/>
      <c r="AG2951" s="1063"/>
      <c r="AH2951" s="1063"/>
      <c r="AI2951" s="1063"/>
      <c r="AJ2951" s="1063"/>
      <c r="AK2951" s="1063"/>
      <c r="AL2951" s="1063"/>
      <c r="AM2951" s="1063"/>
      <c r="AN2951" s="1063"/>
      <c r="AO2951" s="1063"/>
      <c r="AP2951" s="1063"/>
      <c r="AQ2951" s="1063"/>
      <c r="AR2951" s="1063"/>
      <c r="AS2951" s="1063"/>
      <c r="AT2951" s="1063"/>
      <c r="AU2951" s="1063"/>
      <c r="AV2951" s="1063"/>
    </row>
    <row r="2952" spans="1:48" s="1108" customFormat="1" ht="27.75" customHeight="1">
      <c r="A2952" s="1076"/>
      <c r="B2952" s="1074">
        <f>+'[18]Bldg+Dev'!S3764</f>
        <v>0</v>
      </c>
      <c r="D2952" s="1063"/>
      <c r="F2952" s="1076"/>
      <c r="G2952" s="1063"/>
      <c r="H2952" s="1063"/>
      <c r="I2952" s="1063"/>
      <c r="J2952" s="1063"/>
      <c r="K2952" s="1063"/>
      <c r="L2952" s="1063"/>
      <c r="M2952" s="1063"/>
      <c r="N2952" s="1063"/>
      <c r="O2952" s="1063"/>
      <c r="P2952" s="1063"/>
      <c r="Q2952" s="1063"/>
      <c r="R2952" s="1063"/>
      <c r="S2952" s="1063"/>
      <c r="T2952" s="1063"/>
      <c r="U2952" s="1063"/>
      <c r="V2952" s="1063"/>
      <c r="W2952" s="1063"/>
      <c r="X2952" s="1063"/>
      <c r="Y2952" s="1063"/>
      <c r="Z2952" s="1063"/>
      <c r="AA2952" s="1063"/>
      <c r="AB2952" s="1063"/>
      <c r="AC2952" s="1063"/>
      <c r="AD2952" s="1063"/>
      <c r="AE2952" s="1063"/>
      <c r="AF2952" s="1063"/>
      <c r="AG2952" s="1063"/>
      <c r="AH2952" s="1063"/>
      <c r="AI2952" s="1063"/>
      <c r="AJ2952" s="1063"/>
      <c r="AK2952" s="1063"/>
      <c r="AL2952" s="1063"/>
      <c r="AM2952" s="1063"/>
      <c r="AN2952" s="1063"/>
      <c r="AO2952" s="1063"/>
      <c r="AP2952" s="1063"/>
      <c r="AQ2952" s="1063"/>
      <c r="AR2952" s="1063"/>
      <c r="AS2952" s="1063"/>
      <c r="AT2952" s="1063"/>
      <c r="AU2952" s="1063"/>
      <c r="AV2952" s="1063"/>
    </row>
    <row r="2953" spans="1:48" s="1108" customFormat="1" ht="27.75" customHeight="1">
      <c r="A2953" s="1076"/>
      <c r="B2953" s="1074">
        <f>+'[18]Bldg+Dev'!S3765</f>
        <v>0</v>
      </c>
      <c r="D2953" s="1063"/>
      <c r="F2953" s="1076"/>
      <c r="G2953" s="1063"/>
      <c r="H2953" s="1063"/>
      <c r="I2953" s="1063"/>
      <c r="J2953" s="1063"/>
      <c r="K2953" s="1063"/>
      <c r="L2953" s="1063"/>
      <c r="M2953" s="1063"/>
      <c r="N2953" s="1063"/>
      <c r="O2953" s="1063"/>
      <c r="P2953" s="1063"/>
      <c r="Q2953" s="1063"/>
      <c r="R2953" s="1063"/>
      <c r="S2953" s="1063"/>
      <c r="T2953" s="1063"/>
      <c r="U2953" s="1063"/>
      <c r="V2953" s="1063"/>
      <c r="W2953" s="1063"/>
      <c r="X2953" s="1063"/>
      <c r="Y2953" s="1063"/>
      <c r="Z2953" s="1063"/>
      <c r="AA2953" s="1063"/>
      <c r="AB2953" s="1063"/>
      <c r="AC2953" s="1063"/>
      <c r="AD2953" s="1063"/>
      <c r="AE2953" s="1063"/>
      <c r="AF2953" s="1063"/>
      <c r="AG2953" s="1063"/>
      <c r="AH2953" s="1063"/>
      <c r="AI2953" s="1063"/>
      <c r="AJ2953" s="1063"/>
      <c r="AK2953" s="1063"/>
      <c r="AL2953" s="1063"/>
      <c r="AM2953" s="1063"/>
      <c r="AN2953" s="1063"/>
      <c r="AO2953" s="1063"/>
      <c r="AP2953" s="1063"/>
      <c r="AQ2953" s="1063"/>
      <c r="AR2953" s="1063"/>
      <c r="AS2953" s="1063"/>
      <c r="AT2953" s="1063"/>
      <c r="AU2953" s="1063"/>
      <c r="AV2953" s="1063"/>
    </row>
    <row r="2954" spans="1:48" s="1108" customFormat="1" ht="27.75" customHeight="1">
      <c r="A2954" s="1076"/>
      <c r="B2954" s="1074">
        <f>+'[18]Bldg+Dev'!S3766</f>
        <v>0</v>
      </c>
      <c r="D2954" s="1063"/>
      <c r="F2954" s="1076"/>
      <c r="G2954" s="1063"/>
      <c r="H2954" s="1063"/>
      <c r="I2954" s="1063"/>
      <c r="J2954" s="1063"/>
      <c r="K2954" s="1063"/>
      <c r="L2954" s="1063"/>
      <c r="M2954" s="1063"/>
      <c r="N2954" s="1063"/>
      <c r="O2954" s="1063"/>
      <c r="P2954" s="1063"/>
      <c r="Q2954" s="1063"/>
      <c r="R2954" s="1063"/>
      <c r="S2954" s="1063"/>
      <c r="T2954" s="1063"/>
      <c r="U2954" s="1063"/>
      <c r="V2954" s="1063"/>
      <c r="W2954" s="1063"/>
      <c r="X2954" s="1063"/>
      <c r="Y2954" s="1063"/>
      <c r="Z2954" s="1063"/>
      <c r="AA2954" s="1063"/>
      <c r="AB2954" s="1063"/>
      <c r="AC2954" s="1063"/>
      <c r="AD2954" s="1063"/>
      <c r="AE2954" s="1063"/>
      <c r="AF2954" s="1063"/>
      <c r="AG2954" s="1063"/>
      <c r="AH2954" s="1063"/>
      <c r="AI2954" s="1063"/>
      <c r="AJ2954" s="1063"/>
      <c r="AK2954" s="1063"/>
      <c r="AL2954" s="1063"/>
      <c r="AM2954" s="1063"/>
      <c r="AN2954" s="1063"/>
      <c r="AO2954" s="1063"/>
      <c r="AP2954" s="1063"/>
      <c r="AQ2954" s="1063"/>
      <c r="AR2954" s="1063"/>
      <c r="AS2954" s="1063"/>
      <c r="AT2954" s="1063"/>
      <c r="AU2954" s="1063"/>
      <c r="AV2954" s="1063"/>
    </row>
    <row r="2955" spans="1:48" s="1108" customFormat="1" ht="27.75" customHeight="1">
      <c r="A2955" s="1076"/>
      <c r="B2955" s="1074">
        <f>+'[18]Bldg+Dev'!S3767</f>
        <v>0</v>
      </c>
      <c r="D2955" s="1063"/>
      <c r="F2955" s="1076"/>
      <c r="G2955" s="1063"/>
      <c r="H2955" s="1063"/>
      <c r="I2955" s="1063"/>
      <c r="J2955" s="1063"/>
      <c r="K2955" s="1063"/>
      <c r="L2955" s="1063"/>
      <c r="M2955" s="1063"/>
      <c r="N2955" s="1063"/>
      <c r="O2955" s="1063"/>
      <c r="P2955" s="1063"/>
      <c r="Q2955" s="1063"/>
      <c r="R2955" s="1063"/>
      <c r="S2955" s="1063"/>
      <c r="T2955" s="1063"/>
      <c r="U2955" s="1063"/>
      <c r="V2955" s="1063"/>
      <c r="W2955" s="1063"/>
      <c r="X2955" s="1063"/>
      <c r="Y2955" s="1063"/>
      <c r="Z2955" s="1063"/>
      <c r="AA2955" s="1063"/>
      <c r="AB2955" s="1063"/>
      <c r="AC2955" s="1063"/>
      <c r="AD2955" s="1063"/>
      <c r="AE2955" s="1063"/>
      <c r="AF2955" s="1063"/>
      <c r="AG2955" s="1063"/>
      <c r="AH2955" s="1063"/>
      <c r="AI2955" s="1063"/>
      <c r="AJ2955" s="1063"/>
      <c r="AK2955" s="1063"/>
      <c r="AL2955" s="1063"/>
      <c r="AM2955" s="1063"/>
      <c r="AN2955" s="1063"/>
      <c r="AO2955" s="1063"/>
      <c r="AP2955" s="1063"/>
      <c r="AQ2955" s="1063"/>
      <c r="AR2955" s="1063"/>
      <c r="AS2955" s="1063"/>
      <c r="AT2955" s="1063"/>
      <c r="AU2955" s="1063"/>
      <c r="AV2955" s="1063"/>
    </row>
    <row r="2956" spans="1:48" s="1108" customFormat="1" ht="27.75" customHeight="1">
      <c r="A2956" s="1076"/>
      <c r="B2956" s="1074">
        <f>+'[18]Bldg+Dev'!S3768</f>
        <v>0</v>
      </c>
      <c r="D2956" s="1063"/>
      <c r="F2956" s="1076"/>
      <c r="G2956" s="1063"/>
      <c r="H2956" s="1063"/>
      <c r="I2956" s="1063"/>
      <c r="J2956" s="1063"/>
      <c r="K2956" s="1063"/>
      <c r="L2956" s="1063"/>
      <c r="M2956" s="1063"/>
      <c r="N2956" s="1063"/>
      <c r="O2956" s="1063"/>
      <c r="P2956" s="1063"/>
      <c r="Q2956" s="1063"/>
      <c r="R2956" s="1063"/>
      <c r="S2956" s="1063"/>
      <c r="T2956" s="1063"/>
      <c r="U2956" s="1063"/>
      <c r="V2956" s="1063"/>
      <c r="W2956" s="1063"/>
      <c r="X2956" s="1063"/>
      <c r="Y2956" s="1063"/>
      <c r="Z2956" s="1063"/>
      <c r="AA2956" s="1063"/>
      <c r="AB2956" s="1063"/>
      <c r="AC2956" s="1063"/>
      <c r="AD2956" s="1063"/>
      <c r="AE2956" s="1063"/>
      <c r="AF2956" s="1063"/>
      <c r="AG2956" s="1063"/>
      <c r="AH2956" s="1063"/>
      <c r="AI2956" s="1063"/>
      <c r="AJ2956" s="1063"/>
      <c r="AK2956" s="1063"/>
      <c r="AL2956" s="1063"/>
      <c r="AM2956" s="1063"/>
      <c r="AN2956" s="1063"/>
      <c r="AO2956" s="1063"/>
      <c r="AP2956" s="1063"/>
      <c r="AQ2956" s="1063"/>
      <c r="AR2956" s="1063"/>
      <c r="AS2956" s="1063"/>
      <c r="AT2956" s="1063"/>
      <c r="AU2956" s="1063"/>
      <c r="AV2956" s="1063"/>
    </row>
    <row r="2957" spans="1:48" s="1108" customFormat="1" ht="27.75" customHeight="1">
      <c r="A2957" s="1076"/>
      <c r="B2957" s="1074">
        <f>+'[18]Bldg+Dev'!S3769</f>
        <v>0</v>
      </c>
      <c r="D2957" s="1063"/>
      <c r="F2957" s="1076"/>
      <c r="G2957" s="1063"/>
      <c r="H2957" s="1063"/>
      <c r="I2957" s="1063"/>
      <c r="J2957" s="1063"/>
      <c r="K2957" s="1063"/>
      <c r="L2957" s="1063"/>
      <c r="M2957" s="1063"/>
      <c r="N2957" s="1063"/>
      <c r="O2957" s="1063"/>
      <c r="P2957" s="1063"/>
      <c r="Q2957" s="1063"/>
      <c r="R2957" s="1063"/>
      <c r="S2957" s="1063"/>
      <c r="T2957" s="1063"/>
      <c r="U2957" s="1063"/>
      <c r="V2957" s="1063"/>
      <c r="W2957" s="1063"/>
      <c r="X2957" s="1063"/>
      <c r="Y2957" s="1063"/>
      <c r="Z2957" s="1063"/>
      <c r="AA2957" s="1063"/>
      <c r="AB2957" s="1063"/>
      <c r="AC2957" s="1063"/>
      <c r="AD2957" s="1063"/>
      <c r="AE2957" s="1063"/>
      <c r="AF2957" s="1063"/>
      <c r="AG2957" s="1063"/>
      <c r="AH2957" s="1063"/>
      <c r="AI2957" s="1063"/>
      <c r="AJ2957" s="1063"/>
      <c r="AK2957" s="1063"/>
      <c r="AL2957" s="1063"/>
      <c r="AM2957" s="1063"/>
      <c r="AN2957" s="1063"/>
      <c r="AO2957" s="1063"/>
      <c r="AP2957" s="1063"/>
      <c r="AQ2957" s="1063"/>
      <c r="AR2957" s="1063"/>
      <c r="AS2957" s="1063"/>
      <c r="AT2957" s="1063"/>
      <c r="AU2957" s="1063"/>
      <c r="AV2957" s="1063"/>
    </row>
    <row r="2958" spans="1:48" s="1108" customFormat="1" ht="27.75" customHeight="1">
      <c r="A2958" s="1076"/>
      <c r="B2958" s="1074">
        <f>+'[18]Bldg+Dev'!S3770</f>
        <v>0</v>
      </c>
      <c r="D2958" s="1063"/>
      <c r="F2958" s="1076"/>
      <c r="G2958" s="1063"/>
      <c r="H2958" s="1063"/>
      <c r="I2958" s="1063"/>
      <c r="J2958" s="1063"/>
      <c r="K2958" s="1063"/>
      <c r="L2958" s="1063"/>
      <c r="M2958" s="1063"/>
      <c r="N2958" s="1063"/>
      <c r="O2958" s="1063"/>
      <c r="P2958" s="1063"/>
      <c r="Q2958" s="1063"/>
      <c r="R2958" s="1063"/>
      <c r="S2958" s="1063"/>
      <c r="T2958" s="1063"/>
      <c r="U2958" s="1063"/>
      <c r="V2958" s="1063"/>
      <c r="W2958" s="1063"/>
      <c r="X2958" s="1063"/>
      <c r="Y2958" s="1063"/>
      <c r="Z2958" s="1063"/>
      <c r="AA2958" s="1063"/>
      <c r="AB2958" s="1063"/>
      <c r="AC2958" s="1063"/>
      <c r="AD2958" s="1063"/>
      <c r="AE2958" s="1063"/>
      <c r="AF2958" s="1063"/>
      <c r="AG2958" s="1063"/>
      <c r="AH2958" s="1063"/>
      <c r="AI2958" s="1063"/>
      <c r="AJ2958" s="1063"/>
      <c r="AK2958" s="1063"/>
      <c r="AL2958" s="1063"/>
      <c r="AM2958" s="1063"/>
      <c r="AN2958" s="1063"/>
      <c r="AO2958" s="1063"/>
      <c r="AP2958" s="1063"/>
      <c r="AQ2958" s="1063"/>
      <c r="AR2958" s="1063"/>
      <c r="AS2958" s="1063"/>
      <c r="AT2958" s="1063"/>
      <c r="AU2958" s="1063"/>
      <c r="AV2958" s="1063"/>
    </row>
    <row r="2959" spans="1:48" s="1108" customFormat="1" ht="27.75" customHeight="1">
      <c r="A2959" s="1076"/>
      <c r="B2959" s="1074">
        <f>+'[18]Bldg+Dev'!S3771</f>
        <v>0</v>
      </c>
      <c r="D2959" s="1063"/>
      <c r="F2959" s="1076"/>
      <c r="G2959" s="1063"/>
      <c r="H2959" s="1063"/>
      <c r="I2959" s="1063"/>
      <c r="J2959" s="1063"/>
      <c r="K2959" s="1063"/>
      <c r="L2959" s="1063"/>
      <c r="M2959" s="1063"/>
      <c r="N2959" s="1063"/>
      <c r="O2959" s="1063"/>
      <c r="P2959" s="1063"/>
      <c r="Q2959" s="1063"/>
      <c r="R2959" s="1063"/>
      <c r="S2959" s="1063"/>
      <c r="T2959" s="1063"/>
      <c r="U2959" s="1063"/>
      <c r="V2959" s="1063"/>
      <c r="W2959" s="1063"/>
      <c r="X2959" s="1063"/>
      <c r="Y2959" s="1063"/>
      <c r="Z2959" s="1063"/>
      <c r="AA2959" s="1063"/>
      <c r="AB2959" s="1063"/>
      <c r="AC2959" s="1063"/>
      <c r="AD2959" s="1063"/>
      <c r="AE2959" s="1063"/>
      <c r="AF2959" s="1063"/>
      <c r="AG2959" s="1063"/>
      <c r="AH2959" s="1063"/>
      <c r="AI2959" s="1063"/>
      <c r="AJ2959" s="1063"/>
      <c r="AK2959" s="1063"/>
      <c r="AL2959" s="1063"/>
      <c r="AM2959" s="1063"/>
      <c r="AN2959" s="1063"/>
      <c r="AO2959" s="1063"/>
      <c r="AP2959" s="1063"/>
      <c r="AQ2959" s="1063"/>
      <c r="AR2959" s="1063"/>
      <c r="AS2959" s="1063"/>
      <c r="AT2959" s="1063"/>
      <c r="AU2959" s="1063"/>
      <c r="AV2959" s="1063"/>
    </row>
    <row r="2960" spans="1:48" s="1108" customFormat="1" ht="27.75" customHeight="1">
      <c r="A2960" s="1076"/>
      <c r="B2960" s="1074">
        <f>+'[18]Bldg+Dev'!S3772</f>
        <v>0</v>
      </c>
      <c r="D2960" s="1063"/>
      <c r="F2960" s="1076"/>
      <c r="G2960" s="1063"/>
      <c r="H2960" s="1063"/>
      <c r="I2960" s="1063"/>
      <c r="J2960" s="1063"/>
      <c r="K2960" s="1063"/>
      <c r="L2960" s="1063"/>
      <c r="M2960" s="1063"/>
      <c r="N2960" s="1063"/>
      <c r="O2960" s="1063"/>
      <c r="P2960" s="1063"/>
      <c r="Q2960" s="1063"/>
      <c r="R2960" s="1063"/>
      <c r="S2960" s="1063"/>
      <c r="T2960" s="1063"/>
      <c r="U2960" s="1063"/>
      <c r="V2960" s="1063"/>
      <c r="W2960" s="1063"/>
      <c r="X2960" s="1063"/>
      <c r="Y2960" s="1063"/>
      <c r="Z2960" s="1063"/>
      <c r="AA2960" s="1063"/>
      <c r="AB2960" s="1063"/>
      <c r="AC2960" s="1063"/>
      <c r="AD2960" s="1063"/>
      <c r="AE2960" s="1063"/>
      <c r="AF2960" s="1063"/>
      <c r="AG2960" s="1063"/>
      <c r="AH2960" s="1063"/>
      <c r="AI2960" s="1063"/>
      <c r="AJ2960" s="1063"/>
      <c r="AK2960" s="1063"/>
      <c r="AL2960" s="1063"/>
      <c r="AM2960" s="1063"/>
      <c r="AN2960" s="1063"/>
      <c r="AO2960" s="1063"/>
      <c r="AP2960" s="1063"/>
      <c r="AQ2960" s="1063"/>
      <c r="AR2960" s="1063"/>
      <c r="AS2960" s="1063"/>
      <c r="AT2960" s="1063"/>
      <c r="AU2960" s="1063"/>
      <c r="AV2960" s="1063"/>
    </row>
    <row r="2961" spans="1:48" s="1108" customFormat="1" ht="27.75" customHeight="1">
      <c r="A2961" s="1076"/>
      <c r="B2961" s="1074">
        <f>+'[18]Bldg+Dev'!S3773</f>
        <v>0</v>
      </c>
      <c r="D2961" s="1063"/>
      <c r="F2961" s="1076"/>
      <c r="G2961" s="1063"/>
      <c r="H2961" s="1063"/>
      <c r="I2961" s="1063"/>
      <c r="J2961" s="1063"/>
      <c r="K2961" s="1063"/>
      <c r="L2961" s="1063"/>
      <c r="M2961" s="1063"/>
      <c r="N2961" s="1063"/>
      <c r="O2961" s="1063"/>
      <c r="P2961" s="1063"/>
      <c r="Q2961" s="1063"/>
      <c r="R2961" s="1063"/>
      <c r="S2961" s="1063"/>
      <c r="T2961" s="1063"/>
      <c r="U2961" s="1063"/>
      <c r="V2961" s="1063"/>
      <c r="W2961" s="1063"/>
      <c r="X2961" s="1063"/>
      <c r="Y2961" s="1063"/>
      <c r="Z2961" s="1063"/>
      <c r="AA2961" s="1063"/>
      <c r="AB2961" s="1063"/>
      <c r="AC2961" s="1063"/>
      <c r="AD2961" s="1063"/>
      <c r="AE2961" s="1063"/>
      <c r="AF2961" s="1063"/>
      <c r="AG2961" s="1063"/>
      <c r="AH2961" s="1063"/>
      <c r="AI2961" s="1063"/>
      <c r="AJ2961" s="1063"/>
      <c r="AK2961" s="1063"/>
      <c r="AL2961" s="1063"/>
      <c r="AM2961" s="1063"/>
      <c r="AN2961" s="1063"/>
      <c r="AO2961" s="1063"/>
      <c r="AP2961" s="1063"/>
      <c r="AQ2961" s="1063"/>
      <c r="AR2961" s="1063"/>
      <c r="AS2961" s="1063"/>
      <c r="AT2961" s="1063"/>
      <c r="AU2961" s="1063"/>
      <c r="AV2961" s="1063"/>
    </row>
    <row r="2962" spans="1:48" s="1108" customFormat="1" ht="27.75" customHeight="1">
      <c r="A2962" s="1076"/>
      <c r="B2962" s="1074">
        <f>+'[18]Bldg+Dev'!S3774</f>
        <v>0</v>
      </c>
      <c r="D2962" s="1063"/>
      <c r="F2962" s="1076"/>
      <c r="G2962" s="1063"/>
      <c r="H2962" s="1063"/>
      <c r="I2962" s="1063"/>
      <c r="J2962" s="1063"/>
      <c r="K2962" s="1063"/>
      <c r="L2962" s="1063"/>
      <c r="M2962" s="1063"/>
      <c r="N2962" s="1063"/>
      <c r="O2962" s="1063"/>
      <c r="P2962" s="1063"/>
      <c r="Q2962" s="1063"/>
      <c r="R2962" s="1063"/>
      <c r="S2962" s="1063"/>
      <c r="T2962" s="1063"/>
      <c r="U2962" s="1063"/>
      <c r="V2962" s="1063"/>
      <c r="W2962" s="1063"/>
      <c r="X2962" s="1063"/>
      <c r="Y2962" s="1063"/>
      <c r="Z2962" s="1063"/>
      <c r="AA2962" s="1063"/>
      <c r="AB2962" s="1063"/>
      <c r="AC2962" s="1063"/>
      <c r="AD2962" s="1063"/>
      <c r="AE2962" s="1063"/>
      <c r="AF2962" s="1063"/>
      <c r="AG2962" s="1063"/>
      <c r="AH2962" s="1063"/>
      <c r="AI2962" s="1063"/>
      <c r="AJ2962" s="1063"/>
      <c r="AK2962" s="1063"/>
      <c r="AL2962" s="1063"/>
      <c r="AM2962" s="1063"/>
      <c r="AN2962" s="1063"/>
      <c r="AO2962" s="1063"/>
      <c r="AP2962" s="1063"/>
      <c r="AQ2962" s="1063"/>
      <c r="AR2962" s="1063"/>
      <c r="AS2962" s="1063"/>
      <c r="AT2962" s="1063"/>
      <c r="AU2962" s="1063"/>
      <c r="AV2962" s="1063"/>
    </row>
    <row r="2963" spans="1:48" s="1108" customFormat="1" ht="27.75" customHeight="1">
      <c r="A2963" s="1076"/>
      <c r="B2963" s="1074">
        <f>+'[18]Bldg+Dev'!S3775</f>
        <v>0</v>
      </c>
      <c r="D2963" s="1063"/>
      <c r="F2963" s="1076"/>
      <c r="G2963" s="1063"/>
      <c r="H2963" s="1063"/>
      <c r="I2963" s="1063"/>
      <c r="J2963" s="1063"/>
      <c r="K2963" s="1063"/>
      <c r="L2963" s="1063"/>
      <c r="M2963" s="1063"/>
      <c r="N2963" s="1063"/>
      <c r="O2963" s="1063"/>
      <c r="P2963" s="1063"/>
      <c r="Q2963" s="1063"/>
      <c r="R2963" s="1063"/>
      <c r="S2963" s="1063"/>
      <c r="T2963" s="1063"/>
      <c r="U2963" s="1063"/>
      <c r="V2963" s="1063"/>
      <c r="W2963" s="1063"/>
      <c r="X2963" s="1063"/>
      <c r="Y2963" s="1063"/>
      <c r="Z2963" s="1063"/>
      <c r="AA2963" s="1063"/>
      <c r="AB2963" s="1063"/>
      <c r="AC2963" s="1063"/>
      <c r="AD2963" s="1063"/>
      <c r="AE2963" s="1063"/>
      <c r="AF2963" s="1063"/>
      <c r="AG2963" s="1063"/>
      <c r="AH2963" s="1063"/>
      <c r="AI2963" s="1063"/>
      <c r="AJ2963" s="1063"/>
      <c r="AK2963" s="1063"/>
      <c r="AL2963" s="1063"/>
      <c r="AM2963" s="1063"/>
      <c r="AN2963" s="1063"/>
      <c r="AO2963" s="1063"/>
      <c r="AP2963" s="1063"/>
      <c r="AQ2963" s="1063"/>
      <c r="AR2963" s="1063"/>
      <c r="AS2963" s="1063"/>
      <c r="AT2963" s="1063"/>
      <c r="AU2963" s="1063"/>
      <c r="AV2963" s="1063"/>
    </row>
    <row r="2964" spans="1:48" s="1108" customFormat="1" ht="27.75" customHeight="1">
      <c r="A2964" s="1076"/>
      <c r="B2964" s="1074">
        <f>+'[18]Bldg+Dev'!S3776</f>
        <v>0</v>
      </c>
      <c r="D2964" s="1063"/>
      <c r="F2964" s="1076"/>
      <c r="G2964" s="1063"/>
      <c r="H2964" s="1063"/>
      <c r="I2964" s="1063"/>
      <c r="J2964" s="1063"/>
      <c r="K2964" s="1063"/>
      <c r="L2964" s="1063"/>
      <c r="M2964" s="1063"/>
      <c r="N2964" s="1063"/>
      <c r="O2964" s="1063"/>
      <c r="P2964" s="1063"/>
      <c r="Q2964" s="1063"/>
      <c r="R2964" s="1063"/>
      <c r="S2964" s="1063"/>
      <c r="T2964" s="1063"/>
      <c r="U2964" s="1063"/>
      <c r="V2964" s="1063"/>
      <c r="W2964" s="1063"/>
      <c r="X2964" s="1063"/>
      <c r="Y2964" s="1063"/>
      <c r="Z2964" s="1063"/>
      <c r="AA2964" s="1063"/>
      <c r="AB2964" s="1063"/>
      <c r="AC2964" s="1063"/>
      <c r="AD2964" s="1063"/>
      <c r="AE2964" s="1063"/>
      <c r="AF2964" s="1063"/>
      <c r="AG2964" s="1063"/>
      <c r="AH2964" s="1063"/>
      <c r="AI2964" s="1063"/>
      <c r="AJ2964" s="1063"/>
      <c r="AK2964" s="1063"/>
      <c r="AL2964" s="1063"/>
      <c r="AM2964" s="1063"/>
      <c r="AN2964" s="1063"/>
      <c r="AO2964" s="1063"/>
      <c r="AP2964" s="1063"/>
      <c r="AQ2964" s="1063"/>
      <c r="AR2964" s="1063"/>
      <c r="AS2964" s="1063"/>
      <c r="AT2964" s="1063"/>
      <c r="AU2964" s="1063"/>
      <c r="AV2964" s="1063"/>
    </row>
    <row r="2965" spans="1:48" s="1108" customFormat="1" ht="27.75" customHeight="1">
      <c r="A2965" s="1076"/>
      <c r="B2965" s="1074">
        <f>+'[18]Bldg+Dev'!S3777</f>
        <v>0</v>
      </c>
      <c r="D2965" s="1063"/>
      <c r="F2965" s="1076"/>
      <c r="G2965" s="1063"/>
      <c r="H2965" s="1063"/>
      <c r="I2965" s="1063"/>
      <c r="J2965" s="1063"/>
      <c r="K2965" s="1063"/>
      <c r="L2965" s="1063"/>
      <c r="M2965" s="1063"/>
      <c r="N2965" s="1063"/>
      <c r="O2965" s="1063"/>
      <c r="P2965" s="1063"/>
      <c r="Q2965" s="1063"/>
      <c r="R2965" s="1063"/>
      <c r="S2965" s="1063"/>
      <c r="T2965" s="1063"/>
      <c r="U2965" s="1063"/>
      <c r="V2965" s="1063"/>
      <c r="W2965" s="1063"/>
      <c r="X2965" s="1063"/>
      <c r="Y2965" s="1063"/>
      <c r="Z2965" s="1063"/>
      <c r="AA2965" s="1063"/>
      <c r="AB2965" s="1063"/>
      <c r="AC2965" s="1063"/>
      <c r="AD2965" s="1063"/>
      <c r="AE2965" s="1063"/>
      <c r="AF2965" s="1063"/>
      <c r="AG2965" s="1063"/>
      <c r="AH2965" s="1063"/>
      <c r="AI2965" s="1063"/>
      <c r="AJ2965" s="1063"/>
      <c r="AK2965" s="1063"/>
      <c r="AL2965" s="1063"/>
      <c r="AM2965" s="1063"/>
      <c r="AN2965" s="1063"/>
      <c r="AO2965" s="1063"/>
      <c r="AP2965" s="1063"/>
      <c r="AQ2965" s="1063"/>
      <c r="AR2965" s="1063"/>
      <c r="AS2965" s="1063"/>
      <c r="AT2965" s="1063"/>
      <c r="AU2965" s="1063"/>
      <c r="AV2965" s="1063"/>
    </row>
    <row r="2966" spans="1:48" s="1108" customFormat="1" ht="27.75" customHeight="1">
      <c r="A2966" s="1076"/>
      <c r="B2966" s="1074">
        <f>+'[18]Bldg+Dev'!S3778</f>
        <v>0</v>
      </c>
      <c r="D2966" s="1063"/>
      <c r="F2966" s="1076"/>
      <c r="G2966" s="1063"/>
      <c r="H2966" s="1063"/>
      <c r="I2966" s="1063"/>
      <c r="J2966" s="1063"/>
      <c r="K2966" s="1063"/>
      <c r="L2966" s="1063"/>
      <c r="M2966" s="1063"/>
      <c r="N2966" s="1063"/>
      <c r="O2966" s="1063"/>
      <c r="P2966" s="1063"/>
      <c r="Q2966" s="1063"/>
      <c r="R2966" s="1063"/>
      <c r="S2966" s="1063"/>
      <c r="T2966" s="1063"/>
      <c r="U2966" s="1063"/>
      <c r="V2966" s="1063"/>
      <c r="W2966" s="1063"/>
      <c r="X2966" s="1063"/>
      <c r="Y2966" s="1063"/>
      <c r="Z2966" s="1063"/>
      <c r="AA2966" s="1063"/>
      <c r="AB2966" s="1063"/>
      <c r="AC2966" s="1063"/>
      <c r="AD2966" s="1063"/>
      <c r="AE2966" s="1063"/>
      <c r="AF2966" s="1063"/>
      <c r="AG2966" s="1063"/>
      <c r="AH2966" s="1063"/>
      <c r="AI2966" s="1063"/>
      <c r="AJ2966" s="1063"/>
      <c r="AK2966" s="1063"/>
      <c r="AL2966" s="1063"/>
      <c r="AM2966" s="1063"/>
      <c r="AN2966" s="1063"/>
      <c r="AO2966" s="1063"/>
      <c r="AP2966" s="1063"/>
      <c r="AQ2966" s="1063"/>
      <c r="AR2966" s="1063"/>
      <c r="AS2966" s="1063"/>
      <c r="AT2966" s="1063"/>
      <c r="AU2966" s="1063"/>
      <c r="AV2966" s="1063"/>
    </row>
    <row r="2967" spans="1:48" s="1108" customFormat="1" ht="27.75" customHeight="1">
      <c r="A2967" s="1076"/>
      <c r="B2967" s="1074">
        <f>+'[18]Bldg+Dev'!S3779</f>
        <v>0</v>
      </c>
      <c r="D2967" s="1063"/>
      <c r="F2967" s="1076"/>
      <c r="G2967" s="1063"/>
      <c r="H2967" s="1063"/>
      <c r="I2967" s="1063"/>
      <c r="J2967" s="1063"/>
      <c r="K2967" s="1063"/>
      <c r="L2967" s="1063"/>
      <c r="M2967" s="1063"/>
      <c r="N2967" s="1063"/>
      <c r="O2967" s="1063"/>
      <c r="P2967" s="1063"/>
      <c r="Q2967" s="1063"/>
      <c r="R2967" s="1063"/>
      <c r="S2967" s="1063"/>
      <c r="T2967" s="1063"/>
      <c r="U2967" s="1063"/>
      <c r="V2967" s="1063"/>
      <c r="W2967" s="1063"/>
      <c r="X2967" s="1063"/>
      <c r="Y2967" s="1063"/>
      <c r="Z2967" s="1063"/>
      <c r="AA2967" s="1063"/>
      <c r="AB2967" s="1063"/>
      <c r="AC2967" s="1063"/>
      <c r="AD2967" s="1063"/>
      <c r="AE2967" s="1063"/>
      <c r="AF2967" s="1063"/>
      <c r="AG2967" s="1063"/>
      <c r="AH2967" s="1063"/>
      <c r="AI2967" s="1063"/>
      <c r="AJ2967" s="1063"/>
      <c r="AK2967" s="1063"/>
      <c r="AL2967" s="1063"/>
      <c r="AM2967" s="1063"/>
      <c r="AN2967" s="1063"/>
      <c r="AO2967" s="1063"/>
      <c r="AP2967" s="1063"/>
      <c r="AQ2967" s="1063"/>
      <c r="AR2967" s="1063"/>
      <c r="AS2967" s="1063"/>
      <c r="AT2967" s="1063"/>
      <c r="AU2967" s="1063"/>
      <c r="AV2967" s="1063"/>
    </row>
    <row r="2968" spans="1:48" s="1108" customFormat="1" ht="27.75" customHeight="1">
      <c r="A2968" s="1076"/>
      <c r="B2968" s="1074">
        <f>+'[18]Bldg+Dev'!S3780</f>
        <v>0</v>
      </c>
      <c r="D2968" s="1063"/>
      <c r="F2968" s="1076"/>
      <c r="G2968" s="1063"/>
      <c r="H2968" s="1063"/>
      <c r="I2968" s="1063"/>
      <c r="J2968" s="1063"/>
      <c r="K2968" s="1063"/>
      <c r="L2968" s="1063"/>
      <c r="M2968" s="1063"/>
      <c r="N2968" s="1063"/>
      <c r="O2968" s="1063"/>
      <c r="P2968" s="1063"/>
      <c r="Q2968" s="1063"/>
      <c r="R2968" s="1063"/>
      <c r="S2968" s="1063"/>
      <c r="T2968" s="1063"/>
      <c r="U2968" s="1063"/>
      <c r="V2968" s="1063"/>
      <c r="W2968" s="1063"/>
      <c r="X2968" s="1063"/>
      <c r="Y2968" s="1063"/>
      <c r="Z2968" s="1063"/>
      <c r="AA2968" s="1063"/>
      <c r="AB2968" s="1063"/>
      <c r="AC2968" s="1063"/>
      <c r="AD2968" s="1063"/>
      <c r="AE2968" s="1063"/>
      <c r="AF2968" s="1063"/>
      <c r="AG2968" s="1063"/>
      <c r="AH2968" s="1063"/>
      <c r="AI2968" s="1063"/>
      <c r="AJ2968" s="1063"/>
      <c r="AK2968" s="1063"/>
      <c r="AL2968" s="1063"/>
      <c r="AM2968" s="1063"/>
      <c r="AN2968" s="1063"/>
      <c r="AO2968" s="1063"/>
      <c r="AP2968" s="1063"/>
      <c r="AQ2968" s="1063"/>
      <c r="AR2968" s="1063"/>
      <c r="AS2968" s="1063"/>
      <c r="AT2968" s="1063"/>
      <c r="AU2968" s="1063"/>
      <c r="AV2968" s="1063"/>
    </row>
    <row r="2969" spans="1:48" s="1108" customFormat="1" ht="27.75" customHeight="1">
      <c r="A2969" s="1076"/>
      <c r="B2969" s="1074">
        <f>+'[18]Bldg+Dev'!S3781</f>
        <v>0</v>
      </c>
      <c r="D2969" s="1063"/>
      <c r="F2969" s="1076"/>
      <c r="G2969" s="1063"/>
      <c r="H2969" s="1063"/>
      <c r="I2969" s="1063"/>
      <c r="J2969" s="1063"/>
      <c r="K2969" s="1063"/>
      <c r="L2969" s="1063"/>
      <c r="M2969" s="1063"/>
      <c r="N2969" s="1063"/>
      <c r="O2969" s="1063"/>
      <c r="P2969" s="1063"/>
      <c r="Q2969" s="1063"/>
      <c r="R2969" s="1063"/>
      <c r="S2969" s="1063"/>
      <c r="T2969" s="1063"/>
      <c r="U2969" s="1063"/>
      <c r="V2969" s="1063"/>
      <c r="W2969" s="1063"/>
      <c r="X2969" s="1063"/>
      <c r="Y2969" s="1063"/>
      <c r="Z2969" s="1063"/>
      <c r="AA2969" s="1063"/>
      <c r="AB2969" s="1063"/>
      <c r="AC2969" s="1063"/>
      <c r="AD2969" s="1063"/>
      <c r="AE2969" s="1063"/>
      <c r="AF2969" s="1063"/>
      <c r="AG2969" s="1063"/>
      <c r="AH2969" s="1063"/>
      <c r="AI2969" s="1063"/>
      <c r="AJ2969" s="1063"/>
      <c r="AK2969" s="1063"/>
      <c r="AL2969" s="1063"/>
      <c r="AM2969" s="1063"/>
      <c r="AN2969" s="1063"/>
      <c r="AO2969" s="1063"/>
      <c r="AP2969" s="1063"/>
      <c r="AQ2969" s="1063"/>
      <c r="AR2969" s="1063"/>
      <c r="AS2969" s="1063"/>
      <c r="AT2969" s="1063"/>
      <c r="AU2969" s="1063"/>
      <c r="AV2969" s="1063"/>
    </row>
    <row r="2970" spans="1:48" s="1108" customFormat="1" ht="27.75" customHeight="1">
      <c r="A2970" s="1076"/>
      <c r="B2970" s="1074">
        <f>+'[18]Bldg+Dev'!S3782</f>
        <v>0</v>
      </c>
      <c r="D2970" s="1063"/>
      <c r="F2970" s="1076"/>
      <c r="G2970" s="1063"/>
      <c r="H2970" s="1063"/>
      <c r="I2970" s="1063"/>
      <c r="J2970" s="1063"/>
      <c r="K2970" s="1063"/>
      <c r="L2970" s="1063"/>
      <c r="M2970" s="1063"/>
      <c r="N2970" s="1063"/>
      <c r="O2970" s="1063"/>
      <c r="P2970" s="1063"/>
      <c r="Q2970" s="1063"/>
      <c r="R2970" s="1063"/>
      <c r="S2970" s="1063"/>
      <c r="T2970" s="1063"/>
      <c r="U2970" s="1063"/>
      <c r="V2970" s="1063"/>
      <c r="W2970" s="1063"/>
      <c r="X2970" s="1063"/>
      <c r="Y2970" s="1063"/>
      <c r="Z2970" s="1063"/>
      <c r="AA2970" s="1063"/>
      <c r="AB2970" s="1063"/>
      <c r="AC2970" s="1063"/>
      <c r="AD2970" s="1063"/>
      <c r="AE2970" s="1063"/>
      <c r="AF2970" s="1063"/>
      <c r="AG2970" s="1063"/>
      <c r="AH2970" s="1063"/>
      <c r="AI2970" s="1063"/>
      <c r="AJ2970" s="1063"/>
      <c r="AK2970" s="1063"/>
      <c r="AL2970" s="1063"/>
      <c r="AM2970" s="1063"/>
      <c r="AN2970" s="1063"/>
      <c r="AO2970" s="1063"/>
      <c r="AP2970" s="1063"/>
      <c r="AQ2970" s="1063"/>
      <c r="AR2970" s="1063"/>
      <c r="AS2970" s="1063"/>
      <c r="AT2970" s="1063"/>
      <c r="AU2970" s="1063"/>
      <c r="AV2970" s="1063"/>
    </row>
    <row r="2971" spans="1:48" s="1108" customFormat="1" ht="27.75" customHeight="1">
      <c r="A2971" s="1076"/>
      <c r="B2971" s="1074">
        <f>+'[18]Bldg+Dev'!S3783</f>
        <v>0</v>
      </c>
      <c r="D2971" s="1063"/>
      <c r="F2971" s="1076"/>
      <c r="G2971" s="1063"/>
      <c r="H2971" s="1063"/>
      <c r="I2971" s="1063"/>
      <c r="J2971" s="1063"/>
      <c r="K2971" s="1063"/>
      <c r="L2971" s="1063"/>
      <c r="M2971" s="1063"/>
      <c r="N2971" s="1063"/>
      <c r="O2971" s="1063"/>
      <c r="P2971" s="1063"/>
      <c r="Q2971" s="1063"/>
      <c r="R2971" s="1063"/>
      <c r="S2971" s="1063"/>
      <c r="T2971" s="1063"/>
      <c r="U2971" s="1063"/>
      <c r="V2971" s="1063"/>
      <c r="W2971" s="1063"/>
      <c r="X2971" s="1063"/>
      <c r="Y2971" s="1063"/>
      <c r="Z2971" s="1063"/>
      <c r="AA2971" s="1063"/>
      <c r="AB2971" s="1063"/>
      <c r="AC2971" s="1063"/>
      <c r="AD2971" s="1063"/>
      <c r="AE2971" s="1063"/>
      <c r="AF2971" s="1063"/>
      <c r="AG2971" s="1063"/>
      <c r="AH2971" s="1063"/>
      <c r="AI2971" s="1063"/>
      <c r="AJ2971" s="1063"/>
      <c r="AK2971" s="1063"/>
      <c r="AL2971" s="1063"/>
      <c r="AM2971" s="1063"/>
      <c r="AN2971" s="1063"/>
      <c r="AO2971" s="1063"/>
      <c r="AP2971" s="1063"/>
      <c r="AQ2971" s="1063"/>
      <c r="AR2971" s="1063"/>
      <c r="AS2971" s="1063"/>
      <c r="AT2971" s="1063"/>
      <c r="AU2971" s="1063"/>
      <c r="AV2971" s="1063"/>
    </row>
    <row r="2972" spans="1:48" s="1108" customFormat="1" ht="27.75" customHeight="1">
      <c r="A2972" s="1076"/>
      <c r="B2972" s="1074">
        <f>+'[18]Bldg+Dev'!S3784</f>
        <v>0</v>
      </c>
      <c r="D2972" s="1063"/>
      <c r="F2972" s="1076"/>
      <c r="G2972" s="1063"/>
      <c r="H2972" s="1063"/>
      <c r="I2972" s="1063"/>
      <c r="J2972" s="1063"/>
      <c r="K2972" s="1063"/>
      <c r="L2972" s="1063"/>
      <c r="M2972" s="1063"/>
      <c r="N2972" s="1063"/>
      <c r="O2972" s="1063"/>
      <c r="P2972" s="1063"/>
      <c r="Q2972" s="1063"/>
      <c r="R2972" s="1063"/>
      <c r="S2972" s="1063"/>
      <c r="T2972" s="1063"/>
      <c r="U2972" s="1063"/>
      <c r="V2972" s="1063"/>
      <c r="W2972" s="1063"/>
      <c r="X2972" s="1063"/>
      <c r="Y2972" s="1063"/>
      <c r="Z2972" s="1063"/>
      <c r="AA2972" s="1063"/>
      <c r="AB2972" s="1063"/>
      <c r="AC2972" s="1063"/>
      <c r="AD2972" s="1063"/>
      <c r="AE2972" s="1063"/>
      <c r="AF2972" s="1063"/>
      <c r="AG2972" s="1063"/>
      <c r="AH2972" s="1063"/>
      <c r="AI2972" s="1063"/>
      <c r="AJ2972" s="1063"/>
      <c r="AK2972" s="1063"/>
      <c r="AL2972" s="1063"/>
      <c r="AM2972" s="1063"/>
      <c r="AN2972" s="1063"/>
      <c r="AO2972" s="1063"/>
      <c r="AP2972" s="1063"/>
      <c r="AQ2972" s="1063"/>
      <c r="AR2972" s="1063"/>
      <c r="AS2972" s="1063"/>
      <c r="AT2972" s="1063"/>
      <c r="AU2972" s="1063"/>
      <c r="AV2972" s="1063"/>
    </row>
    <row r="2973" spans="1:48" s="1108" customFormat="1" ht="27.75" customHeight="1">
      <c r="A2973" s="1076"/>
      <c r="B2973" s="1074">
        <f>+'[18]Bldg+Dev'!S3785</f>
        <v>0</v>
      </c>
      <c r="D2973" s="1063"/>
      <c r="F2973" s="1076"/>
      <c r="G2973" s="1063"/>
      <c r="H2973" s="1063"/>
      <c r="I2973" s="1063"/>
      <c r="J2973" s="1063"/>
      <c r="K2973" s="1063"/>
      <c r="L2973" s="1063"/>
      <c r="M2973" s="1063"/>
      <c r="N2973" s="1063"/>
      <c r="O2973" s="1063"/>
      <c r="P2973" s="1063"/>
      <c r="Q2973" s="1063"/>
      <c r="R2973" s="1063"/>
      <c r="S2973" s="1063"/>
      <c r="T2973" s="1063"/>
      <c r="U2973" s="1063"/>
      <c r="V2973" s="1063"/>
      <c r="W2973" s="1063"/>
      <c r="X2973" s="1063"/>
      <c r="Y2973" s="1063"/>
      <c r="Z2973" s="1063"/>
      <c r="AA2973" s="1063"/>
      <c r="AB2973" s="1063"/>
      <c r="AC2973" s="1063"/>
      <c r="AD2973" s="1063"/>
      <c r="AE2973" s="1063"/>
      <c r="AF2973" s="1063"/>
      <c r="AG2973" s="1063"/>
      <c r="AH2973" s="1063"/>
      <c r="AI2973" s="1063"/>
      <c r="AJ2973" s="1063"/>
      <c r="AK2973" s="1063"/>
      <c r="AL2973" s="1063"/>
      <c r="AM2973" s="1063"/>
      <c r="AN2973" s="1063"/>
      <c r="AO2973" s="1063"/>
      <c r="AP2973" s="1063"/>
      <c r="AQ2973" s="1063"/>
      <c r="AR2973" s="1063"/>
      <c r="AS2973" s="1063"/>
      <c r="AT2973" s="1063"/>
      <c r="AU2973" s="1063"/>
      <c r="AV2973" s="1063"/>
    </row>
    <row r="2974" spans="1:48" s="1108" customFormat="1" ht="27.75" customHeight="1">
      <c r="A2974" s="1076"/>
      <c r="B2974" s="1074">
        <f>+'[18]Bldg+Dev'!S3786</f>
        <v>0</v>
      </c>
      <c r="D2974" s="1063"/>
      <c r="F2974" s="1076"/>
      <c r="G2974" s="1063"/>
      <c r="H2974" s="1063"/>
      <c r="I2974" s="1063"/>
      <c r="J2974" s="1063"/>
      <c r="K2974" s="1063"/>
      <c r="L2974" s="1063"/>
      <c r="M2974" s="1063"/>
      <c r="N2974" s="1063"/>
      <c r="O2974" s="1063"/>
      <c r="P2974" s="1063"/>
      <c r="Q2974" s="1063"/>
      <c r="R2974" s="1063"/>
      <c r="S2974" s="1063"/>
      <c r="T2974" s="1063"/>
      <c r="U2974" s="1063"/>
      <c r="V2974" s="1063"/>
      <c r="W2974" s="1063"/>
      <c r="X2974" s="1063"/>
      <c r="Y2974" s="1063"/>
      <c r="Z2974" s="1063"/>
      <c r="AA2974" s="1063"/>
      <c r="AB2974" s="1063"/>
      <c r="AC2974" s="1063"/>
      <c r="AD2974" s="1063"/>
      <c r="AE2974" s="1063"/>
      <c r="AF2974" s="1063"/>
      <c r="AG2974" s="1063"/>
      <c r="AH2974" s="1063"/>
      <c r="AI2974" s="1063"/>
      <c r="AJ2974" s="1063"/>
      <c r="AK2974" s="1063"/>
      <c r="AL2974" s="1063"/>
      <c r="AM2974" s="1063"/>
      <c r="AN2974" s="1063"/>
      <c r="AO2974" s="1063"/>
      <c r="AP2974" s="1063"/>
      <c r="AQ2974" s="1063"/>
      <c r="AR2974" s="1063"/>
      <c r="AS2974" s="1063"/>
      <c r="AT2974" s="1063"/>
      <c r="AU2974" s="1063"/>
      <c r="AV2974" s="1063"/>
    </row>
    <row r="2975" spans="1:48" s="1108" customFormat="1" ht="27.75" customHeight="1">
      <c r="A2975" s="1076"/>
      <c r="B2975" s="1074">
        <f>+'[18]Bldg+Dev'!S3787</f>
        <v>0</v>
      </c>
      <c r="D2975" s="1063"/>
      <c r="F2975" s="1076"/>
      <c r="G2975" s="1063"/>
      <c r="H2975" s="1063"/>
      <c r="I2975" s="1063"/>
      <c r="J2975" s="1063"/>
      <c r="K2975" s="1063"/>
      <c r="L2975" s="1063"/>
      <c r="M2975" s="1063"/>
      <c r="N2975" s="1063"/>
      <c r="O2975" s="1063"/>
      <c r="P2975" s="1063"/>
      <c r="Q2975" s="1063"/>
      <c r="R2975" s="1063"/>
      <c r="S2975" s="1063"/>
      <c r="T2975" s="1063"/>
      <c r="U2975" s="1063"/>
      <c r="V2975" s="1063"/>
      <c r="W2975" s="1063"/>
      <c r="X2975" s="1063"/>
      <c r="Y2975" s="1063"/>
      <c r="Z2975" s="1063"/>
      <c r="AA2975" s="1063"/>
      <c r="AB2975" s="1063"/>
      <c r="AC2975" s="1063"/>
      <c r="AD2975" s="1063"/>
      <c r="AE2975" s="1063"/>
      <c r="AF2975" s="1063"/>
      <c r="AG2975" s="1063"/>
      <c r="AH2975" s="1063"/>
      <c r="AI2975" s="1063"/>
      <c r="AJ2975" s="1063"/>
      <c r="AK2975" s="1063"/>
      <c r="AL2975" s="1063"/>
      <c r="AM2975" s="1063"/>
      <c r="AN2975" s="1063"/>
      <c r="AO2975" s="1063"/>
      <c r="AP2975" s="1063"/>
      <c r="AQ2975" s="1063"/>
      <c r="AR2975" s="1063"/>
      <c r="AS2975" s="1063"/>
      <c r="AT2975" s="1063"/>
      <c r="AU2975" s="1063"/>
      <c r="AV2975" s="1063"/>
    </row>
    <row r="2976" spans="1:48" s="1108" customFormat="1" ht="27.75" customHeight="1">
      <c r="A2976" s="1076"/>
      <c r="B2976" s="1074">
        <f>+'[18]Bldg+Dev'!S3788</f>
        <v>0</v>
      </c>
      <c r="D2976" s="1063"/>
      <c r="F2976" s="1076"/>
      <c r="G2976" s="1063"/>
      <c r="H2976" s="1063"/>
      <c r="I2976" s="1063"/>
      <c r="J2976" s="1063"/>
      <c r="K2976" s="1063"/>
      <c r="L2976" s="1063"/>
      <c r="M2976" s="1063"/>
      <c r="N2976" s="1063"/>
      <c r="O2976" s="1063"/>
      <c r="P2976" s="1063"/>
      <c r="Q2976" s="1063"/>
      <c r="R2976" s="1063"/>
      <c r="S2976" s="1063"/>
      <c r="T2976" s="1063"/>
      <c r="U2976" s="1063"/>
      <c r="V2976" s="1063"/>
      <c r="W2976" s="1063"/>
      <c r="X2976" s="1063"/>
      <c r="Y2976" s="1063"/>
      <c r="Z2976" s="1063"/>
      <c r="AA2976" s="1063"/>
      <c r="AB2976" s="1063"/>
      <c r="AC2976" s="1063"/>
      <c r="AD2976" s="1063"/>
      <c r="AE2976" s="1063"/>
      <c r="AF2976" s="1063"/>
      <c r="AG2976" s="1063"/>
      <c r="AH2976" s="1063"/>
      <c r="AI2976" s="1063"/>
      <c r="AJ2976" s="1063"/>
      <c r="AK2976" s="1063"/>
      <c r="AL2976" s="1063"/>
      <c r="AM2976" s="1063"/>
      <c r="AN2976" s="1063"/>
      <c r="AO2976" s="1063"/>
      <c r="AP2976" s="1063"/>
      <c r="AQ2976" s="1063"/>
      <c r="AR2976" s="1063"/>
      <c r="AS2976" s="1063"/>
      <c r="AT2976" s="1063"/>
      <c r="AU2976" s="1063"/>
      <c r="AV2976" s="1063"/>
    </row>
    <row r="2977" spans="1:48" s="1108" customFormat="1" ht="27.75" customHeight="1">
      <c r="A2977" s="1076"/>
      <c r="B2977" s="1074">
        <f>+'[18]Bldg+Dev'!S3789</f>
        <v>0</v>
      </c>
      <c r="D2977" s="1063"/>
      <c r="F2977" s="1076"/>
      <c r="G2977" s="1063"/>
      <c r="H2977" s="1063"/>
      <c r="I2977" s="1063"/>
      <c r="J2977" s="1063"/>
      <c r="K2977" s="1063"/>
      <c r="L2977" s="1063"/>
      <c r="M2977" s="1063"/>
      <c r="N2977" s="1063"/>
      <c r="O2977" s="1063"/>
      <c r="P2977" s="1063"/>
      <c r="Q2977" s="1063"/>
      <c r="R2977" s="1063"/>
      <c r="S2977" s="1063"/>
      <c r="T2977" s="1063"/>
      <c r="U2977" s="1063"/>
      <c r="V2977" s="1063"/>
      <c r="W2977" s="1063"/>
      <c r="X2977" s="1063"/>
      <c r="Y2977" s="1063"/>
      <c r="Z2977" s="1063"/>
      <c r="AA2977" s="1063"/>
      <c r="AB2977" s="1063"/>
      <c r="AC2977" s="1063"/>
      <c r="AD2977" s="1063"/>
      <c r="AE2977" s="1063"/>
      <c r="AF2977" s="1063"/>
      <c r="AG2977" s="1063"/>
      <c r="AH2977" s="1063"/>
      <c r="AI2977" s="1063"/>
      <c r="AJ2977" s="1063"/>
      <c r="AK2977" s="1063"/>
      <c r="AL2977" s="1063"/>
      <c r="AM2977" s="1063"/>
      <c r="AN2977" s="1063"/>
      <c r="AO2977" s="1063"/>
      <c r="AP2977" s="1063"/>
      <c r="AQ2977" s="1063"/>
      <c r="AR2977" s="1063"/>
      <c r="AS2977" s="1063"/>
      <c r="AT2977" s="1063"/>
      <c r="AU2977" s="1063"/>
      <c r="AV2977" s="1063"/>
    </row>
    <row r="2978" spans="1:48" s="1108" customFormat="1" ht="27.75" customHeight="1">
      <c r="A2978" s="1076"/>
      <c r="B2978" s="1074">
        <f>+'[18]Bldg+Dev'!S3790</f>
        <v>0</v>
      </c>
      <c r="D2978" s="1063"/>
      <c r="F2978" s="1076"/>
      <c r="G2978" s="1063"/>
      <c r="H2978" s="1063"/>
      <c r="I2978" s="1063"/>
      <c r="J2978" s="1063"/>
      <c r="K2978" s="1063"/>
      <c r="L2978" s="1063"/>
      <c r="M2978" s="1063"/>
      <c r="N2978" s="1063"/>
      <c r="O2978" s="1063"/>
      <c r="P2978" s="1063"/>
      <c r="Q2978" s="1063"/>
      <c r="R2978" s="1063"/>
      <c r="S2978" s="1063"/>
      <c r="T2978" s="1063"/>
      <c r="U2978" s="1063"/>
      <c r="V2978" s="1063"/>
      <c r="W2978" s="1063"/>
      <c r="X2978" s="1063"/>
      <c r="Y2978" s="1063"/>
      <c r="Z2978" s="1063"/>
      <c r="AA2978" s="1063"/>
      <c r="AB2978" s="1063"/>
      <c r="AC2978" s="1063"/>
      <c r="AD2978" s="1063"/>
      <c r="AE2978" s="1063"/>
      <c r="AF2978" s="1063"/>
      <c r="AG2978" s="1063"/>
      <c r="AH2978" s="1063"/>
      <c r="AI2978" s="1063"/>
      <c r="AJ2978" s="1063"/>
      <c r="AK2978" s="1063"/>
      <c r="AL2978" s="1063"/>
      <c r="AM2978" s="1063"/>
      <c r="AN2978" s="1063"/>
      <c r="AO2978" s="1063"/>
      <c r="AP2978" s="1063"/>
      <c r="AQ2978" s="1063"/>
      <c r="AR2978" s="1063"/>
      <c r="AS2978" s="1063"/>
      <c r="AT2978" s="1063"/>
      <c r="AU2978" s="1063"/>
      <c r="AV2978" s="1063"/>
    </row>
    <row r="2979" spans="1:48" s="1108" customFormat="1" ht="27.75" customHeight="1">
      <c r="A2979" s="1076"/>
      <c r="B2979" s="1074">
        <f>+'[18]Bldg+Dev'!S3791</f>
        <v>0</v>
      </c>
      <c r="D2979" s="1063"/>
      <c r="F2979" s="1076"/>
      <c r="G2979" s="1063"/>
      <c r="H2979" s="1063"/>
      <c r="I2979" s="1063"/>
      <c r="J2979" s="1063"/>
      <c r="K2979" s="1063"/>
      <c r="L2979" s="1063"/>
      <c r="M2979" s="1063"/>
      <c r="N2979" s="1063"/>
      <c r="O2979" s="1063"/>
      <c r="P2979" s="1063"/>
      <c r="Q2979" s="1063"/>
      <c r="R2979" s="1063"/>
      <c r="S2979" s="1063"/>
      <c r="T2979" s="1063"/>
      <c r="U2979" s="1063"/>
      <c r="V2979" s="1063"/>
      <c r="W2979" s="1063"/>
      <c r="X2979" s="1063"/>
      <c r="Y2979" s="1063"/>
      <c r="Z2979" s="1063"/>
      <c r="AA2979" s="1063"/>
      <c r="AB2979" s="1063"/>
      <c r="AC2979" s="1063"/>
      <c r="AD2979" s="1063"/>
      <c r="AE2979" s="1063"/>
      <c r="AF2979" s="1063"/>
      <c r="AG2979" s="1063"/>
      <c r="AH2979" s="1063"/>
      <c r="AI2979" s="1063"/>
      <c r="AJ2979" s="1063"/>
      <c r="AK2979" s="1063"/>
      <c r="AL2979" s="1063"/>
      <c r="AM2979" s="1063"/>
      <c r="AN2979" s="1063"/>
      <c r="AO2979" s="1063"/>
      <c r="AP2979" s="1063"/>
      <c r="AQ2979" s="1063"/>
      <c r="AR2979" s="1063"/>
      <c r="AS2979" s="1063"/>
      <c r="AT2979" s="1063"/>
      <c r="AU2979" s="1063"/>
      <c r="AV2979" s="1063"/>
    </row>
    <row r="2980" spans="1:48" s="1108" customFormat="1" ht="27.75" customHeight="1">
      <c r="A2980" s="1076"/>
      <c r="B2980" s="1074">
        <f>+'[18]Bldg+Dev'!S3792</f>
        <v>0</v>
      </c>
      <c r="D2980" s="1063"/>
      <c r="F2980" s="1076"/>
      <c r="G2980" s="1063"/>
      <c r="H2980" s="1063"/>
      <c r="I2980" s="1063"/>
      <c r="J2980" s="1063"/>
      <c r="K2980" s="1063"/>
      <c r="L2980" s="1063"/>
      <c r="M2980" s="1063"/>
      <c r="N2980" s="1063"/>
      <c r="O2980" s="1063"/>
      <c r="P2980" s="1063"/>
      <c r="Q2980" s="1063"/>
      <c r="R2980" s="1063"/>
      <c r="S2980" s="1063"/>
      <c r="T2980" s="1063"/>
      <c r="U2980" s="1063"/>
      <c r="V2980" s="1063"/>
      <c r="W2980" s="1063"/>
      <c r="X2980" s="1063"/>
      <c r="Y2980" s="1063"/>
      <c r="Z2980" s="1063"/>
      <c r="AA2980" s="1063"/>
      <c r="AB2980" s="1063"/>
      <c r="AC2980" s="1063"/>
      <c r="AD2980" s="1063"/>
      <c r="AE2980" s="1063"/>
      <c r="AF2980" s="1063"/>
      <c r="AG2980" s="1063"/>
      <c r="AH2980" s="1063"/>
      <c r="AI2980" s="1063"/>
      <c r="AJ2980" s="1063"/>
      <c r="AK2980" s="1063"/>
      <c r="AL2980" s="1063"/>
      <c r="AM2980" s="1063"/>
      <c r="AN2980" s="1063"/>
      <c r="AO2980" s="1063"/>
      <c r="AP2980" s="1063"/>
      <c r="AQ2980" s="1063"/>
      <c r="AR2980" s="1063"/>
      <c r="AS2980" s="1063"/>
      <c r="AT2980" s="1063"/>
      <c r="AU2980" s="1063"/>
      <c r="AV2980" s="1063"/>
    </row>
    <row r="2981" spans="1:48" s="1108" customFormat="1" ht="27.75" customHeight="1">
      <c r="A2981" s="1076"/>
      <c r="B2981" s="1074">
        <f>+'[18]Bldg+Dev'!S3793</f>
        <v>0</v>
      </c>
      <c r="D2981" s="1063"/>
      <c r="F2981" s="1076"/>
      <c r="G2981" s="1063"/>
      <c r="H2981" s="1063"/>
      <c r="I2981" s="1063"/>
      <c r="J2981" s="1063"/>
      <c r="K2981" s="1063"/>
      <c r="L2981" s="1063"/>
      <c r="M2981" s="1063"/>
      <c r="N2981" s="1063"/>
      <c r="O2981" s="1063"/>
      <c r="P2981" s="1063"/>
      <c r="Q2981" s="1063"/>
      <c r="R2981" s="1063"/>
      <c r="S2981" s="1063"/>
      <c r="T2981" s="1063"/>
      <c r="U2981" s="1063"/>
      <c r="V2981" s="1063"/>
      <c r="W2981" s="1063"/>
      <c r="X2981" s="1063"/>
      <c r="Y2981" s="1063"/>
      <c r="Z2981" s="1063"/>
      <c r="AA2981" s="1063"/>
      <c r="AB2981" s="1063"/>
      <c r="AC2981" s="1063"/>
      <c r="AD2981" s="1063"/>
      <c r="AE2981" s="1063"/>
      <c r="AF2981" s="1063"/>
      <c r="AG2981" s="1063"/>
      <c r="AH2981" s="1063"/>
      <c r="AI2981" s="1063"/>
      <c r="AJ2981" s="1063"/>
      <c r="AK2981" s="1063"/>
      <c r="AL2981" s="1063"/>
      <c r="AM2981" s="1063"/>
      <c r="AN2981" s="1063"/>
      <c r="AO2981" s="1063"/>
      <c r="AP2981" s="1063"/>
      <c r="AQ2981" s="1063"/>
      <c r="AR2981" s="1063"/>
      <c r="AS2981" s="1063"/>
      <c r="AT2981" s="1063"/>
      <c r="AU2981" s="1063"/>
      <c r="AV2981" s="1063"/>
    </row>
    <row r="2982" spans="1:48" s="1108" customFormat="1" ht="27.75" customHeight="1">
      <c r="A2982" s="1076"/>
      <c r="B2982" s="1074">
        <f>+'[18]Bldg+Dev'!S3794</f>
        <v>0</v>
      </c>
      <c r="D2982" s="1063"/>
      <c r="F2982" s="1076"/>
      <c r="G2982" s="1063"/>
      <c r="H2982" s="1063"/>
      <c r="I2982" s="1063"/>
      <c r="J2982" s="1063"/>
      <c r="K2982" s="1063"/>
      <c r="L2982" s="1063"/>
      <c r="M2982" s="1063"/>
      <c r="N2982" s="1063"/>
      <c r="O2982" s="1063"/>
      <c r="P2982" s="1063"/>
      <c r="Q2982" s="1063"/>
      <c r="R2982" s="1063"/>
      <c r="S2982" s="1063"/>
      <c r="T2982" s="1063"/>
      <c r="U2982" s="1063"/>
      <c r="V2982" s="1063"/>
      <c r="W2982" s="1063"/>
      <c r="X2982" s="1063"/>
      <c r="Y2982" s="1063"/>
      <c r="Z2982" s="1063"/>
      <c r="AA2982" s="1063"/>
      <c r="AB2982" s="1063"/>
      <c r="AC2982" s="1063"/>
      <c r="AD2982" s="1063"/>
      <c r="AE2982" s="1063"/>
      <c r="AF2982" s="1063"/>
      <c r="AG2982" s="1063"/>
      <c r="AH2982" s="1063"/>
      <c r="AI2982" s="1063"/>
      <c r="AJ2982" s="1063"/>
      <c r="AK2982" s="1063"/>
      <c r="AL2982" s="1063"/>
      <c r="AM2982" s="1063"/>
      <c r="AN2982" s="1063"/>
      <c r="AO2982" s="1063"/>
      <c r="AP2982" s="1063"/>
      <c r="AQ2982" s="1063"/>
      <c r="AR2982" s="1063"/>
      <c r="AS2982" s="1063"/>
      <c r="AT2982" s="1063"/>
      <c r="AU2982" s="1063"/>
      <c r="AV2982" s="1063"/>
    </row>
    <row r="2983" spans="1:48" s="1108" customFormat="1" ht="27.75" customHeight="1">
      <c r="A2983" s="1076"/>
      <c r="B2983" s="1074">
        <f>+'[18]Bldg+Dev'!S3795</f>
        <v>0</v>
      </c>
      <c r="D2983" s="1063"/>
      <c r="F2983" s="1076"/>
      <c r="G2983" s="1063"/>
      <c r="H2983" s="1063"/>
      <c r="I2983" s="1063"/>
      <c r="J2983" s="1063"/>
      <c r="K2983" s="1063"/>
      <c r="L2983" s="1063"/>
      <c r="M2983" s="1063"/>
      <c r="N2983" s="1063"/>
      <c r="O2983" s="1063"/>
      <c r="P2983" s="1063"/>
      <c r="Q2983" s="1063"/>
      <c r="R2983" s="1063"/>
      <c r="S2983" s="1063"/>
      <c r="T2983" s="1063"/>
      <c r="U2983" s="1063"/>
      <c r="V2983" s="1063"/>
      <c r="W2983" s="1063"/>
      <c r="X2983" s="1063"/>
      <c r="Y2983" s="1063"/>
      <c r="Z2983" s="1063"/>
      <c r="AA2983" s="1063"/>
      <c r="AB2983" s="1063"/>
      <c r="AC2983" s="1063"/>
      <c r="AD2983" s="1063"/>
      <c r="AE2983" s="1063"/>
      <c r="AF2983" s="1063"/>
      <c r="AG2983" s="1063"/>
      <c r="AH2983" s="1063"/>
      <c r="AI2983" s="1063"/>
      <c r="AJ2983" s="1063"/>
      <c r="AK2983" s="1063"/>
      <c r="AL2983" s="1063"/>
      <c r="AM2983" s="1063"/>
      <c r="AN2983" s="1063"/>
      <c r="AO2983" s="1063"/>
      <c r="AP2983" s="1063"/>
      <c r="AQ2983" s="1063"/>
      <c r="AR2983" s="1063"/>
      <c r="AS2983" s="1063"/>
      <c r="AT2983" s="1063"/>
      <c r="AU2983" s="1063"/>
      <c r="AV2983" s="1063"/>
    </row>
    <row r="2984" spans="1:48" s="1108" customFormat="1" ht="27.75" customHeight="1">
      <c r="A2984" s="1076"/>
      <c r="B2984" s="1074">
        <f>+'[18]Bldg+Dev'!S3796</f>
        <v>0</v>
      </c>
      <c r="D2984" s="1063"/>
      <c r="F2984" s="1076"/>
      <c r="G2984" s="1063"/>
      <c r="H2984" s="1063"/>
      <c r="I2984" s="1063"/>
      <c r="J2984" s="1063"/>
      <c r="K2984" s="1063"/>
      <c r="L2984" s="1063"/>
      <c r="M2984" s="1063"/>
      <c r="N2984" s="1063"/>
      <c r="O2984" s="1063"/>
      <c r="P2984" s="1063"/>
      <c r="Q2984" s="1063"/>
      <c r="R2984" s="1063"/>
      <c r="S2984" s="1063"/>
      <c r="T2984" s="1063"/>
      <c r="U2984" s="1063"/>
      <c r="V2984" s="1063"/>
      <c r="W2984" s="1063"/>
      <c r="X2984" s="1063"/>
      <c r="Y2984" s="1063"/>
      <c r="Z2984" s="1063"/>
      <c r="AA2984" s="1063"/>
      <c r="AB2984" s="1063"/>
      <c r="AC2984" s="1063"/>
      <c r="AD2984" s="1063"/>
      <c r="AE2984" s="1063"/>
      <c r="AF2984" s="1063"/>
      <c r="AG2984" s="1063"/>
      <c r="AH2984" s="1063"/>
      <c r="AI2984" s="1063"/>
      <c r="AJ2984" s="1063"/>
      <c r="AK2984" s="1063"/>
      <c r="AL2984" s="1063"/>
      <c r="AM2984" s="1063"/>
      <c r="AN2984" s="1063"/>
      <c r="AO2984" s="1063"/>
      <c r="AP2984" s="1063"/>
      <c r="AQ2984" s="1063"/>
      <c r="AR2984" s="1063"/>
      <c r="AS2984" s="1063"/>
      <c r="AT2984" s="1063"/>
      <c r="AU2984" s="1063"/>
      <c r="AV2984" s="1063"/>
    </row>
    <row r="2985" spans="1:48" s="1108" customFormat="1" ht="27.75" customHeight="1">
      <c r="A2985" s="1076"/>
      <c r="B2985" s="1074">
        <f>+'[18]Bldg+Dev'!S3797</f>
        <v>0</v>
      </c>
      <c r="D2985" s="1063"/>
      <c r="F2985" s="1076"/>
      <c r="G2985" s="1063"/>
      <c r="H2985" s="1063"/>
      <c r="I2985" s="1063"/>
      <c r="J2985" s="1063"/>
      <c r="K2985" s="1063"/>
      <c r="L2985" s="1063"/>
      <c r="M2985" s="1063"/>
      <c r="N2985" s="1063"/>
      <c r="O2985" s="1063"/>
      <c r="P2985" s="1063"/>
      <c r="Q2985" s="1063"/>
      <c r="R2985" s="1063"/>
      <c r="S2985" s="1063"/>
      <c r="T2985" s="1063"/>
      <c r="U2985" s="1063"/>
      <c r="V2985" s="1063"/>
      <c r="W2985" s="1063"/>
      <c r="X2985" s="1063"/>
      <c r="Y2985" s="1063"/>
      <c r="Z2985" s="1063"/>
      <c r="AA2985" s="1063"/>
      <c r="AB2985" s="1063"/>
      <c r="AC2985" s="1063"/>
      <c r="AD2985" s="1063"/>
      <c r="AE2985" s="1063"/>
      <c r="AF2985" s="1063"/>
      <c r="AG2985" s="1063"/>
      <c r="AH2985" s="1063"/>
      <c r="AI2985" s="1063"/>
      <c r="AJ2985" s="1063"/>
      <c r="AK2985" s="1063"/>
      <c r="AL2985" s="1063"/>
      <c r="AM2985" s="1063"/>
      <c r="AN2985" s="1063"/>
      <c r="AO2985" s="1063"/>
      <c r="AP2985" s="1063"/>
      <c r="AQ2985" s="1063"/>
      <c r="AR2985" s="1063"/>
      <c r="AS2985" s="1063"/>
      <c r="AT2985" s="1063"/>
      <c r="AU2985" s="1063"/>
      <c r="AV2985" s="1063"/>
    </row>
    <row r="2986" spans="1:48" s="1108" customFormat="1" ht="27.75" customHeight="1">
      <c r="A2986" s="1076"/>
      <c r="B2986" s="1074">
        <f>+'[18]Bldg+Dev'!S3798</f>
        <v>0</v>
      </c>
      <c r="D2986" s="1063"/>
      <c r="F2986" s="1076"/>
      <c r="G2986" s="1063"/>
      <c r="H2986" s="1063"/>
      <c r="I2986" s="1063"/>
      <c r="J2986" s="1063"/>
      <c r="K2986" s="1063"/>
      <c r="L2986" s="1063"/>
      <c r="M2986" s="1063"/>
      <c r="N2986" s="1063"/>
      <c r="O2986" s="1063"/>
      <c r="P2986" s="1063"/>
      <c r="Q2986" s="1063"/>
      <c r="R2986" s="1063"/>
      <c r="S2986" s="1063"/>
      <c r="T2986" s="1063"/>
      <c r="U2986" s="1063"/>
      <c r="V2986" s="1063"/>
      <c r="W2986" s="1063"/>
      <c r="X2986" s="1063"/>
      <c r="Y2986" s="1063"/>
      <c r="Z2986" s="1063"/>
      <c r="AA2986" s="1063"/>
      <c r="AB2986" s="1063"/>
      <c r="AC2986" s="1063"/>
      <c r="AD2986" s="1063"/>
      <c r="AE2986" s="1063"/>
      <c r="AF2986" s="1063"/>
      <c r="AG2986" s="1063"/>
      <c r="AH2986" s="1063"/>
      <c r="AI2986" s="1063"/>
      <c r="AJ2986" s="1063"/>
      <c r="AK2986" s="1063"/>
      <c r="AL2986" s="1063"/>
      <c r="AM2986" s="1063"/>
      <c r="AN2986" s="1063"/>
      <c r="AO2986" s="1063"/>
      <c r="AP2986" s="1063"/>
      <c r="AQ2986" s="1063"/>
      <c r="AR2986" s="1063"/>
      <c r="AS2986" s="1063"/>
      <c r="AT2986" s="1063"/>
      <c r="AU2986" s="1063"/>
      <c r="AV2986" s="1063"/>
    </row>
    <row r="2987" spans="1:48" s="1108" customFormat="1" ht="27.75" customHeight="1">
      <c r="A2987" s="1076"/>
      <c r="B2987" s="1074">
        <f>+'[18]Bldg+Dev'!S3799</f>
        <v>0</v>
      </c>
      <c r="D2987" s="1063"/>
      <c r="F2987" s="1076"/>
      <c r="G2987" s="1063"/>
      <c r="H2987" s="1063"/>
      <c r="I2987" s="1063"/>
      <c r="J2987" s="1063"/>
      <c r="K2987" s="1063"/>
      <c r="L2987" s="1063"/>
      <c r="M2987" s="1063"/>
      <c r="N2987" s="1063"/>
      <c r="O2987" s="1063"/>
      <c r="P2987" s="1063"/>
      <c r="Q2987" s="1063"/>
      <c r="R2987" s="1063"/>
      <c r="S2987" s="1063"/>
      <c r="T2987" s="1063"/>
      <c r="U2987" s="1063"/>
      <c r="V2987" s="1063"/>
      <c r="W2987" s="1063"/>
      <c r="X2987" s="1063"/>
      <c r="Y2987" s="1063"/>
      <c r="Z2987" s="1063"/>
      <c r="AA2987" s="1063"/>
      <c r="AB2987" s="1063"/>
      <c r="AC2987" s="1063"/>
      <c r="AD2987" s="1063"/>
      <c r="AE2987" s="1063"/>
      <c r="AF2987" s="1063"/>
      <c r="AG2987" s="1063"/>
      <c r="AH2987" s="1063"/>
      <c r="AI2987" s="1063"/>
      <c r="AJ2987" s="1063"/>
      <c r="AK2987" s="1063"/>
      <c r="AL2987" s="1063"/>
      <c r="AM2987" s="1063"/>
      <c r="AN2987" s="1063"/>
      <c r="AO2987" s="1063"/>
      <c r="AP2987" s="1063"/>
      <c r="AQ2987" s="1063"/>
      <c r="AR2987" s="1063"/>
      <c r="AS2987" s="1063"/>
      <c r="AT2987" s="1063"/>
      <c r="AU2987" s="1063"/>
      <c r="AV2987" s="1063"/>
    </row>
    <row r="2988" spans="1:48" s="1108" customFormat="1" ht="27.75" customHeight="1">
      <c r="A2988" s="1076"/>
      <c r="B2988" s="1074">
        <f>+'[18]Bldg+Dev'!S3800</f>
        <v>0</v>
      </c>
      <c r="D2988" s="1063"/>
      <c r="F2988" s="1076"/>
      <c r="G2988" s="1063"/>
      <c r="H2988" s="1063"/>
      <c r="I2988" s="1063"/>
      <c r="J2988" s="1063"/>
      <c r="K2988" s="1063"/>
      <c r="L2988" s="1063"/>
      <c r="M2988" s="1063"/>
      <c r="N2988" s="1063"/>
      <c r="O2988" s="1063"/>
      <c r="P2988" s="1063"/>
      <c r="Q2988" s="1063"/>
      <c r="R2988" s="1063"/>
      <c r="S2988" s="1063"/>
      <c r="T2988" s="1063"/>
      <c r="U2988" s="1063"/>
      <c r="V2988" s="1063"/>
      <c r="W2988" s="1063"/>
      <c r="X2988" s="1063"/>
      <c r="Y2988" s="1063"/>
      <c r="Z2988" s="1063"/>
      <c r="AA2988" s="1063"/>
      <c r="AB2988" s="1063"/>
      <c r="AC2988" s="1063"/>
      <c r="AD2988" s="1063"/>
      <c r="AE2988" s="1063"/>
      <c r="AF2988" s="1063"/>
      <c r="AG2988" s="1063"/>
      <c r="AH2988" s="1063"/>
      <c r="AI2988" s="1063"/>
      <c r="AJ2988" s="1063"/>
      <c r="AK2988" s="1063"/>
      <c r="AL2988" s="1063"/>
      <c r="AM2988" s="1063"/>
      <c r="AN2988" s="1063"/>
      <c r="AO2988" s="1063"/>
      <c r="AP2988" s="1063"/>
      <c r="AQ2988" s="1063"/>
      <c r="AR2988" s="1063"/>
      <c r="AS2988" s="1063"/>
      <c r="AT2988" s="1063"/>
      <c r="AU2988" s="1063"/>
      <c r="AV2988" s="1063"/>
    </row>
    <row r="2989" spans="1:48" s="1108" customFormat="1" ht="27.75" customHeight="1">
      <c r="A2989" s="1076"/>
      <c r="B2989" s="1074">
        <f>+'[18]Bldg+Dev'!S3801</f>
        <v>0</v>
      </c>
      <c r="D2989" s="1063"/>
      <c r="F2989" s="1076"/>
      <c r="G2989" s="1063"/>
      <c r="H2989" s="1063"/>
      <c r="I2989" s="1063"/>
      <c r="J2989" s="1063"/>
      <c r="K2989" s="1063"/>
      <c r="L2989" s="1063"/>
      <c r="M2989" s="1063"/>
      <c r="N2989" s="1063"/>
      <c r="O2989" s="1063"/>
      <c r="P2989" s="1063"/>
      <c r="Q2989" s="1063"/>
      <c r="R2989" s="1063"/>
      <c r="S2989" s="1063"/>
      <c r="T2989" s="1063"/>
      <c r="U2989" s="1063"/>
      <c r="V2989" s="1063"/>
      <c r="W2989" s="1063"/>
      <c r="X2989" s="1063"/>
      <c r="Y2989" s="1063"/>
      <c r="Z2989" s="1063"/>
      <c r="AA2989" s="1063"/>
      <c r="AB2989" s="1063"/>
      <c r="AC2989" s="1063"/>
      <c r="AD2989" s="1063"/>
      <c r="AE2989" s="1063"/>
      <c r="AF2989" s="1063"/>
      <c r="AG2989" s="1063"/>
      <c r="AH2989" s="1063"/>
      <c r="AI2989" s="1063"/>
      <c r="AJ2989" s="1063"/>
      <c r="AK2989" s="1063"/>
      <c r="AL2989" s="1063"/>
      <c r="AM2989" s="1063"/>
      <c r="AN2989" s="1063"/>
      <c r="AO2989" s="1063"/>
      <c r="AP2989" s="1063"/>
      <c r="AQ2989" s="1063"/>
      <c r="AR2989" s="1063"/>
      <c r="AS2989" s="1063"/>
      <c r="AT2989" s="1063"/>
      <c r="AU2989" s="1063"/>
      <c r="AV2989" s="1063"/>
    </row>
    <row r="2990" spans="1:48" s="1108" customFormat="1" ht="27.75" customHeight="1">
      <c r="A2990" s="1076"/>
      <c r="B2990" s="1074">
        <f>+'[18]Bldg+Dev'!S3802</f>
        <v>0</v>
      </c>
      <c r="D2990" s="1063"/>
      <c r="F2990" s="1076"/>
      <c r="G2990" s="1063"/>
      <c r="H2990" s="1063"/>
      <c r="I2990" s="1063"/>
      <c r="J2990" s="1063"/>
      <c r="K2990" s="1063"/>
      <c r="L2990" s="1063"/>
      <c r="M2990" s="1063"/>
      <c r="N2990" s="1063"/>
      <c r="O2990" s="1063"/>
      <c r="P2990" s="1063"/>
      <c r="Q2990" s="1063"/>
      <c r="R2990" s="1063"/>
      <c r="S2990" s="1063"/>
      <c r="T2990" s="1063"/>
      <c r="U2990" s="1063"/>
      <c r="V2990" s="1063"/>
      <c r="W2990" s="1063"/>
      <c r="X2990" s="1063"/>
      <c r="Y2990" s="1063"/>
      <c r="Z2990" s="1063"/>
      <c r="AA2990" s="1063"/>
      <c r="AB2990" s="1063"/>
      <c r="AC2990" s="1063"/>
      <c r="AD2990" s="1063"/>
      <c r="AE2990" s="1063"/>
      <c r="AF2990" s="1063"/>
      <c r="AG2990" s="1063"/>
      <c r="AH2990" s="1063"/>
      <c r="AI2990" s="1063"/>
      <c r="AJ2990" s="1063"/>
      <c r="AK2990" s="1063"/>
      <c r="AL2990" s="1063"/>
      <c r="AM2990" s="1063"/>
      <c r="AN2990" s="1063"/>
      <c r="AO2990" s="1063"/>
      <c r="AP2990" s="1063"/>
      <c r="AQ2990" s="1063"/>
      <c r="AR2990" s="1063"/>
      <c r="AS2990" s="1063"/>
      <c r="AT2990" s="1063"/>
      <c r="AU2990" s="1063"/>
      <c r="AV2990" s="1063"/>
    </row>
    <row r="2991" spans="1:48" s="1108" customFormat="1" ht="27.75" customHeight="1">
      <c r="A2991" s="1076"/>
      <c r="B2991" s="1074">
        <f>+'[18]Bldg+Dev'!S3803</f>
        <v>0</v>
      </c>
      <c r="D2991" s="1063"/>
      <c r="F2991" s="1076"/>
      <c r="G2991" s="1063"/>
      <c r="H2991" s="1063"/>
      <c r="I2991" s="1063"/>
      <c r="J2991" s="1063"/>
      <c r="K2991" s="1063"/>
      <c r="L2991" s="1063"/>
      <c r="M2991" s="1063"/>
      <c r="N2991" s="1063"/>
      <c r="O2991" s="1063"/>
      <c r="P2991" s="1063"/>
      <c r="Q2991" s="1063"/>
      <c r="R2991" s="1063"/>
      <c r="S2991" s="1063"/>
      <c r="T2991" s="1063"/>
      <c r="U2991" s="1063"/>
      <c r="V2991" s="1063"/>
      <c r="W2991" s="1063"/>
      <c r="X2991" s="1063"/>
      <c r="Y2991" s="1063"/>
      <c r="Z2991" s="1063"/>
      <c r="AA2991" s="1063"/>
      <c r="AB2991" s="1063"/>
      <c r="AC2991" s="1063"/>
      <c r="AD2991" s="1063"/>
      <c r="AE2991" s="1063"/>
      <c r="AF2991" s="1063"/>
      <c r="AG2991" s="1063"/>
      <c r="AH2991" s="1063"/>
      <c r="AI2991" s="1063"/>
      <c r="AJ2991" s="1063"/>
      <c r="AK2991" s="1063"/>
      <c r="AL2991" s="1063"/>
      <c r="AM2991" s="1063"/>
      <c r="AN2991" s="1063"/>
      <c r="AO2991" s="1063"/>
      <c r="AP2991" s="1063"/>
      <c r="AQ2991" s="1063"/>
      <c r="AR2991" s="1063"/>
      <c r="AS2991" s="1063"/>
      <c r="AT2991" s="1063"/>
      <c r="AU2991" s="1063"/>
      <c r="AV2991" s="1063"/>
    </row>
    <row r="2992" spans="1:48" s="1108" customFormat="1" ht="27.75" customHeight="1">
      <c r="A2992" s="1076"/>
      <c r="B2992" s="1074">
        <f>+'[18]Bldg+Dev'!S3804</f>
        <v>0</v>
      </c>
      <c r="D2992" s="1063"/>
      <c r="F2992" s="1076"/>
      <c r="G2992" s="1063"/>
      <c r="H2992" s="1063"/>
      <c r="I2992" s="1063"/>
      <c r="J2992" s="1063"/>
      <c r="K2992" s="1063"/>
      <c r="L2992" s="1063"/>
      <c r="M2992" s="1063"/>
      <c r="N2992" s="1063"/>
      <c r="O2992" s="1063"/>
      <c r="P2992" s="1063"/>
      <c r="Q2992" s="1063"/>
      <c r="R2992" s="1063"/>
      <c r="S2992" s="1063"/>
      <c r="T2992" s="1063"/>
      <c r="U2992" s="1063"/>
      <c r="V2992" s="1063"/>
      <c r="W2992" s="1063"/>
      <c r="X2992" s="1063"/>
      <c r="Y2992" s="1063"/>
      <c r="Z2992" s="1063"/>
      <c r="AA2992" s="1063"/>
      <c r="AB2992" s="1063"/>
      <c r="AC2992" s="1063"/>
      <c r="AD2992" s="1063"/>
      <c r="AE2992" s="1063"/>
      <c r="AF2992" s="1063"/>
      <c r="AG2992" s="1063"/>
      <c r="AH2992" s="1063"/>
      <c r="AI2992" s="1063"/>
      <c r="AJ2992" s="1063"/>
      <c r="AK2992" s="1063"/>
      <c r="AL2992" s="1063"/>
      <c r="AM2992" s="1063"/>
      <c r="AN2992" s="1063"/>
      <c r="AO2992" s="1063"/>
      <c r="AP2992" s="1063"/>
      <c r="AQ2992" s="1063"/>
      <c r="AR2992" s="1063"/>
      <c r="AS2992" s="1063"/>
      <c r="AT2992" s="1063"/>
      <c r="AU2992" s="1063"/>
      <c r="AV2992" s="1063"/>
    </row>
    <row r="2993" spans="1:48" s="1108" customFormat="1" ht="27.75" customHeight="1">
      <c r="A2993" s="1076"/>
      <c r="B2993" s="1074">
        <f>+'[18]Bldg+Dev'!S3805</f>
        <v>0</v>
      </c>
      <c r="D2993" s="1063"/>
      <c r="F2993" s="1076"/>
      <c r="G2993" s="1063"/>
      <c r="H2993" s="1063"/>
      <c r="I2993" s="1063"/>
      <c r="J2993" s="1063"/>
      <c r="K2993" s="1063"/>
      <c r="L2993" s="1063"/>
      <c r="M2993" s="1063"/>
      <c r="N2993" s="1063"/>
      <c r="O2993" s="1063"/>
      <c r="P2993" s="1063"/>
      <c r="Q2993" s="1063"/>
      <c r="R2993" s="1063"/>
      <c r="S2993" s="1063"/>
      <c r="T2993" s="1063"/>
      <c r="U2993" s="1063"/>
      <c r="V2993" s="1063"/>
      <c r="W2993" s="1063"/>
      <c r="X2993" s="1063"/>
      <c r="Y2993" s="1063"/>
      <c r="Z2993" s="1063"/>
      <c r="AA2993" s="1063"/>
      <c r="AB2993" s="1063"/>
      <c r="AC2993" s="1063"/>
      <c r="AD2993" s="1063"/>
      <c r="AE2993" s="1063"/>
      <c r="AF2993" s="1063"/>
      <c r="AG2993" s="1063"/>
      <c r="AH2993" s="1063"/>
      <c r="AI2993" s="1063"/>
      <c r="AJ2993" s="1063"/>
      <c r="AK2993" s="1063"/>
      <c r="AL2993" s="1063"/>
      <c r="AM2993" s="1063"/>
      <c r="AN2993" s="1063"/>
      <c r="AO2993" s="1063"/>
      <c r="AP2993" s="1063"/>
      <c r="AQ2993" s="1063"/>
      <c r="AR2993" s="1063"/>
      <c r="AS2993" s="1063"/>
      <c r="AT2993" s="1063"/>
      <c r="AU2993" s="1063"/>
      <c r="AV2993" s="1063"/>
    </row>
    <row r="2994" spans="1:48" s="1108" customFormat="1" ht="27.75" customHeight="1">
      <c r="A2994" s="1076"/>
      <c r="B2994" s="1074">
        <f>+'[18]Bldg+Dev'!S3806</f>
        <v>0</v>
      </c>
      <c r="D2994" s="1063"/>
      <c r="F2994" s="1076"/>
      <c r="G2994" s="1063"/>
      <c r="H2994" s="1063"/>
      <c r="I2994" s="1063"/>
      <c r="J2994" s="1063"/>
      <c r="K2994" s="1063"/>
      <c r="L2994" s="1063"/>
      <c r="M2994" s="1063"/>
      <c r="N2994" s="1063"/>
      <c r="O2994" s="1063"/>
      <c r="P2994" s="1063"/>
      <c r="Q2994" s="1063"/>
      <c r="R2994" s="1063"/>
      <c r="S2994" s="1063"/>
      <c r="T2994" s="1063"/>
      <c r="U2994" s="1063"/>
      <c r="V2994" s="1063"/>
      <c r="W2994" s="1063"/>
      <c r="X2994" s="1063"/>
      <c r="Y2994" s="1063"/>
      <c r="Z2994" s="1063"/>
      <c r="AA2994" s="1063"/>
      <c r="AB2994" s="1063"/>
      <c r="AC2994" s="1063"/>
      <c r="AD2994" s="1063"/>
      <c r="AE2994" s="1063"/>
      <c r="AF2994" s="1063"/>
      <c r="AG2994" s="1063"/>
      <c r="AH2994" s="1063"/>
      <c r="AI2994" s="1063"/>
      <c r="AJ2994" s="1063"/>
      <c r="AK2994" s="1063"/>
      <c r="AL2994" s="1063"/>
      <c r="AM2994" s="1063"/>
      <c r="AN2994" s="1063"/>
      <c r="AO2994" s="1063"/>
      <c r="AP2994" s="1063"/>
      <c r="AQ2994" s="1063"/>
      <c r="AR2994" s="1063"/>
      <c r="AS2994" s="1063"/>
      <c r="AT2994" s="1063"/>
      <c r="AU2994" s="1063"/>
      <c r="AV2994" s="1063"/>
    </row>
    <row r="2995" spans="1:48" s="1108" customFormat="1" ht="27.75" customHeight="1">
      <c r="A2995" s="1076"/>
      <c r="B2995" s="1074">
        <f>+'[18]Bldg+Dev'!S3807</f>
        <v>0</v>
      </c>
      <c r="D2995" s="1063"/>
      <c r="F2995" s="1076"/>
      <c r="G2995" s="1063"/>
      <c r="H2995" s="1063"/>
      <c r="I2995" s="1063"/>
      <c r="J2995" s="1063"/>
      <c r="K2995" s="1063"/>
      <c r="L2995" s="1063"/>
      <c r="M2995" s="1063"/>
      <c r="N2995" s="1063"/>
      <c r="O2995" s="1063"/>
      <c r="P2995" s="1063"/>
      <c r="Q2995" s="1063"/>
      <c r="R2995" s="1063"/>
      <c r="S2995" s="1063"/>
      <c r="T2995" s="1063"/>
      <c r="U2995" s="1063"/>
      <c r="V2995" s="1063"/>
      <c r="W2995" s="1063"/>
      <c r="X2995" s="1063"/>
      <c r="Y2995" s="1063"/>
      <c r="Z2995" s="1063"/>
      <c r="AA2995" s="1063"/>
      <c r="AB2995" s="1063"/>
      <c r="AC2995" s="1063"/>
      <c r="AD2995" s="1063"/>
      <c r="AE2995" s="1063"/>
      <c r="AF2995" s="1063"/>
      <c r="AG2995" s="1063"/>
      <c r="AH2995" s="1063"/>
      <c r="AI2995" s="1063"/>
      <c r="AJ2995" s="1063"/>
      <c r="AK2995" s="1063"/>
      <c r="AL2995" s="1063"/>
      <c r="AM2995" s="1063"/>
      <c r="AN2995" s="1063"/>
      <c r="AO2995" s="1063"/>
      <c r="AP2995" s="1063"/>
      <c r="AQ2995" s="1063"/>
      <c r="AR2995" s="1063"/>
      <c r="AS2995" s="1063"/>
      <c r="AT2995" s="1063"/>
      <c r="AU2995" s="1063"/>
      <c r="AV2995" s="1063"/>
    </row>
    <row r="2996" spans="1:48" s="1108" customFormat="1" ht="27.75" customHeight="1">
      <c r="A2996" s="1076"/>
      <c r="B2996" s="1074">
        <f>+'[18]Bldg+Dev'!S3808</f>
        <v>0</v>
      </c>
      <c r="D2996" s="1063"/>
      <c r="F2996" s="1076"/>
      <c r="G2996" s="1063"/>
      <c r="H2996" s="1063"/>
      <c r="I2996" s="1063"/>
      <c r="J2996" s="1063"/>
      <c r="K2996" s="1063"/>
      <c r="L2996" s="1063"/>
      <c r="M2996" s="1063"/>
      <c r="N2996" s="1063"/>
      <c r="O2996" s="1063"/>
      <c r="P2996" s="1063"/>
      <c r="Q2996" s="1063"/>
      <c r="R2996" s="1063"/>
      <c r="S2996" s="1063"/>
      <c r="T2996" s="1063"/>
      <c r="U2996" s="1063"/>
      <c r="V2996" s="1063"/>
      <c r="W2996" s="1063"/>
      <c r="X2996" s="1063"/>
      <c r="Y2996" s="1063"/>
      <c r="Z2996" s="1063"/>
      <c r="AA2996" s="1063"/>
      <c r="AB2996" s="1063"/>
      <c r="AC2996" s="1063"/>
      <c r="AD2996" s="1063"/>
      <c r="AE2996" s="1063"/>
      <c r="AF2996" s="1063"/>
      <c r="AG2996" s="1063"/>
      <c r="AH2996" s="1063"/>
      <c r="AI2996" s="1063"/>
      <c r="AJ2996" s="1063"/>
      <c r="AK2996" s="1063"/>
      <c r="AL2996" s="1063"/>
      <c r="AM2996" s="1063"/>
      <c r="AN2996" s="1063"/>
      <c r="AO2996" s="1063"/>
      <c r="AP2996" s="1063"/>
      <c r="AQ2996" s="1063"/>
      <c r="AR2996" s="1063"/>
      <c r="AS2996" s="1063"/>
      <c r="AT2996" s="1063"/>
      <c r="AU2996" s="1063"/>
      <c r="AV2996" s="1063"/>
    </row>
    <row r="2997" spans="1:48" s="1108" customFormat="1" ht="27.75" customHeight="1">
      <c r="A2997" s="1076"/>
      <c r="B2997" s="1074">
        <f>+'[18]Bldg+Dev'!S3809</f>
        <v>0</v>
      </c>
      <c r="D2997" s="1063"/>
      <c r="F2997" s="1076"/>
      <c r="G2997" s="1063"/>
      <c r="H2997" s="1063"/>
      <c r="I2997" s="1063"/>
      <c r="J2997" s="1063"/>
      <c r="K2997" s="1063"/>
      <c r="L2997" s="1063"/>
      <c r="M2997" s="1063"/>
      <c r="N2997" s="1063"/>
      <c r="O2997" s="1063"/>
      <c r="P2997" s="1063"/>
      <c r="Q2997" s="1063"/>
      <c r="R2997" s="1063"/>
      <c r="S2997" s="1063"/>
      <c r="T2997" s="1063"/>
      <c r="U2997" s="1063"/>
      <c r="V2997" s="1063"/>
      <c r="W2997" s="1063"/>
      <c r="X2997" s="1063"/>
      <c r="Y2997" s="1063"/>
      <c r="Z2997" s="1063"/>
      <c r="AA2997" s="1063"/>
      <c r="AB2997" s="1063"/>
      <c r="AC2997" s="1063"/>
      <c r="AD2997" s="1063"/>
      <c r="AE2997" s="1063"/>
      <c r="AF2997" s="1063"/>
      <c r="AG2997" s="1063"/>
      <c r="AH2997" s="1063"/>
      <c r="AI2997" s="1063"/>
      <c r="AJ2997" s="1063"/>
      <c r="AK2997" s="1063"/>
      <c r="AL2997" s="1063"/>
      <c r="AM2997" s="1063"/>
      <c r="AN2997" s="1063"/>
      <c r="AO2997" s="1063"/>
      <c r="AP2997" s="1063"/>
      <c r="AQ2997" s="1063"/>
      <c r="AR2997" s="1063"/>
      <c r="AS2997" s="1063"/>
      <c r="AT2997" s="1063"/>
      <c r="AU2997" s="1063"/>
      <c r="AV2997" s="1063"/>
    </row>
    <row r="2998" spans="1:48" s="1108" customFormat="1" ht="27.75" customHeight="1">
      <c r="A2998" s="1076"/>
      <c r="B2998" s="1074">
        <f>+'[18]Bldg+Dev'!S3810</f>
        <v>0</v>
      </c>
      <c r="D2998" s="1063"/>
      <c r="F2998" s="1076"/>
      <c r="G2998" s="1063"/>
      <c r="H2998" s="1063"/>
      <c r="I2998" s="1063"/>
      <c r="J2998" s="1063"/>
      <c r="K2998" s="1063"/>
      <c r="L2998" s="1063"/>
      <c r="M2998" s="1063"/>
      <c r="N2998" s="1063"/>
      <c r="O2998" s="1063"/>
      <c r="P2998" s="1063"/>
      <c r="Q2998" s="1063"/>
      <c r="R2998" s="1063"/>
      <c r="S2998" s="1063"/>
      <c r="T2998" s="1063"/>
      <c r="U2998" s="1063"/>
      <c r="V2998" s="1063"/>
      <c r="W2998" s="1063"/>
      <c r="X2998" s="1063"/>
      <c r="Y2998" s="1063"/>
      <c r="Z2998" s="1063"/>
      <c r="AA2998" s="1063"/>
      <c r="AB2998" s="1063"/>
      <c r="AC2998" s="1063"/>
      <c r="AD2998" s="1063"/>
      <c r="AE2998" s="1063"/>
      <c r="AF2998" s="1063"/>
      <c r="AG2998" s="1063"/>
      <c r="AH2998" s="1063"/>
      <c r="AI2998" s="1063"/>
      <c r="AJ2998" s="1063"/>
      <c r="AK2998" s="1063"/>
      <c r="AL2998" s="1063"/>
      <c r="AM2998" s="1063"/>
      <c r="AN2998" s="1063"/>
      <c r="AO2998" s="1063"/>
      <c r="AP2998" s="1063"/>
      <c r="AQ2998" s="1063"/>
      <c r="AR2998" s="1063"/>
      <c r="AS2998" s="1063"/>
      <c r="AT2998" s="1063"/>
      <c r="AU2998" s="1063"/>
      <c r="AV2998" s="1063"/>
    </row>
    <row r="2999" spans="1:48" s="1108" customFormat="1" ht="27.75" customHeight="1">
      <c r="A2999" s="1076"/>
      <c r="B2999" s="1074">
        <f>+'[18]Bldg+Dev'!S3811</f>
        <v>0</v>
      </c>
      <c r="D2999" s="1063"/>
      <c r="F2999" s="1076"/>
      <c r="G2999" s="1063"/>
      <c r="H2999" s="1063"/>
      <c r="I2999" s="1063"/>
      <c r="J2999" s="1063"/>
      <c r="K2999" s="1063"/>
      <c r="L2999" s="1063"/>
      <c r="M2999" s="1063"/>
      <c r="N2999" s="1063"/>
      <c r="O2999" s="1063"/>
      <c r="P2999" s="1063"/>
      <c r="Q2999" s="1063"/>
      <c r="R2999" s="1063"/>
      <c r="S2999" s="1063"/>
      <c r="T2999" s="1063"/>
      <c r="U2999" s="1063"/>
      <c r="V2999" s="1063"/>
      <c r="W2999" s="1063"/>
      <c r="X2999" s="1063"/>
      <c r="Y2999" s="1063"/>
      <c r="Z2999" s="1063"/>
      <c r="AA2999" s="1063"/>
      <c r="AB2999" s="1063"/>
      <c r="AC2999" s="1063"/>
      <c r="AD2999" s="1063"/>
      <c r="AE2999" s="1063"/>
      <c r="AF2999" s="1063"/>
      <c r="AG2999" s="1063"/>
      <c r="AH2999" s="1063"/>
      <c r="AI2999" s="1063"/>
      <c r="AJ2999" s="1063"/>
      <c r="AK2999" s="1063"/>
      <c r="AL2999" s="1063"/>
      <c r="AM2999" s="1063"/>
      <c r="AN2999" s="1063"/>
      <c r="AO2999" s="1063"/>
      <c r="AP2999" s="1063"/>
      <c r="AQ2999" s="1063"/>
      <c r="AR2999" s="1063"/>
      <c r="AS2999" s="1063"/>
      <c r="AT2999" s="1063"/>
      <c r="AU2999" s="1063"/>
      <c r="AV2999" s="1063"/>
    </row>
    <row r="3000" spans="1:48" s="1108" customFormat="1" ht="27.75" customHeight="1">
      <c r="A3000" s="1076"/>
      <c r="B3000" s="1074">
        <f>+'[18]Bldg+Dev'!S3812</f>
        <v>0</v>
      </c>
      <c r="D3000" s="1063"/>
      <c r="F3000" s="1076"/>
      <c r="G3000" s="1063"/>
      <c r="H3000" s="1063"/>
      <c r="I3000" s="1063"/>
      <c r="J3000" s="1063"/>
      <c r="K3000" s="1063"/>
      <c r="L3000" s="1063"/>
      <c r="M3000" s="1063"/>
      <c r="N3000" s="1063"/>
      <c r="O3000" s="1063"/>
      <c r="P3000" s="1063"/>
      <c r="Q3000" s="1063"/>
      <c r="R3000" s="1063"/>
      <c r="S3000" s="1063"/>
      <c r="T3000" s="1063"/>
      <c r="U3000" s="1063"/>
      <c r="V3000" s="1063"/>
      <c r="W3000" s="1063"/>
      <c r="X3000" s="1063"/>
      <c r="Y3000" s="1063"/>
      <c r="Z3000" s="1063"/>
      <c r="AA3000" s="1063"/>
      <c r="AB3000" s="1063"/>
      <c r="AC3000" s="1063"/>
      <c r="AD3000" s="1063"/>
      <c r="AE3000" s="1063"/>
      <c r="AF3000" s="1063"/>
      <c r="AG3000" s="1063"/>
      <c r="AH3000" s="1063"/>
      <c r="AI3000" s="1063"/>
      <c r="AJ3000" s="1063"/>
      <c r="AK3000" s="1063"/>
      <c r="AL3000" s="1063"/>
      <c r="AM3000" s="1063"/>
      <c r="AN3000" s="1063"/>
      <c r="AO3000" s="1063"/>
      <c r="AP3000" s="1063"/>
      <c r="AQ3000" s="1063"/>
      <c r="AR3000" s="1063"/>
      <c r="AS3000" s="1063"/>
      <c r="AT3000" s="1063"/>
      <c r="AU3000" s="1063"/>
      <c r="AV3000" s="1063"/>
    </row>
    <row r="3001" spans="1:48" s="1108" customFormat="1" ht="27.75" customHeight="1">
      <c r="A3001" s="1076"/>
      <c r="B3001" s="1074">
        <f>+'[18]Bldg+Dev'!S3813</f>
        <v>0</v>
      </c>
      <c r="D3001" s="1063"/>
      <c r="F3001" s="1076"/>
      <c r="G3001" s="1063"/>
      <c r="H3001" s="1063"/>
      <c r="I3001" s="1063"/>
      <c r="J3001" s="1063"/>
      <c r="K3001" s="1063"/>
      <c r="L3001" s="1063"/>
      <c r="M3001" s="1063"/>
      <c r="N3001" s="1063"/>
      <c r="O3001" s="1063"/>
      <c r="P3001" s="1063"/>
      <c r="Q3001" s="1063"/>
      <c r="R3001" s="1063"/>
      <c r="S3001" s="1063"/>
      <c r="T3001" s="1063"/>
      <c r="U3001" s="1063"/>
      <c r="V3001" s="1063"/>
      <c r="W3001" s="1063"/>
      <c r="X3001" s="1063"/>
      <c r="Y3001" s="1063"/>
      <c r="Z3001" s="1063"/>
      <c r="AA3001" s="1063"/>
      <c r="AB3001" s="1063"/>
      <c r="AC3001" s="1063"/>
      <c r="AD3001" s="1063"/>
      <c r="AE3001" s="1063"/>
      <c r="AF3001" s="1063"/>
      <c r="AG3001" s="1063"/>
      <c r="AH3001" s="1063"/>
      <c r="AI3001" s="1063"/>
      <c r="AJ3001" s="1063"/>
      <c r="AK3001" s="1063"/>
      <c r="AL3001" s="1063"/>
      <c r="AM3001" s="1063"/>
      <c r="AN3001" s="1063"/>
      <c r="AO3001" s="1063"/>
      <c r="AP3001" s="1063"/>
      <c r="AQ3001" s="1063"/>
      <c r="AR3001" s="1063"/>
      <c r="AS3001" s="1063"/>
      <c r="AT3001" s="1063"/>
      <c r="AU3001" s="1063"/>
      <c r="AV3001" s="1063"/>
    </row>
    <row r="3002" spans="1:48" s="1108" customFormat="1" ht="27.75" customHeight="1">
      <c r="A3002" s="1076"/>
      <c r="B3002" s="1074">
        <f>+'[18]Bldg+Dev'!S3814</f>
        <v>0</v>
      </c>
      <c r="D3002" s="1063"/>
      <c r="F3002" s="1076"/>
      <c r="G3002" s="1063"/>
      <c r="H3002" s="1063"/>
      <c r="I3002" s="1063"/>
      <c r="J3002" s="1063"/>
      <c r="K3002" s="1063"/>
      <c r="L3002" s="1063"/>
      <c r="M3002" s="1063"/>
      <c r="N3002" s="1063"/>
      <c r="O3002" s="1063"/>
      <c r="P3002" s="1063"/>
      <c r="Q3002" s="1063"/>
      <c r="R3002" s="1063"/>
      <c r="S3002" s="1063"/>
      <c r="T3002" s="1063"/>
      <c r="U3002" s="1063"/>
      <c r="V3002" s="1063"/>
      <c r="W3002" s="1063"/>
      <c r="X3002" s="1063"/>
      <c r="Y3002" s="1063"/>
      <c r="Z3002" s="1063"/>
      <c r="AA3002" s="1063"/>
      <c r="AB3002" s="1063"/>
      <c r="AC3002" s="1063"/>
      <c r="AD3002" s="1063"/>
      <c r="AE3002" s="1063"/>
      <c r="AF3002" s="1063"/>
      <c r="AG3002" s="1063"/>
      <c r="AH3002" s="1063"/>
      <c r="AI3002" s="1063"/>
      <c r="AJ3002" s="1063"/>
      <c r="AK3002" s="1063"/>
      <c r="AL3002" s="1063"/>
      <c r="AM3002" s="1063"/>
      <c r="AN3002" s="1063"/>
      <c r="AO3002" s="1063"/>
      <c r="AP3002" s="1063"/>
      <c r="AQ3002" s="1063"/>
      <c r="AR3002" s="1063"/>
      <c r="AS3002" s="1063"/>
      <c r="AT3002" s="1063"/>
      <c r="AU3002" s="1063"/>
      <c r="AV3002" s="1063"/>
    </row>
    <row r="3003" spans="1:48" s="1108" customFormat="1" ht="27.75" customHeight="1">
      <c r="A3003" s="1076"/>
      <c r="B3003" s="1074">
        <f>+'[18]Bldg+Dev'!S3815</f>
        <v>0</v>
      </c>
      <c r="D3003" s="1063"/>
      <c r="F3003" s="1076"/>
      <c r="G3003" s="1063"/>
      <c r="H3003" s="1063"/>
      <c r="I3003" s="1063"/>
      <c r="J3003" s="1063"/>
      <c r="K3003" s="1063"/>
      <c r="L3003" s="1063"/>
      <c r="M3003" s="1063"/>
      <c r="N3003" s="1063"/>
      <c r="O3003" s="1063"/>
      <c r="P3003" s="1063"/>
      <c r="Q3003" s="1063"/>
      <c r="R3003" s="1063"/>
      <c r="S3003" s="1063"/>
      <c r="T3003" s="1063"/>
      <c r="U3003" s="1063"/>
      <c r="V3003" s="1063"/>
      <c r="W3003" s="1063"/>
      <c r="X3003" s="1063"/>
      <c r="Y3003" s="1063"/>
      <c r="Z3003" s="1063"/>
      <c r="AA3003" s="1063"/>
      <c r="AB3003" s="1063"/>
      <c r="AC3003" s="1063"/>
      <c r="AD3003" s="1063"/>
      <c r="AE3003" s="1063"/>
      <c r="AF3003" s="1063"/>
      <c r="AG3003" s="1063"/>
      <c r="AH3003" s="1063"/>
      <c r="AI3003" s="1063"/>
      <c r="AJ3003" s="1063"/>
      <c r="AK3003" s="1063"/>
      <c r="AL3003" s="1063"/>
      <c r="AM3003" s="1063"/>
      <c r="AN3003" s="1063"/>
      <c r="AO3003" s="1063"/>
      <c r="AP3003" s="1063"/>
      <c r="AQ3003" s="1063"/>
      <c r="AR3003" s="1063"/>
      <c r="AS3003" s="1063"/>
      <c r="AT3003" s="1063"/>
      <c r="AU3003" s="1063"/>
      <c r="AV3003" s="1063"/>
    </row>
    <row r="3004" spans="1:48" s="1108" customFormat="1" ht="27.75" customHeight="1">
      <c r="A3004" s="1076"/>
      <c r="B3004" s="1074">
        <f>+'[18]Bldg+Dev'!S3816</f>
        <v>0</v>
      </c>
      <c r="D3004" s="1063"/>
      <c r="F3004" s="1076"/>
      <c r="G3004" s="1063"/>
      <c r="H3004" s="1063"/>
      <c r="I3004" s="1063"/>
      <c r="J3004" s="1063"/>
      <c r="K3004" s="1063"/>
      <c r="L3004" s="1063"/>
      <c r="M3004" s="1063"/>
      <c r="N3004" s="1063"/>
      <c r="O3004" s="1063"/>
      <c r="P3004" s="1063"/>
      <c r="Q3004" s="1063"/>
      <c r="R3004" s="1063"/>
      <c r="S3004" s="1063"/>
      <c r="T3004" s="1063"/>
      <c r="U3004" s="1063"/>
      <c r="V3004" s="1063"/>
      <c r="W3004" s="1063"/>
      <c r="X3004" s="1063"/>
      <c r="Y3004" s="1063"/>
      <c r="Z3004" s="1063"/>
      <c r="AA3004" s="1063"/>
      <c r="AB3004" s="1063"/>
      <c r="AC3004" s="1063"/>
      <c r="AD3004" s="1063"/>
      <c r="AE3004" s="1063"/>
      <c r="AF3004" s="1063"/>
      <c r="AG3004" s="1063"/>
      <c r="AH3004" s="1063"/>
      <c r="AI3004" s="1063"/>
      <c r="AJ3004" s="1063"/>
      <c r="AK3004" s="1063"/>
      <c r="AL3004" s="1063"/>
      <c r="AM3004" s="1063"/>
      <c r="AN3004" s="1063"/>
      <c r="AO3004" s="1063"/>
      <c r="AP3004" s="1063"/>
      <c r="AQ3004" s="1063"/>
      <c r="AR3004" s="1063"/>
      <c r="AS3004" s="1063"/>
      <c r="AT3004" s="1063"/>
      <c r="AU3004" s="1063"/>
      <c r="AV3004" s="1063"/>
    </row>
    <row r="3005" spans="1:48" s="1108" customFormat="1" ht="27.75" customHeight="1">
      <c r="A3005" s="1076"/>
      <c r="B3005" s="1074">
        <f>+'[18]Bldg+Dev'!S3817</f>
        <v>0</v>
      </c>
      <c r="D3005" s="1063"/>
      <c r="F3005" s="1076"/>
      <c r="G3005" s="1063"/>
      <c r="H3005" s="1063"/>
      <c r="I3005" s="1063"/>
      <c r="J3005" s="1063"/>
      <c r="K3005" s="1063"/>
      <c r="L3005" s="1063"/>
      <c r="M3005" s="1063"/>
      <c r="N3005" s="1063"/>
      <c r="O3005" s="1063"/>
      <c r="P3005" s="1063"/>
      <c r="Q3005" s="1063"/>
      <c r="R3005" s="1063"/>
      <c r="S3005" s="1063"/>
      <c r="T3005" s="1063"/>
      <c r="U3005" s="1063"/>
      <c r="V3005" s="1063"/>
      <c r="W3005" s="1063"/>
      <c r="X3005" s="1063"/>
      <c r="Y3005" s="1063"/>
      <c r="Z3005" s="1063"/>
      <c r="AA3005" s="1063"/>
      <c r="AB3005" s="1063"/>
      <c r="AC3005" s="1063"/>
      <c r="AD3005" s="1063"/>
      <c r="AE3005" s="1063"/>
      <c r="AF3005" s="1063"/>
      <c r="AG3005" s="1063"/>
      <c r="AH3005" s="1063"/>
      <c r="AI3005" s="1063"/>
      <c r="AJ3005" s="1063"/>
      <c r="AK3005" s="1063"/>
      <c r="AL3005" s="1063"/>
      <c r="AM3005" s="1063"/>
      <c r="AN3005" s="1063"/>
      <c r="AO3005" s="1063"/>
      <c r="AP3005" s="1063"/>
      <c r="AQ3005" s="1063"/>
      <c r="AR3005" s="1063"/>
      <c r="AS3005" s="1063"/>
      <c r="AT3005" s="1063"/>
      <c r="AU3005" s="1063"/>
      <c r="AV3005" s="1063"/>
    </row>
    <row r="3006" spans="1:48" s="1108" customFormat="1" ht="27.75" customHeight="1">
      <c r="A3006" s="1076"/>
      <c r="B3006" s="1074">
        <f>+'[18]Bldg+Dev'!S3818</f>
        <v>0</v>
      </c>
      <c r="D3006" s="1063"/>
      <c r="F3006" s="1076"/>
      <c r="G3006" s="1063"/>
      <c r="H3006" s="1063"/>
      <c r="I3006" s="1063"/>
      <c r="J3006" s="1063"/>
      <c r="K3006" s="1063"/>
      <c r="L3006" s="1063"/>
      <c r="M3006" s="1063"/>
      <c r="N3006" s="1063"/>
      <c r="O3006" s="1063"/>
      <c r="P3006" s="1063"/>
      <c r="Q3006" s="1063"/>
      <c r="R3006" s="1063"/>
      <c r="S3006" s="1063"/>
      <c r="T3006" s="1063"/>
      <c r="U3006" s="1063"/>
      <c r="V3006" s="1063"/>
      <c r="W3006" s="1063"/>
      <c r="X3006" s="1063"/>
      <c r="Y3006" s="1063"/>
      <c r="Z3006" s="1063"/>
      <c r="AA3006" s="1063"/>
      <c r="AB3006" s="1063"/>
      <c r="AC3006" s="1063"/>
      <c r="AD3006" s="1063"/>
      <c r="AE3006" s="1063"/>
      <c r="AF3006" s="1063"/>
      <c r="AG3006" s="1063"/>
      <c r="AH3006" s="1063"/>
      <c r="AI3006" s="1063"/>
      <c r="AJ3006" s="1063"/>
      <c r="AK3006" s="1063"/>
      <c r="AL3006" s="1063"/>
      <c r="AM3006" s="1063"/>
      <c r="AN3006" s="1063"/>
      <c r="AO3006" s="1063"/>
      <c r="AP3006" s="1063"/>
      <c r="AQ3006" s="1063"/>
      <c r="AR3006" s="1063"/>
      <c r="AS3006" s="1063"/>
      <c r="AT3006" s="1063"/>
      <c r="AU3006" s="1063"/>
      <c r="AV3006" s="1063"/>
    </row>
    <row r="3007" spans="1:48" s="1108" customFormat="1" ht="27.75" customHeight="1">
      <c r="A3007" s="1076"/>
      <c r="B3007" s="1074">
        <f>+'[18]Bldg+Dev'!S3819</f>
        <v>0</v>
      </c>
      <c r="D3007" s="1063"/>
      <c r="F3007" s="1076"/>
      <c r="G3007" s="1063"/>
      <c r="H3007" s="1063"/>
      <c r="I3007" s="1063"/>
      <c r="J3007" s="1063"/>
      <c r="K3007" s="1063"/>
      <c r="L3007" s="1063"/>
      <c r="M3007" s="1063"/>
      <c r="N3007" s="1063"/>
      <c r="O3007" s="1063"/>
      <c r="P3007" s="1063"/>
      <c r="Q3007" s="1063"/>
      <c r="R3007" s="1063"/>
      <c r="S3007" s="1063"/>
      <c r="T3007" s="1063"/>
      <c r="U3007" s="1063"/>
      <c r="V3007" s="1063"/>
      <c r="W3007" s="1063"/>
      <c r="X3007" s="1063"/>
      <c r="Y3007" s="1063"/>
      <c r="Z3007" s="1063"/>
      <c r="AA3007" s="1063"/>
      <c r="AB3007" s="1063"/>
      <c r="AC3007" s="1063"/>
      <c r="AD3007" s="1063"/>
      <c r="AE3007" s="1063"/>
      <c r="AF3007" s="1063"/>
      <c r="AG3007" s="1063"/>
      <c r="AH3007" s="1063"/>
      <c r="AI3007" s="1063"/>
      <c r="AJ3007" s="1063"/>
      <c r="AK3007" s="1063"/>
      <c r="AL3007" s="1063"/>
      <c r="AM3007" s="1063"/>
      <c r="AN3007" s="1063"/>
      <c r="AO3007" s="1063"/>
      <c r="AP3007" s="1063"/>
      <c r="AQ3007" s="1063"/>
      <c r="AR3007" s="1063"/>
      <c r="AS3007" s="1063"/>
      <c r="AT3007" s="1063"/>
      <c r="AU3007" s="1063"/>
      <c r="AV3007" s="1063"/>
    </row>
    <row r="3008" spans="1:48" s="1108" customFormat="1" ht="27.75" customHeight="1">
      <c r="A3008" s="1076"/>
      <c r="B3008" s="1074">
        <f>+'[18]Bldg+Dev'!S3820</f>
        <v>0</v>
      </c>
      <c r="D3008" s="1063"/>
      <c r="F3008" s="1076"/>
      <c r="G3008" s="1063"/>
      <c r="H3008" s="1063"/>
      <c r="I3008" s="1063"/>
      <c r="J3008" s="1063"/>
      <c r="K3008" s="1063"/>
      <c r="L3008" s="1063"/>
      <c r="M3008" s="1063"/>
      <c r="N3008" s="1063"/>
      <c r="O3008" s="1063"/>
      <c r="P3008" s="1063"/>
      <c r="Q3008" s="1063"/>
      <c r="R3008" s="1063"/>
      <c r="S3008" s="1063"/>
      <c r="T3008" s="1063"/>
      <c r="U3008" s="1063"/>
      <c r="V3008" s="1063"/>
      <c r="W3008" s="1063"/>
      <c r="X3008" s="1063"/>
      <c r="Y3008" s="1063"/>
      <c r="Z3008" s="1063"/>
      <c r="AA3008" s="1063"/>
      <c r="AB3008" s="1063"/>
      <c r="AC3008" s="1063"/>
      <c r="AD3008" s="1063"/>
      <c r="AE3008" s="1063"/>
      <c r="AF3008" s="1063"/>
      <c r="AG3008" s="1063"/>
      <c r="AH3008" s="1063"/>
      <c r="AI3008" s="1063"/>
      <c r="AJ3008" s="1063"/>
      <c r="AK3008" s="1063"/>
      <c r="AL3008" s="1063"/>
      <c r="AM3008" s="1063"/>
      <c r="AN3008" s="1063"/>
      <c r="AO3008" s="1063"/>
      <c r="AP3008" s="1063"/>
      <c r="AQ3008" s="1063"/>
      <c r="AR3008" s="1063"/>
      <c r="AS3008" s="1063"/>
      <c r="AT3008" s="1063"/>
      <c r="AU3008" s="1063"/>
      <c r="AV3008" s="1063"/>
    </row>
    <row r="3009" spans="1:48" s="1108" customFormat="1" ht="27.75" customHeight="1">
      <c r="A3009" s="1076"/>
      <c r="B3009" s="1074">
        <f>+'[18]Bldg+Dev'!S3821</f>
        <v>0</v>
      </c>
      <c r="D3009" s="1063"/>
      <c r="F3009" s="1076"/>
      <c r="G3009" s="1063"/>
      <c r="H3009" s="1063"/>
      <c r="I3009" s="1063"/>
      <c r="J3009" s="1063"/>
      <c r="K3009" s="1063"/>
      <c r="L3009" s="1063"/>
      <c r="M3009" s="1063"/>
      <c r="N3009" s="1063"/>
      <c r="O3009" s="1063"/>
      <c r="P3009" s="1063"/>
      <c r="Q3009" s="1063"/>
      <c r="R3009" s="1063"/>
      <c r="S3009" s="1063"/>
      <c r="T3009" s="1063"/>
      <c r="U3009" s="1063"/>
      <c r="V3009" s="1063"/>
      <c r="W3009" s="1063"/>
      <c r="X3009" s="1063"/>
      <c r="Y3009" s="1063"/>
      <c r="Z3009" s="1063"/>
      <c r="AA3009" s="1063"/>
      <c r="AB3009" s="1063"/>
      <c r="AC3009" s="1063"/>
      <c r="AD3009" s="1063"/>
      <c r="AE3009" s="1063"/>
      <c r="AF3009" s="1063"/>
      <c r="AG3009" s="1063"/>
      <c r="AH3009" s="1063"/>
      <c r="AI3009" s="1063"/>
      <c r="AJ3009" s="1063"/>
      <c r="AK3009" s="1063"/>
      <c r="AL3009" s="1063"/>
      <c r="AM3009" s="1063"/>
      <c r="AN3009" s="1063"/>
      <c r="AO3009" s="1063"/>
      <c r="AP3009" s="1063"/>
      <c r="AQ3009" s="1063"/>
      <c r="AR3009" s="1063"/>
      <c r="AS3009" s="1063"/>
      <c r="AT3009" s="1063"/>
      <c r="AU3009" s="1063"/>
      <c r="AV3009" s="1063"/>
    </row>
    <row r="3010" spans="1:48" s="1108" customFormat="1" ht="27.75" customHeight="1">
      <c r="A3010" s="1076"/>
      <c r="B3010" s="1074">
        <f>+'[18]Bldg+Dev'!S3822</f>
        <v>0</v>
      </c>
      <c r="D3010" s="1063"/>
      <c r="F3010" s="1076"/>
      <c r="G3010" s="1063"/>
      <c r="H3010" s="1063"/>
      <c r="I3010" s="1063"/>
      <c r="J3010" s="1063"/>
      <c r="K3010" s="1063"/>
      <c r="L3010" s="1063"/>
      <c r="M3010" s="1063"/>
      <c r="N3010" s="1063"/>
      <c r="O3010" s="1063"/>
      <c r="P3010" s="1063"/>
      <c r="Q3010" s="1063"/>
      <c r="R3010" s="1063"/>
      <c r="S3010" s="1063"/>
      <c r="T3010" s="1063"/>
      <c r="U3010" s="1063"/>
      <c r="V3010" s="1063"/>
      <c r="W3010" s="1063"/>
      <c r="X3010" s="1063"/>
      <c r="Y3010" s="1063"/>
      <c r="Z3010" s="1063"/>
      <c r="AA3010" s="1063"/>
      <c r="AB3010" s="1063"/>
      <c r="AC3010" s="1063"/>
      <c r="AD3010" s="1063"/>
      <c r="AE3010" s="1063"/>
      <c r="AF3010" s="1063"/>
      <c r="AG3010" s="1063"/>
      <c r="AH3010" s="1063"/>
      <c r="AI3010" s="1063"/>
      <c r="AJ3010" s="1063"/>
      <c r="AK3010" s="1063"/>
      <c r="AL3010" s="1063"/>
      <c r="AM3010" s="1063"/>
      <c r="AN3010" s="1063"/>
      <c r="AO3010" s="1063"/>
      <c r="AP3010" s="1063"/>
      <c r="AQ3010" s="1063"/>
      <c r="AR3010" s="1063"/>
      <c r="AS3010" s="1063"/>
      <c r="AT3010" s="1063"/>
      <c r="AU3010" s="1063"/>
      <c r="AV3010" s="1063"/>
    </row>
    <row r="3011" spans="1:48" s="1108" customFormat="1" ht="27.75" customHeight="1">
      <c r="A3011" s="1076"/>
      <c r="B3011" s="1074">
        <f>+'[18]Bldg+Dev'!S3823</f>
        <v>0</v>
      </c>
      <c r="D3011" s="1063"/>
      <c r="F3011" s="1076"/>
      <c r="G3011" s="1063"/>
      <c r="H3011" s="1063"/>
      <c r="I3011" s="1063"/>
      <c r="J3011" s="1063"/>
      <c r="K3011" s="1063"/>
      <c r="L3011" s="1063"/>
      <c r="M3011" s="1063"/>
      <c r="N3011" s="1063"/>
      <c r="O3011" s="1063"/>
      <c r="P3011" s="1063"/>
      <c r="Q3011" s="1063"/>
      <c r="R3011" s="1063"/>
      <c r="S3011" s="1063"/>
      <c r="T3011" s="1063"/>
      <c r="U3011" s="1063"/>
      <c r="V3011" s="1063"/>
      <c r="W3011" s="1063"/>
      <c r="X3011" s="1063"/>
      <c r="Y3011" s="1063"/>
      <c r="Z3011" s="1063"/>
      <c r="AA3011" s="1063"/>
      <c r="AB3011" s="1063"/>
      <c r="AC3011" s="1063"/>
      <c r="AD3011" s="1063"/>
      <c r="AE3011" s="1063"/>
      <c r="AF3011" s="1063"/>
      <c r="AG3011" s="1063"/>
      <c r="AH3011" s="1063"/>
      <c r="AI3011" s="1063"/>
      <c r="AJ3011" s="1063"/>
      <c r="AK3011" s="1063"/>
      <c r="AL3011" s="1063"/>
      <c r="AM3011" s="1063"/>
      <c r="AN3011" s="1063"/>
      <c r="AO3011" s="1063"/>
      <c r="AP3011" s="1063"/>
      <c r="AQ3011" s="1063"/>
      <c r="AR3011" s="1063"/>
      <c r="AS3011" s="1063"/>
      <c r="AT3011" s="1063"/>
      <c r="AU3011" s="1063"/>
      <c r="AV3011" s="1063"/>
    </row>
    <row r="3012" spans="1:48" s="1108" customFormat="1" ht="27.75" customHeight="1">
      <c r="A3012" s="1076"/>
      <c r="B3012" s="1074">
        <f>+'[18]Bldg+Dev'!S3824</f>
        <v>0</v>
      </c>
      <c r="D3012" s="1063"/>
      <c r="F3012" s="1076"/>
      <c r="G3012" s="1063"/>
      <c r="H3012" s="1063"/>
      <c r="I3012" s="1063"/>
      <c r="J3012" s="1063"/>
      <c r="K3012" s="1063"/>
      <c r="L3012" s="1063"/>
      <c r="M3012" s="1063"/>
      <c r="N3012" s="1063"/>
      <c r="O3012" s="1063"/>
      <c r="P3012" s="1063"/>
      <c r="Q3012" s="1063"/>
      <c r="R3012" s="1063"/>
      <c r="S3012" s="1063"/>
      <c r="T3012" s="1063"/>
      <c r="U3012" s="1063"/>
      <c r="V3012" s="1063"/>
      <c r="W3012" s="1063"/>
      <c r="X3012" s="1063"/>
      <c r="Y3012" s="1063"/>
      <c r="Z3012" s="1063"/>
      <c r="AA3012" s="1063"/>
      <c r="AB3012" s="1063"/>
      <c r="AC3012" s="1063"/>
      <c r="AD3012" s="1063"/>
      <c r="AE3012" s="1063"/>
      <c r="AF3012" s="1063"/>
      <c r="AG3012" s="1063"/>
      <c r="AH3012" s="1063"/>
      <c r="AI3012" s="1063"/>
      <c r="AJ3012" s="1063"/>
      <c r="AK3012" s="1063"/>
      <c r="AL3012" s="1063"/>
      <c r="AM3012" s="1063"/>
      <c r="AN3012" s="1063"/>
      <c r="AO3012" s="1063"/>
      <c r="AP3012" s="1063"/>
      <c r="AQ3012" s="1063"/>
      <c r="AR3012" s="1063"/>
      <c r="AS3012" s="1063"/>
      <c r="AT3012" s="1063"/>
      <c r="AU3012" s="1063"/>
      <c r="AV3012" s="1063"/>
    </row>
    <row r="3013" spans="1:48" s="1108" customFormat="1" ht="27.75" customHeight="1">
      <c r="A3013" s="1076"/>
      <c r="B3013" s="1074">
        <f>+'[18]Bldg+Dev'!S3825</f>
        <v>0</v>
      </c>
      <c r="D3013" s="1063"/>
      <c r="F3013" s="1076"/>
      <c r="G3013" s="1063"/>
      <c r="H3013" s="1063"/>
      <c r="I3013" s="1063"/>
      <c r="J3013" s="1063"/>
      <c r="K3013" s="1063"/>
      <c r="L3013" s="1063"/>
      <c r="M3013" s="1063"/>
      <c r="N3013" s="1063"/>
      <c r="O3013" s="1063"/>
      <c r="P3013" s="1063"/>
      <c r="Q3013" s="1063"/>
      <c r="R3013" s="1063"/>
      <c r="S3013" s="1063"/>
      <c r="T3013" s="1063"/>
      <c r="U3013" s="1063"/>
      <c r="V3013" s="1063"/>
      <c r="W3013" s="1063"/>
      <c r="X3013" s="1063"/>
      <c r="Y3013" s="1063"/>
      <c r="Z3013" s="1063"/>
      <c r="AA3013" s="1063"/>
      <c r="AB3013" s="1063"/>
      <c r="AC3013" s="1063"/>
      <c r="AD3013" s="1063"/>
      <c r="AE3013" s="1063"/>
      <c r="AF3013" s="1063"/>
      <c r="AG3013" s="1063"/>
      <c r="AH3013" s="1063"/>
      <c r="AI3013" s="1063"/>
      <c r="AJ3013" s="1063"/>
      <c r="AK3013" s="1063"/>
      <c r="AL3013" s="1063"/>
      <c r="AM3013" s="1063"/>
      <c r="AN3013" s="1063"/>
      <c r="AO3013" s="1063"/>
      <c r="AP3013" s="1063"/>
      <c r="AQ3013" s="1063"/>
      <c r="AR3013" s="1063"/>
      <c r="AS3013" s="1063"/>
      <c r="AT3013" s="1063"/>
      <c r="AU3013" s="1063"/>
      <c r="AV3013" s="1063"/>
    </row>
    <row r="3014" spans="1:48" s="1108" customFormat="1" ht="27.75" customHeight="1">
      <c r="A3014" s="1076"/>
      <c r="B3014" s="1074">
        <f>+'[18]Bldg+Dev'!S3826</f>
        <v>0</v>
      </c>
      <c r="D3014" s="1063"/>
      <c r="F3014" s="1076"/>
      <c r="G3014" s="1063"/>
      <c r="H3014" s="1063"/>
      <c r="I3014" s="1063"/>
      <c r="J3014" s="1063"/>
      <c r="K3014" s="1063"/>
      <c r="L3014" s="1063"/>
      <c r="M3014" s="1063"/>
      <c r="N3014" s="1063"/>
      <c r="O3014" s="1063"/>
      <c r="P3014" s="1063"/>
      <c r="Q3014" s="1063"/>
      <c r="R3014" s="1063"/>
      <c r="S3014" s="1063"/>
      <c r="T3014" s="1063"/>
      <c r="U3014" s="1063"/>
      <c r="V3014" s="1063"/>
      <c r="W3014" s="1063"/>
      <c r="X3014" s="1063"/>
      <c r="Y3014" s="1063"/>
      <c r="Z3014" s="1063"/>
      <c r="AA3014" s="1063"/>
      <c r="AB3014" s="1063"/>
      <c r="AC3014" s="1063"/>
      <c r="AD3014" s="1063"/>
      <c r="AE3014" s="1063"/>
      <c r="AF3014" s="1063"/>
      <c r="AG3014" s="1063"/>
      <c r="AH3014" s="1063"/>
      <c r="AI3014" s="1063"/>
      <c r="AJ3014" s="1063"/>
      <c r="AK3014" s="1063"/>
      <c r="AL3014" s="1063"/>
      <c r="AM3014" s="1063"/>
      <c r="AN3014" s="1063"/>
      <c r="AO3014" s="1063"/>
      <c r="AP3014" s="1063"/>
      <c r="AQ3014" s="1063"/>
      <c r="AR3014" s="1063"/>
      <c r="AS3014" s="1063"/>
      <c r="AT3014" s="1063"/>
      <c r="AU3014" s="1063"/>
      <c r="AV3014" s="1063"/>
    </row>
    <row r="3015" spans="1:48" s="1108" customFormat="1" ht="27.75" customHeight="1">
      <c r="A3015" s="1076"/>
      <c r="B3015" s="1074">
        <f>+'[18]Bldg+Dev'!S3827</f>
        <v>0</v>
      </c>
      <c r="D3015" s="1063"/>
      <c r="F3015" s="1076"/>
      <c r="G3015" s="1063"/>
      <c r="H3015" s="1063"/>
      <c r="I3015" s="1063"/>
      <c r="J3015" s="1063"/>
      <c r="K3015" s="1063"/>
      <c r="L3015" s="1063"/>
      <c r="M3015" s="1063"/>
      <c r="N3015" s="1063"/>
      <c r="O3015" s="1063"/>
      <c r="P3015" s="1063"/>
      <c r="Q3015" s="1063"/>
      <c r="R3015" s="1063"/>
      <c r="S3015" s="1063"/>
      <c r="T3015" s="1063"/>
      <c r="U3015" s="1063"/>
      <c r="V3015" s="1063"/>
      <c r="W3015" s="1063"/>
      <c r="X3015" s="1063"/>
      <c r="Y3015" s="1063"/>
      <c r="Z3015" s="1063"/>
      <c r="AA3015" s="1063"/>
      <c r="AB3015" s="1063"/>
      <c r="AC3015" s="1063"/>
      <c r="AD3015" s="1063"/>
      <c r="AE3015" s="1063"/>
      <c r="AF3015" s="1063"/>
      <c r="AG3015" s="1063"/>
      <c r="AH3015" s="1063"/>
      <c r="AI3015" s="1063"/>
      <c r="AJ3015" s="1063"/>
      <c r="AK3015" s="1063"/>
      <c r="AL3015" s="1063"/>
      <c r="AM3015" s="1063"/>
      <c r="AN3015" s="1063"/>
      <c r="AO3015" s="1063"/>
      <c r="AP3015" s="1063"/>
      <c r="AQ3015" s="1063"/>
      <c r="AR3015" s="1063"/>
      <c r="AS3015" s="1063"/>
      <c r="AT3015" s="1063"/>
      <c r="AU3015" s="1063"/>
      <c r="AV3015" s="1063"/>
    </row>
    <row r="3016" spans="1:48" s="1108" customFormat="1" ht="27.75" customHeight="1">
      <c r="A3016" s="1076"/>
      <c r="B3016" s="1074">
        <f>+'[18]Bldg+Dev'!S3828</f>
        <v>0</v>
      </c>
      <c r="D3016" s="1063"/>
      <c r="F3016" s="1076"/>
      <c r="G3016" s="1063"/>
      <c r="H3016" s="1063"/>
      <c r="I3016" s="1063"/>
      <c r="J3016" s="1063"/>
      <c r="K3016" s="1063"/>
      <c r="L3016" s="1063"/>
      <c r="M3016" s="1063"/>
      <c r="N3016" s="1063"/>
      <c r="O3016" s="1063"/>
      <c r="P3016" s="1063"/>
      <c r="Q3016" s="1063"/>
      <c r="R3016" s="1063"/>
      <c r="S3016" s="1063"/>
      <c r="T3016" s="1063"/>
      <c r="U3016" s="1063"/>
      <c r="V3016" s="1063"/>
      <c r="W3016" s="1063"/>
      <c r="X3016" s="1063"/>
      <c r="Y3016" s="1063"/>
      <c r="Z3016" s="1063"/>
      <c r="AA3016" s="1063"/>
      <c r="AB3016" s="1063"/>
      <c r="AC3016" s="1063"/>
      <c r="AD3016" s="1063"/>
      <c r="AE3016" s="1063"/>
      <c r="AF3016" s="1063"/>
      <c r="AG3016" s="1063"/>
      <c r="AH3016" s="1063"/>
      <c r="AI3016" s="1063"/>
      <c r="AJ3016" s="1063"/>
      <c r="AK3016" s="1063"/>
      <c r="AL3016" s="1063"/>
      <c r="AM3016" s="1063"/>
      <c r="AN3016" s="1063"/>
      <c r="AO3016" s="1063"/>
      <c r="AP3016" s="1063"/>
      <c r="AQ3016" s="1063"/>
      <c r="AR3016" s="1063"/>
      <c r="AS3016" s="1063"/>
      <c r="AT3016" s="1063"/>
      <c r="AU3016" s="1063"/>
      <c r="AV3016" s="1063"/>
    </row>
    <row r="3017" spans="1:48" s="1108" customFormat="1" ht="27.75" customHeight="1">
      <c r="A3017" s="1076"/>
      <c r="B3017" s="1074">
        <f>+'[18]Bldg+Dev'!S3829</f>
        <v>0</v>
      </c>
      <c r="D3017" s="1063"/>
      <c r="F3017" s="1076"/>
      <c r="G3017" s="1063"/>
      <c r="H3017" s="1063"/>
      <c r="I3017" s="1063"/>
      <c r="J3017" s="1063"/>
      <c r="K3017" s="1063"/>
      <c r="L3017" s="1063"/>
      <c r="M3017" s="1063"/>
      <c r="N3017" s="1063"/>
      <c r="O3017" s="1063"/>
      <c r="P3017" s="1063"/>
      <c r="Q3017" s="1063"/>
      <c r="R3017" s="1063"/>
      <c r="S3017" s="1063"/>
      <c r="T3017" s="1063"/>
      <c r="U3017" s="1063"/>
      <c r="V3017" s="1063"/>
      <c r="W3017" s="1063"/>
      <c r="X3017" s="1063"/>
      <c r="Y3017" s="1063"/>
      <c r="Z3017" s="1063"/>
      <c r="AA3017" s="1063"/>
      <c r="AB3017" s="1063"/>
      <c r="AC3017" s="1063"/>
      <c r="AD3017" s="1063"/>
      <c r="AE3017" s="1063"/>
      <c r="AF3017" s="1063"/>
      <c r="AG3017" s="1063"/>
      <c r="AH3017" s="1063"/>
      <c r="AI3017" s="1063"/>
      <c r="AJ3017" s="1063"/>
      <c r="AK3017" s="1063"/>
      <c r="AL3017" s="1063"/>
      <c r="AM3017" s="1063"/>
      <c r="AN3017" s="1063"/>
      <c r="AO3017" s="1063"/>
      <c r="AP3017" s="1063"/>
      <c r="AQ3017" s="1063"/>
      <c r="AR3017" s="1063"/>
      <c r="AS3017" s="1063"/>
      <c r="AT3017" s="1063"/>
      <c r="AU3017" s="1063"/>
      <c r="AV3017" s="1063"/>
    </row>
    <row r="3018" spans="1:48" s="1108" customFormat="1" ht="27.75" customHeight="1">
      <c r="A3018" s="1076"/>
      <c r="B3018" s="1074">
        <f>+'[18]Bldg+Dev'!S3830</f>
        <v>0</v>
      </c>
      <c r="D3018" s="1063"/>
      <c r="F3018" s="1076"/>
      <c r="G3018" s="1063"/>
      <c r="H3018" s="1063"/>
      <c r="I3018" s="1063"/>
      <c r="J3018" s="1063"/>
      <c r="K3018" s="1063"/>
      <c r="L3018" s="1063"/>
      <c r="M3018" s="1063"/>
      <c r="N3018" s="1063"/>
      <c r="O3018" s="1063"/>
      <c r="P3018" s="1063"/>
      <c r="Q3018" s="1063"/>
      <c r="R3018" s="1063"/>
      <c r="S3018" s="1063"/>
      <c r="T3018" s="1063"/>
      <c r="U3018" s="1063"/>
      <c r="V3018" s="1063"/>
      <c r="W3018" s="1063"/>
      <c r="X3018" s="1063"/>
      <c r="Y3018" s="1063"/>
      <c r="Z3018" s="1063"/>
      <c r="AA3018" s="1063"/>
      <c r="AB3018" s="1063"/>
      <c r="AC3018" s="1063"/>
      <c r="AD3018" s="1063"/>
      <c r="AE3018" s="1063"/>
      <c r="AF3018" s="1063"/>
      <c r="AG3018" s="1063"/>
      <c r="AH3018" s="1063"/>
      <c r="AI3018" s="1063"/>
      <c r="AJ3018" s="1063"/>
      <c r="AK3018" s="1063"/>
      <c r="AL3018" s="1063"/>
      <c r="AM3018" s="1063"/>
      <c r="AN3018" s="1063"/>
      <c r="AO3018" s="1063"/>
      <c r="AP3018" s="1063"/>
      <c r="AQ3018" s="1063"/>
      <c r="AR3018" s="1063"/>
      <c r="AS3018" s="1063"/>
      <c r="AT3018" s="1063"/>
      <c r="AU3018" s="1063"/>
      <c r="AV3018" s="1063"/>
    </row>
    <row r="3019" spans="1:48" s="1108" customFormat="1" ht="27.75" customHeight="1">
      <c r="A3019" s="1076"/>
      <c r="B3019" s="1074">
        <f>+'[18]Bldg+Dev'!S3831</f>
        <v>0</v>
      </c>
      <c r="D3019" s="1063"/>
      <c r="F3019" s="1076"/>
      <c r="G3019" s="1063"/>
      <c r="H3019" s="1063"/>
      <c r="I3019" s="1063"/>
      <c r="J3019" s="1063"/>
      <c r="K3019" s="1063"/>
      <c r="L3019" s="1063"/>
      <c r="M3019" s="1063"/>
      <c r="N3019" s="1063"/>
      <c r="O3019" s="1063"/>
      <c r="P3019" s="1063"/>
      <c r="Q3019" s="1063"/>
      <c r="R3019" s="1063"/>
      <c r="S3019" s="1063"/>
      <c r="T3019" s="1063"/>
      <c r="U3019" s="1063"/>
      <c r="V3019" s="1063"/>
      <c r="W3019" s="1063"/>
      <c r="X3019" s="1063"/>
      <c r="Y3019" s="1063"/>
      <c r="Z3019" s="1063"/>
      <c r="AA3019" s="1063"/>
      <c r="AB3019" s="1063"/>
      <c r="AC3019" s="1063"/>
      <c r="AD3019" s="1063"/>
      <c r="AE3019" s="1063"/>
      <c r="AF3019" s="1063"/>
      <c r="AG3019" s="1063"/>
      <c r="AH3019" s="1063"/>
      <c r="AI3019" s="1063"/>
      <c r="AJ3019" s="1063"/>
      <c r="AK3019" s="1063"/>
      <c r="AL3019" s="1063"/>
      <c r="AM3019" s="1063"/>
      <c r="AN3019" s="1063"/>
      <c r="AO3019" s="1063"/>
      <c r="AP3019" s="1063"/>
      <c r="AQ3019" s="1063"/>
      <c r="AR3019" s="1063"/>
      <c r="AS3019" s="1063"/>
      <c r="AT3019" s="1063"/>
      <c r="AU3019" s="1063"/>
      <c r="AV3019" s="1063"/>
    </row>
    <row r="3020" spans="1:48" s="1108" customFormat="1" ht="27.75" customHeight="1">
      <c r="A3020" s="1076"/>
      <c r="B3020" s="1074">
        <f>+'[18]Bldg+Dev'!S3832</f>
        <v>0</v>
      </c>
      <c r="D3020" s="1063"/>
      <c r="F3020" s="1076"/>
      <c r="G3020" s="1063"/>
      <c r="H3020" s="1063"/>
      <c r="I3020" s="1063"/>
      <c r="J3020" s="1063"/>
      <c r="K3020" s="1063"/>
      <c r="L3020" s="1063"/>
      <c r="M3020" s="1063"/>
      <c r="N3020" s="1063"/>
      <c r="O3020" s="1063"/>
      <c r="P3020" s="1063"/>
      <c r="Q3020" s="1063"/>
      <c r="R3020" s="1063"/>
      <c r="S3020" s="1063"/>
      <c r="T3020" s="1063"/>
      <c r="U3020" s="1063"/>
      <c r="V3020" s="1063"/>
      <c r="W3020" s="1063"/>
      <c r="X3020" s="1063"/>
      <c r="Y3020" s="1063"/>
      <c r="Z3020" s="1063"/>
      <c r="AA3020" s="1063"/>
      <c r="AB3020" s="1063"/>
      <c r="AC3020" s="1063"/>
      <c r="AD3020" s="1063"/>
      <c r="AE3020" s="1063"/>
      <c r="AF3020" s="1063"/>
      <c r="AG3020" s="1063"/>
      <c r="AH3020" s="1063"/>
      <c r="AI3020" s="1063"/>
      <c r="AJ3020" s="1063"/>
      <c r="AK3020" s="1063"/>
      <c r="AL3020" s="1063"/>
      <c r="AM3020" s="1063"/>
      <c r="AN3020" s="1063"/>
      <c r="AO3020" s="1063"/>
      <c r="AP3020" s="1063"/>
      <c r="AQ3020" s="1063"/>
      <c r="AR3020" s="1063"/>
      <c r="AS3020" s="1063"/>
      <c r="AT3020" s="1063"/>
      <c r="AU3020" s="1063"/>
      <c r="AV3020" s="1063"/>
    </row>
    <row r="3021" spans="1:48" s="1108" customFormat="1" ht="27.75" customHeight="1">
      <c r="A3021" s="1076"/>
      <c r="B3021" s="1074">
        <f>+'[18]Bldg+Dev'!S3833</f>
        <v>0</v>
      </c>
      <c r="D3021" s="1063"/>
      <c r="F3021" s="1076"/>
      <c r="G3021" s="1063"/>
      <c r="H3021" s="1063"/>
      <c r="I3021" s="1063"/>
      <c r="J3021" s="1063"/>
      <c r="K3021" s="1063"/>
      <c r="L3021" s="1063"/>
      <c r="M3021" s="1063"/>
      <c r="N3021" s="1063"/>
      <c r="O3021" s="1063"/>
      <c r="P3021" s="1063"/>
      <c r="Q3021" s="1063"/>
      <c r="R3021" s="1063"/>
      <c r="S3021" s="1063"/>
      <c r="T3021" s="1063"/>
      <c r="U3021" s="1063"/>
      <c r="V3021" s="1063"/>
      <c r="W3021" s="1063"/>
      <c r="X3021" s="1063"/>
      <c r="Y3021" s="1063"/>
      <c r="Z3021" s="1063"/>
      <c r="AA3021" s="1063"/>
      <c r="AB3021" s="1063"/>
      <c r="AC3021" s="1063"/>
      <c r="AD3021" s="1063"/>
      <c r="AE3021" s="1063"/>
      <c r="AF3021" s="1063"/>
      <c r="AG3021" s="1063"/>
      <c r="AH3021" s="1063"/>
      <c r="AI3021" s="1063"/>
      <c r="AJ3021" s="1063"/>
      <c r="AK3021" s="1063"/>
      <c r="AL3021" s="1063"/>
      <c r="AM3021" s="1063"/>
      <c r="AN3021" s="1063"/>
      <c r="AO3021" s="1063"/>
      <c r="AP3021" s="1063"/>
      <c r="AQ3021" s="1063"/>
      <c r="AR3021" s="1063"/>
      <c r="AS3021" s="1063"/>
      <c r="AT3021" s="1063"/>
      <c r="AU3021" s="1063"/>
      <c r="AV3021" s="1063"/>
    </row>
    <row r="3022" spans="1:48" s="1108" customFormat="1" ht="27.75" customHeight="1">
      <c r="A3022" s="1076"/>
      <c r="B3022" s="1074">
        <f>+'[18]Bldg+Dev'!S3834</f>
        <v>0</v>
      </c>
      <c r="D3022" s="1063"/>
      <c r="F3022" s="1076"/>
      <c r="G3022" s="1063"/>
      <c r="H3022" s="1063"/>
      <c r="I3022" s="1063"/>
      <c r="J3022" s="1063"/>
      <c r="K3022" s="1063"/>
      <c r="L3022" s="1063"/>
      <c r="M3022" s="1063"/>
      <c r="N3022" s="1063"/>
      <c r="O3022" s="1063"/>
      <c r="P3022" s="1063"/>
      <c r="Q3022" s="1063"/>
      <c r="R3022" s="1063"/>
      <c r="S3022" s="1063"/>
      <c r="T3022" s="1063"/>
      <c r="U3022" s="1063"/>
      <c r="V3022" s="1063"/>
      <c r="W3022" s="1063"/>
      <c r="X3022" s="1063"/>
      <c r="Y3022" s="1063"/>
      <c r="Z3022" s="1063"/>
      <c r="AA3022" s="1063"/>
      <c r="AB3022" s="1063"/>
      <c r="AC3022" s="1063"/>
      <c r="AD3022" s="1063"/>
      <c r="AE3022" s="1063"/>
      <c r="AF3022" s="1063"/>
      <c r="AG3022" s="1063"/>
      <c r="AH3022" s="1063"/>
      <c r="AI3022" s="1063"/>
      <c r="AJ3022" s="1063"/>
      <c r="AK3022" s="1063"/>
      <c r="AL3022" s="1063"/>
      <c r="AM3022" s="1063"/>
      <c r="AN3022" s="1063"/>
      <c r="AO3022" s="1063"/>
      <c r="AP3022" s="1063"/>
      <c r="AQ3022" s="1063"/>
      <c r="AR3022" s="1063"/>
      <c r="AS3022" s="1063"/>
      <c r="AT3022" s="1063"/>
      <c r="AU3022" s="1063"/>
      <c r="AV3022" s="1063"/>
    </row>
    <row r="3023" spans="1:48" s="1108" customFormat="1" ht="27.75" customHeight="1">
      <c r="A3023" s="1076"/>
      <c r="B3023" s="1074">
        <f>+'[18]Bldg+Dev'!S3835</f>
        <v>0</v>
      </c>
      <c r="D3023" s="1063"/>
      <c r="F3023" s="1076"/>
      <c r="G3023" s="1063"/>
      <c r="H3023" s="1063"/>
      <c r="I3023" s="1063"/>
      <c r="J3023" s="1063"/>
      <c r="K3023" s="1063"/>
      <c r="L3023" s="1063"/>
      <c r="M3023" s="1063"/>
      <c r="N3023" s="1063"/>
      <c r="O3023" s="1063"/>
      <c r="P3023" s="1063"/>
      <c r="Q3023" s="1063"/>
      <c r="R3023" s="1063"/>
      <c r="S3023" s="1063"/>
      <c r="T3023" s="1063"/>
      <c r="U3023" s="1063"/>
      <c r="V3023" s="1063"/>
      <c r="W3023" s="1063"/>
      <c r="X3023" s="1063"/>
      <c r="Y3023" s="1063"/>
      <c r="Z3023" s="1063"/>
      <c r="AA3023" s="1063"/>
      <c r="AB3023" s="1063"/>
      <c r="AC3023" s="1063"/>
      <c r="AD3023" s="1063"/>
      <c r="AE3023" s="1063"/>
      <c r="AF3023" s="1063"/>
      <c r="AG3023" s="1063"/>
      <c r="AH3023" s="1063"/>
      <c r="AI3023" s="1063"/>
      <c r="AJ3023" s="1063"/>
      <c r="AK3023" s="1063"/>
      <c r="AL3023" s="1063"/>
      <c r="AM3023" s="1063"/>
      <c r="AN3023" s="1063"/>
      <c r="AO3023" s="1063"/>
      <c r="AP3023" s="1063"/>
      <c r="AQ3023" s="1063"/>
      <c r="AR3023" s="1063"/>
      <c r="AS3023" s="1063"/>
      <c r="AT3023" s="1063"/>
      <c r="AU3023" s="1063"/>
      <c r="AV3023" s="1063"/>
    </row>
    <row r="3024" spans="1:48" s="1108" customFormat="1" ht="27.75" customHeight="1">
      <c r="A3024" s="1076"/>
      <c r="B3024" s="1074">
        <f>+'[18]Bldg+Dev'!S3836</f>
        <v>0</v>
      </c>
      <c r="D3024" s="1063"/>
      <c r="F3024" s="1076"/>
      <c r="G3024" s="1063"/>
      <c r="H3024" s="1063"/>
      <c r="I3024" s="1063"/>
      <c r="J3024" s="1063"/>
      <c r="K3024" s="1063"/>
      <c r="L3024" s="1063"/>
      <c r="M3024" s="1063"/>
      <c r="N3024" s="1063"/>
      <c r="O3024" s="1063"/>
      <c r="P3024" s="1063"/>
      <c r="Q3024" s="1063"/>
      <c r="R3024" s="1063"/>
      <c r="S3024" s="1063"/>
      <c r="T3024" s="1063"/>
      <c r="U3024" s="1063"/>
      <c r="V3024" s="1063"/>
      <c r="W3024" s="1063"/>
      <c r="X3024" s="1063"/>
      <c r="Y3024" s="1063"/>
      <c r="Z3024" s="1063"/>
      <c r="AA3024" s="1063"/>
      <c r="AB3024" s="1063"/>
      <c r="AC3024" s="1063"/>
      <c r="AD3024" s="1063"/>
      <c r="AE3024" s="1063"/>
      <c r="AF3024" s="1063"/>
      <c r="AG3024" s="1063"/>
      <c r="AH3024" s="1063"/>
      <c r="AI3024" s="1063"/>
      <c r="AJ3024" s="1063"/>
      <c r="AK3024" s="1063"/>
      <c r="AL3024" s="1063"/>
      <c r="AM3024" s="1063"/>
      <c r="AN3024" s="1063"/>
      <c r="AO3024" s="1063"/>
      <c r="AP3024" s="1063"/>
      <c r="AQ3024" s="1063"/>
      <c r="AR3024" s="1063"/>
      <c r="AS3024" s="1063"/>
      <c r="AT3024" s="1063"/>
      <c r="AU3024" s="1063"/>
      <c r="AV3024" s="1063"/>
    </row>
    <row r="3025" spans="1:48" s="1108" customFormat="1" ht="27.75" customHeight="1">
      <c r="A3025" s="1076"/>
      <c r="B3025" s="1074">
        <f>+'[18]Bldg+Dev'!S3837</f>
        <v>0</v>
      </c>
      <c r="D3025" s="1063"/>
      <c r="F3025" s="1076"/>
      <c r="G3025" s="1063"/>
      <c r="H3025" s="1063"/>
      <c r="I3025" s="1063"/>
      <c r="J3025" s="1063"/>
      <c r="K3025" s="1063"/>
      <c r="L3025" s="1063"/>
      <c r="M3025" s="1063"/>
      <c r="N3025" s="1063"/>
      <c r="O3025" s="1063"/>
      <c r="P3025" s="1063"/>
      <c r="Q3025" s="1063"/>
      <c r="R3025" s="1063"/>
      <c r="S3025" s="1063"/>
      <c r="T3025" s="1063"/>
      <c r="U3025" s="1063"/>
      <c r="V3025" s="1063"/>
      <c r="W3025" s="1063"/>
      <c r="X3025" s="1063"/>
      <c r="Y3025" s="1063"/>
      <c r="Z3025" s="1063"/>
      <c r="AA3025" s="1063"/>
      <c r="AB3025" s="1063"/>
      <c r="AC3025" s="1063"/>
      <c r="AD3025" s="1063"/>
      <c r="AE3025" s="1063"/>
      <c r="AF3025" s="1063"/>
      <c r="AG3025" s="1063"/>
      <c r="AH3025" s="1063"/>
      <c r="AI3025" s="1063"/>
      <c r="AJ3025" s="1063"/>
      <c r="AK3025" s="1063"/>
      <c r="AL3025" s="1063"/>
      <c r="AM3025" s="1063"/>
      <c r="AN3025" s="1063"/>
      <c r="AO3025" s="1063"/>
      <c r="AP3025" s="1063"/>
      <c r="AQ3025" s="1063"/>
      <c r="AR3025" s="1063"/>
      <c r="AS3025" s="1063"/>
      <c r="AT3025" s="1063"/>
      <c r="AU3025" s="1063"/>
      <c r="AV3025" s="1063"/>
    </row>
    <row r="3026" spans="1:48" s="1108" customFormat="1" ht="27.75" customHeight="1">
      <c r="A3026" s="1076"/>
      <c r="B3026" s="1074">
        <f>+'[18]Bldg+Dev'!S3838</f>
        <v>0</v>
      </c>
      <c r="D3026" s="1063"/>
      <c r="F3026" s="1076"/>
      <c r="G3026" s="1063"/>
      <c r="H3026" s="1063"/>
      <c r="I3026" s="1063"/>
      <c r="J3026" s="1063"/>
      <c r="K3026" s="1063"/>
      <c r="L3026" s="1063"/>
      <c r="M3026" s="1063"/>
      <c r="N3026" s="1063"/>
      <c r="O3026" s="1063"/>
      <c r="P3026" s="1063"/>
      <c r="Q3026" s="1063"/>
      <c r="R3026" s="1063"/>
      <c r="S3026" s="1063"/>
      <c r="T3026" s="1063"/>
      <c r="U3026" s="1063"/>
      <c r="V3026" s="1063"/>
      <c r="W3026" s="1063"/>
      <c r="X3026" s="1063"/>
      <c r="Y3026" s="1063"/>
      <c r="Z3026" s="1063"/>
      <c r="AA3026" s="1063"/>
      <c r="AB3026" s="1063"/>
      <c r="AC3026" s="1063"/>
      <c r="AD3026" s="1063"/>
      <c r="AE3026" s="1063"/>
      <c r="AF3026" s="1063"/>
      <c r="AG3026" s="1063"/>
      <c r="AH3026" s="1063"/>
      <c r="AI3026" s="1063"/>
      <c r="AJ3026" s="1063"/>
      <c r="AK3026" s="1063"/>
      <c r="AL3026" s="1063"/>
      <c r="AM3026" s="1063"/>
      <c r="AN3026" s="1063"/>
      <c r="AO3026" s="1063"/>
      <c r="AP3026" s="1063"/>
      <c r="AQ3026" s="1063"/>
      <c r="AR3026" s="1063"/>
      <c r="AS3026" s="1063"/>
      <c r="AT3026" s="1063"/>
      <c r="AU3026" s="1063"/>
      <c r="AV3026" s="1063"/>
    </row>
    <row r="3027" spans="1:48" s="1108" customFormat="1" ht="27.75" customHeight="1">
      <c r="A3027" s="1076"/>
      <c r="B3027" s="1074">
        <f>+'[18]Bldg+Dev'!S3839</f>
        <v>0</v>
      </c>
      <c r="D3027" s="1063"/>
      <c r="F3027" s="1076"/>
      <c r="G3027" s="1063"/>
      <c r="H3027" s="1063"/>
      <c r="I3027" s="1063"/>
      <c r="J3027" s="1063"/>
      <c r="K3027" s="1063"/>
      <c r="L3027" s="1063"/>
      <c r="M3027" s="1063"/>
      <c r="N3027" s="1063"/>
      <c r="O3027" s="1063"/>
      <c r="P3027" s="1063"/>
      <c r="Q3027" s="1063"/>
      <c r="R3027" s="1063"/>
      <c r="S3027" s="1063"/>
      <c r="T3027" s="1063"/>
      <c r="U3027" s="1063"/>
      <c r="V3027" s="1063"/>
      <c r="W3027" s="1063"/>
      <c r="X3027" s="1063"/>
      <c r="Y3027" s="1063"/>
      <c r="Z3027" s="1063"/>
      <c r="AA3027" s="1063"/>
      <c r="AB3027" s="1063"/>
      <c r="AC3027" s="1063"/>
      <c r="AD3027" s="1063"/>
      <c r="AE3027" s="1063"/>
      <c r="AF3027" s="1063"/>
      <c r="AG3027" s="1063"/>
      <c r="AH3027" s="1063"/>
      <c r="AI3027" s="1063"/>
      <c r="AJ3027" s="1063"/>
      <c r="AK3027" s="1063"/>
      <c r="AL3027" s="1063"/>
      <c r="AM3027" s="1063"/>
      <c r="AN3027" s="1063"/>
      <c r="AO3027" s="1063"/>
      <c r="AP3027" s="1063"/>
      <c r="AQ3027" s="1063"/>
      <c r="AR3027" s="1063"/>
      <c r="AS3027" s="1063"/>
      <c r="AT3027" s="1063"/>
      <c r="AU3027" s="1063"/>
      <c r="AV3027" s="1063"/>
    </row>
    <row r="3028" spans="1:48" s="1108" customFormat="1" ht="27.75" customHeight="1">
      <c r="A3028" s="1076"/>
      <c r="B3028" s="1074">
        <f>+'[18]Bldg+Dev'!S3840</f>
        <v>0</v>
      </c>
      <c r="D3028" s="1063"/>
      <c r="F3028" s="1076"/>
      <c r="G3028" s="1063"/>
      <c r="H3028" s="1063"/>
      <c r="I3028" s="1063"/>
      <c r="J3028" s="1063"/>
      <c r="K3028" s="1063"/>
      <c r="L3028" s="1063"/>
      <c r="M3028" s="1063"/>
      <c r="N3028" s="1063"/>
      <c r="O3028" s="1063"/>
      <c r="P3028" s="1063"/>
      <c r="Q3028" s="1063"/>
      <c r="R3028" s="1063"/>
      <c r="S3028" s="1063"/>
      <c r="T3028" s="1063"/>
      <c r="U3028" s="1063"/>
      <c r="V3028" s="1063"/>
      <c r="W3028" s="1063"/>
      <c r="X3028" s="1063"/>
      <c r="Y3028" s="1063"/>
      <c r="Z3028" s="1063"/>
      <c r="AA3028" s="1063"/>
      <c r="AB3028" s="1063"/>
      <c r="AC3028" s="1063"/>
      <c r="AD3028" s="1063"/>
      <c r="AE3028" s="1063"/>
      <c r="AF3028" s="1063"/>
      <c r="AG3028" s="1063"/>
      <c r="AH3028" s="1063"/>
      <c r="AI3028" s="1063"/>
      <c r="AJ3028" s="1063"/>
      <c r="AK3028" s="1063"/>
      <c r="AL3028" s="1063"/>
      <c r="AM3028" s="1063"/>
      <c r="AN3028" s="1063"/>
      <c r="AO3028" s="1063"/>
      <c r="AP3028" s="1063"/>
      <c r="AQ3028" s="1063"/>
      <c r="AR3028" s="1063"/>
      <c r="AS3028" s="1063"/>
      <c r="AT3028" s="1063"/>
      <c r="AU3028" s="1063"/>
      <c r="AV3028" s="1063"/>
    </row>
    <row r="3029" spans="1:48" s="1108" customFormat="1" ht="27.75" customHeight="1">
      <c r="A3029" s="1076"/>
      <c r="B3029" s="1074">
        <f>+'[18]Bldg+Dev'!S3841</f>
        <v>0</v>
      </c>
      <c r="D3029" s="1063"/>
      <c r="F3029" s="1076"/>
      <c r="G3029" s="1063"/>
      <c r="H3029" s="1063"/>
      <c r="I3029" s="1063"/>
      <c r="J3029" s="1063"/>
      <c r="K3029" s="1063"/>
      <c r="L3029" s="1063"/>
      <c r="M3029" s="1063"/>
      <c r="N3029" s="1063"/>
      <c r="O3029" s="1063"/>
      <c r="P3029" s="1063"/>
      <c r="Q3029" s="1063"/>
      <c r="R3029" s="1063"/>
      <c r="S3029" s="1063"/>
      <c r="T3029" s="1063"/>
      <c r="U3029" s="1063"/>
      <c r="V3029" s="1063"/>
      <c r="W3029" s="1063"/>
      <c r="X3029" s="1063"/>
      <c r="Y3029" s="1063"/>
      <c r="Z3029" s="1063"/>
      <c r="AA3029" s="1063"/>
      <c r="AB3029" s="1063"/>
      <c r="AC3029" s="1063"/>
      <c r="AD3029" s="1063"/>
      <c r="AE3029" s="1063"/>
      <c r="AF3029" s="1063"/>
      <c r="AG3029" s="1063"/>
      <c r="AH3029" s="1063"/>
      <c r="AI3029" s="1063"/>
      <c r="AJ3029" s="1063"/>
      <c r="AK3029" s="1063"/>
      <c r="AL3029" s="1063"/>
      <c r="AM3029" s="1063"/>
      <c r="AN3029" s="1063"/>
      <c r="AO3029" s="1063"/>
      <c r="AP3029" s="1063"/>
      <c r="AQ3029" s="1063"/>
      <c r="AR3029" s="1063"/>
      <c r="AS3029" s="1063"/>
      <c r="AT3029" s="1063"/>
      <c r="AU3029" s="1063"/>
      <c r="AV3029" s="1063"/>
    </row>
    <row r="3030" spans="1:48" s="1108" customFormat="1" ht="27.75" customHeight="1">
      <c r="A3030" s="1076"/>
      <c r="B3030" s="1074">
        <f>+'[18]Bldg+Dev'!S3842</f>
        <v>0</v>
      </c>
      <c r="D3030" s="1063"/>
      <c r="F3030" s="1076"/>
      <c r="G3030" s="1063"/>
      <c r="H3030" s="1063"/>
      <c r="I3030" s="1063"/>
      <c r="J3030" s="1063"/>
      <c r="K3030" s="1063"/>
      <c r="L3030" s="1063"/>
      <c r="M3030" s="1063"/>
      <c r="N3030" s="1063"/>
      <c r="O3030" s="1063"/>
      <c r="P3030" s="1063"/>
      <c r="Q3030" s="1063"/>
      <c r="R3030" s="1063"/>
      <c r="S3030" s="1063"/>
      <c r="T3030" s="1063"/>
      <c r="U3030" s="1063"/>
      <c r="V3030" s="1063"/>
      <c r="W3030" s="1063"/>
      <c r="X3030" s="1063"/>
      <c r="Y3030" s="1063"/>
      <c r="Z3030" s="1063"/>
      <c r="AA3030" s="1063"/>
      <c r="AB3030" s="1063"/>
      <c r="AC3030" s="1063"/>
      <c r="AD3030" s="1063"/>
      <c r="AE3030" s="1063"/>
      <c r="AF3030" s="1063"/>
      <c r="AG3030" s="1063"/>
      <c r="AH3030" s="1063"/>
      <c r="AI3030" s="1063"/>
      <c r="AJ3030" s="1063"/>
      <c r="AK3030" s="1063"/>
      <c r="AL3030" s="1063"/>
      <c r="AM3030" s="1063"/>
      <c r="AN3030" s="1063"/>
      <c r="AO3030" s="1063"/>
      <c r="AP3030" s="1063"/>
      <c r="AQ3030" s="1063"/>
      <c r="AR3030" s="1063"/>
      <c r="AS3030" s="1063"/>
      <c r="AT3030" s="1063"/>
      <c r="AU3030" s="1063"/>
      <c r="AV3030" s="1063"/>
    </row>
    <row r="3031" spans="1:48" s="1108" customFormat="1" ht="27.75" customHeight="1">
      <c r="A3031" s="1076"/>
      <c r="B3031" s="1074">
        <f>+'[18]Bldg+Dev'!S3843</f>
        <v>0</v>
      </c>
      <c r="D3031" s="1063"/>
      <c r="F3031" s="1076"/>
      <c r="G3031" s="1063"/>
      <c r="H3031" s="1063"/>
      <c r="I3031" s="1063"/>
      <c r="J3031" s="1063"/>
      <c r="K3031" s="1063"/>
      <c r="L3031" s="1063"/>
      <c r="M3031" s="1063"/>
      <c r="N3031" s="1063"/>
      <c r="O3031" s="1063"/>
      <c r="P3031" s="1063"/>
      <c r="Q3031" s="1063"/>
      <c r="R3031" s="1063"/>
      <c r="S3031" s="1063"/>
      <c r="T3031" s="1063"/>
      <c r="U3031" s="1063"/>
      <c r="V3031" s="1063"/>
      <c r="W3031" s="1063"/>
      <c r="X3031" s="1063"/>
      <c r="Y3031" s="1063"/>
      <c r="Z3031" s="1063"/>
      <c r="AA3031" s="1063"/>
      <c r="AB3031" s="1063"/>
      <c r="AC3031" s="1063"/>
      <c r="AD3031" s="1063"/>
      <c r="AE3031" s="1063"/>
      <c r="AF3031" s="1063"/>
      <c r="AG3031" s="1063"/>
      <c r="AH3031" s="1063"/>
      <c r="AI3031" s="1063"/>
      <c r="AJ3031" s="1063"/>
      <c r="AK3031" s="1063"/>
      <c r="AL3031" s="1063"/>
      <c r="AM3031" s="1063"/>
      <c r="AN3031" s="1063"/>
      <c r="AO3031" s="1063"/>
      <c r="AP3031" s="1063"/>
      <c r="AQ3031" s="1063"/>
      <c r="AR3031" s="1063"/>
      <c r="AS3031" s="1063"/>
      <c r="AT3031" s="1063"/>
      <c r="AU3031" s="1063"/>
      <c r="AV3031" s="1063"/>
    </row>
    <row r="3032" spans="1:48" s="1108" customFormat="1" ht="27.75" customHeight="1">
      <c r="A3032" s="1076"/>
      <c r="B3032" s="1074">
        <f>+'[18]Bldg+Dev'!S3844</f>
        <v>0</v>
      </c>
      <c r="D3032" s="1063"/>
      <c r="F3032" s="1076"/>
      <c r="G3032" s="1063"/>
      <c r="H3032" s="1063"/>
      <c r="I3032" s="1063"/>
      <c r="J3032" s="1063"/>
      <c r="K3032" s="1063"/>
      <c r="L3032" s="1063"/>
      <c r="M3032" s="1063"/>
      <c r="N3032" s="1063"/>
      <c r="O3032" s="1063"/>
      <c r="P3032" s="1063"/>
      <c r="Q3032" s="1063"/>
      <c r="R3032" s="1063"/>
      <c r="S3032" s="1063"/>
      <c r="T3032" s="1063"/>
      <c r="U3032" s="1063"/>
      <c r="V3032" s="1063"/>
      <c r="W3032" s="1063"/>
      <c r="X3032" s="1063"/>
      <c r="Y3032" s="1063"/>
      <c r="Z3032" s="1063"/>
      <c r="AA3032" s="1063"/>
      <c r="AB3032" s="1063"/>
      <c r="AC3032" s="1063"/>
      <c r="AD3032" s="1063"/>
      <c r="AE3032" s="1063"/>
      <c r="AF3032" s="1063"/>
      <c r="AG3032" s="1063"/>
      <c r="AH3032" s="1063"/>
      <c r="AI3032" s="1063"/>
      <c r="AJ3032" s="1063"/>
      <c r="AK3032" s="1063"/>
      <c r="AL3032" s="1063"/>
      <c r="AM3032" s="1063"/>
      <c r="AN3032" s="1063"/>
      <c r="AO3032" s="1063"/>
      <c r="AP3032" s="1063"/>
      <c r="AQ3032" s="1063"/>
      <c r="AR3032" s="1063"/>
      <c r="AS3032" s="1063"/>
      <c r="AT3032" s="1063"/>
      <c r="AU3032" s="1063"/>
      <c r="AV3032" s="1063"/>
    </row>
    <row r="3033" spans="1:48" s="1108" customFormat="1" ht="27.75" customHeight="1">
      <c r="A3033" s="1076"/>
      <c r="B3033" s="1074">
        <f>+'[18]Bldg+Dev'!S3845</f>
        <v>0</v>
      </c>
      <c r="D3033" s="1063"/>
      <c r="F3033" s="1076"/>
      <c r="G3033" s="1063"/>
      <c r="H3033" s="1063"/>
      <c r="I3033" s="1063"/>
      <c r="J3033" s="1063"/>
      <c r="K3033" s="1063"/>
      <c r="L3033" s="1063"/>
      <c r="M3033" s="1063"/>
      <c r="N3033" s="1063"/>
      <c r="O3033" s="1063"/>
      <c r="P3033" s="1063"/>
      <c r="Q3033" s="1063"/>
      <c r="R3033" s="1063"/>
      <c r="S3033" s="1063"/>
      <c r="T3033" s="1063"/>
      <c r="U3033" s="1063"/>
      <c r="V3033" s="1063"/>
      <c r="W3033" s="1063"/>
      <c r="X3033" s="1063"/>
      <c r="Y3033" s="1063"/>
      <c r="Z3033" s="1063"/>
      <c r="AA3033" s="1063"/>
      <c r="AB3033" s="1063"/>
      <c r="AC3033" s="1063"/>
      <c r="AD3033" s="1063"/>
      <c r="AE3033" s="1063"/>
      <c r="AF3033" s="1063"/>
      <c r="AG3033" s="1063"/>
      <c r="AH3033" s="1063"/>
      <c r="AI3033" s="1063"/>
      <c r="AJ3033" s="1063"/>
      <c r="AK3033" s="1063"/>
      <c r="AL3033" s="1063"/>
      <c r="AM3033" s="1063"/>
      <c r="AN3033" s="1063"/>
      <c r="AO3033" s="1063"/>
      <c r="AP3033" s="1063"/>
      <c r="AQ3033" s="1063"/>
      <c r="AR3033" s="1063"/>
      <c r="AS3033" s="1063"/>
      <c r="AT3033" s="1063"/>
      <c r="AU3033" s="1063"/>
      <c r="AV3033" s="1063"/>
    </row>
    <row r="3034" spans="1:48" s="1108" customFormat="1" ht="27.75" customHeight="1">
      <c r="A3034" s="1076"/>
      <c r="B3034" s="1074">
        <f>+'[18]Bldg+Dev'!S3846</f>
        <v>0</v>
      </c>
      <c r="D3034" s="1063"/>
      <c r="F3034" s="1076"/>
      <c r="G3034" s="1063"/>
      <c r="H3034" s="1063"/>
      <c r="I3034" s="1063"/>
      <c r="J3034" s="1063"/>
      <c r="K3034" s="1063"/>
      <c r="L3034" s="1063"/>
      <c r="M3034" s="1063"/>
      <c r="N3034" s="1063"/>
      <c r="O3034" s="1063"/>
      <c r="P3034" s="1063"/>
      <c r="Q3034" s="1063"/>
      <c r="R3034" s="1063"/>
      <c r="S3034" s="1063"/>
      <c r="T3034" s="1063"/>
      <c r="U3034" s="1063"/>
      <c r="V3034" s="1063"/>
      <c r="W3034" s="1063"/>
      <c r="X3034" s="1063"/>
      <c r="Y3034" s="1063"/>
      <c r="Z3034" s="1063"/>
      <c r="AA3034" s="1063"/>
      <c r="AB3034" s="1063"/>
      <c r="AC3034" s="1063"/>
      <c r="AD3034" s="1063"/>
      <c r="AE3034" s="1063"/>
      <c r="AF3034" s="1063"/>
      <c r="AG3034" s="1063"/>
      <c r="AH3034" s="1063"/>
      <c r="AI3034" s="1063"/>
      <c r="AJ3034" s="1063"/>
      <c r="AK3034" s="1063"/>
      <c r="AL3034" s="1063"/>
      <c r="AM3034" s="1063"/>
      <c r="AN3034" s="1063"/>
      <c r="AO3034" s="1063"/>
      <c r="AP3034" s="1063"/>
      <c r="AQ3034" s="1063"/>
      <c r="AR3034" s="1063"/>
      <c r="AS3034" s="1063"/>
      <c r="AT3034" s="1063"/>
      <c r="AU3034" s="1063"/>
      <c r="AV3034" s="1063"/>
    </row>
    <row r="3035" spans="1:48" s="1108" customFormat="1" ht="27.75" customHeight="1">
      <c r="A3035" s="1076"/>
      <c r="B3035" s="1074">
        <f>+'[18]Bldg+Dev'!S3847</f>
        <v>0</v>
      </c>
      <c r="D3035" s="1063"/>
      <c r="F3035" s="1076"/>
      <c r="G3035" s="1063"/>
      <c r="H3035" s="1063"/>
      <c r="I3035" s="1063"/>
      <c r="J3035" s="1063"/>
      <c r="K3035" s="1063"/>
      <c r="L3035" s="1063"/>
      <c r="M3035" s="1063"/>
      <c r="N3035" s="1063"/>
      <c r="O3035" s="1063"/>
      <c r="P3035" s="1063"/>
      <c r="Q3035" s="1063"/>
      <c r="R3035" s="1063"/>
      <c r="S3035" s="1063"/>
      <c r="T3035" s="1063"/>
      <c r="U3035" s="1063"/>
      <c r="V3035" s="1063"/>
      <c r="W3035" s="1063"/>
      <c r="X3035" s="1063"/>
      <c r="Y3035" s="1063"/>
      <c r="Z3035" s="1063"/>
      <c r="AA3035" s="1063"/>
      <c r="AB3035" s="1063"/>
      <c r="AC3035" s="1063"/>
      <c r="AD3035" s="1063"/>
      <c r="AE3035" s="1063"/>
      <c r="AF3035" s="1063"/>
      <c r="AG3035" s="1063"/>
      <c r="AH3035" s="1063"/>
      <c r="AI3035" s="1063"/>
      <c r="AJ3035" s="1063"/>
      <c r="AK3035" s="1063"/>
      <c r="AL3035" s="1063"/>
      <c r="AM3035" s="1063"/>
      <c r="AN3035" s="1063"/>
      <c r="AO3035" s="1063"/>
      <c r="AP3035" s="1063"/>
      <c r="AQ3035" s="1063"/>
      <c r="AR3035" s="1063"/>
      <c r="AS3035" s="1063"/>
      <c r="AT3035" s="1063"/>
      <c r="AU3035" s="1063"/>
      <c r="AV3035" s="1063"/>
    </row>
    <row r="3036" spans="1:48" s="1108" customFormat="1" ht="27.75" customHeight="1">
      <c r="A3036" s="1076"/>
      <c r="B3036" s="1074">
        <f>+'[18]Bldg+Dev'!S3848</f>
        <v>0</v>
      </c>
      <c r="D3036" s="1063"/>
      <c r="F3036" s="1076"/>
      <c r="G3036" s="1063"/>
      <c r="H3036" s="1063"/>
      <c r="I3036" s="1063"/>
      <c r="J3036" s="1063"/>
      <c r="K3036" s="1063"/>
      <c r="L3036" s="1063"/>
      <c r="M3036" s="1063"/>
      <c r="N3036" s="1063"/>
      <c r="O3036" s="1063"/>
      <c r="P3036" s="1063"/>
      <c r="Q3036" s="1063"/>
      <c r="R3036" s="1063"/>
      <c r="S3036" s="1063"/>
      <c r="T3036" s="1063"/>
      <c r="U3036" s="1063"/>
      <c r="V3036" s="1063"/>
      <c r="W3036" s="1063"/>
      <c r="X3036" s="1063"/>
      <c r="Y3036" s="1063"/>
      <c r="Z3036" s="1063"/>
      <c r="AA3036" s="1063"/>
      <c r="AB3036" s="1063"/>
      <c r="AC3036" s="1063"/>
      <c r="AD3036" s="1063"/>
      <c r="AE3036" s="1063"/>
      <c r="AF3036" s="1063"/>
      <c r="AG3036" s="1063"/>
      <c r="AH3036" s="1063"/>
      <c r="AI3036" s="1063"/>
      <c r="AJ3036" s="1063"/>
      <c r="AK3036" s="1063"/>
      <c r="AL3036" s="1063"/>
      <c r="AM3036" s="1063"/>
      <c r="AN3036" s="1063"/>
      <c r="AO3036" s="1063"/>
      <c r="AP3036" s="1063"/>
      <c r="AQ3036" s="1063"/>
      <c r="AR3036" s="1063"/>
      <c r="AS3036" s="1063"/>
      <c r="AT3036" s="1063"/>
      <c r="AU3036" s="1063"/>
      <c r="AV3036" s="1063"/>
    </row>
    <row r="3037" spans="1:48" s="1108" customFormat="1" ht="27.75" customHeight="1">
      <c r="A3037" s="1076"/>
      <c r="B3037" s="1074">
        <f>+'[18]Bldg+Dev'!S3849</f>
        <v>0</v>
      </c>
      <c r="D3037" s="1063"/>
      <c r="F3037" s="1076"/>
      <c r="G3037" s="1063"/>
      <c r="H3037" s="1063"/>
      <c r="I3037" s="1063"/>
      <c r="J3037" s="1063"/>
      <c r="K3037" s="1063"/>
      <c r="L3037" s="1063"/>
      <c r="M3037" s="1063"/>
      <c r="N3037" s="1063"/>
      <c r="O3037" s="1063"/>
      <c r="P3037" s="1063"/>
      <c r="Q3037" s="1063"/>
      <c r="R3037" s="1063"/>
      <c r="S3037" s="1063"/>
      <c r="T3037" s="1063"/>
      <c r="U3037" s="1063"/>
      <c r="V3037" s="1063"/>
      <c r="W3037" s="1063"/>
      <c r="X3037" s="1063"/>
      <c r="Y3037" s="1063"/>
      <c r="Z3037" s="1063"/>
      <c r="AA3037" s="1063"/>
      <c r="AB3037" s="1063"/>
      <c r="AC3037" s="1063"/>
      <c r="AD3037" s="1063"/>
      <c r="AE3037" s="1063"/>
      <c r="AF3037" s="1063"/>
      <c r="AG3037" s="1063"/>
      <c r="AH3037" s="1063"/>
      <c r="AI3037" s="1063"/>
      <c r="AJ3037" s="1063"/>
      <c r="AK3037" s="1063"/>
      <c r="AL3037" s="1063"/>
      <c r="AM3037" s="1063"/>
      <c r="AN3037" s="1063"/>
      <c r="AO3037" s="1063"/>
      <c r="AP3037" s="1063"/>
      <c r="AQ3037" s="1063"/>
      <c r="AR3037" s="1063"/>
      <c r="AS3037" s="1063"/>
      <c r="AT3037" s="1063"/>
      <c r="AU3037" s="1063"/>
      <c r="AV3037" s="1063"/>
    </row>
    <row r="3038" spans="1:48" s="1108" customFormat="1" ht="27.75" customHeight="1">
      <c r="A3038" s="1076"/>
      <c r="B3038" s="1074">
        <f>+'[18]Bldg+Dev'!S3850</f>
        <v>0</v>
      </c>
      <c r="D3038" s="1063"/>
      <c r="F3038" s="1076"/>
      <c r="G3038" s="1063"/>
      <c r="H3038" s="1063"/>
      <c r="I3038" s="1063"/>
      <c r="J3038" s="1063"/>
      <c r="K3038" s="1063"/>
      <c r="L3038" s="1063"/>
      <c r="M3038" s="1063"/>
      <c r="N3038" s="1063"/>
      <c r="O3038" s="1063"/>
      <c r="P3038" s="1063"/>
      <c r="Q3038" s="1063"/>
      <c r="R3038" s="1063"/>
      <c r="S3038" s="1063"/>
      <c r="T3038" s="1063"/>
      <c r="U3038" s="1063"/>
      <c r="V3038" s="1063"/>
      <c r="W3038" s="1063"/>
      <c r="X3038" s="1063"/>
      <c r="Y3038" s="1063"/>
      <c r="Z3038" s="1063"/>
      <c r="AA3038" s="1063"/>
      <c r="AB3038" s="1063"/>
      <c r="AC3038" s="1063"/>
      <c r="AD3038" s="1063"/>
      <c r="AE3038" s="1063"/>
      <c r="AF3038" s="1063"/>
      <c r="AG3038" s="1063"/>
      <c r="AH3038" s="1063"/>
      <c r="AI3038" s="1063"/>
      <c r="AJ3038" s="1063"/>
      <c r="AK3038" s="1063"/>
      <c r="AL3038" s="1063"/>
      <c r="AM3038" s="1063"/>
      <c r="AN3038" s="1063"/>
      <c r="AO3038" s="1063"/>
      <c r="AP3038" s="1063"/>
      <c r="AQ3038" s="1063"/>
      <c r="AR3038" s="1063"/>
      <c r="AS3038" s="1063"/>
      <c r="AT3038" s="1063"/>
      <c r="AU3038" s="1063"/>
      <c r="AV3038" s="1063"/>
    </row>
    <row r="3039" spans="1:48" s="1108" customFormat="1" ht="27.75" customHeight="1">
      <c r="A3039" s="1076"/>
      <c r="B3039" s="1074">
        <f>+'[18]Bldg+Dev'!S3851</f>
        <v>0</v>
      </c>
      <c r="D3039" s="1063"/>
      <c r="F3039" s="1076"/>
      <c r="G3039" s="1063"/>
      <c r="H3039" s="1063"/>
      <c r="I3039" s="1063"/>
      <c r="J3039" s="1063"/>
      <c r="K3039" s="1063"/>
      <c r="L3039" s="1063"/>
      <c r="M3039" s="1063"/>
      <c r="N3039" s="1063"/>
      <c r="O3039" s="1063"/>
      <c r="P3039" s="1063"/>
      <c r="Q3039" s="1063"/>
      <c r="R3039" s="1063"/>
      <c r="S3039" s="1063"/>
      <c r="T3039" s="1063"/>
      <c r="U3039" s="1063"/>
      <c r="V3039" s="1063"/>
      <c r="W3039" s="1063"/>
      <c r="X3039" s="1063"/>
      <c r="Y3039" s="1063"/>
      <c r="Z3039" s="1063"/>
      <c r="AA3039" s="1063"/>
      <c r="AB3039" s="1063"/>
      <c r="AC3039" s="1063"/>
      <c r="AD3039" s="1063"/>
      <c r="AE3039" s="1063"/>
      <c r="AF3039" s="1063"/>
      <c r="AG3039" s="1063"/>
      <c r="AH3039" s="1063"/>
      <c r="AI3039" s="1063"/>
      <c r="AJ3039" s="1063"/>
      <c r="AK3039" s="1063"/>
      <c r="AL3039" s="1063"/>
      <c r="AM3039" s="1063"/>
      <c r="AN3039" s="1063"/>
      <c r="AO3039" s="1063"/>
      <c r="AP3039" s="1063"/>
      <c r="AQ3039" s="1063"/>
      <c r="AR3039" s="1063"/>
      <c r="AS3039" s="1063"/>
      <c r="AT3039" s="1063"/>
      <c r="AU3039" s="1063"/>
      <c r="AV3039" s="1063"/>
    </row>
    <row r="3040" spans="1:48" s="1108" customFormat="1" ht="27.75" customHeight="1">
      <c r="A3040" s="1076"/>
      <c r="B3040" s="1074">
        <f>+'[18]Bldg+Dev'!S3852</f>
        <v>0</v>
      </c>
      <c r="D3040" s="1063"/>
      <c r="F3040" s="1076"/>
      <c r="G3040" s="1063"/>
      <c r="H3040" s="1063"/>
      <c r="I3040" s="1063"/>
      <c r="J3040" s="1063"/>
      <c r="K3040" s="1063"/>
      <c r="L3040" s="1063"/>
      <c r="M3040" s="1063"/>
      <c r="N3040" s="1063"/>
      <c r="O3040" s="1063"/>
      <c r="P3040" s="1063"/>
      <c r="Q3040" s="1063"/>
      <c r="R3040" s="1063"/>
      <c r="S3040" s="1063"/>
      <c r="T3040" s="1063"/>
      <c r="U3040" s="1063"/>
      <c r="V3040" s="1063"/>
      <c r="W3040" s="1063"/>
      <c r="X3040" s="1063"/>
      <c r="Y3040" s="1063"/>
      <c r="Z3040" s="1063"/>
      <c r="AA3040" s="1063"/>
      <c r="AB3040" s="1063"/>
      <c r="AC3040" s="1063"/>
      <c r="AD3040" s="1063"/>
      <c r="AE3040" s="1063"/>
      <c r="AF3040" s="1063"/>
      <c r="AG3040" s="1063"/>
      <c r="AH3040" s="1063"/>
      <c r="AI3040" s="1063"/>
      <c r="AJ3040" s="1063"/>
      <c r="AK3040" s="1063"/>
      <c r="AL3040" s="1063"/>
      <c r="AM3040" s="1063"/>
      <c r="AN3040" s="1063"/>
      <c r="AO3040" s="1063"/>
      <c r="AP3040" s="1063"/>
      <c r="AQ3040" s="1063"/>
      <c r="AR3040" s="1063"/>
      <c r="AS3040" s="1063"/>
      <c r="AT3040" s="1063"/>
      <c r="AU3040" s="1063"/>
      <c r="AV3040" s="1063"/>
    </row>
    <row r="3041" spans="1:48" s="1108" customFormat="1" ht="27.75" customHeight="1">
      <c r="A3041" s="1076"/>
      <c r="B3041" s="1074">
        <f>+'[18]Bldg+Dev'!S3853</f>
        <v>0</v>
      </c>
      <c r="D3041" s="1063"/>
      <c r="F3041" s="1076"/>
      <c r="G3041" s="1063"/>
      <c r="H3041" s="1063"/>
      <c r="I3041" s="1063"/>
      <c r="J3041" s="1063"/>
      <c r="K3041" s="1063"/>
      <c r="L3041" s="1063"/>
      <c r="M3041" s="1063"/>
      <c r="N3041" s="1063"/>
      <c r="O3041" s="1063"/>
      <c r="P3041" s="1063"/>
      <c r="Q3041" s="1063"/>
      <c r="R3041" s="1063"/>
      <c r="S3041" s="1063"/>
      <c r="T3041" s="1063"/>
      <c r="U3041" s="1063"/>
      <c r="V3041" s="1063"/>
      <c r="W3041" s="1063"/>
      <c r="X3041" s="1063"/>
      <c r="Y3041" s="1063"/>
      <c r="Z3041" s="1063"/>
      <c r="AA3041" s="1063"/>
      <c r="AB3041" s="1063"/>
      <c r="AC3041" s="1063"/>
      <c r="AD3041" s="1063"/>
      <c r="AE3041" s="1063"/>
      <c r="AF3041" s="1063"/>
      <c r="AG3041" s="1063"/>
      <c r="AH3041" s="1063"/>
      <c r="AI3041" s="1063"/>
      <c r="AJ3041" s="1063"/>
      <c r="AK3041" s="1063"/>
      <c r="AL3041" s="1063"/>
      <c r="AM3041" s="1063"/>
      <c r="AN3041" s="1063"/>
      <c r="AO3041" s="1063"/>
      <c r="AP3041" s="1063"/>
      <c r="AQ3041" s="1063"/>
      <c r="AR3041" s="1063"/>
      <c r="AS3041" s="1063"/>
      <c r="AT3041" s="1063"/>
      <c r="AU3041" s="1063"/>
      <c r="AV3041" s="1063"/>
    </row>
    <row r="3042" spans="1:48" s="1108" customFormat="1" ht="27.75" customHeight="1">
      <c r="A3042" s="1076"/>
      <c r="B3042" s="1074">
        <f>+'[18]Bldg+Dev'!S3854</f>
        <v>0</v>
      </c>
      <c r="D3042" s="1063"/>
      <c r="F3042" s="1076"/>
      <c r="G3042" s="1063"/>
      <c r="H3042" s="1063"/>
      <c r="I3042" s="1063"/>
      <c r="J3042" s="1063"/>
      <c r="K3042" s="1063"/>
      <c r="L3042" s="1063"/>
      <c r="M3042" s="1063"/>
      <c r="N3042" s="1063"/>
      <c r="O3042" s="1063"/>
      <c r="P3042" s="1063"/>
      <c r="Q3042" s="1063"/>
      <c r="R3042" s="1063"/>
      <c r="S3042" s="1063"/>
      <c r="T3042" s="1063"/>
      <c r="U3042" s="1063"/>
      <c r="V3042" s="1063"/>
      <c r="W3042" s="1063"/>
      <c r="X3042" s="1063"/>
      <c r="Y3042" s="1063"/>
      <c r="Z3042" s="1063"/>
      <c r="AA3042" s="1063"/>
      <c r="AB3042" s="1063"/>
      <c r="AC3042" s="1063"/>
      <c r="AD3042" s="1063"/>
      <c r="AE3042" s="1063"/>
      <c r="AF3042" s="1063"/>
      <c r="AG3042" s="1063"/>
      <c r="AH3042" s="1063"/>
      <c r="AI3042" s="1063"/>
      <c r="AJ3042" s="1063"/>
      <c r="AK3042" s="1063"/>
      <c r="AL3042" s="1063"/>
      <c r="AM3042" s="1063"/>
      <c r="AN3042" s="1063"/>
      <c r="AO3042" s="1063"/>
      <c r="AP3042" s="1063"/>
      <c r="AQ3042" s="1063"/>
      <c r="AR3042" s="1063"/>
      <c r="AS3042" s="1063"/>
      <c r="AT3042" s="1063"/>
      <c r="AU3042" s="1063"/>
      <c r="AV3042" s="1063"/>
    </row>
    <row r="3043" spans="1:48" s="1108" customFormat="1" ht="27.75" customHeight="1">
      <c r="A3043" s="1076"/>
      <c r="B3043" s="1074">
        <f>+'[18]Bldg+Dev'!S3855</f>
        <v>0</v>
      </c>
      <c r="D3043" s="1063"/>
      <c r="F3043" s="1076"/>
      <c r="G3043" s="1063"/>
      <c r="H3043" s="1063"/>
      <c r="I3043" s="1063"/>
      <c r="J3043" s="1063"/>
      <c r="K3043" s="1063"/>
      <c r="L3043" s="1063"/>
      <c r="M3043" s="1063"/>
      <c r="N3043" s="1063"/>
      <c r="O3043" s="1063"/>
      <c r="P3043" s="1063"/>
      <c r="Q3043" s="1063"/>
      <c r="R3043" s="1063"/>
      <c r="S3043" s="1063"/>
      <c r="T3043" s="1063"/>
      <c r="U3043" s="1063"/>
      <c r="V3043" s="1063"/>
      <c r="W3043" s="1063"/>
      <c r="X3043" s="1063"/>
      <c r="Y3043" s="1063"/>
      <c r="Z3043" s="1063"/>
      <c r="AA3043" s="1063"/>
      <c r="AB3043" s="1063"/>
      <c r="AC3043" s="1063"/>
      <c r="AD3043" s="1063"/>
      <c r="AE3043" s="1063"/>
      <c r="AF3043" s="1063"/>
      <c r="AG3043" s="1063"/>
      <c r="AH3043" s="1063"/>
      <c r="AI3043" s="1063"/>
      <c r="AJ3043" s="1063"/>
      <c r="AK3043" s="1063"/>
      <c r="AL3043" s="1063"/>
      <c r="AM3043" s="1063"/>
      <c r="AN3043" s="1063"/>
      <c r="AO3043" s="1063"/>
      <c r="AP3043" s="1063"/>
      <c r="AQ3043" s="1063"/>
      <c r="AR3043" s="1063"/>
      <c r="AS3043" s="1063"/>
      <c r="AT3043" s="1063"/>
      <c r="AU3043" s="1063"/>
      <c r="AV3043" s="1063"/>
    </row>
    <row r="3044" spans="1:48" s="1108" customFormat="1" ht="27.75" customHeight="1">
      <c r="A3044" s="1076"/>
      <c r="B3044" s="1074">
        <f>+'[18]Bldg+Dev'!S3856</f>
        <v>0</v>
      </c>
      <c r="D3044" s="1063"/>
      <c r="F3044" s="1076"/>
      <c r="G3044" s="1063"/>
      <c r="H3044" s="1063"/>
      <c r="I3044" s="1063"/>
      <c r="J3044" s="1063"/>
      <c r="K3044" s="1063"/>
      <c r="L3044" s="1063"/>
      <c r="M3044" s="1063"/>
      <c r="N3044" s="1063"/>
      <c r="O3044" s="1063"/>
      <c r="P3044" s="1063"/>
      <c r="Q3044" s="1063"/>
      <c r="R3044" s="1063"/>
      <c r="S3044" s="1063"/>
      <c r="T3044" s="1063"/>
      <c r="U3044" s="1063"/>
      <c r="V3044" s="1063"/>
      <c r="W3044" s="1063"/>
      <c r="X3044" s="1063"/>
      <c r="Y3044" s="1063"/>
      <c r="Z3044" s="1063"/>
      <c r="AA3044" s="1063"/>
      <c r="AB3044" s="1063"/>
      <c r="AC3044" s="1063"/>
      <c r="AD3044" s="1063"/>
      <c r="AE3044" s="1063"/>
      <c r="AF3044" s="1063"/>
      <c r="AG3044" s="1063"/>
      <c r="AH3044" s="1063"/>
      <c r="AI3044" s="1063"/>
      <c r="AJ3044" s="1063"/>
      <c r="AK3044" s="1063"/>
      <c r="AL3044" s="1063"/>
      <c r="AM3044" s="1063"/>
      <c r="AN3044" s="1063"/>
      <c r="AO3044" s="1063"/>
      <c r="AP3044" s="1063"/>
      <c r="AQ3044" s="1063"/>
      <c r="AR3044" s="1063"/>
      <c r="AS3044" s="1063"/>
      <c r="AT3044" s="1063"/>
      <c r="AU3044" s="1063"/>
      <c r="AV3044" s="1063"/>
    </row>
    <row r="3045" spans="1:48" s="1108" customFormat="1" ht="27.75" customHeight="1">
      <c r="A3045" s="1076"/>
      <c r="B3045" s="1074">
        <f>+'[18]Bldg+Dev'!S3857</f>
        <v>0</v>
      </c>
      <c r="D3045" s="1063"/>
      <c r="F3045" s="1076"/>
      <c r="G3045" s="1063"/>
      <c r="H3045" s="1063"/>
      <c r="I3045" s="1063"/>
      <c r="J3045" s="1063"/>
      <c r="K3045" s="1063"/>
      <c r="L3045" s="1063"/>
      <c r="M3045" s="1063"/>
      <c r="N3045" s="1063"/>
      <c r="O3045" s="1063"/>
      <c r="P3045" s="1063"/>
      <c r="Q3045" s="1063"/>
      <c r="R3045" s="1063"/>
      <c r="S3045" s="1063"/>
      <c r="T3045" s="1063"/>
      <c r="U3045" s="1063"/>
      <c r="V3045" s="1063"/>
      <c r="W3045" s="1063"/>
      <c r="X3045" s="1063"/>
      <c r="Y3045" s="1063"/>
      <c r="Z3045" s="1063"/>
      <c r="AA3045" s="1063"/>
      <c r="AB3045" s="1063"/>
      <c r="AC3045" s="1063"/>
      <c r="AD3045" s="1063"/>
      <c r="AE3045" s="1063"/>
      <c r="AF3045" s="1063"/>
      <c r="AG3045" s="1063"/>
      <c r="AH3045" s="1063"/>
      <c r="AI3045" s="1063"/>
      <c r="AJ3045" s="1063"/>
      <c r="AK3045" s="1063"/>
      <c r="AL3045" s="1063"/>
      <c r="AM3045" s="1063"/>
      <c r="AN3045" s="1063"/>
      <c r="AO3045" s="1063"/>
      <c r="AP3045" s="1063"/>
      <c r="AQ3045" s="1063"/>
      <c r="AR3045" s="1063"/>
      <c r="AS3045" s="1063"/>
      <c r="AT3045" s="1063"/>
      <c r="AU3045" s="1063"/>
      <c r="AV3045" s="1063"/>
    </row>
    <row r="3046" spans="1:48" s="1108" customFormat="1" ht="27.75" customHeight="1">
      <c r="A3046" s="1076"/>
      <c r="B3046" s="1074">
        <f>+'[18]Bldg+Dev'!S3858</f>
        <v>0</v>
      </c>
      <c r="D3046" s="1063"/>
      <c r="F3046" s="1076"/>
      <c r="G3046" s="1063"/>
      <c r="H3046" s="1063"/>
      <c r="I3046" s="1063"/>
      <c r="J3046" s="1063"/>
      <c r="K3046" s="1063"/>
      <c r="L3046" s="1063"/>
      <c r="M3046" s="1063"/>
      <c r="N3046" s="1063"/>
      <c r="O3046" s="1063"/>
      <c r="P3046" s="1063"/>
      <c r="Q3046" s="1063"/>
      <c r="R3046" s="1063"/>
      <c r="S3046" s="1063"/>
      <c r="T3046" s="1063"/>
      <c r="U3046" s="1063"/>
      <c r="V3046" s="1063"/>
      <c r="W3046" s="1063"/>
      <c r="X3046" s="1063"/>
      <c r="Y3046" s="1063"/>
      <c r="Z3046" s="1063"/>
      <c r="AA3046" s="1063"/>
      <c r="AB3046" s="1063"/>
      <c r="AC3046" s="1063"/>
      <c r="AD3046" s="1063"/>
      <c r="AE3046" s="1063"/>
      <c r="AF3046" s="1063"/>
      <c r="AG3046" s="1063"/>
      <c r="AH3046" s="1063"/>
      <c r="AI3046" s="1063"/>
      <c r="AJ3046" s="1063"/>
      <c r="AK3046" s="1063"/>
      <c r="AL3046" s="1063"/>
      <c r="AM3046" s="1063"/>
      <c r="AN3046" s="1063"/>
      <c r="AO3046" s="1063"/>
      <c r="AP3046" s="1063"/>
      <c r="AQ3046" s="1063"/>
      <c r="AR3046" s="1063"/>
      <c r="AS3046" s="1063"/>
      <c r="AT3046" s="1063"/>
      <c r="AU3046" s="1063"/>
      <c r="AV3046" s="1063"/>
    </row>
    <row r="3047" spans="1:48" s="1108" customFormat="1" ht="27.75" customHeight="1">
      <c r="A3047" s="1076"/>
      <c r="B3047" s="1074">
        <f>+'[18]Bldg+Dev'!S3859</f>
        <v>0</v>
      </c>
      <c r="D3047" s="1063"/>
      <c r="F3047" s="1076"/>
      <c r="G3047" s="1063"/>
      <c r="H3047" s="1063"/>
      <c r="I3047" s="1063"/>
      <c r="J3047" s="1063"/>
      <c r="K3047" s="1063"/>
      <c r="L3047" s="1063"/>
      <c r="M3047" s="1063"/>
      <c r="N3047" s="1063"/>
      <c r="O3047" s="1063"/>
      <c r="P3047" s="1063"/>
      <c r="Q3047" s="1063"/>
      <c r="R3047" s="1063"/>
      <c r="S3047" s="1063"/>
      <c r="T3047" s="1063"/>
      <c r="U3047" s="1063"/>
      <c r="V3047" s="1063"/>
      <c r="W3047" s="1063"/>
      <c r="X3047" s="1063"/>
      <c r="Y3047" s="1063"/>
      <c r="Z3047" s="1063"/>
      <c r="AA3047" s="1063"/>
      <c r="AB3047" s="1063"/>
      <c r="AC3047" s="1063"/>
      <c r="AD3047" s="1063"/>
      <c r="AE3047" s="1063"/>
      <c r="AF3047" s="1063"/>
      <c r="AG3047" s="1063"/>
      <c r="AH3047" s="1063"/>
      <c r="AI3047" s="1063"/>
      <c r="AJ3047" s="1063"/>
      <c r="AK3047" s="1063"/>
      <c r="AL3047" s="1063"/>
      <c r="AM3047" s="1063"/>
      <c r="AN3047" s="1063"/>
      <c r="AO3047" s="1063"/>
      <c r="AP3047" s="1063"/>
      <c r="AQ3047" s="1063"/>
      <c r="AR3047" s="1063"/>
      <c r="AS3047" s="1063"/>
      <c r="AT3047" s="1063"/>
      <c r="AU3047" s="1063"/>
      <c r="AV3047" s="1063"/>
    </row>
    <row r="3048" spans="1:48" s="1108" customFormat="1" ht="27.75" customHeight="1">
      <c r="A3048" s="1076"/>
      <c r="B3048" s="1074">
        <f>+'[18]Bldg+Dev'!S3860</f>
        <v>0</v>
      </c>
      <c r="D3048" s="1063"/>
      <c r="F3048" s="1076"/>
      <c r="G3048" s="1063"/>
      <c r="H3048" s="1063"/>
      <c r="I3048" s="1063"/>
      <c r="J3048" s="1063"/>
      <c r="K3048" s="1063"/>
      <c r="L3048" s="1063"/>
      <c r="M3048" s="1063"/>
      <c r="N3048" s="1063"/>
      <c r="O3048" s="1063"/>
      <c r="P3048" s="1063"/>
      <c r="Q3048" s="1063"/>
      <c r="R3048" s="1063"/>
      <c r="S3048" s="1063"/>
      <c r="T3048" s="1063"/>
      <c r="U3048" s="1063"/>
      <c r="V3048" s="1063"/>
      <c r="W3048" s="1063"/>
      <c r="X3048" s="1063"/>
      <c r="Y3048" s="1063"/>
      <c r="Z3048" s="1063"/>
      <c r="AA3048" s="1063"/>
      <c r="AB3048" s="1063"/>
      <c r="AC3048" s="1063"/>
      <c r="AD3048" s="1063"/>
      <c r="AE3048" s="1063"/>
      <c r="AF3048" s="1063"/>
      <c r="AG3048" s="1063"/>
      <c r="AH3048" s="1063"/>
      <c r="AI3048" s="1063"/>
      <c r="AJ3048" s="1063"/>
      <c r="AK3048" s="1063"/>
      <c r="AL3048" s="1063"/>
      <c r="AM3048" s="1063"/>
      <c r="AN3048" s="1063"/>
      <c r="AO3048" s="1063"/>
      <c r="AP3048" s="1063"/>
      <c r="AQ3048" s="1063"/>
      <c r="AR3048" s="1063"/>
      <c r="AS3048" s="1063"/>
      <c r="AT3048" s="1063"/>
      <c r="AU3048" s="1063"/>
      <c r="AV3048" s="1063"/>
    </row>
    <row r="3049" spans="1:48" s="1108" customFormat="1" ht="27.75" customHeight="1">
      <c r="A3049" s="1076"/>
      <c r="B3049" s="1074">
        <f>+'[18]Bldg+Dev'!S3861</f>
        <v>0</v>
      </c>
      <c r="D3049" s="1063"/>
      <c r="F3049" s="1076"/>
      <c r="G3049" s="1063"/>
      <c r="H3049" s="1063"/>
      <c r="I3049" s="1063"/>
      <c r="J3049" s="1063"/>
      <c r="K3049" s="1063"/>
      <c r="L3049" s="1063"/>
      <c r="M3049" s="1063"/>
      <c r="N3049" s="1063"/>
      <c r="O3049" s="1063"/>
      <c r="P3049" s="1063"/>
      <c r="Q3049" s="1063"/>
      <c r="R3049" s="1063"/>
      <c r="S3049" s="1063"/>
      <c r="T3049" s="1063"/>
      <c r="U3049" s="1063"/>
      <c r="V3049" s="1063"/>
      <c r="W3049" s="1063"/>
      <c r="X3049" s="1063"/>
      <c r="Y3049" s="1063"/>
      <c r="Z3049" s="1063"/>
      <c r="AA3049" s="1063"/>
      <c r="AB3049" s="1063"/>
      <c r="AC3049" s="1063"/>
      <c r="AD3049" s="1063"/>
      <c r="AE3049" s="1063"/>
      <c r="AF3049" s="1063"/>
      <c r="AG3049" s="1063"/>
      <c r="AH3049" s="1063"/>
      <c r="AI3049" s="1063"/>
      <c r="AJ3049" s="1063"/>
      <c r="AK3049" s="1063"/>
      <c r="AL3049" s="1063"/>
      <c r="AM3049" s="1063"/>
      <c r="AN3049" s="1063"/>
      <c r="AO3049" s="1063"/>
      <c r="AP3049" s="1063"/>
      <c r="AQ3049" s="1063"/>
      <c r="AR3049" s="1063"/>
      <c r="AS3049" s="1063"/>
      <c r="AT3049" s="1063"/>
      <c r="AU3049" s="1063"/>
      <c r="AV3049" s="1063"/>
    </row>
    <row r="3050" spans="1:48" s="1108" customFormat="1" ht="27.75" customHeight="1">
      <c r="A3050" s="1076"/>
      <c r="B3050" s="1074">
        <f>+'[18]Bldg+Dev'!S3862</f>
        <v>0</v>
      </c>
      <c r="D3050" s="1063"/>
      <c r="F3050" s="1076"/>
      <c r="G3050" s="1063"/>
      <c r="H3050" s="1063"/>
      <c r="I3050" s="1063"/>
      <c r="J3050" s="1063"/>
      <c r="K3050" s="1063"/>
      <c r="L3050" s="1063"/>
      <c r="M3050" s="1063"/>
      <c r="N3050" s="1063"/>
      <c r="O3050" s="1063"/>
      <c r="P3050" s="1063"/>
      <c r="Q3050" s="1063"/>
      <c r="R3050" s="1063"/>
      <c r="S3050" s="1063"/>
      <c r="T3050" s="1063"/>
      <c r="U3050" s="1063"/>
      <c r="V3050" s="1063"/>
      <c r="W3050" s="1063"/>
      <c r="X3050" s="1063"/>
      <c r="Y3050" s="1063"/>
      <c r="Z3050" s="1063"/>
      <c r="AA3050" s="1063"/>
      <c r="AB3050" s="1063"/>
      <c r="AC3050" s="1063"/>
      <c r="AD3050" s="1063"/>
      <c r="AE3050" s="1063"/>
      <c r="AF3050" s="1063"/>
      <c r="AG3050" s="1063"/>
      <c r="AH3050" s="1063"/>
      <c r="AI3050" s="1063"/>
      <c r="AJ3050" s="1063"/>
      <c r="AK3050" s="1063"/>
      <c r="AL3050" s="1063"/>
      <c r="AM3050" s="1063"/>
      <c r="AN3050" s="1063"/>
      <c r="AO3050" s="1063"/>
      <c r="AP3050" s="1063"/>
      <c r="AQ3050" s="1063"/>
      <c r="AR3050" s="1063"/>
      <c r="AS3050" s="1063"/>
      <c r="AT3050" s="1063"/>
      <c r="AU3050" s="1063"/>
      <c r="AV3050" s="1063"/>
    </row>
    <row r="3051" spans="1:48" s="1108" customFormat="1" ht="27.75" customHeight="1">
      <c r="A3051" s="1076"/>
      <c r="B3051" s="1074">
        <f>+'[18]Bldg+Dev'!S3863</f>
        <v>0</v>
      </c>
      <c r="D3051" s="1063"/>
      <c r="F3051" s="1076"/>
      <c r="G3051" s="1063"/>
      <c r="H3051" s="1063"/>
      <c r="I3051" s="1063"/>
      <c r="J3051" s="1063"/>
      <c r="K3051" s="1063"/>
      <c r="L3051" s="1063"/>
      <c r="M3051" s="1063"/>
      <c r="N3051" s="1063"/>
      <c r="O3051" s="1063"/>
      <c r="P3051" s="1063"/>
      <c r="Q3051" s="1063"/>
      <c r="R3051" s="1063"/>
      <c r="S3051" s="1063"/>
      <c r="T3051" s="1063"/>
      <c r="U3051" s="1063"/>
      <c r="V3051" s="1063"/>
      <c r="W3051" s="1063"/>
      <c r="X3051" s="1063"/>
      <c r="Y3051" s="1063"/>
      <c r="Z3051" s="1063"/>
      <c r="AA3051" s="1063"/>
      <c r="AB3051" s="1063"/>
      <c r="AC3051" s="1063"/>
      <c r="AD3051" s="1063"/>
      <c r="AE3051" s="1063"/>
      <c r="AF3051" s="1063"/>
      <c r="AG3051" s="1063"/>
      <c r="AH3051" s="1063"/>
      <c r="AI3051" s="1063"/>
      <c r="AJ3051" s="1063"/>
      <c r="AK3051" s="1063"/>
      <c r="AL3051" s="1063"/>
      <c r="AM3051" s="1063"/>
      <c r="AN3051" s="1063"/>
      <c r="AO3051" s="1063"/>
      <c r="AP3051" s="1063"/>
      <c r="AQ3051" s="1063"/>
      <c r="AR3051" s="1063"/>
      <c r="AS3051" s="1063"/>
      <c r="AT3051" s="1063"/>
      <c r="AU3051" s="1063"/>
      <c r="AV3051" s="1063"/>
    </row>
    <row r="3052" spans="1:48" s="1108" customFormat="1" ht="27.75" customHeight="1">
      <c r="A3052" s="1076"/>
      <c r="B3052" s="1074">
        <f>+'[18]Bldg+Dev'!S3864</f>
        <v>0</v>
      </c>
      <c r="D3052" s="1063"/>
      <c r="F3052" s="1076"/>
      <c r="G3052" s="1063"/>
      <c r="H3052" s="1063"/>
      <c r="I3052" s="1063"/>
      <c r="J3052" s="1063"/>
      <c r="K3052" s="1063"/>
      <c r="L3052" s="1063"/>
      <c r="M3052" s="1063"/>
      <c r="N3052" s="1063"/>
      <c r="O3052" s="1063"/>
      <c r="P3052" s="1063"/>
      <c r="Q3052" s="1063"/>
      <c r="R3052" s="1063"/>
      <c r="S3052" s="1063"/>
      <c r="T3052" s="1063"/>
      <c r="U3052" s="1063"/>
      <c r="V3052" s="1063"/>
      <c r="W3052" s="1063"/>
      <c r="X3052" s="1063"/>
      <c r="Y3052" s="1063"/>
      <c r="Z3052" s="1063"/>
      <c r="AA3052" s="1063"/>
      <c r="AB3052" s="1063"/>
      <c r="AC3052" s="1063"/>
      <c r="AD3052" s="1063"/>
      <c r="AE3052" s="1063"/>
      <c r="AF3052" s="1063"/>
      <c r="AG3052" s="1063"/>
      <c r="AH3052" s="1063"/>
      <c r="AI3052" s="1063"/>
      <c r="AJ3052" s="1063"/>
      <c r="AK3052" s="1063"/>
      <c r="AL3052" s="1063"/>
      <c r="AM3052" s="1063"/>
      <c r="AN3052" s="1063"/>
      <c r="AO3052" s="1063"/>
      <c r="AP3052" s="1063"/>
      <c r="AQ3052" s="1063"/>
      <c r="AR3052" s="1063"/>
      <c r="AS3052" s="1063"/>
      <c r="AT3052" s="1063"/>
      <c r="AU3052" s="1063"/>
      <c r="AV3052" s="1063"/>
    </row>
    <row r="3053" spans="1:48" s="1108" customFormat="1" ht="27.75" customHeight="1">
      <c r="A3053" s="1076"/>
      <c r="B3053" s="1074">
        <f>+'[18]Bldg+Dev'!S3865</f>
        <v>0</v>
      </c>
      <c r="D3053" s="1063"/>
      <c r="F3053" s="1076"/>
      <c r="G3053" s="1063"/>
      <c r="H3053" s="1063"/>
      <c r="I3053" s="1063"/>
      <c r="J3053" s="1063"/>
      <c r="K3053" s="1063"/>
      <c r="L3053" s="1063"/>
      <c r="M3053" s="1063"/>
      <c r="N3053" s="1063"/>
      <c r="O3053" s="1063"/>
      <c r="P3053" s="1063"/>
      <c r="Q3053" s="1063"/>
      <c r="R3053" s="1063"/>
      <c r="S3053" s="1063"/>
      <c r="T3053" s="1063"/>
      <c r="U3053" s="1063"/>
      <c r="V3053" s="1063"/>
      <c r="W3053" s="1063"/>
      <c r="X3053" s="1063"/>
      <c r="Y3053" s="1063"/>
      <c r="Z3053" s="1063"/>
      <c r="AA3053" s="1063"/>
      <c r="AB3053" s="1063"/>
      <c r="AC3053" s="1063"/>
      <c r="AD3053" s="1063"/>
      <c r="AE3053" s="1063"/>
      <c r="AF3053" s="1063"/>
      <c r="AG3053" s="1063"/>
      <c r="AH3053" s="1063"/>
      <c r="AI3053" s="1063"/>
      <c r="AJ3053" s="1063"/>
      <c r="AK3053" s="1063"/>
      <c r="AL3053" s="1063"/>
      <c r="AM3053" s="1063"/>
      <c r="AN3053" s="1063"/>
      <c r="AO3053" s="1063"/>
      <c r="AP3053" s="1063"/>
      <c r="AQ3053" s="1063"/>
      <c r="AR3053" s="1063"/>
      <c r="AS3053" s="1063"/>
      <c r="AT3053" s="1063"/>
      <c r="AU3053" s="1063"/>
      <c r="AV3053" s="1063"/>
    </row>
    <row r="3054" spans="1:48" s="1108" customFormat="1" ht="27.75" customHeight="1">
      <c r="A3054" s="1076"/>
      <c r="B3054" s="1074">
        <f>+'[18]Bldg+Dev'!S3866</f>
        <v>0</v>
      </c>
      <c r="D3054" s="1063"/>
      <c r="F3054" s="1076"/>
      <c r="G3054" s="1063"/>
      <c r="H3054" s="1063"/>
      <c r="I3054" s="1063"/>
      <c r="J3054" s="1063"/>
      <c r="K3054" s="1063"/>
      <c r="L3054" s="1063"/>
      <c r="M3054" s="1063"/>
      <c r="N3054" s="1063"/>
      <c r="O3054" s="1063"/>
      <c r="P3054" s="1063"/>
      <c r="Q3054" s="1063"/>
      <c r="R3054" s="1063"/>
      <c r="S3054" s="1063"/>
      <c r="T3054" s="1063"/>
      <c r="U3054" s="1063"/>
      <c r="V3054" s="1063"/>
      <c r="W3054" s="1063"/>
      <c r="X3054" s="1063"/>
      <c r="Y3054" s="1063"/>
      <c r="Z3054" s="1063"/>
      <c r="AA3054" s="1063"/>
      <c r="AB3054" s="1063"/>
      <c r="AC3054" s="1063"/>
      <c r="AD3054" s="1063"/>
      <c r="AE3054" s="1063"/>
      <c r="AF3054" s="1063"/>
      <c r="AG3054" s="1063"/>
      <c r="AH3054" s="1063"/>
      <c r="AI3054" s="1063"/>
      <c r="AJ3054" s="1063"/>
      <c r="AK3054" s="1063"/>
      <c r="AL3054" s="1063"/>
      <c r="AM3054" s="1063"/>
      <c r="AN3054" s="1063"/>
      <c r="AO3054" s="1063"/>
      <c r="AP3054" s="1063"/>
      <c r="AQ3054" s="1063"/>
      <c r="AR3054" s="1063"/>
      <c r="AS3054" s="1063"/>
      <c r="AT3054" s="1063"/>
      <c r="AU3054" s="1063"/>
      <c r="AV3054" s="1063"/>
    </row>
    <row r="3055" spans="1:48" s="1108" customFormat="1" ht="27.75" customHeight="1">
      <c r="A3055" s="1076"/>
      <c r="B3055" s="1074">
        <f>+'[18]Bldg+Dev'!S3867</f>
        <v>0</v>
      </c>
      <c r="D3055" s="1063"/>
      <c r="F3055" s="1076"/>
      <c r="G3055" s="1063"/>
      <c r="H3055" s="1063"/>
      <c r="I3055" s="1063"/>
      <c r="J3055" s="1063"/>
      <c r="K3055" s="1063"/>
      <c r="L3055" s="1063"/>
      <c r="M3055" s="1063"/>
      <c r="N3055" s="1063"/>
      <c r="O3055" s="1063"/>
      <c r="P3055" s="1063"/>
      <c r="Q3055" s="1063"/>
      <c r="R3055" s="1063"/>
      <c r="S3055" s="1063"/>
      <c r="T3055" s="1063"/>
      <c r="U3055" s="1063"/>
      <c r="V3055" s="1063"/>
      <c r="W3055" s="1063"/>
      <c r="X3055" s="1063"/>
      <c r="Y3055" s="1063"/>
      <c r="Z3055" s="1063"/>
      <c r="AA3055" s="1063"/>
      <c r="AB3055" s="1063"/>
      <c r="AC3055" s="1063"/>
      <c r="AD3055" s="1063"/>
      <c r="AE3055" s="1063"/>
      <c r="AF3055" s="1063"/>
      <c r="AG3055" s="1063"/>
      <c r="AH3055" s="1063"/>
      <c r="AI3055" s="1063"/>
      <c r="AJ3055" s="1063"/>
      <c r="AK3055" s="1063"/>
      <c r="AL3055" s="1063"/>
      <c r="AM3055" s="1063"/>
      <c r="AN3055" s="1063"/>
      <c r="AO3055" s="1063"/>
      <c r="AP3055" s="1063"/>
      <c r="AQ3055" s="1063"/>
      <c r="AR3055" s="1063"/>
      <c r="AS3055" s="1063"/>
      <c r="AT3055" s="1063"/>
      <c r="AU3055" s="1063"/>
      <c r="AV3055" s="1063"/>
    </row>
    <row r="3056" spans="1:48" s="1108" customFormat="1" ht="27.75" customHeight="1">
      <c r="A3056" s="1076"/>
      <c r="B3056" s="1074">
        <f>+'[18]Bldg+Dev'!S3868</f>
        <v>0</v>
      </c>
      <c r="D3056" s="1063"/>
      <c r="F3056" s="1076"/>
      <c r="G3056" s="1063"/>
      <c r="H3056" s="1063"/>
      <c r="I3056" s="1063"/>
      <c r="J3056" s="1063"/>
      <c r="K3056" s="1063"/>
      <c r="L3056" s="1063"/>
      <c r="M3056" s="1063"/>
      <c r="N3056" s="1063"/>
      <c r="O3056" s="1063"/>
      <c r="P3056" s="1063"/>
      <c r="Q3056" s="1063"/>
      <c r="R3056" s="1063"/>
      <c r="S3056" s="1063"/>
      <c r="T3056" s="1063"/>
      <c r="U3056" s="1063"/>
      <c r="V3056" s="1063"/>
      <c r="W3056" s="1063"/>
      <c r="X3056" s="1063"/>
      <c r="Y3056" s="1063"/>
      <c r="Z3056" s="1063"/>
      <c r="AA3056" s="1063"/>
      <c r="AB3056" s="1063"/>
      <c r="AC3056" s="1063"/>
      <c r="AD3056" s="1063"/>
      <c r="AE3056" s="1063"/>
      <c r="AF3056" s="1063"/>
      <c r="AG3056" s="1063"/>
      <c r="AH3056" s="1063"/>
      <c r="AI3056" s="1063"/>
      <c r="AJ3056" s="1063"/>
      <c r="AK3056" s="1063"/>
      <c r="AL3056" s="1063"/>
      <c r="AM3056" s="1063"/>
      <c r="AN3056" s="1063"/>
      <c r="AO3056" s="1063"/>
      <c r="AP3056" s="1063"/>
      <c r="AQ3056" s="1063"/>
      <c r="AR3056" s="1063"/>
      <c r="AS3056" s="1063"/>
      <c r="AT3056" s="1063"/>
      <c r="AU3056" s="1063"/>
      <c r="AV3056" s="1063"/>
    </row>
    <row r="3057" spans="1:48" s="1108" customFormat="1" ht="27.75" customHeight="1">
      <c r="A3057" s="1076"/>
      <c r="B3057" s="1074">
        <f>+'[18]Bldg+Dev'!S3869</f>
        <v>0</v>
      </c>
      <c r="D3057" s="1063"/>
      <c r="F3057" s="1076"/>
      <c r="G3057" s="1063"/>
      <c r="H3057" s="1063"/>
      <c r="I3057" s="1063"/>
      <c r="J3057" s="1063"/>
      <c r="K3057" s="1063"/>
      <c r="L3057" s="1063"/>
      <c r="M3057" s="1063"/>
      <c r="N3057" s="1063"/>
      <c r="O3057" s="1063"/>
      <c r="P3057" s="1063"/>
      <c r="Q3057" s="1063"/>
      <c r="R3057" s="1063"/>
      <c r="S3057" s="1063"/>
      <c r="T3057" s="1063"/>
      <c r="U3057" s="1063"/>
      <c r="V3057" s="1063"/>
      <c r="W3057" s="1063"/>
      <c r="X3057" s="1063"/>
      <c r="Y3057" s="1063"/>
      <c r="Z3057" s="1063"/>
      <c r="AA3057" s="1063"/>
      <c r="AB3057" s="1063"/>
      <c r="AC3057" s="1063"/>
      <c r="AD3057" s="1063"/>
      <c r="AE3057" s="1063"/>
      <c r="AF3057" s="1063"/>
      <c r="AG3057" s="1063"/>
      <c r="AH3057" s="1063"/>
      <c r="AI3057" s="1063"/>
      <c r="AJ3057" s="1063"/>
      <c r="AK3057" s="1063"/>
      <c r="AL3057" s="1063"/>
      <c r="AM3057" s="1063"/>
      <c r="AN3057" s="1063"/>
      <c r="AO3057" s="1063"/>
      <c r="AP3057" s="1063"/>
      <c r="AQ3057" s="1063"/>
      <c r="AR3057" s="1063"/>
      <c r="AS3057" s="1063"/>
      <c r="AT3057" s="1063"/>
      <c r="AU3057" s="1063"/>
      <c r="AV3057" s="1063"/>
    </row>
    <row r="3058" spans="1:48" s="1108" customFormat="1" ht="27.75" customHeight="1">
      <c r="A3058" s="1076"/>
      <c r="B3058" s="1074">
        <f>+'[18]Bldg+Dev'!S3870</f>
        <v>0</v>
      </c>
      <c r="D3058" s="1063"/>
      <c r="F3058" s="1076"/>
      <c r="G3058" s="1063"/>
      <c r="H3058" s="1063"/>
      <c r="I3058" s="1063"/>
      <c r="J3058" s="1063"/>
      <c r="K3058" s="1063"/>
      <c r="L3058" s="1063"/>
      <c r="M3058" s="1063"/>
      <c r="N3058" s="1063"/>
      <c r="O3058" s="1063"/>
      <c r="P3058" s="1063"/>
      <c r="Q3058" s="1063"/>
      <c r="R3058" s="1063"/>
      <c r="S3058" s="1063"/>
      <c r="T3058" s="1063"/>
      <c r="U3058" s="1063"/>
      <c r="V3058" s="1063"/>
      <c r="W3058" s="1063"/>
      <c r="X3058" s="1063"/>
      <c r="Y3058" s="1063"/>
      <c r="Z3058" s="1063"/>
      <c r="AA3058" s="1063"/>
      <c r="AB3058" s="1063"/>
      <c r="AC3058" s="1063"/>
      <c r="AD3058" s="1063"/>
      <c r="AE3058" s="1063"/>
      <c r="AF3058" s="1063"/>
      <c r="AG3058" s="1063"/>
      <c r="AH3058" s="1063"/>
      <c r="AI3058" s="1063"/>
      <c r="AJ3058" s="1063"/>
      <c r="AK3058" s="1063"/>
      <c r="AL3058" s="1063"/>
      <c r="AM3058" s="1063"/>
      <c r="AN3058" s="1063"/>
      <c r="AO3058" s="1063"/>
      <c r="AP3058" s="1063"/>
      <c r="AQ3058" s="1063"/>
      <c r="AR3058" s="1063"/>
      <c r="AS3058" s="1063"/>
      <c r="AT3058" s="1063"/>
      <c r="AU3058" s="1063"/>
      <c r="AV3058" s="1063"/>
    </row>
    <row r="3059" spans="1:48" s="1108" customFormat="1" ht="27.75" customHeight="1">
      <c r="A3059" s="1076"/>
      <c r="B3059" s="1074">
        <f>+'[18]Bldg+Dev'!S3871</f>
        <v>0</v>
      </c>
      <c r="D3059" s="1063"/>
      <c r="F3059" s="1076"/>
      <c r="G3059" s="1063"/>
      <c r="H3059" s="1063"/>
      <c r="I3059" s="1063"/>
      <c r="J3059" s="1063"/>
      <c r="K3059" s="1063"/>
      <c r="L3059" s="1063"/>
      <c r="M3059" s="1063"/>
      <c r="N3059" s="1063"/>
      <c r="O3059" s="1063"/>
      <c r="P3059" s="1063"/>
      <c r="Q3059" s="1063"/>
      <c r="R3059" s="1063"/>
      <c r="S3059" s="1063"/>
      <c r="T3059" s="1063"/>
      <c r="U3059" s="1063"/>
      <c r="V3059" s="1063"/>
      <c r="W3059" s="1063"/>
      <c r="X3059" s="1063"/>
      <c r="Y3059" s="1063"/>
      <c r="Z3059" s="1063"/>
      <c r="AA3059" s="1063"/>
      <c r="AB3059" s="1063"/>
      <c r="AC3059" s="1063"/>
      <c r="AD3059" s="1063"/>
      <c r="AE3059" s="1063"/>
      <c r="AF3059" s="1063"/>
      <c r="AG3059" s="1063"/>
      <c r="AH3059" s="1063"/>
      <c r="AI3059" s="1063"/>
      <c r="AJ3059" s="1063"/>
      <c r="AK3059" s="1063"/>
      <c r="AL3059" s="1063"/>
      <c r="AM3059" s="1063"/>
      <c r="AN3059" s="1063"/>
      <c r="AO3059" s="1063"/>
      <c r="AP3059" s="1063"/>
      <c r="AQ3059" s="1063"/>
      <c r="AR3059" s="1063"/>
      <c r="AS3059" s="1063"/>
      <c r="AT3059" s="1063"/>
      <c r="AU3059" s="1063"/>
      <c r="AV3059" s="1063"/>
    </row>
    <row r="3060" spans="1:48" s="1108" customFormat="1" ht="27.75" customHeight="1">
      <c r="A3060" s="1076"/>
      <c r="B3060" s="1074">
        <f>+'[18]Bldg+Dev'!S3872</f>
        <v>0</v>
      </c>
      <c r="D3060" s="1063"/>
      <c r="F3060" s="1076"/>
      <c r="G3060" s="1063"/>
      <c r="H3060" s="1063"/>
      <c r="I3060" s="1063"/>
      <c r="J3060" s="1063"/>
      <c r="K3060" s="1063"/>
      <c r="L3060" s="1063"/>
      <c r="M3060" s="1063"/>
      <c r="N3060" s="1063"/>
      <c r="O3060" s="1063"/>
      <c r="P3060" s="1063"/>
      <c r="Q3060" s="1063"/>
      <c r="R3060" s="1063"/>
      <c r="S3060" s="1063"/>
      <c r="T3060" s="1063"/>
      <c r="U3060" s="1063"/>
      <c r="V3060" s="1063"/>
      <c r="W3060" s="1063"/>
      <c r="X3060" s="1063"/>
      <c r="Y3060" s="1063"/>
      <c r="Z3060" s="1063"/>
      <c r="AA3060" s="1063"/>
      <c r="AB3060" s="1063"/>
      <c r="AC3060" s="1063"/>
      <c r="AD3060" s="1063"/>
      <c r="AE3060" s="1063"/>
      <c r="AF3060" s="1063"/>
      <c r="AG3060" s="1063"/>
      <c r="AH3060" s="1063"/>
      <c r="AI3060" s="1063"/>
      <c r="AJ3060" s="1063"/>
      <c r="AK3060" s="1063"/>
      <c r="AL3060" s="1063"/>
      <c r="AM3060" s="1063"/>
      <c r="AN3060" s="1063"/>
      <c r="AO3060" s="1063"/>
      <c r="AP3060" s="1063"/>
      <c r="AQ3060" s="1063"/>
      <c r="AR3060" s="1063"/>
      <c r="AS3060" s="1063"/>
      <c r="AT3060" s="1063"/>
      <c r="AU3060" s="1063"/>
      <c r="AV3060" s="1063"/>
    </row>
    <row r="3061" spans="1:48" s="1108" customFormat="1" ht="27.75" customHeight="1">
      <c r="A3061" s="1076"/>
      <c r="B3061" s="1074">
        <f>+'[18]Bldg+Dev'!S3873</f>
        <v>0</v>
      </c>
      <c r="D3061" s="1063"/>
      <c r="F3061" s="1076"/>
      <c r="G3061" s="1063"/>
      <c r="H3061" s="1063"/>
      <c r="I3061" s="1063"/>
      <c r="J3061" s="1063"/>
      <c r="K3061" s="1063"/>
      <c r="L3061" s="1063"/>
      <c r="M3061" s="1063"/>
      <c r="N3061" s="1063"/>
      <c r="O3061" s="1063"/>
      <c r="P3061" s="1063"/>
      <c r="Q3061" s="1063"/>
      <c r="R3061" s="1063"/>
      <c r="S3061" s="1063"/>
      <c r="T3061" s="1063"/>
      <c r="U3061" s="1063"/>
      <c r="V3061" s="1063"/>
      <c r="W3061" s="1063"/>
      <c r="X3061" s="1063"/>
      <c r="Y3061" s="1063"/>
      <c r="Z3061" s="1063"/>
      <c r="AA3061" s="1063"/>
      <c r="AB3061" s="1063"/>
      <c r="AC3061" s="1063"/>
      <c r="AD3061" s="1063"/>
      <c r="AE3061" s="1063"/>
      <c r="AF3061" s="1063"/>
      <c r="AG3061" s="1063"/>
      <c r="AH3061" s="1063"/>
      <c r="AI3061" s="1063"/>
      <c r="AJ3061" s="1063"/>
      <c r="AK3061" s="1063"/>
      <c r="AL3061" s="1063"/>
      <c r="AM3061" s="1063"/>
      <c r="AN3061" s="1063"/>
      <c r="AO3061" s="1063"/>
      <c r="AP3061" s="1063"/>
      <c r="AQ3061" s="1063"/>
      <c r="AR3061" s="1063"/>
      <c r="AS3061" s="1063"/>
      <c r="AT3061" s="1063"/>
      <c r="AU3061" s="1063"/>
      <c r="AV3061" s="1063"/>
    </row>
    <row r="3062" spans="1:48" s="1108" customFormat="1" ht="27.75" customHeight="1">
      <c r="A3062" s="1076"/>
      <c r="B3062" s="1074">
        <f>+'[18]Bldg+Dev'!S3874</f>
        <v>0</v>
      </c>
      <c r="D3062" s="1063"/>
      <c r="F3062" s="1076"/>
      <c r="G3062" s="1063"/>
      <c r="H3062" s="1063"/>
      <c r="I3062" s="1063"/>
      <c r="J3062" s="1063"/>
      <c r="K3062" s="1063"/>
      <c r="L3062" s="1063"/>
      <c r="M3062" s="1063"/>
      <c r="N3062" s="1063"/>
      <c r="O3062" s="1063"/>
      <c r="P3062" s="1063"/>
      <c r="Q3062" s="1063"/>
      <c r="R3062" s="1063"/>
      <c r="S3062" s="1063"/>
      <c r="T3062" s="1063"/>
      <c r="U3062" s="1063"/>
      <c r="V3062" s="1063"/>
      <c r="W3062" s="1063"/>
      <c r="X3062" s="1063"/>
      <c r="Y3062" s="1063"/>
      <c r="Z3062" s="1063"/>
      <c r="AA3062" s="1063"/>
      <c r="AB3062" s="1063"/>
      <c r="AC3062" s="1063"/>
      <c r="AD3062" s="1063"/>
      <c r="AE3062" s="1063"/>
      <c r="AF3062" s="1063"/>
      <c r="AG3062" s="1063"/>
      <c r="AH3062" s="1063"/>
      <c r="AI3062" s="1063"/>
      <c r="AJ3062" s="1063"/>
      <c r="AK3062" s="1063"/>
      <c r="AL3062" s="1063"/>
      <c r="AM3062" s="1063"/>
      <c r="AN3062" s="1063"/>
      <c r="AO3062" s="1063"/>
      <c r="AP3062" s="1063"/>
      <c r="AQ3062" s="1063"/>
      <c r="AR3062" s="1063"/>
      <c r="AS3062" s="1063"/>
      <c r="AT3062" s="1063"/>
      <c r="AU3062" s="1063"/>
      <c r="AV3062" s="1063"/>
    </row>
    <row r="3063" spans="1:48" s="1108" customFormat="1" ht="27.75" customHeight="1">
      <c r="A3063" s="1076"/>
      <c r="B3063" s="1074">
        <f>+'[18]Bldg+Dev'!S3875</f>
        <v>0</v>
      </c>
      <c r="D3063" s="1063"/>
      <c r="F3063" s="1076"/>
      <c r="G3063" s="1063"/>
      <c r="H3063" s="1063"/>
      <c r="I3063" s="1063"/>
      <c r="J3063" s="1063"/>
      <c r="K3063" s="1063"/>
      <c r="L3063" s="1063"/>
      <c r="M3063" s="1063"/>
      <c r="N3063" s="1063"/>
      <c r="O3063" s="1063"/>
      <c r="P3063" s="1063"/>
      <c r="Q3063" s="1063"/>
      <c r="R3063" s="1063"/>
      <c r="S3063" s="1063"/>
      <c r="T3063" s="1063"/>
      <c r="U3063" s="1063"/>
      <c r="V3063" s="1063"/>
      <c r="W3063" s="1063"/>
      <c r="X3063" s="1063"/>
      <c r="Y3063" s="1063"/>
      <c r="Z3063" s="1063"/>
      <c r="AA3063" s="1063"/>
      <c r="AB3063" s="1063"/>
      <c r="AC3063" s="1063"/>
      <c r="AD3063" s="1063"/>
      <c r="AE3063" s="1063"/>
      <c r="AF3063" s="1063"/>
      <c r="AG3063" s="1063"/>
      <c r="AH3063" s="1063"/>
      <c r="AI3063" s="1063"/>
      <c r="AJ3063" s="1063"/>
      <c r="AK3063" s="1063"/>
      <c r="AL3063" s="1063"/>
      <c r="AM3063" s="1063"/>
      <c r="AN3063" s="1063"/>
      <c r="AO3063" s="1063"/>
      <c r="AP3063" s="1063"/>
      <c r="AQ3063" s="1063"/>
      <c r="AR3063" s="1063"/>
      <c r="AS3063" s="1063"/>
      <c r="AT3063" s="1063"/>
      <c r="AU3063" s="1063"/>
      <c r="AV3063" s="1063"/>
    </row>
    <row r="3064" spans="1:48" s="1108" customFormat="1" ht="27.75" customHeight="1">
      <c r="A3064" s="1076"/>
      <c r="B3064" s="1074">
        <f>+'[18]Bldg+Dev'!S3876</f>
        <v>0</v>
      </c>
      <c r="D3064" s="1063"/>
      <c r="F3064" s="1076"/>
      <c r="G3064" s="1063"/>
      <c r="H3064" s="1063"/>
      <c r="I3064" s="1063"/>
      <c r="J3064" s="1063"/>
      <c r="K3064" s="1063"/>
      <c r="L3064" s="1063"/>
      <c r="M3064" s="1063"/>
      <c r="N3064" s="1063"/>
      <c r="O3064" s="1063"/>
      <c r="P3064" s="1063"/>
      <c r="Q3064" s="1063"/>
      <c r="R3064" s="1063"/>
      <c r="S3064" s="1063"/>
      <c r="T3064" s="1063"/>
      <c r="U3064" s="1063"/>
      <c r="V3064" s="1063"/>
      <c r="W3064" s="1063"/>
      <c r="X3064" s="1063"/>
      <c r="Y3064" s="1063"/>
      <c r="Z3064" s="1063"/>
      <c r="AA3064" s="1063"/>
      <c r="AB3064" s="1063"/>
      <c r="AC3064" s="1063"/>
      <c r="AD3064" s="1063"/>
      <c r="AE3064" s="1063"/>
      <c r="AF3064" s="1063"/>
      <c r="AG3064" s="1063"/>
      <c r="AH3064" s="1063"/>
      <c r="AI3064" s="1063"/>
      <c r="AJ3064" s="1063"/>
      <c r="AK3064" s="1063"/>
      <c r="AL3064" s="1063"/>
      <c r="AM3064" s="1063"/>
      <c r="AN3064" s="1063"/>
      <c r="AO3064" s="1063"/>
      <c r="AP3064" s="1063"/>
      <c r="AQ3064" s="1063"/>
      <c r="AR3064" s="1063"/>
      <c r="AS3064" s="1063"/>
      <c r="AT3064" s="1063"/>
      <c r="AU3064" s="1063"/>
      <c r="AV3064" s="1063"/>
    </row>
    <row r="3065" spans="1:48" s="1108" customFormat="1" ht="27.75" customHeight="1">
      <c r="A3065" s="1076"/>
      <c r="B3065" s="1074">
        <f>+'[18]Bldg+Dev'!S3877</f>
        <v>0</v>
      </c>
      <c r="D3065" s="1063"/>
      <c r="F3065" s="1076"/>
      <c r="G3065" s="1063"/>
      <c r="H3065" s="1063"/>
      <c r="I3065" s="1063"/>
      <c r="J3065" s="1063"/>
      <c r="K3065" s="1063"/>
      <c r="L3065" s="1063"/>
      <c r="M3065" s="1063"/>
      <c r="N3065" s="1063"/>
      <c r="O3065" s="1063"/>
      <c r="P3065" s="1063"/>
      <c r="Q3065" s="1063"/>
      <c r="R3065" s="1063"/>
      <c r="S3065" s="1063"/>
      <c r="T3065" s="1063"/>
      <c r="U3065" s="1063"/>
      <c r="V3065" s="1063"/>
      <c r="W3065" s="1063"/>
      <c r="X3065" s="1063"/>
      <c r="Y3065" s="1063"/>
      <c r="Z3065" s="1063"/>
      <c r="AA3065" s="1063"/>
      <c r="AB3065" s="1063"/>
      <c r="AC3065" s="1063"/>
      <c r="AD3065" s="1063"/>
      <c r="AE3065" s="1063"/>
      <c r="AF3065" s="1063"/>
      <c r="AG3065" s="1063"/>
      <c r="AH3065" s="1063"/>
      <c r="AI3065" s="1063"/>
      <c r="AJ3065" s="1063"/>
      <c r="AK3065" s="1063"/>
      <c r="AL3065" s="1063"/>
      <c r="AM3065" s="1063"/>
      <c r="AN3065" s="1063"/>
      <c r="AO3065" s="1063"/>
      <c r="AP3065" s="1063"/>
      <c r="AQ3065" s="1063"/>
      <c r="AR3065" s="1063"/>
      <c r="AS3065" s="1063"/>
      <c r="AT3065" s="1063"/>
      <c r="AU3065" s="1063"/>
      <c r="AV3065" s="1063"/>
    </row>
    <row r="3066" spans="1:48" s="1108" customFormat="1" ht="27.75" customHeight="1">
      <c r="A3066" s="1076"/>
      <c r="B3066" s="1074">
        <f>+'[18]Bldg+Dev'!S3878</f>
        <v>0</v>
      </c>
      <c r="D3066" s="1063"/>
      <c r="F3066" s="1076"/>
      <c r="G3066" s="1063"/>
      <c r="H3066" s="1063"/>
      <c r="I3066" s="1063"/>
      <c r="J3066" s="1063"/>
      <c r="K3066" s="1063"/>
      <c r="L3066" s="1063"/>
      <c r="M3066" s="1063"/>
      <c r="N3066" s="1063"/>
      <c r="O3066" s="1063"/>
      <c r="P3066" s="1063"/>
      <c r="Q3066" s="1063"/>
      <c r="R3066" s="1063"/>
      <c r="S3066" s="1063"/>
      <c r="T3066" s="1063"/>
      <c r="U3066" s="1063"/>
      <c r="V3066" s="1063"/>
      <c r="W3066" s="1063"/>
      <c r="X3066" s="1063"/>
      <c r="Y3066" s="1063"/>
      <c r="Z3066" s="1063"/>
      <c r="AA3066" s="1063"/>
      <c r="AB3066" s="1063"/>
      <c r="AC3066" s="1063"/>
      <c r="AD3066" s="1063"/>
      <c r="AE3066" s="1063"/>
      <c r="AF3066" s="1063"/>
      <c r="AG3066" s="1063"/>
      <c r="AH3066" s="1063"/>
      <c r="AI3066" s="1063"/>
      <c r="AJ3066" s="1063"/>
      <c r="AK3066" s="1063"/>
      <c r="AL3066" s="1063"/>
      <c r="AM3066" s="1063"/>
      <c r="AN3066" s="1063"/>
      <c r="AO3066" s="1063"/>
      <c r="AP3066" s="1063"/>
      <c r="AQ3066" s="1063"/>
      <c r="AR3066" s="1063"/>
      <c r="AS3066" s="1063"/>
      <c r="AT3066" s="1063"/>
      <c r="AU3066" s="1063"/>
      <c r="AV3066" s="1063"/>
    </row>
    <row r="3067" spans="1:48" s="1108" customFormat="1" ht="27.75" customHeight="1">
      <c r="A3067" s="1076"/>
      <c r="B3067" s="1074">
        <f>+'[18]Bldg+Dev'!S3879</f>
        <v>0</v>
      </c>
      <c r="D3067" s="1063"/>
      <c r="F3067" s="1076"/>
      <c r="G3067" s="1063"/>
      <c r="H3067" s="1063"/>
      <c r="I3067" s="1063"/>
      <c r="J3067" s="1063"/>
      <c r="K3067" s="1063"/>
      <c r="L3067" s="1063"/>
      <c r="M3067" s="1063"/>
      <c r="N3067" s="1063"/>
      <c r="O3067" s="1063"/>
      <c r="P3067" s="1063"/>
      <c r="Q3067" s="1063"/>
      <c r="R3067" s="1063"/>
      <c r="S3067" s="1063"/>
      <c r="T3067" s="1063"/>
      <c r="U3067" s="1063"/>
      <c r="V3067" s="1063"/>
      <c r="W3067" s="1063"/>
      <c r="X3067" s="1063"/>
      <c r="Y3067" s="1063"/>
      <c r="Z3067" s="1063"/>
      <c r="AA3067" s="1063"/>
      <c r="AB3067" s="1063"/>
      <c r="AC3067" s="1063"/>
      <c r="AD3067" s="1063"/>
      <c r="AE3067" s="1063"/>
      <c r="AF3067" s="1063"/>
      <c r="AG3067" s="1063"/>
      <c r="AH3067" s="1063"/>
      <c r="AI3067" s="1063"/>
      <c r="AJ3067" s="1063"/>
      <c r="AK3067" s="1063"/>
      <c r="AL3067" s="1063"/>
      <c r="AM3067" s="1063"/>
      <c r="AN3067" s="1063"/>
      <c r="AO3067" s="1063"/>
      <c r="AP3067" s="1063"/>
      <c r="AQ3067" s="1063"/>
      <c r="AR3067" s="1063"/>
      <c r="AS3067" s="1063"/>
      <c r="AT3067" s="1063"/>
      <c r="AU3067" s="1063"/>
      <c r="AV3067" s="1063"/>
    </row>
    <row r="3068" spans="1:48" s="1108" customFormat="1" ht="27.75" customHeight="1">
      <c r="A3068" s="1076"/>
      <c r="B3068" s="1074">
        <f>+'[18]Bldg+Dev'!S3880</f>
        <v>0</v>
      </c>
      <c r="D3068" s="1063"/>
      <c r="F3068" s="1076"/>
      <c r="G3068" s="1063"/>
      <c r="H3068" s="1063"/>
      <c r="I3068" s="1063"/>
      <c r="J3068" s="1063"/>
      <c r="K3068" s="1063"/>
      <c r="L3068" s="1063"/>
      <c r="M3068" s="1063"/>
      <c r="N3068" s="1063"/>
      <c r="O3068" s="1063"/>
      <c r="P3068" s="1063"/>
      <c r="Q3068" s="1063"/>
      <c r="R3068" s="1063"/>
      <c r="S3068" s="1063"/>
      <c r="T3068" s="1063"/>
      <c r="U3068" s="1063"/>
      <c r="V3068" s="1063"/>
      <c r="W3068" s="1063"/>
      <c r="X3068" s="1063"/>
      <c r="Y3068" s="1063"/>
      <c r="Z3068" s="1063"/>
      <c r="AA3068" s="1063"/>
      <c r="AB3068" s="1063"/>
      <c r="AC3068" s="1063"/>
      <c r="AD3068" s="1063"/>
      <c r="AE3068" s="1063"/>
      <c r="AF3068" s="1063"/>
      <c r="AG3068" s="1063"/>
      <c r="AH3068" s="1063"/>
      <c r="AI3068" s="1063"/>
      <c r="AJ3068" s="1063"/>
      <c r="AK3068" s="1063"/>
      <c r="AL3068" s="1063"/>
      <c r="AM3068" s="1063"/>
      <c r="AN3068" s="1063"/>
      <c r="AO3068" s="1063"/>
      <c r="AP3068" s="1063"/>
      <c r="AQ3068" s="1063"/>
      <c r="AR3068" s="1063"/>
      <c r="AS3068" s="1063"/>
      <c r="AT3068" s="1063"/>
      <c r="AU3068" s="1063"/>
      <c r="AV3068" s="1063"/>
    </row>
    <row r="3069" spans="1:48" s="1108" customFormat="1" ht="27.75" customHeight="1">
      <c r="A3069" s="1076"/>
      <c r="B3069" s="1074">
        <f>+'[18]Bldg+Dev'!S3881</f>
        <v>0</v>
      </c>
      <c r="D3069" s="1063"/>
      <c r="F3069" s="1076"/>
      <c r="G3069" s="1063"/>
      <c r="H3069" s="1063"/>
      <c r="I3069" s="1063"/>
      <c r="J3069" s="1063"/>
      <c r="K3069" s="1063"/>
      <c r="L3069" s="1063"/>
      <c r="M3069" s="1063"/>
      <c r="N3069" s="1063"/>
      <c r="O3069" s="1063"/>
      <c r="P3069" s="1063"/>
      <c r="Q3069" s="1063"/>
      <c r="R3069" s="1063"/>
      <c r="S3069" s="1063"/>
      <c r="T3069" s="1063"/>
      <c r="U3069" s="1063"/>
      <c r="V3069" s="1063"/>
      <c r="W3069" s="1063"/>
      <c r="X3069" s="1063"/>
      <c r="Y3069" s="1063"/>
      <c r="Z3069" s="1063"/>
      <c r="AA3069" s="1063"/>
      <c r="AB3069" s="1063"/>
      <c r="AC3069" s="1063"/>
      <c r="AD3069" s="1063"/>
      <c r="AE3069" s="1063"/>
      <c r="AF3069" s="1063"/>
      <c r="AG3069" s="1063"/>
      <c r="AH3069" s="1063"/>
      <c r="AI3069" s="1063"/>
      <c r="AJ3069" s="1063"/>
      <c r="AK3069" s="1063"/>
      <c r="AL3069" s="1063"/>
      <c r="AM3069" s="1063"/>
      <c r="AN3069" s="1063"/>
      <c r="AO3069" s="1063"/>
      <c r="AP3069" s="1063"/>
      <c r="AQ3069" s="1063"/>
      <c r="AR3069" s="1063"/>
      <c r="AS3069" s="1063"/>
      <c r="AT3069" s="1063"/>
      <c r="AU3069" s="1063"/>
      <c r="AV3069" s="1063"/>
    </row>
    <row r="3070" spans="1:48" s="1108" customFormat="1" ht="27.75" customHeight="1">
      <c r="A3070" s="1076"/>
      <c r="B3070" s="1074">
        <f>+'[18]Bldg+Dev'!S3882</f>
        <v>0</v>
      </c>
      <c r="D3070" s="1063"/>
      <c r="F3070" s="1076"/>
      <c r="G3070" s="1063"/>
      <c r="H3070" s="1063"/>
      <c r="I3070" s="1063"/>
      <c r="J3070" s="1063"/>
      <c r="K3070" s="1063"/>
      <c r="L3070" s="1063"/>
      <c r="M3070" s="1063"/>
      <c r="N3070" s="1063"/>
      <c r="O3070" s="1063"/>
      <c r="P3070" s="1063"/>
      <c r="Q3070" s="1063"/>
      <c r="R3070" s="1063"/>
      <c r="S3070" s="1063"/>
      <c r="T3070" s="1063"/>
      <c r="U3070" s="1063"/>
      <c r="V3070" s="1063"/>
      <c r="W3070" s="1063"/>
      <c r="X3070" s="1063"/>
      <c r="Y3070" s="1063"/>
      <c r="Z3070" s="1063"/>
      <c r="AA3070" s="1063"/>
      <c r="AB3070" s="1063"/>
      <c r="AC3070" s="1063"/>
      <c r="AD3070" s="1063"/>
      <c r="AE3070" s="1063"/>
      <c r="AF3070" s="1063"/>
      <c r="AG3070" s="1063"/>
      <c r="AH3070" s="1063"/>
      <c r="AI3070" s="1063"/>
      <c r="AJ3070" s="1063"/>
      <c r="AK3070" s="1063"/>
      <c r="AL3070" s="1063"/>
      <c r="AM3070" s="1063"/>
      <c r="AN3070" s="1063"/>
      <c r="AO3070" s="1063"/>
      <c r="AP3070" s="1063"/>
      <c r="AQ3070" s="1063"/>
      <c r="AR3070" s="1063"/>
      <c r="AS3070" s="1063"/>
      <c r="AT3070" s="1063"/>
      <c r="AU3070" s="1063"/>
      <c r="AV3070" s="1063"/>
    </row>
    <row r="3071" spans="1:48" s="1108" customFormat="1" ht="27.75" customHeight="1">
      <c r="A3071" s="1076"/>
      <c r="B3071" s="1074">
        <f>+'[18]Bldg+Dev'!S3883</f>
        <v>0</v>
      </c>
      <c r="D3071" s="1063"/>
      <c r="F3071" s="1076"/>
      <c r="G3071" s="1063"/>
      <c r="H3071" s="1063"/>
      <c r="I3071" s="1063"/>
      <c r="J3071" s="1063"/>
      <c r="K3071" s="1063"/>
      <c r="L3071" s="1063"/>
      <c r="M3071" s="1063"/>
      <c r="N3071" s="1063"/>
      <c r="O3071" s="1063"/>
      <c r="P3071" s="1063"/>
      <c r="Q3071" s="1063"/>
      <c r="R3071" s="1063"/>
      <c r="S3071" s="1063"/>
      <c r="T3071" s="1063"/>
      <c r="U3071" s="1063"/>
      <c r="V3071" s="1063"/>
      <c r="W3071" s="1063"/>
      <c r="X3071" s="1063"/>
      <c r="Y3071" s="1063"/>
      <c r="Z3071" s="1063"/>
      <c r="AA3071" s="1063"/>
      <c r="AB3071" s="1063"/>
      <c r="AC3071" s="1063"/>
      <c r="AD3071" s="1063"/>
      <c r="AE3071" s="1063"/>
      <c r="AF3071" s="1063"/>
      <c r="AG3071" s="1063"/>
      <c r="AH3071" s="1063"/>
      <c r="AI3071" s="1063"/>
      <c r="AJ3071" s="1063"/>
      <c r="AK3071" s="1063"/>
      <c r="AL3071" s="1063"/>
      <c r="AM3071" s="1063"/>
      <c r="AN3071" s="1063"/>
      <c r="AO3071" s="1063"/>
      <c r="AP3071" s="1063"/>
      <c r="AQ3071" s="1063"/>
      <c r="AR3071" s="1063"/>
      <c r="AS3071" s="1063"/>
      <c r="AT3071" s="1063"/>
      <c r="AU3071" s="1063"/>
      <c r="AV3071" s="1063"/>
    </row>
    <row r="3072" spans="1:48" s="1108" customFormat="1" ht="27.75" customHeight="1">
      <c r="A3072" s="1076"/>
      <c r="B3072" s="1074">
        <f>+'[18]Bldg+Dev'!S3884</f>
        <v>0</v>
      </c>
      <c r="D3072" s="1063"/>
      <c r="F3072" s="1076"/>
      <c r="G3072" s="1063"/>
      <c r="H3072" s="1063"/>
      <c r="I3072" s="1063"/>
      <c r="J3072" s="1063"/>
      <c r="K3072" s="1063"/>
      <c r="L3072" s="1063"/>
      <c r="M3072" s="1063"/>
      <c r="N3072" s="1063"/>
      <c r="O3072" s="1063"/>
      <c r="P3072" s="1063"/>
      <c r="Q3072" s="1063"/>
      <c r="R3072" s="1063"/>
      <c r="S3072" s="1063"/>
      <c r="T3072" s="1063"/>
      <c r="U3072" s="1063"/>
      <c r="V3072" s="1063"/>
      <c r="W3072" s="1063"/>
      <c r="X3072" s="1063"/>
      <c r="Y3072" s="1063"/>
      <c r="Z3072" s="1063"/>
      <c r="AA3072" s="1063"/>
      <c r="AB3072" s="1063"/>
      <c r="AC3072" s="1063"/>
      <c r="AD3072" s="1063"/>
      <c r="AE3072" s="1063"/>
      <c r="AF3072" s="1063"/>
      <c r="AG3072" s="1063"/>
      <c r="AH3072" s="1063"/>
      <c r="AI3072" s="1063"/>
      <c r="AJ3072" s="1063"/>
      <c r="AK3072" s="1063"/>
      <c r="AL3072" s="1063"/>
      <c r="AM3072" s="1063"/>
      <c r="AN3072" s="1063"/>
      <c r="AO3072" s="1063"/>
      <c r="AP3072" s="1063"/>
      <c r="AQ3072" s="1063"/>
      <c r="AR3072" s="1063"/>
      <c r="AS3072" s="1063"/>
      <c r="AT3072" s="1063"/>
      <c r="AU3072" s="1063"/>
      <c r="AV3072" s="1063"/>
    </row>
    <row r="3073" spans="1:48" s="1108" customFormat="1" ht="27.75" customHeight="1">
      <c r="A3073" s="1076"/>
      <c r="B3073" s="1074">
        <f>+'[18]Bldg+Dev'!S3885</f>
        <v>0</v>
      </c>
      <c r="D3073" s="1063"/>
      <c r="F3073" s="1076"/>
      <c r="G3073" s="1063"/>
      <c r="H3073" s="1063"/>
      <c r="I3073" s="1063"/>
      <c r="J3073" s="1063"/>
      <c r="K3073" s="1063"/>
      <c r="L3073" s="1063"/>
      <c r="M3073" s="1063"/>
      <c r="N3073" s="1063"/>
      <c r="O3073" s="1063"/>
      <c r="P3073" s="1063"/>
      <c r="Q3073" s="1063"/>
      <c r="R3073" s="1063"/>
      <c r="S3073" s="1063"/>
      <c r="T3073" s="1063"/>
      <c r="U3073" s="1063"/>
      <c r="V3073" s="1063"/>
      <c r="W3073" s="1063"/>
      <c r="X3073" s="1063"/>
      <c r="Y3073" s="1063"/>
      <c r="Z3073" s="1063"/>
      <c r="AA3073" s="1063"/>
      <c r="AB3073" s="1063"/>
      <c r="AC3073" s="1063"/>
      <c r="AD3073" s="1063"/>
      <c r="AE3073" s="1063"/>
      <c r="AF3073" s="1063"/>
      <c r="AG3073" s="1063"/>
      <c r="AH3073" s="1063"/>
      <c r="AI3073" s="1063"/>
      <c r="AJ3073" s="1063"/>
      <c r="AK3073" s="1063"/>
      <c r="AL3073" s="1063"/>
      <c r="AM3073" s="1063"/>
      <c r="AN3073" s="1063"/>
      <c r="AO3073" s="1063"/>
      <c r="AP3073" s="1063"/>
      <c r="AQ3073" s="1063"/>
      <c r="AR3073" s="1063"/>
      <c r="AS3073" s="1063"/>
      <c r="AT3073" s="1063"/>
      <c r="AU3073" s="1063"/>
      <c r="AV3073" s="1063"/>
    </row>
    <row r="3074" spans="1:48" s="1108" customFormat="1" ht="27.75" customHeight="1">
      <c r="A3074" s="1076"/>
      <c r="B3074" s="1074">
        <f>+'[18]Bldg+Dev'!S3886</f>
        <v>0</v>
      </c>
      <c r="D3074" s="1063"/>
      <c r="F3074" s="1076"/>
      <c r="G3074" s="1063"/>
      <c r="H3074" s="1063"/>
      <c r="I3074" s="1063"/>
      <c r="J3074" s="1063"/>
      <c r="K3074" s="1063"/>
      <c r="L3074" s="1063"/>
      <c r="M3074" s="1063"/>
      <c r="N3074" s="1063"/>
      <c r="O3074" s="1063"/>
      <c r="P3074" s="1063"/>
      <c r="Q3074" s="1063"/>
      <c r="R3074" s="1063"/>
      <c r="S3074" s="1063"/>
      <c r="T3074" s="1063"/>
      <c r="U3074" s="1063"/>
      <c r="V3074" s="1063"/>
      <c r="W3074" s="1063"/>
      <c r="X3074" s="1063"/>
      <c r="Y3074" s="1063"/>
      <c r="Z3074" s="1063"/>
      <c r="AA3074" s="1063"/>
      <c r="AB3074" s="1063"/>
      <c r="AC3074" s="1063"/>
      <c r="AD3074" s="1063"/>
      <c r="AE3074" s="1063"/>
      <c r="AF3074" s="1063"/>
      <c r="AG3074" s="1063"/>
      <c r="AH3074" s="1063"/>
      <c r="AI3074" s="1063"/>
      <c r="AJ3074" s="1063"/>
      <c r="AK3074" s="1063"/>
      <c r="AL3074" s="1063"/>
      <c r="AM3074" s="1063"/>
      <c r="AN3074" s="1063"/>
      <c r="AO3074" s="1063"/>
      <c r="AP3074" s="1063"/>
      <c r="AQ3074" s="1063"/>
      <c r="AR3074" s="1063"/>
      <c r="AS3074" s="1063"/>
      <c r="AT3074" s="1063"/>
      <c r="AU3074" s="1063"/>
      <c r="AV3074" s="1063"/>
    </row>
    <row r="3075" spans="1:48" s="1108" customFormat="1" ht="27.75" customHeight="1">
      <c r="A3075" s="1076"/>
      <c r="B3075" s="1074">
        <f>+'[18]Bldg+Dev'!S3887</f>
        <v>0</v>
      </c>
      <c r="D3075" s="1063"/>
      <c r="F3075" s="1076"/>
      <c r="G3075" s="1063"/>
      <c r="H3075" s="1063"/>
      <c r="I3075" s="1063"/>
      <c r="J3075" s="1063"/>
      <c r="K3075" s="1063"/>
      <c r="L3075" s="1063"/>
      <c r="M3075" s="1063"/>
      <c r="N3075" s="1063"/>
      <c r="O3075" s="1063"/>
      <c r="P3075" s="1063"/>
      <c r="Q3075" s="1063"/>
      <c r="R3075" s="1063"/>
      <c r="S3075" s="1063"/>
      <c r="T3075" s="1063"/>
      <c r="U3075" s="1063"/>
      <c r="V3075" s="1063"/>
      <c r="W3075" s="1063"/>
      <c r="X3075" s="1063"/>
      <c r="Y3075" s="1063"/>
      <c r="Z3075" s="1063"/>
      <c r="AA3075" s="1063"/>
      <c r="AB3075" s="1063"/>
      <c r="AC3075" s="1063"/>
      <c r="AD3075" s="1063"/>
      <c r="AE3075" s="1063"/>
      <c r="AF3075" s="1063"/>
      <c r="AG3075" s="1063"/>
      <c r="AH3075" s="1063"/>
      <c r="AI3075" s="1063"/>
      <c r="AJ3075" s="1063"/>
      <c r="AK3075" s="1063"/>
      <c r="AL3075" s="1063"/>
      <c r="AM3075" s="1063"/>
      <c r="AN3075" s="1063"/>
      <c r="AO3075" s="1063"/>
      <c r="AP3075" s="1063"/>
      <c r="AQ3075" s="1063"/>
      <c r="AR3075" s="1063"/>
      <c r="AS3075" s="1063"/>
      <c r="AT3075" s="1063"/>
      <c r="AU3075" s="1063"/>
      <c r="AV3075" s="1063"/>
    </row>
    <row r="3076" spans="1:48" s="1108" customFormat="1" ht="27.75" customHeight="1">
      <c r="A3076" s="1076"/>
      <c r="B3076" s="1074">
        <f>+'[18]Bldg+Dev'!S3888</f>
        <v>0</v>
      </c>
      <c r="D3076" s="1063"/>
      <c r="F3076" s="1076"/>
      <c r="G3076" s="1063"/>
      <c r="H3076" s="1063"/>
      <c r="I3076" s="1063"/>
      <c r="J3076" s="1063"/>
      <c r="K3076" s="1063"/>
      <c r="L3076" s="1063"/>
      <c r="M3076" s="1063"/>
      <c r="N3076" s="1063"/>
      <c r="O3076" s="1063"/>
      <c r="P3076" s="1063"/>
      <c r="Q3076" s="1063"/>
      <c r="R3076" s="1063"/>
      <c r="S3076" s="1063"/>
      <c r="T3076" s="1063"/>
      <c r="U3076" s="1063"/>
      <c r="V3076" s="1063"/>
      <c r="W3076" s="1063"/>
      <c r="X3076" s="1063"/>
      <c r="Y3076" s="1063"/>
      <c r="Z3076" s="1063"/>
      <c r="AA3076" s="1063"/>
      <c r="AB3076" s="1063"/>
      <c r="AC3076" s="1063"/>
      <c r="AD3076" s="1063"/>
      <c r="AE3076" s="1063"/>
      <c r="AF3076" s="1063"/>
      <c r="AG3076" s="1063"/>
      <c r="AH3076" s="1063"/>
      <c r="AI3076" s="1063"/>
      <c r="AJ3076" s="1063"/>
      <c r="AK3076" s="1063"/>
      <c r="AL3076" s="1063"/>
      <c r="AM3076" s="1063"/>
      <c r="AN3076" s="1063"/>
      <c r="AO3076" s="1063"/>
      <c r="AP3076" s="1063"/>
      <c r="AQ3076" s="1063"/>
      <c r="AR3076" s="1063"/>
      <c r="AS3076" s="1063"/>
      <c r="AT3076" s="1063"/>
      <c r="AU3076" s="1063"/>
      <c r="AV3076" s="1063"/>
    </row>
    <row r="3077" spans="1:48" s="1108" customFormat="1" ht="27.75" customHeight="1">
      <c r="A3077" s="1076"/>
      <c r="B3077" s="1074">
        <f>+'[18]Bldg+Dev'!S3889</f>
        <v>0</v>
      </c>
      <c r="D3077" s="1063"/>
      <c r="F3077" s="1076"/>
      <c r="G3077" s="1063"/>
      <c r="H3077" s="1063"/>
      <c r="I3077" s="1063"/>
      <c r="J3077" s="1063"/>
      <c r="K3077" s="1063"/>
      <c r="L3077" s="1063"/>
      <c r="M3077" s="1063"/>
      <c r="N3077" s="1063"/>
      <c r="O3077" s="1063"/>
      <c r="P3077" s="1063"/>
      <c r="Q3077" s="1063"/>
      <c r="R3077" s="1063"/>
      <c r="S3077" s="1063"/>
      <c r="T3077" s="1063"/>
      <c r="U3077" s="1063"/>
      <c r="V3077" s="1063"/>
      <c r="W3077" s="1063"/>
      <c r="X3077" s="1063"/>
      <c r="Y3077" s="1063"/>
      <c r="Z3077" s="1063"/>
      <c r="AA3077" s="1063"/>
      <c r="AB3077" s="1063"/>
      <c r="AC3077" s="1063"/>
      <c r="AD3077" s="1063"/>
      <c r="AE3077" s="1063"/>
      <c r="AF3077" s="1063"/>
      <c r="AG3077" s="1063"/>
      <c r="AH3077" s="1063"/>
      <c r="AI3077" s="1063"/>
      <c r="AJ3077" s="1063"/>
      <c r="AK3077" s="1063"/>
      <c r="AL3077" s="1063"/>
      <c r="AM3077" s="1063"/>
      <c r="AN3077" s="1063"/>
      <c r="AO3077" s="1063"/>
      <c r="AP3077" s="1063"/>
      <c r="AQ3077" s="1063"/>
      <c r="AR3077" s="1063"/>
      <c r="AS3077" s="1063"/>
      <c r="AT3077" s="1063"/>
      <c r="AU3077" s="1063"/>
      <c r="AV3077" s="1063"/>
    </row>
    <row r="3078" spans="1:48" s="1108" customFormat="1" ht="27.75" customHeight="1">
      <c r="A3078" s="1076"/>
      <c r="B3078" s="1074">
        <f>+'[18]Bldg+Dev'!S3890</f>
        <v>0</v>
      </c>
      <c r="D3078" s="1063"/>
      <c r="F3078" s="1076"/>
      <c r="G3078" s="1063"/>
      <c r="H3078" s="1063"/>
      <c r="I3078" s="1063"/>
      <c r="J3078" s="1063"/>
      <c r="K3078" s="1063"/>
      <c r="L3078" s="1063"/>
      <c r="M3078" s="1063"/>
      <c r="N3078" s="1063"/>
      <c r="O3078" s="1063"/>
      <c r="P3078" s="1063"/>
      <c r="Q3078" s="1063"/>
      <c r="R3078" s="1063"/>
      <c r="S3078" s="1063"/>
      <c r="T3078" s="1063"/>
      <c r="U3078" s="1063"/>
      <c r="V3078" s="1063"/>
      <c r="W3078" s="1063"/>
      <c r="X3078" s="1063"/>
      <c r="Y3078" s="1063"/>
      <c r="Z3078" s="1063"/>
      <c r="AA3078" s="1063"/>
      <c r="AB3078" s="1063"/>
      <c r="AC3078" s="1063"/>
      <c r="AD3078" s="1063"/>
      <c r="AE3078" s="1063"/>
      <c r="AF3078" s="1063"/>
      <c r="AG3078" s="1063"/>
      <c r="AH3078" s="1063"/>
      <c r="AI3078" s="1063"/>
      <c r="AJ3078" s="1063"/>
      <c r="AK3078" s="1063"/>
      <c r="AL3078" s="1063"/>
      <c r="AM3078" s="1063"/>
      <c r="AN3078" s="1063"/>
      <c r="AO3078" s="1063"/>
      <c r="AP3078" s="1063"/>
      <c r="AQ3078" s="1063"/>
      <c r="AR3078" s="1063"/>
      <c r="AS3078" s="1063"/>
      <c r="AT3078" s="1063"/>
      <c r="AU3078" s="1063"/>
      <c r="AV3078" s="1063"/>
    </row>
    <row r="3079" spans="1:48" s="1108" customFormat="1" ht="27.75" customHeight="1">
      <c r="A3079" s="1076"/>
      <c r="B3079" s="1074">
        <f>+'[18]Bldg+Dev'!S3891</f>
        <v>0</v>
      </c>
      <c r="D3079" s="1063"/>
      <c r="F3079" s="1076"/>
      <c r="G3079" s="1063"/>
      <c r="H3079" s="1063"/>
      <c r="I3079" s="1063"/>
      <c r="J3079" s="1063"/>
      <c r="K3079" s="1063"/>
      <c r="L3079" s="1063"/>
      <c r="M3079" s="1063"/>
      <c r="N3079" s="1063"/>
      <c r="O3079" s="1063"/>
      <c r="P3079" s="1063"/>
      <c r="Q3079" s="1063"/>
      <c r="R3079" s="1063"/>
      <c r="S3079" s="1063"/>
      <c r="T3079" s="1063"/>
      <c r="U3079" s="1063"/>
      <c r="V3079" s="1063"/>
      <c r="W3079" s="1063"/>
      <c r="X3079" s="1063"/>
      <c r="Y3079" s="1063"/>
      <c r="Z3079" s="1063"/>
      <c r="AA3079" s="1063"/>
      <c r="AB3079" s="1063"/>
      <c r="AC3079" s="1063"/>
      <c r="AD3079" s="1063"/>
      <c r="AE3079" s="1063"/>
      <c r="AF3079" s="1063"/>
      <c r="AG3079" s="1063"/>
      <c r="AH3079" s="1063"/>
      <c r="AI3079" s="1063"/>
      <c r="AJ3079" s="1063"/>
      <c r="AK3079" s="1063"/>
      <c r="AL3079" s="1063"/>
      <c r="AM3079" s="1063"/>
      <c r="AN3079" s="1063"/>
      <c r="AO3079" s="1063"/>
      <c r="AP3079" s="1063"/>
      <c r="AQ3079" s="1063"/>
      <c r="AR3079" s="1063"/>
      <c r="AS3079" s="1063"/>
      <c r="AT3079" s="1063"/>
      <c r="AU3079" s="1063"/>
      <c r="AV3079" s="1063"/>
    </row>
    <row r="3080" spans="1:48" s="1108" customFormat="1" ht="27.75" customHeight="1">
      <c r="A3080" s="1076"/>
      <c r="B3080" s="1074">
        <f>+'[18]Bldg+Dev'!S3892</f>
        <v>0</v>
      </c>
      <c r="D3080" s="1063"/>
      <c r="F3080" s="1076"/>
      <c r="G3080" s="1063"/>
      <c r="H3080" s="1063"/>
      <c r="I3080" s="1063"/>
      <c r="J3080" s="1063"/>
      <c r="K3080" s="1063"/>
      <c r="L3080" s="1063"/>
      <c r="M3080" s="1063"/>
      <c r="N3080" s="1063"/>
      <c r="O3080" s="1063"/>
      <c r="P3080" s="1063"/>
      <c r="Q3080" s="1063"/>
      <c r="R3080" s="1063"/>
      <c r="S3080" s="1063"/>
      <c r="T3080" s="1063"/>
      <c r="U3080" s="1063"/>
      <c r="V3080" s="1063"/>
      <c r="W3080" s="1063"/>
      <c r="X3080" s="1063"/>
      <c r="Y3080" s="1063"/>
      <c r="Z3080" s="1063"/>
      <c r="AA3080" s="1063"/>
      <c r="AB3080" s="1063"/>
      <c r="AC3080" s="1063"/>
      <c r="AD3080" s="1063"/>
      <c r="AE3080" s="1063"/>
      <c r="AF3080" s="1063"/>
      <c r="AG3080" s="1063"/>
      <c r="AH3080" s="1063"/>
      <c r="AI3080" s="1063"/>
      <c r="AJ3080" s="1063"/>
      <c r="AK3080" s="1063"/>
      <c r="AL3080" s="1063"/>
      <c r="AM3080" s="1063"/>
      <c r="AN3080" s="1063"/>
      <c r="AO3080" s="1063"/>
      <c r="AP3080" s="1063"/>
      <c r="AQ3080" s="1063"/>
      <c r="AR3080" s="1063"/>
      <c r="AS3080" s="1063"/>
      <c r="AT3080" s="1063"/>
      <c r="AU3080" s="1063"/>
      <c r="AV3080" s="1063"/>
    </row>
    <row r="3081" spans="1:48" s="1108" customFormat="1" ht="27.75" customHeight="1">
      <c r="A3081" s="1076"/>
      <c r="B3081" s="1074">
        <f>+'[18]Bldg+Dev'!S3893</f>
        <v>0</v>
      </c>
      <c r="D3081" s="1063"/>
      <c r="F3081" s="1076"/>
      <c r="G3081" s="1063"/>
      <c r="H3081" s="1063"/>
      <c r="I3081" s="1063"/>
      <c r="J3081" s="1063"/>
      <c r="K3081" s="1063"/>
      <c r="L3081" s="1063"/>
      <c r="M3081" s="1063"/>
      <c r="N3081" s="1063"/>
      <c r="O3081" s="1063"/>
      <c r="P3081" s="1063"/>
      <c r="Q3081" s="1063"/>
      <c r="R3081" s="1063"/>
      <c r="S3081" s="1063"/>
      <c r="T3081" s="1063"/>
      <c r="U3081" s="1063"/>
      <c r="V3081" s="1063"/>
      <c r="W3081" s="1063"/>
      <c r="X3081" s="1063"/>
      <c r="Y3081" s="1063"/>
      <c r="Z3081" s="1063"/>
      <c r="AA3081" s="1063"/>
      <c r="AB3081" s="1063"/>
      <c r="AC3081" s="1063"/>
      <c r="AD3081" s="1063"/>
      <c r="AE3081" s="1063"/>
      <c r="AF3081" s="1063"/>
      <c r="AG3081" s="1063"/>
      <c r="AH3081" s="1063"/>
      <c r="AI3081" s="1063"/>
      <c r="AJ3081" s="1063"/>
      <c r="AK3081" s="1063"/>
      <c r="AL3081" s="1063"/>
      <c r="AM3081" s="1063"/>
      <c r="AN3081" s="1063"/>
      <c r="AO3081" s="1063"/>
      <c r="AP3081" s="1063"/>
      <c r="AQ3081" s="1063"/>
      <c r="AR3081" s="1063"/>
      <c r="AS3081" s="1063"/>
      <c r="AT3081" s="1063"/>
      <c r="AU3081" s="1063"/>
      <c r="AV3081" s="1063"/>
    </row>
    <row r="3082" spans="1:48" s="1108" customFormat="1" ht="27.75" customHeight="1">
      <c r="A3082" s="1076"/>
      <c r="B3082" s="1074">
        <f>+'[18]Bldg+Dev'!S3894</f>
        <v>0</v>
      </c>
      <c r="D3082" s="1063"/>
      <c r="F3082" s="1076"/>
      <c r="G3082" s="1063"/>
      <c r="H3082" s="1063"/>
      <c r="I3082" s="1063"/>
      <c r="J3082" s="1063"/>
      <c r="K3082" s="1063"/>
      <c r="L3082" s="1063"/>
      <c r="M3082" s="1063"/>
      <c r="N3082" s="1063"/>
      <c r="O3082" s="1063"/>
      <c r="P3082" s="1063"/>
      <c r="Q3082" s="1063"/>
      <c r="R3082" s="1063"/>
      <c r="S3082" s="1063"/>
      <c r="T3082" s="1063"/>
      <c r="U3082" s="1063"/>
      <c r="V3082" s="1063"/>
      <c r="W3082" s="1063"/>
      <c r="X3082" s="1063"/>
      <c r="Y3082" s="1063"/>
      <c r="Z3082" s="1063"/>
      <c r="AA3082" s="1063"/>
      <c r="AB3082" s="1063"/>
      <c r="AC3082" s="1063"/>
      <c r="AD3082" s="1063"/>
      <c r="AE3082" s="1063"/>
      <c r="AF3082" s="1063"/>
      <c r="AG3082" s="1063"/>
      <c r="AH3082" s="1063"/>
      <c r="AI3082" s="1063"/>
      <c r="AJ3082" s="1063"/>
      <c r="AK3082" s="1063"/>
      <c r="AL3082" s="1063"/>
      <c r="AM3082" s="1063"/>
      <c r="AN3082" s="1063"/>
      <c r="AO3082" s="1063"/>
      <c r="AP3082" s="1063"/>
      <c r="AQ3082" s="1063"/>
      <c r="AR3082" s="1063"/>
      <c r="AS3082" s="1063"/>
      <c r="AT3082" s="1063"/>
      <c r="AU3082" s="1063"/>
      <c r="AV3082" s="1063"/>
    </row>
    <row r="3083" spans="1:48" s="1108" customFormat="1" ht="27.75" customHeight="1">
      <c r="A3083" s="1076"/>
      <c r="B3083" s="1074">
        <f>+'[18]Bldg+Dev'!S3895</f>
        <v>0</v>
      </c>
      <c r="D3083" s="1063"/>
      <c r="F3083" s="1076"/>
      <c r="G3083" s="1063"/>
      <c r="H3083" s="1063"/>
      <c r="I3083" s="1063"/>
      <c r="J3083" s="1063"/>
      <c r="K3083" s="1063"/>
      <c r="L3083" s="1063"/>
      <c r="M3083" s="1063"/>
      <c r="N3083" s="1063"/>
      <c r="O3083" s="1063"/>
      <c r="P3083" s="1063"/>
      <c r="Q3083" s="1063"/>
      <c r="R3083" s="1063"/>
      <c r="S3083" s="1063"/>
      <c r="T3083" s="1063"/>
      <c r="U3083" s="1063"/>
      <c r="V3083" s="1063"/>
      <c r="W3083" s="1063"/>
      <c r="X3083" s="1063"/>
      <c r="Y3083" s="1063"/>
      <c r="Z3083" s="1063"/>
      <c r="AA3083" s="1063"/>
      <c r="AB3083" s="1063"/>
      <c r="AC3083" s="1063"/>
      <c r="AD3083" s="1063"/>
      <c r="AE3083" s="1063"/>
      <c r="AF3083" s="1063"/>
      <c r="AG3083" s="1063"/>
      <c r="AH3083" s="1063"/>
      <c r="AI3083" s="1063"/>
      <c r="AJ3083" s="1063"/>
      <c r="AK3083" s="1063"/>
      <c r="AL3083" s="1063"/>
      <c r="AM3083" s="1063"/>
      <c r="AN3083" s="1063"/>
      <c r="AO3083" s="1063"/>
      <c r="AP3083" s="1063"/>
      <c r="AQ3083" s="1063"/>
      <c r="AR3083" s="1063"/>
      <c r="AS3083" s="1063"/>
      <c r="AT3083" s="1063"/>
      <c r="AU3083" s="1063"/>
      <c r="AV3083" s="1063"/>
    </row>
    <row r="3084" spans="1:48" s="1108" customFormat="1" ht="27.75" customHeight="1">
      <c r="A3084" s="1076"/>
      <c r="B3084" s="1074">
        <f>+'[18]Bldg+Dev'!S3896</f>
        <v>0</v>
      </c>
      <c r="D3084" s="1063"/>
      <c r="F3084" s="1076"/>
      <c r="G3084" s="1063"/>
      <c r="H3084" s="1063"/>
      <c r="I3084" s="1063"/>
      <c r="J3084" s="1063"/>
      <c r="K3084" s="1063"/>
      <c r="L3084" s="1063"/>
      <c r="M3084" s="1063"/>
      <c r="N3084" s="1063"/>
      <c r="O3084" s="1063"/>
      <c r="P3084" s="1063"/>
      <c r="Q3084" s="1063"/>
      <c r="R3084" s="1063"/>
      <c r="S3084" s="1063"/>
      <c r="T3084" s="1063"/>
      <c r="U3084" s="1063"/>
      <c r="V3084" s="1063"/>
      <c r="W3084" s="1063"/>
      <c r="X3084" s="1063"/>
      <c r="Y3084" s="1063"/>
      <c r="Z3084" s="1063"/>
      <c r="AA3084" s="1063"/>
      <c r="AB3084" s="1063"/>
      <c r="AC3084" s="1063"/>
      <c r="AD3084" s="1063"/>
      <c r="AE3084" s="1063"/>
      <c r="AF3084" s="1063"/>
      <c r="AG3084" s="1063"/>
      <c r="AH3084" s="1063"/>
      <c r="AI3084" s="1063"/>
      <c r="AJ3084" s="1063"/>
      <c r="AK3084" s="1063"/>
      <c r="AL3084" s="1063"/>
      <c r="AM3084" s="1063"/>
      <c r="AN3084" s="1063"/>
      <c r="AO3084" s="1063"/>
      <c r="AP3084" s="1063"/>
      <c r="AQ3084" s="1063"/>
      <c r="AR3084" s="1063"/>
      <c r="AS3084" s="1063"/>
      <c r="AT3084" s="1063"/>
      <c r="AU3084" s="1063"/>
      <c r="AV3084" s="1063"/>
    </row>
    <row r="3085" spans="1:48" s="1108" customFormat="1" ht="27.75" customHeight="1">
      <c r="A3085" s="1076"/>
      <c r="B3085" s="1074">
        <f>+'[18]Bldg+Dev'!S3897</f>
        <v>0</v>
      </c>
      <c r="D3085" s="1063"/>
      <c r="F3085" s="1076"/>
      <c r="G3085" s="1063"/>
      <c r="H3085" s="1063"/>
      <c r="I3085" s="1063"/>
      <c r="J3085" s="1063"/>
      <c r="K3085" s="1063"/>
      <c r="L3085" s="1063"/>
      <c r="M3085" s="1063"/>
      <c r="N3085" s="1063"/>
      <c r="O3085" s="1063"/>
      <c r="P3085" s="1063"/>
      <c r="Q3085" s="1063"/>
      <c r="R3085" s="1063"/>
      <c r="S3085" s="1063"/>
      <c r="T3085" s="1063"/>
      <c r="U3085" s="1063"/>
      <c r="V3085" s="1063"/>
      <c r="W3085" s="1063"/>
      <c r="X3085" s="1063"/>
      <c r="Y3085" s="1063"/>
      <c r="Z3085" s="1063"/>
      <c r="AA3085" s="1063"/>
      <c r="AB3085" s="1063"/>
      <c r="AC3085" s="1063"/>
      <c r="AD3085" s="1063"/>
      <c r="AE3085" s="1063"/>
      <c r="AF3085" s="1063"/>
      <c r="AG3085" s="1063"/>
      <c r="AH3085" s="1063"/>
      <c r="AI3085" s="1063"/>
      <c r="AJ3085" s="1063"/>
      <c r="AK3085" s="1063"/>
      <c r="AL3085" s="1063"/>
      <c r="AM3085" s="1063"/>
      <c r="AN3085" s="1063"/>
      <c r="AO3085" s="1063"/>
      <c r="AP3085" s="1063"/>
      <c r="AQ3085" s="1063"/>
      <c r="AR3085" s="1063"/>
      <c r="AS3085" s="1063"/>
      <c r="AT3085" s="1063"/>
      <c r="AU3085" s="1063"/>
      <c r="AV3085" s="1063"/>
    </row>
    <row r="3086" spans="1:48" s="1108" customFormat="1" ht="27.75" customHeight="1">
      <c r="A3086" s="1076"/>
      <c r="B3086" s="1074">
        <f>+'[18]Bldg+Dev'!S3898</f>
        <v>0</v>
      </c>
      <c r="D3086" s="1063"/>
      <c r="F3086" s="1076"/>
      <c r="G3086" s="1063"/>
      <c r="H3086" s="1063"/>
      <c r="I3086" s="1063"/>
      <c r="J3086" s="1063"/>
      <c r="K3086" s="1063"/>
      <c r="L3086" s="1063"/>
      <c r="M3086" s="1063"/>
      <c r="N3086" s="1063"/>
      <c r="O3086" s="1063"/>
      <c r="P3086" s="1063"/>
      <c r="Q3086" s="1063"/>
      <c r="R3086" s="1063"/>
      <c r="S3086" s="1063"/>
      <c r="T3086" s="1063"/>
      <c r="U3086" s="1063"/>
      <c r="V3086" s="1063"/>
      <c r="W3086" s="1063"/>
      <c r="X3086" s="1063"/>
      <c r="Y3086" s="1063"/>
      <c r="Z3086" s="1063"/>
      <c r="AA3086" s="1063"/>
      <c r="AB3086" s="1063"/>
      <c r="AC3086" s="1063"/>
      <c r="AD3086" s="1063"/>
      <c r="AE3086" s="1063"/>
      <c r="AF3086" s="1063"/>
      <c r="AG3086" s="1063"/>
      <c r="AH3086" s="1063"/>
      <c r="AI3086" s="1063"/>
      <c r="AJ3086" s="1063"/>
      <c r="AK3086" s="1063"/>
      <c r="AL3086" s="1063"/>
      <c r="AM3086" s="1063"/>
      <c r="AN3086" s="1063"/>
      <c r="AO3086" s="1063"/>
      <c r="AP3086" s="1063"/>
      <c r="AQ3086" s="1063"/>
      <c r="AR3086" s="1063"/>
      <c r="AS3086" s="1063"/>
      <c r="AT3086" s="1063"/>
      <c r="AU3086" s="1063"/>
      <c r="AV3086" s="1063"/>
    </row>
    <row r="3087" spans="1:48" s="1108" customFormat="1" ht="27.75" customHeight="1">
      <c r="A3087" s="1076"/>
      <c r="B3087" s="1074">
        <f>+'[18]Bldg+Dev'!S3899</f>
        <v>0</v>
      </c>
      <c r="D3087" s="1063"/>
      <c r="F3087" s="1076"/>
      <c r="G3087" s="1063"/>
      <c r="H3087" s="1063"/>
      <c r="I3087" s="1063"/>
      <c r="J3087" s="1063"/>
      <c r="K3087" s="1063"/>
      <c r="L3087" s="1063"/>
      <c r="M3087" s="1063"/>
      <c r="N3087" s="1063"/>
      <c r="O3087" s="1063"/>
      <c r="P3087" s="1063"/>
      <c r="Q3087" s="1063"/>
      <c r="R3087" s="1063"/>
      <c r="S3087" s="1063"/>
      <c r="T3087" s="1063"/>
      <c r="U3087" s="1063"/>
      <c r="V3087" s="1063"/>
      <c r="W3087" s="1063"/>
      <c r="X3087" s="1063"/>
      <c r="Y3087" s="1063"/>
      <c r="Z3087" s="1063"/>
      <c r="AA3087" s="1063"/>
      <c r="AB3087" s="1063"/>
      <c r="AC3087" s="1063"/>
      <c r="AD3087" s="1063"/>
      <c r="AE3087" s="1063"/>
      <c r="AF3087" s="1063"/>
      <c r="AG3087" s="1063"/>
      <c r="AH3087" s="1063"/>
      <c r="AI3087" s="1063"/>
      <c r="AJ3087" s="1063"/>
      <c r="AK3087" s="1063"/>
      <c r="AL3087" s="1063"/>
      <c r="AM3087" s="1063"/>
      <c r="AN3087" s="1063"/>
      <c r="AO3087" s="1063"/>
      <c r="AP3087" s="1063"/>
      <c r="AQ3087" s="1063"/>
      <c r="AR3087" s="1063"/>
      <c r="AS3087" s="1063"/>
      <c r="AT3087" s="1063"/>
      <c r="AU3087" s="1063"/>
      <c r="AV3087" s="1063"/>
    </row>
    <row r="3088" spans="1:48" s="1108" customFormat="1" ht="27.75" customHeight="1">
      <c r="A3088" s="1076"/>
      <c r="B3088" s="1074">
        <f>+'[18]Bldg+Dev'!S3900</f>
        <v>0</v>
      </c>
      <c r="D3088" s="1063"/>
      <c r="F3088" s="1076"/>
      <c r="G3088" s="1063"/>
      <c r="H3088" s="1063"/>
      <c r="I3088" s="1063"/>
      <c r="J3088" s="1063"/>
      <c r="K3088" s="1063"/>
      <c r="L3088" s="1063"/>
      <c r="M3088" s="1063"/>
      <c r="N3088" s="1063"/>
      <c r="O3088" s="1063"/>
      <c r="P3088" s="1063"/>
      <c r="Q3088" s="1063"/>
      <c r="R3088" s="1063"/>
      <c r="S3088" s="1063"/>
      <c r="T3088" s="1063"/>
      <c r="U3088" s="1063"/>
      <c r="V3088" s="1063"/>
      <c r="W3088" s="1063"/>
      <c r="X3088" s="1063"/>
      <c r="Y3088" s="1063"/>
      <c r="Z3088" s="1063"/>
      <c r="AA3088" s="1063"/>
      <c r="AB3088" s="1063"/>
      <c r="AC3088" s="1063"/>
      <c r="AD3088" s="1063"/>
      <c r="AE3088" s="1063"/>
      <c r="AF3088" s="1063"/>
      <c r="AG3088" s="1063"/>
      <c r="AH3088" s="1063"/>
      <c r="AI3088" s="1063"/>
      <c r="AJ3088" s="1063"/>
      <c r="AK3088" s="1063"/>
      <c r="AL3088" s="1063"/>
      <c r="AM3088" s="1063"/>
      <c r="AN3088" s="1063"/>
      <c r="AO3088" s="1063"/>
      <c r="AP3088" s="1063"/>
      <c r="AQ3088" s="1063"/>
      <c r="AR3088" s="1063"/>
      <c r="AS3088" s="1063"/>
      <c r="AT3088" s="1063"/>
      <c r="AU3088" s="1063"/>
      <c r="AV3088" s="1063"/>
    </row>
    <row r="3089" spans="1:48" s="1108" customFormat="1" ht="27.75" customHeight="1">
      <c r="A3089" s="1076"/>
      <c r="B3089" s="1074">
        <f>+'[18]Bldg+Dev'!S3901</f>
        <v>0</v>
      </c>
      <c r="D3089" s="1063"/>
      <c r="F3089" s="1076"/>
      <c r="G3089" s="1063"/>
      <c r="H3089" s="1063"/>
      <c r="I3089" s="1063"/>
      <c r="J3089" s="1063"/>
      <c r="K3089" s="1063"/>
      <c r="L3089" s="1063"/>
      <c r="M3089" s="1063"/>
      <c r="N3089" s="1063"/>
      <c r="O3089" s="1063"/>
      <c r="P3089" s="1063"/>
      <c r="Q3089" s="1063"/>
      <c r="R3089" s="1063"/>
      <c r="S3089" s="1063"/>
      <c r="T3089" s="1063"/>
      <c r="U3089" s="1063"/>
      <c r="V3089" s="1063"/>
      <c r="W3089" s="1063"/>
      <c r="X3089" s="1063"/>
      <c r="Y3089" s="1063"/>
      <c r="Z3089" s="1063"/>
      <c r="AA3089" s="1063"/>
      <c r="AB3089" s="1063"/>
      <c r="AC3089" s="1063"/>
      <c r="AD3089" s="1063"/>
      <c r="AE3089" s="1063"/>
      <c r="AF3089" s="1063"/>
      <c r="AG3089" s="1063"/>
      <c r="AH3089" s="1063"/>
      <c r="AI3089" s="1063"/>
      <c r="AJ3089" s="1063"/>
      <c r="AK3089" s="1063"/>
      <c r="AL3089" s="1063"/>
      <c r="AM3089" s="1063"/>
      <c r="AN3089" s="1063"/>
      <c r="AO3089" s="1063"/>
      <c r="AP3089" s="1063"/>
      <c r="AQ3089" s="1063"/>
      <c r="AR3089" s="1063"/>
      <c r="AS3089" s="1063"/>
      <c r="AT3089" s="1063"/>
      <c r="AU3089" s="1063"/>
      <c r="AV3089" s="1063"/>
    </row>
    <row r="3090" spans="1:48" s="1108" customFormat="1" ht="27.75" customHeight="1">
      <c r="A3090" s="1076"/>
      <c r="B3090" s="1074">
        <f>+'[18]Bldg+Dev'!S3902</f>
        <v>0</v>
      </c>
      <c r="D3090" s="1063"/>
      <c r="F3090" s="1076"/>
      <c r="G3090" s="1063"/>
      <c r="H3090" s="1063"/>
      <c r="I3090" s="1063"/>
      <c r="J3090" s="1063"/>
      <c r="K3090" s="1063"/>
      <c r="L3090" s="1063"/>
      <c r="M3090" s="1063"/>
      <c r="N3090" s="1063"/>
      <c r="O3090" s="1063"/>
      <c r="P3090" s="1063"/>
      <c r="Q3090" s="1063"/>
      <c r="R3090" s="1063"/>
      <c r="S3090" s="1063"/>
      <c r="T3090" s="1063"/>
      <c r="U3090" s="1063"/>
      <c r="V3090" s="1063"/>
      <c r="W3090" s="1063"/>
      <c r="X3090" s="1063"/>
      <c r="Y3090" s="1063"/>
      <c r="Z3090" s="1063"/>
      <c r="AA3090" s="1063"/>
      <c r="AB3090" s="1063"/>
      <c r="AC3090" s="1063"/>
      <c r="AD3090" s="1063"/>
      <c r="AE3090" s="1063"/>
      <c r="AF3090" s="1063"/>
      <c r="AG3090" s="1063"/>
      <c r="AH3090" s="1063"/>
      <c r="AI3090" s="1063"/>
      <c r="AJ3090" s="1063"/>
      <c r="AK3090" s="1063"/>
      <c r="AL3090" s="1063"/>
      <c r="AM3090" s="1063"/>
      <c r="AN3090" s="1063"/>
      <c r="AO3090" s="1063"/>
      <c r="AP3090" s="1063"/>
      <c r="AQ3090" s="1063"/>
      <c r="AR3090" s="1063"/>
      <c r="AS3090" s="1063"/>
      <c r="AT3090" s="1063"/>
      <c r="AU3090" s="1063"/>
      <c r="AV3090" s="1063"/>
    </row>
    <row r="3091" spans="1:48" s="1108" customFormat="1" ht="27.75" customHeight="1">
      <c r="A3091" s="1076"/>
      <c r="B3091" s="1074">
        <f>+'[18]Bldg+Dev'!S3903</f>
        <v>0</v>
      </c>
      <c r="D3091" s="1063"/>
      <c r="F3091" s="1076"/>
      <c r="G3091" s="1063"/>
      <c r="H3091" s="1063"/>
      <c r="I3091" s="1063"/>
      <c r="J3091" s="1063"/>
      <c r="K3091" s="1063"/>
      <c r="L3091" s="1063"/>
      <c r="M3091" s="1063"/>
      <c r="N3091" s="1063"/>
      <c r="O3091" s="1063"/>
      <c r="P3091" s="1063"/>
      <c r="Q3091" s="1063"/>
      <c r="R3091" s="1063"/>
      <c r="S3091" s="1063"/>
      <c r="T3091" s="1063"/>
      <c r="U3091" s="1063"/>
      <c r="V3091" s="1063"/>
      <c r="W3091" s="1063"/>
      <c r="X3091" s="1063"/>
      <c r="Y3091" s="1063"/>
      <c r="Z3091" s="1063"/>
      <c r="AA3091" s="1063"/>
      <c r="AB3091" s="1063"/>
      <c r="AC3091" s="1063"/>
      <c r="AD3091" s="1063"/>
      <c r="AE3091" s="1063"/>
      <c r="AF3091" s="1063"/>
      <c r="AG3091" s="1063"/>
      <c r="AH3091" s="1063"/>
      <c r="AI3091" s="1063"/>
      <c r="AJ3091" s="1063"/>
      <c r="AK3091" s="1063"/>
      <c r="AL3091" s="1063"/>
      <c r="AM3091" s="1063"/>
      <c r="AN3091" s="1063"/>
      <c r="AO3091" s="1063"/>
      <c r="AP3091" s="1063"/>
      <c r="AQ3091" s="1063"/>
      <c r="AR3091" s="1063"/>
      <c r="AS3091" s="1063"/>
      <c r="AT3091" s="1063"/>
      <c r="AU3091" s="1063"/>
      <c r="AV3091" s="1063"/>
    </row>
    <row r="3092" spans="1:48" s="1108" customFormat="1" ht="27.75" customHeight="1">
      <c r="A3092" s="1076"/>
      <c r="B3092" s="1074">
        <f>+'[18]Bldg+Dev'!S3904</f>
        <v>0</v>
      </c>
      <c r="D3092" s="1063"/>
      <c r="F3092" s="1076"/>
      <c r="G3092" s="1063"/>
      <c r="H3092" s="1063"/>
      <c r="I3092" s="1063"/>
      <c r="J3092" s="1063"/>
      <c r="K3092" s="1063"/>
      <c r="L3092" s="1063"/>
      <c r="M3092" s="1063"/>
      <c r="N3092" s="1063"/>
      <c r="O3092" s="1063"/>
      <c r="P3092" s="1063"/>
      <c r="Q3092" s="1063"/>
      <c r="R3092" s="1063"/>
      <c r="S3092" s="1063"/>
      <c r="T3092" s="1063"/>
      <c r="U3092" s="1063"/>
      <c r="V3092" s="1063"/>
      <c r="W3092" s="1063"/>
      <c r="X3092" s="1063"/>
      <c r="Y3092" s="1063"/>
      <c r="Z3092" s="1063"/>
      <c r="AA3092" s="1063"/>
      <c r="AB3092" s="1063"/>
      <c r="AC3092" s="1063"/>
      <c r="AD3092" s="1063"/>
      <c r="AE3092" s="1063"/>
      <c r="AF3092" s="1063"/>
      <c r="AG3092" s="1063"/>
      <c r="AH3092" s="1063"/>
      <c r="AI3092" s="1063"/>
      <c r="AJ3092" s="1063"/>
      <c r="AK3092" s="1063"/>
      <c r="AL3092" s="1063"/>
      <c r="AM3092" s="1063"/>
      <c r="AN3092" s="1063"/>
      <c r="AO3092" s="1063"/>
      <c r="AP3092" s="1063"/>
      <c r="AQ3092" s="1063"/>
      <c r="AR3092" s="1063"/>
      <c r="AS3092" s="1063"/>
      <c r="AT3092" s="1063"/>
      <c r="AU3092" s="1063"/>
      <c r="AV3092" s="1063"/>
    </row>
    <row r="3093" spans="1:48" s="1108" customFormat="1" ht="27.75" customHeight="1">
      <c r="A3093" s="1076"/>
      <c r="B3093" s="1074">
        <f>+'[18]Bldg+Dev'!S3905</f>
        <v>0</v>
      </c>
      <c r="D3093" s="1063"/>
      <c r="F3093" s="1076"/>
      <c r="G3093" s="1063"/>
      <c r="H3093" s="1063"/>
      <c r="I3093" s="1063"/>
      <c r="J3093" s="1063"/>
      <c r="K3093" s="1063"/>
      <c r="L3093" s="1063"/>
      <c r="M3093" s="1063"/>
      <c r="N3093" s="1063"/>
      <c r="O3093" s="1063"/>
      <c r="P3093" s="1063"/>
      <c r="Q3093" s="1063"/>
      <c r="R3093" s="1063"/>
      <c r="S3093" s="1063"/>
      <c r="T3093" s="1063"/>
      <c r="U3093" s="1063"/>
      <c r="V3093" s="1063"/>
      <c r="W3093" s="1063"/>
      <c r="X3093" s="1063"/>
      <c r="Y3093" s="1063"/>
      <c r="Z3093" s="1063"/>
      <c r="AA3093" s="1063"/>
      <c r="AB3093" s="1063"/>
      <c r="AC3093" s="1063"/>
      <c r="AD3093" s="1063"/>
      <c r="AE3093" s="1063"/>
      <c r="AF3093" s="1063"/>
      <c r="AG3093" s="1063"/>
      <c r="AH3093" s="1063"/>
      <c r="AI3093" s="1063"/>
      <c r="AJ3093" s="1063"/>
      <c r="AK3093" s="1063"/>
      <c r="AL3093" s="1063"/>
      <c r="AM3093" s="1063"/>
      <c r="AN3093" s="1063"/>
      <c r="AO3093" s="1063"/>
      <c r="AP3093" s="1063"/>
      <c r="AQ3093" s="1063"/>
      <c r="AR3093" s="1063"/>
      <c r="AS3093" s="1063"/>
      <c r="AT3093" s="1063"/>
      <c r="AU3093" s="1063"/>
      <c r="AV3093" s="1063"/>
    </row>
    <row r="3094" spans="1:48" s="1108" customFormat="1" ht="27.75" customHeight="1">
      <c r="A3094" s="1076"/>
      <c r="B3094" s="1074">
        <f>+'[18]Bldg+Dev'!S3906</f>
        <v>0</v>
      </c>
      <c r="D3094" s="1063"/>
      <c r="F3094" s="1076"/>
      <c r="G3094" s="1063"/>
      <c r="H3094" s="1063"/>
      <c r="I3094" s="1063"/>
      <c r="J3094" s="1063"/>
      <c r="K3094" s="1063"/>
      <c r="L3094" s="1063"/>
      <c r="M3094" s="1063"/>
      <c r="N3094" s="1063"/>
      <c r="O3094" s="1063"/>
      <c r="P3094" s="1063"/>
      <c r="Q3094" s="1063"/>
      <c r="R3094" s="1063"/>
      <c r="S3094" s="1063"/>
      <c r="T3094" s="1063"/>
      <c r="U3094" s="1063"/>
      <c r="V3094" s="1063"/>
      <c r="W3094" s="1063"/>
      <c r="X3094" s="1063"/>
      <c r="Y3094" s="1063"/>
      <c r="Z3094" s="1063"/>
      <c r="AA3094" s="1063"/>
      <c r="AB3094" s="1063"/>
      <c r="AC3094" s="1063"/>
      <c r="AD3094" s="1063"/>
      <c r="AE3094" s="1063"/>
      <c r="AF3094" s="1063"/>
      <c r="AG3094" s="1063"/>
      <c r="AH3094" s="1063"/>
      <c r="AI3094" s="1063"/>
      <c r="AJ3094" s="1063"/>
      <c r="AK3094" s="1063"/>
      <c r="AL3094" s="1063"/>
      <c r="AM3094" s="1063"/>
      <c r="AN3094" s="1063"/>
      <c r="AO3094" s="1063"/>
      <c r="AP3094" s="1063"/>
      <c r="AQ3094" s="1063"/>
      <c r="AR3094" s="1063"/>
      <c r="AS3094" s="1063"/>
      <c r="AT3094" s="1063"/>
      <c r="AU3094" s="1063"/>
      <c r="AV3094" s="1063"/>
    </row>
    <row r="3095" spans="1:48" s="1108" customFormat="1" ht="27.75" customHeight="1">
      <c r="A3095" s="1076"/>
      <c r="B3095" s="1074">
        <f>+'[18]Bldg+Dev'!S3907</f>
        <v>0</v>
      </c>
      <c r="D3095" s="1063"/>
      <c r="F3095" s="1076"/>
      <c r="G3095" s="1063"/>
      <c r="H3095" s="1063"/>
      <c r="I3095" s="1063"/>
      <c r="J3095" s="1063"/>
      <c r="K3095" s="1063"/>
      <c r="L3095" s="1063"/>
      <c r="M3095" s="1063"/>
      <c r="N3095" s="1063"/>
      <c r="O3095" s="1063"/>
      <c r="P3095" s="1063"/>
      <c r="Q3095" s="1063"/>
      <c r="R3095" s="1063"/>
      <c r="S3095" s="1063"/>
      <c r="T3095" s="1063"/>
      <c r="U3095" s="1063"/>
      <c r="V3095" s="1063"/>
      <c r="W3095" s="1063"/>
      <c r="X3095" s="1063"/>
      <c r="Y3095" s="1063"/>
      <c r="Z3095" s="1063"/>
      <c r="AA3095" s="1063"/>
      <c r="AB3095" s="1063"/>
      <c r="AC3095" s="1063"/>
      <c r="AD3095" s="1063"/>
      <c r="AE3095" s="1063"/>
      <c r="AF3095" s="1063"/>
      <c r="AG3095" s="1063"/>
      <c r="AH3095" s="1063"/>
      <c r="AI3095" s="1063"/>
      <c r="AJ3095" s="1063"/>
      <c r="AK3095" s="1063"/>
      <c r="AL3095" s="1063"/>
      <c r="AM3095" s="1063"/>
      <c r="AN3095" s="1063"/>
      <c r="AO3095" s="1063"/>
      <c r="AP3095" s="1063"/>
      <c r="AQ3095" s="1063"/>
      <c r="AR3095" s="1063"/>
      <c r="AS3095" s="1063"/>
      <c r="AT3095" s="1063"/>
      <c r="AU3095" s="1063"/>
      <c r="AV3095" s="1063"/>
    </row>
    <row r="3096" spans="1:48" s="1108" customFormat="1" ht="27.75" customHeight="1">
      <c r="A3096" s="1076"/>
      <c r="B3096" s="1074">
        <f>+'[18]Bldg+Dev'!S3908</f>
        <v>0</v>
      </c>
      <c r="D3096" s="1063"/>
      <c r="F3096" s="1076"/>
      <c r="G3096" s="1063"/>
      <c r="H3096" s="1063"/>
      <c r="I3096" s="1063"/>
      <c r="J3096" s="1063"/>
      <c r="K3096" s="1063"/>
      <c r="L3096" s="1063"/>
      <c r="M3096" s="1063"/>
      <c r="N3096" s="1063"/>
      <c r="O3096" s="1063"/>
      <c r="P3096" s="1063"/>
      <c r="Q3096" s="1063"/>
      <c r="R3096" s="1063"/>
      <c r="S3096" s="1063"/>
      <c r="T3096" s="1063"/>
      <c r="U3096" s="1063"/>
      <c r="V3096" s="1063"/>
      <c r="W3096" s="1063"/>
      <c r="X3096" s="1063"/>
      <c r="Y3096" s="1063"/>
      <c r="Z3096" s="1063"/>
      <c r="AA3096" s="1063"/>
      <c r="AB3096" s="1063"/>
      <c r="AC3096" s="1063"/>
      <c r="AD3096" s="1063"/>
      <c r="AE3096" s="1063"/>
      <c r="AF3096" s="1063"/>
      <c r="AG3096" s="1063"/>
      <c r="AH3096" s="1063"/>
      <c r="AI3096" s="1063"/>
      <c r="AJ3096" s="1063"/>
      <c r="AK3096" s="1063"/>
      <c r="AL3096" s="1063"/>
      <c r="AM3096" s="1063"/>
      <c r="AN3096" s="1063"/>
      <c r="AO3096" s="1063"/>
      <c r="AP3096" s="1063"/>
      <c r="AQ3096" s="1063"/>
      <c r="AR3096" s="1063"/>
      <c r="AS3096" s="1063"/>
      <c r="AT3096" s="1063"/>
      <c r="AU3096" s="1063"/>
      <c r="AV3096" s="1063"/>
    </row>
    <row r="3097" spans="1:48" s="1108" customFormat="1" ht="27.75" customHeight="1">
      <c r="A3097" s="1076"/>
      <c r="B3097" s="1074">
        <f>+'[18]Bldg+Dev'!S3909</f>
        <v>0</v>
      </c>
      <c r="D3097" s="1063"/>
      <c r="F3097" s="1076"/>
      <c r="G3097" s="1063"/>
      <c r="H3097" s="1063"/>
      <c r="I3097" s="1063"/>
      <c r="J3097" s="1063"/>
      <c r="K3097" s="1063"/>
      <c r="L3097" s="1063"/>
      <c r="M3097" s="1063"/>
      <c r="N3097" s="1063"/>
      <c r="O3097" s="1063"/>
      <c r="P3097" s="1063"/>
      <c r="Q3097" s="1063"/>
      <c r="R3097" s="1063"/>
      <c r="S3097" s="1063"/>
      <c r="T3097" s="1063"/>
      <c r="U3097" s="1063"/>
      <c r="V3097" s="1063"/>
      <c r="W3097" s="1063"/>
      <c r="X3097" s="1063"/>
      <c r="Y3097" s="1063"/>
      <c r="Z3097" s="1063"/>
      <c r="AA3097" s="1063"/>
      <c r="AB3097" s="1063"/>
      <c r="AC3097" s="1063"/>
      <c r="AD3097" s="1063"/>
      <c r="AE3097" s="1063"/>
      <c r="AF3097" s="1063"/>
      <c r="AG3097" s="1063"/>
      <c r="AH3097" s="1063"/>
      <c r="AI3097" s="1063"/>
      <c r="AJ3097" s="1063"/>
      <c r="AK3097" s="1063"/>
      <c r="AL3097" s="1063"/>
      <c r="AM3097" s="1063"/>
      <c r="AN3097" s="1063"/>
      <c r="AO3097" s="1063"/>
      <c r="AP3097" s="1063"/>
      <c r="AQ3097" s="1063"/>
      <c r="AR3097" s="1063"/>
      <c r="AS3097" s="1063"/>
      <c r="AT3097" s="1063"/>
      <c r="AU3097" s="1063"/>
      <c r="AV3097" s="1063"/>
    </row>
    <row r="3098" spans="1:48" s="1108" customFormat="1" ht="27.75" customHeight="1">
      <c r="A3098" s="1076"/>
      <c r="B3098" s="1074">
        <f>+'[18]Bldg+Dev'!S3910</f>
        <v>0</v>
      </c>
      <c r="D3098" s="1063"/>
      <c r="F3098" s="1076"/>
      <c r="G3098" s="1063"/>
      <c r="H3098" s="1063"/>
      <c r="I3098" s="1063"/>
      <c r="J3098" s="1063"/>
      <c r="K3098" s="1063"/>
      <c r="L3098" s="1063"/>
      <c r="M3098" s="1063"/>
      <c r="N3098" s="1063"/>
      <c r="O3098" s="1063"/>
      <c r="P3098" s="1063"/>
      <c r="Q3098" s="1063"/>
      <c r="R3098" s="1063"/>
      <c r="S3098" s="1063"/>
      <c r="T3098" s="1063"/>
      <c r="U3098" s="1063"/>
      <c r="V3098" s="1063"/>
      <c r="W3098" s="1063"/>
      <c r="X3098" s="1063"/>
      <c r="Y3098" s="1063"/>
      <c r="Z3098" s="1063"/>
      <c r="AA3098" s="1063"/>
      <c r="AB3098" s="1063"/>
      <c r="AC3098" s="1063"/>
      <c r="AD3098" s="1063"/>
      <c r="AE3098" s="1063"/>
      <c r="AF3098" s="1063"/>
      <c r="AG3098" s="1063"/>
      <c r="AH3098" s="1063"/>
      <c r="AI3098" s="1063"/>
      <c r="AJ3098" s="1063"/>
      <c r="AK3098" s="1063"/>
      <c r="AL3098" s="1063"/>
      <c r="AM3098" s="1063"/>
      <c r="AN3098" s="1063"/>
      <c r="AO3098" s="1063"/>
      <c r="AP3098" s="1063"/>
      <c r="AQ3098" s="1063"/>
      <c r="AR3098" s="1063"/>
      <c r="AS3098" s="1063"/>
      <c r="AT3098" s="1063"/>
      <c r="AU3098" s="1063"/>
      <c r="AV3098" s="1063"/>
    </row>
    <row r="3099" spans="1:48" s="1108" customFormat="1" ht="27.75" customHeight="1">
      <c r="A3099" s="1076"/>
      <c r="B3099" s="1074">
        <f>+'[18]Bldg+Dev'!S3911</f>
        <v>0</v>
      </c>
      <c r="D3099" s="1063"/>
      <c r="F3099" s="1076"/>
      <c r="G3099" s="1063"/>
      <c r="H3099" s="1063"/>
      <c r="I3099" s="1063"/>
      <c r="J3099" s="1063"/>
      <c r="K3099" s="1063"/>
      <c r="L3099" s="1063"/>
      <c r="M3099" s="1063"/>
      <c r="N3099" s="1063"/>
      <c r="O3099" s="1063"/>
      <c r="P3099" s="1063"/>
      <c r="Q3099" s="1063"/>
      <c r="R3099" s="1063"/>
      <c r="S3099" s="1063"/>
      <c r="T3099" s="1063"/>
      <c r="U3099" s="1063"/>
      <c r="V3099" s="1063"/>
      <c r="W3099" s="1063"/>
      <c r="X3099" s="1063"/>
      <c r="Y3099" s="1063"/>
      <c r="Z3099" s="1063"/>
      <c r="AA3099" s="1063"/>
      <c r="AB3099" s="1063"/>
      <c r="AC3099" s="1063"/>
      <c r="AD3099" s="1063"/>
      <c r="AE3099" s="1063"/>
      <c r="AF3099" s="1063"/>
      <c r="AG3099" s="1063"/>
      <c r="AH3099" s="1063"/>
      <c r="AI3099" s="1063"/>
      <c r="AJ3099" s="1063"/>
      <c r="AK3099" s="1063"/>
      <c r="AL3099" s="1063"/>
      <c r="AM3099" s="1063"/>
      <c r="AN3099" s="1063"/>
      <c r="AO3099" s="1063"/>
      <c r="AP3099" s="1063"/>
      <c r="AQ3099" s="1063"/>
      <c r="AR3099" s="1063"/>
      <c r="AS3099" s="1063"/>
      <c r="AT3099" s="1063"/>
      <c r="AU3099" s="1063"/>
      <c r="AV3099" s="1063"/>
    </row>
    <row r="3100" spans="1:48" s="1108" customFormat="1" ht="27.75" customHeight="1">
      <c r="A3100" s="1076"/>
      <c r="B3100" s="1074">
        <f>+'[18]Bldg+Dev'!S3912</f>
        <v>0</v>
      </c>
      <c r="D3100" s="1063"/>
      <c r="F3100" s="1076"/>
      <c r="G3100" s="1063"/>
      <c r="H3100" s="1063"/>
      <c r="I3100" s="1063"/>
      <c r="J3100" s="1063"/>
      <c r="K3100" s="1063"/>
      <c r="L3100" s="1063"/>
      <c r="M3100" s="1063"/>
      <c r="N3100" s="1063"/>
      <c r="O3100" s="1063"/>
      <c r="P3100" s="1063"/>
      <c r="Q3100" s="1063"/>
      <c r="R3100" s="1063"/>
      <c r="S3100" s="1063"/>
      <c r="T3100" s="1063"/>
      <c r="U3100" s="1063"/>
      <c r="V3100" s="1063"/>
      <c r="W3100" s="1063"/>
      <c r="X3100" s="1063"/>
      <c r="Y3100" s="1063"/>
      <c r="Z3100" s="1063"/>
      <c r="AA3100" s="1063"/>
      <c r="AB3100" s="1063"/>
      <c r="AC3100" s="1063"/>
      <c r="AD3100" s="1063"/>
      <c r="AE3100" s="1063"/>
      <c r="AF3100" s="1063"/>
      <c r="AG3100" s="1063"/>
      <c r="AH3100" s="1063"/>
      <c r="AI3100" s="1063"/>
      <c r="AJ3100" s="1063"/>
      <c r="AK3100" s="1063"/>
      <c r="AL3100" s="1063"/>
      <c r="AM3100" s="1063"/>
      <c r="AN3100" s="1063"/>
      <c r="AO3100" s="1063"/>
      <c r="AP3100" s="1063"/>
      <c r="AQ3100" s="1063"/>
      <c r="AR3100" s="1063"/>
      <c r="AS3100" s="1063"/>
      <c r="AT3100" s="1063"/>
      <c r="AU3100" s="1063"/>
      <c r="AV3100" s="1063"/>
    </row>
    <row r="3101" spans="1:48" s="1108" customFormat="1" ht="27.75" customHeight="1">
      <c r="A3101" s="1076"/>
      <c r="B3101" s="1074">
        <f>+'[18]Bldg+Dev'!S3913</f>
        <v>0</v>
      </c>
      <c r="D3101" s="1063"/>
      <c r="F3101" s="1076"/>
      <c r="G3101" s="1063"/>
      <c r="H3101" s="1063"/>
      <c r="I3101" s="1063"/>
      <c r="J3101" s="1063"/>
      <c r="K3101" s="1063"/>
      <c r="L3101" s="1063"/>
      <c r="M3101" s="1063"/>
      <c r="N3101" s="1063"/>
      <c r="O3101" s="1063"/>
      <c r="P3101" s="1063"/>
      <c r="Q3101" s="1063"/>
      <c r="R3101" s="1063"/>
      <c r="S3101" s="1063"/>
      <c r="T3101" s="1063"/>
      <c r="U3101" s="1063"/>
      <c r="V3101" s="1063"/>
      <c r="W3101" s="1063"/>
      <c r="X3101" s="1063"/>
      <c r="Y3101" s="1063"/>
      <c r="Z3101" s="1063"/>
      <c r="AA3101" s="1063"/>
      <c r="AB3101" s="1063"/>
      <c r="AC3101" s="1063"/>
      <c r="AD3101" s="1063"/>
      <c r="AE3101" s="1063"/>
      <c r="AF3101" s="1063"/>
      <c r="AG3101" s="1063"/>
      <c r="AH3101" s="1063"/>
      <c r="AI3101" s="1063"/>
      <c r="AJ3101" s="1063"/>
      <c r="AK3101" s="1063"/>
      <c r="AL3101" s="1063"/>
      <c r="AM3101" s="1063"/>
      <c r="AN3101" s="1063"/>
      <c r="AO3101" s="1063"/>
      <c r="AP3101" s="1063"/>
      <c r="AQ3101" s="1063"/>
      <c r="AR3101" s="1063"/>
      <c r="AS3101" s="1063"/>
      <c r="AT3101" s="1063"/>
      <c r="AU3101" s="1063"/>
      <c r="AV3101" s="1063"/>
    </row>
    <row r="3102" spans="1:48" s="1108" customFormat="1" ht="27.75" customHeight="1">
      <c r="A3102" s="1076"/>
      <c r="B3102" s="1074">
        <f>+'[18]Bldg+Dev'!S3914</f>
        <v>0</v>
      </c>
      <c r="D3102" s="1063"/>
      <c r="F3102" s="1076"/>
      <c r="G3102" s="1063"/>
      <c r="H3102" s="1063"/>
      <c r="I3102" s="1063"/>
      <c r="J3102" s="1063"/>
      <c r="K3102" s="1063"/>
      <c r="L3102" s="1063"/>
      <c r="M3102" s="1063"/>
      <c r="N3102" s="1063"/>
      <c r="O3102" s="1063"/>
      <c r="P3102" s="1063"/>
      <c r="Q3102" s="1063"/>
      <c r="R3102" s="1063"/>
      <c r="S3102" s="1063"/>
      <c r="T3102" s="1063"/>
      <c r="U3102" s="1063"/>
      <c r="V3102" s="1063"/>
      <c r="W3102" s="1063"/>
      <c r="X3102" s="1063"/>
      <c r="Y3102" s="1063"/>
      <c r="Z3102" s="1063"/>
      <c r="AA3102" s="1063"/>
      <c r="AB3102" s="1063"/>
      <c r="AC3102" s="1063"/>
      <c r="AD3102" s="1063"/>
      <c r="AE3102" s="1063"/>
      <c r="AF3102" s="1063"/>
      <c r="AG3102" s="1063"/>
      <c r="AH3102" s="1063"/>
      <c r="AI3102" s="1063"/>
      <c r="AJ3102" s="1063"/>
      <c r="AK3102" s="1063"/>
      <c r="AL3102" s="1063"/>
      <c r="AM3102" s="1063"/>
      <c r="AN3102" s="1063"/>
      <c r="AO3102" s="1063"/>
      <c r="AP3102" s="1063"/>
      <c r="AQ3102" s="1063"/>
      <c r="AR3102" s="1063"/>
      <c r="AS3102" s="1063"/>
      <c r="AT3102" s="1063"/>
      <c r="AU3102" s="1063"/>
      <c r="AV3102" s="1063"/>
    </row>
    <row r="3103" spans="1:48" s="1108" customFormat="1" ht="27.75" customHeight="1">
      <c r="A3103" s="1076"/>
      <c r="B3103" s="1074">
        <f>+'[18]Bldg+Dev'!S3915</f>
        <v>0</v>
      </c>
      <c r="D3103" s="1063"/>
      <c r="F3103" s="1076"/>
      <c r="G3103" s="1063"/>
      <c r="H3103" s="1063"/>
      <c r="I3103" s="1063"/>
      <c r="J3103" s="1063"/>
      <c r="K3103" s="1063"/>
      <c r="L3103" s="1063"/>
      <c r="M3103" s="1063"/>
      <c r="N3103" s="1063"/>
      <c r="O3103" s="1063"/>
      <c r="P3103" s="1063"/>
      <c r="Q3103" s="1063"/>
      <c r="R3103" s="1063"/>
      <c r="S3103" s="1063"/>
      <c r="T3103" s="1063"/>
      <c r="U3103" s="1063"/>
      <c r="V3103" s="1063"/>
      <c r="W3103" s="1063"/>
      <c r="X3103" s="1063"/>
      <c r="Y3103" s="1063"/>
      <c r="Z3103" s="1063"/>
      <c r="AA3103" s="1063"/>
      <c r="AB3103" s="1063"/>
      <c r="AC3103" s="1063"/>
      <c r="AD3103" s="1063"/>
      <c r="AE3103" s="1063"/>
      <c r="AF3103" s="1063"/>
      <c r="AG3103" s="1063"/>
      <c r="AH3103" s="1063"/>
      <c r="AI3103" s="1063"/>
      <c r="AJ3103" s="1063"/>
      <c r="AK3103" s="1063"/>
      <c r="AL3103" s="1063"/>
      <c r="AM3103" s="1063"/>
      <c r="AN3103" s="1063"/>
      <c r="AO3103" s="1063"/>
      <c r="AP3103" s="1063"/>
      <c r="AQ3103" s="1063"/>
      <c r="AR3103" s="1063"/>
      <c r="AS3103" s="1063"/>
      <c r="AT3103" s="1063"/>
      <c r="AU3103" s="1063"/>
      <c r="AV3103" s="1063"/>
    </row>
    <row r="3104" spans="1:48" s="1108" customFormat="1" ht="27.75" customHeight="1">
      <c r="A3104" s="1076"/>
      <c r="B3104" s="1074">
        <f>+'[18]Bldg+Dev'!S3916</f>
        <v>0</v>
      </c>
      <c r="D3104" s="1063"/>
      <c r="F3104" s="1076"/>
      <c r="G3104" s="1063"/>
      <c r="H3104" s="1063"/>
      <c r="I3104" s="1063"/>
      <c r="J3104" s="1063"/>
      <c r="K3104" s="1063"/>
      <c r="L3104" s="1063"/>
      <c r="M3104" s="1063"/>
      <c r="N3104" s="1063"/>
      <c r="O3104" s="1063"/>
      <c r="P3104" s="1063"/>
      <c r="Q3104" s="1063"/>
      <c r="R3104" s="1063"/>
      <c r="S3104" s="1063"/>
      <c r="T3104" s="1063"/>
      <c r="U3104" s="1063"/>
      <c r="V3104" s="1063"/>
      <c r="W3104" s="1063"/>
      <c r="X3104" s="1063"/>
      <c r="Y3104" s="1063"/>
      <c r="Z3104" s="1063"/>
      <c r="AA3104" s="1063"/>
      <c r="AB3104" s="1063"/>
      <c r="AC3104" s="1063"/>
      <c r="AD3104" s="1063"/>
      <c r="AE3104" s="1063"/>
      <c r="AF3104" s="1063"/>
      <c r="AG3104" s="1063"/>
      <c r="AH3104" s="1063"/>
      <c r="AI3104" s="1063"/>
      <c r="AJ3104" s="1063"/>
      <c r="AK3104" s="1063"/>
      <c r="AL3104" s="1063"/>
      <c r="AM3104" s="1063"/>
      <c r="AN3104" s="1063"/>
      <c r="AO3104" s="1063"/>
      <c r="AP3104" s="1063"/>
      <c r="AQ3104" s="1063"/>
      <c r="AR3104" s="1063"/>
      <c r="AS3104" s="1063"/>
      <c r="AT3104" s="1063"/>
      <c r="AU3104" s="1063"/>
      <c r="AV3104" s="1063"/>
    </row>
    <row r="3105" spans="1:48" s="1108" customFormat="1" ht="27.75" customHeight="1">
      <c r="A3105" s="1076"/>
      <c r="B3105" s="1074">
        <f>+'[18]Bldg+Dev'!S3917</f>
        <v>0</v>
      </c>
      <c r="D3105" s="1063"/>
      <c r="F3105" s="1076"/>
      <c r="G3105" s="1063"/>
      <c r="H3105" s="1063"/>
      <c r="I3105" s="1063"/>
      <c r="J3105" s="1063"/>
      <c r="K3105" s="1063"/>
      <c r="L3105" s="1063"/>
      <c r="M3105" s="1063"/>
      <c r="N3105" s="1063"/>
      <c r="O3105" s="1063"/>
      <c r="P3105" s="1063"/>
      <c r="Q3105" s="1063"/>
      <c r="R3105" s="1063"/>
      <c r="S3105" s="1063"/>
      <c r="T3105" s="1063"/>
      <c r="U3105" s="1063"/>
      <c r="V3105" s="1063"/>
      <c r="W3105" s="1063"/>
      <c r="X3105" s="1063"/>
      <c r="Y3105" s="1063"/>
      <c r="Z3105" s="1063"/>
      <c r="AA3105" s="1063"/>
      <c r="AB3105" s="1063"/>
      <c r="AC3105" s="1063"/>
      <c r="AD3105" s="1063"/>
      <c r="AE3105" s="1063"/>
      <c r="AF3105" s="1063"/>
      <c r="AG3105" s="1063"/>
      <c r="AH3105" s="1063"/>
      <c r="AI3105" s="1063"/>
      <c r="AJ3105" s="1063"/>
      <c r="AK3105" s="1063"/>
      <c r="AL3105" s="1063"/>
      <c r="AM3105" s="1063"/>
      <c r="AN3105" s="1063"/>
      <c r="AO3105" s="1063"/>
      <c r="AP3105" s="1063"/>
      <c r="AQ3105" s="1063"/>
      <c r="AR3105" s="1063"/>
      <c r="AS3105" s="1063"/>
      <c r="AT3105" s="1063"/>
      <c r="AU3105" s="1063"/>
      <c r="AV3105" s="1063"/>
    </row>
    <row r="3106" spans="1:48" s="1108" customFormat="1" ht="27.75" customHeight="1">
      <c r="A3106" s="1076"/>
      <c r="B3106" s="1074">
        <f>+'[18]Bldg+Dev'!S3918</f>
        <v>0</v>
      </c>
      <c r="D3106" s="1063"/>
      <c r="F3106" s="1076"/>
      <c r="G3106" s="1063"/>
      <c r="H3106" s="1063"/>
      <c r="I3106" s="1063"/>
      <c r="J3106" s="1063"/>
      <c r="K3106" s="1063"/>
      <c r="L3106" s="1063"/>
      <c r="M3106" s="1063"/>
      <c r="N3106" s="1063"/>
      <c r="O3106" s="1063"/>
      <c r="P3106" s="1063"/>
      <c r="Q3106" s="1063"/>
      <c r="R3106" s="1063"/>
      <c r="S3106" s="1063"/>
      <c r="T3106" s="1063"/>
      <c r="U3106" s="1063"/>
      <c r="V3106" s="1063"/>
      <c r="W3106" s="1063"/>
      <c r="X3106" s="1063"/>
      <c r="Y3106" s="1063"/>
      <c r="Z3106" s="1063"/>
      <c r="AA3106" s="1063"/>
      <c r="AB3106" s="1063"/>
      <c r="AC3106" s="1063"/>
      <c r="AD3106" s="1063"/>
      <c r="AE3106" s="1063"/>
      <c r="AF3106" s="1063"/>
      <c r="AG3106" s="1063"/>
      <c r="AH3106" s="1063"/>
      <c r="AI3106" s="1063"/>
      <c r="AJ3106" s="1063"/>
      <c r="AK3106" s="1063"/>
      <c r="AL3106" s="1063"/>
      <c r="AM3106" s="1063"/>
      <c r="AN3106" s="1063"/>
      <c r="AO3106" s="1063"/>
      <c r="AP3106" s="1063"/>
      <c r="AQ3106" s="1063"/>
      <c r="AR3106" s="1063"/>
      <c r="AS3106" s="1063"/>
      <c r="AT3106" s="1063"/>
      <c r="AU3106" s="1063"/>
      <c r="AV3106" s="1063"/>
    </row>
    <row r="3107" spans="1:48" s="1108" customFormat="1" ht="27.75" customHeight="1">
      <c r="A3107" s="1076"/>
      <c r="B3107" s="1074">
        <f>+'[18]Bldg+Dev'!S3919</f>
        <v>0</v>
      </c>
      <c r="D3107" s="1063"/>
      <c r="F3107" s="1076"/>
      <c r="G3107" s="1063"/>
      <c r="H3107" s="1063"/>
      <c r="I3107" s="1063"/>
      <c r="J3107" s="1063"/>
      <c r="K3107" s="1063"/>
      <c r="L3107" s="1063"/>
      <c r="M3107" s="1063"/>
      <c r="N3107" s="1063"/>
      <c r="O3107" s="1063"/>
      <c r="P3107" s="1063"/>
      <c r="Q3107" s="1063"/>
      <c r="R3107" s="1063"/>
      <c r="S3107" s="1063"/>
      <c r="T3107" s="1063"/>
      <c r="U3107" s="1063"/>
      <c r="V3107" s="1063"/>
      <c r="W3107" s="1063"/>
      <c r="X3107" s="1063"/>
      <c r="Y3107" s="1063"/>
      <c r="Z3107" s="1063"/>
      <c r="AA3107" s="1063"/>
      <c r="AB3107" s="1063"/>
      <c r="AC3107" s="1063"/>
      <c r="AD3107" s="1063"/>
      <c r="AE3107" s="1063"/>
      <c r="AF3107" s="1063"/>
      <c r="AG3107" s="1063"/>
      <c r="AH3107" s="1063"/>
      <c r="AI3107" s="1063"/>
      <c r="AJ3107" s="1063"/>
      <c r="AK3107" s="1063"/>
      <c r="AL3107" s="1063"/>
      <c r="AM3107" s="1063"/>
      <c r="AN3107" s="1063"/>
      <c r="AO3107" s="1063"/>
      <c r="AP3107" s="1063"/>
      <c r="AQ3107" s="1063"/>
      <c r="AR3107" s="1063"/>
      <c r="AS3107" s="1063"/>
      <c r="AT3107" s="1063"/>
      <c r="AU3107" s="1063"/>
      <c r="AV3107" s="1063"/>
    </row>
    <row r="3108" spans="1:48" s="1108" customFormat="1" ht="27.75" customHeight="1">
      <c r="A3108" s="1076"/>
      <c r="B3108" s="1074">
        <f>+'[18]Bldg+Dev'!S3920</f>
        <v>0</v>
      </c>
      <c r="D3108" s="1063"/>
      <c r="F3108" s="1076"/>
      <c r="G3108" s="1063"/>
      <c r="H3108" s="1063"/>
      <c r="I3108" s="1063"/>
      <c r="J3108" s="1063"/>
      <c r="K3108" s="1063"/>
      <c r="L3108" s="1063"/>
      <c r="M3108" s="1063"/>
      <c r="N3108" s="1063"/>
      <c r="O3108" s="1063"/>
      <c r="P3108" s="1063"/>
      <c r="Q3108" s="1063"/>
      <c r="R3108" s="1063"/>
      <c r="S3108" s="1063"/>
      <c r="T3108" s="1063"/>
      <c r="U3108" s="1063"/>
      <c r="V3108" s="1063"/>
      <c r="W3108" s="1063"/>
      <c r="X3108" s="1063"/>
      <c r="Y3108" s="1063"/>
      <c r="Z3108" s="1063"/>
      <c r="AA3108" s="1063"/>
      <c r="AB3108" s="1063"/>
      <c r="AC3108" s="1063"/>
      <c r="AD3108" s="1063"/>
      <c r="AE3108" s="1063"/>
      <c r="AF3108" s="1063"/>
      <c r="AG3108" s="1063"/>
      <c r="AH3108" s="1063"/>
      <c r="AI3108" s="1063"/>
      <c r="AJ3108" s="1063"/>
      <c r="AK3108" s="1063"/>
      <c r="AL3108" s="1063"/>
      <c r="AM3108" s="1063"/>
      <c r="AN3108" s="1063"/>
      <c r="AO3108" s="1063"/>
      <c r="AP3108" s="1063"/>
      <c r="AQ3108" s="1063"/>
      <c r="AR3108" s="1063"/>
      <c r="AS3108" s="1063"/>
      <c r="AT3108" s="1063"/>
      <c r="AU3108" s="1063"/>
      <c r="AV3108" s="1063"/>
    </row>
    <row r="3109" spans="1:48" s="1108" customFormat="1" ht="27.75" customHeight="1">
      <c r="A3109" s="1076"/>
      <c r="B3109" s="1074">
        <f>+'[18]Bldg+Dev'!S3921</f>
        <v>0</v>
      </c>
      <c r="D3109" s="1063"/>
      <c r="F3109" s="1076"/>
      <c r="G3109" s="1063"/>
      <c r="H3109" s="1063"/>
      <c r="I3109" s="1063"/>
      <c r="J3109" s="1063"/>
      <c r="K3109" s="1063"/>
      <c r="L3109" s="1063"/>
      <c r="M3109" s="1063"/>
      <c r="N3109" s="1063"/>
      <c r="O3109" s="1063"/>
      <c r="P3109" s="1063"/>
      <c r="Q3109" s="1063"/>
      <c r="R3109" s="1063"/>
      <c r="S3109" s="1063"/>
      <c r="T3109" s="1063"/>
      <c r="U3109" s="1063"/>
      <c r="V3109" s="1063"/>
      <c r="W3109" s="1063"/>
      <c r="X3109" s="1063"/>
      <c r="Y3109" s="1063"/>
      <c r="Z3109" s="1063"/>
      <c r="AA3109" s="1063"/>
      <c r="AB3109" s="1063"/>
      <c r="AC3109" s="1063"/>
      <c r="AD3109" s="1063"/>
      <c r="AE3109" s="1063"/>
      <c r="AF3109" s="1063"/>
      <c r="AG3109" s="1063"/>
      <c r="AH3109" s="1063"/>
      <c r="AI3109" s="1063"/>
      <c r="AJ3109" s="1063"/>
      <c r="AK3109" s="1063"/>
      <c r="AL3109" s="1063"/>
      <c r="AM3109" s="1063"/>
      <c r="AN3109" s="1063"/>
      <c r="AO3109" s="1063"/>
      <c r="AP3109" s="1063"/>
      <c r="AQ3109" s="1063"/>
      <c r="AR3109" s="1063"/>
      <c r="AS3109" s="1063"/>
      <c r="AT3109" s="1063"/>
      <c r="AU3109" s="1063"/>
      <c r="AV3109" s="1063"/>
    </row>
    <row r="3110" spans="1:48" s="1108" customFormat="1" ht="27.75" customHeight="1">
      <c r="A3110" s="1076"/>
      <c r="B3110" s="1074">
        <f>+'[18]Bldg+Dev'!S3922</f>
        <v>0</v>
      </c>
      <c r="D3110" s="1063"/>
      <c r="F3110" s="1076"/>
      <c r="G3110" s="1063"/>
      <c r="H3110" s="1063"/>
      <c r="I3110" s="1063"/>
      <c r="J3110" s="1063"/>
      <c r="K3110" s="1063"/>
      <c r="L3110" s="1063"/>
      <c r="M3110" s="1063"/>
      <c r="N3110" s="1063"/>
      <c r="O3110" s="1063"/>
      <c r="P3110" s="1063"/>
      <c r="Q3110" s="1063"/>
      <c r="R3110" s="1063"/>
      <c r="S3110" s="1063"/>
      <c r="T3110" s="1063"/>
      <c r="U3110" s="1063"/>
      <c r="V3110" s="1063"/>
      <c r="W3110" s="1063"/>
      <c r="X3110" s="1063"/>
      <c r="Y3110" s="1063"/>
      <c r="Z3110" s="1063"/>
      <c r="AA3110" s="1063"/>
      <c r="AB3110" s="1063"/>
      <c r="AC3110" s="1063"/>
      <c r="AD3110" s="1063"/>
      <c r="AE3110" s="1063"/>
      <c r="AF3110" s="1063"/>
      <c r="AG3110" s="1063"/>
      <c r="AH3110" s="1063"/>
      <c r="AI3110" s="1063"/>
      <c r="AJ3110" s="1063"/>
      <c r="AK3110" s="1063"/>
      <c r="AL3110" s="1063"/>
      <c r="AM3110" s="1063"/>
      <c r="AN3110" s="1063"/>
      <c r="AO3110" s="1063"/>
      <c r="AP3110" s="1063"/>
      <c r="AQ3110" s="1063"/>
      <c r="AR3110" s="1063"/>
      <c r="AS3110" s="1063"/>
      <c r="AT3110" s="1063"/>
      <c r="AU3110" s="1063"/>
      <c r="AV3110" s="1063"/>
    </row>
    <row r="3111" spans="1:48" s="1108" customFormat="1" ht="27.75" customHeight="1">
      <c r="A3111" s="1076"/>
      <c r="B3111" s="1074">
        <f>+'[18]Bldg+Dev'!S3923</f>
        <v>0</v>
      </c>
      <c r="D3111" s="1063"/>
      <c r="F3111" s="1076"/>
      <c r="G3111" s="1063"/>
      <c r="H3111" s="1063"/>
      <c r="I3111" s="1063"/>
      <c r="J3111" s="1063"/>
      <c r="K3111" s="1063"/>
      <c r="L3111" s="1063"/>
      <c r="M3111" s="1063"/>
      <c r="N3111" s="1063"/>
      <c r="O3111" s="1063"/>
      <c r="P3111" s="1063"/>
      <c r="Q3111" s="1063"/>
      <c r="R3111" s="1063"/>
      <c r="S3111" s="1063"/>
      <c r="T3111" s="1063"/>
      <c r="U3111" s="1063"/>
      <c r="V3111" s="1063"/>
      <c r="W3111" s="1063"/>
      <c r="X3111" s="1063"/>
      <c r="Y3111" s="1063"/>
      <c r="Z3111" s="1063"/>
      <c r="AA3111" s="1063"/>
      <c r="AB3111" s="1063"/>
      <c r="AC3111" s="1063"/>
      <c r="AD3111" s="1063"/>
      <c r="AE3111" s="1063"/>
      <c r="AF3111" s="1063"/>
      <c r="AG3111" s="1063"/>
      <c r="AH3111" s="1063"/>
      <c r="AI3111" s="1063"/>
      <c r="AJ3111" s="1063"/>
      <c r="AK3111" s="1063"/>
      <c r="AL3111" s="1063"/>
      <c r="AM3111" s="1063"/>
      <c r="AN3111" s="1063"/>
      <c r="AO3111" s="1063"/>
      <c r="AP3111" s="1063"/>
      <c r="AQ3111" s="1063"/>
      <c r="AR3111" s="1063"/>
      <c r="AS3111" s="1063"/>
      <c r="AT3111" s="1063"/>
      <c r="AU3111" s="1063"/>
      <c r="AV3111" s="1063"/>
    </row>
    <row r="3112" spans="1:48" s="1108" customFormat="1" ht="27.75" customHeight="1">
      <c r="A3112" s="1076"/>
      <c r="B3112" s="1074">
        <f>+'[18]Bldg+Dev'!S3924</f>
        <v>0</v>
      </c>
      <c r="D3112" s="1063"/>
      <c r="F3112" s="1076"/>
      <c r="G3112" s="1063"/>
      <c r="H3112" s="1063"/>
      <c r="I3112" s="1063"/>
      <c r="J3112" s="1063"/>
      <c r="K3112" s="1063"/>
      <c r="L3112" s="1063"/>
      <c r="M3112" s="1063"/>
      <c r="N3112" s="1063"/>
      <c r="O3112" s="1063"/>
      <c r="P3112" s="1063"/>
      <c r="Q3112" s="1063"/>
      <c r="R3112" s="1063"/>
      <c r="S3112" s="1063"/>
      <c r="T3112" s="1063"/>
      <c r="U3112" s="1063"/>
      <c r="V3112" s="1063"/>
      <c r="W3112" s="1063"/>
      <c r="X3112" s="1063"/>
      <c r="Y3112" s="1063"/>
      <c r="Z3112" s="1063"/>
      <c r="AA3112" s="1063"/>
      <c r="AB3112" s="1063"/>
      <c r="AC3112" s="1063"/>
      <c r="AD3112" s="1063"/>
      <c r="AE3112" s="1063"/>
      <c r="AF3112" s="1063"/>
      <c r="AG3112" s="1063"/>
      <c r="AH3112" s="1063"/>
      <c r="AI3112" s="1063"/>
      <c r="AJ3112" s="1063"/>
      <c r="AK3112" s="1063"/>
      <c r="AL3112" s="1063"/>
      <c r="AM3112" s="1063"/>
      <c r="AN3112" s="1063"/>
      <c r="AO3112" s="1063"/>
      <c r="AP3112" s="1063"/>
      <c r="AQ3112" s="1063"/>
      <c r="AR3112" s="1063"/>
      <c r="AS3112" s="1063"/>
      <c r="AT3112" s="1063"/>
      <c r="AU3112" s="1063"/>
      <c r="AV3112" s="1063"/>
    </row>
    <row r="3113" spans="1:48" s="1108" customFormat="1" ht="27.75" customHeight="1">
      <c r="A3113" s="1076"/>
      <c r="B3113" s="1074">
        <f>+'[18]Bldg+Dev'!S3925</f>
        <v>0</v>
      </c>
      <c r="D3113" s="1063"/>
      <c r="F3113" s="1076"/>
      <c r="G3113" s="1063"/>
      <c r="H3113" s="1063"/>
      <c r="I3113" s="1063"/>
      <c r="J3113" s="1063"/>
      <c r="K3113" s="1063"/>
      <c r="L3113" s="1063"/>
      <c r="M3113" s="1063"/>
      <c r="N3113" s="1063"/>
      <c r="O3113" s="1063"/>
      <c r="P3113" s="1063"/>
      <c r="Q3113" s="1063"/>
      <c r="R3113" s="1063"/>
      <c r="S3113" s="1063"/>
      <c r="T3113" s="1063"/>
      <c r="U3113" s="1063"/>
      <c r="V3113" s="1063"/>
      <c r="W3113" s="1063"/>
      <c r="X3113" s="1063"/>
      <c r="Y3113" s="1063"/>
      <c r="Z3113" s="1063"/>
      <c r="AA3113" s="1063"/>
      <c r="AB3113" s="1063"/>
      <c r="AC3113" s="1063"/>
      <c r="AD3113" s="1063"/>
      <c r="AE3113" s="1063"/>
      <c r="AF3113" s="1063"/>
      <c r="AG3113" s="1063"/>
      <c r="AH3113" s="1063"/>
      <c r="AI3113" s="1063"/>
      <c r="AJ3113" s="1063"/>
      <c r="AK3113" s="1063"/>
      <c r="AL3113" s="1063"/>
      <c r="AM3113" s="1063"/>
      <c r="AN3113" s="1063"/>
      <c r="AO3113" s="1063"/>
      <c r="AP3113" s="1063"/>
      <c r="AQ3113" s="1063"/>
      <c r="AR3113" s="1063"/>
      <c r="AS3113" s="1063"/>
      <c r="AT3113" s="1063"/>
      <c r="AU3113" s="1063"/>
      <c r="AV3113" s="1063"/>
    </row>
    <row r="3114" spans="1:48" s="1108" customFormat="1" ht="27.75" customHeight="1">
      <c r="A3114" s="1076"/>
      <c r="B3114" s="1074">
        <f>+'[18]Bldg+Dev'!S3926</f>
        <v>0</v>
      </c>
      <c r="D3114" s="1063"/>
      <c r="F3114" s="1076"/>
      <c r="G3114" s="1063"/>
      <c r="H3114" s="1063"/>
      <c r="I3114" s="1063"/>
      <c r="J3114" s="1063"/>
      <c r="K3114" s="1063"/>
      <c r="L3114" s="1063"/>
      <c r="M3114" s="1063"/>
      <c r="N3114" s="1063"/>
      <c r="O3114" s="1063"/>
      <c r="P3114" s="1063"/>
      <c r="Q3114" s="1063"/>
      <c r="R3114" s="1063"/>
      <c r="S3114" s="1063"/>
      <c r="T3114" s="1063"/>
      <c r="U3114" s="1063"/>
      <c r="V3114" s="1063"/>
      <c r="W3114" s="1063"/>
      <c r="X3114" s="1063"/>
      <c r="Y3114" s="1063"/>
      <c r="Z3114" s="1063"/>
      <c r="AA3114" s="1063"/>
      <c r="AB3114" s="1063"/>
      <c r="AC3114" s="1063"/>
      <c r="AD3114" s="1063"/>
      <c r="AE3114" s="1063"/>
      <c r="AF3114" s="1063"/>
      <c r="AG3114" s="1063"/>
      <c r="AH3114" s="1063"/>
      <c r="AI3114" s="1063"/>
      <c r="AJ3114" s="1063"/>
      <c r="AK3114" s="1063"/>
      <c r="AL3114" s="1063"/>
      <c r="AM3114" s="1063"/>
      <c r="AN3114" s="1063"/>
      <c r="AO3114" s="1063"/>
      <c r="AP3114" s="1063"/>
      <c r="AQ3114" s="1063"/>
      <c r="AR3114" s="1063"/>
      <c r="AS3114" s="1063"/>
      <c r="AT3114" s="1063"/>
      <c r="AU3114" s="1063"/>
      <c r="AV3114" s="1063"/>
    </row>
    <row r="3115" spans="1:48" s="1108" customFormat="1" ht="27.75" customHeight="1">
      <c r="A3115" s="1076"/>
      <c r="B3115" s="1074">
        <f>+'[18]Bldg+Dev'!S3927</f>
        <v>0</v>
      </c>
      <c r="D3115" s="1063"/>
      <c r="F3115" s="1076"/>
      <c r="G3115" s="1063"/>
      <c r="H3115" s="1063"/>
      <c r="I3115" s="1063"/>
      <c r="J3115" s="1063"/>
      <c r="K3115" s="1063"/>
      <c r="L3115" s="1063"/>
      <c r="M3115" s="1063"/>
      <c r="N3115" s="1063"/>
      <c r="O3115" s="1063"/>
      <c r="P3115" s="1063"/>
      <c r="Q3115" s="1063"/>
      <c r="R3115" s="1063"/>
      <c r="S3115" s="1063"/>
      <c r="T3115" s="1063"/>
      <c r="U3115" s="1063"/>
      <c r="V3115" s="1063"/>
      <c r="W3115" s="1063"/>
      <c r="X3115" s="1063"/>
      <c r="Y3115" s="1063"/>
      <c r="Z3115" s="1063"/>
      <c r="AA3115" s="1063"/>
      <c r="AB3115" s="1063"/>
      <c r="AC3115" s="1063"/>
      <c r="AD3115" s="1063"/>
      <c r="AE3115" s="1063"/>
      <c r="AF3115" s="1063"/>
      <c r="AG3115" s="1063"/>
      <c r="AH3115" s="1063"/>
      <c r="AI3115" s="1063"/>
      <c r="AJ3115" s="1063"/>
      <c r="AK3115" s="1063"/>
      <c r="AL3115" s="1063"/>
      <c r="AM3115" s="1063"/>
      <c r="AN3115" s="1063"/>
      <c r="AO3115" s="1063"/>
      <c r="AP3115" s="1063"/>
      <c r="AQ3115" s="1063"/>
      <c r="AR3115" s="1063"/>
      <c r="AS3115" s="1063"/>
      <c r="AT3115" s="1063"/>
      <c r="AU3115" s="1063"/>
      <c r="AV3115" s="1063"/>
    </row>
    <row r="3116" spans="1:48" s="1108" customFormat="1" ht="27.75" customHeight="1">
      <c r="A3116" s="1076"/>
      <c r="B3116" s="1074">
        <f>+'[18]Bldg+Dev'!S3928</f>
        <v>0</v>
      </c>
      <c r="D3116" s="1063"/>
      <c r="F3116" s="1076"/>
      <c r="G3116" s="1063"/>
      <c r="H3116" s="1063"/>
      <c r="I3116" s="1063"/>
      <c r="J3116" s="1063"/>
      <c r="K3116" s="1063"/>
      <c r="L3116" s="1063"/>
      <c r="M3116" s="1063"/>
      <c r="N3116" s="1063"/>
      <c r="O3116" s="1063"/>
      <c r="P3116" s="1063"/>
      <c r="Q3116" s="1063"/>
      <c r="R3116" s="1063"/>
      <c r="S3116" s="1063"/>
      <c r="T3116" s="1063"/>
      <c r="U3116" s="1063"/>
      <c r="V3116" s="1063"/>
      <c r="W3116" s="1063"/>
      <c r="X3116" s="1063"/>
      <c r="Y3116" s="1063"/>
      <c r="Z3116" s="1063"/>
      <c r="AA3116" s="1063"/>
      <c r="AB3116" s="1063"/>
      <c r="AC3116" s="1063"/>
      <c r="AD3116" s="1063"/>
      <c r="AE3116" s="1063"/>
      <c r="AF3116" s="1063"/>
      <c r="AG3116" s="1063"/>
      <c r="AH3116" s="1063"/>
      <c r="AI3116" s="1063"/>
      <c r="AJ3116" s="1063"/>
      <c r="AK3116" s="1063"/>
      <c r="AL3116" s="1063"/>
      <c r="AM3116" s="1063"/>
      <c r="AN3116" s="1063"/>
      <c r="AO3116" s="1063"/>
      <c r="AP3116" s="1063"/>
      <c r="AQ3116" s="1063"/>
      <c r="AR3116" s="1063"/>
      <c r="AS3116" s="1063"/>
      <c r="AT3116" s="1063"/>
      <c r="AU3116" s="1063"/>
      <c r="AV3116" s="1063"/>
    </row>
    <row r="3117" spans="1:48" s="1108" customFormat="1" ht="27.75" customHeight="1">
      <c r="A3117" s="1076"/>
      <c r="B3117" s="1074">
        <f>+'[18]Bldg+Dev'!S3929</f>
        <v>0</v>
      </c>
      <c r="D3117" s="1063"/>
      <c r="F3117" s="1076"/>
      <c r="G3117" s="1063"/>
      <c r="H3117" s="1063"/>
      <c r="I3117" s="1063"/>
      <c r="J3117" s="1063"/>
      <c r="K3117" s="1063"/>
      <c r="L3117" s="1063"/>
      <c r="M3117" s="1063"/>
      <c r="N3117" s="1063"/>
      <c r="O3117" s="1063"/>
      <c r="P3117" s="1063"/>
      <c r="Q3117" s="1063"/>
      <c r="R3117" s="1063"/>
      <c r="S3117" s="1063"/>
      <c r="T3117" s="1063"/>
      <c r="U3117" s="1063"/>
      <c r="V3117" s="1063"/>
      <c r="W3117" s="1063"/>
      <c r="X3117" s="1063"/>
      <c r="Y3117" s="1063"/>
      <c r="Z3117" s="1063"/>
      <c r="AA3117" s="1063"/>
      <c r="AB3117" s="1063"/>
      <c r="AC3117" s="1063"/>
      <c r="AD3117" s="1063"/>
      <c r="AE3117" s="1063"/>
      <c r="AF3117" s="1063"/>
      <c r="AG3117" s="1063"/>
      <c r="AH3117" s="1063"/>
      <c r="AI3117" s="1063"/>
      <c r="AJ3117" s="1063"/>
      <c r="AK3117" s="1063"/>
      <c r="AL3117" s="1063"/>
      <c r="AM3117" s="1063"/>
      <c r="AN3117" s="1063"/>
      <c r="AO3117" s="1063"/>
      <c r="AP3117" s="1063"/>
      <c r="AQ3117" s="1063"/>
      <c r="AR3117" s="1063"/>
      <c r="AS3117" s="1063"/>
      <c r="AT3117" s="1063"/>
      <c r="AU3117" s="1063"/>
      <c r="AV3117" s="1063"/>
    </row>
    <row r="3118" spans="1:48" s="1108" customFormat="1" ht="27.75" customHeight="1">
      <c r="A3118" s="1076"/>
      <c r="B3118" s="1074">
        <f>+'[18]Bldg+Dev'!S3930</f>
        <v>0</v>
      </c>
      <c r="D3118" s="1063"/>
      <c r="F3118" s="1076"/>
      <c r="G3118" s="1063"/>
      <c r="H3118" s="1063"/>
      <c r="I3118" s="1063"/>
      <c r="J3118" s="1063"/>
      <c r="K3118" s="1063"/>
      <c r="L3118" s="1063"/>
      <c r="M3118" s="1063"/>
      <c r="N3118" s="1063"/>
      <c r="O3118" s="1063"/>
      <c r="P3118" s="1063"/>
      <c r="Q3118" s="1063"/>
      <c r="R3118" s="1063"/>
      <c r="S3118" s="1063"/>
      <c r="T3118" s="1063"/>
      <c r="U3118" s="1063"/>
      <c r="V3118" s="1063"/>
      <c r="W3118" s="1063"/>
      <c r="X3118" s="1063"/>
      <c r="Y3118" s="1063"/>
      <c r="Z3118" s="1063"/>
      <c r="AA3118" s="1063"/>
      <c r="AB3118" s="1063"/>
      <c r="AC3118" s="1063"/>
      <c r="AD3118" s="1063"/>
      <c r="AE3118" s="1063"/>
      <c r="AF3118" s="1063"/>
      <c r="AG3118" s="1063"/>
      <c r="AH3118" s="1063"/>
      <c r="AI3118" s="1063"/>
      <c r="AJ3118" s="1063"/>
      <c r="AK3118" s="1063"/>
      <c r="AL3118" s="1063"/>
      <c r="AM3118" s="1063"/>
      <c r="AN3118" s="1063"/>
      <c r="AO3118" s="1063"/>
      <c r="AP3118" s="1063"/>
      <c r="AQ3118" s="1063"/>
      <c r="AR3118" s="1063"/>
      <c r="AS3118" s="1063"/>
      <c r="AT3118" s="1063"/>
      <c r="AU3118" s="1063"/>
      <c r="AV3118" s="1063"/>
    </row>
    <row r="3119" spans="1:48" s="1108" customFormat="1" ht="27.75" customHeight="1">
      <c r="A3119" s="1076"/>
      <c r="B3119" s="1074">
        <f>+'[18]Bldg+Dev'!S3931</f>
        <v>0</v>
      </c>
      <c r="D3119" s="1063"/>
      <c r="F3119" s="1076"/>
      <c r="G3119" s="1063"/>
      <c r="H3119" s="1063"/>
      <c r="I3119" s="1063"/>
      <c r="J3119" s="1063"/>
      <c r="K3119" s="1063"/>
      <c r="L3119" s="1063"/>
      <c r="M3119" s="1063"/>
      <c r="N3119" s="1063"/>
      <c r="O3119" s="1063"/>
      <c r="P3119" s="1063"/>
      <c r="Q3119" s="1063"/>
      <c r="R3119" s="1063"/>
      <c r="S3119" s="1063"/>
      <c r="T3119" s="1063"/>
      <c r="U3119" s="1063"/>
      <c r="V3119" s="1063"/>
      <c r="W3119" s="1063"/>
      <c r="X3119" s="1063"/>
      <c r="Y3119" s="1063"/>
      <c r="Z3119" s="1063"/>
      <c r="AA3119" s="1063"/>
      <c r="AB3119" s="1063"/>
      <c r="AC3119" s="1063"/>
      <c r="AD3119" s="1063"/>
      <c r="AE3119" s="1063"/>
      <c r="AF3119" s="1063"/>
      <c r="AG3119" s="1063"/>
      <c r="AH3119" s="1063"/>
      <c r="AI3119" s="1063"/>
      <c r="AJ3119" s="1063"/>
      <c r="AK3119" s="1063"/>
      <c r="AL3119" s="1063"/>
      <c r="AM3119" s="1063"/>
      <c r="AN3119" s="1063"/>
      <c r="AO3119" s="1063"/>
      <c r="AP3119" s="1063"/>
      <c r="AQ3119" s="1063"/>
      <c r="AR3119" s="1063"/>
      <c r="AS3119" s="1063"/>
      <c r="AT3119" s="1063"/>
      <c r="AU3119" s="1063"/>
      <c r="AV3119" s="1063"/>
    </row>
    <row r="3120" spans="1:48" s="1108" customFormat="1" ht="27.75" customHeight="1">
      <c r="A3120" s="1076"/>
      <c r="B3120" s="1074">
        <f>+'[18]Bldg+Dev'!S3932</f>
        <v>0</v>
      </c>
      <c r="D3120" s="1063"/>
      <c r="F3120" s="1076"/>
      <c r="G3120" s="1063"/>
      <c r="H3120" s="1063"/>
      <c r="I3120" s="1063"/>
      <c r="J3120" s="1063"/>
      <c r="K3120" s="1063"/>
      <c r="L3120" s="1063"/>
      <c r="M3120" s="1063"/>
      <c r="N3120" s="1063"/>
      <c r="O3120" s="1063"/>
      <c r="P3120" s="1063"/>
      <c r="Q3120" s="1063"/>
      <c r="R3120" s="1063"/>
      <c r="S3120" s="1063"/>
      <c r="T3120" s="1063"/>
      <c r="U3120" s="1063"/>
      <c r="V3120" s="1063"/>
      <c r="W3120" s="1063"/>
      <c r="X3120" s="1063"/>
      <c r="Y3120" s="1063"/>
      <c r="Z3120" s="1063"/>
      <c r="AA3120" s="1063"/>
      <c r="AB3120" s="1063"/>
      <c r="AC3120" s="1063"/>
      <c r="AD3120" s="1063"/>
      <c r="AE3120" s="1063"/>
      <c r="AF3120" s="1063"/>
      <c r="AG3120" s="1063"/>
      <c r="AH3120" s="1063"/>
      <c r="AI3120" s="1063"/>
      <c r="AJ3120" s="1063"/>
      <c r="AK3120" s="1063"/>
      <c r="AL3120" s="1063"/>
      <c r="AM3120" s="1063"/>
      <c r="AN3120" s="1063"/>
      <c r="AO3120" s="1063"/>
      <c r="AP3120" s="1063"/>
      <c r="AQ3120" s="1063"/>
      <c r="AR3120" s="1063"/>
      <c r="AS3120" s="1063"/>
      <c r="AT3120" s="1063"/>
      <c r="AU3120" s="1063"/>
      <c r="AV3120" s="1063"/>
    </row>
    <row r="3121" spans="1:48" s="1108" customFormat="1" ht="27.75" customHeight="1">
      <c r="A3121" s="1076"/>
      <c r="B3121" s="1074">
        <f>+'[18]Bldg+Dev'!S3933</f>
        <v>0</v>
      </c>
      <c r="D3121" s="1063"/>
      <c r="F3121" s="1076"/>
      <c r="G3121" s="1063"/>
      <c r="H3121" s="1063"/>
      <c r="I3121" s="1063"/>
      <c r="J3121" s="1063"/>
      <c r="K3121" s="1063"/>
      <c r="L3121" s="1063"/>
      <c r="M3121" s="1063"/>
      <c r="N3121" s="1063"/>
      <c r="O3121" s="1063"/>
      <c r="P3121" s="1063"/>
      <c r="Q3121" s="1063"/>
      <c r="R3121" s="1063"/>
      <c r="S3121" s="1063"/>
      <c r="T3121" s="1063"/>
      <c r="U3121" s="1063"/>
      <c r="V3121" s="1063"/>
      <c r="W3121" s="1063"/>
      <c r="X3121" s="1063"/>
      <c r="Y3121" s="1063"/>
      <c r="Z3121" s="1063"/>
      <c r="AA3121" s="1063"/>
      <c r="AB3121" s="1063"/>
      <c r="AC3121" s="1063"/>
      <c r="AD3121" s="1063"/>
      <c r="AE3121" s="1063"/>
      <c r="AF3121" s="1063"/>
      <c r="AG3121" s="1063"/>
      <c r="AH3121" s="1063"/>
      <c r="AI3121" s="1063"/>
      <c r="AJ3121" s="1063"/>
      <c r="AK3121" s="1063"/>
      <c r="AL3121" s="1063"/>
      <c r="AM3121" s="1063"/>
      <c r="AN3121" s="1063"/>
      <c r="AO3121" s="1063"/>
      <c r="AP3121" s="1063"/>
      <c r="AQ3121" s="1063"/>
      <c r="AR3121" s="1063"/>
      <c r="AS3121" s="1063"/>
      <c r="AT3121" s="1063"/>
      <c r="AU3121" s="1063"/>
      <c r="AV3121" s="1063"/>
    </row>
    <row r="3122" spans="1:48" s="1108" customFormat="1" ht="27.75" customHeight="1">
      <c r="A3122" s="1076"/>
      <c r="B3122" s="1074">
        <f>+'[18]Bldg+Dev'!S3934</f>
        <v>0</v>
      </c>
      <c r="D3122" s="1063"/>
      <c r="F3122" s="1076"/>
      <c r="G3122" s="1063"/>
      <c r="H3122" s="1063"/>
      <c r="I3122" s="1063"/>
      <c r="J3122" s="1063"/>
      <c r="K3122" s="1063"/>
      <c r="L3122" s="1063"/>
      <c r="M3122" s="1063"/>
      <c r="N3122" s="1063"/>
      <c r="O3122" s="1063"/>
      <c r="P3122" s="1063"/>
      <c r="Q3122" s="1063"/>
      <c r="R3122" s="1063"/>
      <c r="S3122" s="1063"/>
      <c r="T3122" s="1063"/>
      <c r="U3122" s="1063"/>
      <c r="V3122" s="1063"/>
      <c r="W3122" s="1063"/>
      <c r="X3122" s="1063"/>
      <c r="Y3122" s="1063"/>
      <c r="Z3122" s="1063"/>
      <c r="AA3122" s="1063"/>
      <c r="AB3122" s="1063"/>
      <c r="AC3122" s="1063"/>
      <c r="AD3122" s="1063"/>
      <c r="AE3122" s="1063"/>
      <c r="AF3122" s="1063"/>
      <c r="AG3122" s="1063"/>
      <c r="AH3122" s="1063"/>
      <c r="AI3122" s="1063"/>
      <c r="AJ3122" s="1063"/>
      <c r="AK3122" s="1063"/>
      <c r="AL3122" s="1063"/>
      <c r="AM3122" s="1063"/>
      <c r="AN3122" s="1063"/>
      <c r="AO3122" s="1063"/>
      <c r="AP3122" s="1063"/>
      <c r="AQ3122" s="1063"/>
      <c r="AR3122" s="1063"/>
      <c r="AS3122" s="1063"/>
      <c r="AT3122" s="1063"/>
      <c r="AU3122" s="1063"/>
      <c r="AV3122" s="1063"/>
    </row>
    <row r="3123" spans="1:48" s="1108" customFormat="1" ht="27.75" customHeight="1">
      <c r="A3123" s="1076"/>
      <c r="B3123" s="1074">
        <f>+'[18]Bldg+Dev'!S3935</f>
        <v>0</v>
      </c>
      <c r="D3123" s="1063"/>
      <c r="F3123" s="1076"/>
      <c r="G3123" s="1063"/>
      <c r="H3123" s="1063"/>
      <c r="I3123" s="1063"/>
      <c r="J3123" s="1063"/>
      <c r="K3123" s="1063"/>
      <c r="L3123" s="1063"/>
      <c r="M3123" s="1063"/>
      <c r="N3123" s="1063"/>
      <c r="O3123" s="1063"/>
      <c r="P3123" s="1063"/>
      <c r="Q3123" s="1063"/>
      <c r="R3123" s="1063"/>
      <c r="S3123" s="1063"/>
      <c r="T3123" s="1063"/>
      <c r="U3123" s="1063"/>
      <c r="V3123" s="1063"/>
      <c r="W3123" s="1063"/>
      <c r="X3123" s="1063"/>
      <c r="Y3123" s="1063"/>
      <c r="Z3123" s="1063"/>
      <c r="AA3123" s="1063"/>
      <c r="AB3123" s="1063"/>
      <c r="AC3123" s="1063"/>
      <c r="AD3123" s="1063"/>
      <c r="AE3123" s="1063"/>
      <c r="AF3123" s="1063"/>
      <c r="AG3123" s="1063"/>
      <c r="AH3123" s="1063"/>
      <c r="AI3123" s="1063"/>
      <c r="AJ3123" s="1063"/>
      <c r="AK3123" s="1063"/>
      <c r="AL3123" s="1063"/>
      <c r="AM3123" s="1063"/>
      <c r="AN3123" s="1063"/>
      <c r="AO3123" s="1063"/>
      <c r="AP3123" s="1063"/>
      <c r="AQ3123" s="1063"/>
      <c r="AR3123" s="1063"/>
      <c r="AS3123" s="1063"/>
      <c r="AT3123" s="1063"/>
      <c r="AU3123" s="1063"/>
      <c r="AV3123" s="1063"/>
    </row>
    <row r="3124" spans="1:48" s="1108" customFormat="1" ht="27.75" customHeight="1">
      <c r="A3124" s="1076"/>
      <c r="B3124" s="1074">
        <f>+'[18]Bldg+Dev'!S3936</f>
        <v>0</v>
      </c>
      <c r="D3124" s="1063"/>
      <c r="F3124" s="1076"/>
      <c r="G3124" s="1063"/>
      <c r="H3124" s="1063"/>
      <c r="I3124" s="1063"/>
      <c r="J3124" s="1063"/>
      <c r="K3124" s="1063"/>
      <c r="L3124" s="1063"/>
      <c r="M3124" s="1063"/>
      <c r="N3124" s="1063"/>
      <c r="O3124" s="1063"/>
      <c r="P3124" s="1063"/>
      <c r="Q3124" s="1063"/>
      <c r="R3124" s="1063"/>
      <c r="S3124" s="1063"/>
      <c r="T3124" s="1063"/>
      <c r="U3124" s="1063"/>
      <c r="V3124" s="1063"/>
      <c r="W3124" s="1063"/>
      <c r="X3124" s="1063"/>
      <c r="Y3124" s="1063"/>
      <c r="Z3124" s="1063"/>
      <c r="AA3124" s="1063"/>
      <c r="AB3124" s="1063"/>
      <c r="AC3124" s="1063"/>
      <c r="AD3124" s="1063"/>
      <c r="AE3124" s="1063"/>
      <c r="AF3124" s="1063"/>
      <c r="AG3124" s="1063"/>
      <c r="AH3124" s="1063"/>
      <c r="AI3124" s="1063"/>
      <c r="AJ3124" s="1063"/>
      <c r="AK3124" s="1063"/>
      <c r="AL3124" s="1063"/>
      <c r="AM3124" s="1063"/>
      <c r="AN3124" s="1063"/>
      <c r="AO3124" s="1063"/>
      <c r="AP3124" s="1063"/>
      <c r="AQ3124" s="1063"/>
      <c r="AR3124" s="1063"/>
      <c r="AS3124" s="1063"/>
      <c r="AT3124" s="1063"/>
      <c r="AU3124" s="1063"/>
      <c r="AV3124" s="1063"/>
    </row>
    <row r="3125" spans="1:48" s="1108" customFormat="1" ht="27.75" customHeight="1">
      <c r="A3125" s="1076"/>
      <c r="B3125" s="1074">
        <f>+'[18]Bldg+Dev'!S3937</f>
        <v>0</v>
      </c>
      <c r="D3125" s="1063"/>
      <c r="F3125" s="1076"/>
      <c r="G3125" s="1063"/>
      <c r="H3125" s="1063"/>
      <c r="I3125" s="1063"/>
      <c r="J3125" s="1063"/>
      <c r="K3125" s="1063"/>
      <c r="L3125" s="1063"/>
      <c r="M3125" s="1063"/>
      <c r="N3125" s="1063"/>
      <c r="O3125" s="1063"/>
      <c r="P3125" s="1063"/>
      <c r="Q3125" s="1063"/>
      <c r="R3125" s="1063"/>
      <c r="S3125" s="1063"/>
      <c r="T3125" s="1063"/>
      <c r="U3125" s="1063"/>
      <c r="V3125" s="1063"/>
      <c r="W3125" s="1063"/>
      <c r="X3125" s="1063"/>
      <c r="Y3125" s="1063"/>
      <c r="Z3125" s="1063"/>
      <c r="AA3125" s="1063"/>
      <c r="AB3125" s="1063"/>
      <c r="AC3125" s="1063"/>
      <c r="AD3125" s="1063"/>
      <c r="AE3125" s="1063"/>
      <c r="AF3125" s="1063"/>
      <c r="AG3125" s="1063"/>
      <c r="AH3125" s="1063"/>
      <c r="AI3125" s="1063"/>
      <c r="AJ3125" s="1063"/>
      <c r="AK3125" s="1063"/>
      <c r="AL3125" s="1063"/>
      <c r="AM3125" s="1063"/>
      <c r="AN3125" s="1063"/>
      <c r="AO3125" s="1063"/>
      <c r="AP3125" s="1063"/>
      <c r="AQ3125" s="1063"/>
      <c r="AR3125" s="1063"/>
      <c r="AS3125" s="1063"/>
      <c r="AT3125" s="1063"/>
      <c r="AU3125" s="1063"/>
      <c r="AV3125" s="1063"/>
    </row>
    <row r="3126" spans="1:48" s="1108" customFormat="1" ht="27.75" customHeight="1">
      <c r="A3126" s="1076"/>
      <c r="B3126" s="1074">
        <f>+'[18]Bldg+Dev'!S3938</f>
        <v>0</v>
      </c>
      <c r="D3126" s="1063"/>
      <c r="F3126" s="1076"/>
      <c r="G3126" s="1063"/>
      <c r="H3126" s="1063"/>
      <c r="I3126" s="1063"/>
      <c r="J3126" s="1063"/>
      <c r="K3126" s="1063"/>
      <c r="L3126" s="1063"/>
      <c r="M3126" s="1063"/>
      <c r="N3126" s="1063"/>
      <c r="O3126" s="1063"/>
      <c r="P3126" s="1063"/>
      <c r="Q3126" s="1063"/>
      <c r="R3126" s="1063"/>
      <c r="S3126" s="1063"/>
      <c r="T3126" s="1063"/>
      <c r="U3126" s="1063"/>
      <c r="V3126" s="1063"/>
      <c r="W3126" s="1063"/>
      <c r="X3126" s="1063"/>
      <c r="Y3126" s="1063"/>
      <c r="Z3126" s="1063"/>
      <c r="AA3126" s="1063"/>
      <c r="AB3126" s="1063"/>
      <c r="AC3126" s="1063"/>
      <c r="AD3126" s="1063"/>
      <c r="AE3126" s="1063"/>
      <c r="AF3126" s="1063"/>
      <c r="AG3126" s="1063"/>
      <c r="AH3126" s="1063"/>
      <c r="AI3126" s="1063"/>
      <c r="AJ3126" s="1063"/>
      <c r="AK3126" s="1063"/>
      <c r="AL3126" s="1063"/>
      <c r="AM3126" s="1063"/>
      <c r="AN3126" s="1063"/>
      <c r="AO3126" s="1063"/>
      <c r="AP3126" s="1063"/>
      <c r="AQ3126" s="1063"/>
      <c r="AR3126" s="1063"/>
      <c r="AS3126" s="1063"/>
      <c r="AT3126" s="1063"/>
      <c r="AU3126" s="1063"/>
      <c r="AV3126" s="1063"/>
    </row>
    <row r="3127" spans="1:48" s="1108" customFormat="1" ht="27.75" customHeight="1">
      <c r="A3127" s="1076"/>
      <c r="B3127" s="1074">
        <f>+'[18]Bldg+Dev'!S3939</f>
        <v>0</v>
      </c>
      <c r="D3127" s="1063"/>
      <c r="F3127" s="1076"/>
      <c r="G3127" s="1063"/>
      <c r="H3127" s="1063"/>
      <c r="I3127" s="1063"/>
      <c r="J3127" s="1063"/>
      <c r="K3127" s="1063"/>
      <c r="L3127" s="1063"/>
      <c r="M3127" s="1063"/>
      <c r="N3127" s="1063"/>
      <c r="O3127" s="1063"/>
      <c r="P3127" s="1063"/>
      <c r="Q3127" s="1063"/>
      <c r="R3127" s="1063"/>
      <c r="S3127" s="1063"/>
      <c r="T3127" s="1063"/>
      <c r="U3127" s="1063"/>
      <c r="V3127" s="1063"/>
      <c r="W3127" s="1063"/>
      <c r="X3127" s="1063"/>
      <c r="Y3127" s="1063"/>
      <c r="Z3127" s="1063"/>
      <c r="AA3127" s="1063"/>
      <c r="AB3127" s="1063"/>
      <c r="AC3127" s="1063"/>
      <c r="AD3127" s="1063"/>
      <c r="AE3127" s="1063"/>
      <c r="AF3127" s="1063"/>
      <c r="AG3127" s="1063"/>
      <c r="AH3127" s="1063"/>
      <c r="AI3127" s="1063"/>
      <c r="AJ3127" s="1063"/>
      <c r="AK3127" s="1063"/>
      <c r="AL3127" s="1063"/>
      <c r="AM3127" s="1063"/>
      <c r="AN3127" s="1063"/>
      <c r="AO3127" s="1063"/>
      <c r="AP3127" s="1063"/>
      <c r="AQ3127" s="1063"/>
      <c r="AR3127" s="1063"/>
      <c r="AS3127" s="1063"/>
      <c r="AT3127" s="1063"/>
      <c r="AU3127" s="1063"/>
      <c r="AV3127" s="1063"/>
    </row>
    <row r="3128" spans="1:48" s="1108" customFormat="1" ht="27.75" customHeight="1">
      <c r="A3128" s="1076"/>
      <c r="B3128" s="1074">
        <f>+'[18]Bldg+Dev'!S3940</f>
        <v>0</v>
      </c>
      <c r="D3128" s="1063"/>
      <c r="F3128" s="1076"/>
      <c r="G3128" s="1063"/>
      <c r="H3128" s="1063"/>
      <c r="I3128" s="1063"/>
      <c r="J3128" s="1063"/>
      <c r="K3128" s="1063"/>
      <c r="L3128" s="1063"/>
      <c r="M3128" s="1063"/>
      <c r="N3128" s="1063"/>
      <c r="O3128" s="1063"/>
      <c r="P3128" s="1063"/>
      <c r="Q3128" s="1063"/>
      <c r="R3128" s="1063"/>
      <c r="S3128" s="1063"/>
      <c r="T3128" s="1063"/>
      <c r="U3128" s="1063"/>
      <c r="V3128" s="1063"/>
      <c r="W3128" s="1063"/>
      <c r="X3128" s="1063"/>
      <c r="Y3128" s="1063"/>
      <c r="Z3128" s="1063"/>
      <c r="AA3128" s="1063"/>
      <c r="AB3128" s="1063"/>
      <c r="AC3128" s="1063"/>
      <c r="AD3128" s="1063"/>
      <c r="AE3128" s="1063"/>
      <c r="AF3128" s="1063"/>
      <c r="AG3128" s="1063"/>
      <c r="AH3128" s="1063"/>
      <c r="AI3128" s="1063"/>
      <c r="AJ3128" s="1063"/>
      <c r="AK3128" s="1063"/>
      <c r="AL3128" s="1063"/>
      <c r="AM3128" s="1063"/>
      <c r="AN3128" s="1063"/>
      <c r="AO3128" s="1063"/>
      <c r="AP3128" s="1063"/>
      <c r="AQ3128" s="1063"/>
      <c r="AR3128" s="1063"/>
      <c r="AS3128" s="1063"/>
      <c r="AT3128" s="1063"/>
      <c r="AU3128" s="1063"/>
      <c r="AV3128" s="1063"/>
    </row>
    <row r="3129" spans="1:48" s="1108" customFormat="1" ht="27.75" customHeight="1">
      <c r="A3129" s="1076"/>
      <c r="B3129" s="1074">
        <f>+'[18]Bldg+Dev'!S3941</f>
        <v>0</v>
      </c>
      <c r="D3129" s="1063"/>
      <c r="F3129" s="1076"/>
      <c r="G3129" s="1063"/>
      <c r="H3129" s="1063"/>
      <c r="I3129" s="1063"/>
      <c r="J3129" s="1063"/>
      <c r="K3129" s="1063"/>
      <c r="L3129" s="1063"/>
      <c r="M3129" s="1063"/>
      <c r="N3129" s="1063"/>
      <c r="O3129" s="1063"/>
      <c r="P3129" s="1063"/>
      <c r="Q3129" s="1063"/>
      <c r="R3129" s="1063"/>
      <c r="S3129" s="1063"/>
      <c r="T3129" s="1063"/>
      <c r="U3129" s="1063"/>
      <c r="V3129" s="1063"/>
      <c r="W3129" s="1063"/>
      <c r="X3129" s="1063"/>
      <c r="Y3129" s="1063"/>
      <c r="Z3129" s="1063"/>
      <c r="AA3129" s="1063"/>
      <c r="AB3129" s="1063"/>
      <c r="AC3129" s="1063"/>
      <c r="AD3129" s="1063"/>
      <c r="AE3129" s="1063"/>
      <c r="AF3129" s="1063"/>
      <c r="AG3129" s="1063"/>
      <c r="AH3129" s="1063"/>
      <c r="AI3129" s="1063"/>
      <c r="AJ3129" s="1063"/>
      <c r="AK3129" s="1063"/>
      <c r="AL3129" s="1063"/>
      <c r="AM3129" s="1063"/>
      <c r="AN3129" s="1063"/>
      <c r="AO3129" s="1063"/>
      <c r="AP3129" s="1063"/>
      <c r="AQ3129" s="1063"/>
      <c r="AR3129" s="1063"/>
      <c r="AS3129" s="1063"/>
      <c r="AT3129" s="1063"/>
      <c r="AU3129" s="1063"/>
      <c r="AV3129" s="1063"/>
    </row>
    <row r="3130" spans="1:48" s="1108" customFormat="1" ht="27.75" customHeight="1">
      <c r="A3130" s="1076"/>
      <c r="B3130" s="1074">
        <f>+'[18]Bldg+Dev'!S3942</f>
        <v>0</v>
      </c>
      <c r="D3130" s="1063"/>
      <c r="F3130" s="1076"/>
      <c r="G3130" s="1063"/>
      <c r="H3130" s="1063"/>
      <c r="I3130" s="1063"/>
      <c r="J3130" s="1063"/>
      <c r="K3130" s="1063"/>
      <c r="L3130" s="1063"/>
      <c r="M3130" s="1063"/>
      <c r="N3130" s="1063"/>
      <c r="O3130" s="1063"/>
      <c r="P3130" s="1063"/>
      <c r="Q3130" s="1063"/>
      <c r="R3130" s="1063"/>
      <c r="S3130" s="1063"/>
      <c r="T3130" s="1063"/>
      <c r="U3130" s="1063"/>
      <c r="V3130" s="1063"/>
      <c r="W3130" s="1063"/>
      <c r="X3130" s="1063"/>
      <c r="Y3130" s="1063"/>
      <c r="Z3130" s="1063"/>
      <c r="AA3130" s="1063"/>
      <c r="AB3130" s="1063"/>
      <c r="AC3130" s="1063"/>
      <c r="AD3130" s="1063"/>
      <c r="AE3130" s="1063"/>
      <c r="AF3130" s="1063"/>
      <c r="AG3130" s="1063"/>
      <c r="AH3130" s="1063"/>
      <c r="AI3130" s="1063"/>
      <c r="AJ3130" s="1063"/>
      <c r="AK3130" s="1063"/>
      <c r="AL3130" s="1063"/>
      <c r="AM3130" s="1063"/>
      <c r="AN3130" s="1063"/>
      <c r="AO3130" s="1063"/>
      <c r="AP3130" s="1063"/>
      <c r="AQ3130" s="1063"/>
      <c r="AR3130" s="1063"/>
      <c r="AS3130" s="1063"/>
      <c r="AT3130" s="1063"/>
      <c r="AU3130" s="1063"/>
      <c r="AV3130" s="1063"/>
    </row>
    <row r="3131" spans="1:48" s="1108" customFormat="1" ht="27.75" customHeight="1">
      <c r="A3131" s="1076"/>
      <c r="B3131" s="1074">
        <f>+'[18]Bldg+Dev'!S3943</f>
        <v>0</v>
      </c>
      <c r="D3131" s="1063"/>
      <c r="F3131" s="1076"/>
      <c r="G3131" s="1063"/>
      <c r="H3131" s="1063"/>
      <c r="I3131" s="1063"/>
      <c r="J3131" s="1063"/>
      <c r="K3131" s="1063"/>
      <c r="L3131" s="1063"/>
      <c r="M3131" s="1063"/>
      <c r="N3131" s="1063"/>
      <c r="O3131" s="1063"/>
      <c r="P3131" s="1063"/>
      <c r="Q3131" s="1063"/>
      <c r="R3131" s="1063"/>
      <c r="S3131" s="1063"/>
      <c r="T3131" s="1063"/>
      <c r="U3131" s="1063"/>
      <c r="V3131" s="1063"/>
      <c r="W3131" s="1063"/>
      <c r="X3131" s="1063"/>
      <c r="Y3131" s="1063"/>
      <c r="Z3131" s="1063"/>
      <c r="AA3131" s="1063"/>
      <c r="AB3131" s="1063"/>
      <c r="AC3131" s="1063"/>
      <c r="AD3131" s="1063"/>
      <c r="AE3131" s="1063"/>
      <c r="AF3131" s="1063"/>
      <c r="AG3131" s="1063"/>
      <c r="AH3131" s="1063"/>
      <c r="AI3131" s="1063"/>
      <c r="AJ3131" s="1063"/>
      <c r="AK3131" s="1063"/>
      <c r="AL3131" s="1063"/>
      <c r="AM3131" s="1063"/>
      <c r="AN3131" s="1063"/>
      <c r="AO3131" s="1063"/>
      <c r="AP3131" s="1063"/>
      <c r="AQ3131" s="1063"/>
      <c r="AR3131" s="1063"/>
      <c r="AS3131" s="1063"/>
      <c r="AT3131" s="1063"/>
      <c r="AU3131" s="1063"/>
      <c r="AV3131" s="1063"/>
    </row>
    <row r="3132" spans="1:48" s="1108" customFormat="1" ht="27.75" customHeight="1">
      <c r="A3132" s="1076"/>
      <c r="B3132" s="1074">
        <f>+'[18]Bldg+Dev'!S3944</f>
        <v>0</v>
      </c>
      <c r="D3132" s="1063"/>
      <c r="F3132" s="1076"/>
      <c r="G3132" s="1063"/>
      <c r="H3132" s="1063"/>
      <c r="I3132" s="1063"/>
      <c r="J3132" s="1063"/>
      <c r="K3132" s="1063"/>
      <c r="L3132" s="1063"/>
      <c r="M3132" s="1063"/>
      <c r="N3132" s="1063"/>
      <c r="O3132" s="1063"/>
      <c r="P3132" s="1063"/>
      <c r="Q3132" s="1063"/>
      <c r="R3132" s="1063"/>
      <c r="S3132" s="1063"/>
      <c r="T3132" s="1063"/>
      <c r="U3132" s="1063"/>
      <c r="V3132" s="1063"/>
      <c r="W3132" s="1063"/>
      <c r="X3132" s="1063"/>
      <c r="Y3132" s="1063"/>
      <c r="Z3132" s="1063"/>
      <c r="AA3132" s="1063"/>
      <c r="AB3132" s="1063"/>
      <c r="AC3132" s="1063"/>
      <c r="AD3132" s="1063"/>
      <c r="AE3132" s="1063"/>
      <c r="AF3132" s="1063"/>
      <c r="AG3132" s="1063"/>
      <c r="AH3132" s="1063"/>
      <c r="AI3132" s="1063"/>
      <c r="AJ3132" s="1063"/>
      <c r="AK3132" s="1063"/>
      <c r="AL3132" s="1063"/>
      <c r="AM3132" s="1063"/>
      <c r="AN3132" s="1063"/>
      <c r="AO3132" s="1063"/>
      <c r="AP3132" s="1063"/>
      <c r="AQ3132" s="1063"/>
      <c r="AR3132" s="1063"/>
      <c r="AS3132" s="1063"/>
      <c r="AT3132" s="1063"/>
      <c r="AU3132" s="1063"/>
      <c r="AV3132" s="1063"/>
    </row>
    <row r="3133" spans="1:48" s="1108" customFormat="1" ht="27.75" customHeight="1">
      <c r="A3133" s="1076"/>
      <c r="B3133" s="1074">
        <f>+'[18]Bldg+Dev'!S3945</f>
        <v>0</v>
      </c>
      <c r="D3133" s="1063"/>
      <c r="F3133" s="1076"/>
      <c r="G3133" s="1063"/>
      <c r="H3133" s="1063"/>
      <c r="I3133" s="1063"/>
      <c r="J3133" s="1063"/>
      <c r="K3133" s="1063"/>
      <c r="L3133" s="1063"/>
      <c r="M3133" s="1063"/>
      <c r="N3133" s="1063"/>
      <c r="O3133" s="1063"/>
      <c r="P3133" s="1063"/>
      <c r="Q3133" s="1063"/>
      <c r="R3133" s="1063"/>
      <c r="S3133" s="1063"/>
      <c r="T3133" s="1063"/>
      <c r="U3133" s="1063"/>
      <c r="V3133" s="1063"/>
      <c r="W3133" s="1063"/>
      <c r="X3133" s="1063"/>
      <c r="Y3133" s="1063"/>
      <c r="Z3133" s="1063"/>
      <c r="AA3133" s="1063"/>
      <c r="AB3133" s="1063"/>
      <c r="AC3133" s="1063"/>
      <c r="AD3133" s="1063"/>
      <c r="AE3133" s="1063"/>
      <c r="AF3133" s="1063"/>
      <c r="AG3133" s="1063"/>
      <c r="AH3133" s="1063"/>
      <c r="AI3133" s="1063"/>
      <c r="AJ3133" s="1063"/>
      <c r="AK3133" s="1063"/>
      <c r="AL3133" s="1063"/>
      <c r="AM3133" s="1063"/>
      <c r="AN3133" s="1063"/>
      <c r="AO3133" s="1063"/>
      <c r="AP3133" s="1063"/>
      <c r="AQ3133" s="1063"/>
      <c r="AR3133" s="1063"/>
      <c r="AS3133" s="1063"/>
      <c r="AT3133" s="1063"/>
      <c r="AU3133" s="1063"/>
      <c r="AV3133" s="1063"/>
    </row>
    <row r="3134" spans="1:48" s="1108" customFormat="1" ht="27.75" customHeight="1">
      <c r="A3134" s="1076"/>
      <c r="B3134" s="1074">
        <f>+'[18]Bldg+Dev'!S3946</f>
        <v>0</v>
      </c>
      <c r="D3134" s="1063"/>
      <c r="F3134" s="1076"/>
      <c r="G3134" s="1063"/>
      <c r="H3134" s="1063"/>
      <c r="I3134" s="1063"/>
      <c r="J3134" s="1063"/>
      <c r="K3134" s="1063"/>
      <c r="L3134" s="1063"/>
      <c r="M3134" s="1063"/>
      <c r="N3134" s="1063"/>
      <c r="O3134" s="1063"/>
      <c r="P3134" s="1063"/>
      <c r="Q3134" s="1063"/>
      <c r="R3134" s="1063"/>
      <c r="S3134" s="1063"/>
      <c r="T3134" s="1063"/>
      <c r="U3134" s="1063"/>
      <c r="V3134" s="1063"/>
      <c r="W3134" s="1063"/>
      <c r="X3134" s="1063"/>
      <c r="Y3134" s="1063"/>
      <c r="Z3134" s="1063"/>
      <c r="AA3134" s="1063"/>
      <c r="AB3134" s="1063"/>
      <c r="AC3134" s="1063"/>
      <c r="AD3134" s="1063"/>
      <c r="AE3134" s="1063"/>
      <c r="AF3134" s="1063"/>
      <c r="AG3134" s="1063"/>
      <c r="AH3134" s="1063"/>
      <c r="AI3134" s="1063"/>
      <c r="AJ3134" s="1063"/>
      <c r="AK3134" s="1063"/>
      <c r="AL3134" s="1063"/>
      <c r="AM3134" s="1063"/>
      <c r="AN3134" s="1063"/>
      <c r="AO3134" s="1063"/>
      <c r="AP3134" s="1063"/>
      <c r="AQ3134" s="1063"/>
      <c r="AR3134" s="1063"/>
      <c r="AS3134" s="1063"/>
      <c r="AT3134" s="1063"/>
      <c r="AU3134" s="1063"/>
      <c r="AV3134" s="1063"/>
    </row>
    <row r="3135" spans="1:48" s="1108" customFormat="1" ht="27.75" customHeight="1">
      <c r="A3135" s="1076"/>
      <c r="B3135" s="1074">
        <f>+'[18]Bldg+Dev'!S3947</f>
        <v>0</v>
      </c>
      <c r="D3135" s="1063"/>
      <c r="F3135" s="1076"/>
      <c r="G3135" s="1063"/>
      <c r="H3135" s="1063"/>
      <c r="I3135" s="1063"/>
      <c r="J3135" s="1063"/>
      <c r="K3135" s="1063"/>
      <c r="L3135" s="1063"/>
      <c r="M3135" s="1063"/>
      <c r="N3135" s="1063"/>
      <c r="O3135" s="1063"/>
      <c r="P3135" s="1063"/>
      <c r="Q3135" s="1063"/>
      <c r="R3135" s="1063"/>
      <c r="S3135" s="1063"/>
      <c r="T3135" s="1063"/>
      <c r="U3135" s="1063"/>
      <c r="V3135" s="1063"/>
      <c r="W3135" s="1063"/>
      <c r="X3135" s="1063"/>
      <c r="Y3135" s="1063"/>
      <c r="Z3135" s="1063"/>
      <c r="AA3135" s="1063"/>
      <c r="AB3135" s="1063"/>
      <c r="AC3135" s="1063"/>
      <c r="AD3135" s="1063"/>
      <c r="AE3135" s="1063"/>
      <c r="AF3135" s="1063"/>
      <c r="AG3135" s="1063"/>
      <c r="AH3135" s="1063"/>
      <c r="AI3135" s="1063"/>
      <c r="AJ3135" s="1063"/>
      <c r="AK3135" s="1063"/>
      <c r="AL3135" s="1063"/>
      <c r="AM3135" s="1063"/>
      <c r="AN3135" s="1063"/>
      <c r="AO3135" s="1063"/>
      <c r="AP3135" s="1063"/>
      <c r="AQ3135" s="1063"/>
      <c r="AR3135" s="1063"/>
      <c r="AS3135" s="1063"/>
      <c r="AT3135" s="1063"/>
      <c r="AU3135" s="1063"/>
      <c r="AV3135" s="1063"/>
    </row>
    <row r="3136" spans="1:48" s="1108" customFormat="1" ht="27.75" customHeight="1">
      <c r="A3136" s="1076"/>
      <c r="B3136" s="1074">
        <f>+'[18]Bldg+Dev'!S3948</f>
        <v>0</v>
      </c>
      <c r="D3136" s="1063"/>
      <c r="F3136" s="1076"/>
      <c r="G3136" s="1063"/>
      <c r="H3136" s="1063"/>
      <c r="I3136" s="1063"/>
      <c r="J3136" s="1063"/>
      <c r="K3136" s="1063"/>
      <c r="L3136" s="1063"/>
      <c r="M3136" s="1063"/>
      <c r="N3136" s="1063"/>
      <c r="O3136" s="1063"/>
      <c r="P3136" s="1063"/>
      <c r="Q3136" s="1063"/>
      <c r="R3136" s="1063"/>
      <c r="S3136" s="1063"/>
      <c r="T3136" s="1063"/>
      <c r="U3136" s="1063"/>
      <c r="V3136" s="1063"/>
      <c r="W3136" s="1063"/>
      <c r="X3136" s="1063"/>
      <c r="Y3136" s="1063"/>
      <c r="Z3136" s="1063"/>
      <c r="AA3136" s="1063"/>
      <c r="AB3136" s="1063"/>
      <c r="AC3136" s="1063"/>
      <c r="AD3136" s="1063"/>
      <c r="AE3136" s="1063"/>
      <c r="AF3136" s="1063"/>
      <c r="AG3136" s="1063"/>
      <c r="AH3136" s="1063"/>
      <c r="AI3136" s="1063"/>
      <c r="AJ3136" s="1063"/>
      <c r="AK3136" s="1063"/>
      <c r="AL3136" s="1063"/>
      <c r="AM3136" s="1063"/>
      <c r="AN3136" s="1063"/>
      <c r="AO3136" s="1063"/>
      <c r="AP3136" s="1063"/>
      <c r="AQ3136" s="1063"/>
      <c r="AR3136" s="1063"/>
      <c r="AS3136" s="1063"/>
      <c r="AT3136" s="1063"/>
      <c r="AU3136" s="1063"/>
      <c r="AV3136" s="1063"/>
    </row>
    <row r="3137" spans="1:48" s="1108" customFormat="1" ht="27.75" customHeight="1">
      <c r="A3137" s="1076"/>
      <c r="B3137" s="1074">
        <f>+'[18]Bldg+Dev'!S3949</f>
        <v>0</v>
      </c>
      <c r="D3137" s="1063"/>
      <c r="F3137" s="1076"/>
      <c r="G3137" s="1063"/>
      <c r="H3137" s="1063"/>
      <c r="I3137" s="1063"/>
      <c r="J3137" s="1063"/>
      <c r="K3137" s="1063"/>
      <c r="L3137" s="1063"/>
      <c r="M3137" s="1063"/>
      <c r="N3137" s="1063"/>
      <c r="O3137" s="1063"/>
      <c r="P3137" s="1063"/>
      <c r="Q3137" s="1063"/>
      <c r="R3137" s="1063"/>
      <c r="S3137" s="1063"/>
      <c r="T3137" s="1063"/>
      <c r="U3137" s="1063"/>
      <c r="V3137" s="1063"/>
      <c r="W3137" s="1063"/>
      <c r="X3137" s="1063"/>
      <c r="Y3137" s="1063"/>
      <c r="Z3137" s="1063"/>
      <c r="AA3137" s="1063"/>
      <c r="AB3137" s="1063"/>
      <c r="AC3137" s="1063"/>
      <c r="AD3137" s="1063"/>
      <c r="AE3137" s="1063"/>
      <c r="AF3137" s="1063"/>
      <c r="AG3137" s="1063"/>
      <c r="AH3137" s="1063"/>
      <c r="AI3137" s="1063"/>
      <c r="AJ3137" s="1063"/>
      <c r="AK3137" s="1063"/>
      <c r="AL3137" s="1063"/>
      <c r="AM3137" s="1063"/>
      <c r="AN3137" s="1063"/>
      <c r="AO3137" s="1063"/>
      <c r="AP3137" s="1063"/>
      <c r="AQ3137" s="1063"/>
      <c r="AR3137" s="1063"/>
      <c r="AS3137" s="1063"/>
      <c r="AT3137" s="1063"/>
      <c r="AU3137" s="1063"/>
      <c r="AV3137" s="1063"/>
    </row>
    <row r="3138" spans="1:48" s="1108" customFormat="1" ht="27.75" customHeight="1">
      <c r="A3138" s="1076"/>
      <c r="B3138" s="1074">
        <f>+'[18]Bldg+Dev'!S3950</f>
        <v>0</v>
      </c>
      <c r="D3138" s="1063"/>
      <c r="F3138" s="1076"/>
      <c r="G3138" s="1063"/>
      <c r="H3138" s="1063"/>
      <c r="I3138" s="1063"/>
      <c r="J3138" s="1063"/>
      <c r="K3138" s="1063"/>
      <c r="L3138" s="1063"/>
      <c r="M3138" s="1063"/>
      <c r="N3138" s="1063"/>
      <c r="O3138" s="1063"/>
      <c r="P3138" s="1063"/>
      <c r="Q3138" s="1063"/>
      <c r="R3138" s="1063"/>
      <c r="S3138" s="1063"/>
      <c r="T3138" s="1063"/>
      <c r="U3138" s="1063"/>
      <c r="V3138" s="1063"/>
      <c r="W3138" s="1063"/>
      <c r="X3138" s="1063"/>
      <c r="Y3138" s="1063"/>
      <c r="Z3138" s="1063"/>
      <c r="AA3138" s="1063"/>
      <c r="AB3138" s="1063"/>
      <c r="AC3138" s="1063"/>
      <c r="AD3138" s="1063"/>
      <c r="AE3138" s="1063"/>
      <c r="AF3138" s="1063"/>
      <c r="AG3138" s="1063"/>
      <c r="AH3138" s="1063"/>
      <c r="AI3138" s="1063"/>
      <c r="AJ3138" s="1063"/>
      <c r="AK3138" s="1063"/>
      <c r="AL3138" s="1063"/>
      <c r="AM3138" s="1063"/>
      <c r="AN3138" s="1063"/>
      <c r="AO3138" s="1063"/>
      <c r="AP3138" s="1063"/>
      <c r="AQ3138" s="1063"/>
      <c r="AR3138" s="1063"/>
      <c r="AS3138" s="1063"/>
      <c r="AT3138" s="1063"/>
      <c r="AU3138" s="1063"/>
      <c r="AV3138" s="1063"/>
    </row>
    <row r="3139" spans="1:48" s="1108" customFormat="1" ht="27.75" customHeight="1">
      <c r="A3139" s="1076"/>
      <c r="B3139" s="1074">
        <f>+'[18]Bldg+Dev'!S3951</f>
        <v>0</v>
      </c>
      <c r="D3139" s="1063"/>
      <c r="F3139" s="1076"/>
      <c r="G3139" s="1063"/>
      <c r="H3139" s="1063"/>
      <c r="I3139" s="1063"/>
      <c r="J3139" s="1063"/>
      <c r="K3139" s="1063"/>
      <c r="L3139" s="1063"/>
      <c r="M3139" s="1063"/>
      <c r="N3139" s="1063"/>
      <c r="O3139" s="1063"/>
      <c r="P3139" s="1063"/>
      <c r="Q3139" s="1063"/>
      <c r="R3139" s="1063"/>
      <c r="S3139" s="1063"/>
      <c r="T3139" s="1063"/>
      <c r="U3139" s="1063"/>
      <c r="V3139" s="1063"/>
      <c r="W3139" s="1063"/>
      <c r="X3139" s="1063"/>
      <c r="Y3139" s="1063"/>
      <c r="Z3139" s="1063"/>
      <c r="AA3139" s="1063"/>
      <c r="AB3139" s="1063"/>
      <c r="AC3139" s="1063"/>
      <c r="AD3139" s="1063"/>
      <c r="AE3139" s="1063"/>
      <c r="AF3139" s="1063"/>
      <c r="AG3139" s="1063"/>
      <c r="AH3139" s="1063"/>
      <c r="AI3139" s="1063"/>
      <c r="AJ3139" s="1063"/>
      <c r="AK3139" s="1063"/>
      <c r="AL3139" s="1063"/>
      <c r="AM3139" s="1063"/>
      <c r="AN3139" s="1063"/>
      <c r="AO3139" s="1063"/>
      <c r="AP3139" s="1063"/>
      <c r="AQ3139" s="1063"/>
      <c r="AR3139" s="1063"/>
      <c r="AS3139" s="1063"/>
      <c r="AT3139" s="1063"/>
      <c r="AU3139" s="1063"/>
      <c r="AV3139" s="1063"/>
    </row>
    <row r="3140" spans="1:48" s="1108" customFormat="1" ht="27.75" customHeight="1">
      <c r="A3140" s="1076"/>
      <c r="B3140" s="1074">
        <f>+'[18]Bldg+Dev'!S3952</f>
        <v>0</v>
      </c>
      <c r="D3140" s="1063"/>
      <c r="F3140" s="1076"/>
      <c r="G3140" s="1063"/>
      <c r="H3140" s="1063"/>
      <c r="I3140" s="1063"/>
      <c r="J3140" s="1063"/>
      <c r="K3140" s="1063"/>
      <c r="L3140" s="1063"/>
      <c r="M3140" s="1063"/>
      <c r="N3140" s="1063"/>
      <c r="O3140" s="1063"/>
      <c r="P3140" s="1063"/>
      <c r="Q3140" s="1063"/>
      <c r="R3140" s="1063"/>
      <c r="S3140" s="1063"/>
      <c r="T3140" s="1063"/>
      <c r="U3140" s="1063"/>
      <c r="V3140" s="1063"/>
      <c r="W3140" s="1063"/>
      <c r="X3140" s="1063"/>
      <c r="Y3140" s="1063"/>
      <c r="Z3140" s="1063"/>
      <c r="AA3140" s="1063"/>
      <c r="AB3140" s="1063"/>
      <c r="AC3140" s="1063"/>
      <c r="AD3140" s="1063"/>
      <c r="AE3140" s="1063"/>
      <c r="AF3140" s="1063"/>
      <c r="AG3140" s="1063"/>
      <c r="AH3140" s="1063"/>
      <c r="AI3140" s="1063"/>
      <c r="AJ3140" s="1063"/>
      <c r="AK3140" s="1063"/>
      <c r="AL3140" s="1063"/>
      <c r="AM3140" s="1063"/>
      <c r="AN3140" s="1063"/>
      <c r="AO3140" s="1063"/>
      <c r="AP3140" s="1063"/>
      <c r="AQ3140" s="1063"/>
      <c r="AR3140" s="1063"/>
      <c r="AS3140" s="1063"/>
      <c r="AT3140" s="1063"/>
      <c r="AU3140" s="1063"/>
      <c r="AV3140" s="1063"/>
    </row>
    <row r="3141" spans="1:48" s="1108" customFormat="1" ht="27.75" customHeight="1">
      <c r="A3141" s="1076"/>
      <c r="B3141" s="1074">
        <f>+'[18]Bldg+Dev'!S3953</f>
        <v>0</v>
      </c>
      <c r="D3141" s="1063"/>
      <c r="F3141" s="1076"/>
      <c r="G3141" s="1063"/>
      <c r="H3141" s="1063"/>
      <c r="I3141" s="1063"/>
      <c r="J3141" s="1063"/>
      <c r="K3141" s="1063"/>
      <c r="L3141" s="1063"/>
      <c r="M3141" s="1063"/>
      <c r="N3141" s="1063"/>
      <c r="O3141" s="1063"/>
      <c r="P3141" s="1063"/>
      <c r="Q3141" s="1063"/>
      <c r="R3141" s="1063"/>
      <c r="S3141" s="1063"/>
      <c r="T3141" s="1063"/>
      <c r="U3141" s="1063"/>
      <c r="V3141" s="1063"/>
      <c r="W3141" s="1063"/>
      <c r="X3141" s="1063"/>
      <c r="Y3141" s="1063"/>
      <c r="Z3141" s="1063"/>
      <c r="AA3141" s="1063"/>
      <c r="AB3141" s="1063"/>
      <c r="AC3141" s="1063"/>
      <c r="AD3141" s="1063"/>
      <c r="AE3141" s="1063"/>
      <c r="AF3141" s="1063"/>
      <c r="AG3141" s="1063"/>
      <c r="AH3141" s="1063"/>
      <c r="AI3141" s="1063"/>
      <c r="AJ3141" s="1063"/>
      <c r="AK3141" s="1063"/>
      <c r="AL3141" s="1063"/>
      <c r="AM3141" s="1063"/>
      <c r="AN3141" s="1063"/>
      <c r="AO3141" s="1063"/>
      <c r="AP3141" s="1063"/>
      <c r="AQ3141" s="1063"/>
      <c r="AR3141" s="1063"/>
      <c r="AS3141" s="1063"/>
      <c r="AT3141" s="1063"/>
      <c r="AU3141" s="1063"/>
      <c r="AV3141" s="1063"/>
    </row>
    <row r="3142" spans="1:48" s="1108" customFormat="1" ht="27.75" customHeight="1">
      <c r="A3142" s="1076"/>
      <c r="B3142" s="1074">
        <f>+'[18]Bldg+Dev'!S3954</f>
        <v>0</v>
      </c>
      <c r="D3142" s="1063"/>
      <c r="F3142" s="1076"/>
      <c r="G3142" s="1063"/>
      <c r="H3142" s="1063"/>
      <c r="I3142" s="1063"/>
      <c r="J3142" s="1063"/>
      <c r="K3142" s="1063"/>
      <c r="L3142" s="1063"/>
      <c r="M3142" s="1063"/>
      <c r="N3142" s="1063"/>
      <c r="O3142" s="1063"/>
      <c r="P3142" s="1063"/>
      <c r="Q3142" s="1063"/>
      <c r="R3142" s="1063"/>
      <c r="S3142" s="1063"/>
      <c r="T3142" s="1063"/>
      <c r="U3142" s="1063"/>
      <c r="V3142" s="1063"/>
      <c r="W3142" s="1063"/>
      <c r="X3142" s="1063"/>
      <c r="Y3142" s="1063"/>
      <c r="Z3142" s="1063"/>
      <c r="AA3142" s="1063"/>
      <c r="AB3142" s="1063"/>
      <c r="AC3142" s="1063"/>
      <c r="AD3142" s="1063"/>
      <c r="AE3142" s="1063"/>
      <c r="AF3142" s="1063"/>
      <c r="AG3142" s="1063"/>
      <c r="AH3142" s="1063"/>
      <c r="AI3142" s="1063"/>
      <c r="AJ3142" s="1063"/>
      <c r="AK3142" s="1063"/>
      <c r="AL3142" s="1063"/>
      <c r="AM3142" s="1063"/>
      <c r="AN3142" s="1063"/>
      <c r="AO3142" s="1063"/>
      <c r="AP3142" s="1063"/>
      <c r="AQ3142" s="1063"/>
      <c r="AR3142" s="1063"/>
      <c r="AS3142" s="1063"/>
      <c r="AT3142" s="1063"/>
      <c r="AU3142" s="1063"/>
      <c r="AV3142" s="1063"/>
    </row>
    <row r="3143" spans="1:48" s="1108" customFormat="1" ht="27.75" customHeight="1">
      <c r="A3143" s="1076"/>
      <c r="B3143" s="1074">
        <f>+'[18]Bldg+Dev'!S3955</f>
        <v>0</v>
      </c>
      <c r="D3143" s="1063"/>
      <c r="F3143" s="1076"/>
      <c r="G3143" s="1063"/>
      <c r="H3143" s="1063"/>
      <c r="I3143" s="1063"/>
      <c r="J3143" s="1063"/>
      <c r="K3143" s="1063"/>
      <c r="L3143" s="1063"/>
      <c r="M3143" s="1063"/>
      <c r="N3143" s="1063"/>
      <c r="O3143" s="1063"/>
      <c r="P3143" s="1063"/>
      <c r="Q3143" s="1063"/>
      <c r="R3143" s="1063"/>
      <c r="S3143" s="1063"/>
      <c r="T3143" s="1063"/>
      <c r="U3143" s="1063"/>
      <c r="V3143" s="1063"/>
      <c r="W3143" s="1063"/>
      <c r="X3143" s="1063"/>
      <c r="Y3143" s="1063"/>
      <c r="Z3143" s="1063"/>
      <c r="AA3143" s="1063"/>
      <c r="AB3143" s="1063"/>
      <c r="AC3143" s="1063"/>
      <c r="AD3143" s="1063"/>
      <c r="AE3143" s="1063"/>
      <c r="AF3143" s="1063"/>
      <c r="AG3143" s="1063"/>
      <c r="AH3143" s="1063"/>
      <c r="AI3143" s="1063"/>
      <c r="AJ3143" s="1063"/>
      <c r="AK3143" s="1063"/>
      <c r="AL3143" s="1063"/>
      <c r="AM3143" s="1063"/>
      <c r="AN3143" s="1063"/>
      <c r="AO3143" s="1063"/>
      <c r="AP3143" s="1063"/>
      <c r="AQ3143" s="1063"/>
      <c r="AR3143" s="1063"/>
      <c r="AS3143" s="1063"/>
      <c r="AT3143" s="1063"/>
      <c r="AU3143" s="1063"/>
      <c r="AV3143" s="1063"/>
    </row>
    <row r="3144" spans="1:48" s="1108" customFormat="1" ht="27.75" customHeight="1">
      <c r="A3144" s="1076"/>
      <c r="B3144" s="1074">
        <f>+'[18]Bldg+Dev'!S3956</f>
        <v>0</v>
      </c>
      <c r="D3144" s="1063"/>
      <c r="F3144" s="1076"/>
      <c r="G3144" s="1063"/>
      <c r="H3144" s="1063"/>
      <c r="I3144" s="1063"/>
      <c r="J3144" s="1063"/>
      <c r="K3144" s="1063"/>
      <c r="L3144" s="1063"/>
      <c r="M3144" s="1063"/>
      <c r="N3144" s="1063"/>
      <c r="O3144" s="1063"/>
      <c r="P3144" s="1063"/>
      <c r="Q3144" s="1063"/>
      <c r="R3144" s="1063"/>
      <c r="S3144" s="1063"/>
      <c r="T3144" s="1063"/>
      <c r="U3144" s="1063"/>
      <c r="V3144" s="1063"/>
      <c r="W3144" s="1063"/>
      <c r="X3144" s="1063"/>
      <c r="Y3144" s="1063"/>
      <c r="Z3144" s="1063"/>
      <c r="AA3144" s="1063"/>
      <c r="AB3144" s="1063"/>
      <c r="AC3144" s="1063"/>
      <c r="AD3144" s="1063"/>
      <c r="AE3144" s="1063"/>
      <c r="AF3144" s="1063"/>
      <c r="AG3144" s="1063"/>
      <c r="AH3144" s="1063"/>
      <c r="AI3144" s="1063"/>
      <c r="AJ3144" s="1063"/>
      <c r="AK3144" s="1063"/>
      <c r="AL3144" s="1063"/>
      <c r="AM3144" s="1063"/>
      <c r="AN3144" s="1063"/>
      <c r="AO3144" s="1063"/>
      <c r="AP3144" s="1063"/>
      <c r="AQ3144" s="1063"/>
      <c r="AR3144" s="1063"/>
      <c r="AS3144" s="1063"/>
      <c r="AT3144" s="1063"/>
      <c r="AU3144" s="1063"/>
      <c r="AV3144" s="1063"/>
    </row>
    <row r="3145" spans="1:48" s="1108" customFormat="1" ht="27.75" customHeight="1">
      <c r="A3145" s="1076"/>
      <c r="B3145" s="1074">
        <f>+'[18]Bldg+Dev'!S3957</f>
        <v>0</v>
      </c>
      <c r="D3145" s="1063"/>
      <c r="F3145" s="1076"/>
      <c r="G3145" s="1063"/>
      <c r="H3145" s="1063"/>
      <c r="I3145" s="1063"/>
      <c r="J3145" s="1063"/>
      <c r="K3145" s="1063"/>
      <c r="L3145" s="1063"/>
      <c r="M3145" s="1063"/>
      <c r="N3145" s="1063"/>
      <c r="O3145" s="1063"/>
      <c r="P3145" s="1063"/>
      <c r="Q3145" s="1063"/>
      <c r="R3145" s="1063"/>
      <c r="S3145" s="1063"/>
      <c r="T3145" s="1063"/>
      <c r="U3145" s="1063"/>
      <c r="V3145" s="1063"/>
      <c r="W3145" s="1063"/>
      <c r="X3145" s="1063"/>
      <c r="Y3145" s="1063"/>
      <c r="Z3145" s="1063"/>
      <c r="AA3145" s="1063"/>
      <c r="AB3145" s="1063"/>
      <c r="AC3145" s="1063"/>
      <c r="AD3145" s="1063"/>
      <c r="AE3145" s="1063"/>
      <c r="AF3145" s="1063"/>
      <c r="AG3145" s="1063"/>
      <c r="AH3145" s="1063"/>
      <c r="AI3145" s="1063"/>
      <c r="AJ3145" s="1063"/>
      <c r="AK3145" s="1063"/>
      <c r="AL3145" s="1063"/>
      <c r="AM3145" s="1063"/>
      <c r="AN3145" s="1063"/>
      <c r="AO3145" s="1063"/>
      <c r="AP3145" s="1063"/>
      <c r="AQ3145" s="1063"/>
      <c r="AR3145" s="1063"/>
      <c r="AS3145" s="1063"/>
      <c r="AT3145" s="1063"/>
      <c r="AU3145" s="1063"/>
      <c r="AV3145" s="1063"/>
    </row>
    <row r="3146" spans="1:48" s="1108" customFormat="1" ht="27.75" customHeight="1">
      <c r="A3146" s="1076"/>
      <c r="B3146" s="1074">
        <f>+'[18]Bldg+Dev'!S3958</f>
        <v>0</v>
      </c>
      <c r="D3146" s="1063"/>
      <c r="F3146" s="1076"/>
      <c r="G3146" s="1063"/>
      <c r="H3146" s="1063"/>
      <c r="I3146" s="1063"/>
      <c r="J3146" s="1063"/>
      <c r="K3146" s="1063"/>
      <c r="L3146" s="1063"/>
      <c r="M3146" s="1063"/>
      <c r="N3146" s="1063"/>
      <c r="O3146" s="1063"/>
      <c r="P3146" s="1063"/>
      <c r="Q3146" s="1063"/>
      <c r="R3146" s="1063"/>
      <c r="S3146" s="1063"/>
      <c r="T3146" s="1063"/>
      <c r="U3146" s="1063"/>
      <c r="V3146" s="1063"/>
      <c r="W3146" s="1063"/>
      <c r="X3146" s="1063"/>
      <c r="Y3146" s="1063"/>
      <c r="Z3146" s="1063"/>
      <c r="AA3146" s="1063"/>
      <c r="AB3146" s="1063"/>
      <c r="AC3146" s="1063"/>
      <c r="AD3146" s="1063"/>
      <c r="AE3146" s="1063"/>
      <c r="AF3146" s="1063"/>
      <c r="AG3146" s="1063"/>
      <c r="AH3146" s="1063"/>
      <c r="AI3146" s="1063"/>
      <c r="AJ3146" s="1063"/>
      <c r="AK3146" s="1063"/>
      <c r="AL3146" s="1063"/>
      <c r="AM3146" s="1063"/>
      <c r="AN3146" s="1063"/>
      <c r="AO3146" s="1063"/>
      <c r="AP3146" s="1063"/>
      <c r="AQ3146" s="1063"/>
      <c r="AR3146" s="1063"/>
      <c r="AS3146" s="1063"/>
      <c r="AT3146" s="1063"/>
      <c r="AU3146" s="1063"/>
      <c r="AV3146" s="1063"/>
    </row>
    <row r="3147" spans="1:48" s="1108" customFormat="1" ht="27.75" customHeight="1">
      <c r="A3147" s="1076"/>
      <c r="B3147" s="1074">
        <f>+'[18]Bldg+Dev'!S3959</f>
        <v>0</v>
      </c>
      <c r="D3147" s="1063"/>
      <c r="F3147" s="1076"/>
      <c r="G3147" s="1063"/>
      <c r="H3147" s="1063"/>
      <c r="I3147" s="1063"/>
      <c r="J3147" s="1063"/>
      <c r="K3147" s="1063"/>
      <c r="L3147" s="1063"/>
      <c r="M3147" s="1063"/>
      <c r="N3147" s="1063"/>
      <c r="O3147" s="1063"/>
      <c r="P3147" s="1063"/>
      <c r="Q3147" s="1063"/>
      <c r="R3147" s="1063"/>
      <c r="S3147" s="1063"/>
      <c r="T3147" s="1063"/>
      <c r="U3147" s="1063"/>
      <c r="V3147" s="1063"/>
      <c r="W3147" s="1063"/>
      <c r="X3147" s="1063"/>
      <c r="Y3147" s="1063"/>
      <c r="Z3147" s="1063"/>
      <c r="AA3147" s="1063"/>
      <c r="AB3147" s="1063"/>
      <c r="AC3147" s="1063"/>
      <c r="AD3147" s="1063"/>
      <c r="AE3147" s="1063"/>
      <c r="AF3147" s="1063"/>
      <c r="AG3147" s="1063"/>
      <c r="AH3147" s="1063"/>
      <c r="AI3147" s="1063"/>
      <c r="AJ3147" s="1063"/>
      <c r="AK3147" s="1063"/>
      <c r="AL3147" s="1063"/>
      <c r="AM3147" s="1063"/>
      <c r="AN3147" s="1063"/>
      <c r="AO3147" s="1063"/>
      <c r="AP3147" s="1063"/>
      <c r="AQ3147" s="1063"/>
      <c r="AR3147" s="1063"/>
      <c r="AS3147" s="1063"/>
      <c r="AT3147" s="1063"/>
      <c r="AU3147" s="1063"/>
      <c r="AV3147" s="1063"/>
    </row>
    <row r="3148" spans="1:48" s="1108" customFormat="1" ht="27.75" customHeight="1">
      <c r="A3148" s="1076"/>
      <c r="B3148" s="1074">
        <f>+'[18]Bldg+Dev'!S3960</f>
        <v>0</v>
      </c>
      <c r="D3148" s="1063"/>
      <c r="F3148" s="1076"/>
      <c r="G3148" s="1063"/>
      <c r="H3148" s="1063"/>
      <c r="I3148" s="1063"/>
      <c r="J3148" s="1063"/>
      <c r="K3148" s="1063"/>
      <c r="L3148" s="1063"/>
      <c r="M3148" s="1063"/>
      <c r="N3148" s="1063"/>
      <c r="O3148" s="1063"/>
      <c r="P3148" s="1063"/>
      <c r="Q3148" s="1063"/>
      <c r="R3148" s="1063"/>
      <c r="S3148" s="1063"/>
      <c r="T3148" s="1063"/>
      <c r="U3148" s="1063"/>
      <c r="V3148" s="1063"/>
      <c r="W3148" s="1063"/>
      <c r="X3148" s="1063"/>
      <c r="Y3148" s="1063"/>
      <c r="Z3148" s="1063"/>
      <c r="AA3148" s="1063"/>
      <c r="AB3148" s="1063"/>
      <c r="AC3148" s="1063"/>
      <c r="AD3148" s="1063"/>
      <c r="AE3148" s="1063"/>
      <c r="AF3148" s="1063"/>
      <c r="AG3148" s="1063"/>
      <c r="AH3148" s="1063"/>
      <c r="AI3148" s="1063"/>
      <c r="AJ3148" s="1063"/>
      <c r="AK3148" s="1063"/>
      <c r="AL3148" s="1063"/>
      <c r="AM3148" s="1063"/>
      <c r="AN3148" s="1063"/>
      <c r="AO3148" s="1063"/>
      <c r="AP3148" s="1063"/>
      <c r="AQ3148" s="1063"/>
      <c r="AR3148" s="1063"/>
      <c r="AS3148" s="1063"/>
      <c r="AT3148" s="1063"/>
      <c r="AU3148" s="1063"/>
      <c r="AV3148" s="1063"/>
    </row>
    <row r="3149" spans="1:48" s="1108" customFormat="1" ht="27.75" customHeight="1">
      <c r="A3149" s="1076"/>
      <c r="B3149" s="1074">
        <f>+'[18]Bldg+Dev'!S3961</f>
        <v>0</v>
      </c>
      <c r="D3149" s="1063"/>
      <c r="F3149" s="1076"/>
      <c r="G3149" s="1063"/>
      <c r="H3149" s="1063"/>
      <c r="I3149" s="1063"/>
      <c r="J3149" s="1063"/>
      <c r="K3149" s="1063"/>
      <c r="L3149" s="1063"/>
      <c r="M3149" s="1063"/>
      <c r="N3149" s="1063"/>
      <c r="O3149" s="1063"/>
      <c r="P3149" s="1063"/>
      <c r="Q3149" s="1063"/>
      <c r="R3149" s="1063"/>
      <c r="S3149" s="1063"/>
      <c r="T3149" s="1063"/>
      <c r="U3149" s="1063"/>
      <c r="V3149" s="1063"/>
      <c r="W3149" s="1063"/>
      <c r="X3149" s="1063"/>
      <c r="Y3149" s="1063"/>
      <c r="Z3149" s="1063"/>
      <c r="AA3149" s="1063"/>
      <c r="AB3149" s="1063"/>
      <c r="AC3149" s="1063"/>
      <c r="AD3149" s="1063"/>
      <c r="AE3149" s="1063"/>
      <c r="AF3149" s="1063"/>
      <c r="AG3149" s="1063"/>
      <c r="AH3149" s="1063"/>
      <c r="AI3149" s="1063"/>
      <c r="AJ3149" s="1063"/>
      <c r="AK3149" s="1063"/>
      <c r="AL3149" s="1063"/>
      <c r="AM3149" s="1063"/>
      <c r="AN3149" s="1063"/>
      <c r="AO3149" s="1063"/>
      <c r="AP3149" s="1063"/>
      <c r="AQ3149" s="1063"/>
      <c r="AR3149" s="1063"/>
      <c r="AS3149" s="1063"/>
      <c r="AT3149" s="1063"/>
      <c r="AU3149" s="1063"/>
      <c r="AV3149" s="1063"/>
    </row>
    <row r="3150" spans="1:48" s="1108" customFormat="1" ht="27.75" customHeight="1">
      <c r="A3150" s="1076"/>
      <c r="B3150" s="1074">
        <f>+'[18]Bldg+Dev'!S3962</f>
        <v>0</v>
      </c>
      <c r="D3150" s="1063"/>
      <c r="F3150" s="1076"/>
      <c r="G3150" s="1063"/>
      <c r="H3150" s="1063"/>
      <c r="I3150" s="1063"/>
      <c r="J3150" s="1063"/>
      <c r="K3150" s="1063"/>
      <c r="L3150" s="1063"/>
      <c r="M3150" s="1063"/>
      <c r="N3150" s="1063"/>
      <c r="O3150" s="1063"/>
      <c r="P3150" s="1063"/>
      <c r="Q3150" s="1063"/>
      <c r="R3150" s="1063"/>
      <c r="S3150" s="1063"/>
      <c r="T3150" s="1063"/>
      <c r="U3150" s="1063"/>
      <c r="V3150" s="1063"/>
      <c r="W3150" s="1063"/>
      <c r="X3150" s="1063"/>
      <c r="Y3150" s="1063"/>
      <c r="Z3150" s="1063"/>
      <c r="AA3150" s="1063"/>
      <c r="AB3150" s="1063"/>
      <c r="AC3150" s="1063"/>
      <c r="AD3150" s="1063"/>
      <c r="AE3150" s="1063"/>
      <c r="AF3150" s="1063"/>
      <c r="AG3150" s="1063"/>
      <c r="AH3150" s="1063"/>
      <c r="AI3150" s="1063"/>
      <c r="AJ3150" s="1063"/>
      <c r="AK3150" s="1063"/>
      <c r="AL3150" s="1063"/>
      <c r="AM3150" s="1063"/>
      <c r="AN3150" s="1063"/>
      <c r="AO3150" s="1063"/>
      <c r="AP3150" s="1063"/>
      <c r="AQ3150" s="1063"/>
      <c r="AR3150" s="1063"/>
      <c r="AS3150" s="1063"/>
      <c r="AT3150" s="1063"/>
      <c r="AU3150" s="1063"/>
      <c r="AV3150" s="1063"/>
    </row>
    <row r="3151" spans="1:48" s="1108" customFormat="1" ht="27.75" customHeight="1">
      <c r="A3151" s="1076"/>
      <c r="B3151" s="1074">
        <f>+'[18]Bldg+Dev'!S3963</f>
        <v>0</v>
      </c>
      <c r="D3151" s="1063"/>
      <c r="F3151" s="1076"/>
      <c r="G3151" s="1063"/>
      <c r="H3151" s="1063"/>
      <c r="I3151" s="1063"/>
      <c r="J3151" s="1063"/>
      <c r="K3151" s="1063"/>
      <c r="L3151" s="1063"/>
      <c r="M3151" s="1063"/>
      <c r="N3151" s="1063"/>
      <c r="O3151" s="1063"/>
      <c r="P3151" s="1063"/>
      <c r="Q3151" s="1063"/>
      <c r="R3151" s="1063"/>
      <c r="S3151" s="1063"/>
      <c r="T3151" s="1063"/>
      <c r="U3151" s="1063"/>
      <c r="V3151" s="1063"/>
      <c r="W3151" s="1063"/>
      <c r="X3151" s="1063"/>
      <c r="Y3151" s="1063"/>
      <c r="Z3151" s="1063"/>
      <c r="AA3151" s="1063"/>
      <c r="AB3151" s="1063"/>
      <c r="AC3151" s="1063"/>
      <c r="AD3151" s="1063"/>
      <c r="AE3151" s="1063"/>
      <c r="AF3151" s="1063"/>
      <c r="AG3151" s="1063"/>
      <c r="AH3151" s="1063"/>
      <c r="AI3151" s="1063"/>
      <c r="AJ3151" s="1063"/>
      <c r="AK3151" s="1063"/>
      <c r="AL3151" s="1063"/>
      <c r="AM3151" s="1063"/>
      <c r="AN3151" s="1063"/>
      <c r="AO3151" s="1063"/>
      <c r="AP3151" s="1063"/>
      <c r="AQ3151" s="1063"/>
      <c r="AR3151" s="1063"/>
      <c r="AS3151" s="1063"/>
      <c r="AT3151" s="1063"/>
      <c r="AU3151" s="1063"/>
      <c r="AV3151" s="1063"/>
    </row>
    <row r="3152" spans="1:48" s="1108" customFormat="1" ht="27.75" customHeight="1">
      <c r="A3152" s="1076"/>
      <c r="B3152" s="1074">
        <f>+'[18]Bldg+Dev'!S3964</f>
        <v>0</v>
      </c>
      <c r="D3152" s="1063"/>
      <c r="F3152" s="1076"/>
      <c r="G3152" s="1063"/>
      <c r="H3152" s="1063"/>
      <c r="I3152" s="1063"/>
      <c r="J3152" s="1063"/>
      <c r="K3152" s="1063"/>
      <c r="L3152" s="1063"/>
      <c r="M3152" s="1063"/>
      <c r="N3152" s="1063"/>
      <c r="O3152" s="1063"/>
      <c r="P3152" s="1063"/>
      <c r="Q3152" s="1063"/>
      <c r="R3152" s="1063"/>
      <c r="S3152" s="1063"/>
      <c r="T3152" s="1063"/>
      <c r="U3152" s="1063"/>
      <c r="V3152" s="1063"/>
      <c r="W3152" s="1063"/>
      <c r="X3152" s="1063"/>
      <c r="Y3152" s="1063"/>
      <c r="Z3152" s="1063"/>
      <c r="AA3152" s="1063"/>
      <c r="AB3152" s="1063"/>
      <c r="AC3152" s="1063"/>
      <c r="AD3152" s="1063"/>
      <c r="AE3152" s="1063"/>
      <c r="AF3152" s="1063"/>
      <c r="AG3152" s="1063"/>
      <c r="AH3152" s="1063"/>
      <c r="AI3152" s="1063"/>
      <c r="AJ3152" s="1063"/>
      <c r="AK3152" s="1063"/>
      <c r="AL3152" s="1063"/>
      <c r="AM3152" s="1063"/>
      <c r="AN3152" s="1063"/>
      <c r="AO3152" s="1063"/>
      <c r="AP3152" s="1063"/>
      <c r="AQ3152" s="1063"/>
      <c r="AR3152" s="1063"/>
      <c r="AS3152" s="1063"/>
      <c r="AT3152" s="1063"/>
      <c r="AU3152" s="1063"/>
      <c r="AV3152" s="1063"/>
    </row>
    <row r="3153" spans="1:48" s="1108" customFormat="1" ht="27.75" customHeight="1">
      <c r="A3153" s="1076"/>
      <c r="B3153" s="1074">
        <f>+'[18]Bldg+Dev'!S3965</f>
        <v>0</v>
      </c>
      <c r="D3153" s="1063"/>
      <c r="F3153" s="1076"/>
      <c r="G3153" s="1063"/>
      <c r="H3153" s="1063"/>
      <c r="I3153" s="1063"/>
      <c r="J3153" s="1063"/>
      <c r="K3153" s="1063"/>
      <c r="L3153" s="1063"/>
      <c r="M3153" s="1063"/>
      <c r="N3153" s="1063"/>
      <c r="O3153" s="1063"/>
      <c r="P3153" s="1063"/>
      <c r="Q3153" s="1063"/>
      <c r="R3153" s="1063"/>
      <c r="S3153" s="1063"/>
      <c r="T3153" s="1063"/>
      <c r="U3153" s="1063"/>
      <c r="V3153" s="1063"/>
      <c r="W3153" s="1063"/>
      <c r="X3153" s="1063"/>
      <c r="Y3153" s="1063"/>
      <c r="Z3153" s="1063"/>
      <c r="AA3153" s="1063"/>
      <c r="AB3153" s="1063"/>
      <c r="AC3153" s="1063"/>
      <c r="AD3153" s="1063"/>
      <c r="AE3153" s="1063"/>
      <c r="AF3153" s="1063"/>
      <c r="AG3153" s="1063"/>
      <c r="AH3153" s="1063"/>
      <c r="AI3153" s="1063"/>
      <c r="AJ3153" s="1063"/>
      <c r="AK3153" s="1063"/>
      <c r="AL3153" s="1063"/>
      <c r="AM3153" s="1063"/>
      <c r="AN3153" s="1063"/>
      <c r="AO3153" s="1063"/>
      <c r="AP3153" s="1063"/>
      <c r="AQ3153" s="1063"/>
      <c r="AR3153" s="1063"/>
      <c r="AS3153" s="1063"/>
      <c r="AT3153" s="1063"/>
      <c r="AU3153" s="1063"/>
      <c r="AV3153" s="1063"/>
    </row>
    <row r="3154" spans="1:48" s="1108" customFormat="1" ht="27.75" customHeight="1">
      <c r="A3154" s="1076"/>
      <c r="B3154" s="1074">
        <f>+'[18]Bldg+Dev'!S3966</f>
        <v>0</v>
      </c>
      <c r="D3154" s="1063"/>
      <c r="F3154" s="1076"/>
      <c r="G3154" s="1063"/>
      <c r="H3154" s="1063"/>
      <c r="I3154" s="1063"/>
      <c r="J3154" s="1063"/>
      <c r="K3154" s="1063"/>
      <c r="L3154" s="1063"/>
      <c r="M3154" s="1063"/>
      <c r="N3154" s="1063"/>
      <c r="O3154" s="1063"/>
      <c r="P3154" s="1063"/>
      <c r="Q3154" s="1063"/>
      <c r="R3154" s="1063"/>
      <c r="S3154" s="1063"/>
      <c r="T3154" s="1063"/>
      <c r="U3154" s="1063"/>
      <c r="V3154" s="1063"/>
      <c r="W3154" s="1063"/>
      <c r="X3154" s="1063"/>
      <c r="Y3154" s="1063"/>
      <c r="Z3154" s="1063"/>
      <c r="AA3154" s="1063"/>
      <c r="AB3154" s="1063"/>
      <c r="AC3154" s="1063"/>
      <c r="AD3154" s="1063"/>
      <c r="AE3154" s="1063"/>
      <c r="AF3154" s="1063"/>
      <c r="AG3154" s="1063"/>
      <c r="AH3154" s="1063"/>
      <c r="AI3154" s="1063"/>
      <c r="AJ3154" s="1063"/>
      <c r="AK3154" s="1063"/>
      <c r="AL3154" s="1063"/>
      <c r="AM3154" s="1063"/>
      <c r="AN3154" s="1063"/>
      <c r="AO3154" s="1063"/>
      <c r="AP3154" s="1063"/>
      <c r="AQ3154" s="1063"/>
      <c r="AR3154" s="1063"/>
      <c r="AS3154" s="1063"/>
      <c r="AT3154" s="1063"/>
      <c r="AU3154" s="1063"/>
      <c r="AV3154" s="1063"/>
    </row>
    <row r="3155" spans="1:48" s="1108" customFormat="1" ht="27.75" customHeight="1">
      <c r="A3155" s="1076"/>
      <c r="B3155" s="1074">
        <f>+'[18]Bldg+Dev'!S3967</f>
        <v>0</v>
      </c>
      <c r="D3155" s="1063"/>
      <c r="F3155" s="1076"/>
      <c r="G3155" s="1063"/>
      <c r="H3155" s="1063"/>
      <c r="I3155" s="1063"/>
      <c r="J3155" s="1063"/>
      <c r="K3155" s="1063"/>
      <c r="L3155" s="1063"/>
      <c r="M3155" s="1063"/>
      <c r="N3155" s="1063"/>
      <c r="O3155" s="1063"/>
      <c r="P3155" s="1063"/>
      <c r="Q3155" s="1063"/>
      <c r="R3155" s="1063"/>
      <c r="S3155" s="1063"/>
      <c r="T3155" s="1063"/>
      <c r="U3155" s="1063"/>
      <c r="V3155" s="1063"/>
      <c r="W3155" s="1063"/>
      <c r="X3155" s="1063"/>
      <c r="Y3155" s="1063"/>
      <c r="Z3155" s="1063"/>
      <c r="AA3155" s="1063"/>
      <c r="AB3155" s="1063"/>
      <c r="AC3155" s="1063"/>
      <c r="AD3155" s="1063"/>
      <c r="AE3155" s="1063"/>
      <c r="AF3155" s="1063"/>
      <c r="AG3155" s="1063"/>
      <c r="AH3155" s="1063"/>
      <c r="AI3155" s="1063"/>
      <c r="AJ3155" s="1063"/>
      <c r="AK3155" s="1063"/>
      <c r="AL3155" s="1063"/>
      <c r="AM3155" s="1063"/>
      <c r="AN3155" s="1063"/>
      <c r="AO3155" s="1063"/>
      <c r="AP3155" s="1063"/>
      <c r="AQ3155" s="1063"/>
      <c r="AR3155" s="1063"/>
      <c r="AS3155" s="1063"/>
      <c r="AT3155" s="1063"/>
      <c r="AU3155" s="1063"/>
      <c r="AV3155" s="1063"/>
    </row>
    <row r="3156" spans="1:48" s="1108" customFormat="1" ht="27.75" customHeight="1">
      <c r="A3156" s="1076"/>
      <c r="B3156" s="1074">
        <f>+'[18]Bldg+Dev'!S3968</f>
        <v>0</v>
      </c>
      <c r="D3156" s="1063"/>
      <c r="F3156" s="1076"/>
      <c r="G3156" s="1063"/>
      <c r="H3156" s="1063"/>
      <c r="I3156" s="1063"/>
      <c r="J3156" s="1063"/>
      <c r="K3156" s="1063"/>
      <c r="L3156" s="1063"/>
      <c r="M3156" s="1063"/>
      <c r="N3156" s="1063"/>
      <c r="O3156" s="1063"/>
      <c r="P3156" s="1063"/>
      <c r="Q3156" s="1063"/>
      <c r="R3156" s="1063"/>
      <c r="S3156" s="1063"/>
      <c r="T3156" s="1063"/>
      <c r="U3156" s="1063"/>
      <c r="V3156" s="1063"/>
      <c r="W3156" s="1063"/>
      <c r="X3156" s="1063"/>
      <c r="Y3156" s="1063"/>
      <c r="Z3156" s="1063"/>
      <c r="AA3156" s="1063"/>
      <c r="AB3156" s="1063"/>
      <c r="AC3156" s="1063"/>
      <c r="AD3156" s="1063"/>
      <c r="AE3156" s="1063"/>
      <c r="AF3156" s="1063"/>
      <c r="AG3156" s="1063"/>
      <c r="AH3156" s="1063"/>
      <c r="AI3156" s="1063"/>
      <c r="AJ3156" s="1063"/>
      <c r="AK3156" s="1063"/>
      <c r="AL3156" s="1063"/>
      <c r="AM3156" s="1063"/>
      <c r="AN3156" s="1063"/>
      <c r="AO3156" s="1063"/>
      <c r="AP3156" s="1063"/>
      <c r="AQ3156" s="1063"/>
      <c r="AR3156" s="1063"/>
      <c r="AS3156" s="1063"/>
      <c r="AT3156" s="1063"/>
      <c r="AU3156" s="1063"/>
      <c r="AV3156" s="1063"/>
    </row>
    <row r="3157" spans="1:48" s="1108" customFormat="1" ht="27.75" customHeight="1">
      <c r="A3157" s="1076"/>
      <c r="B3157" s="1074">
        <f>+'[18]Bldg+Dev'!S3969</f>
        <v>0</v>
      </c>
      <c r="D3157" s="1063"/>
      <c r="F3157" s="1076"/>
      <c r="G3157" s="1063"/>
      <c r="H3157" s="1063"/>
      <c r="I3157" s="1063"/>
      <c r="J3157" s="1063"/>
      <c r="K3157" s="1063"/>
      <c r="L3157" s="1063"/>
      <c r="M3157" s="1063"/>
      <c r="N3157" s="1063"/>
      <c r="O3157" s="1063"/>
      <c r="P3157" s="1063"/>
      <c r="Q3157" s="1063"/>
      <c r="R3157" s="1063"/>
      <c r="S3157" s="1063"/>
      <c r="T3157" s="1063"/>
      <c r="U3157" s="1063"/>
      <c r="V3157" s="1063"/>
      <c r="W3157" s="1063"/>
      <c r="X3157" s="1063"/>
      <c r="Y3157" s="1063"/>
      <c r="Z3157" s="1063"/>
      <c r="AA3157" s="1063"/>
      <c r="AB3157" s="1063"/>
      <c r="AC3157" s="1063"/>
      <c r="AD3157" s="1063"/>
      <c r="AE3157" s="1063"/>
      <c r="AF3157" s="1063"/>
      <c r="AG3157" s="1063"/>
      <c r="AH3157" s="1063"/>
      <c r="AI3157" s="1063"/>
      <c r="AJ3157" s="1063"/>
      <c r="AK3157" s="1063"/>
      <c r="AL3157" s="1063"/>
      <c r="AM3157" s="1063"/>
      <c r="AN3157" s="1063"/>
      <c r="AO3157" s="1063"/>
      <c r="AP3157" s="1063"/>
      <c r="AQ3157" s="1063"/>
      <c r="AR3157" s="1063"/>
      <c r="AS3157" s="1063"/>
      <c r="AT3157" s="1063"/>
      <c r="AU3157" s="1063"/>
      <c r="AV3157" s="1063"/>
    </row>
    <row r="3158" spans="1:48" s="1108" customFormat="1" ht="27.75" customHeight="1">
      <c r="A3158" s="1076"/>
      <c r="B3158" s="1074">
        <f>+'[18]Bldg+Dev'!S3970</f>
        <v>0</v>
      </c>
      <c r="D3158" s="1063"/>
      <c r="F3158" s="1076"/>
      <c r="G3158" s="1063"/>
      <c r="H3158" s="1063"/>
      <c r="I3158" s="1063"/>
      <c r="J3158" s="1063"/>
      <c r="K3158" s="1063"/>
      <c r="L3158" s="1063"/>
      <c r="M3158" s="1063"/>
      <c r="N3158" s="1063"/>
      <c r="O3158" s="1063"/>
      <c r="P3158" s="1063"/>
      <c r="Q3158" s="1063"/>
      <c r="R3158" s="1063"/>
      <c r="S3158" s="1063"/>
      <c r="T3158" s="1063"/>
      <c r="U3158" s="1063"/>
      <c r="V3158" s="1063"/>
      <c r="W3158" s="1063"/>
      <c r="X3158" s="1063"/>
      <c r="Y3158" s="1063"/>
      <c r="Z3158" s="1063"/>
      <c r="AA3158" s="1063"/>
      <c r="AB3158" s="1063"/>
      <c r="AC3158" s="1063"/>
      <c r="AD3158" s="1063"/>
      <c r="AE3158" s="1063"/>
      <c r="AF3158" s="1063"/>
      <c r="AG3158" s="1063"/>
      <c r="AH3158" s="1063"/>
      <c r="AI3158" s="1063"/>
      <c r="AJ3158" s="1063"/>
      <c r="AK3158" s="1063"/>
      <c r="AL3158" s="1063"/>
      <c r="AM3158" s="1063"/>
      <c r="AN3158" s="1063"/>
      <c r="AO3158" s="1063"/>
      <c r="AP3158" s="1063"/>
      <c r="AQ3158" s="1063"/>
      <c r="AR3158" s="1063"/>
      <c r="AS3158" s="1063"/>
      <c r="AT3158" s="1063"/>
      <c r="AU3158" s="1063"/>
      <c r="AV3158" s="1063"/>
    </row>
    <row r="3159" spans="1:48" s="1108" customFormat="1" ht="27.75" customHeight="1">
      <c r="A3159" s="1076"/>
      <c r="B3159" s="1074">
        <f>+'[18]Bldg+Dev'!S3971</f>
        <v>0</v>
      </c>
      <c r="D3159" s="1063"/>
      <c r="F3159" s="1076"/>
      <c r="G3159" s="1063"/>
      <c r="H3159" s="1063"/>
      <c r="I3159" s="1063"/>
      <c r="J3159" s="1063"/>
      <c r="K3159" s="1063"/>
      <c r="L3159" s="1063"/>
      <c r="M3159" s="1063"/>
      <c r="N3159" s="1063"/>
      <c r="O3159" s="1063"/>
      <c r="P3159" s="1063"/>
      <c r="Q3159" s="1063"/>
      <c r="R3159" s="1063"/>
      <c r="S3159" s="1063"/>
      <c r="T3159" s="1063"/>
      <c r="U3159" s="1063"/>
      <c r="V3159" s="1063"/>
      <c r="W3159" s="1063"/>
      <c r="X3159" s="1063"/>
      <c r="Y3159" s="1063"/>
      <c r="Z3159" s="1063"/>
      <c r="AA3159" s="1063"/>
      <c r="AB3159" s="1063"/>
      <c r="AC3159" s="1063"/>
      <c r="AD3159" s="1063"/>
      <c r="AE3159" s="1063"/>
      <c r="AF3159" s="1063"/>
      <c r="AG3159" s="1063"/>
      <c r="AH3159" s="1063"/>
      <c r="AI3159" s="1063"/>
      <c r="AJ3159" s="1063"/>
      <c r="AK3159" s="1063"/>
      <c r="AL3159" s="1063"/>
      <c r="AM3159" s="1063"/>
      <c r="AN3159" s="1063"/>
      <c r="AO3159" s="1063"/>
      <c r="AP3159" s="1063"/>
      <c r="AQ3159" s="1063"/>
      <c r="AR3159" s="1063"/>
      <c r="AS3159" s="1063"/>
      <c r="AT3159" s="1063"/>
      <c r="AU3159" s="1063"/>
      <c r="AV3159" s="1063"/>
    </row>
    <row r="3160" spans="1:48" s="1108" customFormat="1" ht="27.75" customHeight="1">
      <c r="A3160" s="1076"/>
      <c r="B3160" s="1074">
        <f>+'[18]Bldg+Dev'!S3972</f>
        <v>0</v>
      </c>
      <c r="D3160" s="1063"/>
      <c r="F3160" s="1076"/>
      <c r="G3160" s="1063"/>
      <c r="H3160" s="1063"/>
      <c r="I3160" s="1063"/>
      <c r="J3160" s="1063"/>
      <c r="K3160" s="1063"/>
      <c r="L3160" s="1063"/>
      <c r="M3160" s="1063"/>
      <c r="N3160" s="1063"/>
      <c r="O3160" s="1063"/>
      <c r="P3160" s="1063"/>
      <c r="Q3160" s="1063"/>
      <c r="R3160" s="1063"/>
      <c r="S3160" s="1063"/>
      <c r="T3160" s="1063"/>
      <c r="U3160" s="1063"/>
      <c r="V3160" s="1063"/>
      <c r="W3160" s="1063"/>
      <c r="X3160" s="1063"/>
      <c r="Y3160" s="1063"/>
      <c r="Z3160" s="1063"/>
      <c r="AA3160" s="1063"/>
      <c r="AB3160" s="1063"/>
      <c r="AC3160" s="1063"/>
      <c r="AD3160" s="1063"/>
      <c r="AE3160" s="1063"/>
      <c r="AF3160" s="1063"/>
      <c r="AG3160" s="1063"/>
      <c r="AH3160" s="1063"/>
      <c r="AI3160" s="1063"/>
      <c r="AJ3160" s="1063"/>
      <c r="AK3160" s="1063"/>
      <c r="AL3160" s="1063"/>
      <c r="AM3160" s="1063"/>
      <c r="AN3160" s="1063"/>
      <c r="AO3160" s="1063"/>
      <c r="AP3160" s="1063"/>
      <c r="AQ3160" s="1063"/>
      <c r="AR3160" s="1063"/>
      <c r="AS3160" s="1063"/>
      <c r="AT3160" s="1063"/>
      <c r="AU3160" s="1063"/>
      <c r="AV3160" s="1063"/>
    </row>
    <row r="3161" spans="1:48" s="1108" customFormat="1" ht="27.75" customHeight="1">
      <c r="A3161" s="1076"/>
      <c r="B3161" s="1074">
        <f>+'[18]Bldg+Dev'!S3973</f>
        <v>0</v>
      </c>
      <c r="D3161" s="1063"/>
      <c r="F3161" s="1076"/>
      <c r="G3161" s="1063"/>
      <c r="H3161" s="1063"/>
      <c r="I3161" s="1063"/>
      <c r="J3161" s="1063"/>
      <c r="K3161" s="1063"/>
      <c r="L3161" s="1063"/>
      <c r="M3161" s="1063"/>
      <c r="N3161" s="1063"/>
      <c r="O3161" s="1063"/>
      <c r="P3161" s="1063"/>
      <c r="Q3161" s="1063"/>
      <c r="R3161" s="1063"/>
      <c r="S3161" s="1063"/>
      <c r="T3161" s="1063"/>
      <c r="U3161" s="1063"/>
      <c r="V3161" s="1063"/>
      <c r="W3161" s="1063"/>
      <c r="X3161" s="1063"/>
      <c r="Y3161" s="1063"/>
      <c r="Z3161" s="1063"/>
      <c r="AA3161" s="1063"/>
      <c r="AB3161" s="1063"/>
      <c r="AC3161" s="1063"/>
      <c r="AD3161" s="1063"/>
      <c r="AE3161" s="1063"/>
      <c r="AF3161" s="1063"/>
      <c r="AG3161" s="1063"/>
      <c r="AH3161" s="1063"/>
      <c r="AI3161" s="1063"/>
      <c r="AJ3161" s="1063"/>
      <c r="AK3161" s="1063"/>
      <c r="AL3161" s="1063"/>
      <c r="AM3161" s="1063"/>
      <c r="AN3161" s="1063"/>
      <c r="AO3161" s="1063"/>
      <c r="AP3161" s="1063"/>
      <c r="AQ3161" s="1063"/>
      <c r="AR3161" s="1063"/>
      <c r="AS3161" s="1063"/>
      <c r="AT3161" s="1063"/>
      <c r="AU3161" s="1063"/>
      <c r="AV3161" s="1063"/>
    </row>
    <row r="3162" spans="1:48" s="1108" customFormat="1" ht="27.75" customHeight="1">
      <c r="A3162" s="1076"/>
      <c r="B3162" s="1074">
        <f>+'[18]Bldg+Dev'!S3974</f>
        <v>0</v>
      </c>
      <c r="D3162" s="1063"/>
      <c r="F3162" s="1076"/>
      <c r="G3162" s="1063"/>
      <c r="H3162" s="1063"/>
      <c r="I3162" s="1063"/>
      <c r="J3162" s="1063"/>
      <c r="K3162" s="1063"/>
      <c r="L3162" s="1063"/>
      <c r="M3162" s="1063"/>
      <c r="N3162" s="1063"/>
      <c r="O3162" s="1063"/>
      <c r="P3162" s="1063"/>
      <c r="Q3162" s="1063"/>
      <c r="R3162" s="1063"/>
      <c r="S3162" s="1063"/>
      <c r="T3162" s="1063"/>
      <c r="U3162" s="1063"/>
      <c r="V3162" s="1063"/>
      <c r="W3162" s="1063"/>
      <c r="X3162" s="1063"/>
      <c r="Y3162" s="1063"/>
      <c r="Z3162" s="1063"/>
      <c r="AA3162" s="1063"/>
      <c r="AB3162" s="1063"/>
      <c r="AC3162" s="1063"/>
      <c r="AD3162" s="1063"/>
      <c r="AE3162" s="1063"/>
      <c r="AF3162" s="1063"/>
      <c r="AG3162" s="1063"/>
      <c r="AH3162" s="1063"/>
      <c r="AI3162" s="1063"/>
      <c r="AJ3162" s="1063"/>
      <c r="AK3162" s="1063"/>
      <c r="AL3162" s="1063"/>
      <c r="AM3162" s="1063"/>
      <c r="AN3162" s="1063"/>
      <c r="AO3162" s="1063"/>
      <c r="AP3162" s="1063"/>
      <c r="AQ3162" s="1063"/>
      <c r="AR3162" s="1063"/>
      <c r="AS3162" s="1063"/>
      <c r="AT3162" s="1063"/>
      <c r="AU3162" s="1063"/>
      <c r="AV3162" s="1063"/>
    </row>
    <row r="3163" spans="1:48" s="1108" customFormat="1" ht="27.75" customHeight="1">
      <c r="A3163" s="1076"/>
      <c r="B3163" s="1074">
        <f>+'[18]Bldg+Dev'!S3975</f>
        <v>0</v>
      </c>
      <c r="D3163" s="1063"/>
      <c r="F3163" s="1076"/>
      <c r="G3163" s="1063"/>
      <c r="H3163" s="1063"/>
      <c r="I3163" s="1063"/>
      <c r="J3163" s="1063"/>
      <c r="K3163" s="1063"/>
      <c r="L3163" s="1063"/>
      <c r="M3163" s="1063"/>
      <c r="N3163" s="1063"/>
      <c r="O3163" s="1063"/>
      <c r="P3163" s="1063"/>
      <c r="Q3163" s="1063"/>
      <c r="R3163" s="1063"/>
      <c r="S3163" s="1063"/>
      <c r="T3163" s="1063"/>
      <c r="U3163" s="1063"/>
      <c r="V3163" s="1063"/>
      <c r="W3163" s="1063"/>
      <c r="X3163" s="1063"/>
      <c r="Y3163" s="1063"/>
      <c r="Z3163" s="1063"/>
      <c r="AA3163" s="1063"/>
      <c r="AB3163" s="1063"/>
      <c r="AC3163" s="1063"/>
      <c r="AD3163" s="1063"/>
      <c r="AE3163" s="1063"/>
      <c r="AF3163" s="1063"/>
      <c r="AG3163" s="1063"/>
      <c r="AH3163" s="1063"/>
      <c r="AI3163" s="1063"/>
      <c r="AJ3163" s="1063"/>
      <c r="AK3163" s="1063"/>
      <c r="AL3163" s="1063"/>
      <c r="AM3163" s="1063"/>
      <c r="AN3163" s="1063"/>
      <c r="AO3163" s="1063"/>
      <c r="AP3163" s="1063"/>
      <c r="AQ3163" s="1063"/>
      <c r="AR3163" s="1063"/>
      <c r="AS3163" s="1063"/>
      <c r="AT3163" s="1063"/>
      <c r="AU3163" s="1063"/>
      <c r="AV3163" s="1063"/>
    </row>
    <row r="3164" spans="1:48" s="1108" customFormat="1" ht="27.75" customHeight="1">
      <c r="A3164" s="1076"/>
      <c r="B3164" s="1074">
        <f>+'[18]Bldg+Dev'!S3976</f>
        <v>0</v>
      </c>
      <c r="D3164" s="1063"/>
      <c r="F3164" s="1076"/>
      <c r="G3164" s="1063"/>
      <c r="H3164" s="1063"/>
      <c r="I3164" s="1063"/>
      <c r="J3164" s="1063"/>
      <c r="K3164" s="1063"/>
      <c r="L3164" s="1063"/>
      <c r="M3164" s="1063"/>
      <c r="N3164" s="1063"/>
      <c r="O3164" s="1063"/>
      <c r="P3164" s="1063"/>
      <c r="Q3164" s="1063"/>
      <c r="R3164" s="1063"/>
      <c r="S3164" s="1063"/>
      <c r="T3164" s="1063"/>
      <c r="U3164" s="1063"/>
      <c r="V3164" s="1063"/>
      <c r="W3164" s="1063"/>
      <c r="X3164" s="1063"/>
      <c r="Y3164" s="1063"/>
      <c r="Z3164" s="1063"/>
      <c r="AA3164" s="1063"/>
      <c r="AB3164" s="1063"/>
      <c r="AC3164" s="1063"/>
      <c r="AD3164" s="1063"/>
      <c r="AE3164" s="1063"/>
      <c r="AF3164" s="1063"/>
      <c r="AG3164" s="1063"/>
      <c r="AH3164" s="1063"/>
      <c r="AI3164" s="1063"/>
      <c r="AJ3164" s="1063"/>
      <c r="AK3164" s="1063"/>
      <c r="AL3164" s="1063"/>
      <c r="AM3164" s="1063"/>
      <c r="AN3164" s="1063"/>
      <c r="AO3164" s="1063"/>
      <c r="AP3164" s="1063"/>
      <c r="AQ3164" s="1063"/>
      <c r="AR3164" s="1063"/>
      <c r="AS3164" s="1063"/>
      <c r="AT3164" s="1063"/>
      <c r="AU3164" s="1063"/>
      <c r="AV3164" s="1063"/>
    </row>
    <row r="3165" spans="1:48" s="1108" customFormat="1" ht="27.75" customHeight="1">
      <c r="A3165" s="1076"/>
      <c r="B3165" s="1074">
        <f>+'[18]Bldg+Dev'!S3977</f>
        <v>0</v>
      </c>
      <c r="D3165" s="1063"/>
      <c r="F3165" s="1076"/>
      <c r="G3165" s="1063"/>
      <c r="H3165" s="1063"/>
      <c r="I3165" s="1063"/>
      <c r="J3165" s="1063"/>
      <c r="K3165" s="1063"/>
      <c r="L3165" s="1063"/>
      <c r="M3165" s="1063"/>
      <c r="N3165" s="1063"/>
      <c r="O3165" s="1063"/>
      <c r="P3165" s="1063"/>
      <c r="Q3165" s="1063"/>
      <c r="R3165" s="1063"/>
      <c r="S3165" s="1063"/>
      <c r="T3165" s="1063"/>
      <c r="U3165" s="1063"/>
      <c r="V3165" s="1063"/>
      <c r="W3165" s="1063"/>
      <c r="X3165" s="1063"/>
      <c r="Y3165" s="1063"/>
      <c r="Z3165" s="1063"/>
      <c r="AA3165" s="1063"/>
      <c r="AB3165" s="1063"/>
      <c r="AC3165" s="1063"/>
      <c r="AD3165" s="1063"/>
      <c r="AE3165" s="1063"/>
      <c r="AF3165" s="1063"/>
      <c r="AG3165" s="1063"/>
      <c r="AH3165" s="1063"/>
      <c r="AI3165" s="1063"/>
      <c r="AJ3165" s="1063"/>
      <c r="AK3165" s="1063"/>
      <c r="AL3165" s="1063"/>
      <c r="AM3165" s="1063"/>
      <c r="AN3165" s="1063"/>
      <c r="AO3165" s="1063"/>
      <c r="AP3165" s="1063"/>
      <c r="AQ3165" s="1063"/>
      <c r="AR3165" s="1063"/>
      <c r="AS3165" s="1063"/>
      <c r="AT3165" s="1063"/>
      <c r="AU3165" s="1063"/>
      <c r="AV3165" s="1063"/>
    </row>
    <row r="3166" spans="1:48" s="1108" customFormat="1" ht="27.75" customHeight="1">
      <c r="A3166" s="1076"/>
      <c r="B3166" s="1074">
        <f>+'[18]Bldg+Dev'!S3978</f>
        <v>0</v>
      </c>
      <c r="D3166" s="1063"/>
      <c r="F3166" s="1076"/>
      <c r="G3166" s="1063"/>
      <c r="H3166" s="1063"/>
      <c r="I3166" s="1063"/>
      <c r="J3166" s="1063"/>
      <c r="K3166" s="1063"/>
      <c r="L3166" s="1063"/>
      <c r="M3166" s="1063"/>
      <c r="N3166" s="1063"/>
      <c r="O3166" s="1063"/>
      <c r="P3166" s="1063"/>
      <c r="Q3166" s="1063"/>
      <c r="R3166" s="1063"/>
      <c r="S3166" s="1063"/>
      <c r="T3166" s="1063"/>
      <c r="U3166" s="1063"/>
      <c r="V3166" s="1063"/>
      <c r="W3166" s="1063"/>
      <c r="X3166" s="1063"/>
      <c r="Y3166" s="1063"/>
      <c r="Z3166" s="1063"/>
      <c r="AA3166" s="1063"/>
      <c r="AB3166" s="1063"/>
      <c r="AC3166" s="1063"/>
      <c r="AD3166" s="1063"/>
      <c r="AE3166" s="1063"/>
      <c r="AF3166" s="1063"/>
      <c r="AG3166" s="1063"/>
      <c r="AH3166" s="1063"/>
      <c r="AI3166" s="1063"/>
      <c r="AJ3166" s="1063"/>
      <c r="AK3166" s="1063"/>
      <c r="AL3166" s="1063"/>
      <c r="AM3166" s="1063"/>
      <c r="AN3166" s="1063"/>
      <c r="AO3166" s="1063"/>
      <c r="AP3166" s="1063"/>
      <c r="AQ3166" s="1063"/>
      <c r="AR3166" s="1063"/>
      <c r="AS3166" s="1063"/>
      <c r="AT3166" s="1063"/>
      <c r="AU3166" s="1063"/>
      <c r="AV3166" s="1063"/>
    </row>
    <row r="3167" spans="1:48" s="1108" customFormat="1" ht="27.75" customHeight="1">
      <c r="A3167" s="1076"/>
      <c r="B3167" s="1074">
        <f>+'[18]Bldg+Dev'!S3979</f>
        <v>0</v>
      </c>
      <c r="D3167" s="1063"/>
      <c r="F3167" s="1076"/>
      <c r="G3167" s="1063"/>
      <c r="H3167" s="1063"/>
      <c r="I3167" s="1063"/>
      <c r="J3167" s="1063"/>
      <c r="K3167" s="1063"/>
      <c r="L3167" s="1063"/>
      <c r="M3167" s="1063"/>
      <c r="N3167" s="1063"/>
      <c r="O3167" s="1063"/>
      <c r="P3167" s="1063"/>
      <c r="Q3167" s="1063"/>
      <c r="R3167" s="1063"/>
      <c r="S3167" s="1063"/>
      <c r="T3167" s="1063"/>
      <c r="U3167" s="1063"/>
      <c r="V3167" s="1063"/>
      <c r="W3167" s="1063"/>
      <c r="X3167" s="1063"/>
      <c r="Y3167" s="1063"/>
      <c r="Z3167" s="1063"/>
      <c r="AA3167" s="1063"/>
      <c r="AB3167" s="1063"/>
      <c r="AC3167" s="1063"/>
      <c r="AD3167" s="1063"/>
      <c r="AE3167" s="1063"/>
      <c r="AF3167" s="1063"/>
      <c r="AG3167" s="1063"/>
      <c r="AH3167" s="1063"/>
      <c r="AI3167" s="1063"/>
      <c r="AJ3167" s="1063"/>
      <c r="AK3167" s="1063"/>
      <c r="AL3167" s="1063"/>
      <c r="AM3167" s="1063"/>
      <c r="AN3167" s="1063"/>
      <c r="AO3167" s="1063"/>
      <c r="AP3167" s="1063"/>
      <c r="AQ3167" s="1063"/>
      <c r="AR3167" s="1063"/>
      <c r="AS3167" s="1063"/>
      <c r="AT3167" s="1063"/>
      <c r="AU3167" s="1063"/>
      <c r="AV3167" s="1063"/>
    </row>
    <row r="3168" spans="1:48" s="1108" customFormat="1" ht="27.75" customHeight="1">
      <c r="A3168" s="1076"/>
      <c r="B3168" s="1074">
        <f>+'[18]Bldg+Dev'!S3980</f>
        <v>0</v>
      </c>
      <c r="D3168" s="1063"/>
      <c r="F3168" s="1076"/>
      <c r="G3168" s="1063"/>
      <c r="H3168" s="1063"/>
      <c r="I3168" s="1063"/>
      <c r="J3168" s="1063"/>
      <c r="K3168" s="1063"/>
      <c r="L3168" s="1063"/>
      <c r="M3168" s="1063"/>
      <c r="N3168" s="1063"/>
      <c r="O3168" s="1063"/>
      <c r="P3168" s="1063"/>
      <c r="Q3168" s="1063"/>
      <c r="R3168" s="1063"/>
      <c r="S3168" s="1063"/>
      <c r="T3168" s="1063"/>
      <c r="U3168" s="1063"/>
      <c r="V3168" s="1063"/>
      <c r="W3168" s="1063"/>
      <c r="X3168" s="1063"/>
      <c r="Y3168" s="1063"/>
      <c r="Z3168" s="1063"/>
      <c r="AA3168" s="1063"/>
      <c r="AB3168" s="1063"/>
      <c r="AC3168" s="1063"/>
      <c r="AD3168" s="1063"/>
      <c r="AE3168" s="1063"/>
      <c r="AF3168" s="1063"/>
      <c r="AG3168" s="1063"/>
      <c r="AH3168" s="1063"/>
      <c r="AI3168" s="1063"/>
      <c r="AJ3168" s="1063"/>
      <c r="AK3168" s="1063"/>
      <c r="AL3168" s="1063"/>
      <c r="AM3168" s="1063"/>
      <c r="AN3168" s="1063"/>
      <c r="AO3168" s="1063"/>
      <c r="AP3168" s="1063"/>
      <c r="AQ3168" s="1063"/>
      <c r="AR3168" s="1063"/>
      <c r="AS3168" s="1063"/>
      <c r="AT3168" s="1063"/>
      <c r="AU3168" s="1063"/>
      <c r="AV3168" s="1063"/>
    </row>
    <row r="3169" spans="1:48" s="1108" customFormat="1" ht="27.75" customHeight="1">
      <c r="A3169" s="1076"/>
      <c r="B3169" s="1074">
        <f>+'[18]Bldg+Dev'!S3981</f>
        <v>0</v>
      </c>
      <c r="D3169" s="1063"/>
      <c r="F3169" s="1076"/>
      <c r="G3169" s="1063"/>
      <c r="H3169" s="1063"/>
      <c r="I3169" s="1063"/>
      <c r="J3169" s="1063"/>
      <c r="K3169" s="1063"/>
      <c r="L3169" s="1063"/>
      <c r="M3169" s="1063"/>
      <c r="N3169" s="1063"/>
      <c r="O3169" s="1063"/>
      <c r="P3169" s="1063"/>
      <c r="Q3169" s="1063"/>
      <c r="R3169" s="1063"/>
      <c r="S3169" s="1063"/>
      <c r="T3169" s="1063"/>
      <c r="U3169" s="1063"/>
      <c r="V3169" s="1063"/>
      <c r="W3169" s="1063"/>
      <c r="X3169" s="1063"/>
      <c r="Y3169" s="1063"/>
      <c r="Z3169" s="1063"/>
      <c r="AA3169" s="1063"/>
      <c r="AB3169" s="1063"/>
      <c r="AC3169" s="1063"/>
      <c r="AD3169" s="1063"/>
      <c r="AE3169" s="1063"/>
      <c r="AF3169" s="1063"/>
      <c r="AG3169" s="1063"/>
      <c r="AH3169" s="1063"/>
      <c r="AI3169" s="1063"/>
      <c r="AJ3169" s="1063"/>
      <c r="AK3169" s="1063"/>
      <c r="AL3169" s="1063"/>
      <c r="AM3169" s="1063"/>
      <c r="AN3169" s="1063"/>
      <c r="AO3169" s="1063"/>
      <c r="AP3169" s="1063"/>
      <c r="AQ3169" s="1063"/>
      <c r="AR3169" s="1063"/>
      <c r="AS3169" s="1063"/>
      <c r="AT3169" s="1063"/>
      <c r="AU3169" s="1063"/>
      <c r="AV3169" s="1063"/>
    </row>
    <row r="3170" spans="1:48" s="1108" customFormat="1" ht="27.75" customHeight="1">
      <c r="A3170" s="1076"/>
      <c r="B3170" s="1074">
        <f>+'[18]Bldg+Dev'!S3982</f>
        <v>0</v>
      </c>
      <c r="D3170" s="1063"/>
      <c r="F3170" s="1076"/>
      <c r="G3170" s="1063"/>
      <c r="H3170" s="1063"/>
      <c r="I3170" s="1063"/>
      <c r="J3170" s="1063"/>
      <c r="K3170" s="1063"/>
      <c r="L3170" s="1063"/>
      <c r="M3170" s="1063"/>
      <c r="N3170" s="1063"/>
      <c r="O3170" s="1063"/>
      <c r="P3170" s="1063"/>
      <c r="Q3170" s="1063"/>
      <c r="R3170" s="1063"/>
      <c r="S3170" s="1063"/>
      <c r="T3170" s="1063"/>
      <c r="U3170" s="1063"/>
      <c r="V3170" s="1063"/>
      <c r="W3170" s="1063"/>
      <c r="X3170" s="1063"/>
      <c r="Y3170" s="1063"/>
      <c r="Z3170" s="1063"/>
      <c r="AA3170" s="1063"/>
      <c r="AB3170" s="1063"/>
      <c r="AC3170" s="1063"/>
      <c r="AD3170" s="1063"/>
      <c r="AE3170" s="1063"/>
      <c r="AF3170" s="1063"/>
      <c r="AG3170" s="1063"/>
      <c r="AH3170" s="1063"/>
      <c r="AI3170" s="1063"/>
      <c r="AJ3170" s="1063"/>
      <c r="AK3170" s="1063"/>
      <c r="AL3170" s="1063"/>
      <c r="AM3170" s="1063"/>
      <c r="AN3170" s="1063"/>
      <c r="AO3170" s="1063"/>
      <c r="AP3170" s="1063"/>
      <c r="AQ3170" s="1063"/>
      <c r="AR3170" s="1063"/>
      <c r="AS3170" s="1063"/>
      <c r="AT3170" s="1063"/>
      <c r="AU3170" s="1063"/>
      <c r="AV3170" s="1063"/>
    </row>
    <row r="3171" spans="1:48" s="1108" customFormat="1" ht="27.75" customHeight="1">
      <c r="A3171" s="1076"/>
      <c r="B3171" s="1074">
        <f>+'[18]Bldg+Dev'!S3983</f>
        <v>0</v>
      </c>
      <c r="D3171" s="1063"/>
      <c r="F3171" s="1076"/>
      <c r="G3171" s="1063"/>
      <c r="H3171" s="1063"/>
      <c r="I3171" s="1063"/>
      <c r="J3171" s="1063"/>
      <c r="K3171" s="1063"/>
      <c r="L3171" s="1063"/>
      <c r="M3171" s="1063"/>
      <c r="N3171" s="1063"/>
      <c r="O3171" s="1063"/>
      <c r="P3171" s="1063"/>
      <c r="Q3171" s="1063"/>
      <c r="R3171" s="1063"/>
      <c r="S3171" s="1063"/>
      <c r="T3171" s="1063"/>
      <c r="U3171" s="1063"/>
      <c r="V3171" s="1063"/>
      <c r="W3171" s="1063"/>
      <c r="X3171" s="1063"/>
      <c r="Y3171" s="1063"/>
      <c r="Z3171" s="1063"/>
      <c r="AA3171" s="1063"/>
      <c r="AB3171" s="1063"/>
      <c r="AC3171" s="1063"/>
      <c r="AD3171" s="1063"/>
      <c r="AE3171" s="1063"/>
      <c r="AF3171" s="1063"/>
      <c r="AG3171" s="1063"/>
      <c r="AH3171" s="1063"/>
      <c r="AI3171" s="1063"/>
      <c r="AJ3171" s="1063"/>
      <c r="AK3171" s="1063"/>
      <c r="AL3171" s="1063"/>
      <c r="AM3171" s="1063"/>
      <c r="AN3171" s="1063"/>
      <c r="AO3171" s="1063"/>
      <c r="AP3171" s="1063"/>
      <c r="AQ3171" s="1063"/>
      <c r="AR3171" s="1063"/>
      <c r="AS3171" s="1063"/>
      <c r="AT3171" s="1063"/>
      <c r="AU3171" s="1063"/>
      <c r="AV3171" s="1063"/>
    </row>
    <row r="3172" spans="1:48" s="1108" customFormat="1" ht="27.75" customHeight="1">
      <c r="A3172" s="1076"/>
      <c r="B3172" s="1074">
        <f>+'[18]Bldg+Dev'!S3984</f>
        <v>0</v>
      </c>
      <c r="D3172" s="1063"/>
      <c r="F3172" s="1076"/>
      <c r="G3172" s="1063"/>
      <c r="H3172" s="1063"/>
      <c r="I3172" s="1063"/>
      <c r="J3172" s="1063"/>
      <c r="K3172" s="1063"/>
      <c r="L3172" s="1063"/>
      <c r="M3172" s="1063"/>
      <c r="N3172" s="1063"/>
      <c r="O3172" s="1063"/>
      <c r="P3172" s="1063"/>
      <c r="Q3172" s="1063"/>
      <c r="R3172" s="1063"/>
      <c r="S3172" s="1063"/>
      <c r="T3172" s="1063"/>
      <c r="U3172" s="1063"/>
      <c r="V3172" s="1063"/>
      <c r="W3172" s="1063"/>
      <c r="X3172" s="1063"/>
      <c r="Y3172" s="1063"/>
      <c r="Z3172" s="1063"/>
      <c r="AA3172" s="1063"/>
      <c r="AB3172" s="1063"/>
      <c r="AC3172" s="1063"/>
      <c r="AD3172" s="1063"/>
      <c r="AE3172" s="1063"/>
      <c r="AF3172" s="1063"/>
      <c r="AG3172" s="1063"/>
      <c r="AH3172" s="1063"/>
      <c r="AI3172" s="1063"/>
      <c r="AJ3172" s="1063"/>
      <c r="AK3172" s="1063"/>
      <c r="AL3172" s="1063"/>
      <c r="AM3172" s="1063"/>
      <c r="AN3172" s="1063"/>
      <c r="AO3172" s="1063"/>
      <c r="AP3172" s="1063"/>
      <c r="AQ3172" s="1063"/>
      <c r="AR3172" s="1063"/>
      <c r="AS3172" s="1063"/>
      <c r="AT3172" s="1063"/>
      <c r="AU3172" s="1063"/>
      <c r="AV3172" s="1063"/>
    </row>
    <row r="3173" spans="1:48" s="1108" customFormat="1" ht="27.75" customHeight="1">
      <c r="A3173" s="1076"/>
      <c r="B3173" s="1074">
        <f>+'[18]Bldg+Dev'!S3985</f>
        <v>0</v>
      </c>
      <c r="D3173" s="1063"/>
      <c r="F3173" s="1076"/>
      <c r="G3173" s="1063"/>
      <c r="H3173" s="1063"/>
      <c r="I3173" s="1063"/>
      <c r="J3173" s="1063"/>
      <c r="K3173" s="1063"/>
      <c r="L3173" s="1063"/>
      <c r="M3173" s="1063"/>
      <c r="N3173" s="1063"/>
      <c r="O3173" s="1063"/>
      <c r="P3173" s="1063"/>
      <c r="Q3173" s="1063"/>
      <c r="R3173" s="1063"/>
      <c r="S3173" s="1063"/>
      <c r="T3173" s="1063"/>
      <c r="U3173" s="1063"/>
      <c r="V3173" s="1063"/>
      <c r="W3173" s="1063"/>
      <c r="X3173" s="1063"/>
      <c r="Y3173" s="1063"/>
      <c r="Z3173" s="1063"/>
      <c r="AA3173" s="1063"/>
      <c r="AB3173" s="1063"/>
      <c r="AC3173" s="1063"/>
      <c r="AD3173" s="1063"/>
      <c r="AE3173" s="1063"/>
      <c r="AF3173" s="1063"/>
      <c r="AG3173" s="1063"/>
      <c r="AH3173" s="1063"/>
      <c r="AI3173" s="1063"/>
      <c r="AJ3173" s="1063"/>
      <c r="AK3173" s="1063"/>
      <c r="AL3173" s="1063"/>
      <c r="AM3173" s="1063"/>
      <c r="AN3173" s="1063"/>
      <c r="AO3173" s="1063"/>
      <c r="AP3173" s="1063"/>
      <c r="AQ3173" s="1063"/>
      <c r="AR3173" s="1063"/>
      <c r="AS3173" s="1063"/>
      <c r="AT3173" s="1063"/>
      <c r="AU3173" s="1063"/>
      <c r="AV3173" s="1063"/>
    </row>
    <row r="3174" spans="1:48" s="1108" customFormat="1" ht="27.75" customHeight="1">
      <c r="A3174" s="1076"/>
      <c r="B3174" s="1074">
        <f>+'[18]Bldg+Dev'!S3986</f>
        <v>0</v>
      </c>
      <c r="D3174" s="1063"/>
      <c r="F3174" s="1076"/>
      <c r="G3174" s="1063"/>
      <c r="H3174" s="1063"/>
      <c r="I3174" s="1063"/>
      <c r="J3174" s="1063"/>
      <c r="K3174" s="1063"/>
      <c r="L3174" s="1063"/>
      <c r="M3174" s="1063"/>
      <c r="N3174" s="1063"/>
      <c r="O3174" s="1063"/>
      <c r="P3174" s="1063"/>
      <c r="Q3174" s="1063"/>
      <c r="R3174" s="1063"/>
      <c r="S3174" s="1063"/>
      <c r="T3174" s="1063"/>
      <c r="U3174" s="1063"/>
      <c r="V3174" s="1063"/>
      <c r="W3174" s="1063"/>
      <c r="X3174" s="1063"/>
      <c r="Y3174" s="1063"/>
      <c r="Z3174" s="1063"/>
      <c r="AA3174" s="1063"/>
      <c r="AB3174" s="1063"/>
      <c r="AC3174" s="1063"/>
      <c r="AD3174" s="1063"/>
      <c r="AE3174" s="1063"/>
      <c r="AF3174" s="1063"/>
      <c r="AG3174" s="1063"/>
      <c r="AH3174" s="1063"/>
      <c r="AI3174" s="1063"/>
      <c r="AJ3174" s="1063"/>
      <c r="AK3174" s="1063"/>
      <c r="AL3174" s="1063"/>
      <c r="AM3174" s="1063"/>
      <c r="AN3174" s="1063"/>
      <c r="AO3174" s="1063"/>
      <c r="AP3174" s="1063"/>
      <c r="AQ3174" s="1063"/>
      <c r="AR3174" s="1063"/>
      <c r="AS3174" s="1063"/>
      <c r="AT3174" s="1063"/>
      <c r="AU3174" s="1063"/>
      <c r="AV3174" s="1063"/>
    </row>
    <row r="3175" spans="1:48" s="1108" customFormat="1" ht="27.75" customHeight="1">
      <c r="A3175" s="1076"/>
      <c r="B3175" s="1074">
        <f>+'[18]Bldg+Dev'!S3987</f>
        <v>0</v>
      </c>
      <c r="D3175" s="1063"/>
      <c r="F3175" s="1076"/>
      <c r="G3175" s="1063"/>
      <c r="H3175" s="1063"/>
      <c r="I3175" s="1063"/>
      <c r="J3175" s="1063"/>
      <c r="K3175" s="1063"/>
      <c r="L3175" s="1063"/>
      <c r="M3175" s="1063"/>
      <c r="N3175" s="1063"/>
      <c r="O3175" s="1063"/>
      <c r="P3175" s="1063"/>
      <c r="Q3175" s="1063"/>
      <c r="R3175" s="1063"/>
      <c r="S3175" s="1063"/>
      <c r="T3175" s="1063"/>
      <c r="U3175" s="1063"/>
      <c r="V3175" s="1063"/>
      <c r="W3175" s="1063"/>
      <c r="X3175" s="1063"/>
      <c r="Y3175" s="1063"/>
      <c r="Z3175" s="1063"/>
      <c r="AA3175" s="1063"/>
      <c r="AB3175" s="1063"/>
      <c r="AC3175" s="1063"/>
      <c r="AD3175" s="1063"/>
      <c r="AE3175" s="1063"/>
      <c r="AF3175" s="1063"/>
      <c r="AG3175" s="1063"/>
      <c r="AH3175" s="1063"/>
      <c r="AI3175" s="1063"/>
      <c r="AJ3175" s="1063"/>
      <c r="AK3175" s="1063"/>
      <c r="AL3175" s="1063"/>
      <c r="AM3175" s="1063"/>
      <c r="AN3175" s="1063"/>
      <c r="AO3175" s="1063"/>
      <c r="AP3175" s="1063"/>
      <c r="AQ3175" s="1063"/>
      <c r="AR3175" s="1063"/>
      <c r="AS3175" s="1063"/>
      <c r="AT3175" s="1063"/>
      <c r="AU3175" s="1063"/>
      <c r="AV3175" s="1063"/>
    </row>
    <row r="3176" spans="1:48" s="1108" customFormat="1" ht="27.75" customHeight="1">
      <c r="A3176" s="1076"/>
      <c r="B3176" s="1074">
        <f>+'[18]Bldg+Dev'!S3988</f>
        <v>0</v>
      </c>
      <c r="D3176" s="1063"/>
      <c r="F3176" s="1076"/>
      <c r="G3176" s="1063"/>
      <c r="H3176" s="1063"/>
      <c r="I3176" s="1063"/>
      <c r="J3176" s="1063"/>
      <c r="K3176" s="1063"/>
      <c r="L3176" s="1063"/>
      <c r="M3176" s="1063"/>
      <c r="N3176" s="1063"/>
      <c r="O3176" s="1063"/>
      <c r="P3176" s="1063"/>
      <c r="Q3176" s="1063"/>
      <c r="R3176" s="1063"/>
      <c r="S3176" s="1063"/>
      <c r="T3176" s="1063"/>
      <c r="U3176" s="1063"/>
      <c r="V3176" s="1063"/>
      <c r="W3176" s="1063"/>
      <c r="X3176" s="1063"/>
      <c r="Y3176" s="1063"/>
      <c r="Z3176" s="1063"/>
      <c r="AA3176" s="1063"/>
      <c r="AB3176" s="1063"/>
      <c r="AC3176" s="1063"/>
      <c r="AD3176" s="1063"/>
      <c r="AE3176" s="1063"/>
      <c r="AF3176" s="1063"/>
      <c r="AG3176" s="1063"/>
      <c r="AH3176" s="1063"/>
      <c r="AI3176" s="1063"/>
      <c r="AJ3176" s="1063"/>
      <c r="AK3176" s="1063"/>
      <c r="AL3176" s="1063"/>
      <c r="AM3176" s="1063"/>
      <c r="AN3176" s="1063"/>
      <c r="AO3176" s="1063"/>
      <c r="AP3176" s="1063"/>
      <c r="AQ3176" s="1063"/>
      <c r="AR3176" s="1063"/>
      <c r="AS3176" s="1063"/>
      <c r="AT3176" s="1063"/>
      <c r="AU3176" s="1063"/>
      <c r="AV3176" s="1063"/>
    </row>
    <row r="3177" spans="1:48" s="1108" customFormat="1" ht="27.75" customHeight="1">
      <c r="A3177" s="1076"/>
      <c r="B3177" s="1074">
        <f>+'[18]Bldg+Dev'!S3989</f>
        <v>0</v>
      </c>
      <c r="D3177" s="1063"/>
      <c r="F3177" s="1076"/>
      <c r="G3177" s="1063"/>
      <c r="H3177" s="1063"/>
      <c r="I3177" s="1063"/>
      <c r="J3177" s="1063"/>
      <c r="K3177" s="1063"/>
      <c r="L3177" s="1063"/>
      <c r="M3177" s="1063"/>
      <c r="N3177" s="1063"/>
      <c r="O3177" s="1063"/>
      <c r="P3177" s="1063"/>
      <c r="Q3177" s="1063"/>
      <c r="R3177" s="1063"/>
      <c r="S3177" s="1063"/>
      <c r="T3177" s="1063"/>
      <c r="U3177" s="1063"/>
      <c r="V3177" s="1063"/>
      <c r="W3177" s="1063"/>
      <c r="X3177" s="1063"/>
      <c r="Y3177" s="1063"/>
      <c r="Z3177" s="1063"/>
      <c r="AA3177" s="1063"/>
      <c r="AB3177" s="1063"/>
      <c r="AC3177" s="1063"/>
      <c r="AD3177" s="1063"/>
      <c r="AE3177" s="1063"/>
      <c r="AF3177" s="1063"/>
      <c r="AG3177" s="1063"/>
      <c r="AH3177" s="1063"/>
      <c r="AI3177" s="1063"/>
      <c r="AJ3177" s="1063"/>
      <c r="AK3177" s="1063"/>
      <c r="AL3177" s="1063"/>
      <c r="AM3177" s="1063"/>
      <c r="AN3177" s="1063"/>
      <c r="AO3177" s="1063"/>
      <c r="AP3177" s="1063"/>
      <c r="AQ3177" s="1063"/>
      <c r="AR3177" s="1063"/>
      <c r="AS3177" s="1063"/>
      <c r="AT3177" s="1063"/>
      <c r="AU3177" s="1063"/>
      <c r="AV3177" s="1063"/>
    </row>
    <row r="3178" spans="1:48" s="1108" customFormat="1" ht="27.75" customHeight="1">
      <c r="A3178" s="1076"/>
      <c r="B3178" s="1074">
        <f>+'[18]Bldg+Dev'!S3990</f>
        <v>0</v>
      </c>
      <c r="D3178" s="1063"/>
      <c r="F3178" s="1076"/>
      <c r="G3178" s="1063"/>
      <c r="H3178" s="1063"/>
      <c r="I3178" s="1063"/>
      <c r="J3178" s="1063"/>
      <c r="K3178" s="1063"/>
      <c r="L3178" s="1063"/>
      <c r="M3178" s="1063"/>
      <c r="N3178" s="1063"/>
      <c r="O3178" s="1063"/>
      <c r="P3178" s="1063"/>
      <c r="Q3178" s="1063"/>
      <c r="R3178" s="1063"/>
      <c r="S3178" s="1063"/>
      <c r="T3178" s="1063"/>
      <c r="U3178" s="1063"/>
      <c r="V3178" s="1063"/>
      <c r="W3178" s="1063"/>
      <c r="X3178" s="1063"/>
      <c r="Y3178" s="1063"/>
      <c r="Z3178" s="1063"/>
      <c r="AA3178" s="1063"/>
      <c r="AB3178" s="1063"/>
      <c r="AC3178" s="1063"/>
      <c r="AD3178" s="1063"/>
      <c r="AE3178" s="1063"/>
      <c r="AF3178" s="1063"/>
      <c r="AG3178" s="1063"/>
      <c r="AH3178" s="1063"/>
      <c r="AI3178" s="1063"/>
      <c r="AJ3178" s="1063"/>
      <c r="AK3178" s="1063"/>
      <c r="AL3178" s="1063"/>
      <c r="AM3178" s="1063"/>
      <c r="AN3178" s="1063"/>
      <c r="AO3178" s="1063"/>
      <c r="AP3178" s="1063"/>
      <c r="AQ3178" s="1063"/>
      <c r="AR3178" s="1063"/>
      <c r="AS3178" s="1063"/>
      <c r="AT3178" s="1063"/>
      <c r="AU3178" s="1063"/>
      <c r="AV3178" s="1063"/>
    </row>
    <row r="3179" spans="1:48" s="1108" customFormat="1" ht="27.75" customHeight="1">
      <c r="A3179" s="1076"/>
      <c r="B3179" s="1074">
        <f>+'[18]Bldg+Dev'!S3991</f>
        <v>0</v>
      </c>
      <c r="D3179" s="1063"/>
      <c r="F3179" s="1076"/>
      <c r="G3179" s="1063"/>
      <c r="H3179" s="1063"/>
      <c r="I3179" s="1063"/>
      <c r="J3179" s="1063"/>
      <c r="K3179" s="1063"/>
      <c r="L3179" s="1063"/>
      <c r="M3179" s="1063"/>
      <c r="N3179" s="1063"/>
      <c r="O3179" s="1063"/>
      <c r="P3179" s="1063"/>
      <c r="Q3179" s="1063"/>
      <c r="R3179" s="1063"/>
      <c r="S3179" s="1063"/>
      <c r="T3179" s="1063"/>
      <c r="U3179" s="1063"/>
      <c r="V3179" s="1063"/>
      <c r="W3179" s="1063"/>
      <c r="X3179" s="1063"/>
      <c r="Y3179" s="1063"/>
      <c r="Z3179" s="1063"/>
      <c r="AA3179" s="1063"/>
      <c r="AB3179" s="1063"/>
      <c r="AC3179" s="1063"/>
      <c r="AD3179" s="1063"/>
      <c r="AE3179" s="1063"/>
      <c r="AF3179" s="1063"/>
      <c r="AG3179" s="1063"/>
      <c r="AH3179" s="1063"/>
      <c r="AI3179" s="1063"/>
      <c r="AJ3179" s="1063"/>
      <c r="AK3179" s="1063"/>
      <c r="AL3179" s="1063"/>
      <c r="AM3179" s="1063"/>
      <c r="AN3179" s="1063"/>
      <c r="AO3179" s="1063"/>
      <c r="AP3179" s="1063"/>
      <c r="AQ3179" s="1063"/>
      <c r="AR3179" s="1063"/>
      <c r="AS3179" s="1063"/>
      <c r="AT3179" s="1063"/>
      <c r="AU3179" s="1063"/>
      <c r="AV3179" s="1063"/>
    </row>
    <row r="3180" spans="1:48" s="1108" customFormat="1" ht="27.75" customHeight="1">
      <c r="A3180" s="1076"/>
      <c r="B3180" s="1074">
        <f>+'[18]Bldg+Dev'!S3992</f>
        <v>0</v>
      </c>
      <c r="D3180" s="1063"/>
      <c r="F3180" s="1076"/>
      <c r="G3180" s="1063"/>
      <c r="H3180" s="1063"/>
      <c r="I3180" s="1063"/>
      <c r="J3180" s="1063"/>
      <c r="K3180" s="1063"/>
      <c r="L3180" s="1063"/>
      <c r="M3180" s="1063"/>
      <c r="N3180" s="1063"/>
      <c r="O3180" s="1063"/>
      <c r="P3180" s="1063"/>
      <c r="Q3180" s="1063"/>
      <c r="R3180" s="1063"/>
      <c r="S3180" s="1063"/>
      <c r="T3180" s="1063"/>
      <c r="U3180" s="1063"/>
      <c r="V3180" s="1063"/>
      <c r="W3180" s="1063"/>
      <c r="X3180" s="1063"/>
      <c r="Y3180" s="1063"/>
      <c r="Z3180" s="1063"/>
      <c r="AA3180" s="1063"/>
      <c r="AB3180" s="1063"/>
      <c r="AC3180" s="1063"/>
      <c r="AD3180" s="1063"/>
      <c r="AE3180" s="1063"/>
      <c r="AF3180" s="1063"/>
      <c r="AG3180" s="1063"/>
      <c r="AH3180" s="1063"/>
      <c r="AI3180" s="1063"/>
      <c r="AJ3180" s="1063"/>
      <c r="AK3180" s="1063"/>
      <c r="AL3180" s="1063"/>
      <c r="AM3180" s="1063"/>
      <c r="AN3180" s="1063"/>
      <c r="AO3180" s="1063"/>
      <c r="AP3180" s="1063"/>
      <c r="AQ3180" s="1063"/>
      <c r="AR3180" s="1063"/>
      <c r="AS3180" s="1063"/>
      <c r="AT3180" s="1063"/>
      <c r="AU3180" s="1063"/>
      <c r="AV3180" s="1063"/>
    </row>
    <row r="3181" spans="1:48" s="1108" customFormat="1" ht="27.75" customHeight="1">
      <c r="A3181" s="1076"/>
      <c r="B3181" s="1074">
        <f>+'[18]Bldg+Dev'!S3993</f>
        <v>0</v>
      </c>
      <c r="D3181" s="1063"/>
      <c r="F3181" s="1076"/>
      <c r="G3181" s="1063"/>
      <c r="H3181" s="1063"/>
      <c r="I3181" s="1063"/>
      <c r="J3181" s="1063"/>
      <c r="K3181" s="1063"/>
      <c r="L3181" s="1063"/>
      <c r="M3181" s="1063"/>
      <c r="N3181" s="1063"/>
      <c r="O3181" s="1063"/>
      <c r="P3181" s="1063"/>
      <c r="Q3181" s="1063"/>
      <c r="R3181" s="1063"/>
      <c r="S3181" s="1063"/>
      <c r="T3181" s="1063"/>
      <c r="U3181" s="1063"/>
      <c r="V3181" s="1063"/>
      <c r="W3181" s="1063"/>
      <c r="X3181" s="1063"/>
      <c r="Y3181" s="1063"/>
      <c r="Z3181" s="1063"/>
      <c r="AA3181" s="1063"/>
      <c r="AB3181" s="1063"/>
      <c r="AC3181" s="1063"/>
      <c r="AD3181" s="1063"/>
      <c r="AE3181" s="1063"/>
      <c r="AF3181" s="1063"/>
      <c r="AG3181" s="1063"/>
      <c r="AH3181" s="1063"/>
      <c r="AI3181" s="1063"/>
      <c r="AJ3181" s="1063"/>
      <c r="AK3181" s="1063"/>
      <c r="AL3181" s="1063"/>
      <c r="AM3181" s="1063"/>
      <c r="AN3181" s="1063"/>
      <c r="AO3181" s="1063"/>
      <c r="AP3181" s="1063"/>
      <c r="AQ3181" s="1063"/>
      <c r="AR3181" s="1063"/>
      <c r="AS3181" s="1063"/>
      <c r="AT3181" s="1063"/>
      <c r="AU3181" s="1063"/>
      <c r="AV3181" s="1063"/>
    </row>
    <row r="3182" spans="1:48" s="1108" customFormat="1" ht="27.75" customHeight="1">
      <c r="A3182" s="1076"/>
      <c r="B3182" s="1074">
        <f>+'[18]Bldg+Dev'!S3994</f>
        <v>0</v>
      </c>
      <c r="D3182" s="1063"/>
      <c r="F3182" s="1076"/>
      <c r="G3182" s="1063"/>
      <c r="H3182" s="1063"/>
      <c r="I3182" s="1063"/>
      <c r="J3182" s="1063"/>
      <c r="K3182" s="1063"/>
      <c r="L3182" s="1063"/>
      <c r="M3182" s="1063"/>
      <c r="N3182" s="1063"/>
      <c r="O3182" s="1063"/>
      <c r="P3182" s="1063"/>
      <c r="Q3182" s="1063"/>
      <c r="R3182" s="1063"/>
      <c r="S3182" s="1063"/>
      <c r="T3182" s="1063"/>
      <c r="U3182" s="1063"/>
      <c r="V3182" s="1063"/>
      <c r="W3182" s="1063"/>
      <c r="X3182" s="1063"/>
      <c r="Y3182" s="1063"/>
      <c r="Z3182" s="1063"/>
      <c r="AA3182" s="1063"/>
      <c r="AB3182" s="1063"/>
      <c r="AC3182" s="1063"/>
      <c r="AD3182" s="1063"/>
      <c r="AE3182" s="1063"/>
      <c r="AF3182" s="1063"/>
      <c r="AG3182" s="1063"/>
      <c r="AH3182" s="1063"/>
      <c r="AI3182" s="1063"/>
      <c r="AJ3182" s="1063"/>
      <c r="AK3182" s="1063"/>
      <c r="AL3182" s="1063"/>
      <c r="AM3182" s="1063"/>
      <c r="AN3182" s="1063"/>
      <c r="AO3182" s="1063"/>
      <c r="AP3182" s="1063"/>
      <c r="AQ3182" s="1063"/>
      <c r="AR3182" s="1063"/>
      <c r="AS3182" s="1063"/>
      <c r="AT3182" s="1063"/>
      <c r="AU3182" s="1063"/>
      <c r="AV3182" s="1063"/>
    </row>
    <row r="3183" spans="1:48" s="1108" customFormat="1" ht="27.75" customHeight="1">
      <c r="A3183" s="1076"/>
      <c r="B3183" s="1074">
        <f>+'[18]Bldg+Dev'!S3995</f>
        <v>0</v>
      </c>
      <c r="D3183" s="1063"/>
      <c r="F3183" s="1076"/>
      <c r="G3183" s="1063"/>
      <c r="H3183" s="1063"/>
      <c r="I3183" s="1063"/>
      <c r="J3183" s="1063"/>
      <c r="K3183" s="1063"/>
      <c r="L3183" s="1063"/>
      <c r="M3183" s="1063"/>
      <c r="N3183" s="1063"/>
      <c r="O3183" s="1063"/>
      <c r="P3183" s="1063"/>
      <c r="Q3183" s="1063"/>
      <c r="R3183" s="1063"/>
      <c r="S3183" s="1063"/>
      <c r="T3183" s="1063"/>
      <c r="U3183" s="1063"/>
      <c r="V3183" s="1063"/>
      <c r="W3183" s="1063"/>
      <c r="X3183" s="1063"/>
      <c r="Y3183" s="1063"/>
      <c r="Z3183" s="1063"/>
      <c r="AA3183" s="1063"/>
      <c r="AB3183" s="1063"/>
      <c r="AC3183" s="1063"/>
      <c r="AD3183" s="1063"/>
      <c r="AE3183" s="1063"/>
      <c r="AF3183" s="1063"/>
      <c r="AG3183" s="1063"/>
      <c r="AH3183" s="1063"/>
      <c r="AI3183" s="1063"/>
      <c r="AJ3183" s="1063"/>
      <c r="AK3183" s="1063"/>
      <c r="AL3183" s="1063"/>
      <c r="AM3183" s="1063"/>
      <c r="AN3183" s="1063"/>
      <c r="AO3183" s="1063"/>
      <c r="AP3183" s="1063"/>
      <c r="AQ3183" s="1063"/>
      <c r="AR3183" s="1063"/>
      <c r="AS3183" s="1063"/>
      <c r="AT3183" s="1063"/>
      <c r="AU3183" s="1063"/>
      <c r="AV3183" s="1063"/>
    </row>
    <row r="3184" spans="1:48" s="1108" customFormat="1" ht="27.75" customHeight="1">
      <c r="A3184" s="1076"/>
      <c r="B3184" s="1074">
        <f>+'[18]Bldg+Dev'!S3996</f>
        <v>0</v>
      </c>
      <c r="D3184" s="1063"/>
      <c r="F3184" s="1076"/>
      <c r="G3184" s="1063"/>
      <c r="H3184" s="1063"/>
      <c r="I3184" s="1063"/>
      <c r="J3184" s="1063"/>
      <c r="K3184" s="1063"/>
      <c r="L3184" s="1063"/>
      <c r="M3184" s="1063"/>
      <c r="N3184" s="1063"/>
      <c r="O3184" s="1063"/>
      <c r="P3184" s="1063"/>
      <c r="Q3184" s="1063"/>
      <c r="R3184" s="1063"/>
      <c r="S3184" s="1063"/>
      <c r="T3184" s="1063"/>
      <c r="U3184" s="1063"/>
      <c r="V3184" s="1063"/>
      <c r="W3184" s="1063"/>
      <c r="X3184" s="1063"/>
      <c r="Y3184" s="1063"/>
      <c r="Z3184" s="1063"/>
      <c r="AA3184" s="1063"/>
      <c r="AB3184" s="1063"/>
      <c r="AC3184" s="1063"/>
      <c r="AD3184" s="1063"/>
      <c r="AE3184" s="1063"/>
      <c r="AF3184" s="1063"/>
      <c r="AG3184" s="1063"/>
      <c r="AH3184" s="1063"/>
      <c r="AI3184" s="1063"/>
      <c r="AJ3184" s="1063"/>
      <c r="AK3184" s="1063"/>
      <c r="AL3184" s="1063"/>
      <c r="AM3184" s="1063"/>
      <c r="AN3184" s="1063"/>
      <c r="AO3184" s="1063"/>
      <c r="AP3184" s="1063"/>
      <c r="AQ3184" s="1063"/>
      <c r="AR3184" s="1063"/>
      <c r="AS3184" s="1063"/>
      <c r="AT3184" s="1063"/>
      <c r="AU3184" s="1063"/>
      <c r="AV3184" s="1063"/>
    </row>
    <row r="3185" spans="1:48" s="1108" customFormat="1" ht="27.75" customHeight="1">
      <c r="A3185" s="1076"/>
      <c r="B3185" s="1074">
        <f>+'[18]Bldg+Dev'!S3997</f>
        <v>0</v>
      </c>
      <c r="D3185" s="1063"/>
      <c r="F3185" s="1076"/>
      <c r="G3185" s="1063"/>
      <c r="H3185" s="1063"/>
      <c r="I3185" s="1063"/>
      <c r="J3185" s="1063"/>
      <c r="K3185" s="1063"/>
      <c r="L3185" s="1063"/>
      <c r="M3185" s="1063"/>
      <c r="N3185" s="1063"/>
      <c r="O3185" s="1063"/>
      <c r="P3185" s="1063"/>
      <c r="Q3185" s="1063"/>
      <c r="R3185" s="1063"/>
      <c r="S3185" s="1063"/>
      <c r="T3185" s="1063"/>
      <c r="U3185" s="1063"/>
      <c r="V3185" s="1063"/>
      <c r="W3185" s="1063"/>
      <c r="X3185" s="1063"/>
      <c r="Y3185" s="1063"/>
      <c r="Z3185" s="1063"/>
      <c r="AA3185" s="1063"/>
      <c r="AB3185" s="1063"/>
      <c r="AC3185" s="1063"/>
      <c r="AD3185" s="1063"/>
      <c r="AE3185" s="1063"/>
      <c r="AF3185" s="1063"/>
      <c r="AG3185" s="1063"/>
      <c r="AH3185" s="1063"/>
      <c r="AI3185" s="1063"/>
      <c r="AJ3185" s="1063"/>
      <c r="AK3185" s="1063"/>
      <c r="AL3185" s="1063"/>
      <c r="AM3185" s="1063"/>
      <c r="AN3185" s="1063"/>
      <c r="AO3185" s="1063"/>
      <c r="AP3185" s="1063"/>
      <c r="AQ3185" s="1063"/>
      <c r="AR3185" s="1063"/>
      <c r="AS3185" s="1063"/>
      <c r="AT3185" s="1063"/>
      <c r="AU3185" s="1063"/>
      <c r="AV3185" s="1063"/>
    </row>
    <row r="3186" spans="1:48" s="1108" customFormat="1" ht="27.75" customHeight="1">
      <c r="A3186" s="1076"/>
      <c r="B3186" s="1074">
        <f>+'[18]Bldg+Dev'!S3998</f>
        <v>0</v>
      </c>
      <c r="D3186" s="1063"/>
      <c r="F3186" s="1076"/>
      <c r="G3186" s="1063"/>
      <c r="H3186" s="1063"/>
      <c r="I3186" s="1063"/>
      <c r="J3186" s="1063"/>
      <c r="K3186" s="1063"/>
      <c r="L3186" s="1063"/>
      <c r="M3186" s="1063"/>
      <c r="N3186" s="1063"/>
      <c r="O3186" s="1063"/>
      <c r="P3186" s="1063"/>
      <c r="Q3186" s="1063"/>
      <c r="R3186" s="1063"/>
      <c r="S3186" s="1063"/>
      <c r="T3186" s="1063"/>
      <c r="U3186" s="1063"/>
      <c r="V3186" s="1063"/>
      <c r="W3186" s="1063"/>
      <c r="X3186" s="1063"/>
      <c r="Y3186" s="1063"/>
      <c r="Z3186" s="1063"/>
      <c r="AA3186" s="1063"/>
      <c r="AB3186" s="1063"/>
      <c r="AC3186" s="1063"/>
      <c r="AD3186" s="1063"/>
      <c r="AE3186" s="1063"/>
      <c r="AF3186" s="1063"/>
      <c r="AG3186" s="1063"/>
      <c r="AH3186" s="1063"/>
      <c r="AI3186" s="1063"/>
      <c r="AJ3186" s="1063"/>
      <c r="AK3186" s="1063"/>
      <c r="AL3186" s="1063"/>
      <c r="AM3186" s="1063"/>
      <c r="AN3186" s="1063"/>
      <c r="AO3186" s="1063"/>
      <c r="AP3186" s="1063"/>
      <c r="AQ3186" s="1063"/>
      <c r="AR3186" s="1063"/>
      <c r="AS3186" s="1063"/>
      <c r="AT3186" s="1063"/>
      <c r="AU3186" s="1063"/>
      <c r="AV3186" s="1063"/>
    </row>
    <row r="3187" spans="1:48" s="1108" customFormat="1" ht="27.75" customHeight="1">
      <c r="A3187" s="1076"/>
      <c r="B3187" s="1074">
        <f>+'[18]Bldg+Dev'!S3999</f>
        <v>0</v>
      </c>
      <c r="D3187" s="1063"/>
      <c r="F3187" s="1076"/>
      <c r="G3187" s="1063"/>
      <c r="H3187" s="1063"/>
      <c r="I3187" s="1063"/>
      <c r="J3187" s="1063"/>
      <c r="K3187" s="1063"/>
      <c r="L3187" s="1063"/>
      <c r="M3187" s="1063"/>
      <c r="N3187" s="1063"/>
      <c r="O3187" s="1063"/>
      <c r="P3187" s="1063"/>
      <c r="Q3187" s="1063"/>
      <c r="R3187" s="1063"/>
      <c r="S3187" s="1063"/>
      <c r="T3187" s="1063"/>
      <c r="U3187" s="1063"/>
      <c r="V3187" s="1063"/>
      <c r="W3187" s="1063"/>
      <c r="X3187" s="1063"/>
      <c r="Y3187" s="1063"/>
      <c r="Z3187" s="1063"/>
      <c r="AA3187" s="1063"/>
      <c r="AB3187" s="1063"/>
      <c r="AC3187" s="1063"/>
      <c r="AD3187" s="1063"/>
      <c r="AE3187" s="1063"/>
      <c r="AF3187" s="1063"/>
      <c r="AG3187" s="1063"/>
      <c r="AH3187" s="1063"/>
      <c r="AI3187" s="1063"/>
      <c r="AJ3187" s="1063"/>
      <c r="AK3187" s="1063"/>
      <c r="AL3187" s="1063"/>
      <c r="AM3187" s="1063"/>
      <c r="AN3187" s="1063"/>
      <c r="AO3187" s="1063"/>
      <c r="AP3187" s="1063"/>
      <c r="AQ3187" s="1063"/>
      <c r="AR3187" s="1063"/>
      <c r="AS3187" s="1063"/>
      <c r="AT3187" s="1063"/>
      <c r="AU3187" s="1063"/>
      <c r="AV3187" s="1063"/>
    </row>
    <row r="3188" spans="1:48" s="1108" customFormat="1" ht="27.75" customHeight="1">
      <c r="A3188" s="1076"/>
      <c r="B3188" s="1074">
        <f>+'[18]Bldg+Dev'!S4000</f>
        <v>0</v>
      </c>
      <c r="D3188" s="1063"/>
      <c r="F3188" s="1076"/>
      <c r="G3188" s="1063"/>
      <c r="H3188" s="1063"/>
      <c r="I3188" s="1063"/>
      <c r="J3188" s="1063"/>
      <c r="K3188" s="1063"/>
      <c r="L3188" s="1063"/>
      <c r="M3188" s="1063"/>
      <c r="N3188" s="1063"/>
      <c r="O3188" s="1063"/>
      <c r="P3188" s="1063"/>
      <c r="Q3188" s="1063"/>
      <c r="R3188" s="1063"/>
      <c r="S3188" s="1063"/>
      <c r="T3188" s="1063"/>
      <c r="U3188" s="1063"/>
      <c r="V3188" s="1063"/>
      <c r="W3188" s="1063"/>
      <c r="X3188" s="1063"/>
      <c r="Y3188" s="1063"/>
      <c r="Z3188" s="1063"/>
      <c r="AA3188" s="1063"/>
      <c r="AB3188" s="1063"/>
      <c r="AC3188" s="1063"/>
      <c r="AD3188" s="1063"/>
      <c r="AE3188" s="1063"/>
      <c r="AF3188" s="1063"/>
      <c r="AG3188" s="1063"/>
      <c r="AH3188" s="1063"/>
      <c r="AI3188" s="1063"/>
      <c r="AJ3188" s="1063"/>
      <c r="AK3188" s="1063"/>
      <c r="AL3188" s="1063"/>
      <c r="AM3188" s="1063"/>
      <c r="AN3188" s="1063"/>
      <c r="AO3188" s="1063"/>
      <c r="AP3188" s="1063"/>
      <c r="AQ3188" s="1063"/>
      <c r="AR3188" s="1063"/>
      <c r="AS3188" s="1063"/>
      <c r="AT3188" s="1063"/>
      <c r="AU3188" s="1063"/>
      <c r="AV3188" s="1063"/>
    </row>
    <row r="3189" spans="1:48" s="1108" customFormat="1" ht="27.75" customHeight="1">
      <c r="A3189" s="1076"/>
      <c r="B3189" s="1074">
        <f>+'[18]Bldg+Dev'!S4001</f>
        <v>0</v>
      </c>
      <c r="D3189" s="1063"/>
      <c r="F3189" s="1076"/>
      <c r="G3189" s="1063"/>
      <c r="H3189" s="1063"/>
      <c r="I3189" s="1063"/>
      <c r="J3189" s="1063"/>
      <c r="K3189" s="1063"/>
      <c r="L3189" s="1063"/>
      <c r="M3189" s="1063"/>
      <c r="N3189" s="1063"/>
      <c r="O3189" s="1063"/>
      <c r="P3189" s="1063"/>
      <c r="Q3189" s="1063"/>
      <c r="R3189" s="1063"/>
      <c r="S3189" s="1063"/>
      <c r="T3189" s="1063"/>
      <c r="U3189" s="1063"/>
      <c r="V3189" s="1063"/>
      <c r="W3189" s="1063"/>
      <c r="X3189" s="1063"/>
      <c r="Y3189" s="1063"/>
      <c r="Z3189" s="1063"/>
      <c r="AA3189" s="1063"/>
      <c r="AB3189" s="1063"/>
      <c r="AC3189" s="1063"/>
      <c r="AD3189" s="1063"/>
      <c r="AE3189" s="1063"/>
      <c r="AF3189" s="1063"/>
      <c r="AG3189" s="1063"/>
      <c r="AH3189" s="1063"/>
      <c r="AI3189" s="1063"/>
      <c r="AJ3189" s="1063"/>
      <c r="AK3189" s="1063"/>
      <c r="AL3189" s="1063"/>
      <c r="AM3189" s="1063"/>
      <c r="AN3189" s="1063"/>
      <c r="AO3189" s="1063"/>
      <c r="AP3189" s="1063"/>
      <c r="AQ3189" s="1063"/>
      <c r="AR3189" s="1063"/>
      <c r="AS3189" s="1063"/>
      <c r="AT3189" s="1063"/>
      <c r="AU3189" s="1063"/>
      <c r="AV3189" s="1063"/>
    </row>
    <row r="3190" spans="1:48" s="1108" customFormat="1" ht="27.75" customHeight="1">
      <c r="A3190" s="1076"/>
      <c r="B3190" s="1074">
        <f>+'[18]Bldg+Dev'!S4002</f>
        <v>0</v>
      </c>
      <c r="D3190" s="1063"/>
      <c r="F3190" s="1076"/>
      <c r="G3190" s="1063"/>
      <c r="H3190" s="1063"/>
      <c r="I3190" s="1063"/>
      <c r="J3190" s="1063"/>
      <c r="K3190" s="1063"/>
      <c r="L3190" s="1063"/>
      <c r="M3190" s="1063"/>
      <c r="N3190" s="1063"/>
      <c r="O3190" s="1063"/>
      <c r="P3190" s="1063"/>
      <c r="Q3190" s="1063"/>
      <c r="R3190" s="1063"/>
      <c r="S3190" s="1063"/>
      <c r="T3190" s="1063"/>
      <c r="U3190" s="1063"/>
      <c r="V3190" s="1063"/>
      <c r="W3190" s="1063"/>
      <c r="X3190" s="1063"/>
      <c r="Y3190" s="1063"/>
      <c r="Z3190" s="1063"/>
      <c r="AA3190" s="1063"/>
      <c r="AB3190" s="1063"/>
      <c r="AC3190" s="1063"/>
      <c r="AD3190" s="1063"/>
      <c r="AE3190" s="1063"/>
      <c r="AF3190" s="1063"/>
      <c r="AG3190" s="1063"/>
      <c r="AH3190" s="1063"/>
      <c r="AI3190" s="1063"/>
      <c r="AJ3190" s="1063"/>
      <c r="AK3190" s="1063"/>
      <c r="AL3190" s="1063"/>
      <c r="AM3190" s="1063"/>
      <c r="AN3190" s="1063"/>
      <c r="AO3190" s="1063"/>
      <c r="AP3190" s="1063"/>
      <c r="AQ3190" s="1063"/>
      <c r="AR3190" s="1063"/>
      <c r="AS3190" s="1063"/>
      <c r="AT3190" s="1063"/>
      <c r="AU3190" s="1063"/>
      <c r="AV3190" s="1063"/>
    </row>
    <row r="3191" spans="1:48" s="1108" customFormat="1" ht="27.75" customHeight="1">
      <c r="A3191" s="1076"/>
      <c r="B3191" s="1074">
        <f>+'[18]Bldg+Dev'!S4003</f>
        <v>0</v>
      </c>
      <c r="D3191" s="1063"/>
      <c r="F3191" s="1076"/>
      <c r="G3191" s="1063"/>
      <c r="H3191" s="1063"/>
      <c r="I3191" s="1063"/>
      <c r="J3191" s="1063"/>
      <c r="K3191" s="1063"/>
      <c r="L3191" s="1063"/>
      <c r="M3191" s="1063"/>
      <c r="N3191" s="1063"/>
      <c r="O3191" s="1063"/>
      <c r="P3191" s="1063"/>
      <c r="Q3191" s="1063"/>
      <c r="R3191" s="1063"/>
      <c r="S3191" s="1063"/>
      <c r="T3191" s="1063"/>
      <c r="U3191" s="1063"/>
      <c r="V3191" s="1063"/>
      <c r="W3191" s="1063"/>
      <c r="X3191" s="1063"/>
      <c r="Y3191" s="1063"/>
      <c r="Z3191" s="1063"/>
      <c r="AA3191" s="1063"/>
      <c r="AB3191" s="1063"/>
      <c r="AC3191" s="1063"/>
      <c r="AD3191" s="1063"/>
      <c r="AE3191" s="1063"/>
      <c r="AF3191" s="1063"/>
      <c r="AG3191" s="1063"/>
      <c r="AH3191" s="1063"/>
      <c r="AI3191" s="1063"/>
      <c r="AJ3191" s="1063"/>
      <c r="AK3191" s="1063"/>
      <c r="AL3191" s="1063"/>
      <c r="AM3191" s="1063"/>
      <c r="AN3191" s="1063"/>
      <c r="AO3191" s="1063"/>
      <c r="AP3191" s="1063"/>
      <c r="AQ3191" s="1063"/>
      <c r="AR3191" s="1063"/>
      <c r="AS3191" s="1063"/>
      <c r="AT3191" s="1063"/>
      <c r="AU3191" s="1063"/>
      <c r="AV3191" s="1063"/>
    </row>
    <row r="3192" spans="1:48" s="1108" customFormat="1" ht="27.75" customHeight="1">
      <c r="A3192" s="1076"/>
      <c r="B3192" s="1074">
        <f>+'[18]Bldg+Dev'!S4004</f>
        <v>0</v>
      </c>
      <c r="D3192" s="1063"/>
      <c r="F3192" s="1076"/>
      <c r="G3192" s="1063"/>
      <c r="H3192" s="1063"/>
      <c r="I3192" s="1063"/>
      <c r="J3192" s="1063"/>
      <c r="K3192" s="1063"/>
      <c r="L3192" s="1063"/>
      <c r="M3192" s="1063"/>
      <c r="N3192" s="1063"/>
      <c r="O3192" s="1063"/>
      <c r="P3192" s="1063"/>
      <c r="Q3192" s="1063"/>
      <c r="R3192" s="1063"/>
      <c r="S3192" s="1063"/>
      <c r="T3192" s="1063"/>
      <c r="U3192" s="1063"/>
      <c r="V3192" s="1063"/>
      <c r="W3192" s="1063"/>
      <c r="X3192" s="1063"/>
      <c r="Y3192" s="1063"/>
      <c r="Z3192" s="1063"/>
      <c r="AA3192" s="1063"/>
      <c r="AB3192" s="1063"/>
      <c r="AC3192" s="1063"/>
      <c r="AD3192" s="1063"/>
      <c r="AE3192" s="1063"/>
      <c r="AF3192" s="1063"/>
      <c r="AG3192" s="1063"/>
      <c r="AH3192" s="1063"/>
      <c r="AI3192" s="1063"/>
      <c r="AJ3192" s="1063"/>
      <c r="AK3192" s="1063"/>
      <c r="AL3192" s="1063"/>
      <c r="AM3192" s="1063"/>
      <c r="AN3192" s="1063"/>
      <c r="AO3192" s="1063"/>
      <c r="AP3192" s="1063"/>
      <c r="AQ3192" s="1063"/>
      <c r="AR3192" s="1063"/>
      <c r="AS3192" s="1063"/>
      <c r="AT3192" s="1063"/>
      <c r="AU3192" s="1063"/>
      <c r="AV3192" s="1063"/>
    </row>
    <row r="3193" spans="1:48" s="1108" customFormat="1" ht="27.75" customHeight="1">
      <c r="A3193" s="1076"/>
      <c r="B3193" s="1074">
        <f>+'[18]Bldg+Dev'!S4005</f>
        <v>0</v>
      </c>
      <c r="D3193" s="1063"/>
      <c r="F3193" s="1076"/>
      <c r="G3193" s="1063"/>
      <c r="H3193" s="1063"/>
      <c r="I3193" s="1063"/>
      <c r="J3193" s="1063"/>
      <c r="K3193" s="1063"/>
      <c r="L3193" s="1063"/>
      <c r="M3193" s="1063"/>
      <c r="N3193" s="1063"/>
      <c r="O3193" s="1063"/>
      <c r="P3193" s="1063"/>
      <c r="Q3193" s="1063"/>
      <c r="R3193" s="1063"/>
      <c r="S3193" s="1063"/>
      <c r="T3193" s="1063"/>
      <c r="U3193" s="1063"/>
      <c r="V3193" s="1063"/>
      <c r="W3193" s="1063"/>
      <c r="X3193" s="1063"/>
      <c r="Y3193" s="1063"/>
      <c r="Z3193" s="1063"/>
      <c r="AA3193" s="1063"/>
      <c r="AB3193" s="1063"/>
      <c r="AC3193" s="1063"/>
      <c r="AD3193" s="1063"/>
      <c r="AE3193" s="1063"/>
      <c r="AF3193" s="1063"/>
      <c r="AG3193" s="1063"/>
      <c r="AH3193" s="1063"/>
      <c r="AI3193" s="1063"/>
      <c r="AJ3193" s="1063"/>
      <c r="AK3193" s="1063"/>
      <c r="AL3193" s="1063"/>
      <c r="AM3193" s="1063"/>
      <c r="AN3193" s="1063"/>
      <c r="AO3193" s="1063"/>
      <c r="AP3193" s="1063"/>
      <c r="AQ3193" s="1063"/>
      <c r="AR3193" s="1063"/>
      <c r="AS3193" s="1063"/>
      <c r="AT3193" s="1063"/>
      <c r="AU3193" s="1063"/>
      <c r="AV3193" s="1063"/>
    </row>
    <row r="3194" spans="1:48" s="1108" customFormat="1" ht="27.75" customHeight="1">
      <c r="A3194" s="1076"/>
      <c r="B3194" s="1074">
        <f>+'[18]Bldg+Dev'!S4006</f>
        <v>0</v>
      </c>
      <c r="D3194" s="1063"/>
      <c r="F3194" s="1076"/>
      <c r="G3194" s="1063"/>
      <c r="H3194" s="1063"/>
      <c r="I3194" s="1063"/>
      <c r="J3194" s="1063"/>
      <c r="K3194" s="1063"/>
      <c r="L3194" s="1063"/>
      <c r="M3194" s="1063"/>
      <c r="N3194" s="1063"/>
      <c r="O3194" s="1063"/>
      <c r="P3194" s="1063"/>
      <c r="Q3194" s="1063"/>
      <c r="R3194" s="1063"/>
      <c r="S3194" s="1063"/>
      <c r="T3194" s="1063"/>
      <c r="U3194" s="1063"/>
      <c r="V3194" s="1063"/>
      <c r="W3194" s="1063"/>
      <c r="X3194" s="1063"/>
      <c r="Y3194" s="1063"/>
      <c r="Z3194" s="1063"/>
      <c r="AA3194" s="1063"/>
      <c r="AB3194" s="1063"/>
      <c r="AC3194" s="1063"/>
      <c r="AD3194" s="1063"/>
      <c r="AE3194" s="1063"/>
      <c r="AF3194" s="1063"/>
      <c r="AG3194" s="1063"/>
      <c r="AH3194" s="1063"/>
      <c r="AI3194" s="1063"/>
      <c r="AJ3194" s="1063"/>
      <c r="AK3194" s="1063"/>
      <c r="AL3194" s="1063"/>
      <c r="AM3194" s="1063"/>
      <c r="AN3194" s="1063"/>
      <c r="AO3194" s="1063"/>
      <c r="AP3194" s="1063"/>
      <c r="AQ3194" s="1063"/>
      <c r="AR3194" s="1063"/>
      <c r="AS3194" s="1063"/>
      <c r="AT3194" s="1063"/>
      <c r="AU3194" s="1063"/>
      <c r="AV3194" s="1063"/>
    </row>
    <row r="3195" spans="1:48" s="1108" customFormat="1" ht="27.75" customHeight="1">
      <c r="A3195" s="1076"/>
      <c r="B3195" s="1074">
        <f>+'[18]Bldg+Dev'!S4007</f>
        <v>0</v>
      </c>
      <c r="D3195" s="1063"/>
      <c r="F3195" s="1076"/>
      <c r="G3195" s="1063"/>
      <c r="H3195" s="1063"/>
      <c r="I3195" s="1063"/>
      <c r="J3195" s="1063"/>
      <c r="K3195" s="1063"/>
      <c r="L3195" s="1063"/>
      <c r="M3195" s="1063"/>
      <c r="N3195" s="1063"/>
      <c r="O3195" s="1063"/>
      <c r="P3195" s="1063"/>
      <c r="Q3195" s="1063"/>
      <c r="R3195" s="1063"/>
      <c r="S3195" s="1063"/>
      <c r="T3195" s="1063"/>
      <c r="U3195" s="1063"/>
      <c r="V3195" s="1063"/>
      <c r="W3195" s="1063"/>
      <c r="X3195" s="1063"/>
      <c r="Y3195" s="1063"/>
      <c r="Z3195" s="1063"/>
      <c r="AA3195" s="1063"/>
      <c r="AB3195" s="1063"/>
      <c r="AC3195" s="1063"/>
      <c r="AD3195" s="1063"/>
      <c r="AE3195" s="1063"/>
      <c r="AF3195" s="1063"/>
      <c r="AG3195" s="1063"/>
      <c r="AH3195" s="1063"/>
      <c r="AI3195" s="1063"/>
      <c r="AJ3195" s="1063"/>
      <c r="AK3195" s="1063"/>
      <c r="AL3195" s="1063"/>
      <c r="AM3195" s="1063"/>
      <c r="AN3195" s="1063"/>
      <c r="AO3195" s="1063"/>
      <c r="AP3195" s="1063"/>
      <c r="AQ3195" s="1063"/>
      <c r="AR3195" s="1063"/>
      <c r="AS3195" s="1063"/>
      <c r="AT3195" s="1063"/>
      <c r="AU3195" s="1063"/>
      <c r="AV3195" s="1063"/>
    </row>
    <row r="3196" spans="1:48" s="1108" customFormat="1" ht="27.75" customHeight="1">
      <c r="A3196" s="1076"/>
      <c r="B3196" s="1074">
        <f>+'[18]Bldg+Dev'!S4008</f>
        <v>0</v>
      </c>
      <c r="D3196" s="1063"/>
      <c r="F3196" s="1076"/>
      <c r="G3196" s="1063"/>
      <c r="H3196" s="1063"/>
      <c r="I3196" s="1063"/>
      <c r="J3196" s="1063"/>
      <c r="K3196" s="1063"/>
      <c r="L3196" s="1063"/>
      <c r="M3196" s="1063"/>
      <c r="N3196" s="1063"/>
      <c r="O3196" s="1063"/>
      <c r="P3196" s="1063"/>
      <c r="Q3196" s="1063"/>
      <c r="R3196" s="1063"/>
      <c r="S3196" s="1063"/>
      <c r="T3196" s="1063"/>
      <c r="U3196" s="1063"/>
      <c r="V3196" s="1063"/>
      <c r="W3196" s="1063"/>
      <c r="X3196" s="1063"/>
      <c r="Y3196" s="1063"/>
      <c r="Z3196" s="1063"/>
      <c r="AA3196" s="1063"/>
      <c r="AB3196" s="1063"/>
      <c r="AC3196" s="1063"/>
      <c r="AD3196" s="1063"/>
      <c r="AE3196" s="1063"/>
      <c r="AF3196" s="1063"/>
      <c r="AG3196" s="1063"/>
      <c r="AH3196" s="1063"/>
      <c r="AI3196" s="1063"/>
      <c r="AJ3196" s="1063"/>
      <c r="AK3196" s="1063"/>
      <c r="AL3196" s="1063"/>
      <c r="AM3196" s="1063"/>
      <c r="AN3196" s="1063"/>
      <c r="AO3196" s="1063"/>
      <c r="AP3196" s="1063"/>
      <c r="AQ3196" s="1063"/>
      <c r="AR3196" s="1063"/>
      <c r="AS3196" s="1063"/>
      <c r="AT3196" s="1063"/>
      <c r="AU3196" s="1063"/>
      <c r="AV3196" s="1063"/>
    </row>
    <row r="3197" spans="1:48" s="1108" customFormat="1" ht="27.75" customHeight="1">
      <c r="A3197" s="1076"/>
      <c r="B3197" s="1074">
        <f>+'[18]Bldg+Dev'!S4009</f>
        <v>0</v>
      </c>
      <c r="D3197" s="1063"/>
      <c r="F3197" s="1076"/>
      <c r="G3197" s="1063"/>
      <c r="H3197" s="1063"/>
      <c r="I3197" s="1063"/>
      <c r="J3197" s="1063"/>
      <c r="K3197" s="1063"/>
      <c r="L3197" s="1063"/>
      <c r="M3197" s="1063"/>
      <c r="N3197" s="1063"/>
      <c r="O3197" s="1063"/>
      <c r="P3197" s="1063"/>
      <c r="Q3197" s="1063"/>
      <c r="R3197" s="1063"/>
      <c r="S3197" s="1063"/>
      <c r="T3197" s="1063"/>
      <c r="U3197" s="1063"/>
      <c r="V3197" s="1063"/>
      <c r="W3197" s="1063"/>
      <c r="X3197" s="1063"/>
      <c r="Y3197" s="1063"/>
      <c r="Z3197" s="1063"/>
      <c r="AA3197" s="1063"/>
      <c r="AB3197" s="1063"/>
      <c r="AC3197" s="1063"/>
      <c r="AD3197" s="1063"/>
      <c r="AE3197" s="1063"/>
      <c r="AF3197" s="1063"/>
      <c r="AG3197" s="1063"/>
      <c r="AH3197" s="1063"/>
      <c r="AI3197" s="1063"/>
      <c r="AJ3197" s="1063"/>
      <c r="AK3197" s="1063"/>
      <c r="AL3197" s="1063"/>
      <c r="AM3197" s="1063"/>
      <c r="AN3197" s="1063"/>
      <c r="AO3197" s="1063"/>
      <c r="AP3197" s="1063"/>
      <c r="AQ3197" s="1063"/>
      <c r="AR3197" s="1063"/>
      <c r="AS3197" s="1063"/>
      <c r="AT3197" s="1063"/>
      <c r="AU3197" s="1063"/>
      <c r="AV3197" s="1063"/>
    </row>
    <row r="3198" spans="1:48" s="1108" customFormat="1" ht="27.75" customHeight="1">
      <c r="A3198" s="1076"/>
      <c r="B3198" s="1074">
        <f>+'[18]Bldg+Dev'!S4010</f>
        <v>0</v>
      </c>
      <c r="D3198" s="1063"/>
      <c r="F3198" s="1076"/>
      <c r="G3198" s="1063"/>
      <c r="H3198" s="1063"/>
      <c r="I3198" s="1063"/>
      <c r="J3198" s="1063"/>
      <c r="K3198" s="1063"/>
      <c r="L3198" s="1063"/>
      <c r="M3198" s="1063"/>
      <c r="N3198" s="1063"/>
      <c r="O3198" s="1063"/>
      <c r="P3198" s="1063"/>
      <c r="Q3198" s="1063"/>
      <c r="R3198" s="1063"/>
      <c r="S3198" s="1063"/>
      <c r="T3198" s="1063"/>
      <c r="U3198" s="1063"/>
      <c r="V3198" s="1063"/>
      <c r="W3198" s="1063"/>
      <c r="X3198" s="1063"/>
      <c r="Y3198" s="1063"/>
      <c r="Z3198" s="1063"/>
      <c r="AA3198" s="1063"/>
      <c r="AB3198" s="1063"/>
      <c r="AC3198" s="1063"/>
      <c r="AD3198" s="1063"/>
      <c r="AE3198" s="1063"/>
      <c r="AF3198" s="1063"/>
      <c r="AG3198" s="1063"/>
      <c r="AH3198" s="1063"/>
      <c r="AI3198" s="1063"/>
      <c r="AJ3198" s="1063"/>
      <c r="AK3198" s="1063"/>
      <c r="AL3198" s="1063"/>
      <c r="AM3198" s="1063"/>
      <c r="AN3198" s="1063"/>
      <c r="AO3198" s="1063"/>
      <c r="AP3198" s="1063"/>
      <c r="AQ3198" s="1063"/>
      <c r="AR3198" s="1063"/>
      <c r="AS3198" s="1063"/>
      <c r="AT3198" s="1063"/>
      <c r="AU3198" s="1063"/>
      <c r="AV3198" s="1063"/>
    </row>
    <row r="3199" spans="1:48" s="1108" customFormat="1" ht="27.75" customHeight="1">
      <c r="A3199" s="1076"/>
      <c r="B3199" s="1074">
        <f>+'[18]Bldg+Dev'!S4011</f>
        <v>0</v>
      </c>
      <c r="D3199" s="1063"/>
      <c r="F3199" s="1076"/>
      <c r="G3199" s="1063"/>
      <c r="H3199" s="1063"/>
      <c r="I3199" s="1063"/>
      <c r="J3199" s="1063"/>
      <c r="K3199" s="1063"/>
      <c r="L3199" s="1063"/>
      <c r="M3199" s="1063"/>
      <c r="N3199" s="1063"/>
      <c r="O3199" s="1063"/>
      <c r="P3199" s="1063"/>
      <c r="Q3199" s="1063"/>
      <c r="R3199" s="1063"/>
      <c r="S3199" s="1063"/>
      <c r="T3199" s="1063"/>
      <c r="U3199" s="1063"/>
      <c r="V3199" s="1063"/>
      <c r="W3199" s="1063"/>
      <c r="X3199" s="1063"/>
      <c r="Y3199" s="1063"/>
      <c r="Z3199" s="1063"/>
      <c r="AA3199" s="1063"/>
      <c r="AB3199" s="1063"/>
      <c r="AC3199" s="1063"/>
      <c r="AD3199" s="1063"/>
      <c r="AE3199" s="1063"/>
      <c r="AF3199" s="1063"/>
      <c r="AG3199" s="1063"/>
      <c r="AH3199" s="1063"/>
      <c r="AI3199" s="1063"/>
      <c r="AJ3199" s="1063"/>
      <c r="AK3199" s="1063"/>
      <c r="AL3199" s="1063"/>
      <c r="AM3199" s="1063"/>
      <c r="AN3199" s="1063"/>
      <c r="AO3199" s="1063"/>
      <c r="AP3199" s="1063"/>
      <c r="AQ3199" s="1063"/>
      <c r="AR3199" s="1063"/>
      <c r="AS3199" s="1063"/>
      <c r="AT3199" s="1063"/>
      <c r="AU3199" s="1063"/>
      <c r="AV3199" s="1063"/>
    </row>
    <row r="3200" spans="1:48" s="1108" customFormat="1" ht="27.75" customHeight="1">
      <c r="A3200" s="1076"/>
      <c r="B3200" s="1074">
        <f>+'[18]Bldg+Dev'!S4012</f>
        <v>0</v>
      </c>
      <c r="D3200" s="1063"/>
      <c r="F3200" s="1076"/>
      <c r="G3200" s="1063"/>
      <c r="H3200" s="1063"/>
      <c r="I3200" s="1063"/>
      <c r="J3200" s="1063"/>
      <c r="K3200" s="1063"/>
      <c r="L3200" s="1063"/>
      <c r="M3200" s="1063"/>
      <c r="N3200" s="1063"/>
      <c r="O3200" s="1063"/>
      <c r="P3200" s="1063"/>
      <c r="Q3200" s="1063"/>
      <c r="R3200" s="1063"/>
      <c r="S3200" s="1063"/>
      <c r="T3200" s="1063"/>
      <c r="U3200" s="1063"/>
      <c r="V3200" s="1063"/>
      <c r="W3200" s="1063"/>
      <c r="X3200" s="1063"/>
      <c r="Y3200" s="1063"/>
      <c r="Z3200" s="1063"/>
      <c r="AA3200" s="1063"/>
      <c r="AB3200" s="1063"/>
      <c r="AC3200" s="1063"/>
      <c r="AD3200" s="1063"/>
      <c r="AE3200" s="1063"/>
      <c r="AF3200" s="1063"/>
      <c r="AG3200" s="1063"/>
      <c r="AH3200" s="1063"/>
      <c r="AI3200" s="1063"/>
      <c r="AJ3200" s="1063"/>
      <c r="AK3200" s="1063"/>
      <c r="AL3200" s="1063"/>
      <c r="AM3200" s="1063"/>
      <c r="AN3200" s="1063"/>
      <c r="AO3200" s="1063"/>
      <c r="AP3200" s="1063"/>
      <c r="AQ3200" s="1063"/>
      <c r="AR3200" s="1063"/>
      <c r="AS3200" s="1063"/>
      <c r="AT3200" s="1063"/>
      <c r="AU3200" s="1063"/>
      <c r="AV3200" s="1063"/>
    </row>
    <row r="3201" spans="1:48" s="1108" customFormat="1" ht="27.75" customHeight="1">
      <c r="A3201" s="1076"/>
      <c r="B3201" s="1074">
        <f>+'[18]Bldg+Dev'!S4013</f>
        <v>0</v>
      </c>
      <c r="D3201" s="1063"/>
      <c r="F3201" s="1076"/>
      <c r="G3201" s="1063"/>
      <c r="H3201" s="1063"/>
      <c r="I3201" s="1063"/>
      <c r="J3201" s="1063"/>
      <c r="K3201" s="1063"/>
      <c r="L3201" s="1063"/>
      <c r="M3201" s="1063"/>
      <c r="N3201" s="1063"/>
      <c r="O3201" s="1063"/>
      <c r="P3201" s="1063"/>
      <c r="Q3201" s="1063"/>
      <c r="R3201" s="1063"/>
      <c r="S3201" s="1063"/>
      <c r="T3201" s="1063"/>
      <c r="U3201" s="1063"/>
      <c r="V3201" s="1063"/>
      <c r="W3201" s="1063"/>
      <c r="X3201" s="1063"/>
      <c r="Y3201" s="1063"/>
      <c r="Z3201" s="1063"/>
      <c r="AA3201" s="1063"/>
      <c r="AB3201" s="1063"/>
      <c r="AC3201" s="1063"/>
      <c r="AD3201" s="1063"/>
      <c r="AE3201" s="1063"/>
      <c r="AF3201" s="1063"/>
      <c r="AG3201" s="1063"/>
      <c r="AH3201" s="1063"/>
      <c r="AI3201" s="1063"/>
      <c r="AJ3201" s="1063"/>
      <c r="AK3201" s="1063"/>
      <c r="AL3201" s="1063"/>
      <c r="AM3201" s="1063"/>
      <c r="AN3201" s="1063"/>
      <c r="AO3201" s="1063"/>
      <c r="AP3201" s="1063"/>
      <c r="AQ3201" s="1063"/>
      <c r="AR3201" s="1063"/>
      <c r="AS3201" s="1063"/>
      <c r="AT3201" s="1063"/>
      <c r="AU3201" s="1063"/>
      <c r="AV3201" s="1063"/>
    </row>
    <row r="3202" spans="1:48" s="1108" customFormat="1" ht="27.75" customHeight="1">
      <c r="A3202" s="1076"/>
      <c r="B3202" s="1074">
        <f>+'[18]Bldg+Dev'!S4014</f>
        <v>0</v>
      </c>
      <c r="D3202" s="1063"/>
      <c r="F3202" s="1076"/>
      <c r="G3202" s="1063"/>
      <c r="H3202" s="1063"/>
      <c r="I3202" s="1063"/>
      <c r="J3202" s="1063"/>
      <c r="K3202" s="1063"/>
      <c r="L3202" s="1063"/>
      <c r="M3202" s="1063"/>
      <c r="N3202" s="1063"/>
      <c r="O3202" s="1063"/>
      <c r="P3202" s="1063"/>
      <c r="Q3202" s="1063"/>
      <c r="R3202" s="1063"/>
      <c r="S3202" s="1063"/>
      <c r="T3202" s="1063"/>
      <c r="U3202" s="1063"/>
      <c r="V3202" s="1063"/>
      <c r="W3202" s="1063"/>
      <c r="X3202" s="1063"/>
      <c r="Y3202" s="1063"/>
      <c r="Z3202" s="1063"/>
      <c r="AA3202" s="1063"/>
      <c r="AB3202" s="1063"/>
      <c r="AC3202" s="1063"/>
      <c r="AD3202" s="1063"/>
      <c r="AE3202" s="1063"/>
      <c r="AF3202" s="1063"/>
      <c r="AG3202" s="1063"/>
      <c r="AH3202" s="1063"/>
      <c r="AI3202" s="1063"/>
      <c r="AJ3202" s="1063"/>
      <c r="AK3202" s="1063"/>
      <c r="AL3202" s="1063"/>
      <c r="AM3202" s="1063"/>
      <c r="AN3202" s="1063"/>
      <c r="AO3202" s="1063"/>
      <c r="AP3202" s="1063"/>
      <c r="AQ3202" s="1063"/>
      <c r="AR3202" s="1063"/>
      <c r="AS3202" s="1063"/>
      <c r="AT3202" s="1063"/>
      <c r="AU3202" s="1063"/>
      <c r="AV3202" s="1063"/>
    </row>
    <row r="3203" spans="1:48" s="1108" customFormat="1" ht="27.75" customHeight="1">
      <c r="A3203" s="1076"/>
      <c r="B3203" s="1074">
        <f>+'[18]Bldg+Dev'!S4015</f>
        <v>0</v>
      </c>
      <c r="D3203" s="1063"/>
      <c r="F3203" s="1076"/>
      <c r="G3203" s="1063"/>
      <c r="H3203" s="1063"/>
      <c r="I3203" s="1063"/>
      <c r="J3203" s="1063"/>
      <c r="K3203" s="1063"/>
      <c r="L3203" s="1063"/>
      <c r="M3203" s="1063"/>
      <c r="N3203" s="1063"/>
      <c r="O3203" s="1063"/>
      <c r="P3203" s="1063"/>
      <c r="Q3203" s="1063"/>
      <c r="R3203" s="1063"/>
      <c r="S3203" s="1063"/>
      <c r="T3203" s="1063"/>
      <c r="U3203" s="1063"/>
      <c r="V3203" s="1063"/>
      <c r="W3203" s="1063"/>
      <c r="X3203" s="1063"/>
      <c r="Y3203" s="1063"/>
      <c r="Z3203" s="1063"/>
      <c r="AA3203" s="1063"/>
      <c r="AB3203" s="1063"/>
      <c r="AC3203" s="1063"/>
      <c r="AD3203" s="1063"/>
      <c r="AE3203" s="1063"/>
      <c r="AF3203" s="1063"/>
      <c r="AG3203" s="1063"/>
      <c r="AH3203" s="1063"/>
      <c r="AI3203" s="1063"/>
      <c r="AJ3203" s="1063"/>
      <c r="AK3203" s="1063"/>
      <c r="AL3203" s="1063"/>
      <c r="AM3203" s="1063"/>
      <c r="AN3203" s="1063"/>
      <c r="AO3203" s="1063"/>
      <c r="AP3203" s="1063"/>
      <c r="AQ3203" s="1063"/>
      <c r="AR3203" s="1063"/>
      <c r="AS3203" s="1063"/>
      <c r="AT3203" s="1063"/>
      <c r="AU3203" s="1063"/>
      <c r="AV3203" s="1063"/>
    </row>
    <row r="3204" spans="1:48" s="1108" customFormat="1" ht="27.75" customHeight="1">
      <c r="A3204" s="1076"/>
      <c r="B3204" s="1074">
        <f>+'[18]Bldg+Dev'!S4016</f>
        <v>0</v>
      </c>
      <c r="D3204" s="1063"/>
      <c r="F3204" s="1076"/>
      <c r="G3204" s="1063"/>
      <c r="H3204" s="1063"/>
      <c r="I3204" s="1063"/>
      <c r="J3204" s="1063"/>
      <c r="K3204" s="1063"/>
      <c r="L3204" s="1063"/>
      <c r="M3204" s="1063"/>
      <c r="N3204" s="1063"/>
      <c r="O3204" s="1063"/>
      <c r="P3204" s="1063"/>
      <c r="Q3204" s="1063"/>
      <c r="R3204" s="1063"/>
      <c r="S3204" s="1063"/>
      <c r="T3204" s="1063"/>
      <c r="U3204" s="1063"/>
      <c r="V3204" s="1063"/>
      <c r="W3204" s="1063"/>
      <c r="X3204" s="1063"/>
      <c r="Y3204" s="1063"/>
      <c r="Z3204" s="1063"/>
      <c r="AA3204" s="1063"/>
      <c r="AB3204" s="1063"/>
      <c r="AC3204" s="1063"/>
      <c r="AD3204" s="1063"/>
      <c r="AE3204" s="1063"/>
      <c r="AF3204" s="1063"/>
      <c r="AG3204" s="1063"/>
      <c r="AH3204" s="1063"/>
      <c r="AI3204" s="1063"/>
      <c r="AJ3204" s="1063"/>
      <c r="AK3204" s="1063"/>
      <c r="AL3204" s="1063"/>
      <c r="AM3204" s="1063"/>
      <c r="AN3204" s="1063"/>
      <c r="AO3204" s="1063"/>
      <c r="AP3204" s="1063"/>
      <c r="AQ3204" s="1063"/>
      <c r="AR3204" s="1063"/>
      <c r="AS3204" s="1063"/>
      <c r="AT3204" s="1063"/>
      <c r="AU3204" s="1063"/>
      <c r="AV3204" s="1063"/>
    </row>
    <row r="3205" spans="1:48" s="1108" customFormat="1" ht="27.75" customHeight="1">
      <c r="A3205" s="1076"/>
      <c r="B3205" s="1074">
        <f>+'[18]Bldg+Dev'!S4017</f>
        <v>0</v>
      </c>
      <c r="D3205" s="1063"/>
      <c r="F3205" s="1076"/>
      <c r="G3205" s="1063"/>
      <c r="H3205" s="1063"/>
      <c r="I3205" s="1063"/>
      <c r="J3205" s="1063"/>
      <c r="K3205" s="1063"/>
      <c r="L3205" s="1063"/>
      <c r="M3205" s="1063"/>
      <c r="N3205" s="1063"/>
      <c r="O3205" s="1063"/>
      <c r="P3205" s="1063"/>
      <c r="Q3205" s="1063"/>
      <c r="R3205" s="1063"/>
      <c r="S3205" s="1063"/>
      <c r="T3205" s="1063"/>
      <c r="U3205" s="1063"/>
      <c r="V3205" s="1063"/>
      <c r="W3205" s="1063"/>
      <c r="X3205" s="1063"/>
      <c r="Y3205" s="1063"/>
      <c r="Z3205" s="1063"/>
      <c r="AA3205" s="1063"/>
      <c r="AB3205" s="1063"/>
      <c r="AC3205" s="1063"/>
      <c r="AD3205" s="1063"/>
      <c r="AE3205" s="1063"/>
      <c r="AF3205" s="1063"/>
      <c r="AG3205" s="1063"/>
      <c r="AH3205" s="1063"/>
      <c r="AI3205" s="1063"/>
      <c r="AJ3205" s="1063"/>
      <c r="AK3205" s="1063"/>
      <c r="AL3205" s="1063"/>
      <c r="AM3205" s="1063"/>
      <c r="AN3205" s="1063"/>
      <c r="AO3205" s="1063"/>
      <c r="AP3205" s="1063"/>
      <c r="AQ3205" s="1063"/>
      <c r="AR3205" s="1063"/>
      <c r="AS3205" s="1063"/>
      <c r="AT3205" s="1063"/>
      <c r="AU3205" s="1063"/>
      <c r="AV3205" s="1063"/>
    </row>
    <row r="3206" spans="1:48" s="1108" customFormat="1" ht="27.75" customHeight="1">
      <c r="A3206" s="1076"/>
      <c r="B3206" s="1074">
        <f>+'[18]Bldg+Dev'!S4018</f>
        <v>0</v>
      </c>
      <c r="D3206" s="1063"/>
      <c r="F3206" s="1076"/>
      <c r="G3206" s="1063"/>
      <c r="H3206" s="1063"/>
      <c r="I3206" s="1063"/>
      <c r="J3206" s="1063"/>
      <c r="K3206" s="1063"/>
      <c r="L3206" s="1063"/>
      <c r="M3206" s="1063"/>
      <c r="N3206" s="1063"/>
      <c r="O3206" s="1063"/>
      <c r="P3206" s="1063"/>
      <c r="Q3206" s="1063"/>
      <c r="R3206" s="1063"/>
      <c r="S3206" s="1063"/>
      <c r="T3206" s="1063"/>
      <c r="U3206" s="1063"/>
      <c r="V3206" s="1063"/>
      <c r="W3206" s="1063"/>
      <c r="X3206" s="1063"/>
      <c r="Y3206" s="1063"/>
      <c r="Z3206" s="1063"/>
      <c r="AA3206" s="1063"/>
      <c r="AB3206" s="1063"/>
      <c r="AC3206" s="1063"/>
      <c r="AD3206" s="1063"/>
      <c r="AE3206" s="1063"/>
      <c r="AF3206" s="1063"/>
      <c r="AG3206" s="1063"/>
      <c r="AH3206" s="1063"/>
      <c r="AI3206" s="1063"/>
      <c r="AJ3206" s="1063"/>
      <c r="AK3206" s="1063"/>
      <c r="AL3206" s="1063"/>
      <c r="AM3206" s="1063"/>
      <c r="AN3206" s="1063"/>
      <c r="AO3206" s="1063"/>
      <c r="AP3206" s="1063"/>
      <c r="AQ3206" s="1063"/>
      <c r="AR3206" s="1063"/>
      <c r="AS3206" s="1063"/>
      <c r="AT3206" s="1063"/>
      <c r="AU3206" s="1063"/>
      <c r="AV3206" s="1063"/>
    </row>
    <row r="3207" spans="1:48" s="1108" customFormat="1" ht="27.75" customHeight="1">
      <c r="A3207" s="1076"/>
      <c r="B3207" s="1074">
        <f>+'[18]Bldg+Dev'!S4019</f>
        <v>0</v>
      </c>
      <c r="D3207" s="1063"/>
      <c r="F3207" s="1076"/>
      <c r="G3207" s="1063"/>
      <c r="H3207" s="1063"/>
      <c r="I3207" s="1063"/>
      <c r="J3207" s="1063"/>
      <c r="K3207" s="1063"/>
      <c r="L3207" s="1063"/>
      <c r="M3207" s="1063"/>
      <c r="N3207" s="1063"/>
      <c r="O3207" s="1063"/>
      <c r="P3207" s="1063"/>
      <c r="Q3207" s="1063"/>
      <c r="R3207" s="1063"/>
      <c r="S3207" s="1063"/>
      <c r="T3207" s="1063"/>
      <c r="U3207" s="1063"/>
      <c r="V3207" s="1063"/>
      <c r="W3207" s="1063"/>
      <c r="X3207" s="1063"/>
      <c r="Y3207" s="1063"/>
      <c r="Z3207" s="1063"/>
      <c r="AA3207" s="1063"/>
      <c r="AB3207" s="1063"/>
      <c r="AC3207" s="1063"/>
      <c r="AD3207" s="1063"/>
      <c r="AE3207" s="1063"/>
      <c r="AF3207" s="1063"/>
      <c r="AG3207" s="1063"/>
      <c r="AH3207" s="1063"/>
      <c r="AI3207" s="1063"/>
      <c r="AJ3207" s="1063"/>
      <c r="AK3207" s="1063"/>
      <c r="AL3207" s="1063"/>
      <c r="AM3207" s="1063"/>
      <c r="AN3207" s="1063"/>
      <c r="AO3207" s="1063"/>
      <c r="AP3207" s="1063"/>
      <c r="AQ3207" s="1063"/>
      <c r="AR3207" s="1063"/>
      <c r="AS3207" s="1063"/>
      <c r="AT3207" s="1063"/>
      <c r="AU3207" s="1063"/>
      <c r="AV3207" s="1063"/>
    </row>
    <row r="3208" spans="1:48" s="1108" customFormat="1" ht="27.75" customHeight="1">
      <c r="A3208" s="1076"/>
      <c r="B3208" s="1074">
        <f>+'[18]Bldg+Dev'!S4020</f>
        <v>0</v>
      </c>
      <c r="D3208" s="1063"/>
      <c r="F3208" s="1076"/>
      <c r="G3208" s="1063"/>
      <c r="H3208" s="1063"/>
      <c r="I3208" s="1063"/>
      <c r="J3208" s="1063"/>
      <c r="K3208" s="1063"/>
      <c r="L3208" s="1063"/>
      <c r="M3208" s="1063"/>
      <c r="N3208" s="1063"/>
      <c r="O3208" s="1063"/>
      <c r="P3208" s="1063"/>
      <c r="Q3208" s="1063"/>
      <c r="R3208" s="1063"/>
      <c r="S3208" s="1063"/>
      <c r="T3208" s="1063"/>
      <c r="U3208" s="1063"/>
      <c r="V3208" s="1063"/>
      <c r="W3208" s="1063"/>
      <c r="X3208" s="1063"/>
      <c r="Y3208" s="1063"/>
      <c r="Z3208" s="1063"/>
      <c r="AA3208" s="1063"/>
      <c r="AB3208" s="1063"/>
      <c r="AC3208" s="1063"/>
      <c r="AD3208" s="1063"/>
      <c r="AE3208" s="1063"/>
      <c r="AF3208" s="1063"/>
      <c r="AG3208" s="1063"/>
      <c r="AH3208" s="1063"/>
      <c r="AI3208" s="1063"/>
      <c r="AJ3208" s="1063"/>
      <c r="AK3208" s="1063"/>
      <c r="AL3208" s="1063"/>
      <c r="AM3208" s="1063"/>
      <c r="AN3208" s="1063"/>
      <c r="AO3208" s="1063"/>
      <c r="AP3208" s="1063"/>
      <c r="AQ3208" s="1063"/>
      <c r="AR3208" s="1063"/>
      <c r="AS3208" s="1063"/>
      <c r="AT3208" s="1063"/>
      <c r="AU3208" s="1063"/>
      <c r="AV3208" s="1063"/>
    </row>
    <row r="3209" spans="1:48" s="1108" customFormat="1" ht="27.75" customHeight="1">
      <c r="A3209" s="1076"/>
      <c r="B3209" s="1074">
        <f>+'[18]Bldg+Dev'!S4021</f>
        <v>0</v>
      </c>
      <c r="D3209" s="1063"/>
      <c r="F3209" s="1076"/>
      <c r="G3209" s="1063"/>
      <c r="H3209" s="1063"/>
      <c r="I3209" s="1063"/>
      <c r="J3209" s="1063"/>
      <c r="K3209" s="1063"/>
      <c r="L3209" s="1063"/>
      <c r="M3209" s="1063"/>
      <c r="N3209" s="1063"/>
      <c r="O3209" s="1063"/>
      <c r="P3209" s="1063"/>
      <c r="Q3209" s="1063"/>
      <c r="R3209" s="1063"/>
      <c r="S3209" s="1063"/>
      <c r="T3209" s="1063"/>
      <c r="U3209" s="1063"/>
      <c r="V3209" s="1063"/>
      <c r="W3209" s="1063"/>
      <c r="X3209" s="1063"/>
      <c r="Y3209" s="1063"/>
      <c r="Z3209" s="1063"/>
      <c r="AA3209" s="1063"/>
      <c r="AB3209" s="1063"/>
      <c r="AC3209" s="1063"/>
      <c r="AD3209" s="1063"/>
      <c r="AE3209" s="1063"/>
      <c r="AF3209" s="1063"/>
      <c r="AG3209" s="1063"/>
      <c r="AH3209" s="1063"/>
      <c r="AI3209" s="1063"/>
      <c r="AJ3209" s="1063"/>
      <c r="AK3209" s="1063"/>
      <c r="AL3209" s="1063"/>
      <c r="AM3209" s="1063"/>
      <c r="AN3209" s="1063"/>
      <c r="AO3209" s="1063"/>
      <c r="AP3209" s="1063"/>
      <c r="AQ3209" s="1063"/>
      <c r="AR3209" s="1063"/>
      <c r="AS3209" s="1063"/>
      <c r="AT3209" s="1063"/>
      <c r="AU3209" s="1063"/>
      <c r="AV3209" s="1063"/>
    </row>
    <row r="3210" spans="1:48" s="1108" customFormat="1" ht="27.75" customHeight="1">
      <c r="A3210" s="1076"/>
      <c r="B3210" s="1074">
        <f>+'[18]Bldg+Dev'!S4022</f>
        <v>0</v>
      </c>
      <c r="D3210" s="1063"/>
      <c r="F3210" s="1076"/>
      <c r="G3210" s="1063"/>
      <c r="H3210" s="1063"/>
      <c r="I3210" s="1063"/>
      <c r="J3210" s="1063"/>
      <c r="K3210" s="1063"/>
      <c r="L3210" s="1063"/>
      <c r="M3210" s="1063"/>
      <c r="N3210" s="1063"/>
      <c r="O3210" s="1063"/>
      <c r="P3210" s="1063"/>
      <c r="Q3210" s="1063"/>
      <c r="R3210" s="1063"/>
      <c r="S3210" s="1063"/>
      <c r="T3210" s="1063"/>
      <c r="U3210" s="1063"/>
      <c r="V3210" s="1063"/>
      <c r="W3210" s="1063"/>
      <c r="X3210" s="1063"/>
      <c r="Y3210" s="1063"/>
      <c r="Z3210" s="1063"/>
      <c r="AA3210" s="1063"/>
      <c r="AB3210" s="1063"/>
      <c r="AC3210" s="1063"/>
      <c r="AD3210" s="1063"/>
      <c r="AE3210" s="1063"/>
      <c r="AF3210" s="1063"/>
      <c r="AG3210" s="1063"/>
      <c r="AH3210" s="1063"/>
      <c r="AI3210" s="1063"/>
      <c r="AJ3210" s="1063"/>
      <c r="AK3210" s="1063"/>
      <c r="AL3210" s="1063"/>
      <c r="AM3210" s="1063"/>
      <c r="AN3210" s="1063"/>
      <c r="AO3210" s="1063"/>
      <c r="AP3210" s="1063"/>
      <c r="AQ3210" s="1063"/>
      <c r="AR3210" s="1063"/>
      <c r="AS3210" s="1063"/>
      <c r="AT3210" s="1063"/>
      <c r="AU3210" s="1063"/>
      <c r="AV3210" s="1063"/>
    </row>
    <row r="3211" spans="1:48" s="1108" customFormat="1" ht="27.75" customHeight="1">
      <c r="A3211" s="1076"/>
      <c r="B3211" s="1074">
        <f>+'[18]Bldg+Dev'!S4023</f>
        <v>0</v>
      </c>
      <c r="D3211" s="1063"/>
      <c r="F3211" s="1076"/>
      <c r="G3211" s="1063"/>
      <c r="H3211" s="1063"/>
      <c r="I3211" s="1063"/>
      <c r="J3211" s="1063"/>
      <c r="K3211" s="1063"/>
      <c r="L3211" s="1063"/>
      <c r="M3211" s="1063"/>
      <c r="N3211" s="1063"/>
      <c r="O3211" s="1063"/>
      <c r="P3211" s="1063"/>
      <c r="Q3211" s="1063"/>
      <c r="R3211" s="1063"/>
      <c r="S3211" s="1063"/>
      <c r="T3211" s="1063"/>
      <c r="U3211" s="1063"/>
      <c r="V3211" s="1063"/>
      <c r="W3211" s="1063"/>
      <c r="X3211" s="1063"/>
      <c r="Y3211" s="1063"/>
      <c r="Z3211" s="1063"/>
      <c r="AA3211" s="1063"/>
      <c r="AB3211" s="1063"/>
      <c r="AC3211" s="1063"/>
      <c r="AD3211" s="1063"/>
      <c r="AE3211" s="1063"/>
      <c r="AF3211" s="1063"/>
      <c r="AG3211" s="1063"/>
      <c r="AH3211" s="1063"/>
      <c r="AI3211" s="1063"/>
      <c r="AJ3211" s="1063"/>
      <c r="AK3211" s="1063"/>
      <c r="AL3211" s="1063"/>
      <c r="AM3211" s="1063"/>
      <c r="AN3211" s="1063"/>
      <c r="AO3211" s="1063"/>
      <c r="AP3211" s="1063"/>
      <c r="AQ3211" s="1063"/>
      <c r="AR3211" s="1063"/>
      <c r="AS3211" s="1063"/>
      <c r="AT3211" s="1063"/>
      <c r="AU3211" s="1063"/>
      <c r="AV3211" s="1063"/>
    </row>
    <row r="3212" spans="1:48" s="1108" customFormat="1" ht="27.75" customHeight="1">
      <c r="A3212" s="1076"/>
      <c r="B3212" s="1074">
        <f>+'[18]Bldg+Dev'!S4024</f>
        <v>0</v>
      </c>
      <c r="D3212" s="1063"/>
      <c r="F3212" s="1076"/>
      <c r="G3212" s="1063"/>
      <c r="H3212" s="1063"/>
      <c r="I3212" s="1063"/>
      <c r="J3212" s="1063"/>
      <c r="K3212" s="1063"/>
      <c r="L3212" s="1063"/>
      <c r="M3212" s="1063"/>
      <c r="N3212" s="1063"/>
      <c r="O3212" s="1063"/>
      <c r="P3212" s="1063"/>
      <c r="Q3212" s="1063"/>
      <c r="R3212" s="1063"/>
      <c r="S3212" s="1063"/>
      <c r="T3212" s="1063"/>
      <c r="U3212" s="1063"/>
      <c r="V3212" s="1063"/>
      <c r="W3212" s="1063"/>
      <c r="X3212" s="1063"/>
      <c r="Y3212" s="1063"/>
      <c r="Z3212" s="1063"/>
      <c r="AA3212" s="1063"/>
      <c r="AB3212" s="1063"/>
      <c r="AC3212" s="1063"/>
      <c r="AD3212" s="1063"/>
      <c r="AE3212" s="1063"/>
      <c r="AF3212" s="1063"/>
      <c r="AG3212" s="1063"/>
      <c r="AH3212" s="1063"/>
      <c r="AI3212" s="1063"/>
      <c r="AJ3212" s="1063"/>
      <c r="AK3212" s="1063"/>
      <c r="AL3212" s="1063"/>
      <c r="AM3212" s="1063"/>
      <c r="AN3212" s="1063"/>
      <c r="AO3212" s="1063"/>
      <c r="AP3212" s="1063"/>
      <c r="AQ3212" s="1063"/>
      <c r="AR3212" s="1063"/>
      <c r="AS3212" s="1063"/>
      <c r="AT3212" s="1063"/>
      <c r="AU3212" s="1063"/>
      <c r="AV3212" s="1063"/>
    </row>
    <row r="3213" spans="1:48" s="1108" customFormat="1" ht="27.75" customHeight="1">
      <c r="A3213" s="1076"/>
      <c r="B3213" s="1074">
        <f>+'[18]Bldg+Dev'!S4025</f>
        <v>0</v>
      </c>
      <c r="D3213" s="1063"/>
      <c r="F3213" s="1076"/>
      <c r="G3213" s="1063"/>
      <c r="H3213" s="1063"/>
      <c r="I3213" s="1063"/>
      <c r="J3213" s="1063"/>
      <c r="K3213" s="1063"/>
      <c r="L3213" s="1063"/>
      <c r="M3213" s="1063"/>
      <c r="N3213" s="1063"/>
      <c r="O3213" s="1063"/>
      <c r="P3213" s="1063"/>
      <c r="Q3213" s="1063"/>
      <c r="R3213" s="1063"/>
      <c r="S3213" s="1063"/>
      <c r="T3213" s="1063"/>
      <c r="U3213" s="1063"/>
      <c r="V3213" s="1063"/>
      <c r="W3213" s="1063"/>
      <c r="X3213" s="1063"/>
      <c r="Y3213" s="1063"/>
      <c r="Z3213" s="1063"/>
      <c r="AA3213" s="1063"/>
      <c r="AB3213" s="1063"/>
      <c r="AC3213" s="1063"/>
      <c r="AD3213" s="1063"/>
      <c r="AE3213" s="1063"/>
      <c r="AF3213" s="1063"/>
      <c r="AG3213" s="1063"/>
      <c r="AH3213" s="1063"/>
      <c r="AI3213" s="1063"/>
      <c r="AJ3213" s="1063"/>
      <c r="AK3213" s="1063"/>
      <c r="AL3213" s="1063"/>
      <c r="AM3213" s="1063"/>
      <c r="AN3213" s="1063"/>
      <c r="AO3213" s="1063"/>
      <c r="AP3213" s="1063"/>
      <c r="AQ3213" s="1063"/>
      <c r="AR3213" s="1063"/>
      <c r="AS3213" s="1063"/>
      <c r="AT3213" s="1063"/>
      <c r="AU3213" s="1063"/>
      <c r="AV3213" s="1063"/>
    </row>
    <row r="3214" spans="1:48" s="1108" customFormat="1" ht="27.75" customHeight="1">
      <c r="A3214" s="1076"/>
      <c r="B3214" s="1074">
        <f>+'[18]Bldg+Dev'!S4026</f>
        <v>0</v>
      </c>
      <c r="D3214" s="1063"/>
      <c r="F3214" s="1076"/>
      <c r="G3214" s="1063"/>
      <c r="H3214" s="1063"/>
      <c r="I3214" s="1063"/>
      <c r="J3214" s="1063"/>
      <c r="K3214" s="1063"/>
      <c r="L3214" s="1063"/>
      <c r="M3214" s="1063"/>
      <c r="N3214" s="1063"/>
      <c r="O3214" s="1063"/>
      <c r="P3214" s="1063"/>
      <c r="Q3214" s="1063"/>
      <c r="R3214" s="1063"/>
      <c r="S3214" s="1063"/>
      <c r="T3214" s="1063"/>
      <c r="U3214" s="1063"/>
      <c r="V3214" s="1063"/>
      <c r="W3214" s="1063"/>
      <c r="X3214" s="1063"/>
      <c r="Y3214" s="1063"/>
      <c r="Z3214" s="1063"/>
      <c r="AA3214" s="1063"/>
      <c r="AB3214" s="1063"/>
      <c r="AC3214" s="1063"/>
      <c r="AD3214" s="1063"/>
      <c r="AE3214" s="1063"/>
      <c r="AF3214" s="1063"/>
      <c r="AG3214" s="1063"/>
      <c r="AH3214" s="1063"/>
      <c r="AI3214" s="1063"/>
      <c r="AJ3214" s="1063"/>
      <c r="AK3214" s="1063"/>
      <c r="AL3214" s="1063"/>
      <c r="AM3214" s="1063"/>
      <c r="AN3214" s="1063"/>
      <c r="AO3214" s="1063"/>
      <c r="AP3214" s="1063"/>
      <c r="AQ3214" s="1063"/>
      <c r="AR3214" s="1063"/>
      <c r="AS3214" s="1063"/>
      <c r="AT3214" s="1063"/>
      <c r="AU3214" s="1063"/>
      <c r="AV3214" s="1063"/>
    </row>
    <row r="3215" spans="1:48" s="1108" customFormat="1" ht="27.75" customHeight="1">
      <c r="A3215" s="1076"/>
      <c r="B3215" s="1074">
        <f>+'[18]Bldg+Dev'!S4027</f>
        <v>0</v>
      </c>
      <c r="D3215" s="1063"/>
      <c r="F3215" s="1076"/>
      <c r="G3215" s="1063"/>
      <c r="H3215" s="1063"/>
      <c r="I3215" s="1063"/>
      <c r="J3215" s="1063"/>
      <c r="K3215" s="1063"/>
      <c r="L3215" s="1063"/>
      <c r="M3215" s="1063"/>
      <c r="N3215" s="1063"/>
      <c r="O3215" s="1063"/>
      <c r="P3215" s="1063"/>
      <c r="Q3215" s="1063"/>
      <c r="R3215" s="1063"/>
      <c r="S3215" s="1063"/>
      <c r="T3215" s="1063"/>
      <c r="U3215" s="1063"/>
      <c r="V3215" s="1063"/>
      <c r="W3215" s="1063"/>
      <c r="X3215" s="1063"/>
      <c r="Y3215" s="1063"/>
      <c r="Z3215" s="1063"/>
      <c r="AA3215" s="1063"/>
      <c r="AB3215" s="1063"/>
      <c r="AC3215" s="1063"/>
      <c r="AD3215" s="1063"/>
      <c r="AE3215" s="1063"/>
      <c r="AF3215" s="1063"/>
      <c r="AG3215" s="1063"/>
      <c r="AH3215" s="1063"/>
      <c r="AI3215" s="1063"/>
      <c r="AJ3215" s="1063"/>
      <c r="AK3215" s="1063"/>
      <c r="AL3215" s="1063"/>
      <c r="AM3215" s="1063"/>
      <c r="AN3215" s="1063"/>
      <c r="AO3215" s="1063"/>
      <c r="AP3215" s="1063"/>
      <c r="AQ3215" s="1063"/>
      <c r="AR3215" s="1063"/>
      <c r="AS3215" s="1063"/>
      <c r="AT3215" s="1063"/>
      <c r="AU3215" s="1063"/>
      <c r="AV3215" s="1063"/>
    </row>
    <row r="3216" spans="1:48" s="1108" customFormat="1" ht="27.75" customHeight="1">
      <c r="A3216" s="1076"/>
      <c r="B3216" s="1074">
        <f>+'[18]Bldg+Dev'!S4028</f>
        <v>0</v>
      </c>
      <c r="D3216" s="1063"/>
      <c r="F3216" s="1076"/>
      <c r="G3216" s="1063"/>
      <c r="H3216" s="1063"/>
      <c r="I3216" s="1063"/>
      <c r="J3216" s="1063"/>
      <c r="K3216" s="1063"/>
      <c r="L3216" s="1063"/>
      <c r="M3216" s="1063"/>
      <c r="N3216" s="1063"/>
      <c r="O3216" s="1063"/>
      <c r="P3216" s="1063"/>
      <c r="Q3216" s="1063"/>
      <c r="R3216" s="1063"/>
      <c r="S3216" s="1063"/>
      <c r="T3216" s="1063"/>
      <c r="U3216" s="1063"/>
      <c r="V3216" s="1063"/>
      <c r="W3216" s="1063"/>
      <c r="X3216" s="1063"/>
      <c r="Y3216" s="1063"/>
      <c r="Z3216" s="1063"/>
      <c r="AA3216" s="1063"/>
      <c r="AB3216" s="1063"/>
      <c r="AC3216" s="1063"/>
      <c r="AD3216" s="1063"/>
      <c r="AE3216" s="1063"/>
      <c r="AF3216" s="1063"/>
      <c r="AG3216" s="1063"/>
      <c r="AH3216" s="1063"/>
      <c r="AI3216" s="1063"/>
      <c r="AJ3216" s="1063"/>
      <c r="AK3216" s="1063"/>
      <c r="AL3216" s="1063"/>
      <c r="AM3216" s="1063"/>
      <c r="AN3216" s="1063"/>
      <c r="AO3216" s="1063"/>
      <c r="AP3216" s="1063"/>
      <c r="AQ3216" s="1063"/>
      <c r="AR3216" s="1063"/>
      <c r="AS3216" s="1063"/>
      <c r="AT3216" s="1063"/>
      <c r="AU3216" s="1063"/>
      <c r="AV3216" s="1063"/>
    </row>
    <row r="3217" spans="1:48" s="1108" customFormat="1" ht="27.75" customHeight="1">
      <c r="A3217" s="1076"/>
      <c r="B3217" s="1074">
        <f>+'[18]Bldg+Dev'!S4029</f>
        <v>0</v>
      </c>
      <c r="D3217" s="1063"/>
      <c r="F3217" s="1076"/>
      <c r="G3217" s="1063"/>
      <c r="H3217" s="1063"/>
      <c r="I3217" s="1063"/>
      <c r="J3217" s="1063"/>
      <c r="K3217" s="1063"/>
      <c r="L3217" s="1063"/>
      <c r="M3217" s="1063"/>
      <c r="N3217" s="1063"/>
      <c r="O3217" s="1063"/>
      <c r="P3217" s="1063"/>
      <c r="Q3217" s="1063"/>
      <c r="R3217" s="1063"/>
      <c r="S3217" s="1063"/>
      <c r="T3217" s="1063"/>
      <c r="U3217" s="1063"/>
      <c r="V3217" s="1063"/>
      <c r="W3217" s="1063"/>
      <c r="X3217" s="1063"/>
      <c r="Y3217" s="1063"/>
      <c r="Z3217" s="1063"/>
      <c r="AA3217" s="1063"/>
      <c r="AB3217" s="1063"/>
      <c r="AC3217" s="1063"/>
      <c r="AD3217" s="1063"/>
      <c r="AE3217" s="1063"/>
      <c r="AF3217" s="1063"/>
      <c r="AG3217" s="1063"/>
      <c r="AH3217" s="1063"/>
      <c r="AI3217" s="1063"/>
      <c r="AJ3217" s="1063"/>
      <c r="AK3217" s="1063"/>
      <c r="AL3217" s="1063"/>
      <c r="AM3217" s="1063"/>
      <c r="AN3217" s="1063"/>
      <c r="AO3217" s="1063"/>
      <c r="AP3217" s="1063"/>
      <c r="AQ3217" s="1063"/>
      <c r="AR3217" s="1063"/>
      <c r="AS3217" s="1063"/>
      <c r="AT3217" s="1063"/>
      <c r="AU3217" s="1063"/>
      <c r="AV3217" s="1063"/>
    </row>
    <row r="3218" spans="1:48" s="1108" customFormat="1" ht="27.75" customHeight="1">
      <c r="A3218" s="1076"/>
      <c r="B3218" s="1074">
        <f>+'[18]Bldg+Dev'!S4030</f>
        <v>0</v>
      </c>
      <c r="D3218" s="1063"/>
      <c r="F3218" s="1076"/>
      <c r="G3218" s="1063"/>
      <c r="H3218" s="1063"/>
      <c r="I3218" s="1063"/>
      <c r="J3218" s="1063"/>
      <c r="K3218" s="1063"/>
      <c r="L3218" s="1063"/>
      <c r="M3218" s="1063"/>
      <c r="N3218" s="1063"/>
      <c r="O3218" s="1063"/>
      <c r="P3218" s="1063"/>
      <c r="Q3218" s="1063"/>
      <c r="R3218" s="1063"/>
      <c r="S3218" s="1063"/>
      <c r="T3218" s="1063"/>
      <c r="U3218" s="1063"/>
      <c r="V3218" s="1063"/>
      <c r="W3218" s="1063"/>
      <c r="X3218" s="1063"/>
      <c r="Y3218" s="1063"/>
      <c r="Z3218" s="1063"/>
      <c r="AA3218" s="1063"/>
      <c r="AB3218" s="1063"/>
      <c r="AC3218" s="1063"/>
      <c r="AD3218" s="1063"/>
      <c r="AE3218" s="1063"/>
      <c r="AF3218" s="1063"/>
      <c r="AG3218" s="1063"/>
      <c r="AH3218" s="1063"/>
      <c r="AI3218" s="1063"/>
      <c r="AJ3218" s="1063"/>
      <c r="AK3218" s="1063"/>
      <c r="AL3218" s="1063"/>
      <c r="AM3218" s="1063"/>
      <c r="AN3218" s="1063"/>
      <c r="AO3218" s="1063"/>
      <c r="AP3218" s="1063"/>
      <c r="AQ3218" s="1063"/>
      <c r="AR3218" s="1063"/>
      <c r="AS3218" s="1063"/>
      <c r="AT3218" s="1063"/>
      <c r="AU3218" s="1063"/>
      <c r="AV3218" s="1063"/>
    </row>
    <row r="3219" spans="1:48" s="1108" customFormat="1" ht="27.75" customHeight="1">
      <c r="A3219" s="1076"/>
      <c r="B3219" s="1074">
        <f>+'[18]Bldg+Dev'!S4031</f>
        <v>0</v>
      </c>
      <c r="D3219" s="1063"/>
      <c r="F3219" s="1076"/>
      <c r="G3219" s="1063"/>
      <c r="H3219" s="1063"/>
      <c r="I3219" s="1063"/>
      <c r="J3219" s="1063"/>
      <c r="K3219" s="1063"/>
      <c r="L3219" s="1063"/>
      <c r="M3219" s="1063"/>
      <c r="N3219" s="1063"/>
      <c r="O3219" s="1063"/>
      <c r="P3219" s="1063"/>
      <c r="Q3219" s="1063"/>
      <c r="R3219" s="1063"/>
      <c r="S3219" s="1063"/>
      <c r="T3219" s="1063"/>
      <c r="U3219" s="1063"/>
      <c r="V3219" s="1063"/>
      <c r="W3219" s="1063"/>
      <c r="X3219" s="1063"/>
      <c r="Y3219" s="1063"/>
      <c r="Z3219" s="1063"/>
      <c r="AA3219" s="1063"/>
      <c r="AB3219" s="1063"/>
      <c r="AC3219" s="1063"/>
      <c r="AD3219" s="1063"/>
      <c r="AE3219" s="1063"/>
      <c r="AF3219" s="1063"/>
      <c r="AG3219" s="1063"/>
      <c r="AH3219" s="1063"/>
      <c r="AI3219" s="1063"/>
      <c r="AJ3219" s="1063"/>
      <c r="AK3219" s="1063"/>
      <c r="AL3219" s="1063"/>
      <c r="AM3219" s="1063"/>
      <c r="AN3219" s="1063"/>
      <c r="AO3219" s="1063"/>
      <c r="AP3219" s="1063"/>
      <c r="AQ3219" s="1063"/>
      <c r="AR3219" s="1063"/>
      <c r="AS3219" s="1063"/>
      <c r="AT3219" s="1063"/>
      <c r="AU3219" s="1063"/>
      <c r="AV3219" s="1063"/>
    </row>
    <row r="3220" spans="1:48" s="1108" customFormat="1" ht="27.75" customHeight="1">
      <c r="A3220" s="1076"/>
      <c r="B3220" s="1074">
        <f>+'[18]Bldg+Dev'!S4032</f>
        <v>0</v>
      </c>
      <c r="D3220" s="1063"/>
      <c r="F3220" s="1076"/>
      <c r="G3220" s="1063"/>
      <c r="H3220" s="1063"/>
      <c r="I3220" s="1063"/>
      <c r="J3220" s="1063"/>
      <c r="K3220" s="1063"/>
      <c r="L3220" s="1063"/>
      <c r="M3220" s="1063"/>
      <c r="N3220" s="1063"/>
      <c r="O3220" s="1063"/>
      <c r="P3220" s="1063"/>
      <c r="Q3220" s="1063"/>
      <c r="R3220" s="1063"/>
      <c r="S3220" s="1063"/>
      <c r="T3220" s="1063"/>
      <c r="U3220" s="1063"/>
      <c r="V3220" s="1063"/>
      <c r="W3220" s="1063"/>
      <c r="X3220" s="1063"/>
      <c r="Y3220" s="1063"/>
      <c r="Z3220" s="1063"/>
      <c r="AA3220" s="1063"/>
      <c r="AB3220" s="1063"/>
      <c r="AC3220" s="1063"/>
      <c r="AD3220" s="1063"/>
      <c r="AE3220" s="1063"/>
      <c r="AF3220" s="1063"/>
      <c r="AG3220" s="1063"/>
      <c r="AH3220" s="1063"/>
      <c r="AI3220" s="1063"/>
      <c r="AJ3220" s="1063"/>
      <c r="AK3220" s="1063"/>
      <c r="AL3220" s="1063"/>
      <c r="AM3220" s="1063"/>
      <c r="AN3220" s="1063"/>
      <c r="AO3220" s="1063"/>
      <c r="AP3220" s="1063"/>
      <c r="AQ3220" s="1063"/>
      <c r="AR3220" s="1063"/>
      <c r="AS3220" s="1063"/>
      <c r="AT3220" s="1063"/>
      <c r="AU3220" s="1063"/>
      <c r="AV3220" s="1063"/>
    </row>
    <row r="3221" spans="1:48" s="1108" customFormat="1" ht="27.75" customHeight="1">
      <c r="A3221" s="1076"/>
      <c r="B3221" s="1074">
        <f>+'[18]Bldg+Dev'!S4033</f>
        <v>0</v>
      </c>
      <c r="D3221" s="1063"/>
      <c r="F3221" s="1076"/>
      <c r="G3221" s="1063"/>
      <c r="H3221" s="1063"/>
      <c r="I3221" s="1063"/>
      <c r="J3221" s="1063"/>
      <c r="K3221" s="1063"/>
      <c r="L3221" s="1063"/>
      <c r="M3221" s="1063"/>
      <c r="N3221" s="1063"/>
      <c r="O3221" s="1063"/>
      <c r="P3221" s="1063"/>
      <c r="Q3221" s="1063"/>
      <c r="R3221" s="1063"/>
      <c r="S3221" s="1063"/>
      <c r="T3221" s="1063"/>
      <c r="U3221" s="1063"/>
      <c r="V3221" s="1063"/>
      <c r="W3221" s="1063"/>
      <c r="X3221" s="1063"/>
      <c r="Y3221" s="1063"/>
      <c r="Z3221" s="1063"/>
      <c r="AA3221" s="1063"/>
      <c r="AB3221" s="1063"/>
      <c r="AC3221" s="1063"/>
      <c r="AD3221" s="1063"/>
      <c r="AE3221" s="1063"/>
      <c r="AF3221" s="1063"/>
      <c r="AG3221" s="1063"/>
      <c r="AH3221" s="1063"/>
      <c r="AI3221" s="1063"/>
      <c r="AJ3221" s="1063"/>
      <c r="AK3221" s="1063"/>
      <c r="AL3221" s="1063"/>
      <c r="AM3221" s="1063"/>
      <c r="AN3221" s="1063"/>
      <c r="AO3221" s="1063"/>
      <c r="AP3221" s="1063"/>
      <c r="AQ3221" s="1063"/>
      <c r="AR3221" s="1063"/>
      <c r="AS3221" s="1063"/>
      <c r="AT3221" s="1063"/>
      <c r="AU3221" s="1063"/>
      <c r="AV3221" s="1063"/>
    </row>
    <row r="3222" spans="1:48" s="1108" customFormat="1" ht="27.75" customHeight="1">
      <c r="A3222" s="1076"/>
      <c r="B3222" s="1074">
        <f>+'[18]Bldg+Dev'!S4034</f>
        <v>0</v>
      </c>
      <c r="D3222" s="1063"/>
      <c r="F3222" s="1076"/>
      <c r="G3222" s="1063"/>
      <c r="H3222" s="1063"/>
      <c r="I3222" s="1063"/>
      <c r="J3222" s="1063"/>
      <c r="K3222" s="1063"/>
      <c r="L3222" s="1063"/>
      <c r="M3222" s="1063"/>
      <c r="N3222" s="1063"/>
      <c r="O3222" s="1063"/>
      <c r="P3222" s="1063"/>
      <c r="Q3222" s="1063"/>
      <c r="R3222" s="1063"/>
      <c r="S3222" s="1063"/>
      <c r="T3222" s="1063"/>
      <c r="U3222" s="1063"/>
      <c r="V3222" s="1063"/>
      <c r="W3222" s="1063"/>
      <c r="X3222" s="1063"/>
      <c r="Y3222" s="1063"/>
      <c r="Z3222" s="1063"/>
      <c r="AA3222" s="1063"/>
      <c r="AB3222" s="1063"/>
      <c r="AC3222" s="1063"/>
      <c r="AD3222" s="1063"/>
      <c r="AE3222" s="1063"/>
      <c r="AF3222" s="1063"/>
      <c r="AG3222" s="1063"/>
      <c r="AH3222" s="1063"/>
      <c r="AI3222" s="1063"/>
      <c r="AJ3222" s="1063"/>
      <c r="AK3222" s="1063"/>
      <c r="AL3222" s="1063"/>
      <c r="AM3222" s="1063"/>
      <c r="AN3222" s="1063"/>
      <c r="AO3222" s="1063"/>
      <c r="AP3222" s="1063"/>
      <c r="AQ3222" s="1063"/>
      <c r="AR3222" s="1063"/>
      <c r="AS3222" s="1063"/>
      <c r="AT3222" s="1063"/>
      <c r="AU3222" s="1063"/>
      <c r="AV3222" s="1063"/>
    </row>
    <row r="3223" spans="1:48" s="1108" customFormat="1" ht="27.75" customHeight="1">
      <c r="A3223" s="1076"/>
      <c r="B3223" s="1074">
        <f>+'[18]Bldg+Dev'!S4035</f>
        <v>0</v>
      </c>
      <c r="D3223" s="1063"/>
      <c r="F3223" s="1076"/>
      <c r="G3223" s="1063"/>
      <c r="H3223" s="1063"/>
      <c r="I3223" s="1063"/>
      <c r="J3223" s="1063"/>
      <c r="K3223" s="1063"/>
      <c r="L3223" s="1063"/>
      <c r="M3223" s="1063"/>
      <c r="N3223" s="1063"/>
      <c r="O3223" s="1063"/>
      <c r="P3223" s="1063"/>
      <c r="Q3223" s="1063"/>
      <c r="R3223" s="1063"/>
      <c r="S3223" s="1063"/>
      <c r="T3223" s="1063"/>
      <c r="U3223" s="1063"/>
      <c r="V3223" s="1063"/>
      <c r="W3223" s="1063"/>
      <c r="X3223" s="1063"/>
      <c r="Y3223" s="1063"/>
      <c r="Z3223" s="1063"/>
      <c r="AA3223" s="1063"/>
      <c r="AB3223" s="1063"/>
      <c r="AC3223" s="1063"/>
      <c r="AD3223" s="1063"/>
      <c r="AE3223" s="1063"/>
      <c r="AF3223" s="1063"/>
      <c r="AG3223" s="1063"/>
      <c r="AH3223" s="1063"/>
      <c r="AI3223" s="1063"/>
      <c r="AJ3223" s="1063"/>
      <c r="AK3223" s="1063"/>
      <c r="AL3223" s="1063"/>
      <c r="AM3223" s="1063"/>
      <c r="AN3223" s="1063"/>
      <c r="AO3223" s="1063"/>
      <c r="AP3223" s="1063"/>
      <c r="AQ3223" s="1063"/>
      <c r="AR3223" s="1063"/>
      <c r="AS3223" s="1063"/>
      <c r="AT3223" s="1063"/>
      <c r="AU3223" s="1063"/>
      <c r="AV3223" s="1063"/>
    </row>
    <row r="3224" spans="1:48" s="1108" customFormat="1" ht="27.75" customHeight="1">
      <c r="A3224" s="1076"/>
      <c r="B3224" s="1074">
        <f>+'[18]Bldg+Dev'!S4036</f>
        <v>0</v>
      </c>
      <c r="D3224" s="1063"/>
      <c r="F3224" s="1076"/>
      <c r="G3224" s="1063"/>
      <c r="H3224" s="1063"/>
      <c r="I3224" s="1063"/>
      <c r="J3224" s="1063"/>
      <c r="K3224" s="1063"/>
      <c r="L3224" s="1063"/>
      <c r="M3224" s="1063"/>
      <c r="N3224" s="1063"/>
      <c r="O3224" s="1063"/>
      <c r="P3224" s="1063"/>
      <c r="Q3224" s="1063"/>
      <c r="R3224" s="1063"/>
      <c r="S3224" s="1063"/>
      <c r="T3224" s="1063"/>
      <c r="U3224" s="1063"/>
      <c r="V3224" s="1063"/>
      <c r="W3224" s="1063"/>
      <c r="X3224" s="1063"/>
      <c r="Y3224" s="1063"/>
      <c r="Z3224" s="1063"/>
      <c r="AA3224" s="1063"/>
      <c r="AB3224" s="1063"/>
      <c r="AC3224" s="1063"/>
      <c r="AD3224" s="1063"/>
      <c r="AE3224" s="1063"/>
      <c r="AF3224" s="1063"/>
      <c r="AG3224" s="1063"/>
      <c r="AH3224" s="1063"/>
      <c r="AI3224" s="1063"/>
      <c r="AJ3224" s="1063"/>
      <c r="AK3224" s="1063"/>
      <c r="AL3224" s="1063"/>
      <c r="AM3224" s="1063"/>
      <c r="AN3224" s="1063"/>
      <c r="AO3224" s="1063"/>
      <c r="AP3224" s="1063"/>
      <c r="AQ3224" s="1063"/>
      <c r="AR3224" s="1063"/>
      <c r="AS3224" s="1063"/>
      <c r="AT3224" s="1063"/>
      <c r="AU3224" s="1063"/>
      <c r="AV3224" s="1063"/>
    </row>
    <row r="3225" spans="1:48" s="1108" customFormat="1" ht="27.75" customHeight="1">
      <c r="A3225" s="1076"/>
      <c r="B3225" s="1074">
        <f>+'[18]Bldg+Dev'!S4037</f>
        <v>0</v>
      </c>
      <c r="D3225" s="1063"/>
      <c r="F3225" s="1076"/>
      <c r="G3225" s="1063"/>
      <c r="H3225" s="1063"/>
      <c r="I3225" s="1063"/>
      <c r="J3225" s="1063"/>
      <c r="K3225" s="1063"/>
      <c r="L3225" s="1063"/>
      <c r="M3225" s="1063"/>
      <c r="N3225" s="1063"/>
      <c r="O3225" s="1063"/>
      <c r="P3225" s="1063"/>
      <c r="Q3225" s="1063"/>
      <c r="R3225" s="1063"/>
      <c r="S3225" s="1063"/>
      <c r="T3225" s="1063"/>
      <c r="U3225" s="1063"/>
      <c r="V3225" s="1063"/>
      <c r="W3225" s="1063"/>
      <c r="X3225" s="1063"/>
      <c r="Y3225" s="1063"/>
      <c r="Z3225" s="1063"/>
      <c r="AA3225" s="1063"/>
      <c r="AB3225" s="1063"/>
      <c r="AC3225" s="1063"/>
      <c r="AD3225" s="1063"/>
      <c r="AE3225" s="1063"/>
      <c r="AF3225" s="1063"/>
      <c r="AG3225" s="1063"/>
      <c r="AH3225" s="1063"/>
      <c r="AI3225" s="1063"/>
      <c r="AJ3225" s="1063"/>
      <c r="AK3225" s="1063"/>
      <c r="AL3225" s="1063"/>
      <c r="AM3225" s="1063"/>
      <c r="AN3225" s="1063"/>
      <c r="AO3225" s="1063"/>
      <c r="AP3225" s="1063"/>
      <c r="AQ3225" s="1063"/>
      <c r="AR3225" s="1063"/>
      <c r="AS3225" s="1063"/>
      <c r="AT3225" s="1063"/>
      <c r="AU3225" s="1063"/>
      <c r="AV3225" s="1063"/>
    </row>
    <row r="3226" spans="1:48" s="1108" customFormat="1" ht="27.75" customHeight="1">
      <c r="A3226" s="1076"/>
      <c r="B3226" s="1074">
        <f>+'[18]Bldg+Dev'!S4038</f>
        <v>0</v>
      </c>
      <c r="D3226" s="1063"/>
      <c r="F3226" s="1076"/>
      <c r="G3226" s="1063"/>
      <c r="H3226" s="1063"/>
      <c r="I3226" s="1063"/>
      <c r="J3226" s="1063"/>
      <c r="K3226" s="1063"/>
      <c r="L3226" s="1063"/>
      <c r="M3226" s="1063"/>
      <c r="N3226" s="1063"/>
      <c r="O3226" s="1063"/>
      <c r="P3226" s="1063"/>
      <c r="Q3226" s="1063"/>
      <c r="R3226" s="1063"/>
      <c r="S3226" s="1063"/>
      <c r="T3226" s="1063"/>
      <c r="U3226" s="1063"/>
      <c r="V3226" s="1063"/>
      <c r="W3226" s="1063"/>
      <c r="X3226" s="1063"/>
      <c r="Y3226" s="1063"/>
      <c r="Z3226" s="1063"/>
      <c r="AA3226" s="1063"/>
      <c r="AB3226" s="1063"/>
      <c r="AC3226" s="1063"/>
      <c r="AD3226" s="1063"/>
      <c r="AE3226" s="1063"/>
      <c r="AF3226" s="1063"/>
      <c r="AG3226" s="1063"/>
      <c r="AH3226" s="1063"/>
      <c r="AI3226" s="1063"/>
      <c r="AJ3226" s="1063"/>
      <c r="AK3226" s="1063"/>
      <c r="AL3226" s="1063"/>
      <c r="AM3226" s="1063"/>
      <c r="AN3226" s="1063"/>
      <c r="AO3226" s="1063"/>
      <c r="AP3226" s="1063"/>
      <c r="AQ3226" s="1063"/>
      <c r="AR3226" s="1063"/>
      <c r="AS3226" s="1063"/>
      <c r="AT3226" s="1063"/>
      <c r="AU3226" s="1063"/>
      <c r="AV3226" s="1063"/>
    </row>
    <row r="3227" spans="1:48" s="1108" customFormat="1" ht="27.75" customHeight="1">
      <c r="A3227" s="1076"/>
      <c r="B3227" s="1074">
        <f>+'[18]Bldg+Dev'!S4039</f>
        <v>0</v>
      </c>
      <c r="D3227" s="1063"/>
      <c r="F3227" s="1076"/>
      <c r="G3227" s="1063"/>
      <c r="H3227" s="1063"/>
      <c r="I3227" s="1063"/>
      <c r="J3227" s="1063"/>
      <c r="K3227" s="1063"/>
      <c r="L3227" s="1063"/>
      <c r="M3227" s="1063"/>
      <c r="N3227" s="1063"/>
      <c r="O3227" s="1063"/>
      <c r="P3227" s="1063"/>
      <c r="Q3227" s="1063"/>
      <c r="R3227" s="1063"/>
      <c r="S3227" s="1063"/>
      <c r="T3227" s="1063"/>
      <c r="U3227" s="1063"/>
      <c r="V3227" s="1063"/>
      <c r="W3227" s="1063"/>
      <c r="X3227" s="1063"/>
      <c r="Y3227" s="1063"/>
      <c r="Z3227" s="1063"/>
      <c r="AA3227" s="1063"/>
      <c r="AB3227" s="1063"/>
      <c r="AC3227" s="1063"/>
      <c r="AD3227" s="1063"/>
      <c r="AE3227" s="1063"/>
      <c r="AF3227" s="1063"/>
      <c r="AG3227" s="1063"/>
      <c r="AH3227" s="1063"/>
      <c r="AI3227" s="1063"/>
      <c r="AJ3227" s="1063"/>
      <c r="AK3227" s="1063"/>
      <c r="AL3227" s="1063"/>
      <c r="AM3227" s="1063"/>
      <c r="AN3227" s="1063"/>
      <c r="AO3227" s="1063"/>
      <c r="AP3227" s="1063"/>
      <c r="AQ3227" s="1063"/>
      <c r="AR3227" s="1063"/>
      <c r="AS3227" s="1063"/>
      <c r="AT3227" s="1063"/>
      <c r="AU3227" s="1063"/>
      <c r="AV3227" s="1063"/>
    </row>
    <row r="3228" spans="1:48" s="1108" customFormat="1" ht="27.75" customHeight="1">
      <c r="A3228" s="1076"/>
      <c r="B3228" s="1074">
        <f>+'[18]Bldg+Dev'!S4040</f>
        <v>0</v>
      </c>
      <c r="D3228" s="1063"/>
      <c r="F3228" s="1076"/>
      <c r="G3228" s="1063"/>
      <c r="H3228" s="1063"/>
      <c r="I3228" s="1063"/>
      <c r="J3228" s="1063"/>
      <c r="K3228" s="1063"/>
      <c r="L3228" s="1063"/>
      <c r="M3228" s="1063"/>
      <c r="N3228" s="1063"/>
      <c r="O3228" s="1063"/>
      <c r="P3228" s="1063"/>
      <c r="Q3228" s="1063"/>
      <c r="R3228" s="1063"/>
      <c r="S3228" s="1063"/>
      <c r="T3228" s="1063"/>
      <c r="U3228" s="1063"/>
      <c r="V3228" s="1063"/>
      <c r="W3228" s="1063"/>
      <c r="X3228" s="1063"/>
      <c r="Y3228" s="1063"/>
      <c r="Z3228" s="1063"/>
      <c r="AA3228" s="1063"/>
      <c r="AB3228" s="1063"/>
      <c r="AC3228" s="1063"/>
      <c r="AD3228" s="1063"/>
      <c r="AE3228" s="1063"/>
      <c r="AF3228" s="1063"/>
      <c r="AG3228" s="1063"/>
      <c r="AH3228" s="1063"/>
      <c r="AI3228" s="1063"/>
      <c r="AJ3228" s="1063"/>
      <c r="AK3228" s="1063"/>
      <c r="AL3228" s="1063"/>
      <c r="AM3228" s="1063"/>
      <c r="AN3228" s="1063"/>
      <c r="AO3228" s="1063"/>
      <c r="AP3228" s="1063"/>
      <c r="AQ3228" s="1063"/>
      <c r="AR3228" s="1063"/>
      <c r="AS3228" s="1063"/>
      <c r="AT3228" s="1063"/>
      <c r="AU3228" s="1063"/>
      <c r="AV3228" s="1063"/>
    </row>
    <row r="3229" spans="1:48" s="1108" customFormat="1" ht="27.75" customHeight="1">
      <c r="A3229" s="1076"/>
      <c r="B3229" s="1074">
        <f>+'[18]Bldg+Dev'!S4041</f>
        <v>0</v>
      </c>
      <c r="D3229" s="1063"/>
      <c r="F3229" s="1076"/>
      <c r="G3229" s="1063"/>
      <c r="H3229" s="1063"/>
      <c r="I3229" s="1063"/>
      <c r="J3229" s="1063"/>
      <c r="K3229" s="1063"/>
      <c r="L3229" s="1063"/>
      <c r="M3229" s="1063"/>
      <c r="N3229" s="1063"/>
      <c r="O3229" s="1063"/>
      <c r="P3229" s="1063"/>
      <c r="Q3229" s="1063"/>
      <c r="R3229" s="1063"/>
      <c r="S3229" s="1063"/>
      <c r="T3229" s="1063"/>
      <c r="U3229" s="1063"/>
      <c r="V3229" s="1063"/>
      <c r="W3229" s="1063"/>
      <c r="X3229" s="1063"/>
      <c r="Y3229" s="1063"/>
      <c r="Z3229" s="1063"/>
      <c r="AA3229" s="1063"/>
      <c r="AB3229" s="1063"/>
      <c r="AC3229" s="1063"/>
      <c r="AD3229" s="1063"/>
      <c r="AE3229" s="1063"/>
      <c r="AF3229" s="1063"/>
      <c r="AG3229" s="1063"/>
      <c r="AH3229" s="1063"/>
      <c r="AI3229" s="1063"/>
      <c r="AJ3229" s="1063"/>
      <c r="AK3229" s="1063"/>
      <c r="AL3229" s="1063"/>
      <c r="AM3229" s="1063"/>
      <c r="AN3229" s="1063"/>
      <c r="AO3229" s="1063"/>
      <c r="AP3229" s="1063"/>
      <c r="AQ3229" s="1063"/>
      <c r="AR3229" s="1063"/>
      <c r="AS3229" s="1063"/>
      <c r="AT3229" s="1063"/>
      <c r="AU3229" s="1063"/>
      <c r="AV3229" s="1063"/>
    </row>
    <row r="3230" spans="1:48" s="1108" customFormat="1" ht="27.75" customHeight="1">
      <c r="A3230" s="1076"/>
      <c r="B3230" s="1074">
        <f>+'[18]Bldg+Dev'!S4042</f>
        <v>0</v>
      </c>
      <c r="D3230" s="1063"/>
      <c r="F3230" s="1076"/>
      <c r="G3230" s="1063"/>
      <c r="H3230" s="1063"/>
      <c r="I3230" s="1063"/>
      <c r="J3230" s="1063"/>
      <c r="K3230" s="1063"/>
      <c r="L3230" s="1063"/>
      <c r="M3230" s="1063"/>
      <c r="N3230" s="1063"/>
      <c r="O3230" s="1063"/>
      <c r="P3230" s="1063"/>
      <c r="Q3230" s="1063"/>
      <c r="R3230" s="1063"/>
      <c r="S3230" s="1063"/>
      <c r="T3230" s="1063"/>
      <c r="U3230" s="1063"/>
      <c r="V3230" s="1063"/>
      <c r="W3230" s="1063"/>
      <c r="X3230" s="1063"/>
      <c r="Y3230" s="1063"/>
      <c r="Z3230" s="1063"/>
      <c r="AA3230" s="1063"/>
      <c r="AB3230" s="1063"/>
      <c r="AC3230" s="1063"/>
      <c r="AD3230" s="1063"/>
      <c r="AE3230" s="1063"/>
      <c r="AF3230" s="1063"/>
      <c r="AG3230" s="1063"/>
      <c r="AH3230" s="1063"/>
      <c r="AI3230" s="1063"/>
      <c r="AJ3230" s="1063"/>
      <c r="AK3230" s="1063"/>
      <c r="AL3230" s="1063"/>
      <c r="AM3230" s="1063"/>
      <c r="AN3230" s="1063"/>
      <c r="AO3230" s="1063"/>
      <c r="AP3230" s="1063"/>
      <c r="AQ3230" s="1063"/>
      <c r="AR3230" s="1063"/>
      <c r="AS3230" s="1063"/>
      <c r="AT3230" s="1063"/>
      <c r="AU3230" s="1063"/>
      <c r="AV3230" s="1063"/>
    </row>
    <row r="3231" spans="1:48" s="1108" customFormat="1" ht="27.75" customHeight="1">
      <c r="A3231" s="1076"/>
      <c r="B3231" s="1074">
        <f>+'[18]Bldg+Dev'!S4043</f>
        <v>0</v>
      </c>
      <c r="D3231" s="1063"/>
      <c r="F3231" s="1076"/>
      <c r="G3231" s="1063"/>
      <c r="H3231" s="1063"/>
      <c r="I3231" s="1063"/>
      <c r="J3231" s="1063"/>
      <c r="K3231" s="1063"/>
      <c r="L3231" s="1063"/>
      <c r="M3231" s="1063"/>
      <c r="N3231" s="1063"/>
      <c r="O3231" s="1063"/>
      <c r="P3231" s="1063"/>
      <c r="Q3231" s="1063"/>
      <c r="R3231" s="1063"/>
      <c r="S3231" s="1063"/>
      <c r="T3231" s="1063"/>
      <c r="U3231" s="1063"/>
      <c r="V3231" s="1063"/>
      <c r="W3231" s="1063"/>
      <c r="X3231" s="1063"/>
      <c r="Y3231" s="1063"/>
      <c r="Z3231" s="1063"/>
      <c r="AA3231" s="1063"/>
      <c r="AB3231" s="1063"/>
      <c r="AC3231" s="1063"/>
      <c r="AD3231" s="1063"/>
      <c r="AE3231" s="1063"/>
      <c r="AF3231" s="1063"/>
      <c r="AG3231" s="1063"/>
      <c r="AH3231" s="1063"/>
      <c r="AI3231" s="1063"/>
      <c r="AJ3231" s="1063"/>
      <c r="AK3231" s="1063"/>
      <c r="AL3231" s="1063"/>
      <c r="AM3231" s="1063"/>
      <c r="AN3231" s="1063"/>
      <c r="AO3231" s="1063"/>
      <c r="AP3231" s="1063"/>
      <c r="AQ3231" s="1063"/>
      <c r="AR3231" s="1063"/>
      <c r="AS3231" s="1063"/>
      <c r="AT3231" s="1063"/>
      <c r="AU3231" s="1063"/>
      <c r="AV3231" s="1063"/>
    </row>
    <row r="3232" spans="1:48" s="1108" customFormat="1" ht="27.75" customHeight="1">
      <c r="A3232" s="1076"/>
      <c r="B3232" s="1074">
        <f>+'[18]Bldg+Dev'!S4044</f>
        <v>0</v>
      </c>
      <c r="D3232" s="1063"/>
      <c r="F3232" s="1076"/>
      <c r="G3232" s="1063"/>
      <c r="H3232" s="1063"/>
      <c r="I3232" s="1063"/>
      <c r="J3232" s="1063"/>
      <c r="K3232" s="1063"/>
      <c r="L3232" s="1063"/>
      <c r="M3232" s="1063"/>
      <c r="N3232" s="1063"/>
      <c r="O3232" s="1063"/>
      <c r="P3232" s="1063"/>
      <c r="Q3232" s="1063"/>
      <c r="R3232" s="1063"/>
      <c r="S3232" s="1063"/>
      <c r="T3232" s="1063"/>
      <c r="U3232" s="1063"/>
      <c r="V3232" s="1063"/>
      <c r="W3232" s="1063"/>
      <c r="X3232" s="1063"/>
      <c r="Y3232" s="1063"/>
      <c r="Z3232" s="1063"/>
      <c r="AA3232" s="1063"/>
      <c r="AB3232" s="1063"/>
      <c r="AC3232" s="1063"/>
      <c r="AD3232" s="1063"/>
      <c r="AE3232" s="1063"/>
      <c r="AF3232" s="1063"/>
      <c r="AG3232" s="1063"/>
      <c r="AH3232" s="1063"/>
      <c r="AI3232" s="1063"/>
      <c r="AJ3232" s="1063"/>
      <c r="AK3232" s="1063"/>
      <c r="AL3232" s="1063"/>
      <c r="AM3232" s="1063"/>
      <c r="AN3232" s="1063"/>
      <c r="AO3232" s="1063"/>
      <c r="AP3232" s="1063"/>
      <c r="AQ3232" s="1063"/>
      <c r="AR3232" s="1063"/>
      <c r="AS3232" s="1063"/>
      <c r="AT3232" s="1063"/>
      <c r="AU3232" s="1063"/>
      <c r="AV3232" s="1063"/>
    </row>
    <row r="3233" spans="1:48" s="1108" customFormat="1" ht="27.75" customHeight="1">
      <c r="A3233" s="1076"/>
      <c r="B3233" s="1074">
        <f>+'[18]Bldg+Dev'!S4045</f>
        <v>0</v>
      </c>
      <c r="D3233" s="1063"/>
      <c r="F3233" s="1076"/>
      <c r="G3233" s="1063"/>
      <c r="H3233" s="1063"/>
      <c r="I3233" s="1063"/>
      <c r="J3233" s="1063"/>
      <c r="K3233" s="1063"/>
      <c r="L3233" s="1063"/>
      <c r="M3233" s="1063"/>
      <c r="N3233" s="1063"/>
      <c r="O3233" s="1063"/>
      <c r="P3233" s="1063"/>
      <c r="Q3233" s="1063"/>
      <c r="R3233" s="1063"/>
      <c r="S3233" s="1063"/>
      <c r="T3233" s="1063"/>
      <c r="U3233" s="1063"/>
      <c r="V3233" s="1063"/>
      <c r="W3233" s="1063"/>
      <c r="X3233" s="1063"/>
      <c r="Y3233" s="1063"/>
      <c r="Z3233" s="1063"/>
      <c r="AA3233" s="1063"/>
      <c r="AB3233" s="1063"/>
      <c r="AC3233" s="1063"/>
      <c r="AD3233" s="1063"/>
      <c r="AE3233" s="1063"/>
      <c r="AF3233" s="1063"/>
      <c r="AG3233" s="1063"/>
      <c r="AH3233" s="1063"/>
      <c r="AI3233" s="1063"/>
      <c r="AJ3233" s="1063"/>
      <c r="AK3233" s="1063"/>
      <c r="AL3233" s="1063"/>
      <c r="AM3233" s="1063"/>
      <c r="AN3233" s="1063"/>
      <c r="AO3233" s="1063"/>
      <c r="AP3233" s="1063"/>
      <c r="AQ3233" s="1063"/>
      <c r="AR3233" s="1063"/>
      <c r="AS3233" s="1063"/>
      <c r="AT3233" s="1063"/>
      <c r="AU3233" s="1063"/>
      <c r="AV3233" s="1063"/>
    </row>
    <row r="3234" spans="1:48" s="1108" customFormat="1" ht="27.75" customHeight="1">
      <c r="A3234" s="1076"/>
      <c r="B3234" s="1074">
        <f>+'[18]Bldg+Dev'!S4046</f>
        <v>0</v>
      </c>
      <c r="D3234" s="1063"/>
      <c r="F3234" s="1076"/>
      <c r="G3234" s="1063"/>
      <c r="H3234" s="1063"/>
      <c r="I3234" s="1063"/>
      <c r="J3234" s="1063"/>
      <c r="K3234" s="1063"/>
      <c r="L3234" s="1063"/>
      <c r="M3234" s="1063"/>
      <c r="N3234" s="1063"/>
      <c r="O3234" s="1063"/>
      <c r="P3234" s="1063"/>
      <c r="Q3234" s="1063"/>
      <c r="R3234" s="1063"/>
      <c r="S3234" s="1063"/>
      <c r="T3234" s="1063"/>
      <c r="U3234" s="1063"/>
      <c r="V3234" s="1063"/>
      <c r="W3234" s="1063"/>
      <c r="X3234" s="1063"/>
      <c r="Y3234" s="1063"/>
      <c r="Z3234" s="1063"/>
      <c r="AA3234" s="1063"/>
      <c r="AB3234" s="1063"/>
      <c r="AC3234" s="1063"/>
      <c r="AD3234" s="1063"/>
      <c r="AE3234" s="1063"/>
      <c r="AF3234" s="1063"/>
      <c r="AG3234" s="1063"/>
      <c r="AH3234" s="1063"/>
      <c r="AI3234" s="1063"/>
      <c r="AJ3234" s="1063"/>
      <c r="AK3234" s="1063"/>
      <c r="AL3234" s="1063"/>
      <c r="AM3234" s="1063"/>
      <c r="AN3234" s="1063"/>
      <c r="AO3234" s="1063"/>
      <c r="AP3234" s="1063"/>
      <c r="AQ3234" s="1063"/>
      <c r="AR3234" s="1063"/>
      <c r="AS3234" s="1063"/>
      <c r="AT3234" s="1063"/>
      <c r="AU3234" s="1063"/>
      <c r="AV3234" s="1063"/>
    </row>
    <row r="3235" spans="1:48" s="1108" customFormat="1" ht="27.75" customHeight="1">
      <c r="A3235" s="1076"/>
      <c r="B3235" s="1074">
        <f>+'[18]Bldg+Dev'!S4047</f>
        <v>0</v>
      </c>
      <c r="D3235" s="1063"/>
      <c r="F3235" s="1076"/>
      <c r="G3235" s="1063"/>
      <c r="H3235" s="1063"/>
      <c r="I3235" s="1063"/>
      <c r="J3235" s="1063"/>
      <c r="K3235" s="1063"/>
      <c r="L3235" s="1063"/>
      <c r="M3235" s="1063"/>
      <c r="N3235" s="1063"/>
      <c r="O3235" s="1063"/>
      <c r="P3235" s="1063"/>
      <c r="Q3235" s="1063"/>
      <c r="R3235" s="1063"/>
      <c r="S3235" s="1063"/>
      <c r="T3235" s="1063"/>
      <c r="U3235" s="1063"/>
      <c r="V3235" s="1063"/>
      <c r="W3235" s="1063"/>
      <c r="X3235" s="1063"/>
      <c r="Y3235" s="1063"/>
      <c r="Z3235" s="1063"/>
      <c r="AA3235" s="1063"/>
      <c r="AB3235" s="1063"/>
      <c r="AC3235" s="1063"/>
      <c r="AD3235" s="1063"/>
      <c r="AE3235" s="1063"/>
      <c r="AF3235" s="1063"/>
      <c r="AG3235" s="1063"/>
      <c r="AH3235" s="1063"/>
      <c r="AI3235" s="1063"/>
      <c r="AJ3235" s="1063"/>
      <c r="AK3235" s="1063"/>
      <c r="AL3235" s="1063"/>
      <c r="AM3235" s="1063"/>
      <c r="AN3235" s="1063"/>
      <c r="AO3235" s="1063"/>
      <c r="AP3235" s="1063"/>
      <c r="AQ3235" s="1063"/>
      <c r="AR3235" s="1063"/>
      <c r="AS3235" s="1063"/>
      <c r="AT3235" s="1063"/>
      <c r="AU3235" s="1063"/>
      <c r="AV3235" s="1063"/>
    </row>
    <row r="3236" spans="1:48" s="1108" customFormat="1" ht="27.75" customHeight="1">
      <c r="A3236" s="1076"/>
      <c r="B3236" s="1074">
        <f>+'[18]Bldg+Dev'!S4048</f>
        <v>0</v>
      </c>
      <c r="D3236" s="1063"/>
      <c r="F3236" s="1076"/>
      <c r="G3236" s="1063"/>
      <c r="H3236" s="1063"/>
      <c r="I3236" s="1063"/>
      <c r="J3236" s="1063"/>
      <c r="K3236" s="1063"/>
      <c r="L3236" s="1063"/>
      <c r="M3236" s="1063"/>
      <c r="N3236" s="1063"/>
      <c r="O3236" s="1063"/>
      <c r="P3236" s="1063"/>
      <c r="Q3236" s="1063"/>
      <c r="R3236" s="1063"/>
      <c r="S3236" s="1063"/>
      <c r="T3236" s="1063"/>
      <c r="U3236" s="1063"/>
      <c r="V3236" s="1063"/>
      <c r="W3236" s="1063"/>
      <c r="X3236" s="1063"/>
      <c r="Y3236" s="1063"/>
      <c r="Z3236" s="1063"/>
      <c r="AA3236" s="1063"/>
      <c r="AB3236" s="1063"/>
      <c r="AC3236" s="1063"/>
      <c r="AD3236" s="1063"/>
      <c r="AE3236" s="1063"/>
      <c r="AF3236" s="1063"/>
      <c r="AG3236" s="1063"/>
      <c r="AH3236" s="1063"/>
      <c r="AI3236" s="1063"/>
      <c r="AJ3236" s="1063"/>
      <c r="AK3236" s="1063"/>
      <c r="AL3236" s="1063"/>
      <c r="AM3236" s="1063"/>
      <c r="AN3236" s="1063"/>
      <c r="AO3236" s="1063"/>
      <c r="AP3236" s="1063"/>
      <c r="AQ3236" s="1063"/>
      <c r="AR3236" s="1063"/>
      <c r="AS3236" s="1063"/>
      <c r="AT3236" s="1063"/>
      <c r="AU3236" s="1063"/>
      <c r="AV3236" s="1063"/>
    </row>
    <row r="3237" spans="1:48" s="1108" customFormat="1" ht="27.75" customHeight="1">
      <c r="A3237" s="1076"/>
      <c r="B3237" s="1074">
        <f>+'[18]Bldg+Dev'!S4049</f>
        <v>0</v>
      </c>
      <c r="D3237" s="1063"/>
      <c r="F3237" s="1076"/>
      <c r="G3237" s="1063"/>
      <c r="H3237" s="1063"/>
      <c r="I3237" s="1063"/>
      <c r="J3237" s="1063"/>
      <c r="K3237" s="1063"/>
      <c r="L3237" s="1063"/>
      <c r="M3237" s="1063"/>
      <c r="N3237" s="1063"/>
      <c r="O3237" s="1063"/>
      <c r="P3237" s="1063"/>
      <c r="Q3237" s="1063"/>
      <c r="R3237" s="1063"/>
      <c r="S3237" s="1063"/>
      <c r="T3237" s="1063"/>
      <c r="U3237" s="1063"/>
      <c r="V3237" s="1063"/>
      <c r="W3237" s="1063"/>
      <c r="X3237" s="1063"/>
      <c r="Y3237" s="1063"/>
      <c r="Z3237" s="1063"/>
      <c r="AA3237" s="1063"/>
      <c r="AB3237" s="1063"/>
      <c r="AC3237" s="1063"/>
      <c r="AD3237" s="1063"/>
      <c r="AE3237" s="1063"/>
      <c r="AF3237" s="1063"/>
      <c r="AG3237" s="1063"/>
      <c r="AH3237" s="1063"/>
      <c r="AI3237" s="1063"/>
      <c r="AJ3237" s="1063"/>
      <c r="AK3237" s="1063"/>
      <c r="AL3237" s="1063"/>
      <c r="AM3237" s="1063"/>
      <c r="AN3237" s="1063"/>
      <c r="AO3237" s="1063"/>
      <c r="AP3237" s="1063"/>
      <c r="AQ3237" s="1063"/>
      <c r="AR3237" s="1063"/>
      <c r="AS3237" s="1063"/>
      <c r="AT3237" s="1063"/>
      <c r="AU3237" s="1063"/>
      <c r="AV3237" s="1063"/>
    </row>
    <row r="3238" spans="1:48" s="1108" customFormat="1" ht="27.75" customHeight="1">
      <c r="A3238" s="1076"/>
      <c r="B3238" s="1074">
        <f>+'[18]Bldg+Dev'!S4050</f>
        <v>0</v>
      </c>
      <c r="D3238" s="1063"/>
      <c r="F3238" s="1076"/>
      <c r="G3238" s="1063"/>
      <c r="H3238" s="1063"/>
      <c r="I3238" s="1063"/>
      <c r="J3238" s="1063"/>
      <c r="K3238" s="1063"/>
      <c r="L3238" s="1063"/>
      <c r="M3238" s="1063"/>
      <c r="N3238" s="1063"/>
      <c r="O3238" s="1063"/>
      <c r="P3238" s="1063"/>
      <c r="Q3238" s="1063"/>
      <c r="R3238" s="1063"/>
      <c r="S3238" s="1063"/>
      <c r="T3238" s="1063"/>
      <c r="U3238" s="1063"/>
      <c r="V3238" s="1063"/>
      <c r="W3238" s="1063"/>
      <c r="X3238" s="1063"/>
      <c r="Y3238" s="1063"/>
      <c r="Z3238" s="1063"/>
      <c r="AA3238" s="1063"/>
      <c r="AB3238" s="1063"/>
      <c r="AC3238" s="1063"/>
      <c r="AD3238" s="1063"/>
      <c r="AE3238" s="1063"/>
      <c r="AF3238" s="1063"/>
      <c r="AG3238" s="1063"/>
      <c r="AH3238" s="1063"/>
      <c r="AI3238" s="1063"/>
      <c r="AJ3238" s="1063"/>
      <c r="AK3238" s="1063"/>
      <c r="AL3238" s="1063"/>
      <c r="AM3238" s="1063"/>
      <c r="AN3238" s="1063"/>
      <c r="AO3238" s="1063"/>
      <c r="AP3238" s="1063"/>
      <c r="AQ3238" s="1063"/>
      <c r="AR3238" s="1063"/>
      <c r="AS3238" s="1063"/>
      <c r="AT3238" s="1063"/>
      <c r="AU3238" s="1063"/>
      <c r="AV3238" s="1063"/>
    </row>
    <row r="3239" spans="1:48" s="1108" customFormat="1" ht="27.75" customHeight="1">
      <c r="A3239" s="1076"/>
      <c r="B3239" s="1074">
        <f>+'[18]Bldg+Dev'!S4051</f>
        <v>0</v>
      </c>
      <c r="D3239" s="1063"/>
      <c r="F3239" s="1076"/>
      <c r="G3239" s="1063"/>
      <c r="H3239" s="1063"/>
      <c r="I3239" s="1063"/>
      <c r="J3239" s="1063"/>
      <c r="K3239" s="1063"/>
      <c r="L3239" s="1063"/>
      <c r="M3239" s="1063"/>
      <c r="N3239" s="1063"/>
      <c r="O3239" s="1063"/>
      <c r="P3239" s="1063"/>
      <c r="Q3239" s="1063"/>
      <c r="R3239" s="1063"/>
      <c r="S3239" s="1063"/>
      <c r="T3239" s="1063"/>
      <c r="U3239" s="1063"/>
      <c r="V3239" s="1063"/>
      <c r="W3239" s="1063"/>
      <c r="X3239" s="1063"/>
      <c r="Y3239" s="1063"/>
      <c r="Z3239" s="1063"/>
      <c r="AA3239" s="1063"/>
      <c r="AB3239" s="1063"/>
      <c r="AC3239" s="1063"/>
      <c r="AD3239" s="1063"/>
      <c r="AE3239" s="1063"/>
      <c r="AF3239" s="1063"/>
      <c r="AG3239" s="1063"/>
      <c r="AH3239" s="1063"/>
      <c r="AI3239" s="1063"/>
      <c r="AJ3239" s="1063"/>
      <c r="AK3239" s="1063"/>
      <c r="AL3239" s="1063"/>
      <c r="AM3239" s="1063"/>
      <c r="AN3239" s="1063"/>
      <c r="AO3239" s="1063"/>
      <c r="AP3239" s="1063"/>
      <c r="AQ3239" s="1063"/>
      <c r="AR3239" s="1063"/>
      <c r="AS3239" s="1063"/>
      <c r="AT3239" s="1063"/>
      <c r="AU3239" s="1063"/>
      <c r="AV3239" s="1063"/>
    </row>
    <row r="3240" spans="1:48" s="1108" customFormat="1" ht="27.75" customHeight="1">
      <c r="A3240" s="1076"/>
      <c r="B3240" s="1074">
        <f>+'[18]Bldg+Dev'!S4052</f>
        <v>0</v>
      </c>
      <c r="D3240" s="1063"/>
      <c r="F3240" s="1076"/>
      <c r="G3240" s="1063"/>
      <c r="H3240" s="1063"/>
      <c r="I3240" s="1063"/>
      <c r="J3240" s="1063"/>
      <c r="K3240" s="1063"/>
      <c r="L3240" s="1063"/>
      <c r="M3240" s="1063"/>
      <c r="N3240" s="1063"/>
      <c r="O3240" s="1063"/>
      <c r="P3240" s="1063"/>
      <c r="Q3240" s="1063"/>
      <c r="R3240" s="1063"/>
      <c r="S3240" s="1063"/>
      <c r="T3240" s="1063"/>
      <c r="U3240" s="1063"/>
      <c r="V3240" s="1063"/>
      <c r="W3240" s="1063"/>
      <c r="X3240" s="1063"/>
      <c r="Y3240" s="1063"/>
      <c r="Z3240" s="1063"/>
      <c r="AA3240" s="1063"/>
      <c r="AB3240" s="1063"/>
      <c r="AC3240" s="1063"/>
      <c r="AD3240" s="1063"/>
      <c r="AE3240" s="1063"/>
      <c r="AF3240" s="1063"/>
      <c r="AG3240" s="1063"/>
      <c r="AH3240" s="1063"/>
      <c r="AI3240" s="1063"/>
      <c r="AJ3240" s="1063"/>
      <c r="AK3240" s="1063"/>
      <c r="AL3240" s="1063"/>
      <c r="AM3240" s="1063"/>
      <c r="AN3240" s="1063"/>
      <c r="AO3240" s="1063"/>
      <c r="AP3240" s="1063"/>
      <c r="AQ3240" s="1063"/>
      <c r="AR3240" s="1063"/>
      <c r="AS3240" s="1063"/>
      <c r="AT3240" s="1063"/>
      <c r="AU3240" s="1063"/>
      <c r="AV3240" s="1063"/>
    </row>
    <row r="3241" spans="1:48" s="1108" customFormat="1" ht="27.75" customHeight="1">
      <c r="A3241" s="1076"/>
      <c r="B3241" s="1074">
        <f>+'[18]Bldg+Dev'!S4053</f>
        <v>0</v>
      </c>
      <c r="D3241" s="1063"/>
      <c r="F3241" s="1076"/>
      <c r="G3241" s="1063"/>
      <c r="H3241" s="1063"/>
      <c r="I3241" s="1063"/>
      <c r="J3241" s="1063"/>
      <c r="K3241" s="1063"/>
      <c r="L3241" s="1063"/>
      <c r="M3241" s="1063"/>
      <c r="N3241" s="1063"/>
      <c r="O3241" s="1063"/>
      <c r="P3241" s="1063"/>
      <c r="Q3241" s="1063"/>
      <c r="R3241" s="1063"/>
      <c r="S3241" s="1063"/>
      <c r="T3241" s="1063"/>
      <c r="U3241" s="1063"/>
      <c r="V3241" s="1063"/>
      <c r="W3241" s="1063"/>
      <c r="X3241" s="1063"/>
      <c r="Y3241" s="1063"/>
      <c r="Z3241" s="1063"/>
      <c r="AA3241" s="1063"/>
      <c r="AB3241" s="1063"/>
      <c r="AC3241" s="1063"/>
      <c r="AD3241" s="1063"/>
      <c r="AE3241" s="1063"/>
      <c r="AF3241" s="1063"/>
      <c r="AG3241" s="1063"/>
      <c r="AH3241" s="1063"/>
      <c r="AI3241" s="1063"/>
      <c r="AJ3241" s="1063"/>
      <c r="AK3241" s="1063"/>
      <c r="AL3241" s="1063"/>
      <c r="AM3241" s="1063"/>
      <c r="AN3241" s="1063"/>
      <c r="AO3241" s="1063"/>
      <c r="AP3241" s="1063"/>
      <c r="AQ3241" s="1063"/>
      <c r="AR3241" s="1063"/>
      <c r="AS3241" s="1063"/>
      <c r="AT3241" s="1063"/>
      <c r="AU3241" s="1063"/>
      <c r="AV3241" s="1063"/>
    </row>
    <row r="3242" spans="1:48" s="1108" customFormat="1" ht="27.75" customHeight="1">
      <c r="A3242" s="1076"/>
      <c r="B3242" s="1074">
        <f>+'[18]Bldg+Dev'!S4054</f>
        <v>0</v>
      </c>
      <c r="D3242" s="1063"/>
      <c r="F3242" s="1076"/>
      <c r="G3242" s="1063"/>
      <c r="H3242" s="1063"/>
      <c r="I3242" s="1063"/>
      <c r="J3242" s="1063"/>
      <c r="K3242" s="1063"/>
      <c r="L3242" s="1063"/>
      <c r="M3242" s="1063"/>
      <c r="N3242" s="1063"/>
      <c r="O3242" s="1063"/>
      <c r="P3242" s="1063"/>
      <c r="Q3242" s="1063"/>
      <c r="R3242" s="1063"/>
      <c r="S3242" s="1063"/>
      <c r="T3242" s="1063"/>
      <c r="U3242" s="1063"/>
      <c r="V3242" s="1063"/>
      <c r="W3242" s="1063"/>
      <c r="X3242" s="1063"/>
      <c r="Y3242" s="1063"/>
      <c r="Z3242" s="1063"/>
      <c r="AA3242" s="1063"/>
      <c r="AB3242" s="1063"/>
      <c r="AC3242" s="1063"/>
      <c r="AD3242" s="1063"/>
      <c r="AE3242" s="1063"/>
      <c r="AF3242" s="1063"/>
      <c r="AG3242" s="1063"/>
      <c r="AH3242" s="1063"/>
      <c r="AI3242" s="1063"/>
      <c r="AJ3242" s="1063"/>
      <c r="AK3242" s="1063"/>
      <c r="AL3242" s="1063"/>
      <c r="AM3242" s="1063"/>
      <c r="AN3242" s="1063"/>
      <c r="AO3242" s="1063"/>
      <c r="AP3242" s="1063"/>
      <c r="AQ3242" s="1063"/>
      <c r="AR3242" s="1063"/>
      <c r="AS3242" s="1063"/>
      <c r="AT3242" s="1063"/>
      <c r="AU3242" s="1063"/>
      <c r="AV3242" s="1063"/>
    </row>
    <row r="3243" spans="1:48" s="1108" customFormat="1" ht="27.75" customHeight="1">
      <c r="A3243" s="1076"/>
      <c r="B3243" s="1074">
        <f>+'[18]Bldg+Dev'!S4055</f>
        <v>0</v>
      </c>
      <c r="D3243" s="1063"/>
      <c r="F3243" s="1076"/>
      <c r="G3243" s="1063"/>
      <c r="H3243" s="1063"/>
      <c r="I3243" s="1063"/>
      <c r="J3243" s="1063"/>
      <c r="K3243" s="1063"/>
      <c r="L3243" s="1063"/>
      <c r="M3243" s="1063"/>
      <c r="N3243" s="1063"/>
      <c r="O3243" s="1063"/>
      <c r="P3243" s="1063"/>
      <c r="Q3243" s="1063"/>
      <c r="R3243" s="1063"/>
      <c r="S3243" s="1063"/>
      <c r="T3243" s="1063"/>
      <c r="U3243" s="1063"/>
      <c r="V3243" s="1063"/>
      <c r="W3243" s="1063"/>
      <c r="X3243" s="1063"/>
      <c r="Y3243" s="1063"/>
      <c r="Z3243" s="1063"/>
      <c r="AA3243" s="1063"/>
      <c r="AB3243" s="1063"/>
      <c r="AC3243" s="1063"/>
      <c r="AD3243" s="1063"/>
      <c r="AE3243" s="1063"/>
      <c r="AF3243" s="1063"/>
      <c r="AG3243" s="1063"/>
      <c r="AH3243" s="1063"/>
      <c r="AI3243" s="1063"/>
      <c r="AJ3243" s="1063"/>
      <c r="AK3243" s="1063"/>
      <c r="AL3243" s="1063"/>
      <c r="AM3243" s="1063"/>
      <c r="AN3243" s="1063"/>
      <c r="AO3243" s="1063"/>
      <c r="AP3243" s="1063"/>
      <c r="AQ3243" s="1063"/>
      <c r="AR3243" s="1063"/>
      <c r="AS3243" s="1063"/>
      <c r="AT3243" s="1063"/>
      <c r="AU3243" s="1063"/>
      <c r="AV3243" s="1063"/>
    </row>
    <row r="3244" spans="1:48" s="1108" customFormat="1" ht="27.75" customHeight="1">
      <c r="A3244" s="1076"/>
      <c r="B3244" s="1074">
        <f>+'[18]Bldg+Dev'!S4056</f>
        <v>0</v>
      </c>
      <c r="D3244" s="1063"/>
      <c r="F3244" s="1076"/>
      <c r="G3244" s="1063"/>
      <c r="H3244" s="1063"/>
      <c r="I3244" s="1063"/>
      <c r="J3244" s="1063"/>
      <c r="K3244" s="1063"/>
      <c r="L3244" s="1063"/>
      <c r="M3244" s="1063"/>
      <c r="N3244" s="1063"/>
      <c r="O3244" s="1063"/>
      <c r="P3244" s="1063"/>
      <c r="Q3244" s="1063"/>
      <c r="R3244" s="1063"/>
      <c r="S3244" s="1063"/>
      <c r="T3244" s="1063"/>
      <c r="U3244" s="1063"/>
      <c r="V3244" s="1063"/>
      <c r="W3244" s="1063"/>
      <c r="X3244" s="1063"/>
      <c r="Y3244" s="1063"/>
      <c r="Z3244" s="1063"/>
      <c r="AA3244" s="1063"/>
      <c r="AB3244" s="1063"/>
      <c r="AC3244" s="1063"/>
      <c r="AD3244" s="1063"/>
      <c r="AE3244" s="1063"/>
      <c r="AF3244" s="1063"/>
      <c r="AG3244" s="1063"/>
      <c r="AH3244" s="1063"/>
      <c r="AI3244" s="1063"/>
      <c r="AJ3244" s="1063"/>
      <c r="AK3244" s="1063"/>
      <c r="AL3244" s="1063"/>
      <c r="AM3244" s="1063"/>
      <c r="AN3244" s="1063"/>
      <c r="AO3244" s="1063"/>
      <c r="AP3244" s="1063"/>
      <c r="AQ3244" s="1063"/>
      <c r="AR3244" s="1063"/>
      <c r="AS3244" s="1063"/>
      <c r="AT3244" s="1063"/>
      <c r="AU3244" s="1063"/>
      <c r="AV3244" s="1063"/>
    </row>
    <row r="3245" spans="1:48" s="1108" customFormat="1" ht="27.75" customHeight="1">
      <c r="A3245" s="1076"/>
      <c r="B3245" s="1074">
        <f>+'[18]Bldg+Dev'!S4057</f>
        <v>0</v>
      </c>
      <c r="D3245" s="1063"/>
      <c r="F3245" s="1076"/>
      <c r="G3245" s="1063"/>
      <c r="H3245" s="1063"/>
      <c r="I3245" s="1063"/>
      <c r="J3245" s="1063"/>
      <c r="K3245" s="1063"/>
      <c r="L3245" s="1063"/>
      <c r="M3245" s="1063"/>
      <c r="N3245" s="1063"/>
      <c r="O3245" s="1063"/>
      <c r="P3245" s="1063"/>
      <c r="Q3245" s="1063"/>
      <c r="R3245" s="1063"/>
      <c r="S3245" s="1063"/>
      <c r="T3245" s="1063"/>
      <c r="U3245" s="1063"/>
      <c r="V3245" s="1063"/>
      <c r="W3245" s="1063"/>
      <c r="X3245" s="1063"/>
      <c r="Y3245" s="1063"/>
      <c r="Z3245" s="1063"/>
      <c r="AA3245" s="1063"/>
      <c r="AB3245" s="1063"/>
      <c r="AC3245" s="1063"/>
      <c r="AD3245" s="1063"/>
      <c r="AE3245" s="1063"/>
      <c r="AF3245" s="1063"/>
      <c r="AG3245" s="1063"/>
      <c r="AH3245" s="1063"/>
      <c r="AI3245" s="1063"/>
      <c r="AJ3245" s="1063"/>
      <c r="AK3245" s="1063"/>
      <c r="AL3245" s="1063"/>
      <c r="AM3245" s="1063"/>
      <c r="AN3245" s="1063"/>
      <c r="AO3245" s="1063"/>
      <c r="AP3245" s="1063"/>
      <c r="AQ3245" s="1063"/>
      <c r="AR3245" s="1063"/>
      <c r="AS3245" s="1063"/>
      <c r="AT3245" s="1063"/>
      <c r="AU3245" s="1063"/>
      <c r="AV3245" s="1063"/>
    </row>
    <row r="3246" spans="1:48" s="1108" customFormat="1" ht="27.75" customHeight="1">
      <c r="A3246" s="1076"/>
      <c r="B3246" s="1074">
        <f>+'[18]Bldg+Dev'!S4058</f>
        <v>0</v>
      </c>
      <c r="D3246" s="1063"/>
      <c r="F3246" s="1076"/>
      <c r="G3246" s="1063"/>
      <c r="H3246" s="1063"/>
      <c r="I3246" s="1063"/>
      <c r="J3246" s="1063"/>
      <c r="K3246" s="1063"/>
      <c r="L3246" s="1063"/>
      <c r="M3246" s="1063"/>
      <c r="N3246" s="1063"/>
      <c r="O3246" s="1063"/>
      <c r="P3246" s="1063"/>
      <c r="Q3246" s="1063"/>
      <c r="R3246" s="1063"/>
      <c r="S3246" s="1063"/>
      <c r="T3246" s="1063"/>
      <c r="U3246" s="1063"/>
      <c r="V3246" s="1063"/>
      <c r="W3246" s="1063"/>
      <c r="X3246" s="1063"/>
      <c r="Y3246" s="1063"/>
      <c r="Z3246" s="1063"/>
      <c r="AA3246" s="1063"/>
      <c r="AB3246" s="1063"/>
      <c r="AC3246" s="1063"/>
      <c r="AD3246" s="1063"/>
      <c r="AE3246" s="1063"/>
      <c r="AF3246" s="1063"/>
      <c r="AG3246" s="1063"/>
      <c r="AH3246" s="1063"/>
      <c r="AI3246" s="1063"/>
      <c r="AJ3246" s="1063"/>
      <c r="AK3246" s="1063"/>
      <c r="AL3246" s="1063"/>
      <c r="AM3246" s="1063"/>
      <c r="AN3246" s="1063"/>
      <c r="AO3246" s="1063"/>
      <c r="AP3246" s="1063"/>
      <c r="AQ3246" s="1063"/>
      <c r="AR3246" s="1063"/>
      <c r="AS3246" s="1063"/>
      <c r="AT3246" s="1063"/>
      <c r="AU3246" s="1063"/>
      <c r="AV3246" s="1063"/>
    </row>
    <row r="3247" spans="1:48" s="1108" customFormat="1" ht="27.75" customHeight="1">
      <c r="A3247" s="1076"/>
      <c r="B3247" s="1074">
        <f>+'[18]Bldg+Dev'!S4059</f>
        <v>0</v>
      </c>
      <c r="D3247" s="1063"/>
      <c r="F3247" s="1076"/>
      <c r="G3247" s="1063"/>
      <c r="H3247" s="1063"/>
      <c r="I3247" s="1063"/>
      <c r="J3247" s="1063"/>
      <c r="K3247" s="1063"/>
      <c r="L3247" s="1063"/>
      <c r="M3247" s="1063"/>
      <c r="N3247" s="1063"/>
      <c r="O3247" s="1063"/>
      <c r="P3247" s="1063"/>
      <c r="Q3247" s="1063"/>
      <c r="R3247" s="1063"/>
      <c r="S3247" s="1063"/>
      <c r="T3247" s="1063"/>
      <c r="U3247" s="1063"/>
      <c r="V3247" s="1063"/>
      <c r="W3247" s="1063"/>
      <c r="X3247" s="1063"/>
      <c r="Y3247" s="1063"/>
      <c r="Z3247" s="1063"/>
      <c r="AA3247" s="1063"/>
      <c r="AB3247" s="1063"/>
      <c r="AC3247" s="1063"/>
      <c r="AD3247" s="1063"/>
      <c r="AE3247" s="1063"/>
      <c r="AF3247" s="1063"/>
      <c r="AG3247" s="1063"/>
      <c r="AH3247" s="1063"/>
      <c r="AI3247" s="1063"/>
      <c r="AJ3247" s="1063"/>
      <c r="AK3247" s="1063"/>
      <c r="AL3247" s="1063"/>
      <c r="AM3247" s="1063"/>
      <c r="AN3247" s="1063"/>
      <c r="AO3247" s="1063"/>
      <c r="AP3247" s="1063"/>
      <c r="AQ3247" s="1063"/>
      <c r="AR3247" s="1063"/>
      <c r="AS3247" s="1063"/>
      <c r="AT3247" s="1063"/>
      <c r="AU3247" s="1063"/>
      <c r="AV3247" s="1063"/>
    </row>
    <row r="3248" spans="1:48" s="1108" customFormat="1" ht="27.75" customHeight="1">
      <c r="A3248" s="1076"/>
      <c r="B3248" s="1074">
        <f>+'[18]Bldg+Dev'!S4060</f>
        <v>0</v>
      </c>
      <c r="D3248" s="1063"/>
      <c r="F3248" s="1076"/>
      <c r="G3248" s="1063"/>
      <c r="H3248" s="1063"/>
      <c r="I3248" s="1063"/>
      <c r="J3248" s="1063"/>
      <c r="K3248" s="1063"/>
      <c r="L3248" s="1063"/>
      <c r="M3248" s="1063"/>
      <c r="N3248" s="1063"/>
      <c r="O3248" s="1063"/>
      <c r="P3248" s="1063"/>
      <c r="Q3248" s="1063"/>
      <c r="R3248" s="1063"/>
      <c r="S3248" s="1063"/>
      <c r="T3248" s="1063"/>
      <c r="U3248" s="1063"/>
      <c r="V3248" s="1063"/>
      <c r="W3248" s="1063"/>
      <c r="X3248" s="1063"/>
      <c r="Y3248" s="1063"/>
      <c r="Z3248" s="1063"/>
      <c r="AA3248" s="1063"/>
      <c r="AB3248" s="1063"/>
      <c r="AC3248" s="1063"/>
      <c r="AD3248" s="1063"/>
      <c r="AE3248" s="1063"/>
      <c r="AF3248" s="1063"/>
      <c r="AG3248" s="1063"/>
      <c r="AH3248" s="1063"/>
      <c r="AI3248" s="1063"/>
      <c r="AJ3248" s="1063"/>
      <c r="AK3248" s="1063"/>
      <c r="AL3248" s="1063"/>
      <c r="AM3248" s="1063"/>
      <c r="AN3248" s="1063"/>
      <c r="AO3248" s="1063"/>
      <c r="AP3248" s="1063"/>
      <c r="AQ3248" s="1063"/>
      <c r="AR3248" s="1063"/>
      <c r="AS3248" s="1063"/>
      <c r="AT3248" s="1063"/>
      <c r="AU3248" s="1063"/>
      <c r="AV3248" s="1063"/>
    </row>
    <row r="3249" spans="1:48" s="1108" customFormat="1" ht="27.75" customHeight="1">
      <c r="A3249" s="1076"/>
      <c r="B3249" s="1074">
        <f>+'[18]Bldg+Dev'!S4061</f>
        <v>0</v>
      </c>
      <c r="D3249" s="1063"/>
      <c r="F3249" s="1076"/>
      <c r="G3249" s="1063"/>
      <c r="H3249" s="1063"/>
      <c r="I3249" s="1063"/>
      <c r="J3249" s="1063"/>
      <c r="K3249" s="1063"/>
      <c r="L3249" s="1063"/>
      <c r="M3249" s="1063"/>
      <c r="N3249" s="1063"/>
      <c r="O3249" s="1063"/>
      <c r="P3249" s="1063"/>
      <c r="Q3249" s="1063"/>
      <c r="R3249" s="1063"/>
      <c r="S3249" s="1063"/>
      <c r="T3249" s="1063"/>
      <c r="U3249" s="1063"/>
      <c r="V3249" s="1063"/>
      <c r="W3249" s="1063"/>
      <c r="X3249" s="1063"/>
      <c r="Y3249" s="1063"/>
      <c r="Z3249" s="1063"/>
      <c r="AA3249" s="1063"/>
      <c r="AB3249" s="1063"/>
      <c r="AC3249" s="1063"/>
      <c r="AD3249" s="1063"/>
      <c r="AE3249" s="1063"/>
      <c r="AF3249" s="1063"/>
      <c r="AG3249" s="1063"/>
      <c r="AH3249" s="1063"/>
      <c r="AI3249" s="1063"/>
      <c r="AJ3249" s="1063"/>
      <c r="AK3249" s="1063"/>
      <c r="AL3249" s="1063"/>
      <c r="AM3249" s="1063"/>
      <c r="AN3249" s="1063"/>
      <c r="AO3249" s="1063"/>
      <c r="AP3249" s="1063"/>
      <c r="AQ3249" s="1063"/>
      <c r="AR3249" s="1063"/>
      <c r="AS3249" s="1063"/>
      <c r="AT3249" s="1063"/>
      <c r="AU3249" s="1063"/>
      <c r="AV3249" s="1063"/>
    </row>
    <row r="3250" spans="1:48" s="1108" customFormat="1" ht="27.75" customHeight="1">
      <c r="A3250" s="1076"/>
      <c r="B3250" s="1074">
        <f>+'[18]Bldg+Dev'!S4062</f>
        <v>0</v>
      </c>
      <c r="D3250" s="1063"/>
      <c r="F3250" s="1076"/>
      <c r="G3250" s="1063"/>
      <c r="H3250" s="1063"/>
      <c r="I3250" s="1063"/>
      <c r="J3250" s="1063"/>
      <c r="K3250" s="1063"/>
      <c r="L3250" s="1063"/>
      <c r="M3250" s="1063"/>
      <c r="N3250" s="1063"/>
      <c r="O3250" s="1063"/>
      <c r="P3250" s="1063"/>
      <c r="Q3250" s="1063"/>
      <c r="R3250" s="1063"/>
      <c r="S3250" s="1063"/>
      <c r="T3250" s="1063"/>
      <c r="U3250" s="1063"/>
      <c r="V3250" s="1063"/>
      <c r="W3250" s="1063"/>
      <c r="X3250" s="1063"/>
      <c r="Y3250" s="1063"/>
      <c r="Z3250" s="1063"/>
      <c r="AA3250" s="1063"/>
      <c r="AB3250" s="1063"/>
      <c r="AC3250" s="1063"/>
      <c r="AD3250" s="1063"/>
      <c r="AE3250" s="1063"/>
      <c r="AF3250" s="1063"/>
      <c r="AG3250" s="1063"/>
      <c r="AH3250" s="1063"/>
      <c r="AI3250" s="1063"/>
      <c r="AJ3250" s="1063"/>
      <c r="AK3250" s="1063"/>
      <c r="AL3250" s="1063"/>
      <c r="AM3250" s="1063"/>
      <c r="AN3250" s="1063"/>
      <c r="AO3250" s="1063"/>
      <c r="AP3250" s="1063"/>
      <c r="AQ3250" s="1063"/>
      <c r="AR3250" s="1063"/>
      <c r="AS3250" s="1063"/>
      <c r="AT3250" s="1063"/>
      <c r="AU3250" s="1063"/>
      <c r="AV3250" s="1063"/>
    </row>
    <row r="3251" spans="1:48" s="1108" customFormat="1" ht="27.75" customHeight="1">
      <c r="A3251" s="1076"/>
      <c r="B3251" s="1074">
        <f>+'[18]Bldg+Dev'!S4063</f>
        <v>0</v>
      </c>
      <c r="D3251" s="1063"/>
      <c r="F3251" s="1076"/>
      <c r="G3251" s="1063"/>
      <c r="H3251" s="1063"/>
      <c r="I3251" s="1063"/>
      <c r="J3251" s="1063"/>
      <c r="K3251" s="1063"/>
      <c r="L3251" s="1063"/>
      <c r="M3251" s="1063"/>
      <c r="N3251" s="1063"/>
      <c r="O3251" s="1063"/>
      <c r="P3251" s="1063"/>
      <c r="Q3251" s="1063"/>
      <c r="R3251" s="1063"/>
      <c r="S3251" s="1063"/>
      <c r="T3251" s="1063"/>
      <c r="U3251" s="1063"/>
      <c r="V3251" s="1063"/>
      <c r="W3251" s="1063"/>
      <c r="X3251" s="1063"/>
      <c r="Y3251" s="1063"/>
      <c r="Z3251" s="1063"/>
      <c r="AA3251" s="1063"/>
      <c r="AB3251" s="1063"/>
      <c r="AC3251" s="1063"/>
      <c r="AD3251" s="1063"/>
      <c r="AE3251" s="1063"/>
      <c r="AF3251" s="1063"/>
      <c r="AG3251" s="1063"/>
      <c r="AH3251" s="1063"/>
      <c r="AI3251" s="1063"/>
      <c r="AJ3251" s="1063"/>
      <c r="AK3251" s="1063"/>
      <c r="AL3251" s="1063"/>
      <c r="AM3251" s="1063"/>
      <c r="AN3251" s="1063"/>
      <c r="AO3251" s="1063"/>
      <c r="AP3251" s="1063"/>
      <c r="AQ3251" s="1063"/>
      <c r="AR3251" s="1063"/>
      <c r="AS3251" s="1063"/>
      <c r="AT3251" s="1063"/>
      <c r="AU3251" s="1063"/>
      <c r="AV3251" s="1063"/>
    </row>
    <row r="3252" spans="1:48" s="1108" customFormat="1" ht="27.75" customHeight="1">
      <c r="A3252" s="1076"/>
      <c r="B3252" s="1074">
        <f>+'[18]Bldg+Dev'!S4064</f>
        <v>0</v>
      </c>
      <c r="D3252" s="1063"/>
      <c r="F3252" s="1076"/>
      <c r="G3252" s="1063"/>
      <c r="H3252" s="1063"/>
      <c r="I3252" s="1063"/>
      <c r="J3252" s="1063"/>
      <c r="K3252" s="1063"/>
      <c r="L3252" s="1063"/>
      <c r="M3252" s="1063"/>
      <c r="N3252" s="1063"/>
      <c r="O3252" s="1063"/>
      <c r="P3252" s="1063"/>
      <c r="Q3252" s="1063"/>
      <c r="R3252" s="1063"/>
      <c r="S3252" s="1063"/>
      <c r="T3252" s="1063"/>
      <c r="U3252" s="1063"/>
      <c r="V3252" s="1063"/>
      <c r="W3252" s="1063"/>
      <c r="X3252" s="1063"/>
      <c r="Y3252" s="1063"/>
      <c r="Z3252" s="1063"/>
      <c r="AA3252" s="1063"/>
      <c r="AB3252" s="1063"/>
      <c r="AC3252" s="1063"/>
      <c r="AD3252" s="1063"/>
      <c r="AE3252" s="1063"/>
      <c r="AF3252" s="1063"/>
      <c r="AG3252" s="1063"/>
      <c r="AH3252" s="1063"/>
      <c r="AI3252" s="1063"/>
      <c r="AJ3252" s="1063"/>
      <c r="AK3252" s="1063"/>
      <c r="AL3252" s="1063"/>
      <c r="AM3252" s="1063"/>
      <c r="AN3252" s="1063"/>
      <c r="AO3252" s="1063"/>
      <c r="AP3252" s="1063"/>
      <c r="AQ3252" s="1063"/>
      <c r="AR3252" s="1063"/>
      <c r="AS3252" s="1063"/>
      <c r="AT3252" s="1063"/>
      <c r="AU3252" s="1063"/>
      <c r="AV3252" s="1063"/>
    </row>
    <row r="3253" spans="1:48" s="1108" customFormat="1" ht="27.75" customHeight="1">
      <c r="A3253" s="1076"/>
      <c r="B3253" s="1074">
        <f>+'[18]Bldg+Dev'!S4065</f>
        <v>0</v>
      </c>
      <c r="D3253" s="1063"/>
      <c r="F3253" s="1076"/>
      <c r="G3253" s="1063"/>
      <c r="H3253" s="1063"/>
      <c r="I3253" s="1063"/>
      <c r="J3253" s="1063"/>
      <c r="K3253" s="1063"/>
      <c r="L3253" s="1063"/>
      <c r="M3253" s="1063"/>
      <c r="N3253" s="1063"/>
      <c r="O3253" s="1063"/>
      <c r="P3253" s="1063"/>
      <c r="Q3253" s="1063"/>
      <c r="R3253" s="1063"/>
      <c r="S3253" s="1063"/>
      <c r="T3253" s="1063"/>
      <c r="U3253" s="1063"/>
      <c r="V3253" s="1063"/>
      <c r="W3253" s="1063"/>
      <c r="X3253" s="1063"/>
      <c r="Y3253" s="1063"/>
      <c r="Z3253" s="1063"/>
      <c r="AA3253" s="1063"/>
      <c r="AB3253" s="1063"/>
      <c r="AC3253" s="1063"/>
      <c r="AD3253" s="1063"/>
      <c r="AE3253" s="1063"/>
      <c r="AF3253" s="1063"/>
      <c r="AG3253" s="1063"/>
      <c r="AH3253" s="1063"/>
      <c r="AI3253" s="1063"/>
      <c r="AJ3253" s="1063"/>
      <c r="AK3253" s="1063"/>
      <c r="AL3253" s="1063"/>
      <c r="AM3253" s="1063"/>
      <c r="AN3253" s="1063"/>
      <c r="AO3253" s="1063"/>
      <c r="AP3253" s="1063"/>
      <c r="AQ3253" s="1063"/>
      <c r="AR3253" s="1063"/>
      <c r="AS3253" s="1063"/>
      <c r="AT3253" s="1063"/>
      <c r="AU3253" s="1063"/>
      <c r="AV3253" s="1063"/>
    </row>
    <row r="3254" spans="1:48" s="1108" customFormat="1" ht="27.75" customHeight="1">
      <c r="A3254" s="1076"/>
      <c r="B3254" s="1074">
        <f>+'[18]Bldg+Dev'!S4066</f>
        <v>0</v>
      </c>
      <c r="D3254" s="1063"/>
      <c r="F3254" s="1076"/>
      <c r="G3254" s="1063"/>
      <c r="H3254" s="1063"/>
      <c r="I3254" s="1063"/>
      <c r="J3254" s="1063"/>
      <c r="K3254" s="1063"/>
      <c r="L3254" s="1063"/>
      <c r="M3254" s="1063"/>
      <c r="N3254" s="1063"/>
      <c r="O3254" s="1063"/>
      <c r="P3254" s="1063"/>
      <c r="Q3254" s="1063"/>
      <c r="R3254" s="1063"/>
      <c r="S3254" s="1063"/>
      <c r="T3254" s="1063"/>
      <c r="U3254" s="1063"/>
      <c r="V3254" s="1063"/>
      <c r="W3254" s="1063"/>
      <c r="X3254" s="1063"/>
      <c r="Y3254" s="1063"/>
      <c r="Z3254" s="1063"/>
      <c r="AA3254" s="1063"/>
      <c r="AB3254" s="1063"/>
      <c r="AC3254" s="1063"/>
      <c r="AD3254" s="1063"/>
      <c r="AE3254" s="1063"/>
      <c r="AF3254" s="1063"/>
      <c r="AG3254" s="1063"/>
      <c r="AH3254" s="1063"/>
      <c r="AI3254" s="1063"/>
      <c r="AJ3254" s="1063"/>
      <c r="AK3254" s="1063"/>
      <c r="AL3254" s="1063"/>
      <c r="AM3254" s="1063"/>
      <c r="AN3254" s="1063"/>
      <c r="AO3254" s="1063"/>
      <c r="AP3254" s="1063"/>
      <c r="AQ3254" s="1063"/>
      <c r="AR3254" s="1063"/>
      <c r="AS3254" s="1063"/>
      <c r="AT3254" s="1063"/>
      <c r="AU3254" s="1063"/>
      <c r="AV3254" s="1063"/>
    </row>
    <row r="3255" spans="1:48" s="1108" customFormat="1" ht="27.75" customHeight="1">
      <c r="A3255" s="1076"/>
      <c r="B3255" s="1074">
        <f>+'[18]Bldg+Dev'!S4067</f>
        <v>0</v>
      </c>
      <c r="D3255" s="1063"/>
      <c r="F3255" s="1076"/>
      <c r="G3255" s="1063"/>
      <c r="H3255" s="1063"/>
      <c r="I3255" s="1063"/>
      <c r="J3255" s="1063"/>
      <c r="K3255" s="1063"/>
      <c r="L3255" s="1063"/>
      <c r="M3255" s="1063"/>
      <c r="N3255" s="1063"/>
      <c r="O3255" s="1063"/>
      <c r="P3255" s="1063"/>
      <c r="Q3255" s="1063"/>
      <c r="R3255" s="1063"/>
      <c r="S3255" s="1063"/>
      <c r="T3255" s="1063"/>
      <c r="U3255" s="1063"/>
      <c r="V3255" s="1063"/>
      <c r="W3255" s="1063"/>
      <c r="X3255" s="1063"/>
      <c r="Y3255" s="1063"/>
      <c r="Z3255" s="1063"/>
      <c r="AA3255" s="1063"/>
      <c r="AB3255" s="1063"/>
      <c r="AC3255" s="1063"/>
      <c r="AD3255" s="1063"/>
      <c r="AE3255" s="1063"/>
      <c r="AF3255" s="1063"/>
      <c r="AG3255" s="1063"/>
      <c r="AH3255" s="1063"/>
      <c r="AI3255" s="1063"/>
      <c r="AJ3255" s="1063"/>
      <c r="AK3255" s="1063"/>
      <c r="AL3255" s="1063"/>
      <c r="AM3255" s="1063"/>
      <c r="AN3255" s="1063"/>
      <c r="AO3255" s="1063"/>
      <c r="AP3255" s="1063"/>
      <c r="AQ3255" s="1063"/>
      <c r="AR3255" s="1063"/>
      <c r="AS3255" s="1063"/>
      <c r="AT3255" s="1063"/>
      <c r="AU3255" s="1063"/>
      <c r="AV3255" s="1063"/>
    </row>
    <row r="3256" spans="1:48" s="1108" customFormat="1" ht="27.75" customHeight="1">
      <c r="A3256" s="1076"/>
      <c r="B3256" s="1074">
        <f>+'[18]Bldg+Dev'!S4068</f>
        <v>0</v>
      </c>
      <c r="D3256" s="1063"/>
      <c r="F3256" s="1076"/>
      <c r="G3256" s="1063"/>
      <c r="H3256" s="1063"/>
      <c r="I3256" s="1063"/>
      <c r="J3256" s="1063"/>
      <c r="K3256" s="1063"/>
      <c r="L3256" s="1063"/>
      <c r="M3256" s="1063"/>
      <c r="N3256" s="1063"/>
      <c r="O3256" s="1063"/>
      <c r="P3256" s="1063"/>
      <c r="Q3256" s="1063"/>
      <c r="R3256" s="1063"/>
      <c r="S3256" s="1063"/>
      <c r="T3256" s="1063"/>
      <c r="U3256" s="1063"/>
      <c r="V3256" s="1063"/>
      <c r="W3256" s="1063"/>
      <c r="X3256" s="1063"/>
      <c r="Y3256" s="1063"/>
      <c r="Z3256" s="1063"/>
      <c r="AA3256" s="1063"/>
      <c r="AB3256" s="1063"/>
      <c r="AC3256" s="1063"/>
      <c r="AD3256" s="1063"/>
      <c r="AE3256" s="1063"/>
      <c r="AF3256" s="1063"/>
      <c r="AG3256" s="1063"/>
      <c r="AH3256" s="1063"/>
      <c r="AI3256" s="1063"/>
      <c r="AJ3256" s="1063"/>
      <c r="AK3256" s="1063"/>
      <c r="AL3256" s="1063"/>
      <c r="AM3256" s="1063"/>
      <c r="AN3256" s="1063"/>
      <c r="AO3256" s="1063"/>
      <c r="AP3256" s="1063"/>
      <c r="AQ3256" s="1063"/>
      <c r="AR3256" s="1063"/>
      <c r="AS3256" s="1063"/>
      <c r="AT3256" s="1063"/>
      <c r="AU3256" s="1063"/>
      <c r="AV3256" s="1063"/>
    </row>
    <row r="3257" spans="1:48" s="1108" customFormat="1" ht="27.75" customHeight="1">
      <c r="A3257" s="1076"/>
      <c r="B3257" s="1074">
        <f>+'[18]Bldg+Dev'!S4069</f>
        <v>0</v>
      </c>
      <c r="D3257" s="1063"/>
      <c r="F3257" s="1076"/>
      <c r="G3257" s="1063"/>
      <c r="H3257" s="1063"/>
      <c r="I3257" s="1063"/>
      <c r="J3257" s="1063"/>
      <c r="K3257" s="1063"/>
      <c r="L3257" s="1063"/>
      <c r="M3257" s="1063"/>
      <c r="N3257" s="1063"/>
      <c r="O3257" s="1063"/>
      <c r="P3257" s="1063"/>
      <c r="Q3257" s="1063"/>
      <c r="R3257" s="1063"/>
      <c r="S3257" s="1063"/>
      <c r="T3257" s="1063"/>
      <c r="U3257" s="1063"/>
      <c r="V3257" s="1063"/>
      <c r="W3257" s="1063"/>
      <c r="X3257" s="1063"/>
      <c r="Y3257" s="1063"/>
      <c r="Z3257" s="1063"/>
      <c r="AA3257" s="1063"/>
      <c r="AB3257" s="1063"/>
      <c r="AC3257" s="1063"/>
      <c r="AD3257" s="1063"/>
      <c r="AE3257" s="1063"/>
      <c r="AF3257" s="1063"/>
      <c r="AG3257" s="1063"/>
      <c r="AH3257" s="1063"/>
      <c r="AI3257" s="1063"/>
      <c r="AJ3257" s="1063"/>
      <c r="AK3257" s="1063"/>
      <c r="AL3257" s="1063"/>
      <c r="AM3257" s="1063"/>
      <c r="AN3257" s="1063"/>
      <c r="AO3257" s="1063"/>
      <c r="AP3257" s="1063"/>
      <c r="AQ3257" s="1063"/>
      <c r="AR3257" s="1063"/>
      <c r="AS3257" s="1063"/>
      <c r="AT3257" s="1063"/>
      <c r="AU3257" s="1063"/>
      <c r="AV3257" s="1063"/>
    </row>
    <row r="3258" spans="1:48" s="1108" customFormat="1" ht="27.75" customHeight="1">
      <c r="A3258" s="1076"/>
      <c r="B3258" s="1074">
        <f>+'[18]Bldg+Dev'!S4070</f>
        <v>0</v>
      </c>
      <c r="D3258" s="1063"/>
      <c r="F3258" s="1076"/>
      <c r="G3258" s="1063"/>
      <c r="H3258" s="1063"/>
      <c r="I3258" s="1063"/>
      <c r="J3258" s="1063"/>
      <c r="K3258" s="1063"/>
      <c r="L3258" s="1063"/>
      <c r="M3258" s="1063"/>
      <c r="N3258" s="1063"/>
      <c r="O3258" s="1063"/>
      <c r="P3258" s="1063"/>
      <c r="Q3258" s="1063"/>
      <c r="R3258" s="1063"/>
      <c r="S3258" s="1063"/>
      <c r="T3258" s="1063"/>
      <c r="U3258" s="1063"/>
      <c r="V3258" s="1063"/>
      <c r="W3258" s="1063"/>
      <c r="X3258" s="1063"/>
      <c r="Y3258" s="1063"/>
      <c r="Z3258" s="1063"/>
      <c r="AA3258" s="1063"/>
      <c r="AB3258" s="1063"/>
      <c r="AC3258" s="1063"/>
      <c r="AD3258" s="1063"/>
      <c r="AE3258" s="1063"/>
      <c r="AF3258" s="1063"/>
      <c r="AG3258" s="1063"/>
      <c r="AH3258" s="1063"/>
      <c r="AI3258" s="1063"/>
      <c r="AJ3258" s="1063"/>
      <c r="AK3258" s="1063"/>
      <c r="AL3258" s="1063"/>
      <c r="AM3258" s="1063"/>
      <c r="AN3258" s="1063"/>
      <c r="AO3258" s="1063"/>
      <c r="AP3258" s="1063"/>
      <c r="AQ3258" s="1063"/>
      <c r="AR3258" s="1063"/>
      <c r="AS3258" s="1063"/>
      <c r="AT3258" s="1063"/>
      <c r="AU3258" s="1063"/>
      <c r="AV3258" s="1063"/>
    </row>
    <row r="3259" spans="1:48" s="1108" customFormat="1" ht="27.75" customHeight="1">
      <c r="A3259" s="1076"/>
      <c r="B3259" s="1074">
        <f>+'[18]Bldg+Dev'!S4071</f>
        <v>0</v>
      </c>
      <c r="D3259" s="1063"/>
      <c r="F3259" s="1076"/>
      <c r="G3259" s="1063"/>
      <c r="H3259" s="1063"/>
      <c r="I3259" s="1063"/>
      <c r="J3259" s="1063"/>
      <c r="K3259" s="1063"/>
      <c r="L3259" s="1063"/>
      <c r="M3259" s="1063"/>
      <c r="N3259" s="1063"/>
      <c r="O3259" s="1063"/>
      <c r="P3259" s="1063"/>
      <c r="Q3259" s="1063"/>
      <c r="R3259" s="1063"/>
      <c r="S3259" s="1063"/>
      <c r="T3259" s="1063"/>
      <c r="U3259" s="1063"/>
      <c r="V3259" s="1063"/>
      <c r="W3259" s="1063"/>
      <c r="X3259" s="1063"/>
      <c r="Y3259" s="1063"/>
      <c r="Z3259" s="1063"/>
      <c r="AA3259" s="1063"/>
      <c r="AB3259" s="1063"/>
      <c r="AC3259" s="1063"/>
      <c r="AD3259" s="1063"/>
      <c r="AE3259" s="1063"/>
      <c r="AF3259" s="1063"/>
      <c r="AG3259" s="1063"/>
      <c r="AH3259" s="1063"/>
      <c r="AI3259" s="1063"/>
      <c r="AJ3259" s="1063"/>
      <c r="AK3259" s="1063"/>
      <c r="AL3259" s="1063"/>
      <c r="AM3259" s="1063"/>
      <c r="AN3259" s="1063"/>
      <c r="AO3259" s="1063"/>
      <c r="AP3259" s="1063"/>
      <c r="AQ3259" s="1063"/>
      <c r="AR3259" s="1063"/>
      <c r="AS3259" s="1063"/>
      <c r="AT3259" s="1063"/>
      <c r="AU3259" s="1063"/>
      <c r="AV3259" s="1063"/>
    </row>
    <row r="3260" spans="1:48" s="1108" customFormat="1" ht="27.75" customHeight="1">
      <c r="A3260" s="1076"/>
      <c r="B3260" s="1074">
        <f>+'[18]Bldg+Dev'!S4072</f>
        <v>0</v>
      </c>
      <c r="D3260" s="1063"/>
      <c r="F3260" s="1076"/>
      <c r="G3260" s="1063"/>
      <c r="H3260" s="1063"/>
      <c r="I3260" s="1063"/>
      <c r="J3260" s="1063"/>
      <c r="K3260" s="1063"/>
      <c r="L3260" s="1063"/>
      <c r="M3260" s="1063"/>
      <c r="N3260" s="1063"/>
      <c r="O3260" s="1063"/>
      <c r="P3260" s="1063"/>
      <c r="Q3260" s="1063"/>
      <c r="R3260" s="1063"/>
      <c r="S3260" s="1063"/>
      <c r="T3260" s="1063"/>
      <c r="U3260" s="1063"/>
      <c r="V3260" s="1063"/>
      <c r="W3260" s="1063"/>
      <c r="X3260" s="1063"/>
      <c r="Y3260" s="1063"/>
      <c r="Z3260" s="1063"/>
      <c r="AA3260" s="1063"/>
      <c r="AB3260" s="1063"/>
      <c r="AC3260" s="1063"/>
      <c r="AD3260" s="1063"/>
      <c r="AE3260" s="1063"/>
      <c r="AF3260" s="1063"/>
      <c r="AG3260" s="1063"/>
      <c r="AH3260" s="1063"/>
      <c r="AI3260" s="1063"/>
      <c r="AJ3260" s="1063"/>
      <c r="AK3260" s="1063"/>
      <c r="AL3260" s="1063"/>
      <c r="AM3260" s="1063"/>
      <c r="AN3260" s="1063"/>
      <c r="AO3260" s="1063"/>
      <c r="AP3260" s="1063"/>
      <c r="AQ3260" s="1063"/>
      <c r="AR3260" s="1063"/>
      <c r="AS3260" s="1063"/>
      <c r="AT3260" s="1063"/>
      <c r="AU3260" s="1063"/>
      <c r="AV3260" s="1063"/>
    </row>
    <row r="3261" spans="1:48" s="1108" customFormat="1" ht="27.75" customHeight="1">
      <c r="A3261" s="1076"/>
      <c r="B3261" s="1074">
        <f>+'[18]Bldg+Dev'!S4073</f>
        <v>0</v>
      </c>
      <c r="D3261" s="1063"/>
      <c r="F3261" s="1076"/>
      <c r="G3261" s="1063"/>
      <c r="H3261" s="1063"/>
      <c r="I3261" s="1063"/>
      <c r="J3261" s="1063"/>
      <c r="K3261" s="1063"/>
      <c r="L3261" s="1063"/>
      <c r="M3261" s="1063"/>
      <c r="N3261" s="1063"/>
      <c r="O3261" s="1063"/>
      <c r="P3261" s="1063"/>
      <c r="Q3261" s="1063"/>
      <c r="R3261" s="1063"/>
      <c r="S3261" s="1063"/>
      <c r="T3261" s="1063"/>
      <c r="U3261" s="1063"/>
      <c r="V3261" s="1063"/>
      <c r="W3261" s="1063"/>
      <c r="X3261" s="1063"/>
      <c r="Y3261" s="1063"/>
      <c r="Z3261" s="1063"/>
      <c r="AA3261" s="1063"/>
      <c r="AB3261" s="1063"/>
      <c r="AC3261" s="1063"/>
      <c r="AD3261" s="1063"/>
      <c r="AE3261" s="1063"/>
      <c r="AF3261" s="1063"/>
      <c r="AG3261" s="1063"/>
      <c r="AH3261" s="1063"/>
      <c r="AI3261" s="1063"/>
      <c r="AJ3261" s="1063"/>
      <c r="AK3261" s="1063"/>
      <c r="AL3261" s="1063"/>
      <c r="AM3261" s="1063"/>
      <c r="AN3261" s="1063"/>
      <c r="AO3261" s="1063"/>
      <c r="AP3261" s="1063"/>
      <c r="AQ3261" s="1063"/>
      <c r="AR3261" s="1063"/>
      <c r="AS3261" s="1063"/>
      <c r="AT3261" s="1063"/>
      <c r="AU3261" s="1063"/>
      <c r="AV3261" s="1063"/>
    </row>
    <row r="3262" spans="1:48" s="1108" customFormat="1" ht="27.75" customHeight="1">
      <c r="A3262" s="1076"/>
      <c r="B3262" s="1074">
        <f>+'[18]Bldg+Dev'!S4074</f>
        <v>0</v>
      </c>
      <c r="D3262" s="1063"/>
      <c r="F3262" s="1076"/>
      <c r="G3262" s="1063"/>
      <c r="H3262" s="1063"/>
      <c r="I3262" s="1063"/>
      <c r="J3262" s="1063"/>
      <c r="K3262" s="1063"/>
      <c r="L3262" s="1063"/>
      <c r="M3262" s="1063"/>
      <c r="N3262" s="1063"/>
      <c r="O3262" s="1063"/>
      <c r="P3262" s="1063"/>
      <c r="Q3262" s="1063"/>
      <c r="R3262" s="1063"/>
      <c r="S3262" s="1063"/>
      <c r="T3262" s="1063"/>
      <c r="U3262" s="1063"/>
      <c r="V3262" s="1063"/>
      <c r="W3262" s="1063"/>
      <c r="X3262" s="1063"/>
      <c r="Y3262" s="1063"/>
      <c r="Z3262" s="1063"/>
      <c r="AA3262" s="1063"/>
      <c r="AB3262" s="1063"/>
      <c r="AC3262" s="1063"/>
      <c r="AD3262" s="1063"/>
      <c r="AE3262" s="1063"/>
      <c r="AF3262" s="1063"/>
      <c r="AG3262" s="1063"/>
      <c r="AH3262" s="1063"/>
      <c r="AI3262" s="1063"/>
      <c r="AJ3262" s="1063"/>
      <c r="AK3262" s="1063"/>
      <c r="AL3262" s="1063"/>
      <c r="AM3262" s="1063"/>
      <c r="AN3262" s="1063"/>
      <c r="AO3262" s="1063"/>
      <c r="AP3262" s="1063"/>
      <c r="AQ3262" s="1063"/>
      <c r="AR3262" s="1063"/>
      <c r="AS3262" s="1063"/>
      <c r="AT3262" s="1063"/>
      <c r="AU3262" s="1063"/>
      <c r="AV3262" s="1063"/>
    </row>
    <row r="3263" spans="1:48" s="1108" customFormat="1" ht="27.75" customHeight="1">
      <c r="A3263" s="1076"/>
      <c r="B3263" s="1074">
        <f>+'[18]Bldg+Dev'!S4075</f>
        <v>0</v>
      </c>
      <c r="D3263" s="1063"/>
      <c r="F3263" s="1076"/>
      <c r="G3263" s="1063"/>
      <c r="H3263" s="1063"/>
      <c r="I3263" s="1063"/>
      <c r="J3263" s="1063"/>
      <c r="K3263" s="1063"/>
      <c r="L3263" s="1063"/>
      <c r="M3263" s="1063"/>
      <c r="N3263" s="1063"/>
      <c r="O3263" s="1063"/>
      <c r="P3263" s="1063"/>
      <c r="Q3263" s="1063"/>
      <c r="R3263" s="1063"/>
      <c r="S3263" s="1063"/>
      <c r="T3263" s="1063"/>
      <c r="U3263" s="1063"/>
      <c r="V3263" s="1063"/>
      <c r="W3263" s="1063"/>
      <c r="X3263" s="1063"/>
      <c r="Y3263" s="1063"/>
      <c r="Z3263" s="1063"/>
      <c r="AA3263" s="1063"/>
      <c r="AB3263" s="1063"/>
      <c r="AC3263" s="1063"/>
      <c r="AD3263" s="1063"/>
      <c r="AE3263" s="1063"/>
      <c r="AF3263" s="1063"/>
      <c r="AG3263" s="1063"/>
      <c r="AH3263" s="1063"/>
      <c r="AI3263" s="1063"/>
      <c r="AJ3263" s="1063"/>
      <c r="AK3263" s="1063"/>
      <c r="AL3263" s="1063"/>
      <c r="AM3263" s="1063"/>
      <c r="AN3263" s="1063"/>
      <c r="AO3263" s="1063"/>
      <c r="AP3263" s="1063"/>
      <c r="AQ3263" s="1063"/>
      <c r="AR3263" s="1063"/>
      <c r="AS3263" s="1063"/>
      <c r="AT3263" s="1063"/>
      <c r="AU3263" s="1063"/>
      <c r="AV3263" s="1063"/>
    </row>
    <row r="3264" spans="1:48" s="1108" customFormat="1" ht="27.75" customHeight="1">
      <c r="A3264" s="1076"/>
      <c r="B3264" s="1074">
        <f>+'[18]Bldg+Dev'!S4076</f>
        <v>0</v>
      </c>
      <c r="D3264" s="1063"/>
      <c r="F3264" s="1076"/>
      <c r="G3264" s="1063"/>
      <c r="H3264" s="1063"/>
      <c r="I3264" s="1063"/>
      <c r="J3264" s="1063"/>
      <c r="K3264" s="1063"/>
      <c r="L3264" s="1063"/>
      <c r="M3264" s="1063"/>
      <c r="N3264" s="1063"/>
      <c r="O3264" s="1063"/>
      <c r="P3264" s="1063"/>
      <c r="Q3264" s="1063"/>
      <c r="R3264" s="1063"/>
      <c r="S3264" s="1063"/>
      <c r="T3264" s="1063"/>
      <c r="U3264" s="1063"/>
      <c r="V3264" s="1063"/>
      <c r="W3264" s="1063"/>
      <c r="X3264" s="1063"/>
      <c r="Y3264" s="1063"/>
      <c r="Z3264" s="1063"/>
      <c r="AA3264" s="1063"/>
      <c r="AB3264" s="1063"/>
      <c r="AC3264" s="1063"/>
      <c r="AD3264" s="1063"/>
      <c r="AE3264" s="1063"/>
      <c r="AF3264" s="1063"/>
      <c r="AG3264" s="1063"/>
      <c r="AH3264" s="1063"/>
      <c r="AI3264" s="1063"/>
      <c r="AJ3264" s="1063"/>
      <c r="AK3264" s="1063"/>
      <c r="AL3264" s="1063"/>
      <c r="AM3264" s="1063"/>
      <c r="AN3264" s="1063"/>
      <c r="AO3264" s="1063"/>
      <c r="AP3264" s="1063"/>
      <c r="AQ3264" s="1063"/>
      <c r="AR3264" s="1063"/>
      <c r="AS3264" s="1063"/>
      <c r="AT3264" s="1063"/>
      <c r="AU3264" s="1063"/>
      <c r="AV3264" s="1063"/>
    </row>
    <row r="3265" spans="1:48" s="1108" customFormat="1" ht="27.75" customHeight="1">
      <c r="A3265" s="1076"/>
      <c r="B3265" s="1074">
        <f>+'[18]Bldg+Dev'!S4077</f>
        <v>0</v>
      </c>
      <c r="D3265" s="1063"/>
      <c r="F3265" s="1076"/>
      <c r="G3265" s="1063"/>
      <c r="H3265" s="1063"/>
      <c r="I3265" s="1063"/>
      <c r="J3265" s="1063"/>
      <c r="K3265" s="1063"/>
      <c r="L3265" s="1063"/>
      <c r="M3265" s="1063"/>
      <c r="N3265" s="1063"/>
      <c r="O3265" s="1063"/>
      <c r="P3265" s="1063"/>
      <c r="Q3265" s="1063"/>
      <c r="R3265" s="1063"/>
      <c r="S3265" s="1063"/>
      <c r="T3265" s="1063"/>
      <c r="U3265" s="1063"/>
      <c r="V3265" s="1063"/>
      <c r="W3265" s="1063"/>
      <c r="X3265" s="1063"/>
      <c r="Y3265" s="1063"/>
      <c r="Z3265" s="1063"/>
      <c r="AA3265" s="1063"/>
      <c r="AB3265" s="1063"/>
      <c r="AC3265" s="1063"/>
      <c r="AD3265" s="1063"/>
      <c r="AE3265" s="1063"/>
      <c r="AF3265" s="1063"/>
      <c r="AG3265" s="1063"/>
      <c r="AH3265" s="1063"/>
      <c r="AI3265" s="1063"/>
      <c r="AJ3265" s="1063"/>
      <c r="AK3265" s="1063"/>
      <c r="AL3265" s="1063"/>
      <c r="AM3265" s="1063"/>
      <c r="AN3265" s="1063"/>
      <c r="AO3265" s="1063"/>
      <c r="AP3265" s="1063"/>
      <c r="AQ3265" s="1063"/>
      <c r="AR3265" s="1063"/>
      <c r="AS3265" s="1063"/>
      <c r="AT3265" s="1063"/>
      <c r="AU3265" s="1063"/>
      <c r="AV3265" s="1063"/>
    </row>
    <row r="3266" spans="1:48" s="1108" customFormat="1" ht="27.75" customHeight="1">
      <c r="A3266" s="1076"/>
      <c r="B3266" s="1074">
        <f>+'[18]Bldg+Dev'!S4078</f>
        <v>0</v>
      </c>
      <c r="D3266" s="1063"/>
      <c r="F3266" s="1076"/>
      <c r="G3266" s="1063"/>
      <c r="H3266" s="1063"/>
      <c r="I3266" s="1063"/>
      <c r="J3266" s="1063"/>
      <c r="K3266" s="1063"/>
      <c r="L3266" s="1063"/>
      <c r="M3266" s="1063"/>
      <c r="N3266" s="1063"/>
      <c r="O3266" s="1063"/>
      <c r="P3266" s="1063"/>
      <c r="Q3266" s="1063"/>
      <c r="R3266" s="1063"/>
      <c r="S3266" s="1063"/>
      <c r="T3266" s="1063"/>
      <c r="U3266" s="1063"/>
      <c r="V3266" s="1063"/>
      <c r="W3266" s="1063"/>
      <c r="X3266" s="1063"/>
      <c r="Y3266" s="1063"/>
      <c r="Z3266" s="1063"/>
      <c r="AA3266" s="1063"/>
      <c r="AB3266" s="1063"/>
      <c r="AC3266" s="1063"/>
      <c r="AD3266" s="1063"/>
      <c r="AE3266" s="1063"/>
      <c r="AF3266" s="1063"/>
      <c r="AG3266" s="1063"/>
      <c r="AH3266" s="1063"/>
      <c r="AI3266" s="1063"/>
      <c r="AJ3266" s="1063"/>
      <c r="AK3266" s="1063"/>
      <c r="AL3266" s="1063"/>
      <c r="AM3266" s="1063"/>
      <c r="AN3266" s="1063"/>
      <c r="AO3266" s="1063"/>
      <c r="AP3266" s="1063"/>
      <c r="AQ3266" s="1063"/>
      <c r="AR3266" s="1063"/>
      <c r="AS3266" s="1063"/>
      <c r="AT3266" s="1063"/>
      <c r="AU3266" s="1063"/>
      <c r="AV3266" s="1063"/>
    </row>
    <row r="3267" spans="1:48" s="1108" customFormat="1" ht="27.75" customHeight="1">
      <c r="A3267" s="1076"/>
      <c r="B3267" s="1074">
        <f>+'[18]Bldg+Dev'!S4079</f>
        <v>0</v>
      </c>
      <c r="D3267" s="1063"/>
      <c r="F3267" s="1076"/>
      <c r="G3267" s="1063"/>
      <c r="H3267" s="1063"/>
      <c r="I3267" s="1063"/>
      <c r="J3267" s="1063"/>
      <c r="K3267" s="1063"/>
      <c r="L3267" s="1063"/>
      <c r="M3267" s="1063"/>
      <c r="N3267" s="1063"/>
      <c r="O3267" s="1063"/>
      <c r="P3267" s="1063"/>
      <c r="Q3267" s="1063"/>
      <c r="R3267" s="1063"/>
      <c r="S3267" s="1063"/>
      <c r="T3267" s="1063"/>
      <c r="U3267" s="1063"/>
      <c r="V3267" s="1063"/>
      <c r="W3267" s="1063"/>
      <c r="X3267" s="1063"/>
      <c r="Y3267" s="1063"/>
      <c r="Z3267" s="1063"/>
      <c r="AA3267" s="1063"/>
      <c r="AB3267" s="1063"/>
      <c r="AC3267" s="1063"/>
      <c r="AD3267" s="1063"/>
      <c r="AE3267" s="1063"/>
      <c r="AF3267" s="1063"/>
      <c r="AG3267" s="1063"/>
      <c r="AH3267" s="1063"/>
      <c r="AI3267" s="1063"/>
      <c r="AJ3267" s="1063"/>
      <c r="AK3267" s="1063"/>
      <c r="AL3267" s="1063"/>
      <c r="AM3267" s="1063"/>
      <c r="AN3267" s="1063"/>
      <c r="AO3267" s="1063"/>
      <c r="AP3267" s="1063"/>
      <c r="AQ3267" s="1063"/>
      <c r="AR3267" s="1063"/>
      <c r="AS3267" s="1063"/>
      <c r="AT3267" s="1063"/>
      <c r="AU3267" s="1063"/>
      <c r="AV3267" s="1063"/>
    </row>
    <row r="3268" spans="1:48" s="1108" customFormat="1" ht="27.75" customHeight="1">
      <c r="A3268" s="1076"/>
      <c r="B3268" s="1074">
        <f>+'[18]Bldg+Dev'!S4080</f>
        <v>0</v>
      </c>
      <c r="D3268" s="1063"/>
      <c r="F3268" s="1076"/>
      <c r="G3268" s="1063"/>
      <c r="H3268" s="1063"/>
      <c r="I3268" s="1063"/>
      <c r="J3268" s="1063"/>
      <c r="K3268" s="1063"/>
      <c r="L3268" s="1063"/>
      <c r="M3268" s="1063"/>
      <c r="N3268" s="1063"/>
      <c r="O3268" s="1063"/>
      <c r="P3268" s="1063"/>
      <c r="Q3268" s="1063"/>
      <c r="R3268" s="1063"/>
      <c r="S3268" s="1063"/>
      <c r="T3268" s="1063"/>
      <c r="U3268" s="1063"/>
      <c r="V3268" s="1063"/>
      <c r="W3268" s="1063"/>
      <c r="X3268" s="1063"/>
      <c r="Y3268" s="1063"/>
      <c r="Z3268" s="1063"/>
      <c r="AA3268" s="1063"/>
      <c r="AB3268" s="1063"/>
      <c r="AC3268" s="1063"/>
      <c r="AD3268" s="1063"/>
      <c r="AE3268" s="1063"/>
      <c r="AF3268" s="1063"/>
      <c r="AG3268" s="1063"/>
      <c r="AH3268" s="1063"/>
      <c r="AI3268" s="1063"/>
      <c r="AJ3268" s="1063"/>
      <c r="AK3268" s="1063"/>
      <c r="AL3268" s="1063"/>
      <c r="AM3268" s="1063"/>
      <c r="AN3268" s="1063"/>
      <c r="AO3268" s="1063"/>
      <c r="AP3268" s="1063"/>
      <c r="AQ3268" s="1063"/>
      <c r="AR3268" s="1063"/>
      <c r="AS3268" s="1063"/>
      <c r="AT3268" s="1063"/>
      <c r="AU3268" s="1063"/>
      <c r="AV3268" s="1063"/>
    </row>
    <row r="3269" spans="1:48" s="1108" customFormat="1" ht="27.75" customHeight="1">
      <c r="A3269" s="1076"/>
      <c r="B3269" s="1074">
        <f>+'[18]Bldg+Dev'!S4081</f>
        <v>0</v>
      </c>
      <c r="D3269" s="1063"/>
      <c r="F3269" s="1076"/>
      <c r="G3269" s="1063"/>
      <c r="H3269" s="1063"/>
      <c r="I3269" s="1063"/>
      <c r="J3269" s="1063"/>
      <c r="K3269" s="1063"/>
      <c r="L3269" s="1063"/>
      <c r="M3269" s="1063"/>
      <c r="N3269" s="1063"/>
      <c r="O3269" s="1063"/>
      <c r="P3269" s="1063"/>
      <c r="Q3269" s="1063"/>
      <c r="R3269" s="1063"/>
      <c r="S3269" s="1063"/>
      <c r="T3269" s="1063"/>
      <c r="U3269" s="1063"/>
      <c r="V3269" s="1063"/>
      <c r="W3269" s="1063"/>
      <c r="X3269" s="1063"/>
      <c r="Y3269" s="1063"/>
      <c r="Z3269" s="1063"/>
      <c r="AA3269" s="1063"/>
      <c r="AB3269" s="1063"/>
      <c r="AC3269" s="1063"/>
      <c r="AD3269" s="1063"/>
      <c r="AE3269" s="1063"/>
      <c r="AF3269" s="1063"/>
      <c r="AG3269" s="1063"/>
      <c r="AH3269" s="1063"/>
      <c r="AI3269" s="1063"/>
      <c r="AJ3269" s="1063"/>
      <c r="AK3269" s="1063"/>
      <c r="AL3269" s="1063"/>
      <c r="AM3269" s="1063"/>
      <c r="AN3269" s="1063"/>
      <c r="AO3269" s="1063"/>
      <c r="AP3269" s="1063"/>
      <c r="AQ3269" s="1063"/>
      <c r="AR3269" s="1063"/>
      <c r="AS3269" s="1063"/>
      <c r="AT3269" s="1063"/>
      <c r="AU3269" s="1063"/>
      <c r="AV3269" s="1063"/>
    </row>
    <row r="3270" spans="1:48" s="1108" customFormat="1" ht="27.75" customHeight="1">
      <c r="A3270" s="1076"/>
      <c r="B3270" s="1074">
        <f>+'[18]Bldg+Dev'!S4082</f>
        <v>0</v>
      </c>
      <c r="D3270" s="1063"/>
      <c r="F3270" s="1076"/>
      <c r="G3270" s="1063"/>
      <c r="H3270" s="1063"/>
      <c r="I3270" s="1063"/>
      <c r="J3270" s="1063"/>
      <c r="K3270" s="1063"/>
      <c r="L3270" s="1063"/>
      <c r="M3270" s="1063"/>
      <c r="N3270" s="1063"/>
      <c r="O3270" s="1063"/>
      <c r="P3270" s="1063"/>
      <c r="Q3270" s="1063"/>
      <c r="R3270" s="1063"/>
      <c r="S3270" s="1063"/>
      <c r="T3270" s="1063"/>
      <c r="U3270" s="1063"/>
      <c r="V3270" s="1063"/>
      <c r="W3270" s="1063"/>
      <c r="X3270" s="1063"/>
      <c r="Y3270" s="1063"/>
      <c r="Z3270" s="1063"/>
      <c r="AA3270" s="1063"/>
      <c r="AB3270" s="1063"/>
      <c r="AC3270" s="1063"/>
      <c r="AD3270" s="1063"/>
      <c r="AE3270" s="1063"/>
      <c r="AF3270" s="1063"/>
      <c r="AG3270" s="1063"/>
      <c r="AH3270" s="1063"/>
      <c r="AI3270" s="1063"/>
      <c r="AJ3270" s="1063"/>
      <c r="AK3270" s="1063"/>
      <c r="AL3270" s="1063"/>
      <c r="AM3270" s="1063"/>
      <c r="AN3270" s="1063"/>
      <c r="AO3270" s="1063"/>
      <c r="AP3270" s="1063"/>
      <c r="AQ3270" s="1063"/>
      <c r="AR3270" s="1063"/>
      <c r="AS3270" s="1063"/>
      <c r="AT3270" s="1063"/>
      <c r="AU3270" s="1063"/>
      <c r="AV3270" s="1063"/>
    </row>
    <row r="3271" spans="1:48" s="1108" customFormat="1" ht="27.75" customHeight="1">
      <c r="A3271" s="1076"/>
      <c r="B3271" s="1074">
        <f>+'[18]Bldg+Dev'!S4083</f>
        <v>0</v>
      </c>
      <c r="D3271" s="1063"/>
      <c r="F3271" s="1076"/>
      <c r="G3271" s="1063"/>
      <c r="H3271" s="1063"/>
      <c r="I3271" s="1063"/>
      <c r="J3271" s="1063"/>
      <c r="K3271" s="1063"/>
      <c r="L3271" s="1063"/>
      <c r="M3271" s="1063"/>
      <c r="N3271" s="1063"/>
      <c r="O3271" s="1063"/>
      <c r="P3271" s="1063"/>
      <c r="Q3271" s="1063"/>
      <c r="R3271" s="1063"/>
      <c r="S3271" s="1063"/>
      <c r="T3271" s="1063"/>
      <c r="U3271" s="1063"/>
      <c r="V3271" s="1063"/>
      <c r="W3271" s="1063"/>
      <c r="X3271" s="1063"/>
      <c r="Y3271" s="1063"/>
      <c r="Z3271" s="1063"/>
      <c r="AA3271" s="1063"/>
      <c r="AB3271" s="1063"/>
      <c r="AC3271" s="1063"/>
      <c r="AD3271" s="1063"/>
      <c r="AE3271" s="1063"/>
      <c r="AF3271" s="1063"/>
      <c r="AG3271" s="1063"/>
      <c r="AH3271" s="1063"/>
      <c r="AI3271" s="1063"/>
      <c r="AJ3271" s="1063"/>
      <c r="AK3271" s="1063"/>
      <c r="AL3271" s="1063"/>
      <c r="AM3271" s="1063"/>
      <c r="AN3271" s="1063"/>
      <c r="AO3271" s="1063"/>
      <c r="AP3271" s="1063"/>
      <c r="AQ3271" s="1063"/>
      <c r="AR3271" s="1063"/>
      <c r="AS3271" s="1063"/>
      <c r="AT3271" s="1063"/>
      <c r="AU3271" s="1063"/>
      <c r="AV3271" s="1063"/>
    </row>
    <row r="3272" spans="1:48" s="1108" customFormat="1" ht="27.75" customHeight="1">
      <c r="A3272" s="1076"/>
      <c r="B3272" s="1074">
        <f>+'[18]Bldg+Dev'!S4084</f>
        <v>0</v>
      </c>
      <c r="D3272" s="1063"/>
      <c r="F3272" s="1076"/>
      <c r="G3272" s="1063"/>
      <c r="H3272" s="1063"/>
      <c r="I3272" s="1063"/>
      <c r="J3272" s="1063"/>
      <c r="K3272" s="1063"/>
      <c r="L3272" s="1063"/>
      <c r="M3272" s="1063"/>
      <c r="N3272" s="1063"/>
      <c r="O3272" s="1063"/>
      <c r="P3272" s="1063"/>
      <c r="Q3272" s="1063"/>
      <c r="R3272" s="1063"/>
      <c r="S3272" s="1063"/>
      <c r="T3272" s="1063"/>
      <c r="U3272" s="1063"/>
      <c r="V3272" s="1063"/>
      <c r="W3272" s="1063"/>
      <c r="X3272" s="1063"/>
      <c r="Y3272" s="1063"/>
      <c r="Z3272" s="1063"/>
      <c r="AA3272" s="1063"/>
      <c r="AB3272" s="1063"/>
      <c r="AC3272" s="1063"/>
      <c r="AD3272" s="1063"/>
      <c r="AE3272" s="1063"/>
      <c r="AF3272" s="1063"/>
      <c r="AG3272" s="1063"/>
      <c r="AH3272" s="1063"/>
      <c r="AI3272" s="1063"/>
      <c r="AJ3272" s="1063"/>
      <c r="AK3272" s="1063"/>
      <c r="AL3272" s="1063"/>
      <c r="AM3272" s="1063"/>
      <c r="AN3272" s="1063"/>
      <c r="AO3272" s="1063"/>
      <c r="AP3272" s="1063"/>
      <c r="AQ3272" s="1063"/>
      <c r="AR3272" s="1063"/>
      <c r="AS3272" s="1063"/>
      <c r="AT3272" s="1063"/>
      <c r="AU3272" s="1063"/>
      <c r="AV3272" s="1063"/>
    </row>
    <row r="3273" spans="1:48" s="1108" customFormat="1" ht="27.75" customHeight="1">
      <c r="A3273" s="1076"/>
      <c r="B3273" s="1074">
        <f>+'[18]Bldg+Dev'!S4085</f>
        <v>0</v>
      </c>
      <c r="D3273" s="1063"/>
      <c r="F3273" s="1076"/>
      <c r="G3273" s="1063"/>
      <c r="H3273" s="1063"/>
      <c r="I3273" s="1063"/>
      <c r="J3273" s="1063"/>
      <c r="K3273" s="1063"/>
      <c r="L3273" s="1063"/>
      <c r="M3273" s="1063"/>
      <c r="N3273" s="1063"/>
      <c r="O3273" s="1063"/>
      <c r="P3273" s="1063"/>
      <c r="Q3273" s="1063"/>
      <c r="R3273" s="1063"/>
      <c r="S3273" s="1063"/>
      <c r="T3273" s="1063"/>
      <c r="U3273" s="1063"/>
      <c r="V3273" s="1063"/>
      <c r="W3273" s="1063"/>
      <c r="X3273" s="1063"/>
      <c r="Y3273" s="1063"/>
      <c r="Z3273" s="1063"/>
      <c r="AA3273" s="1063"/>
      <c r="AB3273" s="1063"/>
      <c r="AC3273" s="1063"/>
      <c r="AD3273" s="1063"/>
      <c r="AE3273" s="1063"/>
      <c r="AF3273" s="1063"/>
      <c r="AG3273" s="1063"/>
      <c r="AH3273" s="1063"/>
      <c r="AI3273" s="1063"/>
      <c r="AJ3273" s="1063"/>
      <c r="AK3273" s="1063"/>
      <c r="AL3273" s="1063"/>
      <c r="AM3273" s="1063"/>
      <c r="AN3273" s="1063"/>
      <c r="AO3273" s="1063"/>
      <c r="AP3273" s="1063"/>
      <c r="AQ3273" s="1063"/>
      <c r="AR3273" s="1063"/>
      <c r="AS3273" s="1063"/>
      <c r="AT3273" s="1063"/>
      <c r="AU3273" s="1063"/>
      <c r="AV3273" s="1063"/>
    </row>
    <row r="3274" spans="1:48" s="1108" customFormat="1" ht="27.75" customHeight="1">
      <c r="A3274" s="1076"/>
      <c r="B3274" s="1074">
        <f>+'[18]Bldg+Dev'!S4086</f>
        <v>0</v>
      </c>
      <c r="D3274" s="1063"/>
      <c r="F3274" s="1076"/>
      <c r="G3274" s="1063"/>
      <c r="H3274" s="1063"/>
      <c r="I3274" s="1063"/>
      <c r="J3274" s="1063"/>
      <c r="K3274" s="1063"/>
      <c r="L3274" s="1063"/>
      <c r="M3274" s="1063"/>
      <c r="N3274" s="1063"/>
      <c r="O3274" s="1063"/>
      <c r="P3274" s="1063"/>
      <c r="Q3274" s="1063"/>
      <c r="R3274" s="1063"/>
      <c r="S3274" s="1063"/>
      <c r="T3274" s="1063"/>
      <c r="U3274" s="1063"/>
      <c r="V3274" s="1063"/>
      <c r="W3274" s="1063"/>
      <c r="X3274" s="1063"/>
      <c r="Y3274" s="1063"/>
      <c r="Z3274" s="1063"/>
      <c r="AA3274" s="1063"/>
      <c r="AB3274" s="1063"/>
      <c r="AC3274" s="1063"/>
      <c r="AD3274" s="1063"/>
      <c r="AE3274" s="1063"/>
      <c r="AF3274" s="1063"/>
      <c r="AG3274" s="1063"/>
      <c r="AH3274" s="1063"/>
      <c r="AI3274" s="1063"/>
      <c r="AJ3274" s="1063"/>
      <c r="AK3274" s="1063"/>
      <c r="AL3274" s="1063"/>
      <c r="AM3274" s="1063"/>
      <c r="AN3274" s="1063"/>
      <c r="AO3274" s="1063"/>
      <c r="AP3274" s="1063"/>
      <c r="AQ3274" s="1063"/>
      <c r="AR3274" s="1063"/>
      <c r="AS3274" s="1063"/>
      <c r="AT3274" s="1063"/>
      <c r="AU3274" s="1063"/>
      <c r="AV3274" s="1063"/>
    </row>
    <row r="3275" spans="1:48" s="1108" customFormat="1" ht="27.75" customHeight="1">
      <c r="A3275" s="1076"/>
      <c r="B3275" s="1074">
        <f>+'[18]Bldg+Dev'!S4087</f>
        <v>0</v>
      </c>
      <c r="D3275" s="1063"/>
      <c r="F3275" s="1076"/>
      <c r="G3275" s="1063"/>
      <c r="H3275" s="1063"/>
      <c r="I3275" s="1063"/>
      <c r="J3275" s="1063"/>
      <c r="K3275" s="1063"/>
      <c r="L3275" s="1063"/>
      <c r="M3275" s="1063"/>
      <c r="N3275" s="1063"/>
      <c r="O3275" s="1063"/>
      <c r="P3275" s="1063"/>
      <c r="Q3275" s="1063"/>
      <c r="R3275" s="1063"/>
      <c r="S3275" s="1063"/>
      <c r="T3275" s="1063"/>
      <c r="U3275" s="1063"/>
      <c r="V3275" s="1063"/>
      <c r="W3275" s="1063"/>
      <c r="X3275" s="1063"/>
      <c r="Y3275" s="1063"/>
      <c r="Z3275" s="1063"/>
      <c r="AA3275" s="1063"/>
      <c r="AB3275" s="1063"/>
      <c r="AC3275" s="1063"/>
      <c r="AD3275" s="1063"/>
      <c r="AE3275" s="1063"/>
      <c r="AF3275" s="1063"/>
      <c r="AG3275" s="1063"/>
      <c r="AH3275" s="1063"/>
      <c r="AI3275" s="1063"/>
      <c r="AJ3275" s="1063"/>
      <c r="AK3275" s="1063"/>
      <c r="AL3275" s="1063"/>
      <c r="AM3275" s="1063"/>
      <c r="AN3275" s="1063"/>
      <c r="AO3275" s="1063"/>
      <c r="AP3275" s="1063"/>
      <c r="AQ3275" s="1063"/>
      <c r="AR3275" s="1063"/>
      <c r="AS3275" s="1063"/>
      <c r="AT3275" s="1063"/>
      <c r="AU3275" s="1063"/>
      <c r="AV3275" s="1063"/>
    </row>
    <row r="3276" spans="1:48" s="1108" customFormat="1" ht="27.75" customHeight="1">
      <c r="A3276" s="1076"/>
      <c r="B3276" s="1074">
        <f>+'[18]Bldg+Dev'!S4088</f>
        <v>0</v>
      </c>
      <c r="D3276" s="1063"/>
      <c r="F3276" s="1076"/>
      <c r="G3276" s="1063"/>
      <c r="H3276" s="1063"/>
      <c r="I3276" s="1063"/>
      <c r="J3276" s="1063"/>
      <c r="K3276" s="1063"/>
      <c r="L3276" s="1063"/>
      <c r="M3276" s="1063"/>
      <c r="N3276" s="1063"/>
      <c r="O3276" s="1063"/>
      <c r="P3276" s="1063"/>
      <c r="Q3276" s="1063"/>
      <c r="R3276" s="1063"/>
      <c r="S3276" s="1063"/>
      <c r="T3276" s="1063"/>
      <c r="U3276" s="1063"/>
      <c r="V3276" s="1063"/>
      <c r="W3276" s="1063"/>
      <c r="X3276" s="1063"/>
      <c r="Y3276" s="1063"/>
      <c r="Z3276" s="1063"/>
      <c r="AA3276" s="1063"/>
      <c r="AB3276" s="1063"/>
      <c r="AC3276" s="1063"/>
      <c r="AD3276" s="1063"/>
      <c r="AE3276" s="1063"/>
      <c r="AF3276" s="1063"/>
      <c r="AG3276" s="1063"/>
      <c r="AH3276" s="1063"/>
      <c r="AI3276" s="1063"/>
      <c r="AJ3276" s="1063"/>
      <c r="AK3276" s="1063"/>
      <c r="AL3276" s="1063"/>
      <c r="AM3276" s="1063"/>
      <c r="AN3276" s="1063"/>
      <c r="AO3276" s="1063"/>
      <c r="AP3276" s="1063"/>
      <c r="AQ3276" s="1063"/>
      <c r="AR3276" s="1063"/>
      <c r="AS3276" s="1063"/>
      <c r="AT3276" s="1063"/>
      <c r="AU3276" s="1063"/>
      <c r="AV3276" s="1063"/>
    </row>
    <row r="3277" spans="1:48" s="1108" customFormat="1" ht="27.75" customHeight="1">
      <c r="A3277" s="1076"/>
      <c r="B3277" s="1074">
        <f>+'[18]Bldg+Dev'!S4089</f>
        <v>0</v>
      </c>
      <c r="D3277" s="1063"/>
      <c r="F3277" s="1076"/>
      <c r="G3277" s="1063"/>
      <c r="H3277" s="1063"/>
      <c r="I3277" s="1063"/>
      <c r="J3277" s="1063"/>
      <c r="K3277" s="1063"/>
      <c r="L3277" s="1063"/>
      <c r="M3277" s="1063"/>
      <c r="N3277" s="1063"/>
      <c r="O3277" s="1063"/>
      <c r="P3277" s="1063"/>
      <c r="Q3277" s="1063"/>
      <c r="R3277" s="1063"/>
      <c r="S3277" s="1063"/>
      <c r="T3277" s="1063"/>
      <c r="U3277" s="1063"/>
      <c r="V3277" s="1063"/>
      <c r="W3277" s="1063"/>
      <c r="X3277" s="1063"/>
      <c r="Y3277" s="1063"/>
      <c r="Z3277" s="1063"/>
      <c r="AA3277" s="1063"/>
      <c r="AB3277" s="1063"/>
      <c r="AC3277" s="1063"/>
      <c r="AD3277" s="1063"/>
      <c r="AE3277" s="1063"/>
      <c r="AF3277" s="1063"/>
      <c r="AG3277" s="1063"/>
      <c r="AH3277" s="1063"/>
      <c r="AI3277" s="1063"/>
      <c r="AJ3277" s="1063"/>
      <c r="AK3277" s="1063"/>
      <c r="AL3277" s="1063"/>
      <c r="AM3277" s="1063"/>
      <c r="AN3277" s="1063"/>
      <c r="AO3277" s="1063"/>
      <c r="AP3277" s="1063"/>
      <c r="AQ3277" s="1063"/>
      <c r="AR3277" s="1063"/>
      <c r="AS3277" s="1063"/>
      <c r="AT3277" s="1063"/>
      <c r="AU3277" s="1063"/>
      <c r="AV3277" s="1063"/>
    </row>
    <row r="3278" spans="1:48" s="1108" customFormat="1" ht="27.75" customHeight="1">
      <c r="A3278" s="1076"/>
      <c r="B3278" s="1074">
        <f>+'[18]Bldg+Dev'!S4090</f>
        <v>0</v>
      </c>
      <c r="D3278" s="1063"/>
      <c r="F3278" s="1076"/>
      <c r="G3278" s="1063"/>
      <c r="H3278" s="1063"/>
      <c r="I3278" s="1063"/>
      <c r="J3278" s="1063"/>
      <c r="K3278" s="1063"/>
      <c r="L3278" s="1063"/>
      <c r="M3278" s="1063"/>
      <c r="N3278" s="1063"/>
      <c r="O3278" s="1063"/>
      <c r="P3278" s="1063"/>
      <c r="Q3278" s="1063"/>
      <c r="R3278" s="1063"/>
      <c r="S3278" s="1063"/>
      <c r="T3278" s="1063"/>
      <c r="U3278" s="1063"/>
      <c r="V3278" s="1063"/>
      <c r="W3278" s="1063"/>
      <c r="X3278" s="1063"/>
      <c r="Y3278" s="1063"/>
      <c r="Z3278" s="1063"/>
      <c r="AA3278" s="1063"/>
      <c r="AB3278" s="1063"/>
      <c r="AC3278" s="1063"/>
      <c r="AD3278" s="1063"/>
      <c r="AE3278" s="1063"/>
      <c r="AF3278" s="1063"/>
      <c r="AG3278" s="1063"/>
      <c r="AH3278" s="1063"/>
      <c r="AI3278" s="1063"/>
      <c r="AJ3278" s="1063"/>
      <c r="AK3278" s="1063"/>
      <c r="AL3278" s="1063"/>
      <c r="AM3278" s="1063"/>
      <c r="AN3278" s="1063"/>
      <c r="AO3278" s="1063"/>
      <c r="AP3278" s="1063"/>
      <c r="AQ3278" s="1063"/>
      <c r="AR3278" s="1063"/>
      <c r="AS3278" s="1063"/>
      <c r="AT3278" s="1063"/>
      <c r="AU3278" s="1063"/>
      <c r="AV3278" s="1063"/>
    </row>
    <row r="3279" spans="1:48" s="1108" customFormat="1" ht="27.75" customHeight="1">
      <c r="A3279" s="1076"/>
      <c r="B3279" s="1074">
        <f>+'[18]Bldg+Dev'!S4091</f>
        <v>0</v>
      </c>
      <c r="D3279" s="1063"/>
      <c r="F3279" s="1076"/>
      <c r="G3279" s="1063"/>
      <c r="H3279" s="1063"/>
      <c r="I3279" s="1063"/>
      <c r="J3279" s="1063"/>
      <c r="K3279" s="1063"/>
      <c r="L3279" s="1063"/>
      <c r="M3279" s="1063"/>
      <c r="N3279" s="1063"/>
      <c r="O3279" s="1063"/>
      <c r="P3279" s="1063"/>
      <c r="Q3279" s="1063"/>
      <c r="R3279" s="1063"/>
      <c r="S3279" s="1063"/>
      <c r="T3279" s="1063"/>
      <c r="U3279" s="1063"/>
      <c r="V3279" s="1063"/>
      <c r="W3279" s="1063"/>
      <c r="X3279" s="1063"/>
      <c r="Y3279" s="1063"/>
      <c r="Z3279" s="1063"/>
      <c r="AA3279" s="1063"/>
      <c r="AB3279" s="1063"/>
      <c r="AC3279" s="1063"/>
      <c r="AD3279" s="1063"/>
      <c r="AE3279" s="1063"/>
      <c r="AF3279" s="1063"/>
      <c r="AG3279" s="1063"/>
      <c r="AH3279" s="1063"/>
      <c r="AI3279" s="1063"/>
      <c r="AJ3279" s="1063"/>
      <c r="AK3279" s="1063"/>
      <c r="AL3279" s="1063"/>
      <c r="AM3279" s="1063"/>
      <c r="AN3279" s="1063"/>
      <c r="AO3279" s="1063"/>
      <c r="AP3279" s="1063"/>
      <c r="AQ3279" s="1063"/>
      <c r="AR3279" s="1063"/>
      <c r="AS3279" s="1063"/>
      <c r="AT3279" s="1063"/>
      <c r="AU3279" s="1063"/>
      <c r="AV3279" s="1063"/>
    </row>
    <row r="3280" spans="1:48" s="1108" customFormat="1" ht="27.75" customHeight="1">
      <c r="A3280" s="1076"/>
      <c r="B3280" s="1074">
        <f>+'[18]Bldg+Dev'!S4092</f>
        <v>0</v>
      </c>
      <c r="D3280" s="1063"/>
      <c r="F3280" s="1076"/>
      <c r="G3280" s="1063"/>
      <c r="H3280" s="1063"/>
      <c r="I3280" s="1063"/>
      <c r="J3280" s="1063"/>
      <c r="K3280" s="1063"/>
      <c r="L3280" s="1063"/>
      <c r="M3280" s="1063"/>
      <c r="N3280" s="1063"/>
      <c r="O3280" s="1063"/>
      <c r="P3280" s="1063"/>
      <c r="Q3280" s="1063"/>
      <c r="R3280" s="1063"/>
      <c r="S3280" s="1063"/>
      <c r="T3280" s="1063"/>
      <c r="U3280" s="1063"/>
      <c r="V3280" s="1063"/>
      <c r="W3280" s="1063"/>
      <c r="X3280" s="1063"/>
      <c r="Y3280" s="1063"/>
      <c r="Z3280" s="1063"/>
      <c r="AA3280" s="1063"/>
      <c r="AB3280" s="1063"/>
      <c r="AC3280" s="1063"/>
      <c r="AD3280" s="1063"/>
      <c r="AE3280" s="1063"/>
      <c r="AF3280" s="1063"/>
      <c r="AG3280" s="1063"/>
      <c r="AH3280" s="1063"/>
      <c r="AI3280" s="1063"/>
      <c r="AJ3280" s="1063"/>
      <c r="AK3280" s="1063"/>
      <c r="AL3280" s="1063"/>
      <c r="AM3280" s="1063"/>
      <c r="AN3280" s="1063"/>
      <c r="AO3280" s="1063"/>
      <c r="AP3280" s="1063"/>
      <c r="AQ3280" s="1063"/>
      <c r="AR3280" s="1063"/>
      <c r="AS3280" s="1063"/>
      <c r="AT3280" s="1063"/>
      <c r="AU3280" s="1063"/>
      <c r="AV3280" s="1063"/>
    </row>
    <row r="3281" spans="1:48" s="1108" customFormat="1" ht="27.75" customHeight="1">
      <c r="A3281" s="1076"/>
      <c r="B3281" s="1074">
        <f>+'[18]Bldg+Dev'!S4093</f>
        <v>0</v>
      </c>
      <c r="D3281" s="1063"/>
      <c r="F3281" s="1076"/>
      <c r="G3281" s="1063"/>
      <c r="H3281" s="1063"/>
      <c r="I3281" s="1063"/>
      <c r="J3281" s="1063"/>
      <c r="K3281" s="1063"/>
      <c r="L3281" s="1063"/>
      <c r="M3281" s="1063"/>
      <c r="N3281" s="1063"/>
      <c r="O3281" s="1063"/>
      <c r="P3281" s="1063"/>
      <c r="Q3281" s="1063"/>
      <c r="R3281" s="1063"/>
      <c r="S3281" s="1063"/>
      <c r="T3281" s="1063"/>
      <c r="U3281" s="1063"/>
      <c r="V3281" s="1063"/>
      <c r="W3281" s="1063"/>
      <c r="X3281" s="1063"/>
      <c r="Y3281" s="1063"/>
      <c r="Z3281" s="1063"/>
      <c r="AA3281" s="1063"/>
      <c r="AB3281" s="1063"/>
      <c r="AC3281" s="1063"/>
      <c r="AD3281" s="1063"/>
      <c r="AE3281" s="1063"/>
      <c r="AF3281" s="1063"/>
      <c r="AG3281" s="1063"/>
      <c r="AH3281" s="1063"/>
      <c r="AI3281" s="1063"/>
      <c r="AJ3281" s="1063"/>
      <c r="AK3281" s="1063"/>
      <c r="AL3281" s="1063"/>
      <c r="AM3281" s="1063"/>
      <c r="AN3281" s="1063"/>
      <c r="AO3281" s="1063"/>
      <c r="AP3281" s="1063"/>
      <c r="AQ3281" s="1063"/>
      <c r="AR3281" s="1063"/>
      <c r="AS3281" s="1063"/>
      <c r="AT3281" s="1063"/>
      <c r="AU3281" s="1063"/>
      <c r="AV3281" s="1063"/>
    </row>
    <row r="3282" spans="1:48" s="1108" customFormat="1" ht="27.75" customHeight="1">
      <c r="A3282" s="1076"/>
      <c r="B3282" s="1074">
        <f>+'[18]Bldg+Dev'!S4094</f>
        <v>0</v>
      </c>
      <c r="D3282" s="1063"/>
      <c r="F3282" s="1076"/>
      <c r="G3282" s="1063"/>
      <c r="H3282" s="1063"/>
      <c r="I3282" s="1063"/>
      <c r="J3282" s="1063"/>
      <c r="K3282" s="1063"/>
      <c r="L3282" s="1063"/>
      <c r="M3282" s="1063"/>
      <c r="N3282" s="1063"/>
      <c r="O3282" s="1063"/>
      <c r="P3282" s="1063"/>
      <c r="Q3282" s="1063"/>
      <c r="R3282" s="1063"/>
      <c r="S3282" s="1063"/>
      <c r="T3282" s="1063"/>
      <c r="U3282" s="1063"/>
      <c r="V3282" s="1063"/>
      <c r="W3282" s="1063"/>
      <c r="X3282" s="1063"/>
      <c r="Y3282" s="1063"/>
      <c r="Z3282" s="1063"/>
      <c r="AA3282" s="1063"/>
      <c r="AB3282" s="1063"/>
      <c r="AC3282" s="1063"/>
      <c r="AD3282" s="1063"/>
      <c r="AE3282" s="1063"/>
      <c r="AF3282" s="1063"/>
      <c r="AG3282" s="1063"/>
      <c r="AH3282" s="1063"/>
      <c r="AI3282" s="1063"/>
      <c r="AJ3282" s="1063"/>
      <c r="AK3282" s="1063"/>
      <c r="AL3282" s="1063"/>
      <c r="AM3282" s="1063"/>
      <c r="AN3282" s="1063"/>
      <c r="AO3282" s="1063"/>
      <c r="AP3282" s="1063"/>
      <c r="AQ3282" s="1063"/>
      <c r="AR3282" s="1063"/>
      <c r="AS3282" s="1063"/>
      <c r="AT3282" s="1063"/>
      <c r="AU3282" s="1063"/>
      <c r="AV3282" s="1063"/>
    </row>
    <row r="3283" spans="1:48" s="1108" customFormat="1" ht="27.75" customHeight="1">
      <c r="A3283" s="1076"/>
      <c r="B3283" s="1074">
        <f>+'[18]Bldg+Dev'!S4095</f>
        <v>0</v>
      </c>
      <c r="D3283" s="1063"/>
      <c r="F3283" s="1076"/>
      <c r="G3283" s="1063"/>
      <c r="H3283" s="1063"/>
      <c r="I3283" s="1063"/>
      <c r="J3283" s="1063"/>
      <c r="K3283" s="1063"/>
      <c r="L3283" s="1063"/>
      <c r="M3283" s="1063"/>
      <c r="N3283" s="1063"/>
      <c r="O3283" s="1063"/>
      <c r="P3283" s="1063"/>
      <c r="Q3283" s="1063"/>
      <c r="R3283" s="1063"/>
      <c r="S3283" s="1063"/>
      <c r="T3283" s="1063"/>
      <c r="U3283" s="1063"/>
      <c r="V3283" s="1063"/>
      <c r="W3283" s="1063"/>
      <c r="X3283" s="1063"/>
      <c r="Y3283" s="1063"/>
      <c r="Z3283" s="1063"/>
      <c r="AA3283" s="1063"/>
      <c r="AB3283" s="1063"/>
      <c r="AC3283" s="1063"/>
      <c r="AD3283" s="1063"/>
      <c r="AE3283" s="1063"/>
      <c r="AF3283" s="1063"/>
      <c r="AG3283" s="1063"/>
      <c r="AH3283" s="1063"/>
      <c r="AI3283" s="1063"/>
      <c r="AJ3283" s="1063"/>
      <c r="AK3283" s="1063"/>
      <c r="AL3283" s="1063"/>
      <c r="AM3283" s="1063"/>
      <c r="AN3283" s="1063"/>
      <c r="AO3283" s="1063"/>
      <c r="AP3283" s="1063"/>
      <c r="AQ3283" s="1063"/>
      <c r="AR3283" s="1063"/>
      <c r="AS3283" s="1063"/>
      <c r="AT3283" s="1063"/>
      <c r="AU3283" s="1063"/>
      <c r="AV3283" s="1063"/>
    </row>
    <row r="3284" spans="1:48" s="1108" customFormat="1" ht="27.75" customHeight="1">
      <c r="A3284" s="1076"/>
      <c r="B3284" s="1074">
        <f>+'[18]Bldg+Dev'!S4096</f>
        <v>0</v>
      </c>
      <c r="D3284" s="1063"/>
      <c r="F3284" s="1076"/>
      <c r="G3284" s="1063"/>
      <c r="H3284" s="1063"/>
      <c r="I3284" s="1063"/>
      <c r="J3284" s="1063"/>
      <c r="K3284" s="1063"/>
      <c r="L3284" s="1063"/>
      <c r="M3284" s="1063"/>
      <c r="N3284" s="1063"/>
      <c r="O3284" s="1063"/>
      <c r="P3284" s="1063"/>
      <c r="Q3284" s="1063"/>
      <c r="R3284" s="1063"/>
      <c r="S3284" s="1063"/>
      <c r="T3284" s="1063"/>
      <c r="U3284" s="1063"/>
      <c r="V3284" s="1063"/>
      <c r="W3284" s="1063"/>
      <c r="X3284" s="1063"/>
      <c r="Y3284" s="1063"/>
      <c r="Z3284" s="1063"/>
      <c r="AA3284" s="1063"/>
      <c r="AB3284" s="1063"/>
      <c r="AC3284" s="1063"/>
      <c r="AD3284" s="1063"/>
      <c r="AE3284" s="1063"/>
      <c r="AF3284" s="1063"/>
      <c r="AG3284" s="1063"/>
      <c r="AH3284" s="1063"/>
      <c r="AI3284" s="1063"/>
      <c r="AJ3284" s="1063"/>
      <c r="AK3284" s="1063"/>
      <c r="AL3284" s="1063"/>
      <c r="AM3284" s="1063"/>
      <c r="AN3284" s="1063"/>
      <c r="AO3284" s="1063"/>
      <c r="AP3284" s="1063"/>
      <c r="AQ3284" s="1063"/>
      <c r="AR3284" s="1063"/>
      <c r="AS3284" s="1063"/>
      <c r="AT3284" s="1063"/>
      <c r="AU3284" s="1063"/>
      <c r="AV3284" s="1063"/>
    </row>
    <row r="3285" spans="1:48" s="1108" customFormat="1" ht="27.75" customHeight="1">
      <c r="A3285" s="1076"/>
      <c r="B3285" s="1074">
        <f>+'[18]Bldg+Dev'!S4097</f>
        <v>0</v>
      </c>
      <c r="D3285" s="1063"/>
      <c r="F3285" s="1076"/>
      <c r="G3285" s="1063"/>
      <c r="H3285" s="1063"/>
      <c r="I3285" s="1063"/>
      <c r="J3285" s="1063"/>
      <c r="K3285" s="1063"/>
      <c r="L3285" s="1063"/>
      <c r="M3285" s="1063"/>
      <c r="N3285" s="1063"/>
      <c r="O3285" s="1063"/>
      <c r="P3285" s="1063"/>
      <c r="Q3285" s="1063"/>
      <c r="R3285" s="1063"/>
      <c r="S3285" s="1063"/>
      <c r="T3285" s="1063"/>
      <c r="U3285" s="1063"/>
      <c r="V3285" s="1063"/>
      <c r="W3285" s="1063"/>
      <c r="X3285" s="1063"/>
      <c r="Y3285" s="1063"/>
      <c r="Z3285" s="1063"/>
      <c r="AA3285" s="1063"/>
      <c r="AB3285" s="1063"/>
      <c r="AC3285" s="1063"/>
      <c r="AD3285" s="1063"/>
      <c r="AE3285" s="1063"/>
      <c r="AF3285" s="1063"/>
      <c r="AG3285" s="1063"/>
      <c r="AH3285" s="1063"/>
      <c r="AI3285" s="1063"/>
      <c r="AJ3285" s="1063"/>
      <c r="AK3285" s="1063"/>
      <c r="AL3285" s="1063"/>
      <c r="AM3285" s="1063"/>
      <c r="AN3285" s="1063"/>
      <c r="AO3285" s="1063"/>
      <c r="AP3285" s="1063"/>
      <c r="AQ3285" s="1063"/>
      <c r="AR3285" s="1063"/>
      <c r="AS3285" s="1063"/>
      <c r="AT3285" s="1063"/>
      <c r="AU3285" s="1063"/>
      <c r="AV3285" s="1063"/>
    </row>
    <row r="3286" spans="1:48" s="1108" customFormat="1" ht="27.75" customHeight="1">
      <c r="A3286" s="1076"/>
      <c r="B3286" s="1074">
        <f>+'[18]Bldg+Dev'!S4098</f>
        <v>0</v>
      </c>
      <c r="D3286" s="1063"/>
      <c r="F3286" s="1076"/>
      <c r="G3286" s="1063"/>
      <c r="H3286" s="1063"/>
      <c r="I3286" s="1063"/>
      <c r="J3286" s="1063"/>
      <c r="K3286" s="1063"/>
      <c r="L3286" s="1063"/>
      <c r="M3286" s="1063"/>
      <c r="N3286" s="1063"/>
      <c r="O3286" s="1063"/>
      <c r="P3286" s="1063"/>
      <c r="Q3286" s="1063"/>
      <c r="R3286" s="1063"/>
      <c r="S3286" s="1063"/>
      <c r="T3286" s="1063"/>
      <c r="U3286" s="1063"/>
      <c r="V3286" s="1063"/>
      <c r="W3286" s="1063"/>
      <c r="X3286" s="1063"/>
      <c r="Y3286" s="1063"/>
      <c r="Z3286" s="1063"/>
      <c r="AA3286" s="1063"/>
      <c r="AB3286" s="1063"/>
      <c r="AC3286" s="1063"/>
      <c r="AD3286" s="1063"/>
      <c r="AE3286" s="1063"/>
      <c r="AF3286" s="1063"/>
      <c r="AG3286" s="1063"/>
      <c r="AH3286" s="1063"/>
      <c r="AI3286" s="1063"/>
      <c r="AJ3286" s="1063"/>
      <c r="AK3286" s="1063"/>
      <c r="AL3286" s="1063"/>
      <c r="AM3286" s="1063"/>
      <c r="AN3286" s="1063"/>
      <c r="AO3286" s="1063"/>
      <c r="AP3286" s="1063"/>
      <c r="AQ3286" s="1063"/>
      <c r="AR3286" s="1063"/>
      <c r="AS3286" s="1063"/>
      <c r="AT3286" s="1063"/>
      <c r="AU3286" s="1063"/>
      <c r="AV3286" s="1063"/>
    </row>
    <row r="3287" spans="1:48" s="1108" customFormat="1" ht="27.75" customHeight="1">
      <c r="A3287" s="1076"/>
      <c r="B3287" s="1074">
        <f>+'[18]Bldg+Dev'!S4099</f>
        <v>0</v>
      </c>
      <c r="D3287" s="1063"/>
      <c r="F3287" s="1076"/>
      <c r="G3287" s="1063"/>
      <c r="H3287" s="1063"/>
      <c r="I3287" s="1063"/>
      <c r="J3287" s="1063"/>
      <c r="K3287" s="1063"/>
      <c r="L3287" s="1063"/>
      <c r="M3287" s="1063"/>
      <c r="N3287" s="1063"/>
      <c r="O3287" s="1063"/>
      <c r="P3287" s="1063"/>
      <c r="Q3287" s="1063"/>
      <c r="R3287" s="1063"/>
      <c r="S3287" s="1063"/>
      <c r="T3287" s="1063"/>
      <c r="U3287" s="1063"/>
      <c r="V3287" s="1063"/>
      <c r="W3287" s="1063"/>
      <c r="X3287" s="1063"/>
      <c r="Y3287" s="1063"/>
      <c r="Z3287" s="1063"/>
      <c r="AA3287" s="1063"/>
      <c r="AB3287" s="1063"/>
      <c r="AC3287" s="1063"/>
      <c r="AD3287" s="1063"/>
      <c r="AE3287" s="1063"/>
      <c r="AF3287" s="1063"/>
      <c r="AG3287" s="1063"/>
      <c r="AH3287" s="1063"/>
      <c r="AI3287" s="1063"/>
      <c r="AJ3287" s="1063"/>
      <c r="AK3287" s="1063"/>
      <c r="AL3287" s="1063"/>
      <c r="AM3287" s="1063"/>
      <c r="AN3287" s="1063"/>
      <c r="AO3287" s="1063"/>
      <c r="AP3287" s="1063"/>
      <c r="AQ3287" s="1063"/>
      <c r="AR3287" s="1063"/>
      <c r="AS3287" s="1063"/>
      <c r="AT3287" s="1063"/>
      <c r="AU3287" s="1063"/>
      <c r="AV3287" s="1063"/>
    </row>
    <row r="3288" spans="1:48" s="1108" customFormat="1" ht="27.75" customHeight="1">
      <c r="A3288" s="1076"/>
      <c r="B3288" s="1074">
        <f>+'[18]Bldg+Dev'!S4100</f>
        <v>0</v>
      </c>
      <c r="D3288" s="1063"/>
      <c r="F3288" s="1076"/>
      <c r="G3288" s="1063"/>
      <c r="H3288" s="1063"/>
      <c r="I3288" s="1063"/>
      <c r="J3288" s="1063"/>
      <c r="K3288" s="1063"/>
      <c r="L3288" s="1063"/>
      <c r="M3288" s="1063"/>
      <c r="N3288" s="1063"/>
      <c r="O3288" s="1063"/>
      <c r="P3288" s="1063"/>
      <c r="Q3288" s="1063"/>
      <c r="R3288" s="1063"/>
      <c r="S3288" s="1063"/>
      <c r="T3288" s="1063"/>
      <c r="U3288" s="1063"/>
      <c r="V3288" s="1063"/>
      <c r="W3288" s="1063"/>
      <c r="X3288" s="1063"/>
      <c r="Y3288" s="1063"/>
      <c r="Z3288" s="1063"/>
      <c r="AA3288" s="1063"/>
      <c r="AB3288" s="1063"/>
      <c r="AC3288" s="1063"/>
      <c r="AD3288" s="1063"/>
      <c r="AE3288" s="1063"/>
      <c r="AF3288" s="1063"/>
      <c r="AG3288" s="1063"/>
      <c r="AH3288" s="1063"/>
      <c r="AI3288" s="1063"/>
      <c r="AJ3288" s="1063"/>
      <c r="AK3288" s="1063"/>
      <c r="AL3288" s="1063"/>
      <c r="AM3288" s="1063"/>
      <c r="AN3288" s="1063"/>
      <c r="AO3288" s="1063"/>
      <c r="AP3288" s="1063"/>
      <c r="AQ3288" s="1063"/>
      <c r="AR3288" s="1063"/>
      <c r="AS3288" s="1063"/>
      <c r="AT3288" s="1063"/>
      <c r="AU3288" s="1063"/>
      <c r="AV3288" s="1063"/>
    </row>
    <row r="3289" spans="1:48" s="1108" customFormat="1" ht="27.75" customHeight="1">
      <c r="A3289" s="1076"/>
      <c r="B3289" s="1074">
        <f>+'[18]Bldg+Dev'!S4101</f>
        <v>0</v>
      </c>
      <c r="D3289" s="1063"/>
      <c r="F3289" s="1076"/>
      <c r="G3289" s="1063"/>
      <c r="H3289" s="1063"/>
      <c r="I3289" s="1063"/>
      <c r="J3289" s="1063"/>
      <c r="K3289" s="1063"/>
      <c r="L3289" s="1063"/>
      <c r="M3289" s="1063"/>
      <c r="N3289" s="1063"/>
      <c r="O3289" s="1063"/>
      <c r="P3289" s="1063"/>
      <c r="Q3289" s="1063"/>
      <c r="R3289" s="1063"/>
      <c r="S3289" s="1063"/>
      <c r="T3289" s="1063"/>
      <c r="U3289" s="1063"/>
      <c r="V3289" s="1063"/>
      <c r="W3289" s="1063"/>
      <c r="X3289" s="1063"/>
      <c r="Y3289" s="1063"/>
      <c r="Z3289" s="1063"/>
      <c r="AA3289" s="1063"/>
      <c r="AB3289" s="1063"/>
      <c r="AC3289" s="1063"/>
      <c r="AD3289" s="1063"/>
      <c r="AE3289" s="1063"/>
      <c r="AF3289" s="1063"/>
      <c r="AG3289" s="1063"/>
      <c r="AH3289" s="1063"/>
      <c r="AI3289" s="1063"/>
      <c r="AJ3289" s="1063"/>
      <c r="AK3289" s="1063"/>
      <c r="AL3289" s="1063"/>
      <c r="AM3289" s="1063"/>
      <c r="AN3289" s="1063"/>
      <c r="AO3289" s="1063"/>
      <c r="AP3289" s="1063"/>
      <c r="AQ3289" s="1063"/>
      <c r="AR3289" s="1063"/>
      <c r="AS3289" s="1063"/>
      <c r="AT3289" s="1063"/>
      <c r="AU3289" s="1063"/>
      <c r="AV3289" s="1063"/>
    </row>
    <row r="3290" spans="1:48" s="1108" customFormat="1" ht="27.75" customHeight="1">
      <c r="A3290" s="1076"/>
      <c r="B3290" s="1074">
        <f>+'[18]Bldg+Dev'!S4102</f>
        <v>0</v>
      </c>
      <c r="D3290" s="1063"/>
      <c r="F3290" s="1076"/>
      <c r="G3290" s="1063"/>
      <c r="H3290" s="1063"/>
      <c r="I3290" s="1063"/>
      <c r="J3290" s="1063"/>
      <c r="K3290" s="1063"/>
      <c r="L3290" s="1063"/>
      <c r="M3290" s="1063"/>
      <c r="N3290" s="1063"/>
      <c r="O3290" s="1063"/>
      <c r="P3290" s="1063"/>
      <c r="Q3290" s="1063"/>
      <c r="R3290" s="1063"/>
      <c r="S3290" s="1063"/>
      <c r="T3290" s="1063"/>
      <c r="U3290" s="1063"/>
      <c r="V3290" s="1063"/>
      <c r="W3290" s="1063"/>
      <c r="X3290" s="1063"/>
      <c r="Y3290" s="1063"/>
      <c r="Z3290" s="1063"/>
      <c r="AA3290" s="1063"/>
      <c r="AB3290" s="1063"/>
      <c r="AC3290" s="1063"/>
      <c r="AD3290" s="1063"/>
      <c r="AE3290" s="1063"/>
      <c r="AF3290" s="1063"/>
      <c r="AG3290" s="1063"/>
      <c r="AH3290" s="1063"/>
      <c r="AI3290" s="1063"/>
      <c r="AJ3290" s="1063"/>
      <c r="AK3290" s="1063"/>
      <c r="AL3290" s="1063"/>
      <c r="AM3290" s="1063"/>
      <c r="AN3290" s="1063"/>
      <c r="AO3290" s="1063"/>
      <c r="AP3290" s="1063"/>
      <c r="AQ3290" s="1063"/>
      <c r="AR3290" s="1063"/>
      <c r="AS3290" s="1063"/>
      <c r="AT3290" s="1063"/>
      <c r="AU3290" s="1063"/>
      <c r="AV3290" s="1063"/>
    </row>
    <row r="3291" spans="1:48" s="1108" customFormat="1" ht="27.75" customHeight="1">
      <c r="A3291" s="1076"/>
      <c r="B3291" s="1074">
        <f>+'[18]Bldg+Dev'!S4103</f>
        <v>0</v>
      </c>
      <c r="D3291" s="1063"/>
      <c r="F3291" s="1076"/>
      <c r="G3291" s="1063"/>
      <c r="H3291" s="1063"/>
      <c r="I3291" s="1063"/>
      <c r="J3291" s="1063"/>
      <c r="K3291" s="1063"/>
      <c r="L3291" s="1063"/>
      <c r="M3291" s="1063"/>
      <c r="N3291" s="1063"/>
      <c r="O3291" s="1063"/>
      <c r="P3291" s="1063"/>
      <c r="Q3291" s="1063"/>
      <c r="R3291" s="1063"/>
      <c r="S3291" s="1063"/>
      <c r="T3291" s="1063"/>
      <c r="U3291" s="1063"/>
      <c r="V3291" s="1063"/>
      <c r="W3291" s="1063"/>
      <c r="X3291" s="1063"/>
      <c r="Y3291" s="1063"/>
      <c r="Z3291" s="1063"/>
      <c r="AA3291" s="1063"/>
      <c r="AB3291" s="1063"/>
      <c r="AC3291" s="1063"/>
      <c r="AD3291" s="1063"/>
      <c r="AE3291" s="1063"/>
      <c r="AF3291" s="1063"/>
      <c r="AG3291" s="1063"/>
      <c r="AH3291" s="1063"/>
      <c r="AI3291" s="1063"/>
      <c r="AJ3291" s="1063"/>
      <c r="AK3291" s="1063"/>
      <c r="AL3291" s="1063"/>
      <c r="AM3291" s="1063"/>
      <c r="AN3291" s="1063"/>
      <c r="AO3291" s="1063"/>
      <c r="AP3291" s="1063"/>
      <c r="AQ3291" s="1063"/>
      <c r="AR3291" s="1063"/>
      <c r="AS3291" s="1063"/>
      <c r="AT3291" s="1063"/>
      <c r="AU3291" s="1063"/>
      <c r="AV3291" s="1063"/>
    </row>
    <row r="3292" spans="1:48" s="1108" customFormat="1" ht="27.75" customHeight="1">
      <c r="A3292" s="1076"/>
      <c r="B3292" s="1074">
        <f>+'[18]Bldg+Dev'!S4104</f>
        <v>0</v>
      </c>
      <c r="D3292" s="1063"/>
      <c r="F3292" s="1076"/>
      <c r="G3292" s="1063"/>
      <c r="H3292" s="1063"/>
      <c r="I3292" s="1063"/>
      <c r="J3292" s="1063"/>
      <c r="K3292" s="1063"/>
      <c r="L3292" s="1063"/>
      <c r="M3292" s="1063"/>
      <c r="N3292" s="1063"/>
      <c r="O3292" s="1063"/>
      <c r="P3292" s="1063"/>
      <c r="Q3292" s="1063"/>
      <c r="R3292" s="1063"/>
      <c r="S3292" s="1063"/>
      <c r="T3292" s="1063"/>
      <c r="U3292" s="1063"/>
      <c r="V3292" s="1063"/>
      <c r="W3292" s="1063"/>
      <c r="X3292" s="1063"/>
      <c r="Y3292" s="1063"/>
      <c r="Z3292" s="1063"/>
      <c r="AA3292" s="1063"/>
      <c r="AB3292" s="1063"/>
      <c r="AC3292" s="1063"/>
      <c r="AD3292" s="1063"/>
      <c r="AE3292" s="1063"/>
      <c r="AF3292" s="1063"/>
      <c r="AG3292" s="1063"/>
      <c r="AH3292" s="1063"/>
      <c r="AI3292" s="1063"/>
      <c r="AJ3292" s="1063"/>
      <c r="AK3292" s="1063"/>
      <c r="AL3292" s="1063"/>
      <c r="AM3292" s="1063"/>
      <c r="AN3292" s="1063"/>
      <c r="AO3292" s="1063"/>
      <c r="AP3292" s="1063"/>
      <c r="AQ3292" s="1063"/>
      <c r="AR3292" s="1063"/>
      <c r="AS3292" s="1063"/>
      <c r="AT3292" s="1063"/>
      <c r="AU3292" s="1063"/>
      <c r="AV3292" s="1063"/>
    </row>
    <row r="3293" spans="1:48" s="1108" customFormat="1" ht="27.75" customHeight="1">
      <c r="A3293" s="1076"/>
      <c r="B3293" s="1074">
        <f>+'[18]Bldg+Dev'!S4105</f>
        <v>0</v>
      </c>
      <c r="D3293" s="1063"/>
      <c r="F3293" s="1076"/>
      <c r="G3293" s="1063"/>
      <c r="H3293" s="1063"/>
      <c r="I3293" s="1063"/>
      <c r="J3293" s="1063"/>
      <c r="K3293" s="1063"/>
      <c r="L3293" s="1063"/>
      <c r="M3293" s="1063"/>
      <c r="N3293" s="1063"/>
      <c r="O3293" s="1063"/>
      <c r="P3293" s="1063"/>
      <c r="Q3293" s="1063"/>
      <c r="R3293" s="1063"/>
      <c r="S3293" s="1063"/>
      <c r="T3293" s="1063"/>
      <c r="U3293" s="1063"/>
      <c r="V3293" s="1063"/>
      <c r="W3293" s="1063"/>
      <c r="X3293" s="1063"/>
      <c r="Y3293" s="1063"/>
      <c r="Z3293" s="1063"/>
      <c r="AA3293" s="1063"/>
      <c r="AB3293" s="1063"/>
      <c r="AC3293" s="1063"/>
      <c r="AD3293" s="1063"/>
      <c r="AE3293" s="1063"/>
      <c r="AF3293" s="1063"/>
      <c r="AG3293" s="1063"/>
      <c r="AH3293" s="1063"/>
      <c r="AI3293" s="1063"/>
      <c r="AJ3293" s="1063"/>
      <c r="AK3293" s="1063"/>
      <c r="AL3293" s="1063"/>
      <c r="AM3293" s="1063"/>
      <c r="AN3293" s="1063"/>
      <c r="AO3293" s="1063"/>
      <c r="AP3293" s="1063"/>
      <c r="AQ3293" s="1063"/>
      <c r="AR3293" s="1063"/>
      <c r="AS3293" s="1063"/>
      <c r="AT3293" s="1063"/>
      <c r="AU3293" s="1063"/>
      <c r="AV3293" s="1063"/>
    </row>
    <row r="3294" spans="1:48" s="1108" customFormat="1" ht="27.75" customHeight="1">
      <c r="A3294" s="1076"/>
      <c r="B3294" s="1074">
        <f>+'[18]Bldg+Dev'!S4106</f>
        <v>0</v>
      </c>
      <c r="D3294" s="1063"/>
      <c r="F3294" s="1076"/>
      <c r="G3294" s="1063"/>
      <c r="H3294" s="1063"/>
      <c r="I3294" s="1063"/>
      <c r="J3294" s="1063"/>
      <c r="K3294" s="1063"/>
      <c r="L3294" s="1063"/>
      <c r="M3294" s="1063"/>
      <c r="N3294" s="1063"/>
      <c r="O3294" s="1063"/>
      <c r="P3294" s="1063"/>
      <c r="Q3294" s="1063"/>
      <c r="R3294" s="1063"/>
      <c r="S3294" s="1063"/>
      <c r="T3294" s="1063"/>
      <c r="U3294" s="1063"/>
      <c r="V3294" s="1063"/>
      <c r="W3294" s="1063"/>
      <c r="X3294" s="1063"/>
      <c r="Y3294" s="1063"/>
      <c r="Z3294" s="1063"/>
      <c r="AA3294" s="1063"/>
      <c r="AB3294" s="1063"/>
      <c r="AC3294" s="1063"/>
      <c r="AD3294" s="1063"/>
      <c r="AE3294" s="1063"/>
      <c r="AF3294" s="1063"/>
      <c r="AG3294" s="1063"/>
      <c r="AH3294" s="1063"/>
      <c r="AI3294" s="1063"/>
      <c r="AJ3294" s="1063"/>
      <c r="AK3294" s="1063"/>
      <c r="AL3294" s="1063"/>
      <c r="AM3294" s="1063"/>
      <c r="AN3294" s="1063"/>
      <c r="AO3294" s="1063"/>
      <c r="AP3294" s="1063"/>
      <c r="AQ3294" s="1063"/>
      <c r="AR3294" s="1063"/>
      <c r="AS3294" s="1063"/>
      <c r="AT3294" s="1063"/>
      <c r="AU3294" s="1063"/>
      <c r="AV3294" s="1063"/>
    </row>
    <row r="3295" spans="1:48" s="1108" customFormat="1" ht="27.75" customHeight="1">
      <c r="A3295" s="1076"/>
      <c r="B3295" s="1074">
        <f>+'[18]Bldg+Dev'!S4107</f>
        <v>0</v>
      </c>
      <c r="D3295" s="1063"/>
      <c r="F3295" s="1076"/>
      <c r="G3295" s="1063"/>
      <c r="H3295" s="1063"/>
      <c r="I3295" s="1063"/>
      <c r="J3295" s="1063"/>
      <c r="K3295" s="1063"/>
      <c r="L3295" s="1063"/>
      <c r="M3295" s="1063"/>
      <c r="N3295" s="1063"/>
      <c r="O3295" s="1063"/>
      <c r="P3295" s="1063"/>
      <c r="Q3295" s="1063"/>
      <c r="R3295" s="1063"/>
      <c r="S3295" s="1063"/>
      <c r="T3295" s="1063"/>
      <c r="U3295" s="1063"/>
      <c r="V3295" s="1063"/>
      <c r="W3295" s="1063"/>
      <c r="X3295" s="1063"/>
      <c r="Y3295" s="1063"/>
      <c r="Z3295" s="1063"/>
      <c r="AA3295" s="1063"/>
      <c r="AB3295" s="1063"/>
      <c r="AC3295" s="1063"/>
      <c r="AD3295" s="1063"/>
      <c r="AE3295" s="1063"/>
      <c r="AF3295" s="1063"/>
      <c r="AG3295" s="1063"/>
      <c r="AH3295" s="1063"/>
      <c r="AI3295" s="1063"/>
      <c r="AJ3295" s="1063"/>
      <c r="AK3295" s="1063"/>
      <c r="AL3295" s="1063"/>
      <c r="AM3295" s="1063"/>
      <c r="AN3295" s="1063"/>
      <c r="AO3295" s="1063"/>
      <c r="AP3295" s="1063"/>
      <c r="AQ3295" s="1063"/>
      <c r="AR3295" s="1063"/>
      <c r="AS3295" s="1063"/>
      <c r="AT3295" s="1063"/>
      <c r="AU3295" s="1063"/>
      <c r="AV3295" s="1063"/>
    </row>
    <row r="3296" spans="1:48" s="1108" customFormat="1" ht="27.75" customHeight="1">
      <c r="A3296" s="1076"/>
      <c r="B3296" s="1074">
        <f>+'[18]Bldg+Dev'!S4108</f>
        <v>0</v>
      </c>
      <c r="D3296" s="1063"/>
      <c r="F3296" s="1076"/>
      <c r="G3296" s="1063"/>
      <c r="H3296" s="1063"/>
      <c r="I3296" s="1063"/>
      <c r="J3296" s="1063"/>
      <c r="K3296" s="1063"/>
      <c r="L3296" s="1063"/>
      <c r="M3296" s="1063"/>
      <c r="N3296" s="1063"/>
      <c r="O3296" s="1063"/>
      <c r="P3296" s="1063"/>
      <c r="Q3296" s="1063"/>
      <c r="R3296" s="1063"/>
      <c r="S3296" s="1063"/>
      <c r="T3296" s="1063"/>
      <c r="U3296" s="1063"/>
      <c r="V3296" s="1063"/>
      <c r="W3296" s="1063"/>
      <c r="X3296" s="1063"/>
      <c r="Y3296" s="1063"/>
      <c r="Z3296" s="1063"/>
      <c r="AA3296" s="1063"/>
      <c r="AB3296" s="1063"/>
      <c r="AC3296" s="1063"/>
      <c r="AD3296" s="1063"/>
      <c r="AE3296" s="1063"/>
      <c r="AF3296" s="1063"/>
      <c r="AG3296" s="1063"/>
      <c r="AH3296" s="1063"/>
      <c r="AI3296" s="1063"/>
      <c r="AJ3296" s="1063"/>
      <c r="AK3296" s="1063"/>
      <c r="AL3296" s="1063"/>
      <c r="AM3296" s="1063"/>
      <c r="AN3296" s="1063"/>
      <c r="AO3296" s="1063"/>
      <c r="AP3296" s="1063"/>
      <c r="AQ3296" s="1063"/>
      <c r="AR3296" s="1063"/>
      <c r="AS3296" s="1063"/>
      <c r="AT3296" s="1063"/>
      <c r="AU3296" s="1063"/>
      <c r="AV3296" s="1063"/>
    </row>
    <row r="3297" spans="1:48" s="1108" customFormat="1" ht="27.75" customHeight="1">
      <c r="A3297" s="1076"/>
      <c r="B3297" s="1074">
        <f>+'[18]Bldg+Dev'!S4109</f>
        <v>0</v>
      </c>
      <c r="D3297" s="1063"/>
      <c r="F3297" s="1076"/>
      <c r="G3297" s="1063"/>
      <c r="H3297" s="1063"/>
      <c r="I3297" s="1063"/>
      <c r="J3297" s="1063"/>
      <c r="K3297" s="1063"/>
      <c r="L3297" s="1063"/>
      <c r="M3297" s="1063"/>
      <c r="N3297" s="1063"/>
      <c r="O3297" s="1063"/>
      <c r="P3297" s="1063"/>
      <c r="Q3297" s="1063"/>
      <c r="R3297" s="1063"/>
      <c r="S3297" s="1063"/>
      <c r="T3297" s="1063"/>
      <c r="U3297" s="1063"/>
      <c r="V3297" s="1063"/>
      <c r="W3297" s="1063"/>
      <c r="X3297" s="1063"/>
      <c r="Y3297" s="1063"/>
      <c r="Z3297" s="1063"/>
      <c r="AA3297" s="1063"/>
      <c r="AB3297" s="1063"/>
      <c r="AC3297" s="1063"/>
      <c r="AD3297" s="1063"/>
      <c r="AE3297" s="1063"/>
      <c r="AF3297" s="1063"/>
      <c r="AG3297" s="1063"/>
      <c r="AH3297" s="1063"/>
      <c r="AI3297" s="1063"/>
      <c r="AJ3297" s="1063"/>
      <c r="AK3297" s="1063"/>
      <c r="AL3297" s="1063"/>
      <c r="AM3297" s="1063"/>
      <c r="AN3297" s="1063"/>
      <c r="AO3297" s="1063"/>
      <c r="AP3297" s="1063"/>
      <c r="AQ3297" s="1063"/>
      <c r="AR3297" s="1063"/>
      <c r="AS3297" s="1063"/>
      <c r="AT3297" s="1063"/>
      <c r="AU3297" s="1063"/>
      <c r="AV3297" s="1063"/>
    </row>
    <row r="3298" spans="1:48" s="1108" customFormat="1" ht="27.75" customHeight="1">
      <c r="A3298" s="1076"/>
      <c r="B3298" s="1074">
        <f>+'[18]Bldg+Dev'!S4110</f>
        <v>0</v>
      </c>
      <c r="D3298" s="1063"/>
      <c r="F3298" s="1076"/>
      <c r="G3298" s="1063"/>
      <c r="H3298" s="1063"/>
      <c r="I3298" s="1063"/>
      <c r="J3298" s="1063"/>
      <c r="K3298" s="1063"/>
      <c r="L3298" s="1063"/>
      <c r="M3298" s="1063"/>
      <c r="N3298" s="1063"/>
      <c r="O3298" s="1063"/>
      <c r="P3298" s="1063"/>
      <c r="Q3298" s="1063"/>
      <c r="R3298" s="1063"/>
      <c r="S3298" s="1063"/>
      <c r="T3298" s="1063"/>
      <c r="U3298" s="1063"/>
      <c r="V3298" s="1063"/>
      <c r="W3298" s="1063"/>
      <c r="X3298" s="1063"/>
      <c r="Y3298" s="1063"/>
      <c r="Z3298" s="1063"/>
      <c r="AA3298" s="1063"/>
      <c r="AB3298" s="1063"/>
      <c r="AC3298" s="1063"/>
      <c r="AD3298" s="1063"/>
      <c r="AE3298" s="1063"/>
      <c r="AF3298" s="1063"/>
      <c r="AG3298" s="1063"/>
      <c r="AH3298" s="1063"/>
      <c r="AI3298" s="1063"/>
      <c r="AJ3298" s="1063"/>
      <c r="AK3298" s="1063"/>
      <c r="AL3298" s="1063"/>
      <c r="AM3298" s="1063"/>
      <c r="AN3298" s="1063"/>
      <c r="AO3298" s="1063"/>
      <c r="AP3298" s="1063"/>
      <c r="AQ3298" s="1063"/>
      <c r="AR3298" s="1063"/>
      <c r="AS3298" s="1063"/>
      <c r="AT3298" s="1063"/>
      <c r="AU3298" s="1063"/>
      <c r="AV3298" s="1063"/>
    </row>
    <row r="3299" spans="1:48" s="1108" customFormat="1" ht="27.75" customHeight="1">
      <c r="A3299" s="1076"/>
      <c r="B3299" s="1074">
        <f>+'[18]Bldg+Dev'!S4111</f>
        <v>0</v>
      </c>
      <c r="D3299" s="1063"/>
      <c r="F3299" s="1076"/>
      <c r="G3299" s="1063"/>
      <c r="H3299" s="1063"/>
      <c r="I3299" s="1063"/>
      <c r="J3299" s="1063"/>
      <c r="K3299" s="1063"/>
      <c r="L3299" s="1063"/>
      <c r="M3299" s="1063"/>
      <c r="N3299" s="1063"/>
      <c r="O3299" s="1063"/>
      <c r="P3299" s="1063"/>
      <c r="Q3299" s="1063"/>
      <c r="R3299" s="1063"/>
      <c r="S3299" s="1063"/>
      <c r="T3299" s="1063"/>
      <c r="U3299" s="1063"/>
      <c r="V3299" s="1063"/>
      <c r="W3299" s="1063"/>
      <c r="X3299" s="1063"/>
      <c r="Y3299" s="1063"/>
      <c r="Z3299" s="1063"/>
      <c r="AA3299" s="1063"/>
      <c r="AB3299" s="1063"/>
      <c r="AC3299" s="1063"/>
      <c r="AD3299" s="1063"/>
      <c r="AE3299" s="1063"/>
      <c r="AF3299" s="1063"/>
      <c r="AG3299" s="1063"/>
      <c r="AH3299" s="1063"/>
      <c r="AI3299" s="1063"/>
      <c r="AJ3299" s="1063"/>
      <c r="AK3299" s="1063"/>
      <c r="AL3299" s="1063"/>
      <c r="AM3299" s="1063"/>
      <c r="AN3299" s="1063"/>
      <c r="AO3299" s="1063"/>
      <c r="AP3299" s="1063"/>
      <c r="AQ3299" s="1063"/>
      <c r="AR3299" s="1063"/>
      <c r="AS3299" s="1063"/>
      <c r="AT3299" s="1063"/>
      <c r="AU3299" s="1063"/>
      <c r="AV3299" s="1063"/>
    </row>
    <row r="3300" spans="1:48" s="1108" customFormat="1" ht="27.75" customHeight="1">
      <c r="A3300" s="1076"/>
      <c r="B3300" s="1074">
        <f>+'[18]Bldg+Dev'!S4112</f>
        <v>0</v>
      </c>
      <c r="D3300" s="1063"/>
      <c r="F3300" s="1076"/>
      <c r="G3300" s="1063"/>
      <c r="H3300" s="1063"/>
      <c r="I3300" s="1063"/>
      <c r="J3300" s="1063"/>
      <c r="K3300" s="1063"/>
      <c r="L3300" s="1063"/>
      <c r="M3300" s="1063"/>
      <c r="N3300" s="1063"/>
      <c r="O3300" s="1063"/>
      <c r="P3300" s="1063"/>
      <c r="Q3300" s="1063"/>
      <c r="R3300" s="1063"/>
      <c r="S3300" s="1063"/>
      <c r="T3300" s="1063"/>
      <c r="U3300" s="1063"/>
      <c r="V3300" s="1063"/>
      <c r="W3300" s="1063"/>
      <c r="X3300" s="1063"/>
      <c r="Y3300" s="1063"/>
      <c r="Z3300" s="1063"/>
      <c r="AA3300" s="1063"/>
      <c r="AB3300" s="1063"/>
      <c r="AC3300" s="1063"/>
      <c r="AD3300" s="1063"/>
      <c r="AE3300" s="1063"/>
      <c r="AF3300" s="1063"/>
      <c r="AG3300" s="1063"/>
      <c r="AH3300" s="1063"/>
      <c r="AI3300" s="1063"/>
      <c r="AJ3300" s="1063"/>
      <c r="AK3300" s="1063"/>
      <c r="AL3300" s="1063"/>
      <c r="AM3300" s="1063"/>
      <c r="AN3300" s="1063"/>
      <c r="AO3300" s="1063"/>
      <c r="AP3300" s="1063"/>
      <c r="AQ3300" s="1063"/>
      <c r="AR3300" s="1063"/>
      <c r="AS3300" s="1063"/>
      <c r="AT3300" s="1063"/>
      <c r="AU3300" s="1063"/>
      <c r="AV3300" s="1063"/>
    </row>
    <row r="3301" spans="1:48" s="1108" customFormat="1" ht="27.75" customHeight="1">
      <c r="A3301" s="1076"/>
      <c r="B3301" s="1074">
        <f>+'[18]Bldg+Dev'!S4113</f>
        <v>0</v>
      </c>
      <c r="D3301" s="1063"/>
      <c r="F3301" s="1076"/>
      <c r="G3301" s="1063"/>
      <c r="H3301" s="1063"/>
      <c r="I3301" s="1063"/>
      <c r="J3301" s="1063"/>
      <c r="K3301" s="1063"/>
      <c r="L3301" s="1063"/>
      <c r="M3301" s="1063"/>
      <c r="N3301" s="1063"/>
      <c r="O3301" s="1063"/>
      <c r="P3301" s="1063"/>
      <c r="Q3301" s="1063"/>
      <c r="R3301" s="1063"/>
      <c r="S3301" s="1063"/>
      <c r="T3301" s="1063"/>
      <c r="U3301" s="1063"/>
      <c r="V3301" s="1063"/>
      <c r="W3301" s="1063"/>
      <c r="X3301" s="1063"/>
      <c r="Y3301" s="1063"/>
      <c r="Z3301" s="1063"/>
      <c r="AA3301" s="1063"/>
      <c r="AB3301" s="1063"/>
      <c r="AC3301" s="1063"/>
      <c r="AD3301" s="1063"/>
      <c r="AE3301" s="1063"/>
      <c r="AF3301" s="1063"/>
      <c r="AG3301" s="1063"/>
      <c r="AH3301" s="1063"/>
      <c r="AI3301" s="1063"/>
      <c r="AJ3301" s="1063"/>
      <c r="AK3301" s="1063"/>
      <c r="AL3301" s="1063"/>
      <c r="AM3301" s="1063"/>
      <c r="AN3301" s="1063"/>
      <c r="AO3301" s="1063"/>
      <c r="AP3301" s="1063"/>
      <c r="AQ3301" s="1063"/>
      <c r="AR3301" s="1063"/>
      <c r="AS3301" s="1063"/>
      <c r="AT3301" s="1063"/>
      <c r="AU3301" s="1063"/>
      <c r="AV3301" s="1063"/>
    </row>
    <row r="3302" spans="1:48" s="1108" customFormat="1" ht="27.75" customHeight="1">
      <c r="A3302" s="1076"/>
      <c r="B3302" s="1074">
        <f>+'[18]Bldg+Dev'!S4114</f>
        <v>0</v>
      </c>
      <c r="D3302" s="1063"/>
      <c r="F3302" s="1076"/>
      <c r="G3302" s="1063"/>
      <c r="H3302" s="1063"/>
      <c r="I3302" s="1063"/>
      <c r="J3302" s="1063"/>
      <c r="K3302" s="1063"/>
      <c r="L3302" s="1063"/>
      <c r="M3302" s="1063"/>
      <c r="N3302" s="1063"/>
      <c r="O3302" s="1063"/>
      <c r="P3302" s="1063"/>
      <c r="Q3302" s="1063"/>
      <c r="R3302" s="1063"/>
      <c r="S3302" s="1063"/>
      <c r="T3302" s="1063"/>
      <c r="U3302" s="1063"/>
      <c r="V3302" s="1063"/>
      <c r="W3302" s="1063"/>
      <c r="X3302" s="1063"/>
      <c r="Y3302" s="1063"/>
      <c r="Z3302" s="1063"/>
      <c r="AA3302" s="1063"/>
      <c r="AB3302" s="1063"/>
      <c r="AC3302" s="1063"/>
      <c r="AD3302" s="1063"/>
      <c r="AE3302" s="1063"/>
      <c r="AF3302" s="1063"/>
      <c r="AG3302" s="1063"/>
      <c r="AH3302" s="1063"/>
      <c r="AI3302" s="1063"/>
      <c r="AJ3302" s="1063"/>
      <c r="AK3302" s="1063"/>
      <c r="AL3302" s="1063"/>
      <c r="AM3302" s="1063"/>
      <c r="AN3302" s="1063"/>
      <c r="AO3302" s="1063"/>
      <c r="AP3302" s="1063"/>
      <c r="AQ3302" s="1063"/>
      <c r="AR3302" s="1063"/>
      <c r="AS3302" s="1063"/>
      <c r="AT3302" s="1063"/>
      <c r="AU3302" s="1063"/>
      <c r="AV3302" s="1063"/>
    </row>
    <row r="3303" spans="1:48" s="1108" customFormat="1" ht="27.75" customHeight="1">
      <c r="A3303" s="1076"/>
      <c r="B3303" s="1074">
        <f>+'[18]Bldg+Dev'!S4115</f>
        <v>0</v>
      </c>
      <c r="D3303" s="1063"/>
      <c r="F3303" s="1076"/>
      <c r="G3303" s="1063"/>
      <c r="H3303" s="1063"/>
      <c r="I3303" s="1063"/>
      <c r="J3303" s="1063"/>
      <c r="K3303" s="1063"/>
      <c r="L3303" s="1063"/>
      <c r="M3303" s="1063"/>
      <c r="N3303" s="1063"/>
      <c r="O3303" s="1063"/>
      <c r="P3303" s="1063"/>
      <c r="Q3303" s="1063"/>
      <c r="R3303" s="1063"/>
      <c r="S3303" s="1063"/>
      <c r="T3303" s="1063"/>
      <c r="U3303" s="1063"/>
      <c r="V3303" s="1063"/>
      <c r="W3303" s="1063"/>
      <c r="X3303" s="1063"/>
      <c r="Y3303" s="1063"/>
      <c r="Z3303" s="1063"/>
      <c r="AA3303" s="1063"/>
      <c r="AB3303" s="1063"/>
      <c r="AC3303" s="1063"/>
      <c r="AD3303" s="1063"/>
      <c r="AE3303" s="1063"/>
      <c r="AF3303" s="1063"/>
      <c r="AG3303" s="1063"/>
      <c r="AH3303" s="1063"/>
      <c r="AI3303" s="1063"/>
      <c r="AJ3303" s="1063"/>
      <c r="AK3303" s="1063"/>
      <c r="AL3303" s="1063"/>
      <c r="AM3303" s="1063"/>
      <c r="AN3303" s="1063"/>
      <c r="AO3303" s="1063"/>
      <c r="AP3303" s="1063"/>
      <c r="AQ3303" s="1063"/>
      <c r="AR3303" s="1063"/>
      <c r="AS3303" s="1063"/>
      <c r="AT3303" s="1063"/>
      <c r="AU3303" s="1063"/>
      <c r="AV3303" s="1063"/>
    </row>
    <row r="3304" spans="1:48" s="1108" customFormat="1" ht="27.75" customHeight="1">
      <c r="A3304" s="1076"/>
      <c r="B3304" s="1074">
        <f>+'[18]Bldg+Dev'!S4116</f>
        <v>0</v>
      </c>
      <c r="D3304" s="1063"/>
      <c r="F3304" s="1076"/>
      <c r="G3304" s="1063"/>
      <c r="H3304" s="1063"/>
      <c r="I3304" s="1063"/>
      <c r="J3304" s="1063"/>
      <c r="K3304" s="1063"/>
      <c r="L3304" s="1063"/>
      <c r="M3304" s="1063"/>
      <c r="N3304" s="1063"/>
      <c r="O3304" s="1063"/>
      <c r="P3304" s="1063"/>
      <c r="Q3304" s="1063"/>
      <c r="R3304" s="1063"/>
      <c r="S3304" s="1063"/>
      <c r="T3304" s="1063"/>
      <c r="U3304" s="1063"/>
      <c r="V3304" s="1063"/>
      <c r="W3304" s="1063"/>
      <c r="X3304" s="1063"/>
      <c r="Y3304" s="1063"/>
      <c r="Z3304" s="1063"/>
      <c r="AA3304" s="1063"/>
      <c r="AB3304" s="1063"/>
      <c r="AC3304" s="1063"/>
      <c r="AD3304" s="1063"/>
      <c r="AE3304" s="1063"/>
      <c r="AF3304" s="1063"/>
      <c r="AG3304" s="1063"/>
      <c r="AH3304" s="1063"/>
      <c r="AI3304" s="1063"/>
      <c r="AJ3304" s="1063"/>
      <c r="AK3304" s="1063"/>
      <c r="AL3304" s="1063"/>
      <c r="AM3304" s="1063"/>
      <c r="AN3304" s="1063"/>
      <c r="AO3304" s="1063"/>
      <c r="AP3304" s="1063"/>
      <c r="AQ3304" s="1063"/>
      <c r="AR3304" s="1063"/>
      <c r="AS3304" s="1063"/>
      <c r="AT3304" s="1063"/>
      <c r="AU3304" s="1063"/>
      <c r="AV3304" s="1063"/>
    </row>
    <row r="3305" spans="1:48" s="1108" customFormat="1" ht="27.75" customHeight="1">
      <c r="A3305" s="1076"/>
      <c r="B3305" s="1074">
        <f>+'[18]Bldg+Dev'!S4117</f>
        <v>0</v>
      </c>
      <c r="D3305" s="1063"/>
      <c r="F3305" s="1076"/>
      <c r="G3305" s="1063"/>
      <c r="H3305" s="1063"/>
      <c r="I3305" s="1063"/>
      <c r="J3305" s="1063"/>
      <c r="K3305" s="1063"/>
      <c r="L3305" s="1063"/>
      <c r="M3305" s="1063"/>
      <c r="N3305" s="1063"/>
      <c r="O3305" s="1063"/>
      <c r="P3305" s="1063"/>
      <c r="Q3305" s="1063"/>
      <c r="R3305" s="1063"/>
      <c r="S3305" s="1063"/>
      <c r="T3305" s="1063"/>
      <c r="U3305" s="1063"/>
      <c r="V3305" s="1063"/>
      <c r="W3305" s="1063"/>
      <c r="X3305" s="1063"/>
      <c r="Y3305" s="1063"/>
      <c r="Z3305" s="1063"/>
      <c r="AA3305" s="1063"/>
      <c r="AB3305" s="1063"/>
      <c r="AC3305" s="1063"/>
      <c r="AD3305" s="1063"/>
      <c r="AE3305" s="1063"/>
      <c r="AF3305" s="1063"/>
      <c r="AG3305" s="1063"/>
      <c r="AH3305" s="1063"/>
      <c r="AI3305" s="1063"/>
      <c r="AJ3305" s="1063"/>
      <c r="AK3305" s="1063"/>
      <c r="AL3305" s="1063"/>
      <c r="AM3305" s="1063"/>
      <c r="AN3305" s="1063"/>
      <c r="AO3305" s="1063"/>
      <c r="AP3305" s="1063"/>
      <c r="AQ3305" s="1063"/>
      <c r="AR3305" s="1063"/>
      <c r="AS3305" s="1063"/>
      <c r="AT3305" s="1063"/>
      <c r="AU3305" s="1063"/>
      <c r="AV3305" s="1063"/>
    </row>
    <row r="3306" spans="1:48" s="1108" customFormat="1" ht="27.75" customHeight="1">
      <c r="A3306" s="1076"/>
      <c r="B3306" s="1074">
        <f>+'[18]Bldg+Dev'!S4118</f>
        <v>0</v>
      </c>
      <c r="D3306" s="1063"/>
      <c r="F3306" s="1076"/>
      <c r="G3306" s="1063"/>
      <c r="H3306" s="1063"/>
      <c r="I3306" s="1063"/>
      <c r="J3306" s="1063"/>
      <c r="K3306" s="1063"/>
      <c r="L3306" s="1063"/>
      <c r="M3306" s="1063"/>
      <c r="N3306" s="1063"/>
      <c r="O3306" s="1063"/>
      <c r="P3306" s="1063"/>
      <c r="Q3306" s="1063"/>
      <c r="R3306" s="1063"/>
      <c r="S3306" s="1063"/>
      <c r="T3306" s="1063"/>
      <c r="U3306" s="1063"/>
      <c r="V3306" s="1063"/>
      <c r="W3306" s="1063"/>
      <c r="X3306" s="1063"/>
      <c r="Y3306" s="1063"/>
      <c r="Z3306" s="1063"/>
      <c r="AA3306" s="1063"/>
      <c r="AB3306" s="1063"/>
      <c r="AC3306" s="1063"/>
      <c r="AD3306" s="1063"/>
      <c r="AE3306" s="1063"/>
      <c r="AF3306" s="1063"/>
      <c r="AG3306" s="1063"/>
      <c r="AH3306" s="1063"/>
      <c r="AI3306" s="1063"/>
      <c r="AJ3306" s="1063"/>
      <c r="AK3306" s="1063"/>
      <c r="AL3306" s="1063"/>
      <c r="AM3306" s="1063"/>
      <c r="AN3306" s="1063"/>
      <c r="AO3306" s="1063"/>
      <c r="AP3306" s="1063"/>
      <c r="AQ3306" s="1063"/>
      <c r="AR3306" s="1063"/>
      <c r="AS3306" s="1063"/>
      <c r="AT3306" s="1063"/>
      <c r="AU3306" s="1063"/>
      <c r="AV3306" s="1063"/>
    </row>
    <row r="3307" spans="1:48" s="1108" customFormat="1" ht="27.75" customHeight="1">
      <c r="A3307" s="1076"/>
      <c r="B3307" s="1074">
        <f>+'[18]Bldg+Dev'!S4119</f>
        <v>0</v>
      </c>
      <c r="D3307" s="1063"/>
      <c r="F3307" s="1076"/>
      <c r="G3307" s="1063"/>
      <c r="H3307" s="1063"/>
      <c r="I3307" s="1063"/>
      <c r="J3307" s="1063"/>
      <c r="K3307" s="1063"/>
      <c r="L3307" s="1063"/>
      <c r="M3307" s="1063"/>
      <c r="N3307" s="1063"/>
      <c r="O3307" s="1063"/>
      <c r="P3307" s="1063"/>
      <c r="Q3307" s="1063"/>
      <c r="R3307" s="1063"/>
      <c r="S3307" s="1063"/>
      <c r="T3307" s="1063"/>
      <c r="U3307" s="1063"/>
      <c r="V3307" s="1063"/>
      <c r="W3307" s="1063"/>
      <c r="X3307" s="1063"/>
      <c r="Y3307" s="1063"/>
      <c r="Z3307" s="1063"/>
      <c r="AA3307" s="1063"/>
      <c r="AB3307" s="1063"/>
      <c r="AC3307" s="1063"/>
      <c r="AD3307" s="1063"/>
      <c r="AE3307" s="1063"/>
      <c r="AF3307" s="1063"/>
      <c r="AG3307" s="1063"/>
      <c r="AH3307" s="1063"/>
      <c r="AI3307" s="1063"/>
      <c r="AJ3307" s="1063"/>
      <c r="AK3307" s="1063"/>
      <c r="AL3307" s="1063"/>
      <c r="AM3307" s="1063"/>
      <c r="AN3307" s="1063"/>
      <c r="AO3307" s="1063"/>
      <c r="AP3307" s="1063"/>
      <c r="AQ3307" s="1063"/>
      <c r="AR3307" s="1063"/>
      <c r="AS3307" s="1063"/>
      <c r="AT3307" s="1063"/>
      <c r="AU3307" s="1063"/>
      <c r="AV3307" s="1063"/>
    </row>
    <row r="3308" spans="1:48" s="1108" customFormat="1" ht="27.75" customHeight="1">
      <c r="A3308" s="1076"/>
      <c r="B3308" s="1074">
        <f>+'[18]Bldg+Dev'!S4120</f>
        <v>0</v>
      </c>
      <c r="D3308" s="1063"/>
      <c r="F3308" s="1076"/>
      <c r="G3308" s="1063"/>
      <c r="H3308" s="1063"/>
      <c r="I3308" s="1063"/>
      <c r="J3308" s="1063"/>
      <c r="K3308" s="1063"/>
      <c r="L3308" s="1063"/>
      <c r="M3308" s="1063"/>
      <c r="N3308" s="1063"/>
      <c r="O3308" s="1063"/>
      <c r="P3308" s="1063"/>
      <c r="Q3308" s="1063"/>
      <c r="R3308" s="1063"/>
      <c r="S3308" s="1063"/>
      <c r="T3308" s="1063"/>
      <c r="U3308" s="1063"/>
      <c r="V3308" s="1063"/>
      <c r="W3308" s="1063"/>
      <c r="X3308" s="1063"/>
      <c r="Y3308" s="1063"/>
      <c r="Z3308" s="1063"/>
      <c r="AA3308" s="1063"/>
      <c r="AB3308" s="1063"/>
      <c r="AC3308" s="1063"/>
      <c r="AD3308" s="1063"/>
      <c r="AE3308" s="1063"/>
      <c r="AF3308" s="1063"/>
      <c r="AG3308" s="1063"/>
      <c r="AH3308" s="1063"/>
      <c r="AI3308" s="1063"/>
      <c r="AJ3308" s="1063"/>
      <c r="AK3308" s="1063"/>
      <c r="AL3308" s="1063"/>
      <c r="AM3308" s="1063"/>
      <c r="AN3308" s="1063"/>
      <c r="AO3308" s="1063"/>
      <c r="AP3308" s="1063"/>
      <c r="AQ3308" s="1063"/>
      <c r="AR3308" s="1063"/>
      <c r="AS3308" s="1063"/>
      <c r="AT3308" s="1063"/>
      <c r="AU3308" s="1063"/>
      <c r="AV3308" s="1063"/>
    </row>
    <row r="3309" spans="1:48" s="1108" customFormat="1" ht="27.75" customHeight="1">
      <c r="A3309" s="1076"/>
      <c r="B3309" s="1074">
        <f>+'[18]Bldg+Dev'!S4121</f>
        <v>0</v>
      </c>
      <c r="D3309" s="1063"/>
      <c r="F3309" s="1076"/>
      <c r="G3309" s="1063"/>
      <c r="H3309" s="1063"/>
      <c r="I3309" s="1063"/>
      <c r="J3309" s="1063"/>
      <c r="K3309" s="1063"/>
      <c r="L3309" s="1063"/>
      <c r="M3309" s="1063"/>
      <c r="N3309" s="1063"/>
      <c r="O3309" s="1063"/>
      <c r="P3309" s="1063"/>
      <c r="Q3309" s="1063"/>
      <c r="R3309" s="1063"/>
      <c r="S3309" s="1063"/>
      <c r="T3309" s="1063"/>
      <c r="U3309" s="1063"/>
      <c r="V3309" s="1063"/>
      <c r="W3309" s="1063"/>
      <c r="X3309" s="1063"/>
      <c r="Y3309" s="1063"/>
      <c r="Z3309" s="1063"/>
      <c r="AA3309" s="1063"/>
      <c r="AB3309" s="1063"/>
      <c r="AC3309" s="1063"/>
      <c r="AD3309" s="1063"/>
      <c r="AE3309" s="1063"/>
      <c r="AF3309" s="1063"/>
      <c r="AG3309" s="1063"/>
      <c r="AH3309" s="1063"/>
      <c r="AI3309" s="1063"/>
      <c r="AJ3309" s="1063"/>
      <c r="AK3309" s="1063"/>
      <c r="AL3309" s="1063"/>
      <c r="AM3309" s="1063"/>
      <c r="AN3309" s="1063"/>
      <c r="AO3309" s="1063"/>
      <c r="AP3309" s="1063"/>
      <c r="AQ3309" s="1063"/>
      <c r="AR3309" s="1063"/>
      <c r="AS3309" s="1063"/>
      <c r="AT3309" s="1063"/>
      <c r="AU3309" s="1063"/>
      <c r="AV3309" s="1063"/>
    </row>
    <row r="3310" spans="1:48" s="1108" customFormat="1" ht="27.75" customHeight="1">
      <c r="A3310" s="1076"/>
      <c r="B3310" s="1074">
        <f>+'[18]Bldg+Dev'!S4122</f>
        <v>0</v>
      </c>
      <c r="D3310" s="1063"/>
      <c r="F3310" s="1076"/>
      <c r="G3310" s="1063"/>
      <c r="H3310" s="1063"/>
      <c r="I3310" s="1063"/>
      <c r="J3310" s="1063"/>
      <c r="K3310" s="1063"/>
      <c r="L3310" s="1063"/>
      <c r="M3310" s="1063"/>
      <c r="N3310" s="1063"/>
      <c r="O3310" s="1063"/>
      <c r="P3310" s="1063"/>
      <c r="Q3310" s="1063"/>
      <c r="R3310" s="1063"/>
      <c r="S3310" s="1063"/>
      <c r="T3310" s="1063"/>
      <c r="U3310" s="1063"/>
      <c r="V3310" s="1063"/>
      <c r="W3310" s="1063"/>
      <c r="X3310" s="1063"/>
      <c r="Y3310" s="1063"/>
      <c r="Z3310" s="1063"/>
      <c r="AA3310" s="1063"/>
      <c r="AB3310" s="1063"/>
      <c r="AC3310" s="1063"/>
      <c r="AD3310" s="1063"/>
      <c r="AE3310" s="1063"/>
      <c r="AF3310" s="1063"/>
      <c r="AG3310" s="1063"/>
      <c r="AH3310" s="1063"/>
      <c r="AI3310" s="1063"/>
      <c r="AJ3310" s="1063"/>
      <c r="AK3310" s="1063"/>
      <c r="AL3310" s="1063"/>
      <c r="AM3310" s="1063"/>
      <c r="AN3310" s="1063"/>
      <c r="AO3310" s="1063"/>
      <c r="AP3310" s="1063"/>
      <c r="AQ3310" s="1063"/>
      <c r="AR3310" s="1063"/>
      <c r="AS3310" s="1063"/>
      <c r="AT3310" s="1063"/>
      <c r="AU3310" s="1063"/>
      <c r="AV3310" s="1063"/>
    </row>
    <row r="3311" spans="1:48" s="1108" customFormat="1" ht="27.75" customHeight="1">
      <c r="A3311" s="1076"/>
      <c r="B3311" s="1074">
        <f>+'[18]Bldg+Dev'!S4123</f>
        <v>0</v>
      </c>
      <c r="D3311" s="1063"/>
      <c r="F3311" s="1076"/>
      <c r="G3311" s="1063"/>
      <c r="H3311" s="1063"/>
      <c r="I3311" s="1063"/>
      <c r="J3311" s="1063"/>
      <c r="K3311" s="1063"/>
      <c r="L3311" s="1063"/>
      <c r="M3311" s="1063"/>
      <c r="N3311" s="1063"/>
      <c r="O3311" s="1063"/>
      <c r="P3311" s="1063"/>
      <c r="Q3311" s="1063"/>
      <c r="R3311" s="1063"/>
      <c r="S3311" s="1063"/>
      <c r="T3311" s="1063"/>
      <c r="U3311" s="1063"/>
      <c r="V3311" s="1063"/>
      <c r="W3311" s="1063"/>
      <c r="X3311" s="1063"/>
      <c r="Y3311" s="1063"/>
      <c r="Z3311" s="1063"/>
      <c r="AA3311" s="1063"/>
      <c r="AB3311" s="1063"/>
      <c r="AC3311" s="1063"/>
      <c r="AD3311" s="1063"/>
      <c r="AE3311" s="1063"/>
      <c r="AF3311" s="1063"/>
      <c r="AG3311" s="1063"/>
      <c r="AH3311" s="1063"/>
      <c r="AI3311" s="1063"/>
      <c r="AJ3311" s="1063"/>
      <c r="AK3311" s="1063"/>
      <c r="AL3311" s="1063"/>
      <c r="AM3311" s="1063"/>
      <c r="AN3311" s="1063"/>
      <c r="AO3311" s="1063"/>
      <c r="AP3311" s="1063"/>
      <c r="AQ3311" s="1063"/>
      <c r="AR3311" s="1063"/>
      <c r="AS3311" s="1063"/>
      <c r="AT3311" s="1063"/>
      <c r="AU3311" s="1063"/>
      <c r="AV3311" s="1063"/>
    </row>
    <row r="3312" spans="1:48" s="1108" customFormat="1" ht="27.75" customHeight="1">
      <c r="A3312" s="1076"/>
      <c r="B3312" s="1074">
        <f>+'[18]Bldg+Dev'!S4124</f>
        <v>0</v>
      </c>
      <c r="D3312" s="1063"/>
      <c r="F3312" s="1076"/>
      <c r="G3312" s="1063"/>
      <c r="H3312" s="1063"/>
      <c r="I3312" s="1063"/>
      <c r="J3312" s="1063"/>
      <c r="K3312" s="1063"/>
      <c r="L3312" s="1063"/>
      <c r="M3312" s="1063"/>
      <c r="N3312" s="1063"/>
      <c r="O3312" s="1063"/>
      <c r="P3312" s="1063"/>
      <c r="Q3312" s="1063"/>
      <c r="R3312" s="1063"/>
      <c r="S3312" s="1063"/>
      <c r="T3312" s="1063"/>
      <c r="U3312" s="1063"/>
      <c r="V3312" s="1063"/>
      <c r="W3312" s="1063"/>
      <c r="X3312" s="1063"/>
      <c r="Y3312" s="1063"/>
      <c r="Z3312" s="1063"/>
      <c r="AA3312" s="1063"/>
      <c r="AB3312" s="1063"/>
      <c r="AC3312" s="1063"/>
      <c r="AD3312" s="1063"/>
      <c r="AE3312" s="1063"/>
      <c r="AF3312" s="1063"/>
      <c r="AG3312" s="1063"/>
      <c r="AH3312" s="1063"/>
      <c r="AI3312" s="1063"/>
      <c r="AJ3312" s="1063"/>
      <c r="AK3312" s="1063"/>
      <c r="AL3312" s="1063"/>
      <c r="AM3312" s="1063"/>
      <c r="AN3312" s="1063"/>
      <c r="AO3312" s="1063"/>
      <c r="AP3312" s="1063"/>
      <c r="AQ3312" s="1063"/>
      <c r="AR3312" s="1063"/>
      <c r="AS3312" s="1063"/>
      <c r="AT3312" s="1063"/>
      <c r="AU3312" s="1063"/>
      <c r="AV3312" s="1063"/>
    </row>
    <row r="3313" spans="1:48" s="1108" customFormat="1" ht="27.75" customHeight="1">
      <c r="A3313" s="1076"/>
      <c r="B3313" s="1074">
        <f>+'[18]Bldg+Dev'!S4125</f>
        <v>0</v>
      </c>
      <c r="D3313" s="1063"/>
      <c r="F3313" s="1076"/>
      <c r="G3313" s="1063"/>
      <c r="H3313" s="1063"/>
      <c r="I3313" s="1063"/>
      <c r="J3313" s="1063"/>
      <c r="K3313" s="1063"/>
      <c r="L3313" s="1063"/>
      <c r="M3313" s="1063"/>
      <c r="N3313" s="1063"/>
      <c r="O3313" s="1063"/>
      <c r="P3313" s="1063"/>
      <c r="Q3313" s="1063"/>
      <c r="R3313" s="1063"/>
      <c r="S3313" s="1063"/>
      <c r="T3313" s="1063"/>
      <c r="U3313" s="1063"/>
      <c r="V3313" s="1063"/>
      <c r="W3313" s="1063"/>
      <c r="X3313" s="1063"/>
      <c r="Y3313" s="1063"/>
      <c r="Z3313" s="1063"/>
      <c r="AA3313" s="1063"/>
      <c r="AB3313" s="1063"/>
      <c r="AC3313" s="1063"/>
      <c r="AD3313" s="1063"/>
      <c r="AE3313" s="1063"/>
      <c r="AF3313" s="1063"/>
      <c r="AG3313" s="1063"/>
      <c r="AH3313" s="1063"/>
      <c r="AI3313" s="1063"/>
      <c r="AJ3313" s="1063"/>
      <c r="AK3313" s="1063"/>
      <c r="AL3313" s="1063"/>
      <c r="AM3313" s="1063"/>
      <c r="AN3313" s="1063"/>
      <c r="AO3313" s="1063"/>
      <c r="AP3313" s="1063"/>
      <c r="AQ3313" s="1063"/>
      <c r="AR3313" s="1063"/>
      <c r="AS3313" s="1063"/>
      <c r="AT3313" s="1063"/>
      <c r="AU3313" s="1063"/>
      <c r="AV3313" s="1063"/>
    </row>
    <row r="3314" spans="1:48" s="1108" customFormat="1" ht="27.75" customHeight="1">
      <c r="A3314" s="1076"/>
      <c r="B3314" s="1074">
        <f>+'[18]Bldg+Dev'!S4126</f>
        <v>0</v>
      </c>
      <c r="D3314" s="1063"/>
      <c r="F3314" s="1076"/>
      <c r="G3314" s="1063"/>
      <c r="H3314" s="1063"/>
      <c r="I3314" s="1063"/>
      <c r="J3314" s="1063"/>
      <c r="K3314" s="1063"/>
      <c r="L3314" s="1063"/>
      <c r="M3314" s="1063"/>
      <c r="N3314" s="1063"/>
      <c r="O3314" s="1063"/>
      <c r="P3314" s="1063"/>
      <c r="Q3314" s="1063"/>
      <c r="R3314" s="1063"/>
      <c r="S3314" s="1063"/>
      <c r="T3314" s="1063"/>
      <c r="U3314" s="1063"/>
      <c r="V3314" s="1063"/>
      <c r="W3314" s="1063"/>
      <c r="X3314" s="1063"/>
      <c r="Y3314" s="1063"/>
      <c r="Z3314" s="1063"/>
      <c r="AA3314" s="1063"/>
      <c r="AB3314" s="1063"/>
      <c r="AC3314" s="1063"/>
      <c r="AD3314" s="1063"/>
      <c r="AE3314" s="1063"/>
      <c r="AF3314" s="1063"/>
      <c r="AG3314" s="1063"/>
      <c r="AH3314" s="1063"/>
      <c r="AI3314" s="1063"/>
      <c r="AJ3314" s="1063"/>
      <c r="AK3314" s="1063"/>
      <c r="AL3314" s="1063"/>
      <c r="AM3314" s="1063"/>
      <c r="AN3314" s="1063"/>
      <c r="AO3314" s="1063"/>
      <c r="AP3314" s="1063"/>
      <c r="AQ3314" s="1063"/>
      <c r="AR3314" s="1063"/>
      <c r="AS3314" s="1063"/>
      <c r="AT3314" s="1063"/>
      <c r="AU3314" s="1063"/>
      <c r="AV3314" s="1063"/>
    </row>
    <row r="3315" spans="1:48" s="1108" customFormat="1" ht="27.75" customHeight="1">
      <c r="A3315" s="1076"/>
      <c r="B3315" s="1074">
        <f>+'[18]Bldg+Dev'!S4127</f>
        <v>0</v>
      </c>
      <c r="D3315" s="1063"/>
      <c r="F3315" s="1076"/>
      <c r="G3315" s="1063"/>
      <c r="H3315" s="1063"/>
      <c r="I3315" s="1063"/>
      <c r="J3315" s="1063"/>
      <c r="K3315" s="1063"/>
      <c r="L3315" s="1063"/>
      <c r="M3315" s="1063"/>
      <c r="N3315" s="1063"/>
      <c r="O3315" s="1063"/>
      <c r="P3315" s="1063"/>
      <c r="Q3315" s="1063"/>
      <c r="R3315" s="1063"/>
      <c r="S3315" s="1063"/>
      <c r="T3315" s="1063"/>
      <c r="U3315" s="1063"/>
      <c r="V3315" s="1063"/>
      <c r="W3315" s="1063"/>
      <c r="X3315" s="1063"/>
      <c r="Y3315" s="1063"/>
      <c r="Z3315" s="1063"/>
      <c r="AA3315" s="1063"/>
      <c r="AB3315" s="1063"/>
      <c r="AC3315" s="1063"/>
      <c r="AD3315" s="1063"/>
      <c r="AE3315" s="1063"/>
      <c r="AF3315" s="1063"/>
      <c r="AG3315" s="1063"/>
      <c r="AH3315" s="1063"/>
      <c r="AI3315" s="1063"/>
      <c r="AJ3315" s="1063"/>
      <c r="AK3315" s="1063"/>
      <c r="AL3315" s="1063"/>
      <c r="AM3315" s="1063"/>
      <c r="AN3315" s="1063"/>
      <c r="AO3315" s="1063"/>
      <c r="AP3315" s="1063"/>
      <c r="AQ3315" s="1063"/>
      <c r="AR3315" s="1063"/>
      <c r="AS3315" s="1063"/>
      <c r="AT3315" s="1063"/>
      <c r="AU3315" s="1063"/>
      <c r="AV3315" s="1063"/>
    </row>
    <row r="3316" spans="1:48" s="1108" customFormat="1" ht="27.75" customHeight="1">
      <c r="A3316" s="1076"/>
      <c r="B3316" s="1074">
        <f>+'[18]Bldg+Dev'!S4128</f>
        <v>0</v>
      </c>
      <c r="D3316" s="1063"/>
      <c r="F3316" s="1076"/>
      <c r="G3316" s="1063"/>
      <c r="H3316" s="1063"/>
      <c r="I3316" s="1063"/>
      <c r="J3316" s="1063"/>
      <c r="K3316" s="1063"/>
      <c r="L3316" s="1063"/>
      <c r="M3316" s="1063"/>
      <c r="N3316" s="1063"/>
      <c r="O3316" s="1063"/>
      <c r="P3316" s="1063"/>
      <c r="Q3316" s="1063"/>
      <c r="R3316" s="1063"/>
      <c r="S3316" s="1063"/>
      <c r="T3316" s="1063"/>
      <c r="U3316" s="1063"/>
      <c r="V3316" s="1063"/>
      <c r="W3316" s="1063"/>
      <c r="X3316" s="1063"/>
      <c r="Y3316" s="1063"/>
      <c r="Z3316" s="1063"/>
      <c r="AA3316" s="1063"/>
      <c r="AB3316" s="1063"/>
      <c r="AC3316" s="1063"/>
      <c r="AD3316" s="1063"/>
      <c r="AE3316" s="1063"/>
      <c r="AF3316" s="1063"/>
      <c r="AG3316" s="1063"/>
      <c r="AH3316" s="1063"/>
      <c r="AI3316" s="1063"/>
      <c r="AJ3316" s="1063"/>
      <c r="AK3316" s="1063"/>
      <c r="AL3316" s="1063"/>
      <c r="AM3316" s="1063"/>
      <c r="AN3316" s="1063"/>
      <c r="AO3316" s="1063"/>
      <c r="AP3316" s="1063"/>
      <c r="AQ3316" s="1063"/>
      <c r="AR3316" s="1063"/>
      <c r="AS3316" s="1063"/>
      <c r="AT3316" s="1063"/>
      <c r="AU3316" s="1063"/>
      <c r="AV3316" s="1063"/>
    </row>
    <row r="3317" spans="1:48" s="1108" customFormat="1" ht="27.75" customHeight="1">
      <c r="A3317" s="1076"/>
      <c r="B3317" s="1074">
        <f>+'[18]Bldg+Dev'!S4129</f>
        <v>0</v>
      </c>
      <c r="D3317" s="1063"/>
      <c r="F3317" s="1076"/>
      <c r="G3317" s="1063"/>
      <c r="H3317" s="1063"/>
      <c r="I3317" s="1063"/>
      <c r="J3317" s="1063"/>
      <c r="K3317" s="1063"/>
      <c r="L3317" s="1063"/>
      <c r="M3317" s="1063"/>
      <c r="N3317" s="1063"/>
      <c r="O3317" s="1063"/>
      <c r="P3317" s="1063"/>
      <c r="Q3317" s="1063"/>
      <c r="R3317" s="1063"/>
      <c r="S3317" s="1063"/>
      <c r="T3317" s="1063"/>
      <c r="U3317" s="1063"/>
      <c r="V3317" s="1063"/>
      <c r="W3317" s="1063"/>
      <c r="X3317" s="1063"/>
      <c r="Y3317" s="1063"/>
      <c r="Z3317" s="1063"/>
      <c r="AA3317" s="1063"/>
      <c r="AB3317" s="1063"/>
      <c r="AC3317" s="1063"/>
      <c r="AD3317" s="1063"/>
      <c r="AE3317" s="1063"/>
      <c r="AF3317" s="1063"/>
      <c r="AG3317" s="1063"/>
      <c r="AH3317" s="1063"/>
      <c r="AI3317" s="1063"/>
      <c r="AJ3317" s="1063"/>
      <c r="AK3317" s="1063"/>
      <c r="AL3317" s="1063"/>
      <c r="AM3317" s="1063"/>
      <c r="AN3317" s="1063"/>
      <c r="AO3317" s="1063"/>
      <c r="AP3317" s="1063"/>
      <c r="AQ3317" s="1063"/>
      <c r="AR3317" s="1063"/>
      <c r="AS3317" s="1063"/>
      <c r="AT3317" s="1063"/>
      <c r="AU3317" s="1063"/>
      <c r="AV3317" s="1063"/>
    </row>
    <row r="3318" spans="1:48" s="1108" customFormat="1" ht="27.75" customHeight="1">
      <c r="A3318" s="1076"/>
      <c r="B3318" s="1074">
        <f>+'[18]Bldg+Dev'!S4130</f>
        <v>0</v>
      </c>
      <c r="D3318" s="1063"/>
      <c r="F3318" s="1076"/>
      <c r="G3318" s="1063"/>
      <c r="H3318" s="1063"/>
      <c r="I3318" s="1063"/>
      <c r="J3318" s="1063"/>
      <c r="K3318" s="1063"/>
      <c r="L3318" s="1063"/>
      <c r="M3318" s="1063"/>
      <c r="N3318" s="1063"/>
      <c r="O3318" s="1063"/>
      <c r="P3318" s="1063"/>
      <c r="Q3318" s="1063"/>
      <c r="R3318" s="1063"/>
      <c r="S3318" s="1063"/>
      <c r="T3318" s="1063"/>
      <c r="U3318" s="1063"/>
      <c r="V3318" s="1063"/>
      <c r="W3318" s="1063"/>
      <c r="X3318" s="1063"/>
      <c r="Y3318" s="1063"/>
      <c r="Z3318" s="1063"/>
      <c r="AA3318" s="1063"/>
      <c r="AB3318" s="1063"/>
      <c r="AC3318" s="1063"/>
      <c r="AD3318" s="1063"/>
      <c r="AE3318" s="1063"/>
      <c r="AF3318" s="1063"/>
      <c r="AG3318" s="1063"/>
      <c r="AH3318" s="1063"/>
      <c r="AI3318" s="1063"/>
      <c r="AJ3318" s="1063"/>
      <c r="AK3318" s="1063"/>
      <c r="AL3318" s="1063"/>
      <c r="AM3318" s="1063"/>
      <c r="AN3318" s="1063"/>
      <c r="AO3318" s="1063"/>
      <c r="AP3318" s="1063"/>
      <c r="AQ3318" s="1063"/>
      <c r="AR3318" s="1063"/>
      <c r="AS3318" s="1063"/>
      <c r="AT3318" s="1063"/>
      <c r="AU3318" s="1063"/>
      <c r="AV3318" s="1063"/>
    </row>
    <row r="3319" spans="1:48" s="1108" customFormat="1" ht="27.75" customHeight="1">
      <c r="A3319" s="1076"/>
      <c r="B3319" s="1074">
        <f>+'[18]Bldg+Dev'!S4131</f>
        <v>0</v>
      </c>
      <c r="D3319" s="1063"/>
      <c r="F3319" s="1076"/>
      <c r="G3319" s="1063"/>
      <c r="H3319" s="1063"/>
      <c r="I3319" s="1063"/>
      <c r="J3319" s="1063"/>
      <c r="K3319" s="1063"/>
      <c r="L3319" s="1063"/>
      <c r="M3319" s="1063"/>
      <c r="N3319" s="1063"/>
      <c r="O3319" s="1063"/>
      <c r="P3319" s="1063"/>
      <c r="Q3319" s="1063"/>
      <c r="R3319" s="1063"/>
      <c r="S3319" s="1063"/>
      <c r="T3319" s="1063"/>
      <c r="U3319" s="1063"/>
      <c r="V3319" s="1063"/>
      <c r="W3319" s="1063"/>
      <c r="X3319" s="1063"/>
      <c r="Y3319" s="1063"/>
      <c r="Z3319" s="1063"/>
      <c r="AA3319" s="1063"/>
      <c r="AB3319" s="1063"/>
      <c r="AC3319" s="1063"/>
      <c r="AD3319" s="1063"/>
      <c r="AE3319" s="1063"/>
      <c r="AF3319" s="1063"/>
      <c r="AG3319" s="1063"/>
      <c r="AH3319" s="1063"/>
      <c r="AI3319" s="1063"/>
      <c r="AJ3319" s="1063"/>
      <c r="AK3319" s="1063"/>
      <c r="AL3319" s="1063"/>
      <c r="AM3319" s="1063"/>
      <c r="AN3319" s="1063"/>
      <c r="AO3319" s="1063"/>
      <c r="AP3319" s="1063"/>
      <c r="AQ3319" s="1063"/>
      <c r="AR3319" s="1063"/>
      <c r="AS3319" s="1063"/>
      <c r="AT3319" s="1063"/>
      <c r="AU3319" s="1063"/>
      <c r="AV3319" s="1063"/>
    </row>
    <row r="3320" spans="1:48" s="1108" customFormat="1" ht="27.75" customHeight="1">
      <c r="A3320" s="1076"/>
      <c r="B3320" s="1074">
        <f>+'[18]Bldg+Dev'!S4132</f>
        <v>0</v>
      </c>
      <c r="D3320" s="1063"/>
      <c r="F3320" s="1076"/>
      <c r="G3320" s="1063"/>
      <c r="H3320" s="1063"/>
      <c r="I3320" s="1063"/>
      <c r="J3320" s="1063"/>
      <c r="K3320" s="1063"/>
      <c r="L3320" s="1063"/>
      <c r="M3320" s="1063"/>
      <c r="N3320" s="1063"/>
      <c r="O3320" s="1063"/>
      <c r="P3320" s="1063"/>
      <c r="Q3320" s="1063"/>
      <c r="R3320" s="1063"/>
      <c r="S3320" s="1063"/>
      <c r="T3320" s="1063"/>
      <c r="U3320" s="1063"/>
      <c r="V3320" s="1063"/>
      <c r="W3320" s="1063"/>
      <c r="X3320" s="1063"/>
      <c r="Y3320" s="1063"/>
      <c r="Z3320" s="1063"/>
      <c r="AA3320" s="1063"/>
      <c r="AB3320" s="1063"/>
      <c r="AC3320" s="1063"/>
      <c r="AD3320" s="1063"/>
      <c r="AE3320" s="1063"/>
      <c r="AF3320" s="1063"/>
      <c r="AG3320" s="1063"/>
      <c r="AH3320" s="1063"/>
      <c r="AI3320" s="1063"/>
      <c r="AJ3320" s="1063"/>
      <c r="AK3320" s="1063"/>
      <c r="AL3320" s="1063"/>
      <c r="AM3320" s="1063"/>
      <c r="AN3320" s="1063"/>
      <c r="AO3320" s="1063"/>
      <c r="AP3320" s="1063"/>
      <c r="AQ3320" s="1063"/>
      <c r="AR3320" s="1063"/>
      <c r="AS3320" s="1063"/>
      <c r="AT3320" s="1063"/>
      <c r="AU3320" s="1063"/>
      <c r="AV3320" s="1063"/>
    </row>
    <row r="3321" spans="1:48" s="1108" customFormat="1" ht="27.75" customHeight="1">
      <c r="A3321" s="1076"/>
      <c r="B3321" s="1074">
        <f>+'[18]Bldg+Dev'!S4133</f>
        <v>0</v>
      </c>
      <c r="D3321" s="1063"/>
      <c r="F3321" s="1076"/>
      <c r="G3321" s="1063"/>
      <c r="H3321" s="1063"/>
      <c r="I3321" s="1063"/>
      <c r="J3321" s="1063"/>
      <c r="K3321" s="1063"/>
      <c r="L3321" s="1063"/>
      <c r="M3321" s="1063"/>
      <c r="N3321" s="1063"/>
      <c r="O3321" s="1063"/>
      <c r="P3321" s="1063"/>
      <c r="Q3321" s="1063"/>
      <c r="R3321" s="1063"/>
      <c r="S3321" s="1063"/>
      <c r="T3321" s="1063"/>
      <c r="U3321" s="1063"/>
      <c r="V3321" s="1063"/>
      <c r="W3321" s="1063"/>
      <c r="X3321" s="1063"/>
      <c r="Y3321" s="1063"/>
      <c r="Z3321" s="1063"/>
      <c r="AA3321" s="1063"/>
      <c r="AB3321" s="1063"/>
      <c r="AC3321" s="1063"/>
      <c r="AD3321" s="1063"/>
      <c r="AE3321" s="1063"/>
      <c r="AF3321" s="1063"/>
      <c r="AG3321" s="1063"/>
      <c r="AH3321" s="1063"/>
      <c r="AI3321" s="1063"/>
      <c r="AJ3321" s="1063"/>
      <c r="AK3321" s="1063"/>
      <c r="AL3321" s="1063"/>
      <c r="AM3321" s="1063"/>
      <c r="AN3321" s="1063"/>
      <c r="AO3321" s="1063"/>
      <c r="AP3321" s="1063"/>
      <c r="AQ3321" s="1063"/>
      <c r="AR3321" s="1063"/>
      <c r="AS3321" s="1063"/>
      <c r="AT3321" s="1063"/>
      <c r="AU3321" s="1063"/>
      <c r="AV3321" s="1063"/>
    </row>
    <row r="3322" spans="1:48" s="1108" customFormat="1" ht="27.75" customHeight="1">
      <c r="A3322" s="1076"/>
      <c r="B3322" s="1074">
        <f>+'[18]Bldg+Dev'!S4134</f>
        <v>0</v>
      </c>
      <c r="D3322" s="1063"/>
      <c r="F3322" s="1076"/>
      <c r="G3322" s="1063"/>
      <c r="H3322" s="1063"/>
      <c r="I3322" s="1063"/>
      <c r="J3322" s="1063"/>
      <c r="K3322" s="1063"/>
      <c r="L3322" s="1063"/>
      <c r="M3322" s="1063"/>
      <c r="N3322" s="1063"/>
      <c r="O3322" s="1063"/>
      <c r="P3322" s="1063"/>
      <c r="Q3322" s="1063"/>
      <c r="R3322" s="1063"/>
      <c r="S3322" s="1063"/>
      <c r="T3322" s="1063"/>
      <c r="U3322" s="1063"/>
      <c r="V3322" s="1063"/>
      <c r="W3322" s="1063"/>
      <c r="X3322" s="1063"/>
      <c r="Y3322" s="1063"/>
      <c r="Z3322" s="1063"/>
      <c r="AA3322" s="1063"/>
      <c r="AB3322" s="1063"/>
      <c r="AC3322" s="1063"/>
      <c r="AD3322" s="1063"/>
      <c r="AE3322" s="1063"/>
      <c r="AF3322" s="1063"/>
      <c r="AG3322" s="1063"/>
      <c r="AH3322" s="1063"/>
      <c r="AI3322" s="1063"/>
      <c r="AJ3322" s="1063"/>
      <c r="AK3322" s="1063"/>
      <c r="AL3322" s="1063"/>
      <c r="AM3322" s="1063"/>
      <c r="AN3322" s="1063"/>
      <c r="AO3322" s="1063"/>
      <c r="AP3322" s="1063"/>
      <c r="AQ3322" s="1063"/>
      <c r="AR3322" s="1063"/>
      <c r="AS3322" s="1063"/>
      <c r="AT3322" s="1063"/>
      <c r="AU3322" s="1063"/>
      <c r="AV3322" s="1063"/>
    </row>
    <row r="3323" spans="1:48" s="1108" customFormat="1" ht="27.75" customHeight="1">
      <c r="A3323" s="1076"/>
      <c r="B3323" s="1074">
        <f>+'[18]Bldg+Dev'!S4135</f>
        <v>0</v>
      </c>
      <c r="D3323" s="1063"/>
      <c r="F3323" s="1076"/>
      <c r="G3323" s="1063"/>
      <c r="H3323" s="1063"/>
      <c r="I3323" s="1063"/>
      <c r="J3323" s="1063"/>
      <c r="K3323" s="1063"/>
      <c r="L3323" s="1063"/>
      <c r="M3323" s="1063"/>
      <c r="N3323" s="1063"/>
      <c r="O3323" s="1063"/>
      <c r="P3323" s="1063"/>
      <c r="Q3323" s="1063"/>
      <c r="R3323" s="1063"/>
      <c r="S3323" s="1063"/>
      <c r="T3323" s="1063"/>
      <c r="U3323" s="1063"/>
      <c r="V3323" s="1063"/>
      <c r="W3323" s="1063"/>
      <c r="X3323" s="1063"/>
      <c r="Y3323" s="1063"/>
      <c r="Z3323" s="1063"/>
      <c r="AA3323" s="1063"/>
      <c r="AB3323" s="1063"/>
      <c r="AC3323" s="1063"/>
      <c r="AD3323" s="1063"/>
      <c r="AE3323" s="1063"/>
      <c r="AF3323" s="1063"/>
      <c r="AG3323" s="1063"/>
      <c r="AH3323" s="1063"/>
      <c r="AI3323" s="1063"/>
      <c r="AJ3323" s="1063"/>
      <c r="AK3323" s="1063"/>
      <c r="AL3323" s="1063"/>
      <c r="AM3323" s="1063"/>
      <c r="AN3323" s="1063"/>
      <c r="AO3323" s="1063"/>
      <c r="AP3323" s="1063"/>
      <c r="AQ3323" s="1063"/>
      <c r="AR3323" s="1063"/>
      <c r="AS3323" s="1063"/>
      <c r="AT3323" s="1063"/>
      <c r="AU3323" s="1063"/>
      <c r="AV3323" s="1063"/>
    </row>
    <row r="3324" spans="1:48" s="1108" customFormat="1" ht="27.75" customHeight="1">
      <c r="A3324" s="1076"/>
      <c r="B3324" s="1074">
        <f>+'[18]Bldg+Dev'!S4136</f>
        <v>0</v>
      </c>
      <c r="D3324" s="1063"/>
      <c r="F3324" s="1076"/>
      <c r="G3324" s="1063"/>
      <c r="H3324" s="1063"/>
      <c r="I3324" s="1063"/>
      <c r="J3324" s="1063"/>
      <c r="K3324" s="1063"/>
      <c r="L3324" s="1063"/>
      <c r="M3324" s="1063"/>
      <c r="N3324" s="1063"/>
      <c r="O3324" s="1063"/>
      <c r="P3324" s="1063"/>
      <c r="Q3324" s="1063"/>
      <c r="R3324" s="1063"/>
      <c r="S3324" s="1063"/>
      <c r="T3324" s="1063"/>
      <c r="U3324" s="1063"/>
      <c r="V3324" s="1063"/>
      <c r="W3324" s="1063"/>
      <c r="X3324" s="1063"/>
      <c r="Y3324" s="1063"/>
      <c r="Z3324" s="1063"/>
      <c r="AA3324" s="1063"/>
      <c r="AB3324" s="1063"/>
      <c r="AC3324" s="1063"/>
      <c r="AD3324" s="1063"/>
      <c r="AE3324" s="1063"/>
      <c r="AF3324" s="1063"/>
      <c r="AG3324" s="1063"/>
      <c r="AH3324" s="1063"/>
      <c r="AI3324" s="1063"/>
      <c r="AJ3324" s="1063"/>
      <c r="AK3324" s="1063"/>
      <c r="AL3324" s="1063"/>
      <c r="AM3324" s="1063"/>
      <c r="AN3324" s="1063"/>
      <c r="AO3324" s="1063"/>
      <c r="AP3324" s="1063"/>
      <c r="AQ3324" s="1063"/>
      <c r="AR3324" s="1063"/>
      <c r="AS3324" s="1063"/>
      <c r="AT3324" s="1063"/>
      <c r="AU3324" s="1063"/>
      <c r="AV3324" s="1063"/>
    </row>
    <row r="3325" spans="1:48" s="1108" customFormat="1" ht="27.75" customHeight="1">
      <c r="A3325" s="1076"/>
      <c r="B3325" s="1074">
        <f>+'[18]Bldg+Dev'!S4137</f>
        <v>0</v>
      </c>
      <c r="D3325" s="1063"/>
      <c r="F3325" s="1076"/>
      <c r="G3325" s="1063"/>
      <c r="H3325" s="1063"/>
      <c r="I3325" s="1063"/>
      <c r="J3325" s="1063"/>
      <c r="K3325" s="1063"/>
      <c r="L3325" s="1063"/>
      <c r="M3325" s="1063"/>
      <c r="N3325" s="1063"/>
      <c r="O3325" s="1063"/>
      <c r="P3325" s="1063"/>
      <c r="Q3325" s="1063"/>
      <c r="R3325" s="1063"/>
      <c r="S3325" s="1063"/>
      <c r="T3325" s="1063"/>
      <c r="U3325" s="1063"/>
      <c r="V3325" s="1063"/>
      <c r="W3325" s="1063"/>
      <c r="X3325" s="1063"/>
      <c r="Y3325" s="1063"/>
      <c r="Z3325" s="1063"/>
      <c r="AA3325" s="1063"/>
      <c r="AB3325" s="1063"/>
      <c r="AC3325" s="1063"/>
      <c r="AD3325" s="1063"/>
      <c r="AE3325" s="1063"/>
      <c r="AF3325" s="1063"/>
      <c r="AG3325" s="1063"/>
      <c r="AH3325" s="1063"/>
      <c r="AI3325" s="1063"/>
      <c r="AJ3325" s="1063"/>
      <c r="AK3325" s="1063"/>
      <c r="AL3325" s="1063"/>
      <c r="AM3325" s="1063"/>
      <c r="AN3325" s="1063"/>
      <c r="AO3325" s="1063"/>
      <c r="AP3325" s="1063"/>
      <c r="AQ3325" s="1063"/>
      <c r="AR3325" s="1063"/>
      <c r="AS3325" s="1063"/>
      <c r="AT3325" s="1063"/>
      <c r="AU3325" s="1063"/>
      <c r="AV3325" s="1063"/>
    </row>
    <row r="3326" spans="1:48" s="1108" customFormat="1" ht="27.75" customHeight="1">
      <c r="A3326" s="1076"/>
      <c r="B3326" s="1074">
        <f>+'[18]Bldg+Dev'!S4138</f>
        <v>0</v>
      </c>
      <c r="D3326" s="1063"/>
      <c r="F3326" s="1076"/>
      <c r="G3326" s="1063"/>
      <c r="H3326" s="1063"/>
      <c r="I3326" s="1063"/>
      <c r="J3326" s="1063"/>
      <c r="K3326" s="1063"/>
      <c r="L3326" s="1063"/>
      <c r="M3326" s="1063"/>
      <c r="N3326" s="1063"/>
      <c r="O3326" s="1063"/>
      <c r="P3326" s="1063"/>
      <c r="Q3326" s="1063"/>
      <c r="R3326" s="1063"/>
      <c r="S3326" s="1063"/>
      <c r="T3326" s="1063"/>
      <c r="U3326" s="1063"/>
      <c r="V3326" s="1063"/>
      <c r="W3326" s="1063"/>
      <c r="X3326" s="1063"/>
      <c r="Y3326" s="1063"/>
      <c r="Z3326" s="1063"/>
      <c r="AA3326" s="1063"/>
      <c r="AB3326" s="1063"/>
      <c r="AC3326" s="1063"/>
      <c r="AD3326" s="1063"/>
      <c r="AE3326" s="1063"/>
      <c r="AF3326" s="1063"/>
      <c r="AG3326" s="1063"/>
      <c r="AH3326" s="1063"/>
      <c r="AI3326" s="1063"/>
      <c r="AJ3326" s="1063"/>
      <c r="AK3326" s="1063"/>
      <c r="AL3326" s="1063"/>
      <c r="AM3326" s="1063"/>
      <c r="AN3326" s="1063"/>
      <c r="AO3326" s="1063"/>
      <c r="AP3326" s="1063"/>
      <c r="AQ3326" s="1063"/>
      <c r="AR3326" s="1063"/>
      <c r="AS3326" s="1063"/>
      <c r="AT3326" s="1063"/>
      <c r="AU3326" s="1063"/>
      <c r="AV3326" s="1063"/>
    </row>
    <row r="3327" spans="1:48" s="1108" customFormat="1" ht="27.75" customHeight="1">
      <c r="A3327" s="1076"/>
      <c r="B3327" s="1074">
        <f>+'[18]Bldg+Dev'!S4139</f>
        <v>0</v>
      </c>
      <c r="D3327" s="1063"/>
      <c r="F3327" s="1076"/>
      <c r="G3327" s="1063"/>
      <c r="H3327" s="1063"/>
      <c r="I3327" s="1063"/>
      <c r="J3327" s="1063"/>
      <c r="K3327" s="1063"/>
      <c r="L3327" s="1063"/>
      <c r="M3327" s="1063"/>
      <c r="N3327" s="1063"/>
      <c r="O3327" s="1063"/>
      <c r="P3327" s="1063"/>
      <c r="Q3327" s="1063"/>
      <c r="R3327" s="1063"/>
      <c r="S3327" s="1063"/>
      <c r="T3327" s="1063"/>
      <c r="U3327" s="1063"/>
      <c r="V3327" s="1063"/>
      <c r="W3327" s="1063"/>
      <c r="X3327" s="1063"/>
      <c r="Y3327" s="1063"/>
      <c r="Z3327" s="1063"/>
      <c r="AA3327" s="1063"/>
      <c r="AB3327" s="1063"/>
      <c r="AC3327" s="1063"/>
      <c r="AD3327" s="1063"/>
      <c r="AE3327" s="1063"/>
      <c r="AF3327" s="1063"/>
      <c r="AG3327" s="1063"/>
      <c r="AH3327" s="1063"/>
      <c r="AI3327" s="1063"/>
      <c r="AJ3327" s="1063"/>
      <c r="AK3327" s="1063"/>
      <c r="AL3327" s="1063"/>
      <c r="AM3327" s="1063"/>
      <c r="AN3327" s="1063"/>
      <c r="AO3327" s="1063"/>
      <c r="AP3327" s="1063"/>
      <c r="AQ3327" s="1063"/>
      <c r="AR3327" s="1063"/>
      <c r="AS3327" s="1063"/>
      <c r="AT3327" s="1063"/>
      <c r="AU3327" s="1063"/>
      <c r="AV3327" s="1063"/>
    </row>
    <row r="3328" spans="1:48" s="1108" customFormat="1" ht="27.75" customHeight="1">
      <c r="A3328" s="1076"/>
      <c r="B3328" s="1074">
        <f>+'[18]Bldg+Dev'!S4140</f>
        <v>0</v>
      </c>
      <c r="D3328" s="1063"/>
      <c r="F3328" s="1076"/>
      <c r="G3328" s="1063"/>
      <c r="H3328" s="1063"/>
      <c r="I3328" s="1063"/>
      <c r="J3328" s="1063"/>
      <c r="K3328" s="1063"/>
      <c r="L3328" s="1063"/>
      <c r="M3328" s="1063"/>
      <c r="N3328" s="1063"/>
      <c r="O3328" s="1063"/>
      <c r="P3328" s="1063"/>
      <c r="Q3328" s="1063"/>
      <c r="R3328" s="1063"/>
      <c r="S3328" s="1063"/>
      <c r="T3328" s="1063"/>
      <c r="U3328" s="1063"/>
      <c r="V3328" s="1063"/>
      <c r="W3328" s="1063"/>
      <c r="X3328" s="1063"/>
      <c r="Y3328" s="1063"/>
      <c r="Z3328" s="1063"/>
      <c r="AA3328" s="1063"/>
      <c r="AB3328" s="1063"/>
      <c r="AC3328" s="1063"/>
      <c r="AD3328" s="1063"/>
      <c r="AE3328" s="1063"/>
      <c r="AF3328" s="1063"/>
      <c r="AG3328" s="1063"/>
      <c r="AH3328" s="1063"/>
      <c r="AI3328" s="1063"/>
      <c r="AJ3328" s="1063"/>
      <c r="AK3328" s="1063"/>
      <c r="AL3328" s="1063"/>
      <c r="AM3328" s="1063"/>
      <c r="AN3328" s="1063"/>
      <c r="AO3328" s="1063"/>
      <c r="AP3328" s="1063"/>
      <c r="AQ3328" s="1063"/>
      <c r="AR3328" s="1063"/>
      <c r="AS3328" s="1063"/>
      <c r="AT3328" s="1063"/>
      <c r="AU3328" s="1063"/>
      <c r="AV3328" s="1063"/>
    </row>
    <row r="3329" spans="1:48" s="1108" customFormat="1" ht="27.75" customHeight="1">
      <c r="A3329" s="1076"/>
      <c r="B3329" s="1074">
        <f>+'[18]Bldg+Dev'!S4141</f>
        <v>0</v>
      </c>
      <c r="D3329" s="1063"/>
      <c r="F3329" s="1076"/>
      <c r="G3329" s="1063"/>
      <c r="H3329" s="1063"/>
      <c r="I3329" s="1063"/>
      <c r="J3329" s="1063"/>
      <c r="K3329" s="1063"/>
      <c r="L3329" s="1063"/>
      <c r="M3329" s="1063"/>
      <c r="N3329" s="1063"/>
      <c r="O3329" s="1063"/>
      <c r="P3329" s="1063"/>
      <c r="Q3329" s="1063"/>
      <c r="R3329" s="1063"/>
      <c r="S3329" s="1063"/>
      <c r="T3329" s="1063"/>
      <c r="U3329" s="1063"/>
      <c r="V3329" s="1063"/>
      <c r="W3329" s="1063"/>
      <c r="X3329" s="1063"/>
      <c r="Y3329" s="1063"/>
      <c r="Z3329" s="1063"/>
      <c r="AA3329" s="1063"/>
      <c r="AB3329" s="1063"/>
      <c r="AC3329" s="1063"/>
      <c r="AD3329" s="1063"/>
      <c r="AE3329" s="1063"/>
      <c r="AF3329" s="1063"/>
      <c r="AG3329" s="1063"/>
      <c r="AH3329" s="1063"/>
      <c r="AI3329" s="1063"/>
      <c r="AJ3329" s="1063"/>
      <c r="AK3329" s="1063"/>
      <c r="AL3329" s="1063"/>
      <c r="AM3329" s="1063"/>
      <c r="AN3329" s="1063"/>
      <c r="AO3329" s="1063"/>
      <c r="AP3329" s="1063"/>
      <c r="AQ3329" s="1063"/>
      <c r="AR3329" s="1063"/>
      <c r="AS3329" s="1063"/>
      <c r="AT3329" s="1063"/>
      <c r="AU3329" s="1063"/>
      <c r="AV3329" s="1063"/>
    </row>
    <row r="3330" spans="1:48" s="1108" customFormat="1" ht="27.75" customHeight="1">
      <c r="A3330" s="1076"/>
      <c r="B3330" s="1074">
        <f>+'[18]Bldg+Dev'!S4142</f>
        <v>0</v>
      </c>
      <c r="D3330" s="1063"/>
      <c r="F3330" s="1076"/>
      <c r="G3330" s="1063"/>
      <c r="H3330" s="1063"/>
      <c r="I3330" s="1063"/>
      <c r="J3330" s="1063"/>
      <c r="K3330" s="1063"/>
      <c r="L3330" s="1063"/>
      <c r="M3330" s="1063"/>
      <c r="N3330" s="1063"/>
      <c r="O3330" s="1063"/>
      <c r="P3330" s="1063"/>
      <c r="Q3330" s="1063"/>
      <c r="R3330" s="1063"/>
      <c r="S3330" s="1063"/>
      <c r="T3330" s="1063"/>
      <c r="U3330" s="1063"/>
      <c r="V3330" s="1063"/>
      <c r="W3330" s="1063"/>
      <c r="X3330" s="1063"/>
      <c r="Y3330" s="1063"/>
      <c r="Z3330" s="1063"/>
      <c r="AA3330" s="1063"/>
      <c r="AB3330" s="1063"/>
      <c r="AC3330" s="1063"/>
      <c r="AD3330" s="1063"/>
      <c r="AE3330" s="1063"/>
      <c r="AF3330" s="1063"/>
      <c r="AG3330" s="1063"/>
      <c r="AH3330" s="1063"/>
      <c r="AI3330" s="1063"/>
      <c r="AJ3330" s="1063"/>
      <c r="AK3330" s="1063"/>
      <c r="AL3330" s="1063"/>
      <c r="AM3330" s="1063"/>
      <c r="AN3330" s="1063"/>
      <c r="AO3330" s="1063"/>
      <c r="AP3330" s="1063"/>
      <c r="AQ3330" s="1063"/>
      <c r="AR3330" s="1063"/>
      <c r="AS3330" s="1063"/>
      <c r="AT3330" s="1063"/>
      <c r="AU3330" s="1063"/>
      <c r="AV3330" s="1063"/>
    </row>
    <row r="3331" spans="1:48" s="1108" customFormat="1" ht="27.75" customHeight="1">
      <c r="A3331" s="1076"/>
      <c r="B3331" s="1074">
        <f>+'[18]Bldg+Dev'!S4143</f>
        <v>0</v>
      </c>
      <c r="D3331" s="1063"/>
      <c r="F3331" s="1076"/>
      <c r="G3331" s="1063"/>
      <c r="H3331" s="1063"/>
      <c r="I3331" s="1063"/>
      <c r="J3331" s="1063"/>
      <c r="K3331" s="1063"/>
      <c r="L3331" s="1063"/>
      <c r="M3331" s="1063"/>
      <c r="N3331" s="1063"/>
      <c r="O3331" s="1063"/>
      <c r="P3331" s="1063"/>
      <c r="Q3331" s="1063"/>
      <c r="R3331" s="1063"/>
      <c r="S3331" s="1063"/>
      <c r="T3331" s="1063"/>
      <c r="U3331" s="1063"/>
      <c r="V3331" s="1063"/>
      <c r="W3331" s="1063"/>
      <c r="X3331" s="1063"/>
      <c r="Y3331" s="1063"/>
      <c r="Z3331" s="1063"/>
      <c r="AA3331" s="1063"/>
      <c r="AB3331" s="1063"/>
      <c r="AC3331" s="1063"/>
      <c r="AD3331" s="1063"/>
      <c r="AE3331" s="1063"/>
      <c r="AF3331" s="1063"/>
      <c r="AG3331" s="1063"/>
      <c r="AH3331" s="1063"/>
      <c r="AI3331" s="1063"/>
      <c r="AJ3331" s="1063"/>
      <c r="AK3331" s="1063"/>
      <c r="AL3331" s="1063"/>
      <c r="AM3331" s="1063"/>
      <c r="AN3331" s="1063"/>
      <c r="AO3331" s="1063"/>
      <c r="AP3331" s="1063"/>
      <c r="AQ3331" s="1063"/>
      <c r="AR3331" s="1063"/>
      <c r="AS3331" s="1063"/>
      <c r="AT3331" s="1063"/>
      <c r="AU3331" s="1063"/>
      <c r="AV3331" s="1063"/>
    </row>
    <row r="3332" spans="1:48" s="1108" customFormat="1" ht="27.75" customHeight="1">
      <c r="A3332" s="1076"/>
      <c r="B3332" s="1074">
        <f>+'[18]Bldg+Dev'!S4144</f>
        <v>0</v>
      </c>
      <c r="D3332" s="1063"/>
      <c r="F3332" s="1076"/>
      <c r="G3332" s="1063"/>
      <c r="H3332" s="1063"/>
      <c r="I3332" s="1063"/>
      <c r="J3332" s="1063"/>
      <c r="K3332" s="1063"/>
      <c r="L3332" s="1063"/>
      <c r="M3332" s="1063"/>
      <c r="N3332" s="1063"/>
      <c r="O3332" s="1063"/>
      <c r="P3332" s="1063"/>
      <c r="Q3332" s="1063"/>
      <c r="R3332" s="1063"/>
      <c r="S3332" s="1063"/>
      <c r="T3332" s="1063"/>
      <c r="U3332" s="1063"/>
      <c r="V3332" s="1063"/>
      <c r="W3332" s="1063"/>
      <c r="X3332" s="1063"/>
      <c r="Y3332" s="1063"/>
      <c r="Z3332" s="1063"/>
      <c r="AA3332" s="1063"/>
      <c r="AB3332" s="1063"/>
      <c r="AC3332" s="1063"/>
      <c r="AD3332" s="1063"/>
      <c r="AE3332" s="1063"/>
      <c r="AF3332" s="1063"/>
      <c r="AG3332" s="1063"/>
      <c r="AH3332" s="1063"/>
      <c r="AI3332" s="1063"/>
      <c r="AJ3332" s="1063"/>
      <c r="AK3332" s="1063"/>
      <c r="AL3332" s="1063"/>
      <c r="AM3332" s="1063"/>
      <c r="AN3332" s="1063"/>
      <c r="AO3332" s="1063"/>
      <c r="AP3332" s="1063"/>
      <c r="AQ3332" s="1063"/>
      <c r="AR3332" s="1063"/>
      <c r="AS3332" s="1063"/>
      <c r="AT3332" s="1063"/>
      <c r="AU3332" s="1063"/>
      <c r="AV3332" s="1063"/>
    </row>
    <row r="3333" spans="1:48" s="1108" customFormat="1" ht="27.75" customHeight="1">
      <c r="A3333" s="1076"/>
      <c r="B3333" s="1074">
        <f>+'[18]Bldg+Dev'!S4145</f>
        <v>0</v>
      </c>
      <c r="D3333" s="1063"/>
      <c r="F3333" s="1076"/>
      <c r="G3333" s="1063"/>
      <c r="H3333" s="1063"/>
      <c r="I3333" s="1063"/>
      <c r="J3333" s="1063"/>
      <c r="K3333" s="1063"/>
      <c r="L3333" s="1063"/>
      <c r="M3333" s="1063"/>
      <c r="N3333" s="1063"/>
      <c r="O3333" s="1063"/>
      <c r="P3333" s="1063"/>
      <c r="Q3333" s="1063"/>
      <c r="R3333" s="1063"/>
      <c r="S3333" s="1063"/>
      <c r="T3333" s="1063"/>
      <c r="U3333" s="1063"/>
      <c r="V3333" s="1063"/>
      <c r="W3333" s="1063"/>
      <c r="X3333" s="1063"/>
      <c r="Y3333" s="1063"/>
      <c r="Z3333" s="1063"/>
      <c r="AA3333" s="1063"/>
      <c r="AB3333" s="1063"/>
      <c r="AC3333" s="1063"/>
      <c r="AD3333" s="1063"/>
      <c r="AE3333" s="1063"/>
      <c r="AF3333" s="1063"/>
      <c r="AG3333" s="1063"/>
      <c r="AH3333" s="1063"/>
      <c r="AI3333" s="1063"/>
      <c r="AJ3333" s="1063"/>
      <c r="AK3333" s="1063"/>
      <c r="AL3333" s="1063"/>
      <c r="AM3333" s="1063"/>
      <c r="AN3333" s="1063"/>
      <c r="AO3333" s="1063"/>
      <c r="AP3333" s="1063"/>
      <c r="AQ3333" s="1063"/>
      <c r="AR3333" s="1063"/>
      <c r="AS3333" s="1063"/>
      <c r="AT3333" s="1063"/>
      <c r="AU3333" s="1063"/>
      <c r="AV3333" s="1063"/>
    </row>
    <row r="3334" spans="1:48" s="1108" customFormat="1" ht="27.75" customHeight="1">
      <c r="A3334" s="1076"/>
      <c r="B3334" s="1074">
        <f>+'[18]Bldg+Dev'!S4146</f>
        <v>0</v>
      </c>
      <c r="D3334" s="1063"/>
      <c r="F3334" s="1076"/>
      <c r="G3334" s="1063"/>
      <c r="H3334" s="1063"/>
      <c r="I3334" s="1063"/>
      <c r="J3334" s="1063"/>
      <c r="K3334" s="1063"/>
      <c r="L3334" s="1063"/>
      <c r="M3334" s="1063"/>
      <c r="N3334" s="1063"/>
      <c r="O3334" s="1063"/>
      <c r="P3334" s="1063"/>
      <c r="Q3334" s="1063"/>
      <c r="R3334" s="1063"/>
      <c r="S3334" s="1063"/>
      <c r="T3334" s="1063"/>
      <c r="U3334" s="1063"/>
      <c r="V3334" s="1063"/>
      <c r="W3334" s="1063"/>
      <c r="X3334" s="1063"/>
      <c r="Y3334" s="1063"/>
      <c r="Z3334" s="1063"/>
      <c r="AA3334" s="1063"/>
      <c r="AB3334" s="1063"/>
      <c r="AC3334" s="1063"/>
      <c r="AD3334" s="1063"/>
      <c r="AE3334" s="1063"/>
      <c r="AF3334" s="1063"/>
      <c r="AG3334" s="1063"/>
      <c r="AH3334" s="1063"/>
      <c r="AI3334" s="1063"/>
      <c r="AJ3334" s="1063"/>
      <c r="AK3334" s="1063"/>
      <c r="AL3334" s="1063"/>
      <c r="AM3334" s="1063"/>
      <c r="AN3334" s="1063"/>
      <c r="AO3334" s="1063"/>
      <c r="AP3334" s="1063"/>
      <c r="AQ3334" s="1063"/>
      <c r="AR3334" s="1063"/>
      <c r="AS3334" s="1063"/>
      <c r="AT3334" s="1063"/>
      <c r="AU3334" s="1063"/>
      <c r="AV3334" s="1063"/>
    </row>
    <row r="3335" spans="1:48" s="1108" customFormat="1" ht="27.75" customHeight="1">
      <c r="A3335" s="1076"/>
      <c r="B3335" s="1074">
        <f>+'[18]Bldg+Dev'!S4147</f>
        <v>0</v>
      </c>
      <c r="D3335" s="1063"/>
      <c r="F3335" s="1076"/>
      <c r="G3335" s="1063"/>
      <c r="H3335" s="1063"/>
      <c r="I3335" s="1063"/>
      <c r="J3335" s="1063"/>
      <c r="K3335" s="1063"/>
      <c r="L3335" s="1063"/>
      <c r="M3335" s="1063"/>
      <c r="N3335" s="1063"/>
      <c r="O3335" s="1063"/>
      <c r="P3335" s="1063"/>
      <c r="Q3335" s="1063"/>
      <c r="R3335" s="1063"/>
      <c r="S3335" s="1063"/>
      <c r="T3335" s="1063"/>
      <c r="U3335" s="1063"/>
      <c r="V3335" s="1063"/>
      <c r="W3335" s="1063"/>
      <c r="X3335" s="1063"/>
      <c r="Y3335" s="1063"/>
      <c r="Z3335" s="1063"/>
      <c r="AA3335" s="1063"/>
      <c r="AB3335" s="1063"/>
      <c r="AC3335" s="1063"/>
      <c r="AD3335" s="1063"/>
      <c r="AE3335" s="1063"/>
      <c r="AF3335" s="1063"/>
      <c r="AG3335" s="1063"/>
      <c r="AH3335" s="1063"/>
      <c r="AI3335" s="1063"/>
      <c r="AJ3335" s="1063"/>
      <c r="AK3335" s="1063"/>
      <c r="AL3335" s="1063"/>
      <c r="AM3335" s="1063"/>
      <c r="AN3335" s="1063"/>
      <c r="AO3335" s="1063"/>
      <c r="AP3335" s="1063"/>
      <c r="AQ3335" s="1063"/>
      <c r="AR3335" s="1063"/>
      <c r="AS3335" s="1063"/>
      <c r="AT3335" s="1063"/>
      <c r="AU3335" s="1063"/>
      <c r="AV3335" s="1063"/>
    </row>
    <row r="3336" spans="1:48" s="1108" customFormat="1" ht="27.75" customHeight="1">
      <c r="A3336" s="1076"/>
      <c r="B3336" s="1074">
        <f>+'[18]Bldg+Dev'!S4148</f>
        <v>0</v>
      </c>
      <c r="D3336" s="1063"/>
      <c r="F3336" s="1076"/>
      <c r="G3336" s="1063"/>
      <c r="H3336" s="1063"/>
      <c r="I3336" s="1063"/>
      <c r="J3336" s="1063"/>
      <c r="K3336" s="1063"/>
      <c r="L3336" s="1063"/>
      <c r="M3336" s="1063"/>
      <c r="N3336" s="1063"/>
      <c r="O3336" s="1063"/>
      <c r="P3336" s="1063"/>
      <c r="Q3336" s="1063"/>
      <c r="R3336" s="1063"/>
      <c r="S3336" s="1063"/>
      <c r="T3336" s="1063"/>
      <c r="U3336" s="1063"/>
      <c r="V3336" s="1063"/>
      <c r="W3336" s="1063"/>
      <c r="X3336" s="1063"/>
      <c r="Y3336" s="1063"/>
      <c r="Z3336" s="1063"/>
      <c r="AA3336" s="1063"/>
      <c r="AB3336" s="1063"/>
      <c r="AC3336" s="1063"/>
      <c r="AD3336" s="1063"/>
      <c r="AE3336" s="1063"/>
      <c r="AF3336" s="1063"/>
      <c r="AG3336" s="1063"/>
      <c r="AH3336" s="1063"/>
      <c r="AI3336" s="1063"/>
      <c r="AJ3336" s="1063"/>
      <c r="AK3336" s="1063"/>
      <c r="AL3336" s="1063"/>
      <c r="AM3336" s="1063"/>
      <c r="AN3336" s="1063"/>
      <c r="AO3336" s="1063"/>
      <c r="AP3336" s="1063"/>
      <c r="AQ3336" s="1063"/>
      <c r="AR3336" s="1063"/>
      <c r="AS3336" s="1063"/>
      <c r="AT3336" s="1063"/>
      <c r="AU3336" s="1063"/>
      <c r="AV3336" s="1063"/>
    </row>
    <row r="3337" spans="1:48" s="1108" customFormat="1" ht="27.75" customHeight="1">
      <c r="A3337" s="1076"/>
      <c r="B3337" s="1074">
        <f>+'[18]Bldg+Dev'!S4149</f>
        <v>0</v>
      </c>
      <c r="D3337" s="1063"/>
      <c r="F3337" s="1076"/>
      <c r="G3337" s="1063"/>
      <c r="H3337" s="1063"/>
      <c r="I3337" s="1063"/>
      <c r="J3337" s="1063"/>
      <c r="K3337" s="1063"/>
      <c r="L3337" s="1063"/>
      <c r="M3337" s="1063"/>
      <c r="N3337" s="1063"/>
      <c r="O3337" s="1063"/>
      <c r="P3337" s="1063"/>
      <c r="Q3337" s="1063"/>
      <c r="R3337" s="1063"/>
      <c r="S3337" s="1063"/>
      <c r="T3337" s="1063"/>
      <c r="U3337" s="1063"/>
      <c r="V3337" s="1063"/>
      <c r="W3337" s="1063"/>
      <c r="X3337" s="1063"/>
      <c r="Y3337" s="1063"/>
      <c r="Z3337" s="1063"/>
      <c r="AA3337" s="1063"/>
      <c r="AB3337" s="1063"/>
      <c r="AC3337" s="1063"/>
      <c r="AD3337" s="1063"/>
      <c r="AE3337" s="1063"/>
      <c r="AF3337" s="1063"/>
      <c r="AG3337" s="1063"/>
      <c r="AH3337" s="1063"/>
      <c r="AI3337" s="1063"/>
      <c r="AJ3337" s="1063"/>
      <c r="AK3337" s="1063"/>
      <c r="AL3337" s="1063"/>
      <c r="AM3337" s="1063"/>
      <c r="AN3337" s="1063"/>
      <c r="AO3337" s="1063"/>
      <c r="AP3337" s="1063"/>
      <c r="AQ3337" s="1063"/>
      <c r="AR3337" s="1063"/>
      <c r="AS3337" s="1063"/>
      <c r="AT3337" s="1063"/>
      <c r="AU3337" s="1063"/>
      <c r="AV3337" s="1063"/>
    </row>
    <row r="3338" spans="1:48" s="1108" customFormat="1" ht="27.75" customHeight="1">
      <c r="A3338" s="1076"/>
      <c r="B3338" s="1074">
        <f>+'[18]Bldg+Dev'!S4150</f>
        <v>0</v>
      </c>
      <c r="D3338" s="1063"/>
      <c r="F3338" s="1076"/>
      <c r="G3338" s="1063"/>
      <c r="H3338" s="1063"/>
      <c r="I3338" s="1063"/>
      <c r="J3338" s="1063"/>
      <c r="K3338" s="1063"/>
      <c r="L3338" s="1063"/>
      <c r="M3338" s="1063"/>
      <c r="N3338" s="1063"/>
      <c r="O3338" s="1063"/>
      <c r="P3338" s="1063"/>
      <c r="Q3338" s="1063"/>
      <c r="R3338" s="1063"/>
      <c r="S3338" s="1063"/>
      <c r="T3338" s="1063"/>
      <c r="U3338" s="1063"/>
      <c r="V3338" s="1063"/>
      <c r="W3338" s="1063"/>
      <c r="X3338" s="1063"/>
      <c r="Y3338" s="1063"/>
      <c r="Z3338" s="1063"/>
      <c r="AA3338" s="1063"/>
      <c r="AB3338" s="1063"/>
      <c r="AC3338" s="1063"/>
      <c r="AD3338" s="1063"/>
      <c r="AE3338" s="1063"/>
      <c r="AF3338" s="1063"/>
      <c r="AG3338" s="1063"/>
      <c r="AH3338" s="1063"/>
      <c r="AI3338" s="1063"/>
      <c r="AJ3338" s="1063"/>
      <c r="AK3338" s="1063"/>
      <c r="AL3338" s="1063"/>
      <c r="AM3338" s="1063"/>
      <c r="AN3338" s="1063"/>
      <c r="AO3338" s="1063"/>
      <c r="AP3338" s="1063"/>
      <c r="AQ3338" s="1063"/>
      <c r="AR3338" s="1063"/>
      <c r="AS3338" s="1063"/>
      <c r="AT3338" s="1063"/>
      <c r="AU3338" s="1063"/>
      <c r="AV3338" s="1063"/>
    </row>
    <row r="3339" spans="1:48" s="1108" customFormat="1" ht="27.75" customHeight="1">
      <c r="A3339" s="1076"/>
      <c r="B3339" s="1074">
        <f>+'[18]Bldg+Dev'!S4151</f>
        <v>0</v>
      </c>
      <c r="D3339" s="1063"/>
      <c r="F3339" s="1076"/>
      <c r="G3339" s="1063"/>
      <c r="H3339" s="1063"/>
      <c r="I3339" s="1063"/>
      <c r="J3339" s="1063"/>
      <c r="K3339" s="1063"/>
      <c r="L3339" s="1063"/>
      <c r="M3339" s="1063"/>
      <c r="N3339" s="1063"/>
      <c r="O3339" s="1063"/>
      <c r="P3339" s="1063"/>
      <c r="Q3339" s="1063"/>
      <c r="R3339" s="1063"/>
      <c r="S3339" s="1063"/>
      <c r="T3339" s="1063"/>
      <c r="U3339" s="1063"/>
      <c r="V3339" s="1063"/>
      <c r="W3339" s="1063"/>
      <c r="X3339" s="1063"/>
      <c r="Y3339" s="1063"/>
      <c r="Z3339" s="1063"/>
      <c r="AA3339" s="1063"/>
      <c r="AB3339" s="1063"/>
      <c r="AC3339" s="1063"/>
      <c r="AD3339" s="1063"/>
      <c r="AE3339" s="1063"/>
      <c r="AF3339" s="1063"/>
      <c r="AG3339" s="1063"/>
      <c r="AH3339" s="1063"/>
      <c r="AI3339" s="1063"/>
      <c r="AJ3339" s="1063"/>
      <c r="AK3339" s="1063"/>
      <c r="AL3339" s="1063"/>
      <c r="AM3339" s="1063"/>
      <c r="AN3339" s="1063"/>
      <c r="AO3339" s="1063"/>
      <c r="AP3339" s="1063"/>
      <c r="AQ3339" s="1063"/>
      <c r="AR3339" s="1063"/>
      <c r="AS3339" s="1063"/>
      <c r="AT3339" s="1063"/>
      <c r="AU3339" s="1063"/>
      <c r="AV3339" s="1063"/>
    </row>
    <row r="3340" spans="1:48" s="1108" customFormat="1" ht="27.75" customHeight="1">
      <c r="A3340" s="1076"/>
      <c r="B3340" s="1074">
        <f>+'[18]Bldg+Dev'!S4152</f>
        <v>0</v>
      </c>
      <c r="D3340" s="1063"/>
      <c r="F3340" s="1076"/>
      <c r="G3340" s="1063"/>
      <c r="H3340" s="1063"/>
      <c r="I3340" s="1063"/>
      <c r="J3340" s="1063"/>
      <c r="K3340" s="1063"/>
      <c r="L3340" s="1063"/>
      <c r="M3340" s="1063"/>
      <c r="N3340" s="1063"/>
      <c r="O3340" s="1063"/>
      <c r="P3340" s="1063"/>
      <c r="Q3340" s="1063"/>
      <c r="R3340" s="1063"/>
      <c r="S3340" s="1063"/>
      <c r="T3340" s="1063"/>
      <c r="U3340" s="1063"/>
      <c r="V3340" s="1063"/>
      <c r="W3340" s="1063"/>
      <c r="X3340" s="1063"/>
      <c r="Y3340" s="1063"/>
      <c r="Z3340" s="1063"/>
      <c r="AA3340" s="1063"/>
      <c r="AB3340" s="1063"/>
      <c r="AC3340" s="1063"/>
      <c r="AD3340" s="1063"/>
      <c r="AE3340" s="1063"/>
      <c r="AF3340" s="1063"/>
      <c r="AG3340" s="1063"/>
      <c r="AH3340" s="1063"/>
      <c r="AI3340" s="1063"/>
      <c r="AJ3340" s="1063"/>
      <c r="AK3340" s="1063"/>
      <c r="AL3340" s="1063"/>
      <c r="AM3340" s="1063"/>
      <c r="AN3340" s="1063"/>
      <c r="AO3340" s="1063"/>
      <c r="AP3340" s="1063"/>
      <c r="AQ3340" s="1063"/>
      <c r="AR3340" s="1063"/>
      <c r="AS3340" s="1063"/>
      <c r="AT3340" s="1063"/>
      <c r="AU3340" s="1063"/>
      <c r="AV3340" s="1063"/>
    </row>
    <row r="3341" spans="1:48" s="1108" customFormat="1" ht="27.75" customHeight="1">
      <c r="A3341" s="1076"/>
      <c r="B3341" s="1074">
        <f>+'[18]Bldg+Dev'!S4153</f>
        <v>0</v>
      </c>
      <c r="D3341" s="1063"/>
      <c r="F3341" s="1076"/>
      <c r="G3341" s="1063"/>
      <c r="H3341" s="1063"/>
      <c r="I3341" s="1063"/>
      <c r="J3341" s="1063"/>
      <c r="K3341" s="1063"/>
      <c r="L3341" s="1063"/>
      <c r="M3341" s="1063"/>
      <c r="N3341" s="1063"/>
      <c r="O3341" s="1063"/>
      <c r="P3341" s="1063"/>
      <c r="Q3341" s="1063"/>
      <c r="R3341" s="1063"/>
      <c r="S3341" s="1063"/>
      <c r="T3341" s="1063"/>
      <c r="U3341" s="1063"/>
      <c r="V3341" s="1063"/>
      <c r="W3341" s="1063"/>
      <c r="X3341" s="1063"/>
      <c r="Y3341" s="1063"/>
      <c r="Z3341" s="1063"/>
      <c r="AA3341" s="1063"/>
      <c r="AB3341" s="1063"/>
      <c r="AC3341" s="1063"/>
      <c r="AD3341" s="1063"/>
      <c r="AE3341" s="1063"/>
      <c r="AF3341" s="1063"/>
      <c r="AG3341" s="1063"/>
      <c r="AH3341" s="1063"/>
      <c r="AI3341" s="1063"/>
      <c r="AJ3341" s="1063"/>
      <c r="AK3341" s="1063"/>
      <c r="AL3341" s="1063"/>
      <c r="AM3341" s="1063"/>
      <c r="AN3341" s="1063"/>
      <c r="AO3341" s="1063"/>
      <c r="AP3341" s="1063"/>
      <c r="AQ3341" s="1063"/>
      <c r="AR3341" s="1063"/>
      <c r="AS3341" s="1063"/>
      <c r="AT3341" s="1063"/>
      <c r="AU3341" s="1063"/>
      <c r="AV3341" s="1063"/>
    </row>
    <row r="3342" spans="1:48" s="1108" customFormat="1" ht="27.75" customHeight="1">
      <c r="A3342" s="1076"/>
      <c r="B3342" s="1074">
        <f>+'[18]Bldg+Dev'!S4154</f>
        <v>0</v>
      </c>
      <c r="D3342" s="1063"/>
      <c r="F3342" s="1076"/>
      <c r="G3342" s="1063"/>
      <c r="H3342" s="1063"/>
      <c r="I3342" s="1063"/>
      <c r="J3342" s="1063"/>
      <c r="K3342" s="1063"/>
      <c r="L3342" s="1063"/>
      <c r="M3342" s="1063"/>
      <c r="N3342" s="1063"/>
      <c r="O3342" s="1063"/>
      <c r="P3342" s="1063"/>
      <c r="Q3342" s="1063"/>
      <c r="R3342" s="1063"/>
      <c r="S3342" s="1063"/>
      <c r="T3342" s="1063"/>
      <c r="U3342" s="1063"/>
      <c r="V3342" s="1063"/>
      <c r="W3342" s="1063"/>
      <c r="X3342" s="1063"/>
      <c r="Y3342" s="1063"/>
      <c r="Z3342" s="1063"/>
      <c r="AA3342" s="1063"/>
      <c r="AB3342" s="1063"/>
      <c r="AC3342" s="1063"/>
      <c r="AD3342" s="1063"/>
      <c r="AE3342" s="1063"/>
      <c r="AF3342" s="1063"/>
      <c r="AG3342" s="1063"/>
      <c r="AH3342" s="1063"/>
      <c r="AI3342" s="1063"/>
      <c r="AJ3342" s="1063"/>
      <c r="AK3342" s="1063"/>
      <c r="AL3342" s="1063"/>
      <c r="AM3342" s="1063"/>
      <c r="AN3342" s="1063"/>
      <c r="AO3342" s="1063"/>
      <c r="AP3342" s="1063"/>
      <c r="AQ3342" s="1063"/>
      <c r="AR3342" s="1063"/>
      <c r="AS3342" s="1063"/>
      <c r="AT3342" s="1063"/>
      <c r="AU3342" s="1063"/>
      <c r="AV3342" s="1063"/>
    </row>
    <row r="3343" spans="1:48" s="1108" customFormat="1" ht="27.75" customHeight="1">
      <c r="A3343" s="1076"/>
      <c r="B3343" s="1074">
        <f>+'[18]Bldg+Dev'!S4155</f>
        <v>0</v>
      </c>
      <c r="D3343" s="1063"/>
      <c r="F3343" s="1076"/>
      <c r="G3343" s="1063"/>
      <c r="H3343" s="1063"/>
      <c r="I3343" s="1063"/>
      <c r="J3343" s="1063"/>
      <c r="K3343" s="1063"/>
      <c r="L3343" s="1063"/>
      <c r="M3343" s="1063"/>
      <c r="N3343" s="1063"/>
      <c r="O3343" s="1063"/>
      <c r="P3343" s="1063"/>
      <c r="Q3343" s="1063"/>
      <c r="R3343" s="1063"/>
      <c r="S3343" s="1063"/>
      <c r="T3343" s="1063"/>
      <c r="U3343" s="1063"/>
      <c r="V3343" s="1063"/>
      <c r="W3343" s="1063"/>
      <c r="X3343" s="1063"/>
      <c r="Y3343" s="1063"/>
      <c r="Z3343" s="1063"/>
      <c r="AA3343" s="1063"/>
      <c r="AB3343" s="1063"/>
      <c r="AC3343" s="1063"/>
      <c r="AD3343" s="1063"/>
      <c r="AE3343" s="1063"/>
      <c r="AF3343" s="1063"/>
      <c r="AG3343" s="1063"/>
      <c r="AH3343" s="1063"/>
      <c r="AI3343" s="1063"/>
      <c r="AJ3343" s="1063"/>
      <c r="AK3343" s="1063"/>
      <c r="AL3343" s="1063"/>
      <c r="AM3343" s="1063"/>
      <c r="AN3343" s="1063"/>
      <c r="AO3343" s="1063"/>
      <c r="AP3343" s="1063"/>
      <c r="AQ3343" s="1063"/>
      <c r="AR3343" s="1063"/>
      <c r="AS3343" s="1063"/>
      <c r="AT3343" s="1063"/>
      <c r="AU3343" s="1063"/>
      <c r="AV3343" s="1063"/>
    </row>
    <row r="3344" spans="1:48" s="1108" customFormat="1" ht="27.75" customHeight="1">
      <c r="A3344" s="1076"/>
      <c r="B3344" s="1074">
        <f>+'[18]Bldg+Dev'!S4156</f>
        <v>0</v>
      </c>
      <c r="D3344" s="1063"/>
      <c r="F3344" s="1076"/>
      <c r="G3344" s="1063"/>
      <c r="H3344" s="1063"/>
      <c r="I3344" s="1063"/>
      <c r="J3344" s="1063"/>
      <c r="K3344" s="1063"/>
      <c r="L3344" s="1063"/>
      <c r="M3344" s="1063"/>
      <c r="N3344" s="1063"/>
      <c r="O3344" s="1063"/>
      <c r="P3344" s="1063"/>
      <c r="Q3344" s="1063"/>
      <c r="R3344" s="1063"/>
      <c r="S3344" s="1063"/>
      <c r="T3344" s="1063"/>
      <c r="U3344" s="1063"/>
      <c r="V3344" s="1063"/>
      <c r="W3344" s="1063"/>
      <c r="X3344" s="1063"/>
      <c r="Y3344" s="1063"/>
      <c r="Z3344" s="1063"/>
      <c r="AA3344" s="1063"/>
      <c r="AB3344" s="1063"/>
      <c r="AC3344" s="1063"/>
      <c r="AD3344" s="1063"/>
      <c r="AE3344" s="1063"/>
      <c r="AF3344" s="1063"/>
      <c r="AG3344" s="1063"/>
      <c r="AH3344" s="1063"/>
      <c r="AI3344" s="1063"/>
      <c r="AJ3344" s="1063"/>
      <c r="AK3344" s="1063"/>
      <c r="AL3344" s="1063"/>
      <c r="AM3344" s="1063"/>
      <c r="AN3344" s="1063"/>
      <c r="AO3344" s="1063"/>
      <c r="AP3344" s="1063"/>
      <c r="AQ3344" s="1063"/>
      <c r="AR3344" s="1063"/>
      <c r="AS3344" s="1063"/>
      <c r="AT3344" s="1063"/>
      <c r="AU3344" s="1063"/>
      <c r="AV3344" s="1063"/>
    </row>
    <row r="3345" spans="1:48" s="1108" customFormat="1" ht="27.75" customHeight="1">
      <c r="A3345" s="1076"/>
      <c r="B3345" s="1074">
        <f>+'[18]Bldg+Dev'!S4157</f>
        <v>0</v>
      </c>
      <c r="D3345" s="1063"/>
      <c r="F3345" s="1076"/>
      <c r="G3345" s="1063"/>
      <c r="H3345" s="1063"/>
      <c r="I3345" s="1063"/>
      <c r="J3345" s="1063"/>
      <c r="K3345" s="1063"/>
      <c r="L3345" s="1063"/>
      <c r="M3345" s="1063"/>
      <c r="N3345" s="1063"/>
      <c r="O3345" s="1063"/>
      <c r="P3345" s="1063"/>
      <c r="Q3345" s="1063"/>
      <c r="R3345" s="1063"/>
      <c r="S3345" s="1063"/>
      <c r="T3345" s="1063"/>
      <c r="U3345" s="1063"/>
      <c r="V3345" s="1063"/>
      <c r="W3345" s="1063"/>
      <c r="X3345" s="1063"/>
      <c r="Y3345" s="1063"/>
      <c r="Z3345" s="1063"/>
      <c r="AA3345" s="1063"/>
      <c r="AB3345" s="1063"/>
      <c r="AC3345" s="1063"/>
      <c r="AD3345" s="1063"/>
      <c r="AE3345" s="1063"/>
      <c r="AF3345" s="1063"/>
      <c r="AG3345" s="1063"/>
      <c r="AH3345" s="1063"/>
      <c r="AI3345" s="1063"/>
      <c r="AJ3345" s="1063"/>
      <c r="AK3345" s="1063"/>
      <c r="AL3345" s="1063"/>
      <c r="AM3345" s="1063"/>
      <c r="AN3345" s="1063"/>
      <c r="AO3345" s="1063"/>
      <c r="AP3345" s="1063"/>
      <c r="AQ3345" s="1063"/>
      <c r="AR3345" s="1063"/>
      <c r="AS3345" s="1063"/>
      <c r="AT3345" s="1063"/>
      <c r="AU3345" s="1063"/>
      <c r="AV3345" s="1063"/>
    </row>
    <row r="3346" spans="1:48" s="1108" customFormat="1" ht="27.75" customHeight="1">
      <c r="A3346" s="1076"/>
      <c r="B3346" s="1074">
        <f>+'[18]Bldg+Dev'!S4158</f>
        <v>0</v>
      </c>
      <c r="D3346" s="1063"/>
      <c r="F3346" s="1076"/>
      <c r="G3346" s="1063"/>
      <c r="H3346" s="1063"/>
      <c r="I3346" s="1063"/>
      <c r="J3346" s="1063"/>
      <c r="K3346" s="1063"/>
      <c r="L3346" s="1063"/>
      <c r="M3346" s="1063"/>
      <c r="N3346" s="1063"/>
      <c r="O3346" s="1063"/>
      <c r="P3346" s="1063"/>
      <c r="Q3346" s="1063"/>
      <c r="R3346" s="1063"/>
      <c r="S3346" s="1063"/>
      <c r="T3346" s="1063"/>
      <c r="U3346" s="1063"/>
      <c r="V3346" s="1063"/>
      <c r="W3346" s="1063"/>
      <c r="X3346" s="1063"/>
      <c r="Y3346" s="1063"/>
      <c r="Z3346" s="1063"/>
      <c r="AA3346" s="1063"/>
      <c r="AB3346" s="1063"/>
      <c r="AC3346" s="1063"/>
      <c r="AD3346" s="1063"/>
      <c r="AE3346" s="1063"/>
      <c r="AF3346" s="1063"/>
      <c r="AG3346" s="1063"/>
      <c r="AH3346" s="1063"/>
      <c r="AI3346" s="1063"/>
      <c r="AJ3346" s="1063"/>
      <c r="AK3346" s="1063"/>
      <c r="AL3346" s="1063"/>
      <c r="AM3346" s="1063"/>
      <c r="AN3346" s="1063"/>
      <c r="AO3346" s="1063"/>
      <c r="AP3346" s="1063"/>
      <c r="AQ3346" s="1063"/>
      <c r="AR3346" s="1063"/>
      <c r="AS3346" s="1063"/>
      <c r="AT3346" s="1063"/>
      <c r="AU3346" s="1063"/>
      <c r="AV3346" s="1063"/>
    </row>
    <row r="3347" spans="1:48" s="1108" customFormat="1" ht="27.75" customHeight="1">
      <c r="A3347" s="1076"/>
      <c r="B3347" s="1074">
        <f>+'[18]Bldg+Dev'!S4159</f>
        <v>0</v>
      </c>
      <c r="D3347" s="1063"/>
      <c r="F3347" s="1076"/>
      <c r="G3347" s="1063"/>
      <c r="H3347" s="1063"/>
      <c r="I3347" s="1063"/>
      <c r="J3347" s="1063"/>
      <c r="K3347" s="1063"/>
      <c r="L3347" s="1063"/>
      <c r="M3347" s="1063"/>
      <c r="N3347" s="1063"/>
      <c r="O3347" s="1063"/>
      <c r="P3347" s="1063"/>
      <c r="Q3347" s="1063"/>
      <c r="R3347" s="1063"/>
      <c r="S3347" s="1063"/>
      <c r="T3347" s="1063"/>
      <c r="U3347" s="1063"/>
      <c r="V3347" s="1063"/>
      <c r="W3347" s="1063"/>
      <c r="X3347" s="1063"/>
      <c r="Y3347" s="1063"/>
      <c r="Z3347" s="1063"/>
      <c r="AA3347" s="1063"/>
      <c r="AB3347" s="1063"/>
      <c r="AC3347" s="1063"/>
      <c r="AD3347" s="1063"/>
      <c r="AE3347" s="1063"/>
      <c r="AF3347" s="1063"/>
      <c r="AG3347" s="1063"/>
      <c r="AH3347" s="1063"/>
      <c r="AI3347" s="1063"/>
      <c r="AJ3347" s="1063"/>
      <c r="AK3347" s="1063"/>
      <c r="AL3347" s="1063"/>
      <c r="AM3347" s="1063"/>
      <c r="AN3347" s="1063"/>
      <c r="AO3347" s="1063"/>
      <c r="AP3347" s="1063"/>
      <c r="AQ3347" s="1063"/>
      <c r="AR3347" s="1063"/>
      <c r="AS3347" s="1063"/>
      <c r="AT3347" s="1063"/>
      <c r="AU3347" s="1063"/>
      <c r="AV3347" s="1063"/>
    </row>
    <row r="3348" spans="1:48" s="1108" customFormat="1" ht="27.75" customHeight="1">
      <c r="A3348" s="1076"/>
      <c r="B3348" s="1074">
        <f>+'[18]Bldg+Dev'!S4160</f>
        <v>0</v>
      </c>
      <c r="D3348" s="1063"/>
      <c r="F3348" s="1076"/>
      <c r="G3348" s="1063"/>
      <c r="H3348" s="1063"/>
      <c r="I3348" s="1063"/>
      <c r="J3348" s="1063"/>
      <c r="K3348" s="1063"/>
      <c r="L3348" s="1063"/>
      <c r="M3348" s="1063"/>
      <c r="N3348" s="1063"/>
      <c r="O3348" s="1063"/>
      <c r="P3348" s="1063"/>
      <c r="Q3348" s="1063"/>
      <c r="R3348" s="1063"/>
      <c r="S3348" s="1063"/>
      <c r="T3348" s="1063"/>
      <c r="U3348" s="1063"/>
      <c r="V3348" s="1063"/>
      <c r="W3348" s="1063"/>
      <c r="X3348" s="1063"/>
      <c r="Y3348" s="1063"/>
      <c r="Z3348" s="1063"/>
      <c r="AA3348" s="1063"/>
      <c r="AB3348" s="1063"/>
      <c r="AC3348" s="1063"/>
      <c r="AD3348" s="1063"/>
      <c r="AE3348" s="1063"/>
      <c r="AF3348" s="1063"/>
      <c r="AG3348" s="1063"/>
      <c r="AH3348" s="1063"/>
      <c r="AI3348" s="1063"/>
      <c r="AJ3348" s="1063"/>
      <c r="AK3348" s="1063"/>
      <c r="AL3348" s="1063"/>
      <c r="AM3348" s="1063"/>
      <c r="AN3348" s="1063"/>
      <c r="AO3348" s="1063"/>
      <c r="AP3348" s="1063"/>
      <c r="AQ3348" s="1063"/>
      <c r="AR3348" s="1063"/>
      <c r="AS3348" s="1063"/>
      <c r="AT3348" s="1063"/>
      <c r="AU3348" s="1063"/>
      <c r="AV3348" s="1063"/>
    </row>
    <row r="3349" spans="1:48" s="1108" customFormat="1" ht="27.75" customHeight="1">
      <c r="A3349" s="1076"/>
      <c r="B3349" s="1074">
        <f>+'[18]Bldg+Dev'!S4161</f>
        <v>0</v>
      </c>
      <c r="D3349" s="1063"/>
      <c r="F3349" s="1076"/>
      <c r="G3349" s="1063"/>
      <c r="H3349" s="1063"/>
      <c r="I3349" s="1063"/>
      <c r="J3349" s="1063"/>
      <c r="K3349" s="1063"/>
      <c r="L3349" s="1063"/>
      <c r="M3349" s="1063"/>
      <c r="N3349" s="1063"/>
      <c r="O3349" s="1063"/>
      <c r="P3349" s="1063"/>
      <c r="Q3349" s="1063"/>
      <c r="R3349" s="1063"/>
      <c r="S3349" s="1063"/>
      <c r="T3349" s="1063"/>
      <c r="U3349" s="1063"/>
      <c r="V3349" s="1063"/>
      <c r="W3349" s="1063"/>
      <c r="X3349" s="1063"/>
      <c r="Y3349" s="1063"/>
      <c r="Z3349" s="1063"/>
      <c r="AA3349" s="1063"/>
      <c r="AB3349" s="1063"/>
      <c r="AC3349" s="1063"/>
      <c r="AD3349" s="1063"/>
      <c r="AE3349" s="1063"/>
      <c r="AF3349" s="1063"/>
      <c r="AG3349" s="1063"/>
      <c r="AH3349" s="1063"/>
      <c r="AI3349" s="1063"/>
      <c r="AJ3349" s="1063"/>
      <c r="AK3349" s="1063"/>
      <c r="AL3349" s="1063"/>
      <c r="AM3349" s="1063"/>
      <c r="AN3349" s="1063"/>
      <c r="AO3349" s="1063"/>
      <c r="AP3349" s="1063"/>
      <c r="AQ3349" s="1063"/>
      <c r="AR3349" s="1063"/>
      <c r="AS3349" s="1063"/>
      <c r="AT3349" s="1063"/>
      <c r="AU3349" s="1063"/>
      <c r="AV3349" s="1063"/>
    </row>
    <row r="3350" spans="1:48" s="1108" customFormat="1" ht="27.75" customHeight="1">
      <c r="A3350" s="1076"/>
      <c r="B3350" s="1074">
        <f>+'[18]Bldg+Dev'!S4162</f>
        <v>0</v>
      </c>
      <c r="D3350" s="1063"/>
      <c r="F3350" s="1076"/>
      <c r="G3350" s="1063"/>
      <c r="H3350" s="1063"/>
      <c r="I3350" s="1063"/>
      <c r="J3350" s="1063"/>
      <c r="K3350" s="1063"/>
      <c r="L3350" s="1063"/>
      <c r="M3350" s="1063"/>
      <c r="N3350" s="1063"/>
      <c r="O3350" s="1063"/>
      <c r="P3350" s="1063"/>
      <c r="Q3350" s="1063"/>
      <c r="R3350" s="1063"/>
      <c r="S3350" s="1063"/>
      <c r="T3350" s="1063"/>
      <c r="U3350" s="1063"/>
      <c r="V3350" s="1063"/>
      <c r="W3350" s="1063"/>
      <c r="X3350" s="1063"/>
      <c r="Y3350" s="1063"/>
      <c r="Z3350" s="1063"/>
      <c r="AA3350" s="1063"/>
      <c r="AB3350" s="1063"/>
      <c r="AC3350" s="1063"/>
      <c r="AD3350" s="1063"/>
      <c r="AE3350" s="1063"/>
      <c r="AF3350" s="1063"/>
      <c r="AG3350" s="1063"/>
      <c r="AH3350" s="1063"/>
      <c r="AI3350" s="1063"/>
      <c r="AJ3350" s="1063"/>
      <c r="AK3350" s="1063"/>
      <c r="AL3350" s="1063"/>
      <c r="AM3350" s="1063"/>
      <c r="AN3350" s="1063"/>
      <c r="AO3350" s="1063"/>
      <c r="AP3350" s="1063"/>
      <c r="AQ3350" s="1063"/>
      <c r="AR3350" s="1063"/>
      <c r="AS3350" s="1063"/>
      <c r="AT3350" s="1063"/>
      <c r="AU3350" s="1063"/>
      <c r="AV3350" s="1063"/>
    </row>
    <row r="3351" spans="1:48" s="1108" customFormat="1" ht="27.75" customHeight="1">
      <c r="A3351" s="1076"/>
      <c r="B3351" s="1074">
        <f>+'[18]Bldg+Dev'!S4163</f>
        <v>0</v>
      </c>
      <c r="D3351" s="1063"/>
      <c r="F3351" s="1076"/>
      <c r="G3351" s="1063"/>
      <c r="H3351" s="1063"/>
      <c r="I3351" s="1063"/>
      <c r="J3351" s="1063"/>
      <c r="K3351" s="1063"/>
      <c r="L3351" s="1063"/>
      <c r="M3351" s="1063"/>
      <c r="N3351" s="1063"/>
      <c r="O3351" s="1063"/>
      <c r="P3351" s="1063"/>
      <c r="Q3351" s="1063"/>
      <c r="R3351" s="1063"/>
      <c r="S3351" s="1063"/>
      <c r="T3351" s="1063"/>
      <c r="U3351" s="1063"/>
      <c r="V3351" s="1063"/>
      <c r="W3351" s="1063"/>
      <c r="X3351" s="1063"/>
      <c r="Y3351" s="1063"/>
      <c r="Z3351" s="1063"/>
      <c r="AA3351" s="1063"/>
      <c r="AB3351" s="1063"/>
      <c r="AC3351" s="1063"/>
      <c r="AD3351" s="1063"/>
      <c r="AE3351" s="1063"/>
      <c r="AF3351" s="1063"/>
      <c r="AG3351" s="1063"/>
      <c r="AH3351" s="1063"/>
      <c r="AI3351" s="1063"/>
      <c r="AJ3351" s="1063"/>
      <c r="AK3351" s="1063"/>
      <c r="AL3351" s="1063"/>
      <c r="AM3351" s="1063"/>
      <c r="AN3351" s="1063"/>
      <c r="AO3351" s="1063"/>
      <c r="AP3351" s="1063"/>
      <c r="AQ3351" s="1063"/>
      <c r="AR3351" s="1063"/>
      <c r="AS3351" s="1063"/>
      <c r="AT3351" s="1063"/>
      <c r="AU3351" s="1063"/>
      <c r="AV3351" s="1063"/>
    </row>
    <row r="3352" spans="1:48" s="1108" customFormat="1" ht="27.75" customHeight="1">
      <c r="A3352" s="1076"/>
      <c r="B3352" s="1074">
        <f>+'[18]Bldg+Dev'!S4164</f>
        <v>0</v>
      </c>
      <c r="D3352" s="1063"/>
      <c r="F3352" s="1076"/>
      <c r="G3352" s="1063"/>
      <c r="H3352" s="1063"/>
      <c r="I3352" s="1063"/>
      <c r="J3352" s="1063"/>
      <c r="K3352" s="1063"/>
      <c r="L3352" s="1063"/>
      <c r="M3352" s="1063"/>
      <c r="N3352" s="1063"/>
      <c r="O3352" s="1063"/>
      <c r="P3352" s="1063"/>
      <c r="Q3352" s="1063"/>
      <c r="R3352" s="1063"/>
      <c r="S3352" s="1063"/>
      <c r="T3352" s="1063"/>
      <c r="U3352" s="1063"/>
      <c r="V3352" s="1063"/>
      <c r="W3352" s="1063"/>
      <c r="X3352" s="1063"/>
      <c r="Y3352" s="1063"/>
      <c r="Z3352" s="1063"/>
      <c r="AA3352" s="1063"/>
      <c r="AB3352" s="1063"/>
      <c r="AC3352" s="1063"/>
      <c r="AD3352" s="1063"/>
      <c r="AE3352" s="1063"/>
      <c r="AF3352" s="1063"/>
      <c r="AG3352" s="1063"/>
      <c r="AH3352" s="1063"/>
      <c r="AI3352" s="1063"/>
      <c r="AJ3352" s="1063"/>
      <c r="AK3352" s="1063"/>
      <c r="AL3352" s="1063"/>
      <c r="AM3352" s="1063"/>
      <c r="AN3352" s="1063"/>
      <c r="AO3352" s="1063"/>
      <c r="AP3352" s="1063"/>
      <c r="AQ3352" s="1063"/>
      <c r="AR3352" s="1063"/>
      <c r="AS3352" s="1063"/>
      <c r="AT3352" s="1063"/>
      <c r="AU3352" s="1063"/>
      <c r="AV3352" s="1063"/>
    </row>
    <row r="3353" spans="1:48" s="1108" customFormat="1" ht="27.75" customHeight="1">
      <c r="A3353" s="1076"/>
      <c r="B3353" s="1074">
        <f>+'[18]Bldg+Dev'!S4165</f>
        <v>0</v>
      </c>
      <c r="D3353" s="1063"/>
      <c r="F3353" s="1076"/>
      <c r="G3353" s="1063"/>
      <c r="H3353" s="1063"/>
      <c r="I3353" s="1063"/>
      <c r="J3353" s="1063"/>
      <c r="K3353" s="1063"/>
      <c r="L3353" s="1063"/>
      <c r="M3353" s="1063"/>
      <c r="N3353" s="1063"/>
      <c r="O3353" s="1063"/>
      <c r="P3353" s="1063"/>
      <c r="Q3353" s="1063"/>
      <c r="R3353" s="1063"/>
      <c r="S3353" s="1063"/>
      <c r="T3353" s="1063"/>
      <c r="U3353" s="1063"/>
      <c r="V3353" s="1063"/>
      <c r="W3353" s="1063"/>
      <c r="X3353" s="1063"/>
      <c r="Y3353" s="1063"/>
      <c r="Z3353" s="1063"/>
      <c r="AA3353" s="1063"/>
      <c r="AB3353" s="1063"/>
      <c r="AC3353" s="1063"/>
      <c r="AD3353" s="1063"/>
      <c r="AE3353" s="1063"/>
      <c r="AF3353" s="1063"/>
      <c r="AG3353" s="1063"/>
      <c r="AH3353" s="1063"/>
      <c r="AI3353" s="1063"/>
      <c r="AJ3353" s="1063"/>
      <c r="AK3353" s="1063"/>
      <c r="AL3353" s="1063"/>
      <c r="AM3353" s="1063"/>
      <c r="AN3353" s="1063"/>
      <c r="AO3353" s="1063"/>
      <c r="AP3353" s="1063"/>
      <c r="AQ3353" s="1063"/>
      <c r="AR3353" s="1063"/>
      <c r="AS3353" s="1063"/>
      <c r="AT3353" s="1063"/>
      <c r="AU3353" s="1063"/>
      <c r="AV3353" s="1063"/>
    </row>
    <row r="3354" spans="1:48" s="1108" customFormat="1" ht="27.75" customHeight="1">
      <c r="A3354" s="1076"/>
      <c r="B3354" s="1074">
        <f>+'[18]Bldg+Dev'!S4166</f>
        <v>0</v>
      </c>
      <c r="D3354" s="1063"/>
      <c r="F3354" s="1076"/>
      <c r="G3354" s="1063"/>
      <c r="H3354" s="1063"/>
      <c r="I3354" s="1063"/>
      <c r="J3354" s="1063"/>
      <c r="K3354" s="1063"/>
      <c r="L3354" s="1063"/>
      <c r="M3354" s="1063"/>
      <c r="N3354" s="1063"/>
      <c r="O3354" s="1063"/>
      <c r="P3354" s="1063"/>
      <c r="Q3354" s="1063"/>
      <c r="R3354" s="1063"/>
      <c r="S3354" s="1063"/>
      <c r="T3354" s="1063"/>
      <c r="U3354" s="1063"/>
      <c r="V3354" s="1063"/>
      <c r="W3354" s="1063"/>
      <c r="X3354" s="1063"/>
      <c r="Y3354" s="1063"/>
      <c r="Z3354" s="1063"/>
      <c r="AA3354" s="1063"/>
      <c r="AB3354" s="1063"/>
      <c r="AC3354" s="1063"/>
      <c r="AD3354" s="1063"/>
      <c r="AE3354" s="1063"/>
      <c r="AF3354" s="1063"/>
      <c r="AG3354" s="1063"/>
      <c r="AH3354" s="1063"/>
      <c r="AI3354" s="1063"/>
      <c r="AJ3354" s="1063"/>
      <c r="AK3354" s="1063"/>
      <c r="AL3354" s="1063"/>
      <c r="AM3354" s="1063"/>
      <c r="AN3354" s="1063"/>
      <c r="AO3354" s="1063"/>
      <c r="AP3354" s="1063"/>
      <c r="AQ3354" s="1063"/>
      <c r="AR3354" s="1063"/>
      <c r="AS3354" s="1063"/>
      <c r="AT3354" s="1063"/>
      <c r="AU3354" s="1063"/>
      <c r="AV3354" s="1063"/>
    </row>
    <row r="3355" spans="1:48" s="1108" customFormat="1" ht="27.75" customHeight="1">
      <c r="A3355" s="1076"/>
      <c r="B3355" s="1074">
        <f>+'[18]Bldg+Dev'!S4167</f>
        <v>0</v>
      </c>
      <c r="D3355" s="1063"/>
      <c r="F3355" s="1076"/>
      <c r="G3355" s="1063"/>
      <c r="H3355" s="1063"/>
      <c r="I3355" s="1063"/>
      <c r="J3355" s="1063"/>
      <c r="K3355" s="1063"/>
      <c r="L3355" s="1063"/>
      <c r="M3355" s="1063"/>
      <c r="N3355" s="1063"/>
      <c r="O3355" s="1063"/>
      <c r="P3355" s="1063"/>
      <c r="Q3355" s="1063"/>
      <c r="R3355" s="1063"/>
      <c r="S3355" s="1063"/>
      <c r="T3355" s="1063"/>
      <c r="U3355" s="1063"/>
      <c r="V3355" s="1063"/>
      <c r="W3355" s="1063"/>
      <c r="X3355" s="1063"/>
      <c r="Y3355" s="1063"/>
      <c r="Z3355" s="1063"/>
      <c r="AA3355" s="1063"/>
      <c r="AB3355" s="1063"/>
      <c r="AC3355" s="1063"/>
      <c r="AD3355" s="1063"/>
      <c r="AE3355" s="1063"/>
      <c r="AF3355" s="1063"/>
      <c r="AG3355" s="1063"/>
      <c r="AH3355" s="1063"/>
      <c r="AI3355" s="1063"/>
      <c r="AJ3355" s="1063"/>
      <c r="AK3355" s="1063"/>
      <c r="AL3355" s="1063"/>
      <c r="AM3355" s="1063"/>
      <c r="AN3355" s="1063"/>
      <c r="AO3355" s="1063"/>
      <c r="AP3355" s="1063"/>
      <c r="AQ3355" s="1063"/>
      <c r="AR3355" s="1063"/>
      <c r="AS3355" s="1063"/>
      <c r="AT3355" s="1063"/>
      <c r="AU3355" s="1063"/>
      <c r="AV3355" s="1063"/>
    </row>
    <row r="3356" spans="1:48" s="1108" customFormat="1" ht="27.75" customHeight="1">
      <c r="A3356" s="1076"/>
      <c r="B3356" s="1074">
        <f>+'[18]Bldg+Dev'!S4168</f>
        <v>0</v>
      </c>
      <c r="D3356" s="1063"/>
      <c r="F3356" s="1076"/>
      <c r="G3356" s="1063"/>
      <c r="H3356" s="1063"/>
      <c r="I3356" s="1063"/>
      <c r="J3356" s="1063"/>
      <c r="K3356" s="1063"/>
      <c r="L3356" s="1063"/>
      <c r="M3356" s="1063"/>
      <c r="N3356" s="1063"/>
      <c r="O3356" s="1063"/>
      <c r="P3356" s="1063"/>
      <c r="Q3356" s="1063"/>
      <c r="R3356" s="1063"/>
      <c r="S3356" s="1063"/>
      <c r="T3356" s="1063"/>
      <c r="U3356" s="1063"/>
      <c r="V3356" s="1063"/>
      <c r="W3356" s="1063"/>
      <c r="X3356" s="1063"/>
      <c r="Y3356" s="1063"/>
      <c r="Z3356" s="1063"/>
      <c r="AA3356" s="1063"/>
      <c r="AB3356" s="1063"/>
      <c r="AC3356" s="1063"/>
      <c r="AD3356" s="1063"/>
      <c r="AE3356" s="1063"/>
      <c r="AF3356" s="1063"/>
      <c r="AG3356" s="1063"/>
      <c r="AH3356" s="1063"/>
      <c r="AI3356" s="1063"/>
      <c r="AJ3356" s="1063"/>
      <c r="AK3356" s="1063"/>
      <c r="AL3356" s="1063"/>
      <c r="AM3356" s="1063"/>
      <c r="AN3356" s="1063"/>
      <c r="AO3356" s="1063"/>
      <c r="AP3356" s="1063"/>
      <c r="AQ3356" s="1063"/>
      <c r="AR3356" s="1063"/>
      <c r="AS3356" s="1063"/>
      <c r="AT3356" s="1063"/>
      <c r="AU3356" s="1063"/>
      <c r="AV3356" s="1063"/>
    </row>
    <row r="3357" spans="1:48" s="1108" customFormat="1" ht="27.75" customHeight="1">
      <c r="A3357" s="1076"/>
      <c r="B3357" s="1074">
        <f>+'[18]Bldg+Dev'!S4169</f>
        <v>0</v>
      </c>
      <c r="D3357" s="1063"/>
      <c r="F3357" s="1076"/>
      <c r="G3357" s="1063"/>
      <c r="H3357" s="1063"/>
      <c r="I3357" s="1063"/>
      <c r="J3357" s="1063"/>
      <c r="K3357" s="1063"/>
      <c r="L3357" s="1063"/>
      <c r="M3357" s="1063"/>
      <c r="N3357" s="1063"/>
      <c r="O3357" s="1063"/>
      <c r="P3357" s="1063"/>
      <c r="Q3357" s="1063"/>
      <c r="R3357" s="1063"/>
      <c r="S3357" s="1063"/>
      <c r="T3357" s="1063"/>
      <c r="U3357" s="1063"/>
      <c r="V3357" s="1063"/>
      <c r="W3357" s="1063"/>
      <c r="X3357" s="1063"/>
      <c r="Y3357" s="1063"/>
      <c r="Z3357" s="1063"/>
      <c r="AA3357" s="1063"/>
      <c r="AB3357" s="1063"/>
      <c r="AC3357" s="1063"/>
      <c r="AD3357" s="1063"/>
      <c r="AE3357" s="1063"/>
      <c r="AF3357" s="1063"/>
      <c r="AG3357" s="1063"/>
      <c r="AH3357" s="1063"/>
      <c r="AI3357" s="1063"/>
      <c r="AJ3357" s="1063"/>
      <c r="AK3357" s="1063"/>
      <c r="AL3357" s="1063"/>
      <c r="AM3357" s="1063"/>
      <c r="AN3357" s="1063"/>
      <c r="AO3357" s="1063"/>
      <c r="AP3357" s="1063"/>
      <c r="AQ3357" s="1063"/>
      <c r="AR3357" s="1063"/>
      <c r="AS3357" s="1063"/>
      <c r="AT3357" s="1063"/>
      <c r="AU3357" s="1063"/>
      <c r="AV3357" s="1063"/>
    </row>
    <row r="3358" spans="1:48" s="1108" customFormat="1" ht="27.75" customHeight="1">
      <c r="A3358" s="1076"/>
      <c r="B3358" s="1074">
        <f>+'[18]Bldg+Dev'!S4170</f>
        <v>0</v>
      </c>
      <c r="D3358" s="1063"/>
      <c r="F3358" s="1076"/>
      <c r="G3358" s="1063"/>
      <c r="H3358" s="1063"/>
      <c r="I3358" s="1063"/>
      <c r="J3358" s="1063"/>
      <c r="K3358" s="1063"/>
      <c r="L3358" s="1063"/>
      <c r="M3358" s="1063"/>
      <c r="N3358" s="1063"/>
      <c r="O3358" s="1063"/>
      <c r="P3358" s="1063"/>
      <c r="Q3358" s="1063"/>
      <c r="R3358" s="1063"/>
      <c r="S3358" s="1063"/>
      <c r="T3358" s="1063"/>
      <c r="U3358" s="1063"/>
      <c r="V3358" s="1063"/>
      <c r="W3358" s="1063"/>
      <c r="X3358" s="1063"/>
      <c r="Y3358" s="1063"/>
      <c r="Z3358" s="1063"/>
      <c r="AA3358" s="1063"/>
      <c r="AB3358" s="1063"/>
      <c r="AC3358" s="1063"/>
      <c r="AD3358" s="1063"/>
      <c r="AE3358" s="1063"/>
      <c r="AF3358" s="1063"/>
      <c r="AG3358" s="1063"/>
      <c r="AH3358" s="1063"/>
      <c r="AI3358" s="1063"/>
      <c r="AJ3358" s="1063"/>
      <c r="AK3358" s="1063"/>
      <c r="AL3358" s="1063"/>
      <c r="AM3358" s="1063"/>
      <c r="AN3358" s="1063"/>
      <c r="AO3358" s="1063"/>
      <c r="AP3358" s="1063"/>
      <c r="AQ3358" s="1063"/>
      <c r="AR3358" s="1063"/>
      <c r="AS3358" s="1063"/>
      <c r="AT3358" s="1063"/>
      <c r="AU3358" s="1063"/>
      <c r="AV3358" s="1063"/>
    </row>
    <row r="3359" spans="1:48" s="1108" customFormat="1" ht="27.75" customHeight="1">
      <c r="A3359" s="1076"/>
      <c r="B3359" s="1074">
        <f>+'[18]Bldg+Dev'!S4171</f>
        <v>0</v>
      </c>
      <c r="D3359" s="1063"/>
      <c r="F3359" s="1076"/>
      <c r="G3359" s="1063"/>
      <c r="H3359" s="1063"/>
      <c r="I3359" s="1063"/>
      <c r="J3359" s="1063"/>
      <c r="K3359" s="1063"/>
      <c r="L3359" s="1063"/>
      <c r="M3359" s="1063"/>
      <c r="N3359" s="1063"/>
      <c r="O3359" s="1063"/>
      <c r="P3359" s="1063"/>
      <c r="Q3359" s="1063"/>
      <c r="R3359" s="1063"/>
      <c r="S3359" s="1063"/>
      <c r="T3359" s="1063"/>
      <c r="U3359" s="1063"/>
      <c r="V3359" s="1063"/>
      <c r="W3359" s="1063"/>
      <c r="X3359" s="1063"/>
      <c r="Y3359" s="1063"/>
      <c r="Z3359" s="1063"/>
      <c r="AA3359" s="1063"/>
      <c r="AB3359" s="1063"/>
      <c r="AC3359" s="1063"/>
      <c r="AD3359" s="1063"/>
      <c r="AE3359" s="1063"/>
      <c r="AF3359" s="1063"/>
      <c r="AG3359" s="1063"/>
      <c r="AH3359" s="1063"/>
      <c r="AI3359" s="1063"/>
      <c r="AJ3359" s="1063"/>
      <c r="AK3359" s="1063"/>
      <c r="AL3359" s="1063"/>
      <c r="AM3359" s="1063"/>
      <c r="AN3359" s="1063"/>
      <c r="AO3359" s="1063"/>
      <c r="AP3359" s="1063"/>
      <c r="AQ3359" s="1063"/>
      <c r="AR3359" s="1063"/>
      <c r="AS3359" s="1063"/>
      <c r="AT3359" s="1063"/>
      <c r="AU3359" s="1063"/>
      <c r="AV3359" s="1063"/>
    </row>
    <row r="3360" spans="1:48" s="1108" customFormat="1" ht="27.75" customHeight="1">
      <c r="A3360" s="1076"/>
      <c r="B3360" s="1074">
        <f>+'[18]Bldg+Dev'!S4172</f>
        <v>0</v>
      </c>
      <c r="D3360" s="1063"/>
      <c r="F3360" s="1076"/>
      <c r="G3360" s="1063"/>
      <c r="H3360" s="1063"/>
      <c r="I3360" s="1063"/>
      <c r="J3360" s="1063"/>
      <c r="K3360" s="1063"/>
      <c r="L3360" s="1063"/>
      <c r="M3360" s="1063"/>
      <c r="N3360" s="1063"/>
      <c r="O3360" s="1063"/>
      <c r="P3360" s="1063"/>
      <c r="Q3360" s="1063"/>
      <c r="R3360" s="1063"/>
      <c r="S3360" s="1063"/>
      <c r="T3360" s="1063"/>
      <c r="U3360" s="1063"/>
      <c r="V3360" s="1063"/>
      <c r="W3360" s="1063"/>
      <c r="X3360" s="1063"/>
      <c r="Y3360" s="1063"/>
      <c r="Z3360" s="1063"/>
      <c r="AA3360" s="1063"/>
      <c r="AB3360" s="1063"/>
      <c r="AC3360" s="1063"/>
      <c r="AD3360" s="1063"/>
      <c r="AE3360" s="1063"/>
      <c r="AF3360" s="1063"/>
      <c r="AG3360" s="1063"/>
      <c r="AH3360" s="1063"/>
      <c r="AI3360" s="1063"/>
      <c r="AJ3360" s="1063"/>
      <c r="AK3360" s="1063"/>
      <c r="AL3360" s="1063"/>
      <c r="AM3360" s="1063"/>
      <c r="AN3360" s="1063"/>
      <c r="AO3360" s="1063"/>
      <c r="AP3360" s="1063"/>
      <c r="AQ3360" s="1063"/>
      <c r="AR3360" s="1063"/>
      <c r="AS3360" s="1063"/>
      <c r="AT3360" s="1063"/>
      <c r="AU3360" s="1063"/>
      <c r="AV3360" s="1063"/>
    </row>
    <row r="3361" spans="1:48" s="1108" customFormat="1" ht="27.75" customHeight="1">
      <c r="A3361" s="1076"/>
      <c r="B3361" s="1074">
        <f>+'[18]Bldg+Dev'!S4173</f>
        <v>0</v>
      </c>
      <c r="D3361" s="1063"/>
      <c r="F3361" s="1076"/>
      <c r="G3361" s="1063"/>
      <c r="H3361" s="1063"/>
      <c r="I3361" s="1063"/>
      <c r="J3361" s="1063"/>
      <c r="K3361" s="1063"/>
      <c r="L3361" s="1063"/>
      <c r="M3361" s="1063"/>
      <c r="N3361" s="1063"/>
      <c r="O3361" s="1063"/>
      <c r="P3361" s="1063"/>
      <c r="Q3361" s="1063"/>
      <c r="R3361" s="1063"/>
      <c r="S3361" s="1063"/>
      <c r="T3361" s="1063"/>
      <c r="U3361" s="1063"/>
      <c r="V3361" s="1063"/>
      <c r="W3361" s="1063"/>
      <c r="X3361" s="1063"/>
      <c r="Y3361" s="1063"/>
      <c r="Z3361" s="1063"/>
      <c r="AA3361" s="1063"/>
      <c r="AB3361" s="1063"/>
      <c r="AC3361" s="1063"/>
      <c r="AD3361" s="1063"/>
      <c r="AE3361" s="1063"/>
      <c r="AF3361" s="1063"/>
      <c r="AG3361" s="1063"/>
      <c r="AH3361" s="1063"/>
      <c r="AI3361" s="1063"/>
      <c r="AJ3361" s="1063"/>
      <c r="AK3361" s="1063"/>
      <c r="AL3361" s="1063"/>
      <c r="AM3361" s="1063"/>
      <c r="AN3361" s="1063"/>
      <c r="AO3361" s="1063"/>
      <c r="AP3361" s="1063"/>
      <c r="AQ3361" s="1063"/>
      <c r="AR3361" s="1063"/>
      <c r="AS3361" s="1063"/>
      <c r="AT3361" s="1063"/>
      <c r="AU3361" s="1063"/>
      <c r="AV3361" s="1063"/>
    </row>
    <row r="3362" spans="1:48" s="1108" customFormat="1" ht="27.75" customHeight="1">
      <c r="A3362" s="1076"/>
      <c r="B3362" s="1074">
        <f>+'[18]Bldg+Dev'!S4174</f>
        <v>0</v>
      </c>
      <c r="D3362" s="1063"/>
      <c r="F3362" s="1076"/>
      <c r="G3362" s="1063"/>
      <c r="H3362" s="1063"/>
      <c r="I3362" s="1063"/>
      <c r="J3362" s="1063"/>
      <c r="K3362" s="1063"/>
      <c r="L3362" s="1063"/>
      <c r="M3362" s="1063"/>
      <c r="N3362" s="1063"/>
      <c r="O3362" s="1063"/>
      <c r="P3362" s="1063"/>
      <c r="Q3362" s="1063"/>
      <c r="R3362" s="1063"/>
      <c r="S3362" s="1063"/>
      <c r="T3362" s="1063"/>
      <c r="U3362" s="1063"/>
      <c r="V3362" s="1063"/>
      <c r="W3362" s="1063"/>
      <c r="X3362" s="1063"/>
      <c r="Y3362" s="1063"/>
      <c r="Z3362" s="1063"/>
      <c r="AA3362" s="1063"/>
      <c r="AB3362" s="1063"/>
      <c r="AC3362" s="1063"/>
      <c r="AD3362" s="1063"/>
      <c r="AE3362" s="1063"/>
      <c r="AF3362" s="1063"/>
      <c r="AG3362" s="1063"/>
      <c r="AH3362" s="1063"/>
      <c r="AI3362" s="1063"/>
      <c r="AJ3362" s="1063"/>
      <c r="AK3362" s="1063"/>
      <c r="AL3362" s="1063"/>
      <c r="AM3362" s="1063"/>
      <c r="AN3362" s="1063"/>
      <c r="AO3362" s="1063"/>
      <c r="AP3362" s="1063"/>
      <c r="AQ3362" s="1063"/>
      <c r="AR3362" s="1063"/>
      <c r="AS3362" s="1063"/>
      <c r="AT3362" s="1063"/>
      <c r="AU3362" s="1063"/>
      <c r="AV3362" s="1063"/>
    </row>
    <row r="3363" spans="1:48" s="1108" customFormat="1" ht="27.75" customHeight="1">
      <c r="A3363" s="1076"/>
      <c r="B3363" s="1074">
        <f>+'[18]Bldg+Dev'!S4175</f>
        <v>0</v>
      </c>
      <c r="D3363" s="1063"/>
      <c r="F3363" s="1076"/>
      <c r="G3363" s="1063"/>
      <c r="H3363" s="1063"/>
      <c r="I3363" s="1063"/>
      <c r="J3363" s="1063"/>
      <c r="K3363" s="1063"/>
      <c r="L3363" s="1063"/>
      <c r="M3363" s="1063"/>
      <c r="N3363" s="1063"/>
      <c r="O3363" s="1063"/>
      <c r="P3363" s="1063"/>
      <c r="Q3363" s="1063"/>
      <c r="R3363" s="1063"/>
      <c r="S3363" s="1063"/>
      <c r="T3363" s="1063"/>
      <c r="U3363" s="1063"/>
      <c r="V3363" s="1063"/>
      <c r="W3363" s="1063"/>
      <c r="X3363" s="1063"/>
      <c r="Y3363" s="1063"/>
      <c r="Z3363" s="1063"/>
      <c r="AA3363" s="1063"/>
      <c r="AB3363" s="1063"/>
      <c r="AC3363" s="1063"/>
      <c r="AD3363" s="1063"/>
      <c r="AE3363" s="1063"/>
      <c r="AF3363" s="1063"/>
      <c r="AG3363" s="1063"/>
      <c r="AH3363" s="1063"/>
      <c r="AI3363" s="1063"/>
      <c r="AJ3363" s="1063"/>
      <c r="AK3363" s="1063"/>
      <c r="AL3363" s="1063"/>
      <c r="AM3363" s="1063"/>
      <c r="AN3363" s="1063"/>
      <c r="AO3363" s="1063"/>
      <c r="AP3363" s="1063"/>
      <c r="AQ3363" s="1063"/>
      <c r="AR3363" s="1063"/>
      <c r="AS3363" s="1063"/>
      <c r="AT3363" s="1063"/>
      <c r="AU3363" s="1063"/>
      <c r="AV3363" s="1063"/>
    </row>
    <row r="3364" spans="1:48" s="1108" customFormat="1" ht="27.75" customHeight="1">
      <c r="A3364" s="1076"/>
      <c r="B3364" s="1074">
        <f>+'[18]Bldg+Dev'!S4176</f>
        <v>0</v>
      </c>
      <c r="D3364" s="1063"/>
      <c r="F3364" s="1076"/>
      <c r="G3364" s="1063"/>
      <c r="H3364" s="1063"/>
      <c r="I3364" s="1063"/>
      <c r="J3364" s="1063"/>
      <c r="K3364" s="1063"/>
      <c r="L3364" s="1063"/>
      <c r="M3364" s="1063"/>
      <c r="N3364" s="1063"/>
      <c r="O3364" s="1063"/>
      <c r="P3364" s="1063"/>
      <c r="Q3364" s="1063"/>
      <c r="R3364" s="1063"/>
      <c r="S3364" s="1063"/>
      <c r="T3364" s="1063"/>
      <c r="U3364" s="1063"/>
      <c r="V3364" s="1063"/>
      <c r="W3364" s="1063"/>
      <c r="X3364" s="1063"/>
      <c r="Y3364" s="1063"/>
      <c r="Z3364" s="1063"/>
      <c r="AA3364" s="1063"/>
      <c r="AB3364" s="1063"/>
      <c r="AC3364" s="1063"/>
      <c r="AD3364" s="1063"/>
      <c r="AE3364" s="1063"/>
      <c r="AF3364" s="1063"/>
      <c r="AG3364" s="1063"/>
      <c r="AH3364" s="1063"/>
      <c r="AI3364" s="1063"/>
      <c r="AJ3364" s="1063"/>
      <c r="AK3364" s="1063"/>
      <c r="AL3364" s="1063"/>
      <c r="AM3364" s="1063"/>
      <c r="AN3364" s="1063"/>
      <c r="AO3364" s="1063"/>
      <c r="AP3364" s="1063"/>
      <c r="AQ3364" s="1063"/>
      <c r="AR3364" s="1063"/>
      <c r="AS3364" s="1063"/>
      <c r="AT3364" s="1063"/>
      <c r="AU3364" s="1063"/>
      <c r="AV3364" s="1063"/>
    </row>
    <row r="3365" spans="1:48" s="1108" customFormat="1" ht="27.75" customHeight="1">
      <c r="A3365" s="1076"/>
      <c r="B3365" s="1074">
        <f>+'[18]Bldg+Dev'!S4177</f>
        <v>0</v>
      </c>
      <c r="D3365" s="1063"/>
      <c r="F3365" s="1076"/>
      <c r="G3365" s="1063"/>
      <c r="H3365" s="1063"/>
      <c r="I3365" s="1063"/>
      <c r="J3365" s="1063"/>
      <c r="K3365" s="1063"/>
      <c r="L3365" s="1063"/>
      <c r="M3365" s="1063"/>
      <c r="N3365" s="1063"/>
      <c r="O3365" s="1063"/>
      <c r="P3365" s="1063"/>
      <c r="Q3365" s="1063"/>
      <c r="R3365" s="1063"/>
      <c r="S3365" s="1063"/>
      <c r="T3365" s="1063"/>
      <c r="U3365" s="1063"/>
      <c r="V3365" s="1063"/>
      <c r="W3365" s="1063"/>
      <c r="X3365" s="1063"/>
      <c r="Y3365" s="1063"/>
      <c r="Z3365" s="1063"/>
      <c r="AA3365" s="1063"/>
      <c r="AB3365" s="1063"/>
      <c r="AC3365" s="1063"/>
      <c r="AD3365" s="1063"/>
      <c r="AE3365" s="1063"/>
      <c r="AF3365" s="1063"/>
      <c r="AG3365" s="1063"/>
      <c r="AH3365" s="1063"/>
      <c r="AI3365" s="1063"/>
      <c r="AJ3365" s="1063"/>
      <c r="AK3365" s="1063"/>
      <c r="AL3365" s="1063"/>
      <c r="AM3365" s="1063"/>
      <c r="AN3365" s="1063"/>
      <c r="AO3365" s="1063"/>
      <c r="AP3365" s="1063"/>
      <c r="AQ3365" s="1063"/>
      <c r="AR3365" s="1063"/>
      <c r="AS3365" s="1063"/>
      <c r="AT3365" s="1063"/>
      <c r="AU3365" s="1063"/>
      <c r="AV3365" s="1063"/>
    </row>
    <row r="3366" spans="1:48" s="1108" customFormat="1" ht="27.75" customHeight="1">
      <c r="A3366" s="1076"/>
      <c r="B3366" s="1074">
        <f>+'[18]Bldg+Dev'!S4178</f>
        <v>0</v>
      </c>
      <c r="D3366" s="1063"/>
      <c r="F3366" s="1076"/>
      <c r="G3366" s="1063"/>
      <c r="H3366" s="1063"/>
      <c r="I3366" s="1063"/>
      <c r="J3366" s="1063"/>
      <c r="K3366" s="1063"/>
      <c r="L3366" s="1063"/>
      <c r="M3366" s="1063"/>
      <c r="N3366" s="1063"/>
      <c r="O3366" s="1063"/>
      <c r="P3366" s="1063"/>
      <c r="Q3366" s="1063"/>
      <c r="R3366" s="1063"/>
      <c r="S3366" s="1063"/>
      <c r="T3366" s="1063"/>
      <c r="U3366" s="1063"/>
      <c r="V3366" s="1063"/>
      <c r="W3366" s="1063"/>
      <c r="X3366" s="1063"/>
      <c r="Y3366" s="1063"/>
      <c r="Z3366" s="1063"/>
      <c r="AA3366" s="1063"/>
      <c r="AB3366" s="1063"/>
      <c r="AC3366" s="1063"/>
      <c r="AD3366" s="1063"/>
      <c r="AE3366" s="1063"/>
      <c r="AF3366" s="1063"/>
      <c r="AG3366" s="1063"/>
      <c r="AH3366" s="1063"/>
      <c r="AI3366" s="1063"/>
      <c r="AJ3366" s="1063"/>
      <c r="AK3366" s="1063"/>
      <c r="AL3366" s="1063"/>
      <c r="AM3366" s="1063"/>
      <c r="AN3366" s="1063"/>
      <c r="AO3366" s="1063"/>
      <c r="AP3366" s="1063"/>
      <c r="AQ3366" s="1063"/>
      <c r="AR3366" s="1063"/>
      <c r="AS3366" s="1063"/>
      <c r="AT3366" s="1063"/>
      <c r="AU3366" s="1063"/>
      <c r="AV3366" s="1063"/>
    </row>
    <row r="3367" spans="1:48" s="1108" customFormat="1" ht="27.75" customHeight="1">
      <c r="A3367" s="1076"/>
      <c r="B3367" s="1074">
        <f>+'[18]Bldg+Dev'!S4179</f>
        <v>0</v>
      </c>
      <c r="D3367" s="1063"/>
      <c r="F3367" s="1076"/>
      <c r="G3367" s="1063"/>
      <c r="H3367" s="1063"/>
      <c r="I3367" s="1063"/>
      <c r="J3367" s="1063"/>
      <c r="K3367" s="1063"/>
      <c r="L3367" s="1063"/>
      <c r="M3367" s="1063"/>
      <c r="N3367" s="1063"/>
      <c r="O3367" s="1063"/>
      <c r="P3367" s="1063"/>
      <c r="Q3367" s="1063"/>
      <c r="R3367" s="1063"/>
      <c r="S3367" s="1063"/>
      <c r="T3367" s="1063"/>
      <c r="U3367" s="1063"/>
      <c r="V3367" s="1063"/>
      <c r="W3367" s="1063"/>
      <c r="X3367" s="1063"/>
      <c r="Y3367" s="1063"/>
      <c r="Z3367" s="1063"/>
      <c r="AA3367" s="1063"/>
      <c r="AB3367" s="1063"/>
      <c r="AC3367" s="1063"/>
      <c r="AD3367" s="1063"/>
      <c r="AE3367" s="1063"/>
      <c r="AF3367" s="1063"/>
      <c r="AG3367" s="1063"/>
      <c r="AH3367" s="1063"/>
      <c r="AI3367" s="1063"/>
      <c r="AJ3367" s="1063"/>
      <c r="AK3367" s="1063"/>
      <c r="AL3367" s="1063"/>
      <c r="AM3367" s="1063"/>
      <c r="AN3367" s="1063"/>
      <c r="AO3367" s="1063"/>
      <c r="AP3367" s="1063"/>
      <c r="AQ3367" s="1063"/>
      <c r="AR3367" s="1063"/>
      <c r="AS3367" s="1063"/>
      <c r="AT3367" s="1063"/>
      <c r="AU3367" s="1063"/>
      <c r="AV3367" s="1063"/>
    </row>
    <row r="3368" spans="1:48" s="1108" customFormat="1" ht="27.75" customHeight="1">
      <c r="A3368" s="1076"/>
      <c r="B3368" s="1074">
        <f>+'[18]Bldg+Dev'!S4180</f>
        <v>0</v>
      </c>
      <c r="D3368" s="1063"/>
      <c r="F3368" s="1076"/>
      <c r="G3368" s="1063"/>
      <c r="H3368" s="1063"/>
      <c r="I3368" s="1063"/>
      <c r="J3368" s="1063"/>
      <c r="K3368" s="1063"/>
      <c r="L3368" s="1063"/>
      <c r="M3368" s="1063"/>
      <c r="N3368" s="1063"/>
      <c r="O3368" s="1063"/>
      <c r="P3368" s="1063"/>
      <c r="Q3368" s="1063"/>
      <c r="R3368" s="1063"/>
      <c r="S3368" s="1063"/>
      <c r="T3368" s="1063"/>
      <c r="U3368" s="1063"/>
      <c r="V3368" s="1063"/>
      <c r="W3368" s="1063"/>
      <c r="X3368" s="1063"/>
      <c r="Y3368" s="1063"/>
      <c r="Z3368" s="1063"/>
      <c r="AA3368" s="1063"/>
      <c r="AB3368" s="1063"/>
      <c r="AC3368" s="1063"/>
      <c r="AD3368" s="1063"/>
      <c r="AE3368" s="1063"/>
      <c r="AF3368" s="1063"/>
      <c r="AG3368" s="1063"/>
      <c r="AH3368" s="1063"/>
      <c r="AI3368" s="1063"/>
      <c r="AJ3368" s="1063"/>
      <c r="AK3368" s="1063"/>
      <c r="AL3368" s="1063"/>
      <c r="AM3368" s="1063"/>
      <c r="AN3368" s="1063"/>
      <c r="AO3368" s="1063"/>
      <c r="AP3368" s="1063"/>
      <c r="AQ3368" s="1063"/>
      <c r="AR3368" s="1063"/>
      <c r="AS3368" s="1063"/>
      <c r="AT3368" s="1063"/>
      <c r="AU3368" s="1063"/>
      <c r="AV3368" s="1063"/>
    </row>
    <row r="3369" spans="1:48" s="1108" customFormat="1" ht="27.75" customHeight="1">
      <c r="A3369" s="1076"/>
      <c r="B3369" s="1074">
        <f>+'[18]Bldg+Dev'!S4181</f>
        <v>0</v>
      </c>
      <c r="D3369" s="1063"/>
      <c r="F3369" s="1076"/>
      <c r="G3369" s="1063"/>
      <c r="H3369" s="1063"/>
      <c r="I3369" s="1063"/>
      <c r="J3369" s="1063"/>
      <c r="K3369" s="1063"/>
      <c r="L3369" s="1063"/>
      <c r="M3369" s="1063"/>
      <c r="N3369" s="1063"/>
      <c r="O3369" s="1063"/>
      <c r="P3369" s="1063"/>
      <c r="Q3369" s="1063"/>
      <c r="R3369" s="1063"/>
      <c r="S3369" s="1063"/>
      <c r="T3369" s="1063"/>
      <c r="U3369" s="1063"/>
      <c r="V3369" s="1063"/>
      <c r="W3369" s="1063"/>
      <c r="X3369" s="1063"/>
      <c r="Y3369" s="1063"/>
      <c r="Z3369" s="1063"/>
      <c r="AA3369" s="1063"/>
      <c r="AB3369" s="1063"/>
      <c r="AC3369" s="1063"/>
      <c r="AD3369" s="1063"/>
      <c r="AE3369" s="1063"/>
      <c r="AF3369" s="1063"/>
      <c r="AG3369" s="1063"/>
      <c r="AH3369" s="1063"/>
      <c r="AI3369" s="1063"/>
      <c r="AJ3369" s="1063"/>
      <c r="AK3369" s="1063"/>
      <c r="AL3369" s="1063"/>
      <c r="AM3369" s="1063"/>
      <c r="AN3369" s="1063"/>
      <c r="AO3369" s="1063"/>
      <c r="AP3369" s="1063"/>
      <c r="AQ3369" s="1063"/>
      <c r="AR3369" s="1063"/>
      <c r="AS3369" s="1063"/>
      <c r="AT3369" s="1063"/>
      <c r="AU3369" s="1063"/>
      <c r="AV3369" s="1063"/>
    </row>
    <row r="3370" spans="1:48" s="1108" customFormat="1" ht="27.75" customHeight="1">
      <c r="A3370" s="1076"/>
      <c r="B3370" s="1074">
        <f>+'[18]Bldg+Dev'!S4182</f>
        <v>0</v>
      </c>
      <c r="D3370" s="1063"/>
      <c r="F3370" s="1076"/>
      <c r="G3370" s="1063"/>
      <c r="H3370" s="1063"/>
      <c r="I3370" s="1063"/>
      <c r="J3370" s="1063"/>
      <c r="K3370" s="1063"/>
      <c r="L3370" s="1063"/>
      <c r="M3370" s="1063"/>
      <c r="N3370" s="1063"/>
      <c r="O3370" s="1063"/>
      <c r="P3370" s="1063"/>
      <c r="Q3370" s="1063"/>
      <c r="R3370" s="1063"/>
      <c r="S3370" s="1063"/>
      <c r="T3370" s="1063"/>
      <c r="U3370" s="1063"/>
      <c r="V3370" s="1063"/>
      <c r="W3370" s="1063"/>
      <c r="X3370" s="1063"/>
      <c r="Y3370" s="1063"/>
      <c r="Z3370" s="1063"/>
      <c r="AA3370" s="1063"/>
      <c r="AB3370" s="1063"/>
      <c r="AC3370" s="1063"/>
      <c r="AD3370" s="1063"/>
      <c r="AE3370" s="1063"/>
      <c r="AF3370" s="1063"/>
      <c r="AG3370" s="1063"/>
      <c r="AH3370" s="1063"/>
      <c r="AI3370" s="1063"/>
      <c r="AJ3370" s="1063"/>
      <c r="AK3370" s="1063"/>
      <c r="AL3370" s="1063"/>
      <c r="AM3370" s="1063"/>
      <c r="AN3370" s="1063"/>
      <c r="AO3370" s="1063"/>
      <c r="AP3370" s="1063"/>
      <c r="AQ3370" s="1063"/>
      <c r="AR3370" s="1063"/>
      <c r="AS3370" s="1063"/>
      <c r="AT3370" s="1063"/>
      <c r="AU3370" s="1063"/>
      <c r="AV3370" s="1063"/>
    </row>
    <row r="3371" spans="1:48" s="1108" customFormat="1" ht="27.75" customHeight="1">
      <c r="A3371" s="1076"/>
      <c r="B3371" s="1074">
        <f>+'[18]Bldg+Dev'!S4183</f>
        <v>0</v>
      </c>
      <c r="D3371" s="1063"/>
      <c r="F3371" s="1076"/>
      <c r="G3371" s="1063"/>
      <c r="H3371" s="1063"/>
      <c r="I3371" s="1063"/>
      <c r="J3371" s="1063"/>
      <c r="K3371" s="1063"/>
      <c r="L3371" s="1063"/>
      <c r="M3371" s="1063"/>
      <c r="N3371" s="1063"/>
      <c r="O3371" s="1063"/>
      <c r="P3371" s="1063"/>
      <c r="Q3371" s="1063"/>
      <c r="R3371" s="1063"/>
      <c r="S3371" s="1063"/>
      <c r="T3371" s="1063"/>
      <c r="U3371" s="1063"/>
      <c r="V3371" s="1063"/>
      <c r="W3371" s="1063"/>
      <c r="X3371" s="1063"/>
      <c r="Y3371" s="1063"/>
      <c r="Z3371" s="1063"/>
      <c r="AA3371" s="1063"/>
      <c r="AB3371" s="1063"/>
      <c r="AC3371" s="1063"/>
      <c r="AD3371" s="1063"/>
      <c r="AE3371" s="1063"/>
      <c r="AF3371" s="1063"/>
      <c r="AG3371" s="1063"/>
      <c r="AH3371" s="1063"/>
      <c r="AI3371" s="1063"/>
      <c r="AJ3371" s="1063"/>
      <c r="AK3371" s="1063"/>
      <c r="AL3371" s="1063"/>
      <c r="AM3371" s="1063"/>
      <c r="AN3371" s="1063"/>
      <c r="AO3371" s="1063"/>
      <c r="AP3371" s="1063"/>
      <c r="AQ3371" s="1063"/>
      <c r="AR3371" s="1063"/>
      <c r="AS3371" s="1063"/>
      <c r="AT3371" s="1063"/>
      <c r="AU3371" s="1063"/>
      <c r="AV3371" s="1063"/>
    </row>
    <row r="3372" spans="1:48" s="1108" customFormat="1" ht="27.75" customHeight="1">
      <c r="A3372" s="1076"/>
      <c r="B3372" s="1074">
        <f>+'[18]Bldg+Dev'!S4184</f>
        <v>0</v>
      </c>
      <c r="D3372" s="1063"/>
      <c r="F3372" s="1076"/>
      <c r="G3372" s="1063"/>
      <c r="H3372" s="1063"/>
      <c r="I3372" s="1063"/>
      <c r="J3372" s="1063"/>
      <c r="K3372" s="1063"/>
      <c r="L3372" s="1063"/>
      <c r="M3372" s="1063"/>
      <c r="N3372" s="1063"/>
      <c r="O3372" s="1063"/>
      <c r="P3372" s="1063"/>
      <c r="Q3372" s="1063"/>
      <c r="R3372" s="1063"/>
      <c r="S3372" s="1063"/>
      <c r="T3372" s="1063"/>
      <c r="U3372" s="1063"/>
      <c r="V3372" s="1063"/>
      <c r="W3372" s="1063"/>
      <c r="X3372" s="1063"/>
      <c r="Y3372" s="1063"/>
      <c r="Z3372" s="1063"/>
      <c r="AA3372" s="1063"/>
      <c r="AB3372" s="1063"/>
      <c r="AC3372" s="1063"/>
      <c r="AD3372" s="1063"/>
      <c r="AE3372" s="1063"/>
      <c r="AF3372" s="1063"/>
      <c r="AG3372" s="1063"/>
      <c r="AH3372" s="1063"/>
      <c r="AI3372" s="1063"/>
      <c r="AJ3372" s="1063"/>
      <c r="AK3372" s="1063"/>
      <c r="AL3372" s="1063"/>
      <c r="AM3372" s="1063"/>
      <c r="AN3372" s="1063"/>
      <c r="AO3372" s="1063"/>
      <c r="AP3372" s="1063"/>
      <c r="AQ3372" s="1063"/>
      <c r="AR3372" s="1063"/>
      <c r="AS3372" s="1063"/>
      <c r="AT3372" s="1063"/>
      <c r="AU3372" s="1063"/>
      <c r="AV3372" s="1063"/>
    </row>
    <row r="3373" spans="1:48" s="1108" customFormat="1" ht="27.75" customHeight="1">
      <c r="A3373" s="1076"/>
      <c r="B3373" s="1074">
        <f>+'[18]Bldg+Dev'!S4185</f>
        <v>0</v>
      </c>
      <c r="D3373" s="1063"/>
      <c r="F3373" s="1076"/>
      <c r="G3373" s="1063"/>
      <c r="H3373" s="1063"/>
      <c r="I3373" s="1063"/>
      <c r="J3373" s="1063"/>
      <c r="K3373" s="1063"/>
      <c r="L3373" s="1063"/>
      <c r="M3373" s="1063"/>
      <c r="N3373" s="1063"/>
      <c r="O3373" s="1063"/>
      <c r="P3373" s="1063"/>
      <c r="Q3373" s="1063"/>
      <c r="R3373" s="1063"/>
      <c r="S3373" s="1063"/>
      <c r="T3373" s="1063"/>
      <c r="U3373" s="1063"/>
      <c r="V3373" s="1063"/>
      <c r="W3373" s="1063"/>
      <c r="X3373" s="1063"/>
      <c r="Y3373" s="1063"/>
      <c r="Z3373" s="1063"/>
      <c r="AA3373" s="1063"/>
      <c r="AB3373" s="1063"/>
      <c r="AC3373" s="1063"/>
      <c r="AD3373" s="1063"/>
      <c r="AE3373" s="1063"/>
      <c r="AF3373" s="1063"/>
      <c r="AG3373" s="1063"/>
      <c r="AH3373" s="1063"/>
      <c r="AI3373" s="1063"/>
      <c r="AJ3373" s="1063"/>
      <c r="AK3373" s="1063"/>
      <c r="AL3373" s="1063"/>
      <c r="AM3373" s="1063"/>
      <c r="AN3373" s="1063"/>
      <c r="AO3373" s="1063"/>
      <c r="AP3373" s="1063"/>
      <c r="AQ3373" s="1063"/>
      <c r="AR3373" s="1063"/>
      <c r="AS3373" s="1063"/>
      <c r="AT3373" s="1063"/>
      <c r="AU3373" s="1063"/>
      <c r="AV3373" s="1063"/>
    </row>
    <row r="3374" spans="1:48" s="1108" customFormat="1" ht="27.75" customHeight="1">
      <c r="A3374" s="1076"/>
      <c r="B3374" s="1074">
        <f>+'[18]Bldg+Dev'!S4186</f>
        <v>0</v>
      </c>
      <c r="D3374" s="1063"/>
      <c r="F3374" s="1076"/>
      <c r="G3374" s="1063"/>
      <c r="H3374" s="1063"/>
      <c r="I3374" s="1063"/>
      <c r="J3374" s="1063"/>
      <c r="K3374" s="1063"/>
      <c r="L3374" s="1063"/>
      <c r="M3374" s="1063"/>
      <c r="N3374" s="1063"/>
      <c r="O3374" s="1063"/>
      <c r="P3374" s="1063"/>
      <c r="Q3374" s="1063"/>
      <c r="R3374" s="1063"/>
      <c r="S3374" s="1063"/>
      <c r="T3374" s="1063"/>
      <c r="U3374" s="1063"/>
      <c r="V3374" s="1063"/>
      <c r="W3374" s="1063"/>
      <c r="X3374" s="1063"/>
      <c r="Y3374" s="1063"/>
      <c r="Z3374" s="1063"/>
      <c r="AA3374" s="1063"/>
      <c r="AB3374" s="1063"/>
      <c r="AC3374" s="1063"/>
      <c r="AD3374" s="1063"/>
      <c r="AE3374" s="1063"/>
      <c r="AF3374" s="1063"/>
      <c r="AG3374" s="1063"/>
      <c r="AH3374" s="1063"/>
      <c r="AI3374" s="1063"/>
      <c r="AJ3374" s="1063"/>
      <c r="AK3374" s="1063"/>
      <c r="AL3374" s="1063"/>
      <c r="AM3374" s="1063"/>
      <c r="AN3374" s="1063"/>
      <c r="AO3374" s="1063"/>
      <c r="AP3374" s="1063"/>
      <c r="AQ3374" s="1063"/>
      <c r="AR3374" s="1063"/>
      <c r="AS3374" s="1063"/>
      <c r="AT3374" s="1063"/>
      <c r="AU3374" s="1063"/>
      <c r="AV3374" s="1063"/>
    </row>
    <row r="3375" spans="1:48" s="1108" customFormat="1" ht="27.75" customHeight="1">
      <c r="A3375" s="1076"/>
      <c r="B3375" s="1074">
        <f>+'[18]Bldg+Dev'!S4187</f>
        <v>0</v>
      </c>
      <c r="D3375" s="1063"/>
      <c r="F3375" s="1076"/>
      <c r="G3375" s="1063"/>
      <c r="H3375" s="1063"/>
      <c r="I3375" s="1063"/>
      <c r="J3375" s="1063"/>
      <c r="K3375" s="1063"/>
      <c r="L3375" s="1063"/>
      <c r="M3375" s="1063"/>
      <c r="N3375" s="1063"/>
      <c r="O3375" s="1063"/>
      <c r="P3375" s="1063"/>
      <c r="Q3375" s="1063"/>
      <c r="R3375" s="1063"/>
      <c r="S3375" s="1063"/>
      <c r="T3375" s="1063"/>
      <c r="U3375" s="1063"/>
      <c r="V3375" s="1063"/>
      <c r="W3375" s="1063"/>
      <c r="X3375" s="1063"/>
      <c r="Y3375" s="1063"/>
      <c r="Z3375" s="1063"/>
      <c r="AA3375" s="1063"/>
      <c r="AB3375" s="1063"/>
      <c r="AC3375" s="1063"/>
      <c r="AD3375" s="1063"/>
      <c r="AE3375" s="1063"/>
      <c r="AF3375" s="1063"/>
      <c r="AG3375" s="1063"/>
      <c r="AH3375" s="1063"/>
      <c r="AI3375" s="1063"/>
      <c r="AJ3375" s="1063"/>
      <c r="AK3375" s="1063"/>
      <c r="AL3375" s="1063"/>
      <c r="AM3375" s="1063"/>
      <c r="AN3375" s="1063"/>
      <c r="AO3375" s="1063"/>
      <c r="AP3375" s="1063"/>
      <c r="AQ3375" s="1063"/>
      <c r="AR3375" s="1063"/>
      <c r="AS3375" s="1063"/>
      <c r="AT3375" s="1063"/>
      <c r="AU3375" s="1063"/>
      <c r="AV3375" s="1063"/>
    </row>
    <row r="3376" spans="1:48" s="1108" customFormat="1" ht="27.75" customHeight="1">
      <c r="A3376" s="1076"/>
      <c r="B3376" s="1074">
        <f>+'[18]Bldg+Dev'!S4188</f>
        <v>0</v>
      </c>
      <c r="D3376" s="1063"/>
      <c r="F3376" s="1076"/>
      <c r="G3376" s="1063"/>
      <c r="H3376" s="1063"/>
      <c r="I3376" s="1063"/>
      <c r="J3376" s="1063"/>
      <c r="K3376" s="1063"/>
      <c r="L3376" s="1063"/>
      <c r="M3376" s="1063"/>
      <c r="N3376" s="1063"/>
      <c r="O3376" s="1063"/>
      <c r="P3376" s="1063"/>
      <c r="Q3376" s="1063"/>
      <c r="R3376" s="1063"/>
      <c r="S3376" s="1063"/>
      <c r="T3376" s="1063"/>
      <c r="U3376" s="1063"/>
      <c r="V3376" s="1063"/>
      <c r="W3376" s="1063"/>
      <c r="X3376" s="1063"/>
      <c r="Y3376" s="1063"/>
      <c r="Z3376" s="1063"/>
      <c r="AA3376" s="1063"/>
      <c r="AB3376" s="1063"/>
      <c r="AC3376" s="1063"/>
      <c r="AD3376" s="1063"/>
      <c r="AE3376" s="1063"/>
      <c r="AF3376" s="1063"/>
      <c r="AG3376" s="1063"/>
      <c r="AH3376" s="1063"/>
      <c r="AI3376" s="1063"/>
      <c r="AJ3376" s="1063"/>
      <c r="AK3376" s="1063"/>
      <c r="AL3376" s="1063"/>
      <c r="AM3376" s="1063"/>
      <c r="AN3376" s="1063"/>
      <c r="AO3376" s="1063"/>
      <c r="AP3376" s="1063"/>
      <c r="AQ3376" s="1063"/>
      <c r="AR3376" s="1063"/>
      <c r="AS3376" s="1063"/>
      <c r="AT3376" s="1063"/>
      <c r="AU3376" s="1063"/>
      <c r="AV3376" s="1063"/>
    </row>
    <row r="3377" spans="1:48" s="1108" customFormat="1" ht="27.75" customHeight="1">
      <c r="A3377" s="1076"/>
      <c r="B3377" s="1074">
        <f>+'[18]Bldg+Dev'!S4189</f>
        <v>0</v>
      </c>
      <c r="D3377" s="1063"/>
      <c r="F3377" s="1076"/>
      <c r="G3377" s="1063"/>
      <c r="H3377" s="1063"/>
      <c r="I3377" s="1063"/>
      <c r="J3377" s="1063"/>
      <c r="K3377" s="1063"/>
      <c r="L3377" s="1063"/>
      <c r="M3377" s="1063"/>
      <c r="N3377" s="1063"/>
      <c r="O3377" s="1063"/>
      <c r="P3377" s="1063"/>
      <c r="Q3377" s="1063"/>
      <c r="R3377" s="1063"/>
      <c r="S3377" s="1063"/>
      <c r="T3377" s="1063"/>
      <c r="U3377" s="1063"/>
      <c r="V3377" s="1063"/>
      <c r="W3377" s="1063"/>
      <c r="X3377" s="1063"/>
      <c r="Y3377" s="1063"/>
      <c r="Z3377" s="1063"/>
      <c r="AA3377" s="1063"/>
      <c r="AB3377" s="1063"/>
      <c r="AC3377" s="1063"/>
      <c r="AD3377" s="1063"/>
      <c r="AE3377" s="1063"/>
      <c r="AF3377" s="1063"/>
      <c r="AG3377" s="1063"/>
      <c r="AH3377" s="1063"/>
      <c r="AI3377" s="1063"/>
      <c r="AJ3377" s="1063"/>
      <c r="AK3377" s="1063"/>
      <c r="AL3377" s="1063"/>
      <c r="AM3377" s="1063"/>
      <c r="AN3377" s="1063"/>
      <c r="AO3377" s="1063"/>
      <c r="AP3377" s="1063"/>
      <c r="AQ3377" s="1063"/>
      <c r="AR3377" s="1063"/>
      <c r="AS3377" s="1063"/>
      <c r="AT3377" s="1063"/>
      <c r="AU3377" s="1063"/>
      <c r="AV3377" s="1063"/>
    </row>
    <row r="3378" spans="1:48" s="1108" customFormat="1" ht="27.75" customHeight="1">
      <c r="A3378" s="1076"/>
      <c r="B3378" s="1074">
        <f>+'[18]Bldg+Dev'!S4190</f>
        <v>0</v>
      </c>
      <c r="D3378" s="1063"/>
      <c r="F3378" s="1076"/>
      <c r="G3378" s="1063"/>
      <c r="H3378" s="1063"/>
      <c r="I3378" s="1063"/>
      <c r="J3378" s="1063"/>
      <c r="K3378" s="1063"/>
      <c r="L3378" s="1063"/>
      <c r="M3378" s="1063"/>
      <c r="N3378" s="1063"/>
      <c r="O3378" s="1063"/>
      <c r="P3378" s="1063"/>
      <c r="Q3378" s="1063"/>
      <c r="R3378" s="1063"/>
      <c r="S3378" s="1063"/>
      <c r="T3378" s="1063"/>
      <c r="U3378" s="1063"/>
      <c r="V3378" s="1063"/>
      <c r="W3378" s="1063"/>
      <c r="X3378" s="1063"/>
      <c r="Y3378" s="1063"/>
      <c r="Z3378" s="1063"/>
      <c r="AA3378" s="1063"/>
      <c r="AB3378" s="1063"/>
      <c r="AC3378" s="1063"/>
      <c r="AD3378" s="1063"/>
      <c r="AE3378" s="1063"/>
      <c r="AF3378" s="1063"/>
      <c r="AG3378" s="1063"/>
      <c r="AH3378" s="1063"/>
      <c r="AI3378" s="1063"/>
      <c r="AJ3378" s="1063"/>
      <c r="AK3378" s="1063"/>
      <c r="AL3378" s="1063"/>
      <c r="AM3378" s="1063"/>
      <c r="AN3378" s="1063"/>
      <c r="AO3378" s="1063"/>
      <c r="AP3378" s="1063"/>
      <c r="AQ3378" s="1063"/>
      <c r="AR3378" s="1063"/>
      <c r="AS3378" s="1063"/>
      <c r="AT3378" s="1063"/>
      <c r="AU3378" s="1063"/>
      <c r="AV3378" s="1063"/>
    </row>
    <row r="3379" spans="1:48" s="1108" customFormat="1" ht="27.75" customHeight="1">
      <c r="A3379" s="1076"/>
      <c r="B3379" s="1074">
        <f>+'[18]Bldg+Dev'!S4191</f>
        <v>0</v>
      </c>
      <c r="D3379" s="1063"/>
      <c r="F3379" s="1076"/>
      <c r="G3379" s="1063"/>
      <c r="H3379" s="1063"/>
      <c r="I3379" s="1063"/>
      <c r="J3379" s="1063"/>
      <c r="K3379" s="1063"/>
      <c r="L3379" s="1063"/>
      <c r="M3379" s="1063"/>
      <c r="N3379" s="1063"/>
      <c r="O3379" s="1063"/>
      <c r="P3379" s="1063"/>
      <c r="Q3379" s="1063"/>
      <c r="R3379" s="1063"/>
      <c r="S3379" s="1063"/>
      <c r="T3379" s="1063"/>
      <c r="U3379" s="1063"/>
      <c r="V3379" s="1063"/>
      <c r="W3379" s="1063"/>
      <c r="X3379" s="1063"/>
      <c r="Y3379" s="1063"/>
      <c r="Z3379" s="1063"/>
      <c r="AA3379" s="1063"/>
      <c r="AB3379" s="1063"/>
      <c r="AC3379" s="1063"/>
      <c r="AD3379" s="1063"/>
      <c r="AE3379" s="1063"/>
      <c r="AF3379" s="1063"/>
      <c r="AG3379" s="1063"/>
      <c r="AH3379" s="1063"/>
      <c r="AI3379" s="1063"/>
      <c r="AJ3379" s="1063"/>
      <c r="AK3379" s="1063"/>
      <c r="AL3379" s="1063"/>
      <c r="AM3379" s="1063"/>
      <c r="AN3379" s="1063"/>
      <c r="AO3379" s="1063"/>
      <c r="AP3379" s="1063"/>
      <c r="AQ3379" s="1063"/>
      <c r="AR3379" s="1063"/>
      <c r="AS3379" s="1063"/>
      <c r="AT3379" s="1063"/>
      <c r="AU3379" s="1063"/>
      <c r="AV3379" s="1063"/>
    </row>
    <row r="3380" spans="1:48" s="1108" customFormat="1" ht="27.75" customHeight="1">
      <c r="A3380" s="1076"/>
      <c r="B3380" s="1074">
        <f>+'[18]Bldg+Dev'!S4192</f>
        <v>0</v>
      </c>
      <c r="D3380" s="1063"/>
      <c r="F3380" s="1076"/>
      <c r="G3380" s="1063"/>
      <c r="H3380" s="1063"/>
      <c r="I3380" s="1063"/>
      <c r="J3380" s="1063"/>
      <c r="K3380" s="1063"/>
      <c r="L3380" s="1063"/>
      <c r="M3380" s="1063"/>
      <c r="N3380" s="1063"/>
      <c r="O3380" s="1063"/>
      <c r="P3380" s="1063"/>
      <c r="Q3380" s="1063"/>
      <c r="R3380" s="1063"/>
      <c r="S3380" s="1063"/>
      <c r="T3380" s="1063"/>
      <c r="U3380" s="1063"/>
      <c r="V3380" s="1063"/>
      <c r="W3380" s="1063"/>
      <c r="X3380" s="1063"/>
      <c r="Y3380" s="1063"/>
      <c r="Z3380" s="1063"/>
      <c r="AA3380" s="1063"/>
      <c r="AB3380" s="1063"/>
      <c r="AC3380" s="1063"/>
      <c r="AD3380" s="1063"/>
      <c r="AE3380" s="1063"/>
      <c r="AF3380" s="1063"/>
      <c r="AG3380" s="1063"/>
      <c r="AH3380" s="1063"/>
      <c r="AI3380" s="1063"/>
      <c r="AJ3380" s="1063"/>
      <c r="AK3380" s="1063"/>
      <c r="AL3380" s="1063"/>
      <c r="AM3380" s="1063"/>
      <c r="AN3380" s="1063"/>
      <c r="AO3380" s="1063"/>
      <c r="AP3380" s="1063"/>
      <c r="AQ3380" s="1063"/>
      <c r="AR3380" s="1063"/>
      <c r="AS3380" s="1063"/>
      <c r="AT3380" s="1063"/>
      <c r="AU3380" s="1063"/>
      <c r="AV3380" s="1063"/>
    </row>
    <row r="3381" spans="1:48" s="1108" customFormat="1" ht="27.75" customHeight="1">
      <c r="A3381" s="1076"/>
      <c r="B3381" s="1074">
        <f>+'[18]Bldg+Dev'!S4193</f>
        <v>0</v>
      </c>
      <c r="D3381" s="1063"/>
      <c r="F3381" s="1076"/>
      <c r="G3381" s="1063"/>
      <c r="H3381" s="1063"/>
      <c r="I3381" s="1063"/>
      <c r="J3381" s="1063"/>
      <c r="K3381" s="1063"/>
      <c r="L3381" s="1063"/>
      <c r="M3381" s="1063"/>
      <c r="N3381" s="1063"/>
      <c r="O3381" s="1063"/>
      <c r="P3381" s="1063"/>
      <c r="Q3381" s="1063"/>
      <c r="R3381" s="1063"/>
      <c r="S3381" s="1063"/>
      <c r="T3381" s="1063"/>
      <c r="U3381" s="1063"/>
      <c r="V3381" s="1063"/>
      <c r="W3381" s="1063"/>
      <c r="X3381" s="1063"/>
      <c r="Y3381" s="1063"/>
      <c r="Z3381" s="1063"/>
      <c r="AA3381" s="1063"/>
      <c r="AB3381" s="1063"/>
      <c r="AC3381" s="1063"/>
      <c r="AD3381" s="1063"/>
      <c r="AE3381" s="1063"/>
      <c r="AF3381" s="1063"/>
      <c r="AG3381" s="1063"/>
      <c r="AH3381" s="1063"/>
      <c r="AI3381" s="1063"/>
      <c r="AJ3381" s="1063"/>
      <c r="AK3381" s="1063"/>
      <c r="AL3381" s="1063"/>
      <c r="AM3381" s="1063"/>
      <c r="AN3381" s="1063"/>
      <c r="AO3381" s="1063"/>
      <c r="AP3381" s="1063"/>
      <c r="AQ3381" s="1063"/>
      <c r="AR3381" s="1063"/>
      <c r="AS3381" s="1063"/>
      <c r="AT3381" s="1063"/>
      <c r="AU3381" s="1063"/>
      <c r="AV3381" s="1063"/>
    </row>
    <row r="3382" spans="1:48" s="1108" customFormat="1" ht="27.75" customHeight="1">
      <c r="A3382" s="1076"/>
      <c r="B3382" s="1074">
        <f>+'[18]Bldg+Dev'!S4194</f>
        <v>0</v>
      </c>
      <c r="D3382" s="1063"/>
      <c r="F3382" s="1076"/>
      <c r="G3382" s="1063"/>
      <c r="H3382" s="1063"/>
      <c r="I3382" s="1063"/>
      <c r="J3382" s="1063"/>
      <c r="K3382" s="1063"/>
      <c r="L3382" s="1063"/>
      <c r="M3382" s="1063"/>
      <c r="N3382" s="1063"/>
      <c r="O3382" s="1063"/>
      <c r="P3382" s="1063"/>
      <c r="Q3382" s="1063"/>
      <c r="R3382" s="1063"/>
      <c r="S3382" s="1063"/>
      <c r="T3382" s="1063"/>
      <c r="U3382" s="1063"/>
      <c r="V3382" s="1063"/>
      <c r="W3382" s="1063"/>
      <c r="X3382" s="1063"/>
      <c r="Y3382" s="1063"/>
      <c r="Z3382" s="1063"/>
      <c r="AA3382" s="1063"/>
      <c r="AB3382" s="1063"/>
      <c r="AC3382" s="1063"/>
      <c r="AD3382" s="1063"/>
      <c r="AE3382" s="1063"/>
      <c r="AF3382" s="1063"/>
      <c r="AG3382" s="1063"/>
      <c r="AH3382" s="1063"/>
      <c r="AI3382" s="1063"/>
      <c r="AJ3382" s="1063"/>
      <c r="AK3382" s="1063"/>
      <c r="AL3382" s="1063"/>
      <c r="AM3382" s="1063"/>
      <c r="AN3382" s="1063"/>
      <c r="AO3382" s="1063"/>
      <c r="AP3382" s="1063"/>
      <c r="AQ3382" s="1063"/>
      <c r="AR3382" s="1063"/>
      <c r="AS3382" s="1063"/>
      <c r="AT3382" s="1063"/>
      <c r="AU3382" s="1063"/>
      <c r="AV3382" s="1063"/>
    </row>
    <row r="3383" spans="1:48" s="1108" customFormat="1" ht="27.75" customHeight="1">
      <c r="A3383" s="1076"/>
      <c r="B3383" s="1074">
        <f>+'[18]Bldg+Dev'!S4195</f>
        <v>0</v>
      </c>
      <c r="D3383" s="1063"/>
      <c r="F3383" s="1076"/>
      <c r="G3383" s="1063"/>
      <c r="H3383" s="1063"/>
      <c r="I3383" s="1063"/>
      <c r="J3383" s="1063"/>
      <c r="K3383" s="1063"/>
      <c r="L3383" s="1063"/>
      <c r="M3383" s="1063"/>
      <c r="N3383" s="1063"/>
      <c r="O3383" s="1063"/>
      <c r="P3383" s="1063"/>
      <c r="Q3383" s="1063"/>
      <c r="R3383" s="1063"/>
      <c r="S3383" s="1063"/>
      <c r="T3383" s="1063"/>
      <c r="U3383" s="1063"/>
      <c r="V3383" s="1063"/>
      <c r="W3383" s="1063"/>
      <c r="X3383" s="1063"/>
      <c r="Y3383" s="1063"/>
      <c r="Z3383" s="1063"/>
      <c r="AA3383" s="1063"/>
      <c r="AB3383" s="1063"/>
      <c r="AC3383" s="1063"/>
      <c r="AD3383" s="1063"/>
      <c r="AE3383" s="1063"/>
      <c r="AF3383" s="1063"/>
      <c r="AG3383" s="1063"/>
      <c r="AH3383" s="1063"/>
      <c r="AI3383" s="1063"/>
      <c r="AJ3383" s="1063"/>
      <c r="AK3383" s="1063"/>
      <c r="AL3383" s="1063"/>
      <c r="AM3383" s="1063"/>
      <c r="AN3383" s="1063"/>
      <c r="AO3383" s="1063"/>
      <c r="AP3383" s="1063"/>
      <c r="AQ3383" s="1063"/>
      <c r="AR3383" s="1063"/>
      <c r="AS3383" s="1063"/>
      <c r="AT3383" s="1063"/>
      <c r="AU3383" s="1063"/>
      <c r="AV3383" s="1063"/>
    </row>
    <row r="3384" spans="1:48" s="1108" customFormat="1" ht="27.75" customHeight="1">
      <c r="A3384" s="1076"/>
      <c r="B3384" s="1074">
        <f>+'[18]Bldg+Dev'!S4196</f>
        <v>0</v>
      </c>
      <c r="D3384" s="1063"/>
      <c r="F3384" s="1076"/>
      <c r="G3384" s="1063"/>
      <c r="H3384" s="1063"/>
      <c r="I3384" s="1063"/>
      <c r="J3384" s="1063"/>
      <c r="K3384" s="1063"/>
      <c r="L3384" s="1063"/>
      <c r="M3384" s="1063"/>
      <c r="N3384" s="1063"/>
      <c r="O3384" s="1063"/>
      <c r="P3384" s="1063"/>
      <c r="Q3384" s="1063"/>
      <c r="R3384" s="1063"/>
      <c r="S3384" s="1063"/>
      <c r="T3384" s="1063"/>
      <c r="U3384" s="1063"/>
      <c r="V3384" s="1063"/>
      <c r="W3384" s="1063"/>
      <c r="X3384" s="1063"/>
      <c r="Y3384" s="1063"/>
      <c r="Z3384" s="1063"/>
      <c r="AA3384" s="1063"/>
      <c r="AB3384" s="1063"/>
      <c r="AC3384" s="1063"/>
      <c r="AD3384" s="1063"/>
      <c r="AE3384" s="1063"/>
      <c r="AF3384" s="1063"/>
      <c r="AG3384" s="1063"/>
      <c r="AH3384" s="1063"/>
      <c r="AI3384" s="1063"/>
      <c r="AJ3384" s="1063"/>
      <c r="AK3384" s="1063"/>
      <c r="AL3384" s="1063"/>
      <c r="AM3384" s="1063"/>
      <c r="AN3384" s="1063"/>
      <c r="AO3384" s="1063"/>
      <c r="AP3384" s="1063"/>
      <c r="AQ3384" s="1063"/>
      <c r="AR3384" s="1063"/>
      <c r="AS3384" s="1063"/>
      <c r="AT3384" s="1063"/>
      <c r="AU3384" s="1063"/>
      <c r="AV3384" s="1063"/>
    </row>
    <row r="3385" spans="1:48" s="1108" customFormat="1" ht="27.75" customHeight="1">
      <c r="A3385" s="1076"/>
      <c r="B3385" s="1074">
        <f>+'[18]Bldg+Dev'!S4197</f>
        <v>0</v>
      </c>
      <c r="D3385" s="1063"/>
      <c r="F3385" s="1076"/>
      <c r="G3385" s="1063"/>
      <c r="H3385" s="1063"/>
      <c r="I3385" s="1063"/>
      <c r="J3385" s="1063"/>
      <c r="K3385" s="1063"/>
      <c r="L3385" s="1063"/>
      <c r="M3385" s="1063"/>
      <c r="N3385" s="1063"/>
      <c r="O3385" s="1063"/>
      <c r="P3385" s="1063"/>
      <c r="Q3385" s="1063"/>
      <c r="R3385" s="1063"/>
      <c r="S3385" s="1063"/>
      <c r="T3385" s="1063"/>
      <c r="U3385" s="1063"/>
      <c r="V3385" s="1063"/>
      <c r="W3385" s="1063"/>
      <c r="X3385" s="1063"/>
      <c r="Y3385" s="1063"/>
      <c r="Z3385" s="1063"/>
      <c r="AA3385" s="1063"/>
      <c r="AB3385" s="1063"/>
      <c r="AC3385" s="1063"/>
      <c r="AD3385" s="1063"/>
      <c r="AE3385" s="1063"/>
      <c r="AF3385" s="1063"/>
      <c r="AG3385" s="1063"/>
      <c r="AH3385" s="1063"/>
      <c r="AI3385" s="1063"/>
      <c r="AJ3385" s="1063"/>
      <c r="AK3385" s="1063"/>
      <c r="AL3385" s="1063"/>
      <c r="AM3385" s="1063"/>
      <c r="AN3385" s="1063"/>
      <c r="AO3385" s="1063"/>
      <c r="AP3385" s="1063"/>
      <c r="AQ3385" s="1063"/>
      <c r="AR3385" s="1063"/>
      <c r="AS3385" s="1063"/>
      <c r="AT3385" s="1063"/>
      <c r="AU3385" s="1063"/>
      <c r="AV3385" s="1063"/>
    </row>
    <row r="3386" spans="1:48" s="1108" customFormat="1" ht="27.75" customHeight="1">
      <c r="A3386" s="1076"/>
      <c r="B3386" s="1074">
        <f>+'[18]Bldg+Dev'!S4198</f>
        <v>0</v>
      </c>
      <c r="D3386" s="1063"/>
      <c r="F3386" s="1076"/>
      <c r="G3386" s="1063"/>
      <c r="H3386" s="1063"/>
      <c r="I3386" s="1063"/>
      <c r="J3386" s="1063"/>
      <c r="K3386" s="1063"/>
      <c r="L3386" s="1063"/>
      <c r="M3386" s="1063"/>
      <c r="N3386" s="1063"/>
      <c r="O3386" s="1063"/>
      <c r="P3386" s="1063"/>
      <c r="Q3386" s="1063"/>
      <c r="R3386" s="1063"/>
      <c r="S3386" s="1063"/>
      <c r="T3386" s="1063"/>
      <c r="U3386" s="1063"/>
      <c r="V3386" s="1063"/>
      <c r="W3386" s="1063"/>
      <c r="X3386" s="1063"/>
      <c r="Y3386" s="1063"/>
      <c r="Z3386" s="1063"/>
      <c r="AA3386" s="1063"/>
      <c r="AB3386" s="1063"/>
      <c r="AC3386" s="1063"/>
      <c r="AD3386" s="1063"/>
      <c r="AE3386" s="1063"/>
      <c r="AF3386" s="1063"/>
      <c r="AG3386" s="1063"/>
      <c r="AH3386" s="1063"/>
      <c r="AI3386" s="1063"/>
      <c r="AJ3386" s="1063"/>
      <c r="AK3386" s="1063"/>
      <c r="AL3386" s="1063"/>
      <c r="AM3386" s="1063"/>
      <c r="AN3386" s="1063"/>
      <c r="AO3386" s="1063"/>
      <c r="AP3386" s="1063"/>
      <c r="AQ3386" s="1063"/>
      <c r="AR3386" s="1063"/>
      <c r="AS3386" s="1063"/>
      <c r="AT3386" s="1063"/>
      <c r="AU3386" s="1063"/>
      <c r="AV3386" s="1063"/>
    </row>
    <row r="3387" spans="1:48" s="1108" customFormat="1" ht="27.75" customHeight="1">
      <c r="A3387" s="1076"/>
      <c r="B3387" s="1074">
        <f>+'[18]Bldg+Dev'!S4199</f>
        <v>0</v>
      </c>
      <c r="D3387" s="1063"/>
      <c r="F3387" s="1076"/>
      <c r="G3387" s="1063"/>
      <c r="H3387" s="1063"/>
      <c r="I3387" s="1063"/>
      <c r="J3387" s="1063"/>
      <c r="K3387" s="1063"/>
      <c r="L3387" s="1063"/>
      <c r="M3387" s="1063"/>
      <c r="N3387" s="1063"/>
      <c r="O3387" s="1063"/>
      <c r="P3387" s="1063"/>
      <c r="Q3387" s="1063"/>
      <c r="R3387" s="1063"/>
      <c r="S3387" s="1063"/>
      <c r="T3387" s="1063"/>
      <c r="U3387" s="1063"/>
      <c r="V3387" s="1063"/>
      <c r="W3387" s="1063"/>
      <c r="X3387" s="1063"/>
      <c r="Y3387" s="1063"/>
      <c r="Z3387" s="1063"/>
      <c r="AA3387" s="1063"/>
      <c r="AB3387" s="1063"/>
      <c r="AC3387" s="1063"/>
      <c r="AD3387" s="1063"/>
      <c r="AE3387" s="1063"/>
      <c r="AF3387" s="1063"/>
      <c r="AG3387" s="1063"/>
      <c r="AH3387" s="1063"/>
      <c r="AI3387" s="1063"/>
      <c r="AJ3387" s="1063"/>
      <c r="AK3387" s="1063"/>
      <c r="AL3387" s="1063"/>
      <c r="AM3387" s="1063"/>
      <c r="AN3387" s="1063"/>
      <c r="AO3387" s="1063"/>
      <c r="AP3387" s="1063"/>
      <c r="AQ3387" s="1063"/>
      <c r="AR3387" s="1063"/>
      <c r="AS3387" s="1063"/>
      <c r="AT3387" s="1063"/>
      <c r="AU3387" s="1063"/>
      <c r="AV3387" s="1063"/>
    </row>
    <row r="3388" spans="1:48" s="1108" customFormat="1" ht="27.75" customHeight="1">
      <c r="A3388" s="1076"/>
      <c r="B3388" s="1074">
        <f>+'[18]Bldg+Dev'!S4200</f>
        <v>0</v>
      </c>
      <c r="D3388" s="1063"/>
      <c r="F3388" s="1076"/>
      <c r="G3388" s="1063"/>
      <c r="H3388" s="1063"/>
      <c r="I3388" s="1063"/>
      <c r="J3388" s="1063"/>
      <c r="K3388" s="1063"/>
      <c r="L3388" s="1063"/>
      <c r="M3388" s="1063"/>
      <c r="N3388" s="1063"/>
      <c r="O3388" s="1063"/>
      <c r="P3388" s="1063"/>
      <c r="Q3388" s="1063"/>
      <c r="R3388" s="1063"/>
      <c r="S3388" s="1063"/>
      <c r="T3388" s="1063"/>
      <c r="U3388" s="1063"/>
      <c r="V3388" s="1063"/>
      <c r="W3388" s="1063"/>
      <c r="X3388" s="1063"/>
      <c r="Y3388" s="1063"/>
      <c r="Z3388" s="1063"/>
      <c r="AA3388" s="1063"/>
      <c r="AB3388" s="1063"/>
      <c r="AC3388" s="1063"/>
      <c r="AD3388" s="1063"/>
      <c r="AE3388" s="1063"/>
      <c r="AF3388" s="1063"/>
      <c r="AG3388" s="1063"/>
      <c r="AH3388" s="1063"/>
      <c r="AI3388" s="1063"/>
      <c r="AJ3388" s="1063"/>
      <c r="AK3388" s="1063"/>
      <c r="AL3388" s="1063"/>
      <c r="AM3388" s="1063"/>
      <c r="AN3388" s="1063"/>
      <c r="AO3388" s="1063"/>
      <c r="AP3388" s="1063"/>
      <c r="AQ3388" s="1063"/>
      <c r="AR3388" s="1063"/>
      <c r="AS3388" s="1063"/>
      <c r="AT3388" s="1063"/>
      <c r="AU3388" s="1063"/>
      <c r="AV3388" s="1063"/>
    </row>
    <row r="3389" spans="1:48" s="1108" customFormat="1" ht="27.75" customHeight="1">
      <c r="A3389" s="1076"/>
      <c r="B3389" s="1074">
        <f>+'[18]Bldg+Dev'!S4201</f>
        <v>0</v>
      </c>
      <c r="D3389" s="1063"/>
      <c r="F3389" s="1076"/>
      <c r="G3389" s="1063"/>
      <c r="H3389" s="1063"/>
      <c r="I3389" s="1063"/>
      <c r="J3389" s="1063"/>
      <c r="K3389" s="1063"/>
      <c r="L3389" s="1063"/>
      <c r="M3389" s="1063"/>
      <c r="N3389" s="1063"/>
      <c r="O3389" s="1063"/>
      <c r="P3389" s="1063"/>
      <c r="Q3389" s="1063"/>
      <c r="R3389" s="1063"/>
      <c r="S3389" s="1063"/>
      <c r="T3389" s="1063"/>
      <c r="U3389" s="1063"/>
      <c r="V3389" s="1063"/>
      <c r="W3389" s="1063"/>
      <c r="X3389" s="1063"/>
      <c r="Y3389" s="1063"/>
      <c r="Z3389" s="1063"/>
      <c r="AA3389" s="1063"/>
      <c r="AB3389" s="1063"/>
      <c r="AC3389" s="1063"/>
      <c r="AD3389" s="1063"/>
      <c r="AE3389" s="1063"/>
      <c r="AF3389" s="1063"/>
      <c r="AG3389" s="1063"/>
      <c r="AH3389" s="1063"/>
      <c r="AI3389" s="1063"/>
      <c r="AJ3389" s="1063"/>
      <c r="AK3389" s="1063"/>
      <c r="AL3389" s="1063"/>
      <c r="AM3389" s="1063"/>
      <c r="AN3389" s="1063"/>
      <c r="AO3389" s="1063"/>
      <c r="AP3389" s="1063"/>
      <c r="AQ3389" s="1063"/>
      <c r="AR3389" s="1063"/>
      <c r="AS3389" s="1063"/>
      <c r="AT3389" s="1063"/>
      <c r="AU3389" s="1063"/>
      <c r="AV3389" s="1063"/>
    </row>
    <row r="3390" spans="1:48" s="1108" customFormat="1" ht="27.75" customHeight="1">
      <c r="A3390" s="1076"/>
      <c r="B3390" s="1074">
        <f>+'[18]Bldg+Dev'!S4202</f>
        <v>0</v>
      </c>
      <c r="D3390" s="1063"/>
      <c r="F3390" s="1076"/>
      <c r="G3390" s="1063"/>
      <c r="H3390" s="1063"/>
      <c r="I3390" s="1063"/>
      <c r="J3390" s="1063"/>
      <c r="K3390" s="1063"/>
      <c r="L3390" s="1063"/>
      <c r="M3390" s="1063"/>
      <c r="N3390" s="1063"/>
      <c r="O3390" s="1063"/>
      <c r="P3390" s="1063"/>
      <c r="Q3390" s="1063"/>
      <c r="R3390" s="1063"/>
      <c r="S3390" s="1063"/>
      <c r="T3390" s="1063"/>
      <c r="U3390" s="1063"/>
      <c r="V3390" s="1063"/>
      <c r="W3390" s="1063"/>
      <c r="X3390" s="1063"/>
      <c r="Y3390" s="1063"/>
      <c r="Z3390" s="1063"/>
      <c r="AA3390" s="1063"/>
      <c r="AB3390" s="1063"/>
      <c r="AC3390" s="1063"/>
      <c r="AD3390" s="1063"/>
      <c r="AE3390" s="1063"/>
      <c r="AF3390" s="1063"/>
      <c r="AG3390" s="1063"/>
      <c r="AH3390" s="1063"/>
      <c r="AI3390" s="1063"/>
      <c r="AJ3390" s="1063"/>
      <c r="AK3390" s="1063"/>
      <c r="AL3390" s="1063"/>
      <c r="AM3390" s="1063"/>
      <c r="AN3390" s="1063"/>
      <c r="AO3390" s="1063"/>
      <c r="AP3390" s="1063"/>
      <c r="AQ3390" s="1063"/>
      <c r="AR3390" s="1063"/>
      <c r="AS3390" s="1063"/>
      <c r="AT3390" s="1063"/>
      <c r="AU3390" s="1063"/>
      <c r="AV3390" s="1063"/>
    </row>
    <row r="3391" spans="1:48" s="1108" customFormat="1" ht="27.75" customHeight="1">
      <c r="A3391" s="1076"/>
      <c r="B3391" s="1074">
        <f>+'[18]Bldg+Dev'!S4203</f>
        <v>0</v>
      </c>
      <c r="D3391" s="1063"/>
      <c r="F3391" s="1076"/>
      <c r="G3391" s="1063"/>
      <c r="H3391" s="1063"/>
      <c r="I3391" s="1063"/>
      <c r="J3391" s="1063"/>
      <c r="K3391" s="1063"/>
      <c r="L3391" s="1063"/>
      <c r="M3391" s="1063"/>
      <c r="N3391" s="1063"/>
      <c r="O3391" s="1063"/>
      <c r="P3391" s="1063"/>
      <c r="Q3391" s="1063"/>
      <c r="R3391" s="1063"/>
      <c r="S3391" s="1063"/>
      <c r="T3391" s="1063"/>
      <c r="U3391" s="1063"/>
      <c r="V3391" s="1063"/>
      <c r="W3391" s="1063"/>
      <c r="X3391" s="1063"/>
      <c r="Y3391" s="1063"/>
      <c r="Z3391" s="1063"/>
      <c r="AA3391" s="1063"/>
      <c r="AB3391" s="1063"/>
      <c r="AC3391" s="1063"/>
      <c r="AD3391" s="1063"/>
      <c r="AE3391" s="1063"/>
      <c r="AF3391" s="1063"/>
      <c r="AG3391" s="1063"/>
      <c r="AH3391" s="1063"/>
      <c r="AI3391" s="1063"/>
      <c r="AJ3391" s="1063"/>
      <c r="AK3391" s="1063"/>
      <c r="AL3391" s="1063"/>
      <c r="AM3391" s="1063"/>
      <c r="AN3391" s="1063"/>
      <c r="AO3391" s="1063"/>
      <c r="AP3391" s="1063"/>
      <c r="AQ3391" s="1063"/>
      <c r="AR3391" s="1063"/>
      <c r="AS3391" s="1063"/>
      <c r="AT3391" s="1063"/>
      <c r="AU3391" s="1063"/>
      <c r="AV3391" s="1063"/>
    </row>
    <row r="3392" spans="1:48" s="1108" customFormat="1" ht="27.75" customHeight="1">
      <c r="A3392" s="1076"/>
      <c r="B3392" s="1074">
        <f>+'[18]Bldg+Dev'!S4204</f>
        <v>0</v>
      </c>
      <c r="D3392" s="1063"/>
      <c r="F3392" s="1076"/>
      <c r="G3392" s="1063"/>
      <c r="H3392" s="1063"/>
      <c r="I3392" s="1063"/>
      <c r="J3392" s="1063"/>
      <c r="K3392" s="1063"/>
      <c r="L3392" s="1063"/>
      <c r="M3392" s="1063"/>
      <c r="N3392" s="1063"/>
      <c r="O3392" s="1063"/>
      <c r="P3392" s="1063"/>
      <c r="Q3392" s="1063"/>
      <c r="R3392" s="1063"/>
      <c r="S3392" s="1063"/>
      <c r="T3392" s="1063"/>
      <c r="U3392" s="1063"/>
      <c r="V3392" s="1063"/>
      <c r="W3392" s="1063"/>
      <c r="X3392" s="1063"/>
      <c r="Y3392" s="1063"/>
      <c r="Z3392" s="1063"/>
      <c r="AA3392" s="1063"/>
      <c r="AB3392" s="1063"/>
      <c r="AC3392" s="1063"/>
      <c r="AD3392" s="1063"/>
      <c r="AE3392" s="1063"/>
      <c r="AF3392" s="1063"/>
      <c r="AG3392" s="1063"/>
      <c r="AH3392" s="1063"/>
      <c r="AI3392" s="1063"/>
      <c r="AJ3392" s="1063"/>
      <c r="AK3392" s="1063"/>
      <c r="AL3392" s="1063"/>
      <c r="AM3392" s="1063"/>
      <c r="AN3392" s="1063"/>
      <c r="AO3392" s="1063"/>
      <c r="AP3392" s="1063"/>
      <c r="AQ3392" s="1063"/>
      <c r="AR3392" s="1063"/>
      <c r="AS3392" s="1063"/>
      <c r="AT3392" s="1063"/>
      <c r="AU3392" s="1063"/>
      <c r="AV3392" s="1063"/>
    </row>
    <row r="3393" spans="1:48" s="1108" customFormat="1" ht="27.75" customHeight="1">
      <c r="A3393" s="1076"/>
      <c r="B3393" s="1074">
        <f>+'[18]Bldg+Dev'!S4205</f>
        <v>0</v>
      </c>
      <c r="D3393" s="1063"/>
      <c r="F3393" s="1076"/>
      <c r="G3393" s="1063"/>
      <c r="H3393" s="1063"/>
      <c r="I3393" s="1063"/>
      <c r="J3393" s="1063"/>
      <c r="K3393" s="1063"/>
      <c r="L3393" s="1063"/>
      <c r="M3393" s="1063"/>
      <c r="N3393" s="1063"/>
      <c r="O3393" s="1063"/>
      <c r="P3393" s="1063"/>
      <c r="Q3393" s="1063"/>
      <c r="R3393" s="1063"/>
      <c r="S3393" s="1063"/>
      <c r="T3393" s="1063"/>
      <c r="U3393" s="1063"/>
      <c r="V3393" s="1063"/>
      <c r="W3393" s="1063"/>
      <c r="X3393" s="1063"/>
      <c r="Y3393" s="1063"/>
      <c r="Z3393" s="1063"/>
      <c r="AA3393" s="1063"/>
      <c r="AB3393" s="1063"/>
      <c r="AC3393" s="1063"/>
      <c r="AD3393" s="1063"/>
      <c r="AE3393" s="1063"/>
      <c r="AF3393" s="1063"/>
      <c r="AG3393" s="1063"/>
      <c r="AH3393" s="1063"/>
      <c r="AI3393" s="1063"/>
      <c r="AJ3393" s="1063"/>
      <c r="AK3393" s="1063"/>
      <c r="AL3393" s="1063"/>
      <c r="AM3393" s="1063"/>
      <c r="AN3393" s="1063"/>
      <c r="AO3393" s="1063"/>
      <c r="AP3393" s="1063"/>
      <c r="AQ3393" s="1063"/>
      <c r="AR3393" s="1063"/>
      <c r="AS3393" s="1063"/>
      <c r="AT3393" s="1063"/>
      <c r="AU3393" s="1063"/>
      <c r="AV3393" s="1063"/>
    </row>
    <row r="3394" spans="1:48" s="1108" customFormat="1" ht="27.75" customHeight="1">
      <c r="A3394" s="1076"/>
      <c r="B3394" s="1074">
        <f>+'[18]Bldg+Dev'!S4206</f>
        <v>0</v>
      </c>
      <c r="D3394" s="1063"/>
      <c r="F3394" s="1076"/>
      <c r="G3394" s="1063"/>
      <c r="H3394" s="1063"/>
      <c r="I3394" s="1063"/>
      <c r="J3394" s="1063"/>
      <c r="K3394" s="1063"/>
      <c r="L3394" s="1063"/>
      <c r="M3394" s="1063"/>
      <c r="N3394" s="1063"/>
      <c r="O3394" s="1063"/>
      <c r="P3394" s="1063"/>
      <c r="Q3394" s="1063"/>
      <c r="R3394" s="1063"/>
      <c r="S3394" s="1063"/>
      <c r="T3394" s="1063"/>
      <c r="U3394" s="1063"/>
      <c r="V3394" s="1063"/>
      <c r="W3394" s="1063"/>
      <c r="X3394" s="1063"/>
      <c r="Y3394" s="1063"/>
      <c r="Z3394" s="1063"/>
      <c r="AA3394" s="1063"/>
      <c r="AB3394" s="1063"/>
      <c r="AC3394" s="1063"/>
      <c r="AD3394" s="1063"/>
      <c r="AE3394" s="1063"/>
      <c r="AF3394" s="1063"/>
      <c r="AG3394" s="1063"/>
      <c r="AH3394" s="1063"/>
      <c r="AI3394" s="1063"/>
      <c r="AJ3394" s="1063"/>
      <c r="AK3394" s="1063"/>
      <c r="AL3394" s="1063"/>
      <c r="AM3394" s="1063"/>
      <c r="AN3394" s="1063"/>
      <c r="AO3394" s="1063"/>
      <c r="AP3394" s="1063"/>
      <c r="AQ3394" s="1063"/>
      <c r="AR3394" s="1063"/>
      <c r="AS3394" s="1063"/>
      <c r="AT3394" s="1063"/>
      <c r="AU3394" s="1063"/>
      <c r="AV3394" s="1063"/>
    </row>
    <row r="3395" spans="1:48" s="1108" customFormat="1" ht="27.75" customHeight="1">
      <c r="A3395" s="1076"/>
      <c r="B3395" s="1074">
        <f>+'[18]Bldg+Dev'!S4207</f>
        <v>0</v>
      </c>
      <c r="D3395" s="1063"/>
      <c r="F3395" s="1076"/>
      <c r="G3395" s="1063"/>
      <c r="H3395" s="1063"/>
      <c r="I3395" s="1063"/>
      <c r="J3395" s="1063"/>
      <c r="K3395" s="1063"/>
      <c r="L3395" s="1063"/>
      <c r="M3395" s="1063"/>
      <c r="N3395" s="1063"/>
      <c r="O3395" s="1063"/>
      <c r="P3395" s="1063"/>
      <c r="Q3395" s="1063"/>
      <c r="R3395" s="1063"/>
      <c r="S3395" s="1063"/>
      <c r="T3395" s="1063"/>
      <c r="U3395" s="1063"/>
      <c r="V3395" s="1063"/>
      <c r="W3395" s="1063"/>
      <c r="X3395" s="1063"/>
      <c r="Y3395" s="1063"/>
      <c r="Z3395" s="1063"/>
      <c r="AA3395" s="1063"/>
      <c r="AB3395" s="1063"/>
      <c r="AC3395" s="1063"/>
      <c r="AD3395" s="1063"/>
      <c r="AE3395" s="1063"/>
      <c r="AF3395" s="1063"/>
      <c r="AG3395" s="1063"/>
      <c r="AH3395" s="1063"/>
      <c r="AI3395" s="1063"/>
      <c r="AJ3395" s="1063"/>
      <c r="AK3395" s="1063"/>
      <c r="AL3395" s="1063"/>
      <c r="AM3395" s="1063"/>
      <c r="AN3395" s="1063"/>
      <c r="AO3395" s="1063"/>
      <c r="AP3395" s="1063"/>
      <c r="AQ3395" s="1063"/>
      <c r="AR3395" s="1063"/>
      <c r="AS3395" s="1063"/>
      <c r="AT3395" s="1063"/>
      <c r="AU3395" s="1063"/>
      <c r="AV3395" s="1063"/>
    </row>
    <row r="3396" spans="1:48" s="1108" customFormat="1" ht="27.75" customHeight="1">
      <c r="A3396" s="1076"/>
      <c r="B3396" s="1074">
        <f>+'[18]Bldg+Dev'!S4208</f>
        <v>0</v>
      </c>
      <c r="D3396" s="1063"/>
      <c r="F3396" s="1076"/>
      <c r="G3396" s="1063"/>
      <c r="H3396" s="1063"/>
      <c r="I3396" s="1063"/>
      <c r="J3396" s="1063"/>
      <c r="K3396" s="1063"/>
      <c r="L3396" s="1063"/>
      <c r="M3396" s="1063"/>
      <c r="N3396" s="1063"/>
      <c r="O3396" s="1063"/>
      <c r="P3396" s="1063"/>
      <c r="Q3396" s="1063"/>
      <c r="R3396" s="1063"/>
      <c r="S3396" s="1063"/>
      <c r="T3396" s="1063"/>
      <c r="U3396" s="1063"/>
      <c r="V3396" s="1063"/>
      <c r="W3396" s="1063"/>
      <c r="X3396" s="1063"/>
      <c r="Y3396" s="1063"/>
      <c r="Z3396" s="1063"/>
      <c r="AA3396" s="1063"/>
      <c r="AB3396" s="1063"/>
      <c r="AC3396" s="1063"/>
      <c r="AD3396" s="1063"/>
      <c r="AE3396" s="1063"/>
      <c r="AF3396" s="1063"/>
      <c r="AG3396" s="1063"/>
      <c r="AH3396" s="1063"/>
      <c r="AI3396" s="1063"/>
      <c r="AJ3396" s="1063"/>
      <c r="AK3396" s="1063"/>
      <c r="AL3396" s="1063"/>
      <c r="AM3396" s="1063"/>
      <c r="AN3396" s="1063"/>
      <c r="AO3396" s="1063"/>
      <c r="AP3396" s="1063"/>
      <c r="AQ3396" s="1063"/>
      <c r="AR3396" s="1063"/>
      <c r="AS3396" s="1063"/>
      <c r="AT3396" s="1063"/>
      <c r="AU3396" s="1063"/>
      <c r="AV3396" s="1063"/>
    </row>
    <row r="3397" spans="1:48" s="1108" customFormat="1" ht="27.75" customHeight="1">
      <c r="A3397" s="1076"/>
      <c r="B3397" s="1074">
        <f>+'[18]Bldg+Dev'!S4209</f>
        <v>0</v>
      </c>
      <c r="D3397" s="1063"/>
      <c r="F3397" s="1076"/>
      <c r="G3397" s="1063"/>
      <c r="H3397" s="1063"/>
      <c r="I3397" s="1063"/>
      <c r="J3397" s="1063"/>
      <c r="K3397" s="1063"/>
      <c r="L3397" s="1063"/>
      <c r="M3397" s="1063"/>
      <c r="N3397" s="1063"/>
      <c r="O3397" s="1063"/>
      <c r="P3397" s="1063"/>
      <c r="Q3397" s="1063"/>
      <c r="R3397" s="1063"/>
      <c r="S3397" s="1063"/>
      <c r="T3397" s="1063"/>
      <c r="U3397" s="1063"/>
      <c r="V3397" s="1063"/>
      <c r="W3397" s="1063"/>
      <c r="X3397" s="1063"/>
      <c r="Y3397" s="1063"/>
      <c r="Z3397" s="1063"/>
      <c r="AA3397" s="1063"/>
      <c r="AB3397" s="1063"/>
      <c r="AC3397" s="1063"/>
      <c r="AD3397" s="1063"/>
      <c r="AE3397" s="1063"/>
      <c r="AF3397" s="1063"/>
      <c r="AG3397" s="1063"/>
      <c r="AH3397" s="1063"/>
      <c r="AI3397" s="1063"/>
      <c r="AJ3397" s="1063"/>
      <c r="AK3397" s="1063"/>
      <c r="AL3397" s="1063"/>
      <c r="AM3397" s="1063"/>
      <c r="AN3397" s="1063"/>
      <c r="AO3397" s="1063"/>
      <c r="AP3397" s="1063"/>
      <c r="AQ3397" s="1063"/>
      <c r="AR3397" s="1063"/>
      <c r="AS3397" s="1063"/>
      <c r="AT3397" s="1063"/>
      <c r="AU3397" s="1063"/>
      <c r="AV3397" s="1063"/>
    </row>
    <row r="3398" spans="1:48" s="1108" customFormat="1" ht="27.75" customHeight="1">
      <c r="A3398" s="1076"/>
      <c r="B3398" s="1074">
        <f>+'[18]Bldg+Dev'!S4210</f>
        <v>0</v>
      </c>
      <c r="D3398" s="1063"/>
      <c r="F3398" s="1076"/>
      <c r="G3398" s="1063"/>
      <c r="H3398" s="1063"/>
      <c r="I3398" s="1063"/>
      <c r="J3398" s="1063"/>
      <c r="K3398" s="1063"/>
      <c r="L3398" s="1063"/>
      <c r="M3398" s="1063"/>
      <c r="N3398" s="1063"/>
      <c r="O3398" s="1063"/>
      <c r="P3398" s="1063"/>
      <c r="Q3398" s="1063"/>
      <c r="R3398" s="1063"/>
      <c r="S3398" s="1063"/>
      <c r="T3398" s="1063"/>
      <c r="U3398" s="1063"/>
      <c r="V3398" s="1063"/>
      <c r="W3398" s="1063"/>
      <c r="X3398" s="1063"/>
      <c r="Y3398" s="1063"/>
      <c r="Z3398" s="1063"/>
      <c r="AA3398" s="1063"/>
      <c r="AB3398" s="1063"/>
      <c r="AC3398" s="1063"/>
      <c r="AD3398" s="1063"/>
      <c r="AE3398" s="1063"/>
      <c r="AF3398" s="1063"/>
      <c r="AG3398" s="1063"/>
      <c r="AH3398" s="1063"/>
      <c r="AI3398" s="1063"/>
      <c r="AJ3398" s="1063"/>
      <c r="AK3398" s="1063"/>
      <c r="AL3398" s="1063"/>
      <c r="AM3398" s="1063"/>
      <c r="AN3398" s="1063"/>
      <c r="AO3398" s="1063"/>
      <c r="AP3398" s="1063"/>
      <c r="AQ3398" s="1063"/>
      <c r="AR3398" s="1063"/>
      <c r="AS3398" s="1063"/>
      <c r="AT3398" s="1063"/>
      <c r="AU3398" s="1063"/>
      <c r="AV3398" s="1063"/>
    </row>
    <row r="3399" spans="1:48" s="1108" customFormat="1" ht="27.75" customHeight="1">
      <c r="A3399" s="1076"/>
      <c r="B3399" s="1074">
        <f>+'[18]Bldg+Dev'!S4211</f>
        <v>0</v>
      </c>
      <c r="D3399" s="1063"/>
      <c r="F3399" s="1076"/>
      <c r="G3399" s="1063"/>
      <c r="H3399" s="1063"/>
      <c r="I3399" s="1063"/>
      <c r="J3399" s="1063"/>
      <c r="K3399" s="1063"/>
      <c r="L3399" s="1063"/>
      <c r="M3399" s="1063"/>
      <c r="N3399" s="1063"/>
      <c r="O3399" s="1063"/>
      <c r="P3399" s="1063"/>
      <c r="Q3399" s="1063"/>
      <c r="R3399" s="1063"/>
      <c r="S3399" s="1063"/>
      <c r="T3399" s="1063"/>
      <c r="U3399" s="1063"/>
      <c r="V3399" s="1063"/>
      <c r="W3399" s="1063"/>
      <c r="X3399" s="1063"/>
      <c r="Y3399" s="1063"/>
      <c r="Z3399" s="1063"/>
      <c r="AA3399" s="1063"/>
      <c r="AB3399" s="1063"/>
      <c r="AC3399" s="1063"/>
      <c r="AD3399" s="1063"/>
      <c r="AE3399" s="1063"/>
      <c r="AF3399" s="1063"/>
      <c r="AG3399" s="1063"/>
      <c r="AH3399" s="1063"/>
      <c r="AI3399" s="1063"/>
      <c r="AJ3399" s="1063"/>
      <c r="AK3399" s="1063"/>
      <c r="AL3399" s="1063"/>
      <c r="AM3399" s="1063"/>
      <c r="AN3399" s="1063"/>
      <c r="AO3399" s="1063"/>
      <c r="AP3399" s="1063"/>
      <c r="AQ3399" s="1063"/>
      <c r="AR3399" s="1063"/>
      <c r="AS3399" s="1063"/>
      <c r="AT3399" s="1063"/>
      <c r="AU3399" s="1063"/>
      <c r="AV3399" s="1063"/>
    </row>
    <row r="3400" spans="1:48" s="1108" customFormat="1" ht="27.75" customHeight="1">
      <c r="A3400" s="1076"/>
      <c r="B3400" s="1074">
        <f>+'[18]Bldg+Dev'!S4212</f>
        <v>0</v>
      </c>
      <c r="D3400" s="1063"/>
      <c r="F3400" s="1076"/>
      <c r="G3400" s="1063"/>
      <c r="H3400" s="1063"/>
      <c r="I3400" s="1063"/>
      <c r="J3400" s="1063"/>
      <c r="K3400" s="1063"/>
      <c r="L3400" s="1063"/>
      <c r="M3400" s="1063"/>
      <c r="N3400" s="1063"/>
      <c r="O3400" s="1063"/>
      <c r="P3400" s="1063"/>
      <c r="Q3400" s="1063"/>
      <c r="R3400" s="1063"/>
      <c r="S3400" s="1063"/>
      <c r="T3400" s="1063"/>
      <c r="U3400" s="1063"/>
      <c r="V3400" s="1063"/>
      <c r="W3400" s="1063"/>
      <c r="X3400" s="1063"/>
      <c r="Y3400" s="1063"/>
      <c r="Z3400" s="1063"/>
      <c r="AA3400" s="1063"/>
      <c r="AB3400" s="1063"/>
      <c r="AC3400" s="1063"/>
      <c r="AD3400" s="1063"/>
      <c r="AE3400" s="1063"/>
      <c r="AF3400" s="1063"/>
      <c r="AG3400" s="1063"/>
      <c r="AH3400" s="1063"/>
      <c r="AI3400" s="1063"/>
      <c r="AJ3400" s="1063"/>
      <c r="AK3400" s="1063"/>
      <c r="AL3400" s="1063"/>
      <c r="AM3400" s="1063"/>
      <c r="AN3400" s="1063"/>
      <c r="AO3400" s="1063"/>
      <c r="AP3400" s="1063"/>
      <c r="AQ3400" s="1063"/>
      <c r="AR3400" s="1063"/>
      <c r="AS3400" s="1063"/>
      <c r="AT3400" s="1063"/>
      <c r="AU3400" s="1063"/>
      <c r="AV3400" s="1063"/>
    </row>
    <row r="3401" spans="1:48" s="1108" customFormat="1" ht="27.75" customHeight="1">
      <c r="A3401" s="1076"/>
      <c r="B3401" s="1074">
        <f>+'[18]Bldg+Dev'!S4213</f>
        <v>0</v>
      </c>
      <c r="D3401" s="1063"/>
      <c r="F3401" s="1076"/>
      <c r="G3401" s="1063"/>
      <c r="H3401" s="1063"/>
      <c r="I3401" s="1063"/>
      <c r="J3401" s="1063"/>
      <c r="K3401" s="1063"/>
      <c r="L3401" s="1063"/>
      <c r="M3401" s="1063"/>
      <c r="N3401" s="1063"/>
      <c r="O3401" s="1063"/>
      <c r="P3401" s="1063"/>
      <c r="Q3401" s="1063"/>
      <c r="R3401" s="1063"/>
      <c r="S3401" s="1063"/>
      <c r="T3401" s="1063"/>
      <c r="U3401" s="1063"/>
      <c r="V3401" s="1063"/>
      <c r="W3401" s="1063"/>
      <c r="X3401" s="1063"/>
      <c r="Y3401" s="1063"/>
      <c r="Z3401" s="1063"/>
      <c r="AA3401" s="1063"/>
      <c r="AB3401" s="1063"/>
      <c r="AC3401" s="1063"/>
      <c r="AD3401" s="1063"/>
      <c r="AE3401" s="1063"/>
      <c r="AF3401" s="1063"/>
      <c r="AG3401" s="1063"/>
      <c r="AH3401" s="1063"/>
      <c r="AI3401" s="1063"/>
      <c r="AJ3401" s="1063"/>
      <c r="AK3401" s="1063"/>
      <c r="AL3401" s="1063"/>
      <c r="AM3401" s="1063"/>
      <c r="AN3401" s="1063"/>
      <c r="AO3401" s="1063"/>
      <c r="AP3401" s="1063"/>
      <c r="AQ3401" s="1063"/>
      <c r="AR3401" s="1063"/>
      <c r="AS3401" s="1063"/>
      <c r="AT3401" s="1063"/>
      <c r="AU3401" s="1063"/>
      <c r="AV3401" s="1063"/>
    </row>
    <row r="3402" spans="1:48" s="1108" customFormat="1" ht="27.75" customHeight="1">
      <c r="A3402" s="1076"/>
      <c r="B3402" s="1074">
        <f>+'[18]Bldg+Dev'!S4214</f>
        <v>0</v>
      </c>
      <c r="D3402" s="1063"/>
      <c r="F3402" s="1076"/>
      <c r="G3402" s="1063"/>
      <c r="H3402" s="1063"/>
      <c r="I3402" s="1063"/>
      <c r="J3402" s="1063"/>
      <c r="K3402" s="1063"/>
      <c r="L3402" s="1063"/>
      <c r="M3402" s="1063"/>
      <c r="N3402" s="1063"/>
      <c r="O3402" s="1063"/>
      <c r="P3402" s="1063"/>
      <c r="Q3402" s="1063"/>
      <c r="R3402" s="1063"/>
      <c r="S3402" s="1063"/>
      <c r="T3402" s="1063"/>
      <c r="U3402" s="1063"/>
      <c r="V3402" s="1063"/>
      <c r="W3402" s="1063"/>
      <c r="X3402" s="1063"/>
      <c r="Y3402" s="1063"/>
      <c r="Z3402" s="1063"/>
      <c r="AA3402" s="1063"/>
      <c r="AB3402" s="1063"/>
      <c r="AC3402" s="1063"/>
      <c r="AD3402" s="1063"/>
      <c r="AE3402" s="1063"/>
      <c r="AF3402" s="1063"/>
      <c r="AG3402" s="1063"/>
      <c r="AH3402" s="1063"/>
      <c r="AI3402" s="1063"/>
      <c r="AJ3402" s="1063"/>
      <c r="AK3402" s="1063"/>
      <c r="AL3402" s="1063"/>
      <c r="AM3402" s="1063"/>
      <c r="AN3402" s="1063"/>
      <c r="AO3402" s="1063"/>
      <c r="AP3402" s="1063"/>
      <c r="AQ3402" s="1063"/>
      <c r="AR3402" s="1063"/>
      <c r="AS3402" s="1063"/>
      <c r="AT3402" s="1063"/>
      <c r="AU3402" s="1063"/>
      <c r="AV3402" s="1063"/>
    </row>
    <row r="3403" spans="1:48" s="1108" customFormat="1" ht="27.75" customHeight="1">
      <c r="A3403" s="1076"/>
      <c r="B3403" s="1074">
        <f>+'[18]Bldg+Dev'!S4215</f>
        <v>0</v>
      </c>
      <c r="D3403" s="1063"/>
      <c r="F3403" s="1076"/>
      <c r="G3403" s="1063"/>
      <c r="H3403" s="1063"/>
      <c r="I3403" s="1063"/>
      <c r="J3403" s="1063"/>
      <c r="K3403" s="1063"/>
      <c r="L3403" s="1063"/>
      <c r="M3403" s="1063"/>
      <c r="N3403" s="1063"/>
      <c r="O3403" s="1063"/>
      <c r="P3403" s="1063"/>
      <c r="Q3403" s="1063"/>
      <c r="R3403" s="1063"/>
      <c r="S3403" s="1063"/>
      <c r="T3403" s="1063"/>
      <c r="U3403" s="1063"/>
      <c r="V3403" s="1063"/>
      <c r="W3403" s="1063"/>
      <c r="X3403" s="1063"/>
      <c r="Y3403" s="1063"/>
      <c r="Z3403" s="1063"/>
      <c r="AA3403" s="1063"/>
      <c r="AB3403" s="1063"/>
      <c r="AC3403" s="1063"/>
      <c r="AD3403" s="1063"/>
      <c r="AE3403" s="1063"/>
      <c r="AF3403" s="1063"/>
      <c r="AG3403" s="1063"/>
      <c r="AH3403" s="1063"/>
      <c r="AI3403" s="1063"/>
      <c r="AJ3403" s="1063"/>
      <c r="AK3403" s="1063"/>
      <c r="AL3403" s="1063"/>
      <c r="AM3403" s="1063"/>
      <c r="AN3403" s="1063"/>
      <c r="AO3403" s="1063"/>
      <c r="AP3403" s="1063"/>
      <c r="AQ3403" s="1063"/>
      <c r="AR3403" s="1063"/>
      <c r="AS3403" s="1063"/>
      <c r="AT3403" s="1063"/>
      <c r="AU3403" s="1063"/>
      <c r="AV3403" s="1063"/>
    </row>
    <row r="3404" spans="1:48" s="1108" customFormat="1" ht="27.75" customHeight="1">
      <c r="A3404" s="1076"/>
      <c r="B3404" s="1074">
        <f>+'[18]Bldg+Dev'!S4216</f>
        <v>0</v>
      </c>
      <c r="D3404" s="1063"/>
      <c r="F3404" s="1076"/>
      <c r="G3404" s="1063"/>
      <c r="H3404" s="1063"/>
      <c r="I3404" s="1063"/>
      <c r="J3404" s="1063"/>
      <c r="K3404" s="1063"/>
      <c r="L3404" s="1063"/>
      <c r="M3404" s="1063"/>
      <c r="N3404" s="1063"/>
      <c r="O3404" s="1063"/>
      <c r="P3404" s="1063"/>
      <c r="Q3404" s="1063"/>
      <c r="R3404" s="1063"/>
      <c r="S3404" s="1063"/>
      <c r="T3404" s="1063"/>
      <c r="U3404" s="1063"/>
      <c r="V3404" s="1063"/>
      <c r="W3404" s="1063"/>
      <c r="X3404" s="1063"/>
      <c r="Y3404" s="1063"/>
      <c r="Z3404" s="1063"/>
      <c r="AA3404" s="1063"/>
      <c r="AB3404" s="1063"/>
      <c r="AC3404" s="1063"/>
      <c r="AD3404" s="1063"/>
      <c r="AE3404" s="1063"/>
      <c r="AF3404" s="1063"/>
      <c r="AG3404" s="1063"/>
      <c r="AH3404" s="1063"/>
      <c r="AI3404" s="1063"/>
      <c r="AJ3404" s="1063"/>
      <c r="AK3404" s="1063"/>
      <c r="AL3404" s="1063"/>
      <c r="AM3404" s="1063"/>
      <c r="AN3404" s="1063"/>
      <c r="AO3404" s="1063"/>
      <c r="AP3404" s="1063"/>
      <c r="AQ3404" s="1063"/>
      <c r="AR3404" s="1063"/>
      <c r="AS3404" s="1063"/>
      <c r="AT3404" s="1063"/>
      <c r="AU3404" s="1063"/>
      <c r="AV3404" s="1063"/>
    </row>
    <row r="3405" spans="1:48" s="1108" customFormat="1" ht="27.75" customHeight="1">
      <c r="A3405" s="1076"/>
      <c r="B3405" s="1074">
        <f>+'[18]Bldg+Dev'!S4217</f>
        <v>0</v>
      </c>
      <c r="D3405" s="1063"/>
      <c r="F3405" s="1076"/>
      <c r="G3405" s="1063"/>
      <c r="H3405" s="1063"/>
      <c r="I3405" s="1063"/>
      <c r="J3405" s="1063"/>
      <c r="K3405" s="1063"/>
      <c r="L3405" s="1063"/>
      <c r="M3405" s="1063"/>
      <c r="N3405" s="1063"/>
      <c r="O3405" s="1063"/>
      <c r="P3405" s="1063"/>
      <c r="Q3405" s="1063"/>
      <c r="R3405" s="1063"/>
      <c r="S3405" s="1063"/>
      <c r="T3405" s="1063"/>
      <c r="U3405" s="1063"/>
      <c r="V3405" s="1063"/>
      <c r="W3405" s="1063"/>
      <c r="X3405" s="1063"/>
      <c r="Y3405" s="1063"/>
      <c r="Z3405" s="1063"/>
      <c r="AA3405" s="1063"/>
      <c r="AB3405" s="1063"/>
      <c r="AC3405" s="1063"/>
      <c r="AD3405" s="1063"/>
      <c r="AE3405" s="1063"/>
      <c r="AF3405" s="1063"/>
      <c r="AG3405" s="1063"/>
      <c r="AH3405" s="1063"/>
      <c r="AI3405" s="1063"/>
      <c r="AJ3405" s="1063"/>
      <c r="AK3405" s="1063"/>
      <c r="AL3405" s="1063"/>
      <c r="AM3405" s="1063"/>
      <c r="AN3405" s="1063"/>
      <c r="AO3405" s="1063"/>
      <c r="AP3405" s="1063"/>
      <c r="AQ3405" s="1063"/>
      <c r="AR3405" s="1063"/>
      <c r="AS3405" s="1063"/>
      <c r="AT3405" s="1063"/>
      <c r="AU3405" s="1063"/>
      <c r="AV3405" s="1063"/>
    </row>
    <row r="3406" spans="1:48" s="1108" customFormat="1" ht="27.75" customHeight="1">
      <c r="A3406" s="1076"/>
      <c r="B3406" s="1074">
        <f>+'[18]Bldg+Dev'!S4218</f>
        <v>0</v>
      </c>
      <c r="D3406" s="1063"/>
      <c r="F3406" s="1076"/>
      <c r="G3406" s="1063"/>
      <c r="H3406" s="1063"/>
      <c r="I3406" s="1063"/>
      <c r="J3406" s="1063"/>
      <c r="K3406" s="1063"/>
      <c r="L3406" s="1063"/>
      <c r="M3406" s="1063"/>
      <c r="N3406" s="1063"/>
      <c r="O3406" s="1063"/>
      <c r="P3406" s="1063"/>
      <c r="Q3406" s="1063"/>
      <c r="R3406" s="1063"/>
      <c r="S3406" s="1063"/>
      <c r="T3406" s="1063"/>
      <c r="U3406" s="1063"/>
      <c r="V3406" s="1063"/>
      <c r="W3406" s="1063"/>
      <c r="X3406" s="1063"/>
      <c r="Y3406" s="1063"/>
      <c r="Z3406" s="1063"/>
      <c r="AA3406" s="1063"/>
      <c r="AB3406" s="1063"/>
      <c r="AC3406" s="1063"/>
      <c r="AD3406" s="1063"/>
      <c r="AE3406" s="1063"/>
      <c r="AF3406" s="1063"/>
      <c r="AG3406" s="1063"/>
      <c r="AH3406" s="1063"/>
      <c r="AI3406" s="1063"/>
      <c r="AJ3406" s="1063"/>
      <c r="AK3406" s="1063"/>
      <c r="AL3406" s="1063"/>
      <c r="AM3406" s="1063"/>
      <c r="AN3406" s="1063"/>
      <c r="AO3406" s="1063"/>
      <c r="AP3406" s="1063"/>
      <c r="AQ3406" s="1063"/>
      <c r="AR3406" s="1063"/>
      <c r="AS3406" s="1063"/>
      <c r="AT3406" s="1063"/>
      <c r="AU3406" s="1063"/>
      <c r="AV3406" s="1063"/>
    </row>
    <row r="3407" spans="1:48" s="1108" customFormat="1" ht="27.75" customHeight="1">
      <c r="A3407" s="1076"/>
      <c r="B3407" s="1074">
        <f>+'[18]Bldg+Dev'!S4219</f>
        <v>0</v>
      </c>
      <c r="D3407" s="1063"/>
      <c r="F3407" s="1076"/>
      <c r="G3407" s="1063"/>
      <c r="H3407" s="1063"/>
      <c r="I3407" s="1063"/>
      <c r="J3407" s="1063"/>
      <c r="K3407" s="1063"/>
      <c r="L3407" s="1063"/>
      <c r="M3407" s="1063"/>
      <c r="N3407" s="1063"/>
      <c r="O3407" s="1063"/>
      <c r="P3407" s="1063"/>
      <c r="Q3407" s="1063"/>
      <c r="R3407" s="1063"/>
      <c r="S3407" s="1063"/>
      <c r="T3407" s="1063"/>
      <c r="U3407" s="1063"/>
      <c r="V3407" s="1063"/>
      <c r="W3407" s="1063"/>
      <c r="X3407" s="1063"/>
      <c r="Y3407" s="1063"/>
      <c r="Z3407" s="1063"/>
      <c r="AA3407" s="1063"/>
      <c r="AB3407" s="1063"/>
      <c r="AC3407" s="1063"/>
      <c r="AD3407" s="1063"/>
      <c r="AE3407" s="1063"/>
      <c r="AF3407" s="1063"/>
      <c r="AG3407" s="1063"/>
      <c r="AH3407" s="1063"/>
      <c r="AI3407" s="1063"/>
      <c r="AJ3407" s="1063"/>
      <c r="AK3407" s="1063"/>
      <c r="AL3407" s="1063"/>
      <c r="AM3407" s="1063"/>
      <c r="AN3407" s="1063"/>
      <c r="AO3407" s="1063"/>
      <c r="AP3407" s="1063"/>
      <c r="AQ3407" s="1063"/>
      <c r="AR3407" s="1063"/>
      <c r="AS3407" s="1063"/>
      <c r="AT3407" s="1063"/>
      <c r="AU3407" s="1063"/>
      <c r="AV3407" s="1063"/>
    </row>
    <row r="3408" spans="1:48" s="1108" customFormat="1" ht="27.75" customHeight="1">
      <c r="A3408" s="1076"/>
      <c r="B3408" s="1074">
        <f>+'[18]Bldg+Dev'!S4220</f>
        <v>0</v>
      </c>
      <c r="D3408" s="1063"/>
      <c r="F3408" s="1076"/>
      <c r="G3408" s="1063"/>
      <c r="H3408" s="1063"/>
      <c r="I3408" s="1063"/>
      <c r="J3408" s="1063"/>
      <c r="K3408" s="1063"/>
      <c r="L3408" s="1063"/>
      <c r="M3408" s="1063"/>
      <c r="N3408" s="1063"/>
      <c r="O3408" s="1063"/>
      <c r="P3408" s="1063"/>
      <c r="Q3408" s="1063"/>
      <c r="R3408" s="1063"/>
      <c r="S3408" s="1063"/>
      <c r="T3408" s="1063"/>
      <c r="U3408" s="1063"/>
      <c r="V3408" s="1063"/>
      <c r="W3408" s="1063"/>
      <c r="X3408" s="1063"/>
      <c r="Y3408" s="1063"/>
      <c r="Z3408" s="1063"/>
      <c r="AA3408" s="1063"/>
      <c r="AB3408" s="1063"/>
      <c r="AC3408" s="1063"/>
      <c r="AD3408" s="1063"/>
      <c r="AE3408" s="1063"/>
      <c r="AF3408" s="1063"/>
      <c r="AG3408" s="1063"/>
      <c r="AH3408" s="1063"/>
      <c r="AI3408" s="1063"/>
      <c r="AJ3408" s="1063"/>
      <c r="AK3408" s="1063"/>
      <c r="AL3408" s="1063"/>
      <c r="AM3408" s="1063"/>
      <c r="AN3408" s="1063"/>
      <c r="AO3408" s="1063"/>
      <c r="AP3408" s="1063"/>
      <c r="AQ3408" s="1063"/>
      <c r="AR3408" s="1063"/>
      <c r="AS3408" s="1063"/>
      <c r="AT3408" s="1063"/>
      <c r="AU3408" s="1063"/>
      <c r="AV3408" s="1063"/>
    </row>
    <row r="3409" spans="1:48" s="1108" customFormat="1" ht="27.75" customHeight="1">
      <c r="A3409" s="1076"/>
      <c r="B3409" s="1074">
        <f>+'[18]Bldg+Dev'!S4221</f>
        <v>0</v>
      </c>
      <c r="D3409" s="1063"/>
      <c r="F3409" s="1076"/>
      <c r="G3409" s="1063"/>
      <c r="H3409" s="1063"/>
      <c r="I3409" s="1063"/>
      <c r="J3409" s="1063"/>
      <c r="K3409" s="1063"/>
      <c r="L3409" s="1063"/>
      <c r="M3409" s="1063"/>
      <c r="N3409" s="1063"/>
      <c r="O3409" s="1063"/>
      <c r="P3409" s="1063"/>
      <c r="Q3409" s="1063"/>
      <c r="R3409" s="1063"/>
      <c r="S3409" s="1063"/>
      <c r="T3409" s="1063"/>
      <c r="U3409" s="1063"/>
      <c r="V3409" s="1063"/>
      <c r="W3409" s="1063"/>
      <c r="X3409" s="1063"/>
      <c r="Y3409" s="1063"/>
      <c r="Z3409" s="1063"/>
      <c r="AA3409" s="1063"/>
      <c r="AB3409" s="1063"/>
      <c r="AC3409" s="1063"/>
      <c r="AD3409" s="1063"/>
      <c r="AE3409" s="1063"/>
      <c r="AF3409" s="1063"/>
      <c r="AG3409" s="1063"/>
      <c r="AH3409" s="1063"/>
      <c r="AI3409" s="1063"/>
      <c r="AJ3409" s="1063"/>
      <c r="AK3409" s="1063"/>
      <c r="AL3409" s="1063"/>
      <c r="AM3409" s="1063"/>
      <c r="AN3409" s="1063"/>
      <c r="AO3409" s="1063"/>
      <c r="AP3409" s="1063"/>
      <c r="AQ3409" s="1063"/>
      <c r="AR3409" s="1063"/>
      <c r="AS3409" s="1063"/>
      <c r="AT3409" s="1063"/>
      <c r="AU3409" s="1063"/>
      <c r="AV3409" s="1063"/>
    </row>
    <row r="3410" spans="1:48" s="1108" customFormat="1" ht="27.75" customHeight="1">
      <c r="A3410" s="1076"/>
      <c r="B3410" s="1074">
        <f>+'[18]Bldg+Dev'!S4222</f>
        <v>0</v>
      </c>
      <c r="D3410" s="1063"/>
      <c r="F3410" s="1076"/>
      <c r="G3410" s="1063"/>
      <c r="H3410" s="1063"/>
      <c r="I3410" s="1063"/>
      <c r="J3410" s="1063"/>
      <c r="K3410" s="1063"/>
      <c r="L3410" s="1063"/>
      <c r="M3410" s="1063"/>
      <c r="N3410" s="1063"/>
      <c r="O3410" s="1063"/>
      <c r="P3410" s="1063"/>
      <c r="Q3410" s="1063"/>
      <c r="R3410" s="1063"/>
      <c r="S3410" s="1063"/>
      <c r="T3410" s="1063"/>
      <c r="U3410" s="1063"/>
      <c r="V3410" s="1063"/>
      <c r="W3410" s="1063"/>
      <c r="X3410" s="1063"/>
      <c r="Y3410" s="1063"/>
      <c r="Z3410" s="1063"/>
      <c r="AA3410" s="1063"/>
      <c r="AB3410" s="1063"/>
      <c r="AC3410" s="1063"/>
      <c r="AD3410" s="1063"/>
      <c r="AE3410" s="1063"/>
      <c r="AF3410" s="1063"/>
      <c r="AG3410" s="1063"/>
      <c r="AH3410" s="1063"/>
      <c r="AI3410" s="1063"/>
      <c r="AJ3410" s="1063"/>
      <c r="AK3410" s="1063"/>
      <c r="AL3410" s="1063"/>
      <c r="AM3410" s="1063"/>
      <c r="AN3410" s="1063"/>
      <c r="AO3410" s="1063"/>
      <c r="AP3410" s="1063"/>
      <c r="AQ3410" s="1063"/>
      <c r="AR3410" s="1063"/>
      <c r="AS3410" s="1063"/>
      <c r="AT3410" s="1063"/>
      <c r="AU3410" s="1063"/>
      <c r="AV3410" s="1063"/>
    </row>
    <row r="3411" spans="1:48" s="1108" customFormat="1" ht="27.75" customHeight="1">
      <c r="A3411" s="1076"/>
      <c r="B3411" s="1074">
        <f>+'[18]Bldg+Dev'!S4223</f>
        <v>0</v>
      </c>
      <c r="D3411" s="1063"/>
      <c r="F3411" s="1076"/>
      <c r="G3411" s="1063"/>
      <c r="H3411" s="1063"/>
      <c r="I3411" s="1063"/>
      <c r="J3411" s="1063"/>
      <c r="K3411" s="1063"/>
      <c r="L3411" s="1063"/>
      <c r="M3411" s="1063"/>
      <c r="N3411" s="1063"/>
      <c r="O3411" s="1063"/>
      <c r="P3411" s="1063"/>
      <c r="Q3411" s="1063"/>
      <c r="R3411" s="1063"/>
      <c r="S3411" s="1063"/>
      <c r="T3411" s="1063"/>
      <c r="U3411" s="1063"/>
      <c r="V3411" s="1063"/>
      <c r="W3411" s="1063"/>
      <c r="X3411" s="1063"/>
      <c r="Y3411" s="1063"/>
      <c r="Z3411" s="1063"/>
      <c r="AA3411" s="1063"/>
      <c r="AB3411" s="1063"/>
      <c r="AC3411" s="1063"/>
      <c r="AD3411" s="1063"/>
      <c r="AE3411" s="1063"/>
      <c r="AF3411" s="1063"/>
      <c r="AG3411" s="1063"/>
      <c r="AH3411" s="1063"/>
      <c r="AI3411" s="1063"/>
      <c r="AJ3411" s="1063"/>
      <c r="AK3411" s="1063"/>
      <c r="AL3411" s="1063"/>
      <c r="AM3411" s="1063"/>
      <c r="AN3411" s="1063"/>
      <c r="AO3411" s="1063"/>
      <c r="AP3411" s="1063"/>
      <c r="AQ3411" s="1063"/>
      <c r="AR3411" s="1063"/>
      <c r="AS3411" s="1063"/>
      <c r="AT3411" s="1063"/>
      <c r="AU3411" s="1063"/>
      <c r="AV3411" s="1063"/>
    </row>
    <row r="3412" spans="1:48" s="1108" customFormat="1" ht="27.75" customHeight="1">
      <c r="A3412" s="1076"/>
      <c r="B3412" s="1074">
        <f>+'[18]Bldg+Dev'!S4224</f>
        <v>0</v>
      </c>
      <c r="D3412" s="1063"/>
      <c r="F3412" s="1076"/>
      <c r="G3412" s="1063"/>
      <c r="H3412" s="1063"/>
      <c r="I3412" s="1063"/>
      <c r="J3412" s="1063"/>
      <c r="K3412" s="1063"/>
      <c r="L3412" s="1063"/>
      <c r="M3412" s="1063"/>
      <c r="N3412" s="1063"/>
      <c r="O3412" s="1063"/>
      <c r="P3412" s="1063"/>
      <c r="Q3412" s="1063"/>
      <c r="R3412" s="1063"/>
      <c r="S3412" s="1063"/>
      <c r="T3412" s="1063"/>
      <c r="U3412" s="1063"/>
      <c r="V3412" s="1063"/>
      <c r="W3412" s="1063"/>
      <c r="X3412" s="1063"/>
      <c r="Y3412" s="1063"/>
      <c r="Z3412" s="1063"/>
      <c r="AA3412" s="1063"/>
      <c r="AB3412" s="1063"/>
      <c r="AC3412" s="1063"/>
      <c r="AD3412" s="1063"/>
      <c r="AE3412" s="1063"/>
      <c r="AF3412" s="1063"/>
      <c r="AG3412" s="1063"/>
      <c r="AH3412" s="1063"/>
      <c r="AI3412" s="1063"/>
      <c r="AJ3412" s="1063"/>
      <c r="AK3412" s="1063"/>
      <c r="AL3412" s="1063"/>
      <c r="AM3412" s="1063"/>
      <c r="AN3412" s="1063"/>
      <c r="AO3412" s="1063"/>
      <c r="AP3412" s="1063"/>
      <c r="AQ3412" s="1063"/>
      <c r="AR3412" s="1063"/>
      <c r="AS3412" s="1063"/>
      <c r="AT3412" s="1063"/>
      <c r="AU3412" s="1063"/>
      <c r="AV3412" s="1063"/>
    </row>
    <row r="3413" spans="1:48" s="1108" customFormat="1" ht="27.75" customHeight="1">
      <c r="A3413" s="1076"/>
      <c r="B3413" s="1074">
        <f>+'[18]Bldg+Dev'!S4225</f>
        <v>0</v>
      </c>
      <c r="D3413" s="1063"/>
      <c r="F3413" s="1076"/>
      <c r="G3413" s="1063"/>
      <c r="H3413" s="1063"/>
      <c r="I3413" s="1063"/>
      <c r="J3413" s="1063"/>
      <c r="K3413" s="1063"/>
      <c r="L3413" s="1063"/>
      <c r="M3413" s="1063"/>
      <c r="N3413" s="1063"/>
      <c r="O3413" s="1063"/>
      <c r="P3413" s="1063"/>
      <c r="Q3413" s="1063"/>
      <c r="R3413" s="1063"/>
      <c r="S3413" s="1063"/>
      <c r="T3413" s="1063"/>
      <c r="U3413" s="1063"/>
      <c r="V3413" s="1063"/>
      <c r="W3413" s="1063"/>
      <c r="X3413" s="1063"/>
      <c r="Y3413" s="1063"/>
      <c r="Z3413" s="1063"/>
      <c r="AA3413" s="1063"/>
      <c r="AB3413" s="1063"/>
      <c r="AC3413" s="1063"/>
      <c r="AD3413" s="1063"/>
      <c r="AE3413" s="1063"/>
      <c r="AF3413" s="1063"/>
      <c r="AG3413" s="1063"/>
      <c r="AH3413" s="1063"/>
      <c r="AI3413" s="1063"/>
      <c r="AJ3413" s="1063"/>
      <c r="AK3413" s="1063"/>
      <c r="AL3413" s="1063"/>
      <c r="AM3413" s="1063"/>
      <c r="AN3413" s="1063"/>
      <c r="AO3413" s="1063"/>
      <c r="AP3413" s="1063"/>
      <c r="AQ3413" s="1063"/>
      <c r="AR3413" s="1063"/>
      <c r="AS3413" s="1063"/>
      <c r="AT3413" s="1063"/>
      <c r="AU3413" s="1063"/>
      <c r="AV3413" s="1063"/>
    </row>
    <row r="3414" spans="1:48" s="1108" customFormat="1" ht="27.75" customHeight="1">
      <c r="A3414" s="1076"/>
      <c r="B3414" s="1074">
        <f>+'[18]Bldg+Dev'!S4226</f>
        <v>0</v>
      </c>
      <c r="D3414" s="1063"/>
      <c r="F3414" s="1076"/>
      <c r="G3414" s="1063"/>
      <c r="H3414" s="1063"/>
      <c r="I3414" s="1063"/>
      <c r="J3414" s="1063"/>
      <c r="K3414" s="1063"/>
      <c r="L3414" s="1063"/>
      <c r="M3414" s="1063"/>
      <c r="N3414" s="1063"/>
      <c r="O3414" s="1063"/>
      <c r="P3414" s="1063"/>
      <c r="Q3414" s="1063"/>
      <c r="R3414" s="1063"/>
      <c r="S3414" s="1063"/>
      <c r="T3414" s="1063"/>
      <c r="U3414" s="1063"/>
      <c r="V3414" s="1063"/>
      <c r="W3414" s="1063"/>
      <c r="X3414" s="1063"/>
      <c r="Y3414" s="1063"/>
      <c r="Z3414" s="1063"/>
      <c r="AA3414" s="1063"/>
      <c r="AB3414" s="1063"/>
      <c r="AC3414" s="1063"/>
      <c r="AD3414" s="1063"/>
      <c r="AE3414" s="1063"/>
      <c r="AF3414" s="1063"/>
      <c r="AG3414" s="1063"/>
      <c r="AH3414" s="1063"/>
      <c r="AI3414" s="1063"/>
      <c r="AJ3414" s="1063"/>
      <c r="AK3414" s="1063"/>
      <c r="AL3414" s="1063"/>
      <c r="AM3414" s="1063"/>
      <c r="AN3414" s="1063"/>
      <c r="AO3414" s="1063"/>
      <c r="AP3414" s="1063"/>
      <c r="AQ3414" s="1063"/>
      <c r="AR3414" s="1063"/>
      <c r="AS3414" s="1063"/>
      <c r="AT3414" s="1063"/>
      <c r="AU3414" s="1063"/>
      <c r="AV3414" s="1063"/>
    </row>
    <row r="3415" spans="1:48" s="1108" customFormat="1" ht="27.75" customHeight="1">
      <c r="A3415" s="1076"/>
      <c r="B3415" s="1074">
        <f>+'[18]Bldg+Dev'!S4227</f>
        <v>0</v>
      </c>
      <c r="D3415" s="1063"/>
      <c r="F3415" s="1076"/>
      <c r="G3415" s="1063"/>
      <c r="H3415" s="1063"/>
      <c r="I3415" s="1063"/>
      <c r="J3415" s="1063"/>
      <c r="K3415" s="1063"/>
      <c r="L3415" s="1063"/>
      <c r="M3415" s="1063"/>
      <c r="N3415" s="1063"/>
      <c r="O3415" s="1063"/>
      <c r="P3415" s="1063"/>
      <c r="Q3415" s="1063"/>
      <c r="R3415" s="1063"/>
      <c r="S3415" s="1063"/>
      <c r="T3415" s="1063"/>
      <c r="U3415" s="1063"/>
      <c r="V3415" s="1063"/>
      <c r="W3415" s="1063"/>
      <c r="X3415" s="1063"/>
      <c r="Y3415" s="1063"/>
      <c r="Z3415" s="1063"/>
      <c r="AA3415" s="1063"/>
      <c r="AB3415" s="1063"/>
      <c r="AC3415" s="1063"/>
      <c r="AD3415" s="1063"/>
      <c r="AE3415" s="1063"/>
      <c r="AF3415" s="1063"/>
      <c r="AG3415" s="1063"/>
      <c r="AH3415" s="1063"/>
      <c r="AI3415" s="1063"/>
      <c r="AJ3415" s="1063"/>
      <c r="AK3415" s="1063"/>
      <c r="AL3415" s="1063"/>
      <c r="AM3415" s="1063"/>
      <c r="AN3415" s="1063"/>
      <c r="AO3415" s="1063"/>
      <c r="AP3415" s="1063"/>
      <c r="AQ3415" s="1063"/>
      <c r="AR3415" s="1063"/>
      <c r="AS3415" s="1063"/>
      <c r="AT3415" s="1063"/>
      <c r="AU3415" s="1063"/>
      <c r="AV3415" s="1063"/>
    </row>
    <row r="3416" spans="1:48" s="1108" customFormat="1" ht="27.75" customHeight="1">
      <c r="A3416" s="1076"/>
      <c r="B3416" s="1074">
        <f>+'[18]Bldg+Dev'!S4228</f>
        <v>0</v>
      </c>
      <c r="D3416" s="1063"/>
      <c r="F3416" s="1076"/>
      <c r="G3416" s="1063"/>
      <c r="H3416" s="1063"/>
      <c r="I3416" s="1063"/>
      <c r="J3416" s="1063"/>
      <c r="K3416" s="1063"/>
      <c r="L3416" s="1063"/>
      <c r="M3416" s="1063"/>
      <c r="N3416" s="1063"/>
      <c r="O3416" s="1063"/>
      <c r="P3416" s="1063"/>
      <c r="Q3416" s="1063"/>
      <c r="R3416" s="1063"/>
      <c r="S3416" s="1063"/>
      <c r="T3416" s="1063"/>
      <c r="U3416" s="1063"/>
      <c r="V3416" s="1063"/>
      <c r="W3416" s="1063"/>
      <c r="X3416" s="1063"/>
      <c r="Y3416" s="1063"/>
      <c r="Z3416" s="1063"/>
      <c r="AA3416" s="1063"/>
      <c r="AB3416" s="1063"/>
      <c r="AC3416" s="1063"/>
      <c r="AD3416" s="1063"/>
      <c r="AE3416" s="1063"/>
      <c r="AF3416" s="1063"/>
      <c r="AG3416" s="1063"/>
      <c r="AH3416" s="1063"/>
      <c r="AI3416" s="1063"/>
      <c r="AJ3416" s="1063"/>
      <c r="AK3416" s="1063"/>
      <c r="AL3416" s="1063"/>
      <c r="AM3416" s="1063"/>
      <c r="AN3416" s="1063"/>
      <c r="AO3416" s="1063"/>
      <c r="AP3416" s="1063"/>
      <c r="AQ3416" s="1063"/>
      <c r="AR3416" s="1063"/>
      <c r="AS3416" s="1063"/>
      <c r="AT3416" s="1063"/>
      <c r="AU3416" s="1063"/>
      <c r="AV3416" s="1063"/>
    </row>
    <row r="3417" spans="1:48" s="1108" customFormat="1" ht="27.75" customHeight="1">
      <c r="A3417" s="1076"/>
      <c r="B3417" s="1074">
        <f>+'[18]Bldg+Dev'!S4229</f>
        <v>0</v>
      </c>
      <c r="D3417" s="1063"/>
      <c r="F3417" s="1076"/>
      <c r="G3417" s="1063"/>
      <c r="H3417" s="1063"/>
      <c r="I3417" s="1063"/>
      <c r="J3417" s="1063"/>
      <c r="K3417" s="1063"/>
      <c r="L3417" s="1063"/>
      <c r="M3417" s="1063"/>
      <c r="N3417" s="1063"/>
      <c r="O3417" s="1063"/>
      <c r="P3417" s="1063"/>
      <c r="Q3417" s="1063"/>
      <c r="R3417" s="1063"/>
      <c r="S3417" s="1063"/>
      <c r="T3417" s="1063"/>
      <c r="U3417" s="1063"/>
      <c r="V3417" s="1063"/>
      <c r="W3417" s="1063"/>
      <c r="X3417" s="1063"/>
      <c r="Y3417" s="1063"/>
      <c r="Z3417" s="1063"/>
      <c r="AA3417" s="1063"/>
      <c r="AB3417" s="1063"/>
      <c r="AC3417" s="1063"/>
      <c r="AD3417" s="1063"/>
      <c r="AE3417" s="1063"/>
      <c r="AF3417" s="1063"/>
      <c r="AG3417" s="1063"/>
      <c r="AH3417" s="1063"/>
      <c r="AI3417" s="1063"/>
      <c r="AJ3417" s="1063"/>
      <c r="AK3417" s="1063"/>
      <c r="AL3417" s="1063"/>
      <c r="AM3417" s="1063"/>
      <c r="AN3417" s="1063"/>
      <c r="AO3417" s="1063"/>
      <c r="AP3417" s="1063"/>
      <c r="AQ3417" s="1063"/>
      <c r="AR3417" s="1063"/>
      <c r="AS3417" s="1063"/>
      <c r="AT3417" s="1063"/>
      <c r="AU3417" s="1063"/>
      <c r="AV3417" s="1063"/>
    </row>
    <row r="3418" spans="1:48" s="1108" customFormat="1" ht="27.75" customHeight="1">
      <c r="A3418" s="1076"/>
      <c r="B3418" s="1074">
        <f>+'[18]Bldg+Dev'!S4230</f>
        <v>0</v>
      </c>
      <c r="D3418" s="1063"/>
      <c r="F3418" s="1076"/>
      <c r="G3418" s="1063"/>
      <c r="H3418" s="1063"/>
      <c r="I3418" s="1063"/>
      <c r="J3418" s="1063"/>
      <c r="K3418" s="1063"/>
      <c r="L3418" s="1063"/>
      <c r="M3418" s="1063"/>
      <c r="N3418" s="1063"/>
      <c r="O3418" s="1063"/>
      <c r="P3418" s="1063"/>
      <c r="Q3418" s="1063"/>
      <c r="R3418" s="1063"/>
      <c r="S3418" s="1063"/>
      <c r="T3418" s="1063"/>
      <c r="U3418" s="1063"/>
      <c r="V3418" s="1063"/>
      <c r="W3418" s="1063"/>
      <c r="X3418" s="1063"/>
      <c r="Y3418" s="1063"/>
      <c r="Z3418" s="1063"/>
      <c r="AA3418" s="1063"/>
      <c r="AB3418" s="1063"/>
      <c r="AC3418" s="1063"/>
      <c r="AD3418" s="1063"/>
      <c r="AE3418" s="1063"/>
      <c r="AF3418" s="1063"/>
      <c r="AG3418" s="1063"/>
      <c r="AH3418" s="1063"/>
      <c r="AI3418" s="1063"/>
      <c r="AJ3418" s="1063"/>
      <c r="AK3418" s="1063"/>
      <c r="AL3418" s="1063"/>
      <c r="AM3418" s="1063"/>
      <c r="AN3418" s="1063"/>
      <c r="AO3418" s="1063"/>
      <c r="AP3418" s="1063"/>
      <c r="AQ3418" s="1063"/>
      <c r="AR3418" s="1063"/>
      <c r="AS3418" s="1063"/>
      <c r="AT3418" s="1063"/>
      <c r="AU3418" s="1063"/>
      <c r="AV3418" s="1063"/>
    </row>
    <row r="3419" spans="1:48" s="1108" customFormat="1" ht="27.75" customHeight="1">
      <c r="A3419" s="1076"/>
      <c r="B3419" s="1074">
        <f>+'[18]Bldg+Dev'!S4231</f>
        <v>0</v>
      </c>
      <c r="D3419" s="1063"/>
      <c r="F3419" s="1076"/>
      <c r="G3419" s="1063"/>
      <c r="H3419" s="1063"/>
      <c r="I3419" s="1063"/>
      <c r="J3419" s="1063"/>
      <c r="K3419" s="1063"/>
      <c r="L3419" s="1063"/>
      <c r="M3419" s="1063"/>
      <c r="N3419" s="1063"/>
      <c r="O3419" s="1063"/>
      <c r="P3419" s="1063"/>
      <c r="Q3419" s="1063"/>
      <c r="R3419" s="1063"/>
      <c r="S3419" s="1063"/>
      <c r="T3419" s="1063"/>
      <c r="U3419" s="1063"/>
      <c r="V3419" s="1063"/>
      <c r="W3419" s="1063"/>
      <c r="X3419" s="1063"/>
      <c r="Y3419" s="1063"/>
      <c r="Z3419" s="1063"/>
      <c r="AA3419" s="1063"/>
      <c r="AB3419" s="1063"/>
      <c r="AC3419" s="1063"/>
      <c r="AD3419" s="1063"/>
      <c r="AE3419" s="1063"/>
      <c r="AF3419" s="1063"/>
      <c r="AG3419" s="1063"/>
      <c r="AH3419" s="1063"/>
      <c r="AI3419" s="1063"/>
      <c r="AJ3419" s="1063"/>
      <c r="AK3419" s="1063"/>
      <c r="AL3419" s="1063"/>
      <c r="AM3419" s="1063"/>
      <c r="AN3419" s="1063"/>
      <c r="AO3419" s="1063"/>
      <c r="AP3419" s="1063"/>
      <c r="AQ3419" s="1063"/>
      <c r="AR3419" s="1063"/>
      <c r="AS3419" s="1063"/>
      <c r="AT3419" s="1063"/>
      <c r="AU3419" s="1063"/>
      <c r="AV3419" s="1063"/>
    </row>
    <row r="3420" spans="1:48" s="1108" customFormat="1" ht="27.75" customHeight="1">
      <c r="A3420" s="1076"/>
      <c r="B3420" s="1074">
        <f>+'[18]Bldg+Dev'!S4232</f>
        <v>0</v>
      </c>
      <c r="D3420" s="1063"/>
      <c r="F3420" s="1076"/>
      <c r="G3420" s="1063"/>
      <c r="H3420" s="1063"/>
      <c r="I3420" s="1063"/>
      <c r="J3420" s="1063"/>
      <c r="K3420" s="1063"/>
      <c r="L3420" s="1063"/>
      <c r="M3420" s="1063"/>
      <c r="N3420" s="1063"/>
      <c r="O3420" s="1063"/>
      <c r="P3420" s="1063"/>
      <c r="Q3420" s="1063"/>
      <c r="R3420" s="1063"/>
      <c r="S3420" s="1063"/>
      <c r="T3420" s="1063"/>
      <c r="U3420" s="1063"/>
      <c r="V3420" s="1063"/>
      <c r="W3420" s="1063"/>
      <c r="X3420" s="1063"/>
      <c r="Y3420" s="1063"/>
      <c r="Z3420" s="1063"/>
      <c r="AA3420" s="1063"/>
      <c r="AB3420" s="1063"/>
      <c r="AC3420" s="1063"/>
      <c r="AD3420" s="1063"/>
      <c r="AE3420" s="1063"/>
      <c r="AF3420" s="1063"/>
      <c r="AG3420" s="1063"/>
      <c r="AH3420" s="1063"/>
      <c r="AI3420" s="1063"/>
      <c r="AJ3420" s="1063"/>
      <c r="AK3420" s="1063"/>
      <c r="AL3420" s="1063"/>
      <c r="AM3420" s="1063"/>
      <c r="AN3420" s="1063"/>
      <c r="AO3420" s="1063"/>
      <c r="AP3420" s="1063"/>
      <c r="AQ3420" s="1063"/>
      <c r="AR3420" s="1063"/>
      <c r="AS3420" s="1063"/>
      <c r="AT3420" s="1063"/>
      <c r="AU3420" s="1063"/>
      <c r="AV3420" s="1063"/>
    </row>
    <row r="3421" spans="1:48" s="1108" customFormat="1" ht="27.75" customHeight="1">
      <c r="A3421" s="1076"/>
      <c r="B3421" s="1074">
        <f>+'[18]Bldg+Dev'!S4233</f>
        <v>0</v>
      </c>
      <c r="D3421" s="1063"/>
      <c r="F3421" s="1076"/>
      <c r="G3421" s="1063"/>
      <c r="H3421" s="1063"/>
      <c r="I3421" s="1063"/>
      <c r="J3421" s="1063"/>
      <c r="K3421" s="1063"/>
      <c r="L3421" s="1063"/>
      <c r="M3421" s="1063"/>
      <c r="N3421" s="1063"/>
      <c r="O3421" s="1063"/>
      <c r="P3421" s="1063"/>
      <c r="Q3421" s="1063"/>
      <c r="R3421" s="1063"/>
      <c r="S3421" s="1063"/>
      <c r="T3421" s="1063"/>
      <c r="U3421" s="1063"/>
      <c r="V3421" s="1063"/>
      <c r="W3421" s="1063"/>
      <c r="X3421" s="1063"/>
      <c r="Y3421" s="1063"/>
      <c r="Z3421" s="1063"/>
      <c r="AA3421" s="1063"/>
      <c r="AB3421" s="1063"/>
      <c r="AC3421" s="1063"/>
      <c r="AD3421" s="1063"/>
      <c r="AE3421" s="1063"/>
      <c r="AF3421" s="1063"/>
      <c r="AG3421" s="1063"/>
      <c r="AH3421" s="1063"/>
      <c r="AI3421" s="1063"/>
      <c r="AJ3421" s="1063"/>
      <c r="AK3421" s="1063"/>
      <c r="AL3421" s="1063"/>
      <c r="AM3421" s="1063"/>
      <c r="AN3421" s="1063"/>
      <c r="AO3421" s="1063"/>
      <c r="AP3421" s="1063"/>
      <c r="AQ3421" s="1063"/>
      <c r="AR3421" s="1063"/>
      <c r="AS3421" s="1063"/>
      <c r="AT3421" s="1063"/>
      <c r="AU3421" s="1063"/>
      <c r="AV3421" s="1063"/>
    </row>
    <row r="3422" spans="1:48" s="1108" customFormat="1" ht="27.75" customHeight="1">
      <c r="A3422" s="1076"/>
      <c r="B3422" s="1074">
        <f>+'[18]Bldg+Dev'!S4234</f>
        <v>0</v>
      </c>
      <c r="D3422" s="1063"/>
      <c r="F3422" s="1076"/>
      <c r="G3422" s="1063"/>
      <c r="H3422" s="1063"/>
      <c r="I3422" s="1063"/>
      <c r="J3422" s="1063"/>
      <c r="K3422" s="1063"/>
      <c r="L3422" s="1063"/>
      <c r="M3422" s="1063"/>
      <c r="N3422" s="1063"/>
      <c r="O3422" s="1063"/>
      <c r="P3422" s="1063"/>
      <c r="Q3422" s="1063"/>
      <c r="R3422" s="1063"/>
      <c r="S3422" s="1063"/>
      <c r="T3422" s="1063"/>
      <c r="U3422" s="1063"/>
      <c r="V3422" s="1063"/>
      <c r="W3422" s="1063"/>
      <c r="X3422" s="1063"/>
      <c r="Y3422" s="1063"/>
      <c r="Z3422" s="1063"/>
      <c r="AA3422" s="1063"/>
      <c r="AB3422" s="1063"/>
      <c r="AC3422" s="1063"/>
      <c r="AD3422" s="1063"/>
      <c r="AE3422" s="1063"/>
      <c r="AF3422" s="1063"/>
      <c r="AG3422" s="1063"/>
      <c r="AH3422" s="1063"/>
      <c r="AI3422" s="1063"/>
      <c r="AJ3422" s="1063"/>
      <c r="AK3422" s="1063"/>
      <c r="AL3422" s="1063"/>
      <c r="AM3422" s="1063"/>
      <c r="AN3422" s="1063"/>
      <c r="AO3422" s="1063"/>
      <c r="AP3422" s="1063"/>
      <c r="AQ3422" s="1063"/>
      <c r="AR3422" s="1063"/>
      <c r="AS3422" s="1063"/>
      <c r="AT3422" s="1063"/>
      <c r="AU3422" s="1063"/>
      <c r="AV3422" s="1063"/>
    </row>
    <row r="3423" spans="1:48" s="1108" customFormat="1" ht="27.75" customHeight="1">
      <c r="A3423" s="1076"/>
      <c r="B3423" s="1074">
        <f>+'[18]Bldg+Dev'!S4235</f>
        <v>0</v>
      </c>
      <c r="D3423" s="1063"/>
      <c r="F3423" s="1076"/>
      <c r="G3423" s="1063"/>
      <c r="H3423" s="1063"/>
      <c r="I3423" s="1063"/>
      <c r="J3423" s="1063"/>
      <c r="K3423" s="1063"/>
      <c r="L3423" s="1063"/>
      <c r="M3423" s="1063"/>
      <c r="N3423" s="1063"/>
      <c r="O3423" s="1063"/>
      <c r="P3423" s="1063"/>
      <c r="Q3423" s="1063"/>
      <c r="R3423" s="1063"/>
      <c r="S3423" s="1063"/>
      <c r="T3423" s="1063"/>
      <c r="U3423" s="1063"/>
      <c r="V3423" s="1063"/>
      <c r="W3423" s="1063"/>
      <c r="X3423" s="1063"/>
      <c r="Y3423" s="1063"/>
      <c r="Z3423" s="1063"/>
      <c r="AA3423" s="1063"/>
      <c r="AB3423" s="1063"/>
      <c r="AC3423" s="1063"/>
      <c r="AD3423" s="1063"/>
      <c r="AE3423" s="1063"/>
      <c r="AF3423" s="1063"/>
      <c r="AG3423" s="1063"/>
      <c r="AH3423" s="1063"/>
      <c r="AI3423" s="1063"/>
      <c r="AJ3423" s="1063"/>
      <c r="AK3423" s="1063"/>
      <c r="AL3423" s="1063"/>
      <c r="AM3423" s="1063"/>
      <c r="AN3423" s="1063"/>
      <c r="AO3423" s="1063"/>
      <c r="AP3423" s="1063"/>
      <c r="AQ3423" s="1063"/>
      <c r="AR3423" s="1063"/>
      <c r="AS3423" s="1063"/>
      <c r="AT3423" s="1063"/>
      <c r="AU3423" s="1063"/>
      <c r="AV3423" s="1063"/>
    </row>
    <row r="3424" spans="1:48" s="1108" customFormat="1" ht="27.75" customHeight="1">
      <c r="A3424" s="1076"/>
      <c r="B3424" s="1074">
        <f>+'[18]Bldg+Dev'!S4236</f>
        <v>0</v>
      </c>
      <c r="D3424" s="1063"/>
      <c r="F3424" s="1076"/>
      <c r="G3424" s="1063"/>
      <c r="H3424" s="1063"/>
      <c r="I3424" s="1063"/>
      <c r="J3424" s="1063"/>
      <c r="K3424" s="1063"/>
      <c r="L3424" s="1063"/>
      <c r="M3424" s="1063"/>
      <c r="N3424" s="1063"/>
      <c r="O3424" s="1063"/>
      <c r="P3424" s="1063"/>
      <c r="Q3424" s="1063"/>
      <c r="R3424" s="1063"/>
      <c r="S3424" s="1063"/>
      <c r="T3424" s="1063"/>
      <c r="U3424" s="1063"/>
      <c r="V3424" s="1063"/>
      <c r="W3424" s="1063"/>
      <c r="X3424" s="1063"/>
      <c r="Y3424" s="1063"/>
      <c r="Z3424" s="1063"/>
      <c r="AA3424" s="1063"/>
      <c r="AB3424" s="1063"/>
      <c r="AC3424" s="1063"/>
      <c r="AD3424" s="1063"/>
      <c r="AE3424" s="1063"/>
      <c r="AF3424" s="1063"/>
      <c r="AG3424" s="1063"/>
      <c r="AH3424" s="1063"/>
      <c r="AI3424" s="1063"/>
      <c r="AJ3424" s="1063"/>
      <c r="AK3424" s="1063"/>
      <c r="AL3424" s="1063"/>
      <c r="AM3424" s="1063"/>
      <c r="AN3424" s="1063"/>
      <c r="AO3424" s="1063"/>
      <c r="AP3424" s="1063"/>
      <c r="AQ3424" s="1063"/>
      <c r="AR3424" s="1063"/>
      <c r="AS3424" s="1063"/>
      <c r="AT3424" s="1063"/>
      <c r="AU3424" s="1063"/>
      <c r="AV3424" s="1063"/>
    </row>
    <row r="3425" spans="1:48" s="1108" customFormat="1" ht="27.75" customHeight="1">
      <c r="A3425" s="1076"/>
      <c r="B3425" s="1074">
        <f>+'[18]Bldg+Dev'!S4237</f>
        <v>0</v>
      </c>
      <c r="D3425" s="1063"/>
      <c r="F3425" s="1076"/>
      <c r="G3425" s="1063"/>
      <c r="H3425" s="1063"/>
      <c r="I3425" s="1063"/>
      <c r="J3425" s="1063"/>
      <c r="K3425" s="1063"/>
      <c r="L3425" s="1063"/>
      <c r="M3425" s="1063"/>
      <c r="N3425" s="1063"/>
      <c r="O3425" s="1063"/>
      <c r="P3425" s="1063"/>
      <c r="Q3425" s="1063"/>
      <c r="R3425" s="1063"/>
      <c r="S3425" s="1063"/>
      <c r="T3425" s="1063"/>
      <c r="U3425" s="1063"/>
      <c r="V3425" s="1063"/>
      <c r="W3425" s="1063"/>
      <c r="X3425" s="1063"/>
      <c r="Y3425" s="1063"/>
      <c r="Z3425" s="1063"/>
      <c r="AA3425" s="1063"/>
      <c r="AB3425" s="1063"/>
      <c r="AC3425" s="1063"/>
      <c r="AD3425" s="1063"/>
      <c r="AE3425" s="1063"/>
      <c r="AF3425" s="1063"/>
      <c r="AG3425" s="1063"/>
      <c r="AH3425" s="1063"/>
      <c r="AI3425" s="1063"/>
      <c r="AJ3425" s="1063"/>
      <c r="AK3425" s="1063"/>
      <c r="AL3425" s="1063"/>
      <c r="AM3425" s="1063"/>
      <c r="AN3425" s="1063"/>
      <c r="AO3425" s="1063"/>
      <c r="AP3425" s="1063"/>
      <c r="AQ3425" s="1063"/>
      <c r="AR3425" s="1063"/>
      <c r="AS3425" s="1063"/>
      <c r="AT3425" s="1063"/>
      <c r="AU3425" s="1063"/>
      <c r="AV3425" s="1063"/>
    </row>
    <row r="3426" spans="1:48" s="1108" customFormat="1" ht="27.75" customHeight="1">
      <c r="A3426" s="1076"/>
      <c r="B3426" s="1074">
        <f>+'[18]Bldg+Dev'!S4238</f>
        <v>0</v>
      </c>
      <c r="D3426" s="1063"/>
      <c r="F3426" s="1076"/>
      <c r="G3426" s="1063"/>
      <c r="H3426" s="1063"/>
      <c r="I3426" s="1063"/>
      <c r="J3426" s="1063"/>
      <c r="K3426" s="1063"/>
      <c r="L3426" s="1063"/>
      <c r="M3426" s="1063"/>
      <c r="N3426" s="1063"/>
      <c r="O3426" s="1063"/>
      <c r="P3426" s="1063"/>
      <c r="Q3426" s="1063"/>
      <c r="R3426" s="1063"/>
      <c r="S3426" s="1063"/>
      <c r="T3426" s="1063"/>
      <c r="U3426" s="1063"/>
      <c r="V3426" s="1063"/>
      <c r="W3426" s="1063"/>
      <c r="X3426" s="1063"/>
      <c r="Y3426" s="1063"/>
      <c r="Z3426" s="1063"/>
      <c r="AA3426" s="1063"/>
      <c r="AB3426" s="1063"/>
      <c r="AC3426" s="1063"/>
      <c r="AD3426" s="1063"/>
      <c r="AE3426" s="1063"/>
      <c r="AF3426" s="1063"/>
      <c r="AG3426" s="1063"/>
      <c r="AH3426" s="1063"/>
      <c r="AI3426" s="1063"/>
      <c r="AJ3426" s="1063"/>
      <c r="AK3426" s="1063"/>
      <c r="AL3426" s="1063"/>
      <c r="AM3426" s="1063"/>
      <c r="AN3426" s="1063"/>
      <c r="AO3426" s="1063"/>
      <c r="AP3426" s="1063"/>
      <c r="AQ3426" s="1063"/>
      <c r="AR3426" s="1063"/>
      <c r="AS3426" s="1063"/>
      <c r="AT3426" s="1063"/>
      <c r="AU3426" s="1063"/>
      <c r="AV3426" s="1063"/>
    </row>
    <row r="3427" spans="1:48" s="1108" customFormat="1" ht="27.75" customHeight="1">
      <c r="A3427" s="1076"/>
      <c r="B3427" s="1074">
        <f>+'[18]Bldg+Dev'!S4239</f>
        <v>0</v>
      </c>
      <c r="D3427" s="1063"/>
      <c r="F3427" s="1076"/>
      <c r="G3427" s="1063"/>
      <c r="H3427" s="1063"/>
      <c r="I3427" s="1063"/>
      <c r="J3427" s="1063"/>
      <c r="K3427" s="1063"/>
      <c r="L3427" s="1063"/>
      <c r="M3427" s="1063"/>
      <c r="N3427" s="1063"/>
      <c r="O3427" s="1063"/>
      <c r="P3427" s="1063"/>
      <c r="Q3427" s="1063"/>
      <c r="R3427" s="1063"/>
      <c r="S3427" s="1063"/>
      <c r="T3427" s="1063"/>
      <c r="U3427" s="1063"/>
      <c r="V3427" s="1063"/>
      <c r="W3427" s="1063"/>
      <c r="X3427" s="1063"/>
      <c r="Y3427" s="1063"/>
      <c r="Z3427" s="1063"/>
      <c r="AA3427" s="1063"/>
      <c r="AB3427" s="1063"/>
      <c r="AC3427" s="1063"/>
      <c r="AD3427" s="1063"/>
      <c r="AE3427" s="1063"/>
      <c r="AF3427" s="1063"/>
      <c r="AG3427" s="1063"/>
      <c r="AH3427" s="1063"/>
      <c r="AI3427" s="1063"/>
      <c r="AJ3427" s="1063"/>
      <c r="AK3427" s="1063"/>
      <c r="AL3427" s="1063"/>
      <c r="AM3427" s="1063"/>
      <c r="AN3427" s="1063"/>
      <c r="AO3427" s="1063"/>
      <c r="AP3427" s="1063"/>
      <c r="AQ3427" s="1063"/>
      <c r="AR3427" s="1063"/>
      <c r="AS3427" s="1063"/>
      <c r="AT3427" s="1063"/>
      <c r="AU3427" s="1063"/>
      <c r="AV3427" s="1063"/>
    </row>
    <row r="3428" spans="1:48" s="1108" customFormat="1" ht="27.75" customHeight="1">
      <c r="A3428" s="1076"/>
      <c r="B3428" s="1074">
        <f>+'[18]Bldg+Dev'!S4240</f>
        <v>0</v>
      </c>
      <c r="D3428" s="1063"/>
      <c r="F3428" s="1076"/>
      <c r="G3428" s="1063"/>
      <c r="H3428" s="1063"/>
      <c r="I3428" s="1063"/>
      <c r="J3428" s="1063"/>
      <c r="K3428" s="1063"/>
      <c r="L3428" s="1063"/>
      <c r="M3428" s="1063"/>
      <c r="N3428" s="1063"/>
      <c r="O3428" s="1063"/>
      <c r="P3428" s="1063"/>
      <c r="Q3428" s="1063"/>
      <c r="R3428" s="1063"/>
      <c r="S3428" s="1063"/>
      <c r="T3428" s="1063"/>
      <c r="U3428" s="1063"/>
      <c r="V3428" s="1063"/>
      <c r="W3428" s="1063"/>
      <c r="X3428" s="1063"/>
      <c r="Y3428" s="1063"/>
      <c r="Z3428" s="1063"/>
      <c r="AA3428" s="1063"/>
      <c r="AB3428" s="1063"/>
      <c r="AC3428" s="1063"/>
      <c r="AD3428" s="1063"/>
      <c r="AE3428" s="1063"/>
      <c r="AF3428" s="1063"/>
      <c r="AG3428" s="1063"/>
      <c r="AH3428" s="1063"/>
      <c r="AI3428" s="1063"/>
      <c r="AJ3428" s="1063"/>
      <c r="AK3428" s="1063"/>
      <c r="AL3428" s="1063"/>
      <c r="AM3428" s="1063"/>
      <c r="AN3428" s="1063"/>
      <c r="AO3428" s="1063"/>
      <c r="AP3428" s="1063"/>
      <c r="AQ3428" s="1063"/>
      <c r="AR3428" s="1063"/>
      <c r="AS3428" s="1063"/>
      <c r="AT3428" s="1063"/>
      <c r="AU3428" s="1063"/>
      <c r="AV3428" s="1063"/>
    </row>
    <row r="3429" spans="1:48" s="1108" customFormat="1" ht="27.75" customHeight="1">
      <c r="A3429" s="1076"/>
      <c r="B3429" s="1074">
        <f>+'[18]Bldg+Dev'!S4241</f>
        <v>0</v>
      </c>
      <c r="D3429" s="1063"/>
      <c r="F3429" s="1076"/>
      <c r="G3429" s="1063"/>
      <c r="H3429" s="1063"/>
      <c r="I3429" s="1063"/>
      <c r="J3429" s="1063"/>
      <c r="K3429" s="1063"/>
      <c r="L3429" s="1063"/>
      <c r="M3429" s="1063"/>
      <c r="N3429" s="1063"/>
      <c r="O3429" s="1063"/>
      <c r="P3429" s="1063"/>
      <c r="Q3429" s="1063"/>
      <c r="R3429" s="1063"/>
      <c r="S3429" s="1063"/>
      <c r="T3429" s="1063"/>
      <c r="U3429" s="1063"/>
      <c r="V3429" s="1063"/>
      <c r="W3429" s="1063"/>
      <c r="X3429" s="1063"/>
      <c r="Y3429" s="1063"/>
      <c r="Z3429" s="1063"/>
      <c r="AA3429" s="1063"/>
      <c r="AB3429" s="1063"/>
      <c r="AC3429" s="1063"/>
      <c r="AD3429" s="1063"/>
      <c r="AE3429" s="1063"/>
      <c r="AF3429" s="1063"/>
      <c r="AG3429" s="1063"/>
      <c r="AH3429" s="1063"/>
      <c r="AI3429" s="1063"/>
      <c r="AJ3429" s="1063"/>
      <c r="AK3429" s="1063"/>
      <c r="AL3429" s="1063"/>
      <c r="AM3429" s="1063"/>
      <c r="AN3429" s="1063"/>
      <c r="AO3429" s="1063"/>
      <c r="AP3429" s="1063"/>
      <c r="AQ3429" s="1063"/>
      <c r="AR3429" s="1063"/>
      <c r="AS3429" s="1063"/>
      <c r="AT3429" s="1063"/>
      <c r="AU3429" s="1063"/>
      <c r="AV3429" s="1063"/>
    </row>
    <row r="3430" spans="1:48" s="1108" customFormat="1" ht="27.75" customHeight="1">
      <c r="A3430" s="1076"/>
      <c r="B3430" s="1074">
        <f>+'[18]Bldg+Dev'!S4242</f>
        <v>0</v>
      </c>
      <c r="D3430" s="1063"/>
      <c r="F3430" s="1076"/>
      <c r="G3430" s="1063"/>
      <c r="H3430" s="1063"/>
      <c r="I3430" s="1063"/>
      <c r="J3430" s="1063"/>
      <c r="K3430" s="1063"/>
      <c r="L3430" s="1063"/>
      <c r="M3430" s="1063"/>
      <c r="N3430" s="1063"/>
      <c r="O3430" s="1063"/>
      <c r="P3430" s="1063"/>
      <c r="Q3430" s="1063"/>
      <c r="R3430" s="1063"/>
      <c r="S3430" s="1063"/>
      <c r="T3430" s="1063"/>
      <c r="U3430" s="1063"/>
      <c r="V3430" s="1063"/>
      <c r="W3430" s="1063"/>
      <c r="X3430" s="1063"/>
      <c r="Y3430" s="1063"/>
      <c r="Z3430" s="1063"/>
      <c r="AA3430" s="1063"/>
      <c r="AB3430" s="1063"/>
      <c r="AC3430" s="1063"/>
      <c r="AD3430" s="1063"/>
      <c r="AE3430" s="1063"/>
      <c r="AF3430" s="1063"/>
      <c r="AG3430" s="1063"/>
      <c r="AH3430" s="1063"/>
      <c r="AI3430" s="1063"/>
      <c r="AJ3430" s="1063"/>
      <c r="AK3430" s="1063"/>
      <c r="AL3430" s="1063"/>
      <c r="AM3430" s="1063"/>
      <c r="AN3430" s="1063"/>
      <c r="AO3430" s="1063"/>
      <c r="AP3430" s="1063"/>
      <c r="AQ3430" s="1063"/>
      <c r="AR3430" s="1063"/>
      <c r="AS3430" s="1063"/>
      <c r="AT3430" s="1063"/>
      <c r="AU3430" s="1063"/>
      <c r="AV3430" s="1063"/>
    </row>
    <row r="3431" spans="1:48" s="1108" customFormat="1" ht="27.75" customHeight="1">
      <c r="A3431" s="1076"/>
      <c r="B3431" s="1074">
        <f>+'[18]Bldg+Dev'!S4243</f>
        <v>0</v>
      </c>
      <c r="D3431" s="1063"/>
      <c r="F3431" s="1076"/>
      <c r="G3431" s="1063"/>
      <c r="H3431" s="1063"/>
      <c r="I3431" s="1063"/>
      <c r="J3431" s="1063"/>
      <c r="K3431" s="1063"/>
      <c r="L3431" s="1063"/>
      <c r="M3431" s="1063"/>
      <c r="N3431" s="1063"/>
      <c r="O3431" s="1063"/>
      <c r="P3431" s="1063"/>
      <c r="Q3431" s="1063"/>
      <c r="R3431" s="1063"/>
      <c r="S3431" s="1063"/>
      <c r="T3431" s="1063"/>
      <c r="U3431" s="1063"/>
      <c r="V3431" s="1063"/>
      <c r="W3431" s="1063"/>
      <c r="X3431" s="1063"/>
      <c r="Y3431" s="1063"/>
      <c r="Z3431" s="1063"/>
      <c r="AA3431" s="1063"/>
      <c r="AB3431" s="1063"/>
      <c r="AC3431" s="1063"/>
      <c r="AD3431" s="1063"/>
      <c r="AE3431" s="1063"/>
      <c r="AF3431" s="1063"/>
      <c r="AG3431" s="1063"/>
      <c r="AH3431" s="1063"/>
      <c r="AI3431" s="1063"/>
      <c r="AJ3431" s="1063"/>
      <c r="AK3431" s="1063"/>
      <c r="AL3431" s="1063"/>
      <c r="AM3431" s="1063"/>
      <c r="AN3431" s="1063"/>
      <c r="AO3431" s="1063"/>
      <c r="AP3431" s="1063"/>
      <c r="AQ3431" s="1063"/>
      <c r="AR3431" s="1063"/>
      <c r="AS3431" s="1063"/>
      <c r="AT3431" s="1063"/>
      <c r="AU3431" s="1063"/>
      <c r="AV3431" s="1063"/>
    </row>
    <row r="3432" spans="1:48" s="1108" customFormat="1" ht="27.75" customHeight="1">
      <c r="A3432" s="1076"/>
      <c r="B3432" s="1074">
        <f>+'[18]Bldg+Dev'!S4244</f>
        <v>0</v>
      </c>
      <c r="D3432" s="1063"/>
      <c r="F3432" s="1076"/>
      <c r="G3432" s="1063"/>
      <c r="H3432" s="1063"/>
      <c r="I3432" s="1063"/>
      <c r="J3432" s="1063"/>
      <c r="K3432" s="1063"/>
      <c r="L3432" s="1063"/>
      <c r="M3432" s="1063"/>
      <c r="N3432" s="1063"/>
      <c r="O3432" s="1063"/>
      <c r="P3432" s="1063"/>
      <c r="Q3432" s="1063"/>
      <c r="R3432" s="1063"/>
      <c r="S3432" s="1063"/>
      <c r="T3432" s="1063"/>
      <c r="U3432" s="1063"/>
      <c r="V3432" s="1063"/>
      <c r="W3432" s="1063"/>
      <c r="X3432" s="1063"/>
      <c r="Y3432" s="1063"/>
      <c r="Z3432" s="1063"/>
      <c r="AA3432" s="1063"/>
      <c r="AB3432" s="1063"/>
      <c r="AC3432" s="1063"/>
      <c r="AD3432" s="1063"/>
      <c r="AE3432" s="1063"/>
      <c r="AF3432" s="1063"/>
      <c r="AG3432" s="1063"/>
      <c r="AH3432" s="1063"/>
      <c r="AI3432" s="1063"/>
      <c r="AJ3432" s="1063"/>
      <c r="AK3432" s="1063"/>
      <c r="AL3432" s="1063"/>
      <c r="AM3432" s="1063"/>
      <c r="AN3432" s="1063"/>
      <c r="AO3432" s="1063"/>
      <c r="AP3432" s="1063"/>
      <c r="AQ3432" s="1063"/>
      <c r="AR3432" s="1063"/>
      <c r="AS3432" s="1063"/>
      <c r="AT3432" s="1063"/>
      <c r="AU3432" s="1063"/>
      <c r="AV3432" s="1063"/>
    </row>
    <row r="3433" spans="1:48" s="1108" customFormat="1" ht="27.75" customHeight="1">
      <c r="A3433" s="1076"/>
      <c r="B3433" s="1074">
        <f>+'[18]Bldg+Dev'!S4245</f>
        <v>0</v>
      </c>
      <c r="D3433" s="1063"/>
      <c r="F3433" s="1076"/>
      <c r="G3433" s="1063"/>
      <c r="H3433" s="1063"/>
      <c r="I3433" s="1063"/>
      <c r="J3433" s="1063"/>
      <c r="K3433" s="1063"/>
      <c r="L3433" s="1063"/>
      <c r="M3433" s="1063"/>
      <c r="N3433" s="1063"/>
      <c r="O3433" s="1063"/>
      <c r="P3433" s="1063"/>
      <c r="Q3433" s="1063"/>
      <c r="R3433" s="1063"/>
      <c r="S3433" s="1063"/>
      <c r="T3433" s="1063"/>
      <c r="U3433" s="1063"/>
      <c r="V3433" s="1063"/>
      <c r="W3433" s="1063"/>
      <c r="X3433" s="1063"/>
      <c r="Y3433" s="1063"/>
      <c r="Z3433" s="1063"/>
      <c r="AA3433" s="1063"/>
      <c r="AB3433" s="1063"/>
      <c r="AC3433" s="1063"/>
      <c r="AD3433" s="1063"/>
      <c r="AE3433" s="1063"/>
      <c r="AF3433" s="1063"/>
      <c r="AG3433" s="1063"/>
      <c r="AH3433" s="1063"/>
      <c r="AI3433" s="1063"/>
      <c r="AJ3433" s="1063"/>
      <c r="AK3433" s="1063"/>
      <c r="AL3433" s="1063"/>
      <c r="AM3433" s="1063"/>
      <c r="AN3433" s="1063"/>
      <c r="AO3433" s="1063"/>
      <c r="AP3433" s="1063"/>
      <c r="AQ3433" s="1063"/>
      <c r="AR3433" s="1063"/>
      <c r="AS3433" s="1063"/>
      <c r="AT3433" s="1063"/>
      <c r="AU3433" s="1063"/>
      <c r="AV3433" s="1063"/>
    </row>
    <row r="3434" spans="1:48" s="1108" customFormat="1" ht="27.75" customHeight="1">
      <c r="A3434" s="1076"/>
      <c r="B3434" s="1074">
        <f>+'[18]Bldg+Dev'!S4246</f>
        <v>0</v>
      </c>
      <c r="D3434" s="1063"/>
      <c r="F3434" s="1076"/>
      <c r="G3434" s="1063"/>
      <c r="H3434" s="1063"/>
      <c r="I3434" s="1063"/>
      <c r="J3434" s="1063"/>
      <c r="K3434" s="1063"/>
      <c r="L3434" s="1063"/>
      <c r="M3434" s="1063"/>
      <c r="N3434" s="1063"/>
      <c r="O3434" s="1063"/>
      <c r="P3434" s="1063"/>
      <c r="Q3434" s="1063"/>
      <c r="R3434" s="1063"/>
      <c r="S3434" s="1063"/>
      <c r="T3434" s="1063"/>
      <c r="U3434" s="1063"/>
      <c r="V3434" s="1063"/>
      <c r="W3434" s="1063"/>
      <c r="X3434" s="1063"/>
      <c r="Y3434" s="1063"/>
      <c r="Z3434" s="1063"/>
      <c r="AA3434" s="1063"/>
      <c r="AB3434" s="1063"/>
      <c r="AC3434" s="1063"/>
      <c r="AD3434" s="1063"/>
      <c r="AE3434" s="1063"/>
      <c r="AF3434" s="1063"/>
      <c r="AG3434" s="1063"/>
      <c r="AH3434" s="1063"/>
      <c r="AI3434" s="1063"/>
      <c r="AJ3434" s="1063"/>
      <c r="AK3434" s="1063"/>
      <c r="AL3434" s="1063"/>
      <c r="AM3434" s="1063"/>
      <c r="AN3434" s="1063"/>
      <c r="AO3434" s="1063"/>
      <c r="AP3434" s="1063"/>
      <c r="AQ3434" s="1063"/>
      <c r="AR3434" s="1063"/>
      <c r="AS3434" s="1063"/>
      <c r="AT3434" s="1063"/>
      <c r="AU3434" s="1063"/>
      <c r="AV3434" s="1063"/>
    </row>
    <row r="3435" spans="1:48" s="1108" customFormat="1" ht="27.75" customHeight="1">
      <c r="A3435" s="1076"/>
      <c r="B3435" s="1074">
        <f>+'[18]Bldg+Dev'!S4247</f>
        <v>0</v>
      </c>
      <c r="D3435" s="1063"/>
      <c r="F3435" s="1076"/>
      <c r="G3435" s="1063"/>
      <c r="H3435" s="1063"/>
      <c r="I3435" s="1063"/>
      <c r="J3435" s="1063"/>
      <c r="K3435" s="1063"/>
      <c r="L3435" s="1063"/>
      <c r="M3435" s="1063"/>
      <c r="N3435" s="1063"/>
      <c r="O3435" s="1063"/>
      <c r="P3435" s="1063"/>
      <c r="Q3435" s="1063"/>
      <c r="R3435" s="1063"/>
      <c r="S3435" s="1063"/>
      <c r="T3435" s="1063"/>
      <c r="U3435" s="1063"/>
      <c r="V3435" s="1063"/>
      <c r="W3435" s="1063"/>
      <c r="X3435" s="1063"/>
      <c r="Y3435" s="1063"/>
      <c r="Z3435" s="1063"/>
      <c r="AA3435" s="1063"/>
      <c r="AB3435" s="1063"/>
      <c r="AC3435" s="1063"/>
      <c r="AD3435" s="1063"/>
      <c r="AE3435" s="1063"/>
      <c r="AF3435" s="1063"/>
      <c r="AG3435" s="1063"/>
      <c r="AH3435" s="1063"/>
      <c r="AI3435" s="1063"/>
      <c r="AJ3435" s="1063"/>
      <c r="AK3435" s="1063"/>
      <c r="AL3435" s="1063"/>
      <c r="AM3435" s="1063"/>
      <c r="AN3435" s="1063"/>
      <c r="AO3435" s="1063"/>
      <c r="AP3435" s="1063"/>
      <c r="AQ3435" s="1063"/>
      <c r="AR3435" s="1063"/>
      <c r="AS3435" s="1063"/>
      <c r="AT3435" s="1063"/>
      <c r="AU3435" s="1063"/>
      <c r="AV3435" s="1063"/>
    </row>
    <row r="3436" spans="1:48" s="1108" customFormat="1" ht="27.75" customHeight="1">
      <c r="A3436" s="1076"/>
      <c r="B3436" s="1074">
        <f>+'[18]Bldg+Dev'!S4248</f>
        <v>0</v>
      </c>
      <c r="D3436" s="1063"/>
      <c r="F3436" s="1076"/>
      <c r="G3436" s="1063"/>
      <c r="H3436" s="1063"/>
      <c r="I3436" s="1063"/>
      <c r="J3436" s="1063"/>
      <c r="K3436" s="1063"/>
      <c r="L3436" s="1063"/>
      <c r="M3436" s="1063"/>
      <c r="N3436" s="1063"/>
      <c r="O3436" s="1063"/>
      <c r="P3436" s="1063"/>
      <c r="Q3436" s="1063"/>
      <c r="R3436" s="1063"/>
      <c r="S3436" s="1063"/>
      <c r="T3436" s="1063"/>
      <c r="U3436" s="1063"/>
      <c r="V3436" s="1063"/>
      <c r="W3436" s="1063"/>
      <c r="X3436" s="1063"/>
      <c r="Y3436" s="1063"/>
      <c r="Z3436" s="1063"/>
      <c r="AA3436" s="1063"/>
      <c r="AB3436" s="1063"/>
      <c r="AC3436" s="1063"/>
      <c r="AD3436" s="1063"/>
      <c r="AE3436" s="1063"/>
      <c r="AF3436" s="1063"/>
      <c r="AG3436" s="1063"/>
      <c r="AH3436" s="1063"/>
      <c r="AI3436" s="1063"/>
      <c r="AJ3436" s="1063"/>
      <c r="AK3436" s="1063"/>
      <c r="AL3436" s="1063"/>
      <c r="AM3436" s="1063"/>
      <c r="AN3436" s="1063"/>
      <c r="AO3436" s="1063"/>
      <c r="AP3436" s="1063"/>
      <c r="AQ3436" s="1063"/>
      <c r="AR3436" s="1063"/>
      <c r="AS3436" s="1063"/>
      <c r="AT3436" s="1063"/>
      <c r="AU3436" s="1063"/>
      <c r="AV3436" s="1063"/>
    </row>
    <row r="3437" spans="1:48" s="1108" customFormat="1" ht="27.75" customHeight="1">
      <c r="A3437" s="1076"/>
      <c r="B3437" s="1074">
        <f>+'[18]Bldg+Dev'!S4249</f>
        <v>0</v>
      </c>
      <c r="D3437" s="1063"/>
      <c r="F3437" s="1076"/>
      <c r="G3437" s="1063"/>
      <c r="H3437" s="1063"/>
      <c r="I3437" s="1063"/>
      <c r="J3437" s="1063"/>
      <c r="K3437" s="1063"/>
      <c r="L3437" s="1063"/>
      <c r="M3437" s="1063"/>
      <c r="N3437" s="1063"/>
      <c r="O3437" s="1063"/>
      <c r="P3437" s="1063"/>
      <c r="Q3437" s="1063"/>
      <c r="R3437" s="1063"/>
      <c r="S3437" s="1063"/>
      <c r="T3437" s="1063"/>
      <c r="U3437" s="1063"/>
      <c r="V3437" s="1063"/>
      <c r="W3437" s="1063"/>
      <c r="X3437" s="1063"/>
      <c r="Y3437" s="1063"/>
      <c r="Z3437" s="1063"/>
      <c r="AA3437" s="1063"/>
      <c r="AB3437" s="1063"/>
      <c r="AC3437" s="1063"/>
      <c r="AD3437" s="1063"/>
      <c r="AE3437" s="1063"/>
      <c r="AF3437" s="1063"/>
      <c r="AG3437" s="1063"/>
      <c r="AH3437" s="1063"/>
      <c r="AI3437" s="1063"/>
      <c r="AJ3437" s="1063"/>
      <c r="AK3437" s="1063"/>
      <c r="AL3437" s="1063"/>
      <c r="AM3437" s="1063"/>
      <c r="AN3437" s="1063"/>
      <c r="AO3437" s="1063"/>
      <c r="AP3437" s="1063"/>
      <c r="AQ3437" s="1063"/>
      <c r="AR3437" s="1063"/>
      <c r="AS3437" s="1063"/>
      <c r="AT3437" s="1063"/>
      <c r="AU3437" s="1063"/>
      <c r="AV3437" s="1063"/>
    </row>
    <row r="3438" spans="1:48" s="1108" customFormat="1" ht="27.75" customHeight="1">
      <c r="A3438" s="1076"/>
      <c r="B3438" s="1074">
        <f>+'[18]Bldg+Dev'!S4250</f>
        <v>0</v>
      </c>
      <c r="D3438" s="1063"/>
      <c r="F3438" s="1076"/>
      <c r="G3438" s="1063"/>
      <c r="H3438" s="1063"/>
      <c r="I3438" s="1063"/>
      <c r="J3438" s="1063"/>
      <c r="K3438" s="1063"/>
      <c r="L3438" s="1063"/>
      <c r="M3438" s="1063"/>
      <c r="N3438" s="1063"/>
      <c r="O3438" s="1063"/>
      <c r="P3438" s="1063"/>
      <c r="Q3438" s="1063"/>
      <c r="R3438" s="1063"/>
      <c r="S3438" s="1063"/>
      <c r="T3438" s="1063"/>
      <c r="U3438" s="1063"/>
      <c r="V3438" s="1063"/>
      <c r="W3438" s="1063"/>
      <c r="X3438" s="1063"/>
      <c r="Y3438" s="1063"/>
      <c r="Z3438" s="1063"/>
      <c r="AA3438" s="1063"/>
      <c r="AB3438" s="1063"/>
      <c r="AC3438" s="1063"/>
      <c r="AD3438" s="1063"/>
      <c r="AE3438" s="1063"/>
      <c r="AF3438" s="1063"/>
      <c r="AG3438" s="1063"/>
      <c r="AH3438" s="1063"/>
      <c r="AI3438" s="1063"/>
      <c r="AJ3438" s="1063"/>
      <c r="AK3438" s="1063"/>
      <c r="AL3438" s="1063"/>
      <c r="AM3438" s="1063"/>
      <c r="AN3438" s="1063"/>
      <c r="AO3438" s="1063"/>
      <c r="AP3438" s="1063"/>
      <c r="AQ3438" s="1063"/>
      <c r="AR3438" s="1063"/>
      <c r="AS3438" s="1063"/>
      <c r="AT3438" s="1063"/>
      <c r="AU3438" s="1063"/>
      <c r="AV3438" s="1063"/>
    </row>
    <row r="3439" spans="1:48" s="1108" customFormat="1" ht="27.75" customHeight="1">
      <c r="A3439" s="1076"/>
      <c r="B3439" s="1074">
        <f>+'[18]Bldg+Dev'!S4251</f>
        <v>0</v>
      </c>
      <c r="D3439" s="1063"/>
      <c r="F3439" s="1076"/>
      <c r="G3439" s="1063"/>
      <c r="H3439" s="1063"/>
      <c r="I3439" s="1063"/>
      <c r="J3439" s="1063"/>
      <c r="K3439" s="1063"/>
      <c r="L3439" s="1063"/>
      <c r="M3439" s="1063"/>
      <c r="N3439" s="1063"/>
      <c r="O3439" s="1063"/>
      <c r="P3439" s="1063"/>
      <c r="Q3439" s="1063"/>
      <c r="R3439" s="1063"/>
      <c r="S3439" s="1063"/>
      <c r="T3439" s="1063"/>
      <c r="U3439" s="1063"/>
      <c r="V3439" s="1063"/>
      <c r="W3439" s="1063"/>
      <c r="X3439" s="1063"/>
      <c r="Y3439" s="1063"/>
      <c r="Z3439" s="1063"/>
      <c r="AA3439" s="1063"/>
      <c r="AB3439" s="1063"/>
      <c r="AC3439" s="1063"/>
      <c r="AD3439" s="1063"/>
      <c r="AE3439" s="1063"/>
      <c r="AF3439" s="1063"/>
      <c r="AG3439" s="1063"/>
      <c r="AH3439" s="1063"/>
      <c r="AI3439" s="1063"/>
      <c r="AJ3439" s="1063"/>
      <c r="AK3439" s="1063"/>
      <c r="AL3439" s="1063"/>
      <c r="AM3439" s="1063"/>
      <c r="AN3439" s="1063"/>
      <c r="AO3439" s="1063"/>
      <c r="AP3439" s="1063"/>
      <c r="AQ3439" s="1063"/>
      <c r="AR3439" s="1063"/>
      <c r="AS3439" s="1063"/>
      <c r="AT3439" s="1063"/>
      <c r="AU3439" s="1063"/>
      <c r="AV3439" s="1063"/>
    </row>
    <row r="3440" spans="1:48" s="1108" customFormat="1" ht="27.75" customHeight="1">
      <c r="A3440" s="1076"/>
      <c r="B3440" s="1074">
        <f>+'[18]Bldg+Dev'!S4252</f>
        <v>0</v>
      </c>
      <c r="D3440" s="1063"/>
      <c r="F3440" s="1076"/>
      <c r="G3440" s="1063"/>
      <c r="H3440" s="1063"/>
      <c r="I3440" s="1063"/>
      <c r="J3440" s="1063"/>
      <c r="K3440" s="1063"/>
      <c r="L3440" s="1063"/>
      <c r="M3440" s="1063"/>
      <c r="N3440" s="1063"/>
      <c r="O3440" s="1063"/>
      <c r="P3440" s="1063"/>
      <c r="Q3440" s="1063"/>
      <c r="R3440" s="1063"/>
      <c r="S3440" s="1063"/>
      <c r="T3440" s="1063"/>
      <c r="U3440" s="1063"/>
      <c r="V3440" s="1063"/>
      <c r="W3440" s="1063"/>
      <c r="X3440" s="1063"/>
      <c r="Y3440" s="1063"/>
      <c r="Z3440" s="1063"/>
      <c r="AA3440" s="1063"/>
      <c r="AB3440" s="1063"/>
      <c r="AC3440" s="1063"/>
      <c r="AD3440" s="1063"/>
      <c r="AE3440" s="1063"/>
      <c r="AF3440" s="1063"/>
      <c r="AG3440" s="1063"/>
      <c r="AH3440" s="1063"/>
      <c r="AI3440" s="1063"/>
      <c r="AJ3440" s="1063"/>
      <c r="AK3440" s="1063"/>
      <c r="AL3440" s="1063"/>
      <c r="AM3440" s="1063"/>
      <c r="AN3440" s="1063"/>
      <c r="AO3440" s="1063"/>
      <c r="AP3440" s="1063"/>
      <c r="AQ3440" s="1063"/>
      <c r="AR3440" s="1063"/>
      <c r="AS3440" s="1063"/>
      <c r="AT3440" s="1063"/>
      <c r="AU3440" s="1063"/>
      <c r="AV3440" s="1063"/>
    </row>
    <row r="3441" spans="1:48" s="1108" customFormat="1" ht="27.75" customHeight="1">
      <c r="A3441" s="1076"/>
      <c r="B3441" s="1074">
        <f>+'[18]Bldg+Dev'!S4253</f>
        <v>0</v>
      </c>
      <c r="D3441" s="1063"/>
      <c r="F3441" s="1076"/>
      <c r="G3441" s="1063"/>
      <c r="H3441" s="1063"/>
      <c r="I3441" s="1063"/>
      <c r="J3441" s="1063"/>
      <c r="K3441" s="1063"/>
      <c r="L3441" s="1063"/>
      <c r="M3441" s="1063"/>
      <c r="N3441" s="1063"/>
      <c r="O3441" s="1063"/>
      <c r="P3441" s="1063"/>
      <c r="Q3441" s="1063"/>
      <c r="R3441" s="1063"/>
      <c r="S3441" s="1063"/>
      <c r="T3441" s="1063"/>
      <c r="U3441" s="1063"/>
      <c r="V3441" s="1063"/>
      <c r="W3441" s="1063"/>
      <c r="X3441" s="1063"/>
      <c r="Y3441" s="1063"/>
      <c r="Z3441" s="1063"/>
      <c r="AA3441" s="1063"/>
      <c r="AB3441" s="1063"/>
      <c r="AC3441" s="1063"/>
      <c r="AD3441" s="1063"/>
      <c r="AE3441" s="1063"/>
      <c r="AF3441" s="1063"/>
      <c r="AG3441" s="1063"/>
      <c r="AH3441" s="1063"/>
      <c r="AI3441" s="1063"/>
      <c r="AJ3441" s="1063"/>
      <c r="AK3441" s="1063"/>
      <c r="AL3441" s="1063"/>
      <c r="AM3441" s="1063"/>
      <c r="AN3441" s="1063"/>
      <c r="AO3441" s="1063"/>
      <c r="AP3441" s="1063"/>
      <c r="AQ3441" s="1063"/>
      <c r="AR3441" s="1063"/>
      <c r="AS3441" s="1063"/>
      <c r="AT3441" s="1063"/>
      <c r="AU3441" s="1063"/>
      <c r="AV3441" s="1063"/>
    </row>
    <row r="3442" spans="1:48" s="1108" customFormat="1" ht="27.75" customHeight="1">
      <c r="A3442" s="1076"/>
      <c r="B3442" s="1074">
        <f>+'[18]Bldg+Dev'!S4254</f>
        <v>0</v>
      </c>
      <c r="D3442" s="1063"/>
      <c r="F3442" s="1076"/>
      <c r="G3442" s="1063"/>
      <c r="H3442" s="1063"/>
      <c r="I3442" s="1063"/>
      <c r="J3442" s="1063"/>
      <c r="K3442" s="1063"/>
      <c r="L3442" s="1063"/>
      <c r="M3442" s="1063"/>
      <c r="N3442" s="1063"/>
      <c r="O3442" s="1063"/>
      <c r="P3442" s="1063"/>
      <c r="Q3442" s="1063"/>
      <c r="R3442" s="1063"/>
      <c r="S3442" s="1063"/>
      <c r="T3442" s="1063"/>
      <c r="U3442" s="1063"/>
      <c r="V3442" s="1063"/>
      <c r="W3442" s="1063"/>
      <c r="X3442" s="1063"/>
      <c r="Y3442" s="1063"/>
      <c r="Z3442" s="1063"/>
      <c r="AA3442" s="1063"/>
      <c r="AB3442" s="1063"/>
      <c r="AC3442" s="1063"/>
      <c r="AD3442" s="1063"/>
      <c r="AE3442" s="1063"/>
      <c r="AF3442" s="1063"/>
      <c r="AG3442" s="1063"/>
      <c r="AH3442" s="1063"/>
      <c r="AI3442" s="1063"/>
      <c r="AJ3442" s="1063"/>
      <c r="AK3442" s="1063"/>
      <c r="AL3442" s="1063"/>
      <c r="AM3442" s="1063"/>
      <c r="AN3442" s="1063"/>
      <c r="AO3442" s="1063"/>
      <c r="AP3442" s="1063"/>
      <c r="AQ3442" s="1063"/>
      <c r="AR3442" s="1063"/>
      <c r="AS3442" s="1063"/>
      <c r="AT3442" s="1063"/>
      <c r="AU3442" s="1063"/>
      <c r="AV3442" s="1063"/>
    </row>
    <row r="3443" spans="1:48" s="1108" customFormat="1" ht="27.75" customHeight="1">
      <c r="A3443" s="1076"/>
      <c r="B3443" s="1074">
        <f>+'[18]Bldg+Dev'!S4255</f>
        <v>0</v>
      </c>
      <c r="D3443" s="1063"/>
      <c r="F3443" s="1076"/>
      <c r="G3443" s="1063"/>
      <c r="H3443" s="1063"/>
      <c r="I3443" s="1063"/>
      <c r="J3443" s="1063"/>
      <c r="K3443" s="1063"/>
      <c r="L3443" s="1063"/>
      <c r="M3443" s="1063"/>
      <c r="N3443" s="1063"/>
      <c r="O3443" s="1063"/>
      <c r="P3443" s="1063"/>
      <c r="Q3443" s="1063"/>
      <c r="R3443" s="1063"/>
      <c r="S3443" s="1063"/>
      <c r="T3443" s="1063"/>
      <c r="U3443" s="1063"/>
      <c r="V3443" s="1063"/>
      <c r="W3443" s="1063"/>
      <c r="X3443" s="1063"/>
      <c r="Y3443" s="1063"/>
      <c r="Z3443" s="1063"/>
      <c r="AA3443" s="1063"/>
      <c r="AB3443" s="1063"/>
      <c r="AC3443" s="1063"/>
      <c r="AD3443" s="1063"/>
      <c r="AE3443" s="1063"/>
      <c r="AF3443" s="1063"/>
      <c r="AG3443" s="1063"/>
      <c r="AH3443" s="1063"/>
      <c r="AI3443" s="1063"/>
      <c r="AJ3443" s="1063"/>
      <c r="AK3443" s="1063"/>
      <c r="AL3443" s="1063"/>
      <c r="AM3443" s="1063"/>
      <c r="AN3443" s="1063"/>
      <c r="AO3443" s="1063"/>
      <c r="AP3443" s="1063"/>
      <c r="AQ3443" s="1063"/>
      <c r="AR3443" s="1063"/>
      <c r="AS3443" s="1063"/>
      <c r="AT3443" s="1063"/>
      <c r="AU3443" s="1063"/>
      <c r="AV3443" s="1063"/>
    </row>
    <row r="3444" spans="1:48" s="1108" customFormat="1" ht="27.75" customHeight="1">
      <c r="A3444" s="1076"/>
      <c r="B3444" s="1074">
        <f>+'[18]Bldg+Dev'!S4256</f>
        <v>0</v>
      </c>
      <c r="D3444" s="1063"/>
      <c r="F3444" s="1076"/>
      <c r="G3444" s="1063"/>
      <c r="H3444" s="1063"/>
      <c r="I3444" s="1063"/>
      <c r="J3444" s="1063"/>
      <c r="K3444" s="1063"/>
      <c r="L3444" s="1063"/>
      <c r="M3444" s="1063"/>
      <c r="N3444" s="1063"/>
      <c r="O3444" s="1063"/>
      <c r="P3444" s="1063"/>
      <c r="Q3444" s="1063"/>
      <c r="R3444" s="1063"/>
      <c r="S3444" s="1063"/>
      <c r="T3444" s="1063"/>
      <c r="U3444" s="1063"/>
      <c r="V3444" s="1063"/>
      <c r="W3444" s="1063"/>
      <c r="X3444" s="1063"/>
      <c r="Y3444" s="1063"/>
      <c r="Z3444" s="1063"/>
      <c r="AA3444" s="1063"/>
      <c r="AB3444" s="1063"/>
      <c r="AC3444" s="1063"/>
      <c r="AD3444" s="1063"/>
      <c r="AE3444" s="1063"/>
      <c r="AF3444" s="1063"/>
      <c r="AG3444" s="1063"/>
      <c r="AH3444" s="1063"/>
      <c r="AI3444" s="1063"/>
      <c r="AJ3444" s="1063"/>
      <c r="AK3444" s="1063"/>
      <c r="AL3444" s="1063"/>
      <c r="AM3444" s="1063"/>
      <c r="AN3444" s="1063"/>
      <c r="AO3444" s="1063"/>
      <c r="AP3444" s="1063"/>
      <c r="AQ3444" s="1063"/>
      <c r="AR3444" s="1063"/>
      <c r="AS3444" s="1063"/>
      <c r="AT3444" s="1063"/>
      <c r="AU3444" s="1063"/>
      <c r="AV3444" s="1063"/>
    </row>
    <row r="3445" spans="1:48" s="1108" customFormat="1" ht="27.75" customHeight="1">
      <c r="A3445" s="1076"/>
      <c r="B3445" s="1074">
        <f>+'[18]Bldg+Dev'!S4257</f>
        <v>0</v>
      </c>
      <c r="D3445" s="1063"/>
      <c r="F3445" s="1076"/>
      <c r="G3445" s="1063"/>
      <c r="H3445" s="1063"/>
      <c r="I3445" s="1063"/>
      <c r="J3445" s="1063"/>
      <c r="K3445" s="1063"/>
      <c r="L3445" s="1063"/>
      <c r="M3445" s="1063"/>
      <c r="N3445" s="1063"/>
      <c r="O3445" s="1063"/>
      <c r="P3445" s="1063"/>
      <c r="Q3445" s="1063"/>
      <c r="R3445" s="1063"/>
      <c r="S3445" s="1063"/>
      <c r="T3445" s="1063"/>
      <c r="U3445" s="1063"/>
      <c r="V3445" s="1063"/>
      <c r="W3445" s="1063"/>
      <c r="X3445" s="1063"/>
      <c r="Y3445" s="1063"/>
      <c r="Z3445" s="1063"/>
      <c r="AA3445" s="1063"/>
      <c r="AB3445" s="1063"/>
      <c r="AC3445" s="1063"/>
      <c r="AD3445" s="1063"/>
      <c r="AE3445" s="1063"/>
      <c r="AF3445" s="1063"/>
      <c r="AG3445" s="1063"/>
      <c r="AH3445" s="1063"/>
      <c r="AI3445" s="1063"/>
      <c r="AJ3445" s="1063"/>
      <c r="AK3445" s="1063"/>
      <c r="AL3445" s="1063"/>
      <c r="AM3445" s="1063"/>
      <c r="AN3445" s="1063"/>
      <c r="AO3445" s="1063"/>
      <c r="AP3445" s="1063"/>
      <c r="AQ3445" s="1063"/>
      <c r="AR3445" s="1063"/>
      <c r="AS3445" s="1063"/>
      <c r="AT3445" s="1063"/>
      <c r="AU3445" s="1063"/>
      <c r="AV3445" s="1063"/>
    </row>
    <row r="3446" spans="1:48" s="1108" customFormat="1" ht="27.75" customHeight="1">
      <c r="A3446" s="1076"/>
      <c r="B3446" s="1074">
        <f>+'[18]Bldg+Dev'!S4258</f>
        <v>0</v>
      </c>
      <c r="D3446" s="1063"/>
      <c r="F3446" s="1076"/>
      <c r="G3446" s="1063"/>
      <c r="H3446" s="1063"/>
      <c r="I3446" s="1063"/>
      <c r="J3446" s="1063"/>
      <c r="K3446" s="1063"/>
      <c r="L3446" s="1063"/>
      <c r="M3446" s="1063"/>
      <c r="N3446" s="1063"/>
      <c r="O3446" s="1063"/>
      <c r="P3446" s="1063"/>
      <c r="Q3446" s="1063"/>
      <c r="R3446" s="1063"/>
      <c r="S3446" s="1063"/>
      <c r="T3446" s="1063"/>
      <c r="U3446" s="1063"/>
      <c r="V3446" s="1063"/>
      <c r="W3446" s="1063"/>
      <c r="X3446" s="1063"/>
      <c r="Y3446" s="1063"/>
      <c r="Z3446" s="1063"/>
      <c r="AA3446" s="1063"/>
      <c r="AB3446" s="1063"/>
      <c r="AC3446" s="1063"/>
      <c r="AD3446" s="1063"/>
      <c r="AE3446" s="1063"/>
      <c r="AF3446" s="1063"/>
      <c r="AG3446" s="1063"/>
      <c r="AH3446" s="1063"/>
      <c r="AI3446" s="1063"/>
      <c r="AJ3446" s="1063"/>
      <c r="AK3446" s="1063"/>
      <c r="AL3446" s="1063"/>
      <c r="AM3446" s="1063"/>
      <c r="AN3446" s="1063"/>
      <c r="AO3446" s="1063"/>
      <c r="AP3446" s="1063"/>
      <c r="AQ3446" s="1063"/>
      <c r="AR3446" s="1063"/>
      <c r="AS3446" s="1063"/>
      <c r="AT3446" s="1063"/>
      <c r="AU3446" s="1063"/>
      <c r="AV3446" s="1063"/>
    </row>
    <row r="3447" spans="1:48" s="1108" customFormat="1" ht="27.75" customHeight="1">
      <c r="A3447" s="1076"/>
      <c r="B3447" s="1074">
        <f>+'[18]Bldg+Dev'!S4259</f>
        <v>0</v>
      </c>
      <c r="D3447" s="1063"/>
      <c r="F3447" s="1076"/>
      <c r="G3447" s="1063"/>
      <c r="H3447" s="1063"/>
      <c r="I3447" s="1063"/>
      <c r="J3447" s="1063"/>
      <c r="K3447" s="1063"/>
      <c r="L3447" s="1063"/>
      <c r="M3447" s="1063"/>
      <c r="N3447" s="1063"/>
      <c r="O3447" s="1063"/>
      <c r="P3447" s="1063"/>
      <c r="Q3447" s="1063"/>
      <c r="R3447" s="1063"/>
      <c r="S3447" s="1063"/>
      <c r="T3447" s="1063"/>
      <c r="U3447" s="1063"/>
      <c r="V3447" s="1063"/>
      <c r="W3447" s="1063"/>
      <c r="X3447" s="1063"/>
      <c r="Y3447" s="1063"/>
      <c r="Z3447" s="1063"/>
      <c r="AA3447" s="1063"/>
      <c r="AB3447" s="1063"/>
      <c r="AC3447" s="1063"/>
      <c r="AD3447" s="1063"/>
      <c r="AE3447" s="1063"/>
      <c r="AF3447" s="1063"/>
      <c r="AG3447" s="1063"/>
      <c r="AH3447" s="1063"/>
      <c r="AI3447" s="1063"/>
      <c r="AJ3447" s="1063"/>
      <c r="AK3447" s="1063"/>
      <c r="AL3447" s="1063"/>
      <c r="AM3447" s="1063"/>
      <c r="AN3447" s="1063"/>
      <c r="AO3447" s="1063"/>
      <c r="AP3447" s="1063"/>
      <c r="AQ3447" s="1063"/>
      <c r="AR3447" s="1063"/>
      <c r="AS3447" s="1063"/>
      <c r="AT3447" s="1063"/>
      <c r="AU3447" s="1063"/>
      <c r="AV3447" s="1063"/>
    </row>
    <row r="3448" spans="1:48" s="1108" customFormat="1" ht="27.75" customHeight="1">
      <c r="A3448" s="1076"/>
      <c r="B3448" s="1074">
        <f>+'[18]Bldg+Dev'!S4260</f>
        <v>0</v>
      </c>
      <c r="D3448" s="1063"/>
      <c r="F3448" s="1076"/>
      <c r="G3448" s="1063"/>
      <c r="H3448" s="1063"/>
      <c r="I3448" s="1063"/>
      <c r="J3448" s="1063"/>
      <c r="K3448" s="1063"/>
      <c r="L3448" s="1063"/>
      <c r="M3448" s="1063"/>
      <c r="N3448" s="1063"/>
      <c r="O3448" s="1063"/>
      <c r="P3448" s="1063"/>
      <c r="Q3448" s="1063"/>
      <c r="R3448" s="1063"/>
      <c r="S3448" s="1063"/>
      <c r="T3448" s="1063"/>
      <c r="U3448" s="1063"/>
      <c r="V3448" s="1063"/>
      <c r="W3448" s="1063"/>
      <c r="X3448" s="1063"/>
      <c r="Y3448" s="1063"/>
      <c r="Z3448" s="1063"/>
      <c r="AA3448" s="1063"/>
      <c r="AB3448" s="1063"/>
      <c r="AC3448" s="1063"/>
      <c r="AD3448" s="1063"/>
      <c r="AE3448" s="1063"/>
      <c r="AF3448" s="1063"/>
      <c r="AG3448" s="1063"/>
      <c r="AH3448" s="1063"/>
      <c r="AI3448" s="1063"/>
      <c r="AJ3448" s="1063"/>
      <c r="AK3448" s="1063"/>
      <c r="AL3448" s="1063"/>
      <c r="AM3448" s="1063"/>
      <c r="AN3448" s="1063"/>
      <c r="AO3448" s="1063"/>
      <c r="AP3448" s="1063"/>
      <c r="AQ3448" s="1063"/>
      <c r="AR3448" s="1063"/>
      <c r="AS3448" s="1063"/>
      <c r="AT3448" s="1063"/>
      <c r="AU3448" s="1063"/>
      <c r="AV3448" s="1063"/>
    </row>
    <row r="3449" spans="1:48" s="1108" customFormat="1" ht="27.75" customHeight="1">
      <c r="A3449" s="1076"/>
      <c r="B3449" s="1074">
        <f>+'[18]Bldg+Dev'!S4261</f>
        <v>0</v>
      </c>
      <c r="D3449" s="1063"/>
      <c r="F3449" s="1076"/>
      <c r="G3449" s="1063"/>
      <c r="H3449" s="1063"/>
      <c r="I3449" s="1063"/>
      <c r="J3449" s="1063"/>
      <c r="K3449" s="1063"/>
      <c r="L3449" s="1063"/>
      <c r="M3449" s="1063"/>
      <c r="N3449" s="1063"/>
      <c r="O3449" s="1063"/>
      <c r="P3449" s="1063"/>
      <c r="Q3449" s="1063"/>
      <c r="R3449" s="1063"/>
      <c r="S3449" s="1063"/>
      <c r="T3449" s="1063"/>
      <c r="U3449" s="1063"/>
      <c r="V3449" s="1063"/>
      <c r="W3449" s="1063"/>
      <c r="X3449" s="1063"/>
      <c r="Y3449" s="1063"/>
      <c r="Z3449" s="1063"/>
      <c r="AA3449" s="1063"/>
      <c r="AB3449" s="1063"/>
      <c r="AC3449" s="1063"/>
      <c r="AD3449" s="1063"/>
      <c r="AE3449" s="1063"/>
      <c r="AF3449" s="1063"/>
      <c r="AG3449" s="1063"/>
      <c r="AH3449" s="1063"/>
      <c r="AI3449" s="1063"/>
      <c r="AJ3449" s="1063"/>
      <c r="AK3449" s="1063"/>
      <c r="AL3449" s="1063"/>
      <c r="AM3449" s="1063"/>
      <c r="AN3449" s="1063"/>
      <c r="AO3449" s="1063"/>
      <c r="AP3449" s="1063"/>
      <c r="AQ3449" s="1063"/>
      <c r="AR3449" s="1063"/>
      <c r="AS3449" s="1063"/>
      <c r="AT3449" s="1063"/>
      <c r="AU3449" s="1063"/>
      <c r="AV3449" s="1063"/>
    </row>
    <row r="3450" spans="1:48" s="1108" customFormat="1" ht="27.75" customHeight="1">
      <c r="A3450" s="1076"/>
      <c r="B3450" s="1074">
        <f>+'[18]Bldg+Dev'!S4262</f>
        <v>0</v>
      </c>
      <c r="D3450" s="1063"/>
      <c r="F3450" s="1076"/>
      <c r="G3450" s="1063"/>
      <c r="H3450" s="1063"/>
      <c r="I3450" s="1063"/>
      <c r="J3450" s="1063"/>
      <c r="K3450" s="1063"/>
      <c r="L3450" s="1063"/>
      <c r="M3450" s="1063"/>
      <c r="N3450" s="1063"/>
      <c r="O3450" s="1063"/>
      <c r="P3450" s="1063"/>
      <c r="Q3450" s="1063"/>
      <c r="R3450" s="1063"/>
      <c r="S3450" s="1063"/>
      <c r="T3450" s="1063"/>
      <c r="U3450" s="1063"/>
      <c r="V3450" s="1063"/>
      <c r="W3450" s="1063"/>
      <c r="X3450" s="1063"/>
      <c r="Y3450" s="1063"/>
      <c r="Z3450" s="1063"/>
      <c r="AA3450" s="1063"/>
      <c r="AB3450" s="1063"/>
      <c r="AC3450" s="1063"/>
      <c r="AD3450" s="1063"/>
      <c r="AE3450" s="1063"/>
      <c r="AF3450" s="1063"/>
      <c r="AG3450" s="1063"/>
      <c r="AH3450" s="1063"/>
      <c r="AI3450" s="1063"/>
      <c r="AJ3450" s="1063"/>
      <c r="AK3450" s="1063"/>
      <c r="AL3450" s="1063"/>
      <c r="AM3450" s="1063"/>
      <c r="AN3450" s="1063"/>
      <c r="AO3450" s="1063"/>
      <c r="AP3450" s="1063"/>
      <c r="AQ3450" s="1063"/>
      <c r="AR3450" s="1063"/>
      <c r="AS3450" s="1063"/>
      <c r="AT3450" s="1063"/>
      <c r="AU3450" s="1063"/>
      <c r="AV3450" s="1063"/>
    </row>
    <row r="3451" spans="1:48" s="1108" customFormat="1" ht="27.75" customHeight="1">
      <c r="A3451" s="1076"/>
      <c r="B3451" s="1074">
        <f>+'[18]Bldg+Dev'!S4263</f>
        <v>0</v>
      </c>
      <c r="D3451" s="1063"/>
      <c r="F3451" s="1076"/>
      <c r="G3451" s="1063"/>
      <c r="H3451" s="1063"/>
      <c r="I3451" s="1063"/>
      <c r="J3451" s="1063"/>
      <c r="K3451" s="1063"/>
      <c r="L3451" s="1063"/>
      <c r="M3451" s="1063"/>
      <c r="N3451" s="1063"/>
      <c r="O3451" s="1063"/>
      <c r="P3451" s="1063"/>
      <c r="Q3451" s="1063"/>
      <c r="R3451" s="1063"/>
      <c r="S3451" s="1063"/>
      <c r="T3451" s="1063"/>
      <c r="U3451" s="1063"/>
      <c r="V3451" s="1063"/>
      <c r="W3451" s="1063"/>
      <c r="X3451" s="1063"/>
      <c r="Y3451" s="1063"/>
      <c r="Z3451" s="1063"/>
      <c r="AA3451" s="1063"/>
      <c r="AB3451" s="1063"/>
      <c r="AC3451" s="1063"/>
      <c r="AD3451" s="1063"/>
      <c r="AE3451" s="1063"/>
      <c r="AF3451" s="1063"/>
      <c r="AG3451" s="1063"/>
      <c r="AH3451" s="1063"/>
      <c r="AI3451" s="1063"/>
      <c r="AJ3451" s="1063"/>
      <c r="AK3451" s="1063"/>
      <c r="AL3451" s="1063"/>
      <c r="AM3451" s="1063"/>
      <c r="AN3451" s="1063"/>
      <c r="AO3451" s="1063"/>
      <c r="AP3451" s="1063"/>
      <c r="AQ3451" s="1063"/>
      <c r="AR3451" s="1063"/>
      <c r="AS3451" s="1063"/>
      <c r="AT3451" s="1063"/>
      <c r="AU3451" s="1063"/>
      <c r="AV3451" s="1063"/>
    </row>
    <row r="3452" spans="1:48" s="1108" customFormat="1" ht="27.75" customHeight="1">
      <c r="A3452" s="1076"/>
      <c r="B3452" s="1074">
        <f>+'[18]Bldg+Dev'!S4264</f>
        <v>0</v>
      </c>
      <c r="D3452" s="1063"/>
      <c r="F3452" s="1076"/>
      <c r="G3452" s="1063"/>
      <c r="H3452" s="1063"/>
      <c r="I3452" s="1063"/>
      <c r="J3452" s="1063"/>
      <c r="K3452" s="1063"/>
      <c r="L3452" s="1063"/>
      <c r="M3452" s="1063"/>
      <c r="N3452" s="1063"/>
      <c r="O3452" s="1063"/>
      <c r="P3452" s="1063"/>
      <c r="Q3452" s="1063"/>
      <c r="R3452" s="1063"/>
      <c r="S3452" s="1063"/>
      <c r="T3452" s="1063"/>
      <c r="U3452" s="1063"/>
      <c r="V3452" s="1063"/>
      <c r="W3452" s="1063"/>
      <c r="X3452" s="1063"/>
      <c r="Y3452" s="1063"/>
      <c r="Z3452" s="1063"/>
      <c r="AA3452" s="1063"/>
      <c r="AB3452" s="1063"/>
      <c r="AC3452" s="1063"/>
      <c r="AD3452" s="1063"/>
      <c r="AE3452" s="1063"/>
      <c r="AF3452" s="1063"/>
      <c r="AG3452" s="1063"/>
      <c r="AH3452" s="1063"/>
      <c r="AI3452" s="1063"/>
      <c r="AJ3452" s="1063"/>
      <c r="AK3452" s="1063"/>
      <c r="AL3452" s="1063"/>
      <c r="AM3452" s="1063"/>
      <c r="AN3452" s="1063"/>
      <c r="AO3452" s="1063"/>
      <c r="AP3452" s="1063"/>
      <c r="AQ3452" s="1063"/>
      <c r="AR3452" s="1063"/>
      <c r="AS3452" s="1063"/>
      <c r="AT3452" s="1063"/>
      <c r="AU3452" s="1063"/>
      <c r="AV3452" s="1063"/>
    </row>
    <row r="3453" spans="1:48" s="1108" customFormat="1" ht="27.75" customHeight="1">
      <c r="A3453" s="1076"/>
      <c r="B3453" s="1074">
        <f>+'[18]Bldg+Dev'!S4265</f>
        <v>0</v>
      </c>
      <c r="D3453" s="1063"/>
      <c r="F3453" s="1076"/>
      <c r="G3453" s="1063"/>
      <c r="H3453" s="1063"/>
      <c r="I3453" s="1063"/>
      <c r="J3453" s="1063"/>
      <c r="K3453" s="1063"/>
      <c r="L3453" s="1063"/>
      <c r="M3453" s="1063"/>
      <c r="N3453" s="1063"/>
      <c r="O3453" s="1063"/>
      <c r="P3453" s="1063"/>
      <c r="Q3453" s="1063"/>
      <c r="R3453" s="1063"/>
      <c r="S3453" s="1063"/>
      <c r="T3453" s="1063"/>
      <c r="U3453" s="1063"/>
      <c r="V3453" s="1063"/>
      <c r="W3453" s="1063"/>
      <c r="X3453" s="1063"/>
      <c r="Y3453" s="1063"/>
      <c r="Z3453" s="1063"/>
      <c r="AA3453" s="1063"/>
      <c r="AB3453" s="1063"/>
      <c r="AC3453" s="1063"/>
      <c r="AD3453" s="1063"/>
      <c r="AE3453" s="1063"/>
      <c r="AF3453" s="1063"/>
      <c r="AG3453" s="1063"/>
      <c r="AH3453" s="1063"/>
      <c r="AI3453" s="1063"/>
      <c r="AJ3453" s="1063"/>
      <c r="AK3453" s="1063"/>
      <c r="AL3453" s="1063"/>
      <c r="AM3453" s="1063"/>
      <c r="AN3453" s="1063"/>
      <c r="AO3453" s="1063"/>
      <c r="AP3453" s="1063"/>
      <c r="AQ3453" s="1063"/>
      <c r="AR3453" s="1063"/>
      <c r="AS3453" s="1063"/>
      <c r="AT3453" s="1063"/>
      <c r="AU3453" s="1063"/>
      <c r="AV3453" s="1063"/>
    </row>
    <row r="3454" spans="1:48" s="1108" customFormat="1" ht="27.75" customHeight="1">
      <c r="A3454" s="1076"/>
      <c r="B3454" s="1074">
        <f>+'[18]Bldg+Dev'!S4266</f>
        <v>0</v>
      </c>
      <c r="D3454" s="1063"/>
      <c r="F3454" s="1076"/>
      <c r="G3454" s="1063"/>
      <c r="H3454" s="1063"/>
      <c r="I3454" s="1063"/>
      <c r="J3454" s="1063"/>
      <c r="K3454" s="1063"/>
      <c r="L3454" s="1063"/>
      <c r="M3454" s="1063"/>
      <c r="N3454" s="1063"/>
      <c r="O3454" s="1063"/>
      <c r="P3454" s="1063"/>
      <c r="Q3454" s="1063"/>
      <c r="R3454" s="1063"/>
      <c r="S3454" s="1063"/>
      <c r="T3454" s="1063"/>
      <c r="U3454" s="1063"/>
      <c r="V3454" s="1063"/>
      <c r="W3454" s="1063"/>
      <c r="X3454" s="1063"/>
      <c r="Y3454" s="1063"/>
      <c r="Z3454" s="1063"/>
      <c r="AA3454" s="1063"/>
      <c r="AB3454" s="1063"/>
      <c r="AC3454" s="1063"/>
      <c r="AD3454" s="1063"/>
      <c r="AE3454" s="1063"/>
      <c r="AF3454" s="1063"/>
      <c r="AG3454" s="1063"/>
      <c r="AH3454" s="1063"/>
      <c r="AI3454" s="1063"/>
      <c r="AJ3454" s="1063"/>
      <c r="AK3454" s="1063"/>
      <c r="AL3454" s="1063"/>
      <c r="AM3454" s="1063"/>
      <c r="AN3454" s="1063"/>
      <c r="AO3454" s="1063"/>
      <c r="AP3454" s="1063"/>
      <c r="AQ3454" s="1063"/>
      <c r="AR3454" s="1063"/>
      <c r="AS3454" s="1063"/>
      <c r="AT3454" s="1063"/>
      <c r="AU3454" s="1063"/>
      <c r="AV3454" s="1063"/>
    </row>
    <row r="3455" spans="1:48" s="1108" customFormat="1" ht="27.75" customHeight="1">
      <c r="A3455" s="1076"/>
      <c r="B3455" s="1074">
        <f>+'[18]Bldg+Dev'!S4267</f>
        <v>0</v>
      </c>
      <c r="D3455" s="1063"/>
      <c r="F3455" s="1076"/>
      <c r="G3455" s="1063"/>
      <c r="H3455" s="1063"/>
      <c r="I3455" s="1063"/>
      <c r="J3455" s="1063"/>
      <c r="K3455" s="1063"/>
      <c r="L3455" s="1063"/>
      <c r="M3455" s="1063"/>
      <c r="N3455" s="1063"/>
      <c r="O3455" s="1063"/>
      <c r="P3455" s="1063"/>
      <c r="Q3455" s="1063"/>
      <c r="R3455" s="1063"/>
      <c r="S3455" s="1063"/>
      <c r="T3455" s="1063"/>
      <c r="U3455" s="1063"/>
      <c r="V3455" s="1063"/>
      <c r="W3455" s="1063"/>
      <c r="X3455" s="1063"/>
      <c r="Y3455" s="1063"/>
      <c r="Z3455" s="1063"/>
      <c r="AA3455" s="1063"/>
      <c r="AB3455" s="1063"/>
      <c r="AC3455" s="1063"/>
      <c r="AD3455" s="1063"/>
      <c r="AE3455" s="1063"/>
      <c r="AF3455" s="1063"/>
      <c r="AG3455" s="1063"/>
      <c r="AH3455" s="1063"/>
      <c r="AI3455" s="1063"/>
      <c r="AJ3455" s="1063"/>
      <c r="AK3455" s="1063"/>
      <c r="AL3455" s="1063"/>
      <c r="AM3455" s="1063"/>
      <c r="AN3455" s="1063"/>
      <c r="AO3455" s="1063"/>
      <c r="AP3455" s="1063"/>
      <c r="AQ3455" s="1063"/>
      <c r="AR3455" s="1063"/>
      <c r="AS3455" s="1063"/>
      <c r="AT3455" s="1063"/>
      <c r="AU3455" s="1063"/>
      <c r="AV3455" s="1063"/>
    </row>
    <row r="3456" spans="1:48" s="1108" customFormat="1" ht="27.75" customHeight="1">
      <c r="A3456" s="1076"/>
      <c r="B3456" s="1074">
        <f>+'[18]Bldg+Dev'!S4268</f>
        <v>0</v>
      </c>
      <c r="D3456" s="1063"/>
      <c r="F3456" s="1076"/>
      <c r="G3456" s="1063"/>
      <c r="H3456" s="1063"/>
      <c r="I3456" s="1063"/>
      <c r="J3456" s="1063"/>
      <c r="K3456" s="1063"/>
      <c r="L3456" s="1063"/>
      <c r="M3456" s="1063"/>
      <c r="N3456" s="1063"/>
      <c r="O3456" s="1063"/>
      <c r="P3456" s="1063"/>
      <c r="Q3456" s="1063"/>
      <c r="R3456" s="1063"/>
      <c r="S3456" s="1063"/>
      <c r="T3456" s="1063"/>
      <c r="U3456" s="1063"/>
      <c r="V3456" s="1063"/>
      <c r="W3456" s="1063"/>
      <c r="X3456" s="1063"/>
      <c r="Y3456" s="1063"/>
      <c r="Z3456" s="1063"/>
      <c r="AA3456" s="1063"/>
      <c r="AB3456" s="1063"/>
      <c r="AC3456" s="1063"/>
      <c r="AD3456" s="1063"/>
      <c r="AE3456" s="1063"/>
      <c r="AF3456" s="1063"/>
      <c r="AG3456" s="1063"/>
      <c r="AH3456" s="1063"/>
      <c r="AI3456" s="1063"/>
      <c r="AJ3456" s="1063"/>
      <c r="AK3456" s="1063"/>
      <c r="AL3456" s="1063"/>
      <c r="AM3456" s="1063"/>
      <c r="AN3456" s="1063"/>
      <c r="AO3456" s="1063"/>
      <c r="AP3456" s="1063"/>
      <c r="AQ3456" s="1063"/>
      <c r="AR3456" s="1063"/>
      <c r="AS3456" s="1063"/>
      <c r="AT3456" s="1063"/>
      <c r="AU3456" s="1063"/>
      <c r="AV3456" s="1063"/>
    </row>
    <row r="3457" spans="1:48" s="1108" customFormat="1" ht="27.75" customHeight="1">
      <c r="A3457" s="1076"/>
      <c r="B3457" s="1074">
        <f>+'[18]Bldg+Dev'!S4269</f>
        <v>0</v>
      </c>
      <c r="D3457" s="1063"/>
      <c r="F3457" s="1076"/>
      <c r="G3457" s="1063"/>
      <c r="H3457" s="1063"/>
      <c r="I3457" s="1063"/>
      <c r="J3457" s="1063"/>
      <c r="K3457" s="1063"/>
      <c r="L3457" s="1063"/>
      <c r="M3457" s="1063"/>
      <c r="N3457" s="1063"/>
      <c r="O3457" s="1063"/>
      <c r="P3457" s="1063"/>
      <c r="Q3457" s="1063"/>
      <c r="R3457" s="1063"/>
      <c r="S3457" s="1063"/>
      <c r="T3457" s="1063"/>
      <c r="U3457" s="1063"/>
      <c r="V3457" s="1063"/>
      <c r="W3457" s="1063"/>
      <c r="X3457" s="1063"/>
      <c r="Y3457" s="1063"/>
      <c r="Z3457" s="1063"/>
      <c r="AA3457" s="1063"/>
      <c r="AB3457" s="1063"/>
      <c r="AC3457" s="1063"/>
      <c r="AD3457" s="1063"/>
      <c r="AE3457" s="1063"/>
      <c r="AF3457" s="1063"/>
      <c r="AG3457" s="1063"/>
      <c r="AH3457" s="1063"/>
      <c r="AI3457" s="1063"/>
      <c r="AJ3457" s="1063"/>
      <c r="AK3457" s="1063"/>
      <c r="AL3457" s="1063"/>
      <c r="AM3457" s="1063"/>
      <c r="AN3457" s="1063"/>
      <c r="AO3457" s="1063"/>
      <c r="AP3457" s="1063"/>
      <c r="AQ3457" s="1063"/>
      <c r="AR3457" s="1063"/>
      <c r="AS3457" s="1063"/>
      <c r="AT3457" s="1063"/>
      <c r="AU3457" s="1063"/>
      <c r="AV3457" s="1063"/>
    </row>
    <row r="3458" spans="1:48" s="1108" customFormat="1" ht="27.75" customHeight="1">
      <c r="A3458" s="1076"/>
      <c r="B3458" s="1074">
        <f>+'[18]Bldg+Dev'!S4270</f>
        <v>0</v>
      </c>
      <c r="D3458" s="1063"/>
      <c r="F3458" s="1076"/>
      <c r="G3458" s="1063"/>
      <c r="H3458" s="1063"/>
      <c r="I3458" s="1063"/>
      <c r="J3458" s="1063"/>
      <c r="K3458" s="1063"/>
      <c r="L3458" s="1063"/>
      <c r="M3458" s="1063"/>
      <c r="N3458" s="1063"/>
      <c r="O3458" s="1063"/>
      <c r="P3458" s="1063"/>
      <c r="Q3458" s="1063"/>
      <c r="R3458" s="1063"/>
      <c r="S3458" s="1063"/>
      <c r="T3458" s="1063"/>
      <c r="U3458" s="1063"/>
      <c r="V3458" s="1063"/>
      <c r="W3458" s="1063"/>
      <c r="X3458" s="1063"/>
      <c r="Y3458" s="1063"/>
      <c r="Z3458" s="1063"/>
      <c r="AA3458" s="1063"/>
      <c r="AB3458" s="1063"/>
      <c r="AC3458" s="1063"/>
      <c r="AD3458" s="1063"/>
      <c r="AE3458" s="1063"/>
      <c r="AF3458" s="1063"/>
      <c r="AG3458" s="1063"/>
      <c r="AH3458" s="1063"/>
      <c r="AI3458" s="1063"/>
      <c r="AJ3458" s="1063"/>
      <c r="AK3458" s="1063"/>
      <c r="AL3458" s="1063"/>
      <c r="AM3458" s="1063"/>
      <c r="AN3458" s="1063"/>
      <c r="AO3458" s="1063"/>
      <c r="AP3458" s="1063"/>
      <c r="AQ3458" s="1063"/>
      <c r="AR3458" s="1063"/>
      <c r="AS3458" s="1063"/>
      <c r="AT3458" s="1063"/>
      <c r="AU3458" s="1063"/>
      <c r="AV3458" s="1063"/>
    </row>
    <row r="3459" spans="1:48" s="1108" customFormat="1" ht="27.75" customHeight="1">
      <c r="A3459" s="1076"/>
      <c r="B3459" s="1074">
        <f>+'[18]Bldg+Dev'!S4271</f>
        <v>0</v>
      </c>
      <c r="D3459" s="1063"/>
      <c r="F3459" s="1076"/>
      <c r="G3459" s="1063"/>
      <c r="H3459" s="1063"/>
      <c r="I3459" s="1063"/>
      <c r="J3459" s="1063"/>
      <c r="K3459" s="1063"/>
      <c r="L3459" s="1063"/>
      <c r="M3459" s="1063"/>
      <c r="N3459" s="1063"/>
      <c r="O3459" s="1063"/>
      <c r="P3459" s="1063"/>
      <c r="Q3459" s="1063"/>
      <c r="R3459" s="1063"/>
      <c r="S3459" s="1063"/>
      <c r="T3459" s="1063"/>
      <c r="U3459" s="1063"/>
      <c r="V3459" s="1063"/>
      <c r="W3459" s="1063"/>
      <c r="X3459" s="1063"/>
      <c r="Y3459" s="1063"/>
      <c r="Z3459" s="1063"/>
      <c r="AA3459" s="1063"/>
      <c r="AB3459" s="1063"/>
      <c r="AC3459" s="1063"/>
      <c r="AD3459" s="1063"/>
      <c r="AE3459" s="1063"/>
      <c r="AF3459" s="1063"/>
      <c r="AG3459" s="1063"/>
      <c r="AH3459" s="1063"/>
      <c r="AI3459" s="1063"/>
      <c r="AJ3459" s="1063"/>
      <c r="AK3459" s="1063"/>
      <c r="AL3459" s="1063"/>
      <c r="AM3459" s="1063"/>
      <c r="AN3459" s="1063"/>
      <c r="AO3459" s="1063"/>
      <c r="AP3459" s="1063"/>
      <c r="AQ3459" s="1063"/>
      <c r="AR3459" s="1063"/>
      <c r="AS3459" s="1063"/>
      <c r="AT3459" s="1063"/>
      <c r="AU3459" s="1063"/>
      <c r="AV3459" s="1063"/>
    </row>
    <row r="3460" spans="1:48" s="1108" customFormat="1" ht="27.75" customHeight="1">
      <c r="A3460" s="1076"/>
      <c r="B3460" s="1074">
        <f>+'[18]Bldg+Dev'!S4272</f>
        <v>0</v>
      </c>
      <c r="D3460" s="1063"/>
      <c r="F3460" s="1076"/>
      <c r="G3460" s="1063"/>
      <c r="H3460" s="1063"/>
      <c r="I3460" s="1063"/>
      <c r="J3460" s="1063"/>
      <c r="K3460" s="1063"/>
      <c r="L3460" s="1063"/>
      <c r="M3460" s="1063"/>
      <c r="N3460" s="1063"/>
      <c r="O3460" s="1063"/>
      <c r="P3460" s="1063"/>
      <c r="Q3460" s="1063"/>
      <c r="R3460" s="1063"/>
      <c r="S3460" s="1063"/>
      <c r="T3460" s="1063"/>
      <c r="U3460" s="1063"/>
      <c r="V3460" s="1063"/>
      <c r="W3460" s="1063"/>
      <c r="X3460" s="1063"/>
      <c r="Y3460" s="1063"/>
      <c r="Z3460" s="1063"/>
      <c r="AA3460" s="1063"/>
      <c r="AB3460" s="1063"/>
      <c r="AC3460" s="1063"/>
      <c r="AD3460" s="1063"/>
      <c r="AE3460" s="1063"/>
      <c r="AF3460" s="1063"/>
      <c r="AG3460" s="1063"/>
      <c r="AH3460" s="1063"/>
      <c r="AI3460" s="1063"/>
      <c r="AJ3460" s="1063"/>
      <c r="AK3460" s="1063"/>
      <c r="AL3460" s="1063"/>
      <c r="AM3460" s="1063"/>
      <c r="AN3460" s="1063"/>
      <c r="AO3460" s="1063"/>
      <c r="AP3460" s="1063"/>
      <c r="AQ3460" s="1063"/>
      <c r="AR3460" s="1063"/>
      <c r="AS3460" s="1063"/>
      <c r="AT3460" s="1063"/>
      <c r="AU3460" s="1063"/>
      <c r="AV3460" s="1063"/>
    </row>
    <row r="3461" spans="1:48" s="1108" customFormat="1" ht="27.75" customHeight="1">
      <c r="A3461" s="1076"/>
      <c r="B3461" s="1074">
        <f>+'[18]Bldg+Dev'!S4273</f>
        <v>0</v>
      </c>
      <c r="D3461" s="1063"/>
      <c r="F3461" s="1076"/>
      <c r="G3461" s="1063"/>
      <c r="H3461" s="1063"/>
      <c r="I3461" s="1063"/>
      <c r="J3461" s="1063"/>
      <c r="K3461" s="1063"/>
      <c r="L3461" s="1063"/>
      <c r="M3461" s="1063"/>
      <c r="N3461" s="1063"/>
      <c r="O3461" s="1063"/>
      <c r="P3461" s="1063"/>
      <c r="Q3461" s="1063"/>
      <c r="R3461" s="1063"/>
      <c r="S3461" s="1063"/>
      <c r="T3461" s="1063"/>
      <c r="U3461" s="1063"/>
      <c r="V3461" s="1063"/>
      <c r="W3461" s="1063"/>
      <c r="X3461" s="1063"/>
      <c r="Y3461" s="1063"/>
      <c r="Z3461" s="1063"/>
      <c r="AA3461" s="1063"/>
      <c r="AB3461" s="1063"/>
      <c r="AC3461" s="1063"/>
      <c r="AD3461" s="1063"/>
      <c r="AE3461" s="1063"/>
      <c r="AF3461" s="1063"/>
      <c r="AG3461" s="1063"/>
      <c r="AH3461" s="1063"/>
      <c r="AI3461" s="1063"/>
      <c r="AJ3461" s="1063"/>
      <c r="AK3461" s="1063"/>
      <c r="AL3461" s="1063"/>
      <c r="AM3461" s="1063"/>
      <c r="AN3461" s="1063"/>
      <c r="AO3461" s="1063"/>
      <c r="AP3461" s="1063"/>
      <c r="AQ3461" s="1063"/>
      <c r="AR3461" s="1063"/>
      <c r="AS3461" s="1063"/>
      <c r="AT3461" s="1063"/>
      <c r="AU3461" s="1063"/>
      <c r="AV3461" s="1063"/>
    </row>
    <row r="3462" spans="1:48" s="1108" customFormat="1" ht="27.75" customHeight="1">
      <c r="A3462" s="1076"/>
      <c r="B3462" s="1074">
        <f>+'[18]Bldg+Dev'!S4274</f>
        <v>0</v>
      </c>
      <c r="D3462" s="1063"/>
      <c r="F3462" s="1076"/>
      <c r="G3462" s="1063"/>
      <c r="H3462" s="1063"/>
      <c r="I3462" s="1063"/>
      <c r="J3462" s="1063"/>
      <c r="K3462" s="1063"/>
      <c r="L3462" s="1063"/>
      <c r="M3462" s="1063"/>
      <c r="N3462" s="1063"/>
      <c r="O3462" s="1063"/>
      <c r="P3462" s="1063"/>
      <c r="Q3462" s="1063"/>
      <c r="R3462" s="1063"/>
      <c r="S3462" s="1063"/>
      <c r="T3462" s="1063"/>
      <c r="U3462" s="1063"/>
      <c r="V3462" s="1063"/>
      <c r="W3462" s="1063"/>
      <c r="X3462" s="1063"/>
      <c r="Y3462" s="1063"/>
      <c r="Z3462" s="1063"/>
      <c r="AA3462" s="1063"/>
      <c r="AB3462" s="1063"/>
      <c r="AC3462" s="1063"/>
      <c r="AD3462" s="1063"/>
      <c r="AE3462" s="1063"/>
      <c r="AF3462" s="1063"/>
      <c r="AG3462" s="1063"/>
      <c r="AH3462" s="1063"/>
      <c r="AI3462" s="1063"/>
      <c r="AJ3462" s="1063"/>
      <c r="AK3462" s="1063"/>
      <c r="AL3462" s="1063"/>
      <c r="AM3462" s="1063"/>
      <c r="AN3462" s="1063"/>
      <c r="AO3462" s="1063"/>
      <c r="AP3462" s="1063"/>
      <c r="AQ3462" s="1063"/>
      <c r="AR3462" s="1063"/>
      <c r="AS3462" s="1063"/>
      <c r="AT3462" s="1063"/>
      <c r="AU3462" s="1063"/>
      <c r="AV3462" s="1063"/>
    </row>
    <row r="3463" spans="1:48" s="1108" customFormat="1" ht="27.75" customHeight="1">
      <c r="A3463" s="1076"/>
      <c r="B3463" s="1074">
        <f>+'[18]Bldg+Dev'!S4275</f>
        <v>0</v>
      </c>
      <c r="D3463" s="1063"/>
      <c r="F3463" s="1076"/>
      <c r="G3463" s="1063"/>
      <c r="H3463" s="1063"/>
      <c r="I3463" s="1063"/>
      <c r="J3463" s="1063"/>
      <c r="K3463" s="1063"/>
      <c r="L3463" s="1063"/>
      <c r="M3463" s="1063"/>
      <c r="N3463" s="1063"/>
      <c r="O3463" s="1063"/>
      <c r="P3463" s="1063"/>
      <c r="Q3463" s="1063"/>
      <c r="R3463" s="1063"/>
      <c r="S3463" s="1063"/>
      <c r="T3463" s="1063"/>
      <c r="U3463" s="1063"/>
      <c r="V3463" s="1063"/>
      <c r="W3463" s="1063"/>
      <c r="X3463" s="1063"/>
      <c r="Y3463" s="1063"/>
      <c r="Z3463" s="1063"/>
      <c r="AA3463" s="1063"/>
      <c r="AB3463" s="1063"/>
      <c r="AC3463" s="1063"/>
      <c r="AD3463" s="1063"/>
      <c r="AE3463" s="1063"/>
      <c r="AF3463" s="1063"/>
      <c r="AG3463" s="1063"/>
      <c r="AH3463" s="1063"/>
      <c r="AI3463" s="1063"/>
      <c r="AJ3463" s="1063"/>
      <c r="AK3463" s="1063"/>
      <c r="AL3463" s="1063"/>
      <c r="AM3463" s="1063"/>
      <c r="AN3463" s="1063"/>
      <c r="AO3463" s="1063"/>
      <c r="AP3463" s="1063"/>
      <c r="AQ3463" s="1063"/>
      <c r="AR3463" s="1063"/>
      <c r="AS3463" s="1063"/>
      <c r="AT3463" s="1063"/>
      <c r="AU3463" s="1063"/>
      <c r="AV3463" s="1063"/>
    </row>
    <row r="3464" spans="1:48" s="1108" customFormat="1" ht="27.75" customHeight="1">
      <c r="A3464" s="1076"/>
      <c r="B3464" s="1074">
        <f>+'[18]Bldg+Dev'!S4276</f>
        <v>0</v>
      </c>
      <c r="D3464" s="1063"/>
      <c r="F3464" s="1076"/>
      <c r="G3464" s="1063"/>
      <c r="H3464" s="1063"/>
      <c r="I3464" s="1063"/>
      <c r="J3464" s="1063"/>
      <c r="K3464" s="1063"/>
      <c r="L3464" s="1063"/>
      <c r="M3464" s="1063"/>
      <c r="N3464" s="1063"/>
      <c r="O3464" s="1063"/>
      <c r="P3464" s="1063"/>
      <c r="Q3464" s="1063"/>
      <c r="R3464" s="1063"/>
      <c r="S3464" s="1063"/>
      <c r="T3464" s="1063"/>
      <c r="U3464" s="1063"/>
      <c r="V3464" s="1063"/>
      <c r="W3464" s="1063"/>
      <c r="X3464" s="1063"/>
      <c r="Y3464" s="1063"/>
      <c r="Z3464" s="1063"/>
      <c r="AA3464" s="1063"/>
      <c r="AB3464" s="1063"/>
      <c r="AC3464" s="1063"/>
      <c r="AD3464" s="1063"/>
      <c r="AE3464" s="1063"/>
      <c r="AF3464" s="1063"/>
      <c r="AG3464" s="1063"/>
      <c r="AH3464" s="1063"/>
      <c r="AI3464" s="1063"/>
      <c r="AJ3464" s="1063"/>
      <c r="AK3464" s="1063"/>
      <c r="AL3464" s="1063"/>
      <c r="AM3464" s="1063"/>
      <c r="AN3464" s="1063"/>
      <c r="AO3464" s="1063"/>
      <c r="AP3464" s="1063"/>
      <c r="AQ3464" s="1063"/>
      <c r="AR3464" s="1063"/>
      <c r="AS3464" s="1063"/>
      <c r="AT3464" s="1063"/>
      <c r="AU3464" s="1063"/>
      <c r="AV3464" s="1063"/>
    </row>
    <row r="3465" spans="1:48" s="1108" customFormat="1" ht="27.75" customHeight="1">
      <c r="A3465" s="1076"/>
      <c r="B3465" s="1074">
        <f>+'[18]Bldg+Dev'!S4277</f>
        <v>0</v>
      </c>
      <c r="D3465" s="1063"/>
      <c r="F3465" s="1076"/>
      <c r="G3465" s="1063"/>
      <c r="H3465" s="1063"/>
      <c r="I3465" s="1063"/>
      <c r="J3465" s="1063"/>
      <c r="K3465" s="1063"/>
      <c r="L3465" s="1063"/>
      <c r="M3465" s="1063"/>
      <c r="N3465" s="1063"/>
      <c r="O3465" s="1063"/>
      <c r="P3465" s="1063"/>
      <c r="Q3465" s="1063"/>
      <c r="R3465" s="1063"/>
      <c r="S3465" s="1063"/>
      <c r="T3465" s="1063"/>
      <c r="U3465" s="1063"/>
      <c r="V3465" s="1063"/>
      <c r="W3465" s="1063"/>
      <c r="X3465" s="1063"/>
      <c r="Y3465" s="1063"/>
      <c r="Z3465" s="1063"/>
      <c r="AA3465" s="1063"/>
      <c r="AB3465" s="1063"/>
      <c r="AC3465" s="1063"/>
      <c r="AD3465" s="1063"/>
      <c r="AE3465" s="1063"/>
      <c r="AF3465" s="1063"/>
      <c r="AG3465" s="1063"/>
      <c r="AH3465" s="1063"/>
      <c r="AI3465" s="1063"/>
      <c r="AJ3465" s="1063"/>
      <c r="AK3465" s="1063"/>
      <c r="AL3465" s="1063"/>
      <c r="AM3465" s="1063"/>
      <c r="AN3465" s="1063"/>
      <c r="AO3465" s="1063"/>
      <c r="AP3465" s="1063"/>
      <c r="AQ3465" s="1063"/>
      <c r="AR3465" s="1063"/>
      <c r="AS3465" s="1063"/>
      <c r="AT3465" s="1063"/>
      <c r="AU3465" s="1063"/>
      <c r="AV3465" s="1063"/>
    </row>
    <row r="3466" spans="1:48" s="1108" customFormat="1" ht="27.75" customHeight="1">
      <c r="A3466" s="1076"/>
      <c r="B3466" s="1074">
        <f>+'[18]Bldg+Dev'!S4278</f>
        <v>0</v>
      </c>
      <c r="D3466" s="1063"/>
      <c r="F3466" s="1076"/>
      <c r="G3466" s="1063"/>
      <c r="H3466" s="1063"/>
      <c r="I3466" s="1063"/>
      <c r="J3466" s="1063"/>
      <c r="K3466" s="1063"/>
      <c r="L3466" s="1063"/>
      <c r="M3466" s="1063"/>
      <c r="N3466" s="1063"/>
      <c r="O3466" s="1063"/>
      <c r="P3466" s="1063"/>
      <c r="Q3466" s="1063"/>
      <c r="R3466" s="1063"/>
      <c r="S3466" s="1063"/>
      <c r="T3466" s="1063"/>
      <c r="U3466" s="1063"/>
      <c r="V3466" s="1063"/>
      <c r="W3466" s="1063"/>
      <c r="X3466" s="1063"/>
      <c r="Y3466" s="1063"/>
      <c r="Z3466" s="1063"/>
      <c r="AA3466" s="1063"/>
      <c r="AB3466" s="1063"/>
      <c r="AC3466" s="1063"/>
      <c r="AD3466" s="1063"/>
      <c r="AE3466" s="1063"/>
      <c r="AF3466" s="1063"/>
      <c r="AG3466" s="1063"/>
      <c r="AH3466" s="1063"/>
      <c r="AI3466" s="1063"/>
      <c r="AJ3466" s="1063"/>
      <c r="AK3466" s="1063"/>
      <c r="AL3466" s="1063"/>
      <c r="AM3466" s="1063"/>
      <c r="AN3466" s="1063"/>
      <c r="AO3466" s="1063"/>
      <c r="AP3466" s="1063"/>
      <c r="AQ3466" s="1063"/>
      <c r="AR3466" s="1063"/>
      <c r="AS3466" s="1063"/>
      <c r="AT3466" s="1063"/>
      <c r="AU3466" s="1063"/>
      <c r="AV3466" s="1063"/>
    </row>
    <row r="3467" spans="1:48" s="1108" customFormat="1" ht="27.75" customHeight="1">
      <c r="A3467" s="1076"/>
      <c r="B3467" s="1074">
        <f>+'[18]Bldg+Dev'!S4279</f>
        <v>0</v>
      </c>
      <c r="D3467" s="1063"/>
      <c r="F3467" s="1076"/>
      <c r="G3467" s="1063"/>
      <c r="H3467" s="1063"/>
      <c r="I3467" s="1063"/>
      <c r="J3467" s="1063"/>
      <c r="K3467" s="1063"/>
      <c r="L3467" s="1063"/>
      <c r="M3467" s="1063"/>
      <c r="N3467" s="1063"/>
      <c r="O3467" s="1063"/>
      <c r="P3467" s="1063"/>
      <c r="Q3467" s="1063"/>
      <c r="R3467" s="1063"/>
      <c r="S3467" s="1063"/>
      <c r="T3467" s="1063"/>
      <c r="U3467" s="1063"/>
      <c r="V3467" s="1063"/>
      <c r="W3467" s="1063"/>
      <c r="X3467" s="1063"/>
      <c r="Y3467" s="1063"/>
      <c r="Z3467" s="1063"/>
      <c r="AA3467" s="1063"/>
      <c r="AB3467" s="1063"/>
      <c r="AC3467" s="1063"/>
      <c r="AD3467" s="1063"/>
      <c r="AE3467" s="1063"/>
      <c r="AF3467" s="1063"/>
      <c r="AG3467" s="1063"/>
      <c r="AH3467" s="1063"/>
      <c r="AI3467" s="1063"/>
      <c r="AJ3467" s="1063"/>
      <c r="AK3467" s="1063"/>
      <c r="AL3467" s="1063"/>
      <c r="AM3467" s="1063"/>
      <c r="AN3467" s="1063"/>
      <c r="AO3467" s="1063"/>
      <c r="AP3467" s="1063"/>
      <c r="AQ3467" s="1063"/>
      <c r="AR3467" s="1063"/>
      <c r="AS3467" s="1063"/>
      <c r="AT3467" s="1063"/>
      <c r="AU3467" s="1063"/>
      <c r="AV3467" s="1063"/>
    </row>
    <row r="3468" spans="1:48" s="1108" customFormat="1" ht="27.75" customHeight="1">
      <c r="A3468" s="1076"/>
      <c r="B3468" s="1074">
        <f>+'[18]Bldg+Dev'!S4280</f>
        <v>0</v>
      </c>
      <c r="D3468" s="1063"/>
      <c r="F3468" s="1076"/>
      <c r="G3468" s="1063"/>
      <c r="H3468" s="1063"/>
      <c r="I3468" s="1063"/>
      <c r="J3468" s="1063"/>
      <c r="K3468" s="1063"/>
      <c r="L3468" s="1063"/>
      <c r="M3468" s="1063"/>
      <c r="N3468" s="1063"/>
      <c r="O3468" s="1063"/>
      <c r="P3468" s="1063"/>
      <c r="Q3468" s="1063"/>
      <c r="R3468" s="1063"/>
      <c r="S3468" s="1063"/>
      <c r="T3468" s="1063"/>
      <c r="U3468" s="1063"/>
      <c r="V3468" s="1063"/>
      <c r="W3468" s="1063"/>
      <c r="X3468" s="1063"/>
      <c r="Y3468" s="1063"/>
      <c r="Z3468" s="1063"/>
      <c r="AA3468" s="1063"/>
      <c r="AB3468" s="1063"/>
      <c r="AC3468" s="1063"/>
      <c r="AD3468" s="1063"/>
      <c r="AE3468" s="1063"/>
      <c r="AF3468" s="1063"/>
      <c r="AG3468" s="1063"/>
      <c r="AH3468" s="1063"/>
      <c r="AI3468" s="1063"/>
      <c r="AJ3468" s="1063"/>
      <c r="AK3468" s="1063"/>
      <c r="AL3468" s="1063"/>
      <c r="AM3468" s="1063"/>
      <c r="AN3468" s="1063"/>
      <c r="AO3468" s="1063"/>
      <c r="AP3468" s="1063"/>
      <c r="AQ3468" s="1063"/>
      <c r="AR3468" s="1063"/>
      <c r="AS3468" s="1063"/>
      <c r="AT3468" s="1063"/>
      <c r="AU3468" s="1063"/>
      <c r="AV3468" s="1063"/>
    </row>
    <row r="3469" spans="1:48" s="1108" customFormat="1" ht="27.75" customHeight="1">
      <c r="A3469" s="1076"/>
      <c r="B3469" s="1074">
        <f>+'[18]Bldg+Dev'!S4281</f>
        <v>0</v>
      </c>
      <c r="D3469" s="1063"/>
      <c r="F3469" s="1076"/>
      <c r="G3469" s="1063"/>
      <c r="H3469" s="1063"/>
      <c r="I3469" s="1063"/>
      <c r="J3469" s="1063"/>
      <c r="K3469" s="1063"/>
      <c r="L3469" s="1063"/>
      <c r="M3469" s="1063"/>
      <c r="N3469" s="1063"/>
      <c r="O3469" s="1063"/>
      <c r="P3469" s="1063"/>
      <c r="Q3469" s="1063"/>
      <c r="R3469" s="1063"/>
      <c r="S3469" s="1063"/>
      <c r="T3469" s="1063"/>
      <c r="U3469" s="1063"/>
      <c r="V3469" s="1063"/>
      <c r="W3469" s="1063"/>
      <c r="X3469" s="1063"/>
      <c r="Y3469" s="1063"/>
      <c r="Z3469" s="1063"/>
      <c r="AA3469" s="1063"/>
      <c r="AB3469" s="1063"/>
      <c r="AC3469" s="1063"/>
      <c r="AD3469" s="1063"/>
      <c r="AE3469" s="1063"/>
      <c r="AF3469" s="1063"/>
      <c r="AG3469" s="1063"/>
      <c r="AH3469" s="1063"/>
      <c r="AI3469" s="1063"/>
      <c r="AJ3469" s="1063"/>
      <c r="AK3469" s="1063"/>
      <c r="AL3469" s="1063"/>
      <c r="AM3469" s="1063"/>
      <c r="AN3469" s="1063"/>
      <c r="AO3469" s="1063"/>
      <c r="AP3469" s="1063"/>
      <c r="AQ3469" s="1063"/>
      <c r="AR3469" s="1063"/>
      <c r="AS3469" s="1063"/>
      <c r="AT3469" s="1063"/>
      <c r="AU3469" s="1063"/>
      <c r="AV3469" s="1063"/>
    </row>
    <row r="3470" spans="1:48" s="1108" customFormat="1" ht="27.75" customHeight="1">
      <c r="A3470" s="1076"/>
      <c r="B3470" s="1074">
        <f>+'[18]Bldg+Dev'!S4282</f>
        <v>0</v>
      </c>
      <c r="D3470" s="1063"/>
      <c r="F3470" s="1076"/>
      <c r="G3470" s="1063"/>
      <c r="H3470" s="1063"/>
      <c r="I3470" s="1063"/>
      <c r="J3470" s="1063"/>
      <c r="K3470" s="1063"/>
      <c r="L3470" s="1063"/>
      <c r="M3470" s="1063"/>
      <c r="N3470" s="1063"/>
      <c r="O3470" s="1063"/>
      <c r="P3470" s="1063"/>
      <c r="Q3470" s="1063"/>
      <c r="R3470" s="1063"/>
      <c r="S3470" s="1063"/>
      <c r="T3470" s="1063"/>
      <c r="U3470" s="1063"/>
      <c r="V3470" s="1063"/>
      <c r="W3470" s="1063"/>
      <c r="X3470" s="1063"/>
      <c r="Y3470" s="1063"/>
      <c r="Z3470" s="1063"/>
      <c r="AA3470" s="1063"/>
      <c r="AB3470" s="1063"/>
      <c r="AC3470" s="1063"/>
      <c r="AD3470" s="1063"/>
      <c r="AE3470" s="1063"/>
      <c r="AF3470" s="1063"/>
      <c r="AG3470" s="1063"/>
      <c r="AH3470" s="1063"/>
      <c r="AI3470" s="1063"/>
      <c r="AJ3470" s="1063"/>
      <c r="AK3470" s="1063"/>
      <c r="AL3470" s="1063"/>
      <c r="AM3470" s="1063"/>
      <c r="AN3470" s="1063"/>
      <c r="AO3470" s="1063"/>
      <c r="AP3470" s="1063"/>
      <c r="AQ3470" s="1063"/>
      <c r="AR3470" s="1063"/>
      <c r="AS3470" s="1063"/>
      <c r="AT3470" s="1063"/>
      <c r="AU3470" s="1063"/>
      <c r="AV3470" s="1063"/>
    </row>
    <row r="3471" spans="1:48" s="1108" customFormat="1" ht="27.75" customHeight="1">
      <c r="A3471" s="1076"/>
      <c r="B3471" s="1074">
        <f>+'[18]Bldg+Dev'!S4283</f>
        <v>0</v>
      </c>
      <c r="D3471" s="1063"/>
      <c r="F3471" s="1076"/>
      <c r="G3471" s="1063"/>
      <c r="H3471" s="1063"/>
      <c r="I3471" s="1063"/>
      <c r="J3471" s="1063"/>
      <c r="K3471" s="1063"/>
      <c r="L3471" s="1063"/>
      <c r="M3471" s="1063"/>
      <c r="N3471" s="1063"/>
      <c r="O3471" s="1063"/>
      <c r="P3471" s="1063"/>
      <c r="Q3471" s="1063"/>
      <c r="R3471" s="1063"/>
      <c r="S3471" s="1063"/>
      <c r="T3471" s="1063"/>
      <c r="U3471" s="1063"/>
      <c r="V3471" s="1063"/>
      <c r="W3471" s="1063"/>
      <c r="X3471" s="1063"/>
      <c r="Y3471" s="1063"/>
      <c r="Z3471" s="1063"/>
      <c r="AA3471" s="1063"/>
      <c r="AB3471" s="1063"/>
      <c r="AC3471" s="1063"/>
      <c r="AD3471" s="1063"/>
      <c r="AE3471" s="1063"/>
      <c r="AF3471" s="1063"/>
      <c r="AG3471" s="1063"/>
      <c r="AH3471" s="1063"/>
      <c r="AI3471" s="1063"/>
      <c r="AJ3471" s="1063"/>
      <c r="AK3471" s="1063"/>
      <c r="AL3471" s="1063"/>
      <c r="AM3471" s="1063"/>
      <c r="AN3471" s="1063"/>
      <c r="AO3471" s="1063"/>
      <c r="AP3471" s="1063"/>
      <c r="AQ3471" s="1063"/>
      <c r="AR3471" s="1063"/>
      <c r="AS3471" s="1063"/>
      <c r="AT3471" s="1063"/>
      <c r="AU3471" s="1063"/>
      <c r="AV3471" s="1063"/>
    </row>
    <row r="3472" spans="1:48" s="1108" customFormat="1" ht="27.75" customHeight="1">
      <c r="A3472" s="1076"/>
      <c r="B3472" s="1074">
        <f>+'[18]Bldg+Dev'!S4284</f>
        <v>0</v>
      </c>
      <c r="D3472" s="1063"/>
      <c r="F3472" s="1076"/>
      <c r="G3472" s="1063"/>
      <c r="H3472" s="1063"/>
      <c r="I3472" s="1063"/>
      <c r="J3472" s="1063"/>
      <c r="K3472" s="1063"/>
      <c r="L3472" s="1063"/>
      <c r="M3472" s="1063"/>
      <c r="N3472" s="1063"/>
      <c r="O3472" s="1063"/>
      <c r="P3472" s="1063"/>
      <c r="Q3472" s="1063"/>
      <c r="R3472" s="1063"/>
      <c r="S3472" s="1063"/>
      <c r="T3472" s="1063"/>
      <c r="U3472" s="1063"/>
      <c r="V3472" s="1063"/>
      <c r="W3472" s="1063"/>
      <c r="X3472" s="1063"/>
      <c r="Y3472" s="1063"/>
      <c r="Z3472" s="1063"/>
      <c r="AA3472" s="1063"/>
      <c r="AB3472" s="1063"/>
      <c r="AC3472" s="1063"/>
      <c r="AD3472" s="1063"/>
      <c r="AE3472" s="1063"/>
      <c r="AF3472" s="1063"/>
      <c r="AG3472" s="1063"/>
      <c r="AH3472" s="1063"/>
      <c r="AI3472" s="1063"/>
      <c r="AJ3472" s="1063"/>
      <c r="AK3472" s="1063"/>
      <c r="AL3472" s="1063"/>
      <c r="AM3472" s="1063"/>
      <c r="AN3472" s="1063"/>
      <c r="AO3472" s="1063"/>
      <c r="AP3472" s="1063"/>
      <c r="AQ3472" s="1063"/>
      <c r="AR3472" s="1063"/>
      <c r="AS3472" s="1063"/>
      <c r="AT3472" s="1063"/>
      <c r="AU3472" s="1063"/>
      <c r="AV3472" s="1063"/>
    </row>
    <row r="3473" spans="1:48" s="1108" customFormat="1" ht="27.75" customHeight="1">
      <c r="A3473" s="1076"/>
      <c r="B3473" s="1074">
        <f>+'[18]Bldg+Dev'!S4285</f>
        <v>0</v>
      </c>
      <c r="D3473" s="1063"/>
      <c r="F3473" s="1076"/>
      <c r="G3473" s="1063"/>
      <c r="H3473" s="1063"/>
      <c r="I3473" s="1063"/>
      <c r="J3473" s="1063"/>
      <c r="K3473" s="1063"/>
      <c r="L3473" s="1063"/>
      <c r="M3473" s="1063"/>
      <c r="N3473" s="1063"/>
      <c r="O3473" s="1063"/>
      <c r="P3473" s="1063"/>
      <c r="Q3473" s="1063"/>
      <c r="R3473" s="1063"/>
      <c r="S3473" s="1063"/>
      <c r="T3473" s="1063"/>
      <c r="U3473" s="1063"/>
      <c r="V3473" s="1063"/>
      <c r="W3473" s="1063"/>
      <c r="X3473" s="1063"/>
      <c r="Y3473" s="1063"/>
      <c r="Z3473" s="1063"/>
      <c r="AA3473" s="1063"/>
      <c r="AB3473" s="1063"/>
      <c r="AC3473" s="1063"/>
      <c r="AD3473" s="1063"/>
      <c r="AE3473" s="1063"/>
      <c r="AF3473" s="1063"/>
      <c r="AG3473" s="1063"/>
      <c r="AH3473" s="1063"/>
      <c r="AI3473" s="1063"/>
      <c r="AJ3473" s="1063"/>
      <c r="AK3473" s="1063"/>
      <c r="AL3473" s="1063"/>
      <c r="AM3473" s="1063"/>
      <c r="AN3473" s="1063"/>
      <c r="AO3473" s="1063"/>
      <c r="AP3473" s="1063"/>
      <c r="AQ3473" s="1063"/>
      <c r="AR3473" s="1063"/>
      <c r="AS3473" s="1063"/>
      <c r="AT3473" s="1063"/>
      <c r="AU3473" s="1063"/>
      <c r="AV3473" s="1063"/>
    </row>
    <row r="3474" spans="1:48" s="1108" customFormat="1" ht="27.75" customHeight="1">
      <c r="A3474" s="1076"/>
      <c r="B3474" s="1074">
        <f>+'[18]Bldg+Dev'!S4286</f>
        <v>0</v>
      </c>
      <c r="D3474" s="1063"/>
      <c r="F3474" s="1076"/>
      <c r="G3474" s="1063"/>
      <c r="H3474" s="1063"/>
      <c r="I3474" s="1063"/>
      <c r="J3474" s="1063"/>
      <c r="K3474" s="1063"/>
      <c r="L3474" s="1063"/>
      <c r="M3474" s="1063"/>
      <c r="N3474" s="1063"/>
      <c r="O3474" s="1063"/>
      <c r="P3474" s="1063"/>
      <c r="Q3474" s="1063"/>
      <c r="R3474" s="1063"/>
      <c r="S3474" s="1063"/>
      <c r="T3474" s="1063"/>
      <c r="U3474" s="1063"/>
      <c r="V3474" s="1063"/>
      <c r="W3474" s="1063"/>
      <c r="X3474" s="1063"/>
      <c r="Y3474" s="1063"/>
      <c r="Z3474" s="1063"/>
      <c r="AA3474" s="1063"/>
      <c r="AB3474" s="1063"/>
      <c r="AC3474" s="1063"/>
      <c r="AD3474" s="1063"/>
      <c r="AE3474" s="1063"/>
      <c r="AF3474" s="1063"/>
      <c r="AG3474" s="1063"/>
      <c r="AH3474" s="1063"/>
      <c r="AI3474" s="1063"/>
      <c r="AJ3474" s="1063"/>
      <c r="AK3474" s="1063"/>
      <c r="AL3474" s="1063"/>
      <c r="AM3474" s="1063"/>
      <c r="AN3474" s="1063"/>
      <c r="AO3474" s="1063"/>
      <c r="AP3474" s="1063"/>
      <c r="AQ3474" s="1063"/>
      <c r="AR3474" s="1063"/>
      <c r="AS3474" s="1063"/>
      <c r="AT3474" s="1063"/>
      <c r="AU3474" s="1063"/>
      <c r="AV3474" s="1063"/>
    </row>
    <row r="3475" spans="1:48" s="1108" customFormat="1" ht="27.75" customHeight="1">
      <c r="A3475" s="1076"/>
      <c r="B3475" s="1074">
        <f>+'[18]Bldg+Dev'!S4287</f>
        <v>0</v>
      </c>
      <c r="D3475" s="1063"/>
      <c r="F3475" s="1076"/>
      <c r="G3475" s="1063"/>
      <c r="H3475" s="1063"/>
      <c r="I3475" s="1063"/>
      <c r="J3475" s="1063"/>
      <c r="K3475" s="1063"/>
      <c r="L3475" s="1063"/>
      <c r="M3475" s="1063"/>
      <c r="N3475" s="1063"/>
      <c r="O3475" s="1063"/>
      <c r="P3475" s="1063"/>
      <c r="Q3475" s="1063"/>
      <c r="R3475" s="1063"/>
      <c r="S3475" s="1063"/>
      <c r="T3475" s="1063"/>
      <c r="U3475" s="1063"/>
      <c r="V3475" s="1063"/>
      <c r="W3475" s="1063"/>
      <c r="X3475" s="1063"/>
      <c r="Y3475" s="1063"/>
      <c r="Z3475" s="1063"/>
      <c r="AA3475" s="1063"/>
      <c r="AB3475" s="1063"/>
      <c r="AC3475" s="1063"/>
      <c r="AD3475" s="1063"/>
      <c r="AE3475" s="1063"/>
      <c r="AF3475" s="1063"/>
      <c r="AG3475" s="1063"/>
      <c r="AH3475" s="1063"/>
      <c r="AI3475" s="1063"/>
      <c r="AJ3475" s="1063"/>
      <c r="AK3475" s="1063"/>
      <c r="AL3475" s="1063"/>
      <c r="AM3475" s="1063"/>
      <c r="AN3475" s="1063"/>
      <c r="AO3475" s="1063"/>
      <c r="AP3475" s="1063"/>
      <c r="AQ3475" s="1063"/>
      <c r="AR3475" s="1063"/>
      <c r="AS3475" s="1063"/>
      <c r="AT3475" s="1063"/>
      <c r="AU3475" s="1063"/>
      <c r="AV3475" s="1063"/>
    </row>
    <row r="3476" spans="1:48" s="1108" customFormat="1" ht="27.75" customHeight="1">
      <c r="A3476" s="1076"/>
      <c r="B3476" s="1074">
        <f>+'[18]Bldg+Dev'!S4288</f>
        <v>0</v>
      </c>
      <c r="D3476" s="1063"/>
      <c r="F3476" s="1076"/>
      <c r="G3476" s="1063"/>
      <c r="H3476" s="1063"/>
      <c r="I3476" s="1063"/>
      <c r="J3476" s="1063"/>
      <c r="K3476" s="1063"/>
      <c r="L3476" s="1063"/>
      <c r="M3476" s="1063"/>
      <c r="N3476" s="1063"/>
      <c r="O3476" s="1063"/>
      <c r="P3476" s="1063"/>
      <c r="Q3476" s="1063"/>
      <c r="R3476" s="1063"/>
      <c r="S3476" s="1063"/>
      <c r="T3476" s="1063"/>
      <c r="U3476" s="1063"/>
      <c r="V3476" s="1063"/>
      <c r="W3476" s="1063"/>
      <c r="X3476" s="1063"/>
      <c r="Y3476" s="1063"/>
      <c r="Z3476" s="1063"/>
      <c r="AA3476" s="1063"/>
      <c r="AB3476" s="1063"/>
      <c r="AC3476" s="1063"/>
      <c r="AD3476" s="1063"/>
      <c r="AE3476" s="1063"/>
      <c r="AF3476" s="1063"/>
      <c r="AG3476" s="1063"/>
      <c r="AH3476" s="1063"/>
      <c r="AI3476" s="1063"/>
      <c r="AJ3476" s="1063"/>
      <c r="AK3476" s="1063"/>
      <c r="AL3476" s="1063"/>
      <c r="AM3476" s="1063"/>
      <c r="AN3476" s="1063"/>
      <c r="AO3476" s="1063"/>
      <c r="AP3476" s="1063"/>
      <c r="AQ3476" s="1063"/>
      <c r="AR3476" s="1063"/>
      <c r="AS3476" s="1063"/>
      <c r="AT3476" s="1063"/>
      <c r="AU3476" s="1063"/>
      <c r="AV3476" s="1063"/>
    </row>
    <row r="3477" spans="1:48" s="1108" customFormat="1" ht="27.75" customHeight="1">
      <c r="A3477" s="1076"/>
      <c r="B3477" s="1074">
        <f>+'[18]Bldg+Dev'!S4289</f>
        <v>0</v>
      </c>
      <c r="D3477" s="1063"/>
      <c r="F3477" s="1076"/>
      <c r="G3477" s="1063"/>
      <c r="H3477" s="1063"/>
      <c r="I3477" s="1063"/>
      <c r="J3477" s="1063"/>
      <c r="K3477" s="1063"/>
      <c r="L3477" s="1063"/>
      <c r="M3477" s="1063"/>
      <c r="N3477" s="1063"/>
      <c r="O3477" s="1063"/>
      <c r="P3477" s="1063"/>
      <c r="Q3477" s="1063"/>
      <c r="R3477" s="1063"/>
      <c r="S3477" s="1063"/>
      <c r="T3477" s="1063"/>
      <c r="U3477" s="1063"/>
      <c r="V3477" s="1063"/>
      <c r="W3477" s="1063"/>
      <c r="X3477" s="1063"/>
      <c r="Y3477" s="1063"/>
      <c r="Z3477" s="1063"/>
      <c r="AA3477" s="1063"/>
      <c r="AB3477" s="1063"/>
      <c r="AC3477" s="1063"/>
      <c r="AD3477" s="1063"/>
      <c r="AE3477" s="1063"/>
      <c r="AF3477" s="1063"/>
      <c r="AG3477" s="1063"/>
      <c r="AH3477" s="1063"/>
      <c r="AI3477" s="1063"/>
      <c r="AJ3477" s="1063"/>
      <c r="AK3477" s="1063"/>
      <c r="AL3477" s="1063"/>
      <c r="AM3477" s="1063"/>
      <c r="AN3477" s="1063"/>
      <c r="AO3477" s="1063"/>
      <c r="AP3477" s="1063"/>
      <c r="AQ3477" s="1063"/>
      <c r="AR3477" s="1063"/>
      <c r="AS3477" s="1063"/>
      <c r="AT3477" s="1063"/>
      <c r="AU3477" s="1063"/>
      <c r="AV3477" s="1063"/>
    </row>
    <row r="3478" spans="1:48" s="1108" customFormat="1" ht="27.75" customHeight="1">
      <c r="A3478" s="1076"/>
      <c r="B3478" s="1074">
        <f>+'[18]Bldg+Dev'!S4290</f>
        <v>0</v>
      </c>
      <c r="D3478" s="1063"/>
      <c r="F3478" s="1076"/>
      <c r="G3478" s="1063"/>
      <c r="H3478" s="1063"/>
      <c r="I3478" s="1063"/>
      <c r="J3478" s="1063"/>
      <c r="K3478" s="1063"/>
      <c r="L3478" s="1063"/>
      <c r="M3478" s="1063"/>
      <c r="N3478" s="1063"/>
      <c r="O3478" s="1063"/>
      <c r="P3478" s="1063"/>
      <c r="Q3478" s="1063"/>
      <c r="R3478" s="1063"/>
      <c r="S3478" s="1063"/>
      <c r="T3478" s="1063"/>
      <c r="U3478" s="1063"/>
      <c r="V3478" s="1063"/>
      <c r="W3478" s="1063"/>
      <c r="X3478" s="1063"/>
      <c r="Y3478" s="1063"/>
      <c r="Z3478" s="1063"/>
      <c r="AA3478" s="1063"/>
      <c r="AB3478" s="1063"/>
      <c r="AC3478" s="1063"/>
      <c r="AD3478" s="1063"/>
      <c r="AE3478" s="1063"/>
      <c r="AF3478" s="1063"/>
      <c r="AG3478" s="1063"/>
      <c r="AH3478" s="1063"/>
      <c r="AI3478" s="1063"/>
      <c r="AJ3478" s="1063"/>
      <c r="AK3478" s="1063"/>
      <c r="AL3478" s="1063"/>
      <c r="AM3478" s="1063"/>
      <c r="AN3478" s="1063"/>
      <c r="AO3478" s="1063"/>
      <c r="AP3478" s="1063"/>
      <c r="AQ3478" s="1063"/>
      <c r="AR3478" s="1063"/>
      <c r="AS3478" s="1063"/>
      <c r="AT3478" s="1063"/>
      <c r="AU3478" s="1063"/>
      <c r="AV3478" s="1063"/>
    </row>
    <row r="3479" spans="1:48" s="1108" customFormat="1" ht="27.75" customHeight="1">
      <c r="A3479" s="1076"/>
      <c r="B3479" s="1074">
        <f>+'[18]Bldg+Dev'!S4291</f>
        <v>0</v>
      </c>
      <c r="D3479" s="1063"/>
      <c r="F3479" s="1076"/>
      <c r="G3479" s="1063"/>
      <c r="H3479" s="1063"/>
      <c r="I3479" s="1063"/>
      <c r="J3479" s="1063"/>
      <c r="K3479" s="1063"/>
      <c r="L3479" s="1063"/>
      <c r="M3479" s="1063"/>
      <c r="N3479" s="1063"/>
      <c r="O3479" s="1063"/>
      <c r="P3479" s="1063"/>
      <c r="Q3479" s="1063"/>
      <c r="R3479" s="1063"/>
      <c r="S3479" s="1063"/>
      <c r="T3479" s="1063"/>
      <c r="U3479" s="1063"/>
      <c r="V3479" s="1063"/>
      <c r="W3479" s="1063"/>
      <c r="X3479" s="1063"/>
      <c r="Y3479" s="1063"/>
      <c r="Z3479" s="1063"/>
      <c r="AA3479" s="1063"/>
      <c r="AB3479" s="1063"/>
      <c r="AC3479" s="1063"/>
      <c r="AD3479" s="1063"/>
      <c r="AE3479" s="1063"/>
      <c r="AF3479" s="1063"/>
      <c r="AG3479" s="1063"/>
      <c r="AH3479" s="1063"/>
      <c r="AI3479" s="1063"/>
      <c r="AJ3479" s="1063"/>
      <c r="AK3479" s="1063"/>
      <c r="AL3479" s="1063"/>
      <c r="AM3479" s="1063"/>
      <c r="AN3479" s="1063"/>
      <c r="AO3479" s="1063"/>
      <c r="AP3479" s="1063"/>
      <c r="AQ3479" s="1063"/>
      <c r="AR3479" s="1063"/>
      <c r="AS3479" s="1063"/>
      <c r="AT3479" s="1063"/>
      <c r="AU3479" s="1063"/>
      <c r="AV3479" s="1063"/>
    </row>
    <row r="3480" spans="1:48" s="1108" customFormat="1" ht="27.75" customHeight="1">
      <c r="A3480" s="1076"/>
      <c r="B3480" s="1074">
        <f>+'[18]Bldg+Dev'!S4292</f>
        <v>0</v>
      </c>
      <c r="D3480" s="1063"/>
      <c r="F3480" s="1076"/>
      <c r="G3480" s="1063"/>
      <c r="H3480" s="1063"/>
      <c r="I3480" s="1063"/>
      <c r="J3480" s="1063"/>
      <c r="K3480" s="1063"/>
      <c r="L3480" s="1063"/>
      <c r="M3480" s="1063"/>
      <c r="N3480" s="1063"/>
      <c r="O3480" s="1063"/>
      <c r="P3480" s="1063"/>
      <c r="Q3480" s="1063"/>
      <c r="R3480" s="1063"/>
      <c r="S3480" s="1063"/>
      <c r="T3480" s="1063"/>
      <c r="U3480" s="1063"/>
      <c r="V3480" s="1063"/>
      <c r="W3480" s="1063"/>
      <c r="X3480" s="1063"/>
      <c r="Y3480" s="1063"/>
      <c r="Z3480" s="1063"/>
      <c r="AA3480" s="1063"/>
      <c r="AB3480" s="1063"/>
      <c r="AC3480" s="1063"/>
      <c r="AD3480" s="1063"/>
      <c r="AE3480" s="1063"/>
      <c r="AF3480" s="1063"/>
      <c r="AG3480" s="1063"/>
      <c r="AH3480" s="1063"/>
      <c r="AI3480" s="1063"/>
      <c r="AJ3480" s="1063"/>
      <c r="AK3480" s="1063"/>
      <c r="AL3480" s="1063"/>
      <c r="AM3480" s="1063"/>
      <c r="AN3480" s="1063"/>
      <c r="AO3480" s="1063"/>
      <c r="AP3480" s="1063"/>
      <c r="AQ3480" s="1063"/>
      <c r="AR3480" s="1063"/>
      <c r="AS3480" s="1063"/>
      <c r="AT3480" s="1063"/>
      <c r="AU3480" s="1063"/>
      <c r="AV3480" s="1063"/>
    </row>
    <row r="3481" spans="1:48" s="1108" customFormat="1" ht="27.75" customHeight="1">
      <c r="A3481" s="1076"/>
      <c r="B3481" s="1074">
        <f>+'[18]Bldg+Dev'!S4293</f>
        <v>0</v>
      </c>
      <c r="D3481" s="1063"/>
      <c r="F3481" s="1076"/>
      <c r="G3481" s="1063"/>
      <c r="H3481" s="1063"/>
      <c r="I3481" s="1063"/>
      <c r="J3481" s="1063"/>
      <c r="K3481" s="1063"/>
      <c r="L3481" s="1063"/>
      <c r="M3481" s="1063"/>
      <c r="N3481" s="1063"/>
      <c r="O3481" s="1063"/>
      <c r="P3481" s="1063"/>
      <c r="Q3481" s="1063"/>
      <c r="R3481" s="1063"/>
      <c r="S3481" s="1063"/>
      <c r="T3481" s="1063"/>
      <c r="U3481" s="1063"/>
      <c r="V3481" s="1063"/>
      <c r="W3481" s="1063"/>
      <c r="X3481" s="1063"/>
      <c r="Y3481" s="1063"/>
      <c r="Z3481" s="1063"/>
      <c r="AA3481" s="1063"/>
      <c r="AB3481" s="1063"/>
      <c r="AC3481" s="1063"/>
      <c r="AD3481" s="1063"/>
      <c r="AE3481" s="1063"/>
      <c r="AF3481" s="1063"/>
      <c r="AG3481" s="1063"/>
      <c r="AH3481" s="1063"/>
      <c r="AI3481" s="1063"/>
      <c r="AJ3481" s="1063"/>
      <c r="AK3481" s="1063"/>
      <c r="AL3481" s="1063"/>
      <c r="AM3481" s="1063"/>
      <c r="AN3481" s="1063"/>
      <c r="AO3481" s="1063"/>
      <c r="AP3481" s="1063"/>
      <c r="AQ3481" s="1063"/>
      <c r="AR3481" s="1063"/>
      <c r="AS3481" s="1063"/>
      <c r="AT3481" s="1063"/>
      <c r="AU3481" s="1063"/>
      <c r="AV3481" s="1063"/>
    </row>
    <row r="3482" spans="1:48" s="1108" customFormat="1" ht="27.75" customHeight="1">
      <c r="A3482" s="1076"/>
      <c r="B3482" s="1074">
        <f>+'[18]Bldg+Dev'!S4294</f>
        <v>0</v>
      </c>
      <c r="D3482" s="1063"/>
      <c r="F3482" s="1076"/>
      <c r="G3482" s="1063"/>
      <c r="H3482" s="1063"/>
      <c r="I3482" s="1063"/>
      <c r="J3482" s="1063"/>
      <c r="K3482" s="1063"/>
      <c r="L3482" s="1063"/>
      <c r="M3482" s="1063"/>
      <c r="N3482" s="1063"/>
      <c r="O3482" s="1063"/>
      <c r="P3482" s="1063"/>
      <c r="Q3482" s="1063"/>
      <c r="R3482" s="1063"/>
      <c r="S3482" s="1063"/>
      <c r="T3482" s="1063"/>
      <c r="U3482" s="1063"/>
      <c r="V3482" s="1063"/>
      <c r="W3482" s="1063"/>
      <c r="X3482" s="1063"/>
      <c r="Y3482" s="1063"/>
      <c r="Z3482" s="1063"/>
      <c r="AA3482" s="1063"/>
      <c r="AB3482" s="1063"/>
      <c r="AC3482" s="1063"/>
      <c r="AD3482" s="1063"/>
      <c r="AE3482" s="1063"/>
      <c r="AF3482" s="1063"/>
      <c r="AG3482" s="1063"/>
      <c r="AH3482" s="1063"/>
      <c r="AI3482" s="1063"/>
      <c r="AJ3482" s="1063"/>
      <c r="AK3482" s="1063"/>
      <c r="AL3482" s="1063"/>
      <c r="AM3482" s="1063"/>
      <c r="AN3482" s="1063"/>
      <c r="AO3482" s="1063"/>
      <c r="AP3482" s="1063"/>
      <c r="AQ3482" s="1063"/>
      <c r="AR3482" s="1063"/>
      <c r="AS3482" s="1063"/>
      <c r="AT3482" s="1063"/>
      <c r="AU3482" s="1063"/>
      <c r="AV3482" s="1063"/>
    </row>
    <row r="3483" spans="1:48" s="1108" customFormat="1" ht="27.75" customHeight="1">
      <c r="A3483" s="1076"/>
      <c r="B3483" s="1074">
        <f>+'[18]Bldg+Dev'!S4295</f>
        <v>0</v>
      </c>
      <c r="D3483" s="1063"/>
      <c r="F3483" s="1076"/>
      <c r="G3483" s="1063"/>
      <c r="H3483" s="1063"/>
      <c r="I3483" s="1063"/>
      <c r="J3483" s="1063"/>
      <c r="K3483" s="1063"/>
      <c r="L3483" s="1063"/>
      <c r="M3483" s="1063"/>
      <c r="N3483" s="1063"/>
      <c r="O3483" s="1063"/>
      <c r="P3483" s="1063"/>
      <c r="Q3483" s="1063"/>
      <c r="R3483" s="1063"/>
      <c r="S3483" s="1063"/>
      <c r="T3483" s="1063"/>
      <c r="U3483" s="1063"/>
      <c r="V3483" s="1063"/>
      <c r="W3483" s="1063"/>
      <c r="X3483" s="1063"/>
      <c r="Y3483" s="1063"/>
      <c r="Z3483" s="1063"/>
      <c r="AA3483" s="1063"/>
      <c r="AB3483" s="1063"/>
      <c r="AC3483" s="1063"/>
      <c r="AD3483" s="1063"/>
      <c r="AE3483" s="1063"/>
      <c r="AF3483" s="1063"/>
      <c r="AG3483" s="1063"/>
      <c r="AH3483" s="1063"/>
      <c r="AI3483" s="1063"/>
      <c r="AJ3483" s="1063"/>
      <c r="AK3483" s="1063"/>
      <c r="AL3483" s="1063"/>
      <c r="AM3483" s="1063"/>
      <c r="AN3483" s="1063"/>
      <c r="AO3483" s="1063"/>
      <c r="AP3483" s="1063"/>
      <c r="AQ3483" s="1063"/>
      <c r="AR3483" s="1063"/>
      <c r="AS3483" s="1063"/>
      <c r="AT3483" s="1063"/>
      <c r="AU3483" s="1063"/>
      <c r="AV3483" s="1063"/>
    </row>
    <row r="3484" spans="1:48" s="1108" customFormat="1" ht="27.75" customHeight="1">
      <c r="A3484" s="1076"/>
      <c r="B3484" s="1074">
        <f>+'[18]Bldg+Dev'!S4296</f>
        <v>0</v>
      </c>
      <c r="D3484" s="1063"/>
      <c r="F3484" s="1076"/>
      <c r="G3484" s="1063"/>
      <c r="H3484" s="1063"/>
      <c r="I3484" s="1063"/>
      <c r="J3484" s="1063"/>
      <c r="K3484" s="1063"/>
      <c r="L3484" s="1063"/>
      <c r="M3484" s="1063"/>
      <c r="N3484" s="1063"/>
      <c r="O3484" s="1063"/>
      <c r="P3484" s="1063"/>
      <c r="Q3484" s="1063"/>
      <c r="R3484" s="1063"/>
      <c r="S3484" s="1063"/>
      <c r="T3484" s="1063"/>
      <c r="U3484" s="1063"/>
      <c r="V3484" s="1063"/>
      <c r="W3484" s="1063"/>
      <c r="X3484" s="1063"/>
      <c r="Y3484" s="1063"/>
      <c r="Z3484" s="1063"/>
      <c r="AA3484" s="1063"/>
      <c r="AB3484" s="1063"/>
      <c r="AC3484" s="1063"/>
      <c r="AD3484" s="1063"/>
      <c r="AE3484" s="1063"/>
      <c r="AF3484" s="1063"/>
      <c r="AG3484" s="1063"/>
      <c r="AH3484" s="1063"/>
      <c r="AI3484" s="1063"/>
      <c r="AJ3484" s="1063"/>
      <c r="AK3484" s="1063"/>
      <c r="AL3484" s="1063"/>
      <c r="AM3484" s="1063"/>
      <c r="AN3484" s="1063"/>
      <c r="AO3484" s="1063"/>
      <c r="AP3484" s="1063"/>
      <c r="AQ3484" s="1063"/>
      <c r="AR3484" s="1063"/>
      <c r="AS3484" s="1063"/>
      <c r="AT3484" s="1063"/>
      <c r="AU3484" s="1063"/>
      <c r="AV3484" s="1063"/>
    </row>
    <row r="3485" spans="1:48" s="1108" customFormat="1" ht="27.75" customHeight="1">
      <c r="A3485" s="1076"/>
      <c r="B3485" s="1074">
        <f>+'[18]Bldg+Dev'!S4297</f>
        <v>0</v>
      </c>
      <c r="D3485" s="1063"/>
      <c r="F3485" s="1076"/>
      <c r="G3485" s="1063"/>
      <c r="H3485" s="1063"/>
      <c r="I3485" s="1063"/>
      <c r="J3485" s="1063"/>
      <c r="K3485" s="1063"/>
      <c r="L3485" s="1063"/>
      <c r="M3485" s="1063"/>
      <c r="N3485" s="1063"/>
      <c r="O3485" s="1063"/>
      <c r="P3485" s="1063"/>
      <c r="Q3485" s="1063"/>
      <c r="R3485" s="1063"/>
      <c r="S3485" s="1063"/>
      <c r="T3485" s="1063"/>
      <c r="U3485" s="1063"/>
      <c r="V3485" s="1063"/>
      <c r="W3485" s="1063"/>
      <c r="X3485" s="1063"/>
      <c r="Y3485" s="1063"/>
      <c r="Z3485" s="1063"/>
      <c r="AA3485" s="1063"/>
      <c r="AB3485" s="1063"/>
      <c r="AC3485" s="1063"/>
      <c r="AD3485" s="1063"/>
      <c r="AE3485" s="1063"/>
      <c r="AF3485" s="1063"/>
      <c r="AG3485" s="1063"/>
      <c r="AH3485" s="1063"/>
      <c r="AI3485" s="1063"/>
      <c r="AJ3485" s="1063"/>
      <c r="AK3485" s="1063"/>
      <c r="AL3485" s="1063"/>
      <c r="AM3485" s="1063"/>
      <c r="AN3485" s="1063"/>
      <c r="AO3485" s="1063"/>
      <c r="AP3485" s="1063"/>
      <c r="AQ3485" s="1063"/>
      <c r="AR3485" s="1063"/>
      <c r="AS3485" s="1063"/>
      <c r="AT3485" s="1063"/>
      <c r="AU3485" s="1063"/>
      <c r="AV3485" s="1063"/>
    </row>
    <row r="3486" spans="1:48" s="1108" customFormat="1" ht="27.75" customHeight="1">
      <c r="A3486" s="1076"/>
      <c r="B3486" s="1074">
        <f>+'[18]Bldg+Dev'!S4298</f>
        <v>0</v>
      </c>
      <c r="D3486" s="1063"/>
      <c r="F3486" s="1076"/>
      <c r="G3486" s="1063"/>
      <c r="H3486" s="1063"/>
      <c r="I3486" s="1063"/>
      <c r="J3486" s="1063"/>
      <c r="K3486" s="1063"/>
      <c r="L3486" s="1063"/>
      <c r="M3486" s="1063"/>
      <c r="N3486" s="1063"/>
      <c r="O3486" s="1063"/>
      <c r="P3486" s="1063"/>
      <c r="Q3486" s="1063"/>
      <c r="R3486" s="1063"/>
      <c r="S3486" s="1063"/>
      <c r="T3486" s="1063"/>
      <c r="U3486" s="1063"/>
      <c r="V3486" s="1063"/>
      <c r="W3486" s="1063"/>
      <c r="X3486" s="1063"/>
      <c r="Y3486" s="1063"/>
      <c r="Z3486" s="1063"/>
      <c r="AA3486" s="1063"/>
      <c r="AB3486" s="1063"/>
      <c r="AC3486" s="1063"/>
      <c r="AD3486" s="1063"/>
      <c r="AE3486" s="1063"/>
      <c r="AF3486" s="1063"/>
      <c r="AG3486" s="1063"/>
      <c r="AH3486" s="1063"/>
      <c r="AI3486" s="1063"/>
      <c r="AJ3486" s="1063"/>
      <c r="AK3486" s="1063"/>
      <c r="AL3486" s="1063"/>
      <c r="AM3486" s="1063"/>
      <c r="AN3486" s="1063"/>
      <c r="AO3486" s="1063"/>
      <c r="AP3486" s="1063"/>
      <c r="AQ3486" s="1063"/>
      <c r="AR3486" s="1063"/>
      <c r="AS3486" s="1063"/>
      <c r="AT3486" s="1063"/>
      <c r="AU3486" s="1063"/>
      <c r="AV3486" s="1063"/>
    </row>
    <row r="3487" spans="1:48" s="1108" customFormat="1" ht="27.75" customHeight="1">
      <c r="A3487" s="1076"/>
      <c r="B3487" s="1074">
        <f>+'[18]Bldg+Dev'!S4299</f>
        <v>0</v>
      </c>
      <c r="D3487" s="1063"/>
      <c r="F3487" s="1076"/>
      <c r="G3487" s="1063"/>
      <c r="H3487" s="1063"/>
      <c r="I3487" s="1063"/>
      <c r="J3487" s="1063"/>
      <c r="K3487" s="1063"/>
      <c r="L3487" s="1063"/>
      <c r="M3487" s="1063"/>
      <c r="N3487" s="1063"/>
      <c r="O3487" s="1063"/>
      <c r="P3487" s="1063"/>
      <c r="Q3487" s="1063"/>
      <c r="R3487" s="1063"/>
      <c r="S3487" s="1063"/>
      <c r="T3487" s="1063"/>
      <c r="U3487" s="1063"/>
      <c r="V3487" s="1063"/>
      <c r="W3487" s="1063"/>
      <c r="X3487" s="1063"/>
      <c r="Y3487" s="1063"/>
      <c r="Z3487" s="1063"/>
      <c r="AA3487" s="1063"/>
      <c r="AB3487" s="1063"/>
      <c r="AC3487" s="1063"/>
      <c r="AD3487" s="1063"/>
      <c r="AE3487" s="1063"/>
      <c r="AF3487" s="1063"/>
      <c r="AG3487" s="1063"/>
      <c r="AH3487" s="1063"/>
      <c r="AI3487" s="1063"/>
      <c r="AJ3487" s="1063"/>
      <c r="AK3487" s="1063"/>
      <c r="AL3487" s="1063"/>
      <c r="AM3487" s="1063"/>
      <c r="AN3487" s="1063"/>
      <c r="AO3487" s="1063"/>
      <c r="AP3487" s="1063"/>
      <c r="AQ3487" s="1063"/>
      <c r="AR3487" s="1063"/>
      <c r="AS3487" s="1063"/>
      <c r="AT3487" s="1063"/>
      <c r="AU3487" s="1063"/>
      <c r="AV3487" s="1063"/>
    </row>
    <row r="3488" spans="1:48" s="1108" customFormat="1" ht="27.75" customHeight="1">
      <c r="A3488" s="1076"/>
      <c r="B3488" s="1074">
        <f>+'[18]Bldg+Dev'!S4300</f>
        <v>0</v>
      </c>
      <c r="D3488" s="1063"/>
      <c r="F3488" s="1076"/>
      <c r="G3488" s="1063"/>
      <c r="H3488" s="1063"/>
      <c r="I3488" s="1063"/>
      <c r="J3488" s="1063"/>
      <c r="K3488" s="1063"/>
      <c r="L3488" s="1063"/>
      <c r="M3488" s="1063"/>
      <c r="N3488" s="1063"/>
      <c r="O3488" s="1063"/>
      <c r="P3488" s="1063"/>
      <c r="Q3488" s="1063"/>
      <c r="R3488" s="1063"/>
      <c r="S3488" s="1063"/>
      <c r="T3488" s="1063"/>
      <c r="U3488" s="1063"/>
      <c r="V3488" s="1063"/>
      <c r="W3488" s="1063"/>
      <c r="X3488" s="1063"/>
      <c r="Y3488" s="1063"/>
      <c r="Z3488" s="1063"/>
      <c r="AA3488" s="1063"/>
      <c r="AB3488" s="1063"/>
      <c r="AC3488" s="1063"/>
      <c r="AD3488" s="1063"/>
      <c r="AE3488" s="1063"/>
      <c r="AF3488" s="1063"/>
      <c r="AG3488" s="1063"/>
      <c r="AH3488" s="1063"/>
      <c r="AI3488" s="1063"/>
      <c r="AJ3488" s="1063"/>
      <c r="AK3488" s="1063"/>
      <c r="AL3488" s="1063"/>
      <c r="AM3488" s="1063"/>
      <c r="AN3488" s="1063"/>
      <c r="AO3488" s="1063"/>
      <c r="AP3488" s="1063"/>
      <c r="AQ3488" s="1063"/>
      <c r="AR3488" s="1063"/>
      <c r="AS3488" s="1063"/>
      <c r="AT3488" s="1063"/>
      <c r="AU3488" s="1063"/>
      <c r="AV3488" s="1063"/>
    </row>
    <row r="3489" spans="1:48" s="1108" customFormat="1" ht="27.75" customHeight="1">
      <c r="A3489" s="1076"/>
      <c r="B3489" s="1074">
        <f>+'[18]Bldg+Dev'!S4301</f>
        <v>0</v>
      </c>
      <c r="D3489" s="1063"/>
      <c r="F3489" s="1076"/>
      <c r="G3489" s="1063"/>
      <c r="H3489" s="1063"/>
      <c r="I3489" s="1063"/>
      <c r="J3489" s="1063"/>
      <c r="K3489" s="1063"/>
      <c r="L3489" s="1063"/>
      <c r="M3489" s="1063"/>
      <c r="N3489" s="1063"/>
      <c r="O3489" s="1063"/>
      <c r="P3489" s="1063"/>
      <c r="Q3489" s="1063"/>
      <c r="R3489" s="1063"/>
      <c r="S3489" s="1063"/>
      <c r="T3489" s="1063"/>
      <c r="U3489" s="1063"/>
      <c r="V3489" s="1063"/>
      <c r="W3489" s="1063"/>
      <c r="X3489" s="1063"/>
      <c r="Y3489" s="1063"/>
      <c r="Z3489" s="1063"/>
      <c r="AA3489" s="1063"/>
      <c r="AB3489" s="1063"/>
      <c r="AC3489" s="1063"/>
      <c r="AD3489" s="1063"/>
      <c r="AE3489" s="1063"/>
      <c r="AF3489" s="1063"/>
      <c r="AG3489" s="1063"/>
      <c r="AH3489" s="1063"/>
      <c r="AI3489" s="1063"/>
      <c r="AJ3489" s="1063"/>
      <c r="AK3489" s="1063"/>
      <c r="AL3489" s="1063"/>
      <c r="AM3489" s="1063"/>
      <c r="AN3489" s="1063"/>
      <c r="AO3489" s="1063"/>
      <c r="AP3489" s="1063"/>
      <c r="AQ3489" s="1063"/>
      <c r="AR3489" s="1063"/>
      <c r="AS3489" s="1063"/>
      <c r="AT3489" s="1063"/>
      <c r="AU3489" s="1063"/>
      <c r="AV3489" s="1063"/>
    </row>
    <row r="3490" spans="1:48" s="1108" customFormat="1" ht="27.75" customHeight="1">
      <c r="A3490" s="1076"/>
      <c r="B3490" s="1074">
        <f>+'[18]Bldg+Dev'!S4302</f>
        <v>0</v>
      </c>
      <c r="D3490" s="1063"/>
      <c r="F3490" s="1076"/>
      <c r="G3490" s="1063"/>
      <c r="H3490" s="1063"/>
      <c r="I3490" s="1063"/>
      <c r="J3490" s="1063"/>
      <c r="K3490" s="1063"/>
      <c r="L3490" s="1063"/>
      <c r="M3490" s="1063"/>
      <c r="N3490" s="1063"/>
      <c r="O3490" s="1063"/>
      <c r="P3490" s="1063"/>
      <c r="Q3490" s="1063"/>
      <c r="R3490" s="1063"/>
      <c r="S3490" s="1063"/>
      <c r="T3490" s="1063"/>
      <c r="U3490" s="1063"/>
      <c r="V3490" s="1063"/>
      <c r="W3490" s="1063"/>
      <c r="X3490" s="1063"/>
      <c r="Y3490" s="1063"/>
      <c r="Z3490" s="1063"/>
      <c r="AA3490" s="1063"/>
      <c r="AB3490" s="1063"/>
      <c r="AC3490" s="1063"/>
      <c r="AD3490" s="1063"/>
      <c r="AE3490" s="1063"/>
      <c r="AF3490" s="1063"/>
      <c r="AG3490" s="1063"/>
      <c r="AH3490" s="1063"/>
      <c r="AI3490" s="1063"/>
      <c r="AJ3490" s="1063"/>
      <c r="AK3490" s="1063"/>
      <c r="AL3490" s="1063"/>
      <c r="AM3490" s="1063"/>
      <c r="AN3490" s="1063"/>
      <c r="AO3490" s="1063"/>
      <c r="AP3490" s="1063"/>
      <c r="AQ3490" s="1063"/>
      <c r="AR3490" s="1063"/>
      <c r="AS3490" s="1063"/>
      <c r="AT3490" s="1063"/>
      <c r="AU3490" s="1063"/>
      <c r="AV3490" s="1063"/>
    </row>
    <row r="3491" spans="1:48" s="1108" customFormat="1" ht="27.75" customHeight="1">
      <c r="A3491" s="1076"/>
      <c r="B3491" s="1074">
        <f>+'[18]Bldg+Dev'!S4303</f>
        <v>0</v>
      </c>
      <c r="D3491" s="1063"/>
      <c r="F3491" s="1076"/>
      <c r="G3491" s="1063"/>
      <c r="H3491" s="1063"/>
      <c r="I3491" s="1063"/>
      <c r="J3491" s="1063"/>
      <c r="K3491" s="1063"/>
      <c r="L3491" s="1063"/>
      <c r="M3491" s="1063"/>
      <c r="N3491" s="1063"/>
      <c r="O3491" s="1063"/>
      <c r="P3491" s="1063"/>
      <c r="Q3491" s="1063"/>
      <c r="R3491" s="1063"/>
      <c r="S3491" s="1063"/>
      <c r="T3491" s="1063"/>
      <c r="U3491" s="1063"/>
      <c r="V3491" s="1063"/>
      <c r="W3491" s="1063"/>
      <c r="X3491" s="1063"/>
      <c r="Y3491" s="1063"/>
      <c r="Z3491" s="1063"/>
      <c r="AA3491" s="1063"/>
      <c r="AB3491" s="1063"/>
      <c r="AC3491" s="1063"/>
      <c r="AD3491" s="1063"/>
      <c r="AE3491" s="1063"/>
      <c r="AF3491" s="1063"/>
      <c r="AG3491" s="1063"/>
      <c r="AH3491" s="1063"/>
      <c r="AI3491" s="1063"/>
      <c r="AJ3491" s="1063"/>
      <c r="AK3491" s="1063"/>
      <c r="AL3491" s="1063"/>
      <c r="AM3491" s="1063"/>
      <c r="AN3491" s="1063"/>
      <c r="AO3491" s="1063"/>
      <c r="AP3491" s="1063"/>
      <c r="AQ3491" s="1063"/>
      <c r="AR3491" s="1063"/>
      <c r="AS3491" s="1063"/>
      <c r="AT3491" s="1063"/>
      <c r="AU3491" s="1063"/>
      <c r="AV3491" s="1063"/>
    </row>
    <row r="3492" spans="1:48" s="1108" customFormat="1" ht="27.75" customHeight="1">
      <c r="A3492" s="1076"/>
      <c r="B3492" s="1074">
        <f>+'[18]Bldg+Dev'!S4304</f>
        <v>0</v>
      </c>
      <c r="D3492" s="1063"/>
      <c r="F3492" s="1076"/>
      <c r="G3492" s="1063"/>
      <c r="H3492" s="1063"/>
      <c r="I3492" s="1063"/>
      <c r="J3492" s="1063"/>
      <c r="K3492" s="1063"/>
      <c r="L3492" s="1063"/>
      <c r="M3492" s="1063"/>
      <c r="N3492" s="1063"/>
      <c r="O3492" s="1063"/>
      <c r="P3492" s="1063"/>
      <c r="Q3492" s="1063"/>
      <c r="R3492" s="1063"/>
      <c r="S3492" s="1063"/>
      <c r="T3492" s="1063"/>
      <c r="U3492" s="1063"/>
      <c r="V3492" s="1063"/>
      <c r="W3492" s="1063"/>
      <c r="X3492" s="1063"/>
      <c r="Y3492" s="1063"/>
      <c r="Z3492" s="1063"/>
      <c r="AA3492" s="1063"/>
      <c r="AB3492" s="1063"/>
      <c r="AC3492" s="1063"/>
      <c r="AD3492" s="1063"/>
      <c r="AE3492" s="1063"/>
      <c r="AF3492" s="1063"/>
      <c r="AG3492" s="1063"/>
      <c r="AH3492" s="1063"/>
      <c r="AI3492" s="1063"/>
      <c r="AJ3492" s="1063"/>
      <c r="AK3492" s="1063"/>
      <c r="AL3492" s="1063"/>
      <c r="AM3492" s="1063"/>
      <c r="AN3492" s="1063"/>
      <c r="AO3492" s="1063"/>
      <c r="AP3492" s="1063"/>
      <c r="AQ3492" s="1063"/>
      <c r="AR3492" s="1063"/>
      <c r="AS3492" s="1063"/>
      <c r="AT3492" s="1063"/>
      <c r="AU3492" s="1063"/>
      <c r="AV3492" s="1063"/>
    </row>
    <row r="3493" spans="1:48" s="1108" customFormat="1" ht="27.75" customHeight="1">
      <c r="A3493" s="1076"/>
      <c r="B3493" s="1074">
        <f>+'[18]Bldg+Dev'!S4305</f>
        <v>0</v>
      </c>
      <c r="D3493" s="1063"/>
      <c r="F3493" s="1076"/>
      <c r="G3493" s="1063"/>
      <c r="H3493" s="1063"/>
      <c r="I3493" s="1063"/>
      <c r="J3493" s="1063"/>
      <c r="K3493" s="1063"/>
      <c r="L3493" s="1063"/>
      <c r="M3493" s="1063"/>
      <c r="N3493" s="1063"/>
      <c r="O3493" s="1063"/>
      <c r="P3493" s="1063"/>
      <c r="Q3493" s="1063"/>
      <c r="R3493" s="1063"/>
      <c r="S3493" s="1063"/>
      <c r="T3493" s="1063"/>
      <c r="U3493" s="1063"/>
      <c r="V3493" s="1063"/>
      <c r="W3493" s="1063"/>
      <c r="X3493" s="1063"/>
      <c r="Y3493" s="1063"/>
      <c r="Z3493" s="1063"/>
      <c r="AA3493" s="1063"/>
      <c r="AB3493" s="1063"/>
      <c r="AC3493" s="1063"/>
      <c r="AD3493" s="1063"/>
      <c r="AE3493" s="1063"/>
      <c r="AF3493" s="1063"/>
      <c r="AG3493" s="1063"/>
      <c r="AH3493" s="1063"/>
      <c r="AI3493" s="1063"/>
      <c r="AJ3493" s="1063"/>
      <c r="AK3493" s="1063"/>
      <c r="AL3493" s="1063"/>
      <c r="AM3493" s="1063"/>
      <c r="AN3493" s="1063"/>
      <c r="AO3493" s="1063"/>
      <c r="AP3493" s="1063"/>
      <c r="AQ3493" s="1063"/>
      <c r="AR3493" s="1063"/>
      <c r="AS3493" s="1063"/>
      <c r="AT3493" s="1063"/>
      <c r="AU3493" s="1063"/>
      <c r="AV3493" s="1063"/>
    </row>
    <row r="3494" spans="1:48" s="1108" customFormat="1" ht="27.75" customHeight="1">
      <c r="A3494" s="1076"/>
      <c r="B3494" s="1074">
        <f>+'[18]Bldg+Dev'!S4306</f>
        <v>0</v>
      </c>
      <c r="D3494" s="1063"/>
      <c r="F3494" s="1076"/>
      <c r="G3494" s="1063"/>
      <c r="H3494" s="1063"/>
      <c r="I3494" s="1063"/>
      <c r="J3494" s="1063"/>
      <c r="K3494" s="1063"/>
      <c r="L3494" s="1063"/>
      <c r="M3494" s="1063"/>
      <c r="N3494" s="1063"/>
      <c r="O3494" s="1063"/>
      <c r="P3494" s="1063"/>
      <c r="Q3494" s="1063"/>
      <c r="R3494" s="1063"/>
      <c r="S3494" s="1063"/>
      <c r="T3494" s="1063"/>
      <c r="U3494" s="1063"/>
      <c r="V3494" s="1063"/>
      <c r="W3494" s="1063"/>
      <c r="X3494" s="1063"/>
      <c r="Y3494" s="1063"/>
      <c r="Z3494" s="1063"/>
      <c r="AA3494" s="1063"/>
      <c r="AB3494" s="1063"/>
      <c r="AC3494" s="1063"/>
      <c r="AD3494" s="1063"/>
      <c r="AE3494" s="1063"/>
      <c r="AF3494" s="1063"/>
      <c r="AG3494" s="1063"/>
      <c r="AH3494" s="1063"/>
      <c r="AI3494" s="1063"/>
      <c r="AJ3494" s="1063"/>
      <c r="AK3494" s="1063"/>
      <c r="AL3494" s="1063"/>
      <c r="AM3494" s="1063"/>
      <c r="AN3494" s="1063"/>
      <c r="AO3494" s="1063"/>
      <c r="AP3494" s="1063"/>
      <c r="AQ3494" s="1063"/>
      <c r="AR3494" s="1063"/>
      <c r="AS3494" s="1063"/>
      <c r="AT3494" s="1063"/>
      <c r="AU3494" s="1063"/>
      <c r="AV3494" s="1063"/>
    </row>
    <row r="3495" spans="1:48" s="1108" customFormat="1" ht="27.75" customHeight="1">
      <c r="A3495" s="1076"/>
      <c r="B3495" s="1074">
        <f>+'[18]Bldg+Dev'!S4307</f>
        <v>0</v>
      </c>
      <c r="D3495" s="1063"/>
      <c r="F3495" s="1076"/>
      <c r="G3495" s="1063"/>
      <c r="H3495" s="1063"/>
      <c r="I3495" s="1063"/>
      <c r="J3495" s="1063"/>
      <c r="K3495" s="1063"/>
      <c r="L3495" s="1063"/>
      <c r="M3495" s="1063"/>
      <c r="N3495" s="1063"/>
      <c r="O3495" s="1063"/>
      <c r="P3495" s="1063"/>
      <c r="Q3495" s="1063"/>
      <c r="R3495" s="1063"/>
      <c r="S3495" s="1063"/>
      <c r="T3495" s="1063"/>
      <c r="U3495" s="1063"/>
      <c r="V3495" s="1063"/>
      <c r="W3495" s="1063"/>
      <c r="X3495" s="1063"/>
      <c r="Y3495" s="1063"/>
      <c r="Z3495" s="1063"/>
      <c r="AA3495" s="1063"/>
      <c r="AB3495" s="1063"/>
      <c r="AC3495" s="1063"/>
      <c r="AD3495" s="1063"/>
      <c r="AE3495" s="1063"/>
      <c r="AF3495" s="1063"/>
      <c r="AG3495" s="1063"/>
      <c r="AH3495" s="1063"/>
      <c r="AI3495" s="1063"/>
      <c r="AJ3495" s="1063"/>
      <c r="AK3495" s="1063"/>
      <c r="AL3495" s="1063"/>
      <c r="AM3495" s="1063"/>
      <c r="AN3495" s="1063"/>
      <c r="AO3495" s="1063"/>
      <c r="AP3495" s="1063"/>
      <c r="AQ3495" s="1063"/>
      <c r="AR3495" s="1063"/>
      <c r="AS3495" s="1063"/>
      <c r="AT3495" s="1063"/>
      <c r="AU3495" s="1063"/>
      <c r="AV3495" s="1063"/>
    </row>
    <row r="3496" spans="1:48" s="1108" customFormat="1" ht="27.75" customHeight="1">
      <c r="A3496" s="1076"/>
      <c r="B3496" s="1074">
        <f>+'[18]Bldg+Dev'!S4308</f>
        <v>0</v>
      </c>
      <c r="D3496" s="1063"/>
      <c r="F3496" s="1076"/>
      <c r="G3496" s="1063"/>
      <c r="H3496" s="1063"/>
      <c r="I3496" s="1063"/>
      <c r="J3496" s="1063"/>
      <c r="K3496" s="1063"/>
      <c r="L3496" s="1063"/>
      <c r="M3496" s="1063"/>
      <c r="N3496" s="1063"/>
      <c r="O3496" s="1063"/>
      <c r="P3496" s="1063"/>
      <c r="Q3496" s="1063"/>
      <c r="R3496" s="1063"/>
      <c r="S3496" s="1063"/>
      <c r="T3496" s="1063"/>
      <c r="U3496" s="1063"/>
      <c r="V3496" s="1063"/>
      <c r="W3496" s="1063"/>
      <c r="X3496" s="1063"/>
      <c r="Y3496" s="1063"/>
      <c r="Z3496" s="1063"/>
      <c r="AA3496" s="1063"/>
      <c r="AB3496" s="1063"/>
      <c r="AC3496" s="1063"/>
      <c r="AD3496" s="1063"/>
      <c r="AE3496" s="1063"/>
      <c r="AF3496" s="1063"/>
      <c r="AG3496" s="1063"/>
      <c r="AH3496" s="1063"/>
      <c r="AI3496" s="1063"/>
      <c r="AJ3496" s="1063"/>
      <c r="AK3496" s="1063"/>
      <c r="AL3496" s="1063"/>
      <c r="AM3496" s="1063"/>
      <c r="AN3496" s="1063"/>
      <c r="AO3496" s="1063"/>
      <c r="AP3496" s="1063"/>
      <c r="AQ3496" s="1063"/>
      <c r="AR3496" s="1063"/>
      <c r="AS3496" s="1063"/>
      <c r="AT3496" s="1063"/>
      <c r="AU3496" s="1063"/>
      <c r="AV3496" s="1063"/>
    </row>
    <row r="3497" spans="1:48" s="1108" customFormat="1" ht="27.75" customHeight="1">
      <c r="A3497" s="1076"/>
      <c r="B3497" s="1074">
        <f>+'[18]Bldg+Dev'!S4309</f>
        <v>0</v>
      </c>
      <c r="D3497" s="1063"/>
      <c r="F3497" s="1076"/>
      <c r="G3497" s="1063"/>
      <c r="H3497" s="1063"/>
      <c r="I3497" s="1063"/>
      <c r="J3497" s="1063"/>
      <c r="K3497" s="1063"/>
      <c r="L3497" s="1063"/>
      <c r="M3497" s="1063"/>
      <c r="N3497" s="1063"/>
      <c r="O3497" s="1063"/>
      <c r="P3497" s="1063"/>
      <c r="Q3497" s="1063"/>
      <c r="R3497" s="1063"/>
      <c r="S3497" s="1063"/>
      <c r="T3497" s="1063"/>
      <c r="U3497" s="1063"/>
      <c r="V3497" s="1063"/>
      <c r="W3497" s="1063"/>
      <c r="X3497" s="1063"/>
      <c r="Y3497" s="1063"/>
      <c r="Z3497" s="1063"/>
      <c r="AA3497" s="1063"/>
      <c r="AB3497" s="1063"/>
      <c r="AC3497" s="1063"/>
      <c r="AD3497" s="1063"/>
      <c r="AE3497" s="1063"/>
      <c r="AF3497" s="1063"/>
      <c r="AG3497" s="1063"/>
      <c r="AH3497" s="1063"/>
      <c r="AI3497" s="1063"/>
      <c r="AJ3497" s="1063"/>
      <c r="AK3497" s="1063"/>
      <c r="AL3497" s="1063"/>
      <c r="AM3497" s="1063"/>
      <c r="AN3497" s="1063"/>
      <c r="AO3497" s="1063"/>
      <c r="AP3497" s="1063"/>
      <c r="AQ3497" s="1063"/>
      <c r="AR3497" s="1063"/>
      <c r="AS3497" s="1063"/>
      <c r="AT3497" s="1063"/>
      <c r="AU3497" s="1063"/>
      <c r="AV3497" s="1063"/>
    </row>
    <row r="3498" spans="1:48" s="1108" customFormat="1" ht="27.75" customHeight="1">
      <c r="A3498" s="1076"/>
      <c r="B3498" s="1074">
        <f>+'[18]Bldg+Dev'!S4310</f>
        <v>0</v>
      </c>
      <c r="D3498" s="1063"/>
      <c r="F3498" s="1076"/>
      <c r="G3498" s="1063"/>
      <c r="H3498" s="1063"/>
      <c r="I3498" s="1063"/>
      <c r="J3498" s="1063"/>
      <c r="K3498" s="1063"/>
      <c r="L3498" s="1063"/>
      <c r="M3498" s="1063"/>
      <c r="N3498" s="1063"/>
      <c r="O3498" s="1063"/>
      <c r="P3498" s="1063"/>
      <c r="Q3498" s="1063"/>
      <c r="R3498" s="1063"/>
      <c r="S3498" s="1063"/>
      <c r="T3498" s="1063"/>
      <c r="U3498" s="1063"/>
      <c r="V3498" s="1063"/>
      <c r="W3498" s="1063"/>
      <c r="X3498" s="1063"/>
      <c r="Y3498" s="1063"/>
      <c r="Z3498" s="1063"/>
      <c r="AA3498" s="1063"/>
      <c r="AB3498" s="1063"/>
      <c r="AC3498" s="1063"/>
      <c r="AD3498" s="1063"/>
      <c r="AE3498" s="1063"/>
      <c r="AF3498" s="1063"/>
      <c r="AG3498" s="1063"/>
      <c r="AH3498" s="1063"/>
      <c r="AI3498" s="1063"/>
      <c r="AJ3498" s="1063"/>
      <c r="AK3498" s="1063"/>
      <c r="AL3498" s="1063"/>
      <c r="AM3498" s="1063"/>
      <c r="AN3498" s="1063"/>
      <c r="AO3498" s="1063"/>
      <c r="AP3498" s="1063"/>
      <c r="AQ3498" s="1063"/>
      <c r="AR3498" s="1063"/>
      <c r="AS3498" s="1063"/>
      <c r="AT3498" s="1063"/>
      <c r="AU3498" s="1063"/>
      <c r="AV3498" s="1063"/>
    </row>
    <row r="3499" spans="1:48" s="1108" customFormat="1" ht="27.75" customHeight="1">
      <c r="A3499" s="1076"/>
      <c r="B3499" s="1074">
        <f>+'[18]Bldg+Dev'!S4311</f>
        <v>0</v>
      </c>
      <c r="D3499" s="1063"/>
      <c r="F3499" s="1076"/>
      <c r="G3499" s="1063"/>
      <c r="H3499" s="1063"/>
      <c r="I3499" s="1063"/>
      <c r="J3499" s="1063"/>
      <c r="K3499" s="1063"/>
      <c r="L3499" s="1063"/>
      <c r="M3499" s="1063"/>
      <c r="N3499" s="1063"/>
      <c r="O3499" s="1063"/>
      <c r="P3499" s="1063"/>
      <c r="Q3499" s="1063"/>
      <c r="R3499" s="1063"/>
      <c r="S3499" s="1063"/>
      <c r="T3499" s="1063"/>
      <c r="U3499" s="1063"/>
      <c r="V3499" s="1063"/>
      <c r="W3499" s="1063"/>
      <c r="X3499" s="1063"/>
      <c r="Y3499" s="1063"/>
      <c r="Z3499" s="1063"/>
      <c r="AA3499" s="1063"/>
      <c r="AB3499" s="1063"/>
      <c r="AC3499" s="1063"/>
      <c r="AD3499" s="1063"/>
      <c r="AE3499" s="1063"/>
      <c r="AF3499" s="1063"/>
      <c r="AG3499" s="1063"/>
      <c r="AH3499" s="1063"/>
      <c r="AI3499" s="1063"/>
      <c r="AJ3499" s="1063"/>
      <c r="AK3499" s="1063"/>
      <c r="AL3499" s="1063"/>
      <c r="AM3499" s="1063"/>
      <c r="AN3499" s="1063"/>
      <c r="AO3499" s="1063"/>
      <c r="AP3499" s="1063"/>
      <c r="AQ3499" s="1063"/>
      <c r="AR3499" s="1063"/>
      <c r="AS3499" s="1063"/>
      <c r="AT3499" s="1063"/>
      <c r="AU3499" s="1063"/>
      <c r="AV3499" s="1063"/>
    </row>
    <row r="3500" spans="1:48" s="1108" customFormat="1" ht="27.75" customHeight="1">
      <c r="A3500" s="1076"/>
      <c r="B3500" s="1074">
        <f>+'[18]Bldg+Dev'!S4312</f>
        <v>0</v>
      </c>
      <c r="D3500" s="1063"/>
      <c r="F3500" s="1076"/>
      <c r="G3500" s="1063"/>
      <c r="H3500" s="1063"/>
      <c r="I3500" s="1063"/>
      <c r="J3500" s="1063"/>
      <c r="K3500" s="1063"/>
      <c r="L3500" s="1063"/>
      <c r="M3500" s="1063"/>
      <c r="N3500" s="1063"/>
      <c r="O3500" s="1063"/>
      <c r="P3500" s="1063"/>
      <c r="Q3500" s="1063"/>
      <c r="R3500" s="1063"/>
      <c r="S3500" s="1063"/>
      <c r="T3500" s="1063"/>
      <c r="U3500" s="1063"/>
      <c r="V3500" s="1063"/>
      <c r="W3500" s="1063"/>
      <c r="X3500" s="1063"/>
      <c r="Y3500" s="1063"/>
      <c r="Z3500" s="1063"/>
      <c r="AA3500" s="1063"/>
      <c r="AB3500" s="1063"/>
      <c r="AC3500" s="1063"/>
      <c r="AD3500" s="1063"/>
      <c r="AE3500" s="1063"/>
      <c r="AF3500" s="1063"/>
      <c r="AG3500" s="1063"/>
      <c r="AH3500" s="1063"/>
      <c r="AI3500" s="1063"/>
      <c r="AJ3500" s="1063"/>
      <c r="AK3500" s="1063"/>
      <c r="AL3500" s="1063"/>
      <c r="AM3500" s="1063"/>
      <c r="AN3500" s="1063"/>
      <c r="AO3500" s="1063"/>
      <c r="AP3500" s="1063"/>
      <c r="AQ3500" s="1063"/>
      <c r="AR3500" s="1063"/>
      <c r="AS3500" s="1063"/>
      <c r="AT3500" s="1063"/>
      <c r="AU3500" s="1063"/>
      <c r="AV3500" s="1063"/>
    </row>
    <row r="3501" spans="1:48" s="1108" customFormat="1" ht="27.75" customHeight="1">
      <c r="A3501" s="1076"/>
      <c r="B3501" s="1074">
        <f>+'[18]Bldg+Dev'!S4313</f>
        <v>0</v>
      </c>
      <c r="D3501" s="1063"/>
      <c r="F3501" s="1076"/>
      <c r="G3501" s="1063"/>
      <c r="H3501" s="1063"/>
      <c r="I3501" s="1063"/>
      <c r="J3501" s="1063"/>
      <c r="K3501" s="1063"/>
      <c r="L3501" s="1063"/>
      <c r="M3501" s="1063"/>
      <c r="N3501" s="1063"/>
      <c r="O3501" s="1063"/>
      <c r="P3501" s="1063"/>
      <c r="Q3501" s="1063"/>
      <c r="R3501" s="1063"/>
      <c r="S3501" s="1063"/>
      <c r="T3501" s="1063"/>
      <c r="U3501" s="1063"/>
      <c r="V3501" s="1063"/>
      <c r="W3501" s="1063"/>
      <c r="X3501" s="1063"/>
      <c r="Y3501" s="1063"/>
      <c r="Z3501" s="1063"/>
      <c r="AA3501" s="1063"/>
      <c r="AB3501" s="1063"/>
      <c r="AC3501" s="1063"/>
      <c r="AD3501" s="1063"/>
      <c r="AE3501" s="1063"/>
      <c r="AF3501" s="1063"/>
      <c r="AG3501" s="1063"/>
      <c r="AH3501" s="1063"/>
      <c r="AI3501" s="1063"/>
      <c r="AJ3501" s="1063"/>
      <c r="AK3501" s="1063"/>
      <c r="AL3501" s="1063"/>
      <c r="AM3501" s="1063"/>
      <c r="AN3501" s="1063"/>
      <c r="AO3501" s="1063"/>
      <c r="AP3501" s="1063"/>
      <c r="AQ3501" s="1063"/>
      <c r="AR3501" s="1063"/>
      <c r="AS3501" s="1063"/>
      <c r="AT3501" s="1063"/>
      <c r="AU3501" s="1063"/>
      <c r="AV3501" s="1063"/>
    </row>
    <row r="3502" spans="1:48" s="1108" customFormat="1" ht="27.75" customHeight="1">
      <c r="A3502" s="1076"/>
      <c r="B3502" s="1074">
        <f>+'[18]Bldg+Dev'!S4314</f>
        <v>0</v>
      </c>
      <c r="D3502" s="1063"/>
      <c r="F3502" s="1076"/>
      <c r="G3502" s="1063"/>
      <c r="H3502" s="1063"/>
      <c r="I3502" s="1063"/>
      <c r="J3502" s="1063"/>
      <c r="K3502" s="1063"/>
      <c r="L3502" s="1063"/>
      <c r="M3502" s="1063"/>
      <c r="N3502" s="1063"/>
      <c r="O3502" s="1063"/>
      <c r="P3502" s="1063"/>
      <c r="Q3502" s="1063"/>
      <c r="R3502" s="1063"/>
      <c r="S3502" s="1063"/>
      <c r="T3502" s="1063"/>
      <c r="U3502" s="1063"/>
      <c r="V3502" s="1063"/>
      <c r="W3502" s="1063"/>
      <c r="X3502" s="1063"/>
      <c r="Y3502" s="1063"/>
      <c r="Z3502" s="1063"/>
      <c r="AA3502" s="1063"/>
      <c r="AB3502" s="1063"/>
      <c r="AC3502" s="1063"/>
      <c r="AD3502" s="1063"/>
      <c r="AE3502" s="1063"/>
      <c r="AF3502" s="1063"/>
      <c r="AG3502" s="1063"/>
      <c r="AH3502" s="1063"/>
      <c r="AI3502" s="1063"/>
      <c r="AJ3502" s="1063"/>
      <c r="AK3502" s="1063"/>
      <c r="AL3502" s="1063"/>
      <c r="AM3502" s="1063"/>
      <c r="AN3502" s="1063"/>
      <c r="AO3502" s="1063"/>
      <c r="AP3502" s="1063"/>
      <c r="AQ3502" s="1063"/>
      <c r="AR3502" s="1063"/>
      <c r="AS3502" s="1063"/>
      <c r="AT3502" s="1063"/>
      <c r="AU3502" s="1063"/>
      <c r="AV3502" s="1063"/>
    </row>
    <row r="3503" spans="1:48" s="1108" customFormat="1" ht="27.75" customHeight="1">
      <c r="A3503" s="1076"/>
      <c r="B3503" s="1074">
        <f>+'[18]Bldg+Dev'!S4315</f>
        <v>0</v>
      </c>
      <c r="D3503" s="1063"/>
      <c r="F3503" s="1076"/>
      <c r="G3503" s="1063"/>
      <c r="H3503" s="1063"/>
      <c r="I3503" s="1063"/>
      <c r="J3503" s="1063"/>
      <c r="K3503" s="1063"/>
      <c r="L3503" s="1063"/>
      <c r="M3503" s="1063"/>
      <c r="N3503" s="1063"/>
      <c r="O3503" s="1063"/>
      <c r="P3503" s="1063"/>
      <c r="Q3503" s="1063"/>
      <c r="R3503" s="1063"/>
      <c r="S3503" s="1063"/>
      <c r="T3503" s="1063"/>
      <c r="U3503" s="1063"/>
      <c r="V3503" s="1063"/>
      <c r="W3503" s="1063"/>
      <c r="X3503" s="1063"/>
      <c r="Y3503" s="1063"/>
      <c r="Z3503" s="1063"/>
      <c r="AA3503" s="1063"/>
      <c r="AB3503" s="1063"/>
      <c r="AC3503" s="1063"/>
      <c r="AD3503" s="1063"/>
      <c r="AE3503" s="1063"/>
      <c r="AF3503" s="1063"/>
      <c r="AG3503" s="1063"/>
      <c r="AH3503" s="1063"/>
      <c r="AI3503" s="1063"/>
      <c r="AJ3503" s="1063"/>
      <c r="AK3503" s="1063"/>
      <c r="AL3503" s="1063"/>
      <c r="AM3503" s="1063"/>
      <c r="AN3503" s="1063"/>
      <c r="AO3503" s="1063"/>
      <c r="AP3503" s="1063"/>
      <c r="AQ3503" s="1063"/>
      <c r="AR3503" s="1063"/>
      <c r="AS3503" s="1063"/>
      <c r="AT3503" s="1063"/>
      <c r="AU3503" s="1063"/>
      <c r="AV3503" s="1063"/>
    </row>
    <row r="3504" spans="1:48" s="1108" customFormat="1" ht="27.75" customHeight="1">
      <c r="A3504" s="1076"/>
      <c r="B3504" s="1074">
        <f>+'[18]Bldg+Dev'!S4316</f>
        <v>0</v>
      </c>
      <c r="D3504" s="1063"/>
      <c r="F3504" s="1076"/>
      <c r="G3504" s="1063"/>
      <c r="H3504" s="1063"/>
      <c r="I3504" s="1063"/>
      <c r="J3504" s="1063"/>
      <c r="K3504" s="1063"/>
      <c r="L3504" s="1063"/>
      <c r="M3504" s="1063"/>
      <c r="N3504" s="1063"/>
      <c r="O3504" s="1063"/>
      <c r="P3504" s="1063"/>
      <c r="Q3504" s="1063"/>
      <c r="R3504" s="1063"/>
      <c r="S3504" s="1063"/>
      <c r="T3504" s="1063"/>
      <c r="U3504" s="1063"/>
      <c r="V3504" s="1063"/>
      <c r="W3504" s="1063"/>
      <c r="X3504" s="1063"/>
      <c r="Y3504" s="1063"/>
      <c r="Z3504" s="1063"/>
      <c r="AA3504" s="1063"/>
      <c r="AB3504" s="1063"/>
      <c r="AC3504" s="1063"/>
      <c r="AD3504" s="1063"/>
      <c r="AE3504" s="1063"/>
      <c r="AF3504" s="1063"/>
      <c r="AG3504" s="1063"/>
      <c r="AH3504" s="1063"/>
      <c r="AI3504" s="1063"/>
      <c r="AJ3504" s="1063"/>
      <c r="AK3504" s="1063"/>
      <c r="AL3504" s="1063"/>
      <c r="AM3504" s="1063"/>
      <c r="AN3504" s="1063"/>
      <c r="AO3504" s="1063"/>
      <c r="AP3504" s="1063"/>
      <c r="AQ3504" s="1063"/>
      <c r="AR3504" s="1063"/>
      <c r="AS3504" s="1063"/>
      <c r="AT3504" s="1063"/>
      <c r="AU3504" s="1063"/>
      <c r="AV3504" s="1063"/>
    </row>
    <row r="3505" spans="1:48" s="1108" customFormat="1" ht="27.75" customHeight="1">
      <c r="A3505" s="1076"/>
      <c r="B3505" s="1074">
        <f>+'[18]Bldg+Dev'!S4317</f>
        <v>0</v>
      </c>
      <c r="D3505" s="1063"/>
      <c r="F3505" s="1076"/>
      <c r="G3505" s="1063"/>
      <c r="H3505" s="1063"/>
      <c r="I3505" s="1063"/>
      <c r="J3505" s="1063"/>
      <c r="K3505" s="1063"/>
      <c r="L3505" s="1063"/>
      <c r="M3505" s="1063"/>
      <c r="N3505" s="1063"/>
      <c r="O3505" s="1063"/>
      <c r="P3505" s="1063"/>
      <c r="Q3505" s="1063"/>
      <c r="R3505" s="1063"/>
      <c r="S3505" s="1063"/>
      <c r="T3505" s="1063"/>
      <c r="U3505" s="1063"/>
      <c r="V3505" s="1063"/>
      <c r="W3505" s="1063"/>
      <c r="X3505" s="1063"/>
      <c r="Y3505" s="1063"/>
      <c r="Z3505" s="1063"/>
      <c r="AA3505" s="1063"/>
      <c r="AB3505" s="1063"/>
      <c r="AC3505" s="1063"/>
      <c r="AD3505" s="1063"/>
      <c r="AE3505" s="1063"/>
      <c r="AF3505" s="1063"/>
      <c r="AG3505" s="1063"/>
      <c r="AH3505" s="1063"/>
      <c r="AI3505" s="1063"/>
      <c r="AJ3505" s="1063"/>
      <c r="AK3505" s="1063"/>
      <c r="AL3505" s="1063"/>
      <c r="AM3505" s="1063"/>
      <c r="AN3505" s="1063"/>
      <c r="AO3505" s="1063"/>
      <c r="AP3505" s="1063"/>
      <c r="AQ3505" s="1063"/>
      <c r="AR3505" s="1063"/>
      <c r="AS3505" s="1063"/>
      <c r="AT3505" s="1063"/>
      <c r="AU3505" s="1063"/>
      <c r="AV3505" s="1063"/>
    </row>
    <row r="3506" spans="1:48" s="1108" customFormat="1" ht="27.75" customHeight="1">
      <c r="A3506" s="1076"/>
      <c r="B3506" s="1074">
        <f>+'[18]Bldg+Dev'!S4318</f>
        <v>0</v>
      </c>
      <c r="D3506" s="1063"/>
      <c r="F3506" s="1076"/>
      <c r="G3506" s="1063"/>
      <c r="H3506" s="1063"/>
      <c r="I3506" s="1063"/>
      <c r="J3506" s="1063"/>
      <c r="K3506" s="1063"/>
      <c r="L3506" s="1063"/>
      <c r="M3506" s="1063"/>
      <c r="N3506" s="1063"/>
      <c r="O3506" s="1063"/>
      <c r="P3506" s="1063"/>
      <c r="Q3506" s="1063"/>
      <c r="R3506" s="1063"/>
      <c r="S3506" s="1063"/>
      <c r="T3506" s="1063"/>
      <c r="U3506" s="1063"/>
      <c r="V3506" s="1063"/>
      <c r="W3506" s="1063"/>
      <c r="X3506" s="1063"/>
      <c r="Y3506" s="1063"/>
      <c r="Z3506" s="1063"/>
      <c r="AA3506" s="1063"/>
      <c r="AB3506" s="1063"/>
      <c r="AC3506" s="1063"/>
      <c r="AD3506" s="1063"/>
      <c r="AE3506" s="1063"/>
      <c r="AF3506" s="1063"/>
      <c r="AG3506" s="1063"/>
      <c r="AH3506" s="1063"/>
      <c r="AI3506" s="1063"/>
      <c r="AJ3506" s="1063"/>
      <c r="AK3506" s="1063"/>
      <c r="AL3506" s="1063"/>
      <c r="AM3506" s="1063"/>
      <c r="AN3506" s="1063"/>
      <c r="AO3506" s="1063"/>
      <c r="AP3506" s="1063"/>
      <c r="AQ3506" s="1063"/>
      <c r="AR3506" s="1063"/>
      <c r="AS3506" s="1063"/>
      <c r="AT3506" s="1063"/>
      <c r="AU3506" s="1063"/>
      <c r="AV3506" s="1063"/>
    </row>
    <row r="3507" spans="1:48" s="1108" customFormat="1" ht="27.75" customHeight="1">
      <c r="A3507" s="1076"/>
      <c r="B3507" s="1074">
        <f>+'[18]Bldg+Dev'!S4319</f>
        <v>0</v>
      </c>
      <c r="D3507" s="1063"/>
      <c r="F3507" s="1076"/>
      <c r="G3507" s="1063"/>
      <c r="H3507" s="1063"/>
      <c r="I3507" s="1063"/>
      <c r="J3507" s="1063"/>
      <c r="K3507" s="1063"/>
      <c r="L3507" s="1063"/>
      <c r="M3507" s="1063"/>
      <c r="N3507" s="1063"/>
      <c r="O3507" s="1063"/>
      <c r="P3507" s="1063"/>
      <c r="Q3507" s="1063"/>
      <c r="R3507" s="1063"/>
      <c r="S3507" s="1063"/>
      <c r="T3507" s="1063"/>
      <c r="U3507" s="1063"/>
      <c r="V3507" s="1063"/>
      <c r="W3507" s="1063"/>
      <c r="X3507" s="1063"/>
      <c r="Y3507" s="1063"/>
      <c r="Z3507" s="1063"/>
      <c r="AA3507" s="1063"/>
      <c r="AB3507" s="1063"/>
      <c r="AC3507" s="1063"/>
      <c r="AD3507" s="1063"/>
      <c r="AE3507" s="1063"/>
      <c r="AF3507" s="1063"/>
      <c r="AG3507" s="1063"/>
      <c r="AH3507" s="1063"/>
      <c r="AI3507" s="1063"/>
      <c r="AJ3507" s="1063"/>
      <c r="AK3507" s="1063"/>
      <c r="AL3507" s="1063"/>
      <c r="AM3507" s="1063"/>
      <c r="AN3507" s="1063"/>
      <c r="AO3507" s="1063"/>
      <c r="AP3507" s="1063"/>
      <c r="AQ3507" s="1063"/>
      <c r="AR3507" s="1063"/>
      <c r="AS3507" s="1063"/>
      <c r="AT3507" s="1063"/>
      <c r="AU3507" s="1063"/>
      <c r="AV3507" s="1063"/>
    </row>
    <row r="3508" spans="1:48" s="1108" customFormat="1" ht="27.75" customHeight="1">
      <c r="A3508" s="1076"/>
      <c r="B3508" s="1074">
        <f>+'[18]Bldg+Dev'!S4320</f>
        <v>0</v>
      </c>
      <c r="D3508" s="1063"/>
      <c r="F3508" s="1076"/>
      <c r="G3508" s="1063"/>
      <c r="H3508" s="1063"/>
      <c r="I3508" s="1063"/>
      <c r="J3508" s="1063"/>
      <c r="K3508" s="1063"/>
      <c r="L3508" s="1063"/>
      <c r="M3508" s="1063"/>
      <c r="N3508" s="1063"/>
      <c r="O3508" s="1063"/>
      <c r="P3508" s="1063"/>
      <c r="Q3508" s="1063"/>
      <c r="R3508" s="1063"/>
      <c r="S3508" s="1063"/>
      <c r="T3508" s="1063"/>
      <c r="U3508" s="1063"/>
      <c r="V3508" s="1063"/>
      <c r="W3508" s="1063"/>
      <c r="X3508" s="1063"/>
      <c r="Y3508" s="1063"/>
      <c r="Z3508" s="1063"/>
      <c r="AA3508" s="1063"/>
      <c r="AB3508" s="1063"/>
      <c r="AC3508" s="1063"/>
      <c r="AD3508" s="1063"/>
      <c r="AE3508" s="1063"/>
      <c r="AF3508" s="1063"/>
      <c r="AG3508" s="1063"/>
      <c r="AH3508" s="1063"/>
      <c r="AI3508" s="1063"/>
      <c r="AJ3508" s="1063"/>
      <c r="AK3508" s="1063"/>
      <c r="AL3508" s="1063"/>
      <c r="AM3508" s="1063"/>
      <c r="AN3508" s="1063"/>
      <c r="AO3508" s="1063"/>
      <c r="AP3508" s="1063"/>
      <c r="AQ3508" s="1063"/>
      <c r="AR3508" s="1063"/>
      <c r="AS3508" s="1063"/>
      <c r="AT3508" s="1063"/>
      <c r="AU3508" s="1063"/>
      <c r="AV3508" s="1063"/>
    </row>
    <row r="3509" spans="1:48" s="1108" customFormat="1" ht="27.75" customHeight="1">
      <c r="A3509" s="1076"/>
      <c r="B3509" s="1074">
        <f>+'[18]Bldg+Dev'!S4321</f>
        <v>0</v>
      </c>
      <c r="D3509" s="1063"/>
      <c r="F3509" s="1076"/>
      <c r="G3509" s="1063"/>
      <c r="H3509" s="1063"/>
      <c r="I3509" s="1063"/>
      <c r="J3509" s="1063"/>
      <c r="K3509" s="1063"/>
      <c r="L3509" s="1063"/>
      <c r="M3509" s="1063"/>
      <c r="N3509" s="1063"/>
      <c r="O3509" s="1063"/>
      <c r="P3509" s="1063"/>
      <c r="Q3509" s="1063"/>
      <c r="R3509" s="1063"/>
      <c r="S3509" s="1063"/>
      <c r="T3509" s="1063"/>
      <c r="U3509" s="1063"/>
      <c r="V3509" s="1063"/>
      <c r="W3509" s="1063"/>
      <c r="X3509" s="1063"/>
      <c r="Y3509" s="1063"/>
      <c r="Z3509" s="1063"/>
      <c r="AA3509" s="1063"/>
      <c r="AB3509" s="1063"/>
      <c r="AC3509" s="1063"/>
      <c r="AD3509" s="1063"/>
      <c r="AE3509" s="1063"/>
      <c r="AF3509" s="1063"/>
      <c r="AG3509" s="1063"/>
      <c r="AH3509" s="1063"/>
      <c r="AI3509" s="1063"/>
      <c r="AJ3509" s="1063"/>
      <c r="AK3509" s="1063"/>
      <c r="AL3509" s="1063"/>
      <c r="AM3509" s="1063"/>
      <c r="AN3509" s="1063"/>
      <c r="AO3509" s="1063"/>
      <c r="AP3509" s="1063"/>
      <c r="AQ3509" s="1063"/>
      <c r="AR3509" s="1063"/>
      <c r="AS3509" s="1063"/>
      <c r="AT3509" s="1063"/>
      <c r="AU3509" s="1063"/>
      <c r="AV3509" s="1063"/>
    </row>
    <row r="3510" spans="1:48" s="1108" customFormat="1" ht="27.75" customHeight="1">
      <c r="A3510" s="1076"/>
      <c r="B3510" s="1074">
        <f>+'[18]Bldg+Dev'!S4322</f>
        <v>0</v>
      </c>
      <c r="D3510" s="1063"/>
      <c r="F3510" s="1076"/>
      <c r="G3510" s="1063"/>
      <c r="H3510" s="1063"/>
      <c r="I3510" s="1063"/>
      <c r="J3510" s="1063"/>
      <c r="K3510" s="1063"/>
      <c r="L3510" s="1063"/>
      <c r="M3510" s="1063"/>
      <c r="N3510" s="1063"/>
      <c r="O3510" s="1063"/>
      <c r="P3510" s="1063"/>
      <c r="Q3510" s="1063"/>
      <c r="R3510" s="1063"/>
      <c r="S3510" s="1063"/>
      <c r="T3510" s="1063"/>
      <c r="U3510" s="1063"/>
      <c r="V3510" s="1063"/>
      <c r="W3510" s="1063"/>
      <c r="X3510" s="1063"/>
      <c r="Y3510" s="1063"/>
      <c r="Z3510" s="1063"/>
      <c r="AA3510" s="1063"/>
      <c r="AB3510" s="1063"/>
      <c r="AC3510" s="1063"/>
      <c r="AD3510" s="1063"/>
      <c r="AE3510" s="1063"/>
      <c r="AF3510" s="1063"/>
      <c r="AG3510" s="1063"/>
      <c r="AH3510" s="1063"/>
      <c r="AI3510" s="1063"/>
      <c r="AJ3510" s="1063"/>
      <c r="AK3510" s="1063"/>
      <c r="AL3510" s="1063"/>
      <c r="AM3510" s="1063"/>
      <c r="AN3510" s="1063"/>
      <c r="AO3510" s="1063"/>
      <c r="AP3510" s="1063"/>
      <c r="AQ3510" s="1063"/>
      <c r="AR3510" s="1063"/>
      <c r="AS3510" s="1063"/>
      <c r="AT3510" s="1063"/>
      <c r="AU3510" s="1063"/>
      <c r="AV3510" s="1063"/>
    </row>
    <row r="3511" spans="1:48" s="1108" customFormat="1" ht="27.75" customHeight="1">
      <c r="A3511" s="1076"/>
      <c r="B3511" s="1074">
        <f>+'[18]Bldg+Dev'!S4323</f>
        <v>0</v>
      </c>
      <c r="D3511" s="1063"/>
      <c r="F3511" s="1076"/>
      <c r="G3511" s="1063"/>
      <c r="H3511" s="1063"/>
      <c r="I3511" s="1063"/>
      <c r="J3511" s="1063"/>
      <c r="K3511" s="1063"/>
      <c r="L3511" s="1063"/>
      <c r="M3511" s="1063"/>
      <c r="N3511" s="1063"/>
      <c r="O3511" s="1063"/>
      <c r="P3511" s="1063"/>
      <c r="Q3511" s="1063"/>
      <c r="R3511" s="1063"/>
      <c r="S3511" s="1063"/>
      <c r="T3511" s="1063"/>
      <c r="U3511" s="1063"/>
      <c r="V3511" s="1063"/>
      <c r="W3511" s="1063"/>
      <c r="X3511" s="1063"/>
      <c r="Y3511" s="1063"/>
      <c r="Z3511" s="1063"/>
      <c r="AA3511" s="1063"/>
      <c r="AB3511" s="1063"/>
      <c r="AC3511" s="1063"/>
      <c r="AD3511" s="1063"/>
      <c r="AE3511" s="1063"/>
      <c r="AF3511" s="1063"/>
      <c r="AG3511" s="1063"/>
      <c r="AH3511" s="1063"/>
      <c r="AI3511" s="1063"/>
      <c r="AJ3511" s="1063"/>
      <c r="AK3511" s="1063"/>
      <c r="AL3511" s="1063"/>
      <c r="AM3511" s="1063"/>
      <c r="AN3511" s="1063"/>
      <c r="AO3511" s="1063"/>
      <c r="AP3511" s="1063"/>
      <c r="AQ3511" s="1063"/>
      <c r="AR3511" s="1063"/>
      <c r="AS3511" s="1063"/>
      <c r="AT3511" s="1063"/>
      <c r="AU3511" s="1063"/>
      <c r="AV3511" s="1063"/>
    </row>
    <row r="3512" spans="1:48" s="1108" customFormat="1" ht="27.75" customHeight="1">
      <c r="A3512" s="1076"/>
      <c r="B3512" s="1074">
        <f>+'[18]Bldg+Dev'!S4324</f>
        <v>0</v>
      </c>
      <c r="D3512" s="1063"/>
      <c r="F3512" s="1076"/>
      <c r="G3512" s="1063"/>
      <c r="H3512" s="1063"/>
      <c r="I3512" s="1063"/>
      <c r="J3512" s="1063"/>
      <c r="K3512" s="1063"/>
      <c r="L3512" s="1063"/>
      <c r="M3512" s="1063"/>
      <c r="N3512" s="1063"/>
      <c r="O3512" s="1063"/>
      <c r="P3512" s="1063"/>
      <c r="Q3512" s="1063"/>
      <c r="R3512" s="1063"/>
      <c r="S3512" s="1063"/>
      <c r="T3512" s="1063"/>
      <c r="U3512" s="1063"/>
      <c r="V3512" s="1063"/>
      <c r="W3512" s="1063"/>
      <c r="X3512" s="1063"/>
      <c r="Y3512" s="1063"/>
      <c r="Z3512" s="1063"/>
      <c r="AA3512" s="1063"/>
      <c r="AB3512" s="1063"/>
      <c r="AC3512" s="1063"/>
      <c r="AD3512" s="1063"/>
      <c r="AE3512" s="1063"/>
      <c r="AF3512" s="1063"/>
      <c r="AG3512" s="1063"/>
      <c r="AH3512" s="1063"/>
      <c r="AI3512" s="1063"/>
      <c r="AJ3512" s="1063"/>
      <c r="AK3512" s="1063"/>
      <c r="AL3512" s="1063"/>
      <c r="AM3512" s="1063"/>
      <c r="AN3512" s="1063"/>
      <c r="AO3512" s="1063"/>
      <c r="AP3512" s="1063"/>
      <c r="AQ3512" s="1063"/>
      <c r="AR3512" s="1063"/>
      <c r="AS3512" s="1063"/>
      <c r="AT3512" s="1063"/>
      <c r="AU3512" s="1063"/>
      <c r="AV3512" s="1063"/>
    </row>
    <row r="3513" spans="1:48" s="1108" customFormat="1" ht="27.75" customHeight="1">
      <c r="A3513" s="1076"/>
      <c r="B3513" s="1074">
        <f>+'[18]Bldg+Dev'!S4325</f>
        <v>0</v>
      </c>
      <c r="D3513" s="1063"/>
      <c r="F3513" s="1076"/>
      <c r="G3513" s="1063"/>
      <c r="H3513" s="1063"/>
      <c r="I3513" s="1063"/>
      <c r="J3513" s="1063"/>
      <c r="K3513" s="1063"/>
      <c r="L3513" s="1063"/>
      <c r="M3513" s="1063"/>
      <c r="N3513" s="1063"/>
      <c r="O3513" s="1063"/>
      <c r="P3513" s="1063"/>
      <c r="Q3513" s="1063"/>
      <c r="R3513" s="1063"/>
      <c r="S3513" s="1063"/>
      <c r="T3513" s="1063"/>
      <c r="U3513" s="1063"/>
      <c r="V3513" s="1063"/>
      <c r="W3513" s="1063"/>
      <c r="X3513" s="1063"/>
      <c r="Y3513" s="1063"/>
      <c r="Z3513" s="1063"/>
      <c r="AA3513" s="1063"/>
      <c r="AB3513" s="1063"/>
      <c r="AC3513" s="1063"/>
      <c r="AD3513" s="1063"/>
      <c r="AE3513" s="1063"/>
      <c r="AF3513" s="1063"/>
      <c r="AG3513" s="1063"/>
      <c r="AH3513" s="1063"/>
      <c r="AI3513" s="1063"/>
      <c r="AJ3513" s="1063"/>
      <c r="AK3513" s="1063"/>
      <c r="AL3513" s="1063"/>
      <c r="AM3513" s="1063"/>
      <c r="AN3513" s="1063"/>
      <c r="AO3513" s="1063"/>
      <c r="AP3513" s="1063"/>
      <c r="AQ3513" s="1063"/>
      <c r="AR3513" s="1063"/>
      <c r="AS3513" s="1063"/>
      <c r="AT3513" s="1063"/>
      <c r="AU3513" s="1063"/>
      <c r="AV3513" s="1063"/>
    </row>
    <row r="3514" spans="1:48" s="1108" customFormat="1" ht="27.75" customHeight="1">
      <c r="A3514" s="1076"/>
      <c r="B3514" s="1074">
        <f>+'[18]Bldg+Dev'!S4326</f>
        <v>0</v>
      </c>
      <c r="D3514" s="1063"/>
      <c r="F3514" s="1076"/>
      <c r="G3514" s="1063"/>
      <c r="H3514" s="1063"/>
      <c r="I3514" s="1063"/>
      <c r="J3514" s="1063"/>
      <c r="K3514" s="1063"/>
      <c r="L3514" s="1063"/>
      <c r="M3514" s="1063"/>
      <c r="N3514" s="1063"/>
      <c r="O3514" s="1063"/>
      <c r="P3514" s="1063"/>
      <c r="Q3514" s="1063"/>
      <c r="R3514" s="1063"/>
      <c r="S3514" s="1063"/>
      <c r="T3514" s="1063"/>
      <c r="U3514" s="1063"/>
      <c r="V3514" s="1063"/>
      <c r="W3514" s="1063"/>
      <c r="X3514" s="1063"/>
      <c r="Y3514" s="1063"/>
      <c r="Z3514" s="1063"/>
      <c r="AA3514" s="1063"/>
      <c r="AB3514" s="1063"/>
      <c r="AC3514" s="1063"/>
      <c r="AD3514" s="1063"/>
      <c r="AE3514" s="1063"/>
      <c r="AF3514" s="1063"/>
      <c r="AG3514" s="1063"/>
      <c r="AH3514" s="1063"/>
      <c r="AI3514" s="1063"/>
      <c r="AJ3514" s="1063"/>
      <c r="AK3514" s="1063"/>
      <c r="AL3514" s="1063"/>
      <c r="AM3514" s="1063"/>
      <c r="AN3514" s="1063"/>
      <c r="AO3514" s="1063"/>
      <c r="AP3514" s="1063"/>
      <c r="AQ3514" s="1063"/>
      <c r="AR3514" s="1063"/>
      <c r="AS3514" s="1063"/>
      <c r="AT3514" s="1063"/>
      <c r="AU3514" s="1063"/>
      <c r="AV3514" s="1063"/>
    </row>
    <row r="3515" spans="1:48" s="1108" customFormat="1" ht="27.75" customHeight="1">
      <c r="A3515" s="1076"/>
      <c r="B3515" s="1074">
        <f>+'[18]Bldg+Dev'!S4327</f>
        <v>0</v>
      </c>
      <c r="D3515" s="1063"/>
      <c r="F3515" s="1076"/>
      <c r="G3515" s="1063"/>
      <c r="H3515" s="1063"/>
      <c r="I3515" s="1063"/>
      <c r="J3515" s="1063"/>
      <c r="K3515" s="1063"/>
      <c r="L3515" s="1063"/>
      <c r="M3515" s="1063"/>
      <c r="N3515" s="1063"/>
      <c r="O3515" s="1063"/>
      <c r="P3515" s="1063"/>
      <c r="Q3515" s="1063"/>
      <c r="R3515" s="1063"/>
      <c r="S3515" s="1063"/>
      <c r="T3515" s="1063"/>
      <c r="U3515" s="1063"/>
      <c r="V3515" s="1063"/>
      <c r="W3515" s="1063"/>
      <c r="X3515" s="1063"/>
      <c r="Y3515" s="1063"/>
      <c r="Z3515" s="1063"/>
      <c r="AA3515" s="1063"/>
      <c r="AB3515" s="1063"/>
      <c r="AC3515" s="1063"/>
      <c r="AD3515" s="1063"/>
      <c r="AE3515" s="1063"/>
      <c r="AF3515" s="1063"/>
      <c r="AG3515" s="1063"/>
      <c r="AH3515" s="1063"/>
      <c r="AI3515" s="1063"/>
      <c r="AJ3515" s="1063"/>
      <c r="AK3515" s="1063"/>
      <c r="AL3515" s="1063"/>
      <c r="AM3515" s="1063"/>
      <c r="AN3515" s="1063"/>
      <c r="AO3515" s="1063"/>
      <c r="AP3515" s="1063"/>
      <c r="AQ3515" s="1063"/>
      <c r="AR3515" s="1063"/>
      <c r="AS3515" s="1063"/>
      <c r="AT3515" s="1063"/>
      <c r="AU3515" s="1063"/>
      <c r="AV3515" s="1063"/>
    </row>
    <row r="3516" spans="1:48" s="1108" customFormat="1" ht="27.75" customHeight="1">
      <c r="A3516" s="1076"/>
      <c r="B3516" s="1074">
        <f>+'[18]Bldg+Dev'!S4328</f>
        <v>0</v>
      </c>
      <c r="D3516" s="1063"/>
      <c r="F3516" s="1076"/>
      <c r="G3516" s="1063"/>
      <c r="H3516" s="1063"/>
      <c r="I3516" s="1063"/>
      <c r="J3516" s="1063"/>
      <c r="K3516" s="1063"/>
      <c r="L3516" s="1063"/>
      <c r="M3516" s="1063"/>
      <c r="N3516" s="1063"/>
      <c r="O3516" s="1063"/>
      <c r="P3516" s="1063"/>
      <c r="Q3516" s="1063"/>
      <c r="R3516" s="1063"/>
      <c r="S3516" s="1063"/>
      <c r="T3516" s="1063"/>
      <c r="U3516" s="1063"/>
      <c r="V3516" s="1063"/>
      <c r="W3516" s="1063"/>
      <c r="X3516" s="1063"/>
      <c r="Y3516" s="1063"/>
      <c r="Z3516" s="1063"/>
      <c r="AA3516" s="1063"/>
      <c r="AB3516" s="1063"/>
      <c r="AC3516" s="1063"/>
      <c r="AD3516" s="1063"/>
      <c r="AE3516" s="1063"/>
      <c r="AF3516" s="1063"/>
      <c r="AG3516" s="1063"/>
      <c r="AH3516" s="1063"/>
      <c r="AI3516" s="1063"/>
      <c r="AJ3516" s="1063"/>
      <c r="AK3516" s="1063"/>
      <c r="AL3516" s="1063"/>
      <c r="AM3516" s="1063"/>
      <c r="AN3516" s="1063"/>
      <c r="AO3516" s="1063"/>
      <c r="AP3516" s="1063"/>
      <c r="AQ3516" s="1063"/>
      <c r="AR3516" s="1063"/>
      <c r="AS3516" s="1063"/>
      <c r="AT3516" s="1063"/>
      <c r="AU3516" s="1063"/>
      <c r="AV3516" s="1063"/>
    </row>
    <row r="3517" spans="1:48" s="1108" customFormat="1" ht="27.75" customHeight="1">
      <c r="A3517" s="1076"/>
      <c r="B3517" s="1074">
        <f>+'[18]Bldg+Dev'!S4329</f>
        <v>0</v>
      </c>
      <c r="D3517" s="1063"/>
      <c r="F3517" s="1076"/>
      <c r="G3517" s="1063"/>
      <c r="H3517" s="1063"/>
      <c r="I3517" s="1063"/>
      <c r="J3517" s="1063"/>
      <c r="K3517" s="1063"/>
      <c r="L3517" s="1063"/>
      <c r="M3517" s="1063"/>
      <c r="N3517" s="1063"/>
      <c r="O3517" s="1063"/>
      <c r="P3517" s="1063"/>
      <c r="Q3517" s="1063"/>
      <c r="R3517" s="1063"/>
      <c r="S3517" s="1063"/>
      <c r="T3517" s="1063"/>
      <c r="U3517" s="1063"/>
      <c r="V3517" s="1063"/>
      <c r="W3517" s="1063"/>
      <c r="X3517" s="1063"/>
      <c r="Y3517" s="1063"/>
      <c r="Z3517" s="1063"/>
      <c r="AA3517" s="1063"/>
      <c r="AB3517" s="1063"/>
      <c r="AC3517" s="1063"/>
      <c r="AD3517" s="1063"/>
      <c r="AE3517" s="1063"/>
      <c r="AF3517" s="1063"/>
      <c r="AG3517" s="1063"/>
      <c r="AH3517" s="1063"/>
      <c r="AI3517" s="1063"/>
      <c r="AJ3517" s="1063"/>
      <c r="AK3517" s="1063"/>
      <c r="AL3517" s="1063"/>
      <c r="AM3517" s="1063"/>
      <c r="AN3517" s="1063"/>
      <c r="AO3517" s="1063"/>
      <c r="AP3517" s="1063"/>
      <c r="AQ3517" s="1063"/>
      <c r="AR3517" s="1063"/>
      <c r="AS3517" s="1063"/>
      <c r="AT3517" s="1063"/>
      <c r="AU3517" s="1063"/>
      <c r="AV3517" s="1063"/>
    </row>
    <row r="3518" spans="1:48" s="1108" customFormat="1" ht="27.75" customHeight="1">
      <c r="A3518" s="1076"/>
      <c r="B3518" s="1074">
        <f>+'[18]Bldg+Dev'!S4330</f>
        <v>0</v>
      </c>
      <c r="D3518" s="1063"/>
      <c r="F3518" s="1076"/>
      <c r="G3518" s="1063"/>
      <c r="H3518" s="1063"/>
      <c r="I3518" s="1063"/>
      <c r="J3518" s="1063"/>
      <c r="K3518" s="1063"/>
      <c r="L3518" s="1063"/>
      <c r="M3518" s="1063"/>
      <c r="N3518" s="1063"/>
      <c r="O3518" s="1063"/>
      <c r="P3518" s="1063"/>
      <c r="Q3518" s="1063"/>
      <c r="R3518" s="1063"/>
      <c r="S3518" s="1063"/>
      <c r="T3518" s="1063"/>
      <c r="U3518" s="1063"/>
      <c r="V3518" s="1063"/>
      <c r="W3518" s="1063"/>
      <c r="X3518" s="1063"/>
      <c r="Y3518" s="1063"/>
      <c r="Z3518" s="1063"/>
      <c r="AA3518" s="1063"/>
      <c r="AB3518" s="1063"/>
      <c r="AC3518" s="1063"/>
      <c r="AD3518" s="1063"/>
      <c r="AE3518" s="1063"/>
      <c r="AF3518" s="1063"/>
      <c r="AG3518" s="1063"/>
      <c r="AH3518" s="1063"/>
      <c r="AI3518" s="1063"/>
      <c r="AJ3518" s="1063"/>
      <c r="AK3518" s="1063"/>
      <c r="AL3518" s="1063"/>
      <c r="AM3518" s="1063"/>
      <c r="AN3518" s="1063"/>
      <c r="AO3518" s="1063"/>
      <c r="AP3518" s="1063"/>
      <c r="AQ3518" s="1063"/>
      <c r="AR3518" s="1063"/>
      <c r="AS3518" s="1063"/>
      <c r="AT3518" s="1063"/>
      <c r="AU3518" s="1063"/>
      <c r="AV3518" s="1063"/>
    </row>
    <row r="3519" spans="1:48" s="1108" customFormat="1" ht="27.75" customHeight="1">
      <c r="A3519" s="1076"/>
      <c r="B3519" s="1074">
        <f>+'[18]Bldg+Dev'!S4331</f>
        <v>0</v>
      </c>
      <c r="D3519" s="1063"/>
      <c r="F3519" s="1076"/>
      <c r="G3519" s="1063"/>
      <c r="H3519" s="1063"/>
      <c r="I3519" s="1063"/>
      <c r="J3519" s="1063"/>
      <c r="K3519" s="1063"/>
      <c r="L3519" s="1063"/>
      <c r="M3519" s="1063"/>
      <c r="N3519" s="1063"/>
      <c r="O3519" s="1063"/>
      <c r="P3519" s="1063"/>
      <c r="Q3519" s="1063"/>
      <c r="R3519" s="1063"/>
      <c r="S3519" s="1063"/>
      <c r="T3519" s="1063"/>
      <c r="U3519" s="1063"/>
      <c r="V3519" s="1063"/>
      <c r="W3519" s="1063"/>
      <c r="X3519" s="1063"/>
      <c r="Y3519" s="1063"/>
      <c r="Z3519" s="1063"/>
      <c r="AA3519" s="1063"/>
      <c r="AB3519" s="1063"/>
      <c r="AC3519" s="1063"/>
      <c r="AD3519" s="1063"/>
      <c r="AE3519" s="1063"/>
      <c r="AF3519" s="1063"/>
      <c r="AG3519" s="1063"/>
      <c r="AH3519" s="1063"/>
      <c r="AI3519" s="1063"/>
      <c r="AJ3519" s="1063"/>
      <c r="AK3519" s="1063"/>
      <c r="AL3519" s="1063"/>
      <c r="AM3519" s="1063"/>
      <c r="AN3519" s="1063"/>
      <c r="AO3519" s="1063"/>
      <c r="AP3519" s="1063"/>
      <c r="AQ3519" s="1063"/>
      <c r="AR3519" s="1063"/>
      <c r="AS3519" s="1063"/>
      <c r="AT3519" s="1063"/>
      <c r="AU3519" s="1063"/>
      <c r="AV3519" s="1063"/>
    </row>
    <row r="3520" spans="1:48" s="1108" customFormat="1" ht="27.75" customHeight="1">
      <c r="A3520" s="1076"/>
      <c r="B3520" s="1074">
        <f>+'[18]Bldg+Dev'!S4332</f>
        <v>0</v>
      </c>
      <c r="D3520" s="1063"/>
      <c r="F3520" s="1076"/>
      <c r="G3520" s="1063"/>
      <c r="H3520" s="1063"/>
      <c r="I3520" s="1063"/>
      <c r="J3520" s="1063"/>
      <c r="K3520" s="1063"/>
      <c r="L3520" s="1063"/>
      <c r="M3520" s="1063"/>
      <c r="N3520" s="1063"/>
      <c r="O3520" s="1063"/>
      <c r="P3520" s="1063"/>
      <c r="Q3520" s="1063"/>
      <c r="R3520" s="1063"/>
      <c r="S3520" s="1063"/>
      <c r="T3520" s="1063"/>
      <c r="U3520" s="1063"/>
      <c r="V3520" s="1063"/>
      <c r="W3520" s="1063"/>
      <c r="X3520" s="1063"/>
      <c r="Y3520" s="1063"/>
      <c r="Z3520" s="1063"/>
      <c r="AA3520" s="1063"/>
      <c r="AB3520" s="1063"/>
      <c r="AC3520" s="1063"/>
      <c r="AD3520" s="1063"/>
      <c r="AE3520" s="1063"/>
      <c r="AF3520" s="1063"/>
      <c r="AG3520" s="1063"/>
      <c r="AH3520" s="1063"/>
      <c r="AI3520" s="1063"/>
      <c r="AJ3520" s="1063"/>
      <c r="AK3520" s="1063"/>
      <c r="AL3520" s="1063"/>
      <c r="AM3520" s="1063"/>
      <c r="AN3520" s="1063"/>
      <c r="AO3520" s="1063"/>
      <c r="AP3520" s="1063"/>
      <c r="AQ3520" s="1063"/>
      <c r="AR3520" s="1063"/>
      <c r="AS3520" s="1063"/>
      <c r="AT3520" s="1063"/>
      <c r="AU3520" s="1063"/>
      <c r="AV3520" s="1063"/>
    </row>
    <row r="3521" spans="1:48" s="1108" customFormat="1" ht="27.75" customHeight="1">
      <c r="A3521" s="1076"/>
      <c r="B3521" s="1074">
        <f>+'[18]Bldg+Dev'!S4333</f>
        <v>0</v>
      </c>
      <c r="D3521" s="1063"/>
      <c r="F3521" s="1076"/>
      <c r="G3521" s="1063"/>
      <c r="H3521" s="1063"/>
      <c r="I3521" s="1063"/>
      <c r="J3521" s="1063"/>
      <c r="K3521" s="1063"/>
      <c r="L3521" s="1063"/>
      <c r="M3521" s="1063"/>
      <c r="N3521" s="1063"/>
      <c r="O3521" s="1063"/>
      <c r="P3521" s="1063"/>
      <c r="Q3521" s="1063"/>
      <c r="R3521" s="1063"/>
      <c r="S3521" s="1063"/>
      <c r="T3521" s="1063"/>
      <c r="U3521" s="1063"/>
      <c r="V3521" s="1063"/>
      <c r="W3521" s="1063"/>
      <c r="X3521" s="1063"/>
      <c r="Y3521" s="1063"/>
      <c r="Z3521" s="1063"/>
      <c r="AA3521" s="1063"/>
      <c r="AB3521" s="1063"/>
      <c r="AC3521" s="1063"/>
      <c r="AD3521" s="1063"/>
      <c r="AE3521" s="1063"/>
      <c r="AF3521" s="1063"/>
      <c r="AG3521" s="1063"/>
      <c r="AH3521" s="1063"/>
      <c r="AI3521" s="1063"/>
      <c r="AJ3521" s="1063"/>
      <c r="AK3521" s="1063"/>
      <c r="AL3521" s="1063"/>
      <c r="AM3521" s="1063"/>
      <c r="AN3521" s="1063"/>
      <c r="AO3521" s="1063"/>
      <c r="AP3521" s="1063"/>
      <c r="AQ3521" s="1063"/>
      <c r="AR3521" s="1063"/>
      <c r="AS3521" s="1063"/>
      <c r="AT3521" s="1063"/>
      <c r="AU3521" s="1063"/>
      <c r="AV3521" s="1063"/>
    </row>
    <row r="3522" spans="1:48" s="1108" customFormat="1" ht="27.75" customHeight="1">
      <c r="A3522" s="1076"/>
      <c r="B3522" s="1074">
        <f>+'[18]Bldg+Dev'!S4334</f>
        <v>0</v>
      </c>
      <c r="D3522" s="1063"/>
      <c r="F3522" s="1076"/>
      <c r="G3522" s="1063"/>
      <c r="H3522" s="1063"/>
      <c r="I3522" s="1063"/>
      <c r="J3522" s="1063"/>
      <c r="K3522" s="1063"/>
      <c r="L3522" s="1063"/>
      <c r="M3522" s="1063"/>
      <c r="N3522" s="1063"/>
      <c r="O3522" s="1063"/>
      <c r="P3522" s="1063"/>
      <c r="Q3522" s="1063"/>
      <c r="R3522" s="1063"/>
      <c r="S3522" s="1063"/>
      <c r="T3522" s="1063"/>
      <c r="U3522" s="1063"/>
      <c r="V3522" s="1063"/>
      <c r="W3522" s="1063"/>
      <c r="X3522" s="1063"/>
      <c r="Y3522" s="1063"/>
      <c r="Z3522" s="1063"/>
      <c r="AA3522" s="1063"/>
      <c r="AB3522" s="1063"/>
      <c r="AC3522" s="1063"/>
      <c r="AD3522" s="1063"/>
      <c r="AE3522" s="1063"/>
      <c r="AF3522" s="1063"/>
      <c r="AG3522" s="1063"/>
      <c r="AH3522" s="1063"/>
      <c r="AI3522" s="1063"/>
      <c r="AJ3522" s="1063"/>
      <c r="AK3522" s="1063"/>
      <c r="AL3522" s="1063"/>
      <c r="AM3522" s="1063"/>
      <c r="AN3522" s="1063"/>
      <c r="AO3522" s="1063"/>
      <c r="AP3522" s="1063"/>
      <c r="AQ3522" s="1063"/>
      <c r="AR3522" s="1063"/>
      <c r="AS3522" s="1063"/>
      <c r="AT3522" s="1063"/>
      <c r="AU3522" s="1063"/>
      <c r="AV3522" s="1063"/>
    </row>
    <row r="3523" spans="1:48" s="1108" customFormat="1" ht="27.75" customHeight="1">
      <c r="A3523" s="1076"/>
      <c r="B3523" s="1074">
        <f>+'[18]Bldg+Dev'!S4335</f>
        <v>0</v>
      </c>
      <c r="D3523" s="1063"/>
      <c r="F3523" s="1076"/>
      <c r="G3523" s="1063"/>
      <c r="H3523" s="1063"/>
      <c r="I3523" s="1063"/>
      <c r="J3523" s="1063"/>
      <c r="K3523" s="1063"/>
      <c r="L3523" s="1063"/>
      <c r="M3523" s="1063"/>
      <c r="N3523" s="1063"/>
      <c r="O3523" s="1063"/>
      <c r="P3523" s="1063"/>
      <c r="Q3523" s="1063"/>
      <c r="R3523" s="1063"/>
      <c r="S3523" s="1063"/>
      <c r="T3523" s="1063"/>
      <c r="U3523" s="1063"/>
      <c r="V3523" s="1063"/>
      <c r="W3523" s="1063"/>
      <c r="X3523" s="1063"/>
      <c r="Y3523" s="1063"/>
      <c r="Z3523" s="1063"/>
      <c r="AA3523" s="1063"/>
      <c r="AB3523" s="1063"/>
      <c r="AC3523" s="1063"/>
      <c r="AD3523" s="1063"/>
      <c r="AE3523" s="1063"/>
      <c r="AF3523" s="1063"/>
      <c r="AG3523" s="1063"/>
      <c r="AH3523" s="1063"/>
      <c r="AI3523" s="1063"/>
      <c r="AJ3523" s="1063"/>
      <c r="AK3523" s="1063"/>
      <c r="AL3523" s="1063"/>
      <c r="AM3523" s="1063"/>
      <c r="AN3523" s="1063"/>
      <c r="AO3523" s="1063"/>
      <c r="AP3523" s="1063"/>
      <c r="AQ3523" s="1063"/>
      <c r="AR3523" s="1063"/>
      <c r="AS3523" s="1063"/>
      <c r="AT3523" s="1063"/>
      <c r="AU3523" s="1063"/>
      <c r="AV3523" s="1063"/>
    </row>
    <row r="3524" spans="1:48" s="1108" customFormat="1" ht="27.75" customHeight="1">
      <c r="A3524" s="1076"/>
      <c r="B3524" s="1074">
        <f>+'[18]Bldg+Dev'!S4336</f>
        <v>0</v>
      </c>
      <c r="D3524" s="1063"/>
      <c r="F3524" s="1076"/>
      <c r="G3524" s="1063"/>
      <c r="H3524" s="1063"/>
      <c r="I3524" s="1063"/>
      <c r="J3524" s="1063"/>
      <c r="K3524" s="1063"/>
      <c r="L3524" s="1063"/>
      <c r="M3524" s="1063"/>
      <c r="N3524" s="1063"/>
      <c r="O3524" s="1063"/>
      <c r="P3524" s="1063"/>
      <c r="Q3524" s="1063"/>
      <c r="R3524" s="1063"/>
      <c r="S3524" s="1063"/>
      <c r="T3524" s="1063"/>
      <c r="U3524" s="1063"/>
      <c r="V3524" s="1063"/>
      <c r="W3524" s="1063"/>
      <c r="X3524" s="1063"/>
      <c r="Y3524" s="1063"/>
      <c r="Z3524" s="1063"/>
      <c r="AA3524" s="1063"/>
      <c r="AB3524" s="1063"/>
      <c r="AC3524" s="1063"/>
      <c r="AD3524" s="1063"/>
      <c r="AE3524" s="1063"/>
      <c r="AF3524" s="1063"/>
      <c r="AG3524" s="1063"/>
      <c r="AH3524" s="1063"/>
      <c r="AI3524" s="1063"/>
      <c r="AJ3524" s="1063"/>
      <c r="AK3524" s="1063"/>
      <c r="AL3524" s="1063"/>
      <c r="AM3524" s="1063"/>
      <c r="AN3524" s="1063"/>
      <c r="AO3524" s="1063"/>
      <c r="AP3524" s="1063"/>
      <c r="AQ3524" s="1063"/>
      <c r="AR3524" s="1063"/>
      <c r="AS3524" s="1063"/>
      <c r="AT3524" s="1063"/>
      <c r="AU3524" s="1063"/>
      <c r="AV3524" s="1063"/>
    </row>
    <row r="3525" spans="1:48" s="1108" customFormat="1" ht="27.75" customHeight="1">
      <c r="A3525" s="1076"/>
      <c r="B3525" s="1074">
        <f>+'[18]Bldg+Dev'!S4337</f>
        <v>0</v>
      </c>
      <c r="D3525" s="1063"/>
      <c r="F3525" s="1076"/>
      <c r="G3525" s="1063"/>
      <c r="H3525" s="1063"/>
      <c r="I3525" s="1063"/>
      <c r="J3525" s="1063"/>
      <c r="K3525" s="1063"/>
      <c r="L3525" s="1063"/>
      <c r="M3525" s="1063"/>
      <c r="N3525" s="1063"/>
      <c r="O3525" s="1063"/>
      <c r="P3525" s="1063"/>
      <c r="Q3525" s="1063"/>
      <c r="R3525" s="1063"/>
      <c r="S3525" s="1063"/>
      <c r="T3525" s="1063"/>
      <c r="U3525" s="1063"/>
      <c r="V3525" s="1063"/>
      <c r="W3525" s="1063"/>
      <c r="X3525" s="1063"/>
      <c r="Y3525" s="1063"/>
      <c r="Z3525" s="1063"/>
      <c r="AA3525" s="1063"/>
      <c r="AB3525" s="1063"/>
      <c r="AC3525" s="1063"/>
      <c r="AD3525" s="1063"/>
      <c r="AE3525" s="1063"/>
      <c r="AF3525" s="1063"/>
      <c r="AG3525" s="1063"/>
      <c r="AH3525" s="1063"/>
      <c r="AI3525" s="1063"/>
      <c r="AJ3525" s="1063"/>
      <c r="AK3525" s="1063"/>
      <c r="AL3525" s="1063"/>
      <c r="AM3525" s="1063"/>
      <c r="AN3525" s="1063"/>
      <c r="AO3525" s="1063"/>
      <c r="AP3525" s="1063"/>
      <c r="AQ3525" s="1063"/>
      <c r="AR3525" s="1063"/>
      <c r="AS3525" s="1063"/>
      <c r="AT3525" s="1063"/>
      <c r="AU3525" s="1063"/>
      <c r="AV3525" s="1063"/>
    </row>
    <row r="3526" spans="1:48" s="1108" customFormat="1" ht="27.75" customHeight="1">
      <c r="A3526" s="1076"/>
      <c r="B3526" s="1074">
        <f>+'[18]Bldg+Dev'!S4338</f>
        <v>0</v>
      </c>
      <c r="D3526" s="1063"/>
      <c r="F3526" s="1076"/>
      <c r="G3526" s="1063"/>
      <c r="H3526" s="1063"/>
      <c r="I3526" s="1063"/>
      <c r="J3526" s="1063"/>
      <c r="K3526" s="1063"/>
      <c r="L3526" s="1063"/>
      <c r="M3526" s="1063"/>
      <c r="N3526" s="1063"/>
      <c r="O3526" s="1063"/>
      <c r="P3526" s="1063"/>
      <c r="Q3526" s="1063"/>
      <c r="R3526" s="1063"/>
      <c r="S3526" s="1063"/>
      <c r="T3526" s="1063"/>
      <c r="U3526" s="1063"/>
      <c r="V3526" s="1063"/>
      <c r="W3526" s="1063"/>
      <c r="X3526" s="1063"/>
      <c r="Y3526" s="1063"/>
      <c r="Z3526" s="1063"/>
      <c r="AA3526" s="1063"/>
      <c r="AB3526" s="1063"/>
      <c r="AC3526" s="1063"/>
      <c r="AD3526" s="1063"/>
      <c r="AE3526" s="1063"/>
      <c r="AF3526" s="1063"/>
      <c r="AG3526" s="1063"/>
      <c r="AH3526" s="1063"/>
      <c r="AI3526" s="1063"/>
      <c r="AJ3526" s="1063"/>
      <c r="AK3526" s="1063"/>
      <c r="AL3526" s="1063"/>
      <c r="AM3526" s="1063"/>
      <c r="AN3526" s="1063"/>
      <c r="AO3526" s="1063"/>
      <c r="AP3526" s="1063"/>
      <c r="AQ3526" s="1063"/>
      <c r="AR3526" s="1063"/>
      <c r="AS3526" s="1063"/>
      <c r="AT3526" s="1063"/>
      <c r="AU3526" s="1063"/>
      <c r="AV3526" s="1063"/>
    </row>
    <row r="3527" spans="1:48" s="1108" customFormat="1" ht="27.75" customHeight="1">
      <c r="A3527" s="1076"/>
      <c r="B3527" s="1074">
        <f>+'[18]Bldg+Dev'!S4339</f>
        <v>0</v>
      </c>
      <c r="D3527" s="1063"/>
      <c r="F3527" s="1076"/>
      <c r="G3527" s="1063"/>
      <c r="H3527" s="1063"/>
      <c r="I3527" s="1063"/>
      <c r="J3527" s="1063"/>
      <c r="K3527" s="1063"/>
      <c r="L3527" s="1063"/>
      <c r="M3527" s="1063"/>
      <c r="N3527" s="1063"/>
      <c r="O3527" s="1063"/>
      <c r="P3527" s="1063"/>
      <c r="Q3527" s="1063"/>
      <c r="R3527" s="1063"/>
      <c r="S3527" s="1063"/>
      <c r="T3527" s="1063"/>
      <c r="U3527" s="1063"/>
      <c r="V3527" s="1063"/>
      <c r="W3527" s="1063"/>
      <c r="X3527" s="1063"/>
      <c r="Y3527" s="1063"/>
      <c r="Z3527" s="1063"/>
      <c r="AA3527" s="1063"/>
      <c r="AB3527" s="1063"/>
      <c r="AC3527" s="1063"/>
      <c r="AD3527" s="1063"/>
      <c r="AE3527" s="1063"/>
      <c r="AF3527" s="1063"/>
      <c r="AG3527" s="1063"/>
      <c r="AH3527" s="1063"/>
      <c r="AI3527" s="1063"/>
      <c r="AJ3527" s="1063"/>
      <c r="AK3527" s="1063"/>
      <c r="AL3527" s="1063"/>
      <c r="AM3527" s="1063"/>
      <c r="AN3527" s="1063"/>
      <c r="AO3527" s="1063"/>
      <c r="AP3527" s="1063"/>
      <c r="AQ3527" s="1063"/>
      <c r="AR3527" s="1063"/>
      <c r="AS3527" s="1063"/>
      <c r="AT3527" s="1063"/>
      <c r="AU3527" s="1063"/>
      <c r="AV3527" s="1063"/>
    </row>
    <row r="3528" spans="1:48" s="1108" customFormat="1" ht="27.75" customHeight="1">
      <c r="A3528" s="1076"/>
      <c r="B3528" s="1074">
        <f>+'[18]Bldg+Dev'!S4340</f>
        <v>0</v>
      </c>
      <c r="D3528" s="1063"/>
      <c r="F3528" s="1076"/>
      <c r="G3528" s="1063"/>
      <c r="H3528" s="1063"/>
      <c r="I3528" s="1063"/>
      <c r="J3528" s="1063"/>
      <c r="K3528" s="1063"/>
      <c r="L3528" s="1063"/>
      <c r="M3528" s="1063"/>
      <c r="N3528" s="1063"/>
      <c r="O3528" s="1063"/>
      <c r="P3528" s="1063"/>
      <c r="Q3528" s="1063"/>
      <c r="R3528" s="1063"/>
      <c r="S3528" s="1063"/>
      <c r="T3528" s="1063"/>
      <c r="U3528" s="1063"/>
      <c r="V3528" s="1063"/>
      <c r="W3528" s="1063"/>
      <c r="X3528" s="1063"/>
      <c r="Y3528" s="1063"/>
      <c r="Z3528" s="1063"/>
      <c r="AA3528" s="1063"/>
      <c r="AB3528" s="1063"/>
      <c r="AC3528" s="1063"/>
      <c r="AD3528" s="1063"/>
      <c r="AE3528" s="1063"/>
      <c r="AF3528" s="1063"/>
      <c r="AG3528" s="1063"/>
      <c r="AH3528" s="1063"/>
      <c r="AI3528" s="1063"/>
      <c r="AJ3528" s="1063"/>
      <c r="AK3528" s="1063"/>
      <c r="AL3528" s="1063"/>
      <c r="AM3528" s="1063"/>
      <c r="AN3528" s="1063"/>
      <c r="AO3528" s="1063"/>
      <c r="AP3528" s="1063"/>
      <c r="AQ3528" s="1063"/>
      <c r="AR3528" s="1063"/>
      <c r="AS3528" s="1063"/>
      <c r="AT3528" s="1063"/>
      <c r="AU3528" s="1063"/>
      <c r="AV3528" s="1063"/>
    </row>
    <row r="3529" spans="1:48" s="1108" customFormat="1" ht="27.75" customHeight="1">
      <c r="A3529" s="1076"/>
      <c r="B3529" s="1074">
        <f>+'[18]Bldg+Dev'!S4341</f>
        <v>0</v>
      </c>
      <c r="D3529" s="1063"/>
      <c r="F3529" s="1076"/>
      <c r="G3529" s="1063"/>
      <c r="H3529" s="1063"/>
      <c r="I3529" s="1063"/>
      <c r="J3529" s="1063"/>
      <c r="K3529" s="1063"/>
      <c r="L3529" s="1063"/>
      <c r="M3529" s="1063"/>
      <c r="N3529" s="1063"/>
      <c r="O3529" s="1063"/>
      <c r="P3529" s="1063"/>
      <c r="Q3529" s="1063"/>
      <c r="R3529" s="1063"/>
      <c r="S3529" s="1063"/>
      <c r="T3529" s="1063"/>
      <c r="U3529" s="1063"/>
      <c r="V3529" s="1063"/>
      <c r="W3529" s="1063"/>
      <c r="X3529" s="1063"/>
      <c r="Y3529" s="1063"/>
      <c r="Z3529" s="1063"/>
      <c r="AA3529" s="1063"/>
      <c r="AB3529" s="1063"/>
      <c r="AC3529" s="1063"/>
      <c r="AD3529" s="1063"/>
      <c r="AE3529" s="1063"/>
      <c r="AF3529" s="1063"/>
      <c r="AG3529" s="1063"/>
      <c r="AH3529" s="1063"/>
      <c r="AI3529" s="1063"/>
      <c r="AJ3529" s="1063"/>
      <c r="AK3529" s="1063"/>
      <c r="AL3529" s="1063"/>
      <c r="AM3529" s="1063"/>
      <c r="AN3529" s="1063"/>
      <c r="AO3529" s="1063"/>
      <c r="AP3529" s="1063"/>
      <c r="AQ3529" s="1063"/>
      <c r="AR3529" s="1063"/>
      <c r="AS3529" s="1063"/>
      <c r="AT3529" s="1063"/>
      <c r="AU3529" s="1063"/>
      <c r="AV3529" s="1063"/>
    </row>
    <row r="3530" spans="1:48" s="1108" customFormat="1" ht="27.75" customHeight="1">
      <c r="A3530" s="1076"/>
      <c r="B3530" s="1074">
        <f>+'[18]Bldg+Dev'!S4342</f>
        <v>0</v>
      </c>
      <c r="D3530" s="1063"/>
      <c r="F3530" s="1076"/>
      <c r="G3530" s="1063"/>
      <c r="H3530" s="1063"/>
      <c r="I3530" s="1063"/>
      <c r="J3530" s="1063"/>
      <c r="K3530" s="1063"/>
      <c r="L3530" s="1063"/>
      <c r="M3530" s="1063"/>
      <c r="N3530" s="1063"/>
      <c r="O3530" s="1063"/>
      <c r="P3530" s="1063"/>
      <c r="Q3530" s="1063"/>
      <c r="R3530" s="1063"/>
      <c r="S3530" s="1063"/>
      <c r="T3530" s="1063"/>
      <c r="U3530" s="1063"/>
      <c r="V3530" s="1063"/>
      <c r="W3530" s="1063"/>
      <c r="X3530" s="1063"/>
      <c r="Y3530" s="1063"/>
      <c r="Z3530" s="1063"/>
      <c r="AA3530" s="1063"/>
      <c r="AB3530" s="1063"/>
      <c r="AC3530" s="1063"/>
      <c r="AD3530" s="1063"/>
      <c r="AE3530" s="1063"/>
      <c r="AF3530" s="1063"/>
      <c r="AG3530" s="1063"/>
      <c r="AH3530" s="1063"/>
      <c r="AI3530" s="1063"/>
      <c r="AJ3530" s="1063"/>
      <c r="AK3530" s="1063"/>
      <c r="AL3530" s="1063"/>
      <c r="AM3530" s="1063"/>
      <c r="AN3530" s="1063"/>
      <c r="AO3530" s="1063"/>
      <c r="AP3530" s="1063"/>
      <c r="AQ3530" s="1063"/>
      <c r="AR3530" s="1063"/>
      <c r="AS3530" s="1063"/>
      <c r="AT3530" s="1063"/>
      <c r="AU3530" s="1063"/>
      <c r="AV3530" s="1063"/>
    </row>
    <row r="3531" spans="1:48" s="1108" customFormat="1" ht="27.75" customHeight="1">
      <c r="A3531" s="1076"/>
      <c r="B3531" s="1074">
        <f>+'[18]Bldg+Dev'!S4343</f>
        <v>0</v>
      </c>
      <c r="D3531" s="1063"/>
      <c r="F3531" s="1076"/>
      <c r="G3531" s="1063"/>
      <c r="H3531" s="1063"/>
      <c r="I3531" s="1063"/>
      <c r="J3531" s="1063"/>
      <c r="K3531" s="1063"/>
      <c r="L3531" s="1063"/>
      <c r="M3531" s="1063"/>
      <c r="N3531" s="1063"/>
      <c r="O3531" s="1063"/>
      <c r="P3531" s="1063"/>
      <c r="Q3531" s="1063"/>
      <c r="R3531" s="1063"/>
      <c r="S3531" s="1063"/>
      <c r="T3531" s="1063"/>
      <c r="U3531" s="1063"/>
      <c r="V3531" s="1063"/>
      <c r="W3531" s="1063"/>
      <c r="X3531" s="1063"/>
      <c r="Y3531" s="1063"/>
      <c r="Z3531" s="1063"/>
      <c r="AA3531" s="1063"/>
      <c r="AB3531" s="1063"/>
      <c r="AC3531" s="1063"/>
      <c r="AD3531" s="1063"/>
      <c r="AE3531" s="1063"/>
      <c r="AF3531" s="1063"/>
      <c r="AG3531" s="1063"/>
      <c r="AH3531" s="1063"/>
      <c r="AI3531" s="1063"/>
      <c r="AJ3531" s="1063"/>
      <c r="AK3531" s="1063"/>
      <c r="AL3531" s="1063"/>
      <c r="AM3531" s="1063"/>
      <c r="AN3531" s="1063"/>
      <c r="AO3531" s="1063"/>
      <c r="AP3531" s="1063"/>
      <c r="AQ3531" s="1063"/>
      <c r="AR3531" s="1063"/>
      <c r="AS3531" s="1063"/>
      <c r="AT3531" s="1063"/>
      <c r="AU3531" s="1063"/>
      <c r="AV3531" s="1063"/>
    </row>
    <row r="3532" spans="1:48" s="1108" customFormat="1" ht="27.75" customHeight="1">
      <c r="A3532" s="1076"/>
      <c r="B3532" s="1074">
        <f>+'[18]Bldg+Dev'!S4344</f>
        <v>0</v>
      </c>
      <c r="D3532" s="1063"/>
      <c r="F3532" s="1076"/>
      <c r="G3532" s="1063"/>
      <c r="H3532" s="1063"/>
      <c r="I3532" s="1063"/>
      <c r="J3532" s="1063"/>
      <c r="K3532" s="1063"/>
      <c r="L3532" s="1063"/>
      <c r="M3532" s="1063"/>
      <c r="N3532" s="1063"/>
      <c r="O3532" s="1063"/>
      <c r="P3532" s="1063"/>
      <c r="Q3532" s="1063"/>
      <c r="R3532" s="1063"/>
      <c r="S3532" s="1063"/>
      <c r="T3532" s="1063"/>
      <c r="U3532" s="1063"/>
      <c r="V3532" s="1063"/>
      <c r="W3532" s="1063"/>
      <c r="X3532" s="1063"/>
      <c r="Y3532" s="1063"/>
      <c r="Z3532" s="1063"/>
      <c r="AA3532" s="1063"/>
      <c r="AB3532" s="1063"/>
      <c r="AC3532" s="1063"/>
      <c r="AD3532" s="1063"/>
      <c r="AE3532" s="1063"/>
      <c r="AF3532" s="1063"/>
      <c r="AG3532" s="1063"/>
      <c r="AH3532" s="1063"/>
      <c r="AI3532" s="1063"/>
      <c r="AJ3532" s="1063"/>
      <c r="AK3532" s="1063"/>
      <c r="AL3532" s="1063"/>
      <c r="AM3532" s="1063"/>
      <c r="AN3532" s="1063"/>
      <c r="AO3532" s="1063"/>
      <c r="AP3532" s="1063"/>
      <c r="AQ3532" s="1063"/>
      <c r="AR3532" s="1063"/>
      <c r="AS3532" s="1063"/>
      <c r="AT3532" s="1063"/>
      <c r="AU3532" s="1063"/>
      <c r="AV3532" s="1063"/>
    </row>
    <row r="3533" spans="1:48" s="1108" customFormat="1" ht="27.75" customHeight="1">
      <c r="A3533" s="1076"/>
      <c r="B3533" s="1074">
        <f>+'[18]Bldg+Dev'!S4345</f>
        <v>0</v>
      </c>
      <c r="D3533" s="1063"/>
      <c r="F3533" s="1076"/>
      <c r="G3533" s="1063"/>
      <c r="H3533" s="1063"/>
      <c r="I3533" s="1063"/>
      <c r="J3533" s="1063"/>
      <c r="K3533" s="1063"/>
      <c r="L3533" s="1063"/>
      <c r="M3533" s="1063"/>
      <c r="N3533" s="1063"/>
      <c r="O3533" s="1063"/>
      <c r="P3533" s="1063"/>
      <c r="Q3533" s="1063"/>
      <c r="R3533" s="1063"/>
      <c r="S3533" s="1063"/>
      <c r="T3533" s="1063"/>
      <c r="U3533" s="1063"/>
      <c r="V3533" s="1063"/>
      <c r="W3533" s="1063"/>
      <c r="X3533" s="1063"/>
      <c r="Y3533" s="1063"/>
      <c r="Z3533" s="1063"/>
      <c r="AA3533" s="1063"/>
      <c r="AB3533" s="1063"/>
      <c r="AC3533" s="1063"/>
      <c r="AD3533" s="1063"/>
      <c r="AE3533" s="1063"/>
      <c r="AF3533" s="1063"/>
      <c r="AG3533" s="1063"/>
      <c r="AH3533" s="1063"/>
      <c r="AI3533" s="1063"/>
      <c r="AJ3533" s="1063"/>
      <c r="AK3533" s="1063"/>
      <c r="AL3533" s="1063"/>
      <c r="AM3533" s="1063"/>
      <c r="AN3533" s="1063"/>
      <c r="AO3533" s="1063"/>
      <c r="AP3533" s="1063"/>
      <c r="AQ3533" s="1063"/>
      <c r="AR3533" s="1063"/>
      <c r="AS3533" s="1063"/>
      <c r="AT3533" s="1063"/>
      <c r="AU3533" s="1063"/>
      <c r="AV3533" s="1063"/>
    </row>
    <row r="3534" spans="1:48" s="1108" customFormat="1" ht="27.75" customHeight="1">
      <c r="A3534" s="1076"/>
      <c r="B3534" s="1074">
        <f>+'[18]Bldg+Dev'!S4346</f>
        <v>0</v>
      </c>
      <c r="D3534" s="1063"/>
      <c r="F3534" s="1076"/>
      <c r="G3534" s="1063"/>
      <c r="H3534" s="1063"/>
      <c r="I3534" s="1063"/>
      <c r="J3534" s="1063"/>
      <c r="K3534" s="1063"/>
      <c r="L3534" s="1063"/>
      <c r="M3534" s="1063"/>
      <c r="N3534" s="1063"/>
      <c r="O3534" s="1063"/>
      <c r="P3534" s="1063"/>
      <c r="Q3534" s="1063"/>
      <c r="R3534" s="1063"/>
      <c r="S3534" s="1063"/>
      <c r="T3534" s="1063"/>
      <c r="U3534" s="1063"/>
      <c r="V3534" s="1063"/>
      <c r="W3534" s="1063"/>
      <c r="X3534" s="1063"/>
      <c r="Y3534" s="1063"/>
      <c r="Z3534" s="1063"/>
      <c r="AA3534" s="1063"/>
      <c r="AB3534" s="1063"/>
      <c r="AC3534" s="1063"/>
      <c r="AD3534" s="1063"/>
      <c r="AE3534" s="1063"/>
      <c r="AF3534" s="1063"/>
      <c r="AG3534" s="1063"/>
      <c r="AH3534" s="1063"/>
      <c r="AI3534" s="1063"/>
      <c r="AJ3534" s="1063"/>
      <c r="AK3534" s="1063"/>
      <c r="AL3534" s="1063"/>
      <c r="AM3534" s="1063"/>
      <c r="AN3534" s="1063"/>
      <c r="AO3534" s="1063"/>
      <c r="AP3534" s="1063"/>
      <c r="AQ3534" s="1063"/>
      <c r="AR3534" s="1063"/>
      <c r="AS3534" s="1063"/>
      <c r="AT3534" s="1063"/>
      <c r="AU3534" s="1063"/>
      <c r="AV3534" s="1063"/>
    </row>
    <row r="3535" spans="1:48" s="1108" customFormat="1" ht="27.75" customHeight="1">
      <c r="A3535" s="1076"/>
      <c r="B3535" s="1074">
        <f>+'[18]Bldg+Dev'!S4347</f>
        <v>0</v>
      </c>
      <c r="D3535" s="1063"/>
      <c r="F3535" s="1076"/>
      <c r="G3535" s="1063"/>
      <c r="H3535" s="1063"/>
      <c r="I3535" s="1063"/>
      <c r="J3535" s="1063"/>
      <c r="K3535" s="1063"/>
      <c r="L3535" s="1063"/>
      <c r="M3535" s="1063"/>
      <c r="N3535" s="1063"/>
      <c r="O3535" s="1063"/>
      <c r="P3535" s="1063"/>
      <c r="Q3535" s="1063"/>
      <c r="R3535" s="1063"/>
      <c r="S3535" s="1063"/>
      <c r="T3535" s="1063"/>
      <c r="U3535" s="1063"/>
      <c r="V3535" s="1063"/>
      <c r="W3535" s="1063"/>
      <c r="X3535" s="1063"/>
      <c r="Y3535" s="1063"/>
      <c r="Z3535" s="1063"/>
      <c r="AA3535" s="1063"/>
      <c r="AB3535" s="1063"/>
      <c r="AC3535" s="1063"/>
      <c r="AD3535" s="1063"/>
      <c r="AE3535" s="1063"/>
      <c r="AF3535" s="1063"/>
      <c r="AG3535" s="1063"/>
      <c r="AH3535" s="1063"/>
      <c r="AI3535" s="1063"/>
      <c r="AJ3535" s="1063"/>
      <c r="AK3535" s="1063"/>
      <c r="AL3535" s="1063"/>
      <c r="AM3535" s="1063"/>
      <c r="AN3535" s="1063"/>
      <c r="AO3535" s="1063"/>
      <c r="AP3535" s="1063"/>
      <c r="AQ3535" s="1063"/>
      <c r="AR3535" s="1063"/>
      <c r="AS3535" s="1063"/>
      <c r="AT3535" s="1063"/>
      <c r="AU3535" s="1063"/>
      <c r="AV3535" s="1063"/>
    </row>
    <row r="3536" spans="1:48" s="1108" customFormat="1" ht="27.75" customHeight="1">
      <c r="A3536" s="1076"/>
      <c r="B3536" s="1074">
        <f>+'[18]Bldg+Dev'!S4348</f>
        <v>0</v>
      </c>
      <c r="D3536" s="1063"/>
      <c r="F3536" s="1076"/>
      <c r="G3536" s="1063"/>
      <c r="H3536" s="1063"/>
      <c r="I3536" s="1063"/>
      <c r="J3536" s="1063"/>
      <c r="K3536" s="1063"/>
      <c r="L3536" s="1063"/>
      <c r="M3536" s="1063"/>
      <c r="N3536" s="1063"/>
      <c r="O3536" s="1063"/>
      <c r="P3536" s="1063"/>
      <c r="Q3536" s="1063"/>
      <c r="R3536" s="1063"/>
      <c r="S3536" s="1063"/>
      <c r="T3536" s="1063"/>
      <c r="U3536" s="1063"/>
      <c r="V3536" s="1063"/>
      <c r="W3536" s="1063"/>
      <c r="X3536" s="1063"/>
      <c r="Y3536" s="1063"/>
      <c r="Z3536" s="1063"/>
      <c r="AA3536" s="1063"/>
      <c r="AB3536" s="1063"/>
      <c r="AC3536" s="1063"/>
      <c r="AD3536" s="1063"/>
      <c r="AE3536" s="1063"/>
      <c r="AF3536" s="1063"/>
      <c r="AG3536" s="1063"/>
      <c r="AH3536" s="1063"/>
      <c r="AI3536" s="1063"/>
      <c r="AJ3536" s="1063"/>
      <c r="AK3536" s="1063"/>
      <c r="AL3536" s="1063"/>
      <c r="AM3536" s="1063"/>
      <c r="AN3536" s="1063"/>
      <c r="AO3536" s="1063"/>
      <c r="AP3536" s="1063"/>
      <c r="AQ3536" s="1063"/>
      <c r="AR3536" s="1063"/>
      <c r="AS3536" s="1063"/>
      <c r="AT3536" s="1063"/>
      <c r="AU3536" s="1063"/>
      <c r="AV3536" s="1063"/>
    </row>
    <row r="3537" spans="1:48" s="1108" customFormat="1" ht="27.75" customHeight="1">
      <c r="A3537" s="1076"/>
      <c r="B3537" s="1074">
        <f>+'[18]Bldg+Dev'!S4349</f>
        <v>0</v>
      </c>
      <c r="D3537" s="1063"/>
      <c r="F3537" s="1076"/>
      <c r="G3537" s="1063"/>
      <c r="H3537" s="1063"/>
      <c r="I3537" s="1063"/>
      <c r="J3537" s="1063"/>
      <c r="K3537" s="1063"/>
      <c r="L3537" s="1063"/>
      <c r="M3537" s="1063"/>
      <c r="N3537" s="1063"/>
      <c r="O3537" s="1063"/>
      <c r="P3537" s="1063"/>
      <c r="Q3537" s="1063"/>
      <c r="R3537" s="1063"/>
      <c r="S3537" s="1063"/>
      <c r="T3537" s="1063"/>
      <c r="U3537" s="1063"/>
      <c r="V3537" s="1063"/>
      <c r="W3537" s="1063"/>
      <c r="X3537" s="1063"/>
      <c r="Y3537" s="1063"/>
      <c r="Z3537" s="1063"/>
      <c r="AA3537" s="1063"/>
      <c r="AB3537" s="1063"/>
      <c r="AC3537" s="1063"/>
      <c r="AD3537" s="1063"/>
      <c r="AE3537" s="1063"/>
      <c r="AF3537" s="1063"/>
      <c r="AG3537" s="1063"/>
      <c r="AH3537" s="1063"/>
      <c r="AI3537" s="1063"/>
      <c r="AJ3537" s="1063"/>
      <c r="AK3537" s="1063"/>
      <c r="AL3537" s="1063"/>
      <c r="AM3537" s="1063"/>
      <c r="AN3537" s="1063"/>
      <c r="AO3537" s="1063"/>
      <c r="AP3537" s="1063"/>
      <c r="AQ3537" s="1063"/>
      <c r="AR3537" s="1063"/>
      <c r="AS3537" s="1063"/>
      <c r="AT3537" s="1063"/>
      <c r="AU3537" s="1063"/>
      <c r="AV3537" s="1063"/>
    </row>
    <row r="3538" spans="1:48" s="1108" customFormat="1" ht="27.75" customHeight="1">
      <c r="A3538" s="1076"/>
      <c r="B3538" s="1074">
        <f>+'[18]Bldg+Dev'!S4350</f>
        <v>0</v>
      </c>
      <c r="D3538" s="1063"/>
      <c r="F3538" s="1076"/>
      <c r="G3538" s="1063"/>
      <c r="H3538" s="1063"/>
      <c r="I3538" s="1063"/>
      <c r="J3538" s="1063"/>
      <c r="K3538" s="1063"/>
      <c r="L3538" s="1063"/>
      <c r="M3538" s="1063"/>
      <c r="N3538" s="1063"/>
      <c r="O3538" s="1063"/>
      <c r="P3538" s="1063"/>
      <c r="Q3538" s="1063"/>
      <c r="R3538" s="1063"/>
      <c r="S3538" s="1063"/>
      <c r="T3538" s="1063"/>
      <c r="U3538" s="1063"/>
      <c r="V3538" s="1063"/>
      <c r="W3538" s="1063"/>
      <c r="X3538" s="1063"/>
      <c r="Y3538" s="1063"/>
      <c r="Z3538" s="1063"/>
      <c r="AA3538" s="1063"/>
      <c r="AB3538" s="1063"/>
      <c r="AC3538" s="1063"/>
      <c r="AD3538" s="1063"/>
      <c r="AE3538" s="1063"/>
      <c r="AF3538" s="1063"/>
      <c r="AG3538" s="1063"/>
      <c r="AH3538" s="1063"/>
      <c r="AI3538" s="1063"/>
      <c r="AJ3538" s="1063"/>
      <c r="AK3538" s="1063"/>
      <c r="AL3538" s="1063"/>
      <c r="AM3538" s="1063"/>
      <c r="AN3538" s="1063"/>
      <c r="AO3538" s="1063"/>
      <c r="AP3538" s="1063"/>
      <c r="AQ3538" s="1063"/>
      <c r="AR3538" s="1063"/>
      <c r="AS3538" s="1063"/>
      <c r="AT3538" s="1063"/>
      <c r="AU3538" s="1063"/>
      <c r="AV3538" s="1063"/>
    </row>
    <row r="3539" spans="1:48" s="1108" customFormat="1" ht="27.75" customHeight="1">
      <c r="A3539" s="1076"/>
      <c r="B3539" s="1074">
        <f>+'[18]Bldg+Dev'!S4351</f>
        <v>0</v>
      </c>
      <c r="D3539" s="1063"/>
      <c r="F3539" s="1076"/>
      <c r="G3539" s="1063"/>
      <c r="H3539" s="1063"/>
      <c r="I3539" s="1063"/>
      <c r="J3539" s="1063"/>
      <c r="K3539" s="1063"/>
      <c r="L3539" s="1063"/>
      <c r="M3539" s="1063"/>
      <c r="N3539" s="1063"/>
      <c r="O3539" s="1063"/>
      <c r="P3539" s="1063"/>
      <c r="Q3539" s="1063"/>
      <c r="R3539" s="1063"/>
      <c r="S3539" s="1063"/>
      <c r="T3539" s="1063"/>
      <c r="U3539" s="1063"/>
      <c r="V3539" s="1063"/>
      <c r="W3539" s="1063"/>
      <c r="X3539" s="1063"/>
      <c r="Y3539" s="1063"/>
      <c r="Z3539" s="1063"/>
      <c r="AA3539" s="1063"/>
      <c r="AB3539" s="1063"/>
      <c r="AC3539" s="1063"/>
      <c r="AD3539" s="1063"/>
      <c r="AE3539" s="1063"/>
      <c r="AF3539" s="1063"/>
      <c r="AG3539" s="1063"/>
      <c r="AH3539" s="1063"/>
      <c r="AI3539" s="1063"/>
      <c r="AJ3539" s="1063"/>
      <c r="AK3539" s="1063"/>
      <c r="AL3539" s="1063"/>
      <c r="AM3539" s="1063"/>
      <c r="AN3539" s="1063"/>
      <c r="AO3539" s="1063"/>
      <c r="AP3539" s="1063"/>
      <c r="AQ3539" s="1063"/>
      <c r="AR3539" s="1063"/>
      <c r="AS3539" s="1063"/>
      <c r="AT3539" s="1063"/>
      <c r="AU3539" s="1063"/>
      <c r="AV3539" s="1063"/>
    </row>
    <row r="3540" spans="1:48" s="1108" customFormat="1" ht="27.75" customHeight="1">
      <c r="A3540" s="1076"/>
      <c r="B3540" s="1074">
        <f>+'[18]Bldg+Dev'!S4352</f>
        <v>0</v>
      </c>
      <c r="D3540" s="1063"/>
      <c r="F3540" s="1076"/>
      <c r="G3540" s="1063"/>
      <c r="H3540" s="1063"/>
      <c r="I3540" s="1063"/>
      <c r="J3540" s="1063"/>
      <c r="K3540" s="1063"/>
      <c r="L3540" s="1063"/>
      <c r="M3540" s="1063"/>
      <c r="N3540" s="1063"/>
      <c r="O3540" s="1063"/>
      <c r="P3540" s="1063"/>
      <c r="Q3540" s="1063"/>
      <c r="R3540" s="1063"/>
      <c r="S3540" s="1063"/>
      <c r="T3540" s="1063"/>
      <c r="U3540" s="1063"/>
      <c r="V3540" s="1063"/>
      <c r="W3540" s="1063"/>
      <c r="X3540" s="1063"/>
      <c r="Y3540" s="1063"/>
      <c r="Z3540" s="1063"/>
      <c r="AA3540" s="1063"/>
      <c r="AB3540" s="1063"/>
      <c r="AC3540" s="1063"/>
      <c r="AD3540" s="1063"/>
      <c r="AE3540" s="1063"/>
      <c r="AF3540" s="1063"/>
      <c r="AG3540" s="1063"/>
      <c r="AH3540" s="1063"/>
      <c r="AI3540" s="1063"/>
      <c r="AJ3540" s="1063"/>
      <c r="AK3540" s="1063"/>
      <c r="AL3540" s="1063"/>
      <c r="AM3540" s="1063"/>
      <c r="AN3540" s="1063"/>
      <c r="AO3540" s="1063"/>
      <c r="AP3540" s="1063"/>
      <c r="AQ3540" s="1063"/>
      <c r="AR3540" s="1063"/>
      <c r="AS3540" s="1063"/>
      <c r="AT3540" s="1063"/>
      <c r="AU3540" s="1063"/>
      <c r="AV3540" s="1063"/>
    </row>
    <row r="3541" spans="1:48" s="1108" customFormat="1" ht="27.75" customHeight="1">
      <c r="A3541" s="1076"/>
      <c r="B3541" s="1074">
        <f>+'[18]Bldg+Dev'!S4353</f>
        <v>0</v>
      </c>
      <c r="D3541" s="1063"/>
      <c r="F3541" s="1076"/>
      <c r="G3541" s="1063"/>
      <c r="H3541" s="1063"/>
      <c r="I3541" s="1063"/>
      <c r="J3541" s="1063"/>
      <c r="K3541" s="1063"/>
      <c r="L3541" s="1063"/>
      <c r="M3541" s="1063"/>
      <c r="N3541" s="1063"/>
      <c r="O3541" s="1063"/>
      <c r="P3541" s="1063"/>
      <c r="Q3541" s="1063"/>
      <c r="R3541" s="1063"/>
      <c r="S3541" s="1063"/>
      <c r="T3541" s="1063"/>
      <c r="U3541" s="1063"/>
      <c r="V3541" s="1063"/>
      <c r="W3541" s="1063"/>
      <c r="X3541" s="1063"/>
      <c r="Y3541" s="1063"/>
      <c r="Z3541" s="1063"/>
      <c r="AA3541" s="1063"/>
      <c r="AB3541" s="1063"/>
      <c r="AC3541" s="1063"/>
      <c r="AD3541" s="1063"/>
      <c r="AE3541" s="1063"/>
      <c r="AF3541" s="1063"/>
      <c r="AG3541" s="1063"/>
      <c r="AH3541" s="1063"/>
      <c r="AI3541" s="1063"/>
      <c r="AJ3541" s="1063"/>
      <c r="AK3541" s="1063"/>
      <c r="AL3541" s="1063"/>
      <c r="AM3541" s="1063"/>
      <c r="AN3541" s="1063"/>
      <c r="AO3541" s="1063"/>
      <c r="AP3541" s="1063"/>
      <c r="AQ3541" s="1063"/>
      <c r="AR3541" s="1063"/>
      <c r="AS3541" s="1063"/>
      <c r="AT3541" s="1063"/>
      <c r="AU3541" s="1063"/>
      <c r="AV3541" s="1063"/>
    </row>
    <row r="3542" spans="1:48" s="1108" customFormat="1" ht="27.75" customHeight="1">
      <c r="A3542" s="1076"/>
      <c r="B3542" s="1074">
        <f>+'[18]Bldg+Dev'!S4354</f>
        <v>0</v>
      </c>
      <c r="D3542" s="1063"/>
      <c r="F3542" s="1076"/>
      <c r="G3542" s="1063"/>
      <c r="H3542" s="1063"/>
      <c r="I3542" s="1063"/>
      <c r="J3542" s="1063"/>
      <c r="K3542" s="1063"/>
      <c r="L3542" s="1063"/>
      <c r="M3542" s="1063"/>
      <c r="N3542" s="1063"/>
      <c r="O3542" s="1063"/>
      <c r="P3542" s="1063"/>
      <c r="Q3542" s="1063"/>
      <c r="R3542" s="1063"/>
      <c r="S3542" s="1063"/>
      <c r="T3542" s="1063"/>
      <c r="U3542" s="1063"/>
      <c r="V3542" s="1063"/>
      <c r="W3542" s="1063"/>
      <c r="X3542" s="1063"/>
      <c r="Y3542" s="1063"/>
      <c r="Z3542" s="1063"/>
      <c r="AA3542" s="1063"/>
      <c r="AB3542" s="1063"/>
      <c r="AC3542" s="1063"/>
      <c r="AD3542" s="1063"/>
      <c r="AE3542" s="1063"/>
      <c r="AF3542" s="1063"/>
      <c r="AG3542" s="1063"/>
      <c r="AH3542" s="1063"/>
      <c r="AI3542" s="1063"/>
      <c r="AJ3542" s="1063"/>
      <c r="AK3542" s="1063"/>
      <c r="AL3542" s="1063"/>
      <c r="AM3542" s="1063"/>
      <c r="AN3542" s="1063"/>
      <c r="AO3542" s="1063"/>
      <c r="AP3542" s="1063"/>
      <c r="AQ3542" s="1063"/>
      <c r="AR3542" s="1063"/>
      <c r="AS3542" s="1063"/>
      <c r="AT3542" s="1063"/>
      <c r="AU3542" s="1063"/>
      <c r="AV3542" s="1063"/>
    </row>
    <row r="3543" spans="1:48" s="1108" customFormat="1" ht="27.75" customHeight="1">
      <c r="A3543" s="1076"/>
      <c r="B3543" s="1074">
        <f>+'[18]Bldg+Dev'!S4355</f>
        <v>0</v>
      </c>
      <c r="D3543" s="1063"/>
      <c r="F3543" s="1076"/>
      <c r="G3543" s="1063"/>
      <c r="H3543" s="1063"/>
      <c r="I3543" s="1063"/>
      <c r="J3543" s="1063"/>
      <c r="K3543" s="1063"/>
      <c r="L3543" s="1063"/>
      <c r="M3543" s="1063"/>
      <c r="N3543" s="1063"/>
      <c r="O3543" s="1063"/>
      <c r="P3543" s="1063"/>
      <c r="Q3543" s="1063"/>
      <c r="R3543" s="1063"/>
      <c r="S3543" s="1063"/>
      <c r="T3543" s="1063"/>
      <c r="U3543" s="1063"/>
      <c r="V3543" s="1063"/>
      <c r="W3543" s="1063"/>
      <c r="X3543" s="1063"/>
      <c r="Y3543" s="1063"/>
      <c r="Z3543" s="1063"/>
      <c r="AA3543" s="1063"/>
      <c r="AB3543" s="1063"/>
      <c r="AC3543" s="1063"/>
      <c r="AD3543" s="1063"/>
      <c r="AE3543" s="1063"/>
      <c r="AF3543" s="1063"/>
      <c r="AG3543" s="1063"/>
      <c r="AH3543" s="1063"/>
      <c r="AI3543" s="1063"/>
      <c r="AJ3543" s="1063"/>
      <c r="AK3543" s="1063"/>
      <c r="AL3543" s="1063"/>
      <c r="AM3543" s="1063"/>
      <c r="AN3543" s="1063"/>
      <c r="AO3543" s="1063"/>
      <c r="AP3543" s="1063"/>
      <c r="AQ3543" s="1063"/>
      <c r="AR3543" s="1063"/>
      <c r="AS3543" s="1063"/>
      <c r="AT3543" s="1063"/>
      <c r="AU3543" s="1063"/>
      <c r="AV3543" s="1063"/>
    </row>
    <row r="3544" spans="1:48" s="1108" customFormat="1" ht="27.75" customHeight="1">
      <c r="A3544" s="1076"/>
      <c r="B3544" s="1074">
        <f>+'[18]Bldg+Dev'!S4356</f>
        <v>0</v>
      </c>
      <c r="D3544" s="1063"/>
      <c r="F3544" s="1076"/>
      <c r="G3544" s="1063"/>
      <c r="H3544" s="1063"/>
      <c r="I3544" s="1063"/>
      <c r="J3544" s="1063"/>
      <c r="K3544" s="1063"/>
      <c r="L3544" s="1063"/>
      <c r="M3544" s="1063"/>
      <c r="N3544" s="1063"/>
      <c r="O3544" s="1063"/>
      <c r="P3544" s="1063"/>
      <c r="Q3544" s="1063"/>
      <c r="R3544" s="1063"/>
      <c r="S3544" s="1063"/>
      <c r="T3544" s="1063"/>
      <c r="U3544" s="1063"/>
      <c r="V3544" s="1063"/>
      <c r="W3544" s="1063"/>
      <c r="X3544" s="1063"/>
      <c r="Y3544" s="1063"/>
      <c r="Z3544" s="1063"/>
      <c r="AA3544" s="1063"/>
      <c r="AB3544" s="1063"/>
      <c r="AC3544" s="1063"/>
      <c r="AD3544" s="1063"/>
      <c r="AE3544" s="1063"/>
      <c r="AF3544" s="1063"/>
      <c r="AG3544" s="1063"/>
      <c r="AH3544" s="1063"/>
      <c r="AI3544" s="1063"/>
      <c r="AJ3544" s="1063"/>
      <c r="AK3544" s="1063"/>
      <c r="AL3544" s="1063"/>
      <c r="AM3544" s="1063"/>
      <c r="AN3544" s="1063"/>
      <c r="AO3544" s="1063"/>
      <c r="AP3544" s="1063"/>
      <c r="AQ3544" s="1063"/>
      <c r="AR3544" s="1063"/>
      <c r="AS3544" s="1063"/>
      <c r="AT3544" s="1063"/>
      <c r="AU3544" s="1063"/>
      <c r="AV3544" s="1063"/>
    </row>
    <row r="3545" spans="1:48" s="1108" customFormat="1" ht="27.75" customHeight="1">
      <c r="A3545" s="1076"/>
      <c r="B3545" s="1074">
        <f>+'[18]Bldg+Dev'!S4357</f>
        <v>0</v>
      </c>
      <c r="D3545" s="1063"/>
      <c r="F3545" s="1076"/>
      <c r="G3545" s="1063"/>
      <c r="H3545" s="1063"/>
      <c r="I3545" s="1063"/>
      <c r="J3545" s="1063"/>
      <c r="K3545" s="1063"/>
      <c r="L3545" s="1063"/>
      <c r="M3545" s="1063"/>
      <c r="N3545" s="1063"/>
      <c r="O3545" s="1063"/>
      <c r="P3545" s="1063"/>
      <c r="Q3545" s="1063"/>
      <c r="R3545" s="1063"/>
      <c r="S3545" s="1063"/>
      <c r="T3545" s="1063"/>
      <c r="U3545" s="1063"/>
      <c r="V3545" s="1063"/>
      <c r="W3545" s="1063"/>
      <c r="X3545" s="1063"/>
      <c r="Y3545" s="1063"/>
      <c r="Z3545" s="1063"/>
      <c r="AA3545" s="1063"/>
      <c r="AB3545" s="1063"/>
      <c r="AC3545" s="1063"/>
      <c r="AD3545" s="1063"/>
      <c r="AE3545" s="1063"/>
      <c r="AF3545" s="1063"/>
      <c r="AG3545" s="1063"/>
      <c r="AH3545" s="1063"/>
      <c r="AI3545" s="1063"/>
      <c r="AJ3545" s="1063"/>
      <c r="AK3545" s="1063"/>
      <c r="AL3545" s="1063"/>
      <c r="AM3545" s="1063"/>
      <c r="AN3545" s="1063"/>
      <c r="AO3545" s="1063"/>
      <c r="AP3545" s="1063"/>
      <c r="AQ3545" s="1063"/>
      <c r="AR3545" s="1063"/>
      <c r="AS3545" s="1063"/>
      <c r="AT3545" s="1063"/>
      <c r="AU3545" s="1063"/>
      <c r="AV3545" s="1063"/>
    </row>
    <row r="3546" spans="1:48" s="1108" customFormat="1" ht="27.75" customHeight="1">
      <c r="A3546" s="1076"/>
      <c r="B3546" s="1074">
        <f>+'[18]Bldg+Dev'!S4358</f>
        <v>0</v>
      </c>
      <c r="D3546" s="1063"/>
      <c r="F3546" s="1076"/>
      <c r="G3546" s="1063"/>
      <c r="H3546" s="1063"/>
      <c r="I3546" s="1063"/>
      <c r="J3546" s="1063"/>
      <c r="K3546" s="1063"/>
      <c r="L3546" s="1063"/>
      <c r="M3546" s="1063"/>
      <c r="N3546" s="1063"/>
      <c r="O3546" s="1063"/>
      <c r="P3546" s="1063"/>
      <c r="Q3546" s="1063"/>
      <c r="R3546" s="1063"/>
      <c r="S3546" s="1063"/>
      <c r="T3546" s="1063"/>
      <c r="U3546" s="1063"/>
      <c r="V3546" s="1063"/>
      <c r="W3546" s="1063"/>
      <c r="X3546" s="1063"/>
      <c r="Y3546" s="1063"/>
      <c r="Z3546" s="1063"/>
      <c r="AA3546" s="1063"/>
      <c r="AB3546" s="1063"/>
      <c r="AC3546" s="1063"/>
      <c r="AD3546" s="1063"/>
      <c r="AE3546" s="1063"/>
      <c r="AF3546" s="1063"/>
      <c r="AG3546" s="1063"/>
      <c r="AH3546" s="1063"/>
      <c r="AI3546" s="1063"/>
      <c r="AJ3546" s="1063"/>
      <c r="AK3546" s="1063"/>
      <c r="AL3546" s="1063"/>
      <c r="AM3546" s="1063"/>
      <c r="AN3546" s="1063"/>
      <c r="AO3546" s="1063"/>
      <c r="AP3546" s="1063"/>
      <c r="AQ3546" s="1063"/>
      <c r="AR3546" s="1063"/>
      <c r="AS3546" s="1063"/>
      <c r="AT3546" s="1063"/>
      <c r="AU3546" s="1063"/>
      <c r="AV3546" s="1063"/>
    </row>
    <row r="3547" spans="1:48" s="1108" customFormat="1" ht="27.75" customHeight="1">
      <c r="A3547" s="1076"/>
      <c r="B3547" s="1074">
        <f>+'[18]Bldg+Dev'!S4359</f>
        <v>0</v>
      </c>
      <c r="D3547" s="1063"/>
      <c r="F3547" s="1076"/>
      <c r="G3547" s="1063"/>
      <c r="H3547" s="1063"/>
      <c r="I3547" s="1063"/>
      <c r="J3547" s="1063"/>
      <c r="K3547" s="1063"/>
      <c r="L3547" s="1063"/>
      <c r="M3547" s="1063"/>
      <c r="N3547" s="1063"/>
      <c r="O3547" s="1063"/>
      <c r="P3547" s="1063"/>
      <c r="Q3547" s="1063"/>
      <c r="R3547" s="1063"/>
      <c r="S3547" s="1063"/>
      <c r="T3547" s="1063"/>
      <c r="U3547" s="1063"/>
      <c r="V3547" s="1063"/>
      <c r="W3547" s="1063"/>
      <c r="X3547" s="1063"/>
      <c r="Y3547" s="1063"/>
      <c r="Z3547" s="1063"/>
      <c r="AA3547" s="1063"/>
      <c r="AB3547" s="1063"/>
      <c r="AC3547" s="1063"/>
      <c r="AD3547" s="1063"/>
      <c r="AE3547" s="1063"/>
      <c r="AF3547" s="1063"/>
      <c r="AG3547" s="1063"/>
      <c r="AH3547" s="1063"/>
      <c r="AI3547" s="1063"/>
      <c r="AJ3547" s="1063"/>
      <c r="AK3547" s="1063"/>
      <c r="AL3547" s="1063"/>
      <c r="AM3547" s="1063"/>
      <c r="AN3547" s="1063"/>
      <c r="AO3547" s="1063"/>
      <c r="AP3547" s="1063"/>
      <c r="AQ3547" s="1063"/>
      <c r="AR3547" s="1063"/>
      <c r="AS3547" s="1063"/>
      <c r="AT3547" s="1063"/>
      <c r="AU3547" s="1063"/>
      <c r="AV3547" s="1063"/>
    </row>
    <row r="3548" spans="1:48" s="1108" customFormat="1" ht="27.75" customHeight="1">
      <c r="A3548" s="1076"/>
      <c r="B3548" s="1074">
        <f>+'[18]Bldg+Dev'!S4360</f>
        <v>0</v>
      </c>
      <c r="D3548" s="1063"/>
      <c r="F3548" s="1076"/>
      <c r="G3548" s="1063"/>
      <c r="H3548" s="1063"/>
      <c r="I3548" s="1063"/>
      <c r="J3548" s="1063"/>
      <c r="K3548" s="1063"/>
      <c r="L3548" s="1063"/>
      <c r="M3548" s="1063"/>
      <c r="N3548" s="1063"/>
      <c r="O3548" s="1063"/>
      <c r="P3548" s="1063"/>
      <c r="Q3548" s="1063"/>
      <c r="R3548" s="1063"/>
      <c r="S3548" s="1063"/>
      <c r="T3548" s="1063"/>
      <c r="U3548" s="1063"/>
      <c r="V3548" s="1063"/>
      <c r="W3548" s="1063"/>
      <c r="X3548" s="1063"/>
      <c r="Y3548" s="1063"/>
      <c r="Z3548" s="1063"/>
      <c r="AA3548" s="1063"/>
      <c r="AB3548" s="1063"/>
      <c r="AC3548" s="1063"/>
      <c r="AD3548" s="1063"/>
      <c r="AE3548" s="1063"/>
      <c r="AF3548" s="1063"/>
      <c r="AG3548" s="1063"/>
      <c r="AH3548" s="1063"/>
      <c r="AI3548" s="1063"/>
      <c r="AJ3548" s="1063"/>
      <c r="AK3548" s="1063"/>
      <c r="AL3548" s="1063"/>
      <c r="AM3548" s="1063"/>
      <c r="AN3548" s="1063"/>
      <c r="AO3548" s="1063"/>
      <c r="AP3548" s="1063"/>
      <c r="AQ3548" s="1063"/>
      <c r="AR3548" s="1063"/>
      <c r="AS3548" s="1063"/>
      <c r="AT3548" s="1063"/>
      <c r="AU3548" s="1063"/>
      <c r="AV3548" s="1063"/>
    </row>
    <row r="3549" spans="1:48" s="1108" customFormat="1" ht="27.75" customHeight="1">
      <c r="A3549" s="1076"/>
      <c r="B3549" s="1074">
        <f>+'[18]Bldg+Dev'!S4361</f>
        <v>0</v>
      </c>
      <c r="D3549" s="1063"/>
      <c r="F3549" s="1076"/>
      <c r="G3549" s="1063"/>
      <c r="H3549" s="1063"/>
      <c r="I3549" s="1063"/>
      <c r="J3549" s="1063"/>
      <c r="K3549" s="1063"/>
      <c r="L3549" s="1063"/>
      <c r="M3549" s="1063"/>
      <c r="N3549" s="1063"/>
      <c r="O3549" s="1063"/>
      <c r="P3549" s="1063"/>
      <c r="Q3549" s="1063"/>
      <c r="R3549" s="1063"/>
      <c r="S3549" s="1063"/>
      <c r="T3549" s="1063"/>
      <c r="U3549" s="1063"/>
      <c r="V3549" s="1063"/>
      <c r="W3549" s="1063"/>
      <c r="X3549" s="1063"/>
      <c r="Y3549" s="1063"/>
      <c r="Z3549" s="1063"/>
      <c r="AA3549" s="1063"/>
      <c r="AB3549" s="1063"/>
      <c r="AC3549" s="1063"/>
      <c r="AD3549" s="1063"/>
      <c r="AE3549" s="1063"/>
      <c r="AF3549" s="1063"/>
      <c r="AG3549" s="1063"/>
      <c r="AH3549" s="1063"/>
      <c r="AI3549" s="1063"/>
      <c r="AJ3549" s="1063"/>
      <c r="AK3549" s="1063"/>
      <c r="AL3549" s="1063"/>
      <c r="AM3549" s="1063"/>
      <c r="AN3549" s="1063"/>
      <c r="AO3549" s="1063"/>
      <c r="AP3549" s="1063"/>
      <c r="AQ3549" s="1063"/>
      <c r="AR3549" s="1063"/>
      <c r="AS3549" s="1063"/>
      <c r="AT3549" s="1063"/>
      <c r="AU3549" s="1063"/>
      <c r="AV3549" s="1063"/>
    </row>
    <row r="3550" spans="1:48" s="1108" customFormat="1" ht="27.75" customHeight="1">
      <c r="A3550" s="1076"/>
      <c r="B3550" s="1074">
        <f>+'[18]Bldg+Dev'!S4362</f>
        <v>0</v>
      </c>
      <c r="D3550" s="1063"/>
      <c r="F3550" s="1076"/>
      <c r="G3550" s="1063"/>
      <c r="H3550" s="1063"/>
      <c r="I3550" s="1063"/>
      <c r="J3550" s="1063"/>
      <c r="K3550" s="1063"/>
      <c r="L3550" s="1063"/>
      <c r="M3550" s="1063"/>
      <c r="N3550" s="1063"/>
      <c r="O3550" s="1063"/>
      <c r="P3550" s="1063"/>
      <c r="Q3550" s="1063"/>
      <c r="R3550" s="1063"/>
      <c r="S3550" s="1063"/>
      <c r="T3550" s="1063"/>
      <c r="U3550" s="1063"/>
      <c r="V3550" s="1063"/>
      <c r="W3550" s="1063"/>
      <c r="X3550" s="1063"/>
      <c r="Y3550" s="1063"/>
      <c r="Z3550" s="1063"/>
      <c r="AA3550" s="1063"/>
      <c r="AB3550" s="1063"/>
      <c r="AC3550" s="1063"/>
      <c r="AD3550" s="1063"/>
      <c r="AE3550" s="1063"/>
      <c r="AF3550" s="1063"/>
      <c r="AG3550" s="1063"/>
      <c r="AH3550" s="1063"/>
      <c r="AI3550" s="1063"/>
      <c r="AJ3550" s="1063"/>
      <c r="AK3550" s="1063"/>
      <c r="AL3550" s="1063"/>
      <c r="AM3550" s="1063"/>
      <c r="AN3550" s="1063"/>
      <c r="AO3550" s="1063"/>
      <c r="AP3550" s="1063"/>
      <c r="AQ3550" s="1063"/>
      <c r="AR3550" s="1063"/>
      <c r="AS3550" s="1063"/>
      <c r="AT3550" s="1063"/>
      <c r="AU3550" s="1063"/>
      <c r="AV3550" s="1063"/>
    </row>
    <row r="3551" spans="1:48" s="1108" customFormat="1" ht="27.75" customHeight="1">
      <c r="A3551" s="1076"/>
      <c r="B3551" s="1074">
        <f>+'[18]Bldg+Dev'!S4363</f>
        <v>0</v>
      </c>
      <c r="D3551" s="1063"/>
      <c r="F3551" s="1076"/>
      <c r="G3551" s="1063"/>
      <c r="H3551" s="1063"/>
      <c r="I3551" s="1063"/>
      <c r="J3551" s="1063"/>
      <c r="K3551" s="1063"/>
      <c r="L3551" s="1063"/>
      <c r="M3551" s="1063"/>
      <c r="N3551" s="1063"/>
      <c r="O3551" s="1063"/>
      <c r="P3551" s="1063"/>
      <c r="Q3551" s="1063"/>
      <c r="R3551" s="1063"/>
      <c r="S3551" s="1063"/>
      <c r="T3551" s="1063"/>
      <c r="U3551" s="1063"/>
      <c r="V3551" s="1063"/>
      <c r="W3551" s="1063"/>
      <c r="X3551" s="1063"/>
      <c r="Y3551" s="1063"/>
      <c r="Z3551" s="1063"/>
      <c r="AA3551" s="1063"/>
      <c r="AB3551" s="1063"/>
      <c r="AC3551" s="1063"/>
      <c r="AD3551" s="1063"/>
      <c r="AE3551" s="1063"/>
      <c r="AF3551" s="1063"/>
      <c r="AG3551" s="1063"/>
      <c r="AH3551" s="1063"/>
      <c r="AI3551" s="1063"/>
      <c r="AJ3551" s="1063"/>
      <c r="AK3551" s="1063"/>
      <c r="AL3551" s="1063"/>
      <c r="AM3551" s="1063"/>
      <c r="AN3551" s="1063"/>
      <c r="AO3551" s="1063"/>
      <c r="AP3551" s="1063"/>
      <c r="AQ3551" s="1063"/>
      <c r="AR3551" s="1063"/>
      <c r="AS3551" s="1063"/>
      <c r="AT3551" s="1063"/>
      <c r="AU3551" s="1063"/>
      <c r="AV3551" s="1063"/>
    </row>
    <row r="3552" spans="1:48" s="1108" customFormat="1" ht="27.75" customHeight="1">
      <c r="A3552" s="1076"/>
      <c r="B3552" s="1074">
        <f>+'[18]Bldg+Dev'!S4364</f>
        <v>0</v>
      </c>
      <c r="D3552" s="1063"/>
      <c r="F3552" s="1076"/>
      <c r="G3552" s="1063"/>
      <c r="H3552" s="1063"/>
      <c r="I3552" s="1063"/>
      <c r="J3552" s="1063"/>
      <c r="K3552" s="1063"/>
      <c r="L3552" s="1063"/>
      <c r="M3552" s="1063"/>
      <c r="N3552" s="1063"/>
      <c r="O3552" s="1063"/>
      <c r="P3552" s="1063"/>
      <c r="Q3552" s="1063"/>
      <c r="R3552" s="1063"/>
      <c r="S3552" s="1063"/>
      <c r="T3552" s="1063"/>
      <c r="U3552" s="1063"/>
      <c r="V3552" s="1063"/>
      <c r="W3552" s="1063"/>
      <c r="X3552" s="1063"/>
      <c r="Y3552" s="1063"/>
      <c r="Z3552" s="1063"/>
      <c r="AA3552" s="1063"/>
      <c r="AB3552" s="1063"/>
      <c r="AC3552" s="1063"/>
      <c r="AD3552" s="1063"/>
      <c r="AE3552" s="1063"/>
      <c r="AF3552" s="1063"/>
      <c r="AG3552" s="1063"/>
      <c r="AH3552" s="1063"/>
      <c r="AI3552" s="1063"/>
      <c r="AJ3552" s="1063"/>
      <c r="AK3552" s="1063"/>
      <c r="AL3552" s="1063"/>
      <c r="AM3552" s="1063"/>
      <c r="AN3552" s="1063"/>
      <c r="AO3552" s="1063"/>
      <c r="AP3552" s="1063"/>
      <c r="AQ3552" s="1063"/>
      <c r="AR3552" s="1063"/>
      <c r="AS3552" s="1063"/>
      <c r="AT3552" s="1063"/>
      <c r="AU3552" s="1063"/>
      <c r="AV3552" s="1063"/>
    </row>
    <row r="3553" spans="1:48" s="1108" customFormat="1" ht="27.75" customHeight="1">
      <c r="A3553" s="1076"/>
      <c r="B3553" s="1074">
        <f>+'[18]Bldg+Dev'!S4365</f>
        <v>0</v>
      </c>
      <c r="D3553" s="1063"/>
      <c r="F3553" s="1076"/>
      <c r="G3553" s="1063"/>
      <c r="H3553" s="1063"/>
      <c r="I3553" s="1063"/>
      <c r="J3553" s="1063"/>
      <c r="K3553" s="1063"/>
      <c r="L3553" s="1063"/>
      <c r="M3553" s="1063"/>
      <c r="N3553" s="1063"/>
      <c r="O3553" s="1063"/>
      <c r="P3553" s="1063"/>
      <c r="Q3553" s="1063"/>
      <c r="R3553" s="1063"/>
      <c r="S3553" s="1063"/>
      <c r="T3553" s="1063"/>
      <c r="U3553" s="1063"/>
      <c r="V3553" s="1063"/>
      <c r="W3553" s="1063"/>
      <c r="X3553" s="1063"/>
      <c r="Y3553" s="1063"/>
      <c r="Z3553" s="1063"/>
      <c r="AA3553" s="1063"/>
      <c r="AB3553" s="1063"/>
      <c r="AC3553" s="1063"/>
      <c r="AD3553" s="1063"/>
      <c r="AE3553" s="1063"/>
      <c r="AF3553" s="1063"/>
      <c r="AG3553" s="1063"/>
      <c r="AH3553" s="1063"/>
      <c r="AI3553" s="1063"/>
      <c r="AJ3553" s="1063"/>
      <c r="AK3553" s="1063"/>
      <c r="AL3553" s="1063"/>
      <c r="AM3553" s="1063"/>
      <c r="AN3553" s="1063"/>
      <c r="AO3553" s="1063"/>
      <c r="AP3553" s="1063"/>
      <c r="AQ3553" s="1063"/>
      <c r="AR3553" s="1063"/>
      <c r="AS3553" s="1063"/>
      <c r="AT3553" s="1063"/>
      <c r="AU3553" s="1063"/>
      <c r="AV3553" s="1063"/>
    </row>
    <row r="3554" spans="1:48" s="1108" customFormat="1" ht="27.75" customHeight="1">
      <c r="A3554" s="1076"/>
      <c r="B3554" s="1074">
        <f>+'[18]Bldg+Dev'!S4366</f>
        <v>0</v>
      </c>
      <c r="D3554" s="1063"/>
      <c r="F3554" s="1076"/>
      <c r="G3554" s="1063"/>
      <c r="H3554" s="1063"/>
      <c r="I3554" s="1063"/>
      <c r="J3554" s="1063"/>
      <c r="K3554" s="1063"/>
      <c r="L3554" s="1063"/>
      <c r="M3554" s="1063"/>
      <c r="N3554" s="1063"/>
      <c r="O3554" s="1063"/>
      <c r="P3554" s="1063"/>
      <c r="Q3554" s="1063"/>
      <c r="R3554" s="1063"/>
      <c r="S3554" s="1063"/>
      <c r="T3554" s="1063"/>
      <c r="U3554" s="1063"/>
      <c r="V3554" s="1063"/>
      <c r="W3554" s="1063"/>
      <c r="X3554" s="1063"/>
      <c r="Y3554" s="1063"/>
      <c r="Z3554" s="1063"/>
      <c r="AA3554" s="1063"/>
      <c r="AB3554" s="1063"/>
      <c r="AC3554" s="1063"/>
      <c r="AD3554" s="1063"/>
      <c r="AE3554" s="1063"/>
      <c r="AF3554" s="1063"/>
      <c r="AG3554" s="1063"/>
      <c r="AH3554" s="1063"/>
      <c r="AI3554" s="1063"/>
      <c r="AJ3554" s="1063"/>
      <c r="AK3554" s="1063"/>
      <c r="AL3554" s="1063"/>
      <c r="AM3554" s="1063"/>
      <c r="AN3554" s="1063"/>
      <c r="AO3554" s="1063"/>
      <c r="AP3554" s="1063"/>
      <c r="AQ3554" s="1063"/>
      <c r="AR3554" s="1063"/>
      <c r="AS3554" s="1063"/>
      <c r="AT3554" s="1063"/>
      <c r="AU3554" s="1063"/>
      <c r="AV3554" s="1063"/>
    </row>
    <row r="3555" spans="1:48" s="1108" customFormat="1" ht="27.75" customHeight="1">
      <c r="A3555" s="1076"/>
      <c r="B3555" s="1074">
        <f>+'[18]Bldg+Dev'!S4367</f>
        <v>0</v>
      </c>
      <c r="D3555" s="1063"/>
      <c r="F3555" s="1076"/>
      <c r="G3555" s="1063"/>
      <c r="H3555" s="1063"/>
      <c r="I3555" s="1063"/>
      <c r="J3555" s="1063"/>
      <c r="K3555" s="1063"/>
      <c r="L3555" s="1063"/>
      <c r="M3555" s="1063"/>
      <c r="N3555" s="1063"/>
      <c r="O3555" s="1063"/>
      <c r="P3555" s="1063"/>
      <c r="Q3555" s="1063"/>
      <c r="R3555" s="1063"/>
      <c r="S3555" s="1063"/>
      <c r="T3555" s="1063"/>
      <c r="U3555" s="1063"/>
      <c r="V3555" s="1063"/>
      <c r="W3555" s="1063"/>
      <c r="X3555" s="1063"/>
      <c r="Y3555" s="1063"/>
      <c r="Z3555" s="1063"/>
      <c r="AA3555" s="1063"/>
      <c r="AB3555" s="1063"/>
      <c r="AC3555" s="1063"/>
      <c r="AD3555" s="1063"/>
      <c r="AE3555" s="1063"/>
      <c r="AF3555" s="1063"/>
      <c r="AG3555" s="1063"/>
      <c r="AH3555" s="1063"/>
      <c r="AI3555" s="1063"/>
      <c r="AJ3555" s="1063"/>
      <c r="AK3555" s="1063"/>
      <c r="AL3555" s="1063"/>
      <c r="AM3555" s="1063"/>
      <c r="AN3555" s="1063"/>
      <c r="AO3555" s="1063"/>
      <c r="AP3555" s="1063"/>
      <c r="AQ3555" s="1063"/>
      <c r="AR3555" s="1063"/>
      <c r="AS3555" s="1063"/>
      <c r="AT3555" s="1063"/>
      <c r="AU3555" s="1063"/>
      <c r="AV3555" s="1063"/>
    </row>
    <row r="3556" spans="1:48" s="1108" customFormat="1" ht="27.75" customHeight="1">
      <c r="A3556" s="1076"/>
      <c r="B3556" s="1074">
        <f>+'[18]Bldg+Dev'!S4368</f>
        <v>0</v>
      </c>
      <c r="D3556" s="1063"/>
      <c r="F3556" s="1076"/>
      <c r="G3556" s="1063"/>
      <c r="H3556" s="1063"/>
      <c r="I3556" s="1063"/>
      <c r="J3556" s="1063"/>
      <c r="K3556" s="1063"/>
      <c r="L3556" s="1063"/>
      <c r="M3556" s="1063"/>
      <c r="N3556" s="1063"/>
      <c r="O3556" s="1063"/>
      <c r="P3556" s="1063"/>
      <c r="Q3556" s="1063"/>
      <c r="R3556" s="1063"/>
      <c r="S3556" s="1063"/>
      <c r="T3556" s="1063"/>
      <c r="U3556" s="1063"/>
      <c r="V3556" s="1063"/>
      <c r="W3556" s="1063"/>
      <c r="X3556" s="1063"/>
      <c r="Y3556" s="1063"/>
      <c r="Z3556" s="1063"/>
      <c r="AA3556" s="1063"/>
      <c r="AB3556" s="1063"/>
      <c r="AC3556" s="1063"/>
      <c r="AD3556" s="1063"/>
      <c r="AE3556" s="1063"/>
      <c r="AF3556" s="1063"/>
      <c r="AG3556" s="1063"/>
      <c r="AH3556" s="1063"/>
      <c r="AI3556" s="1063"/>
      <c r="AJ3556" s="1063"/>
      <c r="AK3556" s="1063"/>
      <c r="AL3556" s="1063"/>
      <c r="AM3556" s="1063"/>
      <c r="AN3556" s="1063"/>
      <c r="AO3556" s="1063"/>
      <c r="AP3556" s="1063"/>
      <c r="AQ3556" s="1063"/>
      <c r="AR3556" s="1063"/>
      <c r="AS3556" s="1063"/>
      <c r="AT3556" s="1063"/>
      <c r="AU3556" s="1063"/>
      <c r="AV3556" s="1063"/>
    </row>
    <row r="3557" spans="1:48" s="1108" customFormat="1" ht="27.75" customHeight="1">
      <c r="A3557" s="1076"/>
      <c r="B3557" s="1074">
        <f>+'[18]Bldg+Dev'!S4369</f>
        <v>0</v>
      </c>
      <c r="D3557" s="1063"/>
      <c r="F3557" s="1076"/>
      <c r="G3557" s="1063"/>
      <c r="H3557" s="1063"/>
      <c r="I3557" s="1063"/>
      <c r="J3557" s="1063"/>
      <c r="K3557" s="1063"/>
      <c r="L3557" s="1063"/>
      <c r="M3557" s="1063"/>
      <c r="N3557" s="1063"/>
      <c r="O3557" s="1063"/>
      <c r="P3557" s="1063"/>
      <c r="Q3557" s="1063"/>
      <c r="R3557" s="1063"/>
      <c r="S3557" s="1063"/>
      <c r="T3557" s="1063"/>
      <c r="U3557" s="1063"/>
      <c r="V3557" s="1063"/>
      <c r="W3557" s="1063"/>
      <c r="X3557" s="1063"/>
      <c r="Y3557" s="1063"/>
      <c r="Z3557" s="1063"/>
      <c r="AA3557" s="1063"/>
      <c r="AB3557" s="1063"/>
      <c r="AC3557" s="1063"/>
      <c r="AD3557" s="1063"/>
      <c r="AE3557" s="1063"/>
      <c r="AF3557" s="1063"/>
      <c r="AG3557" s="1063"/>
      <c r="AH3557" s="1063"/>
      <c r="AI3557" s="1063"/>
      <c r="AJ3557" s="1063"/>
      <c r="AK3557" s="1063"/>
      <c r="AL3557" s="1063"/>
      <c r="AM3557" s="1063"/>
      <c r="AN3557" s="1063"/>
      <c r="AO3557" s="1063"/>
      <c r="AP3557" s="1063"/>
      <c r="AQ3557" s="1063"/>
      <c r="AR3557" s="1063"/>
      <c r="AS3557" s="1063"/>
      <c r="AT3557" s="1063"/>
      <c r="AU3557" s="1063"/>
      <c r="AV3557" s="1063"/>
    </row>
    <row r="3558" spans="1:48" s="1108" customFormat="1" ht="27.75" customHeight="1">
      <c r="A3558" s="1076"/>
      <c r="B3558" s="1074">
        <f>+'[18]Bldg+Dev'!S4370</f>
        <v>0</v>
      </c>
      <c r="D3558" s="1063"/>
      <c r="F3558" s="1076"/>
      <c r="G3558" s="1063"/>
      <c r="H3558" s="1063"/>
      <c r="I3558" s="1063"/>
      <c r="J3558" s="1063"/>
      <c r="K3558" s="1063"/>
      <c r="L3558" s="1063"/>
      <c r="M3558" s="1063"/>
      <c r="N3558" s="1063"/>
      <c r="O3558" s="1063"/>
      <c r="P3558" s="1063"/>
      <c r="Q3558" s="1063"/>
      <c r="R3558" s="1063"/>
      <c r="S3558" s="1063"/>
      <c r="T3558" s="1063"/>
      <c r="U3558" s="1063"/>
      <c r="V3558" s="1063"/>
      <c r="W3558" s="1063"/>
      <c r="X3558" s="1063"/>
      <c r="Y3558" s="1063"/>
      <c r="Z3558" s="1063"/>
      <c r="AA3558" s="1063"/>
      <c r="AB3558" s="1063"/>
      <c r="AC3558" s="1063"/>
      <c r="AD3558" s="1063"/>
      <c r="AE3558" s="1063"/>
      <c r="AF3558" s="1063"/>
      <c r="AG3558" s="1063"/>
      <c r="AH3558" s="1063"/>
      <c r="AI3558" s="1063"/>
      <c r="AJ3558" s="1063"/>
      <c r="AK3558" s="1063"/>
      <c r="AL3558" s="1063"/>
      <c r="AM3558" s="1063"/>
      <c r="AN3558" s="1063"/>
      <c r="AO3558" s="1063"/>
      <c r="AP3558" s="1063"/>
      <c r="AQ3558" s="1063"/>
      <c r="AR3558" s="1063"/>
      <c r="AS3558" s="1063"/>
      <c r="AT3558" s="1063"/>
      <c r="AU3558" s="1063"/>
      <c r="AV3558" s="1063"/>
    </row>
    <row r="3559" spans="1:48" s="1108" customFormat="1" ht="27.75" customHeight="1">
      <c r="A3559" s="1076"/>
      <c r="B3559" s="1074">
        <f>+'[18]Bldg+Dev'!S4371</f>
        <v>0</v>
      </c>
      <c r="D3559" s="1063"/>
      <c r="F3559" s="1076"/>
      <c r="G3559" s="1063"/>
      <c r="H3559" s="1063"/>
      <c r="I3559" s="1063"/>
      <c r="J3559" s="1063"/>
      <c r="K3559" s="1063"/>
      <c r="L3559" s="1063"/>
      <c r="M3559" s="1063"/>
      <c r="N3559" s="1063"/>
      <c r="O3559" s="1063"/>
      <c r="P3559" s="1063"/>
      <c r="Q3559" s="1063"/>
      <c r="R3559" s="1063"/>
      <c r="S3559" s="1063"/>
      <c r="T3559" s="1063"/>
      <c r="U3559" s="1063"/>
      <c r="V3559" s="1063"/>
      <c r="W3559" s="1063"/>
      <c r="X3559" s="1063"/>
      <c r="Y3559" s="1063"/>
      <c r="Z3559" s="1063"/>
      <c r="AA3559" s="1063"/>
      <c r="AB3559" s="1063"/>
      <c r="AC3559" s="1063"/>
      <c r="AD3559" s="1063"/>
      <c r="AE3559" s="1063"/>
      <c r="AF3559" s="1063"/>
      <c r="AG3559" s="1063"/>
      <c r="AH3559" s="1063"/>
      <c r="AI3559" s="1063"/>
      <c r="AJ3559" s="1063"/>
      <c r="AK3559" s="1063"/>
      <c r="AL3559" s="1063"/>
      <c r="AM3559" s="1063"/>
      <c r="AN3559" s="1063"/>
      <c r="AO3559" s="1063"/>
      <c r="AP3559" s="1063"/>
      <c r="AQ3559" s="1063"/>
      <c r="AR3559" s="1063"/>
      <c r="AS3559" s="1063"/>
      <c r="AT3559" s="1063"/>
      <c r="AU3559" s="1063"/>
      <c r="AV3559" s="1063"/>
    </row>
    <row r="3560" spans="1:48" s="1108" customFormat="1" ht="27.75" customHeight="1">
      <c r="A3560" s="1076"/>
      <c r="B3560" s="1074">
        <f>+'[18]Bldg+Dev'!S4372</f>
        <v>0</v>
      </c>
      <c r="D3560" s="1063"/>
      <c r="F3560" s="1076"/>
      <c r="G3560" s="1063"/>
      <c r="H3560" s="1063"/>
      <c r="I3560" s="1063"/>
      <c r="J3560" s="1063"/>
      <c r="K3560" s="1063"/>
      <c r="L3560" s="1063"/>
      <c r="M3560" s="1063"/>
      <c r="N3560" s="1063"/>
      <c r="O3560" s="1063"/>
      <c r="P3560" s="1063"/>
      <c r="Q3560" s="1063"/>
      <c r="R3560" s="1063"/>
      <c r="S3560" s="1063"/>
      <c r="T3560" s="1063"/>
      <c r="U3560" s="1063"/>
      <c r="V3560" s="1063"/>
      <c r="W3560" s="1063"/>
      <c r="X3560" s="1063"/>
      <c r="Y3560" s="1063"/>
      <c r="Z3560" s="1063"/>
      <c r="AA3560" s="1063"/>
      <c r="AB3560" s="1063"/>
      <c r="AC3560" s="1063"/>
      <c r="AD3560" s="1063"/>
      <c r="AE3560" s="1063"/>
      <c r="AF3560" s="1063"/>
      <c r="AG3560" s="1063"/>
      <c r="AH3560" s="1063"/>
      <c r="AI3560" s="1063"/>
      <c r="AJ3560" s="1063"/>
      <c r="AK3560" s="1063"/>
      <c r="AL3560" s="1063"/>
      <c r="AM3560" s="1063"/>
      <c r="AN3560" s="1063"/>
      <c r="AO3560" s="1063"/>
      <c r="AP3560" s="1063"/>
      <c r="AQ3560" s="1063"/>
      <c r="AR3560" s="1063"/>
      <c r="AS3560" s="1063"/>
      <c r="AT3560" s="1063"/>
      <c r="AU3560" s="1063"/>
      <c r="AV3560" s="1063"/>
    </row>
    <row r="3561" spans="1:48" s="1108" customFormat="1" ht="27.75" customHeight="1">
      <c r="A3561" s="1076"/>
      <c r="B3561" s="1074">
        <f>+'[18]Bldg+Dev'!S4373</f>
        <v>0</v>
      </c>
      <c r="D3561" s="1063"/>
      <c r="F3561" s="1076"/>
      <c r="G3561" s="1063"/>
      <c r="H3561" s="1063"/>
      <c r="I3561" s="1063"/>
      <c r="J3561" s="1063"/>
      <c r="K3561" s="1063"/>
      <c r="L3561" s="1063"/>
      <c r="M3561" s="1063"/>
      <c r="N3561" s="1063"/>
      <c r="O3561" s="1063"/>
      <c r="P3561" s="1063"/>
      <c r="Q3561" s="1063"/>
      <c r="R3561" s="1063"/>
      <c r="S3561" s="1063"/>
      <c r="T3561" s="1063"/>
      <c r="U3561" s="1063"/>
      <c r="V3561" s="1063"/>
      <c r="W3561" s="1063"/>
      <c r="X3561" s="1063"/>
      <c r="Y3561" s="1063"/>
      <c r="Z3561" s="1063"/>
      <c r="AA3561" s="1063"/>
      <c r="AB3561" s="1063"/>
      <c r="AC3561" s="1063"/>
      <c r="AD3561" s="1063"/>
      <c r="AE3561" s="1063"/>
      <c r="AF3561" s="1063"/>
      <c r="AG3561" s="1063"/>
      <c r="AH3561" s="1063"/>
      <c r="AI3561" s="1063"/>
      <c r="AJ3561" s="1063"/>
      <c r="AK3561" s="1063"/>
      <c r="AL3561" s="1063"/>
      <c r="AM3561" s="1063"/>
      <c r="AN3561" s="1063"/>
      <c r="AO3561" s="1063"/>
      <c r="AP3561" s="1063"/>
      <c r="AQ3561" s="1063"/>
      <c r="AR3561" s="1063"/>
      <c r="AS3561" s="1063"/>
      <c r="AT3561" s="1063"/>
      <c r="AU3561" s="1063"/>
      <c r="AV3561" s="1063"/>
    </row>
    <row r="3562" spans="1:48" s="1108" customFormat="1" ht="27.75" customHeight="1">
      <c r="A3562" s="1076"/>
      <c r="B3562" s="1074">
        <f>+'[18]Bldg+Dev'!S4374</f>
        <v>0</v>
      </c>
      <c r="D3562" s="1063"/>
      <c r="F3562" s="1076"/>
      <c r="G3562" s="1063"/>
      <c r="H3562" s="1063"/>
      <c r="I3562" s="1063"/>
      <c r="J3562" s="1063"/>
      <c r="K3562" s="1063"/>
      <c r="L3562" s="1063"/>
      <c r="M3562" s="1063"/>
      <c r="N3562" s="1063"/>
      <c r="O3562" s="1063"/>
      <c r="P3562" s="1063"/>
      <c r="Q3562" s="1063"/>
      <c r="R3562" s="1063"/>
      <c r="S3562" s="1063"/>
      <c r="T3562" s="1063"/>
      <c r="U3562" s="1063"/>
      <c r="V3562" s="1063"/>
      <c r="W3562" s="1063"/>
      <c r="X3562" s="1063"/>
      <c r="Y3562" s="1063"/>
      <c r="Z3562" s="1063"/>
      <c r="AA3562" s="1063"/>
      <c r="AB3562" s="1063"/>
      <c r="AC3562" s="1063"/>
      <c r="AD3562" s="1063"/>
      <c r="AE3562" s="1063"/>
      <c r="AF3562" s="1063"/>
      <c r="AG3562" s="1063"/>
      <c r="AH3562" s="1063"/>
      <c r="AI3562" s="1063"/>
      <c r="AJ3562" s="1063"/>
      <c r="AK3562" s="1063"/>
      <c r="AL3562" s="1063"/>
      <c r="AM3562" s="1063"/>
      <c r="AN3562" s="1063"/>
      <c r="AO3562" s="1063"/>
      <c r="AP3562" s="1063"/>
      <c r="AQ3562" s="1063"/>
      <c r="AR3562" s="1063"/>
      <c r="AS3562" s="1063"/>
      <c r="AT3562" s="1063"/>
      <c r="AU3562" s="1063"/>
      <c r="AV3562" s="1063"/>
    </row>
    <row r="3563" spans="1:48" s="1108" customFormat="1" ht="27.75" customHeight="1">
      <c r="A3563" s="1076"/>
      <c r="B3563" s="1074">
        <f>+'[18]Bldg+Dev'!S4375</f>
        <v>0</v>
      </c>
      <c r="D3563" s="1063"/>
      <c r="F3563" s="1076"/>
      <c r="G3563" s="1063"/>
      <c r="H3563" s="1063"/>
      <c r="I3563" s="1063"/>
      <c r="J3563" s="1063"/>
      <c r="K3563" s="1063"/>
      <c r="L3563" s="1063"/>
      <c r="M3563" s="1063"/>
      <c r="N3563" s="1063"/>
      <c r="O3563" s="1063"/>
      <c r="P3563" s="1063"/>
      <c r="Q3563" s="1063"/>
      <c r="R3563" s="1063"/>
      <c r="S3563" s="1063"/>
      <c r="T3563" s="1063"/>
      <c r="U3563" s="1063"/>
      <c r="V3563" s="1063"/>
      <c r="W3563" s="1063"/>
      <c r="X3563" s="1063"/>
      <c r="Y3563" s="1063"/>
      <c r="Z3563" s="1063"/>
      <c r="AA3563" s="1063"/>
      <c r="AB3563" s="1063"/>
      <c r="AC3563" s="1063"/>
      <c r="AD3563" s="1063"/>
      <c r="AE3563" s="1063"/>
      <c r="AF3563" s="1063"/>
      <c r="AG3563" s="1063"/>
      <c r="AH3563" s="1063"/>
      <c r="AI3563" s="1063"/>
      <c r="AJ3563" s="1063"/>
      <c r="AK3563" s="1063"/>
      <c r="AL3563" s="1063"/>
      <c r="AM3563" s="1063"/>
      <c r="AN3563" s="1063"/>
      <c r="AO3563" s="1063"/>
      <c r="AP3563" s="1063"/>
      <c r="AQ3563" s="1063"/>
      <c r="AR3563" s="1063"/>
      <c r="AS3563" s="1063"/>
      <c r="AT3563" s="1063"/>
      <c r="AU3563" s="1063"/>
      <c r="AV3563" s="1063"/>
    </row>
    <row r="3564" spans="1:48" s="1108" customFormat="1" ht="27.75" customHeight="1">
      <c r="A3564" s="1076"/>
      <c r="B3564" s="1074">
        <f>+'[18]Bldg+Dev'!S4376</f>
        <v>0</v>
      </c>
      <c r="D3564" s="1063"/>
      <c r="F3564" s="1076"/>
      <c r="G3564" s="1063"/>
      <c r="H3564" s="1063"/>
      <c r="I3564" s="1063"/>
      <c r="J3564" s="1063"/>
      <c r="K3564" s="1063"/>
      <c r="L3564" s="1063"/>
      <c r="M3564" s="1063"/>
      <c r="N3564" s="1063"/>
      <c r="O3564" s="1063"/>
      <c r="P3564" s="1063"/>
      <c r="Q3564" s="1063"/>
      <c r="R3564" s="1063"/>
      <c r="S3564" s="1063"/>
      <c r="T3564" s="1063"/>
      <c r="U3564" s="1063"/>
      <c r="V3564" s="1063"/>
      <c r="W3564" s="1063"/>
      <c r="X3564" s="1063"/>
      <c r="Y3564" s="1063"/>
      <c r="Z3564" s="1063"/>
      <c r="AA3564" s="1063"/>
      <c r="AB3564" s="1063"/>
      <c r="AC3564" s="1063"/>
      <c r="AD3564" s="1063"/>
      <c r="AE3564" s="1063"/>
      <c r="AF3564" s="1063"/>
      <c r="AG3564" s="1063"/>
      <c r="AH3564" s="1063"/>
      <c r="AI3564" s="1063"/>
      <c r="AJ3564" s="1063"/>
      <c r="AK3564" s="1063"/>
      <c r="AL3564" s="1063"/>
      <c r="AM3564" s="1063"/>
      <c r="AN3564" s="1063"/>
      <c r="AO3564" s="1063"/>
      <c r="AP3564" s="1063"/>
      <c r="AQ3564" s="1063"/>
      <c r="AR3564" s="1063"/>
      <c r="AS3564" s="1063"/>
      <c r="AT3564" s="1063"/>
      <c r="AU3564" s="1063"/>
      <c r="AV3564" s="1063"/>
    </row>
    <row r="3565" spans="1:48" s="1108" customFormat="1" ht="27.75" customHeight="1">
      <c r="A3565" s="1076"/>
      <c r="B3565" s="1074">
        <f>+'[18]Bldg+Dev'!S4377</f>
        <v>0</v>
      </c>
      <c r="D3565" s="1063"/>
      <c r="F3565" s="1076"/>
      <c r="G3565" s="1063"/>
      <c r="H3565" s="1063"/>
      <c r="I3565" s="1063"/>
      <c r="J3565" s="1063"/>
      <c r="K3565" s="1063"/>
      <c r="L3565" s="1063"/>
      <c r="M3565" s="1063"/>
      <c r="N3565" s="1063"/>
      <c r="O3565" s="1063"/>
      <c r="P3565" s="1063"/>
      <c r="Q3565" s="1063"/>
      <c r="R3565" s="1063"/>
      <c r="S3565" s="1063"/>
      <c r="T3565" s="1063"/>
      <c r="U3565" s="1063"/>
      <c r="V3565" s="1063"/>
      <c r="W3565" s="1063"/>
      <c r="X3565" s="1063"/>
      <c r="Y3565" s="1063"/>
      <c r="Z3565" s="1063"/>
      <c r="AA3565" s="1063"/>
      <c r="AB3565" s="1063"/>
      <c r="AC3565" s="1063"/>
      <c r="AD3565" s="1063"/>
      <c r="AE3565" s="1063"/>
      <c r="AF3565" s="1063"/>
      <c r="AG3565" s="1063"/>
      <c r="AH3565" s="1063"/>
      <c r="AI3565" s="1063"/>
      <c r="AJ3565" s="1063"/>
      <c r="AK3565" s="1063"/>
      <c r="AL3565" s="1063"/>
      <c r="AM3565" s="1063"/>
      <c r="AN3565" s="1063"/>
      <c r="AO3565" s="1063"/>
      <c r="AP3565" s="1063"/>
      <c r="AQ3565" s="1063"/>
      <c r="AR3565" s="1063"/>
      <c r="AS3565" s="1063"/>
      <c r="AT3565" s="1063"/>
      <c r="AU3565" s="1063"/>
      <c r="AV3565" s="1063"/>
    </row>
    <row r="3566" spans="1:48" s="1108" customFormat="1" ht="27.75" customHeight="1">
      <c r="A3566" s="1076"/>
      <c r="B3566" s="1074">
        <f>+'[18]Bldg+Dev'!S4378</f>
        <v>0</v>
      </c>
      <c r="D3566" s="1063"/>
      <c r="F3566" s="1076"/>
      <c r="G3566" s="1063"/>
      <c r="H3566" s="1063"/>
      <c r="I3566" s="1063"/>
      <c r="J3566" s="1063"/>
      <c r="K3566" s="1063"/>
      <c r="L3566" s="1063"/>
      <c r="M3566" s="1063"/>
      <c r="N3566" s="1063"/>
      <c r="O3566" s="1063"/>
      <c r="P3566" s="1063"/>
      <c r="Q3566" s="1063"/>
      <c r="R3566" s="1063"/>
      <c r="S3566" s="1063"/>
      <c r="T3566" s="1063"/>
      <c r="U3566" s="1063"/>
      <c r="V3566" s="1063"/>
      <c r="W3566" s="1063"/>
      <c r="X3566" s="1063"/>
      <c r="Y3566" s="1063"/>
      <c r="Z3566" s="1063"/>
      <c r="AA3566" s="1063"/>
      <c r="AB3566" s="1063"/>
      <c r="AC3566" s="1063"/>
      <c r="AD3566" s="1063"/>
      <c r="AE3566" s="1063"/>
      <c r="AF3566" s="1063"/>
      <c r="AG3566" s="1063"/>
      <c r="AH3566" s="1063"/>
      <c r="AI3566" s="1063"/>
      <c r="AJ3566" s="1063"/>
      <c r="AK3566" s="1063"/>
      <c r="AL3566" s="1063"/>
      <c r="AM3566" s="1063"/>
      <c r="AN3566" s="1063"/>
      <c r="AO3566" s="1063"/>
      <c r="AP3566" s="1063"/>
      <c r="AQ3566" s="1063"/>
      <c r="AR3566" s="1063"/>
      <c r="AS3566" s="1063"/>
      <c r="AT3566" s="1063"/>
      <c r="AU3566" s="1063"/>
      <c r="AV3566" s="1063"/>
    </row>
    <row r="3567" spans="1:48" s="1108" customFormat="1" ht="27.75" customHeight="1">
      <c r="A3567" s="1076"/>
      <c r="B3567" s="1074">
        <f>+'[18]Bldg+Dev'!S4379</f>
        <v>0</v>
      </c>
      <c r="D3567" s="1063"/>
      <c r="F3567" s="1076"/>
      <c r="G3567" s="1063"/>
      <c r="H3567" s="1063"/>
      <c r="I3567" s="1063"/>
      <c r="J3567" s="1063"/>
      <c r="K3567" s="1063"/>
      <c r="L3567" s="1063"/>
      <c r="M3567" s="1063"/>
      <c r="N3567" s="1063"/>
      <c r="O3567" s="1063"/>
      <c r="P3567" s="1063"/>
      <c r="Q3567" s="1063"/>
      <c r="R3567" s="1063"/>
      <c r="S3567" s="1063"/>
      <c r="T3567" s="1063"/>
      <c r="U3567" s="1063"/>
      <c r="V3567" s="1063"/>
      <c r="W3567" s="1063"/>
      <c r="X3567" s="1063"/>
      <c r="Y3567" s="1063"/>
      <c r="Z3567" s="1063"/>
      <c r="AA3567" s="1063"/>
      <c r="AB3567" s="1063"/>
      <c r="AC3567" s="1063"/>
      <c r="AD3567" s="1063"/>
      <c r="AE3567" s="1063"/>
      <c r="AF3567" s="1063"/>
      <c r="AG3567" s="1063"/>
      <c r="AH3567" s="1063"/>
      <c r="AI3567" s="1063"/>
      <c r="AJ3567" s="1063"/>
      <c r="AK3567" s="1063"/>
      <c r="AL3567" s="1063"/>
      <c r="AM3567" s="1063"/>
      <c r="AN3567" s="1063"/>
      <c r="AO3567" s="1063"/>
      <c r="AP3567" s="1063"/>
      <c r="AQ3567" s="1063"/>
      <c r="AR3567" s="1063"/>
      <c r="AS3567" s="1063"/>
      <c r="AT3567" s="1063"/>
      <c r="AU3567" s="1063"/>
      <c r="AV3567" s="1063"/>
    </row>
    <row r="3568" spans="1:48" s="1108" customFormat="1" ht="27.75" customHeight="1">
      <c r="A3568" s="1076"/>
      <c r="B3568" s="1074">
        <f>+'[18]Bldg+Dev'!S4380</f>
        <v>0</v>
      </c>
      <c r="D3568" s="1063"/>
      <c r="F3568" s="1076"/>
      <c r="G3568" s="1063"/>
      <c r="H3568" s="1063"/>
      <c r="I3568" s="1063"/>
      <c r="J3568" s="1063"/>
      <c r="K3568" s="1063"/>
      <c r="L3568" s="1063"/>
      <c r="M3568" s="1063"/>
      <c r="N3568" s="1063"/>
      <c r="O3568" s="1063"/>
      <c r="P3568" s="1063"/>
      <c r="Q3568" s="1063"/>
      <c r="R3568" s="1063"/>
      <c r="S3568" s="1063"/>
      <c r="T3568" s="1063"/>
      <c r="U3568" s="1063"/>
      <c r="V3568" s="1063"/>
      <c r="W3568" s="1063"/>
      <c r="X3568" s="1063"/>
      <c r="Y3568" s="1063"/>
      <c r="Z3568" s="1063"/>
      <c r="AA3568" s="1063"/>
      <c r="AB3568" s="1063"/>
      <c r="AC3568" s="1063"/>
      <c r="AD3568" s="1063"/>
      <c r="AE3568" s="1063"/>
      <c r="AF3568" s="1063"/>
      <c r="AG3568" s="1063"/>
      <c r="AH3568" s="1063"/>
      <c r="AI3568" s="1063"/>
      <c r="AJ3568" s="1063"/>
      <c r="AK3568" s="1063"/>
      <c r="AL3568" s="1063"/>
      <c r="AM3568" s="1063"/>
      <c r="AN3568" s="1063"/>
      <c r="AO3568" s="1063"/>
      <c r="AP3568" s="1063"/>
      <c r="AQ3568" s="1063"/>
      <c r="AR3568" s="1063"/>
      <c r="AS3568" s="1063"/>
      <c r="AT3568" s="1063"/>
      <c r="AU3568" s="1063"/>
      <c r="AV3568" s="1063"/>
    </row>
    <row r="3569" spans="1:48" s="1108" customFormat="1" ht="27.75" customHeight="1">
      <c r="A3569" s="1076"/>
      <c r="B3569" s="1074">
        <f>+'[18]Bldg+Dev'!S4381</f>
        <v>0</v>
      </c>
      <c r="D3569" s="1063"/>
      <c r="F3569" s="1076"/>
      <c r="G3569" s="1063"/>
      <c r="H3569" s="1063"/>
      <c r="I3569" s="1063"/>
      <c r="J3569" s="1063"/>
      <c r="K3569" s="1063"/>
      <c r="L3569" s="1063"/>
      <c r="M3569" s="1063"/>
      <c r="N3569" s="1063"/>
      <c r="O3569" s="1063"/>
      <c r="P3569" s="1063"/>
      <c r="Q3569" s="1063"/>
      <c r="R3569" s="1063"/>
      <c r="S3569" s="1063"/>
      <c r="T3569" s="1063"/>
      <c r="U3569" s="1063"/>
      <c r="V3569" s="1063"/>
      <c r="W3569" s="1063"/>
      <c r="X3569" s="1063"/>
      <c r="Y3569" s="1063"/>
      <c r="Z3569" s="1063"/>
      <c r="AA3569" s="1063"/>
      <c r="AB3569" s="1063"/>
      <c r="AC3569" s="1063"/>
      <c r="AD3569" s="1063"/>
      <c r="AE3569" s="1063"/>
      <c r="AF3569" s="1063"/>
      <c r="AG3569" s="1063"/>
      <c r="AH3569" s="1063"/>
      <c r="AI3569" s="1063"/>
      <c r="AJ3569" s="1063"/>
      <c r="AK3569" s="1063"/>
      <c r="AL3569" s="1063"/>
      <c r="AM3569" s="1063"/>
      <c r="AN3569" s="1063"/>
      <c r="AO3569" s="1063"/>
      <c r="AP3569" s="1063"/>
      <c r="AQ3569" s="1063"/>
      <c r="AR3569" s="1063"/>
      <c r="AS3569" s="1063"/>
      <c r="AT3569" s="1063"/>
      <c r="AU3569" s="1063"/>
      <c r="AV3569" s="1063"/>
    </row>
    <row r="3570" spans="1:48" s="1108" customFormat="1" ht="27.75" customHeight="1">
      <c r="A3570" s="1076"/>
      <c r="B3570" s="1074">
        <f>+'[18]Bldg+Dev'!S4382</f>
        <v>0</v>
      </c>
      <c r="D3570" s="1063"/>
      <c r="F3570" s="1076"/>
      <c r="G3570" s="1063"/>
      <c r="H3570" s="1063"/>
      <c r="I3570" s="1063"/>
      <c r="J3570" s="1063"/>
      <c r="K3570" s="1063"/>
      <c r="L3570" s="1063"/>
      <c r="M3570" s="1063"/>
      <c r="N3570" s="1063"/>
      <c r="O3570" s="1063"/>
      <c r="P3570" s="1063"/>
      <c r="Q3570" s="1063"/>
      <c r="R3570" s="1063"/>
      <c r="S3570" s="1063"/>
      <c r="T3570" s="1063"/>
      <c r="U3570" s="1063"/>
      <c r="V3570" s="1063"/>
      <c r="W3570" s="1063"/>
      <c r="X3570" s="1063"/>
      <c r="Y3570" s="1063"/>
      <c r="Z3570" s="1063"/>
      <c r="AA3570" s="1063"/>
      <c r="AB3570" s="1063"/>
      <c r="AC3570" s="1063"/>
      <c r="AD3570" s="1063"/>
      <c r="AE3570" s="1063"/>
      <c r="AF3570" s="1063"/>
      <c r="AG3570" s="1063"/>
      <c r="AH3570" s="1063"/>
      <c r="AI3570" s="1063"/>
      <c r="AJ3570" s="1063"/>
      <c r="AK3570" s="1063"/>
      <c r="AL3570" s="1063"/>
      <c r="AM3570" s="1063"/>
      <c r="AN3570" s="1063"/>
      <c r="AO3570" s="1063"/>
      <c r="AP3570" s="1063"/>
      <c r="AQ3570" s="1063"/>
      <c r="AR3570" s="1063"/>
      <c r="AS3570" s="1063"/>
      <c r="AT3570" s="1063"/>
      <c r="AU3570" s="1063"/>
      <c r="AV3570" s="1063"/>
    </row>
    <row r="3571" spans="1:48" s="1108" customFormat="1" ht="27.75" customHeight="1">
      <c r="A3571" s="1076"/>
      <c r="B3571" s="1074">
        <f>+'[18]Bldg+Dev'!S4383</f>
        <v>0</v>
      </c>
      <c r="D3571" s="1063"/>
      <c r="F3571" s="1076"/>
      <c r="G3571" s="1063"/>
      <c r="H3571" s="1063"/>
      <c r="I3571" s="1063"/>
      <c r="J3571" s="1063"/>
      <c r="K3571" s="1063"/>
      <c r="L3571" s="1063"/>
      <c r="M3571" s="1063"/>
      <c r="N3571" s="1063"/>
      <c r="O3571" s="1063"/>
      <c r="P3571" s="1063"/>
      <c r="Q3571" s="1063"/>
      <c r="R3571" s="1063"/>
      <c r="S3571" s="1063"/>
      <c r="T3571" s="1063"/>
      <c r="U3571" s="1063"/>
      <c r="V3571" s="1063"/>
      <c r="W3571" s="1063"/>
      <c r="X3571" s="1063"/>
      <c r="Y3571" s="1063"/>
      <c r="Z3571" s="1063"/>
      <c r="AA3571" s="1063"/>
      <c r="AB3571" s="1063"/>
      <c r="AC3571" s="1063"/>
      <c r="AD3571" s="1063"/>
      <c r="AE3571" s="1063"/>
      <c r="AF3571" s="1063"/>
      <c r="AG3571" s="1063"/>
      <c r="AH3571" s="1063"/>
      <c r="AI3571" s="1063"/>
      <c r="AJ3571" s="1063"/>
      <c r="AK3571" s="1063"/>
      <c r="AL3571" s="1063"/>
      <c r="AM3571" s="1063"/>
      <c r="AN3571" s="1063"/>
      <c r="AO3571" s="1063"/>
      <c r="AP3571" s="1063"/>
      <c r="AQ3571" s="1063"/>
      <c r="AR3571" s="1063"/>
      <c r="AS3571" s="1063"/>
      <c r="AT3571" s="1063"/>
      <c r="AU3571" s="1063"/>
      <c r="AV3571" s="1063"/>
    </row>
    <row r="3572" spans="1:48" s="1108" customFormat="1" ht="27.75" customHeight="1">
      <c r="A3572" s="1076"/>
      <c r="B3572" s="1074">
        <f>+'[18]Bldg+Dev'!S4384</f>
        <v>0</v>
      </c>
      <c r="D3572" s="1063"/>
      <c r="F3572" s="1076"/>
      <c r="G3572" s="1063"/>
      <c r="H3572" s="1063"/>
      <c r="I3572" s="1063"/>
      <c r="J3572" s="1063"/>
      <c r="K3572" s="1063"/>
      <c r="L3572" s="1063"/>
      <c r="M3572" s="1063"/>
      <c r="N3572" s="1063"/>
      <c r="O3572" s="1063"/>
      <c r="P3572" s="1063"/>
      <c r="Q3572" s="1063"/>
      <c r="R3572" s="1063"/>
      <c r="S3572" s="1063"/>
      <c r="T3572" s="1063"/>
      <c r="U3572" s="1063"/>
      <c r="V3572" s="1063"/>
      <c r="W3572" s="1063"/>
      <c r="X3572" s="1063"/>
      <c r="Y3572" s="1063"/>
      <c r="Z3572" s="1063"/>
      <c r="AA3572" s="1063"/>
      <c r="AB3572" s="1063"/>
      <c r="AC3572" s="1063"/>
      <c r="AD3572" s="1063"/>
      <c r="AE3572" s="1063"/>
      <c r="AF3572" s="1063"/>
      <c r="AG3572" s="1063"/>
      <c r="AH3572" s="1063"/>
      <c r="AI3572" s="1063"/>
      <c r="AJ3572" s="1063"/>
      <c r="AK3572" s="1063"/>
      <c r="AL3572" s="1063"/>
      <c r="AM3572" s="1063"/>
      <c r="AN3572" s="1063"/>
      <c r="AO3572" s="1063"/>
      <c r="AP3572" s="1063"/>
      <c r="AQ3572" s="1063"/>
      <c r="AR3572" s="1063"/>
      <c r="AS3572" s="1063"/>
      <c r="AT3572" s="1063"/>
      <c r="AU3572" s="1063"/>
      <c r="AV3572" s="1063"/>
    </row>
    <row r="3573" spans="1:48" s="1108" customFormat="1" ht="27.75" customHeight="1">
      <c r="A3573" s="1076"/>
      <c r="B3573" s="1074">
        <f>+'[18]Bldg+Dev'!S4385</f>
        <v>0</v>
      </c>
      <c r="D3573" s="1063"/>
      <c r="F3573" s="1076"/>
      <c r="G3573" s="1063"/>
      <c r="H3573" s="1063"/>
      <c r="I3573" s="1063"/>
      <c r="J3573" s="1063"/>
      <c r="K3573" s="1063"/>
      <c r="L3573" s="1063"/>
      <c r="M3573" s="1063"/>
      <c r="N3573" s="1063"/>
      <c r="O3573" s="1063"/>
      <c r="P3573" s="1063"/>
      <c r="Q3573" s="1063"/>
      <c r="R3573" s="1063"/>
      <c r="S3573" s="1063"/>
      <c r="T3573" s="1063"/>
      <c r="U3573" s="1063"/>
      <c r="V3573" s="1063"/>
      <c r="W3573" s="1063"/>
      <c r="X3573" s="1063"/>
      <c r="Y3573" s="1063"/>
      <c r="Z3573" s="1063"/>
      <c r="AA3573" s="1063"/>
      <c r="AB3573" s="1063"/>
      <c r="AC3573" s="1063"/>
      <c r="AD3573" s="1063"/>
      <c r="AE3573" s="1063"/>
      <c r="AF3573" s="1063"/>
      <c r="AG3573" s="1063"/>
      <c r="AH3573" s="1063"/>
      <c r="AI3573" s="1063"/>
      <c r="AJ3573" s="1063"/>
      <c r="AK3573" s="1063"/>
      <c r="AL3573" s="1063"/>
      <c r="AM3573" s="1063"/>
      <c r="AN3573" s="1063"/>
      <c r="AO3573" s="1063"/>
      <c r="AP3573" s="1063"/>
      <c r="AQ3573" s="1063"/>
      <c r="AR3573" s="1063"/>
      <c r="AS3573" s="1063"/>
      <c r="AT3573" s="1063"/>
      <c r="AU3573" s="1063"/>
      <c r="AV3573" s="1063"/>
    </row>
    <row r="3574" spans="1:48" s="1108" customFormat="1" ht="27.75" customHeight="1">
      <c r="A3574" s="1076"/>
      <c r="B3574" s="1074">
        <f>+'[18]Bldg+Dev'!S4386</f>
        <v>0</v>
      </c>
      <c r="D3574" s="1063"/>
      <c r="F3574" s="1076"/>
      <c r="G3574" s="1063"/>
      <c r="H3574" s="1063"/>
      <c r="I3574" s="1063"/>
      <c r="J3574" s="1063"/>
      <c r="K3574" s="1063"/>
      <c r="L3574" s="1063"/>
      <c r="M3574" s="1063"/>
      <c r="N3574" s="1063"/>
      <c r="O3574" s="1063"/>
      <c r="P3574" s="1063"/>
      <c r="Q3574" s="1063"/>
      <c r="R3574" s="1063"/>
      <c r="S3574" s="1063"/>
      <c r="T3574" s="1063"/>
      <c r="U3574" s="1063"/>
      <c r="V3574" s="1063"/>
      <c r="W3574" s="1063"/>
      <c r="X3574" s="1063"/>
      <c r="Y3574" s="1063"/>
      <c r="Z3574" s="1063"/>
      <c r="AA3574" s="1063"/>
      <c r="AB3574" s="1063"/>
      <c r="AC3574" s="1063"/>
      <c r="AD3574" s="1063"/>
      <c r="AE3574" s="1063"/>
      <c r="AF3574" s="1063"/>
      <c r="AG3574" s="1063"/>
      <c r="AH3574" s="1063"/>
      <c r="AI3574" s="1063"/>
      <c r="AJ3574" s="1063"/>
      <c r="AK3574" s="1063"/>
      <c r="AL3574" s="1063"/>
      <c r="AM3574" s="1063"/>
      <c r="AN3574" s="1063"/>
      <c r="AO3574" s="1063"/>
      <c r="AP3574" s="1063"/>
      <c r="AQ3574" s="1063"/>
      <c r="AR3574" s="1063"/>
      <c r="AS3574" s="1063"/>
      <c r="AT3574" s="1063"/>
      <c r="AU3574" s="1063"/>
      <c r="AV3574" s="1063"/>
    </row>
    <row r="3575" spans="1:48" s="1108" customFormat="1" ht="27.75" customHeight="1">
      <c r="A3575" s="1076"/>
      <c r="B3575" s="1074">
        <f>+'[18]Bldg+Dev'!S4387</f>
        <v>0</v>
      </c>
      <c r="D3575" s="1063"/>
      <c r="F3575" s="1076"/>
      <c r="G3575" s="1063"/>
      <c r="H3575" s="1063"/>
      <c r="I3575" s="1063"/>
      <c r="J3575" s="1063"/>
      <c r="K3575" s="1063"/>
      <c r="L3575" s="1063"/>
      <c r="M3575" s="1063"/>
      <c r="N3575" s="1063"/>
      <c r="O3575" s="1063"/>
      <c r="P3575" s="1063"/>
      <c r="Q3575" s="1063"/>
      <c r="R3575" s="1063"/>
      <c r="S3575" s="1063"/>
      <c r="T3575" s="1063"/>
      <c r="U3575" s="1063"/>
      <c r="V3575" s="1063"/>
      <c r="W3575" s="1063"/>
      <c r="X3575" s="1063"/>
      <c r="Y3575" s="1063"/>
      <c r="Z3575" s="1063"/>
      <c r="AA3575" s="1063"/>
      <c r="AB3575" s="1063"/>
      <c r="AC3575" s="1063"/>
      <c r="AD3575" s="1063"/>
      <c r="AE3575" s="1063"/>
      <c r="AF3575" s="1063"/>
      <c r="AG3575" s="1063"/>
      <c r="AH3575" s="1063"/>
      <c r="AI3575" s="1063"/>
      <c r="AJ3575" s="1063"/>
      <c r="AK3575" s="1063"/>
      <c r="AL3575" s="1063"/>
      <c r="AM3575" s="1063"/>
      <c r="AN3575" s="1063"/>
      <c r="AO3575" s="1063"/>
      <c r="AP3575" s="1063"/>
      <c r="AQ3575" s="1063"/>
      <c r="AR3575" s="1063"/>
      <c r="AS3575" s="1063"/>
      <c r="AT3575" s="1063"/>
      <c r="AU3575" s="1063"/>
      <c r="AV3575" s="1063"/>
    </row>
    <row r="3576" spans="1:48" s="1108" customFormat="1" ht="27.75" customHeight="1">
      <c r="A3576" s="1076"/>
      <c r="B3576" s="1074">
        <f>+'[18]Bldg+Dev'!S4388</f>
        <v>0</v>
      </c>
      <c r="D3576" s="1063"/>
      <c r="F3576" s="1076"/>
      <c r="G3576" s="1063"/>
      <c r="H3576" s="1063"/>
      <c r="I3576" s="1063"/>
      <c r="J3576" s="1063"/>
      <c r="K3576" s="1063"/>
      <c r="L3576" s="1063"/>
      <c r="M3576" s="1063"/>
      <c r="N3576" s="1063"/>
      <c r="O3576" s="1063"/>
      <c r="P3576" s="1063"/>
      <c r="Q3576" s="1063"/>
      <c r="R3576" s="1063"/>
      <c r="S3576" s="1063"/>
      <c r="T3576" s="1063"/>
      <c r="U3576" s="1063"/>
      <c r="V3576" s="1063"/>
      <c r="W3576" s="1063"/>
      <c r="X3576" s="1063"/>
      <c r="Y3576" s="1063"/>
      <c r="Z3576" s="1063"/>
      <c r="AA3576" s="1063"/>
      <c r="AB3576" s="1063"/>
      <c r="AC3576" s="1063"/>
      <c r="AD3576" s="1063"/>
      <c r="AE3576" s="1063"/>
      <c r="AF3576" s="1063"/>
      <c r="AG3576" s="1063"/>
      <c r="AH3576" s="1063"/>
      <c r="AI3576" s="1063"/>
      <c r="AJ3576" s="1063"/>
      <c r="AK3576" s="1063"/>
      <c r="AL3576" s="1063"/>
      <c r="AM3576" s="1063"/>
      <c r="AN3576" s="1063"/>
      <c r="AO3576" s="1063"/>
      <c r="AP3576" s="1063"/>
      <c r="AQ3576" s="1063"/>
      <c r="AR3576" s="1063"/>
      <c r="AS3576" s="1063"/>
      <c r="AT3576" s="1063"/>
      <c r="AU3576" s="1063"/>
      <c r="AV3576" s="1063"/>
    </row>
    <row r="3577" spans="1:48" s="1108" customFormat="1" ht="27.75" customHeight="1">
      <c r="A3577" s="1076"/>
      <c r="B3577" s="1074">
        <f>+'[18]Bldg+Dev'!S4389</f>
        <v>0</v>
      </c>
      <c r="D3577" s="1063"/>
      <c r="F3577" s="1076"/>
      <c r="G3577" s="1063"/>
      <c r="H3577" s="1063"/>
      <c r="I3577" s="1063"/>
      <c r="J3577" s="1063"/>
      <c r="K3577" s="1063"/>
      <c r="L3577" s="1063"/>
      <c r="M3577" s="1063"/>
      <c r="N3577" s="1063"/>
      <c r="O3577" s="1063"/>
      <c r="P3577" s="1063"/>
      <c r="Q3577" s="1063"/>
      <c r="R3577" s="1063"/>
      <c r="S3577" s="1063"/>
      <c r="T3577" s="1063"/>
      <c r="U3577" s="1063"/>
      <c r="V3577" s="1063"/>
      <c r="W3577" s="1063"/>
      <c r="X3577" s="1063"/>
      <c r="Y3577" s="1063"/>
      <c r="Z3577" s="1063"/>
      <c r="AA3577" s="1063"/>
      <c r="AB3577" s="1063"/>
      <c r="AC3577" s="1063"/>
      <c r="AD3577" s="1063"/>
      <c r="AE3577" s="1063"/>
      <c r="AF3577" s="1063"/>
      <c r="AG3577" s="1063"/>
      <c r="AH3577" s="1063"/>
      <c r="AI3577" s="1063"/>
      <c r="AJ3577" s="1063"/>
      <c r="AK3577" s="1063"/>
      <c r="AL3577" s="1063"/>
      <c r="AM3577" s="1063"/>
      <c r="AN3577" s="1063"/>
      <c r="AO3577" s="1063"/>
      <c r="AP3577" s="1063"/>
      <c r="AQ3577" s="1063"/>
      <c r="AR3577" s="1063"/>
      <c r="AS3577" s="1063"/>
      <c r="AT3577" s="1063"/>
      <c r="AU3577" s="1063"/>
      <c r="AV3577" s="1063"/>
    </row>
    <row r="3578" spans="1:48" s="1108" customFormat="1" ht="27.75" customHeight="1">
      <c r="A3578" s="1076"/>
      <c r="B3578" s="1074">
        <f>+'[18]Bldg+Dev'!S4390</f>
        <v>0</v>
      </c>
      <c r="D3578" s="1063"/>
      <c r="F3578" s="1076"/>
      <c r="G3578" s="1063"/>
      <c r="H3578" s="1063"/>
      <c r="I3578" s="1063"/>
      <c r="J3578" s="1063"/>
      <c r="K3578" s="1063"/>
      <c r="L3578" s="1063"/>
      <c r="M3578" s="1063"/>
      <c r="N3578" s="1063"/>
      <c r="O3578" s="1063"/>
      <c r="P3578" s="1063"/>
      <c r="Q3578" s="1063"/>
      <c r="R3578" s="1063"/>
      <c r="S3578" s="1063"/>
      <c r="T3578" s="1063"/>
      <c r="U3578" s="1063"/>
      <c r="V3578" s="1063"/>
      <c r="W3578" s="1063"/>
      <c r="X3578" s="1063"/>
      <c r="Y3578" s="1063"/>
      <c r="Z3578" s="1063"/>
      <c r="AA3578" s="1063"/>
      <c r="AB3578" s="1063"/>
      <c r="AC3578" s="1063"/>
      <c r="AD3578" s="1063"/>
      <c r="AE3578" s="1063"/>
      <c r="AF3578" s="1063"/>
      <c r="AG3578" s="1063"/>
      <c r="AH3578" s="1063"/>
      <c r="AI3578" s="1063"/>
      <c r="AJ3578" s="1063"/>
      <c r="AK3578" s="1063"/>
      <c r="AL3578" s="1063"/>
      <c r="AM3578" s="1063"/>
      <c r="AN3578" s="1063"/>
      <c r="AO3578" s="1063"/>
      <c r="AP3578" s="1063"/>
      <c r="AQ3578" s="1063"/>
      <c r="AR3578" s="1063"/>
      <c r="AS3578" s="1063"/>
      <c r="AT3578" s="1063"/>
      <c r="AU3578" s="1063"/>
      <c r="AV3578" s="1063"/>
    </row>
    <row r="3579" spans="1:48" s="1108" customFormat="1" ht="27.75" customHeight="1">
      <c r="A3579" s="1076"/>
      <c r="B3579" s="1074">
        <f>+'[18]Bldg+Dev'!S4391</f>
        <v>0</v>
      </c>
      <c r="D3579" s="1063"/>
      <c r="F3579" s="1076"/>
      <c r="G3579" s="1063"/>
      <c r="H3579" s="1063"/>
      <c r="I3579" s="1063"/>
      <c r="J3579" s="1063"/>
      <c r="K3579" s="1063"/>
      <c r="L3579" s="1063"/>
      <c r="M3579" s="1063"/>
      <c r="N3579" s="1063"/>
      <c r="O3579" s="1063"/>
      <c r="P3579" s="1063"/>
      <c r="Q3579" s="1063"/>
      <c r="R3579" s="1063"/>
      <c r="S3579" s="1063"/>
      <c r="T3579" s="1063"/>
      <c r="U3579" s="1063"/>
      <c r="V3579" s="1063"/>
      <c r="W3579" s="1063"/>
      <c r="X3579" s="1063"/>
      <c r="Y3579" s="1063"/>
      <c r="Z3579" s="1063"/>
      <c r="AA3579" s="1063"/>
      <c r="AB3579" s="1063"/>
      <c r="AC3579" s="1063"/>
      <c r="AD3579" s="1063"/>
      <c r="AE3579" s="1063"/>
      <c r="AF3579" s="1063"/>
      <c r="AG3579" s="1063"/>
      <c r="AH3579" s="1063"/>
      <c r="AI3579" s="1063"/>
      <c r="AJ3579" s="1063"/>
      <c r="AK3579" s="1063"/>
      <c r="AL3579" s="1063"/>
      <c r="AM3579" s="1063"/>
      <c r="AN3579" s="1063"/>
      <c r="AO3579" s="1063"/>
      <c r="AP3579" s="1063"/>
      <c r="AQ3579" s="1063"/>
      <c r="AR3579" s="1063"/>
      <c r="AS3579" s="1063"/>
      <c r="AT3579" s="1063"/>
      <c r="AU3579" s="1063"/>
      <c r="AV3579" s="1063"/>
    </row>
    <row r="3580" spans="1:48" s="1108" customFormat="1" ht="27.75" customHeight="1">
      <c r="A3580" s="1076"/>
      <c r="B3580" s="1074">
        <f>+'[18]Bldg+Dev'!S4392</f>
        <v>0</v>
      </c>
      <c r="D3580" s="1063"/>
      <c r="F3580" s="1076"/>
      <c r="G3580" s="1063"/>
      <c r="H3580" s="1063"/>
      <c r="I3580" s="1063"/>
      <c r="J3580" s="1063"/>
      <c r="K3580" s="1063"/>
      <c r="L3580" s="1063"/>
      <c r="M3580" s="1063"/>
      <c r="N3580" s="1063"/>
      <c r="O3580" s="1063"/>
      <c r="P3580" s="1063"/>
      <c r="Q3580" s="1063"/>
      <c r="R3580" s="1063"/>
      <c r="S3580" s="1063"/>
      <c r="T3580" s="1063"/>
      <c r="U3580" s="1063"/>
      <c r="V3580" s="1063"/>
      <c r="W3580" s="1063"/>
      <c r="X3580" s="1063"/>
      <c r="Y3580" s="1063"/>
      <c r="Z3580" s="1063"/>
      <c r="AA3580" s="1063"/>
      <c r="AB3580" s="1063"/>
      <c r="AC3580" s="1063"/>
      <c r="AD3580" s="1063"/>
      <c r="AE3580" s="1063"/>
      <c r="AF3580" s="1063"/>
      <c r="AG3580" s="1063"/>
      <c r="AH3580" s="1063"/>
      <c r="AI3580" s="1063"/>
      <c r="AJ3580" s="1063"/>
      <c r="AK3580" s="1063"/>
      <c r="AL3580" s="1063"/>
      <c r="AM3580" s="1063"/>
      <c r="AN3580" s="1063"/>
      <c r="AO3580" s="1063"/>
      <c r="AP3580" s="1063"/>
      <c r="AQ3580" s="1063"/>
      <c r="AR3580" s="1063"/>
      <c r="AS3580" s="1063"/>
      <c r="AT3580" s="1063"/>
      <c r="AU3580" s="1063"/>
      <c r="AV3580" s="1063"/>
    </row>
    <row r="3581" spans="1:48" s="1108" customFormat="1" ht="27.75" customHeight="1">
      <c r="A3581" s="1076"/>
      <c r="B3581" s="1074">
        <f>+'[18]Bldg+Dev'!S4393</f>
        <v>0</v>
      </c>
      <c r="D3581" s="1063"/>
      <c r="F3581" s="1076"/>
      <c r="G3581" s="1063"/>
      <c r="H3581" s="1063"/>
      <c r="I3581" s="1063"/>
      <c r="J3581" s="1063"/>
      <c r="K3581" s="1063"/>
      <c r="L3581" s="1063"/>
      <c r="M3581" s="1063"/>
      <c r="N3581" s="1063"/>
      <c r="O3581" s="1063"/>
      <c r="P3581" s="1063"/>
      <c r="Q3581" s="1063"/>
      <c r="R3581" s="1063"/>
      <c r="S3581" s="1063"/>
      <c r="T3581" s="1063"/>
      <c r="U3581" s="1063"/>
      <c r="V3581" s="1063"/>
      <c r="W3581" s="1063"/>
      <c r="X3581" s="1063"/>
      <c r="Y3581" s="1063"/>
      <c r="Z3581" s="1063"/>
      <c r="AA3581" s="1063"/>
      <c r="AB3581" s="1063"/>
      <c r="AC3581" s="1063"/>
      <c r="AD3581" s="1063"/>
      <c r="AE3581" s="1063"/>
      <c r="AF3581" s="1063"/>
      <c r="AG3581" s="1063"/>
      <c r="AH3581" s="1063"/>
      <c r="AI3581" s="1063"/>
      <c r="AJ3581" s="1063"/>
      <c r="AK3581" s="1063"/>
      <c r="AL3581" s="1063"/>
      <c r="AM3581" s="1063"/>
      <c r="AN3581" s="1063"/>
      <c r="AO3581" s="1063"/>
      <c r="AP3581" s="1063"/>
      <c r="AQ3581" s="1063"/>
      <c r="AR3581" s="1063"/>
      <c r="AS3581" s="1063"/>
      <c r="AT3581" s="1063"/>
      <c r="AU3581" s="1063"/>
      <c r="AV3581" s="1063"/>
    </row>
    <row r="3582" spans="1:48" s="1108" customFormat="1" ht="27.75" customHeight="1">
      <c r="A3582" s="1076"/>
      <c r="B3582" s="1074">
        <f>+'[18]Bldg+Dev'!S4394</f>
        <v>0</v>
      </c>
      <c r="D3582" s="1063"/>
      <c r="F3582" s="1076"/>
      <c r="G3582" s="1063"/>
      <c r="H3582" s="1063"/>
      <c r="I3582" s="1063"/>
      <c r="J3582" s="1063"/>
      <c r="K3582" s="1063"/>
      <c r="L3582" s="1063"/>
      <c r="M3582" s="1063"/>
      <c r="N3582" s="1063"/>
      <c r="O3582" s="1063"/>
      <c r="P3582" s="1063"/>
      <c r="Q3582" s="1063"/>
      <c r="R3582" s="1063"/>
      <c r="S3582" s="1063"/>
      <c r="T3582" s="1063"/>
      <c r="U3582" s="1063"/>
      <c r="V3582" s="1063"/>
      <c r="W3582" s="1063"/>
      <c r="X3582" s="1063"/>
      <c r="Y3582" s="1063"/>
      <c r="Z3582" s="1063"/>
      <c r="AA3582" s="1063"/>
      <c r="AB3582" s="1063"/>
      <c r="AC3582" s="1063"/>
      <c r="AD3582" s="1063"/>
      <c r="AE3582" s="1063"/>
      <c r="AF3582" s="1063"/>
      <c r="AG3582" s="1063"/>
      <c r="AH3582" s="1063"/>
      <c r="AI3582" s="1063"/>
      <c r="AJ3582" s="1063"/>
      <c r="AK3582" s="1063"/>
      <c r="AL3582" s="1063"/>
      <c r="AM3582" s="1063"/>
      <c r="AN3582" s="1063"/>
      <c r="AO3582" s="1063"/>
      <c r="AP3582" s="1063"/>
      <c r="AQ3582" s="1063"/>
      <c r="AR3582" s="1063"/>
      <c r="AS3582" s="1063"/>
      <c r="AT3582" s="1063"/>
      <c r="AU3582" s="1063"/>
      <c r="AV3582" s="1063"/>
    </row>
    <row r="3583" spans="1:48" s="1108" customFormat="1" ht="27.75" customHeight="1">
      <c r="A3583" s="1076"/>
      <c r="B3583" s="1074">
        <f>+'[18]Bldg+Dev'!S4395</f>
        <v>0</v>
      </c>
      <c r="D3583" s="1063"/>
      <c r="F3583" s="1076"/>
      <c r="G3583" s="1063"/>
      <c r="H3583" s="1063"/>
      <c r="I3583" s="1063"/>
      <c r="J3583" s="1063"/>
      <c r="K3583" s="1063"/>
      <c r="L3583" s="1063"/>
      <c r="M3583" s="1063"/>
      <c r="N3583" s="1063"/>
      <c r="O3583" s="1063"/>
      <c r="P3583" s="1063"/>
      <c r="Q3583" s="1063"/>
      <c r="R3583" s="1063"/>
      <c r="S3583" s="1063"/>
      <c r="T3583" s="1063"/>
      <c r="U3583" s="1063"/>
      <c r="V3583" s="1063"/>
      <c r="W3583" s="1063"/>
      <c r="X3583" s="1063"/>
      <c r="Y3583" s="1063"/>
      <c r="Z3583" s="1063"/>
      <c r="AA3583" s="1063"/>
      <c r="AB3583" s="1063"/>
      <c r="AC3583" s="1063"/>
      <c r="AD3583" s="1063"/>
      <c r="AE3583" s="1063"/>
      <c r="AF3583" s="1063"/>
      <c r="AG3583" s="1063"/>
      <c r="AH3583" s="1063"/>
      <c r="AI3583" s="1063"/>
      <c r="AJ3583" s="1063"/>
      <c r="AK3583" s="1063"/>
      <c r="AL3583" s="1063"/>
      <c r="AM3583" s="1063"/>
      <c r="AN3583" s="1063"/>
      <c r="AO3583" s="1063"/>
      <c r="AP3583" s="1063"/>
      <c r="AQ3583" s="1063"/>
      <c r="AR3583" s="1063"/>
      <c r="AS3583" s="1063"/>
      <c r="AT3583" s="1063"/>
      <c r="AU3583" s="1063"/>
      <c r="AV3583" s="1063"/>
    </row>
    <row r="3584" spans="1:48" s="1108" customFormat="1" ht="27.75" customHeight="1">
      <c r="A3584" s="1076"/>
      <c r="B3584" s="1074">
        <f>+'[18]Bldg+Dev'!S4396</f>
        <v>0</v>
      </c>
      <c r="D3584" s="1063"/>
      <c r="F3584" s="1076"/>
      <c r="G3584" s="1063"/>
      <c r="H3584" s="1063"/>
      <c r="I3584" s="1063"/>
      <c r="J3584" s="1063"/>
      <c r="K3584" s="1063"/>
      <c r="L3584" s="1063"/>
      <c r="M3584" s="1063"/>
      <c r="N3584" s="1063"/>
      <c r="O3584" s="1063"/>
      <c r="P3584" s="1063"/>
      <c r="Q3584" s="1063"/>
      <c r="R3584" s="1063"/>
      <c r="S3584" s="1063"/>
      <c r="T3584" s="1063"/>
      <c r="U3584" s="1063"/>
      <c r="V3584" s="1063"/>
      <c r="W3584" s="1063"/>
      <c r="X3584" s="1063"/>
      <c r="Y3584" s="1063"/>
      <c r="Z3584" s="1063"/>
      <c r="AA3584" s="1063"/>
      <c r="AB3584" s="1063"/>
      <c r="AC3584" s="1063"/>
      <c r="AD3584" s="1063"/>
      <c r="AE3584" s="1063"/>
      <c r="AF3584" s="1063"/>
      <c r="AG3584" s="1063"/>
      <c r="AH3584" s="1063"/>
      <c r="AI3584" s="1063"/>
      <c r="AJ3584" s="1063"/>
      <c r="AK3584" s="1063"/>
      <c r="AL3584" s="1063"/>
      <c r="AM3584" s="1063"/>
      <c r="AN3584" s="1063"/>
      <c r="AO3584" s="1063"/>
      <c r="AP3584" s="1063"/>
      <c r="AQ3584" s="1063"/>
      <c r="AR3584" s="1063"/>
      <c r="AS3584" s="1063"/>
      <c r="AT3584" s="1063"/>
      <c r="AU3584" s="1063"/>
      <c r="AV3584" s="1063"/>
    </row>
    <row r="3585" spans="1:48" s="1108" customFormat="1" ht="27.75" customHeight="1">
      <c r="A3585" s="1076"/>
      <c r="B3585" s="1074">
        <f>+'[18]Bldg+Dev'!S4397</f>
        <v>0</v>
      </c>
      <c r="D3585" s="1063"/>
      <c r="F3585" s="1076"/>
      <c r="G3585" s="1063"/>
      <c r="H3585" s="1063"/>
      <c r="I3585" s="1063"/>
      <c r="J3585" s="1063"/>
      <c r="K3585" s="1063"/>
      <c r="L3585" s="1063"/>
      <c r="M3585" s="1063"/>
      <c r="N3585" s="1063"/>
      <c r="O3585" s="1063"/>
      <c r="P3585" s="1063"/>
      <c r="Q3585" s="1063"/>
      <c r="R3585" s="1063"/>
      <c r="S3585" s="1063"/>
      <c r="T3585" s="1063"/>
      <c r="U3585" s="1063"/>
      <c r="V3585" s="1063"/>
      <c r="W3585" s="1063"/>
      <c r="X3585" s="1063"/>
      <c r="Y3585" s="1063"/>
      <c r="Z3585" s="1063"/>
      <c r="AA3585" s="1063"/>
      <c r="AB3585" s="1063"/>
      <c r="AC3585" s="1063"/>
      <c r="AD3585" s="1063"/>
      <c r="AE3585" s="1063"/>
      <c r="AF3585" s="1063"/>
      <c r="AG3585" s="1063"/>
      <c r="AH3585" s="1063"/>
      <c r="AI3585" s="1063"/>
      <c r="AJ3585" s="1063"/>
      <c r="AK3585" s="1063"/>
      <c r="AL3585" s="1063"/>
      <c r="AM3585" s="1063"/>
      <c r="AN3585" s="1063"/>
      <c r="AO3585" s="1063"/>
      <c r="AP3585" s="1063"/>
      <c r="AQ3585" s="1063"/>
      <c r="AR3585" s="1063"/>
      <c r="AS3585" s="1063"/>
      <c r="AT3585" s="1063"/>
      <c r="AU3585" s="1063"/>
      <c r="AV3585" s="1063"/>
    </row>
    <row r="3586" spans="1:48" s="1108" customFormat="1" ht="27.75" customHeight="1">
      <c r="A3586" s="1076"/>
      <c r="B3586" s="1074">
        <f>+'[18]Bldg+Dev'!S4398</f>
        <v>0</v>
      </c>
      <c r="D3586" s="1063"/>
      <c r="F3586" s="1076"/>
      <c r="G3586" s="1063"/>
      <c r="H3586" s="1063"/>
      <c r="I3586" s="1063"/>
      <c r="J3586" s="1063"/>
      <c r="K3586" s="1063"/>
      <c r="L3586" s="1063"/>
      <c r="M3586" s="1063"/>
      <c r="N3586" s="1063"/>
      <c r="O3586" s="1063"/>
      <c r="P3586" s="1063"/>
      <c r="Q3586" s="1063"/>
      <c r="R3586" s="1063"/>
      <c r="S3586" s="1063"/>
      <c r="T3586" s="1063"/>
      <c r="U3586" s="1063"/>
      <c r="V3586" s="1063"/>
      <c r="W3586" s="1063"/>
      <c r="X3586" s="1063"/>
      <c r="Y3586" s="1063"/>
      <c r="Z3586" s="1063"/>
      <c r="AA3586" s="1063"/>
      <c r="AB3586" s="1063"/>
      <c r="AC3586" s="1063"/>
      <c r="AD3586" s="1063"/>
      <c r="AE3586" s="1063"/>
      <c r="AF3586" s="1063"/>
      <c r="AG3586" s="1063"/>
      <c r="AH3586" s="1063"/>
      <c r="AI3586" s="1063"/>
      <c r="AJ3586" s="1063"/>
      <c r="AK3586" s="1063"/>
      <c r="AL3586" s="1063"/>
      <c r="AM3586" s="1063"/>
      <c r="AN3586" s="1063"/>
      <c r="AO3586" s="1063"/>
      <c r="AP3586" s="1063"/>
      <c r="AQ3586" s="1063"/>
      <c r="AR3586" s="1063"/>
      <c r="AS3586" s="1063"/>
      <c r="AT3586" s="1063"/>
      <c r="AU3586" s="1063"/>
      <c r="AV3586" s="1063"/>
    </row>
    <row r="3587" spans="1:48" s="1108" customFormat="1" ht="27.75" customHeight="1">
      <c r="A3587" s="1076"/>
      <c r="B3587" s="1074">
        <f>+'[18]Bldg+Dev'!S4399</f>
        <v>0</v>
      </c>
      <c r="D3587" s="1063"/>
      <c r="F3587" s="1076"/>
      <c r="G3587" s="1063"/>
      <c r="H3587" s="1063"/>
      <c r="I3587" s="1063"/>
      <c r="J3587" s="1063"/>
      <c r="K3587" s="1063"/>
      <c r="L3587" s="1063"/>
      <c r="M3587" s="1063"/>
      <c r="N3587" s="1063"/>
      <c r="O3587" s="1063"/>
      <c r="P3587" s="1063"/>
      <c r="Q3587" s="1063"/>
      <c r="R3587" s="1063"/>
      <c r="S3587" s="1063"/>
      <c r="T3587" s="1063"/>
      <c r="U3587" s="1063"/>
      <c r="V3587" s="1063"/>
      <c r="W3587" s="1063"/>
      <c r="X3587" s="1063"/>
      <c r="Y3587" s="1063"/>
      <c r="Z3587" s="1063"/>
      <c r="AA3587" s="1063"/>
      <c r="AB3587" s="1063"/>
      <c r="AC3587" s="1063"/>
      <c r="AD3587" s="1063"/>
      <c r="AE3587" s="1063"/>
      <c r="AF3587" s="1063"/>
      <c r="AG3587" s="1063"/>
      <c r="AH3587" s="1063"/>
      <c r="AI3587" s="1063"/>
      <c r="AJ3587" s="1063"/>
      <c r="AK3587" s="1063"/>
      <c r="AL3587" s="1063"/>
      <c r="AM3587" s="1063"/>
      <c r="AN3587" s="1063"/>
      <c r="AO3587" s="1063"/>
      <c r="AP3587" s="1063"/>
      <c r="AQ3587" s="1063"/>
      <c r="AR3587" s="1063"/>
      <c r="AS3587" s="1063"/>
      <c r="AT3587" s="1063"/>
      <c r="AU3587" s="1063"/>
      <c r="AV3587" s="1063"/>
    </row>
    <row r="3588" spans="1:48" s="1108" customFormat="1" ht="27.75" customHeight="1">
      <c r="A3588" s="1076"/>
      <c r="B3588" s="1074">
        <f>+'[18]Bldg+Dev'!S4400</f>
        <v>0</v>
      </c>
      <c r="D3588" s="1063"/>
      <c r="F3588" s="1076"/>
      <c r="G3588" s="1063"/>
      <c r="H3588" s="1063"/>
      <c r="I3588" s="1063"/>
      <c r="J3588" s="1063"/>
      <c r="K3588" s="1063"/>
      <c r="L3588" s="1063"/>
      <c r="M3588" s="1063"/>
      <c r="N3588" s="1063"/>
      <c r="O3588" s="1063"/>
      <c r="P3588" s="1063"/>
      <c r="Q3588" s="1063"/>
      <c r="R3588" s="1063"/>
      <c r="S3588" s="1063"/>
      <c r="T3588" s="1063"/>
      <c r="U3588" s="1063"/>
      <c r="V3588" s="1063"/>
      <c r="W3588" s="1063"/>
      <c r="X3588" s="1063"/>
      <c r="Y3588" s="1063"/>
      <c r="Z3588" s="1063"/>
      <c r="AA3588" s="1063"/>
      <c r="AB3588" s="1063"/>
      <c r="AC3588" s="1063"/>
      <c r="AD3588" s="1063"/>
      <c r="AE3588" s="1063"/>
      <c r="AF3588" s="1063"/>
      <c r="AG3588" s="1063"/>
      <c r="AH3588" s="1063"/>
      <c r="AI3588" s="1063"/>
      <c r="AJ3588" s="1063"/>
      <c r="AK3588" s="1063"/>
      <c r="AL3588" s="1063"/>
      <c r="AM3588" s="1063"/>
      <c r="AN3588" s="1063"/>
      <c r="AO3588" s="1063"/>
      <c r="AP3588" s="1063"/>
      <c r="AQ3588" s="1063"/>
      <c r="AR3588" s="1063"/>
      <c r="AS3588" s="1063"/>
      <c r="AT3588" s="1063"/>
      <c r="AU3588" s="1063"/>
      <c r="AV3588" s="1063"/>
    </row>
    <row r="3589" spans="1:48" s="1108" customFormat="1" ht="27.75" customHeight="1">
      <c r="A3589" s="1076"/>
      <c r="B3589" s="1074">
        <f>+'[18]Bldg+Dev'!S4401</f>
        <v>0</v>
      </c>
      <c r="D3589" s="1063"/>
      <c r="F3589" s="1076"/>
      <c r="G3589" s="1063"/>
      <c r="H3589" s="1063"/>
      <c r="I3589" s="1063"/>
      <c r="J3589" s="1063"/>
      <c r="K3589" s="1063"/>
      <c r="L3589" s="1063"/>
      <c r="M3589" s="1063"/>
      <c r="N3589" s="1063"/>
      <c r="O3589" s="1063"/>
      <c r="P3589" s="1063"/>
      <c r="Q3589" s="1063"/>
      <c r="R3589" s="1063"/>
      <c r="S3589" s="1063"/>
      <c r="T3589" s="1063"/>
      <c r="U3589" s="1063"/>
      <c r="V3589" s="1063"/>
      <c r="W3589" s="1063"/>
      <c r="X3589" s="1063"/>
      <c r="Y3589" s="1063"/>
      <c r="Z3589" s="1063"/>
      <c r="AA3589" s="1063"/>
      <c r="AB3589" s="1063"/>
      <c r="AC3589" s="1063"/>
      <c r="AD3589" s="1063"/>
      <c r="AE3589" s="1063"/>
      <c r="AF3589" s="1063"/>
      <c r="AG3589" s="1063"/>
      <c r="AH3589" s="1063"/>
      <c r="AI3589" s="1063"/>
      <c r="AJ3589" s="1063"/>
      <c r="AK3589" s="1063"/>
      <c r="AL3589" s="1063"/>
      <c r="AM3589" s="1063"/>
      <c r="AN3589" s="1063"/>
      <c r="AO3589" s="1063"/>
      <c r="AP3589" s="1063"/>
      <c r="AQ3589" s="1063"/>
      <c r="AR3589" s="1063"/>
      <c r="AS3589" s="1063"/>
      <c r="AT3589" s="1063"/>
      <c r="AU3589" s="1063"/>
      <c r="AV3589" s="1063"/>
    </row>
    <row r="3590" spans="1:48" s="1108" customFormat="1" ht="27.75" customHeight="1">
      <c r="A3590" s="1076"/>
      <c r="B3590" s="1074">
        <f>+'[18]Bldg+Dev'!S4402</f>
        <v>0</v>
      </c>
      <c r="D3590" s="1063"/>
      <c r="F3590" s="1076"/>
      <c r="G3590" s="1063"/>
      <c r="H3590" s="1063"/>
      <c r="I3590" s="1063"/>
      <c r="J3590" s="1063"/>
      <c r="K3590" s="1063"/>
      <c r="L3590" s="1063"/>
      <c r="M3590" s="1063"/>
      <c r="N3590" s="1063"/>
      <c r="O3590" s="1063"/>
      <c r="P3590" s="1063"/>
      <c r="Q3590" s="1063"/>
      <c r="R3590" s="1063"/>
      <c r="S3590" s="1063"/>
      <c r="T3590" s="1063"/>
      <c r="U3590" s="1063"/>
      <c r="V3590" s="1063"/>
      <c r="W3590" s="1063"/>
      <c r="X3590" s="1063"/>
      <c r="Y3590" s="1063"/>
      <c r="Z3590" s="1063"/>
      <c r="AA3590" s="1063"/>
      <c r="AB3590" s="1063"/>
      <c r="AC3590" s="1063"/>
      <c r="AD3590" s="1063"/>
      <c r="AE3590" s="1063"/>
      <c r="AF3590" s="1063"/>
      <c r="AG3590" s="1063"/>
      <c r="AH3590" s="1063"/>
      <c r="AI3590" s="1063"/>
      <c r="AJ3590" s="1063"/>
      <c r="AK3590" s="1063"/>
      <c r="AL3590" s="1063"/>
      <c r="AM3590" s="1063"/>
      <c r="AN3590" s="1063"/>
      <c r="AO3590" s="1063"/>
      <c r="AP3590" s="1063"/>
      <c r="AQ3590" s="1063"/>
      <c r="AR3590" s="1063"/>
      <c r="AS3590" s="1063"/>
      <c r="AT3590" s="1063"/>
      <c r="AU3590" s="1063"/>
      <c r="AV3590" s="1063"/>
    </row>
    <row r="3591" spans="1:48" s="1108" customFormat="1" ht="27.75" customHeight="1">
      <c r="A3591" s="1076"/>
      <c r="B3591" s="1074">
        <f>+'[18]Bldg+Dev'!S4403</f>
        <v>0</v>
      </c>
      <c r="D3591" s="1063"/>
      <c r="F3591" s="1076"/>
      <c r="G3591" s="1063"/>
      <c r="H3591" s="1063"/>
      <c r="I3591" s="1063"/>
      <c r="J3591" s="1063"/>
      <c r="K3591" s="1063"/>
      <c r="L3591" s="1063"/>
      <c r="M3591" s="1063"/>
      <c r="N3591" s="1063"/>
      <c r="O3591" s="1063"/>
      <c r="P3591" s="1063"/>
      <c r="Q3591" s="1063"/>
      <c r="R3591" s="1063"/>
      <c r="S3591" s="1063"/>
      <c r="T3591" s="1063"/>
      <c r="U3591" s="1063"/>
      <c r="V3591" s="1063"/>
      <c r="W3591" s="1063"/>
      <c r="X3591" s="1063"/>
      <c r="Y3591" s="1063"/>
      <c r="Z3591" s="1063"/>
      <c r="AA3591" s="1063"/>
      <c r="AB3591" s="1063"/>
      <c r="AC3591" s="1063"/>
      <c r="AD3591" s="1063"/>
      <c r="AE3591" s="1063"/>
      <c r="AF3591" s="1063"/>
      <c r="AG3591" s="1063"/>
      <c r="AH3591" s="1063"/>
      <c r="AI3591" s="1063"/>
      <c r="AJ3591" s="1063"/>
      <c r="AK3591" s="1063"/>
      <c r="AL3591" s="1063"/>
      <c r="AM3591" s="1063"/>
      <c r="AN3591" s="1063"/>
      <c r="AO3591" s="1063"/>
      <c r="AP3591" s="1063"/>
      <c r="AQ3591" s="1063"/>
      <c r="AR3591" s="1063"/>
      <c r="AS3591" s="1063"/>
      <c r="AT3591" s="1063"/>
      <c r="AU3591" s="1063"/>
      <c r="AV3591" s="1063"/>
    </row>
    <row r="3592" spans="1:48" s="1108" customFormat="1" ht="27.75" customHeight="1">
      <c r="A3592" s="1076"/>
      <c r="B3592" s="1074">
        <f>+'[18]Bldg+Dev'!S4404</f>
        <v>0</v>
      </c>
      <c r="D3592" s="1063"/>
      <c r="F3592" s="1076"/>
      <c r="G3592" s="1063"/>
      <c r="H3592" s="1063"/>
      <c r="I3592" s="1063"/>
      <c r="J3592" s="1063"/>
      <c r="K3592" s="1063"/>
      <c r="L3592" s="1063"/>
      <c r="M3592" s="1063"/>
      <c r="N3592" s="1063"/>
      <c r="O3592" s="1063"/>
      <c r="P3592" s="1063"/>
      <c r="Q3592" s="1063"/>
      <c r="R3592" s="1063"/>
      <c r="S3592" s="1063"/>
      <c r="T3592" s="1063"/>
      <c r="U3592" s="1063"/>
      <c r="V3592" s="1063"/>
      <c r="W3592" s="1063"/>
      <c r="X3592" s="1063"/>
      <c r="Y3592" s="1063"/>
      <c r="Z3592" s="1063"/>
      <c r="AA3592" s="1063"/>
      <c r="AB3592" s="1063"/>
      <c r="AC3592" s="1063"/>
      <c r="AD3592" s="1063"/>
      <c r="AE3592" s="1063"/>
      <c r="AF3592" s="1063"/>
      <c r="AG3592" s="1063"/>
      <c r="AH3592" s="1063"/>
      <c r="AI3592" s="1063"/>
      <c r="AJ3592" s="1063"/>
      <c r="AK3592" s="1063"/>
      <c r="AL3592" s="1063"/>
      <c r="AM3592" s="1063"/>
      <c r="AN3592" s="1063"/>
      <c r="AO3592" s="1063"/>
      <c r="AP3592" s="1063"/>
      <c r="AQ3592" s="1063"/>
      <c r="AR3592" s="1063"/>
      <c r="AS3592" s="1063"/>
      <c r="AT3592" s="1063"/>
      <c r="AU3592" s="1063"/>
      <c r="AV3592" s="1063"/>
    </row>
    <row r="3593" spans="1:48" s="1108" customFormat="1" ht="27.75" customHeight="1">
      <c r="A3593" s="1076"/>
      <c r="B3593" s="1074">
        <f>+'[18]Bldg+Dev'!S4405</f>
        <v>0</v>
      </c>
      <c r="D3593" s="1063"/>
      <c r="F3593" s="1076"/>
      <c r="G3593" s="1063"/>
      <c r="H3593" s="1063"/>
      <c r="I3593" s="1063"/>
      <c r="J3593" s="1063"/>
      <c r="K3593" s="1063"/>
      <c r="L3593" s="1063"/>
      <c r="M3593" s="1063"/>
      <c r="N3593" s="1063"/>
      <c r="O3593" s="1063"/>
      <c r="P3593" s="1063"/>
      <c r="Q3593" s="1063"/>
      <c r="R3593" s="1063"/>
      <c r="S3593" s="1063"/>
      <c r="T3593" s="1063"/>
      <c r="U3593" s="1063"/>
      <c r="V3593" s="1063"/>
      <c r="W3593" s="1063"/>
      <c r="X3593" s="1063"/>
      <c r="Y3593" s="1063"/>
      <c r="Z3593" s="1063"/>
      <c r="AA3593" s="1063"/>
      <c r="AB3593" s="1063"/>
      <c r="AC3593" s="1063"/>
      <c r="AD3593" s="1063"/>
      <c r="AE3593" s="1063"/>
      <c r="AF3593" s="1063"/>
      <c r="AG3593" s="1063"/>
      <c r="AH3593" s="1063"/>
      <c r="AI3593" s="1063"/>
      <c r="AJ3593" s="1063"/>
      <c r="AK3593" s="1063"/>
      <c r="AL3593" s="1063"/>
      <c r="AM3593" s="1063"/>
      <c r="AN3593" s="1063"/>
      <c r="AO3593" s="1063"/>
      <c r="AP3593" s="1063"/>
      <c r="AQ3593" s="1063"/>
      <c r="AR3593" s="1063"/>
      <c r="AS3593" s="1063"/>
      <c r="AT3593" s="1063"/>
      <c r="AU3593" s="1063"/>
      <c r="AV3593" s="1063"/>
    </row>
    <row r="3594" spans="1:48" s="1108" customFormat="1" ht="27.75" customHeight="1">
      <c r="A3594" s="1076"/>
      <c r="B3594" s="1074">
        <f>+'[18]Bldg+Dev'!S4406</f>
        <v>0</v>
      </c>
      <c r="D3594" s="1063"/>
      <c r="F3594" s="1076"/>
      <c r="G3594" s="1063"/>
      <c r="H3594" s="1063"/>
      <c r="I3594" s="1063"/>
      <c r="J3594" s="1063"/>
      <c r="K3594" s="1063"/>
      <c r="L3594" s="1063"/>
      <c r="M3594" s="1063"/>
      <c r="N3594" s="1063"/>
      <c r="O3594" s="1063"/>
      <c r="P3594" s="1063"/>
      <c r="Q3594" s="1063"/>
      <c r="R3594" s="1063"/>
      <c r="S3594" s="1063"/>
      <c r="T3594" s="1063"/>
      <c r="U3594" s="1063"/>
      <c r="V3594" s="1063"/>
      <c r="W3594" s="1063"/>
      <c r="X3594" s="1063"/>
      <c r="Y3594" s="1063"/>
      <c r="Z3594" s="1063"/>
      <c r="AA3594" s="1063"/>
      <c r="AB3594" s="1063"/>
      <c r="AC3594" s="1063"/>
      <c r="AD3594" s="1063"/>
      <c r="AE3594" s="1063"/>
      <c r="AF3594" s="1063"/>
      <c r="AG3594" s="1063"/>
      <c r="AH3594" s="1063"/>
      <c r="AI3594" s="1063"/>
      <c r="AJ3594" s="1063"/>
      <c r="AK3594" s="1063"/>
      <c r="AL3594" s="1063"/>
      <c r="AM3594" s="1063"/>
      <c r="AN3594" s="1063"/>
      <c r="AO3594" s="1063"/>
      <c r="AP3594" s="1063"/>
      <c r="AQ3594" s="1063"/>
      <c r="AR3594" s="1063"/>
      <c r="AS3594" s="1063"/>
      <c r="AT3594" s="1063"/>
      <c r="AU3594" s="1063"/>
      <c r="AV3594" s="1063"/>
    </row>
    <row r="3595" spans="1:48" s="1108" customFormat="1" ht="27.75" customHeight="1">
      <c r="A3595" s="1076"/>
      <c r="B3595" s="1074">
        <f>+'[18]Bldg+Dev'!S4407</f>
        <v>0</v>
      </c>
      <c r="D3595" s="1063"/>
      <c r="F3595" s="1076"/>
      <c r="G3595" s="1063"/>
      <c r="H3595" s="1063"/>
      <c r="I3595" s="1063"/>
      <c r="J3595" s="1063"/>
      <c r="K3595" s="1063"/>
      <c r="L3595" s="1063"/>
      <c r="M3595" s="1063"/>
      <c r="N3595" s="1063"/>
      <c r="O3595" s="1063"/>
      <c r="P3595" s="1063"/>
      <c r="Q3595" s="1063"/>
      <c r="R3595" s="1063"/>
      <c r="S3595" s="1063"/>
      <c r="T3595" s="1063"/>
      <c r="U3595" s="1063"/>
      <c r="V3595" s="1063"/>
      <c r="W3595" s="1063"/>
      <c r="X3595" s="1063"/>
      <c r="Y3595" s="1063"/>
      <c r="Z3595" s="1063"/>
      <c r="AA3595" s="1063"/>
      <c r="AB3595" s="1063"/>
      <c r="AC3595" s="1063"/>
      <c r="AD3595" s="1063"/>
      <c r="AE3595" s="1063"/>
      <c r="AF3595" s="1063"/>
      <c r="AG3595" s="1063"/>
      <c r="AH3595" s="1063"/>
      <c r="AI3595" s="1063"/>
      <c r="AJ3595" s="1063"/>
      <c r="AK3595" s="1063"/>
      <c r="AL3595" s="1063"/>
      <c r="AM3595" s="1063"/>
      <c r="AN3595" s="1063"/>
      <c r="AO3595" s="1063"/>
      <c r="AP3595" s="1063"/>
      <c r="AQ3595" s="1063"/>
      <c r="AR3595" s="1063"/>
      <c r="AS3595" s="1063"/>
      <c r="AT3595" s="1063"/>
      <c r="AU3595" s="1063"/>
      <c r="AV3595" s="1063"/>
    </row>
    <row r="3596" spans="1:48" s="1108" customFormat="1" ht="27.75" customHeight="1">
      <c r="A3596" s="1076"/>
      <c r="B3596" s="1074">
        <f>+'[18]Bldg+Dev'!S4408</f>
        <v>0</v>
      </c>
      <c r="D3596" s="1063"/>
      <c r="F3596" s="1076"/>
      <c r="G3596" s="1063"/>
      <c r="H3596" s="1063"/>
      <c r="I3596" s="1063"/>
      <c r="J3596" s="1063"/>
      <c r="K3596" s="1063"/>
      <c r="L3596" s="1063"/>
      <c r="M3596" s="1063"/>
      <c r="N3596" s="1063"/>
      <c r="O3596" s="1063"/>
      <c r="P3596" s="1063"/>
      <c r="Q3596" s="1063"/>
      <c r="R3596" s="1063"/>
      <c r="S3596" s="1063"/>
      <c r="T3596" s="1063"/>
      <c r="U3596" s="1063"/>
      <c r="V3596" s="1063"/>
      <c r="W3596" s="1063"/>
      <c r="X3596" s="1063"/>
      <c r="Y3596" s="1063"/>
      <c r="Z3596" s="1063"/>
      <c r="AA3596" s="1063"/>
      <c r="AB3596" s="1063"/>
      <c r="AC3596" s="1063"/>
      <c r="AD3596" s="1063"/>
      <c r="AE3596" s="1063"/>
      <c r="AF3596" s="1063"/>
      <c r="AG3596" s="1063"/>
      <c r="AH3596" s="1063"/>
      <c r="AI3596" s="1063"/>
      <c r="AJ3596" s="1063"/>
      <c r="AK3596" s="1063"/>
      <c r="AL3596" s="1063"/>
      <c r="AM3596" s="1063"/>
      <c r="AN3596" s="1063"/>
      <c r="AO3596" s="1063"/>
      <c r="AP3596" s="1063"/>
      <c r="AQ3596" s="1063"/>
      <c r="AR3596" s="1063"/>
      <c r="AS3596" s="1063"/>
      <c r="AT3596" s="1063"/>
      <c r="AU3596" s="1063"/>
      <c r="AV3596" s="1063"/>
    </row>
    <row r="3597" spans="1:48" s="1108" customFormat="1" ht="27.75" customHeight="1">
      <c r="A3597" s="1076"/>
      <c r="B3597" s="1074">
        <f>+'[18]Bldg+Dev'!S4409</f>
        <v>0</v>
      </c>
      <c r="D3597" s="1063"/>
      <c r="F3597" s="1076"/>
      <c r="G3597" s="1063"/>
      <c r="H3597" s="1063"/>
      <c r="I3597" s="1063"/>
      <c r="J3597" s="1063"/>
      <c r="K3597" s="1063"/>
      <c r="L3597" s="1063"/>
      <c r="M3597" s="1063"/>
      <c r="N3597" s="1063"/>
      <c r="O3597" s="1063"/>
      <c r="P3597" s="1063"/>
      <c r="Q3597" s="1063"/>
      <c r="R3597" s="1063"/>
      <c r="S3597" s="1063"/>
      <c r="T3597" s="1063"/>
      <c r="U3597" s="1063"/>
      <c r="V3597" s="1063"/>
      <c r="W3597" s="1063"/>
      <c r="X3597" s="1063"/>
      <c r="Y3597" s="1063"/>
      <c r="Z3597" s="1063"/>
      <c r="AA3597" s="1063"/>
      <c r="AB3597" s="1063"/>
      <c r="AC3597" s="1063"/>
      <c r="AD3597" s="1063"/>
      <c r="AE3597" s="1063"/>
      <c r="AF3597" s="1063"/>
      <c r="AG3597" s="1063"/>
      <c r="AH3597" s="1063"/>
      <c r="AI3597" s="1063"/>
      <c r="AJ3597" s="1063"/>
      <c r="AK3597" s="1063"/>
      <c r="AL3597" s="1063"/>
      <c r="AM3597" s="1063"/>
      <c r="AN3597" s="1063"/>
      <c r="AO3597" s="1063"/>
      <c r="AP3597" s="1063"/>
      <c r="AQ3597" s="1063"/>
      <c r="AR3597" s="1063"/>
      <c r="AS3597" s="1063"/>
      <c r="AT3597" s="1063"/>
      <c r="AU3597" s="1063"/>
      <c r="AV3597" s="1063"/>
    </row>
    <row r="3598" spans="1:48" s="1108" customFormat="1" ht="27.75" customHeight="1">
      <c r="A3598" s="1076"/>
      <c r="B3598" s="1074">
        <f>+'[18]Bldg+Dev'!S4410</f>
        <v>0</v>
      </c>
      <c r="D3598" s="1063"/>
      <c r="F3598" s="1076"/>
      <c r="G3598" s="1063"/>
      <c r="H3598" s="1063"/>
      <c r="I3598" s="1063"/>
      <c r="J3598" s="1063"/>
      <c r="K3598" s="1063"/>
      <c r="L3598" s="1063"/>
      <c r="M3598" s="1063"/>
      <c r="N3598" s="1063"/>
      <c r="O3598" s="1063"/>
      <c r="P3598" s="1063"/>
      <c r="Q3598" s="1063"/>
      <c r="R3598" s="1063"/>
      <c r="S3598" s="1063"/>
      <c r="T3598" s="1063"/>
      <c r="U3598" s="1063"/>
      <c r="V3598" s="1063"/>
      <c r="W3598" s="1063"/>
      <c r="X3598" s="1063"/>
      <c r="Y3598" s="1063"/>
      <c r="Z3598" s="1063"/>
      <c r="AA3598" s="1063"/>
      <c r="AB3598" s="1063"/>
      <c r="AC3598" s="1063"/>
      <c r="AD3598" s="1063"/>
      <c r="AE3598" s="1063"/>
      <c r="AF3598" s="1063"/>
      <c r="AG3598" s="1063"/>
      <c r="AH3598" s="1063"/>
      <c r="AI3598" s="1063"/>
      <c r="AJ3598" s="1063"/>
      <c r="AK3598" s="1063"/>
      <c r="AL3598" s="1063"/>
      <c r="AM3598" s="1063"/>
      <c r="AN3598" s="1063"/>
      <c r="AO3598" s="1063"/>
      <c r="AP3598" s="1063"/>
      <c r="AQ3598" s="1063"/>
      <c r="AR3598" s="1063"/>
      <c r="AS3598" s="1063"/>
      <c r="AT3598" s="1063"/>
      <c r="AU3598" s="1063"/>
      <c r="AV3598" s="1063"/>
    </row>
    <row r="3599" spans="1:48" s="1108" customFormat="1" ht="27.75" customHeight="1">
      <c r="A3599" s="1076"/>
      <c r="B3599" s="1074">
        <f>+'[18]Bldg+Dev'!S4411</f>
        <v>0</v>
      </c>
      <c r="D3599" s="1063"/>
      <c r="F3599" s="1076"/>
      <c r="G3599" s="1063"/>
      <c r="H3599" s="1063"/>
      <c r="I3599" s="1063"/>
      <c r="J3599" s="1063"/>
      <c r="K3599" s="1063"/>
      <c r="L3599" s="1063"/>
      <c r="M3599" s="1063"/>
      <c r="N3599" s="1063"/>
      <c r="O3599" s="1063"/>
      <c r="P3599" s="1063"/>
      <c r="Q3599" s="1063"/>
      <c r="R3599" s="1063"/>
      <c r="S3599" s="1063"/>
      <c r="T3599" s="1063"/>
      <c r="U3599" s="1063"/>
      <c r="V3599" s="1063"/>
      <c r="W3599" s="1063"/>
      <c r="X3599" s="1063"/>
      <c r="Y3599" s="1063"/>
      <c r="Z3599" s="1063"/>
      <c r="AA3599" s="1063"/>
      <c r="AB3599" s="1063"/>
      <c r="AC3599" s="1063"/>
      <c r="AD3599" s="1063"/>
      <c r="AE3599" s="1063"/>
      <c r="AF3599" s="1063"/>
      <c r="AG3599" s="1063"/>
      <c r="AH3599" s="1063"/>
      <c r="AI3599" s="1063"/>
      <c r="AJ3599" s="1063"/>
      <c r="AK3599" s="1063"/>
      <c r="AL3599" s="1063"/>
      <c r="AM3599" s="1063"/>
      <c r="AN3599" s="1063"/>
      <c r="AO3599" s="1063"/>
      <c r="AP3599" s="1063"/>
      <c r="AQ3599" s="1063"/>
      <c r="AR3599" s="1063"/>
      <c r="AS3599" s="1063"/>
      <c r="AT3599" s="1063"/>
      <c r="AU3599" s="1063"/>
      <c r="AV3599" s="1063"/>
    </row>
    <row r="3600" spans="1:48" s="1108" customFormat="1" ht="27.75" customHeight="1">
      <c r="A3600" s="1076"/>
      <c r="B3600" s="1074">
        <f>+'[18]Bldg+Dev'!S4412</f>
        <v>0</v>
      </c>
      <c r="D3600" s="1063"/>
      <c r="F3600" s="1076"/>
      <c r="G3600" s="1063"/>
      <c r="H3600" s="1063"/>
      <c r="I3600" s="1063"/>
      <c r="J3600" s="1063"/>
      <c r="K3600" s="1063"/>
      <c r="L3600" s="1063"/>
      <c r="M3600" s="1063"/>
      <c r="N3600" s="1063"/>
      <c r="O3600" s="1063"/>
      <c r="P3600" s="1063"/>
      <c r="Q3600" s="1063"/>
      <c r="R3600" s="1063"/>
      <c r="S3600" s="1063"/>
      <c r="T3600" s="1063"/>
      <c r="U3600" s="1063"/>
      <c r="V3600" s="1063"/>
      <c r="W3600" s="1063"/>
      <c r="X3600" s="1063"/>
      <c r="Y3600" s="1063"/>
      <c r="Z3600" s="1063"/>
      <c r="AA3600" s="1063"/>
      <c r="AB3600" s="1063"/>
      <c r="AC3600" s="1063"/>
      <c r="AD3600" s="1063"/>
      <c r="AE3600" s="1063"/>
      <c r="AF3600" s="1063"/>
      <c r="AG3600" s="1063"/>
      <c r="AH3600" s="1063"/>
      <c r="AI3600" s="1063"/>
      <c r="AJ3600" s="1063"/>
      <c r="AK3600" s="1063"/>
      <c r="AL3600" s="1063"/>
      <c r="AM3600" s="1063"/>
      <c r="AN3600" s="1063"/>
      <c r="AO3600" s="1063"/>
      <c r="AP3600" s="1063"/>
      <c r="AQ3600" s="1063"/>
      <c r="AR3600" s="1063"/>
      <c r="AS3600" s="1063"/>
      <c r="AT3600" s="1063"/>
      <c r="AU3600" s="1063"/>
      <c r="AV3600" s="1063"/>
    </row>
    <row r="3601" spans="1:48" s="1108" customFormat="1" ht="27.75" customHeight="1">
      <c r="A3601" s="1076"/>
      <c r="B3601" s="1074">
        <f>+'[18]Bldg+Dev'!S4413</f>
        <v>0</v>
      </c>
      <c r="D3601" s="1063"/>
      <c r="F3601" s="1076"/>
      <c r="G3601" s="1063"/>
      <c r="H3601" s="1063"/>
      <c r="I3601" s="1063"/>
      <c r="J3601" s="1063"/>
      <c r="K3601" s="1063"/>
      <c r="L3601" s="1063"/>
      <c r="M3601" s="1063"/>
      <c r="N3601" s="1063"/>
      <c r="O3601" s="1063"/>
      <c r="P3601" s="1063"/>
      <c r="Q3601" s="1063"/>
      <c r="R3601" s="1063"/>
      <c r="S3601" s="1063"/>
      <c r="T3601" s="1063"/>
      <c r="U3601" s="1063"/>
      <c r="V3601" s="1063"/>
      <c r="W3601" s="1063"/>
      <c r="X3601" s="1063"/>
      <c r="Y3601" s="1063"/>
      <c r="Z3601" s="1063"/>
      <c r="AA3601" s="1063"/>
      <c r="AB3601" s="1063"/>
      <c r="AC3601" s="1063"/>
      <c r="AD3601" s="1063"/>
      <c r="AE3601" s="1063"/>
      <c r="AF3601" s="1063"/>
      <c r="AG3601" s="1063"/>
      <c r="AH3601" s="1063"/>
      <c r="AI3601" s="1063"/>
      <c r="AJ3601" s="1063"/>
      <c r="AK3601" s="1063"/>
      <c r="AL3601" s="1063"/>
      <c r="AM3601" s="1063"/>
      <c r="AN3601" s="1063"/>
      <c r="AO3601" s="1063"/>
      <c r="AP3601" s="1063"/>
      <c r="AQ3601" s="1063"/>
      <c r="AR3601" s="1063"/>
      <c r="AS3601" s="1063"/>
      <c r="AT3601" s="1063"/>
      <c r="AU3601" s="1063"/>
      <c r="AV3601" s="1063"/>
    </row>
    <row r="3602" spans="1:48" s="1108" customFormat="1" ht="27.75" customHeight="1">
      <c r="A3602" s="1076"/>
      <c r="B3602" s="1074">
        <f>+'[18]Bldg+Dev'!S4414</f>
        <v>0</v>
      </c>
      <c r="D3602" s="1063"/>
      <c r="F3602" s="1076"/>
      <c r="G3602" s="1063"/>
      <c r="H3602" s="1063"/>
      <c r="I3602" s="1063"/>
      <c r="J3602" s="1063"/>
      <c r="K3602" s="1063"/>
      <c r="L3602" s="1063"/>
      <c r="M3602" s="1063"/>
      <c r="N3602" s="1063"/>
      <c r="O3602" s="1063"/>
      <c r="P3602" s="1063"/>
      <c r="Q3602" s="1063"/>
      <c r="R3602" s="1063"/>
      <c r="S3602" s="1063"/>
      <c r="T3602" s="1063"/>
      <c r="U3602" s="1063"/>
      <c r="V3602" s="1063"/>
      <c r="W3602" s="1063"/>
      <c r="X3602" s="1063"/>
      <c r="Y3602" s="1063"/>
      <c r="Z3602" s="1063"/>
      <c r="AA3602" s="1063"/>
      <c r="AB3602" s="1063"/>
      <c r="AC3602" s="1063"/>
      <c r="AD3602" s="1063"/>
      <c r="AE3602" s="1063"/>
      <c r="AF3602" s="1063"/>
      <c r="AG3602" s="1063"/>
      <c r="AH3602" s="1063"/>
      <c r="AI3602" s="1063"/>
      <c r="AJ3602" s="1063"/>
      <c r="AK3602" s="1063"/>
      <c r="AL3602" s="1063"/>
      <c r="AM3602" s="1063"/>
      <c r="AN3602" s="1063"/>
      <c r="AO3602" s="1063"/>
      <c r="AP3602" s="1063"/>
      <c r="AQ3602" s="1063"/>
      <c r="AR3602" s="1063"/>
      <c r="AS3602" s="1063"/>
      <c r="AT3602" s="1063"/>
      <c r="AU3602" s="1063"/>
      <c r="AV3602" s="1063"/>
    </row>
    <row r="3603" spans="1:48" s="1108" customFormat="1" ht="27.75" customHeight="1">
      <c r="A3603" s="1076"/>
      <c r="B3603" s="1074">
        <f>+'[18]Bldg+Dev'!S4415</f>
        <v>0</v>
      </c>
      <c r="D3603" s="1063"/>
      <c r="F3603" s="1076"/>
      <c r="G3603" s="1063"/>
      <c r="H3603" s="1063"/>
      <c r="I3603" s="1063"/>
      <c r="J3603" s="1063"/>
      <c r="K3603" s="1063"/>
      <c r="L3603" s="1063"/>
      <c r="M3603" s="1063"/>
      <c r="N3603" s="1063"/>
      <c r="O3603" s="1063"/>
      <c r="P3603" s="1063"/>
      <c r="Q3603" s="1063"/>
      <c r="R3603" s="1063"/>
      <c r="S3603" s="1063"/>
      <c r="T3603" s="1063"/>
      <c r="U3603" s="1063"/>
      <c r="V3603" s="1063"/>
      <c r="W3603" s="1063"/>
      <c r="X3603" s="1063"/>
      <c r="Y3603" s="1063"/>
      <c r="Z3603" s="1063"/>
      <c r="AA3603" s="1063"/>
      <c r="AB3603" s="1063"/>
      <c r="AC3603" s="1063"/>
      <c r="AD3603" s="1063"/>
      <c r="AE3603" s="1063"/>
      <c r="AF3603" s="1063"/>
      <c r="AG3603" s="1063"/>
      <c r="AH3603" s="1063"/>
      <c r="AI3603" s="1063"/>
      <c r="AJ3603" s="1063"/>
      <c r="AK3603" s="1063"/>
      <c r="AL3603" s="1063"/>
      <c r="AM3603" s="1063"/>
      <c r="AN3603" s="1063"/>
      <c r="AO3603" s="1063"/>
      <c r="AP3603" s="1063"/>
      <c r="AQ3603" s="1063"/>
      <c r="AR3603" s="1063"/>
      <c r="AS3603" s="1063"/>
      <c r="AT3603" s="1063"/>
      <c r="AU3603" s="1063"/>
      <c r="AV3603" s="1063"/>
    </row>
    <row r="3604" spans="1:48" s="1108" customFormat="1" ht="27.75" customHeight="1">
      <c r="A3604" s="1076"/>
      <c r="B3604" s="1074">
        <f>+'[18]Bldg+Dev'!S4416</f>
        <v>0</v>
      </c>
      <c r="D3604" s="1063"/>
      <c r="F3604" s="1076"/>
      <c r="G3604" s="1063"/>
      <c r="H3604" s="1063"/>
      <c r="I3604" s="1063"/>
      <c r="J3604" s="1063"/>
      <c r="K3604" s="1063"/>
      <c r="L3604" s="1063"/>
      <c r="M3604" s="1063"/>
      <c r="N3604" s="1063"/>
      <c r="O3604" s="1063"/>
      <c r="P3604" s="1063"/>
      <c r="Q3604" s="1063"/>
      <c r="R3604" s="1063"/>
      <c r="S3604" s="1063"/>
      <c r="T3604" s="1063"/>
      <c r="U3604" s="1063"/>
      <c r="V3604" s="1063"/>
      <c r="W3604" s="1063"/>
      <c r="X3604" s="1063"/>
      <c r="Y3604" s="1063"/>
      <c r="Z3604" s="1063"/>
      <c r="AA3604" s="1063"/>
      <c r="AB3604" s="1063"/>
      <c r="AC3604" s="1063"/>
      <c r="AD3604" s="1063"/>
      <c r="AE3604" s="1063"/>
      <c r="AF3604" s="1063"/>
      <c r="AG3604" s="1063"/>
      <c r="AH3604" s="1063"/>
      <c r="AI3604" s="1063"/>
      <c r="AJ3604" s="1063"/>
      <c r="AK3604" s="1063"/>
      <c r="AL3604" s="1063"/>
      <c r="AM3604" s="1063"/>
      <c r="AN3604" s="1063"/>
      <c r="AO3604" s="1063"/>
      <c r="AP3604" s="1063"/>
      <c r="AQ3604" s="1063"/>
      <c r="AR3604" s="1063"/>
      <c r="AS3604" s="1063"/>
      <c r="AT3604" s="1063"/>
      <c r="AU3604" s="1063"/>
      <c r="AV3604" s="1063"/>
    </row>
    <row r="3605" spans="1:48" s="1108" customFormat="1" ht="27.75" customHeight="1">
      <c r="A3605" s="1076"/>
      <c r="B3605" s="1074">
        <f>+'[18]Bldg+Dev'!S4417</f>
        <v>0</v>
      </c>
      <c r="D3605" s="1063"/>
      <c r="F3605" s="1076"/>
      <c r="G3605" s="1063"/>
      <c r="H3605" s="1063"/>
      <c r="I3605" s="1063"/>
      <c r="J3605" s="1063"/>
      <c r="K3605" s="1063"/>
      <c r="L3605" s="1063"/>
      <c r="M3605" s="1063"/>
      <c r="N3605" s="1063"/>
      <c r="O3605" s="1063"/>
      <c r="P3605" s="1063"/>
      <c r="Q3605" s="1063"/>
      <c r="R3605" s="1063"/>
      <c r="S3605" s="1063"/>
      <c r="T3605" s="1063"/>
      <c r="U3605" s="1063"/>
      <c r="V3605" s="1063"/>
      <c r="W3605" s="1063"/>
      <c r="X3605" s="1063"/>
      <c r="Y3605" s="1063"/>
      <c r="Z3605" s="1063"/>
      <c r="AA3605" s="1063"/>
      <c r="AB3605" s="1063"/>
      <c r="AC3605" s="1063"/>
      <c r="AD3605" s="1063"/>
      <c r="AE3605" s="1063"/>
      <c r="AF3605" s="1063"/>
      <c r="AG3605" s="1063"/>
      <c r="AH3605" s="1063"/>
      <c r="AI3605" s="1063"/>
      <c r="AJ3605" s="1063"/>
      <c r="AK3605" s="1063"/>
      <c r="AL3605" s="1063"/>
      <c r="AM3605" s="1063"/>
      <c r="AN3605" s="1063"/>
      <c r="AO3605" s="1063"/>
      <c r="AP3605" s="1063"/>
      <c r="AQ3605" s="1063"/>
      <c r="AR3605" s="1063"/>
      <c r="AS3605" s="1063"/>
      <c r="AT3605" s="1063"/>
      <c r="AU3605" s="1063"/>
      <c r="AV3605" s="1063"/>
    </row>
    <row r="3606" spans="1:48" s="1108" customFormat="1" ht="27.75" customHeight="1">
      <c r="A3606" s="1076"/>
      <c r="B3606" s="1074">
        <f>+'[18]Bldg+Dev'!S4418</f>
        <v>0</v>
      </c>
      <c r="D3606" s="1063"/>
      <c r="F3606" s="1076"/>
      <c r="G3606" s="1063"/>
      <c r="H3606" s="1063"/>
      <c r="I3606" s="1063"/>
      <c r="J3606" s="1063"/>
      <c r="K3606" s="1063"/>
      <c r="L3606" s="1063"/>
      <c r="M3606" s="1063"/>
      <c r="N3606" s="1063"/>
      <c r="O3606" s="1063"/>
      <c r="P3606" s="1063"/>
      <c r="Q3606" s="1063"/>
      <c r="R3606" s="1063"/>
      <c r="S3606" s="1063"/>
      <c r="T3606" s="1063"/>
      <c r="U3606" s="1063"/>
      <c r="V3606" s="1063"/>
      <c r="W3606" s="1063"/>
      <c r="X3606" s="1063"/>
      <c r="Y3606" s="1063"/>
      <c r="Z3606" s="1063"/>
      <c r="AA3606" s="1063"/>
      <c r="AB3606" s="1063"/>
      <c r="AC3606" s="1063"/>
      <c r="AD3606" s="1063"/>
      <c r="AE3606" s="1063"/>
      <c r="AF3606" s="1063"/>
      <c r="AG3606" s="1063"/>
      <c r="AH3606" s="1063"/>
      <c r="AI3606" s="1063"/>
      <c r="AJ3606" s="1063"/>
      <c r="AK3606" s="1063"/>
      <c r="AL3606" s="1063"/>
      <c r="AM3606" s="1063"/>
      <c r="AN3606" s="1063"/>
      <c r="AO3606" s="1063"/>
      <c r="AP3606" s="1063"/>
      <c r="AQ3606" s="1063"/>
      <c r="AR3606" s="1063"/>
      <c r="AS3606" s="1063"/>
      <c r="AT3606" s="1063"/>
      <c r="AU3606" s="1063"/>
      <c r="AV3606" s="1063"/>
    </row>
    <row r="3607" spans="1:48" s="1108" customFormat="1" ht="27.75" customHeight="1">
      <c r="A3607" s="1076"/>
      <c r="B3607" s="1074">
        <f>+'[18]Bldg+Dev'!S4419</f>
        <v>0</v>
      </c>
      <c r="D3607" s="1063"/>
      <c r="F3607" s="1076"/>
      <c r="G3607" s="1063"/>
      <c r="H3607" s="1063"/>
      <c r="I3607" s="1063"/>
      <c r="J3607" s="1063"/>
      <c r="K3607" s="1063"/>
      <c r="L3607" s="1063"/>
      <c r="M3607" s="1063"/>
      <c r="N3607" s="1063"/>
      <c r="O3607" s="1063"/>
      <c r="P3607" s="1063"/>
      <c r="Q3607" s="1063"/>
      <c r="R3607" s="1063"/>
      <c r="S3607" s="1063"/>
      <c r="T3607" s="1063"/>
      <c r="U3607" s="1063"/>
      <c r="V3607" s="1063"/>
      <c r="W3607" s="1063"/>
      <c r="X3607" s="1063"/>
      <c r="Y3607" s="1063"/>
      <c r="Z3607" s="1063"/>
      <c r="AA3607" s="1063"/>
      <c r="AB3607" s="1063"/>
      <c r="AC3607" s="1063"/>
      <c r="AD3607" s="1063"/>
      <c r="AE3607" s="1063"/>
      <c r="AF3607" s="1063"/>
      <c r="AG3607" s="1063"/>
      <c r="AH3607" s="1063"/>
      <c r="AI3607" s="1063"/>
      <c r="AJ3607" s="1063"/>
      <c r="AK3607" s="1063"/>
      <c r="AL3607" s="1063"/>
      <c r="AM3607" s="1063"/>
      <c r="AN3607" s="1063"/>
      <c r="AO3607" s="1063"/>
      <c r="AP3607" s="1063"/>
      <c r="AQ3607" s="1063"/>
      <c r="AR3607" s="1063"/>
      <c r="AS3607" s="1063"/>
      <c r="AT3607" s="1063"/>
      <c r="AU3607" s="1063"/>
      <c r="AV3607" s="1063"/>
    </row>
    <row r="3608" spans="1:48" s="1108" customFormat="1" ht="27.75" customHeight="1">
      <c r="A3608" s="1076"/>
      <c r="B3608" s="1074">
        <f>+'[18]Bldg+Dev'!S4420</f>
        <v>0</v>
      </c>
      <c r="D3608" s="1063"/>
      <c r="F3608" s="1076"/>
      <c r="G3608" s="1063"/>
      <c r="H3608" s="1063"/>
      <c r="I3608" s="1063"/>
      <c r="J3608" s="1063"/>
      <c r="K3608" s="1063"/>
      <c r="L3608" s="1063"/>
      <c r="M3608" s="1063"/>
      <c r="N3608" s="1063"/>
      <c r="O3608" s="1063"/>
      <c r="P3608" s="1063"/>
      <c r="Q3608" s="1063"/>
      <c r="R3608" s="1063"/>
      <c r="S3608" s="1063"/>
      <c r="T3608" s="1063"/>
      <c r="U3608" s="1063"/>
      <c r="V3608" s="1063"/>
      <c r="W3608" s="1063"/>
      <c r="X3608" s="1063"/>
      <c r="Y3608" s="1063"/>
      <c r="Z3608" s="1063"/>
      <c r="AA3608" s="1063"/>
      <c r="AB3608" s="1063"/>
      <c r="AC3608" s="1063"/>
      <c r="AD3608" s="1063"/>
      <c r="AE3608" s="1063"/>
      <c r="AF3608" s="1063"/>
      <c r="AG3608" s="1063"/>
      <c r="AH3608" s="1063"/>
      <c r="AI3608" s="1063"/>
      <c r="AJ3608" s="1063"/>
      <c r="AK3608" s="1063"/>
      <c r="AL3608" s="1063"/>
      <c r="AM3608" s="1063"/>
      <c r="AN3608" s="1063"/>
      <c r="AO3608" s="1063"/>
      <c r="AP3608" s="1063"/>
      <c r="AQ3608" s="1063"/>
      <c r="AR3608" s="1063"/>
      <c r="AS3608" s="1063"/>
      <c r="AT3608" s="1063"/>
      <c r="AU3608" s="1063"/>
      <c r="AV3608" s="1063"/>
    </row>
    <row r="3609" spans="1:48" s="1108" customFormat="1" ht="27.75" customHeight="1">
      <c r="A3609" s="1076"/>
      <c r="B3609" s="1074">
        <f>+'[18]Bldg+Dev'!S4421</f>
        <v>0</v>
      </c>
      <c r="D3609" s="1063"/>
      <c r="F3609" s="1076"/>
      <c r="G3609" s="1063"/>
      <c r="H3609" s="1063"/>
      <c r="I3609" s="1063"/>
      <c r="J3609" s="1063"/>
      <c r="K3609" s="1063"/>
      <c r="L3609" s="1063"/>
      <c r="M3609" s="1063"/>
      <c r="N3609" s="1063"/>
      <c r="O3609" s="1063"/>
      <c r="P3609" s="1063"/>
      <c r="Q3609" s="1063"/>
      <c r="R3609" s="1063"/>
      <c r="S3609" s="1063"/>
      <c r="T3609" s="1063"/>
      <c r="U3609" s="1063"/>
      <c r="V3609" s="1063"/>
      <c r="W3609" s="1063"/>
      <c r="X3609" s="1063"/>
      <c r="Y3609" s="1063"/>
      <c r="Z3609" s="1063"/>
      <c r="AA3609" s="1063"/>
      <c r="AB3609" s="1063"/>
      <c r="AC3609" s="1063"/>
      <c r="AD3609" s="1063"/>
      <c r="AE3609" s="1063"/>
      <c r="AF3609" s="1063"/>
      <c r="AG3609" s="1063"/>
      <c r="AH3609" s="1063"/>
      <c r="AI3609" s="1063"/>
      <c r="AJ3609" s="1063"/>
      <c r="AK3609" s="1063"/>
      <c r="AL3609" s="1063"/>
      <c r="AM3609" s="1063"/>
      <c r="AN3609" s="1063"/>
      <c r="AO3609" s="1063"/>
      <c r="AP3609" s="1063"/>
      <c r="AQ3609" s="1063"/>
      <c r="AR3609" s="1063"/>
      <c r="AS3609" s="1063"/>
      <c r="AT3609" s="1063"/>
      <c r="AU3609" s="1063"/>
      <c r="AV3609" s="1063"/>
    </row>
    <row r="3610" spans="1:48" s="1108" customFormat="1" ht="27.75" customHeight="1">
      <c r="A3610" s="1076"/>
      <c r="B3610" s="1074">
        <f>+'[18]Bldg+Dev'!S4422</f>
        <v>0</v>
      </c>
      <c r="D3610" s="1063"/>
      <c r="F3610" s="1076"/>
      <c r="G3610" s="1063"/>
      <c r="H3610" s="1063"/>
      <c r="I3610" s="1063"/>
      <c r="J3610" s="1063"/>
      <c r="K3610" s="1063"/>
      <c r="L3610" s="1063"/>
      <c r="M3610" s="1063"/>
      <c r="N3610" s="1063"/>
      <c r="O3610" s="1063"/>
      <c r="P3610" s="1063"/>
      <c r="Q3610" s="1063"/>
      <c r="R3610" s="1063"/>
      <c r="S3610" s="1063"/>
      <c r="T3610" s="1063"/>
      <c r="U3610" s="1063"/>
      <c r="V3610" s="1063"/>
      <c r="W3610" s="1063"/>
      <c r="X3610" s="1063"/>
      <c r="Y3610" s="1063"/>
      <c r="Z3610" s="1063"/>
      <c r="AA3610" s="1063"/>
      <c r="AB3610" s="1063"/>
      <c r="AC3610" s="1063"/>
      <c r="AD3610" s="1063"/>
      <c r="AE3610" s="1063"/>
      <c r="AF3610" s="1063"/>
      <c r="AG3610" s="1063"/>
      <c r="AH3610" s="1063"/>
      <c r="AI3610" s="1063"/>
      <c r="AJ3610" s="1063"/>
      <c r="AK3610" s="1063"/>
      <c r="AL3610" s="1063"/>
      <c r="AM3610" s="1063"/>
      <c r="AN3610" s="1063"/>
      <c r="AO3610" s="1063"/>
      <c r="AP3610" s="1063"/>
      <c r="AQ3610" s="1063"/>
      <c r="AR3610" s="1063"/>
      <c r="AS3610" s="1063"/>
      <c r="AT3610" s="1063"/>
      <c r="AU3610" s="1063"/>
      <c r="AV3610" s="1063"/>
    </row>
    <row r="3611" spans="1:48" s="1108" customFormat="1" ht="27.75" customHeight="1">
      <c r="A3611" s="1076"/>
      <c r="B3611" s="1074">
        <f>+'[18]Bldg+Dev'!S4423</f>
        <v>0</v>
      </c>
      <c r="D3611" s="1063"/>
      <c r="F3611" s="1076"/>
      <c r="G3611" s="1063"/>
      <c r="H3611" s="1063"/>
      <c r="I3611" s="1063"/>
      <c r="J3611" s="1063"/>
      <c r="K3611" s="1063"/>
      <c r="L3611" s="1063"/>
      <c r="M3611" s="1063"/>
      <c r="N3611" s="1063"/>
      <c r="O3611" s="1063"/>
      <c r="P3611" s="1063"/>
      <c r="Q3611" s="1063"/>
      <c r="R3611" s="1063"/>
      <c r="S3611" s="1063"/>
      <c r="T3611" s="1063"/>
      <c r="U3611" s="1063"/>
      <c r="V3611" s="1063"/>
      <c r="W3611" s="1063"/>
      <c r="X3611" s="1063"/>
      <c r="Y3611" s="1063"/>
      <c r="Z3611" s="1063"/>
      <c r="AA3611" s="1063"/>
      <c r="AB3611" s="1063"/>
      <c r="AC3611" s="1063"/>
      <c r="AD3611" s="1063"/>
      <c r="AE3611" s="1063"/>
      <c r="AF3611" s="1063"/>
      <c r="AG3611" s="1063"/>
      <c r="AH3611" s="1063"/>
      <c r="AI3611" s="1063"/>
      <c r="AJ3611" s="1063"/>
      <c r="AK3611" s="1063"/>
      <c r="AL3611" s="1063"/>
      <c r="AM3611" s="1063"/>
      <c r="AN3611" s="1063"/>
      <c r="AO3611" s="1063"/>
      <c r="AP3611" s="1063"/>
      <c r="AQ3611" s="1063"/>
      <c r="AR3611" s="1063"/>
      <c r="AS3611" s="1063"/>
      <c r="AT3611" s="1063"/>
      <c r="AU3611" s="1063"/>
      <c r="AV3611" s="1063"/>
    </row>
    <row r="3612" spans="1:48" s="1108" customFormat="1" ht="27.75" customHeight="1">
      <c r="A3612" s="1076"/>
      <c r="B3612" s="1074">
        <f>+'[18]Bldg+Dev'!S4424</f>
        <v>0</v>
      </c>
      <c r="D3612" s="1063"/>
      <c r="F3612" s="1076"/>
      <c r="G3612" s="1063"/>
      <c r="H3612" s="1063"/>
      <c r="I3612" s="1063"/>
      <c r="J3612" s="1063"/>
      <c r="K3612" s="1063"/>
      <c r="L3612" s="1063"/>
      <c r="M3612" s="1063"/>
      <c r="N3612" s="1063"/>
      <c r="O3612" s="1063"/>
      <c r="P3612" s="1063"/>
      <c r="Q3612" s="1063"/>
      <c r="R3612" s="1063"/>
      <c r="S3612" s="1063"/>
      <c r="T3612" s="1063"/>
      <c r="U3612" s="1063"/>
      <c r="V3612" s="1063"/>
      <c r="W3612" s="1063"/>
      <c r="X3612" s="1063"/>
      <c r="Y3612" s="1063"/>
      <c r="Z3612" s="1063"/>
      <c r="AA3612" s="1063"/>
      <c r="AB3612" s="1063"/>
      <c r="AC3612" s="1063"/>
      <c r="AD3612" s="1063"/>
      <c r="AE3612" s="1063"/>
      <c r="AF3612" s="1063"/>
      <c r="AG3612" s="1063"/>
      <c r="AH3612" s="1063"/>
      <c r="AI3612" s="1063"/>
      <c r="AJ3612" s="1063"/>
      <c r="AK3612" s="1063"/>
      <c r="AL3612" s="1063"/>
      <c r="AM3612" s="1063"/>
      <c r="AN3612" s="1063"/>
      <c r="AO3612" s="1063"/>
      <c r="AP3612" s="1063"/>
      <c r="AQ3612" s="1063"/>
      <c r="AR3612" s="1063"/>
      <c r="AS3612" s="1063"/>
      <c r="AT3612" s="1063"/>
      <c r="AU3612" s="1063"/>
      <c r="AV3612" s="1063"/>
    </row>
    <row r="3613" spans="1:48" s="1108" customFormat="1" ht="27.75" customHeight="1">
      <c r="A3613" s="1076"/>
      <c r="B3613" s="1074">
        <f>+'[18]Bldg+Dev'!S4425</f>
        <v>0</v>
      </c>
      <c r="D3613" s="1063"/>
      <c r="F3613" s="1076"/>
      <c r="G3613" s="1063"/>
      <c r="H3613" s="1063"/>
      <c r="I3613" s="1063"/>
      <c r="J3613" s="1063"/>
      <c r="K3613" s="1063"/>
      <c r="L3613" s="1063"/>
      <c r="M3613" s="1063"/>
      <c r="N3613" s="1063"/>
      <c r="O3613" s="1063"/>
      <c r="P3613" s="1063"/>
      <c r="Q3613" s="1063"/>
      <c r="R3613" s="1063"/>
      <c r="S3613" s="1063"/>
      <c r="T3613" s="1063"/>
      <c r="U3613" s="1063"/>
      <c r="V3613" s="1063"/>
      <c r="W3613" s="1063"/>
      <c r="X3613" s="1063"/>
      <c r="Y3613" s="1063"/>
      <c r="Z3613" s="1063"/>
      <c r="AA3613" s="1063"/>
      <c r="AB3613" s="1063"/>
      <c r="AC3613" s="1063"/>
      <c r="AD3613" s="1063"/>
      <c r="AE3613" s="1063"/>
      <c r="AF3613" s="1063"/>
      <c r="AG3613" s="1063"/>
      <c r="AH3613" s="1063"/>
      <c r="AI3613" s="1063"/>
      <c r="AJ3613" s="1063"/>
      <c r="AK3613" s="1063"/>
      <c r="AL3613" s="1063"/>
      <c r="AM3613" s="1063"/>
      <c r="AN3613" s="1063"/>
      <c r="AO3613" s="1063"/>
      <c r="AP3613" s="1063"/>
      <c r="AQ3613" s="1063"/>
      <c r="AR3613" s="1063"/>
      <c r="AS3613" s="1063"/>
      <c r="AT3613" s="1063"/>
      <c r="AU3613" s="1063"/>
      <c r="AV3613" s="1063"/>
    </row>
    <row r="3614" spans="1:48" s="1108" customFormat="1" ht="27.75" customHeight="1">
      <c r="A3614" s="1076"/>
      <c r="B3614" s="1074">
        <f>+'[18]Bldg+Dev'!S4426</f>
        <v>0</v>
      </c>
      <c r="D3614" s="1063"/>
      <c r="F3614" s="1076"/>
      <c r="G3614" s="1063"/>
      <c r="H3614" s="1063"/>
      <c r="I3614" s="1063"/>
      <c r="J3614" s="1063"/>
      <c r="K3614" s="1063"/>
      <c r="L3614" s="1063"/>
      <c r="M3614" s="1063"/>
      <c r="N3614" s="1063"/>
      <c r="O3614" s="1063"/>
      <c r="P3614" s="1063"/>
      <c r="Q3614" s="1063"/>
      <c r="R3614" s="1063"/>
      <c r="S3614" s="1063"/>
      <c r="T3614" s="1063"/>
      <c r="U3614" s="1063"/>
      <c r="V3614" s="1063"/>
      <c r="W3614" s="1063"/>
      <c r="X3614" s="1063"/>
      <c r="Y3614" s="1063"/>
      <c r="Z3614" s="1063"/>
      <c r="AA3614" s="1063"/>
      <c r="AB3614" s="1063"/>
      <c r="AC3614" s="1063"/>
      <c r="AD3614" s="1063"/>
      <c r="AE3614" s="1063"/>
      <c r="AF3614" s="1063"/>
      <c r="AG3614" s="1063"/>
      <c r="AH3614" s="1063"/>
      <c r="AI3614" s="1063"/>
      <c r="AJ3614" s="1063"/>
      <c r="AK3614" s="1063"/>
      <c r="AL3614" s="1063"/>
      <c r="AM3614" s="1063"/>
      <c r="AN3614" s="1063"/>
      <c r="AO3614" s="1063"/>
      <c r="AP3614" s="1063"/>
      <c r="AQ3614" s="1063"/>
      <c r="AR3614" s="1063"/>
      <c r="AS3614" s="1063"/>
      <c r="AT3614" s="1063"/>
      <c r="AU3614" s="1063"/>
      <c r="AV3614" s="1063"/>
    </row>
    <row r="3615" spans="1:48" s="1108" customFormat="1" ht="27.75" customHeight="1">
      <c r="A3615" s="1076"/>
      <c r="B3615" s="1074">
        <f>+'[18]Bldg+Dev'!S4427</f>
        <v>0</v>
      </c>
      <c r="D3615" s="1063"/>
      <c r="F3615" s="1076"/>
      <c r="G3615" s="1063"/>
      <c r="H3615" s="1063"/>
      <c r="I3615" s="1063"/>
      <c r="J3615" s="1063"/>
      <c r="K3615" s="1063"/>
      <c r="L3615" s="1063"/>
      <c r="M3615" s="1063"/>
      <c r="N3615" s="1063"/>
      <c r="O3615" s="1063"/>
      <c r="P3615" s="1063"/>
      <c r="Q3615" s="1063"/>
      <c r="R3615" s="1063"/>
      <c r="S3615" s="1063"/>
      <c r="T3615" s="1063"/>
      <c r="U3615" s="1063"/>
      <c r="V3615" s="1063"/>
      <c r="W3615" s="1063"/>
      <c r="X3615" s="1063"/>
      <c r="Y3615" s="1063"/>
      <c r="Z3615" s="1063"/>
      <c r="AA3615" s="1063"/>
      <c r="AB3615" s="1063"/>
      <c r="AC3615" s="1063"/>
      <c r="AD3615" s="1063"/>
      <c r="AE3615" s="1063"/>
      <c r="AF3615" s="1063"/>
      <c r="AG3615" s="1063"/>
      <c r="AH3615" s="1063"/>
      <c r="AI3615" s="1063"/>
      <c r="AJ3615" s="1063"/>
      <c r="AK3615" s="1063"/>
      <c r="AL3615" s="1063"/>
      <c r="AM3615" s="1063"/>
      <c r="AN3615" s="1063"/>
      <c r="AO3615" s="1063"/>
      <c r="AP3615" s="1063"/>
      <c r="AQ3615" s="1063"/>
      <c r="AR3615" s="1063"/>
      <c r="AS3615" s="1063"/>
      <c r="AT3615" s="1063"/>
      <c r="AU3615" s="1063"/>
      <c r="AV3615" s="1063"/>
    </row>
    <row r="3616" spans="1:48" s="1108" customFormat="1" ht="27.75" customHeight="1">
      <c r="A3616" s="1076"/>
      <c r="B3616" s="1074">
        <f>+'[18]Bldg+Dev'!S4428</f>
        <v>0</v>
      </c>
      <c r="D3616" s="1063"/>
      <c r="F3616" s="1076"/>
      <c r="G3616" s="1063"/>
      <c r="H3616" s="1063"/>
      <c r="I3616" s="1063"/>
      <c r="J3616" s="1063"/>
      <c r="K3616" s="1063"/>
      <c r="L3616" s="1063"/>
      <c r="M3616" s="1063"/>
      <c r="N3616" s="1063"/>
      <c r="O3616" s="1063"/>
      <c r="P3616" s="1063"/>
      <c r="Q3616" s="1063"/>
      <c r="R3616" s="1063"/>
      <c r="S3616" s="1063"/>
      <c r="T3616" s="1063"/>
      <c r="U3616" s="1063"/>
      <c r="V3616" s="1063"/>
      <c r="W3616" s="1063"/>
      <c r="X3616" s="1063"/>
      <c r="Y3616" s="1063"/>
      <c r="Z3616" s="1063"/>
      <c r="AA3616" s="1063"/>
      <c r="AB3616" s="1063"/>
      <c r="AC3616" s="1063"/>
      <c r="AD3616" s="1063"/>
      <c r="AE3616" s="1063"/>
      <c r="AF3616" s="1063"/>
      <c r="AG3616" s="1063"/>
      <c r="AH3616" s="1063"/>
      <c r="AI3616" s="1063"/>
      <c r="AJ3616" s="1063"/>
      <c r="AK3616" s="1063"/>
      <c r="AL3616" s="1063"/>
      <c r="AM3616" s="1063"/>
      <c r="AN3616" s="1063"/>
      <c r="AO3616" s="1063"/>
      <c r="AP3616" s="1063"/>
      <c r="AQ3616" s="1063"/>
      <c r="AR3616" s="1063"/>
      <c r="AS3616" s="1063"/>
      <c r="AT3616" s="1063"/>
      <c r="AU3616" s="1063"/>
      <c r="AV3616" s="1063"/>
    </row>
    <row r="3617" spans="1:48" s="1108" customFormat="1" ht="27.75" customHeight="1">
      <c r="A3617" s="1076"/>
      <c r="B3617" s="1074">
        <f>+'[18]Bldg+Dev'!S4429</f>
        <v>0</v>
      </c>
      <c r="D3617" s="1063"/>
      <c r="F3617" s="1076"/>
      <c r="G3617" s="1063"/>
      <c r="H3617" s="1063"/>
      <c r="I3617" s="1063"/>
      <c r="J3617" s="1063"/>
      <c r="K3617" s="1063"/>
      <c r="L3617" s="1063"/>
      <c r="M3617" s="1063"/>
      <c r="N3617" s="1063"/>
      <c r="O3617" s="1063"/>
      <c r="P3617" s="1063"/>
      <c r="Q3617" s="1063"/>
      <c r="R3617" s="1063"/>
      <c r="S3617" s="1063"/>
      <c r="T3617" s="1063"/>
      <c r="U3617" s="1063"/>
      <c r="V3617" s="1063"/>
      <c r="W3617" s="1063"/>
      <c r="X3617" s="1063"/>
      <c r="Y3617" s="1063"/>
      <c r="Z3617" s="1063"/>
      <c r="AA3617" s="1063"/>
      <c r="AB3617" s="1063"/>
      <c r="AC3617" s="1063"/>
      <c r="AD3617" s="1063"/>
      <c r="AE3617" s="1063"/>
      <c r="AF3617" s="1063"/>
      <c r="AG3617" s="1063"/>
      <c r="AH3617" s="1063"/>
      <c r="AI3617" s="1063"/>
      <c r="AJ3617" s="1063"/>
      <c r="AK3617" s="1063"/>
      <c r="AL3617" s="1063"/>
      <c r="AM3617" s="1063"/>
      <c r="AN3617" s="1063"/>
      <c r="AO3617" s="1063"/>
      <c r="AP3617" s="1063"/>
      <c r="AQ3617" s="1063"/>
      <c r="AR3617" s="1063"/>
      <c r="AS3617" s="1063"/>
      <c r="AT3617" s="1063"/>
      <c r="AU3617" s="1063"/>
      <c r="AV3617" s="1063"/>
    </row>
    <row r="3618" spans="1:48" s="1108" customFormat="1" ht="27.75" customHeight="1">
      <c r="A3618" s="1076"/>
      <c r="B3618" s="1074">
        <f>+'[18]Bldg+Dev'!S4430</f>
        <v>0</v>
      </c>
      <c r="D3618" s="1063"/>
      <c r="F3618" s="1076"/>
      <c r="G3618" s="1063"/>
      <c r="H3618" s="1063"/>
      <c r="I3618" s="1063"/>
      <c r="J3618" s="1063"/>
      <c r="K3618" s="1063"/>
      <c r="L3618" s="1063"/>
      <c r="M3618" s="1063"/>
      <c r="N3618" s="1063"/>
      <c r="O3618" s="1063"/>
      <c r="P3618" s="1063"/>
      <c r="Q3618" s="1063"/>
      <c r="R3618" s="1063"/>
      <c r="S3618" s="1063"/>
      <c r="T3618" s="1063"/>
      <c r="U3618" s="1063"/>
      <c r="V3618" s="1063"/>
      <c r="W3618" s="1063"/>
      <c r="X3618" s="1063"/>
      <c r="Y3618" s="1063"/>
      <c r="Z3618" s="1063"/>
      <c r="AA3618" s="1063"/>
      <c r="AB3618" s="1063"/>
      <c r="AC3618" s="1063"/>
      <c r="AD3618" s="1063"/>
      <c r="AE3618" s="1063"/>
      <c r="AF3618" s="1063"/>
      <c r="AG3618" s="1063"/>
      <c r="AH3618" s="1063"/>
      <c r="AI3618" s="1063"/>
      <c r="AJ3618" s="1063"/>
      <c r="AK3618" s="1063"/>
      <c r="AL3618" s="1063"/>
      <c r="AM3618" s="1063"/>
      <c r="AN3618" s="1063"/>
      <c r="AO3618" s="1063"/>
      <c r="AP3618" s="1063"/>
      <c r="AQ3618" s="1063"/>
      <c r="AR3618" s="1063"/>
      <c r="AS3618" s="1063"/>
      <c r="AT3618" s="1063"/>
      <c r="AU3618" s="1063"/>
      <c r="AV3618" s="1063"/>
    </row>
    <row r="3619" spans="1:48" s="1108" customFormat="1" ht="27.75" customHeight="1">
      <c r="A3619" s="1076"/>
      <c r="B3619" s="1074">
        <f>+'[18]Bldg+Dev'!S4431</f>
        <v>0</v>
      </c>
      <c r="D3619" s="1063"/>
      <c r="F3619" s="1076"/>
      <c r="G3619" s="1063"/>
      <c r="H3619" s="1063"/>
      <c r="I3619" s="1063"/>
      <c r="J3619" s="1063"/>
      <c r="K3619" s="1063"/>
      <c r="L3619" s="1063"/>
      <c r="M3619" s="1063"/>
      <c r="N3619" s="1063"/>
      <c r="O3619" s="1063"/>
      <c r="P3619" s="1063"/>
      <c r="Q3619" s="1063"/>
      <c r="R3619" s="1063"/>
      <c r="S3619" s="1063"/>
      <c r="T3619" s="1063"/>
      <c r="U3619" s="1063"/>
      <c r="V3619" s="1063"/>
      <c r="W3619" s="1063"/>
      <c r="X3619" s="1063"/>
      <c r="Y3619" s="1063"/>
      <c r="Z3619" s="1063"/>
      <c r="AA3619" s="1063"/>
      <c r="AB3619" s="1063"/>
      <c r="AC3619" s="1063"/>
      <c r="AD3619" s="1063"/>
      <c r="AE3619" s="1063"/>
      <c r="AF3619" s="1063"/>
      <c r="AG3619" s="1063"/>
      <c r="AH3619" s="1063"/>
      <c r="AI3619" s="1063"/>
      <c r="AJ3619" s="1063"/>
      <c r="AK3619" s="1063"/>
      <c r="AL3619" s="1063"/>
      <c r="AM3619" s="1063"/>
      <c r="AN3619" s="1063"/>
      <c r="AO3619" s="1063"/>
      <c r="AP3619" s="1063"/>
      <c r="AQ3619" s="1063"/>
      <c r="AR3619" s="1063"/>
      <c r="AS3619" s="1063"/>
      <c r="AT3619" s="1063"/>
      <c r="AU3619" s="1063"/>
      <c r="AV3619" s="1063"/>
    </row>
    <row r="3620" spans="1:48" s="1108" customFormat="1" ht="27.75" customHeight="1">
      <c r="A3620" s="1076"/>
      <c r="B3620" s="1074">
        <f>+'[18]Bldg+Dev'!S4432</f>
        <v>0</v>
      </c>
      <c r="D3620" s="1063"/>
      <c r="F3620" s="1076"/>
      <c r="G3620" s="1063"/>
      <c r="H3620" s="1063"/>
      <c r="I3620" s="1063"/>
      <c r="J3620" s="1063"/>
      <c r="K3620" s="1063"/>
      <c r="L3620" s="1063"/>
      <c r="M3620" s="1063"/>
      <c r="N3620" s="1063"/>
      <c r="O3620" s="1063"/>
      <c r="P3620" s="1063"/>
      <c r="Q3620" s="1063"/>
      <c r="R3620" s="1063"/>
      <c r="S3620" s="1063"/>
      <c r="T3620" s="1063"/>
      <c r="U3620" s="1063"/>
      <c r="V3620" s="1063"/>
      <c r="W3620" s="1063"/>
      <c r="X3620" s="1063"/>
      <c r="Y3620" s="1063"/>
      <c r="Z3620" s="1063"/>
      <c r="AA3620" s="1063"/>
      <c r="AB3620" s="1063"/>
      <c r="AC3620" s="1063"/>
      <c r="AD3620" s="1063"/>
      <c r="AE3620" s="1063"/>
      <c r="AF3620" s="1063"/>
      <c r="AG3620" s="1063"/>
      <c r="AH3620" s="1063"/>
      <c r="AI3620" s="1063"/>
      <c r="AJ3620" s="1063"/>
      <c r="AK3620" s="1063"/>
      <c r="AL3620" s="1063"/>
      <c r="AM3620" s="1063"/>
      <c r="AN3620" s="1063"/>
      <c r="AO3620" s="1063"/>
      <c r="AP3620" s="1063"/>
      <c r="AQ3620" s="1063"/>
      <c r="AR3620" s="1063"/>
      <c r="AS3620" s="1063"/>
      <c r="AT3620" s="1063"/>
      <c r="AU3620" s="1063"/>
      <c r="AV3620" s="1063"/>
    </row>
    <row r="3621" spans="1:48" s="1108" customFormat="1" ht="27.75" customHeight="1">
      <c r="A3621" s="1076"/>
      <c r="B3621" s="1074">
        <f>+'[18]Bldg+Dev'!S4433</f>
        <v>0</v>
      </c>
      <c r="D3621" s="1063"/>
      <c r="F3621" s="1076"/>
      <c r="G3621" s="1063"/>
      <c r="H3621" s="1063"/>
      <c r="I3621" s="1063"/>
      <c r="J3621" s="1063"/>
      <c r="K3621" s="1063"/>
      <c r="L3621" s="1063"/>
      <c r="M3621" s="1063"/>
      <c r="N3621" s="1063"/>
      <c r="O3621" s="1063"/>
      <c r="P3621" s="1063"/>
      <c r="Q3621" s="1063"/>
      <c r="R3621" s="1063"/>
      <c r="S3621" s="1063"/>
      <c r="T3621" s="1063"/>
      <c r="U3621" s="1063"/>
      <c r="V3621" s="1063"/>
      <c r="W3621" s="1063"/>
      <c r="X3621" s="1063"/>
      <c r="Y3621" s="1063"/>
      <c r="Z3621" s="1063"/>
      <c r="AA3621" s="1063"/>
      <c r="AB3621" s="1063"/>
      <c r="AC3621" s="1063"/>
      <c r="AD3621" s="1063"/>
      <c r="AE3621" s="1063"/>
      <c r="AF3621" s="1063"/>
      <c r="AG3621" s="1063"/>
      <c r="AH3621" s="1063"/>
      <c r="AI3621" s="1063"/>
      <c r="AJ3621" s="1063"/>
      <c r="AK3621" s="1063"/>
      <c r="AL3621" s="1063"/>
      <c r="AM3621" s="1063"/>
      <c r="AN3621" s="1063"/>
      <c r="AO3621" s="1063"/>
      <c r="AP3621" s="1063"/>
      <c r="AQ3621" s="1063"/>
      <c r="AR3621" s="1063"/>
      <c r="AS3621" s="1063"/>
      <c r="AT3621" s="1063"/>
      <c r="AU3621" s="1063"/>
      <c r="AV3621" s="1063"/>
    </row>
    <row r="3622" spans="1:48" s="1108" customFormat="1" ht="27.75" customHeight="1">
      <c r="A3622" s="1076"/>
      <c r="B3622" s="1074">
        <f>+'[18]Bldg+Dev'!S4434</f>
        <v>0</v>
      </c>
      <c r="D3622" s="1063"/>
      <c r="F3622" s="1076"/>
      <c r="G3622" s="1063"/>
      <c r="H3622" s="1063"/>
      <c r="I3622" s="1063"/>
      <c r="J3622" s="1063"/>
      <c r="K3622" s="1063"/>
      <c r="L3622" s="1063"/>
      <c r="M3622" s="1063"/>
      <c r="N3622" s="1063"/>
      <c r="O3622" s="1063"/>
      <c r="P3622" s="1063"/>
      <c r="Q3622" s="1063"/>
      <c r="R3622" s="1063"/>
      <c r="S3622" s="1063"/>
      <c r="T3622" s="1063"/>
      <c r="U3622" s="1063"/>
      <c r="V3622" s="1063"/>
      <c r="W3622" s="1063"/>
      <c r="X3622" s="1063"/>
      <c r="Y3622" s="1063"/>
      <c r="Z3622" s="1063"/>
      <c r="AA3622" s="1063"/>
      <c r="AB3622" s="1063"/>
      <c r="AC3622" s="1063"/>
      <c r="AD3622" s="1063"/>
      <c r="AE3622" s="1063"/>
      <c r="AF3622" s="1063"/>
      <c r="AG3622" s="1063"/>
      <c r="AH3622" s="1063"/>
      <c r="AI3622" s="1063"/>
      <c r="AJ3622" s="1063"/>
      <c r="AK3622" s="1063"/>
      <c r="AL3622" s="1063"/>
      <c r="AM3622" s="1063"/>
      <c r="AN3622" s="1063"/>
      <c r="AO3622" s="1063"/>
      <c r="AP3622" s="1063"/>
      <c r="AQ3622" s="1063"/>
      <c r="AR3622" s="1063"/>
      <c r="AS3622" s="1063"/>
      <c r="AT3622" s="1063"/>
      <c r="AU3622" s="1063"/>
      <c r="AV3622" s="1063"/>
    </row>
    <row r="3623" spans="1:48" s="1108" customFormat="1" ht="27.75" customHeight="1">
      <c r="A3623" s="1076"/>
      <c r="B3623" s="1074">
        <f>+'[18]Bldg+Dev'!S4435</f>
        <v>0</v>
      </c>
      <c r="D3623" s="1063"/>
      <c r="F3623" s="1076"/>
      <c r="G3623" s="1063"/>
      <c r="H3623" s="1063"/>
      <c r="I3623" s="1063"/>
      <c r="J3623" s="1063"/>
      <c r="K3623" s="1063"/>
      <c r="L3623" s="1063"/>
      <c r="M3623" s="1063"/>
      <c r="N3623" s="1063"/>
      <c r="O3623" s="1063"/>
      <c r="P3623" s="1063"/>
      <c r="Q3623" s="1063"/>
      <c r="R3623" s="1063"/>
      <c r="S3623" s="1063"/>
      <c r="T3623" s="1063"/>
      <c r="U3623" s="1063"/>
      <c r="V3623" s="1063"/>
      <c r="W3623" s="1063"/>
      <c r="X3623" s="1063"/>
      <c r="Y3623" s="1063"/>
      <c r="Z3623" s="1063"/>
      <c r="AA3623" s="1063"/>
      <c r="AB3623" s="1063"/>
      <c r="AC3623" s="1063"/>
      <c r="AD3623" s="1063"/>
      <c r="AE3623" s="1063"/>
      <c r="AF3623" s="1063"/>
      <c r="AG3623" s="1063"/>
      <c r="AH3623" s="1063"/>
      <c r="AI3623" s="1063"/>
      <c r="AJ3623" s="1063"/>
      <c r="AK3623" s="1063"/>
      <c r="AL3623" s="1063"/>
      <c r="AM3623" s="1063"/>
      <c r="AN3623" s="1063"/>
      <c r="AO3623" s="1063"/>
      <c r="AP3623" s="1063"/>
      <c r="AQ3623" s="1063"/>
      <c r="AR3623" s="1063"/>
      <c r="AS3623" s="1063"/>
      <c r="AT3623" s="1063"/>
      <c r="AU3623" s="1063"/>
      <c r="AV3623" s="1063"/>
    </row>
    <row r="3624" spans="1:48" s="1108" customFormat="1" ht="27.75" customHeight="1">
      <c r="A3624" s="1076"/>
      <c r="B3624" s="1074">
        <f>+'[18]Bldg+Dev'!S4436</f>
        <v>0</v>
      </c>
      <c r="D3624" s="1063"/>
      <c r="F3624" s="1076"/>
      <c r="G3624" s="1063"/>
      <c r="H3624" s="1063"/>
      <c r="I3624" s="1063"/>
      <c r="J3624" s="1063"/>
      <c r="K3624" s="1063"/>
      <c r="L3624" s="1063"/>
      <c r="M3624" s="1063"/>
      <c r="N3624" s="1063"/>
      <c r="O3624" s="1063"/>
      <c r="P3624" s="1063"/>
      <c r="Q3624" s="1063"/>
      <c r="R3624" s="1063"/>
      <c r="S3624" s="1063"/>
      <c r="T3624" s="1063"/>
      <c r="U3624" s="1063"/>
      <c r="V3624" s="1063"/>
      <c r="W3624" s="1063"/>
      <c r="X3624" s="1063"/>
      <c r="Y3624" s="1063"/>
      <c r="Z3624" s="1063"/>
      <c r="AA3624" s="1063"/>
      <c r="AB3624" s="1063"/>
      <c r="AC3624" s="1063"/>
      <c r="AD3624" s="1063"/>
      <c r="AE3624" s="1063"/>
      <c r="AF3624" s="1063"/>
      <c r="AG3624" s="1063"/>
      <c r="AH3624" s="1063"/>
      <c r="AI3624" s="1063"/>
      <c r="AJ3624" s="1063"/>
      <c r="AK3624" s="1063"/>
      <c r="AL3624" s="1063"/>
      <c r="AM3624" s="1063"/>
      <c r="AN3624" s="1063"/>
      <c r="AO3624" s="1063"/>
      <c r="AP3624" s="1063"/>
      <c r="AQ3624" s="1063"/>
      <c r="AR3624" s="1063"/>
      <c r="AS3624" s="1063"/>
      <c r="AT3624" s="1063"/>
      <c r="AU3624" s="1063"/>
      <c r="AV3624" s="1063"/>
    </row>
    <row r="3625" spans="1:48" s="1108" customFormat="1" ht="27.75" customHeight="1">
      <c r="A3625" s="1076"/>
      <c r="B3625" s="1074">
        <f>+'[18]Bldg+Dev'!S4437</f>
        <v>0</v>
      </c>
      <c r="D3625" s="1063"/>
      <c r="F3625" s="1076"/>
      <c r="G3625" s="1063"/>
      <c r="H3625" s="1063"/>
      <c r="I3625" s="1063"/>
      <c r="J3625" s="1063"/>
      <c r="K3625" s="1063"/>
      <c r="L3625" s="1063"/>
      <c r="M3625" s="1063"/>
      <c r="N3625" s="1063"/>
      <c r="O3625" s="1063"/>
      <c r="P3625" s="1063"/>
      <c r="Q3625" s="1063"/>
      <c r="R3625" s="1063"/>
      <c r="S3625" s="1063"/>
      <c r="T3625" s="1063"/>
      <c r="U3625" s="1063"/>
      <c r="V3625" s="1063"/>
      <c r="W3625" s="1063"/>
      <c r="X3625" s="1063"/>
      <c r="Y3625" s="1063"/>
      <c r="Z3625" s="1063"/>
      <c r="AA3625" s="1063"/>
      <c r="AB3625" s="1063"/>
      <c r="AC3625" s="1063"/>
      <c r="AD3625" s="1063"/>
      <c r="AE3625" s="1063"/>
      <c r="AF3625" s="1063"/>
      <c r="AG3625" s="1063"/>
      <c r="AH3625" s="1063"/>
      <c r="AI3625" s="1063"/>
      <c r="AJ3625" s="1063"/>
      <c r="AK3625" s="1063"/>
      <c r="AL3625" s="1063"/>
      <c r="AM3625" s="1063"/>
      <c r="AN3625" s="1063"/>
      <c r="AO3625" s="1063"/>
      <c r="AP3625" s="1063"/>
      <c r="AQ3625" s="1063"/>
      <c r="AR3625" s="1063"/>
      <c r="AS3625" s="1063"/>
      <c r="AT3625" s="1063"/>
      <c r="AU3625" s="1063"/>
      <c r="AV3625" s="1063"/>
    </row>
    <row r="3626" spans="1:48" s="1108" customFormat="1" ht="27.75" customHeight="1">
      <c r="A3626" s="1076"/>
      <c r="B3626" s="1074">
        <f>+'[18]Bldg+Dev'!S4438</f>
        <v>0</v>
      </c>
      <c r="D3626" s="1063"/>
      <c r="F3626" s="1076"/>
      <c r="G3626" s="1063"/>
      <c r="H3626" s="1063"/>
      <c r="I3626" s="1063"/>
      <c r="J3626" s="1063"/>
      <c r="K3626" s="1063"/>
      <c r="L3626" s="1063"/>
      <c r="M3626" s="1063"/>
      <c r="N3626" s="1063"/>
      <c r="O3626" s="1063"/>
      <c r="P3626" s="1063"/>
      <c r="Q3626" s="1063"/>
      <c r="R3626" s="1063"/>
      <c r="S3626" s="1063"/>
      <c r="T3626" s="1063"/>
      <c r="U3626" s="1063"/>
      <c r="V3626" s="1063"/>
      <c r="W3626" s="1063"/>
      <c r="X3626" s="1063"/>
      <c r="Y3626" s="1063"/>
      <c r="Z3626" s="1063"/>
      <c r="AA3626" s="1063"/>
      <c r="AB3626" s="1063"/>
      <c r="AC3626" s="1063"/>
      <c r="AD3626" s="1063"/>
      <c r="AE3626" s="1063"/>
      <c r="AF3626" s="1063"/>
      <c r="AG3626" s="1063"/>
      <c r="AH3626" s="1063"/>
      <c r="AI3626" s="1063"/>
      <c r="AJ3626" s="1063"/>
      <c r="AK3626" s="1063"/>
      <c r="AL3626" s="1063"/>
      <c r="AM3626" s="1063"/>
      <c r="AN3626" s="1063"/>
      <c r="AO3626" s="1063"/>
      <c r="AP3626" s="1063"/>
      <c r="AQ3626" s="1063"/>
      <c r="AR3626" s="1063"/>
      <c r="AS3626" s="1063"/>
      <c r="AT3626" s="1063"/>
      <c r="AU3626" s="1063"/>
      <c r="AV3626" s="1063"/>
    </row>
    <row r="3627" spans="1:48" s="1108" customFormat="1" ht="27.75" customHeight="1">
      <c r="A3627" s="1076"/>
      <c r="B3627" s="1074">
        <f>+'[18]Bldg+Dev'!S4439</f>
        <v>0</v>
      </c>
      <c r="D3627" s="1063"/>
      <c r="F3627" s="1076"/>
      <c r="G3627" s="1063"/>
      <c r="H3627" s="1063"/>
      <c r="I3627" s="1063"/>
      <c r="J3627" s="1063"/>
      <c r="K3627" s="1063"/>
      <c r="L3627" s="1063"/>
      <c r="M3627" s="1063"/>
      <c r="N3627" s="1063"/>
      <c r="O3627" s="1063"/>
      <c r="P3627" s="1063"/>
      <c r="Q3627" s="1063"/>
      <c r="R3627" s="1063"/>
      <c r="S3627" s="1063"/>
      <c r="T3627" s="1063"/>
      <c r="U3627" s="1063"/>
      <c r="V3627" s="1063"/>
      <c r="W3627" s="1063"/>
      <c r="X3627" s="1063"/>
      <c r="Y3627" s="1063"/>
      <c r="Z3627" s="1063"/>
      <c r="AA3627" s="1063"/>
      <c r="AB3627" s="1063"/>
      <c r="AC3627" s="1063"/>
      <c r="AD3627" s="1063"/>
      <c r="AE3627" s="1063"/>
      <c r="AF3627" s="1063"/>
      <c r="AG3627" s="1063"/>
      <c r="AH3627" s="1063"/>
      <c r="AI3627" s="1063"/>
      <c r="AJ3627" s="1063"/>
      <c r="AK3627" s="1063"/>
      <c r="AL3627" s="1063"/>
      <c r="AM3627" s="1063"/>
      <c r="AN3627" s="1063"/>
      <c r="AO3627" s="1063"/>
      <c r="AP3627" s="1063"/>
      <c r="AQ3627" s="1063"/>
      <c r="AR3627" s="1063"/>
      <c r="AS3627" s="1063"/>
      <c r="AT3627" s="1063"/>
      <c r="AU3627" s="1063"/>
      <c r="AV3627" s="1063"/>
    </row>
    <row r="3628" spans="1:48" s="1108" customFormat="1" ht="27.75" customHeight="1">
      <c r="A3628" s="1076"/>
      <c r="B3628" s="1074">
        <f>+'[18]Bldg+Dev'!S4440</f>
        <v>0</v>
      </c>
      <c r="D3628" s="1063"/>
      <c r="F3628" s="1076"/>
      <c r="G3628" s="1063"/>
      <c r="H3628" s="1063"/>
      <c r="I3628" s="1063"/>
      <c r="J3628" s="1063"/>
      <c r="K3628" s="1063"/>
      <c r="L3628" s="1063"/>
      <c r="M3628" s="1063"/>
      <c r="N3628" s="1063"/>
      <c r="O3628" s="1063"/>
      <c r="P3628" s="1063"/>
      <c r="Q3628" s="1063"/>
      <c r="R3628" s="1063"/>
      <c r="S3628" s="1063"/>
      <c r="T3628" s="1063"/>
      <c r="U3628" s="1063"/>
      <c r="V3628" s="1063"/>
      <c r="W3628" s="1063"/>
      <c r="X3628" s="1063"/>
      <c r="Y3628" s="1063"/>
      <c r="Z3628" s="1063"/>
      <c r="AA3628" s="1063"/>
      <c r="AB3628" s="1063"/>
      <c r="AC3628" s="1063"/>
      <c r="AD3628" s="1063"/>
      <c r="AE3628" s="1063"/>
      <c r="AF3628" s="1063"/>
      <c r="AG3628" s="1063"/>
      <c r="AH3628" s="1063"/>
      <c r="AI3628" s="1063"/>
      <c r="AJ3628" s="1063"/>
      <c r="AK3628" s="1063"/>
      <c r="AL3628" s="1063"/>
      <c r="AM3628" s="1063"/>
      <c r="AN3628" s="1063"/>
      <c r="AO3628" s="1063"/>
      <c r="AP3628" s="1063"/>
      <c r="AQ3628" s="1063"/>
      <c r="AR3628" s="1063"/>
      <c r="AS3628" s="1063"/>
      <c r="AT3628" s="1063"/>
      <c r="AU3628" s="1063"/>
      <c r="AV3628" s="1063"/>
    </row>
    <row r="3629" spans="1:48" s="1108" customFormat="1" ht="27.75" customHeight="1">
      <c r="A3629" s="1076"/>
      <c r="B3629" s="1074">
        <f>+'[18]Bldg+Dev'!S4441</f>
        <v>0</v>
      </c>
      <c r="D3629" s="1063"/>
      <c r="F3629" s="1076"/>
      <c r="G3629" s="1063"/>
      <c r="H3629" s="1063"/>
      <c r="I3629" s="1063"/>
      <c r="J3629" s="1063"/>
      <c r="K3629" s="1063"/>
      <c r="L3629" s="1063"/>
      <c r="M3629" s="1063"/>
      <c r="N3629" s="1063"/>
      <c r="O3629" s="1063"/>
      <c r="P3629" s="1063"/>
      <c r="Q3629" s="1063"/>
      <c r="R3629" s="1063"/>
      <c r="S3629" s="1063"/>
      <c r="T3629" s="1063"/>
      <c r="U3629" s="1063"/>
      <c r="V3629" s="1063"/>
      <c r="W3629" s="1063"/>
      <c r="X3629" s="1063"/>
      <c r="Y3629" s="1063"/>
      <c r="Z3629" s="1063"/>
      <c r="AA3629" s="1063"/>
      <c r="AB3629" s="1063"/>
      <c r="AC3629" s="1063"/>
      <c r="AD3629" s="1063"/>
      <c r="AE3629" s="1063"/>
      <c r="AF3629" s="1063"/>
      <c r="AG3629" s="1063"/>
      <c r="AH3629" s="1063"/>
      <c r="AI3629" s="1063"/>
      <c r="AJ3629" s="1063"/>
      <c r="AK3629" s="1063"/>
      <c r="AL3629" s="1063"/>
      <c r="AM3629" s="1063"/>
      <c r="AN3629" s="1063"/>
      <c r="AO3629" s="1063"/>
      <c r="AP3629" s="1063"/>
      <c r="AQ3629" s="1063"/>
      <c r="AR3629" s="1063"/>
      <c r="AS3629" s="1063"/>
      <c r="AT3629" s="1063"/>
      <c r="AU3629" s="1063"/>
      <c r="AV3629" s="1063"/>
    </row>
    <row r="3630" spans="1:48" s="1108" customFormat="1" ht="27.75" customHeight="1">
      <c r="A3630" s="1076"/>
      <c r="B3630" s="1074">
        <f>+'[18]Bldg+Dev'!S4442</f>
        <v>0</v>
      </c>
      <c r="D3630" s="1063"/>
      <c r="F3630" s="1076"/>
      <c r="G3630" s="1063"/>
      <c r="H3630" s="1063"/>
      <c r="I3630" s="1063"/>
      <c r="J3630" s="1063"/>
      <c r="K3630" s="1063"/>
      <c r="L3630" s="1063"/>
      <c r="M3630" s="1063"/>
      <c r="N3630" s="1063"/>
      <c r="O3630" s="1063"/>
      <c r="P3630" s="1063"/>
      <c r="Q3630" s="1063"/>
      <c r="R3630" s="1063"/>
      <c r="S3630" s="1063"/>
      <c r="T3630" s="1063"/>
      <c r="U3630" s="1063"/>
      <c r="V3630" s="1063"/>
      <c r="W3630" s="1063"/>
      <c r="X3630" s="1063"/>
      <c r="Y3630" s="1063"/>
      <c r="Z3630" s="1063"/>
      <c r="AA3630" s="1063"/>
      <c r="AB3630" s="1063"/>
      <c r="AC3630" s="1063"/>
      <c r="AD3630" s="1063"/>
      <c r="AE3630" s="1063"/>
      <c r="AF3630" s="1063"/>
      <c r="AG3630" s="1063"/>
      <c r="AH3630" s="1063"/>
      <c r="AI3630" s="1063"/>
      <c r="AJ3630" s="1063"/>
      <c r="AK3630" s="1063"/>
      <c r="AL3630" s="1063"/>
      <c r="AM3630" s="1063"/>
      <c r="AN3630" s="1063"/>
      <c r="AO3630" s="1063"/>
      <c r="AP3630" s="1063"/>
      <c r="AQ3630" s="1063"/>
      <c r="AR3630" s="1063"/>
      <c r="AS3630" s="1063"/>
      <c r="AT3630" s="1063"/>
      <c r="AU3630" s="1063"/>
      <c r="AV3630" s="1063"/>
    </row>
    <row r="3631" spans="1:48" s="1108" customFormat="1" ht="27.75" customHeight="1">
      <c r="A3631" s="1076"/>
      <c r="B3631" s="1074">
        <f>+'[18]Bldg+Dev'!S4443</f>
        <v>0</v>
      </c>
      <c r="D3631" s="1063"/>
      <c r="F3631" s="1076"/>
      <c r="G3631" s="1063"/>
      <c r="H3631" s="1063"/>
      <c r="I3631" s="1063"/>
      <c r="J3631" s="1063"/>
      <c r="K3631" s="1063"/>
      <c r="L3631" s="1063"/>
      <c r="M3631" s="1063"/>
      <c r="N3631" s="1063"/>
      <c r="O3631" s="1063"/>
      <c r="P3631" s="1063"/>
      <c r="Q3631" s="1063"/>
      <c r="R3631" s="1063"/>
      <c r="S3631" s="1063"/>
      <c r="T3631" s="1063"/>
      <c r="U3631" s="1063"/>
      <c r="V3631" s="1063"/>
      <c r="W3631" s="1063"/>
      <c r="X3631" s="1063"/>
      <c r="Y3631" s="1063"/>
      <c r="Z3631" s="1063"/>
      <c r="AA3631" s="1063"/>
      <c r="AB3631" s="1063"/>
      <c r="AC3631" s="1063"/>
      <c r="AD3631" s="1063"/>
      <c r="AE3631" s="1063"/>
      <c r="AF3631" s="1063"/>
      <c r="AG3631" s="1063"/>
      <c r="AH3631" s="1063"/>
      <c r="AI3631" s="1063"/>
      <c r="AJ3631" s="1063"/>
      <c r="AK3631" s="1063"/>
      <c r="AL3631" s="1063"/>
      <c r="AM3631" s="1063"/>
      <c r="AN3631" s="1063"/>
      <c r="AO3631" s="1063"/>
      <c r="AP3631" s="1063"/>
      <c r="AQ3631" s="1063"/>
      <c r="AR3631" s="1063"/>
      <c r="AS3631" s="1063"/>
      <c r="AT3631" s="1063"/>
      <c r="AU3631" s="1063"/>
      <c r="AV3631" s="1063"/>
    </row>
    <row r="3632" spans="1:48" s="1108" customFormat="1" ht="27.75" customHeight="1">
      <c r="A3632" s="1076"/>
      <c r="B3632" s="1074">
        <f>+'[18]Bldg+Dev'!S4444</f>
        <v>0</v>
      </c>
      <c r="D3632" s="1063"/>
      <c r="F3632" s="1076"/>
      <c r="G3632" s="1063"/>
      <c r="H3632" s="1063"/>
      <c r="I3632" s="1063"/>
      <c r="J3632" s="1063"/>
      <c r="K3632" s="1063"/>
      <c r="L3632" s="1063"/>
      <c r="M3632" s="1063"/>
      <c r="N3632" s="1063"/>
      <c r="O3632" s="1063"/>
      <c r="P3632" s="1063"/>
      <c r="Q3632" s="1063"/>
      <c r="R3632" s="1063"/>
      <c r="S3632" s="1063"/>
      <c r="T3632" s="1063"/>
      <c r="U3632" s="1063"/>
      <c r="V3632" s="1063"/>
      <c r="W3632" s="1063"/>
      <c r="X3632" s="1063"/>
      <c r="Y3632" s="1063"/>
      <c r="Z3632" s="1063"/>
      <c r="AA3632" s="1063"/>
      <c r="AB3632" s="1063"/>
      <c r="AC3632" s="1063"/>
      <c r="AD3632" s="1063"/>
      <c r="AE3632" s="1063"/>
      <c r="AF3632" s="1063"/>
      <c r="AG3632" s="1063"/>
      <c r="AH3632" s="1063"/>
      <c r="AI3632" s="1063"/>
      <c r="AJ3632" s="1063"/>
      <c r="AK3632" s="1063"/>
      <c r="AL3632" s="1063"/>
      <c r="AM3632" s="1063"/>
      <c r="AN3632" s="1063"/>
      <c r="AO3632" s="1063"/>
      <c r="AP3632" s="1063"/>
      <c r="AQ3632" s="1063"/>
      <c r="AR3632" s="1063"/>
      <c r="AS3632" s="1063"/>
      <c r="AT3632" s="1063"/>
      <c r="AU3632" s="1063"/>
      <c r="AV3632" s="1063"/>
    </row>
    <row r="3633" spans="1:48" s="1108" customFormat="1" ht="27.75" customHeight="1">
      <c r="A3633" s="1076"/>
      <c r="B3633" s="1074">
        <f>+'[18]Bldg+Dev'!S4445</f>
        <v>0</v>
      </c>
      <c r="D3633" s="1063"/>
      <c r="F3633" s="1076"/>
      <c r="G3633" s="1063"/>
      <c r="H3633" s="1063"/>
      <c r="I3633" s="1063"/>
      <c r="J3633" s="1063"/>
      <c r="K3633" s="1063"/>
      <c r="L3633" s="1063"/>
      <c r="M3633" s="1063"/>
      <c r="N3633" s="1063"/>
      <c r="O3633" s="1063"/>
      <c r="P3633" s="1063"/>
      <c r="Q3633" s="1063"/>
      <c r="R3633" s="1063"/>
      <c r="S3633" s="1063"/>
      <c r="T3633" s="1063"/>
      <c r="U3633" s="1063"/>
      <c r="V3633" s="1063"/>
      <c r="W3633" s="1063"/>
      <c r="X3633" s="1063"/>
      <c r="Y3633" s="1063"/>
      <c r="Z3633" s="1063"/>
      <c r="AA3633" s="1063"/>
      <c r="AB3633" s="1063"/>
      <c r="AC3633" s="1063"/>
      <c r="AD3633" s="1063"/>
      <c r="AE3633" s="1063"/>
      <c r="AF3633" s="1063"/>
      <c r="AG3633" s="1063"/>
      <c r="AH3633" s="1063"/>
      <c r="AI3633" s="1063"/>
      <c r="AJ3633" s="1063"/>
      <c r="AK3633" s="1063"/>
      <c r="AL3633" s="1063"/>
      <c r="AM3633" s="1063"/>
      <c r="AN3633" s="1063"/>
      <c r="AO3633" s="1063"/>
      <c r="AP3633" s="1063"/>
      <c r="AQ3633" s="1063"/>
      <c r="AR3633" s="1063"/>
      <c r="AS3633" s="1063"/>
      <c r="AT3633" s="1063"/>
      <c r="AU3633" s="1063"/>
      <c r="AV3633" s="1063"/>
    </row>
    <row r="3634" spans="1:48" s="1108" customFormat="1" ht="27.75" customHeight="1">
      <c r="A3634" s="1076"/>
      <c r="B3634" s="1074">
        <f>+'[18]Bldg+Dev'!S4446</f>
        <v>0</v>
      </c>
      <c r="D3634" s="1063"/>
      <c r="F3634" s="1076"/>
      <c r="G3634" s="1063"/>
      <c r="H3634" s="1063"/>
      <c r="I3634" s="1063"/>
      <c r="J3634" s="1063"/>
      <c r="K3634" s="1063"/>
      <c r="L3634" s="1063"/>
      <c r="M3634" s="1063"/>
      <c r="N3634" s="1063"/>
      <c r="O3634" s="1063"/>
      <c r="P3634" s="1063"/>
      <c r="Q3634" s="1063"/>
      <c r="R3634" s="1063"/>
      <c r="S3634" s="1063"/>
      <c r="T3634" s="1063"/>
      <c r="U3634" s="1063"/>
      <c r="V3634" s="1063"/>
      <c r="W3634" s="1063"/>
      <c r="X3634" s="1063"/>
      <c r="Y3634" s="1063"/>
      <c r="Z3634" s="1063"/>
      <c r="AA3634" s="1063"/>
      <c r="AB3634" s="1063"/>
      <c r="AC3634" s="1063"/>
      <c r="AD3634" s="1063"/>
      <c r="AE3634" s="1063"/>
      <c r="AF3634" s="1063"/>
      <c r="AG3634" s="1063"/>
      <c r="AH3634" s="1063"/>
      <c r="AI3634" s="1063"/>
      <c r="AJ3634" s="1063"/>
      <c r="AK3634" s="1063"/>
      <c r="AL3634" s="1063"/>
      <c r="AM3634" s="1063"/>
      <c r="AN3634" s="1063"/>
      <c r="AO3634" s="1063"/>
      <c r="AP3634" s="1063"/>
      <c r="AQ3634" s="1063"/>
      <c r="AR3634" s="1063"/>
      <c r="AS3634" s="1063"/>
      <c r="AT3634" s="1063"/>
      <c r="AU3634" s="1063"/>
      <c r="AV3634" s="1063"/>
    </row>
    <row r="3635" spans="1:48" s="1108" customFormat="1" ht="27.75" customHeight="1">
      <c r="A3635" s="1076"/>
      <c r="B3635" s="1074">
        <f>+'[18]Bldg+Dev'!S4447</f>
        <v>0</v>
      </c>
      <c r="D3635" s="1063"/>
      <c r="F3635" s="1076"/>
      <c r="G3635" s="1063"/>
      <c r="H3635" s="1063"/>
      <c r="I3635" s="1063"/>
      <c r="J3635" s="1063"/>
      <c r="K3635" s="1063"/>
      <c r="L3635" s="1063"/>
      <c r="M3635" s="1063"/>
      <c r="N3635" s="1063"/>
      <c r="O3635" s="1063"/>
      <c r="P3635" s="1063"/>
      <c r="Q3635" s="1063"/>
      <c r="R3635" s="1063"/>
      <c r="S3635" s="1063"/>
      <c r="T3635" s="1063"/>
      <c r="U3635" s="1063"/>
      <c r="V3635" s="1063"/>
      <c r="W3635" s="1063"/>
      <c r="X3635" s="1063"/>
      <c r="Y3635" s="1063"/>
      <c r="Z3635" s="1063"/>
      <c r="AA3635" s="1063"/>
      <c r="AB3635" s="1063"/>
      <c r="AC3635" s="1063"/>
      <c r="AD3635" s="1063"/>
      <c r="AE3635" s="1063"/>
      <c r="AF3635" s="1063"/>
      <c r="AG3635" s="1063"/>
      <c r="AH3635" s="1063"/>
      <c r="AI3635" s="1063"/>
      <c r="AJ3635" s="1063"/>
      <c r="AK3635" s="1063"/>
      <c r="AL3635" s="1063"/>
      <c r="AM3635" s="1063"/>
      <c r="AN3635" s="1063"/>
      <c r="AO3635" s="1063"/>
      <c r="AP3635" s="1063"/>
      <c r="AQ3635" s="1063"/>
      <c r="AR3635" s="1063"/>
      <c r="AS3635" s="1063"/>
      <c r="AT3635" s="1063"/>
      <c r="AU3635" s="1063"/>
      <c r="AV3635" s="1063"/>
    </row>
    <row r="3636" spans="1:48" s="1108" customFormat="1" ht="27.75" customHeight="1">
      <c r="A3636" s="1076"/>
      <c r="B3636" s="1074">
        <f>+'[18]Bldg+Dev'!S4448</f>
        <v>0</v>
      </c>
      <c r="D3636" s="1063"/>
      <c r="F3636" s="1076"/>
      <c r="G3636" s="1063"/>
      <c r="H3636" s="1063"/>
      <c r="I3636" s="1063"/>
      <c r="J3636" s="1063"/>
      <c r="K3636" s="1063"/>
      <c r="L3636" s="1063"/>
      <c r="M3636" s="1063"/>
      <c r="N3636" s="1063"/>
      <c r="O3636" s="1063"/>
      <c r="P3636" s="1063"/>
      <c r="Q3636" s="1063"/>
      <c r="R3636" s="1063"/>
      <c r="S3636" s="1063"/>
      <c r="T3636" s="1063"/>
      <c r="U3636" s="1063"/>
      <c r="V3636" s="1063"/>
      <c r="W3636" s="1063"/>
      <c r="X3636" s="1063"/>
      <c r="Y3636" s="1063"/>
      <c r="Z3636" s="1063"/>
      <c r="AA3636" s="1063"/>
      <c r="AB3636" s="1063"/>
      <c r="AC3636" s="1063"/>
      <c r="AD3636" s="1063"/>
      <c r="AE3636" s="1063"/>
      <c r="AF3636" s="1063"/>
      <c r="AG3636" s="1063"/>
      <c r="AH3636" s="1063"/>
      <c r="AI3636" s="1063"/>
      <c r="AJ3636" s="1063"/>
      <c r="AK3636" s="1063"/>
      <c r="AL3636" s="1063"/>
      <c r="AM3636" s="1063"/>
      <c r="AN3636" s="1063"/>
      <c r="AO3636" s="1063"/>
      <c r="AP3636" s="1063"/>
      <c r="AQ3636" s="1063"/>
      <c r="AR3636" s="1063"/>
      <c r="AS3636" s="1063"/>
      <c r="AT3636" s="1063"/>
      <c r="AU3636" s="1063"/>
      <c r="AV3636" s="1063"/>
    </row>
    <row r="3637" spans="1:48" s="1108" customFormat="1" ht="27.75" customHeight="1">
      <c r="A3637" s="1076"/>
      <c r="B3637" s="1074">
        <f>+'[18]Bldg+Dev'!S4449</f>
        <v>0</v>
      </c>
      <c r="D3637" s="1063"/>
      <c r="F3637" s="1076"/>
      <c r="G3637" s="1063"/>
      <c r="H3637" s="1063"/>
      <c r="I3637" s="1063"/>
      <c r="J3637" s="1063"/>
      <c r="K3637" s="1063"/>
      <c r="L3637" s="1063"/>
      <c r="M3637" s="1063"/>
      <c r="N3637" s="1063"/>
      <c r="O3637" s="1063"/>
      <c r="P3637" s="1063"/>
      <c r="Q3637" s="1063"/>
      <c r="R3637" s="1063"/>
      <c r="S3637" s="1063"/>
      <c r="T3637" s="1063"/>
      <c r="U3637" s="1063"/>
      <c r="V3637" s="1063"/>
      <c r="W3637" s="1063"/>
      <c r="X3637" s="1063"/>
      <c r="Y3637" s="1063"/>
      <c r="Z3637" s="1063"/>
      <c r="AA3637" s="1063"/>
      <c r="AB3637" s="1063"/>
      <c r="AC3637" s="1063"/>
      <c r="AD3637" s="1063"/>
      <c r="AE3637" s="1063"/>
      <c r="AF3637" s="1063"/>
      <c r="AG3637" s="1063"/>
      <c r="AH3637" s="1063"/>
      <c r="AI3637" s="1063"/>
      <c r="AJ3637" s="1063"/>
      <c r="AK3637" s="1063"/>
      <c r="AL3637" s="1063"/>
      <c r="AM3637" s="1063"/>
      <c r="AN3637" s="1063"/>
      <c r="AO3637" s="1063"/>
      <c r="AP3637" s="1063"/>
      <c r="AQ3637" s="1063"/>
      <c r="AR3637" s="1063"/>
      <c r="AS3637" s="1063"/>
      <c r="AT3637" s="1063"/>
      <c r="AU3637" s="1063"/>
      <c r="AV3637" s="1063"/>
    </row>
    <row r="3638" spans="1:48" s="1108" customFormat="1" ht="27.75" customHeight="1">
      <c r="A3638" s="1076"/>
      <c r="B3638" s="1074">
        <f>+'[18]Bldg+Dev'!S4450</f>
        <v>0</v>
      </c>
      <c r="D3638" s="1063"/>
      <c r="F3638" s="1076"/>
      <c r="G3638" s="1063"/>
      <c r="H3638" s="1063"/>
      <c r="I3638" s="1063"/>
      <c r="J3638" s="1063"/>
      <c r="K3638" s="1063"/>
      <c r="L3638" s="1063"/>
      <c r="M3638" s="1063"/>
      <c r="N3638" s="1063"/>
      <c r="O3638" s="1063"/>
      <c r="P3638" s="1063"/>
      <c r="Q3638" s="1063"/>
      <c r="R3638" s="1063"/>
      <c r="S3638" s="1063"/>
      <c r="T3638" s="1063"/>
      <c r="U3638" s="1063"/>
      <c r="V3638" s="1063"/>
      <c r="W3638" s="1063"/>
      <c r="X3638" s="1063"/>
      <c r="Y3638" s="1063"/>
      <c r="Z3638" s="1063"/>
      <c r="AA3638" s="1063"/>
      <c r="AB3638" s="1063"/>
      <c r="AC3638" s="1063"/>
      <c r="AD3638" s="1063"/>
      <c r="AE3638" s="1063"/>
      <c r="AF3638" s="1063"/>
      <c r="AG3638" s="1063"/>
      <c r="AH3638" s="1063"/>
      <c r="AI3638" s="1063"/>
      <c r="AJ3638" s="1063"/>
      <c r="AK3638" s="1063"/>
      <c r="AL3638" s="1063"/>
      <c r="AM3638" s="1063"/>
      <c r="AN3638" s="1063"/>
      <c r="AO3638" s="1063"/>
      <c r="AP3638" s="1063"/>
      <c r="AQ3638" s="1063"/>
      <c r="AR3638" s="1063"/>
      <c r="AS3638" s="1063"/>
      <c r="AT3638" s="1063"/>
      <c r="AU3638" s="1063"/>
      <c r="AV3638" s="1063"/>
    </row>
    <row r="3639" spans="1:48" s="1108" customFormat="1" ht="27.75" customHeight="1">
      <c r="A3639" s="1076"/>
      <c r="B3639" s="1074">
        <f>+'[18]Bldg+Dev'!S4451</f>
        <v>0</v>
      </c>
      <c r="D3639" s="1063"/>
      <c r="F3639" s="1076"/>
      <c r="G3639" s="1063"/>
      <c r="H3639" s="1063"/>
      <c r="I3639" s="1063"/>
      <c r="J3639" s="1063"/>
      <c r="K3639" s="1063"/>
      <c r="L3639" s="1063"/>
      <c r="M3639" s="1063"/>
      <c r="N3639" s="1063"/>
      <c r="O3639" s="1063"/>
      <c r="P3639" s="1063"/>
      <c r="Q3639" s="1063"/>
      <c r="R3639" s="1063"/>
      <c r="S3639" s="1063"/>
      <c r="T3639" s="1063"/>
      <c r="U3639" s="1063"/>
      <c r="V3639" s="1063"/>
      <c r="W3639" s="1063"/>
      <c r="X3639" s="1063"/>
      <c r="Y3639" s="1063"/>
      <c r="Z3639" s="1063"/>
      <c r="AA3639" s="1063"/>
      <c r="AB3639" s="1063"/>
      <c r="AC3639" s="1063"/>
      <c r="AD3639" s="1063"/>
      <c r="AE3639" s="1063"/>
      <c r="AF3639" s="1063"/>
      <c r="AG3639" s="1063"/>
      <c r="AH3639" s="1063"/>
      <c r="AI3639" s="1063"/>
      <c r="AJ3639" s="1063"/>
      <c r="AK3639" s="1063"/>
      <c r="AL3639" s="1063"/>
      <c r="AM3639" s="1063"/>
      <c r="AN3639" s="1063"/>
      <c r="AO3639" s="1063"/>
      <c r="AP3639" s="1063"/>
      <c r="AQ3639" s="1063"/>
      <c r="AR3639" s="1063"/>
      <c r="AS3639" s="1063"/>
      <c r="AT3639" s="1063"/>
      <c r="AU3639" s="1063"/>
      <c r="AV3639" s="1063"/>
    </row>
    <row r="3640" spans="1:48" s="1108" customFormat="1" ht="27.75" customHeight="1">
      <c r="A3640" s="1076"/>
      <c r="B3640" s="1074">
        <f>+'[18]Bldg+Dev'!S4452</f>
        <v>0</v>
      </c>
      <c r="D3640" s="1063"/>
      <c r="F3640" s="1076"/>
      <c r="G3640" s="1063"/>
      <c r="H3640" s="1063"/>
      <c r="I3640" s="1063"/>
      <c r="J3640" s="1063"/>
      <c r="K3640" s="1063"/>
      <c r="L3640" s="1063"/>
      <c r="M3640" s="1063"/>
      <c r="N3640" s="1063"/>
      <c r="O3640" s="1063"/>
      <c r="P3640" s="1063"/>
      <c r="Q3640" s="1063"/>
      <c r="R3640" s="1063"/>
      <c r="S3640" s="1063"/>
      <c r="T3640" s="1063"/>
      <c r="U3640" s="1063"/>
      <c r="V3640" s="1063"/>
      <c r="W3640" s="1063"/>
      <c r="X3640" s="1063"/>
      <c r="Y3640" s="1063"/>
      <c r="Z3640" s="1063"/>
      <c r="AA3640" s="1063"/>
      <c r="AB3640" s="1063"/>
      <c r="AC3640" s="1063"/>
      <c r="AD3640" s="1063"/>
      <c r="AE3640" s="1063"/>
      <c r="AF3640" s="1063"/>
      <c r="AG3640" s="1063"/>
      <c r="AH3640" s="1063"/>
      <c r="AI3640" s="1063"/>
      <c r="AJ3640" s="1063"/>
      <c r="AK3640" s="1063"/>
      <c r="AL3640" s="1063"/>
      <c r="AM3640" s="1063"/>
      <c r="AN3640" s="1063"/>
      <c r="AO3640" s="1063"/>
      <c r="AP3640" s="1063"/>
      <c r="AQ3640" s="1063"/>
      <c r="AR3640" s="1063"/>
      <c r="AS3640" s="1063"/>
      <c r="AT3640" s="1063"/>
      <c r="AU3640" s="1063"/>
      <c r="AV3640" s="1063"/>
    </row>
    <row r="3641" spans="1:48" s="1108" customFormat="1" ht="27.75" customHeight="1">
      <c r="A3641" s="1076"/>
      <c r="B3641" s="1074">
        <f>+'[18]Bldg+Dev'!S4453</f>
        <v>0</v>
      </c>
      <c r="D3641" s="1063"/>
      <c r="F3641" s="1076"/>
      <c r="G3641" s="1063"/>
      <c r="H3641" s="1063"/>
      <c r="I3641" s="1063"/>
      <c r="J3641" s="1063"/>
      <c r="K3641" s="1063"/>
      <c r="L3641" s="1063"/>
      <c r="M3641" s="1063"/>
      <c r="N3641" s="1063"/>
      <c r="O3641" s="1063"/>
      <c r="P3641" s="1063"/>
      <c r="Q3641" s="1063"/>
      <c r="R3641" s="1063"/>
      <c r="S3641" s="1063"/>
      <c r="T3641" s="1063"/>
      <c r="U3641" s="1063"/>
      <c r="V3641" s="1063"/>
      <c r="W3641" s="1063"/>
      <c r="X3641" s="1063"/>
      <c r="Y3641" s="1063"/>
      <c r="Z3641" s="1063"/>
      <c r="AA3641" s="1063"/>
      <c r="AB3641" s="1063"/>
      <c r="AC3641" s="1063"/>
      <c r="AD3641" s="1063"/>
      <c r="AE3641" s="1063"/>
      <c r="AF3641" s="1063"/>
      <c r="AG3641" s="1063"/>
      <c r="AH3641" s="1063"/>
      <c r="AI3641" s="1063"/>
      <c r="AJ3641" s="1063"/>
      <c r="AK3641" s="1063"/>
      <c r="AL3641" s="1063"/>
      <c r="AM3641" s="1063"/>
      <c r="AN3641" s="1063"/>
      <c r="AO3641" s="1063"/>
      <c r="AP3641" s="1063"/>
      <c r="AQ3641" s="1063"/>
      <c r="AR3641" s="1063"/>
      <c r="AS3641" s="1063"/>
      <c r="AT3641" s="1063"/>
      <c r="AU3641" s="1063"/>
      <c r="AV3641" s="1063"/>
    </row>
    <row r="3642" spans="1:48" s="1108" customFormat="1" ht="27.75" customHeight="1">
      <c r="A3642" s="1076"/>
      <c r="B3642" s="1074">
        <f>+'[18]Bldg+Dev'!S4454</f>
        <v>0</v>
      </c>
      <c r="D3642" s="1063"/>
      <c r="F3642" s="1076"/>
      <c r="G3642" s="1063"/>
      <c r="H3642" s="1063"/>
      <c r="I3642" s="1063"/>
      <c r="J3642" s="1063"/>
      <c r="K3642" s="1063"/>
      <c r="L3642" s="1063"/>
      <c r="M3642" s="1063"/>
      <c r="N3642" s="1063"/>
      <c r="O3642" s="1063"/>
      <c r="P3642" s="1063"/>
      <c r="Q3642" s="1063"/>
      <c r="R3642" s="1063"/>
      <c r="S3642" s="1063"/>
      <c r="T3642" s="1063"/>
      <c r="U3642" s="1063"/>
      <c r="V3642" s="1063"/>
      <c r="W3642" s="1063"/>
      <c r="X3642" s="1063"/>
      <c r="Y3642" s="1063"/>
      <c r="Z3642" s="1063"/>
      <c r="AA3642" s="1063"/>
      <c r="AB3642" s="1063"/>
      <c r="AC3642" s="1063"/>
      <c r="AD3642" s="1063"/>
      <c r="AE3642" s="1063"/>
      <c r="AF3642" s="1063"/>
      <c r="AG3642" s="1063"/>
      <c r="AH3642" s="1063"/>
      <c r="AI3642" s="1063"/>
      <c r="AJ3642" s="1063"/>
      <c r="AK3642" s="1063"/>
      <c r="AL3642" s="1063"/>
      <c r="AM3642" s="1063"/>
      <c r="AN3642" s="1063"/>
      <c r="AO3642" s="1063"/>
      <c r="AP3642" s="1063"/>
      <c r="AQ3642" s="1063"/>
      <c r="AR3642" s="1063"/>
      <c r="AS3642" s="1063"/>
      <c r="AT3642" s="1063"/>
      <c r="AU3642" s="1063"/>
      <c r="AV3642" s="1063"/>
    </row>
    <row r="3643" spans="1:48" s="1108" customFormat="1" ht="27.75" customHeight="1">
      <c r="A3643" s="1076"/>
      <c r="B3643" s="1074">
        <f>+'[18]Bldg+Dev'!S4455</f>
        <v>0</v>
      </c>
      <c r="D3643" s="1063"/>
      <c r="F3643" s="1076"/>
      <c r="G3643" s="1063"/>
      <c r="H3643" s="1063"/>
      <c r="I3643" s="1063"/>
      <c r="J3643" s="1063"/>
      <c r="K3643" s="1063"/>
      <c r="L3643" s="1063"/>
      <c r="M3643" s="1063"/>
      <c r="N3643" s="1063"/>
      <c r="O3643" s="1063"/>
      <c r="P3643" s="1063"/>
      <c r="Q3643" s="1063"/>
      <c r="R3643" s="1063"/>
      <c r="S3643" s="1063"/>
      <c r="T3643" s="1063"/>
      <c r="U3643" s="1063"/>
      <c r="V3643" s="1063"/>
      <c r="W3643" s="1063"/>
      <c r="X3643" s="1063"/>
      <c r="Y3643" s="1063"/>
      <c r="Z3643" s="1063"/>
      <c r="AA3643" s="1063"/>
      <c r="AB3643" s="1063"/>
      <c r="AC3643" s="1063"/>
      <c r="AD3643" s="1063"/>
      <c r="AE3643" s="1063"/>
      <c r="AF3643" s="1063"/>
      <c r="AG3643" s="1063"/>
      <c r="AH3643" s="1063"/>
      <c r="AI3643" s="1063"/>
      <c r="AJ3643" s="1063"/>
      <c r="AK3643" s="1063"/>
      <c r="AL3643" s="1063"/>
      <c r="AM3643" s="1063"/>
      <c r="AN3643" s="1063"/>
      <c r="AO3643" s="1063"/>
      <c r="AP3643" s="1063"/>
      <c r="AQ3643" s="1063"/>
      <c r="AR3643" s="1063"/>
      <c r="AS3643" s="1063"/>
      <c r="AT3643" s="1063"/>
      <c r="AU3643" s="1063"/>
      <c r="AV3643" s="1063"/>
    </row>
    <row r="3644" spans="1:48" s="1108" customFormat="1" ht="27.75" customHeight="1">
      <c r="A3644" s="1076"/>
      <c r="B3644" s="1074">
        <f>+'[18]Bldg+Dev'!S4456</f>
        <v>0</v>
      </c>
      <c r="D3644" s="1063"/>
      <c r="F3644" s="1076"/>
      <c r="G3644" s="1063"/>
      <c r="H3644" s="1063"/>
      <c r="I3644" s="1063"/>
      <c r="J3644" s="1063"/>
      <c r="K3644" s="1063"/>
      <c r="L3644" s="1063"/>
      <c r="M3644" s="1063"/>
      <c r="N3644" s="1063"/>
      <c r="O3644" s="1063"/>
      <c r="P3644" s="1063"/>
      <c r="Q3644" s="1063"/>
      <c r="R3644" s="1063"/>
      <c r="S3644" s="1063"/>
      <c r="T3644" s="1063"/>
      <c r="U3644" s="1063"/>
      <c r="V3644" s="1063"/>
      <c r="W3644" s="1063"/>
      <c r="X3644" s="1063"/>
      <c r="Y3644" s="1063"/>
      <c r="Z3644" s="1063"/>
      <c r="AA3644" s="1063"/>
      <c r="AB3644" s="1063"/>
      <c r="AC3644" s="1063"/>
      <c r="AD3644" s="1063"/>
      <c r="AE3644" s="1063"/>
      <c r="AF3644" s="1063"/>
      <c r="AG3644" s="1063"/>
      <c r="AH3644" s="1063"/>
      <c r="AI3644" s="1063"/>
      <c r="AJ3644" s="1063"/>
      <c r="AK3644" s="1063"/>
      <c r="AL3644" s="1063"/>
      <c r="AM3644" s="1063"/>
      <c r="AN3644" s="1063"/>
      <c r="AO3644" s="1063"/>
      <c r="AP3644" s="1063"/>
      <c r="AQ3644" s="1063"/>
      <c r="AR3644" s="1063"/>
      <c r="AS3644" s="1063"/>
      <c r="AT3644" s="1063"/>
      <c r="AU3644" s="1063"/>
      <c r="AV3644" s="1063"/>
    </row>
    <row r="3645" spans="1:48" s="1108" customFormat="1" ht="27.75" customHeight="1">
      <c r="A3645" s="1076"/>
      <c r="B3645" s="1074">
        <f>+'[18]Bldg+Dev'!S4457</f>
        <v>0</v>
      </c>
      <c r="D3645" s="1063"/>
      <c r="F3645" s="1076"/>
      <c r="G3645" s="1063"/>
      <c r="H3645" s="1063"/>
      <c r="I3645" s="1063"/>
      <c r="J3645" s="1063"/>
      <c r="K3645" s="1063"/>
      <c r="L3645" s="1063"/>
      <c r="M3645" s="1063"/>
      <c r="N3645" s="1063"/>
      <c r="O3645" s="1063"/>
      <c r="P3645" s="1063"/>
      <c r="Q3645" s="1063"/>
      <c r="R3645" s="1063"/>
      <c r="S3645" s="1063"/>
      <c r="T3645" s="1063"/>
      <c r="U3645" s="1063"/>
      <c r="V3645" s="1063"/>
      <c r="W3645" s="1063"/>
      <c r="X3645" s="1063"/>
      <c r="Y3645" s="1063"/>
      <c r="Z3645" s="1063"/>
      <c r="AA3645" s="1063"/>
      <c r="AB3645" s="1063"/>
      <c r="AC3645" s="1063"/>
      <c r="AD3645" s="1063"/>
      <c r="AE3645" s="1063"/>
      <c r="AF3645" s="1063"/>
      <c r="AG3645" s="1063"/>
      <c r="AH3645" s="1063"/>
      <c r="AI3645" s="1063"/>
      <c r="AJ3645" s="1063"/>
      <c r="AK3645" s="1063"/>
      <c r="AL3645" s="1063"/>
      <c r="AM3645" s="1063"/>
      <c r="AN3645" s="1063"/>
      <c r="AO3645" s="1063"/>
      <c r="AP3645" s="1063"/>
      <c r="AQ3645" s="1063"/>
      <c r="AR3645" s="1063"/>
      <c r="AS3645" s="1063"/>
      <c r="AT3645" s="1063"/>
      <c r="AU3645" s="1063"/>
      <c r="AV3645" s="1063"/>
    </row>
    <row r="3646" spans="1:48" s="1108" customFormat="1" ht="27.75" customHeight="1">
      <c r="A3646" s="1076"/>
      <c r="B3646" s="1074">
        <f>+'[18]Bldg+Dev'!S4458</f>
        <v>0</v>
      </c>
      <c r="D3646" s="1063"/>
      <c r="F3646" s="1076"/>
      <c r="G3646" s="1063"/>
      <c r="H3646" s="1063"/>
      <c r="I3646" s="1063"/>
      <c r="J3646" s="1063"/>
      <c r="K3646" s="1063"/>
      <c r="L3646" s="1063"/>
      <c r="M3646" s="1063"/>
      <c r="N3646" s="1063"/>
      <c r="O3646" s="1063"/>
      <c r="P3646" s="1063"/>
      <c r="Q3646" s="1063"/>
      <c r="R3646" s="1063"/>
      <c r="S3646" s="1063"/>
      <c r="T3646" s="1063"/>
      <c r="U3646" s="1063"/>
      <c r="V3646" s="1063"/>
      <c r="W3646" s="1063"/>
      <c r="X3646" s="1063"/>
      <c r="Y3646" s="1063"/>
      <c r="Z3646" s="1063"/>
      <c r="AA3646" s="1063"/>
      <c r="AB3646" s="1063"/>
      <c r="AC3646" s="1063"/>
      <c r="AD3646" s="1063"/>
      <c r="AE3646" s="1063"/>
      <c r="AF3646" s="1063"/>
      <c r="AG3646" s="1063"/>
      <c r="AH3646" s="1063"/>
      <c r="AI3646" s="1063"/>
      <c r="AJ3646" s="1063"/>
      <c r="AK3646" s="1063"/>
      <c r="AL3646" s="1063"/>
      <c r="AM3646" s="1063"/>
      <c r="AN3646" s="1063"/>
      <c r="AO3646" s="1063"/>
      <c r="AP3646" s="1063"/>
      <c r="AQ3646" s="1063"/>
      <c r="AR3646" s="1063"/>
      <c r="AS3646" s="1063"/>
      <c r="AT3646" s="1063"/>
      <c r="AU3646" s="1063"/>
      <c r="AV3646" s="1063"/>
    </row>
    <row r="3647" spans="1:48" s="1108" customFormat="1" ht="27.75" customHeight="1">
      <c r="A3647" s="1076"/>
      <c r="B3647" s="1074">
        <f>+'[18]Bldg+Dev'!S4459</f>
        <v>0</v>
      </c>
      <c r="D3647" s="1063"/>
      <c r="F3647" s="1076"/>
      <c r="G3647" s="1063"/>
      <c r="H3647" s="1063"/>
      <c r="I3647" s="1063"/>
      <c r="J3647" s="1063"/>
      <c r="K3647" s="1063"/>
      <c r="L3647" s="1063"/>
      <c r="M3647" s="1063"/>
      <c r="N3647" s="1063"/>
      <c r="O3647" s="1063"/>
      <c r="P3647" s="1063"/>
      <c r="Q3647" s="1063"/>
      <c r="R3647" s="1063"/>
      <c r="S3647" s="1063"/>
      <c r="T3647" s="1063"/>
      <c r="U3647" s="1063"/>
      <c r="V3647" s="1063"/>
      <c r="W3647" s="1063"/>
      <c r="X3647" s="1063"/>
      <c r="Y3647" s="1063"/>
      <c r="Z3647" s="1063"/>
      <c r="AA3647" s="1063"/>
      <c r="AB3647" s="1063"/>
      <c r="AC3647" s="1063"/>
      <c r="AD3647" s="1063"/>
      <c r="AE3647" s="1063"/>
      <c r="AF3647" s="1063"/>
      <c r="AG3647" s="1063"/>
      <c r="AH3647" s="1063"/>
      <c r="AI3647" s="1063"/>
      <c r="AJ3647" s="1063"/>
      <c r="AK3647" s="1063"/>
      <c r="AL3647" s="1063"/>
      <c r="AM3647" s="1063"/>
      <c r="AN3647" s="1063"/>
      <c r="AO3647" s="1063"/>
      <c r="AP3647" s="1063"/>
      <c r="AQ3647" s="1063"/>
      <c r="AR3647" s="1063"/>
      <c r="AS3647" s="1063"/>
      <c r="AT3647" s="1063"/>
      <c r="AU3647" s="1063"/>
      <c r="AV3647" s="1063"/>
    </row>
    <row r="3648" spans="1:48" s="1108" customFormat="1" ht="27.75" customHeight="1">
      <c r="A3648" s="1076"/>
      <c r="B3648" s="1074">
        <f>+'[18]Bldg+Dev'!S4460</f>
        <v>0</v>
      </c>
      <c r="D3648" s="1063"/>
      <c r="F3648" s="1076"/>
      <c r="G3648" s="1063"/>
      <c r="H3648" s="1063"/>
      <c r="I3648" s="1063"/>
      <c r="J3648" s="1063"/>
      <c r="K3648" s="1063"/>
      <c r="L3648" s="1063"/>
      <c r="M3648" s="1063"/>
      <c r="N3648" s="1063"/>
      <c r="O3648" s="1063"/>
      <c r="P3648" s="1063"/>
      <c r="Q3648" s="1063"/>
      <c r="R3648" s="1063"/>
      <c r="S3648" s="1063"/>
      <c r="T3648" s="1063"/>
      <c r="U3648" s="1063"/>
      <c r="V3648" s="1063"/>
      <c r="W3648" s="1063"/>
      <c r="X3648" s="1063"/>
      <c r="Y3648" s="1063"/>
      <c r="Z3648" s="1063"/>
      <c r="AA3648" s="1063"/>
      <c r="AB3648" s="1063"/>
      <c r="AC3648" s="1063"/>
      <c r="AD3648" s="1063"/>
      <c r="AE3648" s="1063"/>
      <c r="AF3648" s="1063"/>
      <c r="AG3648" s="1063"/>
      <c r="AH3648" s="1063"/>
      <c r="AI3648" s="1063"/>
      <c r="AJ3648" s="1063"/>
      <c r="AK3648" s="1063"/>
      <c r="AL3648" s="1063"/>
      <c r="AM3648" s="1063"/>
      <c r="AN3648" s="1063"/>
      <c r="AO3648" s="1063"/>
      <c r="AP3648" s="1063"/>
      <c r="AQ3648" s="1063"/>
      <c r="AR3648" s="1063"/>
      <c r="AS3648" s="1063"/>
      <c r="AT3648" s="1063"/>
      <c r="AU3648" s="1063"/>
      <c r="AV3648" s="1063"/>
    </row>
    <row r="3649" spans="1:48" s="1108" customFormat="1" ht="27.75" customHeight="1">
      <c r="A3649" s="1076"/>
      <c r="B3649" s="1074">
        <f>+'[18]Bldg+Dev'!S4461</f>
        <v>0</v>
      </c>
      <c r="D3649" s="1063"/>
      <c r="F3649" s="1076"/>
      <c r="G3649" s="1063"/>
      <c r="H3649" s="1063"/>
      <c r="I3649" s="1063"/>
      <c r="J3649" s="1063"/>
      <c r="K3649" s="1063"/>
      <c r="L3649" s="1063"/>
      <c r="M3649" s="1063"/>
      <c r="N3649" s="1063"/>
      <c r="O3649" s="1063"/>
      <c r="P3649" s="1063"/>
      <c r="Q3649" s="1063"/>
      <c r="R3649" s="1063"/>
      <c r="S3649" s="1063"/>
      <c r="T3649" s="1063"/>
      <c r="U3649" s="1063"/>
      <c r="V3649" s="1063"/>
      <c r="W3649" s="1063"/>
      <c r="X3649" s="1063"/>
      <c r="Y3649" s="1063"/>
      <c r="Z3649" s="1063"/>
      <c r="AA3649" s="1063"/>
      <c r="AB3649" s="1063"/>
      <c r="AC3649" s="1063"/>
      <c r="AD3649" s="1063"/>
      <c r="AE3649" s="1063"/>
      <c r="AF3649" s="1063"/>
      <c r="AG3649" s="1063"/>
      <c r="AH3649" s="1063"/>
      <c r="AI3649" s="1063"/>
      <c r="AJ3649" s="1063"/>
      <c r="AK3649" s="1063"/>
      <c r="AL3649" s="1063"/>
      <c r="AM3649" s="1063"/>
      <c r="AN3649" s="1063"/>
      <c r="AO3649" s="1063"/>
      <c r="AP3649" s="1063"/>
      <c r="AQ3649" s="1063"/>
      <c r="AR3649" s="1063"/>
      <c r="AS3649" s="1063"/>
      <c r="AT3649" s="1063"/>
      <c r="AU3649" s="1063"/>
      <c r="AV3649" s="1063"/>
    </row>
    <row r="3650" spans="1:48" s="1108" customFormat="1" ht="27.75" customHeight="1">
      <c r="A3650" s="1076"/>
      <c r="B3650" s="1074">
        <f>+'[18]Bldg+Dev'!S4462</f>
        <v>0</v>
      </c>
      <c r="D3650" s="1063"/>
      <c r="F3650" s="1076"/>
      <c r="G3650" s="1063"/>
      <c r="H3650" s="1063"/>
      <c r="I3650" s="1063"/>
      <c r="J3650" s="1063"/>
      <c r="K3650" s="1063"/>
      <c r="L3650" s="1063"/>
      <c r="M3650" s="1063"/>
      <c r="N3650" s="1063"/>
      <c r="O3650" s="1063"/>
      <c r="P3650" s="1063"/>
      <c r="Q3650" s="1063"/>
      <c r="R3650" s="1063"/>
      <c r="S3650" s="1063"/>
      <c r="T3650" s="1063"/>
      <c r="U3650" s="1063"/>
      <c r="V3650" s="1063"/>
      <c r="W3650" s="1063"/>
      <c r="X3650" s="1063"/>
      <c r="Y3650" s="1063"/>
      <c r="Z3650" s="1063"/>
      <c r="AA3650" s="1063"/>
      <c r="AB3650" s="1063"/>
      <c r="AC3650" s="1063"/>
      <c r="AD3650" s="1063"/>
      <c r="AE3650" s="1063"/>
      <c r="AF3650" s="1063"/>
      <c r="AG3650" s="1063"/>
      <c r="AH3650" s="1063"/>
      <c r="AI3650" s="1063"/>
      <c r="AJ3650" s="1063"/>
      <c r="AK3650" s="1063"/>
      <c r="AL3650" s="1063"/>
      <c r="AM3650" s="1063"/>
      <c r="AN3650" s="1063"/>
      <c r="AO3650" s="1063"/>
      <c r="AP3650" s="1063"/>
      <c r="AQ3650" s="1063"/>
      <c r="AR3650" s="1063"/>
      <c r="AS3650" s="1063"/>
      <c r="AT3650" s="1063"/>
      <c r="AU3650" s="1063"/>
      <c r="AV3650" s="1063"/>
    </row>
    <row r="3651" spans="1:48" s="1108" customFormat="1" ht="27.75" customHeight="1">
      <c r="A3651" s="1076"/>
      <c r="B3651" s="1074">
        <f>+'[18]Bldg+Dev'!S4463</f>
        <v>0</v>
      </c>
      <c r="D3651" s="1063"/>
      <c r="F3651" s="1076"/>
      <c r="G3651" s="1063"/>
      <c r="H3651" s="1063"/>
      <c r="I3651" s="1063"/>
      <c r="J3651" s="1063"/>
      <c r="K3651" s="1063"/>
      <c r="L3651" s="1063"/>
      <c r="M3651" s="1063"/>
      <c r="N3651" s="1063"/>
      <c r="O3651" s="1063"/>
      <c r="P3651" s="1063"/>
      <c r="Q3651" s="1063"/>
      <c r="R3651" s="1063"/>
      <c r="S3651" s="1063"/>
      <c r="T3651" s="1063"/>
      <c r="U3651" s="1063"/>
      <c r="V3651" s="1063"/>
      <c r="W3651" s="1063"/>
      <c r="X3651" s="1063"/>
      <c r="Y3651" s="1063"/>
      <c r="Z3651" s="1063"/>
      <c r="AA3651" s="1063"/>
      <c r="AB3651" s="1063"/>
      <c r="AC3651" s="1063"/>
      <c r="AD3651" s="1063"/>
      <c r="AE3651" s="1063"/>
      <c r="AF3651" s="1063"/>
      <c r="AG3651" s="1063"/>
      <c r="AH3651" s="1063"/>
      <c r="AI3651" s="1063"/>
      <c r="AJ3651" s="1063"/>
      <c r="AK3651" s="1063"/>
      <c r="AL3651" s="1063"/>
      <c r="AM3651" s="1063"/>
      <c r="AN3651" s="1063"/>
      <c r="AO3651" s="1063"/>
      <c r="AP3651" s="1063"/>
      <c r="AQ3651" s="1063"/>
      <c r="AR3651" s="1063"/>
      <c r="AS3651" s="1063"/>
      <c r="AT3651" s="1063"/>
      <c r="AU3651" s="1063"/>
      <c r="AV3651" s="1063"/>
    </row>
    <row r="3652" spans="1:48" s="1108" customFormat="1" ht="27.75" customHeight="1">
      <c r="A3652" s="1076"/>
      <c r="B3652" s="1074">
        <f>+'[18]Bldg+Dev'!S4464</f>
        <v>0</v>
      </c>
      <c r="D3652" s="1063"/>
      <c r="F3652" s="1076"/>
      <c r="G3652" s="1063"/>
      <c r="H3652" s="1063"/>
      <c r="I3652" s="1063"/>
      <c r="J3652" s="1063"/>
      <c r="K3652" s="1063"/>
      <c r="L3652" s="1063"/>
      <c r="M3652" s="1063"/>
      <c r="N3652" s="1063"/>
      <c r="O3652" s="1063"/>
      <c r="P3652" s="1063"/>
      <c r="Q3652" s="1063"/>
      <c r="R3652" s="1063"/>
      <c r="S3652" s="1063"/>
      <c r="T3652" s="1063"/>
      <c r="U3652" s="1063"/>
      <c r="V3652" s="1063"/>
      <c r="W3652" s="1063"/>
      <c r="X3652" s="1063"/>
      <c r="Y3652" s="1063"/>
      <c r="Z3652" s="1063"/>
      <c r="AA3652" s="1063"/>
      <c r="AB3652" s="1063"/>
      <c r="AC3652" s="1063"/>
      <c r="AD3652" s="1063"/>
      <c r="AE3652" s="1063"/>
      <c r="AF3652" s="1063"/>
      <c r="AG3652" s="1063"/>
      <c r="AH3652" s="1063"/>
      <c r="AI3652" s="1063"/>
      <c r="AJ3652" s="1063"/>
      <c r="AK3652" s="1063"/>
      <c r="AL3652" s="1063"/>
      <c r="AM3652" s="1063"/>
      <c r="AN3652" s="1063"/>
      <c r="AO3652" s="1063"/>
      <c r="AP3652" s="1063"/>
      <c r="AQ3652" s="1063"/>
      <c r="AR3652" s="1063"/>
      <c r="AS3652" s="1063"/>
      <c r="AT3652" s="1063"/>
      <c r="AU3652" s="1063"/>
      <c r="AV3652" s="1063"/>
    </row>
    <row r="3653" spans="1:48" s="1108" customFormat="1" ht="27.75" customHeight="1">
      <c r="A3653" s="1076"/>
      <c r="B3653" s="1074">
        <f>+'[18]Bldg+Dev'!S4465</f>
        <v>0</v>
      </c>
      <c r="D3653" s="1063"/>
      <c r="F3653" s="1076"/>
      <c r="G3653" s="1063"/>
      <c r="H3653" s="1063"/>
      <c r="I3653" s="1063"/>
      <c r="J3653" s="1063"/>
      <c r="K3653" s="1063"/>
      <c r="L3653" s="1063"/>
      <c r="M3653" s="1063"/>
      <c r="N3653" s="1063"/>
      <c r="O3653" s="1063"/>
      <c r="P3653" s="1063"/>
      <c r="Q3653" s="1063"/>
      <c r="R3653" s="1063"/>
      <c r="S3653" s="1063"/>
      <c r="T3653" s="1063"/>
      <c r="U3653" s="1063"/>
      <c r="V3653" s="1063"/>
      <c r="W3653" s="1063"/>
      <c r="X3653" s="1063"/>
      <c r="Y3653" s="1063"/>
      <c r="Z3653" s="1063"/>
      <c r="AA3653" s="1063"/>
      <c r="AB3653" s="1063"/>
      <c r="AC3653" s="1063"/>
      <c r="AD3653" s="1063"/>
      <c r="AE3653" s="1063"/>
      <c r="AF3653" s="1063"/>
      <c r="AG3653" s="1063"/>
      <c r="AH3653" s="1063"/>
      <c r="AI3653" s="1063"/>
      <c r="AJ3653" s="1063"/>
      <c r="AK3653" s="1063"/>
      <c r="AL3653" s="1063"/>
      <c r="AM3653" s="1063"/>
      <c r="AN3653" s="1063"/>
      <c r="AO3653" s="1063"/>
      <c r="AP3653" s="1063"/>
      <c r="AQ3653" s="1063"/>
      <c r="AR3653" s="1063"/>
      <c r="AS3653" s="1063"/>
      <c r="AT3653" s="1063"/>
      <c r="AU3653" s="1063"/>
      <c r="AV3653" s="1063"/>
    </row>
    <row r="3654" spans="1:48" s="1108" customFormat="1" ht="27.75" customHeight="1">
      <c r="A3654" s="1076"/>
      <c r="B3654" s="1074">
        <f>+'[18]Bldg+Dev'!S4466</f>
        <v>0</v>
      </c>
      <c r="D3654" s="1063"/>
      <c r="F3654" s="1076"/>
      <c r="G3654" s="1063"/>
      <c r="H3654" s="1063"/>
      <c r="I3654" s="1063"/>
      <c r="J3654" s="1063"/>
      <c r="K3654" s="1063"/>
      <c r="L3654" s="1063"/>
      <c r="M3654" s="1063"/>
      <c r="N3654" s="1063"/>
      <c r="O3654" s="1063"/>
      <c r="P3654" s="1063"/>
      <c r="Q3654" s="1063"/>
      <c r="R3654" s="1063"/>
      <c r="S3654" s="1063"/>
      <c r="T3654" s="1063"/>
      <c r="U3654" s="1063"/>
      <c r="V3654" s="1063"/>
      <c r="W3654" s="1063"/>
      <c r="X3654" s="1063"/>
      <c r="Y3654" s="1063"/>
      <c r="Z3654" s="1063"/>
      <c r="AA3654" s="1063"/>
      <c r="AB3654" s="1063"/>
      <c r="AC3654" s="1063"/>
      <c r="AD3654" s="1063"/>
      <c r="AE3654" s="1063"/>
      <c r="AF3654" s="1063"/>
      <c r="AG3654" s="1063"/>
      <c r="AH3654" s="1063"/>
      <c r="AI3654" s="1063"/>
      <c r="AJ3654" s="1063"/>
      <c r="AK3654" s="1063"/>
      <c r="AL3654" s="1063"/>
      <c r="AM3654" s="1063"/>
      <c r="AN3654" s="1063"/>
      <c r="AO3654" s="1063"/>
      <c r="AP3654" s="1063"/>
      <c r="AQ3654" s="1063"/>
      <c r="AR3654" s="1063"/>
      <c r="AS3654" s="1063"/>
      <c r="AT3654" s="1063"/>
      <c r="AU3654" s="1063"/>
      <c r="AV3654" s="1063"/>
    </row>
    <row r="3655" spans="1:48" s="1108" customFormat="1" ht="27.75" customHeight="1">
      <c r="A3655" s="1076"/>
      <c r="B3655" s="1074">
        <f>+'[18]Bldg+Dev'!S4467</f>
        <v>0</v>
      </c>
      <c r="D3655" s="1063"/>
      <c r="F3655" s="1076"/>
      <c r="G3655" s="1063"/>
      <c r="H3655" s="1063"/>
      <c r="I3655" s="1063"/>
      <c r="J3655" s="1063"/>
      <c r="K3655" s="1063"/>
      <c r="L3655" s="1063"/>
      <c r="M3655" s="1063"/>
      <c r="N3655" s="1063"/>
      <c r="O3655" s="1063"/>
      <c r="P3655" s="1063"/>
      <c r="Q3655" s="1063"/>
      <c r="R3655" s="1063"/>
      <c r="S3655" s="1063"/>
      <c r="T3655" s="1063"/>
      <c r="U3655" s="1063"/>
      <c r="V3655" s="1063"/>
      <c r="W3655" s="1063"/>
      <c r="X3655" s="1063"/>
      <c r="Y3655" s="1063"/>
      <c r="Z3655" s="1063"/>
      <c r="AA3655" s="1063"/>
      <c r="AB3655" s="1063"/>
      <c r="AC3655" s="1063"/>
      <c r="AD3655" s="1063"/>
      <c r="AE3655" s="1063"/>
      <c r="AF3655" s="1063"/>
      <c r="AG3655" s="1063"/>
      <c r="AH3655" s="1063"/>
      <c r="AI3655" s="1063"/>
      <c r="AJ3655" s="1063"/>
      <c r="AK3655" s="1063"/>
      <c r="AL3655" s="1063"/>
      <c r="AM3655" s="1063"/>
      <c r="AN3655" s="1063"/>
      <c r="AO3655" s="1063"/>
      <c r="AP3655" s="1063"/>
      <c r="AQ3655" s="1063"/>
      <c r="AR3655" s="1063"/>
      <c r="AS3655" s="1063"/>
      <c r="AT3655" s="1063"/>
      <c r="AU3655" s="1063"/>
      <c r="AV3655" s="1063"/>
    </row>
    <row r="3656" spans="1:48" s="1108" customFormat="1" ht="27.75" customHeight="1">
      <c r="A3656" s="1076"/>
      <c r="B3656" s="1074">
        <f>+'[18]Bldg+Dev'!S4468</f>
        <v>0</v>
      </c>
      <c r="D3656" s="1063"/>
      <c r="F3656" s="1076"/>
      <c r="G3656" s="1063"/>
      <c r="H3656" s="1063"/>
      <c r="I3656" s="1063"/>
      <c r="J3656" s="1063"/>
      <c r="K3656" s="1063"/>
      <c r="L3656" s="1063"/>
      <c r="M3656" s="1063"/>
      <c r="N3656" s="1063"/>
      <c r="O3656" s="1063"/>
      <c r="P3656" s="1063"/>
      <c r="Q3656" s="1063"/>
      <c r="R3656" s="1063"/>
      <c r="S3656" s="1063"/>
      <c r="T3656" s="1063"/>
      <c r="U3656" s="1063"/>
      <c r="V3656" s="1063"/>
      <c r="W3656" s="1063"/>
      <c r="X3656" s="1063"/>
      <c r="Y3656" s="1063"/>
      <c r="Z3656" s="1063"/>
      <c r="AA3656" s="1063"/>
      <c r="AB3656" s="1063"/>
      <c r="AC3656" s="1063"/>
      <c r="AD3656" s="1063"/>
      <c r="AE3656" s="1063"/>
      <c r="AF3656" s="1063"/>
      <c r="AG3656" s="1063"/>
      <c r="AH3656" s="1063"/>
      <c r="AI3656" s="1063"/>
      <c r="AJ3656" s="1063"/>
      <c r="AK3656" s="1063"/>
      <c r="AL3656" s="1063"/>
      <c r="AM3656" s="1063"/>
      <c r="AN3656" s="1063"/>
      <c r="AO3656" s="1063"/>
      <c r="AP3656" s="1063"/>
      <c r="AQ3656" s="1063"/>
      <c r="AR3656" s="1063"/>
      <c r="AS3656" s="1063"/>
      <c r="AT3656" s="1063"/>
      <c r="AU3656" s="1063"/>
      <c r="AV3656" s="1063"/>
    </row>
    <row r="3657" spans="1:48" s="1108" customFormat="1" ht="27.75" customHeight="1">
      <c r="A3657" s="1076"/>
      <c r="B3657" s="1074">
        <f>+'[18]Bldg+Dev'!S4469</f>
        <v>0</v>
      </c>
      <c r="D3657" s="1063"/>
      <c r="F3657" s="1076"/>
      <c r="G3657" s="1063"/>
      <c r="H3657" s="1063"/>
      <c r="I3657" s="1063"/>
      <c r="J3657" s="1063"/>
      <c r="K3657" s="1063"/>
      <c r="L3657" s="1063"/>
      <c r="M3657" s="1063"/>
      <c r="N3657" s="1063"/>
      <c r="O3657" s="1063"/>
      <c r="P3657" s="1063"/>
      <c r="Q3657" s="1063"/>
      <c r="R3657" s="1063"/>
      <c r="S3657" s="1063"/>
      <c r="T3657" s="1063"/>
      <c r="U3657" s="1063"/>
      <c r="V3657" s="1063"/>
      <c r="W3657" s="1063"/>
      <c r="X3657" s="1063"/>
      <c r="Y3657" s="1063"/>
      <c r="Z3657" s="1063"/>
      <c r="AA3657" s="1063"/>
      <c r="AB3657" s="1063"/>
      <c r="AC3657" s="1063"/>
      <c r="AD3657" s="1063"/>
      <c r="AE3657" s="1063"/>
      <c r="AF3657" s="1063"/>
      <c r="AG3657" s="1063"/>
      <c r="AH3657" s="1063"/>
      <c r="AI3657" s="1063"/>
      <c r="AJ3657" s="1063"/>
      <c r="AK3657" s="1063"/>
      <c r="AL3657" s="1063"/>
      <c r="AM3657" s="1063"/>
      <c r="AN3657" s="1063"/>
      <c r="AO3657" s="1063"/>
      <c r="AP3657" s="1063"/>
      <c r="AQ3657" s="1063"/>
      <c r="AR3657" s="1063"/>
      <c r="AS3657" s="1063"/>
      <c r="AT3657" s="1063"/>
      <c r="AU3657" s="1063"/>
      <c r="AV3657" s="1063"/>
    </row>
    <row r="3658" spans="1:48" s="1108" customFormat="1" ht="27.75" customHeight="1">
      <c r="A3658" s="1076"/>
      <c r="B3658" s="1074">
        <f>+'[18]Bldg+Dev'!S4470</f>
        <v>0</v>
      </c>
      <c r="D3658" s="1063"/>
      <c r="F3658" s="1076"/>
      <c r="G3658" s="1063"/>
      <c r="H3658" s="1063"/>
      <c r="I3658" s="1063"/>
      <c r="J3658" s="1063"/>
      <c r="K3658" s="1063"/>
      <c r="L3658" s="1063"/>
      <c r="M3658" s="1063"/>
      <c r="N3658" s="1063"/>
      <c r="O3658" s="1063"/>
      <c r="P3658" s="1063"/>
      <c r="Q3658" s="1063"/>
      <c r="R3658" s="1063"/>
      <c r="S3658" s="1063"/>
      <c r="T3658" s="1063"/>
      <c r="U3658" s="1063"/>
      <c r="V3658" s="1063"/>
      <c r="W3658" s="1063"/>
      <c r="X3658" s="1063"/>
      <c r="Y3658" s="1063"/>
      <c r="Z3658" s="1063"/>
      <c r="AA3658" s="1063"/>
      <c r="AB3658" s="1063"/>
      <c r="AC3658" s="1063"/>
      <c r="AD3658" s="1063"/>
      <c r="AE3658" s="1063"/>
      <c r="AF3658" s="1063"/>
      <c r="AG3658" s="1063"/>
      <c r="AH3658" s="1063"/>
      <c r="AI3658" s="1063"/>
      <c r="AJ3658" s="1063"/>
      <c r="AK3658" s="1063"/>
      <c r="AL3658" s="1063"/>
      <c r="AM3658" s="1063"/>
      <c r="AN3658" s="1063"/>
      <c r="AO3658" s="1063"/>
      <c r="AP3658" s="1063"/>
      <c r="AQ3658" s="1063"/>
      <c r="AR3658" s="1063"/>
      <c r="AS3658" s="1063"/>
      <c r="AT3658" s="1063"/>
      <c r="AU3658" s="1063"/>
      <c r="AV3658" s="1063"/>
    </row>
    <row r="3659" spans="1:48" s="1108" customFormat="1" ht="27.75" customHeight="1">
      <c r="A3659" s="1076"/>
      <c r="B3659" s="1074">
        <f>+'[18]Bldg+Dev'!S4471</f>
        <v>0</v>
      </c>
      <c r="D3659" s="1063"/>
      <c r="F3659" s="1076"/>
      <c r="G3659" s="1063"/>
      <c r="H3659" s="1063"/>
      <c r="I3659" s="1063"/>
      <c r="J3659" s="1063"/>
      <c r="K3659" s="1063"/>
      <c r="L3659" s="1063"/>
      <c r="M3659" s="1063"/>
      <c r="N3659" s="1063"/>
      <c r="O3659" s="1063"/>
      <c r="P3659" s="1063"/>
      <c r="Q3659" s="1063"/>
      <c r="R3659" s="1063"/>
      <c r="S3659" s="1063"/>
      <c r="T3659" s="1063"/>
      <c r="U3659" s="1063"/>
      <c r="V3659" s="1063"/>
      <c r="W3659" s="1063"/>
      <c r="X3659" s="1063"/>
      <c r="Y3659" s="1063"/>
      <c r="Z3659" s="1063"/>
      <c r="AA3659" s="1063"/>
      <c r="AB3659" s="1063"/>
      <c r="AC3659" s="1063"/>
      <c r="AD3659" s="1063"/>
      <c r="AE3659" s="1063"/>
      <c r="AF3659" s="1063"/>
      <c r="AG3659" s="1063"/>
      <c r="AH3659" s="1063"/>
      <c r="AI3659" s="1063"/>
      <c r="AJ3659" s="1063"/>
      <c r="AK3659" s="1063"/>
      <c r="AL3659" s="1063"/>
      <c r="AM3659" s="1063"/>
      <c r="AN3659" s="1063"/>
      <c r="AO3659" s="1063"/>
      <c r="AP3659" s="1063"/>
      <c r="AQ3659" s="1063"/>
      <c r="AR3659" s="1063"/>
      <c r="AS3659" s="1063"/>
      <c r="AT3659" s="1063"/>
      <c r="AU3659" s="1063"/>
      <c r="AV3659" s="1063"/>
    </row>
    <row r="3660" spans="1:48" s="1108" customFormat="1" ht="27.75" customHeight="1">
      <c r="A3660" s="1076"/>
      <c r="B3660" s="1074">
        <f>+'[18]Bldg+Dev'!S4472</f>
        <v>0</v>
      </c>
      <c r="D3660" s="1063"/>
      <c r="F3660" s="1076"/>
      <c r="G3660" s="1063"/>
      <c r="H3660" s="1063"/>
      <c r="I3660" s="1063"/>
      <c r="J3660" s="1063"/>
      <c r="K3660" s="1063"/>
      <c r="L3660" s="1063"/>
      <c r="M3660" s="1063"/>
      <c r="N3660" s="1063"/>
      <c r="O3660" s="1063"/>
      <c r="P3660" s="1063"/>
      <c r="Q3660" s="1063"/>
      <c r="R3660" s="1063"/>
      <c r="S3660" s="1063"/>
      <c r="T3660" s="1063"/>
      <c r="U3660" s="1063"/>
      <c r="V3660" s="1063"/>
      <c r="W3660" s="1063"/>
      <c r="X3660" s="1063"/>
      <c r="Y3660" s="1063"/>
      <c r="Z3660" s="1063"/>
      <c r="AA3660" s="1063"/>
      <c r="AB3660" s="1063"/>
      <c r="AC3660" s="1063"/>
      <c r="AD3660" s="1063"/>
      <c r="AE3660" s="1063"/>
      <c r="AF3660" s="1063"/>
      <c r="AG3660" s="1063"/>
      <c r="AH3660" s="1063"/>
      <c r="AI3660" s="1063"/>
      <c r="AJ3660" s="1063"/>
      <c r="AK3660" s="1063"/>
      <c r="AL3660" s="1063"/>
      <c r="AM3660" s="1063"/>
      <c r="AN3660" s="1063"/>
      <c r="AO3660" s="1063"/>
      <c r="AP3660" s="1063"/>
      <c r="AQ3660" s="1063"/>
      <c r="AR3660" s="1063"/>
      <c r="AS3660" s="1063"/>
      <c r="AT3660" s="1063"/>
      <c r="AU3660" s="1063"/>
      <c r="AV3660" s="1063"/>
    </row>
    <row r="3661" spans="1:48" s="1108" customFormat="1" ht="27.75" customHeight="1">
      <c r="A3661" s="1076"/>
      <c r="B3661" s="1074">
        <f>+'[18]Bldg+Dev'!S4473</f>
        <v>0</v>
      </c>
      <c r="D3661" s="1063"/>
      <c r="F3661" s="1076"/>
      <c r="G3661" s="1063"/>
      <c r="H3661" s="1063"/>
      <c r="I3661" s="1063"/>
      <c r="J3661" s="1063"/>
      <c r="K3661" s="1063"/>
      <c r="L3661" s="1063"/>
      <c r="M3661" s="1063"/>
      <c r="N3661" s="1063"/>
      <c r="O3661" s="1063"/>
      <c r="P3661" s="1063"/>
      <c r="Q3661" s="1063"/>
      <c r="R3661" s="1063"/>
      <c r="S3661" s="1063"/>
      <c r="T3661" s="1063"/>
      <c r="U3661" s="1063"/>
      <c r="V3661" s="1063"/>
      <c r="W3661" s="1063"/>
      <c r="X3661" s="1063"/>
      <c r="Y3661" s="1063"/>
      <c r="Z3661" s="1063"/>
      <c r="AA3661" s="1063"/>
      <c r="AB3661" s="1063"/>
      <c r="AC3661" s="1063"/>
      <c r="AD3661" s="1063"/>
      <c r="AE3661" s="1063"/>
      <c r="AF3661" s="1063"/>
      <c r="AG3661" s="1063"/>
      <c r="AH3661" s="1063"/>
      <c r="AI3661" s="1063"/>
      <c r="AJ3661" s="1063"/>
      <c r="AK3661" s="1063"/>
      <c r="AL3661" s="1063"/>
      <c r="AM3661" s="1063"/>
      <c r="AN3661" s="1063"/>
      <c r="AO3661" s="1063"/>
      <c r="AP3661" s="1063"/>
      <c r="AQ3661" s="1063"/>
      <c r="AR3661" s="1063"/>
      <c r="AS3661" s="1063"/>
      <c r="AT3661" s="1063"/>
      <c r="AU3661" s="1063"/>
      <c r="AV3661" s="1063"/>
    </row>
    <row r="3662" spans="1:48" s="1108" customFormat="1" ht="27.75" customHeight="1">
      <c r="A3662" s="1076"/>
      <c r="B3662" s="1074">
        <f>+'[18]Bldg+Dev'!S4474</f>
        <v>0</v>
      </c>
      <c r="D3662" s="1063"/>
      <c r="F3662" s="1076"/>
      <c r="G3662" s="1063"/>
      <c r="H3662" s="1063"/>
      <c r="I3662" s="1063"/>
      <c r="J3662" s="1063"/>
      <c r="K3662" s="1063"/>
      <c r="L3662" s="1063"/>
      <c r="M3662" s="1063"/>
      <c r="N3662" s="1063"/>
      <c r="O3662" s="1063"/>
      <c r="P3662" s="1063"/>
      <c r="Q3662" s="1063"/>
      <c r="R3662" s="1063"/>
      <c r="S3662" s="1063"/>
      <c r="T3662" s="1063"/>
      <c r="U3662" s="1063"/>
      <c r="V3662" s="1063"/>
      <c r="W3662" s="1063"/>
      <c r="X3662" s="1063"/>
      <c r="Y3662" s="1063"/>
      <c r="Z3662" s="1063"/>
      <c r="AA3662" s="1063"/>
      <c r="AB3662" s="1063"/>
      <c r="AC3662" s="1063"/>
      <c r="AD3662" s="1063"/>
      <c r="AE3662" s="1063"/>
      <c r="AF3662" s="1063"/>
      <c r="AG3662" s="1063"/>
      <c r="AH3662" s="1063"/>
      <c r="AI3662" s="1063"/>
      <c r="AJ3662" s="1063"/>
      <c r="AK3662" s="1063"/>
      <c r="AL3662" s="1063"/>
      <c r="AM3662" s="1063"/>
      <c r="AN3662" s="1063"/>
      <c r="AO3662" s="1063"/>
      <c r="AP3662" s="1063"/>
      <c r="AQ3662" s="1063"/>
      <c r="AR3662" s="1063"/>
      <c r="AS3662" s="1063"/>
      <c r="AT3662" s="1063"/>
      <c r="AU3662" s="1063"/>
      <c r="AV3662" s="1063"/>
    </row>
    <row r="3663" spans="1:48" s="1108" customFormat="1" ht="27.75" customHeight="1">
      <c r="A3663" s="1076"/>
      <c r="B3663" s="1074">
        <f>+'[18]Bldg+Dev'!S4475</f>
        <v>0</v>
      </c>
      <c r="D3663" s="1063"/>
      <c r="F3663" s="1076"/>
      <c r="G3663" s="1063"/>
      <c r="H3663" s="1063"/>
      <c r="I3663" s="1063"/>
      <c r="J3663" s="1063"/>
      <c r="K3663" s="1063"/>
      <c r="L3663" s="1063"/>
      <c r="M3663" s="1063"/>
      <c r="N3663" s="1063"/>
      <c r="O3663" s="1063"/>
      <c r="P3663" s="1063"/>
      <c r="Q3663" s="1063"/>
      <c r="R3663" s="1063"/>
      <c r="S3663" s="1063"/>
      <c r="T3663" s="1063"/>
      <c r="U3663" s="1063"/>
      <c r="V3663" s="1063"/>
      <c r="W3663" s="1063"/>
      <c r="X3663" s="1063"/>
      <c r="Y3663" s="1063"/>
      <c r="Z3663" s="1063"/>
      <c r="AA3663" s="1063"/>
      <c r="AB3663" s="1063"/>
      <c r="AC3663" s="1063"/>
      <c r="AD3663" s="1063"/>
      <c r="AE3663" s="1063"/>
      <c r="AF3663" s="1063"/>
      <c r="AG3663" s="1063"/>
      <c r="AH3663" s="1063"/>
      <c r="AI3663" s="1063"/>
      <c r="AJ3663" s="1063"/>
      <c r="AK3663" s="1063"/>
      <c r="AL3663" s="1063"/>
      <c r="AM3663" s="1063"/>
      <c r="AN3663" s="1063"/>
      <c r="AO3663" s="1063"/>
      <c r="AP3663" s="1063"/>
      <c r="AQ3663" s="1063"/>
      <c r="AR3663" s="1063"/>
      <c r="AS3663" s="1063"/>
      <c r="AT3663" s="1063"/>
      <c r="AU3663" s="1063"/>
      <c r="AV3663" s="1063"/>
    </row>
    <row r="3664" spans="1:48" s="1108" customFormat="1" ht="27.75" customHeight="1">
      <c r="A3664" s="1076"/>
      <c r="B3664" s="1074">
        <f>+'[18]Bldg+Dev'!S4476</f>
        <v>0</v>
      </c>
      <c r="D3664" s="1063"/>
      <c r="F3664" s="1076"/>
      <c r="G3664" s="1063"/>
      <c r="H3664" s="1063"/>
      <c r="I3664" s="1063"/>
      <c r="J3664" s="1063"/>
      <c r="K3664" s="1063"/>
      <c r="L3664" s="1063"/>
      <c r="M3664" s="1063"/>
      <c r="N3664" s="1063"/>
      <c r="O3664" s="1063"/>
      <c r="P3664" s="1063"/>
      <c r="Q3664" s="1063"/>
      <c r="R3664" s="1063"/>
      <c r="S3664" s="1063"/>
      <c r="T3664" s="1063"/>
      <c r="U3664" s="1063"/>
      <c r="V3664" s="1063"/>
      <c r="W3664" s="1063"/>
      <c r="X3664" s="1063"/>
      <c r="Y3664" s="1063"/>
      <c r="Z3664" s="1063"/>
      <c r="AA3664" s="1063"/>
      <c r="AB3664" s="1063"/>
      <c r="AC3664" s="1063"/>
      <c r="AD3664" s="1063"/>
      <c r="AE3664" s="1063"/>
      <c r="AF3664" s="1063"/>
      <c r="AG3664" s="1063"/>
      <c r="AH3664" s="1063"/>
      <c r="AI3664" s="1063"/>
      <c r="AJ3664" s="1063"/>
      <c r="AK3664" s="1063"/>
      <c r="AL3664" s="1063"/>
      <c r="AM3664" s="1063"/>
      <c r="AN3664" s="1063"/>
      <c r="AO3664" s="1063"/>
      <c r="AP3664" s="1063"/>
      <c r="AQ3664" s="1063"/>
      <c r="AR3664" s="1063"/>
      <c r="AS3664" s="1063"/>
      <c r="AT3664" s="1063"/>
      <c r="AU3664" s="1063"/>
      <c r="AV3664" s="1063"/>
    </row>
    <row r="3665" spans="1:48" s="1108" customFormat="1" ht="27.75" customHeight="1">
      <c r="A3665" s="1076"/>
      <c r="B3665" s="1074">
        <f>+'[18]Bldg+Dev'!S4477</f>
        <v>0</v>
      </c>
      <c r="D3665" s="1063"/>
      <c r="F3665" s="1076"/>
      <c r="G3665" s="1063"/>
      <c r="H3665" s="1063"/>
      <c r="I3665" s="1063"/>
      <c r="J3665" s="1063"/>
      <c r="K3665" s="1063"/>
      <c r="L3665" s="1063"/>
      <c r="M3665" s="1063"/>
      <c r="N3665" s="1063"/>
      <c r="O3665" s="1063"/>
      <c r="P3665" s="1063"/>
      <c r="Q3665" s="1063"/>
      <c r="R3665" s="1063"/>
      <c r="S3665" s="1063"/>
      <c r="T3665" s="1063"/>
      <c r="U3665" s="1063"/>
      <c r="V3665" s="1063"/>
      <c r="W3665" s="1063"/>
      <c r="X3665" s="1063"/>
      <c r="Y3665" s="1063"/>
      <c r="Z3665" s="1063"/>
      <c r="AA3665" s="1063"/>
      <c r="AB3665" s="1063"/>
      <c r="AC3665" s="1063"/>
      <c r="AD3665" s="1063"/>
      <c r="AE3665" s="1063"/>
      <c r="AF3665" s="1063"/>
      <c r="AG3665" s="1063"/>
      <c r="AH3665" s="1063"/>
      <c r="AI3665" s="1063"/>
      <c r="AJ3665" s="1063"/>
      <c r="AK3665" s="1063"/>
      <c r="AL3665" s="1063"/>
      <c r="AM3665" s="1063"/>
      <c r="AN3665" s="1063"/>
      <c r="AO3665" s="1063"/>
      <c r="AP3665" s="1063"/>
      <c r="AQ3665" s="1063"/>
      <c r="AR3665" s="1063"/>
      <c r="AS3665" s="1063"/>
      <c r="AT3665" s="1063"/>
      <c r="AU3665" s="1063"/>
      <c r="AV3665" s="1063"/>
    </row>
    <row r="3666" spans="1:48" s="1108" customFormat="1" ht="27.75" customHeight="1">
      <c r="A3666" s="1076"/>
      <c r="B3666" s="1074">
        <f>+'[18]Bldg+Dev'!S4478</f>
        <v>0</v>
      </c>
      <c r="D3666" s="1063"/>
      <c r="F3666" s="1076"/>
      <c r="G3666" s="1063"/>
      <c r="H3666" s="1063"/>
      <c r="I3666" s="1063"/>
      <c r="J3666" s="1063"/>
      <c r="K3666" s="1063"/>
      <c r="L3666" s="1063"/>
      <c r="M3666" s="1063"/>
      <c r="N3666" s="1063"/>
      <c r="O3666" s="1063"/>
      <c r="P3666" s="1063"/>
      <c r="Q3666" s="1063"/>
      <c r="R3666" s="1063"/>
      <c r="S3666" s="1063"/>
      <c r="T3666" s="1063"/>
      <c r="U3666" s="1063"/>
      <c r="V3666" s="1063"/>
      <c r="W3666" s="1063"/>
      <c r="X3666" s="1063"/>
      <c r="Y3666" s="1063"/>
      <c r="Z3666" s="1063"/>
      <c r="AA3666" s="1063"/>
      <c r="AB3666" s="1063"/>
      <c r="AC3666" s="1063"/>
      <c r="AD3666" s="1063"/>
      <c r="AE3666" s="1063"/>
      <c r="AF3666" s="1063"/>
      <c r="AG3666" s="1063"/>
      <c r="AH3666" s="1063"/>
      <c r="AI3666" s="1063"/>
      <c r="AJ3666" s="1063"/>
      <c r="AK3666" s="1063"/>
      <c r="AL3666" s="1063"/>
      <c r="AM3666" s="1063"/>
      <c r="AN3666" s="1063"/>
      <c r="AO3666" s="1063"/>
      <c r="AP3666" s="1063"/>
      <c r="AQ3666" s="1063"/>
      <c r="AR3666" s="1063"/>
      <c r="AS3666" s="1063"/>
      <c r="AT3666" s="1063"/>
      <c r="AU3666" s="1063"/>
      <c r="AV3666" s="1063"/>
    </row>
    <row r="3667" spans="1:48" s="1108" customFormat="1" ht="27.75" customHeight="1">
      <c r="A3667" s="1076"/>
      <c r="B3667" s="1074">
        <f>+'[18]Bldg+Dev'!S4479</f>
        <v>0</v>
      </c>
      <c r="D3667" s="1063"/>
      <c r="F3667" s="1076"/>
      <c r="G3667" s="1063"/>
      <c r="H3667" s="1063"/>
      <c r="I3667" s="1063"/>
      <c r="J3667" s="1063"/>
      <c r="K3667" s="1063"/>
      <c r="L3667" s="1063"/>
      <c r="M3667" s="1063"/>
      <c r="N3667" s="1063"/>
      <c r="O3667" s="1063"/>
      <c r="P3667" s="1063"/>
      <c r="Q3667" s="1063"/>
      <c r="R3667" s="1063"/>
      <c r="S3667" s="1063"/>
      <c r="T3667" s="1063"/>
      <c r="U3667" s="1063"/>
      <c r="V3667" s="1063"/>
      <c r="W3667" s="1063"/>
      <c r="X3667" s="1063"/>
      <c r="Y3667" s="1063"/>
      <c r="Z3667" s="1063"/>
      <c r="AA3667" s="1063"/>
      <c r="AB3667" s="1063"/>
      <c r="AC3667" s="1063"/>
      <c r="AD3667" s="1063"/>
      <c r="AE3667" s="1063"/>
      <c r="AF3667" s="1063"/>
      <c r="AG3667" s="1063"/>
      <c r="AH3667" s="1063"/>
      <c r="AI3667" s="1063"/>
      <c r="AJ3667" s="1063"/>
      <c r="AK3667" s="1063"/>
      <c r="AL3667" s="1063"/>
      <c r="AM3667" s="1063"/>
      <c r="AN3667" s="1063"/>
      <c r="AO3667" s="1063"/>
      <c r="AP3667" s="1063"/>
      <c r="AQ3667" s="1063"/>
      <c r="AR3667" s="1063"/>
      <c r="AS3667" s="1063"/>
      <c r="AT3667" s="1063"/>
      <c r="AU3667" s="1063"/>
      <c r="AV3667" s="1063"/>
    </row>
    <row r="3668" spans="1:48" s="1108" customFormat="1" ht="27.75" customHeight="1">
      <c r="A3668" s="1076"/>
      <c r="B3668" s="1074">
        <f>+'[18]Bldg+Dev'!S4480</f>
        <v>0</v>
      </c>
      <c r="D3668" s="1063"/>
      <c r="F3668" s="1076"/>
      <c r="G3668" s="1063"/>
      <c r="H3668" s="1063"/>
      <c r="I3668" s="1063"/>
      <c r="J3668" s="1063"/>
      <c r="K3668" s="1063"/>
      <c r="L3668" s="1063"/>
      <c r="M3668" s="1063"/>
      <c r="N3668" s="1063"/>
      <c r="O3668" s="1063"/>
      <c r="P3668" s="1063"/>
      <c r="Q3668" s="1063"/>
      <c r="R3668" s="1063"/>
      <c r="S3668" s="1063"/>
      <c r="T3668" s="1063"/>
      <c r="U3668" s="1063"/>
      <c r="V3668" s="1063"/>
      <c r="W3668" s="1063"/>
      <c r="X3668" s="1063"/>
      <c r="Y3668" s="1063"/>
      <c r="Z3668" s="1063"/>
      <c r="AA3668" s="1063"/>
      <c r="AB3668" s="1063"/>
      <c r="AC3668" s="1063"/>
      <c r="AD3668" s="1063"/>
      <c r="AE3668" s="1063"/>
      <c r="AF3668" s="1063"/>
      <c r="AG3668" s="1063"/>
      <c r="AH3668" s="1063"/>
      <c r="AI3668" s="1063"/>
      <c r="AJ3668" s="1063"/>
      <c r="AK3668" s="1063"/>
      <c r="AL3668" s="1063"/>
      <c r="AM3668" s="1063"/>
      <c r="AN3668" s="1063"/>
      <c r="AO3668" s="1063"/>
      <c r="AP3668" s="1063"/>
      <c r="AQ3668" s="1063"/>
      <c r="AR3668" s="1063"/>
      <c r="AS3668" s="1063"/>
      <c r="AT3668" s="1063"/>
      <c r="AU3668" s="1063"/>
      <c r="AV3668" s="1063"/>
    </row>
    <row r="3669" spans="1:48" s="1108" customFormat="1" ht="27.75" customHeight="1">
      <c r="A3669" s="1076"/>
      <c r="B3669" s="1074">
        <f>+'[18]Bldg+Dev'!S4481</f>
        <v>0</v>
      </c>
      <c r="D3669" s="1063"/>
      <c r="F3669" s="1076"/>
      <c r="G3669" s="1063"/>
      <c r="H3669" s="1063"/>
      <c r="I3669" s="1063"/>
      <c r="J3669" s="1063"/>
      <c r="K3669" s="1063"/>
      <c r="L3669" s="1063"/>
      <c r="M3669" s="1063"/>
      <c r="N3669" s="1063"/>
      <c r="O3669" s="1063"/>
      <c r="P3669" s="1063"/>
      <c r="Q3669" s="1063"/>
      <c r="R3669" s="1063"/>
      <c r="S3669" s="1063"/>
      <c r="T3669" s="1063"/>
      <c r="U3669" s="1063"/>
      <c r="V3669" s="1063"/>
      <c r="W3669" s="1063"/>
      <c r="X3669" s="1063"/>
      <c r="Y3669" s="1063"/>
      <c r="Z3669" s="1063"/>
      <c r="AA3669" s="1063"/>
      <c r="AB3669" s="1063"/>
      <c r="AC3669" s="1063"/>
      <c r="AD3669" s="1063"/>
      <c r="AE3669" s="1063"/>
      <c r="AF3669" s="1063"/>
      <c r="AG3669" s="1063"/>
      <c r="AH3669" s="1063"/>
      <c r="AI3669" s="1063"/>
      <c r="AJ3669" s="1063"/>
      <c r="AK3669" s="1063"/>
      <c r="AL3669" s="1063"/>
      <c r="AM3669" s="1063"/>
      <c r="AN3669" s="1063"/>
      <c r="AO3669" s="1063"/>
      <c r="AP3669" s="1063"/>
      <c r="AQ3669" s="1063"/>
      <c r="AR3669" s="1063"/>
      <c r="AS3669" s="1063"/>
      <c r="AT3669" s="1063"/>
      <c r="AU3669" s="1063"/>
      <c r="AV3669" s="1063"/>
    </row>
    <row r="3670" spans="1:48" s="1108" customFormat="1" ht="27.75" customHeight="1">
      <c r="A3670" s="1076"/>
      <c r="B3670" s="1074">
        <f>+'[18]Bldg+Dev'!S4482</f>
        <v>0</v>
      </c>
      <c r="D3670" s="1063"/>
      <c r="F3670" s="1076"/>
      <c r="G3670" s="1063"/>
      <c r="H3670" s="1063"/>
      <c r="I3670" s="1063"/>
      <c r="J3670" s="1063"/>
      <c r="K3670" s="1063"/>
      <c r="L3670" s="1063"/>
      <c r="M3670" s="1063"/>
      <c r="N3670" s="1063"/>
      <c r="O3670" s="1063"/>
      <c r="P3670" s="1063"/>
      <c r="Q3670" s="1063"/>
      <c r="R3670" s="1063"/>
      <c r="S3670" s="1063"/>
      <c r="T3670" s="1063"/>
      <c r="U3670" s="1063"/>
      <c r="V3670" s="1063"/>
      <c r="W3670" s="1063"/>
      <c r="X3670" s="1063"/>
      <c r="Y3670" s="1063"/>
      <c r="Z3670" s="1063"/>
      <c r="AA3670" s="1063"/>
      <c r="AB3670" s="1063"/>
      <c r="AC3670" s="1063"/>
      <c r="AD3670" s="1063"/>
      <c r="AE3670" s="1063"/>
      <c r="AF3670" s="1063"/>
      <c r="AG3670" s="1063"/>
      <c r="AH3670" s="1063"/>
      <c r="AI3670" s="1063"/>
      <c r="AJ3670" s="1063"/>
      <c r="AK3670" s="1063"/>
      <c r="AL3670" s="1063"/>
      <c r="AM3670" s="1063"/>
      <c r="AN3670" s="1063"/>
      <c r="AO3670" s="1063"/>
      <c r="AP3670" s="1063"/>
      <c r="AQ3670" s="1063"/>
      <c r="AR3670" s="1063"/>
      <c r="AS3670" s="1063"/>
      <c r="AT3670" s="1063"/>
      <c r="AU3670" s="1063"/>
      <c r="AV3670" s="1063"/>
    </row>
    <row r="3671" spans="1:48" s="1108" customFormat="1" ht="27.75" customHeight="1">
      <c r="A3671" s="1076"/>
      <c r="B3671" s="1074">
        <f>+'[18]Bldg+Dev'!S4483</f>
        <v>0</v>
      </c>
      <c r="D3671" s="1063"/>
      <c r="F3671" s="1076"/>
      <c r="G3671" s="1063"/>
      <c r="H3671" s="1063"/>
      <c r="I3671" s="1063"/>
      <c r="J3671" s="1063"/>
      <c r="K3671" s="1063"/>
      <c r="L3671" s="1063"/>
      <c r="M3671" s="1063"/>
      <c r="N3671" s="1063"/>
      <c r="O3671" s="1063"/>
      <c r="P3671" s="1063"/>
      <c r="Q3671" s="1063"/>
      <c r="R3671" s="1063"/>
      <c r="S3671" s="1063"/>
      <c r="T3671" s="1063"/>
      <c r="U3671" s="1063"/>
      <c r="V3671" s="1063"/>
      <c r="W3671" s="1063"/>
      <c r="X3671" s="1063"/>
      <c r="Y3671" s="1063"/>
      <c r="Z3671" s="1063"/>
      <c r="AA3671" s="1063"/>
      <c r="AB3671" s="1063"/>
      <c r="AC3671" s="1063"/>
      <c r="AD3671" s="1063"/>
      <c r="AE3671" s="1063"/>
      <c r="AF3671" s="1063"/>
      <c r="AG3671" s="1063"/>
      <c r="AH3671" s="1063"/>
      <c r="AI3671" s="1063"/>
      <c r="AJ3671" s="1063"/>
      <c r="AK3671" s="1063"/>
      <c r="AL3671" s="1063"/>
      <c r="AM3671" s="1063"/>
      <c r="AN3671" s="1063"/>
      <c r="AO3671" s="1063"/>
      <c r="AP3671" s="1063"/>
      <c r="AQ3671" s="1063"/>
      <c r="AR3671" s="1063"/>
      <c r="AS3671" s="1063"/>
      <c r="AT3671" s="1063"/>
      <c r="AU3671" s="1063"/>
      <c r="AV3671" s="1063"/>
    </row>
    <row r="3672" spans="1:48" s="1108" customFormat="1" ht="27.75" customHeight="1">
      <c r="A3672" s="1076"/>
      <c r="B3672" s="1074">
        <f>+'[18]Bldg+Dev'!S4484</f>
        <v>0</v>
      </c>
      <c r="D3672" s="1063"/>
      <c r="F3672" s="1076"/>
      <c r="G3672" s="1063"/>
      <c r="H3672" s="1063"/>
      <c r="I3672" s="1063"/>
      <c r="J3672" s="1063"/>
      <c r="K3672" s="1063"/>
      <c r="L3672" s="1063"/>
      <c r="M3672" s="1063"/>
      <c r="N3672" s="1063"/>
      <c r="O3672" s="1063"/>
      <c r="P3672" s="1063"/>
      <c r="Q3672" s="1063"/>
      <c r="R3672" s="1063"/>
      <c r="S3672" s="1063"/>
      <c r="T3672" s="1063"/>
      <c r="U3672" s="1063"/>
      <c r="V3672" s="1063"/>
      <c r="W3672" s="1063"/>
      <c r="X3672" s="1063"/>
      <c r="Y3672" s="1063"/>
      <c r="Z3672" s="1063"/>
      <c r="AA3672" s="1063"/>
      <c r="AB3672" s="1063"/>
      <c r="AC3672" s="1063"/>
      <c r="AD3672" s="1063"/>
      <c r="AE3672" s="1063"/>
      <c r="AF3672" s="1063"/>
      <c r="AG3672" s="1063"/>
      <c r="AH3672" s="1063"/>
      <c r="AI3672" s="1063"/>
      <c r="AJ3672" s="1063"/>
      <c r="AK3672" s="1063"/>
      <c r="AL3672" s="1063"/>
      <c r="AM3672" s="1063"/>
      <c r="AN3672" s="1063"/>
      <c r="AO3672" s="1063"/>
      <c r="AP3672" s="1063"/>
      <c r="AQ3672" s="1063"/>
      <c r="AR3672" s="1063"/>
      <c r="AS3672" s="1063"/>
      <c r="AT3672" s="1063"/>
      <c r="AU3672" s="1063"/>
      <c r="AV3672" s="1063"/>
    </row>
    <row r="3673" spans="1:48" s="1108" customFormat="1" ht="27.75" customHeight="1">
      <c r="A3673" s="1076"/>
      <c r="B3673" s="1074">
        <f>+'[18]Bldg+Dev'!S4485</f>
        <v>0</v>
      </c>
      <c r="D3673" s="1063"/>
      <c r="F3673" s="1076"/>
      <c r="G3673" s="1063"/>
      <c r="H3673" s="1063"/>
      <c r="I3673" s="1063"/>
      <c r="J3673" s="1063"/>
      <c r="K3673" s="1063"/>
      <c r="L3673" s="1063"/>
      <c r="M3673" s="1063"/>
      <c r="N3673" s="1063"/>
      <c r="O3673" s="1063"/>
      <c r="P3673" s="1063"/>
      <c r="Q3673" s="1063"/>
      <c r="R3673" s="1063"/>
      <c r="S3673" s="1063"/>
      <c r="T3673" s="1063"/>
      <c r="U3673" s="1063"/>
      <c r="V3673" s="1063"/>
      <c r="W3673" s="1063"/>
      <c r="X3673" s="1063"/>
      <c r="Y3673" s="1063"/>
      <c r="Z3673" s="1063"/>
      <c r="AA3673" s="1063"/>
      <c r="AB3673" s="1063"/>
      <c r="AC3673" s="1063"/>
      <c r="AD3673" s="1063"/>
      <c r="AE3673" s="1063"/>
      <c r="AF3673" s="1063"/>
      <c r="AG3673" s="1063"/>
      <c r="AH3673" s="1063"/>
      <c r="AI3673" s="1063"/>
      <c r="AJ3673" s="1063"/>
      <c r="AK3673" s="1063"/>
      <c r="AL3673" s="1063"/>
      <c r="AM3673" s="1063"/>
      <c r="AN3673" s="1063"/>
      <c r="AO3673" s="1063"/>
      <c r="AP3673" s="1063"/>
      <c r="AQ3673" s="1063"/>
      <c r="AR3673" s="1063"/>
      <c r="AS3673" s="1063"/>
      <c r="AT3673" s="1063"/>
      <c r="AU3673" s="1063"/>
      <c r="AV3673" s="1063"/>
    </row>
    <row r="3674" spans="1:48" s="1108" customFormat="1" ht="27.75" customHeight="1">
      <c r="A3674" s="1076"/>
      <c r="B3674" s="1074">
        <f>+'[18]Bldg+Dev'!S4486</f>
        <v>0</v>
      </c>
      <c r="D3674" s="1063"/>
      <c r="F3674" s="1076"/>
      <c r="G3674" s="1063"/>
      <c r="H3674" s="1063"/>
      <c r="I3674" s="1063"/>
      <c r="J3674" s="1063"/>
      <c r="K3674" s="1063"/>
      <c r="L3674" s="1063"/>
      <c r="M3674" s="1063"/>
      <c r="N3674" s="1063"/>
      <c r="O3674" s="1063"/>
      <c r="P3674" s="1063"/>
      <c r="Q3674" s="1063"/>
      <c r="R3674" s="1063"/>
      <c r="S3674" s="1063"/>
      <c r="T3674" s="1063"/>
      <c r="U3674" s="1063"/>
      <c r="V3674" s="1063"/>
      <c r="W3674" s="1063"/>
      <c r="X3674" s="1063"/>
      <c r="Y3674" s="1063"/>
      <c r="Z3674" s="1063"/>
      <c r="AA3674" s="1063"/>
      <c r="AB3674" s="1063"/>
      <c r="AC3674" s="1063"/>
      <c r="AD3674" s="1063"/>
      <c r="AE3674" s="1063"/>
      <c r="AF3674" s="1063"/>
      <c r="AG3674" s="1063"/>
      <c r="AH3674" s="1063"/>
      <c r="AI3674" s="1063"/>
      <c r="AJ3674" s="1063"/>
      <c r="AK3674" s="1063"/>
      <c r="AL3674" s="1063"/>
      <c r="AM3674" s="1063"/>
      <c r="AN3674" s="1063"/>
      <c r="AO3674" s="1063"/>
      <c r="AP3674" s="1063"/>
      <c r="AQ3674" s="1063"/>
      <c r="AR3674" s="1063"/>
      <c r="AS3674" s="1063"/>
      <c r="AT3674" s="1063"/>
      <c r="AU3674" s="1063"/>
      <c r="AV3674" s="1063"/>
    </row>
    <row r="3675" spans="1:48" s="1108" customFormat="1" ht="27.75" customHeight="1">
      <c r="A3675" s="1076"/>
      <c r="B3675" s="1074">
        <f>+'[18]Bldg+Dev'!S4487</f>
        <v>0</v>
      </c>
      <c r="D3675" s="1063"/>
      <c r="F3675" s="1076"/>
      <c r="G3675" s="1063"/>
      <c r="H3675" s="1063"/>
      <c r="I3675" s="1063"/>
      <c r="J3675" s="1063"/>
      <c r="K3675" s="1063"/>
      <c r="L3675" s="1063"/>
      <c r="M3675" s="1063"/>
      <c r="N3675" s="1063"/>
      <c r="O3675" s="1063"/>
      <c r="P3675" s="1063"/>
      <c r="Q3675" s="1063"/>
      <c r="R3675" s="1063"/>
      <c r="S3675" s="1063"/>
      <c r="T3675" s="1063"/>
      <c r="U3675" s="1063"/>
      <c r="V3675" s="1063"/>
      <c r="W3675" s="1063"/>
      <c r="X3675" s="1063"/>
      <c r="Y3675" s="1063"/>
      <c r="Z3675" s="1063"/>
      <c r="AA3675" s="1063"/>
      <c r="AB3675" s="1063"/>
      <c r="AC3675" s="1063"/>
      <c r="AD3675" s="1063"/>
      <c r="AE3675" s="1063"/>
      <c r="AF3675" s="1063"/>
      <c r="AG3675" s="1063"/>
      <c r="AH3675" s="1063"/>
      <c r="AI3675" s="1063"/>
      <c r="AJ3675" s="1063"/>
      <c r="AK3675" s="1063"/>
      <c r="AL3675" s="1063"/>
      <c r="AM3675" s="1063"/>
      <c r="AN3675" s="1063"/>
      <c r="AO3675" s="1063"/>
      <c r="AP3675" s="1063"/>
      <c r="AQ3675" s="1063"/>
      <c r="AR3675" s="1063"/>
      <c r="AS3675" s="1063"/>
      <c r="AT3675" s="1063"/>
      <c r="AU3675" s="1063"/>
      <c r="AV3675" s="1063"/>
    </row>
    <row r="3676" spans="1:48" s="1108" customFormat="1" ht="27.75" customHeight="1">
      <c r="A3676" s="1076"/>
      <c r="B3676" s="1074">
        <f>+'[18]Bldg+Dev'!S4488</f>
        <v>0</v>
      </c>
      <c r="D3676" s="1063"/>
      <c r="F3676" s="1076"/>
      <c r="G3676" s="1063"/>
      <c r="H3676" s="1063"/>
      <c r="I3676" s="1063"/>
      <c r="J3676" s="1063"/>
      <c r="K3676" s="1063"/>
      <c r="L3676" s="1063"/>
      <c r="M3676" s="1063"/>
      <c r="N3676" s="1063"/>
      <c r="O3676" s="1063"/>
      <c r="P3676" s="1063"/>
      <c r="Q3676" s="1063"/>
      <c r="R3676" s="1063"/>
      <c r="S3676" s="1063"/>
      <c r="T3676" s="1063"/>
      <c r="U3676" s="1063"/>
      <c r="V3676" s="1063"/>
      <c r="W3676" s="1063"/>
      <c r="X3676" s="1063"/>
      <c r="Y3676" s="1063"/>
      <c r="Z3676" s="1063"/>
      <c r="AA3676" s="1063"/>
      <c r="AB3676" s="1063"/>
      <c r="AC3676" s="1063"/>
      <c r="AD3676" s="1063"/>
      <c r="AE3676" s="1063"/>
      <c r="AF3676" s="1063"/>
      <c r="AG3676" s="1063"/>
      <c r="AH3676" s="1063"/>
      <c r="AI3676" s="1063"/>
      <c r="AJ3676" s="1063"/>
      <c r="AK3676" s="1063"/>
      <c r="AL3676" s="1063"/>
      <c r="AM3676" s="1063"/>
      <c r="AN3676" s="1063"/>
      <c r="AO3676" s="1063"/>
      <c r="AP3676" s="1063"/>
      <c r="AQ3676" s="1063"/>
      <c r="AR3676" s="1063"/>
      <c r="AS3676" s="1063"/>
      <c r="AT3676" s="1063"/>
      <c r="AU3676" s="1063"/>
      <c r="AV3676" s="1063"/>
    </row>
    <row r="3677" spans="1:48" s="1108" customFormat="1" ht="27.75" customHeight="1">
      <c r="A3677" s="1076"/>
      <c r="B3677" s="1074">
        <f>+'[18]Bldg+Dev'!S4489</f>
        <v>0</v>
      </c>
      <c r="D3677" s="1063"/>
      <c r="F3677" s="1076"/>
      <c r="G3677" s="1063"/>
      <c r="H3677" s="1063"/>
      <c r="I3677" s="1063"/>
      <c r="J3677" s="1063"/>
      <c r="K3677" s="1063"/>
      <c r="L3677" s="1063"/>
      <c r="M3677" s="1063"/>
      <c r="N3677" s="1063"/>
      <c r="O3677" s="1063"/>
      <c r="P3677" s="1063"/>
      <c r="Q3677" s="1063"/>
      <c r="R3677" s="1063"/>
      <c r="S3677" s="1063"/>
      <c r="T3677" s="1063"/>
      <c r="U3677" s="1063"/>
      <c r="V3677" s="1063"/>
      <c r="W3677" s="1063"/>
      <c r="X3677" s="1063"/>
      <c r="Y3677" s="1063"/>
      <c r="Z3677" s="1063"/>
      <c r="AA3677" s="1063"/>
      <c r="AB3677" s="1063"/>
      <c r="AC3677" s="1063"/>
      <c r="AD3677" s="1063"/>
      <c r="AE3677" s="1063"/>
      <c r="AF3677" s="1063"/>
      <c r="AG3677" s="1063"/>
      <c r="AH3677" s="1063"/>
      <c r="AI3677" s="1063"/>
      <c r="AJ3677" s="1063"/>
      <c r="AK3677" s="1063"/>
      <c r="AL3677" s="1063"/>
      <c r="AM3677" s="1063"/>
      <c r="AN3677" s="1063"/>
      <c r="AO3677" s="1063"/>
      <c r="AP3677" s="1063"/>
      <c r="AQ3677" s="1063"/>
      <c r="AR3677" s="1063"/>
      <c r="AS3677" s="1063"/>
      <c r="AT3677" s="1063"/>
      <c r="AU3677" s="1063"/>
      <c r="AV3677" s="1063"/>
    </row>
    <row r="3678" spans="1:48" s="1108" customFormat="1" ht="27.75" customHeight="1">
      <c r="A3678" s="1076"/>
      <c r="B3678" s="1074">
        <f>+'[18]Bldg+Dev'!S4490</f>
        <v>0</v>
      </c>
      <c r="D3678" s="1063"/>
      <c r="F3678" s="1076"/>
      <c r="G3678" s="1063"/>
      <c r="H3678" s="1063"/>
      <c r="I3678" s="1063"/>
      <c r="J3678" s="1063"/>
      <c r="K3678" s="1063"/>
      <c r="L3678" s="1063"/>
      <c r="M3678" s="1063"/>
      <c r="N3678" s="1063"/>
      <c r="O3678" s="1063"/>
      <c r="P3678" s="1063"/>
      <c r="Q3678" s="1063"/>
      <c r="R3678" s="1063"/>
      <c r="S3678" s="1063"/>
      <c r="T3678" s="1063"/>
      <c r="U3678" s="1063"/>
      <c r="V3678" s="1063"/>
      <c r="W3678" s="1063"/>
      <c r="X3678" s="1063"/>
      <c r="Y3678" s="1063"/>
      <c r="Z3678" s="1063"/>
      <c r="AA3678" s="1063"/>
      <c r="AB3678" s="1063"/>
      <c r="AC3678" s="1063"/>
      <c r="AD3678" s="1063"/>
      <c r="AE3678" s="1063"/>
      <c r="AF3678" s="1063"/>
      <c r="AG3678" s="1063"/>
      <c r="AH3678" s="1063"/>
      <c r="AI3678" s="1063"/>
      <c r="AJ3678" s="1063"/>
      <c r="AK3678" s="1063"/>
      <c r="AL3678" s="1063"/>
      <c r="AM3678" s="1063"/>
      <c r="AN3678" s="1063"/>
      <c r="AO3678" s="1063"/>
      <c r="AP3678" s="1063"/>
      <c r="AQ3678" s="1063"/>
      <c r="AR3678" s="1063"/>
      <c r="AS3678" s="1063"/>
      <c r="AT3678" s="1063"/>
      <c r="AU3678" s="1063"/>
      <c r="AV3678" s="1063"/>
    </row>
    <row r="3679" spans="1:48" s="1108" customFormat="1" ht="27.75" customHeight="1">
      <c r="A3679" s="1076"/>
      <c r="B3679" s="1074">
        <f>+'[18]Bldg+Dev'!S4491</f>
        <v>0</v>
      </c>
      <c r="D3679" s="1063"/>
      <c r="F3679" s="1076"/>
      <c r="G3679" s="1063"/>
      <c r="H3679" s="1063"/>
      <c r="I3679" s="1063"/>
      <c r="J3679" s="1063"/>
      <c r="K3679" s="1063"/>
      <c r="L3679" s="1063"/>
      <c r="M3679" s="1063"/>
      <c r="N3679" s="1063"/>
      <c r="O3679" s="1063"/>
      <c r="P3679" s="1063"/>
      <c r="Q3679" s="1063"/>
      <c r="R3679" s="1063"/>
      <c r="S3679" s="1063"/>
      <c r="T3679" s="1063"/>
      <c r="U3679" s="1063"/>
      <c r="V3679" s="1063"/>
      <c r="W3679" s="1063"/>
      <c r="X3679" s="1063"/>
      <c r="Y3679" s="1063"/>
      <c r="Z3679" s="1063"/>
      <c r="AA3679" s="1063"/>
      <c r="AB3679" s="1063"/>
      <c r="AC3679" s="1063"/>
      <c r="AD3679" s="1063"/>
      <c r="AE3679" s="1063"/>
      <c r="AF3679" s="1063"/>
      <c r="AG3679" s="1063"/>
      <c r="AH3679" s="1063"/>
      <c r="AI3679" s="1063"/>
      <c r="AJ3679" s="1063"/>
      <c r="AK3679" s="1063"/>
      <c r="AL3679" s="1063"/>
      <c r="AM3679" s="1063"/>
      <c r="AN3679" s="1063"/>
      <c r="AO3679" s="1063"/>
      <c r="AP3679" s="1063"/>
      <c r="AQ3679" s="1063"/>
      <c r="AR3679" s="1063"/>
      <c r="AS3679" s="1063"/>
      <c r="AT3679" s="1063"/>
      <c r="AU3679" s="1063"/>
      <c r="AV3679" s="1063"/>
    </row>
    <row r="3680" spans="1:48" s="1108" customFormat="1" ht="27.75" customHeight="1">
      <c r="A3680" s="1076"/>
      <c r="B3680" s="1074">
        <f>+'[18]Bldg+Dev'!S4492</f>
        <v>0</v>
      </c>
      <c r="D3680" s="1063"/>
      <c r="F3680" s="1076"/>
      <c r="G3680" s="1063"/>
      <c r="H3680" s="1063"/>
      <c r="I3680" s="1063"/>
      <c r="J3680" s="1063"/>
      <c r="K3680" s="1063"/>
      <c r="L3680" s="1063"/>
      <c r="M3680" s="1063"/>
      <c r="N3680" s="1063"/>
      <c r="O3680" s="1063"/>
      <c r="P3680" s="1063"/>
      <c r="Q3680" s="1063"/>
      <c r="R3680" s="1063"/>
      <c r="S3680" s="1063"/>
      <c r="T3680" s="1063"/>
      <c r="U3680" s="1063"/>
      <c r="V3680" s="1063"/>
      <c r="W3680" s="1063"/>
      <c r="X3680" s="1063"/>
      <c r="Y3680" s="1063"/>
      <c r="Z3680" s="1063"/>
      <c r="AA3680" s="1063"/>
      <c r="AB3680" s="1063"/>
      <c r="AC3680" s="1063"/>
      <c r="AD3680" s="1063"/>
      <c r="AE3680" s="1063"/>
      <c r="AF3680" s="1063"/>
      <c r="AG3680" s="1063"/>
      <c r="AH3680" s="1063"/>
      <c r="AI3680" s="1063"/>
      <c r="AJ3680" s="1063"/>
      <c r="AK3680" s="1063"/>
      <c r="AL3680" s="1063"/>
      <c r="AM3680" s="1063"/>
      <c r="AN3680" s="1063"/>
      <c r="AO3680" s="1063"/>
      <c r="AP3680" s="1063"/>
      <c r="AQ3680" s="1063"/>
      <c r="AR3680" s="1063"/>
      <c r="AS3680" s="1063"/>
      <c r="AT3680" s="1063"/>
      <c r="AU3680" s="1063"/>
      <c r="AV3680" s="1063"/>
    </row>
    <row r="3681" spans="1:48" s="1108" customFormat="1" ht="27.75" customHeight="1">
      <c r="A3681" s="1076"/>
      <c r="B3681" s="1074">
        <f>+'[18]Bldg+Dev'!S4493</f>
        <v>0</v>
      </c>
      <c r="D3681" s="1063"/>
      <c r="F3681" s="1076"/>
      <c r="G3681" s="1063"/>
      <c r="H3681" s="1063"/>
      <c r="I3681" s="1063"/>
      <c r="J3681" s="1063"/>
      <c r="K3681" s="1063"/>
      <c r="L3681" s="1063"/>
      <c r="M3681" s="1063"/>
      <c r="N3681" s="1063"/>
      <c r="O3681" s="1063"/>
      <c r="P3681" s="1063"/>
      <c r="Q3681" s="1063"/>
      <c r="R3681" s="1063"/>
      <c r="S3681" s="1063"/>
      <c r="T3681" s="1063"/>
      <c r="U3681" s="1063"/>
      <c r="V3681" s="1063"/>
      <c r="W3681" s="1063"/>
      <c r="X3681" s="1063"/>
      <c r="Y3681" s="1063"/>
      <c r="Z3681" s="1063"/>
      <c r="AA3681" s="1063"/>
      <c r="AB3681" s="1063"/>
      <c r="AC3681" s="1063"/>
      <c r="AD3681" s="1063"/>
      <c r="AE3681" s="1063"/>
      <c r="AF3681" s="1063"/>
      <c r="AG3681" s="1063"/>
      <c r="AH3681" s="1063"/>
      <c r="AI3681" s="1063"/>
      <c r="AJ3681" s="1063"/>
      <c r="AK3681" s="1063"/>
      <c r="AL3681" s="1063"/>
      <c r="AM3681" s="1063"/>
      <c r="AN3681" s="1063"/>
      <c r="AO3681" s="1063"/>
      <c r="AP3681" s="1063"/>
      <c r="AQ3681" s="1063"/>
      <c r="AR3681" s="1063"/>
      <c r="AS3681" s="1063"/>
      <c r="AT3681" s="1063"/>
      <c r="AU3681" s="1063"/>
      <c r="AV3681" s="1063"/>
    </row>
    <row r="3682" spans="1:48" s="1108" customFormat="1" ht="27.75" customHeight="1">
      <c r="A3682" s="1076"/>
      <c r="B3682" s="1074">
        <f>+'[18]Bldg+Dev'!S4494</f>
        <v>0</v>
      </c>
      <c r="D3682" s="1063"/>
      <c r="F3682" s="1076"/>
      <c r="G3682" s="1063"/>
      <c r="H3682" s="1063"/>
      <c r="I3682" s="1063"/>
      <c r="J3682" s="1063"/>
      <c r="K3682" s="1063"/>
      <c r="L3682" s="1063"/>
      <c r="M3682" s="1063"/>
      <c r="N3682" s="1063"/>
      <c r="O3682" s="1063"/>
      <c r="P3682" s="1063"/>
      <c r="Q3682" s="1063"/>
      <c r="R3682" s="1063"/>
      <c r="S3682" s="1063"/>
      <c r="T3682" s="1063"/>
      <c r="U3682" s="1063"/>
      <c r="V3682" s="1063"/>
      <c r="W3682" s="1063"/>
      <c r="X3682" s="1063"/>
      <c r="Y3682" s="1063"/>
      <c r="Z3682" s="1063"/>
      <c r="AA3682" s="1063"/>
      <c r="AB3682" s="1063"/>
      <c r="AC3682" s="1063"/>
      <c r="AD3682" s="1063"/>
      <c r="AE3682" s="1063"/>
      <c r="AF3682" s="1063"/>
      <c r="AG3682" s="1063"/>
      <c r="AH3682" s="1063"/>
      <c r="AI3682" s="1063"/>
      <c r="AJ3682" s="1063"/>
      <c r="AK3682" s="1063"/>
      <c r="AL3682" s="1063"/>
      <c r="AM3682" s="1063"/>
      <c r="AN3682" s="1063"/>
      <c r="AO3682" s="1063"/>
      <c r="AP3682" s="1063"/>
      <c r="AQ3682" s="1063"/>
      <c r="AR3682" s="1063"/>
      <c r="AS3682" s="1063"/>
      <c r="AT3682" s="1063"/>
      <c r="AU3682" s="1063"/>
      <c r="AV3682" s="1063"/>
    </row>
    <row r="3683" spans="1:48" s="1108" customFormat="1" ht="27.75" customHeight="1">
      <c r="A3683" s="1076"/>
      <c r="B3683" s="1074">
        <f>+'[18]Bldg+Dev'!S4495</f>
        <v>0</v>
      </c>
      <c r="D3683" s="1063"/>
      <c r="F3683" s="1076"/>
      <c r="G3683" s="1063"/>
      <c r="H3683" s="1063"/>
      <c r="I3683" s="1063"/>
      <c r="J3683" s="1063"/>
      <c r="K3683" s="1063"/>
      <c r="L3683" s="1063"/>
      <c r="M3683" s="1063"/>
      <c r="N3683" s="1063"/>
      <c r="O3683" s="1063"/>
      <c r="P3683" s="1063"/>
      <c r="Q3683" s="1063"/>
      <c r="R3683" s="1063"/>
      <c r="S3683" s="1063"/>
      <c r="T3683" s="1063"/>
      <c r="U3683" s="1063"/>
      <c r="V3683" s="1063"/>
      <c r="W3683" s="1063"/>
      <c r="X3683" s="1063"/>
      <c r="Y3683" s="1063"/>
      <c r="Z3683" s="1063"/>
      <c r="AA3683" s="1063"/>
      <c r="AB3683" s="1063"/>
      <c r="AC3683" s="1063"/>
      <c r="AD3683" s="1063"/>
      <c r="AE3683" s="1063"/>
      <c r="AF3683" s="1063"/>
      <c r="AG3683" s="1063"/>
      <c r="AH3683" s="1063"/>
      <c r="AI3683" s="1063"/>
      <c r="AJ3683" s="1063"/>
      <c r="AK3683" s="1063"/>
      <c r="AL3683" s="1063"/>
      <c r="AM3683" s="1063"/>
      <c r="AN3683" s="1063"/>
      <c r="AO3683" s="1063"/>
      <c r="AP3683" s="1063"/>
      <c r="AQ3683" s="1063"/>
      <c r="AR3683" s="1063"/>
      <c r="AS3683" s="1063"/>
      <c r="AT3683" s="1063"/>
      <c r="AU3683" s="1063"/>
      <c r="AV3683" s="1063"/>
    </row>
    <row r="3684" spans="1:48" s="1108" customFormat="1" ht="27.75" customHeight="1">
      <c r="A3684" s="1076"/>
      <c r="B3684" s="1074">
        <f>+'[18]Bldg+Dev'!S4496</f>
        <v>0</v>
      </c>
      <c r="D3684" s="1063"/>
      <c r="F3684" s="1076"/>
      <c r="G3684" s="1063"/>
      <c r="H3684" s="1063"/>
      <c r="I3684" s="1063"/>
      <c r="J3684" s="1063"/>
      <c r="K3684" s="1063"/>
      <c r="L3684" s="1063"/>
      <c r="M3684" s="1063"/>
      <c r="N3684" s="1063"/>
      <c r="O3684" s="1063"/>
      <c r="P3684" s="1063"/>
      <c r="Q3684" s="1063"/>
      <c r="R3684" s="1063"/>
      <c r="S3684" s="1063"/>
      <c r="T3684" s="1063"/>
      <c r="U3684" s="1063"/>
      <c r="V3684" s="1063"/>
      <c r="W3684" s="1063"/>
      <c r="X3684" s="1063"/>
      <c r="Y3684" s="1063"/>
      <c r="Z3684" s="1063"/>
      <c r="AA3684" s="1063"/>
      <c r="AB3684" s="1063"/>
      <c r="AC3684" s="1063"/>
      <c r="AD3684" s="1063"/>
      <c r="AE3684" s="1063"/>
      <c r="AF3684" s="1063"/>
      <c r="AG3684" s="1063"/>
      <c r="AH3684" s="1063"/>
      <c r="AI3684" s="1063"/>
      <c r="AJ3684" s="1063"/>
      <c r="AK3684" s="1063"/>
      <c r="AL3684" s="1063"/>
      <c r="AM3684" s="1063"/>
      <c r="AN3684" s="1063"/>
      <c r="AO3684" s="1063"/>
      <c r="AP3684" s="1063"/>
      <c r="AQ3684" s="1063"/>
      <c r="AR3684" s="1063"/>
      <c r="AS3684" s="1063"/>
      <c r="AT3684" s="1063"/>
      <c r="AU3684" s="1063"/>
      <c r="AV3684" s="1063"/>
    </row>
    <row r="3685" spans="1:48" s="1108" customFormat="1" ht="27.75" customHeight="1">
      <c r="A3685" s="1076"/>
      <c r="B3685" s="1074">
        <f>+'[18]Bldg+Dev'!S4497</f>
        <v>0</v>
      </c>
      <c r="D3685" s="1063"/>
      <c r="F3685" s="1076"/>
      <c r="G3685" s="1063"/>
      <c r="H3685" s="1063"/>
      <c r="I3685" s="1063"/>
      <c r="J3685" s="1063"/>
      <c r="K3685" s="1063"/>
      <c r="L3685" s="1063"/>
      <c r="M3685" s="1063"/>
      <c r="N3685" s="1063"/>
      <c r="O3685" s="1063"/>
      <c r="P3685" s="1063"/>
      <c r="Q3685" s="1063"/>
      <c r="R3685" s="1063"/>
      <c r="S3685" s="1063"/>
      <c r="T3685" s="1063"/>
      <c r="U3685" s="1063"/>
      <c r="V3685" s="1063"/>
      <c r="W3685" s="1063"/>
      <c r="X3685" s="1063"/>
      <c r="Y3685" s="1063"/>
      <c r="Z3685" s="1063"/>
      <c r="AA3685" s="1063"/>
      <c r="AB3685" s="1063"/>
      <c r="AC3685" s="1063"/>
      <c r="AD3685" s="1063"/>
      <c r="AE3685" s="1063"/>
      <c r="AF3685" s="1063"/>
      <c r="AG3685" s="1063"/>
      <c r="AH3685" s="1063"/>
      <c r="AI3685" s="1063"/>
      <c r="AJ3685" s="1063"/>
      <c r="AK3685" s="1063"/>
      <c r="AL3685" s="1063"/>
      <c r="AM3685" s="1063"/>
      <c r="AN3685" s="1063"/>
      <c r="AO3685" s="1063"/>
      <c r="AP3685" s="1063"/>
      <c r="AQ3685" s="1063"/>
      <c r="AR3685" s="1063"/>
      <c r="AS3685" s="1063"/>
      <c r="AT3685" s="1063"/>
      <c r="AU3685" s="1063"/>
      <c r="AV3685" s="1063"/>
    </row>
    <row r="3686" spans="1:48" s="1108" customFormat="1" ht="27.75" customHeight="1">
      <c r="A3686" s="1076"/>
      <c r="B3686" s="1074">
        <f>+'[18]Bldg+Dev'!S4498</f>
        <v>0</v>
      </c>
      <c r="D3686" s="1063"/>
      <c r="F3686" s="1076"/>
      <c r="G3686" s="1063"/>
      <c r="H3686" s="1063"/>
      <c r="I3686" s="1063"/>
      <c r="J3686" s="1063"/>
      <c r="K3686" s="1063"/>
      <c r="L3686" s="1063"/>
      <c r="M3686" s="1063"/>
      <c r="N3686" s="1063"/>
      <c r="O3686" s="1063"/>
      <c r="P3686" s="1063"/>
      <c r="Q3686" s="1063"/>
      <c r="R3686" s="1063"/>
      <c r="S3686" s="1063"/>
      <c r="T3686" s="1063"/>
      <c r="U3686" s="1063"/>
      <c r="V3686" s="1063"/>
      <c r="W3686" s="1063"/>
      <c r="X3686" s="1063"/>
      <c r="Y3686" s="1063"/>
      <c r="Z3686" s="1063"/>
      <c r="AA3686" s="1063"/>
      <c r="AB3686" s="1063"/>
      <c r="AC3686" s="1063"/>
      <c r="AD3686" s="1063"/>
      <c r="AE3686" s="1063"/>
      <c r="AF3686" s="1063"/>
      <c r="AG3686" s="1063"/>
      <c r="AH3686" s="1063"/>
      <c r="AI3686" s="1063"/>
      <c r="AJ3686" s="1063"/>
      <c r="AK3686" s="1063"/>
      <c r="AL3686" s="1063"/>
      <c r="AM3686" s="1063"/>
      <c r="AN3686" s="1063"/>
      <c r="AO3686" s="1063"/>
      <c r="AP3686" s="1063"/>
      <c r="AQ3686" s="1063"/>
      <c r="AR3686" s="1063"/>
      <c r="AS3686" s="1063"/>
      <c r="AT3686" s="1063"/>
      <c r="AU3686" s="1063"/>
      <c r="AV3686" s="1063"/>
    </row>
    <row r="3687" spans="1:48" s="1108" customFormat="1" ht="27.75" customHeight="1">
      <c r="A3687" s="1076"/>
      <c r="B3687" s="1074">
        <f>+'[18]Bldg+Dev'!S4499</f>
        <v>0</v>
      </c>
      <c r="D3687" s="1063"/>
      <c r="F3687" s="1076"/>
      <c r="G3687" s="1063"/>
      <c r="H3687" s="1063"/>
      <c r="I3687" s="1063"/>
      <c r="J3687" s="1063"/>
      <c r="K3687" s="1063"/>
      <c r="L3687" s="1063"/>
      <c r="M3687" s="1063"/>
      <c r="N3687" s="1063"/>
      <c r="O3687" s="1063"/>
      <c r="P3687" s="1063"/>
      <c r="Q3687" s="1063"/>
      <c r="R3687" s="1063"/>
      <c r="S3687" s="1063"/>
      <c r="T3687" s="1063"/>
      <c r="U3687" s="1063"/>
      <c r="V3687" s="1063"/>
      <c r="W3687" s="1063"/>
      <c r="X3687" s="1063"/>
      <c r="Y3687" s="1063"/>
      <c r="Z3687" s="1063"/>
      <c r="AA3687" s="1063"/>
      <c r="AB3687" s="1063"/>
      <c r="AC3687" s="1063"/>
      <c r="AD3687" s="1063"/>
      <c r="AE3687" s="1063"/>
      <c r="AF3687" s="1063"/>
      <c r="AG3687" s="1063"/>
      <c r="AH3687" s="1063"/>
      <c r="AI3687" s="1063"/>
      <c r="AJ3687" s="1063"/>
      <c r="AK3687" s="1063"/>
      <c r="AL3687" s="1063"/>
      <c r="AM3687" s="1063"/>
      <c r="AN3687" s="1063"/>
      <c r="AO3687" s="1063"/>
      <c r="AP3687" s="1063"/>
      <c r="AQ3687" s="1063"/>
      <c r="AR3687" s="1063"/>
      <c r="AS3687" s="1063"/>
      <c r="AT3687" s="1063"/>
      <c r="AU3687" s="1063"/>
      <c r="AV3687" s="1063"/>
    </row>
    <row r="3688" spans="1:48" s="1108" customFormat="1" ht="27.75" customHeight="1">
      <c r="A3688" s="1076"/>
      <c r="B3688" s="1074">
        <f>+'[18]Bldg+Dev'!S4500</f>
        <v>0</v>
      </c>
      <c r="D3688" s="1063"/>
      <c r="F3688" s="1076"/>
      <c r="G3688" s="1063"/>
      <c r="H3688" s="1063"/>
      <c r="I3688" s="1063"/>
      <c r="J3688" s="1063"/>
      <c r="K3688" s="1063"/>
      <c r="L3688" s="1063"/>
      <c r="M3688" s="1063"/>
      <c r="N3688" s="1063"/>
      <c r="O3688" s="1063"/>
      <c r="P3688" s="1063"/>
      <c r="Q3688" s="1063"/>
      <c r="R3688" s="1063"/>
      <c r="S3688" s="1063"/>
      <c r="T3688" s="1063"/>
      <c r="U3688" s="1063"/>
      <c r="V3688" s="1063"/>
      <c r="W3688" s="1063"/>
      <c r="X3688" s="1063"/>
      <c r="Y3688" s="1063"/>
      <c r="Z3688" s="1063"/>
      <c r="AA3688" s="1063"/>
      <c r="AB3688" s="1063"/>
      <c r="AC3688" s="1063"/>
      <c r="AD3688" s="1063"/>
      <c r="AE3688" s="1063"/>
      <c r="AF3688" s="1063"/>
      <c r="AG3688" s="1063"/>
      <c r="AH3688" s="1063"/>
      <c r="AI3688" s="1063"/>
      <c r="AJ3688" s="1063"/>
      <c r="AK3688" s="1063"/>
      <c r="AL3688" s="1063"/>
      <c r="AM3688" s="1063"/>
      <c r="AN3688" s="1063"/>
      <c r="AO3688" s="1063"/>
      <c r="AP3688" s="1063"/>
      <c r="AQ3688" s="1063"/>
      <c r="AR3688" s="1063"/>
      <c r="AS3688" s="1063"/>
      <c r="AT3688" s="1063"/>
      <c r="AU3688" s="1063"/>
      <c r="AV3688" s="1063"/>
    </row>
    <row r="3689" spans="1:48" s="1108" customFormat="1" ht="27.75" customHeight="1">
      <c r="A3689" s="1076"/>
      <c r="B3689" s="1074">
        <f>+'[18]Bldg+Dev'!S4501</f>
        <v>0</v>
      </c>
      <c r="D3689" s="1063"/>
      <c r="F3689" s="1076"/>
      <c r="G3689" s="1063"/>
      <c r="H3689" s="1063"/>
      <c r="I3689" s="1063"/>
      <c r="J3689" s="1063"/>
      <c r="K3689" s="1063"/>
      <c r="L3689" s="1063"/>
      <c r="M3689" s="1063"/>
      <c r="N3689" s="1063"/>
      <c r="O3689" s="1063"/>
      <c r="P3689" s="1063"/>
      <c r="Q3689" s="1063"/>
      <c r="R3689" s="1063"/>
      <c r="S3689" s="1063"/>
      <c r="T3689" s="1063"/>
      <c r="U3689" s="1063"/>
      <c r="V3689" s="1063"/>
      <c r="W3689" s="1063"/>
      <c r="X3689" s="1063"/>
      <c r="Y3689" s="1063"/>
      <c r="Z3689" s="1063"/>
      <c r="AA3689" s="1063"/>
      <c r="AB3689" s="1063"/>
      <c r="AC3689" s="1063"/>
      <c r="AD3689" s="1063"/>
      <c r="AE3689" s="1063"/>
      <c r="AF3689" s="1063"/>
      <c r="AG3689" s="1063"/>
      <c r="AH3689" s="1063"/>
      <c r="AI3689" s="1063"/>
      <c r="AJ3689" s="1063"/>
      <c r="AK3689" s="1063"/>
      <c r="AL3689" s="1063"/>
      <c r="AM3689" s="1063"/>
      <c r="AN3689" s="1063"/>
      <c r="AO3689" s="1063"/>
      <c r="AP3689" s="1063"/>
      <c r="AQ3689" s="1063"/>
      <c r="AR3689" s="1063"/>
      <c r="AS3689" s="1063"/>
      <c r="AT3689" s="1063"/>
      <c r="AU3689" s="1063"/>
      <c r="AV3689" s="1063"/>
    </row>
    <row r="3690" spans="1:48" s="1108" customFormat="1" ht="27.75" customHeight="1">
      <c r="A3690" s="1076"/>
      <c r="B3690" s="1074">
        <f>+'[18]Bldg+Dev'!S4502</f>
        <v>0</v>
      </c>
      <c r="D3690" s="1063"/>
      <c r="F3690" s="1076"/>
      <c r="G3690" s="1063"/>
      <c r="H3690" s="1063"/>
      <c r="I3690" s="1063"/>
      <c r="J3690" s="1063"/>
      <c r="K3690" s="1063"/>
      <c r="L3690" s="1063"/>
      <c r="M3690" s="1063"/>
      <c r="N3690" s="1063"/>
      <c r="O3690" s="1063"/>
      <c r="P3690" s="1063"/>
      <c r="Q3690" s="1063"/>
      <c r="R3690" s="1063"/>
      <c r="S3690" s="1063"/>
      <c r="T3690" s="1063"/>
      <c r="U3690" s="1063"/>
      <c r="V3690" s="1063"/>
      <c r="W3690" s="1063"/>
      <c r="X3690" s="1063"/>
      <c r="Y3690" s="1063"/>
      <c r="Z3690" s="1063"/>
      <c r="AA3690" s="1063"/>
      <c r="AB3690" s="1063"/>
      <c r="AC3690" s="1063"/>
      <c r="AD3690" s="1063"/>
      <c r="AE3690" s="1063"/>
      <c r="AF3690" s="1063"/>
      <c r="AG3690" s="1063"/>
      <c r="AH3690" s="1063"/>
      <c r="AI3690" s="1063"/>
      <c r="AJ3690" s="1063"/>
      <c r="AK3690" s="1063"/>
      <c r="AL3690" s="1063"/>
      <c r="AM3690" s="1063"/>
      <c r="AN3690" s="1063"/>
      <c r="AO3690" s="1063"/>
      <c r="AP3690" s="1063"/>
      <c r="AQ3690" s="1063"/>
      <c r="AR3690" s="1063"/>
      <c r="AS3690" s="1063"/>
      <c r="AT3690" s="1063"/>
      <c r="AU3690" s="1063"/>
      <c r="AV3690" s="1063"/>
    </row>
    <row r="3691" spans="1:48" s="1108" customFormat="1" ht="27.75" customHeight="1">
      <c r="A3691" s="1076"/>
      <c r="B3691" s="1074">
        <f>+'[18]Bldg+Dev'!S4503</f>
        <v>0</v>
      </c>
      <c r="D3691" s="1063"/>
      <c r="F3691" s="1076"/>
      <c r="G3691" s="1063"/>
      <c r="H3691" s="1063"/>
      <c r="I3691" s="1063"/>
      <c r="J3691" s="1063"/>
      <c r="K3691" s="1063"/>
      <c r="L3691" s="1063"/>
      <c r="M3691" s="1063"/>
      <c r="N3691" s="1063"/>
      <c r="O3691" s="1063"/>
      <c r="P3691" s="1063"/>
      <c r="Q3691" s="1063"/>
      <c r="R3691" s="1063"/>
      <c r="S3691" s="1063"/>
      <c r="T3691" s="1063"/>
      <c r="U3691" s="1063"/>
      <c r="V3691" s="1063"/>
      <c r="W3691" s="1063"/>
      <c r="X3691" s="1063"/>
      <c r="Y3691" s="1063"/>
      <c r="Z3691" s="1063"/>
      <c r="AA3691" s="1063"/>
      <c r="AB3691" s="1063"/>
      <c r="AC3691" s="1063"/>
      <c r="AD3691" s="1063"/>
      <c r="AE3691" s="1063"/>
      <c r="AF3691" s="1063"/>
      <c r="AG3691" s="1063"/>
      <c r="AH3691" s="1063"/>
      <c r="AI3691" s="1063"/>
      <c r="AJ3691" s="1063"/>
      <c r="AK3691" s="1063"/>
      <c r="AL3691" s="1063"/>
      <c r="AM3691" s="1063"/>
      <c r="AN3691" s="1063"/>
      <c r="AO3691" s="1063"/>
      <c r="AP3691" s="1063"/>
      <c r="AQ3691" s="1063"/>
      <c r="AR3691" s="1063"/>
      <c r="AS3691" s="1063"/>
      <c r="AT3691" s="1063"/>
      <c r="AU3691" s="1063"/>
      <c r="AV3691" s="1063"/>
    </row>
    <row r="3692" spans="1:48" s="1108" customFormat="1" ht="27.75" customHeight="1">
      <c r="A3692" s="1076"/>
      <c r="B3692" s="1074">
        <f>+'[18]Bldg+Dev'!S4504</f>
        <v>0</v>
      </c>
      <c r="D3692" s="1063"/>
      <c r="F3692" s="1076"/>
      <c r="G3692" s="1063"/>
      <c r="H3692" s="1063"/>
      <c r="I3692" s="1063"/>
      <c r="J3692" s="1063"/>
      <c r="K3692" s="1063"/>
      <c r="L3692" s="1063"/>
      <c r="M3692" s="1063"/>
      <c r="N3692" s="1063"/>
      <c r="O3692" s="1063"/>
      <c r="P3692" s="1063"/>
      <c r="Q3692" s="1063"/>
      <c r="R3692" s="1063"/>
      <c r="S3692" s="1063"/>
      <c r="T3692" s="1063"/>
      <c r="U3692" s="1063"/>
      <c r="V3692" s="1063"/>
      <c r="W3692" s="1063"/>
      <c r="X3692" s="1063"/>
      <c r="Y3692" s="1063"/>
      <c r="Z3692" s="1063"/>
      <c r="AA3692" s="1063"/>
      <c r="AB3692" s="1063"/>
      <c r="AC3692" s="1063"/>
      <c r="AD3692" s="1063"/>
      <c r="AE3692" s="1063"/>
      <c r="AF3692" s="1063"/>
      <c r="AG3692" s="1063"/>
      <c r="AH3692" s="1063"/>
      <c r="AI3692" s="1063"/>
      <c r="AJ3692" s="1063"/>
      <c r="AK3692" s="1063"/>
      <c r="AL3692" s="1063"/>
      <c r="AM3692" s="1063"/>
      <c r="AN3692" s="1063"/>
      <c r="AO3692" s="1063"/>
      <c r="AP3692" s="1063"/>
      <c r="AQ3692" s="1063"/>
      <c r="AR3692" s="1063"/>
      <c r="AS3692" s="1063"/>
      <c r="AT3692" s="1063"/>
      <c r="AU3692" s="1063"/>
      <c r="AV3692" s="1063"/>
    </row>
    <row r="3693" spans="1:48" s="1108" customFormat="1" ht="27.75" customHeight="1">
      <c r="A3693" s="1076"/>
      <c r="B3693" s="1074">
        <f>+'[18]Bldg+Dev'!S4505</f>
        <v>0</v>
      </c>
      <c r="D3693" s="1063"/>
      <c r="F3693" s="1076"/>
      <c r="G3693" s="1063"/>
      <c r="H3693" s="1063"/>
      <c r="I3693" s="1063"/>
      <c r="J3693" s="1063"/>
      <c r="K3693" s="1063"/>
      <c r="L3693" s="1063"/>
      <c r="M3693" s="1063"/>
      <c r="N3693" s="1063"/>
      <c r="O3693" s="1063"/>
      <c r="P3693" s="1063"/>
      <c r="Q3693" s="1063"/>
      <c r="R3693" s="1063"/>
      <c r="S3693" s="1063"/>
      <c r="T3693" s="1063"/>
      <c r="U3693" s="1063"/>
      <c r="V3693" s="1063"/>
      <c r="W3693" s="1063"/>
      <c r="X3693" s="1063"/>
      <c r="Y3693" s="1063"/>
      <c r="Z3693" s="1063"/>
      <c r="AA3693" s="1063"/>
      <c r="AB3693" s="1063"/>
      <c r="AC3693" s="1063"/>
      <c r="AD3693" s="1063"/>
      <c r="AE3693" s="1063"/>
      <c r="AF3693" s="1063"/>
      <c r="AG3693" s="1063"/>
      <c r="AH3693" s="1063"/>
      <c r="AI3693" s="1063"/>
      <c r="AJ3693" s="1063"/>
      <c r="AK3693" s="1063"/>
      <c r="AL3693" s="1063"/>
      <c r="AM3693" s="1063"/>
      <c r="AN3693" s="1063"/>
      <c r="AO3693" s="1063"/>
      <c r="AP3693" s="1063"/>
      <c r="AQ3693" s="1063"/>
      <c r="AR3693" s="1063"/>
      <c r="AS3693" s="1063"/>
      <c r="AT3693" s="1063"/>
      <c r="AU3693" s="1063"/>
      <c r="AV3693" s="1063"/>
    </row>
    <row r="3694" spans="1:48" s="1108" customFormat="1" ht="27.75" customHeight="1">
      <c r="A3694" s="1076"/>
      <c r="B3694" s="1074">
        <f>+'[18]Bldg+Dev'!S4506</f>
        <v>0</v>
      </c>
      <c r="D3694" s="1063"/>
      <c r="F3694" s="1076"/>
      <c r="G3694" s="1063"/>
      <c r="H3694" s="1063"/>
      <c r="I3694" s="1063"/>
      <c r="J3694" s="1063"/>
      <c r="K3694" s="1063"/>
      <c r="L3694" s="1063"/>
      <c r="M3694" s="1063"/>
      <c r="N3694" s="1063"/>
      <c r="O3694" s="1063"/>
      <c r="P3694" s="1063"/>
      <c r="Q3694" s="1063"/>
      <c r="R3694" s="1063"/>
      <c r="S3694" s="1063"/>
      <c r="T3694" s="1063"/>
      <c r="U3694" s="1063"/>
      <c r="V3694" s="1063"/>
      <c r="W3694" s="1063"/>
      <c r="X3694" s="1063"/>
      <c r="Y3694" s="1063"/>
      <c r="Z3694" s="1063"/>
      <c r="AA3694" s="1063"/>
      <c r="AB3694" s="1063"/>
      <c r="AC3694" s="1063"/>
      <c r="AD3694" s="1063"/>
      <c r="AE3694" s="1063"/>
      <c r="AF3694" s="1063"/>
      <c r="AG3694" s="1063"/>
      <c r="AH3694" s="1063"/>
      <c r="AI3694" s="1063"/>
      <c r="AJ3694" s="1063"/>
      <c r="AK3694" s="1063"/>
      <c r="AL3694" s="1063"/>
      <c r="AM3694" s="1063"/>
      <c r="AN3694" s="1063"/>
      <c r="AO3694" s="1063"/>
      <c r="AP3694" s="1063"/>
      <c r="AQ3694" s="1063"/>
      <c r="AR3694" s="1063"/>
      <c r="AS3694" s="1063"/>
      <c r="AT3694" s="1063"/>
      <c r="AU3694" s="1063"/>
      <c r="AV3694" s="1063"/>
    </row>
    <row r="3695" spans="1:48" s="1108" customFormat="1" ht="27.75" customHeight="1">
      <c r="A3695" s="1076"/>
      <c r="B3695" s="1074">
        <f>+'[18]Bldg+Dev'!S4507</f>
        <v>0</v>
      </c>
      <c r="D3695" s="1063"/>
      <c r="F3695" s="1076"/>
      <c r="G3695" s="1063"/>
      <c r="H3695" s="1063"/>
      <c r="I3695" s="1063"/>
      <c r="J3695" s="1063"/>
      <c r="K3695" s="1063"/>
      <c r="L3695" s="1063"/>
      <c r="M3695" s="1063"/>
      <c r="N3695" s="1063"/>
      <c r="O3695" s="1063"/>
      <c r="P3695" s="1063"/>
      <c r="Q3695" s="1063"/>
      <c r="R3695" s="1063"/>
      <c r="S3695" s="1063"/>
      <c r="T3695" s="1063"/>
      <c r="U3695" s="1063"/>
      <c r="V3695" s="1063"/>
      <c r="W3695" s="1063"/>
      <c r="X3695" s="1063"/>
      <c r="Y3695" s="1063"/>
      <c r="Z3695" s="1063"/>
      <c r="AA3695" s="1063"/>
      <c r="AB3695" s="1063"/>
      <c r="AC3695" s="1063"/>
      <c r="AD3695" s="1063"/>
      <c r="AE3695" s="1063"/>
      <c r="AF3695" s="1063"/>
      <c r="AG3695" s="1063"/>
      <c r="AH3695" s="1063"/>
      <c r="AI3695" s="1063"/>
      <c r="AJ3695" s="1063"/>
      <c r="AK3695" s="1063"/>
      <c r="AL3695" s="1063"/>
      <c r="AM3695" s="1063"/>
      <c r="AN3695" s="1063"/>
      <c r="AO3695" s="1063"/>
      <c r="AP3695" s="1063"/>
      <c r="AQ3695" s="1063"/>
      <c r="AR3695" s="1063"/>
      <c r="AS3695" s="1063"/>
      <c r="AT3695" s="1063"/>
      <c r="AU3695" s="1063"/>
      <c r="AV3695" s="1063"/>
    </row>
    <row r="3696" spans="1:48" s="1108" customFormat="1" ht="27.75" customHeight="1">
      <c r="A3696" s="1076"/>
      <c r="B3696" s="1074">
        <f>+'[18]Bldg+Dev'!S4508</f>
        <v>0</v>
      </c>
      <c r="D3696" s="1063"/>
      <c r="F3696" s="1076"/>
      <c r="G3696" s="1063"/>
      <c r="H3696" s="1063"/>
      <c r="I3696" s="1063"/>
      <c r="J3696" s="1063"/>
      <c r="K3696" s="1063"/>
      <c r="L3696" s="1063"/>
      <c r="M3696" s="1063"/>
      <c r="N3696" s="1063"/>
      <c r="O3696" s="1063"/>
      <c r="P3696" s="1063"/>
      <c r="Q3696" s="1063"/>
      <c r="R3696" s="1063"/>
      <c r="S3696" s="1063"/>
      <c r="T3696" s="1063"/>
      <c r="U3696" s="1063"/>
      <c r="V3696" s="1063"/>
      <c r="W3696" s="1063"/>
      <c r="X3696" s="1063"/>
      <c r="Y3696" s="1063"/>
      <c r="Z3696" s="1063"/>
      <c r="AA3696" s="1063"/>
      <c r="AB3696" s="1063"/>
      <c r="AC3696" s="1063"/>
      <c r="AD3696" s="1063"/>
      <c r="AE3696" s="1063"/>
      <c r="AF3696" s="1063"/>
      <c r="AG3696" s="1063"/>
      <c r="AH3696" s="1063"/>
      <c r="AI3696" s="1063"/>
      <c r="AJ3696" s="1063"/>
      <c r="AK3696" s="1063"/>
      <c r="AL3696" s="1063"/>
      <c r="AM3696" s="1063"/>
      <c r="AN3696" s="1063"/>
      <c r="AO3696" s="1063"/>
      <c r="AP3696" s="1063"/>
      <c r="AQ3696" s="1063"/>
      <c r="AR3696" s="1063"/>
      <c r="AS3696" s="1063"/>
      <c r="AT3696" s="1063"/>
      <c r="AU3696" s="1063"/>
      <c r="AV3696" s="1063"/>
    </row>
    <row r="3697" spans="1:48" s="1108" customFormat="1" ht="27.75" customHeight="1">
      <c r="A3697" s="1076"/>
      <c r="B3697" s="1074">
        <f>+'[18]Bldg+Dev'!S4509</f>
        <v>0</v>
      </c>
      <c r="D3697" s="1063"/>
      <c r="F3697" s="1076"/>
      <c r="G3697" s="1063"/>
      <c r="H3697" s="1063"/>
      <c r="I3697" s="1063"/>
      <c r="J3697" s="1063"/>
      <c r="K3697" s="1063"/>
      <c r="L3697" s="1063"/>
      <c r="M3697" s="1063"/>
      <c r="N3697" s="1063"/>
      <c r="O3697" s="1063"/>
      <c r="P3697" s="1063"/>
      <c r="Q3697" s="1063"/>
      <c r="R3697" s="1063"/>
      <c r="S3697" s="1063"/>
      <c r="T3697" s="1063"/>
      <c r="U3697" s="1063"/>
      <c r="V3697" s="1063"/>
      <c r="W3697" s="1063"/>
      <c r="X3697" s="1063"/>
      <c r="Y3697" s="1063"/>
      <c r="Z3697" s="1063"/>
      <c r="AA3697" s="1063"/>
      <c r="AB3697" s="1063"/>
      <c r="AC3697" s="1063"/>
      <c r="AD3697" s="1063"/>
      <c r="AE3697" s="1063"/>
      <c r="AF3697" s="1063"/>
      <c r="AG3697" s="1063"/>
      <c r="AH3697" s="1063"/>
      <c r="AI3697" s="1063"/>
      <c r="AJ3697" s="1063"/>
      <c r="AK3697" s="1063"/>
      <c r="AL3697" s="1063"/>
      <c r="AM3697" s="1063"/>
      <c r="AN3697" s="1063"/>
      <c r="AO3697" s="1063"/>
      <c r="AP3697" s="1063"/>
      <c r="AQ3697" s="1063"/>
      <c r="AR3697" s="1063"/>
      <c r="AS3697" s="1063"/>
      <c r="AT3697" s="1063"/>
      <c r="AU3697" s="1063"/>
      <c r="AV3697" s="1063"/>
    </row>
    <row r="3698" spans="1:48" s="1108" customFormat="1" ht="27.75" customHeight="1">
      <c r="A3698" s="1076"/>
      <c r="B3698" s="1074">
        <f>+'[18]Bldg+Dev'!S4510</f>
        <v>0</v>
      </c>
      <c r="D3698" s="1063"/>
      <c r="F3698" s="1076"/>
      <c r="G3698" s="1063"/>
      <c r="H3698" s="1063"/>
      <c r="I3698" s="1063"/>
      <c r="J3698" s="1063"/>
      <c r="K3698" s="1063"/>
      <c r="L3698" s="1063"/>
      <c r="M3698" s="1063"/>
      <c r="N3698" s="1063"/>
      <c r="O3698" s="1063"/>
      <c r="P3698" s="1063"/>
      <c r="Q3698" s="1063"/>
      <c r="R3698" s="1063"/>
      <c r="S3698" s="1063"/>
      <c r="T3698" s="1063"/>
      <c r="U3698" s="1063"/>
      <c r="V3698" s="1063"/>
      <c r="W3698" s="1063"/>
      <c r="X3698" s="1063"/>
      <c r="Y3698" s="1063"/>
      <c r="Z3698" s="1063"/>
      <c r="AA3698" s="1063"/>
      <c r="AB3698" s="1063"/>
      <c r="AC3698" s="1063"/>
      <c r="AD3698" s="1063"/>
      <c r="AE3698" s="1063"/>
      <c r="AF3698" s="1063"/>
      <c r="AG3698" s="1063"/>
      <c r="AH3698" s="1063"/>
      <c r="AI3698" s="1063"/>
      <c r="AJ3698" s="1063"/>
      <c r="AK3698" s="1063"/>
      <c r="AL3698" s="1063"/>
      <c r="AM3698" s="1063"/>
      <c r="AN3698" s="1063"/>
      <c r="AO3698" s="1063"/>
      <c r="AP3698" s="1063"/>
      <c r="AQ3698" s="1063"/>
      <c r="AR3698" s="1063"/>
      <c r="AS3698" s="1063"/>
      <c r="AT3698" s="1063"/>
      <c r="AU3698" s="1063"/>
      <c r="AV3698" s="1063"/>
    </row>
    <row r="3699" spans="1:48" s="1108" customFormat="1" ht="27.75" customHeight="1">
      <c r="A3699" s="1076"/>
      <c r="B3699" s="1074">
        <f>+'[18]Bldg+Dev'!S4511</f>
        <v>0</v>
      </c>
      <c r="D3699" s="1063"/>
      <c r="F3699" s="1076"/>
      <c r="G3699" s="1063"/>
      <c r="H3699" s="1063"/>
      <c r="I3699" s="1063"/>
      <c r="J3699" s="1063"/>
      <c r="K3699" s="1063"/>
      <c r="L3699" s="1063"/>
      <c r="M3699" s="1063"/>
      <c r="N3699" s="1063"/>
      <c r="O3699" s="1063"/>
      <c r="P3699" s="1063"/>
      <c r="Q3699" s="1063"/>
      <c r="R3699" s="1063"/>
      <c r="S3699" s="1063"/>
      <c r="T3699" s="1063"/>
      <c r="U3699" s="1063"/>
      <c r="V3699" s="1063"/>
      <c r="W3699" s="1063"/>
      <c r="X3699" s="1063"/>
      <c r="Y3699" s="1063"/>
      <c r="Z3699" s="1063"/>
      <c r="AA3699" s="1063"/>
      <c r="AB3699" s="1063"/>
      <c r="AC3699" s="1063"/>
      <c r="AD3699" s="1063"/>
      <c r="AE3699" s="1063"/>
      <c r="AF3699" s="1063"/>
      <c r="AG3699" s="1063"/>
      <c r="AH3699" s="1063"/>
      <c r="AI3699" s="1063"/>
      <c r="AJ3699" s="1063"/>
      <c r="AK3699" s="1063"/>
      <c r="AL3699" s="1063"/>
      <c r="AM3699" s="1063"/>
      <c r="AN3699" s="1063"/>
      <c r="AO3699" s="1063"/>
      <c r="AP3699" s="1063"/>
      <c r="AQ3699" s="1063"/>
      <c r="AR3699" s="1063"/>
      <c r="AS3699" s="1063"/>
      <c r="AT3699" s="1063"/>
      <c r="AU3699" s="1063"/>
      <c r="AV3699" s="1063"/>
    </row>
    <row r="3700" spans="1:48" s="1108" customFormat="1" ht="27.75" customHeight="1">
      <c r="A3700" s="1076"/>
      <c r="B3700" s="1074">
        <f>+'[18]Bldg+Dev'!S4512</f>
        <v>0</v>
      </c>
      <c r="D3700" s="1063"/>
      <c r="F3700" s="1076"/>
      <c r="G3700" s="1063"/>
      <c r="H3700" s="1063"/>
      <c r="I3700" s="1063"/>
      <c r="J3700" s="1063"/>
      <c r="K3700" s="1063"/>
      <c r="L3700" s="1063"/>
      <c r="M3700" s="1063"/>
      <c r="N3700" s="1063"/>
      <c r="O3700" s="1063"/>
      <c r="P3700" s="1063"/>
      <c r="Q3700" s="1063"/>
      <c r="R3700" s="1063"/>
      <c r="S3700" s="1063"/>
      <c r="T3700" s="1063"/>
      <c r="U3700" s="1063"/>
      <c r="V3700" s="1063"/>
      <c r="W3700" s="1063"/>
      <c r="X3700" s="1063"/>
      <c r="Y3700" s="1063"/>
      <c r="Z3700" s="1063"/>
      <c r="AA3700" s="1063"/>
      <c r="AB3700" s="1063"/>
      <c r="AC3700" s="1063"/>
      <c r="AD3700" s="1063"/>
      <c r="AE3700" s="1063"/>
      <c r="AF3700" s="1063"/>
      <c r="AG3700" s="1063"/>
      <c r="AH3700" s="1063"/>
      <c r="AI3700" s="1063"/>
      <c r="AJ3700" s="1063"/>
      <c r="AK3700" s="1063"/>
      <c r="AL3700" s="1063"/>
      <c r="AM3700" s="1063"/>
      <c r="AN3700" s="1063"/>
      <c r="AO3700" s="1063"/>
      <c r="AP3700" s="1063"/>
      <c r="AQ3700" s="1063"/>
      <c r="AR3700" s="1063"/>
      <c r="AS3700" s="1063"/>
      <c r="AT3700" s="1063"/>
      <c r="AU3700" s="1063"/>
      <c r="AV3700" s="1063"/>
    </row>
    <row r="3701" spans="1:48" s="1108" customFormat="1" ht="27.75" customHeight="1">
      <c r="A3701" s="1076"/>
      <c r="B3701" s="1074">
        <f>+'[18]Bldg+Dev'!S4513</f>
        <v>0</v>
      </c>
      <c r="D3701" s="1063"/>
      <c r="F3701" s="1076"/>
      <c r="G3701" s="1063"/>
      <c r="H3701" s="1063"/>
      <c r="I3701" s="1063"/>
      <c r="J3701" s="1063"/>
      <c r="K3701" s="1063"/>
      <c r="L3701" s="1063"/>
      <c r="M3701" s="1063"/>
      <c r="N3701" s="1063"/>
      <c r="O3701" s="1063"/>
      <c r="P3701" s="1063"/>
      <c r="Q3701" s="1063"/>
      <c r="R3701" s="1063"/>
      <c r="S3701" s="1063"/>
      <c r="T3701" s="1063"/>
      <c r="U3701" s="1063"/>
      <c r="V3701" s="1063"/>
      <c r="W3701" s="1063"/>
      <c r="X3701" s="1063"/>
      <c r="Y3701" s="1063"/>
      <c r="Z3701" s="1063"/>
      <c r="AA3701" s="1063"/>
      <c r="AB3701" s="1063"/>
      <c r="AC3701" s="1063"/>
      <c r="AD3701" s="1063"/>
      <c r="AE3701" s="1063"/>
      <c r="AF3701" s="1063"/>
      <c r="AG3701" s="1063"/>
      <c r="AH3701" s="1063"/>
      <c r="AI3701" s="1063"/>
      <c r="AJ3701" s="1063"/>
      <c r="AK3701" s="1063"/>
      <c r="AL3701" s="1063"/>
      <c r="AM3701" s="1063"/>
      <c r="AN3701" s="1063"/>
      <c r="AO3701" s="1063"/>
      <c r="AP3701" s="1063"/>
      <c r="AQ3701" s="1063"/>
      <c r="AR3701" s="1063"/>
      <c r="AS3701" s="1063"/>
      <c r="AT3701" s="1063"/>
      <c r="AU3701" s="1063"/>
      <c r="AV3701" s="1063"/>
    </row>
    <row r="3702" spans="1:48" s="1108" customFormat="1" ht="27.75" customHeight="1">
      <c r="A3702" s="1076"/>
      <c r="B3702" s="1074">
        <f>+'[18]Bldg+Dev'!S4514</f>
        <v>0</v>
      </c>
      <c r="D3702" s="1063"/>
      <c r="F3702" s="1076"/>
      <c r="G3702" s="1063"/>
      <c r="H3702" s="1063"/>
      <c r="I3702" s="1063"/>
      <c r="J3702" s="1063"/>
      <c r="K3702" s="1063"/>
      <c r="L3702" s="1063"/>
      <c r="M3702" s="1063"/>
      <c r="N3702" s="1063"/>
      <c r="O3702" s="1063"/>
      <c r="P3702" s="1063"/>
      <c r="Q3702" s="1063"/>
      <c r="R3702" s="1063"/>
      <c r="S3702" s="1063"/>
      <c r="T3702" s="1063"/>
      <c r="U3702" s="1063"/>
      <c r="V3702" s="1063"/>
      <c r="W3702" s="1063"/>
      <c r="X3702" s="1063"/>
      <c r="Y3702" s="1063"/>
      <c r="Z3702" s="1063"/>
      <c r="AA3702" s="1063"/>
      <c r="AB3702" s="1063"/>
      <c r="AC3702" s="1063"/>
      <c r="AD3702" s="1063"/>
      <c r="AE3702" s="1063"/>
      <c r="AF3702" s="1063"/>
      <c r="AG3702" s="1063"/>
      <c r="AH3702" s="1063"/>
      <c r="AI3702" s="1063"/>
      <c r="AJ3702" s="1063"/>
      <c r="AK3702" s="1063"/>
      <c r="AL3702" s="1063"/>
      <c r="AM3702" s="1063"/>
      <c r="AN3702" s="1063"/>
      <c r="AO3702" s="1063"/>
      <c r="AP3702" s="1063"/>
      <c r="AQ3702" s="1063"/>
      <c r="AR3702" s="1063"/>
      <c r="AS3702" s="1063"/>
      <c r="AT3702" s="1063"/>
      <c r="AU3702" s="1063"/>
      <c r="AV3702" s="1063"/>
    </row>
    <row r="3703" spans="1:48" s="1108" customFormat="1" ht="27.75" customHeight="1">
      <c r="A3703" s="1076"/>
      <c r="B3703" s="1074">
        <f>+'[18]Bldg+Dev'!S4515</f>
        <v>0</v>
      </c>
      <c r="D3703" s="1063"/>
      <c r="F3703" s="1076"/>
      <c r="G3703" s="1063"/>
      <c r="H3703" s="1063"/>
      <c r="I3703" s="1063"/>
      <c r="J3703" s="1063"/>
      <c r="K3703" s="1063"/>
      <c r="L3703" s="1063"/>
      <c r="M3703" s="1063"/>
      <c r="N3703" s="1063"/>
      <c r="O3703" s="1063"/>
      <c r="P3703" s="1063"/>
      <c r="Q3703" s="1063"/>
      <c r="R3703" s="1063"/>
      <c r="S3703" s="1063"/>
      <c r="T3703" s="1063"/>
      <c r="U3703" s="1063"/>
      <c r="V3703" s="1063"/>
      <c r="W3703" s="1063"/>
      <c r="X3703" s="1063"/>
      <c r="Y3703" s="1063"/>
      <c r="Z3703" s="1063"/>
      <c r="AA3703" s="1063"/>
      <c r="AB3703" s="1063"/>
      <c r="AC3703" s="1063"/>
      <c r="AD3703" s="1063"/>
      <c r="AE3703" s="1063"/>
      <c r="AF3703" s="1063"/>
      <c r="AG3703" s="1063"/>
      <c r="AH3703" s="1063"/>
      <c r="AI3703" s="1063"/>
      <c r="AJ3703" s="1063"/>
      <c r="AK3703" s="1063"/>
      <c r="AL3703" s="1063"/>
      <c r="AM3703" s="1063"/>
      <c r="AN3703" s="1063"/>
      <c r="AO3703" s="1063"/>
      <c r="AP3703" s="1063"/>
      <c r="AQ3703" s="1063"/>
      <c r="AR3703" s="1063"/>
      <c r="AS3703" s="1063"/>
      <c r="AT3703" s="1063"/>
      <c r="AU3703" s="1063"/>
      <c r="AV3703" s="1063"/>
    </row>
    <row r="3704" spans="1:48" s="1108" customFormat="1" ht="27.75" customHeight="1">
      <c r="A3704" s="1076"/>
      <c r="B3704" s="1074">
        <f>+'[18]Bldg+Dev'!S4516</f>
        <v>0</v>
      </c>
      <c r="D3704" s="1063"/>
      <c r="F3704" s="1076"/>
      <c r="G3704" s="1063"/>
      <c r="H3704" s="1063"/>
      <c r="I3704" s="1063"/>
      <c r="J3704" s="1063"/>
      <c r="K3704" s="1063"/>
      <c r="L3704" s="1063"/>
      <c r="M3704" s="1063"/>
      <c r="N3704" s="1063"/>
      <c r="O3704" s="1063"/>
      <c r="P3704" s="1063"/>
      <c r="Q3704" s="1063"/>
      <c r="R3704" s="1063"/>
      <c r="S3704" s="1063"/>
      <c r="T3704" s="1063"/>
      <c r="U3704" s="1063"/>
      <c r="V3704" s="1063"/>
      <c r="W3704" s="1063"/>
      <c r="X3704" s="1063"/>
      <c r="Y3704" s="1063"/>
      <c r="Z3704" s="1063"/>
      <c r="AA3704" s="1063"/>
      <c r="AB3704" s="1063"/>
      <c r="AC3704" s="1063"/>
      <c r="AD3704" s="1063"/>
      <c r="AE3704" s="1063"/>
      <c r="AF3704" s="1063"/>
      <c r="AG3704" s="1063"/>
      <c r="AH3704" s="1063"/>
      <c r="AI3704" s="1063"/>
      <c r="AJ3704" s="1063"/>
      <c r="AK3704" s="1063"/>
      <c r="AL3704" s="1063"/>
      <c r="AM3704" s="1063"/>
      <c r="AN3704" s="1063"/>
      <c r="AO3704" s="1063"/>
      <c r="AP3704" s="1063"/>
      <c r="AQ3704" s="1063"/>
      <c r="AR3704" s="1063"/>
      <c r="AS3704" s="1063"/>
      <c r="AT3704" s="1063"/>
      <c r="AU3704" s="1063"/>
      <c r="AV3704" s="1063"/>
    </row>
    <row r="3705" spans="1:48" s="1108" customFormat="1" ht="27.75" customHeight="1">
      <c r="A3705" s="1076"/>
      <c r="B3705" s="1074">
        <f>+'[18]Bldg+Dev'!S4517</f>
        <v>0</v>
      </c>
      <c r="D3705" s="1063"/>
      <c r="F3705" s="1076"/>
      <c r="G3705" s="1063"/>
      <c r="H3705" s="1063"/>
      <c r="I3705" s="1063"/>
      <c r="J3705" s="1063"/>
      <c r="K3705" s="1063"/>
      <c r="L3705" s="1063"/>
      <c r="M3705" s="1063"/>
      <c r="N3705" s="1063"/>
      <c r="O3705" s="1063"/>
      <c r="P3705" s="1063"/>
      <c r="Q3705" s="1063"/>
      <c r="R3705" s="1063"/>
      <c r="S3705" s="1063"/>
      <c r="T3705" s="1063"/>
      <c r="U3705" s="1063"/>
      <c r="V3705" s="1063"/>
      <c r="W3705" s="1063"/>
      <c r="X3705" s="1063"/>
      <c r="Y3705" s="1063"/>
      <c r="Z3705" s="1063"/>
      <c r="AA3705" s="1063"/>
      <c r="AB3705" s="1063"/>
      <c r="AC3705" s="1063"/>
      <c r="AD3705" s="1063"/>
      <c r="AE3705" s="1063"/>
      <c r="AF3705" s="1063"/>
      <c r="AG3705" s="1063"/>
      <c r="AH3705" s="1063"/>
      <c r="AI3705" s="1063"/>
      <c r="AJ3705" s="1063"/>
      <c r="AK3705" s="1063"/>
      <c r="AL3705" s="1063"/>
      <c r="AM3705" s="1063"/>
      <c r="AN3705" s="1063"/>
      <c r="AO3705" s="1063"/>
      <c r="AP3705" s="1063"/>
      <c r="AQ3705" s="1063"/>
      <c r="AR3705" s="1063"/>
      <c r="AS3705" s="1063"/>
      <c r="AT3705" s="1063"/>
      <c r="AU3705" s="1063"/>
      <c r="AV3705" s="1063"/>
    </row>
    <row r="3706" spans="1:48" s="1108" customFormat="1" ht="27.75" customHeight="1">
      <c r="A3706" s="1076"/>
      <c r="B3706" s="1074">
        <f>+'[18]Bldg+Dev'!S4518</f>
        <v>0</v>
      </c>
      <c r="D3706" s="1063"/>
      <c r="F3706" s="1076"/>
      <c r="G3706" s="1063"/>
      <c r="H3706" s="1063"/>
      <c r="I3706" s="1063"/>
      <c r="J3706" s="1063"/>
      <c r="K3706" s="1063"/>
      <c r="L3706" s="1063"/>
      <c r="M3706" s="1063"/>
      <c r="N3706" s="1063"/>
      <c r="O3706" s="1063"/>
      <c r="P3706" s="1063"/>
      <c r="Q3706" s="1063"/>
      <c r="R3706" s="1063"/>
      <c r="S3706" s="1063"/>
      <c r="T3706" s="1063"/>
      <c r="U3706" s="1063"/>
      <c r="V3706" s="1063"/>
      <c r="W3706" s="1063"/>
      <c r="X3706" s="1063"/>
      <c r="Y3706" s="1063"/>
      <c r="Z3706" s="1063"/>
      <c r="AA3706" s="1063"/>
      <c r="AB3706" s="1063"/>
      <c r="AC3706" s="1063"/>
      <c r="AD3706" s="1063"/>
      <c r="AE3706" s="1063"/>
      <c r="AF3706" s="1063"/>
      <c r="AG3706" s="1063"/>
      <c r="AH3706" s="1063"/>
      <c r="AI3706" s="1063"/>
      <c r="AJ3706" s="1063"/>
      <c r="AK3706" s="1063"/>
      <c r="AL3706" s="1063"/>
      <c r="AM3706" s="1063"/>
      <c r="AN3706" s="1063"/>
      <c r="AO3706" s="1063"/>
      <c r="AP3706" s="1063"/>
      <c r="AQ3706" s="1063"/>
      <c r="AR3706" s="1063"/>
      <c r="AS3706" s="1063"/>
      <c r="AT3706" s="1063"/>
      <c r="AU3706" s="1063"/>
      <c r="AV3706" s="1063"/>
    </row>
    <row r="3707" spans="1:48" s="1108" customFormat="1" ht="27.75" customHeight="1">
      <c r="A3707" s="1076"/>
      <c r="B3707" s="1074">
        <f>+'[18]Bldg+Dev'!S4519</f>
        <v>0</v>
      </c>
      <c r="D3707" s="1063"/>
      <c r="F3707" s="1076"/>
      <c r="G3707" s="1063"/>
      <c r="H3707" s="1063"/>
      <c r="I3707" s="1063"/>
      <c r="J3707" s="1063"/>
      <c r="K3707" s="1063"/>
      <c r="L3707" s="1063"/>
      <c r="M3707" s="1063"/>
      <c r="N3707" s="1063"/>
      <c r="O3707" s="1063"/>
      <c r="P3707" s="1063"/>
      <c r="Q3707" s="1063"/>
      <c r="R3707" s="1063"/>
      <c r="S3707" s="1063"/>
      <c r="T3707" s="1063"/>
      <c r="U3707" s="1063"/>
      <c r="V3707" s="1063"/>
      <c r="W3707" s="1063"/>
      <c r="X3707" s="1063"/>
      <c r="Y3707" s="1063"/>
      <c r="Z3707" s="1063"/>
      <c r="AA3707" s="1063"/>
      <c r="AB3707" s="1063"/>
      <c r="AC3707" s="1063"/>
      <c r="AD3707" s="1063"/>
      <c r="AE3707" s="1063"/>
      <c r="AF3707" s="1063"/>
      <c r="AG3707" s="1063"/>
      <c r="AH3707" s="1063"/>
      <c r="AI3707" s="1063"/>
      <c r="AJ3707" s="1063"/>
      <c r="AK3707" s="1063"/>
      <c r="AL3707" s="1063"/>
      <c r="AM3707" s="1063"/>
      <c r="AN3707" s="1063"/>
      <c r="AO3707" s="1063"/>
      <c r="AP3707" s="1063"/>
      <c r="AQ3707" s="1063"/>
      <c r="AR3707" s="1063"/>
      <c r="AS3707" s="1063"/>
      <c r="AT3707" s="1063"/>
      <c r="AU3707" s="1063"/>
      <c r="AV3707" s="1063"/>
    </row>
    <row r="3708" spans="1:48" s="1108" customFormat="1" ht="27.75" customHeight="1">
      <c r="A3708" s="1076"/>
      <c r="B3708" s="1074">
        <f>+'[18]Bldg+Dev'!S4520</f>
        <v>0</v>
      </c>
      <c r="D3708" s="1063"/>
      <c r="F3708" s="1076"/>
      <c r="G3708" s="1063"/>
      <c r="H3708" s="1063"/>
      <c r="I3708" s="1063"/>
      <c r="J3708" s="1063"/>
      <c r="K3708" s="1063"/>
      <c r="L3708" s="1063"/>
      <c r="M3708" s="1063"/>
      <c r="N3708" s="1063"/>
      <c r="O3708" s="1063"/>
      <c r="P3708" s="1063"/>
      <c r="Q3708" s="1063"/>
      <c r="R3708" s="1063"/>
      <c r="S3708" s="1063"/>
      <c r="T3708" s="1063"/>
      <c r="U3708" s="1063"/>
      <c r="V3708" s="1063"/>
      <c r="W3708" s="1063"/>
      <c r="X3708" s="1063"/>
      <c r="Y3708" s="1063"/>
      <c r="Z3708" s="1063"/>
      <c r="AA3708" s="1063"/>
      <c r="AB3708" s="1063"/>
      <c r="AC3708" s="1063"/>
      <c r="AD3708" s="1063"/>
      <c r="AE3708" s="1063"/>
      <c r="AF3708" s="1063"/>
      <c r="AG3708" s="1063"/>
      <c r="AH3708" s="1063"/>
      <c r="AI3708" s="1063"/>
      <c r="AJ3708" s="1063"/>
      <c r="AK3708" s="1063"/>
      <c r="AL3708" s="1063"/>
      <c r="AM3708" s="1063"/>
      <c r="AN3708" s="1063"/>
      <c r="AO3708" s="1063"/>
      <c r="AP3708" s="1063"/>
      <c r="AQ3708" s="1063"/>
      <c r="AR3708" s="1063"/>
      <c r="AS3708" s="1063"/>
      <c r="AT3708" s="1063"/>
      <c r="AU3708" s="1063"/>
      <c r="AV3708" s="1063"/>
    </row>
    <row r="3709" spans="1:48" s="1108" customFormat="1" ht="27.75" customHeight="1">
      <c r="A3709" s="1076"/>
      <c r="B3709" s="1074">
        <f>+'[18]Bldg+Dev'!S4521</f>
        <v>0</v>
      </c>
      <c r="D3709" s="1063"/>
      <c r="F3709" s="1076"/>
      <c r="G3709" s="1063"/>
      <c r="H3709" s="1063"/>
      <c r="I3709" s="1063"/>
      <c r="J3709" s="1063"/>
      <c r="K3709" s="1063"/>
      <c r="L3709" s="1063"/>
      <c r="M3709" s="1063"/>
      <c r="N3709" s="1063"/>
      <c r="O3709" s="1063"/>
      <c r="P3709" s="1063"/>
      <c r="Q3709" s="1063"/>
      <c r="R3709" s="1063"/>
      <c r="S3709" s="1063"/>
      <c r="T3709" s="1063"/>
      <c r="U3709" s="1063"/>
      <c r="V3709" s="1063"/>
      <c r="W3709" s="1063"/>
      <c r="X3709" s="1063"/>
      <c r="Y3709" s="1063"/>
      <c r="Z3709" s="1063"/>
      <c r="AA3709" s="1063"/>
      <c r="AB3709" s="1063"/>
      <c r="AC3709" s="1063"/>
      <c r="AD3709" s="1063"/>
      <c r="AE3709" s="1063"/>
      <c r="AF3709" s="1063"/>
      <c r="AG3709" s="1063"/>
      <c r="AH3709" s="1063"/>
      <c r="AI3709" s="1063"/>
      <c r="AJ3709" s="1063"/>
      <c r="AK3709" s="1063"/>
      <c r="AL3709" s="1063"/>
      <c r="AM3709" s="1063"/>
      <c r="AN3709" s="1063"/>
      <c r="AO3709" s="1063"/>
      <c r="AP3709" s="1063"/>
      <c r="AQ3709" s="1063"/>
      <c r="AR3709" s="1063"/>
      <c r="AS3709" s="1063"/>
      <c r="AT3709" s="1063"/>
      <c r="AU3709" s="1063"/>
      <c r="AV3709" s="1063"/>
    </row>
    <row r="3710" spans="1:48" s="1108" customFormat="1" ht="27.75" customHeight="1">
      <c r="A3710" s="1076"/>
      <c r="B3710" s="1074">
        <f>+'[18]Bldg+Dev'!S4522</f>
        <v>0</v>
      </c>
      <c r="D3710" s="1063"/>
      <c r="F3710" s="1076"/>
      <c r="G3710" s="1063"/>
      <c r="H3710" s="1063"/>
      <c r="I3710" s="1063"/>
      <c r="J3710" s="1063"/>
      <c r="K3710" s="1063"/>
      <c r="L3710" s="1063"/>
      <c r="M3710" s="1063"/>
      <c r="N3710" s="1063"/>
      <c r="O3710" s="1063"/>
      <c r="P3710" s="1063"/>
      <c r="Q3710" s="1063"/>
      <c r="R3710" s="1063"/>
      <c r="S3710" s="1063"/>
      <c r="T3710" s="1063"/>
      <c r="U3710" s="1063"/>
      <c r="V3710" s="1063"/>
      <c r="W3710" s="1063"/>
      <c r="X3710" s="1063"/>
      <c r="Y3710" s="1063"/>
      <c r="Z3710" s="1063"/>
      <c r="AA3710" s="1063"/>
      <c r="AB3710" s="1063"/>
      <c r="AC3710" s="1063"/>
      <c r="AD3710" s="1063"/>
      <c r="AE3710" s="1063"/>
      <c r="AF3710" s="1063"/>
      <c r="AG3710" s="1063"/>
      <c r="AH3710" s="1063"/>
      <c r="AI3710" s="1063"/>
      <c r="AJ3710" s="1063"/>
      <c r="AK3710" s="1063"/>
      <c r="AL3710" s="1063"/>
      <c r="AM3710" s="1063"/>
      <c r="AN3710" s="1063"/>
      <c r="AO3710" s="1063"/>
      <c r="AP3710" s="1063"/>
      <c r="AQ3710" s="1063"/>
      <c r="AR3710" s="1063"/>
      <c r="AS3710" s="1063"/>
      <c r="AT3710" s="1063"/>
      <c r="AU3710" s="1063"/>
      <c r="AV3710" s="1063"/>
    </row>
    <row r="3711" spans="1:48" s="1108" customFormat="1" ht="27.75" customHeight="1">
      <c r="A3711" s="1076"/>
      <c r="B3711" s="1074">
        <f>+'[18]Bldg+Dev'!S4523</f>
        <v>0</v>
      </c>
      <c r="D3711" s="1063"/>
      <c r="F3711" s="1076"/>
      <c r="G3711" s="1063"/>
      <c r="H3711" s="1063"/>
      <c r="I3711" s="1063"/>
      <c r="J3711" s="1063"/>
      <c r="K3711" s="1063"/>
      <c r="L3711" s="1063"/>
      <c r="M3711" s="1063"/>
      <c r="N3711" s="1063"/>
      <c r="O3711" s="1063"/>
      <c r="P3711" s="1063"/>
      <c r="Q3711" s="1063"/>
      <c r="R3711" s="1063"/>
      <c r="S3711" s="1063"/>
      <c r="T3711" s="1063"/>
      <c r="U3711" s="1063"/>
      <c r="V3711" s="1063"/>
      <c r="W3711" s="1063"/>
      <c r="X3711" s="1063"/>
      <c r="Y3711" s="1063"/>
      <c r="Z3711" s="1063"/>
      <c r="AA3711" s="1063"/>
      <c r="AB3711" s="1063"/>
      <c r="AC3711" s="1063"/>
      <c r="AD3711" s="1063"/>
      <c r="AE3711" s="1063"/>
      <c r="AF3711" s="1063"/>
      <c r="AG3711" s="1063"/>
      <c r="AH3711" s="1063"/>
      <c r="AI3711" s="1063"/>
      <c r="AJ3711" s="1063"/>
      <c r="AK3711" s="1063"/>
      <c r="AL3711" s="1063"/>
      <c r="AM3711" s="1063"/>
      <c r="AN3711" s="1063"/>
      <c r="AO3711" s="1063"/>
      <c r="AP3711" s="1063"/>
      <c r="AQ3711" s="1063"/>
      <c r="AR3711" s="1063"/>
      <c r="AS3711" s="1063"/>
      <c r="AT3711" s="1063"/>
      <c r="AU3711" s="1063"/>
      <c r="AV3711" s="1063"/>
    </row>
    <row r="3712" spans="1:48" s="1108" customFormat="1" ht="27.75" customHeight="1">
      <c r="A3712" s="1076"/>
      <c r="B3712" s="1074">
        <f>+'[18]Bldg+Dev'!S4524</f>
        <v>0</v>
      </c>
      <c r="D3712" s="1063"/>
      <c r="F3712" s="1076"/>
      <c r="G3712" s="1063"/>
      <c r="H3712" s="1063"/>
      <c r="I3712" s="1063"/>
      <c r="J3712" s="1063"/>
      <c r="K3712" s="1063"/>
      <c r="L3712" s="1063"/>
      <c r="M3712" s="1063"/>
      <c r="N3712" s="1063"/>
      <c r="O3712" s="1063"/>
      <c r="P3712" s="1063"/>
      <c r="Q3712" s="1063"/>
      <c r="R3712" s="1063"/>
      <c r="S3712" s="1063"/>
      <c r="T3712" s="1063"/>
      <c r="U3712" s="1063"/>
      <c r="V3712" s="1063"/>
      <c r="W3712" s="1063"/>
      <c r="X3712" s="1063"/>
      <c r="Y3712" s="1063"/>
      <c r="Z3712" s="1063"/>
      <c r="AA3712" s="1063"/>
      <c r="AB3712" s="1063"/>
      <c r="AC3712" s="1063"/>
      <c r="AD3712" s="1063"/>
      <c r="AE3712" s="1063"/>
      <c r="AF3712" s="1063"/>
      <c r="AG3712" s="1063"/>
      <c r="AH3712" s="1063"/>
      <c r="AI3712" s="1063"/>
      <c r="AJ3712" s="1063"/>
      <c r="AK3712" s="1063"/>
      <c r="AL3712" s="1063"/>
      <c r="AM3712" s="1063"/>
      <c r="AN3712" s="1063"/>
      <c r="AO3712" s="1063"/>
      <c r="AP3712" s="1063"/>
      <c r="AQ3712" s="1063"/>
      <c r="AR3712" s="1063"/>
      <c r="AS3712" s="1063"/>
      <c r="AT3712" s="1063"/>
      <c r="AU3712" s="1063"/>
      <c r="AV3712" s="1063"/>
    </row>
    <row r="3713" spans="1:48" s="1108" customFormat="1" ht="27.75" customHeight="1">
      <c r="A3713" s="1076"/>
      <c r="B3713" s="1074">
        <f>+'[18]Bldg+Dev'!S4525</f>
        <v>0</v>
      </c>
      <c r="D3713" s="1063"/>
      <c r="F3713" s="1076"/>
      <c r="G3713" s="1063"/>
      <c r="H3713" s="1063"/>
      <c r="I3713" s="1063"/>
      <c r="J3713" s="1063"/>
      <c r="K3713" s="1063"/>
      <c r="L3713" s="1063"/>
      <c r="M3713" s="1063"/>
      <c r="N3713" s="1063"/>
      <c r="O3713" s="1063"/>
      <c r="P3713" s="1063"/>
      <c r="Q3713" s="1063"/>
      <c r="R3713" s="1063"/>
      <c r="S3713" s="1063"/>
      <c r="T3713" s="1063"/>
      <c r="U3713" s="1063"/>
      <c r="V3713" s="1063"/>
      <c r="W3713" s="1063"/>
      <c r="X3713" s="1063"/>
      <c r="Y3713" s="1063"/>
      <c r="Z3713" s="1063"/>
      <c r="AA3713" s="1063"/>
      <c r="AB3713" s="1063"/>
      <c r="AC3713" s="1063"/>
      <c r="AD3713" s="1063"/>
      <c r="AE3713" s="1063"/>
      <c r="AF3713" s="1063"/>
      <c r="AG3713" s="1063"/>
      <c r="AH3713" s="1063"/>
      <c r="AI3713" s="1063"/>
      <c r="AJ3713" s="1063"/>
      <c r="AK3713" s="1063"/>
      <c r="AL3713" s="1063"/>
      <c r="AM3713" s="1063"/>
      <c r="AN3713" s="1063"/>
      <c r="AO3713" s="1063"/>
      <c r="AP3713" s="1063"/>
      <c r="AQ3713" s="1063"/>
      <c r="AR3713" s="1063"/>
      <c r="AS3713" s="1063"/>
      <c r="AT3713" s="1063"/>
      <c r="AU3713" s="1063"/>
      <c r="AV3713" s="1063"/>
    </row>
    <row r="3714" spans="1:48" s="1108" customFormat="1" ht="27.75" customHeight="1">
      <c r="A3714" s="1076"/>
      <c r="B3714" s="1074">
        <f>+'[18]Bldg+Dev'!S4526</f>
        <v>0</v>
      </c>
      <c r="D3714" s="1063"/>
      <c r="F3714" s="1076"/>
      <c r="G3714" s="1063"/>
      <c r="H3714" s="1063"/>
      <c r="I3714" s="1063"/>
      <c r="J3714" s="1063"/>
      <c r="K3714" s="1063"/>
      <c r="L3714" s="1063"/>
      <c r="M3714" s="1063"/>
      <c r="N3714" s="1063"/>
      <c r="O3714" s="1063"/>
      <c r="P3714" s="1063"/>
      <c r="Q3714" s="1063"/>
      <c r="R3714" s="1063"/>
      <c r="S3714" s="1063"/>
      <c r="T3714" s="1063"/>
      <c r="U3714" s="1063"/>
      <c r="V3714" s="1063"/>
      <c r="W3714" s="1063"/>
      <c r="X3714" s="1063"/>
      <c r="Y3714" s="1063"/>
      <c r="Z3714" s="1063"/>
      <c r="AA3714" s="1063"/>
      <c r="AB3714" s="1063"/>
      <c r="AC3714" s="1063"/>
      <c r="AD3714" s="1063"/>
      <c r="AE3714" s="1063"/>
      <c r="AF3714" s="1063"/>
      <c r="AG3714" s="1063"/>
      <c r="AH3714" s="1063"/>
      <c r="AI3714" s="1063"/>
      <c r="AJ3714" s="1063"/>
      <c r="AK3714" s="1063"/>
      <c r="AL3714" s="1063"/>
      <c r="AM3714" s="1063"/>
      <c r="AN3714" s="1063"/>
      <c r="AO3714" s="1063"/>
      <c r="AP3714" s="1063"/>
      <c r="AQ3714" s="1063"/>
      <c r="AR3714" s="1063"/>
      <c r="AS3714" s="1063"/>
      <c r="AT3714" s="1063"/>
      <c r="AU3714" s="1063"/>
      <c r="AV3714" s="1063"/>
    </row>
    <row r="3715" spans="1:48" s="1108" customFormat="1" ht="27.75" customHeight="1">
      <c r="A3715" s="1076"/>
      <c r="B3715" s="1074">
        <f>+'[18]Bldg+Dev'!S4527</f>
        <v>0</v>
      </c>
      <c r="D3715" s="1063"/>
      <c r="F3715" s="1076"/>
      <c r="G3715" s="1063"/>
      <c r="H3715" s="1063"/>
      <c r="I3715" s="1063"/>
      <c r="J3715" s="1063"/>
      <c r="K3715" s="1063"/>
      <c r="L3715" s="1063"/>
      <c r="M3715" s="1063"/>
      <c r="N3715" s="1063"/>
      <c r="O3715" s="1063"/>
      <c r="P3715" s="1063"/>
      <c r="Q3715" s="1063"/>
      <c r="R3715" s="1063"/>
      <c r="S3715" s="1063"/>
      <c r="T3715" s="1063"/>
      <c r="U3715" s="1063"/>
      <c r="V3715" s="1063"/>
      <c r="W3715" s="1063"/>
      <c r="X3715" s="1063"/>
      <c r="Y3715" s="1063"/>
      <c r="Z3715" s="1063"/>
      <c r="AA3715" s="1063"/>
      <c r="AB3715" s="1063"/>
      <c r="AC3715" s="1063"/>
      <c r="AD3715" s="1063"/>
      <c r="AE3715" s="1063"/>
      <c r="AF3715" s="1063"/>
      <c r="AG3715" s="1063"/>
      <c r="AH3715" s="1063"/>
      <c r="AI3715" s="1063"/>
      <c r="AJ3715" s="1063"/>
      <c r="AK3715" s="1063"/>
      <c r="AL3715" s="1063"/>
      <c r="AM3715" s="1063"/>
      <c r="AN3715" s="1063"/>
      <c r="AO3715" s="1063"/>
      <c r="AP3715" s="1063"/>
      <c r="AQ3715" s="1063"/>
      <c r="AR3715" s="1063"/>
      <c r="AS3715" s="1063"/>
      <c r="AT3715" s="1063"/>
      <c r="AU3715" s="1063"/>
      <c r="AV3715" s="1063"/>
    </row>
    <row r="3716" spans="1:48" s="1108" customFormat="1" ht="27.75" customHeight="1">
      <c r="A3716" s="1076"/>
      <c r="B3716" s="1074">
        <f>+'[18]Bldg+Dev'!S4528</f>
        <v>0</v>
      </c>
      <c r="D3716" s="1063"/>
      <c r="F3716" s="1076"/>
      <c r="G3716" s="1063"/>
      <c r="H3716" s="1063"/>
      <c r="I3716" s="1063"/>
      <c r="J3716" s="1063"/>
      <c r="K3716" s="1063"/>
      <c r="L3716" s="1063"/>
      <c r="M3716" s="1063"/>
      <c r="N3716" s="1063"/>
      <c r="O3716" s="1063"/>
      <c r="P3716" s="1063"/>
      <c r="Q3716" s="1063"/>
      <c r="R3716" s="1063"/>
      <c r="S3716" s="1063"/>
      <c r="T3716" s="1063"/>
      <c r="U3716" s="1063"/>
      <c r="V3716" s="1063"/>
      <c r="W3716" s="1063"/>
      <c r="X3716" s="1063"/>
      <c r="Y3716" s="1063"/>
      <c r="Z3716" s="1063"/>
      <c r="AA3716" s="1063"/>
      <c r="AB3716" s="1063"/>
      <c r="AC3716" s="1063"/>
      <c r="AD3716" s="1063"/>
      <c r="AE3716" s="1063"/>
      <c r="AF3716" s="1063"/>
      <c r="AG3716" s="1063"/>
      <c r="AH3716" s="1063"/>
      <c r="AI3716" s="1063"/>
      <c r="AJ3716" s="1063"/>
      <c r="AK3716" s="1063"/>
      <c r="AL3716" s="1063"/>
      <c r="AM3716" s="1063"/>
      <c r="AN3716" s="1063"/>
      <c r="AO3716" s="1063"/>
      <c r="AP3716" s="1063"/>
      <c r="AQ3716" s="1063"/>
      <c r="AR3716" s="1063"/>
      <c r="AS3716" s="1063"/>
      <c r="AT3716" s="1063"/>
      <c r="AU3716" s="1063"/>
      <c r="AV3716" s="1063"/>
    </row>
    <row r="3717" spans="1:48" s="1108" customFormat="1" ht="27.75" customHeight="1">
      <c r="A3717" s="1076"/>
      <c r="B3717" s="1074">
        <f>+'[18]Bldg+Dev'!S4529</f>
        <v>0</v>
      </c>
      <c r="D3717" s="1063"/>
      <c r="F3717" s="1076"/>
      <c r="G3717" s="1063"/>
      <c r="H3717" s="1063"/>
      <c r="I3717" s="1063"/>
      <c r="J3717" s="1063"/>
      <c r="K3717" s="1063"/>
      <c r="L3717" s="1063"/>
      <c r="M3717" s="1063"/>
      <c r="N3717" s="1063"/>
      <c r="O3717" s="1063"/>
      <c r="P3717" s="1063"/>
      <c r="Q3717" s="1063"/>
      <c r="R3717" s="1063"/>
      <c r="S3717" s="1063"/>
      <c r="T3717" s="1063"/>
      <c r="U3717" s="1063"/>
      <c r="V3717" s="1063"/>
      <c r="W3717" s="1063"/>
      <c r="X3717" s="1063"/>
      <c r="Y3717" s="1063"/>
      <c r="Z3717" s="1063"/>
      <c r="AA3717" s="1063"/>
      <c r="AB3717" s="1063"/>
      <c r="AC3717" s="1063"/>
      <c r="AD3717" s="1063"/>
      <c r="AE3717" s="1063"/>
      <c r="AF3717" s="1063"/>
      <c r="AG3717" s="1063"/>
      <c r="AH3717" s="1063"/>
      <c r="AI3717" s="1063"/>
      <c r="AJ3717" s="1063"/>
      <c r="AK3717" s="1063"/>
      <c r="AL3717" s="1063"/>
      <c r="AM3717" s="1063"/>
      <c r="AN3717" s="1063"/>
      <c r="AO3717" s="1063"/>
      <c r="AP3717" s="1063"/>
      <c r="AQ3717" s="1063"/>
      <c r="AR3717" s="1063"/>
      <c r="AS3717" s="1063"/>
      <c r="AT3717" s="1063"/>
      <c r="AU3717" s="1063"/>
      <c r="AV3717" s="1063"/>
    </row>
    <row r="3718" spans="1:48" s="1108" customFormat="1" ht="27.75" customHeight="1">
      <c r="A3718" s="1076"/>
      <c r="B3718" s="1074">
        <f>+'[18]Bldg+Dev'!S4530</f>
        <v>0</v>
      </c>
      <c r="D3718" s="1063"/>
      <c r="F3718" s="1076"/>
      <c r="G3718" s="1063"/>
      <c r="H3718" s="1063"/>
      <c r="I3718" s="1063"/>
      <c r="J3718" s="1063"/>
      <c r="K3718" s="1063"/>
      <c r="L3718" s="1063"/>
      <c r="M3718" s="1063"/>
      <c r="N3718" s="1063"/>
      <c r="O3718" s="1063"/>
      <c r="P3718" s="1063"/>
      <c r="Q3718" s="1063"/>
      <c r="R3718" s="1063"/>
      <c r="S3718" s="1063"/>
      <c r="T3718" s="1063"/>
      <c r="U3718" s="1063"/>
      <c r="V3718" s="1063"/>
      <c r="W3718" s="1063"/>
      <c r="X3718" s="1063"/>
      <c r="Y3718" s="1063"/>
      <c r="Z3718" s="1063"/>
      <c r="AA3718" s="1063"/>
      <c r="AB3718" s="1063"/>
      <c r="AC3718" s="1063"/>
      <c r="AD3718" s="1063"/>
      <c r="AE3718" s="1063"/>
      <c r="AF3718" s="1063"/>
      <c r="AG3718" s="1063"/>
      <c r="AH3718" s="1063"/>
      <c r="AI3718" s="1063"/>
      <c r="AJ3718" s="1063"/>
      <c r="AK3718" s="1063"/>
      <c r="AL3718" s="1063"/>
      <c r="AM3718" s="1063"/>
      <c r="AN3718" s="1063"/>
      <c r="AO3718" s="1063"/>
      <c r="AP3718" s="1063"/>
      <c r="AQ3718" s="1063"/>
      <c r="AR3718" s="1063"/>
      <c r="AS3718" s="1063"/>
      <c r="AT3718" s="1063"/>
      <c r="AU3718" s="1063"/>
      <c r="AV3718" s="1063"/>
    </row>
    <row r="3719" spans="1:48" s="1108" customFormat="1" ht="27.75" customHeight="1">
      <c r="A3719" s="1076"/>
      <c r="B3719" s="1074">
        <f>+'[18]Bldg+Dev'!S4531</f>
        <v>0</v>
      </c>
      <c r="D3719" s="1063"/>
      <c r="F3719" s="1076"/>
      <c r="G3719" s="1063"/>
      <c r="H3719" s="1063"/>
      <c r="I3719" s="1063"/>
      <c r="J3719" s="1063"/>
      <c r="K3719" s="1063"/>
      <c r="L3719" s="1063"/>
      <c r="M3719" s="1063"/>
      <c r="N3719" s="1063"/>
      <c r="O3719" s="1063"/>
      <c r="P3719" s="1063"/>
      <c r="Q3719" s="1063"/>
      <c r="R3719" s="1063"/>
      <c r="S3719" s="1063"/>
      <c r="T3719" s="1063"/>
      <c r="U3719" s="1063"/>
      <c r="V3719" s="1063"/>
      <c r="W3719" s="1063"/>
      <c r="X3719" s="1063"/>
      <c r="Y3719" s="1063"/>
      <c r="Z3719" s="1063"/>
      <c r="AA3719" s="1063"/>
      <c r="AB3719" s="1063"/>
      <c r="AC3719" s="1063"/>
      <c r="AD3719" s="1063"/>
      <c r="AE3719" s="1063"/>
      <c r="AF3719" s="1063"/>
      <c r="AG3719" s="1063"/>
      <c r="AH3719" s="1063"/>
      <c r="AI3719" s="1063"/>
      <c r="AJ3719" s="1063"/>
      <c r="AK3719" s="1063"/>
      <c r="AL3719" s="1063"/>
      <c r="AM3719" s="1063"/>
      <c r="AN3719" s="1063"/>
      <c r="AO3719" s="1063"/>
      <c r="AP3719" s="1063"/>
      <c r="AQ3719" s="1063"/>
      <c r="AR3719" s="1063"/>
      <c r="AS3719" s="1063"/>
      <c r="AT3719" s="1063"/>
      <c r="AU3719" s="1063"/>
      <c r="AV3719" s="1063"/>
    </row>
    <row r="3720" spans="1:48" s="1108" customFormat="1" ht="27.75" customHeight="1">
      <c r="A3720" s="1076"/>
      <c r="B3720" s="1074">
        <f>+'[18]Bldg+Dev'!S4532</f>
        <v>0</v>
      </c>
      <c r="D3720" s="1063"/>
      <c r="F3720" s="1076"/>
      <c r="G3720" s="1063"/>
      <c r="H3720" s="1063"/>
      <c r="I3720" s="1063"/>
      <c r="J3720" s="1063"/>
      <c r="K3720" s="1063"/>
      <c r="L3720" s="1063"/>
      <c r="M3720" s="1063"/>
      <c r="N3720" s="1063"/>
      <c r="O3720" s="1063"/>
      <c r="P3720" s="1063"/>
      <c r="Q3720" s="1063"/>
      <c r="R3720" s="1063"/>
      <c r="S3720" s="1063"/>
      <c r="T3720" s="1063"/>
      <c r="U3720" s="1063"/>
      <c r="V3720" s="1063"/>
      <c r="W3720" s="1063"/>
      <c r="X3720" s="1063"/>
      <c r="Y3720" s="1063"/>
      <c r="Z3720" s="1063"/>
      <c r="AA3720" s="1063"/>
      <c r="AB3720" s="1063"/>
      <c r="AC3720" s="1063"/>
      <c r="AD3720" s="1063"/>
      <c r="AE3720" s="1063"/>
      <c r="AF3720" s="1063"/>
      <c r="AG3720" s="1063"/>
      <c r="AH3720" s="1063"/>
      <c r="AI3720" s="1063"/>
      <c r="AJ3720" s="1063"/>
      <c r="AK3720" s="1063"/>
      <c r="AL3720" s="1063"/>
      <c r="AM3720" s="1063"/>
      <c r="AN3720" s="1063"/>
      <c r="AO3720" s="1063"/>
      <c r="AP3720" s="1063"/>
      <c r="AQ3720" s="1063"/>
      <c r="AR3720" s="1063"/>
      <c r="AS3720" s="1063"/>
      <c r="AT3720" s="1063"/>
      <c r="AU3720" s="1063"/>
      <c r="AV3720" s="1063"/>
    </row>
    <row r="3721" spans="1:48" s="1108" customFormat="1" ht="27.75" customHeight="1">
      <c r="A3721" s="1076"/>
      <c r="B3721" s="1074">
        <f>+'[18]Bldg+Dev'!S4533</f>
        <v>0</v>
      </c>
      <c r="D3721" s="1063"/>
      <c r="F3721" s="1076"/>
      <c r="G3721" s="1063"/>
      <c r="H3721" s="1063"/>
      <c r="I3721" s="1063"/>
      <c r="J3721" s="1063"/>
      <c r="K3721" s="1063"/>
      <c r="L3721" s="1063"/>
      <c r="M3721" s="1063"/>
      <c r="N3721" s="1063"/>
      <c r="O3721" s="1063"/>
      <c r="P3721" s="1063"/>
      <c r="Q3721" s="1063"/>
      <c r="R3721" s="1063"/>
      <c r="S3721" s="1063"/>
      <c r="T3721" s="1063"/>
      <c r="U3721" s="1063"/>
      <c r="V3721" s="1063"/>
      <c r="W3721" s="1063"/>
      <c r="X3721" s="1063"/>
      <c r="Y3721" s="1063"/>
      <c r="Z3721" s="1063"/>
      <c r="AA3721" s="1063"/>
      <c r="AB3721" s="1063"/>
      <c r="AC3721" s="1063"/>
      <c r="AD3721" s="1063"/>
      <c r="AE3721" s="1063"/>
      <c r="AF3721" s="1063"/>
      <c r="AG3721" s="1063"/>
      <c r="AH3721" s="1063"/>
      <c r="AI3721" s="1063"/>
      <c r="AJ3721" s="1063"/>
      <c r="AK3721" s="1063"/>
      <c r="AL3721" s="1063"/>
      <c r="AM3721" s="1063"/>
      <c r="AN3721" s="1063"/>
      <c r="AO3721" s="1063"/>
      <c r="AP3721" s="1063"/>
      <c r="AQ3721" s="1063"/>
      <c r="AR3721" s="1063"/>
      <c r="AS3721" s="1063"/>
      <c r="AT3721" s="1063"/>
      <c r="AU3721" s="1063"/>
      <c r="AV3721" s="1063"/>
    </row>
    <row r="3722" spans="1:48" s="1108" customFormat="1" ht="27.75" customHeight="1">
      <c r="A3722" s="1076"/>
      <c r="B3722" s="1074">
        <f>+'[18]Bldg+Dev'!S4534</f>
        <v>0</v>
      </c>
      <c r="D3722" s="1063"/>
      <c r="F3722" s="1076"/>
      <c r="G3722" s="1063"/>
      <c r="H3722" s="1063"/>
      <c r="I3722" s="1063"/>
      <c r="J3722" s="1063"/>
      <c r="K3722" s="1063"/>
      <c r="L3722" s="1063"/>
      <c r="M3722" s="1063"/>
      <c r="N3722" s="1063"/>
      <c r="O3722" s="1063"/>
      <c r="P3722" s="1063"/>
      <c r="Q3722" s="1063"/>
      <c r="R3722" s="1063"/>
      <c r="S3722" s="1063"/>
      <c r="T3722" s="1063"/>
      <c r="U3722" s="1063"/>
      <c r="V3722" s="1063"/>
      <c r="W3722" s="1063"/>
      <c r="X3722" s="1063"/>
      <c r="Y3722" s="1063"/>
      <c r="Z3722" s="1063"/>
      <c r="AA3722" s="1063"/>
      <c r="AB3722" s="1063"/>
      <c r="AC3722" s="1063"/>
      <c r="AD3722" s="1063"/>
      <c r="AE3722" s="1063"/>
      <c r="AF3722" s="1063"/>
      <c r="AG3722" s="1063"/>
      <c r="AH3722" s="1063"/>
      <c r="AI3722" s="1063"/>
      <c r="AJ3722" s="1063"/>
      <c r="AK3722" s="1063"/>
      <c r="AL3722" s="1063"/>
      <c r="AM3722" s="1063"/>
      <c r="AN3722" s="1063"/>
      <c r="AO3722" s="1063"/>
      <c r="AP3722" s="1063"/>
      <c r="AQ3722" s="1063"/>
      <c r="AR3722" s="1063"/>
      <c r="AS3722" s="1063"/>
      <c r="AT3722" s="1063"/>
      <c r="AU3722" s="1063"/>
      <c r="AV3722" s="1063"/>
    </row>
    <row r="3723" spans="1:48" s="1108" customFormat="1" ht="27.75" customHeight="1">
      <c r="A3723" s="1076"/>
      <c r="B3723" s="1074">
        <f>+'[18]Bldg+Dev'!S4535</f>
        <v>0</v>
      </c>
      <c r="D3723" s="1063"/>
      <c r="F3723" s="1076"/>
      <c r="G3723" s="1063"/>
      <c r="H3723" s="1063"/>
      <c r="I3723" s="1063"/>
      <c r="J3723" s="1063"/>
      <c r="K3723" s="1063"/>
      <c r="L3723" s="1063"/>
      <c r="M3723" s="1063"/>
      <c r="N3723" s="1063"/>
      <c r="O3723" s="1063"/>
      <c r="P3723" s="1063"/>
      <c r="Q3723" s="1063"/>
      <c r="R3723" s="1063"/>
      <c r="S3723" s="1063"/>
      <c r="T3723" s="1063"/>
      <c r="U3723" s="1063"/>
      <c r="V3723" s="1063"/>
      <c r="W3723" s="1063"/>
      <c r="X3723" s="1063"/>
      <c r="Y3723" s="1063"/>
      <c r="Z3723" s="1063"/>
      <c r="AA3723" s="1063"/>
      <c r="AB3723" s="1063"/>
      <c r="AC3723" s="1063"/>
      <c r="AD3723" s="1063"/>
      <c r="AE3723" s="1063"/>
      <c r="AF3723" s="1063"/>
      <c r="AG3723" s="1063"/>
      <c r="AH3723" s="1063"/>
      <c r="AI3723" s="1063"/>
      <c r="AJ3723" s="1063"/>
      <c r="AK3723" s="1063"/>
      <c r="AL3723" s="1063"/>
      <c r="AM3723" s="1063"/>
      <c r="AN3723" s="1063"/>
      <c r="AO3723" s="1063"/>
      <c r="AP3723" s="1063"/>
      <c r="AQ3723" s="1063"/>
      <c r="AR3723" s="1063"/>
      <c r="AS3723" s="1063"/>
      <c r="AT3723" s="1063"/>
      <c r="AU3723" s="1063"/>
      <c r="AV3723" s="1063"/>
    </row>
    <row r="3724" spans="1:48" s="1108" customFormat="1" ht="27.75" customHeight="1">
      <c r="A3724" s="1076"/>
      <c r="B3724" s="1074">
        <f>+'[18]Bldg+Dev'!S4536</f>
        <v>0</v>
      </c>
      <c r="D3724" s="1063"/>
      <c r="F3724" s="1076"/>
      <c r="G3724" s="1063"/>
      <c r="H3724" s="1063"/>
      <c r="I3724" s="1063"/>
      <c r="J3724" s="1063"/>
      <c r="K3724" s="1063"/>
      <c r="L3724" s="1063"/>
      <c r="M3724" s="1063"/>
      <c r="N3724" s="1063"/>
      <c r="O3724" s="1063"/>
      <c r="P3724" s="1063"/>
      <c r="Q3724" s="1063"/>
      <c r="R3724" s="1063"/>
      <c r="S3724" s="1063"/>
      <c r="T3724" s="1063"/>
      <c r="U3724" s="1063"/>
      <c r="V3724" s="1063"/>
      <c r="W3724" s="1063"/>
      <c r="X3724" s="1063"/>
      <c r="Y3724" s="1063"/>
      <c r="Z3724" s="1063"/>
      <c r="AA3724" s="1063"/>
      <c r="AB3724" s="1063"/>
      <c r="AC3724" s="1063"/>
      <c r="AD3724" s="1063"/>
      <c r="AE3724" s="1063"/>
      <c r="AF3724" s="1063"/>
      <c r="AG3724" s="1063"/>
      <c r="AH3724" s="1063"/>
      <c r="AI3724" s="1063"/>
      <c r="AJ3724" s="1063"/>
      <c r="AK3724" s="1063"/>
      <c r="AL3724" s="1063"/>
      <c r="AM3724" s="1063"/>
      <c r="AN3724" s="1063"/>
      <c r="AO3724" s="1063"/>
      <c r="AP3724" s="1063"/>
      <c r="AQ3724" s="1063"/>
      <c r="AR3724" s="1063"/>
      <c r="AS3724" s="1063"/>
      <c r="AT3724" s="1063"/>
      <c r="AU3724" s="1063"/>
      <c r="AV3724" s="1063"/>
    </row>
    <row r="3725" spans="1:48" s="1108" customFormat="1" ht="27.75" customHeight="1">
      <c r="A3725" s="1076"/>
      <c r="B3725" s="1074">
        <f>+'[18]Bldg+Dev'!S4537</f>
        <v>0</v>
      </c>
      <c r="D3725" s="1063"/>
      <c r="F3725" s="1076"/>
      <c r="G3725" s="1063"/>
      <c r="H3725" s="1063"/>
      <c r="I3725" s="1063"/>
      <c r="J3725" s="1063"/>
      <c r="K3725" s="1063"/>
      <c r="L3725" s="1063"/>
      <c r="M3725" s="1063"/>
      <c r="N3725" s="1063"/>
      <c r="O3725" s="1063"/>
      <c r="P3725" s="1063"/>
      <c r="Q3725" s="1063"/>
      <c r="R3725" s="1063"/>
      <c r="S3725" s="1063"/>
      <c r="T3725" s="1063"/>
      <c r="U3725" s="1063"/>
      <c r="V3725" s="1063"/>
      <c r="W3725" s="1063"/>
      <c r="X3725" s="1063"/>
      <c r="Y3725" s="1063"/>
      <c r="Z3725" s="1063"/>
      <c r="AA3725" s="1063"/>
      <c r="AB3725" s="1063"/>
      <c r="AC3725" s="1063"/>
      <c r="AD3725" s="1063"/>
      <c r="AE3725" s="1063"/>
      <c r="AF3725" s="1063"/>
      <c r="AG3725" s="1063"/>
      <c r="AH3725" s="1063"/>
      <c r="AI3725" s="1063"/>
      <c r="AJ3725" s="1063"/>
      <c r="AK3725" s="1063"/>
      <c r="AL3725" s="1063"/>
      <c r="AM3725" s="1063"/>
      <c r="AN3725" s="1063"/>
      <c r="AO3725" s="1063"/>
      <c r="AP3725" s="1063"/>
      <c r="AQ3725" s="1063"/>
      <c r="AR3725" s="1063"/>
      <c r="AS3725" s="1063"/>
      <c r="AT3725" s="1063"/>
      <c r="AU3725" s="1063"/>
      <c r="AV3725" s="1063"/>
    </row>
    <row r="3726" spans="1:48" s="1108" customFormat="1" ht="27.75" customHeight="1">
      <c r="A3726" s="1076"/>
      <c r="B3726" s="1074">
        <f>+'[18]Bldg+Dev'!S4538</f>
        <v>0</v>
      </c>
      <c r="D3726" s="1063"/>
      <c r="F3726" s="1076"/>
      <c r="G3726" s="1063"/>
      <c r="H3726" s="1063"/>
      <c r="I3726" s="1063"/>
      <c r="J3726" s="1063"/>
      <c r="K3726" s="1063"/>
      <c r="L3726" s="1063"/>
      <c r="M3726" s="1063"/>
      <c r="N3726" s="1063"/>
      <c r="O3726" s="1063"/>
      <c r="P3726" s="1063"/>
      <c r="Q3726" s="1063"/>
      <c r="R3726" s="1063"/>
      <c r="S3726" s="1063"/>
      <c r="T3726" s="1063"/>
      <c r="U3726" s="1063"/>
      <c r="V3726" s="1063"/>
      <c r="W3726" s="1063"/>
      <c r="X3726" s="1063"/>
      <c r="Y3726" s="1063"/>
      <c r="Z3726" s="1063"/>
      <c r="AA3726" s="1063"/>
      <c r="AB3726" s="1063"/>
      <c r="AC3726" s="1063"/>
      <c r="AD3726" s="1063"/>
      <c r="AE3726" s="1063"/>
      <c r="AF3726" s="1063"/>
      <c r="AG3726" s="1063"/>
      <c r="AH3726" s="1063"/>
      <c r="AI3726" s="1063"/>
      <c r="AJ3726" s="1063"/>
      <c r="AK3726" s="1063"/>
      <c r="AL3726" s="1063"/>
      <c r="AM3726" s="1063"/>
      <c r="AN3726" s="1063"/>
      <c r="AO3726" s="1063"/>
      <c r="AP3726" s="1063"/>
      <c r="AQ3726" s="1063"/>
      <c r="AR3726" s="1063"/>
      <c r="AS3726" s="1063"/>
      <c r="AT3726" s="1063"/>
      <c r="AU3726" s="1063"/>
      <c r="AV3726" s="1063"/>
    </row>
    <row r="3727" spans="1:48" s="1108" customFormat="1" ht="27.75" customHeight="1">
      <c r="A3727" s="1076"/>
      <c r="B3727" s="1074">
        <f>+'[18]Bldg+Dev'!S4539</f>
        <v>0</v>
      </c>
      <c r="D3727" s="1063"/>
      <c r="F3727" s="1076"/>
      <c r="G3727" s="1063"/>
      <c r="H3727" s="1063"/>
      <c r="I3727" s="1063"/>
      <c r="J3727" s="1063"/>
      <c r="K3727" s="1063"/>
      <c r="L3727" s="1063"/>
      <c r="M3727" s="1063"/>
      <c r="N3727" s="1063"/>
      <c r="O3727" s="1063"/>
      <c r="P3727" s="1063"/>
      <c r="Q3727" s="1063"/>
      <c r="R3727" s="1063"/>
      <c r="S3727" s="1063"/>
      <c r="T3727" s="1063"/>
      <c r="U3727" s="1063"/>
      <c r="V3727" s="1063"/>
      <c r="W3727" s="1063"/>
      <c r="X3727" s="1063"/>
      <c r="Y3727" s="1063"/>
      <c r="Z3727" s="1063"/>
      <c r="AA3727" s="1063"/>
      <c r="AB3727" s="1063"/>
      <c r="AC3727" s="1063"/>
      <c r="AD3727" s="1063"/>
      <c r="AE3727" s="1063"/>
      <c r="AF3727" s="1063"/>
      <c r="AG3727" s="1063"/>
      <c r="AH3727" s="1063"/>
      <c r="AI3727" s="1063"/>
      <c r="AJ3727" s="1063"/>
      <c r="AK3727" s="1063"/>
      <c r="AL3727" s="1063"/>
      <c r="AM3727" s="1063"/>
      <c r="AN3727" s="1063"/>
      <c r="AO3727" s="1063"/>
      <c r="AP3727" s="1063"/>
      <c r="AQ3727" s="1063"/>
      <c r="AR3727" s="1063"/>
      <c r="AS3727" s="1063"/>
      <c r="AT3727" s="1063"/>
      <c r="AU3727" s="1063"/>
      <c r="AV3727" s="1063"/>
    </row>
    <row r="3728" spans="1:48" s="1108" customFormat="1" ht="27.75" customHeight="1">
      <c r="A3728" s="1076"/>
      <c r="B3728" s="1074">
        <f>+'[18]Bldg+Dev'!S4540</f>
        <v>0</v>
      </c>
      <c r="D3728" s="1063"/>
      <c r="F3728" s="1076"/>
      <c r="G3728" s="1063"/>
      <c r="H3728" s="1063"/>
      <c r="I3728" s="1063"/>
      <c r="J3728" s="1063"/>
      <c r="K3728" s="1063"/>
      <c r="L3728" s="1063"/>
      <c r="M3728" s="1063"/>
      <c r="N3728" s="1063"/>
      <c r="O3728" s="1063"/>
      <c r="P3728" s="1063"/>
      <c r="Q3728" s="1063"/>
      <c r="R3728" s="1063"/>
      <c r="S3728" s="1063"/>
      <c r="T3728" s="1063"/>
      <c r="U3728" s="1063"/>
      <c r="V3728" s="1063"/>
      <c r="W3728" s="1063"/>
      <c r="X3728" s="1063"/>
      <c r="Y3728" s="1063"/>
      <c r="Z3728" s="1063"/>
      <c r="AA3728" s="1063"/>
      <c r="AB3728" s="1063"/>
      <c r="AC3728" s="1063"/>
      <c r="AD3728" s="1063"/>
      <c r="AE3728" s="1063"/>
      <c r="AF3728" s="1063"/>
      <c r="AG3728" s="1063"/>
      <c r="AH3728" s="1063"/>
      <c r="AI3728" s="1063"/>
      <c r="AJ3728" s="1063"/>
      <c r="AK3728" s="1063"/>
      <c r="AL3728" s="1063"/>
      <c r="AM3728" s="1063"/>
      <c r="AN3728" s="1063"/>
      <c r="AO3728" s="1063"/>
      <c r="AP3728" s="1063"/>
      <c r="AQ3728" s="1063"/>
      <c r="AR3728" s="1063"/>
      <c r="AS3728" s="1063"/>
      <c r="AT3728" s="1063"/>
      <c r="AU3728" s="1063"/>
      <c r="AV3728" s="1063"/>
    </row>
    <row r="3729" spans="1:48" s="1108" customFormat="1" ht="27.75" customHeight="1">
      <c r="A3729" s="1076"/>
      <c r="B3729" s="1074">
        <f>+'[18]Bldg+Dev'!S4541</f>
        <v>0</v>
      </c>
      <c r="D3729" s="1063"/>
      <c r="F3729" s="1076"/>
      <c r="G3729" s="1063"/>
      <c r="H3729" s="1063"/>
      <c r="I3729" s="1063"/>
      <c r="J3729" s="1063"/>
      <c r="K3729" s="1063"/>
      <c r="L3729" s="1063"/>
      <c r="M3729" s="1063"/>
      <c r="N3729" s="1063"/>
      <c r="O3729" s="1063"/>
      <c r="P3729" s="1063"/>
      <c r="Q3729" s="1063"/>
      <c r="R3729" s="1063"/>
      <c r="S3729" s="1063"/>
      <c r="T3729" s="1063"/>
      <c r="U3729" s="1063"/>
      <c r="V3729" s="1063"/>
      <c r="W3729" s="1063"/>
      <c r="X3729" s="1063"/>
      <c r="Y3729" s="1063"/>
      <c r="Z3729" s="1063"/>
      <c r="AA3729" s="1063"/>
      <c r="AB3729" s="1063"/>
      <c r="AC3729" s="1063"/>
      <c r="AD3729" s="1063"/>
      <c r="AE3729" s="1063"/>
      <c r="AF3729" s="1063"/>
      <c r="AG3729" s="1063"/>
      <c r="AH3729" s="1063"/>
      <c r="AI3729" s="1063"/>
      <c r="AJ3729" s="1063"/>
      <c r="AK3729" s="1063"/>
      <c r="AL3729" s="1063"/>
      <c r="AM3729" s="1063"/>
      <c r="AN3729" s="1063"/>
      <c r="AO3729" s="1063"/>
      <c r="AP3729" s="1063"/>
      <c r="AQ3729" s="1063"/>
      <c r="AR3729" s="1063"/>
      <c r="AS3729" s="1063"/>
      <c r="AT3729" s="1063"/>
      <c r="AU3729" s="1063"/>
      <c r="AV3729" s="1063"/>
    </row>
    <row r="3730" spans="1:48" s="1108" customFormat="1" ht="27.75" customHeight="1">
      <c r="A3730" s="1076"/>
      <c r="B3730" s="1074">
        <f>+'[18]Bldg+Dev'!S4542</f>
        <v>0</v>
      </c>
      <c r="D3730" s="1063"/>
      <c r="F3730" s="1076"/>
      <c r="G3730" s="1063"/>
      <c r="H3730" s="1063"/>
      <c r="I3730" s="1063"/>
      <c r="J3730" s="1063"/>
      <c r="K3730" s="1063"/>
      <c r="L3730" s="1063"/>
      <c r="M3730" s="1063"/>
      <c r="N3730" s="1063"/>
      <c r="O3730" s="1063"/>
      <c r="P3730" s="1063"/>
      <c r="Q3730" s="1063"/>
      <c r="R3730" s="1063"/>
      <c r="S3730" s="1063"/>
      <c r="T3730" s="1063"/>
      <c r="U3730" s="1063"/>
      <c r="V3730" s="1063"/>
      <c r="W3730" s="1063"/>
      <c r="X3730" s="1063"/>
      <c r="Y3730" s="1063"/>
      <c r="Z3730" s="1063"/>
      <c r="AA3730" s="1063"/>
      <c r="AB3730" s="1063"/>
      <c r="AC3730" s="1063"/>
      <c r="AD3730" s="1063"/>
      <c r="AE3730" s="1063"/>
      <c r="AF3730" s="1063"/>
      <c r="AG3730" s="1063"/>
      <c r="AH3730" s="1063"/>
      <c r="AI3730" s="1063"/>
      <c r="AJ3730" s="1063"/>
      <c r="AK3730" s="1063"/>
      <c r="AL3730" s="1063"/>
      <c r="AM3730" s="1063"/>
      <c r="AN3730" s="1063"/>
      <c r="AO3730" s="1063"/>
      <c r="AP3730" s="1063"/>
      <c r="AQ3730" s="1063"/>
      <c r="AR3730" s="1063"/>
      <c r="AS3730" s="1063"/>
      <c r="AT3730" s="1063"/>
      <c r="AU3730" s="1063"/>
      <c r="AV3730" s="1063"/>
    </row>
    <row r="3731" spans="1:48" s="1108" customFormat="1" ht="27.75" customHeight="1">
      <c r="A3731" s="1076"/>
      <c r="B3731" s="1074">
        <f>+'[18]Bldg+Dev'!S4543</f>
        <v>0</v>
      </c>
      <c r="D3731" s="1063"/>
      <c r="F3731" s="1076"/>
      <c r="G3731" s="1063"/>
      <c r="H3731" s="1063"/>
      <c r="I3731" s="1063"/>
      <c r="J3731" s="1063"/>
      <c r="K3731" s="1063"/>
      <c r="L3731" s="1063"/>
      <c r="M3731" s="1063"/>
      <c r="N3731" s="1063"/>
      <c r="O3731" s="1063"/>
      <c r="P3731" s="1063"/>
      <c r="Q3731" s="1063"/>
      <c r="R3731" s="1063"/>
      <c r="S3731" s="1063"/>
      <c r="T3731" s="1063"/>
      <c r="U3731" s="1063"/>
      <c r="V3731" s="1063"/>
      <c r="W3731" s="1063"/>
      <c r="X3731" s="1063"/>
      <c r="Y3731" s="1063"/>
      <c r="Z3731" s="1063"/>
      <c r="AA3731" s="1063"/>
      <c r="AB3731" s="1063"/>
      <c r="AC3731" s="1063"/>
      <c r="AD3731" s="1063"/>
      <c r="AE3731" s="1063"/>
      <c r="AF3731" s="1063"/>
      <c r="AG3731" s="1063"/>
      <c r="AH3731" s="1063"/>
      <c r="AI3731" s="1063"/>
      <c r="AJ3731" s="1063"/>
      <c r="AK3731" s="1063"/>
      <c r="AL3731" s="1063"/>
      <c r="AM3731" s="1063"/>
      <c r="AN3731" s="1063"/>
      <c r="AO3731" s="1063"/>
      <c r="AP3731" s="1063"/>
      <c r="AQ3731" s="1063"/>
      <c r="AR3731" s="1063"/>
      <c r="AS3731" s="1063"/>
      <c r="AT3731" s="1063"/>
      <c r="AU3731" s="1063"/>
      <c r="AV3731" s="1063"/>
    </row>
    <row r="3732" spans="1:48" s="1108" customFormat="1" ht="27.75" customHeight="1">
      <c r="A3732" s="1076"/>
      <c r="B3732" s="1074">
        <f>+'[18]Bldg+Dev'!S4544</f>
        <v>0</v>
      </c>
      <c r="D3732" s="1063"/>
      <c r="F3732" s="1076"/>
      <c r="G3732" s="1063"/>
      <c r="H3732" s="1063"/>
      <c r="I3732" s="1063"/>
      <c r="J3732" s="1063"/>
      <c r="K3732" s="1063"/>
      <c r="L3732" s="1063"/>
      <c r="M3732" s="1063"/>
      <c r="N3732" s="1063"/>
      <c r="O3732" s="1063"/>
      <c r="P3732" s="1063"/>
      <c r="Q3732" s="1063"/>
      <c r="R3732" s="1063"/>
      <c r="S3732" s="1063"/>
      <c r="T3732" s="1063"/>
      <c r="U3732" s="1063"/>
      <c r="V3732" s="1063"/>
      <c r="W3732" s="1063"/>
      <c r="X3732" s="1063"/>
      <c r="Y3732" s="1063"/>
      <c r="Z3732" s="1063"/>
      <c r="AA3732" s="1063"/>
      <c r="AB3732" s="1063"/>
      <c r="AC3732" s="1063"/>
      <c r="AD3732" s="1063"/>
      <c r="AE3732" s="1063"/>
      <c r="AF3732" s="1063"/>
      <c r="AG3732" s="1063"/>
      <c r="AH3732" s="1063"/>
      <c r="AI3732" s="1063"/>
      <c r="AJ3732" s="1063"/>
      <c r="AK3732" s="1063"/>
      <c r="AL3732" s="1063"/>
      <c r="AM3732" s="1063"/>
      <c r="AN3732" s="1063"/>
      <c r="AO3732" s="1063"/>
      <c r="AP3732" s="1063"/>
      <c r="AQ3732" s="1063"/>
      <c r="AR3732" s="1063"/>
      <c r="AS3732" s="1063"/>
      <c r="AT3732" s="1063"/>
      <c r="AU3732" s="1063"/>
      <c r="AV3732" s="1063"/>
    </row>
    <row r="3733" spans="1:48" s="1108" customFormat="1" ht="27.75" customHeight="1">
      <c r="A3733" s="1076"/>
      <c r="B3733" s="1074">
        <f>+'[18]Bldg+Dev'!S4545</f>
        <v>0</v>
      </c>
      <c r="D3733" s="1063"/>
      <c r="F3733" s="1076"/>
      <c r="G3733" s="1063"/>
      <c r="H3733" s="1063"/>
      <c r="I3733" s="1063"/>
      <c r="J3733" s="1063"/>
      <c r="K3733" s="1063"/>
      <c r="L3733" s="1063"/>
      <c r="M3733" s="1063"/>
      <c r="N3733" s="1063"/>
      <c r="O3733" s="1063"/>
      <c r="P3733" s="1063"/>
      <c r="Q3733" s="1063"/>
      <c r="R3733" s="1063"/>
      <c r="S3733" s="1063"/>
      <c r="T3733" s="1063"/>
      <c r="U3733" s="1063"/>
      <c r="V3733" s="1063"/>
      <c r="W3733" s="1063"/>
      <c r="X3733" s="1063"/>
      <c r="Y3733" s="1063"/>
      <c r="Z3733" s="1063"/>
      <c r="AA3733" s="1063"/>
      <c r="AB3733" s="1063"/>
      <c r="AC3733" s="1063"/>
      <c r="AD3733" s="1063"/>
      <c r="AE3733" s="1063"/>
      <c r="AF3733" s="1063"/>
      <c r="AG3733" s="1063"/>
      <c r="AH3733" s="1063"/>
      <c r="AI3733" s="1063"/>
      <c r="AJ3733" s="1063"/>
      <c r="AK3733" s="1063"/>
      <c r="AL3733" s="1063"/>
      <c r="AM3733" s="1063"/>
      <c r="AN3733" s="1063"/>
      <c r="AO3733" s="1063"/>
      <c r="AP3733" s="1063"/>
      <c r="AQ3733" s="1063"/>
      <c r="AR3733" s="1063"/>
      <c r="AS3733" s="1063"/>
      <c r="AT3733" s="1063"/>
      <c r="AU3733" s="1063"/>
      <c r="AV3733" s="1063"/>
    </row>
    <row r="3734" spans="1:48" s="1108" customFormat="1" ht="27.75" customHeight="1">
      <c r="A3734" s="1076"/>
      <c r="B3734" s="1074">
        <f>+'[18]Bldg+Dev'!S4546</f>
        <v>0</v>
      </c>
      <c r="D3734" s="1063"/>
      <c r="F3734" s="1076"/>
      <c r="G3734" s="1063"/>
      <c r="H3734" s="1063"/>
      <c r="I3734" s="1063"/>
      <c r="J3734" s="1063"/>
      <c r="K3734" s="1063"/>
      <c r="L3734" s="1063"/>
      <c r="M3734" s="1063"/>
      <c r="N3734" s="1063"/>
      <c r="O3734" s="1063"/>
      <c r="P3734" s="1063"/>
      <c r="Q3734" s="1063"/>
      <c r="R3734" s="1063"/>
      <c r="S3734" s="1063"/>
      <c r="T3734" s="1063"/>
      <c r="U3734" s="1063"/>
      <c r="V3734" s="1063"/>
      <c r="W3734" s="1063"/>
      <c r="X3734" s="1063"/>
      <c r="Y3734" s="1063"/>
      <c r="Z3734" s="1063"/>
      <c r="AA3734" s="1063"/>
      <c r="AB3734" s="1063"/>
      <c r="AC3734" s="1063"/>
      <c r="AD3734" s="1063"/>
      <c r="AE3734" s="1063"/>
      <c r="AF3734" s="1063"/>
      <c r="AG3734" s="1063"/>
      <c r="AH3734" s="1063"/>
      <c r="AI3734" s="1063"/>
      <c r="AJ3734" s="1063"/>
      <c r="AK3734" s="1063"/>
      <c r="AL3734" s="1063"/>
      <c r="AM3734" s="1063"/>
      <c r="AN3734" s="1063"/>
      <c r="AO3734" s="1063"/>
      <c r="AP3734" s="1063"/>
      <c r="AQ3734" s="1063"/>
      <c r="AR3734" s="1063"/>
      <c r="AS3734" s="1063"/>
      <c r="AT3734" s="1063"/>
      <c r="AU3734" s="1063"/>
      <c r="AV3734" s="1063"/>
    </row>
    <row r="3735" spans="1:48" s="1108" customFormat="1" ht="27.75" customHeight="1">
      <c r="A3735" s="1076"/>
      <c r="B3735" s="1074">
        <f>+'[18]Bldg+Dev'!S4547</f>
        <v>0</v>
      </c>
      <c r="D3735" s="1063"/>
      <c r="F3735" s="1076"/>
      <c r="G3735" s="1063"/>
      <c r="H3735" s="1063"/>
      <c r="I3735" s="1063"/>
      <c r="J3735" s="1063"/>
      <c r="K3735" s="1063"/>
      <c r="L3735" s="1063"/>
      <c r="M3735" s="1063"/>
      <c r="N3735" s="1063"/>
      <c r="O3735" s="1063"/>
      <c r="P3735" s="1063"/>
      <c r="Q3735" s="1063"/>
      <c r="R3735" s="1063"/>
      <c r="S3735" s="1063"/>
      <c r="T3735" s="1063"/>
      <c r="U3735" s="1063"/>
      <c r="V3735" s="1063"/>
      <c r="W3735" s="1063"/>
      <c r="X3735" s="1063"/>
      <c r="Y3735" s="1063"/>
      <c r="Z3735" s="1063"/>
      <c r="AA3735" s="1063"/>
      <c r="AB3735" s="1063"/>
      <c r="AC3735" s="1063"/>
      <c r="AD3735" s="1063"/>
      <c r="AE3735" s="1063"/>
      <c r="AF3735" s="1063"/>
      <c r="AG3735" s="1063"/>
      <c r="AH3735" s="1063"/>
      <c r="AI3735" s="1063"/>
      <c r="AJ3735" s="1063"/>
      <c r="AK3735" s="1063"/>
      <c r="AL3735" s="1063"/>
      <c r="AM3735" s="1063"/>
      <c r="AN3735" s="1063"/>
      <c r="AO3735" s="1063"/>
      <c r="AP3735" s="1063"/>
      <c r="AQ3735" s="1063"/>
      <c r="AR3735" s="1063"/>
      <c r="AS3735" s="1063"/>
      <c r="AT3735" s="1063"/>
      <c r="AU3735" s="1063"/>
      <c r="AV3735" s="1063"/>
    </row>
    <row r="3736" spans="1:48" s="1108" customFormat="1" ht="27.75" customHeight="1">
      <c r="A3736" s="1076"/>
      <c r="B3736" s="1074">
        <f>+'[18]Bldg+Dev'!S4548</f>
        <v>0</v>
      </c>
      <c r="D3736" s="1063"/>
      <c r="F3736" s="1076"/>
      <c r="G3736" s="1063"/>
      <c r="H3736" s="1063"/>
      <c r="I3736" s="1063"/>
      <c r="J3736" s="1063"/>
      <c r="K3736" s="1063"/>
      <c r="L3736" s="1063"/>
      <c r="M3736" s="1063"/>
      <c r="N3736" s="1063"/>
      <c r="O3736" s="1063"/>
      <c r="P3736" s="1063"/>
      <c r="Q3736" s="1063"/>
      <c r="R3736" s="1063"/>
      <c r="S3736" s="1063"/>
      <c r="T3736" s="1063"/>
      <c r="U3736" s="1063"/>
      <c r="V3736" s="1063"/>
      <c r="W3736" s="1063"/>
      <c r="X3736" s="1063"/>
      <c r="Y3736" s="1063"/>
      <c r="Z3736" s="1063"/>
      <c r="AA3736" s="1063"/>
      <c r="AB3736" s="1063"/>
      <c r="AC3736" s="1063"/>
      <c r="AD3736" s="1063"/>
      <c r="AE3736" s="1063"/>
      <c r="AF3736" s="1063"/>
      <c r="AG3736" s="1063"/>
      <c r="AH3736" s="1063"/>
      <c r="AI3736" s="1063"/>
      <c r="AJ3736" s="1063"/>
      <c r="AK3736" s="1063"/>
      <c r="AL3736" s="1063"/>
      <c r="AM3736" s="1063"/>
      <c r="AN3736" s="1063"/>
      <c r="AO3736" s="1063"/>
      <c r="AP3736" s="1063"/>
      <c r="AQ3736" s="1063"/>
      <c r="AR3736" s="1063"/>
      <c r="AS3736" s="1063"/>
      <c r="AT3736" s="1063"/>
      <c r="AU3736" s="1063"/>
      <c r="AV3736" s="1063"/>
    </row>
    <row r="3737" spans="1:48" s="1108" customFormat="1" ht="27.75" customHeight="1">
      <c r="A3737" s="1076"/>
      <c r="B3737" s="1074">
        <f>+'[18]Bldg+Dev'!S4549</f>
        <v>0</v>
      </c>
      <c r="D3737" s="1063"/>
      <c r="F3737" s="1076"/>
      <c r="G3737" s="1063"/>
      <c r="H3737" s="1063"/>
      <c r="I3737" s="1063"/>
      <c r="J3737" s="1063"/>
      <c r="K3737" s="1063"/>
      <c r="L3737" s="1063"/>
      <c r="M3737" s="1063"/>
      <c r="N3737" s="1063"/>
      <c r="O3737" s="1063"/>
      <c r="P3737" s="1063"/>
      <c r="Q3737" s="1063"/>
      <c r="R3737" s="1063"/>
      <c r="S3737" s="1063"/>
      <c r="T3737" s="1063"/>
      <c r="U3737" s="1063"/>
      <c r="V3737" s="1063"/>
      <c r="W3737" s="1063"/>
      <c r="X3737" s="1063"/>
      <c r="Y3737" s="1063"/>
      <c r="Z3737" s="1063"/>
      <c r="AA3737" s="1063"/>
      <c r="AB3737" s="1063"/>
      <c r="AC3737" s="1063"/>
      <c r="AD3737" s="1063"/>
      <c r="AE3737" s="1063"/>
      <c r="AF3737" s="1063"/>
      <c r="AG3737" s="1063"/>
      <c r="AH3737" s="1063"/>
      <c r="AI3737" s="1063"/>
      <c r="AJ3737" s="1063"/>
      <c r="AK3737" s="1063"/>
      <c r="AL3737" s="1063"/>
      <c r="AM3737" s="1063"/>
      <c r="AN3737" s="1063"/>
      <c r="AO3737" s="1063"/>
      <c r="AP3737" s="1063"/>
      <c r="AQ3737" s="1063"/>
      <c r="AR3737" s="1063"/>
      <c r="AS3737" s="1063"/>
      <c r="AT3737" s="1063"/>
      <c r="AU3737" s="1063"/>
      <c r="AV3737" s="1063"/>
    </row>
    <row r="3738" spans="1:48" s="1108" customFormat="1" ht="27.75" customHeight="1">
      <c r="A3738" s="1076"/>
      <c r="B3738" s="1074">
        <f>+'[18]Bldg+Dev'!S4550</f>
        <v>0</v>
      </c>
      <c r="D3738" s="1063"/>
      <c r="F3738" s="1076"/>
      <c r="G3738" s="1063"/>
      <c r="H3738" s="1063"/>
      <c r="I3738" s="1063"/>
      <c r="J3738" s="1063"/>
      <c r="K3738" s="1063"/>
      <c r="L3738" s="1063"/>
      <c r="M3738" s="1063"/>
      <c r="N3738" s="1063"/>
      <c r="O3738" s="1063"/>
      <c r="P3738" s="1063"/>
      <c r="Q3738" s="1063"/>
      <c r="R3738" s="1063"/>
      <c r="S3738" s="1063"/>
      <c r="T3738" s="1063"/>
      <c r="U3738" s="1063"/>
      <c r="V3738" s="1063"/>
      <c r="W3738" s="1063"/>
      <c r="X3738" s="1063"/>
      <c r="Y3738" s="1063"/>
      <c r="Z3738" s="1063"/>
      <c r="AA3738" s="1063"/>
      <c r="AB3738" s="1063"/>
      <c r="AC3738" s="1063"/>
      <c r="AD3738" s="1063"/>
      <c r="AE3738" s="1063"/>
      <c r="AF3738" s="1063"/>
      <c r="AG3738" s="1063"/>
      <c r="AH3738" s="1063"/>
      <c r="AI3738" s="1063"/>
      <c r="AJ3738" s="1063"/>
      <c r="AK3738" s="1063"/>
      <c r="AL3738" s="1063"/>
      <c r="AM3738" s="1063"/>
      <c r="AN3738" s="1063"/>
      <c r="AO3738" s="1063"/>
      <c r="AP3738" s="1063"/>
      <c r="AQ3738" s="1063"/>
      <c r="AR3738" s="1063"/>
      <c r="AS3738" s="1063"/>
      <c r="AT3738" s="1063"/>
      <c r="AU3738" s="1063"/>
      <c r="AV3738" s="1063"/>
    </row>
    <row r="3739" spans="1:48" s="1108" customFormat="1" ht="27.75" customHeight="1">
      <c r="A3739" s="1076"/>
      <c r="B3739" s="1074">
        <f>+'[18]Bldg+Dev'!S4551</f>
        <v>0</v>
      </c>
      <c r="D3739" s="1063"/>
      <c r="F3739" s="1076"/>
      <c r="G3739" s="1063"/>
      <c r="H3739" s="1063"/>
      <c r="I3739" s="1063"/>
      <c r="J3739" s="1063"/>
      <c r="K3739" s="1063"/>
      <c r="L3739" s="1063"/>
      <c r="M3739" s="1063"/>
      <c r="N3739" s="1063"/>
      <c r="O3739" s="1063"/>
      <c r="P3739" s="1063"/>
      <c r="Q3739" s="1063"/>
      <c r="R3739" s="1063"/>
      <c r="S3739" s="1063"/>
      <c r="T3739" s="1063"/>
      <c r="U3739" s="1063"/>
      <c r="V3739" s="1063"/>
      <c r="W3739" s="1063"/>
      <c r="X3739" s="1063"/>
      <c r="Y3739" s="1063"/>
      <c r="Z3739" s="1063"/>
      <c r="AA3739" s="1063"/>
      <c r="AB3739" s="1063"/>
      <c r="AC3739" s="1063"/>
      <c r="AD3739" s="1063"/>
      <c r="AE3739" s="1063"/>
      <c r="AF3739" s="1063"/>
      <c r="AG3739" s="1063"/>
      <c r="AH3739" s="1063"/>
      <c r="AI3739" s="1063"/>
      <c r="AJ3739" s="1063"/>
      <c r="AK3739" s="1063"/>
      <c r="AL3739" s="1063"/>
      <c r="AM3739" s="1063"/>
      <c r="AN3739" s="1063"/>
      <c r="AO3739" s="1063"/>
      <c r="AP3739" s="1063"/>
      <c r="AQ3739" s="1063"/>
      <c r="AR3739" s="1063"/>
      <c r="AS3739" s="1063"/>
      <c r="AT3739" s="1063"/>
      <c r="AU3739" s="1063"/>
      <c r="AV3739" s="1063"/>
    </row>
    <row r="3740" spans="1:48" s="1108" customFormat="1" ht="27.75" customHeight="1">
      <c r="A3740" s="1076"/>
      <c r="B3740" s="1074">
        <f>+'[18]Bldg+Dev'!S4552</f>
        <v>0</v>
      </c>
      <c r="D3740" s="1063"/>
      <c r="F3740" s="1076"/>
      <c r="G3740" s="1063"/>
      <c r="H3740" s="1063"/>
      <c r="I3740" s="1063"/>
      <c r="J3740" s="1063"/>
      <c r="K3740" s="1063"/>
      <c r="L3740" s="1063"/>
      <c r="M3740" s="1063"/>
      <c r="N3740" s="1063"/>
      <c r="O3740" s="1063"/>
      <c r="P3740" s="1063"/>
      <c r="Q3740" s="1063"/>
      <c r="R3740" s="1063"/>
      <c r="S3740" s="1063"/>
      <c r="T3740" s="1063"/>
      <c r="U3740" s="1063"/>
      <c r="V3740" s="1063"/>
      <c r="W3740" s="1063"/>
      <c r="X3740" s="1063"/>
      <c r="Y3740" s="1063"/>
      <c r="Z3740" s="1063"/>
      <c r="AA3740" s="1063"/>
      <c r="AB3740" s="1063"/>
      <c r="AC3740" s="1063"/>
      <c r="AD3740" s="1063"/>
      <c r="AE3740" s="1063"/>
      <c r="AF3740" s="1063"/>
      <c r="AG3740" s="1063"/>
      <c r="AH3740" s="1063"/>
      <c r="AI3740" s="1063"/>
      <c r="AJ3740" s="1063"/>
      <c r="AK3740" s="1063"/>
      <c r="AL3740" s="1063"/>
      <c r="AM3740" s="1063"/>
      <c r="AN3740" s="1063"/>
      <c r="AO3740" s="1063"/>
      <c r="AP3740" s="1063"/>
      <c r="AQ3740" s="1063"/>
      <c r="AR3740" s="1063"/>
      <c r="AS3740" s="1063"/>
      <c r="AT3740" s="1063"/>
      <c r="AU3740" s="1063"/>
      <c r="AV3740" s="1063"/>
    </row>
    <row r="3741" spans="1:48" s="1108" customFormat="1" ht="27.75" customHeight="1">
      <c r="A3741" s="1076"/>
      <c r="B3741" s="1074">
        <f>+'[18]Bldg+Dev'!S4553</f>
        <v>0</v>
      </c>
      <c r="D3741" s="1063"/>
      <c r="F3741" s="1076"/>
      <c r="G3741" s="1063"/>
      <c r="H3741" s="1063"/>
      <c r="I3741" s="1063"/>
      <c r="J3741" s="1063"/>
      <c r="K3741" s="1063"/>
      <c r="L3741" s="1063"/>
      <c r="M3741" s="1063"/>
      <c r="N3741" s="1063"/>
      <c r="O3741" s="1063"/>
      <c r="P3741" s="1063"/>
      <c r="Q3741" s="1063"/>
      <c r="R3741" s="1063"/>
      <c r="S3741" s="1063"/>
      <c r="T3741" s="1063"/>
      <c r="U3741" s="1063"/>
      <c r="V3741" s="1063"/>
      <c r="W3741" s="1063"/>
      <c r="X3741" s="1063"/>
      <c r="Y3741" s="1063"/>
      <c r="Z3741" s="1063"/>
      <c r="AA3741" s="1063"/>
      <c r="AB3741" s="1063"/>
      <c r="AC3741" s="1063"/>
      <c r="AD3741" s="1063"/>
      <c r="AE3741" s="1063"/>
      <c r="AF3741" s="1063"/>
      <c r="AG3741" s="1063"/>
      <c r="AH3741" s="1063"/>
      <c r="AI3741" s="1063"/>
      <c r="AJ3741" s="1063"/>
      <c r="AK3741" s="1063"/>
      <c r="AL3741" s="1063"/>
      <c r="AM3741" s="1063"/>
      <c r="AN3741" s="1063"/>
      <c r="AO3741" s="1063"/>
      <c r="AP3741" s="1063"/>
      <c r="AQ3741" s="1063"/>
      <c r="AR3741" s="1063"/>
      <c r="AS3741" s="1063"/>
      <c r="AT3741" s="1063"/>
      <c r="AU3741" s="1063"/>
      <c r="AV3741" s="1063"/>
    </row>
    <row r="3742" spans="1:48" s="1108" customFormat="1" ht="27.75" customHeight="1">
      <c r="A3742" s="1076"/>
      <c r="B3742" s="1074">
        <f>+'[18]Bldg+Dev'!S4554</f>
        <v>0</v>
      </c>
      <c r="D3742" s="1063"/>
      <c r="F3742" s="1076"/>
      <c r="G3742" s="1063"/>
      <c r="H3742" s="1063"/>
      <c r="I3742" s="1063"/>
      <c r="J3742" s="1063"/>
      <c r="K3742" s="1063"/>
      <c r="L3742" s="1063"/>
      <c r="M3742" s="1063"/>
      <c r="N3742" s="1063"/>
      <c r="O3742" s="1063"/>
      <c r="P3742" s="1063"/>
      <c r="Q3742" s="1063"/>
      <c r="R3742" s="1063"/>
      <c r="S3742" s="1063"/>
      <c r="T3742" s="1063"/>
      <c r="U3742" s="1063"/>
      <c r="V3742" s="1063"/>
      <c r="W3742" s="1063"/>
      <c r="X3742" s="1063"/>
      <c r="Y3742" s="1063"/>
      <c r="Z3742" s="1063"/>
      <c r="AA3742" s="1063"/>
      <c r="AB3742" s="1063"/>
      <c r="AC3742" s="1063"/>
      <c r="AD3742" s="1063"/>
      <c r="AE3742" s="1063"/>
      <c r="AF3742" s="1063"/>
      <c r="AG3742" s="1063"/>
      <c r="AH3742" s="1063"/>
      <c r="AI3742" s="1063"/>
      <c r="AJ3742" s="1063"/>
      <c r="AK3742" s="1063"/>
      <c r="AL3742" s="1063"/>
      <c r="AM3742" s="1063"/>
      <c r="AN3742" s="1063"/>
      <c r="AO3742" s="1063"/>
      <c r="AP3742" s="1063"/>
      <c r="AQ3742" s="1063"/>
      <c r="AR3742" s="1063"/>
      <c r="AS3742" s="1063"/>
      <c r="AT3742" s="1063"/>
      <c r="AU3742" s="1063"/>
      <c r="AV3742" s="1063"/>
    </row>
    <row r="3743" spans="1:48" s="1108" customFormat="1" ht="27.75" customHeight="1">
      <c r="A3743" s="1076"/>
      <c r="B3743" s="1074">
        <f>+'[18]Bldg+Dev'!S4555</f>
        <v>0</v>
      </c>
      <c r="D3743" s="1063"/>
      <c r="F3743" s="1076"/>
      <c r="G3743" s="1063"/>
      <c r="H3743" s="1063"/>
      <c r="I3743" s="1063"/>
      <c r="J3743" s="1063"/>
      <c r="K3743" s="1063"/>
      <c r="L3743" s="1063"/>
      <c r="M3743" s="1063"/>
      <c r="N3743" s="1063"/>
      <c r="O3743" s="1063"/>
      <c r="P3743" s="1063"/>
      <c r="Q3743" s="1063"/>
      <c r="R3743" s="1063"/>
      <c r="S3743" s="1063"/>
      <c r="T3743" s="1063"/>
      <c r="U3743" s="1063"/>
      <c r="V3743" s="1063"/>
      <c r="W3743" s="1063"/>
      <c r="X3743" s="1063"/>
      <c r="Y3743" s="1063"/>
      <c r="Z3743" s="1063"/>
      <c r="AA3743" s="1063"/>
      <c r="AB3743" s="1063"/>
      <c r="AC3743" s="1063"/>
      <c r="AD3743" s="1063"/>
      <c r="AE3743" s="1063"/>
      <c r="AF3743" s="1063"/>
      <c r="AG3743" s="1063"/>
      <c r="AH3743" s="1063"/>
      <c r="AI3743" s="1063"/>
      <c r="AJ3743" s="1063"/>
      <c r="AK3743" s="1063"/>
      <c r="AL3743" s="1063"/>
      <c r="AM3743" s="1063"/>
      <c r="AN3743" s="1063"/>
      <c r="AO3743" s="1063"/>
      <c r="AP3743" s="1063"/>
      <c r="AQ3743" s="1063"/>
      <c r="AR3743" s="1063"/>
      <c r="AS3743" s="1063"/>
      <c r="AT3743" s="1063"/>
      <c r="AU3743" s="1063"/>
      <c r="AV3743" s="1063"/>
    </row>
    <row r="3744" spans="1:48" s="1108" customFormat="1" ht="27.75" customHeight="1">
      <c r="A3744" s="1076"/>
      <c r="B3744" s="1074">
        <f>+'[18]Bldg+Dev'!S4556</f>
        <v>0</v>
      </c>
      <c r="D3744" s="1063"/>
      <c r="F3744" s="1076"/>
      <c r="G3744" s="1063"/>
      <c r="H3744" s="1063"/>
      <c r="I3744" s="1063"/>
      <c r="J3744" s="1063"/>
      <c r="K3744" s="1063"/>
      <c r="L3744" s="1063"/>
      <c r="M3744" s="1063"/>
      <c r="N3744" s="1063"/>
      <c r="O3744" s="1063"/>
      <c r="P3744" s="1063"/>
      <c r="Q3744" s="1063"/>
      <c r="R3744" s="1063"/>
      <c r="S3744" s="1063"/>
      <c r="T3744" s="1063"/>
      <c r="U3744" s="1063"/>
      <c r="V3744" s="1063"/>
      <c r="W3744" s="1063"/>
      <c r="X3744" s="1063"/>
      <c r="Y3744" s="1063"/>
      <c r="Z3744" s="1063"/>
      <c r="AA3744" s="1063"/>
      <c r="AB3744" s="1063"/>
      <c r="AC3744" s="1063"/>
      <c r="AD3744" s="1063"/>
      <c r="AE3744" s="1063"/>
      <c r="AF3744" s="1063"/>
      <c r="AG3744" s="1063"/>
      <c r="AH3744" s="1063"/>
      <c r="AI3744" s="1063"/>
      <c r="AJ3744" s="1063"/>
      <c r="AK3744" s="1063"/>
      <c r="AL3744" s="1063"/>
      <c r="AM3744" s="1063"/>
      <c r="AN3744" s="1063"/>
      <c r="AO3744" s="1063"/>
      <c r="AP3744" s="1063"/>
      <c r="AQ3744" s="1063"/>
      <c r="AR3744" s="1063"/>
      <c r="AS3744" s="1063"/>
      <c r="AT3744" s="1063"/>
      <c r="AU3744" s="1063"/>
      <c r="AV3744" s="1063"/>
    </row>
    <row r="3745" spans="1:48" s="1108" customFormat="1" ht="27.75" customHeight="1">
      <c r="A3745" s="1076"/>
      <c r="B3745" s="1074">
        <f>+'[18]Bldg+Dev'!S4557</f>
        <v>0</v>
      </c>
      <c r="D3745" s="1063"/>
      <c r="F3745" s="1076"/>
      <c r="G3745" s="1063"/>
      <c r="H3745" s="1063"/>
      <c r="I3745" s="1063"/>
      <c r="J3745" s="1063"/>
      <c r="K3745" s="1063"/>
      <c r="L3745" s="1063"/>
      <c r="M3745" s="1063"/>
      <c r="N3745" s="1063"/>
      <c r="O3745" s="1063"/>
      <c r="P3745" s="1063"/>
      <c r="Q3745" s="1063"/>
      <c r="R3745" s="1063"/>
      <c r="S3745" s="1063"/>
      <c r="T3745" s="1063"/>
      <c r="U3745" s="1063"/>
      <c r="V3745" s="1063"/>
      <c r="W3745" s="1063"/>
      <c r="X3745" s="1063"/>
      <c r="Y3745" s="1063"/>
      <c r="Z3745" s="1063"/>
      <c r="AA3745" s="1063"/>
      <c r="AB3745" s="1063"/>
      <c r="AC3745" s="1063"/>
      <c r="AD3745" s="1063"/>
      <c r="AE3745" s="1063"/>
      <c r="AF3745" s="1063"/>
      <c r="AG3745" s="1063"/>
      <c r="AH3745" s="1063"/>
      <c r="AI3745" s="1063"/>
      <c r="AJ3745" s="1063"/>
      <c r="AK3745" s="1063"/>
      <c r="AL3745" s="1063"/>
      <c r="AM3745" s="1063"/>
      <c r="AN3745" s="1063"/>
      <c r="AO3745" s="1063"/>
      <c r="AP3745" s="1063"/>
      <c r="AQ3745" s="1063"/>
      <c r="AR3745" s="1063"/>
      <c r="AS3745" s="1063"/>
      <c r="AT3745" s="1063"/>
      <c r="AU3745" s="1063"/>
      <c r="AV3745" s="1063"/>
    </row>
    <row r="3746" spans="1:48" s="1108" customFormat="1" ht="27.75" customHeight="1">
      <c r="A3746" s="1076"/>
      <c r="B3746" s="1074">
        <f>+'[18]Bldg+Dev'!S4558</f>
        <v>0</v>
      </c>
      <c r="D3746" s="1063"/>
      <c r="F3746" s="1076"/>
      <c r="G3746" s="1063"/>
      <c r="H3746" s="1063"/>
      <c r="I3746" s="1063"/>
      <c r="J3746" s="1063"/>
      <c r="K3746" s="1063"/>
      <c r="L3746" s="1063"/>
      <c r="M3746" s="1063"/>
      <c r="N3746" s="1063"/>
      <c r="O3746" s="1063"/>
      <c r="P3746" s="1063"/>
      <c r="Q3746" s="1063"/>
      <c r="R3746" s="1063"/>
      <c r="S3746" s="1063"/>
      <c r="T3746" s="1063"/>
      <c r="U3746" s="1063"/>
      <c r="V3746" s="1063"/>
      <c r="W3746" s="1063"/>
      <c r="X3746" s="1063"/>
      <c r="Y3746" s="1063"/>
      <c r="Z3746" s="1063"/>
      <c r="AA3746" s="1063"/>
      <c r="AB3746" s="1063"/>
      <c r="AC3746" s="1063"/>
      <c r="AD3746" s="1063"/>
      <c r="AE3746" s="1063"/>
      <c r="AF3746" s="1063"/>
      <c r="AG3746" s="1063"/>
      <c r="AH3746" s="1063"/>
      <c r="AI3746" s="1063"/>
      <c r="AJ3746" s="1063"/>
      <c r="AK3746" s="1063"/>
      <c r="AL3746" s="1063"/>
      <c r="AM3746" s="1063"/>
      <c r="AN3746" s="1063"/>
      <c r="AO3746" s="1063"/>
      <c r="AP3746" s="1063"/>
      <c r="AQ3746" s="1063"/>
      <c r="AR3746" s="1063"/>
      <c r="AS3746" s="1063"/>
      <c r="AT3746" s="1063"/>
      <c r="AU3746" s="1063"/>
      <c r="AV3746" s="1063"/>
    </row>
    <row r="3747" spans="1:48" s="1108" customFormat="1" ht="27.75" customHeight="1">
      <c r="A3747" s="1076"/>
      <c r="B3747" s="1074">
        <f>+'[18]Bldg+Dev'!S4559</f>
        <v>0</v>
      </c>
      <c r="D3747" s="1063"/>
      <c r="F3747" s="1076"/>
      <c r="G3747" s="1063"/>
      <c r="H3747" s="1063"/>
      <c r="I3747" s="1063"/>
      <c r="J3747" s="1063"/>
      <c r="K3747" s="1063"/>
      <c r="L3747" s="1063"/>
      <c r="M3747" s="1063"/>
      <c r="N3747" s="1063"/>
      <c r="O3747" s="1063"/>
      <c r="P3747" s="1063"/>
      <c r="Q3747" s="1063"/>
      <c r="R3747" s="1063"/>
      <c r="S3747" s="1063"/>
      <c r="T3747" s="1063"/>
      <c r="U3747" s="1063"/>
      <c r="V3747" s="1063"/>
      <c r="W3747" s="1063"/>
      <c r="X3747" s="1063"/>
      <c r="Y3747" s="1063"/>
      <c r="Z3747" s="1063"/>
      <c r="AA3747" s="1063"/>
      <c r="AB3747" s="1063"/>
      <c r="AC3747" s="1063"/>
      <c r="AD3747" s="1063"/>
      <c r="AE3747" s="1063"/>
      <c r="AF3747" s="1063"/>
      <c r="AG3747" s="1063"/>
      <c r="AH3747" s="1063"/>
      <c r="AI3747" s="1063"/>
      <c r="AJ3747" s="1063"/>
      <c r="AK3747" s="1063"/>
      <c r="AL3747" s="1063"/>
      <c r="AM3747" s="1063"/>
      <c r="AN3747" s="1063"/>
      <c r="AO3747" s="1063"/>
      <c r="AP3747" s="1063"/>
      <c r="AQ3747" s="1063"/>
      <c r="AR3747" s="1063"/>
      <c r="AS3747" s="1063"/>
      <c r="AT3747" s="1063"/>
      <c r="AU3747" s="1063"/>
      <c r="AV3747" s="1063"/>
    </row>
    <row r="3748" spans="1:48" s="1108" customFormat="1" ht="27.75" customHeight="1">
      <c r="A3748" s="1076"/>
      <c r="B3748" s="1074">
        <f>+'[18]Bldg+Dev'!S4560</f>
        <v>0</v>
      </c>
      <c r="D3748" s="1063"/>
      <c r="F3748" s="1076"/>
      <c r="G3748" s="1063"/>
      <c r="H3748" s="1063"/>
      <c r="I3748" s="1063"/>
      <c r="J3748" s="1063"/>
      <c r="K3748" s="1063"/>
      <c r="L3748" s="1063"/>
      <c r="M3748" s="1063"/>
      <c r="N3748" s="1063"/>
      <c r="O3748" s="1063"/>
      <c r="P3748" s="1063"/>
      <c r="Q3748" s="1063"/>
      <c r="R3748" s="1063"/>
      <c r="S3748" s="1063"/>
      <c r="T3748" s="1063"/>
      <c r="U3748" s="1063"/>
      <c r="V3748" s="1063"/>
      <c r="W3748" s="1063"/>
      <c r="X3748" s="1063"/>
      <c r="Y3748" s="1063"/>
      <c r="Z3748" s="1063"/>
      <c r="AA3748" s="1063"/>
      <c r="AB3748" s="1063"/>
      <c r="AC3748" s="1063"/>
      <c r="AD3748" s="1063"/>
      <c r="AE3748" s="1063"/>
      <c r="AF3748" s="1063"/>
      <c r="AG3748" s="1063"/>
      <c r="AH3748" s="1063"/>
      <c r="AI3748" s="1063"/>
      <c r="AJ3748" s="1063"/>
      <c r="AK3748" s="1063"/>
      <c r="AL3748" s="1063"/>
      <c r="AM3748" s="1063"/>
      <c r="AN3748" s="1063"/>
      <c r="AO3748" s="1063"/>
      <c r="AP3748" s="1063"/>
      <c r="AQ3748" s="1063"/>
      <c r="AR3748" s="1063"/>
      <c r="AS3748" s="1063"/>
      <c r="AT3748" s="1063"/>
      <c r="AU3748" s="1063"/>
      <c r="AV3748" s="1063"/>
    </row>
    <row r="3749" spans="1:48" s="1108" customFormat="1" ht="27.75" customHeight="1">
      <c r="A3749" s="1076"/>
      <c r="B3749" s="1074">
        <f>+'[18]Bldg+Dev'!S4561</f>
        <v>0</v>
      </c>
      <c r="D3749" s="1063"/>
      <c r="F3749" s="1076"/>
      <c r="G3749" s="1063"/>
      <c r="H3749" s="1063"/>
      <c r="I3749" s="1063"/>
      <c r="J3749" s="1063"/>
      <c r="K3749" s="1063"/>
      <c r="L3749" s="1063"/>
      <c r="M3749" s="1063"/>
      <c r="N3749" s="1063"/>
      <c r="O3749" s="1063"/>
      <c r="P3749" s="1063"/>
      <c r="Q3749" s="1063"/>
      <c r="R3749" s="1063"/>
      <c r="S3749" s="1063"/>
      <c r="T3749" s="1063"/>
      <c r="U3749" s="1063"/>
      <c r="V3749" s="1063"/>
      <c r="W3749" s="1063"/>
      <c r="X3749" s="1063"/>
      <c r="Y3749" s="1063"/>
      <c r="Z3749" s="1063"/>
      <c r="AA3749" s="1063"/>
      <c r="AB3749" s="1063"/>
      <c r="AC3749" s="1063"/>
      <c r="AD3749" s="1063"/>
      <c r="AE3749" s="1063"/>
      <c r="AF3749" s="1063"/>
      <c r="AG3749" s="1063"/>
      <c r="AH3749" s="1063"/>
      <c r="AI3749" s="1063"/>
      <c r="AJ3749" s="1063"/>
      <c r="AK3749" s="1063"/>
      <c r="AL3749" s="1063"/>
      <c r="AM3749" s="1063"/>
      <c r="AN3749" s="1063"/>
      <c r="AO3749" s="1063"/>
      <c r="AP3749" s="1063"/>
      <c r="AQ3749" s="1063"/>
      <c r="AR3749" s="1063"/>
      <c r="AS3749" s="1063"/>
      <c r="AT3749" s="1063"/>
      <c r="AU3749" s="1063"/>
      <c r="AV3749" s="1063"/>
    </row>
    <row r="3750" spans="1:48" s="1108" customFormat="1" ht="27.75" customHeight="1">
      <c r="A3750" s="1076"/>
      <c r="B3750" s="1074">
        <f>+'[18]Bldg+Dev'!S4562</f>
        <v>0</v>
      </c>
      <c r="D3750" s="1063"/>
      <c r="F3750" s="1076"/>
      <c r="G3750" s="1063"/>
      <c r="H3750" s="1063"/>
      <c r="I3750" s="1063"/>
      <c r="J3750" s="1063"/>
      <c r="K3750" s="1063"/>
      <c r="L3750" s="1063"/>
      <c r="M3750" s="1063"/>
      <c r="N3750" s="1063"/>
      <c r="O3750" s="1063"/>
      <c r="P3750" s="1063"/>
      <c r="Q3750" s="1063"/>
      <c r="R3750" s="1063"/>
      <c r="S3750" s="1063"/>
      <c r="T3750" s="1063"/>
      <c r="U3750" s="1063"/>
      <c r="V3750" s="1063"/>
      <c r="W3750" s="1063"/>
      <c r="X3750" s="1063"/>
      <c r="Y3750" s="1063"/>
      <c r="Z3750" s="1063"/>
      <c r="AA3750" s="1063"/>
      <c r="AB3750" s="1063"/>
      <c r="AC3750" s="1063"/>
      <c r="AD3750" s="1063"/>
      <c r="AE3750" s="1063"/>
      <c r="AF3750" s="1063"/>
      <c r="AG3750" s="1063"/>
      <c r="AH3750" s="1063"/>
      <c r="AI3750" s="1063"/>
      <c r="AJ3750" s="1063"/>
      <c r="AK3750" s="1063"/>
      <c r="AL3750" s="1063"/>
      <c r="AM3750" s="1063"/>
      <c r="AN3750" s="1063"/>
      <c r="AO3750" s="1063"/>
      <c r="AP3750" s="1063"/>
      <c r="AQ3750" s="1063"/>
      <c r="AR3750" s="1063"/>
      <c r="AS3750" s="1063"/>
      <c r="AT3750" s="1063"/>
      <c r="AU3750" s="1063"/>
      <c r="AV3750" s="1063"/>
    </row>
    <row r="3751" spans="1:48" s="1108" customFormat="1" ht="27.75" customHeight="1">
      <c r="A3751" s="1076"/>
      <c r="B3751" s="1074">
        <f>+'[18]Bldg+Dev'!S4563</f>
        <v>0</v>
      </c>
      <c r="D3751" s="1063"/>
      <c r="F3751" s="1076"/>
      <c r="G3751" s="1063"/>
      <c r="H3751" s="1063"/>
      <c r="I3751" s="1063"/>
      <c r="J3751" s="1063"/>
      <c r="K3751" s="1063"/>
      <c r="L3751" s="1063"/>
      <c r="M3751" s="1063"/>
      <c r="N3751" s="1063"/>
      <c r="O3751" s="1063"/>
      <c r="P3751" s="1063"/>
      <c r="Q3751" s="1063"/>
      <c r="R3751" s="1063"/>
      <c r="S3751" s="1063"/>
      <c r="T3751" s="1063"/>
      <c r="U3751" s="1063"/>
      <c r="V3751" s="1063"/>
      <c r="W3751" s="1063"/>
      <c r="X3751" s="1063"/>
      <c r="Y3751" s="1063"/>
      <c r="Z3751" s="1063"/>
      <c r="AA3751" s="1063"/>
      <c r="AB3751" s="1063"/>
      <c r="AC3751" s="1063"/>
      <c r="AD3751" s="1063"/>
      <c r="AE3751" s="1063"/>
      <c r="AF3751" s="1063"/>
      <c r="AG3751" s="1063"/>
      <c r="AH3751" s="1063"/>
      <c r="AI3751" s="1063"/>
      <c r="AJ3751" s="1063"/>
      <c r="AK3751" s="1063"/>
      <c r="AL3751" s="1063"/>
      <c r="AM3751" s="1063"/>
      <c r="AN3751" s="1063"/>
      <c r="AO3751" s="1063"/>
      <c r="AP3751" s="1063"/>
      <c r="AQ3751" s="1063"/>
      <c r="AR3751" s="1063"/>
      <c r="AS3751" s="1063"/>
      <c r="AT3751" s="1063"/>
      <c r="AU3751" s="1063"/>
      <c r="AV3751" s="1063"/>
    </row>
    <row r="3752" spans="1:48" s="1108" customFormat="1" ht="27.75" customHeight="1">
      <c r="A3752" s="1076"/>
      <c r="B3752" s="1074">
        <f>+'[18]Bldg+Dev'!S4564</f>
        <v>0</v>
      </c>
      <c r="D3752" s="1063"/>
      <c r="F3752" s="1076"/>
      <c r="G3752" s="1063"/>
      <c r="H3752" s="1063"/>
      <c r="I3752" s="1063"/>
      <c r="J3752" s="1063"/>
      <c r="K3752" s="1063"/>
      <c r="L3752" s="1063"/>
      <c r="M3752" s="1063"/>
      <c r="N3752" s="1063"/>
      <c r="O3752" s="1063"/>
      <c r="P3752" s="1063"/>
      <c r="Q3752" s="1063"/>
      <c r="R3752" s="1063"/>
      <c r="S3752" s="1063"/>
      <c r="T3752" s="1063"/>
      <c r="U3752" s="1063"/>
      <c r="V3752" s="1063"/>
      <c r="W3752" s="1063"/>
      <c r="X3752" s="1063"/>
      <c r="Y3752" s="1063"/>
      <c r="Z3752" s="1063"/>
      <c r="AA3752" s="1063"/>
      <c r="AB3752" s="1063"/>
      <c r="AC3752" s="1063"/>
      <c r="AD3752" s="1063"/>
      <c r="AE3752" s="1063"/>
      <c r="AF3752" s="1063"/>
      <c r="AG3752" s="1063"/>
      <c r="AH3752" s="1063"/>
      <c r="AI3752" s="1063"/>
      <c r="AJ3752" s="1063"/>
      <c r="AK3752" s="1063"/>
      <c r="AL3752" s="1063"/>
      <c r="AM3752" s="1063"/>
      <c r="AN3752" s="1063"/>
      <c r="AO3752" s="1063"/>
      <c r="AP3752" s="1063"/>
      <c r="AQ3752" s="1063"/>
      <c r="AR3752" s="1063"/>
      <c r="AS3752" s="1063"/>
      <c r="AT3752" s="1063"/>
      <c r="AU3752" s="1063"/>
      <c r="AV3752" s="1063"/>
    </row>
    <row r="3753" spans="1:48" s="1108" customFormat="1" ht="27.75" customHeight="1">
      <c r="A3753" s="1076"/>
      <c r="B3753" s="1074">
        <f>+'[18]Bldg+Dev'!S4565</f>
        <v>0</v>
      </c>
      <c r="D3753" s="1063"/>
      <c r="F3753" s="1076"/>
      <c r="G3753" s="1063"/>
      <c r="H3753" s="1063"/>
      <c r="I3753" s="1063"/>
      <c r="J3753" s="1063"/>
      <c r="K3753" s="1063"/>
      <c r="L3753" s="1063"/>
      <c r="M3753" s="1063"/>
      <c r="N3753" s="1063"/>
      <c r="O3753" s="1063"/>
      <c r="P3753" s="1063"/>
      <c r="Q3753" s="1063"/>
      <c r="R3753" s="1063"/>
      <c r="S3753" s="1063"/>
      <c r="T3753" s="1063"/>
      <c r="U3753" s="1063"/>
      <c r="V3753" s="1063"/>
      <c r="W3753" s="1063"/>
      <c r="X3753" s="1063"/>
      <c r="Y3753" s="1063"/>
      <c r="Z3753" s="1063"/>
      <c r="AA3753" s="1063"/>
      <c r="AB3753" s="1063"/>
      <c r="AC3753" s="1063"/>
      <c r="AD3753" s="1063"/>
      <c r="AE3753" s="1063"/>
      <c r="AF3753" s="1063"/>
      <c r="AG3753" s="1063"/>
      <c r="AH3753" s="1063"/>
      <c r="AI3753" s="1063"/>
      <c r="AJ3753" s="1063"/>
      <c r="AK3753" s="1063"/>
      <c r="AL3753" s="1063"/>
      <c r="AM3753" s="1063"/>
      <c r="AN3753" s="1063"/>
      <c r="AO3753" s="1063"/>
      <c r="AP3753" s="1063"/>
      <c r="AQ3753" s="1063"/>
      <c r="AR3753" s="1063"/>
      <c r="AS3753" s="1063"/>
      <c r="AT3753" s="1063"/>
      <c r="AU3753" s="1063"/>
      <c r="AV3753" s="1063"/>
    </row>
    <row r="3754" spans="1:48" s="1108" customFormat="1" ht="27.75" customHeight="1">
      <c r="A3754" s="1076"/>
      <c r="B3754" s="1074">
        <f>+'[18]Bldg+Dev'!S4566</f>
        <v>0</v>
      </c>
      <c r="D3754" s="1063"/>
      <c r="F3754" s="1076"/>
      <c r="G3754" s="1063"/>
      <c r="H3754" s="1063"/>
      <c r="I3754" s="1063"/>
      <c r="J3754" s="1063"/>
      <c r="K3754" s="1063"/>
      <c r="L3754" s="1063"/>
      <c r="M3754" s="1063"/>
      <c r="N3754" s="1063"/>
      <c r="O3754" s="1063"/>
      <c r="P3754" s="1063"/>
      <c r="Q3754" s="1063"/>
      <c r="R3754" s="1063"/>
      <c r="S3754" s="1063"/>
      <c r="T3754" s="1063"/>
      <c r="U3754" s="1063"/>
      <c r="V3754" s="1063"/>
      <c r="W3754" s="1063"/>
      <c r="X3754" s="1063"/>
      <c r="Y3754" s="1063"/>
      <c r="Z3754" s="1063"/>
      <c r="AA3754" s="1063"/>
      <c r="AB3754" s="1063"/>
      <c r="AC3754" s="1063"/>
      <c r="AD3754" s="1063"/>
      <c r="AE3754" s="1063"/>
      <c r="AF3754" s="1063"/>
      <c r="AG3754" s="1063"/>
      <c r="AH3754" s="1063"/>
      <c r="AI3754" s="1063"/>
      <c r="AJ3754" s="1063"/>
      <c r="AK3754" s="1063"/>
      <c r="AL3754" s="1063"/>
      <c r="AM3754" s="1063"/>
      <c r="AN3754" s="1063"/>
      <c r="AO3754" s="1063"/>
      <c r="AP3754" s="1063"/>
      <c r="AQ3754" s="1063"/>
      <c r="AR3754" s="1063"/>
      <c r="AS3754" s="1063"/>
      <c r="AT3754" s="1063"/>
      <c r="AU3754" s="1063"/>
      <c r="AV3754" s="1063"/>
    </row>
    <row r="3755" spans="1:48" s="1108" customFormat="1" ht="27.75" customHeight="1">
      <c r="A3755" s="1076"/>
      <c r="B3755" s="1074">
        <f>+'[18]Bldg+Dev'!S4567</f>
        <v>0</v>
      </c>
      <c r="D3755" s="1063"/>
      <c r="F3755" s="1076"/>
      <c r="G3755" s="1063"/>
      <c r="H3755" s="1063"/>
      <c r="I3755" s="1063"/>
      <c r="J3755" s="1063"/>
      <c r="K3755" s="1063"/>
      <c r="L3755" s="1063"/>
      <c r="M3755" s="1063"/>
      <c r="N3755" s="1063"/>
      <c r="O3755" s="1063"/>
      <c r="P3755" s="1063"/>
      <c r="Q3755" s="1063"/>
      <c r="R3755" s="1063"/>
      <c r="S3755" s="1063"/>
      <c r="T3755" s="1063"/>
      <c r="U3755" s="1063"/>
      <c r="V3755" s="1063"/>
      <c r="W3755" s="1063"/>
      <c r="X3755" s="1063"/>
      <c r="Y3755" s="1063"/>
      <c r="Z3755" s="1063"/>
      <c r="AA3755" s="1063"/>
      <c r="AB3755" s="1063"/>
      <c r="AC3755" s="1063"/>
      <c r="AD3755" s="1063"/>
      <c r="AE3755" s="1063"/>
      <c r="AF3755" s="1063"/>
      <c r="AG3755" s="1063"/>
      <c r="AH3755" s="1063"/>
      <c r="AI3755" s="1063"/>
      <c r="AJ3755" s="1063"/>
      <c r="AK3755" s="1063"/>
      <c r="AL3755" s="1063"/>
      <c r="AM3755" s="1063"/>
      <c r="AN3755" s="1063"/>
      <c r="AO3755" s="1063"/>
      <c r="AP3755" s="1063"/>
      <c r="AQ3755" s="1063"/>
      <c r="AR3755" s="1063"/>
      <c r="AS3755" s="1063"/>
      <c r="AT3755" s="1063"/>
      <c r="AU3755" s="1063"/>
      <c r="AV3755" s="1063"/>
    </row>
    <row r="3756" spans="1:48" s="1108" customFormat="1" ht="27.75" customHeight="1">
      <c r="A3756" s="1076"/>
      <c r="B3756" s="1074">
        <f>+'[18]Bldg+Dev'!S4568</f>
        <v>0</v>
      </c>
      <c r="D3756" s="1063"/>
      <c r="F3756" s="1076"/>
      <c r="G3756" s="1063"/>
      <c r="H3756" s="1063"/>
      <c r="I3756" s="1063"/>
      <c r="J3756" s="1063"/>
      <c r="K3756" s="1063"/>
      <c r="L3756" s="1063"/>
      <c r="M3756" s="1063"/>
      <c r="N3756" s="1063"/>
      <c r="O3756" s="1063"/>
      <c r="P3756" s="1063"/>
      <c r="Q3756" s="1063"/>
      <c r="R3756" s="1063"/>
      <c r="S3756" s="1063"/>
      <c r="T3756" s="1063"/>
      <c r="U3756" s="1063"/>
      <c r="V3756" s="1063"/>
      <c r="W3756" s="1063"/>
      <c r="X3756" s="1063"/>
      <c r="Y3756" s="1063"/>
      <c r="Z3756" s="1063"/>
      <c r="AA3756" s="1063"/>
      <c r="AB3756" s="1063"/>
      <c r="AC3756" s="1063"/>
      <c r="AD3756" s="1063"/>
      <c r="AE3756" s="1063"/>
      <c r="AF3756" s="1063"/>
      <c r="AG3756" s="1063"/>
      <c r="AH3756" s="1063"/>
      <c r="AI3756" s="1063"/>
      <c r="AJ3756" s="1063"/>
      <c r="AK3756" s="1063"/>
      <c r="AL3756" s="1063"/>
      <c r="AM3756" s="1063"/>
      <c r="AN3756" s="1063"/>
      <c r="AO3756" s="1063"/>
      <c r="AP3756" s="1063"/>
      <c r="AQ3756" s="1063"/>
      <c r="AR3756" s="1063"/>
      <c r="AS3756" s="1063"/>
      <c r="AT3756" s="1063"/>
      <c r="AU3756" s="1063"/>
      <c r="AV3756" s="1063"/>
    </row>
    <row r="3757" spans="1:48" s="1108" customFormat="1" ht="27.75" customHeight="1">
      <c r="A3757" s="1076"/>
      <c r="B3757" s="1074">
        <f>+'[18]Bldg+Dev'!S4569</f>
        <v>0</v>
      </c>
      <c r="D3757" s="1063"/>
      <c r="F3757" s="1076"/>
      <c r="G3757" s="1063"/>
      <c r="H3757" s="1063"/>
      <c r="I3757" s="1063"/>
      <c r="J3757" s="1063"/>
      <c r="K3757" s="1063"/>
      <c r="L3757" s="1063"/>
      <c r="M3757" s="1063"/>
      <c r="N3757" s="1063"/>
      <c r="O3757" s="1063"/>
      <c r="P3757" s="1063"/>
      <c r="Q3757" s="1063"/>
      <c r="R3757" s="1063"/>
      <c r="S3757" s="1063"/>
      <c r="T3757" s="1063"/>
      <c r="U3757" s="1063"/>
      <c r="V3757" s="1063"/>
      <c r="W3757" s="1063"/>
      <c r="X3757" s="1063"/>
      <c r="Y3757" s="1063"/>
      <c r="Z3757" s="1063"/>
      <c r="AA3757" s="1063"/>
      <c r="AB3757" s="1063"/>
      <c r="AC3757" s="1063"/>
      <c r="AD3757" s="1063"/>
      <c r="AE3757" s="1063"/>
      <c r="AF3757" s="1063"/>
      <c r="AG3757" s="1063"/>
      <c r="AH3757" s="1063"/>
      <c r="AI3757" s="1063"/>
      <c r="AJ3757" s="1063"/>
      <c r="AK3757" s="1063"/>
      <c r="AL3757" s="1063"/>
      <c r="AM3757" s="1063"/>
      <c r="AN3757" s="1063"/>
      <c r="AO3757" s="1063"/>
      <c r="AP3757" s="1063"/>
      <c r="AQ3757" s="1063"/>
      <c r="AR3757" s="1063"/>
      <c r="AS3757" s="1063"/>
      <c r="AT3757" s="1063"/>
      <c r="AU3757" s="1063"/>
      <c r="AV3757" s="1063"/>
    </row>
    <row r="3758" spans="1:48" s="1108" customFormat="1" ht="27.75" customHeight="1">
      <c r="A3758" s="1076"/>
      <c r="B3758" s="1074">
        <f>+'[18]Bldg+Dev'!S4570</f>
        <v>0</v>
      </c>
      <c r="D3758" s="1063"/>
      <c r="F3758" s="1076"/>
      <c r="G3758" s="1063"/>
      <c r="H3758" s="1063"/>
      <c r="I3758" s="1063"/>
      <c r="J3758" s="1063"/>
      <c r="K3758" s="1063"/>
      <c r="L3758" s="1063"/>
      <c r="M3758" s="1063"/>
      <c r="N3758" s="1063"/>
      <c r="O3758" s="1063"/>
      <c r="P3758" s="1063"/>
      <c r="Q3758" s="1063"/>
      <c r="R3758" s="1063"/>
      <c r="S3758" s="1063"/>
      <c r="T3758" s="1063"/>
      <c r="U3758" s="1063"/>
      <c r="V3758" s="1063"/>
      <c r="W3758" s="1063"/>
      <c r="X3758" s="1063"/>
      <c r="Y3758" s="1063"/>
      <c r="Z3758" s="1063"/>
      <c r="AA3758" s="1063"/>
      <c r="AB3758" s="1063"/>
      <c r="AC3758" s="1063"/>
      <c r="AD3758" s="1063"/>
      <c r="AE3758" s="1063"/>
      <c r="AF3758" s="1063"/>
      <c r="AG3758" s="1063"/>
      <c r="AH3758" s="1063"/>
      <c r="AI3758" s="1063"/>
      <c r="AJ3758" s="1063"/>
      <c r="AK3758" s="1063"/>
      <c r="AL3758" s="1063"/>
      <c r="AM3758" s="1063"/>
      <c r="AN3758" s="1063"/>
      <c r="AO3758" s="1063"/>
      <c r="AP3758" s="1063"/>
      <c r="AQ3758" s="1063"/>
      <c r="AR3758" s="1063"/>
      <c r="AS3758" s="1063"/>
      <c r="AT3758" s="1063"/>
      <c r="AU3758" s="1063"/>
      <c r="AV3758" s="1063"/>
    </row>
    <row r="3759" spans="1:48" s="1108" customFormat="1" ht="27.75" customHeight="1">
      <c r="A3759" s="1076"/>
      <c r="B3759" s="1074">
        <f>+'[18]Bldg+Dev'!S4571</f>
        <v>0</v>
      </c>
      <c r="D3759" s="1063"/>
      <c r="F3759" s="1076"/>
      <c r="G3759" s="1063"/>
      <c r="H3759" s="1063"/>
      <c r="I3759" s="1063"/>
      <c r="J3759" s="1063"/>
      <c r="K3759" s="1063"/>
      <c r="L3759" s="1063"/>
      <c r="M3759" s="1063"/>
      <c r="N3759" s="1063"/>
      <c r="O3759" s="1063"/>
      <c r="P3759" s="1063"/>
      <c r="Q3759" s="1063"/>
      <c r="R3759" s="1063"/>
      <c r="S3759" s="1063"/>
      <c r="T3759" s="1063"/>
      <c r="U3759" s="1063"/>
      <c r="V3759" s="1063"/>
      <c r="W3759" s="1063"/>
      <c r="X3759" s="1063"/>
      <c r="Y3759" s="1063"/>
      <c r="Z3759" s="1063"/>
      <c r="AA3759" s="1063"/>
      <c r="AB3759" s="1063"/>
      <c r="AC3759" s="1063"/>
      <c r="AD3759" s="1063"/>
      <c r="AE3759" s="1063"/>
      <c r="AF3759" s="1063"/>
      <c r="AG3759" s="1063"/>
      <c r="AH3759" s="1063"/>
      <c r="AI3759" s="1063"/>
      <c r="AJ3759" s="1063"/>
      <c r="AK3759" s="1063"/>
      <c r="AL3759" s="1063"/>
      <c r="AM3759" s="1063"/>
      <c r="AN3759" s="1063"/>
      <c r="AO3759" s="1063"/>
      <c r="AP3759" s="1063"/>
      <c r="AQ3759" s="1063"/>
      <c r="AR3759" s="1063"/>
      <c r="AS3759" s="1063"/>
      <c r="AT3759" s="1063"/>
      <c r="AU3759" s="1063"/>
      <c r="AV3759" s="1063"/>
    </row>
    <row r="3760" spans="1:48" s="1108" customFormat="1" ht="27.75" customHeight="1">
      <c r="A3760" s="1076"/>
      <c r="B3760" s="1074">
        <f>+'[18]Bldg+Dev'!S4572</f>
        <v>0</v>
      </c>
      <c r="D3760" s="1063"/>
      <c r="F3760" s="1076"/>
      <c r="G3760" s="1063"/>
      <c r="H3760" s="1063"/>
      <c r="I3760" s="1063"/>
      <c r="J3760" s="1063"/>
      <c r="K3760" s="1063"/>
      <c r="L3760" s="1063"/>
      <c r="M3760" s="1063"/>
      <c r="N3760" s="1063"/>
      <c r="O3760" s="1063"/>
      <c r="P3760" s="1063"/>
      <c r="Q3760" s="1063"/>
      <c r="R3760" s="1063"/>
      <c r="S3760" s="1063"/>
      <c r="T3760" s="1063"/>
      <c r="U3760" s="1063"/>
      <c r="V3760" s="1063"/>
      <c r="W3760" s="1063"/>
      <c r="X3760" s="1063"/>
      <c r="Y3760" s="1063"/>
      <c r="Z3760" s="1063"/>
      <c r="AA3760" s="1063"/>
      <c r="AB3760" s="1063"/>
      <c r="AC3760" s="1063"/>
      <c r="AD3760" s="1063"/>
      <c r="AE3760" s="1063"/>
      <c r="AF3760" s="1063"/>
      <c r="AG3760" s="1063"/>
      <c r="AH3760" s="1063"/>
      <c r="AI3760" s="1063"/>
      <c r="AJ3760" s="1063"/>
      <c r="AK3760" s="1063"/>
      <c r="AL3760" s="1063"/>
      <c r="AM3760" s="1063"/>
      <c r="AN3760" s="1063"/>
      <c r="AO3760" s="1063"/>
      <c r="AP3760" s="1063"/>
      <c r="AQ3760" s="1063"/>
      <c r="AR3760" s="1063"/>
      <c r="AS3760" s="1063"/>
      <c r="AT3760" s="1063"/>
      <c r="AU3760" s="1063"/>
      <c r="AV3760" s="1063"/>
    </row>
    <row r="3761" spans="1:48" s="1108" customFormat="1" ht="27.75" customHeight="1">
      <c r="A3761" s="1076"/>
      <c r="B3761" s="1074">
        <f>+'[18]Bldg+Dev'!S4573</f>
        <v>0</v>
      </c>
      <c r="D3761" s="1063"/>
      <c r="F3761" s="1076"/>
      <c r="G3761" s="1063"/>
      <c r="H3761" s="1063"/>
      <c r="I3761" s="1063"/>
      <c r="J3761" s="1063"/>
      <c r="K3761" s="1063"/>
      <c r="L3761" s="1063"/>
      <c r="M3761" s="1063"/>
      <c r="N3761" s="1063"/>
      <c r="O3761" s="1063"/>
      <c r="P3761" s="1063"/>
      <c r="Q3761" s="1063"/>
      <c r="R3761" s="1063"/>
      <c r="S3761" s="1063"/>
      <c r="T3761" s="1063"/>
      <c r="U3761" s="1063"/>
      <c r="V3761" s="1063"/>
      <c r="W3761" s="1063"/>
      <c r="X3761" s="1063"/>
      <c r="Y3761" s="1063"/>
      <c r="Z3761" s="1063"/>
      <c r="AA3761" s="1063"/>
      <c r="AB3761" s="1063"/>
      <c r="AC3761" s="1063"/>
      <c r="AD3761" s="1063"/>
      <c r="AE3761" s="1063"/>
      <c r="AF3761" s="1063"/>
      <c r="AG3761" s="1063"/>
      <c r="AH3761" s="1063"/>
      <c r="AI3761" s="1063"/>
      <c r="AJ3761" s="1063"/>
      <c r="AK3761" s="1063"/>
      <c r="AL3761" s="1063"/>
      <c r="AM3761" s="1063"/>
      <c r="AN3761" s="1063"/>
      <c r="AO3761" s="1063"/>
      <c r="AP3761" s="1063"/>
      <c r="AQ3761" s="1063"/>
      <c r="AR3761" s="1063"/>
      <c r="AS3761" s="1063"/>
      <c r="AT3761" s="1063"/>
      <c r="AU3761" s="1063"/>
      <c r="AV3761" s="1063"/>
    </row>
    <row r="3762" spans="1:48" s="1108" customFormat="1" ht="27.75" customHeight="1">
      <c r="A3762" s="1076"/>
      <c r="B3762" s="1074">
        <f>+'[18]Bldg+Dev'!S4574</f>
        <v>0</v>
      </c>
      <c r="D3762" s="1063"/>
      <c r="F3762" s="1076"/>
      <c r="G3762" s="1063"/>
      <c r="H3762" s="1063"/>
      <c r="I3762" s="1063"/>
      <c r="J3762" s="1063"/>
      <c r="K3762" s="1063"/>
      <c r="L3762" s="1063"/>
      <c r="M3762" s="1063"/>
      <c r="N3762" s="1063"/>
      <c r="O3762" s="1063"/>
      <c r="P3762" s="1063"/>
      <c r="Q3762" s="1063"/>
      <c r="R3762" s="1063"/>
      <c r="S3762" s="1063"/>
      <c r="T3762" s="1063"/>
      <c r="U3762" s="1063"/>
      <c r="V3762" s="1063"/>
      <c r="W3762" s="1063"/>
      <c r="X3762" s="1063"/>
      <c r="Y3762" s="1063"/>
      <c r="Z3762" s="1063"/>
      <c r="AA3762" s="1063"/>
      <c r="AB3762" s="1063"/>
      <c r="AC3762" s="1063"/>
      <c r="AD3762" s="1063"/>
      <c r="AE3762" s="1063"/>
      <c r="AF3762" s="1063"/>
      <c r="AG3762" s="1063"/>
      <c r="AH3762" s="1063"/>
      <c r="AI3762" s="1063"/>
      <c r="AJ3762" s="1063"/>
      <c r="AK3762" s="1063"/>
      <c r="AL3762" s="1063"/>
      <c r="AM3762" s="1063"/>
      <c r="AN3762" s="1063"/>
      <c r="AO3762" s="1063"/>
      <c r="AP3762" s="1063"/>
      <c r="AQ3762" s="1063"/>
      <c r="AR3762" s="1063"/>
      <c r="AS3762" s="1063"/>
      <c r="AT3762" s="1063"/>
      <c r="AU3762" s="1063"/>
      <c r="AV3762" s="1063"/>
    </row>
    <row r="3763" spans="1:48" s="1108" customFormat="1" ht="27.75" customHeight="1">
      <c r="A3763" s="1076"/>
      <c r="B3763" s="1074">
        <f>+'[18]Bldg+Dev'!S4575</f>
        <v>0</v>
      </c>
      <c r="D3763" s="1063"/>
      <c r="F3763" s="1076"/>
      <c r="G3763" s="1063"/>
      <c r="H3763" s="1063"/>
      <c r="I3763" s="1063"/>
      <c r="J3763" s="1063"/>
      <c r="K3763" s="1063"/>
      <c r="L3763" s="1063"/>
      <c r="M3763" s="1063"/>
      <c r="N3763" s="1063"/>
      <c r="O3763" s="1063"/>
      <c r="P3763" s="1063"/>
      <c r="Q3763" s="1063"/>
      <c r="R3763" s="1063"/>
      <c r="S3763" s="1063"/>
      <c r="T3763" s="1063"/>
      <c r="U3763" s="1063"/>
      <c r="V3763" s="1063"/>
      <c r="W3763" s="1063"/>
      <c r="X3763" s="1063"/>
      <c r="Y3763" s="1063"/>
      <c r="Z3763" s="1063"/>
      <c r="AA3763" s="1063"/>
      <c r="AB3763" s="1063"/>
      <c r="AC3763" s="1063"/>
      <c r="AD3763" s="1063"/>
      <c r="AE3763" s="1063"/>
      <c r="AF3763" s="1063"/>
      <c r="AG3763" s="1063"/>
      <c r="AH3763" s="1063"/>
      <c r="AI3763" s="1063"/>
      <c r="AJ3763" s="1063"/>
      <c r="AK3763" s="1063"/>
      <c r="AL3763" s="1063"/>
      <c r="AM3763" s="1063"/>
      <c r="AN3763" s="1063"/>
      <c r="AO3763" s="1063"/>
      <c r="AP3763" s="1063"/>
      <c r="AQ3763" s="1063"/>
      <c r="AR3763" s="1063"/>
      <c r="AS3763" s="1063"/>
      <c r="AT3763" s="1063"/>
      <c r="AU3763" s="1063"/>
      <c r="AV3763" s="1063"/>
    </row>
    <row r="3764" spans="1:48" s="1108" customFormat="1" ht="27.75" customHeight="1">
      <c r="A3764" s="1076"/>
      <c r="B3764" s="1074">
        <f>+'[18]Bldg+Dev'!S4576</f>
        <v>0</v>
      </c>
      <c r="D3764" s="1063"/>
      <c r="F3764" s="1076"/>
      <c r="G3764" s="1063"/>
      <c r="H3764" s="1063"/>
      <c r="I3764" s="1063"/>
      <c r="J3764" s="1063"/>
      <c r="K3764" s="1063"/>
      <c r="L3764" s="1063"/>
      <c r="M3764" s="1063"/>
      <c r="N3764" s="1063"/>
      <c r="O3764" s="1063"/>
      <c r="P3764" s="1063"/>
      <c r="Q3764" s="1063"/>
      <c r="R3764" s="1063"/>
      <c r="S3764" s="1063"/>
      <c r="T3764" s="1063"/>
      <c r="U3764" s="1063"/>
      <c r="V3764" s="1063"/>
      <c r="W3764" s="1063"/>
      <c r="X3764" s="1063"/>
      <c r="Y3764" s="1063"/>
      <c r="Z3764" s="1063"/>
      <c r="AA3764" s="1063"/>
      <c r="AB3764" s="1063"/>
      <c r="AC3764" s="1063"/>
      <c r="AD3764" s="1063"/>
      <c r="AE3764" s="1063"/>
      <c r="AF3764" s="1063"/>
      <c r="AG3764" s="1063"/>
      <c r="AH3764" s="1063"/>
      <c r="AI3764" s="1063"/>
      <c r="AJ3764" s="1063"/>
      <c r="AK3764" s="1063"/>
      <c r="AL3764" s="1063"/>
      <c r="AM3764" s="1063"/>
      <c r="AN3764" s="1063"/>
      <c r="AO3764" s="1063"/>
      <c r="AP3764" s="1063"/>
      <c r="AQ3764" s="1063"/>
      <c r="AR3764" s="1063"/>
      <c r="AS3764" s="1063"/>
      <c r="AT3764" s="1063"/>
      <c r="AU3764" s="1063"/>
      <c r="AV3764" s="1063"/>
    </row>
    <row r="3765" spans="1:48" s="1108" customFormat="1" ht="27.75" customHeight="1">
      <c r="A3765" s="1076"/>
      <c r="B3765" s="1074">
        <f>+'[18]Bldg+Dev'!S4577</f>
        <v>0</v>
      </c>
      <c r="D3765" s="1063"/>
      <c r="F3765" s="1076"/>
      <c r="G3765" s="1063"/>
      <c r="H3765" s="1063"/>
      <c r="I3765" s="1063"/>
      <c r="J3765" s="1063"/>
      <c r="K3765" s="1063"/>
      <c r="L3765" s="1063"/>
      <c r="M3765" s="1063"/>
      <c r="N3765" s="1063"/>
      <c r="O3765" s="1063"/>
      <c r="P3765" s="1063"/>
      <c r="Q3765" s="1063"/>
      <c r="R3765" s="1063"/>
      <c r="S3765" s="1063"/>
      <c r="T3765" s="1063"/>
      <c r="U3765" s="1063"/>
      <c r="V3765" s="1063"/>
      <c r="W3765" s="1063"/>
      <c r="X3765" s="1063"/>
      <c r="Y3765" s="1063"/>
      <c r="Z3765" s="1063"/>
      <c r="AA3765" s="1063"/>
      <c r="AB3765" s="1063"/>
      <c r="AC3765" s="1063"/>
      <c r="AD3765" s="1063"/>
      <c r="AE3765" s="1063"/>
      <c r="AF3765" s="1063"/>
      <c r="AG3765" s="1063"/>
      <c r="AH3765" s="1063"/>
      <c r="AI3765" s="1063"/>
      <c r="AJ3765" s="1063"/>
      <c r="AK3765" s="1063"/>
      <c r="AL3765" s="1063"/>
      <c r="AM3765" s="1063"/>
      <c r="AN3765" s="1063"/>
      <c r="AO3765" s="1063"/>
      <c r="AP3765" s="1063"/>
      <c r="AQ3765" s="1063"/>
      <c r="AR3765" s="1063"/>
      <c r="AS3765" s="1063"/>
      <c r="AT3765" s="1063"/>
      <c r="AU3765" s="1063"/>
      <c r="AV3765" s="1063"/>
    </row>
    <row r="3766" spans="1:48" s="1108" customFormat="1" ht="27.75" customHeight="1">
      <c r="A3766" s="1076"/>
      <c r="B3766" s="1074">
        <f>+'[18]Bldg+Dev'!S4578</f>
        <v>0</v>
      </c>
      <c r="D3766" s="1063"/>
      <c r="F3766" s="1076"/>
      <c r="G3766" s="1063"/>
      <c r="H3766" s="1063"/>
      <c r="I3766" s="1063"/>
      <c r="J3766" s="1063"/>
      <c r="K3766" s="1063"/>
      <c r="L3766" s="1063"/>
      <c r="M3766" s="1063"/>
      <c r="N3766" s="1063"/>
      <c r="O3766" s="1063"/>
      <c r="P3766" s="1063"/>
      <c r="Q3766" s="1063"/>
      <c r="R3766" s="1063"/>
      <c r="S3766" s="1063"/>
      <c r="T3766" s="1063"/>
      <c r="U3766" s="1063"/>
      <c r="V3766" s="1063"/>
      <c r="W3766" s="1063"/>
      <c r="X3766" s="1063"/>
      <c r="Y3766" s="1063"/>
      <c r="Z3766" s="1063"/>
      <c r="AA3766" s="1063"/>
      <c r="AB3766" s="1063"/>
      <c r="AC3766" s="1063"/>
      <c r="AD3766" s="1063"/>
      <c r="AE3766" s="1063"/>
      <c r="AF3766" s="1063"/>
      <c r="AG3766" s="1063"/>
      <c r="AH3766" s="1063"/>
      <c r="AI3766" s="1063"/>
      <c r="AJ3766" s="1063"/>
      <c r="AK3766" s="1063"/>
      <c r="AL3766" s="1063"/>
      <c r="AM3766" s="1063"/>
      <c r="AN3766" s="1063"/>
      <c r="AO3766" s="1063"/>
      <c r="AP3766" s="1063"/>
      <c r="AQ3766" s="1063"/>
      <c r="AR3766" s="1063"/>
      <c r="AS3766" s="1063"/>
      <c r="AT3766" s="1063"/>
      <c r="AU3766" s="1063"/>
      <c r="AV3766" s="1063"/>
    </row>
    <row r="3767" spans="1:48" s="1108" customFormat="1" ht="27.75" customHeight="1">
      <c r="A3767" s="1076"/>
      <c r="B3767" s="1074">
        <f>+'[18]Bldg+Dev'!S4579</f>
        <v>0</v>
      </c>
      <c r="D3767" s="1063"/>
      <c r="F3767" s="1076"/>
      <c r="G3767" s="1063"/>
      <c r="H3767" s="1063"/>
      <c r="I3767" s="1063"/>
      <c r="J3767" s="1063"/>
      <c r="K3767" s="1063"/>
      <c r="L3767" s="1063"/>
      <c r="M3767" s="1063"/>
      <c r="N3767" s="1063"/>
      <c r="O3767" s="1063"/>
      <c r="P3767" s="1063"/>
      <c r="Q3767" s="1063"/>
      <c r="R3767" s="1063"/>
      <c r="S3767" s="1063"/>
      <c r="T3767" s="1063"/>
      <c r="U3767" s="1063"/>
      <c r="V3767" s="1063"/>
      <c r="W3767" s="1063"/>
      <c r="X3767" s="1063"/>
      <c r="Y3767" s="1063"/>
      <c r="Z3767" s="1063"/>
      <c r="AA3767" s="1063"/>
      <c r="AB3767" s="1063"/>
      <c r="AC3767" s="1063"/>
      <c r="AD3767" s="1063"/>
      <c r="AE3767" s="1063"/>
      <c r="AF3767" s="1063"/>
      <c r="AG3767" s="1063"/>
      <c r="AH3767" s="1063"/>
      <c r="AI3767" s="1063"/>
      <c r="AJ3767" s="1063"/>
      <c r="AK3767" s="1063"/>
      <c r="AL3767" s="1063"/>
      <c r="AM3767" s="1063"/>
      <c r="AN3767" s="1063"/>
      <c r="AO3767" s="1063"/>
      <c r="AP3767" s="1063"/>
      <c r="AQ3767" s="1063"/>
      <c r="AR3767" s="1063"/>
      <c r="AS3767" s="1063"/>
      <c r="AT3767" s="1063"/>
      <c r="AU3767" s="1063"/>
      <c r="AV3767" s="1063"/>
    </row>
    <row r="3768" spans="1:48" s="1108" customFormat="1" ht="27.75" customHeight="1">
      <c r="A3768" s="1076"/>
      <c r="B3768" s="1074">
        <f>+'[18]Bldg+Dev'!S4580</f>
        <v>0</v>
      </c>
      <c r="D3768" s="1063"/>
      <c r="F3768" s="1076"/>
      <c r="G3768" s="1063"/>
      <c r="H3768" s="1063"/>
      <c r="I3768" s="1063"/>
      <c r="J3768" s="1063"/>
      <c r="K3768" s="1063"/>
      <c r="L3768" s="1063"/>
      <c r="M3768" s="1063"/>
      <c r="N3768" s="1063"/>
      <c r="O3768" s="1063"/>
      <c r="P3768" s="1063"/>
      <c r="Q3768" s="1063"/>
      <c r="R3768" s="1063"/>
      <c r="S3768" s="1063"/>
      <c r="T3768" s="1063"/>
      <c r="U3768" s="1063"/>
      <c r="V3768" s="1063"/>
      <c r="W3768" s="1063"/>
      <c r="X3768" s="1063"/>
      <c r="Y3768" s="1063"/>
      <c r="Z3768" s="1063"/>
      <c r="AA3768" s="1063"/>
      <c r="AB3768" s="1063"/>
      <c r="AC3768" s="1063"/>
      <c r="AD3768" s="1063"/>
      <c r="AE3768" s="1063"/>
      <c r="AF3768" s="1063"/>
      <c r="AG3768" s="1063"/>
      <c r="AH3768" s="1063"/>
      <c r="AI3768" s="1063"/>
      <c r="AJ3768" s="1063"/>
      <c r="AK3768" s="1063"/>
      <c r="AL3768" s="1063"/>
      <c r="AM3768" s="1063"/>
      <c r="AN3768" s="1063"/>
      <c r="AO3768" s="1063"/>
      <c r="AP3768" s="1063"/>
      <c r="AQ3768" s="1063"/>
      <c r="AR3768" s="1063"/>
      <c r="AS3768" s="1063"/>
      <c r="AT3768" s="1063"/>
      <c r="AU3768" s="1063"/>
      <c r="AV3768" s="1063"/>
    </row>
    <row r="3769" spans="1:48" s="1108" customFormat="1" ht="27.75" customHeight="1">
      <c r="A3769" s="1076"/>
      <c r="B3769" s="1074">
        <f>+'[18]Bldg+Dev'!S4581</f>
        <v>0</v>
      </c>
      <c r="D3769" s="1063"/>
      <c r="F3769" s="1076"/>
      <c r="G3769" s="1063"/>
      <c r="H3769" s="1063"/>
      <c r="I3769" s="1063"/>
      <c r="J3769" s="1063"/>
      <c r="K3769" s="1063"/>
      <c r="L3769" s="1063"/>
      <c r="M3769" s="1063"/>
      <c r="N3769" s="1063"/>
      <c r="O3769" s="1063"/>
      <c r="P3769" s="1063"/>
      <c r="Q3769" s="1063"/>
      <c r="R3769" s="1063"/>
      <c r="S3769" s="1063"/>
      <c r="T3769" s="1063"/>
      <c r="U3769" s="1063"/>
      <c r="V3769" s="1063"/>
      <c r="W3769" s="1063"/>
      <c r="X3769" s="1063"/>
      <c r="Y3769" s="1063"/>
      <c r="Z3769" s="1063"/>
      <c r="AA3769" s="1063"/>
      <c r="AB3769" s="1063"/>
      <c r="AC3769" s="1063"/>
      <c r="AD3769" s="1063"/>
      <c r="AE3769" s="1063"/>
      <c r="AF3769" s="1063"/>
      <c r="AG3769" s="1063"/>
      <c r="AH3769" s="1063"/>
      <c r="AI3769" s="1063"/>
      <c r="AJ3769" s="1063"/>
      <c r="AK3769" s="1063"/>
      <c r="AL3769" s="1063"/>
      <c r="AM3769" s="1063"/>
      <c r="AN3769" s="1063"/>
      <c r="AO3769" s="1063"/>
      <c r="AP3769" s="1063"/>
      <c r="AQ3769" s="1063"/>
      <c r="AR3769" s="1063"/>
      <c r="AS3769" s="1063"/>
      <c r="AT3769" s="1063"/>
      <c r="AU3769" s="1063"/>
      <c r="AV3769" s="1063"/>
    </row>
    <row r="3770" spans="1:48" s="1108" customFormat="1" ht="27.75" customHeight="1">
      <c r="A3770" s="1076"/>
      <c r="B3770" s="1074">
        <f>+'[18]Bldg+Dev'!S4582</f>
        <v>0</v>
      </c>
      <c r="D3770" s="1063"/>
      <c r="F3770" s="1076"/>
      <c r="G3770" s="1063"/>
      <c r="H3770" s="1063"/>
      <c r="I3770" s="1063"/>
      <c r="J3770" s="1063"/>
      <c r="K3770" s="1063"/>
      <c r="L3770" s="1063"/>
      <c r="M3770" s="1063"/>
      <c r="N3770" s="1063"/>
      <c r="O3770" s="1063"/>
      <c r="P3770" s="1063"/>
      <c r="Q3770" s="1063"/>
      <c r="R3770" s="1063"/>
      <c r="S3770" s="1063"/>
      <c r="T3770" s="1063"/>
      <c r="U3770" s="1063"/>
      <c r="V3770" s="1063"/>
      <c r="W3770" s="1063"/>
      <c r="X3770" s="1063"/>
      <c r="Y3770" s="1063"/>
      <c r="Z3770" s="1063"/>
      <c r="AA3770" s="1063"/>
      <c r="AB3770" s="1063"/>
      <c r="AC3770" s="1063"/>
      <c r="AD3770" s="1063"/>
      <c r="AE3770" s="1063"/>
      <c r="AF3770" s="1063"/>
      <c r="AG3770" s="1063"/>
      <c r="AH3770" s="1063"/>
      <c r="AI3770" s="1063"/>
      <c r="AJ3770" s="1063"/>
      <c r="AK3770" s="1063"/>
      <c r="AL3770" s="1063"/>
      <c r="AM3770" s="1063"/>
      <c r="AN3770" s="1063"/>
      <c r="AO3770" s="1063"/>
      <c r="AP3770" s="1063"/>
      <c r="AQ3770" s="1063"/>
      <c r="AR3770" s="1063"/>
      <c r="AS3770" s="1063"/>
      <c r="AT3770" s="1063"/>
      <c r="AU3770" s="1063"/>
      <c r="AV3770" s="1063"/>
    </row>
    <row r="3771" spans="1:48" s="1108" customFormat="1" ht="27.75" customHeight="1">
      <c r="A3771" s="1076"/>
      <c r="B3771" s="1074">
        <f>+'[18]Bldg+Dev'!S4583</f>
        <v>0</v>
      </c>
      <c r="D3771" s="1063"/>
      <c r="F3771" s="1076"/>
      <c r="G3771" s="1063"/>
      <c r="H3771" s="1063"/>
      <c r="I3771" s="1063"/>
      <c r="J3771" s="1063"/>
      <c r="K3771" s="1063"/>
      <c r="L3771" s="1063"/>
      <c r="M3771" s="1063"/>
      <c r="N3771" s="1063"/>
      <c r="O3771" s="1063"/>
      <c r="P3771" s="1063"/>
      <c r="Q3771" s="1063"/>
      <c r="R3771" s="1063"/>
      <c r="S3771" s="1063"/>
      <c r="T3771" s="1063"/>
      <c r="U3771" s="1063"/>
      <c r="V3771" s="1063"/>
      <c r="W3771" s="1063"/>
      <c r="X3771" s="1063"/>
      <c r="Y3771" s="1063"/>
      <c r="Z3771" s="1063"/>
      <c r="AA3771" s="1063"/>
      <c r="AB3771" s="1063"/>
      <c r="AC3771" s="1063"/>
      <c r="AD3771" s="1063"/>
      <c r="AE3771" s="1063"/>
      <c r="AF3771" s="1063"/>
      <c r="AG3771" s="1063"/>
      <c r="AH3771" s="1063"/>
      <c r="AI3771" s="1063"/>
      <c r="AJ3771" s="1063"/>
      <c r="AK3771" s="1063"/>
      <c r="AL3771" s="1063"/>
      <c r="AM3771" s="1063"/>
      <c r="AN3771" s="1063"/>
      <c r="AO3771" s="1063"/>
      <c r="AP3771" s="1063"/>
      <c r="AQ3771" s="1063"/>
      <c r="AR3771" s="1063"/>
      <c r="AS3771" s="1063"/>
      <c r="AT3771" s="1063"/>
      <c r="AU3771" s="1063"/>
      <c r="AV3771" s="1063"/>
    </row>
    <row r="3772" spans="1:48" s="1108" customFormat="1" ht="27.75" customHeight="1">
      <c r="A3772" s="1076"/>
      <c r="B3772" s="1074">
        <f>+'[18]Bldg+Dev'!S4584</f>
        <v>0</v>
      </c>
      <c r="D3772" s="1063"/>
      <c r="F3772" s="1076"/>
      <c r="G3772" s="1063"/>
      <c r="H3772" s="1063"/>
      <c r="I3772" s="1063"/>
      <c r="J3772" s="1063"/>
      <c r="K3772" s="1063"/>
      <c r="L3772" s="1063"/>
      <c r="M3772" s="1063"/>
      <c r="N3772" s="1063"/>
      <c r="O3772" s="1063"/>
      <c r="P3772" s="1063"/>
      <c r="Q3772" s="1063"/>
      <c r="R3772" s="1063"/>
      <c r="S3772" s="1063"/>
      <c r="T3772" s="1063"/>
      <c r="U3772" s="1063"/>
      <c r="V3772" s="1063"/>
      <c r="W3772" s="1063"/>
      <c r="X3772" s="1063"/>
      <c r="Y3772" s="1063"/>
      <c r="Z3772" s="1063"/>
      <c r="AA3772" s="1063"/>
      <c r="AB3772" s="1063"/>
      <c r="AC3772" s="1063"/>
      <c r="AD3772" s="1063"/>
      <c r="AE3772" s="1063"/>
      <c r="AF3772" s="1063"/>
      <c r="AG3772" s="1063"/>
      <c r="AH3772" s="1063"/>
      <c r="AI3772" s="1063"/>
      <c r="AJ3772" s="1063"/>
      <c r="AK3772" s="1063"/>
      <c r="AL3772" s="1063"/>
      <c r="AM3772" s="1063"/>
      <c r="AN3772" s="1063"/>
      <c r="AO3772" s="1063"/>
      <c r="AP3772" s="1063"/>
      <c r="AQ3772" s="1063"/>
      <c r="AR3772" s="1063"/>
      <c r="AS3772" s="1063"/>
      <c r="AT3772" s="1063"/>
      <c r="AU3772" s="1063"/>
      <c r="AV3772" s="1063"/>
    </row>
    <row r="3773" spans="1:48" s="1108" customFormat="1" ht="27.75" customHeight="1">
      <c r="A3773" s="1076"/>
      <c r="B3773" s="1074">
        <f>+'[18]Bldg+Dev'!S4585</f>
        <v>0</v>
      </c>
      <c r="D3773" s="1063"/>
      <c r="F3773" s="1076"/>
      <c r="G3773" s="1063"/>
      <c r="H3773" s="1063"/>
      <c r="I3773" s="1063"/>
      <c r="J3773" s="1063"/>
      <c r="K3773" s="1063"/>
      <c r="L3773" s="1063"/>
      <c r="M3773" s="1063"/>
      <c r="N3773" s="1063"/>
      <c r="O3773" s="1063"/>
      <c r="P3773" s="1063"/>
      <c r="Q3773" s="1063"/>
      <c r="R3773" s="1063"/>
      <c r="S3773" s="1063"/>
      <c r="T3773" s="1063"/>
      <c r="U3773" s="1063"/>
      <c r="V3773" s="1063"/>
      <c r="W3773" s="1063"/>
      <c r="X3773" s="1063"/>
      <c r="Y3773" s="1063"/>
      <c r="Z3773" s="1063"/>
      <c r="AA3773" s="1063"/>
      <c r="AB3773" s="1063"/>
      <c r="AC3773" s="1063"/>
      <c r="AD3773" s="1063"/>
      <c r="AE3773" s="1063"/>
      <c r="AF3773" s="1063"/>
      <c r="AG3773" s="1063"/>
      <c r="AH3773" s="1063"/>
      <c r="AI3773" s="1063"/>
      <c r="AJ3773" s="1063"/>
      <c r="AK3773" s="1063"/>
      <c r="AL3773" s="1063"/>
      <c r="AM3773" s="1063"/>
      <c r="AN3773" s="1063"/>
      <c r="AO3773" s="1063"/>
      <c r="AP3773" s="1063"/>
      <c r="AQ3773" s="1063"/>
      <c r="AR3773" s="1063"/>
      <c r="AS3773" s="1063"/>
      <c r="AT3773" s="1063"/>
      <c r="AU3773" s="1063"/>
      <c r="AV3773" s="1063"/>
    </row>
    <row r="3774" spans="1:48" s="1108" customFormat="1" ht="27.75" customHeight="1">
      <c r="A3774" s="1076"/>
      <c r="B3774" s="1074">
        <f>+'[18]Bldg+Dev'!S4586</f>
        <v>0</v>
      </c>
      <c r="D3774" s="1063"/>
      <c r="F3774" s="1076"/>
      <c r="G3774" s="1063"/>
      <c r="H3774" s="1063"/>
      <c r="I3774" s="1063"/>
      <c r="J3774" s="1063"/>
      <c r="K3774" s="1063"/>
      <c r="L3774" s="1063"/>
      <c r="M3774" s="1063"/>
      <c r="N3774" s="1063"/>
      <c r="O3774" s="1063"/>
      <c r="P3774" s="1063"/>
      <c r="Q3774" s="1063"/>
      <c r="R3774" s="1063"/>
      <c r="S3774" s="1063"/>
      <c r="T3774" s="1063"/>
      <c r="U3774" s="1063"/>
      <c r="V3774" s="1063"/>
      <c r="W3774" s="1063"/>
      <c r="X3774" s="1063"/>
      <c r="Y3774" s="1063"/>
      <c r="Z3774" s="1063"/>
      <c r="AA3774" s="1063"/>
      <c r="AB3774" s="1063"/>
      <c r="AC3774" s="1063"/>
      <c r="AD3774" s="1063"/>
      <c r="AE3774" s="1063"/>
      <c r="AF3774" s="1063"/>
      <c r="AG3774" s="1063"/>
      <c r="AH3774" s="1063"/>
      <c r="AI3774" s="1063"/>
      <c r="AJ3774" s="1063"/>
      <c r="AK3774" s="1063"/>
      <c r="AL3774" s="1063"/>
      <c r="AM3774" s="1063"/>
      <c r="AN3774" s="1063"/>
      <c r="AO3774" s="1063"/>
      <c r="AP3774" s="1063"/>
      <c r="AQ3774" s="1063"/>
      <c r="AR3774" s="1063"/>
      <c r="AS3774" s="1063"/>
      <c r="AT3774" s="1063"/>
      <c r="AU3774" s="1063"/>
      <c r="AV3774" s="1063"/>
    </row>
    <row r="3775" spans="1:48" s="1108" customFormat="1" ht="27.75" customHeight="1">
      <c r="A3775" s="1076"/>
      <c r="B3775" s="1074">
        <f>+'[18]Bldg+Dev'!S4587</f>
        <v>0</v>
      </c>
      <c r="D3775" s="1063"/>
      <c r="F3775" s="1076"/>
      <c r="G3775" s="1063"/>
      <c r="H3775" s="1063"/>
      <c r="I3775" s="1063"/>
      <c r="J3775" s="1063"/>
      <c r="K3775" s="1063"/>
      <c r="L3775" s="1063"/>
      <c r="M3775" s="1063"/>
      <c r="N3775" s="1063"/>
      <c r="O3775" s="1063"/>
      <c r="P3775" s="1063"/>
      <c r="Q3775" s="1063"/>
      <c r="R3775" s="1063"/>
      <c r="S3775" s="1063"/>
      <c r="T3775" s="1063"/>
      <c r="U3775" s="1063"/>
      <c r="V3775" s="1063"/>
      <c r="W3775" s="1063"/>
      <c r="X3775" s="1063"/>
      <c r="Y3775" s="1063"/>
      <c r="Z3775" s="1063"/>
      <c r="AA3775" s="1063"/>
      <c r="AB3775" s="1063"/>
      <c r="AC3775" s="1063"/>
      <c r="AD3775" s="1063"/>
      <c r="AE3775" s="1063"/>
      <c r="AF3775" s="1063"/>
      <c r="AG3775" s="1063"/>
      <c r="AH3775" s="1063"/>
      <c r="AI3775" s="1063"/>
      <c r="AJ3775" s="1063"/>
      <c r="AK3775" s="1063"/>
      <c r="AL3775" s="1063"/>
      <c r="AM3775" s="1063"/>
      <c r="AN3775" s="1063"/>
      <c r="AO3775" s="1063"/>
      <c r="AP3775" s="1063"/>
      <c r="AQ3775" s="1063"/>
      <c r="AR3775" s="1063"/>
      <c r="AS3775" s="1063"/>
      <c r="AT3775" s="1063"/>
      <c r="AU3775" s="1063"/>
      <c r="AV3775" s="1063"/>
    </row>
    <row r="3776" spans="1:48" s="1108" customFormat="1" ht="27.75" customHeight="1">
      <c r="A3776" s="1076"/>
      <c r="B3776" s="1074">
        <f>+'[18]Bldg+Dev'!S4588</f>
        <v>0</v>
      </c>
      <c r="D3776" s="1063"/>
      <c r="F3776" s="1076"/>
      <c r="G3776" s="1063"/>
      <c r="H3776" s="1063"/>
      <c r="I3776" s="1063"/>
      <c r="J3776" s="1063"/>
      <c r="K3776" s="1063"/>
      <c r="L3776" s="1063"/>
      <c r="M3776" s="1063"/>
      <c r="N3776" s="1063"/>
      <c r="O3776" s="1063"/>
      <c r="P3776" s="1063"/>
      <c r="Q3776" s="1063"/>
      <c r="R3776" s="1063"/>
      <c r="S3776" s="1063"/>
      <c r="T3776" s="1063"/>
      <c r="U3776" s="1063"/>
      <c r="V3776" s="1063"/>
      <c r="W3776" s="1063"/>
      <c r="X3776" s="1063"/>
      <c r="Y3776" s="1063"/>
      <c r="Z3776" s="1063"/>
      <c r="AA3776" s="1063"/>
      <c r="AB3776" s="1063"/>
      <c r="AC3776" s="1063"/>
      <c r="AD3776" s="1063"/>
      <c r="AE3776" s="1063"/>
      <c r="AF3776" s="1063"/>
      <c r="AG3776" s="1063"/>
      <c r="AH3776" s="1063"/>
      <c r="AI3776" s="1063"/>
      <c r="AJ3776" s="1063"/>
      <c r="AK3776" s="1063"/>
      <c r="AL3776" s="1063"/>
      <c r="AM3776" s="1063"/>
      <c r="AN3776" s="1063"/>
      <c r="AO3776" s="1063"/>
      <c r="AP3776" s="1063"/>
      <c r="AQ3776" s="1063"/>
      <c r="AR3776" s="1063"/>
      <c r="AS3776" s="1063"/>
      <c r="AT3776" s="1063"/>
      <c r="AU3776" s="1063"/>
      <c r="AV3776" s="1063"/>
    </row>
    <row r="3777" spans="1:48" s="1108" customFormat="1" ht="27.75" customHeight="1">
      <c r="A3777" s="1076"/>
      <c r="B3777" s="1074">
        <f>+'[18]Bldg+Dev'!S4589</f>
        <v>0</v>
      </c>
      <c r="D3777" s="1063"/>
      <c r="F3777" s="1076"/>
      <c r="G3777" s="1063"/>
      <c r="H3777" s="1063"/>
      <c r="I3777" s="1063"/>
      <c r="J3777" s="1063"/>
      <c r="K3777" s="1063"/>
      <c r="L3777" s="1063"/>
      <c r="M3777" s="1063"/>
      <c r="N3777" s="1063"/>
      <c r="O3777" s="1063"/>
      <c r="P3777" s="1063"/>
      <c r="Q3777" s="1063"/>
      <c r="R3777" s="1063"/>
      <c r="S3777" s="1063"/>
      <c r="T3777" s="1063"/>
      <c r="U3777" s="1063"/>
      <c r="V3777" s="1063"/>
      <c r="W3777" s="1063"/>
      <c r="X3777" s="1063"/>
      <c r="Y3777" s="1063"/>
      <c r="Z3777" s="1063"/>
      <c r="AA3777" s="1063"/>
      <c r="AB3777" s="1063"/>
      <c r="AC3777" s="1063"/>
      <c r="AD3777" s="1063"/>
      <c r="AE3777" s="1063"/>
      <c r="AF3777" s="1063"/>
      <c r="AG3777" s="1063"/>
      <c r="AH3777" s="1063"/>
      <c r="AI3777" s="1063"/>
      <c r="AJ3777" s="1063"/>
      <c r="AK3777" s="1063"/>
      <c r="AL3777" s="1063"/>
      <c r="AM3777" s="1063"/>
      <c r="AN3777" s="1063"/>
      <c r="AO3777" s="1063"/>
      <c r="AP3777" s="1063"/>
      <c r="AQ3777" s="1063"/>
      <c r="AR3777" s="1063"/>
      <c r="AS3777" s="1063"/>
      <c r="AT3777" s="1063"/>
      <c r="AU3777" s="1063"/>
      <c r="AV3777" s="1063"/>
    </row>
    <row r="3778" spans="1:48" s="1108" customFormat="1" ht="27.75" customHeight="1">
      <c r="A3778" s="1076"/>
      <c r="B3778" s="1074">
        <f>+'[18]Bldg+Dev'!S4590</f>
        <v>0</v>
      </c>
      <c r="D3778" s="1063"/>
      <c r="F3778" s="1076"/>
      <c r="G3778" s="1063"/>
      <c r="H3778" s="1063"/>
      <c r="I3778" s="1063"/>
      <c r="J3778" s="1063"/>
      <c r="K3778" s="1063"/>
      <c r="L3778" s="1063"/>
      <c r="M3778" s="1063"/>
      <c r="N3778" s="1063"/>
      <c r="O3778" s="1063"/>
      <c r="P3778" s="1063"/>
      <c r="Q3778" s="1063"/>
      <c r="R3778" s="1063"/>
      <c r="S3778" s="1063"/>
      <c r="T3778" s="1063"/>
      <c r="U3778" s="1063"/>
      <c r="V3778" s="1063"/>
      <c r="W3778" s="1063"/>
      <c r="X3778" s="1063"/>
      <c r="Y3778" s="1063"/>
      <c r="Z3778" s="1063"/>
      <c r="AA3778" s="1063"/>
      <c r="AB3778" s="1063"/>
      <c r="AC3778" s="1063"/>
      <c r="AD3778" s="1063"/>
      <c r="AE3778" s="1063"/>
      <c r="AF3778" s="1063"/>
      <c r="AG3778" s="1063"/>
      <c r="AH3778" s="1063"/>
      <c r="AI3778" s="1063"/>
      <c r="AJ3778" s="1063"/>
      <c r="AK3778" s="1063"/>
      <c r="AL3778" s="1063"/>
      <c r="AM3778" s="1063"/>
      <c r="AN3778" s="1063"/>
      <c r="AO3778" s="1063"/>
      <c r="AP3778" s="1063"/>
      <c r="AQ3778" s="1063"/>
      <c r="AR3778" s="1063"/>
      <c r="AS3778" s="1063"/>
      <c r="AT3778" s="1063"/>
      <c r="AU3778" s="1063"/>
      <c r="AV3778" s="1063"/>
    </row>
    <row r="3779" spans="1:48" s="1108" customFormat="1" ht="27.75" customHeight="1">
      <c r="A3779" s="1076"/>
      <c r="B3779" s="1074">
        <f>+'[18]Bldg+Dev'!S4591</f>
        <v>0</v>
      </c>
      <c r="D3779" s="1063"/>
      <c r="F3779" s="1076"/>
      <c r="G3779" s="1063"/>
      <c r="H3779" s="1063"/>
      <c r="I3779" s="1063"/>
      <c r="J3779" s="1063"/>
      <c r="K3779" s="1063"/>
      <c r="L3779" s="1063"/>
      <c r="M3779" s="1063"/>
      <c r="N3779" s="1063"/>
      <c r="O3779" s="1063"/>
      <c r="P3779" s="1063"/>
      <c r="Q3779" s="1063"/>
      <c r="R3779" s="1063"/>
      <c r="S3779" s="1063"/>
      <c r="T3779" s="1063"/>
      <c r="U3779" s="1063"/>
      <c r="V3779" s="1063"/>
      <c r="W3779" s="1063"/>
      <c r="X3779" s="1063"/>
      <c r="Y3779" s="1063"/>
      <c r="Z3779" s="1063"/>
      <c r="AA3779" s="1063"/>
      <c r="AB3779" s="1063"/>
      <c r="AC3779" s="1063"/>
      <c r="AD3779" s="1063"/>
      <c r="AE3779" s="1063"/>
      <c r="AF3779" s="1063"/>
      <c r="AG3779" s="1063"/>
      <c r="AH3779" s="1063"/>
      <c r="AI3779" s="1063"/>
      <c r="AJ3779" s="1063"/>
      <c r="AK3779" s="1063"/>
      <c r="AL3779" s="1063"/>
      <c r="AM3779" s="1063"/>
      <c r="AN3779" s="1063"/>
      <c r="AO3779" s="1063"/>
      <c r="AP3779" s="1063"/>
      <c r="AQ3779" s="1063"/>
      <c r="AR3779" s="1063"/>
      <c r="AS3779" s="1063"/>
      <c r="AT3779" s="1063"/>
      <c r="AU3779" s="1063"/>
      <c r="AV3779" s="1063"/>
    </row>
    <row r="3780" spans="1:48" s="1108" customFormat="1" ht="27.75" customHeight="1">
      <c r="A3780" s="1076"/>
      <c r="B3780" s="1074">
        <f>+'[18]Bldg+Dev'!S4592</f>
        <v>0</v>
      </c>
      <c r="D3780" s="1063"/>
      <c r="F3780" s="1076"/>
      <c r="G3780" s="1063"/>
      <c r="H3780" s="1063"/>
      <c r="I3780" s="1063"/>
      <c r="J3780" s="1063"/>
      <c r="K3780" s="1063"/>
      <c r="L3780" s="1063"/>
      <c r="M3780" s="1063"/>
      <c r="N3780" s="1063"/>
      <c r="O3780" s="1063"/>
      <c r="P3780" s="1063"/>
      <c r="Q3780" s="1063"/>
      <c r="R3780" s="1063"/>
      <c r="S3780" s="1063"/>
      <c r="T3780" s="1063"/>
      <c r="U3780" s="1063"/>
      <c r="V3780" s="1063"/>
      <c r="W3780" s="1063"/>
      <c r="X3780" s="1063"/>
      <c r="Y3780" s="1063"/>
      <c r="Z3780" s="1063"/>
      <c r="AA3780" s="1063"/>
      <c r="AB3780" s="1063"/>
      <c r="AC3780" s="1063"/>
      <c r="AD3780" s="1063"/>
      <c r="AE3780" s="1063"/>
      <c r="AF3780" s="1063"/>
      <c r="AG3780" s="1063"/>
      <c r="AH3780" s="1063"/>
      <c r="AI3780" s="1063"/>
      <c r="AJ3780" s="1063"/>
      <c r="AK3780" s="1063"/>
      <c r="AL3780" s="1063"/>
      <c r="AM3780" s="1063"/>
      <c r="AN3780" s="1063"/>
      <c r="AO3780" s="1063"/>
      <c r="AP3780" s="1063"/>
      <c r="AQ3780" s="1063"/>
      <c r="AR3780" s="1063"/>
      <c r="AS3780" s="1063"/>
      <c r="AT3780" s="1063"/>
      <c r="AU3780" s="1063"/>
      <c r="AV3780" s="1063"/>
    </row>
    <row r="3781" spans="1:48" s="1108" customFormat="1" ht="27.75" customHeight="1">
      <c r="A3781" s="1076"/>
      <c r="B3781" s="1074">
        <f>+'[18]Bldg+Dev'!S4593</f>
        <v>0</v>
      </c>
      <c r="D3781" s="1063"/>
      <c r="F3781" s="1076"/>
      <c r="G3781" s="1063"/>
      <c r="H3781" s="1063"/>
      <c r="I3781" s="1063"/>
      <c r="J3781" s="1063"/>
      <c r="K3781" s="1063"/>
      <c r="L3781" s="1063"/>
      <c r="M3781" s="1063"/>
      <c r="N3781" s="1063"/>
      <c r="O3781" s="1063"/>
      <c r="P3781" s="1063"/>
      <c r="Q3781" s="1063"/>
      <c r="R3781" s="1063"/>
      <c r="S3781" s="1063"/>
      <c r="T3781" s="1063"/>
      <c r="U3781" s="1063"/>
      <c r="V3781" s="1063"/>
      <c r="W3781" s="1063"/>
      <c r="X3781" s="1063"/>
      <c r="Y3781" s="1063"/>
      <c r="Z3781" s="1063"/>
      <c r="AA3781" s="1063"/>
      <c r="AB3781" s="1063"/>
      <c r="AC3781" s="1063"/>
      <c r="AD3781" s="1063"/>
      <c r="AE3781" s="1063"/>
      <c r="AF3781" s="1063"/>
      <c r="AG3781" s="1063"/>
      <c r="AH3781" s="1063"/>
      <c r="AI3781" s="1063"/>
      <c r="AJ3781" s="1063"/>
      <c r="AK3781" s="1063"/>
      <c r="AL3781" s="1063"/>
      <c r="AM3781" s="1063"/>
      <c r="AN3781" s="1063"/>
      <c r="AO3781" s="1063"/>
      <c r="AP3781" s="1063"/>
      <c r="AQ3781" s="1063"/>
      <c r="AR3781" s="1063"/>
      <c r="AS3781" s="1063"/>
      <c r="AT3781" s="1063"/>
      <c r="AU3781" s="1063"/>
      <c r="AV3781" s="1063"/>
    </row>
    <row r="3782" spans="1:48" s="1108" customFormat="1" ht="27.75" customHeight="1">
      <c r="A3782" s="1076"/>
      <c r="B3782" s="1074">
        <f>+'[18]Bldg+Dev'!S4594</f>
        <v>0</v>
      </c>
      <c r="D3782" s="1063"/>
      <c r="F3782" s="1076"/>
      <c r="G3782" s="1063"/>
      <c r="H3782" s="1063"/>
      <c r="I3782" s="1063"/>
      <c r="J3782" s="1063"/>
      <c r="K3782" s="1063"/>
      <c r="L3782" s="1063"/>
      <c r="M3782" s="1063"/>
      <c r="N3782" s="1063"/>
      <c r="O3782" s="1063"/>
      <c r="P3782" s="1063"/>
      <c r="Q3782" s="1063"/>
      <c r="R3782" s="1063"/>
      <c r="S3782" s="1063"/>
      <c r="T3782" s="1063"/>
      <c r="U3782" s="1063"/>
      <c r="V3782" s="1063"/>
      <c r="W3782" s="1063"/>
      <c r="X3782" s="1063"/>
      <c r="Y3782" s="1063"/>
      <c r="Z3782" s="1063"/>
      <c r="AA3782" s="1063"/>
      <c r="AB3782" s="1063"/>
      <c r="AC3782" s="1063"/>
      <c r="AD3782" s="1063"/>
      <c r="AE3782" s="1063"/>
      <c r="AF3782" s="1063"/>
      <c r="AG3782" s="1063"/>
      <c r="AH3782" s="1063"/>
      <c r="AI3782" s="1063"/>
      <c r="AJ3782" s="1063"/>
      <c r="AK3782" s="1063"/>
      <c r="AL3782" s="1063"/>
      <c r="AM3782" s="1063"/>
      <c r="AN3782" s="1063"/>
      <c r="AO3782" s="1063"/>
      <c r="AP3782" s="1063"/>
      <c r="AQ3782" s="1063"/>
      <c r="AR3782" s="1063"/>
      <c r="AS3782" s="1063"/>
      <c r="AT3782" s="1063"/>
      <c r="AU3782" s="1063"/>
      <c r="AV3782" s="1063"/>
    </row>
    <row r="3783" spans="1:48" s="1108" customFormat="1" ht="27.75" customHeight="1">
      <c r="A3783" s="1076"/>
      <c r="B3783" s="1074">
        <f>+'[18]Bldg+Dev'!S4595</f>
        <v>0</v>
      </c>
      <c r="D3783" s="1063"/>
      <c r="F3783" s="1076"/>
      <c r="G3783" s="1063"/>
      <c r="H3783" s="1063"/>
      <c r="I3783" s="1063"/>
      <c r="J3783" s="1063"/>
      <c r="K3783" s="1063"/>
      <c r="L3783" s="1063"/>
      <c r="M3783" s="1063"/>
      <c r="N3783" s="1063"/>
      <c r="O3783" s="1063"/>
      <c r="P3783" s="1063"/>
      <c r="Q3783" s="1063"/>
      <c r="R3783" s="1063"/>
      <c r="S3783" s="1063"/>
      <c r="T3783" s="1063"/>
      <c r="U3783" s="1063"/>
      <c r="V3783" s="1063"/>
      <c r="W3783" s="1063"/>
      <c r="X3783" s="1063"/>
      <c r="Y3783" s="1063"/>
      <c r="Z3783" s="1063"/>
      <c r="AA3783" s="1063"/>
      <c r="AB3783" s="1063"/>
      <c r="AC3783" s="1063"/>
      <c r="AD3783" s="1063"/>
      <c r="AE3783" s="1063"/>
      <c r="AF3783" s="1063"/>
      <c r="AG3783" s="1063"/>
      <c r="AH3783" s="1063"/>
      <c r="AI3783" s="1063"/>
      <c r="AJ3783" s="1063"/>
      <c r="AK3783" s="1063"/>
      <c r="AL3783" s="1063"/>
      <c r="AM3783" s="1063"/>
      <c r="AN3783" s="1063"/>
      <c r="AO3783" s="1063"/>
      <c r="AP3783" s="1063"/>
      <c r="AQ3783" s="1063"/>
      <c r="AR3783" s="1063"/>
      <c r="AS3783" s="1063"/>
      <c r="AT3783" s="1063"/>
      <c r="AU3783" s="1063"/>
      <c r="AV3783" s="1063"/>
    </row>
    <row r="3784" spans="1:48" s="1108" customFormat="1" ht="27.75" customHeight="1">
      <c r="A3784" s="1076"/>
      <c r="B3784" s="1074">
        <f>+'[18]Bldg+Dev'!S4596</f>
        <v>0</v>
      </c>
      <c r="D3784" s="1063"/>
      <c r="F3784" s="1076"/>
      <c r="G3784" s="1063"/>
      <c r="H3784" s="1063"/>
      <c r="I3784" s="1063"/>
      <c r="J3784" s="1063"/>
      <c r="K3784" s="1063"/>
      <c r="L3784" s="1063"/>
      <c r="M3784" s="1063"/>
      <c r="N3784" s="1063"/>
      <c r="O3784" s="1063"/>
      <c r="P3784" s="1063"/>
      <c r="Q3784" s="1063"/>
      <c r="R3784" s="1063"/>
      <c r="S3784" s="1063"/>
      <c r="T3784" s="1063"/>
      <c r="U3784" s="1063"/>
      <c r="V3784" s="1063"/>
      <c r="W3784" s="1063"/>
      <c r="X3784" s="1063"/>
      <c r="Y3784" s="1063"/>
      <c r="Z3784" s="1063"/>
      <c r="AA3784" s="1063"/>
      <c r="AB3784" s="1063"/>
      <c r="AC3784" s="1063"/>
      <c r="AD3784" s="1063"/>
      <c r="AE3784" s="1063"/>
      <c r="AF3784" s="1063"/>
      <c r="AG3784" s="1063"/>
      <c r="AH3784" s="1063"/>
      <c r="AI3784" s="1063"/>
      <c r="AJ3784" s="1063"/>
      <c r="AK3784" s="1063"/>
      <c r="AL3784" s="1063"/>
      <c r="AM3784" s="1063"/>
      <c r="AN3784" s="1063"/>
      <c r="AO3784" s="1063"/>
      <c r="AP3784" s="1063"/>
      <c r="AQ3784" s="1063"/>
      <c r="AR3784" s="1063"/>
      <c r="AS3784" s="1063"/>
      <c r="AT3784" s="1063"/>
      <c r="AU3784" s="1063"/>
      <c r="AV3784" s="1063"/>
    </row>
    <row r="3785" spans="1:48" s="1108" customFormat="1" ht="27.75" customHeight="1">
      <c r="A3785" s="1076"/>
      <c r="B3785" s="1074">
        <f>+'[18]Bldg+Dev'!S4597</f>
        <v>0</v>
      </c>
      <c r="D3785" s="1063"/>
      <c r="F3785" s="1076"/>
      <c r="G3785" s="1063"/>
      <c r="H3785" s="1063"/>
      <c r="I3785" s="1063"/>
      <c r="J3785" s="1063"/>
      <c r="K3785" s="1063"/>
      <c r="L3785" s="1063"/>
      <c r="M3785" s="1063"/>
      <c r="N3785" s="1063"/>
      <c r="O3785" s="1063"/>
      <c r="P3785" s="1063"/>
      <c r="Q3785" s="1063"/>
      <c r="R3785" s="1063"/>
      <c r="S3785" s="1063"/>
      <c r="T3785" s="1063"/>
      <c r="U3785" s="1063"/>
      <c r="V3785" s="1063"/>
      <c r="W3785" s="1063"/>
      <c r="X3785" s="1063"/>
      <c r="Y3785" s="1063"/>
      <c r="Z3785" s="1063"/>
      <c r="AA3785" s="1063"/>
      <c r="AB3785" s="1063"/>
      <c r="AC3785" s="1063"/>
      <c r="AD3785" s="1063"/>
      <c r="AE3785" s="1063"/>
      <c r="AF3785" s="1063"/>
      <c r="AG3785" s="1063"/>
      <c r="AH3785" s="1063"/>
      <c r="AI3785" s="1063"/>
      <c r="AJ3785" s="1063"/>
      <c r="AK3785" s="1063"/>
      <c r="AL3785" s="1063"/>
      <c r="AM3785" s="1063"/>
      <c r="AN3785" s="1063"/>
      <c r="AO3785" s="1063"/>
      <c r="AP3785" s="1063"/>
      <c r="AQ3785" s="1063"/>
      <c r="AR3785" s="1063"/>
      <c r="AS3785" s="1063"/>
      <c r="AT3785" s="1063"/>
      <c r="AU3785" s="1063"/>
      <c r="AV3785" s="1063"/>
    </row>
    <row r="3786" spans="1:48" s="1108" customFormat="1" ht="27.75" customHeight="1">
      <c r="A3786" s="1076"/>
      <c r="B3786" s="1074">
        <f>+'[18]Bldg+Dev'!S4598</f>
        <v>0</v>
      </c>
      <c r="D3786" s="1063"/>
      <c r="F3786" s="1076"/>
      <c r="G3786" s="1063"/>
      <c r="H3786" s="1063"/>
      <c r="I3786" s="1063"/>
      <c r="J3786" s="1063"/>
      <c r="K3786" s="1063"/>
      <c r="L3786" s="1063"/>
      <c r="M3786" s="1063"/>
      <c r="N3786" s="1063"/>
      <c r="O3786" s="1063"/>
      <c r="P3786" s="1063"/>
      <c r="Q3786" s="1063"/>
      <c r="R3786" s="1063"/>
      <c r="S3786" s="1063"/>
      <c r="T3786" s="1063"/>
      <c r="U3786" s="1063"/>
      <c r="V3786" s="1063"/>
      <c r="W3786" s="1063"/>
      <c r="X3786" s="1063"/>
      <c r="Y3786" s="1063"/>
      <c r="Z3786" s="1063"/>
      <c r="AA3786" s="1063"/>
      <c r="AB3786" s="1063"/>
      <c r="AC3786" s="1063"/>
      <c r="AD3786" s="1063"/>
      <c r="AE3786" s="1063"/>
      <c r="AF3786" s="1063"/>
      <c r="AG3786" s="1063"/>
      <c r="AH3786" s="1063"/>
      <c r="AI3786" s="1063"/>
      <c r="AJ3786" s="1063"/>
      <c r="AK3786" s="1063"/>
      <c r="AL3786" s="1063"/>
      <c r="AM3786" s="1063"/>
      <c r="AN3786" s="1063"/>
      <c r="AO3786" s="1063"/>
      <c r="AP3786" s="1063"/>
      <c r="AQ3786" s="1063"/>
      <c r="AR3786" s="1063"/>
      <c r="AS3786" s="1063"/>
      <c r="AT3786" s="1063"/>
      <c r="AU3786" s="1063"/>
      <c r="AV3786" s="1063"/>
    </row>
    <row r="3787" spans="1:48" s="1108" customFormat="1" ht="27.75" customHeight="1">
      <c r="A3787" s="1076"/>
      <c r="B3787" s="1074">
        <f>+'[18]Bldg+Dev'!S4599</f>
        <v>0</v>
      </c>
      <c r="D3787" s="1063"/>
      <c r="F3787" s="1076"/>
      <c r="G3787" s="1063"/>
      <c r="H3787" s="1063"/>
      <c r="I3787" s="1063"/>
      <c r="J3787" s="1063"/>
      <c r="K3787" s="1063"/>
      <c r="L3787" s="1063"/>
      <c r="M3787" s="1063"/>
      <c r="N3787" s="1063"/>
      <c r="O3787" s="1063"/>
      <c r="P3787" s="1063"/>
      <c r="Q3787" s="1063"/>
      <c r="R3787" s="1063"/>
      <c r="S3787" s="1063"/>
      <c r="T3787" s="1063"/>
      <c r="U3787" s="1063"/>
      <c r="V3787" s="1063"/>
      <c r="W3787" s="1063"/>
      <c r="X3787" s="1063"/>
      <c r="Y3787" s="1063"/>
      <c r="Z3787" s="1063"/>
      <c r="AA3787" s="1063"/>
      <c r="AB3787" s="1063"/>
      <c r="AC3787" s="1063"/>
      <c r="AD3787" s="1063"/>
      <c r="AE3787" s="1063"/>
      <c r="AF3787" s="1063"/>
      <c r="AG3787" s="1063"/>
      <c r="AH3787" s="1063"/>
      <c r="AI3787" s="1063"/>
      <c r="AJ3787" s="1063"/>
      <c r="AK3787" s="1063"/>
      <c r="AL3787" s="1063"/>
      <c r="AM3787" s="1063"/>
      <c r="AN3787" s="1063"/>
      <c r="AO3787" s="1063"/>
      <c r="AP3787" s="1063"/>
      <c r="AQ3787" s="1063"/>
      <c r="AR3787" s="1063"/>
      <c r="AS3787" s="1063"/>
      <c r="AT3787" s="1063"/>
      <c r="AU3787" s="1063"/>
      <c r="AV3787" s="1063"/>
    </row>
    <row r="3788" spans="1:48" s="1108" customFormat="1" ht="27.75" customHeight="1">
      <c r="A3788" s="1076"/>
      <c r="B3788" s="1074">
        <f>+'[18]Bldg+Dev'!S4600</f>
        <v>0</v>
      </c>
      <c r="D3788" s="1063"/>
      <c r="F3788" s="1076"/>
      <c r="G3788" s="1063"/>
      <c r="H3788" s="1063"/>
      <c r="I3788" s="1063"/>
      <c r="J3788" s="1063"/>
      <c r="K3788" s="1063"/>
      <c r="L3788" s="1063"/>
      <c r="M3788" s="1063"/>
      <c r="N3788" s="1063"/>
      <c r="O3788" s="1063"/>
      <c r="P3788" s="1063"/>
      <c r="Q3788" s="1063"/>
      <c r="R3788" s="1063"/>
      <c r="S3788" s="1063"/>
      <c r="T3788" s="1063"/>
      <c r="U3788" s="1063"/>
      <c r="V3788" s="1063"/>
      <c r="W3788" s="1063"/>
      <c r="X3788" s="1063"/>
      <c r="Y3788" s="1063"/>
      <c r="Z3788" s="1063"/>
      <c r="AA3788" s="1063"/>
      <c r="AB3788" s="1063"/>
      <c r="AC3788" s="1063"/>
      <c r="AD3788" s="1063"/>
      <c r="AE3788" s="1063"/>
      <c r="AF3788" s="1063"/>
      <c r="AG3788" s="1063"/>
      <c r="AH3788" s="1063"/>
      <c r="AI3788" s="1063"/>
      <c r="AJ3788" s="1063"/>
      <c r="AK3788" s="1063"/>
      <c r="AL3788" s="1063"/>
      <c r="AM3788" s="1063"/>
      <c r="AN3788" s="1063"/>
      <c r="AO3788" s="1063"/>
      <c r="AP3788" s="1063"/>
      <c r="AQ3788" s="1063"/>
      <c r="AR3788" s="1063"/>
      <c r="AS3788" s="1063"/>
      <c r="AT3788" s="1063"/>
      <c r="AU3788" s="1063"/>
      <c r="AV3788" s="1063"/>
    </row>
    <row r="3789" spans="1:48" s="1108" customFormat="1" ht="27.75" customHeight="1">
      <c r="A3789" s="1076"/>
      <c r="B3789" s="1074">
        <f>+'[18]Bldg+Dev'!S4601</f>
        <v>0</v>
      </c>
      <c r="D3789" s="1063"/>
      <c r="F3789" s="1076"/>
      <c r="G3789" s="1063"/>
      <c r="H3789" s="1063"/>
      <c r="I3789" s="1063"/>
      <c r="J3789" s="1063"/>
      <c r="K3789" s="1063"/>
      <c r="L3789" s="1063"/>
      <c r="M3789" s="1063"/>
      <c r="N3789" s="1063"/>
      <c r="O3789" s="1063"/>
      <c r="P3789" s="1063"/>
      <c r="Q3789" s="1063"/>
      <c r="R3789" s="1063"/>
      <c r="S3789" s="1063"/>
      <c r="T3789" s="1063"/>
      <c r="U3789" s="1063"/>
      <c r="V3789" s="1063"/>
      <c r="W3789" s="1063"/>
      <c r="X3789" s="1063"/>
      <c r="Y3789" s="1063"/>
      <c r="Z3789" s="1063"/>
      <c r="AA3789" s="1063"/>
      <c r="AB3789" s="1063"/>
      <c r="AC3789" s="1063"/>
      <c r="AD3789" s="1063"/>
      <c r="AE3789" s="1063"/>
      <c r="AF3789" s="1063"/>
      <c r="AG3789" s="1063"/>
      <c r="AH3789" s="1063"/>
      <c r="AI3789" s="1063"/>
      <c r="AJ3789" s="1063"/>
      <c r="AK3789" s="1063"/>
      <c r="AL3789" s="1063"/>
      <c r="AM3789" s="1063"/>
      <c r="AN3789" s="1063"/>
      <c r="AO3789" s="1063"/>
      <c r="AP3789" s="1063"/>
      <c r="AQ3789" s="1063"/>
      <c r="AR3789" s="1063"/>
      <c r="AS3789" s="1063"/>
      <c r="AT3789" s="1063"/>
      <c r="AU3789" s="1063"/>
      <c r="AV3789" s="1063"/>
    </row>
    <row r="3790" spans="1:48" s="1108" customFormat="1" ht="27.75" customHeight="1">
      <c r="A3790" s="1076"/>
      <c r="B3790" s="1074">
        <f>+'[18]Bldg+Dev'!S4602</f>
        <v>0</v>
      </c>
      <c r="D3790" s="1063"/>
      <c r="F3790" s="1076"/>
      <c r="G3790" s="1063"/>
      <c r="H3790" s="1063"/>
      <c r="I3790" s="1063"/>
      <c r="J3790" s="1063"/>
      <c r="K3790" s="1063"/>
      <c r="L3790" s="1063"/>
      <c r="M3790" s="1063"/>
      <c r="N3790" s="1063"/>
      <c r="O3790" s="1063"/>
      <c r="P3790" s="1063"/>
      <c r="Q3790" s="1063"/>
      <c r="R3790" s="1063"/>
      <c r="S3790" s="1063"/>
      <c r="T3790" s="1063"/>
      <c r="U3790" s="1063"/>
      <c r="V3790" s="1063"/>
      <c r="W3790" s="1063"/>
      <c r="X3790" s="1063"/>
      <c r="Y3790" s="1063"/>
      <c r="Z3790" s="1063"/>
      <c r="AA3790" s="1063"/>
      <c r="AB3790" s="1063"/>
      <c r="AC3790" s="1063"/>
      <c r="AD3790" s="1063"/>
      <c r="AE3790" s="1063"/>
      <c r="AF3790" s="1063"/>
      <c r="AG3790" s="1063"/>
      <c r="AH3790" s="1063"/>
      <c r="AI3790" s="1063"/>
      <c r="AJ3790" s="1063"/>
      <c r="AK3790" s="1063"/>
      <c r="AL3790" s="1063"/>
      <c r="AM3790" s="1063"/>
      <c r="AN3790" s="1063"/>
      <c r="AO3790" s="1063"/>
      <c r="AP3790" s="1063"/>
      <c r="AQ3790" s="1063"/>
      <c r="AR3790" s="1063"/>
      <c r="AS3790" s="1063"/>
      <c r="AT3790" s="1063"/>
      <c r="AU3790" s="1063"/>
      <c r="AV3790" s="1063"/>
    </row>
    <row r="3791" spans="1:48" s="1108" customFormat="1" ht="27.75" customHeight="1">
      <c r="A3791" s="1076"/>
      <c r="B3791" s="1074">
        <f>+'[18]Bldg+Dev'!S4603</f>
        <v>0</v>
      </c>
      <c r="D3791" s="1063"/>
      <c r="F3791" s="1076"/>
      <c r="G3791" s="1063"/>
      <c r="H3791" s="1063"/>
      <c r="I3791" s="1063"/>
      <c r="J3791" s="1063"/>
      <c r="K3791" s="1063"/>
      <c r="L3791" s="1063"/>
      <c r="M3791" s="1063"/>
      <c r="N3791" s="1063"/>
      <c r="O3791" s="1063"/>
      <c r="P3791" s="1063"/>
      <c r="Q3791" s="1063"/>
      <c r="R3791" s="1063"/>
      <c r="S3791" s="1063"/>
      <c r="T3791" s="1063"/>
      <c r="U3791" s="1063"/>
      <c r="V3791" s="1063"/>
      <c r="W3791" s="1063"/>
      <c r="X3791" s="1063"/>
      <c r="Y3791" s="1063"/>
      <c r="Z3791" s="1063"/>
      <c r="AA3791" s="1063"/>
      <c r="AB3791" s="1063"/>
      <c r="AC3791" s="1063"/>
      <c r="AD3791" s="1063"/>
      <c r="AE3791" s="1063"/>
      <c r="AF3791" s="1063"/>
      <c r="AG3791" s="1063"/>
      <c r="AH3791" s="1063"/>
      <c r="AI3791" s="1063"/>
      <c r="AJ3791" s="1063"/>
      <c r="AK3791" s="1063"/>
      <c r="AL3791" s="1063"/>
      <c r="AM3791" s="1063"/>
      <c r="AN3791" s="1063"/>
      <c r="AO3791" s="1063"/>
      <c r="AP3791" s="1063"/>
      <c r="AQ3791" s="1063"/>
      <c r="AR3791" s="1063"/>
      <c r="AS3791" s="1063"/>
      <c r="AT3791" s="1063"/>
      <c r="AU3791" s="1063"/>
      <c r="AV3791" s="1063"/>
    </row>
    <row r="3792" spans="1:48" s="1108" customFormat="1" ht="27.75" customHeight="1">
      <c r="A3792" s="1076"/>
      <c r="B3792" s="1074">
        <f>+'[18]Bldg+Dev'!S4604</f>
        <v>0</v>
      </c>
      <c r="D3792" s="1063"/>
      <c r="F3792" s="1076"/>
      <c r="G3792" s="1063"/>
      <c r="H3792" s="1063"/>
      <c r="I3792" s="1063"/>
      <c r="J3792" s="1063"/>
      <c r="K3792" s="1063"/>
      <c r="L3792" s="1063"/>
      <c r="M3792" s="1063"/>
      <c r="N3792" s="1063"/>
      <c r="O3792" s="1063"/>
      <c r="P3792" s="1063"/>
      <c r="Q3792" s="1063"/>
      <c r="R3792" s="1063"/>
      <c r="S3792" s="1063"/>
      <c r="T3792" s="1063"/>
      <c r="U3792" s="1063"/>
      <c r="V3792" s="1063"/>
      <c r="W3792" s="1063"/>
      <c r="X3792" s="1063"/>
      <c r="Y3792" s="1063"/>
      <c r="Z3792" s="1063"/>
      <c r="AA3792" s="1063"/>
      <c r="AB3792" s="1063"/>
      <c r="AC3792" s="1063"/>
      <c r="AD3792" s="1063"/>
      <c r="AE3792" s="1063"/>
      <c r="AF3792" s="1063"/>
      <c r="AG3792" s="1063"/>
      <c r="AH3792" s="1063"/>
      <c r="AI3792" s="1063"/>
      <c r="AJ3792" s="1063"/>
      <c r="AK3792" s="1063"/>
      <c r="AL3792" s="1063"/>
      <c r="AM3792" s="1063"/>
      <c r="AN3792" s="1063"/>
      <c r="AO3792" s="1063"/>
      <c r="AP3792" s="1063"/>
      <c r="AQ3792" s="1063"/>
      <c r="AR3792" s="1063"/>
      <c r="AS3792" s="1063"/>
      <c r="AT3792" s="1063"/>
      <c r="AU3792" s="1063"/>
      <c r="AV3792" s="1063"/>
    </row>
    <row r="3793" spans="1:48" s="1108" customFormat="1" ht="27.75" customHeight="1">
      <c r="A3793" s="1076"/>
      <c r="B3793" s="1074">
        <f>+'[18]Bldg+Dev'!S4605</f>
        <v>0</v>
      </c>
      <c r="D3793" s="1063"/>
      <c r="F3793" s="1076"/>
      <c r="G3793" s="1063"/>
      <c r="H3793" s="1063"/>
      <c r="I3793" s="1063"/>
      <c r="J3793" s="1063"/>
      <c r="K3793" s="1063"/>
      <c r="L3793" s="1063"/>
      <c r="M3793" s="1063"/>
      <c r="N3793" s="1063"/>
      <c r="O3793" s="1063"/>
      <c r="P3793" s="1063"/>
      <c r="Q3793" s="1063"/>
      <c r="R3793" s="1063"/>
      <c r="S3793" s="1063"/>
      <c r="T3793" s="1063"/>
      <c r="U3793" s="1063"/>
      <c r="V3793" s="1063"/>
      <c r="W3793" s="1063"/>
      <c r="X3793" s="1063"/>
      <c r="Y3793" s="1063"/>
      <c r="Z3793" s="1063"/>
      <c r="AA3793" s="1063"/>
      <c r="AB3793" s="1063"/>
      <c r="AC3793" s="1063"/>
      <c r="AD3793" s="1063"/>
      <c r="AE3793" s="1063"/>
      <c r="AF3793" s="1063"/>
      <c r="AG3793" s="1063"/>
      <c r="AH3793" s="1063"/>
      <c r="AI3793" s="1063"/>
      <c r="AJ3793" s="1063"/>
      <c r="AK3793" s="1063"/>
      <c r="AL3793" s="1063"/>
      <c r="AM3793" s="1063"/>
      <c r="AN3793" s="1063"/>
      <c r="AO3793" s="1063"/>
      <c r="AP3793" s="1063"/>
      <c r="AQ3793" s="1063"/>
      <c r="AR3793" s="1063"/>
      <c r="AS3793" s="1063"/>
      <c r="AT3793" s="1063"/>
      <c r="AU3793" s="1063"/>
      <c r="AV3793" s="1063"/>
    </row>
    <row r="3794" spans="1:48" s="1108" customFormat="1" ht="27.75" customHeight="1">
      <c r="A3794" s="1076"/>
      <c r="B3794" s="1074">
        <f>+'[18]Bldg+Dev'!S4606</f>
        <v>0</v>
      </c>
      <c r="D3794" s="1063"/>
      <c r="F3794" s="1076"/>
      <c r="G3794" s="1063"/>
      <c r="H3794" s="1063"/>
      <c r="I3794" s="1063"/>
      <c r="J3794" s="1063"/>
      <c r="K3794" s="1063"/>
      <c r="L3794" s="1063"/>
      <c r="M3794" s="1063"/>
      <c r="N3794" s="1063"/>
      <c r="O3794" s="1063"/>
      <c r="P3794" s="1063"/>
      <c r="Q3794" s="1063"/>
      <c r="R3794" s="1063"/>
      <c r="S3794" s="1063"/>
      <c r="T3794" s="1063"/>
      <c r="U3794" s="1063"/>
      <c r="V3794" s="1063"/>
      <c r="W3794" s="1063"/>
      <c r="X3794" s="1063"/>
      <c r="Y3794" s="1063"/>
      <c r="Z3794" s="1063"/>
      <c r="AA3794" s="1063"/>
      <c r="AB3794" s="1063"/>
      <c r="AC3794" s="1063"/>
      <c r="AD3794" s="1063"/>
      <c r="AE3794" s="1063"/>
      <c r="AF3794" s="1063"/>
      <c r="AG3794" s="1063"/>
      <c r="AH3794" s="1063"/>
      <c r="AI3794" s="1063"/>
      <c r="AJ3794" s="1063"/>
      <c r="AK3794" s="1063"/>
      <c r="AL3794" s="1063"/>
      <c r="AM3794" s="1063"/>
      <c r="AN3794" s="1063"/>
      <c r="AO3794" s="1063"/>
      <c r="AP3794" s="1063"/>
      <c r="AQ3794" s="1063"/>
      <c r="AR3794" s="1063"/>
      <c r="AS3794" s="1063"/>
      <c r="AT3794" s="1063"/>
      <c r="AU3794" s="1063"/>
      <c r="AV3794" s="1063"/>
    </row>
    <row r="3795" spans="1:48" s="1108" customFormat="1" ht="27.75" customHeight="1">
      <c r="A3795" s="1076"/>
      <c r="B3795" s="1074">
        <f>+'[18]Bldg+Dev'!S4607</f>
        <v>0</v>
      </c>
      <c r="D3795" s="1063"/>
      <c r="F3795" s="1076"/>
      <c r="G3795" s="1063"/>
      <c r="H3795" s="1063"/>
      <c r="I3795" s="1063"/>
      <c r="J3795" s="1063"/>
      <c r="K3795" s="1063"/>
      <c r="L3795" s="1063"/>
      <c r="M3795" s="1063"/>
      <c r="N3795" s="1063"/>
      <c r="O3795" s="1063"/>
      <c r="P3795" s="1063"/>
      <c r="Q3795" s="1063"/>
      <c r="R3795" s="1063"/>
      <c r="S3795" s="1063"/>
      <c r="T3795" s="1063"/>
      <c r="U3795" s="1063"/>
      <c r="V3795" s="1063"/>
      <c r="W3795" s="1063"/>
      <c r="X3795" s="1063"/>
      <c r="Y3795" s="1063"/>
      <c r="Z3795" s="1063"/>
      <c r="AA3795" s="1063"/>
      <c r="AB3795" s="1063"/>
      <c r="AC3795" s="1063"/>
      <c r="AD3795" s="1063"/>
      <c r="AE3795" s="1063"/>
      <c r="AF3795" s="1063"/>
      <c r="AG3795" s="1063"/>
      <c r="AH3795" s="1063"/>
      <c r="AI3795" s="1063"/>
      <c r="AJ3795" s="1063"/>
      <c r="AK3795" s="1063"/>
      <c r="AL3795" s="1063"/>
      <c r="AM3795" s="1063"/>
      <c r="AN3795" s="1063"/>
      <c r="AO3795" s="1063"/>
      <c r="AP3795" s="1063"/>
      <c r="AQ3795" s="1063"/>
      <c r="AR3795" s="1063"/>
      <c r="AS3795" s="1063"/>
      <c r="AT3795" s="1063"/>
      <c r="AU3795" s="1063"/>
      <c r="AV3795" s="1063"/>
    </row>
    <row r="3796" spans="1:48" s="1108" customFormat="1" ht="27.75" customHeight="1">
      <c r="A3796" s="1076"/>
      <c r="B3796" s="1074">
        <f>+'[18]Bldg+Dev'!S4608</f>
        <v>0</v>
      </c>
      <c r="D3796" s="1063"/>
      <c r="F3796" s="1076"/>
      <c r="G3796" s="1063"/>
      <c r="H3796" s="1063"/>
      <c r="I3796" s="1063"/>
      <c r="J3796" s="1063"/>
      <c r="K3796" s="1063"/>
      <c r="L3796" s="1063"/>
      <c r="M3796" s="1063"/>
      <c r="N3796" s="1063"/>
      <c r="O3796" s="1063"/>
      <c r="P3796" s="1063"/>
      <c r="Q3796" s="1063"/>
      <c r="R3796" s="1063"/>
      <c r="S3796" s="1063"/>
      <c r="T3796" s="1063"/>
      <c r="U3796" s="1063"/>
      <c r="V3796" s="1063"/>
      <c r="W3796" s="1063"/>
      <c r="X3796" s="1063"/>
      <c r="Y3796" s="1063"/>
      <c r="Z3796" s="1063"/>
      <c r="AA3796" s="1063"/>
      <c r="AB3796" s="1063"/>
      <c r="AC3796" s="1063"/>
      <c r="AD3796" s="1063"/>
      <c r="AE3796" s="1063"/>
      <c r="AF3796" s="1063"/>
      <c r="AG3796" s="1063"/>
      <c r="AH3796" s="1063"/>
      <c r="AI3796" s="1063"/>
      <c r="AJ3796" s="1063"/>
      <c r="AK3796" s="1063"/>
      <c r="AL3796" s="1063"/>
      <c r="AM3796" s="1063"/>
      <c r="AN3796" s="1063"/>
      <c r="AO3796" s="1063"/>
      <c r="AP3796" s="1063"/>
      <c r="AQ3796" s="1063"/>
      <c r="AR3796" s="1063"/>
      <c r="AS3796" s="1063"/>
      <c r="AT3796" s="1063"/>
      <c r="AU3796" s="1063"/>
      <c r="AV3796" s="1063"/>
    </row>
    <row r="3797" spans="1:48" s="1108" customFormat="1" ht="27.75" customHeight="1">
      <c r="A3797" s="1076"/>
      <c r="B3797" s="1074">
        <f>+'[18]Bldg+Dev'!S4609</f>
        <v>0</v>
      </c>
      <c r="D3797" s="1063"/>
      <c r="F3797" s="1076"/>
      <c r="G3797" s="1063"/>
      <c r="H3797" s="1063"/>
      <c r="I3797" s="1063"/>
      <c r="J3797" s="1063"/>
      <c r="K3797" s="1063"/>
      <c r="L3797" s="1063"/>
      <c r="M3797" s="1063"/>
      <c r="N3797" s="1063"/>
      <c r="O3797" s="1063"/>
      <c r="P3797" s="1063"/>
      <c r="Q3797" s="1063"/>
      <c r="R3797" s="1063"/>
      <c r="S3797" s="1063"/>
      <c r="T3797" s="1063"/>
      <c r="U3797" s="1063"/>
      <c r="V3797" s="1063"/>
      <c r="W3797" s="1063"/>
      <c r="X3797" s="1063"/>
      <c r="Y3797" s="1063"/>
      <c r="Z3797" s="1063"/>
      <c r="AA3797" s="1063"/>
      <c r="AB3797" s="1063"/>
      <c r="AC3797" s="1063"/>
      <c r="AD3797" s="1063"/>
      <c r="AE3797" s="1063"/>
      <c r="AF3797" s="1063"/>
      <c r="AG3797" s="1063"/>
      <c r="AH3797" s="1063"/>
      <c r="AI3797" s="1063"/>
      <c r="AJ3797" s="1063"/>
      <c r="AK3797" s="1063"/>
      <c r="AL3797" s="1063"/>
      <c r="AM3797" s="1063"/>
      <c r="AN3797" s="1063"/>
      <c r="AO3797" s="1063"/>
      <c r="AP3797" s="1063"/>
      <c r="AQ3797" s="1063"/>
      <c r="AR3797" s="1063"/>
      <c r="AS3797" s="1063"/>
      <c r="AT3797" s="1063"/>
      <c r="AU3797" s="1063"/>
      <c r="AV3797" s="1063"/>
    </row>
    <row r="3798" spans="1:48" s="1108" customFormat="1" ht="27.75" customHeight="1">
      <c r="A3798" s="1076"/>
      <c r="B3798" s="1074">
        <f>+'[18]Bldg+Dev'!S4610</f>
        <v>0</v>
      </c>
      <c r="D3798" s="1063"/>
      <c r="F3798" s="1076"/>
      <c r="G3798" s="1063"/>
      <c r="H3798" s="1063"/>
      <c r="I3798" s="1063"/>
      <c r="J3798" s="1063"/>
      <c r="K3798" s="1063"/>
      <c r="L3798" s="1063"/>
      <c r="M3798" s="1063"/>
      <c r="N3798" s="1063"/>
      <c r="O3798" s="1063"/>
      <c r="P3798" s="1063"/>
      <c r="Q3798" s="1063"/>
      <c r="R3798" s="1063"/>
      <c r="S3798" s="1063"/>
      <c r="T3798" s="1063"/>
      <c r="U3798" s="1063"/>
      <c r="V3798" s="1063"/>
      <c r="W3798" s="1063"/>
      <c r="X3798" s="1063"/>
      <c r="Y3798" s="1063"/>
      <c r="Z3798" s="1063"/>
      <c r="AA3798" s="1063"/>
      <c r="AB3798" s="1063"/>
      <c r="AC3798" s="1063"/>
      <c r="AD3798" s="1063"/>
      <c r="AE3798" s="1063"/>
      <c r="AF3798" s="1063"/>
      <c r="AG3798" s="1063"/>
      <c r="AH3798" s="1063"/>
      <c r="AI3798" s="1063"/>
      <c r="AJ3798" s="1063"/>
      <c r="AK3798" s="1063"/>
      <c r="AL3798" s="1063"/>
      <c r="AM3798" s="1063"/>
      <c r="AN3798" s="1063"/>
      <c r="AO3798" s="1063"/>
      <c r="AP3798" s="1063"/>
      <c r="AQ3798" s="1063"/>
      <c r="AR3798" s="1063"/>
      <c r="AS3798" s="1063"/>
      <c r="AT3798" s="1063"/>
      <c r="AU3798" s="1063"/>
      <c r="AV3798" s="1063"/>
    </row>
    <row r="3799" spans="1:48" s="1108" customFormat="1" ht="27.75" customHeight="1">
      <c r="A3799" s="1076"/>
      <c r="B3799" s="1074">
        <f>+'[18]Bldg+Dev'!S4611</f>
        <v>0</v>
      </c>
      <c r="D3799" s="1063"/>
      <c r="F3799" s="1076"/>
      <c r="G3799" s="1063"/>
      <c r="H3799" s="1063"/>
      <c r="I3799" s="1063"/>
      <c r="J3799" s="1063"/>
      <c r="K3799" s="1063"/>
      <c r="L3799" s="1063"/>
      <c r="M3799" s="1063"/>
      <c r="N3799" s="1063"/>
      <c r="O3799" s="1063"/>
      <c r="P3799" s="1063"/>
      <c r="Q3799" s="1063"/>
      <c r="R3799" s="1063"/>
      <c r="S3799" s="1063"/>
      <c r="T3799" s="1063"/>
      <c r="U3799" s="1063"/>
      <c r="V3799" s="1063"/>
      <c r="W3799" s="1063"/>
      <c r="X3799" s="1063"/>
      <c r="Y3799" s="1063"/>
      <c r="Z3799" s="1063"/>
      <c r="AA3799" s="1063"/>
      <c r="AB3799" s="1063"/>
      <c r="AC3799" s="1063"/>
      <c r="AD3799" s="1063"/>
      <c r="AE3799" s="1063"/>
      <c r="AF3799" s="1063"/>
      <c r="AG3799" s="1063"/>
      <c r="AH3799" s="1063"/>
      <c r="AI3799" s="1063"/>
      <c r="AJ3799" s="1063"/>
      <c r="AK3799" s="1063"/>
      <c r="AL3799" s="1063"/>
      <c r="AM3799" s="1063"/>
      <c r="AN3799" s="1063"/>
      <c r="AO3799" s="1063"/>
      <c r="AP3799" s="1063"/>
      <c r="AQ3799" s="1063"/>
      <c r="AR3799" s="1063"/>
      <c r="AS3799" s="1063"/>
      <c r="AT3799" s="1063"/>
      <c r="AU3799" s="1063"/>
      <c r="AV3799" s="1063"/>
    </row>
    <row r="3800" spans="1:48" s="1108" customFormat="1" ht="27.75" customHeight="1">
      <c r="A3800" s="1076"/>
      <c r="B3800" s="1074">
        <f>+'[18]Bldg+Dev'!S4612</f>
        <v>0</v>
      </c>
      <c r="D3800" s="1063"/>
      <c r="F3800" s="1076"/>
      <c r="G3800" s="1063"/>
      <c r="H3800" s="1063"/>
      <c r="I3800" s="1063"/>
      <c r="J3800" s="1063"/>
      <c r="K3800" s="1063"/>
      <c r="L3800" s="1063"/>
      <c r="M3800" s="1063"/>
      <c r="N3800" s="1063"/>
      <c r="O3800" s="1063"/>
      <c r="P3800" s="1063"/>
      <c r="Q3800" s="1063"/>
      <c r="R3800" s="1063"/>
      <c r="S3800" s="1063"/>
      <c r="T3800" s="1063"/>
      <c r="U3800" s="1063"/>
      <c r="V3800" s="1063"/>
      <c r="W3800" s="1063"/>
      <c r="X3800" s="1063"/>
      <c r="Y3800" s="1063"/>
      <c r="Z3800" s="1063"/>
      <c r="AA3800" s="1063"/>
      <c r="AB3800" s="1063"/>
      <c r="AC3800" s="1063"/>
      <c r="AD3800" s="1063"/>
      <c r="AE3800" s="1063"/>
      <c r="AF3800" s="1063"/>
      <c r="AG3800" s="1063"/>
      <c r="AH3800" s="1063"/>
      <c r="AI3800" s="1063"/>
      <c r="AJ3800" s="1063"/>
      <c r="AK3800" s="1063"/>
      <c r="AL3800" s="1063"/>
      <c r="AM3800" s="1063"/>
      <c r="AN3800" s="1063"/>
      <c r="AO3800" s="1063"/>
      <c r="AP3800" s="1063"/>
      <c r="AQ3800" s="1063"/>
      <c r="AR3800" s="1063"/>
      <c r="AS3800" s="1063"/>
      <c r="AT3800" s="1063"/>
      <c r="AU3800" s="1063"/>
      <c r="AV3800" s="1063"/>
    </row>
    <row r="3801" spans="1:48" s="1108" customFormat="1" ht="27.75" customHeight="1">
      <c r="A3801" s="1076"/>
      <c r="B3801" s="1074">
        <f>+'[18]Bldg+Dev'!S4613</f>
        <v>0</v>
      </c>
      <c r="D3801" s="1063"/>
      <c r="F3801" s="1076"/>
      <c r="G3801" s="1063"/>
      <c r="H3801" s="1063"/>
      <c r="I3801" s="1063"/>
      <c r="J3801" s="1063"/>
      <c r="K3801" s="1063"/>
      <c r="L3801" s="1063"/>
      <c r="M3801" s="1063"/>
      <c r="N3801" s="1063"/>
      <c r="O3801" s="1063"/>
      <c r="P3801" s="1063"/>
      <c r="Q3801" s="1063"/>
      <c r="R3801" s="1063"/>
      <c r="S3801" s="1063"/>
      <c r="T3801" s="1063"/>
      <c r="U3801" s="1063"/>
      <c r="V3801" s="1063"/>
      <c r="W3801" s="1063"/>
      <c r="X3801" s="1063"/>
      <c r="Y3801" s="1063"/>
      <c r="Z3801" s="1063"/>
      <c r="AA3801" s="1063"/>
      <c r="AB3801" s="1063"/>
      <c r="AC3801" s="1063"/>
      <c r="AD3801" s="1063"/>
      <c r="AE3801" s="1063"/>
      <c r="AF3801" s="1063"/>
      <c r="AG3801" s="1063"/>
      <c r="AH3801" s="1063"/>
      <c r="AI3801" s="1063"/>
      <c r="AJ3801" s="1063"/>
      <c r="AK3801" s="1063"/>
      <c r="AL3801" s="1063"/>
      <c r="AM3801" s="1063"/>
      <c r="AN3801" s="1063"/>
      <c r="AO3801" s="1063"/>
      <c r="AP3801" s="1063"/>
      <c r="AQ3801" s="1063"/>
      <c r="AR3801" s="1063"/>
      <c r="AS3801" s="1063"/>
      <c r="AT3801" s="1063"/>
      <c r="AU3801" s="1063"/>
      <c r="AV3801" s="1063"/>
    </row>
    <row r="3802" spans="1:48" s="1108" customFormat="1" ht="27.75" customHeight="1">
      <c r="A3802" s="1076"/>
      <c r="B3802" s="1074">
        <f>+'[18]Bldg+Dev'!S4614</f>
        <v>0</v>
      </c>
      <c r="D3802" s="1063"/>
      <c r="F3802" s="1076"/>
      <c r="G3802" s="1063"/>
      <c r="H3802" s="1063"/>
      <c r="I3802" s="1063"/>
      <c r="J3802" s="1063"/>
      <c r="K3802" s="1063"/>
      <c r="L3802" s="1063"/>
      <c r="M3802" s="1063"/>
      <c r="N3802" s="1063"/>
      <c r="O3802" s="1063"/>
      <c r="P3802" s="1063"/>
      <c r="Q3802" s="1063"/>
      <c r="R3802" s="1063"/>
      <c r="S3802" s="1063"/>
      <c r="T3802" s="1063"/>
      <c r="U3802" s="1063"/>
      <c r="V3802" s="1063"/>
      <c r="W3802" s="1063"/>
      <c r="X3802" s="1063"/>
      <c r="Y3802" s="1063"/>
      <c r="Z3802" s="1063"/>
      <c r="AA3802" s="1063"/>
      <c r="AB3802" s="1063"/>
      <c r="AC3802" s="1063"/>
      <c r="AD3802" s="1063"/>
      <c r="AE3802" s="1063"/>
      <c r="AF3802" s="1063"/>
      <c r="AG3802" s="1063"/>
      <c r="AH3802" s="1063"/>
      <c r="AI3802" s="1063"/>
      <c r="AJ3802" s="1063"/>
      <c r="AK3802" s="1063"/>
      <c r="AL3802" s="1063"/>
      <c r="AM3802" s="1063"/>
      <c r="AN3802" s="1063"/>
      <c r="AO3802" s="1063"/>
      <c r="AP3802" s="1063"/>
      <c r="AQ3802" s="1063"/>
      <c r="AR3802" s="1063"/>
      <c r="AS3802" s="1063"/>
      <c r="AT3802" s="1063"/>
      <c r="AU3802" s="1063"/>
      <c r="AV3802" s="1063"/>
    </row>
    <row r="3803" spans="1:48" s="1108" customFormat="1" ht="27.75" customHeight="1">
      <c r="A3803" s="1076"/>
      <c r="B3803" s="1074">
        <f>+'[18]Bldg+Dev'!S4615</f>
        <v>0</v>
      </c>
      <c r="D3803" s="1063"/>
      <c r="F3803" s="1076"/>
      <c r="G3803" s="1063"/>
      <c r="H3803" s="1063"/>
      <c r="I3803" s="1063"/>
      <c r="J3803" s="1063"/>
      <c r="K3803" s="1063"/>
      <c r="L3803" s="1063"/>
      <c r="M3803" s="1063"/>
      <c r="N3803" s="1063"/>
      <c r="O3803" s="1063"/>
      <c r="P3803" s="1063"/>
      <c r="Q3803" s="1063"/>
      <c r="R3803" s="1063"/>
      <c r="S3803" s="1063"/>
      <c r="T3803" s="1063"/>
      <c r="U3803" s="1063"/>
      <c r="V3803" s="1063"/>
      <c r="W3803" s="1063"/>
      <c r="X3803" s="1063"/>
      <c r="Y3803" s="1063"/>
      <c r="Z3803" s="1063"/>
      <c r="AA3803" s="1063"/>
      <c r="AB3803" s="1063"/>
      <c r="AC3803" s="1063"/>
      <c r="AD3803" s="1063"/>
      <c r="AE3803" s="1063"/>
      <c r="AF3803" s="1063"/>
      <c r="AG3803" s="1063"/>
      <c r="AH3803" s="1063"/>
      <c r="AI3803" s="1063"/>
      <c r="AJ3803" s="1063"/>
      <c r="AK3803" s="1063"/>
      <c r="AL3803" s="1063"/>
      <c r="AM3803" s="1063"/>
      <c r="AN3803" s="1063"/>
      <c r="AO3803" s="1063"/>
      <c r="AP3803" s="1063"/>
      <c r="AQ3803" s="1063"/>
      <c r="AR3803" s="1063"/>
      <c r="AS3803" s="1063"/>
      <c r="AT3803" s="1063"/>
      <c r="AU3803" s="1063"/>
      <c r="AV3803" s="1063"/>
    </row>
    <row r="3804" spans="1:48" s="1108" customFormat="1" ht="27.75" customHeight="1">
      <c r="A3804" s="1076"/>
      <c r="B3804" s="1074">
        <f>+'[18]Bldg+Dev'!S4616</f>
        <v>0</v>
      </c>
      <c r="D3804" s="1063"/>
      <c r="F3804" s="1076"/>
      <c r="G3804" s="1063"/>
      <c r="H3804" s="1063"/>
      <c r="I3804" s="1063"/>
      <c r="J3804" s="1063"/>
      <c r="K3804" s="1063"/>
      <c r="L3804" s="1063"/>
      <c r="M3804" s="1063"/>
      <c r="N3804" s="1063"/>
      <c r="O3804" s="1063"/>
      <c r="P3804" s="1063"/>
      <c r="Q3804" s="1063"/>
      <c r="R3804" s="1063"/>
      <c r="S3804" s="1063"/>
      <c r="T3804" s="1063"/>
      <c r="U3804" s="1063"/>
      <c r="V3804" s="1063"/>
      <c r="W3804" s="1063"/>
      <c r="X3804" s="1063"/>
      <c r="Y3804" s="1063"/>
      <c r="Z3804" s="1063"/>
      <c r="AA3804" s="1063"/>
      <c r="AB3804" s="1063"/>
      <c r="AC3804" s="1063"/>
      <c r="AD3804" s="1063"/>
      <c r="AE3804" s="1063"/>
      <c r="AF3804" s="1063"/>
      <c r="AG3804" s="1063"/>
      <c r="AH3804" s="1063"/>
      <c r="AI3804" s="1063"/>
      <c r="AJ3804" s="1063"/>
      <c r="AK3804" s="1063"/>
      <c r="AL3804" s="1063"/>
      <c r="AM3804" s="1063"/>
      <c r="AN3804" s="1063"/>
      <c r="AO3804" s="1063"/>
      <c r="AP3804" s="1063"/>
      <c r="AQ3804" s="1063"/>
      <c r="AR3804" s="1063"/>
      <c r="AS3804" s="1063"/>
      <c r="AT3804" s="1063"/>
      <c r="AU3804" s="1063"/>
      <c r="AV3804" s="1063"/>
    </row>
    <row r="3805" spans="1:48" s="1108" customFormat="1" ht="27.75" customHeight="1">
      <c r="A3805" s="1076"/>
      <c r="B3805" s="1074">
        <f>+'[18]Bldg+Dev'!S4617</f>
        <v>0</v>
      </c>
      <c r="D3805" s="1063"/>
      <c r="F3805" s="1076"/>
      <c r="G3805" s="1063"/>
      <c r="H3805" s="1063"/>
      <c r="I3805" s="1063"/>
      <c r="J3805" s="1063"/>
      <c r="K3805" s="1063"/>
      <c r="L3805" s="1063"/>
      <c r="M3805" s="1063"/>
      <c r="N3805" s="1063"/>
      <c r="O3805" s="1063"/>
      <c r="P3805" s="1063"/>
      <c r="Q3805" s="1063"/>
      <c r="R3805" s="1063"/>
      <c r="S3805" s="1063"/>
      <c r="T3805" s="1063"/>
      <c r="U3805" s="1063"/>
      <c r="V3805" s="1063"/>
      <c r="W3805" s="1063"/>
      <c r="X3805" s="1063"/>
      <c r="Y3805" s="1063"/>
      <c r="Z3805" s="1063"/>
      <c r="AA3805" s="1063"/>
      <c r="AB3805" s="1063"/>
      <c r="AC3805" s="1063"/>
      <c r="AD3805" s="1063"/>
      <c r="AE3805" s="1063"/>
      <c r="AF3805" s="1063"/>
      <c r="AG3805" s="1063"/>
      <c r="AH3805" s="1063"/>
      <c r="AI3805" s="1063"/>
      <c r="AJ3805" s="1063"/>
      <c r="AK3805" s="1063"/>
      <c r="AL3805" s="1063"/>
      <c r="AM3805" s="1063"/>
      <c r="AN3805" s="1063"/>
      <c r="AO3805" s="1063"/>
      <c r="AP3805" s="1063"/>
      <c r="AQ3805" s="1063"/>
      <c r="AR3805" s="1063"/>
      <c r="AS3805" s="1063"/>
      <c r="AT3805" s="1063"/>
      <c r="AU3805" s="1063"/>
      <c r="AV3805" s="1063"/>
    </row>
    <row r="3806" spans="1:48" s="1108" customFormat="1" ht="27.75" customHeight="1">
      <c r="A3806" s="1076"/>
      <c r="B3806" s="1074">
        <f>+'[18]Bldg+Dev'!S4618</f>
        <v>0</v>
      </c>
      <c r="D3806" s="1063"/>
      <c r="F3806" s="1076"/>
      <c r="G3806" s="1063"/>
      <c r="H3806" s="1063"/>
      <c r="I3806" s="1063"/>
      <c r="J3806" s="1063"/>
      <c r="K3806" s="1063"/>
      <c r="L3806" s="1063"/>
      <c r="M3806" s="1063"/>
      <c r="N3806" s="1063"/>
      <c r="O3806" s="1063"/>
      <c r="P3806" s="1063"/>
      <c r="Q3806" s="1063"/>
      <c r="R3806" s="1063"/>
      <c r="S3806" s="1063"/>
      <c r="T3806" s="1063"/>
      <c r="U3806" s="1063"/>
      <c r="V3806" s="1063"/>
      <c r="W3806" s="1063"/>
      <c r="X3806" s="1063"/>
      <c r="Y3806" s="1063"/>
      <c r="Z3806" s="1063"/>
      <c r="AA3806" s="1063"/>
      <c r="AB3806" s="1063"/>
      <c r="AC3806" s="1063"/>
      <c r="AD3806" s="1063"/>
      <c r="AE3806" s="1063"/>
      <c r="AF3806" s="1063"/>
      <c r="AG3806" s="1063"/>
      <c r="AH3806" s="1063"/>
      <c r="AI3806" s="1063"/>
      <c r="AJ3806" s="1063"/>
      <c r="AK3806" s="1063"/>
      <c r="AL3806" s="1063"/>
      <c r="AM3806" s="1063"/>
      <c r="AN3806" s="1063"/>
      <c r="AO3806" s="1063"/>
      <c r="AP3806" s="1063"/>
      <c r="AQ3806" s="1063"/>
      <c r="AR3806" s="1063"/>
      <c r="AS3806" s="1063"/>
      <c r="AT3806" s="1063"/>
      <c r="AU3806" s="1063"/>
      <c r="AV3806" s="1063"/>
    </row>
    <row r="3807" spans="1:48" s="1108" customFormat="1" ht="27.75" customHeight="1">
      <c r="A3807" s="1076"/>
      <c r="B3807" s="1074">
        <f>+'[18]Bldg+Dev'!S4619</f>
        <v>0</v>
      </c>
      <c r="D3807" s="1063"/>
      <c r="F3807" s="1076"/>
      <c r="G3807" s="1063"/>
      <c r="H3807" s="1063"/>
      <c r="I3807" s="1063"/>
      <c r="J3807" s="1063"/>
      <c r="K3807" s="1063"/>
      <c r="L3807" s="1063"/>
      <c r="M3807" s="1063"/>
      <c r="N3807" s="1063"/>
      <c r="O3807" s="1063"/>
      <c r="P3807" s="1063"/>
      <c r="Q3807" s="1063"/>
      <c r="R3807" s="1063"/>
      <c r="S3807" s="1063"/>
      <c r="T3807" s="1063"/>
      <c r="U3807" s="1063"/>
      <c r="V3807" s="1063"/>
      <c r="W3807" s="1063"/>
      <c r="X3807" s="1063"/>
      <c r="Y3807" s="1063"/>
      <c r="Z3807" s="1063"/>
      <c r="AA3807" s="1063"/>
      <c r="AB3807" s="1063"/>
      <c r="AC3807" s="1063"/>
      <c r="AD3807" s="1063"/>
      <c r="AE3807" s="1063"/>
      <c r="AF3807" s="1063"/>
      <c r="AG3807" s="1063"/>
      <c r="AH3807" s="1063"/>
      <c r="AI3807" s="1063"/>
      <c r="AJ3807" s="1063"/>
      <c r="AK3807" s="1063"/>
      <c r="AL3807" s="1063"/>
      <c r="AM3807" s="1063"/>
      <c r="AN3807" s="1063"/>
      <c r="AO3807" s="1063"/>
      <c r="AP3807" s="1063"/>
      <c r="AQ3807" s="1063"/>
      <c r="AR3807" s="1063"/>
      <c r="AS3807" s="1063"/>
      <c r="AT3807" s="1063"/>
      <c r="AU3807" s="1063"/>
      <c r="AV3807" s="1063"/>
    </row>
    <row r="3808" spans="1:48" s="1108" customFormat="1" ht="27.75" customHeight="1">
      <c r="A3808" s="1076"/>
      <c r="B3808" s="1074">
        <f>+'[18]Bldg+Dev'!S4620</f>
        <v>0</v>
      </c>
      <c r="D3808" s="1063"/>
      <c r="F3808" s="1076"/>
      <c r="G3808" s="1063"/>
      <c r="H3808" s="1063"/>
      <c r="I3808" s="1063"/>
      <c r="J3808" s="1063"/>
      <c r="K3808" s="1063"/>
      <c r="L3808" s="1063"/>
      <c r="M3808" s="1063"/>
      <c r="N3808" s="1063"/>
      <c r="O3808" s="1063"/>
      <c r="P3808" s="1063"/>
      <c r="Q3808" s="1063"/>
      <c r="R3808" s="1063"/>
      <c r="S3808" s="1063"/>
      <c r="T3808" s="1063"/>
      <c r="U3808" s="1063"/>
      <c r="V3808" s="1063"/>
      <c r="W3808" s="1063"/>
      <c r="X3808" s="1063"/>
      <c r="Y3808" s="1063"/>
      <c r="Z3808" s="1063"/>
      <c r="AA3808" s="1063"/>
      <c r="AB3808" s="1063"/>
      <c r="AC3808" s="1063"/>
      <c r="AD3808" s="1063"/>
      <c r="AE3808" s="1063"/>
      <c r="AF3808" s="1063"/>
      <c r="AG3808" s="1063"/>
      <c r="AH3808" s="1063"/>
      <c r="AI3808" s="1063"/>
      <c r="AJ3808" s="1063"/>
      <c r="AK3808" s="1063"/>
      <c r="AL3808" s="1063"/>
      <c r="AM3808" s="1063"/>
      <c r="AN3808" s="1063"/>
      <c r="AO3808" s="1063"/>
      <c r="AP3808" s="1063"/>
      <c r="AQ3808" s="1063"/>
      <c r="AR3808" s="1063"/>
      <c r="AS3808" s="1063"/>
      <c r="AT3808" s="1063"/>
      <c r="AU3808" s="1063"/>
      <c r="AV3808" s="1063"/>
    </row>
    <row r="3809" spans="1:48" s="1108" customFormat="1" ht="27.75" customHeight="1">
      <c r="A3809" s="1076"/>
      <c r="B3809" s="1074">
        <f>+'[18]Bldg+Dev'!S4621</f>
        <v>0</v>
      </c>
      <c r="D3809" s="1063"/>
      <c r="F3809" s="1076"/>
      <c r="G3809" s="1063"/>
      <c r="H3809" s="1063"/>
      <c r="I3809" s="1063"/>
      <c r="J3809" s="1063"/>
      <c r="K3809" s="1063"/>
      <c r="L3809" s="1063"/>
      <c r="M3809" s="1063"/>
      <c r="N3809" s="1063"/>
      <c r="O3809" s="1063"/>
      <c r="P3809" s="1063"/>
      <c r="Q3809" s="1063"/>
      <c r="R3809" s="1063"/>
      <c r="S3809" s="1063"/>
      <c r="T3809" s="1063"/>
      <c r="U3809" s="1063"/>
      <c r="V3809" s="1063"/>
      <c r="W3809" s="1063"/>
      <c r="X3809" s="1063"/>
      <c r="Y3809" s="1063"/>
      <c r="Z3809" s="1063"/>
      <c r="AA3809" s="1063"/>
      <c r="AB3809" s="1063"/>
      <c r="AC3809" s="1063"/>
      <c r="AD3809" s="1063"/>
      <c r="AE3809" s="1063"/>
      <c r="AF3809" s="1063"/>
      <c r="AG3809" s="1063"/>
      <c r="AH3809" s="1063"/>
      <c r="AI3809" s="1063"/>
      <c r="AJ3809" s="1063"/>
      <c r="AK3809" s="1063"/>
      <c r="AL3809" s="1063"/>
      <c r="AM3809" s="1063"/>
      <c r="AN3809" s="1063"/>
      <c r="AO3809" s="1063"/>
      <c r="AP3809" s="1063"/>
      <c r="AQ3809" s="1063"/>
      <c r="AR3809" s="1063"/>
      <c r="AS3809" s="1063"/>
      <c r="AT3809" s="1063"/>
      <c r="AU3809" s="1063"/>
      <c r="AV3809" s="1063"/>
    </row>
    <row r="3810" spans="1:48" s="1108" customFormat="1" ht="27.75" customHeight="1">
      <c r="A3810" s="1076"/>
      <c r="B3810" s="1074">
        <f>+'[18]Bldg+Dev'!S4622</f>
        <v>0</v>
      </c>
      <c r="D3810" s="1063"/>
      <c r="F3810" s="1076"/>
      <c r="G3810" s="1063"/>
      <c r="H3810" s="1063"/>
      <c r="I3810" s="1063"/>
      <c r="J3810" s="1063"/>
      <c r="K3810" s="1063"/>
      <c r="L3810" s="1063"/>
      <c r="M3810" s="1063"/>
      <c r="N3810" s="1063"/>
      <c r="O3810" s="1063"/>
      <c r="P3810" s="1063"/>
      <c r="Q3810" s="1063"/>
      <c r="R3810" s="1063"/>
      <c r="S3810" s="1063"/>
      <c r="T3810" s="1063"/>
      <c r="U3810" s="1063"/>
      <c r="V3810" s="1063"/>
      <c r="W3810" s="1063"/>
      <c r="X3810" s="1063"/>
      <c r="Y3810" s="1063"/>
      <c r="Z3810" s="1063"/>
      <c r="AA3810" s="1063"/>
      <c r="AB3810" s="1063"/>
      <c r="AC3810" s="1063"/>
      <c r="AD3810" s="1063"/>
      <c r="AE3810" s="1063"/>
      <c r="AF3810" s="1063"/>
      <c r="AG3810" s="1063"/>
      <c r="AH3810" s="1063"/>
      <c r="AI3810" s="1063"/>
      <c r="AJ3810" s="1063"/>
      <c r="AK3810" s="1063"/>
      <c r="AL3810" s="1063"/>
      <c r="AM3810" s="1063"/>
      <c r="AN3810" s="1063"/>
      <c r="AO3810" s="1063"/>
      <c r="AP3810" s="1063"/>
      <c r="AQ3810" s="1063"/>
      <c r="AR3810" s="1063"/>
      <c r="AS3810" s="1063"/>
      <c r="AT3810" s="1063"/>
      <c r="AU3810" s="1063"/>
      <c r="AV3810" s="1063"/>
    </row>
    <row r="3811" spans="1:48" s="1108" customFormat="1" ht="27.75" customHeight="1">
      <c r="A3811" s="1076"/>
      <c r="B3811" s="1074">
        <f>+'[18]Bldg+Dev'!S4623</f>
        <v>0</v>
      </c>
      <c r="D3811" s="1063"/>
      <c r="F3811" s="1076"/>
      <c r="G3811" s="1063"/>
      <c r="H3811" s="1063"/>
      <c r="I3811" s="1063"/>
      <c r="J3811" s="1063"/>
      <c r="K3811" s="1063"/>
      <c r="L3811" s="1063"/>
      <c r="M3811" s="1063"/>
      <c r="N3811" s="1063"/>
      <c r="O3811" s="1063"/>
      <c r="P3811" s="1063"/>
      <c r="Q3811" s="1063"/>
      <c r="R3811" s="1063"/>
      <c r="S3811" s="1063"/>
      <c r="T3811" s="1063"/>
      <c r="U3811" s="1063"/>
      <c r="V3811" s="1063"/>
      <c r="W3811" s="1063"/>
      <c r="X3811" s="1063"/>
      <c r="Y3811" s="1063"/>
      <c r="Z3811" s="1063"/>
      <c r="AA3811" s="1063"/>
      <c r="AB3811" s="1063"/>
      <c r="AC3811" s="1063"/>
      <c r="AD3811" s="1063"/>
      <c r="AE3811" s="1063"/>
      <c r="AF3811" s="1063"/>
      <c r="AG3811" s="1063"/>
      <c r="AH3811" s="1063"/>
      <c r="AI3811" s="1063"/>
      <c r="AJ3811" s="1063"/>
      <c r="AK3811" s="1063"/>
      <c r="AL3811" s="1063"/>
      <c r="AM3811" s="1063"/>
      <c r="AN3811" s="1063"/>
      <c r="AO3811" s="1063"/>
      <c r="AP3811" s="1063"/>
      <c r="AQ3811" s="1063"/>
      <c r="AR3811" s="1063"/>
      <c r="AS3811" s="1063"/>
      <c r="AT3811" s="1063"/>
      <c r="AU3811" s="1063"/>
      <c r="AV3811" s="1063"/>
    </row>
    <row r="3812" spans="1:48" s="1108" customFormat="1" ht="27.75" customHeight="1">
      <c r="A3812" s="1076"/>
      <c r="B3812" s="1074">
        <f>+'[18]Bldg+Dev'!S4624</f>
        <v>0</v>
      </c>
      <c r="D3812" s="1063"/>
      <c r="F3812" s="1076"/>
      <c r="G3812" s="1063"/>
      <c r="H3812" s="1063"/>
      <c r="I3812" s="1063"/>
      <c r="J3812" s="1063"/>
      <c r="K3812" s="1063"/>
      <c r="L3812" s="1063"/>
      <c r="M3812" s="1063"/>
      <c r="N3812" s="1063"/>
      <c r="O3812" s="1063"/>
      <c r="P3812" s="1063"/>
      <c r="Q3812" s="1063"/>
      <c r="R3812" s="1063"/>
      <c r="S3812" s="1063"/>
      <c r="T3812" s="1063"/>
      <c r="U3812" s="1063"/>
      <c r="V3812" s="1063"/>
      <c r="W3812" s="1063"/>
      <c r="X3812" s="1063"/>
      <c r="Y3812" s="1063"/>
      <c r="Z3812" s="1063"/>
      <c r="AA3812" s="1063"/>
      <c r="AB3812" s="1063"/>
      <c r="AC3812" s="1063"/>
      <c r="AD3812" s="1063"/>
      <c r="AE3812" s="1063"/>
      <c r="AF3812" s="1063"/>
      <c r="AG3812" s="1063"/>
      <c r="AH3812" s="1063"/>
      <c r="AI3812" s="1063"/>
      <c r="AJ3812" s="1063"/>
      <c r="AK3812" s="1063"/>
      <c r="AL3812" s="1063"/>
      <c r="AM3812" s="1063"/>
      <c r="AN3812" s="1063"/>
      <c r="AO3812" s="1063"/>
      <c r="AP3812" s="1063"/>
      <c r="AQ3812" s="1063"/>
      <c r="AR3812" s="1063"/>
      <c r="AS3812" s="1063"/>
      <c r="AT3812" s="1063"/>
      <c r="AU3812" s="1063"/>
      <c r="AV3812" s="1063"/>
    </row>
    <row r="3813" spans="1:48" s="1108" customFormat="1" ht="27.75" customHeight="1">
      <c r="A3813" s="1076"/>
      <c r="B3813" s="1074">
        <f>+'[18]Bldg+Dev'!S4625</f>
        <v>0</v>
      </c>
      <c r="D3813" s="1063"/>
      <c r="F3813" s="1076"/>
      <c r="G3813" s="1063"/>
      <c r="H3813" s="1063"/>
      <c r="I3813" s="1063"/>
      <c r="J3813" s="1063"/>
      <c r="K3813" s="1063"/>
      <c r="L3813" s="1063"/>
      <c r="M3813" s="1063"/>
      <c r="N3813" s="1063"/>
      <c r="O3813" s="1063"/>
      <c r="P3813" s="1063"/>
      <c r="Q3813" s="1063"/>
      <c r="R3813" s="1063"/>
      <c r="S3813" s="1063"/>
      <c r="T3813" s="1063"/>
      <c r="U3813" s="1063"/>
      <c r="V3813" s="1063"/>
      <c r="W3813" s="1063"/>
      <c r="X3813" s="1063"/>
      <c r="Y3813" s="1063"/>
      <c r="Z3813" s="1063"/>
      <c r="AA3813" s="1063"/>
      <c r="AB3813" s="1063"/>
      <c r="AC3813" s="1063"/>
      <c r="AD3813" s="1063"/>
      <c r="AE3813" s="1063"/>
      <c r="AF3813" s="1063"/>
      <c r="AG3813" s="1063"/>
      <c r="AH3813" s="1063"/>
      <c r="AI3813" s="1063"/>
      <c r="AJ3813" s="1063"/>
      <c r="AK3813" s="1063"/>
      <c r="AL3813" s="1063"/>
      <c r="AM3813" s="1063"/>
      <c r="AN3813" s="1063"/>
      <c r="AO3813" s="1063"/>
      <c r="AP3813" s="1063"/>
      <c r="AQ3813" s="1063"/>
      <c r="AR3813" s="1063"/>
      <c r="AS3813" s="1063"/>
      <c r="AT3813" s="1063"/>
      <c r="AU3813" s="1063"/>
      <c r="AV3813" s="1063"/>
    </row>
    <row r="3814" spans="1:48" s="1108" customFormat="1" ht="27.75" customHeight="1">
      <c r="A3814" s="1076"/>
      <c r="B3814" s="1074">
        <f>+'[18]Bldg+Dev'!S4626</f>
        <v>0</v>
      </c>
      <c r="D3814" s="1063"/>
      <c r="F3814" s="1076"/>
      <c r="G3814" s="1063"/>
      <c r="H3814" s="1063"/>
      <c r="I3814" s="1063"/>
      <c r="J3814" s="1063"/>
      <c r="K3814" s="1063"/>
      <c r="L3814" s="1063"/>
      <c r="M3814" s="1063"/>
      <c r="N3814" s="1063"/>
      <c r="O3814" s="1063"/>
      <c r="P3814" s="1063"/>
      <c r="Q3814" s="1063"/>
      <c r="R3814" s="1063"/>
      <c r="S3814" s="1063"/>
      <c r="T3814" s="1063"/>
      <c r="U3814" s="1063"/>
      <c r="V3814" s="1063"/>
      <c r="W3814" s="1063"/>
      <c r="X3814" s="1063"/>
      <c r="Y3814" s="1063"/>
      <c r="Z3814" s="1063"/>
      <c r="AA3814" s="1063"/>
      <c r="AB3814" s="1063"/>
      <c r="AC3814" s="1063"/>
      <c r="AD3814" s="1063"/>
      <c r="AE3814" s="1063"/>
      <c r="AF3814" s="1063"/>
      <c r="AG3814" s="1063"/>
      <c r="AH3814" s="1063"/>
      <c r="AI3814" s="1063"/>
      <c r="AJ3814" s="1063"/>
      <c r="AK3814" s="1063"/>
      <c r="AL3814" s="1063"/>
      <c r="AM3814" s="1063"/>
      <c r="AN3814" s="1063"/>
      <c r="AO3814" s="1063"/>
      <c r="AP3814" s="1063"/>
      <c r="AQ3814" s="1063"/>
      <c r="AR3814" s="1063"/>
      <c r="AS3814" s="1063"/>
      <c r="AT3814" s="1063"/>
      <c r="AU3814" s="1063"/>
      <c r="AV3814" s="1063"/>
    </row>
    <row r="3815" spans="1:48" s="1108" customFormat="1" ht="27.75" customHeight="1">
      <c r="A3815" s="1076"/>
      <c r="B3815" s="1074">
        <f>+'[18]Bldg+Dev'!S4627</f>
        <v>0</v>
      </c>
      <c r="D3815" s="1063"/>
      <c r="F3815" s="1076"/>
      <c r="G3815" s="1063"/>
      <c r="H3815" s="1063"/>
      <c r="I3815" s="1063"/>
      <c r="J3815" s="1063"/>
      <c r="K3815" s="1063"/>
      <c r="L3815" s="1063"/>
      <c r="M3815" s="1063"/>
      <c r="N3815" s="1063"/>
      <c r="O3815" s="1063"/>
      <c r="P3815" s="1063"/>
      <c r="Q3815" s="1063"/>
      <c r="R3815" s="1063"/>
      <c r="S3815" s="1063"/>
      <c r="T3815" s="1063"/>
      <c r="U3815" s="1063"/>
      <c r="V3815" s="1063"/>
      <c r="W3815" s="1063"/>
      <c r="X3815" s="1063"/>
      <c r="Y3815" s="1063"/>
      <c r="Z3815" s="1063"/>
      <c r="AA3815" s="1063"/>
      <c r="AB3815" s="1063"/>
      <c r="AC3815" s="1063"/>
      <c r="AD3815" s="1063"/>
      <c r="AE3815" s="1063"/>
      <c r="AF3815" s="1063"/>
      <c r="AG3815" s="1063"/>
      <c r="AH3815" s="1063"/>
      <c r="AI3815" s="1063"/>
      <c r="AJ3815" s="1063"/>
      <c r="AK3815" s="1063"/>
      <c r="AL3815" s="1063"/>
      <c r="AM3815" s="1063"/>
      <c r="AN3815" s="1063"/>
      <c r="AO3815" s="1063"/>
      <c r="AP3815" s="1063"/>
      <c r="AQ3815" s="1063"/>
      <c r="AR3815" s="1063"/>
      <c r="AS3815" s="1063"/>
      <c r="AT3815" s="1063"/>
      <c r="AU3815" s="1063"/>
      <c r="AV3815" s="1063"/>
    </row>
    <row r="3816" spans="1:48" s="1108" customFormat="1" ht="27.75" customHeight="1">
      <c r="A3816" s="1076"/>
      <c r="B3816" s="1074">
        <f>+'[18]Bldg+Dev'!S4628</f>
        <v>0</v>
      </c>
      <c r="D3816" s="1063"/>
      <c r="F3816" s="1076"/>
      <c r="G3816" s="1063"/>
      <c r="H3816" s="1063"/>
      <c r="I3816" s="1063"/>
      <c r="J3816" s="1063"/>
      <c r="K3816" s="1063"/>
      <c r="L3816" s="1063"/>
      <c r="M3816" s="1063"/>
      <c r="N3816" s="1063"/>
      <c r="O3816" s="1063"/>
      <c r="P3816" s="1063"/>
      <c r="Q3816" s="1063"/>
      <c r="R3816" s="1063"/>
      <c r="S3816" s="1063"/>
      <c r="T3816" s="1063"/>
      <c r="U3816" s="1063"/>
      <c r="V3816" s="1063"/>
      <c r="W3816" s="1063"/>
      <c r="X3816" s="1063"/>
      <c r="Y3816" s="1063"/>
      <c r="Z3816" s="1063"/>
      <c r="AA3816" s="1063"/>
      <c r="AB3816" s="1063"/>
      <c r="AC3816" s="1063"/>
      <c r="AD3816" s="1063"/>
      <c r="AE3816" s="1063"/>
      <c r="AF3816" s="1063"/>
      <c r="AG3816" s="1063"/>
      <c r="AH3816" s="1063"/>
      <c r="AI3816" s="1063"/>
      <c r="AJ3816" s="1063"/>
      <c r="AK3816" s="1063"/>
      <c r="AL3816" s="1063"/>
      <c r="AM3816" s="1063"/>
      <c r="AN3816" s="1063"/>
      <c r="AO3816" s="1063"/>
      <c r="AP3816" s="1063"/>
      <c r="AQ3816" s="1063"/>
      <c r="AR3816" s="1063"/>
      <c r="AS3816" s="1063"/>
      <c r="AT3816" s="1063"/>
      <c r="AU3816" s="1063"/>
      <c r="AV3816" s="1063"/>
    </row>
    <row r="3817" spans="1:48" s="1108" customFormat="1" ht="27.75" customHeight="1">
      <c r="A3817" s="1076"/>
      <c r="B3817" s="1074">
        <f>+'[18]Bldg+Dev'!S4629</f>
        <v>0</v>
      </c>
      <c r="D3817" s="1063"/>
      <c r="F3817" s="1076"/>
      <c r="G3817" s="1063"/>
      <c r="H3817" s="1063"/>
      <c r="I3817" s="1063"/>
      <c r="J3817" s="1063"/>
      <c r="K3817" s="1063"/>
      <c r="L3817" s="1063"/>
      <c r="M3817" s="1063"/>
      <c r="N3817" s="1063"/>
      <c r="O3817" s="1063"/>
      <c r="P3817" s="1063"/>
      <c r="Q3817" s="1063"/>
      <c r="R3817" s="1063"/>
      <c r="S3817" s="1063"/>
      <c r="T3817" s="1063"/>
      <c r="U3817" s="1063"/>
      <c r="V3817" s="1063"/>
      <c r="W3817" s="1063"/>
      <c r="X3817" s="1063"/>
      <c r="Y3817" s="1063"/>
      <c r="Z3817" s="1063"/>
      <c r="AA3817" s="1063"/>
      <c r="AB3817" s="1063"/>
      <c r="AC3817" s="1063"/>
      <c r="AD3817" s="1063"/>
      <c r="AE3817" s="1063"/>
      <c r="AF3817" s="1063"/>
      <c r="AG3817" s="1063"/>
      <c r="AH3817" s="1063"/>
      <c r="AI3817" s="1063"/>
      <c r="AJ3817" s="1063"/>
      <c r="AK3817" s="1063"/>
      <c r="AL3817" s="1063"/>
      <c r="AM3817" s="1063"/>
      <c r="AN3817" s="1063"/>
      <c r="AO3817" s="1063"/>
      <c r="AP3817" s="1063"/>
      <c r="AQ3817" s="1063"/>
      <c r="AR3817" s="1063"/>
      <c r="AS3817" s="1063"/>
      <c r="AT3817" s="1063"/>
      <c r="AU3817" s="1063"/>
      <c r="AV3817" s="1063"/>
    </row>
    <row r="3818" spans="1:48" s="1108" customFormat="1" ht="27.75" customHeight="1">
      <c r="A3818" s="1076"/>
      <c r="B3818" s="1074">
        <f>+'[18]Bldg+Dev'!S4630</f>
        <v>0</v>
      </c>
      <c r="D3818" s="1063"/>
      <c r="F3818" s="1076"/>
      <c r="G3818" s="1063"/>
      <c r="H3818" s="1063"/>
      <c r="I3818" s="1063"/>
      <c r="J3818" s="1063"/>
      <c r="K3818" s="1063"/>
      <c r="L3818" s="1063"/>
      <c r="M3818" s="1063"/>
      <c r="N3818" s="1063"/>
      <c r="O3818" s="1063"/>
      <c r="P3818" s="1063"/>
      <c r="Q3818" s="1063"/>
      <c r="R3818" s="1063"/>
      <c r="S3818" s="1063"/>
      <c r="T3818" s="1063"/>
      <c r="U3818" s="1063"/>
      <c r="V3818" s="1063"/>
      <c r="W3818" s="1063"/>
      <c r="X3818" s="1063"/>
      <c r="Y3818" s="1063"/>
      <c r="Z3818" s="1063"/>
      <c r="AA3818" s="1063"/>
      <c r="AB3818" s="1063"/>
      <c r="AC3818" s="1063"/>
      <c r="AD3818" s="1063"/>
      <c r="AE3818" s="1063"/>
      <c r="AF3818" s="1063"/>
      <c r="AG3818" s="1063"/>
      <c r="AH3818" s="1063"/>
      <c r="AI3818" s="1063"/>
      <c r="AJ3818" s="1063"/>
      <c r="AK3818" s="1063"/>
      <c r="AL3818" s="1063"/>
      <c r="AM3818" s="1063"/>
      <c r="AN3818" s="1063"/>
      <c r="AO3818" s="1063"/>
      <c r="AP3818" s="1063"/>
      <c r="AQ3818" s="1063"/>
      <c r="AR3818" s="1063"/>
      <c r="AS3818" s="1063"/>
      <c r="AT3818" s="1063"/>
      <c r="AU3818" s="1063"/>
      <c r="AV3818" s="1063"/>
    </row>
    <row r="3819" spans="1:48" s="1108" customFormat="1" ht="27.75" customHeight="1">
      <c r="A3819" s="1076"/>
      <c r="B3819" s="1074">
        <f>+'[18]Bldg+Dev'!S4631</f>
        <v>0</v>
      </c>
      <c r="D3819" s="1063"/>
      <c r="F3819" s="1076"/>
      <c r="G3819" s="1063"/>
      <c r="H3819" s="1063"/>
      <c r="I3819" s="1063"/>
      <c r="J3819" s="1063"/>
      <c r="K3819" s="1063"/>
      <c r="L3819" s="1063"/>
      <c r="M3819" s="1063"/>
      <c r="N3819" s="1063"/>
      <c r="O3819" s="1063"/>
      <c r="P3819" s="1063"/>
      <c r="Q3819" s="1063"/>
      <c r="R3819" s="1063"/>
      <c r="S3819" s="1063"/>
      <c r="T3819" s="1063"/>
      <c r="U3819" s="1063"/>
      <c r="V3819" s="1063"/>
      <c r="W3819" s="1063"/>
      <c r="X3819" s="1063"/>
      <c r="Y3819" s="1063"/>
      <c r="Z3819" s="1063"/>
      <c r="AA3819" s="1063"/>
      <c r="AB3819" s="1063"/>
      <c r="AC3819" s="1063"/>
      <c r="AD3819" s="1063"/>
      <c r="AE3819" s="1063"/>
      <c r="AF3819" s="1063"/>
      <c r="AG3819" s="1063"/>
      <c r="AH3819" s="1063"/>
      <c r="AI3819" s="1063"/>
      <c r="AJ3819" s="1063"/>
      <c r="AK3819" s="1063"/>
      <c r="AL3819" s="1063"/>
      <c r="AM3819" s="1063"/>
      <c r="AN3819" s="1063"/>
      <c r="AO3819" s="1063"/>
      <c r="AP3819" s="1063"/>
      <c r="AQ3819" s="1063"/>
      <c r="AR3819" s="1063"/>
      <c r="AS3819" s="1063"/>
      <c r="AT3819" s="1063"/>
      <c r="AU3819" s="1063"/>
      <c r="AV3819" s="1063"/>
    </row>
    <row r="3820" spans="1:48" s="1108" customFormat="1" ht="27.75" customHeight="1">
      <c r="A3820" s="1076"/>
      <c r="B3820" s="1074">
        <f>+'[18]Bldg+Dev'!S4632</f>
        <v>0</v>
      </c>
      <c r="D3820" s="1063"/>
      <c r="F3820" s="1076"/>
      <c r="G3820" s="1063"/>
      <c r="H3820" s="1063"/>
      <c r="I3820" s="1063"/>
      <c r="J3820" s="1063"/>
      <c r="K3820" s="1063"/>
      <c r="L3820" s="1063"/>
      <c r="M3820" s="1063"/>
      <c r="N3820" s="1063"/>
      <c r="O3820" s="1063"/>
      <c r="P3820" s="1063"/>
      <c r="Q3820" s="1063"/>
      <c r="R3820" s="1063"/>
      <c r="S3820" s="1063"/>
      <c r="T3820" s="1063"/>
      <c r="U3820" s="1063"/>
      <c r="V3820" s="1063"/>
      <c r="W3820" s="1063"/>
      <c r="X3820" s="1063"/>
      <c r="Y3820" s="1063"/>
      <c r="Z3820" s="1063"/>
      <c r="AA3820" s="1063"/>
      <c r="AB3820" s="1063"/>
      <c r="AC3820" s="1063"/>
      <c r="AD3820" s="1063"/>
      <c r="AE3820" s="1063"/>
      <c r="AF3820" s="1063"/>
      <c r="AG3820" s="1063"/>
      <c r="AH3820" s="1063"/>
      <c r="AI3820" s="1063"/>
      <c r="AJ3820" s="1063"/>
      <c r="AK3820" s="1063"/>
      <c r="AL3820" s="1063"/>
      <c r="AM3820" s="1063"/>
      <c r="AN3820" s="1063"/>
      <c r="AO3820" s="1063"/>
      <c r="AP3820" s="1063"/>
      <c r="AQ3820" s="1063"/>
      <c r="AR3820" s="1063"/>
      <c r="AS3820" s="1063"/>
      <c r="AT3820" s="1063"/>
      <c r="AU3820" s="1063"/>
      <c r="AV3820" s="1063"/>
    </row>
    <row r="3821" spans="1:48" s="1108" customFormat="1" ht="27.75" customHeight="1">
      <c r="A3821" s="1076"/>
      <c r="B3821" s="1074">
        <f>+'[18]Bldg+Dev'!S4633</f>
        <v>0</v>
      </c>
      <c r="D3821" s="1063"/>
      <c r="F3821" s="1076"/>
      <c r="G3821" s="1063"/>
      <c r="H3821" s="1063"/>
      <c r="I3821" s="1063"/>
      <c r="J3821" s="1063"/>
      <c r="K3821" s="1063"/>
      <c r="L3821" s="1063"/>
      <c r="M3821" s="1063"/>
      <c r="N3821" s="1063"/>
      <c r="O3821" s="1063"/>
      <c r="P3821" s="1063"/>
      <c r="Q3821" s="1063"/>
      <c r="R3821" s="1063"/>
      <c r="S3821" s="1063"/>
      <c r="T3821" s="1063"/>
      <c r="U3821" s="1063"/>
      <c r="V3821" s="1063"/>
      <c r="W3821" s="1063"/>
      <c r="X3821" s="1063"/>
      <c r="Y3821" s="1063"/>
      <c r="Z3821" s="1063"/>
      <c r="AA3821" s="1063"/>
      <c r="AB3821" s="1063"/>
      <c r="AC3821" s="1063"/>
      <c r="AD3821" s="1063"/>
      <c r="AE3821" s="1063"/>
      <c r="AF3821" s="1063"/>
      <c r="AG3821" s="1063"/>
      <c r="AH3821" s="1063"/>
      <c r="AI3821" s="1063"/>
      <c r="AJ3821" s="1063"/>
      <c r="AK3821" s="1063"/>
      <c r="AL3821" s="1063"/>
      <c r="AM3821" s="1063"/>
      <c r="AN3821" s="1063"/>
      <c r="AO3821" s="1063"/>
      <c r="AP3821" s="1063"/>
      <c r="AQ3821" s="1063"/>
      <c r="AR3821" s="1063"/>
      <c r="AS3821" s="1063"/>
      <c r="AT3821" s="1063"/>
      <c r="AU3821" s="1063"/>
      <c r="AV3821" s="1063"/>
    </row>
    <row r="3822" spans="1:48" s="1108" customFormat="1" ht="27.75" customHeight="1">
      <c r="A3822" s="1076"/>
      <c r="B3822" s="1074">
        <f>+'[18]Bldg+Dev'!S4634</f>
        <v>0</v>
      </c>
      <c r="D3822" s="1063"/>
      <c r="F3822" s="1076"/>
      <c r="G3822" s="1063"/>
      <c r="H3822" s="1063"/>
      <c r="I3822" s="1063"/>
      <c r="J3822" s="1063"/>
      <c r="K3822" s="1063"/>
      <c r="L3822" s="1063"/>
      <c r="M3822" s="1063"/>
      <c r="N3822" s="1063"/>
      <c r="O3822" s="1063"/>
      <c r="P3822" s="1063"/>
      <c r="Q3822" s="1063"/>
      <c r="R3822" s="1063"/>
      <c r="S3822" s="1063"/>
      <c r="T3822" s="1063"/>
      <c r="U3822" s="1063"/>
      <c r="V3822" s="1063"/>
      <c r="W3822" s="1063"/>
      <c r="X3822" s="1063"/>
      <c r="Y3822" s="1063"/>
      <c r="Z3822" s="1063"/>
      <c r="AA3822" s="1063"/>
      <c r="AB3822" s="1063"/>
      <c r="AC3822" s="1063"/>
      <c r="AD3822" s="1063"/>
      <c r="AE3822" s="1063"/>
      <c r="AF3822" s="1063"/>
      <c r="AG3822" s="1063"/>
      <c r="AH3822" s="1063"/>
      <c r="AI3822" s="1063"/>
      <c r="AJ3822" s="1063"/>
      <c r="AK3822" s="1063"/>
      <c r="AL3822" s="1063"/>
      <c r="AM3822" s="1063"/>
      <c r="AN3822" s="1063"/>
      <c r="AO3822" s="1063"/>
      <c r="AP3822" s="1063"/>
      <c r="AQ3822" s="1063"/>
      <c r="AR3822" s="1063"/>
      <c r="AS3822" s="1063"/>
      <c r="AT3822" s="1063"/>
      <c r="AU3822" s="1063"/>
      <c r="AV3822" s="1063"/>
    </row>
    <row r="3823" spans="1:48" s="1108" customFormat="1" ht="27.75" customHeight="1">
      <c r="A3823" s="1076"/>
      <c r="B3823" s="1074">
        <f>+'[18]Bldg+Dev'!S4635</f>
        <v>0</v>
      </c>
      <c r="D3823" s="1063"/>
      <c r="F3823" s="1076"/>
      <c r="G3823" s="1063"/>
      <c r="H3823" s="1063"/>
      <c r="I3823" s="1063"/>
      <c r="J3823" s="1063"/>
      <c r="K3823" s="1063"/>
      <c r="L3823" s="1063"/>
      <c r="M3823" s="1063"/>
      <c r="N3823" s="1063"/>
      <c r="O3823" s="1063"/>
      <c r="P3823" s="1063"/>
      <c r="Q3823" s="1063"/>
      <c r="R3823" s="1063"/>
      <c r="S3823" s="1063"/>
      <c r="T3823" s="1063"/>
      <c r="U3823" s="1063"/>
      <c r="V3823" s="1063"/>
      <c r="W3823" s="1063"/>
      <c r="X3823" s="1063"/>
      <c r="Y3823" s="1063"/>
      <c r="Z3823" s="1063"/>
      <c r="AA3823" s="1063"/>
      <c r="AB3823" s="1063"/>
      <c r="AC3823" s="1063"/>
      <c r="AD3823" s="1063"/>
      <c r="AE3823" s="1063"/>
      <c r="AF3823" s="1063"/>
      <c r="AG3823" s="1063"/>
      <c r="AH3823" s="1063"/>
      <c r="AI3823" s="1063"/>
      <c r="AJ3823" s="1063"/>
      <c r="AK3823" s="1063"/>
      <c r="AL3823" s="1063"/>
      <c r="AM3823" s="1063"/>
      <c r="AN3823" s="1063"/>
      <c r="AO3823" s="1063"/>
      <c r="AP3823" s="1063"/>
      <c r="AQ3823" s="1063"/>
      <c r="AR3823" s="1063"/>
      <c r="AS3823" s="1063"/>
      <c r="AT3823" s="1063"/>
      <c r="AU3823" s="1063"/>
      <c r="AV3823" s="1063"/>
    </row>
    <row r="3824" spans="1:48" s="1108" customFormat="1" ht="27.75" customHeight="1">
      <c r="A3824" s="1076"/>
      <c r="B3824" s="1074">
        <f>+'[18]Bldg+Dev'!S4636</f>
        <v>0</v>
      </c>
      <c r="D3824" s="1063"/>
      <c r="F3824" s="1076"/>
      <c r="G3824" s="1063"/>
      <c r="H3824" s="1063"/>
      <c r="I3824" s="1063"/>
      <c r="J3824" s="1063"/>
      <c r="K3824" s="1063"/>
      <c r="L3824" s="1063"/>
      <c r="M3824" s="1063"/>
      <c r="N3824" s="1063"/>
      <c r="O3824" s="1063"/>
      <c r="P3824" s="1063"/>
      <c r="Q3824" s="1063"/>
      <c r="R3824" s="1063"/>
      <c r="S3824" s="1063"/>
      <c r="T3824" s="1063"/>
      <c r="U3824" s="1063"/>
      <c r="V3824" s="1063"/>
      <c r="W3824" s="1063"/>
      <c r="X3824" s="1063"/>
      <c r="Y3824" s="1063"/>
      <c r="Z3824" s="1063"/>
      <c r="AA3824" s="1063"/>
      <c r="AB3824" s="1063"/>
      <c r="AC3824" s="1063"/>
      <c r="AD3824" s="1063"/>
      <c r="AE3824" s="1063"/>
      <c r="AF3824" s="1063"/>
      <c r="AG3824" s="1063"/>
      <c r="AH3824" s="1063"/>
      <c r="AI3824" s="1063"/>
      <c r="AJ3824" s="1063"/>
      <c r="AK3824" s="1063"/>
      <c r="AL3824" s="1063"/>
      <c r="AM3824" s="1063"/>
      <c r="AN3824" s="1063"/>
      <c r="AO3824" s="1063"/>
      <c r="AP3824" s="1063"/>
      <c r="AQ3824" s="1063"/>
      <c r="AR3824" s="1063"/>
      <c r="AS3824" s="1063"/>
      <c r="AT3824" s="1063"/>
      <c r="AU3824" s="1063"/>
      <c r="AV3824" s="1063"/>
    </row>
    <row r="3825" spans="1:48" s="1108" customFormat="1" ht="27.75" customHeight="1">
      <c r="A3825" s="1076"/>
      <c r="B3825" s="1074">
        <f>+'[18]Bldg+Dev'!S4637</f>
        <v>0</v>
      </c>
      <c r="D3825" s="1063"/>
      <c r="F3825" s="1076"/>
      <c r="G3825" s="1063"/>
      <c r="H3825" s="1063"/>
      <c r="I3825" s="1063"/>
      <c r="J3825" s="1063"/>
      <c r="K3825" s="1063"/>
      <c r="L3825" s="1063"/>
      <c r="M3825" s="1063"/>
      <c r="N3825" s="1063"/>
      <c r="O3825" s="1063"/>
      <c r="P3825" s="1063"/>
      <c r="Q3825" s="1063"/>
      <c r="R3825" s="1063"/>
      <c r="S3825" s="1063"/>
      <c r="T3825" s="1063"/>
      <c r="U3825" s="1063"/>
      <c r="V3825" s="1063"/>
      <c r="W3825" s="1063"/>
      <c r="X3825" s="1063"/>
      <c r="Y3825" s="1063"/>
      <c r="Z3825" s="1063"/>
      <c r="AA3825" s="1063"/>
      <c r="AB3825" s="1063"/>
      <c r="AC3825" s="1063"/>
      <c r="AD3825" s="1063"/>
      <c r="AE3825" s="1063"/>
      <c r="AF3825" s="1063"/>
      <c r="AG3825" s="1063"/>
      <c r="AH3825" s="1063"/>
      <c r="AI3825" s="1063"/>
      <c r="AJ3825" s="1063"/>
      <c r="AK3825" s="1063"/>
      <c r="AL3825" s="1063"/>
      <c r="AM3825" s="1063"/>
      <c r="AN3825" s="1063"/>
      <c r="AO3825" s="1063"/>
      <c r="AP3825" s="1063"/>
      <c r="AQ3825" s="1063"/>
      <c r="AR3825" s="1063"/>
      <c r="AS3825" s="1063"/>
      <c r="AT3825" s="1063"/>
      <c r="AU3825" s="1063"/>
      <c r="AV3825" s="1063"/>
    </row>
    <row r="3826" spans="1:48" s="1108" customFormat="1" ht="27.75" customHeight="1">
      <c r="A3826" s="1076"/>
      <c r="B3826" s="1074">
        <f>+'[18]Bldg+Dev'!S4638</f>
        <v>0</v>
      </c>
      <c r="D3826" s="1063"/>
      <c r="F3826" s="1076"/>
      <c r="G3826" s="1063"/>
      <c r="H3826" s="1063"/>
      <c r="I3826" s="1063"/>
      <c r="J3826" s="1063"/>
      <c r="K3826" s="1063"/>
      <c r="L3826" s="1063"/>
      <c r="M3826" s="1063"/>
      <c r="N3826" s="1063"/>
      <c r="O3826" s="1063"/>
      <c r="P3826" s="1063"/>
      <c r="Q3826" s="1063"/>
      <c r="R3826" s="1063"/>
      <c r="S3826" s="1063"/>
      <c r="T3826" s="1063"/>
      <c r="U3826" s="1063"/>
      <c r="V3826" s="1063"/>
      <c r="W3826" s="1063"/>
      <c r="X3826" s="1063"/>
      <c r="Y3826" s="1063"/>
      <c r="Z3826" s="1063"/>
      <c r="AA3826" s="1063"/>
      <c r="AB3826" s="1063"/>
      <c r="AC3826" s="1063"/>
      <c r="AD3826" s="1063"/>
      <c r="AE3826" s="1063"/>
      <c r="AF3826" s="1063"/>
      <c r="AG3826" s="1063"/>
      <c r="AH3826" s="1063"/>
      <c r="AI3826" s="1063"/>
      <c r="AJ3826" s="1063"/>
      <c r="AK3826" s="1063"/>
      <c r="AL3826" s="1063"/>
      <c r="AM3826" s="1063"/>
      <c r="AN3826" s="1063"/>
      <c r="AO3826" s="1063"/>
      <c r="AP3826" s="1063"/>
      <c r="AQ3826" s="1063"/>
      <c r="AR3826" s="1063"/>
      <c r="AS3826" s="1063"/>
      <c r="AT3826" s="1063"/>
      <c r="AU3826" s="1063"/>
      <c r="AV3826" s="1063"/>
    </row>
    <row r="3827" spans="1:48" s="1108" customFormat="1" ht="27.75" customHeight="1">
      <c r="A3827" s="1076"/>
      <c r="B3827" s="1074">
        <f>+'[18]Bldg+Dev'!S4639</f>
        <v>0</v>
      </c>
      <c r="D3827" s="1063"/>
      <c r="F3827" s="1076"/>
      <c r="G3827" s="1063"/>
      <c r="H3827" s="1063"/>
      <c r="I3827" s="1063"/>
      <c r="J3827" s="1063"/>
      <c r="K3827" s="1063"/>
      <c r="L3827" s="1063"/>
      <c r="M3827" s="1063"/>
      <c r="N3827" s="1063"/>
      <c r="O3827" s="1063"/>
      <c r="P3827" s="1063"/>
      <c r="Q3827" s="1063"/>
      <c r="R3827" s="1063"/>
      <c r="S3827" s="1063"/>
      <c r="T3827" s="1063"/>
      <c r="U3827" s="1063"/>
      <c r="V3827" s="1063"/>
      <c r="W3827" s="1063"/>
      <c r="X3827" s="1063"/>
      <c r="Y3827" s="1063"/>
      <c r="Z3827" s="1063"/>
      <c r="AA3827" s="1063"/>
      <c r="AB3827" s="1063"/>
      <c r="AC3827" s="1063"/>
      <c r="AD3827" s="1063"/>
      <c r="AE3827" s="1063"/>
      <c r="AF3827" s="1063"/>
      <c r="AG3827" s="1063"/>
      <c r="AH3827" s="1063"/>
      <c r="AI3827" s="1063"/>
      <c r="AJ3827" s="1063"/>
      <c r="AK3827" s="1063"/>
      <c r="AL3827" s="1063"/>
      <c r="AM3827" s="1063"/>
      <c r="AN3827" s="1063"/>
      <c r="AO3827" s="1063"/>
      <c r="AP3827" s="1063"/>
      <c r="AQ3827" s="1063"/>
      <c r="AR3827" s="1063"/>
      <c r="AS3827" s="1063"/>
      <c r="AT3827" s="1063"/>
      <c r="AU3827" s="1063"/>
      <c r="AV3827" s="1063"/>
    </row>
    <row r="3828" spans="1:48" s="1108" customFormat="1" ht="27.75" customHeight="1">
      <c r="A3828" s="1076"/>
      <c r="B3828" s="1074">
        <f>+'[18]Bldg+Dev'!S4640</f>
        <v>0</v>
      </c>
      <c r="D3828" s="1063"/>
      <c r="F3828" s="1076"/>
      <c r="G3828" s="1063"/>
      <c r="H3828" s="1063"/>
      <c r="I3828" s="1063"/>
      <c r="J3828" s="1063"/>
      <c r="K3828" s="1063"/>
      <c r="L3828" s="1063"/>
      <c r="M3828" s="1063"/>
      <c r="N3828" s="1063"/>
      <c r="O3828" s="1063"/>
      <c r="P3828" s="1063"/>
      <c r="Q3828" s="1063"/>
      <c r="R3828" s="1063"/>
      <c r="S3828" s="1063"/>
      <c r="T3828" s="1063"/>
      <c r="U3828" s="1063"/>
      <c r="V3828" s="1063"/>
      <c r="W3828" s="1063"/>
      <c r="X3828" s="1063"/>
      <c r="Y3828" s="1063"/>
      <c r="Z3828" s="1063"/>
      <c r="AA3828" s="1063"/>
      <c r="AB3828" s="1063"/>
      <c r="AC3828" s="1063"/>
      <c r="AD3828" s="1063"/>
      <c r="AE3828" s="1063"/>
      <c r="AF3828" s="1063"/>
      <c r="AG3828" s="1063"/>
      <c r="AH3828" s="1063"/>
      <c r="AI3828" s="1063"/>
      <c r="AJ3828" s="1063"/>
      <c r="AK3828" s="1063"/>
      <c r="AL3828" s="1063"/>
      <c r="AM3828" s="1063"/>
      <c r="AN3828" s="1063"/>
      <c r="AO3828" s="1063"/>
      <c r="AP3828" s="1063"/>
      <c r="AQ3828" s="1063"/>
      <c r="AR3828" s="1063"/>
      <c r="AS3828" s="1063"/>
      <c r="AT3828" s="1063"/>
      <c r="AU3828" s="1063"/>
      <c r="AV3828" s="1063"/>
    </row>
    <row r="3829" spans="1:48" s="1108" customFormat="1" ht="27.75" customHeight="1">
      <c r="A3829" s="1076"/>
      <c r="B3829" s="1074">
        <f>+'[18]Bldg+Dev'!S4641</f>
        <v>0</v>
      </c>
      <c r="D3829" s="1063"/>
      <c r="F3829" s="1076"/>
      <c r="G3829" s="1063"/>
      <c r="H3829" s="1063"/>
      <c r="I3829" s="1063"/>
      <c r="J3829" s="1063"/>
      <c r="K3829" s="1063"/>
      <c r="L3829" s="1063"/>
      <c r="M3829" s="1063"/>
      <c r="N3829" s="1063"/>
      <c r="O3829" s="1063"/>
      <c r="P3829" s="1063"/>
      <c r="Q3829" s="1063"/>
      <c r="R3829" s="1063"/>
      <c r="S3829" s="1063"/>
      <c r="T3829" s="1063"/>
      <c r="U3829" s="1063"/>
      <c r="V3829" s="1063"/>
      <c r="W3829" s="1063"/>
      <c r="X3829" s="1063"/>
      <c r="Y3829" s="1063"/>
      <c r="Z3829" s="1063"/>
      <c r="AA3829" s="1063"/>
      <c r="AB3829" s="1063"/>
      <c r="AC3829" s="1063"/>
      <c r="AD3829" s="1063"/>
      <c r="AE3829" s="1063"/>
      <c r="AF3829" s="1063"/>
      <c r="AG3829" s="1063"/>
      <c r="AH3829" s="1063"/>
      <c r="AI3829" s="1063"/>
      <c r="AJ3829" s="1063"/>
      <c r="AK3829" s="1063"/>
      <c r="AL3829" s="1063"/>
      <c r="AM3829" s="1063"/>
      <c r="AN3829" s="1063"/>
      <c r="AO3829" s="1063"/>
      <c r="AP3829" s="1063"/>
      <c r="AQ3829" s="1063"/>
      <c r="AR3829" s="1063"/>
      <c r="AS3829" s="1063"/>
      <c r="AT3829" s="1063"/>
      <c r="AU3829" s="1063"/>
      <c r="AV3829" s="1063"/>
    </row>
    <row r="3830" spans="1:48" s="1108" customFormat="1" ht="27.75" customHeight="1">
      <c r="A3830" s="1076"/>
      <c r="B3830" s="1074">
        <f>+'[18]Bldg+Dev'!S4642</f>
        <v>0</v>
      </c>
      <c r="D3830" s="1063"/>
      <c r="F3830" s="1076"/>
      <c r="G3830" s="1063"/>
      <c r="H3830" s="1063"/>
      <c r="I3830" s="1063"/>
      <c r="J3830" s="1063"/>
      <c r="K3830" s="1063"/>
      <c r="L3830" s="1063"/>
      <c r="M3830" s="1063"/>
      <c r="N3830" s="1063"/>
      <c r="O3830" s="1063"/>
      <c r="P3830" s="1063"/>
      <c r="Q3830" s="1063"/>
      <c r="R3830" s="1063"/>
      <c r="S3830" s="1063"/>
      <c r="T3830" s="1063"/>
      <c r="U3830" s="1063"/>
      <c r="V3830" s="1063"/>
      <c r="W3830" s="1063"/>
      <c r="X3830" s="1063"/>
      <c r="Y3830" s="1063"/>
      <c r="Z3830" s="1063"/>
      <c r="AA3830" s="1063"/>
      <c r="AB3830" s="1063"/>
      <c r="AC3830" s="1063"/>
      <c r="AD3830" s="1063"/>
      <c r="AE3830" s="1063"/>
      <c r="AF3830" s="1063"/>
      <c r="AG3830" s="1063"/>
      <c r="AH3830" s="1063"/>
      <c r="AI3830" s="1063"/>
      <c r="AJ3830" s="1063"/>
      <c r="AK3830" s="1063"/>
      <c r="AL3830" s="1063"/>
      <c r="AM3830" s="1063"/>
      <c r="AN3830" s="1063"/>
      <c r="AO3830" s="1063"/>
      <c r="AP3830" s="1063"/>
      <c r="AQ3830" s="1063"/>
      <c r="AR3830" s="1063"/>
      <c r="AS3830" s="1063"/>
      <c r="AT3830" s="1063"/>
      <c r="AU3830" s="1063"/>
      <c r="AV3830" s="1063"/>
    </row>
    <row r="3831" spans="1:48" s="1108" customFormat="1" ht="27.75" customHeight="1">
      <c r="A3831" s="1076"/>
      <c r="B3831" s="1074">
        <f>+'[18]Bldg+Dev'!S4643</f>
        <v>0</v>
      </c>
      <c r="D3831" s="1063"/>
      <c r="F3831" s="1076"/>
      <c r="G3831" s="1063"/>
      <c r="H3831" s="1063"/>
      <c r="I3831" s="1063"/>
      <c r="J3831" s="1063"/>
      <c r="K3831" s="1063"/>
      <c r="L3831" s="1063"/>
      <c r="M3831" s="1063"/>
      <c r="N3831" s="1063"/>
      <c r="O3831" s="1063"/>
      <c r="P3831" s="1063"/>
      <c r="Q3831" s="1063"/>
      <c r="R3831" s="1063"/>
      <c r="S3831" s="1063"/>
      <c r="T3831" s="1063"/>
      <c r="U3831" s="1063"/>
      <c r="V3831" s="1063"/>
      <c r="W3831" s="1063"/>
      <c r="X3831" s="1063"/>
      <c r="Y3831" s="1063"/>
      <c r="Z3831" s="1063"/>
      <c r="AA3831" s="1063"/>
      <c r="AB3831" s="1063"/>
      <c r="AC3831" s="1063"/>
      <c r="AD3831" s="1063"/>
      <c r="AE3831" s="1063"/>
      <c r="AF3831" s="1063"/>
      <c r="AG3831" s="1063"/>
      <c r="AH3831" s="1063"/>
      <c r="AI3831" s="1063"/>
      <c r="AJ3831" s="1063"/>
      <c r="AK3831" s="1063"/>
      <c r="AL3831" s="1063"/>
      <c r="AM3831" s="1063"/>
      <c r="AN3831" s="1063"/>
      <c r="AO3831" s="1063"/>
      <c r="AP3831" s="1063"/>
      <c r="AQ3831" s="1063"/>
      <c r="AR3831" s="1063"/>
      <c r="AS3831" s="1063"/>
      <c r="AT3831" s="1063"/>
      <c r="AU3831" s="1063"/>
      <c r="AV3831" s="1063"/>
    </row>
    <row r="3832" spans="1:48" s="1108" customFormat="1" ht="27.75" customHeight="1">
      <c r="A3832" s="1076"/>
      <c r="B3832" s="1074">
        <f>+'[18]Bldg+Dev'!S4644</f>
        <v>0</v>
      </c>
      <c r="D3832" s="1063"/>
      <c r="F3832" s="1076"/>
      <c r="G3832" s="1063"/>
      <c r="H3832" s="1063"/>
      <c r="I3832" s="1063"/>
      <c r="J3832" s="1063"/>
      <c r="K3832" s="1063"/>
      <c r="L3832" s="1063"/>
      <c r="M3832" s="1063"/>
      <c r="N3832" s="1063"/>
      <c r="O3832" s="1063"/>
      <c r="P3832" s="1063"/>
      <c r="Q3832" s="1063"/>
      <c r="R3832" s="1063"/>
      <c r="S3832" s="1063"/>
      <c r="T3832" s="1063"/>
      <c r="U3832" s="1063"/>
      <c r="V3832" s="1063"/>
      <c r="W3832" s="1063"/>
      <c r="X3832" s="1063"/>
      <c r="Y3832" s="1063"/>
      <c r="Z3832" s="1063"/>
      <c r="AA3832" s="1063"/>
      <c r="AB3832" s="1063"/>
      <c r="AC3832" s="1063"/>
      <c r="AD3832" s="1063"/>
      <c r="AE3832" s="1063"/>
      <c r="AF3832" s="1063"/>
      <c r="AG3832" s="1063"/>
      <c r="AH3832" s="1063"/>
      <c r="AI3832" s="1063"/>
      <c r="AJ3832" s="1063"/>
      <c r="AK3832" s="1063"/>
      <c r="AL3832" s="1063"/>
      <c r="AM3832" s="1063"/>
      <c r="AN3832" s="1063"/>
      <c r="AO3832" s="1063"/>
      <c r="AP3832" s="1063"/>
      <c r="AQ3832" s="1063"/>
      <c r="AR3832" s="1063"/>
      <c r="AS3832" s="1063"/>
      <c r="AT3832" s="1063"/>
      <c r="AU3832" s="1063"/>
      <c r="AV3832" s="1063"/>
    </row>
    <row r="3833" spans="1:48" s="1108" customFormat="1" ht="27.75" customHeight="1">
      <c r="A3833" s="1076"/>
      <c r="B3833" s="1074">
        <f>+'[18]Bldg+Dev'!S4645</f>
        <v>0</v>
      </c>
      <c r="D3833" s="1063"/>
      <c r="F3833" s="1076"/>
      <c r="G3833" s="1063"/>
      <c r="H3833" s="1063"/>
      <c r="I3833" s="1063"/>
      <c r="J3833" s="1063"/>
      <c r="K3833" s="1063"/>
      <c r="L3833" s="1063"/>
      <c r="M3833" s="1063"/>
      <c r="N3833" s="1063"/>
      <c r="O3833" s="1063"/>
      <c r="P3833" s="1063"/>
      <c r="Q3833" s="1063"/>
      <c r="R3833" s="1063"/>
      <c r="S3833" s="1063"/>
      <c r="T3833" s="1063"/>
      <c r="U3833" s="1063"/>
      <c r="V3833" s="1063"/>
      <c r="W3833" s="1063"/>
      <c r="X3833" s="1063"/>
      <c r="Y3833" s="1063"/>
      <c r="Z3833" s="1063"/>
      <c r="AA3833" s="1063"/>
      <c r="AB3833" s="1063"/>
      <c r="AC3833" s="1063"/>
      <c r="AD3833" s="1063"/>
      <c r="AE3833" s="1063"/>
      <c r="AF3833" s="1063"/>
      <c r="AG3833" s="1063"/>
      <c r="AH3833" s="1063"/>
      <c r="AI3833" s="1063"/>
      <c r="AJ3833" s="1063"/>
      <c r="AK3833" s="1063"/>
      <c r="AL3833" s="1063"/>
      <c r="AM3833" s="1063"/>
      <c r="AN3833" s="1063"/>
      <c r="AO3833" s="1063"/>
      <c r="AP3833" s="1063"/>
      <c r="AQ3833" s="1063"/>
      <c r="AR3833" s="1063"/>
      <c r="AS3833" s="1063"/>
      <c r="AT3833" s="1063"/>
      <c r="AU3833" s="1063"/>
      <c r="AV3833" s="1063"/>
    </row>
    <row r="3834" spans="1:48" s="1108" customFormat="1" ht="27.75" customHeight="1">
      <c r="A3834" s="1076"/>
      <c r="B3834" s="1074">
        <f>+'[18]Bldg+Dev'!S4646</f>
        <v>0</v>
      </c>
      <c r="D3834" s="1063"/>
      <c r="F3834" s="1076"/>
      <c r="G3834" s="1063"/>
      <c r="H3834" s="1063"/>
      <c r="I3834" s="1063"/>
      <c r="J3834" s="1063"/>
      <c r="K3834" s="1063"/>
      <c r="L3834" s="1063"/>
      <c r="M3834" s="1063"/>
      <c r="N3834" s="1063"/>
      <c r="O3834" s="1063"/>
      <c r="P3834" s="1063"/>
      <c r="Q3834" s="1063"/>
      <c r="R3834" s="1063"/>
      <c r="S3834" s="1063"/>
      <c r="T3834" s="1063"/>
      <c r="U3834" s="1063"/>
      <c r="V3834" s="1063"/>
      <c r="W3834" s="1063"/>
      <c r="X3834" s="1063"/>
      <c r="Y3834" s="1063"/>
      <c r="Z3834" s="1063"/>
      <c r="AA3834" s="1063"/>
      <c r="AB3834" s="1063"/>
      <c r="AC3834" s="1063"/>
      <c r="AD3834" s="1063"/>
      <c r="AE3834" s="1063"/>
      <c r="AF3834" s="1063"/>
      <c r="AG3834" s="1063"/>
      <c r="AH3834" s="1063"/>
      <c r="AI3834" s="1063"/>
      <c r="AJ3834" s="1063"/>
      <c r="AK3834" s="1063"/>
      <c r="AL3834" s="1063"/>
      <c r="AM3834" s="1063"/>
      <c r="AN3834" s="1063"/>
      <c r="AO3834" s="1063"/>
      <c r="AP3834" s="1063"/>
      <c r="AQ3834" s="1063"/>
      <c r="AR3834" s="1063"/>
      <c r="AS3834" s="1063"/>
      <c r="AT3834" s="1063"/>
      <c r="AU3834" s="1063"/>
      <c r="AV3834" s="1063"/>
    </row>
    <row r="3835" spans="1:48" s="1108" customFormat="1" ht="27.75" customHeight="1">
      <c r="A3835" s="1076"/>
      <c r="B3835" s="1074">
        <f>+'[18]Bldg+Dev'!S4647</f>
        <v>0</v>
      </c>
      <c r="D3835" s="1063"/>
      <c r="F3835" s="1076"/>
      <c r="G3835" s="1063"/>
      <c r="H3835" s="1063"/>
      <c r="I3835" s="1063"/>
      <c r="J3835" s="1063"/>
      <c r="K3835" s="1063"/>
      <c r="L3835" s="1063"/>
      <c r="M3835" s="1063"/>
      <c r="N3835" s="1063"/>
      <c r="O3835" s="1063"/>
      <c r="P3835" s="1063"/>
      <c r="Q3835" s="1063"/>
      <c r="R3835" s="1063"/>
      <c r="S3835" s="1063"/>
      <c r="T3835" s="1063"/>
      <c r="U3835" s="1063"/>
      <c r="V3835" s="1063"/>
      <c r="W3835" s="1063"/>
      <c r="X3835" s="1063"/>
      <c r="Y3835" s="1063"/>
      <c r="Z3835" s="1063"/>
      <c r="AA3835" s="1063"/>
      <c r="AB3835" s="1063"/>
      <c r="AC3835" s="1063"/>
      <c r="AD3835" s="1063"/>
      <c r="AE3835" s="1063"/>
      <c r="AF3835" s="1063"/>
      <c r="AG3835" s="1063"/>
      <c r="AH3835" s="1063"/>
      <c r="AI3835" s="1063"/>
      <c r="AJ3835" s="1063"/>
      <c r="AK3835" s="1063"/>
      <c r="AL3835" s="1063"/>
      <c r="AM3835" s="1063"/>
      <c r="AN3835" s="1063"/>
      <c r="AO3835" s="1063"/>
      <c r="AP3835" s="1063"/>
      <c r="AQ3835" s="1063"/>
      <c r="AR3835" s="1063"/>
      <c r="AS3835" s="1063"/>
      <c r="AT3835" s="1063"/>
      <c r="AU3835" s="1063"/>
      <c r="AV3835" s="1063"/>
    </row>
    <row r="3836" spans="1:48" s="1108" customFormat="1" ht="27.75" customHeight="1">
      <c r="A3836" s="1076"/>
      <c r="B3836" s="1074">
        <f>+'[18]Bldg+Dev'!S4648</f>
        <v>0</v>
      </c>
      <c r="D3836" s="1063"/>
      <c r="F3836" s="1076"/>
      <c r="G3836" s="1063"/>
      <c r="H3836" s="1063"/>
      <c r="I3836" s="1063"/>
      <c r="J3836" s="1063"/>
      <c r="K3836" s="1063"/>
      <c r="L3836" s="1063"/>
      <c r="M3836" s="1063"/>
      <c r="N3836" s="1063"/>
      <c r="O3836" s="1063"/>
      <c r="P3836" s="1063"/>
      <c r="Q3836" s="1063"/>
      <c r="R3836" s="1063"/>
      <c r="S3836" s="1063"/>
      <c r="T3836" s="1063"/>
      <c r="U3836" s="1063"/>
      <c r="V3836" s="1063"/>
      <c r="W3836" s="1063"/>
      <c r="X3836" s="1063"/>
      <c r="Y3836" s="1063"/>
      <c r="Z3836" s="1063"/>
      <c r="AA3836" s="1063"/>
      <c r="AB3836" s="1063"/>
      <c r="AC3836" s="1063"/>
      <c r="AD3836" s="1063"/>
      <c r="AE3836" s="1063"/>
      <c r="AF3836" s="1063"/>
      <c r="AG3836" s="1063"/>
      <c r="AH3836" s="1063"/>
      <c r="AI3836" s="1063"/>
      <c r="AJ3836" s="1063"/>
      <c r="AK3836" s="1063"/>
      <c r="AL3836" s="1063"/>
      <c r="AM3836" s="1063"/>
      <c r="AN3836" s="1063"/>
      <c r="AO3836" s="1063"/>
      <c r="AP3836" s="1063"/>
      <c r="AQ3836" s="1063"/>
      <c r="AR3836" s="1063"/>
      <c r="AS3836" s="1063"/>
      <c r="AT3836" s="1063"/>
      <c r="AU3836" s="1063"/>
      <c r="AV3836" s="1063"/>
    </row>
    <row r="3837" spans="1:48" s="1108" customFormat="1" ht="27.75" customHeight="1">
      <c r="A3837" s="1076"/>
      <c r="B3837" s="1074">
        <f>+'[18]Bldg+Dev'!S4649</f>
        <v>0</v>
      </c>
      <c r="D3837" s="1063"/>
      <c r="F3837" s="1076"/>
      <c r="G3837" s="1063"/>
      <c r="H3837" s="1063"/>
      <c r="I3837" s="1063"/>
      <c r="J3837" s="1063"/>
      <c r="K3837" s="1063"/>
      <c r="L3837" s="1063"/>
      <c r="M3837" s="1063"/>
      <c r="N3837" s="1063"/>
      <c r="O3837" s="1063"/>
      <c r="P3837" s="1063"/>
      <c r="Q3837" s="1063"/>
      <c r="R3837" s="1063"/>
      <c r="S3837" s="1063"/>
      <c r="T3837" s="1063"/>
      <c r="U3837" s="1063"/>
      <c r="V3837" s="1063"/>
      <c r="W3837" s="1063"/>
      <c r="X3837" s="1063"/>
      <c r="Y3837" s="1063"/>
      <c r="Z3837" s="1063"/>
      <c r="AA3837" s="1063"/>
      <c r="AB3837" s="1063"/>
      <c r="AC3837" s="1063"/>
      <c r="AD3837" s="1063"/>
      <c r="AE3837" s="1063"/>
      <c r="AF3837" s="1063"/>
      <c r="AG3837" s="1063"/>
      <c r="AH3837" s="1063"/>
      <c r="AI3837" s="1063"/>
      <c r="AJ3837" s="1063"/>
      <c r="AK3837" s="1063"/>
      <c r="AL3837" s="1063"/>
      <c r="AM3837" s="1063"/>
      <c r="AN3837" s="1063"/>
      <c r="AO3837" s="1063"/>
      <c r="AP3837" s="1063"/>
      <c r="AQ3837" s="1063"/>
      <c r="AR3837" s="1063"/>
      <c r="AS3837" s="1063"/>
      <c r="AT3837" s="1063"/>
      <c r="AU3837" s="1063"/>
      <c r="AV3837" s="1063"/>
    </row>
    <row r="3838" spans="1:48" s="1108" customFormat="1" ht="27.75" customHeight="1">
      <c r="A3838" s="1076"/>
      <c r="B3838" s="1074">
        <f>+'[18]Bldg+Dev'!S4650</f>
        <v>0</v>
      </c>
      <c r="D3838" s="1063"/>
      <c r="F3838" s="1076"/>
      <c r="G3838" s="1063"/>
      <c r="H3838" s="1063"/>
      <c r="I3838" s="1063"/>
      <c r="J3838" s="1063"/>
      <c r="K3838" s="1063"/>
      <c r="L3838" s="1063"/>
      <c r="M3838" s="1063"/>
      <c r="N3838" s="1063"/>
      <c r="O3838" s="1063"/>
      <c r="P3838" s="1063"/>
      <c r="Q3838" s="1063"/>
      <c r="R3838" s="1063"/>
      <c r="S3838" s="1063"/>
      <c r="T3838" s="1063"/>
      <c r="U3838" s="1063"/>
      <c r="V3838" s="1063"/>
      <c r="W3838" s="1063"/>
      <c r="X3838" s="1063"/>
      <c r="Y3838" s="1063"/>
      <c r="Z3838" s="1063"/>
      <c r="AA3838" s="1063"/>
      <c r="AB3838" s="1063"/>
      <c r="AC3838" s="1063"/>
      <c r="AD3838" s="1063"/>
      <c r="AE3838" s="1063"/>
      <c r="AF3838" s="1063"/>
      <c r="AG3838" s="1063"/>
      <c r="AH3838" s="1063"/>
      <c r="AI3838" s="1063"/>
      <c r="AJ3838" s="1063"/>
      <c r="AK3838" s="1063"/>
      <c r="AL3838" s="1063"/>
      <c r="AM3838" s="1063"/>
      <c r="AN3838" s="1063"/>
      <c r="AO3838" s="1063"/>
      <c r="AP3838" s="1063"/>
      <c r="AQ3838" s="1063"/>
      <c r="AR3838" s="1063"/>
      <c r="AS3838" s="1063"/>
      <c r="AT3838" s="1063"/>
      <c r="AU3838" s="1063"/>
      <c r="AV3838" s="1063"/>
    </row>
    <row r="3839" spans="1:48" s="1108" customFormat="1" ht="27.75" customHeight="1">
      <c r="A3839" s="1076"/>
      <c r="B3839" s="1074">
        <f>+'[18]Bldg+Dev'!S4651</f>
        <v>0</v>
      </c>
      <c r="D3839" s="1063"/>
      <c r="F3839" s="1076"/>
      <c r="G3839" s="1063"/>
      <c r="H3839" s="1063"/>
      <c r="I3839" s="1063"/>
      <c r="J3839" s="1063"/>
      <c r="K3839" s="1063"/>
      <c r="L3839" s="1063"/>
      <c r="M3839" s="1063"/>
      <c r="N3839" s="1063"/>
      <c r="O3839" s="1063"/>
      <c r="P3839" s="1063"/>
      <c r="Q3839" s="1063"/>
      <c r="R3839" s="1063"/>
      <c r="S3839" s="1063"/>
      <c r="T3839" s="1063"/>
      <c r="U3839" s="1063"/>
      <c r="V3839" s="1063"/>
      <c r="W3839" s="1063"/>
      <c r="X3839" s="1063"/>
      <c r="Y3839" s="1063"/>
      <c r="Z3839" s="1063"/>
      <c r="AA3839" s="1063"/>
      <c r="AB3839" s="1063"/>
      <c r="AC3839" s="1063"/>
      <c r="AD3839" s="1063"/>
      <c r="AE3839" s="1063"/>
      <c r="AF3839" s="1063"/>
      <c r="AG3839" s="1063"/>
      <c r="AH3839" s="1063"/>
      <c r="AI3839" s="1063"/>
      <c r="AJ3839" s="1063"/>
      <c r="AK3839" s="1063"/>
      <c r="AL3839" s="1063"/>
      <c r="AM3839" s="1063"/>
      <c r="AN3839" s="1063"/>
      <c r="AO3839" s="1063"/>
      <c r="AP3839" s="1063"/>
      <c r="AQ3839" s="1063"/>
      <c r="AR3839" s="1063"/>
      <c r="AS3839" s="1063"/>
      <c r="AT3839" s="1063"/>
      <c r="AU3839" s="1063"/>
      <c r="AV3839" s="1063"/>
    </row>
    <row r="3840" spans="1:48" s="1108" customFormat="1" ht="27.75" customHeight="1">
      <c r="A3840" s="1076"/>
      <c r="B3840" s="1074">
        <f>+'[18]Bldg+Dev'!S4652</f>
        <v>0</v>
      </c>
      <c r="D3840" s="1063"/>
      <c r="F3840" s="1076"/>
      <c r="G3840" s="1063"/>
      <c r="H3840" s="1063"/>
      <c r="I3840" s="1063"/>
      <c r="J3840" s="1063"/>
      <c r="K3840" s="1063"/>
      <c r="L3840" s="1063"/>
      <c r="M3840" s="1063"/>
      <c r="N3840" s="1063"/>
      <c r="O3840" s="1063"/>
      <c r="P3840" s="1063"/>
      <c r="Q3840" s="1063"/>
      <c r="R3840" s="1063"/>
      <c r="S3840" s="1063"/>
      <c r="T3840" s="1063"/>
      <c r="U3840" s="1063"/>
      <c r="V3840" s="1063"/>
      <c r="W3840" s="1063"/>
      <c r="X3840" s="1063"/>
      <c r="Y3840" s="1063"/>
      <c r="Z3840" s="1063"/>
      <c r="AA3840" s="1063"/>
      <c r="AB3840" s="1063"/>
      <c r="AC3840" s="1063"/>
      <c r="AD3840" s="1063"/>
      <c r="AE3840" s="1063"/>
      <c r="AF3840" s="1063"/>
      <c r="AG3840" s="1063"/>
      <c r="AH3840" s="1063"/>
      <c r="AI3840" s="1063"/>
      <c r="AJ3840" s="1063"/>
      <c r="AK3840" s="1063"/>
      <c r="AL3840" s="1063"/>
      <c r="AM3840" s="1063"/>
      <c r="AN3840" s="1063"/>
      <c r="AO3840" s="1063"/>
      <c r="AP3840" s="1063"/>
      <c r="AQ3840" s="1063"/>
      <c r="AR3840" s="1063"/>
      <c r="AS3840" s="1063"/>
      <c r="AT3840" s="1063"/>
      <c r="AU3840" s="1063"/>
      <c r="AV3840" s="1063"/>
    </row>
    <row r="3841" spans="1:48" s="1108" customFormat="1" ht="27.75" customHeight="1">
      <c r="A3841" s="1076"/>
      <c r="B3841" s="1074">
        <f>+'[18]Bldg+Dev'!S4653</f>
        <v>0</v>
      </c>
      <c r="D3841" s="1063"/>
      <c r="F3841" s="1076"/>
      <c r="G3841" s="1063"/>
      <c r="H3841" s="1063"/>
      <c r="I3841" s="1063"/>
      <c r="J3841" s="1063"/>
      <c r="K3841" s="1063"/>
      <c r="L3841" s="1063"/>
      <c r="M3841" s="1063"/>
      <c r="N3841" s="1063"/>
      <c r="O3841" s="1063"/>
      <c r="P3841" s="1063"/>
      <c r="Q3841" s="1063"/>
      <c r="R3841" s="1063"/>
      <c r="S3841" s="1063"/>
      <c r="T3841" s="1063"/>
      <c r="U3841" s="1063"/>
      <c r="V3841" s="1063"/>
      <c r="W3841" s="1063"/>
      <c r="X3841" s="1063"/>
      <c r="Y3841" s="1063"/>
      <c r="Z3841" s="1063"/>
      <c r="AA3841" s="1063"/>
      <c r="AB3841" s="1063"/>
      <c r="AC3841" s="1063"/>
      <c r="AD3841" s="1063"/>
      <c r="AE3841" s="1063"/>
      <c r="AF3841" s="1063"/>
      <c r="AG3841" s="1063"/>
      <c r="AH3841" s="1063"/>
      <c r="AI3841" s="1063"/>
      <c r="AJ3841" s="1063"/>
      <c r="AK3841" s="1063"/>
      <c r="AL3841" s="1063"/>
      <c r="AM3841" s="1063"/>
      <c r="AN3841" s="1063"/>
      <c r="AO3841" s="1063"/>
      <c r="AP3841" s="1063"/>
      <c r="AQ3841" s="1063"/>
      <c r="AR3841" s="1063"/>
      <c r="AS3841" s="1063"/>
      <c r="AT3841" s="1063"/>
      <c r="AU3841" s="1063"/>
      <c r="AV3841" s="1063"/>
    </row>
    <row r="3842" spans="1:48" s="1108" customFormat="1" ht="27.75" customHeight="1">
      <c r="A3842" s="1076"/>
      <c r="B3842" s="1074">
        <f>+'[18]Bldg+Dev'!S4654</f>
        <v>0</v>
      </c>
      <c r="D3842" s="1063"/>
      <c r="F3842" s="1076"/>
      <c r="G3842" s="1063"/>
      <c r="H3842" s="1063"/>
      <c r="I3842" s="1063"/>
      <c r="J3842" s="1063"/>
      <c r="K3842" s="1063"/>
      <c r="L3842" s="1063"/>
      <c r="M3842" s="1063"/>
      <c r="N3842" s="1063"/>
      <c r="O3842" s="1063"/>
      <c r="P3842" s="1063"/>
      <c r="Q3842" s="1063"/>
      <c r="R3842" s="1063"/>
      <c r="S3842" s="1063"/>
      <c r="T3842" s="1063"/>
      <c r="U3842" s="1063"/>
      <c r="V3842" s="1063"/>
      <c r="W3842" s="1063"/>
      <c r="X3842" s="1063"/>
      <c r="Y3842" s="1063"/>
      <c r="Z3842" s="1063"/>
      <c r="AA3842" s="1063"/>
      <c r="AB3842" s="1063"/>
      <c r="AC3842" s="1063"/>
      <c r="AD3842" s="1063"/>
      <c r="AE3842" s="1063"/>
      <c r="AF3842" s="1063"/>
      <c r="AG3842" s="1063"/>
      <c r="AH3842" s="1063"/>
      <c r="AI3842" s="1063"/>
      <c r="AJ3842" s="1063"/>
      <c r="AK3842" s="1063"/>
      <c r="AL3842" s="1063"/>
      <c r="AM3842" s="1063"/>
      <c r="AN3842" s="1063"/>
      <c r="AO3842" s="1063"/>
      <c r="AP3842" s="1063"/>
      <c r="AQ3842" s="1063"/>
      <c r="AR3842" s="1063"/>
      <c r="AS3842" s="1063"/>
      <c r="AT3842" s="1063"/>
      <c r="AU3842" s="1063"/>
      <c r="AV3842" s="1063"/>
    </row>
    <row r="3843" spans="1:48" s="1108" customFormat="1" ht="27.75" customHeight="1">
      <c r="A3843" s="1076"/>
      <c r="B3843" s="1074">
        <f>+'[18]Bldg+Dev'!S4655</f>
        <v>0</v>
      </c>
      <c r="D3843" s="1063"/>
      <c r="F3843" s="1076"/>
      <c r="G3843" s="1063"/>
      <c r="H3843" s="1063"/>
      <c r="I3843" s="1063"/>
      <c r="J3843" s="1063"/>
      <c r="K3843" s="1063"/>
      <c r="L3843" s="1063"/>
      <c r="M3843" s="1063"/>
      <c r="N3843" s="1063"/>
      <c r="O3843" s="1063"/>
      <c r="P3843" s="1063"/>
      <c r="Q3843" s="1063"/>
      <c r="R3843" s="1063"/>
      <c r="S3843" s="1063"/>
      <c r="T3843" s="1063"/>
      <c r="U3843" s="1063"/>
      <c r="V3843" s="1063"/>
      <c r="W3843" s="1063"/>
      <c r="X3843" s="1063"/>
      <c r="Y3843" s="1063"/>
      <c r="Z3843" s="1063"/>
      <c r="AA3843" s="1063"/>
      <c r="AB3843" s="1063"/>
      <c r="AC3843" s="1063"/>
      <c r="AD3843" s="1063"/>
      <c r="AE3843" s="1063"/>
      <c r="AF3843" s="1063"/>
      <c r="AG3843" s="1063"/>
      <c r="AH3843" s="1063"/>
      <c r="AI3843" s="1063"/>
      <c r="AJ3843" s="1063"/>
      <c r="AK3843" s="1063"/>
      <c r="AL3843" s="1063"/>
      <c r="AM3843" s="1063"/>
      <c r="AN3843" s="1063"/>
      <c r="AO3843" s="1063"/>
      <c r="AP3843" s="1063"/>
      <c r="AQ3843" s="1063"/>
      <c r="AR3843" s="1063"/>
      <c r="AS3843" s="1063"/>
      <c r="AT3843" s="1063"/>
      <c r="AU3843" s="1063"/>
      <c r="AV3843" s="1063"/>
    </row>
    <row r="3844" spans="1:48" s="1108" customFormat="1" ht="27.75" customHeight="1">
      <c r="A3844" s="1076"/>
      <c r="B3844" s="1074">
        <f>+'[18]Bldg+Dev'!S4656</f>
        <v>0</v>
      </c>
      <c r="D3844" s="1063"/>
      <c r="F3844" s="1076"/>
      <c r="G3844" s="1063"/>
      <c r="H3844" s="1063"/>
      <c r="I3844" s="1063"/>
      <c r="J3844" s="1063"/>
      <c r="K3844" s="1063"/>
      <c r="L3844" s="1063"/>
      <c r="M3844" s="1063"/>
      <c r="N3844" s="1063"/>
      <c r="O3844" s="1063"/>
      <c r="P3844" s="1063"/>
      <c r="Q3844" s="1063"/>
      <c r="R3844" s="1063"/>
      <c r="S3844" s="1063"/>
      <c r="T3844" s="1063"/>
      <c r="U3844" s="1063"/>
      <c r="V3844" s="1063"/>
      <c r="W3844" s="1063"/>
      <c r="X3844" s="1063"/>
      <c r="Y3844" s="1063"/>
      <c r="Z3844" s="1063"/>
      <c r="AA3844" s="1063"/>
      <c r="AB3844" s="1063"/>
      <c r="AC3844" s="1063"/>
      <c r="AD3844" s="1063"/>
      <c r="AE3844" s="1063"/>
      <c r="AF3844" s="1063"/>
      <c r="AG3844" s="1063"/>
      <c r="AH3844" s="1063"/>
      <c r="AI3844" s="1063"/>
      <c r="AJ3844" s="1063"/>
      <c r="AK3844" s="1063"/>
      <c r="AL3844" s="1063"/>
      <c r="AM3844" s="1063"/>
      <c r="AN3844" s="1063"/>
      <c r="AO3844" s="1063"/>
      <c r="AP3844" s="1063"/>
      <c r="AQ3844" s="1063"/>
      <c r="AR3844" s="1063"/>
      <c r="AS3844" s="1063"/>
      <c r="AT3844" s="1063"/>
      <c r="AU3844" s="1063"/>
      <c r="AV3844" s="1063"/>
    </row>
    <row r="3845" spans="1:48" s="1108" customFormat="1" ht="27.75" customHeight="1">
      <c r="A3845" s="1076"/>
      <c r="B3845" s="1074">
        <f>+'[18]Bldg+Dev'!S4657</f>
        <v>0</v>
      </c>
      <c r="D3845" s="1063"/>
      <c r="F3845" s="1076"/>
      <c r="G3845" s="1063"/>
      <c r="H3845" s="1063"/>
      <c r="I3845" s="1063"/>
      <c r="J3845" s="1063"/>
      <c r="K3845" s="1063"/>
      <c r="L3845" s="1063"/>
      <c r="M3845" s="1063"/>
      <c r="N3845" s="1063"/>
      <c r="O3845" s="1063"/>
      <c r="P3845" s="1063"/>
      <c r="Q3845" s="1063"/>
      <c r="R3845" s="1063"/>
      <c r="S3845" s="1063"/>
      <c r="T3845" s="1063"/>
      <c r="U3845" s="1063"/>
      <c r="V3845" s="1063"/>
      <c r="W3845" s="1063"/>
      <c r="X3845" s="1063"/>
      <c r="Y3845" s="1063"/>
      <c r="Z3845" s="1063"/>
      <c r="AA3845" s="1063"/>
      <c r="AB3845" s="1063"/>
      <c r="AC3845" s="1063"/>
      <c r="AD3845" s="1063"/>
      <c r="AE3845" s="1063"/>
      <c r="AF3845" s="1063"/>
      <c r="AG3845" s="1063"/>
      <c r="AH3845" s="1063"/>
      <c r="AI3845" s="1063"/>
      <c r="AJ3845" s="1063"/>
      <c r="AK3845" s="1063"/>
      <c r="AL3845" s="1063"/>
      <c r="AM3845" s="1063"/>
      <c r="AN3845" s="1063"/>
      <c r="AO3845" s="1063"/>
      <c r="AP3845" s="1063"/>
      <c r="AQ3845" s="1063"/>
      <c r="AR3845" s="1063"/>
      <c r="AS3845" s="1063"/>
      <c r="AT3845" s="1063"/>
      <c r="AU3845" s="1063"/>
      <c r="AV3845" s="1063"/>
    </row>
    <row r="3846" spans="1:48" s="1108" customFormat="1" ht="27.75" customHeight="1">
      <c r="A3846" s="1076"/>
      <c r="B3846" s="1074">
        <f>+'[18]Bldg+Dev'!S4658</f>
        <v>0</v>
      </c>
      <c r="D3846" s="1063"/>
      <c r="F3846" s="1076"/>
      <c r="G3846" s="1063"/>
      <c r="H3846" s="1063"/>
      <c r="I3846" s="1063"/>
      <c r="J3846" s="1063"/>
      <c r="K3846" s="1063"/>
      <c r="L3846" s="1063"/>
      <c r="M3846" s="1063"/>
      <c r="N3846" s="1063"/>
      <c r="O3846" s="1063"/>
      <c r="P3846" s="1063"/>
      <c r="Q3846" s="1063"/>
      <c r="R3846" s="1063"/>
      <c r="S3846" s="1063"/>
      <c r="T3846" s="1063"/>
      <c r="U3846" s="1063"/>
      <c r="V3846" s="1063"/>
      <c r="W3846" s="1063"/>
      <c r="X3846" s="1063"/>
      <c r="Y3846" s="1063"/>
      <c r="Z3846" s="1063"/>
      <c r="AA3846" s="1063"/>
      <c r="AB3846" s="1063"/>
      <c r="AC3846" s="1063"/>
      <c r="AD3846" s="1063"/>
      <c r="AE3846" s="1063"/>
      <c r="AF3846" s="1063"/>
      <c r="AG3846" s="1063"/>
      <c r="AH3846" s="1063"/>
      <c r="AI3846" s="1063"/>
      <c r="AJ3846" s="1063"/>
      <c r="AK3846" s="1063"/>
      <c r="AL3846" s="1063"/>
      <c r="AM3846" s="1063"/>
      <c r="AN3846" s="1063"/>
      <c r="AO3846" s="1063"/>
      <c r="AP3846" s="1063"/>
      <c r="AQ3846" s="1063"/>
      <c r="AR3846" s="1063"/>
      <c r="AS3846" s="1063"/>
      <c r="AT3846" s="1063"/>
      <c r="AU3846" s="1063"/>
      <c r="AV3846" s="1063"/>
    </row>
    <row r="3847" spans="1:48" s="1108" customFormat="1" ht="27.75" customHeight="1">
      <c r="A3847" s="1076"/>
      <c r="B3847" s="1074">
        <f>+'[18]Bldg+Dev'!S4659</f>
        <v>0</v>
      </c>
      <c r="D3847" s="1063"/>
      <c r="F3847" s="1076"/>
      <c r="G3847" s="1063"/>
      <c r="H3847" s="1063"/>
      <c r="I3847" s="1063"/>
      <c r="J3847" s="1063"/>
      <c r="K3847" s="1063"/>
      <c r="L3847" s="1063"/>
      <c r="M3847" s="1063"/>
      <c r="N3847" s="1063"/>
      <c r="O3847" s="1063"/>
      <c r="P3847" s="1063"/>
      <c r="Q3847" s="1063"/>
      <c r="R3847" s="1063"/>
      <c r="S3847" s="1063"/>
      <c r="T3847" s="1063"/>
      <c r="U3847" s="1063"/>
      <c r="V3847" s="1063"/>
      <c r="W3847" s="1063"/>
      <c r="X3847" s="1063"/>
      <c r="Y3847" s="1063"/>
      <c r="Z3847" s="1063"/>
      <c r="AA3847" s="1063"/>
      <c r="AB3847" s="1063"/>
      <c r="AC3847" s="1063"/>
      <c r="AD3847" s="1063"/>
      <c r="AE3847" s="1063"/>
      <c r="AF3847" s="1063"/>
      <c r="AG3847" s="1063"/>
      <c r="AH3847" s="1063"/>
      <c r="AI3847" s="1063"/>
      <c r="AJ3847" s="1063"/>
      <c r="AK3847" s="1063"/>
      <c r="AL3847" s="1063"/>
      <c r="AM3847" s="1063"/>
      <c r="AN3847" s="1063"/>
      <c r="AO3847" s="1063"/>
      <c r="AP3847" s="1063"/>
      <c r="AQ3847" s="1063"/>
      <c r="AR3847" s="1063"/>
      <c r="AS3847" s="1063"/>
      <c r="AT3847" s="1063"/>
      <c r="AU3847" s="1063"/>
      <c r="AV3847" s="1063"/>
    </row>
    <row r="3848" spans="1:48" s="1108" customFormat="1" ht="27.75" customHeight="1">
      <c r="A3848" s="1076"/>
      <c r="B3848" s="1074">
        <f>+'[18]Bldg+Dev'!S4660</f>
        <v>0</v>
      </c>
      <c r="D3848" s="1063"/>
      <c r="F3848" s="1076"/>
      <c r="G3848" s="1063"/>
      <c r="H3848" s="1063"/>
      <c r="I3848" s="1063"/>
      <c r="J3848" s="1063"/>
      <c r="K3848" s="1063"/>
      <c r="L3848" s="1063"/>
      <c r="M3848" s="1063"/>
      <c r="N3848" s="1063"/>
      <c r="O3848" s="1063"/>
      <c r="P3848" s="1063"/>
      <c r="Q3848" s="1063"/>
      <c r="R3848" s="1063"/>
      <c r="S3848" s="1063"/>
      <c r="T3848" s="1063"/>
      <c r="U3848" s="1063"/>
      <c r="V3848" s="1063"/>
      <c r="W3848" s="1063"/>
      <c r="X3848" s="1063"/>
      <c r="Y3848" s="1063"/>
      <c r="Z3848" s="1063"/>
      <c r="AA3848" s="1063"/>
      <c r="AB3848" s="1063"/>
      <c r="AC3848" s="1063"/>
      <c r="AD3848" s="1063"/>
      <c r="AE3848" s="1063"/>
      <c r="AF3848" s="1063"/>
      <c r="AG3848" s="1063"/>
      <c r="AH3848" s="1063"/>
      <c r="AI3848" s="1063"/>
      <c r="AJ3848" s="1063"/>
      <c r="AK3848" s="1063"/>
      <c r="AL3848" s="1063"/>
      <c r="AM3848" s="1063"/>
      <c r="AN3848" s="1063"/>
      <c r="AO3848" s="1063"/>
      <c r="AP3848" s="1063"/>
      <c r="AQ3848" s="1063"/>
      <c r="AR3848" s="1063"/>
      <c r="AS3848" s="1063"/>
      <c r="AT3848" s="1063"/>
      <c r="AU3848" s="1063"/>
      <c r="AV3848" s="1063"/>
    </row>
    <row r="3849" spans="1:48" s="1108" customFormat="1" ht="27.75" customHeight="1">
      <c r="A3849" s="1076"/>
      <c r="B3849" s="1074">
        <f>+'[18]Bldg+Dev'!S4661</f>
        <v>0</v>
      </c>
      <c r="D3849" s="1063"/>
      <c r="F3849" s="1076"/>
      <c r="G3849" s="1063"/>
      <c r="H3849" s="1063"/>
      <c r="I3849" s="1063"/>
      <c r="J3849" s="1063"/>
      <c r="K3849" s="1063"/>
      <c r="L3849" s="1063"/>
      <c r="M3849" s="1063"/>
      <c r="N3849" s="1063"/>
      <c r="O3849" s="1063"/>
      <c r="P3849" s="1063"/>
      <c r="Q3849" s="1063"/>
      <c r="R3849" s="1063"/>
      <c r="S3849" s="1063"/>
      <c r="T3849" s="1063"/>
      <c r="U3849" s="1063"/>
      <c r="V3849" s="1063"/>
      <c r="W3849" s="1063"/>
      <c r="X3849" s="1063"/>
      <c r="Y3849" s="1063"/>
      <c r="Z3849" s="1063"/>
      <c r="AA3849" s="1063"/>
      <c r="AB3849" s="1063"/>
      <c r="AC3849" s="1063"/>
      <c r="AD3849" s="1063"/>
      <c r="AE3849" s="1063"/>
      <c r="AF3849" s="1063"/>
      <c r="AG3849" s="1063"/>
      <c r="AH3849" s="1063"/>
      <c r="AI3849" s="1063"/>
      <c r="AJ3849" s="1063"/>
      <c r="AK3849" s="1063"/>
      <c r="AL3849" s="1063"/>
      <c r="AM3849" s="1063"/>
      <c r="AN3849" s="1063"/>
      <c r="AO3849" s="1063"/>
      <c r="AP3849" s="1063"/>
      <c r="AQ3849" s="1063"/>
      <c r="AR3849" s="1063"/>
      <c r="AS3849" s="1063"/>
      <c r="AT3849" s="1063"/>
      <c r="AU3849" s="1063"/>
      <c r="AV3849" s="1063"/>
    </row>
    <row r="3850" spans="1:48" s="1108" customFormat="1" ht="27.75" customHeight="1">
      <c r="A3850" s="1076"/>
      <c r="B3850" s="1074">
        <f>+'[18]Bldg+Dev'!S4662</f>
        <v>0</v>
      </c>
      <c r="D3850" s="1063"/>
      <c r="F3850" s="1076"/>
      <c r="G3850" s="1063"/>
      <c r="H3850" s="1063"/>
      <c r="I3850" s="1063"/>
      <c r="J3850" s="1063"/>
      <c r="K3850" s="1063"/>
      <c r="L3850" s="1063"/>
      <c r="M3850" s="1063"/>
      <c r="N3850" s="1063"/>
      <c r="O3850" s="1063"/>
      <c r="P3850" s="1063"/>
      <c r="Q3850" s="1063"/>
      <c r="R3850" s="1063"/>
      <c r="S3850" s="1063"/>
      <c r="T3850" s="1063"/>
      <c r="U3850" s="1063"/>
      <c r="V3850" s="1063"/>
      <c r="W3850" s="1063"/>
      <c r="X3850" s="1063"/>
      <c r="Y3850" s="1063"/>
      <c r="Z3850" s="1063"/>
      <c r="AA3850" s="1063"/>
      <c r="AB3850" s="1063"/>
      <c r="AC3850" s="1063"/>
      <c r="AD3850" s="1063"/>
      <c r="AE3850" s="1063"/>
      <c r="AF3850" s="1063"/>
      <c r="AG3850" s="1063"/>
      <c r="AH3850" s="1063"/>
      <c r="AI3850" s="1063"/>
      <c r="AJ3850" s="1063"/>
      <c r="AK3850" s="1063"/>
      <c r="AL3850" s="1063"/>
      <c r="AM3850" s="1063"/>
      <c r="AN3850" s="1063"/>
      <c r="AO3850" s="1063"/>
      <c r="AP3850" s="1063"/>
      <c r="AQ3850" s="1063"/>
      <c r="AR3850" s="1063"/>
      <c r="AS3850" s="1063"/>
      <c r="AT3850" s="1063"/>
      <c r="AU3850" s="1063"/>
      <c r="AV3850" s="1063"/>
    </row>
    <row r="3851" spans="1:48" s="1108" customFormat="1" ht="27.75" customHeight="1">
      <c r="A3851" s="1076"/>
      <c r="B3851" s="1074">
        <f>+'[18]Bldg+Dev'!S4663</f>
        <v>0</v>
      </c>
      <c r="D3851" s="1063"/>
      <c r="F3851" s="1076"/>
      <c r="G3851" s="1063"/>
      <c r="H3851" s="1063"/>
      <c r="I3851" s="1063"/>
      <c r="J3851" s="1063"/>
      <c r="K3851" s="1063"/>
      <c r="L3851" s="1063"/>
      <c r="M3851" s="1063"/>
      <c r="N3851" s="1063"/>
      <c r="O3851" s="1063"/>
      <c r="P3851" s="1063"/>
      <c r="Q3851" s="1063"/>
      <c r="R3851" s="1063"/>
      <c r="S3851" s="1063"/>
      <c r="T3851" s="1063"/>
      <c r="U3851" s="1063"/>
      <c r="V3851" s="1063"/>
      <c r="W3851" s="1063"/>
      <c r="X3851" s="1063"/>
      <c r="Y3851" s="1063"/>
      <c r="Z3851" s="1063"/>
      <c r="AA3851" s="1063"/>
      <c r="AB3851" s="1063"/>
      <c r="AC3851" s="1063"/>
      <c r="AD3851" s="1063"/>
      <c r="AE3851" s="1063"/>
      <c r="AF3851" s="1063"/>
      <c r="AG3851" s="1063"/>
      <c r="AH3851" s="1063"/>
      <c r="AI3851" s="1063"/>
      <c r="AJ3851" s="1063"/>
      <c r="AK3851" s="1063"/>
      <c r="AL3851" s="1063"/>
      <c r="AM3851" s="1063"/>
      <c r="AN3851" s="1063"/>
      <c r="AO3851" s="1063"/>
      <c r="AP3851" s="1063"/>
      <c r="AQ3851" s="1063"/>
      <c r="AR3851" s="1063"/>
      <c r="AS3851" s="1063"/>
      <c r="AT3851" s="1063"/>
      <c r="AU3851" s="1063"/>
      <c r="AV3851" s="1063"/>
    </row>
    <row r="3852" spans="1:48" ht="27.75" customHeight="1">
      <c r="B3852" s="1074">
        <f>+'[18]Bldg+Dev'!S4664</f>
        <v>0</v>
      </c>
    </row>
    <row r="3853" spans="1:48" ht="27.75" customHeight="1">
      <c r="B3853" s="1074">
        <f>+'[18]Bldg+Dev'!S4665</f>
        <v>0</v>
      </c>
    </row>
    <row r="3854" spans="1:48" ht="27.75" customHeight="1">
      <c r="B3854" s="1074">
        <f>+'[18]Bldg+Dev'!S4666</f>
        <v>0</v>
      </c>
    </row>
    <row r="3855" spans="1:48" ht="27.75" customHeight="1">
      <c r="B3855" s="1074">
        <f>+'[18]Bldg+Dev'!S4667</f>
        <v>0</v>
      </c>
    </row>
    <row r="3856" spans="1:48" ht="27.75" customHeight="1">
      <c r="B3856" s="1074">
        <f>+'[18]Bldg+Dev'!S4668</f>
        <v>0</v>
      </c>
    </row>
    <row r="3857" spans="2:6" ht="27.75" customHeight="1">
      <c r="B3857" s="1074">
        <f>+'[18]Bldg+Dev'!S4669</f>
        <v>0</v>
      </c>
    </row>
    <row r="3859" spans="2:6" ht="27.75" customHeight="1">
      <c r="C3859" s="1109"/>
      <c r="F3859" s="1066"/>
    </row>
    <row r="3861" spans="2:6" ht="27.75" customHeight="1">
      <c r="C3861" s="1109"/>
      <c r="F3861" s="1066"/>
    </row>
    <row r="3862" spans="2:6" ht="27.75" customHeight="1">
      <c r="C3862" s="1109"/>
      <c r="F3862" s="1066"/>
    </row>
    <row r="3863" spans="2:6" ht="27.75" customHeight="1">
      <c r="C3863" s="1109"/>
      <c r="F3863" s="1066"/>
    </row>
  </sheetData>
  <mergeCells count="13">
    <mergeCell ref="K4:L4"/>
    <mergeCell ref="Q4:R4"/>
    <mergeCell ref="S4:T4"/>
    <mergeCell ref="U4:V4"/>
    <mergeCell ref="C141:D141"/>
    <mergeCell ref="M4:N4"/>
    <mergeCell ref="O4:P4"/>
    <mergeCell ref="B175:E175"/>
    <mergeCell ref="A155:F155"/>
    <mergeCell ref="A1:F1"/>
    <mergeCell ref="A2:F2"/>
    <mergeCell ref="I4:J4"/>
    <mergeCell ref="A154:F154"/>
  </mergeCells>
  <pageMargins left="0.62" right="0.22" top="0.62" bottom="0.36" header="0.22" footer="0.16"/>
  <pageSetup paperSize="9" scale="85" orientation="portrait" verticalDpi="300" r:id="rId1"/>
  <headerFooter alignWithMargins="0">
    <oddHeader>&amp;R&amp;P</oddHeader>
  </headerFooter>
  <rowBreaks count="1" manualBreakCount="1">
    <brk id="165" max="5"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E3:E1085"/>
  <sheetViews>
    <sheetView topLeftCell="A13" workbookViewId="0">
      <selection activeCell="E1085" sqref="E1085"/>
    </sheetView>
  </sheetViews>
  <sheetFormatPr defaultRowHeight="15.75"/>
  <cols>
    <col min="5" max="5" width="14.109375" customWidth="1"/>
  </cols>
  <sheetData>
    <row r="3" spans="5:5">
      <c r="E3">
        <v>43741.26</v>
      </c>
    </row>
    <row r="4" spans="5:5">
      <c r="E4">
        <v>0</v>
      </c>
    </row>
    <row r="5" spans="5:5">
      <c r="E5">
        <v>0</v>
      </c>
    </row>
    <row r="6" spans="5:5">
      <c r="E6">
        <v>0</v>
      </c>
    </row>
    <row r="7" spans="5:5">
      <c r="E7">
        <v>0</v>
      </c>
    </row>
    <row r="8" spans="5:5">
      <c r="E8">
        <v>0</v>
      </c>
    </row>
    <row r="9" spans="5:5">
      <c r="E9">
        <v>0</v>
      </c>
    </row>
    <row r="10" spans="5:5">
      <c r="E10">
        <v>0</v>
      </c>
    </row>
    <row r="11" spans="5:5">
      <c r="E11">
        <v>0</v>
      </c>
    </row>
    <row r="12" spans="5:5">
      <c r="E12">
        <v>0</v>
      </c>
    </row>
    <row r="13" spans="5:5">
      <c r="E13">
        <v>0</v>
      </c>
    </row>
    <row r="14" spans="5:5">
      <c r="E14">
        <v>0</v>
      </c>
    </row>
    <row r="15" spans="5:5">
      <c r="E15">
        <v>0</v>
      </c>
    </row>
    <row r="16" spans="5:5">
      <c r="E16">
        <v>0</v>
      </c>
    </row>
    <row r="17" spans="5:5">
      <c r="E17">
        <v>0</v>
      </c>
    </row>
    <row r="18" spans="5:5">
      <c r="E18">
        <v>0</v>
      </c>
    </row>
    <row r="19" spans="5:5">
      <c r="E19">
        <v>0</v>
      </c>
    </row>
    <row r="20" spans="5:5">
      <c r="E20">
        <v>0</v>
      </c>
    </row>
    <row r="21" spans="5:5">
      <c r="E21">
        <v>0</v>
      </c>
    </row>
    <row r="22" spans="5:5">
      <c r="E22">
        <v>0</v>
      </c>
    </row>
    <row r="23" spans="5:5">
      <c r="E23">
        <v>0</v>
      </c>
    </row>
    <row r="24" spans="5:5">
      <c r="E24">
        <v>0</v>
      </c>
    </row>
    <row r="25" spans="5:5">
      <c r="E25">
        <v>0</v>
      </c>
    </row>
    <row r="26" spans="5:5">
      <c r="E26">
        <v>0</v>
      </c>
    </row>
    <row r="27" spans="5:5">
      <c r="E27">
        <v>0</v>
      </c>
    </row>
    <row r="28" spans="5:5">
      <c r="E28">
        <v>0</v>
      </c>
    </row>
    <row r="29" spans="5:5">
      <c r="E29">
        <v>0</v>
      </c>
    </row>
    <row r="30" spans="5:5">
      <c r="E30">
        <v>0</v>
      </c>
    </row>
    <row r="31" spans="5:5">
      <c r="E31">
        <v>0</v>
      </c>
    </row>
    <row r="32" spans="5:5">
      <c r="E32">
        <v>0</v>
      </c>
    </row>
    <row r="33" spans="5:5">
      <c r="E33">
        <v>0</v>
      </c>
    </row>
    <row r="34" spans="5:5">
      <c r="E34">
        <v>0</v>
      </c>
    </row>
    <row r="35" spans="5:5">
      <c r="E35">
        <v>66938.679999999993</v>
      </c>
    </row>
    <row r="36" spans="5:5">
      <c r="E36">
        <v>0</v>
      </c>
    </row>
    <row r="37" spans="5:5">
      <c r="E37">
        <v>0</v>
      </c>
    </row>
    <row r="38" spans="5:5">
      <c r="E38">
        <v>0</v>
      </c>
    </row>
    <row r="39" spans="5:5">
      <c r="E39">
        <v>0</v>
      </c>
    </row>
    <row r="40" spans="5:5">
      <c r="E40">
        <v>0</v>
      </c>
    </row>
    <row r="41" spans="5:5">
      <c r="E41">
        <v>0</v>
      </c>
    </row>
    <row r="42" spans="5:5">
      <c r="E42">
        <v>113493.82</v>
      </c>
    </row>
    <row r="43" spans="5:5">
      <c r="E43">
        <v>0</v>
      </c>
    </row>
    <row r="44" spans="5:5">
      <c r="E44">
        <v>0</v>
      </c>
    </row>
    <row r="45" spans="5:5">
      <c r="E45">
        <v>0</v>
      </c>
    </row>
    <row r="46" spans="5:5">
      <c r="E46">
        <v>0</v>
      </c>
    </row>
    <row r="47" spans="5:5">
      <c r="E47">
        <v>0</v>
      </c>
    </row>
    <row r="48" spans="5:5">
      <c r="E48">
        <v>0</v>
      </c>
    </row>
    <row r="49" spans="5:5">
      <c r="E49">
        <v>0</v>
      </c>
    </row>
    <row r="50" spans="5:5">
      <c r="E50">
        <v>0</v>
      </c>
    </row>
    <row r="51" spans="5:5">
      <c r="E51">
        <v>0</v>
      </c>
    </row>
    <row r="52" spans="5:5">
      <c r="E52">
        <v>0</v>
      </c>
    </row>
    <row r="53" spans="5:5">
      <c r="E53">
        <v>0</v>
      </c>
    </row>
    <row r="54" spans="5:5">
      <c r="E54">
        <v>0</v>
      </c>
    </row>
    <row r="55" spans="5:5">
      <c r="E55">
        <v>0</v>
      </c>
    </row>
    <row r="56" spans="5:5">
      <c r="E56">
        <v>0</v>
      </c>
    </row>
    <row r="57" spans="5:5">
      <c r="E57">
        <v>0</v>
      </c>
    </row>
    <row r="58" spans="5:5">
      <c r="E58">
        <v>0</v>
      </c>
    </row>
    <row r="59" spans="5:5">
      <c r="E59">
        <v>0</v>
      </c>
    </row>
    <row r="60" spans="5:5">
      <c r="E60">
        <v>0</v>
      </c>
    </row>
    <row r="61" spans="5:5">
      <c r="E61">
        <v>0</v>
      </c>
    </row>
    <row r="62" spans="5:5">
      <c r="E62">
        <v>0</v>
      </c>
    </row>
    <row r="63" spans="5:5">
      <c r="E63">
        <v>0</v>
      </c>
    </row>
    <row r="64" spans="5:5">
      <c r="E64">
        <v>0</v>
      </c>
    </row>
    <row r="65" spans="5:5">
      <c r="E65">
        <v>0</v>
      </c>
    </row>
    <row r="66" spans="5:5">
      <c r="E66">
        <v>0</v>
      </c>
    </row>
    <row r="67" spans="5:5">
      <c r="E67">
        <v>0</v>
      </c>
    </row>
    <row r="68" spans="5:5">
      <c r="E68">
        <v>0</v>
      </c>
    </row>
    <row r="69" spans="5:5">
      <c r="E69">
        <v>0</v>
      </c>
    </row>
    <row r="70" spans="5:5">
      <c r="E70">
        <v>0</v>
      </c>
    </row>
    <row r="71" spans="5:5">
      <c r="E71">
        <v>0</v>
      </c>
    </row>
    <row r="72" spans="5:5">
      <c r="E72">
        <v>0</v>
      </c>
    </row>
    <row r="73" spans="5:5">
      <c r="E73">
        <v>0</v>
      </c>
    </row>
    <row r="74" spans="5:5">
      <c r="E74">
        <v>0</v>
      </c>
    </row>
    <row r="75" spans="5:5">
      <c r="E75">
        <v>0</v>
      </c>
    </row>
    <row r="76" spans="5:5">
      <c r="E76">
        <v>0</v>
      </c>
    </row>
    <row r="77" spans="5:5">
      <c r="E77">
        <v>0</v>
      </c>
    </row>
    <row r="78" spans="5:5">
      <c r="E78">
        <v>0</v>
      </c>
    </row>
    <row r="79" spans="5:5">
      <c r="E79">
        <v>0</v>
      </c>
    </row>
    <row r="80" spans="5:5">
      <c r="E80">
        <v>0</v>
      </c>
    </row>
    <row r="81" spans="5:5">
      <c r="E81">
        <v>0</v>
      </c>
    </row>
    <row r="82" spans="5:5">
      <c r="E82">
        <v>0</v>
      </c>
    </row>
    <row r="83" spans="5:5">
      <c r="E83">
        <v>0</v>
      </c>
    </row>
    <row r="84" spans="5:5">
      <c r="E84">
        <v>0</v>
      </c>
    </row>
    <row r="85" spans="5:5">
      <c r="E85">
        <v>0</v>
      </c>
    </row>
    <row r="86" spans="5:5">
      <c r="E86">
        <v>0</v>
      </c>
    </row>
    <row r="87" spans="5:5">
      <c r="E87">
        <v>0</v>
      </c>
    </row>
    <row r="88" spans="5:5">
      <c r="E88">
        <v>0</v>
      </c>
    </row>
    <row r="89" spans="5:5">
      <c r="E89">
        <v>0</v>
      </c>
    </row>
    <row r="90" spans="5:5">
      <c r="E90">
        <v>0</v>
      </c>
    </row>
    <row r="91" spans="5:5">
      <c r="E91">
        <v>0</v>
      </c>
    </row>
    <row r="92" spans="5:5">
      <c r="E92">
        <v>0</v>
      </c>
    </row>
    <row r="93" spans="5:5">
      <c r="E93">
        <v>0</v>
      </c>
    </row>
    <row r="94" spans="5:5">
      <c r="E94">
        <v>0</v>
      </c>
    </row>
    <row r="95" spans="5:5">
      <c r="E95">
        <v>0</v>
      </c>
    </row>
    <row r="96" spans="5:5">
      <c r="E96">
        <v>0</v>
      </c>
    </row>
    <row r="97" spans="5:5">
      <c r="E97">
        <v>0</v>
      </c>
    </row>
    <row r="98" spans="5:5">
      <c r="E98">
        <v>0</v>
      </c>
    </row>
    <row r="99" spans="5:5">
      <c r="E99">
        <v>0</v>
      </c>
    </row>
    <row r="100" spans="5:5">
      <c r="E100">
        <v>0</v>
      </c>
    </row>
    <row r="101" spans="5:5">
      <c r="E101">
        <v>0</v>
      </c>
    </row>
    <row r="102" spans="5:5">
      <c r="E102">
        <v>0</v>
      </c>
    </row>
    <row r="103" spans="5:5">
      <c r="E103">
        <v>0</v>
      </c>
    </row>
    <row r="104" spans="5:5">
      <c r="E104">
        <v>0</v>
      </c>
    </row>
    <row r="105" spans="5:5">
      <c r="E105">
        <v>0</v>
      </c>
    </row>
    <row r="106" spans="5:5">
      <c r="E106">
        <v>0</v>
      </c>
    </row>
    <row r="107" spans="5:5">
      <c r="E107">
        <v>0</v>
      </c>
    </row>
    <row r="108" spans="5:5">
      <c r="E108">
        <v>0</v>
      </c>
    </row>
    <row r="109" spans="5:5">
      <c r="E109">
        <v>0</v>
      </c>
    </row>
    <row r="110" spans="5:5">
      <c r="E110">
        <v>0</v>
      </c>
    </row>
    <row r="111" spans="5:5">
      <c r="E111">
        <v>0</v>
      </c>
    </row>
    <row r="112" spans="5:5">
      <c r="E112">
        <v>0</v>
      </c>
    </row>
    <row r="113" spans="5:5">
      <c r="E113">
        <v>0</v>
      </c>
    </row>
    <row r="114" spans="5:5">
      <c r="E114">
        <v>0</v>
      </c>
    </row>
    <row r="115" spans="5:5">
      <c r="E115">
        <v>0</v>
      </c>
    </row>
    <row r="116" spans="5:5">
      <c r="E116">
        <v>0</v>
      </c>
    </row>
    <row r="117" spans="5:5">
      <c r="E117">
        <v>0</v>
      </c>
    </row>
    <row r="118" spans="5:5">
      <c r="E118">
        <v>0</v>
      </c>
    </row>
    <row r="119" spans="5:5">
      <c r="E119">
        <v>0</v>
      </c>
    </row>
    <row r="120" spans="5:5">
      <c r="E120">
        <v>0</v>
      </c>
    </row>
    <row r="121" spans="5:5">
      <c r="E121">
        <v>0</v>
      </c>
    </row>
    <row r="122" spans="5:5">
      <c r="E122">
        <v>0</v>
      </c>
    </row>
    <row r="123" spans="5:5">
      <c r="E123">
        <v>0</v>
      </c>
    </row>
    <row r="124" spans="5:5">
      <c r="E124">
        <v>0</v>
      </c>
    </row>
    <row r="125" spans="5:5">
      <c r="E125">
        <v>0</v>
      </c>
    </row>
    <row r="126" spans="5:5">
      <c r="E126">
        <v>0</v>
      </c>
    </row>
    <row r="127" spans="5:5">
      <c r="E127">
        <v>0</v>
      </c>
    </row>
    <row r="128" spans="5:5">
      <c r="E128">
        <v>0</v>
      </c>
    </row>
    <row r="129" spans="5:5">
      <c r="E129">
        <v>0</v>
      </c>
    </row>
    <row r="130" spans="5:5">
      <c r="E130">
        <v>0</v>
      </c>
    </row>
    <row r="131" spans="5:5">
      <c r="E131">
        <v>0</v>
      </c>
    </row>
    <row r="132" spans="5:5">
      <c r="E132">
        <v>0</v>
      </c>
    </row>
    <row r="133" spans="5:5">
      <c r="E133">
        <v>0</v>
      </c>
    </row>
    <row r="134" spans="5:5">
      <c r="E134">
        <v>0</v>
      </c>
    </row>
    <row r="135" spans="5:5">
      <c r="E135">
        <v>0</v>
      </c>
    </row>
    <row r="136" spans="5:5">
      <c r="E136">
        <v>0</v>
      </c>
    </row>
    <row r="137" spans="5:5">
      <c r="E137">
        <v>0</v>
      </c>
    </row>
    <row r="138" spans="5:5">
      <c r="E138">
        <v>0</v>
      </c>
    </row>
    <row r="139" spans="5:5">
      <c r="E139">
        <v>0</v>
      </c>
    </row>
    <row r="140" spans="5:5">
      <c r="E140">
        <v>0</v>
      </c>
    </row>
    <row r="141" spans="5:5">
      <c r="E141">
        <v>0</v>
      </c>
    </row>
    <row r="142" spans="5:5">
      <c r="E142">
        <v>0</v>
      </c>
    </row>
    <row r="143" spans="5:5">
      <c r="E143">
        <v>0</v>
      </c>
    </row>
    <row r="144" spans="5:5">
      <c r="E144">
        <v>0</v>
      </c>
    </row>
    <row r="145" spans="5:5">
      <c r="E145">
        <v>0</v>
      </c>
    </row>
    <row r="146" spans="5:5">
      <c r="E146">
        <v>0</v>
      </c>
    </row>
    <row r="147" spans="5:5">
      <c r="E147">
        <v>0</v>
      </c>
    </row>
    <row r="148" spans="5:5">
      <c r="E148">
        <v>0</v>
      </c>
    </row>
    <row r="149" spans="5:5">
      <c r="E149">
        <v>0</v>
      </c>
    </row>
    <row r="150" spans="5:5">
      <c r="E150">
        <v>0</v>
      </c>
    </row>
    <row r="151" spans="5:5">
      <c r="E151">
        <v>0</v>
      </c>
    </row>
    <row r="152" spans="5:5">
      <c r="E152">
        <v>0</v>
      </c>
    </row>
    <row r="153" spans="5:5">
      <c r="E153">
        <v>0</v>
      </c>
    </row>
    <row r="154" spans="5:5">
      <c r="E154">
        <v>0</v>
      </c>
    </row>
    <row r="155" spans="5:5">
      <c r="E155">
        <v>0</v>
      </c>
    </row>
    <row r="156" spans="5:5">
      <c r="E156">
        <v>0</v>
      </c>
    </row>
    <row r="157" spans="5:5">
      <c r="E157">
        <v>0</v>
      </c>
    </row>
    <row r="158" spans="5:5">
      <c r="E158">
        <v>0</v>
      </c>
    </row>
    <row r="159" spans="5:5">
      <c r="E159">
        <v>0</v>
      </c>
    </row>
    <row r="160" spans="5:5">
      <c r="E160">
        <v>0</v>
      </c>
    </row>
    <row r="161" spans="5:5">
      <c r="E161">
        <v>0</v>
      </c>
    </row>
    <row r="162" spans="5:5">
      <c r="E162">
        <v>0</v>
      </c>
    </row>
    <row r="163" spans="5:5">
      <c r="E163">
        <v>0</v>
      </c>
    </row>
    <row r="164" spans="5:5">
      <c r="E164">
        <v>0</v>
      </c>
    </row>
    <row r="165" spans="5:5">
      <c r="E165">
        <v>0</v>
      </c>
    </row>
    <row r="166" spans="5:5">
      <c r="E166">
        <v>0</v>
      </c>
    </row>
    <row r="167" spans="5:5">
      <c r="E167">
        <v>0</v>
      </c>
    </row>
    <row r="168" spans="5:5">
      <c r="E168">
        <v>0</v>
      </c>
    </row>
    <row r="169" spans="5:5">
      <c r="E169">
        <v>0</v>
      </c>
    </row>
    <row r="170" spans="5:5">
      <c r="E170">
        <v>0</v>
      </c>
    </row>
    <row r="171" spans="5:5">
      <c r="E171">
        <v>0</v>
      </c>
    </row>
    <row r="172" spans="5:5">
      <c r="E172">
        <v>0</v>
      </c>
    </row>
    <row r="173" spans="5:5">
      <c r="E173">
        <v>0</v>
      </c>
    </row>
    <row r="174" spans="5:5">
      <c r="E174">
        <v>0</v>
      </c>
    </row>
    <row r="175" spans="5:5">
      <c r="E175">
        <v>0</v>
      </c>
    </row>
    <row r="176" spans="5:5">
      <c r="E176">
        <v>0</v>
      </c>
    </row>
    <row r="177" spans="5:5">
      <c r="E177">
        <v>0</v>
      </c>
    </row>
    <row r="178" spans="5:5">
      <c r="E178">
        <v>0</v>
      </c>
    </row>
    <row r="179" spans="5:5">
      <c r="E179">
        <v>0</v>
      </c>
    </row>
    <row r="180" spans="5:5">
      <c r="E180">
        <v>0</v>
      </c>
    </row>
    <row r="181" spans="5:5">
      <c r="E181">
        <v>0</v>
      </c>
    </row>
    <row r="182" spans="5:5">
      <c r="E182">
        <v>0</v>
      </c>
    </row>
    <row r="183" spans="5:5">
      <c r="E183">
        <v>0</v>
      </c>
    </row>
    <row r="184" spans="5:5">
      <c r="E184">
        <v>0</v>
      </c>
    </row>
    <row r="185" spans="5:5">
      <c r="E185">
        <v>0</v>
      </c>
    </row>
    <row r="186" spans="5:5">
      <c r="E186">
        <v>0</v>
      </c>
    </row>
    <row r="187" spans="5:5">
      <c r="E187">
        <v>0</v>
      </c>
    </row>
    <row r="188" spans="5:5">
      <c r="E188">
        <v>0</v>
      </c>
    </row>
    <row r="189" spans="5:5">
      <c r="E189">
        <v>0</v>
      </c>
    </row>
    <row r="190" spans="5:5">
      <c r="E190">
        <v>0</v>
      </c>
    </row>
    <row r="191" spans="5:5">
      <c r="E191">
        <v>0</v>
      </c>
    </row>
    <row r="192" spans="5:5">
      <c r="E192">
        <v>0</v>
      </c>
    </row>
    <row r="193" spans="5:5">
      <c r="E193">
        <v>0</v>
      </c>
    </row>
    <row r="194" spans="5:5">
      <c r="E194">
        <v>0</v>
      </c>
    </row>
    <row r="195" spans="5:5">
      <c r="E195">
        <v>0</v>
      </c>
    </row>
    <row r="196" spans="5:5">
      <c r="E196">
        <v>0</v>
      </c>
    </row>
    <row r="197" spans="5:5">
      <c r="E197">
        <v>0</v>
      </c>
    </row>
    <row r="198" spans="5:5">
      <c r="E198">
        <v>0</v>
      </c>
    </row>
    <row r="199" spans="5:5">
      <c r="E199">
        <v>0</v>
      </c>
    </row>
    <row r="200" spans="5:5">
      <c r="E200">
        <v>0</v>
      </c>
    </row>
    <row r="201" spans="5:5">
      <c r="E201">
        <v>0</v>
      </c>
    </row>
    <row r="202" spans="5:5">
      <c r="E202">
        <v>0</v>
      </c>
    </row>
    <row r="203" spans="5:5">
      <c r="E203">
        <v>0</v>
      </c>
    </row>
    <row r="204" spans="5:5">
      <c r="E204">
        <v>0</v>
      </c>
    </row>
    <row r="205" spans="5:5">
      <c r="E205">
        <v>0</v>
      </c>
    </row>
    <row r="206" spans="5:5">
      <c r="E206">
        <v>0</v>
      </c>
    </row>
    <row r="207" spans="5:5">
      <c r="E207">
        <v>0</v>
      </c>
    </row>
    <row r="208" spans="5:5">
      <c r="E208">
        <v>0</v>
      </c>
    </row>
    <row r="209" spans="5:5">
      <c r="E209">
        <v>0</v>
      </c>
    </row>
    <row r="210" spans="5:5">
      <c r="E210">
        <v>0</v>
      </c>
    </row>
    <row r="211" spans="5:5">
      <c r="E211">
        <v>0</v>
      </c>
    </row>
    <row r="212" spans="5:5">
      <c r="E212">
        <v>0</v>
      </c>
    </row>
    <row r="213" spans="5:5">
      <c r="E213">
        <v>0</v>
      </c>
    </row>
    <row r="214" spans="5:5">
      <c r="E214">
        <v>0</v>
      </c>
    </row>
    <row r="215" spans="5:5">
      <c r="E215">
        <v>0</v>
      </c>
    </row>
    <row r="216" spans="5:5">
      <c r="E216">
        <v>0</v>
      </c>
    </row>
    <row r="217" spans="5:5">
      <c r="E217">
        <v>0</v>
      </c>
    </row>
    <row r="218" spans="5:5">
      <c r="E218">
        <v>0</v>
      </c>
    </row>
    <row r="219" spans="5:5">
      <c r="E219">
        <v>0</v>
      </c>
    </row>
    <row r="220" spans="5:5">
      <c r="E220">
        <v>0</v>
      </c>
    </row>
    <row r="221" spans="5:5">
      <c r="E221">
        <v>0</v>
      </c>
    </row>
    <row r="222" spans="5:5">
      <c r="E222">
        <v>0</v>
      </c>
    </row>
    <row r="223" spans="5:5">
      <c r="E223">
        <v>0</v>
      </c>
    </row>
    <row r="224" spans="5:5">
      <c r="E224">
        <v>0</v>
      </c>
    </row>
    <row r="225" spans="5:5">
      <c r="E225">
        <v>0</v>
      </c>
    </row>
    <row r="226" spans="5:5">
      <c r="E226">
        <v>0</v>
      </c>
    </row>
    <row r="227" spans="5:5">
      <c r="E227">
        <v>0</v>
      </c>
    </row>
    <row r="228" spans="5:5">
      <c r="E228">
        <v>0</v>
      </c>
    </row>
    <row r="229" spans="5:5">
      <c r="E229">
        <v>0</v>
      </c>
    </row>
    <row r="230" spans="5:5">
      <c r="E230">
        <v>0</v>
      </c>
    </row>
    <row r="231" spans="5:5">
      <c r="E231">
        <v>0</v>
      </c>
    </row>
    <row r="232" spans="5:5">
      <c r="E232">
        <v>0</v>
      </c>
    </row>
    <row r="233" spans="5:5">
      <c r="E233">
        <v>0</v>
      </c>
    </row>
    <row r="234" spans="5:5">
      <c r="E234">
        <v>0</v>
      </c>
    </row>
    <row r="235" spans="5:5">
      <c r="E235">
        <v>0</v>
      </c>
    </row>
    <row r="236" spans="5:5">
      <c r="E236">
        <v>0</v>
      </c>
    </row>
    <row r="237" spans="5:5">
      <c r="E237">
        <v>0</v>
      </c>
    </row>
    <row r="238" spans="5:5">
      <c r="E238">
        <v>0</v>
      </c>
    </row>
    <row r="239" spans="5:5">
      <c r="E239">
        <v>0</v>
      </c>
    </row>
    <row r="240" spans="5:5">
      <c r="E240">
        <v>0</v>
      </c>
    </row>
    <row r="241" spans="5:5">
      <c r="E241">
        <v>0</v>
      </c>
    </row>
    <row r="242" spans="5:5">
      <c r="E242">
        <v>0</v>
      </c>
    </row>
    <row r="243" spans="5:5">
      <c r="E243">
        <v>0</v>
      </c>
    </row>
    <row r="244" spans="5:5">
      <c r="E244">
        <v>0</v>
      </c>
    </row>
    <row r="245" spans="5:5">
      <c r="E245">
        <v>0</v>
      </c>
    </row>
    <row r="246" spans="5:5">
      <c r="E246">
        <v>0</v>
      </c>
    </row>
    <row r="247" spans="5:5">
      <c r="E247">
        <v>0</v>
      </c>
    </row>
    <row r="248" spans="5:5">
      <c r="E248">
        <v>0</v>
      </c>
    </row>
    <row r="249" spans="5:5">
      <c r="E249">
        <v>8953.2099999999991</v>
      </c>
    </row>
    <row r="250" spans="5:5">
      <c r="E250">
        <v>10487.33</v>
      </c>
    </row>
    <row r="251" spans="5:5">
      <c r="E251">
        <v>0</v>
      </c>
    </row>
    <row r="252" spans="5:5">
      <c r="E252">
        <v>0</v>
      </c>
    </row>
    <row r="253" spans="5:5">
      <c r="E253">
        <v>0</v>
      </c>
    </row>
    <row r="254" spans="5:5">
      <c r="E254">
        <v>0</v>
      </c>
    </row>
    <row r="255" spans="5:5">
      <c r="E255">
        <v>0</v>
      </c>
    </row>
    <row r="256" spans="5:5">
      <c r="E256">
        <v>0</v>
      </c>
    </row>
    <row r="257" spans="5:5">
      <c r="E257">
        <v>0</v>
      </c>
    </row>
    <row r="258" spans="5:5">
      <c r="E258">
        <v>0</v>
      </c>
    </row>
    <row r="259" spans="5:5">
      <c r="E259">
        <v>0</v>
      </c>
    </row>
    <row r="260" spans="5:5">
      <c r="E260">
        <v>0</v>
      </c>
    </row>
    <row r="261" spans="5:5">
      <c r="E261">
        <v>0</v>
      </c>
    </row>
    <row r="262" spans="5:5">
      <c r="E262">
        <v>0</v>
      </c>
    </row>
    <row r="263" spans="5:5">
      <c r="E263">
        <v>0</v>
      </c>
    </row>
    <row r="264" spans="5:5">
      <c r="E264">
        <v>0</v>
      </c>
    </row>
    <row r="265" spans="5:5">
      <c r="E265">
        <v>0</v>
      </c>
    </row>
    <row r="266" spans="5:5">
      <c r="E266">
        <v>0</v>
      </c>
    </row>
    <row r="267" spans="5:5">
      <c r="E267">
        <v>0</v>
      </c>
    </row>
    <row r="268" spans="5:5">
      <c r="E268">
        <v>0</v>
      </c>
    </row>
    <row r="269" spans="5:5">
      <c r="E269">
        <v>0</v>
      </c>
    </row>
    <row r="270" spans="5:5">
      <c r="E270">
        <v>0</v>
      </c>
    </row>
    <row r="271" spans="5:5">
      <c r="E271">
        <v>0</v>
      </c>
    </row>
    <row r="272" spans="5:5">
      <c r="E272">
        <v>0</v>
      </c>
    </row>
    <row r="273" spans="5:5">
      <c r="E273">
        <v>0</v>
      </c>
    </row>
    <row r="274" spans="5:5">
      <c r="E274">
        <v>0</v>
      </c>
    </row>
    <row r="275" spans="5:5">
      <c r="E275">
        <v>0</v>
      </c>
    </row>
    <row r="276" spans="5:5">
      <c r="E276">
        <v>0</v>
      </c>
    </row>
    <row r="277" spans="5:5">
      <c r="E277">
        <v>0</v>
      </c>
    </row>
    <row r="278" spans="5:5">
      <c r="E278">
        <v>0</v>
      </c>
    </row>
    <row r="279" spans="5:5">
      <c r="E279">
        <v>0</v>
      </c>
    </row>
    <row r="280" spans="5:5">
      <c r="E280">
        <v>0</v>
      </c>
    </row>
    <row r="281" spans="5:5">
      <c r="E281">
        <v>0</v>
      </c>
    </row>
    <row r="282" spans="5:5">
      <c r="E282">
        <v>0</v>
      </c>
    </row>
    <row r="283" spans="5:5">
      <c r="E283">
        <v>0</v>
      </c>
    </row>
    <row r="284" spans="5:5">
      <c r="E284">
        <v>0</v>
      </c>
    </row>
    <row r="285" spans="5:5">
      <c r="E285">
        <v>0</v>
      </c>
    </row>
    <row r="286" spans="5:5">
      <c r="E286">
        <v>0</v>
      </c>
    </row>
    <row r="287" spans="5:5">
      <c r="E287">
        <v>63271.45</v>
      </c>
    </row>
    <row r="288" spans="5:5">
      <c r="E288">
        <v>32117.56</v>
      </c>
    </row>
    <row r="289" spans="5:5">
      <c r="E289">
        <v>0</v>
      </c>
    </row>
    <row r="290" spans="5:5">
      <c r="E290">
        <v>0</v>
      </c>
    </row>
    <row r="291" spans="5:5">
      <c r="E291">
        <v>0</v>
      </c>
    </row>
    <row r="292" spans="5:5">
      <c r="E292">
        <v>0</v>
      </c>
    </row>
    <row r="293" spans="5:5">
      <c r="E293">
        <v>0</v>
      </c>
    </row>
    <row r="294" spans="5:5">
      <c r="E294">
        <v>0</v>
      </c>
    </row>
    <row r="295" spans="5:5">
      <c r="E295">
        <v>0</v>
      </c>
    </row>
    <row r="296" spans="5:5">
      <c r="E296">
        <v>0</v>
      </c>
    </row>
    <row r="297" spans="5:5">
      <c r="E297">
        <v>0</v>
      </c>
    </row>
    <row r="298" spans="5:5">
      <c r="E298">
        <v>0</v>
      </c>
    </row>
    <row r="299" spans="5:5">
      <c r="E299">
        <v>0</v>
      </c>
    </row>
    <row r="300" spans="5:5">
      <c r="E300">
        <v>0</v>
      </c>
    </row>
    <row r="301" spans="5:5">
      <c r="E301">
        <v>0</v>
      </c>
    </row>
    <row r="302" spans="5:5">
      <c r="E302">
        <v>0</v>
      </c>
    </row>
    <row r="303" spans="5:5">
      <c r="E303">
        <v>0</v>
      </c>
    </row>
    <row r="304" spans="5:5">
      <c r="E304">
        <v>728</v>
      </c>
    </row>
    <row r="305" spans="5:5">
      <c r="E305">
        <v>0</v>
      </c>
    </row>
    <row r="306" spans="5:5">
      <c r="E306">
        <v>0</v>
      </c>
    </row>
    <row r="307" spans="5:5">
      <c r="E307">
        <v>0</v>
      </c>
    </row>
    <row r="308" spans="5:5">
      <c r="E308">
        <v>0</v>
      </c>
    </row>
    <row r="309" spans="5:5">
      <c r="E309">
        <v>0</v>
      </c>
    </row>
    <row r="310" spans="5:5">
      <c r="E310">
        <v>0</v>
      </c>
    </row>
    <row r="311" spans="5:5">
      <c r="E311">
        <v>0</v>
      </c>
    </row>
    <row r="312" spans="5:5">
      <c r="E312">
        <v>0</v>
      </c>
    </row>
    <row r="313" spans="5:5">
      <c r="E313">
        <v>0</v>
      </c>
    </row>
    <row r="314" spans="5:5">
      <c r="E314">
        <v>0</v>
      </c>
    </row>
    <row r="315" spans="5:5">
      <c r="E315">
        <v>0</v>
      </c>
    </row>
    <row r="316" spans="5:5">
      <c r="E316">
        <v>0</v>
      </c>
    </row>
    <row r="317" spans="5:5">
      <c r="E317">
        <v>0</v>
      </c>
    </row>
    <row r="318" spans="5:5">
      <c r="E318">
        <v>0</v>
      </c>
    </row>
    <row r="319" spans="5:5">
      <c r="E319">
        <v>806.4</v>
      </c>
    </row>
    <row r="320" spans="5:5">
      <c r="E320">
        <v>70675.7</v>
      </c>
    </row>
    <row r="321" spans="5:5">
      <c r="E321">
        <v>0</v>
      </c>
    </row>
    <row r="322" spans="5:5">
      <c r="E322">
        <v>0</v>
      </c>
    </row>
    <row r="323" spans="5:5">
      <c r="E323">
        <v>0</v>
      </c>
    </row>
    <row r="324" spans="5:5">
      <c r="E324">
        <v>0</v>
      </c>
    </row>
    <row r="325" spans="5:5">
      <c r="E325">
        <v>0</v>
      </c>
    </row>
    <row r="326" spans="5:5">
      <c r="E326">
        <v>0</v>
      </c>
    </row>
    <row r="327" spans="5:5">
      <c r="E327">
        <v>6948.59</v>
      </c>
    </row>
    <row r="328" spans="5:5">
      <c r="E328">
        <v>0</v>
      </c>
    </row>
    <row r="329" spans="5:5">
      <c r="E329">
        <v>0</v>
      </c>
    </row>
    <row r="330" spans="5:5">
      <c r="E330">
        <v>0</v>
      </c>
    </row>
    <row r="331" spans="5:5">
      <c r="E331">
        <v>0</v>
      </c>
    </row>
    <row r="332" spans="5:5">
      <c r="E332">
        <v>0</v>
      </c>
    </row>
    <row r="333" spans="5:5">
      <c r="E333">
        <v>0</v>
      </c>
    </row>
    <row r="334" spans="5:5">
      <c r="E334">
        <v>76896.77</v>
      </c>
    </row>
    <row r="335" spans="5:5">
      <c r="E335">
        <v>0</v>
      </c>
    </row>
    <row r="336" spans="5:5">
      <c r="E336">
        <v>252709.65</v>
      </c>
    </row>
    <row r="337" spans="5:5">
      <c r="E337">
        <v>0</v>
      </c>
    </row>
    <row r="338" spans="5:5">
      <c r="E338">
        <v>427426.35</v>
      </c>
    </row>
    <row r="339" spans="5:5">
      <c r="E339">
        <v>13732.31</v>
      </c>
    </row>
    <row r="340" spans="5:5">
      <c r="E340">
        <v>114153.52</v>
      </c>
    </row>
    <row r="341" spans="5:5">
      <c r="E341">
        <v>0</v>
      </c>
    </row>
    <row r="342" spans="5:5">
      <c r="E342">
        <v>9829.7099999999991</v>
      </c>
    </row>
    <row r="343" spans="5:5">
      <c r="E343">
        <v>10067.16</v>
      </c>
    </row>
    <row r="344" spans="5:5">
      <c r="E344">
        <v>5454.72</v>
      </c>
    </row>
    <row r="345" spans="5:5">
      <c r="E345">
        <v>17894.66</v>
      </c>
    </row>
    <row r="346" spans="5:5">
      <c r="E346">
        <v>0</v>
      </c>
    </row>
    <row r="347" spans="5:5">
      <c r="E347">
        <v>0</v>
      </c>
    </row>
    <row r="348" spans="5:5">
      <c r="E348">
        <v>0</v>
      </c>
    </row>
    <row r="349" spans="5:5">
      <c r="E349">
        <v>196616.42</v>
      </c>
    </row>
    <row r="350" spans="5:5">
      <c r="E350">
        <v>9957.32</v>
      </c>
    </row>
    <row r="351" spans="5:5">
      <c r="E351">
        <v>31280.94</v>
      </c>
    </row>
    <row r="352" spans="5:5">
      <c r="E352">
        <v>0</v>
      </c>
    </row>
    <row r="353" spans="5:5">
      <c r="E353">
        <v>0</v>
      </c>
    </row>
    <row r="354" spans="5:5">
      <c r="E354">
        <v>0</v>
      </c>
    </row>
    <row r="355" spans="5:5">
      <c r="E355">
        <v>0</v>
      </c>
    </row>
    <row r="356" spans="5:5">
      <c r="E356">
        <v>0</v>
      </c>
    </row>
    <row r="357" spans="5:5">
      <c r="E357">
        <v>0</v>
      </c>
    </row>
    <row r="358" spans="5:5">
      <c r="E358">
        <v>0</v>
      </c>
    </row>
    <row r="359" spans="5:5">
      <c r="E359">
        <v>0</v>
      </c>
    </row>
    <row r="360" spans="5:5">
      <c r="E360">
        <v>0</v>
      </c>
    </row>
    <row r="361" spans="5:5">
      <c r="E361">
        <v>139.19999999999999</v>
      </c>
    </row>
    <row r="362" spans="5:5">
      <c r="E362">
        <v>665</v>
      </c>
    </row>
    <row r="363" spans="5:5">
      <c r="E363">
        <v>440</v>
      </c>
    </row>
    <row r="364" spans="5:5">
      <c r="E364">
        <v>93</v>
      </c>
    </row>
    <row r="365" spans="5:5">
      <c r="E365">
        <v>0</v>
      </c>
    </row>
    <row r="366" spans="5:5">
      <c r="E366">
        <v>0</v>
      </c>
    </row>
    <row r="367" spans="5:5">
      <c r="E367">
        <v>1914.05</v>
      </c>
    </row>
    <row r="368" spans="5:5">
      <c r="E368">
        <v>4424.45</v>
      </c>
    </row>
    <row r="369" spans="5:5">
      <c r="E369">
        <v>19336.57</v>
      </c>
    </row>
    <row r="370" spans="5:5">
      <c r="E370">
        <v>0</v>
      </c>
    </row>
    <row r="371" spans="5:5">
      <c r="E371">
        <v>0</v>
      </c>
    </row>
    <row r="372" spans="5:5">
      <c r="E372">
        <v>3150.13</v>
      </c>
    </row>
    <row r="373" spans="5:5">
      <c r="E373">
        <v>24119.759999999998</v>
      </c>
    </row>
    <row r="374" spans="5:5">
      <c r="E374">
        <v>0</v>
      </c>
    </row>
    <row r="375" spans="5:5">
      <c r="E375">
        <v>4609.3100000000004</v>
      </c>
    </row>
    <row r="376" spans="5:5">
      <c r="E376">
        <v>0</v>
      </c>
    </row>
    <row r="377" spans="5:5">
      <c r="E377">
        <v>0</v>
      </c>
    </row>
    <row r="378" spans="5:5">
      <c r="E378">
        <v>0</v>
      </c>
    </row>
    <row r="379" spans="5:5">
      <c r="E379">
        <v>0</v>
      </c>
    </row>
    <row r="380" spans="5:5">
      <c r="E380">
        <v>0</v>
      </c>
    </row>
    <row r="381" spans="5:5">
      <c r="E381">
        <v>0</v>
      </c>
    </row>
    <row r="382" spans="5:5">
      <c r="E382">
        <v>0</v>
      </c>
    </row>
    <row r="383" spans="5:5">
      <c r="E383">
        <v>0</v>
      </c>
    </row>
    <row r="384" spans="5:5">
      <c r="E384">
        <v>0</v>
      </c>
    </row>
    <row r="385" spans="5:5">
      <c r="E385">
        <v>0</v>
      </c>
    </row>
    <row r="386" spans="5:5">
      <c r="E386">
        <v>0</v>
      </c>
    </row>
    <row r="387" spans="5:5">
      <c r="E387">
        <v>0</v>
      </c>
    </row>
    <row r="388" spans="5:5">
      <c r="E388">
        <v>0</v>
      </c>
    </row>
    <row r="389" spans="5:5">
      <c r="E389">
        <v>0</v>
      </c>
    </row>
    <row r="390" spans="5:5">
      <c r="E390">
        <v>0</v>
      </c>
    </row>
    <row r="391" spans="5:5">
      <c r="E391">
        <v>0</v>
      </c>
    </row>
    <row r="392" spans="5:5">
      <c r="E392">
        <v>0</v>
      </c>
    </row>
    <row r="393" spans="5:5">
      <c r="E393">
        <v>0</v>
      </c>
    </row>
    <row r="394" spans="5:5">
      <c r="E394">
        <v>0</v>
      </c>
    </row>
    <row r="395" spans="5:5">
      <c r="E395">
        <v>0</v>
      </c>
    </row>
    <row r="396" spans="5:5">
      <c r="E396">
        <v>11961.54</v>
      </c>
    </row>
    <row r="397" spans="5:5">
      <c r="E397">
        <v>0</v>
      </c>
    </row>
    <row r="398" spans="5:5">
      <c r="E398">
        <v>2560</v>
      </c>
    </row>
    <row r="399" spans="5:5">
      <c r="E399">
        <v>0</v>
      </c>
    </row>
    <row r="400" spans="5:5">
      <c r="E400">
        <v>0</v>
      </c>
    </row>
    <row r="401" spans="5:5">
      <c r="E401">
        <v>0</v>
      </c>
    </row>
    <row r="402" spans="5:5">
      <c r="E402">
        <v>0</v>
      </c>
    </row>
    <row r="403" spans="5:5">
      <c r="E403">
        <v>0</v>
      </c>
    </row>
    <row r="404" spans="5:5">
      <c r="E404">
        <v>0</v>
      </c>
    </row>
    <row r="405" spans="5:5">
      <c r="E405">
        <v>0</v>
      </c>
    </row>
    <row r="406" spans="5:5">
      <c r="E406">
        <v>0</v>
      </c>
    </row>
    <row r="407" spans="5:5">
      <c r="E407">
        <v>0</v>
      </c>
    </row>
    <row r="408" spans="5:5">
      <c r="E408">
        <v>0</v>
      </c>
    </row>
    <row r="409" spans="5:5">
      <c r="E409">
        <v>0</v>
      </c>
    </row>
    <row r="410" spans="5:5">
      <c r="E410">
        <v>0</v>
      </c>
    </row>
    <row r="411" spans="5:5">
      <c r="E411">
        <v>0</v>
      </c>
    </row>
    <row r="412" spans="5:5">
      <c r="E412">
        <v>0</v>
      </c>
    </row>
    <row r="413" spans="5:5">
      <c r="E413">
        <v>0</v>
      </c>
    </row>
    <row r="414" spans="5:5">
      <c r="E414">
        <v>0</v>
      </c>
    </row>
    <row r="415" spans="5:5">
      <c r="E415">
        <v>0</v>
      </c>
    </row>
    <row r="416" spans="5:5">
      <c r="E416">
        <v>0</v>
      </c>
    </row>
    <row r="417" spans="5:5">
      <c r="E417">
        <v>0</v>
      </c>
    </row>
    <row r="418" spans="5:5">
      <c r="E418">
        <v>0</v>
      </c>
    </row>
    <row r="419" spans="5:5">
      <c r="E419">
        <v>0</v>
      </c>
    </row>
    <row r="420" spans="5:5">
      <c r="E420">
        <v>0</v>
      </c>
    </row>
    <row r="421" spans="5:5">
      <c r="E421">
        <v>0</v>
      </c>
    </row>
    <row r="422" spans="5:5">
      <c r="E422">
        <v>0</v>
      </c>
    </row>
    <row r="423" spans="5:5">
      <c r="E423">
        <v>0</v>
      </c>
    </row>
    <row r="424" spans="5:5">
      <c r="E424">
        <v>0</v>
      </c>
    </row>
    <row r="425" spans="5:5">
      <c r="E425">
        <v>0</v>
      </c>
    </row>
    <row r="426" spans="5:5">
      <c r="E426">
        <v>884</v>
      </c>
    </row>
    <row r="427" spans="5:5">
      <c r="E427">
        <v>27600</v>
      </c>
    </row>
    <row r="428" spans="5:5">
      <c r="E428">
        <v>0</v>
      </c>
    </row>
    <row r="429" spans="5:5">
      <c r="E429">
        <v>13827.6</v>
      </c>
    </row>
    <row r="430" spans="5:5">
      <c r="E430">
        <v>0</v>
      </c>
    </row>
    <row r="431" spans="5:5">
      <c r="E431">
        <v>0</v>
      </c>
    </row>
    <row r="432" spans="5:5">
      <c r="E432">
        <v>0</v>
      </c>
    </row>
    <row r="433" spans="5:5">
      <c r="E433">
        <v>813.9</v>
      </c>
    </row>
    <row r="434" spans="5:5">
      <c r="E434">
        <v>0</v>
      </c>
    </row>
    <row r="435" spans="5:5">
      <c r="E435">
        <v>0</v>
      </c>
    </row>
    <row r="436" spans="5:5">
      <c r="E436">
        <v>0</v>
      </c>
    </row>
    <row r="437" spans="5:5">
      <c r="E437">
        <v>693.09</v>
      </c>
    </row>
    <row r="438" spans="5:5">
      <c r="E438">
        <v>7602.45</v>
      </c>
    </row>
    <row r="439" spans="5:5">
      <c r="E439">
        <v>5995.2</v>
      </c>
    </row>
    <row r="440" spans="5:5">
      <c r="E440">
        <v>0</v>
      </c>
    </row>
    <row r="441" spans="5:5">
      <c r="E441">
        <v>0</v>
      </c>
    </row>
    <row r="442" spans="5:5">
      <c r="E442">
        <v>0</v>
      </c>
    </row>
    <row r="443" spans="5:5">
      <c r="E443">
        <v>0</v>
      </c>
    </row>
    <row r="444" spans="5:5">
      <c r="E444">
        <v>0</v>
      </c>
    </row>
    <row r="445" spans="5:5">
      <c r="E445">
        <v>0</v>
      </c>
    </row>
    <row r="446" spans="5:5">
      <c r="E446">
        <v>0</v>
      </c>
    </row>
    <row r="447" spans="5:5">
      <c r="E447">
        <v>6171</v>
      </c>
    </row>
    <row r="448" spans="5:5">
      <c r="E448">
        <v>6182.6</v>
      </c>
    </row>
    <row r="449" spans="5:5">
      <c r="E449">
        <v>0</v>
      </c>
    </row>
    <row r="450" spans="5:5">
      <c r="E450">
        <v>82838.75</v>
      </c>
    </row>
    <row r="451" spans="5:5">
      <c r="E451">
        <v>0</v>
      </c>
    </row>
    <row r="452" spans="5:5">
      <c r="E452">
        <v>0</v>
      </c>
    </row>
    <row r="453" spans="5:5">
      <c r="E453">
        <v>0</v>
      </c>
    </row>
    <row r="454" spans="5:5">
      <c r="E454">
        <v>0</v>
      </c>
    </row>
    <row r="455" spans="5:5">
      <c r="E455">
        <v>0</v>
      </c>
    </row>
    <row r="456" spans="5:5">
      <c r="E456">
        <v>0</v>
      </c>
    </row>
    <row r="457" spans="5:5">
      <c r="E457">
        <v>0</v>
      </c>
    </row>
    <row r="458" spans="5:5">
      <c r="E458">
        <v>0</v>
      </c>
    </row>
    <row r="459" spans="5:5">
      <c r="E459">
        <v>0</v>
      </c>
    </row>
    <row r="460" spans="5:5">
      <c r="E460">
        <v>0</v>
      </c>
    </row>
    <row r="461" spans="5:5">
      <c r="E461">
        <v>0</v>
      </c>
    </row>
    <row r="462" spans="5:5">
      <c r="E462">
        <v>0</v>
      </c>
    </row>
    <row r="463" spans="5:5">
      <c r="E463">
        <v>0</v>
      </c>
    </row>
    <row r="464" spans="5:5">
      <c r="E464">
        <v>0</v>
      </c>
    </row>
    <row r="465" spans="5:5">
      <c r="E465">
        <v>0</v>
      </c>
    </row>
    <row r="466" spans="5:5">
      <c r="E466">
        <v>0</v>
      </c>
    </row>
    <row r="467" spans="5:5">
      <c r="E467">
        <v>0</v>
      </c>
    </row>
    <row r="468" spans="5:5">
      <c r="E468">
        <v>0</v>
      </c>
    </row>
    <row r="469" spans="5:5">
      <c r="E469">
        <v>0</v>
      </c>
    </row>
    <row r="470" spans="5:5">
      <c r="E470">
        <v>0</v>
      </c>
    </row>
    <row r="471" spans="5:5">
      <c r="E471">
        <v>0</v>
      </c>
    </row>
    <row r="472" spans="5:5">
      <c r="E472">
        <v>0</v>
      </c>
    </row>
    <row r="473" spans="5:5">
      <c r="E473">
        <v>0</v>
      </c>
    </row>
    <row r="474" spans="5:5">
      <c r="E474">
        <v>0</v>
      </c>
    </row>
    <row r="475" spans="5:5">
      <c r="E475">
        <v>0</v>
      </c>
    </row>
    <row r="476" spans="5:5">
      <c r="E476">
        <v>0</v>
      </c>
    </row>
    <row r="477" spans="5:5">
      <c r="E477">
        <v>0</v>
      </c>
    </row>
    <row r="478" spans="5:5">
      <c r="E478">
        <v>0</v>
      </c>
    </row>
    <row r="479" spans="5:5">
      <c r="E479">
        <v>0</v>
      </c>
    </row>
    <row r="480" spans="5:5">
      <c r="E480">
        <v>0</v>
      </c>
    </row>
    <row r="481" spans="5:5">
      <c r="E481">
        <v>0</v>
      </c>
    </row>
    <row r="482" spans="5:5">
      <c r="E482">
        <v>0</v>
      </c>
    </row>
    <row r="483" spans="5:5">
      <c r="E483">
        <v>0</v>
      </c>
    </row>
    <row r="484" spans="5:5">
      <c r="E484">
        <v>0</v>
      </c>
    </row>
    <row r="485" spans="5:5">
      <c r="E485">
        <v>0</v>
      </c>
    </row>
    <row r="486" spans="5:5">
      <c r="E486">
        <v>0</v>
      </c>
    </row>
    <row r="487" spans="5:5">
      <c r="E487">
        <v>0</v>
      </c>
    </row>
    <row r="488" spans="5:5">
      <c r="E488">
        <v>0</v>
      </c>
    </row>
    <row r="489" spans="5:5">
      <c r="E489">
        <v>0</v>
      </c>
    </row>
    <row r="490" spans="5:5">
      <c r="E490">
        <v>0</v>
      </c>
    </row>
    <row r="499" spans="5:5">
      <c r="E499">
        <v>0</v>
      </c>
    </row>
    <row r="500" spans="5:5">
      <c r="E500">
        <v>1345361.6</v>
      </c>
    </row>
    <row r="501" spans="5:5">
      <c r="E501">
        <v>790578.97</v>
      </c>
    </row>
    <row r="502" spans="5:5">
      <c r="E502">
        <v>748484.88</v>
      </c>
    </row>
    <row r="503" spans="5:5">
      <c r="E503">
        <v>768647.82</v>
      </c>
    </row>
    <row r="504" spans="5:5">
      <c r="E504">
        <v>808207.75</v>
      </c>
    </row>
    <row r="505" spans="5:5">
      <c r="E505">
        <v>876230.3</v>
      </c>
    </row>
    <row r="506" spans="5:5">
      <c r="E506">
        <v>299445.84999999998</v>
      </c>
    </row>
    <row r="507" spans="5:5">
      <c r="E507">
        <v>0</v>
      </c>
    </row>
    <row r="508" spans="5:5">
      <c r="E508">
        <v>418924.94</v>
      </c>
    </row>
    <row r="509" spans="5:5">
      <c r="E509">
        <v>354470.40000000002</v>
      </c>
    </row>
    <row r="510" spans="5:5">
      <c r="E510">
        <v>343826.64</v>
      </c>
    </row>
    <row r="511" spans="5:5">
      <c r="E511">
        <v>62686.34</v>
      </c>
    </row>
    <row r="512" spans="5:5">
      <c r="E512">
        <v>0</v>
      </c>
    </row>
    <row r="513" spans="5:5">
      <c r="E513">
        <v>0</v>
      </c>
    </row>
    <row r="514" spans="5:5">
      <c r="E514">
        <v>0</v>
      </c>
    </row>
    <row r="515" spans="5:5">
      <c r="E515">
        <v>0</v>
      </c>
    </row>
    <row r="516" spans="5:5">
      <c r="E516">
        <v>0</v>
      </c>
    </row>
    <row r="517" spans="5:5">
      <c r="E517">
        <v>0</v>
      </c>
    </row>
    <row r="518" spans="5:5">
      <c r="E518">
        <v>0</v>
      </c>
    </row>
    <row r="519" spans="5:5">
      <c r="E519">
        <v>0</v>
      </c>
    </row>
    <row r="520" spans="5:5">
      <c r="E520">
        <v>0</v>
      </c>
    </row>
    <row r="521" spans="5:5">
      <c r="E521">
        <v>0</v>
      </c>
    </row>
    <row r="522" spans="5:5">
      <c r="E522">
        <v>0</v>
      </c>
    </row>
    <row r="523" spans="5:5">
      <c r="E523">
        <v>0</v>
      </c>
    </row>
    <row r="524" spans="5:5">
      <c r="E524">
        <v>0</v>
      </c>
    </row>
    <row r="525" spans="5:5">
      <c r="E525">
        <v>0</v>
      </c>
    </row>
    <row r="526" spans="5:5">
      <c r="E526">
        <v>0</v>
      </c>
    </row>
    <row r="527" spans="5:5">
      <c r="E527">
        <v>0</v>
      </c>
    </row>
    <row r="528" spans="5:5">
      <c r="E528">
        <v>0</v>
      </c>
    </row>
    <row r="529" spans="5:5">
      <c r="E529">
        <v>0</v>
      </c>
    </row>
    <row r="530" spans="5:5">
      <c r="E530">
        <v>0</v>
      </c>
    </row>
    <row r="531" spans="5:5">
      <c r="E531">
        <v>0</v>
      </c>
    </row>
    <row r="532" spans="5:5">
      <c r="E532">
        <v>288493.88</v>
      </c>
    </row>
    <row r="533" spans="5:5">
      <c r="E533">
        <v>0</v>
      </c>
    </row>
    <row r="534" spans="5:5">
      <c r="E534">
        <v>273861.26</v>
      </c>
    </row>
    <row r="535" spans="5:5">
      <c r="E535">
        <v>314682.13</v>
      </c>
    </row>
    <row r="536" spans="5:5">
      <c r="E536">
        <v>134255.57999999999</v>
      </c>
    </row>
    <row r="537" spans="5:5">
      <c r="E537">
        <v>0</v>
      </c>
    </row>
    <row r="538" spans="5:5">
      <c r="E538">
        <v>0</v>
      </c>
    </row>
    <row r="539" spans="5:5">
      <c r="E539">
        <v>0</v>
      </c>
    </row>
    <row r="540" spans="5:5">
      <c r="E540">
        <v>0</v>
      </c>
    </row>
    <row r="541" spans="5:5">
      <c r="E541">
        <v>74999.67</v>
      </c>
    </row>
    <row r="542" spans="5:5">
      <c r="E542">
        <v>96346.880000000005</v>
      </c>
    </row>
    <row r="543" spans="5:5">
      <c r="E543">
        <v>6761.82</v>
      </c>
    </row>
    <row r="544" spans="5:5">
      <c r="E544">
        <v>0</v>
      </c>
    </row>
    <row r="545" spans="5:5">
      <c r="E545">
        <v>0</v>
      </c>
    </row>
    <row r="546" spans="5:5">
      <c r="E546">
        <v>0</v>
      </c>
    </row>
    <row r="547" spans="5:5">
      <c r="E547">
        <v>0</v>
      </c>
    </row>
    <row r="548" spans="5:5">
      <c r="E548">
        <v>0</v>
      </c>
    </row>
    <row r="549" spans="5:5">
      <c r="E549">
        <v>7461.92</v>
      </c>
    </row>
    <row r="550" spans="5:5">
      <c r="E550">
        <v>8278.52</v>
      </c>
    </row>
    <row r="551" spans="5:5">
      <c r="E551">
        <v>0</v>
      </c>
    </row>
    <row r="552" spans="5:5">
      <c r="E552">
        <v>0</v>
      </c>
    </row>
    <row r="553" spans="5:5">
      <c r="E553">
        <v>0</v>
      </c>
    </row>
    <row r="554" spans="5:5">
      <c r="E554">
        <v>0</v>
      </c>
    </row>
    <row r="555" spans="5:5">
      <c r="E555">
        <v>0</v>
      </c>
    </row>
    <row r="556" spans="5:5">
      <c r="E556">
        <v>5760.4</v>
      </c>
    </row>
    <row r="557" spans="5:5">
      <c r="E557">
        <v>55419.53</v>
      </c>
    </row>
    <row r="558" spans="5:5">
      <c r="E558">
        <v>0</v>
      </c>
    </row>
    <row r="559" spans="5:5">
      <c r="E559">
        <v>0</v>
      </c>
    </row>
    <row r="560" spans="5:5">
      <c r="E560">
        <v>0</v>
      </c>
    </row>
    <row r="561" spans="5:5">
      <c r="E561">
        <v>0</v>
      </c>
    </row>
    <row r="562" spans="5:5">
      <c r="E562">
        <v>0</v>
      </c>
    </row>
    <row r="563" spans="5:5">
      <c r="E563">
        <v>0</v>
      </c>
    </row>
    <row r="564" spans="5:5">
      <c r="E564">
        <v>0</v>
      </c>
    </row>
    <row r="565" spans="5:5">
      <c r="E565">
        <v>0</v>
      </c>
    </row>
    <row r="566" spans="5:5">
      <c r="E566">
        <v>0</v>
      </c>
    </row>
    <row r="567" spans="5:5">
      <c r="E567">
        <v>0</v>
      </c>
    </row>
    <row r="568" spans="5:5">
      <c r="E568">
        <v>0</v>
      </c>
    </row>
    <row r="569" spans="5:5">
      <c r="E569">
        <v>0</v>
      </c>
    </row>
    <row r="570" spans="5:5">
      <c r="E570">
        <v>0</v>
      </c>
    </row>
    <row r="571" spans="5:5">
      <c r="E571">
        <v>0</v>
      </c>
    </row>
    <row r="572" spans="5:5">
      <c r="E572">
        <v>0</v>
      </c>
    </row>
    <row r="573" spans="5:5">
      <c r="E573">
        <v>0</v>
      </c>
    </row>
    <row r="574" spans="5:5">
      <c r="E574">
        <v>0</v>
      </c>
    </row>
    <row r="575" spans="5:5">
      <c r="E575">
        <v>0</v>
      </c>
    </row>
    <row r="576" spans="5:5">
      <c r="E576">
        <v>0</v>
      </c>
    </row>
    <row r="577" spans="5:5">
      <c r="E577">
        <v>0</v>
      </c>
    </row>
    <row r="578" spans="5:5">
      <c r="E578">
        <v>0</v>
      </c>
    </row>
    <row r="579" spans="5:5">
      <c r="E579">
        <v>0</v>
      </c>
    </row>
    <row r="580" spans="5:5">
      <c r="E580">
        <v>0</v>
      </c>
    </row>
    <row r="581" spans="5:5">
      <c r="E581">
        <v>0</v>
      </c>
    </row>
    <row r="582" spans="5:5">
      <c r="E582">
        <v>0</v>
      </c>
    </row>
    <row r="583" spans="5:5">
      <c r="E583">
        <v>0</v>
      </c>
    </row>
    <row r="584" spans="5:5">
      <c r="E584">
        <v>0</v>
      </c>
    </row>
    <row r="585" spans="5:5">
      <c r="E585">
        <v>0</v>
      </c>
    </row>
    <row r="586" spans="5:5">
      <c r="E586">
        <v>0</v>
      </c>
    </row>
    <row r="587" spans="5:5">
      <c r="E587">
        <v>0</v>
      </c>
    </row>
    <row r="588" spans="5:5">
      <c r="E588">
        <v>0</v>
      </c>
    </row>
    <row r="589" spans="5:5">
      <c r="E589">
        <v>172075.43</v>
      </c>
    </row>
    <row r="590" spans="5:5">
      <c r="E590">
        <v>575734.28</v>
      </c>
    </row>
    <row r="591" spans="5:5">
      <c r="E591">
        <v>304999.89</v>
      </c>
    </row>
    <row r="592" spans="5:5">
      <c r="E592">
        <v>0</v>
      </c>
    </row>
    <row r="593" spans="5:5">
      <c r="E593">
        <v>0</v>
      </c>
    </row>
    <row r="594" spans="5:5">
      <c r="E594">
        <v>0</v>
      </c>
    </row>
    <row r="595" spans="5:5">
      <c r="E595">
        <v>0</v>
      </c>
    </row>
    <row r="596" spans="5:5">
      <c r="E596">
        <v>0</v>
      </c>
    </row>
    <row r="597" spans="5:5">
      <c r="E597">
        <v>0</v>
      </c>
    </row>
    <row r="598" spans="5:5">
      <c r="E598">
        <v>0</v>
      </c>
    </row>
    <row r="599" spans="5:5">
      <c r="E599">
        <v>0</v>
      </c>
    </row>
    <row r="600" spans="5:5">
      <c r="E600">
        <v>0</v>
      </c>
    </row>
    <row r="601" spans="5:5">
      <c r="E601">
        <v>0</v>
      </c>
    </row>
    <row r="602" spans="5:5">
      <c r="E602">
        <v>0</v>
      </c>
    </row>
    <row r="603" spans="5:5">
      <c r="E603">
        <v>0</v>
      </c>
    </row>
    <row r="604" spans="5:5">
      <c r="E604">
        <v>0</v>
      </c>
    </row>
    <row r="605" spans="5:5">
      <c r="E605">
        <v>0</v>
      </c>
    </row>
    <row r="606" spans="5:5">
      <c r="E606">
        <v>0</v>
      </c>
    </row>
    <row r="607" spans="5:5">
      <c r="E607">
        <v>0</v>
      </c>
    </row>
    <row r="608" spans="5:5">
      <c r="E608">
        <v>0</v>
      </c>
    </row>
    <row r="609" spans="5:5">
      <c r="E609">
        <v>0</v>
      </c>
    </row>
    <row r="610" spans="5:5">
      <c r="E610">
        <v>0</v>
      </c>
    </row>
    <row r="611" spans="5:5">
      <c r="E611">
        <v>0</v>
      </c>
    </row>
    <row r="612" spans="5:5">
      <c r="E612">
        <v>0</v>
      </c>
    </row>
    <row r="613" spans="5:5">
      <c r="E613">
        <v>0</v>
      </c>
    </row>
    <row r="614" spans="5:5">
      <c r="E614">
        <v>0</v>
      </c>
    </row>
    <row r="615" spans="5:5">
      <c r="E615">
        <v>0</v>
      </c>
    </row>
    <row r="616" spans="5:5">
      <c r="E616">
        <v>0</v>
      </c>
    </row>
    <row r="617" spans="5:5">
      <c r="E617">
        <v>0</v>
      </c>
    </row>
    <row r="618" spans="5:5">
      <c r="E618">
        <v>10061.719999999999</v>
      </c>
    </row>
    <row r="619" spans="5:5">
      <c r="E619">
        <v>17663</v>
      </c>
    </row>
    <row r="620" spans="5:5">
      <c r="E620">
        <v>0</v>
      </c>
    </row>
    <row r="621" spans="5:5">
      <c r="E621">
        <v>0</v>
      </c>
    </row>
    <row r="622" spans="5:5">
      <c r="E622">
        <v>0</v>
      </c>
    </row>
    <row r="623" spans="5:5">
      <c r="E623">
        <v>0</v>
      </c>
    </row>
    <row r="624" spans="5:5">
      <c r="E624">
        <v>0</v>
      </c>
    </row>
    <row r="625" spans="5:5">
      <c r="E625">
        <v>18961.419999999998</v>
      </c>
    </row>
    <row r="626" spans="5:5">
      <c r="E626">
        <v>32904.49</v>
      </c>
    </row>
    <row r="627" spans="5:5">
      <c r="E627">
        <v>0</v>
      </c>
    </row>
    <row r="628" spans="5:5">
      <c r="E628">
        <v>0</v>
      </c>
    </row>
    <row r="629" spans="5:5">
      <c r="E629">
        <v>0</v>
      </c>
    </row>
    <row r="630" spans="5:5">
      <c r="E630">
        <v>0</v>
      </c>
    </row>
    <row r="631" spans="5:5">
      <c r="E631">
        <v>0</v>
      </c>
    </row>
    <row r="632" spans="5:5">
      <c r="E632">
        <v>0</v>
      </c>
    </row>
    <row r="633" spans="5:5">
      <c r="E633">
        <v>0</v>
      </c>
    </row>
    <row r="634" spans="5:5">
      <c r="E634">
        <v>40232.5</v>
      </c>
    </row>
    <row r="635" spans="5:5">
      <c r="E635">
        <v>0</v>
      </c>
    </row>
    <row r="636" spans="5:5">
      <c r="E636">
        <v>0</v>
      </c>
    </row>
    <row r="637" spans="5:5">
      <c r="E637">
        <v>0</v>
      </c>
    </row>
    <row r="638" spans="5:5">
      <c r="E638">
        <v>0</v>
      </c>
    </row>
    <row r="639" spans="5:5">
      <c r="E639">
        <v>0</v>
      </c>
    </row>
    <row r="640" spans="5:5">
      <c r="E640">
        <v>0</v>
      </c>
    </row>
    <row r="641" spans="5:5">
      <c r="E641">
        <v>0</v>
      </c>
    </row>
    <row r="642" spans="5:5">
      <c r="E642">
        <v>0</v>
      </c>
    </row>
    <row r="643" spans="5:5">
      <c r="E643">
        <v>0</v>
      </c>
    </row>
    <row r="644" spans="5:5">
      <c r="E644">
        <v>0</v>
      </c>
    </row>
    <row r="645" spans="5:5">
      <c r="E645">
        <v>0</v>
      </c>
    </row>
    <row r="646" spans="5:5">
      <c r="E646">
        <v>0</v>
      </c>
    </row>
    <row r="647" spans="5:5">
      <c r="E647">
        <v>0</v>
      </c>
    </row>
    <row r="648" spans="5:5">
      <c r="E648">
        <v>0</v>
      </c>
    </row>
    <row r="649" spans="5:5">
      <c r="E649">
        <v>0</v>
      </c>
    </row>
    <row r="650" spans="5:5">
      <c r="E650">
        <v>0</v>
      </c>
    </row>
    <row r="651" spans="5:5">
      <c r="E651">
        <v>0</v>
      </c>
    </row>
    <row r="652" spans="5:5">
      <c r="E652">
        <v>0</v>
      </c>
    </row>
    <row r="653" spans="5:5">
      <c r="E653">
        <v>0</v>
      </c>
    </row>
    <row r="654" spans="5:5">
      <c r="E654">
        <v>0</v>
      </c>
    </row>
    <row r="655" spans="5:5">
      <c r="E655">
        <v>0</v>
      </c>
    </row>
    <row r="656" spans="5:5">
      <c r="E656">
        <v>0</v>
      </c>
    </row>
    <row r="657" spans="5:5">
      <c r="E657">
        <v>0</v>
      </c>
    </row>
    <row r="658" spans="5:5">
      <c r="E658">
        <v>0</v>
      </c>
    </row>
    <row r="659" spans="5:5">
      <c r="E659">
        <v>0</v>
      </c>
    </row>
    <row r="660" spans="5:5">
      <c r="E660">
        <v>156233.45000000001</v>
      </c>
    </row>
    <row r="661" spans="5:5">
      <c r="E661">
        <v>0</v>
      </c>
    </row>
    <row r="662" spans="5:5">
      <c r="E662">
        <v>27772.43</v>
      </c>
    </row>
    <row r="663" spans="5:5">
      <c r="E663">
        <v>0</v>
      </c>
    </row>
    <row r="664" spans="5:5">
      <c r="E664">
        <v>0</v>
      </c>
    </row>
    <row r="665" spans="5:5">
      <c r="E665">
        <v>0</v>
      </c>
    </row>
    <row r="666" spans="5:5">
      <c r="E666">
        <v>0</v>
      </c>
    </row>
    <row r="667" spans="5:5">
      <c r="E667">
        <v>0</v>
      </c>
    </row>
    <row r="668" spans="5:5">
      <c r="E668">
        <v>0</v>
      </c>
    </row>
    <row r="669" spans="5:5">
      <c r="E669">
        <v>0</v>
      </c>
    </row>
    <row r="670" spans="5:5">
      <c r="E670">
        <v>7550.49</v>
      </c>
    </row>
    <row r="671" spans="5:5">
      <c r="E671">
        <v>0</v>
      </c>
    </row>
    <row r="672" spans="5:5">
      <c r="E672">
        <v>23361.24</v>
      </c>
    </row>
    <row r="673" spans="5:5">
      <c r="E673">
        <v>0</v>
      </c>
    </row>
    <row r="674" spans="5:5">
      <c r="E674">
        <v>0</v>
      </c>
    </row>
    <row r="675" spans="5:5">
      <c r="E675">
        <v>0</v>
      </c>
    </row>
    <row r="676" spans="5:5">
      <c r="E676">
        <v>0</v>
      </c>
    </row>
    <row r="677" spans="5:5">
      <c r="E677">
        <v>29563.06</v>
      </c>
    </row>
    <row r="678" spans="5:5">
      <c r="E678">
        <v>32713.63</v>
      </c>
    </row>
    <row r="679" spans="5:5">
      <c r="E679">
        <v>1030.05</v>
      </c>
    </row>
    <row r="680" spans="5:5">
      <c r="E680">
        <v>0</v>
      </c>
    </row>
    <row r="681" spans="5:5">
      <c r="E681">
        <v>0</v>
      </c>
    </row>
    <row r="682" spans="5:5">
      <c r="E682">
        <v>0</v>
      </c>
    </row>
    <row r="683" spans="5:5">
      <c r="E683">
        <v>0</v>
      </c>
    </row>
    <row r="684" spans="5:5">
      <c r="E684">
        <v>0</v>
      </c>
    </row>
    <row r="685" spans="5:5">
      <c r="E685">
        <v>0</v>
      </c>
    </row>
    <row r="686" spans="5:5">
      <c r="E686">
        <v>0</v>
      </c>
    </row>
    <row r="687" spans="5:5">
      <c r="E687">
        <v>0</v>
      </c>
    </row>
    <row r="688" spans="5:5">
      <c r="E688">
        <v>0</v>
      </c>
    </row>
    <row r="689" spans="5:5">
      <c r="E689">
        <v>0</v>
      </c>
    </row>
    <row r="690" spans="5:5">
      <c r="E690">
        <v>43492.5</v>
      </c>
    </row>
    <row r="691" spans="5:5">
      <c r="E691">
        <v>40662.1</v>
      </c>
    </row>
    <row r="692" spans="5:5">
      <c r="E692">
        <v>0</v>
      </c>
    </row>
    <row r="693" spans="5:5">
      <c r="E693">
        <v>45531.95</v>
      </c>
    </row>
    <row r="694" spans="5:5">
      <c r="E694">
        <v>16518</v>
      </c>
    </row>
    <row r="695" spans="5:5">
      <c r="E695">
        <v>0</v>
      </c>
    </row>
    <row r="696" spans="5:5">
      <c r="E696">
        <v>0</v>
      </c>
    </row>
    <row r="697" spans="5:5">
      <c r="E697">
        <v>2176.4</v>
      </c>
    </row>
    <row r="698" spans="5:5">
      <c r="E698">
        <v>0</v>
      </c>
    </row>
    <row r="699" spans="5:5">
      <c r="E699">
        <v>0</v>
      </c>
    </row>
    <row r="700" spans="5:5">
      <c r="E700">
        <v>0</v>
      </c>
    </row>
    <row r="701" spans="5:5">
      <c r="E701">
        <v>0</v>
      </c>
    </row>
    <row r="702" spans="5:5">
      <c r="E702">
        <v>0</v>
      </c>
    </row>
    <row r="703" spans="5:5">
      <c r="E703">
        <v>13427.4</v>
      </c>
    </row>
    <row r="704" spans="5:5">
      <c r="E704">
        <v>9189.9</v>
      </c>
    </row>
    <row r="705" spans="5:5">
      <c r="E705">
        <v>0</v>
      </c>
    </row>
    <row r="706" spans="5:5">
      <c r="E706">
        <v>2788.1</v>
      </c>
    </row>
    <row r="707" spans="5:5">
      <c r="E707">
        <v>7140</v>
      </c>
    </row>
    <row r="708" spans="5:5">
      <c r="E708">
        <v>2295.5500000000002</v>
      </c>
    </row>
    <row r="709" spans="5:5">
      <c r="E709">
        <v>0</v>
      </c>
    </row>
    <row r="710" spans="5:5">
      <c r="E710">
        <v>3507</v>
      </c>
    </row>
    <row r="711" spans="5:5">
      <c r="E711">
        <v>8038.3</v>
      </c>
    </row>
    <row r="712" spans="5:5">
      <c r="E712">
        <v>0</v>
      </c>
    </row>
    <row r="713" spans="5:5">
      <c r="E713">
        <v>2690.68</v>
      </c>
    </row>
    <row r="714" spans="5:5">
      <c r="E714">
        <v>0</v>
      </c>
    </row>
    <row r="715" spans="5:5">
      <c r="E715">
        <v>0</v>
      </c>
    </row>
    <row r="716" spans="5:5">
      <c r="E716">
        <v>0</v>
      </c>
    </row>
    <row r="717" spans="5:5">
      <c r="E717">
        <v>990</v>
      </c>
    </row>
    <row r="718" spans="5:5">
      <c r="E718">
        <v>250314.69</v>
      </c>
    </row>
    <row r="720" spans="5:5">
      <c r="E720">
        <v>0</v>
      </c>
    </row>
    <row r="721" spans="5:5">
      <c r="E721">
        <v>0</v>
      </c>
    </row>
    <row r="722" spans="5:5">
      <c r="E722">
        <v>0</v>
      </c>
    </row>
    <row r="723" spans="5:5">
      <c r="E723">
        <v>0</v>
      </c>
    </row>
    <row r="724" spans="5:5">
      <c r="E724">
        <v>205939.20000000001</v>
      </c>
    </row>
    <row r="725" spans="5:5">
      <c r="E725">
        <v>829.92</v>
      </c>
    </row>
    <row r="726" spans="5:5">
      <c r="E726">
        <v>0</v>
      </c>
    </row>
    <row r="727" spans="5:5">
      <c r="E727">
        <v>1602.72</v>
      </c>
    </row>
    <row r="728" spans="5:5">
      <c r="E728">
        <v>15007.5</v>
      </c>
    </row>
    <row r="729" spans="5:5">
      <c r="E729">
        <v>62288.78</v>
      </c>
    </row>
    <row r="730" spans="5:5">
      <c r="E730">
        <v>0</v>
      </c>
    </row>
    <row r="731" spans="5:5">
      <c r="E731">
        <v>0</v>
      </c>
    </row>
    <row r="732" spans="5:5">
      <c r="E732">
        <v>0</v>
      </c>
    </row>
    <row r="733" spans="5:5">
      <c r="E733">
        <v>277622.40999999997</v>
      </c>
    </row>
    <row r="734" spans="5:5">
      <c r="E734">
        <v>0</v>
      </c>
    </row>
    <row r="735" spans="5:5">
      <c r="E735">
        <v>0</v>
      </c>
    </row>
    <row r="736" spans="5:5">
      <c r="E736">
        <v>0</v>
      </c>
    </row>
    <row r="737" spans="5:5">
      <c r="E737">
        <v>0</v>
      </c>
    </row>
    <row r="738" spans="5:5">
      <c r="E738">
        <v>0</v>
      </c>
    </row>
    <row r="739" spans="5:5">
      <c r="E739">
        <v>0</v>
      </c>
    </row>
    <row r="740" spans="5:5">
      <c r="E740">
        <v>0</v>
      </c>
    </row>
    <row r="741" spans="5:5">
      <c r="E741">
        <v>0</v>
      </c>
    </row>
    <row r="742" spans="5:5">
      <c r="E742">
        <v>0</v>
      </c>
    </row>
    <row r="743" spans="5:5">
      <c r="E743">
        <v>0</v>
      </c>
    </row>
    <row r="744" spans="5:5">
      <c r="E744">
        <v>0</v>
      </c>
    </row>
    <row r="745" spans="5:5">
      <c r="E745">
        <v>0</v>
      </c>
    </row>
    <row r="746" spans="5:5">
      <c r="E746">
        <v>0</v>
      </c>
    </row>
    <row r="747" spans="5:5">
      <c r="E747">
        <v>0</v>
      </c>
    </row>
    <row r="748" spans="5:5">
      <c r="E748">
        <v>0</v>
      </c>
    </row>
    <row r="749" spans="5:5">
      <c r="E749">
        <v>938.84</v>
      </c>
    </row>
    <row r="750" spans="5:5">
      <c r="E750">
        <v>0</v>
      </c>
    </row>
    <row r="751" spans="5:5">
      <c r="E751">
        <v>0</v>
      </c>
    </row>
    <row r="752" spans="5:5">
      <c r="E752">
        <v>0</v>
      </c>
    </row>
    <row r="753" spans="5:5">
      <c r="E753">
        <v>0</v>
      </c>
    </row>
    <row r="754" spans="5:5">
      <c r="E754">
        <v>0</v>
      </c>
    </row>
    <row r="755" spans="5:5">
      <c r="E755">
        <v>0</v>
      </c>
    </row>
    <row r="756" spans="5:5">
      <c r="E756">
        <v>0</v>
      </c>
    </row>
    <row r="757" spans="5:5">
      <c r="E757">
        <v>0</v>
      </c>
    </row>
    <row r="758" spans="5:5">
      <c r="E758">
        <v>0</v>
      </c>
    </row>
    <row r="759" spans="5:5">
      <c r="E759">
        <v>0</v>
      </c>
    </row>
    <row r="760" spans="5:5">
      <c r="E760">
        <v>0</v>
      </c>
    </row>
    <row r="761" spans="5:5">
      <c r="E761">
        <v>0</v>
      </c>
    </row>
    <row r="762" spans="5:5">
      <c r="E762">
        <v>0</v>
      </c>
    </row>
    <row r="763" spans="5:5">
      <c r="E763">
        <v>0</v>
      </c>
    </row>
    <row r="764" spans="5:5">
      <c r="E764">
        <v>0</v>
      </c>
    </row>
    <row r="765" spans="5:5">
      <c r="E765">
        <v>0</v>
      </c>
    </row>
    <row r="766" spans="5:5">
      <c r="E766">
        <v>0</v>
      </c>
    </row>
    <row r="767" spans="5:5">
      <c r="E767">
        <v>0</v>
      </c>
    </row>
    <row r="768" spans="5:5">
      <c r="E768">
        <v>0</v>
      </c>
    </row>
    <row r="769" spans="5:5">
      <c r="E769">
        <v>0</v>
      </c>
    </row>
    <row r="770" spans="5:5">
      <c r="E770">
        <v>0</v>
      </c>
    </row>
    <row r="771" spans="5:5">
      <c r="E771">
        <v>0</v>
      </c>
    </row>
    <row r="772" spans="5:5">
      <c r="E772">
        <v>0</v>
      </c>
    </row>
    <row r="773" spans="5:5">
      <c r="E773">
        <v>0</v>
      </c>
    </row>
    <row r="774" spans="5:5">
      <c r="E774">
        <v>0</v>
      </c>
    </row>
    <row r="775" spans="5:5">
      <c r="E775">
        <v>0</v>
      </c>
    </row>
    <row r="776" spans="5:5">
      <c r="E776">
        <v>0</v>
      </c>
    </row>
    <row r="777" spans="5:5">
      <c r="E777">
        <v>0</v>
      </c>
    </row>
    <row r="778" spans="5:5">
      <c r="E778">
        <v>0</v>
      </c>
    </row>
    <row r="779" spans="5:5">
      <c r="E779">
        <v>3523.75</v>
      </c>
    </row>
    <row r="780" spans="5:5">
      <c r="E780">
        <v>3603.95</v>
      </c>
    </row>
    <row r="781" spans="5:5">
      <c r="E781">
        <v>0</v>
      </c>
    </row>
    <row r="782" spans="5:5">
      <c r="E782">
        <v>5015</v>
      </c>
    </row>
    <row r="783" spans="5:5">
      <c r="E783">
        <v>0</v>
      </c>
    </row>
    <row r="784" spans="5:5">
      <c r="E784">
        <v>0</v>
      </c>
    </row>
    <row r="785" spans="5:5">
      <c r="E785">
        <v>0</v>
      </c>
    </row>
    <row r="786" spans="5:5">
      <c r="E786">
        <v>0</v>
      </c>
    </row>
    <row r="787" spans="5:5">
      <c r="E787">
        <v>0</v>
      </c>
    </row>
    <row r="788" spans="5:5">
      <c r="E788">
        <v>0</v>
      </c>
    </row>
    <row r="789" spans="5:5">
      <c r="E789">
        <v>0</v>
      </c>
    </row>
    <row r="790" spans="5:5">
      <c r="E790">
        <v>0</v>
      </c>
    </row>
    <row r="791" spans="5:5">
      <c r="E791">
        <v>0</v>
      </c>
    </row>
    <row r="792" spans="5:5">
      <c r="E792">
        <v>0</v>
      </c>
    </row>
    <row r="793" spans="5:5">
      <c r="E793">
        <v>0</v>
      </c>
    </row>
    <row r="794" spans="5:5">
      <c r="E794">
        <v>0</v>
      </c>
    </row>
    <row r="795" spans="5:5">
      <c r="E795">
        <v>0</v>
      </c>
    </row>
    <row r="796" spans="5:5">
      <c r="E796">
        <v>0</v>
      </c>
    </row>
    <row r="797" spans="5:5">
      <c r="E797">
        <v>0</v>
      </c>
    </row>
    <row r="798" spans="5:5">
      <c r="E798">
        <v>34855.800000000003</v>
      </c>
    </row>
    <row r="799" spans="5:5">
      <c r="E799">
        <v>446675.4</v>
      </c>
    </row>
    <row r="800" spans="5:5">
      <c r="E800">
        <v>0</v>
      </c>
    </row>
    <row r="801" spans="5:5">
      <c r="E801">
        <v>0</v>
      </c>
    </row>
    <row r="802" spans="5:5">
      <c r="E802">
        <v>0</v>
      </c>
    </row>
    <row r="803" spans="5:5">
      <c r="E803">
        <v>0</v>
      </c>
    </row>
    <row r="804" spans="5:5">
      <c r="E804">
        <v>0</v>
      </c>
    </row>
    <row r="805" spans="5:5">
      <c r="E805">
        <v>0</v>
      </c>
    </row>
    <row r="806" spans="5:5">
      <c r="E806">
        <v>0</v>
      </c>
    </row>
    <row r="807" spans="5:5">
      <c r="E807">
        <v>0</v>
      </c>
    </row>
    <row r="808" spans="5:5">
      <c r="E808">
        <v>0</v>
      </c>
    </row>
    <row r="809" spans="5:5">
      <c r="E809">
        <v>11146.4</v>
      </c>
    </row>
    <row r="810" spans="5:5">
      <c r="E810">
        <v>0</v>
      </c>
    </row>
    <row r="811" spans="5:5">
      <c r="E811">
        <v>25253.05</v>
      </c>
    </row>
    <row r="812" spans="5:5">
      <c r="E812">
        <v>0</v>
      </c>
    </row>
    <row r="813" spans="5:5">
      <c r="E813">
        <v>0</v>
      </c>
    </row>
    <row r="814" spans="5:5">
      <c r="E814">
        <v>0</v>
      </c>
    </row>
    <row r="815" spans="5:5">
      <c r="E815">
        <v>0</v>
      </c>
    </row>
    <row r="816" spans="5:5">
      <c r="E816">
        <v>0</v>
      </c>
    </row>
    <row r="817" spans="5:5">
      <c r="E817">
        <v>0</v>
      </c>
    </row>
    <row r="818" spans="5:5">
      <c r="E818">
        <v>0</v>
      </c>
    </row>
    <row r="819" spans="5:5">
      <c r="E819">
        <v>0</v>
      </c>
    </row>
    <row r="820" spans="5:5">
      <c r="E820">
        <v>0</v>
      </c>
    </row>
    <row r="821" spans="5:5">
      <c r="E821">
        <v>4663.18</v>
      </c>
    </row>
    <row r="822" spans="5:5">
      <c r="E822">
        <v>0</v>
      </c>
    </row>
    <row r="823" spans="5:5">
      <c r="E823">
        <v>0</v>
      </c>
    </row>
    <row r="824" spans="5:5">
      <c r="E824">
        <v>0</v>
      </c>
    </row>
    <row r="825" spans="5:5">
      <c r="E825">
        <v>0</v>
      </c>
    </row>
    <row r="826" spans="5:5">
      <c r="E826">
        <v>0</v>
      </c>
    </row>
    <row r="827" spans="5:5">
      <c r="E827">
        <v>0</v>
      </c>
    </row>
    <row r="828" spans="5:5">
      <c r="E828">
        <v>0</v>
      </c>
    </row>
    <row r="829" spans="5:5">
      <c r="E829">
        <v>0</v>
      </c>
    </row>
    <row r="830" spans="5:5">
      <c r="E830">
        <v>0</v>
      </c>
    </row>
    <row r="831" spans="5:5">
      <c r="E831">
        <v>0</v>
      </c>
    </row>
    <row r="832" spans="5:5">
      <c r="E832">
        <v>0</v>
      </c>
    </row>
    <row r="833" spans="5:5">
      <c r="E833">
        <v>0</v>
      </c>
    </row>
    <row r="834" spans="5:5">
      <c r="E834">
        <v>0</v>
      </c>
    </row>
    <row r="835" spans="5:5">
      <c r="E835">
        <v>0</v>
      </c>
    </row>
    <row r="836" spans="5:5">
      <c r="E836">
        <v>0</v>
      </c>
    </row>
    <row r="837" spans="5:5">
      <c r="E837">
        <v>0</v>
      </c>
    </row>
    <row r="838" spans="5:5">
      <c r="E838">
        <v>0</v>
      </c>
    </row>
    <row r="839" spans="5:5">
      <c r="E839">
        <v>0</v>
      </c>
    </row>
    <row r="840" spans="5:5">
      <c r="E840">
        <v>0</v>
      </c>
    </row>
    <row r="841" spans="5:5">
      <c r="E841">
        <v>0</v>
      </c>
    </row>
    <row r="842" spans="5:5">
      <c r="E842">
        <v>0</v>
      </c>
    </row>
    <row r="843" spans="5:5">
      <c r="E843">
        <v>0</v>
      </c>
    </row>
    <row r="844" spans="5:5">
      <c r="E844">
        <v>0</v>
      </c>
    </row>
    <row r="845" spans="5:5">
      <c r="E845">
        <v>0</v>
      </c>
    </row>
    <row r="846" spans="5:5">
      <c r="E846">
        <v>0</v>
      </c>
    </row>
    <row r="847" spans="5:5">
      <c r="E847">
        <v>0</v>
      </c>
    </row>
    <row r="848" spans="5:5">
      <c r="E848">
        <v>0</v>
      </c>
    </row>
    <row r="850" spans="5:5">
      <c r="E850">
        <v>0</v>
      </c>
    </row>
    <row r="852" spans="5:5">
      <c r="E852">
        <v>0</v>
      </c>
    </row>
    <row r="853" spans="5:5">
      <c r="E853">
        <v>0</v>
      </c>
    </row>
    <row r="854" spans="5:5">
      <c r="E854">
        <v>0</v>
      </c>
    </row>
    <row r="855" spans="5:5">
      <c r="E855">
        <v>4809.3</v>
      </c>
    </row>
    <row r="856" spans="5:5">
      <c r="E856">
        <v>32205.599999999999</v>
      </c>
    </row>
    <row r="857" spans="5:5">
      <c r="E857">
        <v>0</v>
      </c>
    </row>
    <row r="858" spans="5:5">
      <c r="E858">
        <v>519</v>
      </c>
    </row>
    <row r="859" spans="5:5">
      <c r="E859">
        <v>0</v>
      </c>
    </row>
    <row r="860" spans="5:5">
      <c r="E860">
        <v>0</v>
      </c>
    </row>
    <row r="861" spans="5:5">
      <c r="E861">
        <v>390</v>
      </c>
    </row>
    <row r="862" spans="5:5">
      <c r="E862">
        <v>0</v>
      </c>
    </row>
    <row r="863" spans="5:5">
      <c r="E863">
        <v>3328.41</v>
      </c>
    </row>
    <row r="864" spans="5:5">
      <c r="E864">
        <v>5183.91</v>
      </c>
    </row>
    <row r="865" spans="5:5">
      <c r="E865">
        <v>35421.5</v>
      </c>
    </row>
    <row r="866" spans="5:5">
      <c r="E866">
        <v>37391.5</v>
      </c>
    </row>
    <row r="867" spans="5:5">
      <c r="E867">
        <v>0</v>
      </c>
    </row>
    <row r="868" spans="5:5">
      <c r="E868">
        <v>104078.78</v>
      </c>
    </row>
    <row r="869" spans="5:5">
      <c r="E869">
        <v>55499.07</v>
      </c>
    </row>
    <row r="870" spans="5:5">
      <c r="E870">
        <v>5134.32</v>
      </c>
    </row>
    <row r="871" spans="5:5">
      <c r="E871">
        <v>43352.5</v>
      </c>
    </row>
    <row r="872" spans="5:5">
      <c r="E872">
        <v>18951.54</v>
      </c>
    </row>
    <row r="873" spans="5:5">
      <c r="E873">
        <v>16428.54</v>
      </c>
    </row>
    <row r="874" spans="5:5">
      <c r="E874">
        <v>30193.8</v>
      </c>
    </row>
    <row r="875" spans="5:5">
      <c r="E875">
        <v>2017.05</v>
      </c>
    </row>
    <row r="876" spans="5:5">
      <c r="E876">
        <v>1578311.81</v>
      </c>
    </row>
    <row r="877" spans="5:5">
      <c r="E877">
        <v>24222.84</v>
      </c>
    </row>
    <row r="878" spans="5:5">
      <c r="E878">
        <v>0</v>
      </c>
    </row>
    <row r="879" spans="5:5">
      <c r="E879">
        <v>0</v>
      </c>
    </row>
    <row r="880" spans="5:5">
      <c r="E880">
        <v>0</v>
      </c>
    </row>
    <row r="881" spans="5:5">
      <c r="E881">
        <v>0</v>
      </c>
    </row>
    <row r="882" spans="5:5">
      <c r="E882">
        <v>0</v>
      </c>
    </row>
    <row r="883" spans="5:5">
      <c r="E883">
        <v>0</v>
      </c>
    </row>
    <row r="884" spans="5:5">
      <c r="E884">
        <v>6344</v>
      </c>
    </row>
    <row r="885" spans="5:5">
      <c r="E885">
        <v>2200</v>
      </c>
    </row>
    <row r="886" spans="5:5">
      <c r="E886">
        <v>0</v>
      </c>
    </row>
    <row r="887" spans="5:5">
      <c r="E887">
        <v>236122.35</v>
      </c>
    </row>
    <row r="888" spans="5:5">
      <c r="E888">
        <v>0</v>
      </c>
    </row>
    <row r="889" spans="5:5">
      <c r="E889">
        <v>0</v>
      </c>
    </row>
    <row r="890" spans="5:5">
      <c r="E890">
        <v>0</v>
      </c>
    </row>
    <row r="891" spans="5:5">
      <c r="E891">
        <v>0</v>
      </c>
    </row>
    <row r="892" spans="5:5">
      <c r="E892">
        <v>0</v>
      </c>
    </row>
    <row r="893" spans="5:5">
      <c r="E893">
        <v>0</v>
      </c>
    </row>
    <row r="894" spans="5:5">
      <c r="E894">
        <v>0</v>
      </c>
    </row>
    <row r="895" spans="5:5">
      <c r="E895">
        <v>0</v>
      </c>
    </row>
    <row r="896" spans="5:5">
      <c r="E896">
        <v>0</v>
      </c>
    </row>
    <row r="897" spans="5:5">
      <c r="E897">
        <v>0</v>
      </c>
    </row>
    <row r="898" spans="5:5">
      <c r="E898">
        <v>0</v>
      </c>
    </row>
    <row r="899" spans="5:5">
      <c r="E899">
        <v>0</v>
      </c>
    </row>
    <row r="900" spans="5:5">
      <c r="E900">
        <v>0</v>
      </c>
    </row>
    <row r="901" spans="5:5">
      <c r="E901">
        <v>0</v>
      </c>
    </row>
    <row r="902" spans="5:5">
      <c r="E902">
        <v>0</v>
      </c>
    </row>
    <row r="903" spans="5:5">
      <c r="E903">
        <v>0</v>
      </c>
    </row>
    <row r="904" spans="5:5">
      <c r="E904">
        <v>0</v>
      </c>
    </row>
    <row r="905" spans="5:5">
      <c r="E905">
        <v>0</v>
      </c>
    </row>
    <row r="906" spans="5:5">
      <c r="E906">
        <v>0</v>
      </c>
    </row>
    <row r="907" spans="5:5">
      <c r="E907">
        <v>0</v>
      </c>
    </row>
    <row r="908" spans="5:5">
      <c r="E908">
        <v>0</v>
      </c>
    </row>
    <row r="909" spans="5:5">
      <c r="E909">
        <v>0</v>
      </c>
    </row>
    <row r="910" spans="5:5">
      <c r="E910">
        <v>0</v>
      </c>
    </row>
    <row r="911" spans="5:5">
      <c r="E911">
        <v>0</v>
      </c>
    </row>
    <row r="912" spans="5:5">
      <c r="E912">
        <v>16911</v>
      </c>
    </row>
    <row r="913" spans="5:5">
      <c r="E913">
        <v>0</v>
      </c>
    </row>
    <row r="914" spans="5:5">
      <c r="E914">
        <v>0</v>
      </c>
    </row>
    <row r="915" spans="5:5">
      <c r="E915">
        <v>0</v>
      </c>
    </row>
    <row r="916" spans="5:5">
      <c r="E916">
        <v>0</v>
      </c>
    </row>
    <row r="917" spans="5:5">
      <c r="E917">
        <v>0</v>
      </c>
    </row>
    <row r="918" spans="5:5">
      <c r="E918">
        <v>0</v>
      </c>
    </row>
    <row r="919" spans="5:5">
      <c r="E919">
        <v>0</v>
      </c>
    </row>
    <row r="920" spans="5:5">
      <c r="E920">
        <v>0</v>
      </c>
    </row>
    <row r="921" spans="5:5">
      <c r="E921">
        <v>0</v>
      </c>
    </row>
    <row r="922" spans="5:5">
      <c r="E922">
        <v>4455</v>
      </c>
    </row>
    <row r="923" spans="5:5">
      <c r="E923">
        <v>24644.55</v>
      </c>
    </row>
    <row r="924" spans="5:5">
      <c r="E924">
        <v>6350.4</v>
      </c>
    </row>
    <row r="925" spans="5:5">
      <c r="E925">
        <v>16486.68</v>
      </c>
    </row>
    <row r="926" spans="5:5">
      <c r="E926">
        <v>3000</v>
      </c>
    </row>
    <row r="927" spans="5:5">
      <c r="E927">
        <v>0</v>
      </c>
    </row>
    <row r="928" spans="5:5">
      <c r="E928">
        <v>102957.5</v>
      </c>
    </row>
    <row r="929" spans="5:5">
      <c r="E929">
        <v>0</v>
      </c>
    </row>
    <row r="930" spans="5:5">
      <c r="E930">
        <v>0</v>
      </c>
    </row>
    <row r="931" spans="5:5">
      <c r="E931">
        <v>0</v>
      </c>
    </row>
    <row r="932" spans="5:5">
      <c r="E932">
        <v>0</v>
      </c>
    </row>
    <row r="933" spans="5:5">
      <c r="E933">
        <v>0</v>
      </c>
    </row>
    <row r="934" spans="5:5">
      <c r="E934">
        <v>0</v>
      </c>
    </row>
    <row r="935" spans="5:5">
      <c r="E935">
        <v>0</v>
      </c>
    </row>
    <row r="936" spans="5:5">
      <c r="E936">
        <v>0</v>
      </c>
    </row>
    <row r="937" spans="5:5">
      <c r="E937">
        <v>0</v>
      </c>
    </row>
    <row r="938" spans="5:5">
      <c r="E938">
        <v>0</v>
      </c>
    </row>
    <row r="939" spans="5:5">
      <c r="E939">
        <v>0</v>
      </c>
    </row>
    <row r="940" spans="5:5">
      <c r="E940">
        <v>0</v>
      </c>
    </row>
    <row r="941" spans="5:5">
      <c r="E941">
        <v>0</v>
      </c>
    </row>
    <row r="942" spans="5:5">
      <c r="E942">
        <v>0</v>
      </c>
    </row>
    <row r="943" spans="5:5">
      <c r="E943">
        <v>0</v>
      </c>
    </row>
    <row r="944" spans="5:5">
      <c r="E944">
        <v>0</v>
      </c>
    </row>
    <row r="945" spans="5:5">
      <c r="E945">
        <v>0</v>
      </c>
    </row>
    <row r="946" spans="5:5">
      <c r="E946">
        <v>0</v>
      </c>
    </row>
    <row r="947" spans="5:5">
      <c r="E947">
        <v>0</v>
      </c>
    </row>
    <row r="948" spans="5:5">
      <c r="E948">
        <v>0</v>
      </c>
    </row>
    <row r="949" spans="5:5">
      <c r="E949">
        <v>0</v>
      </c>
    </row>
    <row r="950" spans="5:5">
      <c r="E950">
        <v>0</v>
      </c>
    </row>
    <row r="951" spans="5:5">
      <c r="E951">
        <v>0</v>
      </c>
    </row>
    <row r="952" spans="5:5">
      <c r="E952">
        <v>0</v>
      </c>
    </row>
    <row r="953" spans="5:5">
      <c r="E953">
        <v>0</v>
      </c>
    </row>
    <row r="954" spans="5:5">
      <c r="E954">
        <v>0</v>
      </c>
    </row>
    <row r="955" spans="5:5">
      <c r="E955">
        <v>0</v>
      </c>
    </row>
    <row r="956" spans="5:5">
      <c r="E956">
        <v>0</v>
      </c>
    </row>
    <row r="957" spans="5:5">
      <c r="E957">
        <v>0</v>
      </c>
    </row>
    <row r="958" spans="5:5">
      <c r="E958">
        <v>0</v>
      </c>
    </row>
    <row r="959" spans="5:5">
      <c r="E959">
        <v>0</v>
      </c>
    </row>
    <row r="960" spans="5:5">
      <c r="E960">
        <v>0</v>
      </c>
    </row>
    <row r="961" spans="5:5">
      <c r="E961">
        <v>0</v>
      </c>
    </row>
    <row r="962" spans="5:5">
      <c r="E962">
        <v>0</v>
      </c>
    </row>
    <row r="963" spans="5:5">
      <c r="E963">
        <v>0</v>
      </c>
    </row>
    <row r="964" spans="5:5">
      <c r="E964">
        <v>0</v>
      </c>
    </row>
    <row r="965" spans="5:5">
      <c r="E965">
        <v>0</v>
      </c>
    </row>
    <row r="966" spans="5:5">
      <c r="E966">
        <v>0</v>
      </c>
    </row>
    <row r="967" spans="5:5">
      <c r="E967">
        <v>0</v>
      </c>
    </row>
    <row r="968" spans="5:5">
      <c r="E968">
        <v>0</v>
      </c>
    </row>
    <row r="969" spans="5:5">
      <c r="E969">
        <v>0</v>
      </c>
    </row>
    <row r="970" spans="5:5">
      <c r="E970">
        <v>0</v>
      </c>
    </row>
    <row r="971" spans="5:5">
      <c r="E971">
        <v>0</v>
      </c>
    </row>
    <row r="972" spans="5:5">
      <c r="E972">
        <v>0</v>
      </c>
    </row>
    <row r="973" spans="5:5">
      <c r="E973">
        <v>0</v>
      </c>
    </row>
    <row r="974" spans="5:5">
      <c r="E974">
        <v>0</v>
      </c>
    </row>
    <row r="975" spans="5:5">
      <c r="E975">
        <v>0</v>
      </c>
    </row>
    <row r="976" spans="5:5">
      <c r="E976">
        <v>0</v>
      </c>
    </row>
    <row r="977" spans="5:5">
      <c r="E977">
        <v>0</v>
      </c>
    </row>
    <row r="978" spans="5:5">
      <c r="E978">
        <v>0</v>
      </c>
    </row>
    <row r="979" spans="5:5">
      <c r="E979">
        <v>0</v>
      </c>
    </row>
    <row r="980" spans="5:5">
      <c r="E980">
        <v>0</v>
      </c>
    </row>
    <row r="981" spans="5:5">
      <c r="E981">
        <v>0</v>
      </c>
    </row>
    <row r="982" spans="5:5">
      <c r="E982">
        <v>0</v>
      </c>
    </row>
    <row r="983" spans="5:5">
      <c r="E983">
        <v>0</v>
      </c>
    </row>
    <row r="984" spans="5:5">
      <c r="E984">
        <v>0</v>
      </c>
    </row>
    <row r="985" spans="5:5">
      <c r="E985">
        <v>0</v>
      </c>
    </row>
    <row r="986" spans="5:5">
      <c r="E986">
        <v>0</v>
      </c>
    </row>
    <row r="987" spans="5:5">
      <c r="E987">
        <v>0</v>
      </c>
    </row>
    <row r="988" spans="5:5">
      <c r="E988">
        <v>0</v>
      </c>
    </row>
    <row r="989" spans="5:5">
      <c r="E989">
        <v>0</v>
      </c>
    </row>
    <row r="990" spans="5:5">
      <c r="E990">
        <v>0</v>
      </c>
    </row>
    <row r="992" spans="5:5">
      <c r="E992">
        <v>0</v>
      </c>
    </row>
    <row r="993" spans="5:5">
      <c r="E993">
        <v>0</v>
      </c>
    </row>
    <row r="994" spans="5:5">
      <c r="E994">
        <v>0</v>
      </c>
    </row>
    <row r="995" spans="5:5">
      <c r="E995">
        <v>0</v>
      </c>
    </row>
    <row r="996" spans="5:5">
      <c r="E996">
        <v>0</v>
      </c>
    </row>
    <row r="997" spans="5:5">
      <c r="E997">
        <v>0</v>
      </c>
    </row>
    <row r="998" spans="5:5">
      <c r="E998">
        <v>0</v>
      </c>
    </row>
    <row r="999" spans="5:5">
      <c r="E999">
        <v>0</v>
      </c>
    </row>
    <row r="1000" spans="5:5">
      <c r="E1000">
        <v>0</v>
      </c>
    </row>
    <row r="1001" spans="5:5">
      <c r="E1001">
        <v>0</v>
      </c>
    </row>
    <row r="1002" spans="5:5">
      <c r="E1002">
        <v>0</v>
      </c>
    </row>
    <row r="1003" spans="5:5">
      <c r="E1003">
        <v>0</v>
      </c>
    </row>
    <row r="1004" spans="5:5">
      <c r="E1004">
        <v>0</v>
      </c>
    </row>
    <row r="1005" spans="5:5">
      <c r="E1005">
        <v>0</v>
      </c>
    </row>
    <row r="1006" spans="5:5">
      <c r="E1006">
        <v>0</v>
      </c>
    </row>
    <row r="1007" spans="5:5">
      <c r="E1007">
        <v>0</v>
      </c>
    </row>
    <row r="1008" spans="5:5">
      <c r="E1008">
        <v>0</v>
      </c>
    </row>
    <row r="1009" spans="5:5">
      <c r="E1009">
        <v>0</v>
      </c>
    </row>
    <row r="1010" spans="5:5">
      <c r="E1010">
        <v>0</v>
      </c>
    </row>
    <row r="1011" spans="5:5">
      <c r="E1011">
        <v>0</v>
      </c>
    </row>
    <row r="1012" spans="5:5">
      <c r="E1012">
        <v>0</v>
      </c>
    </row>
    <row r="1013" spans="5:5">
      <c r="E1013">
        <v>0</v>
      </c>
    </row>
    <row r="1014" spans="5:5">
      <c r="E1014">
        <v>0</v>
      </c>
    </row>
    <row r="1015" spans="5:5">
      <c r="E1015">
        <v>0</v>
      </c>
    </row>
    <row r="1016" spans="5:5">
      <c r="E1016">
        <v>0</v>
      </c>
    </row>
    <row r="1017" spans="5:5">
      <c r="E1017">
        <v>0</v>
      </c>
    </row>
    <row r="1018" spans="5:5">
      <c r="E1018">
        <v>0</v>
      </c>
    </row>
    <row r="1019" spans="5:5">
      <c r="E1019">
        <v>0</v>
      </c>
    </row>
    <row r="1020" spans="5:5">
      <c r="E1020">
        <v>0</v>
      </c>
    </row>
    <row r="1021" spans="5:5">
      <c r="E1021">
        <v>0</v>
      </c>
    </row>
    <row r="1022" spans="5:5">
      <c r="E1022">
        <v>0</v>
      </c>
    </row>
    <row r="1023" spans="5:5">
      <c r="E1023">
        <v>0</v>
      </c>
    </row>
    <row r="1024" spans="5:5">
      <c r="E1024">
        <v>0</v>
      </c>
    </row>
    <row r="1025" spans="5:5">
      <c r="E1025">
        <v>0</v>
      </c>
    </row>
    <row r="1026" spans="5:5">
      <c r="E1026">
        <v>0</v>
      </c>
    </row>
    <row r="1027" spans="5:5">
      <c r="E1027">
        <v>0</v>
      </c>
    </row>
    <row r="1028" spans="5:5">
      <c r="E1028">
        <v>0</v>
      </c>
    </row>
    <row r="1029" spans="5:5">
      <c r="E1029">
        <v>0</v>
      </c>
    </row>
    <row r="1030" spans="5:5">
      <c r="E1030">
        <v>0</v>
      </c>
    </row>
    <row r="1031" spans="5:5">
      <c r="E1031">
        <v>0</v>
      </c>
    </row>
    <row r="1032" spans="5:5">
      <c r="E1032">
        <v>0</v>
      </c>
    </row>
    <row r="1033" spans="5:5">
      <c r="E1033">
        <v>32412</v>
      </c>
    </row>
    <row r="1034" spans="5:5">
      <c r="E1034">
        <v>6930</v>
      </c>
    </row>
    <row r="1035" spans="5:5">
      <c r="E1035">
        <v>0</v>
      </c>
    </row>
    <row r="1036" spans="5:5">
      <c r="E1036">
        <v>0</v>
      </c>
    </row>
    <row r="1037" spans="5:5">
      <c r="E1037">
        <v>0</v>
      </c>
    </row>
    <row r="1038" spans="5:5">
      <c r="E1038">
        <v>0</v>
      </c>
    </row>
    <row r="1039" spans="5:5">
      <c r="E1039">
        <v>0</v>
      </c>
    </row>
    <row r="1040" spans="5:5">
      <c r="E1040">
        <v>0</v>
      </c>
    </row>
    <row r="1041" spans="5:5">
      <c r="E1041">
        <v>0</v>
      </c>
    </row>
    <row r="1042" spans="5:5">
      <c r="E1042">
        <v>0</v>
      </c>
    </row>
    <row r="1043" spans="5:5">
      <c r="E1043">
        <v>0</v>
      </c>
    </row>
    <row r="1044" spans="5:5">
      <c r="E1044">
        <v>0</v>
      </c>
    </row>
    <row r="1045" spans="5:5">
      <c r="E1045">
        <v>0</v>
      </c>
    </row>
    <row r="1046" spans="5:5">
      <c r="E1046">
        <v>0</v>
      </c>
    </row>
    <row r="1047" spans="5:5">
      <c r="E1047">
        <v>0</v>
      </c>
    </row>
    <row r="1048" spans="5:5">
      <c r="E1048">
        <v>0</v>
      </c>
    </row>
    <row r="1049" spans="5:5">
      <c r="E1049">
        <v>0</v>
      </c>
    </row>
    <row r="1050" spans="5:5">
      <c r="E1050">
        <v>0</v>
      </c>
    </row>
    <row r="1051" spans="5:5">
      <c r="E1051">
        <v>0</v>
      </c>
    </row>
    <row r="1052" spans="5:5">
      <c r="E1052">
        <v>0</v>
      </c>
    </row>
    <row r="1053" spans="5:5">
      <c r="E1053">
        <v>0</v>
      </c>
    </row>
    <row r="1054" spans="5:5">
      <c r="E1054">
        <v>0</v>
      </c>
    </row>
    <row r="1055" spans="5:5">
      <c r="E1055">
        <v>0</v>
      </c>
    </row>
    <row r="1056" spans="5:5">
      <c r="E1056">
        <v>0</v>
      </c>
    </row>
    <row r="1057" spans="5:5">
      <c r="E1057">
        <v>0</v>
      </c>
    </row>
    <row r="1058" spans="5:5">
      <c r="E1058">
        <v>0</v>
      </c>
    </row>
    <row r="1059" spans="5:5">
      <c r="E1059">
        <v>0</v>
      </c>
    </row>
    <row r="1060" spans="5:5">
      <c r="E1060">
        <v>0</v>
      </c>
    </row>
    <row r="1061" spans="5:5">
      <c r="E1061">
        <v>0</v>
      </c>
    </row>
    <row r="1062" spans="5:5">
      <c r="E1062">
        <v>0</v>
      </c>
    </row>
    <row r="1063" spans="5:5">
      <c r="E1063">
        <v>0</v>
      </c>
    </row>
    <row r="1064" spans="5:5">
      <c r="E1064">
        <v>0</v>
      </c>
    </row>
    <row r="1065" spans="5:5">
      <c r="E1065">
        <v>0</v>
      </c>
    </row>
    <row r="1066" spans="5:5">
      <c r="E1066">
        <v>0</v>
      </c>
    </row>
    <row r="1067" spans="5:5">
      <c r="E1067">
        <v>0</v>
      </c>
    </row>
    <row r="1068" spans="5:5">
      <c r="E1068">
        <v>0</v>
      </c>
    </row>
    <row r="1069" spans="5:5">
      <c r="E1069">
        <v>0</v>
      </c>
    </row>
    <row r="1070" spans="5:5">
      <c r="E1070">
        <v>0</v>
      </c>
    </row>
    <row r="1071" spans="5:5">
      <c r="E1071">
        <v>0</v>
      </c>
    </row>
    <row r="1072" spans="5:5">
      <c r="E1072">
        <v>0</v>
      </c>
    </row>
    <row r="1073" spans="5:5">
      <c r="E1073">
        <v>0</v>
      </c>
    </row>
    <row r="1074" spans="5:5">
      <c r="E1074">
        <v>0</v>
      </c>
    </row>
    <row r="1075" spans="5:5">
      <c r="E1075">
        <v>0</v>
      </c>
    </row>
    <row r="1076" spans="5:5">
      <c r="E1076">
        <v>0</v>
      </c>
    </row>
    <row r="1077" spans="5:5">
      <c r="E1077">
        <v>0</v>
      </c>
    </row>
    <row r="1078" spans="5:5">
      <c r="E1078">
        <v>0</v>
      </c>
    </row>
    <row r="1079" spans="5:5">
      <c r="E1079">
        <v>0</v>
      </c>
    </row>
    <row r="1080" spans="5:5">
      <c r="E1080">
        <v>0</v>
      </c>
    </row>
    <row r="1081" spans="5:5">
      <c r="E1081">
        <v>0</v>
      </c>
    </row>
    <row r="1082" spans="5:5">
      <c r="E1082">
        <v>0</v>
      </c>
    </row>
    <row r="1083" spans="5:5">
      <c r="E1083">
        <v>0</v>
      </c>
    </row>
    <row r="1084" spans="5:5">
      <c r="E1084">
        <v>0</v>
      </c>
    </row>
    <row r="1085" spans="5:5">
      <c r="E1085">
        <f>SUM(E3:E1084)</f>
        <v>15348228.710000001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8:F79"/>
  <sheetViews>
    <sheetView view="pageBreakPreview" topLeftCell="A72" zoomScale="89" zoomScaleSheetLayoutView="89" workbookViewId="0">
      <selection activeCell="A7" sqref="A7:XFD81"/>
    </sheetView>
  </sheetViews>
  <sheetFormatPr defaultRowHeight="15.75"/>
  <cols>
    <col min="3" max="3" width="32.6640625" customWidth="1"/>
    <col min="4" max="4" width="13.44140625" customWidth="1"/>
    <col min="5" max="5" width="6.5546875" customWidth="1"/>
    <col min="6" max="6" width="10.6640625" customWidth="1"/>
  </cols>
  <sheetData>
    <row r="8" spans="1:6">
      <c r="A8" t="s">
        <v>561</v>
      </c>
      <c r="B8" t="s">
        <v>2241</v>
      </c>
      <c r="C8" t="s">
        <v>252</v>
      </c>
    </row>
    <row r="9" spans="1:6">
      <c r="C9" t="s">
        <v>253</v>
      </c>
    </row>
    <row r="10" spans="1:6">
      <c r="C10" t="s">
        <v>1463</v>
      </c>
    </row>
    <row r="11" spans="1:6">
      <c r="C11" t="s">
        <v>1579</v>
      </c>
    </row>
    <row r="12" spans="1:6">
      <c r="C12" t="s">
        <v>89</v>
      </c>
    </row>
    <row r="13" spans="1:6">
      <c r="C13" t="s">
        <v>90</v>
      </c>
    </row>
    <row r="14" spans="1:6">
      <c r="E14" t="s">
        <v>1579</v>
      </c>
    </row>
    <row r="15" spans="1:6">
      <c r="C15" t="s">
        <v>1168</v>
      </c>
      <c r="F15" s="6"/>
    </row>
    <row r="16" spans="1:6">
      <c r="C16" t="s">
        <v>1997</v>
      </c>
      <c r="F16" s="6">
        <v>2.4E-2</v>
      </c>
    </row>
    <row r="17" spans="1:6">
      <c r="E17" t="s">
        <v>971</v>
      </c>
      <c r="F17" s="6" t="s">
        <v>1579</v>
      </c>
    </row>
    <row r="18" spans="1:6">
      <c r="C18" t="s">
        <v>1998</v>
      </c>
      <c r="E18" t="s">
        <v>971</v>
      </c>
      <c r="F18" s="6">
        <v>1.4999999999999999E-2</v>
      </c>
    </row>
    <row r="19" spans="1:6">
      <c r="C19" t="s">
        <v>1758</v>
      </c>
      <c r="E19" t="s">
        <v>971</v>
      </c>
      <c r="F19" s="6">
        <v>5.0000000000000001E-3</v>
      </c>
    </row>
    <row r="20" spans="1:6">
      <c r="F20" s="6" t="s">
        <v>1579</v>
      </c>
    </row>
    <row r="21" spans="1:6">
      <c r="F21" s="6">
        <v>1.9E-2</v>
      </c>
    </row>
    <row r="22" spans="1:6">
      <c r="F22" s="6" t="s">
        <v>1579</v>
      </c>
    </row>
    <row r="25" spans="1:6">
      <c r="A25" s="7">
        <v>1.0999999999999999E-2</v>
      </c>
      <c r="B25" t="s">
        <v>866</v>
      </c>
      <c r="C25" t="s">
        <v>305</v>
      </c>
      <c r="D25">
        <v>111600</v>
      </c>
      <c r="E25" t="s">
        <v>866</v>
      </c>
      <c r="F25">
        <f>D25*A25</f>
        <v>1227.5999999999999</v>
      </c>
    </row>
    <row r="26" spans="1:6">
      <c r="A26" s="7">
        <v>2.4E-2</v>
      </c>
      <c r="B26" t="s">
        <v>866</v>
      </c>
      <c r="C26" t="s">
        <v>306</v>
      </c>
      <c r="D26">
        <v>99400</v>
      </c>
      <c r="E26" t="s">
        <v>866</v>
      </c>
      <c r="F26">
        <f t="shared" ref="F26:F38" si="0">D26*A26</f>
        <v>2385.6</v>
      </c>
    </row>
    <row r="27" spans="1:6">
      <c r="A27" s="7">
        <v>1.9E-2</v>
      </c>
      <c r="B27" t="s">
        <v>866</v>
      </c>
      <c r="C27" t="s">
        <v>307</v>
      </c>
      <c r="D27">
        <v>95000</v>
      </c>
      <c r="E27" t="s">
        <v>866</v>
      </c>
      <c r="F27">
        <f t="shared" si="0"/>
        <v>1805</v>
      </c>
    </row>
    <row r="28" spans="1:6">
      <c r="C28" t="s">
        <v>443</v>
      </c>
      <c r="D28" t="s">
        <v>971</v>
      </c>
    </row>
    <row r="29" spans="1:6">
      <c r="A29" s="5">
        <v>1.823</v>
      </c>
      <c r="B29" t="s">
        <v>606</v>
      </c>
      <c r="C29" t="s">
        <v>444</v>
      </c>
      <c r="D29">
        <v>1537</v>
      </c>
      <c r="E29" t="s">
        <v>606</v>
      </c>
      <c r="F29">
        <f t="shared" si="0"/>
        <v>2801.95</v>
      </c>
    </row>
    <row r="30" spans="1:6" ht="31.5">
      <c r="A30">
        <v>1</v>
      </c>
      <c r="B30" t="s">
        <v>766</v>
      </c>
      <c r="C30" s="1191" t="s">
        <v>5605</v>
      </c>
      <c r="D30">
        <v>57.65</v>
      </c>
      <c r="E30" t="s">
        <v>865</v>
      </c>
      <c r="F30">
        <f t="shared" si="0"/>
        <v>57.65</v>
      </c>
    </row>
    <row r="31" spans="1:6">
      <c r="A31">
        <v>3</v>
      </c>
      <c r="B31" t="s">
        <v>865</v>
      </c>
      <c r="C31" s="274" t="s">
        <v>3727</v>
      </c>
      <c r="D31">
        <v>214.1</v>
      </c>
      <c r="E31" t="s">
        <v>865</v>
      </c>
      <c r="F31">
        <f t="shared" si="0"/>
        <v>642.29999999999995</v>
      </c>
    </row>
    <row r="32" spans="1:6">
      <c r="A32">
        <v>2</v>
      </c>
      <c r="B32" t="s">
        <v>865</v>
      </c>
      <c r="C32" s="274" t="s">
        <v>3728</v>
      </c>
      <c r="D32">
        <v>408</v>
      </c>
      <c r="E32" t="s">
        <v>865</v>
      </c>
      <c r="F32">
        <f t="shared" si="0"/>
        <v>816</v>
      </c>
    </row>
    <row r="33" spans="1:6">
      <c r="A33">
        <v>2</v>
      </c>
      <c r="B33" t="s">
        <v>1865</v>
      </c>
      <c r="C33" s="274" t="s">
        <v>3726</v>
      </c>
      <c r="D33">
        <v>254.5</v>
      </c>
      <c r="E33" t="s">
        <v>1393</v>
      </c>
      <c r="F33">
        <f t="shared" si="0"/>
        <v>509</v>
      </c>
    </row>
    <row r="34" spans="1:6">
      <c r="A34">
        <v>1</v>
      </c>
      <c r="B34" t="s">
        <v>1865</v>
      </c>
      <c r="C34" s="274" t="s">
        <v>3729</v>
      </c>
      <c r="D34">
        <v>836</v>
      </c>
      <c r="E34" t="s">
        <v>1393</v>
      </c>
      <c r="F34">
        <f t="shared" si="0"/>
        <v>836</v>
      </c>
    </row>
    <row r="35" spans="1:6">
      <c r="A35">
        <v>1</v>
      </c>
      <c r="B35" t="s">
        <v>865</v>
      </c>
      <c r="C35" t="s">
        <v>5608</v>
      </c>
      <c r="D35">
        <v>181</v>
      </c>
      <c r="E35" t="s">
        <v>865</v>
      </c>
      <c r="F35">
        <f t="shared" si="0"/>
        <v>181</v>
      </c>
    </row>
    <row r="36" spans="1:6">
      <c r="A36">
        <v>1</v>
      </c>
      <c r="B36" t="s">
        <v>865</v>
      </c>
      <c r="C36" t="s">
        <v>1460</v>
      </c>
      <c r="D36">
        <v>7.3</v>
      </c>
      <c r="E36" t="s">
        <v>865</v>
      </c>
      <c r="F36">
        <f t="shared" si="0"/>
        <v>7.3</v>
      </c>
    </row>
    <row r="37" spans="1:6">
      <c r="A37">
        <v>1</v>
      </c>
      <c r="B37" t="s">
        <v>865</v>
      </c>
      <c r="C37" t="s">
        <v>5609</v>
      </c>
      <c r="D37">
        <v>49.55</v>
      </c>
      <c r="E37" t="s">
        <v>865</v>
      </c>
      <c r="F37">
        <f t="shared" si="0"/>
        <v>49.55</v>
      </c>
    </row>
    <row r="38" spans="1:6">
      <c r="A38">
        <v>64</v>
      </c>
      <c r="B38" t="s">
        <v>1026</v>
      </c>
      <c r="C38" t="s">
        <v>5449</v>
      </c>
      <c r="D38">
        <v>2.41</v>
      </c>
      <c r="E38" t="s">
        <v>158</v>
      </c>
      <c r="F38">
        <f t="shared" si="0"/>
        <v>154.24</v>
      </c>
    </row>
    <row r="39" spans="1:6">
      <c r="C39" t="s">
        <v>1461</v>
      </c>
      <c r="F39">
        <f>SUM(F24:F38)</f>
        <v>11473.19</v>
      </c>
    </row>
    <row r="40" spans="1:6">
      <c r="F40" t="s">
        <v>1579</v>
      </c>
    </row>
    <row r="41" spans="1:6">
      <c r="C41" t="s">
        <v>549</v>
      </c>
      <c r="F41">
        <f>F39/A29</f>
        <v>6293.58</v>
      </c>
    </row>
    <row r="42" spans="1:6">
      <c r="A42" t="s">
        <v>971</v>
      </c>
    </row>
    <row r="44" spans="1:6" ht="94.5">
      <c r="C44" s="1191" t="s">
        <v>6982</v>
      </c>
    </row>
    <row r="46" spans="1:6" ht="31.5">
      <c r="A46">
        <v>9.5</v>
      </c>
      <c r="B46" t="s">
        <v>1637</v>
      </c>
      <c r="C46" s="1191" t="s">
        <v>6980</v>
      </c>
      <c r="D46">
        <v>615</v>
      </c>
      <c r="E46" t="s">
        <v>1637</v>
      </c>
      <c r="F46">
        <v>5842.5</v>
      </c>
    </row>
    <row r="47" spans="1:6">
      <c r="A47">
        <v>0.5</v>
      </c>
      <c r="B47" t="s">
        <v>1637</v>
      </c>
      <c r="C47" t="s">
        <v>5543</v>
      </c>
      <c r="D47">
        <v>21.3</v>
      </c>
      <c r="F47">
        <v>10.65</v>
      </c>
    </row>
    <row r="48" spans="1:6">
      <c r="C48" t="s">
        <v>1814</v>
      </c>
      <c r="F48">
        <v>1464</v>
      </c>
    </row>
    <row r="49" spans="1:6">
      <c r="C49" t="s">
        <v>2261</v>
      </c>
      <c r="F49">
        <v>3.2</v>
      </c>
    </row>
    <row r="50" spans="1:6">
      <c r="C50" t="s">
        <v>3350</v>
      </c>
      <c r="F50">
        <v>7320.35</v>
      </c>
    </row>
    <row r="51" spans="1:6">
      <c r="C51" t="s">
        <v>2739</v>
      </c>
      <c r="F51">
        <v>81.34</v>
      </c>
    </row>
    <row r="53" spans="1:6">
      <c r="C53" t="s">
        <v>2633</v>
      </c>
    </row>
    <row r="54" spans="1:6">
      <c r="A54">
        <v>1</v>
      </c>
      <c r="C54" t="s">
        <v>2575</v>
      </c>
      <c r="D54">
        <v>820</v>
      </c>
      <c r="E54" t="s">
        <v>1389</v>
      </c>
      <c r="F54">
        <v>820</v>
      </c>
    </row>
    <row r="55" spans="1:6">
      <c r="A55">
        <v>1</v>
      </c>
      <c r="C55" t="s">
        <v>3054</v>
      </c>
      <c r="D55">
        <v>644</v>
      </c>
      <c r="E55" t="s">
        <v>1389</v>
      </c>
      <c r="F55">
        <v>644</v>
      </c>
    </row>
    <row r="56" spans="1:6">
      <c r="F56">
        <v>1464</v>
      </c>
    </row>
    <row r="58" spans="1:6" ht="63">
      <c r="C58" s="1191" t="s">
        <v>4643</v>
      </c>
    </row>
    <row r="59" spans="1:6" ht="31.5">
      <c r="A59">
        <v>1.5</v>
      </c>
      <c r="B59" t="s">
        <v>823</v>
      </c>
      <c r="C59" s="1191" t="s">
        <v>4288</v>
      </c>
      <c r="D59">
        <v>128</v>
      </c>
      <c r="E59" t="s">
        <v>823</v>
      </c>
      <c r="F59">
        <v>192</v>
      </c>
    </row>
    <row r="60" spans="1:6">
      <c r="A60">
        <v>2</v>
      </c>
      <c r="B60" t="s">
        <v>1986</v>
      </c>
      <c r="C60" s="1191" t="s">
        <v>2850</v>
      </c>
      <c r="D60">
        <v>35</v>
      </c>
      <c r="E60" t="s">
        <v>1986</v>
      </c>
      <c r="F60">
        <v>70</v>
      </c>
    </row>
    <row r="61" spans="1:6" ht="31.5">
      <c r="A61">
        <v>8</v>
      </c>
      <c r="B61" t="s">
        <v>823</v>
      </c>
      <c r="C61" s="1191" t="s">
        <v>2852</v>
      </c>
      <c r="D61">
        <v>25.75</v>
      </c>
      <c r="E61" t="s">
        <v>3280</v>
      </c>
      <c r="F61">
        <v>206</v>
      </c>
    </row>
    <row r="62" spans="1:6" ht="63">
      <c r="A62">
        <v>1</v>
      </c>
      <c r="B62" t="s">
        <v>1389</v>
      </c>
      <c r="C62" s="1191" t="s">
        <v>2853</v>
      </c>
      <c r="D62">
        <v>1781.67</v>
      </c>
      <c r="E62" t="s">
        <v>1393</v>
      </c>
      <c r="F62">
        <v>1781.67</v>
      </c>
    </row>
    <row r="63" spans="1:6" ht="47.25">
      <c r="C63" s="1191" t="s">
        <v>2480</v>
      </c>
      <c r="D63" t="s">
        <v>654</v>
      </c>
      <c r="F63">
        <v>16</v>
      </c>
    </row>
    <row r="64" spans="1:6">
      <c r="C64" t="s">
        <v>2362</v>
      </c>
      <c r="F64">
        <v>2265.67</v>
      </c>
    </row>
    <row r="66" spans="1:6">
      <c r="C66" t="s">
        <v>2481</v>
      </c>
    </row>
    <row r="67" spans="1:6">
      <c r="A67">
        <v>1</v>
      </c>
      <c r="B67" t="s">
        <v>1389</v>
      </c>
      <c r="C67" t="s">
        <v>2695</v>
      </c>
      <c r="D67">
        <v>947</v>
      </c>
      <c r="E67" t="s">
        <v>1389</v>
      </c>
      <c r="F67">
        <v>947</v>
      </c>
    </row>
    <row r="68" spans="1:6">
      <c r="A68">
        <v>1</v>
      </c>
      <c r="B68" t="s">
        <v>1389</v>
      </c>
      <c r="C68" t="s">
        <v>2744</v>
      </c>
      <c r="D68">
        <v>826</v>
      </c>
      <c r="E68" t="s">
        <v>1389</v>
      </c>
      <c r="F68">
        <v>826</v>
      </c>
    </row>
    <row r="69" spans="1:6">
      <c r="A69">
        <v>2</v>
      </c>
      <c r="B69" t="s">
        <v>1389</v>
      </c>
      <c r="C69" t="s">
        <v>2575</v>
      </c>
      <c r="D69">
        <v>820</v>
      </c>
      <c r="E69" t="s">
        <v>1389</v>
      </c>
      <c r="F69">
        <v>1640</v>
      </c>
    </row>
    <row r="70" spans="1:6">
      <c r="A70">
        <v>3</v>
      </c>
      <c r="B70" t="s">
        <v>1389</v>
      </c>
      <c r="C70" t="s">
        <v>2321</v>
      </c>
      <c r="D70">
        <v>644</v>
      </c>
      <c r="E70" t="s">
        <v>1389</v>
      </c>
      <c r="F70">
        <v>1932</v>
      </c>
    </row>
    <row r="71" spans="1:6">
      <c r="C71" t="s">
        <v>2839</v>
      </c>
      <c r="F71">
        <v>5345</v>
      </c>
    </row>
    <row r="72" spans="1:6">
      <c r="C72" t="s">
        <v>2770</v>
      </c>
      <c r="F72">
        <v>1781.67</v>
      </c>
    </row>
    <row r="74" spans="1:6">
      <c r="C74" t="s">
        <v>6994</v>
      </c>
    </row>
    <row r="76" spans="1:6">
      <c r="A76">
        <v>1</v>
      </c>
      <c r="B76" t="s">
        <v>1389</v>
      </c>
      <c r="C76" t="s">
        <v>6995</v>
      </c>
      <c r="D76">
        <v>1243</v>
      </c>
      <c r="E76" t="s">
        <v>1389</v>
      </c>
      <c r="F76">
        <v>1243</v>
      </c>
    </row>
    <row r="77" spans="1:6">
      <c r="A77">
        <v>1</v>
      </c>
      <c r="B77" t="s">
        <v>1389</v>
      </c>
      <c r="C77" t="s">
        <v>911</v>
      </c>
      <c r="D77">
        <v>2265.67</v>
      </c>
      <c r="E77" t="s">
        <v>1389</v>
      </c>
      <c r="F77">
        <v>2265.67</v>
      </c>
    </row>
    <row r="78" spans="1:6">
      <c r="C78" t="s">
        <v>2261</v>
      </c>
    </row>
    <row r="79" spans="1:6">
      <c r="C79" t="s">
        <v>1058</v>
      </c>
      <c r="F79">
        <v>3508.67</v>
      </c>
    </row>
  </sheetData>
  <pageMargins left="0.7" right="0.7" top="0.75" bottom="0.75" header="0.3" footer="0.3"/>
  <pageSetup scale="95"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38"/>
  <sheetViews>
    <sheetView view="pageBreakPreview" topLeftCell="A7" zoomScale="112" zoomScaleSheetLayoutView="112" workbookViewId="0">
      <selection activeCell="J6" sqref="J6"/>
    </sheetView>
  </sheetViews>
  <sheetFormatPr defaultRowHeight="15.75"/>
  <cols>
    <col min="1" max="1" width="5.21875" style="1321" customWidth="1"/>
    <col min="2" max="2" width="24.5546875" style="1321" customWidth="1"/>
    <col min="3" max="4" width="4.88671875" style="1321" customWidth="1"/>
    <col min="5" max="8" width="8.88671875" style="1321"/>
    <col min="9" max="9" width="3.33203125" style="1369" customWidth="1"/>
    <col min="10" max="256" width="8.88671875" style="1321"/>
    <col min="257" max="257" width="5.21875" style="1321" customWidth="1"/>
    <col min="258" max="258" width="24.5546875" style="1321" customWidth="1"/>
    <col min="259" max="260" width="4.88671875" style="1321" customWidth="1"/>
    <col min="261" max="264" width="8.88671875" style="1321"/>
    <col min="265" max="265" width="3.33203125" style="1321" customWidth="1"/>
    <col min="266" max="512" width="8.88671875" style="1321"/>
    <col min="513" max="513" width="5.21875" style="1321" customWidth="1"/>
    <col min="514" max="514" width="24.5546875" style="1321" customWidth="1"/>
    <col min="515" max="516" width="4.88671875" style="1321" customWidth="1"/>
    <col min="517" max="520" width="8.88671875" style="1321"/>
    <col min="521" max="521" width="3.33203125" style="1321" customWidth="1"/>
    <col min="522" max="768" width="8.88671875" style="1321"/>
    <col min="769" max="769" width="5.21875" style="1321" customWidth="1"/>
    <col min="770" max="770" width="24.5546875" style="1321" customWidth="1"/>
    <col min="771" max="772" width="4.88671875" style="1321" customWidth="1"/>
    <col min="773" max="776" width="8.88671875" style="1321"/>
    <col min="777" max="777" width="3.33203125" style="1321" customWidth="1"/>
    <col min="778" max="1024" width="8.88671875" style="1321"/>
    <col min="1025" max="1025" width="5.21875" style="1321" customWidth="1"/>
    <col min="1026" max="1026" width="24.5546875" style="1321" customWidth="1"/>
    <col min="1027" max="1028" width="4.88671875" style="1321" customWidth="1"/>
    <col min="1029" max="1032" width="8.88671875" style="1321"/>
    <col min="1033" max="1033" width="3.33203125" style="1321" customWidth="1"/>
    <col min="1034" max="1280" width="8.88671875" style="1321"/>
    <col min="1281" max="1281" width="5.21875" style="1321" customWidth="1"/>
    <col min="1282" max="1282" width="24.5546875" style="1321" customWidth="1"/>
    <col min="1283" max="1284" width="4.88671875" style="1321" customWidth="1"/>
    <col min="1285" max="1288" width="8.88671875" style="1321"/>
    <col min="1289" max="1289" width="3.33203125" style="1321" customWidth="1"/>
    <col min="1290" max="1536" width="8.88671875" style="1321"/>
    <col min="1537" max="1537" width="5.21875" style="1321" customWidth="1"/>
    <col min="1538" max="1538" width="24.5546875" style="1321" customWidth="1"/>
    <col min="1539" max="1540" width="4.88671875" style="1321" customWidth="1"/>
    <col min="1541" max="1544" width="8.88671875" style="1321"/>
    <col min="1545" max="1545" width="3.33203125" style="1321" customWidth="1"/>
    <col min="1546" max="1792" width="8.88671875" style="1321"/>
    <col min="1793" max="1793" width="5.21875" style="1321" customWidth="1"/>
    <col min="1794" max="1794" width="24.5546875" style="1321" customWidth="1"/>
    <col min="1795" max="1796" width="4.88671875" style="1321" customWidth="1"/>
    <col min="1797" max="1800" width="8.88671875" style="1321"/>
    <col min="1801" max="1801" width="3.33203125" style="1321" customWidth="1"/>
    <col min="1802" max="2048" width="8.88671875" style="1321"/>
    <col min="2049" max="2049" width="5.21875" style="1321" customWidth="1"/>
    <col min="2050" max="2050" width="24.5546875" style="1321" customWidth="1"/>
    <col min="2051" max="2052" width="4.88671875" style="1321" customWidth="1"/>
    <col min="2053" max="2056" width="8.88671875" style="1321"/>
    <col min="2057" max="2057" width="3.33203125" style="1321" customWidth="1"/>
    <col min="2058" max="2304" width="8.88671875" style="1321"/>
    <col min="2305" max="2305" width="5.21875" style="1321" customWidth="1"/>
    <col min="2306" max="2306" width="24.5546875" style="1321" customWidth="1"/>
    <col min="2307" max="2308" width="4.88671875" style="1321" customWidth="1"/>
    <col min="2309" max="2312" width="8.88671875" style="1321"/>
    <col min="2313" max="2313" width="3.33203125" style="1321" customWidth="1"/>
    <col min="2314" max="2560" width="8.88671875" style="1321"/>
    <col min="2561" max="2561" width="5.21875" style="1321" customWidth="1"/>
    <col min="2562" max="2562" width="24.5546875" style="1321" customWidth="1"/>
    <col min="2563" max="2564" width="4.88671875" style="1321" customWidth="1"/>
    <col min="2565" max="2568" width="8.88671875" style="1321"/>
    <col min="2569" max="2569" width="3.33203125" style="1321" customWidth="1"/>
    <col min="2570" max="2816" width="8.88671875" style="1321"/>
    <col min="2817" max="2817" width="5.21875" style="1321" customWidth="1"/>
    <col min="2818" max="2818" width="24.5546875" style="1321" customWidth="1"/>
    <col min="2819" max="2820" width="4.88671875" style="1321" customWidth="1"/>
    <col min="2821" max="2824" width="8.88671875" style="1321"/>
    <col min="2825" max="2825" width="3.33203125" style="1321" customWidth="1"/>
    <col min="2826" max="3072" width="8.88671875" style="1321"/>
    <col min="3073" max="3073" width="5.21875" style="1321" customWidth="1"/>
    <col min="3074" max="3074" width="24.5546875" style="1321" customWidth="1"/>
    <col min="3075" max="3076" width="4.88671875" style="1321" customWidth="1"/>
    <col min="3077" max="3080" width="8.88671875" style="1321"/>
    <col min="3081" max="3081" width="3.33203125" style="1321" customWidth="1"/>
    <col min="3082" max="3328" width="8.88671875" style="1321"/>
    <col min="3329" max="3329" width="5.21875" style="1321" customWidth="1"/>
    <col min="3330" max="3330" width="24.5546875" style="1321" customWidth="1"/>
    <col min="3331" max="3332" width="4.88671875" style="1321" customWidth="1"/>
    <col min="3333" max="3336" width="8.88671875" style="1321"/>
    <col min="3337" max="3337" width="3.33203125" style="1321" customWidth="1"/>
    <col min="3338" max="3584" width="8.88671875" style="1321"/>
    <col min="3585" max="3585" width="5.21875" style="1321" customWidth="1"/>
    <col min="3586" max="3586" width="24.5546875" style="1321" customWidth="1"/>
    <col min="3587" max="3588" width="4.88671875" style="1321" customWidth="1"/>
    <col min="3589" max="3592" width="8.88671875" style="1321"/>
    <col min="3593" max="3593" width="3.33203125" style="1321" customWidth="1"/>
    <col min="3594" max="3840" width="8.88671875" style="1321"/>
    <col min="3841" max="3841" width="5.21875" style="1321" customWidth="1"/>
    <col min="3842" max="3842" width="24.5546875" style="1321" customWidth="1"/>
    <col min="3843" max="3844" width="4.88671875" style="1321" customWidth="1"/>
    <col min="3845" max="3848" width="8.88671875" style="1321"/>
    <col min="3849" max="3849" width="3.33203125" style="1321" customWidth="1"/>
    <col min="3850" max="4096" width="8.88671875" style="1321"/>
    <col min="4097" max="4097" width="5.21875" style="1321" customWidth="1"/>
    <col min="4098" max="4098" width="24.5546875" style="1321" customWidth="1"/>
    <col min="4099" max="4100" width="4.88671875" style="1321" customWidth="1"/>
    <col min="4101" max="4104" width="8.88671875" style="1321"/>
    <col min="4105" max="4105" width="3.33203125" style="1321" customWidth="1"/>
    <col min="4106" max="4352" width="8.88671875" style="1321"/>
    <col min="4353" max="4353" width="5.21875" style="1321" customWidth="1"/>
    <col min="4354" max="4354" width="24.5546875" style="1321" customWidth="1"/>
    <col min="4355" max="4356" width="4.88671875" style="1321" customWidth="1"/>
    <col min="4357" max="4360" width="8.88671875" style="1321"/>
    <col min="4361" max="4361" width="3.33203125" style="1321" customWidth="1"/>
    <col min="4362" max="4608" width="8.88671875" style="1321"/>
    <col min="4609" max="4609" width="5.21875" style="1321" customWidth="1"/>
    <col min="4610" max="4610" width="24.5546875" style="1321" customWidth="1"/>
    <col min="4611" max="4612" width="4.88671875" style="1321" customWidth="1"/>
    <col min="4613" max="4616" width="8.88671875" style="1321"/>
    <col min="4617" max="4617" width="3.33203125" style="1321" customWidth="1"/>
    <col min="4618" max="4864" width="8.88671875" style="1321"/>
    <col min="4865" max="4865" width="5.21875" style="1321" customWidth="1"/>
    <col min="4866" max="4866" width="24.5546875" style="1321" customWidth="1"/>
    <col min="4867" max="4868" width="4.88671875" style="1321" customWidth="1"/>
    <col min="4869" max="4872" width="8.88671875" style="1321"/>
    <col min="4873" max="4873" width="3.33203125" style="1321" customWidth="1"/>
    <col min="4874" max="5120" width="8.88671875" style="1321"/>
    <col min="5121" max="5121" width="5.21875" style="1321" customWidth="1"/>
    <col min="5122" max="5122" width="24.5546875" style="1321" customWidth="1"/>
    <col min="5123" max="5124" width="4.88671875" style="1321" customWidth="1"/>
    <col min="5125" max="5128" width="8.88671875" style="1321"/>
    <col min="5129" max="5129" width="3.33203125" style="1321" customWidth="1"/>
    <col min="5130" max="5376" width="8.88671875" style="1321"/>
    <col min="5377" max="5377" width="5.21875" style="1321" customWidth="1"/>
    <col min="5378" max="5378" width="24.5546875" style="1321" customWidth="1"/>
    <col min="5379" max="5380" width="4.88671875" style="1321" customWidth="1"/>
    <col min="5381" max="5384" width="8.88671875" style="1321"/>
    <col min="5385" max="5385" width="3.33203125" style="1321" customWidth="1"/>
    <col min="5386" max="5632" width="8.88671875" style="1321"/>
    <col min="5633" max="5633" width="5.21875" style="1321" customWidth="1"/>
    <col min="5634" max="5634" width="24.5546875" style="1321" customWidth="1"/>
    <col min="5635" max="5636" width="4.88671875" style="1321" customWidth="1"/>
    <col min="5637" max="5640" width="8.88671875" style="1321"/>
    <col min="5641" max="5641" width="3.33203125" style="1321" customWidth="1"/>
    <col min="5642" max="5888" width="8.88671875" style="1321"/>
    <col min="5889" max="5889" width="5.21875" style="1321" customWidth="1"/>
    <col min="5890" max="5890" width="24.5546875" style="1321" customWidth="1"/>
    <col min="5891" max="5892" width="4.88671875" style="1321" customWidth="1"/>
    <col min="5893" max="5896" width="8.88671875" style="1321"/>
    <col min="5897" max="5897" width="3.33203125" style="1321" customWidth="1"/>
    <col min="5898" max="6144" width="8.88671875" style="1321"/>
    <col min="6145" max="6145" width="5.21875" style="1321" customWidth="1"/>
    <col min="6146" max="6146" width="24.5546875" style="1321" customWidth="1"/>
    <col min="6147" max="6148" width="4.88671875" style="1321" customWidth="1"/>
    <col min="6149" max="6152" width="8.88671875" style="1321"/>
    <col min="6153" max="6153" width="3.33203125" style="1321" customWidth="1"/>
    <col min="6154" max="6400" width="8.88671875" style="1321"/>
    <col min="6401" max="6401" width="5.21875" style="1321" customWidth="1"/>
    <col min="6402" max="6402" width="24.5546875" style="1321" customWidth="1"/>
    <col min="6403" max="6404" width="4.88671875" style="1321" customWidth="1"/>
    <col min="6405" max="6408" width="8.88671875" style="1321"/>
    <col min="6409" max="6409" width="3.33203125" style="1321" customWidth="1"/>
    <col min="6410" max="6656" width="8.88671875" style="1321"/>
    <col min="6657" max="6657" width="5.21875" style="1321" customWidth="1"/>
    <col min="6658" max="6658" width="24.5546875" style="1321" customWidth="1"/>
    <col min="6659" max="6660" width="4.88671875" style="1321" customWidth="1"/>
    <col min="6661" max="6664" width="8.88671875" style="1321"/>
    <col min="6665" max="6665" width="3.33203125" style="1321" customWidth="1"/>
    <col min="6666" max="6912" width="8.88671875" style="1321"/>
    <col min="6913" max="6913" width="5.21875" style="1321" customWidth="1"/>
    <col min="6914" max="6914" width="24.5546875" style="1321" customWidth="1"/>
    <col min="6915" max="6916" width="4.88671875" style="1321" customWidth="1"/>
    <col min="6917" max="6920" width="8.88671875" style="1321"/>
    <col min="6921" max="6921" width="3.33203125" style="1321" customWidth="1"/>
    <col min="6922" max="7168" width="8.88671875" style="1321"/>
    <col min="7169" max="7169" width="5.21875" style="1321" customWidth="1"/>
    <col min="7170" max="7170" width="24.5546875" style="1321" customWidth="1"/>
    <col min="7171" max="7172" width="4.88671875" style="1321" customWidth="1"/>
    <col min="7173" max="7176" width="8.88671875" style="1321"/>
    <col min="7177" max="7177" width="3.33203125" style="1321" customWidth="1"/>
    <col min="7178" max="7424" width="8.88671875" style="1321"/>
    <col min="7425" max="7425" width="5.21875" style="1321" customWidth="1"/>
    <col min="7426" max="7426" width="24.5546875" style="1321" customWidth="1"/>
    <col min="7427" max="7428" width="4.88671875" style="1321" customWidth="1"/>
    <col min="7429" max="7432" width="8.88671875" style="1321"/>
    <col min="7433" max="7433" width="3.33203125" style="1321" customWidth="1"/>
    <col min="7434" max="7680" width="8.88671875" style="1321"/>
    <col min="7681" max="7681" width="5.21875" style="1321" customWidth="1"/>
    <col min="7682" max="7682" width="24.5546875" style="1321" customWidth="1"/>
    <col min="7683" max="7684" width="4.88671875" style="1321" customWidth="1"/>
    <col min="7685" max="7688" width="8.88671875" style="1321"/>
    <col min="7689" max="7689" width="3.33203125" style="1321" customWidth="1"/>
    <col min="7690" max="7936" width="8.88671875" style="1321"/>
    <col min="7937" max="7937" width="5.21875" style="1321" customWidth="1"/>
    <col min="7938" max="7938" width="24.5546875" style="1321" customWidth="1"/>
    <col min="7939" max="7940" width="4.88671875" style="1321" customWidth="1"/>
    <col min="7941" max="7944" width="8.88671875" style="1321"/>
    <col min="7945" max="7945" width="3.33203125" style="1321" customWidth="1"/>
    <col min="7946" max="8192" width="8.88671875" style="1321"/>
    <col min="8193" max="8193" width="5.21875" style="1321" customWidth="1"/>
    <col min="8194" max="8194" width="24.5546875" style="1321" customWidth="1"/>
    <col min="8195" max="8196" width="4.88671875" style="1321" customWidth="1"/>
    <col min="8197" max="8200" width="8.88671875" style="1321"/>
    <col min="8201" max="8201" width="3.33203125" style="1321" customWidth="1"/>
    <col min="8202" max="8448" width="8.88671875" style="1321"/>
    <col min="8449" max="8449" width="5.21875" style="1321" customWidth="1"/>
    <col min="8450" max="8450" width="24.5546875" style="1321" customWidth="1"/>
    <col min="8451" max="8452" width="4.88671875" style="1321" customWidth="1"/>
    <col min="8453" max="8456" width="8.88671875" style="1321"/>
    <col min="8457" max="8457" width="3.33203125" style="1321" customWidth="1"/>
    <col min="8458" max="8704" width="8.88671875" style="1321"/>
    <col min="8705" max="8705" width="5.21875" style="1321" customWidth="1"/>
    <col min="8706" max="8706" width="24.5546875" style="1321" customWidth="1"/>
    <col min="8707" max="8708" width="4.88671875" style="1321" customWidth="1"/>
    <col min="8709" max="8712" width="8.88671875" style="1321"/>
    <col min="8713" max="8713" width="3.33203125" style="1321" customWidth="1"/>
    <col min="8714" max="8960" width="8.88671875" style="1321"/>
    <col min="8961" max="8961" width="5.21875" style="1321" customWidth="1"/>
    <col min="8962" max="8962" width="24.5546875" style="1321" customWidth="1"/>
    <col min="8963" max="8964" width="4.88671875" style="1321" customWidth="1"/>
    <col min="8965" max="8968" width="8.88671875" style="1321"/>
    <col min="8969" max="8969" width="3.33203125" style="1321" customWidth="1"/>
    <col min="8970" max="9216" width="8.88671875" style="1321"/>
    <col min="9217" max="9217" width="5.21875" style="1321" customWidth="1"/>
    <col min="9218" max="9218" width="24.5546875" style="1321" customWidth="1"/>
    <col min="9219" max="9220" width="4.88671875" style="1321" customWidth="1"/>
    <col min="9221" max="9224" width="8.88671875" style="1321"/>
    <col min="9225" max="9225" width="3.33203125" style="1321" customWidth="1"/>
    <col min="9226" max="9472" width="8.88671875" style="1321"/>
    <col min="9473" max="9473" width="5.21875" style="1321" customWidth="1"/>
    <col min="9474" max="9474" width="24.5546875" style="1321" customWidth="1"/>
    <col min="9475" max="9476" width="4.88671875" style="1321" customWidth="1"/>
    <col min="9477" max="9480" width="8.88671875" style="1321"/>
    <col min="9481" max="9481" width="3.33203125" style="1321" customWidth="1"/>
    <col min="9482" max="9728" width="8.88671875" style="1321"/>
    <col min="9729" max="9729" width="5.21875" style="1321" customWidth="1"/>
    <col min="9730" max="9730" width="24.5546875" style="1321" customWidth="1"/>
    <col min="9731" max="9732" width="4.88671875" style="1321" customWidth="1"/>
    <col min="9733" max="9736" width="8.88671875" style="1321"/>
    <col min="9737" max="9737" width="3.33203125" style="1321" customWidth="1"/>
    <col min="9738" max="9984" width="8.88671875" style="1321"/>
    <col min="9985" max="9985" width="5.21875" style="1321" customWidth="1"/>
    <col min="9986" max="9986" width="24.5546875" style="1321" customWidth="1"/>
    <col min="9987" max="9988" width="4.88671875" style="1321" customWidth="1"/>
    <col min="9989" max="9992" width="8.88671875" style="1321"/>
    <col min="9993" max="9993" width="3.33203125" style="1321" customWidth="1"/>
    <col min="9994" max="10240" width="8.88671875" style="1321"/>
    <col min="10241" max="10241" width="5.21875" style="1321" customWidth="1"/>
    <col min="10242" max="10242" width="24.5546875" style="1321" customWidth="1"/>
    <col min="10243" max="10244" width="4.88671875" style="1321" customWidth="1"/>
    <col min="10245" max="10248" width="8.88671875" style="1321"/>
    <col min="10249" max="10249" width="3.33203125" style="1321" customWidth="1"/>
    <col min="10250" max="10496" width="8.88671875" style="1321"/>
    <col min="10497" max="10497" width="5.21875" style="1321" customWidth="1"/>
    <col min="10498" max="10498" width="24.5546875" style="1321" customWidth="1"/>
    <col min="10499" max="10500" width="4.88671875" style="1321" customWidth="1"/>
    <col min="10501" max="10504" width="8.88671875" style="1321"/>
    <col min="10505" max="10505" width="3.33203125" style="1321" customWidth="1"/>
    <col min="10506" max="10752" width="8.88671875" style="1321"/>
    <col min="10753" max="10753" width="5.21875" style="1321" customWidth="1"/>
    <col min="10754" max="10754" width="24.5546875" style="1321" customWidth="1"/>
    <col min="10755" max="10756" width="4.88671875" style="1321" customWidth="1"/>
    <col min="10757" max="10760" width="8.88671875" style="1321"/>
    <col min="10761" max="10761" width="3.33203125" style="1321" customWidth="1"/>
    <col min="10762" max="11008" width="8.88671875" style="1321"/>
    <col min="11009" max="11009" width="5.21875" style="1321" customWidth="1"/>
    <col min="11010" max="11010" width="24.5546875" style="1321" customWidth="1"/>
    <col min="11011" max="11012" width="4.88671875" style="1321" customWidth="1"/>
    <col min="11013" max="11016" width="8.88671875" style="1321"/>
    <col min="11017" max="11017" width="3.33203125" style="1321" customWidth="1"/>
    <col min="11018" max="11264" width="8.88671875" style="1321"/>
    <col min="11265" max="11265" width="5.21875" style="1321" customWidth="1"/>
    <col min="11266" max="11266" width="24.5546875" style="1321" customWidth="1"/>
    <col min="11267" max="11268" width="4.88671875" style="1321" customWidth="1"/>
    <col min="11269" max="11272" width="8.88671875" style="1321"/>
    <col min="11273" max="11273" width="3.33203125" style="1321" customWidth="1"/>
    <col min="11274" max="11520" width="8.88671875" style="1321"/>
    <col min="11521" max="11521" width="5.21875" style="1321" customWidth="1"/>
    <col min="11522" max="11522" width="24.5546875" style="1321" customWidth="1"/>
    <col min="11523" max="11524" width="4.88671875" style="1321" customWidth="1"/>
    <col min="11525" max="11528" width="8.88671875" style="1321"/>
    <col min="11529" max="11529" width="3.33203125" style="1321" customWidth="1"/>
    <col min="11530" max="11776" width="8.88671875" style="1321"/>
    <col min="11777" max="11777" width="5.21875" style="1321" customWidth="1"/>
    <col min="11778" max="11778" width="24.5546875" style="1321" customWidth="1"/>
    <col min="11779" max="11780" width="4.88671875" style="1321" customWidth="1"/>
    <col min="11781" max="11784" width="8.88671875" style="1321"/>
    <col min="11785" max="11785" width="3.33203125" style="1321" customWidth="1"/>
    <col min="11786" max="12032" width="8.88671875" style="1321"/>
    <col min="12033" max="12033" width="5.21875" style="1321" customWidth="1"/>
    <col min="12034" max="12034" width="24.5546875" style="1321" customWidth="1"/>
    <col min="12035" max="12036" width="4.88671875" style="1321" customWidth="1"/>
    <col min="12037" max="12040" width="8.88671875" style="1321"/>
    <col min="12041" max="12041" width="3.33203125" style="1321" customWidth="1"/>
    <col min="12042" max="12288" width="8.88671875" style="1321"/>
    <col min="12289" max="12289" width="5.21875" style="1321" customWidth="1"/>
    <col min="12290" max="12290" width="24.5546875" style="1321" customWidth="1"/>
    <col min="12291" max="12292" width="4.88671875" style="1321" customWidth="1"/>
    <col min="12293" max="12296" width="8.88671875" style="1321"/>
    <col min="12297" max="12297" width="3.33203125" style="1321" customWidth="1"/>
    <col min="12298" max="12544" width="8.88671875" style="1321"/>
    <col min="12545" max="12545" width="5.21875" style="1321" customWidth="1"/>
    <col min="12546" max="12546" width="24.5546875" style="1321" customWidth="1"/>
    <col min="12547" max="12548" width="4.88671875" style="1321" customWidth="1"/>
    <col min="12549" max="12552" width="8.88671875" style="1321"/>
    <col min="12553" max="12553" width="3.33203125" style="1321" customWidth="1"/>
    <col min="12554" max="12800" width="8.88671875" style="1321"/>
    <col min="12801" max="12801" width="5.21875" style="1321" customWidth="1"/>
    <col min="12802" max="12802" width="24.5546875" style="1321" customWidth="1"/>
    <col min="12803" max="12804" width="4.88671875" style="1321" customWidth="1"/>
    <col min="12805" max="12808" width="8.88671875" style="1321"/>
    <col min="12809" max="12809" width="3.33203125" style="1321" customWidth="1"/>
    <col min="12810" max="13056" width="8.88671875" style="1321"/>
    <col min="13057" max="13057" width="5.21875" style="1321" customWidth="1"/>
    <col min="13058" max="13058" width="24.5546875" style="1321" customWidth="1"/>
    <col min="13059" max="13060" width="4.88671875" style="1321" customWidth="1"/>
    <col min="13061" max="13064" width="8.88671875" style="1321"/>
    <col min="13065" max="13065" width="3.33203125" style="1321" customWidth="1"/>
    <col min="13066" max="13312" width="8.88671875" style="1321"/>
    <col min="13313" max="13313" width="5.21875" style="1321" customWidth="1"/>
    <col min="13314" max="13314" width="24.5546875" style="1321" customWidth="1"/>
    <col min="13315" max="13316" width="4.88671875" style="1321" customWidth="1"/>
    <col min="13317" max="13320" width="8.88671875" style="1321"/>
    <col min="13321" max="13321" width="3.33203125" style="1321" customWidth="1"/>
    <col min="13322" max="13568" width="8.88671875" style="1321"/>
    <col min="13569" max="13569" width="5.21875" style="1321" customWidth="1"/>
    <col min="13570" max="13570" width="24.5546875" style="1321" customWidth="1"/>
    <col min="13571" max="13572" width="4.88671875" style="1321" customWidth="1"/>
    <col min="13573" max="13576" width="8.88671875" style="1321"/>
    <col min="13577" max="13577" width="3.33203125" style="1321" customWidth="1"/>
    <col min="13578" max="13824" width="8.88671875" style="1321"/>
    <col min="13825" max="13825" width="5.21875" style="1321" customWidth="1"/>
    <col min="13826" max="13826" width="24.5546875" style="1321" customWidth="1"/>
    <col min="13827" max="13828" width="4.88671875" style="1321" customWidth="1"/>
    <col min="13829" max="13832" width="8.88671875" style="1321"/>
    <col min="13833" max="13833" width="3.33203125" style="1321" customWidth="1"/>
    <col min="13834" max="14080" width="8.88671875" style="1321"/>
    <col min="14081" max="14081" width="5.21875" style="1321" customWidth="1"/>
    <col min="14082" max="14082" width="24.5546875" style="1321" customWidth="1"/>
    <col min="14083" max="14084" width="4.88671875" style="1321" customWidth="1"/>
    <col min="14085" max="14088" width="8.88671875" style="1321"/>
    <col min="14089" max="14089" width="3.33203125" style="1321" customWidth="1"/>
    <col min="14090" max="14336" width="8.88671875" style="1321"/>
    <col min="14337" max="14337" width="5.21875" style="1321" customWidth="1"/>
    <col min="14338" max="14338" width="24.5546875" style="1321" customWidth="1"/>
    <col min="14339" max="14340" width="4.88671875" style="1321" customWidth="1"/>
    <col min="14341" max="14344" width="8.88671875" style="1321"/>
    <col min="14345" max="14345" width="3.33203125" style="1321" customWidth="1"/>
    <col min="14346" max="14592" width="8.88671875" style="1321"/>
    <col min="14593" max="14593" width="5.21875" style="1321" customWidth="1"/>
    <col min="14594" max="14594" width="24.5546875" style="1321" customWidth="1"/>
    <col min="14595" max="14596" width="4.88671875" style="1321" customWidth="1"/>
    <col min="14597" max="14600" width="8.88671875" style="1321"/>
    <col min="14601" max="14601" width="3.33203125" style="1321" customWidth="1"/>
    <col min="14602" max="14848" width="8.88671875" style="1321"/>
    <col min="14849" max="14849" width="5.21875" style="1321" customWidth="1"/>
    <col min="14850" max="14850" width="24.5546875" style="1321" customWidth="1"/>
    <col min="14851" max="14852" width="4.88671875" style="1321" customWidth="1"/>
    <col min="14853" max="14856" width="8.88671875" style="1321"/>
    <col min="14857" max="14857" width="3.33203125" style="1321" customWidth="1"/>
    <col min="14858" max="15104" width="8.88671875" style="1321"/>
    <col min="15105" max="15105" width="5.21875" style="1321" customWidth="1"/>
    <col min="15106" max="15106" width="24.5546875" style="1321" customWidth="1"/>
    <col min="15107" max="15108" width="4.88671875" style="1321" customWidth="1"/>
    <col min="15109" max="15112" width="8.88671875" style="1321"/>
    <col min="15113" max="15113" width="3.33203125" style="1321" customWidth="1"/>
    <col min="15114" max="15360" width="8.88671875" style="1321"/>
    <col min="15361" max="15361" width="5.21875" style="1321" customWidth="1"/>
    <col min="15362" max="15362" width="24.5546875" style="1321" customWidth="1"/>
    <col min="15363" max="15364" width="4.88671875" style="1321" customWidth="1"/>
    <col min="15365" max="15368" width="8.88671875" style="1321"/>
    <col min="15369" max="15369" width="3.33203125" style="1321" customWidth="1"/>
    <col min="15370" max="15616" width="8.88671875" style="1321"/>
    <col min="15617" max="15617" width="5.21875" style="1321" customWidth="1"/>
    <col min="15618" max="15618" width="24.5546875" style="1321" customWidth="1"/>
    <col min="15619" max="15620" width="4.88671875" style="1321" customWidth="1"/>
    <col min="15621" max="15624" width="8.88671875" style="1321"/>
    <col min="15625" max="15625" width="3.33203125" style="1321" customWidth="1"/>
    <col min="15626" max="15872" width="8.88671875" style="1321"/>
    <col min="15873" max="15873" width="5.21875" style="1321" customWidth="1"/>
    <col min="15874" max="15874" width="24.5546875" style="1321" customWidth="1"/>
    <col min="15875" max="15876" width="4.88671875" style="1321" customWidth="1"/>
    <col min="15877" max="15880" width="8.88671875" style="1321"/>
    <col min="15881" max="15881" width="3.33203125" style="1321" customWidth="1"/>
    <col min="15882" max="16128" width="8.88671875" style="1321"/>
    <col min="16129" max="16129" width="5.21875" style="1321" customWidth="1"/>
    <col min="16130" max="16130" width="24.5546875" style="1321" customWidth="1"/>
    <col min="16131" max="16132" width="4.88671875" style="1321" customWidth="1"/>
    <col min="16133" max="16136" width="8.88671875" style="1321"/>
    <col min="16137" max="16137" width="3.33203125" style="1321" customWidth="1"/>
    <col min="16138" max="16384" width="8.88671875" style="1321"/>
  </cols>
  <sheetData>
    <row r="1" spans="1:256" ht="54.75" customHeight="1">
      <c r="A1" s="1319" t="s">
        <v>7082</v>
      </c>
      <c r="B1" s="1319"/>
      <c r="C1" s="1319"/>
      <c r="D1" s="1319"/>
      <c r="E1" s="1319"/>
      <c r="F1" s="1319"/>
      <c r="G1" s="1319"/>
      <c r="H1" s="1319"/>
      <c r="I1" s="1319"/>
      <c r="J1" s="1320"/>
      <c r="K1" s="1320"/>
      <c r="L1" s="1320"/>
      <c r="M1" s="1320"/>
      <c r="N1" s="1320"/>
      <c r="O1" s="1320"/>
      <c r="P1" s="1320"/>
      <c r="Q1" s="1320"/>
      <c r="R1" s="1320"/>
      <c r="S1" s="1320"/>
      <c r="T1" s="1320"/>
      <c r="U1" s="1320"/>
      <c r="V1" s="1320"/>
      <c r="W1" s="1320"/>
      <c r="X1" s="1320"/>
      <c r="Y1" s="1320"/>
      <c r="Z1" s="1320"/>
      <c r="AA1" s="1320"/>
      <c r="AB1" s="1320"/>
      <c r="AC1" s="1320"/>
      <c r="AD1" s="1320"/>
      <c r="AE1" s="1320"/>
      <c r="AF1" s="1320"/>
      <c r="AG1" s="1320"/>
      <c r="AH1" s="1320"/>
      <c r="AI1" s="1320"/>
      <c r="AJ1" s="1320"/>
      <c r="AK1" s="1320"/>
      <c r="AL1" s="1320"/>
      <c r="AM1" s="1320"/>
      <c r="AN1" s="1320"/>
      <c r="AO1" s="1320"/>
      <c r="AP1" s="1320"/>
      <c r="AQ1" s="1320"/>
      <c r="AR1" s="1320"/>
      <c r="AS1" s="1320"/>
      <c r="AT1" s="1320"/>
      <c r="AU1" s="1320"/>
      <c r="AV1" s="1320"/>
      <c r="AW1" s="1320"/>
      <c r="AX1" s="1320"/>
      <c r="AY1" s="1320"/>
      <c r="AZ1" s="1320"/>
      <c r="BA1" s="1320"/>
      <c r="BB1" s="1320"/>
      <c r="BC1" s="1320"/>
      <c r="BD1" s="1320"/>
      <c r="BE1" s="1320"/>
      <c r="BF1" s="1320"/>
      <c r="BG1" s="1320"/>
      <c r="BH1" s="1320"/>
      <c r="BI1" s="1320"/>
      <c r="BJ1" s="1320"/>
      <c r="BK1" s="1320"/>
      <c r="BL1" s="1320"/>
      <c r="BM1" s="1320"/>
      <c r="BN1" s="1320"/>
      <c r="BO1" s="1320"/>
      <c r="BP1" s="1320"/>
      <c r="BQ1" s="1320"/>
      <c r="BR1" s="1320"/>
      <c r="BS1" s="1320"/>
      <c r="BT1" s="1320"/>
      <c r="BU1" s="1320"/>
      <c r="BV1" s="1320"/>
      <c r="BW1" s="1320"/>
      <c r="BX1" s="1320"/>
      <c r="BY1" s="1320"/>
      <c r="BZ1" s="1320"/>
      <c r="CA1" s="1320"/>
      <c r="CB1" s="1320"/>
      <c r="CC1" s="1320"/>
      <c r="CD1" s="1320"/>
      <c r="CE1" s="1320"/>
      <c r="CF1" s="1320"/>
      <c r="CG1" s="1320"/>
      <c r="CH1" s="1320"/>
      <c r="CI1" s="1320"/>
      <c r="CJ1" s="1320"/>
      <c r="CK1" s="1320"/>
      <c r="CL1" s="1320"/>
      <c r="CM1" s="1320"/>
      <c r="CN1" s="1320"/>
      <c r="CO1" s="1320"/>
      <c r="CP1" s="1320"/>
      <c r="CQ1" s="1320"/>
      <c r="CR1" s="1320"/>
      <c r="CS1" s="1320"/>
      <c r="CT1" s="1320"/>
      <c r="CU1" s="1320"/>
      <c r="CV1" s="1320"/>
      <c r="CW1" s="1320"/>
      <c r="CX1" s="1320"/>
      <c r="CY1" s="1320"/>
      <c r="CZ1" s="1320"/>
      <c r="DA1" s="1320"/>
      <c r="DB1" s="1320"/>
      <c r="DC1" s="1320"/>
      <c r="DD1" s="1320"/>
      <c r="DE1" s="1320"/>
      <c r="DF1" s="1320"/>
      <c r="DG1" s="1320"/>
      <c r="DH1" s="1320"/>
      <c r="DI1" s="1320"/>
      <c r="DJ1" s="1320"/>
      <c r="DK1" s="1320"/>
      <c r="DL1" s="1320"/>
      <c r="DM1" s="1320"/>
      <c r="DN1" s="1320"/>
      <c r="DO1" s="1320"/>
      <c r="DP1" s="1320"/>
      <c r="DQ1" s="1320"/>
      <c r="DR1" s="1320"/>
      <c r="DS1" s="1320"/>
      <c r="DT1" s="1320"/>
      <c r="DU1" s="1320"/>
      <c r="DV1" s="1320"/>
      <c r="DW1" s="1320"/>
      <c r="DX1" s="1320"/>
      <c r="DY1" s="1320"/>
      <c r="DZ1" s="1320"/>
      <c r="EA1" s="1320"/>
      <c r="EB1" s="1320"/>
      <c r="EC1" s="1320"/>
      <c r="ED1" s="1320"/>
      <c r="EE1" s="1320"/>
      <c r="EF1" s="1320"/>
      <c r="EG1" s="1320"/>
      <c r="EH1" s="1320"/>
      <c r="EI1" s="1320"/>
      <c r="EJ1" s="1320"/>
      <c r="EK1" s="1320"/>
      <c r="EL1" s="1320"/>
      <c r="EM1" s="1320"/>
      <c r="EN1" s="1320"/>
      <c r="EO1" s="1320"/>
      <c r="EP1" s="1320"/>
      <c r="EQ1" s="1320"/>
      <c r="ER1" s="1320"/>
      <c r="ES1" s="1320"/>
      <c r="ET1" s="1320"/>
      <c r="EU1" s="1320"/>
      <c r="EV1" s="1320"/>
      <c r="EW1" s="1320"/>
      <c r="EX1" s="1320"/>
      <c r="EY1" s="1320"/>
      <c r="EZ1" s="1320"/>
      <c r="FA1" s="1320"/>
      <c r="FB1" s="1320"/>
      <c r="FC1" s="1320"/>
      <c r="FD1" s="1320"/>
      <c r="FE1" s="1320"/>
      <c r="FF1" s="1320"/>
      <c r="FG1" s="1320"/>
      <c r="FH1" s="1320"/>
      <c r="FI1" s="1320"/>
      <c r="FJ1" s="1320"/>
      <c r="FK1" s="1320"/>
      <c r="FL1" s="1320"/>
      <c r="FM1" s="1320"/>
      <c r="FN1" s="1320"/>
      <c r="FO1" s="1320"/>
      <c r="FP1" s="1320"/>
      <c r="FQ1" s="1320"/>
      <c r="FR1" s="1320"/>
      <c r="FS1" s="1320"/>
      <c r="FT1" s="1320"/>
      <c r="FU1" s="1320"/>
      <c r="FV1" s="1320"/>
      <c r="FW1" s="1320"/>
      <c r="FX1" s="1320"/>
      <c r="FY1" s="1320"/>
      <c r="FZ1" s="1320"/>
      <c r="GA1" s="1320"/>
      <c r="GB1" s="1320"/>
      <c r="GC1" s="1320"/>
      <c r="GD1" s="1320"/>
      <c r="GE1" s="1320"/>
      <c r="GF1" s="1320"/>
      <c r="GG1" s="1320"/>
      <c r="GH1" s="1320"/>
      <c r="GI1" s="1320"/>
      <c r="GJ1" s="1320"/>
      <c r="GK1" s="1320"/>
      <c r="GL1" s="1320"/>
      <c r="GM1" s="1320"/>
      <c r="GN1" s="1320"/>
      <c r="GO1" s="1320"/>
      <c r="GP1" s="1320"/>
      <c r="GQ1" s="1320"/>
      <c r="GR1" s="1320"/>
      <c r="GS1" s="1320"/>
      <c r="GT1" s="1320"/>
      <c r="GU1" s="1320"/>
      <c r="GV1" s="1320"/>
      <c r="GW1" s="1320"/>
      <c r="GX1" s="1320"/>
      <c r="GY1" s="1320"/>
      <c r="GZ1" s="1320"/>
      <c r="HA1" s="1320"/>
      <c r="HB1" s="1320"/>
      <c r="HC1" s="1320"/>
      <c r="HD1" s="1320"/>
      <c r="HE1" s="1320"/>
      <c r="HF1" s="1320"/>
      <c r="HG1" s="1320"/>
      <c r="HH1" s="1320"/>
      <c r="HI1" s="1320"/>
      <c r="HJ1" s="1320"/>
      <c r="HK1" s="1320"/>
      <c r="HL1" s="1320"/>
      <c r="HM1" s="1320"/>
      <c r="HN1" s="1320"/>
      <c r="HO1" s="1320"/>
      <c r="HP1" s="1320"/>
      <c r="HQ1" s="1320"/>
      <c r="HR1" s="1320"/>
      <c r="HS1" s="1320"/>
      <c r="HT1" s="1320"/>
      <c r="HU1" s="1320"/>
      <c r="HV1" s="1320"/>
      <c r="HW1" s="1320"/>
      <c r="HX1" s="1320"/>
      <c r="HY1" s="1320"/>
      <c r="HZ1" s="1320"/>
      <c r="IA1" s="1320"/>
      <c r="IB1" s="1320"/>
      <c r="IC1" s="1320"/>
      <c r="ID1" s="1320"/>
      <c r="IE1" s="1320"/>
      <c r="IF1" s="1320"/>
      <c r="IG1" s="1320"/>
      <c r="IH1" s="1320"/>
      <c r="II1" s="1320"/>
      <c r="IJ1" s="1320"/>
      <c r="IK1" s="1320"/>
      <c r="IL1" s="1320"/>
      <c r="IM1" s="1320"/>
      <c r="IN1" s="1320"/>
      <c r="IO1" s="1320"/>
      <c r="IP1" s="1320"/>
      <c r="IQ1" s="1320"/>
      <c r="IR1" s="1320"/>
      <c r="IS1" s="1320"/>
      <c r="IT1" s="1320"/>
      <c r="IU1" s="1320"/>
      <c r="IV1" s="1320"/>
    </row>
    <row r="2" spans="1:256" ht="33" customHeight="1">
      <c r="A2" s="1319" t="s">
        <v>7083</v>
      </c>
      <c r="B2" s="1319"/>
      <c r="C2" s="1319"/>
      <c r="D2" s="1319"/>
      <c r="E2" s="1319"/>
      <c r="F2" s="1319"/>
      <c r="G2" s="1319"/>
      <c r="H2" s="1319"/>
      <c r="I2" s="1319"/>
      <c r="J2" s="1320"/>
      <c r="K2" s="1320"/>
      <c r="L2" s="1320"/>
      <c r="M2" s="1320"/>
      <c r="N2" s="1320"/>
      <c r="O2" s="1320"/>
      <c r="P2" s="1320"/>
      <c r="Q2" s="1320"/>
      <c r="R2" s="1320"/>
      <c r="S2" s="1320"/>
      <c r="T2" s="1320"/>
      <c r="U2" s="1320"/>
      <c r="V2" s="1320"/>
      <c r="W2" s="1320"/>
      <c r="X2" s="1320"/>
      <c r="Y2" s="1320"/>
      <c r="Z2" s="1320"/>
      <c r="AA2" s="1320"/>
      <c r="AB2" s="1320"/>
      <c r="AC2" s="1320"/>
      <c r="AD2" s="1320"/>
      <c r="AE2" s="1320"/>
      <c r="AF2" s="1320"/>
      <c r="AG2" s="1320"/>
      <c r="AH2" s="1320"/>
      <c r="AI2" s="1320"/>
      <c r="AJ2" s="1320"/>
      <c r="AK2" s="1320"/>
      <c r="AL2" s="1320"/>
      <c r="AM2" s="1320"/>
      <c r="AN2" s="1320"/>
      <c r="AO2" s="1320"/>
      <c r="AP2" s="1320"/>
      <c r="AQ2" s="1320"/>
      <c r="AR2" s="1320"/>
      <c r="AS2" s="1320"/>
      <c r="AT2" s="1320"/>
      <c r="AU2" s="1320"/>
      <c r="AV2" s="1320"/>
      <c r="AW2" s="1320"/>
      <c r="AX2" s="1320"/>
      <c r="AY2" s="1320"/>
      <c r="AZ2" s="1320"/>
      <c r="BA2" s="1320"/>
      <c r="BB2" s="1320"/>
      <c r="BC2" s="1320"/>
      <c r="BD2" s="1320"/>
      <c r="BE2" s="1320"/>
      <c r="BF2" s="1320"/>
      <c r="BG2" s="1320"/>
      <c r="BH2" s="1320"/>
      <c r="BI2" s="1320"/>
      <c r="BJ2" s="1320"/>
      <c r="BK2" s="1320"/>
      <c r="BL2" s="1320"/>
      <c r="BM2" s="1320"/>
      <c r="BN2" s="1320"/>
      <c r="BO2" s="1320"/>
      <c r="BP2" s="1320"/>
      <c r="BQ2" s="1320"/>
      <c r="BR2" s="1320"/>
      <c r="BS2" s="1320"/>
      <c r="BT2" s="1320"/>
      <c r="BU2" s="1320"/>
      <c r="BV2" s="1320"/>
      <c r="BW2" s="1320"/>
      <c r="BX2" s="1320"/>
      <c r="BY2" s="1320"/>
      <c r="BZ2" s="1320"/>
      <c r="CA2" s="1320"/>
      <c r="CB2" s="1320"/>
      <c r="CC2" s="1320"/>
      <c r="CD2" s="1320"/>
      <c r="CE2" s="1320"/>
      <c r="CF2" s="1320"/>
      <c r="CG2" s="1320"/>
      <c r="CH2" s="1320"/>
      <c r="CI2" s="1320"/>
      <c r="CJ2" s="1320"/>
      <c r="CK2" s="1320"/>
      <c r="CL2" s="1320"/>
      <c r="CM2" s="1320"/>
      <c r="CN2" s="1320"/>
      <c r="CO2" s="1320"/>
      <c r="CP2" s="1320"/>
      <c r="CQ2" s="1320"/>
      <c r="CR2" s="1320"/>
      <c r="CS2" s="1320"/>
      <c r="CT2" s="1320"/>
      <c r="CU2" s="1320"/>
      <c r="CV2" s="1320"/>
      <c r="CW2" s="1320"/>
      <c r="CX2" s="1320"/>
      <c r="CY2" s="1320"/>
      <c r="CZ2" s="1320"/>
      <c r="DA2" s="1320"/>
      <c r="DB2" s="1320"/>
      <c r="DC2" s="1320"/>
      <c r="DD2" s="1320"/>
      <c r="DE2" s="1320"/>
      <c r="DF2" s="1320"/>
      <c r="DG2" s="1320"/>
      <c r="DH2" s="1320"/>
      <c r="DI2" s="1320"/>
      <c r="DJ2" s="1320"/>
      <c r="DK2" s="1320"/>
      <c r="DL2" s="1320"/>
      <c r="DM2" s="1320"/>
      <c r="DN2" s="1320"/>
      <c r="DO2" s="1320"/>
      <c r="DP2" s="1320"/>
      <c r="DQ2" s="1320"/>
      <c r="DR2" s="1320"/>
      <c r="DS2" s="1320"/>
      <c r="DT2" s="1320"/>
      <c r="DU2" s="1320"/>
      <c r="DV2" s="1320"/>
      <c r="DW2" s="1320"/>
      <c r="DX2" s="1320"/>
      <c r="DY2" s="1320"/>
      <c r="DZ2" s="1320"/>
      <c r="EA2" s="1320"/>
      <c r="EB2" s="1320"/>
      <c r="EC2" s="1320"/>
      <c r="ED2" s="1320"/>
      <c r="EE2" s="1320"/>
      <c r="EF2" s="1320"/>
      <c r="EG2" s="1320"/>
      <c r="EH2" s="1320"/>
      <c r="EI2" s="1320"/>
      <c r="EJ2" s="1320"/>
      <c r="EK2" s="1320"/>
      <c r="EL2" s="1320"/>
      <c r="EM2" s="1320"/>
      <c r="EN2" s="1320"/>
      <c r="EO2" s="1320"/>
      <c r="EP2" s="1320"/>
      <c r="EQ2" s="1320"/>
      <c r="ER2" s="1320"/>
      <c r="ES2" s="1320"/>
      <c r="ET2" s="1320"/>
      <c r="EU2" s="1320"/>
      <c r="EV2" s="1320"/>
      <c r="EW2" s="1320"/>
      <c r="EX2" s="1320"/>
      <c r="EY2" s="1320"/>
      <c r="EZ2" s="1320"/>
      <c r="FA2" s="1320"/>
      <c r="FB2" s="1320"/>
      <c r="FC2" s="1320"/>
      <c r="FD2" s="1320"/>
      <c r="FE2" s="1320"/>
      <c r="FF2" s="1320"/>
      <c r="FG2" s="1320"/>
      <c r="FH2" s="1320"/>
      <c r="FI2" s="1320"/>
      <c r="FJ2" s="1320"/>
      <c r="FK2" s="1320"/>
      <c r="FL2" s="1320"/>
      <c r="FM2" s="1320"/>
      <c r="FN2" s="1320"/>
      <c r="FO2" s="1320"/>
      <c r="FP2" s="1320"/>
      <c r="FQ2" s="1320"/>
      <c r="FR2" s="1320"/>
      <c r="FS2" s="1320"/>
      <c r="FT2" s="1320"/>
      <c r="FU2" s="1320"/>
      <c r="FV2" s="1320"/>
      <c r="FW2" s="1320"/>
      <c r="FX2" s="1320"/>
      <c r="FY2" s="1320"/>
      <c r="FZ2" s="1320"/>
      <c r="GA2" s="1320"/>
      <c r="GB2" s="1320"/>
      <c r="GC2" s="1320"/>
      <c r="GD2" s="1320"/>
      <c r="GE2" s="1320"/>
      <c r="GF2" s="1320"/>
      <c r="GG2" s="1320"/>
      <c r="GH2" s="1320"/>
      <c r="GI2" s="1320"/>
      <c r="GJ2" s="1320"/>
      <c r="GK2" s="1320"/>
      <c r="GL2" s="1320"/>
      <c r="GM2" s="1320"/>
      <c r="GN2" s="1320"/>
      <c r="GO2" s="1320"/>
      <c r="GP2" s="1320"/>
      <c r="GQ2" s="1320"/>
      <c r="GR2" s="1320"/>
      <c r="GS2" s="1320"/>
      <c r="GT2" s="1320"/>
      <c r="GU2" s="1320"/>
      <c r="GV2" s="1320"/>
      <c r="GW2" s="1320"/>
      <c r="GX2" s="1320"/>
      <c r="GY2" s="1320"/>
      <c r="GZ2" s="1320"/>
      <c r="HA2" s="1320"/>
      <c r="HB2" s="1320"/>
      <c r="HC2" s="1320"/>
      <c r="HD2" s="1320"/>
      <c r="HE2" s="1320"/>
      <c r="HF2" s="1320"/>
      <c r="HG2" s="1320"/>
      <c r="HH2" s="1320"/>
      <c r="HI2" s="1320"/>
      <c r="HJ2" s="1320"/>
      <c r="HK2" s="1320"/>
      <c r="HL2" s="1320"/>
      <c r="HM2" s="1320"/>
      <c r="HN2" s="1320"/>
      <c r="HO2" s="1320"/>
      <c r="HP2" s="1320"/>
      <c r="HQ2" s="1320"/>
      <c r="HR2" s="1320"/>
      <c r="HS2" s="1320"/>
      <c r="HT2" s="1320"/>
      <c r="HU2" s="1320"/>
      <c r="HV2" s="1320"/>
      <c r="HW2" s="1320"/>
      <c r="HX2" s="1320"/>
      <c r="HY2" s="1320"/>
      <c r="HZ2" s="1320"/>
      <c r="IA2" s="1320"/>
      <c r="IB2" s="1320"/>
      <c r="IC2" s="1320"/>
      <c r="ID2" s="1320"/>
      <c r="IE2" s="1320"/>
      <c r="IF2" s="1320"/>
      <c r="IG2" s="1320"/>
      <c r="IH2" s="1320"/>
      <c r="II2" s="1320"/>
      <c r="IJ2" s="1320"/>
      <c r="IK2" s="1320"/>
      <c r="IL2" s="1320"/>
      <c r="IM2" s="1320"/>
      <c r="IN2" s="1320"/>
      <c r="IO2" s="1320"/>
      <c r="IP2" s="1320"/>
      <c r="IQ2" s="1320"/>
      <c r="IR2" s="1320"/>
      <c r="IS2" s="1320"/>
      <c r="IT2" s="1320"/>
      <c r="IU2" s="1320"/>
      <c r="IV2" s="1320"/>
    </row>
    <row r="3" spans="1:256" ht="16.5" customHeight="1">
      <c r="A3" s="1322" t="s">
        <v>7084</v>
      </c>
      <c r="B3" s="1322"/>
      <c r="C3" s="1322"/>
      <c r="D3" s="1322"/>
      <c r="E3" s="1322"/>
      <c r="F3" s="1322"/>
      <c r="G3" s="1322"/>
      <c r="H3" s="1322"/>
      <c r="I3" s="1322"/>
      <c r="J3" s="1320"/>
      <c r="K3" s="1320"/>
      <c r="L3" s="1320"/>
      <c r="M3" s="1320"/>
      <c r="N3" s="1320"/>
      <c r="O3" s="1320"/>
      <c r="P3" s="1320"/>
      <c r="Q3" s="1320"/>
      <c r="R3" s="1320"/>
      <c r="S3" s="1320"/>
      <c r="T3" s="1320"/>
      <c r="U3" s="1320"/>
      <c r="V3" s="1320"/>
      <c r="W3" s="1320"/>
      <c r="X3" s="1320"/>
      <c r="Y3" s="1320"/>
      <c r="Z3" s="1320"/>
      <c r="AA3" s="1320"/>
      <c r="AB3" s="1320"/>
      <c r="AC3" s="1320"/>
      <c r="AD3" s="1320"/>
      <c r="AE3" s="1320"/>
      <c r="AF3" s="1320"/>
      <c r="AG3" s="1320"/>
      <c r="AH3" s="1320"/>
      <c r="AI3" s="1320"/>
      <c r="AJ3" s="1320"/>
      <c r="AK3" s="1320"/>
      <c r="AL3" s="1320"/>
      <c r="AM3" s="1320"/>
      <c r="AN3" s="1320"/>
      <c r="AO3" s="1320"/>
      <c r="AP3" s="1320"/>
      <c r="AQ3" s="1320"/>
      <c r="AR3" s="1320"/>
      <c r="AS3" s="1320"/>
      <c r="AT3" s="1320"/>
      <c r="AU3" s="1320"/>
      <c r="AV3" s="1320"/>
      <c r="AW3" s="1320"/>
      <c r="AX3" s="1320"/>
      <c r="AY3" s="1320"/>
      <c r="AZ3" s="1320"/>
      <c r="BA3" s="1320"/>
      <c r="BB3" s="1320"/>
      <c r="BC3" s="1320"/>
      <c r="BD3" s="1320"/>
      <c r="BE3" s="1320"/>
      <c r="BF3" s="1320"/>
      <c r="BG3" s="1320"/>
      <c r="BH3" s="1320"/>
      <c r="BI3" s="1320"/>
      <c r="BJ3" s="1320"/>
      <c r="BK3" s="1320"/>
      <c r="BL3" s="1320"/>
      <c r="BM3" s="1320"/>
      <c r="BN3" s="1320"/>
      <c r="BO3" s="1320"/>
      <c r="BP3" s="1320"/>
      <c r="BQ3" s="1320"/>
      <c r="BR3" s="1320"/>
      <c r="BS3" s="1320"/>
      <c r="BT3" s="1320"/>
      <c r="BU3" s="1320"/>
      <c r="BV3" s="1320"/>
      <c r="BW3" s="1320"/>
      <c r="BX3" s="1320"/>
      <c r="BY3" s="1320"/>
      <c r="BZ3" s="1320"/>
      <c r="CA3" s="1320"/>
      <c r="CB3" s="1320"/>
      <c r="CC3" s="1320"/>
      <c r="CD3" s="1320"/>
      <c r="CE3" s="1320"/>
      <c r="CF3" s="1320"/>
      <c r="CG3" s="1320"/>
      <c r="CH3" s="1320"/>
      <c r="CI3" s="1320"/>
      <c r="CJ3" s="1320"/>
      <c r="CK3" s="1320"/>
      <c r="CL3" s="1320"/>
      <c r="CM3" s="1320"/>
      <c r="CN3" s="1320"/>
      <c r="CO3" s="1320"/>
      <c r="CP3" s="1320"/>
      <c r="CQ3" s="1320"/>
      <c r="CR3" s="1320"/>
      <c r="CS3" s="1320"/>
      <c r="CT3" s="1320"/>
      <c r="CU3" s="1320"/>
      <c r="CV3" s="1320"/>
      <c r="CW3" s="1320"/>
      <c r="CX3" s="1320"/>
      <c r="CY3" s="1320"/>
      <c r="CZ3" s="1320"/>
      <c r="DA3" s="1320"/>
      <c r="DB3" s="1320"/>
      <c r="DC3" s="1320"/>
      <c r="DD3" s="1320"/>
      <c r="DE3" s="1320"/>
      <c r="DF3" s="1320"/>
      <c r="DG3" s="1320"/>
      <c r="DH3" s="1320"/>
      <c r="DI3" s="1320"/>
      <c r="DJ3" s="1320"/>
      <c r="DK3" s="1320"/>
      <c r="DL3" s="1320"/>
      <c r="DM3" s="1320"/>
      <c r="DN3" s="1320"/>
      <c r="DO3" s="1320"/>
      <c r="DP3" s="1320"/>
      <c r="DQ3" s="1320"/>
      <c r="DR3" s="1320"/>
      <c r="DS3" s="1320"/>
      <c r="DT3" s="1320"/>
      <c r="DU3" s="1320"/>
      <c r="DV3" s="1320"/>
      <c r="DW3" s="1320"/>
      <c r="DX3" s="1320"/>
      <c r="DY3" s="1320"/>
      <c r="DZ3" s="1320"/>
      <c r="EA3" s="1320"/>
      <c r="EB3" s="1320"/>
      <c r="EC3" s="1320"/>
      <c r="ED3" s="1320"/>
      <c r="EE3" s="1320"/>
      <c r="EF3" s="1320"/>
      <c r="EG3" s="1320"/>
      <c r="EH3" s="1320"/>
      <c r="EI3" s="1320"/>
      <c r="EJ3" s="1320"/>
      <c r="EK3" s="1320"/>
      <c r="EL3" s="1320"/>
      <c r="EM3" s="1320"/>
      <c r="EN3" s="1320"/>
      <c r="EO3" s="1320"/>
      <c r="EP3" s="1320"/>
      <c r="EQ3" s="1320"/>
      <c r="ER3" s="1320"/>
      <c r="ES3" s="1320"/>
      <c r="ET3" s="1320"/>
      <c r="EU3" s="1320"/>
      <c r="EV3" s="1320"/>
      <c r="EW3" s="1320"/>
      <c r="EX3" s="1320"/>
      <c r="EY3" s="1320"/>
      <c r="EZ3" s="1320"/>
      <c r="FA3" s="1320"/>
      <c r="FB3" s="1320"/>
      <c r="FC3" s="1320"/>
      <c r="FD3" s="1320"/>
      <c r="FE3" s="1320"/>
      <c r="FF3" s="1320"/>
      <c r="FG3" s="1320"/>
      <c r="FH3" s="1320"/>
      <c r="FI3" s="1320"/>
      <c r="FJ3" s="1320"/>
      <c r="FK3" s="1320"/>
      <c r="FL3" s="1320"/>
      <c r="FM3" s="1320"/>
      <c r="FN3" s="1320"/>
      <c r="FO3" s="1320"/>
      <c r="FP3" s="1320"/>
      <c r="FQ3" s="1320"/>
      <c r="FR3" s="1320"/>
      <c r="FS3" s="1320"/>
      <c r="FT3" s="1320"/>
      <c r="FU3" s="1320"/>
      <c r="FV3" s="1320"/>
      <c r="FW3" s="1320"/>
      <c r="FX3" s="1320"/>
      <c r="FY3" s="1320"/>
      <c r="FZ3" s="1320"/>
      <c r="GA3" s="1320"/>
      <c r="GB3" s="1320"/>
      <c r="GC3" s="1320"/>
      <c r="GD3" s="1320"/>
      <c r="GE3" s="1320"/>
      <c r="GF3" s="1320"/>
      <c r="GG3" s="1320"/>
      <c r="GH3" s="1320"/>
      <c r="GI3" s="1320"/>
      <c r="GJ3" s="1320"/>
      <c r="GK3" s="1320"/>
      <c r="GL3" s="1320"/>
      <c r="GM3" s="1320"/>
      <c r="GN3" s="1320"/>
      <c r="GO3" s="1320"/>
      <c r="GP3" s="1320"/>
      <c r="GQ3" s="1320"/>
      <c r="GR3" s="1320"/>
      <c r="GS3" s="1320"/>
      <c r="GT3" s="1320"/>
      <c r="GU3" s="1320"/>
      <c r="GV3" s="1320"/>
      <c r="GW3" s="1320"/>
      <c r="GX3" s="1320"/>
      <c r="GY3" s="1320"/>
      <c r="GZ3" s="1320"/>
      <c r="HA3" s="1320"/>
      <c r="HB3" s="1320"/>
      <c r="HC3" s="1320"/>
      <c r="HD3" s="1320"/>
      <c r="HE3" s="1320"/>
      <c r="HF3" s="1320"/>
      <c r="HG3" s="1320"/>
      <c r="HH3" s="1320"/>
      <c r="HI3" s="1320"/>
      <c r="HJ3" s="1320"/>
      <c r="HK3" s="1320"/>
      <c r="HL3" s="1320"/>
      <c r="HM3" s="1320"/>
      <c r="HN3" s="1320"/>
      <c r="HO3" s="1320"/>
      <c r="HP3" s="1320"/>
      <c r="HQ3" s="1320"/>
      <c r="HR3" s="1320"/>
      <c r="HS3" s="1320"/>
      <c r="HT3" s="1320"/>
      <c r="HU3" s="1320"/>
      <c r="HV3" s="1320"/>
      <c r="HW3" s="1320"/>
      <c r="HX3" s="1320"/>
      <c r="HY3" s="1320"/>
      <c r="HZ3" s="1320"/>
      <c r="IA3" s="1320"/>
      <c r="IB3" s="1320"/>
      <c r="IC3" s="1320"/>
      <c r="ID3" s="1320"/>
      <c r="IE3" s="1320"/>
      <c r="IF3" s="1320"/>
      <c r="IG3" s="1320"/>
      <c r="IH3" s="1320"/>
      <c r="II3" s="1320"/>
      <c r="IJ3" s="1320"/>
      <c r="IK3" s="1320"/>
      <c r="IL3" s="1320"/>
      <c r="IM3" s="1320"/>
      <c r="IN3" s="1320"/>
      <c r="IO3" s="1320"/>
      <c r="IP3" s="1320"/>
      <c r="IQ3" s="1320"/>
      <c r="IR3" s="1320"/>
      <c r="IS3" s="1320"/>
      <c r="IT3" s="1320"/>
      <c r="IU3" s="1320"/>
      <c r="IV3" s="1320"/>
    </row>
    <row r="4" spans="1:256" ht="27.75" customHeight="1">
      <c r="A4" s="1323"/>
      <c r="B4" s="1324"/>
      <c r="C4" s="1324"/>
      <c r="D4" s="1324"/>
      <c r="E4" s="1324"/>
      <c r="F4" s="1324"/>
      <c r="G4" s="1324"/>
      <c r="H4" s="1324"/>
      <c r="I4" s="1325"/>
      <c r="J4" s="1326"/>
      <c r="K4" s="1320"/>
      <c r="L4" s="1320"/>
      <c r="M4" s="1320"/>
      <c r="N4" s="1320"/>
      <c r="O4" s="1320"/>
      <c r="P4" s="1320"/>
      <c r="Q4" s="1320"/>
      <c r="R4" s="1320"/>
      <c r="S4" s="1320"/>
      <c r="T4" s="1320"/>
      <c r="U4" s="1320"/>
      <c r="V4" s="1320"/>
      <c r="W4" s="1320"/>
      <c r="X4" s="1320"/>
      <c r="Y4" s="1320"/>
      <c r="Z4" s="1320"/>
      <c r="AA4" s="1320"/>
      <c r="AB4" s="1320"/>
      <c r="AC4" s="1320"/>
      <c r="AD4" s="1320"/>
      <c r="AE4" s="1320"/>
      <c r="AF4" s="1320"/>
      <c r="AG4" s="1320"/>
      <c r="AH4" s="1320"/>
      <c r="AI4" s="1320"/>
      <c r="AJ4" s="1320"/>
      <c r="AK4" s="1320"/>
      <c r="AL4" s="1320"/>
      <c r="AM4" s="1320"/>
      <c r="AN4" s="1320"/>
      <c r="AO4" s="1320"/>
      <c r="AP4" s="1320"/>
      <c r="AQ4" s="1320"/>
      <c r="AR4" s="1320"/>
      <c r="AS4" s="1320"/>
      <c r="AT4" s="1320"/>
      <c r="AU4" s="1320"/>
      <c r="AV4" s="1320"/>
      <c r="AW4" s="1320"/>
      <c r="AX4" s="1320"/>
      <c r="AY4" s="1320"/>
      <c r="AZ4" s="1320"/>
      <c r="BA4" s="1320"/>
      <c r="BB4" s="1320"/>
      <c r="BC4" s="1320"/>
      <c r="BD4" s="1320"/>
      <c r="BE4" s="1320"/>
      <c r="BF4" s="1320"/>
      <c r="BG4" s="1320"/>
      <c r="BH4" s="1320"/>
      <c r="BI4" s="1320"/>
      <c r="BJ4" s="1320"/>
      <c r="BK4" s="1320"/>
      <c r="BL4" s="1320"/>
      <c r="BM4" s="1320"/>
      <c r="BN4" s="1320"/>
      <c r="BO4" s="1320"/>
      <c r="BP4" s="1320"/>
      <c r="BQ4" s="1320"/>
      <c r="BR4" s="1320"/>
      <c r="BS4" s="1320"/>
      <c r="BT4" s="1320"/>
      <c r="BU4" s="1320"/>
      <c r="BV4" s="1320"/>
      <c r="BW4" s="1320"/>
      <c r="BX4" s="1320"/>
      <c r="BY4" s="1320"/>
      <c r="BZ4" s="1320"/>
      <c r="CA4" s="1320"/>
      <c r="CB4" s="1320"/>
      <c r="CC4" s="1320"/>
      <c r="CD4" s="1320"/>
      <c r="CE4" s="1320"/>
      <c r="CF4" s="1320"/>
      <c r="CG4" s="1320"/>
      <c r="CH4" s="1320"/>
      <c r="CI4" s="1320"/>
      <c r="CJ4" s="1320"/>
      <c r="CK4" s="1320"/>
      <c r="CL4" s="1320"/>
      <c r="CM4" s="1320"/>
      <c r="CN4" s="1320"/>
      <c r="CO4" s="1320"/>
      <c r="CP4" s="1320"/>
      <c r="CQ4" s="1320"/>
      <c r="CR4" s="1320"/>
      <c r="CS4" s="1320"/>
      <c r="CT4" s="1320"/>
      <c r="CU4" s="1320"/>
      <c r="CV4" s="1320"/>
      <c r="CW4" s="1320"/>
      <c r="CX4" s="1320"/>
      <c r="CY4" s="1320"/>
      <c r="CZ4" s="1320"/>
      <c r="DA4" s="1320"/>
      <c r="DB4" s="1320"/>
      <c r="DC4" s="1320"/>
      <c r="DD4" s="1320"/>
      <c r="DE4" s="1320"/>
      <c r="DF4" s="1320"/>
      <c r="DG4" s="1320"/>
      <c r="DH4" s="1320"/>
      <c r="DI4" s="1320"/>
      <c r="DJ4" s="1320"/>
      <c r="DK4" s="1320"/>
      <c r="DL4" s="1320"/>
      <c r="DM4" s="1320"/>
      <c r="DN4" s="1320"/>
      <c r="DO4" s="1320"/>
      <c r="DP4" s="1320"/>
      <c r="DQ4" s="1320"/>
      <c r="DR4" s="1320"/>
      <c r="DS4" s="1320"/>
      <c r="DT4" s="1320"/>
      <c r="DU4" s="1320"/>
      <c r="DV4" s="1320"/>
      <c r="DW4" s="1320"/>
      <c r="DX4" s="1320"/>
      <c r="DY4" s="1320"/>
      <c r="DZ4" s="1320"/>
      <c r="EA4" s="1320"/>
      <c r="EB4" s="1320"/>
      <c r="EC4" s="1320"/>
      <c r="ED4" s="1320"/>
      <c r="EE4" s="1320"/>
      <c r="EF4" s="1320"/>
      <c r="EG4" s="1320"/>
      <c r="EH4" s="1320"/>
      <c r="EI4" s="1320"/>
      <c r="EJ4" s="1320"/>
      <c r="EK4" s="1320"/>
      <c r="EL4" s="1320"/>
      <c r="EM4" s="1320"/>
      <c r="EN4" s="1320"/>
      <c r="EO4" s="1320"/>
      <c r="EP4" s="1320"/>
      <c r="EQ4" s="1320"/>
      <c r="ER4" s="1320"/>
      <c r="ES4" s="1320"/>
      <c r="ET4" s="1320"/>
      <c r="EU4" s="1320"/>
      <c r="EV4" s="1320"/>
      <c r="EW4" s="1320"/>
      <c r="EX4" s="1320"/>
      <c r="EY4" s="1320"/>
      <c r="EZ4" s="1320"/>
      <c r="FA4" s="1320"/>
      <c r="FB4" s="1320"/>
      <c r="FC4" s="1320"/>
      <c r="FD4" s="1320"/>
      <c r="FE4" s="1320"/>
      <c r="FF4" s="1320"/>
      <c r="FG4" s="1320"/>
      <c r="FH4" s="1320"/>
      <c r="FI4" s="1320"/>
      <c r="FJ4" s="1320"/>
      <c r="FK4" s="1320"/>
      <c r="FL4" s="1320"/>
      <c r="FM4" s="1320"/>
      <c r="FN4" s="1320"/>
      <c r="FO4" s="1320"/>
      <c r="FP4" s="1320"/>
      <c r="FQ4" s="1320"/>
      <c r="FR4" s="1320"/>
      <c r="FS4" s="1320"/>
      <c r="FT4" s="1320"/>
      <c r="FU4" s="1320"/>
      <c r="FV4" s="1320"/>
      <c r="FW4" s="1320"/>
      <c r="FX4" s="1320"/>
      <c r="FY4" s="1320"/>
      <c r="FZ4" s="1320"/>
      <c r="GA4" s="1320"/>
      <c r="GB4" s="1320"/>
      <c r="GC4" s="1320"/>
      <c r="GD4" s="1320"/>
      <c r="GE4" s="1320"/>
      <c r="GF4" s="1320"/>
      <c r="GG4" s="1320"/>
      <c r="GH4" s="1320"/>
      <c r="GI4" s="1320"/>
      <c r="GJ4" s="1320"/>
      <c r="GK4" s="1320"/>
      <c r="GL4" s="1320"/>
      <c r="GM4" s="1320"/>
      <c r="GN4" s="1320"/>
      <c r="GO4" s="1320"/>
      <c r="GP4" s="1320"/>
      <c r="GQ4" s="1320"/>
      <c r="GR4" s="1320"/>
      <c r="GS4" s="1320"/>
      <c r="GT4" s="1320"/>
      <c r="GU4" s="1320"/>
      <c r="GV4" s="1320"/>
      <c r="GW4" s="1320"/>
      <c r="GX4" s="1320"/>
      <c r="GY4" s="1320"/>
      <c r="GZ4" s="1320"/>
      <c r="HA4" s="1320"/>
      <c r="HB4" s="1320"/>
      <c r="HC4" s="1320"/>
      <c r="HD4" s="1320"/>
      <c r="HE4" s="1320"/>
      <c r="HF4" s="1320"/>
      <c r="HG4" s="1320"/>
      <c r="HH4" s="1320"/>
      <c r="HI4" s="1320"/>
      <c r="HJ4" s="1320"/>
      <c r="HK4" s="1320"/>
      <c r="HL4" s="1320"/>
      <c r="HM4" s="1320"/>
      <c r="HN4" s="1320"/>
      <c r="HO4" s="1320"/>
      <c r="HP4" s="1320"/>
      <c r="HQ4" s="1320"/>
      <c r="HR4" s="1320"/>
      <c r="HS4" s="1320"/>
      <c r="HT4" s="1320"/>
      <c r="HU4" s="1320"/>
      <c r="HV4" s="1320"/>
      <c r="HW4" s="1320"/>
      <c r="HX4" s="1320"/>
      <c r="HY4" s="1320"/>
      <c r="HZ4" s="1320"/>
      <c r="IA4" s="1320"/>
      <c r="IB4" s="1320"/>
      <c r="IC4" s="1320"/>
      <c r="ID4" s="1320"/>
      <c r="IE4" s="1320"/>
      <c r="IF4" s="1320"/>
      <c r="IG4" s="1320"/>
      <c r="IH4" s="1320"/>
      <c r="II4" s="1320"/>
      <c r="IJ4" s="1320"/>
      <c r="IK4" s="1320"/>
      <c r="IL4" s="1320"/>
      <c r="IM4" s="1320"/>
      <c r="IN4" s="1320"/>
      <c r="IO4" s="1320"/>
      <c r="IP4" s="1320"/>
      <c r="IQ4" s="1320"/>
      <c r="IR4" s="1320"/>
      <c r="IS4" s="1320"/>
      <c r="IT4" s="1320"/>
      <c r="IU4" s="1320"/>
      <c r="IV4" s="1320"/>
    </row>
    <row r="5" spans="1:256" ht="35.25" customHeight="1">
      <c r="A5" s="1327" t="s">
        <v>7085</v>
      </c>
      <c r="B5" s="781" t="s">
        <v>7086</v>
      </c>
      <c r="C5" s="1328" t="s">
        <v>1427</v>
      </c>
      <c r="D5" s="1328"/>
      <c r="E5" s="1329" t="s">
        <v>5797</v>
      </c>
      <c r="F5" s="1327" t="s">
        <v>1548</v>
      </c>
      <c r="G5" s="1329" t="s">
        <v>5798</v>
      </c>
      <c r="H5" s="1330" t="s">
        <v>1034</v>
      </c>
      <c r="I5" s="1331"/>
      <c r="J5" s="1320"/>
      <c r="K5" s="1320"/>
      <c r="L5" s="1320"/>
      <c r="M5" s="1320"/>
      <c r="N5" s="1320"/>
      <c r="O5" s="1320"/>
      <c r="P5" s="1320"/>
      <c r="Q5" s="1320"/>
      <c r="R5" s="1320"/>
      <c r="S5" s="1320"/>
      <c r="T5" s="1320"/>
      <c r="U5" s="1320"/>
      <c r="V5" s="1320"/>
      <c r="W5" s="1320"/>
      <c r="X5" s="1320"/>
      <c r="Y5" s="1320"/>
      <c r="Z5" s="1320"/>
      <c r="AA5" s="1320"/>
      <c r="AB5" s="1320"/>
      <c r="AC5" s="1320"/>
      <c r="AD5" s="1320"/>
      <c r="AE5" s="1320"/>
      <c r="AF5" s="1320"/>
      <c r="AG5" s="1320"/>
      <c r="AH5" s="1320"/>
      <c r="AI5" s="1320"/>
      <c r="AJ5" s="1320"/>
      <c r="AK5" s="1320"/>
      <c r="AL5" s="1320"/>
      <c r="AM5" s="1320"/>
      <c r="AN5" s="1320"/>
      <c r="AO5" s="1320"/>
      <c r="AP5" s="1320"/>
      <c r="AQ5" s="1320"/>
      <c r="AR5" s="1320"/>
      <c r="AS5" s="1320"/>
      <c r="AT5" s="1320"/>
      <c r="AU5" s="1320"/>
      <c r="AV5" s="1320"/>
      <c r="AW5" s="1320"/>
      <c r="AX5" s="1320"/>
      <c r="AY5" s="1320"/>
      <c r="AZ5" s="1320"/>
      <c r="BA5" s="1320"/>
      <c r="BB5" s="1320"/>
      <c r="BC5" s="1320"/>
      <c r="BD5" s="1320"/>
      <c r="BE5" s="1320"/>
      <c r="BF5" s="1320"/>
      <c r="BG5" s="1320"/>
      <c r="BH5" s="1320"/>
      <c r="BI5" s="1320"/>
      <c r="BJ5" s="1320"/>
      <c r="BK5" s="1320"/>
      <c r="BL5" s="1320"/>
      <c r="BM5" s="1320"/>
      <c r="BN5" s="1320"/>
      <c r="BO5" s="1320"/>
      <c r="BP5" s="1320"/>
      <c r="BQ5" s="1320"/>
      <c r="BR5" s="1320"/>
      <c r="BS5" s="1320"/>
      <c r="BT5" s="1320"/>
      <c r="BU5" s="1320"/>
      <c r="BV5" s="1320"/>
      <c r="BW5" s="1320"/>
      <c r="BX5" s="1320"/>
      <c r="BY5" s="1320"/>
      <c r="BZ5" s="1320"/>
      <c r="CA5" s="1320"/>
      <c r="CB5" s="1320"/>
      <c r="CC5" s="1320"/>
      <c r="CD5" s="1320"/>
      <c r="CE5" s="1320"/>
      <c r="CF5" s="1320"/>
      <c r="CG5" s="1320"/>
      <c r="CH5" s="1320"/>
      <c r="CI5" s="1320"/>
      <c r="CJ5" s="1320"/>
      <c r="CK5" s="1320"/>
      <c r="CL5" s="1320"/>
      <c r="CM5" s="1320"/>
      <c r="CN5" s="1320"/>
      <c r="CO5" s="1320"/>
      <c r="CP5" s="1320"/>
      <c r="CQ5" s="1320"/>
      <c r="CR5" s="1320"/>
      <c r="CS5" s="1320"/>
      <c r="CT5" s="1320"/>
      <c r="CU5" s="1320"/>
      <c r="CV5" s="1320"/>
      <c r="CW5" s="1320"/>
      <c r="CX5" s="1320"/>
      <c r="CY5" s="1320"/>
      <c r="CZ5" s="1320"/>
      <c r="DA5" s="1320"/>
      <c r="DB5" s="1320"/>
      <c r="DC5" s="1320"/>
      <c r="DD5" s="1320"/>
      <c r="DE5" s="1320"/>
      <c r="DF5" s="1320"/>
      <c r="DG5" s="1320"/>
      <c r="DH5" s="1320"/>
      <c r="DI5" s="1320"/>
      <c r="DJ5" s="1320"/>
      <c r="DK5" s="1320"/>
      <c r="DL5" s="1320"/>
      <c r="DM5" s="1320"/>
      <c r="DN5" s="1320"/>
      <c r="DO5" s="1320"/>
      <c r="DP5" s="1320"/>
      <c r="DQ5" s="1320"/>
      <c r="DR5" s="1320"/>
      <c r="DS5" s="1320"/>
      <c r="DT5" s="1320"/>
      <c r="DU5" s="1320"/>
      <c r="DV5" s="1320"/>
      <c r="DW5" s="1320"/>
      <c r="DX5" s="1320"/>
      <c r="DY5" s="1320"/>
      <c r="DZ5" s="1320"/>
      <c r="EA5" s="1320"/>
      <c r="EB5" s="1320"/>
      <c r="EC5" s="1320"/>
      <c r="ED5" s="1320"/>
      <c r="EE5" s="1320"/>
      <c r="EF5" s="1320"/>
      <c r="EG5" s="1320"/>
      <c r="EH5" s="1320"/>
      <c r="EI5" s="1320"/>
      <c r="EJ5" s="1320"/>
      <c r="EK5" s="1320"/>
      <c r="EL5" s="1320"/>
      <c r="EM5" s="1320"/>
      <c r="EN5" s="1320"/>
      <c r="EO5" s="1320"/>
      <c r="EP5" s="1320"/>
      <c r="EQ5" s="1320"/>
      <c r="ER5" s="1320"/>
      <c r="ES5" s="1320"/>
      <c r="ET5" s="1320"/>
      <c r="EU5" s="1320"/>
      <c r="EV5" s="1320"/>
      <c r="EW5" s="1320"/>
      <c r="EX5" s="1320"/>
      <c r="EY5" s="1320"/>
      <c r="EZ5" s="1320"/>
      <c r="FA5" s="1320"/>
      <c r="FB5" s="1320"/>
      <c r="FC5" s="1320"/>
      <c r="FD5" s="1320"/>
      <c r="FE5" s="1320"/>
      <c r="FF5" s="1320"/>
      <c r="FG5" s="1320"/>
      <c r="FH5" s="1320"/>
      <c r="FI5" s="1320"/>
      <c r="FJ5" s="1320"/>
      <c r="FK5" s="1320"/>
      <c r="FL5" s="1320"/>
      <c r="FM5" s="1320"/>
      <c r="FN5" s="1320"/>
      <c r="FO5" s="1320"/>
      <c r="FP5" s="1320"/>
      <c r="FQ5" s="1320"/>
      <c r="FR5" s="1320"/>
      <c r="FS5" s="1320"/>
      <c r="FT5" s="1320"/>
      <c r="FU5" s="1320"/>
      <c r="FV5" s="1320"/>
      <c r="FW5" s="1320"/>
      <c r="FX5" s="1320"/>
      <c r="FY5" s="1320"/>
      <c r="FZ5" s="1320"/>
      <c r="GA5" s="1320"/>
      <c r="GB5" s="1320"/>
      <c r="GC5" s="1320"/>
      <c r="GD5" s="1320"/>
      <c r="GE5" s="1320"/>
      <c r="GF5" s="1320"/>
      <c r="GG5" s="1320"/>
      <c r="GH5" s="1320"/>
      <c r="GI5" s="1320"/>
      <c r="GJ5" s="1320"/>
      <c r="GK5" s="1320"/>
      <c r="GL5" s="1320"/>
      <c r="GM5" s="1320"/>
      <c r="GN5" s="1320"/>
      <c r="GO5" s="1320"/>
      <c r="GP5" s="1320"/>
      <c r="GQ5" s="1320"/>
      <c r="GR5" s="1320"/>
      <c r="GS5" s="1320"/>
      <c r="GT5" s="1320"/>
      <c r="GU5" s="1320"/>
      <c r="GV5" s="1320"/>
      <c r="GW5" s="1320"/>
      <c r="GX5" s="1320"/>
      <c r="GY5" s="1320"/>
      <c r="GZ5" s="1320"/>
      <c r="HA5" s="1320"/>
      <c r="HB5" s="1320"/>
      <c r="HC5" s="1320"/>
      <c r="HD5" s="1320"/>
      <c r="HE5" s="1320"/>
      <c r="HF5" s="1320"/>
      <c r="HG5" s="1320"/>
      <c r="HH5" s="1320"/>
      <c r="HI5" s="1320"/>
      <c r="HJ5" s="1320"/>
      <c r="HK5" s="1320"/>
      <c r="HL5" s="1320"/>
      <c r="HM5" s="1320"/>
      <c r="HN5" s="1320"/>
      <c r="HO5" s="1320"/>
      <c r="HP5" s="1320"/>
      <c r="HQ5" s="1320"/>
      <c r="HR5" s="1320"/>
      <c r="HS5" s="1320"/>
      <c r="HT5" s="1320"/>
      <c r="HU5" s="1320"/>
      <c r="HV5" s="1320"/>
      <c r="HW5" s="1320"/>
      <c r="HX5" s="1320"/>
      <c r="HY5" s="1320"/>
      <c r="HZ5" s="1320"/>
      <c r="IA5" s="1320"/>
      <c r="IB5" s="1320"/>
      <c r="IC5" s="1320"/>
      <c r="ID5" s="1320"/>
      <c r="IE5" s="1320"/>
      <c r="IF5" s="1320"/>
      <c r="IG5" s="1320"/>
      <c r="IH5" s="1320"/>
      <c r="II5" s="1320"/>
      <c r="IJ5" s="1320"/>
      <c r="IK5" s="1320"/>
      <c r="IL5" s="1320"/>
      <c r="IM5" s="1320"/>
      <c r="IN5" s="1320"/>
      <c r="IO5" s="1320"/>
      <c r="IP5" s="1320"/>
      <c r="IQ5" s="1320"/>
      <c r="IR5" s="1320"/>
      <c r="IS5" s="1320"/>
      <c r="IT5" s="1320"/>
      <c r="IU5" s="1320"/>
      <c r="IV5" s="1320"/>
    </row>
    <row r="6" spans="1:256" ht="69" customHeight="1">
      <c r="A6" s="1332">
        <v>1.5</v>
      </c>
      <c r="B6" s="1333" t="s">
        <v>7087</v>
      </c>
      <c r="C6" s="1334"/>
      <c r="D6" s="1335"/>
      <c r="E6" s="1336"/>
      <c r="F6" s="1336"/>
      <c r="G6" s="1336"/>
      <c r="H6" s="1337"/>
      <c r="I6" s="1331"/>
      <c r="J6" s="1320"/>
      <c r="K6" s="1320"/>
      <c r="L6" s="1320"/>
      <c r="M6" s="1320"/>
      <c r="N6" s="1320"/>
      <c r="O6" s="1320"/>
      <c r="P6" s="1320"/>
      <c r="Q6" s="1320"/>
      <c r="R6" s="1320"/>
      <c r="S6" s="1320"/>
      <c r="T6" s="1320"/>
      <c r="U6" s="1320"/>
      <c r="V6" s="1320"/>
      <c r="W6" s="1320"/>
      <c r="X6" s="1320"/>
      <c r="Y6" s="1320"/>
      <c r="Z6" s="1320"/>
      <c r="AA6" s="1320"/>
      <c r="AB6" s="1320"/>
      <c r="AC6" s="1320"/>
      <c r="AD6" s="1320"/>
      <c r="AE6" s="1320"/>
      <c r="AF6" s="1320"/>
      <c r="AG6" s="1320"/>
      <c r="AH6" s="1320"/>
      <c r="AI6" s="1320"/>
      <c r="AJ6" s="1320"/>
      <c r="AK6" s="1320"/>
      <c r="AL6" s="1320"/>
      <c r="AM6" s="1320"/>
      <c r="AN6" s="1320"/>
      <c r="AO6" s="1320"/>
      <c r="AP6" s="1320"/>
      <c r="AQ6" s="1320"/>
      <c r="AR6" s="1320"/>
      <c r="AS6" s="1320"/>
      <c r="AT6" s="1320"/>
      <c r="AU6" s="1320"/>
      <c r="AV6" s="1320"/>
      <c r="AW6" s="1320"/>
      <c r="AX6" s="1320"/>
      <c r="AY6" s="1320"/>
      <c r="AZ6" s="1320"/>
      <c r="BA6" s="1320"/>
      <c r="BB6" s="1320"/>
      <c r="BC6" s="1320"/>
      <c r="BD6" s="1320"/>
      <c r="BE6" s="1320"/>
      <c r="BF6" s="1320"/>
      <c r="BG6" s="1320"/>
      <c r="BH6" s="1320"/>
      <c r="BI6" s="1320"/>
      <c r="BJ6" s="1320"/>
      <c r="BK6" s="1320"/>
      <c r="BL6" s="1320"/>
      <c r="BM6" s="1320"/>
      <c r="BN6" s="1320"/>
      <c r="BO6" s="1320"/>
      <c r="BP6" s="1320"/>
      <c r="BQ6" s="1320"/>
      <c r="BR6" s="1320"/>
      <c r="BS6" s="1320"/>
      <c r="BT6" s="1320"/>
      <c r="BU6" s="1320"/>
      <c r="BV6" s="1320"/>
      <c r="BW6" s="1320"/>
      <c r="BX6" s="1320"/>
      <c r="BY6" s="1320"/>
      <c r="BZ6" s="1320"/>
      <c r="CA6" s="1320"/>
      <c r="CB6" s="1320"/>
      <c r="CC6" s="1320"/>
      <c r="CD6" s="1320"/>
      <c r="CE6" s="1320"/>
      <c r="CF6" s="1320"/>
      <c r="CG6" s="1320"/>
      <c r="CH6" s="1320"/>
      <c r="CI6" s="1320"/>
      <c r="CJ6" s="1320"/>
      <c r="CK6" s="1320"/>
      <c r="CL6" s="1320"/>
      <c r="CM6" s="1320"/>
      <c r="CN6" s="1320"/>
      <c r="CO6" s="1320"/>
      <c r="CP6" s="1320"/>
      <c r="CQ6" s="1320"/>
      <c r="CR6" s="1320"/>
      <c r="CS6" s="1320"/>
      <c r="CT6" s="1320"/>
      <c r="CU6" s="1320"/>
      <c r="CV6" s="1320"/>
      <c r="CW6" s="1320"/>
      <c r="CX6" s="1320"/>
      <c r="CY6" s="1320"/>
      <c r="CZ6" s="1320"/>
      <c r="DA6" s="1320"/>
      <c r="DB6" s="1320"/>
      <c r="DC6" s="1320"/>
      <c r="DD6" s="1320"/>
      <c r="DE6" s="1320"/>
      <c r="DF6" s="1320"/>
      <c r="DG6" s="1320"/>
      <c r="DH6" s="1320"/>
      <c r="DI6" s="1320"/>
      <c r="DJ6" s="1320"/>
      <c r="DK6" s="1320"/>
      <c r="DL6" s="1320"/>
      <c r="DM6" s="1320"/>
      <c r="DN6" s="1320"/>
      <c r="DO6" s="1320"/>
      <c r="DP6" s="1320"/>
      <c r="DQ6" s="1320"/>
      <c r="DR6" s="1320"/>
      <c r="DS6" s="1320"/>
      <c r="DT6" s="1320"/>
      <c r="DU6" s="1320"/>
      <c r="DV6" s="1320"/>
      <c r="DW6" s="1320"/>
      <c r="DX6" s="1320"/>
      <c r="DY6" s="1320"/>
      <c r="DZ6" s="1320"/>
      <c r="EA6" s="1320"/>
      <c r="EB6" s="1320"/>
      <c r="EC6" s="1320"/>
      <c r="ED6" s="1320"/>
      <c r="EE6" s="1320"/>
      <c r="EF6" s="1320"/>
      <c r="EG6" s="1320"/>
      <c r="EH6" s="1320"/>
      <c r="EI6" s="1320"/>
      <c r="EJ6" s="1320"/>
      <c r="EK6" s="1320"/>
      <c r="EL6" s="1320"/>
      <c r="EM6" s="1320"/>
      <c r="EN6" s="1320"/>
      <c r="EO6" s="1320"/>
      <c r="EP6" s="1320"/>
      <c r="EQ6" s="1320"/>
      <c r="ER6" s="1320"/>
      <c r="ES6" s="1320"/>
      <c r="ET6" s="1320"/>
      <c r="EU6" s="1320"/>
      <c r="EV6" s="1320"/>
      <c r="EW6" s="1320"/>
      <c r="EX6" s="1320"/>
      <c r="EY6" s="1320"/>
      <c r="EZ6" s="1320"/>
      <c r="FA6" s="1320"/>
      <c r="FB6" s="1320"/>
      <c r="FC6" s="1320"/>
      <c r="FD6" s="1320"/>
      <c r="FE6" s="1320"/>
      <c r="FF6" s="1320"/>
      <c r="FG6" s="1320"/>
      <c r="FH6" s="1320"/>
      <c r="FI6" s="1320"/>
      <c r="FJ6" s="1320"/>
      <c r="FK6" s="1320"/>
      <c r="FL6" s="1320"/>
      <c r="FM6" s="1320"/>
      <c r="FN6" s="1320"/>
      <c r="FO6" s="1320"/>
      <c r="FP6" s="1320"/>
      <c r="FQ6" s="1320"/>
      <c r="FR6" s="1320"/>
      <c r="FS6" s="1320"/>
      <c r="FT6" s="1320"/>
      <c r="FU6" s="1320"/>
      <c r="FV6" s="1320"/>
      <c r="FW6" s="1320"/>
      <c r="FX6" s="1320"/>
      <c r="FY6" s="1320"/>
      <c r="FZ6" s="1320"/>
      <c r="GA6" s="1320"/>
      <c r="GB6" s="1320"/>
      <c r="GC6" s="1320"/>
      <c r="GD6" s="1320"/>
      <c r="GE6" s="1320"/>
      <c r="GF6" s="1320"/>
      <c r="GG6" s="1320"/>
      <c r="GH6" s="1320"/>
      <c r="GI6" s="1320"/>
      <c r="GJ6" s="1320"/>
      <c r="GK6" s="1320"/>
      <c r="GL6" s="1320"/>
      <c r="GM6" s="1320"/>
      <c r="GN6" s="1320"/>
      <c r="GO6" s="1320"/>
      <c r="GP6" s="1320"/>
      <c r="GQ6" s="1320"/>
      <c r="GR6" s="1320"/>
      <c r="GS6" s="1320"/>
      <c r="GT6" s="1320"/>
      <c r="GU6" s="1320"/>
      <c r="GV6" s="1320"/>
      <c r="GW6" s="1320"/>
      <c r="GX6" s="1320"/>
      <c r="GY6" s="1320"/>
      <c r="GZ6" s="1320"/>
      <c r="HA6" s="1320"/>
      <c r="HB6" s="1320"/>
      <c r="HC6" s="1320"/>
      <c r="HD6" s="1320"/>
      <c r="HE6" s="1320"/>
      <c r="HF6" s="1320"/>
      <c r="HG6" s="1320"/>
      <c r="HH6" s="1320"/>
      <c r="HI6" s="1320"/>
      <c r="HJ6" s="1320"/>
      <c r="HK6" s="1320"/>
      <c r="HL6" s="1320"/>
      <c r="HM6" s="1320"/>
      <c r="HN6" s="1320"/>
      <c r="HO6" s="1320"/>
      <c r="HP6" s="1320"/>
      <c r="HQ6" s="1320"/>
      <c r="HR6" s="1320"/>
      <c r="HS6" s="1320"/>
      <c r="HT6" s="1320"/>
      <c r="HU6" s="1320"/>
      <c r="HV6" s="1320"/>
      <c r="HW6" s="1320"/>
      <c r="HX6" s="1320"/>
      <c r="HY6" s="1320"/>
      <c r="HZ6" s="1320"/>
      <c r="IA6" s="1320"/>
      <c r="IB6" s="1320"/>
      <c r="IC6" s="1320"/>
      <c r="ID6" s="1320"/>
      <c r="IE6" s="1320"/>
      <c r="IF6" s="1320"/>
      <c r="IG6" s="1320"/>
      <c r="IH6" s="1320"/>
      <c r="II6" s="1320"/>
      <c r="IJ6" s="1320"/>
      <c r="IK6" s="1320"/>
      <c r="IL6" s="1320"/>
      <c r="IM6" s="1320"/>
      <c r="IN6" s="1320"/>
      <c r="IO6" s="1320"/>
      <c r="IP6" s="1320"/>
      <c r="IQ6" s="1320"/>
      <c r="IR6" s="1320"/>
      <c r="IS6" s="1320"/>
      <c r="IT6" s="1320"/>
      <c r="IU6" s="1320"/>
      <c r="IV6" s="1320"/>
    </row>
    <row r="7" spans="1:256" ht="20.25" customHeight="1">
      <c r="A7" s="1338"/>
      <c r="B7" s="1337" t="s">
        <v>7088</v>
      </c>
      <c r="C7" s="1339">
        <v>1</v>
      </c>
      <c r="D7" s="1338">
        <v>1</v>
      </c>
      <c r="E7" s="1340">
        <v>25</v>
      </c>
      <c r="F7" s="1340">
        <v>18</v>
      </c>
      <c r="G7" s="1340">
        <v>0.3</v>
      </c>
      <c r="H7" s="1341">
        <f>PRODUCT(C7:G7)</f>
        <v>135</v>
      </c>
      <c r="I7" s="1331"/>
      <c r="J7" s="1320"/>
      <c r="K7" s="1320"/>
      <c r="L7" s="1320"/>
      <c r="M7" s="1320"/>
      <c r="N7" s="1320"/>
      <c r="O7" s="1320"/>
      <c r="P7" s="1320"/>
      <c r="Q7" s="1320"/>
      <c r="R7" s="1320"/>
      <c r="S7" s="1320"/>
      <c r="T7" s="1320"/>
      <c r="U7" s="1320"/>
      <c r="V7" s="1320"/>
      <c r="W7" s="1320"/>
      <c r="X7" s="1320"/>
      <c r="Y7" s="1320"/>
      <c r="Z7" s="1320"/>
      <c r="AA7" s="1320"/>
      <c r="AB7" s="1320"/>
      <c r="AC7" s="1320"/>
      <c r="AD7" s="1320"/>
      <c r="AE7" s="1320"/>
      <c r="AF7" s="1320"/>
      <c r="AG7" s="1320"/>
      <c r="AH7" s="1320"/>
      <c r="AI7" s="1320"/>
      <c r="AJ7" s="1320"/>
      <c r="AK7" s="1320"/>
      <c r="AL7" s="1320"/>
      <c r="AM7" s="1320"/>
      <c r="AN7" s="1320"/>
      <c r="AO7" s="1320"/>
      <c r="AP7" s="1320"/>
      <c r="AQ7" s="1320"/>
      <c r="AR7" s="1320"/>
      <c r="AS7" s="1320"/>
      <c r="AT7" s="1320"/>
      <c r="AU7" s="1320"/>
      <c r="AV7" s="1320"/>
      <c r="AW7" s="1320"/>
      <c r="AX7" s="1320"/>
      <c r="AY7" s="1320"/>
      <c r="AZ7" s="1320"/>
      <c r="BA7" s="1320"/>
      <c r="BB7" s="1320"/>
      <c r="BC7" s="1320"/>
      <c r="BD7" s="1320"/>
      <c r="BE7" s="1320"/>
      <c r="BF7" s="1320"/>
      <c r="BG7" s="1320"/>
      <c r="BH7" s="1320"/>
      <c r="BI7" s="1320"/>
      <c r="BJ7" s="1320"/>
      <c r="BK7" s="1320"/>
      <c r="BL7" s="1320"/>
      <c r="BM7" s="1320"/>
      <c r="BN7" s="1320"/>
      <c r="BO7" s="1320"/>
      <c r="BP7" s="1320"/>
      <c r="BQ7" s="1320"/>
      <c r="BR7" s="1320"/>
      <c r="BS7" s="1320"/>
      <c r="BT7" s="1320"/>
      <c r="BU7" s="1320"/>
      <c r="BV7" s="1320"/>
      <c r="BW7" s="1320"/>
      <c r="BX7" s="1320"/>
      <c r="BY7" s="1320"/>
      <c r="BZ7" s="1320"/>
      <c r="CA7" s="1320"/>
      <c r="CB7" s="1320"/>
      <c r="CC7" s="1320"/>
      <c r="CD7" s="1320"/>
      <c r="CE7" s="1320"/>
      <c r="CF7" s="1320"/>
      <c r="CG7" s="1320"/>
      <c r="CH7" s="1320"/>
      <c r="CI7" s="1320"/>
      <c r="CJ7" s="1320"/>
      <c r="CK7" s="1320"/>
      <c r="CL7" s="1320"/>
      <c r="CM7" s="1320"/>
      <c r="CN7" s="1320"/>
      <c r="CO7" s="1320"/>
      <c r="CP7" s="1320"/>
      <c r="CQ7" s="1320"/>
      <c r="CR7" s="1320"/>
      <c r="CS7" s="1320"/>
      <c r="CT7" s="1320"/>
      <c r="CU7" s="1320"/>
      <c r="CV7" s="1320"/>
      <c r="CW7" s="1320"/>
      <c r="CX7" s="1320"/>
      <c r="CY7" s="1320"/>
      <c r="CZ7" s="1320"/>
      <c r="DA7" s="1320"/>
      <c r="DB7" s="1320"/>
      <c r="DC7" s="1320"/>
      <c r="DD7" s="1320"/>
      <c r="DE7" s="1320"/>
      <c r="DF7" s="1320"/>
      <c r="DG7" s="1320"/>
      <c r="DH7" s="1320"/>
      <c r="DI7" s="1320"/>
      <c r="DJ7" s="1320"/>
      <c r="DK7" s="1320"/>
      <c r="DL7" s="1320"/>
      <c r="DM7" s="1320"/>
      <c r="DN7" s="1320"/>
      <c r="DO7" s="1320"/>
      <c r="DP7" s="1320"/>
      <c r="DQ7" s="1320"/>
      <c r="DR7" s="1320"/>
      <c r="DS7" s="1320"/>
      <c r="DT7" s="1320"/>
      <c r="DU7" s="1320"/>
      <c r="DV7" s="1320"/>
      <c r="DW7" s="1320"/>
      <c r="DX7" s="1320"/>
      <c r="DY7" s="1320"/>
      <c r="DZ7" s="1320"/>
      <c r="EA7" s="1320"/>
      <c r="EB7" s="1320"/>
      <c r="EC7" s="1320"/>
      <c r="ED7" s="1320"/>
      <c r="EE7" s="1320"/>
      <c r="EF7" s="1320"/>
      <c r="EG7" s="1320"/>
      <c r="EH7" s="1320"/>
      <c r="EI7" s="1320"/>
      <c r="EJ7" s="1320"/>
      <c r="EK7" s="1320"/>
      <c r="EL7" s="1320"/>
      <c r="EM7" s="1320"/>
      <c r="EN7" s="1320"/>
      <c r="EO7" s="1320"/>
      <c r="EP7" s="1320"/>
      <c r="EQ7" s="1320"/>
      <c r="ER7" s="1320"/>
      <c r="ES7" s="1320"/>
      <c r="ET7" s="1320"/>
      <c r="EU7" s="1320"/>
      <c r="EV7" s="1320"/>
      <c r="EW7" s="1320"/>
      <c r="EX7" s="1320"/>
      <c r="EY7" s="1320"/>
      <c r="EZ7" s="1320"/>
      <c r="FA7" s="1320"/>
      <c r="FB7" s="1320"/>
      <c r="FC7" s="1320"/>
      <c r="FD7" s="1320"/>
      <c r="FE7" s="1320"/>
      <c r="FF7" s="1320"/>
      <c r="FG7" s="1320"/>
      <c r="FH7" s="1320"/>
      <c r="FI7" s="1320"/>
      <c r="FJ7" s="1320"/>
      <c r="FK7" s="1320"/>
      <c r="FL7" s="1320"/>
      <c r="FM7" s="1320"/>
      <c r="FN7" s="1320"/>
      <c r="FO7" s="1320"/>
      <c r="FP7" s="1320"/>
      <c r="FQ7" s="1320"/>
      <c r="FR7" s="1320"/>
      <c r="FS7" s="1320"/>
      <c r="FT7" s="1320"/>
      <c r="FU7" s="1320"/>
      <c r="FV7" s="1320"/>
      <c r="FW7" s="1320"/>
      <c r="FX7" s="1320"/>
      <c r="FY7" s="1320"/>
      <c r="FZ7" s="1320"/>
      <c r="GA7" s="1320"/>
      <c r="GB7" s="1320"/>
      <c r="GC7" s="1320"/>
      <c r="GD7" s="1320"/>
      <c r="GE7" s="1320"/>
      <c r="GF7" s="1320"/>
      <c r="GG7" s="1320"/>
      <c r="GH7" s="1320"/>
      <c r="GI7" s="1320"/>
      <c r="GJ7" s="1320"/>
      <c r="GK7" s="1320"/>
      <c r="GL7" s="1320"/>
      <c r="GM7" s="1320"/>
      <c r="GN7" s="1320"/>
      <c r="GO7" s="1320"/>
      <c r="GP7" s="1320"/>
      <c r="GQ7" s="1320"/>
      <c r="GR7" s="1320"/>
      <c r="GS7" s="1320"/>
      <c r="GT7" s="1320"/>
      <c r="GU7" s="1320"/>
      <c r="GV7" s="1320"/>
      <c r="GW7" s="1320"/>
      <c r="GX7" s="1320"/>
      <c r="GY7" s="1320"/>
      <c r="GZ7" s="1320"/>
      <c r="HA7" s="1320"/>
      <c r="HB7" s="1320"/>
      <c r="HC7" s="1320"/>
      <c r="HD7" s="1320"/>
      <c r="HE7" s="1320"/>
      <c r="HF7" s="1320"/>
      <c r="HG7" s="1320"/>
      <c r="HH7" s="1320"/>
      <c r="HI7" s="1320"/>
      <c r="HJ7" s="1320"/>
      <c r="HK7" s="1320"/>
      <c r="HL7" s="1320"/>
      <c r="HM7" s="1320"/>
      <c r="HN7" s="1320"/>
      <c r="HO7" s="1320"/>
      <c r="HP7" s="1320"/>
      <c r="HQ7" s="1320"/>
      <c r="HR7" s="1320"/>
      <c r="HS7" s="1320"/>
      <c r="HT7" s="1320"/>
      <c r="HU7" s="1320"/>
      <c r="HV7" s="1320"/>
      <c r="HW7" s="1320"/>
      <c r="HX7" s="1320"/>
      <c r="HY7" s="1320"/>
      <c r="HZ7" s="1320"/>
      <c r="IA7" s="1320"/>
      <c r="IB7" s="1320"/>
      <c r="IC7" s="1320"/>
      <c r="ID7" s="1320"/>
      <c r="IE7" s="1320"/>
      <c r="IF7" s="1320"/>
      <c r="IG7" s="1320"/>
      <c r="IH7" s="1320"/>
      <c r="II7" s="1320"/>
      <c r="IJ7" s="1320"/>
      <c r="IK7" s="1320"/>
      <c r="IL7" s="1320"/>
      <c r="IM7" s="1320"/>
      <c r="IN7" s="1320"/>
      <c r="IO7" s="1320"/>
      <c r="IP7" s="1320"/>
      <c r="IQ7" s="1320"/>
      <c r="IR7" s="1320"/>
      <c r="IS7" s="1320"/>
      <c r="IT7" s="1320"/>
      <c r="IU7" s="1320"/>
      <c r="IV7" s="1320"/>
    </row>
    <row r="8" spans="1:256" ht="21.75" customHeight="1">
      <c r="A8" s="1338"/>
      <c r="B8" s="1337" t="s">
        <v>7089</v>
      </c>
      <c r="C8" s="1339">
        <v>2</v>
      </c>
      <c r="D8" s="1338">
        <v>2</v>
      </c>
      <c r="E8" s="1340">
        <v>2.5</v>
      </c>
      <c r="F8" s="1340">
        <v>2.5</v>
      </c>
      <c r="G8" s="1340">
        <v>0.3</v>
      </c>
      <c r="H8" s="1341">
        <f>PRODUCT(C8:G8)</f>
        <v>7.5</v>
      </c>
      <c r="I8" s="1331"/>
      <c r="J8" s="1342"/>
      <c r="K8" s="1320"/>
      <c r="L8" s="1320"/>
      <c r="M8" s="1320"/>
      <c r="N8" s="1320"/>
      <c r="O8" s="1320"/>
      <c r="P8" s="1320"/>
      <c r="Q8" s="1320"/>
      <c r="R8" s="1320"/>
      <c r="S8" s="1320"/>
      <c r="T8" s="1320"/>
      <c r="U8" s="1320"/>
      <c r="V8" s="1320"/>
      <c r="W8" s="1320"/>
      <c r="X8" s="1320"/>
      <c r="Y8" s="1320"/>
      <c r="Z8" s="1320"/>
      <c r="AA8" s="1320"/>
      <c r="AB8" s="1320"/>
      <c r="AC8" s="1320"/>
      <c r="AD8" s="1320"/>
      <c r="AE8" s="1320"/>
      <c r="AF8" s="1320"/>
      <c r="AG8" s="1320"/>
      <c r="AH8" s="1320"/>
      <c r="AI8" s="1320"/>
      <c r="AJ8" s="1320"/>
      <c r="AK8" s="1320"/>
      <c r="AL8" s="1320"/>
      <c r="AM8" s="1320"/>
      <c r="AN8" s="1320"/>
      <c r="AO8" s="1320"/>
      <c r="AP8" s="1320"/>
      <c r="AQ8" s="1320"/>
      <c r="AR8" s="1320"/>
      <c r="AS8" s="1320"/>
      <c r="AT8" s="1320"/>
      <c r="AU8" s="1320"/>
      <c r="AV8" s="1320"/>
      <c r="AW8" s="1320"/>
      <c r="AX8" s="1320"/>
      <c r="AY8" s="1320"/>
      <c r="AZ8" s="1320"/>
      <c r="BA8" s="1320"/>
      <c r="BB8" s="1320"/>
      <c r="BC8" s="1320"/>
      <c r="BD8" s="1320"/>
      <c r="BE8" s="1320"/>
      <c r="BF8" s="1320"/>
      <c r="BG8" s="1320"/>
      <c r="BH8" s="1320"/>
      <c r="BI8" s="1320"/>
      <c r="BJ8" s="1320"/>
      <c r="BK8" s="1320"/>
      <c r="BL8" s="1320"/>
      <c r="BM8" s="1320"/>
      <c r="BN8" s="1320"/>
      <c r="BO8" s="1320"/>
      <c r="BP8" s="1320"/>
      <c r="BQ8" s="1320"/>
      <c r="BR8" s="1320"/>
      <c r="BS8" s="1320"/>
      <c r="BT8" s="1320"/>
      <c r="BU8" s="1320"/>
      <c r="BV8" s="1320"/>
      <c r="BW8" s="1320"/>
      <c r="BX8" s="1320"/>
      <c r="BY8" s="1320"/>
      <c r="BZ8" s="1320"/>
      <c r="CA8" s="1320"/>
      <c r="CB8" s="1320"/>
      <c r="CC8" s="1320"/>
      <c r="CD8" s="1320"/>
      <c r="CE8" s="1320"/>
      <c r="CF8" s="1320"/>
      <c r="CG8" s="1320"/>
      <c r="CH8" s="1320"/>
      <c r="CI8" s="1320"/>
      <c r="CJ8" s="1320"/>
      <c r="CK8" s="1320"/>
      <c r="CL8" s="1320"/>
      <c r="CM8" s="1320"/>
      <c r="CN8" s="1320"/>
      <c r="CO8" s="1320"/>
      <c r="CP8" s="1320"/>
      <c r="CQ8" s="1320"/>
      <c r="CR8" s="1320"/>
      <c r="CS8" s="1320"/>
      <c r="CT8" s="1320"/>
      <c r="CU8" s="1320"/>
      <c r="CV8" s="1320"/>
      <c r="CW8" s="1320"/>
      <c r="CX8" s="1320"/>
      <c r="CY8" s="1320"/>
      <c r="CZ8" s="1320"/>
      <c r="DA8" s="1320"/>
      <c r="DB8" s="1320"/>
      <c r="DC8" s="1320"/>
      <c r="DD8" s="1320"/>
      <c r="DE8" s="1320"/>
      <c r="DF8" s="1320"/>
      <c r="DG8" s="1320"/>
      <c r="DH8" s="1320"/>
      <c r="DI8" s="1320"/>
      <c r="DJ8" s="1320"/>
      <c r="DK8" s="1320"/>
      <c r="DL8" s="1320"/>
      <c r="DM8" s="1320"/>
      <c r="DN8" s="1320"/>
      <c r="DO8" s="1320"/>
      <c r="DP8" s="1320"/>
      <c r="DQ8" s="1320"/>
      <c r="DR8" s="1320"/>
      <c r="DS8" s="1320"/>
      <c r="DT8" s="1320"/>
      <c r="DU8" s="1320"/>
      <c r="DV8" s="1320"/>
      <c r="DW8" s="1320"/>
      <c r="DX8" s="1320"/>
      <c r="DY8" s="1320"/>
      <c r="DZ8" s="1320"/>
      <c r="EA8" s="1320"/>
      <c r="EB8" s="1320"/>
      <c r="EC8" s="1320"/>
      <c r="ED8" s="1320"/>
      <c r="EE8" s="1320"/>
      <c r="EF8" s="1320"/>
      <c r="EG8" s="1320"/>
      <c r="EH8" s="1320"/>
      <c r="EI8" s="1320"/>
      <c r="EJ8" s="1320"/>
      <c r="EK8" s="1320"/>
      <c r="EL8" s="1320"/>
      <c r="EM8" s="1320"/>
      <c r="EN8" s="1320"/>
      <c r="EO8" s="1320"/>
      <c r="EP8" s="1320"/>
      <c r="EQ8" s="1320"/>
      <c r="ER8" s="1320"/>
      <c r="ES8" s="1320"/>
      <c r="ET8" s="1320"/>
      <c r="EU8" s="1320"/>
      <c r="EV8" s="1320"/>
      <c r="EW8" s="1320"/>
      <c r="EX8" s="1320"/>
      <c r="EY8" s="1320"/>
      <c r="EZ8" s="1320"/>
      <c r="FA8" s="1320"/>
      <c r="FB8" s="1320"/>
      <c r="FC8" s="1320"/>
      <c r="FD8" s="1320"/>
      <c r="FE8" s="1320"/>
      <c r="FF8" s="1320"/>
      <c r="FG8" s="1320"/>
      <c r="FH8" s="1320"/>
      <c r="FI8" s="1320"/>
      <c r="FJ8" s="1320"/>
      <c r="FK8" s="1320"/>
      <c r="FL8" s="1320"/>
      <c r="FM8" s="1320"/>
      <c r="FN8" s="1320"/>
      <c r="FO8" s="1320"/>
      <c r="FP8" s="1320"/>
      <c r="FQ8" s="1320"/>
      <c r="FR8" s="1320"/>
      <c r="FS8" s="1320"/>
      <c r="FT8" s="1320"/>
      <c r="FU8" s="1320"/>
      <c r="FV8" s="1320"/>
      <c r="FW8" s="1320"/>
      <c r="FX8" s="1320"/>
      <c r="FY8" s="1320"/>
      <c r="FZ8" s="1320"/>
      <c r="GA8" s="1320"/>
      <c r="GB8" s="1320"/>
      <c r="GC8" s="1320"/>
      <c r="GD8" s="1320"/>
      <c r="GE8" s="1320"/>
      <c r="GF8" s="1320"/>
      <c r="GG8" s="1320"/>
      <c r="GH8" s="1320"/>
      <c r="GI8" s="1320"/>
      <c r="GJ8" s="1320"/>
      <c r="GK8" s="1320"/>
      <c r="GL8" s="1320"/>
      <c r="GM8" s="1320"/>
      <c r="GN8" s="1320"/>
      <c r="GO8" s="1320"/>
      <c r="GP8" s="1320"/>
      <c r="GQ8" s="1320"/>
      <c r="GR8" s="1320"/>
      <c r="GS8" s="1320"/>
      <c r="GT8" s="1320"/>
      <c r="GU8" s="1320"/>
      <c r="GV8" s="1320"/>
      <c r="GW8" s="1320"/>
      <c r="GX8" s="1320"/>
      <c r="GY8" s="1320"/>
      <c r="GZ8" s="1320"/>
      <c r="HA8" s="1320"/>
      <c r="HB8" s="1320"/>
      <c r="HC8" s="1320"/>
      <c r="HD8" s="1320"/>
      <c r="HE8" s="1320"/>
      <c r="HF8" s="1320"/>
      <c r="HG8" s="1320"/>
      <c r="HH8" s="1320"/>
      <c r="HI8" s="1320"/>
      <c r="HJ8" s="1320"/>
      <c r="HK8" s="1320"/>
      <c r="HL8" s="1320"/>
      <c r="HM8" s="1320"/>
      <c r="HN8" s="1320"/>
      <c r="HO8" s="1320"/>
      <c r="HP8" s="1320"/>
      <c r="HQ8" s="1320"/>
      <c r="HR8" s="1320"/>
      <c r="HS8" s="1320"/>
      <c r="HT8" s="1320"/>
      <c r="HU8" s="1320"/>
      <c r="HV8" s="1320"/>
      <c r="HW8" s="1320"/>
      <c r="HX8" s="1320"/>
      <c r="HY8" s="1320"/>
      <c r="HZ8" s="1320"/>
      <c r="IA8" s="1320"/>
      <c r="IB8" s="1320"/>
      <c r="IC8" s="1320"/>
      <c r="ID8" s="1320"/>
      <c r="IE8" s="1320"/>
      <c r="IF8" s="1320"/>
      <c r="IG8" s="1320"/>
      <c r="IH8" s="1320"/>
      <c r="II8" s="1320"/>
      <c r="IJ8" s="1320"/>
      <c r="IK8" s="1320"/>
      <c r="IL8" s="1320"/>
      <c r="IM8" s="1320"/>
      <c r="IN8" s="1320"/>
      <c r="IO8" s="1320"/>
      <c r="IP8" s="1320"/>
      <c r="IQ8" s="1320"/>
      <c r="IR8" s="1320"/>
      <c r="IS8" s="1320"/>
      <c r="IT8" s="1320"/>
      <c r="IU8" s="1320"/>
      <c r="IV8" s="1320"/>
    </row>
    <row r="9" spans="1:256" ht="21.75" customHeight="1">
      <c r="A9" s="1338"/>
      <c r="B9" s="1337"/>
      <c r="C9" s="1339"/>
      <c r="D9" s="1340"/>
      <c r="E9" s="1340"/>
      <c r="F9" s="1340"/>
      <c r="G9" s="781" t="s">
        <v>2235</v>
      </c>
      <c r="H9" s="1343">
        <f>SUM(H7:H8)</f>
        <v>142.5</v>
      </c>
      <c r="I9" s="1344" t="s">
        <v>2142</v>
      </c>
      <c r="J9" s="1342"/>
      <c r="K9" s="1320"/>
      <c r="L9" s="1320"/>
      <c r="M9" s="1320"/>
      <c r="N9" s="1320"/>
      <c r="O9" s="1320"/>
      <c r="P9" s="1320"/>
      <c r="Q9" s="1320"/>
      <c r="R9" s="1320"/>
      <c r="S9" s="1320"/>
      <c r="T9" s="1320"/>
      <c r="U9" s="1320"/>
      <c r="V9" s="1320"/>
      <c r="W9" s="1320"/>
      <c r="X9" s="1320"/>
      <c r="Y9" s="1320"/>
      <c r="Z9" s="1320"/>
      <c r="AA9" s="1320"/>
      <c r="AB9" s="1320"/>
      <c r="AC9" s="1320"/>
      <c r="AD9" s="1320"/>
      <c r="AE9" s="1320"/>
      <c r="AF9" s="1320"/>
      <c r="AG9" s="1320"/>
      <c r="AH9" s="1320"/>
      <c r="AI9" s="1320"/>
      <c r="AJ9" s="1320"/>
      <c r="AK9" s="1320"/>
      <c r="AL9" s="1320"/>
      <c r="AM9" s="1320"/>
      <c r="AN9" s="1320"/>
      <c r="AO9" s="1320"/>
      <c r="AP9" s="1320"/>
      <c r="AQ9" s="1320"/>
      <c r="AR9" s="1320"/>
      <c r="AS9" s="1320"/>
      <c r="AT9" s="1320"/>
      <c r="AU9" s="1320"/>
      <c r="AV9" s="1320"/>
      <c r="AW9" s="1320"/>
      <c r="AX9" s="1320"/>
      <c r="AY9" s="1320"/>
      <c r="AZ9" s="1320"/>
      <c r="BA9" s="1320"/>
      <c r="BB9" s="1320"/>
      <c r="BC9" s="1320"/>
      <c r="BD9" s="1320"/>
      <c r="BE9" s="1320"/>
      <c r="BF9" s="1320"/>
      <c r="BG9" s="1320"/>
      <c r="BH9" s="1320"/>
      <c r="BI9" s="1320"/>
      <c r="BJ9" s="1320"/>
      <c r="BK9" s="1320"/>
      <c r="BL9" s="1320"/>
      <c r="BM9" s="1320"/>
      <c r="BN9" s="1320"/>
      <c r="BO9" s="1320"/>
      <c r="BP9" s="1320"/>
      <c r="BQ9" s="1320"/>
      <c r="BR9" s="1320"/>
      <c r="BS9" s="1320"/>
      <c r="BT9" s="1320"/>
      <c r="BU9" s="1320"/>
      <c r="BV9" s="1320"/>
      <c r="BW9" s="1320"/>
      <c r="BX9" s="1320"/>
      <c r="BY9" s="1320"/>
      <c r="BZ9" s="1320"/>
      <c r="CA9" s="1320"/>
      <c r="CB9" s="1320"/>
      <c r="CC9" s="1320"/>
      <c r="CD9" s="1320"/>
      <c r="CE9" s="1320"/>
      <c r="CF9" s="1320"/>
      <c r="CG9" s="1320"/>
      <c r="CH9" s="1320"/>
      <c r="CI9" s="1320"/>
      <c r="CJ9" s="1320"/>
      <c r="CK9" s="1320"/>
      <c r="CL9" s="1320"/>
      <c r="CM9" s="1320"/>
      <c r="CN9" s="1320"/>
      <c r="CO9" s="1320"/>
      <c r="CP9" s="1320"/>
      <c r="CQ9" s="1320"/>
      <c r="CR9" s="1320"/>
      <c r="CS9" s="1320"/>
      <c r="CT9" s="1320"/>
      <c r="CU9" s="1320"/>
      <c r="CV9" s="1320"/>
      <c r="CW9" s="1320"/>
      <c r="CX9" s="1320"/>
      <c r="CY9" s="1320"/>
      <c r="CZ9" s="1320"/>
      <c r="DA9" s="1320"/>
      <c r="DB9" s="1320"/>
      <c r="DC9" s="1320"/>
      <c r="DD9" s="1320"/>
      <c r="DE9" s="1320"/>
      <c r="DF9" s="1320"/>
      <c r="DG9" s="1320"/>
      <c r="DH9" s="1320"/>
      <c r="DI9" s="1320"/>
      <c r="DJ9" s="1320"/>
      <c r="DK9" s="1320"/>
      <c r="DL9" s="1320"/>
      <c r="DM9" s="1320"/>
      <c r="DN9" s="1320"/>
      <c r="DO9" s="1320"/>
      <c r="DP9" s="1320"/>
      <c r="DQ9" s="1320"/>
      <c r="DR9" s="1320"/>
      <c r="DS9" s="1320"/>
      <c r="DT9" s="1320"/>
      <c r="DU9" s="1320"/>
      <c r="DV9" s="1320"/>
      <c r="DW9" s="1320"/>
      <c r="DX9" s="1320"/>
      <c r="DY9" s="1320"/>
      <c r="DZ9" s="1320"/>
      <c r="EA9" s="1320"/>
      <c r="EB9" s="1320"/>
      <c r="EC9" s="1320"/>
      <c r="ED9" s="1320"/>
      <c r="EE9" s="1320"/>
      <c r="EF9" s="1320"/>
      <c r="EG9" s="1320"/>
      <c r="EH9" s="1320"/>
      <c r="EI9" s="1320"/>
      <c r="EJ9" s="1320"/>
      <c r="EK9" s="1320"/>
      <c r="EL9" s="1320"/>
      <c r="EM9" s="1320"/>
      <c r="EN9" s="1320"/>
      <c r="EO9" s="1320"/>
      <c r="EP9" s="1320"/>
      <c r="EQ9" s="1320"/>
      <c r="ER9" s="1320"/>
      <c r="ES9" s="1320"/>
      <c r="ET9" s="1320"/>
      <c r="EU9" s="1320"/>
      <c r="EV9" s="1320"/>
      <c r="EW9" s="1320"/>
      <c r="EX9" s="1320"/>
      <c r="EY9" s="1320"/>
      <c r="EZ9" s="1320"/>
      <c r="FA9" s="1320"/>
      <c r="FB9" s="1320"/>
      <c r="FC9" s="1320"/>
      <c r="FD9" s="1320"/>
      <c r="FE9" s="1320"/>
      <c r="FF9" s="1320"/>
      <c r="FG9" s="1320"/>
      <c r="FH9" s="1320"/>
      <c r="FI9" s="1320"/>
      <c r="FJ9" s="1320"/>
      <c r="FK9" s="1320"/>
      <c r="FL9" s="1320"/>
      <c r="FM9" s="1320"/>
      <c r="FN9" s="1320"/>
      <c r="FO9" s="1320"/>
      <c r="FP9" s="1320"/>
      <c r="FQ9" s="1320"/>
      <c r="FR9" s="1320"/>
      <c r="FS9" s="1320"/>
      <c r="FT9" s="1320"/>
      <c r="FU9" s="1320"/>
      <c r="FV9" s="1320"/>
      <c r="FW9" s="1320"/>
      <c r="FX9" s="1320"/>
      <c r="FY9" s="1320"/>
      <c r="FZ9" s="1320"/>
      <c r="GA9" s="1320"/>
      <c r="GB9" s="1320"/>
      <c r="GC9" s="1320"/>
      <c r="GD9" s="1320"/>
      <c r="GE9" s="1320"/>
      <c r="GF9" s="1320"/>
      <c r="GG9" s="1320"/>
      <c r="GH9" s="1320"/>
      <c r="GI9" s="1320"/>
      <c r="GJ9" s="1320"/>
      <c r="GK9" s="1320"/>
      <c r="GL9" s="1320"/>
      <c r="GM9" s="1320"/>
      <c r="GN9" s="1320"/>
      <c r="GO9" s="1320"/>
      <c r="GP9" s="1320"/>
      <c r="GQ9" s="1320"/>
      <c r="GR9" s="1320"/>
      <c r="GS9" s="1320"/>
      <c r="GT9" s="1320"/>
      <c r="GU9" s="1320"/>
      <c r="GV9" s="1320"/>
      <c r="GW9" s="1320"/>
      <c r="GX9" s="1320"/>
      <c r="GY9" s="1320"/>
      <c r="GZ9" s="1320"/>
      <c r="HA9" s="1320"/>
      <c r="HB9" s="1320"/>
      <c r="HC9" s="1320"/>
      <c r="HD9" s="1320"/>
      <c r="HE9" s="1320"/>
      <c r="HF9" s="1320"/>
      <c r="HG9" s="1320"/>
      <c r="HH9" s="1320"/>
      <c r="HI9" s="1320"/>
      <c r="HJ9" s="1320"/>
      <c r="HK9" s="1320"/>
      <c r="HL9" s="1320"/>
      <c r="HM9" s="1320"/>
      <c r="HN9" s="1320"/>
      <c r="HO9" s="1320"/>
      <c r="HP9" s="1320"/>
      <c r="HQ9" s="1320"/>
      <c r="HR9" s="1320"/>
      <c r="HS9" s="1320"/>
      <c r="HT9" s="1320"/>
      <c r="HU9" s="1320"/>
      <c r="HV9" s="1320"/>
      <c r="HW9" s="1320"/>
      <c r="HX9" s="1320"/>
      <c r="HY9" s="1320"/>
      <c r="HZ9" s="1320"/>
      <c r="IA9" s="1320"/>
      <c r="IB9" s="1320"/>
      <c r="IC9" s="1320"/>
      <c r="ID9" s="1320"/>
      <c r="IE9" s="1320"/>
      <c r="IF9" s="1320"/>
      <c r="IG9" s="1320"/>
      <c r="IH9" s="1320"/>
      <c r="II9" s="1320"/>
      <c r="IJ9" s="1320"/>
      <c r="IK9" s="1320"/>
      <c r="IL9" s="1320"/>
      <c r="IM9" s="1320"/>
      <c r="IN9" s="1320"/>
      <c r="IO9" s="1320"/>
      <c r="IP9" s="1320"/>
      <c r="IQ9" s="1320"/>
      <c r="IR9" s="1320"/>
      <c r="IS9" s="1320"/>
      <c r="IT9" s="1320"/>
      <c r="IU9" s="1320"/>
      <c r="IV9" s="1320"/>
    </row>
    <row r="10" spans="1:256" ht="48" customHeight="1">
      <c r="A10" s="1345">
        <v>2.1</v>
      </c>
      <c r="B10" s="1346" t="s">
        <v>7090</v>
      </c>
      <c r="C10" s="1347"/>
      <c r="D10" s="1348"/>
      <c r="E10" s="1337"/>
      <c r="F10" s="1337"/>
      <c r="G10" s="1337"/>
      <c r="H10" s="1337"/>
      <c r="I10" s="1331"/>
      <c r="J10" s="1342"/>
      <c r="K10" s="1320"/>
      <c r="L10" s="1320"/>
      <c r="M10" s="1320"/>
      <c r="N10" s="1320"/>
      <c r="O10" s="1320"/>
      <c r="P10" s="1320"/>
      <c r="Q10" s="1320"/>
      <c r="R10" s="1320"/>
      <c r="S10" s="1320"/>
      <c r="T10" s="1320"/>
      <c r="U10" s="1320"/>
      <c r="V10" s="1320"/>
      <c r="W10" s="1320"/>
      <c r="X10" s="1320"/>
      <c r="Y10" s="1320"/>
      <c r="Z10" s="1320"/>
      <c r="AA10" s="1320"/>
      <c r="AB10" s="1320"/>
      <c r="AC10" s="1320"/>
      <c r="AD10" s="1320"/>
      <c r="AE10" s="1320"/>
      <c r="AF10" s="1320"/>
      <c r="AG10" s="1320"/>
      <c r="AH10" s="1320"/>
      <c r="AI10" s="1320"/>
      <c r="AJ10" s="1320"/>
      <c r="AK10" s="1320"/>
      <c r="AL10" s="1320"/>
      <c r="AM10" s="1320"/>
      <c r="AN10" s="1320"/>
      <c r="AO10" s="1320"/>
      <c r="AP10" s="1320"/>
      <c r="AQ10" s="1320"/>
      <c r="AR10" s="1320"/>
      <c r="AS10" s="1320"/>
      <c r="AT10" s="1320"/>
      <c r="AU10" s="1320"/>
      <c r="AV10" s="1320"/>
      <c r="AW10" s="1320"/>
      <c r="AX10" s="1320"/>
      <c r="AY10" s="1320"/>
      <c r="AZ10" s="1320"/>
      <c r="BA10" s="1320"/>
      <c r="BB10" s="1320"/>
      <c r="BC10" s="1320"/>
      <c r="BD10" s="1320"/>
      <c r="BE10" s="1320"/>
      <c r="BF10" s="1320"/>
      <c r="BG10" s="1320"/>
      <c r="BH10" s="1320"/>
      <c r="BI10" s="1320"/>
      <c r="BJ10" s="1320"/>
      <c r="BK10" s="1320"/>
      <c r="BL10" s="1320"/>
      <c r="BM10" s="1320"/>
      <c r="BN10" s="1320"/>
      <c r="BO10" s="1320"/>
      <c r="BP10" s="1320"/>
      <c r="BQ10" s="1320"/>
      <c r="BR10" s="1320"/>
      <c r="BS10" s="1320"/>
      <c r="BT10" s="1320"/>
      <c r="BU10" s="1320"/>
      <c r="BV10" s="1320"/>
      <c r="BW10" s="1320"/>
      <c r="BX10" s="1320"/>
      <c r="BY10" s="1320"/>
      <c r="BZ10" s="1320"/>
      <c r="CA10" s="1320"/>
      <c r="CB10" s="1320"/>
      <c r="CC10" s="1320"/>
      <c r="CD10" s="1320"/>
      <c r="CE10" s="1320"/>
      <c r="CF10" s="1320"/>
      <c r="CG10" s="1320"/>
      <c r="CH10" s="1320"/>
      <c r="CI10" s="1320"/>
      <c r="CJ10" s="1320"/>
      <c r="CK10" s="1320"/>
      <c r="CL10" s="1320"/>
      <c r="CM10" s="1320"/>
      <c r="CN10" s="1320"/>
      <c r="CO10" s="1320"/>
      <c r="CP10" s="1320"/>
      <c r="CQ10" s="1320"/>
      <c r="CR10" s="1320"/>
      <c r="CS10" s="1320"/>
      <c r="CT10" s="1320"/>
      <c r="CU10" s="1320"/>
      <c r="CV10" s="1320"/>
      <c r="CW10" s="1320"/>
      <c r="CX10" s="1320"/>
      <c r="CY10" s="1320"/>
      <c r="CZ10" s="1320"/>
      <c r="DA10" s="1320"/>
      <c r="DB10" s="1320"/>
      <c r="DC10" s="1320"/>
      <c r="DD10" s="1320"/>
      <c r="DE10" s="1320"/>
      <c r="DF10" s="1320"/>
      <c r="DG10" s="1320"/>
      <c r="DH10" s="1320"/>
      <c r="DI10" s="1320"/>
      <c r="DJ10" s="1320"/>
      <c r="DK10" s="1320"/>
      <c r="DL10" s="1320"/>
      <c r="DM10" s="1320"/>
      <c r="DN10" s="1320"/>
      <c r="DO10" s="1320"/>
      <c r="DP10" s="1320"/>
      <c r="DQ10" s="1320"/>
      <c r="DR10" s="1320"/>
      <c r="DS10" s="1320"/>
      <c r="DT10" s="1320"/>
      <c r="DU10" s="1320"/>
      <c r="DV10" s="1320"/>
      <c r="DW10" s="1320"/>
      <c r="DX10" s="1320"/>
      <c r="DY10" s="1320"/>
      <c r="DZ10" s="1320"/>
      <c r="EA10" s="1320"/>
      <c r="EB10" s="1320"/>
      <c r="EC10" s="1320"/>
      <c r="ED10" s="1320"/>
      <c r="EE10" s="1320"/>
      <c r="EF10" s="1320"/>
      <c r="EG10" s="1320"/>
      <c r="EH10" s="1320"/>
      <c r="EI10" s="1320"/>
      <c r="EJ10" s="1320"/>
      <c r="EK10" s="1320"/>
      <c r="EL10" s="1320"/>
      <c r="EM10" s="1320"/>
      <c r="EN10" s="1320"/>
      <c r="EO10" s="1320"/>
      <c r="EP10" s="1320"/>
      <c r="EQ10" s="1320"/>
      <c r="ER10" s="1320"/>
      <c r="ES10" s="1320"/>
      <c r="ET10" s="1320"/>
      <c r="EU10" s="1320"/>
      <c r="EV10" s="1320"/>
      <c r="EW10" s="1320"/>
      <c r="EX10" s="1320"/>
      <c r="EY10" s="1320"/>
      <c r="EZ10" s="1320"/>
      <c r="FA10" s="1320"/>
      <c r="FB10" s="1320"/>
      <c r="FC10" s="1320"/>
      <c r="FD10" s="1320"/>
      <c r="FE10" s="1320"/>
      <c r="FF10" s="1320"/>
      <c r="FG10" s="1320"/>
      <c r="FH10" s="1320"/>
      <c r="FI10" s="1320"/>
      <c r="FJ10" s="1320"/>
      <c r="FK10" s="1320"/>
      <c r="FL10" s="1320"/>
      <c r="FM10" s="1320"/>
      <c r="FN10" s="1320"/>
      <c r="FO10" s="1320"/>
      <c r="FP10" s="1320"/>
      <c r="FQ10" s="1320"/>
      <c r="FR10" s="1320"/>
      <c r="FS10" s="1320"/>
      <c r="FT10" s="1320"/>
      <c r="FU10" s="1320"/>
      <c r="FV10" s="1320"/>
      <c r="FW10" s="1320"/>
      <c r="FX10" s="1320"/>
      <c r="FY10" s="1320"/>
      <c r="FZ10" s="1320"/>
      <c r="GA10" s="1320"/>
      <c r="GB10" s="1320"/>
      <c r="GC10" s="1320"/>
      <c r="GD10" s="1320"/>
      <c r="GE10" s="1320"/>
      <c r="GF10" s="1320"/>
      <c r="GG10" s="1320"/>
      <c r="GH10" s="1320"/>
      <c r="GI10" s="1320"/>
      <c r="GJ10" s="1320"/>
      <c r="GK10" s="1320"/>
      <c r="GL10" s="1320"/>
      <c r="GM10" s="1320"/>
      <c r="GN10" s="1320"/>
      <c r="GO10" s="1320"/>
      <c r="GP10" s="1320"/>
      <c r="GQ10" s="1320"/>
      <c r="GR10" s="1320"/>
      <c r="GS10" s="1320"/>
      <c r="GT10" s="1320"/>
      <c r="GU10" s="1320"/>
      <c r="GV10" s="1320"/>
      <c r="GW10" s="1320"/>
      <c r="GX10" s="1320"/>
      <c r="GY10" s="1320"/>
      <c r="GZ10" s="1320"/>
      <c r="HA10" s="1320"/>
      <c r="HB10" s="1320"/>
      <c r="HC10" s="1320"/>
      <c r="HD10" s="1320"/>
      <c r="HE10" s="1320"/>
      <c r="HF10" s="1320"/>
      <c r="HG10" s="1320"/>
      <c r="HH10" s="1320"/>
      <c r="HI10" s="1320"/>
      <c r="HJ10" s="1320"/>
      <c r="HK10" s="1320"/>
      <c r="HL10" s="1320"/>
      <c r="HM10" s="1320"/>
      <c r="HN10" s="1320"/>
      <c r="HO10" s="1320"/>
      <c r="HP10" s="1320"/>
      <c r="HQ10" s="1320"/>
      <c r="HR10" s="1320"/>
      <c r="HS10" s="1320"/>
      <c r="HT10" s="1320"/>
      <c r="HU10" s="1320"/>
      <c r="HV10" s="1320"/>
      <c r="HW10" s="1320"/>
      <c r="HX10" s="1320"/>
      <c r="HY10" s="1320"/>
      <c r="HZ10" s="1320"/>
      <c r="IA10" s="1320"/>
      <c r="IB10" s="1320"/>
      <c r="IC10" s="1320"/>
      <c r="ID10" s="1320"/>
      <c r="IE10" s="1320"/>
      <c r="IF10" s="1320"/>
      <c r="IG10" s="1320"/>
      <c r="IH10" s="1320"/>
      <c r="II10" s="1320"/>
      <c r="IJ10" s="1320"/>
      <c r="IK10" s="1320"/>
      <c r="IL10" s="1320"/>
      <c r="IM10" s="1320"/>
      <c r="IN10" s="1320"/>
      <c r="IO10" s="1320"/>
      <c r="IP10" s="1320"/>
      <c r="IQ10" s="1320"/>
      <c r="IR10" s="1320"/>
      <c r="IS10" s="1320"/>
      <c r="IT10" s="1320"/>
      <c r="IU10" s="1320"/>
      <c r="IV10" s="1320"/>
    </row>
    <row r="11" spans="1:256" ht="21" customHeight="1">
      <c r="A11" s="1349"/>
      <c r="B11" s="1337" t="s">
        <v>7088</v>
      </c>
      <c r="C11" s="1339">
        <v>1</v>
      </c>
      <c r="D11" s="1338">
        <v>1</v>
      </c>
      <c r="E11" s="1340">
        <v>25</v>
      </c>
      <c r="F11" s="1340">
        <v>18</v>
      </c>
      <c r="G11" s="1340">
        <v>0.15</v>
      </c>
      <c r="H11" s="1341">
        <f>PRODUCT(C11:G11)</f>
        <v>67.5</v>
      </c>
      <c r="I11" s="1331"/>
      <c r="J11" s="1342"/>
      <c r="K11" s="1320"/>
      <c r="L11" s="1320"/>
      <c r="M11" s="1320"/>
      <c r="N11" s="1320"/>
      <c r="O11" s="1320"/>
      <c r="P11" s="1320"/>
      <c r="Q11" s="1320"/>
      <c r="R11" s="1320"/>
      <c r="S11" s="1320"/>
      <c r="T11" s="1320"/>
      <c r="U11" s="1320"/>
      <c r="V11" s="1320"/>
      <c r="W11" s="1320"/>
      <c r="X11" s="1320"/>
      <c r="Y11" s="1320"/>
      <c r="Z11" s="1320"/>
      <c r="AA11" s="1320"/>
      <c r="AB11" s="1320"/>
      <c r="AC11" s="1320"/>
      <c r="AD11" s="1320"/>
      <c r="AE11" s="1320"/>
      <c r="AF11" s="1320"/>
      <c r="AG11" s="1320"/>
      <c r="AH11" s="1320"/>
      <c r="AI11" s="1320"/>
      <c r="AJ11" s="1320"/>
      <c r="AK11" s="1320"/>
      <c r="AL11" s="1320"/>
      <c r="AM11" s="1320"/>
      <c r="AN11" s="1320"/>
      <c r="AO11" s="1320"/>
      <c r="AP11" s="1320"/>
      <c r="AQ11" s="1320"/>
      <c r="AR11" s="1320"/>
      <c r="AS11" s="1320"/>
      <c r="AT11" s="1320"/>
      <c r="AU11" s="1320"/>
      <c r="AV11" s="1320"/>
      <c r="AW11" s="1320"/>
      <c r="AX11" s="1320"/>
      <c r="AY11" s="1320"/>
      <c r="AZ11" s="1320"/>
      <c r="BA11" s="1320"/>
      <c r="BB11" s="1320"/>
      <c r="BC11" s="1320"/>
      <c r="BD11" s="1320"/>
      <c r="BE11" s="1320"/>
      <c r="BF11" s="1320"/>
      <c r="BG11" s="1320"/>
      <c r="BH11" s="1320"/>
      <c r="BI11" s="1320"/>
      <c r="BJ11" s="1320"/>
      <c r="BK11" s="1320"/>
      <c r="BL11" s="1320"/>
      <c r="BM11" s="1320"/>
      <c r="BN11" s="1320"/>
      <c r="BO11" s="1320"/>
      <c r="BP11" s="1320"/>
      <c r="BQ11" s="1320"/>
      <c r="BR11" s="1320"/>
      <c r="BS11" s="1320"/>
      <c r="BT11" s="1320"/>
      <c r="BU11" s="1320"/>
      <c r="BV11" s="1320"/>
      <c r="BW11" s="1320"/>
      <c r="BX11" s="1320"/>
      <c r="BY11" s="1320"/>
      <c r="BZ11" s="1320"/>
      <c r="CA11" s="1320"/>
      <c r="CB11" s="1320"/>
      <c r="CC11" s="1320"/>
      <c r="CD11" s="1320"/>
      <c r="CE11" s="1320"/>
      <c r="CF11" s="1320"/>
      <c r="CG11" s="1320"/>
      <c r="CH11" s="1320"/>
      <c r="CI11" s="1320"/>
      <c r="CJ11" s="1320"/>
      <c r="CK11" s="1320"/>
      <c r="CL11" s="1320"/>
      <c r="CM11" s="1320"/>
      <c r="CN11" s="1320"/>
      <c r="CO11" s="1320"/>
      <c r="CP11" s="1320"/>
      <c r="CQ11" s="1320"/>
      <c r="CR11" s="1320"/>
      <c r="CS11" s="1320"/>
      <c r="CT11" s="1320"/>
      <c r="CU11" s="1320"/>
      <c r="CV11" s="1320"/>
      <c r="CW11" s="1320"/>
      <c r="CX11" s="1320"/>
      <c r="CY11" s="1320"/>
      <c r="CZ11" s="1320"/>
      <c r="DA11" s="1320"/>
      <c r="DB11" s="1320"/>
      <c r="DC11" s="1320"/>
      <c r="DD11" s="1320"/>
      <c r="DE11" s="1320"/>
      <c r="DF11" s="1320"/>
      <c r="DG11" s="1320"/>
      <c r="DH11" s="1320"/>
      <c r="DI11" s="1320"/>
      <c r="DJ11" s="1320"/>
      <c r="DK11" s="1320"/>
      <c r="DL11" s="1320"/>
      <c r="DM11" s="1320"/>
      <c r="DN11" s="1320"/>
      <c r="DO11" s="1320"/>
      <c r="DP11" s="1320"/>
      <c r="DQ11" s="1320"/>
      <c r="DR11" s="1320"/>
      <c r="DS11" s="1320"/>
      <c r="DT11" s="1320"/>
      <c r="DU11" s="1320"/>
      <c r="DV11" s="1320"/>
      <c r="DW11" s="1320"/>
      <c r="DX11" s="1320"/>
      <c r="DY11" s="1320"/>
      <c r="DZ11" s="1320"/>
      <c r="EA11" s="1320"/>
      <c r="EB11" s="1320"/>
      <c r="EC11" s="1320"/>
      <c r="ED11" s="1320"/>
      <c r="EE11" s="1320"/>
      <c r="EF11" s="1320"/>
      <c r="EG11" s="1320"/>
      <c r="EH11" s="1320"/>
      <c r="EI11" s="1320"/>
      <c r="EJ11" s="1320"/>
      <c r="EK11" s="1320"/>
      <c r="EL11" s="1320"/>
      <c r="EM11" s="1320"/>
      <c r="EN11" s="1320"/>
      <c r="EO11" s="1320"/>
      <c r="EP11" s="1320"/>
      <c r="EQ11" s="1320"/>
      <c r="ER11" s="1320"/>
      <c r="ES11" s="1320"/>
      <c r="ET11" s="1320"/>
      <c r="EU11" s="1320"/>
      <c r="EV11" s="1320"/>
      <c r="EW11" s="1320"/>
      <c r="EX11" s="1320"/>
      <c r="EY11" s="1320"/>
      <c r="EZ11" s="1320"/>
      <c r="FA11" s="1320"/>
      <c r="FB11" s="1320"/>
      <c r="FC11" s="1320"/>
      <c r="FD11" s="1320"/>
      <c r="FE11" s="1320"/>
      <c r="FF11" s="1320"/>
      <c r="FG11" s="1320"/>
      <c r="FH11" s="1320"/>
      <c r="FI11" s="1320"/>
      <c r="FJ11" s="1320"/>
      <c r="FK11" s="1320"/>
      <c r="FL11" s="1320"/>
      <c r="FM11" s="1320"/>
      <c r="FN11" s="1320"/>
      <c r="FO11" s="1320"/>
      <c r="FP11" s="1320"/>
      <c r="FQ11" s="1320"/>
      <c r="FR11" s="1320"/>
      <c r="FS11" s="1320"/>
      <c r="FT11" s="1320"/>
      <c r="FU11" s="1320"/>
      <c r="FV11" s="1320"/>
      <c r="FW11" s="1320"/>
      <c r="FX11" s="1320"/>
      <c r="FY11" s="1320"/>
      <c r="FZ11" s="1320"/>
      <c r="GA11" s="1320"/>
      <c r="GB11" s="1320"/>
      <c r="GC11" s="1320"/>
      <c r="GD11" s="1320"/>
      <c r="GE11" s="1320"/>
      <c r="GF11" s="1320"/>
      <c r="GG11" s="1320"/>
      <c r="GH11" s="1320"/>
      <c r="GI11" s="1320"/>
      <c r="GJ11" s="1320"/>
      <c r="GK11" s="1320"/>
      <c r="GL11" s="1320"/>
      <c r="GM11" s="1320"/>
      <c r="GN11" s="1320"/>
      <c r="GO11" s="1320"/>
      <c r="GP11" s="1320"/>
      <c r="GQ11" s="1320"/>
      <c r="GR11" s="1320"/>
      <c r="GS11" s="1320"/>
      <c r="GT11" s="1320"/>
      <c r="GU11" s="1320"/>
      <c r="GV11" s="1320"/>
      <c r="GW11" s="1320"/>
      <c r="GX11" s="1320"/>
      <c r="GY11" s="1320"/>
      <c r="GZ11" s="1320"/>
      <c r="HA11" s="1320"/>
      <c r="HB11" s="1320"/>
      <c r="HC11" s="1320"/>
      <c r="HD11" s="1320"/>
      <c r="HE11" s="1320"/>
      <c r="HF11" s="1320"/>
      <c r="HG11" s="1320"/>
      <c r="HH11" s="1320"/>
      <c r="HI11" s="1320"/>
      <c r="HJ11" s="1320"/>
      <c r="HK11" s="1320"/>
      <c r="HL11" s="1320"/>
      <c r="HM11" s="1320"/>
      <c r="HN11" s="1320"/>
      <c r="HO11" s="1320"/>
      <c r="HP11" s="1320"/>
      <c r="HQ11" s="1320"/>
      <c r="HR11" s="1320"/>
      <c r="HS11" s="1320"/>
      <c r="HT11" s="1320"/>
      <c r="HU11" s="1320"/>
      <c r="HV11" s="1320"/>
      <c r="HW11" s="1320"/>
      <c r="HX11" s="1320"/>
      <c r="HY11" s="1320"/>
      <c r="HZ11" s="1320"/>
      <c r="IA11" s="1320"/>
      <c r="IB11" s="1320"/>
      <c r="IC11" s="1320"/>
      <c r="ID11" s="1320"/>
      <c r="IE11" s="1320"/>
      <c r="IF11" s="1320"/>
      <c r="IG11" s="1320"/>
      <c r="IH11" s="1320"/>
      <c r="II11" s="1320"/>
      <c r="IJ11" s="1320"/>
      <c r="IK11" s="1320"/>
      <c r="IL11" s="1320"/>
      <c r="IM11" s="1320"/>
      <c r="IN11" s="1320"/>
      <c r="IO11" s="1320"/>
      <c r="IP11" s="1320"/>
      <c r="IQ11" s="1320"/>
      <c r="IR11" s="1320"/>
      <c r="IS11" s="1320"/>
      <c r="IT11" s="1320"/>
      <c r="IU11" s="1320"/>
      <c r="IV11" s="1320"/>
    </row>
    <row r="12" spans="1:256" ht="21" customHeight="1">
      <c r="A12" s="1349"/>
      <c r="B12" s="1337" t="s">
        <v>7089</v>
      </c>
      <c r="C12" s="1339">
        <v>2</v>
      </c>
      <c r="D12" s="1338">
        <v>2</v>
      </c>
      <c r="E12" s="1340">
        <v>2.5</v>
      </c>
      <c r="F12" s="1340">
        <v>2.5</v>
      </c>
      <c r="G12" s="1340">
        <v>0.15</v>
      </c>
      <c r="H12" s="1341">
        <f>PRODUCT(C12:G12)</f>
        <v>3.75</v>
      </c>
      <c r="I12" s="1331"/>
      <c r="J12" s="1342"/>
      <c r="K12" s="1320"/>
      <c r="L12" s="1320"/>
      <c r="M12" s="1320"/>
      <c r="N12" s="1320"/>
      <c r="O12" s="1320"/>
      <c r="P12" s="1320"/>
      <c r="Q12" s="1320"/>
      <c r="R12" s="1320"/>
      <c r="S12" s="1320"/>
      <c r="T12" s="1320"/>
      <c r="U12" s="1320"/>
      <c r="V12" s="1320"/>
      <c r="W12" s="1320"/>
      <c r="X12" s="1320"/>
      <c r="Y12" s="1320"/>
      <c r="Z12" s="1320"/>
      <c r="AA12" s="1320"/>
      <c r="AB12" s="1320"/>
      <c r="AC12" s="1320"/>
      <c r="AD12" s="1320"/>
      <c r="AE12" s="1320"/>
      <c r="AF12" s="1320"/>
      <c r="AG12" s="1320"/>
      <c r="AH12" s="1320"/>
      <c r="AI12" s="1320"/>
      <c r="AJ12" s="1320"/>
      <c r="AK12" s="1320"/>
      <c r="AL12" s="1320"/>
      <c r="AM12" s="1320"/>
      <c r="AN12" s="1320"/>
      <c r="AO12" s="1320"/>
      <c r="AP12" s="1320"/>
      <c r="AQ12" s="1320"/>
      <c r="AR12" s="1320"/>
      <c r="AS12" s="1320"/>
      <c r="AT12" s="1320"/>
      <c r="AU12" s="1320"/>
      <c r="AV12" s="1320"/>
      <c r="AW12" s="1320"/>
      <c r="AX12" s="1320"/>
      <c r="AY12" s="1320"/>
      <c r="AZ12" s="1320"/>
      <c r="BA12" s="1320"/>
      <c r="BB12" s="1320"/>
      <c r="BC12" s="1320"/>
      <c r="BD12" s="1320"/>
      <c r="BE12" s="1320"/>
      <c r="BF12" s="1320"/>
      <c r="BG12" s="1320"/>
      <c r="BH12" s="1320"/>
      <c r="BI12" s="1320"/>
      <c r="BJ12" s="1320"/>
      <c r="BK12" s="1320"/>
      <c r="BL12" s="1320"/>
      <c r="BM12" s="1320"/>
      <c r="BN12" s="1320"/>
      <c r="BO12" s="1320"/>
      <c r="BP12" s="1320"/>
      <c r="BQ12" s="1320"/>
      <c r="BR12" s="1320"/>
      <c r="BS12" s="1320"/>
      <c r="BT12" s="1320"/>
      <c r="BU12" s="1320"/>
      <c r="BV12" s="1320"/>
      <c r="BW12" s="1320"/>
      <c r="BX12" s="1320"/>
      <c r="BY12" s="1320"/>
      <c r="BZ12" s="1320"/>
      <c r="CA12" s="1320"/>
      <c r="CB12" s="1320"/>
      <c r="CC12" s="1320"/>
      <c r="CD12" s="1320"/>
      <c r="CE12" s="1320"/>
      <c r="CF12" s="1320"/>
      <c r="CG12" s="1320"/>
      <c r="CH12" s="1320"/>
      <c r="CI12" s="1320"/>
      <c r="CJ12" s="1320"/>
      <c r="CK12" s="1320"/>
      <c r="CL12" s="1320"/>
      <c r="CM12" s="1320"/>
      <c r="CN12" s="1320"/>
      <c r="CO12" s="1320"/>
      <c r="CP12" s="1320"/>
      <c r="CQ12" s="1320"/>
      <c r="CR12" s="1320"/>
      <c r="CS12" s="1320"/>
      <c r="CT12" s="1320"/>
      <c r="CU12" s="1320"/>
      <c r="CV12" s="1320"/>
      <c r="CW12" s="1320"/>
      <c r="CX12" s="1320"/>
      <c r="CY12" s="1320"/>
      <c r="CZ12" s="1320"/>
      <c r="DA12" s="1320"/>
      <c r="DB12" s="1320"/>
      <c r="DC12" s="1320"/>
      <c r="DD12" s="1320"/>
      <c r="DE12" s="1320"/>
      <c r="DF12" s="1320"/>
      <c r="DG12" s="1320"/>
      <c r="DH12" s="1320"/>
      <c r="DI12" s="1320"/>
      <c r="DJ12" s="1320"/>
      <c r="DK12" s="1320"/>
      <c r="DL12" s="1320"/>
      <c r="DM12" s="1320"/>
      <c r="DN12" s="1320"/>
      <c r="DO12" s="1320"/>
      <c r="DP12" s="1320"/>
      <c r="DQ12" s="1320"/>
      <c r="DR12" s="1320"/>
      <c r="DS12" s="1320"/>
      <c r="DT12" s="1320"/>
      <c r="DU12" s="1320"/>
      <c r="DV12" s="1320"/>
      <c r="DW12" s="1320"/>
      <c r="DX12" s="1320"/>
      <c r="DY12" s="1320"/>
      <c r="DZ12" s="1320"/>
      <c r="EA12" s="1320"/>
      <c r="EB12" s="1320"/>
      <c r="EC12" s="1320"/>
      <c r="ED12" s="1320"/>
      <c r="EE12" s="1320"/>
      <c r="EF12" s="1320"/>
      <c r="EG12" s="1320"/>
      <c r="EH12" s="1320"/>
      <c r="EI12" s="1320"/>
      <c r="EJ12" s="1320"/>
      <c r="EK12" s="1320"/>
      <c r="EL12" s="1320"/>
      <c r="EM12" s="1320"/>
      <c r="EN12" s="1320"/>
      <c r="EO12" s="1320"/>
      <c r="EP12" s="1320"/>
      <c r="EQ12" s="1320"/>
      <c r="ER12" s="1320"/>
      <c r="ES12" s="1320"/>
      <c r="ET12" s="1320"/>
      <c r="EU12" s="1320"/>
      <c r="EV12" s="1320"/>
      <c r="EW12" s="1320"/>
      <c r="EX12" s="1320"/>
      <c r="EY12" s="1320"/>
      <c r="EZ12" s="1320"/>
      <c r="FA12" s="1320"/>
      <c r="FB12" s="1320"/>
      <c r="FC12" s="1320"/>
      <c r="FD12" s="1320"/>
      <c r="FE12" s="1320"/>
      <c r="FF12" s="1320"/>
      <c r="FG12" s="1320"/>
      <c r="FH12" s="1320"/>
      <c r="FI12" s="1320"/>
      <c r="FJ12" s="1320"/>
      <c r="FK12" s="1320"/>
      <c r="FL12" s="1320"/>
      <c r="FM12" s="1320"/>
      <c r="FN12" s="1320"/>
      <c r="FO12" s="1320"/>
      <c r="FP12" s="1320"/>
      <c r="FQ12" s="1320"/>
      <c r="FR12" s="1320"/>
      <c r="FS12" s="1320"/>
      <c r="FT12" s="1320"/>
      <c r="FU12" s="1320"/>
      <c r="FV12" s="1320"/>
      <c r="FW12" s="1320"/>
      <c r="FX12" s="1320"/>
      <c r="FY12" s="1320"/>
      <c r="FZ12" s="1320"/>
      <c r="GA12" s="1320"/>
      <c r="GB12" s="1320"/>
      <c r="GC12" s="1320"/>
      <c r="GD12" s="1320"/>
      <c r="GE12" s="1320"/>
      <c r="GF12" s="1320"/>
      <c r="GG12" s="1320"/>
      <c r="GH12" s="1320"/>
      <c r="GI12" s="1320"/>
      <c r="GJ12" s="1320"/>
      <c r="GK12" s="1320"/>
      <c r="GL12" s="1320"/>
      <c r="GM12" s="1320"/>
      <c r="GN12" s="1320"/>
      <c r="GO12" s="1320"/>
      <c r="GP12" s="1320"/>
      <c r="GQ12" s="1320"/>
      <c r="GR12" s="1320"/>
      <c r="GS12" s="1320"/>
      <c r="GT12" s="1320"/>
      <c r="GU12" s="1320"/>
      <c r="GV12" s="1320"/>
      <c r="GW12" s="1320"/>
      <c r="GX12" s="1320"/>
      <c r="GY12" s="1320"/>
      <c r="GZ12" s="1320"/>
      <c r="HA12" s="1320"/>
      <c r="HB12" s="1320"/>
      <c r="HC12" s="1320"/>
      <c r="HD12" s="1320"/>
      <c r="HE12" s="1320"/>
      <c r="HF12" s="1320"/>
      <c r="HG12" s="1320"/>
      <c r="HH12" s="1320"/>
      <c r="HI12" s="1320"/>
      <c r="HJ12" s="1320"/>
      <c r="HK12" s="1320"/>
      <c r="HL12" s="1320"/>
      <c r="HM12" s="1320"/>
      <c r="HN12" s="1320"/>
      <c r="HO12" s="1320"/>
      <c r="HP12" s="1320"/>
      <c r="HQ12" s="1320"/>
      <c r="HR12" s="1320"/>
      <c r="HS12" s="1320"/>
      <c r="HT12" s="1320"/>
      <c r="HU12" s="1320"/>
      <c r="HV12" s="1320"/>
      <c r="HW12" s="1320"/>
      <c r="HX12" s="1320"/>
      <c r="HY12" s="1320"/>
      <c r="HZ12" s="1320"/>
      <c r="IA12" s="1320"/>
      <c r="IB12" s="1320"/>
      <c r="IC12" s="1320"/>
      <c r="ID12" s="1320"/>
      <c r="IE12" s="1320"/>
      <c r="IF12" s="1320"/>
      <c r="IG12" s="1320"/>
      <c r="IH12" s="1320"/>
      <c r="II12" s="1320"/>
      <c r="IJ12" s="1320"/>
      <c r="IK12" s="1320"/>
      <c r="IL12" s="1320"/>
      <c r="IM12" s="1320"/>
      <c r="IN12" s="1320"/>
      <c r="IO12" s="1320"/>
      <c r="IP12" s="1320"/>
      <c r="IQ12" s="1320"/>
      <c r="IR12" s="1320"/>
      <c r="IS12" s="1320"/>
      <c r="IT12" s="1320"/>
      <c r="IU12" s="1320"/>
      <c r="IV12" s="1320"/>
    </row>
    <row r="13" spans="1:256" ht="21" customHeight="1">
      <c r="A13" s="1349"/>
      <c r="B13" s="1337"/>
      <c r="C13" s="1339"/>
      <c r="D13" s="1340"/>
      <c r="E13" s="1340"/>
      <c r="F13" s="1340"/>
      <c r="G13" s="781" t="s">
        <v>2235</v>
      </c>
      <c r="H13" s="1343">
        <f>SUM(H11:H12)</f>
        <v>71.25</v>
      </c>
      <c r="I13" s="1344" t="s">
        <v>2142</v>
      </c>
      <c r="J13" s="1342"/>
      <c r="K13" s="1320"/>
      <c r="L13" s="1320"/>
      <c r="M13" s="1320"/>
      <c r="N13" s="1320"/>
      <c r="O13" s="1320"/>
      <c r="P13" s="1320"/>
      <c r="Q13" s="1320"/>
      <c r="R13" s="1320"/>
      <c r="S13" s="1320"/>
      <c r="T13" s="1320"/>
      <c r="U13" s="1320"/>
      <c r="V13" s="1320"/>
      <c r="W13" s="1320"/>
      <c r="X13" s="1320"/>
      <c r="Y13" s="1320"/>
      <c r="Z13" s="1320"/>
      <c r="AA13" s="1320"/>
      <c r="AB13" s="1320"/>
      <c r="AC13" s="1320"/>
      <c r="AD13" s="1320"/>
      <c r="AE13" s="1320"/>
      <c r="AF13" s="1320"/>
      <c r="AG13" s="1320"/>
      <c r="AH13" s="1320"/>
      <c r="AI13" s="1320"/>
      <c r="AJ13" s="1320"/>
      <c r="AK13" s="1320"/>
      <c r="AL13" s="1320"/>
      <c r="AM13" s="1320"/>
      <c r="AN13" s="1320"/>
      <c r="AO13" s="1320"/>
      <c r="AP13" s="1320"/>
      <c r="AQ13" s="1320"/>
      <c r="AR13" s="1320"/>
      <c r="AS13" s="1320"/>
      <c r="AT13" s="1320"/>
      <c r="AU13" s="1320"/>
      <c r="AV13" s="1320"/>
      <c r="AW13" s="1320"/>
      <c r="AX13" s="1320"/>
      <c r="AY13" s="1320"/>
      <c r="AZ13" s="1320"/>
      <c r="BA13" s="1320"/>
      <c r="BB13" s="1320"/>
      <c r="BC13" s="1320"/>
      <c r="BD13" s="1320"/>
      <c r="BE13" s="1320"/>
      <c r="BF13" s="1320"/>
      <c r="BG13" s="1320"/>
      <c r="BH13" s="1320"/>
      <c r="BI13" s="1320"/>
      <c r="BJ13" s="1320"/>
      <c r="BK13" s="1320"/>
      <c r="BL13" s="1320"/>
      <c r="BM13" s="1320"/>
      <c r="BN13" s="1320"/>
      <c r="BO13" s="1320"/>
      <c r="BP13" s="1320"/>
      <c r="BQ13" s="1320"/>
      <c r="BR13" s="1320"/>
      <c r="BS13" s="1320"/>
      <c r="BT13" s="1320"/>
      <c r="BU13" s="1320"/>
      <c r="BV13" s="1320"/>
      <c r="BW13" s="1320"/>
      <c r="BX13" s="1320"/>
      <c r="BY13" s="1320"/>
      <c r="BZ13" s="1320"/>
      <c r="CA13" s="1320"/>
      <c r="CB13" s="1320"/>
      <c r="CC13" s="1320"/>
      <c r="CD13" s="1320"/>
      <c r="CE13" s="1320"/>
      <c r="CF13" s="1320"/>
      <c r="CG13" s="1320"/>
      <c r="CH13" s="1320"/>
      <c r="CI13" s="1320"/>
      <c r="CJ13" s="1320"/>
      <c r="CK13" s="1320"/>
      <c r="CL13" s="1320"/>
      <c r="CM13" s="1320"/>
      <c r="CN13" s="1320"/>
      <c r="CO13" s="1320"/>
      <c r="CP13" s="1320"/>
      <c r="CQ13" s="1320"/>
      <c r="CR13" s="1320"/>
      <c r="CS13" s="1320"/>
      <c r="CT13" s="1320"/>
      <c r="CU13" s="1320"/>
      <c r="CV13" s="1320"/>
      <c r="CW13" s="1320"/>
      <c r="CX13" s="1320"/>
      <c r="CY13" s="1320"/>
      <c r="CZ13" s="1320"/>
      <c r="DA13" s="1320"/>
      <c r="DB13" s="1320"/>
      <c r="DC13" s="1320"/>
      <c r="DD13" s="1320"/>
      <c r="DE13" s="1320"/>
      <c r="DF13" s="1320"/>
      <c r="DG13" s="1320"/>
      <c r="DH13" s="1320"/>
      <c r="DI13" s="1320"/>
      <c r="DJ13" s="1320"/>
      <c r="DK13" s="1320"/>
      <c r="DL13" s="1320"/>
      <c r="DM13" s="1320"/>
      <c r="DN13" s="1320"/>
      <c r="DO13" s="1320"/>
      <c r="DP13" s="1320"/>
      <c r="DQ13" s="1320"/>
      <c r="DR13" s="1320"/>
      <c r="DS13" s="1320"/>
      <c r="DT13" s="1320"/>
      <c r="DU13" s="1320"/>
      <c r="DV13" s="1320"/>
      <c r="DW13" s="1320"/>
      <c r="DX13" s="1320"/>
      <c r="DY13" s="1320"/>
      <c r="DZ13" s="1320"/>
      <c r="EA13" s="1320"/>
      <c r="EB13" s="1320"/>
      <c r="EC13" s="1320"/>
      <c r="ED13" s="1320"/>
      <c r="EE13" s="1320"/>
      <c r="EF13" s="1320"/>
      <c r="EG13" s="1320"/>
      <c r="EH13" s="1320"/>
      <c r="EI13" s="1320"/>
      <c r="EJ13" s="1320"/>
      <c r="EK13" s="1320"/>
      <c r="EL13" s="1320"/>
      <c r="EM13" s="1320"/>
      <c r="EN13" s="1320"/>
      <c r="EO13" s="1320"/>
      <c r="EP13" s="1320"/>
      <c r="EQ13" s="1320"/>
      <c r="ER13" s="1320"/>
      <c r="ES13" s="1320"/>
      <c r="ET13" s="1320"/>
      <c r="EU13" s="1320"/>
      <c r="EV13" s="1320"/>
      <c r="EW13" s="1320"/>
      <c r="EX13" s="1320"/>
      <c r="EY13" s="1320"/>
      <c r="EZ13" s="1320"/>
      <c r="FA13" s="1320"/>
      <c r="FB13" s="1320"/>
      <c r="FC13" s="1320"/>
      <c r="FD13" s="1320"/>
      <c r="FE13" s="1320"/>
      <c r="FF13" s="1320"/>
      <c r="FG13" s="1320"/>
      <c r="FH13" s="1320"/>
      <c r="FI13" s="1320"/>
      <c r="FJ13" s="1320"/>
      <c r="FK13" s="1320"/>
      <c r="FL13" s="1320"/>
      <c r="FM13" s="1320"/>
      <c r="FN13" s="1320"/>
      <c r="FO13" s="1320"/>
      <c r="FP13" s="1320"/>
      <c r="FQ13" s="1320"/>
      <c r="FR13" s="1320"/>
      <c r="FS13" s="1320"/>
      <c r="FT13" s="1320"/>
      <c r="FU13" s="1320"/>
      <c r="FV13" s="1320"/>
      <c r="FW13" s="1320"/>
      <c r="FX13" s="1320"/>
      <c r="FY13" s="1320"/>
      <c r="FZ13" s="1320"/>
      <c r="GA13" s="1320"/>
      <c r="GB13" s="1320"/>
      <c r="GC13" s="1320"/>
      <c r="GD13" s="1320"/>
      <c r="GE13" s="1320"/>
      <c r="GF13" s="1320"/>
      <c r="GG13" s="1320"/>
      <c r="GH13" s="1320"/>
      <c r="GI13" s="1320"/>
      <c r="GJ13" s="1320"/>
      <c r="GK13" s="1320"/>
      <c r="GL13" s="1320"/>
      <c r="GM13" s="1320"/>
      <c r="GN13" s="1320"/>
      <c r="GO13" s="1320"/>
      <c r="GP13" s="1320"/>
      <c r="GQ13" s="1320"/>
      <c r="GR13" s="1320"/>
      <c r="GS13" s="1320"/>
      <c r="GT13" s="1320"/>
      <c r="GU13" s="1320"/>
      <c r="GV13" s="1320"/>
      <c r="GW13" s="1320"/>
      <c r="GX13" s="1320"/>
      <c r="GY13" s="1320"/>
      <c r="GZ13" s="1320"/>
      <c r="HA13" s="1320"/>
      <c r="HB13" s="1320"/>
      <c r="HC13" s="1320"/>
      <c r="HD13" s="1320"/>
      <c r="HE13" s="1320"/>
      <c r="HF13" s="1320"/>
      <c r="HG13" s="1320"/>
      <c r="HH13" s="1320"/>
      <c r="HI13" s="1320"/>
      <c r="HJ13" s="1320"/>
      <c r="HK13" s="1320"/>
      <c r="HL13" s="1320"/>
      <c r="HM13" s="1320"/>
      <c r="HN13" s="1320"/>
      <c r="HO13" s="1320"/>
      <c r="HP13" s="1320"/>
      <c r="HQ13" s="1320"/>
      <c r="HR13" s="1320"/>
      <c r="HS13" s="1320"/>
      <c r="HT13" s="1320"/>
      <c r="HU13" s="1320"/>
      <c r="HV13" s="1320"/>
      <c r="HW13" s="1320"/>
      <c r="HX13" s="1320"/>
      <c r="HY13" s="1320"/>
      <c r="HZ13" s="1320"/>
      <c r="IA13" s="1320"/>
      <c r="IB13" s="1320"/>
      <c r="IC13" s="1320"/>
      <c r="ID13" s="1320"/>
      <c r="IE13" s="1320"/>
      <c r="IF13" s="1320"/>
      <c r="IG13" s="1320"/>
      <c r="IH13" s="1320"/>
      <c r="II13" s="1320"/>
      <c r="IJ13" s="1320"/>
      <c r="IK13" s="1320"/>
      <c r="IL13" s="1320"/>
      <c r="IM13" s="1320"/>
      <c r="IN13" s="1320"/>
      <c r="IO13" s="1320"/>
      <c r="IP13" s="1320"/>
      <c r="IQ13" s="1320"/>
      <c r="IR13" s="1320"/>
      <c r="IS13" s="1320"/>
      <c r="IT13" s="1320"/>
      <c r="IU13" s="1320"/>
      <c r="IV13" s="1320"/>
    </row>
    <row r="14" spans="1:256" ht="64.5" customHeight="1">
      <c r="A14" s="1350">
        <v>3.1</v>
      </c>
      <c r="B14" s="1346" t="s">
        <v>7091</v>
      </c>
      <c r="C14" s="1347"/>
      <c r="D14" s="1348"/>
      <c r="E14" s="1337"/>
      <c r="F14" s="1337"/>
      <c r="G14" s="1337"/>
      <c r="H14" s="1343"/>
      <c r="I14" s="1344"/>
      <c r="J14" s="1342"/>
      <c r="K14" s="1320"/>
      <c r="L14" s="1320"/>
      <c r="M14" s="1320"/>
      <c r="N14" s="1320"/>
      <c r="O14" s="1320"/>
      <c r="P14" s="1320"/>
      <c r="Q14" s="1320"/>
      <c r="R14" s="1320"/>
      <c r="S14" s="1320"/>
      <c r="T14" s="1320"/>
      <c r="U14" s="1320"/>
      <c r="V14" s="1320"/>
      <c r="W14" s="1320"/>
      <c r="X14" s="1320"/>
      <c r="Y14" s="1320"/>
      <c r="Z14" s="1320"/>
      <c r="AA14" s="1320"/>
      <c r="AB14" s="1320"/>
      <c r="AC14" s="1320"/>
      <c r="AD14" s="1320"/>
      <c r="AE14" s="1320"/>
      <c r="AF14" s="1320"/>
      <c r="AG14" s="1320"/>
      <c r="AH14" s="1320"/>
      <c r="AI14" s="1320"/>
      <c r="AJ14" s="1320"/>
      <c r="AK14" s="1320"/>
      <c r="AL14" s="1320"/>
      <c r="AM14" s="1320"/>
      <c r="AN14" s="1320"/>
      <c r="AO14" s="1320"/>
      <c r="AP14" s="1320"/>
      <c r="AQ14" s="1320"/>
      <c r="AR14" s="1320"/>
      <c r="AS14" s="1320"/>
      <c r="AT14" s="1320"/>
      <c r="AU14" s="1320"/>
      <c r="AV14" s="1320"/>
      <c r="AW14" s="1320"/>
      <c r="AX14" s="1320"/>
      <c r="AY14" s="1320"/>
      <c r="AZ14" s="1320"/>
      <c r="BA14" s="1320"/>
      <c r="BB14" s="1320"/>
      <c r="BC14" s="1320"/>
      <c r="BD14" s="1320"/>
      <c r="BE14" s="1320"/>
      <c r="BF14" s="1320"/>
      <c r="BG14" s="1320"/>
      <c r="BH14" s="1320"/>
      <c r="BI14" s="1320"/>
      <c r="BJ14" s="1320"/>
      <c r="BK14" s="1320"/>
      <c r="BL14" s="1320"/>
      <c r="BM14" s="1320"/>
      <c r="BN14" s="1320"/>
      <c r="BO14" s="1320"/>
      <c r="BP14" s="1320"/>
      <c r="BQ14" s="1320"/>
      <c r="BR14" s="1320"/>
      <c r="BS14" s="1320"/>
      <c r="BT14" s="1320"/>
      <c r="BU14" s="1320"/>
      <c r="BV14" s="1320"/>
      <c r="BW14" s="1320"/>
      <c r="BX14" s="1320"/>
      <c r="BY14" s="1320"/>
      <c r="BZ14" s="1320"/>
      <c r="CA14" s="1320"/>
      <c r="CB14" s="1320"/>
      <c r="CC14" s="1320"/>
      <c r="CD14" s="1320"/>
      <c r="CE14" s="1320"/>
      <c r="CF14" s="1320"/>
      <c r="CG14" s="1320"/>
      <c r="CH14" s="1320"/>
      <c r="CI14" s="1320"/>
      <c r="CJ14" s="1320"/>
      <c r="CK14" s="1320"/>
      <c r="CL14" s="1320"/>
      <c r="CM14" s="1320"/>
      <c r="CN14" s="1320"/>
      <c r="CO14" s="1320"/>
      <c r="CP14" s="1320"/>
      <c r="CQ14" s="1320"/>
      <c r="CR14" s="1320"/>
      <c r="CS14" s="1320"/>
      <c r="CT14" s="1320"/>
      <c r="CU14" s="1320"/>
      <c r="CV14" s="1320"/>
      <c r="CW14" s="1320"/>
      <c r="CX14" s="1320"/>
      <c r="CY14" s="1320"/>
      <c r="CZ14" s="1320"/>
      <c r="DA14" s="1320"/>
      <c r="DB14" s="1320"/>
      <c r="DC14" s="1320"/>
      <c r="DD14" s="1320"/>
      <c r="DE14" s="1320"/>
      <c r="DF14" s="1320"/>
      <c r="DG14" s="1320"/>
      <c r="DH14" s="1320"/>
      <c r="DI14" s="1320"/>
      <c r="DJ14" s="1320"/>
      <c r="DK14" s="1320"/>
      <c r="DL14" s="1320"/>
      <c r="DM14" s="1320"/>
      <c r="DN14" s="1320"/>
      <c r="DO14" s="1320"/>
      <c r="DP14" s="1320"/>
      <c r="DQ14" s="1320"/>
      <c r="DR14" s="1320"/>
      <c r="DS14" s="1320"/>
      <c r="DT14" s="1320"/>
      <c r="DU14" s="1320"/>
      <c r="DV14" s="1320"/>
      <c r="DW14" s="1320"/>
      <c r="DX14" s="1320"/>
      <c r="DY14" s="1320"/>
      <c r="DZ14" s="1320"/>
      <c r="EA14" s="1320"/>
      <c r="EB14" s="1320"/>
      <c r="EC14" s="1320"/>
      <c r="ED14" s="1320"/>
      <c r="EE14" s="1320"/>
      <c r="EF14" s="1320"/>
      <c r="EG14" s="1320"/>
      <c r="EH14" s="1320"/>
      <c r="EI14" s="1320"/>
      <c r="EJ14" s="1320"/>
      <c r="EK14" s="1320"/>
      <c r="EL14" s="1320"/>
      <c r="EM14" s="1320"/>
      <c r="EN14" s="1320"/>
      <c r="EO14" s="1320"/>
      <c r="EP14" s="1320"/>
      <c r="EQ14" s="1320"/>
      <c r="ER14" s="1320"/>
      <c r="ES14" s="1320"/>
      <c r="ET14" s="1320"/>
      <c r="EU14" s="1320"/>
      <c r="EV14" s="1320"/>
      <c r="EW14" s="1320"/>
      <c r="EX14" s="1320"/>
      <c r="EY14" s="1320"/>
      <c r="EZ14" s="1320"/>
      <c r="FA14" s="1320"/>
      <c r="FB14" s="1320"/>
      <c r="FC14" s="1320"/>
      <c r="FD14" s="1320"/>
      <c r="FE14" s="1320"/>
      <c r="FF14" s="1320"/>
      <c r="FG14" s="1320"/>
      <c r="FH14" s="1320"/>
      <c r="FI14" s="1320"/>
      <c r="FJ14" s="1320"/>
      <c r="FK14" s="1320"/>
      <c r="FL14" s="1320"/>
      <c r="FM14" s="1320"/>
      <c r="FN14" s="1320"/>
      <c r="FO14" s="1320"/>
      <c r="FP14" s="1320"/>
      <c r="FQ14" s="1320"/>
      <c r="FR14" s="1320"/>
      <c r="FS14" s="1320"/>
      <c r="FT14" s="1320"/>
      <c r="FU14" s="1320"/>
      <c r="FV14" s="1320"/>
      <c r="FW14" s="1320"/>
      <c r="FX14" s="1320"/>
      <c r="FY14" s="1320"/>
      <c r="FZ14" s="1320"/>
      <c r="GA14" s="1320"/>
      <c r="GB14" s="1320"/>
      <c r="GC14" s="1320"/>
      <c r="GD14" s="1320"/>
      <c r="GE14" s="1320"/>
      <c r="GF14" s="1320"/>
      <c r="GG14" s="1320"/>
      <c r="GH14" s="1320"/>
      <c r="GI14" s="1320"/>
      <c r="GJ14" s="1320"/>
      <c r="GK14" s="1320"/>
      <c r="GL14" s="1320"/>
      <c r="GM14" s="1320"/>
      <c r="GN14" s="1320"/>
      <c r="GO14" s="1320"/>
      <c r="GP14" s="1320"/>
      <c r="GQ14" s="1320"/>
      <c r="GR14" s="1320"/>
      <c r="GS14" s="1320"/>
      <c r="GT14" s="1320"/>
      <c r="GU14" s="1320"/>
      <c r="GV14" s="1320"/>
      <c r="GW14" s="1320"/>
      <c r="GX14" s="1320"/>
      <c r="GY14" s="1320"/>
      <c r="GZ14" s="1320"/>
      <c r="HA14" s="1320"/>
      <c r="HB14" s="1320"/>
      <c r="HC14" s="1320"/>
      <c r="HD14" s="1320"/>
      <c r="HE14" s="1320"/>
      <c r="HF14" s="1320"/>
      <c r="HG14" s="1320"/>
      <c r="HH14" s="1320"/>
      <c r="HI14" s="1320"/>
      <c r="HJ14" s="1320"/>
      <c r="HK14" s="1320"/>
      <c r="HL14" s="1320"/>
      <c r="HM14" s="1320"/>
      <c r="HN14" s="1320"/>
      <c r="HO14" s="1320"/>
      <c r="HP14" s="1320"/>
      <c r="HQ14" s="1320"/>
      <c r="HR14" s="1320"/>
      <c r="HS14" s="1320"/>
      <c r="HT14" s="1320"/>
      <c r="HU14" s="1320"/>
      <c r="HV14" s="1320"/>
      <c r="HW14" s="1320"/>
      <c r="HX14" s="1320"/>
      <c r="HY14" s="1320"/>
      <c r="HZ14" s="1320"/>
      <c r="IA14" s="1320"/>
      <c r="IB14" s="1320"/>
      <c r="IC14" s="1320"/>
      <c r="ID14" s="1320"/>
      <c r="IE14" s="1320"/>
      <c r="IF14" s="1320"/>
      <c r="IG14" s="1320"/>
      <c r="IH14" s="1320"/>
      <c r="II14" s="1320"/>
      <c r="IJ14" s="1320"/>
      <c r="IK14" s="1320"/>
      <c r="IL14" s="1320"/>
      <c r="IM14" s="1320"/>
      <c r="IN14" s="1320"/>
      <c r="IO14" s="1320"/>
      <c r="IP14" s="1320"/>
      <c r="IQ14" s="1320"/>
      <c r="IR14" s="1320"/>
      <c r="IS14" s="1320"/>
      <c r="IT14" s="1320"/>
      <c r="IU14" s="1320"/>
      <c r="IV14" s="1320"/>
    </row>
    <row r="15" spans="1:256" ht="20.25" customHeight="1">
      <c r="A15" s="1349"/>
      <c r="B15" s="1337" t="s">
        <v>7088</v>
      </c>
      <c r="C15" s="1339">
        <v>1</v>
      </c>
      <c r="D15" s="1338">
        <v>1</v>
      </c>
      <c r="E15" s="1340">
        <v>25</v>
      </c>
      <c r="F15" s="1340">
        <v>18</v>
      </c>
      <c r="G15" s="1340">
        <v>0.15</v>
      </c>
      <c r="H15" s="1341">
        <f>PRODUCT(C15:G15)</f>
        <v>67.5</v>
      </c>
      <c r="I15" s="1331"/>
      <c r="J15" s="1342"/>
      <c r="K15" s="1320"/>
      <c r="L15" s="1320"/>
      <c r="M15" s="1320"/>
      <c r="N15" s="1320"/>
      <c r="O15" s="1320"/>
      <c r="P15" s="1320"/>
      <c r="Q15" s="1320"/>
      <c r="R15" s="1320"/>
      <c r="S15" s="1320"/>
      <c r="T15" s="1320"/>
      <c r="U15" s="1320"/>
      <c r="V15" s="1320"/>
      <c r="W15" s="1320"/>
      <c r="X15" s="1320"/>
      <c r="Y15" s="1320"/>
      <c r="Z15" s="1320"/>
      <c r="AA15" s="1320"/>
      <c r="AB15" s="1320"/>
      <c r="AC15" s="1320"/>
      <c r="AD15" s="1320"/>
      <c r="AE15" s="1320"/>
      <c r="AF15" s="1320"/>
      <c r="AG15" s="1320"/>
      <c r="AH15" s="1320"/>
      <c r="AI15" s="1320"/>
      <c r="AJ15" s="1320"/>
      <c r="AK15" s="1320"/>
      <c r="AL15" s="1320"/>
      <c r="AM15" s="1320"/>
      <c r="AN15" s="1320"/>
      <c r="AO15" s="1320"/>
      <c r="AP15" s="1320"/>
      <c r="AQ15" s="1320"/>
      <c r="AR15" s="1320"/>
      <c r="AS15" s="1320"/>
      <c r="AT15" s="1320"/>
      <c r="AU15" s="1320"/>
      <c r="AV15" s="1320"/>
      <c r="AW15" s="1320"/>
      <c r="AX15" s="1320"/>
      <c r="AY15" s="1320"/>
      <c r="AZ15" s="1320"/>
      <c r="BA15" s="1320"/>
      <c r="BB15" s="1320"/>
      <c r="BC15" s="1320"/>
      <c r="BD15" s="1320"/>
      <c r="BE15" s="1320"/>
      <c r="BF15" s="1320"/>
      <c r="BG15" s="1320"/>
      <c r="BH15" s="1320"/>
      <c r="BI15" s="1320"/>
      <c r="BJ15" s="1320"/>
      <c r="BK15" s="1320"/>
      <c r="BL15" s="1320"/>
      <c r="BM15" s="1320"/>
      <c r="BN15" s="1320"/>
      <c r="BO15" s="1320"/>
      <c r="BP15" s="1320"/>
      <c r="BQ15" s="1320"/>
      <c r="BR15" s="1320"/>
      <c r="BS15" s="1320"/>
      <c r="BT15" s="1320"/>
      <c r="BU15" s="1320"/>
      <c r="BV15" s="1320"/>
      <c r="BW15" s="1320"/>
      <c r="BX15" s="1320"/>
      <c r="BY15" s="1320"/>
      <c r="BZ15" s="1320"/>
      <c r="CA15" s="1320"/>
      <c r="CB15" s="1320"/>
      <c r="CC15" s="1320"/>
      <c r="CD15" s="1320"/>
      <c r="CE15" s="1320"/>
      <c r="CF15" s="1320"/>
      <c r="CG15" s="1320"/>
      <c r="CH15" s="1320"/>
      <c r="CI15" s="1320"/>
      <c r="CJ15" s="1320"/>
      <c r="CK15" s="1320"/>
      <c r="CL15" s="1320"/>
      <c r="CM15" s="1320"/>
      <c r="CN15" s="1320"/>
      <c r="CO15" s="1320"/>
      <c r="CP15" s="1320"/>
      <c r="CQ15" s="1320"/>
      <c r="CR15" s="1320"/>
      <c r="CS15" s="1320"/>
      <c r="CT15" s="1320"/>
      <c r="CU15" s="1320"/>
      <c r="CV15" s="1320"/>
      <c r="CW15" s="1320"/>
      <c r="CX15" s="1320"/>
      <c r="CY15" s="1320"/>
      <c r="CZ15" s="1320"/>
      <c r="DA15" s="1320"/>
      <c r="DB15" s="1320"/>
      <c r="DC15" s="1320"/>
      <c r="DD15" s="1320"/>
      <c r="DE15" s="1320"/>
      <c r="DF15" s="1320"/>
      <c r="DG15" s="1320"/>
      <c r="DH15" s="1320"/>
      <c r="DI15" s="1320"/>
      <c r="DJ15" s="1320"/>
      <c r="DK15" s="1320"/>
      <c r="DL15" s="1320"/>
      <c r="DM15" s="1320"/>
      <c r="DN15" s="1320"/>
      <c r="DO15" s="1320"/>
      <c r="DP15" s="1320"/>
      <c r="DQ15" s="1320"/>
      <c r="DR15" s="1320"/>
      <c r="DS15" s="1320"/>
      <c r="DT15" s="1320"/>
      <c r="DU15" s="1320"/>
      <c r="DV15" s="1320"/>
      <c r="DW15" s="1320"/>
      <c r="DX15" s="1320"/>
      <c r="DY15" s="1320"/>
      <c r="DZ15" s="1320"/>
      <c r="EA15" s="1320"/>
      <c r="EB15" s="1320"/>
      <c r="EC15" s="1320"/>
      <c r="ED15" s="1320"/>
      <c r="EE15" s="1320"/>
      <c r="EF15" s="1320"/>
      <c r="EG15" s="1320"/>
      <c r="EH15" s="1320"/>
      <c r="EI15" s="1320"/>
      <c r="EJ15" s="1320"/>
      <c r="EK15" s="1320"/>
      <c r="EL15" s="1320"/>
      <c r="EM15" s="1320"/>
      <c r="EN15" s="1320"/>
      <c r="EO15" s="1320"/>
      <c r="EP15" s="1320"/>
      <c r="EQ15" s="1320"/>
      <c r="ER15" s="1320"/>
      <c r="ES15" s="1320"/>
      <c r="ET15" s="1320"/>
      <c r="EU15" s="1320"/>
      <c r="EV15" s="1320"/>
      <c r="EW15" s="1320"/>
      <c r="EX15" s="1320"/>
      <c r="EY15" s="1320"/>
      <c r="EZ15" s="1320"/>
      <c r="FA15" s="1320"/>
      <c r="FB15" s="1320"/>
      <c r="FC15" s="1320"/>
      <c r="FD15" s="1320"/>
      <c r="FE15" s="1320"/>
      <c r="FF15" s="1320"/>
      <c r="FG15" s="1320"/>
      <c r="FH15" s="1320"/>
      <c r="FI15" s="1320"/>
      <c r="FJ15" s="1320"/>
      <c r="FK15" s="1320"/>
      <c r="FL15" s="1320"/>
      <c r="FM15" s="1320"/>
      <c r="FN15" s="1320"/>
      <c r="FO15" s="1320"/>
      <c r="FP15" s="1320"/>
      <c r="FQ15" s="1320"/>
      <c r="FR15" s="1320"/>
      <c r="FS15" s="1320"/>
      <c r="FT15" s="1320"/>
      <c r="FU15" s="1320"/>
      <c r="FV15" s="1320"/>
      <c r="FW15" s="1320"/>
      <c r="FX15" s="1320"/>
      <c r="FY15" s="1320"/>
      <c r="FZ15" s="1320"/>
      <c r="GA15" s="1320"/>
      <c r="GB15" s="1320"/>
      <c r="GC15" s="1320"/>
      <c r="GD15" s="1320"/>
      <c r="GE15" s="1320"/>
      <c r="GF15" s="1320"/>
      <c r="GG15" s="1320"/>
      <c r="GH15" s="1320"/>
      <c r="GI15" s="1320"/>
      <c r="GJ15" s="1320"/>
      <c r="GK15" s="1320"/>
      <c r="GL15" s="1320"/>
      <c r="GM15" s="1320"/>
      <c r="GN15" s="1320"/>
      <c r="GO15" s="1320"/>
      <c r="GP15" s="1320"/>
      <c r="GQ15" s="1320"/>
      <c r="GR15" s="1320"/>
      <c r="GS15" s="1320"/>
      <c r="GT15" s="1320"/>
      <c r="GU15" s="1320"/>
      <c r="GV15" s="1320"/>
      <c r="GW15" s="1320"/>
      <c r="GX15" s="1320"/>
      <c r="GY15" s="1320"/>
      <c r="GZ15" s="1320"/>
      <c r="HA15" s="1320"/>
      <c r="HB15" s="1320"/>
      <c r="HC15" s="1320"/>
      <c r="HD15" s="1320"/>
      <c r="HE15" s="1320"/>
      <c r="HF15" s="1320"/>
      <c r="HG15" s="1320"/>
      <c r="HH15" s="1320"/>
      <c r="HI15" s="1320"/>
      <c r="HJ15" s="1320"/>
      <c r="HK15" s="1320"/>
      <c r="HL15" s="1320"/>
      <c r="HM15" s="1320"/>
      <c r="HN15" s="1320"/>
      <c r="HO15" s="1320"/>
      <c r="HP15" s="1320"/>
      <c r="HQ15" s="1320"/>
      <c r="HR15" s="1320"/>
      <c r="HS15" s="1320"/>
      <c r="HT15" s="1320"/>
      <c r="HU15" s="1320"/>
      <c r="HV15" s="1320"/>
      <c r="HW15" s="1320"/>
      <c r="HX15" s="1320"/>
      <c r="HY15" s="1320"/>
      <c r="HZ15" s="1320"/>
      <c r="IA15" s="1320"/>
      <c r="IB15" s="1320"/>
      <c r="IC15" s="1320"/>
      <c r="ID15" s="1320"/>
      <c r="IE15" s="1320"/>
      <c r="IF15" s="1320"/>
      <c r="IG15" s="1320"/>
      <c r="IH15" s="1320"/>
      <c r="II15" s="1320"/>
      <c r="IJ15" s="1320"/>
      <c r="IK15" s="1320"/>
      <c r="IL15" s="1320"/>
      <c r="IM15" s="1320"/>
      <c r="IN15" s="1320"/>
      <c r="IO15" s="1320"/>
      <c r="IP15" s="1320"/>
      <c r="IQ15" s="1320"/>
      <c r="IR15" s="1320"/>
      <c r="IS15" s="1320"/>
      <c r="IT15" s="1320"/>
      <c r="IU15" s="1320"/>
      <c r="IV15" s="1320"/>
    </row>
    <row r="16" spans="1:256" ht="20.25" customHeight="1">
      <c r="A16" s="1349"/>
      <c r="B16" s="1337" t="s">
        <v>7089</v>
      </c>
      <c r="C16" s="1339">
        <v>2</v>
      </c>
      <c r="D16" s="1338">
        <v>2</v>
      </c>
      <c r="E16" s="1340">
        <v>2.5</v>
      </c>
      <c r="F16" s="1340">
        <v>2.5</v>
      </c>
      <c r="G16" s="1340">
        <v>0.15</v>
      </c>
      <c r="H16" s="1341">
        <f>PRODUCT(C16:G16)</f>
        <v>3.75</v>
      </c>
      <c r="I16" s="1331"/>
      <c r="J16" s="1342"/>
      <c r="K16" s="1320"/>
      <c r="L16" s="1320"/>
      <c r="M16" s="1320"/>
      <c r="N16" s="1320"/>
      <c r="O16" s="1320"/>
      <c r="P16" s="1320"/>
      <c r="Q16" s="1320"/>
      <c r="R16" s="1320"/>
      <c r="S16" s="1320"/>
      <c r="T16" s="1320"/>
      <c r="U16" s="1320"/>
      <c r="V16" s="1320"/>
      <c r="W16" s="1320"/>
      <c r="X16" s="1320"/>
      <c r="Y16" s="1320"/>
      <c r="Z16" s="1320"/>
      <c r="AA16" s="1320"/>
      <c r="AB16" s="1320"/>
      <c r="AC16" s="1320"/>
      <c r="AD16" s="1320"/>
      <c r="AE16" s="1320"/>
      <c r="AF16" s="1320"/>
      <c r="AG16" s="1320"/>
      <c r="AH16" s="1320"/>
      <c r="AI16" s="1320"/>
      <c r="AJ16" s="1320"/>
      <c r="AK16" s="1320"/>
      <c r="AL16" s="1320"/>
      <c r="AM16" s="1320"/>
      <c r="AN16" s="1320"/>
      <c r="AO16" s="1320"/>
      <c r="AP16" s="1320"/>
      <c r="AQ16" s="1320"/>
      <c r="AR16" s="1320"/>
      <c r="AS16" s="1320"/>
      <c r="AT16" s="1320"/>
      <c r="AU16" s="1320"/>
      <c r="AV16" s="1320"/>
      <c r="AW16" s="1320"/>
      <c r="AX16" s="1320"/>
      <c r="AY16" s="1320"/>
      <c r="AZ16" s="1320"/>
      <c r="BA16" s="1320"/>
      <c r="BB16" s="1320"/>
      <c r="BC16" s="1320"/>
      <c r="BD16" s="1320"/>
      <c r="BE16" s="1320"/>
      <c r="BF16" s="1320"/>
      <c r="BG16" s="1320"/>
      <c r="BH16" s="1320"/>
      <c r="BI16" s="1320"/>
      <c r="BJ16" s="1320"/>
      <c r="BK16" s="1320"/>
      <c r="BL16" s="1320"/>
      <c r="BM16" s="1320"/>
      <c r="BN16" s="1320"/>
      <c r="BO16" s="1320"/>
      <c r="BP16" s="1320"/>
      <c r="BQ16" s="1320"/>
      <c r="BR16" s="1320"/>
      <c r="BS16" s="1320"/>
      <c r="BT16" s="1320"/>
      <c r="BU16" s="1320"/>
      <c r="BV16" s="1320"/>
      <c r="BW16" s="1320"/>
      <c r="BX16" s="1320"/>
      <c r="BY16" s="1320"/>
      <c r="BZ16" s="1320"/>
      <c r="CA16" s="1320"/>
      <c r="CB16" s="1320"/>
      <c r="CC16" s="1320"/>
      <c r="CD16" s="1320"/>
      <c r="CE16" s="1320"/>
      <c r="CF16" s="1320"/>
      <c r="CG16" s="1320"/>
      <c r="CH16" s="1320"/>
      <c r="CI16" s="1320"/>
      <c r="CJ16" s="1320"/>
      <c r="CK16" s="1320"/>
      <c r="CL16" s="1320"/>
      <c r="CM16" s="1320"/>
      <c r="CN16" s="1320"/>
      <c r="CO16" s="1320"/>
      <c r="CP16" s="1320"/>
      <c r="CQ16" s="1320"/>
      <c r="CR16" s="1320"/>
      <c r="CS16" s="1320"/>
      <c r="CT16" s="1320"/>
      <c r="CU16" s="1320"/>
      <c r="CV16" s="1320"/>
      <c r="CW16" s="1320"/>
      <c r="CX16" s="1320"/>
      <c r="CY16" s="1320"/>
      <c r="CZ16" s="1320"/>
      <c r="DA16" s="1320"/>
      <c r="DB16" s="1320"/>
      <c r="DC16" s="1320"/>
      <c r="DD16" s="1320"/>
      <c r="DE16" s="1320"/>
      <c r="DF16" s="1320"/>
      <c r="DG16" s="1320"/>
      <c r="DH16" s="1320"/>
      <c r="DI16" s="1320"/>
      <c r="DJ16" s="1320"/>
      <c r="DK16" s="1320"/>
      <c r="DL16" s="1320"/>
      <c r="DM16" s="1320"/>
      <c r="DN16" s="1320"/>
      <c r="DO16" s="1320"/>
      <c r="DP16" s="1320"/>
      <c r="DQ16" s="1320"/>
      <c r="DR16" s="1320"/>
      <c r="DS16" s="1320"/>
      <c r="DT16" s="1320"/>
      <c r="DU16" s="1320"/>
      <c r="DV16" s="1320"/>
      <c r="DW16" s="1320"/>
      <c r="DX16" s="1320"/>
      <c r="DY16" s="1320"/>
      <c r="DZ16" s="1320"/>
      <c r="EA16" s="1320"/>
      <c r="EB16" s="1320"/>
      <c r="EC16" s="1320"/>
      <c r="ED16" s="1320"/>
      <c r="EE16" s="1320"/>
      <c r="EF16" s="1320"/>
      <c r="EG16" s="1320"/>
      <c r="EH16" s="1320"/>
      <c r="EI16" s="1320"/>
      <c r="EJ16" s="1320"/>
      <c r="EK16" s="1320"/>
      <c r="EL16" s="1320"/>
      <c r="EM16" s="1320"/>
      <c r="EN16" s="1320"/>
      <c r="EO16" s="1320"/>
      <c r="EP16" s="1320"/>
      <c r="EQ16" s="1320"/>
      <c r="ER16" s="1320"/>
      <c r="ES16" s="1320"/>
      <c r="ET16" s="1320"/>
      <c r="EU16" s="1320"/>
      <c r="EV16" s="1320"/>
      <c r="EW16" s="1320"/>
      <c r="EX16" s="1320"/>
      <c r="EY16" s="1320"/>
      <c r="EZ16" s="1320"/>
      <c r="FA16" s="1320"/>
      <c r="FB16" s="1320"/>
      <c r="FC16" s="1320"/>
      <c r="FD16" s="1320"/>
      <c r="FE16" s="1320"/>
      <c r="FF16" s="1320"/>
      <c r="FG16" s="1320"/>
      <c r="FH16" s="1320"/>
      <c r="FI16" s="1320"/>
      <c r="FJ16" s="1320"/>
      <c r="FK16" s="1320"/>
      <c r="FL16" s="1320"/>
      <c r="FM16" s="1320"/>
      <c r="FN16" s="1320"/>
      <c r="FO16" s="1320"/>
      <c r="FP16" s="1320"/>
      <c r="FQ16" s="1320"/>
      <c r="FR16" s="1320"/>
      <c r="FS16" s="1320"/>
      <c r="FT16" s="1320"/>
      <c r="FU16" s="1320"/>
      <c r="FV16" s="1320"/>
      <c r="FW16" s="1320"/>
      <c r="FX16" s="1320"/>
      <c r="FY16" s="1320"/>
      <c r="FZ16" s="1320"/>
      <c r="GA16" s="1320"/>
      <c r="GB16" s="1320"/>
      <c r="GC16" s="1320"/>
      <c r="GD16" s="1320"/>
      <c r="GE16" s="1320"/>
      <c r="GF16" s="1320"/>
      <c r="GG16" s="1320"/>
      <c r="GH16" s="1320"/>
      <c r="GI16" s="1320"/>
      <c r="GJ16" s="1320"/>
      <c r="GK16" s="1320"/>
      <c r="GL16" s="1320"/>
      <c r="GM16" s="1320"/>
      <c r="GN16" s="1320"/>
      <c r="GO16" s="1320"/>
      <c r="GP16" s="1320"/>
      <c r="GQ16" s="1320"/>
      <c r="GR16" s="1320"/>
      <c r="GS16" s="1320"/>
      <c r="GT16" s="1320"/>
      <c r="GU16" s="1320"/>
      <c r="GV16" s="1320"/>
      <c r="GW16" s="1320"/>
      <c r="GX16" s="1320"/>
      <c r="GY16" s="1320"/>
      <c r="GZ16" s="1320"/>
      <c r="HA16" s="1320"/>
      <c r="HB16" s="1320"/>
      <c r="HC16" s="1320"/>
      <c r="HD16" s="1320"/>
      <c r="HE16" s="1320"/>
      <c r="HF16" s="1320"/>
      <c r="HG16" s="1320"/>
      <c r="HH16" s="1320"/>
      <c r="HI16" s="1320"/>
      <c r="HJ16" s="1320"/>
      <c r="HK16" s="1320"/>
      <c r="HL16" s="1320"/>
      <c r="HM16" s="1320"/>
      <c r="HN16" s="1320"/>
      <c r="HO16" s="1320"/>
      <c r="HP16" s="1320"/>
      <c r="HQ16" s="1320"/>
      <c r="HR16" s="1320"/>
      <c r="HS16" s="1320"/>
      <c r="HT16" s="1320"/>
      <c r="HU16" s="1320"/>
      <c r="HV16" s="1320"/>
      <c r="HW16" s="1320"/>
      <c r="HX16" s="1320"/>
      <c r="HY16" s="1320"/>
      <c r="HZ16" s="1320"/>
      <c r="IA16" s="1320"/>
      <c r="IB16" s="1320"/>
      <c r="IC16" s="1320"/>
      <c r="ID16" s="1320"/>
      <c r="IE16" s="1320"/>
      <c r="IF16" s="1320"/>
      <c r="IG16" s="1320"/>
      <c r="IH16" s="1320"/>
      <c r="II16" s="1320"/>
      <c r="IJ16" s="1320"/>
      <c r="IK16" s="1320"/>
      <c r="IL16" s="1320"/>
      <c r="IM16" s="1320"/>
      <c r="IN16" s="1320"/>
      <c r="IO16" s="1320"/>
      <c r="IP16" s="1320"/>
      <c r="IQ16" s="1320"/>
      <c r="IR16" s="1320"/>
      <c r="IS16" s="1320"/>
      <c r="IT16" s="1320"/>
      <c r="IU16" s="1320"/>
      <c r="IV16" s="1320"/>
    </row>
    <row r="17" spans="1:256" ht="20.25" customHeight="1">
      <c r="A17" s="1349"/>
      <c r="B17" s="1337"/>
      <c r="C17" s="1339"/>
      <c r="D17" s="1340"/>
      <c r="E17" s="1340"/>
      <c r="F17" s="1340"/>
      <c r="G17" s="781" t="s">
        <v>2235</v>
      </c>
      <c r="H17" s="1343">
        <f>SUM(H15:H16)</f>
        <v>71.25</v>
      </c>
      <c r="I17" s="1344" t="s">
        <v>2142</v>
      </c>
      <c r="J17" s="1342"/>
      <c r="K17" s="1320"/>
      <c r="L17" s="1320"/>
      <c r="M17" s="1320"/>
      <c r="N17" s="1320"/>
      <c r="O17" s="1320"/>
      <c r="P17" s="1320"/>
      <c r="Q17" s="1320"/>
      <c r="R17" s="1320"/>
      <c r="S17" s="1320"/>
      <c r="T17" s="1320"/>
      <c r="U17" s="1320"/>
      <c r="V17" s="1320"/>
      <c r="W17" s="1320"/>
      <c r="X17" s="1320"/>
      <c r="Y17" s="1320"/>
      <c r="Z17" s="1320"/>
      <c r="AA17" s="1320"/>
      <c r="AB17" s="1320"/>
      <c r="AC17" s="1320"/>
      <c r="AD17" s="1320"/>
      <c r="AE17" s="1320"/>
      <c r="AF17" s="1320"/>
      <c r="AG17" s="1320"/>
      <c r="AH17" s="1320"/>
      <c r="AI17" s="1320"/>
      <c r="AJ17" s="1320"/>
      <c r="AK17" s="1320"/>
      <c r="AL17" s="1320"/>
      <c r="AM17" s="1320"/>
      <c r="AN17" s="1320"/>
      <c r="AO17" s="1320"/>
      <c r="AP17" s="1320"/>
      <c r="AQ17" s="1320"/>
      <c r="AR17" s="1320"/>
      <c r="AS17" s="1320"/>
      <c r="AT17" s="1320"/>
      <c r="AU17" s="1320"/>
      <c r="AV17" s="1320"/>
      <c r="AW17" s="1320"/>
      <c r="AX17" s="1320"/>
      <c r="AY17" s="1320"/>
      <c r="AZ17" s="1320"/>
      <c r="BA17" s="1320"/>
      <c r="BB17" s="1320"/>
      <c r="BC17" s="1320"/>
      <c r="BD17" s="1320"/>
      <c r="BE17" s="1320"/>
      <c r="BF17" s="1320"/>
      <c r="BG17" s="1320"/>
      <c r="BH17" s="1320"/>
      <c r="BI17" s="1320"/>
      <c r="BJ17" s="1320"/>
      <c r="BK17" s="1320"/>
      <c r="BL17" s="1320"/>
      <c r="BM17" s="1320"/>
      <c r="BN17" s="1320"/>
      <c r="BO17" s="1320"/>
      <c r="BP17" s="1320"/>
      <c r="BQ17" s="1320"/>
      <c r="BR17" s="1320"/>
      <c r="BS17" s="1320"/>
      <c r="BT17" s="1320"/>
      <c r="BU17" s="1320"/>
      <c r="BV17" s="1320"/>
      <c r="BW17" s="1320"/>
      <c r="BX17" s="1320"/>
      <c r="BY17" s="1320"/>
      <c r="BZ17" s="1320"/>
      <c r="CA17" s="1320"/>
      <c r="CB17" s="1320"/>
      <c r="CC17" s="1320"/>
      <c r="CD17" s="1320"/>
      <c r="CE17" s="1320"/>
      <c r="CF17" s="1320"/>
      <c r="CG17" s="1320"/>
      <c r="CH17" s="1320"/>
      <c r="CI17" s="1320"/>
      <c r="CJ17" s="1320"/>
      <c r="CK17" s="1320"/>
      <c r="CL17" s="1320"/>
      <c r="CM17" s="1320"/>
      <c r="CN17" s="1320"/>
      <c r="CO17" s="1320"/>
      <c r="CP17" s="1320"/>
      <c r="CQ17" s="1320"/>
      <c r="CR17" s="1320"/>
      <c r="CS17" s="1320"/>
      <c r="CT17" s="1320"/>
      <c r="CU17" s="1320"/>
      <c r="CV17" s="1320"/>
      <c r="CW17" s="1320"/>
      <c r="CX17" s="1320"/>
      <c r="CY17" s="1320"/>
      <c r="CZ17" s="1320"/>
      <c r="DA17" s="1320"/>
      <c r="DB17" s="1320"/>
      <c r="DC17" s="1320"/>
      <c r="DD17" s="1320"/>
      <c r="DE17" s="1320"/>
      <c r="DF17" s="1320"/>
      <c r="DG17" s="1320"/>
      <c r="DH17" s="1320"/>
      <c r="DI17" s="1320"/>
      <c r="DJ17" s="1320"/>
      <c r="DK17" s="1320"/>
      <c r="DL17" s="1320"/>
      <c r="DM17" s="1320"/>
      <c r="DN17" s="1320"/>
      <c r="DO17" s="1320"/>
      <c r="DP17" s="1320"/>
      <c r="DQ17" s="1320"/>
      <c r="DR17" s="1320"/>
      <c r="DS17" s="1320"/>
      <c r="DT17" s="1320"/>
      <c r="DU17" s="1320"/>
      <c r="DV17" s="1320"/>
      <c r="DW17" s="1320"/>
      <c r="DX17" s="1320"/>
      <c r="DY17" s="1320"/>
      <c r="DZ17" s="1320"/>
      <c r="EA17" s="1320"/>
      <c r="EB17" s="1320"/>
      <c r="EC17" s="1320"/>
      <c r="ED17" s="1320"/>
      <c r="EE17" s="1320"/>
      <c r="EF17" s="1320"/>
      <c r="EG17" s="1320"/>
      <c r="EH17" s="1320"/>
      <c r="EI17" s="1320"/>
      <c r="EJ17" s="1320"/>
      <c r="EK17" s="1320"/>
      <c r="EL17" s="1320"/>
      <c r="EM17" s="1320"/>
      <c r="EN17" s="1320"/>
      <c r="EO17" s="1320"/>
      <c r="EP17" s="1320"/>
      <c r="EQ17" s="1320"/>
      <c r="ER17" s="1320"/>
      <c r="ES17" s="1320"/>
      <c r="ET17" s="1320"/>
      <c r="EU17" s="1320"/>
      <c r="EV17" s="1320"/>
      <c r="EW17" s="1320"/>
      <c r="EX17" s="1320"/>
      <c r="EY17" s="1320"/>
      <c r="EZ17" s="1320"/>
      <c r="FA17" s="1320"/>
      <c r="FB17" s="1320"/>
      <c r="FC17" s="1320"/>
      <c r="FD17" s="1320"/>
      <c r="FE17" s="1320"/>
      <c r="FF17" s="1320"/>
      <c r="FG17" s="1320"/>
      <c r="FH17" s="1320"/>
      <c r="FI17" s="1320"/>
      <c r="FJ17" s="1320"/>
      <c r="FK17" s="1320"/>
      <c r="FL17" s="1320"/>
      <c r="FM17" s="1320"/>
      <c r="FN17" s="1320"/>
      <c r="FO17" s="1320"/>
      <c r="FP17" s="1320"/>
      <c r="FQ17" s="1320"/>
      <c r="FR17" s="1320"/>
      <c r="FS17" s="1320"/>
      <c r="FT17" s="1320"/>
      <c r="FU17" s="1320"/>
      <c r="FV17" s="1320"/>
      <c r="FW17" s="1320"/>
      <c r="FX17" s="1320"/>
      <c r="FY17" s="1320"/>
      <c r="FZ17" s="1320"/>
      <c r="GA17" s="1320"/>
      <c r="GB17" s="1320"/>
      <c r="GC17" s="1320"/>
      <c r="GD17" s="1320"/>
      <c r="GE17" s="1320"/>
      <c r="GF17" s="1320"/>
      <c r="GG17" s="1320"/>
      <c r="GH17" s="1320"/>
      <c r="GI17" s="1320"/>
      <c r="GJ17" s="1320"/>
      <c r="GK17" s="1320"/>
      <c r="GL17" s="1320"/>
      <c r="GM17" s="1320"/>
      <c r="GN17" s="1320"/>
      <c r="GO17" s="1320"/>
      <c r="GP17" s="1320"/>
      <c r="GQ17" s="1320"/>
      <c r="GR17" s="1320"/>
      <c r="GS17" s="1320"/>
      <c r="GT17" s="1320"/>
      <c r="GU17" s="1320"/>
      <c r="GV17" s="1320"/>
      <c r="GW17" s="1320"/>
      <c r="GX17" s="1320"/>
      <c r="GY17" s="1320"/>
      <c r="GZ17" s="1320"/>
      <c r="HA17" s="1320"/>
      <c r="HB17" s="1320"/>
      <c r="HC17" s="1320"/>
      <c r="HD17" s="1320"/>
      <c r="HE17" s="1320"/>
      <c r="HF17" s="1320"/>
      <c r="HG17" s="1320"/>
      <c r="HH17" s="1320"/>
      <c r="HI17" s="1320"/>
      <c r="HJ17" s="1320"/>
      <c r="HK17" s="1320"/>
      <c r="HL17" s="1320"/>
      <c r="HM17" s="1320"/>
      <c r="HN17" s="1320"/>
      <c r="HO17" s="1320"/>
      <c r="HP17" s="1320"/>
      <c r="HQ17" s="1320"/>
      <c r="HR17" s="1320"/>
      <c r="HS17" s="1320"/>
      <c r="HT17" s="1320"/>
      <c r="HU17" s="1320"/>
      <c r="HV17" s="1320"/>
      <c r="HW17" s="1320"/>
      <c r="HX17" s="1320"/>
      <c r="HY17" s="1320"/>
      <c r="HZ17" s="1320"/>
      <c r="IA17" s="1320"/>
      <c r="IB17" s="1320"/>
      <c r="IC17" s="1320"/>
      <c r="ID17" s="1320"/>
      <c r="IE17" s="1320"/>
      <c r="IF17" s="1320"/>
      <c r="IG17" s="1320"/>
      <c r="IH17" s="1320"/>
      <c r="II17" s="1320"/>
      <c r="IJ17" s="1320"/>
      <c r="IK17" s="1320"/>
      <c r="IL17" s="1320"/>
      <c r="IM17" s="1320"/>
      <c r="IN17" s="1320"/>
      <c r="IO17" s="1320"/>
      <c r="IP17" s="1320"/>
      <c r="IQ17" s="1320"/>
      <c r="IR17" s="1320"/>
      <c r="IS17" s="1320"/>
      <c r="IT17" s="1320"/>
      <c r="IU17" s="1320"/>
      <c r="IV17" s="1320"/>
    </row>
    <row r="18" spans="1:256" ht="61.5" customHeight="1">
      <c r="A18" s="1350">
        <v>3.2</v>
      </c>
      <c r="B18" s="1346" t="s">
        <v>7092</v>
      </c>
      <c r="C18" s="1347"/>
      <c r="D18" s="1348"/>
      <c r="E18" s="1337"/>
      <c r="F18" s="1337"/>
      <c r="G18" s="1337"/>
      <c r="H18" s="1343"/>
      <c r="I18" s="1344"/>
      <c r="J18" s="1342"/>
      <c r="K18" s="1320"/>
      <c r="L18" s="1320"/>
      <c r="M18" s="1320"/>
      <c r="N18" s="1320"/>
      <c r="O18" s="1320"/>
      <c r="P18" s="1320"/>
      <c r="Q18" s="1320"/>
      <c r="R18" s="1320"/>
      <c r="S18" s="1320"/>
      <c r="T18" s="1320"/>
      <c r="U18" s="1320"/>
      <c r="V18" s="1320"/>
      <c r="W18" s="1320"/>
      <c r="X18" s="1320"/>
      <c r="Y18" s="1320"/>
      <c r="Z18" s="1320"/>
      <c r="AA18" s="1320"/>
      <c r="AB18" s="1320"/>
      <c r="AC18" s="1320"/>
      <c r="AD18" s="1320"/>
      <c r="AE18" s="1320"/>
      <c r="AF18" s="1320"/>
      <c r="AG18" s="1320"/>
      <c r="AH18" s="1320"/>
      <c r="AI18" s="1320"/>
      <c r="AJ18" s="1320"/>
      <c r="AK18" s="1320"/>
      <c r="AL18" s="1320"/>
      <c r="AM18" s="1320"/>
      <c r="AN18" s="1320"/>
      <c r="AO18" s="1320"/>
      <c r="AP18" s="1320"/>
      <c r="AQ18" s="1320"/>
      <c r="AR18" s="1320"/>
      <c r="AS18" s="1320"/>
      <c r="AT18" s="1320"/>
      <c r="AU18" s="1320"/>
      <c r="AV18" s="1320"/>
      <c r="AW18" s="1320"/>
      <c r="AX18" s="1320"/>
      <c r="AY18" s="1320"/>
      <c r="AZ18" s="1320"/>
      <c r="BA18" s="1320"/>
      <c r="BB18" s="1320"/>
      <c r="BC18" s="1320"/>
      <c r="BD18" s="1320"/>
      <c r="BE18" s="1320"/>
      <c r="BF18" s="1320"/>
      <c r="BG18" s="1320"/>
      <c r="BH18" s="1320"/>
      <c r="BI18" s="1320"/>
      <c r="BJ18" s="1320"/>
      <c r="BK18" s="1320"/>
      <c r="BL18" s="1320"/>
      <c r="BM18" s="1320"/>
      <c r="BN18" s="1320"/>
      <c r="BO18" s="1320"/>
      <c r="BP18" s="1320"/>
      <c r="BQ18" s="1320"/>
      <c r="BR18" s="1320"/>
      <c r="BS18" s="1320"/>
      <c r="BT18" s="1320"/>
      <c r="BU18" s="1320"/>
      <c r="BV18" s="1320"/>
      <c r="BW18" s="1320"/>
      <c r="BX18" s="1320"/>
      <c r="BY18" s="1320"/>
      <c r="BZ18" s="1320"/>
      <c r="CA18" s="1320"/>
      <c r="CB18" s="1320"/>
      <c r="CC18" s="1320"/>
      <c r="CD18" s="1320"/>
      <c r="CE18" s="1320"/>
      <c r="CF18" s="1320"/>
      <c r="CG18" s="1320"/>
      <c r="CH18" s="1320"/>
      <c r="CI18" s="1320"/>
      <c r="CJ18" s="1320"/>
      <c r="CK18" s="1320"/>
      <c r="CL18" s="1320"/>
      <c r="CM18" s="1320"/>
      <c r="CN18" s="1320"/>
      <c r="CO18" s="1320"/>
      <c r="CP18" s="1320"/>
      <c r="CQ18" s="1320"/>
      <c r="CR18" s="1320"/>
      <c r="CS18" s="1320"/>
      <c r="CT18" s="1320"/>
      <c r="CU18" s="1320"/>
      <c r="CV18" s="1320"/>
      <c r="CW18" s="1320"/>
      <c r="CX18" s="1320"/>
      <c r="CY18" s="1320"/>
      <c r="CZ18" s="1320"/>
      <c r="DA18" s="1320"/>
      <c r="DB18" s="1320"/>
      <c r="DC18" s="1320"/>
      <c r="DD18" s="1320"/>
      <c r="DE18" s="1320"/>
      <c r="DF18" s="1320"/>
      <c r="DG18" s="1320"/>
      <c r="DH18" s="1320"/>
      <c r="DI18" s="1320"/>
      <c r="DJ18" s="1320"/>
      <c r="DK18" s="1320"/>
      <c r="DL18" s="1320"/>
      <c r="DM18" s="1320"/>
      <c r="DN18" s="1320"/>
      <c r="DO18" s="1320"/>
      <c r="DP18" s="1320"/>
      <c r="DQ18" s="1320"/>
      <c r="DR18" s="1320"/>
      <c r="DS18" s="1320"/>
      <c r="DT18" s="1320"/>
      <c r="DU18" s="1320"/>
      <c r="DV18" s="1320"/>
      <c r="DW18" s="1320"/>
      <c r="DX18" s="1320"/>
      <c r="DY18" s="1320"/>
      <c r="DZ18" s="1320"/>
      <c r="EA18" s="1320"/>
      <c r="EB18" s="1320"/>
      <c r="EC18" s="1320"/>
      <c r="ED18" s="1320"/>
      <c r="EE18" s="1320"/>
      <c r="EF18" s="1320"/>
      <c r="EG18" s="1320"/>
      <c r="EH18" s="1320"/>
      <c r="EI18" s="1320"/>
      <c r="EJ18" s="1320"/>
      <c r="EK18" s="1320"/>
      <c r="EL18" s="1320"/>
      <c r="EM18" s="1320"/>
      <c r="EN18" s="1320"/>
      <c r="EO18" s="1320"/>
      <c r="EP18" s="1320"/>
      <c r="EQ18" s="1320"/>
      <c r="ER18" s="1320"/>
      <c r="ES18" s="1320"/>
      <c r="ET18" s="1320"/>
      <c r="EU18" s="1320"/>
      <c r="EV18" s="1320"/>
      <c r="EW18" s="1320"/>
      <c r="EX18" s="1320"/>
      <c r="EY18" s="1320"/>
      <c r="EZ18" s="1320"/>
      <c r="FA18" s="1320"/>
      <c r="FB18" s="1320"/>
      <c r="FC18" s="1320"/>
      <c r="FD18" s="1320"/>
      <c r="FE18" s="1320"/>
      <c r="FF18" s="1320"/>
      <c r="FG18" s="1320"/>
      <c r="FH18" s="1320"/>
      <c r="FI18" s="1320"/>
      <c r="FJ18" s="1320"/>
      <c r="FK18" s="1320"/>
      <c r="FL18" s="1320"/>
      <c r="FM18" s="1320"/>
      <c r="FN18" s="1320"/>
      <c r="FO18" s="1320"/>
      <c r="FP18" s="1320"/>
      <c r="FQ18" s="1320"/>
      <c r="FR18" s="1320"/>
      <c r="FS18" s="1320"/>
      <c r="FT18" s="1320"/>
      <c r="FU18" s="1320"/>
      <c r="FV18" s="1320"/>
      <c r="FW18" s="1320"/>
      <c r="FX18" s="1320"/>
      <c r="FY18" s="1320"/>
      <c r="FZ18" s="1320"/>
      <c r="GA18" s="1320"/>
      <c r="GB18" s="1320"/>
      <c r="GC18" s="1320"/>
      <c r="GD18" s="1320"/>
      <c r="GE18" s="1320"/>
      <c r="GF18" s="1320"/>
      <c r="GG18" s="1320"/>
      <c r="GH18" s="1320"/>
      <c r="GI18" s="1320"/>
      <c r="GJ18" s="1320"/>
      <c r="GK18" s="1320"/>
      <c r="GL18" s="1320"/>
      <c r="GM18" s="1320"/>
      <c r="GN18" s="1320"/>
      <c r="GO18" s="1320"/>
      <c r="GP18" s="1320"/>
      <c r="GQ18" s="1320"/>
      <c r="GR18" s="1320"/>
      <c r="GS18" s="1320"/>
      <c r="GT18" s="1320"/>
      <c r="GU18" s="1320"/>
      <c r="GV18" s="1320"/>
      <c r="GW18" s="1320"/>
      <c r="GX18" s="1320"/>
      <c r="GY18" s="1320"/>
      <c r="GZ18" s="1320"/>
      <c r="HA18" s="1320"/>
      <c r="HB18" s="1320"/>
      <c r="HC18" s="1320"/>
      <c r="HD18" s="1320"/>
      <c r="HE18" s="1320"/>
      <c r="HF18" s="1320"/>
      <c r="HG18" s="1320"/>
      <c r="HH18" s="1320"/>
      <c r="HI18" s="1320"/>
      <c r="HJ18" s="1320"/>
      <c r="HK18" s="1320"/>
      <c r="HL18" s="1320"/>
      <c r="HM18" s="1320"/>
      <c r="HN18" s="1320"/>
      <c r="HO18" s="1320"/>
      <c r="HP18" s="1320"/>
      <c r="HQ18" s="1320"/>
      <c r="HR18" s="1320"/>
      <c r="HS18" s="1320"/>
      <c r="HT18" s="1320"/>
      <c r="HU18" s="1320"/>
      <c r="HV18" s="1320"/>
      <c r="HW18" s="1320"/>
      <c r="HX18" s="1320"/>
      <c r="HY18" s="1320"/>
      <c r="HZ18" s="1320"/>
      <c r="IA18" s="1320"/>
      <c r="IB18" s="1320"/>
      <c r="IC18" s="1320"/>
      <c r="ID18" s="1320"/>
      <c r="IE18" s="1320"/>
      <c r="IF18" s="1320"/>
      <c r="IG18" s="1320"/>
      <c r="IH18" s="1320"/>
      <c r="II18" s="1320"/>
      <c r="IJ18" s="1320"/>
      <c r="IK18" s="1320"/>
      <c r="IL18" s="1320"/>
      <c r="IM18" s="1320"/>
      <c r="IN18" s="1320"/>
      <c r="IO18" s="1320"/>
      <c r="IP18" s="1320"/>
      <c r="IQ18" s="1320"/>
      <c r="IR18" s="1320"/>
      <c r="IS18" s="1320"/>
      <c r="IT18" s="1320"/>
      <c r="IU18" s="1320"/>
      <c r="IV18" s="1320"/>
    </row>
    <row r="19" spans="1:256" ht="24" customHeight="1">
      <c r="A19" s="1349"/>
      <c r="B19" s="1337" t="s">
        <v>7088</v>
      </c>
      <c r="C19" s="1339">
        <v>1</v>
      </c>
      <c r="D19" s="1338">
        <v>1</v>
      </c>
      <c r="E19" s="1340">
        <v>25</v>
      </c>
      <c r="F19" s="1340">
        <v>18</v>
      </c>
      <c r="G19" s="1339">
        <v>7.4999999999999997E-2</v>
      </c>
      <c r="H19" s="1341">
        <f>PRODUCT(C19:G19)</f>
        <v>33.75</v>
      </c>
      <c r="I19" s="1331"/>
      <c r="J19" s="1342"/>
      <c r="K19" s="1320"/>
      <c r="L19" s="1320"/>
      <c r="M19" s="1320"/>
      <c r="N19" s="1320"/>
      <c r="O19" s="1320"/>
      <c r="P19" s="1320"/>
      <c r="Q19" s="1320"/>
      <c r="R19" s="1320"/>
      <c r="S19" s="1320"/>
      <c r="T19" s="1320"/>
      <c r="U19" s="1320"/>
      <c r="V19" s="1320"/>
      <c r="W19" s="1320"/>
      <c r="X19" s="1320"/>
      <c r="Y19" s="1320"/>
      <c r="Z19" s="1320"/>
      <c r="AA19" s="1320"/>
      <c r="AB19" s="1320"/>
      <c r="AC19" s="1320"/>
      <c r="AD19" s="1320"/>
      <c r="AE19" s="1320"/>
      <c r="AF19" s="1320"/>
      <c r="AG19" s="1320"/>
      <c r="AH19" s="1320"/>
      <c r="AI19" s="1320"/>
      <c r="AJ19" s="1320"/>
      <c r="AK19" s="1320"/>
      <c r="AL19" s="1320"/>
      <c r="AM19" s="1320"/>
      <c r="AN19" s="1320"/>
      <c r="AO19" s="1320"/>
      <c r="AP19" s="1320"/>
      <c r="AQ19" s="1320"/>
      <c r="AR19" s="1320"/>
      <c r="AS19" s="1320"/>
      <c r="AT19" s="1320"/>
      <c r="AU19" s="1320"/>
      <c r="AV19" s="1320"/>
      <c r="AW19" s="1320"/>
      <c r="AX19" s="1320"/>
      <c r="AY19" s="1320"/>
      <c r="AZ19" s="1320"/>
      <c r="BA19" s="1320"/>
      <c r="BB19" s="1320"/>
      <c r="BC19" s="1320"/>
      <c r="BD19" s="1320"/>
      <c r="BE19" s="1320"/>
      <c r="BF19" s="1320"/>
      <c r="BG19" s="1320"/>
      <c r="BH19" s="1320"/>
      <c r="BI19" s="1320"/>
      <c r="BJ19" s="1320"/>
      <c r="BK19" s="1320"/>
      <c r="BL19" s="1320"/>
      <c r="BM19" s="1320"/>
      <c r="BN19" s="1320"/>
      <c r="BO19" s="1320"/>
      <c r="BP19" s="1320"/>
      <c r="BQ19" s="1320"/>
      <c r="BR19" s="1320"/>
      <c r="BS19" s="1320"/>
      <c r="BT19" s="1320"/>
      <c r="BU19" s="1320"/>
      <c r="BV19" s="1320"/>
      <c r="BW19" s="1320"/>
      <c r="BX19" s="1320"/>
      <c r="BY19" s="1320"/>
      <c r="BZ19" s="1320"/>
      <c r="CA19" s="1320"/>
      <c r="CB19" s="1320"/>
      <c r="CC19" s="1320"/>
      <c r="CD19" s="1320"/>
      <c r="CE19" s="1320"/>
      <c r="CF19" s="1320"/>
      <c r="CG19" s="1320"/>
      <c r="CH19" s="1320"/>
      <c r="CI19" s="1320"/>
      <c r="CJ19" s="1320"/>
      <c r="CK19" s="1320"/>
      <c r="CL19" s="1320"/>
      <c r="CM19" s="1320"/>
      <c r="CN19" s="1320"/>
      <c r="CO19" s="1320"/>
      <c r="CP19" s="1320"/>
      <c r="CQ19" s="1320"/>
      <c r="CR19" s="1320"/>
      <c r="CS19" s="1320"/>
      <c r="CT19" s="1320"/>
      <c r="CU19" s="1320"/>
      <c r="CV19" s="1320"/>
      <c r="CW19" s="1320"/>
      <c r="CX19" s="1320"/>
      <c r="CY19" s="1320"/>
      <c r="CZ19" s="1320"/>
      <c r="DA19" s="1320"/>
      <c r="DB19" s="1320"/>
      <c r="DC19" s="1320"/>
      <c r="DD19" s="1320"/>
      <c r="DE19" s="1320"/>
      <c r="DF19" s="1320"/>
      <c r="DG19" s="1320"/>
      <c r="DH19" s="1320"/>
      <c r="DI19" s="1320"/>
      <c r="DJ19" s="1320"/>
      <c r="DK19" s="1320"/>
      <c r="DL19" s="1320"/>
      <c r="DM19" s="1320"/>
      <c r="DN19" s="1320"/>
      <c r="DO19" s="1320"/>
      <c r="DP19" s="1320"/>
      <c r="DQ19" s="1320"/>
      <c r="DR19" s="1320"/>
      <c r="DS19" s="1320"/>
      <c r="DT19" s="1320"/>
      <c r="DU19" s="1320"/>
      <c r="DV19" s="1320"/>
      <c r="DW19" s="1320"/>
      <c r="DX19" s="1320"/>
      <c r="DY19" s="1320"/>
      <c r="DZ19" s="1320"/>
      <c r="EA19" s="1320"/>
      <c r="EB19" s="1320"/>
      <c r="EC19" s="1320"/>
      <c r="ED19" s="1320"/>
      <c r="EE19" s="1320"/>
      <c r="EF19" s="1320"/>
      <c r="EG19" s="1320"/>
      <c r="EH19" s="1320"/>
      <c r="EI19" s="1320"/>
      <c r="EJ19" s="1320"/>
      <c r="EK19" s="1320"/>
      <c r="EL19" s="1320"/>
      <c r="EM19" s="1320"/>
      <c r="EN19" s="1320"/>
      <c r="EO19" s="1320"/>
      <c r="EP19" s="1320"/>
      <c r="EQ19" s="1320"/>
      <c r="ER19" s="1320"/>
      <c r="ES19" s="1320"/>
      <c r="ET19" s="1320"/>
      <c r="EU19" s="1320"/>
      <c r="EV19" s="1320"/>
      <c r="EW19" s="1320"/>
      <c r="EX19" s="1320"/>
      <c r="EY19" s="1320"/>
      <c r="EZ19" s="1320"/>
      <c r="FA19" s="1320"/>
      <c r="FB19" s="1320"/>
      <c r="FC19" s="1320"/>
      <c r="FD19" s="1320"/>
      <c r="FE19" s="1320"/>
      <c r="FF19" s="1320"/>
      <c r="FG19" s="1320"/>
      <c r="FH19" s="1320"/>
      <c r="FI19" s="1320"/>
      <c r="FJ19" s="1320"/>
      <c r="FK19" s="1320"/>
      <c r="FL19" s="1320"/>
      <c r="FM19" s="1320"/>
      <c r="FN19" s="1320"/>
      <c r="FO19" s="1320"/>
      <c r="FP19" s="1320"/>
      <c r="FQ19" s="1320"/>
      <c r="FR19" s="1320"/>
      <c r="FS19" s="1320"/>
      <c r="FT19" s="1320"/>
      <c r="FU19" s="1320"/>
      <c r="FV19" s="1320"/>
      <c r="FW19" s="1320"/>
      <c r="FX19" s="1320"/>
      <c r="FY19" s="1320"/>
      <c r="FZ19" s="1320"/>
      <c r="GA19" s="1320"/>
      <c r="GB19" s="1320"/>
      <c r="GC19" s="1320"/>
      <c r="GD19" s="1320"/>
      <c r="GE19" s="1320"/>
      <c r="GF19" s="1320"/>
      <c r="GG19" s="1320"/>
      <c r="GH19" s="1320"/>
      <c r="GI19" s="1320"/>
      <c r="GJ19" s="1320"/>
      <c r="GK19" s="1320"/>
      <c r="GL19" s="1320"/>
      <c r="GM19" s="1320"/>
      <c r="GN19" s="1320"/>
      <c r="GO19" s="1320"/>
      <c r="GP19" s="1320"/>
      <c r="GQ19" s="1320"/>
      <c r="GR19" s="1320"/>
      <c r="GS19" s="1320"/>
      <c r="GT19" s="1320"/>
      <c r="GU19" s="1320"/>
      <c r="GV19" s="1320"/>
      <c r="GW19" s="1320"/>
      <c r="GX19" s="1320"/>
      <c r="GY19" s="1320"/>
      <c r="GZ19" s="1320"/>
      <c r="HA19" s="1320"/>
      <c r="HB19" s="1320"/>
      <c r="HC19" s="1320"/>
      <c r="HD19" s="1320"/>
      <c r="HE19" s="1320"/>
      <c r="HF19" s="1320"/>
      <c r="HG19" s="1320"/>
      <c r="HH19" s="1320"/>
      <c r="HI19" s="1320"/>
      <c r="HJ19" s="1320"/>
      <c r="HK19" s="1320"/>
      <c r="HL19" s="1320"/>
      <c r="HM19" s="1320"/>
      <c r="HN19" s="1320"/>
      <c r="HO19" s="1320"/>
      <c r="HP19" s="1320"/>
      <c r="HQ19" s="1320"/>
      <c r="HR19" s="1320"/>
      <c r="HS19" s="1320"/>
      <c r="HT19" s="1320"/>
      <c r="HU19" s="1320"/>
      <c r="HV19" s="1320"/>
      <c r="HW19" s="1320"/>
      <c r="HX19" s="1320"/>
      <c r="HY19" s="1320"/>
      <c r="HZ19" s="1320"/>
      <c r="IA19" s="1320"/>
      <c r="IB19" s="1320"/>
      <c r="IC19" s="1320"/>
      <c r="ID19" s="1320"/>
      <c r="IE19" s="1320"/>
      <c r="IF19" s="1320"/>
      <c r="IG19" s="1320"/>
      <c r="IH19" s="1320"/>
      <c r="II19" s="1320"/>
      <c r="IJ19" s="1320"/>
      <c r="IK19" s="1320"/>
      <c r="IL19" s="1320"/>
      <c r="IM19" s="1320"/>
      <c r="IN19" s="1320"/>
      <c r="IO19" s="1320"/>
      <c r="IP19" s="1320"/>
      <c r="IQ19" s="1320"/>
      <c r="IR19" s="1320"/>
      <c r="IS19" s="1320"/>
      <c r="IT19" s="1320"/>
      <c r="IU19" s="1320"/>
      <c r="IV19" s="1320"/>
    </row>
    <row r="20" spans="1:256" ht="24" customHeight="1">
      <c r="A20" s="1349"/>
      <c r="B20" s="1337" t="s">
        <v>7089</v>
      </c>
      <c r="C20" s="1339">
        <v>2</v>
      </c>
      <c r="D20" s="1338">
        <v>2</v>
      </c>
      <c r="E20" s="1340">
        <v>2.5</v>
      </c>
      <c r="F20" s="1340">
        <v>2.5</v>
      </c>
      <c r="G20" s="1339">
        <v>7.4999999999999997E-2</v>
      </c>
      <c r="H20" s="1341">
        <f>PRODUCT(C20:G20)</f>
        <v>1.88</v>
      </c>
      <c r="I20" s="1331"/>
      <c r="J20" s="1342"/>
      <c r="K20" s="1320"/>
      <c r="L20" s="1320"/>
      <c r="M20" s="1320"/>
      <c r="N20" s="1320"/>
      <c r="O20" s="1320"/>
      <c r="P20" s="1320"/>
      <c r="Q20" s="1320"/>
      <c r="R20" s="1320"/>
      <c r="S20" s="1320"/>
      <c r="T20" s="1320"/>
      <c r="U20" s="1320"/>
      <c r="V20" s="1320"/>
      <c r="W20" s="1320"/>
      <c r="X20" s="1320"/>
      <c r="Y20" s="1320"/>
      <c r="Z20" s="1320"/>
      <c r="AA20" s="1320"/>
      <c r="AB20" s="1320"/>
      <c r="AC20" s="1320"/>
      <c r="AD20" s="1320"/>
      <c r="AE20" s="1320"/>
      <c r="AF20" s="1320"/>
      <c r="AG20" s="1320"/>
      <c r="AH20" s="1320"/>
      <c r="AI20" s="1320"/>
      <c r="AJ20" s="1320"/>
      <c r="AK20" s="1320"/>
      <c r="AL20" s="1320"/>
      <c r="AM20" s="1320"/>
      <c r="AN20" s="1320"/>
      <c r="AO20" s="1320"/>
      <c r="AP20" s="1320"/>
      <c r="AQ20" s="1320"/>
      <c r="AR20" s="1320"/>
      <c r="AS20" s="1320"/>
      <c r="AT20" s="1320"/>
      <c r="AU20" s="1320"/>
      <c r="AV20" s="1320"/>
      <c r="AW20" s="1320"/>
      <c r="AX20" s="1320"/>
      <c r="AY20" s="1320"/>
      <c r="AZ20" s="1320"/>
      <c r="BA20" s="1320"/>
      <c r="BB20" s="1320"/>
      <c r="BC20" s="1320"/>
      <c r="BD20" s="1320"/>
      <c r="BE20" s="1320"/>
      <c r="BF20" s="1320"/>
      <c r="BG20" s="1320"/>
      <c r="BH20" s="1320"/>
      <c r="BI20" s="1320"/>
      <c r="BJ20" s="1320"/>
      <c r="BK20" s="1320"/>
      <c r="BL20" s="1320"/>
      <c r="BM20" s="1320"/>
      <c r="BN20" s="1320"/>
      <c r="BO20" s="1320"/>
      <c r="BP20" s="1320"/>
      <c r="BQ20" s="1320"/>
      <c r="BR20" s="1320"/>
      <c r="BS20" s="1320"/>
      <c r="BT20" s="1320"/>
      <c r="BU20" s="1320"/>
      <c r="BV20" s="1320"/>
      <c r="BW20" s="1320"/>
      <c r="BX20" s="1320"/>
      <c r="BY20" s="1320"/>
      <c r="BZ20" s="1320"/>
      <c r="CA20" s="1320"/>
      <c r="CB20" s="1320"/>
      <c r="CC20" s="1320"/>
      <c r="CD20" s="1320"/>
      <c r="CE20" s="1320"/>
      <c r="CF20" s="1320"/>
      <c r="CG20" s="1320"/>
      <c r="CH20" s="1320"/>
      <c r="CI20" s="1320"/>
      <c r="CJ20" s="1320"/>
      <c r="CK20" s="1320"/>
      <c r="CL20" s="1320"/>
      <c r="CM20" s="1320"/>
      <c r="CN20" s="1320"/>
      <c r="CO20" s="1320"/>
      <c r="CP20" s="1320"/>
      <c r="CQ20" s="1320"/>
      <c r="CR20" s="1320"/>
      <c r="CS20" s="1320"/>
      <c r="CT20" s="1320"/>
      <c r="CU20" s="1320"/>
      <c r="CV20" s="1320"/>
      <c r="CW20" s="1320"/>
      <c r="CX20" s="1320"/>
      <c r="CY20" s="1320"/>
      <c r="CZ20" s="1320"/>
      <c r="DA20" s="1320"/>
      <c r="DB20" s="1320"/>
      <c r="DC20" s="1320"/>
      <c r="DD20" s="1320"/>
      <c r="DE20" s="1320"/>
      <c r="DF20" s="1320"/>
      <c r="DG20" s="1320"/>
      <c r="DH20" s="1320"/>
      <c r="DI20" s="1320"/>
      <c r="DJ20" s="1320"/>
      <c r="DK20" s="1320"/>
      <c r="DL20" s="1320"/>
      <c r="DM20" s="1320"/>
      <c r="DN20" s="1320"/>
      <c r="DO20" s="1320"/>
      <c r="DP20" s="1320"/>
      <c r="DQ20" s="1320"/>
      <c r="DR20" s="1320"/>
      <c r="DS20" s="1320"/>
      <c r="DT20" s="1320"/>
      <c r="DU20" s="1320"/>
      <c r="DV20" s="1320"/>
      <c r="DW20" s="1320"/>
      <c r="DX20" s="1320"/>
      <c r="DY20" s="1320"/>
      <c r="DZ20" s="1320"/>
      <c r="EA20" s="1320"/>
      <c r="EB20" s="1320"/>
      <c r="EC20" s="1320"/>
      <c r="ED20" s="1320"/>
      <c r="EE20" s="1320"/>
      <c r="EF20" s="1320"/>
      <c r="EG20" s="1320"/>
      <c r="EH20" s="1320"/>
      <c r="EI20" s="1320"/>
      <c r="EJ20" s="1320"/>
      <c r="EK20" s="1320"/>
      <c r="EL20" s="1320"/>
      <c r="EM20" s="1320"/>
      <c r="EN20" s="1320"/>
      <c r="EO20" s="1320"/>
      <c r="EP20" s="1320"/>
      <c r="EQ20" s="1320"/>
      <c r="ER20" s="1320"/>
      <c r="ES20" s="1320"/>
      <c r="ET20" s="1320"/>
      <c r="EU20" s="1320"/>
      <c r="EV20" s="1320"/>
      <c r="EW20" s="1320"/>
      <c r="EX20" s="1320"/>
      <c r="EY20" s="1320"/>
      <c r="EZ20" s="1320"/>
      <c r="FA20" s="1320"/>
      <c r="FB20" s="1320"/>
      <c r="FC20" s="1320"/>
      <c r="FD20" s="1320"/>
      <c r="FE20" s="1320"/>
      <c r="FF20" s="1320"/>
      <c r="FG20" s="1320"/>
      <c r="FH20" s="1320"/>
      <c r="FI20" s="1320"/>
      <c r="FJ20" s="1320"/>
      <c r="FK20" s="1320"/>
      <c r="FL20" s="1320"/>
      <c r="FM20" s="1320"/>
      <c r="FN20" s="1320"/>
      <c r="FO20" s="1320"/>
      <c r="FP20" s="1320"/>
      <c r="FQ20" s="1320"/>
      <c r="FR20" s="1320"/>
      <c r="FS20" s="1320"/>
      <c r="FT20" s="1320"/>
      <c r="FU20" s="1320"/>
      <c r="FV20" s="1320"/>
      <c r="FW20" s="1320"/>
      <c r="FX20" s="1320"/>
      <c r="FY20" s="1320"/>
      <c r="FZ20" s="1320"/>
      <c r="GA20" s="1320"/>
      <c r="GB20" s="1320"/>
      <c r="GC20" s="1320"/>
      <c r="GD20" s="1320"/>
      <c r="GE20" s="1320"/>
      <c r="GF20" s="1320"/>
      <c r="GG20" s="1320"/>
      <c r="GH20" s="1320"/>
      <c r="GI20" s="1320"/>
      <c r="GJ20" s="1320"/>
      <c r="GK20" s="1320"/>
      <c r="GL20" s="1320"/>
      <c r="GM20" s="1320"/>
      <c r="GN20" s="1320"/>
      <c r="GO20" s="1320"/>
      <c r="GP20" s="1320"/>
      <c r="GQ20" s="1320"/>
      <c r="GR20" s="1320"/>
      <c r="GS20" s="1320"/>
      <c r="GT20" s="1320"/>
      <c r="GU20" s="1320"/>
      <c r="GV20" s="1320"/>
      <c r="GW20" s="1320"/>
      <c r="GX20" s="1320"/>
      <c r="GY20" s="1320"/>
      <c r="GZ20" s="1320"/>
      <c r="HA20" s="1320"/>
      <c r="HB20" s="1320"/>
      <c r="HC20" s="1320"/>
      <c r="HD20" s="1320"/>
      <c r="HE20" s="1320"/>
      <c r="HF20" s="1320"/>
      <c r="HG20" s="1320"/>
      <c r="HH20" s="1320"/>
      <c r="HI20" s="1320"/>
      <c r="HJ20" s="1320"/>
      <c r="HK20" s="1320"/>
      <c r="HL20" s="1320"/>
      <c r="HM20" s="1320"/>
      <c r="HN20" s="1320"/>
      <c r="HO20" s="1320"/>
      <c r="HP20" s="1320"/>
      <c r="HQ20" s="1320"/>
      <c r="HR20" s="1320"/>
      <c r="HS20" s="1320"/>
      <c r="HT20" s="1320"/>
      <c r="HU20" s="1320"/>
      <c r="HV20" s="1320"/>
      <c r="HW20" s="1320"/>
      <c r="HX20" s="1320"/>
      <c r="HY20" s="1320"/>
      <c r="HZ20" s="1320"/>
      <c r="IA20" s="1320"/>
      <c r="IB20" s="1320"/>
      <c r="IC20" s="1320"/>
      <c r="ID20" s="1320"/>
      <c r="IE20" s="1320"/>
      <c r="IF20" s="1320"/>
      <c r="IG20" s="1320"/>
      <c r="IH20" s="1320"/>
      <c r="II20" s="1320"/>
      <c r="IJ20" s="1320"/>
      <c r="IK20" s="1320"/>
      <c r="IL20" s="1320"/>
      <c r="IM20" s="1320"/>
      <c r="IN20" s="1320"/>
      <c r="IO20" s="1320"/>
      <c r="IP20" s="1320"/>
      <c r="IQ20" s="1320"/>
      <c r="IR20" s="1320"/>
      <c r="IS20" s="1320"/>
      <c r="IT20" s="1320"/>
      <c r="IU20" s="1320"/>
      <c r="IV20" s="1320"/>
    </row>
    <row r="21" spans="1:256" ht="24" customHeight="1">
      <c r="A21" s="1349"/>
      <c r="B21" s="1337"/>
      <c r="C21" s="1339"/>
      <c r="D21" s="1340"/>
      <c r="E21" s="1340"/>
      <c r="F21" s="1340"/>
      <c r="G21" s="781" t="s">
        <v>2235</v>
      </c>
      <c r="H21" s="1343">
        <f>SUM(H19:H20)</f>
        <v>35.630000000000003</v>
      </c>
      <c r="I21" s="1344" t="s">
        <v>2142</v>
      </c>
      <c r="J21" s="1342"/>
      <c r="K21" s="1320"/>
      <c r="L21" s="1320"/>
      <c r="M21" s="1320"/>
      <c r="N21" s="1320"/>
      <c r="O21" s="1320"/>
      <c r="P21" s="1320"/>
      <c r="Q21" s="1320"/>
      <c r="R21" s="1320"/>
      <c r="S21" s="1320"/>
      <c r="T21" s="1320"/>
      <c r="U21" s="1320"/>
      <c r="V21" s="1320"/>
      <c r="W21" s="1320"/>
      <c r="X21" s="1320"/>
      <c r="Y21" s="1320"/>
      <c r="Z21" s="1320"/>
      <c r="AA21" s="1320"/>
      <c r="AB21" s="1320"/>
      <c r="AC21" s="1320"/>
      <c r="AD21" s="1320"/>
      <c r="AE21" s="1320"/>
      <c r="AF21" s="1320"/>
      <c r="AG21" s="1320"/>
      <c r="AH21" s="1320"/>
      <c r="AI21" s="1320"/>
      <c r="AJ21" s="1320"/>
      <c r="AK21" s="1320"/>
      <c r="AL21" s="1320"/>
      <c r="AM21" s="1320"/>
      <c r="AN21" s="1320"/>
      <c r="AO21" s="1320"/>
      <c r="AP21" s="1320"/>
      <c r="AQ21" s="1320"/>
      <c r="AR21" s="1320"/>
      <c r="AS21" s="1320"/>
      <c r="AT21" s="1320"/>
      <c r="AU21" s="1320"/>
      <c r="AV21" s="1320"/>
      <c r="AW21" s="1320"/>
      <c r="AX21" s="1320"/>
      <c r="AY21" s="1320"/>
      <c r="AZ21" s="1320"/>
      <c r="BA21" s="1320"/>
      <c r="BB21" s="1320"/>
      <c r="BC21" s="1320"/>
      <c r="BD21" s="1320"/>
      <c r="BE21" s="1320"/>
      <c r="BF21" s="1320"/>
      <c r="BG21" s="1320"/>
      <c r="BH21" s="1320"/>
      <c r="BI21" s="1320"/>
      <c r="BJ21" s="1320"/>
      <c r="BK21" s="1320"/>
      <c r="BL21" s="1320"/>
      <c r="BM21" s="1320"/>
      <c r="BN21" s="1320"/>
      <c r="BO21" s="1320"/>
      <c r="BP21" s="1320"/>
      <c r="BQ21" s="1320"/>
      <c r="BR21" s="1320"/>
      <c r="BS21" s="1320"/>
      <c r="BT21" s="1320"/>
      <c r="BU21" s="1320"/>
      <c r="BV21" s="1320"/>
      <c r="BW21" s="1320"/>
      <c r="BX21" s="1320"/>
      <c r="BY21" s="1320"/>
      <c r="BZ21" s="1320"/>
      <c r="CA21" s="1320"/>
      <c r="CB21" s="1320"/>
      <c r="CC21" s="1320"/>
      <c r="CD21" s="1320"/>
      <c r="CE21" s="1320"/>
      <c r="CF21" s="1320"/>
      <c r="CG21" s="1320"/>
      <c r="CH21" s="1320"/>
      <c r="CI21" s="1320"/>
      <c r="CJ21" s="1320"/>
      <c r="CK21" s="1320"/>
      <c r="CL21" s="1320"/>
      <c r="CM21" s="1320"/>
      <c r="CN21" s="1320"/>
      <c r="CO21" s="1320"/>
      <c r="CP21" s="1320"/>
      <c r="CQ21" s="1320"/>
      <c r="CR21" s="1320"/>
      <c r="CS21" s="1320"/>
      <c r="CT21" s="1320"/>
      <c r="CU21" s="1320"/>
      <c r="CV21" s="1320"/>
      <c r="CW21" s="1320"/>
      <c r="CX21" s="1320"/>
      <c r="CY21" s="1320"/>
      <c r="CZ21" s="1320"/>
      <c r="DA21" s="1320"/>
      <c r="DB21" s="1320"/>
      <c r="DC21" s="1320"/>
      <c r="DD21" s="1320"/>
      <c r="DE21" s="1320"/>
      <c r="DF21" s="1320"/>
      <c r="DG21" s="1320"/>
      <c r="DH21" s="1320"/>
      <c r="DI21" s="1320"/>
      <c r="DJ21" s="1320"/>
      <c r="DK21" s="1320"/>
      <c r="DL21" s="1320"/>
      <c r="DM21" s="1320"/>
      <c r="DN21" s="1320"/>
      <c r="DO21" s="1320"/>
      <c r="DP21" s="1320"/>
      <c r="DQ21" s="1320"/>
      <c r="DR21" s="1320"/>
      <c r="DS21" s="1320"/>
      <c r="DT21" s="1320"/>
      <c r="DU21" s="1320"/>
      <c r="DV21" s="1320"/>
      <c r="DW21" s="1320"/>
      <c r="DX21" s="1320"/>
      <c r="DY21" s="1320"/>
      <c r="DZ21" s="1320"/>
      <c r="EA21" s="1320"/>
      <c r="EB21" s="1320"/>
      <c r="EC21" s="1320"/>
      <c r="ED21" s="1320"/>
      <c r="EE21" s="1320"/>
      <c r="EF21" s="1320"/>
      <c r="EG21" s="1320"/>
      <c r="EH21" s="1320"/>
      <c r="EI21" s="1320"/>
      <c r="EJ21" s="1320"/>
      <c r="EK21" s="1320"/>
      <c r="EL21" s="1320"/>
      <c r="EM21" s="1320"/>
      <c r="EN21" s="1320"/>
      <c r="EO21" s="1320"/>
      <c r="EP21" s="1320"/>
      <c r="EQ21" s="1320"/>
      <c r="ER21" s="1320"/>
      <c r="ES21" s="1320"/>
      <c r="ET21" s="1320"/>
      <c r="EU21" s="1320"/>
      <c r="EV21" s="1320"/>
      <c r="EW21" s="1320"/>
      <c r="EX21" s="1320"/>
      <c r="EY21" s="1320"/>
      <c r="EZ21" s="1320"/>
      <c r="FA21" s="1320"/>
      <c r="FB21" s="1320"/>
      <c r="FC21" s="1320"/>
      <c r="FD21" s="1320"/>
      <c r="FE21" s="1320"/>
      <c r="FF21" s="1320"/>
      <c r="FG21" s="1320"/>
      <c r="FH21" s="1320"/>
      <c r="FI21" s="1320"/>
      <c r="FJ21" s="1320"/>
      <c r="FK21" s="1320"/>
      <c r="FL21" s="1320"/>
      <c r="FM21" s="1320"/>
      <c r="FN21" s="1320"/>
      <c r="FO21" s="1320"/>
      <c r="FP21" s="1320"/>
      <c r="FQ21" s="1320"/>
      <c r="FR21" s="1320"/>
      <c r="FS21" s="1320"/>
      <c r="FT21" s="1320"/>
      <c r="FU21" s="1320"/>
      <c r="FV21" s="1320"/>
      <c r="FW21" s="1320"/>
      <c r="FX21" s="1320"/>
      <c r="FY21" s="1320"/>
      <c r="FZ21" s="1320"/>
      <c r="GA21" s="1320"/>
      <c r="GB21" s="1320"/>
      <c r="GC21" s="1320"/>
      <c r="GD21" s="1320"/>
      <c r="GE21" s="1320"/>
      <c r="GF21" s="1320"/>
      <c r="GG21" s="1320"/>
      <c r="GH21" s="1320"/>
      <c r="GI21" s="1320"/>
      <c r="GJ21" s="1320"/>
      <c r="GK21" s="1320"/>
      <c r="GL21" s="1320"/>
      <c r="GM21" s="1320"/>
      <c r="GN21" s="1320"/>
      <c r="GO21" s="1320"/>
      <c r="GP21" s="1320"/>
      <c r="GQ21" s="1320"/>
      <c r="GR21" s="1320"/>
      <c r="GS21" s="1320"/>
      <c r="GT21" s="1320"/>
      <c r="GU21" s="1320"/>
      <c r="GV21" s="1320"/>
      <c r="GW21" s="1320"/>
      <c r="GX21" s="1320"/>
      <c r="GY21" s="1320"/>
      <c r="GZ21" s="1320"/>
      <c r="HA21" s="1320"/>
      <c r="HB21" s="1320"/>
      <c r="HC21" s="1320"/>
      <c r="HD21" s="1320"/>
      <c r="HE21" s="1320"/>
      <c r="HF21" s="1320"/>
      <c r="HG21" s="1320"/>
      <c r="HH21" s="1320"/>
      <c r="HI21" s="1320"/>
      <c r="HJ21" s="1320"/>
      <c r="HK21" s="1320"/>
      <c r="HL21" s="1320"/>
      <c r="HM21" s="1320"/>
      <c r="HN21" s="1320"/>
      <c r="HO21" s="1320"/>
      <c r="HP21" s="1320"/>
      <c r="HQ21" s="1320"/>
      <c r="HR21" s="1320"/>
      <c r="HS21" s="1320"/>
      <c r="HT21" s="1320"/>
      <c r="HU21" s="1320"/>
      <c r="HV21" s="1320"/>
      <c r="HW21" s="1320"/>
      <c r="HX21" s="1320"/>
      <c r="HY21" s="1320"/>
      <c r="HZ21" s="1320"/>
      <c r="IA21" s="1320"/>
      <c r="IB21" s="1320"/>
      <c r="IC21" s="1320"/>
      <c r="ID21" s="1320"/>
      <c r="IE21" s="1320"/>
      <c r="IF21" s="1320"/>
      <c r="IG21" s="1320"/>
      <c r="IH21" s="1320"/>
      <c r="II21" s="1320"/>
      <c r="IJ21" s="1320"/>
      <c r="IK21" s="1320"/>
      <c r="IL21" s="1320"/>
      <c r="IM21" s="1320"/>
      <c r="IN21" s="1320"/>
      <c r="IO21" s="1320"/>
      <c r="IP21" s="1320"/>
      <c r="IQ21" s="1320"/>
      <c r="IR21" s="1320"/>
      <c r="IS21" s="1320"/>
      <c r="IT21" s="1320"/>
      <c r="IU21" s="1320"/>
      <c r="IV21" s="1320"/>
    </row>
    <row r="22" spans="1:256" ht="53.25" customHeight="1">
      <c r="A22" s="1350">
        <v>7.2</v>
      </c>
      <c r="B22" s="1346" t="s">
        <v>7093</v>
      </c>
      <c r="C22" s="1347"/>
      <c r="D22" s="1348"/>
      <c r="E22" s="1337"/>
      <c r="F22" s="1337"/>
      <c r="G22" s="1337"/>
      <c r="H22" s="1343"/>
      <c r="I22" s="1344"/>
      <c r="J22" s="1342"/>
      <c r="K22" s="1320"/>
      <c r="L22" s="1320"/>
      <c r="M22" s="1320"/>
      <c r="N22" s="1320"/>
      <c r="O22" s="1320"/>
      <c r="P22" s="1320"/>
      <c r="Q22" s="1320"/>
      <c r="R22" s="1320"/>
      <c r="S22" s="1320"/>
      <c r="T22" s="1320"/>
      <c r="U22" s="1320"/>
      <c r="V22" s="1320"/>
      <c r="W22" s="1320"/>
      <c r="X22" s="1320"/>
      <c r="Y22" s="1320"/>
      <c r="Z22" s="1320"/>
      <c r="AA22" s="1320"/>
      <c r="AB22" s="1320"/>
      <c r="AC22" s="1320"/>
      <c r="AD22" s="1320"/>
      <c r="AE22" s="1320"/>
      <c r="AF22" s="1320"/>
      <c r="AG22" s="1320"/>
      <c r="AH22" s="1320"/>
      <c r="AI22" s="1320"/>
      <c r="AJ22" s="1320"/>
      <c r="AK22" s="1320"/>
      <c r="AL22" s="1320"/>
      <c r="AM22" s="1320"/>
      <c r="AN22" s="1320"/>
      <c r="AO22" s="1320"/>
      <c r="AP22" s="1320"/>
      <c r="AQ22" s="1320"/>
      <c r="AR22" s="1320"/>
      <c r="AS22" s="1320"/>
      <c r="AT22" s="1320"/>
      <c r="AU22" s="1320"/>
      <c r="AV22" s="1320"/>
      <c r="AW22" s="1320"/>
      <c r="AX22" s="1320"/>
      <c r="AY22" s="1320"/>
      <c r="AZ22" s="1320"/>
      <c r="BA22" s="1320"/>
      <c r="BB22" s="1320"/>
      <c r="BC22" s="1320"/>
      <c r="BD22" s="1320"/>
      <c r="BE22" s="1320"/>
      <c r="BF22" s="1320"/>
      <c r="BG22" s="1320"/>
      <c r="BH22" s="1320"/>
      <c r="BI22" s="1320"/>
      <c r="BJ22" s="1320"/>
      <c r="BK22" s="1320"/>
      <c r="BL22" s="1320"/>
      <c r="BM22" s="1320"/>
      <c r="BN22" s="1320"/>
      <c r="BO22" s="1320"/>
      <c r="BP22" s="1320"/>
      <c r="BQ22" s="1320"/>
      <c r="BR22" s="1320"/>
      <c r="BS22" s="1320"/>
      <c r="BT22" s="1320"/>
      <c r="BU22" s="1320"/>
      <c r="BV22" s="1320"/>
      <c r="BW22" s="1320"/>
      <c r="BX22" s="1320"/>
      <c r="BY22" s="1320"/>
      <c r="BZ22" s="1320"/>
      <c r="CA22" s="1320"/>
      <c r="CB22" s="1320"/>
      <c r="CC22" s="1320"/>
      <c r="CD22" s="1320"/>
      <c r="CE22" s="1320"/>
      <c r="CF22" s="1320"/>
      <c r="CG22" s="1320"/>
      <c r="CH22" s="1320"/>
      <c r="CI22" s="1320"/>
      <c r="CJ22" s="1320"/>
      <c r="CK22" s="1320"/>
      <c r="CL22" s="1320"/>
      <c r="CM22" s="1320"/>
      <c r="CN22" s="1320"/>
      <c r="CO22" s="1320"/>
      <c r="CP22" s="1320"/>
      <c r="CQ22" s="1320"/>
      <c r="CR22" s="1320"/>
      <c r="CS22" s="1320"/>
      <c r="CT22" s="1320"/>
      <c r="CU22" s="1320"/>
      <c r="CV22" s="1320"/>
      <c r="CW22" s="1320"/>
      <c r="CX22" s="1320"/>
      <c r="CY22" s="1320"/>
      <c r="CZ22" s="1320"/>
      <c r="DA22" s="1320"/>
      <c r="DB22" s="1320"/>
      <c r="DC22" s="1320"/>
      <c r="DD22" s="1320"/>
      <c r="DE22" s="1320"/>
      <c r="DF22" s="1320"/>
      <c r="DG22" s="1320"/>
      <c r="DH22" s="1320"/>
      <c r="DI22" s="1320"/>
      <c r="DJ22" s="1320"/>
      <c r="DK22" s="1320"/>
      <c r="DL22" s="1320"/>
      <c r="DM22" s="1320"/>
      <c r="DN22" s="1320"/>
      <c r="DO22" s="1320"/>
      <c r="DP22" s="1320"/>
      <c r="DQ22" s="1320"/>
      <c r="DR22" s="1320"/>
      <c r="DS22" s="1320"/>
      <c r="DT22" s="1320"/>
      <c r="DU22" s="1320"/>
      <c r="DV22" s="1320"/>
      <c r="DW22" s="1320"/>
      <c r="DX22" s="1320"/>
      <c r="DY22" s="1320"/>
      <c r="DZ22" s="1320"/>
      <c r="EA22" s="1320"/>
      <c r="EB22" s="1320"/>
      <c r="EC22" s="1320"/>
      <c r="ED22" s="1320"/>
      <c r="EE22" s="1320"/>
      <c r="EF22" s="1320"/>
      <c r="EG22" s="1320"/>
      <c r="EH22" s="1320"/>
      <c r="EI22" s="1320"/>
      <c r="EJ22" s="1320"/>
      <c r="EK22" s="1320"/>
      <c r="EL22" s="1320"/>
      <c r="EM22" s="1320"/>
      <c r="EN22" s="1320"/>
      <c r="EO22" s="1320"/>
      <c r="EP22" s="1320"/>
      <c r="EQ22" s="1320"/>
      <c r="ER22" s="1320"/>
      <c r="ES22" s="1320"/>
      <c r="ET22" s="1320"/>
      <c r="EU22" s="1320"/>
      <c r="EV22" s="1320"/>
      <c r="EW22" s="1320"/>
      <c r="EX22" s="1320"/>
      <c r="EY22" s="1320"/>
      <c r="EZ22" s="1320"/>
      <c r="FA22" s="1320"/>
      <c r="FB22" s="1320"/>
      <c r="FC22" s="1320"/>
      <c r="FD22" s="1320"/>
      <c r="FE22" s="1320"/>
      <c r="FF22" s="1320"/>
      <c r="FG22" s="1320"/>
      <c r="FH22" s="1320"/>
      <c r="FI22" s="1320"/>
      <c r="FJ22" s="1320"/>
      <c r="FK22" s="1320"/>
      <c r="FL22" s="1320"/>
      <c r="FM22" s="1320"/>
      <c r="FN22" s="1320"/>
      <c r="FO22" s="1320"/>
      <c r="FP22" s="1320"/>
      <c r="FQ22" s="1320"/>
      <c r="FR22" s="1320"/>
      <c r="FS22" s="1320"/>
      <c r="FT22" s="1320"/>
      <c r="FU22" s="1320"/>
      <c r="FV22" s="1320"/>
      <c r="FW22" s="1320"/>
      <c r="FX22" s="1320"/>
      <c r="FY22" s="1320"/>
      <c r="FZ22" s="1320"/>
      <c r="GA22" s="1320"/>
      <c r="GB22" s="1320"/>
      <c r="GC22" s="1320"/>
      <c r="GD22" s="1320"/>
      <c r="GE22" s="1320"/>
      <c r="GF22" s="1320"/>
      <c r="GG22" s="1320"/>
      <c r="GH22" s="1320"/>
      <c r="GI22" s="1320"/>
      <c r="GJ22" s="1320"/>
      <c r="GK22" s="1320"/>
      <c r="GL22" s="1320"/>
      <c r="GM22" s="1320"/>
      <c r="GN22" s="1320"/>
      <c r="GO22" s="1320"/>
      <c r="GP22" s="1320"/>
      <c r="GQ22" s="1320"/>
      <c r="GR22" s="1320"/>
      <c r="GS22" s="1320"/>
      <c r="GT22" s="1320"/>
      <c r="GU22" s="1320"/>
      <c r="GV22" s="1320"/>
      <c r="GW22" s="1320"/>
      <c r="GX22" s="1320"/>
      <c r="GY22" s="1320"/>
      <c r="GZ22" s="1320"/>
      <c r="HA22" s="1320"/>
      <c r="HB22" s="1320"/>
      <c r="HC22" s="1320"/>
      <c r="HD22" s="1320"/>
      <c r="HE22" s="1320"/>
      <c r="HF22" s="1320"/>
      <c r="HG22" s="1320"/>
      <c r="HH22" s="1320"/>
      <c r="HI22" s="1320"/>
      <c r="HJ22" s="1320"/>
      <c r="HK22" s="1320"/>
      <c r="HL22" s="1320"/>
      <c r="HM22" s="1320"/>
      <c r="HN22" s="1320"/>
      <c r="HO22" s="1320"/>
      <c r="HP22" s="1320"/>
      <c r="HQ22" s="1320"/>
      <c r="HR22" s="1320"/>
      <c r="HS22" s="1320"/>
      <c r="HT22" s="1320"/>
      <c r="HU22" s="1320"/>
      <c r="HV22" s="1320"/>
      <c r="HW22" s="1320"/>
      <c r="HX22" s="1320"/>
      <c r="HY22" s="1320"/>
      <c r="HZ22" s="1320"/>
      <c r="IA22" s="1320"/>
      <c r="IB22" s="1320"/>
      <c r="IC22" s="1320"/>
      <c r="ID22" s="1320"/>
      <c r="IE22" s="1320"/>
      <c r="IF22" s="1320"/>
      <c r="IG22" s="1320"/>
      <c r="IH22" s="1320"/>
      <c r="II22" s="1320"/>
      <c r="IJ22" s="1320"/>
      <c r="IK22" s="1320"/>
      <c r="IL22" s="1320"/>
      <c r="IM22" s="1320"/>
      <c r="IN22" s="1320"/>
      <c r="IO22" s="1320"/>
      <c r="IP22" s="1320"/>
      <c r="IQ22" s="1320"/>
      <c r="IR22" s="1320"/>
      <c r="IS22" s="1320"/>
      <c r="IT22" s="1320"/>
      <c r="IU22" s="1320"/>
      <c r="IV22" s="1320"/>
    </row>
    <row r="23" spans="1:256" ht="23.25" customHeight="1">
      <c r="A23" s="1349"/>
      <c r="B23" s="1337" t="s">
        <v>7094</v>
      </c>
      <c r="C23" s="1339">
        <v>1</v>
      </c>
      <c r="D23" s="1339">
        <f>18/3</f>
        <v>6</v>
      </c>
      <c r="E23" s="1340">
        <v>25</v>
      </c>
      <c r="F23" s="1339"/>
      <c r="G23" s="1351">
        <v>0.2</v>
      </c>
      <c r="H23" s="1343">
        <f>PRODUCT(C23:G23)</f>
        <v>30</v>
      </c>
      <c r="I23" s="1344" t="s">
        <v>2273</v>
      </c>
      <c r="J23" s="1342"/>
      <c r="K23" s="1320"/>
      <c r="L23" s="1320"/>
      <c r="M23" s="1320"/>
      <c r="N23" s="1320"/>
      <c r="O23" s="1320"/>
      <c r="P23" s="1320"/>
      <c r="Q23" s="1320"/>
      <c r="R23" s="1320"/>
      <c r="S23" s="1320"/>
      <c r="T23" s="1320"/>
      <c r="U23" s="1320"/>
      <c r="V23" s="1320"/>
      <c r="W23" s="1320"/>
      <c r="X23" s="1320"/>
      <c r="Y23" s="1320"/>
      <c r="Z23" s="1320"/>
      <c r="AA23" s="1320"/>
      <c r="AB23" s="1320"/>
      <c r="AC23" s="1320"/>
      <c r="AD23" s="1320"/>
      <c r="AE23" s="1320"/>
      <c r="AF23" s="1320"/>
      <c r="AG23" s="1320"/>
      <c r="AH23" s="1320"/>
      <c r="AI23" s="1320"/>
      <c r="AJ23" s="1320"/>
      <c r="AK23" s="1320"/>
      <c r="AL23" s="1320"/>
      <c r="AM23" s="1320"/>
      <c r="AN23" s="1320"/>
      <c r="AO23" s="1320"/>
      <c r="AP23" s="1320"/>
      <c r="AQ23" s="1320"/>
      <c r="AR23" s="1320"/>
      <c r="AS23" s="1320"/>
      <c r="AT23" s="1320"/>
      <c r="AU23" s="1320"/>
      <c r="AV23" s="1320"/>
      <c r="AW23" s="1320"/>
      <c r="AX23" s="1320"/>
      <c r="AY23" s="1320"/>
      <c r="AZ23" s="1320"/>
      <c r="BA23" s="1320"/>
      <c r="BB23" s="1320"/>
      <c r="BC23" s="1320"/>
      <c r="BD23" s="1320"/>
      <c r="BE23" s="1320"/>
      <c r="BF23" s="1320"/>
      <c r="BG23" s="1320"/>
      <c r="BH23" s="1320"/>
      <c r="BI23" s="1320"/>
      <c r="BJ23" s="1320"/>
      <c r="BK23" s="1320"/>
      <c r="BL23" s="1320"/>
      <c r="BM23" s="1320"/>
      <c r="BN23" s="1320"/>
      <c r="BO23" s="1320"/>
      <c r="BP23" s="1320"/>
      <c r="BQ23" s="1320"/>
      <c r="BR23" s="1320"/>
      <c r="BS23" s="1320"/>
      <c r="BT23" s="1320"/>
      <c r="BU23" s="1320"/>
      <c r="BV23" s="1320"/>
      <c r="BW23" s="1320"/>
      <c r="BX23" s="1320"/>
      <c r="BY23" s="1320"/>
      <c r="BZ23" s="1320"/>
      <c r="CA23" s="1320"/>
      <c r="CB23" s="1320"/>
      <c r="CC23" s="1320"/>
      <c r="CD23" s="1320"/>
      <c r="CE23" s="1320"/>
      <c r="CF23" s="1320"/>
      <c r="CG23" s="1320"/>
      <c r="CH23" s="1320"/>
      <c r="CI23" s="1320"/>
      <c r="CJ23" s="1320"/>
      <c r="CK23" s="1320"/>
      <c r="CL23" s="1320"/>
      <c r="CM23" s="1320"/>
      <c r="CN23" s="1320"/>
      <c r="CO23" s="1320"/>
      <c r="CP23" s="1320"/>
      <c r="CQ23" s="1320"/>
      <c r="CR23" s="1320"/>
      <c r="CS23" s="1320"/>
      <c r="CT23" s="1320"/>
      <c r="CU23" s="1320"/>
      <c r="CV23" s="1320"/>
      <c r="CW23" s="1320"/>
      <c r="CX23" s="1320"/>
      <c r="CY23" s="1320"/>
      <c r="CZ23" s="1320"/>
      <c r="DA23" s="1320"/>
      <c r="DB23" s="1320"/>
      <c r="DC23" s="1320"/>
      <c r="DD23" s="1320"/>
      <c r="DE23" s="1320"/>
      <c r="DF23" s="1320"/>
      <c r="DG23" s="1320"/>
      <c r="DH23" s="1320"/>
      <c r="DI23" s="1320"/>
      <c r="DJ23" s="1320"/>
      <c r="DK23" s="1320"/>
      <c r="DL23" s="1320"/>
      <c r="DM23" s="1320"/>
      <c r="DN23" s="1320"/>
      <c r="DO23" s="1320"/>
      <c r="DP23" s="1320"/>
      <c r="DQ23" s="1320"/>
      <c r="DR23" s="1320"/>
      <c r="DS23" s="1320"/>
      <c r="DT23" s="1320"/>
      <c r="DU23" s="1320"/>
      <c r="DV23" s="1320"/>
      <c r="DW23" s="1320"/>
      <c r="DX23" s="1320"/>
      <c r="DY23" s="1320"/>
      <c r="DZ23" s="1320"/>
      <c r="EA23" s="1320"/>
      <c r="EB23" s="1320"/>
      <c r="EC23" s="1320"/>
      <c r="ED23" s="1320"/>
      <c r="EE23" s="1320"/>
      <c r="EF23" s="1320"/>
      <c r="EG23" s="1320"/>
      <c r="EH23" s="1320"/>
      <c r="EI23" s="1320"/>
      <c r="EJ23" s="1320"/>
      <c r="EK23" s="1320"/>
      <c r="EL23" s="1320"/>
      <c r="EM23" s="1320"/>
      <c r="EN23" s="1320"/>
      <c r="EO23" s="1320"/>
      <c r="EP23" s="1320"/>
      <c r="EQ23" s="1320"/>
      <c r="ER23" s="1320"/>
      <c r="ES23" s="1320"/>
      <c r="ET23" s="1320"/>
      <c r="EU23" s="1320"/>
      <c r="EV23" s="1320"/>
      <c r="EW23" s="1320"/>
      <c r="EX23" s="1320"/>
      <c r="EY23" s="1320"/>
      <c r="EZ23" s="1320"/>
      <c r="FA23" s="1320"/>
      <c r="FB23" s="1320"/>
      <c r="FC23" s="1320"/>
      <c r="FD23" s="1320"/>
      <c r="FE23" s="1320"/>
      <c r="FF23" s="1320"/>
      <c r="FG23" s="1320"/>
      <c r="FH23" s="1320"/>
      <c r="FI23" s="1320"/>
      <c r="FJ23" s="1320"/>
      <c r="FK23" s="1320"/>
      <c r="FL23" s="1320"/>
      <c r="FM23" s="1320"/>
      <c r="FN23" s="1320"/>
      <c r="FO23" s="1320"/>
      <c r="FP23" s="1320"/>
      <c r="FQ23" s="1320"/>
      <c r="FR23" s="1320"/>
      <c r="FS23" s="1320"/>
      <c r="FT23" s="1320"/>
      <c r="FU23" s="1320"/>
      <c r="FV23" s="1320"/>
      <c r="FW23" s="1320"/>
      <c r="FX23" s="1320"/>
      <c r="FY23" s="1320"/>
      <c r="FZ23" s="1320"/>
      <c r="GA23" s="1320"/>
      <c r="GB23" s="1320"/>
      <c r="GC23" s="1320"/>
      <c r="GD23" s="1320"/>
      <c r="GE23" s="1320"/>
      <c r="GF23" s="1320"/>
      <c r="GG23" s="1320"/>
      <c r="GH23" s="1320"/>
      <c r="GI23" s="1320"/>
      <c r="GJ23" s="1320"/>
      <c r="GK23" s="1320"/>
      <c r="GL23" s="1320"/>
      <c r="GM23" s="1320"/>
      <c r="GN23" s="1320"/>
      <c r="GO23" s="1320"/>
      <c r="GP23" s="1320"/>
      <c r="GQ23" s="1320"/>
      <c r="GR23" s="1320"/>
      <c r="GS23" s="1320"/>
      <c r="GT23" s="1320"/>
      <c r="GU23" s="1320"/>
      <c r="GV23" s="1320"/>
      <c r="GW23" s="1320"/>
      <c r="GX23" s="1320"/>
      <c r="GY23" s="1320"/>
      <c r="GZ23" s="1320"/>
      <c r="HA23" s="1320"/>
      <c r="HB23" s="1320"/>
      <c r="HC23" s="1320"/>
      <c r="HD23" s="1320"/>
      <c r="HE23" s="1320"/>
      <c r="HF23" s="1320"/>
      <c r="HG23" s="1320"/>
      <c r="HH23" s="1320"/>
      <c r="HI23" s="1320"/>
      <c r="HJ23" s="1320"/>
      <c r="HK23" s="1320"/>
      <c r="HL23" s="1320"/>
      <c r="HM23" s="1320"/>
      <c r="HN23" s="1320"/>
      <c r="HO23" s="1320"/>
      <c r="HP23" s="1320"/>
      <c r="HQ23" s="1320"/>
      <c r="HR23" s="1320"/>
      <c r="HS23" s="1320"/>
      <c r="HT23" s="1320"/>
      <c r="HU23" s="1320"/>
      <c r="HV23" s="1320"/>
      <c r="HW23" s="1320"/>
      <c r="HX23" s="1320"/>
      <c r="HY23" s="1320"/>
      <c r="HZ23" s="1320"/>
      <c r="IA23" s="1320"/>
      <c r="IB23" s="1320"/>
      <c r="IC23" s="1320"/>
      <c r="ID23" s="1320"/>
      <c r="IE23" s="1320"/>
      <c r="IF23" s="1320"/>
      <c r="IG23" s="1320"/>
      <c r="IH23" s="1320"/>
      <c r="II23" s="1320"/>
      <c r="IJ23" s="1320"/>
      <c r="IK23" s="1320"/>
      <c r="IL23" s="1320"/>
      <c r="IM23" s="1320"/>
      <c r="IN23" s="1320"/>
      <c r="IO23" s="1320"/>
      <c r="IP23" s="1320"/>
      <c r="IQ23" s="1320"/>
      <c r="IR23" s="1320"/>
      <c r="IS23" s="1320"/>
      <c r="IT23" s="1320"/>
      <c r="IU23" s="1320"/>
      <c r="IV23" s="1320"/>
    </row>
    <row r="24" spans="1:256" ht="26.25" customHeight="1">
      <c r="A24" s="1349">
        <v>41</v>
      </c>
      <c r="B24" s="1337" t="s">
        <v>7095</v>
      </c>
      <c r="C24" s="1337"/>
      <c r="D24" s="1337"/>
      <c r="E24" s="1337"/>
      <c r="F24" s="1337"/>
      <c r="G24" s="1337"/>
      <c r="H24" s="1343"/>
      <c r="I24" s="1344"/>
      <c r="J24" s="1342"/>
      <c r="K24" s="1320"/>
      <c r="L24" s="1320"/>
      <c r="M24" s="1320"/>
      <c r="N24" s="1320"/>
      <c r="O24" s="1320"/>
      <c r="P24" s="1320"/>
      <c r="Q24" s="1320"/>
      <c r="R24" s="1320"/>
      <c r="S24" s="1320"/>
      <c r="T24" s="1320"/>
      <c r="U24" s="1320"/>
      <c r="V24" s="1320"/>
      <c r="W24" s="1320"/>
      <c r="X24" s="1320"/>
      <c r="Y24" s="1320"/>
      <c r="Z24" s="1320"/>
      <c r="AA24" s="1320"/>
      <c r="AB24" s="1320"/>
      <c r="AC24" s="1320"/>
      <c r="AD24" s="1320"/>
      <c r="AE24" s="1320"/>
      <c r="AF24" s="1320"/>
      <c r="AG24" s="1320"/>
      <c r="AH24" s="1320"/>
      <c r="AI24" s="1320"/>
      <c r="AJ24" s="1320"/>
      <c r="AK24" s="1320"/>
      <c r="AL24" s="1320"/>
      <c r="AM24" s="1320"/>
      <c r="AN24" s="1320"/>
      <c r="AO24" s="1320"/>
      <c r="AP24" s="1320"/>
      <c r="AQ24" s="1320"/>
      <c r="AR24" s="1320"/>
      <c r="AS24" s="1320"/>
      <c r="AT24" s="1320"/>
      <c r="AU24" s="1320"/>
      <c r="AV24" s="1320"/>
      <c r="AW24" s="1320"/>
      <c r="AX24" s="1320"/>
      <c r="AY24" s="1320"/>
      <c r="AZ24" s="1320"/>
      <c r="BA24" s="1320"/>
      <c r="BB24" s="1320"/>
      <c r="BC24" s="1320"/>
      <c r="BD24" s="1320"/>
      <c r="BE24" s="1320"/>
      <c r="BF24" s="1320"/>
      <c r="BG24" s="1320"/>
      <c r="BH24" s="1320"/>
      <c r="BI24" s="1320"/>
      <c r="BJ24" s="1320"/>
      <c r="BK24" s="1320"/>
      <c r="BL24" s="1320"/>
      <c r="BM24" s="1320"/>
      <c r="BN24" s="1320"/>
      <c r="BO24" s="1320"/>
      <c r="BP24" s="1320"/>
      <c r="BQ24" s="1320"/>
      <c r="BR24" s="1320"/>
      <c r="BS24" s="1320"/>
      <c r="BT24" s="1320"/>
      <c r="BU24" s="1320"/>
      <c r="BV24" s="1320"/>
      <c r="BW24" s="1320"/>
      <c r="BX24" s="1320"/>
      <c r="BY24" s="1320"/>
      <c r="BZ24" s="1320"/>
      <c r="CA24" s="1320"/>
      <c r="CB24" s="1320"/>
      <c r="CC24" s="1320"/>
      <c r="CD24" s="1320"/>
      <c r="CE24" s="1320"/>
      <c r="CF24" s="1320"/>
      <c r="CG24" s="1320"/>
      <c r="CH24" s="1320"/>
      <c r="CI24" s="1320"/>
      <c r="CJ24" s="1320"/>
      <c r="CK24" s="1320"/>
      <c r="CL24" s="1320"/>
      <c r="CM24" s="1320"/>
      <c r="CN24" s="1320"/>
      <c r="CO24" s="1320"/>
      <c r="CP24" s="1320"/>
      <c r="CQ24" s="1320"/>
      <c r="CR24" s="1320"/>
      <c r="CS24" s="1320"/>
      <c r="CT24" s="1320"/>
      <c r="CU24" s="1320"/>
      <c r="CV24" s="1320"/>
      <c r="CW24" s="1320"/>
      <c r="CX24" s="1320"/>
      <c r="CY24" s="1320"/>
      <c r="CZ24" s="1320"/>
      <c r="DA24" s="1320"/>
      <c r="DB24" s="1320"/>
      <c r="DC24" s="1320"/>
      <c r="DD24" s="1320"/>
      <c r="DE24" s="1320"/>
      <c r="DF24" s="1320"/>
      <c r="DG24" s="1320"/>
      <c r="DH24" s="1320"/>
      <c r="DI24" s="1320"/>
      <c r="DJ24" s="1320"/>
      <c r="DK24" s="1320"/>
      <c r="DL24" s="1320"/>
      <c r="DM24" s="1320"/>
      <c r="DN24" s="1320"/>
      <c r="DO24" s="1320"/>
      <c r="DP24" s="1320"/>
      <c r="DQ24" s="1320"/>
      <c r="DR24" s="1320"/>
      <c r="DS24" s="1320"/>
      <c r="DT24" s="1320"/>
      <c r="DU24" s="1320"/>
      <c r="DV24" s="1320"/>
      <c r="DW24" s="1320"/>
      <c r="DX24" s="1320"/>
      <c r="DY24" s="1320"/>
      <c r="DZ24" s="1320"/>
      <c r="EA24" s="1320"/>
      <c r="EB24" s="1320"/>
      <c r="EC24" s="1320"/>
      <c r="ED24" s="1320"/>
      <c r="EE24" s="1320"/>
      <c r="EF24" s="1320"/>
      <c r="EG24" s="1320"/>
      <c r="EH24" s="1320"/>
      <c r="EI24" s="1320"/>
      <c r="EJ24" s="1320"/>
      <c r="EK24" s="1320"/>
      <c r="EL24" s="1320"/>
      <c r="EM24" s="1320"/>
      <c r="EN24" s="1320"/>
      <c r="EO24" s="1320"/>
      <c r="EP24" s="1320"/>
      <c r="EQ24" s="1320"/>
      <c r="ER24" s="1320"/>
      <c r="ES24" s="1320"/>
      <c r="ET24" s="1320"/>
      <c r="EU24" s="1320"/>
      <c r="EV24" s="1320"/>
      <c r="EW24" s="1320"/>
      <c r="EX24" s="1320"/>
      <c r="EY24" s="1320"/>
      <c r="EZ24" s="1320"/>
      <c r="FA24" s="1320"/>
      <c r="FB24" s="1320"/>
      <c r="FC24" s="1320"/>
      <c r="FD24" s="1320"/>
      <c r="FE24" s="1320"/>
      <c r="FF24" s="1320"/>
      <c r="FG24" s="1320"/>
      <c r="FH24" s="1320"/>
      <c r="FI24" s="1320"/>
      <c r="FJ24" s="1320"/>
      <c r="FK24" s="1320"/>
      <c r="FL24" s="1320"/>
      <c r="FM24" s="1320"/>
      <c r="FN24" s="1320"/>
      <c r="FO24" s="1320"/>
      <c r="FP24" s="1320"/>
      <c r="FQ24" s="1320"/>
      <c r="FR24" s="1320"/>
      <c r="FS24" s="1320"/>
      <c r="FT24" s="1320"/>
      <c r="FU24" s="1320"/>
      <c r="FV24" s="1320"/>
      <c r="FW24" s="1320"/>
      <c r="FX24" s="1320"/>
      <c r="FY24" s="1320"/>
      <c r="FZ24" s="1320"/>
      <c r="GA24" s="1320"/>
      <c r="GB24" s="1320"/>
      <c r="GC24" s="1320"/>
      <c r="GD24" s="1320"/>
      <c r="GE24" s="1320"/>
      <c r="GF24" s="1320"/>
      <c r="GG24" s="1320"/>
      <c r="GH24" s="1320"/>
      <c r="GI24" s="1320"/>
      <c r="GJ24" s="1320"/>
      <c r="GK24" s="1320"/>
      <c r="GL24" s="1320"/>
      <c r="GM24" s="1320"/>
      <c r="GN24" s="1320"/>
      <c r="GO24" s="1320"/>
      <c r="GP24" s="1320"/>
      <c r="GQ24" s="1320"/>
      <c r="GR24" s="1320"/>
      <c r="GS24" s="1320"/>
      <c r="GT24" s="1320"/>
      <c r="GU24" s="1320"/>
      <c r="GV24" s="1320"/>
      <c r="GW24" s="1320"/>
      <c r="GX24" s="1320"/>
      <c r="GY24" s="1320"/>
      <c r="GZ24" s="1320"/>
      <c r="HA24" s="1320"/>
      <c r="HB24" s="1320"/>
      <c r="HC24" s="1320"/>
      <c r="HD24" s="1320"/>
      <c r="HE24" s="1320"/>
      <c r="HF24" s="1320"/>
      <c r="HG24" s="1320"/>
      <c r="HH24" s="1320"/>
      <c r="HI24" s="1320"/>
      <c r="HJ24" s="1320"/>
      <c r="HK24" s="1320"/>
      <c r="HL24" s="1320"/>
      <c r="HM24" s="1320"/>
      <c r="HN24" s="1320"/>
      <c r="HO24" s="1320"/>
      <c r="HP24" s="1320"/>
      <c r="HQ24" s="1320"/>
      <c r="HR24" s="1320"/>
      <c r="HS24" s="1320"/>
      <c r="HT24" s="1320"/>
      <c r="HU24" s="1320"/>
      <c r="HV24" s="1320"/>
      <c r="HW24" s="1320"/>
      <c r="HX24" s="1320"/>
      <c r="HY24" s="1320"/>
      <c r="HZ24" s="1320"/>
      <c r="IA24" s="1320"/>
      <c r="IB24" s="1320"/>
      <c r="IC24" s="1320"/>
      <c r="ID24" s="1320"/>
      <c r="IE24" s="1320"/>
      <c r="IF24" s="1320"/>
      <c r="IG24" s="1320"/>
      <c r="IH24" s="1320"/>
      <c r="II24" s="1320"/>
      <c r="IJ24" s="1320"/>
      <c r="IK24" s="1320"/>
      <c r="IL24" s="1320"/>
      <c r="IM24" s="1320"/>
      <c r="IN24" s="1320"/>
      <c r="IO24" s="1320"/>
      <c r="IP24" s="1320"/>
      <c r="IQ24" s="1320"/>
      <c r="IR24" s="1320"/>
      <c r="IS24" s="1320"/>
      <c r="IT24" s="1320"/>
      <c r="IU24" s="1320"/>
      <c r="IV24" s="1320"/>
    </row>
    <row r="25" spans="1:256" ht="26.25" customHeight="1">
      <c r="A25" s="1349"/>
      <c r="B25" s="1337" t="s">
        <v>7094</v>
      </c>
      <c r="C25" s="1339">
        <v>1</v>
      </c>
      <c r="D25" s="1339">
        <v>2</v>
      </c>
      <c r="E25" s="1340">
        <v>18</v>
      </c>
      <c r="F25" s="1339"/>
      <c r="G25" s="808">
        <v>0.32</v>
      </c>
      <c r="H25" s="1341">
        <f>PRODUCT(C25:G25)</f>
        <v>11.52</v>
      </c>
      <c r="I25" s="1344"/>
      <c r="J25" s="1342"/>
      <c r="K25" s="1320"/>
      <c r="L25" s="1320"/>
      <c r="M25" s="1320"/>
      <c r="N25" s="1320"/>
      <c r="O25" s="1320"/>
      <c r="P25" s="1320"/>
      <c r="Q25" s="1320"/>
      <c r="R25" s="1320"/>
      <c r="S25" s="1320"/>
      <c r="T25" s="1320"/>
      <c r="U25" s="1320"/>
      <c r="V25" s="1320"/>
      <c r="W25" s="1320"/>
      <c r="X25" s="1320"/>
      <c r="Y25" s="1320"/>
      <c r="Z25" s="1320"/>
      <c r="AA25" s="1320"/>
      <c r="AB25" s="1320"/>
      <c r="AC25" s="1320"/>
      <c r="AD25" s="1320"/>
      <c r="AE25" s="1320"/>
      <c r="AF25" s="1320"/>
      <c r="AG25" s="1320"/>
      <c r="AH25" s="1320"/>
      <c r="AI25" s="1320"/>
      <c r="AJ25" s="1320"/>
      <c r="AK25" s="1320"/>
      <c r="AL25" s="1320"/>
      <c r="AM25" s="1320"/>
      <c r="AN25" s="1320"/>
      <c r="AO25" s="1320"/>
      <c r="AP25" s="1320"/>
      <c r="AQ25" s="1320"/>
      <c r="AR25" s="1320"/>
      <c r="AS25" s="1320"/>
      <c r="AT25" s="1320"/>
      <c r="AU25" s="1320"/>
      <c r="AV25" s="1320"/>
      <c r="AW25" s="1320"/>
      <c r="AX25" s="1320"/>
      <c r="AY25" s="1320"/>
      <c r="AZ25" s="1320"/>
      <c r="BA25" s="1320"/>
      <c r="BB25" s="1320"/>
      <c r="BC25" s="1320"/>
      <c r="BD25" s="1320"/>
      <c r="BE25" s="1320"/>
      <c r="BF25" s="1320"/>
      <c r="BG25" s="1320"/>
      <c r="BH25" s="1320"/>
      <c r="BI25" s="1320"/>
      <c r="BJ25" s="1320"/>
      <c r="BK25" s="1320"/>
      <c r="BL25" s="1320"/>
      <c r="BM25" s="1320"/>
      <c r="BN25" s="1320"/>
      <c r="BO25" s="1320"/>
      <c r="BP25" s="1320"/>
      <c r="BQ25" s="1320"/>
      <c r="BR25" s="1320"/>
      <c r="BS25" s="1320"/>
      <c r="BT25" s="1320"/>
      <c r="BU25" s="1320"/>
      <c r="BV25" s="1320"/>
      <c r="BW25" s="1320"/>
      <c r="BX25" s="1320"/>
      <c r="BY25" s="1320"/>
      <c r="BZ25" s="1320"/>
      <c r="CA25" s="1320"/>
      <c r="CB25" s="1320"/>
      <c r="CC25" s="1320"/>
      <c r="CD25" s="1320"/>
      <c r="CE25" s="1320"/>
      <c r="CF25" s="1320"/>
      <c r="CG25" s="1320"/>
      <c r="CH25" s="1320"/>
      <c r="CI25" s="1320"/>
      <c r="CJ25" s="1320"/>
      <c r="CK25" s="1320"/>
      <c r="CL25" s="1320"/>
      <c r="CM25" s="1320"/>
      <c r="CN25" s="1320"/>
      <c r="CO25" s="1320"/>
      <c r="CP25" s="1320"/>
      <c r="CQ25" s="1320"/>
      <c r="CR25" s="1320"/>
      <c r="CS25" s="1320"/>
      <c r="CT25" s="1320"/>
      <c r="CU25" s="1320"/>
      <c r="CV25" s="1320"/>
      <c r="CW25" s="1320"/>
      <c r="CX25" s="1320"/>
      <c r="CY25" s="1320"/>
      <c r="CZ25" s="1320"/>
      <c r="DA25" s="1320"/>
      <c r="DB25" s="1320"/>
      <c r="DC25" s="1320"/>
      <c r="DD25" s="1320"/>
      <c r="DE25" s="1320"/>
      <c r="DF25" s="1320"/>
      <c r="DG25" s="1320"/>
      <c r="DH25" s="1320"/>
      <c r="DI25" s="1320"/>
      <c r="DJ25" s="1320"/>
      <c r="DK25" s="1320"/>
      <c r="DL25" s="1320"/>
      <c r="DM25" s="1320"/>
      <c r="DN25" s="1320"/>
      <c r="DO25" s="1320"/>
      <c r="DP25" s="1320"/>
      <c r="DQ25" s="1320"/>
      <c r="DR25" s="1320"/>
      <c r="DS25" s="1320"/>
      <c r="DT25" s="1320"/>
      <c r="DU25" s="1320"/>
      <c r="DV25" s="1320"/>
      <c r="DW25" s="1320"/>
      <c r="DX25" s="1320"/>
      <c r="DY25" s="1320"/>
      <c r="DZ25" s="1320"/>
      <c r="EA25" s="1320"/>
      <c r="EB25" s="1320"/>
      <c r="EC25" s="1320"/>
      <c r="ED25" s="1320"/>
      <c r="EE25" s="1320"/>
      <c r="EF25" s="1320"/>
      <c r="EG25" s="1320"/>
      <c r="EH25" s="1320"/>
      <c r="EI25" s="1320"/>
      <c r="EJ25" s="1320"/>
      <c r="EK25" s="1320"/>
      <c r="EL25" s="1320"/>
      <c r="EM25" s="1320"/>
      <c r="EN25" s="1320"/>
      <c r="EO25" s="1320"/>
      <c r="EP25" s="1320"/>
      <c r="EQ25" s="1320"/>
      <c r="ER25" s="1320"/>
      <c r="ES25" s="1320"/>
      <c r="ET25" s="1320"/>
      <c r="EU25" s="1320"/>
      <c r="EV25" s="1320"/>
      <c r="EW25" s="1320"/>
      <c r="EX25" s="1320"/>
      <c r="EY25" s="1320"/>
      <c r="EZ25" s="1320"/>
      <c r="FA25" s="1320"/>
      <c r="FB25" s="1320"/>
      <c r="FC25" s="1320"/>
      <c r="FD25" s="1320"/>
      <c r="FE25" s="1320"/>
      <c r="FF25" s="1320"/>
      <c r="FG25" s="1320"/>
      <c r="FH25" s="1320"/>
      <c r="FI25" s="1320"/>
      <c r="FJ25" s="1320"/>
      <c r="FK25" s="1320"/>
      <c r="FL25" s="1320"/>
      <c r="FM25" s="1320"/>
      <c r="FN25" s="1320"/>
      <c r="FO25" s="1320"/>
      <c r="FP25" s="1320"/>
      <c r="FQ25" s="1320"/>
      <c r="FR25" s="1320"/>
      <c r="FS25" s="1320"/>
      <c r="FT25" s="1320"/>
      <c r="FU25" s="1320"/>
      <c r="FV25" s="1320"/>
      <c r="FW25" s="1320"/>
      <c r="FX25" s="1320"/>
      <c r="FY25" s="1320"/>
      <c r="FZ25" s="1320"/>
      <c r="GA25" s="1320"/>
      <c r="GB25" s="1320"/>
      <c r="GC25" s="1320"/>
      <c r="GD25" s="1320"/>
      <c r="GE25" s="1320"/>
      <c r="GF25" s="1320"/>
      <c r="GG25" s="1320"/>
      <c r="GH25" s="1320"/>
      <c r="GI25" s="1320"/>
      <c r="GJ25" s="1320"/>
      <c r="GK25" s="1320"/>
      <c r="GL25" s="1320"/>
      <c r="GM25" s="1320"/>
      <c r="GN25" s="1320"/>
      <c r="GO25" s="1320"/>
      <c r="GP25" s="1320"/>
      <c r="GQ25" s="1320"/>
      <c r="GR25" s="1320"/>
      <c r="GS25" s="1320"/>
      <c r="GT25" s="1320"/>
      <c r="GU25" s="1320"/>
      <c r="GV25" s="1320"/>
      <c r="GW25" s="1320"/>
      <c r="GX25" s="1320"/>
      <c r="GY25" s="1320"/>
      <c r="GZ25" s="1320"/>
      <c r="HA25" s="1320"/>
      <c r="HB25" s="1320"/>
      <c r="HC25" s="1320"/>
      <c r="HD25" s="1320"/>
      <c r="HE25" s="1320"/>
      <c r="HF25" s="1320"/>
      <c r="HG25" s="1320"/>
      <c r="HH25" s="1320"/>
      <c r="HI25" s="1320"/>
      <c r="HJ25" s="1320"/>
      <c r="HK25" s="1320"/>
      <c r="HL25" s="1320"/>
      <c r="HM25" s="1320"/>
      <c r="HN25" s="1320"/>
      <c r="HO25" s="1320"/>
      <c r="HP25" s="1320"/>
      <c r="HQ25" s="1320"/>
      <c r="HR25" s="1320"/>
      <c r="HS25" s="1320"/>
      <c r="HT25" s="1320"/>
      <c r="HU25" s="1320"/>
      <c r="HV25" s="1320"/>
      <c r="HW25" s="1320"/>
      <c r="HX25" s="1320"/>
      <c r="HY25" s="1320"/>
      <c r="HZ25" s="1320"/>
      <c r="IA25" s="1320"/>
      <c r="IB25" s="1320"/>
      <c r="IC25" s="1320"/>
      <c r="ID25" s="1320"/>
      <c r="IE25" s="1320"/>
      <c r="IF25" s="1320"/>
      <c r="IG25" s="1320"/>
      <c r="IH25" s="1320"/>
      <c r="II25" s="1320"/>
      <c r="IJ25" s="1320"/>
      <c r="IK25" s="1320"/>
      <c r="IL25" s="1320"/>
      <c r="IM25" s="1320"/>
      <c r="IN25" s="1320"/>
      <c r="IO25" s="1320"/>
      <c r="IP25" s="1320"/>
      <c r="IQ25" s="1320"/>
      <c r="IR25" s="1320"/>
      <c r="IS25" s="1320"/>
      <c r="IT25" s="1320"/>
      <c r="IU25" s="1320"/>
      <c r="IV25" s="1320"/>
    </row>
    <row r="26" spans="1:256" ht="23.25" customHeight="1">
      <c r="A26" s="1349"/>
      <c r="B26" s="1337" t="s">
        <v>7096</v>
      </c>
      <c r="C26" s="1339">
        <v>2</v>
      </c>
      <c r="D26" s="1339">
        <v>2</v>
      </c>
      <c r="E26" s="1340">
        <v>2.5</v>
      </c>
      <c r="F26" s="1339"/>
      <c r="G26" s="808">
        <v>0.32</v>
      </c>
      <c r="H26" s="1341">
        <f>PRODUCT(C26:G26)</f>
        <v>3.2</v>
      </c>
      <c r="I26" s="1344"/>
      <c r="J26" s="1342"/>
      <c r="K26" s="1320"/>
      <c r="L26" s="1320"/>
      <c r="M26" s="1320"/>
      <c r="N26" s="1320"/>
      <c r="O26" s="1320"/>
      <c r="P26" s="1320"/>
      <c r="Q26" s="1320"/>
      <c r="R26" s="1320"/>
      <c r="S26" s="1320"/>
      <c r="T26" s="1320"/>
      <c r="U26" s="1320"/>
      <c r="V26" s="1320"/>
      <c r="W26" s="1320"/>
      <c r="X26" s="1320"/>
      <c r="Y26" s="1320"/>
      <c r="Z26" s="1320"/>
      <c r="AA26" s="1320"/>
      <c r="AB26" s="1320"/>
      <c r="AC26" s="1320"/>
      <c r="AD26" s="1320"/>
      <c r="AE26" s="1320"/>
      <c r="AF26" s="1320"/>
      <c r="AG26" s="1320"/>
      <c r="AH26" s="1320"/>
      <c r="AI26" s="1320"/>
      <c r="AJ26" s="1320"/>
      <c r="AK26" s="1320"/>
      <c r="AL26" s="1320"/>
      <c r="AM26" s="1320"/>
      <c r="AN26" s="1320"/>
      <c r="AO26" s="1320"/>
      <c r="AP26" s="1320"/>
      <c r="AQ26" s="1320"/>
      <c r="AR26" s="1320"/>
      <c r="AS26" s="1320"/>
      <c r="AT26" s="1320"/>
      <c r="AU26" s="1320"/>
      <c r="AV26" s="1320"/>
      <c r="AW26" s="1320"/>
      <c r="AX26" s="1320"/>
      <c r="AY26" s="1320"/>
      <c r="AZ26" s="1320"/>
      <c r="BA26" s="1320"/>
      <c r="BB26" s="1320"/>
      <c r="BC26" s="1320"/>
      <c r="BD26" s="1320"/>
      <c r="BE26" s="1320"/>
      <c r="BF26" s="1320"/>
      <c r="BG26" s="1320"/>
      <c r="BH26" s="1320"/>
      <c r="BI26" s="1320"/>
      <c r="BJ26" s="1320"/>
      <c r="BK26" s="1320"/>
      <c r="BL26" s="1320"/>
      <c r="BM26" s="1320"/>
      <c r="BN26" s="1320"/>
      <c r="BO26" s="1320"/>
      <c r="BP26" s="1320"/>
      <c r="BQ26" s="1320"/>
      <c r="BR26" s="1320"/>
      <c r="BS26" s="1320"/>
      <c r="BT26" s="1320"/>
      <c r="BU26" s="1320"/>
      <c r="BV26" s="1320"/>
      <c r="BW26" s="1320"/>
      <c r="BX26" s="1320"/>
      <c r="BY26" s="1320"/>
      <c r="BZ26" s="1320"/>
      <c r="CA26" s="1320"/>
      <c r="CB26" s="1320"/>
      <c r="CC26" s="1320"/>
      <c r="CD26" s="1320"/>
      <c r="CE26" s="1320"/>
      <c r="CF26" s="1320"/>
      <c r="CG26" s="1320"/>
      <c r="CH26" s="1320"/>
      <c r="CI26" s="1320"/>
      <c r="CJ26" s="1320"/>
      <c r="CK26" s="1320"/>
      <c r="CL26" s="1320"/>
      <c r="CM26" s="1320"/>
      <c r="CN26" s="1320"/>
      <c r="CO26" s="1320"/>
      <c r="CP26" s="1320"/>
      <c r="CQ26" s="1320"/>
      <c r="CR26" s="1320"/>
      <c r="CS26" s="1320"/>
      <c r="CT26" s="1320"/>
      <c r="CU26" s="1320"/>
      <c r="CV26" s="1320"/>
      <c r="CW26" s="1320"/>
      <c r="CX26" s="1320"/>
      <c r="CY26" s="1320"/>
      <c r="CZ26" s="1320"/>
      <c r="DA26" s="1320"/>
      <c r="DB26" s="1320"/>
      <c r="DC26" s="1320"/>
      <c r="DD26" s="1320"/>
      <c r="DE26" s="1320"/>
      <c r="DF26" s="1320"/>
      <c r="DG26" s="1320"/>
      <c r="DH26" s="1320"/>
      <c r="DI26" s="1320"/>
      <c r="DJ26" s="1320"/>
      <c r="DK26" s="1320"/>
      <c r="DL26" s="1320"/>
      <c r="DM26" s="1320"/>
      <c r="DN26" s="1320"/>
      <c r="DO26" s="1320"/>
      <c r="DP26" s="1320"/>
      <c r="DQ26" s="1320"/>
      <c r="DR26" s="1320"/>
      <c r="DS26" s="1320"/>
      <c r="DT26" s="1320"/>
      <c r="DU26" s="1320"/>
      <c r="DV26" s="1320"/>
      <c r="DW26" s="1320"/>
      <c r="DX26" s="1320"/>
      <c r="DY26" s="1320"/>
      <c r="DZ26" s="1320"/>
      <c r="EA26" s="1320"/>
      <c r="EB26" s="1320"/>
      <c r="EC26" s="1320"/>
      <c r="ED26" s="1320"/>
      <c r="EE26" s="1320"/>
      <c r="EF26" s="1320"/>
      <c r="EG26" s="1320"/>
      <c r="EH26" s="1320"/>
      <c r="EI26" s="1320"/>
      <c r="EJ26" s="1320"/>
      <c r="EK26" s="1320"/>
      <c r="EL26" s="1320"/>
      <c r="EM26" s="1320"/>
      <c r="EN26" s="1320"/>
      <c r="EO26" s="1320"/>
      <c r="EP26" s="1320"/>
      <c r="EQ26" s="1320"/>
      <c r="ER26" s="1320"/>
      <c r="ES26" s="1320"/>
      <c r="ET26" s="1320"/>
      <c r="EU26" s="1320"/>
      <c r="EV26" s="1320"/>
      <c r="EW26" s="1320"/>
      <c r="EX26" s="1320"/>
      <c r="EY26" s="1320"/>
      <c r="EZ26" s="1320"/>
      <c r="FA26" s="1320"/>
      <c r="FB26" s="1320"/>
      <c r="FC26" s="1320"/>
      <c r="FD26" s="1320"/>
      <c r="FE26" s="1320"/>
      <c r="FF26" s="1320"/>
      <c r="FG26" s="1320"/>
      <c r="FH26" s="1320"/>
      <c r="FI26" s="1320"/>
      <c r="FJ26" s="1320"/>
      <c r="FK26" s="1320"/>
      <c r="FL26" s="1320"/>
      <c r="FM26" s="1320"/>
      <c r="FN26" s="1320"/>
      <c r="FO26" s="1320"/>
      <c r="FP26" s="1320"/>
      <c r="FQ26" s="1320"/>
      <c r="FR26" s="1320"/>
      <c r="FS26" s="1320"/>
      <c r="FT26" s="1320"/>
      <c r="FU26" s="1320"/>
      <c r="FV26" s="1320"/>
      <c r="FW26" s="1320"/>
      <c r="FX26" s="1320"/>
      <c r="FY26" s="1320"/>
      <c r="FZ26" s="1320"/>
      <c r="GA26" s="1320"/>
      <c r="GB26" s="1320"/>
      <c r="GC26" s="1320"/>
      <c r="GD26" s="1320"/>
      <c r="GE26" s="1320"/>
      <c r="GF26" s="1320"/>
      <c r="GG26" s="1320"/>
      <c r="GH26" s="1320"/>
      <c r="GI26" s="1320"/>
      <c r="GJ26" s="1320"/>
      <c r="GK26" s="1320"/>
      <c r="GL26" s="1320"/>
      <c r="GM26" s="1320"/>
      <c r="GN26" s="1320"/>
      <c r="GO26" s="1320"/>
      <c r="GP26" s="1320"/>
      <c r="GQ26" s="1320"/>
      <c r="GR26" s="1320"/>
      <c r="GS26" s="1320"/>
      <c r="GT26" s="1320"/>
      <c r="GU26" s="1320"/>
      <c r="GV26" s="1320"/>
      <c r="GW26" s="1320"/>
      <c r="GX26" s="1320"/>
      <c r="GY26" s="1320"/>
      <c r="GZ26" s="1320"/>
      <c r="HA26" s="1320"/>
      <c r="HB26" s="1320"/>
      <c r="HC26" s="1320"/>
      <c r="HD26" s="1320"/>
      <c r="HE26" s="1320"/>
      <c r="HF26" s="1320"/>
      <c r="HG26" s="1320"/>
      <c r="HH26" s="1320"/>
      <c r="HI26" s="1320"/>
      <c r="HJ26" s="1320"/>
      <c r="HK26" s="1320"/>
      <c r="HL26" s="1320"/>
      <c r="HM26" s="1320"/>
      <c r="HN26" s="1320"/>
      <c r="HO26" s="1320"/>
      <c r="HP26" s="1320"/>
      <c r="HQ26" s="1320"/>
      <c r="HR26" s="1320"/>
      <c r="HS26" s="1320"/>
      <c r="HT26" s="1320"/>
      <c r="HU26" s="1320"/>
      <c r="HV26" s="1320"/>
      <c r="HW26" s="1320"/>
      <c r="HX26" s="1320"/>
      <c r="HY26" s="1320"/>
      <c r="HZ26" s="1320"/>
      <c r="IA26" s="1320"/>
      <c r="IB26" s="1320"/>
      <c r="IC26" s="1320"/>
      <c r="ID26" s="1320"/>
      <c r="IE26" s="1320"/>
      <c r="IF26" s="1320"/>
      <c r="IG26" s="1320"/>
      <c r="IH26" s="1320"/>
      <c r="II26" s="1320"/>
      <c r="IJ26" s="1320"/>
      <c r="IK26" s="1320"/>
      <c r="IL26" s="1320"/>
      <c r="IM26" s="1320"/>
      <c r="IN26" s="1320"/>
      <c r="IO26" s="1320"/>
      <c r="IP26" s="1320"/>
      <c r="IQ26" s="1320"/>
      <c r="IR26" s="1320"/>
      <c r="IS26" s="1320"/>
      <c r="IT26" s="1320"/>
      <c r="IU26" s="1320"/>
      <c r="IV26" s="1320"/>
    </row>
    <row r="27" spans="1:256" ht="23.25" customHeight="1">
      <c r="A27" s="1349"/>
      <c r="B27" s="1337"/>
      <c r="C27" s="1339"/>
      <c r="D27" s="1339"/>
      <c r="E27" s="1339"/>
      <c r="F27" s="1339"/>
      <c r="G27" s="781" t="s">
        <v>2235</v>
      </c>
      <c r="H27" s="1343">
        <f>SUM(H25:H26)</f>
        <v>14.72</v>
      </c>
      <c r="I27" s="1344" t="s">
        <v>2273</v>
      </c>
      <c r="J27" s="1342"/>
      <c r="K27" s="1320"/>
      <c r="L27" s="1320"/>
      <c r="M27" s="1320"/>
      <c r="N27" s="1320"/>
      <c r="O27" s="1320"/>
      <c r="P27" s="1320"/>
      <c r="Q27" s="1320"/>
      <c r="R27" s="1320"/>
      <c r="S27" s="1320"/>
      <c r="T27" s="1320"/>
      <c r="U27" s="1320"/>
      <c r="V27" s="1320"/>
      <c r="W27" s="1320"/>
      <c r="X27" s="1320"/>
      <c r="Y27" s="1320"/>
      <c r="Z27" s="1320"/>
      <c r="AA27" s="1320"/>
      <c r="AB27" s="1320"/>
      <c r="AC27" s="1320"/>
      <c r="AD27" s="1320"/>
      <c r="AE27" s="1320"/>
      <c r="AF27" s="1320"/>
      <c r="AG27" s="1320"/>
      <c r="AH27" s="1320"/>
      <c r="AI27" s="1320"/>
      <c r="AJ27" s="1320"/>
      <c r="AK27" s="1320"/>
      <c r="AL27" s="1320"/>
      <c r="AM27" s="1320"/>
      <c r="AN27" s="1320"/>
      <c r="AO27" s="1320"/>
      <c r="AP27" s="1320"/>
      <c r="AQ27" s="1320"/>
      <c r="AR27" s="1320"/>
      <c r="AS27" s="1320"/>
      <c r="AT27" s="1320"/>
      <c r="AU27" s="1320"/>
      <c r="AV27" s="1320"/>
      <c r="AW27" s="1320"/>
      <c r="AX27" s="1320"/>
      <c r="AY27" s="1320"/>
      <c r="AZ27" s="1320"/>
      <c r="BA27" s="1320"/>
      <c r="BB27" s="1320"/>
      <c r="BC27" s="1320"/>
      <c r="BD27" s="1320"/>
      <c r="BE27" s="1320"/>
      <c r="BF27" s="1320"/>
      <c r="BG27" s="1320"/>
      <c r="BH27" s="1320"/>
      <c r="BI27" s="1320"/>
      <c r="BJ27" s="1320"/>
      <c r="BK27" s="1320"/>
      <c r="BL27" s="1320"/>
      <c r="BM27" s="1320"/>
      <c r="BN27" s="1320"/>
      <c r="BO27" s="1320"/>
      <c r="BP27" s="1320"/>
      <c r="BQ27" s="1320"/>
      <c r="BR27" s="1320"/>
      <c r="BS27" s="1320"/>
      <c r="BT27" s="1320"/>
      <c r="BU27" s="1320"/>
      <c r="BV27" s="1320"/>
      <c r="BW27" s="1320"/>
      <c r="BX27" s="1320"/>
      <c r="BY27" s="1320"/>
      <c r="BZ27" s="1320"/>
      <c r="CA27" s="1320"/>
      <c r="CB27" s="1320"/>
      <c r="CC27" s="1320"/>
      <c r="CD27" s="1320"/>
      <c r="CE27" s="1320"/>
      <c r="CF27" s="1320"/>
      <c r="CG27" s="1320"/>
      <c r="CH27" s="1320"/>
      <c r="CI27" s="1320"/>
      <c r="CJ27" s="1320"/>
      <c r="CK27" s="1320"/>
      <c r="CL27" s="1320"/>
      <c r="CM27" s="1320"/>
      <c r="CN27" s="1320"/>
      <c r="CO27" s="1320"/>
      <c r="CP27" s="1320"/>
      <c r="CQ27" s="1320"/>
      <c r="CR27" s="1320"/>
      <c r="CS27" s="1320"/>
      <c r="CT27" s="1320"/>
      <c r="CU27" s="1320"/>
      <c r="CV27" s="1320"/>
      <c r="CW27" s="1320"/>
      <c r="CX27" s="1320"/>
      <c r="CY27" s="1320"/>
      <c r="CZ27" s="1320"/>
      <c r="DA27" s="1320"/>
      <c r="DB27" s="1320"/>
      <c r="DC27" s="1320"/>
      <c r="DD27" s="1320"/>
      <c r="DE27" s="1320"/>
      <c r="DF27" s="1320"/>
      <c r="DG27" s="1320"/>
      <c r="DH27" s="1320"/>
      <c r="DI27" s="1320"/>
      <c r="DJ27" s="1320"/>
      <c r="DK27" s="1320"/>
      <c r="DL27" s="1320"/>
      <c r="DM27" s="1320"/>
      <c r="DN27" s="1320"/>
      <c r="DO27" s="1320"/>
      <c r="DP27" s="1320"/>
      <c r="DQ27" s="1320"/>
      <c r="DR27" s="1320"/>
      <c r="DS27" s="1320"/>
      <c r="DT27" s="1320"/>
      <c r="DU27" s="1320"/>
      <c r="DV27" s="1320"/>
      <c r="DW27" s="1320"/>
      <c r="DX27" s="1320"/>
      <c r="DY27" s="1320"/>
      <c r="DZ27" s="1320"/>
      <c r="EA27" s="1320"/>
      <c r="EB27" s="1320"/>
      <c r="EC27" s="1320"/>
      <c r="ED27" s="1320"/>
      <c r="EE27" s="1320"/>
      <c r="EF27" s="1320"/>
      <c r="EG27" s="1320"/>
      <c r="EH27" s="1320"/>
      <c r="EI27" s="1320"/>
      <c r="EJ27" s="1320"/>
      <c r="EK27" s="1320"/>
      <c r="EL27" s="1320"/>
      <c r="EM27" s="1320"/>
      <c r="EN27" s="1320"/>
      <c r="EO27" s="1320"/>
      <c r="EP27" s="1320"/>
      <c r="EQ27" s="1320"/>
      <c r="ER27" s="1320"/>
      <c r="ES27" s="1320"/>
      <c r="ET27" s="1320"/>
      <c r="EU27" s="1320"/>
      <c r="EV27" s="1320"/>
      <c r="EW27" s="1320"/>
      <c r="EX27" s="1320"/>
      <c r="EY27" s="1320"/>
      <c r="EZ27" s="1320"/>
      <c r="FA27" s="1320"/>
      <c r="FB27" s="1320"/>
      <c r="FC27" s="1320"/>
      <c r="FD27" s="1320"/>
      <c r="FE27" s="1320"/>
      <c r="FF27" s="1320"/>
      <c r="FG27" s="1320"/>
      <c r="FH27" s="1320"/>
      <c r="FI27" s="1320"/>
      <c r="FJ27" s="1320"/>
      <c r="FK27" s="1320"/>
      <c r="FL27" s="1320"/>
      <c r="FM27" s="1320"/>
      <c r="FN27" s="1320"/>
      <c r="FO27" s="1320"/>
      <c r="FP27" s="1320"/>
      <c r="FQ27" s="1320"/>
      <c r="FR27" s="1320"/>
      <c r="FS27" s="1320"/>
      <c r="FT27" s="1320"/>
      <c r="FU27" s="1320"/>
      <c r="FV27" s="1320"/>
      <c r="FW27" s="1320"/>
      <c r="FX27" s="1320"/>
      <c r="FY27" s="1320"/>
      <c r="FZ27" s="1320"/>
      <c r="GA27" s="1320"/>
      <c r="GB27" s="1320"/>
      <c r="GC27" s="1320"/>
      <c r="GD27" s="1320"/>
      <c r="GE27" s="1320"/>
      <c r="GF27" s="1320"/>
      <c r="GG27" s="1320"/>
      <c r="GH27" s="1320"/>
      <c r="GI27" s="1320"/>
      <c r="GJ27" s="1320"/>
      <c r="GK27" s="1320"/>
      <c r="GL27" s="1320"/>
      <c r="GM27" s="1320"/>
      <c r="GN27" s="1320"/>
      <c r="GO27" s="1320"/>
      <c r="GP27" s="1320"/>
      <c r="GQ27" s="1320"/>
      <c r="GR27" s="1320"/>
      <c r="GS27" s="1320"/>
      <c r="GT27" s="1320"/>
      <c r="GU27" s="1320"/>
      <c r="GV27" s="1320"/>
      <c r="GW27" s="1320"/>
      <c r="GX27" s="1320"/>
      <c r="GY27" s="1320"/>
      <c r="GZ27" s="1320"/>
      <c r="HA27" s="1320"/>
      <c r="HB27" s="1320"/>
      <c r="HC27" s="1320"/>
      <c r="HD27" s="1320"/>
      <c r="HE27" s="1320"/>
      <c r="HF27" s="1320"/>
      <c r="HG27" s="1320"/>
      <c r="HH27" s="1320"/>
      <c r="HI27" s="1320"/>
      <c r="HJ27" s="1320"/>
      <c r="HK27" s="1320"/>
      <c r="HL27" s="1320"/>
      <c r="HM27" s="1320"/>
      <c r="HN27" s="1320"/>
      <c r="HO27" s="1320"/>
      <c r="HP27" s="1320"/>
      <c r="HQ27" s="1320"/>
      <c r="HR27" s="1320"/>
      <c r="HS27" s="1320"/>
      <c r="HT27" s="1320"/>
      <c r="HU27" s="1320"/>
      <c r="HV27" s="1320"/>
      <c r="HW27" s="1320"/>
      <c r="HX27" s="1320"/>
      <c r="HY27" s="1320"/>
      <c r="HZ27" s="1320"/>
      <c r="IA27" s="1320"/>
      <c r="IB27" s="1320"/>
      <c r="IC27" s="1320"/>
      <c r="ID27" s="1320"/>
      <c r="IE27" s="1320"/>
      <c r="IF27" s="1320"/>
      <c r="IG27" s="1320"/>
      <c r="IH27" s="1320"/>
      <c r="II27" s="1320"/>
      <c r="IJ27" s="1320"/>
      <c r="IK27" s="1320"/>
      <c r="IL27" s="1320"/>
      <c r="IM27" s="1320"/>
      <c r="IN27" s="1320"/>
      <c r="IO27" s="1320"/>
      <c r="IP27" s="1320"/>
      <c r="IQ27" s="1320"/>
      <c r="IR27" s="1320"/>
      <c r="IS27" s="1320"/>
      <c r="IT27" s="1320"/>
      <c r="IU27" s="1320"/>
      <c r="IV27" s="1320"/>
    </row>
    <row r="28" spans="1:256" ht="63.75" customHeight="1">
      <c r="A28" s="1350">
        <v>50.2</v>
      </c>
      <c r="B28" s="1346" t="s">
        <v>7097</v>
      </c>
      <c r="C28" s="1347"/>
      <c r="D28" s="1348"/>
      <c r="E28" s="1337"/>
      <c r="F28" s="1337"/>
      <c r="G28" s="1337"/>
      <c r="H28" s="1343"/>
      <c r="I28" s="1344"/>
      <c r="J28" s="1342"/>
      <c r="K28" s="1320"/>
      <c r="L28" s="1320"/>
      <c r="M28" s="1320"/>
      <c r="N28" s="1320"/>
      <c r="O28" s="1320"/>
      <c r="P28" s="1320"/>
      <c r="Q28" s="1320"/>
      <c r="R28" s="1320"/>
      <c r="S28" s="1320"/>
      <c r="T28" s="1320"/>
      <c r="U28" s="1320"/>
      <c r="V28" s="1320"/>
      <c r="W28" s="1320"/>
      <c r="X28" s="1320"/>
      <c r="Y28" s="1320"/>
      <c r="Z28" s="1320"/>
      <c r="AA28" s="1320"/>
      <c r="AB28" s="1320"/>
      <c r="AC28" s="1320"/>
      <c r="AD28" s="1320"/>
      <c r="AE28" s="1320"/>
      <c r="AF28" s="1320"/>
      <c r="AG28" s="1320"/>
      <c r="AH28" s="1320"/>
      <c r="AI28" s="1320"/>
      <c r="AJ28" s="1320"/>
      <c r="AK28" s="1320"/>
      <c r="AL28" s="1320"/>
      <c r="AM28" s="1320"/>
      <c r="AN28" s="1320"/>
      <c r="AO28" s="1320"/>
      <c r="AP28" s="1320"/>
      <c r="AQ28" s="1320"/>
      <c r="AR28" s="1320"/>
      <c r="AS28" s="1320"/>
      <c r="AT28" s="1320"/>
      <c r="AU28" s="1320"/>
      <c r="AV28" s="1320"/>
      <c r="AW28" s="1320"/>
      <c r="AX28" s="1320"/>
      <c r="AY28" s="1320"/>
      <c r="AZ28" s="1320"/>
      <c r="BA28" s="1320"/>
      <c r="BB28" s="1320"/>
      <c r="BC28" s="1320"/>
      <c r="BD28" s="1320"/>
      <c r="BE28" s="1320"/>
      <c r="BF28" s="1320"/>
      <c r="BG28" s="1320"/>
      <c r="BH28" s="1320"/>
      <c r="BI28" s="1320"/>
      <c r="BJ28" s="1320"/>
      <c r="BK28" s="1320"/>
      <c r="BL28" s="1320"/>
      <c r="BM28" s="1320"/>
      <c r="BN28" s="1320"/>
      <c r="BO28" s="1320"/>
      <c r="BP28" s="1320"/>
      <c r="BQ28" s="1320"/>
      <c r="BR28" s="1320"/>
      <c r="BS28" s="1320"/>
      <c r="BT28" s="1320"/>
      <c r="BU28" s="1320"/>
      <c r="BV28" s="1320"/>
      <c r="BW28" s="1320"/>
      <c r="BX28" s="1320"/>
      <c r="BY28" s="1320"/>
      <c r="BZ28" s="1320"/>
      <c r="CA28" s="1320"/>
      <c r="CB28" s="1320"/>
      <c r="CC28" s="1320"/>
      <c r="CD28" s="1320"/>
      <c r="CE28" s="1320"/>
      <c r="CF28" s="1320"/>
      <c r="CG28" s="1320"/>
      <c r="CH28" s="1320"/>
      <c r="CI28" s="1320"/>
      <c r="CJ28" s="1320"/>
      <c r="CK28" s="1320"/>
      <c r="CL28" s="1320"/>
      <c r="CM28" s="1320"/>
      <c r="CN28" s="1320"/>
      <c r="CO28" s="1320"/>
      <c r="CP28" s="1320"/>
      <c r="CQ28" s="1320"/>
      <c r="CR28" s="1320"/>
      <c r="CS28" s="1320"/>
      <c r="CT28" s="1320"/>
      <c r="CU28" s="1320"/>
      <c r="CV28" s="1320"/>
      <c r="CW28" s="1320"/>
      <c r="CX28" s="1320"/>
      <c r="CY28" s="1320"/>
      <c r="CZ28" s="1320"/>
      <c r="DA28" s="1320"/>
      <c r="DB28" s="1320"/>
      <c r="DC28" s="1320"/>
      <c r="DD28" s="1320"/>
      <c r="DE28" s="1320"/>
      <c r="DF28" s="1320"/>
      <c r="DG28" s="1320"/>
      <c r="DH28" s="1320"/>
      <c r="DI28" s="1320"/>
      <c r="DJ28" s="1320"/>
      <c r="DK28" s="1320"/>
      <c r="DL28" s="1320"/>
      <c r="DM28" s="1320"/>
      <c r="DN28" s="1320"/>
      <c r="DO28" s="1320"/>
      <c r="DP28" s="1320"/>
      <c r="DQ28" s="1320"/>
      <c r="DR28" s="1320"/>
      <c r="DS28" s="1320"/>
      <c r="DT28" s="1320"/>
      <c r="DU28" s="1320"/>
      <c r="DV28" s="1320"/>
      <c r="DW28" s="1320"/>
      <c r="DX28" s="1320"/>
      <c r="DY28" s="1320"/>
      <c r="DZ28" s="1320"/>
      <c r="EA28" s="1320"/>
      <c r="EB28" s="1320"/>
      <c r="EC28" s="1320"/>
      <c r="ED28" s="1320"/>
      <c r="EE28" s="1320"/>
      <c r="EF28" s="1320"/>
      <c r="EG28" s="1320"/>
      <c r="EH28" s="1320"/>
      <c r="EI28" s="1320"/>
      <c r="EJ28" s="1320"/>
      <c r="EK28" s="1320"/>
      <c r="EL28" s="1320"/>
      <c r="EM28" s="1320"/>
      <c r="EN28" s="1320"/>
      <c r="EO28" s="1320"/>
      <c r="EP28" s="1320"/>
      <c r="EQ28" s="1320"/>
      <c r="ER28" s="1320"/>
      <c r="ES28" s="1320"/>
      <c r="ET28" s="1320"/>
      <c r="EU28" s="1320"/>
      <c r="EV28" s="1320"/>
      <c r="EW28" s="1320"/>
      <c r="EX28" s="1320"/>
      <c r="EY28" s="1320"/>
      <c r="EZ28" s="1320"/>
      <c r="FA28" s="1320"/>
      <c r="FB28" s="1320"/>
      <c r="FC28" s="1320"/>
      <c r="FD28" s="1320"/>
      <c r="FE28" s="1320"/>
      <c r="FF28" s="1320"/>
      <c r="FG28" s="1320"/>
      <c r="FH28" s="1320"/>
      <c r="FI28" s="1320"/>
      <c r="FJ28" s="1320"/>
      <c r="FK28" s="1320"/>
      <c r="FL28" s="1320"/>
      <c r="FM28" s="1320"/>
      <c r="FN28" s="1320"/>
      <c r="FO28" s="1320"/>
      <c r="FP28" s="1320"/>
      <c r="FQ28" s="1320"/>
      <c r="FR28" s="1320"/>
      <c r="FS28" s="1320"/>
      <c r="FT28" s="1320"/>
      <c r="FU28" s="1320"/>
      <c r="FV28" s="1320"/>
      <c r="FW28" s="1320"/>
      <c r="FX28" s="1320"/>
      <c r="FY28" s="1320"/>
      <c r="FZ28" s="1320"/>
      <c r="GA28" s="1320"/>
      <c r="GB28" s="1320"/>
      <c r="GC28" s="1320"/>
      <c r="GD28" s="1320"/>
      <c r="GE28" s="1320"/>
      <c r="GF28" s="1320"/>
      <c r="GG28" s="1320"/>
      <c r="GH28" s="1320"/>
      <c r="GI28" s="1320"/>
      <c r="GJ28" s="1320"/>
      <c r="GK28" s="1320"/>
      <c r="GL28" s="1320"/>
      <c r="GM28" s="1320"/>
      <c r="GN28" s="1320"/>
      <c r="GO28" s="1320"/>
      <c r="GP28" s="1320"/>
      <c r="GQ28" s="1320"/>
      <c r="GR28" s="1320"/>
      <c r="GS28" s="1320"/>
      <c r="GT28" s="1320"/>
      <c r="GU28" s="1320"/>
      <c r="GV28" s="1320"/>
      <c r="GW28" s="1320"/>
      <c r="GX28" s="1320"/>
      <c r="GY28" s="1320"/>
      <c r="GZ28" s="1320"/>
      <c r="HA28" s="1320"/>
      <c r="HB28" s="1320"/>
      <c r="HC28" s="1320"/>
      <c r="HD28" s="1320"/>
      <c r="HE28" s="1320"/>
      <c r="HF28" s="1320"/>
      <c r="HG28" s="1320"/>
      <c r="HH28" s="1320"/>
      <c r="HI28" s="1320"/>
      <c r="HJ28" s="1320"/>
      <c r="HK28" s="1320"/>
      <c r="HL28" s="1320"/>
      <c r="HM28" s="1320"/>
      <c r="HN28" s="1320"/>
      <c r="HO28" s="1320"/>
      <c r="HP28" s="1320"/>
      <c r="HQ28" s="1320"/>
      <c r="HR28" s="1320"/>
      <c r="HS28" s="1320"/>
      <c r="HT28" s="1320"/>
      <c r="HU28" s="1320"/>
      <c r="HV28" s="1320"/>
      <c r="HW28" s="1320"/>
      <c r="HX28" s="1320"/>
      <c r="HY28" s="1320"/>
      <c r="HZ28" s="1320"/>
      <c r="IA28" s="1320"/>
      <c r="IB28" s="1320"/>
      <c r="IC28" s="1320"/>
      <c r="ID28" s="1320"/>
      <c r="IE28" s="1320"/>
      <c r="IF28" s="1320"/>
      <c r="IG28" s="1320"/>
      <c r="IH28" s="1320"/>
      <c r="II28" s="1320"/>
      <c r="IJ28" s="1320"/>
      <c r="IK28" s="1320"/>
      <c r="IL28" s="1320"/>
      <c r="IM28" s="1320"/>
      <c r="IN28" s="1320"/>
      <c r="IO28" s="1320"/>
      <c r="IP28" s="1320"/>
      <c r="IQ28" s="1320"/>
      <c r="IR28" s="1320"/>
      <c r="IS28" s="1320"/>
      <c r="IT28" s="1320"/>
      <c r="IU28" s="1320"/>
      <c r="IV28" s="1320"/>
    </row>
    <row r="29" spans="1:256" ht="23.25" customHeight="1">
      <c r="A29" s="1349"/>
      <c r="B29" s="1337" t="s">
        <v>7094</v>
      </c>
      <c r="C29" s="1339">
        <v>1</v>
      </c>
      <c r="D29" s="1339">
        <v>2</v>
      </c>
      <c r="E29" s="1340">
        <v>50</v>
      </c>
      <c r="F29" s="1339"/>
      <c r="G29" s="781"/>
      <c r="H29" s="1341">
        <f>PRODUCT(C29:G29)</f>
        <v>100</v>
      </c>
      <c r="I29" s="1344"/>
      <c r="J29" s="1342"/>
      <c r="K29" s="1320"/>
      <c r="L29" s="1320"/>
      <c r="M29" s="1320"/>
      <c r="N29" s="1320"/>
      <c r="O29" s="1320"/>
      <c r="P29" s="1320"/>
      <c r="Q29" s="1320"/>
      <c r="R29" s="1320"/>
      <c r="S29" s="1320"/>
      <c r="T29" s="1320"/>
      <c r="U29" s="1320"/>
      <c r="V29" s="1320"/>
      <c r="W29" s="1320"/>
      <c r="X29" s="1320"/>
      <c r="Y29" s="1320"/>
      <c r="Z29" s="1320"/>
      <c r="AA29" s="1320"/>
      <c r="AB29" s="1320"/>
      <c r="AC29" s="1320"/>
      <c r="AD29" s="1320"/>
      <c r="AE29" s="1320"/>
      <c r="AF29" s="1320"/>
      <c r="AG29" s="1320"/>
      <c r="AH29" s="1320"/>
      <c r="AI29" s="1320"/>
      <c r="AJ29" s="1320"/>
      <c r="AK29" s="1320"/>
      <c r="AL29" s="1320"/>
      <c r="AM29" s="1320"/>
      <c r="AN29" s="1320"/>
      <c r="AO29" s="1320"/>
      <c r="AP29" s="1320"/>
      <c r="AQ29" s="1320"/>
      <c r="AR29" s="1320"/>
      <c r="AS29" s="1320"/>
      <c r="AT29" s="1320"/>
      <c r="AU29" s="1320"/>
      <c r="AV29" s="1320"/>
      <c r="AW29" s="1320"/>
      <c r="AX29" s="1320"/>
      <c r="AY29" s="1320"/>
      <c r="AZ29" s="1320"/>
      <c r="BA29" s="1320"/>
      <c r="BB29" s="1320"/>
      <c r="BC29" s="1320"/>
      <c r="BD29" s="1320"/>
      <c r="BE29" s="1320"/>
      <c r="BF29" s="1320"/>
      <c r="BG29" s="1320"/>
      <c r="BH29" s="1320"/>
      <c r="BI29" s="1320"/>
      <c r="BJ29" s="1320"/>
      <c r="BK29" s="1320"/>
      <c r="BL29" s="1320"/>
      <c r="BM29" s="1320"/>
      <c r="BN29" s="1320"/>
      <c r="BO29" s="1320"/>
      <c r="BP29" s="1320"/>
      <c r="BQ29" s="1320"/>
      <c r="BR29" s="1320"/>
      <c r="BS29" s="1320"/>
      <c r="BT29" s="1320"/>
      <c r="BU29" s="1320"/>
      <c r="BV29" s="1320"/>
      <c r="BW29" s="1320"/>
      <c r="BX29" s="1320"/>
      <c r="BY29" s="1320"/>
      <c r="BZ29" s="1320"/>
      <c r="CA29" s="1320"/>
      <c r="CB29" s="1320"/>
      <c r="CC29" s="1320"/>
      <c r="CD29" s="1320"/>
      <c r="CE29" s="1320"/>
      <c r="CF29" s="1320"/>
      <c r="CG29" s="1320"/>
      <c r="CH29" s="1320"/>
      <c r="CI29" s="1320"/>
      <c r="CJ29" s="1320"/>
      <c r="CK29" s="1320"/>
      <c r="CL29" s="1320"/>
      <c r="CM29" s="1320"/>
      <c r="CN29" s="1320"/>
      <c r="CO29" s="1320"/>
      <c r="CP29" s="1320"/>
      <c r="CQ29" s="1320"/>
      <c r="CR29" s="1320"/>
      <c r="CS29" s="1320"/>
      <c r="CT29" s="1320"/>
      <c r="CU29" s="1320"/>
      <c r="CV29" s="1320"/>
      <c r="CW29" s="1320"/>
      <c r="CX29" s="1320"/>
      <c r="CY29" s="1320"/>
      <c r="CZ29" s="1320"/>
      <c r="DA29" s="1320"/>
      <c r="DB29" s="1320"/>
      <c r="DC29" s="1320"/>
      <c r="DD29" s="1320"/>
      <c r="DE29" s="1320"/>
      <c r="DF29" s="1320"/>
      <c r="DG29" s="1320"/>
      <c r="DH29" s="1320"/>
      <c r="DI29" s="1320"/>
      <c r="DJ29" s="1320"/>
      <c r="DK29" s="1320"/>
      <c r="DL29" s="1320"/>
      <c r="DM29" s="1320"/>
      <c r="DN29" s="1320"/>
      <c r="DO29" s="1320"/>
      <c r="DP29" s="1320"/>
      <c r="DQ29" s="1320"/>
      <c r="DR29" s="1320"/>
      <c r="DS29" s="1320"/>
      <c r="DT29" s="1320"/>
      <c r="DU29" s="1320"/>
      <c r="DV29" s="1320"/>
      <c r="DW29" s="1320"/>
      <c r="DX29" s="1320"/>
      <c r="DY29" s="1320"/>
      <c r="DZ29" s="1320"/>
      <c r="EA29" s="1320"/>
      <c r="EB29" s="1320"/>
      <c r="EC29" s="1320"/>
      <c r="ED29" s="1320"/>
      <c r="EE29" s="1320"/>
      <c r="EF29" s="1320"/>
      <c r="EG29" s="1320"/>
      <c r="EH29" s="1320"/>
      <c r="EI29" s="1320"/>
      <c r="EJ29" s="1320"/>
      <c r="EK29" s="1320"/>
      <c r="EL29" s="1320"/>
      <c r="EM29" s="1320"/>
      <c r="EN29" s="1320"/>
      <c r="EO29" s="1320"/>
      <c r="EP29" s="1320"/>
      <c r="EQ29" s="1320"/>
      <c r="ER29" s="1320"/>
      <c r="ES29" s="1320"/>
      <c r="ET29" s="1320"/>
      <c r="EU29" s="1320"/>
      <c r="EV29" s="1320"/>
      <c r="EW29" s="1320"/>
      <c r="EX29" s="1320"/>
      <c r="EY29" s="1320"/>
      <c r="EZ29" s="1320"/>
      <c r="FA29" s="1320"/>
      <c r="FB29" s="1320"/>
      <c r="FC29" s="1320"/>
      <c r="FD29" s="1320"/>
      <c r="FE29" s="1320"/>
      <c r="FF29" s="1320"/>
      <c r="FG29" s="1320"/>
      <c r="FH29" s="1320"/>
      <c r="FI29" s="1320"/>
      <c r="FJ29" s="1320"/>
      <c r="FK29" s="1320"/>
      <c r="FL29" s="1320"/>
      <c r="FM29" s="1320"/>
      <c r="FN29" s="1320"/>
      <c r="FO29" s="1320"/>
      <c r="FP29" s="1320"/>
      <c r="FQ29" s="1320"/>
      <c r="FR29" s="1320"/>
      <c r="FS29" s="1320"/>
      <c r="FT29" s="1320"/>
      <c r="FU29" s="1320"/>
      <c r="FV29" s="1320"/>
      <c r="FW29" s="1320"/>
      <c r="FX29" s="1320"/>
      <c r="FY29" s="1320"/>
      <c r="FZ29" s="1320"/>
      <c r="GA29" s="1320"/>
      <c r="GB29" s="1320"/>
      <c r="GC29" s="1320"/>
      <c r="GD29" s="1320"/>
      <c r="GE29" s="1320"/>
      <c r="GF29" s="1320"/>
      <c r="GG29" s="1320"/>
      <c r="GH29" s="1320"/>
      <c r="GI29" s="1320"/>
      <c r="GJ29" s="1320"/>
      <c r="GK29" s="1320"/>
      <c r="GL29" s="1320"/>
      <c r="GM29" s="1320"/>
      <c r="GN29" s="1320"/>
      <c r="GO29" s="1320"/>
      <c r="GP29" s="1320"/>
      <c r="GQ29" s="1320"/>
      <c r="GR29" s="1320"/>
      <c r="GS29" s="1320"/>
      <c r="GT29" s="1320"/>
      <c r="GU29" s="1320"/>
      <c r="GV29" s="1320"/>
      <c r="GW29" s="1320"/>
      <c r="GX29" s="1320"/>
      <c r="GY29" s="1320"/>
      <c r="GZ29" s="1320"/>
      <c r="HA29" s="1320"/>
      <c r="HB29" s="1320"/>
      <c r="HC29" s="1320"/>
      <c r="HD29" s="1320"/>
      <c r="HE29" s="1320"/>
      <c r="HF29" s="1320"/>
      <c r="HG29" s="1320"/>
      <c r="HH29" s="1320"/>
      <c r="HI29" s="1320"/>
      <c r="HJ29" s="1320"/>
      <c r="HK29" s="1320"/>
      <c r="HL29" s="1320"/>
      <c r="HM29" s="1320"/>
      <c r="HN29" s="1320"/>
      <c r="HO29" s="1320"/>
      <c r="HP29" s="1320"/>
      <c r="HQ29" s="1320"/>
      <c r="HR29" s="1320"/>
      <c r="HS29" s="1320"/>
      <c r="HT29" s="1320"/>
      <c r="HU29" s="1320"/>
      <c r="HV29" s="1320"/>
      <c r="HW29" s="1320"/>
      <c r="HX29" s="1320"/>
      <c r="HY29" s="1320"/>
      <c r="HZ29" s="1320"/>
      <c r="IA29" s="1320"/>
      <c r="IB29" s="1320"/>
      <c r="IC29" s="1320"/>
      <c r="ID29" s="1320"/>
      <c r="IE29" s="1320"/>
      <c r="IF29" s="1320"/>
      <c r="IG29" s="1320"/>
      <c r="IH29" s="1320"/>
      <c r="II29" s="1320"/>
      <c r="IJ29" s="1320"/>
      <c r="IK29" s="1320"/>
      <c r="IL29" s="1320"/>
      <c r="IM29" s="1320"/>
      <c r="IN29" s="1320"/>
      <c r="IO29" s="1320"/>
      <c r="IP29" s="1320"/>
      <c r="IQ29" s="1320"/>
      <c r="IR29" s="1320"/>
      <c r="IS29" s="1320"/>
      <c r="IT29" s="1320"/>
      <c r="IU29" s="1320"/>
      <c r="IV29" s="1320"/>
    </row>
    <row r="30" spans="1:256" ht="24" customHeight="1">
      <c r="A30" s="1349"/>
      <c r="B30" s="1337" t="s">
        <v>7096</v>
      </c>
      <c r="C30" s="1339">
        <v>2</v>
      </c>
      <c r="D30" s="1339">
        <v>2</v>
      </c>
      <c r="E30" s="1340">
        <v>2.5</v>
      </c>
      <c r="F30" s="1339"/>
      <c r="G30" s="781"/>
      <c r="H30" s="1341">
        <f>PRODUCT(C30:G30)</f>
        <v>10</v>
      </c>
      <c r="I30" s="1344"/>
      <c r="J30" s="1342"/>
      <c r="K30" s="1320"/>
      <c r="L30" s="1320"/>
      <c r="M30" s="1320"/>
      <c r="N30" s="1320"/>
      <c r="O30" s="1320"/>
      <c r="P30" s="1320"/>
      <c r="Q30" s="1320"/>
      <c r="R30" s="1320"/>
      <c r="S30" s="1320"/>
      <c r="T30" s="1320"/>
      <c r="U30" s="1320"/>
      <c r="V30" s="1320"/>
      <c r="W30" s="1320"/>
      <c r="X30" s="1320"/>
      <c r="Y30" s="1320"/>
      <c r="Z30" s="1320"/>
      <c r="AA30" s="1320"/>
      <c r="AB30" s="1320"/>
      <c r="AC30" s="1320"/>
      <c r="AD30" s="1320"/>
      <c r="AE30" s="1320"/>
      <c r="AF30" s="1320"/>
      <c r="AG30" s="1320"/>
      <c r="AH30" s="1320"/>
      <c r="AI30" s="1320"/>
      <c r="AJ30" s="1320"/>
      <c r="AK30" s="1320"/>
      <c r="AL30" s="1320"/>
      <c r="AM30" s="1320"/>
      <c r="AN30" s="1320"/>
      <c r="AO30" s="1320"/>
      <c r="AP30" s="1320"/>
      <c r="AQ30" s="1320"/>
      <c r="AR30" s="1320"/>
      <c r="AS30" s="1320"/>
      <c r="AT30" s="1320"/>
      <c r="AU30" s="1320"/>
      <c r="AV30" s="1320"/>
      <c r="AW30" s="1320"/>
      <c r="AX30" s="1320"/>
      <c r="AY30" s="1320"/>
      <c r="AZ30" s="1320"/>
      <c r="BA30" s="1320"/>
      <c r="BB30" s="1320"/>
      <c r="BC30" s="1320"/>
      <c r="BD30" s="1320"/>
      <c r="BE30" s="1320"/>
      <c r="BF30" s="1320"/>
      <c r="BG30" s="1320"/>
      <c r="BH30" s="1320"/>
      <c r="BI30" s="1320"/>
      <c r="BJ30" s="1320"/>
      <c r="BK30" s="1320"/>
      <c r="BL30" s="1320"/>
      <c r="BM30" s="1320"/>
      <c r="BN30" s="1320"/>
      <c r="BO30" s="1320"/>
      <c r="BP30" s="1320"/>
      <c r="BQ30" s="1320"/>
      <c r="BR30" s="1320"/>
      <c r="BS30" s="1320"/>
      <c r="BT30" s="1320"/>
      <c r="BU30" s="1320"/>
      <c r="BV30" s="1320"/>
      <c r="BW30" s="1320"/>
      <c r="BX30" s="1320"/>
      <c r="BY30" s="1320"/>
      <c r="BZ30" s="1320"/>
      <c r="CA30" s="1320"/>
      <c r="CB30" s="1320"/>
      <c r="CC30" s="1320"/>
      <c r="CD30" s="1320"/>
      <c r="CE30" s="1320"/>
      <c r="CF30" s="1320"/>
      <c r="CG30" s="1320"/>
      <c r="CH30" s="1320"/>
      <c r="CI30" s="1320"/>
      <c r="CJ30" s="1320"/>
      <c r="CK30" s="1320"/>
      <c r="CL30" s="1320"/>
      <c r="CM30" s="1320"/>
      <c r="CN30" s="1320"/>
      <c r="CO30" s="1320"/>
      <c r="CP30" s="1320"/>
      <c r="CQ30" s="1320"/>
      <c r="CR30" s="1320"/>
      <c r="CS30" s="1320"/>
      <c r="CT30" s="1320"/>
      <c r="CU30" s="1320"/>
      <c r="CV30" s="1320"/>
      <c r="CW30" s="1320"/>
      <c r="CX30" s="1320"/>
      <c r="CY30" s="1320"/>
      <c r="CZ30" s="1320"/>
      <c r="DA30" s="1320"/>
      <c r="DB30" s="1320"/>
      <c r="DC30" s="1320"/>
      <c r="DD30" s="1320"/>
      <c r="DE30" s="1320"/>
      <c r="DF30" s="1320"/>
      <c r="DG30" s="1320"/>
      <c r="DH30" s="1320"/>
      <c r="DI30" s="1320"/>
      <c r="DJ30" s="1320"/>
      <c r="DK30" s="1320"/>
      <c r="DL30" s="1320"/>
      <c r="DM30" s="1320"/>
      <c r="DN30" s="1320"/>
      <c r="DO30" s="1320"/>
      <c r="DP30" s="1320"/>
      <c r="DQ30" s="1320"/>
      <c r="DR30" s="1320"/>
      <c r="DS30" s="1320"/>
      <c r="DT30" s="1320"/>
      <c r="DU30" s="1320"/>
      <c r="DV30" s="1320"/>
      <c r="DW30" s="1320"/>
      <c r="DX30" s="1320"/>
      <c r="DY30" s="1320"/>
      <c r="DZ30" s="1320"/>
      <c r="EA30" s="1320"/>
      <c r="EB30" s="1320"/>
      <c r="EC30" s="1320"/>
      <c r="ED30" s="1320"/>
      <c r="EE30" s="1320"/>
      <c r="EF30" s="1320"/>
      <c r="EG30" s="1320"/>
      <c r="EH30" s="1320"/>
      <c r="EI30" s="1320"/>
      <c r="EJ30" s="1320"/>
      <c r="EK30" s="1320"/>
      <c r="EL30" s="1320"/>
      <c r="EM30" s="1320"/>
      <c r="EN30" s="1320"/>
      <c r="EO30" s="1320"/>
      <c r="EP30" s="1320"/>
      <c r="EQ30" s="1320"/>
      <c r="ER30" s="1320"/>
      <c r="ES30" s="1320"/>
      <c r="ET30" s="1320"/>
      <c r="EU30" s="1320"/>
      <c r="EV30" s="1320"/>
      <c r="EW30" s="1320"/>
      <c r="EX30" s="1320"/>
      <c r="EY30" s="1320"/>
      <c r="EZ30" s="1320"/>
      <c r="FA30" s="1320"/>
      <c r="FB30" s="1320"/>
      <c r="FC30" s="1320"/>
      <c r="FD30" s="1320"/>
      <c r="FE30" s="1320"/>
      <c r="FF30" s="1320"/>
      <c r="FG30" s="1320"/>
      <c r="FH30" s="1320"/>
      <c r="FI30" s="1320"/>
      <c r="FJ30" s="1320"/>
      <c r="FK30" s="1320"/>
      <c r="FL30" s="1320"/>
      <c r="FM30" s="1320"/>
      <c r="FN30" s="1320"/>
      <c r="FO30" s="1320"/>
      <c r="FP30" s="1320"/>
      <c r="FQ30" s="1320"/>
      <c r="FR30" s="1320"/>
      <c r="FS30" s="1320"/>
      <c r="FT30" s="1320"/>
      <c r="FU30" s="1320"/>
      <c r="FV30" s="1320"/>
      <c r="FW30" s="1320"/>
      <c r="FX30" s="1320"/>
      <c r="FY30" s="1320"/>
      <c r="FZ30" s="1320"/>
      <c r="GA30" s="1320"/>
      <c r="GB30" s="1320"/>
      <c r="GC30" s="1320"/>
      <c r="GD30" s="1320"/>
      <c r="GE30" s="1320"/>
      <c r="GF30" s="1320"/>
      <c r="GG30" s="1320"/>
      <c r="GH30" s="1320"/>
      <c r="GI30" s="1320"/>
      <c r="GJ30" s="1320"/>
      <c r="GK30" s="1320"/>
      <c r="GL30" s="1320"/>
      <c r="GM30" s="1320"/>
      <c r="GN30" s="1320"/>
      <c r="GO30" s="1320"/>
      <c r="GP30" s="1320"/>
      <c r="GQ30" s="1320"/>
      <c r="GR30" s="1320"/>
      <c r="GS30" s="1320"/>
      <c r="GT30" s="1320"/>
      <c r="GU30" s="1320"/>
      <c r="GV30" s="1320"/>
      <c r="GW30" s="1320"/>
      <c r="GX30" s="1320"/>
      <c r="GY30" s="1320"/>
      <c r="GZ30" s="1320"/>
      <c r="HA30" s="1320"/>
      <c r="HB30" s="1320"/>
      <c r="HC30" s="1320"/>
      <c r="HD30" s="1320"/>
      <c r="HE30" s="1320"/>
      <c r="HF30" s="1320"/>
      <c r="HG30" s="1320"/>
      <c r="HH30" s="1320"/>
      <c r="HI30" s="1320"/>
      <c r="HJ30" s="1320"/>
      <c r="HK30" s="1320"/>
      <c r="HL30" s="1320"/>
      <c r="HM30" s="1320"/>
      <c r="HN30" s="1320"/>
      <c r="HO30" s="1320"/>
      <c r="HP30" s="1320"/>
      <c r="HQ30" s="1320"/>
      <c r="HR30" s="1320"/>
      <c r="HS30" s="1320"/>
      <c r="HT30" s="1320"/>
      <c r="HU30" s="1320"/>
      <c r="HV30" s="1320"/>
      <c r="HW30" s="1320"/>
      <c r="HX30" s="1320"/>
      <c r="HY30" s="1320"/>
      <c r="HZ30" s="1320"/>
      <c r="IA30" s="1320"/>
      <c r="IB30" s="1320"/>
      <c r="IC30" s="1320"/>
      <c r="ID30" s="1320"/>
      <c r="IE30" s="1320"/>
      <c r="IF30" s="1320"/>
      <c r="IG30" s="1320"/>
      <c r="IH30" s="1320"/>
      <c r="II30" s="1320"/>
      <c r="IJ30" s="1320"/>
      <c r="IK30" s="1320"/>
      <c r="IL30" s="1320"/>
      <c r="IM30" s="1320"/>
      <c r="IN30" s="1320"/>
      <c r="IO30" s="1320"/>
      <c r="IP30" s="1320"/>
      <c r="IQ30" s="1320"/>
      <c r="IR30" s="1320"/>
      <c r="IS30" s="1320"/>
      <c r="IT30" s="1320"/>
      <c r="IU30" s="1320"/>
      <c r="IV30" s="1320"/>
    </row>
    <row r="31" spans="1:256" ht="24" customHeight="1">
      <c r="A31" s="1349"/>
      <c r="B31" s="1337"/>
      <c r="C31" s="1339"/>
      <c r="D31" s="1339"/>
      <c r="E31" s="1337"/>
      <c r="F31" s="1337"/>
      <c r="G31" s="1352" t="s">
        <v>2235</v>
      </c>
      <c r="H31" s="1343">
        <f>SUM(H29:H30)</f>
        <v>110</v>
      </c>
      <c r="I31" s="1344" t="s">
        <v>823</v>
      </c>
      <c r="J31" s="1342"/>
      <c r="K31" s="1320"/>
      <c r="L31" s="1320"/>
      <c r="M31" s="1320"/>
      <c r="N31" s="1320"/>
      <c r="O31" s="1320"/>
      <c r="P31" s="1320"/>
      <c r="Q31" s="1320"/>
      <c r="R31" s="1320"/>
      <c r="S31" s="1320"/>
      <c r="T31" s="1320"/>
      <c r="U31" s="1320"/>
      <c r="V31" s="1320"/>
      <c r="W31" s="1320"/>
      <c r="X31" s="1320"/>
      <c r="Y31" s="1320"/>
      <c r="Z31" s="1320"/>
      <c r="AA31" s="1320"/>
      <c r="AB31" s="1320"/>
      <c r="AC31" s="1320"/>
      <c r="AD31" s="1320"/>
      <c r="AE31" s="1320"/>
      <c r="AF31" s="1320"/>
      <c r="AG31" s="1320"/>
      <c r="AH31" s="1320"/>
      <c r="AI31" s="1320"/>
      <c r="AJ31" s="1320"/>
      <c r="AK31" s="1320"/>
      <c r="AL31" s="1320"/>
      <c r="AM31" s="1320"/>
      <c r="AN31" s="1320"/>
      <c r="AO31" s="1320"/>
      <c r="AP31" s="1320"/>
      <c r="AQ31" s="1320"/>
      <c r="AR31" s="1320"/>
      <c r="AS31" s="1320"/>
      <c r="AT31" s="1320"/>
      <c r="AU31" s="1320"/>
      <c r="AV31" s="1320"/>
      <c r="AW31" s="1320"/>
      <c r="AX31" s="1320"/>
      <c r="AY31" s="1320"/>
      <c r="AZ31" s="1320"/>
      <c r="BA31" s="1320"/>
      <c r="BB31" s="1320"/>
      <c r="BC31" s="1320"/>
      <c r="BD31" s="1320"/>
      <c r="BE31" s="1320"/>
      <c r="BF31" s="1320"/>
      <c r="BG31" s="1320"/>
      <c r="BH31" s="1320"/>
      <c r="BI31" s="1320"/>
      <c r="BJ31" s="1320"/>
      <c r="BK31" s="1320"/>
      <c r="BL31" s="1320"/>
      <c r="BM31" s="1320"/>
      <c r="BN31" s="1320"/>
      <c r="BO31" s="1320"/>
      <c r="BP31" s="1320"/>
      <c r="BQ31" s="1320"/>
      <c r="BR31" s="1320"/>
      <c r="BS31" s="1320"/>
      <c r="BT31" s="1320"/>
      <c r="BU31" s="1320"/>
      <c r="BV31" s="1320"/>
      <c r="BW31" s="1320"/>
      <c r="BX31" s="1320"/>
      <c r="BY31" s="1320"/>
      <c r="BZ31" s="1320"/>
      <c r="CA31" s="1320"/>
      <c r="CB31" s="1320"/>
      <c r="CC31" s="1320"/>
      <c r="CD31" s="1320"/>
      <c r="CE31" s="1320"/>
      <c r="CF31" s="1320"/>
      <c r="CG31" s="1320"/>
      <c r="CH31" s="1320"/>
      <c r="CI31" s="1320"/>
      <c r="CJ31" s="1320"/>
      <c r="CK31" s="1320"/>
      <c r="CL31" s="1320"/>
      <c r="CM31" s="1320"/>
      <c r="CN31" s="1320"/>
      <c r="CO31" s="1320"/>
      <c r="CP31" s="1320"/>
      <c r="CQ31" s="1320"/>
      <c r="CR31" s="1320"/>
      <c r="CS31" s="1320"/>
      <c r="CT31" s="1320"/>
      <c r="CU31" s="1320"/>
      <c r="CV31" s="1320"/>
      <c r="CW31" s="1320"/>
      <c r="CX31" s="1320"/>
      <c r="CY31" s="1320"/>
      <c r="CZ31" s="1320"/>
      <c r="DA31" s="1320"/>
      <c r="DB31" s="1320"/>
      <c r="DC31" s="1320"/>
      <c r="DD31" s="1320"/>
      <c r="DE31" s="1320"/>
      <c r="DF31" s="1320"/>
      <c r="DG31" s="1320"/>
      <c r="DH31" s="1320"/>
      <c r="DI31" s="1320"/>
      <c r="DJ31" s="1320"/>
      <c r="DK31" s="1320"/>
      <c r="DL31" s="1320"/>
      <c r="DM31" s="1320"/>
      <c r="DN31" s="1320"/>
      <c r="DO31" s="1320"/>
      <c r="DP31" s="1320"/>
      <c r="DQ31" s="1320"/>
      <c r="DR31" s="1320"/>
      <c r="DS31" s="1320"/>
      <c r="DT31" s="1320"/>
      <c r="DU31" s="1320"/>
      <c r="DV31" s="1320"/>
      <c r="DW31" s="1320"/>
      <c r="DX31" s="1320"/>
      <c r="DY31" s="1320"/>
      <c r="DZ31" s="1320"/>
      <c r="EA31" s="1320"/>
      <c r="EB31" s="1320"/>
      <c r="EC31" s="1320"/>
      <c r="ED31" s="1320"/>
      <c r="EE31" s="1320"/>
      <c r="EF31" s="1320"/>
      <c r="EG31" s="1320"/>
      <c r="EH31" s="1320"/>
      <c r="EI31" s="1320"/>
      <c r="EJ31" s="1320"/>
      <c r="EK31" s="1320"/>
      <c r="EL31" s="1320"/>
      <c r="EM31" s="1320"/>
      <c r="EN31" s="1320"/>
      <c r="EO31" s="1320"/>
      <c r="EP31" s="1320"/>
      <c r="EQ31" s="1320"/>
      <c r="ER31" s="1320"/>
      <c r="ES31" s="1320"/>
      <c r="ET31" s="1320"/>
      <c r="EU31" s="1320"/>
      <c r="EV31" s="1320"/>
      <c r="EW31" s="1320"/>
      <c r="EX31" s="1320"/>
      <c r="EY31" s="1320"/>
      <c r="EZ31" s="1320"/>
      <c r="FA31" s="1320"/>
      <c r="FB31" s="1320"/>
      <c r="FC31" s="1320"/>
      <c r="FD31" s="1320"/>
      <c r="FE31" s="1320"/>
      <c r="FF31" s="1320"/>
      <c r="FG31" s="1320"/>
      <c r="FH31" s="1320"/>
      <c r="FI31" s="1320"/>
      <c r="FJ31" s="1320"/>
      <c r="FK31" s="1320"/>
      <c r="FL31" s="1320"/>
      <c r="FM31" s="1320"/>
      <c r="FN31" s="1320"/>
      <c r="FO31" s="1320"/>
      <c r="FP31" s="1320"/>
      <c r="FQ31" s="1320"/>
      <c r="FR31" s="1320"/>
      <c r="FS31" s="1320"/>
      <c r="FT31" s="1320"/>
      <c r="FU31" s="1320"/>
      <c r="FV31" s="1320"/>
      <c r="FW31" s="1320"/>
      <c r="FX31" s="1320"/>
      <c r="FY31" s="1320"/>
      <c r="FZ31" s="1320"/>
      <c r="GA31" s="1320"/>
      <c r="GB31" s="1320"/>
      <c r="GC31" s="1320"/>
      <c r="GD31" s="1320"/>
      <c r="GE31" s="1320"/>
      <c r="GF31" s="1320"/>
      <c r="GG31" s="1320"/>
      <c r="GH31" s="1320"/>
      <c r="GI31" s="1320"/>
      <c r="GJ31" s="1320"/>
      <c r="GK31" s="1320"/>
      <c r="GL31" s="1320"/>
      <c r="GM31" s="1320"/>
      <c r="GN31" s="1320"/>
      <c r="GO31" s="1320"/>
      <c r="GP31" s="1320"/>
      <c r="GQ31" s="1320"/>
      <c r="GR31" s="1320"/>
      <c r="GS31" s="1320"/>
      <c r="GT31" s="1320"/>
      <c r="GU31" s="1320"/>
      <c r="GV31" s="1320"/>
      <c r="GW31" s="1320"/>
      <c r="GX31" s="1320"/>
      <c r="GY31" s="1320"/>
      <c r="GZ31" s="1320"/>
      <c r="HA31" s="1320"/>
      <c r="HB31" s="1320"/>
      <c r="HC31" s="1320"/>
      <c r="HD31" s="1320"/>
      <c r="HE31" s="1320"/>
      <c r="HF31" s="1320"/>
      <c r="HG31" s="1320"/>
      <c r="HH31" s="1320"/>
      <c r="HI31" s="1320"/>
      <c r="HJ31" s="1320"/>
      <c r="HK31" s="1320"/>
      <c r="HL31" s="1320"/>
      <c r="HM31" s="1320"/>
      <c r="HN31" s="1320"/>
      <c r="HO31" s="1320"/>
      <c r="HP31" s="1320"/>
      <c r="HQ31" s="1320"/>
      <c r="HR31" s="1320"/>
      <c r="HS31" s="1320"/>
      <c r="HT31" s="1320"/>
      <c r="HU31" s="1320"/>
      <c r="HV31" s="1320"/>
      <c r="HW31" s="1320"/>
      <c r="HX31" s="1320"/>
      <c r="HY31" s="1320"/>
      <c r="HZ31" s="1320"/>
      <c r="IA31" s="1320"/>
      <c r="IB31" s="1320"/>
      <c r="IC31" s="1320"/>
      <c r="ID31" s="1320"/>
      <c r="IE31" s="1320"/>
      <c r="IF31" s="1320"/>
      <c r="IG31" s="1320"/>
      <c r="IH31" s="1320"/>
      <c r="II31" s="1320"/>
      <c r="IJ31" s="1320"/>
      <c r="IK31" s="1320"/>
      <c r="IL31" s="1320"/>
      <c r="IM31" s="1320"/>
      <c r="IN31" s="1320"/>
      <c r="IO31" s="1320"/>
      <c r="IP31" s="1320"/>
      <c r="IQ31" s="1320"/>
      <c r="IR31" s="1320"/>
      <c r="IS31" s="1320"/>
      <c r="IT31" s="1320"/>
      <c r="IU31" s="1320"/>
      <c r="IV31" s="1320"/>
    </row>
    <row r="32" spans="1:256" ht="24" customHeight="1">
      <c r="A32" s="1353"/>
      <c r="B32" s="1320"/>
      <c r="C32" s="1354"/>
      <c r="D32" s="1354"/>
      <c r="E32" s="1320"/>
      <c r="F32" s="1320"/>
      <c r="G32" s="1355"/>
      <c r="H32" s="1356"/>
      <c r="I32" s="1344"/>
      <c r="J32" s="1342"/>
      <c r="K32" s="1320"/>
      <c r="L32" s="1320"/>
      <c r="M32" s="1320"/>
      <c r="N32" s="1320"/>
      <c r="O32" s="1320"/>
      <c r="P32" s="1320"/>
      <c r="Q32" s="1320"/>
      <c r="R32" s="1320"/>
      <c r="S32" s="1320"/>
      <c r="T32" s="1320"/>
      <c r="U32" s="1320"/>
      <c r="V32" s="1320"/>
      <c r="W32" s="1320"/>
      <c r="X32" s="1320"/>
      <c r="Y32" s="1320"/>
      <c r="Z32" s="1320"/>
      <c r="AA32" s="1320"/>
      <c r="AB32" s="1320"/>
      <c r="AC32" s="1320"/>
      <c r="AD32" s="1320"/>
      <c r="AE32" s="1320"/>
      <c r="AF32" s="1320"/>
      <c r="AG32" s="1320"/>
      <c r="AH32" s="1320"/>
      <c r="AI32" s="1320"/>
      <c r="AJ32" s="1320"/>
      <c r="AK32" s="1320"/>
      <c r="AL32" s="1320"/>
      <c r="AM32" s="1320"/>
      <c r="AN32" s="1320"/>
      <c r="AO32" s="1320"/>
      <c r="AP32" s="1320"/>
      <c r="AQ32" s="1320"/>
      <c r="AR32" s="1320"/>
      <c r="AS32" s="1320"/>
      <c r="AT32" s="1320"/>
      <c r="AU32" s="1320"/>
      <c r="AV32" s="1320"/>
      <c r="AW32" s="1320"/>
      <c r="AX32" s="1320"/>
      <c r="AY32" s="1320"/>
      <c r="AZ32" s="1320"/>
      <c r="BA32" s="1320"/>
      <c r="BB32" s="1320"/>
      <c r="BC32" s="1320"/>
      <c r="BD32" s="1320"/>
      <c r="BE32" s="1320"/>
      <c r="BF32" s="1320"/>
      <c r="BG32" s="1320"/>
      <c r="BH32" s="1320"/>
      <c r="BI32" s="1320"/>
      <c r="BJ32" s="1320"/>
      <c r="BK32" s="1320"/>
      <c r="BL32" s="1320"/>
      <c r="BM32" s="1320"/>
      <c r="BN32" s="1320"/>
      <c r="BO32" s="1320"/>
      <c r="BP32" s="1320"/>
      <c r="BQ32" s="1320"/>
      <c r="BR32" s="1320"/>
      <c r="BS32" s="1320"/>
      <c r="BT32" s="1320"/>
      <c r="BU32" s="1320"/>
      <c r="BV32" s="1320"/>
      <c r="BW32" s="1320"/>
      <c r="BX32" s="1320"/>
      <c r="BY32" s="1320"/>
      <c r="BZ32" s="1320"/>
      <c r="CA32" s="1320"/>
      <c r="CB32" s="1320"/>
      <c r="CC32" s="1320"/>
      <c r="CD32" s="1320"/>
      <c r="CE32" s="1320"/>
      <c r="CF32" s="1320"/>
      <c r="CG32" s="1320"/>
      <c r="CH32" s="1320"/>
      <c r="CI32" s="1320"/>
      <c r="CJ32" s="1320"/>
      <c r="CK32" s="1320"/>
      <c r="CL32" s="1320"/>
      <c r="CM32" s="1320"/>
      <c r="CN32" s="1320"/>
      <c r="CO32" s="1320"/>
      <c r="CP32" s="1320"/>
      <c r="CQ32" s="1320"/>
      <c r="CR32" s="1320"/>
      <c r="CS32" s="1320"/>
      <c r="CT32" s="1320"/>
      <c r="CU32" s="1320"/>
      <c r="CV32" s="1320"/>
      <c r="CW32" s="1320"/>
      <c r="CX32" s="1320"/>
      <c r="CY32" s="1320"/>
      <c r="CZ32" s="1320"/>
      <c r="DA32" s="1320"/>
      <c r="DB32" s="1320"/>
      <c r="DC32" s="1320"/>
      <c r="DD32" s="1320"/>
      <c r="DE32" s="1320"/>
      <c r="DF32" s="1320"/>
      <c r="DG32" s="1320"/>
      <c r="DH32" s="1320"/>
      <c r="DI32" s="1320"/>
      <c r="DJ32" s="1320"/>
      <c r="DK32" s="1320"/>
      <c r="DL32" s="1320"/>
      <c r="DM32" s="1320"/>
      <c r="DN32" s="1320"/>
      <c r="DO32" s="1320"/>
      <c r="DP32" s="1320"/>
      <c r="DQ32" s="1320"/>
      <c r="DR32" s="1320"/>
      <c r="DS32" s="1320"/>
      <c r="DT32" s="1320"/>
      <c r="DU32" s="1320"/>
      <c r="DV32" s="1320"/>
      <c r="DW32" s="1320"/>
      <c r="DX32" s="1320"/>
      <c r="DY32" s="1320"/>
      <c r="DZ32" s="1320"/>
      <c r="EA32" s="1320"/>
      <c r="EB32" s="1320"/>
      <c r="EC32" s="1320"/>
      <c r="ED32" s="1320"/>
      <c r="EE32" s="1320"/>
      <c r="EF32" s="1320"/>
      <c r="EG32" s="1320"/>
      <c r="EH32" s="1320"/>
      <c r="EI32" s="1320"/>
      <c r="EJ32" s="1320"/>
      <c r="EK32" s="1320"/>
      <c r="EL32" s="1320"/>
      <c r="EM32" s="1320"/>
      <c r="EN32" s="1320"/>
      <c r="EO32" s="1320"/>
      <c r="EP32" s="1320"/>
      <c r="EQ32" s="1320"/>
      <c r="ER32" s="1320"/>
      <c r="ES32" s="1320"/>
      <c r="ET32" s="1320"/>
      <c r="EU32" s="1320"/>
      <c r="EV32" s="1320"/>
      <c r="EW32" s="1320"/>
      <c r="EX32" s="1320"/>
      <c r="EY32" s="1320"/>
      <c r="EZ32" s="1320"/>
      <c r="FA32" s="1320"/>
      <c r="FB32" s="1320"/>
      <c r="FC32" s="1320"/>
      <c r="FD32" s="1320"/>
      <c r="FE32" s="1320"/>
      <c r="FF32" s="1320"/>
      <c r="FG32" s="1320"/>
      <c r="FH32" s="1320"/>
      <c r="FI32" s="1320"/>
      <c r="FJ32" s="1320"/>
      <c r="FK32" s="1320"/>
      <c r="FL32" s="1320"/>
      <c r="FM32" s="1320"/>
      <c r="FN32" s="1320"/>
      <c r="FO32" s="1320"/>
      <c r="FP32" s="1320"/>
      <c r="FQ32" s="1320"/>
      <c r="FR32" s="1320"/>
      <c r="FS32" s="1320"/>
      <c r="FT32" s="1320"/>
      <c r="FU32" s="1320"/>
      <c r="FV32" s="1320"/>
      <c r="FW32" s="1320"/>
      <c r="FX32" s="1320"/>
      <c r="FY32" s="1320"/>
      <c r="FZ32" s="1320"/>
      <c r="GA32" s="1320"/>
      <c r="GB32" s="1320"/>
      <c r="GC32" s="1320"/>
      <c r="GD32" s="1320"/>
      <c r="GE32" s="1320"/>
      <c r="GF32" s="1320"/>
      <c r="GG32" s="1320"/>
      <c r="GH32" s="1320"/>
      <c r="GI32" s="1320"/>
      <c r="GJ32" s="1320"/>
      <c r="GK32" s="1320"/>
      <c r="GL32" s="1320"/>
      <c r="GM32" s="1320"/>
      <c r="GN32" s="1320"/>
      <c r="GO32" s="1320"/>
      <c r="GP32" s="1320"/>
      <c r="GQ32" s="1320"/>
      <c r="GR32" s="1320"/>
      <c r="GS32" s="1320"/>
      <c r="GT32" s="1320"/>
      <c r="GU32" s="1320"/>
      <c r="GV32" s="1320"/>
      <c r="GW32" s="1320"/>
      <c r="GX32" s="1320"/>
      <c r="GY32" s="1320"/>
      <c r="GZ32" s="1320"/>
      <c r="HA32" s="1320"/>
      <c r="HB32" s="1320"/>
      <c r="HC32" s="1320"/>
      <c r="HD32" s="1320"/>
      <c r="HE32" s="1320"/>
      <c r="HF32" s="1320"/>
      <c r="HG32" s="1320"/>
      <c r="HH32" s="1320"/>
      <c r="HI32" s="1320"/>
      <c r="HJ32" s="1320"/>
      <c r="HK32" s="1320"/>
      <c r="HL32" s="1320"/>
      <c r="HM32" s="1320"/>
      <c r="HN32" s="1320"/>
      <c r="HO32" s="1320"/>
      <c r="HP32" s="1320"/>
      <c r="HQ32" s="1320"/>
      <c r="HR32" s="1320"/>
      <c r="HS32" s="1320"/>
      <c r="HT32" s="1320"/>
      <c r="HU32" s="1320"/>
      <c r="HV32" s="1320"/>
      <c r="HW32" s="1320"/>
      <c r="HX32" s="1320"/>
      <c r="HY32" s="1320"/>
      <c r="HZ32" s="1320"/>
      <c r="IA32" s="1320"/>
      <c r="IB32" s="1320"/>
      <c r="IC32" s="1320"/>
      <c r="ID32" s="1320"/>
      <c r="IE32" s="1320"/>
      <c r="IF32" s="1320"/>
      <c r="IG32" s="1320"/>
      <c r="IH32" s="1320"/>
      <c r="II32" s="1320"/>
      <c r="IJ32" s="1320"/>
      <c r="IK32" s="1320"/>
      <c r="IL32" s="1320"/>
      <c r="IM32" s="1320"/>
      <c r="IN32" s="1320"/>
      <c r="IO32" s="1320"/>
      <c r="IP32" s="1320"/>
      <c r="IQ32" s="1320"/>
      <c r="IR32" s="1320"/>
      <c r="IS32" s="1320"/>
      <c r="IT32" s="1320"/>
      <c r="IU32" s="1320"/>
      <c r="IV32" s="1320"/>
    </row>
    <row r="33" spans="1:256" ht="16.5">
      <c r="A33" s="1353"/>
      <c r="B33" s="1357"/>
      <c r="C33" s="1354"/>
      <c r="D33" s="1354"/>
      <c r="E33" s="1342"/>
      <c r="F33" s="1342"/>
      <c r="G33" s="1358"/>
      <c r="H33" s="1359"/>
      <c r="I33" s="1344"/>
      <c r="J33" s="1342"/>
      <c r="K33" s="1320"/>
      <c r="L33" s="1320"/>
      <c r="M33" s="1320"/>
      <c r="N33" s="1320"/>
      <c r="O33" s="1320"/>
      <c r="P33" s="1320"/>
      <c r="Q33" s="1320"/>
      <c r="R33" s="1320"/>
      <c r="S33" s="1320"/>
      <c r="T33" s="1320"/>
      <c r="U33" s="1320"/>
      <c r="V33" s="1320"/>
      <c r="W33" s="1320"/>
      <c r="X33" s="1320"/>
      <c r="Y33" s="1320"/>
      <c r="Z33" s="1320"/>
      <c r="AA33" s="1320"/>
      <c r="AB33" s="1320"/>
      <c r="AC33" s="1320"/>
      <c r="AD33" s="1320"/>
      <c r="AE33" s="1320"/>
      <c r="AF33" s="1320"/>
      <c r="AG33" s="1320"/>
      <c r="AH33" s="1320"/>
      <c r="AI33" s="1320"/>
      <c r="AJ33" s="1320"/>
      <c r="AK33" s="1320"/>
      <c r="AL33" s="1320"/>
      <c r="AM33" s="1320"/>
      <c r="AN33" s="1320"/>
      <c r="AO33" s="1320"/>
      <c r="AP33" s="1320"/>
      <c r="AQ33" s="1320"/>
      <c r="AR33" s="1320"/>
      <c r="AS33" s="1320"/>
      <c r="AT33" s="1320"/>
      <c r="AU33" s="1320"/>
      <c r="AV33" s="1320"/>
      <c r="AW33" s="1320"/>
      <c r="AX33" s="1320"/>
      <c r="AY33" s="1320"/>
      <c r="AZ33" s="1320"/>
      <c r="BA33" s="1320"/>
      <c r="BB33" s="1320"/>
      <c r="BC33" s="1320"/>
      <c r="BD33" s="1320"/>
      <c r="BE33" s="1320"/>
      <c r="BF33" s="1320"/>
      <c r="BG33" s="1320"/>
      <c r="BH33" s="1320"/>
      <c r="BI33" s="1320"/>
      <c r="BJ33" s="1320"/>
      <c r="BK33" s="1320"/>
      <c r="BL33" s="1320"/>
      <c r="BM33" s="1320"/>
      <c r="BN33" s="1320"/>
      <c r="BO33" s="1320"/>
      <c r="BP33" s="1320"/>
      <c r="BQ33" s="1320"/>
      <c r="BR33" s="1320"/>
      <c r="BS33" s="1320"/>
      <c r="BT33" s="1320"/>
      <c r="BU33" s="1320"/>
      <c r="BV33" s="1320"/>
      <c r="BW33" s="1320"/>
      <c r="BX33" s="1320"/>
      <c r="BY33" s="1320"/>
      <c r="BZ33" s="1320"/>
      <c r="CA33" s="1320"/>
      <c r="CB33" s="1320"/>
      <c r="CC33" s="1320"/>
      <c r="CD33" s="1320"/>
      <c r="CE33" s="1320"/>
      <c r="CF33" s="1320"/>
      <c r="CG33" s="1320"/>
      <c r="CH33" s="1320"/>
      <c r="CI33" s="1320"/>
      <c r="CJ33" s="1320"/>
      <c r="CK33" s="1320"/>
      <c r="CL33" s="1320"/>
      <c r="CM33" s="1320"/>
      <c r="CN33" s="1320"/>
      <c r="CO33" s="1320"/>
      <c r="CP33" s="1320"/>
      <c r="CQ33" s="1320"/>
      <c r="CR33" s="1320"/>
      <c r="CS33" s="1320"/>
      <c r="CT33" s="1320"/>
      <c r="CU33" s="1320"/>
      <c r="CV33" s="1320"/>
      <c r="CW33" s="1320"/>
      <c r="CX33" s="1320"/>
      <c r="CY33" s="1320"/>
      <c r="CZ33" s="1320"/>
      <c r="DA33" s="1320"/>
      <c r="DB33" s="1320"/>
      <c r="DC33" s="1320"/>
      <c r="DD33" s="1320"/>
      <c r="DE33" s="1320"/>
      <c r="DF33" s="1320"/>
      <c r="DG33" s="1320"/>
      <c r="DH33" s="1320"/>
      <c r="DI33" s="1320"/>
      <c r="DJ33" s="1320"/>
      <c r="DK33" s="1320"/>
      <c r="DL33" s="1320"/>
      <c r="DM33" s="1320"/>
      <c r="DN33" s="1320"/>
      <c r="DO33" s="1320"/>
      <c r="DP33" s="1320"/>
      <c r="DQ33" s="1320"/>
      <c r="DR33" s="1320"/>
      <c r="DS33" s="1320"/>
      <c r="DT33" s="1320"/>
      <c r="DU33" s="1320"/>
      <c r="DV33" s="1320"/>
      <c r="DW33" s="1320"/>
      <c r="DX33" s="1320"/>
      <c r="DY33" s="1320"/>
      <c r="DZ33" s="1320"/>
      <c r="EA33" s="1320"/>
      <c r="EB33" s="1320"/>
      <c r="EC33" s="1320"/>
      <c r="ED33" s="1320"/>
      <c r="EE33" s="1320"/>
      <c r="EF33" s="1320"/>
      <c r="EG33" s="1320"/>
      <c r="EH33" s="1320"/>
      <c r="EI33" s="1320"/>
      <c r="EJ33" s="1320"/>
      <c r="EK33" s="1320"/>
      <c r="EL33" s="1320"/>
      <c r="EM33" s="1320"/>
      <c r="EN33" s="1320"/>
      <c r="EO33" s="1320"/>
      <c r="EP33" s="1320"/>
      <c r="EQ33" s="1320"/>
      <c r="ER33" s="1320"/>
      <c r="ES33" s="1320"/>
      <c r="ET33" s="1320"/>
      <c r="EU33" s="1320"/>
      <c r="EV33" s="1320"/>
      <c r="EW33" s="1320"/>
      <c r="EX33" s="1320"/>
      <c r="EY33" s="1320"/>
      <c r="EZ33" s="1320"/>
      <c r="FA33" s="1320"/>
      <c r="FB33" s="1320"/>
      <c r="FC33" s="1320"/>
      <c r="FD33" s="1320"/>
      <c r="FE33" s="1320"/>
      <c r="FF33" s="1320"/>
      <c r="FG33" s="1320"/>
      <c r="FH33" s="1320"/>
      <c r="FI33" s="1320"/>
      <c r="FJ33" s="1320"/>
      <c r="FK33" s="1320"/>
      <c r="FL33" s="1320"/>
      <c r="FM33" s="1320"/>
      <c r="FN33" s="1320"/>
      <c r="FO33" s="1320"/>
      <c r="FP33" s="1320"/>
      <c r="FQ33" s="1320"/>
      <c r="FR33" s="1320"/>
      <c r="FS33" s="1320"/>
      <c r="FT33" s="1320"/>
      <c r="FU33" s="1320"/>
      <c r="FV33" s="1320"/>
      <c r="FW33" s="1320"/>
      <c r="FX33" s="1320"/>
      <c r="FY33" s="1320"/>
      <c r="FZ33" s="1320"/>
      <c r="GA33" s="1320"/>
      <c r="GB33" s="1320"/>
      <c r="GC33" s="1320"/>
      <c r="GD33" s="1320"/>
      <c r="GE33" s="1320"/>
      <c r="GF33" s="1320"/>
      <c r="GG33" s="1320"/>
      <c r="GH33" s="1320"/>
      <c r="GI33" s="1320"/>
      <c r="GJ33" s="1320"/>
      <c r="GK33" s="1320"/>
      <c r="GL33" s="1320"/>
      <c r="GM33" s="1320"/>
      <c r="GN33" s="1320"/>
      <c r="GO33" s="1320"/>
      <c r="GP33" s="1320"/>
      <c r="GQ33" s="1320"/>
      <c r="GR33" s="1320"/>
      <c r="GS33" s="1320"/>
      <c r="GT33" s="1320"/>
      <c r="GU33" s="1320"/>
      <c r="GV33" s="1320"/>
      <c r="GW33" s="1320"/>
      <c r="GX33" s="1320"/>
      <c r="GY33" s="1320"/>
      <c r="GZ33" s="1320"/>
      <c r="HA33" s="1320"/>
      <c r="HB33" s="1320"/>
      <c r="HC33" s="1320"/>
      <c r="HD33" s="1320"/>
      <c r="HE33" s="1320"/>
      <c r="HF33" s="1320"/>
      <c r="HG33" s="1320"/>
      <c r="HH33" s="1320"/>
      <c r="HI33" s="1320"/>
      <c r="HJ33" s="1320"/>
      <c r="HK33" s="1320"/>
      <c r="HL33" s="1320"/>
      <c r="HM33" s="1320"/>
      <c r="HN33" s="1320"/>
      <c r="HO33" s="1320"/>
      <c r="HP33" s="1320"/>
      <c r="HQ33" s="1320"/>
      <c r="HR33" s="1320"/>
      <c r="HS33" s="1320"/>
      <c r="HT33" s="1320"/>
      <c r="HU33" s="1320"/>
      <c r="HV33" s="1320"/>
      <c r="HW33" s="1320"/>
      <c r="HX33" s="1320"/>
      <c r="HY33" s="1320"/>
      <c r="HZ33" s="1320"/>
      <c r="IA33" s="1320"/>
      <c r="IB33" s="1320"/>
      <c r="IC33" s="1320"/>
      <c r="ID33" s="1320"/>
      <c r="IE33" s="1320"/>
      <c r="IF33" s="1320"/>
      <c r="IG33" s="1320"/>
      <c r="IH33" s="1320"/>
      <c r="II33" s="1320"/>
      <c r="IJ33" s="1320"/>
      <c r="IK33" s="1320"/>
      <c r="IL33" s="1320"/>
      <c r="IM33" s="1320"/>
      <c r="IN33" s="1320"/>
      <c r="IO33" s="1320"/>
      <c r="IP33" s="1320"/>
      <c r="IQ33" s="1320"/>
      <c r="IR33" s="1320"/>
      <c r="IS33" s="1320"/>
      <c r="IT33" s="1320"/>
      <c r="IU33" s="1320"/>
      <c r="IV33" s="1320"/>
    </row>
    <row r="34" spans="1:256" ht="16.5">
      <c r="A34" s="1360"/>
      <c r="B34" s="1361"/>
      <c r="C34" s="1362"/>
      <c r="D34" s="1362"/>
      <c r="E34" s="1359"/>
      <c r="F34" s="1359"/>
      <c r="G34" s="1358"/>
      <c r="H34" s="1359"/>
      <c r="I34" s="1363"/>
      <c r="J34" s="1342"/>
      <c r="K34" s="1320"/>
      <c r="L34" s="1320"/>
      <c r="M34" s="1320"/>
      <c r="N34" s="1320"/>
      <c r="O34" s="1320"/>
      <c r="P34" s="1320"/>
      <c r="Q34" s="1320"/>
      <c r="R34" s="1320"/>
      <c r="S34" s="1320"/>
      <c r="T34" s="1320"/>
      <c r="U34" s="1320"/>
      <c r="V34" s="1320"/>
      <c r="W34" s="1320"/>
      <c r="X34" s="1320"/>
      <c r="Y34" s="1320"/>
      <c r="Z34" s="1320"/>
      <c r="AA34" s="1320"/>
      <c r="AB34" s="1320"/>
      <c r="AC34" s="1320"/>
      <c r="AD34" s="1320"/>
      <c r="AE34" s="1320"/>
      <c r="AF34" s="1320"/>
      <c r="AG34" s="1320"/>
      <c r="AH34" s="1320"/>
      <c r="AI34" s="1320"/>
      <c r="AJ34" s="1320"/>
      <c r="AK34" s="1320"/>
      <c r="AL34" s="1320"/>
      <c r="AM34" s="1320"/>
      <c r="AN34" s="1320"/>
      <c r="AO34" s="1320"/>
      <c r="AP34" s="1320"/>
      <c r="AQ34" s="1320"/>
      <c r="AR34" s="1320"/>
      <c r="AS34" s="1320"/>
      <c r="AT34" s="1320"/>
      <c r="AU34" s="1320"/>
      <c r="AV34" s="1320"/>
      <c r="AW34" s="1320"/>
      <c r="AX34" s="1320"/>
      <c r="AY34" s="1320"/>
      <c r="AZ34" s="1320"/>
      <c r="BA34" s="1320"/>
      <c r="BB34" s="1320"/>
      <c r="BC34" s="1320"/>
      <c r="BD34" s="1320"/>
      <c r="BE34" s="1320"/>
      <c r="BF34" s="1320"/>
      <c r="BG34" s="1320"/>
      <c r="BH34" s="1320"/>
      <c r="BI34" s="1320"/>
      <c r="BJ34" s="1320"/>
      <c r="BK34" s="1320"/>
      <c r="BL34" s="1320"/>
      <c r="BM34" s="1320"/>
      <c r="BN34" s="1320"/>
      <c r="BO34" s="1320"/>
      <c r="BP34" s="1320"/>
      <c r="BQ34" s="1320"/>
      <c r="BR34" s="1320"/>
      <c r="BS34" s="1320"/>
      <c r="BT34" s="1320"/>
      <c r="BU34" s="1320"/>
      <c r="BV34" s="1320"/>
      <c r="BW34" s="1320"/>
      <c r="BX34" s="1320"/>
      <c r="BY34" s="1320"/>
      <c r="BZ34" s="1320"/>
      <c r="CA34" s="1320"/>
      <c r="CB34" s="1320"/>
      <c r="CC34" s="1320"/>
      <c r="CD34" s="1320"/>
      <c r="CE34" s="1320"/>
      <c r="CF34" s="1320"/>
      <c r="CG34" s="1320"/>
      <c r="CH34" s="1320"/>
      <c r="CI34" s="1320"/>
      <c r="CJ34" s="1320"/>
      <c r="CK34" s="1320"/>
      <c r="CL34" s="1320"/>
      <c r="CM34" s="1320"/>
      <c r="CN34" s="1320"/>
      <c r="CO34" s="1320"/>
      <c r="CP34" s="1320"/>
      <c r="CQ34" s="1320"/>
      <c r="CR34" s="1320"/>
      <c r="CS34" s="1320"/>
      <c r="CT34" s="1320"/>
      <c r="CU34" s="1320"/>
      <c r="CV34" s="1320"/>
      <c r="CW34" s="1320"/>
      <c r="CX34" s="1320"/>
      <c r="CY34" s="1320"/>
      <c r="CZ34" s="1320"/>
      <c r="DA34" s="1320"/>
      <c r="DB34" s="1320"/>
      <c r="DC34" s="1320"/>
      <c r="DD34" s="1320"/>
      <c r="DE34" s="1320"/>
      <c r="DF34" s="1320"/>
      <c r="DG34" s="1320"/>
      <c r="DH34" s="1320"/>
      <c r="DI34" s="1320"/>
      <c r="DJ34" s="1320"/>
      <c r="DK34" s="1320"/>
      <c r="DL34" s="1320"/>
      <c r="DM34" s="1320"/>
      <c r="DN34" s="1320"/>
      <c r="DO34" s="1320"/>
      <c r="DP34" s="1320"/>
      <c r="DQ34" s="1320"/>
      <c r="DR34" s="1320"/>
      <c r="DS34" s="1320"/>
      <c r="DT34" s="1320"/>
      <c r="DU34" s="1320"/>
      <c r="DV34" s="1320"/>
      <c r="DW34" s="1320"/>
      <c r="DX34" s="1320"/>
      <c r="DY34" s="1320"/>
      <c r="DZ34" s="1320"/>
      <c r="EA34" s="1320"/>
      <c r="EB34" s="1320"/>
      <c r="EC34" s="1320"/>
      <c r="ED34" s="1320"/>
      <c r="EE34" s="1320"/>
      <c r="EF34" s="1320"/>
      <c r="EG34" s="1320"/>
      <c r="EH34" s="1320"/>
      <c r="EI34" s="1320"/>
      <c r="EJ34" s="1320"/>
      <c r="EK34" s="1320"/>
      <c r="EL34" s="1320"/>
      <c r="EM34" s="1320"/>
      <c r="EN34" s="1320"/>
      <c r="EO34" s="1320"/>
      <c r="EP34" s="1320"/>
      <c r="EQ34" s="1320"/>
      <c r="ER34" s="1320"/>
      <c r="ES34" s="1320"/>
      <c r="ET34" s="1320"/>
      <c r="EU34" s="1320"/>
      <c r="EV34" s="1320"/>
      <c r="EW34" s="1320"/>
      <c r="EX34" s="1320"/>
      <c r="EY34" s="1320"/>
      <c r="EZ34" s="1320"/>
      <c r="FA34" s="1320"/>
      <c r="FB34" s="1320"/>
      <c r="FC34" s="1320"/>
      <c r="FD34" s="1320"/>
      <c r="FE34" s="1320"/>
      <c r="FF34" s="1320"/>
      <c r="FG34" s="1320"/>
      <c r="FH34" s="1320"/>
      <c r="FI34" s="1320"/>
      <c r="FJ34" s="1320"/>
      <c r="FK34" s="1320"/>
      <c r="FL34" s="1320"/>
      <c r="FM34" s="1320"/>
      <c r="FN34" s="1320"/>
      <c r="FO34" s="1320"/>
      <c r="FP34" s="1320"/>
      <c r="FQ34" s="1320"/>
      <c r="FR34" s="1320"/>
      <c r="FS34" s="1320"/>
      <c r="FT34" s="1320"/>
      <c r="FU34" s="1320"/>
      <c r="FV34" s="1320"/>
      <c r="FW34" s="1320"/>
      <c r="FX34" s="1320"/>
      <c r="FY34" s="1320"/>
      <c r="FZ34" s="1320"/>
      <c r="GA34" s="1320"/>
      <c r="GB34" s="1320"/>
      <c r="GC34" s="1320"/>
      <c r="GD34" s="1320"/>
      <c r="GE34" s="1320"/>
      <c r="GF34" s="1320"/>
      <c r="GG34" s="1320"/>
      <c r="GH34" s="1320"/>
      <c r="GI34" s="1320"/>
      <c r="GJ34" s="1320"/>
      <c r="GK34" s="1320"/>
      <c r="GL34" s="1320"/>
      <c r="GM34" s="1320"/>
      <c r="GN34" s="1320"/>
      <c r="GO34" s="1320"/>
      <c r="GP34" s="1320"/>
      <c r="GQ34" s="1320"/>
      <c r="GR34" s="1320"/>
      <c r="GS34" s="1320"/>
      <c r="GT34" s="1320"/>
      <c r="GU34" s="1320"/>
      <c r="GV34" s="1320"/>
      <c r="GW34" s="1320"/>
      <c r="GX34" s="1320"/>
      <c r="GY34" s="1320"/>
      <c r="GZ34" s="1320"/>
      <c r="HA34" s="1320"/>
      <c r="HB34" s="1320"/>
      <c r="HC34" s="1320"/>
      <c r="HD34" s="1320"/>
      <c r="HE34" s="1320"/>
      <c r="HF34" s="1320"/>
      <c r="HG34" s="1320"/>
      <c r="HH34" s="1320"/>
      <c r="HI34" s="1320"/>
      <c r="HJ34" s="1320"/>
      <c r="HK34" s="1320"/>
      <c r="HL34" s="1320"/>
      <c r="HM34" s="1320"/>
      <c r="HN34" s="1320"/>
      <c r="HO34" s="1320"/>
      <c r="HP34" s="1320"/>
      <c r="HQ34" s="1320"/>
      <c r="HR34" s="1320"/>
      <c r="HS34" s="1320"/>
      <c r="HT34" s="1320"/>
      <c r="HU34" s="1320"/>
      <c r="HV34" s="1320"/>
      <c r="HW34" s="1320"/>
      <c r="HX34" s="1320"/>
      <c r="HY34" s="1320"/>
      <c r="HZ34" s="1320"/>
      <c r="IA34" s="1320"/>
      <c r="IB34" s="1320"/>
      <c r="IC34" s="1320"/>
      <c r="ID34" s="1320"/>
      <c r="IE34" s="1320"/>
      <c r="IF34" s="1320"/>
      <c r="IG34" s="1320"/>
      <c r="IH34" s="1320"/>
      <c r="II34" s="1320"/>
      <c r="IJ34" s="1320"/>
      <c r="IK34" s="1320"/>
      <c r="IL34" s="1320"/>
      <c r="IM34" s="1320"/>
      <c r="IN34" s="1320"/>
      <c r="IO34" s="1320"/>
      <c r="IP34" s="1320"/>
      <c r="IQ34" s="1320"/>
      <c r="IR34" s="1320"/>
      <c r="IS34" s="1320"/>
      <c r="IT34" s="1320"/>
      <c r="IU34" s="1320"/>
      <c r="IV34" s="1320"/>
    </row>
    <row r="35" spans="1:256" ht="16.5">
      <c r="A35" s="1364"/>
      <c r="B35" s="1365"/>
      <c r="C35" s="1364"/>
      <c r="D35" s="1364"/>
      <c r="E35" s="1342"/>
      <c r="F35" s="1342"/>
      <c r="G35" s="1366"/>
      <c r="H35" s="1342"/>
      <c r="I35" s="1367"/>
      <c r="J35" s="1362"/>
      <c r="K35" s="1362"/>
      <c r="L35" s="1362"/>
      <c r="M35" s="1362"/>
      <c r="N35" s="1362"/>
      <c r="O35" s="1362"/>
      <c r="P35" s="1362"/>
      <c r="Q35" s="1362"/>
      <c r="R35" s="1362"/>
      <c r="S35" s="1362"/>
      <c r="T35" s="1362"/>
      <c r="U35" s="1362"/>
      <c r="V35" s="1362"/>
      <c r="W35" s="1362"/>
      <c r="X35" s="1362"/>
      <c r="Y35" s="1362"/>
      <c r="Z35" s="1362"/>
      <c r="AA35" s="1362"/>
      <c r="AB35" s="1362"/>
      <c r="AC35" s="1362"/>
      <c r="AD35" s="1362"/>
      <c r="AE35" s="1362"/>
      <c r="AF35" s="1362"/>
      <c r="AG35" s="1362"/>
      <c r="AH35" s="1362"/>
      <c r="AI35" s="1362"/>
      <c r="AJ35" s="1362"/>
      <c r="AK35" s="1362"/>
      <c r="AL35" s="1362"/>
      <c r="AM35" s="1362"/>
      <c r="AN35" s="1362"/>
      <c r="AO35" s="1362"/>
      <c r="AP35" s="1362"/>
      <c r="AQ35" s="1362"/>
      <c r="AR35" s="1362"/>
      <c r="AS35" s="1362"/>
      <c r="AT35" s="1362"/>
      <c r="AU35" s="1362"/>
      <c r="AV35" s="1362"/>
      <c r="AW35" s="1362"/>
      <c r="AX35" s="1362"/>
      <c r="AY35" s="1362"/>
      <c r="AZ35" s="1362"/>
      <c r="BA35" s="1362"/>
      <c r="BB35" s="1362"/>
      <c r="BC35" s="1362"/>
      <c r="BD35" s="1362"/>
      <c r="BE35" s="1362"/>
      <c r="BF35" s="1362"/>
      <c r="BG35" s="1362"/>
      <c r="BH35" s="1362"/>
      <c r="BI35" s="1362"/>
      <c r="BJ35" s="1362"/>
      <c r="BK35" s="1362"/>
      <c r="BL35" s="1362"/>
      <c r="BM35" s="1362"/>
      <c r="BN35" s="1362"/>
      <c r="BO35" s="1362"/>
      <c r="BP35" s="1362"/>
      <c r="BQ35" s="1362"/>
      <c r="BR35" s="1362"/>
      <c r="BS35" s="1362"/>
      <c r="BT35" s="1362"/>
      <c r="BU35" s="1362"/>
      <c r="BV35" s="1362"/>
      <c r="BW35" s="1362"/>
      <c r="BX35" s="1362"/>
      <c r="BY35" s="1362"/>
      <c r="BZ35" s="1362"/>
      <c r="CA35" s="1362"/>
      <c r="CB35" s="1362"/>
      <c r="CC35" s="1362"/>
      <c r="CD35" s="1362"/>
      <c r="CE35" s="1362"/>
      <c r="CF35" s="1362"/>
      <c r="CG35" s="1362"/>
      <c r="CH35" s="1362"/>
      <c r="CI35" s="1362"/>
      <c r="CJ35" s="1362"/>
      <c r="CK35" s="1362"/>
      <c r="CL35" s="1362"/>
      <c r="CM35" s="1362"/>
      <c r="CN35" s="1362"/>
      <c r="CO35" s="1362"/>
      <c r="CP35" s="1362"/>
      <c r="CQ35" s="1362"/>
      <c r="CR35" s="1362"/>
      <c r="CS35" s="1362"/>
      <c r="CT35" s="1362"/>
      <c r="CU35" s="1362"/>
      <c r="CV35" s="1362"/>
      <c r="CW35" s="1362"/>
      <c r="CX35" s="1362"/>
      <c r="CY35" s="1362"/>
      <c r="CZ35" s="1362"/>
      <c r="DA35" s="1362"/>
      <c r="DB35" s="1362"/>
      <c r="DC35" s="1362"/>
      <c r="DD35" s="1362"/>
      <c r="DE35" s="1362"/>
      <c r="DF35" s="1362"/>
      <c r="DG35" s="1362"/>
      <c r="DH35" s="1362"/>
      <c r="DI35" s="1362"/>
      <c r="DJ35" s="1362"/>
      <c r="DK35" s="1362"/>
      <c r="DL35" s="1362"/>
      <c r="DM35" s="1362"/>
      <c r="DN35" s="1362"/>
      <c r="DO35" s="1362"/>
      <c r="DP35" s="1362"/>
      <c r="DQ35" s="1362"/>
      <c r="DR35" s="1362"/>
      <c r="DS35" s="1362"/>
      <c r="DT35" s="1362"/>
      <c r="DU35" s="1362"/>
      <c r="DV35" s="1362"/>
      <c r="DW35" s="1362"/>
      <c r="DX35" s="1362"/>
      <c r="DY35" s="1362"/>
      <c r="DZ35" s="1362"/>
      <c r="EA35" s="1362"/>
      <c r="EB35" s="1362"/>
      <c r="EC35" s="1362"/>
      <c r="ED35" s="1362"/>
      <c r="EE35" s="1362"/>
      <c r="EF35" s="1362"/>
      <c r="EG35" s="1362"/>
      <c r="EH35" s="1362"/>
      <c r="EI35" s="1362"/>
      <c r="EJ35" s="1362"/>
      <c r="EK35" s="1362"/>
      <c r="EL35" s="1362"/>
      <c r="EM35" s="1362"/>
      <c r="EN35" s="1362"/>
      <c r="EO35" s="1362"/>
      <c r="EP35" s="1362"/>
      <c r="EQ35" s="1362"/>
      <c r="ER35" s="1362"/>
      <c r="ES35" s="1362"/>
      <c r="ET35" s="1362"/>
      <c r="EU35" s="1362"/>
      <c r="EV35" s="1362"/>
      <c r="EW35" s="1362"/>
      <c r="EX35" s="1362"/>
      <c r="EY35" s="1362"/>
      <c r="EZ35" s="1362"/>
      <c r="FA35" s="1362"/>
      <c r="FB35" s="1362"/>
      <c r="FC35" s="1362"/>
      <c r="FD35" s="1362"/>
      <c r="FE35" s="1362"/>
      <c r="FF35" s="1362"/>
      <c r="FG35" s="1362"/>
      <c r="FH35" s="1362"/>
      <c r="FI35" s="1362"/>
      <c r="FJ35" s="1362"/>
      <c r="FK35" s="1362"/>
      <c r="FL35" s="1362"/>
      <c r="FM35" s="1362"/>
      <c r="FN35" s="1362"/>
      <c r="FO35" s="1362"/>
      <c r="FP35" s="1362"/>
      <c r="FQ35" s="1362"/>
      <c r="FR35" s="1362"/>
      <c r="FS35" s="1362"/>
      <c r="FT35" s="1362"/>
      <c r="FU35" s="1362"/>
      <c r="FV35" s="1362"/>
      <c r="FW35" s="1362"/>
      <c r="FX35" s="1362"/>
      <c r="FY35" s="1362"/>
      <c r="FZ35" s="1362"/>
      <c r="GA35" s="1362"/>
      <c r="GB35" s="1362"/>
      <c r="GC35" s="1362"/>
      <c r="GD35" s="1362"/>
      <c r="GE35" s="1362"/>
      <c r="GF35" s="1362"/>
      <c r="GG35" s="1362"/>
      <c r="GH35" s="1362"/>
      <c r="GI35" s="1362"/>
      <c r="GJ35" s="1362"/>
      <c r="GK35" s="1362"/>
      <c r="GL35" s="1362"/>
      <c r="GM35" s="1362"/>
      <c r="GN35" s="1362"/>
      <c r="GO35" s="1362"/>
      <c r="GP35" s="1362"/>
      <c r="GQ35" s="1362"/>
      <c r="GR35" s="1362"/>
      <c r="GS35" s="1362"/>
      <c r="GT35" s="1362"/>
      <c r="GU35" s="1362"/>
      <c r="GV35" s="1362"/>
      <c r="GW35" s="1362"/>
      <c r="GX35" s="1362"/>
      <c r="GY35" s="1362"/>
      <c r="GZ35" s="1362"/>
      <c r="HA35" s="1362"/>
      <c r="HB35" s="1362"/>
      <c r="HC35" s="1362"/>
      <c r="HD35" s="1362"/>
      <c r="HE35" s="1362"/>
      <c r="HF35" s="1362"/>
      <c r="HG35" s="1362"/>
      <c r="HH35" s="1362"/>
      <c r="HI35" s="1362"/>
      <c r="HJ35" s="1362"/>
      <c r="HK35" s="1362"/>
      <c r="HL35" s="1362"/>
      <c r="HM35" s="1362"/>
      <c r="HN35" s="1362"/>
      <c r="HO35" s="1362"/>
      <c r="HP35" s="1362"/>
      <c r="HQ35" s="1362"/>
      <c r="HR35" s="1362"/>
      <c r="HS35" s="1362"/>
      <c r="HT35" s="1362"/>
      <c r="HU35" s="1362"/>
      <c r="HV35" s="1362"/>
      <c r="HW35" s="1362"/>
      <c r="HX35" s="1362"/>
      <c r="HY35" s="1362"/>
      <c r="HZ35" s="1362"/>
      <c r="IA35" s="1362"/>
      <c r="IB35" s="1362"/>
      <c r="IC35" s="1362"/>
      <c r="ID35" s="1362"/>
      <c r="IE35" s="1362"/>
      <c r="IF35" s="1362"/>
      <c r="IG35" s="1362"/>
      <c r="IH35" s="1362"/>
      <c r="II35" s="1362"/>
      <c r="IJ35" s="1362"/>
      <c r="IK35" s="1362"/>
      <c r="IL35" s="1362"/>
      <c r="IM35" s="1362"/>
      <c r="IN35" s="1362"/>
      <c r="IO35" s="1362"/>
      <c r="IP35" s="1362"/>
      <c r="IQ35" s="1362"/>
      <c r="IR35" s="1362"/>
      <c r="IS35" s="1362"/>
      <c r="IT35" s="1362"/>
      <c r="IU35" s="1362"/>
      <c r="IV35" s="1362"/>
    </row>
    <row r="36" spans="1:256" ht="16.5">
      <c r="A36" s="1368" t="s">
        <v>7098</v>
      </c>
      <c r="B36" s="1368"/>
      <c r="C36" s="1368"/>
      <c r="D36" s="1368"/>
      <c r="E36" s="1368"/>
      <c r="F36" s="1368"/>
      <c r="G36" s="1368"/>
      <c r="H36" s="1368"/>
      <c r="I36" s="1368"/>
      <c r="J36" s="1362"/>
      <c r="K36" s="1362"/>
      <c r="L36" s="1362"/>
      <c r="M36" s="1362"/>
      <c r="N36" s="1362"/>
      <c r="O36" s="1362"/>
      <c r="P36" s="1362"/>
      <c r="Q36" s="1362"/>
      <c r="R36" s="1362"/>
      <c r="S36" s="1362"/>
      <c r="T36" s="1362"/>
      <c r="U36" s="1362"/>
      <c r="V36" s="1362"/>
      <c r="W36" s="1362"/>
      <c r="X36" s="1362"/>
      <c r="Y36" s="1362"/>
      <c r="Z36" s="1362"/>
      <c r="AA36" s="1362"/>
      <c r="AB36" s="1362"/>
      <c r="AC36" s="1362"/>
      <c r="AD36" s="1362"/>
      <c r="AE36" s="1362"/>
      <c r="AF36" s="1362"/>
      <c r="AG36" s="1362"/>
      <c r="AH36" s="1362"/>
      <c r="AI36" s="1362"/>
      <c r="AJ36" s="1362"/>
      <c r="AK36" s="1362"/>
      <c r="AL36" s="1362"/>
      <c r="AM36" s="1362"/>
      <c r="AN36" s="1362"/>
      <c r="AO36" s="1362"/>
      <c r="AP36" s="1362"/>
      <c r="AQ36" s="1362"/>
      <c r="AR36" s="1362"/>
      <c r="AS36" s="1362"/>
      <c r="AT36" s="1362"/>
      <c r="AU36" s="1362"/>
      <c r="AV36" s="1362"/>
      <c r="AW36" s="1362"/>
      <c r="AX36" s="1362"/>
      <c r="AY36" s="1362"/>
      <c r="AZ36" s="1362"/>
      <c r="BA36" s="1362"/>
      <c r="BB36" s="1362"/>
      <c r="BC36" s="1362"/>
      <c r="BD36" s="1362"/>
      <c r="BE36" s="1362"/>
      <c r="BF36" s="1362"/>
      <c r="BG36" s="1362"/>
      <c r="BH36" s="1362"/>
      <c r="BI36" s="1362"/>
      <c r="BJ36" s="1362"/>
      <c r="BK36" s="1362"/>
      <c r="BL36" s="1362"/>
      <c r="BM36" s="1362"/>
      <c r="BN36" s="1362"/>
      <c r="BO36" s="1362"/>
      <c r="BP36" s="1362"/>
      <c r="BQ36" s="1362"/>
      <c r="BR36" s="1362"/>
      <c r="BS36" s="1362"/>
      <c r="BT36" s="1362"/>
      <c r="BU36" s="1362"/>
      <c r="BV36" s="1362"/>
      <c r="BW36" s="1362"/>
      <c r="BX36" s="1362"/>
      <c r="BY36" s="1362"/>
      <c r="BZ36" s="1362"/>
      <c r="CA36" s="1362"/>
      <c r="CB36" s="1362"/>
      <c r="CC36" s="1362"/>
      <c r="CD36" s="1362"/>
      <c r="CE36" s="1362"/>
      <c r="CF36" s="1362"/>
      <c r="CG36" s="1362"/>
      <c r="CH36" s="1362"/>
      <c r="CI36" s="1362"/>
      <c r="CJ36" s="1362"/>
      <c r="CK36" s="1362"/>
      <c r="CL36" s="1362"/>
      <c r="CM36" s="1362"/>
      <c r="CN36" s="1362"/>
      <c r="CO36" s="1362"/>
      <c r="CP36" s="1362"/>
      <c r="CQ36" s="1362"/>
      <c r="CR36" s="1362"/>
      <c r="CS36" s="1362"/>
      <c r="CT36" s="1362"/>
      <c r="CU36" s="1362"/>
      <c r="CV36" s="1362"/>
      <c r="CW36" s="1362"/>
      <c r="CX36" s="1362"/>
      <c r="CY36" s="1362"/>
      <c r="CZ36" s="1362"/>
      <c r="DA36" s="1362"/>
      <c r="DB36" s="1362"/>
      <c r="DC36" s="1362"/>
      <c r="DD36" s="1362"/>
      <c r="DE36" s="1362"/>
      <c r="DF36" s="1362"/>
      <c r="DG36" s="1362"/>
      <c r="DH36" s="1362"/>
      <c r="DI36" s="1362"/>
      <c r="DJ36" s="1362"/>
      <c r="DK36" s="1362"/>
      <c r="DL36" s="1362"/>
      <c r="DM36" s="1362"/>
      <c r="DN36" s="1362"/>
      <c r="DO36" s="1362"/>
      <c r="DP36" s="1362"/>
      <c r="DQ36" s="1362"/>
      <c r="DR36" s="1362"/>
      <c r="DS36" s="1362"/>
      <c r="DT36" s="1362"/>
      <c r="DU36" s="1362"/>
      <c r="DV36" s="1362"/>
      <c r="DW36" s="1362"/>
      <c r="DX36" s="1362"/>
      <c r="DY36" s="1362"/>
      <c r="DZ36" s="1362"/>
      <c r="EA36" s="1362"/>
      <c r="EB36" s="1362"/>
      <c r="EC36" s="1362"/>
      <c r="ED36" s="1362"/>
      <c r="EE36" s="1362"/>
      <c r="EF36" s="1362"/>
      <c r="EG36" s="1362"/>
      <c r="EH36" s="1362"/>
      <c r="EI36" s="1362"/>
      <c r="EJ36" s="1362"/>
      <c r="EK36" s="1362"/>
      <c r="EL36" s="1362"/>
      <c r="EM36" s="1362"/>
      <c r="EN36" s="1362"/>
      <c r="EO36" s="1362"/>
      <c r="EP36" s="1362"/>
      <c r="EQ36" s="1362"/>
      <c r="ER36" s="1362"/>
      <c r="ES36" s="1362"/>
      <c r="ET36" s="1362"/>
      <c r="EU36" s="1362"/>
      <c r="EV36" s="1362"/>
      <c r="EW36" s="1362"/>
      <c r="EX36" s="1362"/>
      <c r="EY36" s="1362"/>
      <c r="EZ36" s="1362"/>
      <c r="FA36" s="1362"/>
      <c r="FB36" s="1362"/>
      <c r="FC36" s="1362"/>
      <c r="FD36" s="1362"/>
      <c r="FE36" s="1362"/>
      <c r="FF36" s="1362"/>
      <c r="FG36" s="1362"/>
      <c r="FH36" s="1362"/>
      <c r="FI36" s="1362"/>
      <c r="FJ36" s="1362"/>
      <c r="FK36" s="1362"/>
      <c r="FL36" s="1362"/>
      <c r="FM36" s="1362"/>
      <c r="FN36" s="1362"/>
      <c r="FO36" s="1362"/>
      <c r="FP36" s="1362"/>
      <c r="FQ36" s="1362"/>
      <c r="FR36" s="1362"/>
      <c r="FS36" s="1362"/>
      <c r="FT36" s="1362"/>
      <c r="FU36" s="1362"/>
      <c r="FV36" s="1362"/>
      <c r="FW36" s="1362"/>
      <c r="FX36" s="1362"/>
      <c r="FY36" s="1362"/>
      <c r="FZ36" s="1362"/>
      <c r="GA36" s="1362"/>
      <c r="GB36" s="1362"/>
      <c r="GC36" s="1362"/>
      <c r="GD36" s="1362"/>
      <c r="GE36" s="1362"/>
      <c r="GF36" s="1362"/>
      <c r="GG36" s="1362"/>
      <c r="GH36" s="1362"/>
      <c r="GI36" s="1362"/>
      <c r="GJ36" s="1362"/>
      <c r="GK36" s="1362"/>
      <c r="GL36" s="1362"/>
      <c r="GM36" s="1362"/>
      <c r="GN36" s="1362"/>
      <c r="GO36" s="1362"/>
      <c r="GP36" s="1362"/>
      <c r="GQ36" s="1362"/>
      <c r="GR36" s="1362"/>
      <c r="GS36" s="1362"/>
      <c r="GT36" s="1362"/>
      <c r="GU36" s="1362"/>
      <c r="GV36" s="1362"/>
      <c r="GW36" s="1362"/>
      <c r="GX36" s="1362"/>
      <c r="GY36" s="1362"/>
      <c r="GZ36" s="1362"/>
      <c r="HA36" s="1362"/>
      <c r="HB36" s="1362"/>
      <c r="HC36" s="1362"/>
      <c r="HD36" s="1362"/>
      <c r="HE36" s="1362"/>
      <c r="HF36" s="1362"/>
      <c r="HG36" s="1362"/>
      <c r="HH36" s="1362"/>
      <c r="HI36" s="1362"/>
      <c r="HJ36" s="1362"/>
      <c r="HK36" s="1362"/>
      <c r="HL36" s="1362"/>
      <c r="HM36" s="1362"/>
      <c r="HN36" s="1362"/>
      <c r="HO36" s="1362"/>
      <c r="HP36" s="1362"/>
      <c r="HQ36" s="1362"/>
      <c r="HR36" s="1362"/>
      <c r="HS36" s="1362"/>
      <c r="HT36" s="1362"/>
      <c r="HU36" s="1362"/>
      <c r="HV36" s="1362"/>
      <c r="HW36" s="1362"/>
      <c r="HX36" s="1362"/>
      <c r="HY36" s="1362"/>
      <c r="HZ36" s="1362"/>
      <c r="IA36" s="1362"/>
      <c r="IB36" s="1362"/>
      <c r="IC36" s="1362"/>
      <c r="ID36" s="1362"/>
      <c r="IE36" s="1362"/>
      <c r="IF36" s="1362"/>
      <c r="IG36" s="1362"/>
      <c r="IH36" s="1362"/>
      <c r="II36" s="1362"/>
      <c r="IJ36" s="1362"/>
      <c r="IK36" s="1362"/>
      <c r="IL36" s="1362"/>
      <c r="IM36" s="1362"/>
      <c r="IN36" s="1362"/>
      <c r="IO36" s="1362"/>
      <c r="IP36" s="1362"/>
      <c r="IQ36" s="1362"/>
      <c r="IR36" s="1362"/>
      <c r="IS36" s="1362"/>
      <c r="IT36" s="1362"/>
      <c r="IU36" s="1362"/>
      <c r="IV36" s="1362"/>
    </row>
    <row r="37" spans="1:256" ht="16.5">
      <c r="A37" s="1364"/>
      <c r="B37" s="1365"/>
      <c r="C37" s="1364"/>
      <c r="D37" s="1364"/>
      <c r="E37" s="1342"/>
      <c r="F37" s="1342"/>
      <c r="G37" s="1366"/>
      <c r="H37" s="1342"/>
      <c r="I37" s="1367"/>
      <c r="J37" s="1362"/>
      <c r="K37" s="1362"/>
      <c r="L37" s="1362"/>
      <c r="M37" s="1362"/>
      <c r="N37" s="1362"/>
      <c r="O37" s="1362"/>
      <c r="P37" s="1362"/>
      <c r="Q37" s="1362"/>
      <c r="R37" s="1362"/>
      <c r="S37" s="1362"/>
      <c r="T37" s="1362"/>
      <c r="U37" s="1362"/>
      <c r="V37" s="1362"/>
      <c r="W37" s="1362"/>
      <c r="X37" s="1362"/>
      <c r="Y37" s="1362"/>
      <c r="Z37" s="1362"/>
      <c r="AA37" s="1362"/>
      <c r="AB37" s="1362"/>
      <c r="AC37" s="1362"/>
      <c r="AD37" s="1362"/>
      <c r="AE37" s="1362"/>
      <c r="AF37" s="1362"/>
      <c r="AG37" s="1362"/>
      <c r="AH37" s="1362"/>
      <c r="AI37" s="1362"/>
      <c r="AJ37" s="1362"/>
      <c r="AK37" s="1362"/>
      <c r="AL37" s="1362"/>
      <c r="AM37" s="1362"/>
      <c r="AN37" s="1362"/>
      <c r="AO37" s="1362"/>
      <c r="AP37" s="1362"/>
      <c r="AQ37" s="1362"/>
      <c r="AR37" s="1362"/>
      <c r="AS37" s="1362"/>
      <c r="AT37" s="1362"/>
      <c r="AU37" s="1362"/>
      <c r="AV37" s="1362"/>
      <c r="AW37" s="1362"/>
      <c r="AX37" s="1362"/>
      <c r="AY37" s="1362"/>
      <c r="AZ37" s="1362"/>
      <c r="BA37" s="1362"/>
      <c r="BB37" s="1362"/>
      <c r="BC37" s="1362"/>
      <c r="BD37" s="1362"/>
      <c r="BE37" s="1362"/>
      <c r="BF37" s="1362"/>
      <c r="BG37" s="1362"/>
      <c r="BH37" s="1362"/>
      <c r="BI37" s="1362"/>
      <c r="BJ37" s="1362"/>
      <c r="BK37" s="1362"/>
      <c r="BL37" s="1362"/>
      <c r="BM37" s="1362"/>
      <c r="BN37" s="1362"/>
      <c r="BO37" s="1362"/>
      <c r="BP37" s="1362"/>
      <c r="BQ37" s="1362"/>
      <c r="BR37" s="1362"/>
      <c r="BS37" s="1362"/>
      <c r="BT37" s="1362"/>
      <c r="BU37" s="1362"/>
      <c r="BV37" s="1362"/>
      <c r="BW37" s="1362"/>
      <c r="BX37" s="1362"/>
      <c r="BY37" s="1362"/>
      <c r="BZ37" s="1362"/>
      <c r="CA37" s="1362"/>
      <c r="CB37" s="1362"/>
      <c r="CC37" s="1362"/>
      <c r="CD37" s="1362"/>
      <c r="CE37" s="1362"/>
      <c r="CF37" s="1362"/>
      <c r="CG37" s="1362"/>
      <c r="CH37" s="1362"/>
      <c r="CI37" s="1362"/>
      <c r="CJ37" s="1362"/>
      <c r="CK37" s="1362"/>
      <c r="CL37" s="1362"/>
      <c r="CM37" s="1362"/>
      <c r="CN37" s="1362"/>
      <c r="CO37" s="1362"/>
      <c r="CP37" s="1362"/>
      <c r="CQ37" s="1362"/>
      <c r="CR37" s="1362"/>
      <c r="CS37" s="1362"/>
      <c r="CT37" s="1362"/>
      <c r="CU37" s="1362"/>
      <c r="CV37" s="1362"/>
      <c r="CW37" s="1362"/>
      <c r="CX37" s="1362"/>
      <c r="CY37" s="1362"/>
      <c r="CZ37" s="1362"/>
      <c r="DA37" s="1362"/>
      <c r="DB37" s="1362"/>
      <c r="DC37" s="1362"/>
      <c r="DD37" s="1362"/>
      <c r="DE37" s="1362"/>
      <c r="DF37" s="1362"/>
      <c r="DG37" s="1362"/>
      <c r="DH37" s="1362"/>
      <c r="DI37" s="1362"/>
      <c r="DJ37" s="1362"/>
      <c r="DK37" s="1362"/>
      <c r="DL37" s="1362"/>
      <c r="DM37" s="1362"/>
      <c r="DN37" s="1362"/>
      <c r="DO37" s="1362"/>
      <c r="DP37" s="1362"/>
      <c r="DQ37" s="1362"/>
      <c r="DR37" s="1362"/>
      <c r="DS37" s="1362"/>
      <c r="DT37" s="1362"/>
      <c r="DU37" s="1362"/>
      <c r="DV37" s="1362"/>
      <c r="DW37" s="1362"/>
      <c r="DX37" s="1362"/>
      <c r="DY37" s="1362"/>
      <c r="DZ37" s="1362"/>
      <c r="EA37" s="1362"/>
      <c r="EB37" s="1362"/>
      <c r="EC37" s="1362"/>
      <c r="ED37" s="1362"/>
      <c r="EE37" s="1362"/>
      <c r="EF37" s="1362"/>
      <c r="EG37" s="1362"/>
      <c r="EH37" s="1362"/>
      <c r="EI37" s="1362"/>
      <c r="EJ37" s="1362"/>
      <c r="EK37" s="1362"/>
      <c r="EL37" s="1362"/>
      <c r="EM37" s="1362"/>
      <c r="EN37" s="1362"/>
      <c r="EO37" s="1362"/>
      <c r="EP37" s="1362"/>
      <c r="EQ37" s="1362"/>
      <c r="ER37" s="1362"/>
      <c r="ES37" s="1362"/>
      <c r="ET37" s="1362"/>
      <c r="EU37" s="1362"/>
      <c r="EV37" s="1362"/>
      <c r="EW37" s="1362"/>
      <c r="EX37" s="1362"/>
      <c r="EY37" s="1362"/>
      <c r="EZ37" s="1362"/>
      <c r="FA37" s="1362"/>
      <c r="FB37" s="1362"/>
      <c r="FC37" s="1362"/>
      <c r="FD37" s="1362"/>
      <c r="FE37" s="1362"/>
      <c r="FF37" s="1362"/>
      <c r="FG37" s="1362"/>
      <c r="FH37" s="1362"/>
      <c r="FI37" s="1362"/>
      <c r="FJ37" s="1362"/>
      <c r="FK37" s="1362"/>
      <c r="FL37" s="1362"/>
      <c r="FM37" s="1362"/>
      <c r="FN37" s="1362"/>
      <c r="FO37" s="1362"/>
      <c r="FP37" s="1362"/>
      <c r="FQ37" s="1362"/>
      <c r="FR37" s="1362"/>
      <c r="FS37" s="1362"/>
      <c r="FT37" s="1362"/>
      <c r="FU37" s="1362"/>
      <c r="FV37" s="1362"/>
      <c r="FW37" s="1362"/>
      <c r="FX37" s="1362"/>
      <c r="FY37" s="1362"/>
      <c r="FZ37" s="1362"/>
      <c r="GA37" s="1362"/>
      <c r="GB37" s="1362"/>
      <c r="GC37" s="1362"/>
      <c r="GD37" s="1362"/>
      <c r="GE37" s="1362"/>
      <c r="GF37" s="1362"/>
      <c r="GG37" s="1362"/>
      <c r="GH37" s="1362"/>
      <c r="GI37" s="1362"/>
      <c r="GJ37" s="1362"/>
      <c r="GK37" s="1362"/>
      <c r="GL37" s="1362"/>
      <c r="GM37" s="1362"/>
      <c r="GN37" s="1362"/>
      <c r="GO37" s="1362"/>
      <c r="GP37" s="1362"/>
      <c r="GQ37" s="1362"/>
      <c r="GR37" s="1362"/>
      <c r="GS37" s="1362"/>
      <c r="GT37" s="1362"/>
      <c r="GU37" s="1362"/>
      <c r="GV37" s="1362"/>
      <c r="GW37" s="1362"/>
      <c r="GX37" s="1362"/>
      <c r="GY37" s="1362"/>
      <c r="GZ37" s="1362"/>
      <c r="HA37" s="1362"/>
      <c r="HB37" s="1362"/>
      <c r="HC37" s="1362"/>
      <c r="HD37" s="1362"/>
      <c r="HE37" s="1362"/>
      <c r="HF37" s="1362"/>
      <c r="HG37" s="1362"/>
      <c r="HH37" s="1362"/>
      <c r="HI37" s="1362"/>
      <c r="HJ37" s="1362"/>
      <c r="HK37" s="1362"/>
      <c r="HL37" s="1362"/>
      <c r="HM37" s="1362"/>
      <c r="HN37" s="1362"/>
      <c r="HO37" s="1362"/>
      <c r="HP37" s="1362"/>
      <c r="HQ37" s="1362"/>
      <c r="HR37" s="1362"/>
      <c r="HS37" s="1362"/>
      <c r="HT37" s="1362"/>
      <c r="HU37" s="1362"/>
      <c r="HV37" s="1362"/>
      <c r="HW37" s="1362"/>
      <c r="HX37" s="1362"/>
      <c r="HY37" s="1362"/>
      <c r="HZ37" s="1362"/>
      <c r="IA37" s="1362"/>
      <c r="IB37" s="1362"/>
      <c r="IC37" s="1362"/>
      <c r="ID37" s="1362"/>
      <c r="IE37" s="1362"/>
      <c r="IF37" s="1362"/>
      <c r="IG37" s="1362"/>
      <c r="IH37" s="1362"/>
      <c r="II37" s="1362"/>
      <c r="IJ37" s="1362"/>
      <c r="IK37" s="1362"/>
      <c r="IL37" s="1362"/>
      <c r="IM37" s="1362"/>
      <c r="IN37" s="1362"/>
      <c r="IO37" s="1362"/>
      <c r="IP37" s="1362"/>
      <c r="IQ37" s="1362"/>
      <c r="IR37" s="1362"/>
      <c r="IS37" s="1362"/>
      <c r="IT37" s="1362"/>
      <c r="IU37" s="1362"/>
      <c r="IV37" s="1362"/>
    </row>
    <row r="38" spans="1:256" ht="16.5">
      <c r="J38" s="1362"/>
      <c r="K38" s="1362"/>
      <c r="L38" s="1362"/>
      <c r="M38" s="1362"/>
      <c r="N38" s="1362"/>
      <c r="O38" s="1362"/>
      <c r="P38" s="1362"/>
      <c r="Q38" s="1362"/>
      <c r="R38" s="1362"/>
      <c r="S38" s="1362"/>
      <c r="T38" s="1362"/>
      <c r="U38" s="1362"/>
      <c r="V38" s="1362"/>
      <c r="W38" s="1362"/>
      <c r="X38" s="1362"/>
      <c r="Y38" s="1362"/>
      <c r="Z38" s="1362"/>
      <c r="AA38" s="1362"/>
      <c r="AB38" s="1362"/>
      <c r="AC38" s="1362"/>
      <c r="AD38" s="1362"/>
      <c r="AE38" s="1362"/>
      <c r="AF38" s="1362"/>
      <c r="AG38" s="1362"/>
      <c r="AH38" s="1362"/>
      <c r="AI38" s="1362"/>
      <c r="AJ38" s="1362"/>
      <c r="AK38" s="1362"/>
      <c r="AL38" s="1362"/>
      <c r="AM38" s="1362"/>
      <c r="AN38" s="1362"/>
      <c r="AO38" s="1362"/>
      <c r="AP38" s="1362"/>
      <c r="AQ38" s="1362"/>
      <c r="AR38" s="1362"/>
      <c r="AS38" s="1362"/>
      <c r="AT38" s="1362"/>
      <c r="AU38" s="1362"/>
      <c r="AV38" s="1362"/>
      <c r="AW38" s="1362"/>
      <c r="AX38" s="1362"/>
      <c r="AY38" s="1362"/>
      <c r="AZ38" s="1362"/>
      <c r="BA38" s="1362"/>
      <c r="BB38" s="1362"/>
      <c r="BC38" s="1362"/>
      <c r="BD38" s="1362"/>
      <c r="BE38" s="1362"/>
      <c r="BF38" s="1362"/>
      <c r="BG38" s="1362"/>
      <c r="BH38" s="1362"/>
      <c r="BI38" s="1362"/>
      <c r="BJ38" s="1362"/>
      <c r="BK38" s="1362"/>
      <c r="BL38" s="1362"/>
      <c r="BM38" s="1362"/>
      <c r="BN38" s="1362"/>
      <c r="BO38" s="1362"/>
      <c r="BP38" s="1362"/>
      <c r="BQ38" s="1362"/>
      <c r="BR38" s="1362"/>
      <c r="BS38" s="1362"/>
      <c r="BT38" s="1362"/>
      <c r="BU38" s="1362"/>
      <c r="BV38" s="1362"/>
      <c r="BW38" s="1362"/>
      <c r="BX38" s="1362"/>
      <c r="BY38" s="1362"/>
      <c r="BZ38" s="1362"/>
      <c r="CA38" s="1362"/>
      <c r="CB38" s="1362"/>
      <c r="CC38" s="1362"/>
      <c r="CD38" s="1362"/>
      <c r="CE38" s="1362"/>
      <c r="CF38" s="1362"/>
      <c r="CG38" s="1362"/>
      <c r="CH38" s="1362"/>
      <c r="CI38" s="1362"/>
      <c r="CJ38" s="1362"/>
      <c r="CK38" s="1362"/>
      <c r="CL38" s="1362"/>
      <c r="CM38" s="1362"/>
      <c r="CN38" s="1362"/>
      <c r="CO38" s="1362"/>
      <c r="CP38" s="1362"/>
      <c r="CQ38" s="1362"/>
      <c r="CR38" s="1362"/>
      <c r="CS38" s="1362"/>
      <c r="CT38" s="1362"/>
      <c r="CU38" s="1362"/>
      <c r="CV38" s="1362"/>
      <c r="CW38" s="1362"/>
      <c r="CX38" s="1362"/>
      <c r="CY38" s="1362"/>
      <c r="CZ38" s="1362"/>
      <c r="DA38" s="1362"/>
      <c r="DB38" s="1362"/>
      <c r="DC38" s="1362"/>
      <c r="DD38" s="1362"/>
      <c r="DE38" s="1362"/>
      <c r="DF38" s="1362"/>
      <c r="DG38" s="1362"/>
      <c r="DH38" s="1362"/>
      <c r="DI38" s="1362"/>
      <c r="DJ38" s="1362"/>
      <c r="DK38" s="1362"/>
      <c r="DL38" s="1362"/>
      <c r="DM38" s="1362"/>
      <c r="DN38" s="1362"/>
      <c r="DO38" s="1362"/>
      <c r="DP38" s="1362"/>
      <c r="DQ38" s="1362"/>
      <c r="DR38" s="1362"/>
      <c r="DS38" s="1362"/>
      <c r="DT38" s="1362"/>
      <c r="DU38" s="1362"/>
      <c r="DV38" s="1362"/>
      <c r="DW38" s="1362"/>
      <c r="DX38" s="1362"/>
      <c r="DY38" s="1362"/>
      <c r="DZ38" s="1362"/>
      <c r="EA38" s="1362"/>
      <c r="EB38" s="1362"/>
      <c r="EC38" s="1362"/>
      <c r="ED38" s="1362"/>
      <c r="EE38" s="1362"/>
      <c r="EF38" s="1362"/>
      <c r="EG38" s="1362"/>
      <c r="EH38" s="1362"/>
      <c r="EI38" s="1362"/>
      <c r="EJ38" s="1362"/>
      <c r="EK38" s="1362"/>
      <c r="EL38" s="1362"/>
      <c r="EM38" s="1362"/>
      <c r="EN38" s="1362"/>
      <c r="EO38" s="1362"/>
      <c r="EP38" s="1362"/>
      <c r="EQ38" s="1362"/>
      <c r="ER38" s="1362"/>
      <c r="ES38" s="1362"/>
      <c r="ET38" s="1362"/>
      <c r="EU38" s="1362"/>
      <c r="EV38" s="1362"/>
      <c r="EW38" s="1362"/>
      <c r="EX38" s="1362"/>
      <c r="EY38" s="1362"/>
      <c r="EZ38" s="1362"/>
      <c r="FA38" s="1362"/>
      <c r="FB38" s="1362"/>
      <c r="FC38" s="1362"/>
      <c r="FD38" s="1362"/>
      <c r="FE38" s="1362"/>
      <c r="FF38" s="1362"/>
      <c r="FG38" s="1362"/>
      <c r="FH38" s="1362"/>
      <c r="FI38" s="1362"/>
      <c r="FJ38" s="1362"/>
      <c r="FK38" s="1362"/>
      <c r="FL38" s="1362"/>
      <c r="FM38" s="1362"/>
      <c r="FN38" s="1362"/>
      <c r="FO38" s="1362"/>
      <c r="FP38" s="1362"/>
      <c r="FQ38" s="1362"/>
      <c r="FR38" s="1362"/>
      <c r="FS38" s="1362"/>
      <c r="FT38" s="1362"/>
      <c r="FU38" s="1362"/>
      <c r="FV38" s="1362"/>
      <c r="FW38" s="1362"/>
      <c r="FX38" s="1362"/>
      <c r="FY38" s="1362"/>
      <c r="FZ38" s="1362"/>
      <c r="GA38" s="1362"/>
      <c r="GB38" s="1362"/>
      <c r="GC38" s="1362"/>
      <c r="GD38" s="1362"/>
      <c r="GE38" s="1362"/>
      <c r="GF38" s="1362"/>
      <c r="GG38" s="1362"/>
      <c r="GH38" s="1362"/>
      <c r="GI38" s="1362"/>
      <c r="GJ38" s="1362"/>
      <c r="GK38" s="1362"/>
      <c r="GL38" s="1362"/>
      <c r="GM38" s="1362"/>
      <c r="GN38" s="1362"/>
      <c r="GO38" s="1362"/>
      <c r="GP38" s="1362"/>
      <c r="GQ38" s="1362"/>
      <c r="GR38" s="1362"/>
      <c r="GS38" s="1362"/>
      <c r="GT38" s="1362"/>
      <c r="GU38" s="1362"/>
      <c r="GV38" s="1362"/>
      <c r="GW38" s="1362"/>
      <c r="GX38" s="1362"/>
      <c r="GY38" s="1362"/>
      <c r="GZ38" s="1362"/>
      <c r="HA38" s="1362"/>
      <c r="HB38" s="1362"/>
      <c r="HC38" s="1362"/>
      <c r="HD38" s="1362"/>
      <c r="HE38" s="1362"/>
      <c r="HF38" s="1362"/>
      <c r="HG38" s="1362"/>
      <c r="HH38" s="1362"/>
      <c r="HI38" s="1362"/>
      <c r="HJ38" s="1362"/>
      <c r="HK38" s="1362"/>
      <c r="HL38" s="1362"/>
      <c r="HM38" s="1362"/>
      <c r="HN38" s="1362"/>
      <c r="HO38" s="1362"/>
      <c r="HP38" s="1362"/>
      <c r="HQ38" s="1362"/>
      <c r="HR38" s="1362"/>
      <c r="HS38" s="1362"/>
      <c r="HT38" s="1362"/>
      <c r="HU38" s="1362"/>
      <c r="HV38" s="1362"/>
      <c r="HW38" s="1362"/>
      <c r="HX38" s="1362"/>
      <c r="HY38" s="1362"/>
      <c r="HZ38" s="1362"/>
      <c r="IA38" s="1362"/>
      <c r="IB38" s="1362"/>
      <c r="IC38" s="1362"/>
      <c r="ID38" s="1362"/>
      <c r="IE38" s="1362"/>
      <c r="IF38" s="1362"/>
      <c r="IG38" s="1362"/>
      <c r="IH38" s="1362"/>
      <c r="II38" s="1362"/>
      <c r="IJ38" s="1362"/>
      <c r="IK38" s="1362"/>
      <c r="IL38" s="1362"/>
      <c r="IM38" s="1362"/>
      <c r="IN38" s="1362"/>
      <c r="IO38" s="1362"/>
      <c r="IP38" s="1362"/>
      <c r="IQ38" s="1362"/>
      <c r="IR38" s="1362"/>
      <c r="IS38" s="1362"/>
      <c r="IT38" s="1362"/>
      <c r="IU38" s="1362"/>
      <c r="IV38" s="1362"/>
    </row>
  </sheetData>
  <mergeCells count="11">
    <mergeCell ref="B14:D14"/>
    <mergeCell ref="B18:D18"/>
    <mergeCell ref="B22:D22"/>
    <mergeCell ref="B28:D28"/>
    <mergeCell ref="A36:I36"/>
    <mergeCell ref="A1:I1"/>
    <mergeCell ref="A2:I2"/>
    <mergeCell ref="A3:I3"/>
    <mergeCell ref="C5:D5"/>
    <mergeCell ref="B6:D6"/>
    <mergeCell ref="B10:D10"/>
  </mergeCells>
  <pageMargins left="0.71" right="0.22" top="0.75" bottom="0.75" header="0.3" footer="0.3"/>
  <pageSetup paperSize="9" scale="94"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27"/>
  <sheetViews>
    <sheetView view="pageBreakPreview" zoomScale="112" zoomScaleSheetLayoutView="112" workbookViewId="0">
      <selection activeCell="B27" sqref="B27"/>
    </sheetView>
  </sheetViews>
  <sheetFormatPr defaultRowHeight="15.75"/>
  <cols>
    <col min="1" max="1" width="6.33203125" style="1403" customWidth="1"/>
    <col min="2" max="2" width="33.5546875" style="1372" customWidth="1"/>
    <col min="3" max="4" width="5" style="1372" customWidth="1"/>
    <col min="5" max="7" width="7.109375" style="1372" customWidth="1"/>
    <col min="8" max="8" width="7.21875" style="1372" customWidth="1"/>
    <col min="9" max="9" width="3.88671875" style="1389" customWidth="1"/>
    <col min="10" max="256" width="8.88671875" style="1372"/>
    <col min="257" max="257" width="6.33203125" style="1372" customWidth="1"/>
    <col min="258" max="258" width="33.5546875" style="1372" customWidth="1"/>
    <col min="259" max="260" width="5" style="1372" customWidth="1"/>
    <col min="261" max="263" width="7.109375" style="1372" customWidth="1"/>
    <col min="264" max="264" width="7.21875" style="1372" customWidth="1"/>
    <col min="265" max="265" width="3.88671875" style="1372" customWidth="1"/>
    <col min="266" max="512" width="8.88671875" style="1372"/>
    <col min="513" max="513" width="6.33203125" style="1372" customWidth="1"/>
    <col min="514" max="514" width="33.5546875" style="1372" customWidth="1"/>
    <col min="515" max="516" width="5" style="1372" customWidth="1"/>
    <col min="517" max="519" width="7.109375" style="1372" customWidth="1"/>
    <col min="520" max="520" width="7.21875" style="1372" customWidth="1"/>
    <col min="521" max="521" width="3.88671875" style="1372" customWidth="1"/>
    <col min="522" max="768" width="8.88671875" style="1372"/>
    <col min="769" max="769" width="6.33203125" style="1372" customWidth="1"/>
    <col min="770" max="770" width="33.5546875" style="1372" customWidth="1"/>
    <col min="771" max="772" width="5" style="1372" customWidth="1"/>
    <col min="773" max="775" width="7.109375" style="1372" customWidth="1"/>
    <col min="776" max="776" width="7.21875" style="1372" customWidth="1"/>
    <col min="777" max="777" width="3.88671875" style="1372" customWidth="1"/>
    <col min="778" max="1024" width="8.88671875" style="1372"/>
    <col min="1025" max="1025" width="6.33203125" style="1372" customWidth="1"/>
    <col min="1026" max="1026" width="33.5546875" style="1372" customWidth="1"/>
    <col min="1027" max="1028" width="5" style="1372" customWidth="1"/>
    <col min="1029" max="1031" width="7.109375" style="1372" customWidth="1"/>
    <col min="1032" max="1032" width="7.21875" style="1372" customWidth="1"/>
    <col min="1033" max="1033" width="3.88671875" style="1372" customWidth="1"/>
    <col min="1034" max="1280" width="8.88671875" style="1372"/>
    <col min="1281" max="1281" width="6.33203125" style="1372" customWidth="1"/>
    <col min="1282" max="1282" width="33.5546875" style="1372" customWidth="1"/>
    <col min="1283" max="1284" width="5" style="1372" customWidth="1"/>
    <col min="1285" max="1287" width="7.109375" style="1372" customWidth="1"/>
    <col min="1288" max="1288" width="7.21875" style="1372" customWidth="1"/>
    <col min="1289" max="1289" width="3.88671875" style="1372" customWidth="1"/>
    <col min="1290" max="1536" width="8.88671875" style="1372"/>
    <col min="1537" max="1537" width="6.33203125" style="1372" customWidth="1"/>
    <col min="1538" max="1538" width="33.5546875" style="1372" customWidth="1"/>
    <col min="1539" max="1540" width="5" style="1372" customWidth="1"/>
    <col min="1541" max="1543" width="7.109375" style="1372" customWidth="1"/>
    <col min="1544" max="1544" width="7.21875" style="1372" customWidth="1"/>
    <col min="1545" max="1545" width="3.88671875" style="1372" customWidth="1"/>
    <col min="1546" max="1792" width="8.88671875" style="1372"/>
    <col min="1793" max="1793" width="6.33203125" style="1372" customWidth="1"/>
    <col min="1794" max="1794" width="33.5546875" style="1372" customWidth="1"/>
    <col min="1795" max="1796" width="5" style="1372" customWidth="1"/>
    <col min="1797" max="1799" width="7.109375" style="1372" customWidth="1"/>
    <col min="1800" max="1800" width="7.21875" style="1372" customWidth="1"/>
    <col min="1801" max="1801" width="3.88671875" style="1372" customWidth="1"/>
    <col min="1802" max="2048" width="8.88671875" style="1372"/>
    <col min="2049" max="2049" width="6.33203125" style="1372" customWidth="1"/>
    <col min="2050" max="2050" width="33.5546875" style="1372" customWidth="1"/>
    <col min="2051" max="2052" width="5" style="1372" customWidth="1"/>
    <col min="2053" max="2055" width="7.109375" style="1372" customWidth="1"/>
    <col min="2056" max="2056" width="7.21875" style="1372" customWidth="1"/>
    <col min="2057" max="2057" width="3.88671875" style="1372" customWidth="1"/>
    <col min="2058" max="2304" width="8.88671875" style="1372"/>
    <col min="2305" max="2305" width="6.33203125" style="1372" customWidth="1"/>
    <col min="2306" max="2306" width="33.5546875" style="1372" customWidth="1"/>
    <col min="2307" max="2308" width="5" style="1372" customWidth="1"/>
    <col min="2309" max="2311" width="7.109375" style="1372" customWidth="1"/>
    <col min="2312" max="2312" width="7.21875" style="1372" customWidth="1"/>
    <col min="2313" max="2313" width="3.88671875" style="1372" customWidth="1"/>
    <col min="2314" max="2560" width="8.88671875" style="1372"/>
    <col min="2561" max="2561" width="6.33203125" style="1372" customWidth="1"/>
    <col min="2562" max="2562" width="33.5546875" style="1372" customWidth="1"/>
    <col min="2563" max="2564" width="5" style="1372" customWidth="1"/>
    <col min="2565" max="2567" width="7.109375" style="1372" customWidth="1"/>
    <col min="2568" max="2568" width="7.21875" style="1372" customWidth="1"/>
    <col min="2569" max="2569" width="3.88671875" style="1372" customWidth="1"/>
    <col min="2570" max="2816" width="8.88671875" style="1372"/>
    <col min="2817" max="2817" width="6.33203125" style="1372" customWidth="1"/>
    <col min="2818" max="2818" width="33.5546875" style="1372" customWidth="1"/>
    <col min="2819" max="2820" width="5" style="1372" customWidth="1"/>
    <col min="2821" max="2823" width="7.109375" style="1372" customWidth="1"/>
    <col min="2824" max="2824" width="7.21875" style="1372" customWidth="1"/>
    <col min="2825" max="2825" width="3.88671875" style="1372" customWidth="1"/>
    <col min="2826" max="3072" width="8.88671875" style="1372"/>
    <col min="3073" max="3073" width="6.33203125" style="1372" customWidth="1"/>
    <col min="3074" max="3074" width="33.5546875" style="1372" customWidth="1"/>
    <col min="3075" max="3076" width="5" style="1372" customWidth="1"/>
    <col min="3077" max="3079" width="7.109375" style="1372" customWidth="1"/>
    <col min="3080" max="3080" width="7.21875" style="1372" customWidth="1"/>
    <col min="3081" max="3081" width="3.88671875" style="1372" customWidth="1"/>
    <col min="3082" max="3328" width="8.88671875" style="1372"/>
    <col min="3329" max="3329" width="6.33203125" style="1372" customWidth="1"/>
    <col min="3330" max="3330" width="33.5546875" style="1372" customWidth="1"/>
    <col min="3331" max="3332" width="5" style="1372" customWidth="1"/>
    <col min="3333" max="3335" width="7.109375" style="1372" customWidth="1"/>
    <col min="3336" max="3336" width="7.21875" style="1372" customWidth="1"/>
    <col min="3337" max="3337" width="3.88671875" style="1372" customWidth="1"/>
    <col min="3338" max="3584" width="8.88671875" style="1372"/>
    <col min="3585" max="3585" width="6.33203125" style="1372" customWidth="1"/>
    <col min="3586" max="3586" width="33.5546875" style="1372" customWidth="1"/>
    <col min="3587" max="3588" width="5" style="1372" customWidth="1"/>
    <col min="3589" max="3591" width="7.109375" style="1372" customWidth="1"/>
    <col min="3592" max="3592" width="7.21875" style="1372" customWidth="1"/>
    <col min="3593" max="3593" width="3.88671875" style="1372" customWidth="1"/>
    <col min="3594" max="3840" width="8.88671875" style="1372"/>
    <col min="3841" max="3841" width="6.33203125" style="1372" customWidth="1"/>
    <col min="3842" max="3842" width="33.5546875" style="1372" customWidth="1"/>
    <col min="3843" max="3844" width="5" style="1372" customWidth="1"/>
    <col min="3845" max="3847" width="7.109375" style="1372" customWidth="1"/>
    <col min="3848" max="3848" width="7.21875" style="1372" customWidth="1"/>
    <col min="3849" max="3849" width="3.88671875" style="1372" customWidth="1"/>
    <col min="3850" max="4096" width="8.88671875" style="1372"/>
    <col min="4097" max="4097" width="6.33203125" style="1372" customWidth="1"/>
    <col min="4098" max="4098" width="33.5546875" style="1372" customWidth="1"/>
    <col min="4099" max="4100" width="5" style="1372" customWidth="1"/>
    <col min="4101" max="4103" width="7.109375" style="1372" customWidth="1"/>
    <col min="4104" max="4104" width="7.21875" style="1372" customWidth="1"/>
    <col min="4105" max="4105" width="3.88671875" style="1372" customWidth="1"/>
    <col min="4106" max="4352" width="8.88671875" style="1372"/>
    <col min="4353" max="4353" width="6.33203125" style="1372" customWidth="1"/>
    <col min="4354" max="4354" width="33.5546875" style="1372" customWidth="1"/>
    <col min="4355" max="4356" width="5" style="1372" customWidth="1"/>
    <col min="4357" max="4359" width="7.109375" style="1372" customWidth="1"/>
    <col min="4360" max="4360" width="7.21875" style="1372" customWidth="1"/>
    <col min="4361" max="4361" width="3.88671875" style="1372" customWidth="1"/>
    <col min="4362" max="4608" width="8.88671875" style="1372"/>
    <col min="4609" max="4609" width="6.33203125" style="1372" customWidth="1"/>
    <col min="4610" max="4610" width="33.5546875" style="1372" customWidth="1"/>
    <col min="4611" max="4612" width="5" style="1372" customWidth="1"/>
    <col min="4613" max="4615" width="7.109375" style="1372" customWidth="1"/>
    <col min="4616" max="4616" width="7.21875" style="1372" customWidth="1"/>
    <col min="4617" max="4617" width="3.88671875" style="1372" customWidth="1"/>
    <col min="4618" max="4864" width="8.88671875" style="1372"/>
    <col min="4865" max="4865" width="6.33203125" style="1372" customWidth="1"/>
    <col min="4866" max="4866" width="33.5546875" style="1372" customWidth="1"/>
    <col min="4867" max="4868" width="5" style="1372" customWidth="1"/>
    <col min="4869" max="4871" width="7.109375" style="1372" customWidth="1"/>
    <col min="4872" max="4872" width="7.21875" style="1372" customWidth="1"/>
    <col min="4873" max="4873" width="3.88671875" style="1372" customWidth="1"/>
    <col min="4874" max="5120" width="8.88671875" style="1372"/>
    <col min="5121" max="5121" width="6.33203125" style="1372" customWidth="1"/>
    <col min="5122" max="5122" width="33.5546875" style="1372" customWidth="1"/>
    <col min="5123" max="5124" width="5" style="1372" customWidth="1"/>
    <col min="5125" max="5127" width="7.109375" style="1372" customWidth="1"/>
    <col min="5128" max="5128" width="7.21875" style="1372" customWidth="1"/>
    <col min="5129" max="5129" width="3.88671875" style="1372" customWidth="1"/>
    <col min="5130" max="5376" width="8.88671875" style="1372"/>
    <col min="5377" max="5377" width="6.33203125" style="1372" customWidth="1"/>
    <col min="5378" max="5378" width="33.5546875" style="1372" customWidth="1"/>
    <col min="5379" max="5380" width="5" style="1372" customWidth="1"/>
    <col min="5381" max="5383" width="7.109375" style="1372" customWidth="1"/>
    <col min="5384" max="5384" width="7.21875" style="1372" customWidth="1"/>
    <col min="5385" max="5385" width="3.88671875" style="1372" customWidth="1"/>
    <col min="5386" max="5632" width="8.88671875" style="1372"/>
    <col min="5633" max="5633" width="6.33203125" style="1372" customWidth="1"/>
    <col min="5634" max="5634" width="33.5546875" style="1372" customWidth="1"/>
    <col min="5635" max="5636" width="5" style="1372" customWidth="1"/>
    <col min="5637" max="5639" width="7.109375" style="1372" customWidth="1"/>
    <col min="5640" max="5640" width="7.21875" style="1372" customWidth="1"/>
    <col min="5641" max="5641" width="3.88671875" style="1372" customWidth="1"/>
    <col min="5642" max="5888" width="8.88671875" style="1372"/>
    <col min="5889" max="5889" width="6.33203125" style="1372" customWidth="1"/>
    <col min="5890" max="5890" width="33.5546875" style="1372" customWidth="1"/>
    <col min="5891" max="5892" width="5" style="1372" customWidth="1"/>
    <col min="5893" max="5895" width="7.109375" style="1372" customWidth="1"/>
    <col min="5896" max="5896" width="7.21875" style="1372" customWidth="1"/>
    <col min="5897" max="5897" width="3.88671875" style="1372" customWidth="1"/>
    <col min="5898" max="6144" width="8.88671875" style="1372"/>
    <col min="6145" max="6145" width="6.33203125" style="1372" customWidth="1"/>
    <col min="6146" max="6146" width="33.5546875" style="1372" customWidth="1"/>
    <col min="6147" max="6148" width="5" style="1372" customWidth="1"/>
    <col min="6149" max="6151" width="7.109375" style="1372" customWidth="1"/>
    <col min="6152" max="6152" width="7.21875" style="1372" customWidth="1"/>
    <col min="6153" max="6153" width="3.88671875" style="1372" customWidth="1"/>
    <col min="6154" max="6400" width="8.88671875" style="1372"/>
    <col min="6401" max="6401" width="6.33203125" style="1372" customWidth="1"/>
    <col min="6402" max="6402" width="33.5546875" style="1372" customWidth="1"/>
    <col min="6403" max="6404" width="5" style="1372" customWidth="1"/>
    <col min="6405" max="6407" width="7.109375" style="1372" customWidth="1"/>
    <col min="6408" max="6408" width="7.21875" style="1372" customWidth="1"/>
    <col min="6409" max="6409" width="3.88671875" style="1372" customWidth="1"/>
    <col min="6410" max="6656" width="8.88671875" style="1372"/>
    <col min="6657" max="6657" width="6.33203125" style="1372" customWidth="1"/>
    <col min="6658" max="6658" width="33.5546875" style="1372" customWidth="1"/>
    <col min="6659" max="6660" width="5" style="1372" customWidth="1"/>
    <col min="6661" max="6663" width="7.109375" style="1372" customWidth="1"/>
    <col min="6664" max="6664" width="7.21875" style="1372" customWidth="1"/>
    <col min="6665" max="6665" width="3.88671875" style="1372" customWidth="1"/>
    <col min="6666" max="6912" width="8.88671875" style="1372"/>
    <col min="6913" max="6913" width="6.33203125" style="1372" customWidth="1"/>
    <col min="6914" max="6914" width="33.5546875" style="1372" customWidth="1"/>
    <col min="6915" max="6916" width="5" style="1372" customWidth="1"/>
    <col min="6917" max="6919" width="7.109375" style="1372" customWidth="1"/>
    <col min="6920" max="6920" width="7.21875" style="1372" customWidth="1"/>
    <col min="6921" max="6921" width="3.88671875" style="1372" customWidth="1"/>
    <col min="6922" max="7168" width="8.88671875" style="1372"/>
    <col min="7169" max="7169" width="6.33203125" style="1372" customWidth="1"/>
    <col min="7170" max="7170" width="33.5546875" style="1372" customWidth="1"/>
    <col min="7171" max="7172" width="5" style="1372" customWidth="1"/>
    <col min="7173" max="7175" width="7.109375" style="1372" customWidth="1"/>
    <col min="7176" max="7176" width="7.21875" style="1372" customWidth="1"/>
    <col min="7177" max="7177" width="3.88671875" style="1372" customWidth="1"/>
    <col min="7178" max="7424" width="8.88671875" style="1372"/>
    <col min="7425" max="7425" width="6.33203125" style="1372" customWidth="1"/>
    <col min="7426" max="7426" width="33.5546875" style="1372" customWidth="1"/>
    <col min="7427" max="7428" width="5" style="1372" customWidth="1"/>
    <col min="7429" max="7431" width="7.109375" style="1372" customWidth="1"/>
    <col min="7432" max="7432" width="7.21875" style="1372" customWidth="1"/>
    <col min="7433" max="7433" width="3.88671875" style="1372" customWidth="1"/>
    <col min="7434" max="7680" width="8.88671875" style="1372"/>
    <col min="7681" max="7681" width="6.33203125" style="1372" customWidth="1"/>
    <col min="7682" max="7682" width="33.5546875" style="1372" customWidth="1"/>
    <col min="7683" max="7684" width="5" style="1372" customWidth="1"/>
    <col min="7685" max="7687" width="7.109375" style="1372" customWidth="1"/>
    <col min="7688" max="7688" width="7.21875" style="1372" customWidth="1"/>
    <col min="7689" max="7689" width="3.88671875" style="1372" customWidth="1"/>
    <col min="7690" max="7936" width="8.88671875" style="1372"/>
    <col min="7937" max="7937" width="6.33203125" style="1372" customWidth="1"/>
    <col min="7938" max="7938" width="33.5546875" style="1372" customWidth="1"/>
    <col min="7939" max="7940" width="5" style="1372" customWidth="1"/>
    <col min="7941" max="7943" width="7.109375" style="1372" customWidth="1"/>
    <col min="7944" max="7944" width="7.21875" style="1372" customWidth="1"/>
    <col min="7945" max="7945" width="3.88671875" style="1372" customWidth="1"/>
    <col min="7946" max="8192" width="8.88671875" style="1372"/>
    <col min="8193" max="8193" width="6.33203125" style="1372" customWidth="1"/>
    <col min="8194" max="8194" width="33.5546875" style="1372" customWidth="1"/>
    <col min="8195" max="8196" width="5" style="1372" customWidth="1"/>
    <col min="8197" max="8199" width="7.109375" style="1372" customWidth="1"/>
    <col min="8200" max="8200" width="7.21875" style="1372" customWidth="1"/>
    <col min="8201" max="8201" width="3.88671875" style="1372" customWidth="1"/>
    <col min="8202" max="8448" width="8.88671875" style="1372"/>
    <col min="8449" max="8449" width="6.33203125" style="1372" customWidth="1"/>
    <col min="8450" max="8450" width="33.5546875" style="1372" customWidth="1"/>
    <col min="8451" max="8452" width="5" style="1372" customWidth="1"/>
    <col min="8453" max="8455" width="7.109375" style="1372" customWidth="1"/>
    <col min="8456" max="8456" width="7.21875" style="1372" customWidth="1"/>
    <col min="8457" max="8457" width="3.88671875" style="1372" customWidth="1"/>
    <col min="8458" max="8704" width="8.88671875" style="1372"/>
    <col min="8705" max="8705" width="6.33203125" style="1372" customWidth="1"/>
    <col min="8706" max="8706" width="33.5546875" style="1372" customWidth="1"/>
    <col min="8707" max="8708" width="5" style="1372" customWidth="1"/>
    <col min="8709" max="8711" width="7.109375" style="1372" customWidth="1"/>
    <col min="8712" max="8712" width="7.21875" style="1372" customWidth="1"/>
    <col min="8713" max="8713" width="3.88671875" style="1372" customWidth="1"/>
    <col min="8714" max="8960" width="8.88671875" style="1372"/>
    <col min="8961" max="8961" width="6.33203125" style="1372" customWidth="1"/>
    <col min="8962" max="8962" width="33.5546875" style="1372" customWidth="1"/>
    <col min="8963" max="8964" width="5" style="1372" customWidth="1"/>
    <col min="8965" max="8967" width="7.109375" style="1372" customWidth="1"/>
    <col min="8968" max="8968" width="7.21875" style="1372" customWidth="1"/>
    <col min="8969" max="8969" width="3.88671875" style="1372" customWidth="1"/>
    <col min="8970" max="9216" width="8.88671875" style="1372"/>
    <col min="9217" max="9217" width="6.33203125" style="1372" customWidth="1"/>
    <col min="9218" max="9218" width="33.5546875" style="1372" customWidth="1"/>
    <col min="9219" max="9220" width="5" style="1372" customWidth="1"/>
    <col min="9221" max="9223" width="7.109375" style="1372" customWidth="1"/>
    <col min="9224" max="9224" width="7.21875" style="1372" customWidth="1"/>
    <col min="9225" max="9225" width="3.88671875" style="1372" customWidth="1"/>
    <col min="9226" max="9472" width="8.88671875" style="1372"/>
    <col min="9473" max="9473" width="6.33203125" style="1372" customWidth="1"/>
    <col min="9474" max="9474" width="33.5546875" style="1372" customWidth="1"/>
    <col min="9475" max="9476" width="5" style="1372" customWidth="1"/>
    <col min="9477" max="9479" width="7.109375" style="1372" customWidth="1"/>
    <col min="9480" max="9480" width="7.21875" style="1372" customWidth="1"/>
    <col min="9481" max="9481" width="3.88671875" style="1372" customWidth="1"/>
    <col min="9482" max="9728" width="8.88671875" style="1372"/>
    <col min="9729" max="9729" width="6.33203125" style="1372" customWidth="1"/>
    <col min="9730" max="9730" width="33.5546875" style="1372" customWidth="1"/>
    <col min="9731" max="9732" width="5" style="1372" customWidth="1"/>
    <col min="9733" max="9735" width="7.109375" style="1372" customWidth="1"/>
    <col min="9736" max="9736" width="7.21875" style="1372" customWidth="1"/>
    <col min="9737" max="9737" width="3.88671875" style="1372" customWidth="1"/>
    <col min="9738" max="9984" width="8.88671875" style="1372"/>
    <col min="9985" max="9985" width="6.33203125" style="1372" customWidth="1"/>
    <col min="9986" max="9986" width="33.5546875" style="1372" customWidth="1"/>
    <col min="9987" max="9988" width="5" style="1372" customWidth="1"/>
    <col min="9989" max="9991" width="7.109375" style="1372" customWidth="1"/>
    <col min="9992" max="9992" width="7.21875" style="1372" customWidth="1"/>
    <col min="9993" max="9993" width="3.88671875" style="1372" customWidth="1"/>
    <col min="9994" max="10240" width="8.88671875" style="1372"/>
    <col min="10241" max="10241" width="6.33203125" style="1372" customWidth="1"/>
    <col min="10242" max="10242" width="33.5546875" style="1372" customWidth="1"/>
    <col min="10243" max="10244" width="5" style="1372" customWidth="1"/>
    <col min="10245" max="10247" width="7.109375" style="1372" customWidth="1"/>
    <col min="10248" max="10248" width="7.21875" style="1372" customWidth="1"/>
    <col min="10249" max="10249" width="3.88671875" style="1372" customWidth="1"/>
    <col min="10250" max="10496" width="8.88671875" style="1372"/>
    <col min="10497" max="10497" width="6.33203125" style="1372" customWidth="1"/>
    <col min="10498" max="10498" width="33.5546875" style="1372" customWidth="1"/>
    <col min="10499" max="10500" width="5" style="1372" customWidth="1"/>
    <col min="10501" max="10503" width="7.109375" style="1372" customWidth="1"/>
    <col min="10504" max="10504" width="7.21875" style="1372" customWidth="1"/>
    <col min="10505" max="10505" width="3.88671875" style="1372" customWidth="1"/>
    <col min="10506" max="10752" width="8.88671875" style="1372"/>
    <col min="10753" max="10753" width="6.33203125" style="1372" customWidth="1"/>
    <col min="10754" max="10754" width="33.5546875" style="1372" customWidth="1"/>
    <col min="10755" max="10756" width="5" style="1372" customWidth="1"/>
    <col min="10757" max="10759" width="7.109375" style="1372" customWidth="1"/>
    <col min="10760" max="10760" width="7.21875" style="1372" customWidth="1"/>
    <col min="10761" max="10761" width="3.88671875" style="1372" customWidth="1"/>
    <col min="10762" max="11008" width="8.88671875" style="1372"/>
    <col min="11009" max="11009" width="6.33203125" style="1372" customWidth="1"/>
    <col min="11010" max="11010" width="33.5546875" style="1372" customWidth="1"/>
    <col min="11011" max="11012" width="5" style="1372" customWidth="1"/>
    <col min="11013" max="11015" width="7.109375" style="1372" customWidth="1"/>
    <col min="11016" max="11016" width="7.21875" style="1372" customWidth="1"/>
    <col min="11017" max="11017" width="3.88671875" style="1372" customWidth="1"/>
    <col min="11018" max="11264" width="8.88671875" style="1372"/>
    <col min="11265" max="11265" width="6.33203125" style="1372" customWidth="1"/>
    <col min="11266" max="11266" width="33.5546875" style="1372" customWidth="1"/>
    <col min="11267" max="11268" width="5" style="1372" customWidth="1"/>
    <col min="11269" max="11271" width="7.109375" style="1372" customWidth="1"/>
    <col min="11272" max="11272" width="7.21875" style="1372" customWidth="1"/>
    <col min="11273" max="11273" width="3.88671875" style="1372" customWidth="1"/>
    <col min="11274" max="11520" width="8.88671875" style="1372"/>
    <col min="11521" max="11521" width="6.33203125" style="1372" customWidth="1"/>
    <col min="11522" max="11522" width="33.5546875" style="1372" customWidth="1"/>
    <col min="11523" max="11524" width="5" style="1372" customWidth="1"/>
    <col min="11525" max="11527" width="7.109375" style="1372" customWidth="1"/>
    <col min="11528" max="11528" width="7.21875" style="1372" customWidth="1"/>
    <col min="11529" max="11529" width="3.88671875" style="1372" customWidth="1"/>
    <col min="11530" max="11776" width="8.88671875" style="1372"/>
    <col min="11777" max="11777" width="6.33203125" style="1372" customWidth="1"/>
    <col min="11778" max="11778" width="33.5546875" style="1372" customWidth="1"/>
    <col min="11779" max="11780" width="5" style="1372" customWidth="1"/>
    <col min="11781" max="11783" width="7.109375" style="1372" customWidth="1"/>
    <col min="11784" max="11784" width="7.21875" style="1372" customWidth="1"/>
    <col min="11785" max="11785" width="3.88671875" style="1372" customWidth="1"/>
    <col min="11786" max="12032" width="8.88671875" style="1372"/>
    <col min="12033" max="12033" width="6.33203125" style="1372" customWidth="1"/>
    <col min="12034" max="12034" width="33.5546875" style="1372" customWidth="1"/>
    <col min="12035" max="12036" width="5" style="1372" customWidth="1"/>
    <col min="12037" max="12039" width="7.109375" style="1372" customWidth="1"/>
    <col min="12040" max="12040" width="7.21875" style="1372" customWidth="1"/>
    <col min="12041" max="12041" width="3.88671875" style="1372" customWidth="1"/>
    <col min="12042" max="12288" width="8.88671875" style="1372"/>
    <col min="12289" max="12289" width="6.33203125" style="1372" customWidth="1"/>
    <col min="12290" max="12290" width="33.5546875" style="1372" customWidth="1"/>
    <col min="12291" max="12292" width="5" style="1372" customWidth="1"/>
    <col min="12293" max="12295" width="7.109375" style="1372" customWidth="1"/>
    <col min="12296" max="12296" width="7.21875" style="1372" customWidth="1"/>
    <col min="12297" max="12297" width="3.88671875" style="1372" customWidth="1"/>
    <col min="12298" max="12544" width="8.88671875" style="1372"/>
    <col min="12545" max="12545" width="6.33203125" style="1372" customWidth="1"/>
    <col min="12546" max="12546" width="33.5546875" style="1372" customWidth="1"/>
    <col min="12547" max="12548" width="5" style="1372" customWidth="1"/>
    <col min="12549" max="12551" width="7.109375" style="1372" customWidth="1"/>
    <col min="12552" max="12552" width="7.21875" style="1372" customWidth="1"/>
    <col min="12553" max="12553" width="3.88671875" style="1372" customWidth="1"/>
    <col min="12554" max="12800" width="8.88671875" style="1372"/>
    <col min="12801" max="12801" width="6.33203125" style="1372" customWidth="1"/>
    <col min="12802" max="12802" width="33.5546875" style="1372" customWidth="1"/>
    <col min="12803" max="12804" width="5" style="1372" customWidth="1"/>
    <col min="12805" max="12807" width="7.109375" style="1372" customWidth="1"/>
    <col min="12808" max="12808" width="7.21875" style="1372" customWidth="1"/>
    <col min="12809" max="12809" width="3.88671875" style="1372" customWidth="1"/>
    <col min="12810" max="13056" width="8.88671875" style="1372"/>
    <col min="13057" max="13057" width="6.33203125" style="1372" customWidth="1"/>
    <col min="13058" max="13058" width="33.5546875" style="1372" customWidth="1"/>
    <col min="13059" max="13060" width="5" style="1372" customWidth="1"/>
    <col min="13061" max="13063" width="7.109375" style="1372" customWidth="1"/>
    <col min="13064" max="13064" width="7.21875" style="1372" customWidth="1"/>
    <col min="13065" max="13065" width="3.88671875" style="1372" customWidth="1"/>
    <col min="13066" max="13312" width="8.88671875" style="1372"/>
    <col min="13313" max="13313" width="6.33203125" style="1372" customWidth="1"/>
    <col min="13314" max="13314" width="33.5546875" style="1372" customWidth="1"/>
    <col min="13315" max="13316" width="5" style="1372" customWidth="1"/>
    <col min="13317" max="13319" width="7.109375" style="1372" customWidth="1"/>
    <col min="13320" max="13320" width="7.21875" style="1372" customWidth="1"/>
    <col min="13321" max="13321" width="3.88671875" style="1372" customWidth="1"/>
    <col min="13322" max="13568" width="8.88671875" style="1372"/>
    <col min="13569" max="13569" width="6.33203125" style="1372" customWidth="1"/>
    <col min="13570" max="13570" width="33.5546875" style="1372" customWidth="1"/>
    <col min="13571" max="13572" width="5" style="1372" customWidth="1"/>
    <col min="13573" max="13575" width="7.109375" style="1372" customWidth="1"/>
    <col min="13576" max="13576" width="7.21875" style="1372" customWidth="1"/>
    <col min="13577" max="13577" width="3.88671875" style="1372" customWidth="1"/>
    <col min="13578" max="13824" width="8.88671875" style="1372"/>
    <col min="13825" max="13825" width="6.33203125" style="1372" customWidth="1"/>
    <col min="13826" max="13826" width="33.5546875" style="1372" customWidth="1"/>
    <col min="13827" max="13828" width="5" style="1372" customWidth="1"/>
    <col min="13829" max="13831" width="7.109375" style="1372" customWidth="1"/>
    <col min="13832" max="13832" width="7.21875" style="1372" customWidth="1"/>
    <col min="13833" max="13833" width="3.88671875" style="1372" customWidth="1"/>
    <col min="13834" max="14080" width="8.88671875" style="1372"/>
    <col min="14081" max="14081" width="6.33203125" style="1372" customWidth="1"/>
    <col min="14082" max="14082" width="33.5546875" style="1372" customWidth="1"/>
    <col min="14083" max="14084" width="5" style="1372" customWidth="1"/>
    <col min="14085" max="14087" width="7.109375" style="1372" customWidth="1"/>
    <col min="14088" max="14088" width="7.21875" style="1372" customWidth="1"/>
    <col min="14089" max="14089" width="3.88671875" style="1372" customWidth="1"/>
    <col min="14090" max="14336" width="8.88671875" style="1372"/>
    <col min="14337" max="14337" width="6.33203125" style="1372" customWidth="1"/>
    <col min="14338" max="14338" width="33.5546875" style="1372" customWidth="1"/>
    <col min="14339" max="14340" width="5" style="1372" customWidth="1"/>
    <col min="14341" max="14343" width="7.109375" style="1372" customWidth="1"/>
    <col min="14344" max="14344" width="7.21875" style="1372" customWidth="1"/>
    <col min="14345" max="14345" width="3.88671875" style="1372" customWidth="1"/>
    <col min="14346" max="14592" width="8.88671875" style="1372"/>
    <col min="14593" max="14593" width="6.33203125" style="1372" customWidth="1"/>
    <col min="14594" max="14594" width="33.5546875" style="1372" customWidth="1"/>
    <col min="14595" max="14596" width="5" style="1372" customWidth="1"/>
    <col min="14597" max="14599" width="7.109375" style="1372" customWidth="1"/>
    <col min="14600" max="14600" width="7.21875" style="1372" customWidth="1"/>
    <col min="14601" max="14601" width="3.88671875" style="1372" customWidth="1"/>
    <col min="14602" max="14848" width="8.88671875" style="1372"/>
    <col min="14849" max="14849" width="6.33203125" style="1372" customWidth="1"/>
    <col min="14850" max="14850" width="33.5546875" style="1372" customWidth="1"/>
    <col min="14851" max="14852" width="5" style="1372" customWidth="1"/>
    <col min="14853" max="14855" width="7.109375" style="1372" customWidth="1"/>
    <col min="14856" max="14856" width="7.21875" style="1372" customWidth="1"/>
    <col min="14857" max="14857" width="3.88671875" style="1372" customWidth="1"/>
    <col min="14858" max="15104" width="8.88671875" style="1372"/>
    <col min="15105" max="15105" width="6.33203125" style="1372" customWidth="1"/>
    <col min="15106" max="15106" width="33.5546875" style="1372" customWidth="1"/>
    <col min="15107" max="15108" width="5" style="1372" customWidth="1"/>
    <col min="15109" max="15111" width="7.109375" style="1372" customWidth="1"/>
    <col min="15112" max="15112" width="7.21875" style="1372" customWidth="1"/>
    <col min="15113" max="15113" width="3.88671875" style="1372" customWidth="1"/>
    <col min="15114" max="15360" width="8.88671875" style="1372"/>
    <col min="15361" max="15361" width="6.33203125" style="1372" customWidth="1"/>
    <col min="15362" max="15362" width="33.5546875" style="1372" customWidth="1"/>
    <col min="15363" max="15364" width="5" style="1372" customWidth="1"/>
    <col min="15365" max="15367" width="7.109375" style="1372" customWidth="1"/>
    <col min="15368" max="15368" width="7.21875" style="1372" customWidth="1"/>
    <col min="15369" max="15369" width="3.88671875" style="1372" customWidth="1"/>
    <col min="15370" max="15616" width="8.88671875" style="1372"/>
    <col min="15617" max="15617" width="6.33203125" style="1372" customWidth="1"/>
    <col min="15618" max="15618" width="33.5546875" style="1372" customWidth="1"/>
    <col min="15619" max="15620" width="5" style="1372" customWidth="1"/>
    <col min="15621" max="15623" width="7.109375" style="1372" customWidth="1"/>
    <col min="15624" max="15624" width="7.21875" style="1372" customWidth="1"/>
    <col min="15625" max="15625" width="3.88671875" style="1372" customWidth="1"/>
    <col min="15626" max="15872" width="8.88671875" style="1372"/>
    <col min="15873" max="15873" width="6.33203125" style="1372" customWidth="1"/>
    <col min="15874" max="15874" width="33.5546875" style="1372" customWidth="1"/>
    <col min="15875" max="15876" width="5" style="1372" customWidth="1"/>
    <col min="15877" max="15879" width="7.109375" style="1372" customWidth="1"/>
    <col min="15880" max="15880" width="7.21875" style="1372" customWidth="1"/>
    <col min="15881" max="15881" width="3.88671875" style="1372" customWidth="1"/>
    <col min="15882" max="16128" width="8.88671875" style="1372"/>
    <col min="16129" max="16129" width="6.33203125" style="1372" customWidth="1"/>
    <col min="16130" max="16130" width="33.5546875" style="1372" customWidth="1"/>
    <col min="16131" max="16132" width="5" style="1372" customWidth="1"/>
    <col min="16133" max="16135" width="7.109375" style="1372" customWidth="1"/>
    <col min="16136" max="16136" width="7.21875" style="1372" customWidth="1"/>
    <col min="16137" max="16137" width="3.88671875" style="1372" customWidth="1"/>
    <col min="16138" max="16384" width="8.88671875" style="1372"/>
  </cols>
  <sheetData>
    <row r="1" spans="1:256" ht="42.75" customHeight="1">
      <c r="A1" s="1370" t="str">
        <f>'CC road'!A1:I1</f>
        <v>Name of work: Construction of DSP camp office cum Residence with development works at Cuddalore New town in Cuddalore District</v>
      </c>
      <c r="B1" s="1370"/>
      <c r="C1" s="1370"/>
      <c r="D1" s="1370"/>
      <c r="E1" s="1370"/>
      <c r="F1" s="1370"/>
      <c r="G1" s="1370"/>
      <c r="H1" s="1370"/>
      <c r="I1" s="1370"/>
      <c r="J1" s="1371"/>
      <c r="K1" s="1371"/>
      <c r="L1" s="1371"/>
      <c r="M1" s="1371"/>
      <c r="N1" s="1371"/>
      <c r="O1" s="1371"/>
      <c r="P1" s="1371"/>
      <c r="Q1" s="1371"/>
      <c r="R1" s="1371"/>
      <c r="S1" s="1371"/>
      <c r="T1" s="1371"/>
      <c r="U1" s="1371"/>
      <c r="V1" s="1371"/>
      <c r="W1" s="1371"/>
      <c r="X1" s="1371"/>
      <c r="Y1" s="1371"/>
      <c r="Z1" s="1371"/>
      <c r="AA1" s="1371"/>
      <c r="AB1" s="1371"/>
      <c r="AC1" s="1371"/>
      <c r="AD1" s="1371"/>
      <c r="AE1" s="1371"/>
      <c r="AF1" s="1371"/>
      <c r="AG1" s="1371"/>
      <c r="AH1" s="1371"/>
      <c r="AI1" s="1371"/>
      <c r="AJ1" s="1371"/>
      <c r="AK1" s="1371"/>
      <c r="AL1" s="1371"/>
      <c r="AM1" s="1371"/>
      <c r="AN1" s="1371"/>
      <c r="AO1" s="1371"/>
      <c r="AP1" s="1371"/>
      <c r="AQ1" s="1371"/>
      <c r="AR1" s="1371"/>
      <c r="AS1" s="1371"/>
      <c r="AT1" s="1371"/>
      <c r="AU1" s="1371"/>
      <c r="AV1" s="1371"/>
      <c r="AW1" s="1371"/>
      <c r="AX1" s="1371"/>
      <c r="AY1" s="1371"/>
      <c r="AZ1" s="1371"/>
      <c r="BA1" s="1371"/>
      <c r="BB1" s="1371"/>
      <c r="BC1" s="1371"/>
      <c r="BD1" s="1371"/>
      <c r="BE1" s="1371"/>
      <c r="BF1" s="1371"/>
      <c r="BG1" s="1371"/>
      <c r="BH1" s="1371"/>
      <c r="BI1" s="1371"/>
      <c r="BJ1" s="1371"/>
      <c r="BK1" s="1371"/>
      <c r="BL1" s="1371"/>
      <c r="BM1" s="1371"/>
      <c r="BN1" s="1371"/>
      <c r="BO1" s="1371"/>
      <c r="BP1" s="1371"/>
      <c r="BQ1" s="1371"/>
      <c r="BR1" s="1371"/>
      <c r="BS1" s="1371"/>
      <c r="BT1" s="1371"/>
      <c r="BU1" s="1371"/>
      <c r="BV1" s="1371"/>
      <c r="BW1" s="1371"/>
      <c r="BX1" s="1371"/>
      <c r="BY1" s="1371"/>
      <c r="BZ1" s="1371"/>
      <c r="CA1" s="1371"/>
      <c r="CB1" s="1371"/>
      <c r="CC1" s="1371"/>
      <c r="CD1" s="1371"/>
      <c r="CE1" s="1371"/>
      <c r="CF1" s="1371"/>
      <c r="CG1" s="1371"/>
      <c r="CH1" s="1371"/>
      <c r="CI1" s="1371"/>
      <c r="CJ1" s="1371"/>
      <c r="CK1" s="1371"/>
      <c r="CL1" s="1371"/>
      <c r="CM1" s="1371"/>
      <c r="CN1" s="1371"/>
      <c r="CO1" s="1371"/>
      <c r="CP1" s="1371"/>
      <c r="CQ1" s="1371"/>
      <c r="CR1" s="1371"/>
      <c r="CS1" s="1371"/>
      <c r="CT1" s="1371"/>
      <c r="CU1" s="1371"/>
      <c r="CV1" s="1371"/>
      <c r="CW1" s="1371"/>
      <c r="CX1" s="1371"/>
      <c r="CY1" s="1371"/>
      <c r="CZ1" s="1371"/>
      <c r="DA1" s="1371"/>
      <c r="DB1" s="1371"/>
      <c r="DC1" s="1371"/>
      <c r="DD1" s="1371"/>
      <c r="DE1" s="1371"/>
      <c r="DF1" s="1371"/>
      <c r="DG1" s="1371"/>
      <c r="DH1" s="1371"/>
      <c r="DI1" s="1371"/>
      <c r="DJ1" s="1371"/>
      <c r="DK1" s="1371"/>
      <c r="DL1" s="1371"/>
      <c r="DM1" s="1371"/>
      <c r="DN1" s="1371"/>
      <c r="DO1" s="1371"/>
      <c r="DP1" s="1371"/>
      <c r="DQ1" s="1371"/>
      <c r="DR1" s="1371"/>
      <c r="DS1" s="1371"/>
      <c r="DT1" s="1371"/>
      <c r="DU1" s="1371"/>
      <c r="DV1" s="1371"/>
      <c r="DW1" s="1371"/>
      <c r="DX1" s="1371"/>
      <c r="DY1" s="1371"/>
      <c r="DZ1" s="1371"/>
      <c r="EA1" s="1371"/>
      <c r="EB1" s="1371"/>
      <c r="EC1" s="1371"/>
      <c r="ED1" s="1371"/>
      <c r="EE1" s="1371"/>
      <c r="EF1" s="1371"/>
      <c r="EG1" s="1371"/>
      <c r="EH1" s="1371"/>
      <c r="EI1" s="1371"/>
      <c r="EJ1" s="1371"/>
      <c r="EK1" s="1371"/>
      <c r="EL1" s="1371"/>
      <c r="EM1" s="1371"/>
      <c r="EN1" s="1371"/>
      <c r="EO1" s="1371"/>
      <c r="EP1" s="1371"/>
      <c r="EQ1" s="1371"/>
      <c r="ER1" s="1371"/>
      <c r="ES1" s="1371"/>
      <c r="ET1" s="1371"/>
      <c r="EU1" s="1371"/>
      <c r="EV1" s="1371"/>
      <c r="EW1" s="1371"/>
      <c r="EX1" s="1371"/>
      <c r="EY1" s="1371"/>
      <c r="EZ1" s="1371"/>
      <c r="FA1" s="1371"/>
      <c r="FB1" s="1371"/>
      <c r="FC1" s="1371"/>
      <c r="FD1" s="1371"/>
      <c r="FE1" s="1371"/>
      <c r="FF1" s="1371"/>
      <c r="FG1" s="1371"/>
      <c r="FH1" s="1371"/>
      <c r="FI1" s="1371"/>
      <c r="FJ1" s="1371"/>
      <c r="FK1" s="1371"/>
      <c r="FL1" s="1371"/>
      <c r="FM1" s="1371"/>
      <c r="FN1" s="1371"/>
      <c r="FO1" s="1371"/>
      <c r="FP1" s="1371"/>
      <c r="FQ1" s="1371"/>
      <c r="FR1" s="1371"/>
      <c r="FS1" s="1371"/>
      <c r="FT1" s="1371"/>
      <c r="FU1" s="1371"/>
      <c r="FV1" s="1371"/>
      <c r="FW1" s="1371"/>
      <c r="FX1" s="1371"/>
      <c r="FY1" s="1371"/>
      <c r="FZ1" s="1371"/>
      <c r="GA1" s="1371"/>
      <c r="GB1" s="1371"/>
      <c r="GC1" s="1371"/>
      <c r="GD1" s="1371"/>
      <c r="GE1" s="1371"/>
      <c r="GF1" s="1371"/>
      <c r="GG1" s="1371"/>
      <c r="GH1" s="1371"/>
      <c r="GI1" s="1371"/>
      <c r="GJ1" s="1371"/>
      <c r="GK1" s="1371"/>
      <c r="GL1" s="1371"/>
      <c r="GM1" s="1371"/>
      <c r="GN1" s="1371"/>
      <c r="GO1" s="1371"/>
      <c r="GP1" s="1371"/>
      <c r="GQ1" s="1371"/>
      <c r="GR1" s="1371"/>
      <c r="GS1" s="1371"/>
      <c r="GT1" s="1371"/>
      <c r="GU1" s="1371"/>
      <c r="GV1" s="1371"/>
      <c r="GW1" s="1371"/>
      <c r="GX1" s="1371"/>
      <c r="GY1" s="1371"/>
      <c r="GZ1" s="1371"/>
      <c r="HA1" s="1371"/>
      <c r="HB1" s="1371"/>
      <c r="HC1" s="1371"/>
      <c r="HD1" s="1371"/>
      <c r="HE1" s="1371"/>
      <c r="HF1" s="1371"/>
      <c r="HG1" s="1371"/>
      <c r="HH1" s="1371"/>
      <c r="HI1" s="1371"/>
      <c r="HJ1" s="1371"/>
      <c r="HK1" s="1371"/>
      <c r="HL1" s="1371"/>
      <c r="HM1" s="1371"/>
      <c r="HN1" s="1371"/>
      <c r="HO1" s="1371"/>
      <c r="HP1" s="1371"/>
      <c r="HQ1" s="1371"/>
      <c r="HR1" s="1371"/>
      <c r="HS1" s="1371"/>
      <c r="HT1" s="1371"/>
      <c r="HU1" s="1371"/>
      <c r="HV1" s="1371"/>
      <c r="HW1" s="1371"/>
      <c r="HX1" s="1371"/>
      <c r="HY1" s="1371"/>
      <c r="HZ1" s="1371"/>
      <c r="IA1" s="1371"/>
      <c r="IB1" s="1371"/>
      <c r="IC1" s="1371"/>
      <c r="ID1" s="1371"/>
      <c r="IE1" s="1371"/>
      <c r="IF1" s="1371"/>
      <c r="IG1" s="1371"/>
      <c r="IH1" s="1371"/>
      <c r="II1" s="1371"/>
      <c r="IJ1" s="1371"/>
      <c r="IK1" s="1371"/>
      <c r="IL1" s="1371"/>
      <c r="IM1" s="1371"/>
      <c r="IN1" s="1371"/>
      <c r="IO1" s="1371"/>
      <c r="IP1" s="1371"/>
      <c r="IQ1" s="1371"/>
      <c r="IR1" s="1371"/>
      <c r="IS1" s="1371"/>
      <c r="IT1" s="1371"/>
      <c r="IU1" s="1371"/>
      <c r="IV1" s="1371"/>
    </row>
    <row r="2" spans="1:256" ht="23.25" customHeight="1">
      <c r="A2" s="1370" t="s">
        <v>6576</v>
      </c>
      <c r="B2" s="1370"/>
      <c r="C2" s="1370"/>
      <c r="D2" s="1370"/>
      <c r="E2" s="1370"/>
      <c r="F2" s="1370"/>
      <c r="G2" s="1370"/>
      <c r="H2" s="1370"/>
      <c r="I2" s="1370"/>
      <c r="J2" s="1373"/>
      <c r="K2" s="1373"/>
      <c r="L2" s="1373"/>
      <c r="M2" s="1373"/>
      <c r="N2" s="1373"/>
      <c r="O2" s="1373"/>
      <c r="P2" s="1373"/>
      <c r="Q2" s="1373"/>
      <c r="R2" s="1373"/>
      <c r="S2" s="1373"/>
      <c r="T2" s="1373"/>
      <c r="U2" s="1373"/>
      <c r="V2" s="1373"/>
      <c r="W2" s="1373"/>
      <c r="X2" s="1373"/>
      <c r="Y2" s="1373"/>
      <c r="Z2" s="1373"/>
      <c r="AA2" s="1373"/>
      <c r="AB2" s="1373"/>
      <c r="AC2" s="1373"/>
      <c r="AD2" s="1373"/>
      <c r="AE2" s="1373"/>
      <c r="AF2" s="1373"/>
      <c r="AG2" s="1373"/>
      <c r="AH2" s="1373"/>
      <c r="AI2" s="1373"/>
      <c r="AJ2" s="1373"/>
      <c r="AK2" s="1373"/>
      <c r="AL2" s="1373"/>
      <c r="AM2" s="1373"/>
      <c r="AN2" s="1373"/>
      <c r="AO2" s="1373"/>
      <c r="AP2" s="1373"/>
      <c r="AQ2" s="1373"/>
      <c r="AR2" s="1373"/>
      <c r="AS2" s="1373"/>
      <c r="AT2" s="1373"/>
      <c r="AU2" s="1373"/>
      <c r="AV2" s="1373"/>
      <c r="AW2" s="1373"/>
      <c r="AX2" s="1373"/>
      <c r="AY2" s="1373"/>
      <c r="AZ2" s="1373"/>
      <c r="BA2" s="1373"/>
      <c r="BB2" s="1373"/>
      <c r="BC2" s="1373"/>
      <c r="BD2" s="1373"/>
      <c r="BE2" s="1373"/>
      <c r="BF2" s="1373"/>
      <c r="BG2" s="1373"/>
      <c r="BH2" s="1373"/>
      <c r="BI2" s="1373"/>
      <c r="BJ2" s="1373"/>
      <c r="BK2" s="1373"/>
      <c r="BL2" s="1373"/>
      <c r="BM2" s="1373"/>
      <c r="BN2" s="1373"/>
      <c r="BO2" s="1373"/>
      <c r="BP2" s="1373"/>
      <c r="BQ2" s="1373"/>
      <c r="BR2" s="1373"/>
      <c r="BS2" s="1373"/>
      <c r="BT2" s="1373"/>
      <c r="BU2" s="1373"/>
      <c r="BV2" s="1373"/>
      <c r="BW2" s="1373"/>
      <c r="BX2" s="1373"/>
      <c r="BY2" s="1373"/>
      <c r="BZ2" s="1373"/>
      <c r="CA2" s="1373"/>
      <c r="CB2" s="1373"/>
      <c r="CC2" s="1373"/>
      <c r="CD2" s="1373"/>
      <c r="CE2" s="1373"/>
      <c r="CF2" s="1373"/>
      <c r="CG2" s="1373"/>
      <c r="CH2" s="1373"/>
      <c r="CI2" s="1373"/>
      <c r="CJ2" s="1373"/>
      <c r="CK2" s="1373"/>
      <c r="CL2" s="1373"/>
      <c r="CM2" s="1373"/>
      <c r="CN2" s="1373"/>
      <c r="CO2" s="1373"/>
      <c r="CP2" s="1373"/>
      <c r="CQ2" s="1373"/>
      <c r="CR2" s="1373"/>
      <c r="CS2" s="1373"/>
      <c r="CT2" s="1373"/>
      <c r="CU2" s="1373"/>
      <c r="CV2" s="1373"/>
      <c r="CW2" s="1373"/>
      <c r="CX2" s="1373"/>
      <c r="CY2" s="1373"/>
      <c r="CZ2" s="1373"/>
      <c r="DA2" s="1373"/>
      <c r="DB2" s="1373"/>
      <c r="DC2" s="1373"/>
      <c r="DD2" s="1373"/>
      <c r="DE2" s="1373"/>
      <c r="DF2" s="1373"/>
      <c r="DG2" s="1373"/>
      <c r="DH2" s="1373"/>
      <c r="DI2" s="1373"/>
      <c r="DJ2" s="1373"/>
      <c r="DK2" s="1373"/>
      <c r="DL2" s="1373"/>
      <c r="DM2" s="1373"/>
      <c r="DN2" s="1373"/>
      <c r="DO2" s="1373"/>
      <c r="DP2" s="1373"/>
      <c r="DQ2" s="1373"/>
      <c r="DR2" s="1373"/>
      <c r="DS2" s="1373"/>
      <c r="DT2" s="1373"/>
      <c r="DU2" s="1373"/>
      <c r="DV2" s="1373"/>
      <c r="DW2" s="1373"/>
      <c r="DX2" s="1373"/>
      <c r="DY2" s="1373"/>
      <c r="DZ2" s="1373"/>
      <c r="EA2" s="1373"/>
      <c r="EB2" s="1373"/>
      <c r="EC2" s="1373"/>
      <c r="ED2" s="1373"/>
      <c r="EE2" s="1373"/>
      <c r="EF2" s="1373"/>
      <c r="EG2" s="1373"/>
      <c r="EH2" s="1373"/>
      <c r="EI2" s="1373"/>
      <c r="EJ2" s="1373"/>
      <c r="EK2" s="1373"/>
      <c r="EL2" s="1373"/>
      <c r="EM2" s="1373"/>
      <c r="EN2" s="1373"/>
      <c r="EO2" s="1373"/>
      <c r="EP2" s="1373"/>
      <c r="EQ2" s="1373"/>
      <c r="ER2" s="1373"/>
      <c r="ES2" s="1373"/>
      <c r="ET2" s="1373"/>
      <c r="EU2" s="1373"/>
      <c r="EV2" s="1373"/>
      <c r="EW2" s="1373"/>
      <c r="EX2" s="1373"/>
      <c r="EY2" s="1373"/>
      <c r="EZ2" s="1373"/>
      <c r="FA2" s="1373"/>
      <c r="FB2" s="1373"/>
      <c r="FC2" s="1373"/>
      <c r="FD2" s="1373"/>
      <c r="FE2" s="1373"/>
      <c r="FF2" s="1373"/>
      <c r="FG2" s="1373"/>
      <c r="FH2" s="1373"/>
      <c r="FI2" s="1373"/>
      <c r="FJ2" s="1373"/>
      <c r="FK2" s="1373"/>
      <c r="FL2" s="1373"/>
      <c r="FM2" s="1373"/>
      <c r="FN2" s="1373"/>
      <c r="FO2" s="1373"/>
      <c r="FP2" s="1373"/>
      <c r="FQ2" s="1373"/>
      <c r="FR2" s="1373"/>
      <c r="FS2" s="1373"/>
      <c r="FT2" s="1373"/>
      <c r="FU2" s="1373"/>
      <c r="FV2" s="1373"/>
      <c r="FW2" s="1373"/>
      <c r="FX2" s="1373"/>
      <c r="FY2" s="1373"/>
      <c r="FZ2" s="1373"/>
      <c r="GA2" s="1373"/>
      <c r="GB2" s="1373"/>
      <c r="GC2" s="1373"/>
      <c r="GD2" s="1373"/>
      <c r="GE2" s="1373"/>
      <c r="GF2" s="1373"/>
      <c r="GG2" s="1373"/>
      <c r="GH2" s="1373"/>
      <c r="GI2" s="1373"/>
      <c r="GJ2" s="1373"/>
      <c r="GK2" s="1373"/>
      <c r="GL2" s="1373"/>
      <c r="GM2" s="1373"/>
      <c r="GN2" s="1373"/>
      <c r="GO2" s="1373"/>
      <c r="GP2" s="1373"/>
      <c r="GQ2" s="1373"/>
      <c r="GR2" s="1373"/>
      <c r="GS2" s="1373"/>
      <c r="GT2" s="1373"/>
      <c r="GU2" s="1373"/>
      <c r="GV2" s="1373"/>
      <c r="GW2" s="1373"/>
      <c r="GX2" s="1373"/>
      <c r="GY2" s="1373"/>
      <c r="GZ2" s="1373"/>
      <c r="HA2" s="1373"/>
      <c r="HB2" s="1373"/>
      <c r="HC2" s="1373"/>
      <c r="HD2" s="1373"/>
      <c r="HE2" s="1373"/>
      <c r="HF2" s="1373"/>
      <c r="HG2" s="1373"/>
      <c r="HH2" s="1373"/>
      <c r="HI2" s="1373"/>
      <c r="HJ2" s="1373"/>
      <c r="HK2" s="1373"/>
      <c r="HL2" s="1373"/>
      <c r="HM2" s="1373"/>
      <c r="HN2" s="1373"/>
      <c r="HO2" s="1373"/>
      <c r="HP2" s="1373"/>
      <c r="HQ2" s="1373"/>
      <c r="HR2" s="1373"/>
      <c r="HS2" s="1373"/>
      <c r="HT2" s="1373"/>
      <c r="HU2" s="1373"/>
      <c r="HV2" s="1373"/>
      <c r="HW2" s="1373"/>
      <c r="HX2" s="1373"/>
      <c r="HY2" s="1373"/>
      <c r="HZ2" s="1373"/>
      <c r="IA2" s="1373"/>
      <c r="IB2" s="1373"/>
      <c r="IC2" s="1373"/>
      <c r="ID2" s="1373"/>
      <c r="IE2" s="1373"/>
      <c r="IF2" s="1373"/>
      <c r="IG2" s="1373"/>
      <c r="IH2" s="1373"/>
      <c r="II2" s="1373"/>
      <c r="IJ2" s="1373"/>
      <c r="IK2" s="1373"/>
      <c r="IL2" s="1373"/>
      <c r="IM2" s="1373"/>
      <c r="IN2" s="1373"/>
      <c r="IO2" s="1373"/>
      <c r="IP2" s="1373"/>
      <c r="IQ2" s="1373"/>
      <c r="IR2" s="1373"/>
      <c r="IS2" s="1373"/>
      <c r="IT2" s="1373"/>
      <c r="IU2" s="1373"/>
      <c r="IV2" s="1373"/>
    </row>
    <row r="3" spans="1:256" ht="24.75" customHeight="1">
      <c r="A3" s="1374" t="s">
        <v>7084</v>
      </c>
      <c r="B3" s="1374"/>
      <c r="C3" s="1374"/>
      <c r="D3" s="1374"/>
      <c r="E3" s="1374"/>
      <c r="F3" s="1374"/>
      <c r="G3" s="1374"/>
      <c r="H3" s="1374"/>
      <c r="I3" s="1374"/>
      <c r="J3" s="1371"/>
      <c r="K3" s="1371"/>
      <c r="L3" s="1371"/>
      <c r="M3" s="1371"/>
      <c r="N3" s="1371"/>
      <c r="O3" s="1371"/>
      <c r="P3" s="1371"/>
      <c r="Q3" s="1371"/>
      <c r="R3" s="1371"/>
      <c r="S3" s="1371"/>
      <c r="T3" s="1371"/>
      <c r="U3" s="1371"/>
      <c r="V3" s="1371"/>
      <c r="W3" s="1371"/>
      <c r="X3" s="1371"/>
      <c r="Y3" s="1371"/>
      <c r="Z3" s="1371"/>
      <c r="AA3" s="1371"/>
      <c r="AB3" s="1371"/>
      <c r="AC3" s="1371"/>
      <c r="AD3" s="1371"/>
      <c r="AE3" s="1371"/>
      <c r="AF3" s="1371"/>
      <c r="AG3" s="1371"/>
      <c r="AH3" s="1371"/>
      <c r="AI3" s="1371"/>
      <c r="AJ3" s="1371"/>
      <c r="AK3" s="1371"/>
      <c r="AL3" s="1371"/>
      <c r="AM3" s="1371"/>
      <c r="AN3" s="1371"/>
      <c r="AO3" s="1371"/>
      <c r="AP3" s="1371"/>
      <c r="AQ3" s="1371"/>
      <c r="AR3" s="1371"/>
      <c r="AS3" s="1371"/>
      <c r="AT3" s="1371"/>
      <c r="AU3" s="1371"/>
      <c r="AV3" s="1371"/>
      <c r="AW3" s="1371"/>
      <c r="AX3" s="1371"/>
      <c r="AY3" s="1371"/>
      <c r="AZ3" s="1371"/>
      <c r="BA3" s="1371"/>
      <c r="BB3" s="1371"/>
      <c r="BC3" s="1371"/>
      <c r="BD3" s="1371"/>
      <c r="BE3" s="1371"/>
      <c r="BF3" s="1371"/>
      <c r="BG3" s="1371"/>
      <c r="BH3" s="1371"/>
      <c r="BI3" s="1371"/>
      <c r="BJ3" s="1371"/>
      <c r="BK3" s="1371"/>
      <c r="BL3" s="1371"/>
      <c r="BM3" s="1371"/>
      <c r="BN3" s="1371"/>
      <c r="BO3" s="1371"/>
      <c r="BP3" s="1371"/>
      <c r="BQ3" s="1371"/>
      <c r="BR3" s="1371"/>
      <c r="BS3" s="1371"/>
      <c r="BT3" s="1371"/>
      <c r="BU3" s="1371"/>
      <c r="BV3" s="1371"/>
      <c r="BW3" s="1371"/>
      <c r="BX3" s="1371"/>
      <c r="BY3" s="1371"/>
      <c r="BZ3" s="1371"/>
      <c r="CA3" s="1371"/>
      <c r="CB3" s="1371"/>
      <c r="CC3" s="1371"/>
      <c r="CD3" s="1371"/>
      <c r="CE3" s="1371"/>
      <c r="CF3" s="1371"/>
      <c r="CG3" s="1371"/>
      <c r="CH3" s="1371"/>
      <c r="CI3" s="1371"/>
      <c r="CJ3" s="1371"/>
      <c r="CK3" s="1371"/>
      <c r="CL3" s="1371"/>
      <c r="CM3" s="1371"/>
      <c r="CN3" s="1371"/>
      <c r="CO3" s="1371"/>
      <c r="CP3" s="1371"/>
      <c r="CQ3" s="1371"/>
      <c r="CR3" s="1371"/>
      <c r="CS3" s="1371"/>
      <c r="CT3" s="1371"/>
      <c r="CU3" s="1371"/>
      <c r="CV3" s="1371"/>
      <c r="CW3" s="1371"/>
      <c r="CX3" s="1371"/>
      <c r="CY3" s="1371"/>
      <c r="CZ3" s="1371"/>
      <c r="DA3" s="1371"/>
      <c r="DB3" s="1371"/>
      <c r="DC3" s="1371"/>
      <c r="DD3" s="1371"/>
      <c r="DE3" s="1371"/>
      <c r="DF3" s="1371"/>
      <c r="DG3" s="1371"/>
      <c r="DH3" s="1371"/>
      <c r="DI3" s="1371"/>
      <c r="DJ3" s="1371"/>
      <c r="DK3" s="1371"/>
      <c r="DL3" s="1371"/>
      <c r="DM3" s="1371"/>
      <c r="DN3" s="1371"/>
      <c r="DO3" s="1371"/>
      <c r="DP3" s="1371"/>
      <c r="DQ3" s="1371"/>
      <c r="DR3" s="1371"/>
      <c r="DS3" s="1371"/>
      <c r="DT3" s="1371"/>
      <c r="DU3" s="1371"/>
      <c r="DV3" s="1371"/>
      <c r="DW3" s="1371"/>
      <c r="DX3" s="1371"/>
      <c r="DY3" s="1371"/>
      <c r="DZ3" s="1371"/>
      <c r="EA3" s="1371"/>
      <c r="EB3" s="1371"/>
      <c r="EC3" s="1371"/>
      <c r="ED3" s="1371"/>
      <c r="EE3" s="1371"/>
      <c r="EF3" s="1371"/>
      <c r="EG3" s="1371"/>
      <c r="EH3" s="1371"/>
      <c r="EI3" s="1371"/>
      <c r="EJ3" s="1371"/>
      <c r="EK3" s="1371"/>
      <c r="EL3" s="1371"/>
      <c r="EM3" s="1371"/>
      <c r="EN3" s="1371"/>
      <c r="EO3" s="1371"/>
      <c r="EP3" s="1371"/>
      <c r="EQ3" s="1371"/>
      <c r="ER3" s="1371"/>
      <c r="ES3" s="1371"/>
      <c r="ET3" s="1371"/>
      <c r="EU3" s="1371"/>
      <c r="EV3" s="1371"/>
      <c r="EW3" s="1371"/>
      <c r="EX3" s="1371"/>
      <c r="EY3" s="1371"/>
      <c r="EZ3" s="1371"/>
      <c r="FA3" s="1371"/>
      <c r="FB3" s="1371"/>
      <c r="FC3" s="1371"/>
      <c r="FD3" s="1371"/>
      <c r="FE3" s="1371"/>
      <c r="FF3" s="1371"/>
      <c r="FG3" s="1371"/>
      <c r="FH3" s="1371"/>
      <c r="FI3" s="1371"/>
      <c r="FJ3" s="1371"/>
      <c r="FK3" s="1371"/>
      <c r="FL3" s="1371"/>
      <c r="FM3" s="1371"/>
      <c r="FN3" s="1371"/>
      <c r="FO3" s="1371"/>
      <c r="FP3" s="1371"/>
      <c r="FQ3" s="1371"/>
      <c r="FR3" s="1371"/>
      <c r="FS3" s="1371"/>
      <c r="FT3" s="1371"/>
      <c r="FU3" s="1371"/>
      <c r="FV3" s="1371"/>
      <c r="FW3" s="1371"/>
      <c r="FX3" s="1371"/>
      <c r="FY3" s="1371"/>
      <c r="FZ3" s="1371"/>
      <c r="GA3" s="1371"/>
      <c r="GB3" s="1371"/>
      <c r="GC3" s="1371"/>
      <c r="GD3" s="1371"/>
      <c r="GE3" s="1371"/>
      <c r="GF3" s="1371"/>
      <c r="GG3" s="1371"/>
      <c r="GH3" s="1371"/>
      <c r="GI3" s="1371"/>
      <c r="GJ3" s="1371"/>
      <c r="GK3" s="1371"/>
      <c r="GL3" s="1371"/>
      <c r="GM3" s="1371"/>
      <c r="GN3" s="1371"/>
      <c r="GO3" s="1371"/>
      <c r="GP3" s="1371"/>
      <c r="GQ3" s="1371"/>
      <c r="GR3" s="1371"/>
      <c r="GS3" s="1371"/>
      <c r="GT3" s="1371"/>
      <c r="GU3" s="1371"/>
      <c r="GV3" s="1371"/>
      <c r="GW3" s="1371"/>
      <c r="GX3" s="1371"/>
      <c r="GY3" s="1371"/>
      <c r="GZ3" s="1371"/>
      <c r="HA3" s="1371"/>
      <c r="HB3" s="1371"/>
      <c r="HC3" s="1371"/>
      <c r="HD3" s="1371"/>
      <c r="HE3" s="1371"/>
      <c r="HF3" s="1371"/>
      <c r="HG3" s="1371"/>
      <c r="HH3" s="1371"/>
      <c r="HI3" s="1371"/>
      <c r="HJ3" s="1371"/>
      <c r="HK3" s="1371"/>
      <c r="HL3" s="1371"/>
      <c r="HM3" s="1371"/>
      <c r="HN3" s="1371"/>
      <c r="HO3" s="1371"/>
      <c r="HP3" s="1371"/>
      <c r="HQ3" s="1371"/>
      <c r="HR3" s="1371"/>
      <c r="HS3" s="1371"/>
      <c r="HT3" s="1371"/>
      <c r="HU3" s="1371"/>
      <c r="HV3" s="1371"/>
      <c r="HW3" s="1371"/>
      <c r="HX3" s="1371"/>
      <c r="HY3" s="1371"/>
      <c r="HZ3" s="1371"/>
      <c r="IA3" s="1371"/>
      <c r="IB3" s="1371"/>
      <c r="IC3" s="1371"/>
      <c r="ID3" s="1371"/>
      <c r="IE3" s="1371"/>
      <c r="IF3" s="1371"/>
      <c r="IG3" s="1371"/>
      <c r="IH3" s="1371"/>
      <c r="II3" s="1371"/>
      <c r="IJ3" s="1371"/>
      <c r="IK3" s="1371"/>
      <c r="IL3" s="1371"/>
      <c r="IM3" s="1371"/>
      <c r="IN3" s="1371"/>
      <c r="IO3" s="1371"/>
      <c r="IP3" s="1371"/>
      <c r="IQ3" s="1371"/>
      <c r="IR3" s="1371"/>
      <c r="IS3" s="1371"/>
      <c r="IT3" s="1371"/>
      <c r="IU3" s="1371"/>
      <c r="IV3" s="1371"/>
    </row>
    <row r="4" spans="1:256" ht="17.25">
      <c r="A4" s="1375"/>
      <c r="B4" s="1375"/>
      <c r="C4" s="1375"/>
      <c r="D4" s="1375"/>
      <c r="E4" s="1375"/>
      <c r="F4" s="1375"/>
      <c r="G4" s="1375"/>
      <c r="H4" s="1375"/>
      <c r="I4" s="1375"/>
      <c r="J4" s="1371"/>
      <c r="K4" s="1371"/>
      <c r="L4" s="1371"/>
      <c r="M4" s="1371"/>
      <c r="N4" s="1371"/>
      <c r="O4" s="1371"/>
      <c r="P4" s="1371"/>
      <c r="Q4" s="1371"/>
      <c r="R4" s="1371"/>
      <c r="S4" s="1371"/>
      <c r="T4" s="1371"/>
      <c r="U4" s="1371"/>
      <c r="V4" s="1371"/>
      <c r="W4" s="1371"/>
      <c r="X4" s="1371"/>
      <c r="Y4" s="1371"/>
      <c r="Z4" s="1371"/>
      <c r="AA4" s="1371"/>
      <c r="AB4" s="1371"/>
      <c r="AC4" s="1371"/>
      <c r="AD4" s="1371"/>
      <c r="AE4" s="1371"/>
      <c r="AF4" s="1371"/>
      <c r="AG4" s="1371"/>
      <c r="AH4" s="1371"/>
      <c r="AI4" s="1371"/>
      <c r="AJ4" s="1371"/>
      <c r="AK4" s="1371"/>
      <c r="AL4" s="1371"/>
      <c r="AM4" s="1371"/>
      <c r="AN4" s="1371"/>
      <c r="AO4" s="1371"/>
      <c r="AP4" s="1371"/>
      <c r="AQ4" s="1371"/>
      <c r="AR4" s="1371"/>
      <c r="AS4" s="1371"/>
      <c r="AT4" s="1371"/>
      <c r="AU4" s="1371"/>
      <c r="AV4" s="1371"/>
      <c r="AW4" s="1371"/>
      <c r="AX4" s="1371"/>
      <c r="AY4" s="1371"/>
      <c r="AZ4" s="1371"/>
      <c r="BA4" s="1371"/>
      <c r="BB4" s="1371"/>
      <c r="BC4" s="1371"/>
      <c r="BD4" s="1371"/>
      <c r="BE4" s="1371"/>
      <c r="BF4" s="1371"/>
      <c r="BG4" s="1371"/>
      <c r="BH4" s="1371"/>
      <c r="BI4" s="1371"/>
      <c r="BJ4" s="1371"/>
      <c r="BK4" s="1371"/>
      <c r="BL4" s="1371"/>
      <c r="BM4" s="1371"/>
      <c r="BN4" s="1371"/>
      <c r="BO4" s="1371"/>
      <c r="BP4" s="1371"/>
      <c r="BQ4" s="1371"/>
      <c r="BR4" s="1371"/>
      <c r="BS4" s="1371"/>
      <c r="BT4" s="1371"/>
      <c r="BU4" s="1371"/>
      <c r="BV4" s="1371"/>
      <c r="BW4" s="1371"/>
      <c r="BX4" s="1371"/>
      <c r="BY4" s="1371"/>
      <c r="BZ4" s="1371"/>
      <c r="CA4" s="1371"/>
      <c r="CB4" s="1371"/>
      <c r="CC4" s="1371"/>
      <c r="CD4" s="1371"/>
      <c r="CE4" s="1371"/>
      <c r="CF4" s="1371"/>
      <c r="CG4" s="1371"/>
      <c r="CH4" s="1371"/>
      <c r="CI4" s="1371"/>
      <c r="CJ4" s="1371"/>
      <c r="CK4" s="1371"/>
      <c r="CL4" s="1371"/>
      <c r="CM4" s="1371"/>
      <c r="CN4" s="1371"/>
      <c r="CO4" s="1371"/>
      <c r="CP4" s="1371"/>
      <c r="CQ4" s="1371"/>
      <c r="CR4" s="1371"/>
      <c r="CS4" s="1371"/>
      <c r="CT4" s="1371"/>
      <c r="CU4" s="1371"/>
      <c r="CV4" s="1371"/>
      <c r="CW4" s="1371"/>
      <c r="CX4" s="1371"/>
      <c r="CY4" s="1371"/>
      <c r="CZ4" s="1371"/>
      <c r="DA4" s="1371"/>
      <c r="DB4" s="1371"/>
      <c r="DC4" s="1371"/>
      <c r="DD4" s="1371"/>
      <c r="DE4" s="1371"/>
      <c r="DF4" s="1371"/>
      <c r="DG4" s="1371"/>
      <c r="DH4" s="1371"/>
      <c r="DI4" s="1371"/>
      <c r="DJ4" s="1371"/>
      <c r="DK4" s="1371"/>
      <c r="DL4" s="1371"/>
      <c r="DM4" s="1371"/>
      <c r="DN4" s="1371"/>
      <c r="DO4" s="1371"/>
      <c r="DP4" s="1371"/>
      <c r="DQ4" s="1371"/>
      <c r="DR4" s="1371"/>
      <c r="DS4" s="1371"/>
      <c r="DT4" s="1371"/>
      <c r="DU4" s="1371"/>
      <c r="DV4" s="1371"/>
      <c r="DW4" s="1371"/>
      <c r="DX4" s="1371"/>
      <c r="DY4" s="1371"/>
      <c r="DZ4" s="1371"/>
      <c r="EA4" s="1371"/>
      <c r="EB4" s="1371"/>
      <c r="EC4" s="1371"/>
      <c r="ED4" s="1371"/>
      <c r="EE4" s="1371"/>
      <c r="EF4" s="1371"/>
      <c r="EG4" s="1371"/>
      <c r="EH4" s="1371"/>
      <c r="EI4" s="1371"/>
      <c r="EJ4" s="1371"/>
      <c r="EK4" s="1371"/>
      <c r="EL4" s="1371"/>
      <c r="EM4" s="1371"/>
      <c r="EN4" s="1371"/>
      <c r="EO4" s="1371"/>
      <c r="EP4" s="1371"/>
      <c r="EQ4" s="1371"/>
      <c r="ER4" s="1371"/>
      <c r="ES4" s="1371"/>
      <c r="ET4" s="1371"/>
      <c r="EU4" s="1371"/>
      <c r="EV4" s="1371"/>
      <c r="EW4" s="1371"/>
      <c r="EX4" s="1371"/>
      <c r="EY4" s="1371"/>
      <c r="EZ4" s="1371"/>
      <c r="FA4" s="1371"/>
      <c r="FB4" s="1371"/>
      <c r="FC4" s="1371"/>
      <c r="FD4" s="1371"/>
      <c r="FE4" s="1371"/>
      <c r="FF4" s="1371"/>
      <c r="FG4" s="1371"/>
      <c r="FH4" s="1371"/>
      <c r="FI4" s="1371"/>
      <c r="FJ4" s="1371"/>
      <c r="FK4" s="1371"/>
      <c r="FL4" s="1371"/>
      <c r="FM4" s="1371"/>
      <c r="FN4" s="1371"/>
      <c r="FO4" s="1371"/>
      <c r="FP4" s="1371"/>
      <c r="FQ4" s="1371"/>
      <c r="FR4" s="1371"/>
      <c r="FS4" s="1371"/>
      <c r="FT4" s="1371"/>
      <c r="FU4" s="1371"/>
      <c r="FV4" s="1371"/>
      <c r="FW4" s="1371"/>
      <c r="FX4" s="1371"/>
      <c r="FY4" s="1371"/>
      <c r="FZ4" s="1371"/>
      <c r="GA4" s="1371"/>
      <c r="GB4" s="1371"/>
      <c r="GC4" s="1371"/>
      <c r="GD4" s="1371"/>
      <c r="GE4" s="1371"/>
      <c r="GF4" s="1371"/>
      <c r="GG4" s="1371"/>
      <c r="GH4" s="1371"/>
      <c r="GI4" s="1371"/>
      <c r="GJ4" s="1371"/>
      <c r="GK4" s="1371"/>
      <c r="GL4" s="1371"/>
      <c r="GM4" s="1371"/>
      <c r="GN4" s="1371"/>
      <c r="GO4" s="1371"/>
      <c r="GP4" s="1371"/>
      <c r="GQ4" s="1371"/>
      <c r="GR4" s="1371"/>
      <c r="GS4" s="1371"/>
      <c r="GT4" s="1371"/>
      <c r="GU4" s="1371"/>
      <c r="GV4" s="1371"/>
      <c r="GW4" s="1371"/>
      <c r="GX4" s="1371"/>
      <c r="GY4" s="1371"/>
      <c r="GZ4" s="1371"/>
      <c r="HA4" s="1371"/>
      <c r="HB4" s="1371"/>
      <c r="HC4" s="1371"/>
      <c r="HD4" s="1371"/>
      <c r="HE4" s="1371"/>
      <c r="HF4" s="1371"/>
      <c r="HG4" s="1371"/>
      <c r="HH4" s="1371"/>
      <c r="HI4" s="1371"/>
      <c r="HJ4" s="1371"/>
      <c r="HK4" s="1371"/>
      <c r="HL4" s="1371"/>
      <c r="HM4" s="1371"/>
      <c r="HN4" s="1371"/>
      <c r="HO4" s="1371"/>
      <c r="HP4" s="1371"/>
      <c r="HQ4" s="1371"/>
      <c r="HR4" s="1371"/>
      <c r="HS4" s="1371"/>
      <c r="HT4" s="1371"/>
      <c r="HU4" s="1371"/>
      <c r="HV4" s="1371"/>
      <c r="HW4" s="1371"/>
      <c r="HX4" s="1371"/>
      <c r="HY4" s="1371"/>
      <c r="HZ4" s="1371"/>
      <c r="IA4" s="1371"/>
      <c r="IB4" s="1371"/>
      <c r="IC4" s="1371"/>
      <c r="ID4" s="1371"/>
      <c r="IE4" s="1371"/>
      <c r="IF4" s="1371"/>
      <c r="IG4" s="1371"/>
      <c r="IH4" s="1371"/>
      <c r="II4" s="1371"/>
      <c r="IJ4" s="1371"/>
      <c r="IK4" s="1371"/>
      <c r="IL4" s="1371"/>
      <c r="IM4" s="1371"/>
      <c r="IN4" s="1371"/>
      <c r="IO4" s="1371"/>
      <c r="IP4" s="1371"/>
      <c r="IQ4" s="1371"/>
      <c r="IR4" s="1371"/>
      <c r="IS4" s="1371"/>
      <c r="IT4" s="1371"/>
      <c r="IU4" s="1371"/>
      <c r="IV4" s="1371"/>
    </row>
    <row r="5" spans="1:256" ht="25.5" customHeight="1">
      <c r="A5" s="1376" t="s">
        <v>5795</v>
      </c>
      <c r="B5" s="1377" t="s">
        <v>7099</v>
      </c>
      <c r="C5" s="1378" t="s">
        <v>766</v>
      </c>
      <c r="D5" s="1378"/>
      <c r="E5" s="1379" t="s">
        <v>5797</v>
      </c>
      <c r="F5" s="1377" t="s">
        <v>1548</v>
      </c>
      <c r="G5" s="1379" t="s">
        <v>5798</v>
      </c>
      <c r="H5" s="1380" t="s">
        <v>1581</v>
      </c>
      <c r="I5" s="1371"/>
      <c r="J5" s="1371"/>
      <c r="K5" s="1371"/>
      <c r="L5" s="1371"/>
      <c r="M5" s="1371"/>
      <c r="N5" s="1371"/>
      <c r="O5" s="1371"/>
      <c r="P5" s="1371"/>
      <c r="Q5" s="1371"/>
      <c r="R5" s="1371"/>
      <c r="S5" s="1371"/>
      <c r="T5" s="1371"/>
      <c r="U5" s="1371"/>
      <c r="V5" s="1371"/>
      <c r="W5" s="1371"/>
      <c r="X5" s="1371"/>
      <c r="Y5" s="1371"/>
      <c r="Z5" s="1371"/>
      <c r="AA5" s="1371"/>
      <c r="AB5" s="1371"/>
      <c r="AC5" s="1371"/>
      <c r="AD5" s="1371"/>
      <c r="AE5" s="1371"/>
      <c r="AF5" s="1371"/>
      <c r="AG5" s="1371"/>
      <c r="AH5" s="1371"/>
      <c r="AI5" s="1371"/>
      <c r="AJ5" s="1371"/>
      <c r="AK5" s="1371"/>
      <c r="AL5" s="1371"/>
      <c r="AM5" s="1371"/>
      <c r="AN5" s="1371"/>
      <c r="AO5" s="1371"/>
      <c r="AP5" s="1371"/>
      <c r="AQ5" s="1371"/>
      <c r="AR5" s="1371"/>
      <c r="AS5" s="1371"/>
      <c r="AT5" s="1371"/>
      <c r="AU5" s="1371"/>
      <c r="AV5" s="1371"/>
      <c r="AW5" s="1371"/>
      <c r="AX5" s="1371"/>
      <c r="AY5" s="1371"/>
      <c r="AZ5" s="1371"/>
      <c r="BA5" s="1371"/>
      <c r="BB5" s="1371"/>
      <c r="BC5" s="1371"/>
      <c r="BD5" s="1371"/>
      <c r="BE5" s="1371"/>
      <c r="BF5" s="1371"/>
      <c r="BG5" s="1371"/>
      <c r="BH5" s="1371"/>
      <c r="BI5" s="1371"/>
      <c r="BJ5" s="1371"/>
      <c r="BK5" s="1371"/>
      <c r="BL5" s="1371"/>
      <c r="BM5" s="1371"/>
      <c r="BN5" s="1371"/>
      <c r="BO5" s="1371"/>
      <c r="BP5" s="1371"/>
      <c r="BQ5" s="1371"/>
      <c r="BR5" s="1371"/>
      <c r="BS5" s="1371"/>
      <c r="BT5" s="1371"/>
      <c r="BU5" s="1371"/>
      <c r="BV5" s="1371"/>
      <c r="BW5" s="1371"/>
      <c r="BX5" s="1371"/>
      <c r="BY5" s="1371"/>
      <c r="BZ5" s="1371"/>
      <c r="CA5" s="1371"/>
      <c r="CB5" s="1371"/>
      <c r="CC5" s="1371"/>
      <c r="CD5" s="1371"/>
      <c r="CE5" s="1371"/>
      <c r="CF5" s="1371"/>
      <c r="CG5" s="1371"/>
      <c r="CH5" s="1371"/>
      <c r="CI5" s="1371"/>
      <c r="CJ5" s="1371"/>
      <c r="CK5" s="1371"/>
      <c r="CL5" s="1371"/>
      <c r="CM5" s="1371"/>
      <c r="CN5" s="1371"/>
      <c r="CO5" s="1371"/>
      <c r="CP5" s="1371"/>
      <c r="CQ5" s="1371"/>
      <c r="CR5" s="1371"/>
      <c r="CS5" s="1371"/>
      <c r="CT5" s="1371"/>
      <c r="CU5" s="1371"/>
      <c r="CV5" s="1371"/>
      <c r="CW5" s="1371"/>
      <c r="CX5" s="1371"/>
      <c r="CY5" s="1371"/>
      <c r="CZ5" s="1371"/>
      <c r="DA5" s="1371"/>
      <c r="DB5" s="1371"/>
      <c r="DC5" s="1371"/>
      <c r="DD5" s="1371"/>
      <c r="DE5" s="1371"/>
      <c r="DF5" s="1371"/>
      <c r="DG5" s="1371"/>
      <c r="DH5" s="1371"/>
      <c r="DI5" s="1371"/>
      <c r="DJ5" s="1371"/>
      <c r="DK5" s="1371"/>
      <c r="DL5" s="1371"/>
      <c r="DM5" s="1371"/>
      <c r="DN5" s="1371"/>
      <c r="DO5" s="1371"/>
      <c r="DP5" s="1371"/>
      <c r="DQ5" s="1371"/>
      <c r="DR5" s="1371"/>
      <c r="DS5" s="1371"/>
      <c r="DT5" s="1371"/>
      <c r="DU5" s="1371"/>
      <c r="DV5" s="1371"/>
      <c r="DW5" s="1371"/>
      <c r="DX5" s="1371"/>
      <c r="DY5" s="1371"/>
      <c r="DZ5" s="1371"/>
      <c r="EA5" s="1371"/>
      <c r="EB5" s="1371"/>
      <c r="EC5" s="1371"/>
      <c r="ED5" s="1371"/>
      <c r="EE5" s="1371"/>
      <c r="EF5" s="1371"/>
      <c r="EG5" s="1371"/>
      <c r="EH5" s="1371"/>
      <c r="EI5" s="1371"/>
      <c r="EJ5" s="1371"/>
      <c r="EK5" s="1371"/>
      <c r="EL5" s="1371"/>
      <c r="EM5" s="1371"/>
      <c r="EN5" s="1371"/>
      <c r="EO5" s="1371"/>
      <c r="EP5" s="1371"/>
      <c r="EQ5" s="1371"/>
      <c r="ER5" s="1371"/>
      <c r="ES5" s="1371"/>
      <c r="ET5" s="1371"/>
      <c r="EU5" s="1371"/>
      <c r="EV5" s="1371"/>
      <c r="EW5" s="1371"/>
      <c r="EX5" s="1371"/>
      <c r="EY5" s="1371"/>
      <c r="EZ5" s="1371"/>
      <c r="FA5" s="1371"/>
      <c r="FB5" s="1371"/>
      <c r="FC5" s="1371"/>
      <c r="FD5" s="1371"/>
      <c r="FE5" s="1371"/>
      <c r="FF5" s="1371"/>
      <c r="FG5" s="1371"/>
      <c r="FH5" s="1371"/>
      <c r="FI5" s="1371"/>
      <c r="FJ5" s="1371"/>
      <c r="FK5" s="1371"/>
      <c r="FL5" s="1371"/>
      <c r="FM5" s="1371"/>
      <c r="FN5" s="1371"/>
      <c r="FO5" s="1371"/>
      <c r="FP5" s="1371"/>
      <c r="FQ5" s="1371"/>
      <c r="FR5" s="1371"/>
      <c r="FS5" s="1371"/>
      <c r="FT5" s="1371"/>
      <c r="FU5" s="1371"/>
      <c r="FV5" s="1371"/>
      <c r="FW5" s="1371"/>
      <c r="FX5" s="1371"/>
      <c r="FY5" s="1371"/>
      <c r="FZ5" s="1371"/>
      <c r="GA5" s="1371"/>
      <c r="GB5" s="1371"/>
      <c r="GC5" s="1371"/>
      <c r="GD5" s="1371"/>
      <c r="GE5" s="1371"/>
      <c r="GF5" s="1371"/>
      <c r="GG5" s="1371"/>
      <c r="GH5" s="1371"/>
      <c r="GI5" s="1371"/>
      <c r="GJ5" s="1371"/>
      <c r="GK5" s="1371"/>
      <c r="GL5" s="1371"/>
      <c r="GM5" s="1371"/>
      <c r="GN5" s="1371"/>
      <c r="GO5" s="1371"/>
      <c r="GP5" s="1371"/>
      <c r="GQ5" s="1371"/>
      <c r="GR5" s="1371"/>
      <c r="GS5" s="1371"/>
      <c r="GT5" s="1371"/>
      <c r="GU5" s="1371"/>
      <c r="GV5" s="1371"/>
      <c r="GW5" s="1371"/>
      <c r="GX5" s="1371"/>
      <c r="GY5" s="1371"/>
      <c r="GZ5" s="1371"/>
      <c r="HA5" s="1371"/>
      <c r="HB5" s="1371"/>
      <c r="HC5" s="1371"/>
      <c r="HD5" s="1371"/>
      <c r="HE5" s="1371"/>
      <c r="HF5" s="1371"/>
      <c r="HG5" s="1371"/>
      <c r="HH5" s="1371"/>
      <c r="HI5" s="1371"/>
      <c r="HJ5" s="1371"/>
      <c r="HK5" s="1371"/>
      <c r="HL5" s="1371"/>
      <c r="HM5" s="1371"/>
      <c r="HN5" s="1371"/>
      <c r="HO5" s="1371"/>
      <c r="HP5" s="1371"/>
      <c r="HQ5" s="1371"/>
      <c r="HR5" s="1371"/>
      <c r="HS5" s="1371"/>
      <c r="HT5" s="1371"/>
      <c r="HU5" s="1371"/>
      <c r="HV5" s="1371"/>
      <c r="HW5" s="1371"/>
      <c r="HX5" s="1371"/>
      <c r="HY5" s="1371"/>
      <c r="HZ5" s="1371"/>
      <c r="IA5" s="1371"/>
      <c r="IB5" s="1371"/>
      <c r="IC5" s="1371"/>
      <c r="ID5" s="1371"/>
      <c r="IE5" s="1371"/>
      <c r="IF5" s="1371"/>
      <c r="IG5" s="1371"/>
      <c r="IH5" s="1371"/>
      <c r="II5" s="1371"/>
      <c r="IJ5" s="1371"/>
      <c r="IK5" s="1371"/>
      <c r="IL5" s="1371"/>
      <c r="IM5" s="1371"/>
      <c r="IN5" s="1371"/>
      <c r="IO5" s="1371"/>
      <c r="IP5" s="1371"/>
      <c r="IQ5" s="1371"/>
      <c r="IR5" s="1371"/>
      <c r="IS5" s="1371"/>
      <c r="IT5" s="1371"/>
      <c r="IU5" s="1371"/>
      <c r="IV5" s="1371"/>
    </row>
    <row r="6" spans="1:256" ht="44.25" customHeight="1">
      <c r="A6" s="1381">
        <v>1.1000000000000001</v>
      </c>
      <c r="B6" s="1382" t="s">
        <v>7100</v>
      </c>
      <c r="C6" s="1383"/>
      <c r="D6" s="1383"/>
      <c r="E6" s="1384"/>
      <c r="F6" s="1384"/>
      <c r="G6" s="1384"/>
      <c r="H6" s="1384"/>
      <c r="I6" s="1371"/>
      <c r="J6" s="1371"/>
      <c r="K6" s="1371"/>
      <c r="L6" s="1371"/>
      <c r="M6" s="1371"/>
      <c r="N6" s="1371"/>
      <c r="O6" s="1371"/>
      <c r="P6" s="1371"/>
      <c r="Q6" s="1371"/>
      <c r="R6" s="1371"/>
      <c r="S6" s="1371"/>
      <c r="T6" s="1371"/>
      <c r="U6" s="1371"/>
      <c r="V6" s="1371"/>
      <c r="W6" s="1371"/>
      <c r="X6" s="1371"/>
      <c r="Y6" s="1371"/>
      <c r="Z6" s="1371"/>
      <c r="AA6" s="1371"/>
      <c r="AB6" s="1371"/>
      <c r="AC6" s="1371"/>
      <c r="AD6" s="1371"/>
      <c r="AE6" s="1371"/>
      <c r="AF6" s="1371"/>
      <c r="AG6" s="1371"/>
      <c r="AH6" s="1371"/>
      <c r="AI6" s="1371"/>
      <c r="AJ6" s="1371"/>
      <c r="AK6" s="1371"/>
      <c r="AL6" s="1371"/>
      <c r="AM6" s="1371"/>
      <c r="AN6" s="1371"/>
      <c r="AO6" s="1371"/>
      <c r="AP6" s="1371"/>
      <c r="AQ6" s="1371"/>
      <c r="AR6" s="1371"/>
      <c r="AS6" s="1371"/>
      <c r="AT6" s="1371"/>
      <c r="AU6" s="1371"/>
      <c r="AV6" s="1371"/>
      <c r="AW6" s="1371"/>
      <c r="AX6" s="1371"/>
      <c r="AY6" s="1371"/>
      <c r="AZ6" s="1371"/>
      <c r="BA6" s="1371"/>
      <c r="BB6" s="1371"/>
      <c r="BC6" s="1371"/>
      <c r="BD6" s="1371"/>
      <c r="BE6" s="1371"/>
      <c r="BF6" s="1371"/>
      <c r="BG6" s="1371"/>
      <c r="BH6" s="1371"/>
      <c r="BI6" s="1371"/>
      <c r="BJ6" s="1371"/>
      <c r="BK6" s="1371"/>
      <c r="BL6" s="1371"/>
      <c r="BM6" s="1371"/>
      <c r="BN6" s="1371"/>
      <c r="BO6" s="1371"/>
      <c r="BP6" s="1371"/>
      <c r="BQ6" s="1371"/>
      <c r="BR6" s="1371"/>
      <c r="BS6" s="1371"/>
      <c r="BT6" s="1371"/>
      <c r="BU6" s="1371"/>
      <c r="BV6" s="1371"/>
      <c r="BW6" s="1371"/>
      <c r="BX6" s="1371"/>
      <c r="BY6" s="1371"/>
      <c r="BZ6" s="1371"/>
      <c r="CA6" s="1371"/>
      <c r="CB6" s="1371"/>
      <c r="CC6" s="1371"/>
      <c r="CD6" s="1371"/>
      <c r="CE6" s="1371"/>
      <c r="CF6" s="1371"/>
      <c r="CG6" s="1371"/>
      <c r="CH6" s="1371"/>
      <c r="CI6" s="1371"/>
      <c r="CJ6" s="1371"/>
      <c r="CK6" s="1371"/>
      <c r="CL6" s="1371"/>
      <c r="CM6" s="1371"/>
      <c r="CN6" s="1371"/>
      <c r="CO6" s="1371"/>
      <c r="CP6" s="1371"/>
      <c r="CQ6" s="1371"/>
      <c r="CR6" s="1371"/>
      <c r="CS6" s="1371"/>
      <c r="CT6" s="1371"/>
      <c r="CU6" s="1371"/>
      <c r="CV6" s="1371"/>
      <c r="CW6" s="1371"/>
      <c r="CX6" s="1371"/>
      <c r="CY6" s="1371"/>
      <c r="CZ6" s="1371"/>
      <c r="DA6" s="1371"/>
      <c r="DB6" s="1371"/>
      <c r="DC6" s="1371"/>
      <c r="DD6" s="1371"/>
      <c r="DE6" s="1371"/>
      <c r="DF6" s="1371"/>
      <c r="DG6" s="1371"/>
      <c r="DH6" s="1371"/>
      <c r="DI6" s="1371"/>
      <c r="DJ6" s="1371"/>
      <c r="DK6" s="1371"/>
      <c r="DL6" s="1371"/>
      <c r="DM6" s="1371"/>
      <c r="DN6" s="1371"/>
      <c r="DO6" s="1371"/>
      <c r="DP6" s="1371"/>
      <c r="DQ6" s="1371"/>
      <c r="DR6" s="1371"/>
      <c r="DS6" s="1371"/>
      <c r="DT6" s="1371"/>
      <c r="DU6" s="1371"/>
      <c r="DV6" s="1371"/>
      <c r="DW6" s="1371"/>
      <c r="DX6" s="1371"/>
      <c r="DY6" s="1371"/>
      <c r="DZ6" s="1371"/>
      <c r="EA6" s="1371"/>
      <c r="EB6" s="1371"/>
      <c r="EC6" s="1371"/>
      <c r="ED6" s="1371"/>
      <c r="EE6" s="1371"/>
      <c r="EF6" s="1371"/>
      <c r="EG6" s="1371"/>
      <c r="EH6" s="1371"/>
      <c r="EI6" s="1371"/>
      <c r="EJ6" s="1371"/>
      <c r="EK6" s="1371"/>
      <c r="EL6" s="1371"/>
      <c r="EM6" s="1371"/>
      <c r="EN6" s="1371"/>
      <c r="EO6" s="1371"/>
      <c r="EP6" s="1371"/>
      <c r="EQ6" s="1371"/>
      <c r="ER6" s="1371"/>
      <c r="ES6" s="1371"/>
      <c r="ET6" s="1371"/>
      <c r="EU6" s="1371"/>
      <c r="EV6" s="1371"/>
      <c r="EW6" s="1371"/>
      <c r="EX6" s="1371"/>
      <c r="EY6" s="1371"/>
      <c r="EZ6" s="1371"/>
      <c r="FA6" s="1371"/>
      <c r="FB6" s="1371"/>
      <c r="FC6" s="1371"/>
      <c r="FD6" s="1371"/>
      <c r="FE6" s="1371"/>
      <c r="FF6" s="1371"/>
      <c r="FG6" s="1371"/>
      <c r="FH6" s="1371"/>
      <c r="FI6" s="1371"/>
      <c r="FJ6" s="1371"/>
      <c r="FK6" s="1371"/>
      <c r="FL6" s="1371"/>
      <c r="FM6" s="1371"/>
      <c r="FN6" s="1371"/>
      <c r="FO6" s="1371"/>
      <c r="FP6" s="1371"/>
      <c r="FQ6" s="1371"/>
      <c r="FR6" s="1371"/>
      <c r="FS6" s="1371"/>
      <c r="FT6" s="1371"/>
      <c r="FU6" s="1371"/>
      <c r="FV6" s="1371"/>
      <c r="FW6" s="1371"/>
      <c r="FX6" s="1371"/>
      <c r="FY6" s="1371"/>
      <c r="FZ6" s="1371"/>
      <c r="GA6" s="1371"/>
      <c r="GB6" s="1371"/>
      <c r="GC6" s="1371"/>
      <c r="GD6" s="1371"/>
      <c r="GE6" s="1371"/>
      <c r="GF6" s="1371"/>
      <c r="GG6" s="1371"/>
      <c r="GH6" s="1371"/>
      <c r="GI6" s="1371"/>
      <c r="GJ6" s="1371"/>
      <c r="GK6" s="1371"/>
      <c r="GL6" s="1371"/>
      <c r="GM6" s="1371"/>
      <c r="GN6" s="1371"/>
      <c r="GO6" s="1371"/>
      <c r="GP6" s="1371"/>
      <c r="GQ6" s="1371"/>
      <c r="GR6" s="1371"/>
      <c r="GS6" s="1371"/>
      <c r="GT6" s="1371"/>
      <c r="GU6" s="1371"/>
      <c r="GV6" s="1371"/>
      <c r="GW6" s="1371"/>
      <c r="GX6" s="1371"/>
      <c r="GY6" s="1371"/>
      <c r="GZ6" s="1371"/>
      <c r="HA6" s="1371"/>
      <c r="HB6" s="1371"/>
      <c r="HC6" s="1371"/>
      <c r="HD6" s="1371"/>
      <c r="HE6" s="1371"/>
      <c r="HF6" s="1371"/>
      <c r="HG6" s="1371"/>
      <c r="HH6" s="1371"/>
      <c r="HI6" s="1371"/>
      <c r="HJ6" s="1371"/>
      <c r="HK6" s="1371"/>
      <c r="HL6" s="1371"/>
      <c r="HM6" s="1371"/>
      <c r="HN6" s="1371"/>
      <c r="HO6" s="1371"/>
      <c r="HP6" s="1371"/>
      <c r="HQ6" s="1371"/>
      <c r="HR6" s="1371"/>
      <c r="HS6" s="1371"/>
      <c r="HT6" s="1371"/>
      <c r="HU6" s="1371"/>
      <c r="HV6" s="1371"/>
      <c r="HW6" s="1371"/>
      <c r="HX6" s="1371"/>
      <c r="HY6" s="1371"/>
      <c r="HZ6" s="1371"/>
      <c r="IA6" s="1371"/>
      <c r="IB6" s="1371"/>
      <c r="IC6" s="1371"/>
      <c r="ID6" s="1371"/>
      <c r="IE6" s="1371"/>
      <c r="IF6" s="1371"/>
      <c r="IG6" s="1371"/>
      <c r="IH6" s="1371"/>
      <c r="II6" s="1371"/>
      <c r="IJ6" s="1371"/>
      <c r="IK6" s="1371"/>
      <c r="IL6" s="1371"/>
      <c r="IM6" s="1371"/>
      <c r="IN6" s="1371"/>
      <c r="IO6" s="1371"/>
      <c r="IP6" s="1371"/>
      <c r="IQ6" s="1371"/>
      <c r="IR6" s="1371"/>
      <c r="IS6" s="1371"/>
      <c r="IT6" s="1371"/>
      <c r="IU6" s="1371"/>
      <c r="IV6" s="1371"/>
    </row>
    <row r="7" spans="1:256" ht="22.5" customHeight="1">
      <c r="A7" s="1383"/>
      <c r="B7" s="1384" t="s">
        <v>7101</v>
      </c>
      <c r="C7" s="1383"/>
      <c r="D7" s="1383"/>
      <c r="E7" s="1384"/>
      <c r="F7" s="1384"/>
      <c r="G7" s="1384"/>
      <c r="H7" s="1384"/>
      <c r="I7" s="1371"/>
      <c r="J7" s="1371"/>
      <c r="K7" s="1371"/>
      <c r="L7" s="1371"/>
      <c r="M7" s="1371"/>
      <c r="N7" s="1371"/>
      <c r="O7" s="1371"/>
      <c r="P7" s="1371"/>
      <c r="Q7" s="1371"/>
      <c r="R7" s="1371"/>
      <c r="S7" s="1371"/>
      <c r="T7" s="1371"/>
      <c r="U7" s="1371"/>
      <c r="V7" s="1371"/>
      <c r="W7" s="1371"/>
      <c r="X7" s="1371"/>
      <c r="Y7" s="1371"/>
      <c r="Z7" s="1371"/>
      <c r="AA7" s="1371"/>
      <c r="AB7" s="1371"/>
      <c r="AC7" s="1371"/>
      <c r="AD7" s="1371"/>
      <c r="AE7" s="1371"/>
      <c r="AF7" s="1371"/>
      <c r="AG7" s="1371"/>
      <c r="AH7" s="1371"/>
      <c r="AI7" s="1371"/>
      <c r="AJ7" s="1371"/>
      <c r="AK7" s="1371"/>
      <c r="AL7" s="1371"/>
      <c r="AM7" s="1371"/>
      <c r="AN7" s="1371"/>
      <c r="AO7" s="1371"/>
      <c r="AP7" s="1371"/>
      <c r="AQ7" s="1371"/>
      <c r="AR7" s="1371"/>
      <c r="AS7" s="1371"/>
      <c r="AT7" s="1371"/>
      <c r="AU7" s="1371"/>
      <c r="AV7" s="1371"/>
      <c r="AW7" s="1371"/>
      <c r="AX7" s="1371"/>
      <c r="AY7" s="1371"/>
      <c r="AZ7" s="1371"/>
      <c r="BA7" s="1371"/>
      <c r="BB7" s="1371"/>
      <c r="BC7" s="1371"/>
      <c r="BD7" s="1371"/>
      <c r="BE7" s="1371"/>
      <c r="BF7" s="1371"/>
      <c r="BG7" s="1371"/>
      <c r="BH7" s="1371"/>
      <c r="BI7" s="1371"/>
      <c r="BJ7" s="1371"/>
      <c r="BK7" s="1371"/>
      <c r="BL7" s="1371"/>
      <c r="BM7" s="1371"/>
      <c r="BN7" s="1371"/>
      <c r="BO7" s="1371"/>
      <c r="BP7" s="1371"/>
      <c r="BQ7" s="1371"/>
      <c r="BR7" s="1371"/>
      <c r="BS7" s="1371"/>
      <c r="BT7" s="1371"/>
      <c r="BU7" s="1371"/>
      <c r="BV7" s="1371"/>
      <c r="BW7" s="1371"/>
      <c r="BX7" s="1371"/>
      <c r="BY7" s="1371"/>
      <c r="BZ7" s="1371"/>
      <c r="CA7" s="1371"/>
      <c r="CB7" s="1371"/>
      <c r="CC7" s="1371"/>
      <c r="CD7" s="1371"/>
      <c r="CE7" s="1371"/>
      <c r="CF7" s="1371"/>
      <c r="CG7" s="1371"/>
      <c r="CH7" s="1371"/>
      <c r="CI7" s="1371"/>
      <c r="CJ7" s="1371"/>
      <c r="CK7" s="1371"/>
      <c r="CL7" s="1371"/>
      <c r="CM7" s="1371"/>
      <c r="CN7" s="1371"/>
      <c r="CO7" s="1371"/>
      <c r="CP7" s="1371"/>
      <c r="CQ7" s="1371"/>
      <c r="CR7" s="1371"/>
      <c r="CS7" s="1371"/>
      <c r="CT7" s="1371"/>
      <c r="CU7" s="1371"/>
      <c r="CV7" s="1371"/>
      <c r="CW7" s="1371"/>
      <c r="CX7" s="1371"/>
      <c r="CY7" s="1371"/>
      <c r="CZ7" s="1371"/>
      <c r="DA7" s="1371"/>
      <c r="DB7" s="1371"/>
      <c r="DC7" s="1371"/>
      <c r="DD7" s="1371"/>
      <c r="DE7" s="1371"/>
      <c r="DF7" s="1371"/>
      <c r="DG7" s="1371"/>
      <c r="DH7" s="1371"/>
      <c r="DI7" s="1371"/>
      <c r="DJ7" s="1371"/>
      <c r="DK7" s="1371"/>
      <c r="DL7" s="1371"/>
      <c r="DM7" s="1371"/>
      <c r="DN7" s="1371"/>
      <c r="DO7" s="1371"/>
      <c r="DP7" s="1371"/>
      <c r="DQ7" s="1371"/>
      <c r="DR7" s="1371"/>
      <c r="DS7" s="1371"/>
      <c r="DT7" s="1371"/>
      <c r="DU7" s="1371"/>
      <c r="DV7" s="1371"/>
      <c r="DW7" s="1371"/>
      <c r="DX7" s="1371"/>
      <c r="DY7" s="1371"/>
      <c r="DZ7" s="1371"/>
      <c r="EA7" s="1371"/>
      <c r="EB7" s="1371"/>
      <c r="EC7" s="1371"/>
      <c r="ED7" s="1371"/>
      <c r="EE7" s="1371"/>
      <c r="EF7" s="1371"/>
      <c r="EG7" s="1371"/>
      <c r="EH7" s="1371"/>
      <c r="EI7" s="1371"/>
      <c r="EJ7" s="1371"/>
      <c r="EK7" s="1371"/>
      <c r="EL7" s="1371"/>
      <c r="EM7" s="1371"/>
      <c r="EN7" s="1371"/>
      <c r="EO7" s="1371"/>
      <c r="EP7" s="1371"/>
      <c r="EQ7" s="1371"/>
      <c r="ER7" s="1371"/>
      <c r="ES7" s="1371"/>
      <c r="ET7" s="1371"/>
      <c r="EU7" s="1371"/>
      <c r="EV7" s="1371"/>
      <c r="EW7" s="1371"/>
      <c r="EX7" s="1371"/>
      <c r="EY7" s="1371"/>
      <c r="EZ7" s="1371"/>
      <c r="FA7" s="1371"/>
      <c r="FB7" s="1371"/>
      <c r="FC7" s="1371"/>
      <c r="FD7" s="1371"/>
      <c r="FE7" s="1371"/>
      <c r="FF7" s="1371"/>
      <c r="FG7" s="1371"/>
      <c r="FH7" s="1371"/>
      <c r="FI7" s="1371"/>
      <c r="FJ7" s="1371"/>
      <c r="FK7" s="1371"/>
      <c r="FL7" s="1371"/>
      <c r="FM7" s="1371"/>
      <c r="FN7" s="1371"/>
      <c r="FO7" s="1371"/>
      <c r="FP7" s="1371"/>
      <c r="FQ7" s="1371"/>
      <c r="FR7" s="1371"/>
      <c r="FS7" s="1371"/>
      <c r="FT7" s="1371"/>
      <c r="FU7" s="1371"/>
      <c r="FV7" s="1371"/>
      <c r="FW7" s="1371"/>
      <c r="FX7" s="1371"/>
      <c r="FY7" s="1371"/>
      <c r="FZ7" s="1371"/>
      <c r="GA7" s="1371"/>
      <c r="GB7" s="1371"/>
      <c r="GC7" s="1371"/>
      <c r="GD7" s="1371"/>
      <c r="GE7" s="1371"/>
      <c r="GF7" s="1371"/>
      <c r="GG7" s="1371"/>
      <c r="GH7" s="1371"/>
      <c r="GI7" s="1371"/>
      <c r="GJ7" s="1371"/>
      <c r="GK7" s="1371"/>
      <c r="GL7" s="1371"/>
      <c r="GM7" s="1371"/>
      <c r="GN7" s="1371"/>
      <c r="GO7" s="1371"/>
      <c r="GP7" s="1371"/>
      <c r="GQ7" s="1371"/>
      <c r="GR7" s="1371"/>
      <c r="GS7" s="1371"/>
      <c r="GT7" s="1371"/>
      <c r="GU7" s="1371"/>
      <c r="GV7" s="1371"/>
      <c r="GW7" s="1371"/>
      <c r="GX7" s="1371"/>
      <c r="GY7" s="1371"/>
      <c r="GZ7" s="1371"/>
      <c r="HA7" s="1371"/>
      <c r="HB7" s="1371"/>
      <c r="HC7" s="1371"/>
      <c r="HD7" s="1371"/>
      <c r="HE7" s="1371"/>
      <c r="HF7" s="1371"/>
      <c r="HG7" s="1371"/>
      <c r="HH7" s="1371"/>
      <c r="HI7" s="1371"/>
      <c r="HJ7" s="1371"/>
      <c r="HK7" s="1371"/>
      <c r="HL7" s="1371"/>
      <c r="HM7" s="1371"/>
      <c r="HN7" s="1371"/>
      <c r="HO7" s="1371"/>
      <c r="HP7" s="1371"/>
      <c r="HQ7" s="1371"/>
      <c r="HR7" s="1371"/>
      <c r="HS7" s="1371"/>
      <c r="HT7" s="1371"/>
      <c r="HU7" s="1371"/>
      <c r="HV7" s="1371"/>
      <c r="HW7" s="1371"/>
      <c r="HX7" s="1371"/>
      <c r="HY7" s="1371"/>
      <c r="HZ7" s="1371"/>
      <c r="IA7" s="1371"/>
      <c r="IB7" s="1371"/>
      <c r="IC7" s="1371"/>
      <c r="ID7" s="1371"/>
      <c r="IE7" s="1371"/>
      <c r="IF7" s="1371"/>
      <c r="IG7" s="1371"/>
      <c r="IH7" s="1371"/>
      <c r="II7" s="1371"/>
      <c r="IJ7" s="1371"/>
      <c r="IK7" s="1371"/>
      <c r="IL7" s="1371"/>
      <c r="IM7" s="1371"/>
      <c r="IN7" s="1371"/>
      <c r="IO7" s="1371"/>
      <c r="IP7" s="1371"/>
      <c r="IQ7" s="1371"/>
      <c r="IR7" s="1371"/>
      <c r="IS7" s="1371"/>
      <c r="IT7" s="1371"/>
      <c r="IU7" s="1371"/>
      <c r="IV7" s="1371"/>
    </row>
    <row r="8" spans="1:256" ht="26.25" customHeight="1">
      <c r="A8" s="1383"/>
      <c r="B8" s="1384" t="s">
        <v>7102</v>
      </c>
      <c r="C8" s="1383">
        <v>1</v>
      </c>
      <c r="D8" s="1383">
        <v>1</v>
      </c>
      <c r="E8" s="1385">
        <v>52.92</v>
      </c>
      <c r="F8" s="1385">
        <v>0.38</v>
      </c>
      <c r="G8" s="1385">
        <v>0.3</v>
      </c>
      <c r="H8" s="1386">
        <f>PRODUCT(C8:G8)</f>
        <v>6.03</v>
      </c>
      <c r="I8" s="1387" t="s">
        <v>7103</v>
      </c>
      <c r="J8" s="1371"/>
      <c r="K8" s="1371"/>
      <c r="L8" s="1371"/>
      <c r="M8" s="1371"/>
      <c r="N8" s="1371"/>
      <c r="O8" s="1371"/>
      <c r="P8" s="1371"/>
      <c r="Q8" s="1371"/>
      <c r="R8" s="1371"/>
      <c r="S8" s="1371"/>
      <c r="T8" s="1371"/>
      <c r="U8" s="1371"/>
      <c r="V8" s="1371"/>
      <c r="W8" s="1371"/>
      <c r="X8" s="1371"/>
      <c r="Y8" s="1371"/>
      <c r="Z8" s="1371"/>
      <c r="AA8" s="1371"/>
      <c r="AB8" s="1371"/>
      <c r="AC8" s="1371"/>
      <c r="AD8" s="1371"/>
      <c r="AE8" s="1371"/>
      <c r="AF8" s="1371"/>
      <c r="AG8" s="1371"/>
      <c r="AH8" s="1371"/>
      <c r="AI8" s="1371"/>
      <c r="AJ8" s="1371"/>
      <c r="AK8" s="1371"/>
      <c r="AL8" s="1371"/>
      <c r="AM8" s="1371"/>
      <c r="AN8" s="1371"/>
      <c r="AO8" s="1371"/>
      <c r="AP8" s="1371"/>
      <c r="AQ8" s="1371"/>
      <c r="AR8" s="1371"/>
      <c r="AS8" s="1371"/>
      <c r="AT8" s="1371"/>
      <c r="AU8" s="1371"/>
      <c r="AV8" s="1371"/>
      <c r="AW8" s="1371"/>
      <c r="AX8" s="1371"/>
      <c r="AY8" s="1371"/>
      <c r="AZ8" s="1371"/>
      <c r="BA8" s="1371"/>
      <c r="BB8" s="1371"/>
      <c r="BC8" s="1371"/>
      <c r="BD8" s="1371"/>
      <c r="BE8" s="1371"/>
      <c r="BF8" s="1371"/>
      <c r="BG8" s="1371"/>
      <c r="BH8" s="1371"/>
      <c r="BI8" s="1371"/>
      <c r="BJ8" s="1371"/>
      <c r="BK8" s="1371"/>
      <c r="BL8" s="1371"/>
      <c r="BM8" s="1371"/>
      <c r="BN8" s="1371"/>
      <c r="BO8" s="1371"/>
      <c r="BP8" s="1371"/>
      <c r="BQ8" s="1371"/>
      <c r="BR8" s="1371"/>
      <c r="BS8" s="1371"/>
      <c r="BT8" s="1371"/>
      <c r="BU8" s="1371"/>
      <c r="BV8" s="1371"/>
      <c r="BW8" s="1371"/>
      <c r="BX8" s="1371"/>
      <c r="BY8" s="1371"/>
      <c r="BZ8" s="1371"/>
      <c r="CA8" s="1371"/>
      <c r="CB8" s="1371"/>
      <c r="CC8" s="1371"/>
      <c r="CD8" s="1371"/>
      <c r="CE8" s="1371"/>
      <c r="CF8" s="1371"/>
      <c r="CG8" s="1371"/>
      <c r="CH8" s="1371"/>
      <c r="CI8" s="1371"/>
      <c r="CJ8" s="1371"/>
      <c r="CK8" s="1371"/>
      <c r="CL8" s="1371"/>
      <c r="CM8" s="1371"/>
      <c r="CN8" s="1371"/>
      <c r="CO8" s="1371"/>
      <c r="CP8" s="1371"/>
      <c r="CQ8" s="1371"/>
      <c r="CR8" s="1371"/>
      <c r="CS8" s="1371"/>
      <c r="CT8" s="1371"/>
      <c r="CU8" s="1371"/>
      <c r="CV8" s="1371"/>
      <c r="CW8" s="1371"/>
      <c r="CX8" s="1371"/>
      <c r="CY8" s="1371"/>
      <c r="CZ8" s="1371"/>
      <c r="DA8" s="1371"/>
      <c r="DB8" s="1371"/>
      <c r="DC8" s="1371"/>
      <c r="DD8" s="1371"/>
      <c r="DE8" s="1371"/>
      <c r="DF8" s="1371"/>
      <c r="DG8" s="1371"/>
      <c r="DH8" s="1371"/>
      <c r="DI8" s="1371"/>
      <c r="DJ8" s="1371"/>
      <c r="DK8" s="1371"/>
      <c r="DL8" s="1371"/>
      <c r="DM8" s="1371"/>
      <c r="DN8" s="1371"/>
      <c r="DO8" s="1371"/>
      <c r="DP8" s="1371"/>
      <c r="DQ8" s="1371"/>
      <c r="DR8" s="1371"/>
      <c r="DS8" s="1371"/>
      <c r="DT8" s="1371"/>
      <c r="DU8" s="1371"/>
      <c r="DV8" s="1371"/>
      <c r="DW8" s="1371"/>
      <c r="DX8" s="1371"/>
      <c r="DY8" s="1371"/>
      <c r="DZ8" s="1371"/>
      <c r="EA8" s="1371"/>
      <c r="EB8" s="1371"/>
      <c r="EC8" s="1371"/>
      <c r="ED8" s="1371"/>
      <c r="EE8" s="1371"/>
      <c r="EF8" s="1371"/>
      <c r="EG8" s="1371"/>
      <c r="EH8" s="1371"/>
      <c r="EI8" s="1371"/>
      <c r="EJ8" s="1371"/>
      <c r="EK8" s="1371"/>
      <c r="EL8" s="1371"/>
      <c r="EM8" s="1371"/>
      <c r="EN8" s="1371"/>
      <c r="EO8" s="1371"/>
      <c r="EP8" s="1371"/>
      <c r="EQ8" s="1371"/>
      <c r="ER8" s="1371"/>
      <c r="ES8" s="1371"/>
      <c r="ET8" s="1371"/>
      <c r="EU8" s="1371"/>
      <c r="EV8" s="1371"/>
      <c r="EW8" s="1371"/>
      <c r="EX8" s="1371"/>
      <c r="EY8" s="1371"/>
      <c r="EZ8" s="1371"/>
      <c r="FA8" s="1371"/>
      <c r="FB8" s="1371"/>
      <c r="FC8" s="1371"/>
      <c r="FD8" s="1371"/>
      <c r="FE8" s="1371"/>
      <c r="FF8" s="1371"/>
      <c r="FG8" s="1371"/>
      <c r="FH8" s="1371"/>
      <c r="FI8" s="1371"/>
      <c r="FJ8" s="1371"/>
      <c r="FK8" s="1371"/>
      <c r="FL8" s="1371"/>
      <c r="FM8" s="1371"/>
      <c r="FN8" s="1371"/>
      <c r="FO8" s="1371"/>
      <c r="FP8" s="1371"/>
      <c r="FQ8" s="1371"/>
      <c r="FR8" s="1371"/>
      <c r="FS8" s="1371"/>
      <c r="FT8" s="1371"/>
      <c r="FU8" s="1371"/>
      <c r="FV8" s="1371"/>
      <c r="FW8" s="1371"/>
      <c r="FX8" s="1371"/>
      <c r="FY8" s="1371"/>
      <c r="FZ8" s="1371"/>
      <c r="GA8" s="1371"/>
      <c r="GB8" s="1371"/>
      <c r="GC8" s="1371"/>
      <c r="GD8" s="1371"/>
      <c r="GE8" s="1371"/>
      <c r="GF8" s="1371"/>
      <c r="GG8" s="1371"/>
      <c r="GH8" s="1371"/>
      <c r="GI8" s="1371"/>
      <c r="GJ8" s="1371"/>
      <c r="GK8" s="1371"/>
      <c r="GL8" s="1371"/>
      <c r="GM8" s="1371"/>
      <c r="GN8" s="1371"/>
      <c r="GO8" s="1371"/>
      <c r="GP8" s="1371"/>
      <c r="GQ8" s="1371"/>
      <c r="GR8" s="1371"/>
      <c r="GS8" s="1371"/>
      <c r="GT8" s="1371"/>
      <c r="GU8" s="1371"/>
      <c r="GV8" s="1371"/>
      <c r="GW8" s="1371"/>
      <c r="GX8" s="1371"/>
      <c r="GY8" s="1371"/>
      <c r="GZ8" s="1371"/>
      <c r="HA8" s="1371"/>
      <c r="HB8" s="1371"/>
      <c r="HC8" s="1371"/>
      <c r="HD8" s="1371"/>
      <c r="HE8" s="1371"/>
      <c r="HF8" s="1371"/>
      <c r="HG8" s="1371"/>
      <c r="HH8" s="1371"/>
      <c r="HI8" s="1371"/>
      <c r="HJ8" s="1371"/>
      <c r="HK8" s="1371"/>
      <c r="HL8" s="1371"/>
      <c r="HM8" s="1371"/>
      <c r="HN8" s="1371"/>
      <c r="HO8" s="1371"/>
      <c r="HP8" s="1371"/>
      <c r="HQ8" s="1371"/>
      <c r="HR8" s="1371"/>
      <c r="HS8" s="1371"/>
      <c r="HT8" s="1371"/>
      <c r="HU8" s="1371"/>
      <c r="HV8" s="1371"/>
      <c r="HW8" s="1371"/>
      <c r="HX8" s="1371"/>
      <c r="HY8" s="1371"/>
      <c r="HZ8" s="1371"/>
      <c r="IA8" s="1371"/>
      <c r="IB8" s="1371"/>
      <c r="IC8" s="1371"/>
      <c r="ID8" s="1371"/>
      <c r="IE8" s="1371"/>
      <c r="IF8" s="1371"/>
      <c r="IG8" s="1371"/>
      <c r="IH8" s="1371"/>
      <c r="II8" s="1371"/>
      <c r="IJ8" s="1371"/>
      <c r="IK8" s="1371"/>
      <c r="IL8" s="1371"/>
      <c r="IM8" s="1371"/>
      <c r="IN8" s="1371"/>
      <c r="IO8" s="1371"/>
      <c r="IP8" s="1371"/>
      <c r="IQ8" s="1371"/>
      <c r="IR8" s="1371"/>
      <c r="IS8" s="1371"/>
      <c r="IT8" s="1371"/>
      <c r="IU8" s="1371"/>
      <c r="IV8" s="1371"/>
    </row>
    <row r="9" spans="1:256" ht="42.75" customHeight="1">
      <c r="A9" s="1388">
        <v>2.1</v>
      </c>
      <c r="B9" s="1384" t="s">
        <v>7104</v>
      </c>
      <c r="C9" s="1383"/>
      <c r="D9" s="1383"/>
      <c r="E9" s="1385"/>
      <c r="F9" s="1385"/>
      <c r="G9" s="1385"/>
      <c r="H9" s="1386"/>
      <c r="J9" s="1390"/>
      <c r="K9" s="1371"/>
      <c r="L9" s="1371"/>
      <c r="M9" s="1371"/>
      <c r="N9" s="1371"/>
      <c r="O9" s="1371"/>
      <c r="P9" s="1371"/>
      <c r="Q9" s="1371"/>
      <c r="R9" s="1371"/>
      <c r="S9" s="1371"/>
      <c r="T9" s="1371"/>
      <c r="U9" s="1371"/>
      <c r="V9" s="1371"/>
      <c r="W9" s="1371"/>
      <c r="X9" s="1371"/>
      <c r="Y9" s="1371"/>
      <c r="Z9" s="1371"/>
      <c r="AA9" s="1371"/>
      <c r="AB9" s="1371"/>
      <c r="AC9" s="1371"/>
      <c r="AD9" s="1371"/>
      <c r="AE9" s="1371"/>
      <c r="AF9" s="1371"/>
      <c r="AG9" s="1371"/>
      <c r="AH9" s="1371"/>
      <c r="AI9" s="1371"/>
      <c r="AJ9" s="1371"/>
      <c r="AK9" s="1371"/>
      <c r="AL9" s="1371"/>
      <c r="AM9" s="1371"/>
      <c r="AN9" s="1371"/>
      <c r="AO9" s="1371"/>
      <c r="AP9" s="1371"/>
      <c r="AQ9" s="1371"/>
      <c r="AR9" s="1371"/>
      <c r="AS9" s="1371"/>
      <c r="AT9" s="1371"/>
      <c r="AU9" s="1371"/>
      <c r="AV9" s="1371"/>
      <c r="AW9" s="1371"/>
      <c r="AX9" s="1371"/>
      <c r="AY9" s="1371"/>
      <c r="AZ9" s="1371"/>
      <c r="BA9" s="1371"/>
      <c r="BB9" s="1371"/>
      <c r="BC9" s="1371"/>
      <c r="BD9" s="1371"/>
      <c r="BE9" s="1371"/>
      <c r="BF9" s="1371"/>
      <c r="BG9" s="1371"/>
      <c r="BH9" s="1371"/>
      <c r="BI9" s="1371"/>
      <c r="BJ9" s="1371"/>
      <c r="BK9" s="1371"/>
      <c r="BL9" s="1371"/>
      <c r="BM9" s="1371"/>
      <c r="BN9" s="1371"/>
      <c r="BO9" s="1371"/>
      <c r="BP9" s="1371"/>
      <c r="BQ9" s="1371"/>
      <c r="BR9" s="1371"/>
      <c r="BS9" s="1371"/>
      <c r="BT9" s="1371"/>
      <c r="BU9" s="1371"/>
      <c r="BV9" s="1371"/>
      <c r="BW9" s="1371"/>
      <c r="BX9" s="1371"/>
      <c r="BY9" s="1371"/>
      <c r="BZ9" s="1371"/>
      <c r="CA9" s="1371"/>
      <c r="CB9" s="1371"/>
      <c r="CC9" s="1371"/>
      <c r="CD9" s="1371"/>
      <c r="CE9" s="1371"/>
      <c r="CF9" s="1371"/>
      <c r="CG9" s="1371"/>
      <c r="CH9" s="1371"/>
      <c r="CI9" s="1371"/>
      <c r="CJ9" s="1371"/>
      <c r="CK9" s="1371"/>
      <c r="CL9" s="1371"/>
      <c r="CM9" s="1371"/>
      <c r="CN9" s="1371"/>
      <c r="CO9" s="1371"/>
      <c r="CP9" s="1371"/>
      <c r="CQ9" s="1371"/>
      <c r="CR9" s="1371"/>
      <c r="CS9" s="1371"/>
      <c r="CT9" s="1371"/>
      <c r="CU9" s="1371"/>
      <c r="CV9" s="1371"/>
      <c r="CW9" s="1371"/>
      <c r="CX9" s="1371"/>
      <c r="CY9" s="1371"/>
      <c r="CZ9" s="1371"/>
      <c r="DA9" s="1371"/>
      <c r="DB9" s="1371"/>
      <c r="DC9" s="1371"/>
      <c r="DD9" s="1371"/>
      <c r="DE9" s="1371"/>
      <c r="DF9" s="1371"/>
      <c r="DG9" s="1371"/>
      <c r="DH9" s="1371"/>
      <c r="DI9" s="1371"/>
      <c r="DJ9" s="1371"/>
      <c r="DK9" s="1371"/>
      <c r="DL9" s="1371"/>
      <c r="DM9" s="1371"/>
      <c r="DN9" s="1371"/>
      <c r="DO9" s="1371"/>
      <c r="DP9" s="1371"/>
      <c r="DQ9" s="1371"/>
      <c r="DR9" s="1371"/>
      <c r="DS9" s="1371"/>
      <c r="DT9" s="1371"/>
      <c r="DU9" s="1371"/>
      <c r="DV9" s="1371"/>
      <c r="DW9" s="1371"/>
      <c r="DX9" s="1371"/>
      <c r="DY9" s="1371"/>
      <c r="DZ9" s="1371"/>
      <c r="EA9" s="1371"/>
      <c r="EB9" s="1371"/>
      <c r="EC9" s="1371"/>
      <c r="ED9" s="1371"/>
      <c r="EE9" s="1371"/>
      <c r="EF9" s="1371"/>
      <c r="EG9" s="1371"/>
      <c r="EH9" s="1371"/>
      <c r="EI9" s="1371"/>
      <c r="EJ9" s="1371"/>
      <c r="EK9" s="1371"/>
      <c r="EL9" s="1371"/>
      <c r="EM9" s="1371"/>
      <c r="EN9" s="1371"/>
      <c r="EO9" s="1371"/>
      <c r="EP9" s="1371"/>
      <c r="EQ9" s="1371"/>
      <c r="ER9" s="1371"/>
      <c r="ES9" s="1371"/>
      <c r="ET9" s="1371"/>
      <c r="EU9" s="1371"/>
      <c r="EV9" s="1371"/>
      <c r="EW9" s="1371"/>
      <c r="EX9" s="1371"/>
      <c r="EY9" s="1371"/>
      <c r="EZ9" s="1371"/>
      <c r="FA9" s="1371"/>
      <c r="FB9" s="1371"/>
      <c r="FC9" s="1371"/>
      <c r="FD9" s="1371"/>
      <c r="FE9" s="1371"/>
      <c r="FF9" s="1371"/>
      <c r="FG9" s="1371"/>
      <c r="FH9" s="1371"/>
      <c r="FI9" s="1371"/>
      <c r="FJ9" s="1371"/>
      <c r="FK9" s="1371"/>
      <c r="FL9" s="1371"/>
      <c r="FM9" s="1371"/>
      <c r="FN9" s="1371"/>
      <c r="FO9" s="1371"/>
      <c r="FP9" s="1371"/>
      <c r="FQ9" s="1371"/>
      <c r="FR9" s="1371"/>
      <c r="FS9" s="1371"/>
      <c r="FT9" s="1371"/>
      <c r="FU9" s="1371"/>
      <c r="FV9" s="1371"/>
      <c r="FW9" s="1371"/>
      <c r="FX9" s="1371"/>
      <c r="FY9" s="1371"/>
      <c r="FZ9" s="1371"/>
      <c r="GA9" s="1371"/>
      <c r="GB9" s="1371"/>
      <c r="GC9" s="1371"/>
      <c r="GD9" s="1371"/>
      <c r="GE9" s="1371"/>
      <c r="GF9" s="1371"/>
      <c r="GG9" s="1371"/>
      <c r="GH9" s="1371"/>
      <c r="GI9" s="1371"/>
      <c r="GJ9" s="1371"/>
      <c r="GK9" s="1371"/>
      <c r="GL9" s="1371"/>
      <c r="GM9" s="1371"/>
      <c r="GN9" s="1371"/>
      <c r="GO9" s="1371"/>
      <c r="GP9" s="1371"/>
      <c r="GQ9" s="1371"/>
      <c r="GR9" s="1371"/>
      <c r="GS9" s="1371"/>
      <c r="GT9" s="1371"/>
      <c r="GU9" s="1371"/>
      <c r="GV9" s="1371"/>
      <c r="GW9" s="1371"/>
      <c r="GX9" s="1371"/>
      <c r="GY9" s="1371"/>
      <c r="GZ9" s="1371"/>
      <c r="HA9" s="1371"/>
      <c r="HB9" s="1371"/>
      <c r="HC9" s="1371"/>
      <c r="HD9" s="1371"/>
      <c r="HE9" s="1371"/>
      <c r="HF9" s="1371"/>
      <c r="HG9" s="1371"/>
      <c r="HH9" s="1371"/>
      <c r="HI9" s="1371"/>
      <c r="HJ9" s="1371"/>
      <c r="HK9" s="1371"/>
      <c r="HL9" s="1371"/>
      <c r="HM9" s="1371"/>
      <c r="HN9" s="1371"/>
      <c r="HO9" s="1371"/>
      <c r="HP9" s="1371"/>
      <c r="HQ9" s="1371"/>
      <c r="HR9" s="1371"/>
      <c r="HS9" s="1371"/>
      <c r="HT9" s="1371"/>
      <c r="HU9" s="1371"/>
      <c r="HV9" s="1371"/>
      <c r="HW9" s="1371"/>
      <c r="HX9" s="1371"/>
      <c r="HY9" s="1371"/>
      <c r="HZ9" s="1371"/>
      <c r="IA9" s="1371"/>
      <c r="IB9" s="1371"/>
      <c r="IC9" s="1371"/>
      <c r="ID9" s="1371"/>
      <c r="IE9" s="1371"/>
      <c r="IF9" s="1371"/>
      <c r="IG9" s="1371"/>
      <c r="IH9" s="1371"/>
      <c r="II9" s="1371"/>
      <c r="IJ9" s="1371"/>
      <c r="IK9" s="1371"/>
      <c r="IL9" s="1371"/>
      <c r="IM9" s="1371"/>
      <c r="IN9" s="1371"/>
      <c r="IO9" s="1371"/>
      <c r="IP9" s="1371"/>
      <c r="IQ9" s="1371"/>
      <c r="IR9" s="1371"/>
      <c r="IS9" s="1371"/>
      <c r="IT9" s="1371"/>
      <c r="IU9" s="1371"/>
      <c r="IV9" s="1371"/>
    </row>
    <row r="10" spans="1:256" ht="25.5" customHeight="1">
      <c r="A10" s="1388"/>
      <c r="B10" s="1384" t="s">
        <v>7105</v>
      </c>
      <c r="C10" s="1383">
        <v>1</v>
      </c>
      <c r="D10" s="1383">
        <v>1</v>
      </c>
      <c r="E10" s="1385">
        <v>52.92</v>
      </c>
      <c r="F10" s="1385">
        <f>0.9</f>
        <v>0.9</v>
      </c>
      <c r="G10" s="1385">
        <v>0.1</v>
      </c>
      <c r="H10" s="1385">
        <f>PRODUCT(C10:G10)</f>
        <v>4.76</v>
      </c>
      <c r="I10" s="1387"/>
      <c r="J10" s="1390"/>
      <c r="K10" s="1371"/>
      <c r="L10" s="1371"/>
      <c r="M10" s="1371"/>
      <c r="N10" s="1371"/>
      <c r="O10" s="1371"/>
      <c r="P10" s="1371"/>
      <c r="Q10" s="1371"/>
      <c r="R10" s="1371"/>
      <c r="S10" s="1371"/>
      <c r="T10" s="1371"/>
      <c r="U10" s="1371"/>
      <c r="V10" s="1371"/>
      <c r="W10" s="1371"/>
      <c r="X10" s="1371"/>
      <c r="Y10" s="1371"/>
      <c r="Z10" s="1371"/>
      <c r="AA10" s="1371"/>
      <c r="AB10" s="1371"/>
      <c r="AC10" s="1371"/>
      <c r="AD10" s="1371"/>
      <c r="AE10" s="1371"/>
      <c r="AF10" s="1371"/>
      <c r="AG10" s="1371"/>
      <c r="AH10" s="1371"/>
      <c r="AI10" s="1371"/>
      <c r="AJ10" s="1371"/>
      <c r="AK10" s="1371"/>
      <c r="AL10" s="1371"/>
      <c r="AM10" s="1371"/>
      <c r="AN10" s="1371"/>
      <c r="AO10" s="1371"/>
      <c r="AP10" s="1371"/>
      <c r="AQ10" s="1371"/>
      <c r="AR10" s="1371"/>
      <c r="AS10" s="1371"/>
      <c r="AT10" s="1371"/>
      <c r="AU10" s="1371"/>
      <c r="AV10" s="1371"/>
      <c r="AW10" s="1371"/>
      <c r="AX10" s="1371"/>
      <c r="AY10" s="1371"/>
      <c r="AZ10" s="1371"/>
      <c r="BA10" s="1371"/>
      <c r="BB10" s="1371"/>
      <c r="BC10" s="1371"/>
      <c r="BD10" s="1371"/>
      <c r="BE10" s="1371"/>
      <c r="BF10" s="1371"/>
      <c r="BG10" s="1371"/>
      <c r="BH10" s="1371"/>
      <c r="BI10" s="1371"/>
      <c r="BJ10" s="1371"/>
      <c r="BK10" s="1371"/>
      <c r="BL10" s="1371"/>
      <c r="BM10" s="1371"/>
      <c r="BN10" s="1371"/>
      <c r="BO10" s="1371"/>
      <c r="BP10" s="1371"/>
      <c r="BQ10" s="1371"/>
      <c r="BR10" s="1371"/>
      <c r="BS10" s="1371"/>
      <c r="BT10" s="1371"/>
      <c r="BU10" s="1371"/>
      <c r="BV10" s="1371"/>
      <c r="BW10" s="1371"/>
      <c r="BX10" s="1371"/>
      <c r="BY10" s="1371"/>
      <c r="BZ10" s="1371"/>
      <c r="CA10" s="1371"/>
      <c r="CB10" s="1371"/>
      <c r="CC10" s="1371"/>
      <c r="CD10" s="1371"/>
      <c r="CE10" s="1371"/>
      <c r="CF10" s="1371"/>
      <c r="CG10" s="1371"/>
      <c r="CH10" s="1371"/>
      <c r="CI10" s="1371"/>
      <c r="CJ10" s="1371"/>
      <c r="CK10" s="1371"/>
      <c r="CL10" s="1371"/>
      <c r="CM10" s="1371"/>
      <c r="CN10" s="1371"/>
      <c r="CO10" s="1371"/>
      <c r="CP10" s="1371"/>
      <c r="CQ10" s="1371"/>
      <c r="CR10" s="1371"/>
      <c r="CS10" s="1371"/>
      <c r="CT10" s="1371"/>
      <c r="CU10" s="1371"/>
      <c r="CV10" s="1371"/>
      <c r="CW10" s="1371"/>
      <c r="CX10" s="1371"/>
      <c r="CY10" s="1371"/>
      <c r="CZ10" s="1371"/>
      <c r="DA10" s="1371"/>
      <c r="DB10" s="1371"/>
      <c r="DC10" s="1371"/>
      <c r="DD10" s="1371"/>
      <c r="DE10" s="1371"/>
      <c r="DF10" s="1371"/>
      <c r="DG10" s="1371"/>
      <c r="DH10" s="1371"/>
      <c r="DI10" s="1371"/>
      <c r="DJ10" s="1371"/>
      <c r="DK10" s="1371"/>
      <c r="DL10" s="1371"/>
      <c r="DM10" s="1371"/>
      <c r="DN10" s="1371"/>
      <c r="DO10" s="1371"/>
      <c r="DP10" s="1371"/>
      <c r="DQ10" s="1371"/>
      <c r="DR10" s="1371"/>
      <c r="DS10" s="1371"/>
      <c r="DT10" s="1371"/>
      <c r="DU10" s="1371"/>
      <c r="DV10" s="1371"/>
      <c r="DW10" s="1371"/>
      <c r="DX10" s="1371"/>
      <c r="DY10" s="1371"/>
      <c r="DZ10" s="1371"/>
      <c r="EA10" s="1371"/>
      <c r="EB10" s="1371"/>
      <c r="EC10" s="1371"/>
      <c r="ED10" s="1371"/>
      <c r="EE10" s="1371"/>
      <c r="EF10" s="1371"/>
      <c r="EG10" s="1371"/>
      <c r="EH10" s="1371"/>
      <c r="EI10" s="1371"/>
      <c r="EJ10" s="1371"/>
      <c r="EK10" s="1371"/>
      <c r="EL10" s="1371"/>
      <c r="EM10" s="1371"/>
      <c r="EN10" s="1371"/>
      <c r="EO10" s="1371"/>
      <c r="EP10" s="1371"/>
      <c r="EQ10" s="1371"/>
      <c r="ER10" s="1371"/>
      <c r="ES10" s="1371"/>
      <c r="ET10" s="1371"/>
      <c r="EU10" s="1371"/>
      <c r="EV10" s="1371"/>
      <c r="EW10" s="1371"/>
      <c r="EX10" s="1371"/>
      <c r="EY10" s="1371"/>
      <c r="EZ10" s="1371"/>
      <c r="FA10" s="1371"/>
      <c r="FB10" s="1371"/>
      <c r="FC10" s="1371"/>
      <c r="FD10" s="1371"/>
      <c r="FE10" s="1371"/>
      <c r="FF10" s="1371"/>
      <c r="FG10" s="1371"/>
      <c r="FH10" s="1371"/>
      <c r="FI10" s="1371"/>
      <c r="FJ10" s="1371"/>
      <c r="FK10" s="1371"/>
      <c r="FL10" s="1371"/>
      <c r="FM10" s="1371"/>
      <c r="FN10" s="1371"/>
      <c r="FO10" s="1371"/>
      <c r="FP10" s="1371"/>
      <c r="FQ10" s="1371"/>
      <c r="FR10" s="1371"/>
      <c r="FS10" s="1371"/>
      <c r="FT10" s="1371"/>
      <c r="FU10" s="1371"/>
      <c r="FV10" s="1371"/>
      <c r="FW10" s="1371"/>
      <c r="FX10" s="1371"/>
      <c r="FY10" s="1371"/>
      <c r="FZ10" s="1371"/>
      <c r="GA10" s="1371"/>
      <c r="GB10" s="1371"/>
      <c r="GC10" s="1371"/>
      <c r="GD10" s="1371"/>
      <c r="GE10" s="1371"/>
      <c r="GF10" s="1371"/>
      <c r="GG10" s="1371"/>
      <c r="GH10" s="1371"/>
      <c r="GI10" s="1371"/>
      <c r="GJ10" s="1371"/>
      <c r="GK10" s="1371"/>
      <c r="GL10" s="1371"/>
      <c r="GM10" s="1371"/>
      <c r="GN10" s="1371"/>
      <c r="GO10" s="1371"/>
      <c r="GP10" s="1371"/>
      <c r="GQ10" s="1371"/>
      <c r="GR10" s="1371"/>
      <c r="GS10" s="1371"/>
      <c r="GT10" s="1371"/>
      <c r="GU10" s="1371"/>
      <c r="GV10" s="1371"/>
      <c r="GW10" s="1371"/>
      <c r="GX10" s="1371"/>
      <c r="GY10" s="1371"/>
      <c r="GZ10" s="1371"/>
      <c r="HA10" s="1371"/>
      <c r="HB10" s="1371"/>
      <c r="HC10" s="1371"/>
      <c r="HD10" s="1371"/>
      <c r="HE10" s="1371"/>
      <c r="HF10" s="1371"/>
      <c r="HG10" s="1371"/>
      <c r="HH10" s="1371"/>
      <c r="HI10" s="1371"/>
      <c r="HJ10" s="1371"/>
      <c r="HK10" s="1371"/>
      <c r="HL10" s="1371"/>
      <c r="HM10" s="1371"/>
      <c r="HN10" s="1371"/>
      <c r="HO10" s="1371"/>
      <c r="HP10" s="1371"/>
      <c r="HQ10" s="1371"/>
      <c r="HR10" s="1371"/>
      <c r="HS10" s="1371"/>
      <c r="HT10" s="1371"/>
      <c r="HU10" s="1371"/>
      <c r="HV10" s="1371"/>
      <c r="HW10" s="1371"/>
      <c r="HX10" s="1371"/>
      <c r="HY10" s="1371"/>
      <c r="HZ10" s="1371"/>
      <c r="IA10" s="1371"/>
      <c r="IB10" s="1371"/>
      <c r="IC10" s="1371"/>
      <c r="ID10" s="1371"/>
      <c r="IE10" s="1371"/>
      <c r="IF10" s="1371"/>
      <c r="IG10" s="1371"/>
      <c r="IH10" s="1371"/>
      <c r="II10" s="1371"/>
      <c r="IJ10" s="1371"/>
      <c r="IK10" s="1371"/>
      <c r="IL10" s="1371"/>
      <c r="IM10" s="1371"/>
      <c r="IN10" s="1371"/>
      <c r="IO10" s="1371"/>
      <c r="IP10" s="1371"/>
      <c r="IQ10" s="1371"/>
      <c r="IR10" s="1371"/>
      <c r="IS10" s="1371"/>
      <c r="IT10" s="1371"/>
      <c r="IU10" s="1371"/>
      <c r="IV10" s="1371"/>
    </row>
    <row r="11" spans="1:256" ht="25.5" customHeight="1">
      <c r="A11" s="1388"/>
      <c r="B11" s="1384" t="s">
        <v>7106</v>
      </c>
      <c r="C11" s="1383">
        <v>1</v>
      </c>
      <c r="D11" s="1383">
        <v>1</v>
      </c>
      <c r="E11" s="1385">
        <v>52.92</v>
      </c>
      <c r="F11" s="1385">
        <v>0.38</v>
      </c>
      <c r="G11" s="1385">
        <v>0.1</v>
      </c>
      <c r="H11" s="1385">
        <f>PRODUCT(C11:G11)</f>
        <v>2.0099999999999998</v>
      </c>
      <c r="I11" s="1387"/>
      <c r="J11" s="1390"/>
      <c r="K11" s="1371"/>
      <c r="L11" s="1371"/>
      <c r="M11" s="1371"/>
      <c r="N11" s="1371"/>
      <c r="O11" s="1371"/>
      <c r="P11" s="1371"/>
      <c r="Q11" s="1371"/>
      <c r="R11" s="1371"/>
      <c r="S11" s="1371"/>
      <c r="T11" s="1371"/>
      <c r="U11" s="1371"/>
      <c r="V11" s="1371"/>
      <c r="W11" s="1371"/>
      <c r="X11" s="1371"/>
      <c r="Y11" s="1371"/>
      <c r="Z11" s="1371"/>
      <c r="AA11" s="1371"/>
      <c r="AB11" s="1371"/>
      <c r="AC11" s="1371"/>
      <c r="AD11" s="1371"/>
      <c r="AE11" s="1371"/>
      <c r="AF11" s="1371"/>
      <c r="AG11" s="1371"/>
      <c r="AH11" s="1371"/>
      <c r="AI11" s="1371"/>
      <c r="AJ11" s="1371"/>
      <c r="AK11" s="1371"/>
      <c r="AL11" s="1371"/>
      <c r="AM11" s="1371"/>
      <c r="AN11" s="1371"/>
      <c r="AO11" s="1371"/>
      <c r="AP11" s="1371"/>
      <c r="AQ11" s="1371"/>
      <c r="AR11" s="1371"/>
      <c r="AS11" s="1371"/>
      <c r="AT11" s="1371"/>
      <c r="AU11" s="1371"/>
      <c r="AV11" s="1371"/>
      <c r="AW11" s="1371"/>
      <c r="AX11" s="1371"/>
      <c r="AY11" s="1371"/>
      <c r="AZ11" s="1371"/>
      <c r="BA11" s="1371"/>
      <c r="BB11" s="1371"/>
      <c r="BC11" s="1371"/>
      <c r="BD11" s="1371"/>
      <c r="BE11" s="1371"/>
      <c r="BF11" s="1371"/>
      <c r="BG11" s="1371"/>
      <c r="BH11" s="1371"/>
      <c r="BI11" s="1371"/>
      <c r="BJ11" s="1371"/>
      <c r="BK11" s="1371"/>
      <c r="BL11" s="1371"/>
      <c r="BM11" s="1371"/>
      <c r="BN11" s="1371"/>
      <c r="BO11" s="1371"/>
      <c r="BP11" s="1371"/>
      <c r="BQ11" s="1371"/>
      <c r="BR11" s="1371"/>
      <c r="BS11" s="1371"/>
      <c r="BT11" s="1371"/>
      <c r="BU11" s="1371"/>
      <c r="BV11" s="1371"/>
      <c r="BW11" s="1371"/>
      <c r="BX11" s="1371"/>
      <c r="BY11" s="1371"/>
      <c r="BZ11" s="1371"/>
      <c r="CA11" s="1371"/>
      <c r="CB11" s="1371"/>
      <c r="CC11" s="1371"/>
      <c r="CD11" s="1371"/>
      <c r="CE11" s="1371"/>
      <c r="CF11" s="1371"/>
      <c r="CG11" s="1371"/>
      <c r="CH11" s="1371"/>
      <c r="CI11" s="1371"/>
      <c r="CJ11" s="1371"/>
      <c r="CK11" s="1371"/>
      <c r="CL11" s="1371"/>
      <c r="CM11" s="1371"/>
      <c r="CN11" s="1371"/>
      <c r="CO11" s="1371"/>
      <c r="CP11" s="1371"/>
      <c r="CQ11" s="1371"/>
      <c r="CR11" s="1371"/>
      <c r="CS11" s="1371"/>
      <c r="CT11" s="1371"/>
      <c r="CU11" s="1371"/>
      <c r="CV11" s="1371"/>
      <c r="CW11" s="1371"/>
      <c r="CX11" s="1371"/>
      <c r="CY11" s="1371"/>
      <c r="CZ11" s="1371"/>
      <c r="DA11" s="1371"/>
      <c r="DB11" s="1371"/>
      <c r="DC11" s="1371"/>
      <c r="DD11" s="1371"/>
      <c r="DE11" s="1371"/>
      <c r="DF11" s="1371"/>
      <c r="DG11" s="1371"/>
      <c r="DH11" s="1371"/>
      <c r="DI11" s="1371"/>
      <c r="DJ11" s="1371"/>
      <c r="DK11" s="1371"/>
      <c r="DL11" s="1371"/>
      <c r="DM11" s="1371"/>
      <c r="DN11" s="1371"/>
      <c r="DO11" s="1371"/>
      <c r="DP11" s="1371"/>
      <c r="DQ11" s="1371"/>
      <c r="DR11" s="1371"/>
      <c r="DS11" s="1371"/>
      <c r="DT11" s="1371"/>
      <c r="DU11" s="1371"/>
      <c r="DV11" s="1371"/>
      <c r="DW11" s="1371"/>
      <c r="DX11" s="1371"/>
      <c r="DY11" s="1371"/>
      <c r="DZ11" s="1371"/>
      <c r="EA11" s="1371"/>
      <c r="EB11" s="1371"/>
      <c r="EC11" s="1371"/>
      <c r="ED11" s="1371"/>
      <c r="EE11" s="1371"/>
      <c r="EF11" s="1371"/>
      <c r="EG11" s="1371"/>
      <c r="EH11" s="1371"/>
      <c r="EI11" s="1371"/>
      <c r="EJ11" s="1371"/>
      <c r="EK11" s="1371"/>
      <c r="EL11" s="1371"/>
      <c r="EM11" s="1371"/>
      <c r="EN11" s="1371"/>
      <c r="EO11" s="1371"/>
      <c r="EP11" s="1371"/>
      <c r="EQ11" s="1371"/>
      <c r="ER11" s="1371"/>
      <c r="ES11" s="1371"/>
      <c r="ET11" s="1371"/>
      <c r="EU11" s="1371"/>
      <c r="EV11" s="1371"/>
      <c r="EW11" s="1371"/>
      <c r="EX11" s="1371"/>
      <c r="EY11" s="1371"/>
      <c r="EZ11" s="1371"/>
      <c r="FA11" s="1371"/>
      <c r="FB11" s="1371"/>
      <c r="FC11" s="1371"/>
      <c r="FD11" s="1371"/>
      <c r="FE11" s="1371"/>
      <c r="FF11" s="1371"/>
      <c r="FG11" s="1371"/>
      <c r="FH11" s="1371"/>
      <c r="FI11" s="1371"/>
      <c r="FJ11" s="1371"/>
      <c r="FK11" s="1371"/>
      <c r="FL11" s="1371"/>
      <c r="FM11" s="1371"/>
      <c r="FN11" s="1371"/>
      <c r="FO11" s="1371"/>
      <c r="FP11" s="1371"/>
      <c r="FQ11" s="1371"/>
      <c r="FR11" s="1371"/>
      <c r="FS11" s="1371"/>
      <c r="FT11" s="1371"/>
      <c r="FU11" s="1371"/>
      <c r="FV11" s="1371"/>
      <c r="FW11" s="1371"/>
      <c r="FX11" s="1371"/>
      <c r="FY11" s="1371"/>
      <c r="FZ11" s="1371"/>
      <c r="GA11" s="1371"/>
      <c r="GB11" s="1371"/>
      <c r="GC11" s="1371"/>
      <c r="GD11" s="1371"/>
      <c r="GE11" s="1371"/>
      <c r="GF11" s="1371"/>
      <c r="GG11" s="1371"/>
      <c r="GH11" s="1371"/>
      <c r="GI11" s="1371"/>
      <c r="GJ11" s="1371"/>
      <c r="GK11" s="1371"/>
      <c r="GL11" s="1371"/>
      <c r="GM11" s="1371"/>
      <c r="GN11" s="1371"/>
      <c r="GO11" s="1371"/>
      <c r="GP11" s="1371"/>
      <c r="GQ11" s="1371"/>
      <c r="GR11" s="1371"/>
      <c r="GS11" s="1371"/>
      <c r="GT11" s="1371"/>
      <c r="GU11" s="1371"/>
      <c r="GV11" s="1371"/>
      <c r="GW11" s="1371"/>
      <c r="GX11" s="1371"/>
      <c r="GY11" s="1371"/>
      <c r="GZ11" s="1371"/>
      <c r="HA11" s="1371"/>
      <c r="HB11" s="1371"/>
      <c r="HC11" s="1371"/>
      <c r="HD11" s="1371"/>
      <c r="HE11" s="1371"/>
      <c r="HF11" s="1371"/>
      <c r="HG11" s="1371"/>
      <c r="HH11" s="1371"/>
      <c r="HI11" s="1371"/>
      <c r="HJ11" s="1371"/>
      <c r="HK11" s="1371"/>
      <c r="HL11" s="1371"/>
      <c r="HM11" s="1371"/>
      <c r="HN11" s="1371"/>
      <c r="HO11" s="1371"/>
      <c r="HP11" s="1371"/>
      <c r="HQ11" s="1371"/>
      <c r="HR11" s="1371"/>
      <c r="HS11" s="1371"/>
      <c r="HT11" s="1371"/>
      <c r="HU11" s="1371"/>
      <c r="HV11" s="1371"/>
      <c r="HW11" s="1371"/>
      <c r="HX11" s="1371"/>
      <c r="HY11" s="1371"/>
      <c r="HZ11" s="1371"/>
      <c r="IA11" s="1371"/>
      <c r="IB11" s="1371"/>
      <c r="IC11" s="1371"/>
      <c r="ID11" s="1371"/>
      <c r="IE11" s="1371"/>
      <c r="IF11" s="1371"/>
      <c r="IG11" s="1371"/>
      <c r="IH11" s="1371"/>
      <c r="II11" s="1371"/>
      <c r="IJ11" s="1371"/>
      <c r="IK11" s="1371"/>
      <c r="IL11" s="1371"/>
      <c r="IM11" s="1371"/>
      <c r="IN11" s="1371"/>
      <c r="IO11" s="1371"/>
      <c r="IP11" s="1371"/>
      <c r="IQ11" s="1371"/>
      <c r="IR11" s="1371"/>
      <c r="IS11" s="1371"/>
      <c r="IT11" s="1371"/>
      <c r="IU11" s="1371"/>
      <c r="IV11" s="1371"/>
    </row>
    <row r="12" spans="1:256" ht="24" customHeight="1">
      <c r="A12" s="1388"/>
      <c r="B12" s="1384"/>
      <c r="C12" s="1383"/>
      <c r="D12" s="1383"/>
      <c r="E12" s="1385"/>
      <c r="F12" s="1385"/>
      <c r="G12" s="1386" t="s">
        <v>2235</v>
      </c>
      <c r="H12" s="1386">
        <f>SUM(H10:H11)</f>
        <v>6.77</v>
      </c>
      <c r="I12" s="1387" t="s">
        <v>7103</v>
      </c>
      <c r="J12" s="1390"/>
      <c r="K12" s="1371"/>
      <c r="L12" s="1371"/>
      <c r="M12" s="1371"/>
      <c r="N12" s="1371"/>
      <c r="O12" s="1371"/>
      <c r="P12" s="1371"/>
      <c r="Q12" s="1371"/>
      <c r="R12" s="1371"/>
      <c r="S12" s="1371"/>
      <c r="T12" s="1371"/>
      <c r="U12" s="1371"/>
      <c r="V12" s="1371"/>
      <c r="W12" s="1371"/>
      <c r="X12" s="1371"/>
      <c r="Y12" s="1371"/>
      <c r="Z12" s="1371"/>
      <c r="AA12" s="1371"/>
      <c r="AB12" s="1371"/>
      <c r="AC12" s="1371"/>
      <c r="AD12" s="1371"/>
      <c r="AE12" s="1371"/>
      <c r="AF12" s="1371"/>
      <c r="AG12" s="1371"/>
      <c r="AH12" s="1371"/>
      <c r="AI12" s="1371"/>
      <c r="AJ12" s="1371"/>
      <c r="AK12" s="1371"/>
      <c r="AL12" s="1371"/>
      <c r="AM12" s="1371"/>
      <c r="AN12" s="1371"/>
      <c r="AO12" s="1371"/>
      <c r="AP12" s="1371"/>
      <c r="AQ12" s="1371"/>
      <c r="AR12" s="1371"/>
      <c r="AS12" s="1371"/>
      <c r="AT12" s="1371"/>
      <c r="AU12" s="1371"/>
      <c r="AV12" s="1371"/>
      <c r="AW12" s="1371"/>
      <c r="AX12" s="1371"/>
      <c r="AY12" s="1371"/>
      <c r="AZ12" s="1371"/>
      <c r="BA12" s="1371"/>
      <c r="BB12" s="1371"/>
      <c r="BC12" s="1371"/>
      <c r="BD12" s="1371"/>
      <c r="BE12" s="1371"/>
      <c r="BF12" s="1371"/>
      <c r="BG12" s="1371"/>
      <c r="BH12" s="1371"/>
      <c r="BI12" s="1371"/>
      <c r="BJ12" s="1371"/>
      <c r="BK12" s="1371"/>
      <c r="BL12" s="1371"/>
      <c r="BM12" s="1371"/>
      <c r="BN12" s="1371"/>
      <c r="BO12" s="1371"/>
      <c r="BP12" s="1371"/>
      <c r="BQ12" s="1371"/>
      <c r="BR12" s="1371"/>
      <c r="BS12" s="1371"/>
      <c r="BT12" s="1371"/>
      <c r="BU12" s="1371"/>
      <c r="BV12" s="1371"/>
      <c r="BW12" s="1371"/>
      <c r="BX12" s="1371"/>
      <c r="BY12" s="1371"/>
      <c r="BZ12" s="1371"/>
      <c r="CA12" s="1371"/>
      <c r="CB12" s="1371"/>
      <c r="CC12" s="1371"/>
      <c r="CD12" s="1371"/>
      <c r="CE12" s="1371"/>
      <c r="CF12" s="1371"/>
      <c r="CG12" s="1371"/>
      <c r="CH12" s="1371"/>
      <c r="CI12" s="1371"/>
      <c r="CJ12" s="1371"/>
      <c r="CK12" s="1371"/>
      <c r="CL12" s="1371"/>
      <c r="CM12" s="1371"/>
      <c r="CN12" s="1371"/>
      <c r="CO12" s="1371"/>
      <c r="CP12" s="1371"/>
      <c r="CQ12" s="1371"/>
      <c r="CR12" s="1371"/>
      <c r="CS12" s="1371"/>
      <c r="CT12" s="1371"/>
      <c r="CU12" s="1371"/>
      <c r="CV12" s="1371"/>
      <c r="CW12" s="1371"/>
      <c r="CX12" s="1371"/>
      <c r="CY12" s="1371"/>
      <c r="CZ12" s="1371"/>
      <c r="DA12" s="1371"/>
      <c r="DB12" s="1371"/>
      <c r="DC12" s="1371"/>
      <c r="DD12" s="1371"/>
      <c r="DE12" s="1371"/>
      <c r="DF12" s="1371"/>
      <c r="DG12" s="1371"/>
      <c r="DH12" s="1371"/>
      <c r="DI12" s="1371"/>
      <c r="DJ12" s="1371"/>
      <c r="DK12" s="1371"/>
      <c r="DL12" s="1371"/>
      <c r="DM12" s="1371"/>
      <c r="DN12" s="1371"/>
      <c r="DO12" s="1371"/>
      <c r="DP12" s="1371"/>
      <c r="DQ12" s="1371"/>
      <c r="DR12" s="1371"/>
      <c r="DS12" s="1371"/>
      <c r="DT12" s="1371"/>
      <c r="DU12" s="1371"/>
      <c r="DV12" s="1371"/>
      <c r="DW12" s="1371"/>
      <c r="DX12" s="1371"/>
      <c r="DY12" s="1371"/>
      <c r="DZ12" s="1371"/>
      <c r="EA12" s="1371"/>
      <c r="EB12" s="1371"/>
      <c r="EC12" s="1371"/>
      <c r="ED12" s="1371"/>
      <c r="EE12" s="1371"/>
      <c r="EF12" s="1371"/>
      <c r="EG12" s="1371"/>
      <c r="EH12" s="1371"/>
      <c r="EI12" s="1371"/>
      <c r="EJ12" s="1371"/>
      <c r="EK12" s="1371"/>
      <c r="EL12" s="1371"/>
      <c r="EM12" s="1371"/>
      <c r="EN12" s="1371"/>
      <c r="EO12" s="1371"/>
      <c r="EP12" s="1371"/>
      <c r="EQ12" s="1371"/>
      <c r="ER12" s="1371"/>
      <c r="ES12" s="1371"/>
      <c r="ET12" s="1371"/>
      <c r="EU12" s="1371"/>
      <c r="EV12" s="1371"/>
      <c r="EW12" s="1371"/>
      <c r="EX12" s="1371"/>
      <c r="EY12" s="1371"/>
      <c r="EZ12" s="1371"/>
      <c r="FA12" s="1371"/>
      <c r="FB12" s="1371"/>
      <c r="FC12" s="1371"/>
      <c r="FD12" s="1371"/>
      <c r="FE12" s="1371"/>
      <c r="FF12" s="1371"/>
      <c r="FG12" s="1371"/>
      <c r="FH12" s="1371"/>
      <c r="FI12" s="1371"/>
      <c r="FJ12" s="1371"/>
      <c r="FK12" s="1371"/>
      <c r="FL12" s="1371"/>
      <c r="FM12" s="1371"/>
      <c r="FN12" s="1371"/>
      <c r="FO12" s="1371"/>
      <c r="FP12" s="1371"/>
      <c r="FQ12" s="1371"/>
      <c r="FR12" s="1371"/>
      <c r="FS12" s="1371"/>
      <c r="FT12" s="1371"/>
      <c r="FU12" s="1371"/>
      <c r="FV12" s="1371"/>
      <c r="FW12" s="1371"/>
      <c r="FX12" s="1371"/>
      <c r="FY12" s="1371"/>
      <c r="FZ12" s="1371"/>
      <c r="GA12" s="1371"/>
      <c r="GB12" s="1371"/>
      <c r="GC12" s="1371"/>
      <c r="GD12" s="1371"/>
      <c r="GE12" s="1371"/>
      <c r="GF12" s="1371"/>
      <c r="GG12" s="1371"/>
      <c r="GH12" s="1371"/>
      <c r="GI12" s="1371"/>
      <c r="GJ12" s="1371"/>
      <c r="GK12" s="1371"/>
      <c r="GL12" s="1371"/>
      <c r="GM12" s="1371"/>
      <c r="GN12" s="1371"/>
      <c r="GO12" s="1371"/>
      <c r="GP12" s="1371"/>
      <c r="GQ12" s="1371"/>
      <c r="GR12" s="1371"/>
      <c r="GS12" s="1371"/>
      <c r="GT12" s="1371"/>
      <c r="GU12" s="1371"/>
      <c r="GV12" s="1371"/>
      <c r="GW12" s="1371"/>
      <c r="GX12" s="1371"/>
      <c r="GY12" s="1371"/>
      <c r="GZ12" s="1371"/>
      <c r="HA12" s="1371"/>
      <c r="HB12" s="1371"/>
      <c r="HC12" s="1371"/>
      <c r="HD12" s="1371"/>
      <c r="HE12" s="1371"/>
      <c r="HF12" s="1371"/>
      <c r="HG12" s="1371"/>
      <c r="HH12" s="1371"/>
      <c r="HI12" s="1371"/>
      <c r="HJ12" s="1371"/>
      <c r="HK12" s="1371"/>
      <c r="HL12" s="1371"/>
      <c r="HM12" s="1371"/>
      <c r="HN12" s="1371"/>
      <c r="HO12" s="1371"/>
      <c r="HP12" s="1371"/>
      <c r="HQ12" s="1371"/>
      <c r="HR12" s="1371"/>
      <c r="HS12" s="1371"/>
      <c r="HT12" s="1371"/>
      <c r="HU12" s="1371"/>
      <c r="HV12" s="1371"/>
      <c r="HW12" s="1371"/>
      <c r="HX12" s="1371"/>
      <c r="HY12" s="1371"/>
      <c r="HZ12" s="1371"/>
      <c r="IA12" s="1371"/>
      <c r="IB12" s="1371"/>
      <c r="IC12" s="1371"/>
      <c r="ID12" s="1371"/>
      <c r="IE12" s="1371"/>
      <c r="IF12" s="1371"/>
      <c r="IG12" s="1371"/>
      <c r="IH12" s="1371"/>
      <c r="II12" s="1371"/>
      <c r="IJ12" s="1371"/>
      <c r="IK12" s="1371"/>
      <c r="IL12" s="1371"/>
      <c r="IM12" s="1371"/>
      <c r="IN12" s="1371"/>
      <c r="IO12" s="1371"/>
      <c r="IP12" s="1371"/>
      <c r="IQ12" s="1371"/>
      <c r="IR12" s="1371"/>
      <c r="IS12" s="1371"/>
      <c r="IT12" s="1371"/>
      <c r="IU12" s="1371"/>
      <c r="IV12" s="1371"/>
    </row>
    <row r="13" spans="1:256" ht="79.5" customHeight="1">
      <c r="A13" s="1388">
        <v>3.1</v>
      </c>
      <c r="B13" s="1384" t="s">
        <v>7107</v>
      </c>
      <c r="C13" s="1383">
        <v>1</v>
      </c>
      <c r="D13" s="1383">
        <v>1</v>
      </c>
      <c r="E13" s="1385">
        <v>52.92</v>
      </c>
      <c r="F13" s="1385">
        <v>0.38</v>
      </c>
      <c r="G13" s="1385">
        <v>0.1</v>
      </c>
      <c r="H13" s="1386">
        <f>PRODUCT(C13:G13)</f>
        <v>2.0099999999999998</v>
      </c>
      <c r="I13" s="1387" t="s">
        <v>7103</v>
      </c>
      <c r="J13" s="1390"/>
      <c r="K13" s="1371"/>
      <c r="L13" s="1371"/>
      <c r="M13" s="1371"/>
      <c r="N13" s="1371"/>
      <c r="O13" s="1371"/>
      <c r="P13" s="1371"/>
      <c r="Q13" s="1371"/>
      <c r="R13" s="1371"/>
      <c r="S13" s="1371"/>
      <c r="T13" s="1371"/>
      <c r="U13" s="1371"/>
      <c r="V13" s="1371"/>
      <c r="W13" s="1371"/>
      <c r="X13" s="1371"/>
      <c r="Y13" s="1371"/>
      <c r="Z13" s="1371"/>
      <c r="AA13" s="1371"/>
      <c r="AB13" s="1371"/>
      <c r="AC13" s="1371"/>
      <c r="AD13" s="1371"/>
      <c r="AE13" s="1371"/>
      <c r="AF13" s="1371"/>
      <c r="AG13" s="1371"/>
      <c r="AH13" s="1371"/>
      <c r="AI13" s="1371"/>
      <c r="AJ13" s="1371"/>
      <c r="AK13" s="1371"/>
      <c r="AL13" s="1371"/>
      <c r="AM13" s="1371"/>
      <c r="AN13" s="1371"/>
      <c r="AO13" s="1371"/>
      <c r="AP13" s="1371"/>
      <c r="AQ13" s="1371"/>
      <c r="AR13" s="1371"/>
      <c r="AS13" s="1371"/>
      <c r="AT13" s="1371"/>
      <c r="AU13" s="1371"/>
      <c r="AV13" s="1371"/>
      <c r="AW13" s="1371"/>
      <c r="AX13" s="1371"/>
      <c r="AY13" s="1371"/>
      <c r="AZ13" s="1371"/>
      <c r="BA13" s="1371"/>
      <c r="BB13" s="1371"/>
      <c r="BC13" s="1371"/>
      <c r="BD13" s="1371"/>
      <c r="BE13" s="1371"/>
      <c r="BF13" s="1371"/>
      <c r="BG13" s="1371"/>
      <c r="BH13" s="1371"/>
      <c r="BI13" s="1371"/>
      <c r="BJ13" s="1371"/>
      <c r="BK13" s="1371"/>
      <c r="BL13" s="1371"/>
      <c r="BM13" s="1371"/>
      <c r="BN13" s="1371"/>
      <c r="BO13" s="1371"/>
      <c r="BP13" s="1371"/>
      <c r="BQ13" s="1371"/>
      <c r="BR13" s="1371"/>
      <c r="BS13" s="1371"/>
      <c r="BT13" s="1371"/>
      <c r="BU13" s="1371"/>
      <c r="BV13" s="1371"/>
      <c r="BW13" s="1371"/>
      <c r="BX13" s="1371"/>
      <c r="BY13" s="1371"/>
      <c r="BZ13" s="1371"/>
      <c r="CA13" s="1371"/>
      <c r="CB13" s="1371"/>
      <c r="CC13" s="1371"/>
      <c r="CD13" s="1371"/>
      <c r="CE13" s="1371"/>
      <c r="CF13" s="1371"/>
      <c r="CG13" s="1371"/>
      <c r="CH13" s="1371"/>
      <c r="CI13" s="1371"/>
      <c r="CJ13" s="1371"/>
      <c r="CK13" s="1371"/>
      <c r="CL13" s="1371"/>
      <c r="CM13" s="1371"/>
      <c r="CN13" s="1371"/>
      <c r="CO13" s="1371"/>
      <c r="CP13" s="1371"/>
      <c r="CQ13" s="1371"/>
      <c r="CR13" s="1371"/>
      <c r="CS13" s="1371"/>
      <c r="CT13" s="1371"/>
      <c r="CU13" s="1371"/>
      <c r="CV13" s="1371"/>
      <c r="CW13" s="1371"/>
      <c r="CX13" s="1371"/>
      <c r="CY13" s="1371"/>
      <c r="CZ13" s="1371"/>
      <c r="DA13" s="1371"/>
      <c r="DB13" s="1371"/>
      <c r="DC13" s="1371"/>
      <c r="DD13" s="1371"/>
      <c r="DE13" s="1371"/>
      <c r="DF13" s="1371"/>
      <c r="DG13" s="1371"/>
      <c r="DH13" s="1371"/>
      <c r="DI13" s="1371"/>
      <c r="DJ13" s="1371"/>
      <c r="DK13" s="1371"/>
      <c r="DL13" s="1371"/>
      <c r="DM13" s="1371"/>
      <c r="DN13" s="1371"/>
      <c r="DO13" s="1371"/>
      <c r="DP13" s="1371"/>
      <c r="DQ13" s="1371"/>
      <c r="DR13" s="1371"/>
      <c r="DS13" s="1371"/>
      <c r="DT13" s="1371"/>
      <c r="DU13" s="1371"/>
      <c r="DV13" s="1371"/>
      <c r="DW13" s="1371"/>
      <c r="DX13" s="1371"/>
      <c r="DY13" s="1371"/>
      <c r="DZ13" s="1371"/>
      <c r="EA13" s="1371"/>
      <c r="EB13" s="1371"/>
      <c r="EC13" s="1371"/>
      <c r="ED13" s="1371"/>
      <c r="EE13" s="1371"/>
      <c r="EF13" s="1371"/>
      <c r="EG13" s="1371"/>
      <c r="EH13" s="1371"/>
      <c r="EI13" s="1371"/>
      <c r="EJ13" s="1371"/>
      <c r="EK13" s="1371"/>
      <c r="EL13" s="1371"/>
      <c r="EM13" s="1371"/>
      <c r="EN13" s="1371"/>
      <c r="EO13" s="1371"/>
      <c r="EP13" s="1371"/>
      <c r="EQ13" s="1371"/>
      <c r="ER13" s="1371"/>
      <c r="ES13" s="1371"/>
      <c r="ET13" s="1371"/>
      <c r="EU13" s="1371"/>
      <c r="EV13" s="1371"/>
      <c r="EW13" s="1371"/>
      <c r="EX13" s="1371"/>
      <c r="EY13" s="1371"/>
      <c r="EZ13" s="1371"/>
      <c r="FA13" s="1371"/>
      <c r="FB13" s="1371"/>
      <c r="FC13" s="1371"/>
      <c r="FD13" s="1371"/>
      <c r="FE13" s="1371"/>
      <c r="FF13" s="1371"/>
      <c r="FG13" s="1371"/>
      <c r="FH13" s="1371"/>
      <c r="FI13" s="1371"/>
      <c r="FJ13" s="1371"/>
      <c r="FK13" s="1371"/>
      <c r="FL13" s="1371"/>
      <c r="FM13" s="1371"/>
      <c r="FN13" s="1371"/>
      <c r="FO13" s="1371"/>
      <c r="FP13" s="1371"/>
      <c r="FQ13" s="1371"/>
      <c r="FR13" s="1371"/>
      <c r="FS13" s="1371"/>
      <c r="FT13" s="1371"/>
      <c r="FU13" s="1371"/>
      <c r="FV13" s="1371"/>
      <c r="FW13" s="1371"/>
      <c r="FX13" s="1371"/>
      <c r="FY13" s="1371"/>
      <c r="FZ13" s="1371"/>
      <c r="GA13" s="1371"/>
      <c r="GB13" s="1371"/>
      <c r="GC13" s="1371"/>
      <c r="GD13" s="1371"/>
      <c r="GE13" s="1371"/>
      <c r="GF13" s="1371"/>
      <c r="GG13" s="1371"/>
      <c r="GH13" s="1371"/>
      <c r="GI13" s="1371"/>
      <c r="GJ13" s="1371"/>
      <c r="GK13" s="1371"/>
      <c r="GL13" s="1371"/>
      <c r="GM13" s="1371"/>
      <c r="GN13" s="1371"/>
      <c r="GO13" s="1371"/>
      <c r="GP13" s="1371"/>
      <c r="GQ13" s="1371"/>
      <c r="GR13" s="1371"/>
      <c r="GS13" s="1371"/>
      <c r="GT13" s="1371"/>
      <c r="GU13" s="1371"/>
      <c r="GV13" s="1371"/>
      <c r="GW13" s="1371"/>
      <c r="GX13" s="1371"/>
      <c r="GY13" s="1371"/>
      <c r="GZ13" s="1371"/>
      <c r="HA13" s="1371"/>
      <c r="HB13" s="1371"/>
      <c r="HC13" s="1371"/>
      <c r="HD13" s="1371"/>
      <c r="HE13" s="1371"/>
      <c r="HF13" s="1371"/>
      <c r="HG13" s="1371"/>
      <c r="HH13" s="1371"/>
      <c r="HI13" s="1371"/>
      <c r="HJ13" s="1371"/>
      <c r="HK13" s="1371"/>
      <c r="HL13" s="1371"/>
      <c r="HM13" s="1371"/>
      <c r="HN13" s="1371"/>
      <c r="HO13" s="1371"/>
      <c r="HP13" s="1371"/>
      <c r="HQ13" s="1371"/>
      <c r="HR13" s="1371"/>
      <c r="HS13" s="1371"/>
      <c r="HT13" s="1371"/>
      <c r="HU13" s="1371"/>
      <c r="HV13" s="1371"/>
      <c r="HW13" s="1371"/>
      <c r="HX13" s="1371"/>
      <c r="HY13" s="1371"/>
      <c r="HZ13" s="1371"/>
      <c r="IA13" s="1371"/>
      <c r="IB13" s="1371"/>
      <c r="IC13" s="1371"/>
      <c r="ID13" s="1371"/>
      <c r="IE13" s="1371"/>
      <c r="IF13" s="1371"/>
      <c r="IG13" s="1371"/>
      <c r="IH13" s="1371"/>
      <c r="II13" s="1371"/>
      <c r="IJ13" s="1371"/>
      <c r="IK13" s="1371"/>
      <c r="IL13" s="1371"/>
      <c r="IM13" s="1371"/>
      <c r="IN13" s="1371"/>
      <c r="IO13" s="1371"/>
      <c r="IP13" s="1371"/>
      <c r="IQ13" s="1371"/>
      <c r="IR13" s="1371"/>
      <c r="IS13" s="1371"/>
      <c r="IT13" s="1371"/>
      <c r="IU13" s="1371"/>
      <c r="IV13" s="1371"/>
    </row>
    <row r="14" spans="1:256" ht="32.25" customHeight="1">
      <c r="A14" s="1388">
        <v>6.5</v>
      </c>
      <c r="B14" s="1391" t="s">
        <v>7108</v>
      </c>
      <c r="C14" s="1383"/>
      <c r="D14" s="1383"/>
      <c r="E14" s="1385"/>
      <c r="F14" s="1385"/>
      <c r="G14" s="1385"/>
      <c r="H14" s="1385"/>
      <c r="I14" s="1387"/>
      <c r="J14" s="1390"/>
      <c r="K14" s="1371"/>
      <c r="L14" s="1371"/>
      <c r="M14" s="1371"/>
      <c r="N14" s="1371"/>
      <c r="O14" s="1371"/>
      <c r="P14" s="1371"/>
      <c r="Q14" s="1371"/>
      <c r="R14" s="1371"/>
      <c r="S14" s="1371"/>
      <c r="T14" s="1371"/>
      <c r="U14" s="1371"/>
      <c r="V14" s="1371"/>
      <c r="W14" s="1371"/>
      <c r="X14" s="1371"/>
      <c r="Y14" s="1371"/>
      <c r="Z14" s="1371"/>
      <c r="AA14" s="1371"/>
      <c r="AB14" s="1371"/>
      <c r="AC14" s="1371"/>
      <c r="AD14" s="1371"/>
      <c r="AE14" s="1371"/>
      <c r="AF14" s="1371"/>
      <c r="AG14" s="1371"/>
      <c r="AH14" s="1371"/>
      <c r="AI14" s="1371"/>
      <c r="AJ14" s="1371"/>
      <c r="AK14" s="1371"/>
      <c r="AL14" s="1371"/>
      <c r="AM14" s="1371"/>
      <c r="AN14" s="1371"/>
      <c r="AO14" s="1371"/>
      <c r="AP14" s="1371"/>
      <c r="AQ14" s="1371"/>
      <c r="AR14" s="1371"/>
      <c r="AS14" s="1371"/>
      <c r="AT14" s="1371"/>
      <c r="AU14" s="1371"/>
      <c r="AV14" s="1371"/>
      <c r="AW14" s="1371"/>
      <c r="AX14" s="1371"/>
      <c r="AY14" s="1371"/>
      <c r="AZ14" s="1371"/>
      <c r="BA14" s="1371"/>
      <c r="BB14" s="1371"/>
      <c r="BC14" s="1371"/>
      <c r="BD14" s="1371"/>
      <c r="BE14" s="1371"/>
      <c r="BF14" s="1371"/>
      <c r="BG14" s="1371"/>
      <c r="BH14" s="1371"/>
      <c r="BI14" s="1371"/>
      <c r="BJ14" s="1371"/>
      <c r="BK14" s="1371"/>
      <c r="BL14" s="1371"/>
      <c r="BM14" s="1371"/>
      <c r="BN14" s="1371"/>
      <c r="BO14" s="1371"/>
      <c r="BP14" s="1371"/>
      <c r="BQ14" s="1371"/>
      <c r="BR14" s="1371"/>
      <c r="BS14" s="1371"/>
      <c r="BT14" s="1371"/>
      <c r="BU14" s="1371"/>
      <c r="BV14" s="1371"/>
      <c r="BW14" s="1371"/>
      <c r="BX14" s="1371"/>
      <c r="BY14" s="1371"/>
      <c r="BZ14" s="1371"/>
      <c r="CA14" s="1371"/>
      <c r="CB14" s="1371"/>
      <c r="CC14" s="1371"/>
      <c r="CD14" s="1371"/>
      <c r="CE14" s="1371"/>
      <c r="CF14" s="1371"/>
      <c r="CG14" s="1371"/>
      <c r="CH14" s="1371"/>
      <c r="CI14" s="1371"/>
      <c r="CJ14" s="1371"/>
      <c r="CK14" s="1371"/>
      <c r="CL14" s="1371"/>
      <c r="CM14" s="1371"/>
      <c r="CN14" s="1371"/>
      <c r="CO14" s="1371"/>
      <c r="CP14" s="1371"/>
      <c r="CQ14" s="1371"/>
      <c r="CR14" s="1371"/>
      <c r="CS14" s="1371"/>
      <c r="CT14" s="1371"/>
      <c r="CU14" s="1371"/>
      <c r="CV14" s="1371"/>
      <c r="CW14" s="1371"/>
      <c r="CX14" s="1371"/>
      <c r="CY14" s="1371"/>
      <c r="CZ14" s="1371"/>
      <c r="DA14" s="1371"/>
      <c r="DB14" s="1371"/>
      <c r="DC14" s="1371"/>
      <c r="DD14" s="1371"/>
      <c r="DE14" s="1371"/>
      <c r="DF14" s="1371"/>
      <c r="DG14" s="1371"/>
      <c r="DH14" s="1371"/>
      <c r="DI14" s="1371"/>
      <c r="DJ14" s="1371"/>
      <c r="DK14" s="1371"/>
      <c r="DL14" s="1371"/>
      <c r="DM14" s="1371"/>
      <c r="DN14" s="1371"/>
      <c r="DO14" s="1371"/>
      <c r="DP14" s="1371"/>
      <c r="DQ14" s="1371"/>
      <c r="DR14" s="1371"/>
      <c r="DS14" s="1371"/>
      <c r="DT14" s="1371"/>
      <c r="DU14" s="1371"/>
      <c r="DV14" s="1371"/>
      <c r="DW14" s="1371"/>
      <c r="DX14" s="1371"/>
      <c r="DY14" s="1371"/>
      <c r="DZ14" s="1371"/>
      <c r="EA14" s="1371"/>
      <c r="EB14" s="1371"/>
      <c r="EC14" s="1371"/>
      <c r="ED14" s="1371"/>
      <c r="EE14" s="1371"/>
      <c r="EF14" s="1371"/>
      <c r="EG14" s="1371"/>
      <c r="EH14" s="1371"/>
      <c r="EI14" s="1371"/>
      <c r="EJ14" s="1371"/>
      <c r="EK14" s="1371"/>
      <c r="EL14" s="1371"/>
      <c r="EM14" s="1371"/>
      <c r="EN14" s="1371"/>
      <c r="EO14" s="1371"/>
      <c r="EP14" s="1371"/>
      <c r="EQ14" s="1371"/>
      <c r="ER14" s="1371"/>
      <c r="ES14" s="1371"/>
      <c r="ET14" s="1371"/>
      <c r="EU14" s="1371"/>
      <c r="EV14" s="1371"/>
      <c r="EW14" s="1371"/>
      <c r="EX14" s="1371"/>
      <c r="EY14" s="1371"/>
      <c r="EZ14" s="1371"/>
      <c r="FA14" s="1371"/>
      <c r="FB14" s="1371"/>
      <c r="FC14" s="1371"/>
      <c r="FD14" s="1371"/>
      <c r="FE14" s="1371"/>
      <c r="FF14" s="1371"/>
      <c r="FG14" s="1371"/>
      <c r="FH14" s="1371"/>
      <c r="FI14" s="1371"/>
      <c r="FJ14" s="1371"/>
      <c r="FK14" s="1371"/>
      <c r="FL14" s="1371"/>
      <c r="FM14" s="1371"/>
      <c r="FN14" s="1371"/>
      <c r="FO14" s="1371"/>
      <c r="FP14" s="1371"/>
      <c r="FQ14" s="1371"/>
      <c r="FR14" s="1371"/>
      <c r="FS14" s="1371"/>
      <c r="FT14" s="1371"/>
      <c r="FU14" s="1371"/>
      <c r="FV14" s="1371"/>
      <c r="FW14" s="1371"/>
      <c r="FX14" s="1371"/>
      <c r="FY14" s="1371"/>
      <c r="FZ14" s="1371"/>
      <c r="GA14" s="1371"/>
      <c r="GB14" s="1371"/>
      <c r="GC14" s="1371"/>
      <c r="GD14" s="1371"/>
      <c r="GE14" s="1371"/>
      <c r="GF14" s="1371"/>
      <c r="GG14" s="1371"/>
      <c r="GH14" s="1371"/>
      <c r="GI14" s="1371"/>
      <c r="GJ14" s="1371"/>
      <c r="GK14" s="1371"/>
      <c r="GL14" s="1371"/>
      <c r="GM14" s="1371"/>
      <c r="GN14" s="1371"/>
      <c r="GO14" s="1371"/>
      <c r="GP14" s="1371"/>
      <c r="GQ14" s="1371"/>
      <c r="GR14" s="1371"/>
      <c r="GS14" s="1371"/>
      <c r="GT14" s="1371"/>
      <c r="GU14" s="1371"/>
      <c r="GV14" s="1371"/>
      <c r="GW14" s="1371"/>
      <c r="GX14" s="1371"/>
      <c r="GY14" s="1371"/>
      <c r="GZ14" s="1371"/>
      <c r="HA14" s="1371"/>
      <c r="HB14" s="1371"/>
      <c r="HC14" s="1371"/>
      <c r="HD14" s="1371"/>
      <c r="HE14" s="1371"/>
      <c r="HF14" s="1371"/>
      <c r="HG14" s="1371"/>
      <c r="HH14" s="1371"/>
      <c r="HI14" s="1371"/>
      <c r="HJ14" s="1371"/>
      <c r="HK14" s="1371"/>
      <c r="HL14" s="1371"/>
      <c r="HM14" s="1371"/>
      <c r="HN14" s="1371"/>
      <c r="HO14" s="1371"/>
      <c r="HP14" s="1371"/>
      <c r="HQ14" s="1371"/>
      <c r="HR14" s="1371"/>
      <c r="HS14" s="1371"/>
      <c r="HT14" s="1371"/>
      <c r="HU14" s="1371"/>
      <c r="HV14" s="1371"/>
      <c r="HW14" s="1371"/>
      <c r="HX14" s="1371"/>
      <c r="HY14" s="1371"/>
      <c r="HZ14" s="1371"/>
      <c r="IA14" s="1371"/>
      <c r="IB14" s="1371"/>
      <c r="IC14" s="1371"/>
      <c r="ID14" s="1371"/>
      <c r="IE14" s="1371"/>
      <c r="IF14" s="1371"/>
      <c r="IG14" s="1371"/>
      <c r="IH14" s="1371"/>
      <c r="II14" s="1371"/>
      <c r="IJ14" s="1371"/>
      <c r="IK14" s="1371"/>
      <c r="IL14" s="1371"/>
      <c r="IM14" s="1371"/>
      <c r="IN14" s="1371"/>
      <c r="IO14" s="1371"/>
      <c r="IP14" s="1371"/>
      <c r="IQ14" s="1371"/>
      <c r="IR14" s="1371"/>
      <c r="IS14" s="1371"/>
      <c r="IT14" s="1371"/>
      <c r="IU14" s="1371"/>
      <c r="IV14" s="1371"/>
    </row>
    <row r="15" spans="1:256" ht="24" customHeight="1">
      <c r="A15" s="1388"/>
      <c r="B15" s="1384" t="s">
        <v>7109</v>
      </c>
      <c r="C15" s="1383">
        <v>1</v>
      </c>
      <c r="D15" s="1383">
        <v>1</v>
      </c>
      <c r="E15" s="1385">
        <v>52.92</v>
      </c>
      <c r="F15" s="1385">
        <v>0.23</v>
      </c>
      <c r="G15" s="1385">
        <v>0.23</v>
      </c>
      <c r="H15" s="1385">
        <f>PRODUCT(C15:G15)</f>
        <v>2.8</v>
      </c>
      <c r="I15" s="1387"/>
      <c r="J15" s="1390"/>
      <c r="K15" s="1371"/>
      <c r="L15" s="1371"/>
      <c r="M15" s="1371"/>
      <c r="N15" s="1371"/>
      <c r="O15" s="1371"/>
      <c r="P15" s="1371"/>
      <c r="Q15" s="1371"/>
      <c r="R15" s="1371"/>
      <c r="S15" s="1371"/>
      <c r="T15" s="1371"/>
      <c r="U15" s="1371"/>
      <c r="V15" s="1371"/>
      <c r="W15" s="1371"/>
      <c r="X15" s="1371"/>
      <c r="Y15" s="1371"/>
      <c r="Z15" s="1371"/>
      <c r="AA15" s="1371"/>
      <c r="AB15" s="1371"/>
      <c r="AC15" s="1371"/>
      <c r="AD15" s="1371"/>
      <c r="AE15" s="1371"/>
      <c r="AF15" s="1371"/>
      <c r="AG15" s="1371"/>
      <c r="AH15" s="1371"/>
      <c r="AI15" s="1371"/>
      <c r="AJ15" s="1371"/>
      <c r="AK15" s="1371"/>
      <c r="AL15" s="1371"/>
      <c r="AM15" s="1371"/>
      <c r="AN15" s="1371"/>
      <c r="AO15" s="1371"/>
      <c r="AP15" s="1371"/>
      <c r="AQ15" s="1371"/>
      <c r="AR15" s="1371"/>
      <c r="AS15" s="1371"/>
      <c r="AT15" s="1371"/>
      <c r="AU15" s="1371"/>
      <c r="AV15" s="1371"/>
      <c r="AW15" s="1371"/>
      <c r="AX15" s="1371"/>
      <c r="AY15" s="1371"/>
      <c r="AZ15" s="1371"/>
      <c r="BA15" s="1371"/>
      <c r="BB15" s="1371"/>
      <c r="BC15" s="1371"/>
      <c r="BD15" s="1371"/>
      <c r="BE15" s="1371"/>
      <c r="BF15" s="1371"/>
      <c r="BG15" s="1371"/>
      <c r="BH15" s="1371"/>
      <c r="BI15" s="1371"/>
      <c r="BJ15" s="1371"/>
      <c r="BK15" s="1371"/>
      <c r="BL15" s="1371"/>
      <c r="BM15" s="1371"/>
      <c r="BN15" s="1371"/>
      <c r="BO15" s="1371"/>
      <c r="BP15" s="1371"/>
      <c r="BQ15" s="1371"/>
      <c r="BR15" s="1371"/>
      <c r="BS15" s="1371"/>
      <c r="BT15" s="1371"/>
      <c r="BU15" s="1371"/>
      <c r="BV15" s="1371"/>
      <c r="BW15" s="1371"/>
      <c r="BX15" s="1371"/>
      <c r="BY15" s="1371"/>
      <c r="BZ15" s="1371"/>
      <c r="CA15" s="1371"/>
      <c r="CB15" s="1371"/>
      <c r="CC15" s="1371"/>
      <c r="CD15" s="1371"/>
      <c r="CE15" s="1371"/>
      <c r="CF15" s="1371"/>
      <c r="CG15" s="1371"/>
      <c r="CH15" s="1371"/>
      <c r="CI15" s="1371"/>
      <c r="CJ15" s="1371"/>
      <c r="CK15" s="1371"/>
      <c r="CL15" s="1371"/>
      <c r="CM15" s="1371"/>
      <c r="CN15" s="1371"/>
      <c r="CO15" s="1371"/>
      <c r="CP15" s="1371"/>
      <c r="CQ15" s="1371"/>
      <c r="CR15" s="1371"/>
      <c r="CS15" s="1371"/>
      <c r="CT15" s="1371"/>
      <c r="CU15" s="1371"/>
      <c r="CV15" s="1371"/>
      <c r="CW15" s="1371"/>
      <c r="CX15" s="1371"/>
      <c r="CY15" s="1371"/>
      <c r="CZ15" s="1371"/>
      <c r="DA15" s="1371"/>
      <c r="DB15" s="1371"/>
      <c r="DC15" s="1371"/>
      <c r="DD15" s="1371"/>
      <c r="DE15" s="1371"/>
      <c r="DF15" s="1371"/>
      <c r="DG15" s="1371"/>
      <c r="DH15" s="1371"/>
      <c r="DI15" s="1371"/>
      <c r="DJ15" s="1371"/>
      <c r="DK15" s="1371"/>
      <c r="DL15" s="1371"/>
      <c r="DM15" s="1371"/>
      <c r="DN15" s="1371"/>
      <c r="DO15" s="1371"/>
      <c r="DP15" s="1371"/>
      <c r="DQ15" s="1371"/>
      <c r="DR15" s="1371"/>
      <c r="DS15" s="1371"/>
      <c r="DT15" s="1371"/>
      <c r="DU15" s="1371"/>
      <c r="DV15" s="1371"/>
      <c r="DW15" s="1371"/>
      <c r="DX15" s="1371"/>
      <c r="DY15" s="1371"/>
      <c r="DZ15" s="1371"/>
      <c r="EA15" s="1371"/>
      <c r="EB15" s="1371"/>
      <c r="EC15" s="1371"/>
      <c r="ED15" s="1371"/>
      <c r="EE15" s="1371"/>
      <c r="EF15" s="1371"/>
      <c r="EG15" s="1371"/>
      <c r="EH15" s="1371"/>
      <c r="EI15" s="1371"/>
      <c r="EJ15" s="1371"/>
      <c r="EK15" s="1371"/>
      <c r="EL15" s="1371"/>
      <c r="EM15" s="1371"/>
      <c r="EN15" s="1371"/>
      <c r="EO15" s="1371"/>
      <c r="EP15" s="1371"/>
      <c r="EQ15" s="1371"/>
      <c r="ER15" s="1371"/>
      <c r="ES15" s="1371"/>
      <c r="ET15" s="1371"/>
      <c r="EU15" s="1371"/>
      <c r="EV15" s="1371"/>
      <c r="EW15" s="1371"/>
      <c r="EX15" s="1371"/>
      <c r="EY15" s="1371"/>
      <c r="EZ15" s="1371"/>
      <c r="FA15" s="1371"/>
      <c r="FB15" s="1371"/>
      <c r="FC15" s="1371"/>
      <c r="FD15" s="1371"/>
      <c r="FE15" s="1371"/>
      <c r="FF15" s="1371"/>
      <c r="FG15" s="1371"/>
      <c r="FH15" s="1371"/>
      <c r="FI15" s="1371"/>
      <c r="FJ15" s="1371"/>
      <c r="FK15" s="1371"/>
      <c r="FL15" s="1371"/>
      <c r="FM15" s="1371"/>
      <c r="FN15" s="1371"/>
      <c r="FO15" s="1371"/>
      <c r="FP15" s="1371"/>
      <c r="FQ15" s="1371"/>
      <c r="FR15" s="1371"/>
      <c r="FS15" s="1371"/>
      <c r="FT15" s="1371"/>
      <c r="FU15" s="1371"/>
      <c r="FV15" s="1371"/>
      <c r="FW15" s="1371"/>
      <c r="FX15" s="1371"/>
      <c r="FY15" s="1371"/>
      <c r="FZ15" s="1371"/>
      <c r="GA15" s="1371"/>
      <c r="GB15" s="1371"/>
      <c r="GC15" s="1371"/>
      <c r="GD15" s="1371"/>
      <c r="GE15" s="1371"/>
      <c r="GF15" s="1371"/>
      <c r="GG15" s="1371"/>
      <c r="GH15" s="1371"/>
      <c r="GI15" s="1371"/>
      <c r="GJ15" s="1371"/>
      <c r="GK15" s="1371"/>
      <c r="GL15" s="1371"/>
      <c r="GM15" s="1371"/>
      <c r="GN15" s="1371"/>
      <c r="GO15" s="1371"/>
      <c r="GP15" s="1371"/>
      <c r="GQ15" s="1371"/>
      <c r="GR15" s="1371"/>
      <c r="GS15" s="1371"/>
      <c r="GT15" s="1371"/>
      <c r="GU15" s="1371"/>
      <c r="GV15" s="1371"/>
      <c r="GW15" s="1371"/>
      <c r="GX15" s="1371"/>
      <c r="GY15" s="1371"/>
      <c r="GZ15" s="1371"/>
      <c r="HA15" s="1371"/>
      <c r="HB15" s="1371"/>
      <c r="HC15" s="1371"/>
      <c r="HD15" s="1371"/>
      <c r="HE15" s="1371"/>
      <c r="HF15" s="1371"/>
      <c r="HG15" s="1371"/>
      <c r="HH15" s="1371"/>
      <c r="HI15" s="1371"/>
      <c r="HJ15" s="1371"/>
      <c r="HK15" s="1371"/>
      <c r="HL15" s="1371"/>
      <c r="HM15" s="1371"/>
      <c r="HN15" s="1371"/>
      <c r="HO15" s="1371"/>
      <c r="HP15" s="1371"/>
      <c r="HQ15" s="1371"/>
      <c r="HR15" s="1371"/>
      <c r="HS15" s="1371"/>
      <c r="HT15" s="1371"/>
      <c r="HU15" s="1371"/>
      <c r="HV15" s="1371"/>
      <c r="HW15" s="1371"/>
      <c r="HX15" s="1371"/>
      <c r="HY15" s="1371"/>
      <c r="HZ15" s="1371"/>
      <c r="IA15" s="1371"/>
      <c r="IB15" s="1371"/>
      <c r="IC15" s="1371"/>
      <c r="ID15" s="1371"/>
      <c r="IE15" s="1371"/>
      <c r="IF15" s="1371"/>
      <c r="IG15" s="1371"/>
      <c r="IH15" s="1371"/>
      <c r="II15" s="1371"/>
      <c r="IJ15" s="1371"/>
      <c r="IK15" s="1371"/>
      <c r="IL15" s="1371"/>
      <c r="IM15" s="1371"/>
      <c r="IN15" s="1371"/>
      <c r="IO15" s="1371"/>
      <c r="IP15" s="1371"/>
      <c r="IQ15" s="1371"/>
      <c r="IR15" s="1371"/>
      <c r="IS15" s="1371"/>
      <c r="IT15" s="1371"/>
      <c r="IU15" s="1371"/>
      <c r="IV15" s="1371"/>
    </row>
    <row r="16" spans="1:256" ht="24" customHeight="1">
      <c r="A16" s="1388"/>
      <c r="B16" s="1384" t="s">
        <v>7110</v>
      </c>
      <c r="C16" s="1383">
        <v>1</v>
      </c>
      <c r="D16" s="1383">
        <v>15</v>
      </c>
      <c r="E16" s="1385">
        <v>0.23</v>
      </c>
      <c r="F16" s="1385">
        <v>0.23</v>
      </c>
      <c r="G16" s="1385">
        <v>0.6</v>
      </c>
      <c r="H16" s="1385">
        <f>PRODUCT(C16:G16)</f>
        <v>0.48</v>
      </c>
      <c r="I16" s="1387"/>
      <c r="J16" s="1390"/>
      <c r="K16" s="1371"/>
      <c r="L16" s="1371"/>
      <c r="M16" s="1371"/>
      <c r="N16" s="1371"/>
      <c r="O16" s="1371"/>
      <c r="P16" s="1371"/>
      <c r="Q16" s="1371"/>
      <c r="R16" s="1371"/>
      <c r="S16" s="1371"/>
      <c r="T16" s="1371"/>
      <c r="U16" s="1371"/>
      <c r="V16" s="1371"/>
      <c r="W16" s="1371"/>
      <c r="X16" s="1371"/>
      <c r="Y16" s="1371"/>
      <c r="Z16" s="1371"/>
      <c r="AA16" s="1371"/>
      <c r="AB16" s="1371"/>
      <c r="AC16" s="1371"/>
      <c r="AD16" s="1371"/>
      <c r="AE16" s="1371"/>
      <c r="AF16" s="1371"/>
      <c r="AG16" s="1371"/>
      <c r="AH16" s="1371"/>
      <c r="AI16" s="1371"/>
      <c r="AJ16" s="1371"/>
      <c r="AK16" s="1371"/>
      <c r="AL16" s="1371"/>
      <c r="AM16" s="1371"/>
      <c r="AN16" s="1371"/>
      <c r="AO16" s="1371"/>
      <c r="AP16" s="1371"/>
      <c r="AQ16" s="1371"/>
      <c r="AR16" s="1371"/>
      <c r="AS16" s="1371"/>
      <c r="AT16" s="1371"/>
      <c r="AU16" s="1371"/>
      <c r="AV16" s="1371"/>
      <c r="AW16" s="1371"/>
      <c r="AX16" s="1371"/>
      <c r="AY16" s="1371"/>
      <c r="AZ16" s="1371"/>
      <c r="BA16" s="1371"/>
      <c r="BB16" s="1371"/>
      <c r="BC16" s="1371"/>
      <c r="BD16" s="1371"/>
      <c r="BE16" s="1371"/>
      <c r="BF16" s="1371"/>
      <c r="BG16" s="1371"/>
      <c r="BH16" s="1371"/>
      <c r="BI16" s="1371"/>
      <c r="BJ16" s="1371"/>
      <c r="BK16" s="1371"/>
      <c r="BL16" s="1371"/>
      <c r="BM16" s="1371"/>
      <c r="BN16" s="1371"/>
      <c r="BO16" s="1371"/>
      <c r="BP16" s="1371"/>
      <c r="BQ16" s="1371"/>
      <c r="BR16" s="1371"/>
      <c r="BS16" s="1371"/>
      <c r="BT16" s="1371"/>
      <c r="BU16" s="1371"/>
      <c r="BV16" s="1371"/>
      <c r="BW16" s="1371"/>
      <c r="BX16" s="1371"/>
      <c r="BY16" s="1371"/>
      <c r="BZ16" s="1371"/>
      <c r="CA16" s="1371"/>
      <c r="CB16" s="1371"/>
      <c r="CC16" s="1371"/>
      <c r="CD16" s="1371"/>
      <c r="CE16" s="1371"/>
      <c r="CF16" s="1371"/>
      <c r="CG16" s="1371"/>
      <c r="CH16" s="1371"/>
      <c r="CI16" s="1371"/>
      <c r="CJ16" s="1371"/>
      <c r="CK16" s="1371"/>
      <c r="CL16" s="1371"/>
      <c r="CM16" s="1371"/>
      <c r="CN16" s="1371"/>
      <c r="CO16" s="1371"/>
      <c r="CP16" s="1371"/>
      <c r="CQ16" s="1371"/>
      <c r="CR16" s="1371"/>
      <c r="CS16" s="1371"/>
      <c r="CT16" s="1371"/>
      <c r="CU16" s="1371"/>
      <c r="CV16" s="1371"/>
      <c r="CW16" s="1371"/>
      <c r="CX16" s="1371"/>
      <c r="CY16" s="1371"/>
      <c r="CZ16" s="1371"/>
      <c r="DA16" s="1371"/>
      <c r="DB16" s="1371"/>
      <c r="DC16" s="1371"/>
      <c r="DD16" s="1371"/>
      <c r="DE16" s="1371"/>
      <c r="DF16" s="1371"/>
      <c r="DG16" s="1371"/>
      <c r="DH16" s="1371"/>
      <c r="DI16" s="1371"/>
      <c r="DJ16" s="1371"/>
      <c r="DK16" s="1371"/>
      <c r="DL16" s="1371"/>
      <c r="DM16" s="1371"/>
      <c r="DN16" s="1371"/>
      <c r="DO16" s="1371"/>
      <c r="DP16" s="1371"/>
      <c r="DQ16" s="1371"/>
      <c r="DR16" s="1371"/>
      <c r="DS16" s="1371"/>
      <c r="DT16" s="1371"/>
      <c r="DU16" s="1371"/>
      <c r="DV16" s="1371"/>
      <c r="DW16" s="1371"/>
      <c r="DX16" s="1371"/>
      <c r="DY16" s="1371"/>
      <c r="DZ16" s="1371"/>
      <c r="EA16" s="1371"/>
      <c r="EB16" s="1371"/>
      <c r="EC16" s="1371"/>
      <c r="ED16" s="1371"/>
      <c r="EE16" s="1371"/>
      <c r="EF16" s="1371"/>
      <c r="EG16" s="1371"/>
      <c r="EH16" s="1371"/>
      <c r="EI16" s="1371"/>
      <c r="EJ16" s="1371"/>
      <c r="EK16" s="1371"/>
      <c r="EL16" s="1371"/>
      <c r="EM16" s="1371"/>
      <c r="EN16" s="1371"/>
      <c r="EO16" s="1371"/>
      <c r="EP16" s="1371"/>
      <c r="EQ16" s="1371"/>
      <c r="ER16" s="1371"/>
      <c r="ES16" s="1371"/>
      <c r="ET16" s="1371"/>
      <c r="EU16" s="1371"/>
      <c r="EV16" s="1371"/>
      <c r="EW16" s="1371"/>
      <c r="EX16" s="1371"/>
      <c r="EY16" s="1371"/>
      <c r="EZ16" s="1371"/>
      <c r="FA16" s="1371"/>
      <c r="FB16" s="1371"/>
      <c r="FC16" s="1371"/>
      <c r="FD16" s="1371"/>
      <c r="FE16" s="1371"/>
      <c r="FF16" s="1371"/>
      <c r="FG16" s="1371"/>
      <c r="FH16" s="1371"/>
      <c r="FI16" s="1371"/>
      <c r="FJ16" s="1371"/>
      <c r="FK16" s="1371"/>
      <c r="FL16" s="1371"/>
      <c r="FM16" s="1371"/>
      <c r="FN16" s="1371"/>
      <c r="FO16" s="1371"/>
      <c r="FP16" s="1371"/>
      <c r="FQ16" s="1371"/>
      <c r="FR16" s="1371"/>
      <c r="FS16" s="1371"/>
      <c r="FT16" s="1371"/>
      <c r="FU16" s="1371"/>
      <c r="FV16" s="1371"/>
      <c r="FW16" s="1371"/>
      <c r="FX16" s="1371"/>
      <c r="FY16" s="1371"/>
      <c r="FZ16" s="1371"/>
      <c r="GA16" s="1371"/>
      <c r="GB16" s="1371"/>
      <c r="GC16" s="1371"/>
      <c r="GD16" s="1371"/>
      <c r="GE16" s="1371"/>
      <c r="GF16" s="1371"/>
      <c r="GG16" s="1371"/>
      <c r="GH16" s="1371"/>
      <c r="GI16" s="1371"/>
      <c r="GJ16" s="1371"/>
      <c r="GK16" s="1371"/>
      <c r="GL16" s="1371"/>
      <c r="GM16" s="1371"/>
      <c r="GN16" s="1371"/>
      <c r="GO16" s="1371"/>
      <c r="GP16" s="1371"/>
      <c r="GQ16" s="1371"/>
      <c r="GR16" s="1371"/>
      <c r="GS16" s="1371"/>
      <c r="GT16" s="1371"/>
      <c r="GU16" s="1371"/>
      <c r="GV16" s="1371"/>
      <c r="GW16" s="1371"/>
      <c r="GX16" s="1371"/>
      <c r="GY16" s="1371"/>
      <c r="GZ16" s="1371"/>
      <c r="HA16" s="1371"/>
      <c r="HB16" s="1371"/>
      <c r="HC16" s="1371"/>
      <c r="HD16" s="1371"/>
      <c r="HE16" s="1371"/>
      <c r="HF16" s="1371"/>
      <c r="HG16" s="1371"/>
      <c r="HH16" s="1371"/>
      <c r="HI16" s="1371"/>
      <c r="HJ16" s="1371"/>
      <c r="HK16" s="1371"/>
      <c r="HL16" s="1371"/>
      <c r="HM16" s="1371"/>
      <c r="HN16" s="1371"/>
      <c r="HO16" s="1371"/>
      <c r="HP16" s="1371"/>
      <c r="HQ16" s="1371"/>
      <c r="HR16" s="1371"/>
      <c r="HS16" s="1371"/>
      <c r="HT16" s="1371"/>
      <c r="HU16" s="1371"/>
      <c r="HV16" s="1371"/>
      <c r="HW16" s="1371"/>
      <c r="HX16" s="1371"/>
      <c r="HY16" s="1371"/>
      <c r="HZ16" s="1371"/>
      <c r="IA16" s="1371"/>
      <c r="IB16" s="1371"/>
      <c r="IC16" s="1371"/>
      <c r="ID16" s="1371"/>
      <c r="IE16" s="1371"/>
      <c r="IF16" s="1371"/>
      <c r="IG16" s="1371"/>
      <c r="IH16" s="1371"/>
      <c r="II16" s="1371"/>
      <c r="IJ16" s="1371"/>
      <c r="IK16" s="1371"/>
      <c r="IL16" s="1371"/>
      <c r="IM16" s="1371"/>
      <c r="IN16" s="1371"/>
      <c r="IO16" s="1371"/>
      <c r="IP16" s="1371"/>
      <c r="IQ16" s="1371"/>
      <c r="IR16" s="1371"/>
      <c r="IS16" s="1371"/>
      <c r="IT16" s="1371"/>
      <c r="IU16" s="1371"/>
      <c r="IV16" s="1371"/>
    </row>
    <row r="17" spans="1:256" ht="24" customHeight="1">
      <c r="A17" s="1388"/>
      <c r="B17" s="1384"/>
      <c r="C17" s="1383"/>
      <c r="D17" s="1383"/>
      <c r="E17" s="1385"/>
      <c r="F17" s="1385"/>
      <c r="G17" s="1386" t="s">
        <v>2235</v>
      </c>
      <c r="H17" s="1386">
        <f>SUM(H15:H16)</f>
        <v>3.28</v>
      </c>
      <c r="I17" s="1387" t="s">
        <v>7103</v>
      </c>
      <c r="J17" s="1390"/>
      <c r="K17" s="1371"/>
      <c r="L17" s="1371"/>
      <c r="M17" s="1371"/>
      <c r="N17" s="1371"/>
      <c r="O17" s="1371"/>
      <c r="P17" s="1371"/>
      <c r="Q17" s="1371"/>
      <c r="R17" s="1371"/>
      <c r="S17" s="1371"/>
      <c r="T17" s="1371"/>
      <c r="U17" s="1371"/>
      <c r="V17" s="1371"/>
      <c r="W17" s="1371"/>
      <c r="X17" s="1371"/>
      <c r="Y17" s="1371"/>
      <c r="Z17" s="1371"/>
      <c r="AA17" s="1371"/>
      <c r="AB17" s="1371"/>
      <c r="AC17" s="1371"/>
      <c r="AD17" s="1371"/>
      <c r="AE17" s="1371"/>
      <c r="AF17" s="1371"/>
      <c r="AG17" s="1371"/>
      <c r="AH17" s="1371"/>
      <c r="AI17" s="1371"/>
      <c r="AJ17" s="1371"/>
      <c r="AK17" s="1371"/>
      <c r="AL17" s="1371"/>
      <c r="AM17" s="1371"/>
      <c r="AN17" s="1371"/>
      <c r="AO17" s="1371"/>
      <c r="AP17" s="1371"/>
      <c r="AQ17" s="1371"/>
      <c r="AR17" s="1371"/>
      <c r="AS17" s="1371"/>
      <c r="AT17" s="1371"/>
      <c r="AU17" s="1371"/>
      <c r="AV17" s="1371"/>
      <c r="AW17" s="1371"/>
      <c r="AX17" s="1371"/>
      <c r="AY17" s="1371"/>
      <c r="AZ17" s="1371"/>
      <c r="BA17" s="1371"/>
      <c r="BB17" s="1371"/>
      <c r="BC17" s="1371"/>
      <c r="BD17" s="1371"/>
      <c r="BE17" s="1371"/>
      <c r="BF17" s="1371"/>
      <c r="BG17" s="1371"/>
      <c r="BH17" s="1371"/>
      <c r="BI17" s="1371"/>
      <c r="BJ17" s="1371"/>
      <c r="BK17" s="1371"/>
      <c r="BL17" s="1371"/>
      <c r="BM17" s="1371"/>
      <c r="BN17" s="1371"/>
      <c r="BO17" s="1371"/>
      <c r="BP17" s="1371"/>
      <c r="BQ17" s="1371"/>
      <c r="BR17" s="1371"/>
      <c r="BS17" s="1371"/>
      <c r="BT17" s="1371"/>
      <c r="BU17" s="1371"/>
      <c r="BV17" s="1371"/>
      <c r="BW17" s="1371"/>
      <c r="BX17" s="1371"/>
      <c r="BY17" s="1371"/>
      <c r="BZ17" s="1371"/>
      <c r="CA17" s="1371"/>
      <c r="CB17" s="1371"/>
      <c r="CC17" s="1371"/>
      <c r="CD17" s="1371"/>
      <c r="CE17" s="1371"/>
      <c r="CF17" s="1371"/>
      <c r="CG17" s="1371"/>
      <c r="CH17" s="1371"/>
      <c r="CI17" s="1371"/>
      <c r="CJ17" s="1371"/>
      <c r="CK17" s="1371"/>
      <c r="CL17" s="1371"/>
      <c r="CM17" s="1371"/>
      <c r="CN17" s="1371"/>
      <c r="CO17" s="1371"/>
      <c r="CP17" s="1371"/>
      <c r="CQ17" s="1371"/>
      <c r="CR17" s="1371"/>
      <c r="CS17" s="1371"/>
      <c r="CT17" s="1371"/>
      <c r="CU17" s="1371"/>
      <c r="CV17" s="1371"/>
      <c r="CW17" s="1371"/>
      <c r="CX17" s="1371"/>
      <c r="CY17" s="1371"/>
      <c r="CZ17" s="1371"/>
      <c r="DA17" s="1371"/>
      <c r="DB17" s="1371"/>
      <c r="DC17" s="1371"/>
      <c r="DD17" s="1371"/>
      <c r="DE17" s="1371"/>
      <c r="DF17" s="1371"/>
      <c r="DG17" s="1371"/>
      <c r="DH17" s="1371"/>
      <c r="DI17" s="1371"/>
      <c r="DJ17" s="1371"/>
      <c r="DK17" s="1371"/>
      <c r="DL17" s="1371"/>
      <c r="DM17" s="1371"/>
      <c r="DN17" s="1371"/>
      <c r="DO17" s="1371"/>
      <c r="DP17" s="1371"/>
      <c r="DQ17" s="1371"/>
      <c r="DR17" s="1371"/>
      <c r="DS17" s="1371"/>
      <c r="DT17" s="1371"/>
      <c r="DU17" s="1371"/>
      <c r="DV17" s="1371"/>
      <c r="DW17" s="1371"/>
      <c r="DX17" s="1371"/>
      <c r="DY17" s="1371"/>
      <c r="DZ17" s="1371"/>
      <c r="EA17" s="1371"/>
      <c r="EB17" s="1371"/>
      <c r="EC17" s="1371"/>
      <c r="ED17" s="1371"/>
      <c r="EE17" s="1371"/>
      <c r="EF17" s="1371"/>
      <c r="EG17" s="1371"/>
      <c r="EH17" s="1371"/>
      <c r="EI17" s="1371"/>
      <c r="EJ17" s="1371"/>
      <c r="EK17" s="1371"/>
      <c r="EL17" s="1371"/>
      <c r="EM17" s="1371"/>
      <c r="EN17" s="1371"/>
      <c r="EO17" s="1371"/>
      <c r="EP17" s="1371"/>
      <c r="EQ17" s="1371"/>
      <c r="ER17" s="1371"/>
      <c r="ES17" s="1371"/>
      <c r="ET17" s="1371"/>
      <c r="EU17" s="1371"/>
      <c r="EV17" s="1371"/>
      <c r="EW17" s="1371"/>
      <c r="EX17" s="1371"/>
      <c r="EY17" s="1371"/>
      <c r="EZ17" s="1371"/>
      <c r="FA17" s="1371"/>
      <c r="FB17" s="1371"/>
      <c r="FC17" s="1371"/>
      <c r="FD17" s="1371"/>
      <c r="FE17" s="1371"/>
      <c r="FF17" s="1371"/>
      <c r="FG17" s="1371"/>
      <c r="FH17" s="1371"/>
      <c r="FI17" s="1371"/>
      <c r="FJ17" s="1371"/>
      <c r="FK17" s="1371"/>
      <c r="FL17" s="1371"/>
      <c r="FM17" s="1371"/>
      <c r="FN17" s="1371"/>
      <c r="FO17" s="1371"/>
      <c r="FP17" s="1371"/>
      <c r="FQ17" s="1371"/>
      <c r="FR17" s="1371"/>
      <c r="FS17" s="1371"/>
      <c r="FT17" s="1371"/>
      <c r="FU17" s="1371"/>
      <c r="FV17" s="1371"/>
      <c r="FW17" s="1371"/>
      <c r="FX17" s="1371"/>
      <c r="FY17" s="1371"/>
      <c r="FZ17" s="1371"/>
      <c r="GA17" s="1371"/>
      <c r="GB17" s="1371"/>
      <c r="GC17" s="1371"/>
      <c r="GD17" s="1371"/>
      <c r="GE17" s="1371"/>
      <c r="GF17" s="1371"/>
      <c r="GG17" s="1371"/>
      <c r="GH17" s="1371"/>
      <c r="GI17" s="1371"/>
      <c r="GJ17" s="1371"/>
      <c r="GK17" s="1371"/>
      <c r="GL17" s="1371"/>
      <c r="GM17" s="1371"/>
      <c r="GN17" s="1371"/>
      <c r="GO17" s="1371"/>
      <c r="GP17" s="1371"/>
      <c r="GQ17" s="1371"/>
      <c r="GR17" s="1371"/>
      <c r="GS17" s="1371"/>
      <c r="GT17" s="1371"/>
      <c r="GU17" s="1371"/>
      <c r="GV17" s="1371"/>
      <c r="GW17" s="1371"/>
      <c r="GX17" s="1371"/>
      <c r="GY17" s="1371"/>
      <c r="GZ17" s="1371"/>
      <c r="HA17" s="1371"/>
      <c r="HB17" s="1371"/>
      <c r="HC17" s="1371"/>
      <c r="HD17" s="1371"/>
      <c r="HE17" s="1371"/>
      <c r="HF17" s="1371"/>
      <c r="HG17" s="1371"/>
      <c r="HH17" s="1371"/>
      <c r="HI17" s="1371"/>
      <c r="HJ17" s="1371"/>
      <c r="HK17" s="1371"/>
      <c r="HL17" s="1371"/>
      <c r="HM17" s="1371"/>
      <c r="HN17" s="1371"/>
      <c r="HO17" s="1371"/>
      <c r="HP17" s="1371"/>
      <c r="HQ17" s="1371"/>
      <c r="HR17" s="1371"/>
      <c r="HS17" s="1371"/>
      <c r="HT17" s="1371"/>
      <c r="HU17" s="1371"/>
      <c r="HV17" s="1371"/>
      <c r="HW17" s="1371"/>
      <c r="HX17" s="1371"/>
      <c r="HY17" s="1371"/>
      <c r="HZ17" s="1371"/>
      <c r="IA17" s="1371"/>
      <c r="IB17" s="1371"/>
      <c r="IC17" s="1371"/>
      <c r="ID17" s="1371"/>
      <c r="IE17" s="1371"/>
      <c r="IF17" s="1371"/>
      <c r="IG17" s="1371"/>
      <c r="IH17" s="1371"/>
      <c r="II17" s="1371"/>
      <c r="IJ17" s="1371"/>
      <c r="IK17" s="1371"/>
      <c r="IL17" s="1371"/>
      <c r="IM17" s="1371"/>
      <c r="IN17" s="1371"/>
      <c r="IO17" s="1371"/>
      <c r="IP17" s="1371"/>
      <c r="IQ17" s="1371"/>
      <c r="IR17" s="1371"/>
      <c r="IS17" s="1371"/>
      <c r="IT17" s="1371"/>
      <c r="IU17" s="1371"/>
      <c r="IV17" s="1371"/>
    </row>
    <row r="18" spans="1:256" ht="95.25" customHeight="1">
      <c r="A18" s="1392">
        <v>10.5</v>
      </c>
      <c r="B18" s="1393" t="s">
        <v>7111</v>
      </c>
      <c r="C18" s="1383">
        <v>1</v>
      </c>
      <c r="D18" s="1383">
        <v>1</v>
      </c>
      <c r="E18" s="1385">
        <v>52.92</v>
      </c>
      <c r="F18" s="1385"/>
      <c r="G18" s="1385">
        <v>0.6</v>
      </c>
      <c r="H18" s="1386">
        <f>PRODUCT(C18:G18)</f>
        <v>31.75</v>
      </c>
      <c r="I18" s="1387" t="s">
        <v>7112</v>
      </c>
      <c r="J18" s="1390"/>
      <c r="K18" s="1371"/>
      <c r="L18" s="1371"/>
      <c r="M18" s="1371"/>
      <c r="N18" s="1371"/>
      <c r="O18" s="1371"/>
      <c r="P18" s="1371"/>
      <c r="Q18" s="1371"/>
      <c r="R18" s="1371"/>
      <c r="S18" s="1371"/>
      <c r="T18" s="1371"/>
      <c r="U18" s="1371"/>
      <c r="V18" s="1371"/>
      <c r="W18" s="1371"/>
      <c r="X18" s="1371"/>
      <c r="Y18" s="1371"/>
      <c r="Z18" s="1371"/>
      <c r="AA18" s="1371"/>
      <c r="AB18" s="1371"/>
      <c r="AC18" s="1371"/>
      <c r="AD18" s="1371"/>
      <c r="AE18" s="1371"/>
      <c r="AF18" s="1371"/>
      <c r="AG18" s="1371"/>
      <c r="AH18" s="1371"/>
      <c r="AI18" s="1371"/>
      <c r="AJ18" s="1371"/>
      <c r="AK18" s="1371"/>
      <c r="AL18" s="1371"/>
      <c r="AM18" s="1371"/>
      <c r="AN18" s="1371"/>
      <c r="AO18" s="1371"/>
      <c r="AP18" s="1371"/>
      <c r="AQ18" s="1371"/>
      <c r="AR18" s="1371"/>
      <c r="AS18" s="1371"/>
      <c r="AT18" s="1371"/>
      <c r="AU18" s="1371"/>
      <c r="AV18" s="1371"/>
      <c r="AW18" s="1371"/>
      <c r="AX18" s="1371"/>
      <c r="AY18" s="1371"/>
      <c r="AZ18" s="1371"/>
      <c r="BA18" s="1371"/>
      <c r="BB18" s="1371"/>
      <c r="BC18" s="1371"/>
      <c r="BD18" s="1371"/>
      <c r="BE18" s="1371"/>
      <c r="BF18" s="1371"/>
      <c r="BG18" s="1371"/>
      <c r="BH18" s="1371"/>
      <c r="BI18" s="1371"/>
      <c r="BJ18" s="1371"/>
      <c r="BK18" s="1371"/>
      <c r="BL18" s="1371"/>
      <c r="BM18" s="1371"/>
      <c r="BN18" s="1371"/>
      <c r="BO18" s="1371"/>
      <c r="BP18" s="1371"/>
      <c r="BQ18" s="1371"/>
      <c r="BR18" s="1371"/>
      <c r="BS18" s="1371"/>
      <c r="BT18" s="1371"/>
      <c r="BU18" s="1371"/>
      <c r="BV18" s="1371"/>
      <c r="BW18" s="1371"/>
      <c r="BX18" s="1371"/>
      <c r="BY18" s="1371"/>
      <c r="BZ18" s="1371"/>
      <c r="CA18" s="1371"/>
      <c r="CB18" s="1371"/>
      <c r="CC18" s="1371"/>
      <c r="CD18" s="1371"/>
      <c r="CE18" s="1371"/>
      <c r="CF18" s="1371"/>
      <c r="CG18" s="1371"/>
      <c r="CH18" s="1371"/>
      <c r="CI18" s="1371"/>
      <c r="CJ18" s="1371"/>
      <c r="CK18" s="1371"/>
      <c r="CL18" s="1371"/>
      <c r="CM18" s="1371"/>
      <c r="CN18" s="1371"/>
      <c r="CO18" s="1371"/>
      <c r="CP18" s="1371"/>
      <c r="CQ18" s="1371"/>
      <c r="CR18" s="1371"/>
      <c r="CS18" s="1371"/>
      <c r="CT18" s="1371"/>
      <c r="CU18" s="1371"/>
      <c r="CV18" s="1371"/>
      <c r="CW18" s="1371"/>
      <c r="CX18" s="1371"/>
      <c r="CY18" s="1371"/>
      <c r="CZ18" s="1371"/>
      <c r="DA18" s="1371"/>
      <c r="DB18" s="1371"/>
      <c r="DC18" s="1371"/>
      <c r="DD18" s="1371"/>
      <c r="DE18" s="1371"/>
      <c r="DF18" s="1371"/>
      <c r="DG18" s="1371"/>
      <c r="DH18" s="1371"/>
      <c r="DI18" s="1371"/>
      <c r="DJ18" s="1371"/>
      <c r="DK18" s="1371"/>
      <c r="DL18" s="1371"/>
      <c r="DM18" s="1371"/>
      <c r="DN18" s="1371"/>
      <c r="DO18" s="1371"/>
      <c r="DP18" s="1371"/>
      <c r="DQ18" s="1371"/>
      <c r="DR18" s="1371"/>
      <c r="DS18" s="1371"/>
      <c r="DT18" s="1371"/>
      <c r="DU18" s="1371"/>
      <c r="DV18" s="1371"/>
      <c r="DW18" s="1371"/>
      <c r="DX18" s="1371"/>
      <c r="DY18" s="1371"/>
      <c r="DZ18" s="1371"/>
      <c r="EA18" s="1371"/>
      <c r="EB18" s="1371"/>
      <c r="EC18" s="1371"/>
      <c r="ED18" s="1371"/>
      <c r="EE18" s="1371"/>
      <c r="EF18" s="1371"/>
      <c r="EG18" s="1371"/>
      <c r="EH18" s="1371"/>
      <c r="EI18" s="1371"/>
      <c r="EJ18" s="1371"/>
      <c r="EK18" s="1371"/>
      <c r="EL18" s="1371"/>
      <c r="EM18" s="1371"/>
      <c r="EN18" s="1371"/>
      <c r="EO18" s="1371"/>
      <c r="EP18" s="1371"/>
      <c r="EQ18" s="1371"/>
      <c r="ER18" s="1371"/>
      <c r="ES18" s="1371"/>
      <c r="ET18" s="1371"/>
      <c r="EU18" s="1371"/>
      <c r="EV18" s="1371"/>
      <c r="EW18" s="1371"/>
      <c r="EX18" s="1371"/>
      <c r="EY18" s="1371"/>
      <c r="EZ18" s="1371"/>
      <c r="FA18" s="1371"/>
      <c r="FB18" s="1371"/>
      <c r="FC18" s="1371"/>
      <c r="FD18" s="1371"/>
      <c r="FE18" s="1371"/>
      <c r="FF18" s="1371"/>
      <c r="FG18" s="1371"/>
      <c r="FH18" s="1371"/>
      <c r="FI18" s="1371"/>
      <c r="FJ18" s="1371"/>
      <c r="FK18" s="1371"/>
      <c r="FL18" s="1371"/>
      <c r="FM18" s="1371"/>
      <c r="FN18" s="1371"/>
      <c r="FO18" s="1371"/>
      <c r="FP18" s="1371"/>
      <c r="FQ18" s="1371"/>
      <c r="FR18" s="1371"/>
      <c r="FS18" s="1371"/>
      <c r="FT18" s="1371"/>
      <c r="FU18" s="1371"/>
      <c r="FV18" s="1371"/>
      <c r="FW18" s="1371"/>
      <c r="FX18" s="1371"/>
      <c r="FY18" s="1371"/>
      <c r="FZ18" s="1371"/>
      <c r="GA18" s="1371"/>
      <c r="GB18" s="1371"/>
      <c r="GC18" s="1371"/>
      <c r="GD18" s="1371"/>
      <c r="GE18" s="1371"/>
      <c r="GF18" s="1371"/>
      <c r="GG18" s="1371"/>
      <c r="GH18" s="1371"/>
      <c r="GI18" s="1371"/>
      <c r="GJ18" s="1371"/>
      <c r="GK18" s="1371"/>
      <c r="GL18" s="1371"/>
      <c r="GM18" s="1371"/>
      <c r="GN18" s="1371"/>
      <c r="GO18" s="1371"/>
      <c r="GP18" s="1371"/>
      <c r="GQ18" s="1371"/>
      <c r="GR18" s="1371"/>
      <c r="GS18" s="1371"/>
      <c r="GT18" s="1371"/>
      <c r="GU18" s="1371"/>
      <c r="GV18" s="1371"/>
      <c r="GW18" s="1371"/>
      <c r="GX18" s="1371"/>
      <c r="GY18" s="1371"/>
      <c r="GZ18" s="1371"/>
      <c r="HA18" s="1371"/>
      <c r="HB18" s="1371"/>
      <c r="HC18" s="1371"/>
      <c r="HD18" s="1371"/>
      <c r="HE18" s="1371"/>
      <c r="HF18" s="1371"/>
      <c r="HG18" s="1371"/>
      <c r="HH18" s="1371"/>
      <c r="HI18" s="1371"/>
      <c r="HJ18" s="1371"/>
      <c r="HK18" s="1371"/>
      <c r="HL18" s="1371"/>
      <c r="HM18" s="1371"/>
      <c r="HN18" s="1371"/>
      <c r="HO18" s="1371"/>
      <c r="HP18" s="1371"/>
      <c r="HQ18" s="1371"/>
      <c r="HR18" s="1371"/>
      <c r="HS18" s="1371"/>
      <c r="HT18" s="1371"/>
      <c r="HU18" s="1371"/>
      <c r="HV18" s="1371"/>
      <c r="HW18" s="1371"/>
      <c r="HX18" s="1371"/>
      <c r="HY18" s="1371"/>
      <c r="HZ18" s="1371"/>
      <c r="IA18" s="1371"/>
      <c r="IB18" s="1371"/>
      <c r="IC18" s="1371"/>
      <c r="ID18" s="1371"/>
      <c r="IE18" s="1371"/>
      <c r="IF18" s="1371"/>
      <c r="IG18" s="1371"/>
      <c r="IH18" s="1371"/>
      <c r="II18" s="1371"/>
      <c r="IJ18" s="1371"/>
      <c r="IK18" s="1371"/>
      <c r="IL18" s="1371"/>
      <c r="IM18" s="1371"/>
      <c r="IN18" s="1371"/>
      <c r="IO18" s="1371"/>
      <c r="IP18" s="1371"/>
      <c r="IQ18" s="1371"/>
      <c r="IR18" s="1371"/>
      <c r="IS18" s="1371"/>
      <c r="IT18" s="1371"/>
      <c r="IU18" s="1371"/>
      <c r="IV18" s="1371"/>
    </row>
    <row r="19" spans="1:256" ht="48" customHeight="1">
      <c r="A19" s="1388">
        <v>33</v>
      </c>
      <c r="B19" s="1384" t="s">
        <v>7113</v>
      </c>
      <c r="C19" s="1383">
        <v>1</v>
      </c>
      <c r="D19" s="1383">
        <v>1</v>
      </c>
      <c r="E19" s="1385">
        <v>52.92</v>
      </c>
      <c r="F19" s="1385"/>
      <c r="G19" s="1385">
        <v>0.83</v>
      </c>
      <c r="H19" s="1386">
        <f>PRODUCT(C19:G19)</f>
        <v>43.92</v>
      </c>
      <c r="I19" s="1387" t="s">
        <v>7112</v>
      </c>
      <c r="J19" s="1371"/>
      <c r="K19" s="1371"/>
      <c r="L19" s="1371"/>
      <c r="M19" s="1371"/>
      <c r="N19" s="1371"/>
      <c r="O19" s="1371"/>
      <c r="P19" s="1371"/>
      <c r="Q19" s="1371"/>
      <c r="R19" s="1371"/>
      <c r="S19" s="1371"/>
      <c r="T19" s="1371"/>
      <c r="U19" s="1371"/>
      <c r="V19" s="1371"/>
      <c r="W19" s="1371"/>
      <c r="X19" s="1371"/>
      <c r="Y19" s="1371"/>
      <c r="Z19" s="1371"/>
      <c r="AA19" s="1371"/>
      <c r="AB19" s="1371"/>
      <c r="AC19" s="1371"/>
      <c r="AD19" s="1371"/>
      <c r="AE19" s="1371"/>
      <c r="AF19" s="1371"/>
      <c r="AG19" s="1371"/>
      <c r="AH19" s="1371"/>
      <c r="AI19" s="1371"/>
      <c r="AJ19" s="1371"/>
      <c r="AK19" s="1371"/>
      <c r="AL19" s="1371"/>
      <c r="AM19" s="1371"/>
      <c r="AN19" s="1371"/>
      <c r="AO19" s="1371"/>
      <c r="AP19" s="1371"/>
      <c r="AQ19" s="1371"/>
      <c r="AR19" s="1371"/>
      <c r="AS19" s="1371"/>
      <c r="AT19" s="1371"/>
      <c r="AU19" s="1371"/>
      <c r="AV19" s="1371"/>
      <c r="AW19" s="1371"/>
      <c r="AX19" s="1371"/>
      <c r="AY19" s="1371"/>
      <c r="AZ19" s="1371"/>
      <c r="BA19" s="1371"/>
      <c r="BB19" s="1371"/>
      <c r="BC19" s="1371"/>
      <c r="BD19" s="1371"/>
      <c r="BE19" s="1371"/>
      <c r="BF19" s="1371"/>
      <c r="BG19" s="1371"/>
      <c r="BH19" s="1371"/>
      <c r="BI19" s="1371"/>
      <c r="BJ19" s="1371"/>
      <c r="BK19" s="1371"/>
      <c r="BL19" s="1371"/>
      <c r="BM19" s="1371"/>
      <c r="BN19" s="1371"/>
      <c r="BO19" s="1371"/>
      <c r="BP19" s="1371"/>
      <c r="BQ19" s="1371"/>
      <c r="BR19" s="1371"/>
      <c r="BS19" s="1371"/>
      <c r="BT19" s="1371"/>
      <c r="BU19" s="1371"/>
      <c r="BV19" s="1371"/>
      <c r="BW19" s="1371"/>
      <c r="BX19" s="1371"/>
      <c r="BY19" s="1371"/>
      <c r="BZ19" s="1371"/>
      <c r="CA19" s="1371"/>
      <c r="CB19" s="1371"/>
      <c r="CC19" s="1371"/>
      <c r="CD19" s="1371"/>
      <c r="CE19" s="1371"/>
      <c r="CF19" s="1371"/>
      <c r="CG19" s="1371"/>
      <c r="CH19" s="1371"/>
      <c r="CI19" s="1371"/>
      <c r="CJ19" s="1371"/>
      <c r="CK19" s="1371"/>
      <c r="CL19" s="1371"/>
      <c r="CM19" s="1371"/>
      <c r="CN19" s="1371"/>
      <c r="CO19" s="1371"/>
      <c r="CP19" s="1371"/>
      <c r="CQ19" s="1371"/>
      <c r="CR19" s="1371"/>
      <c r="CS19" s="1371"/>
      <c r="CT19" s="1371"/>
      <c r="CU19" s="1371"/>
      <c r="CV19" s="1371"/>
      <c r="CW19" s="1371"/>
      <c r="CX19" s="1371"/>
      <c r="CY19" s="1371"/>
      <c r="CZ19" s="1371"/>
      <c r="DA19" s="1371"/>
      <c r="DB19" s="1371"/>
      <c r="DC19" s="1371"/>
      <c r="DD19" s="1371"/>
      <c r="DE19" s="1371"/>
      <c r="DF19" s="1371"/>
      <c r="DG19" s="1371"/>
      <c r="DH19" s="1371"/>
      <c r="DI19" s="1371"/>
      <c r="DJ19" s="1371"/>
      <c r="DK19" s="1371"/>
      <c r="DL19" s="1371"/>
      <c r="DM19" s="1371"/>
      <c r="DN19" s="1371"/>
      <c r="DO19" s="1371"/>
      <c r="DP19" s="1371"/>
      <c r="DQ19" s="1371"/>
      <c r="DR19" s="1371"/>
      <c r="DS19" s="1371"/>
      <c r="DT19" s="1371"/>
      <c r="DU19" s="1371"/>
      <c r="DV19" s="1371"/>
      <c r="DW19" s="1371"/>
      <c r="DX19" s="1371"/>
      <c r="DY19" s="1371"/>
      <c r="DZ19" s="1371"/>
      <c r="EA19" s="1371"/>
      <c r="EB19" s="1371"/>
      <c r="EC19" s="1371"/>
      <c r="ED19" s="1371"/>
      <c r="EE19" s="1371"/>
      <c r="EF19" s="1371"/>
      <c r="EG19" s="1371"/>
      <c r="EH19" s="1371"/>
      <c r="EI19" s="1371"/>
      <c r="EJ19" s="1371"/>
      <c r="EK19" s="1371"/>
      <c r="EL19" s="1371"/>
      <c r="EM19" s="1371"/>
      <c r="EN19" s="1371"/>
      <c r="EO19" s="1371"/>
      <c r="EP19" s="1371"/>
      <c r="EQ19" s="1371"/>
      <c r="ER19" s="1371"/>
      <c r="ES19" s="1371"/>
      <c r="ET19" s="1371"/>
      <c r="EU19" s="1371"/>
      <c r="EV19" s="1371"/>
      <c r="EW19" s="1371"/>
      <c r="EX19" s="1371"/>
      <c r="EY19" s="1371"/>
      <c r="EZ19" s="1371"/>
      <c r="FA19" s="1371"/>
      <c r="FB19" s="1371"/>
      <c r="FC19" s="1371"/>
      <c r="FD19" s="1371"/>
      <c r="FE19" s="1371"/>
      <c r="FF19" s="1371"/>
      <c r="FG19" s="1371"/>
      <c r="FH19" s="1371"/>
      <c r="FI19" s="1371"/>
      <c r="FJ19" s="1371"/>
      <c r="FK19" s="1371"/>
      <c r="FL19" s="1371"/>
      <c r="FM19" s="1371"/>
      <c r="FN19" s="1371"/>
      <c r="FO19" s="1371"/>
      <c r="FP19" s="1371"/>
      <c r="FQ19" s="1371"/>
      <c r="FR19" s="1371"/>
      <c r="FS19" s="1371"/>
      <c r="FT19" s="1371"/>
      <c r="FU19" s="1371"/>
      <c r="FV19" s="1371"/>
      <c r="FW19" s="1371"/>
      <c r="FX19" s="1371"/>
      <c r="FY19" s="1371"/>
      <c r="FZ19" s="1371"/>
      <c r="GA19" s="1371"/>
      <c r="GB19" s="1371"/>
      <c r="GC19" s="1371"/>
      <c r="GD19" s="1371"/>
      <c r="GE19" s="1371"/>
      <c r="GF19" s="1371"/>
      <c r="GG19" s="1371"/>
      <c r="GH19" s="1371"/>
      <c r="GI19" s="1371"/>
      <c r="GJ19" s="1371"/>
      <c r="GK19" s="1371"/>
      <c r="GL19" s="1371"/>
      <c r="GM19" s="1371"/>
      <c r="GN19" s="1371"/>
      <c r="GO19" s="1371"/>
      <c r="GP19" s="1371"/>
      <c r="GQ19" s="1371"/>
      <c r="GR19" s="1371"/>
      <c r="GS19" s="1371"/>
      <c r="GT19" s="1371"/>
      <c r="GU19" s="1371"/>
      <c r="GV19" s="1371"/>
      <c r="GW19" s="1371"/>
      <c r="GX19" s="1371"/>
      <c r="GY19" s="1371"/>
      <c r="GZ19" s="1371"/>
      <c r="HA19" s="1371"/>
      <c r="HB19" s="1371"/>
      <c r="HC19" s="1371"/>
      <c r="HD19" s="1371"/>
      <c r="HE19" s="1371"/>
      <c r="HF19" s="1371"/>
      <c r="HG19" s="1371"/>
      <c r="HH19" s="1371"/>
      <c r="HI19" s="1371"/>
      <c r="HJ19" s="1371"/>
      <c r="HK19" s="1371"/>
      <c r="HL19" s="1371"/>
      <c r="HM19" s="1371"/>
      <c r="HN19" s="1371"/>
      <c r="HO19" s="1371"/>
      <c r="HP19" s="1371"/>
      <c r="HQ19" s="1371"/>
      <c r="HR19" s="1371"/>
      <c r="HS19" s="1371"/>
      <c r="HT19" s="1371"/>
      <c r="HU19" s="1371"/>
      <c r="HV19" s="1371"/>
      <c r="HW19" s="1371"/>
      <c r="HX19" s="1371"/>
      <c r="HY19" s="1371"/>
      <c r="HZ19" s="1371"/>
      <c r="IA19" s="1371"/>
      <c r="IB19" s="1371"/>
      <c r="IC19" s="1371"/>
      <c r="ID19" s="1371"/>
      <c r="IE19" s="1371"/>
      <c r="IF19" s="1371"/>
      <c r="IG19" s="1371"/>
      <c r="IH19" s="1371"/>
      <c r="II19" s="1371"/>
      <c r="IJ19" s="1371"/>
      <c r="IK19" s="1371"/>
      <c r="IL19" s="1371"/>
      <c r="IM19" s="1371"/>
      <c r="IN19" s="1371"/>
      <c r="IO19" s="1371"/>
      <c r="IP19" s="1371"/>
      <c r="IQ19" s="1371"/>
      <c r="IR19" s="1371"/>
      <c r="IS19" s="1371"/>
      <c r="IT19" s="1371"/>
      <c r="IU19" s="1371"/>
      <c r="IV19" s="1371"/>
    </row>
    <row r="20" spans="1:256" ht="64.5" customHeight="1">
      <c r="A20" s="1388">
        <v>50.6</v>
      </c>
      <c r="B20" s="1384" t="s">
        <v>7114</v>
      </c>
      <c r="C20" s="1383">
        <v>1</v>
      </c>
      <c r="D20" s="1383">
        <v>1</v>
      </c>
      <c r="E20" s="1385">
        <v>52.92</v>
      </c>
      <c r="F20" s="1385"/>
      <c r="G20" s="1385">
        <f>0.9+0.115</f>
        <v>1.02</v>
      </c>
      <c r="H20" s="1386">
        <f>PRODUCT(C20:G20)</f>
        <v>53.98</v>
      </c>
      <c r="I20" s="1387" t="s">
        <v>7112</v>
      </c>
      <c r="J20" s="1390"/>
      <c r="K20" s="1371"/>
      <c r="L20" s="1371"/>
      <c r="M20" s="1371"/>
      <c r="N20" s="1371"/>
      <c r="O20" s="1371"/>
      <c r="P20" s="1371"/>
      <c r="Q20" s="1371"/>
      <c r="R20" s="1371"/>
      <c r="S20" s="1371"/>
      <c r="T20" s="1371"/>
      <c r="U20" s="1371"/>
      <c r="V20" s="1371"/>
      <c r="W20" s="1371"/>
      <c r="X20" s="1371"/>
      <c r="Y20" s="1371"/>
      <c r="Z20" s="1371"/>
      <c r="AA20" s="1371"/>
      <c r="AB20" s="1371"/>
      <c r="AC20" s="1371"/>
      <c r="AD20" s="1371"/>
      <c r="AE20" s="1371"/>
      <c r="AF20" s="1371"/>
      <c r="AG20" s="1371"/>
      <c r="AH20" s="1371"/>
      <c r="AI20" s="1371"/>
      <c r="AJ20" s="1371"/>
      <c r="AK20" s="1371"/>
      <c r="AL20" s="1371"/>
      <c r="AM20" s="1371"/>
      <c r="AN20" s="1371"/>
      <c r="AO20" s="1371"/>
      <c r="AP20" s="1371"/>
      <c r="AQ20" s="1371"/>
      <c r="AR20" s="1371"/>
      <c r="AS20" s="1371"/>
      <c r="AT20" s="1371"/>
      <c r="AU20" s="1371"/>
      <c r="AV20" s="1371"/>
      <c r="AW20" s="1371"/>
      <c r="AX20" s="1371"/>
      <c r="AY20" s="1371"/>
      <c r="AZ20" s="1371"/>
      <c r="BA20" s="1371"/>
      <c r="BB20" s="1371"/>
      <c r="BC20" s="1371"/>
      <c r="BD20" s="1371"/>
      <c r="BE20" s="1371"/>
      <c r="BF20" s="1371"/>
      <c r="BG20" s="1371"/>
      <c r="BH20" s="1371"/>
      <c r="BI20" s="1371"/>
      <c r="BJ20" s="1371"/>
      <c r="BK20" s="1371"/>
      <c r="BL20" s="1371"/>
      <c r="BM20" s="1371"/>
      <c r="BN20" s="1371"/>
      <c r="BO20" s="1371"/>
      <c r="BP20" s="1371"/>
      <c r="BQ20" s="1371"/>
      <c r="BR20" s="1371"/>
      <c r="BS20" s="1371"/>
      <c r="BT20" s="1371"/>
      <c r="BU20" s="1371"/>
      <c r="BV20" s="1371"/>
      <c r="BW20" s="1371"/>
      <c r="BX20" s="1371"/>
      <c r="BY20" s="1371"/>
      <c r="BZ20" s="1371"/>
      <c r="CA20" s="1371"/>
      <c r="CB20" s="1371"/>
      <c r="CC20" s="1371"/>
      <c r="CD20" s="1371"/>
      <c r="CE20" s="1371"/>
      <c r="CF20" s="1371"/>
      <c r="CG20" s="1371"/>
      <c r="CH20" s="1371"/>
      <c r="CI20" s="1371"/>
      <c r="CJ20" s="1371"/>
      <c r="CK20" s="1371"/>
      <c r="CL20" s="1371"/>
      <c r="CM20" s="1371"/>
      <c r="CN20" s="1371"/>
      <c r="CO20" s="1371"/>
      <c r="CP20" s="1371"/>
      <c r="CQ20" s="1371"/>
      <c r="CR20" s="1371"/>
      <c r="CS20" s="1371"/>
      <c r="CT20" s="1371"/>
      <c r="CU20" s="1371"/>
      <c r="CV20" s="1371"/>
      <c r="CW20" s="1371"/>
      <c r="CX20" s="1371"/>
      <c r="CY20" s="1371"/>
      <c r="CZ20" s="1371"/>
      <c r="DA20" s="1371"/>
      <c r="DB20" s="1371"/>
      <c r="DC20" s="1371"/>
      <c r="DD20" s="1371"/>
      <c r="DE20" s="1371"/>
      <c r="DF20" s="1371"/>
      <c r="DG20" s="1371"/>
      <c r="DH20" s="1371"/>
      <c r="DI20" s="1371"/>
      <c r="DJ20" s="1371"/>
      <c r="DK20" s="1371"/>
      <c r="DL20" s="1371"/>
      <c r="DM20" s="1371"/>
      <c r="DN20" s="1371"/>
      <c r="DO20" s="1371"/>
      <c r="DP20" s="1371"/>
      <c r="DQ20" s="1371"/>
      <c r="DR20" s="1371"/>
      <c r="DS20" s="1371"/>
      <c r="DT20" s="1371"/>
      <c r="DU20" s="1371"/>
      <c r="DV20" s="1371"/>
      <c r="DW20" s="1371"/>
      <c r="DX20" s="1371"/>
      <c r="DY20" s="1371"/>
      <c r="DZ20" s="1371"/>
      <c r="EA20" s="1371"/>
      <c r="EB20" s="1371"/>
      <c r="EC20" s="1371"/>
      <c r="ED20" s="1371"/>
      <c r="EE20" s="1371"/>
      <c r="EF20" s="1371"/>
      <c r="EG20" s="1371"/>
      <c r="EH20" s="1371"/>
      <c r="EI20" s="1371"/>
      <c r="EJ20" s="1371"/>
      <c r="EK20" s="1371"/>
      <c r="EL20" s="1371"/>
      <c r="EM20" s="1371"/>
      <c r="EN20" s="1371"/>
      <c r="EO20" s="1371"/>
      <c r="EP20" s="1371"/>
      <c r="EQ20" s="1371"/>
      <c r="ER20" s="1371"/>
      <c r="ES20" s="1371"/>
      <c r="ET20" s="1371"/>
      <c r="EU20" s="1371"/>
      <c r="EV20" s="1371"/>
      <c r="EW20" s="1371"/>
      <c r="EX20" s="1371"/>
      <c r="EY20" s="1371"/>
      <c r="EZ20" s="1371"/>
      <c r="FA20" s="1371"/>
      <c r="FB20" s="1371"/>
      <c r="FC20" s="1371"/>
      <c r="FD20" s="1371"/>
      <c r="FE20" s="1371"/>
      <c r="FF20" s="1371"/>
      <c r="FG20" s="1371"/>
      <c r="FH20" s="1371"/>
      <c r="FI20" s="1371"/>
      <c r="FJ20" s="1371"/>
      <c r="FK20" s="1371"/>
      <c r="FL20" s="1371"/>
      <c r="FM20" s="1371"/>
      <c r="FN20" s="1371"/>
      <c r="FO20" s="1371"/>
      <c r="FP20" s="1371"/>
      <c r="FQ20" s="1371"/>
      <c r="FR20" s="1371"/>
      <c r="FS20" s="1371"/>
      <c r="FT20" s="1371"/>
      <c r="FU20" s="1371"/>
      <c r="FV20" s="1371"/>
      <c r="FW20" s="1371"/>
      <c r="FX20" s="1371"/>
      <c r="FY20" s="1371"/>
      <c r="FZ20" s="1371"/>
      <c r="GA20" s="1371"/>
      <c r="GB20" s="1371"/>
      <c r="GC20" s="1371"/>
      <c r="GD20" s="1371"/>
      <c r="GE20" s="1371"/>
      <c r="GF20" s="1371"/>
      <c r="GG20" s="1371"/>
      <c r="GH20" s="1371"/>
      <c r="GI20" s="1371"/>
      <c r="GJ20" s="1371"/>
      <c r="GK20" s="1371"/>
      <c r="GL20" s="1371"/>
      <c r="GM20" s="1371"/>
      <c r="GN20" s="1371"/>
      <c r="GO20" s="1371"/>
      <c r="GP20" s="1371"/>
      <c r="GQ20" s="1371"/>
      <c r="GR20" s="1371"/>
      <c r="GS20" s="1371"/>
      <c r="GT20" s="1371"/>
      <c r="GU20" s="1371"/>
      <c r="GV20" s="1371"/>
      <c r="GW20" s="1371"/>
      <c r="GX20" s="1371"/>
      <c r="GY20" s="1371"/>
      <c r="GZ20" s="1371"/>
      <c r="HA20" s="1371"/>
      <c r="HB20" s="1371"/>
      <c r="HC20" s="1371"/>
      <c r="HD20" s="1371"/>
      <c r="HE20" s="1371"/>
      <c r="HF20" s="1371"/>
      <c r="HG20" s="1371"/>
      <c r="HH20" s="1371"/>
      <c r="HI20" s="1371"/>
      <c r="HJ20" s="1371"/>
      <c r="HK20" s="1371"/>
      <c r="HL20" s="1371"/>
      <c r="HM20" s="1371"/>
      <c r="HN20" s="1371"/>
      <c r="HO20" s="1371"/>
      <c r="HP20" s="1371"/>
      <c r="HQ20" s="1371"/>
      <c r="HR20" s="1371"/>
      <c r="HS20" s="1371"/>
      <c r="HT20" s="1371"/>
      <c r="HU20" s="1371"/>
      <c r="HV20" s="1371"/>
      <c r="HW20" s="1371"/>
      <c r="HX20" s="1371"/>
      <c r="HY20" s="1371"/>
      <c r="HZ20" s="1371"/>
      <c r="IA20" s="1371"/>
      <c r="IB20" s="1371"/>
      <c r="IC20" s="1371"/>
      <c r="ID20" s="1371"/>
      <c r="IE20" s="1371"/>
      <c r="IF20" s="1371"/>
      <c r="IG20" s="1371"/>
      <c r="IH20" s="1371"/>
      <c r="II20" s="1371"/>
      <c r="IJ20" s="1371"/>
      <c r="IK20" s="1371"/>
      <c r="IL20" s="1371"/>
      <c r="IM20" s="1371"/>
      <c r="IN20" s="1371"/>
      <c r="IO20" s="1371"/>
      <c r="IP20" s="1371"/>
      <c r="IQ20" s="1371"/>
      <c r="IR20" s="1371"/>
      <c r="IS20" s="1371"/>
      <c r="IT20" s="1371"/>
      <c r="IU20" s="1371"/>
      <c r="IV20" s="1371"/>
    </row>
    <row r="21" spans="1:256">
      <c r="A21" s="1394"/>
      <c r="B21" s="1395"/>
      <c r="C21" s="1394"/>
      <c r="D21" s="1394"/>
      <c r="E21" s="1394"/>
      <c r="F21" s="1394"/>
      <c r="G21" s="1396"/>
      <c r="H21" s="1397"/>
      <c r="I21" s="1398"/>
      <c r="J21" s="1399"/>
      <c r="K21" s="1399"/>
      <c r="L21" s="1399"/>
      <c r="M21" s="1399"/>
      <c r="N21" s="1399"/>
      <c r="O21" s="1399"/>
      <c r="P21" s="1399"/>
      <c r="Q21" s="1399"/>
      <c r="R21" s="1399"/>
      <c r="S21" s="1399"/>
      <c r="T21" s="1399"/>
      <c r="U21" s="1399"/>
      <c r="V21" s="1399"/>
      <c r="W21" s="1399"/>
      <c r="X21" s="1399"/>
      <c r="Y21" s="1399"/>
      <c r="Z21" s="1399"/>
      <c r="AA21" s="1399"/>
      <c r="AB21" s="1399"/>
      <c r="AC21" s="1399"/>
      <c r="AD21" s="1399"/>
      <c r="AE21" s="1399"/>
      <c r="AF21" s="1399"/>
      <c r="AG21" s="1399"/>
      <c r="AH21" s="1399"/>
      <c r="AI21" s="1399"/>
      <c r="AJ21" s="1399"/>
      <c r="AK21" s="1399"/>
      <c r="AL21" s="1399"/>
      <c r="AM21" s="1399"/>
      <c r="AN21" s="1399"/>
      <c r="AO21" s="1399"/>
      <c r="AP21" s="1399"/>
      <c r="AQ21" s="1399"/>
      <c r="AR21" s="1399"/>
      <c r="AS21" s="1399"/>
      <c r="AT21" s="1399"/>
      <c r="AU21" s="1399"/>
      <c r="AV21" s="1399"/>
      <c r="AW21" s="1399"/>
      <c r="AX21" s="1399"/>
      <c r="AY21" s="1399"/>
      <c r="AZ21" s="1399"/>
      <c r="BA21" s="1399"/>
      <c r="BB21" s="1399"/>
      <c r="BC21" s="1399"/>
      <c r="BD21" s="1399"/>
      <c r="BE21" s="1399"/>
      <c r="BF21" s="1399"/>
      <c r="BG21" s="1399"/>
      <c r="BH21" s="1399"/>
      <c r="BI21" s="1399"/>
      <c r="BJ21" s="1399"/>
      <c r="BK21" s="1399"/>
      <c r="BL21" s="1399"/>
      <c r="BM21" s="1399"/>
      <c r="BN21" s="1399"/>
      <c r="BO21" s="1399"/>
      <c r="BP21" s="1399"/>
      <c r="BQ21" s="1399"/>
      <c r="BR21" s="1399"/>
      <c r="BS21" s="1399"/>
      <c r="BT21" s="1399"/>
      <c r="BU21" s="1399"/>
      <c r="BV21" s="1399"/>
      <c r="BW21" s="1399"/>
      <c r="BX21" s="1399"/>
      <c r="BY21" s="1399"/>
      <c r="BZ21" s="1399"/>
      <c r="CA21" s="1399"/>
      <c r="CB21" s="1399"/>
      <c r="CC21" s="1399"/>
      <c r="CD21" s="1399"/>
      <c r="CE21" s="1399"/>
      <c r="CF21" s="1399"/>
      <c r="CG21" s="1399"/>
      <c r="CH21" s="1399"/>
      <c r="CI21" s="1399"/>
      <c r="CJ21" s="1399"/>
      <c r="CK21" s="1399"/>
      <c r="CL21" s="1399"/>
      <c r="CM21" s="1399"/>
      <c r="CN21" s="1399"/>
      <c r="CO21" s="1399"/>
      <c r="CP21" s="1399"/>
      <c r="CQ21" s="1399"/>
      <c r="CR21" s="1399"/>
      <c r="CS21" s="1399"/>
      <c r="CT21" s="1399"/>
      <c r="CU21" s="1399"/>
      <c r="CV21" s="1399"/>
      <c r="CW21" s="1399"/>
      <c r="CX21" s="1399"/>
      <c r="CY21" s="1399"/>
      <c r="CZ21" s="1399"/>
      <c r="DA21" s="1399"/>
      <c r="DB21" s="1399"/>
      <c r="DC21" s="1399"/>
      <c r="DD21" s="1399"/>
      <c r="DE21" s="1399"/>
      <c r="DF21" s="1399"/>
      <c r="DG21" s="1399"/>
      <c r="DH21" s="1399"/>
      <c r="DI21" s="1399"/>
      <c r="DJ21" s="1399"/>
      <c r="DK21" s="1399"/>
      <c r="DL21" s="1399"/>
      <c r="DM21" s="1399"/>
      <c r="DN21" s="1399"/>
      <c r="DO21" s="1399"/>
      <c r="DP21" s="1399"/>
      <c r="DQ21" s="1399"/>
      <c r="DR21" s="1399"/>
      <c r="DS21" s="1399"/>
      <c r="DT21" s="1399"/>
      <c r="DU21" s="1399"/>
      <c r="DV21" s="1399"/>
      <c r="DW21" s="1399"/>
      <c r="DX21" s="1399"/>
      <c r="DY21" s="1399"/>
      <c r="DZ21" s="1399"/>
      <c r="EA21" s="1399"/>
      <c r="EB21" s="1399"/>
      <c r="EC21" s="1399"/>
      <c r="ED21" s="1399"/>
      <c r="EE21" s="1399"/>
      <c r="EF21" s="1399"/>
      <c r="EG21" s="1399"/>
      <c r="EH21" s="1399"/>
      <c r="EI21" s="1399"/>
      <c r="EJ21" s="1399"/>
      <c r="EK21" s="1399"/>
      <c r="EL21" s="1399"/>
      <c r="EM21" s="1399"/>
      <c r="EN21" s="1399"/>
      <c r="EO21" s="1399"/>
      <c r="EP21" s="1399"/>
      <c r="EQ21" s="1399"/>
      <c r="ER21" s="1399"/>
      <c r="ES21" s="1399"/>
      <c r="ET21" s="1399"/>
      <c r="EU21" s="1399"/>
      <c r="EV21" s="1399"/>
      <c r="EW21" s="1399"/>
      <c r="EX21" s="1399"/>
      <c r="EY21" s="1399"/>
      <c r="EZ21" s="1399"/>
      <c r="FA21" s="1399"/>
      <c r="FB21" s="1399"/>
      <c r="FC21" s="1399"/>
      <c r="FD21" s="1399"/>
      <c r="FE21" s="1399"/>
      <c r="FF21" s="1399"/>
      <c r="FG21" s="1399"/>
      <c r="FH21" s="1399"/>
      <c r="FI21" s="1399"/>
      <c r="FJ21" s="1399"/>
      <c r="FK21" s="1399"/>
      <c r="FL21" s="1399"/>
      <c r="FM21" s="1399"/>
      <c r="FN21" s="1399"/>
      <c r="FO21" s="1399"/>
      <c r="FP21" s="1399"/>
      <c r="FQ21" s="1399"/>
      <c r="FR21" s="1399"/>
      <c r="FS21" s="1399"/>
      <c r="FT21" s="1399"/>
      <c r="FU21" s="1399"/>
      <c r="FV21" s="1399"/>
      <c r="FW21" s="1399"/>
      <c r="FX21" s="1399"/>
      <c r="FY21" s="1399"/>
      <c r="FZ21" s="1399"/>
      <c r="GA21" s="1399"/>
      <c r="GB21" s="1399"/>
      <c r="GC21" s="1399"/>
      <c r="GD21" s="1399"/>
      <c r="GE21" s="1399"/>
      <c r="GF21" s="1399"/>
      <c r="GG21" s="1399"/>
      <c r="GH21" s="1399"/>
      <c r="GI21" s="1399"/>
      <c r="GJ21" s="1399"/>
      <c r="GK21" s="1399"/>
      <c r="GL21" s="1399"/>
      <c r="GM21" s="1399"/>
      <c r="GN21" s="1399"/>
      <c r="GO21" s="1399"/>
      <c r="GP21" s="1399"/>
      <c r="GQ21" s="1399"/>
      <c r="GR21" s="1399"/>
      <c r="GS21" s="1399"/>
      <c r="GT21" s="1399"/>
      <c r="GU21" s="1399"/>
      <c r="GV21" s="1399"/>
      <c r="GW21" s="1399"/>
      <c r="GX21" s="1399"/>
      <c r="GY21" s="1399"/>
      <c r="GZ21" s="1399"/>
      <c r="HA21" s="1399"/>
      <c r="HB21" s="1399"/>
      <c r="HC21" s="1399"/>
      <c r="HD21" s="1399"/>
      <c r="HE21" s="1399"/>
      <c r="HF21" s="1399"/>
      <c r="HG21" s="1399"/>
      <c r="HH21" s="1399"/>
      <c r="HI21" s="1399"/>
      <c r="HJ21" s="1399"/>
      <c r="HK21" s="1399"/>
      <c r="HL21" s="1399"/>
      <c r="HM21" s="1399"/>
      <c r="HN21" s="1399"/>
      <c r="HO21" s="1399"/>
      <c r="HP21" s="1399"/>
      <c r="HQ21" s="1399"/>
      <c r="HR21" s="1399"/>
      <c r="HS21" s="1399"/>
      <c r="HT21" s="1399"/>
      <c r="HU21" s="1399"/>
      <c r="HV21" s="1399"/>
      <c r="HW21" s="1399"/>
      <c r="HX21" s="1399"/>
      <c r="HY21" s="1399"/>
      <c r="HZ21" s="1399"/>
      <c r="IA21" s="1399"/>
      <c r="IB21" s="1399"/>
      <c r="IC21" s="1399"/>
      <c r="ID21" s="1399"/>
      <c r="IE21" s="1399"/>
      <c r="IF21" s="1399"/>
      <c r="IG21" s="1399"/>
      <c r="IH21" s="1399"/>
      <c r="II21" s="1399"/>
      <c r="IJ21" s="1399"/>
      <c r="IK21" s="1399"/>
      <c r="IL21" s="1399"/>
      <c r="IM21" s="1399"/>
      <c r="IN21" s="1399"/>
      <c r="IO21" s="1399"/>
      <c r="IP21" s="1399"/>
      <c r="IQ21" s="1399"/>
      <c r="IR21" s="1399"/>
      <c r="IS21" s="1399"/>
      <c r="IT21" s="1399"/>
      <c r="IU21" s="1399"/>
      <c r="IV21" s="1399"/>
    </row>
    <row r="22" spans="1:256">
      <c r="A22" s="1394"/>
      <c r="B22" s="1395"/>
      <c r="C22" s="1394"/>
      <c r="D22" s="1394"/>
      <c r="E22" s="1394"/>
      <c r="F22" s="1394"/>
      <c r="G22" s="1396"/>
      <c r="H22" s="1397"/>
      <c r="I22" s="1398"/>
      <c r="J22" s="1399"/>
      <c r="K22" s="1399"/>
      <c r="L22" s="1399"/>
      <c r="M22" s="1399"/>
      <c r="N22" s="1399"/>
      <c r="O22" s="1399"/>
      <c r="P22" s="1399"/>
      <c r="Q22" s="1399"/>
      <c r="R22" s="1399"/>
      <c r="S22" s="1399"/>
      <c r="T22" s="1399"/>
      <c r="U22" s="1399"/>
      <c r="V22" s="1399"/>
      <c r="W22" s="1399"/>
      <c r="X22" s="1399"/>
      <c r="Y22" s="1399"/>
      <c r="Z22" s="1399"/>
      <c r="AA22" s="1399"/>
      <c r="AB22" s="1399"/>
      <c r="AC22" s="1399"/>
      <c r="AD22" s="1399"/>
      <c r="AE22" s="1399"/>
      <c r="AF22" s="1399"/>
      <c r="AG22" s="1399"/>
      <c r="AH22" s="1399"/>
      <c r="AI22" s="1399"/>
      <c r="AJ22" s="1399"/>
      <c r="AK22" s="1399"/>
      <c r="AL22" s="1399"/>
      <c r="AM22" s="1399"/>
      <c r="AN22" s="1399"/>
      <c r="AO22" s="1399"/>
      <c r="AP22" s="1399"/>
      <c r="AQ22" s="1399"/>
      <c r="AR22" s="1399"/>
      <c r="AS22" s="1399"/>
      <c r="AT22" s="1399"/>
      <c r="AU22" s="1399"/>
      <c r="AV22" s="1399"/>
      <c r="AW22" s="1399"/>
      <c r="AX22" s="1399"/>
      <c r="AY22" s="1399"/>
      <c r="AZ22" s="1399"/>
      <c r="BA22" s="1399"/>
      <c r="BB22" s="1399"/>
      <c r="BC22" s="1399"/>
      <c r="BD22" s="1399"/>
      <c r="BE22" s="1399"/>
      <c r="BF22" s="1399"/>
      <c r="BG22" s="1399"/>
      <c r="BH22" s="1399"/>
      <c r="BI22" s="1399"/>
      <c r="BJ22" s="1399"/>
      <c r="BK22" s="1399"/>
      <c r="BL22" s="1399"/>
      <c r="BM22" s="1399"/>
      <c r="BN22" s="1399"/>
      <c r="BO22" s="1399"/>
      <c r="BP22" s="1399"/>
      <c r="BQ22" s="1399"/>
      <c r="BR22" s="1399"/>
      <c r="BS22" s="1399"/>
      <c r="BT22" s="1399"/>
      <c r="BU22" s="1399"/>
      <c r="BV22" s="1399"/>
      <c r="BW22" s="1399"/>
      <c r="BX22" s="1399"/>
      <c r="BY22" s="1399"/>
      <c r="BZ22" s="1399"/>
      <c r="CA22" s="1399"/>
      <c r="CB22" s="1399"/>
      <c r="CC22" s="1399"/>
      <c r="CD22" s="1399"/>
      <c r="CE22" s="1399"/>
      <c r="CF22" s="1399"/>
      <c r="CG22" s="1399"/>
      <c r="CH22" s="1399"/>
      <c r="CI22" s="1399"/>
      <c r="CJ22" s="1399"/>
      <c r="CK22" s="1399"/>
      <c r="CL22" s="1399"/>
      <c r="CM22" s="1399"/>
      <c r="CN22" s="1399"/>
      <c r="CO22" s="1399"/>
      <c r="CP22" s="1399"/>
      <c r="CQ22" s="1399"/>
      <c r="CR22" s="1399"/>
      <c r="CS22" s="1399"/>
      <c r="CT22" s="1399"/>
      <c r="CU22" s="1399"/>
      <c r="CV22" s="1399"/>
      <c r="CW22" s="1399"/>
      <c r="CX22" s="1399"/>
      <c r="CY22" s="1399"/>
      <c r="CZ22" s="1399"/>
      <c r="DA22" s="1399"/>
      <c r="DB22" s="1399"/>
      <c r="DC22" s="1399"/>
      <c r="DD22" s="1399"/>
      <c r="DE22" s="1399"/>
      <c r="DF22" s="1399"/>
      <c r="DG22" s="1399"/>
      <c r="DH22" s="1399"/>
      <c r="DI22" s="1399"/>
      <c r="DJ22" s="1399"/>
      <c r="DK22" s="1399"/>
      <c r="DL22" s="1399"/>
      <c r="DM22" s="1399"/>
      <c r="DN22" s="1399"/>
      <c r="DO22" s="1399"/>
      <c r="DP22" s="1399"/>
      <c r="DQ22" s="1399"/>
      <c r="DR22" s="1399"/>
      <c r="DS22" s="1399"/>
      <c r="DT22" s="1399"/>
      <c r="DU22" s="1399"/>
      <c r="DV22" s="1399"/>
      <c r="DW22" s="1399"/>
      <c r="DX22" s="1399"/>
      <c r="DY22" s="1399"/>
      <c r="DZ22" s="1399"/>
      <c r="EA22" s="1399"/>
      <c r="EB22" s="1399"/>
      <c r="EC22" s="1399"/>
      <c r="ED22" s="1399"/>
      <c r="EE22" s="1399"/>
      <c r="EF22" s="1399"/>
      <c r="EG22" s="1399"/>
      <c r="EH22" s="1399"/>
      <c r="EI22" s="1399"/>
      <c r="EJ22" s="1399"/>
      <c r="EK22" s="1399"/>
      <c r="EL22" s="1399"/>
      <c r="EM22" s="1399"/>
      <c r="EN22" s="1399"/>
      <c r="EO22" s="1399"/>
      <c r="EP22" s="1399"/>
      <c r="EQ22" s="1399"/>
      <c r="ER22" s="1399"/>
      <c r="ES22" s="1399"/>
      <c r="ET22" s="1399"/>
      <c r="EU22" s="1399"/>
      <c r="EV22" s="1399"/>
      <c r="EW22" s="1399"/>
      <c r="EX22" s="1399"/>
      <c r="EY22" s="1399"/>
      <c r="EZ22" s="1399"/>
      <c r="FA22" s="1399"/>
      <c r="FB22" s="1399"/>
      <c r="FC22" s="1399"/>
      <c r="FD22" s="1399"/>
      <c r="FE22" s="1399"/>
      <c r="FF22" s="1399"/>
      <c r="FG22" s="1399"/>
      <c r="FH22" s="1399"/>
      <c r="FI22" s="1399"/>
      <c r="FJ22" s="1399"/>
      <c r="FK22" s="1399"/>
      <c r="FL22" s="1399"/>
      <c r="FM22" s="1399"/>
      <c r="FN22" s="1399"/>
      <c r="FO22" s="1399"/>
      <c r="FP22" s="1399"/>
      <c r="FQ22" s="1399"/>
      <c r="FR22" s="1399"/>
      <c r="FS22" s="1399"/>
      <c r="FT22" s="1399"/>
      <c r="FU22" s="1399"/>
      <c r="FV22" s="1399"/>
      <c r="FW22" s="1399"/>
      <c r="FX22" s="1399"/>
      <c r="FY22" s="1399"/>
      <c r="FZ22" s="1399"/>
      <c r="GA22" s="1399"/>
      <c r="GB22" s="1399"/>
      <c r="GC22" s="1399"/>
      <c r="GD22" s="1399"/>
      <c r="GE22" s="1399"/>
      <c r="GF22" s="1399"/>
      <c r="GG22" s="1399"/>
      <c r="GH22" s="1399"/>
      <c r="GI22" s="1399"/>
      <c r="GJ22" s="1399"/>
      <c r="GK22" s="1399"/>
      <c r="GL22" s="1399"/>
      <c r="GM22" s="1399"/>
      <c r="GN22" s="1399"/>
      <c r="GO22" s="1399"/>
      <c r="GP22" s="1399"/>
      <c r="GQ22" s="1399"/>
      <c r="GR22" s="1399"/>
      <c r="GS22" s="1399"/>
      <c r="GT22" s="1399"/>
      <c r="GU22" s="1399"/>
      <c r="GV22" s="1399"/>
      <c r="GW22" s="1399"/>
      <c r="GX22" s="1399"/>
      <c r="GY22" s="1399"/>
      <c r="GZ22" s="1399"/>
      <c r="HA22" s="1399"/>
      <c r="HB22" s="1399"/>
      <c r="HC22" s="1399"/>
      <c r="HD22" s="1399"/>
      <c r="HE22" s="1399"/>
      <c r="HF22" s="1399"/>
      <c r="HG22" s="1399"/>
      <c r="HH22" s="1399"/>
      <c r="HI22" s="1399"/>
      <c r="HJ22" s="1399"/>
      <c r="HK22" s="1399"/>
      <c r="HL22" s="1399"/>
      <c r="HM22" s="1399"/>
      <c r="HN22" s="1399"/>
      <c r="HO22" s="1399"/>
      <c r="HP22" s="1399"/>
      <c r="HQ22" s="1399"/>
      <c r="HR22" s="1399"/>
      <c r="HS22" s="1399"/>
      <c r="HT22" s="1399"/>
      <c r="HU22" s="1399"/>
      <c r="HV22" s="1399"/>
      <c r="HW22" s="1399"/>
      <c r="HX22" s="1399"/>
      <c r="HY22" s="1399"/>
      <c r="HZ22" s="1399"/>
      <c r="IA22" s="1399"/>
      <c r="IB22" s="1399"/>
      <c r="IC22" s="1399"/>
      <c r="ID22" s="1399"/>
      <c r="IE22" s="1399"/>
      <c r="IF22" s="1399"/>
      <c r="IG22" s="1399"/>
      <c r="IH22" s="1399"/>
      <c r="II22" s="1399"/>
      <c r="IJ22" s="1399"/>
      <c r="IK22" s="1399"/>
      <c r="IL22" s="1399"/>
      <c r="IM22" s="1399"/>
      <c r="IN22" s="1399"/>
      <c r="IO22" s="1399"/>
      <c r="IP22" s="1399"/>
      <c r="IQ22" s="1399"/>
      <c r="IR22" s="1399"/>
      <c r="IS22" s="1399"/>
      <c r="IT22" s="1399"/>
      <c r="IU22" s="1399"/>
      <c r="IV22" s="1399"/>
    </row>
    <row r="23" spans="1:256">
      <c r="A23" s="1394"/>
      <c r="B23" s="1395"/>
      <c r="C23" s="1394"/>
      <c r="D23" s="1394"/>
      <c r="E23" s="1394"/>
      <c r="F23" s="1394"/>
      <c r="G23" s="1396"/>
      <c r="H23" s="1397"/>
      <c r="I23" s="1398"/>
      <c r="J23" s="1399"/>
      <c r="K23" s="1399"/>
      <c r="L23" s="1399"/>
      <c r="M23" s="1399"/>
      <c r="N23" s="1399"/>
      <c r="O23" s="1399"/>
      <c r="P23" s="1399"/>
      <c r="Q23" s="1399"/>
      <c r="R23" s="1399"/>
      <c r="S23" s="1399"/>
      <c r="T23" s="1399"/>
      <c r="U23" s="1399"/>
      <c r="V23" s="1399"/>
      <c r="W23" s="1399"/>
      <c r="X23" s="1399"/>
      <c r="Y23" s="1399"/>
      <c r="Z23" s="1399"/>
      <c r="AA23" s="1399"/>
      <c r="AB23" s="1399"/>
      <c r="AC23" s="1399"/>
      <c r="AD23" s="1399"/>
      <c r="AE23" s="1399"/>
      <c r="AF23" s="1399"/>
      <c r="AG23" s="1399"/>
      <c r="AH23" s="1399"/>
      <c r="AI23" s="1399"/>
      <c r="AJ23" s="1399"/>
      <c r="AK23" s="1399"/>
      <c r="AL23" s="1399"/>
      <c r="AM23" s="1399"/>
      <c r="AN23" s="1399"/>
      <c r="AO23" s="1399"/>
      <c r="AP23" s="1399"/>
      <c r="AQ23" s="1399"/>
      <c r="AR23" s="1399"/>
      <c r="AS23" s="1399"/>
      <c r="AT23" s="1399"/>
      <c r="AU23" s="1399"/>
      <c r="AV23" s="1399"/>
      <c r="AW23" s="1399"/>
      <c r="AX23" s="1399"/>
      <c r="AY23" s="1399"/>
      <c r="AZ23" s="1399"/>
      <c r="BA23" s="1399"/>
      <c r="BB23" s="1399"/>
      <c r="BC23" s="1399"/>
      <c r="BD23" s="1399"/>
      <c r="BE23" s="1399"/>
      <c r="BF23" s="1399"/>
      <c r="BG23" s="1399"/>
      <c r="BH23" s="1399"/>
      <c r="BI23" s="1399"/>
      <c r="BJ23" s="1399"/>
      <c r="BK23" s="1399"/>
      <c r="BL23" s="1399"/>
      <c r="BM23" s="1399"/>
      <c r="BN23" s="1399"/>
      <c r="BO23" s="1399"/>
      <c r="BP23" s="1399"/>
      <c r="BQ23" s="1399"/>
      <c r="BR23" s="1399"/>
      <c r="BS23" s="1399"/>
      <c r="BT23" s="1399"/>
      <c r="BU23" s="1399"/>
      <c r="BV23" s="1399"/>
      <c r="BW23" s="1399"/>
      <c r="BX23" s="1399"/>
      <c r="BY23" s="1399"/>
      <c r="BZ23" s="1399"/>
      <c r="CA23" s="1399"/>
      <c r="CB23" s="1399"/>
      <c r="CC23" s="1399"/>
      <c r="CD23" s="1399"/>
      <c r="CE23" s="1399"/>
      <c r="CF23" s="1399"/>
      <c r="CG23" s="1399"/>
      <c r="CH23" s="1399"/>
      <c r="CI23" s="1399"/>
      <c r="CJ23" s="1399"/>
      <c r="CK23" s="1399"/>
      <c r="CL23" s="1399"/>
      <c r="CM23" s="1399"/>
      <c r="CN23" s="1399"/>
      <c r="CO23" s="1399"/>
      <c r="CP23" s="1399"/>
      <c r="CQ23" s="1399"/>
      <c r="CR23" s="1399"/>
      <c r="CS23" s="1399"/>
      <c r="CT23" s="1399"/>
      <c r="CU23" s="1399"/>
      <c r="CV23" s="1399"/>
      <c r="CW23" s="1399"/>
      <c r="CX23" s="1399"/>
      <c r="CY23" s="1399"/>
      <c r="CZ23" s="1399"/>
      <c r="DA23" s="1399"/>
      <c r="DB23" s="1399"/>
      <c r="DC23" s="1399"/>
      <c r="DD23" s="1399"/>
      <c r="DE23" s="1399"/>
      <c r="DF23" s="1399"/>
      <c r="DG23" s="1399"/>
      <c r="DH23" s="1399"/>
      <c r="DI23" s="1399"/>
      <c r="DJ23" s="1399"/>
      <c r="DK23" s="1399"/>
      <c r="DL23" s="1399"/>
      <c r="DM23" s="1399"/>
      <c r="DN23" s="1399"/>
      <c r="DO23" s="1399"/>
      <c r="DP23" s="1399"/>
      <c r="DQ23" s="1399"/>
      <c r="DR23" s="1399"/>
      <c r="DS23" s="1399"/>
      <c r="DT23" s="1399"/>
      <c r="DU23" s="1399"/>
      <c r="DV23" s="1399"/>
      <c r="DW23" s="1399"/>
      <c r="DX23" s="1399"/>
      <c r="DY23" s="1399"/>
      <c r="DZ23" s="1399"/>
      <c r="EA23" s="1399"/>
      <c r="EB23" s="1399"/>
      <c r="EC23" s="1399"/>
      <c r="ED23" s="1399"/>
      <c r="EE23" s="1399"/>
      <c r="EF23" s="1399"/>
      <c r="EG23" s="1399"/>
      <c r="EH23" s="1399"/>
      <c r="EI23" s="1399"/>
      <c r="EJ23" s="1399"/>
      <c r="EK23" s="1399"/>
      <c r="EL23" s="1399"/>
      <c r="EM23" s="1399"/>
      <c r="EN23" s="1399"/>
      <c r="EO23" s="1399"/>
      <c r="EP23" s="1399"/>
      <c r="EQ23" s="1399"/>
      <c r="ER23" s="1399"/>
      <c r="ES23" s="1399"/>
      <c r="ET23" s="1399"/>
      <c r="EU23" s="1399"/>
      <c r="EV23" s="1399"/>
      <c r="EW23" s="1399"/>
      <c r="EX23" s="1399"/>
      <c r="EY23" s="1399"/>
      <c r="EZ23" s="1399"/>
      <c r="FA23" s="1399"/>
      <c r="FB23" s="1399"/>
      <c r="FC23" s="1399"/>
      <c r="FD23" s="1399"/>
      <c r="FE23" s="1399"/>
      <c r="FF23" s="1399"/>
      <c r="FG23" s="1399"/>
      <c r="FH23" s="1399"/>
      <c r="FI23" s="1399"/>
      <c r="FJ23" s="1399"/>
      <c r="FK23" s="1399"/>
      <c r="FL23" s="1399"/>
      <c r="FM23" s="1399"/>
      <c r="FN23" s="1399"/>
      <c r="FO23" s="1399"/>
      <c r="FP23" s="1399"/>
      <c r="FQ23" s="1399"/>
      <c r="FR23" s="1399"/>
      <c r="FS23" s="1399"/>
      <c r="FT23" s="1399"/>
      <c r="FU23" s="1399"/>
      <c r="FV23" s="1399"/>
      <c r="FW23" s="1399"/>
      <c r="FX23" s="1399"/>
      <c r="FY23" s="1399"/>
      <c r="FZ23" s="1399"/>
      <c r="GA23" s="1399"/>
      <c r="GB23" s="1399"/>
      <c r="GC23" s="1399"/>
      <c r="GD23" s="1399"/>
      <c r="GE23" s="1399"/>
      <c r="GF23" s="1399"/>
      <c r="GG23" s="1399"/>
      <c r="GH23" s="1399"/>
      <c r="GI23" s="1399"/>
      <c r="GJ23" s="1399"/>
      <c r="GK23" s="1399"/>
      <c r="GL23" s="1399"/>
      <c r="GM23" s="1399"/>
      <c r="GN23" s="1399"/>
      <c r="GO23" s="1399"/>
      <c r="GP23" s="1399"/>
      <c r="GQ23" s="1399"/>
      <c r="GR23" s="1399"/>
      <c r="GS23" s="1399"/>
      <c r="GT23" s="1399"/>
      <c r="GU23" s="1399"/>
      <c r="GV23" s="1399"/>
      <c r="GW23" s="1399"/>
      <c r="GX23" s="1399"/>
      <c r="GY23" s="1399"/>
      <c r="GZ23" s="1399"/>
      <c r="HA23" s="1399"/>
      <c r="HB23" s="1399"/>
      <c r="HC23" s="1399"/>
      <c r="HD23" s="1399"/>
      <c r="HE23" s="1399"/>
      <c r="HF23" s="1399"/>
      <c r="HG23" s="1399"/>
      <c r="HH23" s="1399"/>
      <c r="HI23" s="1399"/>
      <c r="HJ23" s="1399"/>
      <c r="HK23" s="1399"/>
      <c r="HL23" s="1399"/>
      <c r="HM23" s="1399"/>
      <c r="HN23" s="1399"/>
      <c r="HO23" s="1399"/>
      <c r="HP23" s="1399"/>
      <c r="HQ23" s="1399"/>
      <c r="HR23" s="1399"/>
      <c r="HS23" s="1399"/>
      <c r="HT23" s="1399"/>
      <c r="HU23" s="1399"/>
      <c r="HV23" s="1399"/>
      <c r="HW23" s="1399"/>
      <c r="HX23" s="1399"/>
      <c r="HY23" s="1399"/>
      <c r="HZ23" s="1399"/>
      <c r="IA23" s="1399"/>
      <c r="IB23" s="1399"/>
      <c r="IC23" s="1399"/>
      <c r="ID23" s="1399"/>
      <c r="IE23" s="1399"/>
      <c r="IF23" s="1399"/>
      <c r="IG23" s="1399"/>
      <c r="IH23" s="1399"/>
      <c r="II23" s="1399"/>
      <c r="IJ23" s="1399"/>
      <c r="IK23" s="1399"/>
      <c r="IL23" s="1399"/>
      <c r="IM23" s="1399"/>
      <c r="IN23" s="1399"/>
      <c r="IO23" s="1399"/>
      <c r="IP23" s="1399"/>
      <c r="IQ23" s="1399"/>
      <c r="IR23" s="1399"/>
      <c r="IS23" s="1399"/>
      <c r="IT23" s="1399"/>
      <c r="IU23" s="1399"/>
      <c r="IV23" s="1399"/>
    </row>
    <row r="24" spans="1:256" ht="16.5">
      <c r="A24" s="1400" t="s">
        <v>7115</v>
      </c>
      <c r="B24" s="1400"/>
      <c r="C24" s="1400"/>
      <c r="D24" s="1400"/>
      <c r="E24" s="1400"/>
      <c r="F24" s="1400"/>
      <c r="G24" s="1400"/>
      <c r="H24" s="1400"/>
      <c r="I24" s="1400"/>
      <c r="J24" s="1401"/>
      <c r="K24" s="1401"/>
      <c r="L24" s="1401"/>
      <c r="M24" s="1401"/>
      <c r="N24" s="1401"/>
      <c r="O24" s="1401"/>
      <c r="P24" s="1401"/>
      <c r="Q24" s="1401"/>
      <c r="R24" s="1401"/>
      <c r="S24" s="1401"/>
      <c r="T24" s="1401"/>
      <c r="U24" s="1401"/>
      <c r="V24" s="1401"/>
      <c r="W24" s="1401"/>
      <c r="X24" s="1401"/>
      <c r="Y24" s="1401"/>
      <c r="Z24" s="1401"/>
      <c r="AA24" s="1401"/>
      <c r="AB24" s="1401"/>
      <c r="AC24" s="1401"/>
      <c r="AD24" s="1401"/>
      <c r="AE24" s="1401"/>
      <c r="AF24" s="1401"/>
      <c r="AG24" s="1401"/>
      <c r="AH24" s="1401"/>
      <c r="AI24" s="1401"/>
      <c r="AJ24" s="1401"/>
      <c r="AK24" s="1401"/>
      <c r="AL24" s="1401"/>
      <c r="AM24" s="1401"/>
      <c r="AN24" s="1401"/>
      <c r="AO24" s="1401"/>
      <c r="AP24" s="1401"/>
      <c r="AQ24" s="1401"/>
      <c r="AR24" s="1401"/>
      <c r="AS24" s="1401"/>
      <c r="AT24" s="1401"/>
      <c r="AU24" s="1401"/>
      <c r="AV24" s="1401"/>
      <c r="AW24" s="1401"/>
      <c r="AX24" s="1401"/>
      <c r="AY24" s="1401"/>
      <c r="AZ24" s="1401"/>
      <c r="BA24" s="1401"/>
      <c r="BB24" s="1401"/>
      <c r="BC24" s="1401"/>
      <c r="BD24" s="1401"/>
      <c r="BE24" s="1401"/>
      <c r="BF24" s="1401"/>
      <c r="BG24" s="1401"/>
      <c r="BH24" s="1401"/>
      <c r="BI24" s="1401"/>
      <c r="BJ24" s="1401"/>
      <c r="BK24" s="1401"/>
      <c r="BL24" s="1401"/>
      <c r="BM24" s="1401"/>
      <c r="BN24" s="1401"/>
      <c r="BO24" s="1401"/>
      <c r="BP24" s="1401"/>
      <c r="BQ24" s="1401"/>
      <c r="BR24" s="1401"/>
      <c r="BS24" s="1401"/>
      <c r="BT24" s="1401"/>
      <c r="BU24" s="1401"/>
      <c r="BV24" s="1401"/>
      <c r="BW24" s="1401"/>
      <c r="BX24" s="1401"/>
      <c r="BY24" s="1401"/>
      <c r="BZ24" s="1401"/>
      <c r="CA24" s="1401"/>
      <c r="CB24" s="1401"/>
      <c r="CC24" s="1401"/>
      <c r="CD24" s="1401"/>
      <c r="CE24" s="1401"/>
      <c r="CF24" s="1401"/>
      <c r="CG24" s="1401"/>
      <c r="CH24" s="1401"/>
      <c r="CI24" s="1401"/>
      <c r="CJ24" s="1401"/>
      <c r="CK24" s="1401"/>
      <c r="CL24" s="1401"/>
      <c r="CM24" s="1401"/>
      <c r="CN24" s="1401"/>
      <c r="CO24" s="1401"/>
      <c r="CP24" s="1401"/>
      <c r="CQ24" s="1401"/>
      <c r="CR24" s="1401"/>
      <c r="CS24" s="1401"/>
      <c r="CT24" s="1401"/>
      <c r="CU24" s="1401"/>
      <c r="CV24" s="1401"/>
      <c r="CW24" s="1401"/>
      <c r="CX24" s="1401"/>
      <c r="CY24" s="1401"/>
      <c r="CZ24" s="1401"/>
      <c r="DA24" s="1401"/>
      <c r="DB24" s="1401"/>
      <c r="DC24" s="1401"/>
      <c r="DD24" s="1401"/>
      <c r="DE24" s="1401"/>
      <c r="DF24" s="1401"/>
      <c r="DG24" s="1401"/>
      <c r="DH24" s="1401"/>
      <c r="DI24" s="1401"/>
      <c r="DJ24" s="1401"/>
      <c r="DK24" s="1401"/>
      <c r="DL24" s="1401"/>
      <c r="DM24" s="1401"/>
      <c r="DN24" s="1401"/>
      <c r="DO24" s="1401"/>
      <c r="DP24" s="1401"/>
      <c r="DQ24" s="1401"/>
      <c r="DR24" s="1401"/>
      <c r="DS24" s="1401"/>
      <c r="DT24" s="1401"/>
      <c r="DU24" s="1401"/>
      <c r="DV24" s="1401"/>
      <c r="DW24" s="1401"/>
      <c r="DX24" s="1401"/>
      <c r="DY24" s="1401"/>
      <c r="DZ24" s="1401"/>
      <c r="EA24" s="1401"/>
      <c r="EB24" s="1401"/>
      <c r="EC24" s="1401"/>
      <c r="ED24" s="1401"/>
      <c r="EE24" s="1401"/>
      <c r="EF24" s="1401"/>
      <c r="EG24" s="1401"/>
      <c r="EH24" s="1401"/>
      <c r="EI24" s="1401"/>
      <c r="EJ24" s="1401"/>
      <c r="EK24" s="1401"/>
      <c r="EL24" s="1401"/>
      <c r="EM24" s="1401"/>
      <c r="EN24" s="1401"/>
      <c r="EO24" s="1401"/>
      <c r="EP24" s="1401"/>
      <c r="EQ24" s="1401"/>
      <c r="ER24" s="1401"/>
      <c r="ES24" s="1401"/>
      <c r="ET24" s="1401"/>
      <c r="EU24" s="1401"/>
      <c r="EV24" s="1401"/>
      <c r="EW24" s="1401"/>
      <c r="EX24" s="1401"/>
      <c r="EY24" s="1401"/>
      <c r="EZ24" s="1401"/>
      <c r="FA24" s="1401"/>
      <c r="FB24" s="1401"/>
      <c r="FC24" s="1401"/>
      <c r="FD24" s="1401"/>
      <c r="FE24" s="1401"/>
      <c r="FF24" s="1401"/>
      <c r="FG24" s="1401"/>
      <c r="FH24" s="1401"/>
      <c r="FI24" s="1401"/>
      <c r="FJ24" s="1401"/>
      <c r="FK24" s="1401"/>
      <c r="FL24" s="1401"/>
      <c r="FM24" s="1401"/>
      <c r="FN24" s="1401"/>
      <c r="FO24" s="1401"/>
      <c r="FP24" s="1401"/>
      <c r="FQ24" s="1401"/>
      <c r="FR24" s="1401"/>
      <c r="FS24" s="1401"/>
      <c r="FT24" s="1401"/>
      <c r="FU24" s="1401"/>
      <c r="FV24" s="1401"/>
      <c r="FW24" s="1401"/>
      <c r="FX24" s="1401"/>
      <c r="FY24" s="1401"/>
      <c r="FZ24" s="1401"/>
      <c r="GA24" s="1401"/>
      <c r="GB24" s="1401"/>
      <c r="GC24" s="1401"/>
      <c r="GD24" s="1401"/>
      <c r="GE24" s="1401"/>
      <c r="GF24" s="1401"/>
      <c r="GG24" s="1401"/>
      <c r="GH24" s="1401"/>
      <c r="GI24" s="1401"/>
      <c r="GJ24" s="1401"/>
      <c r="GK24" s="1401"/>
      <c r="GL24" s="1401"/>
      <c r="GM24" s="1401"/>
      <c r="GN24" s="1401"/>
      <c r="GO24" s="1401"/>
      <c r="GP24" s="1401"/>
      <c r="GQ24" s="1401"/>
      <c r="GR24" s="1401"/>
      <c r="GS24" s="1401"/>
      <c r="GT24" s="1401"/>
      <c r="GU24" s="1401"/>
      <c r="GV24" s="1401"/>
      <c r="GW24" s="1401"/>
      <c r="GX24" s="1401"/>
      <c r="GY24" s="1401"/>
      <c r="GZ24" s="1401"/>
      <c r="HA24" s="1401"/>
      <c r="HB24" s="1401"/>
      <c r="HC24" s="1401"/>
      <c r="HD24" s="1401"/>
      <c r="HE24" s="1401"/>
      <c r="HF24" s="1401"/>
      <c r="HG24" s="1401"/>
      <c r="HH24" s="1401"/>
      <c r="HI24" s="1401"/>
      <c r="HJ24" s="1401"/>
      <c r="HK24" s="1401"/>
      <c r="HL24" s="1401"/>
      <c r="HM24" s="1401"/>
      <c r="HN24" s="1401"/>
      <c r="HO24" s="1401"/>
      <c r="HP24" s="1401"/>
      <c r="HQ24" s="1401"/>
      <c r="HR24" s="1401"/>
      <c r="HS24" s="1401"/>
      <c r="HT24" s="1401"/>
      <c r="HU24" s="1401"/>
      <c r="HV24" s="1401"/>
      <c r="HW24" s="1401"/>
      <c r="HX24" s="1401"/>
      <c r="HY24" s="1401"/>
      <c r="HZ24" s="1401"/>
      <c r="IA24" s="1401"/>
      <c r="IB24" s="1401"/>
      <c r="IC24" s="1401"/>
      <c r="ID24" s="1401"/>
      <c r="IE24" s="1401"/>
      <c r="IF24" s="1401"/>
      <c r="IG24" s="1401"/>
      <c r="IH24" s="1401"/>
      <c r="II24" s="1401"/>
      <c r="IJ24" s="1401"/>
      <c r="IK24" s="1401"/>
      <c r="IL24" s="1401"/>
      <c r="IM24" s="1401"/>
      <c r="IN24" s="1401"/>
      <c r="IO24" s="1401"/>
      <c r="IP24" s="1401"/>
      <c r="IQ24" s="1401"/>
      <c r="IR24" s="1401"/>
      <c r="IS24" s="1401"/>
      <c r="IT24" s="1401"/>
      <c r="IU24" s="1401"/>
      <c r="IV24" s="1401"/>
    </row>
    <row r="25" spans="1:256">
      <c r="A25" s="1401"/>
      <c r="B25" s="1401"/>
      <c r="C25" s="1402"/>
      <c r="D25" s="1402"/>
      <c r="E25" s="1401"/>
      <c r="F25" s="1401"/>
      <c r="G25" s="1401"/>
      <c r="H25" s="1401"/>
      <c r="I25" s="1401"/>
      <c r="J25" s="1401"/>
      <c r="K25" s="1401"/>
      <c r="L25" s="1401"/>
      <c r="M25" s="1401"/>
      <c r="N25" s="1401"/>
      <c r="O25" s="1401"/>
      <c r="P25" s="1401"/>
      <c r="Q25" s="1401"/>
      <c r="R25" s="1401"/>
      <c r="S25" s="1401"/>
      <c r="T25" s="1401"/>
      <c r="U25" s="1401"/>
      <c r="V25" s="1401"/>
      <c r="W25" s="1401"/>
      <c r="X25" s="1401"/>
      <c r="Y25" s="1401"/>
      <c r="Z25" s="1401"/>
      <c r="AA25" s="1401"/>
      <c r="AB25" s="1401"/>
      <c r="AC25" s="1401"/>
      <c r="AD25" s="1401"/>
      <c r="AE25" s="1401"/>
      <c r="AF25" s="1401"/>
      <c r="AG25" s="1401"/>
      <c r="AH25" s="1401"/>
      <c r="AI25" s="1401"/>
      <c r="AJ25" s="1401"/>
      <c r="AK25" s="1401"/>
      <c r="AL25" s="1401"/>
      <c r="AM25" s="1401"/>
      <c r="AN25" s="1401"/>
      <c r="AO25" s="1401"/>
      <c r="AP25" s="1401"/>
      <c r="AQ25" s="1401"/>
      <c r="AR25" s="1401"/>
      <c r="AS25" s="1401"/>
      <c r="AT25" s="1401"/>
      <c r="AU25" s="1401"/>
      <c r="AV25" s="1401"/>
      <c r="AW25" s="1401"/>
      <c r="AX25" s="1401"/>
      <c r="AY25" s="1401"/>
      <c r="AZ25" s="1401"/>
      <c r="BA25" s="1401"/>
      <c r="BB25" s="1401"/>
      <c r="BC25" s="1401"/>
      <c r="BD25" s="1401"/>
      <c r="BE25" s="1401"/>
      <c r="BF25" s="1401"/>
      <c r="BG25" s="1401"/>
      <c r="BH25" s="1401"/>
      <c r="BI25" s="1401"/>
      <c r="BJ25" s="1401"/>
      <c r="BK25" s="1401"/>
      <c r="BL25" s="1401"/>
      <c r="BM25" s="1401"/>
      <c r="BN25" s="1401"/>
      <c r="BO25" s="1401"/>
      <c r="BP25" s="1401"/>
      <c r="BQ25" s="1401"/>
      <c r="BR25" s="1401"/>
      <c r="BS25" s="1401"/>
      <c r="BT25" s="1401"/>
      <c r="BU25" s="1401"/>
      <c r="BV25" s="1401"/>
      <c r="BW25" s="1401"/>
      <c r="BX25" s="1401"/>
      <c r="BY25" s="1401"/>
      <c r="BZ25" s="1401"/>
      <c r="CA25" s="1401"/>
      <c r="CB25" s="1401"/>
      <c r="CC25" s="1401"/>
      <c r="CD25" s="1401"/>
      <c r="CE25" s="1401"/>
      <c r="CF25" s="1401"/>
      <c r="CG25" s="1401"/>
      <c r="CH25" s="1401"/>
      <c r="CI25" s="1401"/>
      <c r="CJ25" s="1401"/>
      <c r="CK25" s="1401"/>
      <c r="CL25" s="1401"/>
      <c r="CM25" s="1401"/>
      <c r="CN25" s="1401"/>
      <c r="CO25" s="1401"/>
      <c r="CP25" s="1401"/>
      <c r="CQ25" s="1401"/>
      <c r="CR25" s="1401"/>
      <c r="CS25" s="1401"/>
      <c r="CT25" s="1401"/>
      <c r="CU25" s="1401"/>
      <c r="CV25" s="1401"/>
      <c r="CW25" s="1401"/>
      <c r="CX25" s="1401"/>
      <c r="CY25" s="1401"/>
      <c r="CZ25" s="1401"/>
      <c r="DA25" s="1401"/>
      <c r="DB25" s="1401"/>
      <c r="DC25" s="1401"/>
      <c r="DD25" s="1401"/>
      <c r="DE25" s="1401"/>
      <c r="DF25" s="1401"/>
      <c r="DG25" s="1401"/>
      <c r="DH25" s="1401"/>
      <c r="DI25" s="1401"/>
      <c r="DJ25" s="1401"/>
      <c r="DK25" s="1401"/>
      <c r="DL25" s="1401"/>
      <c r="DM25" s="1401"/>
      <c r="DN25" s="1401"/>
      <c r="DO25" s="1401"/>
      <c r="DP25" s="1401"/>
      <c r="DQ25" s="1401"/>
      <c r="DR25" s="1401"/>
      <c r="DS25" s="1401"/>
      <c r="DT25" s="1401"/>
      <c r="DU25" s="1401"/>
      <c r="DV25" s="1401"/>
      <c r="DW25" s="1401"/>
      <c r="DX25" s="1401"/>
      <c r="DY25" s="1401"/>
      <c r="DZ25" s="1401"/>
      <c r="EA25" s="1401"/>
      <c r="EB25" s="1401"/>
      <c r="EC25" s="1401"/>
      <c r="ED25" s="1401"/>
      <c r="EE25" s="1401"/>
      <c r="EF25" s="1401"/>
      <c r="EG25" s="1401"/>
      <c r="EH25" s="1401"/>
      <c r="EI25" s="1401"/>
      <c r="EJ25" s="1401"/>
      <c r="EK25" s="1401"/>
      <c r="EL25" s="1401"/>
      <c r="EM25" s="1401"/>
      <c r="EN25" s="1401"/>
      <c r="EO25" s="1401"/>
      <c r="EP25" s="1401"/>
      <c r="EQ25" s="1401"/>
      <c r="ER25" s="1401"/>
      <c r="ES25" s="1401"/>
      <c r="ET25" s="1401"/>
      <c r="EU25" s="1401"/>
      <c r="EV25" s="1401"/>
      <c r="EW25" s="1401"/>
      <c r="EX25" s="1401"/>
      <c r="EY25" s="1401"/>
      <c r="EZ25" s="1401"/>
      <c r="FA25" s="1401"/>
      <c r="FB25" s="1401"/>
      <c r="FC25" s="1401"/>
      <c r="FD25" s="1401"/>
      <c r="FE25" s="1401"/>
      <c r="FF25" s="1401"/>
      <c r="FG25" s="1401"/>
      <c r="FH25" s="1401"/>
      <c r="FI25" s="1401"/>
      <c r="FJ25" s="1401"/>
      <c r="FK25" s="1401"/>
      <c r="FL25" s="1401"/>
      <c r="FM25" s="1401"/>
      <c r="FN25" s="1401"/>
      <c r="FO25" s="1401"/>
      <c r="FP25" s="1401"/>
      <c r="FQ25" s="1401"/>
      <c r="FR25" s="1401"/>
      <c r="FS25" s="1401"/>
      <c r="FT25" s="1401"/>
      <c r="FU25" s="1401"/>
      <c r="FV25" s="1401"/>
      <c r="FW25" s="1401"/>
      <c r="FX25" s="1401"/>
      <c r="FY25" s="1401"/>
      <c r="FZ25" s="1401"/>
      <c r="GA25" s="1401"/>
      <c r="GB25" s="1401"/>
      <c r="GC25" s="1401"/>
      <c r="GD25" s="1401"/>
      <c r="GE25" s="1401"/>
      <c r="GF25" s="1401"/>
      <c r="GG25" s="1401"/>
      <c r="GH25" s="1401"/>
      <c r="GI25" s="1401"/>
      <c r="GJ25" s="1401"/>
      <c r="GK25" s="1401"/>
      <c r="GL25" s="1401"/>
      <c r="GM25" s="1401"/>
      <c r="GN25" s="1401"/>
      <c r="GO25" s="1401"/>
      <c r="GP25" s="1401"/>
      <c r="GQ25" s="1401"/>
      <c r="GR25" s="1401"/>
      <c r="GS25" s="1401"/>
      <c r="GT25" s="1401"/>
      <c r="GU25" s="1401"/>
      <c r="GV25" s="1401"/>
      <c r="GW25" s="1401"/>
      <c r="GX25" s="1401"/>
      <c r="GY25" s="1401"/>
      <c r="GZ25" s="1401"/>
      <c r="HA25" s="1401"/>
      <c r="HB25" s="1401"/>
      <c r="HC25" s="1401"/>
      <c r="HD25" s="1401"/>
      <c r="HE25" s="1401"/>
      <c r="HF25" s="1401"/>
      <c r="HG25" s="1401"/>
      <c r="HH25" s="1401"/>
      <c r="HI25" s="1401"/>
      <c r="HJ25" s="1401"/>
      <c r="HK25" s="1401"/>
      <c r="HL25" s="1401"/>
      <c r="HM25" s="1401"/>
      <c r="HN25" s="1401"/>
      <c r="HO25" s="1401"/>
      <c r="HP25" s="1401"/>
      <c r="HQ25" s="1401"/>
      <c r="HR25" s="1401"/>
      <c r="HS25" s="1401"/>
      <c r="HT25" s="1401"/>
      <c r="HU25" s="1401"/>
      <c r="HV25" s="1401"/>
      <c r="HW25" s="1401"/>
      <c r="HX25" s="1401"/>
      <c r="HY25" s="1401"/>
      <c r="HZ25" s="1401"/>
      <c r="IA25" s="1401"/>
      <c r="IB25" s="1401"/>
      <c r="IC25" s="1401"/>
      <c r="ID25" s="1401"/>
      <c r="IE25" s="1401"/>
      <c r="IF25" s="1401"/>
      <c r="IG25" s="1401"/>
      <c r="IH25" s="1401"/>
      <c r="II25" s="1401"/>
      <c r="IJ25" s="1401"/>
      <c r="IK25" s="1401"/>
      <c r="IL25" s="1401"/>
      <c r="IM25" s="1401"/>
      <c r="IN25" s="1401"/>
      <c r="IO25" s="1401"/>
      <c r="IP25" s="1401"/>
      <c r="IQ25" s="1401"/>
      <c r="IR25" s="1401"/>
      <c r="IS25" s="1401"/>
      <c r="IT25" s="1401"/>
      <c r="IU25" s="1401"/>
      <c r="IV25" s="1401"/>
    </row>
    <row r="26" spans="1:256">
      <c r="A26" s="1401"/>
      <c r="B26" s="1401"/>
      <c r="C26" s="1402"/>
      <c r="D26" s="1402"/>
      <c r="E26" s="1401"/>
      <c r="F26" s="1401"/>
      <c r="G26" s="1401"/>
      <c r="H26" s="1401"/>
      <c r="I26" s="1401"/>
      <c r="J26" s="1401"/>
      <c r="K26" s="1401"/>
      <c r="L26" s="1401"/>
      <c r="M26" s="1401"/>
      <c r="N26" s="1401"/>
      <c r="O26" s="1401"/>
      <c r="P26" s="1401"/>
      <c r="Q26" s="1401"/>
      <c r="R26" s="1401"/>
      <c r="S26" s="1401"/>
      <c r="T26" s="1401"/>
      <c r="U26" s="1401"/>
      <c r="V26" s="1401"/>
      <c r="W26" s="1401"/>
      <c r="X26" s="1401"/>
      <c r="Y26" s="1401"/>
      <c r="Z26" s="1401"/>
      <c r="AA26" s="1401"/>
      <c r="AB26" s="1401"/>
      <c r="AC26" s="1401"/>
      <c r="AD26" s="1401"/>
      <c r="AE26" s="1401"/>
      <c r="AF26" s="1401"/>
      <c r="AG26" s="1401"/>
      <c r="AH26" s="1401"/>
      <c r="AI26" s="1401"/>
      <c r="AJ26" s="1401"/>
      <c r="AK26" s="1401"/>
      <c r="AL26" s="1401"/>
      <c r="AM26" s="1401"/>
      <c r="AN26" s="1401"/>
      <c r="AO26" s="1401"/>
      <c r="AP26" s="1401"/>
      <c r="AQ26" s="1401"/>
      <c r="AR26" s="1401"/>
      <c r="AS26" s="1401"/>
      <c r="AT26" s="1401"/>
      <c r="AU26" s="1401"/>
      <c r="AV26" s="1401"/>
      <c r="AW26" s="1401"/>
      <c r="AX26" s="1401"/>
      <c r="AY26" s="1401"/>
      <c r="AZ26" s="1401"/>
      <c r="BA26" s="1401"/>
      <c r="BB26" s="1401"/>
      <c r="BC26" s="1401"/>
      <c r="BD26" s="1401"/>
      <c r="BE26" s="1401"/>
      <c r="BF26" s="1401"/>
      <c r="BG26" s="1401"/>
      <c r="BH26" s="1401"/>
      <c r="BI26" s="1401"/>
      <c r="BJ26" s="1401"/>
      <c r="BK26" s="1401"/>
      <c r="BL26" s="1401"/>
      <c r="BM26" s="1401"/>
      <c r="BN26" s="1401"/>
      <c r="BO26" s="1401"/>
      <c r="BP26" s="1401"/>
      <c r="BQ26" s="1401"/>
      <c r="BR26" s="1401"/>
      <c r="BS26" s="1401"/>
      <c r="BT26" s="1401"/>
      <c r="BU26" s="1401"/>
      <c r="BV26" s="1401"/>
      <c r="BW26" s="1401"/>
      <c r="BX26" s="1401"/>
      <c r="BY26" s="1401"/>
      <c r="BZ26" s="1401"/>
      <c r="CA26" s="1401"/>
      <c r="CB26" s="1401"/>
      <c r="CC26" s="1401"/>
      <c r="CD26" s="1401"/>
      <c r="CE26" s="1401"/>
      <c r="CF26" s="1401"/>
      <c r="CG26" s="1401"/>
      <c r="CH26" s="1401"/>
      <c r="CI26" s="1401"/>
      <c r="CJ26" s="1401"/>
      <c r="CK26" s="1401"/>
      <c r="CL26" s="1401"/>
      <c r="CM26" s="1401"/>
      <c r="CN26" s="1401"/>
      <c r="CO26" s="1401"/>
      <c r="CP26" s="1401"/>
      <c r="CQ26" s="1401"/>
      <c r="CR26" s="1401"/>
      <c r="CS26" s="1401"/>
      <c r="CT26" s="1401"/>
      <c r="CU26" s="1401"/>
      <c r="CV26" s="1401"/>
      <c r="CW26" s="1401"/>
      <c r="CX26" s="1401"/>
      <c r="CY26" s="1401"/>
      <c r="CZ26" s="1401"/>
      <c r="DA26" s="1401"/>
      <c r="DB26" s="1401"/>
      <c r="DC26" s="1401"/>
      <c r="DD26" s="1401"/>
      <c r="DE26" s="1401"/>
      <c r="DF26" s="1401"/>
      <c r="DG26" s="1401"/>
      <c r="DH26" s="1401"/>
      <c r="DI26" s="1401"/>
      <c r="DJ26" s="1401"/>
      <c r="DK26" s="1401"/>
      <c r="DL26" s="1401"/>
      <c r="DM26" s="1401"/>
      <c r="DN26" s="1401"/>
      <c r="DO26" s="1401"/>
      <c r="DP26" s="1401"/>
      <c r="DQ26" s="1401"/>
      <c r="DR26" s="1401"/>
      <c r="DS26" s="1401"/>
      <c r="DT26" s="1401"/>
      <c r="DU26" s="1401"/>
      <c r="DV26" s="1401"/>
      <c r="DW26" s="1401"/>
      <c r="DX26" s="1401"/>
      <c r="DY26" s="1401"/>
      <c r="DZ26" s="1401"/>
      <c r="EA26" s="1401"/>
      <c r="EB26" s="1401"/>
      <c r="EC26" s="1401"/>
      <c r="ED26" s="1401"/>
      <c r="EE26" s="1401"/>
      <c r="EF26" s="1401"/>
      <c r="EG26" s="1401"/>
      <c r="EH26" s="1401"/>
      <c r="EI26" s="1401"/>
      <c r="EJ26" s="1401"/>
      <c r="EK26" s="1401"/>
      <c r="EL26" s="1401"/>
      <c r="EM26" s="1401"/>
      <c r="EN26" s="1401"/>
      <c r="EO26" s="1401"/>
      <c r="EP26" s="1401"/>
      <c r="EQ26" s="1401"/>
      <c r="ER26" s="1401"/>
      <c r="ES26" s="1401"/>
      <c r="ET26" s="1401"/>
      <c r="EU26" s="1401"/>
      <c r="EV26" s="1401"/>
      <c r="EW26" s="1401"/>
      <c r="EX26" s="1401"/>
      <c r="EY26" s="1401"/>
      <c r="EZ26" s="1401"/>
      <c r="FA26" s="1401"/>
      <c r="FB26" s="1401"/>
      <c r="FC26" s="1401"/>
      <c r="FD26" s="1401"/>
      <c r="FE26" s="1401"/>
      <c r="FF26" s="1401"/>
      <c r="FG26" s="1401"/>
      <c r="FH26" s="1401"/>
      <c r="FI26" s="1401"/>
      <c r="FJ26" s="1401"/>
      <c r="FK26" s="1401"/>
      <c r="FL26" s="1401"/>
      <c r="FM26" s="1401"/>
      <c r="FN26" s="1401"/>
      <c r="FO26" s="1401"/>
      <c r="FP26" s="1401"/>
      <c r="FQ26" s="1401"/>
      <c r="FR26" s="1401"/>
      <c r="FS26" s="1401"/>
      <c r="FT26" s="1401"/>
      <c r="FU26" s="1401"/>
      <c r="FV26" s="1401"/>
      <c r="FW26" s="1401"/>
      <c r="FX26" s="1401"/>
      <c r="FY26" s="1401"/>
      <c r="FZ26" s="1401"/>
      <c r="GA26" s="1401"/>
      <c r="GB26" s="1401"/>
      <c r="GC26" s="1401"/>
      <c r="GD26" s="1401"/>
      <c r="GE26" s="1401"/>
      <c r="GF26" s="1401"/>
      <c r="GG26" s="1401"/>
      <c r="GH26" s="1401"/>
      <c r="GI26" s="1401"/>
      <c r="GJ26" s="1401"/>
      <c r="GK26" s="1401"/>
      <c r="GL26" s="1401"/>
      <c r="GM26" s="1401"/>
      <c r="GN26" s="1401"/>
      <c r="GO26" s="1401"/>
      <c r="GP26" s="1401"/>
      <c r="GQ26" s="1401"/>
      <c r="GR26" s="1401"/>
      <c r="GS26" s="1401"/>
      <c r="GT26" s="1401"/>
      <c r="GU26" s="1401"/>
      <c r="GV26" s="1401"/>
      <c r="GW26" s="1401"/>
      <c r="GX26" s="1401"/>
      <c r="GY26" s="1401"/>
      <c r="GZ26" s="1401"/>
      <c r="HA26" s="1401"/>
      <c r="HB26" s="1401"/>
      <c r="HC26" s="1401"/>
      <c r="HD26" s="1401"/>
      <c r="HE26" s="1401"/>
      <c r="HF26" s="1401"/>
      <c r="HG26" s="1401"/>
      <c r="HH26" s="1401"/>
      <c r="HI26" s="1401"/>
      <c r="HJ26" s="1401"/>
      <c r="HK26" s="1401"/>
      <c r="HL26" s="1401"/>
      <c r="HM26" s="1401"/>
      <c r="HN26" s="1401"/>
      <c r="HO26" s="1401"/>
      <c r="HP26" s="1401"/>
      <c r="HQ26" s="1401"/>
      <c r="HR26" s="1401"/>
      <c r="HS26" s="1401"/>
      <c r="HT26" s="1401"/>
      <c r="HU26" s="1401"/>
      <c r="HV26" s="1401"/>
      <c r="HW26" s="1401"/>
      <c r="HX26" s="1401"/>
      <c r="HY26" s="1401"/>
      <c r="HZ26" s="1401"/>
      <c r="IA26" s="1401"/>
      <c r="IB26" s="1401"/>
      <c r="IC26" s="1401"/>
      <c r="ID26" s="1401"/>
      <c r="IE26" s="1401"/>
      <c r="IF26" s="1401"/>
      <c r="IG26" s="1401"/>
      <c r="IH26" s="1401"/>
      <c r="II26" s="1401"/>
      <c r="IJ26" s="1401"/>
      <c r="IK26" s="1401"/>
      <c r="IL26" s="1401"/>
      <c r="IM26" s="1401"/>
      <c r="IN26" s="1401"/>
      <c r="IO26" s="1401"/>
      <c r="IP26" s="1401"/>
      <c r="IQ26" s="1401"/>
      <c r="IR26" s="1401"/>
      <c r="IS26" s="1401"/>
      <c r="IT26" s="1401"/>
      <c r="IU26" s="1401"/>
      <c r="IV26" s="1401"/>
    </row>
    <row r="27" spans="1:256">
      <c r="A27" s="1401"/>
      <c r="B27" s="1401"/>
      <c r="C27" s="1402"/>
      <c r="D27" s="1402"/>
      <c r="E27" s="1401"/>
      <c r="F27" s="1401"/>
      <c r="G27" s="1401"/>
      <c r="H27" s="1401"/>
      <c r="I27" s="1401"/>
      <c r="J27" s="1401"/>
      <c r="K27" s="1401"/>
      <c r="L27" s="1401"/>
      <c r="M27" s="1401"/>
      <c r="N27" s="1401"/>
      <c r="O27" s="1401"/>
      <c r="P27" s="1401"/>
      <c r="Q27" s="1401"/>
      <c r="R27" s="1401"/>
      <c r="S27" s="1401"/>
      <c r="T27" s="1401"/>
      <c r="U27" s="1401"/>
      <c r="V27" s="1401"/>
      <c r="W27" s="1401"/>
      <c r="X27" s="1401"/>
      <c r="Y27" s="1401"/>
      <c r="Z27" s="1401"/>
      <c r="AA27" s="1401"/>
      <c r="AB27" s="1401"/>
      <c r="AC27" s="1401"/>
      <c r="AD27" s="1401"/>
      <c r="AE27" s="1401"/>
      <c r="AF27" s="1401"/>
      <c r="AG27" s="1401"/>
      <c r="AH27" s="1401"/>
      <c r="AI27" s="1401"/>
      <c r="AJ27" s="1401"/>
      <c r="AK27" s="1401"/>
      <c r="AL27" s="1401"/>
      <c r="AM27" s="1401"/>
      <c r="AN27" s="1401"/>
      <c r="AO27" s="1401"/>
      <c r="AP27" s="1401"/>
      <c r="AQ27" s="1401"/>
      <c r="AR27" s="1401"/>
      <c r="AS27" s="1401"/>
      <c r="AT27" s="1401"/>
      <c r="AU27" s="1401"/>
      <c r="AV27" s="1401"/>
      <c r="AW27" s="1401"/>
      <c r="AX27" s="1401"/>
      <c r="AY27" s="1401"/>
      <c r="AZ27" s="1401"/>
      <c r="BA27" s="1401"/>
      <c r="BB27" s="1401"/>
      <c r="BC27" s="1401"/>
      <c r="BD27" s="1401"/>
      <c r="BE27" s="1401"/>
      <c r="BF27" s="1401"/>
      <c r="BG27" s="1401"/>
      <c r="BH27" s="1401"/>
      <c r="BI27" s="1401"/>
      <c r="BJ27" s="1401"/>
      <c r="BK27" s="1401"/>
      <c r="BL27" s="1401"/>
      <c r="BM27" s="1401"/>
      <c r="BN27" s="1401"/>
      <c r="BO27" s="1401"/>
      <c r="BP27" s="1401"/>
      <c r="BQ27" s="1401"/>
      <c r="BR27" s="1401"/>
      <c r="BS27" s="1401"/>
      <c r="BT27" s="1401"/>
      <c r="BU27" s="1401"/>
      <c r="BV27" s="1401"/>
      <c r="BW27" s="1401"/>
      <c r="BX27" s="1401"/>
      <c r="BY27" s="1401"/>
      <c r="BZ27" s="1401"/>
      <c r="CA27" s="1401"/>
      <c r="CB27" s="1401"/>
      <c r="CC27" s="1401"/>
      <c r="CD27" s="1401"/>
      <c r="CE27" s="1401"/>
      <c r="CF27" s="1401"/>
      <c r="CG27" s="1401"/>
      <c r="CH27" s="1401"/>
      <c r="CI27" s="1401"/>
      <c r="CJ27" s="1401"/>
      <c r="CK27" s="1401"/>
      <c r="CL27" s="1401"/>
      <c r="CM27" s="1401"/>
      <c r="CN27" s="1401"/>
      <c r="CO27" s="1401"/>
      <c r="CP27" s="1401"/>
      <c r="CQ27" s="1401"/>
      <c r="CR27" s="1401"/>
      <c r="CS27" s="1401"/>
      <c r="CT27" s="1401"/>
      <c r="CU27" s="1401"/>
      <c r="CV27" s="1401"/>
      <c r="CW27" s="1401"/>
      <c r="CX27" s="1401"/>
      <c r="CY27" s="1401"/>
      <c r="CZ27" s="1401"/>
      <c r="DA27" s="1401"/>
      <c r="DB27" s="1401"/>
      <c r="DC27" s="1401"/>
      <c r="DD27" s="1401"/>
      <c r="DE27" s="1401"/>
      <c r="DF27" s="1401"/>
      <c r="DG27" s="1401"/>
      <c r="DH27" s="1401"/>
      <c r="DI27" s="1401"/>
      <c r="DJ27" s="1401"/>
      <c r="DK27" s="1401"/>
      <c r="DL27" s="1401"/>
      <c r="DM27" s="1401"/>
      <c r="DN27" s="1401"/>
      <c r="DO27" s="1401"/>
      <c r="DP27" s="1401"/>
      <c r="DQ27" s="1401"/>
      <c r="DR27" s="1401"/>
      <c r="DS27" s="1401"/>
      <c r="DT27" s="1401"/>
      <c r="DU27" s="1401"/>
      <c r="DV27" s="1401"/>
      <c r="DW27" s="1401"/>
      <c r="DX27" s="1401"/>
      <c r="DY27" s="1401"/>
      <c r="DZ27" s="1401"/>
      <c r="EA27" s="1401"/>
      <c r="EB27" s="1401"/>
      <c r="EC27" s="1401"/>
      <c r="ED27" s="1401"/>
      <c r="EE27" s="1401"/>
      <c r="EF27" s="1401"/>
      <c r="EG27" s="1401"/>
      <c r="EH27" s="1401"/>
      <c r="EI27" s="1401"/>
      <c r="EJ27" s="1401"/>
      <c r="EK27" s="1401"/>
      <c r="EL27" s="1401"/>
      <c r="EM27" s="1401"/>
      <c r="EN27" s="1401"/>
      <c r="EO27" s="1401"/>
      <c r="EP27" s="1401"/>
      <c r="EQ27" s="1401"/>
      <c r="ER27" s="1401"/>
      <c r="ES27" s="1401"/>
      <c r="ET27" s="1401"/>
      <c r="EU27" s="1401"/>
      <c r="EV27" s="1401"/>
      <c r="EW27" s="1401"/>
      <c r="EX27" s="1401"/>
      <c r="EY27" s="1401"/>
      <c r="EZ27" s="1401"/>
      <c r="FA27" s="1401"/>
      <c r="FB27" s="1401"/>
      <c r="FC27" s="1401"/>
      <c r="FD27" s="1401"/>
      <c r="FE27" s="1401"/>
      <c r="FF27" s="1401"/>
      <c r="FG27" s="1401"/>
      <c r="FH27" s="1401"/>
      <c r="FI27" s="1401"/>
      <c r="FJ27" s="1401"/>
      <c r="FK27" s="1401"/>
      <c r="FL27" s="1401"/>
      <c r="FM27" s="1401"/>
      <c r="FN27" s="1401"/>
      <c r="FO27" s="1401"/>
      <c r="FP27" s="1401"/>
      <c r="FQ27" s="1401"/>
      <c r="FR27" s="1401"/>
      <c r="FS27" s="1401"/>
      <c r="FT27" s="1401"/>
      <c r="FU27" s="1401"/>
      <c r="FV27" s="1401"/>
      <c r="FW27" s="1401"/>
      <c r="FX27" s="1401"/>
      <c r="FY27" s="1401"/>
      <c r="FZ27" s="1401"/>
      <c r="GA27" s="1401"/>
      <c r="GB27" s="1401"/>
      <c r="GC27" s="1401"/>
      <c r="GD27" s="1401"/>
      <c r="GE27" s="1401"/>
      <c r="GF27" s="1401"/>
      <c r="GG27" s="1401"/>
      <c r="GH27" s="1401"/>
      <c r="GI27" s="1401"/>
      <c r="GJ27" s="1401"/>
      <c r="GK27" s="1401"/>
      <c r="GL27" s="1401"/>
      <c r="GM27" s="1401"/>
      <c r="GN27" s="1401"/>
      <c r="GO27" s="1401"/>
      <c r="GP27" s="1401"/>
      <c r="GQ27" s="1401"/>
      <c r="GR27" s="1401"/>
      <c r="GS27" s="1401"/>
      <c r="GT27" s="1401"/>
      <c r="GU27" s="1401"/>
      <c r="GV27" s="1401"/>
      <c r="GW27" s="1401"/>
      <c r="GX27" s="1401"/>
      <c r="GY27" s="1401"/>
      <c r="GZ27" s="1401"/>
      <c r="HA27" s="1401"/>
      <c r="HB27" s="1401"/>
      <c r="HC27" s="1401"/>
      <c r="HD27" s="1401"/>
      <c r="HE27" s="1401"/>
      <c r="HF27" s="1401"/>
      <c r="HG27" s="1401"/>
      <c r="HH27" s="1401"/>
      <c r="HI27" s="1401"/>
      <c r="HJ27" s="1401"/>
      <c r="HK27" s="1401"/>
      <c r="HL27" s="1401"/>
      <c r="HM27" s="1401"/>
      <c r="HN27" s="1401"/>
      <c r="HO27" s="1401"/>
      <c r="HP27" s="1401"/>
      <c r="HQ27" s="1401"/>
      <c r="HR27" s="1401"/>
      <c r="HS27" s="1401"/>
      <c r="HT27" s="1401"/>
      <c r="HU27" s="1401"/>
      <c r="HV27" s="1401"/>
      <c r="HW27" s="1401"/>
      <c r="HX27" s="1401"/>
      <c r="HY27" s="1401"/>
      <c r="HZ27" s="1401"/>
      <c r="IA27" s="1401"/>
      <c r="IB27" s="1401"/>
      <c r="IC27" s="1401"/>
      <c r="ID27" s="1401"/>
      <c r="IE27" s="1401"/>
      <c r="IF27" s="1401"/>
      <c r="IG27" s="1401"/>
      <c r="IH27" s="1401"/>
      <c r="II27" s="1401"/>
      <c r="IJ27" s="1401"/>
      <c r="IK27" s="1401"/>
      <c r="IL27" s="1401"/>
      <c r="IM27" s="1401"/>
      <c r="IN27" s="1401"/>
      <c r="IO27" s="1401"/>
      <c r="IP27" s="1401"/>
      <c r="IQ27" s="1401"/>
      <c r="IR27" s="1401"/>
      <c r="IS27" s="1401"/>
      <c r="IT27" s="1401"/>
      <c r="IU27" s="1401"/>
      <c r="IV27" s="1401"/>
    </row>
  </sheetData>
  <mergeCells count="5">
    <mergeCell ref="A1:I1"/>
    <mergeCell ref="A2:I2"/>
    <mergeCell ref="A3:I3"/>
    <mergeCell ref="C5:D5"/>
    <mergeCell ref="A24:I24"/>
  </mergeCells>
  <pageMargins left="0.76" right="0.24" top="0.2" bottom="0.16" header="0.2" footer="0.16"/>
  <pageSetup paperSize="9" scale="90"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2"/>
  <sheetViews>
    <sheetView view="pageBreakPreview" topLeftCell="A31" zoomScale="96" zoomScaleSheetLayoutView="96" workbookViewId="0">
      <selection activeCell="B27" sqref="B27"/>
    </sheetView>
  </sheetViews>
  <sheetFormatPr defaultRowHeight="19.5"/>
  <cols>
    <col min="1" max="1" width="6" style="1406" customWidth="1"/>
    <col min="2" max="2" width="27" style="1406" customWidth="1"/>
    <col min="3" max="4" width="4.88671875" style="1429" customWidth="1"/>
    <col min="5" max="8" width="8.88671875" style="1406"/>
    <col min="9" max="9" width="4" style="1430" customWidth="1"/>
    <col min="10" max="256" width="8.88671875" style="1406"/>
    <col min="257" max="257" width="6" style="1406" customWidth="1"/>
    <col min="258" max="258" width="27" style="1406" customWidth="1"/>
    <col min="259" max="260" width="4.88671875" style="1406" customWidth="1"/>
    <col min="261" max="264" width="8.88671875" style="1406"/>
    <col min="265" max="265" width="4" style="1406" customWidth="1"/>
    <col min="266" max="512" width="8.88671875" style="1406"/>
    <col min="513" max="513" width="6" style="1406" customWidth="1"/>
    <col min="514" max="514" width="27" style="1406" customWidth="1"/>
    <col min="515" max="516" width="4.88671875" style="1406" customWidth="1"/>
    <col min="517" max="520" width="8.88671875" style="1406"/>
    <col min="521" max="521" width="4" style="1406" customWidth="1"/>
    <col min="522" max="768" width="8.88671875" style="1406"/>
    <col min="769" max="769" width="6" style="1406" customWidth="1"/>
    <col min="770" max="770" width="27" style="1406" customWidth="1"/>
    <col min="771" max="772" width="4.88671875" style="1406" customWidth="1"/>
    <col min="773" max="776" width="8.88671875" style="1406"/>
    <col min="777" max="777" width="4" style="1406" customWidth="1"/>
    <col min="778" max="1024" width="8.88671875" style="1406"/>
    <col min="1025" max="1025" width="6" style="1406" customWidth="1"/>
    <col min="1026" max="1026" width="27" style="1406" customWidth="1"/>
    <col min="1027" max="1028" width="4.88671875" style="1406" customWidth="1"/>
    <col min="1029" max="1032" width="8.88671875" style="1406"/>
    <col min="1033" max="1033" width="4" style="1406" customWidth="1"/>
    <col min="1034" max="1280" width="8.88671875" style="1406"/>
    <col min="1281" max="1281" width="6" style="1406" customWidth="1"/>
    <col min="1282" max="1282" width="27" style="1406" customWidth="1"/>
    <col min="1283" max="1284" width="4.88671875" style="1406" customWidth="1"/>
    <col min="1285" max="1288" width="8.88671875" style="1406"/>
    <col min="1289" max="1289" width="4" style="1406" customWidth="1"/>
    <col min="1290" max="1536" width="8.88671875" style="1406"/>
    <col min="1537" max="1537" width="6" style="1406" customWidth="1"/>
    <col min="1538" max="1538" width="27" style="1406" customWidth="1"/>
    <col min="1539" max="1540" width="4.88671875" style="1406" customWidth="1"/>
    <col min="1541" max="1544" width="8.88671875" style="1406"/>
    <col min="1545" max="1545" width="4" style="1406" customWidth="1"/>
    <col min="1546" max="1792" width="8.88671875" style="1406"/>
    <col min="1793" max="1793" width="6" style="1406" customWidth="1"/>
    <col min="1794" max="1794" width="27" style="1406" customWidth="1"/>
    <col min="1795" max="1796" width="4.88671875" style="1406" customWidth="1"/>
    <col min="1797" max="1800" width="8.88671875" style="1406"/>
    <col min="1801" max="1801" width="4" style="1406" customWidth="1"/>
    <col min="1802" max="2048" width="8.88671875" style="1406"/>
    <col min="2049" max="2049" width="6" style="1406" customWidth="1"/>
    <col min="2050" max="2050" width="27" style="1406" customWidth="1"/>
    <col min="2051" max="2052" width="4.88671875" style="1406" customWidth="1"/>
    <col min="2053" max="2056" width="8.88671875" style="1406"/>
    <col min="2057" max="2057" width="4" style="1406" customWidth="1"/>
    <col min="2058" max="2304" width="8.88671875" style="1406"/>
    <col min="2305" max="2305" width="6" style="1406" customWidth="1"/>
    <col min="2306" max="2306" width="27" style="1406" customWidth="1"/>
    <col min="2307" max="2308" width="4.88671875" style="1406" customWidth="1"/>
    <col min="2309" max="2312" width="8.88671875" style="1406"/>
    <col min="2313" max="2313" width="4" style="1406" customWidth="1"/>
    <col min="2314" max="2560" width="8.88671875" style="1406"/>
    <col min="2561" max="2561" width="6" style="1406" customWidth="1"/>
    <col min="2562" max="2562" width="27" style="1406" customWidth="1"/>
    <col min="2563" max="2564" width="4.88671875" style="1406" customWidth="1"/>
    <col min="2565" max="2568" width="8.88671875" style="1406"/>
    <col min="2569" max="2569" width="4" style="1406" customWidth="1"/>
    <col min="2570" max="2816" width="8.88671875" style="1406"/>
    <col min="2817" max="2817" width="6" style="1406" customWidth="1"/>
    <col min="2818" max="2818" width="27" style="1406" customWidth="1"/>
    <col min="2819" max="2820" width="4.88671875" style="1406" customWidth="1"/>
    <col min="2821" max="2824" width="8.88671875" style="1406"/>
    <col min="2825" max="2825" width="4" style="1406" customWidth="1"/>
    <col min="2826" max="3072" width="8.88671875" style="1406"/>
    <col min="3073" max="3073" width="6" style="1406" customWidth="1"/>
    <col min="3074" max="3074" width="27" style="1406" customWidth="1"/>
    <col min="3075" max="3076" width="4.88671875" style="1406" customWidth="1"/>
    <col min="3077" max="3080" width="8.88671875" style="1406"/>
    <col min="3081" max="3081" width="4" style="1406" customWidth="1"/>
    <col min="3082" max="3328" width="8.88671875" style="1406"/>
    <col min="3329" max="3329" width="6" style="1406" customWidth="1"/>
    <col min="3330" max="3330" width="27" style="1406" customWidth="1"/>
    <col min="3331" max="3332" width="4.88671875" style="1406" customWidth="1"/>
    <col min="3333" max="3336" width="8.88671875" style="1406"/>
    <col min="3337" max="3337" width="4" style="1406" customWidth="1"/>
    <col min="3338" max="3584" width="8.88671875" style="1406"/>
    <col min="3585" max="3585" width="6" style="1406" customWidth="1"/>
    <col min="3586" max="3586" width="27" style="1406" customWidth="1"/>
    <col min="3587" max="3588" width="4.88671875" style="1406" customWidth="1"/>
    <col min="3589" max="3592" width="8.88671875" style="1406"/>
    <col min="3593" max="3593" width="4" style="1406" customWidth="1"/>
    <col min="3594" max="3840" width="8.88671875" style="1406"/>
    <col min="3841" max="3841" width="6" style="1406" customWidth="1"/>
    <col min="3842" max="3842" width="27" style="1406" customWidth="1"/>
    <col min="3843" max="3844" width="4.88671875" style="1406" customWidth="1"/>
    <col min="3845" max="3848" width="8.88671875" style="1406"/>
    <col min="3849" max="3849" width="4" style="1406" customWidth="1"/>
    <col min="3850" max="4096" width="8.88671875" style="1406"/>
    <col min="4097" max="4097" width="6" style="1406" customWidth="1"/>
    <col min="4098" max="4098" width="27" style="1406" customWidth="1"/>
    <col min="4099" max="4100" width="4.88671875" style="1406" customWidth="1"/>
    <col min="4101" max="4104" width="8.88671875" style="1406"/>
    <col min="4105" max="4105" width="4" style="1406" customWidth="1"/>
    <col min="4106" max="4352" width="8.88671875" style="1406"/>
    <col min="4353" max="4353" width="6" style="1406" customWidth="1"/>
    <col min="4354" max="4354" width="27" style="1406" customWidth="1"/>
    <col min="4355" max="4356" width="4.88671875" style="1406" customWidth="1"/>
    <col min="4357" max="4360" width="8.88671875" style="1406"/>
    <col min="4361" max="4361" width="4" style="1406" customWidth="1"/>
    <col min="4362" max="4608" width="8.88671875" style="1406"/>
    <col min="4609" max="4609" width="6" style="1406" customWidth="1"/>
    <col min="4610" max="4610" width="27" style="1406" customWidth="1"/>
    <col min="4611" max="4612" width="4.88671875" style="1406" customWidth="1"/>
    <col min="4613" max="4616" width="8.88671875" style="1406"/>
    <col min="4617" max="4617" width="4" style="1406" customWidth="1"/>
    <col min="4618" max="4864" width="8.88671875" style="1406"/>
    <col min="4865" max="4865" width="6" style="1406" customWidth="1"/>
    <col min="4866" max="4866" width="27" style="1406" customWidth="1"/>
    <col min="4867" max="4868" width="4.88671875" style="1406" customWidth="1"/>
    <col min="4869" max="4872" width="8.88671875" style="1406"/>
    <col min="4873" max="4873" width="4" style="1406" customWidth="1"/>
    <col min="4874" max="5120" width="8.88671875" style="1406"/>
    <col min="5121" max="5121" width="6" style="1406" customWidth="1"/>
    <col min="5122" max="5122" width="27" style="1406" customWidth="1"/>
    <col min="5123" max="5124" width="4.88671875" style="1406" customWidth="1"/>
    <col min="5125" max="5128" width="8.88671875" style="1406"/>
    <col min="5129" max="5129" width="4" style="1406" customWidth="1"/>
    <col min="5130" max="5376" width="8.88671875" style="1406"/>
    <col min="5377" max="5377" width="6" style="1406" customWidth="1"/>
    <col min="5378" max="5378" width="27" style="1406" customWidth="1"/>
    <col min="5379" max="5380" width="4.88671875" style="1406" customWidth="1"/>
    <col min="5381" max="5384" width="8.88671875" style="1406"/>
    <col min="5385" max="5385" width="4" style="1406" customWidth="1"/>
    <col min="5386" max="5632" width="8.88671875" style="1406"/>
    <col min="5633" max="5633" width="6" style="1406" customWidth="1"/>
    <col min="5634" max="5634" width="27" style="1406" customWidth="1"/>
    <col min="5635" max="5636" width="4.88671875" style="1406" customWidth="1"/>
    <col min="5637" max="5640" width="8.88671875" style="1406"/>
    <col min="5641" max="5641" width="4" style="1406" customWidth="1"/>
    <col min="5642" max="5888" width="8.88671875" style="1406"/>
    <col min="5889" max="5889" width="6" style="1406" customWidth="1"/>
    <col min="5890" max="5890" width="27" style="1406" customWidth="1"/>
    <col min="5891" max="5892" width="4.88671875" style="1406" customWidth="1"/>
    <col min="5893" max="5896" width="8.88671875" style="1406"/>
    <col min="5897" max="5897" width="4" style="1406" customWidth="1"/>
    <col min="5898" max="6144" width="8.88671875" style="1406"/>
    <col min="6145" max="6145" width="6" style="1406" customWidth="1"/>
    <col min="6146" max="6146" width="27" style="1406" customWidth="1"/>
    <col min="6147" max="6148" width="4.88671875" style="1406" customWidth="1"/>
    <col min="6149" max="6152" width="8.88671875" style="1406"/>
    <col min="6153" max="6153" width="4" style="1406" customWidth="1"/>
    <col min="6154" max="6400" width="8.88671875" style="1406"/>
    <col min="6401" max="6401" width="6" style="1406" customWidth="1"/>
    <col min="6402" max="6402" width="27" style="1406" customWidth="1"/>
    <col min="6403" max="6404" width="4.88671875" style="1406" customWidth="1"/>
    <col min="6405" max="6408" width="8.88671875" style="1406"/>
    <col min="6409" max="6409" width="4" style="1406" customWidth="1"/>
    <col min="6410" max="6656" width="8.88671875" style="1406"/>
    <col min="6657" max="6657" width="6" style="1406" customWidth="1"/>
    <col min="6658" max="6658" width="27" style="1406" customWidth="1"/>
    <col min="6659" max="6660" width="4.88671875" style="1406" customWidth="1"/>
    <col min="6661" max="6664" width="8.88671875" style="1406"/>
    <col min="6665" max="6665" width="4" style="1406" customWidth="1"/>
    <col min="6666" max="6912" width="8.88671875" style="1406"/>
    <col min="6913" max="6913" width="6" style="1406" customWidth="1"/>
    <col min="6914" max="6914" width="27" style="1406" customWidth="1"/>
    <col min="6915" max="6916" width="4.88671875" style="1406" customWidth="1"/>
    <col min="6917" max="6920" width="8.88671875" style="1406"/>
    <col min="6921" max="6921" width="4" style="1406" customWidth="1"/>
    <col min="6922" max="7168" width="8.88671875" style="1406"/>
    <col min="7169" max="7169" width="6" style="1406" customWidth="1"/>
    <col min="7170" max="7170" width="27" style="1406" customWidth="1"/>
    <col min="7171" max="7172" width="4.88671875" style="1406" customWidth="1"/>
    <col min="7173" max="7176" width="8.88671875" style="1406"/>
    <col min="7177" max="7177" width="4" style="1406" customWidth="1"/>
    <col min="7178" max="7424" width="8.88671875" style="1406"/>
    <col min="7425" max="7425" width="6" style="1406" customWidth="1"/>
    <col min="7426" max="7426" width="27" style="1406" customWidth="1"/>
    <col min="7427" max="7428" width="4.88671875" style="1406" customWidth="1"/>
    <col min="7429" max="7432" width="8.88671875" style="1406"/>
    <col min="7433" max="7433" width="4" style="1406" customWidth="1"/>
    <col min="7434" max="7680" width="8.88671875" style="1406"/>
    <col min="7681" max="7681" width="6" style="1406" customWidth="1"/>
    <col min="7682" max="7682" width="27" style="1406" customWidth="1"/>
    <col min="7683" max="7684" width="4.88671875" style="1406" customWidth="1"/>
    <col min="7685" max="7688" width="8.88671875" style="1406"/>
    <col min="7689" max="7689" width="4" style="1406" customWidth="1"/>
    <col min="7690" max="7936" width="8.88671875" style="1406"/>
    <col min="7937" max="7937" width="6" style="1406" customWidth="1"/>
    <col min="7938" max="7938" width="27" style="1406" customWidth="1"/>
    <col min="7939" max="7940" width="4.88671875" style="1406" customWidth="1"/>
    <col min="7941" max="7944" width="8.88671875" style="1406"/>
    <col min="7945" max="7945" width="4" style="1406" customWidth="1"/>
    <col min="7946" max="8192" width="8.88671875" style="1406"/>
    <col min="8193" max="8193" width="6" style="1406" customWidth="1"/>
    <col min="8194" max="8194" width="27" style="1406" customWidth="1"/>
    <col min="8195" max="8196" width="4.88671875" style="1406" customWidth="1"/>
    <col min="8197" max="8200" width="8.88671875" style="1406"/>
    <col min="8201" max="8201" width="4" style="1406" customWidth="1"/>
    <col min="8202" max="8448" width="8.88671875" style="1406"/>
    <col min="8449" max="8449" width="6" style="1406" customWidth="1"/>
    <col min="8450" max="8450" width="27" style="1406" customWidth="1"/>
    <col min="8451" max="8452" width="4.88671875" style="1406" customWidth="1"/>
    <col min="8453" max="8456" width="8.88671875" style="1406"/>
    <col min="8457" max="8457" width="4" style="1406" customWidth="1"/>
    <col min="8458" max="8704" width="8.88671875" style="1406"/>
    <col min="8705" max="8705" width="6" style="1406" customWidth="1"/>
    <col min="8706" max="8706" width="27" style="1406" customWidth="1"/>
    <col min="8707" max="8708" width="4.88671875" style="1406" customWidth="1"/>
    <col min="8709" max="8712" width="8.88671875" style="1406"/>
    <col min="8713" max="8713" width="4" style="1406" customWidth="1"/>
    <col min="8714" max="8960" width="8.88671875" style="1406"/>
    <col min="8961" max="8961" width="6" style="1406" customWidth="1"/>
    <col min="8962" max="8962" width="27" style="1406" customWidth="1"/>
    <col min="8963" max="8964" width="4.88671875" style="1406" customWidth="1"/>
    <col min="8965" max="8968" width="8.88671875" style="1406"/>
    <col min="8969" max="8969" width="4" style="1406" customWidth="1"/>
    <col min="8970" max="9216" width="8.88671875" style="1406"/>
    <col min="9217" max="9217" width="6" style="1406" customWidth="1"/>
    <col min="9218" max="9218" width="27" style="1406" customWidth="1"/>
    <col min="9219" max="9220" width="4.88671875" style="1406" customWidth="1"/>
    <col min="9221" max="9224" width="8.88671875" style="1406"/>
    <col min="9225" max="9225" width="4" style="1406" customWidth="1"/>
    <col min="9226" max="9472" width="8.88671875" style="1406"/>
    <col min="9473" max="9473" width="6" style="1406" customWidth="1"/>
    <col min="9474" max="9474" width="27" style="1406" customWidth="1"/>
    <col min="9475" max="9476" width="4.88671875" style="1406" customWidth="1"/>
    <col min="9477" max="9480" width="8.88671875" style="1406"/>
    <col min="9481" max="9481" width="4" style="1406" customWidth="1"/>
    <col min="9482" max="9728" width="8.88671875" style="1406"/>
    <col min="9729" max="9729" width="6" style="1406" customWidth="1"/>
    <col min="9730" max="9730" width="27" style="1406" customWidth="1"/>
    <col min="9731" max="9732" width="4.88671875" style="1406" customWidth="1"/>
    <col min="9733" max="9736" width="8.88671875" style="1406"/>
    <col min="9737" max="9737" width="4" style="1406" customWidth="1"/>
    <col min="9738" max="9984" width="8.88671875" style="1406"/>
    <col min="9985" max="9985" width="6" style="1406" customWidth="1"/>
    <col min="9986" max="9986" width="27" style="1406" customWidth="1"/>
    <col min="9987" max="9988" width="4.88671875" style="1406" customWidth="1"/>
    <col min="9989" max="9992" width="8.88671875" style="1406"/>
    <col min="9993" max="9993" width="4" style="1406" customWidth="1"/>
    <col min="9994" max="10240" width="8.88671875" style="1406"/>
    <col min="10241" max="10241" width="6" style="1406" customWidth="1"/>
    <col min="10242" max="10242" width="27" style="1406" customWidth="1"/>
    <col min="10243" max="10244" width="4.88671875" style="1406" customWidth="1"/>
    <col min="10245" max="10248" width="8.88671875" style="1406"/>
    <col min="10249" max="10249" width="4" style="1406" customWidth="1"/>
    <col min="10250" max="10496" width="8.88671875" style="1406"/>
    <col min="10497" max="10497" width="6" style="1406" customWidth="1"/>
    <col min="10498" max="10498" width="27" style="1406" customWidth="1"/>
    <col min="10499" max="10500" width="4.88671875" style="1406" customWidth="1"/>
    <col min="10501" max="10504" width="8.88671875" style="1406"/>
    <col min="10505" max="10505" width="4" style="1406" customWidth="1"/>
    <col min="10506" max="10752" width="8.88671875" style="1406"/>
    <col min="10753" max="10753" width="6" style="1406" customWidth="1"/>
    <col min="10754" max="10754" width="27" style="1406" customWidth="1"/>
    <col min="10755" max="10756" width="4.88671875" style="1406" customWidth="1"/>
    <col min="10757" max="10760" width="8.88671875" style="1406"/>
    <col min="10761" max="10761" width="4" style="1406" customWidth="1"/>
    <col min="10762" max="11008" width="8.88671875" style="1406"/>
    <col min="11009" max="11009" width="6" style="1406" customWidth="1"/>
    <col min="11010" max="11010" width="27" style="1406" customWidth="1"/>
    <col min="11011" max="11012" width="4.88671875" style="1406" customWidth="1"/>
    <col min="11013" max="11016" width="8.88671875" style="1406"/>
    <col min="11017" max="11017" width="4" style="1406" customWidth="1"/>
    <col min="11018" max="11264" width="8.88671875" style="1406"/>
    <col min="11265" max="11265" width="6" style="1406" customWidth="1"/>
    <col min="11266" max="11266" width="27" style="1406" customWidth="1"/>
    <col min="11267" max="11268" width="4.88671875" style="1406" customWidth="1"/>
    <col min="11269" max="11272" width="8.88671875" style="1406"/>
    <col min="11273" max="11273" width="4" style="1406" customWidth="1"/>
    <col min="11274" max="11520" width="8.88671875" style="1406"/>
    <col min="11521" max="11521" width="6" style="1406" customWidth="1"/>
    <col min="11522" max="11522" width="27" style="1406" customWidth="1"/>
    <col min="11523" max="11524" width="4.88671875" style="1406" customWidth="1"/>
    <col min="11525" max="11528" width="8.88671875" style="1406"/>
    <col min="11529" max="11529" width="4" style="1406" customWidth="1"/>
    <col min="11530" max="11776" width="8.88671875" style="1406"/>
    <col min="11777" max="11777" width="6" style="1406" customWidth="1"/>
    <col min="11778" max="11778" width="27" style="1406" customWidth="1"/>
    <col min="11779" max="11780" width="4.88671875" style="1406" customWidth="1"/>
    <col min="11781" max="11784" width="8.88671875" style="1406"/>
    <col min="11785" max="11785" width="4" style="1406" customWidth="1"/>
    <col min="11786" max="12032" width="8.88671875" style="1406"/>
    <col min="12033" max="12033" width="6" style="1406" customWidth="1"/>
    <col min="12034" max="12034" width="27" style="1406" customWidth="1"/>
    <col min="12035" max="12036" width="4.88671875" style="1406" customWidth="1"/>
    <col min="12037" max="12040" width="8.88671875" style="1406"/>
    <col min="12041" max="12041" width="4" style="1406" customWidth="1"/>
    <col min="12042" max="12288" width="8.88671875" style="1406"/>
    <col min="12289" max="12289" width="6" style="1406" customWidth="1"/>
    <col min="12290" max="12290" width="27" style="1406" customWidth="1"/>
    <col min="12291" max="12292" width="4.88671875" style="1406" customWidth="1"/>
    <col min="12293" max="12296" width="8.88671875" style="1406"/>
    <col min="12297" max="12297" width="4" style="1406" customWidth="1"/>
    <col min="12298" max="12544" width="8.88671875" style="1406"/>
    <col min="12545" max="12545" width="6" style="1406" customWidth="1"/>
    <col min="12546" max="12546" width="27" style="1406" customWidth="1"/>
    <col min="12547" max="12548" width="4.88671875" style="1406" customWidth="1"/>
    <col min="12549" max="12552" width="8.88671875" style="1406"/>
    <col min="12553" max="12553" width="4" style="1406" customWidth="1"/>
    <col min="12554" max="12800" width="8.88671875" style="1406"/>
    <col min="12801" max="12801" width="6" style="1406" customWidth="1"/>
    <col min="12802" max="12802" width="27" style="1406" customWidth="1"/>
    <col min="12803" max="12804" width="4.88671875" style="1406" customWidth="1"/>
    <col min="12805" max="12808" width="8.88671875" style="1406"/>
    <col min="12809" max="12809" width="4" style="1406" customWidth="1"/>
    <col min="12810" max="13056" width="8.88671875" style="1406"/>
    <col min="13057" max="13057" width="6" style="1406" customWidth="1"/>
    <col min="13058" max="13058" width="27" style="1406" customWidth="1"/>
    <col min="13059" max="13060" width="4.88671875" style="1406" customWidth="1"/>
    <col min="13061" max="13064" width="8.88671875" style="1406"/>
    <col min="13065" max="13065" width="4" style="1406" customWidth="1"/>
    <col min="13066" max="13312" width="8.88671875" style="1406"/>
    <col min="13313" max="13313" width="6" style="1406" customWidth="1"/>
    <col min="13314" max="13314" width="27" style="1406" customWidth="1"/>
    <col min="13315" max="13316" width="4.88671875" style="1406" customWidth="1"/>
    <col min="13317" max="13320" width="8.88671875" style="1406"/>
    <col min="13321" max="13321" width="4" style="1406" customWidth="1"/>
    <col min="13322" max="13568" width="8.88671875" style="1406"/>
    <col min="13569" max="13569" width="6" style="1406" customWidth="1"/>
    <col min="13570" max="13570" width="27" style="1406" customWidth="1"/>
    <col min="13571" max="13572" width="4.88671875" style="1406" customWidth="1"/>
    <col min="13573" max="13576" width="8.88671875" style="1406"/>
    <col min="13577" max="13577" width="4" style="1406" customWidth="1"/>
    <col min="13578" max="13824" width="8.88671875" style="1406"/>
    <col min="13825" max="13825" width="6" style="1406" customWidth="1"/>
    <col min="13826" max="13826" width="27" style="1406" customWidth="1"/>
    <col min="13827" max="13828" width="4.88671875" style="1406" customWidth="1"/>
    <col min="13829" max="13832" width="8.88671875" style="1406"/>
    <col min="13833" max="13833" width="4" style="1406" customWidth="1"/>
    <col min="13834" max="14080" width="8.88671875" style="1406"/>
    <col min="14081" max="14081" width="6" style="1406" customWidth="1"/>
    <col min="14082" max="14082" width="27" style="1406" customWidth="1"/>
    <col min="14083" max="14084" width="4.88671875" style="1406" customWidth="1"/>
    <col min="14085" max="14088" width="8.88671875" style="1406"/>
    <col min="14089" max="14089" width="4" style="1406" customWidth="1"/>
    <col min="14090" max="14336" width="8.88671875" style="1406"/>
    <col min="14337" max="14337" width="6" style="1406" customWidth="1"/>
    <col min="14338" max="14338" width="27" style="1406" customWidth="1"/>
    <col min="14339" max="14340" width="4.88671875" style="1406" customWidth="1"/>
    <col min="14341" max="14344" width="8.88671875" style="1406"/>
    <col min="14345" max="14345" width="4" style="1406" customWidth="1"/>
    <col min="14346" max="14592" width="8.88671875" style="1406"/>
    <col min="14593" max="14593" width="6" style="1406" customWidth="1"/>
    <col min="14594" max="14594" width="27" style="1406" customWidth="1"/>
    <col min="14595" max="14596" width="4.88671875" style="1406" customWidth="1"/>
    <col min="14597" max="14600" width="8.88671875" style="1406"/>
    <col min="14601" max="14601" width="4" style="1406" customWidth="1"/>
    <col min="14602" max="14848" width="8.88671875" style="1406"/>
    <col min="14849" max="14849" width="6" style="1406" customWidth="1"/>
    <col min="14850" max="14850" width="27" style="1406" customWidth="1"/>
    <col min="14851" max="14852" width="4.88671875" style="1406" customWidth="1"/>
    <col min="14853" max="14856" width="8.88671875" style="1406"/>
    <col min="14857" max="14857" width="4" style="1406" customWidth="1"/>
    <col min="14858" max="15104" width="8.88671875" style="1406"/>
    <col min="15105" max="15105" width="6" style="1406" customWidth="1"/>
    <col min="15106" max="15106" width="27" style="1406" customWidth="1"/>
    <col min="15107" max="15108" width="4.88671875" style="1406" customWidth="1"/>
    <col min="15109" max="15112" width="8.88671875" style="1406"/>
    <col min="15113" max="15113" width="4" style="1406" customWidth="1"/>
    <col min="15114" max="15360" width="8.88671875" style="1406"/>
    <col min="15361" max="15361" width="6" style="1406" customWidth="1"/>
    <col min="15362" max="15362" width="27" style="1406" customWidth="1"/>
    <col min="15363" max="15364" width="4.88671875" style="1406" customWidth="1"/>
    <col min="15365" max="15368" width="8.88671875" style="1406"/>
    <col min="15369" max="15369" width="4" style="1406" customWidth="1"/>
    <col min="15370" max="15616" width="8.88671875" style="1406"/>
    <col min="15617" max="15617" width="6" style="1406" customWidth="1"/>
    <col min="15618" max="15618" width="27" style="1406" customWidth="1"/>
    <col min="15619" max="15620" width="4.88671875" style="1406" customWidth="1"/>
    <col min="15621" max="15624" width="8.88671875" style="1406"/>
    <col min="15625" max="15625" width="4" style="1406" customWidth="1"/>
    <col min="15626" max="15872" width="8.88671875" style="1406"/>
    <col min="15873" max="15873" width="6" style="1406" customWidth="1"/>
    <col min="15874" max="15874" width="27" style="1406" customWidth="1"/>
    <col min="15875" max="15876" width="4.88671875" style="1406" customWidth="1"/>
    <col min="15877" max="15880" width="8.88671875" style="1406"/>
    <col min="15881" max="15881" width="4" style="1406" customWidth="1"/>
    <col min="15882" max="16128" width="8.88671875" style="1406"/>
    <col min="16129" max="16129" width="6" style="1406" customWidth="1"/>
    <col min="16130" max="16130" width="27" style="1406" customWidth="1"/>
    <col min="16131" max="16132" width="4.88671875" style="1406" customWidth="1"/>
    <col min="16133" max="16136" width="8.88671875" style="1406"/>
    <col min="16137" max="16137" width="4" style="1406" customWidth="1"/>
    <col min="16138" max="16384" width="8.88671875" style="1406"/>
  </cols>
  <sheetData>
    <row r="1" spans="1:256" ht="54.75" customHeight="1">
      <c r="A1" s="1404" t="str">
        <f>P.P!A1</f>
        <v>Name of work: Construction of DSP camp office cum Residence with development works at Cuddalore New town in Cuddalore District</v>
      </c>
      <c r="B1" s="1404"/>
      <c r="C1" s="1404"/>
      <c r="D1" s="1404"/>
      <c r="E1" s="1404"/>
      <c r="F1" s="1404"/>
      <c r="G1" s="1404"/>
      <c r="H1" s="1404"/>
      <c r="I1" s="1404"/>
      <c r="J1" s="1405"/>
      <c r="K1" s="1405"/>
      <c r="L1" s="1405"/>
      <c r="M1" s="1405"/>
      <c r="N1" s="1405"/>
      <c r="O1" s="1405"/>
      <c r="P1" s="1405"/>
      <c r="Q1" s="1405"/>
      <c r="R1" s="1405"/>
      <c r="S1" s="1405"/>
      <c r="T1" s="1405"/>
      <c r="U1" s="1405"/>
      <c r="V1" s="1405"/>
      <c r="W1" s="1405"/>
      <c r="X1" s="1405"/>
      <c r="Y1" s="1405"/>
      <c r="Z1" s="1405"/>
      <c r="AA1" s="1405"/>
      <c r="AB1" s="1405"/>
      <c r="AC1" s="1405"/>
      <c r="AD1" s="1405"/>
      <c r="AE1" s="1405"/>
      <c r="AF1" s="1405"/>
      <c r="AG1" s="1405"/>
      <c r="AH1" s="1405"/>
      <c r="AI1" s="1405"/>
      <c r="AJ1" s="1405"/>
      <c r="AK1" s="1405"/>
      <c r="AL1" s="1405"/>
      <c r="AM1" s="1405"/>
      <c r="AN1" s="1405"/>
      <c r="AO1" s="1405"/>
      <c r="AP1" s="1405"/>
      <c r="AQ1" s="1405"/>
      <c r="AR1" s="1405"/>
      <c r="AS1" s="1405"/>
      <c r="AT1" s="1405"/>
      <c r="AU1" s="1405"/>
      <c r="AV1" s="1405"/>
      <c r="AW1" s="1405"/>
      <c r="AX1" s="1405"/>
      <c r="AY1" s="1405"/>
      <c r="AZ1" s="1405"/>
      <c r="BA1" s="1405"/>
      <c r="BB1" s="1405"/>
      <c r="BC1" s="1405"/>
      <c r="BD1" s="1405"/>
      <c r="BE1" s="1405"/>
      <c r="BF1" s="1405"/>
      <c r="BG1" s="1405"/>
      <c r="BH1" s="1405"/>
      <c r="BI1" s="1405"/>
      <c r="BJ1" s="1405"/>
      <c r="BK1" s="1405"/>
      <c r="BL1" s="1405"/>
      <c r="BM1" s="1405"/>
      <c r="BN1" s="1405"/>
      <c r="BO1" s="1405"/>
      <c r="BP1" s="1405"/>
      <c r="BQ1" s="1405"/>
      <c r="BR1" s="1405"/>
      <c r="BS1" s="1405"/>
      <c r="BT1" s="1405"/>
      <c r="BU1" s="1405"/>
      <c r="BV1" s="1405"/>
      <c r="BW1" s="1405"/>
      <c r="BX1" s="1405"/>
      <c r="BY1" s="1405"/>
      <c r="BZ1" s="1405"/>
      <c r="CA1" s="1405"/>
      <c r="CB1" s="1405"/>
      <c r="CC1" s="1405"/>
      <c r="CD1" s="1405"/>
      <c r="CE1" s="1405"/>
      <c r="CF1" s="1405"/>
      <c r="CG1" s="1405"/>
      <c r="CH1" s="1405"/>
      <c r="CI1" s="1405"/>
      <c r="CJ1" s="1405"/>
      <c r="CK1" s="1405"/>
      <c r="CL1" s="1405"/>
      <c r="CM1" s="1405"/>
      <c r="CN1" s="1405"/>
      <c r="CO1" s="1405"/>
      <c r="CP1" s="1405"/>
      <c r="CQ1" s="1405"/>
      <c r="CR1" s="1405"/>
      <c r="CS1" s="1405"/>
      <c r="CT1" s="1405"/>
      <c r="CU1" s="1405"/>
      <c r="CV1" s="1405"/>
      <c r="CW1" s="1405"/>
      <c r="CX1" s="1405"/>
      <c r="CY1" s="1405"/>
      <c r="CZ1" s="1405"/>
      <c r="DA1" s="1405"/>
      <c r="DB1" s="1405"/>
      <c r="DC1" s="1405"/>
      <c r="DD1" s="1405"/>
      <c r="DE1" s="1405"/>
      <c r="DF1" s="1405"/>
      <c r="DG1" s="1405"/>
      <c r="DH1" s="1405"/>
      <c r="DI1" s="1405"/>
      <c r="DJ1" s="1405"/>
      <c r="DK1" s="1405"/>
      <c r="DL1" s="1405"/>
      <c r="DM1" s="1405"/>
      <c r="DN1" s="1405"/>
      <c r="DO1" s="1405"/>
      <c r="DP1" s="1405"/>
      <c r="DQ1" s="1405"/>
      <c r="DR1" s="1405"/>
      <c r="DS1" s="1405"/>
      <c r="DT1" s="1405"/>
      <c r="DU1" s="1405"/>
      <c r="DV1" s="1405"/>
      <c r="DW1" s="1405"/>
      <c r="DX1" s="1405"/>
      <c r="DY1" s="1405"/>
      <c r="DZ1" s="1405"/>
      <c r="EA1" s="1405"/>
      <c r="EB1" s="1405"/>
      <c r="EC1" s="1405"/>
      <c r="ED1" s="1405"/>
      <c r="EE1" s="1405"/>
      <c r="EF1" s="1405"/>
      <c r="EG1" s="1405"/>
      <c r="EH1" s="1405"/>
      <c r="EI1" s="1405"/>
      <c r="EJ1" s="1405"/>
      <c r="EK1" s="1405"/>
      <c r="EL1" s="1405"/>
      <c r="EM1" s="1405"/>
      <c r="EN1" s="1405"/>
      <c r="EO1" s="1405"/>
      <c r="EP1" s="1405"/>
      <c r="EQ1" s="1405"/>
      <c r="ER1" s="1405"/>
      <c r="ES1" s="1405"/>
      <c r="ET1" s="1405"/>
      <c r="EU1" s="1405"/>
      <c r="EV1" s="1405"/>
      <c r="EW1" s="1405"/>
      <c r="EX1" s="1405"/>
      <c r="EY1" s="1405"/>
      <c r="EZ1" s="1405"/>
      <c r="FA1" s="1405"/>
      <c r="FB1" s="1405"/>
      <c r="FC1" s="1405"/>
      <c r="FD1" s="1405"/>
      <c r="FE1" s="1405"/>
      <c r="FF1" s="1405"/>
      <c r="FG1" s="1405"/>
      <c r="FH1" s="1405"/>
      <c r="FI1" s="1405"/>
      <c r="FJ1" s="1405"/>
      <c r="FK1" s="1405"/>
      <c r="FL1" s="1405"/>
      <c r="FM1" s="1405"/>
      <c r="FN1" s="1405"/>
      <c r="FO1" s="1405"/>
      <c r="FP1" s="1405"/>
      <c r="FQ1" s="1405"/>
      <c r="FR1" s="1405"/>
      <c r="FS1" s="1405"/>
      <c r="FT1" s="1405"/>
      <c r="FU1" s="1405"/>
      <c r="FV1" s="1405"/>
      <c r="FW1" s="1405"/>
      <c r="FX1" s="1405"/>
      <c r="FY1" s="1405"/>
      <c r="FZ1" s="1405"/>
      <c r="GA1" s="1405"/>
      <c r="GB1" s="1405"/>
      <c r="GC1" s="1405"/>
      <c r="GD1" s="1405"/>
      <c r="GE1" s="1405"/>
      <c r="GF1" s="1405"/>
      <c r="GG1" s="1405"/>
      <c r="GH1" s="1405"/>
      <c r="GI1" s="1405"/>
      <c r="GJ1" s="1405"/>
      <c r="GK1" s="1405"/>
      <c r="GL1" s="1405"/>
      <c r="GM1" s="1405"/>
      <c r="GN1" s="1405"/>
      <c r="GO1" s="1405"/>
      <c r="GP1" s="1405"/>
      <c r="GQ1" s="1405"/>
      <c r="GR1" s="1405"/>
      <c r="GS1" s="1405"/>
      <c r="GT1" s="1405"/>
      <c r="GU1" s="1405"/>
      <c r="GV1" s="1405"/>
      <c r="GW1" s="1405"/>
      <c r="GX1" s="1405"/>
      <c r="GY1" s="1405"/>
      <c r="GZ1" s="1405"/>
      <c r="HA1" s="1405"/>
      <c r="HB1" s="1405"/>
      <c r="HC1" s="1405"/>
      <c r="HD1" s="1405"/>
      <c r="HE1" s="1405"/>
      <c r="HF1" s="1405"/>
      <c r="HG1" s="1405"/>
      <c r="HH1" s="1405"/>
      <c r="HI1" s="1405"/>
      <c r="HJ1" s="1405"/>
      <c r="HK1" s="1405"/>
      <c r="HL1" s="1405"/>
      <c r="HM1" s="1405"/>
      <c r="HN1" s="1405"/>
      <c r="HO1" s="1405"/>
      <c r="HP1" s="1405"/>
      <c r="HQ1" s="1405"/>
      <c r="HR1" s="1405"/>
      <c r="HS1" s="1405"/>
      <c r="HT1" s="1405"/>
      <c r="HU1" s="1405"/>
      <c r="HV1" s="1405"/>
      <c r="HW1" s="1405"/>
      <c r="HX1" s="1405"/>
      <c r="HY1" s="1405"/>
      <c r="HZ1" s="1405"/>
      <c r="IA1" s="1405"/>
      <c r="IB1" s="1405"/>
      <c r="IC1" s="1405"/>
      <c r="ID1" s="1405"/>
      <c r="IE1" s="1405"/>
      <c r="IF1" s="1405"/>
      <c r="IG1" s="1405"/>
      <c r="IH1" s="1405"/>
      <c r="II1" s="1405"/>
      <c r="IJ1" s="1405"/>
      <c r="IK1" s="1405"/>
      <c r="IL1" s="1405"/>
      <c r="IM1" s="1405"/>
      <c r="IN1" s="1405"/>
      <c r="IO1" s="1405"/>
      <c r="IP1" s="1405"/>
      <c r="IQ1" s="1405"/>
      <c r="IR1" s="1405"/>
      <c r="IS1" s="1405"/>
      <c r="IT1" s="1405"/>
      <c r="IU1" s="1405"/>
      <c r="IV1" s="1405"/>
    </row>
    <row r="2" spans="1:256" s="729" customFormat="1" ht="22.5" customHeight="1">
      <c r="A2" s="1407" t="s">
        <v>7116</v>
      </c>
      <c r="B2" s="1407"/>
      <c r="C2" s="1407"/>
      <c r="D2" s="1407"/>
      <c r="E2" s="1407"/>
      <c r="F2" s="1407"/>
      <c r="G2" s="1407"/>
      <c r="H2" s="1407"/>
      <c r="I2" s="1407"/>
      <c r="J2" s="1405"/>
      <c r="K2" s="1405"/>
      <c r="L2" s="1405"/>
      <c r="M2" s="1405"/>
      <c r="N2" s="1405"/>
      <c r="O2" s="1405"/>
      <c r="P2" s="1405"/>
      <c r="Q2" s="1405"/>
      <c r="R2" s="1405"/>
      <c r="S2" s="1405"/>
      <c r="T2" s="1405"/>
      <c r="U2" s="1405"/>
      <c r="V2" s="1405"/>
      <c r="W2" s="1405"/>
      <c r="X2" s="1405"/>
      <c r="Y2" s="1405"/>
      <c r="Z2" s="1405"/>
      <c r="AA2" s="1405"/>
      <c r="AB2" s="1405"/>
      <c r="AC2" s="1405"/>
      <c r="AD2" s="1405"/>
      <c r="AE2" s="1405"/>
      <c r="AF2" s="1405"/>
      <c r="AG2" s="1405"/>
      <c r="AH2" s="1405"/>
      <c r="AI2" s="1405"/>
      <c r="AJ2" s="1405"/>
      <c r="AK2" s="1405"/>
      <c r="AL2" s="1405"/>
      <c r="AM2" s="1405"/>
      <c r="AN2" s="1405"/>
      <c r="AO2" s="1405"/>
      <c r="AP2" s="1405"/>
      <c r="AQ2" s="1405"/>
      <c r="AR2" s="1405"/>
      <c r="AS2" s="1405"/>
      <c r="AT2" s="1405"/>
      <c r="AU2" s="1405"/>
      <c r="AV2" s="1405"/>
      <c r="AW2" s="1405"/>
      <c r="AX2" s="1405"/>
      <c r="AY2" s="1405"/>
      <c r="AZ2" s="1405"/>
      <c r="BA2" s="1405"/>
      <c r="BB2" s="1405"/>
      <c r="BC2" s="1405"/>
      <c r="BD2" s="1405"/>
      <c r="BE2" s="1405"/>
      <c r="BF2" s="1405"/>
      <c r="BG2" s="1405"/>
      <c r="BH2" s="1405"/>
      <c r="BI2" s="1405"/>
      <c r="BJ2" s="1405"/>
      <c r="BK2" s="1405"/>
      <c r="BL2" s="1405"/>
      <c r="BM2" s="1405"/>
      <c r="BN2" s="1405"/>
      <c r="BO2" s="1405"/>
      <c r="BP2" s="1405"/>
      <c r="BQ2" s="1405"/>
      <c r="BR2" s="1405"/>
      <c r="BS2" s="1405"/>
      <c r="BT2" s="1405"/>
      <c r="BU2" s="1405"/>
      <c r="BV2" s="1405"/>
      <c r="BW2" s="1405"/>
      <c r="BX2" s="1405"/>
      <c r="BY2" s="1405"/>
      <c r="BZ2" s="1405"/>
      <c r="CA2" s="1405"/>
      <c r="CB2" s="1405"/>
      <c r="CC2" s="1405"/>
      <c r="CD2" s="1405"/>
      <c r="CE2" s="1405"/>
      <c r="CF2" s="1405"/>
      <c r="CG2" s="1405"/>
      <c r="CH2" s="1405"/>
      <c r="CI2" s="1405"/>
      <c r="CJ2" s="1405"/>
      <c r="CK2" s="1405"/>
      <c r="CL2" s="1405"/>
      <c r="CM2" s="1405"/>
      <c r="CN2" s="1405"/>
      <c r="CO2" s="1405"/>
      <c r="CP2" s="1405"/>
      <c r="CQ2" s="1405"/>
      <c r="CR2" s="1405"/>
      <c r="CS2" s="1405"/>
      <c r="CT2" s="1405"/>
      <c r="CU2" s="1405"/>
      <c r="CV2" s="1405"/>
      <c r="CW2" s="1405"/>
      <c r="CX2" s="1405"/>
      <c r="CY2" s="1405"/>
      <c r="CZ2" s="1405"/>
      <c r="DA2" s="1405"/>
      <c r="DB2" s="1405"/>
      <c r="DC2" s="1405"/>
      <c r="DD2" s="1405"/>
      <c r="DE2" s="1405"/>
      <c r="DF2" s="1405"/>
      <c r="DG2" s="1405"/>
      <c r="DH2" s="1405"/>
      <c r="DI2" s="1405"/>
      <c r="DJ2" s="1405"/>
      <c r="DK2" s="1405"/>
      <c r="DL2" s="1405"/>
      <c r="DM2" s="1405"/>
      <c r="DN2" s="1405"/>
      <c r="DO2" s="1405"/>
      <c r="DP2" s="1405"/>
      <c r="DQ2" s="1405"/>
      <c r="DR2" s="1405"/>
      <c r="DS2" s="1405"/>
      <c r="DT2" s="1405"/>
      <c r="DU2" s="1405"/>
      <c r="DV2" s="1405"/>
      <c r="DW2" s="1405"/>
      <c r="DX2" s="1405"/>
      <c r="DY2" s="1405"/>
      <c r="DZ2" s="1405"/>
      <c r="EA2" s="1405"/>
      <c r="EB2" s="1405"/>
      <c r="EC2" s="1405"/>
      <c r="ED2" s="1405"/>
      <c r="EE2" s="1405"/>
      <c r="EF2" s="1405"/>
      <c r="EG2" s="1405"/>
      <c r="EH2" s="1405"/>
      <c r="EI2" s="1405"/>
      <c r="EJ2" s="1405"/>
      <c r="EK2" s="1405"/>
      <c r="EL2" s="1405"/>
      <c r="EM2" s="1405"/>
      <c r="EN2" s="1405"/>
      <c r="EO2" s="1405"/>
      <c r="EP2" s="1405"/>
      <c r="EQ2" s="1405"/>
      <c r="ER2" s="1405"/>
      <c r="ES2" s="1405"/>
      <c r="ET2" s="1405"/>
      <c r="EU2" s="1405"/>
      <c r="EV2" s="1405"/>
      <c r="EW2" s="1405"/>
      <c r="EX2" s="1405"/>
      <c r="EY2" s="1405"/>
      <c r="EZ2" s="1405"/>
      <c r="FA2" s="1405"/>
      <c r="FB2" s="1405"/>
      <c r="FC2" s="1405"/>
      <c r="FD2" s="1405"/>
      <c r="FE2" s="1405"/>
      <c r="FF2" s="1405"/>
      <c r="FG2" s="1405"/>
      <c r="FH2" s="1405"/>
      <c r="FI2" s="1405"/>
      <c r="FJ2" s="1405"/>
      <c r="FK2" s="1405"/>
      <c r="FL2" s="1405"/>
      <c r="FM2" s="1405"/>
      <c r="FN2" s="1405"/>
      <c r="FO2" s="1405"/>
      <c r="FP2" s="1405"/>
      <c r="FQ2" s="1405"/>
      <c r="FR2" s="1405"/>
      <c r="FS2" s="1405"/>
      <c r="FT2" s="1405"/>
      <c r="FU2" s="1405"/>
      <c r="FV2" s="1405"/>
      <c r="FW2" s="1405"/>
      <c r="FX2" s="1405"/>
      <c r="FY2" s="1405"/>
      <c r="FZ2" s="1405"/>
      <c r="GA2" s="1405"/>
      <c r="GB2" s="1405"/>
      <c r="GC2" s="1405"/>
      <c r="GD2" s="1405"/>
      <c r="GE2" s="1405"/>
      <c r="GF2" s="1405"/>
      <c r="GG2" s="1405"/>
      <c r="GH2" s="1405"/>
      <c r="GI2" s="1405"/>
      <c r="GJ2" s="1405"/>
      <c r="GK2" s="1405"/>
      <c r="GL2" s="1405"/>
      <c r="GM2" s="1405"/>
      <c r="GN2" s="1405"/>
      <c r="GO2" s="1405"/>
      <c r="GP2" s="1405"/>
      <c r="GQ2" s="1405"/>
      <c r="GR2" s="1405"/>
      <c r="GS2" s="1405"/>
      <c r="GT2" s="1405"/>
      <c r="GU2" s="1405"/>
      <c r="GV2" s="1405"/>
      <c r="GW2" s="1405"/>
      <c r="GX2" s="1405"/>
      <c r="GY2" s="1405"/>
      <c r="GZ2" s="1405"/>
      <c r="HA2" s="1405"/>
      <c r="HB2" s="1405"/>
      <c r="HC2" s="1405"/>
      <c r="HD2" s="1405"/>
      <c r="HE2" s="1405"/>
      <c r="HF2" s="1405"/>
      <c r="HG2" s="1405"/>
      <c r="HH2" s="1405"/>
      <c r="HI2" s="1405"/>
      <c r="HJ2" s="1405"/>
      <c r="HK2" s="1405"/>
      <c r="HL2" s="1405"/>
      <c r="HM2" s="1405"/>
      <c r="HN2" s="1405"/>
      <c r="HO2" s="1405"/>
      <c r="HP2" s="1405"/>
      <c r="HQ2" s="1405"/>
      <c r="HR2" s="1405"/>
      <c r="HS2" s="1405"/>
      <c r="HT2" s="1405"/>
      <c r="HU2" s="1405"/>
      <c r="HV2" s="1405"/>
      <c r="HW2" s="1405"/>
      <c r="HX2" s="1405"/>
      <c r="HY2" s="1405"/>
      <c r="HZ2" s="1405"/>
      <c r="IA2" s="1405"/>
      <c r="IB2" s="1405"/>
      <c r="IC2" s="1405"/>
      <c r="ID2" s="1405"/>
      <c r="IE2" s="1405"/>
      <c r="IF2" s="1405"/>
      <c r="IG2" s="1405"/>
      <c r="IH2" s="1405"/>
      <c r="II2" s="1405"/>
      <c r="IJ2" s="1405"/>
      <c r="IK2" s="1405"/>
      <c r="IL2" s="1405"/>
      <c r="IM2" s="1405"/>
      <c r="IN2" s="1405"/>
      <c r="IO2" s="1405"/>
      <c r="IP2" s="1405"/>
      <c r="IQ2" s="1405"/>
      <c r="IR2" s="1405"/>
      <c r="IS2" s="1405"/>
      <c r="IT2" s="1405"/>
      <c r="IU2" s="1405"/>
      <c r="IV2" s="1405"/>
    </row>
    <row r="3" spans="1:256" s="729" customFormat="1" ht="22.5" customHeight="1">
      <c r="A3" s="1408" t="s">
        <v>7117</v>
      </c>
      <c r="B3" s="1408"/>
      <c r="C3" s="1408"/>
      <c r="D3" s="1408"/>
      <c r="E3" s="1408"/>
      <c r="F3" s="1408"/>
      <c r="G3" s="1408"/>
      <c r="H3" s="1408"/>
      <c r="I3" s="1408"/>
      <c r="J3" s="1405"/>
      <c r="K3" s="1405"/>
      <c r="L3" s="1405"/>
      <c r="M3" s="1405"/>
      <c r="N3" s="1405"/>
      <c r="O3" s="1405"/>
      <c r="P3" s="1405"/>
      <c r="Q3" s="1405"/>
      <c r="R3" s="1405"/>
      <c r="S3" s="1405"/>
      <c r="T3" s="1405"/>
      <c r="U3" s="1405"/>
      <c r="V3" s="1405"/>
      <c r="W3" s="1405"/>
      <c r="X3" s="1405"/>
      <c r="Y3" s="1405"/>
      <c r="Z3" s="1405"/>
      <c r="AA3" s="1405"/>
      <c r="AB3" s="1405"/>
      <c r="AC3" s="1405"/>
      <c r="AD3" s="1405"/>
      <c r="AE3" s="1405"/>
      <c r="AF3" s="1405"/>
      <c r="AG3" s="1405"/>
      <c r="AH3" s="1405"/>
      <c r="AI3" s="1405"/>
      <c r="AJ3" s="1405"/>
      <c r="AK3" s="1405"/>
      <c r="AL3" s="1405"/>
      <c r="AM3" s="1405"/>
      <c r="AN3" s="1405"/>
      <c r="AO3" s="1405"/>
      <c r="AP3" s="1405"/>
      <c r="AQ3" s="1405"/>
      <c r="AR3" s="1405"/>
      <c r="AS3" s="1405"/>
      <c r="AT3" s="1405"/>
      <c r="AU3" s="1405"/>
      <c r="AV3" s="1405"/>
      <c r="AW3" s="1405"/>
      <c r="AX3" s="1405"/>
      <c r="AY3" s="1405"/>
      <c r="AZ3" s="1405"/>
      <c r="BA3" s="1405"/>
      <c r="BB3" s="1405"/>
      <c r="BC3" s="1405"/>
      <c r="BD3" s="1405"/>
      <c r="BE3" s="1405"/>
      <c r="BF3" s="1405"/>
      <c r="BG3" s="1405"/>
      <c r="BH3" s="1405"/>
      <c r="BI3" s="1405"/>
      <c r="BJ3" s="1405"/>
      <c r="BK3" s="1405"/>
      <c r="BL3" s="1405"/>
      <c r="BM3" s="1405"/>
      <c r="BN3" s="1405"/>
      <c r="BO3" s="1405"/>
      <c r="BP3" s="1405"/>
      <c r="BQ3" s="1405"/>
      <c r="BR3" s="1405"/>
      <c r="BS3" s="1405"/>
      <c r="BT3" s="1405"/>
      <c r="BU3" s="1405"/>
      <c r="BV3" s="1405"/>
      <c r="BW3" s="1405"/>
      <c r="BX3" s="1405"/>
      <c r="BY3" s="1405"/>
      <c r="BZ3" s="1405"/>
      <c r="CA3" s="1405"/>
      <c r="CB3" s="1405"/>
      <c r="CC3" s="1405"/>
      <c r="CD3" s="1405"/>
      <c r="CE3" s="1405"/>
      <c r="CF3" s="1405"/>
      <c r="CG3" s="1405"/>
      <c r="CH3" s="1405"/>
      <c r="CI3" s="1405"/>
      <c r="CJ3" s="1405"/>
      <c r="CK3" s="1405"/>
      <c r="CL3" s="1405"/>
      <c r="CM3" s="1405"/>
      <c r="CN3" s="1405"/>
      <c r="CO3" s="1405"/>
      <c r="CP3" s="1405"/>
      <c r="CQ3" s="1405"/>
      <c r="CR3" s="1405"/>
      <c r="CS3" s="1405"/>
      <c r="CT3" s="1405"/>
      <c r="CU3" s="1405"/>
      <c r="CV3" s="1405"/>
      <c r="CW3" s="1405"/>
      <c r="CX3" s="1405"/>
      <c r="CY3" s="1405"/>
      <c r="CZ3" s="1405"/>
      <c r="DA3" s="1405"/>
      <c r="DB3" s="1405"/>
      <c r="DC3" s="1405"/>
      <c r="DD3" s="1405"/>
      <c r="DE3" s="1405"/>
      <c r="DF3" s="1405"/>
      <c r="DG3" s="1405"/>
      <c r="DH3" s="1405"/>
      <c r="DI3" s="1405"/>
      <c r="DJ3" s="1405"/>
      <c r="DK3" s="1405"/>
      <c r="DL3" s="1405"/>
      <c r="DM3" s="1405"/>
      <c r="DN3" s="1405"/>
      <c r="DO3" s="1405"/>
      <c r="DP3" s="1405"/>
      <c r="DQ3" s="1405"/>
      <c r="DR3" s="1405"/>
      <c r="DS3" s="1405"/>
      <c r="DT3" s="1405"/>
      <c r="DU3" s="1405"/>
      <c r="DV3" s="1405"/>
      <c r="DW3" s="1405"/>
      <c r="DX3" s="1405"/>
      <c r="DY3" s="1405"/>
      <c r="DZ3" s="1405"/>
      <c r="EA3" s="1405"/>
      <c r="EB3" s="1405"/>
      <c r="EC3" s="1405"/>
      <c r="ED3" s="1405"/>
      <c r="EE3" s="1405"/>
      <c r="EF3" s="1405"/>
      <c r="EG3" s="1405"/>
      <c r="EH3" s="1405"/>
      <c r="EI3" s="1405"/>
      <c r="EJ3" s="1405"/>
      <c r="EK3" s="1405"/>
      <c r="EL3" s="1405"/>
      <c r="EM3" s="1405"/>
      <c r="EN3" s="1405"/>
      <c r="EO3" s="1405"/>
      <c r="EP3" s="1405"/>
      <c r="EQ3" s="1405"/>
      <c r="ER3" s="1405"/>
      <c r="ES3" s="1405"/>
      <c r="ET3" s="1405"/>
      <c r="EU3" s="1405"/>
      <c r="EV3" s="1405"/>
      <c r="EW3" s="1405"/>
      <c r="EX3" s="1405"/>
      <c r="EY3" s="1405"/>
      <c r="EZ3" s="1405"/>
      <c r="FA3" s="1405"/>
      <c r="FB3" s="1405"/>
      <c r="FC3" s="1405"/>
      <c r="FD3" s="1405"/>
      <c r="FE3" s="1405"/>
      <c r="FF3" s="1405"/>
      <c r="FG3" s="1405"/>
      <c r="FH3" s="1405"/>
      <c r="FI3" s="1405"/>
      <c r="FJ3" s="1405"/>
      <c r="FK3" s="1405"/>
      <c r="FL3" s="1405"/>
      <c r="FM3" s="1405"/>
      <c r="FN3" s="1405"/>
      <c r="FO3" s="1405"/>
      <c r="FP3" s="1405"/>
      <c r="FQ3" s="1405"/>
      <c r="FR3" s="1405"/>
      <c r="FS3" s="1405"/>
      <c r="FT3" s="1405"/>
      <c r="FU3" s="1405"/>
      <c r="FV3" s="1405"/>
      <c r="FW3" s="1405"/>
      <c r="FX3" s="1405"/>
      <c r="FY3" s="1405"/>
      <c r="FZ3" s="1405"/>
      <c r="GA3" s="1405"/>
      <c r="GB3" s="1405"/>
      <c r="GC3" s="1405"/>
      <c r="GD3" s="1405"/>
      <c r="GE3" s="1405"/>
      <c r="GF3" s="1405"/>
      <c r="GG3" s="1405"/>
      <c r="GH3" s="1405"/>
      <c r="GI3" s="1405"/>
      <c r="GJ3" s="1405"/>
      <c r="GK3" s="1405"/>
      <c r="GL3" s="1405"/>
      <c r="GM3" s="1405"/>
      <c r="GN3" s="1405"/>
      <c r="GO3" s="1405"/>
      <c r="GP3" s="1405"/>
      <c r="GQ3" s="1405"/>
      <c r="GR3" s="1405"/>
      <c r="GS3" s="1405"/>
      <c r="GT3" s="1405"/>
      <c r="GU3" s="1405"/>
      <c r="GV3" s="1405"/>
      <c r="GW3" s="1405"/>
      <c r="GX3" s="1405"/>
      <c r="GY3" s="1405"/>
      <c r="GZ3" s="1405"/>
      <c r="HA3" s="1405"/>
      <c r="HB3" s="1405"/>
      <c r="HC3" s="1405"/>
      <c r="HD3" s="1405"/>
      <c r="HE3" s="1405"/>
      <c r="HF3" s="1405"/>
      <c r="HG3" s="1405"/>
      <c r="HH3" s="1405"/>
      <c r="HI3" s="1405"/>
      <c r="HJ3" s="1405"/>
      <c r="HK3" s="1405"/>
      <c r="HL3" s="1405"/>
      <c r="HM3" s="1405"/>
      <c r="HN3" s="1405"/>
      <c r="HO3" s="1405"/>
      <c r="HP3" s="1405"/>
      <c r="HQ3" s="1405"/>
      <c r="HR3" s="1405"/>
      <c r="HS3" s="1405"/>
      <c r="HT3" s="1405"/>
      <c r="HU3" s="1405"/>
      <c r="HV3" s="1405"/>
      <c r="HW3" s="1405"/>
      <c r="HX3" s="1405"/>
      <c r="HY3" s="1405"/>
      <c r="HZ3" s="1405"/>
      <c r="IA3" s="1405"/>
      <c r="IB3" s="1405"/>
      <c r="IC3" s="1405"/>
      <c r="ID3" s="1405"/>
      <c r="IE3" s="1405"/>
      <c r="IF3" s="1405"/>
      <c r="IG3" s="1405"/>
      <c r="IH3" s="1405"/>
      <c r="II3" s="1405"/>
      <c r="IJ3" s="1405"/>
      <c r="IK3" s="1405"/>
      <c r="IL3" s="1405"/>
      <c r="IM3" s="1405"/>
      <c r="IN3" s="1405"/>
      <c r="IO3" s="1405"/>
      <c r="IP3" s="1405"/>
      <c r="IQ3" s="1405"/>
      <c r="IR3" s="1405"/>
      <c r="IS3" s="1405"/>
      <c r="IT3" s="1405"/>
      <c r="IU3" s="1405"/>
      <c r="IV3" s="1405"/>
    </row>
    <row r="4" spans="1:256">
      <c r="A4" s="1409"/>
      <c r="B4" s="1409"/>
      <c r="C4" s="1409"/>
      <c r="D4" s="1409"/>
      <c r="E4" s="1409"/>
      <c r="F4" s="1409"/>
      <c r="G4" s="1409"/>
      <c r="H4" s="1409"/>
      <c r="I4" s="1410"/>
      <c r="J4" s="1405"/>
      <c r="K4" s="1405"/>
      <c r="L4" s="1405"/>
      <c r="M4" s="1405"/>
      <c r="N4" s="1405"/>
      <c r="O4" s="1405"/>
      <c r="P4" s="1405"/>
      <c r="Q4" s="1405"/>
      <c r="R4" s="1405"/>
      <c r="S4" s="1405"/>
      <c r="T4" s="1405"/>
      <c r="U4" s="1405"/>
      <c r="V4" s="1405"/>
      <c r="W4" s="1405"/>
      <c r="X4" s="1405"/>
      <c r="Y4" s="1405"/>
      <c r="Z4" s="1405"/>
      <c r="AA4" s="1405"/>
      <c r="AB4" s="1405"/>
      <c r="AC4" s="1405"/>
      <c r="AD4" s="1405"/>
      <c r="AE4" s="1405"/>
      <c r="AF4" s="1405"/>
      <c r="AG4" s="1405"/>
      <c r="AH4" s="1405"/>
      <c r="AI4" s="1405"/>
      <c r="AJ4" s="1405"/>
      <c r="AK4" s="1405"/>
      <c r="AL4" s="1405"/>
      <c r="AM4" s="1405"/>
      <c r="AN4" s="1405"/>
      <c r="AO4" s="1405"/>
      <c r="AP4" s="1405"/>
      <c r="AQ4" s="1405"/>
      <c r="AR4" s="1405"/>
      <c r="AS4" s="1405"/>
      <c r="AT4" s="1405"/>
      <c r="AU4" s="1405"/>
      <c r="AV4" s="1405"/>
      <c r="AW4" s="1405"/>
      <c r="AX4" s="1405"/>
      <c r="AY4" s="1405"/>
      <c r="AZ4" s="1405"/>
      <c r="BA4" s="1405"/>
      <c r="BB4" s="1405"/>
      <c r="BC4" s="1405"/>
      <c r="BD4" s="1405"/>
      <c r="BE4" s="1405"/>
      <c r="BF4" s="1405"/>
      <c r="BG4" s="1405"/>
      <c r="BH4" s="1405"/>
      <c r="BI4" s="1405"/>
      <c r="BJ4" s="1405"/>
      <c r="BK4" s="1405"/>
      <c r="BL4" s="1405"/>
      <c r="BM4" s="1405"/>
      <c r="BN4" s="1405"/>
      <c r="BO4" s="1405"/>
      <c r="BP4" s="1405"/>
      <c r="BQ4" s="1405"/>
      <c r="BR4" s="1405"/>
      <c r="BS4" s="1405"/>
      <c r="BT4" s="1405"/>
      <c r="BU4" s="1405"/>
      <c r="BV4" s="1405"/>
      <c r="BW4" s="1405"/>
      <c r="BX4" s="1405"/>
      <c r="BY4" s="1405"/>
      <c r="BZ4" s="1405"/>
      <c r="CA4" s="1405"/>
      <c r="CB4" s="1405"/>
      <c r="CC4" s="1405"/>
      <c r="CD4" s="1405"/>
      <c r="CE4" s="1405"/>
      <c r="CF4" s="1405"/>
      <c r="CG4" s="1405"/>
      <c r="CH4" s="1405"/>
      <c r="CI4" s="1405"/>
      <c r="CJ4" s="1405"/>
      <c r="CK4" s="1405"/>
      <c r="CL4" s="1405"/>
      <c r="CM4" s="1405"/>
      <c r="CN4" s="1405"/>
      <c r="CO4" s="1405"/>
      <c r="CP4" s="1405"/>
      <c r="CQ4" s="1405"/>
      <c r="CR4" s="1405"/>
      <c r="CS4" s="1405"/>
      <c r="CT4" s="1405"/>
      <c r="CU4" s="1405"/>
      <c r="CV4" s="1405"/>
      <c r="CW4" s="1405"/>
      <c r="CX4" s="1405"/>
      <c r="CY4" s="1405"/>
      <c r="CZ4" s="1405"/>
      <c r="DA4" s="1405"/>
      <c r="DB4" s="1405"/>
      <c r="DC4" s="1405"/>
      <c r="DD4" s="1405"/>
      <c r="DE4" s="1405"/>
      <c r="DF4" s="1405"/>
      <c r="DG4" s="1405"/>
      <c r="DH4" s="1405"/>
      <c r="DI4" s="1405"/>
      <c r="DJ4" s="1405"/>
      <c r="DK4" s="1405"/>
      <c r="DL4" s="1405"/>
      <c r="DM4" s="1405"/>
      <c r="DN4" s="1405"/>
      <c r="DO4" s="1405"/>
      <c r="DP4" s="1405"/>
      <c r="DQ4" s="1405"/>
      <c r="DR4" s="1405"/>
      <c r="DS4" s="1405"/>
      <c r="DT4" s="1405"/>
      <c r="DU4" s="1405"/>
      <c r="DV4" s="1405"/>
      <c r="DW4" s="1405"/>
      <c r="DX4" s="1405"/>
      <c r="DY4" s="1405"/>
      <c r="DZ4" s="1405"/>
      <c r="EA4" s="1405"/>
      <c r="EB4" s="1405"/>
      <c r="EC4" s="1405"/>
      <c r="ED4" s="1405"/>
      <c r="EE4" s="1405"/>
      <c r="EF4" s="1405"/>
      <c r="EG4" s="1405"/>
      <c r="EH4" s="1405"/>
      <c r="EI4" s="1405"/>
      <c r="EJ4" s="1405"/>
      <c r="EK4" s="1405"/>
      <c r="EL4" s="1405"/>
      <c r="EM4" s="1405"/>
      <c r="EN4" s="1405"/>
      <c r="EO4" s="1405"/>
      <c r="EP4" s="1405"/>
      <c r="EQ4" s="1405"/>
      <c r="ER4" s="1405"/>
      <c r="ES4" s="1405"/>
      <c r="ET4" s="1405"/>
      <c r="EU4" s="1405"/>
      <c r="EV4" s="1405"/>
      <c r="EW4" s="1405"/>
      <c r="EX4" s="1405"/>
      <c r="EY4" s="1405"/>
      <c r="EZ4" s="1405"/>
      <c r="FA4" s="1405"/>
      <c r="FB4" s="1405"/>
      <c r="FC4" s="1405"/>
      <c r="FD4" s="1405"/>
      <c r="FE4" s="1405"/>
      <c r="FF4" s="1405"/>
      <c r="FG4" s="1405"/>
      <c r="FH4" s="1405"/>
      <c r="FI4" s="1405"/>
      <c r="FJ4" s="1405"/>
      <c r="FK4" s="1405"/>
      <c r="FL4" s="1405"/>
      <c r="FM4" s="1405"/>
      <c r="FN4" s="1405"/>
      <c r="FO4" s="1405"/>
      <c r="FP4" s="1405"/>
      <c r="FQ4" s="1405"/>
      <c r="FR4" s="1405"/>
      <c r="FS4" s="1405"/>
      <c r="FT4" s="1405"/>
      <c r="FU4" s="1405"/>
      <c r="FV4" s="1405"/>
      <c r="FW4" s="1405"/>
      <c r="FX4" s="1405"/>
      <c r="FY4" s="1405"/>
      <c r="FZ4" s="1405"/>
      <c r="GA4" s="1405"/>
      <c r="GB4" s="1405"/>
      <c r="GC4" s="1405"/>
      <c r="GD4" s="1405"/>
      <c r="GE4" s="1405"/>
      <c r="GF4" s="1405"/>
      <c r="GG4" s="1405"/>
      <c r="GH4" s="1405"/>
      <c r="GI4" s="1405"/>
      <c r="GJ4" s="1405"/>
      <c r="GK4" s="1405"/>
      <c r="GL4" s="1405"/>
      <c r="GM4" s="1405"/>
      <c r="GN4" s="1405"/>
      <c r="GO4" s="1405"/>
      <c r="GP4" s="1405"/>
      <c r="GQ4" s="1405"/>
      <c r="GR4" s="1405"/>
      <c r="GS4" s="1405"/>
      <c r="GT4" s="1405"/>
      <c r="GU4" s="1405"/>
      <c r="GV4" s="1405"/>
      <c r="GW4" s="1405"/>
      <c r="GX4" s="1405"/>
      <c r="GY4" s="1405"/>
      <c r="GZ4" s="1405"/>
      <c r="HA4" s="1405"/>
      <c r="HB4" s="1405"/>
      <c r="HC4" s="1405"/>
      <c r="HD4" s="1405"/>
      <c r="HE4" s="1405"/>
      <c r="HF4" s="1405"/>
      <c r="HG4" s="1405"/>
      <c r="HH4" s="1405"/>
      <c r="HI4" s="1405"/>
      <c r="HJ4" s="1405"/>
      <c r="HK4" s="1405"/>
      <c r="HL4" s="1405"/>
      <c r="HM4" s="1405"/>
      <c r="HN4" s="1405"/>
      <c r="HO4" s="1405"/>
      <c r="HP4" s="1405"/>
      <c r="HQ4" s="1405"/>
      <c r="HR4" s="1405"/>
      <c r="HS4" s="1405"/>
      <c r="HT4" s="1405"/>
      <c r="HU4" s="1405"/>
      <c r="HV4" s="1405"/>
      <c r="HW4" s="1405"/>
      <c r="HX4" s="1405"/>
      <c r="HY4" s="1405"/>
      <c r="HZ4" s="1405"/>
      <c r="IA4" s="1405"/>
      <c r="IB4" s="1405"/>
      <c r="IC4" s="1405"/>
      <c r="ID4" s="1405"/>
      <c r="IE4" s="1405"/>
      <c r="IF4" s="1405"/>
      <c r="IG4" s="1405"/>
      <c r="IH4" s="1405"/>
      <c r="II4" s="1405"/>
      <c r="IJ4" s="1405"/>
      <c r="IK4" s="1405"/>
      <c r="IL4" s="1405"/>
      <c r="IM4" s="1405"/>
      <c r="IN4" s="1405"/>
      <c r="IO4" s="1405"/>
      <c r="IP4" s="1405"/>
      <c r="IQ4" s="1405"/>
      <c r="IR4" s="1405"/>
      <c r="IS4" s="1405"/>
      <c r="IT4" s="1405"/>
      <c r="IU4" s="1405"/>
      <c r="IV4" s="1405"/>
    </row>
    <row r="5" spans="1:256" ht="18" customHeight="1">
      <c r="A5" s="1411" t="s">
        <v>7085</v>
      </c>
      <c r="B5" s="1411" t="s">
        <v>7118</v>
      </c>
      <c r="C5" s="1411" t="s">
        <v>1427</v>
      </c>
      <c r="D5" s="1411"/>
      <c r="E5" s="1411" t="s">
        <v>7119</v>
      </c>
      <c r="F5" s="1411"/>
      <c r="G5" s="1411"/>
      <c r="H5" s="1412" t="s">
        <v>1034</v>
      </c>
      <c r="I5" s="1410"/>
      <c r="J5" s="1405"/>
      <c r="K5" s="1405"/>
      <c r="L5" s="1405"/>
      <c r="M5" s="1405"/>
      <c r="N5" s="1405"/>
      <c r="O5" s="1405"/>
      <c r="P5" s="1405"/>
      <c r="Q5" s="1405"/>
      <c r="R5" s="1405"/>
      <c r="S5" s="1405"/>
      <c r="T5" s="1405"/>
      <c r="U5" s="1405"/>
      <c r="V5" s="1405"/>
      <c r="W5" s="1405"/>
      <c r="X5" s="1405"/>
      <c r="Y5" s="1405"/>
      <c r="Z5" s="1405"/>
      <c r="AA5" s="1405"/>
      <c r="AB5" s="1405"/>
      <c r="AC5" s="1405"/>
      <c r="AD5" s="1405"/>
      <c r="AE5" s="1405"/>
      <c r="AF5" s="1405"/>
      <c r="AG5" s="1405"/>
      <c r="AH5" s="1405"/>
      <c r="AI5" s="1405"/>
      <c r="AJ5" s="1405"/>
      <c r="AK5" s="1405"/>
      <c r="AL5" s="1405"/>
      <c r="AM5" s="1405"/>
      <c r="AN5" s="1405"/>
      <c r="AO5" s="1405"/>
      <c r="AP5" s="1405"/>
      <c r="AQ5" s="1405"/>
      <c r="AR5" s="1405"/>
      <c r="AS5" s="1405"/>
      <c r="AT5" s="1405"/>
      <c r="AU5" s="1405"/>
      <c r="AV5" s="1405"/>
      <c r="AW5" s="1405"/>
      <c r="AX5" s="1405"/>
      <c r="AY5" s="1405"/>
      <c r="AZ5" s="1405"/>
      <c r="BA5" s="1405"/>
      <c r="BB5" s="1405"/>
      <c r="BC5" s="1405"/>
      <c r="BD5" s="1405"/>
      <c r="BE5" s="1405"/>
      <c r="BF5" s="1405"/>
      <c r="BG5" s="1405"/>
      <c r="BH5" s="1405"/>
      <c r="BI5" s="1405"/>
      <c r="BJ5" s="1405"/>
      <c r="BK5" s="1405"/>
      <c r="BL5" s="1405"/>
      <c r="BM5" s="1405"/>
      <c r="BN5" s="1405"/>
      <c r="BO5" s="1405"/>
      <c r="BP5" s="1405"/>
      <c r="BQ5" s="1405"/>
      <c r="BR5" s="1405"/>
      <c r="BS5" s="1405"/>
      <c r="BT5" s="1405"/>
      <c r="BU5" s="1405"/>
      <c r="BV5" s="1405"/>
      <c r="BW5" s="1405"/>
      <c r="BX5" s="1405"/>
      <c r="BY5" s="1405"/>
      <c r="BZ5" s="1405"/>
      <c r="CA5" s="1405"/>
      <c r="CB5" s="1405"/>
      <c r="CC5" s="1405"/>
      <c r="CD5" s="1405"/>
      <c r="CE5" s="1405"/>
      <c r="CF5" s="1405"/>
      <c r="CG5" s="1405"/>
      <c r="CH5" s="1405"/>
      <c r="CI5" s="1405"/>
      <c r="CJ5" s="1405"/>
      <c r="CK5" s="1405"/>
      <c r="CL5" s="1405"/>
      <c r="CM5" s="1405"/>
      <c r="CN5" s="1405"/>
      <c r="CO5" s="1405"/>
      <c r="CP5" s="1405"/>
      <c r="CQ5" s="1405"/>
      <c r="CR5" s="1405"/>
      <c r="CS5" s="1405"/>
      <c r="CT5" s="1405"/>
      <c r="CU5" s="1405"/>
      <c r="CV5" s="1405"/>
      <c r="CW5" s="1405"/>
      <c r="CX5" s="1405"/>
      <c r="CY5" s="1405"/>
      <c r="CZ5" s="1405"/>
      <c r="DA5" s="1405"/>
      <c r="DB5" s="1405"/>
      <c r="DC5" s="1405"/>
      <c r="DD5" s="1405"/>
      <c r="DE5" s="1405"/>
      <c r="DF5" s="1405"/>
      <c r="DG5" s="1405"/>
      <c r="DH5" s="1405"/>
      <c r="DI5" s="1405"/>
      <c r="DJ5" s="1405"/>
      <c r="DK5" s="1405"/>
      <c r="DL5" s="1405"/>
      <c r="DM5" s="1405"/>
      <c r="DN5" s="1405"/>
      <c r="DO5" s="1405"/>
      <c r="DP5" s="1405"/>
      <c r="DQ5" s="1405"/>
      <c r="DR5" s="1405"/>
      <c r="DS5" s="1405"/>
      <c r="DT5" s="1405"/>
      <c r="DU5" s="1405"/>
      <c r="DV5" s="1405"/>
      <c r="DW5" s="1405"/>
      <c r="DX5" s="1405"/>
      <c r="DY5" s="1405"/>
      <c r="DZ5" s="1405"/>
      <c r="EA5" s="1405"/>
      <c r="EB5" s="1405"/>
      <c r="EC5" s="1405"/>
      <c r="ED5" s="1405"/>
      <c r="EE5" s="1405"/>
      <c r="EF5" s="1405"/>
      <c r="EG5" s="1405"/>
      <c r="EH5" s="1405"/>
      <c r="EI5" s="1405"/>
      <c r="EJ5" s="1405"/>
      <c r="EK5" s="1405"/>
      <c r="EL5" s="1405"/>
      <c r="EM5" s="1405"/>
      <c r="EN5" s="1405"/>
      <c r="EO5" s="1405"/>
      <c r="EP5" s="1405"/>
      <c r="EQ5" s="1405"/>
      <c r="ER5" s="1405"/>
      <c r="ES5" s="1405"/>
      <c r="ET5" s="1405"/>
      <c r="EU5" s="1405"/>
      <c r="EV5" s="1405"/>
      <c r="EW5" s="1405"/>
      <c r="EX5" s="1405"/>
      <c r="EY5" s="1405"/>
      <c r="EZ5" s="1405"/>
      <c r="FA5" s="1405"/>
      <c r="FB5" s="1405"/>
      <c r="FC5" s="1405"/>
      <c r="FD5" s="1405"/>
      <c r="FE5" s="1405"/>
      <c r="FF5" s="1405"/>
      <c r="FG5" s="1405"/>
      <c r="FH5" s="1405"/>
      <c r="FI5" s="1405"/>
      <c r="FJ5" s="1405"/>
      <c r="FK5" s="1405"/>
      <c r="FL5" s="1405"/>
      <c r="FM5" s="1405"/>
      <c r="FN5" s="1405"/>
      <c r="FO5" s="1405"/>
      <c r="FP5" s="1405"/>
      <c r="FQ5" s="1405"/>
      <c r="FR5" s="1405"/>
      <c r="FS5" s="1405"/>
      <c r="FT5" s="1405"/>
      <c r="FU5" s="1405"/>
      <c r="FV5" s="1405"/>
      <c r="FW5" s="1405"/>
      <c r="FX5" s="1405"/>
      <c r="FY5" s="1405"/>
      <c r="FZ5" s="1405"/>
      <c r="GA5" s="1405"/>
      <c r="GB5" s="1405"/>
      <c r="GC5" s="1405"/>
      <c r="GD5" s="1405"/>
      <c r="GE5" s="1405"/>
      <c r="GF5" s="1405"/>
      <c r="GG5" s="1405"/>
      <c r="GH5" s="1405"/>
      <c r="GI5" s="1405"/>
      <c r="GJ5" s="1405"/>
      <c r="GK5" s="1405"/>
      <c r="GL5" s="1405"/>
      <c r="GM5" s="1405"/>
      <c r="GN5" s="1405"/>
      <c r="GO5" s="1405"/>
      <c r="GP5" s="1405"/>
      <c r="GQ5" s="1405"/>
      <c r="GR5" s="1405"/>
      <c r="GS5" s="1405"/>
      <c r="GT5" s="1405"/>
      <c r="GU5" s="1405"/>
      <c r="GV5" s="1405"/>
      <c r="GW5" s="1405"/>
      <c r="GX5" s="1405"/>
      <c r="GY5" s="1405"/>
      <c r="GZ5" s="1405"/>
      <c r="HA5" s="1405"/>
      <c r="HB5" s="1405"/>
      <c r="HC5" s="1405"/>
      <c r="HD5" s="1405"/>
      <c r="HE5" s="1405"/>
      <c r="HF5" s="1405"/>
      <c r="HG5" s="1405"/>
      <c r="HH5" s="1405"/>
      <c r="HI5" s="1405"/>
      <c r="HJ5" s="1405"/>
      <c r="HK5" s="1405"/>
      <c r="HL5" s="1405"/>
      <c r="HM5" s="1405"/>
      <c r="HN5" s="1405"/>
      <c r="HO5" s="1405"/>
      <c r="HP5" s="1405"/>
      <c r="HQ5" s="1405"/>
      <c r="HR5" s="1405"/>
      <c r="HS5" s="1405"/>
      <c r="HT5" s="1405"/>
      <c r="HU5" s="1405"/>
      <c r="HV5" s="1405"/>
      <c r="HW5" s="1405"/>
      <c r="HX5" s="1405"/>
      <c r="HY5" s="1405"/>
      <c r="HZ5" s="1405"/>
      <c r="IA5" s="1405"/>
      <c r="IB5" s="1405"/>
      <c r="IC5" s="1405"/>
      <c r="ID5" s="1405"/>
      <c r="IE5" s="1405"/>
      <c r="IF5" s="1405"/>
      <c r="IG5" s="1405"/>
      <c r="IH5" s="1405"/>
      <c r="II5" s="1405"/>
      <c r="IJ5" s="1405"/>
      <c r="IK5" s="1405"/>
      <c r="IL5" s="1405"/>
      <c r="IM5" s="1405"/>
      <c r="IN5" s="1405"/>
      <c r="IO5" s="1405"/>
      <c r="IP5" s="1405"/>
      <c r="IQ5" s="1405"/>
      <c r="IR5" s="1405"/>
      <c r="IS5" s="1405"/>
      <c r="IT5" s="1405"/>
      <c r="IU5" s="1405"/>
      <c r="IV5" s="1405"/>
    </row>
    <row r="6" spans="1:256" ht="18" customHeight="1">
      <c r="A6" s="1411"/>
      <c r="B6" s="1411"/>
      <c r="C6" s="1411"/>
      <c r="D6" s="1411"/>
      <c r="E6" s="1413" t="s">
        <v>5797</v>
      </c>
      <c r="F6" s="1413" t="s">
        <v>1548</v>
      </c>
      <c r="G6" s="1413" t="s">
        <v>5798</v>
      </c>
      <c r="H6" s="1412"/>
      <c r="I6" s="1410"/>
      <c r="J6" s="1405"/>
      <c r="K6" s="1405"/>
      <c r="L6" s="1405"/>
      <c r="M6" s="1405"/>
      <c r="N6" s="1405"/>
      <c r="O6" s="1405"/>
      <c r="P6" s="1405"/>
      <c r="Q6" s="1405"/>
      <c r="R6" s="1405"/>
      <c r="S6" s="1405"/>
      <c r="T6" s="1405"/>
      <c r="U6" s="1405"/>
      <c r="V6" s="1405"/>
      <c r="W6" s="1405"/>
      <c r="X6" s="1405"/>
      <c r="Y6" s="1405"/>
      <c r="Z6" s="1405"/>
      <c r="AA6" s="1405"/>
      <c r="AB6" s="1405"/>
      <c r="AC6" s="1405"/>
      <c r="AD6" s="1405"/>
      <c r="AE6" s="1405"/>
      <c r="AF6" s="1405"/>
      <c r="AG6" s="1405"/>
      <c r="AH6" s="1405"/>
      <c r="AI6" s="1405"/>
      <c r="AJ6" s="1405"/>
      <c r="AK6" s="1405"/>
      <c r="AL6" s="1405"/>
      <c r="AM6" s="1405"/>
      <c r="AN6" s="1405"/>
      <c r="AO6" s="1405"/>
      <c r="AP6" s="1405"/>
      <c r="AQ6" s="1405"/>
      <c r="AR6" s="1405"/>
      <c r="AS6" s="1405"/>
      <c r="AT6" s="1405"/>
      <c r="AU6" s="1405"/>
      <c r="AV6" s="1405"/>
      <c r="AW6" s="1405"/>
      <c r="AX6" s="1405"/>
      <c r="AY6" s="1405"/>
      <c r="AZ6" s="1405"/>
      <c r="BA6" s="1405"/>
      <c r="BB6" s="1405"/>
      <c r="BC6" s="1405"/>
      <c r="BD6" s="1405"/>
      <c r="BE6" s="1405"/>
      <c r="BF6" s="1405"/>
      <c r="BG6" s="1405"/>
      <c r="BH6" s="1405"/>
      <c r="BI6" s="1405"/>
      <c r="BJ6" s="1405"/>
      <c r="BK6" s="1405"/>
      <c r="BL6" s="1405"/>
      <c r="BM6" s="1405"/>
      <c r="BN6" s="1405"/>
      <c r="BO6" s="1405"/>
      <c r="BP6" s="1405"/>
      <c r="BQ6" s="1405"/>
      <c r="BR6" s="1405"/>
      <c r="BS6" s="1405"/>
      <c r="BT6" s="1405"/>
      <c r="BU6" s="1405"/>
      <c r="BV6" s="1405"/>
      <c r="BW6" s="1405"/>
      <c r="BX6" s="1405"/>
      <c r="BY6" s="1405"/>
      <c r="BZ6" s="1405"/>
      <c r="CA6" s="1405"/>
      <c r="CB6" s="1405"/>
      <c r="CC6" s="1405"/>
      <c r="CD6" s="1405"/>
      <c r="CE6" s="1405"/>
      <c r="CF6" s="1405"/>
      <c r="CG6" s="1405"/>
      <c r="CH6" s="1405"/>
      <c r="CI6" s="1405"/>
      <c r="CJ6" s="1405"/>
      <c r="CK6" s="1405"/>
      <c r="CL6" s="1405"/>
      <c r="CM6" s="1405"/>
      <c r="CN6" s="1405"/>
      <c r="CO6" s="1405"/>
      <c r="CP6" s="1405"/>
      <c r="CQ6" s="1405"/>
      <c r="CR6" s="1405"/>
      <c r="CS6" s="1405"/>
      <c r="CT6" s="1405"/>
      <c r="CU6" s="1405"/>
      <c r="CV6" s="1405"/>
      <c r="CW6" s="1405"/>
      <c r="CX6" s="1405"/>
      <c r="CY6" s="1405"/>
      <c r="CZ6" s="1405"/>
      <c r="DA6" s="1405"/>
      <c r="DB6" s="1405"/>
      <c r="DC6" s="1405"/>
      <c r="DD6" s="1405"/>
      <c r="DE6" s="1405"/>
      <c r="DF6" s="1405"/>
      <c r="DG6" s="1405"/>
      <c r="DH6" s="1405"/>
      <c r="DI6" s="1405"/>
      <c r="DJ6" s="1405"/>
      <c r="DK6" s="1405"/>
      <c r="DL6" s="1405"/>
      <c r="DM6" s="1405"/>
      <c r="DN6" s="1405"/>
      <c r="DO6" s="1405"/>
      <c r="DP6" s="1405"/>
      <c r="DQ6" s="1405"/>
      <c r="DR6" s="1405"/>
      <c r="DS6" s="1405"/>
      <c r="DT6" s="1405"/>
      <c r="DU6" s="1405"/>
      <c r="DV6" s="1405"/>
      <c r="DW6" s="1405"/>
      <c r="DX6" s="1405"/>
      <c r="DY6" s="1405"/>
      <c r="DZ6" s="1405"/>
      <c r="EA6" s="1405"/>
      <c r="EB6" s="1405"/>
      <c r="EC6" s="1405"/>
      <c r="ED6" s="1405"/>
      <c r="EE6" s="1405"/>
      <c r="EF6" s="1405"/>
      <c r="EG6" s="1405"/>
      <c r="EH6" s="1405"/>
      <c r="EI6" s="1405"/>
      <c r="EJ6" s="1405"/>
      <c r="EK6" s="1405"/>
      <c r="EL6" s="1405"/>
      <c r="EM6" s="1405"/>
      <c r="EN6" s="1405"/>
      <c r="EO6" s="1405"/>
      <c r="EP6" s="1405"/>
      <c r="EQ6" s="1405"/>
      <c r="ER6" s="1405"/>
      <c r="ES6" s="1405"/>
      <c r="ET6" s="1405"/>
      <c r="EU6" s="1405"/>
      <c r="EV6" s="1405"/>
      <c r="EW6" s="1405"/>
      <c r="EX6" s="1405"/>
      <c r="EY6" s="1405"/>
      <c r="EZ6" s="1405"/>
      <c r="FA6" s="1405"/>
      <c r="FB6" s="1405"/>
      <c r="FC6" s="1405"/>
      <c r="FD6" s="1405"/>
      <c r="FE6" s="1405"/>
      <c r="FF6" s="1405"/>
      <c r="FG6" s="1405"/>
      <c r="FH6" s="1405"/>
      <c r="FI6" s="1405"/>
      <c r="FJ6" s="1405"/>
      <c r="FK6" s="1405"/>
      <c r="FL6" s="1405"/>
      <c r="FM6" s="1405"/>
      <c r="FN6" s="1405"/>
      <c r="FO6" s="1405"/>
      <c r="FP6" s="1405"/>
      <c r="FQ6" s="1405"/>
      <c r="FR6" s="1405"/>
      <c r="FS6" s="1405"/>
      <c r="FT6" s="1405"/>
      <c r="FU6" s="1405"/>
      <c r="FV6" s="1405"/>
      <c r="FW6" s="1405"/>
      <c r="FX6" s="1405"/>
      <c r="FY6" s="1405"/>
      <c r="FZ6" s="1405"/>
      <c r="GA6" s="1405"/>
      <c r="GB6" s="1405"/>
      <c r="GC6" s="1405"/>
      <c r="GD6" s="1405"/>
      <c r="GE6" s="1405"/>
      <c r="GF6" s="1405"/>
      <c r="GG6" s="1405"/>
      <c r="GH6" s="1405"/>
      <c r="GI6" s="1405"/>
      <c r="GJ6" s="1405"/>
      <c r="GK6" s="1405"/>
      <c r="GL6" s="1405"/>
      <c r="GM6" s="1405"/>
      <c r="GN6" s="1405"/>
      <c r="GO6" s="1405"/>
      <c r="GP6" s="1405"/>
      <c r="GQ6" s="1405"/>
      <c r="GR6" s="1405"/>
      <c r="GS6" s="1405"/>
      <c r="GT6" s="1405"/>
      <c r="GU6" s="1405"/>
      <c r="GV6" s="1405"/>
      <c r="GW6" s="1405"/>
      <c r="GX6" s="1405"/>
      <c r="GY6" s="1405"/>
      <c r="GZ6" s="1405"/>
      <c r="HA6" s="1405"/>
      <c r="HB6" s="1405"/>
      <c r="HC6" s="1405"/>
      <c r="HD6" s="1405"/>
      <c r="HE6" s="1405"/>
      <c r="HF6" s="1405"/>
      <c r="HG6" s="1405"/>
      <c r="HH6" s="1405"/>
      <c r="HI6" s="1405"/>
      <c r="HJ6" s="1405"/>
      <c r="HK6" s="1405"/>
      <c r="HL6" s="1405"/>
      <c r="HM6" s="1405"/>
      <c r="HN6" s="1405"/>
      <c r="HO6" s="1405"/>
      <c r="HP6" s="1405"/>
      <c r="HQ6" s="1405"/>
      <c r="HR6" s="1405"/>
      <c r="HS6" s="1405"/>
      <c r="HT6" s="1405"/>
      <c r="HU6" s="1405"/>
      <c r="HV6" s="1405"/>
      <c r="HW6" s="1405"/>
      <c r="HX6" s="1405"/>
      <c r="HY6" s="1405"/>
      <c r="HZ6" s="1405"/>
      <c r="IA6" s="1405"/>
      <c r="IB6" s="1405"/>
      <c r="IC6" s="1405"/>
      <c r="ID6" s="1405"/>
      <c r="IE6" s="1405"/>
      <c r="IF6" s="1405"/>
      <c r="IG6" s="1405"/>
      <c r="IH6" s="1405"/>
      <c r="II6" s="1405"/>
      <c r="IJ6" s="1405"/>
      <c r="IK6" s="1405"/>
      <c r="IL6" s="1405"/>
      <c r="IM6" s="1405"/>
      <c r="IN6" s="1405"/>
      <c r="IO6" s="1405"/>
      <c r="IP6" s="1405"/>
      <c r="IQ6" s="1405"/>
      <c r="IR6" s="1405"/>
      <c r="IS6" s="1405"/>
      <c r="IT6" s="1405"/>
      <c r="IU6" s="1405"/>
      <c r="IV6" s="1405"/>
    </row>
    <row r="7" spans="1:256" ht="55.5" customHeight="1">
      <c r="A7" s="1414">
        <v>1.6</v>
      </c>
      <c r="B7" s="1415" t="s">
        <v>7120</v>
      </c>
      <c r="C7" s="1415"/>
      <c r="D7" s="1415"/>
      <c r="E7" s="1415"/>
      <c r="F7" s="1415"/>
      <c r="G7" s="1416"/>
      <c r="H7" s="1417"/>
      <c r="I7" s="1410"/>
      <c r="J7" s="1405"/>
      <c r="K7" s="1405"/>
      <c r="L7" s="1405"/>
      <c r="M7" s="1405"/>
      <c r="N7" s="1405"/>
      <c r="O7" s="1405"/>
      <c r="P7" s="1405"/>
      <c r="Q7" s="1405"/>
      <c r="R7" s="1405"/>
      <c r="S7" s="1405"/>
      <c r="T7" s="1405"/>
      <c r="U7" s="1405"/>
      <c r="V7" s="1405"/>
      <c r="W7" s="1405"/>
      <c r="X7" s="1405"/>
      <c r="Y7" s="1405"/>
      <c r="Z7" s="1405"/>
      <c r="AA7" s="1405"/>
      <c r="AB7" s="1405"/>
      <c r="AC7" s="1405"/>
      <c r="AD7" s="1405"/>
      <c r="AE7" s="1405"/>
      <c r="AF7" s="1405"/>
      <c r="AG7" s="1405"/>
      <c r="AH7" s="1405"/>
      <c r="AI7" s="1405"/>
      <c r="AJ7" s="1405"/>
      <c r="AK7" s="1405"/>
      <c r="AL7" s="1405"/>
      <c r="AM7" s="1405"/>
      <c r="AN7" s="1405"/>
      <c r="AO7" s="1405"/>
      <c r="AP7" s="1405"/>
      <c r="AQ7" s="1405"/>
      <c r="AR7" s="1405"/>
      <c r="AS7" s="1405"/>
      <c r="AT7" s="1405"/>
      <c r="AU7" s="1405"/>
      <c r="AV7" s="1405"/>
      <c r="AW7" s="1405"/>
      <c r="AX7" s="1405"/>
      <c r="AY7" s="1405"/>
      <c r="AZ7" s="1405"/>
      <c r="BA7" s="1405"/>
      <c r="BB7" s="1405"/>
      <c r="BC7" s="1405"/>
      <c r="BD7" s="1405"/>
      <c r="BE7" s="1405"/>
      <c r="BF7" s="1405"/>
      <c r="BG7" s="1405"/>
      <c r="BH7" s="1405"/>
      <c r="BI7" s="1405"/>
      <c r="BJ7" s="1405"/>
      <c r="BK7" s="1405"/>
      <c r="BL7" s="1405"/>
      <c r="BM7" s="1405"/>
      <c r="BN7" s="1405"/>
      <c r="BO7" s="1405"/>
      <c r="BP7" s="1405"/>
      <c r="BQ7" s="1405"/>
      <c r="BR7" s="1405"/>
      <c r="BS7" s="1405"/>
      <c r="BT7" s="1405"/>
      <c r="BU7" s="1405"/>
      <c r="BV7" s="1405"/>
      <c r="BW7" s="1405"/>
      <c r="BX7" s="1405"/>
      <c r="BY7" s="1405"/>
      <c r="BZ7" s="1405"/>
      <c r="CA7" s="1405"/>
      <c r="CB7" s="1405"/>
      <c r="CC7" s="1405"/>
      <c r="CD7" s="1405"/>
      <c r="CE7" s="1405"/>
      <c r="CF7" s="1405"/>
      <c r="CG7" s="1405"/>
      <c r="CH7" s="1405"/>
      <c r="CI7" s="1405"/>
      <c r="CJ7" s="1405"/>
      <c r="CK7" s="1405"/>
      <c r="CL7" s="1405"/>
      <c r="CM7" s="1405"/>
      <c r="CN7" s="1405"/>
      <c r="CO7" s="1405"/>
      <c r="CP7" s="1405"/>
      <c r="CQ7" s="1405"/>
      <c r="CR7" s="1405"/>
      <c r="CS7" s="1405"/>
      <c r="CT7" s="1405"/>
      <c r="CU7" s="1405"/>
      <c r="CV7" s="1405"/>
      <c r="CW7" s="1405"/>
      <c r="CX7" s="1405"/>
      <c r="CY7" s="1405"/>
      <c r="CZ7" s="1405"/>
      <c r="DA7" s="1405"/>
      <c r="DB7" s="1405"/>
      <c r="DC7" s="1405"/>
      <c r="DD7" s="1405"/>
      <c r="DE7" s="1405"/>
      <c r="DF7" s="1405"/>
      <c r="DG7" s="1405"/>
      <c r="DH7" s="1405"/>
      <c r="DI7" s="1405"/>
      <c r="DJ7" s="1405"/>
      <c r="DK7" s="1405"/>
      <c r="DL7" s="1405"/>
      <c r="DM7" s="1405"/>
      <c r="DN7" s="1405"/>
      <c r="DO7" s="1405"/>
      <c r="DP7" s="1405"/>
      <c r="DQ7" s="1405"/>
      <c r="DR7" s="1405"/>
      <c r="DS7" s="1405"/>
      <c r="DT7" s="1405"/>
      <c r="DU7" s="1405"/>
      <c r="DV7" s="1405"/>
      <c r="DW7" s="1405"/>
      <c r="DX7" s="1405"/>
      <c r="DY7" s="1405"/>
      <c r="DZ7" s="1405"/>
      <c r="EA7" s="1405"/>
      <c r="EB7" s="1405"/>
      <c r="EC7" s="1405"/>
      <c r="ED7" s="1405"/>
      <c r="EE7" s="1405"/>
      <c r="EF7" s="1405"/>
      <c r="EG7" s="1405"/>
      <c r="EH7" s="1405"/>
      <c r="EI7" s="1405"/>
      <c r="EJ7" s="1405"/>
      <c r="EK7" s="1405"/>
      <c r="EL7" s="1405"/>
      <c r="EM7" s="1405"/>
      <c r="EN7" s="1405"/>
      <c r="EO7" s="1405"/>
      <c r="EP7" s="1405"/>
      <c r="EQ7" s="1405"/>
      <c r="ER7" s="1405"/>
      <c r="ES7" s="1405"/>
      <c r="ET7" s="1405"/>
      <c r="EU7" s="1405"/>
      <c r="EV7" s="1405"/>
      <c r="EW7" s="1405"/>
      <c r="EX7" s="1405"/>
      <c r="EY7" s="1405"/>
      <c r="EZ7" s="1405"/>
      <c r="FA7" s="1405"/>
      <c r="FB7" s="1405"/>
      <c r="FC7" s="1405"/>
      <c r="FD7" s="1405"/>
      <c r="FE7" s="1405"/>
      <c r="FF7" s="1405"/>
      <c r="FG7" s="1405"/>
      <c r="FH7" s="1405"/>
      <c r="FI7" s="1405"/>
      <c r="FJ7" s="1405"/>
      <c r="FK7" s="1405"/>
      <c r="FL7" s="1405"/>
      <c r="FM7" s="1405"/>
      <c r="FN7" s="1405"/>
      <c r="FO7" s="1405"/>
      <c r="FP7" s="1405"/>
      <c r="FQ7" s="1405"/>
      <c r="FR7" s="1405"/>
      <c r="FS7" s="1405"/>
      <c r="FT7" s="1405"/>
      <c r="FU7" s="1405"/>
      <c r="FV7" s="1405"/>
      <c r="FW7" s="1405"/>
      <c r="FX7" s="1405"/>
      <c r="FY7" s="1405"/>
      <c r="FZ7" s="1405"/>
      <c r="GA7" s="1405"/>
      <c r="GB7" s="1405"/>
      <c r="GC7" s="1405"/>
      <c r="GD7" s="1405"/>
      <c r="GE7" s="1405"/>
      <c r="GF7" s="1405"/>
      <c r="GG7" s="1405"/>
      <c r="GH7" s="1405"/>
      <c r="GI7" s="1405"/>
      <c r="GJ7" s="1405"/>
      <c r="GK7" s="1405"/>
      <c r="GL7" s="1405"/>
      <c r="GM7" s="1405"/>
      <c r="GN7" s="1405"/>
      <c r="GO7" s="1405"/>
      <c r="GP7" s="1405"/>
      <c r="GQ7" s="1405"/>
      <c r="GR7" s="1405"/>
      <c r="GS7" s="1405"/>
      <c r="GT7" s="1405"/>
      <c r="GU7" s="1405"/>
      <c r="GV7" s="1405"/>
      <c r="GW7" s="1405"/>
      <c r="GX7" s="1405"/>
      <c r="GY7" s="1405"/>
      <c r="GZ7" s="1405"/>
      <c r="HA7" s="1405"/>
      <c r="HB7" s="1405"/>
      <c r="HC7" s="1405"/>
      <c r="HD7" s="1405"/>
      <c r="HE7" s="1405"/>
      <c r="HF7" s="1405"/>
      <c r="HG7" s="1405"/>
      <c r="HH7" s="1405"/>
      <c r="HI7" s="1405"/>
      <c r="HJ7" s="1405"/>
      <c r="HK7" s="1405"/>
      <c r="HL7" s="1405"/>
      <c r="HM7" s="1405"/>
      <c r="HN7" s="1405"/>
      <c r="HO7" s="1405"/>
      <c r="HP7" s="1405"/>
      <c r="HQ7" s="1405"/>
      <c r="HR7" s="1405"/>
      <c r="HS7" s="1405"/>
      <c r="HT7" s="1405"/>
      <c r="HU7" s="1405"/>
      <c r="HV7" s="1405"/>
      <c r="HW7" s="1405"/>
      <c r="HX7" s="1405"/>
      <c r="HY7" s="1405"/>
      <c r="HZ7" s="1405"/>
      <c r="IA7" s="1405"/>
      <c r="IB7" s="1405"/>
      <c r="IC7" s="1405"/>
      <c r="ID7" s="1405"/>
      <c r="IE7" s="1405"/>
      <c r="IF7" s="1405"/>
      <c r="IG7" s="1405"/>
      <c r="IH7" s="1405"/>
      <c r="II7" s="1405"/>
      <c r="IJ7" s="1405"/>
      <c r="IK7" s="1405"/>
      <c r="IL7" s="1405"/>
      <c r="IM7" s="1405"/>
      <c r="IN7" s="1405"/>
      <c r="IO7" s="1405"/>
      <c r="IP7" s="1405"/>
      <c r="IQ7" s="1405"/>
      <c r="IR7" s="1405"/>
      <c r="IS7" s="1405"/>
      <c r="IT7" s="1405"/>
      <c r="IU7" s="1405"/>
      <c r="IV7" s="1405"/>
    </row>
    <row r="8" spans="1:256" ht="32.25" customHeight="1">
      <c r="A8" s="1414"/>
      <c r="B8" s="1418" t="s">
        <v>7121</v>
      </c>
      <c r="C8" s="1414">
        <v>1</v>
      </c>
      <c r="D8" s="1414">
        <v>1</v>
      </c>
      <c r="E8" s="1419">
        <v>20</v>
      </c>
      <c r="F8" s="1419">
        <v>1</v>
      </c>
      <c r="G8" s="1419">
        <v>0.6</v>
      </c>
      <c r="H8" s="1420">
        <f>ROUND(PRODUCT(C8:G8),2)</f>
        <v>12</v>
      </c>
      <c r="I8" s="1410"/>
      <c r="J8" s="1405"/>
      <c r="K8" s="1405"/>
      <c r="L8" s="1405"/>
      <c r="M8" s="1405"/>
      <c r="N8" s="1405"/>
      <c r="O8" s="1405"/>
      <c r="P8" s="1405"/>
      <c r="Q8" s="1405"/>
      <c r="R8" s="1405"/>
      <c r="S8" s="1405"/>
      <c r="T8" s="1405"/>
      <c r="U8" s="1405"/>
      <c r="V8" s="1405"/>
      <c r="W8" s="1405"/>
      <c r="X8" s="1405"/>
      <c r="Y8" s="1405"/>
      <c r="Z8" s="1405"/>
      <c r="AA8" s="1405"/>
      <c r="AB8" s="1405"/>
      <c r="AC8" s="1405"/>
      <c r="AD8" s="1405"/>
      <c r="AE8" s="1405"/>
      <c r="AF8" s="1405"/>
      <c r="AG8" s="1405"/>
      <c r="AH8" s="1405"/>
      <c r="AI8" s="1405"/>
      <c r="AJ8" s="1405"/>
      <c r="AK8" s="1405"/>
      <c r="AL8" s="1405"/>
      <c r="AM8" s="1405"/>
      <c r="AN8" s="1405"/>
      <c r="AO8" s="1405"/>
      <c r="AP8" s="1405"/>
      <c r="AQ8" s="1405"/>
      <c r="AR8" s="1405"/>
      <c r="AS8" s="1405"/>
      <c r="AT8" s="1405"/>
      <c r="AU8" s="1405"/>
      <c r="AV8" s="1405"/>
      <c r="AW8" s="1405"/>
      <c r="AX8" s="1405"/>
      <c r="AY8" s="1405"/>
      <c r="AZ8" s="1405"/>
      <c r="BA8" s="1405"/>
      <c r="BB8" s="1405"/>
      <c r="BC8" s="1405"/>
      <c r="BD8" s="1405"/>
      <c r="BE8" s="1405"/>
      <c r="BF8" s="1405"/>
      <c r="BG8" s="1405"/>
      <c r="BH8" s="1405"/>
      <c r="BI8" s="1405"/>
      <c r="BJ8" s="1405"/>
      <c r="BK8" s="1405"/>
      <c r="BL8" s="1405"/>
      <c r="BM8" s="1405"/>
      <c r="BN8" s="1405"/>
      <c r="BO8" s="1405"/>
      <c r="BP8" s="1405"/>
      <c r="BQ8" s="1405"/>
      <c r="BR8" s="1405"/>
      <c r="BS8" s="1405"/>
      <c r="BT8" s="1405"/>
      <c r="BU8" s="1405"/>
      <c r="BV8" s="1405"/>
      <c r="BW8" s="1405"/>
      <c r="BX8" s="1405"/>
      <c r="BY8" s="1405"/>
      <c r="BZ8" s="1405"/>
      <c r="CA8" s="1405"/>
      <c r="CB8" s="1405"/>
      <c r="CC8" s="1405"/>
      <c r="CD8" s="1405"/>
      <c r="CE8" s="1405"/>
      <c r="CF8" s="1405"/>
      <c r="CG8" s="1405"/>
      <c r="CH8" s="1405"/>
      <c r="CI8" s="1405"/>
      <c r="CJ8" s="1405"/>
      <c r="CK8" s="1405"/>
      <c r="CL8" s="1405"/>
      <c r="CM8" s="1405"/>
      <c r="CN8" s="1405"/>
      <c r="CO8" s="1405"/>
      <c r="CP8" s="1405"/>
      <c r="CQ8" s="1405"/>
      <c r="CR8" s="1405"/>
      <c r="CS8" s="1405"/>
      <c r="CT8" s="1405"/>
      <c r="CU8" s="1405"/>
      <c r="CV8" s="1405"/>
      <c r="CW8" s="1405"/>
      <c r="CX8" s="1405"/>
      <c r="CY8" s="1405"/>
      <c r="CZ8" s="1405"/>
      <c r="DA8" s="1405"/>
      <c r="DB8" s="1405"/>
      <c r="DC8" s="1405"/>
      <c r="DD8" s="1405"/>
      <c r="DE8" s="1405"/>
      <c r="DF8" s="1405"/>
      <c r="DG8" s="1405"/>
      <c r="DH8" s="1405"/>
      <c r="DI8" s="1405"/>
      <c r="DJ8" s="1405"/>
      <c r="DK8" s="1405"/>
      <c r="DL8" s="1405"/>
      <c r="DM8" s="1405"/>
      <c r="DN8" s="1405"/>
      <c r="DO8" s="1405"/>
      <c r="DP8" s="1405"/>
      <c r="DQ8" s="1405"/>
      <c r="DR8" s="1405"/>
      <c r="DS8" s="1405"/>
      <c r="DT8" s="1405"/>
      <c r="DU8" s="1405"/>
      <c r="DV8" s="1405"/>
      <c r="DW8" s="1405"/>
      <c r="DX8" s="1405"/>
      <c r="DY8" s="1405"/>
      <c r="DZ8" s="1405"/>
      <c r="EA8" s="1405"/>
      <c r="EB8" s="1405"/>
      <c r="EC8" s="1405"/>
      <c r="ED8" s="1405"/>
      <c r="EE8" s="1405"/>
      <c r="EF8" s="1405"/>
      <c r="EG8" s="1405"/>
      <c r="EH8" s="1405"/>
      <c r="EI8" s="1405"/>
      <c r="EJ8" s="1405"/>
      <c r="EK8" s="1405"/>
      <c r="EL8" s="1405"/>
      <c r="EM8" s="1405"/>
      <c r="EN8" s="1405"/>
      <c r="EO8" s="1405"/>
      <c r="EP8" s="1405"/>
      <c r="EQ8" s="1405"/>
      <c r="ER8" s="1405"/>
      <c r="ES8" s="1405"/>
      <c r="ET8" s="1405"/>
      <c r="EU8" s="1405"/>
      <c r="EV8" s="1405"/>
      <c r="EW8" s="1405"/>
      <c r="EX8" s="1405"/>
      <c r="EY8" s="1405"/>
      <c r="EZ8" s="1405"/>
      <c r="FA8" s="1405"/>
      <c r="FB8" s="1405"/>
      <c r="FC8" s="1405"/>
      <c r="FD8" s="1405"/>
      <c r="FE8" s="1405"/>
      <c r="FF8" s="1405"/>
      <c r="FG8" s="1405"/>
      <c r="FH8" s="1405"/>
      <c r="FI8" s="1405"/>
      <c r="FJ8" s="1405"/>
      <c r="FK8" s="1405"/>
      <c r="FL8" s="1405"/>
      <c r="FM8" s="1405"/>
      <c r="FN8" s="1405"/>
      <c r="FO8" s="1405"/>
      <c r="FP8" s="1405"/>
      <c r="FQ8" s="1405"/>
      <c r="FR8" s="1405"/>
      <c r="FS8" s="1405"/>
      <c r="FT8" s="1405"/>
      <c r="FU8" s="1405"/>
      <c r="FV8" s="1405"/>
      <c r="FW8" s="1405"/>
      <c r="FX8" s="1405"/>
      <c r="FY8" s="1405"/>
      <c r="FZ8" s="1405"/>
      <c r="GA8" s="1405"/>
      <c r="GB8" s="1405"/>
      <c r="GC8" s="1405"/>
      <c r="GD8" s="1405"/>
      <c r="GE8" s="1405"/>
      <c r="GF8" s="1405"/>
      <c r="GG8" s="1405"/>
      <c r="GH8" s="1405"/>
      <c r="GI8" s="1405"/>
      <c r="GJ8" s="1405"/>
      <c r="GK8" s="1405"/>
      <c r="GL8" s="1405"/>
      <c r="GM8" s="1405"/>
      <c r="GN8" s="1405"/>
      <c r="GO8" s="1405"/>
      <c r="GP8" s="1405"/>
      <c r="GQ8" s="1405"/>
      <c r="GR8" s="1405"/>
      <c r="GS8" s="1405"/>
      <c r="GT8" s="1405"/>
      <c r="GU8" s="1405"/>
      <c r="GV8" s="1405"/>
      <c r="GW8" s="1405"/>
      <c r="GX8" s="1405"/>
      <c r="GY8" s="1405"/>
      <c r="GZ8" s="1405"/>
      <c r="HA8" s="1405"/>
      <c r="HB8" s="1405"/>
      <c r="HC8" s="1405"/>
      <c r="HD8" s="1405"/>
      <c r="HE8" s="1405"/>
      <c r="HF8" s="1405"/>
      <c r="HG8" s="1405"/>
      <c r="HH8" s="1405"/>
      <c r="HI8" s="1405"/>
      <c r="HJ8" s="1405"/>
      <c r="HK8" s="1405"/>
      <c r="HL8" s="1405"/>
      <c r="HM8" s="1405"/>
      <c r="HN8" s="1405"/>
      <c r="HO8" s="1405"/>
      <c r="HP8" s="1405"/>
      <c r="HQ8" s="1405"/>
      <c r="HR8" s="1405"/>
      <c r="HS8" s="1405"/>
      <c r="HT8" s="1405"/>
      <c r="HU8" s="1405"/>
      <c r="HV8" s="1405"/>
      <c r="HW8" s="1405"/>
      <c r="HX8" s="1405"/>
      <c r="HY8" s="1405"/>
      <c r="HZ8" s="1405"/>
      <c r="IA8" s="1405"/>
      <c r="IB8" s="1405"/>
      <c r="IC8" s="1405"/>
      <c r="ID8" s="1405"/>
      <c r="IE8" s="1405"/>
      <c r="IF8" s="1405"/>
      <c r="IG8" s="1405"/>
      <c r="IH8" s="1405"/>
      <c r="II8" s="1405"/>
      <c r="IJ8" s="1405"/>
      <c r="IK8" s="1405"/>
      <c r="IL8" s="1405"/>
      <c r="IM8" s="1405"/>
      <c r="IN8" s="1405"/>
      <c r="IO8" s="1405"/>
      <c r="IP8" s="1405"/>
      <c r="IQ8" s="1405"/>
      <c r="IR8" s="1405"/>
      <c r="IS8" s="1405"/>
      <c r="IT8" s="1405"/>
      <c r="IU8" s="1405"/>
      <c r="IV8" s="1405"/>
    </row>
    <row r="9" spans="1:256" ht="32.25" customHeight="1">
      <c r="A9" s="1414"/>
      <c r="B9" s="1418" t="s">
        <v>7122</v>
      </c>
      <c r="C9" s="1414">
        <v>1</v>
      </c>
      <c r="D9" s="1414">
        <v>1</v>
      </c>
      <c r="E9" s="1419">
        <v>25</v>
      </c>
      <c r="F9" s="1419">
        <v>0.6</v>
      </c>
      <c r="G9" s="1419">
        <v>0.4</v>
      </c>
      <c r="H9" s="1420">
        <f>ROUND(PRODUCT(C9:G9),2)</f>
        <v>6</v>
      </c>
      <c r="I9" s="1410"/>
      <c r="J9" s="1405"/>
      <c r="K9" s="1405"/>
      <c r="L9" s="1405"/>
      <c r="M9" s="1405"/>
      <c r="N9" s="1405"/>
      <c r="O9" s="1405"/>
      <c r="P9" s="1405"/>
      <c r="Q9" s="1405"/>
      <c r="R9" s="1405"/>
      <c r="S9" s="1405"/>
      <c r="T9" s="1405"/>
      <c r="U9" s="1405"/>
      <c r="V9" s="1405"/>
      <c r="W9" s="1405"/>
      <c r="X9" s="1405"/>
      <c r="Y9" s="1405"/>
      <c r="Z9" s="1405"/>
      <c r="AA9" s="1405"/>
      <c r="AB9" s="1405"/>
      <c r="AC9" s="1405"/>
      <c r="AD9" s="1405"/>
      <c r="AE9" s="1405"/>
      <c r="AF9" s="1405"/>
      <c r="AG9" s="1405"/>
      <c r="AH9" s="1405"/>
      <c r="AI9" s="1405"/>
      <c r="AJ9" s="1405"/>
      <c r="AK9" s="1405"/>
      <c r="AL9" s="1405"/>
      <c r="AM9" s="1405"/>
      <c r="AN9" s="1405"/>
      <c r="AO9" s="1405"/>
      <c r="AP9" s="1405"/>
      <c r="AQ9" s="1405"/>
      <c r="AR9" s="1405"/>
      <c r="AS9" s="1405"/>
      <c r="AT9" s="1405"/>
      <c r="AU9" s="1405"/>
      <c r="AV9" s="1405"/>
      <c r="AW9" s="1405"/>
      <c r="AX9" s="1405"/>
      <c r="AY9" s="1405"/>
      <c r="AZ9" s="1405"/>
      <c r="BA9" s="1405"/>
      <c r="BB9" s="1405"/>
      <c r="BC9" s="1405"/>
      <c r="BD9" s="1405"/>
      <c r="BE9" s="1405"/>
      <c r="BF9" s="1405"/>
      <c r="BG9" s="1405"/>
      <c r="BH9" s="1405"/>
      <c r="BI9" s="1405"/>
      <c r="BJ9" s="1405"/>
      <c r="BK9" s="1405"/>
      <c r="BL9" s="1405"/>
      <c r="BM9" s="1405"/>
      <c r="BN9" s="1405"/>
      <c r="BO9" s="1405"/>
      <c r="BP9" s="1405"/>
      <c r="BQ9" s="1405"/>
      <c r="BR9" s="1405"/>
      <c r="BS9" s="1405"/>
      <c r="BT9" s="1405"/>
      <c r="BU9" s="1405"/>
      <c r="BV9" s="1405"/>
      <c r="BW9" s="1405"/>
      <c r="BX9" s="1405"/>
      <c r="BY9" s="1405"/>
      <c r="BZ9" s="1405"/>
      <c r="CA9" s="1405"/>
      <c r="CB9" s="1405"/>
      <c r="CC9" s="1405"/>
      <c r="CD9" s="1405"/>
      <c r="CE9" s="1405"/>
      <c r="CF9" s="1405"/>
      <c r="CG9" s="1405"/>
      <c r="CH9" s="1405"/>
      <c r="CI9" s="1405"/>
      <c r="CJ9" s="1405"/>
      <c r="CK9" s="1405"/>
      <c r="CL9" s="1405"/>
      <c r="CM9" s="1405"/>
      <c r="CN9" s="1405"/>
      <c r="CO9" s="1405"/>
      <c r="CP9" s="1405"/>
      <c r="CQ9" s="1405"/>
      <c r="CR9" s="1405"/>
      <c r="CS9" s="1405"/>
      <c r="CT9" s="1405"/>
      <c r="CU9" s="1405"/>
      <c r="CV9" s="1405"/>
      <c r="CW9" s="1405"/>
      <c r="CX9" s="1405"/>
      <c r="CY9" s="1405"/>
      <c r="CZ9" s="1405"/>
      <c r="DA9" s="1405"/>
      <c r="DB9" s="1405"/>
      <c r="DC9" s="1405"/>
      <c r="DD9" s="1405"/>
      <c r="DE9" s="1405"/>
      <c r="DF9" s="1405"/>
      <c r="DG9" s="1405"/>
      <c r="DH9" s="1405"/>
      <c r="DI9" s="1405"/>
      <c r="DJ9" s="1405"/>
      <c r="DK9" s="1405"/>
      <c r="DL9" s="1405"/>
      <c r="DM9" s="1405"/>
      <c r="DN9" s="1405"/>
      <c r="DO9" s="1405"/>
      <c r="DP9" s="1405"/>
      <c r="DQ9" s="1405"/>
      <c r="DR9" s="1405"/>
      <c r="DS9" s="1405"/>
      <c r="DT9" s="1405"/>
      <c r="DU9" s="1405"/>
      <c r="DV9" s="1405"/>
      <c r="DW9" s="1405"/>
      <c r="DX9" s="1405"/>
      <c r="DY9" s="1405"/>
      <c r="DZ9" s="1405"/>
      <c r="EA9" s="1405"/>
      <c r="EB9" s="1405"/>
      <c r="EC9" s="1405"/>
      <c r="ED9" s="1405"/>
      <c r="EE9" s="1405"/>
      <c r="EF9" s="1405"/>
      <c r="EG9" s="1405"/>
      <c r="EH9" s="1405"/>
      <c r="EI9" s="1405"/>
      <c r="EJ9" s="1405"/>
      <c r="EK9" s="1405"/>
      <c r="EL9" s="1405"/>
      <c r="EM9" s="1405"/>
      <c r="EN9" s="1405"/>
      <c r="EO9" s="1405"/>
      <c r="EP9" s="1405"/>
      <c r="EQ9" s="1405"/>
      <c r="ER9" s="1405"/>
      <c r="ES9" s="1405"/>
      <c r="ET9" s="1405"/>
      <c r="EU9" s="1405"/>
      <c r="EV9" s="1405"/>
      <c r="EW9" s="1405"/>
      <c r="EX9" s="1405"/>
      <c r="EY9" s="1405"/>
      <c r="EZ9" s="1405"/>
      <c r="FA9" s="1405"/>
      <c r="FB9" s="1405"/>
      <c r="FC9" s="1405"/>
      <c r="FD9" s="1405"/>
      <c r="FE9" s="1405"/>
      <c r="FF9" s="1405"/>
      <c r="FG9" s="1405"/>
      <c r="FH9" s="1405"/>
      <c r="FI9" s="1405"/>
      <c r="FJ9" s="1405"/>
      <c r="FK9" s="1405"/>
      <c r="FL9" s="1405"/>
      <c r="FM9" s="1405"/>
      <c r="FN9" s="1405"/>
      <c r="FO9" s="1405"/>
      <c r="FP9" s="1405"/>
      <c r="FQ9" s="1405"/>
      <c r="FR9" s="1405"/>
      <c r="FS9" s="1405"/>
      <c r="FT9" s="1405"/>
      <c r="FU9" s="1405"/>
      <c r="FV9" s="1405"/>
      <c r="FW9" s="1405"/>
      <c r="FX9" s="1405"/>
      <c r="FY9" s="1405"/>
      <c r="FZ9" s="1405"/>
      <c r="GA9" s="1405"/>
      <c r="GB9" s="1405"/>
      <c r="GC9" s="1405"/>
      <c r="GD9" s="1405"/>
      <c r="GE9" s="1405"/>
      <c r="GF9" s="1405"/>
      <c r="GG9" s="1405"/>
      <c r="GH9" s="1405"/>
      <c r="GI9" s="1405"/>
      <c r="GJ9" s="1405"/>
      <c r="GK9" s="1405"/>
      <c r="GL9" s="1405"/>
      <c r="GM9" s="1405"/>
      <c r="GN9" s="1405"/>
      <c r="GO9" s="1405"/>
      <c r="GP9" s="1405"/>
      <c r="GQ9" s="1405"/>
      <c r="GR9" s="1405"/>
      <c r="GS9" s="1405"/>
      <c r="GT9" s="1405"/>
      <c r="GU9" s="1405"/>
      <c r="GV9" s="1405"/>
      <c r="GW9" s="1405"/>
      <c r="GX9" s="1405"/>
      <c r="GY9" s="1405"/>
      <c r="GZ9" s="1405"/>
      <c r="HA9" s="1405"/>
      <c r="HB9" s="1405"/>
      <c r="HC9" s="1405"/>
      <c r="HD9" s="1405"/>
      <c r="HE9" s="1405"/>
      <c r="HF9" s="1405"/>
      <c r="HG9" s="1405"/>
      <c r="HH9" s="1405"/>
      <c r="HI9" s="1405"/>
      <c r="HJ9" s="1405"/>
      <c r="HK9" s="1405"/>
      <c r="HL9" s="1405"/>
      <c r="HM9" s="1405"/>
      <c r="HN9" s="1405"/>
      <c r="HO9" s="1405"/>
      <c r="HP9" s="1405"/>
      <c r="HQ9" s="1405"/>
      <c r="HR9" s="1405"/>
      <c r="HS9" s="1405"/>
      <c r="HT9" s="1405"/>
      <c r="HU9" s="1405"/>
      <c r="HV9" s="1405"/>
      <c r="HW9" s="1405"/>
      <c r="HX9" s="1405"/>
      <c r="HY9" s="1405"/>
      <c r="HZ9" s="1405"/>
      <c r="IA9" s="1405"/>
      <c r="IB9" s="1405"/>
      <c r="IC9" s="1405"/>
      <c r="ID9" s="1405"/>
      <c r="IE9" s="1405"/>
      <c r="IF9" s="1405"/>
      <c r="IG9" s="1405"/>
      <c r="IH9" s="1405"/>
      <c r="II9" s="1405"/>
      <c r="IJ9" s="1405"/>
      <c r="IK9" s="1405"/>
      <c r="IL9" s="1405"/>
      <c r="IM9" s="1405"/>
      <c r="IN9" s="1405"/>
      <c r="IO9" s="1405"/>
      <c r="IP9" s="1405"/>
      <c r="IQ9" s="1405"/>
      <c r="IR9" s="1405"/>
      <c r="IS9" s="1405"/>
      <c r="IT9" s="1405"/>
      <c r="IU9" s="1405"/>
      <c r="IV9" s="1405"/>
    </row>
    <row r="10" spans="1:256" ht="32.25" customHeight="1">
      <c r="A10" s="1414"/>
      <c r="B10" s="1418"/>
      <c r="C10" s="1414"/>
      <c r="D10" s="1414"/>
      <c r="E10" s="1419"/>
      <c r="F10" s="1419"/>
      <c r="G10" s="1421" t="s">
        <v>2235</v>
      </c>
      <c r="H10" s="1422">
        <f>SUM(H8:H9)</f>
        <v>18</v>
      </c>
      <c r="I10" s="1410" t="s">
        <v>7123</v>
      </c>
      <c r="J10" s="1405"/>
      <c r="K10" s="1405"/>
      <c r="L10" s="1405"/>
      <c r="M10" s="1405"/>
      <c r="N10" s="1405"/>
      <c r="O10" s="1405"/>
      <c r="P10" s="1405"/>
      <c r="Q10" s="1405"/>
      <c r="R10" s="1405"/>
      <c r="S10" s="1405"/>
      <c r="T10" s="1405"/>
      <c r="U10" s="1405"/>
      <c r="V10" s="1405"/>
      <c r="W10" s="1405"/>
      <c r="X10" s="1405"/>
      <c r="Y10" s="1405"/>
      <c r="Z10" s="1405"/>
      <c r="AA10" s="1405"/>
      <c r="AB10" s="1405"/>
      <c r="AC10" s="1405"/>
      <c r="AD10" s="1405"/>
      <c r="AE10" s="1405"/>
      <c r="AF10" s="1405"/>
      <c r="AG10" s="1405"/>
      <c r="AH10" s="1405"/>
      <c r="AI10" s="1405"/>
      <c r="AJ10" s="1405"/>
      <c r="AK10" s="1405"/>
      <c r="AL10" s="1405"/>
      <c r="AM10" s="1405"/>
      <c r="AN10" s="1405"/>
      <c r="AO10" s="1405"/>
      <c r="AP10" s="1405"/>
      <c r="AQ10" s="1405"/>
      <c r="AR10" s="1405"/>
      <c r="AS10" s="1405"/>
      <c r="AT10" s="1405"/>
      <c r="AU10" s="1405"/>
      <c r="AV10" s="1405"/>
      <c r="AW10" s="1405"/>
      <c r="AX10" s="1405"/>
      <c r="AY10" s="1405"/>
      <c r="AZ10" s="1405"/>
      <c r="BA10" s="1405"/>
      <c r="BB10" s="1405"/>
      <c r="BC10" s="1405"/>
      <c r="BD10" s="1405"/>
      <c r="BE10" s="1405"/>
      <c r="BF10" s="1405"/>
      <c r="BG10" s="1405"/>
      <c r="BH10" s="1405"/>
      <c r="BI10" s="1405"/>
      <c r="BJ10" s="1405"/>
      <c r="BK10" s="1405"/>
      <c r="BL10" s="1405"/>
      <c r="BM10" s="1405"/>
      <c r="BN10" s="1405"/>
      <c r="BO10" s="1405"/>
      <c r="BP10" s="1405"/>
      <c r="BQ10" s="1405"/>
      <c r="BR10" s="1405"/>
      <c r="BS10" s="1405"/>
      <c r="BT10" s="1405"/>
      <c r="BU10" s="1405"/>
      <c r="BV10" s="1405"/>
      <c r="BW10" s="1405"/>
      <c r="BX10" s="1405"/>
      <c r="BY10" s="1405"/>
      <c r="BZ10" s="1405"/>
      <c r="CA10" s="1405"/>
      <c r="CB10" s="1405"/>
      <c r="CC10" s="1405"/>
      <c r="CD10" s="1405"/>
      <c r="CE10" s="1405"/>
      <c r="CF10" s="1405"/>
      <c r="CG10" s="1405"/>
      <c r="CH10" s="1405"/>
      <c r="CI10" s="1405"/>
      <c r="CJ10" s="1405"/>
      <c r="CK10" s="1405"/>
      <c r="CL10" s="1405"/>
      <c r="CM10" s="1405"/>
      <c r="CN10" s="1405"/>
      <c r="CO10" s="1405"/>
      <c r="CP10" s="1405"/>
      <c r="CQ10" s="1405"/>
      <c r="CR10" s="1405"/>
      <c r="CS10" s="1405"/>
      <c r="CT10" s="1405"/>
      <c r="CU10" s="1405"/>
      <c r="CV10" s="1405"/>
      <c r="CW10" s="1405"/>
      <c r="CX10" s="1405"/>
      <c r="CY10" s="1405"/>
      <c r="CZ10" s="1405"/>
      <c r="DA10" s="1405"/>
      <c r="DB10" s="1405"/>
      <c r="DC10" s="1405"/>
      <c r="DD10" s="1405"/>
      <c r="DE10" s="1405"/>
      <c r="DF10" s="1405"/>
      <c r="DG10" s="1405"/>
      <c r="DH10" s="1405"/>
      <c r="DI10" s="1405"/>
      <c r="DJ10" s="1405"/>
      <c r="DK10" s="1405"/>
      <c r="DL10" s="1405"/>
      <c r="DM10" s="1405"/>
      <c r="DN10" s="1405"/>
      <c r="DO10" s="1405"/>
      <c r="DP10" s="1405"/>
      <c r="DQ10" s="1405"/>
      <c r="DR10" s="1405"/>
      <c r="DS10" s="1405"/>
      <c r="DT10" s="1405"/>
      <c r="DU10" s="1405"/>
      <c r="DV10" s="1405"/>
      <c r="DW10" s="1405"/>
      <c r="DX10" s="1405"/>
      <c r="DY10" s="1405"/>
      <c r="DZ10" s="1405"/>
      <c r="EA10" s="1405"/>
      <c r="EB10" s="1405"/>
      <c r="EC10" s="1405"/>
      <c r="ED10" s="1405"/>
      <c r="EE10" s="1405"/>
      <c r="EF10" s="1405"/>
      <c r="EG10" s="1405"/>
      <c r="EH10" s="1405"/>
      <c r="EI10" s="1405"/>
      <c r="EJ10" s="1405"/>
      <c r="EK10" s="1405"/>
      <c r="EL10" s="1405"/>
      <c r="EM10" s="1405"/>
      <c r="EN10" s="1405"/>
      <c r="EO10" s="1405"/>
      <c r="EP10" s="1405"/>
      <c r="EQ10" s="1405"/>
      <c r="ER10" s="1405"/>
      <c r="ES10" s="1405"/>
      <c r="ET10" s="1405"/>
      <c r="EU10" s="1405"/>
      <c r="EV10" s="1405"/>
      <c r="EW10" s="1405"/>
      <c r="EX10" s="1405"/>
      <c r="EY10" s="1405"/>
      <c r="EZ10" s="1405"/>
      <c r="FA10" s="1405"/>
      <c r="FB10" s="1405"/>
      <c r="FC10" s="1405"/>
      <c r="FD10" s="1405"/>
      <c r="FE10" s="1405"/>
      <c r="FF10" s="1405"/>
      <c r="FG10" s="1405"/>
      <c r="FH10" s="1405"/>
      <c r="FI10" s="1405"/>
      <c r="FJ10" s="1405"/>
      <c r="FK10" s="1405"/>
      <c r="FL10" s="1405"/>
      <c r="FM10" s="1405"/>
      <c r="FN10" s="1405"/>
      <c r="FO10" s="1405"/>
      <c r="FP10" s="1405"/>
      <c r="FQ10" s="1405"/>
      <c r="FR10" s="1405"/>
      <c r="FS10" s="1405"/>
      <c r="FT10" s="1405"/>
      <c r="FU10" s="1405"/>
      <c r="FV10" s="1405"/>
      <c r="FW10" s="1405"/>
      <c r="FX10" s="1405"/>
      <c r="FY10" s="1405"/>
      <c r="FZ10" s="1405"/>
      <c r="GA10" s="1405"/>
      <c r="GB10" s="1405"/>
      <c r="GC10" s="1405"/>
      <c r="GD10" s="1405"/>
      <c r="GE10" s="1405"/>
      <c r="GF10" s="1405"/>
      <c r="GG10" s="1405"/>
      <c r="GH10" s="1405"/>
      <c r="GI10" s="1405"/>
      <c r="GJ10" s="1405"/>
      <c r="GK10" s="1405"/>
      <c r="GL10" s="1405"/>
      <c r="GM10" s="1405"/>
      <c r="GN10" s="1405"/>
      <c r="GO10" s="1405"/>
      <c r="GP10" s="1405"/>
      <c r="GQ10" s="1405"/>
      <c r="GR10" s="1405"/>
      <c r="GS10" s="1405"/>
      <c r="GT10" s="1405"/>
      <c r="GU10" s="1405"/>
      <c r="GV10" s="1405"/>
      <c r="GW10" s="1405"/>
      <c r="GX10" s="1405"/>
      <c r="GY10" s="1405"/>
      <c r="GZ10" s="1405"/>
      <c r="HA10" s="1405"/>
      <c r="HB10" s="1405"/>
      <c r="HC10" s="1405"/>
      <c r="HD10" s="1405"/>
      <c r="HE10" s="1405"/>
      <c r="HF10" s="1405"/>
      <c r="HG10" s="1405"/>
      <c r="HH10" s="1405"/>
      <c r="HI10" s="1405"/>
      <c r="HJ10" s="1405"/>
      <c r="HK10" s="1405"/>
      <c r="HL10" s="1405"/>
      <c r="HM10" s="1405"/>
      <c r="HN10" s="1405"/>
      <c r="HO10" s="1405"/>
      <c r="HP10" s="1405"/>
      <c r="HQ10" s="1405"/>
      <c r="HR10" s="1405"/>
      <c r="HS10" s="1405"/>
      <c r="HT10" s="1405"/>
      <c r="HU10" s="1405"/>
      <c r="HV10" s="1405"/>
      <c r="HW10" s="1405"/>
      <c r="HX10" s="1405"/>
      <c r="HY10" s="1405"/>
      <c r="HZ10" s="1405"/>
      <c r="IA10" s="1405"/>
      <c r="IB10" s="1405"/>
      <c r="IC10" s="1405"/>
      <c r="ID10" s="1405"/>
      <c r="IE10" s="1405"/>
      <c r="IF10" s="1405"/>
      <c r="IG10" s="1405"/>
      <c r="IH10" s="1405"/>
      <c r="II10" s="1405"/>
      <c r="IJ10" s="1405"/>
      <c r="IK10" s="1405"/>
      <c r="IL10" s="1405"/>
      <c r="IM10" s="1405"/>
      <c r="IN10" s="1405"/>
      <c r="IO10" s="1405"/>
      <c r="IP10" s="1405"/>
      <c r="IQ10" s="1405"/>
      <c r="IR10" s="1405"/>
      <c r="IS10" s="1405"/>
      <c r="IT10" s="1405"/>
      <c r="IU10" s="1405"/>
      <c r="IV10" s="1405"/>
    </row>
    <row r="11" spans="1:256" ht="35.25" customHeight="1">
      <c r="A11" s="1414">
        <v>2.1</v>
      </c>
      <c r="B11" s="1415" t="s">
        <v>7124</v>
      </c>
      <c r="C11" s="1415"/>
      <c r="D11" s="1415"/>
      <c r="E11" s="1415"/>
      <c r="F11" s="1415"/>
      <c r="G11" s="1416"/>
      <c r="H11" s="1417"/>
      <c r="I11" s="1410"/>
      <c r="J11" s="1405"/>
      <c r="K11" s="1405"/>
      <c r="L11" s="1405"/>
      <c r="M11" s="1405"/>
      <c r="N11" s="1405"/>
      <c r="O11" s="1405"/>
      <c r="P11" s="1405"/>
      <c r="Q11" s="1405"/>
      <c r="R11" s="1405"/>
      <c r="S11" s="1405"/>
      <c r="T11" s="1405"/>
      <c r="U11" s="1405"/>
      <c r="V11" s="1405"/>
      <c r="W11" s="1405"/>
      <c r="X11" s="1405"/>
      <c r="Y11" s="1405"/>
      <c r="Z11" s="1405"/>
      <c r="AA11" s="1405"/>
      <c r="AB11" s="1405"/>
      <c r="AC11" s="1405"/>
      <c r="AD11" s="1405"/>
      <c r="AE11" s="1405"/>
      <c r="AF11" s="1405"/>
      <c r="AG11" s="1405"/>
      <c r="AH11" s="1405"/>
      <c r="AI11" s="1405"/>
      <c r="AJ11" s="1405"/>
      <c r="AK11" s="1405"/>
      <c r="AL11" s="1405"/>
      <c r="AM11" s="1405"/>
      <c r="AN11" s="1405"/>
      <c r="AO11" s="1405"/>
      <c r="AP11" s="1405"/>
      <c r="AQ11" s="1405"/>
      <c r="AR11" s="1405"/>
      <c r="AS11" s="1405"/>
      <c r="AT11" s="1405"/>
      <c r="AU11" s="1405"/>
      <c r="AV11" s="1405"/>
      <c r="AW11" s="1405"/>
      <c r="AX11" s="1405"/>
      <c r="AY11" s="1405"/>
      <c r="AZ11" s="1405"/>
      <c r="BA11" s="1405"/>
      <c r="BB11" s="1405"/>
      <c r="BC11" s="1405"/>
      <c r="BD11" s="1405"/>
      <c r="BE11" s="1405"/>
      <c r="BF11" s="1405"/>
      <c r="BG11" s="1405"/>
      <c r="BH11" s="1405"/>
      <c r="BI11" s="1405"/>
      <c r="BJ11" s="1405"/>
      <c r="BK11" s="1405"/>
      <c r="BL11" s="1405"/>
      <c r="BM11" s="1405"/>
      <c r="BN11" s="1405"/>
      <c r="BO11" s="1405"/>
      <c r="BP11" s="1405"/>
      <c r="BQ11" s="1405"/>
      <c r="BR11" s="1405"/>
      <c r="BS11" s="1405"/>
      <c r="BT11" s="1405"/>
      <c r="BU11" s="1405"/>
      <c r="BV11" s="1405"/>
      <c r="BW11" s="1405"/>
      <c r="BX11" s="1405"/>
      <c r="BY11" s="1405"/>
      <c r="BZ11" s="1405"/>
      <c r="CA11" s="1405"/>
      <c r="CB11" s="1405"/>
      <c r="CC11" s="1405"/>
      <c r="CD11" s="1405"/>
      <c r="CE11" s="1405"/>
      <c r="CF11" s="1405"/>
      <c r="CG11" s="1405"/>
      <c r="CH11" s="1405"/>
      <c r="CI11" s="1405"/>
      <c r="CJ11" s="1405"/>
      <c r="CK11" s="1405"/>
      <c r="CL11" s="1405"/>
      <c r="CM11" s="1405"/>
      <c r="CN11" s="1405"/>
      <c r="CO11" s="1405"/>
      <c r="CP11" s="1405"/>
      <c r="CQ11" s="1405"/>
      <c r="CR11" s="1405"/>
      <c r="CS11" s="1405"/>
      <c r="CT11" s="1405"/>
      <c r="CU11" s="1405"/>
      <c r="CV11" s="1405"/>
      <c r="CW11" s="1405"/>
      <c r="CX11" s="1405"/>
      <c r="CY11" s="1405"/>
      <c r="CZ11" s="1405"/>
      <c r="DA11" s="1405"/>
      <c r="DB11" s="1405"/>
      <c r="DC11" s="1405"/>
      <c r="DD11" s="1405"/>
      <c r="DE11" s="1405"/>
      <c r="DF11" s="1405"/>
      <c r="DG11" s="1405"/>
      <c r="DH11" s="1405"/>
      <c r="DI11" s="1405"/>
      <c r="DJ11" s="1405"/>
      <c r="DK11" s="1405"/>
      <c r="DL11" s="1405"/>
      <c r="DM11" s="1405"/>
      <c r="DN11" s="1405"/>
      <c r="DO11" s="1405"/>
      <c r="DP11" s="1405"/>
      <c r="DQ11" s="1405"/>
      <c r="DR11" s="1405"/>
      <c r="DS11" s="1405"/>
      <c r="DT11" s="1405"/>
      <c r="DU11" s="1405"/>
      <c r="DV11" s="1405"/>
      <c r="DW11" s="1405"/>
      <c r="DX11" s="1405"/>
      <c r="DY11" s="1405"/>
      <c r="DZ11" s="1405"/>
      <c r="EA11" s="1405"/>
      <c r="EB11" s="1405"/>
      <c r="EC11" s="1405"/>
      <c r="ED11" s="1405"/>
      <c r="EE11" s="1405"/>
      <c r="EF11" s="1405"/>
      <c r="EG11" s="1405"/>
      <c r="EH11" s="1405"/>
      <c r="EI11" s="1405"/>
      <c r="EJ11" s="1405"/>
      <c r="EK11" s="1405"/>
      <c r="EL11" s="1405"/>
      <c r="EM11" s="1405"/>
      <c r="EN11" s="1405"/>
      <c r="EO11" s="1405"/>
      <c r="EP11" s="1405"/>
      <c r="EQ11" s="1405"/>
      <c r="ER11" s="1405"/>
      <c r="ES11" s="1405"/>
      <c r="ET11" s="1405"/>
      <c r="EU11" s="1405"/>
      <c r="EV11" s="1405"/>
      <c r="EW11" s="1405"/>
      <c r="EX11" s="1405"/>
      <c r="EY11" s="1405"/>
      <c r="EZ11" s="1405"/>
      <c r="FA11" s="1405"/>
      <c r="FB11" s="1405"/>
      <c r="FC11" s="1405"/>
      <c r="FD11" s="1405"/>
      <c r="FE11" s="1405"/>
      <c r="FF11" s="1405"/>
      <c r="FG11" s="1405"/>
      <c r="FH11" s="1405"/>
      <c r="FI11" s="1405"/>
      <c r="FJ11" s="1405"/>
      <c r="FK11" s="1405"/>
      <c r="FL11" s="1405"/>
      <c r="FM11" s="1405"/>
      <c r="FN11" s="1405"/>
      <c r="FO11" s="1405"/>
      <c r="FP11" s="1405"/>
      <c r="FQ11" s="1405"/>
      <c r="FR11" s="1405"/>
      <c r="FS11" s="1405"/>
      <c r="FT11" s="1405"/>
      <c r="FU11" s="1405"/>
      <c r="FV11" s="1405"/>
      <c r="FW11" s="1405"/>
      <c r="FX11" s="1405"/>
      <c r="FY11" s="1405"/>
      <c r="FZ11" s="1405"/>
      <c r="GA11" s="1405"/>
      <c r="GB11" s="1405"/>
      <c r="GC11" s="1405"/>
      <c r="GD11" s="1405"/>
      <c r="GE11" s="1405"/>
      <c r="GF11" s="1405"/>
      <c r="GG11" s="1405"/>
      <c r="GH11" s="1405"/>
      <c r="GI11" s="1405"/>
      <c r="GJ11" s="1405"/>
      <c r="GK11" s="1405"/>
      <c r="GL11" s="1405"/>
      <c r="GM11" s="1405"/>
      <c r="GN11" s="1405"/>
      <c r="GO11" s="1405"/>
      <c r="GP11" s="1405"/>
      <c r="GQ11" s="1405"/>
      <c r="GR11" s="1405"/>
      <c r="GS11" s="1405"/>
      <c r="GT11" s="1405"/>
      <c r="GU11" s="1405"/>
      <c r="GV11" s="1405"/>
      <c r="GW11" s="1405"/>
      <c r="GX11" s="1405"/>
      <c r="GY11" s="1405"/>
      <c r="GZ11" s="1405"/>
      <c r="HA11" s="1405"/>
      <c r="HB11" s="1405"/>
      <c r="HC11" s="1405"/>
      <c r="HD11" s="1405"/>
      <c r="HE11" s="1405"/>
      <c r="HF11" s="1405"/>
      <c r="HG11" s="1405"/>
      <c r="HH11" s="1405"/>
      <c r="HI11" s="1405"/>
      <c r="HJ11" s="1405"/>
      <c r="HK11" s="1405"/>
      <c r="HL11" s="1405"/>
      <c r="HM11" s="1405"/>
      <c r="HN11" s="1405"/>
      <c r="HO11" s="1405"/>
      <c r="HP11" s="1405"/>
      <c r="HQ11" s="1405"/>
      <c r="HR11" s="1405"/>
      <c r="HS11" s="1405"/>
      <c r="HT11" s="1405"/>
      <c r="HU11" s="1405"/>
      <c r="HV11" s="1405"/>
      <c r="HW11" s="1405"/>
      <c r="HX11" s="1405"/>
      <c r="HY11" s="1405"/>
      <c r="HZ11" s="1405"/>
      <c r="IA11" s="1405"/>
      <c r="IB11" s="1405"/>
      <c r="IC11" s="1405"/>
      <c r="ID11" s="1405"/>
      <c r="IE11" s="1405"/>
      <c r="IF11" s="1405"/>
      <c r="IG11" s="1405"/>
      <c r="IH11" s="1405"/>
      <c r="II11" s="1405"/>
      <c r="IJ11" s="1405"/>
      <c r="IK11" s="1405"/>
      <c r="IL11" s="1405"/>
      <c r="IM11" s="1405"/>
      <c r="IN11" s="1405"/>
      <c r="IO11" s="1405"/>
      <c r="IP11" s="1405"/>
      <c r="IQ11" s="1405"/>
      <c r="IR11" s="1405"/>
      <c r="IS11" s="1405"/>
      <c r="IT11" s="1405"/>
      <c r="IU11" s="1405"/>
      <c r="IV11" s="1405"/>
    </row>
    <row r="12" spans="1:256" ht="28.5" customHeight="1">
      <c r="A12" s="1414"/>
      <c r="B12" s="1418" t="s">
        <v>7121</v>
      </c>
      <c r="C12" s="1414">
        <v>1</v>
      </c>
      <c r="D12" s="1414">
        <v>1</v>
      </c>
      <c r="E12" s="1419">
        <v>20</v>
      </c>
      <c r="F12" s="1419">
        <v>1</v>
      </c>
      <c r="G12" s="1419">
        <v>0.1</v>
      </c>
      <c r="H12" s="1420">
        <f>ROUND(PRODUCT(C12:G12),2)</f>
        <v>2</v>
      </c>
      <c r="I12" s="1410"/>
      <c r="J12" s="1405"/>
      <c r="K12" s="1405"/>
      <c r="L12" s="1405"/>
      <c r="M12" s="1405"/>
      <c r="N12" s="1405"/>
      <c r="O12" s="1405"/>
      <c r="P12" s="1405"/>
      <c r="Q12" s="1405"/>
      <c r="R12" s="1405"/>
      <c r="S12" s="1405"/>
      <c r="T12" s="1405"/>
      <c r="U12" s="1405"/>
      <c r="V12" s="1405"/>
      <c r="W12" s="1405"/>
      <c r="X12" s="1405"/>
      <c r="Y12" s="1405"/>
      <c r="Z12" s="1405"/>
      <c r="AA12" s="1405"/>
      <c r="AB12" s="1405"/>
      <c r="AC12" s="1405"/>
      <c r="AD12" s="1405"/>
      <c r="AE12" s="1405"/>
      <c r="AF12" s="1405"/>
      <c r="AG12" s="1405"/>
      <c r="AH12" s="1405"/>
      <c r="AI12" s="1405"/>
      <c r="AJ12" s="1405"/>
      <c r="AK12" s="1405"/>
      <c r="AL12" s="1405"/>
      <c r="AM12" s="1405"/>
      <c r="AN12" s="1405"/>
      <c r="AO12" s="1405"/>
      <c r="AP12" s="1405"/>
      <c r="AQ12" s="1405"/>
      <c r="AR12" s="1405"/>
      <c r="AS12" s="1405"/>
      <c r="AT12" s="1405"/>
      <c r="AU12" s="1405"/>
      <c r="AV12" s="1405"/>
      <c r="AW12" s="1405"/>
      <c r="AX12" s="1405"/>
      <c r="AY12" s="1405"/>
      <c r="AZ12" s="1405"/>
      <c r="BA12" s="1405"/>
      <c r="BB12" s="1405"/>
      <c r="BC12" s="1405"/>
      <c r="BD12" s="1405"/>
      <c r="BE12" s="1405"/>
      <c r="BF12" s="1405"/>
      <c r="BG12" s="1405"/>
      <c r="BH12" s="1405"/>
      <c r="BI12" s="1405"/>
      <c r="BJ12" s="1405"/>
      <c r="BK12" s="1405"/>
      <c r="BL12" s="1405"/>
      <c r="BM12" s="1405"/>
      <c r="BN12" s="1405"/>
      <c r="BO12" s="1405"/>
      <c r="BP12" s="1405"/>
      <c r="BQ12" s="1405"/>
      <c r="BR12" s="1405"/>
      <c r="BS12" s="1405"/>
      <c r="BT12" s="1405"/>
      <c r="BU12" s="1405"/>
      <c r="BV12" s="1405"/>
      <c r="BW12" s="1405"/>
      <c r="BX12" s="1405"/>
      <c r="BY12" s="1405"/>
      <c r="BZ12" s="1405"/>
      <c r="CA12" s="1405"/>
      <c r="CB12" s="1405"/>
      <c r="CC12" s="1405"/>
      <c r="CD12" s="1405"/>
      <c r="CE12" s="1405"/>
      <c r="CF12" s="1405"/>
      <c r="CG12" s="1405"/>
      <c r="CH12" s="1405"/>
      <c r="CI12" s="1405"/>
      <c r="CJ12" s="1405"/>
      <c r="CK12" s="1405"/>
      <c r="CL12" s="1405"/>
      <c r="CM12" s="1405"/>
      <c r="CN12" s="1405"/>
      <c r="CO12" s="1405"/>
      <c r="CP12" s="1405"/>
      <c r="CQ12" s="1405"/>
      <c r="CR12" s="1405"/>
      <c r="CS12" s="1405"/>
      <c r="CT12" s="1405"/>
      <c r="CU12" s="1405"/>
      <c r="CV12" s="1405"/>
      <c r="CW12" s="1405"/>
      <c r="CX12" s="1405"/>
      <c r="CY12" s="1405"/>
      <c r="CZ12" s="1405"/>
      <c r="DA12" s="1405"/>
      <c r="DB12" s="1405"/>
      <c r="DC12" s="1405"/>
      <c r="DD12" s="1405"/>
      <c r="DE12" s="1405"/>
      <c r="DF12" s="1405"/>
      <c r="DG12" s="1405"/>
      <c r="DH12" s="1405"/>
      <c r="DI12" s="1405"/>
      <c r="DJ12" s="1405"/>
      <c r="DK12" s="1405"/>
      <c r="DL12" s="1405"/>
      <c r="DM12" s="1405"/>
      <c r="DN12" s="1405"/>
      <c r="DO12" s="1405"/>
      <c r="DP12" s="1405"/>
      <c r="DQ12" s="1405"/>
      <c r="DR12" s="1405"/>
      <c r="DS12" s="1405"/>
      <c r="DT12" s="1405"/>
      <c r="DU12" s="1405"/>
      <c r="DV12" s="1405"/>
      <c r="DW12" s="1405"/>
      <c r="DX12" s="1405"/>
      <c r="DY12" s="1405"/>
      <c r="DZ12" s="1405"/>
      <c r="EA12" s="1405"/>
      <c r="EB12" s="1405"/>
      <c r="EC12" s="1405"/>
      <c r="ED12" s="1405"/>
      <c r="EE12" s="1405"/>
      <c r="EF12" s="1405"/>
      <c r="EG12" s="1405"/>
      <c r="EH12" s="1405"/>
      <c r="EI12" s="1405"/>
      <c r="EJ12" s="1405"/>
      <c r="EK12" s="1405"/>
      <c r="EL12" s="1405"/>
      <c r="EM12" s="1405"/>
      <c r="EN12" s="1405"/>
      <c r="EO12" s="1405"/>
      <c r="EP12" s="1405"/>
      <c r="EQ12" s="1405"/>
      <c r="ER12" s="1405"/>
      <c r="ES12" s="1405"/>
      <c r="ET12" s="1405"/>
      <c r="EU12" s="1405"/>
      <c r="EV12" s="1405"/>
      <c r="EW12" s="1405"/>
      <c r="EX12" s="1405"/>
      <c r="EY12" s="1405"/>
      <c r="EZ12" s="1405"/>
      <c r="FA12" s="1405"/>
      <c r="FB12" s="1405"/>
      <c r="FC12" s="1405"/>
      <c r="FD12" s="1405"/>
      <c r="FE12" s="1405"/>
      <c r="FF12" s="1405"/>
      <c r="FG12" s="1405"/>
      <c r="FH12" s="1405"/>
      <c r="FI12" s="1405"/>
      <c r="FJ12" s="1405"/>
      <c r="FK12" s="1405"/>
      <c r="FL12" s="1405"/>
      <c r="FM12" s="1405"/>
      <c r="FN12" s="1405"/>
      <c r="FO12" s="1405"/>
      <c r="FP12" s="1405"/>
      <c r="FQ12" s="1405"/>
      <c r="FR12" s="1405"/>
      <c r="FS12" s="1405"/>
      <c r="FT12" s="1405"/>
      <c r="FU12" s="1405"/>
      <c r="FV12" s="1405"/>
      <c r="FW12" s="1405"/>
      <c r="FX12" s="1405"/>
      <c r="FY12" s="1405"/>
      <c r="FZ12" s="1405"/>
      <c r="GA12" s="1405"/>
      <c r="GB12" s="1405"/>
      <c r="GC12" s="1405"/>
      <c r="GD12" s="1405"/>
      <c r="GE12" s="1405"/>
      <c r="GF12" s="1405"/>
      <c r="GG12" s="1405"/>
      <c r="GH12" s="1405"/>
      <c r="GI12" s="1405"/>
      <c r="GJ12" s="1405"/>
      <c r="GK12" s="1405"/>
      <c r="GL12" s="1405"/>
      <c r="GM12" s="1405"/>
      <c r="GN12" s="1405"/>
      <c r="GO12" s="1405"/>
      <c r="GP12" s="1405"/>
      <c r="GQ12" s="1405"/>
      <c r="GR12" s="1405"/>
      <c r="GS12" s="1405"/>
      <c r="GT12" s="1405"/>
      <c r="GU12" s="1405"/>
      <c r="GV12" s="1405"/>
      <c r="GW12" s="1405"/>
      <c r="GX12" s="1405"/>
      <c r="GY12" s="1405"/>
      <c r="GZ12" s="1405"/>
      <c r="HA12" s="1405"/>
      <c r="HB12" s="1405"/>
      <c r="HC12" s="1405"/>
      <c r="HD12" s="1405"/>
      <c r="HE12" s="1405"/>
      <c r="HF12" s="1405"/>
      <c r="HG12" s="1405"/>
      <c r="HH12" s="1405"/>
      <c r="HI12" s="1405"/>
      <c r="HJ12" s="1405"/>
      <c r="HK12" s="1405"/>
      <c r="HL12" s="1405"/>
      <c r="HM12" s="1405"/>
      <c r="HN12" s="1405"/>
      <c r="HO12" s="1405"/>
      <c r="HP12" s="1405"/>
      <c r="HQ12" s="1405"/>
      <c r="HR12" s="1405"/>
      <c r="HS12" s="1405"/>
      <c r="HT12" s="1405"/>
      <c r="HU12" s="1405"/>
      <c r="HV12" s="1405"/>
      <c r="HW12" s="1405"/>
      <c r="HX12" s="1405"/>
      <c r="HY12" s="1405"/>
      <c r="HZ12" s="1405"/>
      <c r="IA12" s="1405"/>
      <c r="IB12" s="1405"/>
      <c r="IC12" s="1405"/>
      <c r="ID12" s="1405"/>
      <c r="IE12" s="1405"/>
      <c r="IF12" s="1405"/>
      <c r="IG12" s="1405"/>
      <c r="IH12" s="1405"/>
      <c r="II12" s="1405"/>
      <c r="IJ12" s="1405"/>
      <c r="IK12" s="1405"/>
      <c r="IL12" s="1405"/>
      <c r="IM12" s="1405"/>
      <c r="IN12" s="1405"/>
      <c r="IO12" s="1405"/>
      <c r="IP12" s="1405"/>
      <c r="IQ12" s="1405"/>
      <c r="IR12" s="1405"/>
      <c r="IS12" s="1405"/>
      <c r="IT12" s="1405"/>
      <c r="IU12" s="1405"/>
      <c r="IV12" s="1405"/>
    </row>
    <row r="13" spans="1:256" ht="28.5" customHeight="1">
      <c r="A13" s="1414"/>
      <c r="B13" s="1418" t="s">
        <v>7122</v>
      </c>
      <c r="C13" s="1414">
        <v>1</v>
      </c>
      <c r="D13" s="1414">
        <v>1</v>
      </c>
      <c r="E13" s="1419">
        <v>25</v>
      </c>
      <c r="F13" s="1419">
        <v>0.6</v>
      </c>
      <c r="G13" s="1419">
        <v>0.1</v>
      </c>
      <c r="H13" s="1420">
        <f>ROUND(PRODUCT(C13:G13),2)</f>
        <v>1.5</v>
      </c>
      <c r="I13" s="1410"/>
      <c r="J13" s="1405"/>
      <c r="K13" s="1405"/>
      <c r="L13" s="1405"/>
      <c r="M13" s="1405"/>
      <c r="N13" s="1405"/>
      <c r="O13" s="1405"/>
      <c r="P13" s="1405"/>
      <c r="Q13" s="1405"/>
      <c r="R13" s="1405"/>
      <c r="S13" s="1405"/>
      <c r="T13" s="1405"/>
      <c r="U13" s="1405"/>
      <c r="V13" s="1405"/>
      <c r="W13" s="1405"/>
      <c r="X13" s="1405"/>
      <c r="Y13" s="1405"/>
      <c r="Z13" s="1405"/>
      <c r="AA13" s="1405"/>
      <c r="AB13" s="1405"/>
      <c r="AC13" s="1405"/>
      <c r="AD13" s="1405"/>
      <c r="AE13" s="1405"/>
      <c r="AF13" s="1405"/>
      <c r="AG13" s="1405"/>
      <c r="AH13" s="1405"/>
      <c r="AI13" s="1405"/>
      <c r="AJ13" s="1405"/>
      <c r="AK13" s="1405"/>
      <c r="AL13" s="1405"/>
      <c r="AM13" s="1405"/>
      <c r="AN13" s="1405"/>
      <c r="AO13" s="1405"/>
      <c r="AP13" s="1405"/>
      <c r="AQ13" s="1405"/>
      <c r="AR13" s="1405"/>
      <c r="AS13" s="1405"/>
      <c r="AT13" s="1405"/>
      <c r="AU13" s="1405"/>
      <c r="AV13" s="1405"/>
      <c r="AW13" s="1405"/>
      <c r="AX13" s="1405"/>
      <c r="AY13" s="1405"/>
      <c r="AZ13" s="1405"/>
      <c r="BA13" s="1405"/>
      <c r="BB13" s="1405"/>
      <c r="BC13" s="1405"/>
      <c r="BD13" s="1405"/>
      <c r="BE13" s="1405"/>
      <c r="BF13" s="1405"/>
      <c r="BG13" s="1405"/>
      <c r="BH13" s="1405"/>
      <c r="BI13" s="1405"/>
      <c r="BJ13" s="1405"/>
      <c r="BK13" s="1405"/>
      <c r="BL13" s="1405"/>
      <c r="BM13" s="1405"/>
      <c r="BN13" s="1405"/>
      <c r="BO13" s="1405"/>
      <c r="BP13" s="1405"/>
      <c r="BQ13" s="1405"/>
      <c r="BR13" s="1405"/>
      <c r="BS13" s="1405"/>
      <c r="BT13" s="1405"/>
      <c r="BU13" s="1405"/>
      <c r="BV13" s="1405"/>
      <c r="BW13" s="1405"/>
      <c r="BX13" s="1405"/>
      <c r="BY13" s="1405"/>
      <c r="BZ13" s="1405"/>
      <c r="CA13" s="1405"/>
      <c r="CB13" s="1405"/>
      <c r="CC13" s="1405"/>
      <c r="CD13" s="1405"/>
      <c r="CE13" s="1405"/>
      <c r="CF13" s="1405"/>
      <c r="CG13" s="1405"/>
      <c r="CH13" s="1405"/>
      <c r="CI13" s="1405"/>
      <c r="CJ13" s="1405"/>
      <c r="CK13" s="1405"/>
      <c r="CL13" s="1405"/>
      <c r="CM13" s="1405"/>
      <c r="CN13" s="1405"/>
      <c r="CO13" s="1405"/>
      <c r="CP13" s="1405"/>
      <c r="CQ13" s="1405"/>
      <c r="CR13" s="1405"/>
      <c r="CS13" s="1405"/>
      <c r="CT13" s="1405"/>
      <c r="CU13" s="1405"/>
      <c r="CV13" s="1405"/>
      <c r="CW13" s="1405"/>
      <c r="CX13" s="1405"/>
      <c r="CY13" s="1405"/>
      <c r="CZ13" s="1405"/>
      <c r="DA13" s="1405"/>
      <c r="DB13" s="1405"/>
      <c r="DC13" s="1405"/>
      <c r="DD13" s="1405"/>
      <c r="DE13" s="1405"/>
      <c r="DF13" s="1405"/>
      <c r="DG13" s="1405"/>
      <c r="DH13" s="1405"/>
      <c r="DI13" s="1405"/>
      <c r="DJ13" s="1405"/>
      <c r="DK13" s="1405"/>
      <c r="DL13" s="1405"/>
      <c r="DM13" s="1405"/>
      <c r="DN13" s="1405"/>
      <c r="DO13" s="1405"/>
      <c r="DP13" s="1405"/>
      <c r="DQ13" s="1405"/>
      <c r="DR13" s="1405"/>
      <c r="DS13" s="1405"/>
      <c r="DT13" s="1405"/>
      <c r="DU13" s="1405"/>
      <c r="DV13" s="1405"/>
      <c r="DW13" s="1405"/>
      <c r="DX13" s="1405"/>
      <c r="DY13" s="1405"/>
      <c r="DZ13" s="1405"/>
      <c r="EA13" s="1405"/>
      <c r="EB13" s="1405"/>
      <c r="EC13" s="1405"/>
      <c r="ED13" s="1405"/>
      <c r="EE13" s="1405"/>
      <c r="EF13" s="1405"/>
      <c r="EG13" s="1405"/>
      <c r="EH13" s="1405"/>
      <c r="EI13" s="1405"/>
      <c r="EJ13" s="1405"/>
      <c r="EK13" s="1405"/>
      <c r="EL13" s="1405"/>
      <c r="EM13" s="1405"/>
      <c r="EN13" s="1405"/>
      <c r="EO13" s="1405"/>
      <c r="EP13" s="1405"/>
      <c r="EQ13" s="1405"/>
      <c r="ER13" s="1405"/>
      <c r="ES13" s="1405"/>
      <c r="ET13" s="1405"/>
      <c r="EU13" s="1405"/>
      <c r="EV13" s="1405"/>
      <c r="EW13" s="1405"/>
      <c r="EX13" s="1405"/>
      <c r="EY13" s="1405"/>
      <c r="EZ13" s="1405"/>
      <c r="FA13" s="1405"/>
      <c r="FB13" s="1405"/>
      <c r="FC13" s="1405"/>
      <c r="FD13" s="1405"/>
      <c r="FE13" s="1405"/>
      <c r="FF13" s="1405"/>
      <c r="FG13" s="1405"/>
      <c r="FH13" s="1405"/>
      <c r="FI13" s="1405"/>
      <c r="FJ13" s="1405"/>
      <c r="FK13" s="1405"/>
      <c r="FL13" s="1405"/>
      <c r="FM13" s="1405"/>
      <c r="FN13" s="1405"/>
      <c r="FO13" s="1405"/>
      <c r="FP13" s="1405"/>
      <c r="FQ13" s="1405"/>
      <c r="FR13" s="1405"/>
      <c r="FS13" s="1405"/>
      <c r="FT13" s="1405"/>
      <c r="FU13" s="1405"/>
      <c r="FV13" s="1405"/>
      <c r="FW13" s="1405"/>
      <c r="FX13" s="1405"/>
      <c r="FY13" s="1405"/>
      <c r="FZ13" s="1405"/>
      <c r="GA13" s="1405"/>
      <c r="GB13" s="1405"/>
      <c r="GC13" s="1405"/>
      <c r="GD13" s="1405"/>
      <c r="GE13" s="1405"/>
      <c r="GF13" s="1405"/>
      <c r="GG13" s="1405"/>
      <c r="GH13" s="1405"/>
      <c r="GI13" s="1405"/>
      <c r="GJ13" s="1405"/>
      <c r="GK13" s="1405"/>
      <c r="GL13" s="1405"/>
      <c r="GM13" s="1405"/>
      <c r="GN13" s="1405"/>
      <c r="GO13" s="1405"/>
      <c r="GP13" s="1405"/>
      <c r="GQ13" s="1405"/>
      <c r="GR13" s="1405"/>
      <c r="GS13" s="1405"/>
      <c r="GT13" s="1405"/>
      <c r="GU13" s="1405"/>
      <c r="GV13" s="1405"/>
      <c r="GW13" s="1405"/>
      <c r="GX13" s="1405"/>
      <c r="GY13" s="1405"/>
      <c r="GZ13" s="1405"/>
      <c r="HA13" s="1405"/>
      <c r="HB13" s="1405"/>
      <c r="HC13" s="1405"/>
      <c r="HD13" s="1405"/>
      <c r="HE13" s="1405"/>
      <c r="HF13" s="1405"/>
      <c r="HG13" s="1405"/>
      <c r="HH13" s="1405"/>
      <c r="HI13" s="1405"/>
      <c r="HJ13" s="1405"/>
      <c r="HK13" s="1405"/>
      <c r="HL13" s="1405"/>
      <c r="HM13" s="1405"/>
      <c r="HN13" s="1405"/>
      <c r="HO13" s="1405"/>
      <c r="HP13" s="1405"/>
      <c r="HQ13" s="1405"/>
      <c r="HR13" s="1405"/>
      <c r="HS13" s="1405"/>
      <c r="HT13" s="1405"/>
      <c r="HU13" s="1405"/>
      <c r="HV13" s="1405"/>
      <c r="HW13" s="1405"/>
      <c r="HX13" s="1405"/>
      <c r="HY13" s="1405"/>
      <c r="HZ13" s="1405"/>
      <c r="IA13" s="1405"/>
      <c r="IB13" s="1405"/>
      <c r="IC13" s="1405"/>
      <c r="ID13" s="1405"/>
      <c r="IE13" s="1405"/>
      <c r="IF13" s="1405"/>
      <c r="IG13" s="1405"/>
      <c r="IH13" s="1405"/>
      <c r="II13" s="1405"/>
      <c r="IJ13" s="1405"/>
      <c r="IK13" s="1405"/>
      <c r="IL13" s="1405"/>
      <c r="IM13" s="1405"/>
      <c r="IN13" s="1405"/>
      <c r="IO13" s="1405"/>
      <c r="IP13" s="1405"/>
      <c r="IQ13" s="1405"/>
      <c r="IR13" s="1405"/>
      <c r="IS13" s="1405"/>
      <c r="IT13" s="1405"/>
      <c r="IU13" s="1405"/>
      <c r="IV13" s="1405"/>
    </row>
    <row r="14" spans="1:256" ht="28.5" customHeight="1">
      <c r="A14" s="1414"/>
      <c r="B14" s="1418"/>
      <c r="C14" s="1414"/>
      <c r="D14" s="1414"/>
      <c r="E14" s="1419"/>
      <c r="F14" s="1419"/>
      <c r="G14" s="1421" t="s">
        <v>2235</v>
      </c>
      <c r="H14" s="1422">
        <f>SUM(H12:H13)</f>
        <v>3.5</v>
      </c>
      <c r="I14" s="1410" t="s">
        <v>7123</v>
      </c>
      <c r="J14" s="1405"/>
      <c r="K14" s="1405"/>
      <c r="L14" s="1405"/>
      <c r="M14" s="1405"/>
      <c r="N14" s="1405"/>
      <c r="O14" s="1405"/>
      <c r="P14" s="1405"/>
      <c r="Q14" s="1405"/>
      <c r="R14" s="1405"/>
      <c r="S14" s="1405"/>
      <c r="T14" s="1405"/>
      <c r="U14" s="1405"/>
      <c r="V14" s="1405"/>
      <c r="W14" s="1405"/>
      <c r="X14" s="1405"/>
      <c r="Y14" s="1405"/>
      <c r="Z14" s="1405"/>
      <c r="AA14" s="1405"/>
      <c r="AB14" s="1405"/>
      <c r="AC14" s="1405"/>
      <c r="AD14" s="1405"/>
      <c r="AE14" s="1405"/>
      <c r="AF14" s="1405"/>
      <c r="AG14" s="1405"/>
      <c r="AH14" s="1405"/>
      <c r="AI14" s="1405"/>
      <c r="AJ14" s="1405"/>
      <c r="AK14" s="1405"/>
      <c r="AL14" s="1405"/>
      <c r="AM14" s="1405"/>
      <c r="AN14" s="1405"/>
      <c r="AO14" s="1405"/>
      <c r="AP14" s="1405"/>
      <c r="AQ14" s="1405"/>
      <c r="AR14" s="1405"/>
      <c r="AS14" s="1405"/>
      <c r="AT14" s="1405"/>
      <c r="AU14" s="1405"/>
      <c r="AV14" s="1405"/>
      <c r="AW14" s="1405"/>
      <c r="AX14" s="1405"/>
      <c r="AY14" s="1405"/>
      <c r="AZ14" s="1405"/>
      <c r="BA14" s="1405"/>
      <c r="BB14" s="1405"/>
      <c r="BC14" s="1405"/>
      <c r="BD14" s="1405"/>
      <c r="BE14" s="1405"/>
      <c r="BF14" s="1405"/>
      <c r="BG14" s="1405"/>
      <c r="BH14" s="1405"/>
      <c r="BI14" s="1405"/>
      <c r="BJ14" s="1405"/>
      <c r="BK14" s="1405"/>
      <c r="BL14" s="1405"/>
      <c r="BM14" s="1405"/>
      <c r="BN14" s="1405"/>
      <c r="BO14" s="1405"/>
      <c r="BP14" s="1405"/>
      <c r="BQ14" s="1405"/>
      <c r="BR14" s="1405"/>
      <c r="BS14" s="1405"/>
      <c r="BT14" s="1405"/>
      <c r="BU14" s="1405"/>
      <c r="BV14" s="1405"/>
      <c r="BW14" s="1405"/>
      <c r="BX14" s="1405"/>
      <c r="BY14" s="1405"/>
      <c r="BZ14" s="1405"/>
      <c r="CA14" s="1405"/>
      <c r="CB14" s="1405"/>
      <c r="CC14" s="1405"/>
      <c r="CD14" s="1405"/>
      <c r="CE14" s="1405"/>
      <c r="CF14" s="1405"/>
      <c r="CG14" s="1405"/>
      <c r="CH14" s="1405"/>
      <c r="CI14" s="1405"/>
      <c r="CJ14" s="1405"/>
      <c r="CK14" s="1405"/>
      <c r="CL14" s="1405"/>
      <c r="CM14" s="1405"/>
      <c r="CN14" s="1405"/>
      <c r="CO14" s="1405"/>
      <c r="CP14" s="1405"/>
      <c r="CQ14" s="1405"/>
      <c r="CR14" s="1405"/>
      <c r="CS14" s="1405"/>
      <c r="CT14" s="1405"/>
      <c r="CU14" s="1405"/>
      <c r="CV14" s="1405"/>
      <c r="CW14" s="1405"/>
      <c r="CX14" s="1405"/>
      <c r="CY14" s="1405"/>
      <c r="CZ14" s="1405"/>
      <c r="DA14" s="1405"/>
      <c r="DB14" s="1405"/>
      <c r="DC14" s="1405"/>
      <c r="DD14" s="1405"/>
      <c r="DE14" s="1405"/>
      <c r="DF14" s="1405"/>
      <c r="DG14" s="1405"/>
      <c r="DH14" s="1405"/>
      <c r="DI14" s="1405"/>
      <c r="DJ14" s="1405"/>
      <c r="DK14" s="1405"/>
      <c r="DL14" s="1405"/>
      <c r="DM14" s="1405"/>
      <c r="DN14" s="1405"/>
      <c r="DO14" s="1405"/>
      <c r="DP14" s="1405"/>
      <c r="DQ14" s="1405"/>
      <c r="DR14" s="1405"/>
      <c r="DS14" s="1405"/>
      <c r="DT14" s="1405"/>
      <c r="DU14" s="1405"/>
      <c r="DV14" s="1405"/>
      <c r="DW14" s="1405"/>
      <c r="DX14" s="1405"/>
      <c r="DY14" s="1405"/>
      <c r="DZ14" s="1405"/>
      <c r="EA14" s="1405"/>
      <c r="EB14" s="1405"/>
      <c r="EC14" s="1405"/>
      <c r="ED14" s="1405"/>
      <c r="EE14" s="1405"/>
      <c r="EF14" s="1405"/>
      <c r="EG14" s="1405"/>
      <c r="EH14" s="1405"/>
      <c r="EI14" s="1405"/>
      <c r="EJ14" s="1405"/>
      <c r="EK14" s="1405"/>
      <c r="EL14" s="1405"/>
      <c r="EM14" s="1405"/>
      <c r="EN14" s="1405"/>
      <c r="EO14" s="1405"/>
      <c r="EP14" s="1405"/>
      <c r="EQ14" s="1405"/>
      <c r="ER14" s="1405"/>
      <c r="ES14" s="1405"/>
      <c r="ET14" s="1405"/>
      <c r="EU14" s="1405"/>
      <c r="EV14" s="1405"/>
      <c r="EW14" s="1405"/>
      <c r="EX14" s="1405"/>
      <c r="EY14" s="1405"/>
      <c r="EZ14" s="1405"/>
      <c r="FA14" s="1405"/>
      <c r="FB14" s="1405"/>
      <c r="FC14" s="1405"/>
      <c r="FD14" s="1405"/>
      <c r="FE14" s="1405"/>
      <c r="FF14" s="1405"/>
      <c r="FG14" s="1405"/>
      <c r="FH14" s="1405"/>
      <c r="FI14" s="1405"/>
      <c r="FJ14" s="1405"/>
      <c r="FK14" s="1405"/>
      <c r="FL14" s="1405"/>
      <c r="FM14" s="1405"/>
      <c r="FN14" s="1405"/>
      <c r="FO14" s="1405"/>
      <c r="FP14" s="1405"/>
      <c r="FQ14" s="1405"/>
      <c r="FR14" s="1405"/>
      <c r="FS14" s="1405"/>
      <c r="FT14" s="1405"/>
      <c r="FU14" s="1405"/>
      <c r="FV14" s="1405"/>
      <c r="FW14" s="1405"/>
      <c r="FX14" s="1405"/>
      <c r="FY14" s="1405"/>
      <c r="FZ14" s="1405"/>
      <c r="GA14" s="1405"/>
      <c r="GB14" s="1405"/>
      <c r="GC14" s="1405"/>
      <c r="GD14" s="1405"/>
      <c r="GE14" s="1405"/>
      <c r="GF14" s="1405"/>
      <c r="GG14" s="1405"/>
      <c r="GH14" s="1405"/>
      <c r="GI14" s="1405"/>
      <c r="GJ14" s="1405"/>
      <c r="GK14" s="1405"/>
      <c r="GL14" s="1405"/>
      <c r="GM14" s="1405"/>
      <c r="GN14" s="1405"/>
      <c r="GO14" s="1405"/>
      <c r="GP14" s="1405"/>
      <c r="GQ14" s="1405"/>
      <c r="GR14" s="1405"/>
      <c r="GS14" s="1405"/>
      <c r="GT14" s="1405"/>
      <c r="GU14" s="1405"/>
      <c r="GV14" s="1405"/>
      <c r="GW14" s="1405"/>
      <c r="GX14" s="1405"/>
      <c r="GY14" s="1405"/>
      <c r="GZ14" s="1405"/>
      <c r="HA14" s="1405"/>
      <c r="HB14" s="1405"/>
      <c r="HC14" s="1405"/>
      <c r="HD14" s="1405"/>
      <c r="HE14" s="1405"/>
      <c r="HF14" s="1405"/>
      <c r="HG14" s="1405"/>
      <c r="HH14" s="1405"/>
      <c r="HI14" s="1405"/>
      <c r="HJ14" s="1405"/>
      <c r="HK14" s="1405"/>
      <c r="HL14" s="1405"/>
      <c r="HM14" s="1405"/>
      <c r="HN14" s="1405"/>
      <c r="HO14" s="1405"/>
      <c r="HP14" s="1405"/>
      <c r="HQ14" s="1405"/>
      <c r="HR14" s="1405"/>
      <c r="HS14" s="1405"/>
      <c r="HT14" s="1405"/>
      <c r="HU14" s="1405"/>
      <c r="HV14" s="1405"/>
      <c r="HW14" s="1405"/>
      <c r="HX14" s="1405"/>
      <c r="HY14" s="1405"/>
      <c r="HZ14" s="1405"/>
      <c r="IA14" s="1405"/>
      <c r="IB14" s="1405"/>
      <c r="IC14" s="1405"/>
      <c r="ID14" s="1405"/>
      <c r="IE14" s="1405"/>
      <c r="IF14" s="1405"/>
      <c r="IG14" s="1405"/>
      <c r="IH14" s="1405"/>
      <c r="II14" s="1405"/>
      <c r="IJ14" s="1405"/>
      <c r="IK14" s="1405"/>
      <c r="IL14" s="1405"/>
      <c r="IM14" s="1405"/>
      <c r="IN14" s="1405"/>
      <c r="IO14" s="1405"/>
      <c r="IP14" s="1405"/>
      <c r="IQ14" s="1405"/>
      <c r="IR14" s="1405"/>
      <c r="IS14" s="1405"/>
      <c r="IT14" s="1405"/>
      <c r="IU14" s="1405"/>
      <c r="IV14" s="1405"/>
    </row>
    <row r="15" spans="1:256" ht="54" customHeight="1">
      <c r="A15" s="1414">
        <v>3.1</v>
      </c>
      <c r="B15" s="1415" t="s">
        <v>7125</v>
      </c>
      <c r="C15" s="1415"/>
      <c r="D15" s="1415"/>
      <c r="E15" s="1415"/>
      <c r="F15" s="1415"/>
      <c r="G15" s="1416"/>
      <c r="H15" s="1417"/>
      <c r="I15" s="1410"/>
      <c r="J15" s="1405"/>
      <c r="K15" s="1405"/>
      <c r="L15" s="1405"/>
      <c r="M15" s="1405"/>
      <c r="N15" s="1405"/>
      <c r="O15" s="1405"/>
      <c r="P15" s="1405"/>
      <c r="Q15" s="1405"/>
      <c r="R15" s="1405"/>
      <c r="S15" s="1405"/>
      <c r="T15" s="1405"/>
      <c r="U15" s="1405"/>
      <c r="V15" s="1405"/>
      <c r="W15" s="1405"/>
      <c r="X15" s="1405"/>
      <c r="Y15" s="1405"/>
      <c r="Z15" s="1405"/>
      <c r="AA15" s="1405"/>
      <c r="AB15" s="1405"/>
      <c r="AC15" s="1405"/>
      <c r="AD15" s="1405"/>
      <c r="AE15" s="1405"/>
      <c r="AF15" s="1405"/>
      <c r="AG15" s="1405"/>
      <c r="AH15" s="1405"/>
      <c r="AI15" s="1405"/>
      <c r="AJ15" s="1405"/>
      <c r="AK15" s="1405"/>
      <c r="AL15" s="1405"/>
      <c r="AM15" s="1405"/>
      <c r="AN15" s="1405"/>
      <c r="AO15" s="1405"/>
      <c r="AP15" s="1405"/>
      <c r="AQ15" s="1405"/>
      <c r="AR15" s="1405"/>
      <c r="AS15" s="1405"/>
      <c r="AT15" s="1405"/>
      <c r="AU15" s="1405"/>
      <c r="AV15" s="1405"/>
      <c r="AW15" s="1405"/>
      <c r="AX15" s="1405"/>
      <c r="AY15" s="1405"/>
      <c r="AZ15" s="1405"/>
      <c r="BA15" s="1405"/>
      <c r="BB15" s="1405"/>
      <c r="BC15" s="1405"/>
      <c r="BD15" s="1405"/>
      <c r="BE15" s="1405"/>
      <c r="BF15" s="1405"/>
      <c r="BG15" s="1405"/>
      <c r="BH15" s="1405"/>
      <c r="BI15" s="1405"/>
      <c r="BJ15" s="1405"/>
      <c r="BK15" s="1405"/>
      <c r="BL15" s="1405"/>
      <c r="BM15" s="1405"/>
      <c r="BN15" s="1405"/>
      <c r="BO15" s="1405"/>
      <c r="BP15" s="1405"/>
      <c r="BQ15" s="1405"/>
      <c r="BR15" s="1405"/>
      <c r="BS15" s="1405"/>
      <c r="BT15" s="1405"/>
      <c r="BU15" s="1405"/>
      <c r="BV15" s="1405"/>
      <c r="BW15" s="1405"/>
      <c r="BX15" s="1405"/>
      <c r="BY15" s="1405"/>
      <c r="BZ15" s="1405"/>
      <c r="CA15" s="1405"/>
      <c r="CB15" s="1405"/>
      <c r="CC15" s="1405"/>
      <c r="CD15" s="1405"/>
      <c r="CE15" s="1405"/>
      <c r="CF15" s="1405"/>
      <c r="CG15" s="1405"/>
      <c r="CH15" s="1405"/>
      <c r="CI15" s="1405"/>
      <c r="CJ15" s="1405"/>
      <c r="CK15" s="1405"/>
      <c r="CL15" s="1405"/>
      <c r="CM15" s="1405"/>
      <c r="CN15" s="1405"/>
      <c r="CO15" s="1405"/>
      <c r="CP15" s="1405"/>
      <c r="CQ15" s="1405"/>
      <c r="CR15" s="1405"/>
      <c r="CS15" s="1405"/>
      <c r="CT15" s="1405"/>
      <c r="CU15" s="1405"/>
      <c r="CV15" s="1405"/>
      <c r="CW15" s="1405"/>
      <c r="CX15" s="1405"/>
      <c r="CY15" s="1405"/>
      <c r="CZ15" s="1405"/>
      <c r="DA15" s="1405"/>
      <c r="DB15" s="1405"/>
      <c r="DC15" s="1405"/>
      <c r="DD15" s="1405"/>
      <c r="DE15" s="1405"/>
      <c r="DF15" s="1405"/>
      <c r="DG15" s="1405"/>
      <c r="DH15" s="1405"/>
      <c r="DI15" s="1405"/>
      <c r="DJ15" s="1405"/>
      <c r="DK15" s="1405"/>
      <c r="DL15" s="1405"/>
      <c r="DM15" s="1405"/>
      <c r="DN15" s="1405"/>
      <c r="DO15" s="1405"/>
      <c r="DP15" s="1405"/>
      <c r="DQ15" s="1405"/>
      <c r="DR15" s="1405"/>
      <c r="DS15" s="1405"/>
      <c r="DT15" s="1405"/>
      <c r="DU15" s="1405"/>
      <c r="DV15" s="1405"/>
      <c r="DW15" s="1405"/>
      <c r="DX15" s="1405"/>
      <c r="DY15" s="1405"/>
      <c r="DZ15" s="1405"/>
      <c r="EA15" s="1405"/>
      <c r="EB15" s="1405"/>
      <c r="EC15" s="1405"/>
      <c r="ED15" s="1405"/>
      <c r="EE15" s="1405"/>
      <c r="EF15" s="1405"/>
      <c r="EG15" s="1405"/>
      <c r="EH15" s="1405"/>
      <c r="EI15" s="1405"/>
      <c r="EJ15" s="1405"/>
      <c r="EK15" s="1405"/>
      <c r="EL15" s="1405"/>
      <c r="EM15" s="1405"/>
      <c r="EN15" s="1405"/>
      <c r="EO15" s="1405"/>
      <c r="EP15" s="1405"/>
      <c r="EQ15" s="1405"/>
      <c r="ER15" s="1405"/>
      <c r="ES15" s="1405"/>
      <c r="ET15" s="1405"/>
      <c r="EU15" s="1405"/>
      <c r="EV15" s="1405"/>
      <c r="EW15" s="1405"/>
      <c r="EX15" s="1405"/>
      <c r="EY15" s="1405"/>
      <c r="EZ15" s="1405"/>
      <c r="FA15" s="1405"/>
      <c r="FB15" s="1405"/>
      <c r="FC15" s="1405"/>
      <c r="FD15" s="1405"/>
      <c r="FE15" s="1405"/>
      <c r="FF15" s="1405"/>
      <c r="FG15" s="1405"/>
      <c r="FH15" s="1405"/>
      <c r="FI15" s="1405"/>
      <c r="FJ15" s="1405"/>
      <c r="FK15" s="1405"/>
      <c r="FL15" s="1405"/>
      <c r="FM15" s="1405"/>
      <c r="FN15" s="1405"/>
      <c r="FO15" s="1405"/>
      <c r="FP15" s="1405"/>
      <c r="FQ15" s="1405"/>
      <c r="FR15" s="1405"/>
      <c r="FS15" s="1405"/>
      <c r="FT15" s="1405"/>
      <c r="FU15" s="1405"/>
      <c r="FV15" s="1405"/>
      <c r="FW15" s="1405"/>
      <c r="FX15" s="1405"/>
      <c r="FY15" s="1405"/>
      <c r="FZ15" s="1405"/>
      <c r="GA15" s="1405"/>
      <c r="GB15" s="1405"/>
      <c r="GC15" s="1405"/>
      <c r="GD15" s="1405"/>
      <c r="GE15" s="1405"/>
      <c r="GF15" s="1405"/>
      <c r="GG15" s="1405"/>
      <c r="GH15" s="1405"/>
      <c r="GI15" s="1405"/>
      <c r="GJ15" s="1405"/>
      <c r="GK15" s="1405"/>
      <c r="GL15" s="1405"/>
      <c r="GM15" s="1405"/>
      <c r="GN15" s="1405"/>
      <c r="GO15" s="1405"/>
      <c r="GP15" s="1405"/>
      <c r="GQ15" s="1405"/>
      <c r="GR15" s="1405"/>
      <c r="GS15" s="1405"/>
      <c r="GT15" s="1405"/>
      <c r="GU15" s="1405"/>
      <c r="GV15" s="1405"/>
      <c r="GW15" s="1405"/>
      <c r="GX15" s="1405"/>
      <c r="GY15" s="1405"/>
      <c r="GZ15" s="1405"/>
      <c r="HA15" s="1405"/>
      <c r="HB15" s="1405"/>
      <c r="HC15" s="1405"/>
      <c r="HD15" s="1405"/>
      <c r="HE15" s="1405"/>
      <c r="HF15" s="1405"/>
      <c r="HG15" s="1405"/>
      <c r="HH15" s="1405"/>
      <c r="HI15" s="1405"/>
      <c r="HJ15" s="1405"/>
      <c r="HK15" s="1405"/>
      <c r="HL15" s="1405"/>
      <c r="HM15" s="1405"/>
      <c r="HN15" s="1405"/>
      <c r="HO15" s="1405"/>
      <c r="HP15" s="1405"/>
      <c r="HQ15" s="1405"/>
      <c r="HR15" s="1405"/>
      <c r="HS15" s="1405"/>
      <c r="HT15" s="1405"/>
      <c r="HU15" s="1405"/>
      <c r="HV15" s="1405"/>
      <c r="HW15" s="1405"/>
      <c r="HX15" s="1405"/>
      <c r="HY15" s="1405"/>
      <c r="HZ15" s="1405"/>
      <c r="IA15" s="1405"/>
      <c r="IB15" s="1405"/>
      <c r="IC15" s="1405"/>
      <c r="ID15" s="1405"/>
      <c r="IE15" s="1405"/>
      <c r="IF15" s="1405"/>
      <c r="IG15" s="1405"/>
      <c r="IH15" s="1405"/>
      <c r="II15" s="1405"/>
      <c r="IJ15" s="1405"/>
      <c r="IK15" s="1405"/>
      <c r="IL15" s="1405"/>
      <c r="IM15" s="1405"/>
      <c r="IN15" s="1405"/>
      <c r="IO15" s="1405"/>
      <c r="IP15" s="1405"/>
      <c r="IQ15" s="1405"/>
      <c r="IR15" s="1405"/>
      <c r="IS15" s="1405"/>
      <c r="IT15" s="1405"/>
      <c r="IU15" s="1405"/>
      <c r="IV15" s="1405"/>
    </row>
    <row r="16" spans="1:256" ht="27.75" customHeight="1">
      <c r="A16" s="1414"/>
      <c r="B16" s="1418" t="s">
        <v>7121</v>
      </c>
      <c r="C16" s="1414">
        <v>1</v>
      </c>
      <c r="D16" s="1414">
        <v>1</v>
      </c>
      <c r="E16" s="1419">
        <v>20</v>
      </c>
      <c r="F16" s="1419">
        <v>1</v>
      </c>
      <c r="G16" s="1419">
        <v>0.1</v>
      </c>
      <c r="H16" s="1420">
        <f>ROUND(PRODUCT(C16:G16),2)</f>
        <v>2</v>
      </c>
      <c r="I16" s="1410"/>
      <c r="J16" s="1405"/>
      <c r="K16" s="1405"/>
      <c r="L16" s="1405"/>
      <c r="M16" s="1405"/>
      <c r="N16" s="1405"/>
      <c r="O16" s="1405"/>
      <c r="P16" s="1405"/>
      <c r="Q16" s="1405"/>
      <c r="R16" s="1405"/>
      <c r="S16" s="1405"/>
      <c r="T16" s="1405"/>
      <c r="U16" s="1405"/>
      <c r="V16" s="1405"/>
      <c r="W16" s="1405"/>
      <c r="X16" s="1405"/>
      <c r="Y16" s="1405"/>
      <c r="Z16" s="1405"/>
      <c r="AA16" s="1405"/>
      <c r="AB16" s="1405"/>
      <c r="AC16" s="1405"/>
      <c r="AD16" s="1405"/>
      <c r="AE16" s="1405"/>
      <c r="AF16" s="1405"/>
      <c r="AG16" s="1405"/>
      <c r="AH16" s="1405"/>
      <c r="AI16" s="1405"/>
      <c r="AJ16" s="1405"/>
      <c r="AK16" s="1405"/>
      <c r="AL16" s="1405"/>
      <c r="AM16" s="1405"/>
      <c r="AN16" s="1405"/>
      <c r="AO16" s="1405"/>
      <c r="AP16" s="1405"/>
      <c r="AQ16" s="1405"/>
      <c r="AR16" s="1405"/>
      <c r="AS16" s="1405"/>
      <c r="AT16" s="1405"/>
      <c r="AU16" s="1405"/>
      <c r="AV16" s="1405"/>
      <c r="AW16" s="1405"/>
      <c r="AX16" s="1405"/>
      <c r="AY16" s="1405"/>
      <c r="AZ16" s="1405"/>
      <c r="BA16" s="1405"/>
      <c r="BB16" s="1405"/>
      <c r="BC16" s="1405"/>
      <c r="BD16" s="1405"/>
      <c r="BE16" s="1405"/>
      <c r="BF16" s="1405"/>
      <c r="BG16" s="1405"/>
      <c r="BH16" s="1405"/>
      <c r="BI16" s="1405"/>
      <c r="BJ16" s="1405"/>
      <c r="BK16" s="1405"/>
      <c r="BL16" s="1405"/>
      <c r="BM16" s="1405"/>
      <c r="BN16" s="1405"/>
      <c r="BO16" s="1405"/>
      <c r="BP16" s="1405"/>
      <c r="BQ16" s="1405"/>
      <c r="BR16" s="1405"/>
      <c r="BS16" s="1405"/>
      <c r="BT16" s="1405"/>
      <c r="BU16" s="1405"/>
      <c r="BV16" s="1405"/>
      <c r="BW16" s="1405"/>
      <c r="BX16" s="1405"/>
      <c r="BY16" s="1405"/>
      <c r="BZ16" s="1405"/>
      <c r="CA16" s="1405"/>
      <c r="CB16" s="1405"/>
      <c r="CC16" s="1405"/>
      <c r="CD16" s="1405"/>
      <c r="CE16" s="1405"/>
      <c r="CF16" s="1405"/>
      <c r="CG16" s="1405"/>
      <c r="CH16" s="1405"/>
      <c r="CI16" s="1405"/>
      <c r="CJ16" s="1405"/>
      <c r="CK16" s="1405"/>
      <c r="CL16" s="1405"/>
      <c r="CM16" s="1405"/>
      <c r="CN16" s="1405"/>
      <c r="CO16" s="1405"/>
      <c r="CP16" s="1405"/>
      <c r="CQ16" s="1405"/>
      <c r="CR16" s="1405"/>
      <c r="CS16" s="1405"/>
      <c r="CT16" s="1405"/>
      <c r="CU16" s="1405"/>
      <c r="CV16" s="1405"/>
      <c r="CW16" s="1405"/>
      <c r="CX16" s="1405"/>
      <c r="CY16" s="1405"/>
      <c r="CZ16" s="1405"/>
      <c r="DA16" s="1405"/>
      <c r="DB16" s="1405"/>
      <c r="DC16" s="1405"/>
      <c r="DD16" s="1405"/>
      <c r="DE16" s="1405"/>
      <c r="DF16" s="1405"/>
      <c r="DG16" s="1405"/>
      <c r="DH16" s="1405"/>
      <c r="DI16" s="1405"/>
      <c r="DJ16" s="1405"/>
      <c r="DK16" s="1405"/>
      <c r="DL16" s="1405"/>
      <c r="DM16" s="1405"/>
      <c r="DN16" s="1405"/>
      <c r="DO16" s="1405"/>
      <c r="DP16" s="1405"/>
      <c r="DQ16" s="1405"/>
      <c r="DR16" s="1405"/>
      <c r="DS16" s="1405"/>
      <c r="DT16" s="1405"/>
      <c r="DU16" s="1405"/>
      <c r="DV16" s="1405"/>
      <c r="DW16" s="1405"/>
      <c r="DX16" s="1405"/>
      <c r="DY16" s="1405"/>
      <c r="DZ16" s="1405"/>
      <c r="EA16" s="1405"/>
      <c r="EB16" s="1405"/>
      <c r="EC16" s="1405"/>
      <c r="ED16" s="1405"/>
      <c r="EE16" s="1405"/>
      <c r="EF16" s="1405"/>
      <c r="EG16" s="1405"/>
      <c r="EH16" s="1405"/>
      <c r="EI16" s="1405"/>
      <c r="EJ16" s="1405"/>
      <c r="EK16" s="1405"/>
      <c r="EL16" s="1405"/>
      <c r="EM16" s="1405"/>
      <c r="EN16" s="1405"/>
      <c r="EO16" s="1405"/>
      <c r="EP16" s="1405"/>
      <c r="EQ16" s="1405"/>
      <c r="ER16" s="1405"/>
      <c r="ES16" s="1405"/>
      <c r="ET16" s="1405"/>
      <c r="EU16" s="1405"/>
      <c r="EV16" s="1405"/>
      <c r="EW16" s="1405"/>
      <c r="EX16" s="1405"/>
      <c r="EY16" s="1405"/>
      <c r="EZ16" s="1405"/>
      <c r="FA16" s="1405"/>
      <c r="FB16" s="1405"/>
      <c r="FC16" s="1405"/>
      <c r="FD16" s="1405"/>
      <c r="FE16" s="1405"/>
      <c r="FF16" s="1405"/>
      <c r="FG16" s="1405"/>
      <c r="FH16" s="1405"/>
      <c r="FI16" s="1405"/>
      <c r="FJ16" s="1405"/>
      <c r="FK16" s="1405"/>
      <c r="FL16" s="1405"/>
      <c r="FM16" s="1405"/>
      <c r="FN16" s="1405"/>
      <c r="FO16" s="1405"/>
      <c r="FP16" s="1405"/>
      <c r="FQ16" s="1405"/>
      <c r="FR16" s="1405"/>
      <c r="FS16" s="1405"/>
      <c r="FT16" s="1405"/>
      <c r="FU16" s="1405"/>
      <c r="FV16" s="1405"/>
      <c r="FW16" s="1405"/>
      <c r="FX16" s="1405"/>
      <c r="FY16" s="1405"/>
      <c r="FZ16" s="1405"/>
      <c r="GA16" s="1405"/>
      <c r="GB16" s="1405"/>
      <c r="GC16" s="1405"/>
      <c r="GD16" s="1405"/>
      <c r="GE16" s="1405"/>
      <c r="GF16" s="1405"/>
      <c r="GG16" s="1405"/>
      <c r="GH16" s="1405"/>
      <c r="GI16" s="1405"/>
      <c r="GJ16" s="1405"/>
      <c r="GK16" s="1405"/>
      <c r="GL16" s="1405"/>
      <c r="GM16" s="1405"/>
      <c r="GN16" s="1405"/>
      <c r="GO16" s="1405"/>
      <c r="GP16" s="1405"/>
      <c r="GQ16" s="1405"/>
      <c r="GR16" s="1405"/>
      <c r="GS16" s="1405"/>
      <c r="GT16" s="1405"/>
      <c r="GU16" s="1405"/>
      <c r="GV16" s="1405"/>
      <c r="GW16" s="1405"/>
      <c r="GX16" s="1405"/>
      <c r="GY16" s="1405"/>
      <c r="GZ16" s="1405"/>
      <c r="HA16" s="1405"/>
      <c r="HB16" s="1405"/>
      <c r="HC16" s="1405"/>
      <c r="HD16" s="1405"/>
      <c r="HE16" s="1405"/>
      <c r="HF16" s="1405"/>
      <c r="HG16" s="1405"/>
      <c r="HH16" s="1405"/>
      <c r="HI16" s="1405"/>
      <c r="HJ16" s="1405"/>
      <c r="HK16" s="1405"/>
      <c r="HL16" s="1405"/>
      <c r="HM16" s="1405"/>
      <c r="HN16" s="1405"/>
      <c r="HO16" s="1405"/>
      <c r="HP16" s="1405"/>
      <c r="HQ16" s="1405"/>
      <c r="HR16" s="1405"/>
      <c r="HS16" s="1405"/>
      <c r="HT16" s="1405"/>
      <c r="HU16" s="1405"/>
      <c r="HV16" s="1405"/>
      <c r="HW16" s="1405"/>
      <c r="HX16" s="1405"/>
      <c r="HY16" s="1405"/>
      <c r="HZ16" s="1405"/>
      <c r="IA16" s="1405"/>
      <c r="IB16" s="1405"/>
      <c r="IC16" s="1405"/>
      <c r="ID16" s="1405"/>
      <c r="IE16" s="1405"/>
      <c r="IF16" s="1405"/>
      <c r="IG16" s="1405"/>
      <c r="IH16" s="1405"/>
      <c r="II16" s="1405"/>
      <c r="IJ16" s="1405"/>
      <c r="IK16" s="1405"/>
      <c r="IL16" s="1405"/>
      <c r="IM16" s="1405"/>
      <c r="IN16" s="1405"/>
      <c r="IO16" s="1405"/>
      <c r="IP16" s="1405"/>
      <c r="IQ16" s="1405"/>
      <c r="IR16" s="1405"/>
      <c r="IS16" s="1405"/>
      <c r="IT16" s="1405"/>
      <c r="IU16" s="1405"/>
      <c r="IV16" s="1405"/>
    </row>
    <row r="17" spans="1:256" ht="27.75" customHeight="1">
      <c r="A17" s="1414"/>
      <c r="B17" s="1418" t="s">
        <v>7122</v>
      </c>
      <c r="C17" s="1414">
        <v>1</v>
      </c>
      <c r="D17" s="1414">
        <v>1</v>
      </c>
      <c r="E17" s="1419">
        <v>25</v>
      </c>
      <c r="F17" s="1419">
        <v>0.6</v>
      </c>
      <c r="G17" s="1419">
        <v>0.1</v>
      </c>
      <c r="H17" s="1420">
        <f>ROUND(PRODUCT(C17:G17),2)</f>
        <v>1.5</v>
      </c>
      <c r="I17" s="1410"/>
      <c r="J17" s="1405"/>
      <c r="K17" s="1405"/>
      <c r="L17" s="1405"/>
      <c r="M17" s="1405"/>
      <c r="N17" s="1405"/>
      <c r="O17" s="1405"/>
      <c r="P17" s="1405"/>
      <c r="Q17" s="1405"/>
      <c r="R17" s="1405"/>
      <c r="S17" s="1405"/>
      <c r="T17" s="1405"/>
      <c r="U17" s="1405"/>
      <c r="V17" s="1405"/>
      <c r="W17" s="1405"/>
      <c r="X17" s="1405"/>
      <c r="Y17" s="1405"/>
      <c r="Z17" s="1405"/>
      <c r="AA17" s="1405"/>
      <c r="AB17" s="1405"/>
      <c r="AC17" s="1405"/>
      <c r="AD17" s="1405"/>
      <c r="AE17" s="1405"/>
      <c r="AF17" s="1405"/>
      <c r="AG17" s="1405"/>
      <c r="AH17" s="1405"/>
      <c r="AI17" s="1405"/>
      <c r="AJ17" s="1405"/>
      <c r="AK17" s="1405"/>
      <c r="AL17" s="1405"/>
      <c r="AM17" s="1405"/>
      <c r="AN17" s="1405"/>
      <c r="AO17" s="1405"/>
      <c r="AP17" s="1405"/>
      <c r="AQ17" s="1405"/>
      <c r="AR17" s="1405"/>
      <c r="AS17" s="1405"/>
      <c r="AT17" s="1405"/>
      <c r="AU17" s="1405"/>
      <c r="AV17" s="1405"/>
      <c r="AW17" s="1405"/>
      <c r="AX17" s="1405"/>
      <c r="AY17" s="1405"/>
      <c r="AZ17" s="1405"/>
      <c r="BA17" s="1405"/>
      <c r="BB17" s="1405"/>
      <c r="BC17" s="1405"/>
      <c r="BD17" s="1405"/>
      <c r="BE17" s="1405"/>
      <c r="BF17" s="1405"/>
      <c r="BG17" s="1405"/>
      <c r="BH17" s="1405"/>
      <c r="BI17" s="1405"/>
      <c r="BJ17" s="1405"/>
      <c r="BK17" s="1405"/>
      <c r="BL17" s="1405"/>
      <c r="BM17" s="1405"/>
      <c r="BN17" s="1405"/>
      <c r="BO17" s="1405"/>
      <c r="BP17" s="1405"/>
      <c r="BQ17" s="1405"/>
      <c r="BR17" s="1405"/>
      <c r="BS17" s="1405"/>
      <c r="BT17" s="1405"/>
      <c r="BU17" s="1405"/>
      <c r="BV17" s="1405"/>
      <c r="BW17" s="1405"/>
      <c r="BX17" s="1405"/>
      <c r="BY17" s="1405"/>
      <c r="BZ17" s="1405"/>
      <c r="CA17" s="1405"/>
      <c r="CB17" s="1405"/>
      <c r="CC17" s="1405"/>
      <c r="CD17" s="1405"/>
      <c r="CE17" s="1405"/>
      <c r="CF17" s="1405"/>
      <c r="CG17" s="1405"/>
      <c r="CH17" s="1405"/>
      <c r="CI17" s="1405"/>
      <c r="CJ17" s="1405"/>
      <c r="CK17" s="1405"/>
      <c r="CL17" s="1405"/>
      <c r="CM17" s="1405"/>
      <c r="CN17" s="1405"/>
      <c r="CO17" s="1405"/>
      <c r="CP17" s="1405"/>
      <c r="CQ17" s="1405"/>
      <c r="CR17" s="1405"/>
      <c r="CS17" s="1405"/>
      <c r="CT17" s="1405"/>
      <c r="CU17" s="1405"/>
      <c r="CV17" s="1405"/>
      <c r="CW17" s="1405"/>
      <c r="CX17" s="1405"/>
      <c r="CY17" s="1405"/>
      <c r="CZ17" s="1405"/>
      <c r="DA17" s="1405"/>
      <c r="DB17" s="1405"/>
      <c r="DC17" s="1405"/>
      <c r="DD17" s="1405"/>
      <c r="DE17" s="1405"/>
      <c r="DF17" s="1405"/>
      <c r="DG17" s="1405"/>
      <c r="DH17" s="1405"/>
      <c r="DI17" s="1405"/>
      <c r="DJ17" s="1405"/>
      <c r="DK17" s="1405"/>
      <c r="DL17" s="1405"/>
      <c r="DM17" s="1405"/>
      <c r="DN17" s="1405"/>
      <c r="DO17" s="1405"/>
      <c r="DP17" s="1405"/>
      <c r="DQ17" s="1405"/>
      <c r="DR17" s="1405"/>
      <c r="DS17" s="1405"/>
      <c r="DT17" s="1405"/>
      <c r="DU17" s="1405"/>
      <c r="DV17" s="1405"/>
      <c r="DW17" s="1405"/>
      <c r="DX17" s="1405"/>
      <c r="DY17" s="1405"/>
      <c r="DZ17" s="1405"/>
      <c r="EA17" s="1405"/>
      <c r="EB17" s="1405"/>
      <c r="EC17" s="1405"/>
      <c r="ED17" s="1405"/>
      <c r="EE17" s="1405"/>
      <c r="EF17" s="1405"/>
      <c r="EG17" s="1405"/>
      <c r="EH17" s="1405"/>
      <c r="EI17" s="1405"/>
      <c r="EJ17" s="1405"/>
      <c r="EK17" s="1405"/>
      <c r="EL17" s="1405"/>
      <c r="EM17" s="1405"/>
      <c r="EN17" s="1405"/>
      <c r="EO17" s="1405"/>
      <c r="EP17" s="1405"/>
      <c r="EQ17" s="1405"/>
      <c r="ER17" s="1405"/>
      <c r="ES17" s="1405"/>
      <c r="ET17" s="1405"/>
      <c r="EU17" s="1405"/>
      <c r="EV17" s="1405"/>
      <c r="EW17" s="1405"/>
      <c r="EX17" s="1405"/>
      <c r="EY17" s="1405"/>
      <c r="EZ17" s="1405"/>
      <c r="FA17" s="1405"/>
      <c r="FB17" s="1405"/>
      <c r="FC17" s="1405"/>
      <c r="FD17" s="1405"/>
      <c r="FE17" s="1405"/>
      <c r="FF17" s="1405"/>
      <c r="FG17" s="1405"/>
      <c r="FH17" s="1405"/>
      <c r="FI17" s="1405"/>
      <c r="FJ17" s="1405"/>
      <c r="FK17" s="1405"/>
      <c r="FL17" s="1405"/>
      <c r="FM17" s="1405"/>
      <c r="FN17" s="1405"/>
      <c r="FO17" s="1405"/>
      <c r="FP17" s="1405"/>
      <c r="FQ17" s="1405"/>
      <c r="FR17" s="1405"/>
      <c r="FS17" s="1405"/>
      <c r="FT17" s="1405"/>
      <c r="FU17" s="1405"/>
      <c r="FV17" s="1405"/>
      <c r="FW17" s="1405"/>
      <c r="FX17" s="1405"/>
      <c r="FY17" s="1405"/>
      <c r="FZ17" s="1405"/>
      <c r="GA17" s="1405"/>
      <c r="GB17" s="1405"/>
      <c r="GC17" s="1405"/>
      <c r="GD17" s="1405"/>
      <c r="GE17" s="1405"/>
      <c r="GF17" s="1405"/>
      <c r="GG17" s="1405"/>
      <c r="GH17" s="1405"/>
      <c r="GI17" s="1405"/>
      <c r="GJ17" s="1405"/>
      <c r="GK17" s="1405"/>
      <c r="GL17" s="1405"/>
      <c r="GM17" s="1405"/>
      <c r="GN17" s="1405"/>
      <c r="GO17" s="1405"/>
      <c r="GP17" s="1405"/>
      <c r="GQ17" s="1405"/>
      <c r="GR17" s="1405"/>
      <c r="GS17" s="1405"/>
      <c r="GT17" s="1405"/>
      <c r="GU17" s="1405"/>
      <c r="GV17" s="1405"/>
      <c r="GW17" s="1405"/>
      <c r="GX17" s="1405"/>
      <c r="GY17" s="1405"/>
      <c r="GZ17" s="1405"/>
      <c r="HA17" s="1405"/>
      <c r="HB17" s="1405"/>
      <c r="HC17" s="1405"/>
      <c r="HD17" s="1405"/>
      <c r="HE17" s="1405"/>
      <c r="HF17" s="1405"/>
      <c r="HG17" s="1405"/>
      <c r="HH17" s="1405"/>
      <c r="HI17" s="1405"/>
      <c r="HJ17" s="1405"/>
      <c r="HK17" s="1405"/>
      <c r="HL17" s="1405"/>
      <c r="HM17" s="1405"/>
      <c r="HN17" s="1405"/>
      <c r="HO17" s="1405"/>
      <c r="HP17" s="1405"/>
      <c r="HQ17" s="1405"/>
      <c r="HR17" s="1405"/>
      <c r="HS17" s="1405"/>
      <c r="HT17" s="1405"/>
      <c r="HU17" s="1405"/>
      <c r="HV17" s="1405"/>
      <c r="HW17" s="1405"/>
      <c r="HX17" s="1405"/>
      <c r="HY17" s="1405"/>
      <c r="HZ17" s="1405"/>
      <c r="IA17" s="1405"/>
      <c r="IB17" s="1405"/>
      <c r="IC17" s="1405"/>
      <c r="ID17" s="1405"/>
      <c r="IE17" s="1405"/>
      <c r="IF17" s="1405"/>
      <c r="IG17" s="1405"/>
      <c r="IH17" s="1405"/>
      <c r="II17" s="1405"/>
      <c r="IJ17" s="1405"/>
      <c r="IK17" s="1405"/>
      <c r="IL17" s="1405"/>
      <c r="IM17" s="1405"/>
      <c r="IN17" s="1405"/>
      <c r="IO17" s="1405"/>
      <c r="IP17" s="1405"/>
      <c r="IQ17" s="1405"/>
      <c r="IR17" s="1405"/>
      <c r="IS17" s="1405"/>
      <c r="IT17" s="1405"/>
      <c r="IU17" s="1405"/>
      <c r="IV17" s="1405"/>
    </row>
    <row r="18" spans="1:256" ht="27.75" customHeight="1">
      <c r="A18" s="1414"/>
      <c r="B18" s="1418"/>
      <c r="C18" s="1414"/>
      <c r="D18" s="1414"/>
      <c r="E18" s="1419"/>
      <c r="F18" s="1419"/>
      <c r="G18" s="1421" t="s">
        <v>2235</v>
      </c>
      <c r="H18" s="1422">
        <f>SUM(H16:H17)</f>
        <v>3.5</v>
      </c>
      <c r="I18" s="1410" t="s">
        <v>7123</v>
      </c>
      <c r="J18" s="1405"/>
      <c r="K18" s="1405"/>
      <c r="L18" s="1405"/>
      <c r="M18" s="1405"/>
      <c r="N18" s="1405"/>
      <c r="O18" s="1405"/>
      <c r="P18" s="1405"/>
      <c r="Q18" s="1405"/>
      <c r="R18" s="1405"/>
      <c r="S18" s="1405"/>
      <c r="T18" s="1405"/>
      <c r="U18" s="1405"/>
      <c r="V18" s="1405"/>
      <c r="W18" s="1405"/>
      <c r="X18" s="1405"/>
      <c r="Y18" s="1405"/>
      <c r="Z18" s="1405"/>
      <c r="AA18" s="1405"/>
      <c r="AB18" s="1405"/>
      <c r="AC18" s="1405"/>
      <c r="AD18" s="1405"/>
      <c r="AE18" s="1405"/>
      <c r="AF18" s="1405"/>
      <c r="AG18" s="1405"/>
      <c r="AH18" s="1405"/>
      <c r="AI18" s="1405"/>
      <c r="AJ18" s="1405"/>
      <c r="AK18" s="1405"/>
      <c r="AL18" s="1405"/>
      <c r="AM18" s="1405"/>
      <c r="AN18" s="1405"/>
      <c r="AO18" s="1405"/>
      <c r="AP18" s="1405"/>
      <c r="AQ18" s="1405"/>
      <c r="AR18" s="1405"/>
      <c r="AS18" s="1405"/>
      <c r="AT18" s="1405"/>
      <c r="AU18" s="1405"/>
      <c r="AV18" s="1405"/>
      <c r="AW18" s="1405"/>
      <c r="AX18" s="1405"/>
      <c r="AY18" s="1405"/>
      <c r="AZ18" s="1405"/>
      <c r="BA18" s="1405"/>
      <c r="BB18" s="1405"/>
      <c r="BC18" s="1405"/>
      <c r="BD18" s="1405"/>
      <c r="BE18" s="1405"/>
      <c r="BF18" s="1405"/>
      <c r="BG18" s="1405"/>
      <c r="BH18" s="1405"/>
      <c r="BI18" s="1405"/>
      <c r="BJ18" s="1405"/>
      <c r="BK18" s="1405"/>
      <c r="BL18" s="1405"/>
      <c r="BM18" s="1405"/>
      <c r="BN18" s="1405"/>
      <c r="BO18" s="1405"/>
      <c r="BP18" s="1405"/>
      <c r="BQ18" s="1405"/>
      <c r="BR18" s="1405"/>
      <c r="BS18" s="1405"/>
      <c r="BT18" s="1405"/>
      <c r="BU18" s="1405"/>
      <c r="BV18" s="1405"/>
      <c r="BW18" s="1405"/>
      <c r="BX18" s="1405"/>
      <c r="BY18" s="1405"/>
      <c r="BZ18" s="1405"/>
      <c r="CA18" s="1405"/>
      <c r="CB18" s="1405"/>
      <c r="CC18" s="1405"/>
      <c r="CD18" s="1405"/>
      <c r="CE18" s="1405"/>
      <c r="CF18" s="1405"/>
      <c r="CG18" s="1405"/>
      <c r="CH18" s="1405"/>
      <c r="CI18" s="1405"/>
      <c r="CJ18" s="1405"/>
      <c r="CK18" s="1405"/>
      <c r="CL18" s="1405"/>
      <c r="CM18" s="1405"/>
      <c r="CN18" s="1405"/>
      <c r="CO18" s="1405"/>
      <c r="CP18" s="1405"/>
      <c r="CQ18" s="1405"/>
      <c r="CR18" s="1405"/>
      <c r="CS18" s="1405"/>
      <c r="CT18" s="1405"/>
      <c r="CU18" s="1405"/>
      <c r="CV18" s="1405"/>
      <c r="CW18" s="1405"/>
      <c r="CX18" s="1405"/>
      <c r="CY18" s="1405"/>
      <c r="CZ18" s="1405"/>
      <c r="DA18" s="1405"/>
      <c r="DB18" s="1405"/>
      <c r="DC18" s="1405"/>
      <c r="DD18" s="1405"/>
      <c r="DE18" s="1405"/>
      <c r="DF18" s="1405"/>
      <c r="DG18" s="1405"/>
      <c r="DH18" s="1405"/>
      <c r="DI18" s="1405"/>
      <c r="DJ18" s="1405"/>
      <c r="DK18" s="1405"/>
      <c r="DL18" s="1405"/>
      <c r="DM18" s="1405"/>
      <c r="DN18" s="1405"/>
      <c r="DO18" s="1405"/>
      <c r="DP18" s="1405"/>
      <c r="DQ18" s="1405"/>
      <c r="DR18" s="1405"/>
      <c r="DS18" s="1405"/>
      <c r="DT18" s="1405"/>
      <c r="DU18" s="1405"/>
      <c r="DV18" s="1405"/>
      <c r="DW18" s="1405"/>
      <c r="DX18" s="1405"/>
      <c r="DY18" s="1405"/>
      <c r="DZ18" s="1405"/>
      <c r="EA18" s="1405"/>
      <c r="EB18" s="1405"/>
      <c r="EC18" s="1405"/>
      <c r="ED18" s="1405"/>
      <c r="EE18" s="1405"/>
      <c r="EF18" s="1405"/>
      <c r="EG18" s="1405"/>
      <c r="EH18" s="1405"/>
      <c r="EI18" s="1405"/>
      <c r="EJ18" s="1405"/>
      <c r="EK18" s="1405"/>
      <c r="EL18" s="1405"/>
      <c r="EM18" s="1405"/>
      <c r="EN18" s="1405"/>
      <c r="EO18" s="1405"/>
      <c r="EP18" s="1405"/>
      <c r="EQ18" s="1405"/>
      <c r="ER18" s="1405"/>
      <c r="ES18" s="1405"/>
      <c r="ET18" s="1405"/>
      <c r="EU18" s="1405"/>
      <c r="EV18" s="1405"/>
      <c r="EW18" s="1405"/>
      <c r="EX18" s="1405"/>
      <c r="EY18" s="1405"/>
      <c r="EZ18" s="1405"/>
      <c r="FA18" s="1405"/>
      <c r="FB18" s="1405"/>
      <c r="FC18" s="1405"/>
      <c r="FD18" s="1405"/>
      <c r="FE18" s="1405"/>
      <c r="FF18" s="1405"/>
      <c r="FG18" s="1405"/>
      <c r="FH18" s="1405"/>
      <c r="FI18" s="1405"/>
      <c r="FJ18" s="1405"/>
      <c r="FK18" s="1405"/>
      <c r="FL18" s="1405"/>
      <c r="FM18" s="1405"/>
      <c r="FN18" s="1405"/>
      <c r="FO18" s="1405"/>
      <c r="FP18" s="1405"/>
      <c r="FQ18" s="1405"/>
      <c r="FR18" s="1405"/>
      <c r="FS18" s="1405"/>
      <c r="FT18" s="1405"/>
      <c r="FU18" s="1405"/>
      <c r="FV18" s="1405"/>
      <c r="FW18" s="1405"/>
      <c r="FX18" s="1405"/>
      <c r="FY18" s="1405"/>
      <c r="FZ18" s="1405"/>
      <c r="GA18" s="1405"/>
      <c r="GB18" s="1405"/>
      <c r="GC18" s="1405"/>
      <c r="GD18" s="1405"/>
      <c r="GE18" s="1405"/>
      <c r="GF18" s="1405"/>
      <c r="GG18" s="1405"/>
      <c r="GH18" s="1405"/>
      <c r="GI18" s="1405"/>
      <c r="GJ18" s="1405"/>
      <c r="GK18" s="1405"/>
      <c r="GL18" s="1405"/>
      <c r="GM18" s="1405"/>
      <c r="GN18" s="1405"/>
      <c r="GO18" s="1405"/>
      <c r="GP18" s="1405"/>
      <c r="GQ18" s="1405"/>
      <c r="GR18" s="1405"/>
      <c r="GS18" s="1405"/>
      <c r="GT18" s="1405"/>
      <c r="GU18" s="1405"/>
      <c r="GV18" s="1405"/>
      <c r="GW18" s="1405"/>
      <c r="GX18" s="1405"/>
      <c r="GY18" s="1405"/>
      <c r="GZ18" s="1405"/>
      <c r="HA18" s="1405"/>
      <c r="HB18" s="1405"/>
      <c r="HC18" s="1405"/>
      <c r="HD18" s="1405"/>
      <c r="HE18" s="1405"/>
      <c r="HF18" s="1405"/>
      <c r="HG18" s="1405"/>
      <c r="HH18" s="1405"/>
      <c r="HI18" s="1405"/>
      <c r="HJ18" s="1405"/>
      <c r="HK18" s="1405"/>
      <c r="HL18" s="1405"/>
      <c r="HM18" s="1405"/>
      <c r="HN18" s="1405"/>
      <c r="HO18" s="1405"/>
      <c r="HP18" s="1405"/>
      <c r="HQ18" s="1405"/>
      <c r="HR18" s="1405"/>
      <c r="HS18" s="1405"/>
      <c r="HT18" s="1405"/>
      <c r="HU18" s="1405"/>
      <c r="HV18" s="1405"/>
      <c r="HW18" s="1405"/>
      <c r="HX18" s="1405"/>
      <c r="HY18" s="1405"/>
      <c r="HZ18" s="1405"/>
      <c r="IA18" s="1405"/>
      <c r="IB18" s="1405"/>
      <c r="IC18" s="1405"/>
      <c r="ID18" s="1405"/>
      <c r="IE18" s="1405"/>
      <c r="IF18" s="1405"/>
      <c r="IG18" s="1405"/>
      <c r="IH18" s="1405"/>
      <c r="II18" s="1405"/>
      <c r="IJ18" s="1405"/>
      <c r="IK18" s="1405"/>
      <c r="IL18" s="1405"/>
      <c r="IM18" s="1405"/>
      <c r="IN18" s="1405"/>
      <c r="IO18" s="1405"/>
      <c r="IP18" s="1405"/>
      <c r="IQ18" s="1405"/>
      <c r="IR18" s="1405"/>
      <c r="IS18" s="1405"/>
      <c r="IT18" s="1405"/>
      <c r="IU18" s="1405"/>
      <c r="IV18" s="1405"/>
    </row>
    <row r="19" spans="1:256" ht="72" customHeight="1">
      <c r="A19" s="1423">
        <v>6.5</v>
      </c>
      <c r="B19" s="1424" t="s">
        <v>7126</v>
      </c>
      <c r="C19" s="1424"/>
      <c r="D19" s="1424"/>
      <c r="E19" s="1419"/>
      <c r="F19" s="1419"/>
      <c r="G19" s="1419"/>
      <c r="H19" s="1422"/>
      <c r="I19" s="1410"/>
      <c r="J19" s="1405"/>
      <c r="K19" s="1405"/>
      <c r="L19" s="1405"/>
      <c r="M19" s="1405"/>
      <c r="N19" s="1405"/>
      <c r="O19" s="1405"/>
      <c r="P19" s="1405"/>
      <c r="Q19" s="1405"/>
      <c r="R19" s="1405"/>
      <c r="S19" s="1405"/>
      <c r="T19" s="1405"/>
      <c r="U19" s="1405"/>
      <c r="V19" s="1405"/>
      <c r="W19" s="1405"/>
      <c r="X19" s="1405"/>
      <c r="Y19" s="1405"/>
      <c r="Z19" s="1405"/>
      <c r="AA19" s="1405"/>
      <c r="AB19" s="1405"/>
      <c r="AC19" s="1405"/>
      <c r="AD19" s="1405"/>
      <c r="AE19" s="1405"/>
      <c r="AF19" s="1405"/>
      <c r="AG19" s="1405"/>
      <c r="AH19" s="1405"/>
      <c r="AI19" s="1405"/>
      <c r="AJ19" s="1405"/>
      <c r="AK19" s="1405"/>
      <c r="AL19" s="1405"/>
      <c r="AM19" s="1405"/>
      <c r="AN19" s="1405"/>
      <c r="AO19" s="1405"/>
      <c r="AP19" s="1405"/>
      <c r="AQ19" s="1405"/>
      <c r="AR19" s="1405"/>
      <c r="AS19" s="1405"/>
      <c r="AT19" s="1405"/>
      <c r="AU19" s="1405"/>
      <c r="AV19" s="1405"/>
      <c r="AW19" s="1405"/>
      <c r="AX19" s="1405"/>
      <c r="AY19" s="1405"/>
      <c r="AZ19" s="1405"/>
      <c r="BA19" s="1405"/>
      <c r="BB19" s="1405"/>
      <c r="BC19" s="1405"/>
      <c r="BD19" s="1405"/>
      <c r="BE19" s="1405"/>
      <c r="BF19" s="1405"/>
      <c r="BG19" s="1405"/>
      <c r="BH19" s="1405"/>
      <c r="BI19" s="1405"/>
      <c r="BJ19" s="1405"/>
      <c r="BK19" s="1405"/>
      <c r="BL19" s="1405"/>
      <c r="BM19" s="1405"/>
      <c r="BN19" s="1405"/>
      <c r="BO19" s="1405"/>
      <c r="BP19" s="1405"/>
      <c r="BQ19" s="1405"/>
      <c r="BR19" s="1405"/>
      <c r="BS19" s="1405"/>
      <c r="BT19" s="1405"/>
      <c r="BU19" s="1405"/>
      <c r="BV19" s="1405"/>
      <c r="BW19" s="1405"/>
      <c r="BX19" s="1405"/>
      <c r="BY19" s="1405"/>
      <c r="BZ19" s="1405"/>
      <c r="CA19" s="1405"/>
      <c r="CB19" s="1405"/>
      <c r="CC19" s="1405"/>
      <c r="CD19" s="1405"/>
      <c r="CE19" s="1405"/>
      <c r="CF19" s="1405"/>
      <c r="CG19" s="1405"/>
      <c r="CH19" s="1405"/>
      <c r="CI19" s="1405"/>
      <c r="CJ19" s="1405"/>
      <c r="CK19" s="1405"/>
      <c r="CL19" s="1405"/>
      <c r="CM19" s="1405"/>
      <c r="CN19" s="1405"/>
      <c r="CO19" s="1405"/>
      <c r="CP19" s="1405"/>
      <c r="CQ19" s="1405"/>
      <c r="CR19" s="1405"/>
      <c r="CS19" s="1405"/>
      <c r="CT19" s="1405"/>
      <c r="CU19" s="1405"/>
      <c r="CV19" s="1405"/>
      <c r="CW19" s="1405"/>
      <c r="CX19" s="1405"/>
      <c r="CY19" s="1405"/>
      <c r="CZ19" s="1405"/>
      <c r="DA19" s="1405"/>
      <c r="DB19" s="1405"/>
      <c r="DC19" s="1405"/>
      <c r="DD19" s="1405"/>
      <c r="DE19" s="1405"/>
      <c r="DF19" s="1405"/>
      <c r="DG19" s="1405"/>
      <c r="DH19" s="1405"/>
      <c r="DI19" s="1405"/>
      <c r="DJ19" s="1405"/>
      <c r="DK19" s="1405"/>
      <c r="DL19" s="1405"/>
      <c r="DM19" s="1405"/>
      <c r="DN19" s="1405"/>
      <c r="DO19" s="1405"/>
      <c r="DP19" s="1405"/>
      <c r="DQ19" s="1405"/>
      <c r="DR19" s="1405"/>
      <c r="DS19" s="1405"/>
      <c r="DT19" s="1405"/>
      <c r="DU19" s="1405"/>
      <c r="DV19" s="1405"/>
      <c r="DW19" s="1405"/>
      <c r="DX19" s="1405"/>
      <c r="DY19" s="1405"/>
      <c r="DZ19" s="1405"/>
      <c r="EA19" s="1405"/>
      <c r="EB19" s="1405"/>
      <c r="EC19" s="1405"/>
      <c r="ED19" s="1405"/>
      <c r="EE19" s="1405"/>
      <c r="EF19" s="1405"/>
      <c r="EG19" s="1405"/>
      <c r="EH19" s="1405"/>
      <c r="EI19" s="1405"/>
      <c r="EJ19" s="1405"/>
      <c r="EK19" s="1405"/>
      <c r="EL19" s="1405"/>
      <c r="EM19" s="1405"/>
      <c r="EN19" s="1405"/>
      <c r="EO19" s="1405"/>
      <c r="EP19" s="1405"/>
      <c r="EQ19" s="1405"/>
      <c r="ER19" s="1405"/>
      <c r="ES19" s="1405"/>
      <c r="ET19" s="1405"/>
      <c r="EU19" s="1405"/>
      <c r="EV19" s="1405"/>
      <c r="EW19" s="1405"/>
      <c r="EX19" s="1405"/>
      <c r="EY19" s="1405"/>
      <c r="EZ19" s="1405"/>
      <c r="FA19" s="1405"/>
      <c r="FB19" s="1405"/>
      <c r="FC19" s="1405"/>
      <c r="FD19" s="1405"/>
      <c r="FE19" s="1405"/>
      <c r="FF19" s="1405"/>
      <c r="FG19" s="1405"/>
      <c r="FH19" s="1405"/>
      <c r="FI19" s="1405"/>
      <c r="FJ19" s="1405"/>
      <c r="FK19" s="1405"/>
      <c r="FL19" s="1405"/>
      <c r="FM19" s="1405"/>
      <c r="FN19" s="1405"/>
      <c r="FO19" s="1405"/>
      <c r="FP19" s="1405"/>
      <c r="FQ19" s="1405"/>
      <c r="FR19" s="1405"/>
      <c r="FS19" s="1405"/>
      <c r="FT19" s="1405"/>
      <c r="FU19" s="1405"/>
      <c r="FV19" s="1405"/>
      <c r="FW19" s="1405"/>
      <c r="FX19" s="1405"/>
      <c r="FY19" s="1405"/>
      <c r="FZ19" s="1405"/>
      <c r="GA19" s="1405"/>
      <c r="GB19" s="1405"/>
      <c r="GC19" s="1405"/>
      <c r="GD19" s="1405"/>
      <c r="GE19" s="1405"/>
      <c r="GF19" s="1405"/>
      <c r="GG19" s="1405"/>
      <c r="GH19" s="1405"/>
      <c r="GI19" s="1405"/>
      <c r="GJ19" s="1405"/>
      <c r="GK19" s="1405"/>
      <c r="GL19" s="1405"/>
      <c r="GM19" s="1405"/>
      <c r="GN19" s="1405"/>
      <c r="GO19" s="1405"/>
      <c r="GP19" s="1405"/>
      <c r="GQ19" s="1405"/>
      <c r="GR19" s="1405"/>
      <c r="GS19" s="1405"/>
      <c r="GT19" s="1405"/>
      <c r="GU19" s="1405"/>
      <c r="GV19" s="1405"/>
      <c r="GW19" s="1405"/>
      <c r="GX19" s="1405"/>
      <c r="GY19" s="1405"/>
      <c r="GZ19" s="1405"/>
      <c r="HA19" s="1405"/>
      <c r="HB19" s="1405"/>
      <c r="HC19" s="1405"/>
      <c r="HD19" s="1405"/>
      <c r="HE19" s="1405"/>
      <c r="HF19" s="1405"/>
      <c r="HG19" s="1405"/>
      <c r="HH19" s="1405"/>
      <c r="HI19" s="1405"/>
      <c r="HJ19" s="1405"/>
      <c r="HK19" s="1405"/>
      <c r="HL19" s="1405"/>
      <c r="HM19" s="1405"/>
      <c r="HN19" s="1405"/>
      <c r="HO19" s="1405"/>
      <c r="HP19" s="1405"/>
      <c r="HQ19" s="1405"/>
      <c r="HR19" s="1405"/>
      <c r="HS19" s="1405"/>
      <c r="HT19" s="1405"/>
      <c r="HU19" s="1405"/>
      <c r="HV19" s="1405"/>
      <c r="HW19" s="1405"/>
      <c r="HX19" s="1405"/>
      <c r="HY19" s="1405"/>
      <c r="HZ19" s="1405"/>
      <c r="IA19" s="1405"/>
      <c r="IB19" s="1405"/>
      <c r="IC19" s="1405"/>
      <c r="ID19" s="1405"/>
      <c r="IE19" s="1405"/>
      <c r="IF19" s="1405"/>
      <c r="IG19" s="1405"/>
      <c r="IH19" s="1405"/>
      <c r="II19" s="1405"/>
      <c r="IJ19" s="1405"/>
      <c r="IK19" s="1405"/>
      <c r="IL19" s="1405"/>
      <c r="IM19" s="1405"/>
      <c r="IN19" s="1405"/>
      <c r="IO19" s="1405"/>
      <c r="IP19" s="1405"/>
      <c r="IQ19" s="1405"/>
      <c r="IR19" s="1405"/>
      <c r="IS19" s="1405"/>
      <c r="IT19" s="1405"/>
      <c r="IU19" s="1405"/>
      <c r="IV19" s="1405"/>
    </row>
    <row r="20" spans="1:256" ht="29.25" customHeight="1">
      <c r="A20" s="1414"/>
      <c r="B20" s="1418" t="s">
        <v>7127</v>
      </c>
      <c r="C20" s="1414">
        <v>1</v>
      </c>
      <c r="D20" s="1414">
        <v>2</v>
      </c>
      <c r="E20" s="1419">
        <v>20</v>
      </c>
      <c r="F20" s="1419">
        <v>0.23</v>
      </c>
      <c r="G20" s="1419">
        <v>0.45</v>
      </c>
      <c r="H20" s="1420">
        <f>ROUND(PRODUCT(C20:G20),2)</f>
        <v>4.1399999999999997</v>
      </c>
      <c r="I20" s="1406"/>
      <c r="J20" s="1405"/>
      <c r="K20" s="1405"/>
      <c r="L20" s="1405"/>
      <c r="M20" s="1405"/>
      <c r="N20" s="1405"/>
      <c r="O20" s="1405"/>
      <c r="P20" s="1405"/>
      <c r="Q20" s="1405"/>
      <c r="R20" s="1405"/>
      <c r="S20" s="1405"/>
      <c r="T20" s="1405"/>
      <c r="U20" s="1405"/>
      <c r="V20" s="1405"/>
      <c r="W20" s="1405"/>
      <c r="X20" s="1405"/>
      <c r="Y20" s="1405"/>
      <c r="Z20" s="1405"/>
      <c r="AA20" s="1405"/>
      <c r="AB20" s="1405"/>
      <c r="AC20" s="1405"/>
      <c r="AD20" s="1405"/>
      <c r="AE20" s="1405"/>
      <c r="AF20" s="1405"/>
      <c r="AG20" s="1405"/>
      <c r="AH20" s="1405"/>
      <c r="AI20" s="1405"/>
      <c r="AJ20" s="1405"/>
      <c r="AK20" s="1405"/>
      <c r="AL20" s="1405"/>
      <c r="AM20" s="1405"/>
      <c r="AN20" s="1405"/>
      <c r="AO20" s="1405"/>
      <c r="AP20" s="1405"/>
      <c r="AQ20" s="1405"/>
      <c r="AR20" s="1405"/>
      <c r="AS20" s="1405"/>
      <c r="AT20" s="1405"/>
      <c r="AU20" s="1405"/>
      <c r="AV20" s="1405"/>
      <c r="AW20" s="1405"/>
      <c r="AX20" s="1405"/>
      <c r="AY20" s="1405"/>
      <c r="AZ20" s="1405"/>
      <c r="BA20" s="1405"/>
      <c r="BB20" s="1405"/>
      <c r="BC20" s="1405"/>
      <c r="BD20" s="1405"/>
      <c r="BE20" s="1405"/>
      <c r="BF20" s="1405"/>
      <c r="BG20" s="1405"/>
      <c r="BH20" s="1405"/>
      <c r="BI20" s="1405"/>
      <c r="BJ20" s="1405"/>
      <c r="BK20" s="1405"/>
      <c r="BL20" s="1405"/>
      <c r="BM20" s="1405"/>
      <c r="BN20" s="1405"/>
      <c r="BO20" s="1405"/>
      <c r="BP20" s="1405"/>
      <c r="BQ20" s="1405"/>
      <c r="BR20" s="1405"/>
      <c r="BS20" s="1405"/>
      <c r="BT20" s="1405"/>
      <c r="BU20" s="1405"/>
      <c r="BV20" s="1405"/>
      <c r="BW20" s="1405"/>
      <c r="BX20" s="1405"/>
      <c r="BY20" s="1405"/>
      <c r="BZ20" s="1405"/>
      <c r="CA20" s="1405"/>
      <c r="CB20" s="1405"/>
      <c r="CC20" s="1405"/>
      <c r="CD20" s="1405"/>
      <c r="CE20" s="1405"/>
      <c r="CF20" s="1405"/>
      <c r="CG20" s="1405"/>
      <c r="CH20" s="1405"/>
      <c r="CI20" s="1405"/>
      <c r="CJ20" s="1405"/>
      <c r="CK20" s="1405"/>
      <c r="CL20" s="1405"/>
      <c r="CM20" s="1405"/>
      <c r="CN20" s="1405"/>
      <c r="CO20" s="1405"/>
      <c r="CP20" s="1405"/>
      <c r="CQ20" s="1405"/>
      <c r="CR20" s="1405"/>
      <c r="CS20" s="1405"/>
      <c r="CT20" s="1405"/>
      <c r="CU20" s="1405"/>
      <c r="CV20" s="1405"/>
      <c r="CW20" s="1405"/>
      <c r="CX20" s="1405"/>
      <c r="CY20" s="1405"/>
      <c r="CZ20" s="1405"/>
      <c r="DA20" s="1405"/>
      <c r="DB20" s="1405"/>
      <c r="DC20" s="1405"/>
      <c r="DD20" s="1405"/>
      <c r="DE20" s="1405"/>
      <c r="DF20" s="1405"/>
      <c r="DG20" s="1405"/>
      <c r="DH20" s="1405"/>
      <c r="DI20" s="1405"/>
      <c r="DJ20" s="1405"/>
      <c r="DK20" s="1405"/>
      <c r="DL20" s="1405"/>
      <c r="DM20" s="1405"/>
      <c r="DN20" s="1405"/>
      <c r="DO20" s="1405"/>
      <c r="DP20" s="1405"/>
      <c r="DQ20" s="1405"/>
      <c r="DR20" s="1405"/>
      <c r="DS20" s="1405"/>
      <c r="DT20" s="1405"/>
      <c r="DU20" s="1405"/>
      <c r="DV20" s="1405"/>
      <c r="DW20" s="1405"/>
      <c r="DX20" s="1405"/>
      <c r="DY20" s="1405"/>
      <c r="DZ20" s="1405"/>
      <c r="EA20" s="1405"/>
      <c r="EB20" s="1405"/>
      <c r="EC20" s="1405"/>
      <c r="ED20" s="1405"/>
      <c r="EE20" s="1405"/>
      <c r="EF20" s="1405"/>
      <c r="EG20" s="1405"/>
      <c r="EH20" s="1405"/>
      <c r="EI20" s="1405"/>
      <c r="EJ20" s="1405"/>
      <c r="EK20" s="1405"/>
      <c r="EL20" s="1405"/>
      <c r="EM20" s="1405"/>
      <c r="EN20" s="1405"/>
      <c r="EO20" s="1405"/>
      <c r="EP20" s="1405"/>
      <c r="EQ20" s="1405"/>
      <c r="ER20" s="1405"/>
      <c r="ES20" s="1405"/>
      <c r="ET20" s="1405"/>
      <c r="EU20" s="1405"/>
      <c r="EV20" s="1405"/>
      <c r="EW20" s="1405"/>
      <c r="EX20" s="1405"/>
      <c r="EY20" s="1405"/>
      <c r="EZ20" s="1405"/>
      <c r="FA20" s="1405"/>
      <c r="FB20" s="1405"/>
      <c r="FC20" s="1405"/>
      <c r="FD20" s="1405"/>
      <c r="FE20" s="1405"/>
      <c r="FF20" s="1405"/>
      <c r="FG20" s="1405"/>
      <c r="FH20" s="1405"/>
      <c r="FI20" s="1405"/>
      <c r="FJ20" s="1405"/>
      <c r="FK20" s="1405"/>
      <c r="FL20" s="1405"/>
      <c r="FM20" s="1405"/>
      <c r="FN20" s="1405"/>
      <c r="FO20" s="1405"/>
      <c r="FP20" s="1405"/>
      <c r="FQ20" s="1405"/>
      <c r="FR20" s="1405"/>
      <c r="FS20" s="1405"/>
      <c r="FT20" s="1405"/>
      <c r="FU20" s="1405"/>
      <c r="FV20" s="1405"/>
      <c r="FW20" s="1405"/>
      <c r="FX20" s="1405"/>
      <c r="FY20" s="1405"/>
      <c r="FZ20" s="1405"/>
      <c r="GA20" s="1405"/>
      <c r="GB20" s="1405"/>
      <c r="GC20" s="1405"/>
      <c r="GD20" s="1405"/>
      <c r="GE20" s="1405"/>
      <c r="GF20" s="1405"/>
      <c r="GG20" s="1405"/>
      <c r="GH20" s="1405"/>
      <c r="GI20" s="1405"/>
      <c r="GJ20" s="1405"/>
      <c r="GK20" s="1405"/>
      <c r="GL20" s="1405"/>
      <c r="GM20" s="1405"/>
      <c r="GN20" s="1405"/>
      <c r="GO20" s="1405"/>
      <c r="GP20" s="1405"/>
      <c r="GQ20" s="1405"/>
      <c r="GR20" s="1405"/>
      <c r="GS20" s="1405"/>
      <c r="GT20" s="1405"/>
      <c r="GU20" s="1405"/>
      <c r="GV20" s="1405"/>
      <c r="GW20" s="1405"/>
      <c r="GX20" s="1405"/>
      <c r="GY20" s="1405"/>
      <c r="GZ20" s="1405"/>
      <c r="HA20" s="1405"/>
      <c r="HB20" s="1405"/>
      <c r="HC20" s="1405"/>
      <c r="HD20" s="1405"/>
      <c r="HE20" s="1405"/>
      <c r="HF20" s="1405"/>
      <c r="HG20" s="1405"/>
      <c r="HH20" s="1405"/>
      <c r="HI20" s="1405"/>
      <c r="HJ20" s="1405"/>
      <c r="HK20" s="1405"/>
      <c r="HL20" s="1405"/>
      <c r="HM20" s="1405"/>
      <c r="HN20" s="1405"/>
      <c r="HO20" s="1405"/>
      <c r="HP20" s="1405"/>
      <c r="HQ20" s="1405"/>
      <c r="HR20" s="1405"/>
      <c r="HS20" s="1405"/>
      <c r="HT20" s="1405"/>
      <c r="HU20" s="1405"/>
      <c r="HV20" s="1405"/>
      <c r="HW20" s="1405"/>
      <c r="HX20" s="1405"/>
      <c r="HY20" s="1405"/>
      <c r="HZ20" s="1405"/>
      <c r="IA20" s="1405"/>
      <c r="IB20" s="1405"/>
      <c r="IC20" s="1405"/>
      <c r="ID20" s="1405"/>
      <c r="IE20" s="1405"/>
      <c r="IF20" s="1405"/>
      <c r="IG20" s="1405"/>
      <c r="IH20" s="1405"/>
      <c r="II20" s="1405"/>
      <c r="IJ20" s="1405"/>
      <c r="IK20" s="1405"/>
      <c r="IL20" s="1405"/>
      <c r="IM20" s="1405"/>
      <c r="IN20" s="1405"/>
      <c r="IO20" s="1405"/>
      <c r="IP20" s="1405"/>
      <c r="IQ20" s="1405"/>
      <c r="IR20" s="1405"/>
      <c r="IS20" s="1405"/>
      <c r="IT20" s="1405"/>
      <c r="IU20" s="1405"/>
      <c r="IV20" s="1405"/>
    </row>
    <row r="21" spans="1:256" ht="29.25" customHeight="1">
      <c r="A21" s="1414"/>
      <c r="B21" s="1418" t="s">
        <v>7122</v>
      </c>
      <c r="C21" s="1414">
        <v>1</v>
      </c>
      <c r="D21" s="1414">
        <v>1</v>
      </c>
      <c r="E21" s="1419">
        <v>25</v>
      </c>
      <c r="F21" s="1419">
        <v>0.23</v>
      </c>
      <c r="G21" s="1419">
        <v>0.23</v>
      </c>
      <c r="H21" s="1420">
        <f t="shared" ref="H21" si="0">ROUND(PRODUCT(C21:G21),2)</f>
        <v>1.32</v>
      </c>
      <c r="I21" s="1410"/>
      <c r="J21" s="1405"/>
      <c r="K21" s="1405"/>
      <c r="L21" s="1405"/>
      <c r="M21" s="1405"/>
      <c r="N21" s="1405"/>
      <c r="O21" s="1405"/>
      <c r="P21" s="1405"/>
      <c r="Q21" s="1405"/>
      <c r="R21" s="1405"/>
      <c r="S21" s="1405"/>
      <c r="T21" s="1405"/>
      <c r="U21" s="1405"/>
      <c r="V21" s="1405"/>
      <c r="W21" s="1405"/>
      <c r="X21" s="1405"/>
      <c r="Y21" s="1405"/>
      <c r="Z21" s="1405"/>
      <c r="AA21" s="1405"/>
      <c r="AB21" s="1405"/>
      <c r="AC21" s="1405"/>
      <c r="AD21" s="1405"/>
      <c r="AE21" s="1405"/>
      <c r="AF21" s="1405"/>
      <c r="AG21" s="1405"/>
      <c r="AH21" s="1405"/>
      <c r="AI21" s="1405"/>
      <c r="AJ21" s="1405"/>
      <c r="AK21" s="1405"/>
      <c r="AL21" s="1405"/>
      <c r="AM21" s="1405"/>
      <c r="AN21" s="1405"/>
      <c r="AO21" s="1405"/>
      <c r="AP21" s="1405"/>
      <c r="AQ21" s="1405"/>
      <c r="AR21" s="1405"/>
      <c r="AS21" s="1405"/>
      <c r="AT21" s="1405"/>
      <c r="AU21" s="1405"/>
      <c r="AV21" s="1405"/>
      <c r="AW21" s="1405"/>
      <c r="AX21" s="1405"/>
      <c r="AY21" s="1405"/>
      <c r="AZ21" s="1405"/>
      <c r="BA21" s="1405"/>
      <c r="BB21" s="1405"/>
      <c r="BC21" s="1405"/>
      <c r="BD21" s="1405"/>
      <c r="BE21" s="1405"/>
      <c r="BF21" s="1405"/>
      <c r="BG21" s="1405"/>
      <c r="BH21" s="1405"/>
      <c r="BI21" s="1405"/>
      <c r="BJ21" s="1405"/>
      <c r="BK21" s="1405"/>
      <c r="BL21" s="1405"/>
      <c r="BM21" s="1405"/>
      <c r="BN21" s="1405"/>
      <c r="BO21" s="1405"/>
      <c r="BP21" s="1405"/>
      <c r="BQ21" s="1405"/>
      <c r="BR21" s="1405"/>
      <c r="BS21" s="1405"/>
      <c r="BT21" s="1405"/>
      <c r="BU21" s="1405"/>
      <c r="BV21" s="1405"/>
      <c r="BW21" s="1405"/>
      <c r="BX21" s="1405"/>
      <c r="BY21" s="1405"/>
      <c r="BZ21" s="1405"/>
      <c r="CA21" s="1405"/>
      <c r="CB21" s="1405"/>
      <c r="CC21" s="1405"/>
      <c r="CD21" s="1405"/>
      <c r="CE21" s="1405"/>
      <c r="CF21" s="1405"/>
      <c r="CG21" s="1405"/>
      <c r="CH21" s="1405"/>
      <c r="CI21" s="1405"/>
      <c r="CJ21" s="1405"/>
      <c r="CK21" s="1405"/>
      <c r="CL21" s="1405"/>
      <c r="CM21" s="1405"/>
      <c r="CN21" s="1405"/>
      <c r="CO21" s="1405"/>
      <c r="CP21" s="1405"/>
      <c r="CQ21" s="1405"/>
      <c r="CR21" s="1405"/>
      <c r="CS21" s="1405"/>
      <c r="CT21" s="1405"/>
      <c r="CU21" s="1405"/>
      <c r="CV21" s="1405"/>
      <c r="CW21" s="1405"/>
      <c r="CX21" s="1405"/>
      <c r="CY21" s="1405"/>
      <c r="CZ21" s="1405"/>
      <c r="DA21" s="1405"/>
      <c r="DB21" s="1405"/>
      <c r="DC21" s="1405"/>
      <c r="DD21" s="1405"/>
      <c r="DE21" s="1405"/>
      <c r="DF21" s="1405"/>
      <c r="DG21" s="1405"/>
      <c r="DH21" s="1405"/>
      <c r="DI21" s="1405"/>
      <c r="DJ21" s="1405"/>
      <c r="DK21" s="1405"/>
      <c r="DL21" s="1405"/>
      <c r="DM21" s="1405"/>
      <c r="DN21" s="1405"/>
      <c r="DO21" s="1405"/>
      <c r="DP21" s="1405"/>
      <c r="DQ21" s="1405"/>
      <c r="DR21" s="1405"/>
      <c r="DS21" s="1405"/>
      <c r="DT21" s="1405"/>
      <c r="DU21" s="1405"/>
      <c r="DV21" s="1405"/>
      <c r="DW21" s="1405"/>
      <c r="DX21" s="1405"/>
      <c r="DY21" s="1405"/>
      <c r="DZ21" s="1405"/>
      <c r="EA21" s="1405"/>
      <c r="EB21" s="1405"/>
      <c r="EC21" s="1405"/>
      <c r="ED21" s="1405"/>
      <c r="EE21" s="1405"/>
      <c r="EF21" s="1405"/>
      <c r="EG21" s="1405"/>
      <c r="EH21" s="1405"/>
      <c r="EI21" s="1405"/>
      <c r="EJ21" s="1405"/>
      <c r="EK21" s="1405"/>
      <c r="EL21" s="1405"/>
      <c r="EM21" s="1405"/>
      <c r="EN21" s="1405"/>
      <c r="EO21" s="1405"/>
      <c r="EP21" s="1405"/>
      <c r="EQ21" s="1405"/>
      <c r="ER21" s="1405"/>
      <c r="ES21" s="1405"/>
      <c r="ET21" s="1405"/>
      <c r="EU21" s="1405"/>
      <c r="EV21" s="1405"/>
      <c r="EW21" s="1405"/>
      <c r="EX21" s="1405"/>
      <c r="EY21" s="1405"/>
      <c r="EZ21" s="1405"/>
      <c r="FA21" s="1405"/>
      <c r="FB21" s="1405"/>
      <c r="FC21" s="1405"/>
      <c r="FD21" s="1405"/>
      <c r="FE21" s="1405"/>
      <c r="FF21" s="1405"/>
      <c r="FG21" s="1405"/>
      <c r="FH21" s="1405"/>
      <c r="FI21" s="1405"/>
      <c r="FJ21" s="1405"/>
      <c r="FK21" s="1405"/>
      <c r="FL21" s="1405"/>
      <c r="FM21" s="1405"/>
      <c r="FN21" s="1405"/>
      <c r="FO21" s="1405"/>
      <c r="FP21" s="1405"/>
      <c r="FQ21" s="1405"/>
      <c r="FR21" s="1405"/>
      <c r="FS21" s="1405"/>
      <c r="FT21" s="1405"/>
      <c r="FU21" s="1405"/>
      <c r="FV21" s="1405"/>
      <c r="FW21" s="1405"/>
      <c r="FX21" s="1405"/>
      <c r="FY21" s="1405"/>
      <c r="FZ21" s="1405"/>
      <c r="GA21" s="1405"/>
      <c r="GB21" s="1405"/>
      <c r="GC21" s="1405"/>
      <c r="GD21" s="1405"/>
      <c r="GE21" s="1405"/>
      <c r="GF21" s="1405"/>
      <c r="GG21" s="1405"/>
      <c r="GH21" s="1405"/>
      <c r="GI21" s="1405"/>
      <c r="GJ21" s="1405"/>
      <c r="GK21" s="1405"/>
      <c r="GL21" s="1405"/>
      <c r="GM21" s="1405"/>
      <c r="GN21" s="1405"/>
      <c r="GO21" s="1405"/>
      <c r="GP21" s="1405"/>
      <c r="GQ21" s="1405"/>
      <c r="GR21" s="1405"/>
      <c r="GS21" s="1405"/>
      <c r="GT21" s="1405"/>
      <c r="GU21" s="1405"/>
      <c r="GV21" s="1405"/>
      <c r="GW21" s="1405"/>
      <c r="GX21" s="1405"/>
      <c r="GY21" s="1405"/>
      <c r="GZ21" s="1405"/>
      <c r="HA21" s="1405"/>
      <c r="HB21" s="1405"/>
      <c r="HC21" s="1405"/>
      <c r="HD21" s="1405"/>
      <c r="HE21" s="1405"/>
      <c r="HF21" s="1405"/>
      <c r="HG21" s="1405"/>
      <c r="HH21" s="1405"/>
      <c r="HI21" s="1405"/>
      <c r="HJ21" s="1405"/>
      <c r="HK21" s="1405"/>
      <c r="HL21" s="1405"/>
      <c r="HM21" s="1405"/>
      <c r="HN21" s="1405"/>
      <c r="HO21" s="1405"/>
      <c r="HP21" s="1405"/>
      <c r="HQ21" s="1405"/>
      <c r="HR21" s="1405"/>
      <c r="HS21" s="1405"/>
      <c r="HT21" s="1405"/>
      <c r="HU21" s="1405"/>
      <c r="HV21" s="1405"/>
      <c r="HW21" s="1405"/>
      <c r="HX21" s="1405"/>
      <c r="HY21" s="1405"/>
      <c r="HZ21" s="1405"/>
      <c r="IA21" s="1405"/>
      <c r="IB21" s="1405"/>
      <c r="IC21" s="1405"/>
      <c r="ID21" s="1405"/>
      <c r="IE21" s="1405"/>
      <c r="IF21" s="1405"/>
      <c r="IG21" s="1405"/>
      <c r="IH21" s="1405"/>
      <c r="II21" s="1405"/>
      <c r="IJ21" s="1405"/>
      <c r="IK21" s="1405"/>
      <c r="IL21" s="1405"/>
      <c r="IM21" s="1405"/>
      <c r="IN21" s="1405"/>
      <c r="IO21" s="1405"/>
      <c r="IP21" s="1405"/>
      <c r="IQ21" s="1405"/>
      <c r="IR21" s="1405"/>
      <c r="IS21" s="1405"/>
      <c r="IT21" s="1405"/>
      <c r="IU21" s="1405"/>
      <c r="IV21" s="1405"/>
    </row>
    <row r="22" spans="1:256" ht="29.25" customHeight="1">
      <c r="A22" s="1414"/>
      <c r="B22" s="1418" t="s">
        <v>7128</v>
      </c>
      <c r="C22" s="1414">
        <v>1</v>
      </c>
      <c r="D22" s="1414">
        <v>8</v>
      </c>
      <c r="E22" s="1419">
        <v>0.23</v>
      </c>
      <c r="F22" s="1419">
        <v>0.23</v>
      </c>
      <c r="G22" s="1419">
        <v>0.6</v>
      </c>
      <c r="H22" s="1420">
        <f>ROUND(PRODUCT(C22:G22),2)</f>
        <v>0.25</v>
      </c>
      <c r="I22" s="1410"/>
      <c r="J22" s="1405"/>
      <c r="K22" s="1405"/>
      <c r="L22" s="1405"/>
      <c r="M22" s="1405"/>
      <c r="N22" s="1405"/>
      <c r="O22" s="1405"/>
      <c r="P22" s="1405"/>
      <c r="Q22" s="1405"/>
      <c r="R22" s="1405"/>
      <c r="S22" s="1405"/>
      <c r="T22" s="1405"/>
      <c r="U22" s="1405"/>
      <c r="V22" s="1405"/>
      <c r="W22" s="1405"/>
      <c r="X22" s="1405"/>
      <c r="Y22" s="1405"/>
      <c r="Z22" s="1405"/>
      <c r="AA22" s="1405"/>
      <c r="AB22" s="1405"/>
      <c r="AC22" s="1405"/>
      <c r="AD22" s="1405"/>
      <c r="AE22" s="1405"/>
      <c r="AF22" s="1405"/>
      <c r="AG22" s="1405"/>
      <c r="AH22" s="1405"/>
      <c r="AI22" s="1405"/>
      <c r="AJ22" s="1405"/>
      <c r="AK22" s="1405"/>
      <c r="AL22" s="1405"/>
      <c r="AM22" s="1405"/>
      <c r="AN22" s="1405"/>
      <c r="AO22" s="1405"/>
      <c r="AP22" s="1405"/>
      <c r="AQ22" s="1405"/>
      <c r="AR22" s="1405"/>
      <c r="AS22" s="1405"/>
      <c r="AT22" s="1405"/>
      <c r="AU22" s="1405"/>
      <c r="AV22" s="1405"/>
      <c r="AW22" s="1405"/>
      <c r="AX22" s="1405"/>
      <c r="AY22" s="1405"/>
      <c r="AZ22" s="1405"/>
      <c r="BA22" s="1405"/>
      <c r="BB22" s="1405"/>
      <c r="BC22" s="1405"/>
      <c r="BD22" s="1405"/>
      <c r="BE22" s="1405"/>
      <c r="BF22" s="1405"/>
      <c r="BG22" s="1405"/>
      <c r="BH22" s="1405"/>
      <c r="BI22" s="1405"/>
      <c r="BJ22" s="1405"/>
      <c r="BK22" s="1405"/>
      <c r="BL22" s="1405"/>
      <c r="BM22" s="1405"/>
      <c r="BN22" s="1405"/>
      <c r="BO22" s="1405"/>
      <c r="BP22" s="1405"/>
      <c r="BQ22" s="1405"/>
      <c r="BR22" s="1405"/>
      <c r="BS22" s="1405"/>
      <c r="BT22" s="1405"/>
      <c r="BU22" s="1405"/>
      <c r="BV22" s="1405"/>
      <c r="BW22" s="1405"/>
      <c r="BX22" s="1405"/>
      <c r="BY22" s="1405"/>
      <c r="BZ22" s="1405"/>
      <c r="CA22" s="1405"/>
      <c r="CB22" s="1405"/>
      <c r="CC22" s="1405"/>
      <c r="CD22" s="1405"/>
      <c r="CE22" s="1405"/>
      <c r="CF22" s="1405"/>
      <c r="CG22" s="1405"/>
      <c r="CH22" s="1405"/>
      <c r="CI22" s="1405"/>
      <c r="CJ22" s="1405"/>
      <c r="CK22" s="1405"/>
      <c r="CL22" s="1405"/>
      <c r="CM22" s="1405"/>
      <c r="CN22" s="1405"/>
      <c r="CO22" s="1405"/>
      <c r="CP22" s="1405"/>
      <c r="CQ22" s="1405"/>
      <c r="CR22" s="1405"/>
      <c r="CS22" s="1405"/>
      <c r="CT22" s="1405"/>
      <c r="CU22" s="1405"/>
      <c r="CV22" s="1405"/>
      <c r="CW22" s="1405"/>
      <c r="CX22" s="1405"/>
      <c r="CY22" s="1405"/>
      <c r="CZ22" s="1405"/>
      <c r="DA22" s="1405"/>
      <c r="DB22" s="1405"/>
      <c r="DC22" s="1405"/>
      <c r="DD22" s="1405"/>
      <c r="DE22" s="1405"/>
      <c r="DF22" s="1405"/>
      <c r="DG22" s="1405"/>
      <c r="DH22" s="1405"/>
      <c r="DI22" s="1405"/>
      <c r="DJ22" s="1405"/>
      <c r="DK22" s="1405"/>
      <c r="DL22" s="1405"/>
      <c r="DM22" s="1405"/>
      <c r="DN22" s="1405"/>
      <c r="DO22" s="1405"/>
      <c r="DP22" s="1405"/>
      <c r="DQ22" s="1405"/>
      <c r="DR22" s="1405"/>
      <c r="DS22" s="1405"/>
      <c r="DT22" s="1405"/>
      <c r="DU22" s="1405"/>
      <c r="DV22" s="1405"/>
      <c r="DW22" s="1405"/>
      <c r="DX22" s="1405"/>
      <c r="DY22" s="1405"/>
      <c r="DZ22" s="1405"/>
      <c r="EA22" s="1405"/>
      <c r="EB22" s="1405"/>
      <c r="EC22" s="1405"/>
      <c r="ED22" s="1405"/>
      <c r="EE22" s="1405"/>
      <c r="EF22" s="1405"/>
      <c r="EG22" s="1405"/>
      <c r="EH22" s="1405"/>
      <c r="EI22" s="1405"/>
      <c r="EJ22" s="1405"/>
      <c r="EK22" s="1405"/>
      <c r="EL22" s="1405"/>
      <c r="EM22" s="1405"/>
      <c r="EN22" s="1405"/>
      <c r="EO22" s="1405"/>
      <c r="EP22" s="1405"/>
      <c r="EQ22" s="1405"/>
      <c r="ER22" s="1405"/>
      <c r="ES22" s="1405"/>
      <c r="ET22" s="1405"/>
      <c r="EU22" s="1405"/>
      <c r="EV22" s="1405"/>
      <c r="EW22" s="1405"/>
      <c r="EX22" s="1405"/>
      <c r="EY22" s="1405"/>
      <c r="EZ22" s="1405"/>
      <c r="FA22" s="1405"/>
      <c r="FB22" s="1405"/>
      <c r="FC22" s="1405"/>
      <c r="FD22" s="1405"/>
      <c r="FE22" s="1405"/>
      <c r="FF22" s="1405"/>
      <c r="FG22" s="1405"/>
      <c r="FH22" s="1405"/>
      <c r="FI22" s="1405"/>
      <c r="FJ22" s="1405"/>
      <c r="FK22" s="1405"/>
      <c r="FL22" s="1405"/>
      <c r="FM22" s="1405"/>
      <c r="FN22" s="1405"/>
      <c r="FO22" s="1405"/>
      <c r="FP22" s="1405"/>
      <c r="FQ22" s="1405"/>
      <c r="FR22" s="1405"/>
      <c r="FS22" s="1405"/>
      <c r="FT22" s="1405"/>
      <c r="FU22" s="1405"/>
      <c r="FV22" s="1405"/>
      <c r="FW22" s="1405"/>
      <c r="FX22" s="1405"/>
      <c r="FY22" s="1405"/>
      <c r="FZ22" s="1405"/>
      <c r="GA22" s="1405"/>
      <c r="GB22" s="1405"/>
      <c r="GC22" s="1405"/>
      <c r="GD22" s="1405"/>
      <c r="GE22" s="1405"/>
      <c r="GF22" s="1405"/>
      <c r="GG22" s="1405"/>
      <c r="GH22" s="1405"/>
      <c r="GI22" s="1405"/>
      <c r="GJ22" s="1405"/>
      <c r="GK22" s="1405"/>
      <c r="GL22" s="1405"/>
      <c r="GM22" s="1405"/>
      <c r="GN22" s="1405"/>
      <c r="GO22" s="1405"/>
      <c r="GP22" s="1405"/>
      <c r="GQ22" s="1405"/>
      <c r="GR22" s="1405"/>
      <c r="GS22" s="1405"/>
      <c r="GT22" s="1405"/>
      <c r="GU22" s="1405"/>
      <c r="GV22" s="1405"/>
      <c r="GW22" s="1405"/>
      <c r="GX22" s="1405"/>
      <c r="GY22" s="1405"/>
      <c r="GZ22" s="1405"/>
      <c r="HA22" s="1405"/>
      <c r="HB22" s="1405"/>
      <c r="HC22" s="1405"/>
      <c r="HD22" s="1405"/>
      <c r="HE22" s="1405"/>
      <c r="HF22" s="1405"/>
      <c r="HG22" s="1405"/>
      <c r="HH22" s="1405"/>
      <c r="HI22" s="1405"/>
      <c r="HJ22" s="1405"/>
      <c r="HK22" s="1405"/>
      <c r="HL22" s="1405"/>
      <c r="HM22" s="1405"/>
      <c r="HN22" s="1405"/>
      <c r="HO22" s="1405"/>
      <c r="HP22" s="1405"/>
      <c r="HQ22" s="1405"/>
      <c r="HR22" s="1405"/>
      <c r="HS22" s="1405"/>
      <c r="HT22" s="1405"/>
      <c r="HU22" s="1405"/>
      <c r="HV22" s="1405"/>
      <c r="HW22" s="1405"/>
      <c r="HX22" s="1405"/>
      <c r="HY22" s="1405"/>
      <c r="HZ22" s="1405"/>
      <c r="IA22" s="1405"/>
      <c r="IB22" s="1405"/>
      <c r="IC22" s="1405"/>
      <c r="ID22" s="1405"/>
      <c r="IE22" s="1405"/>
      <c r="IF22" s="1405"/>
      <c r="IG22" s="1405"/>
      <c r="IH22" s="1405"/>
      <c r="II22" s="1405"/>
      <c r="IJ22" s="1405"/>
      <c r="IK22" s="1405"/>
      <c r="IL22" s="1405"/>
      <c r="IM22" s="1405"/>
      <c r="IN22" s="1405"/>
      <c r="IO22" s="1405"/>
      <c r="IP22" s="1405"/>
      <c r="IQ22" s="1405"/>
      <c r="IR22" s="1405"/>
      <c r="IS22" s="1405"/>
      <c r="IT22" s="1405"/>
      <c r="IU22" s="1405"/>
      <c r="IV22" s="1405"/>
    </row>
    <row r="23" spans="1:256" ht="29.25" customHeight="1">
      <c r="A23" s="1414"/>
      <c r="B23" s="1418"/>
      <c r="C23" s="1414"/>
      <c r="D23" s="1414"/>
      <c r="E23" s="1419"/>
      <c r="F23" s="1419"/>
      <c r="G23" s="1421" t="s">
        <v>2235</v>
      </c>
      <c r="H23" s="1422">
        <f>SUM(H20:H21)</f>
        <v>5.46</v>
      </c>
      <c r="I23" s="1410" t="s">
        <v>7123</v>
      </c>
      <c r="J23" s="1405"/>
      <c r="K23" s="1405"/>
      <c r="L23" s="1405"/>
      <c r="M23" s="1405"/>
      <c r="N23" s="1405"/>
      <c r="O23" s="1405"/>
      <c r="P23" s="1405"/>
      <c r="Q23" s="1405"/>
      <c r="R23" s="1405"/>
      <c r="S23" s="1405"/>
      <c r="T23" s="1405"/>
      <c r="U23" s="1405"/>
      <c r="V23" s="1405"/>
      <c r="W23" s="1405"/>
      <c r="X23" s="1405"/>
      <c r="Y23" s="1405"/>
      <c r="Z23" s="1405"/>
      <c r="AA23" s="1405"/>
      <c r="AB23" s="1405"/>
      <c r="AC23" s="1405"/>
      <c r="AD23" s="1405"/>
      <c r="AE23" s="1405"/>
      <c r="AF23" s="1405"/>
      <c r="AG23" s="1405"/>
      <c r="AH23" s="1405"/>
      <c r="AI23" s="1405"/>
      <c r="AJ23" s="1405"/>
      <c r="AK23" s="1405"/>
      <c r="AL23" s="1405"/>
      <c r="AM23" s="1405"/>
      <c r="AN23" s="1405"/>
      <c r="AO23" s="1405"/>
      <c r="AP23" s="1405"/>
      <c r="AQ23" s="1405"/>
      <c r="AR23" s="1405"/>
      <c r="AS23" s="1405"/>
      <c r="AT23" s="1405"/>
      <c r="AU23" s="1405"/>
      <c r="AV23" s="1405"/>
      <c r="AW23" s="1405"/>
      <c r="AX23" s="1405"/>
      <c r="AY23" s="1405"/>
      <c r="AZ23" s="1405"/>
      <c r="BA23" s="1405"/>
      <c r="BB23" s="1405"/>
      <c r="BC23" s="1405"/>
      <c r="BD23" s="1405"/>
      <c r="BE23" s="1405"/>
      <c r="BF23" s="1405"/>
      <c r="BG23" s="1405"/>
      <c r="BH23" s="1405"/>
      <c r="BI23" s="1405"/>
      <c r="BJ23" s="1405"/>
      <c r="BK23" s="1405"/>
      <c r="BL23" s="1405"/>
      <c r="BM23" s="1405"/>
      <c r="BN23" s="1405"/>
      <c r="BO23" s="1405"/>
      <c r="BP23" s="1405"/>
      <c r="BQ23" s="1405"/>
      <c r="BR23" s="1405"/>
      <c r="BS23" s="1405"/>
      <c r="BT23" s="1405"/>
      <c r="BU23" s="1405"/>
      <c r="BV23" s="1405"/>
      <c r="BW23" s="1405"/>
      <c r="BX23" s="1405"/>
      <c r="BY23" s="1405"/>
      <c r="BZ23" s="1405"/>
      <c r="CA23" s="1405"/>
      <c r="CB23" s="1405"/>
      <c r="CC23" s="1405"/>
      <c r="CD23" s="1405"/>
      <c r="CE23" s="1405"/>
      <c r="CF23" s="1405"/>
      <c r="CG23" s="1405"/>
      <c r="CH23" s="1405"/>
      <c r="CI23" s="1405"/>
      <c r="CJ23" s="1405"/>
      <c r="CK23" s="1405"/>
      <c r="CL23" s="1405"/>
      <c r="CM23" s="1405"/>
      <c r="CN23" s="1405"/>
      <c r="CO23" s="1405"/>
      <c r="CP23" s="1405"/>
      <c r="CQ23" s="1405"/>
      <c r="CR23" s="1405"/>
      <c r="CS23" s="1405"/>
      <c r="CT23" s="1405"/>
      <c r="CU23" s="1405"/>
      <c r="CV23" s="1405"/>
      <c r="CW23" s="1405"/>
      <c r="CX23" s="1405"/>
      <c r="CY23" s="1405"/>
      <c r="CZ23" s="1405"/>
      <c r="DA23" s="1405"/>
      <c r="DB23" s="1405"/>
      <c r="DC23" s="1405"/>
      <c r="DD23" s="1405"/>
      <c r="DE23" s="1405"/>
      <c r="DF23" s="1405"/>
      <c r="DG23" s="1405"/>
      <c r="DH23" s="1405"/>
      <c r="DI23" s="1405"/>
      <c r="DJ23" s="1405"/>
      <c r="DK23" s="1405"/>
      <c r="DL23" s="1405"/>
      <c r="DM23" s="1405"/>
      <c r="DN23" s="1405"/>
      <c r="DO23" s="1405"/>
      <c r="DP23" s="1405"/>
      <c r="DQ23" s="1405"/>
      <c r="DR23" s="1405"/>
      <c r="DS23" s="1405"/>
      <c r="DT23" s="1405"/>
      <c r="DU23" s="1405"/>
      <c r="DV23" s="1405"/>
      <c r="DW23" s="1405"/>
      <c r="DX23" s="1405"/>
      <c r="DY23" s="1405"/>
      <c r="DZ23" s="1405"/>
      <c r="EA23" s="1405"/>
      <c r="EB23" s="1405"/>
      <c r="EC23" s="1405"/>
      <c r="ED23" s="1405"/>
      <c r="EE23" s="1405"/>
      <c r="EF23" s="1405"/>
      <c r="EG23" s="1405"/>
      <c r="EH23" s="1405"/>
      <c r="EI23" s="1405"/>
      <c r="EJ23" s="1405"/>
      <c r="EK23" s="1405"/>
      <c r="EL23" s="1405"/>
      <c r="EM23" s="1405"/>
      <c r="EN23" s="1405"/>
      <c r="EO23" s="1405"/>
      <c r="EP23" s="1405"/>
      <c r="EQ23" s="1405"/>
      <c r="ER23" s="1405"/>
      <c r="ES23" s="1405"/>
      <c r="ET23" s="1405"/>
      <c r="EU23" s="1405"/>
      <c r="EV23" s="1405"/>
      <c r="EW23" s="1405"/>
      <c r="EX23" s="1405"/>
      <c r="EY23" s="1405"/>
      <c r="EZ23" s="1405"/>
      <c r="FA23" s="1405"/>
      <c r="FB23" s="1405"/>
      <c r="FC23" s="1405"/>
      <c r="FD23" s="1405"/>
      <c r="FE23" s="1405"/>
      <c r="FF23" s="1405"/>
      <c r="FG23" s="1405"/>
      <c r="FH23" s="1405"/>
      <c r="FI23" s="1405"/>
      <c r="FJ23" s="1405"/>
      <c r="FK23" s="1405"/>
      <c r="FL23" s="1405"/>
      <c r="FM23" s="1405"/>
      <c r="FN23" s="1405"/>
      <c r="FO23" s="1405"/>
      <c r="FP23" s="1405"/>
      <c r="FQ23" s="1405"/>
      <c r="FR23" s="1405"/>
      <c r="FS23" s="1405"/>
      <c r="FT23" s="1405"/>
      <c r="FU23" s="1405"/>
      <c r="FV23" s="1405"/>
      <c r="FW23" s="1405"/>
      <c r="FX23" s="1405"/>
      <c r="FY23" s="1405"/>
      <c r="FZ23" s="1405"/>
      <c r="GA23" s="1405"/>
      <c r="GB23" s="1405"/>
      <c r="GC23" s="1405"/>
      <c r="GD23" s="1405"/>
      <c r="GE23" s="1405"/>
      <c r="GF23" s="1405"/>
      <c r="GG23" s="1405"/>
      <c r="GH23" s="1405"/>
      <c r="GI23" s="1405"/>
      <c r="GJ23" s="1405"/>
      <c r="GK23" s="1405"/>
      <c r="GL23" s="1405"/>
      <c r="GM23" s="1405"/>
      <c r="GN23" s="1405"/>
      <c r="GO23" s="1405"/>
      <c r="GP23" s="1405"/>
      <c r="GQ23" s="1405"/>
      <c r="GR23" s="1405"/>
      <c r="GS23" s="1405"/>
      <c r="GT23" s="1405"/>
      <c r="GU23" s="1405"/>
      <c r="GV23" s="1405"/>
      <c r="GW23" s="1405"/>
      <c r="GX23" s="1405"/>
      <c r="GY23" s="1405"/>
      <c r="GZ23" s="1405"/>
      <c r="HA23" s="1405"/>
      <c r="HB23" s="1405"/>
      <c r="HC23" s="1405"/>
      <c r="HD23" s="1405"/>
      <c r="HE23" s="1405"/>
      <c r="HF23" s="1405"/>
      <c r="HG23" s="1405"/>
      <c r="HH23" s="1405"/>
      <c r="HI23" s="1405"/>
      <c r="HJ23" s="1405"/>
      <c r="HK23" s="1405"/>
      <c r="HL23" s="1405"/>
      <c r="HM23" s="1405"/>
      <c r="HN23" s="1405"/>
      <c r="HO23" s="1405"/>
      <c r="HP23" s="1405"/>
      <c r="HQ23" s="1405"/>
      <c r="HR23" s="1405"/>
      <c r="HS23" s="1405"/>
      <c r="HT23" s="1405"/>
      <c r="HU23" s="1405"/>
      <c r="HV23" s="1405"/>
      <c r="HW23" s="1405"/>
      <c r="HX23" s="1405"/>
      <c r="HY23" s="1405"/>
      <c r="HZ23" s="1405"/>
      <c r="IA23" s="1405"/>
      <c r="IB23" s="1405"/>
      <c r="IC23" s="1405"/>
      <c r="ID23" s="1405"/>
      <c r="IE23" s="1405"/>
      <c r="IF23" s="1405"/>
      <c r="IG23" s="1405"/>
      <c r="IH23" s="1405"/>
      <c r="II23" s="1405"/>
      <c r="IJ23" s="1405"/>
      <c r="IK23" s="1405"/>
      <c r="IL23" s="1405"/>
      <c r="IM23" s="1405"/>
      <c r="IN23" s="1405"/>
      <c r="IO23" s="1405"/>
      <c r="IP23" s="1405"/>
      <c r="IQ23" s="1405"/>
      <c r="IR23" s="1405"/>
      <c r="IS23" s="1405"/>
      <c r="IT23" s="1405"/>
      <c r="IU23" s="1405"/>
      <c r="IV23" s="1405"/>
    </row>
    <row r="24" spans="1:256" ht="75.75" customHeight="1">
      <c r="A24" s="1425">
        <v>10.5</v>
      </c>
      <c r="B24" s="1426" t="s">
        <v>7129</v>
      </c>
      <c r="C24" s="1426"/>
      <c r="D24" s="1426"/>
      <c r="E24" s="1426"/>
      <c r="F24" s="1417"/>
      <c r="G24" s="1416"/>
      <c r="H24" s="1417"/>
      <c r="I24" s="1410"/>
      <c r="J24" s="1405"/>
      <c r="K24" s="1405"/>
      <c r="L24" s="1405"/>
      <c r="M24" s="1405"/>
      <c r="N24" s="1405"/>
      <c r="O24" s="1405"/>
      <c r="P24" s="1405"/>
      <c r="Q24" s="1405"/>
      <c r="R24" s="1405"/>
      <c r="S24" s="1405"/>
      <c r="T24" s="1405"/>
      <c r="U24" s="1405"/>
      <c r="V24" s="1405"/>
      <c r="W24" s="1405"/>
      <c r="X24" s="1405"/>
      <c r="Y24" s="1405"/>
      <c r="Z24" s="1405"/>
      <c r="AA24" s="1405"/>
      <c r="AB24" s="1405"/>
      <c r="AC24" s="1405"/>
      <c r="AD24" s="1405"/>
      <c r="AE24" s="1405"/>
      <c r="AF24" s="1405"/>
      <c r="AG24" s="1405"/>
      <c r="AH24" s="1405"/>
      <c r="AI24" s="1405"/>
      <c r="AJ24" s="1405"/>
      <c r="AK24" s="1405"/>
      <c r="AL24" s="1405"/>
      <c r="AM24" s="1405"/>
      <c r="AN24" s="1405"/>
      <c r="AO24" s="1405"/>
      <c r="AP24" s="1405"/>
      <c r="AQ24" s="1405"/>
      <c r="AR24" s="1405"/>
      <c r="AS24" s="1405"/>
      <c r="AT24" s="1405"/>
      <c r="AU24" s="1405"/>
      <c r="AV24" s="1405"/>
      <c r="AW24" s="1405"/>
      <c r="AX24" s="1405"/>
      <c r="AY24" s="1405"/>
      <c r="AZ24" s="1405"/>
      <c r="BA24" s="1405"/>
      <c r="BB24" s="1405"/>
      <c r="BC24" s="1405"/>
      <c r="BD24" s="1405"/>
      <c r="BE24" s="1405"/>
      <c r="BF24" s="1405"/>
      <c r="BG24" s="1405"/>
      <c r="BH24" s="1405"/>
      <c r="BI24" s="1405"/>
      <c r="BJ24" s="1405"/>
      <c r="BK24" s="1405"/>
      <c r="BL24" s="1405"/>
      <c r="BM24" s="1405"/>
      <c r="BN24" s="1405"/>
      <c r="BO24" s="1405"/>
      <c r="BP24" s="1405"/>
      <c r="BQ24" s="1405"/>
      <c r="BR24" s="1405"/>
      <c r="BS24" s="1405"/>
      <c r="BT24" s="1405"/>
      <c r="BU24" s="1405"/>
      <c r="BV24" s="1405"/>
      <c r="BW24" s="1405"/>
      <c r="BX24" s="1405"/>
      <c r="BY24" s="1405"/>
      <c r="BZ24" s="1405"/>
      <c r="CA24" s="1405"/>
      <c r="CB24" s="1405"/>
      <c r="CC24" s="1405"/>
      <c r="CD24" s="1405"/>
      <c r="CE24" s="1405"/>
      <c r="CF24" s="1405"/>
      <c r="CG24" s="1405"/>
      <c r="CH24" s="1405"/>
      <c r="CI24" s="1405"/>
      <c r="CJ24" s="1405"/>
      <c r="CK24" s="1405"/>
      <c r="CL24" s="1405"/>
      <c r="CM24" s="1405"/>
      <c r="CN24" s="1405"/>
      <c r="CO24" s="1405"/>
      <c r="CP24" s="1405"/>
      <c r="CQ24" s="1405"/>
      <c r="CR24" s="1405"/>
      <c r="CS24" s="1405"/>
      <c r="CT24" s="1405"/>
      <c r="CU24" s="1405"/>
      <c r="CV24" s="1405"/>
      <c r="CW24" s="1405"/>
      <c r="CX24" s="1405"/>
      <c r="CY24" s="1405"/>
      <c r="CZ24" s="1405"/>
      <c r="DA24" s="1405"/>
      <c r="DB24" s="1405"/>
      <c r="DC24" s="1405"/>
      <c r="DD24" s="1405"/>
      <c r="DE24" s="1405"/>
      <c r="DF24" s="1405"/>
      <c r="DG24" s="1405"/>
      <c r="DH24" s="1405"/>
      <c r="DI24" s="1405"/>
      <c r="DJ24" s="1405"/>
      <c r="DK24" s="1405"/>
      <c r="DL24" s="1405"/>
      <c r="DM24" s="1405"/>
      <c r="DN24" s="1405"/>
      <c r="DO24" s="1405"/>
      <c r="DP24" s="1405"/>
      <c r="DQ24" s="1405"/>
      <c r="DR24" s="1405"/>
      <c r="DS24" s="1405"/>
      <c r="DT24" s="1405"/>
      <c r="DU24" s="1405"/>
      <c r="DV24" s="1405"/>
      <c r="DW24" s="1405"/>
      <c r="DX24" s="1405"/>
      <c r="DY24" s="1405"/>
      <c r="DZ24" s="1405"/>
      <c r="EA24" s="1405"/>
      <c r="EB24" s="1405"/>
      <c r="EC24" s="1405"/>
      <c r="ED24" s="1405"/>
      <c r="EE24" s="1405"/>
      <c r="EF24" s="1405"/>
      <c r="EG24" s="1405"/>
      <c r="EH24" s="1405"/>
      <c r="EI24" s="1405"/>
      <c r="EJ24" s="1405"/>
      <c r="EK24" s="1405"/>
      <c r="EL24" s="1405"/>
      <c r="EM24" s="1405"/>
      <c r="EN24" s="1405"/>
      <c r="EO24" s="1405"/>
      <c r="EP24" s="1405"/>
      <c r="EQ24" s="1405"/>
      <c r="ER24" s="1405"/>
      <c r="ES24" s="1405"/>
      <c r="ET24" s="1405"/>
      <c r="EU24" s="1405"/>
      <c r="EV24" s="1405"/>
      <c r="EW24" s="1405"/>
      <c r="EX24" s="1405"/>
      <c r="EY24" s="1405"/>
      <c r="EZ24" s="1405"/>
      <c r="FA24" s="1405"/>
      <c r="FB24" s="1405"/>
      <c r="FC24" s="1405"/>
      <c r="FD24" s="1405"/>
      <c r="FE24" s="1405"/>
      <c r="FF24" s="1405"/>
      <c r="FG24" s="1405"/>
      <c r="FH24" s="1405"/>
      <c r="FI24" s="1405"/>
      <c r="FJ24" s="1405"/>
      <c r="FK24" s="1405"/>
      <c r="FL24" s="1405"/>
      <c r="FM24" s="1405"/>
      <c r="FN24" s="1405"/>
      <c r="FO24" s="1405"/>
      <c r="FP24" s="1405"/>
      <c r="FQ24" s="1405"/>
      <c r="FR24" s="1405"/>
      <c r="FS24" s="1405"/>
      <c r="FT24" s="1405"/>
      <c r="FU24" s="1405"/>
      <c r="FV24" s="1405"/>
      <c r="FW24" s="1405"/>
      <c r="FX24" s="1405"/>
      <c r="FY24" s="1405"/>
      <c r="FZ24" s="1405"/>
      <c r="GA24" s="1405"/>
      <c r="GB24" s="1405"/>
      <c r="GC24" s="1405"/>
      <c r="GD24" s="1405"/>
      <c r="GE24" s="1405"/>
      <c r="GF24" s="1405"/>
      <c r="GG24" s="1405"/>
      <c r="GH24" s="1405"/>
      <c r="GI24" s="1405"/>
      <c r="GJ24" s="1405"/>
      <c r="GK24" s="1405"/>
      <c r="GL24" s="1405"/>
      <c r="GM24" s="1405"/>
      <c r="GN24" s="1405"/>
      <c r="GO24" s="1405"/>
      <c r="GP24" s="1405"/>
      <c r="GQ24" s="1405"/>
      <c r="GR24" s="1405"/>
      <c r="GS24" s="1405"/>
      <c r="GT24" s="1405"/>
      <c r="GU24" s="1405"/>
      <c r="GV24" s="1405"/>
      <c r="GW24" s="1405"/>
      <c r="GX24" s="1405"/>
      <c r="GY24" s="1405"/>
      <c r="GZ24" s="1405"/>
      <c r="HA24" s="1405"/>
      <c r="HB24" s="1405"/>
      <c r="HC24" s="1405"/>
      <c r="HD24" s="1405"/>
      <c r="HE24" s="1405"/>
      <c r="HF24" s="1405"/>
      <c r="HG24" s="1405"/>
      <c r="HH24" s="1405"/>
      <c r="HI24" s="1405"/>
      <c r="HJ24" s="1405"/>
      <c r="HK24" s="1405"/>
      <c r="HL24" s="1405"/>
      <c r="HM24" s="1405"/>
      <c r="HN24" s="1405"/>
      <c r="HO24" s="1405"/>
      <c r="HP24" s="1405"/>
      <c r="HQ24" s="1405"/>
      <c r="HR24" s="1405"/>
      <c r="HS24" s="1405"/>
      <c r="HT24" s="1405"/>
      <c r="HU24" s="1405"/>
      <c r="HV24" s="1405"/>
      <c r="HW24" s="1405"/>
      <c r="HX24" s="1405"/>
      <c r="HY24" s="1405"/>
      <c r="HZ24" s="1405"/>
      <c r="IA24" s="1405"/>
      <c r="IB24" s="1405"/>
      <c r="IC24" s="1405"/>
      <c r="ID24" s="1405"/>
      <c r="IE24" s="1405"/>
      <c r="IF24" s="1405"/>
      <c r="IG24" s="1405"/>
      <c r="IH24" s="1405"/>
      <c r="II24" s="1405"/>
      <c r="IJ24" s="1405"/>
      <c r="IK24" s="1405"/>
      <c r="IL24" s="1405"/>
      <c r="IM24" s="1405"/>
      <c r="IN24" s="1405"/>
      <c r="IO24" s="1405"/>
      <c r="IP24" s="1405"/>
      <c r="IQ24" s="1405"/>
      <c r="IR24" s="1405"/>
      <c r="IS24" s="1405"/>
      <c r="IT24" s="1405"/>
      <c r="IU24" s="1405"/>
      <c r="IV24" s="1405"/>
    </row>
    <row r="25" spans="1:256" ht="31.5" customHeight="1">
      <c r="A25" s="1414"/>
      <c r="B25" s="1418" t="s">
        <v>7130</v>
      </c>
      <c r="C25" s="1414">
        <v>1</v>
      </c>
      <c r="D25" s="1414">
        <v>1</v>
      </c>
      <c r="E25" s="1419">
        <v>25</v>
      </c>
      <c r="F25" s="1419"/>
      <c r="G25" s="1419">
        <v>0.6</v>
      </c>
      <c r="H25" s="1422">
        <f>ROUND(PRODUCT(C25:G25),2)</f>
        <v>15</v>
      </c>
      <c r="I25" s="1410" t="s">
        <v>7131</v>
      </c>
      <c r="J25" s="1405"/>
      <c r="K25" s="1405"/>
      <c r="L25" s="1405"/>
      <c r="M25" s="1405"/>
      <c r="N25" s="1405"/>
      <c r="O25" s="1405"/>
      <c r="P25" s="1405"/>
      <c r="Q25" s="1405"/>
      <c r="R25" s="1405"/>
      <c r="S25" s="1405"/>
      <c r="T25" s="1405"/>
      <c r="U25" s="1405"/>
      <c r="V25" s="1405"/>
      <c r="W25" s="1405"/>
      <c r="X25" s="1405"/>
      <c r="Y25" s="1405"/>
      <c r="Z25" s="1405"/>
      <c r="AA25" s="1405"/>
      <c r="AB25" s="1405"/>
      <c r="AC25" s="1405"/>
      <c r="AD25" s="1405"/>
      <c r="AE25" s="1405"/>
      <c r="AF25" s="1405"/>
      <c r="AG25" s="1405"/>
      <c r="AH25" s="1405"/>
      <c r="AI25" s="1405"/>
      <c r="AJ25" s="1405"/>
      <c r="AK25" s="1405"/>
      <c r="AL25" s="1405"/>
      <c r="AM25" s="1405"/>
      <c r="AN25" s="1405"/>
      <c r="AO25" s="1405"/>
      <c r="AP25" s="1405"/>
      <c r="AQ25" s="1405"/>
      <c r="AR25" s="1405"/>
      <c r="AS25" s="1405"/>
      <c r="AT25" s="1405"/>
      <c r="AU25" s="1405"/>
      <c r="AV25" s="1405"/>
      <c r="AW25" s="1405"/>
      <c r="AX25" s="1405"/>
      <c r="AY25" s="1405"/>
      <c r="AZ25" s="1405"/>
      <c r="BA25" s="1405"/>
      <c r="BB25" s="1405"/>
      <c r="BC25" s="1405"/>
      <c r="BD25" s="1405"/>
      <c r="BE25" s="1405"/>
      <c r="BF25" s="1405"/>
      <c r="BG25" s="1405"/>
      <c r="BH25" s="1405"/>
      <c r="BI25" s="1405"/>
      <c r="BJ25" s="1405"/>
      <c r="BK25" s="1405"/>
      <c r="BL25" s="1405"/>
      <c r="BM25" s="1405"/>
      <c r="BN25" s="1405"/>
      <c r="BO25" s="1405"/>
      <c r="BP25" s="1405"/>
      <c r="BQ25" s="1405"/>
      <c r="BR25" s="1405"/>
      <c r="BS25" s="1405"/>
      <c r="BT25" s="1405"/>
      <c r="BU25" s="1405"/>
      <c r="BV25" s="1405"/>
      <c r="BW25" s="1405"/>
      <c r="BX25" s="1405"/>
      <c r="BY25" s="1405"/>
      <c r="BZ25" s="1405"/>
      <c r="CA25" s="1405"/>
      <c r="CB25" s="1405"/>
      <c r="CC25" s="1405"/>
      <c r="CD25" s="1405"/>
      <c r="CE25" s="1405"/>
      <c r="CF25" s="1405"/>
      <c r="CG25" s="1405"/>
      <c r="CH25" s="1405"/>
      <c r="CI25" s="1405"/>
      <c r="CJ25" s="1405"/>
      <c r="CK25" s="1405"/>
      <c r="CL25" s="1405"/>
      <c r="CM25" s="1405"/>
      <c r="CN25" s="1405"/>
      <c r="CO25" s="1405"/>
      <c r="CP25" s="1405"/>
      <c r="CQ25" s="1405"/>
      <c r="CR25" s="1405"/>
      <c r="CS25" s="1405"/>
      <c r="CT25" s="1405"/>
      <c r="CU25" s="1405"/>
      <c r="CV25" s="1405"/>
      <c r="CW25" s="1405"/>
      <c r="CX25" s="1405"/>
      <c r="CY25" s="1405"/>
      <c r="CZ25" s="1405"/>
      <c r="DA25" s="1405"/>
      <c r="DB25" s="1405"/>
      <c r="DC25" s="1405"/>
      <c r="DD25" s="1405"/>
      <c r="DE25" s="1405"/>
      <c r="DF25" s="1405"/>
      <c r="DG25" s="1405"/>
      <c r="DH25" s="1405"/>
      <c r="DI25" s="1405"/>
      <c r="DJ25" s="1405"/>
      <c r="DK25" s="1405"/>
      <c r="DL25" s="1405"/>
      <c r="DM25" s="1405"/>
      <c r="DN25" s="1405"/>
      <c r="DO25" s="1405"/>
      <c r="DP25" s="1405"/>
      <c r="DQ25" s="1405"/>
      <c r="DR25" s="1405"/>
      <c r="DS25" s="1405"/>
      <c r="DT25" s="1405"/>
      <c r="DU25" s="1405"/>
      <c r="DV25" s="1405"/>
      <c r="DW25" s="1405"/>
      <c r="DX25" s="1405"/>
      <c r="DY25" s="1405"/>
      <c r="DZ25" s="1405"/>
      <c r="EA25" s="1405"/>
      <c r="EB25" s="1405"/>
      <c r="EC25" s="1405"/>
      <c r="ED25" s="1405"/>
      <c r="EE25" s="1405"/>
      <c r="EF25" s="1405"/>
      <c r="EG25" s="1405"/>
      <c r="EH25" s="1405"/>
      <c r="EI25" s="1405"/>
      <c r="EJ25" s="1405"/>
      <c r="EK25" s="1405"/>
      <c r="EL25" s="1405"/>
      <c r="EM25" s="1405"/>
      <c r="EN25" s="1405"/>
      <c r="EO25" s="1405"/>
      <c r="EP25" s="1405"/>
      <c r="EQ25" s="1405"/>
      <c r="ER25" s="1405"/>
      <c r="ES25" s="1405"/>
      <c r="ET25" s="1405"/>
      <c r="EU25" s="1405"/>
      <c r="EV25" s="1405"/>
      <c r="EW25" s="1405"/>
      <c r="EX25" s="1405"/>
      <c r="EY25" s="1405"/>
      <c r="EZ25" s="1405"/>
      <c r="FA25" s="1405"/>
      <c r="FB25" s="1405"/>
      <c r="FC25" s="1405"/>
      <c r="FD25" s="1405"/>
      <c r="FE25" s="1405"/>
      <c r="FF25" s="1405"/>
      <c r="FG25" s="1405"/>
      <c r="FH25" s="1405"/>
      <c r="FI25" s="1405"/>
      <c r="FJ25" s="1405"/>
      <c r="FK25" s="1405"/>
      <c r="FL25" s="1405"/>
      <c r="FM25" s="1405"/>
      <c r="FN25" s="1405"/>
      <c r="FO25" s="1405"/>
      <c r="FP25" s="1405"/>
      <c r="FQ25" s="1405"/>
      <c r="FR25" s="1405"/>
      <c r="FS25" s="1405"/>
      <c r="FT25" s="1405"/>
      <c r="FU25" s="1405"/>
      <c r="FV25" s="1405"/>
      <c r="FW25" s="1405"/>
      <c r="FX25" s="1405"/>
      <c r="FY25" s="1405"/>
      <c r="FZ25" s="1405"/>
      <c r="GA25" s="1405"/>
      <c r="GB25" s="1405"/>
      <c r="GC25" s="1405"/>
      <c r="GD25" s="1405"/>
      <c r="GE25" s="1405"/>
      <c r="GF25" s="1405"/>
      <c r="GG25" s="1405"/>
      <c r="GH25" s="1405"/>
      <c r="GI25" s="1405"/>
      <c r="GJ25" s="1405"/>
      <c r="GK25" s="1405"/>
      <c r="GL25" s="1405"/>
      <c r="GM25" s="1405"/>
      <c r="GN25" s="1405"/>
      <c r="GO25" s="1405"/>
      <c r="GP25" s="1405"/>
      <c r="GQ25" s="1405"/>
      <c r="GR25" s="1405"/>
      <c r="GS25" s="1405"/>
      <c r="GT25" s="1405"/>
      <c r="GU25" s="1405"/>
      <c r="GV25" s="1405"/>
      <c r="GW25" s="1405"/>
      <c r="GX25" s="1405"/>
      <c r="GY25" s="1405"/>
      <c r="GZ25" s="1405"/>
      <c r="HA25" s="1405"/>
      <c r="HB25" s="1405"/>
      <c r="HC25" s="1405"/>
      <c r="HD25" s="1405"/>
      <c r="HE25" s="1405"/>
      <c r="HF25" s="1405"/>
      <c r="HG25" s="1405"/>
      <c r="HH25" s="1405"/>
      <c r="HI25" s="1405"/>
      <c r="HJ25" s="1405"/>
      <c r="HK25" s="1405"/>
      <c r="HL25" s="1405"/>
      <c r="HM25" s="1405"/>
      <c r="HN25" s="1405"/>
      <c r="HO25" s="1405"/>
      <c r="HP25" s="1405"/>
      <c r="HQ25" s="1405"/>
      <c r="HR25" s="1405"/>
      <c r="HS25" s="1405"/>
      <c r="HT25" s="1405"/>
      <c r="HU25" s="1405"/>
      <c r="HV25" s="1405"/>
      <c r="HW25" s="1405"/>
      <c r="HX25" s="1405"/>
      <c r="HY25" s="1405"/>
      <c r="HZ25" s="1405"/>
      <c r="IA25" s="1405"/>
      <c r="IB25" s="1405"/>
      <c r="IC25" s="1405"/>
      <c r="ID25" s="1405"/>
      <c r="IE25" s="1405"/>
      <c r="IF25" s="1405"/>
      <c r="IG25" s="1405"/>
      <c r="IH25" s="1405"/>
      <c r="II25" s="1405"/>
      <c r="IJ25" s="1405"/>
      <c r="IK25" s="1405"/>
      <c r="IL25" s="1405"/>
      <c r="IM25" s="1405"/>
      <c r="IN25" s="1405"/>
      <c r="IO25" s="1405"/>
      <c r="IP25" s="1405"/>
      <c r="IQ25" s="1405"/>
      <c r="IR25" s="1405"/>
      <c r="IS25" s="1405"/>
      <c r="IT25" s="1405"/>
      <c r="IU25" s="1405"/>
      <c r="IV25" s="1405"/>
    </row>
    <row r="26" spans="1:256" ht="31.5" customHeight="1">
      <c r="A26" s="1414">
        <v>28</v>
      </c>
      <c r="B26" s="1415" t="s">
        <v>7132</v>
      </c>
      <c r="C26" s="1415"/>
      <c r="D26" s="1415"/>
      <c r="E26" s="1415"/>
      <c r="F26" s="1415"/>
      <c r="G26" s="1416"/>
      <c r="H26" s="1417"/>
      <c r="I26" s="1410"/>
      <c r="J26" s="1405"/>
      <c r="K26" s="1405"/>
      <c r="L26" s="1405"/>
      <c r="M26" s="1405"/>
      <c r="N26" s="1405"/>
      <c r="O26" s="1405"/>
      <c r="P26" s="1405"/>
      <c r="Q26" s="1405"/>
      <c r="R26" s="1405"/>
      <c r="S26" s="1405"/>
      <c r="T26" s="1405"/>
      <c r="U26" s="1405"/>
      <c r="V26" s="1405"/>
      <c r="W26" s="1405"/>
      <c r="X26" s="1405"/>
      <c r="Y26" s="1405"/>
      <c r="Z26" s="1405"/>
      <c r="AA26" s="1405"/>
      <c r="AB26" s="1405"/>
      <c r="AC26" s="1405"/>
      <c r="AD26" s="1405"/>
      <c r="AE26" s="1405"/>
      <c r="AF26" s="1405"/>
      <c r="AG26" s="1405"/>
      <c r="AH26" s="1405"/>
      <c r="AI26" s="1405"/>
      <c r="AJ26" s="1405"/>
      <c r="AK26" s="1405"/>
      <c r="AL26" s="1405"/>
      <c r="AM26" s="1405"/>
      <c r="AN26" s="1405"/>
      <c r="AO26" s="1405"/>
      <c r="AP26" s="1405"/>
      <c r="AQ26" s="1405"/>
      <c r="AR26" s="1405"/>
      <c r="AS26" s="1405"/>
      <c r="AT26" s="1405"/>
      <c r="AU26" s="1405"/>
      <c r="AV26" s="1405"/>
      <c r="AW26" s="1405"/>
      <c r="AX26" s="1405"/>
      <c r="AY26" s="1405"/>
      <c r="AZ26" s="1405"/>
      <c r="BA26" s="1405"/>
      <c r="BB26" s="1405"/>
      <c r="BC26" s="1405"/>
      <c r="BD26" s="1405"/>
      <c r="BE26" s="1405"/>
      <c r="BF26" s="1405"/>
      <c r="BG26" s="1405"/>
      <c r="BH26" s="1405"/>
      <c r="BI26" s="1405"/>
      <c r="BJ26" s="1405"/>
      <c r="BK26" s="1405"/>
      <c r="BL26" s="1405"/>
      <c r="BM26" s="1405"/>
      <c r="BN26" s="1405"/>
      <c r="BO26" s="1405"/>
      <c r="BP26" s="1405"/>
      <c r="BQ26" s="1405"/>
      <c r="BR26" s="1405"/>
      <c r="BS26" s="1405"/>
      <c r="BT26" s="1405"/>
      <c r="BU26" s="1405"/>
      <c r="BV26" s="1405"/>
      <c r="BW26" s="1405"/>
      <c r="BX26" s="1405"/>
      <c r="BY26" s="1405"/>
      <c r="BZ26" s="1405"/>
      <c r="CA26" s="1405"/>
      <c r="CB26" s="1405"/>
      <c r="CC26" s="1405"/>
      <c r="CD26" s="1405"/>
      <c r="CE26" s="1405"/>
      <c r="CF26" s="1405"/>
      <c r="CG26" s="1405"/>
      <c r="CH26" s="1405"/>
      <c r="CI26" s="1405"/>
      <c r="CJ26" s="1405"/>
      <c r="CK26" s="1405"/>
      <c r="CL26" s="1405"/>
      <c r="CM26" s="1405"/>
      <c r="CN26" s="1405"/>
      <c r="CO26" s="1405"/>
      <c r="CP26" s="1405"/>
      <c r="CQ26" s="1405"/>
      <c r="CR26" s="1405"/>
      <c r="CS26" s="1405"/>
      <c r="CT26" s="1405"/>
      <c r="CU26" s="1405"/>
      <c r="CV26" s="1405"/>
      <c r="CW26" s="1405"/>
      <c r="CX26" s="1405"/>
      <c r="CY26" s="1405"/>
      <c r="CZ26" s="1405"/>
      <c r="DA26" s="1405"/>
      <c r="DB26" s="1405"/>
      <c r="DC26" s="1405"/>
      <c r="DD26" s="1405"/>
      <c r="DE26" s="1405"/>
      <c r="DF26" s="1405"/>
      <c r="DG26" s="1405"/>
      <c r="DH26" s="1405"/>
      <c r="DI26" s="1405"/>
      <c r="DJ26" s="1405"/>
      <c r="DK26" s="1405"/>
      <c r="DL26" s="1405"/>
      <c r="DM26" s="1405"/>
      <c r="DN26" s="1405"/>
      <c r="DO26" s="1405"/>
      <c r="DP26" s="1405"/>
      <c r="DQ26" s="1405"/>
      <c r="DR26" s="1405"/>
      <c r="DS26" s="1405"/>
      <c r="DT26" s="1405"/>
      <c r="DU26" s="1405"/>
      <c r="DV26" s="1405"/>
      <c r="DW26" s="1405"/>
      <c r="DX26" s="1405"/>
      <c r="DY26" s="1405"/>
      <c r="DZ26" s="1405"/>
      <c r="EA26" s="1405"/>
      <c r="EB26" s="1405"/>
      <c r="EC26" s="1405"/>
      <c r="ED26" s="1405"/>
      <c r="EE26" s="1405"/>
      <c r="EF26" s="1405"/>
      <c r="EG26" s="1405"/>
      <c r="EH26" s="1405"/>
      <c r="EI26" s="1405"/>
      <c r="EJ26" s="1405"/>
      <c r="EK26" s="1405"/>
      <c r="EL26" s="1405"/>
      <c r="EM26" s="1405"/>
      <c r="EN26" s="1405"/>
      <c r="EO26" s="1405"/>
      <c r="EP26" s="1405"/>
      <c r="EQ26" s="1405"/>
      <c r="ER26" s="1405"/>
      <c r="ES26" s="1405"/>
      <c r="ET26" s="1405"/>
      <c r="EU26" s="1405"/>
      <c r="EV26" s="1405"/>
      <c r="EW26" s="1405"/>
      <c r="EX26" s="1405"/>
      <c r="EY26" s="1405"/>
      <c r="EZ26" s="1405"/>
      <c r="FA26" s="1405"/>
      <c r="FB26" s="1405"/>
      <c r="FC26" s="1405"/>
      <c r="FD26" s="1405"/>
      <c r="FE26" s="1405"/>
      <c r="FF26" s="1405"/>
      <c r="FG26" s="1405"/>
      <c r="FH26" s="1405"/>
      <c r="FI26" s="1405"/>
      <c r="FJ26" s="1405"/>
      <c r="FK26" s="1405"/>
      <c r="FL26" s="1405"/>
      <c r="FM26" s="1405"/>
      <c r="FN26" s="1405"/>
      <c r="FO26" s="1405"/>
      <c r="FP26" s="1405"/>
      <c r="FQ26" s="1405"/>
      <c r="FR26" s="1405"/>
      <c r="FS26" s="1405"/>
      <c r="FT26" s="1405"/>
      <c r="FU26" s="1405"/>
      <c r="FV26" s="1405"/>
      <c r="FW26" s="1405"/>
      <c r="FX26" s="1405"/>
      <c r="FY26" s="1405"/>
      <c r="FZ26" s="1405"/>
      <c r="GA26" s="1405"/>
      <c r="GB26" s="1405"/>
      <c r="GC26" s="1405"/>
      <c r="GD26" s="1405"/>
      <c r="GE26" s="1405"/>
      <c r="GF26" s="1405"/>
      <c r="GG26" s="1405"/>
      <c r="GH26" s="1405"/>
      <c r="GI26" s="1405"/>
      <c r="GJ26" s="1405"/>
      <c r="GK26" s="1405"/>
      <c r="GL26" s="1405"/>
      <c r="GM26" s="1405"/>
      <c r="GN26" s="1405"/>
      <c r="GO26" s="1405"/>
      <c r="GP26" s="1405"/>
      <c r="GQ26" s="1405"/>
      <c r="GR26" s="1405"/>
      <c r="GS26" s="1405"/>
      <c r="GT26" s="1405"/>
      <c r="GU26" s="1405"/>
      <c r="GV26" s="1405"/>
      <c r="GW26" s="1405"/>
      <c r="GX26" s="1405"/>
      <c r="GY26" s="1405"/>
      <c r="GZ26" s="1405"/>
      <c r="HA26" s="1405"/>
      <c r="HB26" s="1405"/>
      <c r="HC26" s="1405"/>
      <c r="HD26" s="1405"/>
      <c r="HE26" s="1405"/>
      <c r="HF26" s="1405"/>
      <c r="HG26" s="1405"/>
      <c r="HH26" s="1405"/>
      <c r="HI26" s="1405"/>
      <c r="HJ26" s="1405"/>
      <c r="HK26" s="1405"/>
      <c r="HL26" s="1405"/>
      <c r="HM26" s="1405"/>
      <c r="HN26" s="1405"/>
      <c r="HO26" s="1405"/>
      <c r="HP26" s="1405"/>
      <c r="HQ26" s="1405"/>
      <c r="HR26" s="1405"/>
      <c r="HS26" s="1405"/>
      <c r="HT26" s="1405"/>
      <c r="HU26" s="1405"/>
      <c r="HV26" s="1405"/>
      <c r="HW26" s="1405"/>
      <c r="HX26" s="1405"/>
      <c r="HY26" s="1405"/>
      <c r="HZ26" s="1405"/>
      <c r="IA26" s="1405"/>
      <c r="IB26" s="1405"/>
      <c r="IC26" s="1405"/>
      <c r="ID26" s="1405"/>
      <c r="IE26" s="1405"/>
      <c r="IF26" s="1405"/>
      <c r="IG26" s="1405"/>
      <c r="IH26" s="1405"/>
      <c r="II26" s="1405"/>
      <c r="IJ26" s="1405"/>
      <c r="IK26" s="1405"/>
      <c r="IL26" s="1405"/>
      <c r="IM26" s="1405"/>
      <c r="IN26" s="1405"/>
      <c r="IO26" s="1405"/>
      <c r="IP26" s="1405"/>
      <c r="IQ26" s="1405"/>
      <c r="IR26" s="1405"/>
      <c r="IS26" s="1405"/>
      <c r="IT26" s="1405"/>
      <c r="IU26" s="1405"/>
      <c r="IV26" s="1405"/>
    </row>
    <row r="27" spans="1:256" ht="31.5" customHeight="1">
      <c r="A27" s="1414"/>
      <c r="B27" s="1418" t="s">
        <v>7121</v>
      </c>
      <c r="C27" s="1414">
        <v>1</v>
      </c>
      <c r="D27" s="1414">
        <v>1</v>
      </c>
      <c r="E27" s="1419">
        <v>20</v>
      </c>
      <c r="F27" s="1419">
        <v>0.35</v>
      </c>
      <c r="G27" s="1419"/>
      <c r="H27" s="1420">
        <f>ROUND(PRODUCT(C27:G27),2)</f>
        <v>7</v>
      </c>
      <c r="I27" s="1410"/>
      <c r="J27" s="1405"/>
      <c r="K27" s="1405"/>
      <c r="L27" s="1405"/>
      <c r="M27" s="1405"/>
      <c r="N27" s="1405"/>
      <c r="O27" s="1405"/>
      <c r="P27" s="1405"/>
      <c r="Q27" s="1405"/>
      <c r="R27" s="1405"/>
      <c r="S27" s="1405"/>
      <c r="T27" s="1405"/>
      <c r="U27" s="1405"/>
      <c r="V27" s="1405"/>
      <c r="W27" s="1405"/>
      <c r="X27" s="1405"/>
      <c r="Y27" s="1405"/>
      <c r="Z27" s="1405"/>
      <c r="AA27" s="1405"/>
      <c r="AB27" s="1405"/>
      <c r="AC27" s="1405"/>
      <c r="AD27" s="1405"/>
      <c r="AE27" s="1405"/>
      <c r="AF27" s="1405"/>
      <c r="AG27" s="1405"/>
      <c r="AH27" s="1405"/>
      <c r="AI27" s="1405"/>
      <c r="AJ27" s="1405"/>
      <c r="AK27" s="1405"/>
      <c r="AL27" s="1405"/>
      <c r="AM27" s="1405"/>
      <c r="AN27" s="1405"/>
      <c r="AO27" s="1405"/>
      <c r="AP27" s="1405"/>
      <c r="AQ27" s="1405"/>
      <c r="AR27" s="1405"/>
      <c r="AS27" s="1405"/>
      <c r="AT27" s="1405"/>
      <c r="AU27" s="1405"/>
      <c r="AV27" s="1405"/>
      <c r="AW27" s="1405"/>
      <c r="AX27" s="1405"/>
      <c r="AY27" s="1405"/>
      <c r="AZ27" s="1405"/>
      <c r="BA27" s="1405"/>
      <c r="BB27" s="1405"/>
      <c r="BC27" s="1405"/>
      <c r="BD27" s="1405"/>
      <c r="BE27" s="1405"/>
      <c r="BF27" s="1405"/>
      <c r="BG27" s="1405"/>
      <c r="BH27" s="1405"/>
      <c r="BI27" s="1405"/>
      <c r="BJ27" s="1405"/>
      <c r="BK27" s="1405"/>
      <c r="BL27" s="1405"/>
      <c r="BM27" s="1405"/>
      <c r="BN27" s="1405"/>
      <c r="BO27" s="1405"/>
      <c r="BP27" s="1405"/>
      <c r="BQ27" s="1405"/>
      <c r="BR27" s="1405"/>
      <c r="BS27" s="1405"/>
      <c r="BT27" s="1405"/>
      <c r="BU27" s="1405"/>
      <c r="BV27" s="1405"/>
      <c r="BW27" s="1405"/>
      <c r="BX27" s="1405"/>
      <c r="BY27" s="1405"/>
      <c r="BZ27" s="1405"/>
      <c r="CA27" s="1405"/>
      <c r="CB27" s="1405"/>
      <c r="CC27" s="1405"/>
      <c r="CD27" s="1405"/>
      <c r="CE27" s="1405"/>
      <c r="CF27" s="1405"/>
      <c r="CG27" s="1405"/>
      <c r="CH27" s="1405"/>
      <c r="CI27" s="1405"/>
      <c r="CJ27" s="1405"/>
      <c r="CK27" s="1405"/>
      <c r="CL27" s="1405"/>
      <c r="CM27" s="1405"/>
      <c r="CN27" s="1405"/>
      <c r="CO27" s="1405"/>
      <c r="CP27" s="1405"/>
      <c r="CQ27" s="1405"/>
      <c r="CR27" s="1405"/>
      <c r="CS27" s="1405"/>
      <c r="CT27" s="1405"/>
      <c r="CU27" s="1405"/>
      <c r="CV27" s="1405"/>
      <c r="CW27" s="1405"/>
      <c r="CX27" s="1405"/>
      <c r="CY27" s="1405"/>
      <c r="CZ27" s="1405"/>
      <c r="DA27" s="1405"/>
      <c r="DB27" s="1405"/>
      <c r="DC27" s="1405"/>
      <c r="DD27" s="1405"/>
      <c r="DE27" s="1405"/>
      <c r="DF27" s="1405"/>
      <c r="DG27" s="1405"/>
      <c r="DH27" s="1405"/>
      <c r="DI27" s="1405"/>
      <c r="DJ27" s="1405"/>
      <c r="DK27" s="1405"/>
      <c r="DL27" s="1405"/>
      <c r="DM27" s="1405"/>
      <c r="DN27" s="1405"/>
      <c r="DO27" s="1405"/>
      <c r="DP27" s="1405"/>
      <c r="DQ27" s="1405"/>
      <c r="DR27" s="1405"/>
      <c r="DS27" s="1405"/>
      <c r="DT27" s="1405"/>
      <c r="DU27" s="1405"/>
      <c r="DV27" s="1405"/>
      <c r="DW27" s="1405"/>
      <c r="DX27" s="1405"/>
      <c r="DY27" s="1405"/>
      <c r="DZ27" s="1405"/>
      <c r="EA27" s="1405"/>
      <c r="EB27" s="1405"/>
      <c r="EC27" s="1405"/>
      <c r="ED27" s="1405"/>
      <c r="EE27" s="1405"/>
      <c r="EF27" s="1405"/>
      <c r="EG27" s="1405"/>
      <c r="EH27" s="1405"/>
      <c r="EI27" s="1405"/>
      <c r="EJ27" s="1405"/>
      <c r="EK27" s="1405"/>
      <c r="EL27" s="1405"/>
      <c r="EM27" s="1405"/>
      <c r="EN27" s="1405"/>
      <c r="EO27" s="1405"/>
      <c r="EP27" s="1405"/>
      <c r="EQ27" s="1405"/>
      <c r="ER27" s="1405"/>
      <c r="ES27" s="1405"/>
      <c r="ET27" s="1405"/>
      <c r="EU27" s="1405"/>
      <c r="EV27" s="1405"/>
      <c r="EW27" s="1405"/>
      <c r="EX27" s="1405"/>
      <c r="EY27" s="1405"/>
      <c r="EZ27" s="1405"/>
      <c r="FA27" s="1405"/>
      <c r="FB27" s="1405"/>
      <c r="FC27" s="1405"/>
      <c r="FD27" s="1405"/>
      <c r="FE27" s="1405"/>
      <c r="FF27" s="1405"/>
      <c r="FG27" s="1405"/>
      <c r="FH27" s="1405"/>
      <c r="FI27" s="1405"/>
      <c r="FJ27" s="1405"/>
      <c r="FK27" s="1405"/>
      <c r="FL27" s="1405"/>
      <c r="FM27" s="1405"/>
      <c r="FN27" s="1405"/>
      <c r="FO27" s="1405"/>
      <c r="FP27" s="1405"/>
      <c r="FQ27" s="1405"/>
      <c r="FR27" s="1405"/>
      <c r="FS27" s="1405"/>
      <c r="FT27" s="1405"/>
      <c r="FU27" s="1405"/>
      <c r="FV27" s="1405"/>
      <c r="FW27" s="1405"/>
      <c r="FX27" s="1405"/>
      <c r="FY27" s="1405"/>
      <c r="FZ27" s="1405"/>
      <c r="GA27" s="1405"/>
      <c r="GB27" s="1405"/>
      <c r="GC27" s="1405"/>
      <c r="GD27" s="1405"/>
      <c r="GE27" s="1405"/>
      <c r="GF27" s="1405"/>
      <c r="GG27" s="1405"/>
      <c r="GH27" s="1405"/>
      <c r="GI27" s="1405"/>
      <c r="GJ27" s="1405"/>
      <c r="GK27" s="1405"/>
      <c r="GL27" s="1405"/>
      <c r="GM27" s="1405"/>
      <c r="GN27" s="1405"/>
      <c r="GO27" s="1405"/>
      <c r="GP27" s="1405"/>
      <c r="GQ27" s="1405"/>
      <c r="GR27" s="1405"/>
      <c r="GS27" s="1405"/>
      <c r="GT27" s="1405"/>
      <c r="GU27" s="1405"/>
      <c r="GV27" s="1405"/>
      <c r="GW27" s="1405"/>
      <c r="GX27" s="1405"/>
      <c r="GY27" s="1405"/>
      <c r="GZ27" s="1405"/>
      <c r="HA27" s="1405"/>
      <c r="HB27" s="1405"/>
      <c r="HC27" s="1405"/>
      <c r="HD27" s="1405"/>
      <c r="HE27" s="1405"/>
      <c r="HF27" s="1405"/>
      <c r="HG27" s="1405"/>
      <c r="HH27" s="1405"/>
      <c r="HI27" s="1405"/>
      <c r="HJ27" s="1405"/>
      <c r="HK27" s="1405"/>
      <c r="HL27" s="1405"/>
      <c r="HM27" s="1405"/>
      <c r="HN27" s="1405"/>
      <c r="HO27" s="1405"/>
      <c r="HP27" s="1405"/>
      <c r="HQ27" s="1405"/>
      <c r="HR27" s="1405"/>
      <c r="HS27" s="1405"/>
      <c r="HT27" s="1405"/>
      <c r="HU27" s="1405"/>
      <c r="HV27" s="1405"/>
      <c r="HW27" s="1405"/>
      <c r="HX27" s="1405"/>
      <c r="HY27" s="1405"/>
      <c r="HZ27" s="1405"/>
      <c r="IA27" s="1405"/>
      <c r="IB27" s="1405"/>
      <c r="IC27" s="1405"/>
      <c r="ID27" s="1405"/>
      <c r="IE27" s="1405"/>
      <c r="IF27" s="1405"/>
      <c r="IG27" s="1405"/>
      <c r="IH27" s="1405"/>
      <c r="II27" s="1405"/>
      <c r="IJ27" s="1405"/>
      <c r="IK27" s="1405"/>
      <c r="IL27" s="1405"/>
      <c r="IM27" s="1405"/>
      <c r="IN27" s="1405"/>
      <c r="IO27" s="1405"/>
      <c r="IP27" s="1405"/>
      <c r="IQ27" s="1405"/>
      <c r="IR27" s="1405"/>
      <c r="IS27" s="1405"/>
      <c r="IT27" s="1405"/>
      <c r="IU27" s="1405"/>
      <c r="IV27" s="1405"/>
    </row>
    <row r="28" spans="1:256" ht="31.5" customHeight="1">
      <c r="A28" s="1414"/>
      <c r="B28" s="1418" t="s">
        <v>7122</v>
      </c>
      <c r="C28" s="1414">
        <v>1</v>
      </c>
      <c r="D28" s="1414">
        <v>1</v>
      </c>
      <c r="E28" s="1419">
        <v>25</v>
      </c>
      <c r="F28" s="1419">
        <v>0.3</v>
      </c>
      <c r="G28" s="1419"/>
      <c r="H28" s="1420">
        <f>ROUND(PRODUCT(C28:G28),2)</f>
        <v>7.5</v>
      </c>
      <c r="I28" s="1410"/>
      <c r="J28" s="1405"/>
      <c r="K28" s="1405"/>
      <c r="L28" s="1405"/>
      <c r="M28" s="1405"/>
      <c r="N28" s="1405"/>
      <c r="O28" s="1405"/>
      <c r="P28" s="1405"/>
      <c r="Q28" s="1405"/>
      <c r="R28" s="1405"/>
      <c r="S28" s="1405"/>
      <c r="T28" s="1405"/>
      <c r="U28" s="1405"/>
      <c r="V28" s="1405"/>
      <c r="W28" s="1405"/>
      <c r="X28" s="1405"/>
      <c r="Y28" s="1405"/>
      <c r="Z28" s="1405"/>
      <c r="AA28" s="1405"/>
      <c r="AB28" s="1405"/>
      <c r="AC28" s="1405"/>
      <c r="AD28" s="1405"/>
      <c r="AE28" s="1405"/>
      <c r="AF28" s="1405"/>
      <c r="AG28" s="1405"/>
      <c r="AH28" s="1405"/>
      <c r="AI28" s="1405"/>
      <c r="AJ28" s="1405"/>
      <c r="AK28" s="1405"/>
      <c r="AL28" s="1405"/>
      <c r="AM28" s="1405"/>
      <c r="AN28" s="1405"/>
      <c r="AO28" s="1405"/>
      <c r="AP28" s="1405"/>
      <c r="AQ28" s="1405"/>
      <c r="AR28" s="1405"/>
      <c r="AS28" s="1405"/>
      <c r="AT28" s="1405"/>
      <c r="AU28" s="1405"/>
      <c r="AV28" s="1405"/>
      <c r="AW28" s="1405"/>
      <c r="AX28" s="1405"/>
      <c r="AY28" s="1405"/>
      <c r="AZ28" s="1405"/>
      <c r="BA28" s="1405"/>
      <c r="BB28" s="1405"/>
      <c r="BC28" s="1405"/>
      <c r="BD28" s="1405"/>
      <c r="BE28" s="1405"/>
      <c r="BF28" s="1405"/>
      <c r="BG28" s="1405"/>
      <c r="BH28" s="1405"/>
      <c r="BI28" s="1405"/>
      <c r="BJ28" s="1405"/>
      <c r="BK28" s="1405"/>
      <c r="BL28" s="1405"/>
      <c r="BM28" s="1405"/>
      <c r="BN28" s="1405"/>
      <c r="BO28" s="1405"/>
      <c r="BP28" s="1405"/>
      <c r="BQ28" s="1405"/>
      <c r="BR28" s="1405"/>
      <c r="BS28" s="1405"/>
      <c r="BT28" s="1405"/>
      <c r="BU28" s="1405"/>
      <c r="BV28" s="1405"/>
      <c r="BW28" s="1405"/>
      <c r="BX28" s="1405"/>
      <c r="BY28" s="1405"/>
      <c r="BZ28" s="1405"/>
      <c r="CA28" s="1405"/>
      <c r="CB28" s="1405"/>
      <c r="CC28" s="1405"/>
      <c r="CD28" s="1405"/>
      <c r="CE28" s="1405"/>
      <c r="CF28" s="1405"/>
      <c r="CG28" s="1405"/>
      <c r="CH28" s="1405"/>
      <c r="CI28" s="1405"/>
      <c r="CJ28" s="1405"/>
      <c r="CK28" s="1405"/>
      <c r="CL28" s="1405"/>
      <c r="CM28" s="1405"/>
      <c r="CN28" s="1405"/>
      <c r="CO28" s="1405"/>
      <c r="CP28" s="1405"/>
      <c r="CQ28" s="1405"/>
      <c r="CR28" s="1405"/>
      <c r="CS28" s="1405"/>
      <c r="CT28" s="1405"/>
      <c r="CU28" s="1405"/>
      <c r="CV28" s="1405"/>
      <c r="CW28" s="1405"/>
      <c r="CX28" s="1405"/>
      <c r="CY28" s="1405"/>
      <c r="CZ28" s="1405"/>
      <c r="DA28" s="1405"/>
      <c r="DB28" s="1405"/>
      <c r="DC28" s="1405"/>
      <c r="DD28" s="1405"/>
      <c r="DE28" s="1405"/>
      <c r="DF28" s="1405"/>
      <c r="DG28" s="1405"/>
      <c r="DH28" s="1405"/>
      <c r="DI28" s="1405"/>
      <c r="DJ28" s="1405"/>
      <c r="DK28" s="1405"/>
      <c r="DL28" s="1405"/>
      <c r="DM28" s="1405"/>
      <c r="DN28" s="1405"/>
      <c r="DO28" s="1405"/>
      <c r="DP28" s="1405"/>
      <c r="DQ28" s="1405"/>
      <c r="DR28" s="1405"/>
      <c r="DS28" s="1405"/>
      <c r="DT28" s="1405"/>
      <c r="DU28" s="1405"/>
      <c r="DV28" s="1405"/>
      <c r="DW28" s="1405"/>
      <c r="DX28" s="1405"/>
      <c r="DY28" s="1405"/>
      <c r="DZ28" s="1405"/>
      <c r="EA28" s="1405"/>
      <c r="EB28" s="1405"/>
      <c r="EC28" s="1405"/>
      <c r="ED28" s="1405"/>
      <c r="EE28" s="1405"/>
      <c r="EF28" s="1405"/>
      <c r="EG28" s="1405"/>
      <c r="EH28" s="1405"/>
      <c r="EI28" s="1405"/>
      <c r="EJ28" s="1405"/>
      <c r="EK28" s="1405"/>
      <c r="EL28" s="1405"/>
      <c r="EM28" s="1405"/>
      <c r="EN28" s="1405"/>
      <c r="EO28" s="1405"/>
      <c r="EP28" s="1405"/>
      <c r="EQ28" s="1405"/>
      <c r="ER28" s="1405"/>
      <c r="ES28" s="1405"/>
      <c r="ET28" s="1405"/>
      <c r="EU28" s="1405"/>
      <c r="EV28" s="1405"/>
      <c r="EW28" s="1405"/>
      <c r="EX28" s="1405"/>
      <c r="EY28" s="1405"/>
      <c r="EZ28" s="1405"/>
      <c r="FA28" s="1405"/>
      <c r="FB28" s="1405"/>
      <c r="FC28" s="1405"/>
      <c r="FD28" s="1405"/>
      <c r="FE28" s="1405"/>
      <c r="FF28" s="1405"/>
      <c r="FG28" s="1405"/>
      <c r="FH28" s="1405"/>
      <c r="FI28" s="1405"/>
      <c r="FJ28" s="1405"/>
      <c r="FK28" s="1405"/>
      <c r="FL28" s="1405"/>
      <c r="FM28" s="1405"/>
      <c r="FN28" s="1405"/>
      <c r="FO28" s="1405"/>
      <c r="FP28" s="1405"/>
      <c r="FQ28" s="1405"/>
      <c r="FR28" s="1405"/>
      <c r="FS28" s="1405"/>
      <c r="FT28" s="1405"/>
      <c r="FU28" s="1405"/>
      <c r="FV28" s="1405"/>
      <c r="FW28" s="1405"/>
      <c r="FX28" s="1405"/>
      <c r="FY28" s="1405"/>
      <c r="FZ28" s="1405"/>
      <c r="GA28" s="1405"/>
      <c r="GB28" s="1405"/>
      <c r="GC28" s="1405"/>
      <c r="GD28" s="1405"/>
      <c r="GE28" s="1405"/>
      <c r="GF28" s="1405"/>
      <c r="GG28" s="1405"/>
      <c r="GH28" s="1405"/>
      <c r="GI28" s="1405"/>
      <c r="GJ28" s="1405"/>
      <c r="GK28" s="1405"/>
      <c r="GL28" s="1405"/>
      <c r="GM28" s="1405"/>
      <c r="GN28" s="1405"/>
      <c r="GO28" s="1405"/>
      <c r="GP28" s="1405"/>
      <c r="GQ28" s="1405"/>
      <c r="GR28" s="1405"/>
      <c r="GS28" s="1405"/>
      <c r="GT28" s="1405"/>
      <c r="GU28" s="1405"/>
      <c r="GV28" s="1405"/>
      <c r="GW28" s="1405"/>
      <c r="GX28" s="1405"/>
      <c r="GY28" s="1405"/>
      <c r="GZ28" s="1405"/>
      <c r="HA28" s="1405"/>
      <c r="HB28" s="1405"/>
      <c r="HC28" s="1405"/>
      <c r="HD28" s="1405"/>
      <c r="HE28" s="1405"/>
      <c r="HF28" s="1405"/>
      <c r="HG28" s="1405"/>
      <c r="HH28" s="1405"/>
      <c r="HI28" s="1405"/>
      <c r="HJ28" s="1405"/>
      <c r="HK28" s="1405"/>
      <c r="HL28" s="1405"/>
      <c r="HM28" s="1405"/>
      <c r="HN28" s="1405"/>
      <c r="HO28" s="1405"/>
      <c r="HP28" s="1405"/>
      <c r="HQ28" s="1405"/>
      <c r="HR28" s="1405"/>
      <c r="HS28" s="1405"/>
      <c r="HT28" s="1405"/>
      <c r="HU28" s="1405"/>
      <c r="HV28" s="1405"/>
      <c r="HW28" s="1405"/>
      <c r="HX28" s="1405"/>
      <c r="HY28" s="1405"/>
      <c r="HZ28" s="1405"/>
      <c r="IA28" s="1405"/>
      <c r="IB28" s="1405"/>
      <c r="IC28" s="1405"/>
      <c r="ID28" s="1405"/>
      <c r="IE28" s="1405"/>
      <c r="IF28" s="1405"/>
      <c r="IG28" s="1405"/>
      <c r="IH28" s="1405"/>
      <c r="II28" s="1405"/>
      <c r="IJ28" s="1405"/>
      <c r="IK28" s="1405"/>
      <c r="IL28" s="1405"/>
      <c r="IM28" s="1405"/>
      <c r="IN28" s="1405"/>
      <c r="IO28" s="1405"/>
      <c r="IP28" s="1405"/>
      <c r="IQ28" s="1405"/>
      <c r="IR28" s="1405"/>
      <c r="IS28" s="1405"/>
      <c r="IT28" s="1405"/>
      <c r="IU28" s="1405"/>
      <c r="IV28" s="1405"/>
    </row>
    <row r="29" spans="1:256" ht="27" customHeight="1">
      <c r="A29" s="1414"/>
      <c r="B29" s="1418"/>
      <c r="C29" s="1414"/>
      <c r="D29" s="1414"/>
      <c r="E29" s="1419"/>
      <c r="F29" s="1419"/>
      <c r="G29" s="1421" t="s">
        <v>2235</v>
      </c>
      <c r="H29" s="1422">
        <f>SUM(H27:H28)</f>
        <v>14.5</v>
      </c>
      <c r="I29" s="1410" t="s">
        <v>7131</v>
      </c>
      <c r="J29" s="1405"/>
      <c r="K29" s="1405"/>
      <c r="L29" s="1405"/>
      <c r="M29" s="1405"/>
      <c r="N29" s="1405"/>
      <c r="O29" s="1405"/>
      <c r="P29" s="1405"/>
      <c r="Q29" s="1405"/>
      <c r="R29" s="1405"/>
      <c r="S29" s="1405"/>
      <c r="T29" s="1405"/>
      <c r="U29" s="1405"/>
      <c r="V29" s="1405"/>
      <c r="W29" s="1405"/>
      <c r="X29" s="1405"/>
      <c r="Y29" s="1405"/>
      <c r="Z29" s="1405"/>
      <c r="AA29" s="1405"/>
      <c r="AB29" s="1405"/>
      <c r="AC29" s="1405"/>
      <c r="AD29" s="1405"/>
      <c r="AE29" s="1405"/>
      <c r="AF29" s="1405"/>
      <c r="AG29" s="1405"/>
      <c r="AH29" s="1405"/>
      <c r="AI29" s="1405"/>
      <c r="AJ29" s="1405"/>
      <c r="AK29" s="1405"/>
      <c r="AL29" s="1405"/>
      <c r="AM29" s="1405"/>
      <c r="AN29" s="1405"/>
      <c r="AO29" s="1405"/>
      <c r="AP29" s="1405"/>
      <c r="AQ29" s="1405"/>
      <c r="AR29" s="1405"/>
      <c r="AS29" s="1405"/>
      <c r="AT29" s="1405"/>
      <c r="AU29" s="1405"/>
      <c r="AV29" s="1405"/>
      <c r="AW29" s="1405"/>
      <c r="AX29" s="1405"/>
      <c r="AY29" s="1405"/>
      <c r="AZ29" s="1405"/>
      <c r="BA29" s="1405"/>
      <c r="BB29" s="1405"/>
      <c r="BC29" s="1405"/>
      <c r="BD29" s="1405"/>
      <c r="BE29" s="1405"/>
      <c r="BF29" s="1405"/>
      <c r="BG29" s="1405"/>
      <c r="BH29" s="1405"/>
      <c r="BI29" s="1405"/>
      <c r="BJ29" s="1405"/>
      <c r="BK29" s="1405"/>
      <c r="BL29" s="1405"/>
      <c r="BM29" s="1405"/>
      <c r="BN29" s="1405"/>
      <c r="BO29" s="1405"/>
      <c r="BP29" s="1405"/>
      <c r="BQ29" s="1405"/>
      <c r="BR29" s="1405"/>
      <c r="BS29" s="1405"/>
      <c r="BT29" s="1405"/>
      <c r="BU29" s="1405"/>
      <c r="BV29" s="1405"/>
      <c r="BW29" s="1405"/>
      <c r="BX29" s="1405"/>
      <c r="BY29" s="1405"/>
      <c r="BZ29" s="1405"/>
      <c r="CA29" s="1405"/>
      <c r="CB29" s="1405"/>
      <c r="CC29" s="1405"/>
      <c r="CD29" s="1405"/>
      <c r="CE29" s="1405"/>
      <c r="CF29" s="1405"/>
      <c r="CG29" s="1405"/>
      <c r="CH29" s="1405"/>
      <c r="CI29" s="1405"/>
      <c r="CJ29" s="1405"/>
      <c r="CK29" s="1405"/>
      <c r="CL29" s="1405"/>
      <c r="CM29" s="1405"/>
      <c r="CN29" s="1405"/>
      <c r="CO29" s="1405"/>
      <c r="CP29" s="1405"/>
      <c r="CQ29" s="1405"/>
      <c r="CR29" s="1405"/>
      <c r="CS29" s="1405"/>
      <c r="CT29" s="1405"/>
      <c r="CU29" s="1405"/>
      <c r="CV29" s="1405"/>
      <c r="CW29" s="1405"/>
      <c r="CX29" s="1405"/>
      <c r="CY29" s="1405"/>
      <c r="CZ29" s="1405"/>
      <c r="DA29" s="1405"/>
      <c r="DB29" s="1405"/>
      <c r="DC29" s="1405"/>
      <c r="DD29" s="1405"/>
      <c r="DE29" s="1405"/>
      <c r="DF29" s="1405"/>
      <c r="DG29" s="1405"/>
      <c r="DH29" s="1405"/>
      <c r="DI29" s="1405"/>
      <c r="DJ29" s="1405"/>
      <c r="DK29" s="1405"/>
      <c r="DL29" s="1405"/>
      <c r="DM29" s="1405"/>
      <c r="DN29" s="1405"/>
      <c r="DO29" s="1405"/>
      <c r="DP29" s="1405"/>
      <c r="DQ29" s="1405"/>
      <c r="DR29" s="1405"/>
      <c r="DS29" s="1405"/>
      <c r="DT29" s="1405"/>
      <c r="DU29" s="1405"/>
      <c r="DV29" s="1405"/>
      <c r="DW29" s="1405"/>
      <c r="DX29" s="1405"/>
      <c r="DY29" s="1405"/>
      <c r="DZ29" s="1405"/>
      <c r="EA29" s="1405"/>
      <c r="EB29" s="1405"/>
      <c r="EC29" s="1405"/>
      <c r="ED29" s="1405"/>
      <c r="EE29" s="1405"/>
      <c r="EF29" s="1405"/>
      <c r="EG29" s="1405"/>
      <c r="EH29" s="1405"/>
      <c r="EI29" s="1405"/>
      <c r="EJ29" s="1405"/>
      <c r="EK29" s="1405"/>
      <c r="EL29" s="1405"/>
      <c r="EM29" s="1405"/>
      <c r="EN29" s="1405"/>
      <c r="EO29" s="1405"/>
      <c r="EP29" s="1405"/>
      <c r="EQ29" s="1405"/>
      <c r="ER29" s="1405"/>
      <c r="ES29" s="1405"/>
      <c r="ET29" s="1405"/>
      <c r="EU29" s="1405"/>
      <c r="EV29" s="1405"/>
      <c r="EW29" s="1405"/>
      <c r="EX29" s="1405"/>
      <c r="EY29" s="1405"/>
      <c r="EZ29" s="1405"/>
      <c r="FA29" s="1405"/>
      <c r="FB29" s="1405"/>
      <c r="FC29" s="1405"/>
      <c r="FD29" s="1405"/>
      <c r="FE29" s="1405"/>
      <c r="FF29" s="1405"/>
      <c r="FG29" s="1405"/>
      <c r="FH29" s="1405"/>
      <c r="FI29" s="1405"/>
      <c r="FJ29" s="1405"/>
      <c r="FK29" s="1405"/>
      <c r="FL29" s="1405"/>
      <c r="FM29" s="1405"/>
      <c r="FN29" s="1405"/>
      <c r="FO29" s="1405"/>
      <c r="FP29" s="1405"/>
      <c r="FQ29" s="1405"/>
      <c r="FR29" s="1405"/>
      <c r="FS29" s="1405"/>
      <c r="FT29" s="1405"/>
      <c r="FU29" s="1405"/>
      <c r="FV29" s="1405"/>
      <c r="FW29" s="1405"/>
      <c r="FX29" s="1405"/>
      <c r="FY29" s="1405"/>
      <c r="FZ29" s="1405"/>
      <c r="GA29" s="1405"/>
      <c r="GB29" s="1405"/>
      <c r="GC29" s="1405"/>
      <c r="GD29" s="1405"/>
      <c r="GE29" s="1405"/>
      <c r="GF29" s="1405"/>
      <c r="GG29" s="1405"/>
      <c r="GH29" s="1405"/>
      <c r="GI29" s="1405"/>
      <c r="GJ29" s="1405"/>
      <c r="GK29" s="1405"/>
      <c r="GL29" s="1405"/>
      <c r="GM29" s="1405"/>
      <c r="GN29" s="1405"/>
      <c r="GO29" s="1405"/>
      <c r="GP29" s="1405"/>
      <c r="GQ29" s="1405"/>
      <c r="GR29" s="1405"/>
      <c r="GS29" s="1405"/>
      <c r="GT29" s="1405"/>
      <c r="GU29" s="1405"/>
      <c r="GV29" s="1405"/>
      <c r="GW29" s="1405"/>
      <c r="GX29" s="1405"/>
      <c r="GY29" s="1405"/>
      <c r="GZ29" s="1405"/>
      <c r="HA29" s="1405"/>
      <c r="HB29" s="1405"/>
      <c r="HC29" s="1405"/>
      <c r="HD29" s="1405"/>
      <c r="HE29" s="1405"/>
      <c r="HF29" s="1405"/>
      <c r="HG29" s="1405"/>
      <c r="HH29" s="1405"/>
      <c r="HI29" s="1405"/>
      <c r="HJ29" s="1405"/>
      <c r="HK29" s="1405"/>
      <c r="HL29" s="1405"/>
      <c r="HM29" s="1405"/>
      <c r="HN29" s="1405"/>
      <c r="HO29" s="1405"/>
      <c r="HP29" s="1405"/>
      <c r="HQ29" s="1405"/>
      <c r="HR29" s="1405"/>
      <c r="HS29" s="1405"/>
      <c r="HT29" s="1405"/>
      <c r="HU29" s="1405"/>
      <c r="HV29" s="1405"/>
      <c r="HW29" s="1405"/>
      <c r="HX29" s="1405"/>
      <c r="HY29" s="1405"/>
      <c r="HZ29" s="1405"/>
      <c r="IA29" s="1405"/>
      <c r="IB29" s="1405"/>
      <c r="IC29" s="1405"/>
      <c r="ID29" s="1405"/>
      <c r="IE29" s="1405"/>
      <c r="IF29" s="1405"/>
      <c r="IG29" s="1405"/>
      <c r="IH29" s="1405"/>
      <c r="II29" s="1405"/>
      <c r="IJ29" s="1405"/>
      <c r="IK29" s="1405"/>
      <c r="IL29" s="1405"/>
      <c r="IM29" s="1405"/>
      <c r="IN29" s="1405"/>
      <c r="IO29" s="1405"/>
      <c r="IP29" s="1405"/>
      <c r="IQ29" s="1405"/>
      <c r="IR29" s="1405"/>
      <c r="IS29" s="1405"/>
      <c r="IT29" s="1405"/>
      <c r="IU29" s="1405"/>
      <c r="IV29" s="1405"/>
    </row>
    <row r="30" spans="1:256" ht="31.5" customHeight="1">
      <c r="A30" s="1414">
        <v>34</v>
      </c>
      <c r="B30" s="1427" t="s">
        <v>7133</v>
      </c>
      <c r="C30" s="1414"/>
      <c r="D30" s="1414"/>
      <c r="E30" s="1419"/>
      <c r="F30" s="1419"/>
      <c r="G30" s="1419"/>
      <c r="H30" s="1420"/>
      <c r="I30" s="1410"/>
      <c r="J30" s="1405"/>
      <c r="K30" s="1405"/>
      <c r="L30" s="1405"/>
      <c r="M30" s="1405"/>
      <c r="N30" s="1405"/>
      <c r="O30" s="1405"/>
      <c r="P30" s="1405"/>
      <c r="Q30" s="1405"/>
      <c r="R30" s="1405"/>
      <c r="S30" s="1405"/>
      <c r="T30" s="1405"/>
      <c r="U30" s="1405"/>
      <c r="V30" s="1405"/>
      <c r="W30" s="1405"/>
      <c r="X30" s="1405"/>
      <c r="Y30" s="1405"/>
      <c r="Z30" s="1405"/>
      <c r="AA30" s="1405"/>
      <c r="AB30" s="1405"/>
      <c r="AC30" s="1405"/>
      <c r="AD30" s="1405"/>
      <c r="AE30" s="1405"/>
      <c r="AF30" s="1405"/>
      <c r="AG30" s="1405"/>
      <c r="AH30" s="1405"/>
      <c r="AI30" s="1405"/>
      <c r="AJ30" s="1405"/>
      <c r="AK30" s="1405"/>
      <c r="AL30" s="1405"/>
      <c r="AM30" s="1405"/>
      <c r="AN30" s="1405"/>
      <c r="AO30" s="1405"/>
      <c r="AP30" s="1405"/>
      <c r="AQ30" s="1405"/>
      <c r="AR30" s="1405"/>
      <c r="AS30" s="1405"/>
      <c r="AT30" s="1405"/>
      <c r="AU30" s="1405"/>
      <c r="AV30" s="1405"/>
      <c r="AW30" s="1405"/>
      <c r="AX30" s="1405"/>
      <c r="AY30" s="1405"/>
      <c r="AZ30" s="1405"/>
      <c r="BA30" s="1405"/>
      <c r="BB30" s="1405"/>
      <c r="BC30" s="1405"/>
      <c r="BD30" s="1405"/>
      <c r="BE30" s="1405"/>
      <c r="BF30" s="1405"/>
      <c r="BG30" s="1405"/>
      <c r="BH30" s="1405"/>
      <c r="BI30" s="1405"/>
      <c r="BJ30" s="1405"/>
      <c r="BK30" s="1405"/>
      <c r="BL30" s="1405"/>
      <c r="BM30" s="1405"/>
      <c r="BN30" s="1405"/>
      <c r="BO30" s="1405"/>
      <c r="BP30" s="1405"/>
      <c r="BQ30" s="1405"/>
      <c r="BR30" s="1405"/>
      <c r="BS30" s="1405"/>
      <c r="BT30" s="1405"/>
      <c r="BU30" s="1405"/>
      <c r="BV30" s="1405"/>
      <c r="BW30" s="1405"/>
      <c r="BX30" s="1405"/>
      <c r="BY30" s="1405"/>
      <c r="BZ30" s="1405"/>
      <c r="CA30" s="1405"/>
      <c r="CB30" s="1405"/>
      <c r="CC30" s="1405"/>
      <c r="CD30" s="1405"/>
      <c r="CE30" s="1405"/>
      <c r="CF30" s="1405"/>
      <c r="CG30" s="1405"/>
      <c r="CH30" s="1405"/>
      <c r="CI30" s="1405"/>
      <c r="CJ30" s="1405"/>
      <c r="CK30" s="1405"/>
      <c r="CL30" s="1405"/>
      <c r="CM30" s="1405"/>
      <c r="CN30" s="1405"/>
      <c r="CO30" s="1405"/>
      <c r="CP30" s="1405"/>
      <c r="CQ30" s="1405"/>
      <c r="CR30" s="1405"/>
      <c r="CS30" s="1405"/>
      <c r="CT30" s="1405"/>
      <c r="CU30" s="1405"/>
      <c r="CV30" s="1405"/>
      <c r="CW30" s="1405"/>
      <c r="CX30" s="1405"/>
      <c r="CY30" s="1405"/>
      <c r="CZ30" s="1405"/>
      <c r="DA30" s="1405"/>
      <c r="DB30" s="1405"/>
      <c r="DC30" s="1405"/>
      <c r="DD30" s="1405"/>
      <c r="DE30" s="1405"/>
      <c r="DF30" s="1405"/>
      <c r="DG30" s="1405"/>
      <c r="DH30" s="1405"/>
      <c r="DI30" s="1405"/>
      <c r="DJ30" s="1405"/>
      <c r="DK30" s="1405"/>
      <c r="DL30" s="1405"/>
      <c r="DM30" s="1405"/>
      <c r="DN30" s="1405"/>
      <c r="DO30" s="1405"/>
      <c r="DP30" s="1405"/>
      <c r="DQ30" s="1405"/>
      <c r="DR30" s="1405"/>
      <c r="DS30" s="1405"/>
      <c r="DT30" s="1405"/>
      <c r="DU30" s="1405"/>
      <c r="DV30" s="1405"/>
      <c r="DW30" s="1405"/>
      <c r="DX30" s="1405"/>
      <c r="DY30" s="1405"/>
      <c r="DZ30" s="1405"/>
      <c r="EA30" s="1405"/>
      <c r="EB30" s="1405"/>
      <c r="EC30" s="1405"/>
      <c r="ED30" s="1405"/>
      <c r="EE30" s="1405"/>
      <c r="EF30" s="1405"/>
      <c r="EG30" s="1405"/>
      <c r="EH30" s="1405"/>
      <c r="EI30" s="1405"/>
      <c r="EJ30" s="1405"/>
      <c r="EK30" s="1405"/>
      <c r="EL30" s="1405"/>
      <c r="EM30" s="1405"/>
      <c r="EN30" s="1405"/>
      <c r="EO30" s="1405"/>
      <c r="EP30" s="1405"/>
      <c r="EQ30" s="1405"/>
      <c r="ER30" s="1405"/>
      <c r="ES30" s="1405"/>
      <c r="ET30" s="1405"/>
      <c r="EU30" s="1405"/>
      <c r="EV30" s="1405"/>
      <c r="EW30" s="1405"/>
      <c r="EX30" s="1405"/>
      <c r="EY30" s="1405"/>
      <c r="EZ30" s="1405"/>
      <c r="FA30" s="1405"/>
      <c r="FB30" s="1405"/>
      <c r="FC30" s="1405"/>
      <c r="FD30" s="1405"/>
      <c r="FE30" s="1405"/>
      <c r="FF30" s="1405"/>
      <c r="FG30" s="1405"/>
      <c r="FH30" s="1405"/>
      <c r="FI30" s="1405"/>
      <c r="FJ30" s="1405"/>
      <c r="FK30" s="1405"/>
      <c r="FL30" s="1405"/>
      <c r="FM30" s="1405"/>
      <c r="FN30" s="1405"/>
      <c r="FO30" s="1405"/>
      <c r="FP30" s="1405"/>
      <c r="FQ30" s="1405"/>
      <c r="FR30" s="1405"/>
      <c r="FS30" s="1405"/>
      <c r="FT30" s="1405"/>
      <c r="FU30" s="1405"/>
      <c r="FV30" s="1405"/>
      <c r="FW30" s="1405"/>
      <c r="FX30" s="1405"/>
      <c r="FY30" s="1405"/>
      <c r="FZ30" s="1405"/>
      <c r="GA30" s="1405"/>
      <c r="GB30" s="1405"/>
      <c r="GC30" s="1405"/>
      <c r="GD30" s="1405"/>
      <c r="GE30" s="1405"/>
      <c r="GF30" s="1405"/>
      <c r="GG30" s="1405"/>
      <c r="GH30" s="1405"/>
      <c r="GI30" s="1405"/>
      <c r="GJ30" s="1405"/>
      <c r="GK30" s="1405"/>
      <c r="GL30" s="1405"/>
      <c r="GM30" s="1405"/>
      <c r="GN30" s="1405"/>
      <c r="GO30" s="1405"/>
      <c r="GP30" s="1405"/>
      <c r="GQ30" s="1405"/>
      <c r="GR30" s="1405"/>
      <c r="GS30" s="1405"/>
      <c r="GT30" s="1405"/>
      <c r="GU30" s="1405"/>
      <c r="GV30" s="1405"/>
      <c r="GW30" s="1405"/>
      <c r="GX30" s="1405"/>
      <c r="GY30" s="1405"/>
      <c r="GZ30" s="1405"/>
      <c r="HA30" s="1405"/>
      <c r="HB30" s="1405"/>
      <c r="HC30" s="1405"/>
      <c r="HD30" s="1405"/>
      <c r="HE30" s="1405"/>
      <c r="HF30" s="1405"/>
      <c r="HG30" s="1405"/>
      <c r="HH30" s="1405"/>
      <c r="HI30" s="1405"/>
      <c r="HJ30" s="1405"/>
      <c r="HK30" s="1405"/>
      <c r="HL30" s="1405"/>
      <c r="HM30" s="1405"/>
      <c r="HN30" s="1405"/>
      <c r="HO30" s="1405"/>
      <c r="HP30" s="1405"/>
      <c r="HQ30" s="1405"/>
      <c r="HR30" s="1405"/>
      <c r="HS30" s="1405"/>
      <c r="HT30" s="1405"/>
      <c r="HU30" s="1405"/>
      <c r="HV30" s="1405"/>
      <c r="HW30" s="1405"/>
      <c r="HX30" s="1405"/>
      <c r="HY30" s="1405"/>
      <c r="HZ30" s="1405"/>
      <c r="IA30" s="1405"/>
      <c r="IB30" s="1405"/>
      <c r="IC30" s="1405"/>
      <c r="ID30" s="1405"/>
      <c r="IE30" s="1405"/>
      <c r="IF30" s="1405"/>
      <c r="IG30" s="1405"/>
      <c r="IH30" s="1405"/>
      <c r="II30" s="1405"/>
      <c r="IJ30" s="1405"/>
      <c r="IK30" s="1405"/>
      <c r="IL30" s="1405"/>
      <c r="IM30" s="1405"/>
      <c r="IN30" s="1405"/>
      <c r="IO30" s="1405"/>
      <c r="IP30" s="1405"/>
      <c r="IQ30" s="1405"/>
      <c r="IR30" s="1405"/>
      <c r="IS30" s="1405"/>
      <c r="IT30" s="1405"/>
      <c r="IU30" s="1405"/>
      <c r="IV30" s="1405"/>
    </row>
    <row r="31" spans="1:256" ht="31.5" customHeight="1">
      <c r="A31" s="1414"/>
      <c r="B31" s="1418" t="s">
        <v>7121</v>
      </c>
      <c r="C31" s="1414">
        <v>1</v>
      </c>
      <c r="D31" s="1414">
        <v>2</v>
      </c>
      <c r="E31" s="1419">
        <v>20</v>
      </c>
      <c r="F31" s="1419"/>
      <c r="G31" s="1419">
        <v>0.45</v>
      </c>
      <c r="H31" s="1420">
        <f>ROUND(PRODUCT(C31:G31),2)</f>
        <v>18</v>
      </c>
      <c r="I31" s="1410"/>
      <c r="J31" s="1405"/>
      <c r="K31" s="1405"/>
      <c r="L31" s="1405"/>
      <c r="M31" s="1405"/>
      <c r="N31" s="1405"/>
      <c r="O31" s="1405"/>
      <c r="P31" s="1405"/>
      <c r="Q31" s="1405"/>
      <c r="R31" s="1405"/>
      <c r="S31" s="1405"/>
      <c r="T31" s="1405"/>
      <c r="U31" s="1405"/>
      <c r="V31" s="1405"/>
      <c r="W31" s="1405"/>
      <c r="X31" s="1405"/>
      <c r="Y31" s="1405"/>
      <c r="Z31" s="1405"/>
      <c r="AA31" s="1405"/>
      <c r="AB31" s="1405"/>
      <c r="AC31" s="1405"/>
      <c r="AD31" s="1405"/>
      <c r="AE31" s="1405"/>
      <c r="AF31" s="1405"/>
      <c r="AG31" s="1405"/>
      <c r="AH31" s="1405"/>
      <c r="AI31" s="1405"/>
      <c r="AJ31" s="1405"/>
      <c r="AK31" s="1405"/>
      <c r="AL31" s="1405"/>
      <c r="AM31" s="1405"/>
      <c r="AN31" s="1405"/>
      <c r="AO31" s="1405"/>
      <c r="AP31" s="1405"/>
      <c r="AQ31" s="1405"/>
      <c r="AR31" s="1405"/>
      <c r="AS31" s="1405"/>
      <c r="AT31" s="1405"/>
      <c r="AU31" s="1405"/>
      <c r="AV31" s="1405"/>
      <c r="AW31" s="1405"/>
      <c r="AX31" s="1405"/>
      <c r="AY31" s="1405"/>
      <c r="AZ31" s="1405"/>
      <c r="BA31" s="1405"/>
      <c r="BB31" s="1405"/>
      <c r="BC31" s="1405"/>
      <c r="BD31" s="1405"/>
      <c r="BE31" s="1405"/>
      <c r="BF31" s="1405"/>
      <c r="BG31" s="1405"/>
      <c r="BH31" s="1405"/>
      <c r="BI31" s="1405"/>
      <c r="BJ31" s="1405"/>
      <c r="BK31" s="1405"/>
      <c r="BL31" s="1405"/>
      <c r="BM31" s="1405"/>
      <c r="BN31" s="1405"/>
      <c r="BO31" s="1405"/>
      <c r="BP31" s="1405"/>
      <c r="BQ31" s="1405"/>
      <c r="BR31" s="1405"/>
      <c r="BS31" s="1405"/>
      <c r="BT31" s="1405"/>
      <c r="BU31" s="1405"/>
      <c r="BV31" s="1405"/>
      <c r="BW31" s="1405"/>
      <c r="BX31" s="1405"/>
      <c r="BY31" s="1405"/>
      <c r="BZ31" s="1405"/>
      <c r="CA31" s="1405"/>
      <c r="CB31" s="1405"/>
      <c r="CC31" s="1405"/>
      <c r="CD31" s="1405"/>
      <c r="CE31" s="1405"/>
      <c r="CF31" s="1405"/>
      <c r="CG31" s="1405"/>
      <c r="CH31" s="1405"/>
      <c r="CI31" s="1405"/>
      <c r="CJ31" s="1405"/>
      <c r="CK31" s="1405"/>
      <c r="CL31" s="1405"/>
      <c r="CM31" s="1405"/>
      <c r="CN31" s="1405"/>
      <c r="CO31" s="1405"/>
      <c r="CP31" s="1405"/>
      <c r="CQ31" s="1405"/>
      <c r="CR31" s="1405"/>
      <c r="CS31" s="1405"/>
      <c r="CT31" s="1405"/>
      <c r="CU31" s="1405"/>
      <c r="CV31" s="1405"/>
      <c r="CW31" s="1405"/>
      <c r="CX31" s="1405"/>
      <c r="CY31" s="1405"/>
      <c r="CZ31" s="1405"/>
      <c r="DA31" s="1405"/>
      <c r="DB31" s="1405"/>
      <c r="DC31" s="1405"/>
      <c r="DD31" s="1405"/>
      <c r="DE31" s="1405"/>
      <c r="DF31" s="1405"/>
      <c r="DG31" s="1405"/>
      <c r="DH31" s="1405"/>
      <c r="DI31" s="1405"/>
      <c r="DJ31" s="1405"/>
      <c r="DK31" s="1405"/>
      <c r="DL31" s="1405"/>
      <c r="DM31" s="1405"/>
      <c r="DN31" s="1405"/>
      <c r="DO31" s="1405"/>
      <c r="DP31" s="1405"/>
      <c r="DQ31" s="1405"/>
      <c r="DR31" s="1405"/>
      <c r="DS31" s="1405"/>
      <c r="DT31" s="1405"/>
      <c r="DU31" s="1405"/>
      <c r="DV31" s="1405"/>
      <c r="DW31" s="1405"/>
      <c r="DX31" s="1405"/>
      <c r="DY31" s="1405"/>
      <c r="DZ31" s="1405"/>
      <c r="EA31" s="1405"/>
      <c r="EB31" s="1405"/>
      <c r="EC31" s="1405"/>
      <c r="ED31" s="1405"/>
      <c r="EE31" s="1405"/>
      <c r="EF31" s="1405"/>
      <c r="EG31" s="1405"/>
      <c r="EH31" s="1405"/>
      <c r="EI31" s="1405"/>
      <c r="EJ31" s="1405"/>
      <c r="EK31" s="1405"/>
      <c r="EL31" s="1405"/>
      <c r="EM31" s="1405"/>
      <c r="EN31" s="1405"/>
      <c r="EO31" s="1405"/>
      <c r="EP31" s="1405"/>
      <c r="EQ31" s="1405"/>
      <c r="ER31" s="1405"/>
      <c r="ES31" s="1405"/>
      <c r="ET31" s="1405"/>
      <c r="EU31" s="1405"/>
      <c r="EV31" s="1405"/>
      <c r="EW31" s="1405"/>
      <c r="EX31" s="1405"/>
      <c r="EY31" s="1405"/>
      <c r="EZ31" s="1405"/>
      <c r="FA31" s="1405"/>
      <c r="FB31" s="1405"/>
      <c r="FC31" s="1405"/>
      <c r="FD31" s="1405"/>
      <c r="FE31" s="1405"/>
      <c r="FF31" s="1405"/>
      <c r="FG31" s="1405"/>
      <c r="FH31" s="1405"/>
      <c r="FI31" s="1405"/>
      <c r="FJ31" s="1405"/>
      <c r="FK31" s="1405"/>
      <c r="FL31" s="1405"/>
      <c r="FM31" s="1405"/>
      <c r="FN31" s="1405"/>
      <c r="FO31" s="1405"/>
      <c r="FP31" s="1405"/>
      <c r="FQ31" s="1405"/>
      <c r="FR31" s="1405"/>
      <c r="FS31" s="1405"/>
      <c r="FT31" s="1405"/>
      <c r="FU31" s="1405"/>
      <c r="FV31" s="1405"/>
      <c r="FW31" s="1405"/>
      <c r="FX31" s="1405"/>
      <c r="FY31" s="1405"/>
      <c r="FZ31" s="1405"/>
      <c r="GA31" s="1405"/>
      <c r="GB31" s="1405"/>
      <c r="GC31" s="1405"/>
      <c r="GD31" s="1405"/>
      <c r="GE31" s="1405"/>
      <c r="GF31" s="1405"/>
      <c r="GG31" s="1405"/>
      <c r="GH31" s="1405"/>
      <c r="GI31" s="1405"/>
      <c r="GJ31" s="1405"/>
      <c r="GK31" s="1405"/>
      <c r="GL31" s="1405"/>
      <c r="GM31" s="1405"/>
      <c r="GN31" s="1405"/>
      <c r="GO31" s="1405"/>
      <c r="GP31" s="1405"/>
      <c r="GQ31" s="1405"/>
      <c r="GR31" s="1405"/>
      <c r="GS31" s="1405"/>
      <c r="GT31" s="1405"/>
      <c r="GU31" s="1405"/>
      <c r="GV31" s="1405"/>
      <c r="GW31" s="1405"/>
      <c r="GX31" s="1405"/>
      <c r="GY31" s="1405"/>
      <c r="GZ31" s="1405"/>
      <c r="HA31" s="1405"/>
      <c r="HB31" s="1405"/>
      <c r="HC31" s="1405"/>
      <c r="HD31" s="1405"/>
      <c r="HE31" s="1405"/>
      <c r="HF31" s="1405"/>
      <c r="HG31" s="1405"/>
      <c r="HH31" s="1405"/>
      <c r="HI31" s="1405"/>
      <c r="HJ31" s="1405"/>
      <c r="HK31" s="1405"/>
      <c r="HL31" s="1405"/>
      <c r="HM31" s="1405"/>
      <c r="HN31" s="1405"/>
      <c r="HO31" s="1405"/>
      <c r="HP31" s="1405"/>
      <c r="HQ31" s="1405"/>
      <c r="HR31" s="1405"/>
      <c r="HS31" s="1405"/>
      <c r="HT31" s="1405"/>
      <c r="HU31" s="1405"/>
      <c r="HV31" s="1405"/>
      <c r="HW31" s="1405"/>
      <c r="HX31" s="1405"/>
      <c r="HY31" s="1405"/>
      <c r="HZ31" s="1405"/>
      <c r="IA31" s="1405"/>
      <c r="IB31" s="1405"/>
      <c r="IC31" s="1405"/>
      <c r="ID31" s="1405"/>
      <c r="IE31" s="1405"/>
      <c r="IF31" s="1405"/>
      <c r="IG31" s="1405"/>
      <c r="IH31" s="1405"/>
      <c r="II31" s="1405"/>
      <c r="IJ31" s="1405"/>
      <c r="IK31" s="1405"/>
      <c r="IL31" s="1405"/>
      <c r="IM31" s="1405"/>
      <c r="IN31" s="1405"/>
      <c r="IO31" s="1405"/>
      <c r="IP31" s="1405"/>
      <c r="IQ31" s="1405"/>
      <c r="IR31" s="1405"/>
      <c r="IS31" s="1405"/>
      <c r="IT31" s="1405"/>
      <c r="IU31" s="1405"/>
      <c r="IV31" s="1405"/>
    </row>
    <row r="32" spans="1:256" ht="31.5" customHeight="1">
      <c r="A32" s="1414"/>
      <c r="B32" s="1418" t="s">
        <v>7122</v>
      </c>
      <c r="C32" s="1414">
        <v>1</v>
      </c>
      <c r="D32" s="1414">
        <v>1</v>
      </c>
      <c r="E32" s="1419">
        <v>25</v>
      </c>
      <c r="F32" s="1419"/>
      <c r="G32" s="1419">
        <v>0.6</v>
      </c>
      <c r="H32" s="1420">
        <f>ROUND(PRODUCT(C32:G32),2)</f>
        <v>15</v>
      </c>
      <c r="I32" s="1410"/>
      <c r="J32" s="1405"/>
      <c r="K32" s="1405"/>
      <c r="L32" s="1405"/>
      <c r="M32" s="1405"/>
      <c r="N32" s="1405"/>
      <c r="O32" s="1405"/>
      <c r="P32" s="1405"/>
      <c r="Q32" s="1405"/>
      <c r="R32" s="1405"/>
      <c r="S32" s="1405"/>
      <c r="T32" s="1405"/>
      <c r="U32" s="1405"/>
      <c r="V32" s="1405"/>
      <c r="W32" s="1405"/>
      <c r="X32" s="1405"/>
      <c r="Y32" s="1405"/>
      <c r="Z32" s="1405"/>
      <c r="AA32" s="1405"/>
      <c r="AB32" s="1405"/>
      <c r="AC32" s="1405"/>
      <c r="AD32" s="1405"/>
      <c r="AE32" s="1405"/>
      <c r="AF32" s="1405"/>
      <c r="AG32" s="1405"/>
      <c r="AH32" s="1405"/>
      <c r="AI32" s="1405"/>
      <c r="AJ32" s="1405"/>
      <c r="AK32" s="1405"/>
      <c r="AL32" s="1405"/>
      <c r="AM32" s="1405"/>
      <c r="AN32" s="1405"/>
      <c r="AO32" s="1405"/>
      <c r="AP32" s="1405"/>
      <c r="AQ32" s="1405"/>
      <c r="AR32" s="1405"/>
      <c r="AS32" s="1405"/>
      <c r="AT32" s="1405"/>
      <c r="AU32" s="1405"/>
      <c r="AV32" s="1405"/>
      <c r="AW32" s="1405"/>
      <c r="AX32" s="1405"/>
      <c r="AY32" s="1405"/>
      <c r="AZ32" s="1405"/>
      <c r="BA32" s="1405"/>
      <c r="BB32" s="1405"/>
      <c r="BC32" s="1405"/>
      <c r="BD32" s="1405"/>
      <c r="BE32" s="1405"/>
      <c r="BF32" s="1405"/>
      <c r="BG32" s="1405"/>
      <c r="BH32" s="1405"/>
      <c r="BI32" s="1405"/>
      <c r="BJ32" s="1405"/>
      <c r="BK32" s="1405"/>
      <c r="BL32" s="1405"/>
      <c r="BM32" s="1405"/>
      <c r="BN32" s="1405"/>
      <c r="BO32" s="1405"/>
      <c r="BP32" s="1405"/>
      <c r="BQ32" s="1405"/>
      <c r="BR32" s="1405"/>
      <c r="BS32" s="1405"/>
      <c r="BT32" s="1405"/>
      <c r="BU32" s="1405"/>
      <c r="BV32" s="1405"/>
      <c r="BW32" s="1405"/>
      <c r="BX32" s="1405"/>
      <c r="BY32" s="1405"/>
      <c r="BZ32" s="1405"/>
      <c r="CA32" s="1405"/>
      <c r="CB32" s="1405"/>
      <c r="CC32" s="1405"/>
      <c r="CD32" s="1405"/>
      <c r="CE32" s="1405"/>
      <c r="CF32" s="1405"/>
      <c r="CG32" s="1405"/>
      <c r="CH32" s="1405"/>
      <c r="CI32" s="1405"/>
      <c r="CJ32" s="1405"/>
      <c r="CK32" s="1405"/>
      <c r="CL32" s="1405"/>
      <c r="CM32" s="1405"/>
      <c r="CN32" s="1405"/>
      <c r="CO32" s="1405"/>
      <c r="CP32" s="1405"/>
      <c r="CQ32" s="1405"/>
      <c r="CR32" s="1405"/>
      <c r="CS32" s="1405"/>
      <c r="CT32" s="1405"/>
      <c r="CU32" s="1405"/>
      <c r="CV32" s="1405"/>
      <c r="CW32" s="1405"/>
      <c r="CX32" s="1405"/>
      <c r="CY32" s="1405"/>
      <c r="CZ32" s="1405"/>
      <c r="DA32" s="1405"/>
      <c r="DB32" s="1405"/>
      <c r="DC32" s="1405"/>
      <c r="DD32" s="1405"/>
      <c r="DE32" s="1405"/>
      <c r="DF32" s="1405"/>
      <c r="DG32" s="1405"/>
      <c r="DH32" s="1405"/>
      <c r="DI32" s="1405"/>
      <c r="DJ32" s="1405"/>
      <c r="DK32" s="1405"/>
      <c r="DL32" s="1405"/>
      <c r="DM32" s="1405"/>
      <c r="DN32" s="1405"/>
      <c r="DO32" s="1405"/>
      <c r="DP32" s="1405"/>
      <c r="DQ32" s="1405"/>
      <c r="DR32" s="1405"/>
      <c r="DS32" s="1405"/>
      <c r="DT32" s="1405"/>
      <c r="DU32" s="1405"/>
      <c r="DV32" s="1405"/>
      <c r="DW32" s="1405"/>
      <c r="DX32" s="1405"/>
      <c r="DY32" s="1405"/>
      <c r="DZ32" s="1405"/>
      <c r="EA32" s="1405"/>
      <c r="EB32" s="1405"/>
      <c r="EC32" s="1405"/>
      <c r="ED32" s="1405"/>
      <c r="EE32" s="1405"/>
      <c r="EF32" s="1405"/>
      <c r="EG32" s="1405"/>
      <c r="EH32" s="1405"/>
      <c r="EI32" s="1405"/>
      <c r="EJ32" s="1405"/>
      <c r="EK32" s="1405"/>
      <c r="EL32" s="1405"/>
      <c r="EM32" s="1405"/>
      <c r="EN32" s="1405"/>
      <c r="EO32" s="1405"/>
      <c r="EP32" s="1405"/>
      <c r="EQ32" s="1405"/>
      <c r="ER32" s="1405"/>
      <c r="ES32" s="1405"/>
      <c r="ET32" s="1405"/>
      <c r="EU32" s="1405"/>
      <c r="EV32" s="1405"/>
      <c r="EW32" s="1405"/>
      <c r="EX32" s="1405"/>
      <c r="EY32" s="1405"/>
      <c r="EZ32" s="1405"/>
      <c r="FA32" s="1405"/>
      <c r="FB32" s="1405"/>
      <c r="FC32" s="1405"/>
      <c r="FD32" s="1405"/>
      <c r="FE32" s="1405"/>
      <c r="FF32" s="1405"/>
      <c r="FG32" s="1405"/>
      <c r="FH32" s="1405"/>
      <c r="FI32" s="1405"/>
      <c r="FJ32" s="1405"/>
      <c r="FK32" s="1405"/>
      <c r="FL32" s="1405"/>
      <c r="FM32" s="1405"/>
      <c r="FN32" s="1405"/>
      <c r="FO32" s="1405"/>
      <c r="FP32" s="1405"/>
      <c r="FQ32" s="1405"/>
      <c r="FR32" s="1405"/>
      <c r="FS32" s="1405"/>
      <c r="FT32" s="1405"/>
      <c r="FU32" s="1405"/>
      <c r="FV32" s="1405"/>
      <c r="FW32" s="1405"/>
      <c r="FX32" s="1405"/>
      <c r="FY32" s="1405"/>
      <c r="FZ32" s="1405"/>
      <c r="GA32" s="1405"/>
      <c r="GB32" s="1405"/>
      <c r="GC32" s="1405"/>
      <c r="GD32" s="1405"/>
      <c r="GE32" s="1405"/>
      <c r="GF32" s="1405"/>
      <c r="GG32" s="1405"/>
      <c r="GH32" s="1405"/>
      <c r="GI32" s="1405"/>
      <c r="GJ32" s="1405"/>
      <c r="GK32" s="1405"/>
      <c r="GL32" s="1405"/>
      <c r="GM32" s="1405"/>
      <c r="GN32" s="1405"/>
      <c r="GO32" s="1405"/>
      <c r="GP32" s="1405"/>
      <c r="GQ32" s="1405"/>
      <c r="GR32" s="1405"/>
      <c r="GS32" s="1405"/>
      <c r="GT32" s="1405"/>
      <c r="GU32" s="1405"/>
      <c r="GV32" s="1405"/>
      <c r="GW32" s="1405"/>
      <c r="GX32" s="1405"/>
      <c r="GY32" s="1405"/>
      <c r="GZ32" s="1405"/>
      <c r="HA32" s="1405"/>
      <c r="HB32" s="1405"/>
      <c r="HC32" s="1405"/>
      <c r="HD32" s="1405"/>
      <c r="HE32" s="1405"/>
      <c r="HF32" s="1405"/>
      <c r="HG32" s="1405"/>
      <c r="HH32" s="1405"/>
      <c r="HI32" s="1405"/>
      <c r="HJ32" s="1405"/>
      <c r="HK32" s="1405"/>
      <c r="HL32" s="1405"/>
      <c r="HM32" s="1405"/>
      <c r="HN32" s="1405"/>
      <c r="HO32" s="1405"/>
      <c r="HP32" s="1405"/>
      <c r="HQ32" s="1405"/>
      <c r="HR32" s="1405"/>
      <c r="HS32" s="1405"/>
      <c r="HT32" s="1405"/>
      <c r="HU32" s="1405"/>
      <c r="HV32" s="1405"/>
      <c r="HW32" s="1405"/>
      <c r="HX32" s="1405"/>
      <c r="HY32" s="1405"/>
      <c r="HZ32" s="1405"/>
      <c r="IA32" s="1405"/>
      <c r="IB32" s="1405"/>
      <c r="IC32" s="1405"/>
      <c r="ID32" s="1405"/>
      <c r="IE32" s="1405"/>
      <c r="IF32" s="1405"/>
      <c r="IG32" s="1405"/>
      <c r="IH32" s="1405"/>
      <c r="II32" s="1405"/>
      <c r="IJ32" s="1405"/>
      <c r="IK32" s="1405"/>
      <c r="IL32" s="1405"/>
      <c r="IM32" s="1405"/>
      <c r="IN32" s="1405"/>
      <c r="IO32" s="1405"/>
      <c r="IP32" s="1405"/>
      <c r="IQ32" s="1405"/>
      <c r="IR32" s="1405"/>
      <c r="IS32" s="1405"/>
      <c r="IT32" s="1405"/>
      <c r="IU32" s="1405"/>
      <c r="IV32" s="1405"/>
    </row>
    <row r="33" spans="1:256" ht="31.5" customHeight="1">
      <c r="A33" s="1414"/>
      <c r="B33" s="1418"/>
      <c r="C33" s="1414"/>
      <c r="D33" s="1414"/>
      <c r="E33" s="1419"/>
      <c r="F33" s="1419"/>
      <c r="G33" s="1421" t="s">
        <v>2235</v>
      </c>
      <c r="H33" s="1422">
        <f>SUM(H31:H32)</f>
        <v>33</v>
      </c>
      <c r="I33" s="1410" t="s">
        <v>7131</v>
      </c>
      <c r="J33" s="1405"/>
      <c r="K33" s="1405"/>
      <c r="L33" s="1405"/>
      <c r="M33" s="1405"/>
      <c r="N33" s="1405"/>
      <c r="O33" s="1405"/>
      <c r="P33" s="1405"/>
      <c r="Q33" s="1405"/>
      <c r="R33" s="1405"/>
      <c r="S33" s="1405"/>
      <c r="T33" s="1405"/>
      <c r="U33" s="1405"/>
      <c r="V33" s="1405"/>
      <c r="W33" s="1405"/>
      <c r="X33" s="1405"/>
      <c r="Y33" s="1405"/>
      <c r="Z33" s="1405"/>
      <c r="AA33" s="1405"/>
      <c r="AB33" s="1405"/>
      <c r="AC33" s="1405"/>
      <c r="AD33" s="1405"/>
      <c r="AE33" s="1405"/>
      <c r="AF33" s="1405"/>
      <c r="AG33" s="1405"/>
      <c r="AH33" s="1405"/>
      <c r="AI33" s="1405"/>
      <c r="AJ33" s="1405"/>
      <c r="AK33" s="1405"/>
      <c r="AL33" s="1405"/>
      <c r="AM33" s="1405"/>
      <c r="AN33" s="1405"/>
      <c r="AO33" s="1405"/>
      <c r="AP33" s="1405"/>
      <c r="AQ33" s="1405"/>
      <c r="AR33" s="1405"/>
      <c r="AS33" s="1405"/>
      <c r="AT33" s="1405"/>
      <c r="AU33" s="1405"/>
      <c r="AV33" s="1405"/>
      <c r="AW33" s="1405"/>
      <c r="AX33" s="1405"/>
      <c r="AY33" s="1405"/>
      <c r="AZ33" s="1405"/>
      <c r="BA33" s="1405"/>
      <c r="BB33" s="1405"/>
      <c r="BC33" s="1405"/>
      <c r="BD33" s="1405"/>
      <c r="BE33" s="1405"/>
      <c r="BF33" s="1405"/>
      <c r="BG33" s="1405"/>
      <c r="BH33" s="1405"/>
      <c r="BI33" s="1405"/>
      <c r="BJ33" s="1405"/>
      <c r="BK33" s="1405"/>
      <c r="BL33" s="1405"/>
      <c r="BM33" s="1405"/>
      <c r="BN33" s="1405"/>
      <c r="BO33" s="1405"/>
      <c r="BP33" s="1405"/>
      <c r="BQ33" s="1405"/>
      <c r="BR33" s="1405"/>
      <c r="BS33" s="1405"/>
      <c r="BT33" s="1405"/>
      <c r="BU33" s="1405"/>
      <c r="BV33" s="1405"/>
      <c r="BW33" s="1405"/>
      <c r="BX33" s="1405"/>
      <c r="BY33" s="1405"/>
      <c r="BZ33" s="1405"/>
      <c r="CA33" s="1405"/>
      <c r="CB33" s="1405"/>
      <c r="CC33" s="1405"/>
      <c r="CD33" s="1405"/>
      <c r="CE33" s="1405"/>
      <c r="CF33" s="1405"/>
      <c r="CG33" s="1405"/>
      <c r="CH33" s="1405"/>
      <c r="CI33" s="1405"/>
      <c r="CJ33" s="1405"/>
      <c r="CK33" s="1405"/>
      <c r="CL33" s="1405"/>
      <c r="CM33" s="1405"/>
      <c r="CN33" s="1405"/>
      <c r="CO33" s="1405"/>
      <c r="CP33" s="1405"/>
      <c r="CQ33" s="1405"/>
      <c r="CR33" s="1405"/>
      <c r="CS33" s="1405"/>
      <c r="CT33" s="1405"/>
      <c r="CU33" s="1405"/>
      <c r="CV33" s="1405"/>
      <c r="CW33" s="1405"/>
      <c r="CX33" s="1405"/>
      <c r="CY33" s="1405"/>
      <c r="CZ33" s="1405"/>
      <c r="DA33" s="1405"/>
      <c r="DB33" s="1405"/>
      <c r="DC33" s="1405"/>
      <c r="DD33" s="1405"/>
      <c r="DE33" s="1405"/>
      <c r="DF33" s="1405"/>
      <c r="DG33" s="1405"/>
      <c r="DH33" s="1405"/>
      <c r="DI33" s="1405"/>
      <c r="DJ33" s="1405"/>
      <c r="DK33" s="1405"/>
      <c r="DL33" s="1405"/>
      <c r="DM33" s="1405"/>
      <c r="DN33" s="1405"/>
      <c r="DO33" s="1405"/>
      <c r="DP33" s="1405"/>
      <c r="DQ33" s="1405"/>
      <c r="DR33" s="1405"/>
      <c r="DS33" s="1405"/>
      <c r="DT33" s="1405"/>
      <c r="DU33" s="1405"/>
      <c r="DV33" s="1405"/>
      <c r="DW33" s="1405"/>
      <c r="DX33" s="1405"/>
      <c r="DY33" s="1405"/>
      <c r="DZ33" s="1405"/>
      <c r="EA33" s="1405"/>
      <c r="EB33" s="1405"/>
      <c r="EC33" s="1405"/>
      <c r="ED33" s="1405"/>
      <c r="EE33" s="1405"/>
      <c r="EF33" s="1405"/>
      <c r="EG33" s="1405"/>
      <c r="EH33" s="1405"/>
      <c r="EI33" s="1405"/>
      <c r="EJ33" s="1405"/>
      <c r="EK33" s="1405"/>
      <c r="EL33" s="1405"/>
      <c r="EM33" s="1405"/>
      <c r="EN33" s="1405"/>
      <c r="EO33" s="1405"/>
      <c r="EP33" s="1405"/>
      <c r="EQ33" s="1405"/>
      <c r="ER33" s="1405"/>
      <c r="ES33" s="1405"/>
      <c r="ET33" s="1405"/>
      <c r="EU33" s="1405"/>
      <c r="EV33" s="1405"/>
      <c r="EW33" s="1405"/>
      <c r="EX33" s="1405"/>
      <c r="EY33" s="1405"/>
      <c r="EZ33" s="1405"/>
      <c r="FA33" s="1405"/>
      <c r="FB33" s="1405"/>
      <c r="FC33" s="1405"/>
      <c r="FD33" s="1405"/>
      <c r="FE33" s="1405"/>
      <c r="FF33" s="1405"/>
      <c r="FG33" s="1405"/>
      <c r="FH33" s="1405"/>
      <c r="FI33" s="1405"/>
      <c r="FJ33" s="1405"/>
      <c r="FK33" s="1405"/>
      <c r="FL33" s="1405"/>
      <c r="FM33" s="1405"/>
      <c r="FN33" s="1405"/>
      <c r="FO33" s="1405"/>
      <c r="FP33" s="1405"/>
      <c r="FQ33" s="1405"/>
      <c r="FR33" s="1405"/>
      <c r="FS33" s="1405"/>
      <c r="FT33" s="1405"/>
      <c r="FU33" s="1405"/>
      <c r="FV33" s="1405"/>
      <c r="FW33" s="1405"/>
      <c r="FX33" s="1405"/>
      <c r="FY33" s="1405"/>
      <c r="FZ33" s="1405"/>
      <c r="GA33" s="1405"/>
      <c r="GB33" s="1405"/>
      <c r="GC33" s="1405"/>
      <c r="GD33" s="1405"/>
      <c r="GE33" s="1405"/>
      <c r="GF33" s="1405"/>
      <c r="GG33" s="1405"/>
      <c r="GH33" s="1405"/>
      <c r="GI33" s="1405"/>
      <c r="GJ33" s="1405"/>
      <c r="GK33" s="1405"/>
      <c r="GL33" s="1405"/>
      <c r="GM33" s="1405"/>
      <c r="GN33" s="1405"/>
      <c r="GO33" s="1405"/>
      <c r="GP33" s="1405"/>
      <c r="GQ33" s="1405"/>
      <c r="GR33" s="1405"/>
      <c r="GS33" s="1405"/>
      <c r="GT33" s="1405"/>
      <c r="GU33" s="1405"/>
      <c r="GV33" s="1405"/>
      <c r="GW33" s="1405"/>
      <c r="GX33" s="1405"/>
      <c r="GY33" s="1405"/>
      <c r="GZ33" s="1405"/>
      <c r="HA33" s="1405"/>
      <c r="HB33" s="1405"/>
      <c r="HC33" s="1405"/>
      <c r="HD33" s="1405"/>
      <c r="HE33" s="1405"/>
      <c r="HF33" s="1405"/>
      <c r="HG33" s="1405"/>
      <c r="HH33" s="1405"/>
      <c r="HI33" s="1405"/>
      <c r="HJ33" s="1405"/>
      <c r="HK33" s="1405"/>
      <c r="HL33" s="1405"/>
      <c r="HM33" s="1405"/>
      <c r="HN33" s="1405"/>
      <c r="HO33" s="1405"/>
      <c r="HP33" s="1405"/>
      <c r="HQ33" s="1405"/>
      <c r="HR33" s="1405"/>
      <c r="HS33" s="1405"/>
      <c r="HT33" s="1405"/>
      <c r="HU33" s="1405"/>
      <c r="HV33" s="1405"/>
      <c r="HW33" s="1405"/>
      <c r="HX33" s="1405"/>
      <c r="HY33" s="1405"/>
      <c r="HZ33" s="1405"/>
      <c r="IA33" s="1405"/>
      <c r="IB33" s="1405"/>
      <c r="IC33" s="1405"/>
      <c r="ID33" s="1405"/>
      <c r="IE33" s="1405"/>
      <c r="IF33" s="1405"/>
      <c r="IG33" s="1405"/>
      <c r="IH33" s="1405"/>
      <c r="II33" s="1405"/>
      <c r="IJ33" s="1405"/>
      <c r="IK33" s="1405"/>
      <c r="IL33" s="1405"/>
      <c r="IM33" s="1405"/>
      <c r="IN33" s="1405"/>
      <c r="IO33" s="1405"/>
      <c r="IP33" s="1405"/>
      <c r="IQ33" s="1405"/>
      <c r="IR33" s="1405"/>
      <c r="IS33" s="1405"/>
      <c r="IT33" s="1405"/>
      <c r="IU33" s="1405"/>
      <c r="IV33" s="1405"/>
    </row>
    <row r="34" spans="1:256" ht="31.5" customHeight="1">
      <c r="A34" s="1414">
        <v>33</v>
      </c>
      <c r="B34" s="1415" t="s">
        <v>7134</v>
      </c>
      <c r="C34" s="1415"/>
      <c r="D34" s="1415"/>
      <c r="E34" s="1415"/>
      <c r="F34" s="1415"/>
      <c r="G34" s="1416"/>
      <c r="H34" s="1417"/>
      <c r="I34" s="1410"/>
      <c r="J34" s="1405"/>
      <c r="K34" s="1405"/>
      <c r="L34" s="1405"/>
      <c r="M34" s="1405"/>
      <c r="N34" s="1405"/>
      <c r="O34" s="1405"/>
      <c r="P34" s="1405"/>
      <c r="Q34" s="1405"/>
      <c r="R34" s="1405"/>
      <c r="S34" s="1405"/>
      <c r="T34" s="1405"/>
      <c r="U34" s="1405"/>
      <c r="V34" s="1405"/>
      <c r="W34" s="1405"/>
      <c r="X34" s="1405"/>
      <c r="Y34" s="1405"/>
      <c r="Z34" s="1405"/>
      <c r="AA34" s="1405"/>
      <c r="AB34" s="1405"/>
      <c r="AC34" s="1405"/>
      <c r="AD34" s="1405"/>
      <c r="AE34" s="1405"/>
      <c r="AF34" s="1405"/>
      <c r="AG34" s="1405"/>
      <c r="AH34" s="1405"/>
      <c r="AI34" s="1405"/>
      <c r="AJ34" s="1405"/>
      <c r="AK34" s="1405"/>
      <c r="AL34" s="1405"/>
      <c r="AM34" s="1405"/>
      <c r="AN34" s="1405"/>
      <c r="AO34" s="1405"/>
      <c r="AP34" s="1405"/>
      <c r="AQ34" s="1405"/>
      <c r="AR34" s="1405"/>
      <c r="AS34" s="1405"/>
      <c r="AT34" s="1405"/>
      <c r="AU34" s="1405"/>
      <c r="AV34" s="1405"/>
      <c r="AW34" s="1405"/>
      <c r="AX34" s="1405"/>
      <c r="AY34" s="1405"/>
      <c r="AZ34" s="1405"/>
      <c r="BA34" s="1405"/>
      <c r="BB34" s="1405"/>
      <c r="BC34" s="1405"/>
      <c r="BD34" s="1405"/>
      <c r="BE34" s="1405"/>
      <c r="BF34" s="1405"/>
      <c r="BG34" s="1405"/>
      <c r="BH34" s="1405"/>
      <c r="BI34" s="1405"/>
      <c r="BJ34" s="1405"/>
      <c r="BK34" s="1405"/>
      <c r="BL34" s="1405"/>
      <c r="BM34" s="1405"/>
      <c r="BN34" s="1405"/>
      <c r="BO34" s="1405"/>
      <c r="BP34" s="1405"/>
      <c r="BQ34" s="1405"/>
      <c r="BR34" s="1405"/>
      <c r="BS34" s="1405"/>
      <c r="BT34" s="1405"/>
      <c r="BU34" s="1405"/>
      <c r="BV34" s="1405"/>
      <c r="BW34" s="1405"/>
      <c r="BX34" s="1405"/>
      <c r="BY34" s="1405"/>
      <c r="BZ34" s="1405"/>
      <c r="CA34" s="1405"/>
      <c r="CB34" s="1405"/>
      <c r="CC34" s="1405"/>
      <c r="CD34" s="1405"/>
      <c r="CE34" s="1405"/>
      <c r="CF34" s="1405"/>
      <c r="CG34" s="1405"/>
      <c r="CH34" s="1405"/>
      <c r="CI34" s="1405"/>
      <c r="CJ34" s="1405"/>
      <c r="CK34" s="1405"/>
      <c r="CL34" s="1405"/>
      <c r="CM34" s="1405"/>
      <c r="CN34" s="1405"/>
      <c r="CO34" s="1405"/>
      <c r="CP34" s="1405"/>
      <c r="CQ34" s="1405"/>
      <c r="CR34" s="1405"/>
      <c r="CS34" s="1405"/>
      <c r="CT34" s="1405"/>
      <c r="CU34" s="1405"/>
      <c r="CV34" s="1405"/>
      <c r="CW34" s="1405"/>
      <c r="CX34" s="1405"/>
      <c r="CY34" s="1405"/>
      <c r="CZ34" s="1405"/>
      <c r="DA34" s="1405"/>
      <c r="DB34" s="1405"/>
      <c r="DC34" s="1405"/>
      <c r="DD34" s="1405"/>
      <c r="DE34" s="1405"/>
      <c r="DF34" s="1405"/>
      <c r="DG34" s="1405"/>
      <c r="DH34" s="1405"/>
      <c r="DI34" s="1405"/>
      <c r="DJ34" s="1405"/>
      <c r="DK34" s="1405"/>
      <c r="DL34" s="1405"/>
      <c r="DM34" s="1405"/>
      <c r="DN34" s="1405"/>
      <c r="DO34" s="1405"/>
      <c r="DP34" s="1405"/>
      <c r="DQ34" s="1405"/>
      <c r="DR34" s="1405"/>
      <c r="DS34" s="1405"/>
      <c r="DT34" s="1405"/>
      <c r="DU34" s="1405"/>
      <c r="DV34" s="1405"/>
      <c r="DW34" s="1405"/>
      <c r="DX34" s="1405"/>
      <c r="DY34" s="1405"/>
      <c r="DZ34" s="1405"/>
      <c r="EA34" s="1405"/>
      <c r="EB34" s="1405"/>
      <c r="EC34" s="1405"/>
      <c r="ED34" s="1405"/>
      <c r="EE34" s="1405"/>
      <c r="EF34" s="1405"/>
      <c r="EG34" s="1405"/>
      <c r="EH34" s="1405"/>
      <c r="EI34" s="1405"/>
      <c r="EJ34" s="1405"/>
      <c r="EK34" s="1405"/>
      <c r="EL34" s="1405"/>
      <c r="EM34" s="1405"/>
      <c r="EN34" s="1405"/>
      <c r="EO34" s="1405"/>
      <c r="EP34" s="1405"/>
      <c r="EQ34" s="1405"/>
      <c r="ER34" s="1405"/>
      <c r="ES34" s="1405"/>
      <c r="ET34" s="1405"/>
      <c r="EU34" s="1405"/>
      <c r="EV34" s="1405"/>
      <c r="EW34" s="1405"/>
      <c r="EX34" s="1405"/>
      <c r="EY34" s="1405"/>
      <c r="EZ34" s="1405"/>
      <c r="FA34" s="1405"/>
      <c r="FB34" s="1405"/>
      <c r="FC34" s="1405"/>
      <c r="FD34" s="1405"/>
      <c r="FE34" s="1405"/>
      <c r="FF34" s="1405"/>
      <c r="FG34" s="1405"/>
      <c r="FH34" s="1405"/>
      <c r="FI34" s="1405"/>
      <c r="FJ34" s="1405"/>
      <c r="FK34" s="1405"/>
      <c r="FL34" s="1405"/>
      <c r="FM34" s="1405"/>
      <c r="FN34" s="1405"/>
      <c r="FO34" s="1405"/>
      <c r="FP34" s="1405"/>
      <c r="FQ34" s="1405"/>
      <c r="FR34" s="1405"/>
      <c r="FS34" s="1405"/>
      <c r="FT34" s="1405"/>
      <c r="FU34" s="1405"/>
      <c r="FV34" s="1405"/>
      <c r="FW34" s="1405"/>
      <c r="FX34" s="1405"/>
      <c r="FY34" s="1405"/>
      <c r="FZ34" s="1405"/>
      <c r="GA34" s="1405"/>
      <c r="GB34" s="1405"/>
      <c r="GC34" s="1405"/>
      <c r="GD34" s="1405"/>
      <c r="GE34" s="1405"/>
      <c r="GF34" s="1405"/>
      <c r="GG34" s="1405"/>
      <c r="GH34" s="1405"/>
      <c r="GI34" s="1405"/>
      <c r="GJ34" s="1405"/>
      <c r="GK34" s="1405"/>
      <c r="GL34" s="1405"/>
      <c r="GM34" s="1405"/>
      <c r="GN34" s="1405"/>
      <c r="GO34" s="1405"/>
      <c r="GP34" s="1405"/>
      <c r="GQ34" s="1405"/>
      <c r="GR34" s="1405"/>
      <c r="GS34" s="1405"/>
      <c r="GT34" s="1405"/>
      <c r="GU34" s="1405"/>
      <c r="GV34" s="1405"/>
      <c r="GW34" s="1405"/>
      <c r="GX34" s="1405"/>
      <c r="GY34" s="1405"/>
      <c r="GZ34" s="1405"/>
      <c r="HA34" s="1405"/>
      <c r="HB34" s="1405"/>
      <c r="HC34" s="1405"/>
      <c r="HD34" s="1405"/>
      <c r="HE34" s="1405"/>
      <c r="HF34" s="1405"/>
      <c r="HG34" s="1405"/>
      <c r="HH34" s="1405"/>
      <c r="HI34" s="1405"/>
      <c r="HJ34" s="1405"/>
      <c r="HK34" s="1405"/>
      <c r="HL34" s="1405"/>
      <c r="HM34" s="1405"/>
      <c r="HN34" s="1405"/>
      <c r="HO34" s="1405"/>
      <c r="HP34" s="1405"/>
      <c r="HQ34" s="1405"/>
      <c r="HR34" s="1405"/>
      <c r="HS34" s="1405"/>
      <c r="HT34" s="1405"/>
      <c r="HU34" s="1405"/>
      <c r="HV34" s="1405"/>
      <c r="HW34" s="1405"/>
      <c r="HX34" s="1405"/>
      <c r="HY34" s="1405"/>
      <c r="HZ34" s="1405"/>
      <c r="IA34" s="1405"/>
      <c r="IB34" s="1405"/>
      <c r="IC34" s="1405"/>
      <c r="ID34" s="1405"/>
      <c r="IE34" s="1405"/>
      <c r="IF34" s="1405"/>
      <c r="IG34" s="1405"/>
      <c r="IH34" s="1405"/>
      <c r="II34" s="1405"/>
      <c r="IJ34" s="1405"/>
      <c r="IK34" s="1405"/>
      <c r="IL34" s="1405"/>
      <c r="IM34" s="1405"/>
      <c r="IN34" s="1405"/>
      <c r="IO34" s="1405"/>
      <c r="IP34" s="1405"/>
      <c r="IQ34" s="1405"/>
      <c r="IR34" s="1405"/>
      <c r="IS34" s="1405"/>
      <c r="IT34" s="1405"/>
      <c r="IU34" s="1405"/>
      <c r="IV34" s="1405"/>
    </row>
    <row r="35" spans="1:256" ht="31.5" customHeight="1">
      <c r="A35" s="1414"/>
      <c r="B35" s="1418" t="s">
        <v>7121</v>
      </c>
      <c r="C35" s="1414">
        <v>1</v>
      </c>
      <c r="D35" s="1414">
        <v>2</v>
      </c>
      <c r="E35" s="1419">
        <v>20</v>
      </c>
      <c r="F35" s="1419"/>
      <c r="G35" s="1419">
        <v>0.68</v>
      </c>
      <c r="H35" s="1420">
        <f>ROUND(PRODUCT(C35:G35),2)</f>
        <v>27.2</v>
      </c>
      <c r="I35" s="1410"/>
      <c r="J35" s="1405"/>
      <c r="K35" s="1405"/>
      <c r="L35" s="1405"/>
      <c r="M35" s="1405"/>
      <c r="N35" s="1405"/>
      <c r="O35" s="1405"/>
      <c r="P35" s="1405"/>
      <c r="Q35" s="1405"/>
      <c r="R35" s="1405"/>
      <c r="S35" s="1405"/>
      <c r="T35" s="1405"/>
      <c r="U35" s="1405"/>
      <c r="V35" s="1405"/>
      <c r="W35" s="1405"/>
      <c r="X35" s="1405"/>
      <c r="Y35" s="1405"/>
      <c r="Z35" s="1405"/>
      <c r="AA35" s="1405"/>
      <c r="AB35" s="1405"/>
      <c r="AC35" s="1405"/>
      <c r="AD35" s="1405"/>
      <c r="AE35" s="1405"/>
      <c r="AF35" s="1405"/>
      <c r="AG35" s="1405"/>
      <c r="AH35" s="1405"/>
      <c r="AI35" s="1405"/>
      <c r="AJ35" s="1405"/>
      <c r="AK35" s="1405"/>
      <c r="AL35" s="1405"/>
      <c r="AM35" s="1405"/>
      <c r="AN35" s="1405"/>
      <c r="AO35" s="1405"/>
      <c r="AP35" s="1405"/>
      <c r="AQ35" s="1405"/>
      <c r="AR35" s="1405"/>
      <c r="AS35" s="1405"/>
      <c r="AT35" s="1405"/>
      <c r="AU35" s="1405"/>
      <c r="AV35" s="1405"/>
      <c r="AW35" s="1405"/>
      <c r="AX35" s="1405"/>
      <c r="AY35" s="1405"/>
      <c r="AZ35" s="1405"/>
      <c r="BA35" s="1405"/>
      <c r="BB35" s="1405"/>
      <c r="BC35" s="1405"/>
      <c r="BD35" s="1405"/>
      <c r="BE35" s="1405"/>
      <c r="BF35" s="1405"/>
      <c r="BG35" s="1405"/>
      <c r="BH35" s="1405"/>
      <c r="BI35" s="1405"/>
      <c r="BJ35" s="1405"/>
      <c r="BK35" s="1405"/>
      <c r="BL35" s="1405"/>
      <c r="BM35" s="1405"/>
      <c r="BN35" s="1405"/>
      <c r="BO35" s="1405"/>
      <c r="BP35" s="1405"/>
      <c r="BQ35" s="1405"/>
      <c r="BR35" s="1405"/>
      <c r="BS35" s="1405"/>
      <c r="BT35" s="1405"/>
      <c r="BU35" s="1405"/>
      <c r="BV35" s="1405"/>
      <c r="BW35" s="1405"/>
      <c r="BX35" s="1405"/>
      <c r="BY35" s="1405"/>
      <c r="BZ35" s="1405"/>
      <c r="CA35" s="1405"/>
      <c r="CB35" s="1405"/>
      <c r="CC35" s="1405"/>
      <c r="CD35" s="1405"/>
      <c r="CE35" s="1405"/>
      <c r="CF35" s="1405"/>
      <c r="CG35" s="1405"/>
      <c r="CH35" s="1405"/>
      <c r="CI35" s="1405"/>
      <c r="CJ35" s="1405"/>
      <c r="CK35" s="1405"/>
      <c r="CL35" s="1405"/>
      <c r="CM35" s="1405"/>
      <c r="CN35" s="1405"/>
      <c r="CO35" s="1405"/>
      <c r="CP35" s="1405"/>
      <c r="CQ35" s="1405"/>
      <c r="CR35" s="1405"/>
      <c r="CS35" s="1405"/>
      <c r="CT35" s="1405"/>
      <c r="CU35" s="1405"/>
      <c r="CV35" s="1405"/>
      <c r="CW35" s="1405"/>
      <c r="CX35" s="1405"/>
      <c r="CY35" s="1405"/>
      <c r="CZ35" s="1405"/>
      <c r="DA35" s="1405"/>
      <c r="DB35" s="1405"/>
      <c r="DC35" s="1405"/>
      <c r="DD35" s="1405"/>
      <c r="DE35" s="1405"/>
      <c r="DF35" s="1405"/>
      <c r="DG35" s="1405"/>
      <c r="DH35" s="1405"/>
      <c r="DI35" s="1405"/>
      <c r="DJ35" s="1405"/>
      <c r="DK35" s="1405"/>
      <c r="DL35" s="1405"/>
      <c r="DM35" s="1405"/>
      <c r="DN35" s="1405"/>
      <c r="DO35" s="1405"/>
      <c r="DP35" s="1405"/>
      <c r="DQ35" s="1405"/>
      <c r="DR35" s="1405"/>
      <c r="DS35" s="1405"/>
      <c r="DT35" s="1405"/>
      <c r="DU35" s="1405"/>
      <c r="DV35" s="1405"/>
      <c r="DW35" s="1405"/>
      <c r="DX35" s="1405"/>
      <c r="DY35" s="1405"/>
      <c r="DZ35" s="1405"/>
      <c r="EA35" s="1405"/>
      <c r="EB35" s="1405"/>
      <c r="EC35" s="1405"/>
      <c r="ED35" s="1405"/>
      <c r="EE35" s="1405"/>
      <c r="EF35" s="1405"/>
      <c r="EG35" s="1405"/>
      <c r="EH35" s="1405"/>
      <c r="EI35" s="1405"/>
      <c r="EJ35" s="1405"/>
      <c r="EK35" s="1405"/>
      <c r="EL35" s="1405"/>
      <c r="EM35" s="1405"/>
      <c r="EN35" s="1405"/>
      <c r="EO35" s="1405"/>
      <c r="EP35" s="1405"/>
      <c r="EQ35" s="1405"/>
      <c r="ER35" s="1405"/>
      <c r="ES35" s="1405"/>
      <c r="ET35" s="1405"/>
      <c r="EU35" s="1405"/>
      <c r="EV35" s="1405"/>
      <c r="EW35" s="1405"/>
      <c r="EX35" s="1405"/>
      <c r="EY35" s="1405"/>
      <c r="EZ35" s="1405"/>
      <c r="FA35" s="1405"/>
      <c r="FB35" s="1405"/>
      <c r="FC35" s="1405"/>
      <c r="FD35" s="1405"/>
      <c r="FE35" s="1405"/>
      <c r="FF35" s="1405"/>
      <c r="FG35" s="1405"/>
      <c r="FH35" s="1405"/>
      <c r="FI35" s="1405"/>
      <c r="FJ35" s="1405"/>
      <c r="FK35" s="1405"/>
      <c r="FL35" s="1405"/>
      <c r="FM35" s="1405"/>
      <c r="FN35" s="1405"/>
      <c r="FO35" s="1405"/>
      <c r="FP35" s="1405"/>
      <c r="FQ35" s="1405"/>
      <c r="FR35" s="1405"/>
      <c r="FS35" s="1405"/>
      <c r="FT35" s="1405"/>
      <c r="FU35" s="1405"/>
      <c r="FV35" s="1405"/>
      <c r="FW35" s="1405"/>
      <c r="FX35" s="1405"/>
      <c r="FY35" s="1405"/>
      <c r="FZ35" s="1405"/>
      <c r="GA35" s="1405"/>
      <c r="GB35" s="1405"/>
      <c r="GC35" s="1405"/>
      <c r="GD35" s="1405"/>
      <c r="GE35" s="1405"/>
      <c r="GF35" s="1405"/>
      <c r="GG35" s="1405"/>
      <c r="GH35" s="1405"/>
      <c r="GI35" s="1405"/>
      <c r="GJ35" s="1405"/>
      <c r="GK35" s="1405"/>
      <c r="GL35" s="1405"/>
      <c r="GM35" s="1405"/>
      <c r="GN35" s="1405"/>
      <c r="GO35" s="1405"/>
      <c r="GP35" s="1405"/>
      <c r="GQ35" s="1405"/>
      <c r="GR35" s="1405"/>
      <c r="GS35" s="1405"/>
      <c r="GT35" s="1405"/>
      <c r="GU35" s="1405"/>
      <c r="GV35" s="1405"/>
      <c r="GW35" s="1405"/>
      <c r="GX35" s="1405"/>
      <c r="GY35" s="1405"/>
      <c r="GZ35" s="1405"/>
      <c r="HA35" s="1405"/>
      <c r="HB35" s="1405"/>
      <c r="HC35" s="1405"/>
      <c r="HD35" s="1405"/>
      <c r="HE35" s="1405"/>
      <c r="HF35" s="1405"/>
      <c r="HG35" s="1405"/>
      <c r="HH35" s="1405"/>
      <c r="HI35" s="1405"/>
      <c r="HJ35" s="1405"/>
      <c r="HK35" s="1405"/>
      <c r="HL35" s="1405"/>
      <c r="HM35" s="1405"/>
      <c r="HN35" s="1405"/>
      <c r="HO35" s="1405"/>
      <c r="HP35" s="1405"/>
      <c r="HQ35" s="1405"/>
      <c r="HR35" s="1405"/>
      <c r="HS35" s="1405"/>
      <c r="HT35" s="1405"/>
      <c r="HU35" s="1405"/>
      <c r="HV35" s="1405"/>
      <c r="HW35" s="1405"/>
      <c r="HX35" s="1405"/>
      <c r="HY35" s="1405"/>
      <c r="HZ35" s="1405"/>
      <c r="IA35" s="1405"/>
      <c r="IB35" s="1405"/>
      <c r="IC35" s="1405"/>
      <c r="ID35" s="1405"/>
      <c r="IE35" s="1405"/>
      <c r="IF35" s="1405"/>
      <c r="IG35" s="1405"/>
      <c r="IH35" s="1405"/>
      <c r="II35" s="1405"/>
      <c r="IJ35" s="1405"/>
      <c r="IK35" s="1405"/>
      <c r="IL35" s="1405"/>
      <c r="IM35" s="1405"/>
      <c r="IN35" s="1405"/>
      <c r="IO35" s="1405"/>
      <c r="IP35" s="1405"/>
      <c r="IQ35" s="1405"/>
      <c r="IR35" s="1405"/>
      <c r="IS35" s="1405"/>
      <c r="IT35" s="1405"/>
      <c r="IU35" s="1405"/>
      <c r="IV35" s="1405"/>
    </row>
    <row r="36" spans="1:256" ht="31.5" customHeight="1">
      <c r="A36" s="1414"/>
      <c r="B36" s="1418" t="s">
        <v>7122</v>
      </c>
      <c r="C36" s="1414">
        <v>1</v>
      </c>
      <c r="D36" s="1414">
        <v>1</v>
      </c>
      <c r="E36" s="1419">
        <v>25</v>
      </c>
      <c r="F36" s="1419"/>
      <c r="G36" s="1419">
        <f>0.6+0.115</f>
        <v>0.72</v>
      </c>
      <c r="H36" s="1420">
        <f>ROUND(PRODUCT(C36:G36),2)</f>
        <v>18</v>
      </c>
      <c r="I36" s="1410"/>
      <c r="J36" s="1405"/>
      <c r="K36" s="1405"/>
      <c r="L36" s="1405"/>
      <c r="M36" s="1405"/>
      <c r="N36" s="1405"/>
      <c r="O36" s="1405"/>
      <c r="P36" s="1405"/>
      <c r="Q36" s="1405"/>
      <c r="R36" s="1405"/>
      <c r="S36" s="1405"/>
      <c r="T36" s="1405"/>
      <c r="U36" s="1405"/>
      <c r="V36" s="1405"/>
      <c r="W36" s="1405"/>
      <c r="X36" s="1405"/>
      <c r="Y36" s="1405"/>
      <c r="Z36" s="1405"/>
      <c r="AA36" s="1405"/>
      <c r="AB36" s="1405"/>
      <c r="AC36" s="1405"/>
      <c r="AD36" s="1405"/>
      <c r="AE36" s="1405"/>
      <c r="AF36" s="1405"/>
      <c r="AG36" s="1405"/>
      <c r="AH36" s="1405"/>
      <c r="AI36" s="1405"/>
      <c r="AJ36" s="1405"/>
      <c r="AK36" s="1405"/>
      <c r="AL36" s="1405"/>
      <c r="AM36" s="1405"/>
      <c r="AN36" s="1405"/>
      <c r="AO36" s="1405"/>
      <c r="AP36" s="1405"/>
      <c r="AQ36" s="1405"/>
      <c r="AR36" s="1405"/>
      <c r="AS36" s="1405"/>
      <c r="AT36" s="1405"/>
      <c r="AU36" s="1405"/>
      <c r="AV36" s="1405"/>
      <c r="AW36" s="1405"/>
      <c r="AX36" s="1405"/>
      <c r="AY36" s="1405"/>
      <c r="AZ36" s="1405"/>
      <c r="BA36" s="1405"/>
      <c r="BB36" s="1405"/>
      <c r="BC36" s="1405"/>
      <c r="BD36" s="1405"/>
      <c r="BE36" s="1405"/>
      <c r="BF36" s="1405"/>
      <c r="BG36" s="1405"/>
      <c r="BH36" s="1405"/>
      <c r="BI36" s="1405"/>
      <c r="BJ36" s="1405"/>
      <c r="BK36" s="1405"/>
      <c r="BL36" s="1405"/>
      <c r="BM36" s="1405"/>
      <c r="BN36" s="1405"/>
      <c r="BO36" s="1405"/>
      <c r="BP36" s="1405"/>
      <c r="BQ36" s="1405"/>
      <c r="BR36" s="1405"/>
      <c r="BS36" s="1405"/>
      <c r="BT36" s="1405"/>
      <c r="BU36" s="1405"/>
      <c r="BV36" s="1405"/>
      <c r="BW36" s="1405"/>
      <c r="BX36" s="1405"/>
      <c r="BY36" s="1405"/>
      <c r="BZ36" s="1405"/>
      <c r="CA36" s="1405"/>
      <c r="CB36" s="1405"/>
      <c r="CC36" s="1405"/>
      <c r="CD36" s="1405"/>
      <c r="CE36" s="1405"/>
      <c r="CF36" s="1405"/>
      <c r="CG36" s="1405"/>
      <c r="CH36" s="1405"/>
      <c r="CI36" s="1405"/>
      <c r="CJ36" s="1405"/>
      <c r="CK36" s="1405"/>
      <c r="CL36" s="1405"/>
      <c r="CM36" s="1405"/>
      <c r="CN36" s="1405"/>
      <c r="CO36" s="1405"/>
      <c r="CP36" s="1405"/>
      <c r="CQ36" s="1405"/>
      <c r="CR36" s="1405"/>
      <c r="CS36" s="1405"/>
      <c r="CT36" s="1405"/>
      <c r="CU36" s="1405"/>
      <c r="CV36" s="1405"/>
      <c r="CW36" s="1405"/>
      <c r="CX36" s="1405"/>
      <c r="CY36" s="1405"/>
      <c r="CZ36" s="1405"/>
      <c r="DA36" s="1405"/>
      <c r="DB36" s="1405"/>
      <c r="DC36" s="1405"/>
      <c r="DD36" s="1405"/>
      <c r="DE36" s="1405"/>
      <c r="DF36" s="1405"/>
      <c r="DG36" s="1405"/>
      <c r="DH36" s="1405"/>
      <c r="DI36" s="1405"/>
      <c r="DJ36" s="1405"/>
      <c r="DK36" s="1405"/>
      <c r="DL36" s="1405"/>
      <c r="DM36" s="1405"/>
      <c r="DN36" s="1405"/>
      <c r="DO36" s="1405"/>
      <c r="DP36" s="1405"/>
      <c r="DQ36" s="1405"/>
      <c r="DR36" s="1405"/>
      <c r="DS36" s="1405"/>
      <c r="DT36" s="1405"/>
      <c r="DU36" s="1405"/>
      <c r="DV36" s="1405"/>
      <c r="DW36" s="1405"/>
      <c r="DX36" s="1405"/>
      <c r="DY36" s="1405"/>
      <c r="DZ36" s="1405"/>
      <c r="EA36" s="1405"/>
      <c r="EB36" s="1405"/>
      <c r="EC36" s="1405"/>
      <c r="ED36" s="1405"/>
      <c r="EE36" s="1405"/>
      <c r="EF36" s="1405"/>
      <c r="EG36" s="1405"/>
      <c r="EH36" s="1405"/>
      <c r="EI36" s="1405"/>
      <c r="EJ36" s="1405"/>
      <c r="EK36" s="1405"/>
      <c r="EL36" s="1405"/>
      <c r="EM36" s="1405"/>
      <c r="EN36" s="1405"/>
      <c r="EO36" s="1405"/>
      <c r="EP36" s="1405"/>
      <c r="EQ36" s="1405"/>
      <c r="ER36" s="1405"/>
      <c r="ES36" s="1405"/>
      <c r="ET36" s="1405"/>
      <c r="EU36" s="1405"/>
      <c r="EV36" s="1405"/>
      <c r="EW36" s="1405"/>
      <c r="EX36" s="1405"/>
      <c r="EY36" s="1405"/>
      <c r="EZ36" s="1405"/>
      <c r="FA36" s="1405"/>
      <c r="FB36" s="1405"/>
      <c r="FC36" s="1405"/>
      <c r="FD36" s="1405"/>
      <c r="FE36" s="1405"/>
      <c r="FF36" s="1405"/>
      <c r="FG36" s="1405"/>
      <c r="FH36" s="1405"/>
      <c r="FI36" s="1405"/>
      <c r="FJ36" s="1405"/>
      <c r="FK36" s="1405"/>
      <c r="FL36" s="1405"/>
      <c r="FM36" s="1405"/>
      <c r="FN36" s="1405"/>
      <c r="FO36" s="1405"/>
      <c r="FP36" s="1405"/>
      <c r="FQ36" s="1405"/>
      <c r="FR36" s="1405"/>
      <c r="FS36" s="1405"/>
      <c r="FT36" s="1405"/>
      <c r="FU36" s="1405"/>
      <c r="FV36" s="1405"/>
      <c r="FW36" s="1405"/>
      <c r="FX36" s="1405"/>
      <c r="FY36" s="1405"/>
      <c r="FZ36" s="1405"/>
      <c r="GA36" s="1405"/>
      <c r="GB36" s="1405"/>
      <c r="GC36" s="1405"/>
      <c r="GD36" s="1405"/>
      <c r="GE36" s="1405"/>
      <c r="GF36" s="1405"/>
      <c r="GG36" s="1405"/>
      <c r="GH36" s="1405"/>
      <c r="GI36" s="1405"/>
      <c r="GJ36" s="1405"/>
      <c r="GK36" s="1405"/>
      <c r="GL36" s="1405"/>
      <c r="GM36" s="1405"/>
      <c r="GN36" s="1405"/>
      <c r="GO36" s="1405"/>
      <c r="GP36" s="1405"/>
      <c r="GQ36" s="1405"/>
      <c r="GR36" s="1405"/>
      <c r="GS36" s="1405"/>
      <c r="GT36" s="1405"/>
      <c r="GU36" s="1405"/>
      <c r="GV36" s="1405"/>
      <c r="GW36" s="1405"/>
      <c r="GX36" s="1405"/>
      <c r="GY36" s="1405"/>
      <c r="GZ36" s="1405"/>
      <c r="HA36" s="1405"/>
      <c r="HB36" s="1405"/>
      <c r="HC36" s="1405"/>
      <c r="HD36" s="1405"/>
      <c r="HE36" s="1405"/>
      <c r="HF36" s="1405"/>
      <c r="HG36" s="1405"/>
      <c r="HH36" s="1405"/>
      <c r="HI36" s="1405"/>
      <c r="HJ36" s="1405"/>
      <c r="HK36" s="1405"/>
      <c r="HL36" s="1405"/>
      <c r="HM36" s="1405"/>
      <c r="HN36" s="1405"/>
      <c r="HO36" s="1405"/>
      <c r="HP36" s="1405"/>
      <c r="HQ36" s="1405"/>
      <c r="HR36" s="1405"/>
      <c r="HS36" s="1405"/>
      <c r="HT36" s="1405"/>
      <c r="HU36" s="1405"/>
      <c r="HV36" s="1405"/>
      <c r="HW36" s="1405"/>
      <c r="HX36" s="1405"/>
      <c r="HY36" s="1405"/>
      <c r="HZ36" s="1405"/>
      <c r="IA36" s="1405"/>
      <c r="IB36" s="1405"/>
      <c r="IC36" s="1405"/>
      <c r="ID36" s="1405"/>
      <c r="IE36" s="1405"/>
      <c r="IF36" s="1405"/>
      <c r="IG36" s="1405"/>
      <c r="IH36" s="1405"/>
      <c r="II36" s="1405"/>
      <c r="IJ36" s="1405"/>
      <c r="IK36" s="1405"/>
      <c r="IL36" s="1405"/>
      <c r="IM36" s="1405"/>
      <c r="IN36" s="1405"/>
      <c r="IO36" s="1405"/>
      <c r="IP36" s="1405"/>
      <c r="IQ36" s="1405"/>
      <c r="IR36" s="1405"/>
      <c r="IS36" s="1405"/>
      <c r="IT36" s="1405"/>
      <c r="IU36" s="1405"/>
      <c r="IV36" s="1405"/>
    </row>
    <row r="37" spans="1:256" ht="31.5" customHeight="1">
      <c r="A37" s="1414"/>
      <c r="B37" s="1418" t="s">
        <v>7135</v>
      </c>
      <c r="C37" s="1414">
        <v>2</v>
      </c>
      <c r="D37" s="1414">
        <v>8</v>
      </c>
      <c r="E37" s="1419">
        <v>0.12</v>
      </c>
      <c r="F37" s="1419"/>
      <c r="G37" s="1419">
        <v>0.72</v>
      </c>
      <c r="H37" s="1420">
        <f>ROUND(PRODUCT(C37:G37),2)</f>
        <v>1.38</v>
      </c>
      <c r="I37" s="1410"/>
      <c r="J37" s="1405"/>
      <c r="K37" s="1405"/>
      <c r="L37" s="1405"/>
      <c r="M37" s="1405"/>
      <c r="N37" s="1405"/>
      <c r="O37" s="1405"/>
      <c r="P37" s="1405"/>
      <c r="Q37" s="1405"/>
      <c r="R37" s="1405"/>
      <c r="S37" s="1405"/>
      <c r="T37" s="1405"/>
      <c r="U37" s="1405"/>
      <c r="V37" s="1405"/>
      <c r="W37" s="1405"/>
      <c r="X37" s="1405"/>
      <c r="Y37" s="1405"/>
      <c r="Z37" s="1405"/>
      <c r="AA37" s="1405"/>
      <c r="AB37" s="1405"/>
      <c r="AC37" s="1405"/>
      <c r="AD37" s="1405"/>
      <c r="AE37" s="1405"/>
      <c r="AF37" s="1405"/>
      <c r="AG37" s="1405"/>
      <c r="AH37" s="1405"/>
      <c r="AI37" s="1405"/>
      <c r="AJ37" s="1405"/>
      <c r="AK37" s="1405"/>
      <c r="AL37" s="1405"/>
      <c r="AM37" s="1405"/>
      <c r="AN37" s="1405"/>
      <c r="AO37" s="1405"/>
      <c r="AP37" s="1405"/>
      <c r="AQ37" s="1405"/>
      <c r="AR37" s="1405"/>
      <c r="AS37" s="1405"/>
      <c r="AT37" s="1405"/>
      <c r="AU37" s="1405"/>
      <c r="AV37" s="1405"/>
      <c r="AW37" s="1405"/>
      <c r="AX37" s="1405"/>
      <c r="AY37" s="1405"/>
      <c r="AZ37" s="1405"/>
      <c r="BA37" s="1405"/>
      <c r="BB37" s="1405"/>
      <c r="BC37" s="1405"/>
      <c r="BD37" s="1405"/>
      <c r="BE37" s="1405"/>
      <c r="BF37" s="1405"/>
      <c r="BG37" s="1405"/>
      <c r="BH37" s="1405"/>
      <c r="BI37" s="1405"/>
      <c r="BJ37" s="1405"/>
      <c r="BK37" s="1405"/>
      <c r="BL37" s="1405"/>
      <c r="BM37" s="1405"/>
      <c r="BN37" s="1405"/>
      <c r="BO37" s="1405"/>
      <c r="BP37" s="1405"/>
      <c r="BQ37" s="1405"/>
      <c r="BR37" s="1405"/>
      <c r="BS37" s="1405"/>
      <c r="BT37" s="1405"/>
      <c r="BU37" s="1405"/>
      <c r="BV37" s="1405"/>
      <c r="BW37" s="1405"/>
      <c r="BX37" s="1405"/>
      <c r="BY37" s="1405"/>
      <c r="BZ37" s="1405"/>
      <c r="CA37" s="1405"/>
      <c r="CB37" s="1405"/>
      <c r="CC37" s="1405"/>
      <c r="CD37" s="1405"/>
      <c r="CE37" s="1405"/>
      <c r="CF37" s="1405"/>
      <c r="CG37" s="1405"/>
      <c r="CH37" s="1405"/>
      <c r="CI37" s="1405"/>
      <c r="CJ37" s="1405"/>
      <c r="CK37" s="1405"/>
      <c r="CL37" s="1405"/>
      <c r="CM37" s="1405"/>
      <c r="CN37" s="1405"/>
      <c r="CO37" s="1405"/>
      <c r="CP37" s="1405"/>
      <c r="CQ37" s="1405"/>
      <c r="CR37" s="1405"/>
      <c r="CS37" s="1405"/>
      <c r="CT37" s="1405"/>
      <c r="CU37" s="1405"/>
      <c r="CV37" s="1405"/>
      <c r="CW37" s="1405"/>
      <c r="CX37" s="1405"/>
      <c r="CY37" s="1405"/>
      <c r="CZ37" s="1405"/>
      <c r="DA37" s="1405"/>
      <c r="DB37" s="1405"/>
      <c r="DC37" s="1405"/>
      <c r="DD37" s="1405"/>
      <c r="DE37" s="1405"/>
      <c r="DF37" s="1405"/>
      <c r="DG37" s="1405"/>
      <c r="DH37" s="1405"/>
      <c r="DI37" s="1405"/>
      <c r="DJ37" s="1405"/>
      <c r="DK37" s="1405"/>
      <c r="DL37" s="1405"/>
      <c r="DM37" s="1405"/>
      <c r="DN37" s="1405"/>
      <c r="DO37" s="1405"/>
      <c r="DP37" s="1405"/>
      <c r="DQ37" s="1405"/>
      <c r="DR37" s="1405"/>
      <c r="DS37" s="1405"/>
      <c r="DT37" s="1405"/>
      <c r="DU37" s="1405"/>
      <c r="DV37" s="1405"/>
      <c r="DW37" s="1405"/>
      <c r="DX37" s="1405"/>
      <c r="DY37" s="1405"/>
      <c r="DZ37" s="1405"/>
      <c r="EA37" s="1405"/>
      <c r="EB37" s="1405"/>
      <c r="EC37" s="1405"/>
      <c r="ED37" s="1405"/>
      <c r="EE37" s="1405"/>
      <c r="EF37" s="1405"/>
      <c r="EG37" s="1405"/>
      <c r="EH37" s="1405"/>
      <c r="EI37" s="1405"/>
      <c r="EJ37" s="1405"/>
      <c r="EK37" s="1405"/>
      <c r="EL37" s="1405"/>
      <c r="EM37" s="1405"/>
      <c r="EN37" s="1405"/>
      <c r="EO37" s="1405"/>
      <c r="EP37" s="1405"/>
      <c r="EQ37" s="1405"/>
      <c r="ER37" s="1405"/>
      <c r="ES37" s="1405"/>
      <c r="ET37" s="1405"/>
      <c r="EU37" s="1405"/>
      <c r="EV37" s="1405"/>
      <c r="EW37" s="1405"/>
      <c r="EX37" s="1405"/>
      <c r="EY37" s="1405"/>
      <c r="EZ37" s="1405"/>
      <c r="FA37" s="1405"/>
      <c r="FB37" s="1405"/>
      <c r="FC37" s="1405"/>
      <c r="FD37" s="1405"/>
      <c r="FE37" s="1405"/>
      <c r="FF37" s="1405"/>
      <c r="FG37" s="1405"/>
      <c r="FH37" s="1405"/>
      <c r="FI37" s="1405"/>
      <c r="FJ37" s="1405"/>
      <c r="FK37" s="1405"/>
      <c r="FL37" s="1405"/>
      <c r="FM37" s="1405"/>
      <c r="FN37" s="1405"/>
      <c r="FO37" s="1405"/>
      <c r="FP37" s="1405"/>
      <c r="FQ37" s="1405"/>
      <c r="FR37" s="1405"/>
      <c r="FS37" s="1405"/>
      <c r="FT37" s="1405"/>
      <c r="FU37" s="1405"/>
      <c r="FV37" s="1405"/>
      <c r="FW37" s="1405"/>
      <c r="FX37" s="1405"/>
      <c r="FY37" s="1405"/>
      <c r="FZ37" s="1405"/>
      <c r="GA37" s="1405"/>
      <c r="GB37" s="1405"/>
      <c r="GC37" s="1405"/>
      <c r="GD37" s="1405"/>
      <c r="GE37" s="1405"/>
      <c r="GF37" s="1405"/>
      <c r="GG37" s="1405"/>
      <c r="GH37" s="1405"/>
      <c r="GI37" s="1405"/>
      <c r="GJ37" s="1405"/>
      <c r="GK37" s="1405"/>
      <c r="GL37" s="1405"/>
      <c r="GM37" s="1405"/>
      <c r="GN37" s="1405"/>
      <c r="GO37" s="1405"/>
      <c r="GP37" s="1405"/>
      <c r="GQ37" s="1405"/>
      <c r="GR37" s="1405"/>
      <c r="GS37" s="1405"/>
      <c r="GT37" s="1405"/>
      <c r="GU37" s="1405"/>
      <c r="GV37" s="1405"/>
      <c r="GW37" s="1405"/>
      <c r="GX37" s="1405"/>
      <c r="GY37" s="1405"/>
      <c r="GZ37" s="1405"/>
      <c r="HA37" s="1405"/>
      <c r="HB37" s="1405"/>
      <c r="HC37" s="1405"/>
      <c r="HD37" s="1405"/>
      <c r="HE37" s="1405"/>
      <c r="HF37" s="1405"/>
      <c r="HG37" s="1405"/>
      <c r="HH37" s="1405"/>
      <c r="HI37" s="1405"/>
      <c r="HJ37" s="1405"/>
      <c r="HK37" s="1405"/>
      <c r="HL37" s="1405"/>
      <c r="HM37" s="1405"/>
      <c r="HN37" s="1405"/>
      <c r="HO37" s="1405"/>
      <c r="HP37" s="1405"/>
      <c r="HQ37" s="1405"/>
      <c r="HR37" s="1405"/>
      <c r="HS37" s="1405"/>
      <c r="HT37" s="1405"/>
      <c r="HU37" s="1405"/>
      <c r="HV37" s="1405"/>
      <c r="HW37" s="1405"/>
      <c r="HX37" s="1405"/>
      <c r="HY37" s="1405"/>
      <c r="HZ37" s="1405"/>
      <c r="IA37" s="1405"/>
      <c r="IB37" s="1405"/>
      <c r="IC37" s="1405"/>
      <c r="ID37" s="1405"/>
      <c r="IE37" s="1405"/>
      <c r="IF37" s="1405"/>
      <c r="IG37" s="1405"/>
      <c r="IH37" s="1405"/>
      <c r="II37" s="1405"/>
      <c r="IJ37" s="1405"/>
      <c r="IK37" s="1405"/>
      <c r="IL37" s="1405"/>
      <c r="IM37" s="1405"/>
      <c r="IN37" s="1405"/>
      <c r="IO37" s="1405"/>
      <c r="IP37" s="1405"/>
      <c r="IQ37" s="1405"/>
      <c r="IR37" s="1405"/>
      <c r="IS37" s="1405"/>
      <c r="IT37" s="1405"/>
      <c r="IU37" s="1405"/>
      <c r="IV37" s="1405"/>
    </row>
    <row r="38" spans="1:256" ht="31.5" customHeight="1">
      <c r="A38" s="1414"/>
      <c r="B38" s="1418"/>
      <c r="C38" s="1414"/>
      <c r="D38" s="1414"/>
      <c r="E38" s="1419"/>
      <c r="F38" s="1419"/>
      <c r="G38" s="1421" t="s">
        <v>2235</v>
      </c>
      <c r="H38" s="1422">
        <f>SUM(H35:H37)</f>
        <v>46.58</v>
      </c>
      <c r="I38" s="1410" t="s">
        <v>7131</v>
      </c>
      <c r="J38" s="1405"/>
      <c r="K38" s="1405"/>
      <c r="L38" s="1405"/>
      <c r="M38" s="1405"/>
      <c r="N38" s="1405"/>
      <c r="O38" s="1405"/>
      <c r="P38" s="1405"/>
      <c r="Q38" s="1405"/>
      <c r="R38" s="1405"/>
      <c r="S38" s="1405"/>
      <c r="T38" s="1405"/>
      <c r="U38" s="1405"/>
      <c r="V38" s="1405"/>
      <c r="W38" s="1405"/>
      <c r="X38" s="1405"/>
      <c r="Y38" s="1405"/>
      <c r="Z38" s="1405"/>
      <c r="AA38" s="1405"/>
      <c r="AB38" s="1405"/>
      <c r="AC38" s="1405"/>
      <c r="AD38" s="1405"/>
      <c r="AE38" s="1405"/>
      <c r="AF38" s="1405"/>
      <c r="AG38" s="1405"/>
      <c r="AH38" s="1405"/>
      <c r="AI38" s="1405"/>
      <c r="AJ38" s="1405"/>
      <c r="AK38" s="1405"/>
      <c r="AL38" s="1405"/>
      <c r="AM38" s="1405"/>
      <c r="AN38" s="1405"/>
      <c r="AO38" s="1405"/>
      <c r="AP38" s="1405"/>
      <c r="AQ38" s="1405"/>
      <c r="AR38" s="1405"/>
      <c r="AS38" s="1405"/>
      <c r="AT38" s="1405"/>
      <c r="AU38" s="1405"/>
      <c r="AV38" s="1405"/>
      <c r="AW38" s="1405"/>
      <c r="AX38" s="1405"/>
      <c r="AY38" s="1405"/>
      <c r="AZ38" s="1405"/>
      <c r="BA38" s="1405"/>
      <c r="BB38" s="1405"/>
      <c r="BC38" s="1405"/>
      <c r="BD38" s="1405"/>
      <c r="BE38" s="1405"/>
      <c r="BF38" s="1405"/>
      <c r="BG38" s="1405"/>
      <c r="BH38" s="1405"/>
      <c r="BI38" s="1405"/>
      <c r="BJ38" s="1405"/>
      <c r="BK38" s="1405"/>
      <c r="BL38" s="1405"/>
      <c r="BM38" s="1405"/>
      <c r="BN38" s="1405"/>
      <c r="BO38" s="1405"/>
      <c r="BP38" s="1405"/>
      <c r="BQ38" s="1405"/>
      <c r="BR38" s="1405"/>
      <c r="BS38" s="1405"/>
      <c r="BT38" s="1405"/>
      <c r="BU38" s="1405"/>
      <c r="BV38" s="1405"/>
      <c r="BW38" s="1405"/>
      <c r="BX38" s="1405"/>
      <c r="BY38" s="1405"/>
      <c r="BZ38" s="1405"/>
      <c r="CA38" s="1405"/>
      <c r="CB38" s="1405"/>
      <c r="CC38" s="1405"/>
      <c r="CD38" s="1405"/>
      <c r="CE38" s="1405"/>
      <c r="CF38" s="1405"/>
      <c r="CG38" s="1405"/>
      <c r="CH38" s="1405"/>
      <c r="CI38" s="1405"/>
      <c r="CJ38" s="1405"/>
      <c r="CK38" s="1405"/>
      <c r="CL38" s="1405"/>
      <c r="CM38" s="1405"/>
      <c r="CN38" s="1405"/>
      <c r="CO38" s="1405"/>
      <c r="CP38" s="1405"/>
      <c r="CQ38" s="1405"/>
      <c r="CR38" s="1405"/>
      <c r="CS38" s="1405"/>
      <c r="CT38" s="1405"/>
      <c r="CU38" s="1405"/>
      <c r="CV38" s="1405"/>
      <c r="CW38" s="1405"/>
      <c r="CX38" s="1405"/>
      <c r="CY38" s="1405"/>
      <c r="CZ38" s="1405"/>
      <c r="DA38" s="1405"/>
      <c r="DB38" s="1405"/>
      <c r="DC38" s="1405"/>
      <c r="DD38" s="1405"/>
      <c r="DE38" s="1405"/>
      <c r="DF38" s="1405"/>
      <c r="DG38" s="1405"/>
      <c r="DH38" s="1405"/>
      <c r="DI38" s="1405"/>
      <c r="DJ38" s="1405"/>
      <c r="DK38" s="1405"/>
      <c r="DL38" s="1405"/>
      <c r="DM38" s="1405"/>
      <c r="DN38" s="1405"/>
      <c r="DO38" s="1405"/>
      <c r="DP38" s="1405"/>
      <c r="DQ38" s="1405"/>
      <c r="DR38" s="1405"/>
      <c r="DS38" s="1405"/>
      <c r="DT38" s="1405"/>
      <c r="DU38" s="1405"/>
      <c r="DV38" s="1405"/>
      <c r="DW38" s="1405"/>
      <c r="DX38" s="1405"/>
      <c r="DY38" s="1405"/>
      <c r="DZ38" s="1405"/>
      <c r="EA38" s="1405"/>
      <c r="EB38" s="1405"/>
      <c r="EC38" s="1405"/>
      <c r="ED38" s="1405"/>
      <c r="EE38" s="1405"/>
      <c r="EF38" s="1405"/>
      <c r="EG38" s="1405"/>
      <c r="EH38" s="1405"/>
      <c r="EI38" s="1405"/>
      <c r="EJ38" s="1405"/>
      <c r="EK38" s="1405"/>
      <c r="EL38" s="1405"/>
      <c r="EM38" s="1405"/>
      <c r="EN38" s="1405"/>
      <c r="EO38" s="1405"/>
      <c r="EP38" s="1405"/>
      <c r="EQ38" s="1405"/>
      <c r="ER38" s="1405"/>
      <c r="ES38" s="1405"/>
      <c r="ET38" s="1405"/>
      <c r="EU38" s="1405"/>
      <c r="EV38" s="1405"/>
      <c r="EW38" s="1405"/>
      <c r="EX38" s="1405"/>
      <c r="EY38" s="1405"/>
      <c r="EZ38" s="1405"/>
      <c r="FA38" s="1405"/>
      <c r="FB38" s="1405"/>
      <c r="FC38" s="1405"/>
      <c r="FD38" s="1405"/>
      <c r="FE38" s="1405"/>
      <c r="FF38" s="1405"/>
      <c r="FG38" s="1405"/>
      <c r="FH38" s="1405"/>
      <c r="FI38" s="1405"/>
      <c r="FJ38" s="1405"/>
      <c r="FK38" s="1405"/>
      <c r="FL38" s="1405"/>
      <c r="FM38" s="1405"/>
      <c r="FN38" s="1405"/>
      <c r="FO38" s="1405"/>
      <c r="FP38" s="1405"/>
      <c r="FQ38" s="1405"/>
      <c r="FR38" s="1405"/>
      <c r="FS38" s="1405"/>
      <c r="FT38" s="1405"/>
      <c r="FU38" s="1405"/>
      <c r="FV38" s="1405"/>
      <c r="FW38" s="1405"/>
      <c r="FX38" s="1405"/>
      <c r="FY38" s="1405"/>
      <c r="FZ38" s="1405"/>
      <c r="GA38" s="1405"/>
      <c r="GB38" s="1405"/>
      <c r="GC38" s="1405"/>
      <c r="GD38" s="1405"/>
      <c r="GE38" s="1405"/>
      <c r="GF38" s="1405"/>
      <c r="GG38" s="1405"/>
      <c r="GH38" s="1405"/>
      <c r="GI38" s="1405"/>
      <c r="GJ38" s="1405"/>
      <c r="GK38" s="1405"/>
      <c r="GL38" s="1405"/>
      <c r="GM38" s="1405"/>
      <c r="GN38" s="1405"/>
      <c r="GO38" s="1405"/>
      <c r="GP38" s="1405"/>
      <c r="GQ38" s="1405"/>
      <c r="GR38" s="1405"/>
      <c r="GS38" s="1405"/>
      <c r="GT38" s="1405"/>
      <c r="GU38" s="1405"/>
      <c r="GV38" s="1405"/>
      <c r="GW38" s="1405"/>
      <c r="GX38" s="1405"/>
      <c r="GY38" s="1405"/>
      <c r="GZ38" s="1405"/>
      <c r="HA38" s="1405"/>
      <c r="HB38" s="1405"/>
      <c r="HC38" s="1405"/>
      <c r="HD38" s="1405"/>
      <c r="HE38" s="1405"/>
      <c r="HF38" s="1405"/>
      <c r="HG38" s="1405"/>
      <c r="HH38" s="1405"/>
      <c r="HI38" s="1405"/>
      <c r="HJ38" s="1405"/>
      <c r="HK38" s="1405"/>
      <c r="HL38" s="1405"/>
      <c r="HM38" s="1405"/>
      <c r="HN38" s="1405"/>
      <c r="HO38" s="1405"/>
      <c r="HP38" s="1405"/>
      <c r="HQ38" s="1405"/>
      <c r="HR38" s="1405"/>
      <c r="HS38" s="1405"/>
      <c r="HT38" s="1405"/>
      <c r="HU38" s="1405"/>
      <c r="HV38" s="1405"/>
      <c r="HW38" s="1405"/>
      <c r="HX38" s="1405"/>
      <c r="HY38" s="1405"/>
      <c r="HZ38" s="1405"/>
      <c r="IA38" s="1405"/>
      <c r="IB38" s="1405"/>
      <c r="IC38" s="1405"/>
      <c r="ID38" s="1405"/>
      <c r="IE38" s="1405"/>
      <c r="IF38" s="1405"/>
      <c r="IG38" s="1405"/>
      <c r="IH38" s="1405"/>
      <c r="II38" s="1405"/>
      <c r="IJ38" s="1405"/>
      <c r="IK38" s="1405"/>
      <c r="IL38" s="1405"/>
      <c r="IM38" s="1405"/>
      <c r="IN38" s="1405"/>
      <c r="IO38" s="1405"/>
      <c r="IP38" s="1405"/>
      <c r="IQ38" s="1405"/>
      <c r="IR38" s="1405"/>
      <c r="IS38" s="1405"/>
      <c r="IT38" s="1405"/>
      <c r="IU38" s="1405"/>
      <c r="IV38" s="1405"/>
    </row>
    <row r="42" spans="1:256">
      <c r="A42" s="1428" t="s">
        <v>7136</v>
      </c>
      <c r="B42" s="1428"/>
      <c r="C42" s="1428"/>
      <c r="D42" s="1428"/>
      <c r="E42" s="1428"/>
      <c r="F42" s="1428"/>
      <c r="G42" s="1428"/>
      <c r="H42" s="1428"/>
      <c r="I42" s="1428"/>
    </row>
  </sheetData>
  <mergeCells count="16">
    <mergeCell ref="B34:F34"/>
    <mergeCell ref="A42:I42"/>
    <mergeCell ref="B7:F7"/>
    <mergeCell ref="B11:F11"/>
    <mergeCell ref="B15:F15"/>
    <mergeCell ref="B19:D19"/>
    <mergeCell ref="B24:E24"/>
    <mergeCell ref="B26:F26"/>
    <mergeCell ref="A1:I1"/>
    <mergeCell ref="A2:I2"/>
    <mergeCell ref="A3:I3"/>
    <mergeCell ref="A5:A6"/>
    <mergeCell ref="B5:B6"/>
    <mergeCell ref="C5:D6"/>
    <mergeCell ref="E5:G5"/>
    <mergeCell ref="H5:H6"/>
  </mergeCells>
  <pageMargins left="0.77" right="0.22" top="0.62" bottom="0.7" header="0.16" footer="0.16"/>
  <pageSetup paperSize="9" scale="8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62"/>
  <sheetViews>
    <sheetView view="pageBreakPreview" topLeftCell="A38" zoomScale="98" zoomScaleSheetLayoutView="98" workbookViewId="0">
      <selection activeCell="B27" sqref="B27"/>
    </sheetView>
  </sheetViews>
  <sheetFormatPr defaultRowHeight="15.75"/>
  <cols>
    <col min="1" max="1" width="6" style="1432" customWidth="1"/>
    <col min="2" max="2" width="34.33203125" style="1432" customWidth="1"/>
    <col min="3" max="3" width="4.88671875" style="1432" customWidth="1"/>
    <col min="4" max="4" width="5.6640625" style="1432" customWidth="1"/>
    <col min="5" max="7" width="8.6640625" style="1482" customWidth="1"/>
    <col min="8" max="8" width="8.88671875" style="1482"/>
    <col min="9" max="9" width="3.88671875" style="1432" customWidth="1"/>
    <col min="10" max="10" width="4.21875" style="1432" customWidth="1"/>
    <col min="11" max="256" width="8.88671875" style="1432"/>
    <col min="257" max="257" width="6" style="1432" customWidth="1"/>
    <col min="258" max="258" width="34.33203125" style="1432" customWidth="1"/>
    <col min="259" max="259" width="4.88671875" style="1432" customWidth="1"/>
    <col min="260" max="260" width="5.6640625" style="1432" customWidth="1"/>
    <col min="261" max="263" width="8.6640625" style="1432" customWidth="1"/>
    <col min="264" max="264" width="8.88671875" style="1432"/>
    <col min="265" max="265" width="3.88671875" style="1432" customWidth="1"/>
    <col min="266" max="266" width="4.21875" style="1432" customWidth="1"/>
    <col min="267" max="512" width="8.88671875" style="1432"/>
    <col min="513" max="513" width="6" style="1432" customWidth="1"/>
    <col min="514" max="514" width="34.33203125" style="1432" customWidth="1"/>
    <col min="515" max="515" width="4.88671875" style="1432" customWidth="1"/>
    <col min="516" max="516" width="5.6640625" style="1432" customWidth="1"/>
    <col min="517" max="519" width="8.6640625" style="1432" customWidth="1"/>
    <col min="520" max="520" width="8.88671875" style="1432"/>
    <col min="521" max="521" width="3.88671875" style="1432" customWidth="1"/>
    <col min="522" max="522" width="4.21875" style="1432" customWidth="1"/>
    <col min="523" max="768" width="8.88671875" style="1432"/>
    <col min="769" max="769" width="6" style="1432" customWidth="1"/>
    <col min="770" max="770" width="34.33203125" style="1432" customWidth="1"/>
    <col min="771" max="771" width="4.88671875" style="1432" customWidth="1"/>
    <col min="772" max="772" width="5.6640625" style="1432" customWidth="1"/>
    <col min="773" max="775" width="8.6640625" style="1432" customWidth="1"/>
    <col min="776" max="776" width="8.88671875" style="1432"/>
    <col min="777" max="777" width="3.88671875" style="1432" customWidth="1"/>
    <col min="778" max="778" width="4.21875" style="1432" customWidth="1"/>
    <col min="779" max="1024" width="8.88671875" style="1432"/>
    <col min="1025" max="1025" width="6" style="1432" customWidth="1"/>
    <col min="1026" max="1026" width="34.33203125" style="1432" customWidth="1"/>
    <col min="1027" max="1027" width="4.88671875" style="1432" customWidth="1"/>
    <col min="1028" max="1028" width="5.6640625" style="1432" customWidth="1"/>
    <col min="1029" max="1031" width="8.6640625" style="1432" customWidth="1"/>
    <col min="1032" max="1032" width="8.88671875" style="1432"/>
    <col min="1033" max="1033" width="3.88671875" style="1432" customWidth="1"/>
    <col min="1034" max="1034" width="4.21875" style="1432" customWidth="1"/>
    <col min="1035" max="1280" width="8.88671875" style="1432"/>
    <col min="1281" max="1281" width="6" style="1432" customWidth="1"/>
    <col min="1282" max="1282" width="34.33203125" style="1432" customWidth="1"/>
    <col min="1283" max="1283" width="4.88671875" style="1432" customWidth="1"/>
    <col min="1284" max="1284" width="5.6640625" style="1432" customWidth="1"/>
    <col min="1285" max="1287" width="8.6640625" style="1432" customWidth="1"/>
    <col min="1288" max="1288" width="8.88671875" style="1432"/>
    <col min="1289" max="1289" width="3.88671875" style="1432" customWidth="1"/>
    <col min="1290" max="1290" width="4.21875" style="1432" customWidth="1"/>
    <col min="1291" max="1536" width="8.88671875" style="1432"/>
    <col min="1537" max="1537" width="6" style="1432" customWidth="1"/>
    <col min="1538" max="1538" width="34.33203125" style="1432" customWidth="1"/>
    <col min="1539" max="1539" width="4.88671875" style="1432" customWidth="1"/>
    <col min="1540" max="1540" width="5.6640625" style="1432" customWidth="1"/>
    <col min="1541" max="1543" width="8.6640625" style="1432" customWidth="1"/>
    <col min="1544" max="1544" width="8.88671875" style="1432"/>
    <col min="1545" max="1545" width="3.88671875" style="1432" customWidth="1"/>
    <col min="1546" max="1546" width="4.21875" style="1432" customWidth="1"/>
    <col min="1547" max="1792" width="8.88671875" style="1432"/>
    <col min="1793" max="1793" width="6" style="1432" customWidth="1"/>
    <col min="1794" max="1794" width="34.33203125" style="1432" customWidth="1"/>
    <col min="1795" max="1795" width="4.88671875" style="1432" customWidth="1"/>
    <col min="1796" max="1796" width="5.6640625" style="1432" customWidth="1"/>
    <col min="1797" max="1799" width="8.6640625" style="1432" customWidth="1"/>
    <col min="1800" max="1800" width="8.88671875" style="1432"/>
    <col min="1801" max="1801" width="3.88671875" style="1432" customWidth="1"/>
    <col min="1802" max="1802" width="4.21875" style="1432" customWidth="1"/>
    <col min="1803" max="2048" width="8.88671875" style="1432"/>
    <col min="2049" max="2049" width="6" style="1432" customWidth="1"/>
    <col min="2050" max="2050" width="34.33203125" style="1432" customWidth="1"/>
    <col min="2051" max="2051" width="4.88671875" style="1432" customWidth="1"/>
    <col min="2052" max="2052" width="5.6640625" style="1432" customWidth="1"/>
    <col min="2053" max="2055" width="8.6640625" style="1432" customWidth="1"/>
    <col min="2056" max="2056" width="8.88671875" style="1432"/>
    <col min="2057" max="2057" width="3.88671875" style="1432" customWidth="1"/>
    <col min="2058" max="2058" width="4.21875" style="1432" customWidth="1"/>
    <col min="2059" max="2304" width="8.88671875" style="1432"/>
    <col min="2305" max="2305" width="6" style="1432" customWidth="1"/>
    <col min="2306" max="2306" width="34.33203125" style="1432" customWidth="1"/>
    <col min="2307" max="2307" width="4.88671875" style="1432" customWidth="1"/>
    <col min="2308" max="2308" width="5.6640625" style="1432" customWidth="1"/>
    <col min="2309" max="2311" width="8.6640625" style="1432" customWidth="1"/>
    <col min="2312" max="2312" width="8.88671875" style="1432"/>
    <col min="2313" max="2313" width="3.88671875" style="1432" customWidth="1"/>
    <col min="2314" max="2314" width="4.21875" style="1432" customWidth="1"/>
    <col min="2315" max="2560" width="8.88671875" style="1432"/>
    <col min="2561" max="2561" width="6" style="1432" customWidth="1"/>
    <col min="2562" max="2562" width="34.33203125" style="1432" customWidth="1"/>
    <col min="2563" max="2563" width="4.88671875" style="1432" customWidth="1"/>
    <col min="2564" max="2564" width="5.6640625" style="1432" customWidth="1"/>
    <col min="2565" max="2567" width="8.6640625" style="1432" customWidth="1"/>
    <col min="2568" max="2568" width="8.88671875" style="1432"/>
    <col min="2569" max="2569" width="3.88671875" style="1432" customWidth="1"/>
    <col min="2570" max="2570" width="4.21875" style="1432" customWidth="1"/>
    <col min="2571" max="2816" width="8.88671875" style="1432"/>
    <col min="2817" max="2817" width="6" style="1432" customWidth="1"/>
    <col min="2818" max="2818" width="34.33203125" style="1432" customWidth="1"/>
    <col min="2819" max="2819" width="4.88671875" style="1432" customWidth="1"/>
    <col min="2820" max="2820" width="5.6640625" style="1432" customWidth="1"/>
    <col min="2821" max="2823" width="8.6640625" style="1432" customWidth="1"/>
    <col min="2824" max="2824" width="8.88671875" style="1432"/>
    <col min="2825" max="2825" width="3.88671875" style="1432" customWidth="1"/>
    <col min="2826" max="2826" width="4.21875" style="1432" customWidth="1"/>
    <col min="2827" max="3072" width="8.88671875" style="1432"/>
    <col min="3073" max="3073" width="6" style="1432" customWidth="1"/>
    <col min="3074" max="3074" width="34.33203125" style="1432" customWidth="1"/>
    <col min="3075" max="3075" width="4.88671875" style="1432" customWidth="1"/>
    <col min="3076" max="3076" width="5.6640625" style="1432" customWidth="1"/>
    <col min="3077" max="3079" width="8.6640625" style="1432" customWidth="1"/>
    <col min="3080" max="3080" width="8.88671875" style="1432"/>
    <col min="3081" max="3081" width="3.88671875" style="1432" customWidth="1"/>
    <col min="3082" max="3082" width="4.21875" style="1432" customWidth="1"/>
    <col min="3083" max="3328" width="8.88671875" style="1432"/>
    <col min="3329" max="3329" width="6" style="1432" customWidth="1"/>
    <col min="3330" max="3330" width="34.33203125" style="1432" customWidth="1"/>
    <col min="3331" max="3331" width="4.88671875" style="1432" customWidth="1"/>
    <col min="3332" max="3332" width="5.6640625" style="1432" customWidth="1"/>
    <col min="3333" max="3335" width="8.6640625" style="1432" customWidth="1"/>
    <col min="3336" max="3336" width="8.88671875" style="1432"/>
    <col min="3337" max="3337" width="3.88671875" style="1432" customWidth="1"/>
    <col min="3338" max="3338" width="4.21875" style="1432" customWidth="1"/>
    <col min="3339" max="3584" width="8.88671875" style="1432"/>
    <col min="3585" max="3585" width="6" style="1432" customWidth="1"/>
    <col min="3586" max="3586" width="34.33203125" style="1432" customWidth="1"/>
    <col min="3587" max="3587" width="4.88671875" style="1432" customWidth="1"/>
    <col min="3588" max="3588" width="5.6640625" style="1432" customWidth="1"/>
    <col min="3589" max="3591" width="8.6640625" style="1432" customWidth="1"/>
    <col min="3592" max="3592" width="8.88671875" style="1432"/>
    <col min="3593" max="3593" width="3.88671875" style="1432" customWidth="1"/>
    <col min="3594" max="3594" width="4.21875" style="1432" customWidth="1"/>
    <col min="3595" max="3840" width="8.88671875" style="1432"/>
    <col min="3841" max="3841" width="6" style="1432" customWidth="1"/>
    <col min="3842" max="3842" width="34.33203125" style="1432" customWidth="1"/>
    <col min="3843" max="3843" width="4.88671875" style="1432" customWidth="1"/>
    <col min="3844" max="3844" width="5.6640625" style="1432" customWidth="1"/>
    <col min="3845" max="3847" width="8.6640625" style="1432" customWidth="1"/>
    <col min="3848" max="3848" width="8.88671875" style="1432"/>
    <col min="3849" max="3849" width="3.88671875" style="1432" customWidth="1"/>
    <col min="3850" max="3850" width="4.21875" style="1432" customWidth="1"/>
    <col min="3851" max="4096" width="8.88671875" style="1432"/>
    <col min="4097" max="4097" width="6" style="1432" customWidth="1"/>
    <col min="4098" max="4098" width="34.33203125" style="1432" customWidth="1"/>
    <col min="4099" max="4099" width="4.88671875" style="1432" customWidth="1"/>
    <col min="4100" max="4100" width="5.6640625" style="1432" customWidth="1"/>
    <col min="4101" max="4103" width="8.6640625" style="1432" customWidth="1"/>
    <col min="4104" max="4104" width="8.88671875" style="1432"/>
    <col min="4105" max="4105" width="3.88671875" style="1432" customWidth="1"/>
    <col min="4106" max="4106" width="4.21875" style="1432" customWidth="1"/>
    <col min="4107" max="4352" width="8.88671875" style="1432"/>
    <col min="4353" max="4353" width="6" style="1432" customWidth="1"/>
    <col min="4354" max="4354" width="34.33203125" style="1432" customWidth="1"/>
    <col min="4355" max="4355" width="4.88671875" style="1432" customWidth="1"/>
    <col min="4356" max="4356" width="5.6640625" style="1432" customWidth="1"/>
    <col min="4357" max="4359" width="8.6640625" style="1432" customWidth="1"/>
    <col min="4360" max="4360" width="8.88671875" style="1432"/>
    <col min="4361" max="4361" width="3.88671875" style="1432" customWidth="1"/>
    <col min="4362" max="4362" width="4.21875" style="1432" customWidth="1"/>
    <col min="4363" max="4608" width="8.88671875" style="1432"/>
    <col min="4609" max="4609" width="6" style="1432" customWidth="1"/>
    <col min="4610" max="4610" width="34.33203125" style="1432" customWidth="1"/>
    <col min="4611" max="4611" width="4.88671875" style="1432" customWidth="1"/>
    <col min="4612" max="4612" width="5.6640625" style="1432" customWidth="1"/>
    <col min="4613" max="4615" width="8.6640625" style="1432" customWidth="1"/>
    <col min="4616" max="4616" width="8.88671875" style="1432"/>
    <col min="4617" max="4617" width="3.88671875" style="1432" customWidth="1"/>
    <col min="4618" max="4618" width="4.21875" style="1432" customWidth="1"/>
    <col min="4619" max="4864" width="8.88671875" style="1432"/>
    <col min="4865" max="4865" width="6" style="1432" customWidth="1"/>
    <col min="4866" max="4866" width="34.33203125" style="1432" customWidth="1"/>
    <col min="4867" max="4867" width="4.88671875" style="1432" customWidth="1"/>
    <col min="4868" max="4868" width="5.6640625" style="1432" customWidth="1"/>
    <col min="4869" max="4871" width="8.6640625" style="1432" customWidth="1"/>
    <col min="4872" max="4872" width="8.88671875" style="1432"/>
    <col min="4873" max="4873" width="3.88671875" style="1432" customWidth="1"/>
    <col min="4874" max="4874" width="4.21875" style="1432" customWidth="1"/>
    <col min="4875" max="5120" width="8.88671875" style="1432"/>
    <col min="5121" max="5121" width="6" style="1432" customWidth="1"/>
    <col min="5122" max="5122" width="34.33203125" style="1432" customWidth="1"/>
    <col min="5123" max="5123" width="4.88671875" style="1432" customWidth="1"/>
    <col min="5124" max="5124" width="5.6640625" style="1432" customWidth="1"/>
    <col min="5125" max="5127" width="8.6640625" style="1432" customWidth="1"/>
    <col min="5128" max="5128" width="8.88671875" style="1432"/>
    <col min="5129" max="5129" width="3.88671875" style="1432" customWidth="1"/>
    <col min="5130" max="5130" width="4.21875" style="1432" customWidth="1"/>
    <col min="5131" max="5376" width="8.88671875" style="1432"/>
    <col min="5377" max="5377" width="6" style="1432" customWidth="1"/>
    <col min="5378" max="5378" width="34.33203125" style="1432" customWidth="1"/>
    <col min="5379" max="5379" width="4.88671875" style="1432" customWidth="1"/>
    <col min="5380" max="5380" width="5.6640625" style="1432" customWidth="1"/>
    <col min="5381" max="5383" width="8.6640625" style="1432" customWidth="1"/>
    <col min="5384" max="5384" width="8.88671875" style="1432"/>
    <col min="5385" max="5385" width="3.88671875" style="1432" customWidth="1"/>
    <col min="5386" max="5386" width="4.21875" style="1432" customWidth="1"/>
    <col min="5387" max="5632" width="8.88671875" style="1432"/>
    <col min="5633" max="5633" width="6" style="1432" customWidth="1"/>
    <col min="5634" max="5634" width="34.33203125" style="1432" customWidth="1"/>
    <col min="5635" max="5635" width="4.88671875" style="1432" customWidth="1"/>
    <col min="5636" max="5636" width="5.6640625" style="1432" customWidth="1"/>
    <col min="5637" max="5639" width="8.6640625" style="1432" customWidth="1"/>
    <col min="5640" max="5640" width="8.88671875" style="1432"/>
    <col min="5641" max="5641" width="3.88671875" style="1432" customWidth="1"/>
    <col min="5642" max="5642" width="4.21875" style="1432" customWidth="1"/>
    <col min="5643" max="5888" width="8.88671875" style="1432"/>
    <col min="5889" max="5889" width="6" style="1432" customWidth="1"/>
    <col min="5890" max="5890" width="34.33203125" style="1432" customWidth="1"/>
    <col min="5891" max="5891" width="4.88671875" style="1432" customWidth="1"/>
    <col min="5892" max="5892" width="5.6640625" style="1432" customWidth="1"/>
    <col min="5893" max="5895" width="8.6640625" style="1432" customWidth="1"/>
    <col min="5896" max="5896" width="8.88671875" style="1432"/>
    <col min="5897" max="5897" width="3.88671875" style="1432" customWidth="1"/>
    <col min="5898" max="5898" width="4.21875" style="1432" customWidth="1"/>
    <col min="5899" max="6144" width="8.88671875" style="1432"/>
    <col min="6145" max="6145" width="6" style="1432" customWidth="1"/>
    <col min="6146" max="6146" width="34.33203125" style="1432" customWidth="1"/>
    <col min="6147" max="6147" width="4.88671875" style="1432" customWidth="1"/>
    <col min="6148" max="6148" width="5.6640625" style="1432" customWidth="1"/>
    <col min="6149" max="6151" width="8.6640625" style="1432" customWidth="1"/>
    <col min="6152" max="6152" width="8.88671875" style="1432"/>
    <col min="6153" max="6153" width="3.88671875" style="1432" customWidth="1"/>
    <col min="6154" max="6154" width="4.21875" style="1432" customWidth="1"/>
    <col min="6155" max="6400" width="8.88671875" style="1432"/>
    <col min="6401" max="6401" width="6" style="1432" customWidth="1"/>
    <col min="6402" max="6402" width="34.33203125" style="1432" customWidth="1"/>
    <col min="6403" max="6403" width="4.88671875" style="1432" customWidth="1"/>
    <col min="6404" max="6404" width="5.6640625" style="1432" customWidth="1"/>
    <col min="6405" max="6407" width="8.6640625" style="1432" customWidth="1"/>
    <col min="6408" max="6408" width="8.88671875" style="1432"/>
    <col min="6409" max="6409" width="3.88671875" style="1432" customWidth="1"/>
    <col min="6410" max="6410" width="4.21875" style="1432" customWidth="1"/>
    <col min="6411" max="6656" width="8.88671875" style="1432"/>
    <col min="6657" max="6657" width="6" style="1432" customWidth="1"/>
    <col min="6658" max="6658" width="34.33203125" style="1432" customWidth="1"/>
    <col min="6659" max="6659" width="4.88671875" style="1432" customWidth="1"/>
    <col min="6660" max="6660" width="5.6640625" style="1432" customWidth="1"/>
    <col min="6661" max="6663" width="8.6640625" style="1432" customWidth="1"/>
    <col min="6664" max="6664" width="8.88671875" style="1432"/>
    <col min="6665" max="6665" width="3.88671875" style="1432" customWidth="1"/>
    <col min="6666" max="6666" width="4.21875" style="1432" customWidth="1"/>
    <col min="6667" max="6912" width="8.88671875" style="1432"/>
    <col min="6913" max="6913" width="6" style="1432" customWidth="1"/>
    <col min="6914" max="6914" width="34.33203125" style="1432" customWidth="1"/>
    <col min="6915" max="6915" width="4.88671875" style="1432" customWidth="1"/>
    <col min="6916" max="6916" width="5.6640625" style="1432" customWidth="1"/>
    <col min="6917" max="6919" width="8.6640625" style="1432" customWidth="1"/>
    <col min="6920" max="6920" width="8.88671875" style="1432"/>
    <col min="6921" max="6921" width="3.88671875" style="1432" customWidth="1"/>
    <col min="6922" max="6922" width="4.21875" style="1432" customWidth="1"/>
    <col min="6923" max="7168" width="8.88671875" style="1432"/>
    <col min="7169" max="7169" width="6" style="1432" customWidth="1"/>
    <col min="7170" max="7170" width="34.33203125" style="1432" customWidth="1"/>
    <col min="7171" max="7171" width="4.88671875" style="1432" customWidth="1"/>
    <col min="7172" max="7172" width="5.6640625" style="1432" customWidth="1"/>
    <col min="7173" max="7175" width="8.6640625" style="1432" customWidth="1"/>
    <col min="7176" max="7176" width="8.88671875" style="1432"/>
    <col min="7177" max="7177" width="3.88671875" style="1432" customWidth="1"/>
    <col min="7178" max="7178" width="4.21875" style="1432" customWidth="1"/>
    <col min="7179" max="7424" width="8.88671875" style="1432"/>
    <col min="7425" max="7425" width="6" style="1432" customWidth="1"/>
    <col min="7426" max="7426" width="34.33203125" style="1432" customWidth="1"/>
    <col min="7427" max="7427" width="4.88671875" style="1432" customWidth="1"/>
    <col min="7428" max="7428" width="5.6640625" style="1432" customWidth="1"/>
    <col min="7429" max="7431" width="8.6640625" style="1432" customWidth="1"/>
    <col min="7432" max="7432" width="8.88671875" style="1432"/>
    <col min="7433" max="7433" width="3.88671875" style="1432" customWidth="1"/>
    <col min="7434" max="7434" width="4.21875" style="1432" customWidth="1"/>
    <col min="7435" max="7680" width="8.88671875" style="1432"/>
    <col min="7681" max="7681" width="6" style="1432" customWidth="1"/>
    <col min="7682" max="7682" width="34.33203125" style="1432" customWidth="1"/>
    <col min="7683" max="7683" width="4.88671875" style="1432" customWidth="1"/>
    <col min="7684" max="7684" width="5.6640625" style="1432" customWidth="1"/>
    <col min="7685" max="7687" width="8.6640625" style="1432" customWidth="1"/>
    <col min="7688" max="7688" width="8.88671875" style="1432"/>
    <col min="7689" max="7689" width="3.88671875" style="1432" customWidth="1"/>
    <col min="7690" max="7690" width="4.21875" style="1432" customWidth="1"/>
    <col min="7691" max="7936" width="8.88671875" style="1432"/>
    <col min="7937" max="7937" width="6" style="1432" customWidth="1"/>
    <col min="7938" max="7938" width="34.33203125" style="1432" customWidth="1"/>
    <col min="7939" max="7939" width="4.88671875" style="1432" customWidth="1"/>
    <col min="7940" max="7940" width="5.6640625" style="1432" customWidth="1"/>
    <col min="7941" max="7943" width="8.6640625" style="1432" customWidth="1"/>
    <col min="7944" max="7944" width="8.88671875" style="1432"/>
    <col min="7945" max="7945" width="3.88671875" style="1432" customWidth="1"/>
    <col min="7946" max="7946" width="4.21875" style="1432" customWidth="1"/>
    <col min="7947" max="8192" width="8.88671875" style="1432"/>
    <col min="8193" max="8193" width="6" style="1432" customWidth="1"/>
    <col min="8194" max="8194" width="34.33203125" style="1432" customWidth="1"/>
    <col min="8195" max="8195" width="4.88671875" style="1432" customWidth="1"/>
    <col min="8196" max="8196" width="5.6640625" style="1432" customWidth="1"/>
    <col min="8197" max="8199" width="8.6640625" style="1432" customWidth="1"/>
    <col min="8200" max="8200" width="8.88671875" style="1432"/>
    <col min="8201" max="8201" width="3.88671875" style="1432" customWidth="1"/>
    <col min="8202" max="8202" width="4.21875" style="1432" customWidth="1"/>
    <col min="8203" max="8448" width="8.88671875" style="1432"/>
    <col min="8449" max="8449" width="6" style="1432" customWidth="1"/>
    <col min="8450" max="8450" width="34.33203125" style="1432" customWidth="1"/>
    <col min="8451" max="8451" width="4.88671875" style="1432" customWidth="1"/>
    <col min="8452" max="8452" width="5.6640625" style="1432" customWidth="1"/>
    <col min="8453" max="8455" width="8.6640625" style="1432" customWidth="1"/>
    <col min="8456" max="8456" width="8.88671875" style="1432"/>
    <col min="8457" max="8457" width="3.88671875" style="1432" customWidth="1"/>
    <col min="8458" max="8458" width="4.21875" style="1432" customWidth="1"/>
    <col min="8459" max="8704" width="8.88671875" style="1432"/>
    <col min="8705" max="8705" width="6" style="1432" customWidth="1"/>
    <col min="8706" max="8706" width="34.33203125" style="1432" customWidth="1"/>
    <col min="8707" max="8707" width="4.88671875" style="1432" customWidth="1"/>
    <col min="8708" max="8708" width="5.6640625" style="1432" customWidth="1"/>
    <col min="8709" max="8711" width="8.6640625" style="1432" customWidth="1"/>
    <col min="8712" max="8712" width="8.88671875" style="1432"/>
    <col min="8713" max="8713" width="3.88671875" style="1432" customWidth="1"/>
    <col min="8714" max="8714" width="4.21875" style="1432" customWidth="1"/>
    <col min="8715" max="8960" width="8.88671875" style="1432"/>
    <col min="8961" max="8961" width="6" style="1432" customWidth="1"/>
    <col min="8962" max="8962" width="34.33203125" style="1432" customWidth="1"/>
    <col min="8963" max="8963" width="4.88671875" style="1432" customWidth="1"/>
    <col min="8964" max="8964" width="5.6640625" style="1432" customWidth="1"/>
    <col min="8965" max="8967" width="8.6640625" style="1432" customWidth="1"/>
    <col min="8968" max="8968" width="8.88671875" style="1432"/>
    <col min="8969" max="8969" width="3.88671875" style="1432" customWidth="1"/>
    <col min="8970" max="8970" width="4.21875" style="1432" customWidth="1"/>
    <col min="8971" max="9216" width="8.88671875" style="1432"/>
    <col min="9217" max="9217" width="6" style="1432" customWidth="1"/>
    <col min="9218" max="9218" width="34.33203125" style="1432" customWidth="1"/>
    <col min="9219" max="9219" width="4.88671875" style="1432" customWidth="1"/>
    <col min="9220" max="9220" width="5.6640625" style="1432" customWidth="1"/>
    <col min="9221" max="9223" width="8.6640625" style="1432" customWidth="1"/>
    <col min="9224" max="9224" width="8.88671875" style="1432"/>
    <col min="9225" max="9225" width="3.88671875" style="1432" customWidth="1"/>
    <col min="9226" max="9226" width="4.21875" style="1432" customWidth="1"/>
    <col min="9227" max="9472" width="8.88671875" style="1432"/>
    <col min="9473" max="9473" width="6" style="1432" customWidth="1"/>
    <col min="9474" max="9474" width="34.33203125" style="1432" customWidth="1"/>
    <col min="9475" max="9475" width="4.88671875" style="1432" customWidth="1"/>
    <col min="9476" max="9476" width="5.6640625" style="1432" customWidth="1"/>
    <col min="9477" max="9479" width="8.6640625" style="1432" customWidth="1"/>
    <col min="9480" max="9480" width="8.88671875" style="1432"/>
    <col min="9481" max="9481" width="3.88671875" style="1432" customWidth="1"/>
    <col min="9482" max="9482" width="4.21875" style="1432" customWidth="1"/>
    <col min="9483" max="9728" width="8.88671875" style="1432"/>
    <col min="9729" max="9729" width="6" style="1432" customWidth="1"/>
    <col min="9730" max="9730" width="34.33203125" style="1432" customWidth="1"/>
    <col min="9731" max="9731" width="4.88671875" style="1432" customWidth="1"/>
    <col min="9732" max="9732" width="5.6640625" style="1432" customWidth="1"/>
    <col min="9733" max="9735" width="8.6640625" style="1432" customWidth="1"/>
    <col min="9736" max="9736" width="8.88671875" style="1432"/>
    <col min="9737" max="9737" width="3.88671875" style="1432" customWidth="1"/>
    <col min="9738" max="9738" width="4.21875" style="1432" customWidth="1"/>
    <col min="9739" max="9984" width="8.88671875" style="1432"/>
    <col min="9985" max="9985" width="6" style="1432" customWidth="1"/>
    <col min="9986" max="9986" width="34.33203125" style="1432" customWidth="1"/>
    <col min="9987" max="9987" width="4.88671875" style="1432" customWidth="1"/>
    <col min="9988" max="9988" width="5.6640625" style="1432" customWidth="1"/>
    <col min="9989" max="9991" width="8.6640625" style="1432" customWidth="1"/>
    <col min="9992" max="9992" width="8.88671875" style="1432"/>
    <col min="9993" max="9993" width="3.88671875" style="1432" customWidth="1"/>
    <col min="9994" max="9994" width="4.21875" style="1432" customWidth="1"/>
    <col min="9995" max="10240" width="8.88671875" style="1432"/>
    <col min="10241" max="10241" width="6" style="1432" customWidth="1"/>
    <col min="10242" max="10242" width="34.33203125" style="1432" customWidth="1"/>
    <col min="10243" max="10243" width="4.88671875" style="1432" customWidth="1"/>
    <col min="10244" max="10244" width="5.6640625" style="1432" customWidth="1"/>
    <col min="10245" max="10247" width="8.6640625" style="1432" customWidth="1"/>
    <col min="10248" max="10248" width="8.88671875" style="1432"/>
    <col min="10249" max="10249" width="3.88671875" style="1432" customWidth="1"/>
    <col min="10250" max="10250" width="4.21875" style="1432" customWidth="1"/>
    <col min="10251" max="10496" width="8.88671875" style="1432"/>
    <col min="10497" max="10497" width="6" style="1432" customWidth="1"/>
    <col min="10498" max="10498" width="34.33203125" style="1432" customWidth="1"/>
    <col min="10499" max="10499" width="4.88671875" style="1432" customWidth="1"/>
    <col min="10500" max="10500" width="5.6640625" style="1432" customWidth="1"/>
    <col min="10501" max="10503" width="8.6640625" style="1432" customWidth="1"/>
    <col min="10504" max="10504" width="8.88671875" style="1432"/>
    <col min="10505" max="10505" width="3.88671875" style="1432" customWidth="1"/>
    <col min="10506" max="10506" width="4.21875" style="1432" customWidth="1"/>
    <col min="10507" max="10752" width="8.88671875" style="1432"/>
    <col min="10753" max="10753" width="6" style="1432" customWidth="1"/>
    <col min="10754" max="10754" width="34.33203125" style="1432" customWidth="1"/>
    <col min="10755" max="10755" width="4.88671875" style="1432" customWidth="1"/>
    <col min="10756" max="10756" width="5.6640625" style="1432" customWidth="1"/>
    <col min="10757" max="10759" width="8.6640625" style="1432" customWidth="1"/>
    <col min="10760" max="10760" width="8.88671875" style="1432"/>
    <col min="10761" max="10761" width="3.88671875" style="1432" customWidth="1"/>
    <col min="10762" max="10762" width="4.21875" style="1432" customWidth="1"/>
    <col min="10763" max="11008" width="8.88671875" style="1432"/>
    <col min="11009" max="11009" width="6" style="1432" customWidth="1"/>
    <col min="11010" max="11010" width="34.33203125" style="1432" customWidth="1"/>
    <col min="11011" max="11011" width="4.88671875" style="1432" customWidth="1"/>
    <col min="11012" max="11012" width="5.6640625" style="1432" customWidth="1"/>
    <col min="11013" max="11015" width="8.6640625" style="1432" customWidth="1"/>
    <col min="11016" max="11016" width="8.88671875" style="1432"/>
    <col min="11017" max="11017" width="3.88671875" style="1432" customWidth="1"/>
    <col min="11018" max="11018" width="4.21875" style="1432" customWidth="1"/>
    <col min="11019" max="11264" width="8.88671875" style="1432"/>
    <col min="11265" max="11265" width="6" style="1432" customWidth="1"/>
    <col min="11266" max="11266" width="34.33203125" style="1432" customWidth="1"/>
    <col min="11267" max="11267" width="4.88671875" style="1432" customWidth="1"/>
    <col min="11268" max="11268" width="5.6640625" style="1432" customWidth="1"/>
    <col min="11269" max="11271" width="8.6640625" style="1432" customWidth="1"/>
    <col min="11272" max="11272" width="8.88671875" style="1432"/>
    <col min="11273" max="11273" width="3.88671875" style="1432" customWidth="1"/>
    <col min="11274" max="11274" width="4.21875" style="1432" customWidth="1"/>
    <col min="11275" max="11520" width="8.88671875" style="1432"/>
    <col min="11521" max="11521" width="6" style="1432" customWidth="1"/>
    <col min="11522" max="11522" width="34.33203125" style="1432" customWidth="1"/>
    <col min="11523" max="11523" width="4.88671875" style="1432" customWidth="1"/>
    <col min="11524" max="11524" width="5.6640625" style="1432" customWidth="1"/>
    <col min="11525" max="11527" width="8.6640625" style="1432" customWidth="1"/>
    <col min="11528" max="11528" width="8.88671875" style="1432"/>
    <col min="11529" max="11529" width="3.88671875" style="1432" customWidth="1"/>
    <col min="11530" max="11530" width="4.21875" style="1432" customWidth="1"/>
    <col min="11531" max="11776" width="8.88671875" style="1432"/>
    <col min="11777" max="11777" width="6" style="1432" customWidth="1"/>
    <col min="11778" max="11778" width="34.33203125" style="1432" customWidth="1"/>
    <col min="11779" max="11779" width="4.88671875" style="1432" customWidth="1"/>
    <col min="11780" max="11780" width="5.6640625" style="1432" customWidth="1"/>
    <col min="11781" max="11783" width="8.6640625" style="1432" customWidth="1"/>
    <col min="11784" max="11784" width="8.88671875" style="1432"/>
    <col min="11785" max="11785" width="3.88671875" style="1432" customWidth="1"/>
    <col min="11786" max="11786" width="4.21875" style="1432" customWidth="1"/>
    <col min="11787" max="12032" width="8.88671875" style="1432"/>
    <col min="12033" max="12033" width="6" style="1432" customWidth="1"/>
    <col min="12034" max="12034" width="34.33203125" style="1432" customWidth="1"/>
    <col min="12035" max="12035" width="4.88671875" style="1432" customWidth="1"/>
    <col min="12036" max="12036" width="5.6640625" style="1432" customWidth="1"/>
    <col min="12037" max="12039" width="8.6640625" style="1432" customWidth="1"/>
    <col min="12040" max="12040" width="8.88671875" style="1432"/>
    <col min="12041" max="12041" width="3.88671875" style="1432" customWidth="1"/>
    <col min="12042" max="12042" width="4.21875" style="1432" customWidth="1"/>
    <col min="12043" max="12288" width="8.88671875" style="1432"/>
    <col min="12289" max="12289" width="6" style="1432" customWidth="1"/>
    <col min="12290" max="12290" width="34.33203125" style="1432" customWidth="1"/>
    <col min="12291" max="12291" width="4.88671875" style="1432" customWidth="1"/>
    <col min="12292" max="12292" width="5.6640625" style="1432" customWidth="1"/>
    <col min="12293" max="12295" width="8.6640625" style="1432" customWidth="1"/>
    <col min="12296" max="12296" width="8.88671875" style="1432"/>
    <col min="12297" max="12297" width="3.88671875" style="1432" customWidth="1"/>
    <col min="12298" max="12298" width="4.21875" style="1432" customWidth="1"/>
    <col min="12299" max="12544" width="8.88671875" style="1432"/>
    <col min="12545" max="12545" width="6" style="1432" customWidth="1"/>
    <col min="12546" max="12546" width="34.33203125" style="1432" customWidth="1"/>
    <col min="12547" max="12547" width="4.88671875" style="1432" customWidth="1"/>
    <col min="12548" max="12548" width="5.6640625" style="1432" customWidth="1"/>
    <col min="12549" max="12551" width="8.6640625" style="1432" customWidth="1"/>
    <col min="12552" max="12552" width="8.88671875" style="1432"/>
    <col min="12553" max="12553" width="3.88671875" style="1432" customWidth="1"/>
    <col min="12554" max="12554" width="4.21875" style="1432" customWidth="1"/>
    <col min="12555" max="12800" width="8.88671875" style="1432"/>
    <col min="12801" max="12801" width="6" style="1432" customWidth="1"/>
    <col min="12802" max="12802" width="34.33203125" style="1432" customWidth="1"/>
    <col min="12803" max="12803" width="4.88671875" style="1432" customWidth="1"/>
    <col min="12804" max="12804" width="5.6640625" style="1432" customWidth="1"/>
    <col min="12805" max="12807" width="8.6640625" style="1432" customWidth="1"/>
    <col min="12808" max="12808" width="8.88671875" style="1432"/>
    <col min="12809" max="12809" width="3.88671875" style="1432" customWidth="1"/>
    <col min="12810" max="12810" width="4.21875" style="1432" customWidth="1"/>
    <col min="12811" max="13056" width="8.88671875" style="1432"/>
    <col min="13057" max="13057" width="6" style="1432" customWidth="1"/>
    <col min="13058" max="13058" width="34.33203125" style="1432" customWidth="1"/>
    <col min="13059" max="13059" width="4.88671875" style="1432" customWidth="1"/>
    <col min="13060" max="13060" width="5.6640625" style="1432" customWidth="1"/>
    <col min="13061" max="13063" width="8.6640625" style="1432" customWidth="1"/>
    <col min="13064" max="13064" width="8.88671875" style="1432"/>
    <col min="13065" max="13065" width="3.88671875" style="1432" customWidth="1"/>
    <col min="13066" max="13066" width="4.21875" style="1432" customWidth="1"/>
    <col min="13067" max="13312" width="8.88671875" style="1432"/>
    <col min="13313" max="13313" width="6" style="1432" customWidth="1"/>
    <col min="13314" max="13314" width="34.33203125" style="1432" customWidth="1"/>
    <col min="13315" max="13315" width="4.88671875" style="1432" customWidth="1"/>
    <col min="13316" max="13316" width="5.6640625" style="1432" customWidth="1"/>
    <col min="13317" max="13319" width="8.6640625" style="1432" customWidth="1"/>
    <col min="13320" max="13320" width="8.88671875" style="1432"/>
    <col min="13321" max="13321" width="3.88671875" style="1432" customWidth="1"/>
    <col min="13322" max="13322" width="4.21875" style="1432" customWidth="1"/>
    <col min="13323" max="13568" width="8.88671875" style="1432"/>
    <col min="13569" max="13569" width="6" style="1432" customWidth="1"/>
    <col min="13570" max="13570" width="34.33203125" style="1432" customWidth="1"/>
    <col min="13571" max="13571" width="4.88671875" style="1432" customWidth="1"/>
    <col min="13572" max="13572" width="5.6640625" style="1432" customWidth="1"/>
    <col min="13573" max="13575" width="8.6640625" style="1432" customWidth="1"/>
    <col min="13576" max="13576" width="8.88671875" style="1432"/>
    <col min="13577" max="13577" width="3.88671875" style="1432" customWidth="1"/>
    <col min="13578" max="13578" width="4.21875" style="1432" customWidth="1"/>
    <col min="13579" max="13824" width="8.88671875" style="1432"/>
    <col min="13825" max="13825" width="6" style="1432" customWidth="1"/>
    <col min="13826" max="13826" width="34.33203125" style="1432" customWidth="1"/>
    <col min="13827" max="13827" width="4.88671875" style="1432" customWidth="1"/>
    <col min="13828" max="13828" width="5.6640625" style="1432" customWidth="1"/>
    <col min="13829" max="13831" width="8.6640625" style="1432" customWidth="1"/>
    <col min="13832" max="13832" width="8.88671875" style="1432"/>
    <col min="13833" max="13833" width="3.88671875" style="1432" customWidth="1"/>
    <col min="13834" max="13834" width="4.21875" style="1432" customWidth="1"/>
    <col min="13835" max="14080" width="8.88671875" style="1432"/>
    <col min="14081" max="14081" width="6" style="1432" customWidth="1"/>
    <col min="14082" max="14082" width="34.33203125" style="1432" customWidth="1"/>
    <col min="14083" max="14083" width="4.88671875" style="1432" customWidth="1"/>
    <col min="14084" max="14084" width="5.6640625" style="1432" customWidth="1"/>
    <col min="14085" max="14087" width="8.6640625" style="1432" customWidth="1"/>
    <col min="14088" max="14088" width="8.88671875" style="1432"/>
    <col min="14089" max="14089" width="3.88671875" style="1432" customWidth="1"/>
    <col min="14090" max="14090" width="4.21875" style="1432" customWidth="1"/>
    <col min="14091" max="14336" width="8.88671875" style="1432"/>
    <col min="14337" max="14337" width="6" style="1432" customWidth="1"/>
    <col min="14338" max="14338" width="34.33203125" style="1432" customWidth="1"/>
    <col min="14339" max="14339" width="4.88671875" style="1432" customWidth="1"/>
    <col min="14340" max="14340" width="5.6640625" style="1432" customWidth="1"/>
    <col min="14341" max="14343" width="8.6640625" style="1432" customWidth="1"/>
    <col min="14344" max="14344" width="8.88671875" style="1432"/>
    <col min="14345" max="14345" width="3.88671875" style="1432" customWidth="1"/>
    <col min="14346" max="14346" width="4.21875" style="1432" customWidth="1"/>
    <col min="14347" max="14592" width="8.88671875" style="1432"/>
    <col min="14593" max="14593" width="6" style="1432" customWidth="1"/>
    <col min="14594" max="14594" width="34.33203125" style="1432" customWidth="1"/>
    <col min="14595" max="14595" width="4.88671875" style="1432" customWidth="1"/>
    <col min="14596" max="14596" width="5.6640625" style="1432" customWidth="1"/>
    <col min="14597" max="14599" width="8.6640625" style="1432" customWidth="1"/>
    <col min="14600" max="14600" width="8.88671875" style="1432"/>
    <col min="14601" max="14601" width="3.88671875" style="1432" customWidth="1"/>
    <col min="14602" max="14602" width="4.21875" style="1432" customWidth="1"/>
    <col min="14603" max="14848" width="8.88671875" style="1432"/>
    <col min="14849" max="14849" width="6" style="1432" customWidth="1"/>
    <col min="14850" max="14850" width="34.33203125" style="1432" customWidth="1"/>
    <col min="14851" max="14851" width="4.88671875" style="1432" customWidth="1"/>
    <col min="14852" max="14852" width="5.6640625" style="1432" customWidth="1"/>
    <col min="14853" max="14855" width="8.6640625" style="1432" customWidth="1"/>
    <col min="14856" max="14856" width="8.88671875" style="1432"/>
    <col min="14857" max="14857" width="3.88671875" style="1432" customWidth="1"/>
    <col min="14858" max="14858" width="4.21875" style="1432" customWidth="1"/>
    <col min="14859" max="15104" width="8.88671875" style="1432"/>
    <col min="15105" max="15105" width="6" style="1432" customWidth="1"/>
    <col min="15106" max="15106" width="34.33203125" style="1432" customWidth="1"/>
    <col min="15107" max="15107" width="4.88671875" style="1432" customWidth="1"/>
    <col min="15108" max="15108" width="5.6640625" style="1432" customWidth="1"/>
    <col min="15109" max="15111" width="8.6640625" style="1432" customWidth="1"/>
    <col min="15112" max="15112" width="8.88671875" style="1432"/>
    <col min="15113" max="15113" width="3.88671875" style="1432" customWidth="1"/>
    <col min="15114" max="15114" width="4.21875" style="1432" customWidth="1"/>
    <col min="15115" max="15360" width="8.88671875" style="1432"/>
    <col min="15361" max="15361" width="6" style="1432" customWidth="1"/>
    <col min="15362" max="15362" width="34.33203125" style="1432" customWidth="1"/>
    <col min="15363" max="15363" width="4.88671875" style="1432" customWidth="1"/>
    <col min="15364" max="15364" width="5.6640625" style="1432" customWidth="1"/>
    <col min="15365" max="15367" width="8.6640625" style="1432" customWidth="1"/>
    <col min="15368" max="15368" width="8.88671875" style="1432"/>
    <col min="15369" max="15369" width="3.88671875" style="1432" customWidth="1"/>
    <col min="15370" max="15370" width="4.21875" style="1432" customWidth="1"/>
    <col min="15371" max="15616" width="8.88671875" style="1432"/>
    <col min="15617" max="15617" width="6" style="1432" customWidth="1"/>
    <col min="15618" max="15618" width="34.33203125" style="1432" customWidth="1"/>
    <col min="15619" max="15619" width="4.88671875" style="1432" customWidth="1"/>
    <col min="15620" max="15620" width="5.6640625" style="1432" customWidth="1"/>
    <col min="15621" max="15623" width="8.6640625" style="1432" customWidth="1"/>
    <col min="15624" max="15624" width="8.88671875" style="1432"/>
    <col min="15625" max="15625" width="3.88671875" style="1432" customWidth="1"/>
    <col min="15626" max="15626" width="4.21875" style="1432" customWidth="1"/>
    <col min="15627" max="15872" width="8.88671875" style="1432"/>
    <col min="15873" max="15873" width="6" style="1432" customWidth="1"/>
    <col min="15874" max="15874" width="34.33203125" style="1432" customWidth="1"/>
    <col min="15875" max="15875" width="4.88671875" style="1432" customWidth="1"/>
    <col min="15876" max="15876" width="5.6640625" style="1432" customWidth="1"/>
    <col min="15877" max="15879" width="8.6640625" style="1432" customWidth="1"/>
    <col min="15880" max="15880" width="8.88671875" style="1432"/>
    <col min="15881" max="15881" width="3.88671875" style="1432" customWidth="1"/>
    <col min="15882" max="15882" width="4.21875" style="1432" customWidth="1"/>
    <col min="15883" max="16128" width="8.88671875" style="1432"/>
    <col min="16129" max="16129" width="6" style="1432" customWidth="1"/>
    <col min="16130" max="16130" width="34.33203125" style="1432" customWidth="1"/>
    <col min="16131" max="16131" width="4.88671875" style="1432" customWidth="1"/>
    <col min="16132" max="16132" width="5.6640625" style="1432" customWidth="1"/>
    <col min="16133" max="16135" width="8.6640625" style="1432" customWidth="1"/>
    <col min="16136" max="16136" width="8.88671875" style="1432"/>
    <col min="16137" max="16137" width="3.88671875" style="1432" customWidth="1"/>
    <col min="16138" max="16138" width="4.21875" style="1432" customWidth="1"/>
    <col min="16139" max="16384" width="8.88671875" style="1432"/>
  </cols>
  <sheetData>
    <row r="1" spans="1:256" ht="43.5" customHeight="1">
      <c r="A1" s="1370" t="str">
        <f>P.P!A1</f>
        <v>Name of work: Construction of DSP camp office cum Residence with development works at Cuddalore New town in Cuddalore District</v>
      </c>
      <c r="B1" s="1370"/>
      <c r="C1" s="1370"/>
      <c r="D1" s="1370"/>
      <c r="E1" s="1370"/>
      <c r="F1" s="1370"/>
      <c r="G1" s="1370"/>
      <c r="H1" s="1370"/>
      <c r="I1" s="1370"/>
      <c r="J1" s="1431"/>
      <c r="K1" s="1431"/>
      <c r="L1" s="1431"/>
      <c r="M1" s="1431"/>
      <c r="N1" s="1431"/>
      <c r="O1" s="1431"/>
      <c r="P1" s="1431"/>
      <c r="Q1" s="1431"/>
      <c r="R1" s="1431"/>
      <c r="S1" s="1431"/>
      <c r="T1" s="1431"/>
      <c r="U1" s="1431"/>
      <c r="V1" s="1431"/>
      <c r="W1" s="1431"/>
      <c r="X1" s="1431"/>
      <c r="Y1" s="1431"/>
      <c r="Z1" s="1431"/>
      <c r="AA1" s="1431"/>
      <c r="AB1" s="1431"/>
      <c r="AC1" s="1431"/>
      <c r="AD1" s="1431"/>
      <c r="AE1" s="1431"/>
      <c r="AF1" s="1431"/>
      <c r="AG1" s="1431"/>
      <c r="AH1" s="1431"/>
      <c r="AI1" s="1431"/>
      <c r="AJ1" s="1431"/>
      <c r="AK1" s="1431"/>
      <c r="AL1" s="1431"/>
      <c r="AM1" s="1431"/>
      <c r="AN1" s="1431"/>
      <c r="AO1" s="1431"/>
      <c r="AP1" s="1431"/>
      <c r="AQ1" s="1431"/>
      <c r="AR1" s="1431"/>
      <c r="AS1" s="1431"/>
      <c r="AT1" s="1431"/>
      <c r="AU1" s="1431"/>
      <c r="AV1" s="1431"/>
      <c r="AW1" s="1431"/>
      <c r="AX1" s="1431"/>
      <c r="AY1" s="1431"/>
      <c r="AZ1" s="1431"/>
      <c r="BA1" s="1431"/>
      <c r="BB1" s="1431"/>
      <c r="BC1" s="1431"/>
      <c r="BD1" s="1431"/>
      <c r="BE1" s="1431"/>
      <c r="BF1" s="1431"/>
      <c r="BG1" s="1431"/>
      <c r="BH1" s="1431"/>
      <c r="BI1" s="1431"/>
      <c r="BJ1" s="1431"/>
      <c r="BK1" s="1431"/>
      <c r="BL1" s="1431"/>
      <c r="BM1" s="1431"/>
      <c r="BN1" s="1431"/>
      <c r="BO1" s="1431"/>
      <c r="BP1" s="1431"/>
      <c r="BQ1" s="1431"/>
      <c r="BR1" s="1431"/>
      <c r="BS1" s="1431"/>
      <c r="BT1" s="1431"/>
      <c r="BU1" s="1431"/>
      <c r="BV1" s="1431"/>
      <c r="BW1" s="1431"/>
      <c r="BX1" s="1431"/>
      <c r="BY1" s="1431"/>
      <c r="BZ1" s="1431"/>
      <c r="CA1" s="1431"/>
      <c r="CB1" s="1431"/>
      <c r="CC1" s="1431"/>
      <c r="CD1" s="1431"/>
      <c r="CE1" s="1431"/>
      <c r="CF1" s="1431"/>
      <c r="CG1" s="1431"/>
      <c r="CH1" s="1431"/>
      <c r="CI1" s="1431"/>
      <c r="CJ1" s="1431"/>
      <c r="CK1" s="1431"/>
      <c r="CL1" s="1431"/>
      <c r="CM1" s="1431"/>
      <c r="CN1" s="1431"/>
      <c r="CO1" s="1431"/>
      <c r="CP1" s="1431"/>
      <c r="CQ1" s="1431"/>
      <c r="CR1" s="1431"/>
      <c r="CS1" s="1431"/>
      <c r="CT1" s="1431"/>
      <c r="CU1" s="1431"/>
      <c r="CV1" s="1431"/>
      <c r="CW1" s="1431"/>
      <c r="CX1" s="1431"/>
      <c r="CY1" s="1431"/>
      <c r="CZ1" s="1431"/>
      <c r="DA1" s="1431"/>
      <c r="DB1" s="1431"/>
      <c r="DC1" s="1431"/>
      <c r="DD1" s="1431"/>
      <c r="DE1" s="1431"/>
      <c r="DF1" s="1431"/>
      <c r="DG1" s="1431"/>
      <c r="DH1" s="1431"/>
      <c r="DI1" s="1431"/>
      <c r="DJ1" s="1431"/>
      <c r="DK1" s="1431"/>
      <c r="DL1" s="1431"/>
      <c r="DM1" s="1431"/>
      <c r="DN1" s="1431"/>
      <c r="DO1" s="1431"/>
      <c r="DP1" s="1431"/>
      <c r="DQ1" s="1431"/>
      <c r="DR1" s="1431"/>
      <c r="DS1" s="1431"/>
      <c r="DT1" s="1431"/>
      <c r="DU1" s="1431"/>
      <c r="DV1" s="1431"/>
      <c r="DW1" s="1431"/>
      <c r="DX1" s="1431"/>
      <c r="DY1" s="1431"/>
      <c r="DZ1" s="1431"/>
      <c r="EA1" s="1431"/>
      <c r="EB1" s="1431"/>
      <c r="EC1" s="1431"/>
      <c r="ED1" s="1431"/>
      <c r="EE1" s="1431"/>
      <c r="EF1" s="1431"/>
      <c r="EG1" s="1431"/>
      <c r="EH1" s="1431"/>
      <c r="EI1" s="1431"/>
      <c r="EJ1" s="1431"/>
      <c r="EK1" s="1431"/>
      <c r="EL1" s="1431"/>
      <c r="EM1" s="1431"/>
      <c r="EN1" s="1431"/>
      <c r="EO1" s="1431"/>
      <c r="EP1" s="1431"/>
      <c r="EQ1" s="1431"/>
      <c r="ER1" s="1431"/>
      <c r="ES1" s="1431"/>
      <c r="ET1" s="1431"/>
      <c r="EU1" s="1431"/>
      <c r="EV1" s="1431"/>
      <c r="EW1" s="1431"/>
      <c r="EX1" s="1431"/>
      <c r="EY1" s="1431"/>
      <c r="EZ1" s="1431"/>
      <c r="FA1" s="1431"/>
      <c r="FB1" s="1431"/>
      <c r="FC1" s="1431"/>
      <c r="FD1" s="1431"/>
      <c r="FE1" s="1431"/>
      <c r="FF1" s="1431"/>
      <c r="FG1" s="1431"/>
      <c r="FH1" s="1431"/>
      <c r="FI1" s="1431"/>
      <c r="FJ1" s="1431"/>
      <c r="FK1" s="1431"/>
      <c r="FL1" s="1431"/>
      <c r="FM1" s="1431"/>
      <c r="FN1" s="1431"/>
      <c r="FO1" s="1431"/>
      <c r="FP1" s="1431"/>
      <c r="FQ1" s="1431"/>
      <c r="FR1" s="1431"/>
      <c r="FS1" s="1431"/>
      <c r="FT1" s="1431"/>
      <c r="FU1" s="1431"/>
      <c r="FV1" s="1431"/>
      <c r="FW1" s="1431"/>
      <c r="FX1" s="1431"/>
      <c r="FY1" s="1431"/>
      <c r="FZ1" s="1431"/>
      <c r="GA1" s="1431"/>
      <c r="GB1" s="1431"/>
      <c r="GC1" s="1431"/>
      <c r="GD1" s="1431"/>
      <c r="GE1" s="1431"/>
      <c r="GF1" s="1431"/>
      <c r="GG1" s="1431"/>
      <c r="GH1" s="1431"/>
      <c r="GI1" s="1431"/>
      <c r="GJ1" s="1431"/>
      <c r="GK1" s="1431"/>
      <c r="GL1" s="1431"/>
      <c r="GM1" s="1431"/>
      <c r="GN1" s="1431"/>
      <c r="GO1" s="1431"/>
      <c r="GP1" s="1431"/>
      <c r="GQ1" s="1431"/>
      <c r="GR1" s="1431"/>
      <c r="GS1" s="1431"/>
      <c r="GT1" s="1431"/>
      <c r="GU1" s="1431"/>
      <c r="GV1" s="1431"/>
      <c r="GW1" s="1431"/>
      <c r="GX1" s="1431"/>
      <c r="GY1" s="1431"/>
      <c r="GZ1" s="1431"/>
      <c r="HA1" s="1431"/>
      <c r="HB1" s="1431"/>
      <c r="HC1" s="1431"/>
      <c r="HD1" s="1431"/>
      <c r="HE1" s="1431"/>
      <c r="HF1" s="1431"/>
      <c r="HG1" s="1431"/>
      <c r="HH1" s="1431"/>
      <c r="HI1" s="1431"/>
      <c r="HJ1" s="1431"/>
      <c r="HK1" s="1431"/>
      <c r="HL1" s="1431"/>
      <c r="HM1" s="1431"/>
      <c r="HN1" s="1431"/>
      <c r="HO1" s="1431"/>
      <c r="HP1" s="1431"/>
      <c r="HQ1" s="1431"/>
      <c r="HR1" s="1431"/>
      <c r="HS1" s="1431"/>
      <c r="HT1" s="1431"/>
      <c r="HU1" s="1431"/>
      <c r="HV1" s="1431"/>
      <c r="HW1" s="1431"/>
      <c r="HX1" s="1431"/>
      <c r="HY1" s="1431"/>
      <c r="HZ1" s="1431"/>
      <c r="IA1" s="1431"/>
      <c r="IB1" s="1431"/>
      <c r="IC1" s="1431"/>
      <c r="ID1" s="1431"/>
      <c r="IE1" s="1431"/>
      <c r="IF1" s="1431"/>
      <c r="IG1" s="1431"/>
      <c r="IH1" s="1431"/>
      <c r="II1" s="1431"/>
      <c r="IJ1" s="1431"/>
      <c r="IK1" s="1431"/>
      <c r="IL1" s="1431"/>
      <c r="IM1" s="1431"/>
      <c r="IN1" s="1431"/>
      <c r="IO1" s="1431"/>
      <c r="IP1" s="1431"/>
      <c r="IQ1" s="1431"/>
      <c r="IR1" s="1431"/>
      <c r="IS1" s="1431"/>
      <c r="IT1" s="1431"/>
      <c r="IU1" s="1431"/>
      <c r="IV1" s="1431"/>
    </row>
    <row r="2" spans="1:256" ht="36.75" customHeight="1">
      <c r="A2" s="1433" t="s">
        <v>7137</v>
      </c>
      <c r="B2" s="1433"/>
      <c r="C2" s="1433"/>
      <c r="D2" s="1433"/>
      <c r="E2" s="1433"/>
      <c r="F2" s="1433"/>
      <c r="G2" s="1433"/>
      <c r="H2" s="1433"/>
      <c r="I2" s="1433"/>
      <c r="J2" s="1431"/>
      <c r="K2" s="1431"/>
      <c r="L2" s="1431"/>
      <c r="M2" s="1431"/>
      <c r="N2" s="1431"/>
      <c r="O2" s="1431"/>
      <c r="P2" s="1431"/>
      <c r="Q2" s="1431"/>
      <c r="R2" s="1431"/>
      <c r="S2" s="1431"/>
      <c r="T2" s="1431"/>
      <c r="U2" s="1431"/>
      <c r="V2" s="1431"/>
      <c r="W2" s="1431"/>
      <c r="X2" s="1431"/>
      <c r="Y2" s="1431"/>
      <c r="Z2" s="1431"/>
      <c r="AA2" s="1431"/>
      <c r="AB2" s="1431"/>
      <c r="AC2" s="1431"/>
      <c r="AD2" s="1431"/>
      <c r="AE2" s="1431"/>
      <c r="AF2" s="1431"/>
      <c r="AG2" s="1431"/>
      <c r="AH2" s="1431"/>
      <c r="AI2" s="1431"/>
      <c r="AJ2" s="1431"/>
      <c r="AK2" s="1431"/>
      <c r="AL2" s="1431"/>
      <c r="AM2" s="1431"/>
      <c r="AN2" s="1431"/>
      <c r="AO2" s="1431"/>
      <c r="AP2" s="1431"/>
      <c r="AQ2" s="1431"/>
      <c r="AR2" s="1431"/>
      <c r="AS2" s="1431"/>
      <c r="AT2" s="1431"/>
      <c r="AU2" s="1431"/>
      <c r="AV2" s="1431"/>
      <c r="AW2" s="1431"/>
      <c r="AX2" s="1431"/>
      <c r="AY2" s="1431"/>
      <c r="AZ2" s="1431"/>
      <c r="BA2" s="1431"/>
      <c r="BB2" s="1431"/>
      <c r="BC2" s="1431"/>
      <c r="BD2" s="1431"/>
      <c r="BE2" s="1431"/>
      <c r="BF2" s="1431"/>
      <c r="BG2" s="1431"/>
      <c r="BH2" s="1431"/>
      <c r="BI2" s="1431"/>
      <c r="BJ2" s="1431"/>
      <c r="BK2" s="1431"/>
      <c r="BL2" s="1431"/>
      <c r="BM2" s="1431"/>
      <c r="BN2" s="1431"/>
      <c r="BO2" s="1431"/>
      <c r="BP2" s="1431"/>
      <c r="BQ2" s="1431"/>
      <c r="BR2" s="1431"/>
      <c r="BS2" s="1431"/>
      <c r="BT2" s="1431"/>
      <c r="BU2" s="1431"/>
      <c r="BV2" s="1431"/>
      <c r="BW2" s="1431"/>
      <c r="BX2" s="1431"/>
      <c r="BY2" s="1431"/>
      <c r="BZ2" s="1431"/>
      <c r="CA2" s="1431"/>
      <c r="CB2" s="1431"/>
      <c r="CC2" s="1431"/>
      <c r="CD2" s="1431"/>
      <c r="CE2" s="1431"/>
      <c r="CF2" s="1431"/>
      <c r="CG2" s="1431"/>
      <c r="CH2" s="1431"/>
      <c r="CI2" s="1431"/>
      <c r="CJ2" s="1431"/>
      <c r="CK2" s="1431"/>
      <c r="CL2" s="1431"/>
      <c r="CM2" s="1431"/>
      <c r="CN2" s="1431"/>
      <c r="CO2" s="1431"/>
      <c r="CP2" s="1431"/>
      <c r="CQ2" s="1431"/>
      <c r="CR2" s="1431"/>
      <c r="CS2" s="1431"/>
      <c r="CT2" s="1431"/>
      <c r="CU2" s="1431"/>
      <c r="CV2" s="1431"/>
      <c r="CW2" s="1431"/>
      <c r="CX2" s="1431"/>
      <c r="CY2" s="1431"/>
      <c r="CZ2" s="1431"/>
      <c r="DA2" s="1431"/>
      <c r="DB2" s="1431"/>
      <c r="DC2" s="1431"/>
      <c r="DD2" s="1431"/>
      <c r="DE2" s="1431"/>
      <c r="DF2" s="1431"/>
      <c r="DG2" s="1431"/>
      <c r="DH2" s="1431"/>
      <c r="DI2" s="1431"/>
      <c r="DJ2" s="1431"/>
      <c r="DK2" s="1431"/>
      <c r="DL2" s="1431"/>
      <c r="DM2" s="1431"/>
      <c r="DN2" s="1431"/>
      <c r="DO2" s="1431"/>
      <c r="DP2" s="1431"/>
      <c r="DQ2" s="1431"/>
      <c r="DR2" s="1431"/>
      <c r="DS2" s="1431"/>
      <c r="DT2" s="1431"/>
      <c r="DU2" s="1431"/>
      <c r="DV2" s="1431"/>
      <c r="DW2" s="1431"/>
      <c r="DX2" s="1431"/>
      <c r="DY2" s="1431"/>
      <c r="DZ2" s="1431"/>
      <c r="EA2" s="1431"/>
      <c r="EB2" s="1431"/>
      <c r="EC2" s="1431"/>
      <c r="ED2" s="1431"/>
      <c r="EE2" s="1431"/>
      <c r="EF2" s="1431"/>
      <c r="EG2" s="1431"/>
      <c r="EH2" s="1431"/>
      <c r="EI2" s="1431"/>
      <c r="EJ2" s="1431"/>
      <c r="EK2" s="1431"/>
      <c r="EL2" s="1431"/>
      <c r="EM2" s="1431"/>
      <c r="EN2" s="1431"/>
      <c r="EO2" s="1431"/>
      <c r="EP2" s="1431"/>
      <c r="EQ2" s="1431"/>
      <c r="ER2" s="1431"/>
      <c r="ES2" s="1431"/>
      <c r="ET2" s="1431"/>
      <c r="EU2" s="1431"/>
      <c r="EV2" s="1431"/>
      <c r="EW2" s="1431"/>
      <c r="EX2" s="1431"/>
      <c r="EY2" s="1431"/>
      <c r="EZ2" s="1431"/>
      <c r="FA2" s="1431"/>
      <c r="FB2" s="1431"/>
      <c r="FC2" s="1431"/>
      <c r="FD2" s="1431"/>
      <c r="FE2" s="1431"/>
      <c r="FF2" s="1431"/>
      <c r="FG2" s="1431"/>
      <c r="FH2" s="1431"/>
      <c r="FI2" s="1431"/>
      <c r="FJ2" s="1431"/>
      <c r="FK2" s="1431"/>
      <c r="FL2" s="1431"/>
      <c r="FM2" s="1431"/>
      <c r="FN2" s="1431"/>
      <c r="FO2" s="1431"/>
      <c r="FP2" s="1431"/>
      <c r="FQ2" s="1431"/>
      <c r="FR2" s="1431"/>
      <c r="FS2" s="1431"/>
      <c r="FT2" s="1431"/>
      <c r="FU2" s="1431"/>
      <c r="FV2" s="1431"/>
      <c r="FW2" s="1431"/>
      <c r="FX2" s="1431"/>
      <c r="FY2" s="1431"/>
      <c r="FZ2" s="1431"/>
      <c r="GA2" s="1431"/>
      <c r="GB2" s="1431"/>
      <c r="GC2" s="1431"/>
      <c r="GD2" s="1431"/>
      <c r="GE2" s="1431"/>
      <c r="GF2" s="1431"/>
      <c r="GG2" s="1431"/>
      <c r="GH2" s="1431"/>
      <c r="GI2" s="1431"/>
      <c r="GJ2" s="1431"/>
      <c r="GK2" s="1431"/>
      <c r="GL2" s="1431"/>
      <c r="GM2" s="1431"/>
      <c r="GN2" s="1431"/>
      <c r="GO2" s="1431"/>
      <c r="GP2" s="1431"/>
      <c r="GQ2" s="1431"/>
      <c r="GR2" s="1431"/>
      <c r="GS2" s="1431"/>
      <c r="GT2" s="1431"/>
      <c r="GU2" s="1431"/>
      <c r="GV2" s="1431"/>
      <c r="GW2" s="1431"/>
      <c r="GX2" s="1431"/>
      <c r="GY2" s="1431"/>
      <c r="GZ2" s="1431"/>
      <c r="HA2" s="1431"/>
      <c r="HB2" s="1431"/>
      <c r="HC2" s="1431"/>
      <c r="HD2" s="1431"/>
      <c r="HE2" s="1431"/>
      <c r="HF2" s="1431"/>
      <c r="HG2" s="1431"/>
      <c r="HH2" s="1431"/>
      <c r="HI2" s="1431"/>
      <c r="HJ2" s="1431"/>
      <c r="HK2" s="1431"/>
      <c r="HL2" s="1431"/>
      <c r="HM2" s="1431"/>
      <c r="HN2" s="1431"/>
      <c r="HO2" s="1431"/>
      <c r="HP2" s="1431"/>
      <c r="HQ2" s="1431"/>
      <c r="HR2" s="1431"/>
      <c r="HS2" s="1431"/>
      <c r="HT2" s="1431"/>
      <c r="HU2" s="1431"/>
      <c r="HV2" s="1431"/>
      <c r="HW2" s="1431"/>
      <c r="HX2" s="1431"/>
      <c r="HY2" s="1431"/>
      <c r="HZ2" s="1431"/>
      <c r="IA2" s="1431"/>
      <c r="IB2" s="1431"/>
      <c r="IC2" s="1431"/>
      <c r="ID2" s="1431"/>
      <c r="IE2" s="1431"/>
      <c r="IF2" s="1431"/>
      <c r="IG2" s="1431"/>
      <c r="IH2" s="1431"/>
      <c r="II2" s="1431"/>
      <c r="IJ2" s="1431"/>
      <c r="IK2" s="1431"/>
      <c r="IL2" s="1431"/>
      <c r="IM2" s="1431"/>
      <c r="IN2" s="1431"/>
      <c r="IO2" s="1431"/>
      <c r="IP2" s="1431"/>
      <c r="IQ2" s="1431"/>
      <c r="IR2" s="1431"/>
      <c r="IS2" s="1431"/>
      <c r="IT2" s="1431"/>
      <c r="IU2" s="1431"/>
      <c r="IV2" s="1431"/>
    </row>
    <row r="3" spans="1:256" ht="22.5" customHeight="1">
      <c r="A3" s="1434" t="s">
        <v>5794</v>
      </c>
      <c r="B3" s="1434"/>
      <c r="C3" s="1434"/>
      <c r="D3" s="1434"/>
      <c r="E3" s="1434"/>
      <c r="F3" s="1434"/>
      <c r="G3" s="1434"/>
      <c r="H3" s="1434"/>
      <c r="I3" s="1434"/>
      <c r="J3" s="1405"/>
      <c r="K3" s="1405"/>
      <c r="L3" s="1405"/>
      <c r="M3" s="1405"/>
      <c r="N3" s="1405"/>
      <c r="O3" s="1405"/>
      <c r="P3" s="1405"/>
      <c r="Q3" s="1405"/>
      <c r="R3" s="1405"/>
      <c r="S3" s="1405"/>
      <c r="T3" s="1405"/>
      <c r="U3" s="1405"/>
      <c r="V3" s="1405"/>
      <c r="W3" s="1405"/>
      <c r="X3" s="1405"/>
      <c r="Y3" s="1405"/>
      <c r="Z3" s="1405"/>
      <c r="AA3" s="1405"/>
      <c r="AB3" s="1405"/>
      <c r="AC3" s="1405"/>
      <c r="AD3" s="1405"/>
      <c r="AE3" s="1405"/>
      <c r="AF3" s="1405"/>
      <c r="AG3" s="1405"/>
      <c r="AH3" s="1405"/>
      <c r="AI3" s="1405"/>
      <c r="AJ3" s="1405"/>
      <c r="AK3" s="1405"/>
      <c r="AL3" s="1405"/>
      <c r="AM3" s="1405"/>
      <c r="AN3" s="1405"/>
      <c r="AO3" s="1405"/>
      <c r="AP3" s="1405"/>
      <c r="AQ3" s="1405"/>
      <c r="AR3" s="1405"/>
      <c r="AS3" s="1405"/>
      <c r="AT3" s="1405"/>
      <c r="AU3" s="1405"/>
      <c r="AV3" s="1405"/>
      <c r="AW3" s="1405"/>
      <c r="AX3" s="1405"/>
      <c r="AY3" s="1405"/>
      <c r="AZ3" s="1405"/>
      <c r="BA3" s="1405"/>
      <c r="BB3" s="1405"/>
      <c r="BC3" s="1405"/>
      <c r="BD3" s="1405"/>
      <c r="BE3" s="1405"/>
      <c r="BF3" s="1405"/>
      <c r="BG3" s="1405"/>
      <c r="BH3" s="1405"/>
      <c r="BI3" s="1405"/>
      <c r="BJ3" s="1405"/>
      <c r="BK3" s="1405"/>
      <c r="BL3" s="1405"/>
      <c r="BM3" s="1405"/>
      <c r="BN3" s="1405"/>
      <c r="BO3" s="1405"/>
      <c r="BP3" s="1405"/>
      <c r="BQ3" s="1405"/>
      <c r="BR3" s="1405"/>
      <c r="BS3" s="1405"/>
      <c r="BT3" s="1405"/>
      <c r="BU3" s="1405"/>
      <c r="BV3" s="1405"/>
      <c r="BW3" s="1405"/>
      <c r="BX3" s="1405"/>
      <c r="BY3" s="1405"/>
      <c r="BZ3" s="1405"/>
      <c r="CA3" s="1405"/>
      <c r="CB3" s="1405"/>
      <c r="CC3" s="1405"/>
      <c r="CD3" s="1405"/>
      <c r="CE3" s="1405"/>
      <c r="CF3" s="1405"/>
      <c r="CG3" s="1405"/>
      <c r="CH3" s="1405"/>
      <c r="CI3" s="1405"/>
      <c r="CJ3" s="1405"/>
      <c r="CK3" s="1405"/>
      <c r="CL3" s="1405"/>
      <c r="CM3" s="1405"/>
      <c r="CN3" s="1405"/>
      <c r="CO3" s="1405"/>
      <c r="CP3" s="1405"/>
      <c r="CQ3" s="1405"/>
      <c r="CR3" s="1405"/>
      <c r="CS3" s="1405"/>
      <c r="CT3" s="1405"/>
      <c r="CU3" s="1405"/>
      <c r="CV3" s="1405"/>
      <c r="CW3" s="1405"/>
      <c r="CX3" s="1405"/>
      <c r="CY3" s="1405"/>
      <c r="CZ3" s="1405"/>
      <c r="DA3" s="1405"/>
      <c r="DB3" s="1405"/>
      <c r="DC3" s="1405"/>
      <c r="DD3" s="1405"/>
      <c r="DE3" s="1405"/>
      <c r="DF3" s="1405"/>
      <c r="DG3" s="1405"/>
      <c r="DH3" s="1405"/>
      <c r="DI3" s="1405"/>
      <c r="DJ3" s="1405"/>
      <c r="DK3" s="1405"/>
      <c r="DL3" s="1405"/>
      <c r="DM3" s="1405"/>
      <c r="DN3" s="1405"/>
      <c r="DO3" s="1405"/>
      <c r="DP3" s="1405"/>
      <c r="DQ3" s="1405"/>
      <c r="DR3" s="1405"/>
      <c r="DS3" s="1405"/>
      <c r="DT3" s="1405"/>
      <c r="DU3" s="1405"/>
      <c r="DV3" s="1405"/>
      <c r="DW3" s="1405"/>
      <c r="DX3" s="1405"/>
      <c r="DY3" s="1405"/>
      <c r="DZ3" s="1405"/>
      <c r="EA3" s="1405"/>
      <c r="EB3" s="1405"/>
      <c r="EC3" s="1405"/>
      <c r="ED3" s="1405"/>
      <c r="EE3" s="1405"/>
      <c r="EF3" s="1405"/>
      <c r="EG3" s="1405"/>
      <c r="EH3" s="1405"/>
      <c r="EI3" s="1405"/>
      <c r="EJ3" s="1405"/>
      <c r="EK3" s="1405"/>
      <c r="EL3" s="1405"/>
      <c r="EM3" s="1405"/>
      <c r="EN3" s="1405"/>
      <c r="EO3" s="1405"/>
      <c r="EP3" s="1405"/>
      <c r="EQ3" s="1405"/>
      <c r="ER3" s="1405"/>
      <c r="ES3" s="1405"/>
      <c r="ET3" s="1405"/>
      <c r="EU3" s="1405"/>
      <c r="EV3" s="1405"/>
      <c r="EW3" s="1405"/>
      <c r="EX3" s="1405"/>
      <c r="EY3" s="1405"/>
      <c r="EZ3" s="1405"/>
      <c r="FA3" s="1405"/>
      <c r="FB3" s="1405"/>
      <c r="FC3" s="1405"/>
      <c r="FD3" s="1405"/>
      <c r="FE3" s="1405"/>
      <c r="FF3" s="1405"/>
      <c r="FG3" s="1405"/>
      <c r="FH3" s="1405"/>
      <c r="FI3" s="1405"/>
      <c r="FJ3" s="1405"/>
      <c r="FK3" s="1405"/>
      <c r="FL3" s="1405"/>
      <c r="FM3" s="1405"/>
      <c r="FN3" s="1405"/>
      <c r="FO3" s="1405"/>
      <c r="FP3" s="1405"/>
      <c r="FQ3" s="1405"/>
      <c r="FR3" s="1405"/>
      <c r="FS3" s="1405"/>
      <c r="FT3" s="1405"/>
      <c r="FU3" s="1405"/>
      <c r="FV3" s="1405"/>
      <c r="FW3" s="1405"/>
      <c r="FX3" s="1405"/>
      <c r="FY3" s="1405"/>
      <c r="FZ3" s="1405"/>
      <c r="GA3" s="1405"/>
      <c r="GB3" s="1405"/>
      <c r="GC3" s="1405"/>
      <c r="GD3" s="1405"/>
      <c r="GE3" s="1405"/>
      <c r="GF3" s="1405"/>
      <c r="GG3" s="1405"/>
      <c r="GH3" s="1405"/>
      <c r="GI3" s="1405"/>
      <c r="GJ3" s="1405"/>
      <c r="GK3" s="1405"/>
      <c r="GL3" s="1405"/>
      <c r="GM3" s="1405"/>
      <c r="GN3" s="1405"/>
      <c r="GO3" s="1405"/>
      <c r="GP3" s="1405"/>
      <c r="GQ3" s="1405"/>
      <c r="GR3" s="1405"/>
      <c r="GS3" s="1405"/>
      <c r="GT3" s="1405"/>
      <c r="GU3" s="1405"/>
      <c r="GV3" s="1405"/>
      <c r="GW3" s="1405"/>
      <c r="GX3" s="1405"/>
      <c r="GY3" s="1405"/>
      <c r="GZ3" s="1405"/>
      <c r="HA3" s="1405"/>
      <c r="HB3" s="1405"/>
      <c r="HC3" s="1405"/>
      <c r="HD3" s="1405"/>
      <c r="HE3" s="1405"/>
      <c r="HF3" s="1405"/>
      <c r="HG3" s="1405"/>
      <c r="HH3" s="1405"/>
      <c r="HI3" s="1405"/>
      <c r="HJ3" s="1405"/>
      <c r="HK3" s="1405"/>
      <c r="HL3" s="1405"/>
      <c r="HM3" s="1405"/>
      <c r="HN3" s="1405"/>
      <c r="HO3" s="1405"/>
      <c r="HP3" s="1405"/>
      <c r="HQ3" s="1405"/>
      <c r="HR3" s="1405"/>
      <c r="HS3" s="1405"/>
      <c r="HT3" s="1405"/>
      <c r="HU3" s="1405"/>
      <c r="HV3" s="1405"/>
      <c r="HW3" s="1405"/>
      <c r="HX3" s="1405"/>
      <c r="HY3" s="1405"/>
      <c r="HZ3" s="1405"/>
      <c r="IA3" s="1405"/>
      <c r="IB3" s="1405"/>
      <c r="IC3" s="1405"/>
      <c r="ID3" s="1405"/>
      <c r="IE3" s="1405"/>
      <c r="IF3" s="1405"/>
      <c r="IG3" s="1405"/>
      <c r="IH3" s="1405"/>
      <c r="II3" s="1405"/>
      <c r="IJ3" s="1405"/>
      <c r="IK3" s="1405"/>
      <c r="IL3" s="1405"/>
      <c r="IM3" s="1405"/>
      <c r="IN3" s="1405"/>
      <c r="IO3" s="1405"/>
      <c r="IP3" s="1405"/>
      <c r="IQ3" s="1405"/>
      <c r="IR3" s="1405"/>
      <c r="IS3" s="1405"/>
      <c r="IT3" s="1405"/>
      <c r="IU3" s="1405"/>
      <c r="IV3" s="1405"/>
    </row>
    <row r="4" spans="1:256" ht="17.25" customHeight="1">
      <c r="A4" s="1435"/>
      <c r="B4" s="1436"/>
      <c r="C4" s="1436"/>
      <c r="D4" s="1436"/>
      <c r="E4" s="1437"/>
      <c r="F4" s="1437"/>
      <c r="G4" s="1437"/>
      <c r="H4" s="1437"/>
      <c r="I4" s="1436"/>
      <c r="J4" s="1405"/>
      <c r="K4" s="1405"/>
      <c r="L4" s="1405"/>
      <c r="M4" s="1405"/>
      <c r="N4" s="1405"/>
      <c r="O4" s="1405"/>
      <c r="P4" s="1405"/>
      <c r="Q4" s="1405"/>
      <c r="R4" s="1405"/>
      <c r="S4" s="1405"/>
      <c r="T4" s="1405"/>
      <c r="U4" s="1405"/>
      <c r="V4" s="1405"/>
      <c r="W4" s="1405"/>
      <c r="X4" s="1405"/>
      <c r="Y4" s="1405"/>
      <c r="Z4" s="1405"/>
      <c r="AA4" s="1405"/>
      <c r="AB4" s="1405"/>
      <c r="AC4" s="1405"/>
      <c r="AD4" s="1405"/>
      <c r="AE4" s="1405"/>
      <c r="AF4" s="1405"/>
      <c r="AG4" s="1405"/>
      <c r="AH4" s="1405"/>
      <c r="AI4" s="1405"/>
      <c r="AJ4" s="1405"/>
      <c r="AK4" s="1405"/>
      <c r="AL4" s="1405"/>
      <c r="AM4" s="1405"/>
      <c r="AN4" s="1405"/>
      <c r="AO4" s="1405"/>
      <c r="AP4" s="1405"/>
      <c r="AQ4" s="1405"/>
      <c r="AR4" s="1405"/>
      <c r="AS4" s="1405"/>
      <c r="AT4" s="1405"/>
      <c r="AU4" s="1405"/>
      <c r="AV4" s="1405"/>
      <c r="AW4" s="1405"/>
      <c r="AX4" s="1405"/>
      <c r="AY4" s="1405"/>
      <c r="AZ4" s="1405"/>
      <c r="BA4" s="1405"/>
      <c r="BB4" s="1405"/>
      <c r="BC4" s="1405"/>
      <c r="BD4" s="1405"/>
      <c r="BE4" s="1405"/>
      <c r="BF4" s="1405"/>
      <c r="BG4" s="1405"/>
      <c r="BH4" s="1405"/>
      <c r="BI4" s="1405"/>
      <c r="BJ4" s="1405"/>
      <c r="BK4" s="1405"/>
      <c r="BL4" s="1405"/>
      <c r="BM4" s="1405"/>
      <c r="BN4" s="1405"/>
      <c r="BO4" s="1405"/>
      <c r="BP4" s="1405"/>
      <c r="BQ4" s="1405"/>
      <c r="BR4" s="1405"/>
      <c r="BS4" s="1405"/>
      <c r="BT4" s="1405"/>
      <c r="BU4" s="1405"/>
      <c r="BV4" s="1405"/>
      <c r="BW4" s="1405"/>
      <c r="BX4" s="1405"/>
      <c r="BY4" s="1405"/>
      <c r="BZ4" s="1405"/>
      <c r="CA4" s="1405"/>
      <c r="CB4" s="1405"/>
      <c r="CC4" s="1405"/>
      <c r="CD4" s="1405"/>
      <c r="CE4" s="1405"/>
      <c r="CF4" s="1405"/>
      <c r="CG4" s="1405"/>
      <c r="CH4" s="1405"/>
      <c r="CI4" s="1405"/>
      <c r="CJ4" s="1405"/>
      <c r="CK4" s="1405"/>
      <c r="CL4" s="1405"/>
      <c r="CM4" s="1405"/>
      <c r="CN4" s="1405"/>
      <c r="CO4" s="1405"/>
      <c r="CP4" s="1405"/>
      <c r="CQ4" s="1405"/>
      <c r="CR4" s="1405"/>
      <c r="CS4" s="1405"/>
      <c r="CT4" s="1405"/>
      <c r="CU4" s="1405"/>
      <c r="CV4" s="1405"/>
      <c r="CW4" s="1405"/>
      <c r="CX4" s="1405"/>
      <c r="CY4" s="1405"/>
      <c r="CZ4" s="1405"/>
      <c r="DA4" s="1405"/>
      <c r="DB4" s="1405"/>
      <c r="DC4" s="1405"/>
      <c r="DD4" s="1405"/>
      <c r="DE4" s="1405"/>
      <c r="DF4" s="1405"/>
      <c r="DG4" s="1405"/>
      <c r="DH4" s="1405"/>
      <c r="DI4" s="1405"/>
      <c r="DJ4" s="1405"/>
      <c r="DK4" s="1405"/>
      <c r="DL4" s="1405"/>
      <c r="DM4" s="1405"/>
      <c r="DN4" s="1405"/>
      <c r="DO4" s="1405"/>
      <c r="DP4" s="1405"/>
      <c r="DQ4" s="1405"/>
      <c r="DR4" s="1405"/>
      <c r="DS4" s="1405"/>
      <c r="DT4" s="1405"/>
      <c r="DU4" s="1405"/>
      <c r="DV4" s="1405"/>
      <c r="DW4" s="1405"/>
      <c r="DX4" s="1405"/>
      <c r="DY4" s="1405"/>
      <c r="DZ4" s="1405"/>
      <c r="EA4" s="1405"/>
      <c r="EB4" s="1405"/>
      <c r="EC4" s="1405"/>
      <c r="ED4" s="1405"/>
      <c r="EE4" s="1405"/>
      <c r="EF4" s="1405"/>
      <c r="EG4" s="1405"/>
      <c r="EH4" s="1405"/>
      <c r="EI4" s="1405"/>
      <c r="EJ4" s="1405"/>
      <c r="EK4" s="1405"/>
      <c r="EL4" s="1405"/>
      <c r="EM4" s="1405"/>
      <c r="EN4" s="1405"/>
      <c r="EO4" s="1405"/>
      <c r="EP4" s="1405"/>
      <c r="EQ4" s="1405"/>
      <c r="ER4" s="1405"/>
      <c r="ES4" s="1405"/>
      <c r="ET4" s="1405"/>
      <c r="EU4" s="1405"/>
      <c r="EV4" s="1405"/>
      <c r="EW4" s="1405"/>
      <c r="EX4" s="1405"/>
      <c r="EY4" s="1405"/>
      <c r="EZ4" s="1405"/>
      <c r="FA4" s="1405"/>
      <c r="FB4" s="1405"/>
      <c r="FC4" s="1405"/>
      <c r="FD4" s="1405"/>
      <c r="FE4" s="1405"/>
      <c r="FF4" s="1405"/>
      <c r="FG4" s="1405"/>
      <c r="FH4" s="1405"/>
      <c r="FI4" s="1405"/>
      <c r="FJ4" s="1405"/>
      <c r="FK4" s="1405"/>
      <c r="FL4" s="1405"/>
      <c r="FM4" s="1405"/>
      <c r="FN4" s="1405"/>
      <c r="FO4" s="1405"/>
      <c r="FP4" s="1405"/>
      <c r="FQ4" s="1405"/>
      <c r="FR4" s="1405"/>
      <c r="FS4" s="1405"/>
      <c r="FT4" s="1405"/>
      <c r="FU4" s="1405"/>
      <c r="FV4" s="1405"/>
      <c r="FW4" s="1405"/>
      <c r="FX4" s="1405"/>
      <c r="FY4" s="1405"/>
      <c r="FZ4" s="1405"/>
      <c r="GA4" s="1405"/>
      <c r="GB4" s="1405"/>
      <c r="GC4" s="1405"/>
      <c r="GD4" s="1405"/>
      <c r="GE4" s="1405"/>
      <c r="GF4" s="1405"/>
      <c r="GG4" s="1405"/>
      <c r="GH4" s="1405"/>
      <c r="GI4" s="1405"/>
      <c r="GJ4" s="1405"/>
      <c r="GK4" s="1405"/>
      <c r="GL4" s="1405"/>
      <c r="GM4" s="1405"/>
      <c r="GN4" s="1405"/>
      <c r="GO4" s="1405"/>
      <c r="GP4" s="1405"/>
      <c r="GQ4" s="1405"/>
      <c r="GR4" s="1405"/>
      <c r="GS4" s="1405"/>
      <c r="GT4" s="1405"/>
      <c r="GU4" s="1405"/>
      <c r="GV4" s="1405"/>
      <c r="GW4" s="1405"/>
      <c r="GX4" s="1405"/>
      <c r="GY4" s="1405"/>
      <c r="GZ4" s="1405"/>
      <c r="HA4" s="1405"/>
      <c r="HB4" s="1405"/>
      <c r="HC4" s="1405"/>
      <c r="HD4" s="1405"/>
      <c r="HE4" s="1405"/>
      <c r="HF4" s="1405"/>
      <c r="HG4" s="1405"/>
      <c r="HH4" s="1405"/>
      <c r="HI4" s="1405"/>
      <c r="HJ4" s="1405"/>
      <c r="HK4" s="1405"/>
      <c r="HL4" s="1405"/>
      <c r="HM4" s="1405"/>
      <c r="HN4" s="1405"/>
      <c r="HO4" s="1405"/>
      <c r="HP4" s="1405"/>
      <c r="HQ4" s="1405"/>
      <c r="HR4" s="1405"/>
      <c r="HS4" s="1405"/>
      <c r="HT4" s="1405"/>
      <c r="HU4" s="1405"/>
      <c r="HV4" s="1405"/>
      <c r="HW4" s="1405"/>
      <c r="HX4" s="1405"/>
      <c r="HY4" s="1405"/>
      <c r="HZ4" s="1405"/>
      <c r="IA4" s="1405"/>
      <c r="IB4" s="1405"/>
      <c r="IC4" s="1405"/>
      <c r="ID4" s="1405"/>
      <c r="IE4" s="1405"/>
      <c r="IF4" s="1405"/>
      <c r="IG4" s="1405"/>
      <c r="IH4" s="1405"/>
      <c r="II4" s="1405"/>
      <c r="IJ4" s="1405"/>
      <c r="IK4" s="1405"/>
      <c r="IL4" s="1405"/>
      <c r="IM4" s="1405"/>
      <c r="IN4" s="1405"/>
      <c r="IO4" s="1405"/>
      <c r="IP4" s="1405"/>
      <c r="IQ4" s="1405"/>
      <c r="IR4" s="1405"/>
      <c r="IS4" s="1405"/>
      <c r="IT4" s="1405"/>
      <c r="IU4" s="1405"/>
      <c r="IV4" s="1405"/>
    </row>
    <row r="5" spans="1:256" ht="30" customHeight="1">
      <c r="A5" s="1438" t="s">
        <v>7085</v>
      </c>
      <c r="B5" s="1439" t="s">
        <v>1769</v>
      </c>
      <c r="C5" s="1440" t="s">
        <v>1427</v>
      </c>
      <c r="D5" s="1440"/>
      <c r="E5" s="1441" t="s">
        <v>5797</v>
      </c>
      <c r="F5" s="1438" t="s">
        <v>1548</v>
      </c>
      <c r="G5" s="1442" t="s">
        <v>5798</v>
      </c>
      <c r="H5" s="1443" t="s">
        <v>1034</v>
      </c>
      <c r="I5" s="1373"/>
      <c r="J5" s="1444"/>
      <c r="K5" s="1444"/>
      <c r="L5" s="1444"/>
      <c r="M5" s="1444"/>
      <c r="N5" s="1444"/>
      <c r="O5" s="1444"/>
      <c r="P5" s="1444"/>
      <c r="Q5" s="1444"/>
      <c r="R5" s="1444"/>
      <c r="S5" s="1444"/>
      <c r="T5" s="1444"/>
      <c r="U5" s="1444"/>
      <c r="V5" s="1444"/>
      <c r="W5" s="1444"/>
      <c r="X5" s="1444"/>
      <c r="Y5" s="1444"/>
      <c r="Z5" s="1444"/>
      <c r="AA5" s="1444"/>
      <c r="AB5" s="1444"/>
      <c r="AC5" s="1444"/>
      <c r="AD5" s="1444"/>
      <c r="AE5" s="1444"/>
      <c r="AF5" s="1444"/>
      <c r="AG5" s="1444"/>
      <c r="AH5" s="1444"/>
      <c r="AI5" s="1444"/>
      <c r="AJ5" s="1444"/>
      <c r="AK5" s="1444"/>
      <c r="AL5" s="1444"/>
      <c r="AM5" s="1444"/>
      <c r="AN5" s="1444"/>
      <c r="AO5" s="1444"/>
      <c r="AP5" s="1444"/>
      <c r="AQ5" s="1444"/>
      <c r="AR5" s="1444"/>
      <c r="AS5" s="1444"/>
      <c r="AT5" s="1444"/>
      <c r="AU5" s="1444"/>
      <c r="AV5" s="1444"/>
      <c r="AW5" s="1444"/>
      <c r="AX5" s="1444"/>
      <c r="AY5" s="1444"/>
      <c r="AZ5" s="1444"/>
      <c r="BA5" s="1444"/>
      <c r="BB5" s="1444"/>
      <c r="BC5" s="1444"/>
      <c r="BD5" s="1444"/>
      <c r="BE5" s="1444"/>
      <c r="BF5" s="1444"/>
      <c r="BG5" s="1444"/>
      <c r="BH5" s="1444"/>
      <c r="BI5" s="1444"/>
      <c r="BJ5" s="1444"/>
      <c r="BK5" s="1444"/>
      <c r="BL5" s="1444"/>
      <c r="BM5" s="1444"/>
      <c r="BN5" s="1444"/>
      <c r="BO5" s="1444"/>
      <c r="BP5" s="1444"/>
      <c r="BQ5" s="1444"/>
      <c r="BR5" s="1444"/>
      <c r="BS5" s="1444"/>
      <c r="BT5" s="1444"/>
      <c r="BU5" s="1444"/>
      <c r="BV5" s="1444"/>
      <c r="BW5" s="1444"/>
      <c r="BX5" s="1444"/>
      <c r="BY5" s="1444"/>
      <c r="BZ5" s="1444"/>
      <c r="CA5" s="1444"/>
      <c r="CB5" s="1444"/>
      <c r="CC5" s="1444"/>
      <c r="CD5" s="1444"/>
      <c r="CE5" s="1444"/>
      <c r="CF5" s="1444"/>
      <c r="CG5" s="1444"/>
      <c r="CH5" s="1444"/>
      <c r="CI5" s="1444"/>
      <c r="CJ5" s="1444"/>
      <c r="CK5" s="1444"/>
      <c r="CL5" s="1444"/>
      <c r="CM5" s="1444"/>
      <c r="CN5" s="1444"/>
      <c r="CO5" s="1444"/>
      <c r="CP5" s="1444"/>
      <c r="CQ5" s="1444"/>
      <c r="CR5" s="1444"/>
      <c r="CS5" s="1444"/>
      <c r="CT5" s="1444"/>
      <c r="CU5" s="1444"/>
      <c r="CV5" s="1444"/>
      <c r="CW5" s="1444"/>
      <c r="CX5" s="1444"/>
      <c r="CY5" s="1444"/>
      <c r="CZ5" s="1444"/>
      <c r="DA5" s="1444"/>
      <c r="DB5" s="1444"/>
      <c r="DC5" s="1444"/>
      <c r="DD5" s="1444"/>
      <c r="DE5" s="1444"/>
      <c r="DF5" s="1444"/>
      <c r="DG5" s="1444"/>
      <c r="DH5" s="1444"/>
      <c r="DI5" s="1444"/>
      <c r="DJ5" s="1444"/>
      <c r="DK5" s="1444"/>
      <c r="DL5" s="1444"/>
      <c r="DM5" s="1444"/>
      <c r="DN5" s="1444"/>
      <c r="DO5" s="1444"/>
      <c r="DP5" s="1444"/>
      <c r="DQ5" s="1444"/>
      <c r="DR5" s="1444"/>
      <c r="DS5" s="1444"/>
      <c r="DT5" s="1444"/>
      <c r="DU5" s="1444"/>
      <c r="DV5" s="1444"/>
      <c r="DW5" s="1444"/>
      <c r="DX5" s="1444"/>
      <c r="DY5" s="1444"/>
      <c r="DZ5" s="1444"/>
      <c r="EA5" s="1444"/>
      <c r="EB5" s="1444"/>
      <c r="EC5" s="1444"/>
      <c r="ED5" s="1444"/>
      <c r="EE5" s="1444"/>
      <c r="EF5" s="1444"/>
      <c r="EG5" s="1444"/>
      <c r="EH5" s="1444"/>
      <c r="EI5" s="1444"/>
      <c r="EJ5" s="1444"/>
      <c r="EK5" s="1444"/>
      <c r="EL5" s="1444"/>
      <c r="EM5" s="1444"/>
      <c r="EN5" s="1444"/>
      <c r="EO5" s="1444"/>
      <c r="EP5" s="1444"/>
      <c r="EQ5" s="1444"/>
      <c r="ER5" s="1444"/>
      <c r="ES5" s="1444"/>
      <c r="ET5" s="1444"/>
      <c r="EU5" s="1444"/>
      <c r="EV5" s="1444"/>
      <c r="EW5" s="1444"/>
      <c r="EX5" s="1444"/>
      <c r="EY5" s="1444"/>
      <c r="EZ5" s="1444"/>
      <c r="FA5" s="1444"/>
      <c r="FB5" s="1444"/>
      <c r="FC5" s="1444"/>
      <c r="FD5" s="1444"/>
      <c r="FE5" s="1444"/>
      <c r="FF5" s="1444"/>
      <c r="FG5" s="1444"/>
      <c r="FH5" s="1444"/>
      <c r="FI5" s="1444"/>
      <c r="FJ5" s="1444"/>
      <c r="FK5" s="1444"/>
      <c r="FL5" s="1444"/>
      <c r="FM5" s="1444"/>
      <c r="FN5" s="1444"/>
      <c r="FO5" s="1444"/>
      <c r="FP5" s="1444"/>
      <c r="FQ5" s="1444"/>
      <c r="FR5" s="1444"/>
      <c r="FS5" s="1444"/>
      <c r="FT5" s="1444"/>
      <c r="FU5" s="1444"/>
      <c r="FV5" s="1444"/>
      <c r="FW5" s="1444"/>
      <c r="FX5" s="1444"/>
      <c r="FY5" s="1444"/>
      <c r="FZ5" s="1444"/>
      <c r="GA5" s="1444"/>
      <c r="GB5" s="1444"/>
      <c r="GC5" s="1444"/>
      <c r="GD5" s="1444"/>
      <c r="GE5" s="1444"/>
      <c r="GF5" s="1444"/>
      <c r="GG5" s="1444"/>
      <c r="GH5" s="1444"/>
      <c r="GI5" s="1444"/>
      <c r="GJ5" s="1444"/>
      <c r="GK5" s="1444"/>
      <c r="GL5" s="1444"/>
      <c r="GM5" s="1444"/>
      <c r="GN5" s="1444"/>
      <c r="GO5" s="1444"/>
      <c r="GP5" s="1444"/>
      <c r="GQ5" s="1444"/>
      <c r="GR5" s="1444"/>
      <c r="GS5" s="1444"/>
      <c r="GT5" s="1444"/>
      <c r="GU5" s="1444"/>
      <c r="GV5" s="1444"/>
      <c r="GW5" s="1444"/>
      <c r="GX5" s="1444"/>
      <c r="GY5" s="1444"/>
      <c r="GZ5" s="1444"/>
      <c r="HA5" s="1444"/>
      <c r="HB5" s="1444"/>
      <c r="HC5" s="1444"/>
      <c r="HD5" s="1444"/>
      <c r="HE5" s="1444"/>
      <c r="HF5" s="1444"/>
      <c r="HG5" s="1444"/>
      <c r="HH5" s="1444"/>
      <c r="HI5" s="1444"/>
      <c r="HJ5" s="1444"/>
      <c r="HK5" s="1444"/>
      <c r="HL5" s="1444"/>
      <c r="HM5" s="1444"/>
      <c r="HN5" s="1444"/>
      <c r="HO5" s="1444"/>
      <c r="HP5" s="1444"/>
      <c r="HQ5" s="1444"/>
      <c r="HR5" s="1444"/>
      <c r="HS5" s="1444"/>
      <c r="HT5" s="1444"/>
      <c r="HU5" s="1444"/>
      <c r="HV5" s="1444"/>
      <c r="HW5" s="1444"/>
      <c r="HX5" s="1444"/>
      <c r="HY5" s="1444"/>
      <c r="HZ5" s="1444"/>
      <c r="IA5" s="1444"/>
      <c r="IB5" s="1444"/>
      <c r="IC5" s="1444"/>
      <c r="ID5" s="1444"/>
      <c r="IE5" s="1444"/>
      <c r="IF5" s="1444"/>
      <c r="IG5" s="1444"/>
      <c r="IH5" s="1444"/>
      <c r="II5" s="1444"/>
      <c r="IJ5" s="1444"/>
      <c r="IK5" s="1444"/>
      <c r="IL5" s="1444"/>
      <c r="IM5" s="1444"/>
      <c r="IN5" s="1444"/>
      <c r="IO5" s="1444"/>
      <c r="IP5" s="1444"/>
      <c r="IQ5" s="1444"/>
      <c r="IR5" s="1444"/>
      <c r="IS5" s="1444"/>
      <c r="IT5" s="1444"/>
      <c r="IU5" s="1444"/>
      <c r="IV5" s="1444"/>
    </row>
    <row r="6" spans="1:256" ht="54" customHeight="1">
      <c r="A6" s="1445">
        <v>8.1</v>
      </c>
      <c r="B6" s="1446" t="s">
        <v>7138</v>
      </c>
      <c r="C6" s="1446"/>
      <c r="D6" s="1446"/>
      <c r="E6" s="1447"/>
      <c r="F6" s="1448"/>
      <c r="G6" s="1449"/>
      <c r="H6" s="1450"/>
      <c r="I6" s="1451"/>
      <c r="J6" s="1452"/>
      <c r="K6" s="1452"/>
      <c r="L6" s="1452"/>
      <c r="M6" s="1452"/>
      <c r="N6" s="1452"/>
      <c r="O6" s="1452"/>
      <c r="P6" s="1452"/>
      <c r="Q6" s="1452"/>
      <c r="R6" s="1452"/>
      <c r="S6" s="1452"/>
      <c r="T6" s="1452"/>
      <c r="U6" s="1452"/>
      <c r="V6" s="1452"/>
      <c r="W6" s="1452"/>
      <c r="X6" s="1452"/>
      <c r="Y6" s="1452"/>
      <c r="Z6" s="1452"/>
      <c r="AA6" s="1452"/>
      <c r="AB6" s="1452"/>
      <c r="AC6" s="1452"/>
      <c r="AD6" s="1452"/>
      <c r="AE6" s="1452"/>
      <c r="AF6" s="1452"/>
      <c r="AG6" s="1452"/>
      <c r="AH6" s="1452"/>
      <c r="AI6" s="1452"/>
      <c r="AJ6" s="1452"/>
      <c r="AK6" s="1452"/>
      <c r="AL6" s="1452"/>
      <c r="AM6" s="1452"/>
      <c r="AN6" s="1452"/>
      <c r="AO6" s="1452"/>
      <c r="AP6" s="1452"/>
      <c r="AQ6" s="1452"/>
      <c r="AR6" s="1452"/>
      <c r="AS6" s="1452"/>
      <c r="AT6" s="1452"/>
      <c r="AU6" s="1452"/>
      <c r="AV6" s="1452"/>
      <c r="AW6" s="1452"/>
      <c r="AX6" s="1452"/>
      <c r="AY6" s="1452"/>
      <c r="AZ6" s="1452"/>
      <c r="BA6" s="1452"/>
      <c r="BB6" s="1452"/>
      <c r="BC6" s="1452"/>
      <c r="BD6" s="1452"/>
      <c r="BE6" s="1452"/>
      <c r="BF6" s="1452"/>
      <c r="BG6" s="1452"/>
      <c r="BH6" s="1452"/>
      <c r="BI6" s="1452"/>
      <c r="BJ6" s="1452"/>
      <c r="BK6" s="1452"/>
      <c r="BL6" s="1452"/>
      <c r="BM6" s="1452"/>
      <c r="BN6" s="1452"/>
      <c r="BO6" s="1452"/>
      <c r="BP6" s="1452"/>
      <c r="BQ6" s="1452"/>
      <c r="BR6" s="1452"/>
      <c r="BS6" s="1452"/>
      <c r="BT6" s="1452"/>
      <c r="BU6" s="1452"/>
      <c r="BV6" s="1452"/>
      <c r="BW6" s="1452"/>
      <c r="BX6" s="1452"/>
      <c r="BY6" s="1452"/>
      <c r="BZ6" s="1452"/>
      <c r="CA6" s="1452"/>
      <c r="CB6" s="1452"/>
      <c r="CC6" s="1452"/>
      <c r="CD6" s="1452"/>
      <c r="CE6" s="1452"/>
      <c r="CF6" s="1452"/>
      <c r="CG6" s="1452"/>
      <c r="CH6" s="1452"/>
      <c r="CI6" s="1452"/>
      <c r="CJ6" s="1452"/>
      <c r="CK6" s="1452"/>
      <c r="CL6" s="1452"/>
      <c r="CM6" s="1452"/>
      <c r="CN6" s="1452"/>
      <c r="CO6" s="1452"/>
      <c r="CP6" s="1452"/>
      <c r="CQ6" s="1452"/>
      <c r="CR6" s="1452"/>
      <c r="CS6" s="1452"/>
      <c r="CT6" s="1452"/>
      <c r="CU6" s="1452"/>
      <c r="CV6" s="1452"/>
      <c r="CW6" s="1452"/>
      <c r="CX6" s="1452"/>
      <c r="CY6" s="1452"/>
      <c r="CZ6" s="1452"/>
      <c r="DA6" s="1452"/>
      <c r="DB6" s="1452"/>
      <c r="DC6" s="1452"/>
      <c r="DD6" s="1452"/>
      <c r="DE6" s="1452"/>
      <c r="DF6" s="1452"/>
      <c r="DG6" s="1452"/>
      <c r="DH6" s="1452"/>
      <c r="DI6" s="1452"/>
      <c r="DJ6" s="1452"/>
      <c r="DK6" s="1452"/>
      <c r="DL6" s="1452"/>
      <c r="DM6" s="1452"/>
      <c r="DN6" s="1452"/>
      <c r="DO6" s="1452"/>
      <c r="DP6" s="1452"/>
      <c r="DQ6" s="1452"/>
      <c r="DR6" s="1452"/>
      <c r="DS6" s="1452"/>
      <c r="DT6" s="1452"/>
      <c r="DU6" s="1452"/>
      <c r="DV6" s="1452"/>
      <c r="DW6" s="1452"/>
      <c r="DX6" s="1452"/>
      <c r="DY6" s="1452"/>
      <c r="DZ6" s="1452"/>
      <c r="EA6" s="1452"/>
      <c r="EB6" s="1452"/>
      <c r="EC6" s="1452"/>
      <c r="ED6" s="1452"/>
      <c r="EE6" s="1452"/>
      <c r="EF6" s="1452"/>
      <c r="EG6" s="1452"/>
      <c r="EH6" s="1452"/>
      <c r="EI6" s="1452"/>
      <c r="EJ6" s="1452"/>
      <c r="EK6" s="1452"/>
      <c r="EL6" s="1452"/>
      <c r="EM6" s="1452"/>
      <c r="EN6" s="1452"/>
      <c r="EO6" s="1452"/>
      <c r="EP6" s="1452"/>
      <c r="EQ6" s="1452"/>
      <c r="ER6" s="1452"/>
      <c r="ES6" s="1452"/>
      <c r="ET6" s="1452"/>
      <c r="EU6" s="1452"/>
      <c r="EV6" s="1452"/>
      <c r="EW6" s="1452"/>
      <c r="EX6" s="1452"/>
      <c r="EY6" s="1452"/>
      <c r="EZ6" s="1452"/>
      <c r="FA6" s="1452"/>
      <c r="FB6" s="1452"/>
      <c r="FC6" s="1452"/>
      <c r="FD6" s="1452"/>
      <c r="FE6" s="1452"/>
      <c r="FF6" s="1452"/>
      <c r="FG6" s="1452"/>
      <c r="FH6" s="1452"/>
      <c r="FI6" s="1452"/>
      <c r="FJ6" s="1452"/>
      <c r="FK6" s="1452"/>
      <c r="FL6" s="1452"/>
      <c r="FM6" s="1452"/>
      <c r="FN6" s="1452"/>
      <c r="FO6" s="1452"/>
      <c r="FP6" s="1452"/>
      <c r="FQ6" s="1452"/>
      <c r="FR6" s="1452"/>
      <c r="FS6" s="1452"/>
      <c r="FT6" s="1452"/>
      <c r="FU6" s="1452"/>
      <c r="FV6" s="1452"/>
      <c r="FW6" s="1452"/>
      <c r="FX6" s="1452"/>
      <c r="FY6" s="1452"/>
      <c r="FZ6" s="1452"/>
      <c r="GA6" s="1452"/>
      <c r="GB6" s="1452"/>
      <c r="GC6" s="1452"/>
      <c r="GD6" s="1452"/>
      <c r="GE6" s="1452"/>
      <c r="GF6" s="1452"/>
      <c r="GG6" s="1452"/>
      <c r="GH6" s="1452"/>
      <c r="GI6" s="1452"/>
      <c r="GJ6" s="1452"/>
      <c r="GK6" s="1452"/>
      <c r="GL6" s="1452"/>
      <c r="GM6" s="1452"/>
      <c r="GN6" s="1452"/>
      <c r="GO6" s="1452"/>
      <c r="GP6" s="1452"/>
      <c r="GQ6" s="1452"/>
      <c r="GR6" s="1452"/>
      <c r="GS6" s="1452"/>
      <c r="GT6" s="1452"/>
      <c r="GU6" s="1452"/>
      <c r="GV6" s="1452"/>
      <c r="GW6" s="1452"/>
      <c r="GX6" s="1452"/>
      <c r="GY6" s="1452"/>
      <c r="GZ6" s="1452"/>
      <c r="HA6" s="1452"/>
      <c r="HB6" s="1452"/>
      <c r="HC6" s="1452"/>
      <c r="HD6" s="1452"/>
      <c r="HE6" s="1452"/>
      <c r="HF6" s="1452"/>
      <c r="HG6" s="1452"/>
      <c r="HH6" s="1452"/>
      <c r="HI6" s="1452"/>
      <c r="HJ6" s="1452"/>
      <c r="HK6" s="1452"/>
      <c r="HL6" s="1452"/>
      <c r="HM6" s="1452"/>
      <c r="HN6" s="1452"/>
      <c r="HO6" s="1452"/>
      <c r="HP6" s="1452"/>
      <c r="HQ6" s="1452"/>
      <c r="HR6" s="1452"/>
      <c r="HS6" s="1452"/>
      <c r="HT6" s="1452"/>
      <c r="HU6" s="1452"/>
      <c r="HV6" s="1452"/>
      <c r="HW6" s="1452"/>
      <c r="HX6" s="1452"/>
      <c r="HY6" s="1452"/>
      <c r="HZ6" s="1452"/>
      <c r="IA6" s="1452"/>
      <c r="IB6" s="1452"/>
      <c r="IC6" s="1452"/>
      <c r="ID6" s="1452"/>
      <c r="IE6" s="1452"/>
      <c r="IF6" s="1452"/>
      <c r="IG6" s="1452"/>
      <c r="IH6" s="1452"/>
      <c r="II6" s="1452"/>
      <c r="IJ6" s="1452"/>
      <c r="IK6" s="1452"/>
      <c r="IL6" s="1452"/>
      <c r="IM6" s="1452"/>
      <c r="IN6" s="1452"/>
      <c r="IO6" s="1452"/>
      <c r="IP6" s="1452"/>
      <c r="IQ6" s="1452"/>
      <c r="IR6" s="1452"/>
      <c r="IS6" s="1452"/>
      <c r="IT6" s="1452"/>
      <c r="IU6" s="1452"/>
      <c r="IV6" s="1452"/>
    </row>
    <row r="7" spans="1:256" ht="27" customHeight="1">
      <c r="A7" s="1445"/>
      <c r="B7" s="1453" t="s">
        <v>7139</v>
      </c>
      <c r="C7" s="1453"/>
      <c r="D7" s="1453"/>
      <c r="E7" s="1447"/>
      <c r="F7" s="1448"/>
      <c r="G7" s="1449"/>
      <c r="H7" s="1450"/>
      <c r="I7" s="1451"/>
      <c r="J7" s="1452"/>
      <c r="K7" s="1452"/>
      <c r="L7" s="1452"/>
      <c r="M7" s="1452"/>
      <c r="N7" s="1452"/>
      <c r="O7" s="1452"/>
      <c r="P7" s="1452"/>
      <c r="Q7" s="1452"/>
      <c r="R7" s="1452"/>
      <c r="S7" s="1452"/>
      <c r="T7" s="1452"/>
      <c r="U7" s="1452"/>
      <c r="V7" s="1452"/>
      <c r="W7" s="1452"/>
      <c r="X7" s="1452"/>
      <c r="Y7" s="1452"/>
      <c r="Z7" s="1452"/>
      <c r="AA7" s="1452"/>
      <c r="AB7" s="1452"/>
      <c r="AC7" s="1452"/>
      <c r="AD7" s="1452"/>
      <c r="AE7" s="1452"/>
      <c r="AF7" s="1452"/>
      <c r="AG7" s="1452"/>
      <c r="AH7" s="1452"/>
      <c r="AI7" s="1452"/>
      <c r="AJ7" s="1452"/>
      <c r="AK7" s="1452"/>
      <c r="AL7" s="1452"/>
      <c r="AM7" s="1452"/>
      <c r="AN7" s="1452"/>
      <c r="AO7" s="1452"/>
      <c r="AP7" s="1452"/>
      <c r="AQ7" s="1452"/>
      <c r="AR7" s="1452"/>
      <c r="AS7" s="1452"/>
      <c r="AT7" s="1452"/>
      <c r="AU7" s="1452"/>
      <c r="AV7" s="1452"/>
      <c r="AW7" s="1452"/>
      <c r="AX7" s="1452"/>
      <c r="AY7" s="1452"/>
      <c r="AZ7" s="1452"/>
      <c r="BA7" s="1452"/>
      <c r="BB7" s="1452"/>
      <c r="BC7" s="1452"/>
      <c r="BD7" s="1452"/>
      <c r="BE7" s="1452"/>
      <c r="BF7" s="1452"/>
      <c r="BG7" s="1452"/>
      <c r="BH7" s="1452"/>
      <c r="BI7" s="1452"/>
      <c r="BJ7" s="1452"/>
      <c r="BK7" s="1452"/>
      <c r="BL7" s="1452"/>
      <c r="BM7" s="1452"/>
      <c r="BN7" s="1452"/>
      <c r="BO7" s="1452"/>
      <c r="BP7" s="1452"/>
      <c r="BQ7" s="1452"/>
      <c r="BR7" s="1452"/>
      <c r="BS7" s="1452"/>
      <c r="BT7" s="1452"/>
      <c r="BU7" s="1452"/>
      <c r="BV7" s="1452"/>
      <c r="BW7" s="1452"/>
      <c r="BX7" s="1452"/>
      <c r="BY7" s="1452"/>
      <c r="BZ7" s="1452"/>
      <c r="CA7" s="1452"/>
      <c r="CB7" s="1452"/>
      <c r="CC7" s="1452"/>
      <c r="CD7" s="1452"/>
      <c r="CE7" s="1452"/>
      <c r="CF7" s="1452"/>
      <c r="CG7" s="1452"/>
      <c r="CH7" s="1452"/>
      <c r="CI7" s="1452"/>
      <c r="CJ7" s="1452"/>
      <c r="CK7" s="1452"/>
      <c r="CL7" s="1452"/>
      <c r="CM7" s="1452"/>
      <c r="CN7" s="1452"/>
      <c r="CO7" s="1452"/>
      <c r="CP7" s="1452"/>
      <c r="CQ7" s="1452"/>
      <c r="CR7" s="1452"/>
      <c r="CS7" s="1452"/>
      <c r="CT7" s="1452"/>
      <c r="CU7" s="1452"/>
      <c r="CV7" s="1452"/>
      <c r="CW7" s="1452"/>
      <c r="CX7" s="1452"/>
      <c r="CY7" s="1452"/>
      <c r="CZ7" s="1452"/>
      <c r="DA7" s="1452"/>
      <c r="DB7" s="1452"/>
      <c r="DC7" s="1452"/>
      <c r="DD7" s="1452"/>
      <c r="DE7" s="1452"/>
      <c r="DF7" s="1452"/>
      <c r="DG7" s="1452"/>
      <c r="DH7" s="1452"/>
      <c r="DI7" s="1452"/>
      <c r="DJ7" s="1452"/>
      <c r="DK7" s="1452"/>
      <c r="DL7" s="1452"/>
      <c r="DM7" s="1452"/>
      <c r="DN7" s="1452"/>
      <c r="DO7" s="1452"/>
      <c r="DP7" s="1452"/>
      <c r="DQ7" s="1452"/>
      <c r="DR7" s="1452"/>
      <c r="DS7" s="1452"/>
      <c r="DT7" s="1452"/>
      <c r="DU7" s="1452"/>
      <c r="DV7" s="1452"/>
      <c r="DW7" s="1452"/>
      <c r="DX7" s="1452"/>
      <c r="DY7" s="1452"/>
      <c r="DZ7" s="1452"/>
      <c r="EA7" s="1452"/>
      <c r="EB7" s="1452"/>
      <c r="EC7" s="1452"/>
      <c r="ED7" s="1452"/>
      <c r="EE7" s="1452"/>
      <c r="EF7" s="1452"/>
      <c r="EG7" s="1452"/>
      <c r="EH7" s="1452"/>
      <c r="EI7" s="1452"/>
      <c r="EJ7" s="1452"/>
      <c r="EK7" s="1452"/>
      <c r="EL7" s="1452"/>
      <c r="EM7" s="1452"/>
      <c r="EN7" s="1452"/>
      <c r="EO7" s="1452"/>
      <c r="EP7" s="1452"/>
      <c r="EQ7" s="1452"/>
      <c r="ER7" s="1452"/>
      <c r="ES7" s="1452"/>
      <c r="ET7" s="1452"/>
      <c r="EU7" s="1452"/>
      <c r="EV7" s="1452"/>
      <c r="EW7" s="1452"/>
      <c r="EX7" s="1452"/>
      <c r="EY7" s="1452"/>
      <c r="EZ7" s="1452"/>
      <c r="FA7" s="1452"/>
      <c r="FB7" s="1452"/>
      <c r="FC7" s="1452"/>
      <c r="FD7" s="1452"/>
      <c r="FE7" s="1452"/>
      <c r="FF7" s="1452"/>
      <c r="FG7" s="1452"/>
      <c r="FH7" s="1452"/>
      <c r="FI7" s="1452"/>
      <c r="FJ7" s="1452"/>
      <c r="FK7" s="1452"/>
      <c r="FL7" s="1452"/>
      <c r="FM7" s="1452"/>
      <c r="FN7" s="1452"/>
      <c r="FO7" s="1452"/>
      <c r="FP7" s="1452"/>
      <c r="FQ7" s="1452"/>
      <c r="FR7" s="1452"/>
      <c r="FS7" s="1452"/>
      <c r="FT7" s="1452"/>
      <c r="FU7" s="1452"/>
      <c r="FV7" s="1452"/>
      <c r="FW7" s="1452"/>
      <c r="FX7" s="1452"/>
      <c r="FY7" s="1452"/>
      <c r="FZ7" s="1452"/>
      <c r="GA7" s="1452"/>
      <c r="GB7" s="1452"/>
      <c r="GC7" s="1452"/>
      <c r="GD7" s="1452"/>
      <c r="GE7" s="1452"/>
      <c r="GF7" s="1452"/>
      <c r="GG7" s="1452"/>
      <c r="GH7" s="1452"/>
      <c r="GI7" s="1452"/>
      <c r="GJ7" s="1452"/>
      <c r="GK7" s="1452"/>
      <c r="GL7" s="1452"/>
      <c r="GM7" s="1452"/>
      <c r="GN7" s="1452"/>
      <c r="GO7" s="1452"/>
      <c r="GP7" s="1452"/>
      <c r="GQ7" s="1452"/>
      <c r="GR7" s="1452"/>
      <c r="GS7" s="1452"/>
      <c r="GT7" s="1452"/>
      <c r="GU7" s="1452"/>
      <c r="GV7" s="1452"/>
      <c r="GW7" s="1452"/>
      <c r="GX7" s="1452"/>
      <c r="GY7" s="1452"/>
      <c r="GZ7" s="1452"/>
      <c r="HA7" s="1452"/>
      <c r="HB7" s="1452"/>
      <c r="HC7" s="1452"/>
      <c r="HD7" s="1452"/>
      <c r="HE7" s="1452"/>
      <c r="HF7" s="1452"/>
      <c r="HG7" s="1452"/>
      <c r="HH7" s="1452"/>
      <c r="HI7" s="1452"/>
      <c r="HJ7" s="1452"/>
      <c r="HK7" s="1452"/>
      <c r="HL7" s="1452"/>
      <c r="HM7" s="1452"/>
      <c r="HN7" s="1452"/>
      <c r="HO7" s="1452"/>
      <c r="HP7" s="1452"/>
      <c r="HQ7" s="1452"/>
      <c r="HR7" s="1452"/>
      <c r="HS7" s="1452"/>
      <c r="HT7" s="1452"/>
      <c r="HU7" s="1452"/>
      <c r="HV7" s="1452"/>
      <c r="HW7" s="1452"/>
      <c r="HX7" s="1452"/>
      <c r="HY7" s="1452"/>
      <c r="HZ7" s="1452"/>
      <c r="IA7" s="1452"/>
      <c r="IB7" s="1452"/>
      <c r="IC7" s="1452"/>
      <c r="ID7" s="1452"/>
      <c r="IE7" s="1452"/>
      <c r="IF7" s="1452"/>
      <c r="IG7" s="1452"/>
      <c r="IH7" s="1452"/>
      <c r="II7" s="1452"/>
      <c r="IJ7" s="1452"/>
      <c r="IK7" s="1452"/>
      <c r="IL7" s="1452"/>
      <c r="IM7" s="1452"/>
      <c r="IN7" s="1452"/>
      <c r="IO7" s="1452"/>
      <c r="IP7" s="1452"/>
      <c r="IQ7" s="1452"/>
      <c r="IR7" s="1452"/>
      <c r="IS7" s="1452"/>
      <c r="IT7" s="1452"/>
      <c r="IU7" s="1452"/>
      <c r="IV7" s="1452"/>
    </row>
    <row r="8" spans="1:256" ht="24.75" customHeight="1">
      <c r="A8" s="1445"/>
      <c r="B8" s="1454" t="s">
        <v>7140</v>
      </c>
      <c r="C8" s="1455">
        <v>1</v>
      </c>
      <c r="D8" s="1455">
        <v>4</v>
      </c>
      <c r="E8" s="1450">
        <v>0.38</v>
      </c>
      <c r="F8" s="1448">
        <v>0.23</v>
      </c>
      <c r="G8" s="1450">
        <v>0.9</v>
      </c>
      <c r="H8" s="1450">
        <f>PRODUCT(C8:G8)</f>
        <v>0.31</v>
      </c>
      <c r="I8" s="1451"/>
      <c r="J8" s="1452"/>
      <c r="K8" s="1452"/>
      <c r="L8" s="1452"/>
      <c r="M8" s="1452"/>
      <c r="N8" s="1452"/>
      <c r="O8" s="1452"/>
      <c r="P8" s="1452"/>
      <c r="Q8" s="1452"/>
      <c r="R8" s="1452"/>
      <c r="S8" s="1452"/>
      <c r="T8" s="1452"/>
      <c r="U8" s="1452"/>
      <c r="V8" s="1452"/>
      <c r="W8" s="1452"/>
      <c r="X8" s="1452"/>
      <c r="Y8" s="1452"/>
      <c r="Z8" s="1452"/>
      <c r="AA8" s="1452"/>
      <c r="AB8" s="1452"/>
      <c r="AC8" s="1452"/>
      <c r="AD8" s="1452"/>
      <c r="AE8" s="1452"/>
      <c r="AF8" s="1452"/>
      <c r="AG8" s="1452"/>
      <c r="AH8" s="1452"/>
      <c r="AI8" s="1452"/>
      <c r="AJ8" s="1452"/>
      <c r="AK8" s="1452"/>
      <c r="AL8" s="1452"/>
      <c r="AM8" s="1452"/>
      <c r="AN8" s="1452"/>
      <c r="AO8" s="1452"/>
      <c r="AP8" s="1452"/>
      <c r="AQ8" s="1452"/>
      <c r="AR8" s="1452"/>
      <c r="AS8" s="1452"/>
      <c r="AT8" s="1452"/>
      <c r="AU8" s="1452"/>
      <c r="AV8" s="1452"/>
      <c r="AW8" s="1452"/>
      <c r="AX8" s="1452"/>
      <c r="AY8" s="1452"/>
      <c r="AZ8" s="1452"/>
      <c r="BA8" s="1452"/>
      <c r="BB8" s="1452"/>
      <c r="BC8" s="1452"/>
      <c r="BD8" s="1452"/>
      <c r="BE8" s="1452"/>
      <c r="BF8" s="1452"/>
      <c r="BG8" s="1452"/>
      <c r="BH8" s="1452"/>
      <c r="BI8" s="1452"/>
      <c r="BJ8" s="1452"/>
      <c r="BK8" s="1452"/>
      <c r="BL8" s="1452"/>
      <c r="BM8" s="1452"/>
      <c r="BN8" s="1452"/>
      <c r="BO8" s="1452"/>
      <c r="BP8" s="1452"/>
      <c r="BQ8" s="1452"/>
      <c r="BR8" s="1452"/>
      <c r="BS8" s="1452"/>
      <c r="BT8" s="1452"/>
      <c r="BU8" s="1452"/>
      <c r="BV8" s="1452"/>
      <c r="BW8" s="1452"/>
      <c r="BX8" s="1452"/>
      <c r="BY8" s="1452"/>
      <c r="BZ8" s="1452"/>
      <c r="CA8" s="1452"/>
      <c r="CB8" s="1452"/>
      <c r="CC8" s="1452"/>
      <c r="CD8" s="1452"/>
      <c r="CE8" s="1452"/>
      <c r="CF8" s="1452"/>
      <c r="CG8" s="1452"/>
      <c r="CH8" s="1452"/>
      <c r="CI8" s="1452"/>
      <c r="CJ8" s="1452"/>
      <c r="CK8" s="1452"/>
      <c r="CL8" s="1452"/>
      <c r="CM8" s="1452"/>
      <c r="CN8" s="1452"/>
      <c r="CO8" s="1452"/>
      <c r="CP8" s="1452"/>
      <c r="CQ8" s="1452"/>
      <c r="CR8" s="1452"/>
      <c r="CS8" s="1452"/>
      <c r="CT8" s="1452"/>
      <c r="CU8" s="1452"/>
      <c r="CV8" s="1452"/>
      <c r="CW8" s="1452"/>
      <c r="CX8" s="1452"/>
      <c r="CY8" s="1452"/>
      <c r="CZ8" s="1452"/>
      <c r="DA8" s="1452"/>
      <c r="DB8" s="1452"/>
      <c r="DC8" s="1452"/>
      <c r="DD8" s="1452"/>
      <c r="DE8" s="1452"/>
      <c r="DF8" s="1452"/>
      <c r="DG8" s="1452"/>
      <c r="DH8" s="1452"/>
      <c r="DI8" s="1452"/>
      <c r="DJ8" s="1452"/>
      <c r="DK8" s="1452"/>
      <c r="DL8" s="1452"/>
      <c r="DM8" s="1452"/>
      <c r="DN8" s="1452"/>
      <c r="DO8" s="1452"/>
      <c r="DP8" s="1452"/>
      <c r="DQ8" s="1452"/>
      <c r="DR8" s="1452"/>
      <c r="DS8" s="1452"/>
      <c r="DT8" s="1452"/>
      <c r="DU8" s="1452"/>
      <c r="DV8" s="1452"/>
      <c r="DW8" s="1452"/>
      <c r="DX8" s="1452"/>
      <c r="DY8" s="1452"/>
      <c r="DZ8" s="1452"/>
      <c r="EA8" s="1452"/>
      <c r="EB8" s="1452"/>
      <c r="EC8" s="1452"/>
      <c r="ED8" s="1452"/>
      <c r="EE8" s="1452"/>
      <c r="EF8" s="1452"/>
      <c r="EG8" s="1452"/>
      <c r="EH8" s="1452"/>
      <c r="EI8" s="1452"/>
      <c r="EJ8" s="1452"/>
      <c r="EK8" s="1452"/>
      <c r="EL8" s="1452"/>
      <c r="EM8" s="1452"/>
      <c r="EN8" s="1452"/>
      <c r="EO8" s="1452"/>
      <c r="EP8" s="1452"/>
      <c r="EQ8" s="1452"/>
      <c r="ER8" s="1452"/>
      <c r="ES8" s="1452"/>
      <c r="ET8" s="1452"/>
      <c r="EU8" s="1452"/>
      <c r="EV8" s="1452"/>
      <c r="EW8" s="1452"/>
      <c r="EX8" s="1452"/>
      <c r="EY8" s="1452"/>
      <c r="EZ8" s="1452"/>
      <c r="FA8" s="1452"/>
      <c r="FB8" s="1452"/>
      <c r="FC8" s="1452"/>
      <c r="FD8" s="1452"/>
      <c r="FE8" s="1452"/>
      <c r="FF8" s="1452"/>
      <c r="FG8" s="1452"/>
      <c r="FH8" s="1452"/>
      <c r="FI8" s="1452"/>
      <c r="FJ8" s="1452"/>
      <c r="FK8" s="1452"/>
      <c r="FL8" s="1452"/>
      <c r="FM8" s="1452"/>
      <c r="FN8" s="1452"/>
      <c r="FO8" s="1452"/>
      <c r="FP8" s="1452"/>
      <c r="FQ8" s="1452"/>
      <c r="FR8" s="1452"/>
      <c r="FS8" s="1452"/>
      <c r="FT8" s="1452"/>
      <c r="FU8" s="1452"/>
      <c r="FV8" s="1452"/>
      <c r="FW8" s="1452"/>
      <c r="FX8" s="1452"/>
      <c r="FY8" s="1452"/>
      <c r="FZ8" s="1452"/>
      <c r="GA8" s="1452"/>
      <c r="GB8" s="1452"/>
      <c r="GC8" s="1452"/>
      <c r="GD8" s="1452"/>
      <c r="GE8" s="1452"/>
      <c r="GF8" s="1452"/>
      <c r="GG8" s="1452"/>
      <c r="GH8" s="1452"/>
      <c r="GI8" s="1452"/>
      <c r="GJ8" s="1452"/>
      <c r="GK8" s="1452"/>
      <c r="GL8" s="1452"/>
      <c r="GM8" s="1452"/>
      <c r="GN8" s="1452"/>
      <c r="GO8" s="1452"/>
      <c r="GP8" s="1452"/>
      <c r="GQ8" s="1452"/>
      <c r="GR8" s="1452"/>
      <c r="GS8" s="1452"/>
      <c r="GT8" s="1452"/>
      <c r="GU8" s="1452"/>
      <c r="GV8" s="1452"/>
      <c r="GW8" s="1452"/>
      <c r="GX8" s="1452"/>
      <c r="GY8" s="1452"/>
      <c r="GZ8" s="1452"/>
      <c r="HA8" s="1452"/>
      <c r="HB8" s="1452"/>
      <c r="HC8" s="1452"/>
      <c r="HD8" s="1452"/>
      <c r="HE8" s="1452"/>
      <c r="HF8" s="1452"/>
      <c r="HG8" s="1452"/>
      <c r="HH8" s="1452"/>
      <c r="HI8" s="1452"/>
      <c r="HJ8" s="1452"/>
      <c r="HK8" s="1452"/>
      <c r="HL8" s="1452"/>
      <c r="HM8" s="1452"/>
      <c r="HN8" s="1452"/>
      <c r="HO8" s="1452"/>
      <c r="HP8" s="1452"/>
      <c r="HQ8" s="1452"/>
      <c r="HR8" s="1452"/>
      <c r="HS8" s="1452"/>
      <c r="HT8" s="1452"/>
      <c r="HU8" s="1452"/>
      <c r="HV8" s="1452"/>
      <c r="HW8" s="1452"/>
      <c r="HX8" s="1452"/>
      <c r="HY8" s="1452"/>
      <c r="HZ8" s="1452"/>
      <c r="IA8" s="1452"/>
      <c r="IB8" s="1452"/>
      <c r="IC8" s="1452"/>
      <c r="ID8" s="1452"/>
      <c r="IE8" s="1452"/>
      <c r="IF8" s="1452"/>
      <c r="IG8" s="1452"/>
      <c r="IH8" s="1452"/>
      <c r="II8" s="1452"/>
      <c r="IJ8" s="1452"/>
      <c r="IK8" s="1452"/>
      <c r="IL8" s="1452"/>
      <c r="IM8" s="1452"/>
      <c r="IN8" s="1452"/>
      <c r="IO8" s="1452"/>
      <c r="IP8" s="1452"/>
      <c r="IQ8" s="1452"/>
      <c r="IR8" s="1452"/>
      <c r="IS8" s="1452"/>
      <c r="IT8" s="1452"/>
      <c r="IU8" s="1452"/>
      <c r="IV8" s="1452"/>
    </row>
    <row r="9" spans="1:256" ht="24.75" customHeight="1">
      <c r="A9" s="1445"/>
      <c r="B9" s="1454" t="s">
        <v>7141</v>
      </c>
      <c r="C9" s="1455">
        <v>1</v>
      </c>
      <c r="D9" s="1455">
        <v>2</v>
      </c>
      <c r="E9" s="1450">
        <f>2.4+0.46</f>
        <v>2.86</v>
      </c>
      <c r="F9" s="1448">
        <v>0.23</v>
      </c>
      <c r="G9" s="1450">
        <v>0.38</v>
      </c>
      <c r="H9" s="1450">
        <f t="shared" ref="H9:H13" si="0">PRODUCT(C9:G9)</f>
        <v>0.5</v>
      </c>
      <c r="I9" s="1451"/>
      <c r="J9" s="1452"/>
      <c r="K9" s="1452"/>
      <c r="L9" s="1452"/>
      <c r="M9" s="1452"/>
      <c r="N9" s="1452"/>
      <c r="O9" s="1452"/>
      <c r="P9" s="1452"/>
      <c r="Q9" s="1452"/>
      <c r="R9" s="1452"/>
      <c r="S9" s="1452"/>
      <c r="T9" s="1452"/>
      <c r="U9" s="1452"/>
      <c r="V9" s="1452"/>
      <c r="W9" s="1452"/>
      <c r="X9" s="1452"/>
      <c r="Y9" s="1452"/>
      <c r="Z9" s="1452"/>
      <c r="AA9" s="1452"/>
      <c r="AB9" s="1452"/>
      <c r="AC9" s="1452"/>
      <c r="AD9" s="1452"/>
      <c r="AE9" s="1452"/>
      <c r="AF9" s="1452"/>
      <c r="AG9" s="1452"/>
      <c r="AH9" s="1452"/>
      <c r="AI9" s="1452"/>
      <c r="AJ9" s="1452"/>
      <c r="AK9" s="1452"/>
      <c r="AL9" s="1452"/>
      <c r="AM9" s="1452"/>
      <c r="AN9" s="1452"/>
      <c r="AO9" s="1452"/>
      <c r="AP9" s="1452"/>
      <c r="AQ9" s="1452"/>
      <c r="AR9" s="1452"/>
      <c r="AS9" s="1452"/>
      <c r="AT9" s="1452"/>
      <c r="AU9" s="1452"/>
      <c r="AV9" s="1452"/>
      <c r="AW9" s="1452"/>
      <c r="AX9" s="1452"/>
      <c r="AY9" s="1452"/>
      <c r="AZ9" s="1452"/>
      <c r="BA9" s="1452"/>
      <c r="BB9" s="1452"/>
      <c r="BC9" s="1452"/>
      <c r="BD9" s="1452"/>
      <c r="BE9" s="1452"/>
      <c r="BF9" s="1452"/>
      <c r="BG9" s="1452"/>
      <c r="BH9" s="1452"/>
      <c r="BI9" s="1452"/>
      <c r="BJ9" s="1452"/>
      <c r="BK9" s="1452"/>
      <c r="BL9" s="1452"/>
      <c r="BM9" s="1452"/>
      <c r="BN9" s="1452"/>
      <c r="BO9" s="1452"/>
      <c r="BP9" s="1452"/>
      <c r="BQ9" s="1452"/>
      <c r="BR9" s="1452"/>
      <c r="BS9" s="1452"/>
      <c r="BT9" s="1452"/>
      <c r="BU9" s="1452"/>
      <c r="BV9" s="1452"/>
      <c r="BW9" s="1452"/>
      <c r="BX9" s="1452"/>
      <c r="BY9" s="1452"/>
      <c r="BZ9" s="1452"/>
      <c r="CA9" s="1452"/>
      <c r="CB9" s="1452"/>
      <c r="CC9" s="1452"/>
      <c r="CD9" s="1452"/>
      <c r="CE9" s="1452"/>
      <c r="CF9" s="1452"/>
      <c r="CG9" s="1452"/>
      <c r="CH9" s="1452"/>
      <c r="CI9" s="1452"/>
      <c r="CJ9" s="1452"/>
      <c r="CK9" s="1452"/>
      <c r="CL9" s="1452"/>
      <c r="CM9" s="1452"/>
      <c r="CN9" s="1452"/>
      <c r="CO9" s="1452"/>
      <c r="CP9" s="1452"/>
      <c r="CQ9" s="1452"/>
      <c r="CR9" s="1452"/>
      <c r="CS9" s="1452"/>
      <c r="CT9" s="1452"/>
      <c r="CU9" s="1452"/>
      <c r="CV9" s="1452"/>
      <c r="CW9" s="1452"/>
      <c r="CX9" s="1452"/>
      <c r="CY9" s="1452"/>
      <c r="CZ9" s="1452"/>
      <c r="DA9" s="1452"/>
      <c r="DB9" s="1452"/>
      <c r="DC9" s="1452"/>
      <c r="DD9" s="1452"/>
      <c r="DE9" s="1452"/>
      <c r="DF9" s="1452"/>
      <c r="DG9" s="1452"/>
      <c r="DH9" s="1452"/>
      <c r="DI9" s="1452"/>
      <c r="DJ9" s="1452"/>
      <c r="DK9" s="1452"/>
      <c r="DL9" s="1452"/>
      <c r="DM9" s="1452"/>
      <c r="DN9" s="1452"/>
      <c r="DO9" s="1452"/>
      <c r="DP9" s="1452"/>
      <c r="DQ9" s="1452"/>
      <c r="DR9" s="1452"/>
      <c r="DS9" s="1452"/>
      <c r="DT9" s="1452"/>
      <c r="DU9" s="1452"/>
      <c r="DV9" s="1452"/>
      <c r="DW9" s="1452"/>
      <c r="DX9" s="1452"/>
      <c r="DY9" s="1452"/>
      <c r="DZ9" s="1452"/>
      <c r="EA9" s="1452"/>
      <c r="EB9" s="1452"/>
      <c r="EC9" s="1452"/>
      <c r="ED9" s="1452"/>
      <c r="EE9" s="1452"/>
      <c r="EF9" s="1452"/>
      <c r="EG9" s="1452"/>
      <c r="EH9" s="1452"/>
      <c r="EI9" s="1452"/>
      <c r="EJ9" s="1452"/>
      <c r="EK9" s="1452"/>
      <c r="EL9" s="1452"/>
      <c r="EM9" s="1452"/>
      <c r="EN9" s="1452"/>
      <c r="EO9" s="1452"/>
      <c r="EP9" s="1452"/>
      <c r="EQ9" s="1452"/>
      <c r="ER9" s="1452"/>
      <c r="ES9" s="1452"/>
      <c r="ET9" s="1452"/>
      <c r="EU9" s="1452"/>
      <c r="EV9" s="1452"/>
      <c r="EW9" s="1452"/>
      <c r="EX9" s="1452"/>
      <c r="EY9" s="1452"/>
      <c r="EZ9" s="1452"/>
      <c r="FA9" s="1452"/>
      <c r="FB9" s="1452"/>
      <c r="FC9" s="1452"/>
      <c r="FD9" s="1452"/>
      <c r="FE9" s="1452"/>
      <c r="FF9" s="1452"/>
      <c r="FG9" s="1452"/>
      <c r="FH9" s="1452"/>
      <c r="FI9" s="1452"/>
      <c r="FJ9" s="1452"/>
      <c r="FK9" s="1452"/>
      <c r="FL9" s="1452"/>
      <c r="FM9" s="1452"/>
      <c r="FN9" s="1452"/>
      <c r="FO9" s="1452"/>
      <c r="FP9" s="1452"/>
      <c r="FQ9" s="1452"/>
      <c r="FR9" s="1452"/>
      <c r="FS9" s="1452"/>
      <c r="FT9" s="1452"/>
      <c r="FU9" s="1452"/>
      <c r="FV9" s="1452"/>
      <c r="FW9" s="1452"/>
      <c r="FX9" s="1452"/>
      <c r="FY9" s="1452"/>
      <c r="FZ9" s="1452"/>
      <c r="GA9" s="1452"/>
      <c r="GB9" s="1452"/>
      <c r="GC9" s="1452"/>
      <c r="GD9" s="1452"/>
      <c r="GE9" s="1452"/>
      <c r="GF9" s="1452"/>
      <c r="GG9" s="1452"/>
      <c r="GH9" s="1452"/>
      <c r="GI9" s="1452"/>
      <c r="GJ9" s="1452"/>
      <c r="GK9" s="1452"/>
      <c r="GL9" s="1452"/>
      <c r="GM9" s="1452"/>
      <c r="GN9" s="1452"/>
      <c r="GO9" s="1452"/>
      <c r="GP9" s="1452"/>
      <c r="GQ9" s="1452"/>
      <c r="GR9" s="1452"/>
      <c r="GS9" s="1452"/>
      <c r="GT9" s="1452"/>
      <c r="GU9" s="1452"/>
      <c r="GV9" s="1452"/>
      <c r="GW9" s="1452"/>
      <c r="GX9" s="1452"/>
      <c r="GY9" s="1452"/>
      <c r="GZ9" s="1452"/>
      <c r="HA9" s="1452"/>
      <c r="HB9" s="1452"/>
      <c r="HC9" s="1452"/>
      <c r="HD9" s="1452"/>
      <c r="HE9" s="1452"/>
      <c r="HF9" s="1452"/>
      <c r="HG9" s="1452"/>
      <c r="HH9" s="1452"/>
      <c r="HI9" s="1452"/>
      <c r="HJ9" s="1452"/>
      <c r="HK9" s="1452"/>
      <c r="HL9" s="1452"/>
      <c r="HM9" s="1452"/>
      <c r="HN9" s="1452"/>
      <c r="HO9" s="1452"/>
      <c r="HP9" s="1452"/>
      <c r="HQ9" s="1452"/>
      <c r="HR9" s="1452"/>
      <c r="HS9" s="1452"/>
      <c r="HT9" s="1452"/>
      <c r="HU9" s="1452"/>
      <c r="HV9" s="1452"/>
      <c r="HW9" s="1452"/>
      <c r="HX9" s="1452"/>
      <c r="HY9" s="1452"/>
      <c r="HZ9" s="1452"/>
      <c r="IA9" s="1452"/>
      <c r="IB9" s="1452"/>
      <c r="IC9" s="1452"/>
      <c r="ID9" s="1452"/>
      <c r="IE9" s="1452"/>
      <c r="IF9" s="1452"/>
      <c r="IG9" s="1452"/>
      <c r="IH9" s="1452"/>
      <c r="II9" s="1452"/>
      <c r="IJ9" s="1452"/>
      <c r="IK9" s="1452"/>
      <c r="IL9" s="1452"/>
      <c r="IM9" s="1452"/>
      <c r="IN9" s="1452"/>
      <c r="IO9" s="1452"/>
      <c r="IP9" s="1452"/>
      <c r="IQ9" s="1452"/>
      <c r="IR9" s="1452"/>
      <c r="IS9" s="1452"/>
      <c r="IT9" s="1452"/>
      <c r="IU9" s="1452"/>
      <c r="IV9" s="1452"/>
    </row>
    <row r="10" spans="1:256" ht="24.75" customHeight="1">
      <c r="A10" s="1445"/>
      <c r="B10" s="1454" t="s">
        <v>7141</v>
      </c>
      <c r="C10" s="1455">
        <v>1</v>
      </c>
      <c r="D10" s="1455">
        <v>2</v>
      </c>
      <c r="E10" s="1450">
        <v>4.0999999999999996</v>
      </c>
      <c r="F10" s="1448">
        <v>0.23</v>
      </c>
      <c r="G10" s="1450">
        <v>0.38</v>
      </c>
      <c r="H10" s="1450">
        <f t="shared" si="0"/>
        <v>0.72</v>
      </c>
      <c r="I10" s="1451"/>
      <c r="J10" s="1452"/>
      <c r="K10" s="1452"/>
      <c r="L10" s="1452"/>
      <c r="M10" s="1452"/>
      <c r="N10" s="1452"/>
      <c r="O10" s="1452"/>
      <c r="P10" s="1452"/>
      <c r="Q10" s="1452"/>
      <c r="R10" s="1452"/>
      <c r="S10" s="1452"/>
      <c r="T10" s="1452"/>
      <c r="U10" s="1452"/>
      <c r="V10" s="1452"/>
      <c r="W10" s="1452"/>
      <c r="X10" s="1452"/>
      <c r="Y10" s="1452"/>
      <c r="Z10" s="1452"/>
      <c r="AA10" s="1452"/>
      <c r="AB10" s="1452"/>
      <c r="AC10" s="1452"/>
      <c r="AD10" s="1452"/>
      <c r="AE10" s="1452"/>
      <c r="AF10" s="1452"/>
      <c r="AG10" s="1452"/>
      <c r="AH10" s="1452"/>
      <c r="AI10" s="1452"/>
      <c r="AJ10" s="1452"/>
      <c r="AK10" s="1452"/>
      <c r="AL10" s="1452"/>
      <c r="AM10" s="1452"/>
      <c r="AN10" s="1452"/>
      <c r="AO10" s="1452"/>
      <c r="AP10" s="1452"/>
      <c r="AQ10" s="1452"/>
      <c r="AR10" s="1452"/>
      <c r="AS10" s="1452"/>
      <c r="AT10" s="1452"/>
      <c r="AU10" s="1452"/>
      <c r="AV10" s="1452"/>
      <c r="AW10" s="1452"/>
      <c r="AX10" s="1452"/>
      <c r="AY10" s="1452"/>
      <c r="AZ10" s="1452"/>
      <c r="BA10" s="1452"/>
      <c r="BB10" s="1452"/>
      <c r="BC10" s="1452"/>
      <c r="BD10" s="1452"/>
      <c r="BE10" s="1452"/>
      <c r="BF10" s="1452"/>
      <c r="BG10" s="1452"/>
      <c r="BH10" s="1452"/>
      <c r="BI10" s="1452"/>
      <c r="BJ10" s="1452"/>
      <c r="BK10" s="1452"/>
      <c r="BL10" s="1452"/>
      <c r="BM10" s="1452"/>
      <c r="BN10" s="1452"/>
      <c r="BO10" s="1452"/>
      <c r="BP10" s="1452"/>
      <c r="BQ10" s="1452"/>
      <c r="BR10" s="1452"/>
      <c r="BS10" s="1452"/>
      <c r="BT10" s="1452"/>
      <c r="BU10" s="1452"/>
      <c r="BV10" s="1452"/>
      <c r="BW10" s="1452"/>
      <c r="BX10" s="1452"/>
      <c r="BY10" s="1452"/>
      <c r="BZ10" s="1452"/>
      <c r="CA10" s="1452"/>
      <c r="CB10" s="1452"/>
      <c r="CC10" s="1452"/>
      <c r="CD10" s="1452"/>
      <c r="CE10" s="1452"/>
      <c r="CF10" s="1452"/>
      <c r="CG10" s="1452"/>
      <c r="CH10" s="1452"/>
      <c r="CI10" s="1452"/>
      <c r="CJ10" s="1452"/>
      <c r="CK10" s="1452"/>
      <c r="CL10" s="1452"/>
      <c r="CM10" s="1452"/>
      <c r="CN10" s="1452"/>
      <c r="CO10" s="1452"/>
      <c r="CP10" s="1452"/>
      <c r="CQ10" s="1452"/>
      <c r="CR10" s="1452"/>
      <c r="CS10" s="1452"/>
      <c r="CT10" s="1452"/>
      <c r="CU10" s="1452"/>
      <c r="CV10" s="1452"/>
      <c r="CW10" s="1452"/>
      <c r="CX10" s="1452"/>
      <c r="CY10" s="1452"/>
      <c r="CZ10" s="1452"/>
      <c r="DA10" s="1452"/>
      <c r="DB10" s="1452"/>
      <c r="DC10" s="1452"/>
      <c r="DD10" s="1452"/>
      <c r="DE10" s="1452"/>
      <c r="DF10" s="1452"/>
      <c r="DG10" s="1452"/>
      <c r="DH10" s="1452"/>
      <c r="DI10" s="1452"/>
      <c r="DJ10" s="1452"/>
      <c r="DK10" s="1452"/>
      <c r="DL10" s="1452"/>
      <c r="DM10" s="1452"/>
      <c r="DN10" s="1452"/>
      <c r="DO10" s="1452"/>
      <c r="DP10" s="1452"/>
      <c r="DQ10" s="1452"/>
      <c r="DR10" s="1452"/>
      <c r="DS10" s="1452"/>
      <c r="DT10" s="1452"/>
      <c r="DU10" s="1452"/>
      <c r="DV10" s="1452"/>
      <c r="DW10" s="1452"/>
      <c r="DX10" s="1452"/>
      <c r="DY10" s="1452"/>
      <c r="DZ10" s="1452"/>
      <c r="EA10" s="1452"/>
      <c r="EB10" s="1452"/>
      <c r="EC10" s="1452"/>
      <c r="ED10" s="1452"/>
      <c r="EE10" s="1452"/>
      <c r="EF10" s="1452"/>
      <c r="EG10" s="1452"/>
      <c r="EH10" s="1452"/>
      <c r="EI10" s="1452"/>
      <c r="EJ10" s="1452"/>
      <c r="EK10" s="1452"/>
      <c r="EL10" s="1452"/>
      <c r="EM10" s="1452"/>
      <c r="EN10" s="1452"/>
      <c r="EO10" s="1452"/>
      <c r="EP10" s="1452"/>
      <c r="EQ10" s="1452"/>
      <c r="ER10" s="1452"/>
      <c r="ES10" s="1452"/>
      <c r="ET10" s="1452"/>
      <c r="EU10" s="1452"/>
      <c r="EV10" s="1452"/>
      <c r="EW10" s="1452"/>
      <c r="EX10" s="1452"/>
      <c r="EY10" s="1452"/>
      <c r="EZ10" s="1452"/>
      <c r="FA10" s="1452"/>
      <c r="FB10" s="1452"/>
      <c r="FC10" s="1452"/>
      <c r="FD10" s="1452"/>
      <c r="FE10" s="1452"/>
      <c r="FF10" s="1452"/>
      <c r="FG10" s="1452"/>
      <c r="FH10" s="1452"/>
      <c r="FI10" s="1452"/>
      <c r="FJ10" s="1452"/>
      <c r="FK10" s="1452"/>
      <c r="FL10" s="1452"/>
      <c r="FM10" s="1452"/>
      <c r="FN10" s="1452"/>
      <c r="FO10" s="1452"/>
      <c r="FP10" s="1452"/>
      <c r="FQ10" s="1452"/>
      <c r="FR10" s="1452"/>
      <c r="FS10" s="1452"/>
      <c r="FT10" s="1452"/>
      <c r="FU10" s="1452"/>
      <c r="FV10" s="1452"/>
      <c r="FW10" s="1452"/>
      <c r="FX10" s="1452"/>
      <c r="FY10" s="1452"/>
      <c r="FZ10" s="1452"/>
      <c r="GA10" s="1452"/>
      <c r="GB10" s="1452"/>
      <c r="GC10" s="1452"/>
      <c r="GD10" s="1452"/>
      <c r="GE10" s="1452"/>
      <c r="GF10" s="1452"/>
      <c r="GG10" s="1452"/>
      <c r="GH10" s="1452"/>
      <c r="GI10" s="1452"/>
      <c r="GJ10" s="1452"/>
      <c r="GK10" s="1452"/>
      <c r="GL10" s="1452"/>
      <c r="GM10" s="1452"/>
      <c r="GN10" s="1452"/>
      <c r="GO10" s="1452"/>
      <c r="GP10" s="1452"/>
      <c r="GQ10" s="1452"/>
      <c r="GR10" s="1452"/>
      <c r="GS10" s="1452"/>
      <c r="GT10" s="1452"/>
      <c r="GU10" s="1452"/>
      <c r="GV10" s="1452"/>
      <c r="GW10" s="1452"/>
      <c r="GX10" s="1452"/>
      <c r="GY10" s="1452"/>
      <c r="GZ10" s="1452"/>
      <c r="HA10" s="1452"/>
      <c r="HB10" s="1452"/>
      <c r="HC10" s="1452"/>
      <c r="HD10" s="1452"/>
      <c r="HE10" s="1452"/>
      <c r="HF10" s="1452"/>
      <c r="HG10" s="1452"/>
      <c r="HH10" s="1452"/>
      <c r="HI10" s="1452"/>
      <c r="HJ10" s="1452"/>
      <c r="HK10" s="1452"/>
      <c r="HL10" s="1452"/>
      <c r="HM10" s="1452"/>
      <c r="HN10" s="1452"/>
      <c r="HO10" s="1452"/>
      <c r="HP10" s="1452"/>
      <c r="HQ10" s="1452"/>
      <c r="HR10" s="1452"/>
      <c r="HS10" s="1452"/>
      <c r="HT10" s="1452"/>
      <c r="HU10" s="1452"/>
      <c r="HV10" s="1452"/>
      <c r="HW10" s="1452"/>
      <c r="HX10" s="1452"/>
      <c r="HY10" s="1452"/>
      <c r="HZ10" s="1452"/>
      <c r="IA10" s="1452"/>
      <c r="IB10" s="1452"/>
      <c r="IC10" s="1452"/>
      <c r="ID10" s="1452"/>
      <c r="IE10" s="1452"/>
      <c r="IF10" s="1452"/>
      <c r="IG10" s="1452"/>
      <c r="IH10" s="1452"/>
      <c r="II10" s="1452"/>
      <c r="IJ10" s="1452"/>
      <c r="IK10" s="1452"/>
      <c r="IL10" s="1452"/>
      <c r="IM10" s="1452"/>
      <c r="IN10" s="1452"/>
      <c r="IO10" s="1452"/>
      <c r="IP10" s="1452"/>
      <c r="IQ10" s="1452"/>
      <c r="IR10" s="1452"/>
      <c r="IS10" s="1452"/>
      <c r="IT10" s="1452"/>
      <c r="IU10" s="1452"/>
      <c r="IV10" s="1452"/>
    </row>
    <row r="11" spans="1:256" ht="24.75" customHeight="1">
      <c r="A11" s="1445"/>
      <c r="B11" s="1454" t="s">
        <v>7142</v>
      </c>
      <c r="C11" s="1455">
        <v>1</v>
      </c>
      <c r="D11" s="1455">
        <v>1</v>
      </c>
      <c r="E11" s="1450">
        <f>2.4+0.46</f>
        <v>2.86</v>
      </c>
      <c r="F11" s="1448">
        <v>0.23</v>
      </c>
      <c r="G11" s="1450">
        <f>0.23</f>
        <v>0.23</v>
      </c>
      <c r="H11" s="1450">
        <f t="shared" si="0"/>
        <v>0.15</v>
      </c>
      <c r="I11" s="1451"/>
      <c r="J11" s="1452"/>
      <c r="K11" s="1452"/>
      <c r="L11" s="1452"/>
      <c r="M11" s="1452"/>
      <c r="N11" s="1452"/>
      <c r="O11" s="1452"/>
      <c r="P11" s="1452"/>
      <c r="Q11" s="1452"/>
      <c r="R11" s="1452"/>
      <c r="S11" s="1452"/>
      <c r="T11" s="1452"/>
      <c r="U11" s="1452"/>
      <c r="V11" s="1452"/>
      <c r="W11" s="1452"/>
      <c r="X11" s="1452"/>
      <c r="Y11" s="1452"/>
      <c r="Z11" s="1452"/>
      <c r="AA11" s="1452"/>
      <c r="AB11" s="1452"/>
      <c r="AC11" s="1452"/>
      <c r="AD11" s="1452"/>
      <c r="AE11" s="1452"/>
      <c r="AF11" s="1452"/>
      <c r="AG11" s="1452"/>
      <c r="AH11" s="1452"/>
      <c r="AI11" s="1452"/>
      <c r="AJ11" s="1452"/>
      <c r="AK11" s="1452"/>
      <c r="AL11" s="1452"/>
      <c r="AM11" s="1452"/>
      <c r="AN11" s="1452"/>
      <c r="AO11" s="1452"/>
      <c r="AP11" s="1452"/>
      <c r="AQ11" s="1452"/>
      <c r="AR11" s="1452"/>
      <c r="AS11" s="1452"/>
      <c r="AT11" s="1452"/>
      <c r="AU11" s="1452"/>
      <c r="AV11" s="1452"/>
      <c r="AW11" s="1452"/>
      <c r="AX11" s="1452"/>
      <c r="AY11" s="1452"/>
      <c r="AZ11" s="1452"/>
      <c r="BA11" s="1452"/>
      <c r="BB11" s="1452"/>
      <c r="BC11" s="1452"/>
      <c r="BD11" s="1452"/>
      <c r="BE11" s="1452"/>
      <c r="BF11" s="1452"/>
      <c r="BG11" s="1452"/>
      <c r="BH11" s="1452"/>
      <c r="BI11" s="1452"/>
      <c r="BJ11" s="1452"/>
      <c r="BK11" s="1452"/>
      <c r="BL11" s="1452"/>
      <c r="BM11" s="1452"/>
      <c r="BN11" s="1452"/>
      <c r="BO11" s="1452"/>
      <c r="BP11" s="1452"/>
      <c r="BQ11" s="1452"/>
      <c r="BR11" s="1452"/>
      <c r="BS11" s="1452"/>
      <c r="BT11" s="1452"/>
      <c r="BU11" s="1452"/>
      <c r="BV11" s="1452"/>
      <c r="BW11" s="1452"/>
      <c r="BX11" s="1452"/>
      <c r="BY11" s="1452"/>
      <c r="BZ11" s="1452"/>
      <c r="CA11" s="1452"/>
      <c r="CB11" s="1452"/>
      <c r="CC11" s="1452"/>
      <c r="CD11" s="1452"/>
      <c r="CE11" s="1452"/>
      <c r="CF11" s="1452"/>
      <c r="CG11" s="1452"/>
      <c r="CH11" s="1452"/>
      <c r="CI11" s="1452"/>
      <c r="CJ11" s="1452"/>
      <c r="CK11" s="1452"/>
      <c r="CL11" s="1452"/>
      <c r="CM11" s="1452"/>
      <c r="CN11" s="1452"/>
      <c r="CO11" s="1452"/>
      <c r="CP11" s="1452"/>
      <c r="CQ11" s="1452"/>
      <c r="CR11" s="1452"/>
      <c r="CS11" s="1452"/>
      <c r="CT11" s="1452"/>
      <c r="CU11" s="1452"/>
      <c r="CV11" s="1452"/>
      <c r="CW11" s="1452"/>
      <c r="CX11" s="1452"/>
      <c r="CY11" s="1452"/>
      <c r="CZ11" s="1452"/>
      <c r="DA11" s="1452"/>
      <c r="DB11" s="1452"/>
      <c r="DC11" s="1452"/>
      <c r="DD11" s="1452"/>
      <c r="DE11" s="1452"/>
      <c r="DF11" s="1452"/>
      <c r="DG11" s="1452"/>
      <c r="DH11" s="1452"/>
      <c r="DI11" s="1452"/>
      <c r="DJ11" s="1452"/>
      <c r="DK11" s="1452"/>
      <c r="DL11" s="1452"/>
      <c r="DM11" s="1452"/>
      <c r="DN11" s="1452"/>
      <c r="DO11" s="1452"/>
      <c r="DP11" s="1452"/>
      <c r="DQ11" s="1452"/>
      <c r="DR11" s="1452"/>
      <c r="DS11" s="1452"/>
      <c r="DT11" s="1452"/>
      <c r="DU11" s="1452"/>
      <c r="DV11" s="1452"/>
      <c r="DW11" s="1452"/>
      <c r="DX11" s="1452"/>
      <c r="DY11" s="1452"/>
      <c r="DZ11" s="1452"/>
      <c r="EA11" s="1452"/>
      <c r="EB11" s="1452"/>
      <c r="EC11" s="1452"/>
      <c r="ED11" s="1452"/>
      <c r="EE11" s="1452"/>
      <c r="EF11" s="1452"/>
      <c r="EG11" s="1452"/>
      <c r="EH11" s="1452"/>
      <c r="EI11" s="1452"/>
      <c r="EJ11" s="1452"/>
      <c r="EK11" s="1452"/>
      <c r="EL11" s="1452"/>
      <c r="EM11" s="1452"/>
      <c r="EN11" s="1452"/>
      <c r="EO11" s="1452"/>
      <c r="EP11" s="1452"/>
      <c r="EQ11" s="1452"/>
      <c r="ER11" s="1452"/>
      <c r="ES11" s="1452"/>
      <c r="ET11" s="1452"/>
      <c r="EU11" s="1452"/>
      <c r="EV11" s="1452"/>
      <c r="EW11" s="1452"/>
      <c r="EX11" s="1452"/>
      <c r="EY11" s="1452"/>
      <c r="EZ11" s="1452"/>
      <c r="FA11" s="1452"/>
      <c r="FB11" s="1452"/>
      <c r="FC11" s="1452"/>
      <c r="FD11" s="1452"/>
      <c r="FE11" s="1452"/>
      <c r="FF11" s="1452"/>
      <c r="FG11" s="1452"/>
      <c r="FH11" s="1452"/>
      <c r="FI11" s="1452"/>
      <c r="FJ11" s="1452"/>
      <c r="FK11" s="1452"/>
      <c r="FL11" s="1452"/>
      <c r="FM11" s="1452"/>
      <c r="FN11" s="1452"/>
      <c r="FO11" s="1452"/>
      <c r="FP11" s="1452"/>
      <c r="FQ11" s="1452"/>
      <c r="FR11" s="1452"/>
      <c r="FS11" s="1452"/>
      <c r="FT11" s="1452"/>
      <c r="FU11" s="1452"/>
      <c r="FV11" s="1452"/>
      <c r="FW11" s="1452"/>
      <c r="FX11" s="1452"/>
      <c r="FY11" s="1452"/>
      <c r="FZ11" s="1452"/>
      <c r="GA11" s="1452"/>
      <c r="GB11" s="1452"/>
      <c r="GC11" s="1452"/>
      <c r="GD11" s="1452"/>
      <c r="GE11" s="1452"/>
      <c r="GF11" s="1452"/>
      <c r="GG11" s="1452"/>
      <c r="GH11" s="1452"/>
      <c r="GI11" s="1452"/>
      <c r="GJ11" s="1452"/>
      <c r="GK11" s="1452"/>
      <c r="GL11" s="1452"/>
      <c r="GM11" s="1452"/>
      <c r="GN11" s="1452"/>
      <c r="GO11" s="1452"/>
      <c r="GP11" s="1452"/>
      <c r="GQ11" s="1452"/>
      <c r="GR11" s="1452"/>
      <c r="GS11" s="1452"/>
      <c r="GT11" s="1452"/>
      <c r="GU11" s="1452"/>
      <c r="GV11" s="1452"/>
      <c r="GW11" s="1452"/>
      <c r="GX11" s="1452"/>
      <c r="GY11" s="1452"/>
      <c r="GZ11" s="1452"/>
      <c r="HA11" s="1452"/>
      <c r="HB11" s="1452"/>
      <c r="HC11" s="1452"/>
      <c r="HD11" s="1452"/>
      <c r="HE11" s="1452"/>
      <c r="HF11" s="1452"/>
      <c r="HG11" s="1452"/>
      <c r="HH11" s="1452"/>
      <c r="HI11" s="1452"/>
      <c r="HJ11" s="1452"/>
      <c r="HK11" s="1452"/>
      <c r="HL11" s="1452"/>
      <c r="HM11" s="1452"/>
      <c r="HN11" s="1452"/>
      <c r="HO11" s="1452"/>
      <c r="HP11" s="1452"/>
      <c r="HQ11" s="1452"/>
      <c r="HR11" s="1452"/>
      <c r="HS11" s="1452"/>
      <c r="HT11" s="1452"/>
      <c r="HU11" s="1452"/>
      <c r="HV11" s="1452"/>
      <c r="HW11" s="1452"/>
      <c r="HX11" s="1452"/>
      <c r="HY11" s="1452"/>
      <c r="HZ11" s="1452"/>
      <c r="IA11" s="1452"/>
      <c r="IB11" s="1452"/>
      <c r="IC11" s="1452"/>
      <c r="ID11" s="1452"/>
      <c r="IE11" s="1452"/>
      <c r="IF11" s="1452"/>
      <c r="IG11" s="1452"/>
      <c r="IH11" s="1452"/>
      <c r="II11" s="1452"/>
      <c r="IJ11" s="1452"/>
      <c r="IK11" s="1452"/>
      <c r="IL11" s="1452"/>
      <c r="IM11" s="1452"/>
      <c r="IN11" s="1452"/>
      <c r="IO11" s="1452"/>
      <c r="IP11" s="1452"/>
      <c r="IQ11" s="1452"/>
      <c r="IR11" s="1452"/>
      <c r="IS11" s="1452"/>
      <c r="IT11" s="1452"/>
      <c r="IU11" s="1452"/>
      <c r="IV11" s="1452"/>
    </row>
    <row r="12" spans="1:256" ht="24.75" customHeight="1">
      <c r="A12" s="1445"/>
      <c r="B12" s="1454" t="s">
        <v>7142</v>
      </c>
      <c r="C12" s="1455">
        <v>1</v>
      </c>
      <c r="D12" s="1455">
        <v>1</v>
      </c>
      <c r="E12" s="1450">
        <v>4.0999999999999996</v>
      </c>
      <c r="F12" s="1448">
        <v>0.23</v>
      </c>
      <c r="G12" s="1450">
        <v>0.23</v>
      </c>
      <c r="H12" s="1450">
        <f t="shared" si="0"/>
        <v>0.22</v>
      </c>
      <c r="I12" s="1451"/>
      <c r="J12" s="1452"/>
      <c r="K12" s="1452"/>
      <c r="L12" s="1452"/>
      <c r="M12" s="1452"/>
      <c r="N12" s="1452"/>
      <c r="O12" s="1452"/>
      <c r="P12" s="1452"/>
      <c r="Q12" s="1452"/>
      <c r="R12" s="1452"/>
      <c r="S12" s="1452"/>
      <c r="T12" s="1452"/>
      <c r="U12" s="1452"/>
      <c r="V12" s="1452"/>
      <c r="W12" s="1452"/>
      <c r="X12" s="1452"/>
      <c r="Y12" s="1452"/>
      <c r="Z12" s="1452"/>
      <c r="AA12" s="1452"/>
      <c r="AB12" s="1452"/>
      <c r="AC12" s="1452"/>
      <c r="AD12" s="1452"/>
      <c r="AE12" s="1452"/>
      <c r="AF12" s="1452"/>
      <c r="AG12" s="1452"/>
      <c r="AH12" s="1452"/>
      <c r="AI12" s="1452"/>
      <c r="AJ12" s="1452"/>
      <c r="AK12" s="1452"/>
      <c r="AL12" s="1452"/>
      <c r="AM12" s="1452"/>
      <c r="AN12" s="1452"/>
      <c r="AO12" s="1452"/>
      <c r="AP12" s="1452"/>
      <c r="AQ12" s="1452"/>
      <c r="AR12" s="1452"/>
      <c r="AS12" s="1452"/>
      <c r="AT12" s="1452"/>
      <c r="AU12" s="1452"/>
      <c r="AV12" s="1452"/>
      <c r="AW12" s="1452"/>
      <c r="AX12" s="1452"/>
      <c r="AY12" s="1452"/>
      <c r="AZ12" s="1452"/>
      <c r="BA12" s="1452"/>
      <c r="BB12" s="1452"/>
      <c r="BC12" s="1452"/>
      <c r="BD12" s="1452"/>
      <c r="BE12" s="1452"/>
      <c r="BF12" s="1452"/>
      <c r="BG12" s="1452"/>
      <c r="BH12" s="1452"/>
      <c r="BI12" s="1452"/>
      <c r="BJ12" s="1452"/>
      <c r="BK12" s="1452"/>
      <c r="BL12" s="1452"/>
      <c r="BM12" s="1452"/>
      <c r="BN12" s="1452"/>
      <c r="BO12" s="1452"/>
      <c r="BP12" s="1452"/>
      <c r="BQ12" s="1452"/>
      <c r="BR12" s="1452"/>
      <c r="BS12" s="1452"/>
      <c r="BT12" s="1452"/>
      <c r="BU12" s="1452"/>
      <c r="BV12" s="1452"/>
      <c r="BW12" s="1452"/>
      <c r="BX12" s="1452"/>
      <c r="BY12" s="1452"/>
      <c r="BZ12" s="1452"/>
      <c r="CA12" s="1452"/>
      <c r="CB12" s="1452"/>
      <c r="CC12" s="1452"/>
      <c r="CD12" s="1452"/>
      <c r="CE12" s="1452"/>
      <c r="CF12" s="1452"/>
      <c r="CG12" s="1452"/>
      <c r="CH12" s="1452"/>
      <c r="CI12" s="1452"/>
      <c r="CJ12" s="1452"/>
      <c r="CK12" s="1452"/>
      <c r="CL12" s="1452"/>
      <c r="CM12" s="1452"/>
      <c r="CN12" s="1452"/>
      <c r="CO12" s="1452"/>
      <c r="CP12" s="1452"/>
      <c r="CQ12" s="1452"/>
      <c r="CR12" s="1452"/>
      <c r="CS12" s="1452"/>
      <c r="CT12" s="1452"/>
      <c r="CU12" s="1452"/>
      <c r="CV12" s="1452"/>
      <c r="CW12" s="1452"/>
      <c r="CX12" s="1452"/>
      <c r="CY12" s="1452"/>
      <c r="CZ12" s="1452"/>
      <c r="DA12" s="1452"/>
      <c r="DB12" s="1452"/>
      <c r="DC12" s="1452"/>
      <c r="DD12" s="1452"/>
      <c r="DE12" s="1452"/>
      <c r="DF12" s="1452"/>
      <c r="DG12" s="1452"/>
      <c r="DH12" s="1452"/>
      <c r="DI12" s="1452"/>
      <c r="DJ12" s="1452"/>
      <c r="DK12" s="1452"/>
      <c r="DL12" s="1452"/>
      <c r="DM12" s="1452"/>
      <c r="DN12" s="1452"/>
      <c r="DO12" s="1452"/>
      <c r="DP12" s="1452"/>
      <c r="DQ12" s="1452"/>
      <c r="DR12" s="1452"/>
      <c r="DS12" s="1452"/>
      <c r="DT12" s="1452"/>
      <c r="DU12" s="1452"/>
      <c r="DV12" s="1452"/>
      <c r="DW12" s="1452"/>
      <c r="DX12" s="1452"/>
      <c r="DY12" s="1452"/>
      <c r="DZ12" s="1452"/>
      <c r="EA12" s="1452"/>
      <c r="EB12" s="1452"/>
      <c r="EC12" s="1452"/>
      <c r="ED12" s="1452"/>
      <c r="EE12" s="1452"/>
      <c r="EF12" s="1452"/>
      <c r="EG12" s="1452"/>
      <c r="EH12" s="1452"/>
      <c r="EI12" s="1452"/>
      <c r="EJ12" s="1452"/>
      <c r="EK12" s="1452"/>
      <c r="EL12" s="1452"/>
      <c r="EM12" s="1452"/>
      <c r="EN12" s="1452"/>
      <c r="EO12" s="1452"/>
      <c r="EP12" s="1452"/>
      <c r="EQ12" s="1452"/>
      <c r="ER12" s="1452"/>
      <c r="ES12" s="1452"/>
      <c r="ET12" s="1452"/>
      <c r="EU12" s="1452"/>
      <c r="EV12" s="1452"/>
      <c r="EW12" s="1452"/>
      <c r="EX12" s="1452"/>
      <c r="EY12" s="1452"/>
      <c r="EZ12" s="1452"/>
      <c r="FA12" s="1452"/>
      <c r="FB12" s="1452"/>
      <c r="FC12" s="1452"/>
      <c r="FD12" s="1452"/>
      <c r="FE12" s="1452"/>
      <c r="FF12" s="1452"/>
      <c r="FG12" s="1452"/>
      <c r="FH12" s="1452"/>
      <c r="FI12" s="1452"/>
      <c r="FJ12" s="1452"/>
      <c r="FK12" s="1452"/>
      <c r="FL12" s="1452"/>
      <c r="FM12" s="1452"/>
      <c r="FN12" s="1452"/>
      <c r="FO12" s="1452"/>
      <c r="FP12" s="1452"/>
      <c r="FQ12" s="1452"/>
      <c r="FR12" s="1452"/>
      <c r="FS12" s="1452"/>
      <c r="FT12" s="1452"/>
      <c r="FU12" s="1452"/>
      <c r="FV12" s="1452"/>
      <c r="FW12" s="1452"/>
      <c r="FX12" s="1452"/>
      <c r="FY12" s="1452"/>
      <c r="FZ12" s="1452"/>
      <c r="GA12" s="1452"/>
      <c r="GB12" s="1452"/>
      <c r="GC12" s="1452"/>
      <c r="GD12" s="1452"/>
      <c r="GE12" s="1452"/>
      <c r="GF12" s="1452"/>
      <c r="GG12" s="1452"/>
      <c r="GH12" s="1452"/>
      <c r="GI12" s="1452"/>
      <c r="GJ12" s="1452"/>
      <c r="GK12" s="1452"/>
      <c r="GL12" s="1452"/>
      <c r="GM12" s="1452"/>
      <c r="GN12" s="1452"/>
      <c r="GO12" s="1452"/>
      <c r="GP12" s="1452"/>
      <c r="GQ12" s="1452"/>
      <c r="GR12" s="1452"/>
      <c r="GS12" s="1452"/>
      <c r="GT12" s="1452"/>
      <c r="GU12" s="1452"/>
      <c r="GV12" s="1452"/>
      <c r="GW12" s="1452"/>
      <c r="GX12" s="1452"/>
      <c r="GY12" s="1452"/>
      <c r="GZ12" s="1452"/>
      <c r="HA12" s="1452"/>
      <c r="HB12" s="1452"/>
      <c r="HC12" s="1452"/>
      <c r="HD12" s="1452"/>
      <c r="HE12" s="1452"/>
      <c r="HF12" s="1452"/>
      <c r="HG12" s="1452"/>
      <c r="HH12" s="1452"/>
      <c r="HI12" s="1452"/>
      <c r="HJ12" s="1452"/>
      <c r="HK12" s="1452"/>
      <c r="HL12" s="1452"/>
      <c r="HM12" s="1452"/>
      <c r="HN12" s="1452"/>
      <c r="HO12" s="1452"/>
      <c r="HP12" s="1452"/>
      <c r="HQ12" s="1452"/>
      <c r="HR12" s="1452"/>
      <c r="HS12" s="1452"/>
      <c r="HT12" s="1452"/>
      <c r="HU12" s="1452"/>
      <c r="HV12" s="1452"/>
      <c r="HW12" s="1452"/>
      <c r="HX12" s="1452"/>
      <c r="HY12" s="1452"/>
      <c r="HZ12" s="1452"/>
      <c r="IA12" s="1452"/>
      <c r="IB12" s="1452"/>
      <c r="IC12" s="1452"/>
      <c r="ID12" s="1452"/>
      <c r="IE12" s="1452"/>
      <c r="IF12" s="1452"/>
      <c r="IG12" s="1452"/>
      <c r="IH12" s="1452"/>
      <c r="II12" s="1452"/>
      <c r="IJ12" s="1452"/>
      <c r="IK12" s="1452"/>
      <c r="IL12" s="1452"/>
      <c r="IM12" s="1452"/>
      <c r="IN12" s="1452"/>
      <c r="IO12" s="1452"/>
      <c r="IP12" s="1452"/>
      <c r="IQ12" s="1452"/>
      <c r="IR12" s="1452"/>
      <c r="IS12" s="1452"/>
      <c r="IT12" s="1452"/>
      <c r="IU12" s="1452"/>
      <c r="IV12" s="1452"/>
    </row>
    <row r="13" spans="1:256" ht="24.75" customHeight="1">
      <c r="A13" s="1445"/>
      <c r="B13" s="1454" t="s">
        <v>7143</v>
      </c>
      <c r="C13" s="1455">
        <v>1</v>
      </c>
      <c r="D13" s="1455">
        <v>1</v>
      </c>
      <c r="E13" s="1450">
        <v>3.72</v>
      </c>
      <c r="F13" s="1450">
        <f>2.02+0.46</f>
        <v>2.48</v>
      </c>
      <c r="G13" s="1450">
        <v>0.15</v>
      </c>
      <c r="H13" s="1450">
        <f t="shared" si="0"/>
        <v>1.38</v>
      </c>
      <c r="I13" s="1451"/>
      <c r="J13" s="1452"/>
      <c r="K13" s="1452"/>
      <c r="L13" s="1452"/>
      <c r="M13" s="1452"/>
      <c r="N13" s="1452"/>
      <c r="O13" s="1452"/>
      <c r="P13" s="1452"/>
      <c r="Q13" s="1452"/>
      <c r="R13" s="1452"/>
      <c r="S13" s="1452"/>
      <c r="T13" s="1452"/>
      <c r="U13" s="1452"/>
      <c r="V13" s="1452"/>
      <c r="W13" s="1452"/>
      <c r="X13" s="1452"/>
      <c r="Y13" s="1452"/>
      <c r="Z13" s="1452"/>
      <c r="AA13" s="1452"/>
      <c r="AB13" s="1452"/>
      <c r="AC13" s="1452"/>
      <c r="AD13" s="1452"/>
      <c r="AE13" s="1452"/>
      <c r="AF13" s="1452"/>
      <c r="AG13" s="1452"/>
      <c r="AH13" s="1452"/>
      <c r="AI13" s="1452"/>
      <c r="AJ13" s="1452"/>
      <c r="AK13" s="1452"/>
      <c r="AL13" s="1452"/>
      <c r="AM13" s="1452"/>
      <c r="AN13" s="1452"/>
      <c r="AO13" s="1452"/>
      <c r="AP13" s="1452"/>
      <c r="AQ13" s="1452"/>
      <c r="AR13" s="1452"/>
      <c r="AS13" s="1452"/>
      <c r="AT13" s="1452"/>
      <c r="AU13" s="1452"/>
      <c r="AV13" s="1452"/>
      <c r="AW13" s="1452"/>
      <c r="AX13" s="1452"/>
      <c r="AY13" s="1452"/>
      <c r="AZ13" s="1452"/>
      <c r="BA13" s="1452"/>
      <c r="BB13" s="1452"/>
      <c r="BC13" s="1452"/>
      <c r="BD13" s="1452"/>
      <c r="BE13" s="1452"/>
      <c r="BF13" s="1452"/>
      <c r="BG13" s="1452"/>
      <c r="BH13" s="1452"/>
      <c r="BI13" s="1452"/>
      <c r="BJ13" s="1452"/>
      <c r="BK13" s="1452"/>
      <c r="BL13" s="1452"/>
      <c r="BM13" s="1452"/>
      <c r="BN13" s="1452"/>
      <c r="BO13" s="1452"/>
      <c r="BP13" s="1452"/>
      <c r="BQ13" s="1452"/>
      <c r="BR13" s="1452"/>
      <c r="BS13" s="1452"/>
      <c r="BT13" s="1452"/>
      <c r="BU13" s="1452"/>
      <c r="BV13" s="1452"/>
      <c r="BW13" s="1452"/>
      <c r="BX13" s="1452"/>
      <c r="BY13" s="1452"/>
      <c r="BZ13" s="1452"/>
      <c r="CA13" s="1452"/>
      <c r="CB13" s="1452"/>
      <c r="CC13" s="1452"/>
      <c r="CD13" s="1452"/>
      <c r="CE13" s="1452"/>
      <c r="CF13" s="1452"/>
      <c r="CG13" s="1452"/>
      <c r="CH13" s="1452"/>
      <c r="CI13" s="1452"/>
      <c r="CJ13" s="1452"/>
      <c r="CK13" s="1452"/>
      <c r="CL13" s="1452"/>
      <c r="CM13" s="1452"/>
      <c r="CN13" s="1452"/>
      <c r="CO13" s="1452"/>
      <c r="CP13" s="1452"/>
      <c r="CQ13" s="1452"/>
      <c r="CR13" s="1452"/>
      <c r="CS13" s="1452"/>
      <c r="CT13" s="1452"/>
      <c r="CU13" s="1452"/>
      <c r="CV13" s="1452"/>
      <c r="CW13" s="1452"/>
      <c r="CX13" s="1452"/>
      <c r="CY13" s="1452"/>
      <c r="CZ13" s="1452"/>
      <c r="DA13" s="1452"/>
      <c r="DB13" s="1452"/>
      <c r="DC13" s="1452"/>
      <c r="DD13" s="1452"/>
      <c r="DE13" s="1452"/>
      <c r="DF13" s="1452"/>
      <c r="DG13" s="1452"/>
      <c r="DH13" s="1452"/>
      <c r="DI13" s="1452"/>
      <c r="DJ13" s="1452"/>
      <c r="DK13" s="1452"/>
      <c r="DL13" s="1452"/>
      <c r="DM13" s="1452"/>
      <c r="DN13" s="1452"/>
      <c r="DO13" s="1452"/>
      <c r="DP13" s="1452"/>
      <c r="DQ13" s="1452"/>
      <c r="DR13" s="1452"/>
      <c r="DS13" s="1452"/>
      <c r="DT13" s="1452"/>
      <c r="DU13" s="1452"/>
      <c r="DV13" s="1452"/>
      <c r="DW13" s="1452"/>
      <c r="DX13" s="1452"/>
      <c r="DY13" s="1452"/>
      <c r="DZ13" s="1452"/>
      <c r="EA13" s="1452"/>
      <c r="EB13" s="1452"/>
      <c r="EC13" s="1452"/>
      <c r="ED13" s="1452"/>
      <c r="EE13" s="1452"/>
      <c r="EF13" s="1452"/>
      <c r="EG13" s="1452"/>
      <c r="EH13" s="1452"/>
      <c r="EI13" s="1452"/>
      <c r="EJ13" s="1452"/>
      <c r="EK13" s="1452"/>
      <c r="EL13" s="1452"/>
      <c r="EM13" s="1452"/>
      <c r="EN13" s="1452"/>
      <c r="EO13" s="1452"/>
      <c r="EP13" s="1452"/>
      <c r="EQ13" s="1452"/>
      <c r="ER13" s="1452"/>
      <c r="ES13" s="1452"/>
      <c r="ET13" s="1452"/>
      <c r="EU13" s="1452"/>
      <c r="EV13" s="1452"/>
      <c r="EW13" s="1452"/>
      <c r="EX13" s="1452"/>
      <c r="EY13" s="1452"/>
      <c r="EZ13" s="1452"/>
      <c r="FA13" s="1452"/>
      <c r="FB13" s="1452"/>
      <c r="FC13" s="1452"/>
      <c r="FD13" s="1452"/>
      <c r="FE13" s="1452"/>
      <c r="FF13" s="1452"/>
      <c r="FG13" s="1452"/>
      <c r="FH13" s="1452"/>
      <c r="FI13" s="1452"/>
      <c r="FJ13" s="1452"/>
      <c r="FK13" s="1452"/>
      <c r="FL13" s="1452"/>
      <c r="FM13" s="1452"/>
      <c r="FN13" s="1452"/>
      <c r="FO13" s="1452"/>
      <c r="FP13" s="1452"/>
      <c r="FQ13" s="1452"/>
      <c r="FR13" s="1452"/>
      <c r="FS13" s="1452"/>
      <c r="FT13" s="1452"/>
      <c r="FU13" s="1452"/>
      <c r="FV13" s="1452"/>
      <c r="FW13" s="1452"/>
      <c r="FX13" s="1452"/>
      <c r="FY13" s="1452"/>
      <c r="FZ13" s="1452"/>
      <c r="GA13" s="1452"/>
      <c r="GB13" s="1452"/>
      <c r="GC13" s="1452"/>
      <c r="GD13" s="1452"/>
      <c r="GE13" s="1452"/>
      <c r="GF13" s="1452"/>
      <c r="GG13" s="1452"/>
      <c r="GH13" s="1452"/>
      <c r="GI13" s="1452"/>
      <c r="GJ13" s="1452"/>
      <c r="GK13" s="1452"/>
      <c r="GL13" s="1452"/>
      <c r="GM13" s="1452"/>
      <c r="GN13" s="1452"/>
      <c r="GO13" s="1452"/>
      <c r="GP13" s="1452"/>
      <c r="GQ13" s="1452"/>
      <c r="GR13" s="1452"/>
      <c r="GS13" s="1452"/>
      <c r="GT13" s="1452"/>
      <c r="GU13" s="1452"/>
      <c r="GV13" s="1452"/>
      <c r="GW13" s="1452"/>
      <c r="GX13" s="1452"/>
      <c r="GY13" s="1452"/>
      <c r="GZ13" s="1452"/>
      <c r="HA13" s="1452"/>
      <c r="HB13" s="1452"/>
      <c r="HC13" s="1452"/>
      <c r="HD13" s="1452"/>
      <c r="HE13" s="1452"/>
      <c r="HF13" s="1452"/>
      <c r="HG13" s="1452"/>
      <c r="HH13" s="1452"/>
      <c r="HI13" s="1452"/>
      <c r="HJ13" s="1452"/>
      <c r="HK13" s="1452"/>
      <c r="HL13" s="1452"/>
      <c r="HM13" s="1452"/>
      <c r="HN13" s="1452"/>
      <c r="HO13" s="1452"/>
      <c r="HP13" s="1452"/>
      <c r="HQ13" s="1452"/>
      <c r="HR13" s="1452"/>
      <c r="HS13" s="1452"/>
      <c r="HT13" s="1452"/>
      <c r="HU13" s="1452"/>
      <c r="HV13" s="1452"/>
      <c r="HW13" s="1452"/>
      <c r="HX13" s="1452"/>
      <c r="HY13" s="1452"/>
      <c r="HZ13" s="1452"/>
      <c r="IA13" s="1452"/>
      <c r="IB13" s="1452"/>
      <c r="IC13" s="1452"/>
      <c r="ID13" s="1452"/>
      <c r="IE13" s="1452"/>
      <c r="IF13" s="1452"/>
      <c r="IG13" s="1452"/>
      <c r="IH13" s="1452"/>
      <c r="II13" s="1452"/>
      <c r="IJ13" s="1452"/>
      <c r="IK13" s="1452"/>
      <c r="IL13" s="1452"/>
      <c r="IM13" s="1452"/>
      <c r="IN13" s="1452"/>
      <c r="IO13" s="1452"/>
      <c r="IP13" s="1452"/>
      <c r="IQ13" s="1452"/>
      <c r="IR13" s="1452"/>
      <c r="IS13" s="1452"/>
      <c r="IT13" s="1452"/>
      <c r="IU13" s="1452"/>
      <c r="IV13" s="1452"/>
    </row>
    <row r="14" spans="1:256" ht="22.5" customHeight="1">
      <c r="A14" s="1445"/>
      <c r="B14" s="772"/>
      <c r="C14" s="1445"/>
      <c r="D14" s="1445"/>
      <c r="E14" s="1450"/>
      <c r="F14" s="1450"/>
      <c r="G14" s="1456" t="s">
        <v>2235</v>
      </c>
      <c r="H14" s="1456">
        <f>SUM(H7:H13)</f>
        <v>3.28</v>
      </c>
      <c r="I14" s="1451" t="s">
        <v>2142</v>
      </c>
      <c r="J14" s="1452"/>
      <c r="K14" s="1452"/>
      <c r="L14" s="1452"/>
      <c r="M14" s="1452"/>
      <c r="N14" s="1452"/>
      <c r="O14" s="1452"/>
      <c r="P14" s="1452"/>
      <c r="Q14" s="1452"/>
      <c r="R14" s="1452"/>
      <c r="S14" s="1452"/>
      <c r="T14" s="1452"/>
      <c r="U14" s="1452"/>
      <c r="V14" s="1452"/>
      <c r="W14" s="1452"/>
      <c r="X14" s="1452"/>
      <c r="Y14" s="1452"/>
      <c r="Z14" s="1452"/>
      <c r="AA14" s="1452"/>
      <c r="AB14" s="1452"/>
      <c r="AC14" s="1452"/>
      <c r="AD14" s="1452"/>
      <c r="AE14" s="1452"/>
      <c r="AF14" s="1452"/>
      <c r="AG14" s="1452"/>
      <c r="AH14" s="1452"/>
      <c r="AI14" s="1452"/>
      <c r="AJ14" s="1452"/>
      <c r="AK14" s="1452"/>
      <c r="AL14" s="1452"/>
      <c r="AM14" s="1452"/>
      <c r="AN14" s="1452"/>
      <c r="AO14" s="1452"/>
      <c r="AP14" s="1452"/>
      <c r="AQ14" s="1452"/>
      <c r="AR14" s="1452"/>
      <c r="AS14" s="1452"/>
      <c r="AT14" s="1452"/>
      <c r="AU14" s="1452"/>
      <c r="AV14" s="1452"/>
      <c r="AW14" s="1452"/>
      <c r="AX14" s="1452"/>
      <c r="AY14" s="1452"/>
      <c r="AZ14" s="1452"/>
      <c r="BA14" s="1452"/>
      <c r="BB14" s="1452"/>
      <c r="BC14" s="1452"/>
      <c r="BD14" s="1452"/>
      <c r="BE14" s="1452"/>
      <c r="BF14" s="1452"/>
      <c r="BG14" s="1452"/>
      <c r="BH14" s="1452"/>
      <c r="BI14" s="1452"/>
      <c r="BJ14" s="1452"/>
      <c r="BK14" s="1452"/>
      <c r="BL14" s="1452"/>
      <c r="BM14" s="1452"/>
      <c r="BN14" s="1452"/>
      <c r="BO14" s="1452"/>
      <c r="BP14" s="1452"/>
      <c r="BQ14" s="1452"/>
      <c r="BR14" s="1452"/>
      <c r="BS14" s="1452"/>
      <c r="BT14" s="1452"/>
      <c r="BU14" s="1452"/>
      <c r="BV14" s="1452"/>
      <c r="BW14" s="1452"/>
      <c r="BX14" s="1452"/>
      <c r="BY14" s="1452"/>
      <c r="BZ14" s="1452"/>
      <c r="CA14" s="1452"/>
      <c r="CB14" s="1452"/>
      <c r="CC14" s="1452"/>
      <c r="CD14" s="1452"/>
      <c r="CE14" s="1452"/>
      <c r="CF14" s="1452"/>
      <c r="CG14" s="1452"/>
      <c r="CH14" s="1452"/>
      <c r="CI14" s="1452"/>
      <c r="CJ14" s="1452"/>
      <c r="CK14" s="1452"/>
      <c r="CL14" s="1452"/>
      <c r="CM14" s="1452"/>
      <c r="CN14" s="1452"/>
      <c r="CO14" s="1452"/>
      <c r="CP14" s="1452"/>
      <c r="CQ14" s="1452"/>
      <c r="CR14" s="1452"/>
      <c r="CS14" s="1452"/>
      <c r="CT14" s="1452"/>
      <c r="CU14" s="1452"/>
      <c r="CV14" s="1452"/>
      <c r="CW14" s="1452"/>
      <c r="CX14" s="1452"/>
      <c r="CY14" s="1452"/>
      <c r="CZ14" s="1452"/>
      <c r="DA14" s="1452"/>
      <c r="DB14" s="1452"/>
      <c r="DC14" s="1452"/>
      <c r="DD14" s="1452"/>
      <c r="DE14" s="1452"/>
      <c r="DF14" s="1452"/>
      <c r="DG14" s="1452"/>
      <c r="DH14" s="1452"/>
      <c r="DI14" s="1452"/>
      <c r="DJ14" s="1452"/>
      <c r="DK14" s="1452"/>
      <c r="DL14" s="1452"/>
      <c r="DM14" s="1452"/>
      <c r="DN14" s="1452"/>
      <c r="DO14" s="1452"/>
      <c r="DP14" s="1452"/>
      <c r="DQ14" s="1452"/>
      <c r="DR14" s="1452"/>
      <c r="DS14" s="1452"/>
      <c r="DT14" s="1452"/>
      <c r="DU14" s="1452"/>
      <c r="DV14" s="1452"/>
      <c r="DW14" s="1452"/>
      <c r="DX14" s="1452"/>
      <c r="DY14" s="1452"/>
      <c r="DZ14" s="1452"/>
      <c r="EA14" s="1452"/>
      <c r="EB14" s="1452"/>
      <c r="EC14" s="1452"/>
      <c r="ED14" s="1452"/>
      <c r="EE14" s="1452"/>
      <c r="EF14" s="1452"/>
      <c r="EG14" s="1452"/>
      <c r="EH14" s="1452"/>
      <c r="EI14" s="1452"/>
      <c r="EJ14" s="1452"/>
      <c r="EK14" s="1452"/>
      <c r="EL14" s="1452"/>
      <c r="EM14" s="1452"/>
      <c r="EN14" s="1452"/>
      <c r="EO14" s="1452"/>
      <c r="EP14" s="1452"/>
      <c r="EQ14" s="1452"/>
      <c r="ER14" s="1452"/>
      <c r="ES14" s="1452"/>
      <c r="ET14" s="1452"/>
      <c r="EU14" s="1452"/>
      <c r="EV14" s="1452"/>
      <c r="EW14" s="1452"/>
      <c r="EX14" s="1452"/>
      <c r="EY14" s="1452"/>
      <c r="EZ14" s="1452"/>
      <c r="FA14" s="1452"/>
      <c r="FB14" s="1452"/>
      <c r="FC14" s="1452"/>
      <c r="FD14" s="1452"/>
      <c r="FE14" s="1452"/>
      <c r="FF14" s="1452"/>
      <c r="FG14" s="1452"/>
      <c r="FH14" s="1452"/>
      <c r="FI14" s="1452"/>
      <c r="FJ14" s="1452"/>
      <c r="FK14" s="1452"/>
      <c r="FL14" s="1452"/>
      <c r="FM14" s="1452"/>
      <c r="FN14" s="1452"/>
      <c r="FO14" s="1452"/>
      <c r="FP14" s="1452"/>
      <c r="FQ14" s="1452"/>
      <c r="FR14" s="1452"/>
      <c r="FS14" s="1452"/>
      <c r="FT14" s="1452"/>
      <c r="FU14" s="1452"/>
      <c r="FV14" s="1452"/>
      <c r="FW14" s="1452"/>
      <c r="FX14" s="1452"/>
      <c r="FY14" s="1452"/>
      <c r="FZ14" s="1452"/>
      <c r="GA14" s="1452"/>
      <c r="GB14" s="1452"/>
      <c r="GC14" s="1452"/>
      <c r="GD14" s="1452"/>
      <c r="GE14" s="1452"/>
      <c r="GF14" s="1452"/>
      <c r="GG14" s="1452"/>
      <c r="GH14" s="1452"/>
      <c r="GI14" s="1452"/>
      <c r="GJ14" s="1452"/>
      <c r="GK14" s="1452"/>
      <c r="GL14" s="1452"/>
      <c r="GM14" s="1452"/>
      <c r="GN14" s="1452"/>
      <c r="GO14" s="1452"/>
      <c r="GP14" s="1452"/>
      <c r="GQ14" s="1452"/>
      <c r="GR14" s="1452"/>
      <c r="GS14" s="1452"/>
      <c r="GT14" s="1452"/>
      <c r="GU14" s="1452"/>
      <c r="GV14" s="1452"/>
      <c r="GW14" s="1452"/>
      <c r="GX14" s="1452"/>
      <c r="GY14" s="1452"/>
      <c r="GZ14" s="1452"/>
      <c r="HA14" s="1452"/>
      <c r="HB14" s="1452"/>
      <c r="HC14" s="1452"/>
      <c r="HD14" s="1452"/>
      <c r="HE14" s="1452"/>
      <c r="HF14" s="1452"/>
      <c r="HG14" s="1452"/>
      <c r="HH14" s="1452"/>
      <c r="HI14" s="1452"/>
      <c r="HJ14" s="1452"/>
      <c r="HK14" s="1452"/>
      <c r="HL14" s="1452"/>
      <c r="HM14" s="1452"/>
      <c r="HN14" s="1452"/>
      <c r="HO14" s="1452"/>
      <c r="HP14" s="1452"/>
      <c r="HQ14" s="1452"/>
      <c r="HR14" s="1452"/>
      <c r="HS14" s="1452"/>
      <c r="HT14" s="1452"/>
      <c r="HU14" s="1452"/>
      <c r="HV14" s="1452"/>
      <c r="HW14" s="1452"/>
      <c r="HX14" s="1452"/>
      <c r="HY14" s="1452"/>
      <c r="HZ14" s="1452"/>
      <c r="IA14" s="1452"/>
      <c r="IB14" s="1452"/>
      <c r="IC14" s="1452"/>
      <c r="ID14" s="1452"/>
      <c r="IE14" s="1452"/>
      <c r="IF14" s="1452"/>
      <c r="IG14" s="1452"/>
      <c r="IH14" s="1452"/>
      <c r="II14" s="1452"/>
      <c r="IJ14" s="1452"/>
      <c r="IK14" s="1452"/>
      <c r="IL14" s="1452"/>
      <c r="IM14" s="1452"/>
      <c r="IN14" s="1452"/>
      <c r="IO14" s="1452"/>
      <c r="IP14" s="1452"/>
      <c r="IQ14" s="1452"/>
      <c r="IR14" s="1452"/>
      <c r="IS14" s="1452"/>
      <c r="IT14" s="1452"/>
      <c r="IU14" s="1452"/>
      <c r="IV14" s="1452"/>
    </row>
    <row r="15" spans="1:256" ht="24.75" hidden="1" customHeight="1">
      <c r="A15" s="1445">
        <v>33.1</v>
      </c>
      <c r="B15" s="1457" t="s">
        <v>7144</v>
      </c>
      <c r="C15" s="1445"/>
      <c r="D15" s="1445"/>
      <c r="E15" s="1447"/>
      <c r="F15" s="1448"/>
      <c r="G15" s="1447"/>
      <c r="H15" s="1450"/>
      <c r="I15" s="1451"/>
      <c r="J15" s="1452"/>
      <c r="K15" s="1452"/>
      <c r="L15" s="1452"/>
      <c r="M15" s="1452"/>
      <c r="N15" s="1452"/>
      <c r="O15" s="1452"/>
      <c r="P15" s="1452"/>
      <c r="Q15" s="1452"/>
      <c r="R15" s="1452"/>
      <c r="S15" s="1452"/>
      <c r="T15" s="1452"/>
      <c r="U15" s="1452"/>
      <c r="V15" s="1452"/>
      <c r="W15" s="1452"/>
      <c r="X15" s="1452"/>
      <c r="Y15" s="1452"/>
      <c r="Z15" s="1452"/>
      <c r="AA15" s="1452"/>
      <c r="AB15" s="1452"/>
      <c r="AC15" s="1452"/>
      <c r="AD15" s="1452"/>
      <c r="AE15" s="1452"/>
      <c r="AF15" s="1452"/>
      <c r="AG15" s="1452"/>
      <c r="AH15" s="1452"/>
      <c r="AI15" s="1452"/>
      <c r="AJ15" s="1452"/>
      <c r="AK15" s="1452"/>
      <c r="AL15" s="1452"/>
      <c r="AM15" s="1452"/>
      <c r="AN15" s="1452"/>
      <c r="AO15" s="1452"/>
      <c r="AP15" s="1452"/>
      <c r="AQ15" s="1452"/>
      <c r="AR15" s="1452"/>
      <c r="AS15" s="1452"/>
      <c r="AT15" s="1452"/>
      <c r="AU15" s="1452"/>
      <c r="AV15" s="1452"/>
      <c r="AW15" s="1452"/>
      <c r="AX15" s="1452"/>
      <c r="AY15" s="1452"/>
      <c r="AZ15" s="1452"/>
      <c r="BA15" s="1452"/>
      <c r="BB15" s="1452"/>
      <c r="BC15" s="1452"/>
      <c r="BD15" s="1452"/>
      <c r="BE15" s="1452"/>
      <c r="BF15" s="1452"/>
      <c r="BG15" s="1452"/>
      <c r="BH15" s="1452"/>
      <c r="BI15" s="1452"/>
      <c r="BJ15" s="1452"/>
      <c r="BK15" s="1452"/>
      <c r="BL15" s="1452"/>
      <c r="BM15" s="1452"/>
      <c r="BN15" s="1452"/>
      <c r="BO15" s="1452"/>
      <c r="BP15" s="1452"/>
      <c r="BQ15" s="1452"/>
      <c r="BR15" s="1452"/>
      <c r="BS15" s="1452"/>
      <c r="BT15" s="1452"/>
      <c r="BU15" s="1452"/>
      <c r="BV15" s="1452"/>
      <c r="BW15" s="1452"/>
      <c r="BX15" s="1452"/>
      <c r="BY15" s="1452"/>
      <c r="BZ15" s="1452"/>
      <c r="CA15" s="1452"/>
      <c r="CB15" s="1452"/>
      <c r="CC15" s="1452"/>
      <c r="CD15" s="1452"/>
      <c r="CE15" s="1452"/>
      <c r="CF15" s="1452"/>
      <c r="CG15" s="1452"/>
      <c r="CH15" s="1452"/>
      <c r="CI15" s="1452"/>
      <c r="CJ15" s="1452"/>
      <c r="CK15" s="1452"/>
      <c r="CL15" s="1452"/>
      <c r="CM15" s="1452"/>
      <c r="CN15" s="1452"/>
      <c r="CO15" s="1452"/>
      <c r="CP15" s="1452"/>
      <c r="CQ15" s="1452"/>
      <c r="CR15" s="1452"/>
      <c r="CS15" s="1452"/>
      <c r="CT15" s="1452"/>
      <c r="CU15" s="1452"/>
      <c r="CV15" s="1452"/>
      <c r="CW15" s="1452"/>
      <c r="CX15" s="1452"/>
      <c r="CY15" s="1452"/>
      <c r="CZ15" s="1452"/>
      <c r="DA15" s="1452"/>
      <c r="DB15" s="1452"/>
      <c r="DC15" s="1452"/>
      <c r="DD15" s="1452"/>
      <c r="DE15" s="1452"/>
      <c r="DF15" s="1452"/>
      <c r="DG15" s="1452"/>
      <c r="DH15" s="1452"/>
      <c r="DI15" s="1452"/>
      <c r="DJ15" s="1452"/>
      <c r="DK15" s="1452"/>
      <c r="DL15" s="1452"/>
      <c r="DM15" s="1452"/>
      <c r="DN15" s="1452"/>
      <c r="DO15" s="1452"/>
      <c r="DP15" s="1452"/>
      <c r="DQ15" s="1452"/>
      <c r="DR15" s="1452"/>
      <c r="DS15" s="1452"/>
      <c r="DT15" s="1452"/>
      <c r="DU15" s="1452"/>
      <c r="DV15" s="1452"/>
      <c r="DW15" s="1452"/>
      <c r="DX15" s="1452"/>
      <c r="DY15" s="1452"/>
      <c r="DZ15" s="1452"/>
      <c r="EA15" s="1452"/>
      <c r="EB15" s="1452"/>
      <c r="EC15" s="1452"/>
      <c r="ED15" s="1452"/>
      <c r="EE15" s="1452"/>
      <c r="EF15" s="1452"/>
      <c r="EG15" s="1452"/>
      <c r="EH15" s="1452"/>
      <c r="EI15" s="1452"/>
      <c r="EJ15" s="1452"/>
      <c r="EK15" s="1452"/>
      <c r="EL15" s="1452"/>
      <c r="EM15" s="1452"/>
      <c r="EN15" s="1452"/>
      <c r="EO15" s="1452"/>
      <c r="EP15" s="1452"/>
      <c r="EQ15" s="1452"/>
      <c r="ER15" s="1452"/>
      <c r="ES15" s="1452"/>
      <c r="ET15" s="1452"/>
      <c r="EU15" s="1452"/>
      <c r="EV15" s="1452"/>
      <c r="EW15" s="1452"/>
      <c r="EX15" s="1452"/>
      <c r="EY15" s="1452"/>
      <c r="EZ15" s="1452"/>
      <c r="FA15" s="1452"/>
      <c r="FB15" s="1452"/>
      <c r="FC15" s="1452"/>
      <c r="FD15" s="1452"/>
      <c r="FE15" s="1452"/>
      <c r="FF15" s="1452"/>
      <c r="FG15" s="1452"/>
      <c r="FH15" s="1452"/>
      <c r="FI15" s="1452"/>
      <c r="FJ15" s="1452"/>
      <c r="FK15" s="1452"/>
      <c r="FL15" s="1452"/>
      <c r="FM15" s="1452"/>
      <c r="FN15" s="1452"/>
      <c r="FO15" s="1452"/>
      <c r="FP15" s="1452"/>
      <c r="FQ15" s="1452"/>
      <c r="FR15" s="1452"/>
      <c r="FS15" s="1452"/>
      <c r="FT15" s="1452"/>
      <c r="FU15" s="1452"/>
      <c r="FV15" s="1452"/>
      <c r="FW15" s="1452"/>
      <c r="FX15" s="1452"/>
      <c r="FY15" s="1452"/>
      <c r="FZ15" s="1452"/>
      <c r="GA15" s="1452"/>
      <c r="GB15" s="1452"/>
      <c r="GC15" s="1452"/>
      <c r="GD15" s="1452"/>
      <c r="GE15" s="1452"/>
      <c r="GF15" s="1452"/>
      <c r="GG15" s="1452"/>
      <c r="GH15" s="1452"/>
      <c r="GI15" s="1452"/>
      <c r="GJ15" s="1452"/>
      <c r="GK15" s="1452"/>
      <c r="GL15" s="1452"/>
      <c r="GM15" s="1452"/>
      <c r="GN15" s="1452"/>
      <c r="GO15" s="1452"/>
      <c r="GP15" s="1452"/>
      <c r="GQ15" s="1452"/>
      <c r="GR15" s="1452"/>
      <c r="GS15" s="1452"/>
      <c r="GT15" s="1452"/>
      <c r="GU15" s="1452"/>
      <c r="GV15" s="1452"/>
      <c r="GW15" s="1452"/>
      <c r="GX15" s="1452"/>
      <c r="GY15" s="1452"/>
      <c r="GZ15" s="1452"/>
      <c r="HA15" s="1452"/>
      <c r="HB15" s="1452"/>
      <c r="HC15" s="1452"/>
      <c r="HD15" s="1452"/>
      <c r="HE15" s="1452"/>
      <c r="HF15" s="1452"/>
      <c r="HG15" s="1452"/>
      <c r="HH15" s="1452"/>
      <c r="HI15" s="1452"/>
      <c r="HJ15" s="1452"/>
      <c r="HK15" s="1452"/>
      <c r="HL15" s="1452"/>
      <c r="HM15" s="1452"/>
      <c r="HN15" s="1452"/>
      <c r="HO15" s="1452"/>
      <c r="HP15" s="1452"/>
      <c r="HQ15" s="1452"/>
      <c r="HR15" s="1452"/>
      <c r="HS15" s="1452"/>
      <c r="HT15" s="1452"/>
      <c r="HU15" s="1452"/>
      <c r="HV15" s="1452"/>
      <c r="HW15" s="1452"/>
      <c r="HX15" s="1452"/>
      <c r="HY15" s="1452"/>
      <c r="HZ15" s="1452"/>
      <c r="IA15" s="1452"/>
      <c r="IB15" s="1452"/>
      <c r="IC15" s="1452"/>
      <c r="ID15" s="1452"/>
      <c r="IE15" s="1452"/>
      <c r="IF15" s="1452"/>
      <c r="IG15" s="1452"/>
      <c r="IH15" s="1452"/>
      <c r="II15" s="1452"/>
      <c r="IJ15" s="1452"/>
      <c r="IK15" s="1452"/>
      <c r="IL15" s="1452"/>
      <c r="IM15" s="1452"/>
      <c r="IN15" s="1452"/>
      <c r="IO15" s="1452"/>
      <c r="IP15" s="1452"/>
      <c r="IQ15" s="1452"/>
      <c r="IR15" s="1452"/>
      <c r="IS15" s="1452"/>
      <c r="IT15" s="1452"/>
      <c r="IU15" s="1452"/>
      <c r="IV15" s="1452"/>
    </row>
    <row r="16" spans="1:256" ht="24.75" hidden="1" customHeight="1">
      <c r="A16" s="1445"/>
      <c r="B16" s="1454"/>
      <c r="C16" s="1455"/>
      <c r="D16" s="1455"/>
      <c r="E16" s="1450"/>
      <c r="F16" s="1450"/>
      <c r="G16" s="1450"/>
      <c r="H16" s="1450"/>
      <c r="I16" s="1451"/>
      <c r="J16" s="1452"/>
      <c r="K16" s="1452"/>
      <c r="L16" s="1452"/>
      <c r="M16" s="1452"/>
      <c r="N16" s="1452"/>
      <c r="O16" s="1452"/>
      <c r="P16" s="1452"/>
      <c r="Q16" s="1452"/>
      <c r="R16" s="1452"/>
      <c r="S16" s="1452"/>
      <c r="T16" s="1452"/>
      <c r="U16" s="1452"/>
      <c r="V16" s="1452"/>
      <c r="W16" s="1452"/>
      <c r="X16" s="1452"/>
      <c r="Y16" s="1452"/>
      <c r="Z16" s="1452"/>
      <c r="AA16" s="1452"/>
      <c r="AB16" s="1452"/>
      <c r="AC16" s="1452"/>
      <c r="AD16" s="1452"/>
      <c r="AE16" s="1452"/>
      <c r="AF16" s="1452"/>
      <c r="AG16" s="1452"/>
      <c r="AH16" s="1452"/>
      <c r="AI16" s="1452"/>
      <c r="AJ16" s="1452"/>
      <c r="AK16" s="1452"/>
      <c r="AL16" s="1452"/>
      <c r="AM16" s="1452"/>
      <c r="AN16" s="1452"/>
      <c r="AO16" s="1452"/>
      <c r="AP16" s="1452"/>
      <c r="AQ16" s="1452"/>
      <c r="AR16" s="1452"/>
      <c r="AS16" s="1452"/>
      <c r="AT16" s="1452"/>
      <c r="AU16" s="1452"/>
      <c r="AV16" s="1452"/>
      <c r="AW16" s="1452"/>
      <c r="AX16" s="1452"/>
      <c r="AY16" s="1452"/>
      <c r="AZ16" s="1452"/>
      <c r="BA16" s="1452"/>
      <c r="BB16" s="1452"/>
      <c r="BC16" s="1452"/>
      <c r="BD16" s="1452"/>
      <c r="BE16" s="1452"/>
      <c r="BF16" s="1452"/>
      <c r="BG16" s="1452"/>
      <c r="BH16" s="1452"/>
      <c r="BI16" s="1452"/>
      <c r="BJ16" s="1452"/>
      <c r="BK16" s="1452"/>
      <c r="BL16" s="1452"/>
      <c r="BM16" s="1452"/>
      <c r="BN16" s="1452"/>
      <c r="BO16" s="1452"/>
      <c r="BP16" s="1452"/>
      <c r="BQ16" s="1452"/>
      <c r="BR16" s="1452"/>
      <c r="BS16" s="1452"/>
      <c r="BT16" s="1452"/>
      <c r="BU16" s="1452"/>
      <c r="BV16" s="1452"/>
      <c r="BW16" s="1452"/>
      <c r="BX16" s="1452"/>
      <c r="BY16" s="1452"/>
      <c r="BZ16" s="1452"/>
      <c r="CA16" s="1452"/>
      <c r="CB16" s="1452"/>
      <c r="CC16" s="1452"/>
      <c r="CD16" s="1452"/>
      <c r="CE16" s="1452"/>
      <c r="CF16" s="1452"/>
      <c r="CG16" s="1452"/>
      <c r="CH16" s="1452"/>
      <c r="CI16" s="1452"/>
      <c r="CJ16" s="1452"/>
      <c r="CK16" s="1452"/>
      <c r="CL16" s="1452"/>
      <c r="CM16" s="1452"/>
      <c r="CN16" s="1452"/>
      <c r="CO16" s="1452"/>
      <c r="CP16" s="1452"/>
      <c r="CQ16" s="1452"/>
      <c r="CR16" s="1452"/>
      <c r="CS16" s="1452"/>
      <c r="CT16" s="1452"/>
      <c r="CU16" s="1452"/>
      <c r="CV16" s="1452"/>
      <c r="CW16" s="1452"/>
      <c r="CX16" s="1452"/>
      <c r="CY16" s="1452"/>
      <c r="CZ16" s="1452"/>
      <c r="DA16" s="1452"/>
      <c r="DB16" s="1452"/>
      <c r="DC16" s="1452"/>
      <c r="DD16" s="1452"/>
      <c r="DE16" s="1452"/>
      <c r="DF16" s="1452"/>
      <c r="DG16" s="1452"/>
      <c r="DH16" s="1452"/>
      <c r="DI16" s="1452"/>
      <c r="DJ16" s="1452"/>
      <c r="DK16" s="1452"/>
      <c r="DL16" s="1452"/>
      <c r="DM16" s="1452"/>
      <c r="DN16" s="1452"/>
      <c r="DO16" s="1452"/>
      <c r="DP16" s="1452"/>
      <c r="DQ16" s="1452"/>
      <c r="DR16" s="1452"/>
      <c r="DS16" s="1452"/>
      <c r="DT16" s="1452"/>
      <c r="DU16" s="1452"/>
      <c r="DV16" s="1452"/>
      <c r="DW16" s="1452"/>
      <c r="DX16" s="1452"/>
      <c r="DY16" s="1452"/>
      <c r="DZ16" s="1452"/>
      <c r="EA16" s="1452"/>
      <c r="EB16" s="1452"/>
      <c r="EC16" s="1452"/>
      <c r="ED16" s="1452"/>
      <c r="EE16" s="1452"/>
      <c r="EF16" s="1452"/>
      <c r="EG16" s="1452"/>
      <c r="EH16" s="1452"/>
      <c r="EI16" s="1452"/>
      <c r="EJ16" s="1452"/>
      <c r="EK16" s="1452"/>
      <c r="EL16" s="1452"/>
      <c r="EM16" s="1452"/>
      <c r="EN16" s="1452"/>
      <c r="EO16" s="1452"/>
      <c r="EP16" s="1452"/>
      <c r="EQ16" s="1452"/>
      <c r="ER16" s="1452"/>
      <c r="ES16" s="1452"/>
      <c r="ET16" s="1452"/>
      <c r="EU16" s="1452"/>
      <c r="EV16" s="1452"/>
      <c r="EW16" s="1452"/>
      <c r="EX16" s="1452"/>
      <c r="EY16" s="1452"/>
      <c r="EZ16" s="1452"/>
      <c r="FA16" s="1452"/>
      <c r="FB16" s="1452"/>
      <c r="FC16" s="1452"/>
      <c r="FD16" s="1452"/>
      <c r="FE16" s="1452"/>
      <c r="FF16" s="1452"/>
      <c r="FG16" s="1452"/>
      <c r="FH16" s="1452"/>
      <c r="FI16" s="1452"/>
      <c r="FJ16" s="1452"/>
      <c r="FK16" s="1452"/>
      <c r="FL16" s="1452"/>
      <c r="FM16" s="1452"/>
      <c r="FN16" s="1452"/>
      <c r="FO16" s="1452"/>
      <c r="FP16" s="1452"/>
      <c r="FQ16" s="1452"/>
      <c r="FR16" s="1452"/>
      <c r="FS16" s="1452"/>
      <c r="FT16" s="1452"/>
      <c r="FU16" s="1452"/>
      <c r="FV16" s="1452"/>
      <c r="FW16" s="1452"/>
      <c r="FX16" s="1452"/>
      <c r="FY16" s="1452"/>
      <c r="FZ16" s="1452"/>
      <c r="GA16" s="1452"/>
      <c r="GB16" s="1452"/>
      <c r="GC16" s="1452"/>
      <c r="GD16" s="1452"/>
      <c r="GE16" s="1452"/>
      <c r="GF16" s="1452"/>
      <c r="GG16" s="1452"/>
      <c r="GH16" s="1452"/>
      <c r="GI16" s="1452"/>
      <c r="GJ16" s="1452"/>
      <c r="GK16" s="1452"/>
      <c r="GL16" s="1452"/>
      <c r="GM16" s="1452"/>
      <c r="GN16" s="1452"/>
      <c r="GO16" s="1452"/>
      <c r="GP16" s="1452"/>
      <c r="GQ16" s="1452"/>
      <c r="GR16" s="1452"/>
      <c r="GS16" s="1452"/>
      <c r="GT16" s="1452"/>
      <c r="GU16" s="1452"/>
      <c r="GV16" s="1452"/>
      <c r="GW16" s="1452"/>
      <c r="GX16" s="1452"/>
      <c r="GY16" s="1452"/>
      <c r="GZ16" s="1452"/>
      <c r="HA16" s="1452"/>
      <c r="HB16" s="1452"/>
      <c r="HC16" s="1452"/>
      <c r="HD16" s="1452"/>
      <c r="HE16" s="1452"/>
      <c r="HF16" s="1452"/>
      <c r="HG16" s="1452"/>
      <c r="HH16" s="1452"/>
      <c r="HI16" s="1452"/>
      <c r="HJ16" s="1452"/>
      <c r="HK16" s="1452"/>
      <c r="HL16" s="1452"/>
      <c r="HM16" s="1452"/>
      <c r="HN16" s="1452"/>
      <c r="HO16" s="1452"/>
      <c r="HP16" s="1452"/>
      <c r="HQ16" s="1452"/>
      <c r="HR16" s="1452"/>
      <c r="HS16" s="1452"/>
      <c r="HT16" s="1452"/>
      <c r="HU16" s="1452"/>
      <c r="HV16" s="1452"/>
      <c r="HW16" s="1452"/>
      <c r="HX16" s="1452"/>
      <c r="HY16" s="1452"/>
      <c r="HZ16" s="1452"/>
      <c r="IA16" s="1452"/>
      <c r="IB16" s="1452"/>
      <c r="IC16" s="1452"/>
      <c r="ID16" s="1452"/>
      <c r="IE16" s="1452"/>
      <c r="IF16" s="1452"/>
      <c r="IG16" s="1452"/>
      <c r="IH16" s="1452"/>
      <c r="II16" s="1452"/>
      <c r="IJ16" s="1452"/>
      <c r="IK16" s="1452"/>
      <c r="IL16" s="1452"/>
      <c r="IM16" s="1452"/>
      <c r="IN16" s="1452"/>
      <c r="IO16" s="1452"/>
      <c r="IP16" s="1452"/>
      <c r="IQ16" s="1452"/>
      <c r="IR16" s="1452"/>
      <c r="IS16" s="1452"/>
      <c r="IT16" s="1452"/>
      <c r="IU16" s="1452"/>
      <c r="IV16" s="1452"/>
    </row>
    <row r="17" spans="1:256" ht="27" hidden="1" customHeight="1">
      <c r="A17" s="1445"/>
      <c r="B17" s="1458"/>
      <c r="C17" s="1445"/>
      <c r="D17" s="1445"/>
      <c r="E17" s="1448"/>
      <c r="F17" s="1448"/>
      <c r="G17" s="1459"/>
      <c r="H17" s="1456"/>
      <c r="I17" s="1451"/>
      <c r="J17" s="1452"/>
      <c r="K17" s="1452"/>
      <c r="L17" s="1452"/>
      <c r="M17" s="1452"/>
      <c r="N17" s="1452"/>
      <c r="O17" s="1452"/>
      <c r="P17" s="1452"/>
      <c r="Q17" s="1452"/>
      <c r="R17" s="1452"/>
      <c r="S17" s="1452"/>
      <c r="T17" s="1452"/>
      <c r="U17" s="1452"/>
      <c r="V17" s="1452"/>
      <c r="W17" s="1452"/>
      <c r="X17" s="1452"/>
      <c r="Y17" s="1452"/>
      <c r="Z17" s="1452"/>
      <c r="AA17" s="1452"/>
      <c r="AB17" s="1452"/>
      <c r="AC17" s="1452"/>
      <c r="AD17" s="1452"/>
      <c r="AE17" s="1452"/>
      <c r="AF17" s="1452"/>
      <c r="AG17" s="1452"/>
      <c r="AH17" s="1452"/>
      <c r="AI17" s="1452"/>
      <c r="AJ17" s="1452"/>
      <c r="AK17" s="1452"/>
      <c r="AL17" s="1452"/>
      <c r="AM17" s="1452"/>
      <c r="AN17" s="1452"/>
      <c r="AO17" s="1452"/>
      <c r="AP17" s="1452"/>
      <c r="AQ17" s="1452"/>
      <c r="AR17" s="1452"/>
      <c r="AS17" s="1452"/>
      <c r="AT17" s="1452"/>
      <c r="AU17" s="1452"/>
      <c r="AV17" s="1452"/>
      <c r="AW17" s="1452"/>
      <c r="AX17" s="1452"/>
      <c r="AY17" s="1452"/>
      <c r="AZ17" s="1452"/>
      <c r="BA17" s="1452"/>
      <c r="BB17" s="1452"/>
      <c r="BC17" s="1452"/>
      <c r="BD17" s="1452"/>
      <c r="BE17" s="1452"/>
      <c r="BF17" s="1452"/>
      <c r="BG17" s="1452"/>
      <c r="BH17" s="1452"/>
      <c r="BI17" s="1452"/>
      <c r="BJ17" s="1452"/>
      <c r="BK17" s="1452"/>
      <c r="BL17" s="1452"/>
      <c r="BM17" s="1452"/>
      <c r="BN17" s="1452"/>
      <c r="BO17" s="1452"/>
      <c r="BP17" s="1452"/>
      <c r="BQ17" s="1452"/>
      <c r="BR17" s="1452"/>
      <c r="BS17" s="1452"/>
      <c r="BT17" s="1452"/>
      <c r="BU17" s="1452"/>
      <c r="BV17" s="1452"/>
      <c r="BW17" s="1452"/>
      <c r="BX17" s="1452"/>
      <c r="BY17" s="1452"/>
      <c r="BZ17" s="1452"/>
      <c r="CA17" s="1452"/>
      <c r="CB17" s="1452"/>
      <c r="CC17" s="1452"/>
      <c r="CD17" s="1452"/>
      <c r="CE17" s="1452"/>
      <c r="CF17" s="1452"/>
      <c r="CG17" s="1452"/>
      <c r="CH17" s="1452"/>
      <c r="CI17" s="1452"/>
      <c r="CJ17" s="1452"/>
      <c r="CK17" s="1452"/>
      <c r="CL17" s="1452"/>
      <c r="CM17" s="1452"/>
      <c r="CN17" s="1452"/>
      <c r="CO17" s="1452"/>
      <c r="CP17" s="1452"/>
      <c r="CQ17" s="1452"/>
      <c r="CR17" s="1452"/>
      <c r="CS17" s="1452"/>
      <c r="CT17" s="1452"/>
      <c r="CU17" s="1452"/>
      <c r="CV17" s="1452"/>
      <c r="CW17" s="1452"/>
      <c r="CX17" s="1452"/>
      <c r="CY17" s="1452"/>
      <c r="CZ17" s="1452"/>
      <c r="DA17" s="1452"/>
      <c r="DB17" s="1452"/>
      <c r="DC17" s="1452"/>
      <c r="DD17" s="1452"/>
      <c r="DE17" s="1452"/>
      <c r="DF17" s="1452"/>
      <c r="DG17" s="1452"/>
      <c r="DH17" s="1452"/>
      <c r="DI17" s="1452"/>
      <c r="DJ17" s="1452"/>
      <c r="DK17" s="1452"/>
      <c r="DL17" s="1452"/>
      <c r="DM17" s="1452"/>
      <c r="DN17" s="1452"/>
      <c r="DO17" s="1452"/>
      <c r="DP17" s="1452"/>
      <c r="DQ17" s="1452"/>
      <c r="DR17" s="1452"/>
      <c r="DS17" s="1452"/>
      <c r="DT17" s="1452"/>
      <c r="DU17" s="1452"/>
      <c r="DV17" s="1452"/>
      <c r="DW17" s="1452"/>
      <c r="DX17" s="1452"/>
      <c r="DY17" s="1452"/>
      <c r="DZ17" s="1452"/>
      <c r="EA17" s="1452"/>
      <c r="EB17" s="1452"/>
      <c r="EC17" s="1452"/>
      <c r="ED17" s="1452"/>
      <c r="EE17" s="1452"/>
      <c r="EF17" s="1452"/>
      <c r="EG17" s="1452"/>
      <c r="EH17" s="1452"/>
      <c r="EI17" s="1452"/>
      <c r="EJ17" s="1452"/>
      <c r="EK17" s="1452"/>
      <c r="EL17" s="1452"/>
      <c r="EM17" s="1452"/>
      <c r="EN17" s="1452"/>
      <c r="EO17" s="1452"/>
      <c r="EP17" s="1452"/>
      <c r="EQ17" s="1452"/>
      <c r="ER17" s="1452"/>
      <c r="ES17" s="1452"/>
      <c r="ET17" s="1452"/>
      <c r="EU17" s="1452"/>
      <c r="EV17" s="1452"/>
      <c r="EW17" s="1452"/>
      <c r="EX17" s="1452"/>
      <c r="EY17" s="1452"/>
      <c r="EZ17" s="1452"/>
      <c r="FA17" s="1452"/>
      <c r="FB17" s="1452"/>
      <c r="FC17" s="1452"/>
      <c r="FD17" s="1452"/>
      <c r="FE17" s="1452"/>
      <c r="FF17" s="1452"/>
      <c r="FG17" s="1452"/>
      <c r="FH17" s="1452"/>
      <c r="FI17" s="1452"/>
      <c r="FJ17" s="1452"/>
      <c r="FK17" s="1452"/>
      <c r="FL17" s="1452"/>
      <c r="FM17" s="1452"/>
      <c r="FN17" s="1452"/>
      <c r="FO17" s="1452"/>
      <c r="FP17" s="1452"/>
      <c r="FQ17" s="1452"/>
      <c r="FR17" s="1452"/>
      <c r="FS17" s="1452"/>
      <c r="FT17" s="1452"/>
      <c r="FU17" s="1452"/>
      <c r="FV17" s="1452"/>
      <c r="FW17" s="1452"/>
      <c r="FX17" s="1452"/>
      <c r="FY17" s="1452"/>
      <c r="FZ17" s="1452"/>
      <c r="GA17" s="1452"/>
      <c r="GB17" s="1452"/>
      <c r="GC17" s="1452"/>
      <c r="GD17" s="1452"/>
      <c r="GE17" s="1452"/>
      <c r="GF17" s="1452"/>
      <c r="GG17" s="1452"/>
      <c r="GH17" s="1452"/>
      <c r="GI17" s="1452"/>
      <c r="GJ17" s="1452"/>
      <c r="GK17" s="1452"/>
      <c r="GL17" s="1452"/>
      <c r="GM17" s="1452"/>
      <c r="GN17" s="1452"/>
      <c r="GO17" s="1452"/>
      <c r="GP17" s="1452"/>
      <c r="GQ17" s="1452"/>
      <c r="GR17" s="1452"/>
      <c r="GS17" s="1452"/>
      <c r="GT17" s="1452"/>
      <c r="GU17" s="1452"/>
      <c r="GV17" s="1452"/>
      <c r="GW17" s="1452"/>
      <c r="GX17" s="1452"/>
      <c r="GY17" s="1452"/>
      <c r="GZ17" s="1452"/>
      <c r="HA17" s="1452"/>
      <c r="HB17" s="1452"/>
      <c r="HC17" s="1452"/>
      <c r="HD17" s="1452"/>
      <c r="HE17" s="1452"/>
      <c r="HF17" s="1452"/>
      <c r="HG17" s="1452"/>
      <c r="HH17" s="1452"/>
      <c r="HI17" s="1452"/>
      <c r="HJ17" s="1452"/>
      <c r="HK17" s="1452"/>
      <c r="HL17" s="1452"/>
      <c r="HM17" s="1452"/>
      <c r="HN17" s="1452"/>
      <c r="HO17" s="1452"/>
      <c r="HP17" s="1452"/>
      <c r="HQ17" s="1452"/>
      <c r="HR17" s="1452"/>
      <c r="HS17" s="1452"/>
      <c r="HT17" s="1452"/>
      <c r="HU17" s="1452"/>
      <c r="HV17" s="1452"/>
      <c r="HW17" s="1452"/>
      <c r="HX17" s="1452"/>
      <c r="HY17" s="1452"/>
      <c r="HZ17" s="1452"/>
      <c r="IA17" s="1452"/>
      <c r="IB17" s="1452"/>
      <c r="IC17" s="1452"/>
      <c r="ID17" s="1452"/>
      <c r="IE17" s="1452"/>
      <c r="IF17" s="1452"/>
      <c r="IG17" s="1452"/>
      <c r="IH17" s="1452"/>
      <c r="II17" s="1452"/>
      <c r="IJ17" s="1452"/>
      <c r="IK17" s="1452"/>
      <c r="IL17" s="1452"/>
      <c r="IM17" s="1452"/>
      <c r="IN17" s="1452"/>
      <c r="IO17" s="1452"/>
      <c r="IP17" s="1452"/>
      <c r="IQ17" s="1452"/>
      <c r="IR17" s="1452"/>
      <c r="IS17" s="1452"/>
      <c r="IT17" s="1452"/>
      <c r="IU17" s="1452"/>
      <c r="IV17" s="1452"/>
    </row>
    <row r="18" spans="1:256" ht="27" customHeight="1">
      <c r="A18" s="1445"/>
      <c r="B18" s="1458"/>
      <c r="C18" s="1445"/>
      <c r="D18" s="1445"/>
      <c r="E18" s="1448"/>
      <c r="F18" s="1448"/>
      <c r="G18" s="1459" t="s">
        <v>4209</v>
      </c>
      <c r="H18" s="1456">
        <f>ROUNDUP(H14,1)</f>
        <v>3.3</v>
      </c>
      <c r="I18" s="1451"/>
      <c r="J18" s="1452"/>
      <c r="K18" s="1452"/>
      <c r="L18" s="1452"/>
      <c r="M18" s="1452"/>
      <c r="N18" s="1452"/>
      <c r="O18" s="1452"/>
      <c r="P18" s="1452"/>
      <c r="Q18" s="1452"/>
      <c r="R18" s="1452"/>
      <c r="S18" s="1452"/>
      <c r="T18" s="1452"/>
      <c r="U18" s="1452"/>
      <c r="V18" s="1452"/>
      <c r="W18" s="1452"/>
      <c r="X18" s="1452"/>
      <c r="Y18" s="1452"/>
      <c r="Z18" s="1452"/>
      <c r="AA18" s="1452"/>
      <c r="AB18" s="1452"/>
      <c r="AC18" s="1452"/>
      <c r="AD18" s="1452"/>
      <c r="AE18" s="1452"/>
      <c r="AF18" s="1452"/>
      <c r="AG18" s="1452"/>
      <c r="AH18" s="1452"/>
      <c r="AI18" s="1452"/>
      <c r="AJ18" s="1452"/>
      <c r="AK18" s="1452"/>
      <c r="AL18" s="1452"/>
      <c r="AM18" s="1452"/>
      <c r="AN18" s="1452"/>
      <c r="AO18" s="1452"/>
      <c r="AP18" s="1452"/>
      <c r="AQ18" s="1452"/>
      <c r="AR18" s="1452"/>
      <c r="AS18" s="1452"/>
      <c r="AT18" s="1452"/>
      <c r="AU18" s="1452"/>
      <c r="AV18" s="1452"/>
      <c r="AW18" s="1452"/>
      <c r="AX18" s="1452"/>
      <c r="AY18" s="1452"/>
      <c r="AZ18" s="1452"/>
      <c r="BA18" s="1452"/>
      <c r="BB18" s="1452"/>
      <c r="BC18" s="1452"/>
      <c r="BD18" s="1452"/>
      <c r="BE18" s="1452"/>
      <c r="BF18" s="1452"/>
      <c r="BG18" s="1452"/>
      <c r="BH18" s="1452"/>
      <c r="BI18" s="1452"/>
      <c r="BJ18" s="1452"/>
      <c r="BK18" s="1452"/>
      <c r="BL18" s="1452"/>
      <c r="BM18" s="1452"/>
      <c r="BN18" s="1452"/>
      <c r="BO18" s="1452"/>
      <c r="BP18" s="1452"/>
      <c r="BQ18" s="1452"/>
      <c r="BR18" s="1452"/>
      <c r="BS18" s="1452"/>
      <c r="BT18" s="1452"/>
      <c r="BU18" s="1452"/>
      <c r="BV18" s="1452"/>
      <c r="BW18" s="1452"/>
      <c r="BX18" s="1452"/>
      <c r="BY18" s="1452"/>
      <c r="BZ18" s="1452"/>
      <c r="CA18" s="1452"/>
      <c r="CB18" s="1452"/>
      <c r="CC18" s="1452"/>
      <c r="CD18" s="1452"/>
      <c r="CE18" s="1452"/>
      <c r="CF18" s="1452"/>
      <c r="CG18" s="1452"/>
      <c r="CH18" s="1452"/>
      <c r="CI18" s="1452"/>
      <c r="CJ18" s="1452"/>
      <c r="CK18" s="1452"/>
      <c r="CL18" s="1452"/>
      <c r="CM18" s="1452"/>
      <c r="CN18" s="1452"/>
      <c r="CO18" s="1452"/>
      <c r="CP18" s="1452"/>
      <c r="CQ18" s="1452"/>
      <c r="CR18" s="1452"/>
      <c r="CS18" s="1452"/>
      <c r="CT18" s="1452"/>
      <c r="CU18" s="1452"/>
      <c r="CV18" s="1452"/>
      <c r="CW18" s="1452"/>
      <c r="CX18" s="1452"/>
      <c r="CY18" s="1452"/>
      <c r="CZ18" s="1452"/>
      <c r="DA18" s="1452"/>
      <c r="DB18" s="1452"/>
      <c r="DC18" s="1452"/>
      <c r="DD18" s="1452"/>
      <c r="DE18" s="1452"/>
      <c r="DF18" s="1452"/>
      <c r="DG18" s="1452"/>
      <c r="DH18" s="1452"/>
      <c r="DI18" s="1452"/>
      <c r="DJ18" s="1452"/>
      <c r="DK18" s="1452"/>
      <c r="DL18" s="1452"/>
      <c r="DM18" s="1452"/>
      <c r="DN18" s="1452"/>
      <c r="DO18" s="1452"/>
      <c r="DP18" s="1452"/>
      <c r="DQ18" s="1452"/>
      <c r="DR18" s="1452"/>
      <c r="DS18" s="1452"/>
      <c r="DT18" s="1452"/>
      <c r="DU18" s="1452"/>
      <c r="DV18" s="1452"/>
      <c r="DW18" s="1452"/>
      <c r="DX18" s="1452"/>
      <c r="DY18" s="1452"/>
      <c r="DZ18" s="1452"/>
      <c r="EA18" s="1452"/>
      <c r="EB18" s="1452"/>
      <c r="EC18" s="1452"/>
      <c r="ED18" s="1452"/>
      <c r="EE18" s="1452"/>
      <c r="EF18" s="1452"/>
      <c r="EG18" s="1452"/>
      <c r="EH18" s="1452"/>
      <c r="EI18" s="1452"/>
      <c r="EJ18" s="1452"/>
      <c r="EK18" s="1452"/>
      <c r="EL18" s="1452"/>
      <c r="EM18" s="1452"/>
      <c r="EN18" s="1452"/>
      <c r="EO18" s="1452"/>
      <c r="EP18" s="1452"/>
      <c r="EQ18" s="1452"/>
      <c r="ER18" s="1452"/>
      <c r="ES18" s="1452"/>
      <c r="ET18" s="1452"/>
      <c r="EU18" s="1452"/>
      <c r="EV18" s="1452"/>
      <c r="EW18" s="1452"/>
      <c r="EX18" s="1452"/>
      <c r="EY18" s="1452"/>
      <c r="EZ18" s="1452"/>
      <c r="FA18" s="1452"/>
      <c r="FB18" s="1452"/>
      <c r="FC18" s="1452"/>
      <c r="FD18" s="1452"/>
      <c r="FE18" s="1452"/>
      <c r="FF18" s="1452"/>
      <c r="FG18" s="1452"/>
      <c r="FH18" s="1452"/>
      <c r="FI18" s="1452"/>
      <c r="FJ18" s="1452"/>
      <c r="FK18" s="1452"/>
      <c r="FL18" s="1452"/>
      <c r="FM18" s="1452"/>
      <c r="FN18" s="1452"/>
      <c r="FO18" s="1452"/>
      <c r="FP18" s="1452"/>
      <c r="FQ18" s="1452"/>
      <c r="FR18" s="1452"/>
      <c r="FS18" s="1452"/>
      <c r="FT18" s="1452"/>
      <c r="FU18" s="1452"/>
      <c r="FV18" s="1452"/>
      <c r="FW18" s="1452"/>
      <c r="FX18" s="1452"/>
      <c r="FY18" s="1452"/>
      <c r="FZ18" s="1452"/>
      <c r="GA18" s="1452"/>
      <c r="GB18" s="1452"/>
      <c r="GC18" s="1452"/>
      <c r="GD18" s="1452"/>
      <c r="GE18" s="1452"/>
      <c r="GF18" s="1452"/>
      <c r="GG18" s="1452"/>
      <c r="GH18" s="1452"/>
      <c r="GI18" s="1452"/>
      <c r="GJ18" s="1452"/>
      <c r="GK18" s="1452"/>
      <c r="GL18" s="1452"/>
      <c r="GM18" s="1452"/>
      <c r="GN18" s="1452"/>
      <c r="GO18" s="1452"/>
      <c r="GP18" s="1452"/>
      <c r="GQ18" s="1452"/>
      <c r="GR18" s="1452"/>
      <c r="GS18" s="1452"/>
      <c r="GT18" s="1452"/>
      <c r="GU18" s="1452"/>
      <c r="GV18" s="1452"/>
      <c r="GW18" s="1452"/>
      <c r="GX18" s="1452"/>
      <c r="GY18" s="1452"/>
      <c r="GZ18" s="1452"/>
      <c r="HA18" s="1452"/>
      <c r="HB18" s="1452"/>
      <c r="HC18" s="1452"/>
      <c r="HD18" s="1452"/>
      <c r="HE18" s="1452"/>
      <c r="HF18" s="1452"/>
      <c r="HG18" s="1452"/>
      <c r="HH18" s="1452"/>
      <c r="HI18" s="1452"/>
      <c r="HJ18" s="1452"/>
      <c r="HK18" s="1452"/>
      <c r="HL18" s="1452"/>
      <c r="HM18" s="1452"/>
      <c r="HN18" s="1452"/>
      <c r="HO18" s="1452"/>
      <c r="HP18" s="1452"/>
      <c r="HQ18" s="1452"/>
      <c r="HR18" s="1452"/>
      <c r="HS18" s="1452"/>
      <c r="HT18" s="1452"/>
      <c r="HU18" s="1452"/>
      <c r="HV18" s="1452"/>
      <c r="HW18" s="1452"/>
      <c r="HX18" s="1452"/>
      <c r="HY18" s="1452"/>
      <c r="HZ18" s="1452"/>
      <c r="IA18" s="1452"/>
      <c r="IB18" s="1452"/>
      <c r="IC18" s="1452"/>
      <c r="ID18" s="1452"/>
      <c r="IE18" s="1452"/>
      <c r="IF18" s="1452"/>
      <c r="IG18" s="1452"/>
      <c r="IH18" s="1452"/>
      <c r="II18" s="1452"/>
      <c r="IJ18" s="1452"/>
      <c r="IK18" s="1452"/>
      <c r="IL18" s="1452"/>
      <c r="IM18" s="1452"/>
      <c r="IN18" s="1452"/>
      <c r="IO18" s="1452"/>
      <c r="IP18" s="1452"/>
      <c r="IQ18" s="1452"/>
      <c r="IR18" s="1452"/>
      <c r="IS18" s="1452"/>
      <c r="IT18" s="1452"/>
      <c r="IU18" s="1452"/>
      <c r="IV18" s="1452"/>
    </row>
    <row r="19" spans="1:256" ht="27" customHeight="1">
      <c r="A19" s="1445">
        <v>18.100000000000001</v>
      </c>
      <c r="B19" s="1460" t="s">
        <v>7145</v>
      </c>
      <c r="C19" s="1445"/>
      <c r="D19" s="1445"/>
      <c r="E19" s="1447"/>
      <c r="F19" s="1448"/>
      <c r="G19" s="1447"/>
      <c r="H19" s="1450"/>
      <c r="I19" s="1451"/>
      <c r="J19" s="1452"/>
      <c r="K19" s="1452"/>
      <c r="L19" s="1452"/>
      <c r="M19" s="1452"/>
      <c r="N19" s="1452"/>
      <c r="O19" s="1452"/>
      <c r="P19" s="1452"/>
      <c r="Q19" s="1452"/>
      <c r="R19" s="1452"/>
      <c r="S19" s="1452"/>
      <c r="T19" s="1452"/>
      <c r="U19" s="1452"/>
      <c r="V19" s="1452"/>
      <c r="W19" s="1452"/>
      <c r="X19" s="1452"/>
      <c r="Y19" s="1452"/>
      <c r="Z19" s="1452"/>
      <c r="AA19" s="1452"/>
      <c r="AB19" s="1452"/>
      <c r="AC19" s="1452"/>
      <c r="AD19" s="1452"/>
      <c r="AE19" s="1452"/>
      <c r="AF19" s="1452"/>
      <c r="AG19" s="1452"/>
      <c r="AH19" s="1452"/>
      <c r="AI19" s="1452"/>
      <c r="AJ19" s="1452"/>
      <c r="AK19" s="1452"/>
      <c r="AL19" s="1452"/>
      <c r="AM19" s="1452"/>
      <c r="AN19" s="1452"/>
      <c r="AO19" s="1452"/>
      <c r="AP19" s="1452"/>
      <c r="AQ19" s="1452"/>
      <c r="AR19" s="1452"/>
      <c r="AS19" s="1452"/>
      <c r="AT19" s="1452"/>
      <c r="AU19" s="1452"/>
      <c r="AV19" s="1452"/>
      <c r="AW19" s="1452"/>
      <c r="AX19" s="1452"/>
      <c r="AY19" s="1452"/>
      <c r="AZ19" s="1452"/>
      <c r="BA19" s="1452"/>
      <c r="BB19" s="1452"/>
      <c r="BC19" s="1452"/>
      <c r="BD19" s="1452"/>
      <c r="BE19" s="1452"/>
      <c r="BF19" s="1452"/>
      <c r="BG19" s="1452"/>
      <c r="BH19" s="1452"/>
      <c r="BI19" s="1452"/>
      <c r="BJ19" s="1452"/>
      <c r="BK19" s="1452"/>
      <c r="BL19" s="1452"/>
      <c r="BM19" s="1452"/>
      <c r="BN19" s="1452"/>
      <c r="BO19" s="1452"/>
      <c r="BP19" s="1452"/>
      <c r="BQ19" s="1452"/>
      <c r="BR19" s="1452"/>
      <c r="BS19" s="1452"/>
      <c r="BT19" s="1452"/>
      <c r="BU19" s="1452"/>
      <c r="BV19" s="1452"/>
      <c r="BW19" s="1452"/>
      <c r="BX19" s="1452"/>
      <c r="BY19" s="1452"/>
      <c r="BZ19" s="1452"/>
      <c r="CA19" s="1452"/>
      <c r="CB19" s="1452"/>
      <c r="CC19" s="1452"/>
      <c r="CD19" s="1452"/>
      <c r="CE19" s="1452"/>
      <c r="CF19" s="1452"/>
      <c r="CG19" s="1452"/>
      <c r="CH19" s="1452"/>
      <c r="CI19" s="1452"/>
      <c r="CJ19" s="1452"/>
      <c r="CK19" s="1452"/>
      <c r="CL19" s="1452"/>
      <c r="CM19" s="1452"/>
      <c r="CN19" s="1452"/>
      <c r="CO19" s="1452"/>
      <c r="CP19" s="1452"/>
      <c r="CQ19" s="1452"/>
      <c r="CR19" s="1452"/>
      <c r="CS19" s="1452"/>
      <c r="CT19" s="1452"/>
      <c r="CU19" s="1452"/>
      <c r="CV19" s="1452"/>
      <c r="CW19" s="1452"/>
      <c r="CX19" s="1452"/>
      <c r="CY19" s="1452"/>
      <c r="CZ19" s="1452"/>
      <c r="DA19" s="1452"/>
      <c r="DB19" s="1452"/>
      <c r="DC19" s="1452"/>
      <c r="DD19" s="1452"/>
      <c r="DE19" s="1452"/>
      <c r="DF19" s="1452"/>
      <c r="DG19" s="1452"/>
      <c r="DH19" s="1452"/>
      <c r="DI19" s="1452"/>
      <c r="DJ19" s="1452"/>
      <c r="DK19" s="1452"/>
      <c r="DL19" s="1452"/>
      <c r="DM19" s="1452"/>
      <c r="DN19" s="1452"/>
      <c r="DO19" s="1452"/>
      <c r="DP19" s="1452"/>
      <c r="DQ19" s="1452"/>
      <c r="DR19" s="1452"/>
      <c r="DS19" s="1452"/>
      <c r="DT19" s="1452"/>
      <c r="DU19" s="1452"/>
      <c r="DV19" s="1452"/>
      <c r="DW19" s="1452"/>
      <c r="DX19" s="1452"/>
      <c r="DY19" s="1452"/>
      <c r="DZ19" s="1452"/>
      <c r="EA19" s="1452"/>
      <c r="EB19" s="1452"/>
      <c r="EC19" s="1452"/>
      <c r="ED19" s="1452"/>
      <c r="EE19" s="1452"/>
      <c r="EF19" s="1452"/>
      <c r="EG19" s="1452"/>
      <c r="EH19" s="1452"/>
      <c r="EI19" s="1452"/>
      <c r="EJ19" s="1452"/>
      <c r="EK19" s="1452"/>
      <c r="EL19" s="1452"/>
      <c r="EM19" s="1452"/>
      <c r="EN19" s="1452"/>
      <c r="EO19" s="1452"/>
      <c r="EP19" s="1452"/>
      <c r="EQ19" s="1452"/>
      <c r="ER19" s="1452"/>
      <c r="ES19" s="1452"/>
      <c r="ET19" s="1452"/>
      <c r="EU19" s="1452"/>
      <c r="EV19" s="1452"/>
      <c r="EW19" s="1452"/>
      <c r="EX19" s="1452"/>
      <c r="EY19" s="1452"/>
      <c r="EZ19" s="1452"/>
      <c r="FA19" s="1452"/>
      <c r="FB19" s="1452"/>
      <c r="FC19" s="1452"/>
      <c r="FD19" s="1452"/>
      <c r="FE19" s="1452"/>
      <c r="FF19" s="1452"/>
      <c r="FG19" s="1452"/>
      <c r="FH19" s="1452"/>
      <c r="FI19" s="1452"/>
      <c r="FJ19" s="1452"/>
      <c r="FK19" s="1452"/>
      <c r="FL19" s="1452"/>
      <c r="FM19" s="1452"/>
      <c r="FN19" s="1452"/>
      <c r="FO19" s="1452"/>
      <c r="FP19" s="1452"/>
      <c r="FQ19" s="1452"/>
      <c r="FR19" s="1452"/>
      <c r="FS19" s="1452"/>
      <c r="FT19" s="1452"/>
      <c r="FU19" s="1452"/>
      <c r="FV19" s="1452"/>
      <c r="FW19" s="1452"/>
      <c r="FX19" s="1452"/>
      <c r="FY19" s="1452"/>
      <c r="FZ19" s="1452"/>
      <c r="GA19" s="1452"/>
      <c r="GB19" s="1452"/>
      <c r="GC19" s="1452"/>
      <c r="GD19" s="1452"/>
      <c r="GE19" s="1452"/>
      <c r="GF19" s="1452"/>
      <c r="GG19" s="1452"/>
      <c r="GH19" s="1452"/>
      <c r="GI19" s="1452"/>
      <c r="GJ19" s="1452"/>
      <c r="GK19" s="1452"/>
      <c r="GL19" s="1452"/>
      <c r="GM19" s="1452"/>
      <c r="GN19" s="1452"/>
      <c r="GO19" s="1452"/>
      <c r="GP19" s="1452"/>
      <c r="GQ19" s="1452"/>
      <c r="GR19" s="1452"/>
      <c r="GS19" s="1452"/>
      <c r="GT19" s="1452"/>
      <c r="GU19" s="1452"/>
      <c r="GV19" s="1452"/>
      <c r="GW19" s="1452"/>
      <c r="GX19" s="1452"/>
      <c r="GY19" s="1452"/>
      <c r="GZ19" s="1452"/>
      <c r="HA19" s="1452"/>
      <c r="HB19" s="1452"/>
      <c r="HC19" s="1452"/>
      <c r="HD19" s="1452"/>
      <c r="HE19" s="1452"/>
      <c r="HF19" s="1452"/>
      <c r="HG19" s="1452"/>
      <c r="HH19" s="1452"/>
      <c r="HI19" s="1452"/>
      <c r="HJ19" s="1452"/>
      <c r="HK19" s="1452"/>
      <c r="HL19" s="1452"/>
      <c r="HM19" s="1452"/>
      <c r="HN19" s="1452"/>
      <c r="HO19" s="1452"/>
      <c r="HP19" s="1452"/>
      <c r="HQ19" s="1452"/>
      <c r="HR19" s="1452"/>
      <c r="HS19" s="1452"/>
      <c r="HT19" s="1452"/>
      <c r="HU19" s="1452"/>
      <c r="HV19" s="1452"/>
      <c r="HW19" s="1452"/>
      <c r="HX19" s="1452"/>
      <c r="HY19" s="1452"/>
      <c r="HZ19" s="1452"/>
      <c r="IA19" s="1452"/>
      <c r="IB19" s="1452"/>
      <c r="IC19" s="1452"/>
      <c r="ID19" s="1452"/>
      <c r="IE19" s="1452"/>
      <c r="IF19" s="1452"/>
      <c r="IG19" s="1452"/>
      <c r="IH19" s="1452"/>
      <c r="II19" s="1452"/>
      <c r="IJ19" s="1452"/>
      <c r="IK19" s="1452"/>
      <c r="IL19" s="1452"/>
      <c r="IM19" s="1452"/>
      <c r="IN19" s="1452"/>
      <c r="IO19" s="1452"/>
      <c r="IP19" s="1452"/>
      <c r="IQ19" s="1452"/>
      <c r="IR19" s="1452"/>
      <c r="IS19" s="1452"/>
      <c r="IT19" s="1452"/>
      <c r="IU19" s="1452"/>
      <c r="IV19" s="1452"/>
    </row>
    <row r="20" spans="1:256" ht="27" customHeight="1">
      <c r="A20" s="1445"/>
      <c r="B20" s="1460" t="s">
        <v>7146</v>
      </c>
      <c r="C20" s="1445"/>
      <c r="D20" s="1445"/>
      <c r="E20" s="1447"/>
      <c r="F20" s="1448"/>
      <c r="G20" s="1447"/>
      <c r="H20" s="1450"/>
      <c r="I20" s="1451"/>
      <c r="J20" s="1452"/>
      <c r="K20" s="1452"/>
      <c r="L20" s="1452"/>
      <c r="M20" s="1452"/>
      <c r="N20" s="1452"/>
      <c r="O20" s="1452"/>
      <c r="P20" s="1452"/>
      <c r="Q20" s="1452"/>
      <c r="R20" s="1452"/>
      <c r="S20" s="1452"/>
      <c r="T20" s="1452"/>
      <c r="U20" s="1452"/>
      <c r="V20" s="1452"/>
      <c r="W20" s="1452"/>
      <c r="X20" s="1452"/>
      <c r="Y20" s="1452"/>
      <c r="Z20" s="1452"/>
      <c r="AA20" s="1452"/>
      <c r="AB20" s="1452"/>
      <c r="AC20" s="1452"/>
      <c r="AD20" s="1452"/>
      <c r="AE20" s="1452"/>
      <c r="AF20" s="1452"/>
      <c r="AG20" s="1452"/>
      <c r="AH20" s="1452"/>
      <c r="AI20" s="1452"/>
      <c r="AJ20" s="1452"/>
      <c r="AK20" s="1452"/>
      <c r="AL20" s="1452"/>
      <c r="AM20" s="1452"/>
      <c r="AN20" s="1452"/>
      <c r="AO20" s="1452"/>
      <c r="AP20" s="1452"/>
      <c r="AQ20" s="1452"/>
      <c r="AR20" s="1452"/>
      <c r="AS20" s="1452"/>
      <c r="AT20" s="1452"/>
      <c r="AU20" s="1452"/>
      <c r="AV20" s="1452"/>
      <c r="AW20" s="1452"/>
      <c r="AX20" s="1452"/>
      <c r="AY20" s="1452"/>
      <c r="AZ20" s="1452"/>
      <c r="BA20" s="1452"/>
      <c r="BB20" s="1452"/>
      <c r="BC20" s="1452"/>
      <c r="BD20" s="1452"/>
      <c r="BE20" s="1452"/>
      <c r="BF20" s="1452"/>
      <c r="BG20" s="1452"/>
      <c r="BH20" s="1452"/>
      <c r="BI20" s="1452"/>
      <c r="BJ20" s="1452"/>
      <c r="BK20" s="1452"/>
      <c r="BL20" s="1452"/>
      <c r="BM20" s="1452"/>
      <c r="BN20" s="1452"/>
      <c r="BO20" s="1452"/>
      <c r="BP20" s="1452"/>
      <c r="BQ20" s="1452"/>
      <c r="BR20" s="1452"/>
      <c r="BS20" s="1452"/>
      <c r="BT20" s="1452"/>
      <c r="BU20" s="1452"/>
      <c r="BV20" s="1452"/>
      <c r="BW20" s="1452"/>
      <c r="BX20" s="1452"/>
      <c r="BY20" s="1452"/>
      <c r="BZ20" s="1452"/>
      <c r="CA20" s="1452"/>
      <c r="CB20" s="1452"/>
      <c r="CC20" s="1452"/>
      <c r="CD20" s="1452"/>
      <c r="CE20" s="1452"/>
      <c r="CF20" s="1452"/>
      <c r="CG20" s="1452"/>
      <c r="CH20" s="1452"/>
      <c r="CI20" s="1452"/>
      <c r="CJ20" s="1452"/>
      <c r="CK20" s="1452"/>
      <c r="CL20" s="1452"/>
      <c r="CM20" s="1452"/>
      <c r="CN20" s="1452"/>
      <c r="CO20" s="1452"/>
      <c r="CP20" s="1452"/>
      <c r="CQ20" s="1452"/>
      <c r="CR20" s="1452"/>
      <c r="CS20" s="1452"/>
      <c r="CT20" s="1452"/>
      <c r="CU20" s="1452"/>
      <c r="CV20" s="1452"/>
      <c r="CW20" s="1452"/>
      <c r="CX20" s="1452"/>
      <c r="CY20" s="1452"/>
      <c r="CZ20" s="1452"/>
      <c r="DA20" s="1452"/>
      <c r="DB20" s="1452"/>
      <c r="DC20" s="1452"/>
      <c r="DD20" s="1452"/>
      <c r="DE20" s="1452"/>
      <c r="DF20" s="1452"/>
      <c r="DG20" s="1452"/>
      <c r="DH20" s="1452"/>
      <c r="DI20" s="1452"/>
      <c r="DJ20" s="1452"/>
      <c r="DK20" s="1452"/>
      <c r="DL20" s="1452"/>
      <c r="DM20" s="1452"/>
      <c r="DN20" s="1452"/>
      <c r="DO20" s="1452"/>
      <c r="DP20" s="1452"/>
      <c r="DQ20" s="1452"/>
      <c r="DR20" s="1452"/>
      <c r="DS20" s="1452"/>
      <c r="DT20" s="1452"/>
      <c r="DU20" s="1452"/>
      <c r="DV20" s="1452"/>
      <c r="DW20" s="1452"/>
      <c r="DX20" s="1452"/>
      <c r="DY20" s="1452"/>
      <c r="DZ20" s="1452"/>
      <c r="EA20" s="1452"/>
      <c r="EB20" s="1452"/>
      <c r="EC20" s="1452"/>
      <c r="ED20" s="1452"/>
      <c r="EE20" s="1452"/>
      <c r="EF20" s="1452"/>
      <c r="EG20" s="1452"/>
      <c r="EH20" s="1452"/>
      <c r="EI20" s="1452"/>
      <c r="EJ20" s="1452"/>
      <c r="EK20" s="1452"/>
      <c r="EL20" s="1452"/>
      <c r="EM20" s="1452"/>
      <c r="EN20" s="1452"/>
      <c r="EO20" s="1452"/>
      <c r="EP20" s="1452"/>
      <c r="EQ20" s="1452"/>
      <c r="ER20" s="1452"/>
      <c r="ES20" s="1452"/>
      <c r="ET20" s="1452"/>
      <c r="EU20" s="1452"/>
      <c r="EV20" s="1452"/>
      <c r="EW20" s="1452"/>
      <c r="EX20" s="1452"/>
      <c r="EY20" s="1452"/>
      <c r="EZ20" s="1452"/>
      <c r="FA20" s="1452"/>
      <c r="FB20" s="1452"/>
      <c r="FC20" s="1452"/>
      <c r="FD20" s="1452"/>
      <c r="FE20" s="1452"/>
      <c r="FF20" s="1452"/>
      <c r="FG20" s="1452"/>
      <c r="FH20" s="1452"/>
      <c r="FI20" s="1452"/>
      <c r="FJ20" s="1452"/>
      <c r="FK20" s="1452"/>
      <c r="FL20" s="1452"/>
      <c r="FM20" s="1452"/>
      <c r="FN20" s="1452"/>
      <c r="FO20" s="1452"/>
      <c r="FP20" s="1452"/>
      <c r="FQ20" s="1452"/>
      <c r="FR20" s="1452"/>
      <c r="FS20" s="1452"/>
      <c r="FT20" s="1452"/>
      <c r="FU20" s="1452"/>
      <c r="FV20" s="1452"/>
      <c r="FW20" s="1452"/>
      <c r="FX20" s="1452"/>
      <c r="FY20" s="1452"/>
      <c r="FZ20" s="1452"/>
      <c r="GA20" s="1452"/>
      <c r="GB20" s="1452"/>
      <c r="GC20" s="1452"/>
      <c r="GD20" s="1452"/>
      <c r="GE20" s="1452"/>
      <c r="GF20" s="1452"/>
      <c r="GG20" s="1452"/>
      <c r="GH20" s="1452"/>
      <c r="GI20" s="1452"/>
      <c r="GJ20" s="1452"/>
      <c r="GK20" s="1452"/>
      <c r="GL20" s="1452"/>
      <c r="GM20" s="1452"/>
      <c r="GN20" s="1452"/>
      <c r="GO20" s="1452"/>
      <c r="GP20" s="1452"/>
      <c r="GQ20" s="1452"/>
      <c r="GR20" s="1452"/>
      <c r="GS20" s="1452"/>
      <c r="GT20" s="1452"/>
      <c r="GU20" s="1452"/>
      <c r="GV20" s="1452"/>
      <c r="GW20" s="1452"/>
      <c r="GX20" s="1452"/>
      <c r="GY20" s="1452"/>
      <c r="GZ20" s="1452"/>
      <c r="HA20" s="1452"/>
      <c r="HB20" s="1452"/>
      <c r="HC20" s="1452"/>
      <c r="HD20" s="1452"/>
      <c r="HE20" s="1452"/>
      <c r="HF20" s="1452"/>
      <c r="HG20" s="1452"/>
      <c r="HH20" s="1452"/>
      <c r="HI20" s="1452"/>
      <c r="HJ20" s="1452"/>
      <c r="HK20" s="1452"/>
      <c r="HL20" s="1452"/>
      <c r="HM20" s="1452"/>
      <c r="HN20" s="1452"/>
      <c r="HO20" s="1452"/>
      <c r="HP20" s="1452"/>
      <c r="HQ20" s="1452"/>
      <c r="HR20" s="1452"/>
      <c r="HS20" s="1452"/>
      <c r="HT20" s="1452"/>
      <c r="HU20" s="1452"/>
      <c r="HV20" s="1452"/>
      <c r="HW20" s="1452"/>
      <c r="HX20" s="1452"/>
      <c r="HY20" s="1452"/>
      <c r="HZ20" s="1452"/>
      <c r="IA20" s="1452"/>
      <c r="IB20" s="1452"/>
      <c r="IC20" s="1452"/>
      <c r="ID20" s="1452"/>
      <c r="IE20" s="1452"/>
      <c r="IF20" s="1452"/>
      <c r="IG20" s="1452"/>
      <c r="IH20" s="1452"/>
      <c r="II20" s="1452"/>
      <c r="IJ20" s="1452"/>
      <c r="IK20" s="1452"/>
      <c r="IL20" s="1452"/>
      <c r="IM20" s="1452"/>
      <c r="IN20" s="1452"/>
      <c r="IO20" s="1452"/>
      <c r="IP20" s="1452"/>
      <c r="IQ20" s="1452"/>
      <c r="IR20" s="1452"/>
      <c r="IS20" s="1452"/>
      <c r="IT20" s="1452"/>
      <c r="IU20" s="1452"/>
      <c r="IV20" s="1452"/>
    </row>
    <row r="21" spans="1:256" ht="24.75" customHeight="1">
      <c r="A21" s="1445"/>
      <c r="B21" s="1454" t="s">
        <v>7141</v>
      </c>
      <c r="C21" s="1455">
        <v>2</v>
      </c>
      <c r="D21" s="1455">
        <v>2</v>
      </c>
      <c r="E21" s="1450">
        <f>2.4+0.46</f>
        <v>2.86</v>
      </c>
      <c r="F21" s="1448"/>
      <c r="G21" s="1450">
        <v>0.38</v>
      </c>
      <c r="H21" s="1450">
        <f t="shared" ref="H21:H25" si="1">PRODUCT(C21:G21)</f>
        <v>4.3499999999999996</v>
      </c>
      <c r="I21" s="1451"/>
      <c r="J21" s="1452"/>
      <c r="K21" s="1452"/>
      <c r="L21" s="1452"/>
      <c r="M21" s="1452"/>
      <c r="N21" s="1452"/>
      <c r="O21" s="1452"/>
      <c r="P21" s="1452"/>
      <c r="Q21" s="1452"/>
      <c r="R21" s="1452"/>
      <c r="S21" s="1452"/>
      <c r="T21" s="1452"/>
      <c r="U21" s="1452"/>
      <c r="V21" s="1452"/>
      <c r="W21" s="1452"/>
      <c r="X21" s="1452"/>
      <c r="Y21" s="1452"/>
      <c r="Z21" s="1452"/>
      <c r="AA21" s="1452"/>
      <c r="AB21" s="1452"/>
      <c r="AC21" s="1452"/>
      <c r="AD21" s="1452"/>
      <c r="AE21" s="1452"/>
      <c r="AF21" s="1452"/>
      <c r="AG21" s="1452"/>
      <c r="AH21" s="1452"/>
      <c r="AI21" s="1452"/>
      <c r="AJ21" s="1452"/>
      <c r="AK21" s="1452"/>
      <c r="AL21" s="1452"/>
      <c r="AM21" s="1452"/>
      <c r="AN21" s="1452"/>
      <c r="AO21" s="1452"/>
      <c r="AP21" s="1452"/>
      <c r="AQ21" s="1452"/>
      <c r="AR21" s="1452"/>
      <c r="AS21" s="1452"/>
      <c r="AT21" s="1452"/>
      <c r="AU21" s="1452"/>
      <c r="AV21" s="1452"/>
      <c r="AW21" s="1452"/>
      <c r="AX21" s="1452"/>
      <c r="AY21" s="1452"/>
      <c r="AZ21" s="1452"/>
      <c r="BA21" s="1452"/>
      <c r="BB21" s="1452"/>
      <c r="BC21" s="1452"/>
      <c r="BD21" s="1452"/>
      <c r="BE21" s="1452"/>
      <c r="BF21" s="1452"/>
      <c r="BG21" s="1452"/>
      <c r="BH21" s="1452"/>
      <c r="BI21" s="1452"/>
      <c r="BJ21" s="1452"/>
      <c r="BK21" s="1452"/>
      <c r="BL21" s="1452"/>
      <c r="BM21" s="1452"/>
      <c r="BN21" s="1452"/>
      <c r="BO21" s="1452"/>
      <c r="BP21" s="1452"/>
      <c r="BQ21" s="1452"/>
      <c r="BR21" s="1452"/>
      <c r="BS21" s="1452"/>
      <c r="BT21" s="1452"/>
      <c r="BU21" s="1452"/>
      <c r="BV21" s="1452"/>
      <c r="BW21" s="1452"/>
      <c r="BX21" s="1452"/>
      <c r="BY21" s="1452"/>
      <c r="BZ21" s="1452"/>
      <c r="CA21" s="1452"/>
      <c r="CB21" s="1452"/>
      <c r="CC21" s="1452"/>
      <c r="CD21" s="1452"/>
      <c r="CE21" s="1452"/>
      <c r="CF21" s="1452"/>
      <c r="CG21" s="1452"/>
      <c r="CH21" s="1452"/>
      <c r="CI21" s="1452"/>
      <c r="CJ21" s="1452"/>
      <c r="CK21" s="1452"/>
      <c r="CL21" s="1452"/>
      <c r="CM21" s="1452"/>
      <c r="CN21" s="1452"/>
      <c r="CO21" s="1452"/>
      <c r="CP21" s="1452"/>
      <c r="CQ21" s="1452"/>
      <c r="CR21" s="1452"/>
      <c r="CS21" s="1452"/>
      <c r="CT21" s="1452"/>
      <c r="CU21" s="1452"/>
      <c r="CV21" s="1452"/>
      <c r="CW21" s="1452"/>
      <c r="CX21" s="1452"/>
      <c r="CY21" s="1452"/>
      <c r="CZ21" s="1452"/>
      <c r="DA21" s="1452"/>
      <c r="DB21" s="1452"/>
      <c r="DC21" s="1452"/>
      <c r="DD21" s="1452"/>
      <c r="DE21" s="1452"/>
      <c r="DF21" s="1452"/>
      <c r="DG21" s="1452"/>
      <c r="DH21" s="1452"/>
      <c r="DI21" s="1452"/>
      <c r="DJ21" s="1452"/>
      <c r="DK21" s="1452"/>
      <c r="DL21" s="1452"/>
      <c r="DM21" s="1452"/>
      <c r="DN21" s="1452"/>
      <c r="DO21" s="1452"/>
      <c r="DP21" s="1452"/>
      <c r="DQ21" s="1452"/>
      <c r="DR21" s="1452"/>
      <c r="DS21" s="1452"/>
      <c r="DT21" s="1452"/>
      <c r="DU21" s="1452"/>
      <c r="DV21" s="1452"/>
      <c r="DW21" s="1452"/>
      <c r="DX21" s="1452"/>
      <c r="DY21" s="1452"/>
      <c r="DZ21" s="1452"/>
      <c r="EA21" s="1452"/>
      <c r="EB21" s="1452"/>
      <c r="EC21" s="1452"/>
      <c r="ED21" s="1452"/>
      <c r="EE21" s="1452"/>
      <c r="EF21" s="1452"/>
      <c r="EG21" s="1452"/>
      <c r="EH21" s="1452"/>
      <c r="EI21" s="1452"/>
      <c r="EJ21" s="1452"/>
      <c r="EK21" s="1452"/>
      <c r="EL21" s="1452"/>
      <c r="EM21" s="1452"/>
      <c r="EN21" s="1452"/>
      <c r="EO21" s="1452"/>
      <c r="EP21" s="1452"/>
      <c r="EQ21" s="1452"/>
      <c r="ER21" s="1452"/>
      <c r="ES21" s="1452"/>
      <c r="ET21" s="1452"/>
      <c r="EU21" s="1452"/>
      <c r="EV21" s="1452"/>
      <c r="EW21" s="1452"/>
      <c r="EX21" s="1452"/>
      <c r="EY21" s="1452"/>
      <c r="EZ21" s="1452"/>
      <c r="FA21" s="1452"/>
      <c r="FB21" s="1452"/>
      <c r="FC21" s="1452"/>
      <c r="FD21" s="1452"/>
      <c r="FE21" s="1452"/>
      <c r="FF21" s="1452"/>
      <c r="FG21" s="1452"/>
      <c r="FH21" s="1452"/>
      <c r="FI21" s="1452"/>
      <c r="FJ21" s="1452"/>
      <c r="FK21" s="1452"/>
      <c r="FL21" s="1452"/>
      <c r="FM21" s="1452"/>
      <c r="FN21" s="1452"/>
      <c r="FO21" s="1452"/>
      <c r="FP21" s="1452"/>
      <c r="FQ21" s="1452"/>
      <c r="FR21" s="1452"/>
      <c r="FS21" s="1452"/>
      <c r="FT21" s="1452"/>
      <c r="FU21" s="1452"/>
      <c r="FV21" s="1452"/>
      <c r="FW21" s="1452"/>
      <c r="FX21" s="1452"/>
      <c r="FY21" s="1452"/>
      <c r="FZ21" s="1452"/>
      <c r="GA21" s="1452"/>
      <c r="GB21" s="1452"/>
      <c r="GC21" s="1452"/>
      <c r="GD21" s="1452"/>
      <c r="GE21" s="1452"/>
      <c r="GF21" s="1452"/>
      <c r="GG21" s="1452"/>
      <c r="GH21" s="1452"/>
      <c r="GI21" s="1452"/>
      <c r="GJ21" s="1452"/>
      <c r="GK21" s="1452"/>
      <c r="GL21" s="1452"/>
      <c r="GM21" s="1452"/>
      <c r="GN21" s="1452"/>
      <c r="GO21" s="1452"/>
      <c r="GP21" s="1452"/>
      <c r="GQ21" s="1452"/>
      <c r="GR21" s="1452"/>
      <c r="GS21" s="1452"/>
      <c r="GT21" s="1452"/>
      <c r="GU21" s="1452"/>
      <c r="GV21" s="1452"/>
      <c r="GW21" s="1452"/>
      <c r="GX21" s="1452"/>
      <c r="GY21" s="1452"/>
      <c r="GZ21" s="1452"/>
      <c r="HA21" s="1452"/>
      <c r="HB21" s="1452"/>
      <c r="HC21" s="1452"/>
      <c r="HD21" s="1452"/>
      <c r="HE21" s="1452"/>
      <c r="HF21" s="1452"/>
      <c r="HG21" s="1452"/>
      <c r="HH21" s="1452"/>
      <c r="HI21" s="1452"/>
      <c r="HJ21" s="1452"/>
      <c r="HK21" s="1452"/>
      <c r="HL21" s="1452"/>
      <c r="HM21" s="1452"/>
      <c r="HN21" s="1452"/>
      <c r="HO21" s="1452"/>
      <c r="HP21" s="1452"/>
      <c r="HQ21" s="1452"/>
      <c r="HR21" s="1452"/>
      <c r="HS21" s="1452"/>
      <c r="HT21" s="1452"/>
      <c r="HU21" s="1452"/>
      <c r="HV21" s="1452"/>
      <c r="HW21" s="1452"/>
      <c r="HX21" s="1452"/>
      <c r="HY21" s="1452"/>
      <c r="HZ21" s="1452"/>
      <c r="IA21" s="1452"/>
      <c r="IB21" s="1452"/>
      <c r="IC21" s="1452"/>
      <c r="ID21" s="1452"/>
      <c r="IE21" s="1452"/>
      <c r="IF21" s="1452"/>
      <c r="IG21" s="1452"/>
      <c r="IH21" s="1452"/>
      <c r="II21" s="1452"/>
      <c r="IJ21" s="1452"/>
      <c r="IK21" s="1452"/>
      <c r="IL21" s="1452"/>
      <c r="IM21" s="1452"/>
      <c r="IN21" s="1452"/>
      <c r="IO21" s="1452"/>
      <c r="IP21" s="1452"/>
      <c r="IQ21" s="1452"/>
      <c r="IR21" s="1452"/>
      <c r="IS21" s="1452"/>
      <c r="IT21" s="1452"/>
      <c r="IU21" s="1452"/>
      <c r="IV21" s="1452"/>
    </row>
    <row r="22" spans="1:256" ht="24.75" customHeight="1">
      <c r="A22" s="1445"/>
      <c r="B22" s="1454" t="s">
        <v>7141</v>
      </c>
      <c r="C22" s="1455">
        <v>2</v>
      </c>
      <c r="D22" s="1455">
        <v>2</v>
      </c>
      <c r="E22" s="1450">
        <v>4.0999999999999996</v>
      </c>
      <c r="F22" s="1448"/>
      <c r="G22" s="1450">
        <v>0.38</v>
      </c>
      <c r="H22" s="1450">
        <f t="shared" si="1"/>
        <v>6.23</v>
      </c>
      <c r="I22" s="1451"/>
      <c r="J22" s="1452"/>
      <c r="K22" s="1452"/>
      <c r="L22" s="1452"/>
      <c r="M22" s="1452"/>
      <c r="N22" s="1452"/>
      <c r="O22" s="1452"/>
      <c r="P22" s="1452"/>
      <c r="Q22" s="1452"/>
      <c r="R22" s="1452"/>
      <c r="S22" s="1452"/>
      <c r="T22" s="1452"/>
      <c r="U22" s="1452"/>
      <c r="V22" s="1452"/>
      <c r="W22" s="1452"/>
      <c r="X22" s="1452"/>
      <c r="Y22" s="1452"/>
      <c r="Z22" s="1452"/>
      <c r="AA22" s="1452"/>
      <c r="AB22" s="1452"/>
      <c r="AC22" s="1452"/>
      <c r="AD22" s="1452"/>
      <c r="AE22" s="1452"/>
      <c r="AF22" s="1452"/>
      <c r="AG22" s="1452"/>
      <c r="AH22" s="1452"/>
      <c r="AI22" s="1452"/>
      <c r="AJ22" s="1452"/>
      <c r="AK22" s="1452"/>
      <c r="AL22" s="1452"/>
      <c r="AM22" s="1452"/>
      <c r="AN22" s="1452"/>
      <c r="AO22" s="1452"/>
      <c r="AP22" s="1452"/>
      <c r="AQ22" s="1452"/>
      <c r="AR22" s="1452"/>
      <c r="AS22" s="1452"/>
      <c r="AT22" s="1452"/>
      <c r="AU22" s="1452"/>
      <c r="AV22" s="1452"/>
      <c r="AW22" s="1452"/>
      <c r="AX22" s="1452"/>
      <c r="AY22" s="1452"/>
      <c r="AZ22" s="1452"/>
      <c r="BA22" s="1452"/>
      <c r="BB22" s="1452"/>
      <c r="BC22" s="1452"/>
      <c r="BD22" s="1452"/>
      <c r="BE22" s="1452"/>
      <c r="BF22" s="1452"/>
      <c r="BG22" s="1452"/>
      <c r="BH22" s="1452"/>
      <c r="BI22" s="1452"/>
      <c r="BJ22" s="1452"/>
      <c r="BK22" s="1452"/>
      <c r="BL22" s="1452"/>
      <c r="BM22" s="1452"/>
      <c r="BN22" s="1452"/>
      <c r="BO22" s="1452"/>
      <c r="BP22" s="1452"/>
      <c r="BQ22" s="1452"/>
      <c r="BR22" s="1452"/>
      <c r="BS22" s="1452"/>
      <c r="BT22" s="1452"/>
      <c r="BU22" s="1452"/>
      <c r="BV22" s="1452"/>
      <c r="BW22" s="1452"/>
      <c r="BX22" s="1452"/>
      <c r="BY22" s="1452"/>
      <c r="BZ22" s="1452"/>
      <c r="CA22" s="1452"/>
      <c r="CB22" s="1452"/>
      <c r="CC22" s="1452"/>
      <c r="CD22" s="1452"/>
      <c r="CE22" s="1452"/>
      <c r="CF22" s="1452"/>
      <c r="CG22" s="1452"/>
      <c r="CH22" s="1452"/>
      <c r="CI22" s="1452"/>
      <c r="CJ22" s="1452"/>
      <c r="CK22" s="1452"/>
      <c r="CL22" s="1452"/>
      <c r="CM22" s="1452"/>
      <c r="CN22" s="1452"/>
      <c r="CO22" s="1452"/>
      <c r="CP22" s="1452"/>
      <c r="CQ22" s="1452"/>
      <c r="CR22" s="1452"/>
      <c r="CS22" s="1452"/>
      <c r="CT22" s="1452"/>
      <c r="CU22" s="1452"/>
      <c r="CV22" s="1452"/>
      <c r="CW22" s="1452"/>
      <c r="CX22" s="1452"/>
      <c r="CY22" s="1452"/>
      <c r="CZ22" s="1452"/>
      <c r="DA22" s="1452"/>
      <c r="DB22" s="1452"/>
      <c r="DC22" s="1452"/>
      <c r="DD22" s="1452"/>
      <c r="DE22" s="1452"/>
      <c r="DF22" s="1452"/>
      <c r="DG22" s="1452"/>
      <c r="DH22" s="1452"/>
      <c r="DI22" s="1452"/>
      <c r="DJ22" s="1452"/>
      <c r="DK22" s="1452"/>
      <c r="DL22" s="1452"/>
      <c r="DM22" s="1452"/>
      <c r="DN22" s="1452"/>
      <c r="DO22" s="1452"/>
      <c r="DP22" s="1452"/>
      <c r="DQ22" s="1452"/>
      <c r="DR22" s="1452"/>
      <c r="DS22" s="1452"/>
      <c r="DT22" s="1452"/>
      <c r="DU22" s="1452"/>
      <c r="DV22" s="1452"/>
      <c r="DW22" s="1452"/>
      <c r="DX22" s="1452"/>
      <c r="DY22" s="1452"/>
      <c r="DZ22" s="1452"/>
      <c r="EA22" s="1452"/>
      <c r="EB22" s="1452"/>
      <c r="EC22" s="1452"/>
      <c r="ED22" s="1452"/>
      <c r="EE22" s="1452"/>
      <c r="EF22" s="1452"/>
      <c r="EG22" s="1452"/>
      <c r="EH22" s="1452"/>
      <c r="EI22" s="1452"/>
      <c r="EJ22" s="1452"/>
      <c r="EK22" s="1452"/>
      <c r="EL22" s="1452"/>
      <c r="EM22" s="1452"/>
      <c r="EN22" s="1452"/>
      <c r="EO22" s="1452"/>
      <c r="EP22" s="1452"/>
      <c r="EQ22" s="1452"/>
      <c r="ER22" s="1452"/>
      <c r="ES22" s="1452"/>
      <c r="ET22" s="1452"/>
      <c r="EU22" s="1452"/>
      <c r="EV22" s="1452"/>
      <c r="EW22" s="1452"/>
      <c r="EX22" s="1452"/>
      <c r="EY22" s="1452"/>
      <c r="EZ22" s="1452"/>
      <c r="FA22" s="1452"/>
      <c r="FB22" s="1452"/>
      <c r="FC22" s="1452"/>
      <c r="FD22" s="1452"/>
      <c r="FE22" s="1452"/>
      <c r="FF22" s="1452"/>
      <c r="FG22" s="1452"/>
      <c r="FH22" s="1452"/>
      <c r="FI22" s="1452"/>
      <c r="FJ22" s="1452"/>
      <c r="FK22" s="1452"/>
      <c r="FL22" s="1452"/>
      <c r="FM22" s="1452"/>
      <c r="FN22" s="1452"/>
      <c r="FO22" s="1452"/>
      <c r="FP22" s="1452"/>
      <c r="FQ22" s="1452"/>
      <c r="FR22" s="1452"/>
      <c r="FS22" s="1452"/>
      <c r="FT22" s="1452"/>
      <c r="FU22" s="1452"/>
      <c r="FV22" s="1452"/>
      <c r="FW22" s="1452"/>
      <c r="FX22" s="1452"/>
      <c r="FY22" s="1452"/>
      <c r="FZ22" s="1452"/>
      <c r="GA22" s="1452"/>
      <c r="GB22" s="1452"/>
      <c r="GC22" s="1452"/>
      <c r="GD22" s="1452"/>
      <c r="GE22" s="1452"/>
      <c r="GF22" s="1452"/>
      <c r="GG22" s="1452"/>
      <c r="GH22" s="1452"/>
      <c r="GI22" s="1452"/>
      <c r="GJ22" s="1452"/>
      <c r="GK22" s="1452"/>
      <c r="GL22" s="1452"/>
      <c r="GM22" s="1452"/>
      <c r="GN22" s="1452"/>
      <c r="GO22" s="1452"/>
      <c r="GP22" s="1452"/>
      <c r="GQ22" s="1452"/>
      <c r="GR22" s="1452"/>
      <c r="GS22" s="1452"/>
      <c r="GT22" s="1452"/>
      <c r="GU22" s="1452"/>
      <c r="GV22" s="1452"/>
      <c r="GW22" s="1452"/>
      <c r="GX22" s="1452"/>
      <c r="GY22" s="1452"/>
      <c r="GZ22" s="1452"/>
      <c r="HA22" s="1452"/>
      <c r="HB22" s="1452"/>
      <c r="HC22" s="1452"/>
      <c r="HD22" s="1452"/>
      <c r="HE22" s="1452"/>
      <c r="HF22" s="1452"/>
      <c r="HG22" s="1452"/>
      <c r="HH22" s="1452"/>
      <c r="HI22" s="1452"/>
      <c r="HJ22" s="1452"/>
      <c r="HK22" s="1452"/>
      <c r="HL22" s="1452"/>
      <c r="HM22" s="1452"/>
      <c r="HN22" s="1452"/>
      <c r="HO22" s="1452"/>
      <c r="HP22" s="1452"/>
      <c r="HQ22" s="1452"/>
      <c r="HR22" s="1452"/>
      <c r="HS22" s="1452"/>
      <c r="HT22" s="1452"/>
      <c r="HU22" s="1452"/>
      <c r="HV22" s="1452"/>
      <c r="HW22" s="1452"/>
      <c r="HX22" s="1452"/>
      <c r="HY22" s="1452"/>
      <c r="HZ22" s="1452"/>
      <c r="IA22" s="1452"/>
      <c r="IB22" s="1452"/>
      <c r="IC22" s="1452"/>
      <c r="ID22" s="1452"/>
      <c r="IE22" s="1452"/>
      <c r="IF22" s="1452"/>
      <c r="IG22" s="1452"/>
      <c r="IH22" s="1452"/>
      <c r="II22" s="1452"/>
      <c r="IJ22" s="1452"/>
      <c r="IK22" s="1452"/>
      <c r="IL22" s="1452"/>
      <c r="IM22" s="1452"/>
      <c r="IN22" s="1452"/>
      <c r="IO22" s="1452"/>
      <c r="IP22" s="1452"/>
      <c r="IQ22" s="1452"/>
      <c r="IR22" s="1452"/>
      <c r="IS22" s="1452"/>
      <c r="IT22" s="1452"/>
      <c r="IU22" s="1452"/>
      <c r="IV22" s="1452"/>
    </row>
    <row r="23" spans="1:256" ht="24.75" customHeight="1">
      <c r="A23" s="1445"/>
      <c r="B23" s="1454" t="s">
        <v>7142</v>
      </c>
      <c r="C23" s="1455">
        <v>2</v>
      </c>
      <c r="D23" s="1455">
        <v>1</v>
      </c>
      <c r="E23" s="1450">
        <f>2.4+0.46</f>
        <v>2.86</v>
      </c>
      <c r="F23" s="1448"/>
      <c r="G23" s="1450">
        <f>0.23</f>
        <v>0.23</v>
      </c>
      <c r="H23" s="1450">
        <f t="shared" si="1"/>
        <v>1.32</v>
      </c>
      <c r="I23" s="1451"/>
      <c r="J23" s="1452"/>
      <c r="K23" s="1452"/>
      <c r="L23" s="1452"/>
      <c r="M23" s="1452"/>
      <c r="N23" s="1452"/>
      <c r="O23" s="1452"/>
      <c r="P23" s="1452"/>
      <c r="Q23" s="1452"/>
      <c r="R23" s="1452"/>
      <c r="S23" s="1452"/>
      <c r="T23" s="1452"/>
      <c r="U23" s="1452"/>
      <c r="V23" s="1452"/>
      <c r="W23" s="1452"/>
      <c r="X23" s="1452"/>
      <c r="Y23" s="1452"/>
      <c r="Z23" s="1452"/>
      <c r="AA23" s="1452"/>
      <c r="AB23" s="1452"/>
      <c r="AC23" s="1452"/>
      <c r="AD23" s="1452"/>
      <c r="AE23" s="1452"/>
      <c r="AF23" s="1452"/>
      <c r="AG23" s="1452"/>
      <c r="AH23" s="1452"/>
      <c r="AI23" s="1452"/>
      <c r="AJ23" s="1452"/>
      <c r="AK23" s="1452"/>
      <c r="AL23" s="1452"/>
      <c r="AM23" s="1452"/>
      <c r="AN23" s="1452"/>
      <c r="AO23" s="1452"/>
      <c r="AP23" s="1452"/>
      <c r="AQ23" s="1452"/>
      <c r="AR23" s="1452"/>
      <c r="AS23" s="1452"/>
      <c r="AT23" s="1452"/>
      <c r="AU23" s="1452"/>
      <c r="AV23" s="1452"/>
      <c r="AW23" s="1452"/>
      <c r="AX23" s="1452"/>
      <c r="AY23" s="1452"/>
      <c r="AZ23" s="1452"/>
      <c r="BA23" s="1452"/>
      <c r="BB23" s="1452"/>
      <c r="BC23" s="1452"/>
      <c r="BD23" s="1452"/>
      <c r="BE23" s="1452"/>
      <c r="BF23" s="1452"/>
      <c r="BG23" s="1452"/>
      <c r="BH23" s="1452"/>
      <c r="BI23" s="1452"/>
      <c r="BJ23" s="1452"/>
      <c r="BK23" s="1452"/>
      <c r="BL23" s="1452"/>
      <c r="BM23" s="1452"/>
      <c r="BN23" s="1452"/>
      <c r="BO23" s="1452"/>
      <c r="BP23" s="1452"/>
      <c r="BQ23" s="1452"/>
      <c r="BR23" s="1452"/>
      <c r="BS23" s="1452"/>
      <c r="BT23" s="1452"/>
      <c r="BU23" s="1452"/>
      <c r="BV23" s="1452"/>
      <c r="BW23" s="1452"/>
      <c r="BX23" s="1452"/>
      <c r="BY23" s="1452"/>
      <c r="BZ23" s="1452"/>
      <c r="CA23" s="1452"/>
      <c r="CB23" s="1452"/>
      <c r="CC23" s="1452"/>
      <c r="CD23" s="1452"/>
      <c r="CE23" s="1452"/>
      <c r="CF23" s="1452"/>
      <c r="CG23" s="1452"/>
      <c r="CH23" s="1452"/>
      <c r="CI23" s="1452"/>
      <c r="CJ23" s="1452"/>
      <c r="CK23" s="1452"/>
      <c r="CL23" s="1452"/>
      <c r="CM23" s="1452"/>
      <c r="CN23" s="1452"/>
      <c r="CO23" s="1452"/>
      <c r="CP23" s="1452"/>
      <c r="CQ23" s="1452"/>
      <c r="CR23" s="1452"/>
      <c r="CS23" s="1452"/>
      <c r="CT23" s="1452"/>
      <c r="CU23" s="1452"/>
      <c r="CV23" s="1452"/>
      <c r="CW23" s="1452"/>
      <c r="CX23" s="1452"/>
      <c r="CY23" s="1452"/>
      <c r="CZ23" s="1452"/>
      <c r="DA23" s="1452"/>
      <c r="DB23" s="1452"/>
      <c r="DC23" s="1452"/>
      <c r="DD23" s="1452"/>
      <c r="DE23" s="1452"/>
      <c r="DF23" s="1452"/>
      <c r="DG23" s="1452"/>
      <c r="DH23" s="1452"/>
      <c r="DI23" s="1452"/>
      <c r="DJ23" s="1452"/>
      <c r="DK23" s="1452"/>
      <c r="DL23" s="1452"/>
      <c r="DM23" s="1452"/>
      <c r="DN23" s="1452"/>
      <c r="DO23" s="1452"/>
      <c r="DP23" s="1452"/>
      <c r="DQ23" s="1452"/>
      <c r="DR23" s="1452"/>
      <c r="DS23" s="1452"/>
      <c r="DT23" s="1452"/>
      <c r="DU23" s="1452"/>
      <c r="DV23" s="1452"/>
      <c r="DW23" s="1452"/>
      <c r="DX23" s="1452"/>
      <c r="DY23" s="1452"/>
      <c r="DZ23" s="1452"/>
      <c r="EA23" s="1452"/>
      <c r="EB23" s="1452"/>
      <c r="EC23" s="1452"/>
      <c r="ED23" s="1452"/>
      <c r="EE23" s="1452"/>
      <c r="EF23" s="1452"/>
      <c r="EG23" s="1452"/>
      <c r="EH23" s="1452"/>
      <c r="EI23" s="1452"/>
      <c r="EJ23" s="1452"/>
      <c r="EK23" s="1452"/>
      <c r="EL23" s="1452"/>
      <c r="EM23" s="1452"/>
      <c r="EN23" s="1452"/>
      <c r="EO23" s="1452"/>
      <c r="EP23" s="1452"/>
      <c r="EQ23" s="1452"/>
      <c r="ER23" s="1452"/>
      <c r="ES23" s="1452"/>
      <c r="ET23" s="1452"/>
      <c r="EU23" s="1452"/>
      <c r="EV23" s="1452"/>
      <c r="EW23" s="1452"/>
      <c r="EX23" s="1452"/>
      <c r="EY23" s="1452"/>
      <c r="EZ23" s="1452"/>
      <c r="FA23" s="1452"/>
      <c r="FB23" s="1452"/>
      <c r="FC23" s="1452"/>
      <c r="FD23" s="1452"/>
      <c r="FE23" s="1452"/>
      <c r="FF23" s="1452"/>
      <c r="FG23" s="1452"/>
      <c r="FH23" s="1452"/>
      <c r="FI23" s="1452"/>
      <c r="FJ23" s="1452"/>
      <c r="FK23" s="1452"/>
      <c r="FL23" s="1452"/>
      <c r="FM23" s="1452"/>
      <c r="FN23" s="1452"/>
      <c r="FO23" s="1452"/>
      <c r="FP23" s="1452"/>
      <c r="FQ23" s="1452"/>
      <c r="FR23" s="1452"/>
      <c r="FS23" s="1452"/>
      <c r="FT23" s="1452"/>
      <c r="FU23" s="1452"/>
      <c r="FV23" s="1452"/>
      <c r="FW23" s="1452"/>
      <c r="FX23" s="1452"/>
      <c r="FY23" s="1452"/>
      <c r="FZ23" s="1452"/>
      <c r="GA23" s="1452"/>
      <c r="GB23" s="1452"/>
      <c r="GC23" s="1452"/>
      <c r="GD23" s="1452"/>
      <c r="GE23" s="1452"/>
      <c r="GF23" s="1452"/>
      <c r="GG23" s="1452"/>
      <c r="GH23" s="1452"/>
      <c r="GI23" s="1452"/>
      <c r="GJ23" s="1452"/>
      <c r="GK23" s="1452"/>
      <c r="GL23" s="1452"/>
      <c r="GM23" s="1452"/>
      <c r="GN23" s="1452"/>
      <c r="GO23" s="1452"/>
      <c r="GP23" s="1452"/>
      <c r="GQ23" s="1452"/>
      <c r="GR23" s="1452"/>
      <c r="GS23" s="1452"/>
      <c r="GT23" s="1452"/>
      <c r="GU23" s="1452"/>
      <c r="GV23" s="1452"/>
      <c r="GW23" s="1452"/>
      <c r="GX23" s="1452"/>
      <c r="GY23" s="1452"/>
      <c r="GZ23" s="1452"/>
      <c r="HA23" s="1452"/>
      <c r="HB23" s="1452"/>
      <c r="HC23" s="1452"/>
      <c r="HD23" s="1452"/>
      <c r="HE23" s="1452"/>
      <c r="HF23" s="1452"/>
      <c r="HG23" s="1452"/>
      <c r="HH23" s="1452"/>
      <c r="HI23" s="1452"/>
      <c r="HJ23" s="1452"/>
      <c r="HK23" s="1452"/>
      <c r="HL23" s="1452"/>
      <c r="HM23" s="1452"/>
      <c r="HN23" s="1452"/>
      <c r="HO23" s="1452"/>
      <c r="HP23" s="1452"/>
      <c r="HQ23" s="1452"/>
      <c r="HR23" s="1452"/>
      <c r="HS23" s="1452"/>
      <c r="HT23" s="1452"/>
      <c r="HU23" s="1452"/>
      <c r="HV23" s="1452"/>
      <c r="HW23" s="1452"/>
      <c r="HX23" s="1452"/>
      <c r="HY23" s="1452"/>
      <c r="HZ23" s="1452"/>
      <c r="IA23" s="1452"/>
      <c r="IB23" s="1452"/>
      <c r="IC23" s="1452"/>
      <c r="ID23" s="1452"/>
      <c r="IE23" s="1452"/>
      <c r="IF23" s="1452"/>
      <c r="IG23" s="1452"/>
      <c r="IH23" s="1452"/>
      <c r="II23" s="1452"/>
      <c r="IJ23" s="1452"/>
      <c r="IK23" s="1452"/>
      <c r="IL23" s="1452"/>
      <c r="IM23" s="1452"/>
      <c r="IN23" s="1452"/>
      <c r="IO23" s="1452"/>
      <c r="IP23" s="1452"/>
      <c r="IQ23" s="1452"/>
      <c r="IR23" s="1452"/>
      <c r="IS23" s="1452"/>
      <c r="IT23" s="1452"/>
      <c r="IU23" s="1452"/>
      <c r="IV23" s="1452"/>
    </row>
    <row r="24" spans="1:256" ht="24.75" customHeight="1">
      <c r="A24" s="1445"/>
      <c r="B24" s="1454" t="s">
        <v>7142</v>
      </c>
      <c r="C24" s="1455">
        <v>2</v>
      </c>
      <c r="D24" s="1455">
        <v>1</v>
      </c>
      <c r="E24" s="1450">
        <v>4.0999999999999996</v>
      </c>
      <c r="F24" s="1448"/>
      <c r="G24" s="1450">
        <v>0.23</v>
      </c>
      <c r="H24" s="1450">
        <f t="shared" si="1"/>
        <v>1.89</v>
      </c>
      <c r="I24" s="1451"/>
      <c r="J24" s="1452"/>
      <c r="K24" s="1452"/>
      <c r="L24" s="1452"/>
      <c r="M24" s="1452"/>
      <c r="N24" s="1452"/>
      <c r="O24" s="1452"/>
      <c r="P24" s="1452"/>
      <c r="Q24" s="1452"/>
      <c r="R24" s="1452"/>
      <c r="S24" s="1452"/>
      <c r="T24" s="1452"/>
      <c r="U24" s="1452"/>
      <c r="V24" s="1452"/>
      <c r="W24" s="1452"/>
      <c r="X24" s="1452"/>
      <c r="Y24" s="1452"/>
      <c r="Z24" s="1452"/>
      <c r="AA24" s="1452"/>
      <c r="AB24" s="1452"/>
      <c r="AC24" s="1452"/>
      <c r="AD24" s="1452"/>
      <c r="AE24" s="1452"/>
      <c r="AF24" s="1452"/>
      <c r="AG24" s="1452"/>
      <c r="AH24" s="1452"/>
      <c r="AI24" s="1452"/>
      <c r="AJ24" s="1452"/>
      <c r="AK24" s="1452"/>
      <c r="AL24" s="1452"/>
      <c r="AM24" s="1452"/>
      <c r="AN24" s="1452"/>
      <c r="AO24" s="1452"/>
      <c r="AP24" s="1452"/>
      <c r="AQ24" s="1452"/>
      <c r="AR24" s="1452"/>
      <c r="AS24" s="1452"/>
      <c r="AT24" s="1452"/>
      <c r="AU24" s="1452"/>
      <c r="AV24" s="1452"/>
      <c r="AW24" s="1452"/>
      <c r="AX24" s="1452"/>
      <c r="AY24" s="1452"/>
      <c r="AZ24" s="1452"/>
      <c r="BA24" s="1452"/>
      <c r="BB24" s="1452"/>
      <c r="BC24" s="1452"/>
      <c r="BD24" s="1452"/>
      <c r="BE24" s="1452"/>
      <c r="BF24" s="1452"/>
      <c r="BG24" s="1452"/>
      <c r="BH24" s="1452"/>
      <c r="BI24" s="1452"/>
      <c r="BJ24" s="1452"/>
      <c r="BK24" s="1452"/>
      <c r="BL24" s="1452"/>
      <c r="BM24" s="1452"/>
      <c r="BN24" s="1452"/>
      <c r="BO24" s="1452"/>
      <c r="BP24" s="1452"/>
      <c r="BQ24" s="1452"/>
      <c r="BR24" s="1452"/>
      <c r="BS24" s="1452"/>
      <c r="BT24" s="1452"/>
      <c r="BU24" s="1452"/>
      <c r="BV24" s="1452"/>
      <c r="BW24" s="1452"/>
      <c r="BX24" s="1452"/>
      <c r="BY24" s="1452"/>
      <c r="BZ24" s="1452"/>
      <c r="CA24" s="1452"/>
      <c r="CB24" s="1452"/>
      <c r="CC24" s="1452"/>
      <c r="CD24" s="1452"/>
      <c r="CE24" s="1452"/>
      <c r="CF24" s="1452"/>
      <c r="CG24" s="1452"/>
      <c r="CH24" s="1452"/>
      <c r="CI24" s="1452"/>
      <c r="CJ24" s="1452"/>
      <c r="CK24" s="1452"/>
      <c r="CL24" s="1452"/>
      <c r="CM24" s="1452"/>
      <c r="CN24" s="1452"/>
      <c r="CO24" s="1452"/>
      <c r="CP24" s="1452"/>
      <c r="CQ24" s="1452"/>
      <c r="CR24" s="1452"/>
      <c r="CS24" s="1452"/>
      <c r="CT24" s="1452"/>
      <c r="CU24" s="1452"/>
      <c r="CV24" s="1452"/>
      <c r="CW24" s="1452"/>
      <c r="CX24" s="1452"/>
      <c r="CY24" s="1452"/>
      <c r="CZ24" s="1452"/>
      <c r="DA24" s="1452"/>
      <c r="DB24" s="1452"/>
      <c r="DC24" s="1452"/>
      <c r="DD24" s="1452"/>
      <c r="DE24" s="1452"/>
      <c r="DF24" s="1452"/>
      <c r="DG24" s="1452"/>
      <c r="DH24" s="1452"/>
      <c r="DI24" s="1452"/>
      <c r="DJ24" s="1452"/>
      <c r="DK24" s="1452"/>
      <c r="DL24" s="1452"/>
      <c r="DM24" s="1452"/>
      <c r="DN24" s="1452"/>
      <c r="DO24" s="1452"/>
      <c r="DP24" s="1452"/>
      <c r="DQ24" s="1452"/>
      <c r="DR24" s="1452"/>
      <c r="DS24" s="1452"/>
      <c r="DT24" s="1452"/>
      <c r="DU24" s="1452"/>
      <c r="DV24" s="1452"/>
      <c r="DW24" s="1452"/>
      <c r="DX24" s="1452"/>
      <c r="DY24" s="1452"/>
      <c r="DZ24" s="1452"/>
      <c r="EA24" s="1452"/>
      <c r="EB24" s="1452"/>
      <c r="EC24" s="1452"/>
      <c r="ED24" s="1452"/>
      <c r="EE24" s="1452"/>
      <c r="EF24" s="1452"/>
      <c r="EG24" s="1452"/>
      <c r="EH24" s="1452"/>
      <c r="EI24" s="1452"/>
      <c r="EJ24" s="1452"/>
      <c r="EK24" s="1452"/>
      <c r="EL24" s="1452"/>
      <c r="EM24" s="1452"/>
      <c r="EN24" s="1452"/>
      <c r="EO24" s="1452"/>
      <c r="EP24" s="1452"/>
      <c r="EQ24" s="1452"/>
      <c r="ER24" s="1452"/>
      <c r="ES24" s="1452"/>
      <c r="ET24" s="1452"/>
      <c r="EU24" s="1452"/>
      <c r="EV24" s="1452"/>
      <c r="EW24" s="1452"/>
      <c r="EX24" s="1452"/>
      <c r="EY24" s="1452"/>
      <c r="EZ24" s="1452"/>
      <c r="FA24" s="1452"/>
      <c r="FB24" s="1452"/>
      <c r="FC24" s="1452"/>
      <c r="FD24" s="1452"/>
      <c r="FE24" s="1452"/>
      <c r="FF24" s="1452"/>
      <c r="FG24" s="1452"/>
      <c r="FH24" s="1452"/>
      <c r="FI24" s="1452"/>
      <c r="FJ24" s="1452"/>
      <c r="FK24" s="1452"/>
      <c r="FL24" s="1452"/>
      <c r="FM24" s="1452"/>
      <c r="FN24" s="1452"/>
      <c r="FO24" s="1452"/>
      <c r="FP24" s="1452"/>
      <c r="FQ24" s="1452"/>
      <c r="FR24" s="1452"/>
      <c r="FS24" s="1452"/>
      <c r="FT24" s="1452"/>
      <c r="FU24" s="1452"/>
      <c r="FV24" s="1452"/>
      <c r="FW24" s="1452"/>
      <c r="FX24" s="1452"/>
      <c r="FY24" s="1452"/>
      <c r="FZ24" s="1452"/>
      <c r="GA24" s="1452"/>
      <c r="GB24" s="1452"/>
      <c r="GC24" s="1452"/>
      <c r="GD24" s="1452"/>
      <c r="GE24" s="1452"/>
      <c r="GF24" s="1452"/>
      <c r="GG24" s="1452"/>
      <c r="GH24" s="1452"/>
      <c r="GI24" s="1452"/>
      <c r="GJ24" s="1452"/>
      <c r="GK24" s="1452"/>
      <c r="GL24" s="1452"/>
      <c r="GM24" s="1452"/>
      <c r="GN24" s="1452"/>
      <c r="GO24" s="1452"/>
      <c r="GP24" s="1452"/>
      <c r="GQ24" s="1452"/>
      <c r="GR24" s="1452"/>
      <c r="GS24" s="1452"/>
      <c r="GT24" s="1452"/>
      <c r="GU24" s="1452"/>
      <c r="GV24" s="1452"/>
      <c r="GW24" s="1452"/>
      <c r="GX24" s="1452"/>
      <c r="GY24" s="1452"/>
      <c r="GZ24" s="1452"/>
      <c r="HA24" s="1452"/>
      <c r="HB24" s="1452"/>
      <c r="HC24" s="1452"/>
      <c r="HD24" s="1452"/>
      <c r="HE24" s="1452"/>
      <c r="HF24" s="1452"/>
      <c r="HG24" s="1452"/>
      <c r="HH24" s="1452"/>
      <c r="HI24" s="1452"/>
      <c r="HJ24" s="1452"/>
      <c r="HK24" s="1452"/>
      <c r="HL24" s="1452"/>
      <c r="HM24" s="1452"/>
      <c r="HN24" s="1452"/>
      <c r="HO24" s="1452"/>
      <c r="HP24" s="1452"/>
      <c r="HQ24" s="1452"/>
      <c r="HR24" s="1452"/>
      <c r="HS24" s="1452"/>
      <c r="HT24" s="1452"/>
      <c r="HU24" s="1452"/>
      <c r="HV24" s="1452"/>
      <c r="HW24" s="1452"/>
      <c r="HX24" s="1452"/>
      <c r="HY24" s="1452"/>
      <c r="HZ24" s="1452"/>
      <c r="IA24" s="1452"/>
      <c r="IB24" s="1452"/>
      <c r="IC24" s="1452"/>
      <c r="ID24" s="1452"/>
      <c r="IE24" s="1452"/>
      <c r="IF24" s="1452"/>
      <c r="IG24" s="1452"/>
      <c r="IH24" s="1452"/>
      <c r="II24" s="1452"/>
      <c r="IJ24" s="1452"/>
      <c r="IK24" s="1452"/>
      <c r="IL24" s="1452"/>
      <c r="IM24" s="1452"/>
      <c r="IN24" s="1452"/>
      <c r="IO24" s="1452"/>
      <c r="IP24" s="1452"/>
      <c r="IQ24" s="1452"/>
      <c r="IR24" s="1452"/>
      <c r="IS24" s="1452"/>
      <c r="IT24" s="1452"/>
      <c r="IU24" s="1452"/>
      <c r="IV24" s="1452"/>
    </row>
    <row r="25" spans="1:256" ht="24.75" customHeight="1">
      <c r="A25" s="1445"/>
      <c r="B25" s="1454" t="s">
        <v>7143</v>
      </c>
      <c r="C25" s="1455">
        <v>1</v>
      </c>
      <c r="D25" s="1455">
        <v>1</v>
      </c>
      <c r="E25" s="1450">
        <v>3.72</v>
      </c>
      <c r="F25" s="1450">
        <f>2.02+0.46</f>
        <v>2.48</v>
      </c>
      <c r="G25" s="1450"/>
      <c r="H25" s="1450">
        <f t="shared" si="1"/>
        <v>9.23</v>
      </c>
      <c r="I25" s="1451"/>
      <c r="J25" s="1452"/>
      <c r="K25" s="1452"/>
      <c r="L25" s="1452"/>
      <c r="M25" s="1452"/>
      <c r="N25" s="1452"/>
      <c r="O25" s="1452"/>
      <c r="P25" s="1452"/>
      <c r="Q25" s="1452"/>
      <c r="R25" s="1452"/>
      <c r="S25" s="1452"/>
      <c r="T25" s="1452"/>
      <c r="U25" s="1452"/>
      <c r="V25" s="1452"/>
      <c r="W25" s="1452"/>
      <c r="X25" s="1452"/>
      <c r="Y25" s="1452"/>
      <c r="Z25" s="1452"/>
      <c r="AA25" s="1452"/>
      <c r="AB25" s="1452"/>
      <c r="AC25" s="1452"/>
      <c r="AD25" s="1452"/>
      <c r="AE25" s="1452"/>
      <c r="AF25" s="1452"/>
      <c r="AG25" s="1452"/>
      <c r="AH25" s="1452"/>
      <c r="AI25" s="1452"/>
      <c r="AJ25" s="1452"/>
      <c r="AK25" s="1452"/>
      <c r="AL25" s="1452"/>
      <c r="AM25" s="1452"/>
      <c r="AN25" s="1452"/>
      <c r="AO25" s="1452"/>
      <c r="AP25" s="1452"/>
      <c r="AQ25" s="1452"/>
      <c r="AR25" s="1452"/>
      <c r="AS25" s="1452"/>
      <c r="AT25" s="1452"/>
      <c r="AU25" s="1452"/>
      <c r="AV25" s="1452"/>
      <c r="AW25" s="1452"/>
      <c r="AX25" s="1452"/>
      <c r="AY25" s="1452"/>
      <c r="AZ25" s="1452"/>
      <c r="BA25" s="1452"/>
      <c r="BB25" s="1452"/>
      <c r="BC25" s="1452"/>
      <c r="BD25" s="1452"/>
      <c r="BE25" s="1452"/>
      <c r="BF25" s="1452"/>
      <c r="BG25" s="1452"/>
      <c r="BH25" s="1452"/>
      <c r="BI25" s="1452"/>
      <c r="BJ25" s="1452"/>
      <c r="BK25" s="1452"/>
      <c r="BL25" s="1452"/>
      <c r="BM25" s="1452"/>
      <c r="BN25" s="1452"/>
      <c r="BO25" s="1452"/>
      <c r="BP25" s="1452"/>
      <c r="BQ25" s="1452"/>
      <c r="BR25" s="1452"/>
      <c r="BS25" s="1452"/>
      <c r="BT25" s="1452"/>
      <c r="BU25" s="1452"/>
      <c r="BV25" s="1452"/>
      <c r="BW25" s="1452"/>
      <c r="BX25" s="1452"/>
      <c r="BY25" s="1452"/>
      <c r="BZ25" s="1452"/>
      <c r="CA25" s="1452"/>
      <c r="CB25" s="1452"/>
      <c r="CC25" s="1452"/>
      <c r="CD25" s="1452"/>
      <c r="CE25" s="1452"/>
      <c r="CF25" s="1452"/>
      <c r="CG25" s="1452"/>
      <c r="CH25" s="1452"/>
      <c r="CI25" s="1452"/>
      <c r="CJ25" s="1452"/>
      <c r="CK25" s="1452"/>
      <c r="CL25" s="1452"/>
      <c r="CM25" s="1452"/>
      <c r="CN25" s="1452"/>
      <c r="CO25" s="1452"/>
      <c r="CP25" s="1452"/>
      <c r="CQ25" s="1452"/>
      <c r="CR25" s="1452"/>
      <c r="CS25" s="1452"/>
      <c r="CT25" s="1452"/>
      <c r="CU25" s="1452"/>
      <c r="CV25" s="1452"/>
      <c r="CW25" s="1452"/>
      <c r="CX25" s="1452"/>
      <c r="CY25" s="1452"/>
      <c r="CZ25" s="1452"/>
      <c r="DA25" s="1452"/>
      <c r="DB25" s="1452"/>
      <c r="DC25" s="1452"/>
      <c r="DD25" s="1452"/>
      <c r="DE25" s="1452"/>
      <c r="DF25" s="1452"/>
      <c r="DG25" s="1452"/>
      <c r="DH25" s="1452"/>
      <c r="DI25" s="1452"/>
      <c r="DJ25" s="1452"/>
      <c r="DK25" s="1452"/>
      <c r="DL25" s="1452"/>
      <c r="DM25" s="1452"/>
      <c r="DN25" s="1452"/>
      <c r="DO25" s="1452"/>
      <c r="DP25" s="1452"/>
      <c r="DQ25" s="1452"/>
      <c r="DR25" s="1452"/>
      <c r="DS25" s="1452"/>
      <c r="DT25" s="1452"/>
      <c r="DU25" s="1452"/>
      <c r="DV25" s="1452"/>
      <c r="DW25" s="1452"/>
      <c r="DX25" s="1452"/>
      <c r="DY25" s="1452"/>
      <c r="DZ25" s="1452"/>
      <c r="EA25" s="1452"/>
      <c r="EB25" s="1452"/>
      <c r="EC25" s="1452"/>
      <c r="ED25" s="1452"/>
      <c r="EE25" s="1452"/>
      <c r="EF25" s="1452"/>
      <c r="EG25" s="1452"/>
      <c r="EH25" s="1452"/>
      <c r="EI25" s="1452"/>
      <c r="EJ25" s="1452"/>
      <c r="EK25" s="1452"/>
      <c r="EL25" s="1452"/>
      <c r="EM25" s="1452"/>
      <c r="EN25" s="1452"/>
      <c r="EO25" s="1452"/>
      <c r="EP25" s="1452"/>
      <c r="EQ25" s="1452"/>
      <c r="ER25" s="1452"/>
      <c r="ES25" s="1452"/>
      <c r="ET25" s="1452"/>
      <c r="EU25" s="1452"/>
      <c r="EV25" s="1452"/>
      <c r="EW25" s="1452"/>
      <c r="EX25" s="1452"/>
      <c r="EY25" s="1452"/>
      <c r="EZ25" s="1452"/>
      <c r="FA25" s="1452"/>
      <c r="FB25" s="1452"/>
      <c r="FC25" s="1452"/>
      <c r="FD25" s="1452"/>
      <c r="FE25" s="1452"/>
      <c r="FF25" s="1452"/>
      <c r="FG25" s="1452"/>
      <c r="FH25" s="1452"/>
      <c r="FI25" s="1452"/>
      <c r="FJ25" s="1452"/>
      <c r="FK25" s="1452"/>
      <c r="FL25" s="1452"/>
      <c r="FM25" s="1452"/>
      <c r="FN25" s="1452"/>
      <c r="FO25" s="1452"/>
      <c r="FP25" s="1452"/>
      <c r="FQ25" s="1452"/>
      <c r="FR25" s="1452"/>
      <c r="FS25" s="1452"/>
      <c r="FT25" s="1452"/>
      <c r="FU25" s="1452"/>
      <c r="FV25" s="1452"/>
      <c r="FW25" s="1452"/>
      <c r="FX25" s="1452"/>
      <c r="FY25" s="1452"/>
      <c r="FZ25" s="1452"/>
      <c r="GA25" s="1452"/>
      <c r="GB25" s="1452"/>
      <c r="GC25" s="1452"/>
      <c r="GD25" s="1452"/>
      <c r="GE25" s="1452"/>
      <c r="GF25" s="1452"/>
      <c r="GG25" s="1452"/>
      <c r="GH25" s="1452"/>
      <c r="GI25" s="1452"/>
      <c r="GJ25" s="1452"/>
      <c r="GK25" s="1452"/>
      <c r="GL25" s="1452"/>
      <c r="GM25" s="1452"/>
      <c r="GN25" s="1452"/>
      <c r="GO25" s="1452"/>
      <c r="GP25" s="1452"/>
      <c r="GQ25" s="1452"/>
      <c r="GR25" s="1452"/>
      <c r="GS25" s="1452"/>
      <c r="GT25" s="1452"/>
      <c r="GU25" s="1452"/>
      <c r="GV25" s="1452"/>
      <c r="GW25" s="1452"/>
      <c r="GX25" s="1452"/>
      <c r="GY25" s="1452"/>
      <c r="GZ25" s="1452"/>
      <c r="HA25" s="1452"/>
      <c r="HB25" s="1452"/>
      <c r="HC25" s="1452"/>
      <c r="HD25" s="1452"/>
      <c r="HE25" s="1452"/>
      <c r="HF25" s="1452"/>
      <c r="HG25" s="1452"/>
      <c r="HH25" s="1452"/>
      <c r="HI25" s="1452"/>
      <c r="HJ25" s="1452"/>
      <c r="HK25" s="1452"/>
      <c r="HL25" s="1452"/>
      <c r="HM25" s="1452"/>
      <c r="HN25" s="1452"/>
      <c r="HO25" s="1452"/>
      <c r="HP25" s="1452"/>
      <c r="HQ25" s="1452"/>
      <c r="HR25" s="1452"/>
      <c r="HS25" s="1452"/>
      <c r="HT25" s="1452"/>
      <c r="HU25" s="1452"/>
      <c r="HV25" s="1452"/>
      <c r="HW25" s="1452"/>
      <c r="HX25" s="1452"/>
      <c r="HY25" s="1452"/>
      <c r="HZ25" s="1452"/>
      <c r="IA25" s="1452"/>
      <c r="IB25" s="1452"/>
      <c r="IC25" s="1452"/>
      <c r="ID25" s="1452"/>
      <c r="IE25" s="1452"/>
      <c r="IF25" s="1452"/>
      <c r="IG25" s="1452"/>
      <c r="IH25" s="1452"/>
      <c r="II25" s="1452"/>
      <c r="IJ25" s="1452"/>
      <c r="IK25" s="1452"/>
      <c r="IL25" s="1452"/>
      <c r="IM25" s="1452"/>
      <c r="IN25" s="1452"/>
      <c r="IO25" s="1452"/>
      <c r="IP25" s="1452"/>
      <c r="IQ25" s="1452"/>
      <c r="IR25" s="1452"/>
      <c r="IS25" s="1452"/>
      <c r="IT25" s="1452"/>
      <c r="IU25" s="1452"/>
      <c r="IV25" s="1452"/>
    </row>
    <row r="26" spans="1:256" ht="27" customHeight="1">
      <c r="A26" s="1445"/>
      <c r="B26" s="772"/>
      <c r="C26" s="1445"/>
      <c r="D26" s="1445"/>
      <c r="E26" s="1450"/>
      <c r="F26" s="1450"/>
      <c r="G26" s="1459" t="s">
        <v>2235</v>
      </c>
      <c r="H26" s="1456">
        <f>SUM(H21:H25)</f>
        <v>23.02</v>
      </c>
      <c r="I26" s="1451" t="s">
        <v>2273</v>
      </c>
      <c r="J26" s="1452"/>
      <c r="K26" s="1452"/>
      <c r="L26" s="1452"/>
      <c r="M26" s="1452"/>
      <c r="N26" s="1452"/>
      <c r="O26" s="1452"/>
      <c r="P26" s="1452"/>
      <c r="Q26" s="1452"/>
      <c r="R26" s="1452"/>
      <c r="S26" s="1452"/>
      <c r="T26" s="1452"/>
      <c r="U26" s="1452"/>
      <c r="V26" s="1452"/>
      <c r="W26" s="1452"/>
      <c r="X26" s="1452"/>
      <c r="Y26" s="1452"/>
      <c r="Z26" s="1452"/>
      <c r="AA26" s="1452"/>
      <c r="AB26" s="1452"/>
      <c r="AC26" s="1452"/>
      <c r="AD26" s="1452"/>
      <c r="AE26" s="1452"/>
      <c r="AF26" s="1452"/>
      <c r="AG26" s="1452"/>
      <c r="AH26" s="1452"/>
      <c r="AI26" s="1452"/>
      <c r="AJ26" s="1452"/>
      <c r="AK26" s="1452"/>
      <c r="AL26" s="1452"/>
      <c r="AM26" s="1452"/>
      <c r="AN26" s="1452"/>
      <c r="AO26" s="1452"/>
      <c r="AP26" s="1452"/>
      <c r="AQ26" s="1452"/>
      <c r="AR26" s="1452"/>
      <c r="AS26" s="1452"/>
      <c r="AT26" s="1452"/>
      <c r="AU26" s="1452"/>
      <c r="AV26" s="1452"/>
      <c r="AW26" s="1452"/>
      <c r="AX26" s="1452"/>
      <c r="AY26" s="1452"/>
      <c r="AZ26" s="1452"/>
      <c r="BA26" s="1452"/>
      <c r="BB26" s="1452"/>
      <c r="BC26" s="1452"/>
      <c r="BD26" s="1452"/>
      <c r="BE26" s="1452"/>
      <c r="BF26" s="1452"/>
      <c r="BG26" s="1452"/>
      <c r="BH26" s="1452"/>
      <c r="BI26" s="1452"/>
      <c r="BJ26" s="1452"/>
      <c r="BK26" s="1452"/>
      <c r="BL26" s="1452"/>
      <c r="BM26" s="1452"/>
      <c r="BN26" s="1452"/>
      <c r="BO26" s="1452"/>
      <c r="BP26" s="1452"/>
      <c r="BQ26" s="1452"/>
      <c r="BR26" s="1452"/>
      <c r="BS26" s="1452"/>
      <c r="BT26" s="1452"/>
      <c r="BU26" s="1452"/>
      <c r="BV26" s="1452"/>
      <c r="BW26" s="1452"/>
      <c r="BX26" s="1452"/>
      <c r="BY26" s="1452"/>
      <c r="BZ26" s="1452"/>
      <c r="CA26" s="1452"/>
      <c r="CB26" s="1452"/>
      <c r="CC26" s="1452"/>
      <c r="CD26" s="1452"/>
      <c r="CE26" s="1452"/>
      <c r="CF26" s="1452"/>
      <c r="CG26" s="1452"/>
      <c r="CH26" s="1452"/>
      <c r="CI26" s="1452"/>
      <c r="CJ26" s="1452"/>
      <c r="CK26" s="1452"/>
      <c r="CL26" s="1452"/>
      <c r="CM26" s="1452"/>
      <c r="CN26" s="1452"/>
      <c r="CO26" s="1452"/>
      <c r="CP26" s="1452"/>
      <c r="CQ26" s="1452"/>
      <c r="CR26" s="1452"/>
      <c r="CS26" s="1452"/>
      <c r="CT26" s="1452"/>
      <c r="CU26" s="1452"/>
      <c r="CV26" s="1452"/>
      <c r="CW26" s="1452"/>
      <c r="CX26" s="1452"/>
      <c r="CY26" s="1452"/>
      <c r="CZ26" s="1452"/>
      <c r="DA26" s="1452"/>
      <c r="DB26" s="1452"/>
      <c r="DC26" s="1452"/>
      <c r="DD26" s="1452"/>
      <c r="DE26" s="1452"/>
      <c r="DF26" s="1452"/>
      <c r="DG26" s="1452"/>
      <c r="DH26" s="1452"/>
      <c r="DI26" s="1452"/>
      <c r="DJ26" s="1452"/>
      <c r="DK26" s="1452"/>
      <c r="DL26" s="1452"/>
      <c r="DM26" s="1452"/>
      <c r="DN26" s="1452"/>
      <c r="DO26" s="1452"/>
      <c r="DP26" s="1452"/>
      <c r="DQ26" s="1452"/>
      <c r="DR26" s="1452"/>
      <c r="DS26" s="1452"/>
      <c r="DT26" s="1452"/>
      <c r="DU26" s="1452"/>
      <c r="DV26" s="1452"/>
      <c r="DW26" s="1452"/>
      <c r="DX26" s="1452"/>
      <c r="DY26" s="1452"/>
      <c r="DZ26" s="1452"/>
      <c r="EA26" s="1452"/>
      <c r="EB26" s="1452"/>
      <c r="EC26" s="1452"/>
      <c r="ED26" s="1452"/>
      <c r="EE26" s="1452"/>
      <c r="EF26" s="1452"/>
      <c r="EG26" s="1452"/>
      <c r="EH26" s="1452"/>
      <c r="EI26" s="1452"/>
      <c r="EJ26" s="1452"/>
      <c r="EK26" s="1452"/>
      <c r="EL26" s="1452"/>
      <c r="EM26" s="1452"/>
      <c r="EN26" s="1452"/>
      <c r="EO26" s="1452"/>
      <c r="EP26" s="1452"/>
      <c r="EQ26" s="1452"/>
      <c r="ER26" s="1452"/>
      <c r="ES26" s="1452"/>
      <c r="ET26" s="1452"/>
      <c r="EU26" s="1452"/>
      <c r="EV26" s="1452"/>
      <c r="EW26" s="1452"/>
      <c r="EX26" s="1452"/>
      <c r="EY26" s="1452"/>
      <c r="EZ26" s="1452"/>
      <c r="FA26" s="1452"/>
      <c r="FB26" s="1452"/>
      <c r="FC26" s="1452"/>
      <c r="FD26" s="1452"/>
      <c r="FE26" s="1452"/>
      <c r="FF26" s="1452"/>
      <c r="FG26" s="1452"/>
      <c r="FH26" s="1452"/>
      <c r="FI26" s="1452"/>
      <c r="FJ26" s="1452"/>
      <c r="FK26" s="1452"/>
      <c r="FL26" s="1452"/>
      <c r="FM26" s="1452"/>
      <c r="FN26" s="1452"/>
      <c r="FO26" s="1452"/>
      <c r="FP26" s="1452"/>
      <c r="FQ26" s="1452"/>
      <c r="FR26" s="1452"/>
      <c r="FS26" s="1452"/>
      <c r="FT26" s="1452"/>
      <c r="FU26" s="1452"/>
      <c r="FV26" s="1452"/>
      <c r="FW26" s="1452"/>
      <c r="FX26" s="1452"/>
      <c r="FY26" s="1452"/>
      <c r="FZ26" s="1452"/>
      <c r="GA26" s="1452"/>
      <c r="GB26" s="1452"/>
      <c r="GC26" s="1452"/>
      <c r="GD26" s="1452"/>
      <c r="GE26" s="1452"/>
      <c r="GF26" s="1452"/>
      <c r="GG26" s="1452"/>
      <c r="GH26" s="1452"/>
      <c r="GI26" s="1452"/>
      <c r="GJ26" s="1452"/>
      <c r="GK26" s="1452"/>
      <c r="GL26" s="1452"/>
      <c r="GM26" s="1452"/>
      <c r="GN26" s="1452"/>
      <c r="GO26" s="1452"/>
      <c r="GP26" s="1452"/>
      <c r="GQ26" s="1452"/>
      <c r="GR26" s="1452"/>
      <c r="GS26" s="1452"/>
      <c r="GT26" s="1452"/>
      <c r="GU26" s="1452"/>
      <c r="GV26" s="1452"/>
      <c r="GW26" s="1452"/>
      <c r="GX26" s="1452"/>
      <c r="GY26" s="1452"/>
      <c r="GZ26" s="1452"/>
      <c r="HA26" s="1452"/>
      <c r="HB26" s="1452"/>
      <c r="HC26" s="1452"/>
      <c r="HD26" s="1452"/>
      <c r="HE26" s="1452"/>
      <c r="HF26" s="1452"/>
      <c r="HG26" s="1452"/>
      <c r="HH26" s="1452"/>
      <c r="HI26" s="1452"/>
      <c r="HJ26" s="1452"/>
      <c r="HK26" s="1452"/>
      <c r="HL26" s="1452"/>
      <c r="HM26" s="1452"/>
      <c r="HN26" s="1452"/>
      <c r="HO26" s="1452"/>
      <c r="HP26" s="1452"/>
      <c r="HQ26" s="1452"/>
      <c r="HR26" s="1452"/>
      <c r="HS26" s="1452"/>
      <c r="HT26" s="1452"/>
      <c r="HU26" s="1452"/>
      <c r="HV26" s="1452"/>
      <c r="HW26" s="1452"/>
      <c r="HX26" s="1452"/>
      <c r="HY26" s="1452"/>
      <c r="HZ26" s="1452"/>
      <c r="IA26" s="1452"/>
      <c r="IB26" s="1452"/>
      <c r="IC26" s="1452"/>
      <c r="ID26" s="1452"/>
      <c r="IE26" s="1452"/>
      <c r="IF26" s="1452"/>
      <c r="IG26" s="1452"/>
      <c r="IH26" s="1452"/>
      <c r="II26" s="1452"/>
      <c r="IJ26" s="1452"/>
      <c r="IK26" s="1452"/>
      <c r="IL26" s="1452"/>
      <c r="IM26" s="1452"/>
      <c r="IN26" s="1452"/>
      <c r="IO26" s="1452"/>
      <c r="IP26" s="1452"/>
      <c r="IQ26" s="1452"/>
      <c r="IR26" s="1452"/>
      <c r="IS26" s="1452"/>
      <c r="IT26" s="1452"/>
      <c r="IU26" s="1452"/>
      <c r="IV26" s="1452"/>
    </row>
    <row r="27" spans="1:256" ht="27" customHeight="1">
      <c r="A27" s="1445"/>
      <c r="B27" s="1458"/>
      <c r="C27" s="1445"/>
      <c r="D27" s="1445"/>
      <c r="E27" s="1448"/>
      <c r="F27" s="1448"/>
      <c r="G27" s="1459" t="s">
        <v>4209</v>
      </c>
      <c r="H27" s="1456">
        <f>ROUNDUP(H26,1)</f>
        <v>23.1</v>
      </c>
      <c r="I27" s="1451"/>
      <c r="J27" s="1452"/>
      <c r="K27" s="1452"/>
      <c r="L27" s="1452"/>
      <c r="M27" s="1452"/>
      <c r="N27" s="1452"/>
      <c r="O27" s="1452"/>
      <c r="P27" s="1452"/>
      <c r="Q27" s="1452"/>
      <c r="R27" s="1452"/>
      <c r="S27" s="1452"/>
      <c r="T27" s="1452"/>
      <c r="U27" s="1452"/>
      <c r="V27" s="1452"/>
      <c r="W27" s="1452"/>
      <c r="X27" s="1452"/>
      <c r="Y27" s="1452"/>
      <c r="Z27" s="1452"/>
      <c r="AA27" s="1452"/>
      <c r="AB27" s="1452"/>
      <c r="AC27" s="1452"/>
      <c r="AD27" s="1452"/>
      <c r="AE27" s="1452"/>
      <c r="AF27" s="1452"/>
      <c r="AG27" s="1452"/>
      <c r="AH27" s="1452"/>
      <c r="AI27" s="1452"/>
      <c r="AJ27" s="1452"/>
      <c r="AK27" s="1452"/>
      <c r="AL27" s="1452"/>
      <c r="AM27" s="1452"/>
      <c r="AN27" s="1452"/>
      <c r="AO27" s="1452"/>
      <c r="AP27" s="1452"/>
      <c r="AQ27" s="1452"/>
      <c r="AR27" s="1452"/>
      <c r="AS27" s="1452"/>
      <c r="AT27" s="1452"/>
      <c r="AU27" s="1452"/>
      <c r="AV27" s="1452"/>
      <c r="AW27" s="1452"/>
      <c r="AX27" s="1452"/>
      <c r="AY27" s="1452"/>
      <c r="AZ27" s="1452"/>
      <c r="BA27" s="1452"/>
      <c r="BB27" s="1452"/>
      <c r="BC27" s="1452"/>
      <c r="BD27" s="1452"/>
      <c r="BE27" s="1452"/>
      <c r="BF27" s="1452"/>
      <c r="BG27" s="1452"/>
      <c r="BH27" s="1452"/>
      <c r="BI27" s="1452"/>
      <c r="BJ27" s="1452"/>
      <c r="BK27" s="1452"/>
      <c r="BL27" s="1452"/>
      <c r="BM27" s="1452"/>
      <c r="BN27" s="1452"/>
      <c r="BO27" s="1452"/>
      <c r="BP27" s="1452"/>
      <c r="BQ27" s="1452"/>
      <c r="BR27" s="1452"/>
      <c r="BS27" s="1452"/>
      <c r="BT27" s="1452"/>
      <c r="BU27" s="1452"/>
      <c r="BV27" s="1452"/>
      <c r="BW27" s="1452"/>
      <c r="BX27" s="1452"/>
      <c r="BY27" s="1452"/>
      <c r="BZ27" s="1452"/>
      <c r="CA27" s="1452"/>
      <c r="CB27" s="1452"/>
      <c r="CC27" s="1452"/>
      <c r="CD27" s="1452"/>
      <c r="CE27" s="1452"/>
      <c r="CF27" s="1452"/>
      <c r="CG27" s="1452"/>
      <c r="CH27" s="1452"/>
      <c r="CI27" s="1452"/>
      <c r="CJ27" s="1452"/>
      <c r="CK27" s="1452"/>
      <c r="CL27" s="1452"/>
      <c r="CM27" s="1452"/>
      <c r="CN27" s="1452"/>
      <c r="CO27" s="1452"/>
      <c r="CP27" s="1452"/>
      <c r="CQ27" s="1452"/>
      <c r="CR27" s="1452"/>
      <c r="CS27" s="1452"/>
      <c r="CT27" s="1452"/>
      <c r="CU27" s="1452"/>
      <c r="CV27" s="1452"/>
      <c r="CW27" s="1452"/>
      <c r="CX27" s="1452"/>
      <c r="CY27" s="1452"/>
      <c r="CZ27" s="1452"/>
      <c r="DA27" s="1452"/>
      <c r="DB27" s="1452"/>
      <c r="DC27" s="1452"/>
      <c r="DD27" s="1452"/>
      <c r="DE27" s="1452"/>
      <c r="DF27" s="1452"/>
      <c r="DG27" s="1452"/>
      <c r="DH27" s="1452"/>
      <c r="DI27" s="1452"/>
      <c r="DJ27" s="1452"/>
      <c r="DK27" s="1452"/>
      <c r="DL27" s="1452"/>
      <c r="DM27" s="1452"/>
      <c r="DN27" s="1452"/>
      <c r="DO27" s="1452"/>
      <c r="DP27" s="1452"/>
      <c r="DQ27" s="1452"/>
      <c r="DR27" s="1452"/>
      <c r="DS27" s="1452"/>
      <c r="DT27" s="1452"/>
      <c r="DU27" s="1452"/>
      <c r="DV27" s="1452"/>
      <c r="DW27" s="1452"/>
      <c r="DX27" s="1452"/>
      <c r="DY27" s="1452"/>
      <c r="DZ27" s="1452"/>
      <c r="EA27" s="1452"/>
      <c r="EB27" s="1452"/>
      <c r="EC27" s="1452"/>
      <c r="ED27" s="1452"/>
      <c r="EE27" s="1452"/>
      <c r="EF27" s="1452"/>
      <c r="EG27" s="1452"/>
      <c r="EH27" s="1452"/>
      <c r="EI27" s="1452"/>
      <c r="EJ27" s="1452"/>
      <c r="EK27" s="1452"/>
      <c r="EL27" s="1452"/>
      <c r="EM27" s="1452"/>
      <c r="EN27" s="1452"/>
      <c r="EO27" s="1452"/>
      <c r="EP27" s="1452"/>
      <c r="EQ27" s="1452"/>
      <c r="ER27" s="1452"/>
      <c r="ES27" s="1452"/>
      <c r="ET27" s="1452"/>
      <c r="EU27" s="1452"/>
      <c r="EV27" s="1452"/>
      <c r="EW27" s="1452"/>
      <c r="EX27" s="1452"/>
      <c r="EY27" s="1452"/>
      <c r="EZ27" s="1452"/>
      <c r="FA27" s="1452"/>
      <c r="FB27" s="1452"/>
      <c r="FC27" s="1452"/>
      <c r="FD27" s="1452"/>
      <c r="FE27" s="1452"/>
      <c r="FF27" s="1452"/>
      <c r="FG27" s="1452"/>
      <c r="FH27" s="1452"/>
      <c r="FI27" s="1452"/>
      <c r="FJ27" s="1452"/>
      <c r="FK27" s="1452"/>
      <c r="FL27" s="1452"/>
      <c r="FM27" s="1452"/>
      <c r="FN27" s="1452"/>
      <c r="FO27" s="1452"/>
      <c r="FP27" s="1452"/>
      <c r="FQ27" s="1452"/>
      <c r="FR27" s="1452"/>
      <c r="FS27" s="1452"/>
      <c r="FT27" s="1452"/>
      <c r="FU27" s="1452"/>
      <c r="FV27" s="1452"/>
      <c r="FW27" s="1452"/>
      <c r="FX27" s="1452"/>
      <c r="FY27" s="1452"/>
      <c r="FZ27" s="1452"/>
      <c r="GA27" s="1452"/>
      <c r="GB27" s="1452"/>
      <c r="GC27" s="1452"/>
      <c r="GD27" s="1452"/>
      <c r="GE27" s="1452"/>
      <c r="GF27" s="1452"/>
      <c r="GG27" s="1452"/>
      <c r="GH27" s="1452"/>
      <c r="GI27" s="1452"/>
      <c r="GJ27" s="1452"/>
      <c r="GK27" s="1452"/>
      <c r="GL27" s="1452"/>
      <c r="GM27" s="1452"/>
      <c r="GN27" s="1452"/>
      <c r="GO27" s="1452"/>
      <c r="GP27" s="1452"/>
      <c r="GQ27" s="1452"/>
      <c r="GR27" s="1452"/>
      <c r="GS27" s="1452"/>
      <c r="GT27" s="1452"/>
      <c r="GU27" s="1452"/>
      <c r="GV27" s="1452"/>
      <c r="GW27" s="1452"/>
      <c r="GX27" s="1452"/>
      <c r="GY27" s="1452"/>
      <c r="GZ27" s="1452"/>
      <c r="HA27" s="1452"/>
      <c r="HB27" s="1452"/>
      <c r="HC27" s="1452"/>
      <c r="HD27" s="1452"/>
      <c r="HE27" s="1452"/>
      <c r="HF27" s="1452"/>
      <c r="HG27" s="1452"/>
      <c r="HH27" s="1452"/>
      <c r="HI27" s="1452"/>
      <c r="HJ27" s="1452"/>
      <c r="HK27" s="1452"/>
      <c r="HL27" s="1452"/>
      <c r="HM27" s="1452"/>
      <c r="HN27" s="1452"/>
      <c r="HO27" s="1452"/>
      <c r="HP27" s="1452"/>
      <c r="HQ27" s="1452"/>
      <c r="HR27" s="1452"/>
      <c r="HS27" s="1452"/>
      <c r="HT27" s="1452"/>
      <c r="HU27" s="1452"/>
      <c r="HV27" s="1452"/>
      <c r="HW27" s="1452"/>
      <c r="HX27" s="1452"/>
      <c r="HY27" s="1452"/>
      <c r="HZ27" s="1452"/>
      <c r="IA27" s="1452"/>
      <c r="IB27" s="1452"/>
      <c r="IC27" s="1452"/>
      <c r="ID27" s="1452"/>
      <c r="IE27" s="1452"/>
      <c r="IF27" s="1452"/>
      <c r="IG27" s="1452"/>
      <c r="IH27" s="1452"/>
      <c r="II27" s="1452"/>
      <c r="IJ27" s="1452"/>
      <c r="IK27" s="1452"/>
      <c r="IL27" s="1452"/>
      <c r="IM27" s="1452"/>
      <c r="IN27" s="1452"/>
      <c r="IO27" s="1452"/>
      <c r="IP27" s="1452"/>
      <c r="IQ27" s="1452"/>
      <c r="IR27" s="1452"/>
      <c r="IS27" s="1452"/>
      <c r="IT27" s="1452"/>
      <c r="IU27" s="1452"/>
      <c r="IV27" s="1452"/>
    </row>
    <row r="28" spans="1:256" ht="27" customHeight="1">
      <c r="A28" s="1445"/>
      <c r="B28" s="1457" t="s">
        <v>7147</v>
      </c>
      <c r="C28" s="1445"/>
      <c r="D28" s="1445"/>
      <c r="E28" s="1450"/>
      <c r="F28" s="1450"/>
      <c r="G28" s="1450"/>
      <c r="H28" s="1450"/>
      <c r="I28" s="1451"/>
      <c r="J28" s="1452"/>
      <c r="K28" s="1452"/>
      <c r="L28" s="1452"/>
      <c r="M28" s="1452"/>
      <c r="N28" s="1452"/>
      <c r="O28" s="1452"/>
      <c r="P28" s="1452"/>
      <c r="Q28" s="1452"/>
      <c r="R28" s="1452"/>
      <c r="S28" s="1452"/>
      <c r="T28" s="1452"/>
      <c r="U28" s="1452"/>
      <c r="V28" s="1452"/>
      <c r="W28" s="1452"/>
      <c r="X28" s="1452"/>
      <c r="Y28" s="1452"/>
      <c r="Z28" s="1452"/>
      <c r="AA28" s="1452"/>
      <c r="AB28" s="1452"/>
      <c r="AC28" s="1452"/>
      <c r="AD28" s="1452"/>
      <c r="AE28" s="1452"/>
      <c r="AF28" s="1452"/>
      <c r="AG28" s="1452"/>
      <c r="AH28" s="1452"/>
      <c r="AI28" s="1452"/>
      <c r="AJ28" s="1452"/>
      <c r="AK28" s="1452"/>
      <c r="AL28" s="1452"/>
      <c r="AM28" s="1452"/>
      <c r="AN28" s="1452"/>
      <c r="AO28" s="1452"/>
      <c r="AP28" s="1452"/>
      <c r="AQ28" s="1452"/>
      <c r="AR28" s="1452"/>
      <c r="AS28" s="1452"/>
      <c r="AT28" s="1452"/>
      <c r="AU28" s="1452"/>
      <c r="AV28" s="1452"/>
      <c r="AW28" s="1452"/>
      <c r="AX28" s="1452"/>
      <c r="AY28" s="1452"/>
      <c r="AZ28" s="1452"/>
      <c r="BA28" s="1452"/>
      <c r="BB28" s="1452"/>
      <c r="BC28" s="1452"/>
      <c r="BD28" s="1452"/>
      <c r="BE28" s="1452"/>
      <c r="BF28" s="1452"/>
      <c r="BG28" s="1452"/>
      <c r="BH28" s="1452"/>
      <c r="BI28" s="1452"/>
      <c r="BJ28" s="1452"/>
      <c r="BK28" s="1452"/>
      <c r="BL28" s="1452"/>
      <c r="BM28" s="1452"/>
      <c r="BN28" s="1452"/>
      <c r="BO28" s="1452"/>
      <c r="BP28" s="1452"/>
      <c r="BQ28" s="1452"/>
      <c r="BR28" s="1452"/>
      <c r="BS28" s="1452"/>
      <c r="BT28" s="1452"/>
      <c r="BU28" s="1452"/>
      <c r="BV28" s="1452"/>
      <c r="BW28" s="1452"/>
      <c r="BX28" s="1452"/>
      <c r="BY28" s="1452"/>
      <c r="BZ28" s="1452"/>
      <c r="CA28" s="1452"/>
      <c r="CB28" s="1452"/>
      <c r="CC28" s="1452"/>
      <c r="CD28" s="1452"/>
      <c r="CE28" s="1452"/>
      <c r="CF28" s="1452"/>
      <c r="CG28" s="1452"/>
      <c r="CH28" s="1452"/>
      <c r="CI28" s="1452"/>
      <c r="CJ28" s="1452"/>
      <c r="CK28" s="1452"/>
      <c r="CL28" s="1452"/>
      <c r="CM28" s="1452"/>
      <c r="CN28" s="1452"/>
      <c r="CO28" s="1452"/>
      <c r="CP28" s="1452"/>
      <c r="CQ28" s="1452"/>
      <c r="CR28" s="1452"/>
      <c r="CS28" s="1452"/>
      <c r="CT28" s="1452"/>
      <c r="CU28" s="1452"/>
      <c r="CV28" s="1452"/>
      <c r="CW28" s="1452"/>
      <c r="CX28" s="1452"/>
      <c r="CY28" s="1452"/>
      <c r="CZ28" s="1452"/>
      <c r="DA28" s="1452"/>
      <c r="DB28" s="1452"/>
      <c r="DC28" s="1452"/>
      <c r="DD28" s="1452"/>
      <c r="DE28" s="1452"/>
      <c r="DF28" s="1452"/>
      <c r="DG28" s="1452"/>
      <c r="DH28" s="1452"/>
      <c r="DI28" s="1452"/>
      <c r="DJ28" s="1452"/>
      <c r="DK28" s="1452"/>
      <c r="DL28" s="1452"/>
      <c r="DM28" s="1452"/>
      <c r="DN28" s="1452"/>
      <c r="DO28" s="1452"/>
      <c r="DP28" s="1452"/>
      <c r="DQ28" s="1452"/>
      <c r="DR28" s="1452"/>
      <c r="DS28" s="1452"/>
      <c r="DT28" s="1452"/>
      <c r="DU28" s="1452"/>
      <c r="DV28" s="1452"/>
      <c r="DW28" s="1452"/>
      <c r="DX28" s="1452"/>
      <c r="DY28" s="1452"/>
      <c r="DZ28" s="1452"/>
      <c r="EA28" s="1452"/>
      <c r="EB28" s="1452"/>
      <c r="EC28" s="1452"/>
      <c r="ED28" s="1452"/>
      <c r="EE28" s="1452"/>
      <c r="EF28" s="1452"/>
      <c r="EG28" s="1452"/>
      <c r="EH28" s="1452"/>
      <c r="EI28" s="1452"/>
      <c r="EJ28" s="1452"/>
      <c r="EK28" s="1452"/>
      <c r="EL28" s="1452"/>
      <c r="EM28" s="1452"/>
      <c r="EN28" s="1452"/>
      <c r="EO28" s="1452"/>
      <c r="EP28" s="1452"/>
      <c r="EQ28" s="1452"/>
      <c r="ER28" s="1452"/>
      <c r="ES28" s="1452"/>
      <c r="ET28" s="1452"/>
      <c r="EU28" s="1452"/>
      <c r="EV28" s="1452"/>
      <c r="EW28" s="1452"/>
      <c r="EX28" s="1452"/>
      <c r="EY28" s="1452"/>
      <c r="EZ28" s="1452"/>
      <c r="FA28" s="1452"/>
      <c r="FB28" s="1452"/>
      <c r="FC28" s="1452"/>
      <c r="FD28" s="1452"/>
      <c r="FE28" s="1452"/>
      <c r="FF28" s="1452"/>
      <c r="FG28" s="1452"/>
      <c r="FH28" s="1452"/>
      <c r="FI28" s="1452"/>
      <c r="FJ28" s="1452"/>
      <c r="FK28" s="1452"/>
      <c r="FL28" s="1452"/>
      <c r="FM28" s="1452"/>
      <c r="FN28" s="1452"/>
      <c r="FO28" s="1452"/>
      <c r="FP28" s="1452"/>
      <c r="FQ28" s="1452"/>
      <c r="FR28" s="1452"/>
      <c r="FS28" s="1452"/>
      <c r="FT28" s="1452"/>
      <c r="FU28" s="1452"/>
      <c r="FV28" s="1452"/>
      <c r="FW28" s="1452"/>
      <c r="FX28" s="1452"/>
      <c r="FY28" s="1452"/>
      <c r="FZ28" s="1452"/>
      <c r="GA28" s="1452"/>
      <c r="GB28" s="1452"/>
      <c r="GC28" s="1452"/>
      <c r="GD28" s="1452"/>
      <c r="GE28" s="1452"/>
      <c r="GF28" s="1452"/>
      <c r="GG28" s="1452"/>
      <c r="GH28" s="1452"/>
      <c r="GI28" s="1452"/>
      <c r="GJ28" s="1452"/>
      <c r="GK28" s="1452"/>
      <c r="GL28" s="1452"/>
      <c r="GM28" s="1452"/>
      <c r="GN28" s="1452"/>
      <c r="GO28" s="1452"/>
      <c r="GP28" s="1452"/>
      <c r="GQ28" s="1452"/>
      <c r="GR28" s="1452"/>
      <c r="GS28" s="1452"/>
      <c r="GT28" s="1452"/>
      <c r="GU28" s="1452"/>
      <c r="GV28" s="1452"/>
      <c r="GW28" s="1452"/>
      <c r="GX28" s="1452"/>
      <c r="GY28" s="1452"/>
      <c r="GZ28" s="1452"/>
      <c r="HA28" s="1452"/>
      <c r="HB28" s="1452"/>
      <c r="HC28" s="1452"/>
      <c r="HD28" s="1452"/>
      <c r="HE28" s="1452"/>
      <c r="HF28" s="1452"/>
      <c r="HG28" s="1452"/>
      <c r="HH28" s="1452"/>
      <c r="HI28" s="1452"/>
      <c r="HJ28" s="1452"/>
      <c r="HK28" s="1452"/>
      <c r="HL28" s="1452"/>
      <c r="HM28" s="1452"/>
      <c r="HN28" s="1452"/>
      <c r="HO28" s="1452"/>
      <c r="HP28" s="1452"/>
      <c r="HQ28" s="1452"/>
      <c r="HR28" s="1452"/>
      <c r="HS28" s="1452"/>
      <c r="HT28" s="1452"/>
      <c r="HU28" s="1452"/>
      <c r="HV28" s="1452"/>
      <c r="HW28" s="1452"/>
      <c r="HX28" s="1452"/>
      <c r="HY28" s="1452"/>
      <c r="HZ28" s="1452"/>
      <c r="IA28" s="1452"/>
      <c r="IB28" s="1452"/>
      <c r="IC28" s="1452"/>
      <c r="ID28" s="1452"/>
      <c r="IE28" s="1452"/>
      <c r="IF28" s="1452"/>
      <c r="IG28" s="1452"/>
      <c r="IH28" s="1452"/>
      <c r="II28" s="1452"/>
      <c r="IJ28" s="1452"/>
      <c r="IK28" s="1452"/>
      <c r="IL28" s="1452"/>
      <c r="IM28" s="1452"/>
      <c r="IN28" s="1452"/>
      <c r="IO28" s="1452"/>
      <c r="IP28" s="1452"/>
      <c r="IQ28" s="1452"/>
      <c r="IR28" s="1452"/>
      <c r="IS28" s="1452"/>
      <c r="IT28" s="1452"/>
      <c r="IU28" s="1452"/>
      <c r="IV28" s="1452"/>
    </row>
    <row r="29" spans="1:256" ht="24.75" customHeight="1">
      <c r="A29" s="1445"/>
      <c r="B29" s="1454" t="s">
        <v>7140</v>
      </c>
      <c r="C29" s="1455">
        <v>1</v>
      </c>
      <c r="D29" s="1455">
        <v>4</v>
      </c>
      <c r="E29" s="1450">
        <f>(0.38+0.23)*2</f>
        <v>1.22</v>
      </c>
      <c r="F29" s="1448"/>
      <c r="G29" s="1450">
        <v>0.9</v>
      </c>
      <c r="H29" s="1450">
        <f>PRODUCT(C29:G29)</f>
        <v>4.3899999999999997</v>
      </c>
      <c r="I29" s="1451"/>
      <c r="J29" s="1452"/>
      <c r="K29" s="1452"/>
      <c r="L29" s="1452"/>
      <c r="M29" s="1452"/>
      <c r="N29" s="1452"/>
      <c r="O29" s="1452"/>
      <c r="P29" s="1452"/>
      <c r="Q29" s="1452"/>
      <c r="R29" s="1452"/>
      <c r="S29" s="1452"/>
      <c r="T29" s="1452"/>
      <c r="U29" s="1452"/>
      <c r="V29" s="1452"/>
      <c r="W29" s="1452"/>
      <c r="X29" s="1452"/>
      <c r="Y29" s="1452"/>
      <c r="Z29" s="1452"/>
      <c r="AA29" s="1452"/>
      <c r="AB29" s="1452"/>
      <c r="AC29" s="1452"/>
      <c r="AD29" s="1452"/>
      <c r="AE29" s="1452"/>
      <c r="AF29" s="1452"/>
      <c r="AG29" s="1452"/>
      <c r="AH29" s="1452"/>
      <c r="AI29" s="1452"/>
      <c r="AJ29" s="1452"/>
      <c r="AK29" s="1452"/>
      <c r="AL29" s="1452"/>
      <c r="AM29" s="1452"/>
      <c r="AN29" s="1452"/>
      <c r="AO29" s="1452"/>
      <c r="AP29" s="1452"/>
      <c r="AQ29" s="1452"/>
      <c r="AR29" s="1452"/>
      <c r="AS29" s="1452"/>
      <c r="AT29" s="1452"/>
      <c r="AU29" s="1452"/>
      <c r="AV29" s="1452"/>
      <c r="AW29" s="1452"/>
      <c r="AX29" s="1452"/>
      <c r="AY29" s="1452"/>
      <c r="AZ29" s="1452"/>
      <c r="BA29" s="1452"/>
      <c r="BB29" s="1452"/>
      <c r="BC29" s="1452"/>
      <c r="BD29" s="1452"/>
      <c r="BE29" s="1452"/>
      <c r="BF29" s="1452"/>
      <c r="BG29" s="1452"/>
      <c r="BH29" s="1452"/>
      <c r="BI29" s="1452"/>
      <c r="BJ29" s="1452"/>
      <c r="BK29" s="1452"/>
      <c r="BL29" s="1452"/>
      <c r="BM29" s="1452"/>
      <c r="BN29" s="1452"/>
      <c r="BO29" s="1452"/>
      <c r="BP29" s="1452"/>
      <c r="BQ29" s="1452"/>
      <c r="BR29" s="1452"/>
      <c r="BS29" s="1452"/>
      <c r="BT29" s="1452"/>
      <c r="BU29" s="1452"/>
      <c r="BV29" s="1452"/>
      <c r="BW29" s="1452"/>
      <c r="BX29" s="1452"/>
      <c r="BY29" s="1452"/>
      <c r="BZ29" s="1452"/>
      <c r="CA29" s="1452"/>
      <c r="CB29" s="1452"/>
      <c r="CC29" s="1452"/>
      <c r="CD29" s="1452"/>
      <c r="CE29" s="1452"/>
      <c r="CF29" s="1452"/>
      <c r="CG29" s="1452"/>
      <c r="CH29" s="1452"/>
      <c r="CI29" s="1452"/>
      <c r="CJ29" s="1452"/>
      <c r="CK29" s="1452"/>
      <c r="CL29" s="1452"/>
      <c r="CM29" s="1452"/>
      <c r="CN29" s="1452"/>
      <c r="CO29" s="1452"/>
      <c r="CP29" s="1452"/>
      <c r="CQ29" s="1452"/>
      <c r="CR29" s="1452"/>
      <c r="CS29" s="1452"/>
      <c r="CT29" s="1452"/>
      <c r="CU29" s="1452"/>
      <c r="CV29" s="1452"/>
      <c r="CW29" s="1452"/>
      <c r="CX29" s="1452"/>
      <c r="CY29" s="1452"/>
      <c r="CZ29" s="1452"/>
      <c r="DA29" s="1452"/>
      <c r="DB29" s="1452"/>
      <c r="DC29" s="1452"/>
      <c r="DD29" s="1452"/>
      <c r="DE29" s="1452"/>
      <c r="DF29" s="1452"/>
      <c r="DG29" s="1452"/>
      <c r="DH29" s="1452"/>
      <c r="DI29" s="1452"/>
      <c r="DJ29" s="1452"/>
      <c r="DK29" s="1452"/>
      <c r="DL29" s="1452"/>
      <c r="DM29" s="1452"/>
      <c r="DN29" s="1452"/>
      <c r="DO29" s="1452"/>
      <c r="DP29" s="1452"/>
      <c r="DQ29" s="1452"/>
      <c r="DR29" s="1452"/>
      <c r="DS29" s="1452"/>
      <c r="DT29" s="1452"/>
      <c r="DU29" s="1452"/>
      <c r="DV29" s="1452"/>
      <c r="DW29" s="1452"/>
      <c r="DX29" s="1452"/>
      <c r="DY29" s="1452"/>
      <c r="DZ29" s="1452"/>
      <c r="EA29" s="1452"/>
      <c r="EB29" s="1452"/>
      <c r="EC29" s="1452"/>
      <c r="ED29" s="1452"/>
      <c r="EE29" s="1452"/>
      <c r="EF29" s="1452"/>
      <c r="EG29" s="1452"/>
      <c r="EH29" s="1452"/>
      <c r="EI29" s="1452"/>
      <c r="EJ29" s="1452"/>
      <c r="EK29" s="1452"/>
      <c r="EL29" s="1452"/>
      <c r="EM29" s="1452"/>
      <c r="EN29" s="1452"/>
      <c r="EO29" s="1452"/>
      <c r="EP29" s="1452"/>
      <c r="EQ29" s="1452"/>
      <c r="ER29" s="1452"/>
      <c r="ES29" s="1452"/>
      <c r="ET29" s="1452"/>
      <c r="EU29" s="1452"/>
      <c r="EV29" s="1452"/>
      <c r="EW29" s="1452"/>
      <c r="EX29" s="1452"/>
      <c r="EY29" s="1452"/>
      <c r="EZ29" s="1452"/>
      <c r="FA29" s="1452"/>
      <c r="FB29" s="1452"/>
      <c r="FC29" s="1452"/>
      <c r="FD29" s="1452"/>
      <c r="FE29" s="1452"/>
      <c r="FF29" s="1452"/>
      <c r="FG29" s="1452"/>
      <c r="FH29" s="1452"/>
      <c r="FI29" s="1452"/>
      <c r="FJ29" s="1452"/>
      <c r="FK29" s="1452"/>
      <c r="FL29" s="1452"/>
      <c r="FM29" s="1452"/>
      <c r="FN29" s="1452"/>
      <c r="FO29" s="1452"/>
      <c r="FP29" s="1452"/>
      <c r="FQ29" s="1452"/>
      <c r="FR29" s="1452"/>
      <c r="FS29" s="1452"/>
      <c r="FT29" s="1452"/>
      <c r="FU29" s="1452"/>
      <c r="FV29" s="1452"/>
      <c r="FW29" s="1452"/>
      <c r="FX29" s="1452"/>
      <c r="FY29" s="1452"/>
      <c r="FZ29" s="1452"/>
      <c r="GA29" s="1452"/>
      <c r="GB29" s="1452"/>
      <c r="GC29" s="1452"/>
      <c r="GD29" s="1452"/>
      <c r="GE29" s="1452"/>
      <c r="GF29" s="1452"/>
      <c r="GG29" s="1452"/>
      <c r="GH29" s="1452"/>
      <c r="GI29" s="1452"/>
      <c r="GJ29" s="1452"/>
      <c r="GK29" s="1452"/>
      <c r="GL29" s="1452"/>
      <c r="GM29" s="1452"/>
      <c r="GN29" s="1452"/>
      <c r="GO29" s="1452"/>
      <c r="GP29" s="1452"/>
      <c r="GQ29" s="1452"/>
      <c r="GR29" s="1452"/>
      <c r="GS29" s="1452"/>
      <c r="GT29" s="1452"/>
      <c r="GU29" s="1452"/>
      <c r="GV29" s="1452"/>
      <c r="GW29" s="1452"/>
      <c r="GX29" s="1452"/>
      <c r="GY29" s="1452"/>
      <c r="GZ29" s="1452"/>
      <c r="HA29" s="1452"/>
      <c r="HB29" s="1452"/>
      <c r="HC29" s="1452"/>
      <c r="HD29" s="1452"/>
      <c r="HE29" s="1452"/>
      <c r="HF29" s="1452"/>
      <c r="HG29" s="1452"/>
      <c r="HH29" s="1452"/>
      <c r="HI29" s="1452"/>
      <c r="HJ29" s="1452"/>
      <c r="HK29" s="1452"/>
      <c r="HL29" s="1452"/>
      <c r="HM29" s="1452"/>
      <c r="HN29" s="1452"/>
      <c r="HO29" s="1452"/>
      <c r="HP29" s="1452"/>
      <c r="HQ29" s="1452"/>
      <c r="HR29" s="1452"/>
      <c r="HS29" s="1452"/>
      <c r="HT29" s="1452"/>
      <c r="HU29" s="1452"/>
      <c r="HV29" s="1452"/>
      <c r="HW29" s="1452"/>
      <c r="HX29" s="1452"/>
      <c r="HY29" s="1452"/>
      <c r="HZ29" s="1452"/>
      <c r="IA29" s="1452"/>
      <c r="IB29" s="1452"/>
      <c r="IC29" s="1452"/>
      <c r="ID29" s="1452"/>
      <c r="IE29" s="1452"/>
      <c r="IF29" s="1452"/>
      <c r="IG29" s="1452"/>
      <c r="IH29" s="1452"/>
      <c r="II29" s="1452"/>
      <c r="IJ29" s="1452"/>
      <c r="IK29" s="1452"/>
      <c r="IL29" s="1452"/>
      <c r="IM29" s="1452"/>
      <c r="IN29" s="1452"/>
      <c r="IO29" s="1452"/>
      <c r="IP29" s="1452"/>
      <c r="IQ29" s="1452"/>
      <c r="IR29" s="1452"/>
      <c r="IS29" s="1452"/>
      <c r="IT29" s="1452"/>
      <c r="IU29" s="1452"/>
      <c r="IV29" s="1452"/>
    </row>
    <row r="30" spans="1:256" ht="27" customHeight="1">
      <c r="A30" s="1458"/>
      <c r="B30" s="1458"/>
      <c r="C30" s="1445"/>
      <c r="D30" s="1445"/>
      <c r="E30" s="1448"/>
      <c r="F30" s="1448"/>
      <c r="G30" s="1459" t="s">
        <v>2235</v>
      </c>
      <c r="H30" s="1456">
        <f>SUM(H29)</f>
        <v>4.3899999999999997</v>
      </c>
      <c r="I30" s="1451" t="s">
        <v>2273</v>
      </c>
      <c r="J30" s="1452"/>
      <c r="K30" s="1452"/>
      <c r="L30" s="1452"/>
      <c r="M30" s="1452"/>
      <c r="N30" s="1452"/>
      <c r="O30" s="1452"/>
      <c r="P30" s="1452"/>
      <c r="Q30" s="1452"/>
      <c r="R30" s="1452"/>
      <c r="S30" s="1452"/>
      <c r="T30" s="1452"/>
      <c r="U30" s="1452"/>
      <c r="V30" s="1452"/>
      <c r="W30" s="1452"/>
      <c r="X30" s="1452"/>
      <c r="Y30" s="1452"/>
      <c r="Z30" s="1452"/>
      <c r="AA30" s="1452"/>
      <c r="AB30" s="1452"/>
      <c r="AC30" s="1452"/>
      <c r="AD30" s="1452"/>
      <c r="AE30" s="1452"/>
      <c r="AF30" s="1452"/>
      <c r="AG30" s="1452"/>
      <c r="AH30" s="1452"/>
      <c r="AI30" s="1452"/>
      <c r="AJ30" s="1452"/>
      <c r="AK30" s="1452"/>
      <c r="AL30" s="1452"/>
      <c r="AM30" s="1452"/>
      <c r="AN30" s="1452"/>
      <c r="AO30" s="1452"/>
      <c r="AP30" s="1452"/>
      <c r="AQ30" s="1452"/>
      <c r="AR30" s="1452"/>
      <c r="AS30" s="1452"/>
      <c r="AT30" s="1452"/>
      <c r="AU30" s="1452"/>
      <c r="AV30" s="1452"/>
      <c r="AW30" s="1452"/>
      <c r="AX30" s="1452"/>
      <c r="AY30" s="1452"/>
      <c r="AZ30" s="1452"/>
      <c r="BA30" s="1452"/>
      <c r="BB30" s="1452"/>
      <c r="BC30" s="1452"/>
      <c r="BD30" s="1452"/>
      <c r="BE30" s="1452"/>
      <c r="BF30" s="1452"/>
      <c r="BG30" s="1452"/>
      <c r="BH30" s="1452"/>
      <c r="BI30" s="1452"/>
      <c r="BJ30" s="1452"/>
      <c r="BK30" s="1452"/>
      <c r="BL30" s="1452"/>
      <c r="BM30" s="1452"/>
      <c r="BN30" s="1452"/>
      <c r="BO30" s="1452"/>
      <c r="BP30" s="1452"/>
      <c r="BQ30" s="1452"/>
      <c r="BR30" s="1452"/>
      <c r="BS30" s="1452"/>
      <c r="BT30" s="1452"/>
      <c r="BU30" s="1452"/>
      <c r="BV30" s="1452"/>
      <c r="BW30" s="1452"/>
      <c r="BX30" s="1452"/>
      <c r="BY30" s="1452"/>
      <c r="BZ30" s="1452"/>
      <c r="CA30" s="1452"/>
      <c r="CB30" s="1452"/>
      <c r="CC30" s="1452"/>
      <c r="CD30" s="1452"/>
      <c r="CE30" s="1452"/>
      <c r="CF30" s="1452"/>
      <c r="CG30" s="1452"/>
      <c r="CH30" s="1452"/>
      <c r="CI30" s="1452"/>
      <c r="CJ30" s="1452"/>
      <c r="CK30" s="1452"/>
      <c r="CL30" s="1452"/>
      <c r="CM30" s="1452"/>
      <c r="CN30" s="1452"/>
      <c r="CO30" s="1452"/>
      <c r="CP30" s="1452"/>
      <c r="CQ30" s="1452"/>
      <c r="CR30" s="1452"/>
      <c r="CS30" s="1452"/>
      <c r="CT30" s="1452"/>
      <c r="CU30" s="1452"/>
      <c r="CV30" s="1452"/>
      <c r="CW30" s="1452"/>
      <c r="CX30" s="1452"/>
      <c r="CY30" s="1452"/>
      <c r="CZ30" s="1452"/>
      <c r="DA30" s="1452"/>
      <c r="DB30" s="1452"/>
      <c r="DC30" s="1452"/>
      <c r="DD30" s="1452"/>
      <c r="DE30" s="1452"/>
      <c r="DF30" s="1452"/>
      <c r="DG30" s="1452"/>
      <c r="DH30" s="1452"/>
      <c r="DI30" s="1452"/>
      <c r="DJ30" s="1452"/>
      <c r="DK30" s="1452"/>
      <c r="DL30" s="1452"/>
      <c r="DM30" s="1452"/>
      <c r="DN30" s="1452"/>
      <c r="DO30" s="1452"/>
      <c r="DP30" s="1452"/>
      <c r="DQ30" s="1452"/>
      <c r="DR30" s="1452"/>
      <c r="DS30" s="1452"/>
      <c r="DT30" s="1452"/>
      <c r="DU30" s="1452"/>
      <c r="DV30" s="1452"/>
      <c r="DW30" s="1452"/>
      <c r="DX30" s="1452"/>
      <c r="DY30" s="1452"/>
      <c r="DZ30" s="1452"/>
      <c r="EA30" s="1452"/>
      <c r="EB30" s="1452"/>
      <c r="EC30" s="1452"/>
      <c r="ED30" s="1452"/>
      <c r="EE30" s="1452"/>
      <c r="EF30" s="1452"/>
      <c r="EG30" s="1452"/>
      <c r="EH30" s="1452"/>
      <c r="EI30" s="1452"/>
      <c r="EJ30" s="1452"/>
      <c r="EK30" s="1452"/>
      <c r="EL30" s="1452"/>
      <c r="EM30" s="1452"/>
      <c r="EN30" s="1452"/>
      <c r="EO30" s="1452"/>
      <c r="EP30" s="1452"/>
      <c r="EQ30" s="1452"/>
      <c r="ER30" s="1452"/>
      <c r="ES30" s="1452"/>
      <c r="ET30" s="1452"/>
      <c r="EU30" s="1452"/>
      <c r="EV30" s="1452"/>
      <c r="EW30" s="1452"/>
      <c r="EX30" s="1452"/>
      <c r="EY30" s="1452"/>
      <c r="EZ30" s="1452"/>
      <c r="FA30" s="1452"/>
      <c r="FB30" s="1452"/>
      <c r="FC30" s="1452"/>
      <c r="FD30" s="1452"/>
      <c r="FE30" s="1452"/>
      <c r="FF30" s="1452"/>
      <c r="FG30" s="1452"/>
      <c r="FH30" s="1452"/>
      <c r="FI30" s="1452"/>
      <c r="FJ30" s="1452"/>
      <c r="FK30" s="1452"/>
      <c r="FL30" s="1452"/>
      <c r="FM30" s="1452"/>
      <c r="FN30" s="1452"/>
      <c r="FO30" s="1452"/>
      <c r="FP30" s="1452"/>
      <c r="FQ30" s="1452"/>
      <c r="FR30" s="1452"/>
      <c r="FS30" s="1452"/>
      <c r="FT30" s="1452"/>
      <c r="FU30" s="1452"/>
      <c r="FV30" s="1452"/>
      <c r="FW30" s="1452"/>
      <c r="FX30" s="1452"/>
      <c r="FY30" s="1452"/>
      <c r="FZ30" s="1452"/>
      <c r="GA30" s="1452"/>
      <c r="GB30" s="1452"/>
      <c r="GC30" s="1452"/>
      <c r="GD30" s="1452"/>
      <c r="GE30" s="1452"/>
      <c r="GF30" s="1452"/>
      <c r="GG30" s="1452"/>
      <c r="GH30" s="1452"/>
      <c r="GI30" s="1452"/>
      <c r="GJ30" s="1452"/>
      <c r="GK30" s="1452"/>
      <c r="GL30" s="1452"/>
      <c r="GM30" s="1452"/>
      <c r="GN30" s="1452"/>
      <c r="GO30" s="1452"/>
      <c r="GP30" s="1452"/>
      <c r="GQ30" s="1452"/>
      <c r="GR30" s="1452"/>
      <c r="GS30" s="1452"/>
      <c r="GT30" s="1452"/>
      <c r="GU30" s="1452"/>
      <c r="GV30" s="1452"/>
      <c r="GW30" s="1452"/>
      <c r="GX30" s="1452"/>
      <c r="GY30" s="1452"/>
      <c r="GZ30" s="1452"/>
      <c r="HA30" s="1452"/>
      <c r="HB30" s="1452"/>
      <c r="HC30" s="1452"/>
      <c r="HD30" s="1452"/>
      <c r="HE30" s="1452"/>
      <c r="HF30" s="1452"/>
      <c r="HG30" s="1452"/>
      <c r="HH30" s="1452"/>
      <c r="HI30" s="1452"/>
      <c r="HJ30" s="1452"/>
      <c r="HK30" s="1452"/>
      <c r="HL30" s="1452"/>
      <c r="HM30" s="1452"/>
      <c r="HN30" s="1452"/>
      <c r="HO30" s="1452"/>
      <c r="HP30" s="1452"/>
      <c r="HQ30" s="1452"/>
      <c r="HR30" s="1452"/>
      <c r="HS30" s="1452"/>
      <c r="HT30" s="1452"/>
      <c r="HU30" s="1452"/>
      <c r="HV30" s="1452"/>
      <c r="HW30" s="1452"/>
      <c r="HX30" s="1452"/>
      <c r="HY30" s="1452"/>
      <c r="HZ30" s="1452"/>
      <c r="IA30" s="1452"/>
      <c r="IB30" s="1452"/>
      <c r="IC30" s="1452"/>
      <c r="ID30" s="1452"/>
      <c r="IE30" s="1452"/>
      <c r="IF30" s="1452"/>
      <c r="IG30" s="1452"/>
      <c r="IH30" s="1452"/>
      <c r="II30" s="1452"/>
      <c r="IJ30" s="1452"/>
      <c r="IK30" s="1452"/>
      <c r="IL30" s="1452"/>
      <c r="IM30" s="1452"/>
      <c r="IN30" s="1452"/>
      <c r="IO30" s="1452"/>
      <c r="IP30" s="1452"/>
      <c r="IQ30" s="1452"/>
      <c r="IR30" s="1452"/>
      <c r="IS30" s="1452"/>
      <c r="IT30" s="1452"/>
      <c r="IU30" s="1452"/>
      <c r="IV30" s="1452"/>
    </row>
    <row r="31" spans="1:256" ht="27" customHeight="1">
      <c r="A31" s="1445"/>
      <c r="B31" s="1458"/>
      <c r="C31" s="1445"/>
      <c r="D31" s="1445"/>
      <c r="E31" s="1448"/>
      <c r="F31" s="1448"/>
      <c r="G31" s="1459" t="s">
        <v>4209</v>
      </c>
      <c r="H31" s="1456">
        <f>ROUNDUP(H30,1)</f>
        <v>4.4000000000000004</v>
      </c>
      <c r="I31" s="1451"/>
      <c r="J31" s="1452"/>
      <c r="K31" s="1452"/>
      <c r="L31" s="1452"/>
      <c r="M31" s="1452"/>
      <c r="N31" s="1452"/>
      <c r="O31" s="1452"/>
      <c r="P31" s="1452"/>
      <c r="Q31" s="1452"/>
      <c r="R31" s="1452"/>
      <c r="S31" s="1452"/>
      <c r="T31" s="1452"/>
      <c r="U31" s="1452"/>
      <c r="V31" s="1452"/>
      <c r="W31" s="1452"/>
      <c r="X31" s="1452"/>
      <c r="Y31" s="1452"/>
      <c r="Z31" s="1452"/>
      <c r="AA31" s="1452"/>
      <c r="AB31" s="1452"/>
      <c r="AC31" s="1452"/>
      <c r="AD31" s="1452"/>
      <c r="AE31" s="1452"/>
      <c r="AF31" s="1452"/>
      <c r="AG31" s="1452"/>
      <c r="AH31" s="1452"/>
      <c r="AI31" s="1452"/>
      <c r="AJ31" s="1452"/>
      <c r="AK31" s="1452"/>
      <c r="AL31" s="1452"/>
      <c r="AM31" s="1452"/>
      <c r="AN31" s="1452"/>
      <c r="AO31" s="1452"/>
      <c r="AP31" s="1452"/>
      <c r="AQ31" s="1452"/>
      <c r="AR31" s="1452"/>
      <c r="AS31" s="1452"/>
      <c r="AT31" s="1452"/>
      <c r="AU31" s="1452"/>
      <c r="AV31" s="1452"/>
      <c r="AW31" s="1452"/>
      <c r="AX31" s="1452"/>
      <c r="AY31" s="1452"/>
      <c r="AZ31" s="1452"/>
      <c r="BA31" s="1452"/>
      <c r="BB31" s="1452"/>
      <c r="BC31" s="1452"/>
      <c r="BD31" s="1452"/>
      <c r="BE31" s="1452"/>
      <c r="BF31" s="1452"/>
      <c r="BG31" s="1452"/>
      <c r="BH31" s="1452"/>
      <c r="BI31" s="1452"/>
      <c r="BJ31" s="1452"/>
      <c r="BK31" s="1452"/>
      <c r="BL31" s="1452"/>
      <c r="BM31" s="1452"/>
      <c r="BN31" s="1452"/>
      <c r="BO31" s="1452"/>
      <c r="BP31" s="1452"/>
      <c r="BQ31" s="1452"/>
      <c r="BR31" s="1452"/>
      <c r="BS31" s="1452"/>
      <c r="BT31" s="1452"/>
      <c r="BU31" s="1452"/>
      <c r="BV31" s="1452"/>
      <c r="BW31" s="1452"/>
      <c r="BX31" s="1452"/>
      <c r="BY31" s="1452"/>
      <c r="BZ31" s="1452"/>
      <c r="CA31" s="1452"/>
      <c r="CB31" s="1452"/>
      <c r="CC31" s="1452"/>
      <c r="CD31" s="1452"/>
      <c r="CE31" s="1452"/>
      <c r="CF31" s="1452"/>
      <c r="CG31" s="1452"/>
      <c r="CH31" s="1452"/>
      <c r="CI31" s="1452"/>
      <c r="CJ31" s="1452"/>
      <c r="CK31" s="1452"/>
      <c r="CL31" s="1452"/>
      <c r="CM31" s="1452"/>
      <c r="CN31" s="1452"/>
      <c r="CO31" s="1452"/>
      <c r="CP31" s="1452"/>
      <c r="CQ31" s="1452"/>
      <c r="CR31" s="1452"/>
      <c r="CS31" s="1452"/>
      <c r="CT31" s="1452"/>
      <c r="CU31" s="1452"/>
      <c r="CV31" s="1452"/>
      <c r="CW31" s="1452"/>
      <c r="CX31" s="1452"/>
      <c r="CY31" s="1452"/>
      <c r="CZ31" s="1452"/>
      <c r="DA31" s="1452"/>
      <c r="DB31" s="1452"/>
      <c r="DC31" s="1452"/>
      <c r="DD31" s="1452"/>
      <c r="DE31" s="1452"/>
      <c r="DF31" s="1452"/>
      <c r="DG31" s="1452"/>
      <c r="DH31" s="1452"/>
      <c r="DI31" s="1452"/>
      <c r="DJ31" s="1452"/>
      <c r="DK31" s="1452"/>
      <c r="DL31" s="1452"/>
      <c r="DM31" s="1452"/>
      <c r="DN31" s="1452"/>
      <c r="DO31" s="1452"/>
      <c r="DP31" s="1452"/>
      <c r="DQ31" s="1452"/>
      <c r="DR31" s="1452"/>
      <c r="DS31" s="1452"/>
      <c r="DT31" s="1452"/>
      <c r="DU31" s="1452"/>
      <c r="DV31" s="1452"/>
      <c r="DW31" s="1452"/>
      <c r="DX31" s="1452"/>
      <c r="DY31" s="1452"/>
      <c r="DZ31" s="1452"/>
      <c r="EA31" s="1452"/>
      <c r="EB31" s="1452"/>
      <c r="EC31" s="1452"/>
      <c r="ED31" s="1452"/>
      <c r="EE31" s="1452"/>
      <c r="EF31" s="1452"/>
      <c r="EG31" s="1452"/>
      <c r="EH31" s="1452"/>
      <c r="EI31" s="1452"/>
      <c r="EJ31" s="1452"/>
      <c r="EK31" s="1452"/>
      <c r="EL31" s="1452"/>
      <c r="EM31" s="1452"/>
      <c r="EN31" s="1452"/>
      <c r="EO31" s="1452"/>
      <c r="EP31" s="1452"/>
      <c r="EQ31" s="1452"/>
      <c r="ER31" s="1452"/>
      <c r="ES31" s="1452"/>
      <c r="ET31" s="1452"/>
      <c r="EU31" s="1452"/>
      <c r="EV31" s="1452"/>
      <c r="EW31" s="1452"/>
      <c r="EX31" s="1452"/>
      <c r="EY31" s="1452"/>
      <c r="EZ31" s="1452"/>
      <c r="FA31" s="1452"/>
      <c r="FB31" s="1452"/>
      <c r="FC31" s="1452"/>
      <c r="FD31" s="1452"/>
      <c r="FE31" s="1452"/>
      <c r="FF31" s="1452"/>
      <c r="FG31" s="1452"/>
      <c r="FH31" s="1452"/>
      <c r="FI31" s="1452"/>
      <c r="FJ31" s="1452"/>
      <c r="FK31" s="1452"/>
      <c r="FL31" s="1452"/>
      <c r="FM31" s="1452"/>
      <c r="FN31" s="1452"/>
      <c r="FO31" s="1452"/>
      <c r="FP31" s="1452"/>
      <c r="FQ31" s="1452"/>
      <c r="FR31" s="1452"/>
      <c r="FS31" s="1452"/>
      <c r="FT31" s="1452"/>
      <c r="FU31" s="1452"/>
      <c r="FV31" s="1452"/>
      <c r="FW31" s="1452"/>
      <c r="FX31" s="1452"/>
      <c r="FY31" s="1452"/>
      <c r="FZ31" s="1452"/>
      <c r="GA31" s="1452"/>
      <c r="GB31" s="1452"/>
      <c r="GC31" s="1452"/>
      <c r="GD31" s="1452"/>
      <c r="GE31" s="1452"/>
      <c r="GF31" s="1452"/>
      <c r="GG31" s="1452"/>
      <c r="GH31" s="1452"/>
      <c r="GI31" s="1452"/>
      <c r="GJ31" s="1452"/>
      <c r="GK31" s="1452"/>
      <c r="GL31" s="1452"/>
      <c r="GM31" s="1452"/>
      <c r="GN31" s="1452"/>
      <c r="GO31" s="1452"/>
      <c r="GP31" s="1452"/>
      <c r="GQ31" s="1452"/>
      <c r="GR31" s="1452"/>
      <c r="GS31" s="1452"/>
      <c r="GT31" s="1452"/>
      <c r="GU31" s="1452"/>
      <c r="GV31" s="1452"/>
      <c r="GW31" s="1452"/>
      <c r="GX31" s="1452"/>
      <c r="GY31" s="1452"/>
      <c r="GZ31" s="1452"/>
      <c r="HA31" s="1452"/>
      <c r="HB31" s="1452"/>
      <c r="HC31" s="1452"/>
      <c r="HD31" s="1452"/>
      <c r="HE31" s="1452"/>
      <c r="HF31" s="1452"/>
      <c r="HG31" s="1452"/>
      <c r="HH31" s="1452"/>
      <c r="HI31" s="1452"/>
      <c r="HJ31" s="1452"/>
      <c r="HK31" s="1452"/>
      <c r="HL31" s="1452"/>
      <c r="HM31" s="1452"/>
      <c r="HN31" s="1452"/>
      <c r="HO31" s="1452"/>
      <c r="HP31" s="1452"/>
      <c r="HQ31" s="1452"/>
      <c r="HR31" s="1452"/>
      <c r="HS31" s="1452"/>
      <c r="HT31" s="1452"/>
      <c r="HU31" s="1452"/>
      <c r="HV31" s="1452"/>
      <c r="HW31" s="1452"/>
      <c r="HX31" s="1452"/>
      <c r="HY31" s="1452"/>
      <c r="HZ31" s="1452"/>
      <c r="IA31" s="1452"/>
      <c r="IB31" s="1452"/>
      <c r="IC31" s="1452"/>
      <c r="ID31" s="1452"/>
      <c r="IE31" s="1452"/>
      <c r="IF31" s="1452"/>
      <c r="IG31" s="1452"/>
      <c r="IH31" s="1452"/>
      <c r="II31" s="1452"/>
      <c r="IJ31" s="1452"/>
      <c r="IK31" s="1452"/>
      <c r="IL31" s="1452"/>
      <c r="IM31" s="1452"/>
      <c r="IN31" s="1452"/>
      <c r="IO31" s="1452"/>
      <c r="IP31" s="1452"/>
      <c r="IQ31" s="1452"/>
      <c r="IR31" s="1452"/>
      <c r="IS31" s="1452"/>
      <c r="IT31" s="1452"/>
      <c r="IU31" s="1452"/>
      <c r="IV31" s="1452"/>
    </row>
    <row r="32" spans="1:256" ht="27" customHeight="1">
      <c r="A32" s="1445">
        <v>33</v>
      </c>
      <c r="B32" s="1460" t="s">
        <v>7148</v>
      </c>
      <c r="C32" s="1445"/>
      <c r="D32" s="1445"/>
      <c r="E32" s="1447"/>
      <c r="F32" s="1448"/>
      <c r="G32" s="1447"/>
      <c r="H32" s="1450"/>
      <c r="I32" s="1451"/>
      <c r="J32" s="1452"/>
      <c r="K32" s="1452"/>
      <c r="L32" s="1452"/>
      <c r="M32" s="1452"/>
      <c r="N32" s="1452"/>
      <c r="O32" s="1452"/>
      <c r="P32" s="1452"/>
      <c r="Q32" s="1452"/>
      <c r="R32" s="1452"/>
      <c r="S32" s="1452"/>
      <c r="T32" s="1452"/>
      <c r="U32" s="1452"/>
      <c r="V32" s="1452"/>
      <c r="W32" s="1452"/>
      <c r="X32" s="1452"/>
      <c r="Y32" s="1452"/>
      <c r="Z32" s="1452"/>
      <c r="AA32" s="1452"/>
      <c r="AB32" s="1452"/>
      <c r="AC32" s="1452"/>
      <c r="AD32" s="1452"/>
      <c r="AE32" s="1452"/>
      <c r="AF32" s="1452"/>
      <c r="AG32" s="1452"/>
      <c r="AH32" s="1452"/>
      <c r="AI32" s="1452"/>
      <c r="AJ32" s="1452"/>
      <c r="AK32" s="1452"/>
      <c r="AL32" s="1452"/>
      <c r="AM32" s="1452"/>
      <c r="AN32" s="1452"/>
      <c r="AO32" s="1452"/>
      <c r="AP32" s="1452"/>
      <c r="AQ32" s="1452"/>
      <c r="AR32" s="1452"/>
      <c r="AS32" s="1452"/>
      <c r="AT32" s="1452"/>
      <c r="AU32" s="1452"/>
      <c r="AV32" s="1452"/>
      <c r="AW32" s="1452"/>
      <c r="AX32" s="1452"/>
      <c r="AY32" s="1452"/>
      <c r="AZ32" s="1452"/>
      <c r="BA32" s="1452"/>
      <c r="BB32" s="1452"/>
      <c r="BC32" s="1452"/>
      <c r="BD32" s="1452"/>
      <c r="BE32" s="1452"/>
      <c r="BF32" s="1452"/>
      <c r="BG32" s="1452"/>
      <c r="BH32" s="1452"/>
      <c r="BI32" s="1452"/>
      <c r="BJ32" s="1452"/>
      <c r="BK32" s="1452"/>
      <c r="BL32" s="1452"/>
      <c r="BM32" s="1452"/>
      <c r="BN32" s="1452"/>
      <c r="BO32" s="1452"/>
      <c r="BP32" s="1452"/>
      <c r="BQ32" s="1452"/>
      <c r="BR32" s="1452"/>
      <c r="BS32" s="1452"/>
      <c r="BT32" s="1452"/>
      <c r="BU32" s="1452"/>
      <c r="BV32" s="1452"/>
      <c r="BW32" s="1452"/>
      <c r="BX32" s="1452"/>
      <c r="BY32" s="1452"/>
      <c r="BZ32" s="1452"/>
      <c r="CA32" s="1452"/>
      <c r="CB32" s="1452"/>
      <c r="CC32" s="1452"/>
      <c r="CD32" s="1452"/>
      <c r="CE32" s="1452"/>
      <c r="CF32" s="1452"/>
      <c r="CG32" s="1452"/>
      <c r="CH32" s="1452"/>
      <c r="CI32" s="1452"/>
      <c r="CJ32" s="1452"/>
      <c r="CK32" s="1452"/>
      <c r="CL32" s="1452"/>
      <c r="CM32" s="1452"/>
      <c r="CN32" s="1452"/>
      <c r="CO32" s="1452"/>
      <c r="CP32" s="1452"/>
      <c r="CQ32" s="1452"/>
      <c r="CR32" s="1452"/>
      <c r="CS32" s="1452"/>
      <c r="CT32" s="1452"/>
      <c r="CU32" s="1452"/>
      <c r="CV32" s="1452"/>
      <c r="CW32" s="1452"/>
      <c r="CX32" s="1452"/>
      <c r="CY32" s="1452"/>
      <c r="CZ32" s="1452"/>
      <c r="DA32" s="1452"/>
      <c r="DB32" s="1452"/>
      <c r="DC32" s="1452"/>
      <c r="DD32" s="1452"/>
      <c r="DE32" s="1452"/>
      <c r="DF32" s="1452"/>
      <c r="DG32" s="1452"/>
      <c r="DH32" s="1452"/>
      <c r="DI32" s="1452"/>
      <c r="DJ32" s="1452"/>
      <c r="DK32" s="1452"/>
      <c r="DL32" s="1452"/>
      <c r="DM32" s="1452"/>
      <c r="DN32" s="1452"/>
      <c r="DO32" s="1452"/>
      <c r="DP32" s="1452"/>
      <c r="DQ32" s="1452"/>
      <c r="DR32" s="1452"/>
      <c r="DS32" s="1452"/>
      <c r="DT32" s="1452"/>
      <c r="DU32" s="1452"/>
      <c r="DV32" s="1452"/>
      <c r="DW32" s="1452"/>
      <c r="DX32" s="1452"/>
      <c r="DY32" s="1452"/>
      <c r="DZ32" s="1452"/>
      <c r="EA32" s="1452"/>
      <c r="EB32" s="1452"/>
      <c r="EC32" s="1452"/>
      <c r="ED32" s="1452"/>
      <c r="EE32" s="1452"/>
      <c r="EF32" s="1452"/>
      <c r="EG32" s="1452"/>
      <c r="EH32" s="1452"/>
      <c r="EI32" s="1452"/>
      <c r="EJ32" s="1452"/>
      <c r="EK32" s="1452"/>
      <c r="EL32" s="1452"/>
      <c r="EM32" s="1452"/>
      <c r="EN32" s="1452"/>
      <c r="EO32" s="1452"/>
      <c r="EP32" s="1452"/>
      <c r="EQ32" s="1452"/>
      <c r="ER32" s="1452"/>
      <c r="ES32" s="1452"/>
      <c r="ET32" s="1452"/>
      <c r="EU32" s="1452"/>
      <c r="EV32" s="1452"/>
      <c r="EW32" s="1452"/>
      <c r="EX32" s="1452"/>
      <c r="EY32" s="1452"/>
      <c r="EZ32" s="1452"/>
      <c r="FA32" s="1452"/>
      <c r="FB32" s="1452"/>
      <c r="FC32" s="1452"/>
      <c r="FD32" s="1452"/>
      <c r="FE32" s="1452"/>
      <c r="FF32" s="1452"/>
      <c r="FG32" s="1452"/>
      <c r="FH32" s="1452"/>
      <c r="FI32" s="1452"/>
      <c r="FJ32" s="1452"/>
      <c r="FK32" s="1452"/>
      <c r="FL32" s="1452"/>
      <c r="FM32" s="1452"/>
      <c r="FN32" s="1452"/>
      <c r="FO32" s="1452"/>
      <c r="FP32" s="1452"/>
      <c r="FQ32" s="1452"/>
      <c r="FR32" s="1452"/>
      <c r="FS32" s="1452"/>
      <c r="FT32" s="1452"/>
      <c r="FU32" s="1452"/>
      <c r="FV32" s="1452"/>
      <c r="FW32" s="1452"/>
      <c r="FX32" s="1452"/>
      <c r="FY32" s="1452"/>
      <c r="FZ32" s="1452"/>
      <c r="GA32" s="1452"/>
      <c r="GB32" s="1452"/>
      <c r="GC32" s="1452"/>
      <c r="GD32" s="1452"/>
      <c r="GE32" s="1452"/>
      <c r="GF32" s="1452"/>
      <c r="GG32" s="1452"/>
      <c r="GH32" s="1452"/>
      <c r="GI32" s="1452"/>
      <c r="GJ32" s="1452"/>
      <c r="GK32" s="1452"/>
      <c r="GL32" s="1452"/>
      <c r="GM32" s="1452"/>
      <c r="GN32" s="1452"/>
      <c r="GO32" s="1452"/>
      <c r="GP32" s="1452"/>
      <c r="GQ32" s="1452"/>
      <c r="GR32" s="1452"/>
      <c r="GS32" s="1452"/>
      <c r="GT32" s="1452"/>
      <c r="GU32" s="1452"/>
      <c r="GV32" s="1452"/>
      <c r="GW32" s="1452"/>
      <c r="GX32" s="1452"/>
      <c r="GY32" s="1452"/>
      <c r="GZ32" s="1452"/>
      <c r="HA32" s="1452"/>
      <c r="HB32" s="1452"/>
      <c r="HC32" s="1452"/>
      <c r="HD32" s="1452"/>
      <c r="HE32" s="1452"/>
      <c r="HF32" s="1452"/>
      <c r="HG32" s="1452"/>
      <c r="HH32" s="1452"/>
      <c r="HI32" s="1452"/>
      <c r="HJ32" s="1452"/>
      <c r="HK32" s="1452"/>
      <c r="HL32" s="1452"/>
      <c r="HM32" s="1452"/>
      <c r="HN32" s="1452"/>
      <c r="HO32" s="1452"/>
      <c r="HP32" s="1452"/>
      <c r="HQ32" s="1452"/>
      <c r="HR32" s="1452"/>
      <c r="HS32" s="1452"/>
      <c r="HT32" s="1452"/>
      <c r="HU32" s="1452"/>
      <c r="HV32" s="1452"/>
      <c r="HW32" s="1452"/>
      <c r="HX32" s="1452"/>
      <c r="HY32" s="1452"/>
      <c r="HZ32" s="1452"/>
      <c r="IA32" s="1452"/>
      <c r="IB32" s="1452"/>
      <c r="IC32" s="1452"/>
      <c r="ID32" s="1452"/>
      <c r="IE32" s="1452"/>
      <c r="IF32" s="1452"/>
      <c r="IG32" s="1452"/>
      <c r="IH32" s="1452"/>
      <c r="II32" s="1452"/>
      <c r="IJ32" s="1452"/>
      <c r="IK32" s="1452"/>
      <c r="IL32" s="1452"/>
      <c r="IM32" s="1452"/>
      <c r="IN32" s="1452"/>
      <c r="IO32" s="1452"/>
      <c r="IP32" s="1452"/>
      <c r="IQ32" s="1452"/>
      <c r="IR32" s="1452"/>
      <c r="IS32" s="1452"/>
      <c r="IT32" s="1452"/>
      <c r="IU32" s="1452"/>
      <c r="IV32" s="1452"/>
    </row>
    <row r="33" spans="1:256" ht="24.75" customHeight="1">
      <c r="A33" s="1445"/>
      <c r="B33" s="1454" t="s">
        <v>7141</v>
      </c>
      <c r="C33" s="1455">
        <v>2</v>
      </c>
      <c r="D33" s="1455">
        <v>2</v>
      </c>
      <c r="E33" s="1450">
        <f>2.4+0.46</f>
        <v>2.86</v>
      </c>
      <c r="F33" s="1448"/>
      <c r="G33" s="1450">
        <v>0.38</v>
      </c>
      <c r="H33" s="1450">
        <f t="shared" ref="H33:H37" si="2">PRODUCT(C33:G33)</f>
        <v>4.3499999999999996</v>
      </c>
      <c r="I33" s="1451"/>
      <c r="J33" s="1452"/>
      <c r="K33" s="1452"/>
      <c r="L33" s="1452"/>
      <c r="M33" s="1452"/>
      <c r="N33" s="1452"/>
      <c r="O33" s="1452"/>
      <c r="P33" s="1452"/>
      <c r="Q33" s="1452"/>
      <c r="R33" s="1452"/>
      <c r="S33" s="1452"/>
      <c r="T33" s="1452"/>
      <c r="U33" s="1452"/>
      <c r="V33" s="1452"/>
      <c r="W33" s="1452"/>
      <c r="X33" s="1452"/>
      <c r="Y33" s="1452"/>
      <c r="Z33" s="1452"/>
      <c r="AA33" s="1452"/>
      <c r="AB33" s="1452"/>
      <c r="AC33" s="1452"/>
      <c r="AD33" s="1452"/>
      <c r="AE33" s="1452"/>
      <c r="AF33" s="1452"/>
      <c r="AG33" s="1452"/>
      <c r="AH33" s="1452"/>
      <c r="AI33" s="1452"/>
      <c r="AJ33" s="1452"/>
      <c r="AK33" s="1452"/>
      <c r="AL33" s="1452"/>
      <c r="AM33" s="1452"/>
      <c r="AN33" s="1452"/>
      <c r="AO33" s="1452"/>
      <c r="AP33" s="1452"/>
      <c r="AQ33" s="1452"/>
      <c r="AR33" s="1452"/>
      <c r="AS33" s="1452"/>
      <c r="AT33" s="1452"/>
      <c r="AU33" s="1452"/>
      <c r="AV33" s="1452"/>
      <c r="AW33" s="1452"/>
      <c r="AX33" s="1452"/>
      <c r="AY33" s="1452"/>
      <c r="AZ33" s="1452"/>
      <c r="BA33" s="1452"/>
      <c r="BB33" s="1452"/>
      <c r="BC33" s="1452"/>
      <c r="BD33" s="1452"/>
      <c r="BE33" s="1452"/>
      <c r="BF33" s="1452"/>
      <c r="BG33" s="1452"/>
      <c r="BH33" s="1452"/>
      <c r="BI33" s="1452"/>
      <c r="BJ33" s="1452"/>
      <c r="BK33" s="1452"/>
      <c r="BL33" s="1452"/>
      <c r="BM33" s="1452"/>
      <c r="BN33" s="1452"/>
      <c r="BO33" s="1452"/>
      <c r="BP33" s="1452"/>
      <c r="BQ33" s="1452"/>
      <c r="BR33" s="1452"/>
      <c r="BS33" s="1452"/>
      <c r="BT33" s="1452"/>
      <c r="BU33" s="1452"/>
      <c r="BV33" s="1452"/>
      <c r="BW33" s="1452"/>
      <c r="BX33" s="1452"/>
      <c r="BY33" s="1452"/>
      <c r="BZ33" s="1452"/>
      <c r="CA33" s="1452"/>
      <c r="CB33" s="1452"/>
      <c r="CC33" s="1452"/>
      <c r="CD33" s="1452"/>
      <c r="CE33" s="1452"/>
      <c r="CF33" s="1452"/>
      <c r="CG33" s="1452"/>
      <c r="CH33" s="1452"/>
      <c r="CI33" s="1452"/>
      <c r="CJ33" s="1452"/>
      <c r="CK33" s="1452"/>
      <c r="CL33" s="1452"/>
      <c r="CM33" s="1452"/>
      <c r="CN33" s="1452"/>
      <c r="CO33" s="1452"/>
      <c r="CP33" s="1452"/>
      <c r="CQ33" s="1452"/>
      <c r="CR33" s="1452"/>
      <c r="CS33" s="1452"/>
      <c r="CT33" s="1452"/>
      <c r="CU33" s="1452"/>
      <c r="CV33" s="1452"/>
      <c r="CW33" s="1452"/>
      <c r="CX33" s="1452"/>
      <c r="CY33" s="1452"/>
      <c r="CZ33" s="1452"/>
      <c r="DA33" s="1452"/>
      <c r="DB33" s="1452"/>
      <c r="DC33" s="1452"/>
      <c r="DD33" s="1452"/>
      <c r="DE33" s="1452"/>
      <c r="DF33" s="1452"/>
      <c r="DG33" s="1452"/>
      <c r="DH33" s="1452"/>
      <c r="DI33" s="1452"/>
      <c r="DJ33" s="1452"/>
      <c r="DK33" s="1452"/>
      <c r="DL33" s="1452"/>
      <c r="DM33" s="1452"/>
      <c r="DN33" s="1452"/>
      <c r="DO33" s="1452"/>
      <c r="DP33" s="1452"/>
      <c r="DQ33" s="1452"/>
      <c r="DR33" s="1452"/>
      <c r="DS33" s="1452"/>
      <c r="DT33" s="1452"/>
      <c r="DU33" s="1452"/>
      <c r="DV33" s="1452"/>
      <c r="DW33" s="1452"/>
      <c r="DX33" s="1452"/>
      <c r="DY33" s="1452"/>
      <c r="DZ33" s="1452"/>
      <c r="EA33" s="1452"/>
      <c r="EB33" s="1452"/>
      <c r="EC33" s="1452"/>
      <c r="ED33" s="1452"/>
      <c r="EE33" s="1452"/>
      <c r="EF33" s="1452"/>
      <c r="EG33" s="1452"/>
      <c r="EH33" s="1452"/>
      <c r="EI33" s="1452"/>
      <c r="EJ33" s="1452"/>
      <c r="EK33" s="1452"/>
      <c r="EL33" s="1452"/>
      <c r="EM33" s="1452"/>
      <c r="EN33" s="1452"/>
      <c r="EO33" s="1452"/>
      <c r="EP33" s="1452"/>
      <c r="EQ33" s="1452"/>
      <c r="ER33" s="1452"/>
      <c r="ES33" s="1452"/>
      <c r="ET33" s="1452"/>
      <c r="EU33" s="1452"/>
      <c r="EV33" s="1452"/>
      <c r="EW33" s="1452"/>
      <c r="EX33" s="1452"/>
      <c r="EY33" s="1452"/>
      <c r="EZ33" s="1452"/>
      <c r="FA33" s="1452"/>
      <c r="FB33" s="1452"/>
      <c r="FC33" s="1452"/>
      <c r="FD33" s="1452"/>
      <c r="FE33" s="1452"/>
      <c r="FF33" s="1452"/>
      <c r="FG33" s="1452"/>
      <c r="FH33" s="1452"/>
      <c r="FI33" s="1452"/>
      <c r="FJ33" s="1452"/>
      <c r="FK33" s="1452"/>
      <c r="FL33" s="1452"/>
      <c r="FM33" s="1452"/>
      <c r="FN33" s="1452"/>
      <c r="FO33" s="1452"/>
      <c r="FP33" s="1452"/>
      <c r="FQ33" s="1452"/>
      <c r="FR33" s="1452"/>
      <c r="FS33" s="1452"/>
      <c r="FT33" s="1452"/>
      <c r="FU33" s="1452"/>
      <c r="FV33" s="1452"/>
      <c r="FW33" s="1452"/>
      <c r="FX33" s="1452"/>
      <c r="FY33" s="1452"/>
      <c r="FZ33" s="1452"/>
      <c r="GA33" s="1452"/>
      <c r="GB33" s="1452"/>
      <c r="GC33" s="1452"/>
      <c r="GD33" s="1452"/>
      <c r="GE33" s="1452"/>
      <c r="GF33" s="1452"/>
      <c r="GG33" s="1452"/>
      <c r="GH33" s="1452"/>
      <c r="GI33" s="1452"/>
      <c r="GJ33" s="1452"/>
      <c r="GK33" s="1452"/>
      <c r="GL33" s="1452"/>
      <c r="GM33" s="1452"/>
      <c r="GN33" s="1452"/>
      <c r="GO33" s="1452"/>
      <c r="GP33" s="1452"/>
      <c r="GQ33" s="1452"/>
      <c r="GR33" s="1452"/>
      <c r="GS33" s="1452"/>
      <c r="GT33" s="1452"/>
      <c r="GU33" s="1452"/>
      <c r="GV33" s="1452"/>
      <c r="GW33" s="1452"/>
      <c r="GX33" s="1452"/>
      <c r="GY33" s="1452"/>
      <c r="GZ33" s="1452"/>
      <c r="HA33" s="1452"/>
      <c r="HB33" s="1452"/>
      <c r="HC33" s="1452"/>
      <c r="HD33" s="1452"/>
      <c r="HE33" s="1452"/>
      <c r="HF33" s="1452"/>
      <c r="HG33" s="1452"/>
      <c r="HH33" s="1452"/>
      <c r="HI33" s="1452"/>
      <c r="HJ33" s="1452"/>
      <c r="HK33" s="1452"/>
      <c r="HL33" s="1452"/>
      <c r="HM33" s="1452"/>
      <c r="HN33" s="1452"/>
      <c r="HO33" s="1452"/>
      <c r="HP33" s="1452"/>
      <c r="HQ33" s="1452"/>
      <c r="HR33" s="1452"/>
      <c r="HS33" s="1452"/>
      <c r="HT33" s="1452"/>
      <c r="HU33" s="1452"/>
      <c r="HV33" s="1452"/>
      <c r="HW33" s="1452"/>
      <c r="HX33" s="1452"/>
      <c r="HY33" s="1452"/>
      <c r="HZ33" s="1452"/>
      <c r="IA33" s="1452"/>
      <c r="IB33" s="1452"/>
      <c r="IC33" s="1452"/>
      <c r="ID33" s="1452"/>
      <c r="IE33" s="1452"/>
      <c r="IF33" s="1452"/>
      <c r="IG33" s="1452"/>
      <c r="IH33" s="1452"/>
      <c r="II33" s="1452"/>
      <c r="IJ33" s="1452"/>
      <c r="IK33" s="1452"/>
      <c r="IL33" s="1452"/>
      <c r="IM33" s="1452"/>
      <c r="IN33" s="1452"/>
      <c r="IO33" s="1452"/>
      <c r="IP33" s="1452"/>
      <c r="IQ33" s="1452"/>
      <c r="IR33" s="1452"/>
      <c r="IS33" s="1452"/>
      <c r="IT33" s="1452"/>
      <c r="IU33" s="1452"/>
      <c r="IV33" s="1452"/>
    </row>
    <row r="34" spans="1:256" ht="24.75" customHeight="1">
      <c r="A34" s="1445"/>
      <c r="B34" s="1454" t="s">
        <v>7141</v>
      </c>
      <c r="C34" s="1455">
        <v>2</v>
      </c>
      <c r="D34" s="1455">
        <v>2</v>
      </c>
      <c r="E34" s="1450">
        <v>4.0999999999999996</v>
      </c>
      <c r="F34" s="1448"/>
      <c r="G34" s="1450">
        <v>0.38</v>
      </c>
      <c r="H34" s="1450">
        <f t="shared" si="2"/>
        <v>6.23</v>
      </c>
      <c r="I34" s="1451"/>
      <c r="J34" s="1452"/>
      <c r="K34" s="1452"/>
      <c r="L34" s="1452"/>
      <c r="M34" s="1452"/>
      <c r="N34" s="1452"/>
      <c r="O34" s="1452"/>
      <c r="P34" s="1452"/>
      <c r="Q34" s="1452"/>
      <c r="R34" s="1452"/>
      <c r="S34" s="1452"/>
      <c r="T34" s="1452"/>
      <c r="U34" s="1452"/>
      <c r="V34" s="1452"/>
      <c r="W34" s="1452"/>
      <c r="X34" s="1452"/>
      <c r="Y34" s="1452"/>
      <c r="Z34" s="1452"/>
      <c r="AA34" s="1452"/>
      <c r="AB34" s="1452"/>
      <c r="AC34" s="1452"/>
      <c r="AD34" s="1452"/>
      <c r="AE34" s="1452"/>
      <c r="AF34" s="1452"/>
      <c r="AG34" s="1452"/>
      <c r="AH34" s="1452"/>
      <c r="AI34" s="1452"/>
      <c r="AJ34" s="1452"/>
      <c r="AK34" s="1452"/>
      <c r="AL34" s="1452"/>
      <c r="AM34" s="1452"/>
      <c r="AN34" s="1452"/>
      <c r="AO34" s="1452"/>
      <c r="AP34" s="1452"/>
      <c r="AQ34" s="1452"/>
      <c r="AR34" s="1452"/>
      <c r="AS34" s="1452"/>
      <c r="AT34" s="1452"/>
      <c r="AU34" s="1452"/>
      <c r="AV34" s="1452"/>
      <c r="AW34" s="1452"/>
      <c r="AX34" s="1452"/>
      <c r="AY34" s="1452"/>
      <c r="AZ34" s="1452"/>
      <c r="BA34" s="1452"/>
      <c r="BB34" s="1452"/>
      <c r="BC34" s="1452"/>
      <c r="BD34" s="1452"/>
      <c r="BE34" s="1452"/>
      <c r="BF34" s="1452"/>
      <c r="BG34" s="1452"/>
      <c r="BH34" s="1452"/>
      <c r="BI34" s="1452"/>
      <c r="BJ34" s="1452"/>
      <c r="BK34" s="1452"/>
      <c r="BL34" s="1452"/>
      <c r="BM34" s="1452"/>
      <c r="BN34" s="1452"/>
      <c r="BO34" s="1452"/>
      <c r="BP34" s="1452"/>
      <c r="BQ34" s="1452"/>
      <c r="BR34" s="1452"/>
      <c r="BS34" s="1452"/>
      <c r="BT34" s="1452"/>
      <c r="BU34" s="1452"/>
      <c r="BV34" s="1452"/>
      <c r="BW34" s="1452"/>
      <c r="BX34" s="1452"/>
      <c r="BY34" s="1452"/>
      <c r="BZ34" s="1452"/>
      <c r="CA34" s="1452"/>
      <c r="CB34" s="1452"/>
      <c r="CC34" s="1452"/>
      <c r="CD34" s="1452"/>
      <c r="CE34" s="1452"/>
      <c r="CF34" s="1452"/>
      <c r="CG34" s="1452"/>
      <c r="CH34" s="1452"/>
      <c r="CI34" s="1452"/>
      <c r="CJ34" s="1452"/>
      <c r="CK34" s="1452"/>
      <c r="CL34" s="1452"/>
      <c r="CM34" s="1452"/>
      <c r="CN34" s="1452"/>
      <c r="CO34" s="1452"/>
      <c r="CP34" s="1452"/>
      <c r="CQ34" s="1452"/>
      <c r="CR34" s="1452"/>
      <c r="CS34" s="1452"/>
      <c r="CT34" s="1452"/>
      <c r="CU34" s="1452"/>
      <c r="CV34" s="1452"/>
      <c r="CW34" s="1452"/>
      <c r="CX34" s="1452"/>
      <c r="CY34" s="1452"/>
      <c r="CZ34" s="1452"/>
      <c r="DA34" s="1452"/>
      <c r="DB34" s="1452"/>
      <c r="DC34" s="1452"/>
      <c r="DD34" s="1452"/>
      <c r="DE34" s="1452"/>
      <c r="DF34" s="1452"/>
      <c r="DG34" s="1452"/>
      <c r="DH34" s="1452"/>
      <c r="DI34" s="1452"/>
      <c r="DJ34" s="1452"/>
      <c r="DK34" s="1452"/>
      <c r="DL34" s="1452"/>
      <c r="DM34" s="1452"/>
      <c r="DN34" s="1452"/>
      <c r="DO34" s="1452"/>
      <c r="DP34" s="1452"/>
      <c r="DQ34" s="1452"/>
      <c r="DR34" s="1452"/>
      <c r="DS34" s="1452"/>
      <c r="DT34" s="1452"/>
      <c r="DU34" s="1452"/>
      <c r="DV34" s="1452"/>
      <c r="DW34" s="1452"/>
      <c r="DX34" s="1452"/>
      <c r="DY34" s="1452"/>
      <c r="DZ34" s="1452"/>
      <c r="EA34" s="1452"/>
      <c r="EB34" s="1452"/>
      <c r="EC34" s="1452"/>
      <c r="ED34" s="1452"/>
      <c r="EE34" s="1452"/>
      <c r="EF34" s="1452"/>
      <c r="EG34" s="1452"/>
      <c r="EH34" s="1452"/>
      <c r="EI34" s="1452"/>
      <c r="EJ34" s="1452"/>
      <c r="EK34" s="1452"/>
      <c r="EL34" s="1452"/>
      <c r="EM34" s="1452"/>
      <c r="EN34" s="1452"/>
      <c r="EO34" s="1452"/>
      <c r="EP34" s="1452"/>
      <c r="EQ34" s="1452"/>
      <c r="ER34" s="1452"/>
      <c r="ES34" s="1452"/>
      <c r="ET34" s="1452"/>
      <c r="EU34" s="1452"/>
      <c r="EV34" s="1452"/>
      <c r="EW34" s="1452"/>
      <c r="EX34" s="1452"/>
      <c r="EY34" s="1452"/>
      <c r="EZ34" s="1452"/>
      <c r="FA34" s="1452"/>
      <c r="FB34" s="1452"/>
      <c r="FC34" s="1452"/>
      <c r="FD34" s="1452"/>
      <c r="FE34" s="1452"/>
      <c r="FF34" s="1452"/>
      <c r="FG34" s="1452"/>
      <c r="FH34" s="1452"/>
      <c r="FI34" s="1452"/>
      <c r="FJ34" s="1452"/>
      <c r="FK34" s="1452"/>
      <c r="FL34" s="1452"/>
      <c r="FM34" s="1452"/>
      <c r="FN34" s="1452"/>
      <c r="FO34" s="1452"/>
      <c r="FP34" s="1452"/>
      <c r="FQ34" s="1452"/>
      <c r="FR34" s="1452"/>
      <c r="FS34" s="1452"/>
      <c r="FT34" s="1452"/>
      <c r="FU34" s="1452"/>
      <c r="FV34" s="1452"/>
      <c r="FW34" s="1452"/>
      <c r="FX34" s="1452"/>
      <c r="FY34" s="1452"/>
      <c r="FZ34" s="1452"/>
      <c r="GA34" s="1452"/>
      <c r="GB34" s="1452"/>
      <c r="GC34" s="1452"/>
      <c r="GD34" s="1452"/>
      <c r="GE34" s="1452"/>
      <c r="GF34" s="1452"/>
      <c r="GG34" s="1452"/>
      <c r="GH34" s="1452"/>
      <c r="GI34" s="1452"/>
      <c r="GJ34" s="1452"/>
      <c r="GK34" s="1452"/>
      <c r="GL34" s="1452"/>
      <c r="GM34" s="1452"/>
      <c r="GN34" s="1452"/>
      <c r="GO34" s="1452"/>
      <c r="GP34" s="1452"/>
      <c r="GQ34" s="1452"/>
      <c r="GR34" s="1452"/>
      <c r="GS34" s="1452"/>
      <c r="GT34" s="1452"/>
      <c r="GU34" s="1452"/>
      <c r="GV34" s="1452"/>
      <c r="GW34" s="1452"/>
      <c r="GX34" s="1452"/>
      <c r="GY34" s="1452"/>
      <c r="GZ34" s="1452"/>
      <c r="HA34" s="1452"/>
      <c r="HB34" s="1452"/>
      <c r="HC34" s="1452"/>
      <c r="HD34" s="1452"/>
      <c r="HE34" s="1452"/>
      <c r="HF34" s="1452"/>
      <c r="HG34" s="1452"/>
      <c r="HH34" s="1452"/>
      <c r="HI34" s="1452"/>
      <c r="HJ34" s="1452"/>
      <c r="HK34" s="1452"/>
      <c r="HL34" s="1452"/>
      <c r="HM34" s="1452"/>
      <c r="HN34" s="1452"/>
      <c r="HO34" s="1452"/>
      <c r="HP34" s="1452"/>
      <c r="HQ34" s="1452"/>
      <c r="HR34" s="1452"/>
      <c r="HS34" s="1452"/>
      <c r="HT34" s="1452"/>
      <c r="HU34" s="1452"/>
      <c r="HV34" s="1452"/>
      <c r="HW34" s="1452"/>
      <c r="HX34" s="1452"/>
      <c r="HY34" s="1452"/>
      <c r="HZ34" s="1452"/>
      <c r="IA34" s="1452"/>
      <c r="IB34" s="1452"/>
      <c r="IC34" s="1452"/>
      <c r="ID34" s="1452"/>
      <c r="IE34" s="1452"/>
      <c r="IF34" s="1452"/>
      <c r="IG34" s="1452"/>
      <c r="IH34" s="1452"/>
      <c r="II34" s="1452"/>
      <c r="IJ34" s="1452"/>
      <c r="IK34" s="1452"/>
      <c r="IL34" s="1452"/>
      <c r="IM34" s="1452"/>
      <c r="IN34" s="1452"/>
      <c r="IO34" s="1452"/>
      <c r="IP34" s="1452"/>
      <c r="IQ34" s="1452"/>
      <c r="IR34" s="1452"/>
      <c r="IS34" s="1452"/>
      <c r="IT34" s="1452"/>
      <c r="IU34" s="1452"/>
      <c r="IV34" s="1452"/>
    </row>
    <row r="35" spans="1:256" ht="24.75" customHeight="1">
      <c r="A35" s="1445"/>
      <c r="B35" s="1454" t="s">
        <v>7142</v>
      </c>
      <c r="C35" s="1455">
        <v>2</v>
      </c>
      <c r="D35" s="1455">
        <v>1</v>
      </c>
      <c r="E35" s="1450">
        <f>2.4+0.46</f>
        <v>2.86</v>
      </c>
      <c r="F35" s="1448"/>
      <c r="G35" s="1450">
        <f>0.23</f>
        <v>0.23</v>
      </c>
      <c r="H35" s="1450">
        <f t="shared" si="2"/>
        <v>1.32</v>
      </c>
      <c r="I35" s="1451"/>
      <c r="J35" s="1452"/>
      <c r="K35" s="1452"/>
      <c r="L35" s="1452"/>
      <c r="M35" s="1452"/>
      <c r="N35" s="1452"/>
      <c r="O35" s="1452"/>
      <c r="P35" s="1452"/>
      <c r="Q35" s="1452"/>
      <c r="R35" s="1452"/>
      <c r="S35" s="1452"/>
      <c r="T35" s="1452"/>
      <c r="U35" s="1452"/>
      <c r="V35" s="1452"/>
      <c r="W35" s="1452"/>
      <c r="X35" s="1452"/>
      <c r="Y35" s="1452"/>
      <c r="Z35" s="1452"/>
      <c r="AA35" s="1452"/>
      <c r="AB35" s="1452"/>
      <c r="AC35" s="1452"/>
      <c r="AD35" s="1452"/>
      <c r="AE35" s="1452"/>
      <c r="AF35" s="1452"/>
      <c r="AG35" s="1452"/>
      <c r="AH35" s="1452"/>
      <c r="AI35" s="1452"/>
      <c r="AJ35" s="1452"/>
      <c r="AK35" s="1452"/>
      <c r="AL35" s="1452"/>
      <c r="AM35" s="1452"/>
      <c r="AN35" s="1452"/>
      <c r="AO35" s="1452"/>
      <c r="AP35" s="1452"/>
      <c r="AQ35" s="1452"/>
      <c r="AR35" s="1452"/>
      <c r="AS35" s="1452"/>
      <c r="AT35" s="1452"/>
      <c r="AU35" s="1452"/>
      <c r="AV35" s="1452"/>
      <c r="AW35" s="1452"/>
      <c r="AX35" s="1452"/>
      <c r="AY35" s="1452"/>
      <c r="AZ35" s="1452"/>
      <c r="BA35" s="1452"/>
      <c r="BB35" s="1452"/>
      <c r="BC35" s="1452"/>
      <c r="BD35" s="1452"/>
      <c r="BE35" s="1452"/>
      <c r="BF35" s="1452"/>
      <c r="BG35" s="1452"/>
      <c r="BH35" s="1452"/>
      <c r="BI35" s="1452"/>
      <c r="BJ35" s="1452"/>
      <c r="BK35" s="1452"/>
      <c r="BL35" s="1452"/>
      <c r="BM35" s="1452"/>
      <c r="BN35" s="1452"/>
      <c r="BO35" s="1452"/>
      <c r="BP35" s="1452"/>
      <c r="BQ35" s="1452"/>
      <c r="BR35" s="1452"/>
      <c r="BS35" s="1452"/>
      <c r="BT35" s="1452"/>
      <c r="BU35" s="1452"/>
      <c r="BV35" s="1452"/>
      <c r="BW35" s="1452"/>
      <c r="BX35" s="1452"/>
      <c r="BY35" s="1452"/>
      <c r="BZ35" s="1452"/>
      <c r="CA35" s="1452"/>
      <c r="CB35" s="1452"/>
      <c r="CC35" s="1452"/>
      <c r="CD35" s="1452"/>
      <c r="CE35" s="1452"/>
      <c r="CF35" s="1452"/>
      <c r="CG35" s="1452"/>
      <c r="CH35" s="1452"/>
      <c r="CI35" s="1452"/>
      <c r="CJ35" s="1452"/>
      <c r="CK35" s="1452"/>
      <c r="CL35" s="1452"/>
      <c r="CM35" s="1452"/>
      <c r="CN35" s="1452"/>
      <c r="CO35" s="1452"/>
      <c r="CP35" s="1452"/>
      <c r="CQ35" s="1452"/>
      <c r="CR35" s="1452"/>
      <c r="CS35" s="1452"/>
      <c r="CT35" s="1452"/>
      <c r="CU35" s="1452"/>
      <c r="CV35" s="1452"/>
      <c r="CW35" s="1452"/>
      <c r="CX35" s="1452"/>
      <c r="CY35" s="1452"/>
      <c r="CZ35" s="1452"/>
      <c r="DA35" s="1452"/>
      <c r="DB35" s="1452"/>
      <c r="DC35" s="1452"/>
      <c r="DD35" s="1452"/>
      <c r="DE35" s="1452"/>
      <c r="DF35" s="1452"/>
      <c r="DG35" s="1452"/>
      <c r="DH35" s="1452"/>
      <c r="DI35" s="1452"/>
      <c r="DJ35" s="1452"/>
      <c r="DK35" s="1452"/>
      <c r="DL35" s="1452"/>
      <c r="DM35" s="1452"/>
      <c r="DN35" s="1452"/>
      <c r="DO35" s="1452"/>
      <c r="DP35" s="1452"/>
      <c r="DQ35" s="1452"/>
      <c r="DR35" s="1452"/>
      <c r="DS35" s="1452"/>
      <c r="DT35" s="1452"/>
      <c r="DU35" s="1452"/>
      <c r="DV35" s="1452"/>
      <c r="DW35" s="1452"/>
      <c r="DX35" s="1452"/>
      <c r="DY35" s="1452"/>
      <c r="DZ35" s="1452"/>
      <c r="EA35" s="1452"/>
      <c r="EB35" s="1452"/>
      <c r="EC35" s="1452"/>
      <c r="ED35" s="1452"/>
      <c r="EE35" s="1452"/>
      <c r="EF35" s="1452"/>
      <c r="EG35" s="1452"/>
      <c r="EH35" s="1452"/>
      <c r="EI35" s="1452"/>
      <c r="EJ35" s="1452"/>
      <c r="EK35" s="1452"/>
      <c r="EL35" s="1452"/>
      <c r="EM35" s="1452"/>
      <c r="EN35" s="1452"/>
      <c r="EO35" s="1452"/>
      <c r="EP35" s="1452"/>
      <c r="EQ35" s="1452"/>
      <c r="ER35" s="1452"/>
      <c r="ES35" s="1452"/>
      <c r="ET35" s="1452"/>
      <c r="EU35" s="1452"/>
      <c r="EV35" s="1452"/>
      <c r="EW35" s="1452"/>
      <c r="EX35" s="1452"/>
      <c r="EY35" s="1452"/>
      <c r="EZ35" s="1452"/>
      <c r="FA35" s="1452"/>
      <c r="FB35" s="1452"/>
      <c r="FC35" s="1452"/>
      <c r="FD35" s="1452"/>
      <c r="FE35" s="1452"/>
      <c r="FF35" s="1452"/>
      <c r="FG35" s="1452"/>
      <c r="FH35" s="1452"/>
      <c r="FI35" s="1452"/>
      <c r="FJ35" s="1452"/>
      <c r="FK35" s="1452"/>
      <c r="FL35" s="1452"/>
      <c r="FM35" s="1452"/>
      <c r="FN35" s="1452"/>
      <c r="FO35" s="1452"/>
      <c r="FP35" s="1452"/>
      <c r="FQ35" s="1452"/>
      <c r="FR35" s="1452"/>
      <c r="FS35" s="1452"/>
      <c r="FT35" s="1452"/>
      <c r="FU35" s="1452"/>
      <c r="FV35" s="1452"/>
      <c r="FW35" s="1452"/>
      <c r="FX35" s="1452"/>
      <c r="FY35" s="1452"/>
      <c r="FZ35" s="1452"/>
      <c r="GA35" s="1452"/>
      <c r="GB35" s="1452"/>
      <c r="GC35" s="1452"/>
      <c r="GD35" s="1452"/>
      <c r="GE35" s="1452"/>
      <c r="GF35" s="1452"/>
      <c r="GG35" s="1452"/>
      <c r="GH35" s="1452"/>
      <c r="GI35" s="1452"/>
      <c r="GJ35" s="1452"/>
      <c r="GK35" s="1452"/>
      <c r="GL35" s="1452"/>
      <c r="GM35" s="1452"/>
      <c r="GN35" s="1452"/>
      <c r="GO35" s="1452"/>
      <c r="GP35" s="1452"/>
      <c r="GQ35" s="1452"/>
      <c r="GR35" s="1452"/>
      <c r="GS35" s="1452"/>
      <c r="GT35" s="1452"/>
      <c r="GU35" s="1452"/>
      <c r="GV35" s="1452"/>
      <c r="GW35" s="1452"/>
      <c r="GX35" s="1452"/>
      <c r="GY35" s="1452"/>
      <c r="GZ35" s="1452"/>
      <c r="HA35" s="1452"/>
      <c r="HB35" s="1452"/>
      <c r="HC35" s="1452"/>
      <c r="HD35" s="1452"/>
      <c r="HE35" s="1452"/>
      <c r="HF35" s="1452"/>
      <c r="HG35" s="1452"/>
      <c r="HH35" s="1452"/>
      <c r="HI35" s="1452"/>
      <c r="HJ35" s="1452"/>
      <c r="HK35" s="1452"/>
      <c r="HL35" s="1452"/>
      <c r="HM35" s="1452"/>
      <c r="HN35" s="1452"/>
      <c r="HO35" s="1452"/>
      <c r="HP35" s="1452"/>
      <c r="HQ35" s="1452"/>
      <c r="HR35" s="1452"/>
      <c r="HS35" s="1452"/>
      <c r="HT35" s="1452"/>
      <c r="HU35" s="1452"/>
      <c r="HV35" s="1452"/>
      <c r="HW35" s="1452"/>
      <c r="HX35" s="1452"/>
      <c r="HY35" s="1452"/>
      <c r="HZ35" s="1452"/>
      <c r="IA35" s="1452"/>
      <c r="IB35" s="1452"/>
      <c r="IC35" s="1452"/>
      <c r="ID35" s="1452"/>
      <c r="IE35" s="1452"/>
      <c r="IF35" s="1452"/>
      <c r="IG35" s="1452"/>
      <c r="IH35" s="1452"/>
      <c r="II35" s="1452"/>
      <c r="IJ35" s="1452"/>
      <c r="IK35" s="1452"/>
      <c r="IL35" s="1452"/>
      <c r="IM35" s="1452"/>
      <c r="IN35" s="1452"/>
      <c r="IO35" s="1452"/>
      <c r="IP35" s="1452"/>
      <c r="IQ35" s="1452"/>
      <c r="IR35" s="1452"/>
      <c r="IS35" s="1452"/>
      <c r="IT35" s="1452"/>
      <c r="IU35" s="1452"/>
      <c r="IV35" s="1452"/>
    </row>
    <row r="36" spans="1:256" ht="24.75" customHeight="1">
      <c r="A36" s="1445"/>
      <c r="B36" s="1454" t="s">
        <v>7142</v>
      </c>
      <c r="C36" s="1455">
        <v>2</v>
      </c>
      <c r="D36" s="1455">
        <v>1</v>
      </c>
      <c r="E36" s="1450">
        <v>4.0999999999999996</v>
      </c>
      <c r="F36" s="1448"/>
      <c r="G36" s="1450">
        <v>0.23</v>
      </c>
      <c r="H36" s="1450">
        <f t="shared" si="2"/>
        <v>1.89</v>
      </c>
      <c r="I36" s="1451"/>
      <c r="J36" s="1452"/>
      <c r="K36" s="1452"/>
      <c r="L36" s="1452"/>
      <c r="M36" s="1452"/>
      <c r="N36" s="1452"/>
      <c r="O36" s="1452"/>
      <c r="P36" s="1452"/>
      <c r="Q36" s="1452"/>
      <c r="R36" s="1452"/>
      <c r="S36" s="1452"/>
      <c r="T36" s="1452"/>
      <c r="U36" s="1452"/>
      <c r="V36" s="1452"/>
      <c r="W36" s="1452"/>
      <c r="X36" s="1452"/>
      <c r="Y36" s="1452"/>
      <c r="Z36" s="1452"/>
      <c r="AA36" s="1452"/>
      <c r="AB36" s="1452"/>
      <c r="AC36" s="1452"/>
      <c r="AD36" s="1452"/>
      <c r="AE36" s="1452"/>
      <c r="AF36" s="1452"/>
      <c r="AG36" s="1452"/>
      <c r="AH36" s="1452"/>
      <c r="AI36" s="1452"/>
      <c r="AJ36" s="1452"/>
      <c r="AK36" s="1452"/>
      <c r="AL36" s="1452"/>
      <c r="AM36" s="1452"/>
      <c r="AN36" s="1452"/>
      <c r="AO36" s="1452"/>
      <c r="AP36" s="1452"/>
      <c r="AQ36" s="1452"/>
      <c r="AR36" s="1452"/>
      <c r="AS36" s="1452"/>
      <c r="AT36" s="1452"/>
      <c r="AU36" s="1452"/>
      <c r="AV36" s="1452"/>
      <c r="AW36" s="1452"/>
      <c r="AX36" s="1452"/>
      <c r="AY36" s="1452"/>
      <c r="AZ36" s="1452"/>
      <c r="BA36" s="1452"/>
      <c r="BB36" s="1452"/>
      <c r="BC36" s="1452"/>
      <c r="BD36" s="1452"/>
      <c r="BE36" s="1452"/>
      <c r="BF36" s="1452"/>
      <c r="BG36" s="1452"/>
      <c r="BH36" s="1452"/>
      <c r="BI36" s="1452"/>
      <c r="BJ36" s="1452"/>
      <c r="BK36" s="1452"/>
      <c r="BL36" s="1452"/>
      <c r="BM36" s="1452"/>
      <c r="BN36" s="1452"/>
      <c r="BO36" s="1452"/>
      <c r="BP36" s="1452"/>
      <c r="BQ36" s="1452"/>
      <c r="BR36" s="1452"/>
      <c r="BS36" s="1452"/>
      <c r="BT36" s="1452"/>
      <c r="BU36" s="1452"/>
      <c r="BV36" s="1452"/>
      <c r="BW36" s="1452"/>
      <c r="BX36" s="1452"/>
      <c r="BY36" s="1452"/>
      <c r="BZ36" s="1452"/>
      <c r="CA36" s="1452"/>
      <c r="CB36" s="1452"/>
      <c r="CC36" s="1452"/>
      <c r="CD36" s="1452"/>
      <c r="CE36" s="1452"/>
      <c r="CF36" s="1452"/>
      <c r="CG36" s="1452"/>
      <c r="CH36" s="1452"/>
      <c r="CI36" s="1452"/>
      <c r="CJ36" s="1452"/>
      <c r="CK36" s="1452"/>
      <c r="CL36" s="1452"/>
      <c r="CM36" s="1452"/>
      <c r="CN36" s="1452"/>
      <c r="CO36" s="1452"/>
      <c r="CP36" s="1452"/>
      <c r="CQ36" s="1452"/>
      <c r="CR36" s="1452"/>
      <c r="CS36" s="1452"/>
      <c r="CT36" s="1452"/>
      <c r="CU36" s="1452"/>
      <c r="CV36" s="1452"/>
      <c r="CW36" s="1452"/>
      <c r="CX36" s="1452"/>
      <c r="CY36" s="1452"/>
      <c r="CZ36" s="1452"/>
      <c r="DA36" s="1452"/>
      <c r="DB36" s="1452"/>
      <c r="DC36" s="1452"/>
      <c r="DD36" s="1452"/>
      <c r="DE36" s="1452"/>
      <c r="DF36" s="1452"/>
      <c r="DG36" s="1452"/>
      <c r="DH36" s="1452"/>
      <c r="DI36" s="1452"/>
      <c r="DJ36" s="1452"/>
      <c r="DK36" s="1452"/>
      <c r="DL36" s="1452"/>
      <c r="DM36" s="1452"/>
      <c r="DN36" s="1452"/>
      <c r="DO36" s="1452"/>
      <c r="DP36" s="1452"/>
      <c r="DQ36" s="1452"/>
      <c r="DR36" s="1452"/>
      <c r="DS36" s="1452"/>
      <c r="DT36" s="1452"/>
      <c r="DU36" s="1452"/>
      <c r="DV36" s="1452"/>
      <c r="DW36" s="1452"/>
      <c r="DX36" s="1452"/>
      <c r="DY36" s="1452"/>
      <c r="DZ36" s="1452"/>
      <c r="EA36" s="1452"/>
      <c r="EB36" s="1452"/>
      <c r="EC36" s="1452"/>
      <c r="ED36" s="1452"/>
      <c r="EE36" s="1452"/>
      <c r="EF36" s="1452"/>
      <c r="EG36" s="1452"/>
      <c r="EH36" s="1452"/>
      <c r="EI36" s="1452"/>
      <c r="EJ36" s="1452"/>
      <c r="EK36" s="1452"/>
      <c r="EL36" s="1452"/>
      <c r="EM36" s="1452"/>
      <c r="EN36" s="1452"/>
      <c r="EO36" s="1452"/>
      <c r="EP36" s="1452"/>
      <c r="EQ36" s="1452"/>
      <c r="ER36" s="1452"/>
      <c r="ES36" s="1452"/>
      <c r="ET36" s="1452"/>
      <c r="EU36" s="1452"/>
      <c r="EV36" s="1452"/>
      <c r="EW36" s="1452"/>
      <c r="EX36" s="1452"/>
      <c r="EY36" s="1452"/>
      <c r="EZ36" s="1452"/>
      <c r="FA36" s="1452"/>
      <c r="FB36" s="1452"/>
      <c r="FC36" s="1452"/>
      <c r="FD36" s="1452"/>
      <c r="FE36" s="1452"/>
      <c r="FF36" s="1452"/>
      <c r="FG36" s="1452"/>
      <c r="FH36" s="1452"/>
      <c r="FI36" s="1452"/>
      <c r="FJ36" s="1452"/>
      <c r="FK36" s="1452"/>
      <c r="FL36" s="1452"/>
      <c r="FM36" s="1452"/>
      <c r="FN36" s="1452"/>
      <c r="FO36" s="1452"/>
      <c r="FP36" s="1452"/>
      <c r="FQ36" s="1452"/>
      <c r="FR36" s="1452"/>
      <c r="FS36" s="1452"/>
      <c r="FT36" s="1452"/>
      <c r="FU36" s="1452"/>
      <c r="FV36" s="1452"/>
      <c r="FW36" s="1452"/>
      <c r="FX36" s="1452"/>
      <c r="FY36" s="1452"/>
      <c r="FZ36" s="1452"/>
      <c r="GA36" s="1452"/>
      <c r="GB36" s="1452"/>
      <c r="GC36" s="1452"/>
      <c r="GD36" s="1452"/>
      <c r="GE36" s="1452"/>
      <c r="GF36" s="1452"/>
      <c r="GG36" s="1452"/>
      <c r="GH36" s="1452"/>
      <c r="GI36" s="1452"/>
      <c r="GJ36" s="1452"/>
      <c r="GK36" s="1452"/>
      <c r="GL36" s="1452"/>
      <c r="GM36" s="1452"/>
      <c r="GN36" s="1452"/>
      <c r="GO36" s="1452"/>
      <c r="GP36" s="1452"/>
      <c r="GQ36" s="1452"/>
      <c r="GR36" s="1452"/>
      <c r="GS36" s="1452"/>
      <c r="GT36" s="1452"/>
      <c r="GU36" s="1452"/>
      <c r="GV36" s="1452"/>
      <c r="GW36" s="1452"/>
      <c r="GX36" s="1452"/>
      <c r="GY36" s="1452"/>
      <c r="GZ36" s="1452"/>
      <c r="HA36" s="1452"/>
      <c r="HB36" s="1452"/>
      <c r="HC36" s="1452"/>
      <c r="HD36" s="1452"/>
      <c r="HE36" s="1452"/>
      <c r="HF36" s="1452"/>
      <c r="HG36" s="1452"/>
      <c r="HH36" s="1452"/>
      <c r="HI36" s="1452"/>
      <c r="HJ36" s="1452"/>
      <c r="HK36" s="1452"/>
      <c r="HL36" s="1452"/>
      <c r="HM36" s="1452"/>
      <c r="HN36" s="1452"/>
      <c r="HO36" s="1452"/>
      <c r="HP36" s="1452"/>
      <c r="HQ36" s="1452"/>
      <c r="HR36" s="1452"/>
      <c r="HS36" s="1452"/>
      <c r="HT36" s="1452"/>
      <c r="HU36" s="1452"/>
      <c r="HV36" s="1452"/>
      <c r="HW36" s="1452"/>
      <c r="HX36" s="1452"/>
      <c r="HY36" s="1452"/>
      <c r="HZ36" s="1452"/>
      <c r="IA36" s="1452"/>
      <c r="IB36" s="1452"/>
      <c r="IC36" s="1452"/>
      <c r="ID36" s="1452"/>
      <c r="IE36" s="1452"/>
      <c r="IF36" s="1452"/>
      <c r="IG36" s="1452"/>
      <c r="IH36" s="1452"/>
      <c r="II36" s="1452"/>
      <c r="IJ36" s="1452"/>
      <c r="IK36" s="1452"/>
      <c r="IL36" s="1452"/>
      <c r="IM36" s="1452"/>
      <c r="IN36" s="1452"/>
      <c r="IO36" s="1452"/>
      <c r="IP36" s="1452"/>
      <c r="IQ36" s="1452"/>
      <c r="IR36" s="1452"/>
      <c r="IS36" s="1452"/>
      <c r="IT36" s="1452"/>
      <c r="IU36" s="1452"/>
      <c r="IV36" s="1452"/>
    </row>
    <row r="37" spans="1:256" ht="24.75" customHeight="1">
      <c r="A37" s="1445"/>
      <c r="B37" s="1454" t="s">
        <v>7143</v>
      </c>
      <c r="C37" s="1455">
        <v>1</v>
      </c>
      <c r="D37" s="1455">
        <v>1</v>
      </c>
      <c r="E37" s="1450">
        <v>3.72</v>
      </c>
      <c r="F37" s="1450">
        <f>2.02+0.46</f>
        <v>2.48</v>
      </c>
      <c r="G37" s="1450"/>
      <c r="H37" s="1450">
        <f t="shared" si="2"/>
        <v>9.23</v>
      </c>
      <c r="I37" s="1451"/>
      <c r="J37" s="1452"/>
      <c r="K37" s="1452"/>
      <c r="L37" s="1452"/>
      <c r="M37" s="1452"/>
      <c r="N37" s="1452"/>
      <c r="O37" s="1452"/>
      <c r="P37" s="1452"/>
      <c r="Q37" s="1452"/>
      <c r="R37" s="1452"/>
      <c r="S37" s="1452"/>
      <c r="T37" s="1452"/>
      <c r="U37" s="1452"/>
      <c r="V37" s="1452"/>
      <c r="W37" s="1452"/>
      <c r="X37" s="1452"/>
      <c r="Y37" s="1452"/>
      <c r="Z37" s="1452"/>
      <c r="AA37" s="1452"/>
      <c r="AB37" s="1452"/>
      <c r="AC37" s="1452"/>
      <c r="AD37" s="1452"/>
      <c r="AE37" s="1452"/>
      <c r="AF37" s="1452"/>
      <c r="AG37" s="1452"/>
      <c r="AH37" s="1452"/>
      <c r="AI37" s="1452"/>
      <c r="AJ37" s="1452"/>
      <c r="AK37" s="1452"/>
      <c r="AL37" s="1452"/>
      <c r="AM37" s="1452"/>
      <c r="AN37" s="1452"/>
      <c r="AO37" s="1452"/>
      <c r="AP37" s="1452"/>
      <c r="AQ37" s="1452"/>
      <c r="AR37" s="1452"/>
      <c r="AS37" s="1452"/>
      <c r="AT37" s="1452"/>
      <c r="AU37" s="1452"/>
      <c r="AV37" s="1452"/>
      <c r="AW37" s="1452"/>
      <c r="AX37" s="1452"/>
      <c r="AY37" s="1452"/>
      <c r="AZ37" s="1452"/>
      <c r="BA37" s="1452"/>
      <c r="BB37" s="1452"/>
      <c r="BC37" s="1452"/>
      <c r="BD37" s="1452"/>
      <c r="BE37" s="1452"/>
      <c r="BF37" s="1452"/>
      <c r="BG37" s="1452"/>
      <c r="BH37" s="1452"/>
      <c r="BI37" s="1452"/>
      <c r="BJ37" s="1452"/>
      <c r="BK37" s="1452"/>
      <c r="BL37" s="1452"/>
      <c r="BM37" s="1452"/>
      <c r="BN37" s="1452"/>
      <c r="BO37" s="1452"/>
      <c r="BP37" s="1452"/>
      <c r="BQ37" s="1452"/>
      <c r="BR37" s="1452"/>
      <c r="BS37" s="1452"/>
      <c r="BT37" s="1452"/>
      <c r="BU37" s="1452"/>
      <c r="BV37" s="1452"/>
      <c r="BW37" s="1452"/>
      <c r="BX37" s="1452"/>
      <c r="BY37" s="1452"/>
      <c r="BZ37" s="1452"/>
      <c r="CA37" s="1452"/>
      <c r="CB37" s="1452"/>
      <c r="CC37" s="1452"/>
      <c r="CD37" s="1452"/>
      <c r="CE37" s="1452"/>
      <c r="CF37" s="1452"/>
      <c r="CG37" s="1452"/>
      <c r="CH37" s="1452"/>
      <c r="CI37" s="1452"/>
      <c r="CJ37" s="1452"/>
      <c r="CK37" s="1452"/>
      <c r="CL37" s="1452"/>
      <c r="CM37" s="1452"/>
      <c r="CN37" s="1452"/>
      <c r="CO37" s="1452"/>
      <c r="CP37" s="1452"/>
      <c r="CQ37" s="1452"/>
      <c r="CR37" s="1452"/>
      <c r="CS37" s="1452"/>
      <c r="CT37" s="1452"/>
      <c r="CU37" s="1452"/>
      <c r="CV37" s="1452"/>
      <c r="CW37" s="1452"/>
      <c r="CX37" s="1452"/>
      <c r="CY37" s="1452"/>
      <c r="CZ37" s="1452"/>
      <c r="DA37" s="1452"/>
      <c r="DB37" s="1452"/>
      <c r="DC37" s="1452"/>
      <c r="DD37" s="1452"/>
      <c r="DE37" s="1452"/>
      <c r="DF37" s="1452"/>
      <c r="DG37" s="1452"/>
      <c r="DH37" s="1452"/>
      <c r="DI37" s="1452"/>
      <c r="DJ37" s="1452"/>
      <c r="DK37" s="1452"/>
      <c r="DL37" s="1452"/>
      <c r="DM37" s="1452"/>
      <c r="DN37" s="1452"/>
      <c r="DO37" s="1452"/>
      <c r="DP37" s="1452"/>
      <c r="DQ37" s="1452"/>
      <c r="DR37" s="1452"/>
      <c r="DS37" s="1452"/>
      <c r="DT37" s="1452"/>
      <c r="DU37" s="1452"/>
      <c r="DV37" s="1452"/>
      <c r="DW37" s="1452"/>
      <c r="DX37" s="1452"/>
      <c r="DY37" s="1452"/>
      <c r="DZ37" s="1452"/>
      <c r="EA37" s="1452"/>
      <c r="EB37" s="1452"/>
      <c r="EC37" s="1452"/>
      <c r="ED37" s="1452"/>
      <c r="EE37" s="1452"/>
      <c r="EF37" s="1452"/>
      <c r="EG37" s="1452"/>
      <c r="EH37" s="1452"/>
      <c r="EI37" s="1452"/>
      <c r="EJ37" s="1452"/>
      <c r="EK37" s="1452"/>
      <c r="EL37" s="1452"/>
      <c r="EM37" s="1452"/>
      <c r="EN37" s="1452"/>
      <c r="EO37" s="1452"/>
      <c r="EP37" s="1452"/>
      <c r="EQ37" s="1452"/>
      <c r="ER37" s="1452"/>
      <c r="ES37" s="1452"/>
      <c r="ET37" s="1452"/>
      <c r="EU37" s="1452"/>
      <c r="EV37" s="1452"/>
      <c r="EW37" s="1452"/>
      <c r="EX37" s="1452"/>
      <c r="EY37" s="1452"/>
      <c r="EZ37" s="1452"/>
      <c r="FA37" s="1452"/>
      <c r="FB37" s="1452"/>
      <c r="FC37" s="1452"/>
      <c r="FD37" s="1452"/>
      <c r="FE37" s="1452"/>
      <c r="FF37" s="1452"/>
      <c r="FG37" s="1452"/>
      <c r="FH37" s="1452"/>
      <c r="FI37" s="1452"/>
      <c r="FJ37" s="1452"/>
      <c r="FK37" s="1452"/>
      <c r="FL37" s="1452"/>
      <c r="FM37" s="1452"/>
      <c r="FN37" s="1452"/>
      <c r="FO37" s="1452"/>
      <c r="FP37" s="1452"/>
      <c r="FQ37" s="1452"/>
      <c r="FR37" s="1452"/>
      <c r="FS37" s="1452"/>
      <c r="FT37" s="1452"/>
      <c r="FU37" s="1452"/>
      <c r="FV37" s="1452"/>
      <c r="FW37" s="1452"/>
      <c r="FX37" s="1452"/>
      <c r="FY37" s="1452"/>
      <c r="FZ37" s="1452"/>
      <c r="GA37" s="1452"/>
      <c r="GB37" s="1452"/>
      <c r="GC37" s="1452"/>
      <c r="GD37" s="1452"/>
      <c r="GE37" s="1452"/>
      <c r="GF37" s="1452"/>
      <c r="GG37" s="1452"/>
      <c r="GH37" s="1452"/>
      <c r="GI37" s="1452"/>
      <c r="GJ37" s="1452"/>
      <c r="GK37" s="1452"/>
      <c r="GL37" s="1452"/>
      <c r="GM37" s="1452"/>
      <c r="GN37" s="1452"/>
      <c r="GO37" s="1452"/>
      <c r="GP37" s="1452"/>
      <c r="GQ37" s="1452"/>
      <c r="GR37" s="1452"/>
      <c r="GS37" s="1452"/>
      <c r="GT37" s="1452"/>
      <c r="GU37" s="1452"/>
      <c r="GV37" s="1452"/>
      <c r="GW37" s="1452"/>
      <c r="GX37" s="1452"/>
      <c r="GY37" s="1452"/>
      <c r="GZ37" s="1452"/>
      <c r="HA37" s="1452"/>
      <c r="HB37" s="1452"/>
      <c r="HC37" s="1452"/>
      <c r="HD37" s="1452"/>
      <c r="HE37" s="1452"/>
      <c r="HF37" s="1452"/>
      <c r="HG37" s="1452"/>
      <c r="HH37" s="1452"/>
      <c r="HI37" s="1452"/>
      <c r="HJ37" s="1452"/>
      <c r="HK37" s="1452"/>
      <c r="HL37" s="1452"/>
      <c r="HM37" s="1452"/>
      <c r="HN37" s="1452"/>
      <c r="HO37" s="1452"/>
      <c r="HP37" s="1452"/>
      <c r="HQ37" s="1452"/>
      <c r="HR37" s="1452"/>
      <c r="HS37" s="1452"/>
      <c r="HT37" s="1452"/>
      <c r="HU37" s="1452"/>
      <c r="HV37" s="1452"/>
      <c r="HW37" s="1452"/>
      <c r="HX37" s="1452"/>
      <c r="HY37" s="1452"/>
      <c r="HZ37" s="1452"/>
      <c r="IA37" s="1452"/>
      <c r="IB37" s="1452"/>
      <c r="IC37" s="1452"/>
      <c r="ID37" s="1452"/>
      <c r="IE37" s="1452"/>
      <c r="IF37" s="1452"/>
      <c r="IG37" s="1452"/>
      <c r="IH37" s="1452"/>
      <c r="II37" s="1452"/>
      <c r="IJ37" s="1452"/>
      <c r="IK37" s="1452"/>
      <c r="IL37" s="1452"/>
      <c r="IM37" s="1452"/>
      <c r="IN37" s="1452"/>
      <c r="IO37" s="1452"/>
      <c r="IP37" s="1452"/>
      <c r="IQ37" s="1452"/>
      <c r="IR37" s="1452"/>
      <c r="IS37" s="1452"/>
      <c r="IT37" s="1452"/>
      <c r="IU37" s="1452"/>
      <c r="IV37" s="1452"/>
    </row>
    <row r="38" spans="1:256" ht="27" customHeight="1">
      <c r="A38" s="1445"/>
      <c r="B38" s="772"/>
      <c r="C38" s="1445"/>
      <c r="D38" s="1445"/>
      <c r="E38" s="1450"/>
      <c r="F38" s="1450"/>
      <c r="G38" s="1459" t="s">
        <v>2235</v>
      </c>
      <c r="H38" s="1456">
        <f>SUM(H33:H37)</f>
        <v>23.02</v>
      </c>
      <c r="I38" s="1451" t="s">
        <v>2273</v>
      </c>
      <c r="J38" s="1452"/>
      <c r="K38" s="1452"/>
      <c r="L38" s="1452"/>
      <c r="M38" s="1452"/>
      <c r="N38" s="1452"/>
      <c r="O38" s="1452"/>
      <c r="P38" s="1452"/>
      <c r="Q38" s="1452"/>
      <c r="R38" s="1452"/>
      <c r="S38" s="1452"/>
      <c r="T38" s="1452"/>
      <c r="U38" s="1452"/>
      <c r="V38" s="1452"/>
      <c r="W38" s="1452"/>
      <c r="X38" s="1452"/>
      <c r="Y38" s="1452"/>
      <c r="Z38" s="1452"/>
      <c r="AA38" s="1452"/>
      <c r="AB38" s="1452"/>
      <c r="AC38" s="1452"/>
      <c r="AD38" s="1452"/>
      <c r="AE38" s="1452"/>
      <c r="AF38" s="1452"/>
      <c r="AG38" s="1452"/>
      <c r="AH38" s="1452"/>
      <c r="AI38" s="1452"/>
      <c r="AJ38" s="1452"/>
      <c r="AK38" s="1452"/>
      <c r="AL38" s="1452"/>
      <c r="AM38" s="1452"/>
      <c r="AN38" s="1452"/>
      <c r="AO38" s="1452"/>
      <c r="AP38" s="1452"/>
      <c r="AQ38" s="1452"/>
      <c r="AR38" s="1452"/>
      <c r="AS38" s="1452"/>
      <c r="AT38" s="1452"/>
      <c r="AU38" s="1452"/>
      <c r="AV38" s="1452"/>
      <c r="AW38" s="1452"/>
      <c r="AX38" s="1452"/>
      <c r="AY38" s="1452"/>
      <c r="AZ38" s="1452"/>
      <c r="BA38" s="1452"/>
      <c r="BB38" s="1452"/>
      <c r="BC38" s="1452"/>
      <c r="BD38" s="1452"/>
      <c r="BE38" s="1452"/>
      <c r="BF38" s="1452"/>
      <c r="BG38" s="1452"/>
      <c r="BH38" s="1452"/>
      <c r="BI38" s="1452"/>
      <c r="BJ38" s="1452"/>
      <c r="BK38" s="1452"/>
      <c r="BL38" s="1452"/>
      <c r="BM38" s="1452"/>
      <c r="BN38" s="1452"/>
      <c r="BO38" s="1452"/>
      <c r="BP38" s="1452"/>
      <c r="BQ38" s="1452"/>
      <c r="BR38" s="1452"/>
      <c r="BS38" s="1452"/>
      <c r="BT38" s="1452"/>
      <c r="BU38" s="1452"/>
      <c r="BV38" s="1452"/>
      <c r="BW38" s="1452"/>
      <c r="BX38" s="1452"/>
      <c r="BY38" s="1452"/>
      <c r="BZ38" s="1452"/>
      <c r="CA38" s="1452"/>
      <c r="CB38" s="1452"/>
      <c r="CC38" s="1452"/>
      <c r="CD38" s="1452"/>
      <c r="CE38" s="1452"/>
      <c r="CF38" s="1452"/>
      <c r="CG38" s="1452"/>
      <c r="CH38" s="1452"/>
      <c r="CI38" s="1452"/>
      <c r="CJ38" s="1452"/>
      <c r="CK38" s="1452"/>
      <c r="CL38" s="1452"/>
      <c r="CM38" s="1452"/>
      <c r="CN38" s="1452"/>
      <c r="CO38" s="1452"/>
      <c r="CP38" s="1452"/>
      <c r="CQ38" s="1452"/>
      <c r="CR38" s="1452"/>
      <c r="CS38" s="1452"/>
      <c r="CT38" s="1452"/>
      <c r="CU38" s="1452"/>
      <c r="CV38" s="1452"/>
      <c r="CW38" s="1452"/>
      <c r="CX38" s="1452"/>
      <c r="CY38" s="1452"/>
      <c r="CZ38" s="1452"/>
      <c r="DA38" s="1452"/>
      <c r="DB38" s="1452"/>
      <c r="DC38" s="1452"/>
      <c r="DD38" s="1452"/>
      <c r="DE38" s="1452"/>
      <c r="DF38" s="1452"/>
      <c r="DG38" s="1452"/>
      <c r="DH38" s="1452"/>
      <c r="DI38" s="1452"/>
      <c r="DJ38" s="1452"/>
      <c r="DK38" s="1452"/>
      <c r="DL38" s="1452"/>
      <c r="DM38" s="1452"/>
      <c r="DN38" s="1452"/>
      <c r="DO38" s="1452"/>
      <c r="DP38" s="1452"/>
      <c r="DQ38" s="1452"/>
      <c r="DR38" s="1452"/>
      <c r="DS38" s="1452"/>
      <c r="DT38" s="1452"/>
      <c r="DU38" s="1452"/>
      <c r="DV38" s="1452"/>
      <c r="DW38" s="1452"/>
      <c r="DX38" s="1452"/>
      <c r="DY38" s="1452"/>
      <c r="DZ38" s="1452"/>
      <c r="EA38" s="1452"/>
      <c r="EB38" s="1452"/>
      <c r="EC38" s="1452"/>
      <c r="ED38" s="1452"/>
      <c r="EE38" s="1452"/>
      <c r="EF38" s="1452"/>
      <c r="EG38" s="1452"/>
      <c r="EH38" s="1452"/>
      <c r="EI38" s="1452"/>
      <c r="EJ38" s="1452"/>
      <c r="EK38" s="1452"/>
      <c r="EL38" s="1452"/>
      <c r="EM38" s="1452"/>
      <c r="EN38" s="1452"/>
      <c r="EO38" s="1452"/>
      <c r="EP38" s="1452"/>
      <c r="EQ38" s="1452"/>
      <c r="ER38" s="1452"/>
      <c r="ES38" s="1452"/>
      <c r="ET38" s="1452"/>
      <c r="EU38" s="1452"/>
      <c r="EV38" s="1452"/>
      <c r="EW38" s="1452"/>
      <c r="EX38" s="1452"/>
      <c r="EY38" s="1452"/>
      <c r="EZ38" s="1452"/>
      <c r="FA38" s="1452"/>
      <c r="FB38" s="1452"/>
      <c r="FC38" s="1452"/>
      <c r="FD38" s="1452"/>
      <c r="FE38" s="1452"/>
      <c r="FF38" s="1452"/>
      <c r="FG38" s="1452"/>
      <c r="FH38" s="1452"/>
      <c r="FI38" s="1452"/>
      <c r="FJ38" s="1452"/>
      <c r="FK38" s="1452"/>
      <c r="FL38" s="1452"/>
      <c r="FM38" s="1452"/>
      <c r="FN38" s="1452"/>
      <c r="FO38" s="1452"/>
      <c r="FP38" s="1452"/>
      <c r="FQ38" s="1452"/>
      <c r="FR38" s="1452"/>
      <c r="FS38" s="1452"/>
      <c r="FT38" s="1452"/>
      <c r="FU38" s="1452"/>
      <c r="FV38" s="1452"/>
      <c r="FW38" s="1452"/>
      <c r="FX38" s="1452"/>
      <c r="FY38" s="1452"/>
      <c r="FZ38" s="1452"/>
      <c r="GA38" s="1452"/>
      <c r="GB38" s="1452"/>
      <c r="GC38" s="1452"/>
      <c r="GD38" s="1452"/>
      <c r="GE38" s="1452"/>
      <c r="GF38" s="1452"/>
      <c r="GG38" s="1452"/>
      <c r="GH38" s="1452"/>
      <c r="GI38" s="1452"/>
      <c r="GJ38" s="1452"/>
      <c r="GK38" s="1452"/>
      <c r="GL38" s="1452"/>
      <c r="GM38" s="1452"/>
      <c r="GN38" s="1452"/>
      <c r="GO38" s="1452"/>
      <c r="GP38" s="1452"/>
      <c r="GQ38" s="1452"/>
      <c r="GR38" s="1452"/>
      <c r="GS38" s="1452"/>
      <c r="GT38" s="1452"/>
      <c r="GU38" s="1452"/>
      <c r="GV38" s="1452"/>
      <c r="GW38" s="1452"/>
      <c r="GX38" s="1452"/>
      <c r="GY38" s="1452"/>
      <c r="GZ38" s="1452"/>
      <c r="HA38" s="1452"/>
      <c r="HB38" s="1452"/>
      <c r="HC38" s="1452"/>
      <c r="HD38" s="1452"/>
      <c r="HE38" s="1452"/>
      <c r="HF38" s="1452"/>
      <c r="HG38" s="1452"/>
      <c r="HH38" s="1452"/>
      <c r="HI38" s="1452"/>
      <c r="HJ38" s="1452"/>
      <c r="HK38" s="1452"/>
      <c r="HL38" s="1452"/>
      <c r="HM38" s="1452"/>
      <c r="HN38" s="1452"/>
      <c r="HO38" s="1452"/>
      <c r="HP38" s="1452"/>
      <c r="HQ38" s="1452"/>
      <c r="HR38" s="1452"/>
      <c r="HS38" s="1452"/>
      <c r="HT38" s="1452"/>
      <c r="HU38" s="1452"/>
      <c r="HV38" s="1452"/>
      <c r="HW38" s="1452"/>
      <c r="HX38" s="1452"/>
      <c r="HY38" s="1452"/>
      <c r="HZ38" s="1452"/>
      <c r="IA38" s="1452"/>
      <c r="IB38" s="1452"/>
      <c r="IC38" s="1452"/>
      <c r="ID38" s="1452"/>
      <c r="IE38" s="1452"/>
      <c r="IF38" s="1452"/>
      <c r="IG38" s="1452"/>
      <c r="IH38" s="1452"/>
      <c r="II38" s="1452"/>
      <c r="IJ38" s="1452"/>
      <c r="IK38" s="1452"/>
      <c r="IL38" s="1452"/>
      <c r="IM38" s="1452"/>
      <c r="IN38" s="1452"/>
      <c r="IO38" s="1452"/>
      <c r="IP38" s="1452"/>
      <c r="IQ38" s="1452"/>
      <c r="IR38" s="1452"/>
      <c r="IS38" s="1452"/>
      <c r="IT38" s="1452"/>
      <c r="IU38" s="1452"/>
      <c r="IV38" s="1452"/>
    </row>
    <row r="39" spans="1:256" ht="27" customHeight="1">
      <c r="A39" s="1445"/>
      <c r="B39" s="1458"/>
      <c r="C39" s="1445"/>
      <c r="D39" s="1445"/>
      <c r="E39" s="1448"/>
      <c r="F39" s="1448"/>
      <c r="G39" s="1459" t="s">
        <v>4209</v>
      </c>
      <c r="H39" s="1456">
        <f>ROUNDUP(H38,1)</f>
        <v>23.1</v>
      </c>
      <c r="I39" s="1451"/>
      <c r="J39" s="1452"/>
      <c r="K39" s="1452"/>
      <c r="L39" s="1452"/>
      <c r="M39" s="1452"/>
      <c r="N39" s="1452"/>
      <c r="O39" s="1452"/>
      <c r="P39" s="1452"/>
      <c r="Q39" s="1452"/>
      <c r="R39" s="1452"/>
      <c r="S39" s="1452"/>
      <c r="T39" s="1452"/>
      <c r="U39" s="1452"/>
      <c r="V39" s="1452"/>
      <c r="W39" s="1452"/>
      <c r="X39" s="1452"/>
      <c r="Y39" s="1452"/>
      <c r="Z39" s="1452"/>
      <c r="AA39" s="1452"/>
      <c r="AB39" s="1452"/>
      <c r="AC39" s="1452"/>
      <c r="AD39" s="1452"/>
      <c r="AE39" s="1452"/>
      <c r="AF39" s="1452"/>
      <c r="AG39" s="1452"/>
      <c r="AH39" s="1452"/>
      <c r="AI39" s="1452"/>
      <c r="AJ39" s="1452"/>
      <c r="AK39" s="1452"/>
      <c r="AL39" s="1452"/>
      <c r="AM39" s="1452"/>
      <c r="AN39" s="1452"/>
      <c r="AO39" s="1452"/>
      <c r="AP39" s="1452"/>
      <c r="AQ39" s="1452"/>
      <c r="AR39" s="1452"/>
      <c r="AS39" s="1452"/>
      <c r="AT39" s="1452"/>
      <c r="AU39" s="1452"/>
      <c r="AV39" s="1452"/>
      <c r="AW39" s="1452"/>
      <c r="AX39" s="1452"/>
      <c r="AY39" s="1452"/>
      <c r="AZ39" s="1452"/>
      <c r="BA39" s="1452"/>
      <c r="BB39" s="1452"/>
      <c r="BC39" s="1452"/>
      <c r="BD39" s="1452"/>
      <c r="BE39" s="1452"/>
      <c r="BF39" s="1452"/>
      <c r="BG39" s="1452"/>
      <c r="BH39" s="1452"/>
      <c r="BI39" s="1452"/>
      <c r="BJ39" s="1452"/>
      <c r="BK39" s="1452"/>
      <c r="BL39" s="1452"/>
      <c r="BM39" s="1452"/>
      <c r="BN39" s="1452"/>
      <c r="BO39" s="1452"/>
      <c r="BP39" s="1452"/>
      <c r="BQ39" s="1452"/>
      <c r="BR39" s="1452"/>
      <c r="BS39" s="1452"/>
      <c r="BT39" s="1452"/>
      <c r="BU39" s="1452"/>
      <c r="BV39" s="1452"/>
      <c r="BW39" s="1452"/>
      <c r="BX39" s="1452"/>
      <c r="BY39" s="1452"/>
      <c r="BZ39" s="1452"/>
      <c r="CA39" s="1452"/>
      <c r="CB39" s="1452"/>
      <c r="CC39" s="1452"/>
      <c r="CD39" s="1452"/>
      <c r="CE39" s="1452"/>
      <c r="CF39" s="1452"/>
      <c r="CG39" s="1452"/>
      <c r="CH39" s="1452"/>
      <c r="CI39" s="1452"/>
      <c r="CJ39" s="1452"/>
      <c r="CK39" s="1452"/>
      <c r="CL39" s="1452"/>
      <c r="CM39" s="1452"/>
      <c r="CN39" s="1452"/>
      <c r="CO39" s="1452"/>
      <c r="CP39" s="1452"/>
      <c r="CQ39" s="1452"/>
      <c r="CR39" s="1452"/>
      <c r="CS39" s="1452"/>
      <c r="CT39" s="1452"/>
      <c r="CU39" s="1452"/>
      <c r="CV39" s="1452"/>
      <c r="CW39" s="1452"/>
      <c r="CX39" s="1452"/>
      <c r="CY39" s="1452"/>
      <c r="CZ39" s="1452"/>
      <c r="DA39" s="1452"/>
      <c r="DB39" s="1452"/>
      <c r="DC39" s="1452"/>
      <c r="DD39" s="1452"/>
      <c r="DE39" s="1452"/>
      <c r="DF39" s="1452"/>
      <c r="DG39" s="1452"/>
      <c r="DH39" s="1452"/>
      <c r="DI39" s="1452"/>
      <c r="DJ39" s="1452"/>
      <c r="DK39" s="1452"/>
      <c r="DL39" s="1452"/>
      <c r="DM39" s="1452"/>
      <c r="DN39" s="1452"/>
      <c r="DO39" s="1452"/>
      <c r="DP39" s="1452"/>
      <c r="DQ39" s="1452"/>
      <c r="DR39" s="1452"/>
      <c r="DS39" s="1452"/>
      <c r="DT39" s="1452"/>
      <c r="DU39" s="1452"/>
      <c r="DV39" s="1452"/>
      <c r="DW39" s="1452"/>
      <c r="DX39" s="1452"/>
      <c r="DY39" s="1452"/>
      <c r="DZ39" s="1452"/>
      <c r="EA39" s="1452"/>
      <c r="EB39" s="1452"/>
      <c r="EC39" s="1452"/>
      <c r="ED39" s="1452"/>
      <c r="EE39" s="1452"/>
      <c r="EF39" s="1452"/>
      <c r="EG39" s="1452"/>
      <c r="EH39" s="1452"/>
      <c r="EI39" s="1452"/>
      <c r="EJ39" s="1452"/>
      <c r="EK39" s="1452"/>
      <c r="EL39" s="1452"/>
      <c r="EM39" s="1452"/>
      <c r="EN39" s="1452"/>
      <c r="EO39" s="1452"/>
      <c r="EP39" s="1452"/>
      <c r="EQ39" s="1452"/>
      <c r="ER39" s="1452"/>
      <c r="ES39" s="1452"/>
      <c r="ET39" s="1452"/>
      <c r="EU39" s="1452"/>
      <c r="EV39" s="1452"/>
      <c r="EW39" s="1452"/>
      <c r="EX39" s="1452"/>
      <c r="EY39" s="1452"/>
      <c r="EZ39" s="1452"/>
      <c r="FA39" s="1452"/>
      <c r="FB39" s="1452"/>
      <c r="FC39" s="1452"/>
      <c r="FD39" s="1452"/>
      <c r="FE39" s="1452"/>
      <c r="FF39" s="1452"/>
      <c r="FG39" s="1452"/>
      <c r="FH39" s="1452"/>
      <c r="FI39" s="1452"/>
      <c r="FJ39" s="1452"/>
      <c r="FK39" s="1452"/>
      <c r="FL39" s="1452"/>
      <c r="FM39" s="1452"/>
      <c r="FN39" s="1452"/>
      <c r="FO39" s="1452"/>
      <c r="FP39" s="1452"/>
      <c r="FQ39" s="1452"/>
      <c r="FR39" s="1452"/>
      <c r="FS39" s="1452"/>
      <c r="FT39" s="1452"/>
      <c r="FU39" s="1452"/>
      <c r="FV39" s="1452"/>
      <c r="FW39" s="1452"/>
      <c r="FX39" s="1452"/>
      <c r="FY39" s="1452"/>
      <c r="FZ39" s="1452"/>
      <c r="GA39" s="1452"/>
      <c r="GB39" s="1452"/>
      <c r="GC39" s="1452"/>
      <c r="GD39" s="1452"/>
      <c r="GE39" s="1452"/>
      <c r="GF39" s="1452"/>
      <c r="GG39" s="1452"/>
      <c r="GH39" s="1452"/>
      <c r="GI39" s="1452"/>
      <c r="GJ39" s="1452"/>
      <c r="GK39" s="1452"/>
      <c r="GL39" s="1452"/>
      <c r="GM39" s="1452"/>
      <c r="GN39" s="1452"/>
      <c r="GO39" s="1452"/>
      <c r="GP39" s="1452"/>
      <c r="GQ39" s="1452"/>
      <c r="GR39" s="1452"/>
      <c r="GS39" s="1452"/>
      <c r="GT39" s="1452"/>
      <c r="GU39" s="1452"/>
      <c r="GV39" s="1452"/>
      <c r="GW39" s="1452"/>
      <c r="GX39" s="1452"/>
      <c r="GY39" s="1452"/>
      <c r="GZ39" s="1452"/>
      <c r="HA39" s="1452"/>
      <c r="HB39" s="1452"/>
      <c r="HC39" s="1452"/>
      <c r="HD39" s="1452"/>
      <c r="HE39" s="1452"/>
      <c r="HF39" s="1452"/>
      <c r="HG39" s="1452"/>
      <c r="HH39" s="1452"/>
      <c r="HI39" s="1452"/>
      <c r="HJ39" s="1452"/>
      <c r="HK39" s="1452"/>
      <c r="HL39" s="1452"/>
      <c r="HM39" s="1452"/>
      <c r="HN39" s="1452"/>
      <c r="HO39" s="1452"/>
      <c r="HP39" s="1452"/>
      <c r="HQ39" s="1452"/>
      <c r="HR39" s="1452"/>
      <c r="HS39" s="1452"/>
      <c r="HT39" s="1452"/>
      <c r="HU39" s="1452"/>
      <c r="HV39" s="1452"/>
      <c r="HW39" s="1452"/>
      <c r="HX39" s="1452"/>
      <c r="HY39" s="1452"/>
      <c r="HZ39" s="1452"/>
      <c r="IA39" s="1452"/>
      <c r="IB39" s="1452"/>
      <c r="IC39" s="1452"/>
      <c r="ID39" s="1452"/>
      <c r="IE39" s="1452"/>
      <c r="IF39" s="1452"/>
      <c r="IG39" s="1452"/>
      <c r="IH39" s="1452"/>
      <c r="II39" s="1452"/>
      <c r="IJ39" s="1452"/>
      <c r="IK39" s="1452"/>
      <c r="IL39" s="1452"/>
      <c r="IM39" s="1452"/>
      <c r="IN39" s="1452"/>
      <c r="IO39" s="1452"/>
      <c r="IP39" s="1452"/>
      <c r="IQ39" s="1452"/>
      <c r="IR39" s="1452"/>
      <c r="IS39" s="1452"/>
      <c r="IT39" s="1452"/>
      <c r="IU39" s="1452"/>
      <c r="IV39" s="1452"/>
    </row>
    <row r="40" spans="1:256" ht="24" customHeight="1">
      <c r="A40" s="1461">
        <v>38.4</v>
      </c>
      <c r="B40" s="1462" t="s">
        <v>7149</v>
      </c>
      <c r="C40" s="1463"/>
      <c r="D40" s="1463"/>
      <c r="E40" s="1463"/>
      <c r="F40" s="1463"/>
      <c r="G40" s="1464"/>
      <c r="H40" s="1465"/>
      <c r="I40" s="1451"/>
      <c r="J40" s="1452"/>
      <c r="K40" s="1452"/>
      <c r="L40" s="1452"/>
      <c r="M40" s="1452"/>
      <c r="N40" s="1452"/>
      <c r="O40" s="1452"/>
      <c r="P40" s="1452"/>
      <c r="Q40" s="1452"/>
      <c r="R40" s="1452"/>
      <c r="S40" s="1452"/>
      <c r="T40" s="1452"/>
      <c r="U40" s="1452"/>
      <c r="V40" s="1452"/>
      <c r="W40" s="1452"/>
      <c r="X40" s="1452"/>
      <c r="Y40" s="1452"/>
      <c r="Z40" s="1452"/>
      <c r="AA40" s="1452"/>
      <c r="AB40" s="1452"/>
      <c r="AC40" s="1452"/>
      <c r="AD40" s="1452"/>
      <c r="AE40" s="1452"/>
      <c r="AF40" s="1452"/>
      <c r="AG40" s="1452"/>
      <c r="AH40" s="1452"/>
      <c r="AI40" s="1452"/>
      <c r="AJ40" s="1452"/>
      <c r="AK40" s="1452"/>
      <c r="AL40" s="1452"/>
      <c r="AM40" s="1452"/>
      <c r="AN40" s="1452"/>
      <c r="AO40" s="1452"/>
      <c r="AP40" s="1452"/>
      <c r="AQ40" s="1452"/>
      <c r="AR40" s="1452"/>
      <c r="AS40" s="1452"/>
      <c r="AT40" s="1452"/>
      <c r="AU40" s="1452"/>
      <c r="AV40" s="1452"/>
      <c r="AW40" s="1452"/>
      <c r="AX40" s="1452"/>
      <c r="AY40" s="1452"/>
      <c r="AZ40" s="1452"/>
      <c r="BA40" s="1452"/>
      <c r="BB40" s="1452"/>
      <c r="BC40" s="1452"/>
      <c r="BD40" s="1452"/>
      <c r="BE40" s="1452"/>
      <c r="BF40" s="1452"/>
      <c r="BG40" s="1452"/>
      <c r="BH40" s="1452"/>
      <c r="BI40" s="1452"/>
      <c r="BJ40" s="1452"/>
      <c r="BK40" s="1452"/>
      <c r="BL40" s="1452"/>
      <c r="BM40" s="1452"/>
      <c r="BN40" s="1452"/>
      <c r="BO40" s="1452"/>
      <c r="BP40" s="1452"/>
      <c r="BQ40" s="1452"/>
      <c r="BR40" s="1452"/>
      <c r="BS40" s="1452"/>
      <c r="BT40" s="1452"/>
      <c r="BU40" s="1452"/>
      <c r="BV40" s="1452"/>
      <c r="BW40" s="1452"/>
      <c r="BX40" s="1452"/>
      <c r="BY40" s="1452"/>
      <c r="BZ40" s="1452"/>
      <c r="CA40" s="1452"/>
      <c r="CB40" s="1452"/>
      <c r="CC40" s="1452"/>
      <c r="CD40" s="1452"/>
      <c r="CE40" s="1452"/>
      <c r="CF40" s="1452"/>
      <c r="CG40" s="1452"/>
      <c r="CH40" s="1452"/>
      <c r="CI40" s="1452"/>
      <c r="CJ40" s="1452"/>
      <c r="CK40" s="1452"/>
      <c r="CL40" s="1452"/>
      <c r="CM40" s="1452"/>
      <c r="CN40" s="1452"/>
      <c r="CO40" s="1452"/>
      <c r="CP40" s="1452"/>
      <c r="CQ40" s="1452"/>
      <c r="CR40" s="1452"/>
      <c r="CS40" s="1452"/>
      <c r="CT40" s="1452"/>
      <c r="CU40" s="1452"/>
      <c r="CV40" s="1452"/>
      <c r="CW40" s="1452"/>
      <c r="CX40" s="1452"/>
      <c r="CY40" s="1452"/>
      <c r="CZ40" s="1452"/>
      <c r="DA40" s="1452"/>
      <c r="DB40" s="1452"/>
      <c r="DC40" s="1452"/>
      <c r="DD40" s="1452"/>
      <c r="DE40" s="1452"/>
      <c r="DF40" s="1452"/>
      <c r="DG40" s="1452"/>
      <c r="DH40" s="1452"/>
      <c r="DI40" s="1452"/>
      <c r="DJ40" s="1452"/>
      <c r="DK40" s="1452"/>
      <c r="DL40" s="1452"/>
      <c r="DM40" s="1452"/>
      <c r="DN40" s="1452"/>
      <c r="DO40" s="1452"/>
      <c r="DP40" s="1452"/>
      <c r="DQ40" s="1452"/>
      <c r="DR40" s="1452"/>
      <c r="DS40" s="1452"/>
      <c r="DT40" s="1452"/>
      <c r="DU40" s="1452"/>
      <c r="DV40" s="1452"/>
      <c r="DW40" s="1452"/>
      <c r="DX40" s="1452"/>
      <c r="DY40" s="1452"/>
      <c r="DZ40" s="1452"/>
      <c r="EA40" s="1452"/>
      <c r="EB40" s="1452"/>
      <c r="EC40" s="1452"/>
      <c r="ED40" s="1452"/>
      <c r="EE40" s="1452"/>
      <c r="EF40" s="1452"/>
      <c r="EG40" s="1452"/>
      <c r="EH40" s="1452"/>
      <c r="EI40" s="1452"/>
      <c r="EJ40" s="1452"/>
      <c r="EK40" s="1452"/>
      <c r="EL40" s="1452"/>
      <c r="EM40" s="1452"/>
      <c r="EN40" s="1452"/>
      <c r="EO40" s="1452"/>
      <c r="EP40" s="1452"/>
      <c r="EQ40" s="1452"/>
      <c r="ER40" s="1452"/>
      <c r="ES40" s="1452"/>
      <c r="ET40" s="1452"/>
      <c r="EU40" s="1452"/>
      <c r="EV40" s="1452"/>
      <c r="EW40" s="1452"/>
      <c r="EX40" s="1452"/>
      <c r="EY40" s="1452"/>
      <c r="EZ40" s="1452"/>
      <c r="FA40" s="1452"/>
      <c r="FB40" s="1452"/>
      <c r="FC40" s="1452"/>
      <c r="FD40" s="1452"/>
      <c r="FE40" s="1452"/>
      <c r="FF40" s="1452"/>
      <c r="FG40" s="1452"/>
      <c r="FH40" s="1452"/>
      <c r="FI40" s="1452"/>
      <c r="FJ40" s="1452"/>
      <c r="FK40" s="1452"/>
      <c r="FL40" s="1452"/>
      <c r="FM40" s="1452"/>
      <c r="FN40" s="1452"/>
      <c r="FO40" s="1452"/>
      <c r="FP40" s="1452"/>
      <c r="FQ40" s="1452"/>
      <c r="FR40" s="1452"/>
      <c r="FS40" s="1452"/>
      <c r="FT40" s="1452"/>
      <c r="FU40" s="1452"/>
      <c r="FV40" s="1452"/>
      <c r="FW40" s="1452"/>
      <c r="FX40" s="1452"/>
      <c r="FY40" s="1452"/>
      <c r="FZ40" s="1452"/>
      <c r="GA40" s="1452"/>
      <c r="GB40" s="1452"/>
      <c r="GC40" s="1452"/>
      <c r="GD40" s="1452"/>
      <c r="GE40" s="1452"/>
      <c r="GF40" s="1452"/>
      <c r="GG40" s="1452"/>
      <c r="GH40" s="1452"/>
      <c r="GI40" s="1452"/>
      <c r="GJ40" s="1452"/>
      <c r="GK40" s="1452"/>
      <c r="GL40" s="1452"/>
      <c r="GM40" s="1452"/>
      <c r="GN40" s="1452"/>
      <c r="GO40" s="1452"/>
      <c r="GP40" s="1452"/>
      <c r="GQ40" s="1452"/>
      <c r="GR40" s="1452"/>
      <c r="GS40" s="1452"/>
      <c r="GT40" s="1452"/>
      <c r="GU40" s="1452"/>
      <c r="GV40" s="1452"/>
      <c r="GW40" s="1452"/>
      <c r="GX40" s="1452"/>
      <c r="GY40" s="1452"/>
      <c r="GZ40" s="1452"/>
      <c r="HA40" s="1452"/>
      <c r="HB40" s="1452"/>
      <c r="HC40" s="1452"/>
      <c r="HD40" s="1452"/>
      <c r="HE40" s="1452"/>
      <c r="HF40" s="1452"/>
      <c r="HG40" s="1452"/>
      <c r="HH40" s="1452"/>
      <c r="HI40" s="1452"/>
      <c r="HJ40" s="1452"/>
      <c r="HK40" s="1452"/>
      <c r="HL40" s="1452"/>
      <c r="HM40" s="1452"/>
      <c r="HN40" s="1452"/>
      <c r="HO40" s="1452"/>
      <c r="HP40" s="1452"/>
      <c r="HQ40" s="1452"/>
      <c r="HR40" s="1452"/>
      <c r="HS40" s="1452"/>
      <c r="HT40" s="1452"/>
      <c r="HU40" s="1452"/>
      <c r="HV40" s="1452"/>
      <c r="HW40" s="1452"/>
      <c r="HX40" s="1452"/>
      <c r="HY40" s="1452"/>
      <c r="HZ40" s="1452"/>
      <c r="IA40" s="1452"/>
      <c r="IB40" s="1452"/>
      <c r="IC40" s="1452"/>
      <c r="ID40" s="1452"/>
      <c r="IE40" s="1452"/>
      <c r="IF40" s="1452"/>
      <c r="IG40" s="1452"/>
      <c r="IH40" s="1452"/>
      <c r="II40" s="1452"/>
      <c r="IJ40" s="1452"/>
      <c r="IK40" s="1452"/>
      <c r="IL40" s="1452"/>
      <c r="IM40" s="1452"/>
      <c r="IN40" s="1452"/>
      <c r="IO40" s="1452"/>
      <c r="IP40" s="1452"/>
      <c r="IQ40" s="1452"/>
      <c r="IR40" s="1452"/>
      <c r="IS40" s="1452"/>
      <c r="IT40" s="1452"/>
      <c r="IU40" s="1452"/>
      <c r="IV40" s="1452"/>
    </row>
    <row r="41" spans="1:256" ht="27" customHeight="1">
      <c r="A41" s="1461"/>
      <c r="B41" s="1466" t="s">
        <v>7150</v>
      </c>
      <c r="C41" s="1455">
        <v>1</v>
      </c>
      <c r="D41" s="1455">
        <v>1</v>
      </c>
      <c r="E41" s="1467">
        <f>H39</f>
        <v>23.1</v>
      </c>
      <c r="F41" s="1455"/>
      <c r="G41" s="1464"/>
      <c r="H41" s="1456">
        <f t="shared" ref="H41" si="3">PRODUCT(C41:G41)</f>
        <v>23.1</v>
      </c>
      <c r="I41" s="1451" t="s">
        <v>2273</v>
      </c>
      <c r="J41" s="1452"/>
      <c r="K41" s="1452"/>
      <c r="L41" s="1452"/>
      <c r="M41" s="1452"/>
      <c r="N41" s="1452"/>
      <c r="O41" s="1452"/>
      <c r="P41" s="1452"/>
      <c r="Q41" s="1452"/>
      <c r="R41" s="1452"/>
      <c r="S41" s="1452"/>
      <c r="T41" s="1452"/>
      <c r="U41" s="1452"/>
      <c r="V41" s="1452"/>
      <c r="W41" s="1452"/>
      <c r="X41" s="1452"/>
      <c r="Y41" s="1452"/>
      <c r="Z41" s="1452"/>
      <c r="AA41" s="1452"/>
      <c r="AB41" s="1452"/>
      <c r="AC41" s="1452"/>
      <c r="AD41" s="1452"/>
      <c r="AE41" s="1452"/>
      <c r="AF41" s="1452"/>
      <c r="AG41" s="1452"/>
      <c r="AH41" s="1452"/>
      <c r="AI41" s="1452"/>
      <c r="AJ41" s="1452"/>
      <c r="AK41" s="1452"/>
      <c r="AL41" s="1452"/>
      <c r="AM41" s="1452"/>
      <c r="AN41" s="1452"/>
      <c r="AO41" s="1452"/>
      <c r="AP41" s="1452"/>
      <c r="AQ41" s="1452"/>
      <c r="AR41" s="1452"/>
      <c r="AS41" s="1452"/>
      <c r="AT41" s="1452"/>
      <c r="AU41" s="1452"/>
      <c r="AV41" s="1452"/>
      <c r="AW41" s="1452"/>
      <c r="AX41" s="1452"/>
      <c r="AY41" s="1452"/>
      <c r="AZ41" s="1452"/>
      <c r="BA41" s="1452"/>
      <c r="BB41" s="1452"/>
      <c r="BC41" s="1452"/>
      <c r="BD41" s="1452"/>
      <c r="BE41" s="1452"/>
      <c r="BF41" s="1452"/>
      <c r="BG41" s="1452"/>
      <c r="BH41" s="1452"/>
      <c r="BI41" s="1452"/>
      <c r="BJ41" s="1452"/>
      <c r="BK41" s="1452"/>
      <c r="BL41" s="1452"/>
      <c r="BM41" s="1452"/>
      <c r="BN41" s="1452"/>
      <c r="BO41" s="1452"/>
      <c r="BP41" s="1452"/>
      <c r="BQ41" s="1452"/>
      <c r="BR41" s="1452"/>
      <c r="BS41" s="1452"/>
      <c r="BT41" s="1452"/>
      <c r="BU41" s="1452"/>
      <c r="BV41" s="1452"/>
      <c r="BW41" s="1452"/>
      <c r="BX41" s="1452"/>
      <c r="BY41" s="1452"/>
      <c r="BZ41" s="1452"/>
      <c r="CA41" s="1452"/>
      <c r="CB41" s="1452"/>
      <c r="CC41" s="1452"/>
      <c r="CD41" s="1452"/>
      <c r="CE41" s="1452"/>
      <c r="CF41" s="1452"/>
      <c r="CG41" s="1452"/>
      <c r="CH41" s="1452"/>
      <c r="CI41" s="1452"/>
      <c r="CJ41" s="1452"/>
      <c r="CK41" s="1452"/>
      <c r="CL41" s="1452"/>
      <c r="CM41" s="1452"/>
      <c r="CN41" s="1452"/>
      <c r="CO41" s="1452"/>
      <c r="CP41" s="1452"/>
      <c r="CQ41" s="1452"/>
      <c r="CR41" s="1452"/>
      <c r="CS41" s="1452"/>
      <c r="CT41" s="1452"/>
      <c r="CU41" s="1452"/>
      <c r="CV41" s="1452"/>
      <c r="CW41" s="1452"/>
      <c r="CX41" s="1452"/>
      <c r="CY41" s="1452"/>
      <c r="CZ41" s="1452"/>
      <c r="DA41" s="1452"/>
      <c r="DB41" s="1452"/>
      <c r="DC41" s="1452"/>
      <c r="DD41" s="1452"/>
      <c r="DE41" s="1452"/>
      <c r="DF41" s="1452"/>
      <c r="DG41" s="1452"/>
      <c r="DH41" s="1452"/>
      <c r="DI41" s="1452"/>
      <c r="DJ41" s="1452"/>
      <c r="DK41" s="1452"/>
      <c r="DL41" s="1452"/>
      <c r="DM41" s="1452"/>
      <c r="DN41" s="1452"/>
      <c r="DO41" s="1452"/>
      <c r="DP41" s="1452"/>
      <c r="DQ41" s="1452"/>
      <c r="DR41" s="1452"/>
      <c r="DS41" s="1452"/>
      <c r="DT41" s="1452"/>
      <c r="DU41" s="1452"/>
      <c r="DV41" s="1452"/>
      <c r="DW41" s="1452"/>
      <c r="DX41" s="1452"/>
      <c r="DY41" s="1452"/>
      <c r="DZ41" s="1452"/>
      <c r="EA41" s="1452"/>
      <c r="EB41" s="1452"/>
      <c r="EC41" s="1452"/>
      <c r="ED41" s="1452"/>
      <c r="EE41" s="1452"/>
      <c r="EF41" s="1452"/>
      <c r="EG41" s="1452"/>
      <c r="EH41" s="1452"/>
      <c r="EI41" s="1452"/>
      <c r="EJ41" s="1452"/>
      <c r="EK41" s="1452"/>
      <c r="EL41" s="1452"/>
      <c r="EM41" s="1452"/>
      <c r="EN41" s="1452"/>
      <c r="EO41" s="1452"/>
      <c r="EP41" s="1452"/>
      <c r="EQ41" s="1452"/>
      <c r="ER41" s="1452"/>
      <c r="ES41" s="1452"/>
      <c r="ET41" s="1452"/>
      <c r="EU41" s="1452"/>
      <c r="EV41" s="1452"/>
      <c r="EW41" s="1452"/>
      <c r="EX41" s="1452"/>
      <c r="EY41" s="1452"/>
      <c r="EZ41" s="1452"/>
      <c r="FA41" s="1452"/>
      <c r="FB41" s="1452"/>
      <c r="FC41" s="1452"/>
      <c r="FD41" s="1452"/>
      <c r="FE41" s="1452"/>
      <c r="FF41" s="1452"/>
      <c r="FG41" s="1452"/>
      <c r="FH41" s="1452"/>
      <c r="FI41" s="1452"/>
      <c r="FJ41" s="1452"/>
      <c r="FK41" s="1452"/>
      <c r="FL41" s="1452"/>
      <c r="FM41" s="1452"/>
      <c r="FN41" s="1452"/>
      <c r="FO41" s="1452"/>
      <c r="FP41" s="1452"/>
      <c r="FQ41" s="1452"/>
      <c r="FR41" s="1452"/>
      <c r="FS41" s="1452"/>
      <c r="FT41" s="1452"/>
      <c r="FU41" s="1452"/>
      <c r="FV41" s="1452"/>
      <c r="FW41" s="1452"/>
      <c r="FX41" s="1452"/>
      <c r="FY41" s="1452"/>
      <c r="FZ41" s="1452"/>
      <c r="GA41" s="1452"/>
      <c r="GB41" s="1452"/>
      <c r="GC41" s="1452"/>
      <c r="GD41" s="1452"/>
      <c r="GE41" s="1452"/>
      <c r="GF41" s="1452"/>
      <c r="GG41" s="1452"/>
      <c r="GH41" s="1452"/>
      <c r="GI41" s="1452"/>
      <c r="GJ41" s="1452"/>
      <c r="GK41" s="1452"/>
      <c r="GL41" s="1452"/>
      <c r="GM41" s="1452"/>
      <c r="GN41" s="1452"/>
      <c r="GO41" s="1452"/>
      <c r="GP41" s="1452"/>
      <c r="GQ41" s="1452"/>
      <c r="GR41" s="1452"/>
      <c r="GS41" s="1452"/>
      <c r="GT41" s="1452"/>
      <c r="GU41" s="1452"/>
      <c r="GV41" s="1452"/>
      <c r="GW41" s="1452"/>
      <c r="GX41" s="1452"/>
      <c r="GY41" s="1452"/>
      <c r="GZ41" s="1452"/>
      <c r="HA41" s="1452"/>
      <c r="HB41" s="1452"/>
      <c r="HC41" s="1452"/>
      <c r="HD41" s="1452"/>
      <c r="HE41" s="1452"/>
      <c r="HF41" s="1452"/>
      <c r="HG41" s="1452"/>
      <c r="HH41" s="1452"/>
      <c r="HI41" s="1452"/>
      <c r="HJ41" s="1452"/>
      <c r="HK41" s="1452"/>
      <c r="HL41" s="1452"/>
      <c r="HM41" s="1452"/>
      <c r="HN41" s="1452"/>
      <c r="HO41" s="1452"/>
      <c r="HP41" s="1452"/>
      <c r="HQ41" s="1452"/>
      <c r="HR41" s="1452"/>
      <c r="HS41" s="1452"/>
      <c r="HT41" s="1452"/>
      <c r="HU41" s="1452"/>
      <c r="HV41" s="1452"/>
      <c r="HW41" s="1452"/>
      <c r="HX41" s="1452"/>
      <c r="HY41" s="1452"/>
      <c r="HZ41" s="1452"/>
      <c r="IA41" s="1452"/>
      <c r="IB41" s="1452"/>
      <c r="IC41" s="1452"/>
      <c r="ID41" s="1452"/>
      <c r="IE41" s="1452"/>
      <c r="IF41" s="1452"/>
      <c r="IG41" s="1452"/>
      <c r="IH41" s="1452"/>
      <c r="II41" s="1452"/>
      <c r="IJ41" s="1452"/>
      <c r="IK41" s="1452"/>
      <c r="IL41" s="1452"/>
      <c r="IM41" s="1452"/>
      <c r="IN41" s="1452"/>
      <c r="IO41" s="1452"/>
      <c r="IP41" s="1452"/>
      <c r="IQ41" s="1452"/>
      <c r="IR41" s="1452"/>
      <c r="IS41" s="1452"/>
      <c r="IT41" s="1452"/>
      <c r="IU41" s="1452"/>
      <c r="IV41" s="1452"/>
    </row>
    <row r="42" spans="1:256" ht="27" customHeight="1">
      <c r="A42" s="1461">
        <v>30</v>
      </c>
      <c r="B42" s="1462" t="s">
        <v>7151</v>
      </c>
      <c r="C42" s="1455"/>
      <c r="D42" s="1455"/>
      <c r="E42" s="1467"/>
      <c r="F42" s="1455"/>
      <c r="G42" s="1464"/>
      <c r="H42" s="1456"/>
      <c r="I42" s="1451"/>
      <c r="J42" s="1452"/>
      <c r="K42" s="1452"/>
      <c r="L42" s="1452"/>
      <c r="M42" s="1452"/>
      <c r="N42" s="1452"/>
      <c r="O42" s="1452"/>
      <c r="P42" s="1452"/>
      <c r="Q42" s="1452"/>
      <c r="R42" s="1452"/>
      <c r="S42" s="1452"/>
      <c r="T42" s="1452"/>
      <c r="U42" s="1452"/>
      <c r="V42" s="1452"/>
      <c r="W42" s="1452"/>
      <c r="X42" s="1452"/>
      <c r="Y42" s="1452"/>
      <c r="Z42" s="1452"/>
      <c r="AA42" s="1452"/>
      <c r="AB42" s="1452"/>
      <c r="AC42" s="1452"/>
      <c r="AD42" s="1452"/>
      <c r="AE42" s="1452"/>
      <c r="AF42" s="1452"/>
      <c r="AG42" s="1452"/>
      <c r="AH42" s="1452"/>
      <c r="AI42" s="1452"/>
      <c r="AJ42" s="1452"/>
      <c r="AK42" s="1452"/>
      <c r="AL42" s="1452"/>
      <c r="AM42" s="1452"/>
      <c r="AN42" s="1452"/>
      <c r="AO42" s="1452"/>
      <c r="AP42" s="1452"/>
      <c r="AQ42" s="1452"/>
      <c r="AR42" s="1452"/>
      <c r="AS42" s="1452"/>
      <c r="AT42" s="1452"/>
      <c r="AU42" s="1452"/>
      <c r="AV42" s="1452"/>
      <c r="AW42" s="1452"/>
      <c r="AX42" s="1452"/>
      <c r="AY42" s="1452"/>
      <c r="AZ42" s="1452"/>
      <c r="BA42" s="1452"/>
      <c r="BB42" s="1452"/>
      <c r="BC42" s="1452"/>
      <c r="BD42" s="1452"/>
      <c r="BE42" s="1452"/>
      <c r="BF42" s="1452"/>
      <c r="BG42" s="1452"/>
      <c r="BH42" s="1452"/>
      <c r="BI42" s="1452"/>
      <c r="BJ42" s="1452"/>
      <c r="BK42" s="1452"/>
      <c r="BL42" s="1452"/>
      <c r="BM42" s="1452"/>
      <c r="BN42" s="1452"/>
      <c r="BO42" s="1452"/>
      <c r="BP42" s="1452"/>
      <c r="BQ42" s="1452"/>
      <c r="BR42" s="1452"/>
      <c r="BS42" s="1452"/>
      <c r="BT42" s="1452"/>
      <c r="BU42" s="1452"/>
      <c r="BV42" s="1452"/>
      <c r="BW42" s="1452"/>
      <c r="BX42" s="1452"/>
      <c r="BY42" s="1452"/>
      <c r="BZ42" s="1452"/>
      <c r="CA42" s="1452"/>
      <c r="CB42" s="1452"/>
      <c r="CC42" s="1452"/>
      <c r="CD42" s="1452"/>
      <c r="CE42" s="1452"/>
      <c r="CF42" s="1452"/>
      <c r="CG42" s="1452"/>
      <c r="CH42" s="1452"/>
      <c r="CI42" s="1452"/>
      <c r="CJ42" s="1452"/>
      <c r="CK42" s="1452"/>
      <c r="CL42" s="1452"/>
      <c r="CM42" s="1452"/>
      <c r="CN42" s="1452"/>
      <c r="CO42" s="1452"/>
      <c r="CP42" s="1452"/>
      <c r="CQ42" s="1452"/>
      <c r="CR42" s="1452"/>
      <c r="CS42" s="1452"/>
      <c r="CT42" s="1452"/>
      <c r="CU42" s="1452"/>
      <c r="CV42" s="1452"/>
      <c r="CW42" s="1452"/>
      <c r="CX42" s="1452"/>
      <c r="CY42" s="1452"/>
      <c r="CZ42" s="1452"/>
      <c r="DA42" s="1452"/>
      <c r="DB42" s="1452"/>
      <c r="DC42" s="1452"/>
      <c r="DD42" s="1452"/>
      <c r="DE42" s="1452"/>
      <c r="DF42" s="1452"/>
      <c r="DG42" s="1452"/>
      <c r="DH42" s="1452"/>
      <c r="DI42" s="1452"/>
      <c r="DJ42" s="1452"/>
      <c r="DK42" s="1452"/>
      <c r="DL42" s="1452"/>
      <c r="DM42" s="1452"/>
      <c r="DN42" s="1452"/>
      <c r="DO42" s="1452"/>
      <c r="DP42" s="1452"/>
      <c r="DQ42" s="1452"/>
      <c r="DR42" s="1452"/>
      <c r="DS42" s="1452"/>
      <c r="DT42" s="1452"/>
      <c r="DU42" s="1452"/>
      <c r="DV42" s="1452"/>
      <c r="DW42" s="1452"/>
      <c r="DX42" s="1452"/>
      <c r="DY42" s="1452"/>
      <c r="DZ42" s="1452"/>
      <c r="EA42" s="1452"/>
      <c r="EB42" s="1452"/>
      <c r="EC42" s="1452"/>
      <c r="ED42" s="1452"/>
      <c r="EE42" s="1452"/>
      <c r="EF42" s="1452"/>
      <c r="EG42" s="1452"/>
      <c r="EH42" s="1452"/>
      <c r="EI42" s="1452"/>
      <c r="EJ42" s="1452"/>
      <c r="EK42" s="1452"/>
      <c r="EL42" s="1452"/>
      <c r="EM42" s="1452"/>
      <c r="EN42" s="1452"/>
      <c r="EO42" s="1452"/>
      <c r="EP42" s="1452"/>
      <c r="EQ42" s="1452"/>
      <c r="ER42" s="1452"/>
      <c r="ES42" s="1452"/>
      <c r="ET42" s="1452"/>
      <c r="EU42" s="1452"/>
      <c r="EV42" s="1452"/>
      <c r="EW42" s="1452"/>
      <c r="EX42" s="1452"/>
      <c r="EY42" s="1452"/>
      <c r="EZ42" s="1452"/>
      <c r="FA42" s="1452"/>
      <c r="FB42" s="1452"/>
      <c r="FC42" s="1452"/>
      <c r="FD42" s="1452"/>
      <c r="FE42" s="1452"/>
      <c r="FF42" s="1452"/>
      <c r="FG42" s="1452"/>
      <c r="FH42" s="1452"/>
      <c r="FI42" s="1452"/>
      <c r="FJ42" s="1452"/>
      <c r="FK42" s="1452"/>
      <c r="FL42" s="1452"/>
      <c r="FM42" s="1452"/>
      <c r="FN42" s="1452"/>
      <c r="FO42" s="1452"/>
      <c r="FP42" s="1452"/>
      <c r="FQ42" s="1452"/>
      <c r="FR42" s="1452"/>
      <c r="FS42" s="1452"/>
      <c r="FT42" s="1452"/>
      <c r="FU42" s="1452"/>
      <c r="FV42" s="1452"/>
      <c r="FW42" s="1452"/>
      <c r="FX42" s="1452"/>
      <c r="FY42" s="1452"/>
      <c r="FZ42" s="1452"/>
      <c r="GA42" s="1452"/>
      <c r="GB42" s="1452"/>
      <c r="GC42" s="1452"/>
      <c r="GD42" s="1452"/>
      <c r="GE42" s="1452"/>
      <c r="GF42" s="1452"/>
      <c r="GG42" s="1452"/>
      <c r="GH42" s="1452"/>
      <c r="GI42" s="1452"/>
      <c r="GJ42" s="1452"/>
      <c r="GK42" s="1452"/>
      <c r="GL42" s="1452"/>
      <c r="GM42" s="1452"/>
      <c r="GN42" s="1452"/>
      <c r="GO42" s="1452"/>
      <c r="GP42" s="1452"/>
      <c r="GQ42" s="1452"/>
      <c r="GR42" s="1452"/>
      <c r="GS42" s="1452"/>
      <c r="GT42" s="1452"/>
      <c r="GU42" s="1452"/>
      <c r="GV42" s="1452"/>
      <c r="GW42" s="1452"/>
      <c r="GX42" s="1452"/>
      <c r="GY42" s="1452"/>
      <c r="GZ42" s="1452"/>
      <c r="HA42" s="1452"/>
      <c r="HB42" s="1452"/>
      <c r="HC42" s="1452"/>
      <c r="HD42" s="1452"/>
      <c r="HE42" s="1452"/>
      <c r="HF42" s="1452"/>
      <c r="HG42" s="1452"/>
      <c r="HH42" s="1452"/>
      <c r="HI42" s="1452"/>
      <c r="HJ42" s="1452"/>
      <c r="HK42" s="1452"/>
      <c r="HL42" s="1452"/>
      <c r="HM42" s="1452"/>
      <c r="HN42" s="1452"/>
      <c r="HO42" s="1452"/>
      <c r="HP42" s="1452"/>
      <c r="HQ42" s="1452"/>
      <c r="HR42" s="1452"/>
      <c r="HS42" s="1452"/>
      <c r="HT42" s="1452"/>
      <c r="HU42" s="1452"/>
      <c r="HV42" s="1452"/>
      <c r="HW42" s="1452"/>
      <c r="HX42" s="1452"/>
      <c r="HY42" s="1452"/>
      <c r="HZ42" s="1452"/>
      <c r="IA42" s="1452"/>
      <c r="IB42" s="1452"/>
      <c r="IC42" s="1452"/>
      <c r="ID42" s="1452"/>
      <c r="IE42" s="1452"/>
      <c r="IF42" s="1452"/>
      <c r="IG42" s="1452"/>
      <c r="IH42" s="1452"/>
      <c r="II42" s="1452"/>
      <c r="IJ42" s="1452"/>
      <c r="IK42" s="1452"/>
      <c r="IL42" s="1452"/>
      <c r="IM42" s="1452"/>
      <c r="IN42" s="1452"/>
      <c r="IO42" s="1452"/>
      <c r="IP42" s="1452"/>
      <c r="IQ42" s="1452"/>
      <c r="IR42" s="1452"/>
      <c r="IS42" s="1452"/>
      <c r="IT42" s="1452"/>
      <c r="IU42" s="1452"/>
      <c r="IV42" s="1452"/>
    </row>
    <row r="43" spans="1:256" ht="24.75" customHeight="1">
      <c r="A43" s="1445"/>
      <c r="B43" s="1454" t="s">
        <v>7152</v>
      </c>
      <c r="C43" s="1455">
        <v>1</v>
      </c>
      <c r="D43" s="1455">
        <v>1</v>
      </c>
      <c r="E43" s="1450">
        <v>3.72</v>
      </c>
      <c r="F43" s="1450">
        <f>2.02+0.46</f>
        <v>2.48</v>
      </c>
      <c r="G43" s="1450"/>
      <c r="H43" s="1450">
        <f t="shared" ref="H43" si="4">PRODUCT(C43:G43)</f>
        <v>9.23</v>
      </c>
      <c r="I43" s="1451"/>
      <c r="J43" s="1452"/>
      <c r="K43" s="1452"/>
      <c r="L43" s="1452"/>
      <c r="M43" s="1452"/>
      <c r="N43" s="1452"/>
      <c r="O43" s="1452"/>
      <c r="P43" s="1452"/>
      <c r="Q43" s="1452"/>
      <c r="R43" s="1452"/>
      <c r="S43" s="1452"/>
      <c r="T43" s="1452"/>
      <c r="U43" s="1452"/>
      <c r="V43" s="1452"/>
      <c r="W43" s="1452"/>
      <c r="X43" s="1452"/>
      <c r="Y43" s="1452"/>
      <c r="Z43" s="1452"/>
      <c r="AA43" s="1452"/>
      <c r="AB43" s="1452"/>
      <c r="AC43" s="1452"/>
      <c r="AD43" s="1452"/>
      <c r="AE43" s="1452"/>
      <c r="AF43" s="1452"/>
      <c r="AG43" s="1452"/>
      <c r="AH43" s="1452"/>
      <c r="AI43" s="1452"/>
      <c r="AJ43" s="1452"/>
      <c r="AK43" s="1452"/>
      <c r="AL43" s="1452"/>
      <c r="AM43" s="1452"/>
      <c r="AN43" s="1452"/>
      <c r="AO43" s="1452"/>
      <c r="AP43" s="1452"/>
      <c r="AQ43" s="1452"/>
      <c r="AR43" s="1452"/>
      <c r="AS43" s="1452"/>
      <c r="AT43" s="1452"/>
      <c r="AU43" s="1452"/>
      <c r="AV43" s="1452"/>
      <c r="AW43" s="1452"/>
      <c r="AX43" s="1452"/>
      <c r="AY43" s="1452"/>
      <c r="AZ43" s="1452"/>
      <c r="BA43" s="1452"/>
      <c r="BB43" s="1452"/>
      <c r="BC43" s="1452"/>
      <c r="BD43" s="1452"/>
      <c r="BE43" s="1452"/>
      <c r="BF43" s="1452"/>
      <c r="BG43" s="1452"/>
      <c r="BH43" s="1452"/>
      <c r="BI43" s="1452"/>
      <c r="BJ43" s="1452"/>
      <c r="BK43" s="1452"/>
      <c r="BL43" s="1452"/>
      <c r="BM43" s="1452"/>
      <c r="BN43" s="1452"/>
      <c r="BO43" s="1452"/>
      <c r="BP43" s="1452"/>
      <c r="BQ43" s="1452"/>
      <c r="BR43" s="1452"/>
      <c r="BS43" s="1452"/>
      <c r="BT43" s="1452"/>
      <c r="BU43" s="1452"/>
      <c r="BV43" s="1452"/>
      <c r="BW43" s="1452"/>
      <c r="BX43" s="1452"/>
      <c r="BY43" s="1452"/>
      <c r="BZ43" s="1452"/>
      <c r="CA43" s="1452"/>
      <c r="CB43" s="1452"/>
      <c r="CC43" s="1452"/>
      <c r="CD43" s="1452"/>
      <c r="CE43" s="1452"/>
      <c r="CF43" s="1452"/>
      <c r="CG43" s="1452"/>
      <c r="CH43" s="1452"/>
      <c r="CI43" s="1452"/>
      <c r="CJ43" s="1452"/>
      <c r="CK43" s="1452"/>
      <c r="CL43" s="1452"/>
      <c r="CM43" s="1452"/>
      <c r="CN43" s="1452"/>
      <c r="CO43" s="1452"/>
      <c r="CP43" s="1452"/>
      <c r="CQ43" s="1452"/>
      <c r="CR43" s="1452"/>
      <c r="CS43" s="1452"/>
      <c r="CT43" s="1452"/>
      <c r="CU43" s="1452"/>
      <c r="CV43" s="1452"/>
      <c r="CW43" s="1452"/>
      <c r="CX43" s="1452"/>
      <c r="CY43" s="1452"/>
      <c r="CZ43" s="1452"/>
      <c r="DA43" s="1452"/>
      <c r="DB43" s="1452"/>
      <c r="DC43" s="1452"/>
      <c r="DD43" s="1452"/>
      <c r="DE43" s="1452"/>
      <c r="DF43" s="1452"/>
      <c r="DG43" s="1452"/>
      <c r="DH43" s="1452"/>
      <c r="DI43" s="1452"/>
      <c r="DJ43" s="1452"/>
      <c r="DK43" s="1452"/>
      <c r="DL43" s="1452"/>
      <c r="DM43" s="1452"/>
      <c r="DN43" s="1452"/>
      <c r="DO43" s="1452"/>
      <c r="DP43" s="1452"/>
      <c r="DQ43" s="1452"/>
      <c r="DR43" s="1452"/>
      <c r="DS43" s="1452"/>
      <c r="DT43" s="1452"/>
      <c r="DU43" s="1452"/>
      <c r="DV43" s="1452"/>
      <c r="DW43" s="1452"/>
      <c r="DX43" s="1452"/>
      <c r="DY43" s="1452"/>
      <c r="DZ43" s="1452"/>
      <c r="EA43" s="1452"/>
      <c r="EB43" s="1452"/>
      <c r="EC43" s="1452"/>
      <c r="ED43" s="1452"/>
      <c r="EE43" s="1452"/>
      <c r="EF43" s="1452"/>
      <c r="EG43" s="1452"/>
      <c r="EH43" s="1452"/>
      <c r="EI43" s="1452"/>
      <c r="EJ43" s="1452"/>
      <c r="EK43" s="1452"/>
      <c r="EL43" s="1452"/>
      <c r="EM43" s="1452"/>
      <c r="EN43" s="1452"/>
      <c r="EO43" s="1452"/>
      <c r="EP43" s="1452"/>
      <c r="EQ43" s="1452"/>
      <c r="ER43" s="1452"/>
      <c r="ES43" s="1452"/>
      <c r="ET43" s="1452"/>
      <c r="EU43" s="1452"/>
      <c r="EV43" s="1452"/>
      <c r="EW43" s="1452"/>
      <c r="EX43" s="1452"/>
      <c r="EY43" s="1452"/>
      <c r="EZ43" s="1452"/>
      <c r="FA43" s="1452"/>
      <c r="FB43" s="1452"/>
      <c r="FC43" s="1452"/>
      <c r="FD43" s="1452"/>
      <c r="FE43" s="1452"/>
      <c r="FF43" s="1452"/>
      <c r="FG43" s="1452"/>
      <c r="FH43" s="1452"/>
      <c r="FI43" s="1452"/>
      <c r="FJ43" s="1452"/>
      <c r="FK43" s="1452"/>
      <c r="FL43" s="1452"/>
      <c r="FM43" s="1452"/>
      <c r="FN43" s="1452"/>
      <c r="FO43" s="1452"/>
      <c r="FP43" s="1452"/>
      <c r="FQ43" s="1452"/>
      <c r="FR43" s="1452"/>
      <c r="FS43" s="1452"/>
      <c r="FT43" s="1452"/>
      <c r="FU43" s="1452"/>
      <c r="FV43" s="1452"/>
      <c r="FW43" s="1452"/>
      <c r="FX43" s="1452"/>
      <c r="FY43" s="1452"/>
      <c r="FZ43" s="1452"/>
      <c r="GA43" s="1452"/>
      <c r="GB43" s="1452"/>
      <c r="GC43" s="1452"/>
      <c r="GD43" s="1452"/>
      <c r="GE43" s="1452"/>
      <c r="GF43" s="1452"/>
      <c r="GG43" s="1452"/>
      <c r="GH43" s="1452"/>
      <c r="GI43" s="1452"/>
      <c r="GJ43" s="1452"/>
      <c r="GK43" s="1452"/>
      <c r="GL43" s="1452"/>
      <c r="GM43" s="1452"/>
      <c r="GN43" s="1452"/>
      <c r="GO43" s="1452"/>
      <c r="GP43" s="1452"/>
      <c r="GQ43" s="1452"/>
      <c r="GR43" s="1452"/>
      <c r="GS43" s="1452"/>
      <c r="GT43" s="1452"/>
      <c r="GU43" s="1452"/>
      <c r="GV43" s="1452"/>
      <c r="GW43" s="1452"/>
      <c r="GX43" s="1452"/>
      <c r="GY43" s="1452"/>
      <c r="GZ43" s="1452"/>
      <c r="HA43" s="1452"/>
      <c r="HB43" s="1452"/>
      <c r="HC43" s="1452"/>
      <c r="HD43" s="1452"/>
      <c r="HE43" s="1452"/>
      <c r="HF43" s="1452"/>
      <c r="HG43" s="1452"/>
      <c r="HH43" s="1452"/>
      <c r="HI43" s="1452"/>
      <c r="HJ43" s="1452"/>
      <c r="HK43" s="1452"/>
      <c r="HL43" s="1452"/>
      <c r="HM43" s="1452"/>
      <c r="HN43" s="1452"/>
      <c r="HO43" s="1452"/>
      <c r="HP43" s="1452"/>
      <c r="HQ43" s="1452"/>
      <c r="HR43" s="1452"/>
      <c r="HS43" s="1452"/>
      <c r="HT43" s="1452"/>
      <c r="HU43" s="1452"/>
      <c r="HV43" s="1452"/>
      <c r="HW43" s="1452"/>
      <c r="HX43" s="1452"/>
      <c r="HY43" s="1452"/>
      <c r="HZ43" s="1452"/>
      <c r="IA43" s="1452"/>
      <c r="IB43" s="1452"/>
      <c r="IC43" s="1452"/>
      <c r="ID43" s="1452"/>
      <c r="IE43" s="1452"/>
      <c r="IF43" s="1452"/>
      <c r="IG43" s="1452"/>
      <c r="IH43" s="1452"/>
      <c r="II43" s="1452"/>
      <c r="IJ43" s="1452"/>
      <c r="IK43" s="1452"/>
      <c r="IL43" s="1452"/>
      <c r="IM43" s="1452"/>
      <c r="IN43" s="1452"/>
      <c r="IO43" s="1452"/>
      <c r="IP43" s="1452"/>
      <c r="IQ43" s="1452"/>
      <c r="IR43" s="1452"/>
      <c r="IS43" s="1452"/>
      <c r="IT43" s="1452"/>
      <c r="IU43" s="1452"/>
      <c r="IV43" s="1452"/>
    </row>
    <row r="44" spans="1:256" ht="27" customHeight="1">
      <c r="A44" s="1461"/>
      <c r="B44" s="1466"/>
      <c r="C44" s="1455"/>
      <c r="D44" s="1455"/>
      <c r="E44" s="1467"/>
      <c r="F44" s="1455"/>
      <c r="G44" s="1459" t="s">
        <v>2235</v>
      </c>
      <c r="H44" s="1456">
        <f>SUM(H43:H43)</f>
        <v>9.23</v>
      </c>
      <c r="I44" s="1451" t="s">
        <v>2273</v>
      </c>
      <c r="J44" s="1452"/>
      <c r="K44" s="1452"/>
      <c r="L44" s="1452"/>
      <c r="M44" s="1452"/>
      <c r="N44" s="1452"/>
      <c r="O44" s="1452"/>
      <c r="P44" s="1452"/>
      <c r="Q44" s="1452"/>
      <c r="R44" s="1452"/>
      <c r="S44" s="1452"/>
      <c r="T44" s="1452"/>
      <c r="U44" s="1452"/>
      <c r="V44" s="1452"/>
      <c r="W44" s="1452"/>
      <c r="X44" s="1452"/>
      <c r="Y44" s="1452"/>
      <c r="Z44" s="1452"/>
      <c r="AA44" s="1452"/>
      <c r="AB44" s="1452"/>
      <c r="AC44" s="1452"/>
      <c r="AD44" s="1452"/>
      <c r="AE44" s="1452"/>
      <c r="AF44" s="1452"/>
      <c r="AG44" s="1452"/>
      <c r="AH44" s="1452"/>
      <c r="AI44" s="1452"/>
      <c r="AJ44" s="1452"/>
      <c r="AK44" s="1452"/>
      <c r="AL44" s="1452"/>
      <c r="AM44" s="1452"/>
      <c r="AN44" s="1452"/>
      <c r="AO44" s="1452"/>
      <c r="AP44" s="1452"/>
      <c r="AQ44" s="1452"/>
      <c r="AR44" s="1452"/>
      <c r="AS44" s="1452"/>
      <c r="AT44" s="1452"/>
      <c r="AU44" s="1452"/>
      <c r="AV44" s="1452"/>
      <c r="AW44" s="1452"/>
      <c r="AX44" s="1452"/>
      <c r="AY44" s="1452"/>
      <c r="AZ44" s="1452"/>
      <c r="BA44" s="1452"/>
      <c r="BB44" s="1452"/>
      <c r="BC44" s="1452"/>
      <c r="BD44" s="1452"/>
      <c r="BE44" s="1452"/>
      <c r="BF44" s="1452"/>
      <c r="BG44" s="1452"/>
      <c r="BH44" s="1452"/>
      <c r="BI44" s="1452"/>
      <c r="BJ44" s="1452"/>
      <c r="BK44" s="1452"/>
      <c r="BL44" s="1452"/>
      <c r="BM44" s="1452"/>
      <c r="BN44" s="1452"/>
      <c r="BO44" s="1452"/>
      <c r="BP44" s="1452"/>
      <c r="BQ44" s="1452"/>
      <c r="BR44" s="1452"/>
      <c r="BS44" s="1452"/>
      <c r="BT44" s="1452"/>
      <c r="BU44" s="1452"/>
      <c r="BV44" s="1452"/>
      <c r="BW44" s="1452"/>
      <c r="BX44" s="1452"/>
      <c r="BY44" s="1452"/>
      <c r="BZ44" s="1452"/>
      <c r="CA44" s="1452"/>
      <c r="CB44" s="1452"/>
      <c r="CC44" s="1452"/>
      <c r="CD44" s="1452"/>
      <c r="CE44" s="1452"/>
      <c r="CF44" s="1452"/>
      <c r="CG44" s="1452"/>
      <c r="CH44" s="1452"/>
      <c r="CI44" s="1452"/>
      <c r="CJ44" s="1452"/>
      <c r="CK44" s="1452"/>
      <c r="CL44" s="1452"/>
      <c r="CM44" s="1452"/>
      <c r="CN44" s="1452"/>
      <c r="CO44" s="1452"/>
      <c r="CP44" s="1452"/>
      <c r="CQ44" s="1452"/>
      <c r="CR44" s="1452"/>
      <c r="CS44" s="1452"/>
      <c r="CT44" s="1452"/>
      <c r="CU44" s="1452"/>
      <c r="CV44" s="1452"/>
      <c r="CW44" s="1452"/>
      <c r="CX44" s="1452"/>
      <c r="CY44" s="1452"/>
      <c r="CZ44" s="1452"/>
      <c r="DA44" s="1452"/>
      <c r="DB44" s="1452"/>
      <c r="DC44" s="1452"/>
      <c r="DD44" s="1452"/>
      <c r="DE44" s="1452"/>
      <c r="DF44" s="1452"/>
      <c r="DG44" s="1452"/>
      <c r="DH44" s="1452"/>
      <c r="DI44" s="1452"/>
      <c r="DJ44" s="1452"/>
      <c r="DK44" s="1452"/>
      <c r="DL44" s="1452"/>
      <c r="DM44" s="1452"/>
      <c r="DN44" s="1452"/>
      <c r="DO44" s="1452"/>
      <c r="DP44" s="1452"/>
      <c r="DQ44" s="1452"/>
      <c r="DR44" s="1452"/>
      <c r="DS44" s="1452"/>
      <c r="DT44" s="1452"/>
      <c r="DU44" s="1452"/>
      <c r="DV44" s="1452"/>
      <c r="DW44" s="1452"/>
      <c r="DX44" s="1452"/>
      <c r="DY44" s="1452"/>
      <c r="DZ44" s="1452"/>
      <c r="EA44" s="1452"/>
      <c r="EB44" s="1452"/>
      <c r="EC44" s="1452"/>
      <c r="ED44" s="1452"/>
      <c r="EE44" s="1452"/>
      <c r="EF44" s="1452"/>
      <c r="EG44" s="1452"/>
      <c r="EH44" s="1452"/>
      <c r="EI44" s="1452"/>
      <c r="EJ44" s="1452"/>
      <c r="EK44" s="1452"/>
      <c r="EL44" s="1452"/>
      <c r="EM44" s="1452"/>
      <c r="EN44" s="1452"/>
      <c r="EO44" s="1452"/>
      <c r="EP44" s="1452"/>
      <c r="EQ44" s="1452"/>
      <c r="ER44" s="1452"/>
      <c r="ES44" s="1452"/>
      <c r="ET44" s="1452"/>
      <c r="EU44" s="1452"/>
      <c r="EV44" s="1452"/>
      <c r="EW44" s="1452"/>
      <c r="EX44" s="1452"/>
      <c r="EY44" s="1452"/>
      <c r="EZ44" s="1452"/>
      <c r="FA44" s="1452"/>
      <c r="FB44" s="1452"/>
      <c r="FC44" s="1452"/>
      <c r="FD44" s="1452"/>
      <c r="FE44" s="1452"/>
      <c r="FF44" s="1452"/>
      <c r="FG44" s="1452"/>
      <c r="FH44" s="1452"/>
      <c r="FI44" s="1452"/>
      <c r="FJ44" s="1452"/>
      <c r="FK44" s="1452"/>
      <c r="FL44" s="1452"/>
      <c r="FM44" s="1452"/>
      <c r="FN44" s="1452"/>
      <c r="FO44" s="1452"/>
      <c r="FP44" s="1452"/>
      <c r="FQ44" s="1452"/>
      <c r="FR44" s="1452"/>
      <c r="FS44" s="1452"/>
      <c r="FT44" s="1452"/>
      <c r="FU44" s="1452"/>
      <c r="FV44" s="1452"/>
      <c r="FW44" s="1452"/>
      <c r="FX44" s="1452"/>
      <c r="FY44" s="1452"/>
      <c r="FZ44" s="1452"/>
      <c r="GA44" s="1452"/>
      <c r="GB44" s="1452"/>
      <c r="GC44" s="1452"/>
      <c r="GD44" s="1452"/>
      <c r="GE44" s="1452"/>
      <c r="GF44" s="1452"/>
      <c r="GG44" s="1452"/>
      <c r="GH44" s="1452"/>
      <c r="GI44" s="1452"/>
      <c r="GJ44" s="1452"/>
      <c r="GK44" s="1452"/>
      <c r="GL44" s="1452"/>
      <c r="GM44" s="1452"/>
      <c r="GN44" s="1452"/>
      <c r="GO44" s="1452"/>
      <c r="GP44" s="1452"/>
      <c r="GQ44" s="1452"/>
      <c r="GR44" s="1452"/>
      <c r="GS44" s="1452"/>
      <c r="GT44" s="1452"/>
      <c r="GU44" s="1452"/>
      <c r="GV44" s="1452"/>
      <c r="GW44" s="1452"/>
      <c r="GX44" s="1452"/>
      <c r="GY44" s="1452"/>
      <c r="GZ44" s="1452"/>
      <c r="HA44" s="1452"/>
      <c r="HB44" s="1452"/>
      <c r="HC44" s="1452"/>
      <c r="HD44" s="1452"/>
      <c r="HE44" s="1452"/>
      <c r="HF44" s="1452"/>
      <c r="HG44" s="1452"/>
      <c r="HH44" s="1452"/>
      <c r="HI44" s="1452"/>
      <c r="HJ44" s="1452"/>
      <c r="HK44" s="1452"/>
      <c r="HL44" s="1452"/>
      <c r="HM44" s="1452"/>
      <c r="HN44" s="1452"/>
      <c r="HO44" s="1452"/>
      <c r="HP44" s="1452"/>
      <c r="HQ44" s="1452"/>
      <c r="HR44" s="1452"/>
      <c r="HS44" s="1452"/>
      <c r="HT44" s="1452"/>
      <c r="HU44" s="1452"/>
      <c r="HV44" s="1452"/>
      <c r="HW44" s="1452"/>
      <c r="HX44" s="1452"/>
      <c r="HY44" s="1452"/>
      <c r="HZ44" s="1452"/>
      <c r="IA44" s="1452"/>
      <c r="IB44" s="1452"/>
      <c r="IC44" s="1452"/>
      <c r="ID44" s="1452"/>
      <c r="IE44" s="1452"/>
      <c r="IF44" s="1452"/>
      <c r="IG44" s="1452"/>
      <c r="IH44" s="1452"/>
      <c r="II44" s="1452"/>
      <c r="IJ44" s="1452"/>
      <c r="IK44" s="1452"/>
      <c r="IL44" s="1452"/>
      <c r="IM44" s="1452"/>
      <c r="IN44" s="1452"/>
      <c r="IO44" s="1452"/>
      <c r="IP44" s="1452"/>
      <c r="IQ44" s="1452"/>
      <c r="IR44" s="1452"/>
      <c r="IS44" s="1452"/>
      <c r="IT44" s="1452"/>
      <c r="IU44" s="1452"/>
      <c r="IV44" s="1452"/>
    </row>
    <row r="45" spans="1:256" ht="27" customHeight="1">
      <c r="A45" s="1445"/>
      <c r="B45" s="1458"/>
      <c r="C45" s="1445"/>
      <c r="D45" s="1445"/>
      <c r="E45" s="1448"/>
      <c r="F45" s="1448"/>
      <c r="G45" s="1459" t="s">
        <v>4209</v>
      </c>
      <c r="H45" s="1456">
        <f>ROUNDUP(H44,1)</f>
        <v>9.3000000000000007</v>
      </c>
      <c r="I45" s="1451"/>
      <c r="J45" s="1452"/>
      <c r="K45" s="1452"/>
      <c r="L45" s="1452"/>
      <c r="M45" s="1452"/>
      <c r="N45" s="1452"/>
      <c r="O45" s="1452"/>
      <c r="P45" s="1452"/>
      <c r="Q45" s="1452"/>
      <c r="R45" s="1452"/>
      <c r="S45" s="1452"/>
      <c r="T45" s="1452"/>
      <c r="U45" s="1452"/>
      <c r="V45" s="1452"/>
      <c r="W45" s="1452"/>
      <c r="X45" s="1452"/>
      <c r="Y45" s="1452"/>
      <c r="Z45" s="1452"/>
      <c r="AA45" s="1452"/>
      <c r="AB45" s="1452"/>
      <c r="AC45" s="1452"/>
      <c r="AD45" s="1452"/>
      <c r="AE45" s="1452"/>
      <c r="AF45" s="1452"/>
      <c r="AG45" s="1452"/>
      <c r="AH45" s="1452"/>
      <c r="AI45" s="1452"/>
      <c r="AJ45" s="1452"/>
      <c r="AK45" s="1452"/>
      <c r="AL45" s="1452"/>
      <c r="AM45" s="1452"/>
      <c r="AN45" s="1452"/>
      <c r="AO45" s="1452"/>
      <c r="AP45" s="1452"/>
      <c r="AQ45" s="1452"/>
      <c r="AR45" s="1452"/>
      <c r="AS45" s="1452"/>
      <c r="AT45" s="1452"/>
      <c r="AU45" s="1452"/>
      <c r="AV45" s="1452"/>
      <c r="AW45" s="1452"/>
      <c r="AX45" s="1452"/>
      <c r="AY45" s="1452"/>
      <c r="AZ45" s="1452"/>
      <c r="BA45" s="1452"/>
      <c r="BB45" s="1452"/>
      <c r="BC45" s="1452"/>
      <c r="BD45" s="1452"/>
      <c r="BE45" s="1452"/>
      <c r="BF45" s="1452"/>
      <c r="BG45" s="1452"/>
      <c r="BH45" s="1452"/>
      <c r="BI45" s="1452"/>
      <c r="BJ45" s="1452"/>
      <c r="BK45" s="1452"/>
      <c r="BL45" s="1452"/>
      <c r="BM45" s="1452"/>
      <c r="BN45" s="1452"/>
      <c r="BO45" s="1452"/>
      <c r="BP45" s="1452"/>
      <c r="BQ45" s="1452"/>
      <c r="BR45" s="1452"/>
      <c r="BS45" s="1452"/>
      <c r="BT45" s="1452"/>
      <c r="BU45" s="1452"/>
      <c r="BV45" s="1452"/>
      <c r="BW45" s="1452"/>
      <c r="BX45" s="1452"/>
      <c r="BY45" s="1452"/>
      <c r="BZ45" s="1452"/>
      <c r="CA45" s="1452"/>
      <c r="CB45" s="1452"/>
      <c r="CC45" s="1452"/>
      <c r="CD45" s="1452"/>
      <c r="CE45" s="1452"/>
      <c r="CF45" s="1452"/>
      <c r="CG45" s="1452"/>
      <c r="CH45" s="1452"/>
      <c r="CI45" s="1452"/>
      <c r="CJ45" s="1452"/>
      <c r="CK45" s="1452"/>
      <c r="CL45" s="1452"/>
      <c r="CM45" s="1452"/>
      <c r="CN45" s="1452"/>
      <c r="CO45" s="1452"/>
      <c r="CP45" s="1452"/>
      <c r="CQ45" s="1452"/>
      <c r="CR45" s="1452"/>
      <c r="CS45" s="1452"/>
      <c r="CT45" s="1452"/>
      <c r="CU45" s="1452"/>
      <c r="CV45" s="1452"/>
      <c r="CW45" s="1452"/>
      <c r="CX45" s="1452"/>
      <c r="CY45" s="1452"/>
      <c r="CZ45" s="1452"/>
      <c r="DA45" s="1452"/>
      <c r="DB45" s="1452"/>
      <c r="DC45" s="1452"/>
      <c r="DD45" s="1452"/>
      <c r="DE45" s="1452"/>
      <c r="DF45" s="1452"/>
      <c r="DG45" s="1452"/>
      <c r="DH45" s="1452"/>
      <c r="DI45" s="1452"/>
      <c r="DJ45" s="1452"/>
      <c r="DK45" s="1452"/>
      <c r="DL45" s="1452"/>
      <c r="DM45" s="1452"/>
      <c r="DN45" s="1452"/>
      <c r="DO45" s="1452"/>
      <c r="DP45" s="1452"/>
      <c r="DQ45" s="1452"/>
      <c r="DR45" s="1452"/>
      <c r="DS45" s="1452"/>
      <c r="DT45" s="1452"/>
      <c r="DU45" s="1452"/>
      <c r="DV45" s="1452"/>
      <c r="DW45" s="1452"/>
      <c r="DX45" s="1452"/>
      <c r="DY45" s="1452"/>
      <c r="DZ45" s="1452"/>
      <c r="EA45" s="1452"/>
      <c r="EB45" s="1452"/>
      <c r="EC45" s="1452"/>
      <c r="ED45" s="1452"/>
      <c r="EE45" s="1452"/>
      <c r="EF45" s="1452"/>
      <c r="EG45" s="1452"/>
      <c r="EH45" s="1452"/>
      <c r="EI45" s="1452"/>
      <c r="EJ45" s="1452"/>
      <c r="EK45" s="1452"/>
      <c r="EL45" s="1452"/>
      <c r="EM45" s="1452"/>
      <c r="EN45" s="1452"/>
      <c r="EO45" s="1452"/>
      <c r="EP45" s="1452"/>
      <c r="EQ45" s="1452"/>
      <c r="ER45" s="1452"/>
      <c r="ES45" s="1452"/>
      <c r="ET45" s="1452"/>
      <c r="EU45" s="1452"/>
      <c r="EV45" s="1452"/>
      <c r="EW45" s="1452"/>
      <c r="EX45" s="1452"/>
      <c r="EY45" s="1452"/>
      <c r="EZ45" s="1452"/>
      <c r="FA45" s="1452"/>
      <c r="FB45" s="1452"/>
      <c r="FC45" s="1452"/>
      <c r="FD45" s="1452"/>
      <c r="FE45" s="1452"/>
      <c r="FF45" s="1452"/>
      <c r="FG45" s="1452"/>
      <c r="FH45" s="1452"/>
      <c r="FI45" s="1452"/>
      <c r="FJ45" s="1452"/>
      <c r="FK45" s="1452"/>
      <c r="FL45" s="1452"/>
      <c r="FM45" s="1452"/>
      <c r="FN45" s="1452"/>
      <c r="FO45" s="1452"/>
      <c r="FP45" s="1452"/>
      <c r="FQ45" s="1452"/>
      <c r="FR45" s="1452"/>
      <c r="FS45" s="1452"/>
      <c r="FT45" s="1452"/>
      <c r="FU45" s="1452"/>
      <c r="FV45" s="1452"/>
      <c r="FW45" s="1452"/>
      <c r="FX45" s="1452"/>
      <c r="FY45" s="1452"/>
      <c r="FZ45" s="1452"/>
      <c r="GA45" s="1452"/>
      <c r="GB45" s="1452"/>
      <c r="GC45" s="1452"/>
      <c r="GD45" s="1452"/>
      <c r="GE45" s="1452"/>
      <c r="GF45" s="1452"/>
      <c r="GG45" s="1452"/>
      <c r="GH45" s="1452"/>
      <c r="GI45" s="1452"/>
      <c r="GJ45" s="1452"/>
      <c r="GK45" s="1452"/>
      <c r="GL45" s="1452"/>
      <c r="GM45" s="1452"/>
      <c r="GN45" s="1452"/>
      <c r="GO45" s="1452"/>
      <c r="GP45" s="1452"/>
      <c r="GQ45" s="1452"/>
      <c r="GR45" s="1452"/>
      <c r="GS45" s="1452"/>
      <c r="GT45" s="1452"/>
      <c r="GU45" s="1452"/>
      <c r="GV45" s="1452"/>
      <c r="GW45" s="1452"/>
      <c r="GX45" s="1452"/>
      <c r="GY45" s="1452"/>
      <c r="GZ45" s="1452"/>
      <c r="HA45" s="1452"/>
      <c r="HB45" s="1452"/>
      <c r="HC45" s="1452"/>
      <c r="HD45" s="1452"/>
      <c r="HE45" s="1452"/>
      <c r="HF45" s="1452"/>
      <c r="HG45" s="1452"/>
      <c r="HH45" s="1452"/>
      <c r="HI45" s="1452"/>
      <c r="HJ45" s="1452"/>
      <c r="HK45" s="1452"/>
      <c r="HL45" s="1452"/>
      <c r="HM45" s="1452"/>
      <c r="HN45" s="1452"/>
      <c r="HO45" s="1452"/>
      <c r="HP45" s="1452"/>
      <c r="HQ45" s="1452"/>
      <c r="HR45" s="1452"/>
      <c r="HS45" s="1452"/>
      <c r="HT45" s="1452"/>
      <c r="HU45" s="1452"/>
      <c r="HV45" s="1452"/>
      <c r="HW45" s="1452"/>
      <c r="HX45" s="1452"/>
      <c r="HY45" s="1452"/>
      <c r="HZ45" s="1452"/>
      <c r="IA45" s="1452"/>
      <c r="IB45" s="1452"/>
      <c r="IC45" s="1452"/>
      <c r="ID45" s="1452"/>
      <c r="IE45" s="1452"/>
      <c r="IF45" s="1452"/>
      <c r="IG45" s="1452"/>
      <c r="IH45" s="1452"/>
      <c r="II45" s="1452"/>
      <c r="IJ45" s="1452"/>
      <c r="IK45" s="1452"/>
      <c r="IL45" s="1452"/>
      <c r="IM45" s="1452"/>
      <c r="IN45" s="1452"/>
      <c r="IO45" s="1452"/>
      <c r="IP45" s="1452"/>
      <c r="IQ45" s="1452"/>
      <c r="IR45" s="1452"/>
      <c r="IS45" s="1452"/>
      <c r="IT45" s="1452"/>
      <c r="IU45" s="1452"/>
      <c r="IV45" s="1452"/>
    </row>
    <row r="46" spans="1:256" ht="48" customHeight="1">
      <c r="A46" s="1445">
        <v>43.1</v>
      </c>
      <c r="B46" s="1468" t="s">
        <v>7153</v>
      </c>
      <c r="C46" s="1445"/>
      <c r="D46" s="1445"/>
      <c r="E46" s="1448"/>
      <c r="F46" s="1469" t="s">
        <v>7154</v>
      </c>
      <c r="G46" s="1448"/>
      <c r="H46" s="1448"/>
      <c r="I46" s="1451"/>
      <c r="J46" s="1452"/>
      <c r="K46" s="1452"/>
      <c r="L46" s="1452"/>
      <c r="M46" s="1452"/>
      <c r="N46" s="1452"/>
      <c r="O46" s="1452"/>
      <c r="P46" s="1452"/>
      <c r="Q46" s="1452"/>
      <c r="R46" s="1452"/>
      <c r="S46" s="1452"/>
      <c r="T46" s="1452"/>
      <c r="U46" s="1452"/>
      <c r="V46" s="1452"/>
      <c r="W46" s="1452"/>
      <c r="X46" s="1452"/>
      <c r="Y46" s="1452"/>
      <c r="Z46" s="1452"/>
      <c r="AA46" s="1452"/>
      <c r="AB46" s="1452"/>
      <c r="AC46" s="1452"/>
      <c r="AD46" s="1452"/>
      <c r="AE46" s="1452"/>
      <c r="AF46" s="1452"/>
      <c r="AG46" s="1452"/>
      <c r="AH46" s="1452"/>
      <c r="AI46" s="1452"/>
      <c r="AJ46" s="1452"/>
      <c r="AK46" s="1452"/>
      <c r="AL46" s="1452"/>
      <c r="AM46" s="1452"/>
      <c r="AN46" s="1452"/>
      <c r="AO46" s="1452"/>
      <c r="AP46" s="1452"/>
      <c r="AQ46" s="1452"/>
      <c r="AR46" s="1452"/>
      <c r="AS46" s="1452"/>
      <c r="AT46" s="1452"/>
      <c r="AU46" s="1452"/>
      <c r="AV46" s="1452"/>
      <c r="AW46" s="1452"/>
      <c r="AX46" s="1452"/>
      <c r="AY46" s="1452"/>
      <c r="AZ46" s="1452"/>
      <c r="BA46" s="1452"/>
      <c r="BB46" s="1452"/>
      <c r="BC46" s="1452"/>
      <c r="BD46" s="1452"/>
      <c r="BE46" s="1452"/>
      <c r="BF46" s="1452"/>
      <c r="BG46" s="1452"/>
      <c r="BH46" s="1452"/>
      <c r="BI46" s="1452"/>
      <c r="BJ46" s="1452"/>
      <c r="BK46" s="1452"/>
      <c r="BL46" s="1452"/>
      <c r="BM46" s="1452"/>
      <c r="BN46" s="1452"/>
      <c r="BO46" s="1452"/>
      <c r="BP46" s="1452"/>
      <c r="BQ46" s="1452"/>
      <c r="BR46" s="1452"/>
      <c r="BS46" s="1452"/>
      <c r="BT46" s="1452"/>
      <c r="BU46" s="1452"/>
      <c r="BV46" s="1452"/>
      <c r="BW46" s="1452"/>
      <c r="BX46" s="1452"/>
      <c r="BY46" s="1452"/>
      <c r="BZ46" s="1452"/>
      <c r="CA46" s="1452"/>
      <c r="CB46" s="1452"/>
      <c r="CC46" s="1452"/>
      <c r="CD46" s="1452"/>
      <c r="CE46" s="1452"/>
      <c r="CF46" s="1452"/>
      <c r="CG46" s="1452"/>
      <c r="CH46" s="1452"/>
      <c r="CI46" s="1452"/>
      <c r="CJ46" s="1452"/>
      <c r="CK46" s="1452"/>
      <c r="CL46" s="1452"/>
      <c r="CM46" s="1452"/>
      <c r="CN46" s="1452"/>
      <c r="CO46" s="1452"/>
      <c r="CP46" s="1452"/>
      <c r="CQ46" s="1452"/>
      <c r="CR46" s="1452"/>
      <c r="CS46" s="1452"/>
      <c r="CT46" s="1452"/>
      <c r="CU46" s="1452"/>
      <c r="CV46" s="1452"/>
      <c r="CW46" s="1452"/>
      <c r="CX46" s="1452"/>
      <c r="CY46" s="1452"/>
      <c r="CZ46" s="1452"/>
      <c r="DA46" s="1452"/>
      <c r="DB46" s="1452"/>
      <c r="DC46" s="1452"/>
      <c r="DD46" s="1452"/>
      <c r="DE46" s="1452"/>
      <c r="DF46" s="1452"/>
      <c r="DG46" s="1452"/>
      <c r="DH46" s="1452"/>
      <c r="DI46" s="1452"/>
      <c r="DJ46" s="1452"/>
      <c r="DK46" s="1452"/>
      <c r="DL46" s="1452"/>
      <c r="DM46" s="1452"/>
      <c r="DN46" s="1452"/>
      <c r="DO46" s="1452"/>
      <c r="DP46" s="1452"/>
      <c r="DQ46" s="1452"/>
      <c r="DR46" s="1452"/>
      <c r="DS46" s="1452"/>
      <c r="DT46" s="1452"/>
      <c r="DU46" s="1452"/>
      <c r="DV46" s="1452"/>
      <c r="DW46" s="1452"/>
      <c r="DX46" s="1452"/>
      <c r="DY46" s="1452"/>
      <c r="DZ46" s="1452"/>
      <c r="EA46" s="1452"/>
      <c r="EB46" s="1452"/>
      <c r="EC46" s="1452"/>
      <c r="ED46" s="1452"/>
      <c r="EE46" s="1452"/>
      <c r="EF46" s="1452"/>
      <c r="EG46" s="1452"/>
      <c r="EH46" s="1452"/>
      <c r="EI46" s="1452"/>
      <c r="EJ46" s="1452"/>
      <c r="EK46" s="1452"/>
      <c r="EL46" s="1452"/>
      <c r="EM46" s="1452"/>
      <c r="EN46" s="1452"/>
      <c r="EO46" s="1452"/>
      <c r="EP46" s="1452"/>
      <c r="EQ46" s="1452"/>
      <c r="ER46" s="1452"/>
      <c r="ES46" s="1452"/>
      <c r="ET46" s="1452"/>
      <c r="EU46" s="1452"/>
      <c r="EV46" s="1452"/>
      <c r="EW46" s="1452"/>
      <c r="EX46" s="1452"/>
      <c r="EY46" s="1452"/>
      <c r="EZ46" s="1452"/>
      <c r="FA46" s="1452"/>
      <c r="FB46" s="1452"/>
      <c r="FC46" s="1452"/>
      <c r="FD46" s="1452"/>
      <c r="FE46" s="1452"/>
      <c r="FF46" s="1452"/>
      <c r="FG46" s="1452"/>
      <c r="FH46" s="1452"/>
      <c r="FI46" s="1452"/>
      <c r="FJ46" s="1452"/>
      <c r="FK46" s="1452"/>
      <c r="FL46" s="1452"/>
      <c r="FM46" s="1452"/>
      <c r="FN46" s="1452"/>
      <c r="FO46" s="1452"/>
      <c r="FP46" s="1452"/>
      <c r="FQ46" s="1452"/>
      <c r="FR46" s="1452"/>
      <c r="FS46" s="1452"/>
      <c r="FT46" s="1452"/>
      <c r="FU46" s="1452"/>
      <c r="FV46" s="1452"/>
      <c r="FW46" s="1452"/>
      <c r="FX46" s="1452"/>
      <c r="FY46" s="1452"/>
      <c r="FZ46" s="1452"/>
      <c r="GA46" s="1452"/>
      <c r="GB46" s="1452"/>
      <c r="GC46" s="1452"/>
      <c r="GD46" s="1452"/>
      <c r="GE46" s="1452"/>
      <c r="GF46" s="1452"/>
      <c r="GG46" s="1452"/>
      <c r="GH46" s="1452"/>
      <c r="GI46" s="1452"/>
      <c r="GJ46" s="1452"/>
      <c r="GK46" s="1452"/>
      <c r="GL46" s="1452"/>
      <c r="GM46" s="1452"/>
      <c r="GN46" s="1452"/>
      <c r="GO46" s="1452"/>
      <c r="GP46" s="1452"/>
      <c r="GQ46" s="1452"/>
      <c r="GR46" s="1452"/>
      <c r="GS46" s="1452"/>
      <c r="GT46" s="1452"/>
      <c r="GU46" s="1452"/>
      <c r="GV46" s="1452"/>
      <c r="GW46" s="1452"/>
      <c r="GX46" s="1452"/>
      <c r="GY46" s="1452"/>
      <c r="GZ46" s="1452"/>
      <c r="HA46" s="1452"/>
      <c r="HB46" s="1452"/>
      <c r="HC46" s="1452"/>
      <c r="HD46" s="1452"/>
      <c r="HE46" s="1452"/>
      <c r="HF46" s="1452"/>
      <c r="HG46" s="1452"/>
      <c r="HH46" s="1452"/>
      <c r="HI46" s="1452"/>
      <c r="HJ46" s="1452"/>
      <c r="HK46" s="1452"/>
      <c r="HL46" s="1452"/>
      <c r="HM46" s="1452"/>
      <c r="HN46" s="1452"/>
      <c r="HO46" s="1452"/>
      <c r="HP46" s="1452"/>
      <c r="HQ46" s="1452"/>
      <c r="HR46" s="1452"/>
      <c r="HS46" s="1452"/>
      <c r="HT46" s="1452"/>
      <c r="HU46" s="1452"/>
      <c r="HV46" s="1452"/>
      <c r="HW46" s="1452"/>
      <c r="HX46" s="1452"/>
      <c r="HY46" s="1452"/>
      <c r="HZ46" s="1452"/>
      <c r="IA46" s="1452"/>
      <c r="IB46" s="1452"/>
      <c r="IC46" s="1452"/>
      <c r="ID46" s="1452"/>
      <c r="IE46" s="1452"/>
      <c r="IF46" s="1452"/>
      <c r="IG46" s="1452"/>
      <c r="IH46" s="1452"/>
      <c r="II46" s="1452"/>
      <c r="IJ46" s="1452"/>
      <c r="IK46" s="1452"/>
      <c r="IL46" s="1452"/>
      <c r="IM46" s="1452"/>
      <c r="IN46" s="1452"/>
      <c r="IO46" s="1452"/>
      <c r="IP46" s="1452"/>
      <c r="IQ46" s="1452"/>
      <c r="IR46" s="1452"/>
      <c r="IS46" s="1452"/>
      <c r="IT46" s="1452"/>
      <c r="IU46" s="1452"/>
      <c r="IV46" s="1452"/>
    </row>
    <row r="47" spans="1:256" ht="27.75" customHeight="1">
      <c r="A47" s="1458"/>
      <c r="B47" s="1458" t="s">
        <v>7155</v>
      </c>
      <c r="C47" s="1445">
        <v>1</v>
      </c>
      <c r="D47" s="1470">
        <v>1</v>
      </c>
      <c r="E47" s="1471">
        <f>H14</f>
        <v>3.28</v>
      </c>
      <c r="F47" s="1450">
        <v>120</v>
      </c>
      <c r="G47" s="1464"/>
      <c r="H47" s="1450">
        <f>PRODUCT(C47:G47)</f>
        <v>393.6</v>
      </c>
      <c r="I47" s="1452" t="s">
        <v>1637</v>
      </c>
      <c r="J47" s="1452"/>
      <c r="K47" s="1452"/>
      <c r="L47" s="1452"/>
      <c r="M47" s="1452"/>
      <c r="N47" s="1452"/>
      <c r="O47" s="1452"/>
      <c r="P47" s="1452"/>
      <c r="Q47" s="1452"/>
      <c r="R47" s="1452"/>
      <c r="S47" s="1452"/>
      <c r="T47" s="1452"/>
      <c r="U47" s="1452"/>
      <c r="V47" s="1452"/>
      <c r="W47" s="1452"/>
      <c r="X47" s="1452"/>
      <c r="Y47" s="1452"/>
      <c r="Z47" s="1452"/>
      <c r="AA47" s="1452"/>
      <c r="AB47" s="1452"/>
      <c r="AC47" s="1452"/>
      <c r="AD47" s="1452"/>
      <c r="AE47" s="1452"/>
      <c r="AF47" s="1452"/>
      <c r="AG47" s="1452"/>
      <c r="AH47" s="1452"/>
      <c r="AI47" s="1452"/>
      <c r="AJ47" s="1452"/>
      <c r="AK47" s="1452"/>
      <c r="AL47" s="1452"/>
      <c r="AM47" s="1452"/>
      <c r="AN47" s="1452"/>
      <c r="AO47" s="1452"/>
      <c r="AP47" s="1452"/>
      <c r="AQ47" s="1452"/>
      <c r="AR47" s="1452"/>
      <c r="AS47" s="1452"/>
      <c r="AT47" s="1452"/>
      <c r="AU47" s="1452"/>
      <c r="AV47" s="1452"/>
      <c r="AW47" s="1452"/>
      <c r="AX47" s="1452"/>
      <c r="AY47" s="1452"/>
      <c r="AZ47" s="1452"/>
      <c r="BA47" s="1452"/>
      <c r="BB47" s="1452"/>
      <c r="BC47" s="1452"/>
      <c r="BD47" s="1452"/>
      <c r="BE47" s="1452"/>
      <c r="BF47" s="1452"/>
      <c r="BG47" s="1452"/>
      <c r="BH47" s="1452"/>
      <c r="BI47" s="1452"/>
      <c r="BJ47" s="1452"/>
      <c r="BK47" s="1452"/>
      <c r="BL47" s="1452"/>
      <c r="BM47" s="1452"/>
      <c r="BN47" s="1452"/>
      <c r="BO47" s="1452"/>
      <c r="BP47" s="1452"/>
      <c r="BQ47" s="1452"/>
      <c r="BR47" s="1452"/>
      <c r="BS47" s="1452"/>
      <c r="BT47" s="1452"/>
      <c r="BU47" s="1452"/>
      <c r="BV47" s="1452"/>
      <c r="BW47" s="1452"/>
      <c r="BX47" s="1452"/>
      <c r="BY47" s="1452"/>
      <c r="BZ47" s="1452"/>
      <c r="CA47" s="1452"/>
      <c r="CB47" s="1452"/>
      <c r="CC47" s="1452"/>
      <c r="CD47" s="1452"/>
      <c r="CE47" s="1452"/>
      <c r="CF47" s="1452"/>
      <c r="CG47" s="1452"/>
      <c r="CH47" s="1452"/>
      <c r="CI47" s="1452"/>
      <c r="CJ47" s="1452"/>
      <c r="CK47" s="1452"/>
      <c r="CL47" s="1452"/>
      <c r="CM47" s="1452"/>
      <c r="CN47" s="1452"/>
      <c r="CO47" s="1452"/>
      <c r="CP47" s="1452"/>
      <c r="CQ47" s="1452"/>
      <c r="CR47" s="1452"/>
      <c r="CS47" s="1452"/>
      <c r="CT47" s="1452"/>
      <c r="CU47" s="1452"/>
      <c r="CV47" s="1452"/>
      <c r="CW47" s="1452"/>
      <c r="CX47" s="1452"/>
      <c r="CY47" s="1452"/>
      <c r="CZ47" s="1452"/>
      <c r="DA47" s="1452"/>
      <c r="DB47" s="1452"/>
      <c r="DC47" s="1452"/>
      <c r="DD47" s="1452"/>
      <c r="DE47" s="1452"/>
      <c r="DF47" s="1452"/>
      <c r="DG47" s="1452"/>
      <c r="DH47" s="1452"/>
      <c r="DI47" s="1452"/>
      <c r="DJ47" s="1452"/>
      <c r="DK47" s="1452"/>
      <c r="DL47" s="1452"/>
      <c r="DM47" s="1452"/>
      <c r="DN47" s="1452"/>
      <c r="DO47" s="1452"/>
      <c r="DP47" s="1452"/>
      <c r="DQ47" s="1452"/>
      <c r="DR47" s="1452"/>
      <c r="DS47" s="1452"/>
      <c r="DT47" s="1452"/>
      <c r="DU47" s="1452"/>
      <c r="DV47" s="1452"/>
      <c r="DW47" s="1452"/>
      <c r="DX47" s="1452"/>
      <c r="DY47" s="1452"/>
      <c r="DZ47" s="1452"/>
      <c r="EA47" s="1452"/>
      <c r="EB47" s="1452"/>
      <c r="EC47" s="1452"/>
      <c r="ED47" s="1452"/>
      <c r="EE47" s="1452"/>
      <c r="EF47" s="1452"/>
      <c r="EG47" s="1452"/>
      <c r="EH47" s="1452"/>
      <c r="EI47" s="1452"/>
      <c r="EJ47" s="1452"/>
      <c r="EK47" s="1452"/>
      <c r="EL47" s="1452"/>
      <c r="EM47" s="1452"/>
      <c r="EN47" s="1452"/>
      <c r="EO47" s="1452"/>
      <c r="EP47" s="1452"/>
      <c r="EQ47" s="1452"/>
      <c r="ER47" s="1452"/>
      <c r="ES47" s="1452"/>
      <c r="ET47" s="1452"/>
      <c r="EU47" s="1452"/>
      <c r="EV47" s="1452"/>
      <c r="EW47" s="1452"/>
      <c r="EX47" s="1452"/>
      <c r="EY47" s="1452"/>
      <c r="EZ47" s="1452"/>
      <c r="FA47" s="1452"/>
      <c r="FB47" s="1452"/>
      <c r="FC47" s="1452"/>
      <c r="FD47" s="1452"/>
      <c r="FE47" s="1452"/>
      <c r="FF47" s="1452"/>
      <c r="FG47" s="1452"/>
      <c r="FH47" s="1452"/>
      <c r="FI47" s="1452"/>
      <c r="FJ47" s="1452"/>
      <c r="FK47" s="1452"/>
      <c r="FL47" s="1452"/>
      <c r="FM47" s="1452"/>
      <c r="FN47" s="1452"/>
      <c r="FO47" s="1452"/>
      <c r="FP47" s="1452"/>
      <c r="FQ47" s="1452"/>
      <c r="FR47" s="1452"/>
      <c r="FS47" s="1452"/>
      <c r="FT47" s="1452"/>
      <c r="FU47" s="1452"/>
      <c r="FV47" s="1452"/>
      <c r="FW47" s="1452"/>
      <c r="FX47" s="1452"/>
      <c r="FY47" s="1452"/>
      <c r="FZ47" s="1452"/>
      <c r="GA47" s="1452"/>
      <c r="GB47" s="1452"/>
      <c r="GC47" s="1452"/>
      <c r="GD47" s="1452"/>
      <c r="GE47" s="1452"/>
      <c r="GF47" s="1452"/>
      <c r="GG47" s="1452"/>
      <c r="GH47" s="1452"/>
      <c r="GI47" s="1452"/>
      <c r="GJ47" s="1452"/>
      <c r="GK47" s="1452"/>
      <c r="GL47" s="1452"/>
      <c r="GM47" s="1452"/>
      <c r="GN47" s="1452"/>
      <c r="GO47" s="1452"/>
      <c r="GP47" s="1452"/>
      <c r="GQ47" s="1452"/>
      <c r="GR47" s="1452"/>
      <c r="GS47" s="1452"/>
      <c r="GT47" s="1452"/>
      <c r="GU47" s="1452"/>
      <c r="GV47" s="1452"/>
      <c r="GW47" s="1452"/>
      <c r="GX47" s="1452"/>
      <c r="GY47" s="1452"/>
      <c r="GZ47" s="1452"/>
      <c r="HA47" s="1452"/>
      <c r="HB47" s="1452"/>
      <c r="HC47" s="1452"/>
      <c r="HD47" s="1452"/>
      <c r="HE47" s="1452"/>
      <c r="HF47" s="1452"/>
      <c r="HG47" s="1452"/>
      <c r="HH47" s="1452"/>
      <c r="HI47" s="1452"/>
      <c r="HJ47" s="1452"/>
      <c r="HK47" s="1452"/>
      <c r="HL47" s="1452"/>
      <c r="HM47" s="1452"/>
      <c r="HN47" s="1452"/>
      <c r="HO47" s="1452"/>
      <c r="HP47" s="1452"/>
      <c r="HQ47" s="1452"/>
      <c r="HR47" s="1452"/>
      <c r="HS47" s="1452"/>
      <c r="HT47" s="1452"/>
      <c r="HU47" s="1452"/>
      <c r="HV47" s="1452"/>
      <c r="HW47" s="1452"/>
      <c r="HX47" s="1452"/>
      <c r="HY47" s="1452"/>
      <c r="HZ47" s="1452"/>
      <c r="IA47" s="1452"/>
      <c r="IB47" s="1452"/>
      <c r="IC47" s="1452"/>
      <c r="ID47" s="1452"/>
      <c r="IE47" s="1452"/>
      <c r="IF47" s="1452"/>
      <c r="IG47" s="1452"/>
      <c r="IH47" s="1452"/>
      <c r="II47" s="1452"/>
      <c r="IJ47" s="1452"/>
      <c r="IK47" s="1452"/>
      <c r="IL47" s="1452"/>
      <c r="IM47" s="1452"/>
      <c r="IN47" s="1452"/>
      <c r="IO47" s="1452"/>
      <c r="IP47" s="1452"/>
      <c r="IQ47" s="1452"/>
      <c r="IR47" s="1452"/>
      <c r="IS47" s="1452"/>
      <c r="IT47" s="1452"/>
      <c r="IU47" s="1452"/>
      <c r="IV47" s="1452"/>
    </row>
    <row r="48" spans="1:256" ht="27" customHeight="1">
      <c r="A48" s="1458"/>
      <c r="B48" s="1458"/>
      <c r="C48" s="1445"/>
      <c r="D48" s="1471"/>
      <c r="E48" s="1448"/>
      <c r="F48" s="1448"/>
      <c r="G48" s="1472" t="s">
        <v>4209</v>
      </c>
      <c r="H48" s="1449">
        <f>H47/1000</f>
        <v>0.39400000000000002</v>
      </c>
      <c r="I48" s="1473" t="s">
        <v>525</v>
      </c>
      <c r="J48" s="1452"/>
      <c r="K48" s="1452"/>
      <c r="L48" s="1452"/>
      <c r="M48" s="1452"/>
      <c r="N48" s="1452"/>
      <c r="O48" s="1452"/>
      <c r="P48" s="1452"/>
      <c r="Q48" s="1452"/>
      <c r="R48" s="1452"/>
      <c r="S48" s="1452"/>
      <c r="T48" s="1452"/>
      <c r="U48" s="1452"/>
      <c r="V48" s="1452"/>
      <c r="W48" s="1452"/>
      <c r="X48" s="1452"/>
      <c r="Y48" s="1452"/>
      <c r="Z48" s="1452"/>
      <c r="AA48" s="1452"/>
      <c r="AB48" s="1452"/>
      <c r="AC48" s="1452"/>
      <c r="AD48" s="1452"/>
      <c r="AE48" s="1452"/>
      <c r="AF48" s="1452"/>
      <c r="AG48" s="1452"/>
      <c r="AH48" s="1452"/>
      <c r="AI48" s="1452"/>
      <c r="AJ48" s="1452"/>
      <c r="AK48" s="1452"/>
      <c r="AL48" s="1452"/>
      <c r="AM48" s="1452"/>
      <c r="AN48" s="1452"/>
      <c r="AO48" s="1452"/>
      <c r="AP48" s="1452"/>
      <c r="AQ48" s="1452"/>
      <c r="AR48" s="1452"/>
      <c r="AS48" s="1452"/>
      <c r="AT48" s="1452"/>
      <c r="AU48" s="1452"/>
      <c r="AV48" s="1452"/>
      <c r="AW48" s="1452"/>
      <c r="AX48" s="1452"/>
      <c r="AY48" s="1452"/>
      <c r="AZ48" s="1452"/>
      <c r="BA48" s="1452"/>
      <c r="BB48" s="1452"/>
      <c r="BC48" s="1452"/>
      <c r="BD48" s="1452"/>
      <c r="BE48" s="1452"/>
      <c r="BF48" s="1452"/>
      <c r="BG48" s="1452"/>
      <c r="BH48" s="1452"/>
      <c r="BI48" s="1452"/>
      <c r="BJ48" s="1452"/>
      <c r="BK48" s="1452"/>
      <c r="BL48" s="1452"/>
      <c r="BM48" s="1452"/>
      <c r="BN48" s="1452"/>
      <c r="BO48" s="1452"/>
      <c r="BP48" s="1452"/>
      <c r="BQ48" s="1452"/>
      <c r="BR48" s="1452"/>
      <c r="BS48" s="1452"/>
      <c r="BT48" s="1452"/>
      <c r="BU48" s="1452"/>
      <c r="BV48" s="1452"/>
      <c r="BW48" s="1452"/>
      <c r="BX48" s="1452"/>
      <c r="BY48" s="1452"/>
      <c r="BZ48" s="1452"/>
      <c r="CA48" s="1452"/>
      <c r="CB48" s="1452"/>
      <c r="CC48" s="1452"/>
      <c r="CD48" s="1452"/>
      <c r="CE48" s="1452"/>
      <c r="CF48" s="1452"/>
      <c r="CG48" s="1452"/>
      <c r="CH48" s="1452"/>
      <c r="CI48" s="1452"/>
      <c r="CJ48" s="1452"/>
      <c r="CK48" s="1452"/>
      <c r="CL48" s="1452"/>
      <c r="CM48" s="1452"/>
      <c r="CN48" s="1452"/>
      <c r="CO48" s="1452"/>
      <c r="CP48" s="1452"/>
      <c r="CQ48" s="1452"/>
      <c r="CR48" s="1452"/>
      <c r="CS48" s="1452"/>
      <c r="CT48" s="1452"/>
      <c r="CU48" s="1452"/>
      <c r="CV48" s="1452"/>
      <c r="CW48" s="1452"/>
      <c r="CX48" s="1452"/>
      <c r="CY48" s="1452"/>
      <c r="CZ48" s="1452"/>
      <c r="DA48" s="1452"/>
      <c r="DB48" s="1452"/>
      <c r="DC48" s="1452"/>
      <c r="DD48" s="1452"/>
      <c r="DE48" s="1452"/>
      <c r="DF48" s="1452"/>
      <c r="DG48" s="1452"/>
      <c r="DH48" s="1452"/>
      <c r="DI48" s="1452"/>
      <c r="DJ48" s="1452"/>
      <c r="DK48" s="1452"/>
      <c r="DL48" s="1452"/>
      <c r="DM48" s="1452"/>
      <c r="DN48" s="1452"/>
      <c r="DO48" s="1452"/>
      <c r="DP48" s="1452"/>
      <c r="DQ48" s="1452"/>
      <c r="DR48" s="1452"/>
      <c r="DS48" s="1452"/>
      <c r="DT48" s="1452"/>
      <c r="DU48" s="1452"/>
      <c r="DV48" s="1452"/>
      <c r="DW48" s="1452"/>
      <c r="DX48" s="1452"/>
      <c r="DY48" s="1452"/>
      <c r="DZ48" s="1452"/>
      <c r="EA48" s="1452"/>
      <c r="EB48" s="1452"/>
      <c r="EC48" s="1452"/>
      <c r="ED48" s="1452"/>
      <c r="EE48" s="1452"/>
      <c r="EF48" s="1452"/>
      <c r="EG48" s="1452"/>
      <c r="EH48" s="1452"/>
      <c r="EI48" s="1452"/>
      <c r="EJ48" s="1452"/>
      <c r="EK48" s="1452"/>
      <c r="EL48" s="1452"/>
      <c r="EM48" s="1452"/>
      <c r="EN48" s="1452"/>
      <c r="EO48" s="1452"/>
      <c r="EP48" s="1452"/>
      <c r="EQ48" s="1452"/>
      <c r="ER48" s="1452"/>
      <c r="ES48" s="1452"/>
      <c r="ET48" s="1452"/>
      <c r="EU48" s="1452"/>
      <c r="EV48" s="1452"/>
      <c r="EW48" s="1452"/>
      <c r="EX48" s="1452"/>
      <c r="EY48" s="1452"/>
      <c r="EZ48" s="1452"/>
      <c r="FA48" s="1452"/>
      <c r="FB48" s="1452"/>
      <c r="FC48" s="1452"/>
      <c r="FD48" s="1452"/>
      <c r="FE48" s="1452"/>
      <c r="FF48" s="1452"/>
      <c r="FG48" s="1452"/>
      <c r="FH48" s="1452"/>
      <c r="FI48" s="1452"/>
      <c r="FJ48" s="1452"/>
      <c r="FK48" s="1452"/>
      <c r="FL48" s="1452"/>
      <c r="FM48" s="1452"/>
      <c r="FN48" s="1452"/>
      <c r="FO48" s="1452"/>
      <c r="FP48" s="1452"/>
      <c r="FQ48" s="1452"/>
      <c r="FR48" s="1452"/>
      <c r="FS48" s="1452"/>
      <c r="FT48" s="1452"/>
      <c r="FU48" s="1452"/>
      <c r="FV48" s="1452"/>
      <c r="FW48" s="1452"/>
      <c r="FX48" s="1452"/>
      <c r="FY48" s="1452"/>
      <c r="FZ48" s="1452"/>
      <c r="GA48" s="1452"/>
      <c r="GB48" s="1452"/>
      <c r="GC48" s="1452"/>
      <c r="GD48" s="1452"/>
      <c r="GE48" s="1452"/>
      <c r="GF48" s="1452"/>
      <c r="GG48" s="1452"/>
      <c r="GH48" s="1452"/>
      <c r="GI48" s="1452"/>
      <c r="GJ48" s="1452"/>
      <c r="GK48" s="1452"/>
      <c r="GL48" s="1452"/>
      <c r="GM48" s="1452"/>
      <c r="GN48" s="1452"/>
      <c r="GO48" s="1452"/>
      <c r="GP48" s="1452"/>
      <c r="GQ48" s="1452"/>
      <c r="GR48" s="1452"/>
      <c r="GS48" s="1452"/>
      <c r="GT48" s="1452"/>
      <c r="GU48" s="1452"/>
      <c r="GV48" s="1452"/>
      <c r="GW48" s="1452"/>
      <c r="GX48" s="1452"/>
      <c r="GY48" s="1452"/>
      <c r="GZ48" s="1452"/>
      <c r="HA48" s="1452"/>
      <c r="HB48" s="1452"/>
      <c r="HC48" s="1452"/>
      <c r="HD48" s="1452"/>
      <c r="HE48" s="1452"/>
      <c r="HF48" s="1452"/>
      <c r="HG48" s="1452"/>
      <c r="HH48" s="1452"/>
      <c r="HI48" s="1452"/>
      <c r="HJ48" s="1452"/>
      <c r="HK48" s="1452"/>
      <c r="HL48" s="1452"/>
      <c r="HM48" s="1452"/>
      <c r="HN48" s="1452"/>
      <c r="HO48" s="1452"/>
      <c r="HP48" s="1452"/>
      <c r="HQ48" s="1452"/>
      <c r="HR48" s="1452"/>
      <c r="HS48" s="1452"/>
      <c r="HT48" s="1452"/>
      <c r="HU48" s="1452"/>
      <c r="HV48" s="1452"/>
      <c r="HW48" s="1452"/>
      <c r="HX48" s="1452"/>
      <c r="HY48" s="1452"/>
      <c r="HZ48" s="1452"/>
      <c r="IA48" s="1452"/>
      <c r="IB48" s="1452"/>
      <c r="IC48" s="1452"/>
      <c r="ID48" s="1452"/>
      <c r="IE48" s="1452"/>
      <c r="IF48" s="1452"/>
      <c r="IG48" s="1452"/>
      <c r="IH48" s="1452"/>
      <c r="II48" s="1452"/>
      <c r="IJ48" s="1452"/>
      <c r="IK48" s="1452"/>
      <c r="IL48" s="1452"/>
      <c r="IM48" s="1452"/>
      <c r="IN48" s="1452"/>
      <c r="IO48" s="1452"/>
      <c r="IP48" s="1452"/>
      <c r="IQ48" s="1452"/>
      <c r="IR48" s="1452"/>
      <c r="IS48" s="1452"/>
      <c r="IT48" s="1452"/>
      <c r="IU48" s="1452"/>
      <c r="IV48" s="1452"/>
    </row>
    <row r="49" spans="1:256" ht="27" customHeight="1">
      <c r="A49" s="1445">
        <v>238</v>
      </c>
      <c r="B49" s="1468" t="s">
        <v>7156</v>
      </c>
      <c r="C49" s="1445"/>
      <c r="D49" s="1445"/>
      <c r="E49" s="1448"/>
      <c r="F49" s="1469"/>
      <c r="G49" s="1448"/>
      <c r="H49" s="1448"/>
      <c r="I49" s="1451"/>
      <c r="J49" s="1452"/>
      <c r="K49" s="1452"/>
      <c r="L49" s="1452"/>
      <c r="M49" s="1452"/>
      <c r="N49" s="1452"/>
      <c r="O49" s="1452"/>
      <c r="P49" s="1452"/>
      <c r="Q49" s="1452"/>
      <c r="R49" s="1452"/>
      <c r="S49" s="1452"/>
      <c r="T49" s="1452"/>
      <c r="U49" s="1452"/>
      <c r="V49" s="1452"/>
      <c r="W49" s="1452"/>
      <c r="X49" s="1452"/>
      <c r="Y49" s="1452"/>
      <c r="Z49" s="1452"/>
      <c r="AA49" s="1452"/>
      <c r="AB49" s="1452"/>
      <c r="AC49" s="1452"/>
      <c r="AD49" s="1452"/>
      <c r="AE49" s="1452"/>
      <c r="AF49" s="1452"/>
      <c r="AG49" s="1452"/>
      <c r="AH49" s="1452"/>
      <c r="AI49" s="1452"/>
      <c r="AJ49" s="1452"/>
      <c r="AK49" s="1452"/>
      <c r="AL49" s="1452"/>
      <c r="AM49" s="1452"/>
      <c r="AN49" s="1452"/>
      <c r="AO49" s="1452"/>
      <c r="AP49" s="1452"/>
      <c r="AQ49" s="1452"/>
      <c r="AR49" s="1452"/>
      <c r="AS49" s="1452"/>
      <c r="AT49" s="1452"/>
      <c r="AU49" s="1452"/>
      <c r="AV49" s="1452"/>
      <c r="AW49" s="1452"/>
      <c r="AX49" s="1452"/>
      <c r="AY49" s="1452"/>
      <c r="AZ49" s="1452"/>
      <c r="BA49" s="1452"/>
      <c r="BB49" s="1452"/>
      <c r="BC49" s="1452"/>
      <c r="BD49" s="1452"/>
      <c r="BE49" s="1452"/>
      <c r="BF49" s="1452"/>
      <c r="BG49" s="1452"/>
      <c r="BH49" s="1452"/>
      <c r="BI49" s="1452"/>
      <c r="BJ49" s="1452"/>
      <c r="BK49" s="1452"/>
      <c r="BL49" s="1452"/>
      <c r="BM49" s="1452"/>
      <c r="BN49" s="1452"/>
      <c r="BO49" s="1452"/>
      <c r="BP49" s="1452"/>
      <c r="BQ49" s="1452"/>
      <c r="BR49" s="1452"/>
      <c r="BS49" s="1452"/>
      <c r="BT49" s="1452"/>
      <c r="BU49" s="1452"/>
      <c r="BV49" s="1452"/>
      <c r="BW49" s="1452"/>
      <c r="BX49" s="1452"/>
      <c r="BY49" s="1452"/>
      <c r="BZ49" s="1452"/>
      <c r="CA49" s="1452"/>
      <c r="CB49" s="1452"/>
      <c r="CC49" s="1452"/>
      <c r="CD49" s="1452"/>
      <c r="CE49" s="1452"/>
      <c r="CF49" s="1452"/>
      <c r="CG49" s="1452"/>
      <c r="CH49" s="1452"/>
      <c r="CI49" s="1452"/>
      <c r="CJ49" s="1452"/>
      <c r="CK49" s="1452"/>
      <c r="CL49" s="1452"/>
      <c r="CM49" s="1452"/>
      <c r="CN49" s="1452"/>
      <c r="CO49" s="1452"/>
      <c r="CP49" s="1452"/>
      <c r="CQ49" s="1452"/>
      <c r="CR49" s="1452"/>
      <c r="CS49" s="1452"/>
      <c r="CT49" s="1452"/>
      <c r="CU49" s="1452"/>
      <c r="CV49" s="1452"/>
      <c r="CW49" s="1452"/>
      <c r="CX49" s="1452"/>
      <c r="CY49" s="1452"/>
      <c r="CZ49" s="1452"/>
      <c r="DA49" s="1452"/>
      <c r="DB49" s="1452"/>
      <c r="DC49" s="1452"/>
      <c r="DD49" s="1452"/>
      <c r="DE49" s="1452"/>
      <c r="DF49" s="1452"/>
      <c r="DG49" s="1452"/>
      <c r="DH49" s="1452"/>
      <c r="DI49" s="1452"/>
      <c r="DJ49" s="1452"/>
      <c r="DK49" s="1452"/>
      <c r="DL49" s="1452"/>
      <c r="DM49" s="1452"/>
      <c r="DN49" s="1452"/>
      <c r="DO49" s="1452"/>
      <c r="DP49" s="1452"/>
      <c r="DQ49" s="1452"/>
      <c r="DR49" s="1452"/>
      <c r="DS49" s="1452"/>
      <c r="DT49" s="1452"/>
      <c r="DU49" s="1452"/>
      <c r="DV49" s="1452"/>
      <c r="DW49" s="1452"/>
      <c r="DX49" s="1452"/>
      <c r="DY49" s="1452"/>
      <c r="DZ49" s="1452"/>
      <c r="EA49" s="1452"/>
      <c r="EB49" s="1452"/>
      <c r="EC49" s="1452"/>
      <c r="ED49" s="1452"/>
      <c r="EE49" s="1452"/>
      <c r="EF49" s="1452"/>
      <c r="EG49" s="1452"/>
      <c r="EH49" s="1452"/>
      <c r="EI49" s="1452"/>
      <c r="EJ49" s="1452"/>
      <c r="EK49" s="1452"/>
      <c r="EL49" s="1452"/>
      <c r="EM49" s="1452"/>
      <c r="EN49" s="1452"/>
      <c r="EO49" s="1452"/>
      <c r="EP49" s="1452"/>
      <c r="EQ49" s="1452"/>
      <c r="ER49" s="1452"/>
      <c r="ES49" s="1452"/>
      <c r="ET49" s="1452"/>
      <c r="EU49" s="1452"/>
      <c r="EV49" s="1452"/>
      <c r="EW49" s="1452"/>
      <c r="EX49" s="1452"/>
      <c r="EY49" s="1452"/>
      <c r="EZ49" s="1452"/>
      <c r="FA49" s="1452"/>
      <c r="FB49" s="1452"/>
      <c r="FC49" s="1452"/>
      <c r="FD49" s="1452"/>
      <c r="FE49" s="1452"/>
      <c r="FF49" s="1452"/>
      <c r="FG49" s="1452"/>
      <c r="FH49" s="1452"/>
      <c r="FI49" s="1452"/>
      <c r="FJ49" s="1452"/>
      <c r="FK49" s="1452"/>
      <c r="FL49" s="1452"/>
      <c r="FM49" s="1452"/>
      <c r="FN49" s="1452"/>
      <c r="FO49" s="1452"/>
      <c r="FP49" s="1452"/>
      <c r="FQ49" s="1452"/>
      <c r="FR49" s="1452"/>
      <c r="FS49" s="1452"/>
      <c r="FT49" s="1452"/>
      <c r="FU49" s="1452"/>
      <c r="FV49" s="1452"/>
      <c r="FW49" s="1452"/>
      <c r="FX49" s="1452"/>
      <c r="FY49" s="1452"/>
      <c r="FZ49" s="1452"/>
      <c r="GA49" s="1452"/>
      <c r="GB49" s="1452"/>
      <c r="GC49" s="1452"/>
      <c r="GD49" s="1452"/>
      <c r="GE49" s="1452"/>
      <c r="GF49" s="1452"/>
      <c r="GG49" s="1452"/>
      <c r="GH49" s="1452"/>
      <c r="GI49" s="1452"/>
      <c r="GJ49" s="1452"/>
      <c r="GK49" s="1452"/>
      <c r="GL49" s="1452"/>
      <c r="GM49" s="1452"/>
      <c r="GN49" s="1452"/>
      <c r="GO49" s="1452"/>
      <c r="GP49" s="1452"/>
      <c r="GQ49" s="1452"/>
      <c r="GR49" s="1452"/>
      <c r="GS49" s="1452"/>
      <c r="GT49" s="1452"/>
      <c r="GU49" s="1452"/>
      <c r="GV49" s="1452"/>
      <c r="GW49" s="1452"/>
      <c r="GX49" s="1452"/>
      <c r="GY49" s="1452"/>
      <c r="GZ49" s="1452"/>
      <c r="HA49" s="1452"/>
      <c r="HB49" s="1452"/>
      <c r="HC49" s="1452"/>
      <c r="HD49" s="1452"/>
      <c r="HE49" s="1452"/>
      <c r="HF49" s="1452"/>
      <c r="HG49" s="1452"/>
      <c r="HH49" s="1452"/>
      <c r="HI49" s="1452"/>
      <c r="HJ49" s="1452"/>
      <c r="HK49" s="1452"/>
      <c r="HL49" s="1452"/>
      <c r="HM49" s="1452"/>
      <c r="HN49" s="1452"/>
      <c r="HO49" s="1452"/>
      <c r="HP49" s="1452"/>
      <c r="HQ49" s="1452"/>
      <c r="HR49" s="1452"/>
      <c r="HS49" s="1452"/>
      <c r="HT49" s="1452"/>
      <c r="HU49" s="1452"/>
      <c r="HV49" s="1452"/>
      <c r="HW49" s="1452"/>
      <c r="HX49" s="1452"/>
      <c r="HY49" s="1452"/>
      <c r="HZ49" s="1452"/>
      <c r="IA49" s="1452"/>
      <c r="IB49" s="1452"/>
      <c r="IC49" s="1452"/>
      <c r="ID49" s="1452"/>
      <c r="IE49" s="1452"/>
      <c r="IF49" s="1452"/>
      <c r="IG49" s="1452"/>
      <c r="IH49" s="1452"/>
      <c r="II49" s="1452"/>
      <c r="IJ49" s="1452"/>
      <c r="IK49" s="1452"/>
      <c r="IL49" s="1452"/>
      <c r="IM49" s="1452"/>
      <c r="IN49" s="1452"/>
      <c r="IO49" s="1452"/>
      <c r="IP49" s="1452"/>
      <c r="IQ49" s="1452"/>
      <c r="IR49" s="1452"/>
      <c r="IS49" s="1452"/>
      <c r="IT49" s="1452"/>
      <c r="IU49" s="1452"/>
      <c r="IV49" s="1452"/>
    </row>
    <row r="50" spans="1:256" ht="27.75" customHeight="1">
      <c r="A50" s="1458"/>
      <c r="B50" s="1458" t="s">
        <v>7157</v>
      </c>
      <c r="C50" s="1445">
        <v>1</v>
      </c>
      <c r="D50" s="1470">
        <v>1</v>
      </c>
      <c r="E50" s="1474">
        <f>H48</f>
        <v>0.39400000000000002</v>
      </c>
      <c r="F50" s="1450"/>
      <c r="G50" s="1464"/>
      <c r="H50" s="1449">
        <f>PRODUCT(C50:G50)</f>
        <v>0.39400000000000002</v>
      </c>
      <c r="I50" s="1473" t="s">
        <v>525</v>
      </c>
      <c r="J50" s="1452"/>
      <c r="K50" s="1452"/>
      <c r="L50" s="1452"/>
      <c r="M50" s="1452"/>
      <c r="N50" s="1452"/>
      <c r="O50" s="1452"/>
      <c r="P50" s="1452"/>
      <c r="Q50" s="1452"/>
      <c r="R50" s="1452"/>
      <c r="S50" s="1452"/>
      <c r="T50" s="1452"/>
      <c r="U50" s="1452"/>
      <c r="V50" s="1452"/>
      <c r="W50" s="1452"/>
      <c r="X50" s="1452"/>
      <c r="Y50" s="1452"/>
      <c r="Z50" s="1452"/>
      <c r="AA50" s="1452"/>
      <c r="AB50" s="1452"/>
      <c r="AC50" s="1452"/>
      <c r="AD50" s="1452"/>
      <c r="AE50" s="1452"/>
      <c r="AF50" s="1452"/>
      <c r="AG50" s="1452"/>
      <c r="AH50" s="1452"/>
      <c r="AI50" s="1452"/>
      <c r="AJ50" s="1452"/>
      <c r="AK50" s="1452"/>
      <c r="AL50" s="1452"/>
      <c r="AM50" s="1452"/>
      <c r="AN50" s="1452"/>
      <c r="AO50" s="1452"/>
      <c r="AP50" s="1452"/>
      <c r="AQ50" s="1452"/>
      <c r="AR50" s="1452"/>
      <c r="AS50" s="1452"/>
      <c r="AT50" s="1452"/>
      <c r="AU50" s="1452"/>
      <c r="AV50" s="1452"/>
      <c r="AW50" s="1452"/>
      <c r="AX50" s="1452"/>
      <c r="AY50" s="1452"/>
      <c r="AZ50" s="1452"/>
      <c r="BA50" s="1452"/>
      <c r="BB50" s="1452"/>
      <c r="BC50" s="1452"/>
      <c r="BD50" s="1452"/>
      <c r="BE50" s="1452"/>
      <c r="BF50" s="1452"/>
      <c r="BG50" s="1452"/>
      <c r="BH50" s="1452"/>
      <c r="BI50" s="1452"/>
      <c r="BJ50" s="1452"/>
      <c r="BK50" s="1452"/>
      <c r="BL50" s="1452"/>
      <c r="BM50" s="1452"/>
      <c r="BN50" s="1452"/>
      <c r="BO50" s="1452"/>
      <c r="BP50" s="1452"/>
      <c r="BQ50" s="1452"/>
      <c r="BR50" s="1452"/>
      <c r="BS50" s="1452"/>
      <c r="BT50" s="1452"/>
      <c r="BU50" s="1452"/>
      <c r="BV50" s="1452"/>
      <c r="BW50" s="1452"/>
      <c r="BX50" s="1452"/>
      <c r="BY50" s="1452"/>
      <c r="BZ50" s="1452"/>
      <c r="CA50" s="1452"/>
      <c r="CB50" s="1452"/>
      <c r="CC50" s="1452"/>
      <c r="CD50" s="1452"/>
      <c r="CE50" s="1452"/>
      <c r="CF50" s="1452"/>
      <c r="CG50" s="1452"/>
      <c r="CH50" s="1452"/>
      <c r="CI50" s="1452"/>
      <c r="CJ50" s="1452"/>
      <c r="CK50" s="1452"/>
      <c r="CL50" s="1452"/>
      <c r="CM50" s="1452"/>
      <c r="CN50" s="1452"/>
      <c r="CO50" s="1452"/>
      <c r="CP50" s="1452"/>
      <c r="CQ50" s="1452"/>
      <c r="CR50" s="1452"/>
      <c r="CS50" s="1452"/>
      <c r="CT50" s="1452"/>
      <c r="CU50" s="1452"/>
      <c r="CV50" s="1452"/>
      <c r="CW50" s="1452"/>
      <c r="CX50" s="1452"/>
      <c r="CY50" s="1452"/>
      <c r="CZ50" s="1452"/>
      <c r="DA50" s="1452"/>
      <c r="DB50" s="1452"/>
      <c r="DC50" s="1452"/>
      <c r="DD50" s="1452"/>
      <c r="DE50" s="1452"/>
      <c r="DF50" s="1452"/>
      <c r="DG50" s="1452"/>
      <c r="DH50" s="1452"/>
      <c r="DI50" s="1452"/>
      <c r="DJ50" s="1452"/>
      <c r="DK50" s="1452"/>
      <c r="DL50" s="1452"/>
      <c r="DM50" s="1452"/>
      <c r="DN50" s="1452"/>
      <c r="DO50" s="1452"/>
      <c r="DP50" s="1452"/>
      <c r="DQ50" s="1452"/>
      <c r="DR50" s="1452"/>
      <c r="DS50" s="1452"/>
      <c r="DT50" s="1452"/>
      <c r="DU50" s="1452"/>
      <c r="DV50" s="1452"/>
      <c r="DW50" s="1452"/>
      <c r="DX50" s="1452"/>
      <c r="DY50" s="1452"/>
      <c r="DZ50" s="1452"/>
      <c r="EA50" s="1452"/>
      <c r="EB50" s="1452"/>
      <c r="EC50" s="1452"/>
      <c r="ED50" s="1452"/>
      <c r="EE50" s="1452"/>
      <c r="EF50" s="1452"/>
      <c r="EG50" s="1452"/>
      <c r="EH50" s="1452"/>
      <c r="EI50" s="1452"/>
      <c r="EJ50" s="1452"/>
      <c r="EK50" s="1452"/>
      <c r="EL50" s="1452"/>
      <c r="EM50" s="1452"/>
      <c r="EN50" s="1452"/>
      <c r="EO50" s="1452"/>
      <c r="EP50" s="1452"/>
      <c r="EQ50" s="1452"/>
      <c r="ER50" s="1452"/>
      <c r="ES50" s="1452"/>
      <c r="ET50" s="1452"/>
      <c r="EU50" s="1452"/>
      <c r="EV50" s="1452"/>
      <c r="EW50" s="1452"/>
      <c r="EX50" s="1452"/>
      <c r="EY50" s="1452"/>
      <c r="EZ50" s="1452"/>
      <c r="FA50" s="1452"/>
      <c r="FB50" s="1452"/>
      <c r="FC50" s="1452"/>
      <c r="FD50" s="1452"/>
      <c r="FE50" s="1452"/>
      <c r="FF50" s="1452"/>
      <c r="FG50" s="1452"/>
      <c r="FH50" s="1452"/>
      <c r="FI50" s="1452"/>
      <c r="FJ50" s="1452"/>
      <c r="FK50" s="1452"/>
      <c r="FL50" s="1452"/>
      <c r="FM50" s="1452"/>
      <c r="FN50" s="1452"/>
      <c r="FO50" s="1452"/>
      <c r="FP50" s="1452"/>
      <c r="FQ50" s="1452"/>
      <c r="FR50" s="1452"/>
      <c r="FS50" s="1452"/>
      <c r="FT50" s="1452"/>
      <c r="FU50" s="1452"/>
      <c r="FV50" s="1452"/>
      <c r="FW50" s="1452"/>
      <c r="FX50" s="1452"/>
      <c r="FY50" s="1452"/>
      <c r="FZ50" s="1452"/>
      <c r="GA50" s="1452"/>
      <c r="GB50" s="1452"/>
      <c r="GC50" s="1452"/>
      <c r="GD50" s="1452"/>
      <c r="GE50" s="1452"/>
      <c r="GF50" s="1452"/>
      <c r="GG50" s="1452"/>
      <c r="GH50" s="1452"/>
      <c r="GI50" s="1452"/>
      <c r="GJ50" s="1452"/>
      <c r="GK50" s="1452"/>
      <c r="GL50" s="1452"/>
      <c r="GM50" s="1452"/>
      <c r="GN50" s="1452"/>
      <c r="GO50" s="1452"/>
      <c r="GP50" s="1452"/>
      <c r="GQ50" s="1452"/>
      <c r="GR50" s="1452"/>
      <c r="GS50" s="1452"/>
      <c r="GT50" s="1452"/>
      <c r="GU50" s="1452"/>
      <c r="GV50" s="1452"/>
      <c r="GW50" s="1452"/>
      <c r="GX50" s="1452"/>
      <c r="GY50" s="1452"/>
      <c r="GZ50" s="1452"/>
      <c r="HA50" s="1452"/>
      <c r="HB50" s="1452"/>
      <c r="HC50" s="1452"/>
      <c r="HD50" s="1452"/>
      <c r="HE50" s="1452"/>
      <c r="HF50" s="1452"/>
      <c r="HG50" s="1452"/>
      <c r="HH50" s="1452"/>
      <c r="HI50" s="1452"/>
      <c r="HJ50" s="1452"/>
      <c r="HK50" s="1452"/>
      <c r="HL50" s="1452"/>
      <c r="HM50" s="1452"/>
      <c r="HN50" s="1452"/>
      <c r="HO50" s="1452"/>
      <c r="HP50" s="1452"/>
      <c r="HQ50" s="1452"/>
      <c r="HR50" s="1452"/>
      <c r="HS50" s="1452"/>
      <c r="HT50" s="1452"/>
      <c r="HU50" s="1452"/>
      <c r="HV50" s="1452"/>
      <c r="HW50" s="1452"/>
      <c r="HX50" s="1452"/>
      <c r="HY50" s="1452"/>
      <c r="HZ50" s="1452"/>
      <c r="IA50" s="1452"/>
      <c r="IB50" s="1452"/>
      <c r="IC50" s="1452"/>
      <c r="ID50" s="1452"/>
      <c r="IE50" s="1452"/>
      <c r="IF50" s="1452"/>
      <c r="IG50" s="1452"/>
      <c r="IH50" s="1452"/>
      <c r="II50" s="1452"/>
      <c r="IJ50" s="1452"/>
      <c r="IK50" s="1452"/>
      <c r="IL50" s="1452"/>
      <c r="IM50" s="1452"/>
      <c r="IN50" s="1452"/>
      <c r="IO50" s="1452"/>
      <c r="IP50" s="1452"/>
      <c r="IQ50" s="1452"/>
      <c r="IR50" s="1452"/>
      <c r="IS50" s="1452"/>
      <c r="IT50" s="1452"/>
      <c r="IU50" s="1452"/>
      <c r="IV50" s="1452"/>
    </row>
    <row r="51" spans="1:256" ht="26.25" hidden="1" customHeight="1">
      <c r="A51" s="1445">
        <v>53.4</v>
      </c>
      <c r="B51" s="1475" t="s">
        <v>69</v>
      </c>
      <c r="C51" s="1445"/>
      <c r="D51" s="1445"/>
      <c r="E51" s="1448"/>
      <c r="F51" s="1448"/>
      <c r="G51" s="1464"/>
      <c r="H51" s="1448"/>
      <c r="I51" s="1473"/>
      <c r="J51" s="1452"/>
      <c r="K51" s="1452"/>
      <c r="L51" s="1452"/>
      <c r="M51" s="1452"/>
      <c r="N51" s="1452"/>
      <c r="O51" s="1452"/>
      <c r="P51" s="1452"/>
      <c r="Q51" s="1452"/>
      <c r="R51" s="1452"/>
      <c r="S51" s="1452"/>
      <c r="T51" s="1452"/>
      <c r="U51" s="1452"/>
      <c r="V51" s="1452"/>
      <c r="W51" s="1452"/>
      <c r="X51" s="1452"/>
      <c r="Y51" s="1452"/>
      <c r="Z51" s="1452"/>
      <c r="AA51" s="1452"/>
      <c r="AB51" s="1452"/>
      <c r="AC51" s="1452"/>
      <c r="AD51" s="1452"/>
      <c r="AE51" s="1452"/>
      <c r="AF51" s="1452"/>
      <c r="AG51" s="1452"/>
      <c r="AH51" s="1452"/>
      <c r="AI51" s="1452"/>
      <c r="AJ51" s="1452"/>
      <c r="AK51" s="1452"/>
      <c r="AL51" s="1452"/>
      <c r="AM51" s="1452"/>
      <c r="AN51" s="1452"/>
      <c r="AO51" s="1452"/>
      <c r="AP51" s="1452"/>
      <c r="AQ51" s="1452"/>
      <c r="AR51" s="1452"/>
      <c r="AS51" s="1452"/>
      <c r="AT51" s="1452"/>
      <c r="AU51" s="1452"/>
      <c r="AV51" s="1452"/>
      <c r="AW51" s="1452"/>
      <c r="AX51" s="1452"/>
      <c r="AY51" s="1452"/>
      <c r="AZ51" s="1452"/>
      <c r="BA51" s="1452"/>
      <c r="BB51" s="1452"/>
      <c r="BC51" s="1452"/>
      <c r="BD51" s="1452"/>
      <c r="BE51" s="1452"/>
      <c r="BF51" s="1452"/>
      <c r="BG51" s="1452"/>
      <c r="BH51" s="1452"/>
      <c r="BI51" s="1452"/>
      <c r="BJ51" s="1452"/>
      <c r="BK51" s="1452"/>
      <c r="BL51" s="1452"/>
      <c r="BM51" s="1452"/>
      <c r="BN51" s="1452"/>
      <c r="BO51" s="1452"/>
      <c r="BP51" s="1452"/>
      <c r="BQ51" s="1452"/>
      <c r="BR51" s="1452"/>
      <c r="BS51" s="1452"/>
      <c r="BT51" s="1452"/>
      <c r="BU51" s="1452"/>
      <c r="BV51" s="1452"/>
      <c r="BW51" s="1452"/>
      <c r="BX51" s="1452"/>
      <c r="BY51" s="1452"/>
      <c r="BZ51" s="1452"/>
      <c r="CA51" s="1452"/>
      <c r="CB51" s="1452"/>
      <c r="CC51" s="1452"/>
      <c r="CD51" s="1452"/>
      <c r="CE51" s="1452"/>
      <c r="CF51" s="1452"/>
      <c r="CG51" s="1452"/>
      <c r="CH51" s="1452"/>
      <c r="CI51" s="1452"/>
      <c r="CJ51" s="1452"/>
      <c r="CK51" s="1452"/>
      <c r="CL51" s="1452"/>
      <c r="CM51" s="1452"/>
      <c r="CN51" s="1452"/>
      <c r="CO51" s="1452"/>
      <c r="CP51" s="1452"/>
      <c r="CQ51" s="1452"/>
      <c r="CR51" s="1452"/>
      <c r="CS51" s="1452"/>
      <c r="CT51" s="1452"/>
      <c r="CU51" s="1452"/>
      <c r="CV51" s="1452"/>
      <c r="CW51" s="1452"/>
      <c r="CX51" s="1452"/>
      <c r="CY51" s="1452"/>
      <c r="CZ51" s="1452"/>
      <c r="DA51" s="1452"/>
      <c r="DB51" s="1452"/>
      <c r="DC51" s="1452"/>
      <c r="DD51" s="1452"/>
      <c r="DE51" s="1452"/>
      <c r="DF51" s="1452"/>
      <c r="DG51" s="1452"/>
      <c r="DH51" s="1452"/>
      <c r="DI51" s="1452"/>
      <c r="DJ51" s="1452"/>
      <c r="DK51" s="1452"/>
      <c r="DL51" s="1452"/>
      <c r="DM51" s="1452"/>
      <c r="DN51" s="1452"/>
      <c r="DO51" s="1452"/>
      <c r="DP51" s="1452"/>
      <c r="DQ51" s="1452"/>
      <c r="DR51" s="1452"/>
      <c r="DS51" s="1452"/>
      <c r="DT51" s="1452"/>
      <c r="DU51" s="1452"/>
      <c r="DV51" s="1452"/>
      <c r="DW51" s="1452"/>
      <c r="DX51" s="1452"/>
      <c r="DY51" s="1452"/>
      <c r="DZ51" s="1452"/>
      <c r="EA51" s="1452"/>
      <c r="EB51" s="1452"/>
      <c r="EC51" s="1452"/>
      <c r="ED51" s="1452"/>
      <c r="EE51" s="1452"/>
      <c r="EF51" s="1452"/>
      <c r="EG51" s="1452"/>
      <c r="EH51" s="1452"/>
      <c r="EI51" s="1452"/>
      <c r="EJ51" s="1452"/>
      <c r="EK51" s="1452"/>
      <c r="EL51" s="1452"/>
      <c r="EM51" s="1452"/>
      <c r="EN51" s="1452"/>
      <c r="EO51" s="1452"/>
      <c r="EP51" s="1452"/>
      <c r="EQ51" s="1452"/>
      <c r="ER51" s="1452"/>
      <c r="ES51" s="1452"/>
      <c r="ET51" s="1452"/>
      <c r="EU51" s="1452"/>
      <c r="EV51" s="1452"/>
      <c r="EW51" s="1452"/>
      <c r="EX51" s="1452"/>
      <c r="EY51" s="1452"/>
      <c r="EZ51" s="1452"/>
      <c r="FA51" s="1452"/>
      <c r="FB51" s="1452"/>
      <c r="FC51" s="1452"/>
      <c r="FD51" s="1452"/>
      <c r="FE51" s="1452"/>
      <c r="FF51" s="1452"/>
      <c r="FG51" s="1452"/>
      <c r="FH51" s="1452"/>
      <c r="FI51" s="1452"/>
      <c r="FJ51" s="1452"/>
      <c r="FK51" s="1452"/>
      <c r="FL51" s="1452"/>
      <c r="FM51" s="1452"/>
      <c r="FN51" s="1452"/>
      <c r="FO51" s="1452"/>
      <c r="FP51" s="1452"/>
      <c r="FQ51" s="1452"/>
      <c r="FR51" s="1452"/>
      <c r="FS51" s="1452"/>
      <c r="FT51" s="1452"/>
      <c r="FU51" s="1452"/>
      <c r="FV51" s="1452"/>
      <c r="FW51" s="1452"/>
      <c r="FX51" s="1452"/>
      <c r="FY51" s="1452"/>
      <c r="FZ51" s="1452"/>
      <c r="GA51" s="1452"/>
      <c r="GB51" s="1452"/>
      <c r="GC51" s="1452"/>
      <c r="GD51" s="1452"/>
      <c r="GE51" s="1452"/>
      <c r="GF51" s="1452"/>
      <c r="GG51" s="1452"/>
      <c r="GH51" s="1452"/>
      <c r="GI51" s="1452"/>
      <c r="GJ51" s="1452"/>
      <c r="GK51" s="1452"/>
      <c r="GL51" s="1452"/>
      <c r="GM51" s="1452"/>
      <c r="GN51" s="1452"/>
      <c r="GO51" s="1452"/>
      <c r="GP51" s="1452"/>
      <c r="GQ51" s="1452"/>
      <c r="GR51" s="1452"/>
      <c r="GS51" s="1452"/>
      <c r="GT51" s="1452"/>
      <c r="GU51" s="1452"/>
      <c r="GV51" s="1452"/>
      <c r="GW51" s="1452"/>
      <c r="GX51" s="1452"/>
      <c r="GY51" s="1452"/>
      <c r="GZ51" s="1452"/>
      <c r="HA51" s="1452"/>
      <c r="HB51" s="1452"/>
      <c r="HC51" s="1452"/>
      <c r="HD51" s="1452"/>
      <c r="HE51" s="1452"/>
      <c r="HF51" s="1452"/>
      <c r="HG51" s="1452"/>
      <c r="HH51" s="1452"/>
      <c r="HI51" s="1452"/>
      <c r="HJ51" s="1452"/>
      <c r="HK51" s="1452"/>
      <c r="HL51" s="1452"/>
      <c r="HM51" s="1452"/>
      <c r="HN51" s="1452"/>
      <c r="HO51" s="1452"/>
      <c r="HP51" s="1452"/>
      <c r="HQ51" s="1452"/>
      <c r="HR51" s="1452"/>
      <c r="HS51" s="1452"/>
      <c r="HT51" s="1452"/>
      <c r="HU51" s="1452"/>
      <c r="HV51" s="1452"/>
      <c r="HW51" s="1452"/>
      <c r="HX51" s="1452"/>
      <c r="HY51" s="1452"/>
      <c r="HZ51" s="1452"/>
      <c r="IA51" s="1452"/>
      <c r="IB51" s="1452"/>
      <c r="IC51" s="1452"/>
      <c r="ID51" s="1452"/>
      <c r="IE51" s="1452"/>
      <c r="IF51" s="1452"/>
      <c r="IG51" s="1452"/>
      <c r="IH51" s="1452"/>
      <c r="II51" s="1452"/>
      <c r="IJ51" s="1452"/>
      <c r="IK51" s="1452"/>
      <c r="IL51" s="1452"/>
      <c r="IM51" s="1452"/>
      <c r="IN51" s="1452"/>
      <c r="IO51" s="1452"/>
      <c r="IP51" s="1452"/>
      <c r="IQ51" s="1452"/>
      <c r="IR51" s="1452"/>
      <c r="IS51" s="1452"/>
      <c r="IT51" s="1452"/>
      <c r="IU51" s="1452"/>
      <c r="IV51" s="1452"/>
    </row>
    <row r="52" spans="1:256" ht="25.5" hidden="1" customHeight="1">
      <c r="A52" s="1458"/>
      <c r="B52" s="772" t="s">
        <v>7158</v>
      </c>
      <c r="C52" s="1445">
        <v>1</v>
      </c>
      <c r="D52" s="1445">
        <v>2</v>
      </c>
      <c r="E52" s="1448"/>
      <c r="F52" s="1448"/>
      <c r="G52" s="1464"/>
      <c r="H52" s="1456"/>
      <c r="I52" s="1473"/>
      <c r="J52" s="1452"/>
      <c r="K52" s="1452"/>
      <c r="L52" s="1452"/>
      <c r="M52" s="1452"/>
      <c r="N52" s="1452"/>
      <c r="O52" s="1452"/>
      <c r="P52" s="1452"/>
      <c r="Q52" s="1452"/>
      <c r="R52" s="1452"/>
      <c r="S52" s="1452"/>
      <c r="T52" s="1452"/>
      <c r="U52" s="1452"/>
      <c r="V52" s="1452"/>
      <c r="W52" s="1452"/>
      <c r="X52" s="1452"/>
      <c r="Y52" s="1452"/>
      <c r="Z52" s="1452"/>
      <c r="AA52" s="1452"/>
      <c r="AB52" s="1452"/>
      <c r="AC52" s="1452"/>
      <c r="AD52" s="1452"/>
      <c r="AE52" s="1452"/>
      <c r="AF52" s="1452"/>
      <c r="AG52" s="1452"/>
      <c r="AH52" s="1452"/>
      <c r="AI52" s="1452"/>
      <c r="AJ52" s="1452"/>
      <c r="AK52" s="1452"/>
      <c r="AL52" s="1452"/>
      <c r="AM52" s="1452"/>
      <c r="AN52" s="1452"/>
      <c r="AO52" s="1452"/>
      <c r="AP52" s="1452"/>
      <c r="AQ52" s="1452"/>
      <c r="AR52" s="1452"/>
      <c r="AS52" s="1452"/>
      <c r="AT52" s="1452"/>
      <c r="AU52" s="1452"/>
      <c r="AV52" s="1452"/>
      <c r="AW52" s="1452"/>
      <c r="AX52" s="1452"/>
      <c r="AY52" s="1452"/>
      <c r="AZ52" s="1452"/>
      <c r="BA52" s="1452"/>
      <c r="BB52" s="1452"/>
      <c r="BC52" s="1452"/>
      <c r="BD52" s="1452"/>
      <c r="BE52" s="1452"/>
      <c r="BF52" s="1452"/>
      <c r="BG52" s="1452"/>
      <c r="BH52" s="1452"/>
      <c r="BI52" s="1452"/>
      <c r="BJ52" s="1452"/>
      <c r="BK52" s="1452"/>
      <c r="BL52" s="1452"/>
      <c r="BM52" s="1452"/>
      <c r="BN52" s="1452"/>
      <c r="BO52" s="1452"/>
      <c r="BP52" s="1452"/>
      <c r="BQ52" s="1452"/>
      <c r="BR52" s="1452"/>
      <c r="BS52" s="1452"/>
      <c r="BT52" s="1452"/>
      <c r="BU52" s="1452"/>
      <c r="BV52" s="1452"/>
      <c r="BW52" s="1452"/>
      <c r="BX52" s="1452"/>
      <c r="BY52" s="1452"/>
      <c r="BZ52" s="1452"/>
      <c r="CA52" s="1452"/>
      <c r="CB52" s="1452"/>
      <c r="CC52" s="1452"/>
      <c r="CD52" s="1452"/>
      <c r="CE52" s="1452"/>
      <c r="CF52" s="1452"/>
      <c r="CG52" s="1452"/>
      <c r="CH52" s="1452"/>
      <c r="CI52" s="1452"/>
      <c r="CJ52" s="1452"/>
      <c r="CK52" s="1452"/>
      <c r="CL52" s="1452"/>
      <c r="CM52" s="1452"/>
      <c r="CN52" s="1452"/>
      <c r="CO52" s="1452"/>
      <c r="CP52" s="1452"/>
      <c r="CQ52" s="1452"/>
      <c r="CR52" s="1452"/>
      <c r="CS52" s="1452"/>
      <c r="CT52" s="1452"/>
      <c r="CU52" s="1452"/>
      <c r="CV52" s="1452"/>
      <c r="CW52" s="1452"/>
      <c r="CX52" s="1452"/>
      <c r="CY52" s="1452"/>
      <c r="CZ52" s="1452"/>
      <c r="DA52" s="1452"/>
      <c r="DB52" s="1452"/>
      <c r="DC52" s="1452"/>
      <c r="DD52" s="1452"/>
      <c r="DE52" s="1452"/>
      <c r="DF52" s="1452"/>
      <c r="DG52" s="1452"/>
      <c r="DH52" s="1452"/>
      <c r="DI52" s="1452"/>
      <c r="DJ52" s="1452"/>
      <c r="DK52" s="1452"/>
      <c r="DL52" s="1452"/>
      <c r="DM52" s="1452"/>
      <c r="DN52" s="1452"/>
      <c r="DO52" s="1452"/>
      <c r="DP52" s="1452"/>
      <c r="DQ52" s="1452"/>
      <c r="DR52" s="1452"/>
      <c r="DS52" s="1452"/>
      <c r="DT52" s="1452"/>
      <c r="DU52" s="1452"/>
      <c r="DV52" s="1452"/>
      <c r="DW52" s="1452"/>
      <c r="DX52" s="1452"/>
      <c r="DY52" s="1452"/>
      <c r="DZ52" s="1452"/>
      <c r="EA52" s="1452"/>
      <c r="EB52" s="1452"/>
      <c r="EC52" s="1452"/>
      <c r="ED52" s="1452"/>
      <c r="EE52" s="1452"/>
      <c r="EF52" s="1452"/>
      <c r="EG52" s="1452"/>
      <c r="EH52" s="1452"/>
      <c r="EI52" s="1452"/>
      <c r="EJ52" s="1452"/>
      <c r="EK52" s="1452"/>
      <c r="EL52" s="1452"/>
      <c r="EM52" s="1452"/>
      <c r="EN52" s="1452"/>
      <c r="EO52" s="1452"/>
      <c r="EP52" s="1452"/>
      <c r="EQ52" s="1452"/>
      <c r="ER52" s="1452"/>
      <c r="ES52" s="1452"/>
      <c r="ET52" s="1452"/>
      <c r="EU52" s="1452"/>
      <c r="EV52" s="1452"/>
      <c r="EW52" s="1452"/>
      <c r="EX52" s="1452"/>
      <c r="EY52" s="1452"/>
      <c r="EZ52" s="1452"/>
      <c r="FA52" s="1452"/>
      <c r="FB52" s="1452"/>
      <c r="FC52" s="1452"/>
      <c r="FD52" s="1452"/>
      <c r="FE52" s="1452"/>
      <c r="FF52" s="1452"/>
      <c r="FG52" s="1452"/>
      <c r="FH52" s="1452"/>
      <c r="FI52" s="1452"/>
      <c r="FJ52" s="1452"/>
      <c r="FK52" s="1452"/>
      <c r="FL52" s="1452"/>
      <c r="FM52" s="1452"/>
      <c r="FN52" s="1452"/>
      <c r="FO52" s="1452"/>
      <c r="FP52" s="1452"/>
      <c r="FQ52" s="1452"/>
      <c r="FR52" s="1452"/>
      <c r="FS52" s="1452"/>
      <c r="FT52" s="1452"/>
      <c r="FU52" s="1452"/>
      <c r="FV52" s="1452"/>
      <c r="FW52" s="1452"/>
      <c r="FX52" s="1452"/>
      <c r="FY52" s="1452"/>
      <c r="FZ52" s="1452"/>
      <c r="GA52" s="1452"/>
      <c r="GB52" s="1452"/>
      <c r="GC52" s="1452"/>
      <c r="GD52" s="1452"/>
      <c r="GE52" s="1452"/>
      <c r="GF52" s="1452"/>
      <c r="GG52" s="1452"/>
      <c r="GH52" s="1452"/>
      <c r="GI52" s="1452"/>
      <c r="GJ52" s="1452"/>
      <c r="GK52" s="1452"/>
      <c r="GL52" s="1452"/>
      <c r="GM52" s="1452"/>
      <c r="GN52" s="1452"/>
      <c r="GO52" s="1452"/>
      <c r="GP52" s="1452"/>
      <c r="GQ52" s="1452"/>
      <c r="GR52" s="1452"/>
      <c r="GS52" s="1452"/>
      <c r="GT52" s="1452"/>
      <c r="GU52" s="1452"/>
      <c r="GV52" s="1452"/>
      <c r="GW52" s="1452"/>
      <c r="GX52" s="1452"/>
      <c r="GY52" s="1452"/>
      <c r="GZ52" s="1452"/>
      <c r="HA52" s="1452"/>
      <c r="HB52" s="1452"/>
      <c r="HC52" s="1452"/>
      <c r="HD52" s="1452"/>
      <c r="HE52" s="1452"/>
      <c r="HF52" s="1452"/>
      <c r="HG52" s="1452"/>
      <c r="HH52" s="1452"/>
      <c r="HI52" s="1452"/>
      <c r="HJ52" s="1452"/>
      <c r="HK52" s="1452"/>
      <c r="HL52" s="1452"/>
      <c r="HM52" s="1452"/>
      <c r="HN52" s="1452"/>
      <c r="HO52" s="1452"/>
      <c r="HP52" s="1452"/>
      <c r="HQ52" s="1452"/>
      <c r="HR52" s="1452"/>
      <c r="HS52" s="1452"/>
      <c r="HT52" s="1452"/>
      <c r="HU52" s="1452"/>
      <c r="HV52" s="1452"/>
      <c r="HW52" s="1452"/>
      <c r="HX52" s="1452"/>
      <c r="HY52" s="1452"/>
      <c r="HZ52" s="1452"/>
      <c r="IA52" s="1452"/>
      <c r="IB52" s="1452"/>
      <c r="IC52" s="1452"/>
      <c r="ID52" s="1452"/>
      <c r="IE52" s="1452"/>
      <c r="IF52" s="1452"/>
      <c r="IG52" s="1452"/>
      <c r="IH52" s="1452"/>
      <c r="II52" s="1452"/>
      <c r="IJ52" s="1452"/>
      <c r="IK52" s="1452"/>
      <c r="IL52" s="1452"/>
      <c r="IM52" s="1452"/>
      <c r="IN52" s="1452"/>
      <c r="IO52" s="1452"/>
      <c r="IP52" s="1452"/>
      <c r="IQ52" s="1452"/>
      <c r="IR52" s="1452"/>
      <c r="IS52" s="1452"/>
      <c r="IT52" s="1452"/>
      <c r="IU52" s="1452"/>
      <c r="IV52" s="1452"/>
    </row>
    <row r="53" spans="1:256" s="1480" customFormat="1" ht="232.5" customHeight="1">
      <c r="A53" s="1445">
        <f>A51+1</f>
        <v>54.4</v>
      </c>
      <c r="B53" s="1476" t="s">
        <v>7159</v>
      </c>
      <c r="C53" s="1477"/>
      <c r="D53" s="1477"/>
      <c r="E53" s="1477"/>
      <c r="F53" s="1478"/>
      <c r="G53" s="774"/>
      <c r="H53" s="779"/>
      <c r="I53" s="1479"/>
    </row>
    <row r="54" spans="1:256" s="1480" customFormat="1" ht="25.5" customHeight="1">
      <c r="A54" s="1445"/>
      <c r="B54" s="1454" t="s">
        <v>6990</v>
      </c>
      <c r="C54" s="1455">
        <v>1</v>
      </c>
      <c r="D54" s="1455">
        <v>1</v>
      </c>
      <c r="E54" s="1463"/>
      <c r="F54" s="1463"/>
      <c r="G54" s="1448"/>
      <c r="H54" s="1456">
        <f>PRODUCT(C54:G54)</f>
        <v>1</v>
      </c>
      <c r="I54" s="1479" t="s">
        <v>1389</v>
      </c>
    </row>
    <row r="55" spans="1:256" s="1480" customFormat="1" ht="25.5" customHeight="1">
      <c r="A55" s="1445"/>
      <c r="B55" s="1454" t="s">
        <v>6991</v>
      </c>
      <c r="C55" s="1455">
        <v>1</v>
      </c>
      <c r="D55" s="1455">
        <v>1</v>
      </c>
      <c r="E55" s="1463"/>
      <c r="F55" s="1463"/>
      <c r="G55" s="1448"/>
      <c r="H55" s="1456">
        <f>PRODUCT(C55:G55)</f>
        <v>1</v>
      </c>
      <c r="I55" s="1479" t="s">
        <v>1389</v>
      </c>
    </row>
    <row r="56" spans="1:256" ht="16.5">
      <c r="A56" s="1452"/>
      <c r="B56" s="1452"/>
      <c r="C56" s="1452"/>
      <c r="D56" s="1452"/>
      <c r="E56" s="1081"/>
      <c r="F56" s="1081"/>
      <c r="G56" s="1081"/>
      <c r="H56" s="1081"/>
      <c r="I56" s="1451"/>
      <c r="J56" s="1452"/>
      <c r="K56" s="1452"/>
      <c r="L56" s="1452"/>
      <c r="M56" s="1452"/>
      <c r="N56" s="1452"/>
      <c r="O56" s="1452"/>
      <c r="P56" s="1452"/>
      <c r="Q56" s="1452"/>
      <c r="R56" s="1452"/>
      <c r="S56" s="1452"/>
      <c r="T56" s="1452"/>
      <c r="U56" s="1452"/>
      <c r="V56" s="1452"/>
      <c r="W56" s="1452"/>
      <c r="X56" s="1452"/>
      <c r="Y56" s="1452"/>
      <c r="Z56" s="1452"/>
      <c r="AA56" s="1452"/>
      <c r="AB56" s="1452"/>
      <c r="AC56" s="1452"/>
      <c r="AD56" s="1452"/>
      <c r="AE56" s="1452"/>
      <c r="AF56" s="1452"/>
      <c r="AG56" s="1452"/>
      <c r="AH56" s="1452"/>
      <c r="AI56" s="1452"/>
      <c r="AJ56" s="1452"/>
      <c r="AK56" s="1452"/>
      <c r="AL56" s="1452"/>
      <c r="AM56" s="1452"/>
      <c r="AN56" s="1452"/>
      <c r="AO56" s="1452"/>
      <c r="AP56" s="1452"/>
      <c r="AQ56" s="1452"/>
      <c r="AR56" s="1452"/>
      <c r="AS56" s="1452"/>
      <c r="AT56" s="1452"/>
      <c r="AU56" s="1452"/>
      <c r="AV56" s="1452"/>
      <c r="AW56" s="1452"/>
      <c r="AX56" s="1452"/>
      <c r="AY56" s="1452"/>
      <c r="AZ56" s="1452"/>
      <c r="BA56" s="1452"/>
      <c r="BB56" s="1452"/>
      <c r="BC56" s="1452"/>
      <c r="BD56" s="1452"/>
      <c r="BE56" s="1452"/>
      <c r="BF56" s="1452"/>
      <c r="BG56" s="1452"/>
      <c r="BH56" s="1452"/>
      <c r="BI56" s="1452"/>
      <c r="BJ56" s="1452"/>
      <c r="BK56" s="1452"/>
      <c r="BL56" s="1452"/>
      <c r="BM56" s="1452"/>
      <c r="BN56" s="1452"/>
      <c r="BO56" s="1452"/>
      <c r="BP56" s="1452"/>
      <c r="BQ56" s="1452"/>
      <c r="BR56" s="1452"/>
      <c r="BS56" s="1452"/>
      <c r="BT56" s="1452"/>
      <c r="BU56" s="1452"/>
      <c r="BV56" s="1452"/>
      <c r="BW56" s="1452"/>
      <c r="BX56" s="1452"/>
      <c r="BY56" s="1452"/>
      <c r="BZ56" s="1452"/>
      <c r="CA56" s="1452"/>
      <c r="CB56" s="1452"/>
      <c r="CC56" s="1452"/>
      <c r="CD56" s="1452"/>
      <c r="CE56" s="1452"/>
      <c r="CF56" s="1452"/>
      <c r="CG56" s="1452"/>
      <c r="CH56" s="1452"/>
      <c r="CI56" s="1452"/>
      <c r="CJ56" s="1452"/>
      <c r="CK56" s="1452"/>
      <c r="CL56" s="1452"/>
      <c r="CM56" s="1452"/>
      <c r="CN56" s="1452"/>
      <c r="CO56" s="1452"/>
      <c r="CP56" s="1452"/>
      <c r="CQ56" s="1452"/>
      <c r="CR56" s="1452"/>
      <c r="CS56" s="1452"/>
      <c r="CT56" s="1452"/>
      <c r="CU56" s="1452"/>
      <c r="CV56" s="1452"/>
      <c r="CW56" s="1452"/>
      <c r="CX56" s="1452"/>
      <c r="CY56" s="1452"/>
      <c r="CZ56" s="1452"/>
      <c r="DA56" s="1452"/>
      <c r="DB56" s="1452"/>
      <c r="DC56" s="1452"/>
      <c r="DD56" s="1452"/>
      <c r="DE56" s="1452"/>
      <c r="DF56" s="1452"/>
      <c r="DG56" s="1452"/>
      <c r="DH56" s="1452"/>
      <c r="DI56" s="1452"/>
      <c r="DJ56" s="1452"/>
      <c r="DK56" s="1452"/>
      <c r="DL56" s="1452"/>
      <c r="DM56" s="1452"/>
      <c r="DN56" s="1452"/>
      <c r="DO56" s="1452"/>
      <c r="DP56" s="1452"/>
      <c r="DQ56" s="1452"/>
      <c r="DR56" s="1452"/>
      <c r="DS56" s="1452"/>
      <c r="DT56" s="1452"/>
      <c r="DU56" s="1452"/>
      <c r="DV56" s="1452"/>
      <c r="DW56" s="1452"/>
      <c r="DX56" s="1452"/>
      <c r="DY56" s="1452"/>
      <c r="DZ56" s="1452"/>
      <c r="EA56" s="1452"/>
      <c r="EB56" s="1452"/>
      <c r="EC56" s="1452"/>
      <c r="ED56" s="1452"/>
      <c r="EE56" s="1452"/>
      <c r="EF56" s="1452"/>
      <c r="EG56" s="1452"/>
      <c r="EH56" s="1452"/>
      <c r="EI56" s="1452"/>
      <c r="EJ56" s="1452"/>
      <c r="EK56" s="1452"/>
      <c r="EL56" s="1452"/>
      <c r="EM56" s="1452"/>
      <c r="EN56" s="1452"/>
      <c r="EO56" s="1452"/>
      <c r="EP56" s="1452"/>
      <c r="EQ56" s="1452"/>
      <c r="ER56" s="1452"/>
      <c r="ES56" s="1452"/>
      <c r="ET56" s="1452"/>
      <c r="EU56" s="1452"/>
      <c r="EV56" s="1452"/>
      <c r="EW56" s="1452"/>
      <c r="EX56" s="1452"/>
      <c r="EY56" s="1452"/>
      <c r="EZ56" s="1452"/>
      <c r="FA56" s="1452"/>
      <c r="FB56" s="1452"/>
      <c r="FC56" s="1452"/>
      <c r="FD56" s="1452"/>
      <c r="FE56" s="1452"/>
      <c r="FF56" s="1452"/>
      <c r="FG56" s="1452"/>
      <c r="FH56" s="1452"/>
      <c r="FI56" s="1452"/>
      <c r="FJ56" s="1452"/>
      <c r="FK56" s="1452"/>
      <c r="FL56" s="1452"/>
      <c r="FM56" s="1452"/>
      <c r="FN56" s="1452"/>
      <c r="FO56" s="1452"/>
      <c r="FP56" s="1452"/>
      <c r="FQ56" s="1452"/>
      <c r="FR56" s="1452"/>
      <c r="FS56" s="1452"/>
      <c r="FT56" s="1452"/>
      <c r="FU56" s="1452"/>
      <c r="FV56" s="1452"/>
      <c r="FW56" s="1452"/>
      <c r="FX56" s="1452"/>
      <c r="FY56" s="1452"/>
      <c r="FZ56" s="1452"/>
      <c r="GA56" s="1452"/>
      <c r="GB56" s="1452"/>
      <c r="GC56" s="1452"/>
      <c r="GD56" s="1452"/>
      <c r="GE56" s="1452"/>
      <c r="GF56" s="1452"/>
      <c r="GG56" s="1452"/>
      <c r="GH56" s="1452"/>
      <c r="GI56" s="1452"/>
      <c r="GJ56" s="1452"/>
      <c r="GK56" s="1452"/>
      <c r="GL56" s="1452"/>
      <c r="GM56" s="1452"/>
      <c r="GN56" s="1452"/>
      <c r="GO56" s="1452"/>
      <c r="GP56" s="1452"/>
      <c r="GQ56" s="1452"/>
      <c r="GR56" s="1452"/>
      <c r="GS56" s="1452"/>
      <c r="GT56" s="1452"/>
      <c r="GU56" s="1452"/>
      <c r="GV56" s="1452"/>
      <c r="GW56" s="1452"/>
      <c r="GX56" s="1452"/>
      <c r="GY56" s="1452"/>
      <c r="GZ56" s="1452"/>
      <c r="HA56" s="1452"/>
      <c r="HB56" s="1452"/>
      <c r="HC56" s="1452"/>
      <c r="HD56" s="1452"/>
      <c r="HE56" s="1452"/>
      <c r="HF56" s="1452"/>
      <c r="HG56" s="1452"/>
      <c r="HH56" s="1452"/>
      <c r="HI56" s="1452"/>
      <c r="HJ56" s="1452"/>
      <c r="HK56" s="1452"/>
      <c r="HL56" s="1452"/>
      <c r="HM56" s="1452"/>
      <c r="HN56" s="1452"/>
      <c r="HO56" s="1452"/>
      <c r="HP56" s="1452"/>
      <c r="HQ56" s="1452"/>
      <c r="HR56" s="1452"/>
      <c r="HS56" s="1452"/>
      <c r="HT56" s="1452"/>
      <c r="HU56" s="1452"/>
      <c r="HV56" s="1452"/>
      <c r="HW56" s="1452"/>
      <c r="HX56" s="1452"/>
      <c r="HY56" s="1452"/>
      <c r="HZ56" s="1452"/>
      <c r="IA56" s="1452"/>
      <c r="IB56" s="1452"/>
      <c r="IC56" s="1452"/>
      <c r="ID56" s="1452"/>
      <c r="IE56" s="1452"/>
      <c r="IF56" s="1452"/>
      <c r="IG56" s="1452"/>
      <c r="IH56" s="1452"/>
      <c r="II56" s="1452"/>
      <c r="IJ56" s="1452"/>
      <c r="IK56" s="1452"/>
      <c r="IL56" s="1452"/>
      <c r="IM56" s="1452"/>
      <c r="IN56" s="1452"/>
      <c r="IO56" s="1452"/>
      <c r="IP56" s="1452"/>
      <c r="IQ56" s="1452"/>
      <c r="IR56" s="1452"/>
      <c r="IS56" s="1452"/>
      <c r="IT56" s="1452"/>
      <c r="IU56" s="1452"/>
      <c r="IV56" s="1452"/>
    </row>
    <row r="57" spans="1:256" ht="16.5">
      <c r="A57" s="1452"/>
      <c r="B57" s="1452"/>
      <c r="C57" s="1452"/>
      <c r="D57" s="1452"/>
      <c r="E57" s="1081"/>
      <c r="F57" s="1081"/>
      <c r="G57" s="1081"/>
      <c r="H57" s="1081"/>
      <c r="I57" s="1451"/>
      <c r="J57" s="1452"/>
      <c r="K57" s="1452"/>
      <c r="L57" s="1452"/>
      <c r="M57" s="1452"/>
      <c r="N57" s="1452"/>
      <c r="O57" s="1452"/>
      <c r="P57" s="1452"/>
      <c r="Q57" s="1452"/>
      <c r="R57" s="1452"/>
      <c r="S57" s="1452"/>
      <c r="T57" s="1452"/>
      <c r="U57" s="1452"/>
      <c r="V57" s="1452"/>
      <c r="W57" s="1452"/>
      <c r="X57" s="1452"/>
      <c r="Y57" s="1452"/>
      <c r="Z57" s="1452"/>
      <c r="AA57" s="1452"/>
      <c r="AB57" s="1452"/>
      <c r="AC57" s="1452"/>
      <c r="AD57" s="1452"/>
      <c r="AE57" s="1452"/>
      <c r="AF57" s="1452"/>
      <c r="AG57" s="1452"/>
      <c r="AH57" s="1452"/>
      <c r="AI57" s="1452"/>
      <c r="AJ57" s="1452"/>
      <c r="AK57" s="1452"/>
      <c r="AL57" s="1452"/>
      <c r="AM57" s="1452"/>
      <c r="AN57" s="1452"/>
      <c r="AO57" s="1452"/>
      <c r="AP57" s="1452"/>
      <c r="AQ57" s="1452"/>
      <c r="AR57" s="1452"/>
      <c r="AS57" s="1452"/>
      <c r="AT57" s="1452"/>
      <c r="AU57" s="1452"/>
      <c r="AV57" s="1452"/>
      <c r="AW57" s="1452"/>
      <c r="AX57" s="1452"/>
      <c r="AY57" s="1452"/>
      <c r="AZ57" s="1452"/>
      <c r="BA57" s="1452"/>
      <c r="BB57" s="1452"/>
      <c r="BC57" s="1452"/>
      <c r="BD57" s="1452"/>
      <c r="BE57" s="1452"/>
      <c r="BF57" s="1452"/>
      <c r="BG57" s="1452"/>
      <c r="BH57" s="1452"/>
      <c r="BI57" s="1452"/>
      <c r="BJ57" s="1452"/>
      <c r="BK57" s="1452"/>
      <c r="BL57" s="1452"/>
      <c r="BM57" s="1452"/>
      <c r="BN57" s="1452"/>
      <c r="BO57" s="1452"/>
      <c r="BP57" s="1452"/>
      <c r="BQ57" s="1452"/>
      <c r="BR57" s="1452"/>
      <c r="BS57" s="1452"/>
      <c r="BT57" s="1452"/>
      <c r="BU57" s="1452"/>
      <c r="BV57" s="1452"/>
      <c r="BW57" s="1452"/>
      <c r="BX57" s="1452"/>
      <c r="BY57" s="1452"/>
      <c r="BZ57" s="1452"/>
      <c r="CA57" s="1452"/>
      <c r="CB57" s="1452"/>
      <c r="CC57" s="1452"/>
      <c r="CD57" s="1452"/>
      <c r="CE57" s="1452"/>
      <c r="CF57" s="1452"/>
      <c r="CG57" s="1452"/>
      <c r="CH57" s="1452"/>
      <c r="CI57" s="1452"/>
      <c r="CJ57" s="1452"/>
      <c r="CK57" s="1452"/>
      <c r="CL57" s="1452"/>
      <c r="CM57" s="1452"/>
      <c r="CN57" s="1452"/>
      <c r="CO57" s="1452"/>
      <c r="CP57" s="1452"/>
      <c r="CQ57" s="1452"/>
      <c r="CR57" s="1452"/>
      <c r="CS57" s="1452"/>
      <c r="CT57" s="1452"/>
      <c r="CU57" s="1452"/>
      <c r="CV57" s="1452"/>
      <c r="CW57" s="1452"/>
      <c r="CX57" s="1452"/>
      <c r="CY57" s="1452"/>
      <c r="CZ57" s="1452"/>
      <c r="DA57" s="1452"/>
      <c r="DB57" s="1452"/>
      <c r="DC57" s="1452"/>
      <c r="DD57" s="1452"/>
      <c r="DE57" s="1452"/>
      <c r="DF57" s="1452"/>
      <c r="DG57" s="1452"/>
      <c r="DH57" s="1452"/>
      <c r="DI57" s="1452"/>
      <c r="DJ57" s="1452"/>
      <c r="DK57" s="1452"/>
      <c r="DL57" s="1452"/>
      <c r="DM57" s="1452"/>
      <c r="DN57" s="1452"/>
      <c r="DO57" s="1452"/>
      <c r="DP57" s="1452"/>
      <c r="DQ57" s="1452"/>
      <c r="DR57" s="1452"/>
      <c r="DS57" s="1452"/>
      <c r="DT57" s="1452"/>
      <c r="DU57" s="1452"/>
      <c r="DV57" s="1452"/>
      <c r="DW57" s="1452"/>
      <c r="DX57" s="1452"/>
      <c r="DY57" s="1452"/>
      <c r="DZ57" s="1452"/>
      <c r="EA57" s="1452"/>
      <c r="EB57" s="1452"/>
      <c r="EC57" s="1452"/>
      <c r="ED57" s="1452"/>
      <c r="EE57" s="1452"/>
      <c r="EF57" s="1452"/>
      <c r="EG57" s="1452"/>
      <c r="EH57" s="1452"/>
      <c r="EI57" s="1452"/>
      <c r="EJ57" s="1452"/>
      <c r="EK57" s="1452"/>
      <c r="EL57" s="1452"/>
      <c r="EM57" s="1452"/>
      <c r="EN57" s="1452"/>
      <c r="EO57" s="1452"/>
      <c r="EP57" s="1452"/>
      <c r="EQ57" s="1452"/>
      <c r="ER57" s="1452"/>
      <c r="ES57" s="1452"/>
      <c r="ET57" s="1452"/>
      <c r="EU57" s="1452"/>
      <c r="EV57" s="1452"/>
      <c r="EW57" s="1452"/>
      <c r="EX57" s="1452"/>
      <c r="EY57" s="1452"/>
      <c r="EZ57" s="1452"/>
      <c r="FA57" s="1452"/>
      <c r="FB57" s="1452"/>
      <c r="FC57" s="1452"/>
      <c r="FD57" s="1452"/>
      <c r="FE57" s="1452"/>
      <c r="FF57" s="1452"/>
      <c r="FG57" s="1452"/>
      <c r="FH57" s="1452"/>
      <c r="FI57" s="1452"/>
      <c r="FJ57" s="1452"/>
      <c r="FK57" s="1452"/>
      <c r="FL57" s="1452"/>
      <c r="FM57" s="1452"/>
      <c r="FN57" s="1452"/>
      <c r="FO57" s="1452"/>
      <c r="FP57" s="1452"/>
      <c r="FQ57" s="1452"/>
      <c r="FR57" s="1452"/>
      <c r="FS57" s="1452"/>
      <c r="FT57" s="1452"/>
      <c r="FU57" s="1452"/>
      <c r="FV57" s="1452"/>
      <c r="FW57" s="1452"/>
      <c r="FX57" s="1452"/>
      <c r="FY57" s="1452"/>
      <c r="FZ57" s="1452"/>
      <c r="GA57" s="1452"/>
      <c r="GB57" s="1452"/>
      <c r="GC57" s="1452"/>
      <c r="GD57" s="1452"/>
      <c r="GE57" s="1452"/>
      <c r="GF57" s="1452"/>
      <c r="GG57" s="1452"/>
      <c r="GH57" s="1452"/>
      <c r="GI57" s="1452"/>
      <c r="GJ57" s="1452"/>
      <c r="GK57" s="1452"/>
      <c r="GL57" s="1452"/>
      <c r="GM57" s="1452"/>
      <c r="GN57" s="1452"/>
      <c r="GO57" s="1452"/>
      <c r="GP57" s="1452"/>
      <c r="GQ57" s="1452"/>
      <c r="GR57" s="1452"/>
      <c r="GS57" s="1452"/>
      <c r="GT57" s="1452"/>
      <c r="GU57" s="1452"/>
      <c r="GV57" s="1452"/>
      <c r="GW57" s="1452"/>
      <c r="GX57" s="1452"/>
      <c r="GY57" s="1452"/>
      <c r="GZ57" s="1452"/>
      <c r="HA57" s="1452"/>
      <c r="HB57" s="1452"/>
      <c r="HC57" s="1452"/>
      <c r="HD57" s="1452"/>
      <c r="HE57" s="1452"/>
      <c r="HF57" s="1452"/>
      <c r="HG57" s="1452"/>
      <c r="HH57" s="1452"/>
      <c r="HI57" s="1452"/>
      <c r="HJ57" s="1452"/>
      <c r="HK57" s="1452"/>
      <c r="HL57" s="1452"/>
      <c r="HM57" s="1452"/>
      <c r="HN57" s="1452"/>
      <c r="HO57" s="1452"/>
      <c r="HP57" s="1452"/>
      <c r="HQ57" s="1452"/>
      <c r="HR57" s="1452"/>
      <c r="HS57" s="1452"/>
      <c r="HT57" s="1452"/>
      <c r="HU57" s="1452"/>
      <c r="HV57" s="1452"/>
      <c r="HW57" s="1452"/>
      <c r="HX57" s="1452"/>
      <c r="HY57" s="1452"/>
      <c r="HZ57" s="1452"/>
      <c r="IA57" s="1452"/>
      <c r="IB57" s="1452"/>
      <c r="IC57" s="1452"/>
      <c r="ID57" s="1452"/>
      <c r="IE57" s="1452"/>
      <c r="IF57" s="1452"/>
      <c r="IG57" s="1452"/>
      <c r="IH57" s="1452"/>
      <c r="II57" s="1452"/>
      <c r="IJ57" s="1452"/>
      <c r="IK57" s="1452"/>
      <c r="IL57" s="1452"/>
      <c r="IM57" s="1452"/>
      <c r="IN57" s="1452"/>
      <c r="IO57" s="1452"/>
      <c r="IP57" s="1452"/>
      <c r="IQ57" s="1452"/>
      <c r="IR57" s="1452"/>
      <c r="IS57" s="1452"/>
      <c r="IT57" s="1452"/>
      <c r="IU57" s="1452"/>
      <c r="IV57" s="1452"/>
    </row>
    <row r="58" spans="1:256" ht="16.5">
      <c r="A58" s="1452"/>
      <c r="B58" s="1452"/>
      <c r="C58" s="1452"/>
      <c r="D58" s="1452"/>
      <c r="E58" s="1081"/>
      <c r="F58" s="1081"/>
      <c r="G58" s="1081"/>
      <c r="H58" s="1081"/>
      <c r="I58" s="1451"/>
      <c r="J58" s="1452"/>
      <c r="K58" s="1452"/>
      <c r="L58" s="1452"/>
      <c r="M58" s="1452"/>
      <c r="N58" s="1452"/>
      <c r="O58" s="1452"/>
      <c r="P58" s="1452"/>
      <c r="Q58" s="1452"/>
      <c r="R58" s="1452"/>
      <c r="S58" s="1452"/>
      <c r="T58" s="1452"/>
      <c r="U58" s="1452"/>
      <c r="V58" s="1452"/>
      <c r="W58" s="1452"/>
      <c r="X58" s="1452"/>
      <c r="Y58" s="1452"/>
      <c r="Z58" s="1452"/>
      <c r="AA58" s="1452"/>
      <c r="AB58" s="1452"/>
      <c r="AC58" s="1452"/>
      <c r="AD58" s="1452"/>
      <c r="AE58" s="1452"/>
      <c r="AF58" s="1452"/>
      <c r="AG58" s="1452"/>
      <c r="AH58" s="1452"/>
      <c r="AI58" s="1452"/>
      <c r="AJ58" s="1452"/>
      <c r="AK58" s="1452"/>
      <c r="AL58" s="1452"/>
      <c r="AM58" s="1452"/>
      <c r="AN58" s="1452"/>
      <c r="AO58" s="1452"/>
      <c r="AP58" s="1452"/>
      <c r="AQ58" s="1452"/>
      <c r="AR58" s="1452"/>
      <c r="AS58" s="1452"/>
      <c r="AT58" s="1452"/>
      <c r="AU58" s="1452"/>
      <c r="AV58" s="1452"/>
      <c r="AW58" s="1452"/>
      <c r="AX58" s="1452"/>
      <c r="AY58" s="1452"/>
      <c r="AZ58" s="1452"/>
      <c r="BA58" s="1452"/>
      <c r="BB58" s="1452"/>
      <c r="BC58" s="1452"/>
      <c r="BD58" s="1452"/>
      <c r="BE58" s="1452"/>
      <c r="BF58" s="1452"/>
      <c r="BG58" s="1452"/>
      <c r="BH58" s="1452"/>
      <c r="BI58" s="1452"/>
      <c r="BJ58" s="1452"/>
      <c r="BK58" s="1452"/>
      <c r="BL58" s="1452"/>
      <c r="BM58" s="1452"/>
      <c r="BN58" s="1452"/>
      <c r="BO58" s="1452"/>
      <c r="BP58" s="1452"/>
      <c r="BQ58" s="1452"/>
      <c r="BR58" s="1452"/>
      <c r="BS58" s="1452"/>
      <c r="BT58" s="1452"/>
      <c r="BU58" s="1452"/>
      <c r="BV58" s="1452"/>
      <c r="BW58" s="1452"/>
      <c r="BX58" s="1452"/>
      <c r="BY58" s="1452"/>
      <c r="BZ58" s="1452"/>
      <c r="CA58" s="1452"/>
      <c r="CB58" s="1452"/>
      <c r="CC58" s="1452"/>
      <c r="CD58" s="1452"/>
      <c r="CE58" s="1452"/>
      <c r="CF58" s="1452"/>
      <c r="CG58" s="1452"/>
      <c r="CH58" s="1452"/>
      <c r="CI58" s="1452"/>
      <c r="CJ58" s="1452"/>
      <c r="CK58" s="1452"/>
      <c r="CL58" s="1452"/>
      <c r="CM58" s="1452"/>
      <c r="CN58" s="1452"/>
      <c r="CO58" s="1452"/>
      <c r="CP58" s="1452"/>
      <c r="CQ58" s="1452"/>
      <c r="CR58" s="1452"/>
      <c r="CS58" s="1452"/>
      <c r="CT58" s="1452"/>
      <c r="CU58" s="1452"/>
      <c r="CV58" s="1452"/>
      <c r="CW58" s="1452"/>
      <c r="CX58" s="1452"/>
      <c r="CY58" s="1452"/>
      <c r="CZ58" s="1452"/>
      <c r="DA58" s="1452"/>
      <c r="DB58" s="1452"/>
      <c r="DC58" s="1452"/>
      <c r="DD58" s="1452"/>
      <c r="DE58" s="1452"/>
      <c r="DF58" s="1452"/>
      <c r="DG58" s="1452"/>
      <c r="DH58" s="1452"/>
      <c r="DI58" s="1452"/>
      <c r="DJ58" s="1452"/>
      <c r="DK58" s="1452"/>
      <c r="DL58" s="1452"/>
      <c r="DM58" s="1452"/>
      <c r="DN58" s="1452"/>
      <c r="DO58" s="1452"/>
      <c r="DP58" s="1452"/>
      <c r="DQ58" s="1452"/>
      <c r="DR58" s="1452"/>
      <c r="DS58" s="1452"/>
      <c r="DT58" s="1452"/>
      <c r="DU58" s="1452"/>
      <c r="DV58" s="1452"/>
      <c r="DW58" s="1452"/>
      <c r="DX58" s="1452"/>
      <c r="DY58" s="1452"/>
      <c r="DZ58" s="1452"/>
      <c r="EA58" s="1452"/>
      <c r="EB58" s="1452"/>
      <c r="EC58" s="1452"/>
      <c r="ED58" s="1452"/>
      <c r="EE58" s="1452"/>
      <c r="EF58" s="1452"/>
      <c r="EG58" s="1452"/>
      <c r="EH58" s="1452"/>
      <c r="EI58" s="1452"/>
      <c r="EJ58" s="1452"/>
      <c r="EK58" s="1452"/>
      <c r="EL58" s="1452"/>
      <c r="EM58" s="1452"/>
      <c r="EN58" s="1452"/>
      <c r="EO58" s="1452"/>
      <c r="EP58" s="1452"/>
      <c r="EQ58" s="1452"/>
      <c r="ER58" s="1452"/>
      <c r="ES58" s="1452"/>
      <c r="ET58" s="1452"/>
      <c r="EU58" s="1452"/>
      <c r="EV58" s="1452"/>
      <c r="EW58" s="1452"/>
      <c r="EX58" s="1452"/>
      <c r="EY58" s="1452"/>
      <c r="EZ58" s="1452"/>
      <c r="FA58" s="1452"/>
      <c r="FB58" s="1452"/>
      <c r="FC58" s="1452"/>
      <c r="FD58" s="1452"/>
      <c r="FE58" s="1452"/>
      <c r="FF58" s="1452"/>
      <c r="FG58" s="1452"/>
      <c r="FH58" s="1452"/>
      <c r="FI58" s="1452"/>
      <c r="FJ58" s="1452"/>
      <c r="FK58" s="1452"/>
      <c r="FL58" s="1452"/>
      <c r="FM58" s="1452"/>
      <c r="FN58" s="1452"/>
      <c r="FO58" s="1452"/>
      <c r="FP58" s="1452"/>
      <c r="FQ58" s="1452"/>
      <c r="FR58" s="1452"/>
      <c r="FS58" s="1452"/>
      <c r="FT58" s="1452"/>
      <c r="FU58" s="1452"/>
      <c r="FV58" s="1452"/>
      <c r="FW58" s="1452"/>
      <c r="FX58" s="1452"/>
      <c r="FY58" s="1452"/>
      <c r="FZ58" s="1452"/>
      <c r="GA58" s="1452"/>
      <c r="GB58" s="1452"/>
      <c r="GC58" s="1452"/>
      <c r="GD58" s="1452"/>
      <c r="GE58" s="1452"/>
      <c r="GF58" s="1452"/>
      <c r="GG58" s="1452"/>
      <c r="GH58" s="1452"/>
      <c r="GI58" s="1452"/>
      <c r="GJ58" s="1452"/>
      <c r="GK58" s="1452"/>
      <c r="GL58" s="1452"/>
      <c r="GM58" s="1452"/>
      <c r="GN58" s="1452"/>
      <c r="GO58" s="1452"/>
      <c r="GP58" s="1452"/>
      <c r="GQ58" s="1452"/>
      <c r="GR58" s="1452"/>
      <c r="GS58" s="1452"/>
      <c r="GT58" s="1452"/>
      <c r="GU58" s="1452"/>
      <c r="GV58" s="1452"/>
      <c r="GW58" s="1452"/>
      <c r="GX58" s="1452"/>
      <c r="GY58" s="1452"/>
      <c r="GZ58" s="1452"/>
      <c r="HA58" s="1452"/>
      <c r="HB58" s="1452"/>
      <c r="HC58" s="1452"/>
      <c r="HD58" s="1452"/>
      <c r="HE58" s="1452"/>
      <c r="HF58" s="1452"/>
      <c r="HG58" s="1452"/>
      <c r="HH58" s="1452"/>
      <c r="HI58" s="1452"/>
      <c r="HJ58" s="1452"/>
      <c r="HK58" s="1452"/>
      <c r="HL58" s="1452"/>
      <c r="HM58" s="1452"/>
      <c r="HN58" s="1452"/>
      <c r="HO58" s="1452"/>
      <c r="HP58" s="1452"/>
      <c r="HQ58" s="1452"/>
      <c r="HR58" s="1452"/>
      <c r="HS58" s="1452"/>
      <c r="HT58" s="1452"/>
      <c r="HU58" s="1452"/>
      <c r="HV58" s="1452"/>
      <c r="HW58" s="1452"/>
      <c r="HX58" s="1452"/>
      <c r="HY58" s="1452"/>
      <c r="HZ58" s="1452"/>
      <c r="IA58" s="1452"/>
      <c r="IB58" s="1452"/>
      <c r="IC58" s="1452"/>
      <c r="ID58" s="1452"/>
      <c r="IE58" s="1452"/>
      <c r="IF58" s="1452"/>
      <c r="IG58" s="1452"/>
      <c r="IH58" s="1452"/>
      <c r="II58" s="1452"/>
      <c r="IJ58" s="1452"/>
      <c r="IK58" s="1452"/>
      <c r="IL58" s="1452"/>
      <c r="IM58" s="1452"/>
      <c r="IN58" s="1452"/>
      <c r="IO58" s="1452"/>
      <c r="IP58" s="1452"/>
      <c r="IQ58" s="1452"/>
      <c r="IR58" s="1452"/>
      <c r="IS58" s="1452"/>
      <c r="IT58" s="1452"/>
      <c r="IU58" s="1452"/>
      <c r="IV58" s="1452"/>
    </row>
    <row r="59" spans="1:256" ht="16.5">
      <c r="A59" s="1452"/>
      <c r="B59" s="1452"/>
      <c r="C59" s="1452"/>
      <c r="D59" s="1452"/>
      <c r="E59" s="1081"/>
      <c r="F59" s="1081"/>
      <c r="G59" s="1081"/>
      <c r="H59" s="1081"/>
      <c r="I59" s="1451"/>
      <c r="J59" s="1452"/>
      <c r="K59" s="1452"/>
      <c r="L59" s="1452"/>
      <c r="M59" s="1452"/>
      <c r="N59" s="1452"/>
      <c r="O59" s="1452"/>
      <c r="P59" s="1452"/>
      <c r="Q59" s="1452"/>
      <c r="R59" s="1452"/>
      <c r="S59" s="1452"/>
      <c r="T59" s="1452"/>
      <c r="U59" s="1452"/>
      <c r="V59" s="1452"/>
      <c r="W59" s="1452"/>
      <c r="X59" s="1452"/>
      <c r="Y59" s="1452"/>
      <c r="Z59" s="1452"/>
      <c r="AA59" s="1452"/>
      <c r="AB59" s="1452"/>
      <c r="AC59" s="1452"/>
      <c r="AD59" s="1452"/>
      <c r="AE59" s="1452"/>
      <c r="AF59" s="1452"/>
      <c r="AG59" s="1452"/>
      <c r="AH59" s="1452"/>
      <c r="AI59" s="1452"/>
      <c r="AJ59" s="1452"/>
      <c r="AK59" s="1452"/>
      <c r="AL59" s="1452"/>
      <c r="AM59" s="1452"/>
      <c r="AN59" s="1452"/>
      <c r="AO59" s="1452"/>
      <c r="AP59" s="1452"/>
      <c r="AQ59" s="1452"/>
      <c r="AR59" s="1452"/>
      <c r="AS59" s="1452"/>
      <c r="AT59" s="1452"/>
      <c r="AU59" s="1452"/>
      <c r="AV59" s="1452"/>
      <c r="AW59" s="1452"/>
      <c r="AX59" s="1452"/>
      <c r="AY59" s="1452"/>
      <c r="AZ59" s="1452"/>
      <c r="BA59" s="1452"/>
      <c r="BB59" s="1452"/>
      <c r="BC59" s="1452"/>
      <c r="BD59" s="1452"/>
      <c r="BE59" s="1452"/>
      <c r="BF59" s="1452"/>
      <c r="BG59" s="1452"/>
      <c r="BH59" s="1452"/>
      <c r="BI59" s="1452"/>
      <c r="BJ59" s="1452"/>
      <c r="BK59" s="1452"/>
      <c r="BL59" s="1452"/>
      <c r="BM59" s="1452"/>
      <c r="BN59" s="1452"/>
      <c r="BO59" s="1452"/>
      <c r="BP59" s="1452"/>
      <c r="BQ59" s="1452"/>
      <c r="BR59" s="1452"/>
      <c r="BS59" s="1452"/>
      <c r="BT59" s="1452"/>
      <c r="BU59" s="1452"/>
      <c r="BV59" s="1452"/>
      <c r="BW59" s="1452"/>
      <c r="BX59" s="1452"/>
      <c r="BY59" s="1452"/>
      <c r="BZ59" s="1452"/>
      <c r="CA59" s="1452"/>
      <c r="CB59" s="1452"/>
      <c r="CC59" s="1452"/>
      <c r="CD59" s="1452"/>
      <c r="CE59" s="1452"/>
      <c r="CF59" s="1452"/>
      <c r="CG59" s="1452"/>
      <c r="CH59" s="1452"/>
      <c r="CI59" s="1452"/>
      <c r="CJ59" s="1452"/>
      <c r="CK59" s="1452"/>
      <c r="CL59" s="1452"/>
      <c r="CM59" s="1452"/>
      <c r="CN59" s="1452"/>
      <c r="CO59" s="1452"/>
      <c r="CP59" s="1452"/>
      <c r="CQ59" s="1452"/>
      <c r="CR59" s="1452"/>
      <c r="CS59" s="1452"/>
      <c r="CT59" s="1452"/>
      <c r="CU59" s="1452"/>
      <c r="CV59" s="1452"/>
      <c r="CW59" s="1452"/>
      <c r="CX59" s="1452"/>
      <c r="CY59" s="1452"/>
      <c r="CZ59" s="1452"/>
      <c r="DA59" s="1452"/>
      <c r="DB59" s="1452"/>
      <c r="DC59" s="1452"/>
      <c r="DD59" s="1452"/>
      <c r="DE59" s="1452"/>
      <c r="DF59" s="1452"/>
      <c r="DG59" s="1452"/>
      <c r="DH59" s="1452"/>
      <c r="DI59" s="1452"/>
      <c r="DJ59" s="1452"/>
      <c r="DK59" s="1452"/>
      <c r="DL59" s="1452"/>
      <c r="DM59" s="1452"/>
      <c r="DN59" s="1452"/>
      <c r="DO59" s="1452"/>
      <c r="DP59" s="1452"/>
      <c r="DQ59" s="1452"/>
      <c r="DR59" s="1452"/>
      <c r="DS59" s="1452"/>
      <c r="DT59" s="1452"/>
      <c r="DU59" s="1452"/>
      <c r="DV59" s="1452"/>
      <c r="DW59" s="1452"/>
      <c r="DX59" s="1452"/>
      <c r="DY59" s="1452"/>
      <c r="DZ59" s="1452"/>
      <c r="EA59" s="1452"/>
      <c r="EB59" s="1452"/>
      <c r="EC59" s="1452"/>
      <c r="ED59" s="1452"/>
      <c r="EE59" s="1452"/>
      <c r="EF59" s="1452"/>
      <c r="EG59" s="1452"/>
      <c r="EH59" s="1452"/>
      <c r="EI59" s="1452"/>
      <c r="EJ59" s="1452"/>
      <c r="EK59" s="1452"/>
      <c r="EL59" s="1452"/>
      <c r="EM59" s="1452"/>
      <c r="EN59" s="1452"/>
      <c r="EO59" s="1452"/>
      <c r="EP59" s="1452"/>
      <c r="EQ59" s="1452"/>
      <c r="ER59" s="1452"/>
      <c r="ES59" s="1452"/>
      <c r="ET59" s="1452"/>
      <c r="EU59" s="1452"/>
      <c r="EV59" s="1452"/>
      <c r="EW59" s="1452"/>
      <c r="EX59" s="1452"/>
      <c r="EY59" s="1452"/>
      <c r="EZ59" s="1452"/>
      <c r="FA59" s="1452"/>
      <c r="FB59" s="1452"/>
      <c r="FC59" s="1452"/>
      <c r="FD59" s="1452"/>
      <c r="FE59" s="1452"/>
      <c r="FF59" s="1452"/>
      <c r="FG59" s="1452"/>
      <c r="FH59" s="1452"/>
      <c r="FI59" s="1452"/>
      <c r="FJ59" s="1452"/>
      <c r="FK59" s="1452"/>
      <c r="FL59" s="1452"/>
      <c r="FM59" s="1452"/>
      <c r="FN59" s="1452"/>
      <c r="FO59" s="1452"/>
      <c r="FP59" s="1452"/>
      <c r="FQ59" s="1452"/>
      <c r="FR59" s="1452"/>
      <c r="FS59" s="1452"/>
      <c r="FT59" s="1452"/>
      <c r="FU59" s="1452"/>
      <c r="FV59" s="1452"/>
      <c r="FW59" s="1452"/>
      <c r="FX59" s="1452"/>
      <c r="FY59" s="1452"/>
      <c r="FZ59" s="1452"/>
      <c r="GA59" s="1452"/>
      <c r="GB59" s="1452"/>
      <c r="GC59" s="1452"/>
      <c r="GD59" s="1452"/>
      <c r="GE59" s="1452"/>
      <c r="GF59" s="1452"/>
      <c r="GG59" s="1452"/>
      <c r="GH59" s="1452"/>
      <c r="GI59" s="1452"/>
      <c r="GJ59" s="1452"/>
      <c r="GK59" s="1452"/>
      <c r="GL59" s="1452"/>
      <c r="GM59" s="1452"/>
      <c r="GN59" s="1452"/>
      <c r="GO59" s="1452"/>
      <c r="GP59" s="1452"/>
      <c r="GQ59" s="1452"/>
      <c r="GR59" s="1452"/>
      <c r="GS59" s="1452"/>
      <c r="GT59" s="1452"/>
      <c r="GU59" s="1452"/>
      <c r="GV59" s="1452"/>
      <c r="GW59" s="1452"/>
      <c r="GX59" s="1452"/>
      <c r="GY59" s="1452"/>
      <c r="GZ59" s="1452"/>
      <c r="HA59" s="1452"/>
      <c r="HB59" s="1452"/>
      <c r="HC59" s="1452"/>
      <c r="HD59" s="1452"/>
      <c r="HE59" s="1452"/>
      <c r="HF59" s="1452"/>
      <c r="HG59" s="1452"/>
      <c r="HH59" s="1452"/>
      <c r="HI59" s="1452"/>
      <c r="HJ59" s="1452"/>
      <c r="HK59" s="1452"/>
      <c r="HL59" s="1452"/>
      <c r="HM59" s="1452"/>
      <c r="HN59" s="1452"/>
      <c r="HO59" s="1452"/>
      <c r="HP59" s="1452"/>
      <c r="HQ59" s="1452"/>
      <c r="HR59" s="1452"/>
      <c r="HS59" s="1452"/>
      <c r="HT59" s="1452"/>
      <c r="HU59" s="1452"/>
      <c r="HV59" s="1452"/>
      <c r="HW59" s="1452"/>
      <c r="HX59" s="1452"/>
      <c r="HY59" s="1452"/>
      <c r="HZ59" s="1452"/>
      <c r="IA59" s="1452"/>
      <c r="IB59" s="1452"/>
      <c r="IC59" s="1452"/>
      <c r="ID59" s="1452"/>
      <c r="IE59" s="1452"/>
      <c r="IF59" s="1452"/>
      <c r="IG59" s="1452"/>
      <c r="IH59" s="1452"/>
      <c r="II59" s="1452"/>
      <c r="IJ59" s="1452"/>
      <c r="IK59" s="1452"/>
      <c r="IL59" s="1452"/>
      <c r="IM59" s="1452"/>
      <c r="IN59" s="1452"/>
      <c r="IO59" s="1452"/>
      <c r="IP59" s="1452"/>
      <c r="IQ59" s="1452"/>
      <c r="IR59" s="1452"/>
      <c r="IS59" s="1452"/>
      <c r="IT59" s="1452"/>
      <c r="IU59" s="1452"/>
      <c r="IV59" s="1452"/>
    </row>
    <row r="60" spans="1:256" ht="16.5">
      <c r="A60" s="1452"/>
      <c r="B60" s="1452"/>
      <c r="C60" s="1452"/>
      <c r="D60" s="1452"/>
      <c r="E60" s="1081"/>
      <c r="F60" s="1081"/>
      <c r="G60" s="1081"/>
      <c r="H60" s="1081"/>
      <c r="I60" s="1451"/>
      <c r="J60" s="1452"/>
      <c r="K60" s="1452"/>
      <c r="L60" s="1452"/>
      <c r="M60" s="1452"/>
      <c r="N60" s="1452"/>
      <c r="O60" s="1452"/>
      <c r="P60" s="1452"/>
      <c r="Q60" s="1452"/>
      <c r="R60" s="1452"/>
      <c r="S60" s="1452"/>
      <c r="T60" s="1452"/>
      <c r="U60" s="1452"/>
      <c r="V60" s="1452"/>
      <c r="W60" s="1452"/>
      <c r="X60" s="1452"/>
      <c r="Y60" s="1452"/>
      <c r="Z60" s="1452"/>
      <c r="AA60" s="1452"/>
      <c r="AB60" s="1452"/>
      <c r="AC60" s="1452"/>
      <c r="AD60" s="1452"/>
      <c r="AE60" s="1452"/>
      <c r="AF60" s="1452"/>
      <c r="AG60" s="1452"/>
      <c r="AH60" s="1452"/>
      <c r="AI60" s="1452"/>
      <c r="AJ60" s="1452"/>
      <c r="AK60" s="1452"/>
      <c r="AL60" s="1452"/>
      <c r="AM60" s="1452"/>
      <c r="AN60" s="1452"/>
      <c r="AO60" s="1452"/>
      <c r="AP60" s="1452"/>
      <c r="AQ60" s="1452"/>
      <c r="AR60" s="1452"/>
      <c r="AS60" s="1452"/>
      <c r="AT60" s="1452"/>
      <c r="AU60" s="1452"/>
      <c r="AV60" s="1452"/>
      <c r="AW60" s="1452"/>
      <c r="AX60" s="1452"/>
      <c r="AY60" s="1452"/>
      <c r="AZ60" s="1452"/>
      <c r="BA60" s="1452"/>
      <c r="BB60" s="1452"/>
      <c r="BC60" s="1452"/>
      <c r="BD60" s="1452"/>
      <c r="BE60" s="1452"/>
      <c r="BF60" s="1452"/>
      <c r="BG60" s="1452"/>
      <c r="BH60" s="1452"/>
      <c r="BI60" s="1452"/>
      <c r="BJ60" s="1452"/>
      <c r="BK60" s="1452"/>
      <c r="BL60" s="1452"/>
      <c r="BM60" s="1452"/>
      <c r="BN60" s="1452"/>
      <c r="BO60" s="1452"/>
      <c r="BP60" s="1452"/>
      <c r="BQ60" s="1452"/>
      <c r="BR60" s="1452"/>
      <c r="BS60" s="1452"/>
      <c r="BT60" s="1452"/>
      <c r="BU60" s="1452"/>
      <c r="BV60" s="1452"/>
      <c r="BW60" s="1452"/>
      <c r="BX60" s="1452"/>
      <c r="BY60" s="1452"/>
      <c r="BZ60" s="1452"/>
      <c r="CA60" s="1452"/>
      <c r="CB60" s="1452"/>
      <c r="CC60" s="1452"/>
      <c r="CD60" s="1452"/>
      <c r="CE60" s="1452"/>
      <c r="CF60" s="1452"/>
      <c r="CG60" s="1452"/>
      <c r="CH60" s="1452"/>
      <c r="CI60" s="1452"/>
      <c r="CJ60" s="1452"/>
      <c r="CK60" s="1452"/>
      <c r="CL60" s="1452"/>
      <c r="CM60" s="1452"/>
      <c r="CN60" s="1452"/>
      <c r="CO60" s="1452"/>
      <c r="CP60" s="1452"/>
      <c r="CQ60" s="1452"/>
      <c r="CR60" s="1452"/>
      <c r="CS60" s="1452"/>
      <c r="CT60" s="1452"/>
      <c r="CU60" s="1452"/>
      <c r="CV60" s="1452"/>
      <c r="CW60" s="1452"/>
      <c r="CX60" s="1452"/>
      <c r="CY60" s="1452"/>
      <c r="CZ60" s="1452"/>
      <c r="DA60" s="1452"/>
      <c r="DB60" s="1452"/>
      <c r="DC60" s="1452"/>
      <c r="DD60" s="1452"/>
      <c r="DE60" s="1452"/>
      <c r="DF60" s="1452"/>
      <c r="DG60" s="1452"/>
      <c r="DH60" s="1452"/>
      <c r="DI60" s="1452"/>
      <c r="DJ60" s="1452"/>
      <c r="DK60" s="1452"/>
      <c r="DL60" s="1452"/>
      <c r="DM60" s="1452"/>
      <c r="DN60" s="1452"/>
      <c r="DO60" s="1452"/>
      <c r="DP60" s="1452"/>
      <c r="DQ60" s="1452"/>
      <c r="DR60" s="1452"/>
      <c r="DS60" s="1452"/>
      <c r="DT60" s="1452"/>
      <c r="DU60" s="1452"/>
      <c r="DV60" s="1452"/>
      <c r="DW60" s="1452"/>
      <c r="DX60" s="1452"/>
      <c r="DY60" s="1452"/>
      <c r="DZ60" s="1452"/>
      <c r="EA60" s="1452"/>
      <c r="EB60" s="1452"/>
      <c r="EC60" s="1452"/>
      <c r="ED60" s="1452"/>
      <c r="EE60" s="1452"/>
      <c r="EF60" s="1452"/>
      <c r="EG60" s="1452"/>
      <c r="EH60" s="1452"/>
      <c r="EI60" s="1452"/>
      <c r="EJ60" s="1452"/>
      <c r="EK60" s="1452"/>
      <c r="EL60" s="1452"/>
      <c r="EM60" s="1452"/>
      <c r="EN60" s="1452"/>
      <c r="EO60" s="1452"/>
      <c r="EP60" s="1452"/>
      <c r="EQ60" s="1452"/>
      <c r="ER60" s="1452"/>
      <c r="ES60" s="1452"/>
      <c r="ET60" s="1452"/>
      <c r="EU60" s="1452"/>
      <c r="EV60" s="1452"/>
      <c r="EW60" s="1452"/>
      <c r="EX60" s="1452"/>
      <c r="EY60" s="1452"/>
      <c r="EZ60" s="1452"/>
      <c r="FA60" s="1452"/>
      <c r="FB60" s="1452"/>
      <c r="FC60" s="1452"/>
      <c r="FD60" s="1452"/>
      <c r="FE60" s="1452"/>
      <c r="FF60" s="1452"/>
      <c r="FG60" s="1452"/>
      <c r="FH60" s="1452"/>
      <c r="FI60" s="1452"/>
      <c r="FJ60" s="1452"/>
      <c r="FK60" s="1452"/>
      <c r="FL60" s="1452"/>
      <c r="FM60" s="1452"/>
      <c r="FN60" s="1452"/>
      <c r="FO60" s="1452"/>
      <c r="FP60" s="1452"/>
      <c r="FQ60" s="1452"/>
      <c r="FR60" s="1452"/>
      <c r="FS60" s="1452"/>
      <c r="FT60" s="1452"/>
      <c r="FU60" s="1452"/>
      <c r="FV60" s="1452"/>
      <c r="FW60" s="1452"/>
      <c r="FX60" s="1452"/>
      <c r="FY60" s="1452"/>
      <c r="FZ60" s="1452"/>
      <c r="GA60" s="1452"/>
      <c r="GB60" s="1452"/>
      <c r="GC60" s="1452"/>
      <c r="GD60" s="1452"/>
      <c r="GE60" s="1452"/>
      <c r="GF60" s="1452"/>
      <c r="GG60" s="1452"/>
      <c r="GH60" s="1452"/>
      <c r="GI60" s="1452"/>
      <c r="GJ60" s="1452"/>
      <c r="GK60" s="1452"/>
      <c r="GL60" s="1452"/>
      <c r="GM60" s="1452"/>
      <c r="GN60" s="1452"/>
      <c r="GO60" s="1452"/>
      <c r="GP60" s="1452"/>
      <c r="GQ60" s="1452"/>
      <c r="GR60" s="1452"/>
      <c r="GS60" s="1452"/>
      <c r="GT60" s="1452"/>
      <c r="GU60" s="1452"/>
      <c r="GV60" s="1452"/>
      <c r="GW60" s="1452"/>
      <c r="GX60" s="1452"/>
      <c r="GY60" s="1452"/>
      <c r="GZ60" s="1452"/>
      <c r="HA60" s="1452"/>
      <c r="HB60" s="1452"/>
      <c r="HC60" s="1452"/>
      <c r="HD60" s="1452"/>
      <c r="HE60" s="1452"/>
      <c r="HF60" s="1452"/>
      <c r="HG60" s="1452"/>
      <c r="HH60" s="1452"/>
      <c r="HI60" s="1452"/>
      <c r="HJ60" s="1452"/>
      <c r="HK60" s="1452"/>
      <c r="HL60" s="1452"/>
      <c r="HM60" s="1452"/>
      <c r="HN60" s="1452"/>
      <c r="HO60" s="1452"/>
      <c r="HP60" s="1452"/>
      <c r="HQ60" s="1452"/>
      <c r="HR60" s="1452"/>
      <c r="HS60" s="1452"/>
      <c r="HT60" s="1452"/>
      <c r="HU60" s="1452"/>
      <c r="HV60" s="1452"/>
      <c r="HW60" s="1452"/>
      <c r="HX60" s="1452"/>
      <c r="HY60" s="1452"/>
      <c r="HZ60" s="1452"/>
      <c r="IA60" s="1452"/>
      <c r="IB60" s="1452"/>
      <c r="IC60" s="1452"/>
      <c r="ID60" s="1452"/>
      <c r="IE60" s="1452"/>
      <c r="IF60" s="1452"/>
      <c r="IG60" s="1452"/>
      <c r="IH60" s="1452"/>
      <c r="II60" s="1452"/>
      <c r="IJ60" s="1452"/>
      <c r="IK60" s="1452"/>
      <c r="IL60" s="1452"/>
      <c r="IM60" s="1452"/>
      <c r="IN60" s="1452"/>
      <c r="IO60" s="1452"/>
      <c r="IP60" s="1452"/>
      <c r="IQ60" s="1452"/>
      <c r="IR60" s="1452"/>
      <c r="IS60" s="1452"/>
      <c r="IT60" s="1452"/>
      <c r="IU60" s="1452"/>
      <c r="IV60" s="1452"/>
    </row>
    <row r="61" spans="1:256" ht="16.5">
      <c r="A61" s="1481" t="s">
        <v>7160</v>
      </c>
      <c r="B61" s="1481"/>
      <c r="C61" s="1481"/>
      <c r="D61" s="1481"/>
      <c r="E61" s="1481"/>
      <c r="F61" s="1481"/>
      <c r="G61" s="1481"/>
      <c r="H61" s="1481"/>
      <c r="I61" s="1481"/>
      <c r="J61" s="1451"/>
      <c r="K61" s="1451"/>
      <c r="L61" s="1451"/>
      <c r="M61" s="1451"/>
      <c r="N61" s="1451"/>
      <c r="O61" s="1451"/>
      <c r="P61" s="1451"/>
      <c r="Q61" s="1451"/>
      <c r="R61" s="1451"/>
      <c r="S61" s="1451"/>
      <c r="T61" s="1451"/>
      <c r="U61" s="1451"/>
      <c r="V61" s="1451"/>
      <c r="W61" s="1451"/>
      <c r="X61" s="1451"/>
      <c r="Y61" s="1451"/>
      <c r="Z61" s="1451"/>
      <c r="AA61" s="1451"/>
      <c r="AB61" s="1451"/>
      <c r="AC61" s="1451"/>
      <c r="AD61" s="1451"/>
      <c r="AE61" s="1451"/>
      <c r="AF61" s="1451"/>
      <c r="AG61" s="1451"/>
      <c r="AH61" s="1451"/>
      <c r="AI61" s="1451"/>
      <c r="AJ61" s="1451"/>
      <c r="AK61" s="1451"/>
      <c r="AL61" s="1451"/>
      <c r="AM61" s="1451"/>
      <c r="AN61" s="1451"/>
      <c r="AO61" s="1451"/>
      <c r="AP61" s="1451"/>
      <c r="AQ61" s="1451"/>
      <c r="AR61" s="1451"/>
      <c r="AS61" s="1451"/>
      <c r="AT61" s="1451"/>
      <c r="AU61" s="1451"/>
      <c r="AV61" s="1451"/>
      <c r="AW61" s="1451"/>
      <c r="AX61" s="1451"/>
      <c r="AY61" s="1451"/>
      <c r="AZ61" s="1451"/>
      <c r="BA61" s="1451"/>
      <c r="BB61" s="1451"/>
      <c r="BC61" s="1451"/>
      <c r="BD61" s="1451"/>
      <c r="BE61" s="1451"/>
      <c r="BF61" s="1451"/>
      <c r="BG61" s="1451"/>
      <c r="BH61" s="1451"/>
      <c r="BI61" s="1451"/>
      <c r="BJ61" s="1451"/>
      <c r="BK61" s="1451"/>
      <c r="BL61" s="1451"/>
      <c r="BM61" s="1451"/>
      <c r="BN61" s="1451"/>
      <c r="BO61" s="1451"/>
      <c r="BP61" s="1451"/>
      <c r="BQ61" s="1451"/>
      <c r="BR61" s="1451"/>
      <c r="BS61" s="1451"/>
      <c r="BT61" s="1451"/>
      <c r="BU61" s="1451"/>
      <c r="BV61" s="1451"/>
      <c r="BW61" s="1451"/>
      <c r="BX61" s="1451"/>
      <c r="BY61" s="1451"/>
      <c r="BZ61" s="1451"/>
      <c r="CA61" s="1451"/>
      <c r="CB61" s="1451"/>
      <c r="CC61" s="1451"/>
      <c r="CD61" s="1451"/>
      <c r="CE61" s="1451"/>
      <c r="CF61" s="1451"/>
      <c r="CG61" s="1451"/>
      <c r="CH61" s="1451"/>
      <c r="CI61" s="1451"/>
      <c r="CJ61" s="1451"/>
      <c r="CK61" s="1451"/>
      <c r="CL61" s="1451"/>
      <c r="CM61" s="1451"/>
      <c r="CN61" s="1451"/>
      <c r="CO61" s="1451"/>
      <c r="CP61" s="1451"/>
      <c r="CQ61" s="1451"/>
      <c r="CR61" s="1451"/>
      <c r="CS61" s="1451"/>
      <c r="CT61" s="1451"/>
      <c r="CU61" s="1451"/>
      <c r="CV61" s="1451"/>
      <c r="CW61" s="1451"/>
      <c r="CX61" s="1451"/>
      <c r="CY61" s="1451"/>
      <c r="CZ61" s="1451"/>
      <c r="DA61" s="1451"/>
      <c r="DB61" s="1451"/>
      <c r="DC61" s="1451"/>
      <c r="DD61" s="1451"/>
      <c r="DE61" s="1451"/>
      <c r="DF61" s="1451"/>
      <c r="DG61" s="1451"/>
      <c r="DH61" s="1451"/>
      <c r="DI61" s="1451"/>
      <c r="DJ61" s="1451"/>
      <c r="DK61" s="1451"/>
      <c r="DL61" s="1451"/>
      <c r="DM61" s="1451"/>
      <c r="DN61" s="1451"/>
      <c r="DO61" s="1451"/>
      <c r="DP61" s="1451"/>
      <c r="DQ61" s="1451"/>
      <c r="DR61" s="1451"/>
      <c r="DS61" s="1451"/>
      <c r="DT61" s="1451"/>
      <c r="DU61" s="1451"/>
      <c r="DV61" s="1451"/>
      <c r="DW61" s="1451"/>
      <c r="DX61" s="1451"/>
      <c r="DY61" s="1451"/>
      <c r="DZ61" s="1451"/>
      <c r="EA61" s="1451"/>
      <c r="EB61" s="1451"/>
      <c r="EC61" s="1451"/>
      <c r="ED61" s="1451"/>
      <c r="EE61" s="1451"/>
      <c r="EF61" s="1451"/>
      <c r="EG61" s="1451"/>
      <c r="EH61" s="1451"/>
      <c r="EI61" s="1451"/>
      <c r="EJ61" s="1451"/>
      <c r="EK61" s="1451"/>
      <c r="EL61" s="1451"/>
      <c r="EM61" s="1451"/>
      <c r="EN61" s="1451"/>
      <c r="EO61" s="1451"/>
      <c r="EP61" s="1451"/>
      <c r="EQ61" s="1451"/>
      <c r="ER61" s="1451"/>
      <c r="ES61" s="1451"/>
      <c r="ET61" s="1451"/>
      <c r="EU61" s="1451"/>
      <c r="EV61" s="1451"/>
      <c r="EW61" s="1451"/>
      <c r="EX61" s="1451"/>
      <c r="EY61" s="1451"/>
      <c r="EZ61" s="1451"/>
      <c r="FA61" s="1451"/>
      <c r="FB61" s="1451"/>
      <c r="FC61" s="1451"/>
      <c r="FD61" s="1451"/>
      <c r="FE61" s="1451"/>
      <c r="FF61" s="1451"/>
      <c r="FG61" s="1451"/>
      <c r="FH61" s="1451"/>
      <c r="FI61" s="1451"/>
      <c r="FJ61" s="1451"/>
      <c r="FK61" s="1451"/>
      <c r="FL61" s="1451"/>
      <c r="FM61" s="1451"/>
      <c r="FN61" s="1451"/>
      <c r="FO61" s="1451"/>
      <c r="FP61" s="1451"/>
      <c r="FQ61" s="1451"/>
      <c r="FR61" s="1451"/>
      <c r="FS61" s="1451"/>
      <c r="FT61" s="1451"/>
      <c r="FU61" s="1451"/>
      <c r="FV61" s="1451"/>
      <c r="FW61" s="1451"/>
      <c r="FX61" s="1451"/>
      <c r="FY61" s="1451"/>
      <c r="FZ61" s="1451"/>
      <c r="GA61" s="1451"/>
      <c r="GB61" s="1451"/>
      <c r="GC61" s="1451"/>
      <c r="GD61" s="1451"/>
      <c r="GE61" s="1451"/>
      <c r="GF61" s="1451"/>
      <c r="GG61" s="1451"/>
      <c r="GH61" s="1451"/>
      <c r="GI61" s="1451"/>
      <c r="GJ61" s="1451"/>
      <c r="GK61" s="1451"/>
      <c r="GL61" s="1451"/>
      <c r="GM61" s="1451"/>
      <c r="GN61" s="1451"/>
      <c r="GO61" s="1451"/>
      <c r="GP61" s="1451"/>
      <c r="GQ61" s="1451"/>
      <c r="GR61" s="1451"/>
      <c r="GS61" s="1451"/>
      <c r="GT61" s="1451"/>
      <c r="GU61" s="1451"/>
      <c r="GV61" s="1451"/>
      <c r="GW61" s="1451"/>
      <c r="GX61" s="1451"/>
      <c r="GY61" s="1451"/>
      <c r="GZ61" s="1451"/>
      <c r="HA61" s="1451"/>
      <c r="HB61" s="1451"/>
      <c r="HC61" s="1451"/>
      <c r="HD61" s="1451"/>
      <c r="HE61" s="1451"/>
      <c r="HF61" s="1451"/>
      <c r="HG61" s="1451"/>
      <c r="HH61" s="1451"/>
      <c r="HI61" s="1451"/>
      <c r="HJ61" s="1451"/>
      <c r="HK61" s="1451"/>
      <c r="HL61" s="1451"/>
      <c r="HM61" s="1451"/>
      <c r="HN61" s="1451"/>
      <c r="HO61" s="1451"/>
      <c r="HP61" s="1451"/>
      <c r="HQ61" s="1451"/>
      <c r="HR61" s="1451"/>
      <c r="HS61" s="1451"/>
      <c r="HT61" s="1451"/>
      <c r="HU61" s="1451"/>
      <c r="HV61" s="1451"/>
      <c r="HW61" s="1451"/>
      <c r="HX61" s="1451"/>
      <c r="HY61" s="1451"/>
      <c r="HZ61" s="1451"/>
      <c r="IA61" s="1451"/>
      <c r="IB61" s="1451"/>
      <c r="IC61" s="1451"/>
      <c r="ID61" s="1451"/>
      <c r="IE61" s="1451"/>
      <c r="IF61" s="1451"/>
      <c r="IG61" s="1451"/>
      <c r="IH61" s="1451"/>
      <c r="II61" s="1451"/>
      <c r="IJ61" s="1451"/>
      <c r="IK61" s="1451"/>
      <c r="IL61" s="1451"/>
      <c r="IM61" s="1451"/>
      <c r="IN61" s="1451"/>
      <c r="IO61" s="1451"/>
      <c r="IP61" s="1451"/>
      <c r="IQ61" s="1451"/>
      <c r="IR61" s="1451"/>
      <c r="IS61" s="1451"/>
      <c r="IT61" s="1451"/>
      <c r="IU61" s="1451"/>
      <c r="IV61" s="1451"/>
    </row>
    <row r="62" spans="1:256" ht="16.5">
      <c r="A62" s="1452"/>
      <c r="B62" s="1452"/>
      <c r="C62" s="1452"/>
      <c r="D62" s="1452"/>
      <c r="E62" s="1081"/>
      <c r="F62" s="1081"/>
      <c r="G62" s="1081"/>
      <c r="H62" s="1081"/>
      <c r="I62" s="1451"/>
      <c r="J62" s="1452"/>
      <c r="K62" s="1452"/>
      <c r="L62" s="1452"/>
      <c r="M62" s="1452"/>
      <c r="N62" s="1452"/>
      <c r="O62" s="1452"/>
      <c r="P62" s="1452"/>
      <c r="Q62" s="1452"/>
      <c r="R62" s="1452"/>
      <c r="S62" s="1452"/>
      <c r="T62" s="1452"/>
      <c r="U62" s="1452"/>
      <c r="V62" s="1452"/>
      <c r="W62" s="1452"/>
      <c r="X62" s="1452"/>
      <c r="Y62" s="1452"/>
      <c r="Z62" s="1452"/>
      <c r="AA62" s="1452"/>
      <c r="AB62" s="1452"/>
      <c r="AC62" s="1452"/>
      <c r="AD62" s="1452"/>
      <c r="AE62" s="1452"/>
      <c r="AF62" s="1452"/>
      <c r="AG62" s="1452"/>
      <c r="AH62" s="1452"/>
      <c r="AI62" s="1452"/>
      <c r="AJ62" s="1452"/>
      <c r="AK62" s="1452"/>
      <c r="AL62" s="1452"/>
      <c r="AM62" s="1452"/>
      <c r="AN62" s="1452"/>
      <c r="AO62" s="1452"/>
      <c r="AP62" s="1452"/>
      <c r="AQ62" s="1452"/>
      <c r="AR62" s="1452"/>
      <c r="AS62" s="1452"/>
      <c r="AT62" s="1452"/>
      <c r="AU62" s="1452"/>
      <c r="AV62" s="1452"/>
      <c r="AW62" s="1452"/>
      <c r="AX62" s="1452"/>
      <c r="AY62" s="1452"/>
      <c r="AZ62" s="1452"/>
      <c r="BA62" s="1452"/>
      <c r="BB62" s="1452"/>
      <c r="BC62" s="1452"/>
      <c r="BD62" s="1452"/>
      <c r="BE62" s="1452"/>
      <c r="BF62" s="1452"/>
      <c r="BG62" s="1452"/>
      <c r="BH62" s="1452"/>
      <c r="BI62" s="1452"/>
      <c r="BJ62" s="1452"/>
      <c r="BK62" s="1452"/>
      <c r="BL62" s="1452"/>
      <c r="BM62" s="1452"/>
      <c r="BN62" s="1452"/>
      <c r="BO62" s="1452"/>
      <c r="BP62" s="1452"/>
      <c r="BQ62" s="1452"/>
      <c r="BR62" s="1452"/>
      <c r="BS62" s="1452"/>
      <c r="BT62" s="1452"/>
      <c r="BU62" s="1452"/>
      <c r="BV62" s="1452"/>
      <c r="BW62" s="1452"/>
      <c r="BX62" s="1452"/>
      <c r="BY62" s="1452"/>
      <c r="BZ62" s="1452"/>
      <c r="CA62" s="1452"/>
      <c r="CB62" s="1452"/>
      <c r="CC62" s="1452"/>
      <c r="CD62" s="1452"/>
      <c r="CE62" s="1452"/>
      <c r="CF62" s="1452"/>
      <c r="CG62" s="1452"/>
      <c r="CH62" s="1452"/>
      <c r="CI62" s="1452"/>
      <c r="CJ62" s="1452"/>
      <c r="CK62" s="1452"/>
      <c r="CL62" s="1452"/>
      <c r="CM62" s="1452"/>
      <c r="CN62" s="1452"/>
      <c r="CO62" s="1452"/>
      <c r="CP62" s="1452"/>
      <c r="CQ62" s="1452"/>
      <c r="CR62" s="1452"/>
      <c r="CS62" s="1452"/>
      <c r="CT62" s="1452"/>
      <c r="CU62" s="1452"/>
      <c r="CV62" s="1452"/>
      <c r="CW62" s="1452"/>
      <c r="CX62" s="1452"/>
      <c r="CY62" s="1452"/>
      <c r="CZ62" s="1452"/>
      <c r="DA62" s="1452"/>
      <c r="DB62" s="1452"/>
      <c r="DC62" s="1452"/>
      <c r="DD62" s="1452"/>
      <c r="DE62" s="1452"/>
      <c r="DF62" s="1452"/>
      <c r="DG62" s="1452"/>
      <c r="DH62" s="1452"/>
      <c r="DI62" s="1452"/>
      <c r="DJ62" s="1452"/>
      <c r="DK62" s="1452"/>
      <c r="DL62" s="1452"/>
      <c r="DM62" s="1452"/>
      <c r="DN62" s="1452"/>
      <c r="DO62" s="1452"/>
      <c r="DP62" s="1452"/>
      <c r="DQ62" s="1452"/>
      <c r="DR62" s="1452"/>
      <c r="DS62" s="1452"/>
      <c r="DT62" s="1452"/>
      <c r="DU62" s="1452"/>
      <c r="DV62" s="1452"/>
      <c r="DW62" s="1452"/>
      <c r="DX62" s="1452"/>
      <c r="DY62" s="1452"/>
      <c r="DZ62" s="1452"/>
      <c r="EA62" s="1452"/>
      <c r="EB62" s="1452"/>
      <c r="EC62" s="1452"/>
      <c r="ED62" s="1452"/>
      <c r="EE62" s="1452"/>
      <c r="EF62" s="1452"/>
      <c r="EG62" s="1452"/>
      <c r="EH62" s="1452"/>
      <c r="EI62" s="1452"/>
      <c r="EJ62" s="1452"/>
      <c r="EK62" s="1452"/>
      <c r="EL62" s="1452"/>
      <c r="EM62" s="1452"/>
      <c r="EN62" s="1452"/>
      <c r="EO62" s="1452"/>
      <c r="EP62" s="1452"/>
      <c r="EQ62" s="1452"/>
      <c r="ER62" s="1452"/>
      <c r="ES62" s="1452"/>
      <c r="ET62" s="1452"/>
      <c r="EU62" s="1452"/>
      <c r="EV62" s="1452"/>
      <c r="EW62" s="1452"/>
      <c r="EX62" s="1452"/>
      <c r="EY62" s="1452"/>
      <c r="EZ62" s="1452"/>
      <c r="FA62" s="1452"/>
      <c r="FB62" s="1452"/>
      <c r="FC62" s="1452"/>
      <c r="FD62" s="1452"/>
      <c r="FE62" s="1452"/>
      <c r="FF62" s="1452"/>
      <c r="FG62" s="1452"/>
      <c r="FH62" s="1452"/>
      <c r="FI62" s="1452"/>
      <c r="FJ62" s="1452"/>
      <c r="FK62" s="1452"/>
      <c r="FL62" s="1452"/>
      <c r="FM62" s="1452"/>
      <c r="FN62" s="1452"/>
      <c r="FO62" s="1452"/>
      <c r="FP62" s="1452"/>
      <c r="FQ62" s="1452"/>
      <c r="FR62" s="1452"/>
      <c r="FS62" s="1452"/>
      <c r="FT62" s="1452"/>
      <c r="FU62" s="1452"/>
      <c r="FV62" s="1452"/>
      <c r="FW62" s="1452"/>
      <c r="FX62" s="1452"/>
      <c r="FY62" s="1452"/>
      <c r="FZ62" s="1452"/>
      <c r="GA62" s="1452"/>
      <c r="GB62" s="1452"/>
      <c r="GC62" s="1452"/>
      <c r="GD62" s="1452"/>
      <c r="GE62" s="1452"/>
      <c r="GF62" s="1452"/>
      <c r="GG62" s="1452"/>
      <c r="GH62" s="1452"/>
      <c r="GI62" s="1452"/>
      <c r="GJ62" s="1452"/>
      <c r="GK62" s="1452"/>
      <c r="GL62" s="1452"/>
      <c r="GM62" s="1452"/>
      <c r="GN62" s="1452"/>
      <c r="GO62" s="1452"/>
      <c r="GP62" s="1452"/>
      <c r="GQ62" s="1452"/>
      <c r="GR62" s="1452"/>
      <c r="GS62" s="1452"/>
      <c r="GT62" s="1452"/>
      <c r="GU62" s="1452"/>
      <c r="GV62" s="1452"/>
      <c r="GW62" s="1452"/>
      <c r="GX62" s="1452"/>
      <c r="GY62" s="1452"/>
      <c r="GZ62" s="1452"/>
      <c r="HA62" s="1452"/>
      <c r="HB62" s="1452"/>
      <c r="HC62" s="1452"/>
      <c r="HD62" s="1452"/>
      <c r="HE62" s="1452"/>
      <c r="HF62" s="1452"/>
      <c r="HG62" s="1452"/>
      <c r="HH62" s="1452"/>
      <c r="HI62" s="1452"/>
      <c r="HJ62" s="1452"/>
      <c r="HK62" s="1452"/>
      <c r="HL62" s="1452"/>
      <c r="HM62" s="1452"/>
      <c r="HN62" s="1452"/>
      <c r="HO62" s="1452"/>
      <c r="HP62" s="1452"/>
      <c r="HQ62" s="1452"/>
      <c r="HR62" s="1452"/>
      <c r="HS62" s="1452"/>
      <c r="HT62" s="1452"/>
      <c r="HU62" s="1452"/>
      <c r="HV62" s="1452"/>
      <c r="HW62" s="1452"/>
      <c r="HX62" s="1452"/>
      <c r="HY62" s="1452"/>
      <c r="HZ62" s="1452"/>
      <c r="IA62" s="1452"/>
      <c r="IB62" s="1452"/>
      <c r="IC62" s="1452"/>
      <c r="ID62" s="1452"/>
      <c r="IE62" s="1452"/>
      <c r="IF62" s="1452"/>
      <c r="IG62" s="1452"/>
      <c r="IH62" s="1452"/>
      <c r="II62" s="1452"/>
      <c r="IJ62" s="1452"/>
      <c r="IK62" s="1452"/>
      <c r="IL62" s="1452"/>
      <c r="IM62" s="1452"/>
      <c r="IN62" s="1452"/>
      <c r="IO62" s="1452"/>
      <c r="IP62" s="1452"/>
      <c r="IQ62" s="1452"/>
      <c r="IR62" s="1452"/>
      <c r="IS62" s="1452"/>
      <c r="IT62" s="1452"/>
      <c r="IU62" s="1452"/>
      <c r="IV62" s="1452"/>
    </row>
  </sheetData>
  <mergeCells count="7">
    <mergeCell ref="A61:I61"/>
    <mergeCell ref="A1:I1"/>
    <mergeCell ref="A2:I2"/>
    <mergeCell ref="A3:I3"/>
    <mergeCell ref="C5:D5"/>
    <mergeCell ref="B6:D6"/>
    <mergeCell ref="B53:F53"/>
  </mergeCells>
  <pageMargins left="0.77" right="0.26" top="0.73" bottom="0.8" header="0.26" footer="0.24"/>
  <pageSetup paperSize="9" scale="82"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30"/>
  <sheetViews>
    <sheetView view="pageBreakPreview" topLeftCell="A37" zoomScale="98" zoomScaleSheetLayoutView="98" workbookViewId="0">
      <selection activeCell="B27" sqref="B27"/>
    </sheetView>
  </sheetViews>
  <sheetFormatPr defaultRowHeight="18.75"/>
  <cols>
    <col min="1" max="1" width="6" style="1522" customWidth="1"/>
    <col min="2" max="2" width="33.5546875" style="1522" customWidth="1"/>
    <col min="3" max="3" width="4.44140625" style="1543" customWidth="1"/>
    <col min="4" max="4" width="5.109375" style="1543" customWidth="1"/>
    <col min="5" max="7" width="8" style="1544" customWidth="1"/>
    <col min="8" max="8" width="9" style="1544" customWidth="1"/>
    <col min="9" max="9" width="4.44140625" style="1521" customWidth="1"/>
    <col min="10" max="256" width="8.88671875" style="1522"/>
    <col min="257" max="257" width="6" style="1522" customWidth="1"/>
    <col min="258" max="258" width="33.5546875" style="1522" customWidth="1"/>
    <col min="259" max="259" width="4.44140625" style="1522" customWidth="1"/>
    <col min="260" max="260" width="5.109375" style="1522" customWidth="1"/>
    <col min="261" max="263" width="8" style="1522" customWidth="1"/>
    <col min="264" max="264" width="9" style="1522" customWidth="1"/>
    <col min="265" max="265" width="4.44140625" style="1522" customWidth="1"/>
    <col min="266" max="512" width="8.88671875" style="1522"/>
    <col min="513" max="513" width="6" style="1522" customWidth="1"/>
    <col min="514" max="514" width="33.5546875" style="1522" customWidth="1"/>
    <col min="515" max="515" width="4.44140625" style="1522" customWidth="1"/>
    <col min="516" max="516" width="5.109375" style="1522" customWidth="1"/>
    <col min="517" max="519" width="8" style="1522" customWidth="1"/>
    <col min="520" max="520" width="9" style="1522" customWidth="1"/>
    <col min="521" max="521" width="4.44140625" style="1522" customWidth="1"/>
    <col min="522" max="768" width="8.88671875" style="1522"/>
    <col min="769" max="769" width="6" style="1522" customWidth="1"/>
    <col min="770" max="770" width="33.5546875" style="1522" customWidth="1"/>
    <col min="771" max="771" width="4.44140625" style="1522" customWidth="1"/>
    <col min="772" max="772" width="5.109375" style="1522" customWidth="1"/>
    <col min="773" max="775" width="8" style="1522" customWidth="1"/>
    <col min="776" max="776" width="9" style="1522" customWidth="1"/>
    <col min="777" max="777" width="4.44140625" style="1522" customWidth="1"/>
    <col min="778" max="1024" width="8.88671875" style="1522"/>
    <col min="1025" max="1025" width="6" style="1522" customWidth="1"/>
    <col min="1026" max="1026" width="33.5546875" style="1522" customWidth="1"/>
    <col min="1027" max="1027" width="4.44140625" style="1522" customWidth="1"/>
    <col min="1028" max="1028" width="5.109375" style="1522" customWidth="1"/>
    <col min="1029" max="1031" width="8" style="1522" customWidth="1"/>
    <col min="1032" max="1032" width="9" style="1522" customWidth="1"/>
    <col min="1033" max="1033" width="4.44140625" style="1522" customWidth="1"/>
    <col min="1034" max="1280" width="8.88671875" style="1522"/>
    <col min="1281" max="1281" width="6" style="1522" customWidth="1"/>
    <col min="1282" max="1282" width="33.5546875" style="1522" customWidth="1"/>
    <col min="1283" max="1283" width="4.44140625" style="1522" customWidth="1"/>
    <col min="1284" max="1284" width="5.109375" style="1522" customWidth="1"/>
    <col min="1285" max="1287" width="8" style="1522" customWidth="1"/>
    <col min="1288" max="1288" width="9" style="1522" customWidth="1"/>
    <col min="1289" max="1289" width="4.44140625" style="1522" customWidth="1"/>
    <col min="1290" max="1536" width="8.88671875" style="1522"/>
    <col min="1537" max="1537" width="6" style="1522" customWidth="1"/>
    <col min="1538" max="1538" width="33.5546875" style="1522" customWidth="1"/>
    <col min="1539" max="1539" width="4.44140625" style="1522" customWidth="1"/>
    <col min="1540" max="1540" width="5.109375" style="1522" customWidth="1"/>
    <col min="1541" max="1543" width="8" style="1522" customWidth="1"/>
    <col min="1544" max="1544" width="9" style="1522" customWidth="1"/>
    <col min="1545" max="1545" width="4.44140625" style="1522" customWidth="1"/>
    <col min="1546" max="1792" width="8.88671875" style="1522"/>
    <col min="1793" max="1793" width="6" style="1522" customWidth="1"/>
    <col min="1794" max="1794" width="33.5546875" style="1522" customWidth="1"/>
    <col min="1795" max="1795" width="4.44140625" style="1522" customWidth="1"/>
    <col min="1796" max="1796" width="5.109375" style="1522" customWidth="1"/>
    <col min="1797" max="1799" width="8" style="1522" customWidth="1"/>
    <col min="1800" max="1800" width="9" style="1522" customWidth="1"/>
    <col min="1801" max="1801" width="4.44140625" style="1522" customWidth="1"/>
    <col min="1802" max="2048" width="8.88671875" style="1522"/>
    <col min="2049" max="2049" width="6" style="1522" customWidth="1"/>
    <col min="2050" max="2050" width="33.5546875" style="1522" customWidth="1"/>
    <col min="2051" max="2051" width="4.44140625" style="1522" customWidth="1"/>
    <col min="2052" max="2052" width="5.109375" style="1522" customWidth="1"/>
    <col min="2053" max="2055" width="8" style="1522" customWidth="1"/>
    <col min="2056" max="2056" width="9" style="1522" customWidth="1"/>
    <col min="2057" max="2057" width="4.44140625" style="1522" customWidth="1"/>
    <col min="2058" max="2304" width="8.88671875" style="1522"/>
    <col min="2305" max="2305" width="6" style="1522" customWidth="1"/>
    <col min="2306" max="2306" width="33.5546875" style="1522" customWidth="1"/>
    <col min="2307" max="2307" width="4.44140625" style="1522" customWidth="1"/>
    <col min="2308" max="2308" width="5.109375" style="1522" customWidth="1"/>
    <col min="2309" max="2311" width="8" style="1522" customWidth="1"/>
    <col min="2312" max="2312" width="9" style="1522" customWidth="1"/>
    <col min="2313" max="2313" width="4.44140625" style="1522" customWidth="1"/>
    <col min="2314" max="2560" width="8.88671875" style="1522"/>
    <col min="2561" max="2561" width="6" style="1522" customWidth="1"/>
    <col min="2562" max="2562" width="33.5546875" style="1522" customWidth="1"/>
    <col min="2563" max="2563" width="4.44140625" style="1522" customWidth="1"/>
    <col min="2564" max="2564" width="5.109375" style="1522" customWidth="1"/>
    <col min="2565" max="2567" width="8" style="1522" customWidth="1"/>
    <col min="2568" max="2568" width="9" style="1522" customWidth="1"/>
    <col min="2569" max="2569" width="4.44140625" style="1522" customWidth="1"/>
    <col min="2570" max="2816" width="8.88671875" style="1522"/>
    <col min="2817" max="2817" width="6" style="1522" customWidth="1"/>
    <col min="2818" max="2818" width="33.5546875" style="1522" customWidth="1"/>
    <col min="2819" max="2819" width="4.44140625" style="1522" customWidth="1"/>
    <col min="2820" max="2820" width="5.109375" style="1522" customWidth="1"/>
    <col min="2821" max="2823" width="8" style="1522" customWidth="1"/>
    <col min="2824" max="2824" width="9" style="1522" customWidth="1"/>
    <col min="2825" max="2825" width="4.44140625" style="1522" customWidth="1"/>
    <col min="2826" max="3072" width="8.88671875" style="1522"/>
    <col min="3073" max="3073" width="6" style="1522" customWidth="1"/>
    <col min="3074" max="3074" width="33.5546875" style="1522" customWidth="1"/>
    <col min="3075" max="3075" width="4.44140625" style="1522" customWidth="1"/>
    <col min="3076" max="3076" width="5.109375" style="1522" customWidth="1"/>
    <col min="3077" max="3079" width="8" style="1522" customWidth="1"/>
    <col min="3080" max="3080" width="9" style="1522" customWidth="1"/>
    <col min="3081" max="3081" width="4.44140625" style="1522" customWidth="1"/>
    <col min="3082" max="3328" width="8.88671875" style="1522"/>
    <col min="3329" max="3329" width="6" style="1522" customWidth="1"/>
    <col min="3330" max="3330" width="33.5546875" style="1522" customWidth="1"/>
    <col min="3331" max="3331" width="4.44140625" style="1522" customWidth="1"/>
    <col min="3332" max="3332" width="5.109375" style="1522" customWidth="1"/>
    <col min="3333" max="3335" width="8" style="1522" customWidth="1"/>
    <col min="3336" max="3336" width="9" style="1522" customWidth="1"/>
    <col min="3337" max="3337" width="4.44140625" style="1522" customWidth="1"/>
    <col min="3338" max="3584" width="8.88671875" style="1522"/>
    <col min="3585" max="3585" width="6" style="1522" customWidth="1"/>
    <col min="3586" max="3586" width="33.5546875" style="1522" customWidth="1"/>
    <col min="3587" max="3587" width="4.44140625" style="1522" customWidth="1"/>
    <col min="3588" max="3588" width="5.109375" style="1522" customWidth="1"/>
    <col min="3589" max="3591" width="8" style="1522" customWidth="1"/>
    <col min="3592" max="3592" width="9" style="1522" customWidth="1"/>
    <col min="3593" max="3593" width="4.44140625" style="1522" customWidth="1"/>
    <col min="3594" max="3840" width="8.88671875" style="1522"/>
    <col min="3841" max="3841" width="6" style="1522" customWidth="1"/>
    <col min="3842" max="3842" width="33.5546875" style="1522" customWidth="1"/>
    <col min="3843" max="3843" width="4.44140625" style="1522" customWidth="1"/>
    <col min="3844" max="3844" width="5.109375" style="1522" customWidth="1"/>
    <col min="3845" max="3847" width="8" style="1522" customWidth="1"/>
    <col min="3848" max="3848" width="9" style="1522" customWidth="1"/>
    <col min="3849" max="3849" width="4.44140625" style="1522" customWidth="1"/>
    <col min="3850" max="4096" width="8.88671875" style="1522"/>
    <col min="4097" max="4097" width="6" style="1522" customWidth="1"/>
    <col min="4098" max="4098" width="33.5546875" style="1522" customWidth="1"/>
    <col min="4099" max="4099" width="4.44140625" style="1522" customWidth="1"/>
    <col min="4100" max="4100" width="5.109375" style="1522" customWidth="1"/>
    <col min="4101" max="4103" width="8" style="1522" customWidth="1"/>
    <col min="4104" max="4104" width="9" style="1522" customWidth="1"/>
    <col min="4105" max="4105" width="4.44140625" style="1522" customWidth="1"/>
    <col min="4106" max="4352" width="8.88671875" style="1522"/>
    <col min="4353" max="4353" width="6" style="1522" customWidth="1"/>
    <col min="4354" max="4354" width="33.5546875" style="1522" customWidth="1"/>
    <col min="4355" max="4355" width="4.44140625" style="1522" customWidth="1"/>
    <col min="4356" max="4356" width="5.109375" style="1522" customWidth="1"/>
    <col min="4357" max="4359" width="8" style="1522" customWidth="1"/>
    <col min="4360" max="4360" width="9" style="1522" customWidth="1"/>
    <col min="4361" max="4361" width="4.44140625" style="1522" customWidth="1"/>
    <col min="4362" max="4608" width="8.88671875" style="1522"/>
    <col min="4609" max="4609" width="6" style="1522" customWidth="1"/>
    <col min="4610" max="4610" width="33.5546875" style="1522" customWidth="1"/>
    <col min="4611" max="4611" width="4.44140625" style="1522" customWidth="1"/>
    <col min="4612" max="4612" width="5.109375" style="1522" customWidth="1"/>
    <col min="4613" max="4615" width="8" style="1522" customWidth="1"/>
    <col min="4616" max="4616" width="9" style="1522" customWidth="1"/>
    <col min="4617" max="4617" width="4.44140625" style="1522" customWidth="1"/>
    <col min="4618" max="4864" width="8.88671875" style="1522"/>
    <col min="4865" max="4865" width="6" style="1522" customWidth="1"/>
    <col min="4866" max="4866" width="33.5546875" style="1522" customWidth="1"/>
    <col min="4867" max="4867" width="4.44140625" style="1522" customWidth="1"/>
    <col min="4868" max="4868" width="5.109375" style="1522" customWidth="1"/>
    <col min="4869" max="4871" width="8" style="1522" customWidth="1"/>
    <col min="4872" max="4872" width="9" style="1522" customWidth="1"/>
    <col min="4873" max="4873" width="4.44140625" style="1522" customWidth="1"/>
    <col min="4874" max="5120" width="8.88671875" style="1522"/>
    <col min="5121" max="5121" width="6" style="1522" customWidth="1"/>
    <col min="5122" max="5122" width="33.5546875" style="1522" customWidth="1"/>
    <col min="5123" max="5123" width="4.44140625" style="1522" customWidth="1"/>
    <col min="5124" max="5124" width="5.109375" style="1522" customWidth="1"/>
    <col min="5125" max="5127" width="8" style="1522" customWidth="1"/>
    <col min="5128" max="5128" width="9" style="1522" customWidth="1"/>
    <col min="5129" max="5129" width="4.44140625" style="1522" customWidth="1"/>
    <col min="5130" max="5376" width="8.88671875" style="1522"/>
    <col min="5377" max="5377" width="6" style="1522" customWidth="1"/>
    <col min="5378" max="5378" width="33.5546875" style="1522" customWidth="1"/>
    <col min="5379" max="5379" width="4.44140625" style="1522" customWidth="1"/>
    <col min="5380" max="5380" width="5.109375" style="1522" customWidth="1"/>
    <col min="5381" max="5383" width="8" style="1522" customWidth="1"/>
    <col min="5384" max="5384" width="9" style="1522" customWidth="1"/>
    <col min="5385" max="5385" width="4.44140625" style="1522" customWidth="1"/>
    <col min="5386" max="5632" width="8.88671875" style="1522"/>
    <col min="5633" max="5633" width="6" style="1522" customWidth="1"/>
    <col min="5634" max="5634" width="33.5546875" style="1522" customWidth="1"/>
    <col min="5635" max="5635" width="4.44140625" style="1522" customWidth="1"/>
    <col min="5636" max="5636" width="5.109375" style="1522" customWidth="1"/>
    <col min="5637" max="5639" width="8" style="1522" customWidth="1"/>
    <col min="5640" max="5640" width="9" style="1522" customWidth="1"/>
    <col min="5641" max="5641" width="4.44140625" style="1522" customWidth="1"/>
    <col min="5642" max="5888" width="8.88671875" style="1522"/>
    <col min="5889" max="5889" width="6" style="1522" customWidth="1"/>
    <col min="5890" max="5890" width="33.5546875" style="1522" customWidth="1"/>
    <col min="5891" max="5891" width="4.44140625" style="1522" customWidth="1"/>
    <col min="5892" max="5892" width="5.109375" style="1522" customWidth="1"/>
    <col min="5893" max="5895" width="8" style="1522" customWidth="1"/>
    <col min="5896" max="5896" width="9" style="1522" customWidth="1"/>
    <col min="5897" max="5897" width="4.44140625" style="1522" customWidth="1"/>
    <col min="5898" max="6144" width="8.88671875" style="1522"/>
    <col min="6145" max="6145" width="6" style="1522" customWidth="1"/>
    <col min="6146" max="6146" width="33.5546875" style="1522" customWidth="1"/>
    <col min="6147" max="6147" width="4.44140625" style="1522" customWidth="1"/>
    <col min="6148" max="6148" width="5.109375" style="1522" customWidth="1"/>
    <col min="6149" max="6151" width="8" style="1522" customWidth="1"/>
    <col min="6152" max="6152" width="9" style="1522" customWidth="1"/>
    <col min="6153" max="6153" width="4.44140625" style="1522" customWidth="1"/>
    <col min="6154" max="6400" width="8.88671875" style="1522"/>
    <col min="6401" max="6401" width="6" style="1522" customWidth="1"/>
    <col min="6402" max="6402" width="33.5546875" style="1522" customWidth="1"/>
    <col min="6403" max="6403" width="4.44140625" style="1522" customWidth="1"/>
    <col min="6404" max="6404" width="5.109375" style="1522" customWidth="1"/>
    <col min="6405" max="6407" width="8" style="1522" customWidth="1"/>
    <col min="6408" max="6408" width="9" style="1522" customWidth="1"/>
    <col min="6409" max="6409" width="4.44140625" style="1522" customWidth="1"/>
    <col min="6410" max="6656" width="8.88671875" style="1522"/>
    <col min="6657" max="6657" width="6" style="1522" customWidth="1"/>
    <col min="6658" max="6658" width="33.5546875" style="1522" customWidth="1"/>
    <col min="6659" max="6659" width="4.44140625" style="1522" customWidth="1"/>
    <col min="6660" max="6660" width="5.109375" style="1522" customWidth="1"/>
    <col min="6661" max="6663" width="8" style="1522" customWidth="1"/>
    <col min="6664" max="6664" width="9" style="1522" customWidth="1"/>
    <col min="6665" max="6665" width="4.44140625" style="1522" customWidth="1"/>
    <col min="6666" max="6912" width="8.88671875" style="1522"/>
    <col min="6913" max="6913" width="6" style="1522" customWidth="1"/>
    <col min="6914" max="6914" width="33.5546875" style="1522" customWidth="1"/>
    <col min="6915" max="6915" width="4.44140625" style="1522" customWidth="1"/>
    <col min="6916" max="6916" width="5.109375" style="1522" customWidth="1"/>
    <col min="6917" max="6919" width="8" style="1522" customWidth="1"/>
    <col min="6920" max="6920" width="9" style="1522" customWidth="1"/>
    <col min="6921" max="6921" width="4.44140625" style="1522" customWidth="1"/>
    <col min="6922" max="7168" width="8.88671875" style="1522"/>
    <col min="7169" max="7169" width="6" style="1522" customWidth="1"/>
    <col min="7170" max="7170" width="33.5546875" style="1522" customWidth="1"/>
    <col min="7171" max="7171" width="4.44140625" style="1522" customWidth="1"/>
    <col min="7172" max="7172" width="5.109375" style="1522" customWidth="1"/>
    <col min="7173" max="7175" width="8" style="1522" customWidth="1"/>
    <col min="7176" max="7176" width="9" style="1522" customWidth="1"/>
    <col min="7177" max="7177" width="4.44140625" style="1522" customWidth="1"/>
    <col min="7178" max="7424" width="8.88671875" style="1522"/>
    <col min="7425" max="7425" width="6" style="1522" customWidth="1"/>
    <col min="7426" max="7426" width="33.5546875" style="1522" customWidth="1"/>
    <col min="7427" max="7427" width="4.44140625" style="1522" customWidth="1"/>
    <col min="7428" max="7428" width="5.109375" style="1522" customWidth="1"/>
    <col min="7429" max="7431" width="8" style="1522" customWidth="1"/>
    <col min="7432" max="7432" width="9" style="1522" customWidth="1"/>
    <col min="7433" max="7433" width="4.44140625" style="1522" customWidth="1"/>
    <col min="7434" max="7680" width="8.88671875" style="1522"/>
    <col min="7681" max="7681" width="6" style="1522" customWidth="1"/>
    <col min="7682" max="7682" width="33.5546875" style="1522" customWidth="1"/>
    <col min="7683" max="7683" width="4.44140625" style="1522" customWidth="1"/>
    <col min="7684" max="7684" width="5.109375" style="1522" customWidth="1"/>
    <col min="7685" max="7687" width="8" style="1522" customWidth="1"/>
    <col min="7688" max="7688" width="9" style="1522" customWidth="1"/>
    <col min="7689" max="7689" width="4.44140625" style="1522" customWidth="1"/>
    <col min="7690" max="7936" width="8.88671875" style="1522"/>
    <col min="7937" max="7937" width="6" style="1522" customWidth="1"/>
    <col min="7938" max="7938" width="33.5546875" style="1522" customWidth="1"/>
    <col min="7939" max="7939" width="4.44140625" style="1522" customWidth="1"/>
    <col min="7940" max="7940" width="5.109375" style="1522" customWidth="1"/>
    <col min="7941" max="7943" width="8" style="1522" customWidth="1"/>
    <col min="7944" max="7944" width="9" style="1522" customWidth="1"/>
    <col min="7945" max="7945" width="4.44140625" style="1522" customWidth="1"/>
    <col min="7946" max="8192" width="8.88671875" style="1522"/>
    <col min="8193" max="8193" width="6" style="1522" customWidth="1"/>
    <col min="8194" max="8194" width="33.5546875" style="1522" customWidth="1"/>
    <col min="8195" max="8195" width="4.44140625" style="1522" customWidth="1"/>
    <col min="8196" max="8196" width="5.109375" style="1522" customWidth="1"/>
    <col min="8197" max="8199" width="8" style="1522" customWidth="1"/>
    <col min="8200" max="8200" width="9" style="1522" customWidth="1"/>
    <col min="8201" max="8201" width="4.44140625" style="1522" customWidth="1"/>
    <col min="8202" max="8448" width="8.88671875" style="1522"/>
    <col min="8449" max="8449" width="6" style="1522" customWidth="1"/>
    <col min="8450" max="8450" width="33.5546875" style="1522" customWidth="1"/>
    <col min="8451" max="8451" width="4.44140625" style="1522" customWidth="1"/>
    <col min="8452" max="8452" width="5.109375" style="1522" customWidth="1"/>
    <col min="8453" max="8455" width="8" style="1522" customWidth="1"/>
    <col min="8456" max="8456" width="9" style="1522" customWidth="1"/>
    <col min="8457" max="8457" width="4.44140625" style="1522" customWidth="1"/>
    <col min="8458" max="8704" width="8.88671875" style="1522"/>
    <col min="8705" max="8705" width="6" style="1522" customWidth="1"/>
    <col min="8706" max="8706" width="33.5546875" style="1522" customWidth="1"/>
    <col min="8707" max="8707" width="4.44140625" style="1522" customWidth="1"/>
    <col min="8708" max="8708" width="5.109375" style="1522" customWidth="1"/>
    <col min="8709" max="8711" width="8" style="1522" customWidth="1"/>
    <col min="8712" max="8712" width="9" style="1522" customWidth="1"/>
    <col min="8713" max="8713" width="4.44140625" style="1522" customWidth="1"/>
    <col min="8714" max="8960" width="8.88671875" style="1522"/>
    <col min="8961" max="8961" width="6" style="1522" customWidth="1"/>
    <col min="8962" max="8962" width="33.5546875" style="1522" customWidth="1"/>
    <col min="8963" max="8963" width="4.44140625" style="1522" customWidth="1"/>
    <col min="8964" max="8964" width="5.109375" style="1522" customWidth="1"/>
    <col min="8965" max="8967" width="8" style="1522" customWidth="1"/>
    <col min="8968" max="8968" width="9" style="1522" customWidth="1"/>
    <col min="8969" max="8969" width="4.44140625" style="1522" customWidth="1"/>
    <col min="8970" max="9216" width="8.88671875" style="1522"/>
    <col min="9217" max="9217" width="6" style="1522" customWidth="1"/>
    <col min="9218" max="9218" width="33.5546875" style="1522" customWidth="1"/>
    <col min="9219" max="9219" width="4.44140625" style="1522" customWidth="1"/>
    <col min="9220" max="9220" width="5.109375" style="1522" customWidth="1"/>
    <col min="9221" max="9223" width="8" style="1522" customWidth="1"/>
    <col min="9224" max="9224" width="9" style="1522" customWidth="1"/>
    <col min="9225" max="9225" width="4.44140625" style="1522" customWidth="1"/>
    <col min="9226" max="9472" width="8.88671875" style="1522"/>
    <col min="9473" max="9473" width="6" style="1522" customWidth="1"/>
    <col min="9474" max="9474" width="33.5546875" style="1522" customWidth="1"/>
    <col min="9475" max="9475" width="4.44140625" style="1522" customWidth="1"/>
    <col min="9476" max="9476" width="5.109375" style="1522" customWidth="1"/>
    <col min="9477" max="9479" width="8" style="1522" customWidth="1"/>
    <col min="9480" max="9480" width="9" style="1522" customWidth="1"/>
    <col min="9481" max="9481" width="4.44140625" style="1522" customWidth="1"/>
    <col min="9482" max="9728" width="8.88671875" style="1522"/>
    <col min="9729" max="9729" width="6" style="1522" customWidth="1"/>
    <col min="9730" max="9730" width="33.5546875" style="1522" customWidth="1"/>
    <col min="9731" max="9731" width="4.44140625" style="1522" customWidth="1"/>
    <col min="9732" max="9732" width="5.109375" style="1522" customWidth="1"/>
    <col min="9733" max="9735" width="8" style="1522" customWidth="1"/>
    <col min="9736" max="9736" width="9" style="1522" customWidth="1"/>
    <col min="9737" max="9737" width="4.44140625" style="1522" customWidth="1"/>
    <col min="9738" max="9984" width="8.88671875" style="1522"/>
    <col min="9985" max="9985" width="6" style="1522" customWidth="1"/>
    <col min="9986" max="9986" width="33.5546875" style="1522" customWidth="1"/>
    <col min="9987" max="9987" width="4.44140625" style="1522" customWidth="1"/>
    <col min="9988" max="9988" width="5.109375" style="1522" customWidth="1"/>
    <col min="9989" max="9991" width="8" style="1522" customWidth="1"/>
    <col min="9992" max="9992" width="9" style="1522" customWidth="1"/>
    <col min="9993" max="9993" width="4.44140625" style="1522" customWidth="1"/>
    <col min="9994" max="10240" width="8.88671875" style="1522"/>
    <col min="10241" max="10241" width="6" style="1522" customWidth="1"/>
    <col min="10242" max="10242" width="33.5546875" style="1522" customWidth="1"/>
    <col min="10243" max="10243" width="4.44140625" style="1522" customWidth="1"/>
    <col min="10244" max="10244" width="5.109375" style="1522" customWidth="1"/>
    <col min="10245" max="10247" width="8" style="1522" customWidth="1"/>
    <col min="10248" max="10248" width="9" style="1522" customWidth="1"/>
    <col min="10249" max="10249" width="4.44140625" style="1522" customWidth="1"/>
    <col min="10250" max="10496" width="8.88671875" style="1522"/>
    <col min="10497" max="10497" width="6" style="1522" customWidth="1"/>
    <col min="10498" max="10498" width="33.5546875" style="1522" customWidth="1"/>
    <col min="10499" max="10499" width="4.44140625" style="1522" customWidth="1"/>
    <col min="10500" max="10500" width="5.109375" style="1522" customWidth="1"/>
    <col min="10501" max="10503" width="8" style="1522" customWidth="1"/>
    <col min="10504" max="10504" width="9" style="1522" customWidth="1"/>
    <col min="10505" max="10505" width="4.44140625" style="1522" customWidth="1"/>
    <col min="10506" max="10752" width="8.88671875" style="1522"/>
    <col min="10753" max="10753" width="6" style="1522" customWidth="1"/>
    <col min="10754" max="10754" width="33.5546875" style="1522" customWidth="1"/>
    <col min="10755" max="10755" width="4.44140625" style="1522" customWidth="1"/>
    <col min="10756" max="10756" width="5.109375" style="1522" customWidth="1"/>
    <col min="10757" max="10759" width="8" style="1522" customWidth="1"/>
    <col min="10760" max="10760" width="9" style="1522" customWidth="1"/>
    <col min="10761" max="10761" width="4.44140625" style="1522" customWidth="1"/>
    <col min="10762" max="11008" width="8.88671875" style="1522"/>
    <col min="11009" max="11009" width="6" style="1522" customWidth="1"/>
    <col min="11010" max="11010" width="33.5546875" style="1522" customWidth="1"/>
    <col min="11011" max="11011" width="4.44140625" style="1522" customWidth="1"/>
    <col min="11012" max="11012" width="5.109375" style="1522" customWidth="1"/>
    <col min="11013" max="11015" width="8" style="1522" customWidth="1"/>
    <col min="11016" max="11016" width="9" style="1522" customWidth="1"/>
    <col min="11017" max="11017" width="4.44140625" style="1522" customWidth="1"/>
    <col min="11018" max="11264" width="8.88671875" style="1522"/>
    <col min="11265" max="11265" width="6" style="1522" customWidth="1"/>
    <col min="11266" max="11266" width="33.5546875" style="1522" customWidth="1"/>
    <col min="11267" max="11267" width="4.44140625" style="1522" customWidth="1"/>
    <col min="11268" max="11268" width="5.109375" style="1522" customWidth="1"/>
    <col min="11269" max="11271" width="8" style="1522" customWidth="1"/>
    <col min="11272" max="11272" width="9" style="1522" customWidth="1"/>
    <col min="11273" max="11273" width="4.44140625" style="1522" customWidth="1"/>
    <col min="11274" max="11520" width="8.88671875" style="1522"/>
    <col min="11521" max="11521" width="6" style="1522" customWidth="1"/>
    <col min="11522" max="11522" width="33.5546875" style="1522" customWidth="1"/>
    <col min="11523" max="11523" width="4.44140625" style="1522" customWidth="1"/>
    <col min="11524" max="11524" width="5.109375" style="1522" customWidth="1"/>
    <col min="11525" max="11527" width="8" style="1522" customWidth="1"/>
    <col min="11528" max="11528" width="9" style="1522" customWidth="1"/>
    <col min="11529" max="11529" width="4.44140625" style="1522" customWidth="1"/>
    <col min="11530" max="11776" width="8.88671875" style="1522"/>
    <col min="11777" max="11777" width="6" style="1522" customWidth="1"/>
    <col min="11778" max="11778" width="33.5546875" style="1522" customWidth="1"/>
    <col min="11779" max="11779" width="4.44140625" style="1522" customWidth="1"/>
    <col min="11780" max="11780" width="5.109375" style="1522" customWidth="1"/>
    <col min="11781" max="11783" width="8" style="1522" customWidth="1"/>
    <col min="11784" max="11784" width="9" style="1522" customWidth="1"/>
    <col min="11785" max="11785" width="4.44140625" style="1522" customWidth="1"/>
    <col min="11786" max="12032" width="8.88671875" style="1522"/>
    <col min="12033" max="12033" width="6" style="1522" customWidth="1"/>
    <col min="12034" max="12034" width="33.5546875" style="1522" customWidth="1"/>
    <col min="12035" max="12035" width="4.44140625" style="1522" customWidth="1"/>
    <col min="12036" max="12036" width="5.109375" style="1522" customWidth="1"/>
    <col min="12037" max="12039" width="8" style="1522" customWidth="1"/>
    <col min="12040" max="12040" width="9" style="1522" customWidth="1"/>
    <col min="12041" max="12041" width="4.44140625" style="1522" customWidth="1"/>
    <col min="12042" max="12288" width="8.88671875" style="1522"/>
    <col min="12289" max="12289" width="6" style="1522" customWidth="1"/>
    <col min="12290" max="12290" width="33.5546875" style="1522" customWidth="1"/>
    <col min="12291" max="12291" width="4.44140625" style="1522" customWidth="1"/>
    <col min="12292" max="12292" width="5.109375" style="1522" customWidth="1"/>
    <col min="12293" max="12295" width="8" style="1522" customWidth="1"/>
    <col min="12296" max="12296" width="9" style="1522" customWidth="1"/>
    <col min="12297" max="12297" width="4.44140625" style="1522" customWidth="1"/>
    <col min="12298" max="12544" width="8.88671875" style="1522"/>
    <col min="12545" max="12545" width="6" style="1522" customWidth="1"/>
    <col min="12546" max="12546" width="33.5546875" style="1522" customWidth="1"/>
    <col min="12547" max="12547" width="4.44140625" style="1522" customWidth="1"/>
    <col min="12548" max="12548" width="5.109375" style="1522" customWidth="1"/>
    <col min="12549" max="12551" width="8" style="1522" customWidth="1"/>
    <col min="12552" max="12552" width="9" style="1522" customWidth="1"/>
    <col min="12553" max="12553" width="4.44140625" style="1522" customWidth="1"/>
    <col min="12554" max="12800" width="8.88671875" style="1522"/>
    <col min="12801" max="12801" width="6" style="1522" customWidth="1"/>
    <col min="12802" max="12802" width="33.5546875" style="1522" customWidth="1"/>
    <col min="12803" max="12803" width="4.44140625" style="1522" customWidth="1"/>
    <col min="12804" max="12804" width="5.109375" style="1522" customWidth="1"/>
    <col min="12805" max="12807" width="8" style="1522" customWidth="1"/>
    <col min="12808" max="12808" width="9" style="1522" customWidth="1"/>
    <col min="12809" max="12809" width="4.44140625" style="1522" customWidth="1"/>
    <col min="12810" max="13056" width="8.88671875" style="1522"/>
    <col min="13057" max="13057" width="6" style="1522" customWidth="1"/>
    <col min="13058" max="13058" width="33.5546875" style="1522" customWidth="1"/>
    <col min="13059" max="13059" width="4.44140625" style="1522" customWidth="1"/>
    <col min="13060" max="13060" width="5.109375" style="1522" customWidth="1"/>
    <col min="13061" max="13063" width="8" style="1522" customWidth="1"/>
    <col min="13064" max="13064" width="9" style="1522" customWidth="1"/>
    <col min="13065" max="13065" width="4.44140625" style="1522" customWidth="1"/>
    <col min="13066" max="13312" width="8.88671875" style="1522"/>
    <col min="13313" max="13313" width="6" style="1522" customWidth="1"/>
    <col min="13314" max="13314" width="33.5546875" style="1522" customWidth="1"/>
    <col min="13315" max="13315" width="4.44140625" style="1522" customWidth="1"/>
    <col min="13316" max="13316" width="5.109375" style="1522" customWidth="1"/>
    <col min="13317" max="13319" width="8" style="1522" customWidth="1"/>
    <col min="13320" max="13320" width="9" style="1522" customWidth="1"/>
    <col min="13321" max="13321" width="4.44140625" style="1522" customWidth="1"/>
    <col min="13322" max="13568" width="8.88671875" style="1522"/>
    <col min="13569" max="13569" width="6" style="1522" customWidth="1"/>
    <col min="13570" max="13570" width="33.5546875" style="1522" customWidth="1"/>
    <col min="13571" max="13571" width="4.44140625" style="1522" customWidth="1"/>
    <col min="13572" max="13572" width="5.109375" style="1522" customWidth="1"/>
    <col min="13573" max="13575" width="8" style="1522" customWidth="1"/>
    <col min="13576" max="13576" width="9" style="1522" customWidth="1"/>
    <col min="13577" max="13577" width="4.44140625" style="1522" customWidth="1"/>
    <col min="13578" max="13824" width="8.88671875" style="1522"/>
    <col min="13825" max="13825" width="6" style="1522" customWidth="1"/>
    <col min="13826" max="13826" width="33.5546875" style="1522" customWidth="1"/>
    <col min="13827" max="13827" width="4.44140625" style="1522" customWidth="1"/>
    <col min="13828" max="13828" width="5.109375" style="1522" customWidth="1"/>
    <col min="13829" max="13831" width="8" style="1522" customWidth="1"/>
    <col min="13832" max="13832" width="9" style="1522" customWidth="1"/>
    <col min="13833" max="13833" width="4.44140625" style="1522" customWidth="1"/>
    <col min="13834" max="14080" width="8.88671875" style="1522"/>
    <col min="14081" max="14081" width="6" style="1522" customWidth="1"/>
    <col min="14082" max="14082" width="33.5546875" style="1522" customWidth="1"/>
    <col min="14083" max="14083" width="4.44140625" style="1522" customWidth="1"/>
    <col min="14084" max="14084" width="5.109375" style="1522" customWidth="1"/>
    <col min="14085" max="14087" width="8" style="1522" customWidth="1"/>
    <col min="14088" max="14088" width="9" style="1522" customWidth="1"/>
    <col min="14089" max="14089" width="4.44140625" style="1522" customWidth="1"/>
    <col min="14090" max="14336" width="8.88671875" style="1522"/>
    <col min="14337" max="14337" width="6" style="1522" customWidth="1"/>
    <col min="14338" max="14338" width="33.5546875" style="1522" customWidth="1"/>
    <col min="14339" max="14339" width="4.44140625" style="1522" customWidth="1"/>
    <col min="14340" max="14340" width="5.109375" style="1522" customWidth="1"/>
    <col min="14341" max="14343" width="8" style="1522" customWidth="1"/>
    <col min="14344" max="14344" width="9" style="1522" customWidth="1"/>
    <col min="14345" max="14345" width="4.44140625" style="1522" customWidth="1"/>
    <col min="14346" max="14592" width="8.88671875" style="1522"/>
    <col min="14593" max="14593" width="6" style="1522" customWidth="1"/>
    <col min="14594" max="14594" width="33.5546875" style="1522" customWidth="1"/>
    <col min="14595" max="14595" width="4.44140625" style="1522" customWidth="1"/>
    <col min="14596" max="14596" width="5.109375" style="1522" customWidth="1"/>
    <col min="14597" max="14599" width="8" style="1522" customWidth="1"/>
    <col min="14600" max="14600" width="9" style="1522" customWidth="1"/>
    <col min="14601" max="14601" width="4.44140625" style="1522" customWidth="1"/>
    <col min="14602" max="14848" width="8.88671875" style="1522"/>
    <col min="14849" max="14849" width="6" style="1522" customWidth="1"/>
    <col min="14850" max="14850" width="33.5546875" style="1522" customWidth="1"/>
    <col min="14851" max="14851" width="4.44140625" style="1522" customWidth="1"/>
    <col min="14852" max="14852" width="5.109375" style="1522" customWidth="1"/>
    <col min="14853" max="14855" width="8" style="1522" customWidth="1"/>
    <col min="14856" max="14856" width="9" style="1522" customWidth="1"/>
    <col min="14857" max="14857" width="4.44140625" style="1522" customWidth="1"/>
    <col min="14858" max="15104" width="8.88671875" style="1522"/>
    <col min="15105" max="15105" width="6" style="1522" customWidth="1"/>
    <col min="15106" max="15106" width="33.5546875" style="1522" customWidth="1"/>
    <col min="15107" max="15107" width="4.44140625" style="1522" customWidth="1"/>
    <col min="15108" max="15108" width="5.109375" style="1522" customWidth="1"/>
    <col min="15109" max="15111" width="8" style="1522" customWidth="1"/>
    <col min="15112" max="15112" width="9" style="1522" customWidth="1"/>
    <col min="15113" max="15113" width="4.44140625" style="1522" customWidth="1"/>
    <col min="15114" max="15360" width="8.88671875" style="1522"/>
    <col min="15361" max="15361" width="6" style="1522" customWidth="1"/>
    <col min="15362" max="15362" width="33.5546875" style="1522" customWidth="1"/>
    <col min="15363" max="15363" width="4.44140625" style="1522" customWidth="1"/>
    <col min="15364" max="15364" width="5.109375" style="1522" customWidth="1"/>
    <col min="15365" max="15367" width="8" style="1522" customWidth="1"/>
    <col min="15368" max="15368" width="9" style="1522" customWidth="1"/>
    <col min="15369" max="15369" width="4.44140625" style="1522" customWidth="1"/>
    <col min="15370" max="15616" width="8.88671875" style="1522"/>
    <col min="15617" max="15617" width="6" style="1522" customWidth="1"/>
    <col min="15618" max="15618" width="33.5546875" style="1522" customWidth="1"/>
    <col min="15619" max="15619" width="4.44140625" style="1522" customWidth="1"/>
    <col min="15620" max="15620" width="5.109375" style="1522" customWidth="1"/>
    <col min="15621" max="15623" width="8" style="1522" customWidth="1"/>
    <col min="15624" max="15624" width="9" style="1522" customWidth="1"/>
    <col min="15625" max="15625" width="4.44140625" style="1522" customWidth="1"/>
    <col min="15626" max="15872" width="8.88671875" style="1522"/>
    <col min="15873" max="15873" width="6" style="1522" customWidth="1"/>
    <col min="15874" max="15874" width="33.5546875" style="1522" customWidth="1"/>
    <col min="15875" max="15875" width="4.44140625" style="1522" customWidth="1"/>
    <col min="15876" max="15876" width="5.109375" style="1522" customWidth="1"/>
    <col min="15877" max="15879" width="8" style="1522" customWidth="1"/>
    <col min="15880" max="15880" width="9" style="1522" customWidth="1"/>
    <col min="15881" max="15881" width="4.44140625" style="1522" customWidth="1"/>
    <col min="15882" max="16128" width="8.88671875" style="1522"/>
    <col min="16129" max="16129" width="6" style="1522" customWidth="1"/>
    <col min="16130" max="16130" width="33.5546875" style="1522" customWidth="1"/>
    <col min="16131" max="16131" width="4.44140625" style="1522" customWidth="1"/>
    <col min="16132" max="16132" width="5.109375" style="1522" customWidth="1"/>
    <col min="16133" max="16135" width="8" style="1522" customWidth="1"/>
    <col min="16136" max="16136" width="9" style="1522" customWidth="1"/>
    <col min="16137" max="16137" width="4.44140625" style="1522" customWidth="1"/>
    <col min="16138" max="16384" width="8.88671875" style="1522"/>
  </cols>
  <sheetData>
    <row r="1" spans="1:12" s="1484" customFormat="1" ht="73.5" customHeight="1">
      <c r="A1" s="1483" t="str">
        <f>'water supply'!A1:I1</f>
        <v>Name of work: Construction of DSP camp office cum Residence with development works at Cuddalore New town in Cuddalore District</v>
      </c>
      <c r="B1" s="1483"/>
      <c r="C1" s="1483"/>
      <c r="D1" s="1483"/>
      <c r="E1" s="1483"/>
      <c r="F1" s="1483"/>
      <c r="G1" s="1483"/>
      <c r="H1" s="1483"/>
      <c r="I1" s="1483"/>
    </row>
    <row r="2" spans="1:12" s="1484" customFormat="1" ht="27.75" customHeight="1">
      <c r="A2" s="1485" t="s">
        <v>7161</v>
      </c>
      <c r="B2" s="1485"/>
      <c r="C2" s="1485"/>
      <c r="D2" s="1485"/>
      <c r="E2" s="1485"/>
      <c r="F2" s="1485"/>
      <c r="G2" s="1485"/>
      <c r="H2" s="1485"/>
      <c r="I2" s="1485"/>
    </row>
    <row r="3" spans="1:12" s="1484" customFormat="1" ht="27.75" customHeight="1">
      <c r="A3" s="1486" t="s">
        <v>7162</v>
      </c>
      <c r="B3" s="1486"/>
      <c r="C3" s="1486"/>
      <c r="D3" s="1486"/>
      <c r="E3" s="1486"/>
      <c r="F3" s="1486"/>
      <c r="G3" s="1486"/>
      <c r="H3" s="1486"/>
      <c r="I3" s="1486"/>
    </row>
    <row r="4" spans="1:12" s="1484" customFormat="1" ht="31.5" customHeight="1">
      <c r="A4" s="1438" t="s">
        <v>7085</v>
      </c>
      <c r="B4" s="1439" t="s">
        <v>1769</v>
      </c>
      <c r="C4" s="1487" t="s">
        <v>1427</v>
      </c>
      <c r="D4" s="1488"/>
      <c r="E4" s="1442" t="s">
        <v>5797</v>
      </c>
      <c r="F4" s="1439" t="s">
        <v>1548</v>
      </c>
      <c r="G4" s="1442" t="s">
        <v>5798</v>
      </c>
      <c r="H4" s="1489" t="s">
        <v>1034</v>
      </c>
      <c r="I4" s="1490"/>
    </row>
    <row r="5" spans="1:12" s="1484" customFormat="1" ht="56.25" customHeight="1">
      <c r="A5" s="1491">
        <v>1.5</v>
      </c>
      <c r="B5" s="1492" t="s">
        <v>7163</v>
      </c>
      <c r="C5" s="1492"/>
      <c r="D5" s="1492"/>
      <c r="E5" s="1493"/>
      <c r="F5" s="1493"/>
      <c r="G5" s="1493"/>
      <c r="H5" s="1493"/>
      <c r="I5" s="1490"/>
    </row>
    <row r="6" spans="1:12" s="1484" customFormat="1" ht="27" customHeight="1">
      <c r="A6" s="1494"/>
      <c r="B6" s="1495" t="s">
        <v>7164</v>
      </c>
      <c r="C6" s="1494"/>
      <c r="D6" s="1494"/>
      <c r="E6" s="1493"/>
      <c r="F6" s="1493"/>
      <c r="G6" s="1493"/>
      <c r="H6" s="1493"/>
      <c r="I6" s="1490"/>
    </row>
    <row r="7" spans="1:12" s="1484" customFormat="1" ht="27" customHeight="1">
      <c r="A7" s="1494"/>
      <c r="B7" s="1496" t="s">
        <v>7165</v>
      </c>
      <c r="C7" s="1494">
        <v>1</v>
      </c>
      <c r="D7" s="1494">
        <v>1</v>
      </c>
      <c r="E7" s="1497">
        <f>J7</f>
        <v>15.54</v>
      </c>
      <c r="F7" s="1497"/>
      <c r="G7" s="1498">
        <v>2</v>
      </c>
      <c r="H7" s="1499">
        <f>PRODUCT(C7:G7)</f>
        <v>31.08</v>
      </c>
      <c r="I7" s="1490" t="s">
        <v>1192</v>
      </c>
      <c r="J7" s="1500">
        <f>(3.14*4.45*4.45)/4</f>
        <v>15.54</v>
      </c>
      <c r="L7" s="1484">
        <f>1.7+0.23+0.2</f>
        <v>2.13</v>
      </c>
    </row>
    <row r="8" spans="1:12" s="1484" customFormat="1" ht="56.25" customHeight="1">
      <c r="A8" s="1501">
        <v>2.1</v>
      </c>
      <c r="B8" s="1502" t="s">
        <v>7166</v>
      </c>
      <c r="C8" s="1502"/>
      <c r="D8" s="1502"/>
      <c r="E8" s="1493"/>
      <c r="F8" s="1493"/>
      <c r="G8" s="1493"/>
      <c r="H8" s="1493"/>
      <c r="I8" s="1490"/>
      <c r="J8" s="1500"/>
    </row>
    <row r="9" spans="1:12" s="1484" customFormat="1" ht="26.25" customHeight="1">
      <c r="A9" s="1501"/>
      <c r="B9" s="1503" t="s">
        <v>7167</v>
      </c>
      <c r="C9" s="1494">
        <v>1</v>
      </c>
      <c r="D9" s="1494">
        <v>1</v>
      </c>
      <c r="E9" s="1497">
        <f>E7</f>
        <v>15.54</v>
      </c>
      <c r="F9" s="1497"/>
      <c r="G9" s="1498">
        <v>0.15</v>
      </c>
      <c r="H9" s="1499">
        <f>PRODUCT(C9:G9)</f>
        <v>2.33</v>
      </c>
      <c r="I9" s="1490" t="s">
        <v>1192</v>
      </c>
      <c r="J9" s="1500"/>
    </row>
    <row r="10" spans="1:12" s="1484" customFormat="1" ht="27" customHeight="1">
      <c r="A10" s="1501">
        <v>3.1</v>
      </c>
      <c r="B10" s="1502" t="s">
        <v>7168</v>
      </c>
      <c r="C10" s="1502"/>
      <c r="D10" s="1502"/>
      <c r="E10" s="1493"/>
      <c r="F10" s="1493"/>
      <c r="G10" s="1493"/>
      <c r="H10" s="1493"/>
      <c r="I10" s="1490"/>
      <c r="J10" s="1500"/>
    </row>
    <row r="11" spans="1:12" s="1484" customFormat="1" ht="25.5" customHeight="1">
      <c r="A11" s="1501"/>
      <c r="B11" s="1503" t="s">
        <v>7167</v>
      </c>
      <c r="C11" s="1494">
        <v>1</v>
      </c>
      <c r="D11" s="1494">
        <v>1</v>
      </c>
      <c r="E11" s="1497">
        <f>E9</f>
        <v>15.54</v>
      </c>
      <c r="F11" s="1497"/>
      <c r="G11" s="1498">
        <v>0.15</v>
      </c>
      <c r="H11" s="1499">
        <f>PRODUCT(C11:G11)</f>
        <v>2.33</v>
      </c>
      <c r="I11" s="1490" t="s">
        <v>1192</v>
      </c>
      <c r="J11" s="1500"/>
    </row>
    <row r="12" spans="1:12" s="1484" customFormat="1" ht="25.5" customHeight="1">
      <c r="A12" s="1501">
        <v>33</v>
      </c>
      <c r="B12" s="1503" t="s">
        <v>7169</v>
      </c>
      <c r="C12" s="1494"/>
      <c r="D12" s="1494"/>
      <c r="E12" s="1504"/>
      <c r="F12" s="1504"/>
      <c r="G12" s="1498"/>
      <c r="H12" s="1499"/>
      <c r="I12" s="1490"/>
      <c r="J12" s="1500"/>
    </row>
    <row r="13" spans="1:12" s="1484" customFormat="1" ht="25.5" customHeight="1">
      <c r="A13" s="1501"/>
      <c r="B13" s="1503" t="s">
        <v>7170</v>
      </c>
      <c r="C13" s="1494">
        <v>1</v>
      </c>
      <c r="D13" s="1494">
        <v>1</v>
      </c>
      <c r="E13" s="1504">
        <v>3.14</v>
      </c>
      <c r="F13" s="1504">
        <v>3.35</v>
      </c>
      <c r="G13" s="1498">
        <v>2</v>
      </c>
      <c r="H13" s="1498">
        <f t="shared" ref="H13" si="0">PRODUCT(C13:G13)</f>
        <v>21.04</v>
      </c>
      <c r="I13" s="1490"/>
      <c r="J13" s="1500">
        <f>(3.14*3.35*3.35)/4</f>
        <v>8.81</v>
      </c>
    </row>
    <row r="14" spans="1:12" s="1484" customFormat="1" ht="25.5" customHeight="1">
      <c r="A14" s="1501"/>
      <c r="B14" s="1503"/>
      <c r="C14" s="1494"/>
      <c r="D14" s="1494"/>
      <c r="E14" s="1504"/>
      <c r="F14" s="1504"/>
      <c r="G14" s="1498" t="s">
        <v>2235</v>
      </c>
      <c r="H14" s="1499">
        <f>SUM(H13:H13)</f>
        <v>21.04</v>
      </c>
      <c r="I14" s="1490" t="s">
        <v>230</v>
      </c>
      <c r="J14" s="1500"/>
    </row>
    <row r="15" spans="1:12" s="1484" customFormat="1" ht="25.5" customHeight="1">
      <c r="A15" s="1501">
        <v>35.1</v>
      </c>
      <c r="B15" s="1505" t="s">
        <v>3683</v>
      </c>
      <c r="C15" s="1494"/>
      <c r="D15" s="1494"/>
      <c r="E15" s="1504"/>
      <c r="F15" s="1504"/>
      <c r="G15" s="1498"/>
      <c r="H15" s="1499"/>
      <c r="I15" s="1490"/>
      <c r="J15" s="1500"/>
    </row>
    <row r="16" spans="1:12" s="1484" customFormat="1" ht="23.25" customHeight="1">
      <c r="A16" s="1494"/>
      <c r="B16" s="1503" t="s">
        <v>7171</v>
      </c>
      <c r="C16" s="1494">
        <v>1</v>
      </c>
      <c r="D16" s="1494">
        <v>1</v>
      </c>
      <c r="E16" s="1493">
        <v>3.14</v>
      </c>
      <c r="F16" s="1498">
        <v>3</v>
      </c>
      <c r="G16" s="1506">
        <v>2</v>
      </c>
      <c r="H16" s="1498">
        <f>PRODUCT(C16:G16)</f>
        <v>18.84</v>
      </c>
      <c r="I16" s="1507"/>
      <c r="J16" s="1500">
        <f>(3.14*4.55*4.55)/4</f>
        <v>16.25</v>
      </c>
    </row>
    <row r="17" spans="1:10" s="1484" customFormat="1" ht="23.25" customHeight="1">
      <c r="A17" s="1494"/>
      <c r="B17" s="1503" t="s">
        <v>3942</v>
      </c>
      <c r="C17" s="1494">
        <v>1</v>
      </c>
      <c r="D17" s="1494">
        <v>1</v>
      </c>
      <c r="E17" s="1498">
        <f>3.14/4</f>
        <v>0.79</v>
      </c>
      <c r="F17" s="1498">
        <v>3</v>
      </c>
      <c r="G17" s="1506">
        <v>3</v>
      </c>
      <c r="H17" s="1498">
        <f>PRODUCT(C17:G17)</f>
        <v>7.11</v>
      </c>
      <c r="I17" s="1507"/>
      <c r="J17" s="1500"/>
    </row>
    <row r="18" spans="1:10" s="1484" customFormat="1" ht="23.25" customHeight="1">
      <c r="A18" s="1501"/>
      <c r="B18" s="1503"/>
      <c r="C18" s="1494"/>
      <c r="D18" s="1494"/>
      <c r="E18" s="1504"/>
      <c r="F18" s="1504"/>
      <c r="G18" s="1499" t="s">
        <v>2235</v>
      </c>
      <c r="H18" s="1499">
        <f>SUM(H16:H17)</f>
        <v>25.95</v>
      </c>
      <c r="I18" s="1490" t="s">
        <v>230</v>
      </c>
      <c r="J18" s="1500"/>
    </row>
    <row r="19" spans="1:10" s="1484" customFormat="1" ht="23.25" customHeight="1">
      <c r="A19" s="1501">
        <v>38.6</v>
      </c>
      <c r="B19" s="1503" t="s">
        <v>7172</v>
      </c>
      <c r="C19" s="1494"/>
      <c r="D19" s="1494"/>
      <c r="E19" s="1504"/>
      <c r="F19" s="1504"/>
      <c r="G19" s="1498"/>
      <c r="H19" s="1499"/>
      <c r="I19" s="1490"/>
      <c r="J19" s="1500"/>
    </row>
    <row r="20" spans="1:10" s="1484" customFormat="1" ht="23.25" customHeight="1">
      <c r="A20" s="1501"/>
      <c r="B20" s="1503" t="s">
        <v>7150</v>
      </c>
      <c r="C20" s="1494">
        <v>1</v>
      </c>
      <c r="D20" s="1494">
        <v>1</v>
      </c>
      <c r="E20" s="1504">
        <f>H14</f>
        <v>21.04</v>
      </c>
      <c r="F20" s="1504"/>
      <c r="G20" s="1498"/>
      <c r="H20" s="1498">
        <f t="shared" ref="H20" si="1">PRODUCT(C20:G20)</f>
        <v>21.04</v>
      </c>
      <c r="I20" s="1490"/>
      <c r="J20" s="1500"/>
    </row>
    <row r="21" spans="1:10" s="1484" customFormat="1" ht="23.25" customHeight="1">
      <c r="A21" s="1501"/>
      <c r="B21" s="1503"/>
      <c r="C21" s="1494"/>
      <c r="D21" s="1494"/>
      <c r="E21" s="1504"/>
      <c r="F21" s="1504"/>
      <c r="G21" s="1498" t="s">
        <v>2235</v>
      </c>
      <c r="H21" s="1499">
        <f>SUM(H20:H20)</f>
        <v>21.04</v>
      </c>
      <c r="I21" s="1490" t="s">
        <v>230</v>
      </c>
      <c r="J21" s="1500"/>
    </row>
    <row r="22" spans="1:10" s="1484" customFormat="1" ht="27.75" customHeight="1">
      <c r="A22" s="1508">
        <v>4.0999999999999996</v>
      </c>
      <c r="B22" s="1495" t="s">
        <v>7173</v>
      </c>
      <c r="C22" s="1494"/>
      <c r="D22" s="1494"/>
      <c r="E22" s="1493"/>
      <c r="F22" s="1493"/>
      <c r="G22" s="1509"/>
      <c r="H22" s="1498"/>
      <c r="I22" s="1507"/>
      <c r="J22" s="1500"/>
    </row>
    <row r="23" spans="1:10" s="1484" customFormat="1" ht="50.25" customHeight="1">
      <c r="A23" s="1501"/>
      <c r="B23" s="1503" t="s">
        <v>7174</v>
      </c>
      <c r="C23" s="1494">
        <v>1</v>
      </c>
      <c r="D23" s="1494">
        <v>1</v>
      </c>
      <c r="E23" s="1510">
        <f>J23</f>
        <v>6.83</v>
      </c>
      <c r="F23" s="1511"/>
      <c r="G23" s="1509">
        <v>0.23</v>
      </c>
      <c r="H23" s="1498">
        <f>PRODUCT(C23:G23)</f>
        <v>1.57</v>
      </c>
      <c r="I23" s="1507"/>
      <c r="J23" s="1500">
        <f>(3.14*2.95*2.95)/4</f>
        <v>6.83</v>
      </c>
    </row>
    <row r="24" spans="1:10" s="1484" customFormat="1" ht="50.25" customHeight="1">
      <c r="A24" s="1501"/>
      <c r="B24" s="1503" t="s">
        <v>7175</v>
      </c>
      <c r="C24" s="1494">
        <v>1</v>
      </c>
      <c r="D24" s="1494">
        <v>1</v>
      </c>
      <c r="E24" s="1497">
        <v>4.34</v>
      </c>
      <c r="F24" s="1497"/>
      <c r="G24" s="1509">
        <v>0.15</v>
      </c>
      <c r="H24" s="1498">
        <f t="shared" ref="H24:H27" si="2">PRODUCT(C24:G24)</f>
        <v>0.65</v>
      </c>
      <c r="I24" s="1507"/>
      <c r="J24" s="1500">
        <f>(3.14*2.95*2.95)/4</f>
        <v>6.83</v>
      </c>
    </row>
    <row r="25" spans="1:10" s="1484" customFormat="1" ht="24.75" customHeight="1">
      <c r="A25" s="1501"/>
      <c r="B25" s="1503" t="s">
        <v>7176</v>
      </c>
      <c r="C25" s="1494">
        <v>-1</v>
      </c>
      <c r="D25" s="1494">
        <v>1</v>
      </c>
      <c r="E25" s="1498">
        <v>0.6</v>
      </c>
      <c r="F25" s="1498">
        <v>0.6</v>
      </c>
      <c r="G25" s="1509">
        <v>0.15</v>
      </c>
      <c r="H25" s="1498">
        <f t="shared" si="2"/>
        <v>-0.05</v>
      </c>
      <c r="I25" s="1507"/>
      <c r="J25" s="1500"/>
    </row>
    <row r="26" spans="1:10" s="1484" customFormat="1" ht="24.75" customHeight="1">
      <c r="A26" s="1501"/>
      <c r="B26" s="1503" t="s">
        <v>7177</v>
      </c>
      <c r="C26" s="1494">
        <v>1</v>
      </c>
      <c r="D26" s="1504">
        <v>3.14</v>
      </c>
      <c r="E26" s="1498">
        <v>2.35</v>
      </c>
      <c r="F26" s="1493">
        <v>0.17499999999999999</v>
      </c>
      <c r="G26" s="1506">
        <v>2</v>
      </c>
      <c r="H26" s="1498">
        <f t="shared" si="2"/>
        <v>2.58</v>
      </c>
      <c r="I26" s="1507"/>
      <c r="J26" s="1500"/>
    </row>
    <row r="27" spans="1:10" s="1484" customFormat="1" ht="24.75" customHeight="1">
      <c r="A27" s="1501"/>
      <c r="B27" s="1503" t="s">
        <v>7178</v>
      </c>
      <c r="C27" s="1494">
        <v>1</v>
      </c>
      <c r="D27" s="1504">
        <v>3.14</v>
      </c>
      <c r="E27" s="1498">
        <v>2</v>
      </c>
      <c r="F27" s="1493">
        <v>0.23</v>
      </c>
      <c r="G27" s="1509">
        <v>0.23</v>
      </c>
      <c r="H27" s="1498">
        <f t="shared" si="2"/>
        <v>0.33</v>
      </c>
      <c r="I27" s="1507"/>
      <c r="J27" s="1500"/>
    </row>
    <row r="28" spans="1:10" s="1484" customFormat="1" ht="21.75" customHeight="1">
      <c r="A28" s="1501"/>
      <c r="B28" s="1503"/>
      <c r="C28" s="1494"/>
      <c r="D28" s="1494"/>
      <c r="E28" s="1493"/>
      <c r="F28" s="1493"/>
      <c r="G28" s="1512" t="s">
        <v>2235</v>
      </c>
      <c r="H28" s="1499">
        <f>SUM(H23:H27)</f>
        <v>5.08</v>
      </c>
      <c r="I28" s="1490" t="s">
        <v>1192</v>
      </c>
      <c r="J28" s="1500"/>
    </row>
    <row r="29" spans="1:10" s="1484" customFormat="1" ht="61.5" customHeight="1">
      <c r="A29" s="1501">
        <v>53.4</v>
      </c>
      <c r="B29" s="1502" t="s">
        <v>7179</v>
      </c>
      <c r="C29" s="1502"/>
      <c r="D29" s="1502"/>
      <c r="E29" s="1502"/>
      <c r="F29" s="1493"/>
      <c r="G29" s="1509"/>
      <c r="H29" s="1498"/>
      <c r="I29" s="1507"/>
      <c r="J29" s="1500"/>
    </row>
    <row r="30" spans="1:10" s="1484" customFormat="1" ht="22.5" customHeight="1">
      <c r="A30" s="1501"/>
      <c r="B30" s="1503" t="s">
        <v>7180</v>
      </c>
      <c r="C30" s="1494">
        <v>1</v>
      </c>
      <c r="D30" s="1494">
        <v>1</v>
      </c>
      <c r="E30" s="1493"/>
      <c r="F30" s="1493"/>
      <c r="G30" s="1509"/>
      <c r="H30" s="1498">
        <f>PRODUCT(C30:G30)</f>
        <v>1</v>
      </c>
      <c r="I30" s="1507" t="s">
        <v>1427</v>
      </c>
      <c r="J30" s="1500"/>
    </row>
    <row r="31" spans="1:10" s="1484" customFormat="1" ht="33" customHeight="1">
      <c r="A31" s="1501">
        <v>18.100000000000001</v>
      </c>
      <c r="B31" s="1502" t="s">
        <v>7181</v>
      </c>
      <c r="C31" s="1502"/>
      <c r="D31" s="1502"/>
      <c r="E31" s="1493"/>
      <c r="F31" s="1493"/>
      <c r="G31" s="1509"/>
      <c r="H31" s="1498"/>
      <c r="I31" s="1507"/>
      <c r="J31" s="1500"/>
    </row>
    <row r="32" spans="1:10" s="1484" customFormat="1" ht="25.5" customHeight="1">
      <c r="A32" s="1494" t="s">
        <v>7182</v>
      </c>
      <c r="B32" s="1495" t="s">
        <v>7183</v>
      </c>
      <c r="C32" s="1494"/>
      <c r="D32" s="1494"/>
      <c r="E32" s="1493"/>
      <c r="F32" s="1493"/>
      <c r="G32" s="1509"/>
      <c r="H32" s="1498"/>
      <c r="I32" s="1507"/>
      <c r="J32" s="1500"/>
    </row>
    <row r="33" spans="1:10" s="1484" customFormat="1" ht="30" customHeight="1">
      <c r="A33" s="1501"/>
      <c r="B33" s="1503" t="s">
        <v>7184</v>
      </c>
      <c r="C33" s="1494">
        <v>1</v>
      </c>
      <c r="D33" s="1494">
        <v>1</v>
      </c>
      <c r="E33" s="1497">
        <f>3.14*1*1</f>
        <v>3.14</v>
      </c>
      <c r="F33" s="1497"/>
      <c r="G33" s="1509"/>
      <c r="H33" s="1498">
        <f t="shared" ref="H33:H36" si="3">PRODUCT(C33:G33)</f>
        <v>3.14</v>
      </c>
      <c r="I33" s="1507"/>
      <c r="J33" s="1500">
        <f>2.75*3.14</f>
        <v>8.64</v>
      </c>
    </row>
    <row r="34" spans="1:10" s="1484" customFormat="1" ht="49.5" customHeight="1">
      <c r="A34" s="1501"/>
      <c r="B34" s="1503" t="s">
        <v>7185</v>
      </c>
      <c r="C34" s="1494">
        <v>1</v>
      </c>
      <c r="D34" s="1494">
        <v>1</v>
      </c>
      <c r="E34" s="1513">
        <f>3.14*2.35</f>
        <v>7.3789999999999996</v>
      </c>
      <c r="F34" s="1513"/>
      <c r="G34" s="1509">
        <v>0.15</v>
      </c>
      <c r="H34" s="1498">
        <f t="shared" si="3"/>
        <v>1.1100000000000001</v>
      </c>
      <c r="I34" s="1507"/>
      <c r="J34" s="1500">
        <f>3.14*5.6</f>
        <v>17.579999999999998</v>
      </c>
    </row>
    <row r="35" spans="1:10" s="1484" customFormat="1" ht="21.75" customHeight="1">
      <c r="A35" s="1494"/>
      <c r="B35" s="1503" t="s">
        <v>7186</v>
      </c>
      <c r="C35" s="1494">
        <v>1</v>
      </c>
      <c r="D35" s="1494">
        <v>1</v>
      </c>
      <c r="E35" s="1498">
        <v>2.4</v>
      </c>
      <c r="F35" s="1498"/>
      <c r="G35" s="1509">
        <v>0.15</v>
      </c>
      <c r="H35" s="1498">
        <f t="shared" si="3"/>
        <v>0.36</v>
      </c>
      <c r="I35" s="1507"/>
      <c r="J35" s="1500"/>
    </row>
    <row r="36" spans="1:10" s="1484" customFormat="1" ht="21.75" customHeight="1">
      <c r="A36" s="1501"/>
      <c r="B36" s="1503" t="s">
        <v>7187</v>
      </c>
      <c r="C36" s="1494">
        <v>-1</v>
      </c>
      <c r="D36" s="1494">
        <v>1</v>
      </c>
      <c r="E36" s="1498">
        <v>0.6</v>
      </c>
      <c r="F36" s="1498">
        <v>0.6</v>
      </c>
      <c r="G36" s="1509"/>
      <c r="H36" s="1498">
        <f t="shared" si="3"/>
        <v>-0.36</v>
      </c>
      <c r="I36" s="1507"/>
      <c r="J36" s="1500"/>
    </row>
    <row r="37" spans="1:10" s="1484" customFormat="1" ht="21.75" customHeight="1">
      <c r="A37" s="1501"/>
      <c r="B37" s="1503"/>
      <c r="C37" s="1494"/>
      <c r="D37" s="1494"/>
      <c r="E37" s="1493"/>
      <c r="F37" s="1493"/>
      <c r="G37" s="1512" t="s">
        <v>2235</v>
      </c>
      <c r="H37" s="1499">
        <f>SUM(H33:H36)</f>
        <v>4.25</v>
      </c>
      <c r="I37" s="1507" t="s">
        <v>2273</v>
      </c>
      <c r="J37" s="1500"/>
    </row>
    <row r="38" spans="1:10" s="1484" customFormat="1" ht="24" customHeight="1">
      <c r="A38" s="1494" t="s">
        <v>7188</v>
      </c>
      <c r="B38" s="1514" t="s">
        <v>7189</v>
      </c>
      <c r="C38" s="1494"/>
      <c r="D38" s="1494"/>
      <c r="E38" s="1493"/>
      <c r="F38" s="1493"/>
      <c r="G38" s="1509"/>
      <c r="H38" s="1498"/>
      <c r="I38" s="1507"/>
      <c r="J38" s="1500"/>
    </row>
    <row r="39" spans="1:10" s="1484" customFormat="1" ht="24" customHeight="1">
      <c r="A39" s="1494"/>
      <c r="B39" s="1503" t="s">
        <v>7190</v>
      </c>
      <c r="C39" s="1494">
        <v>1</v>
      </c>
      <c r="D39" s="1494">
        <v>1</v>
      </c>
      <c r="E39" s="1498">
        <v>9.26</v>
      </c>
      <c r="F39" s="1493"/>
      <c r="G39" s="1509">
        <v>0.23</v>
      </c>
      <c r="H39" s="1498">
        <f>PRODUCT(C39:G39)</f>
        <v>2.13</v>
      </c>
      <c r="I39" s="1507"/>
      <c r="J39" s="1500"/>
    </row>
    <row r="40" spans="1:10" s="1484" customFormat="1" ht="24" customHeight="1">
      <c r="A40" s="1494"/>
      <c r="B40" s="1503" t="s">
        <v>7171</v>
      </c>
      <c r="C40" s="1494">
        <v>1</v>
      </c>
      <c r="D40" s="1494">
        <v>1</v>
      </c>
      <c r="E40" s="1498">
        <v>6.28</v>
      </c>
      <c r="F40" s="1493"/>
      <c r="G40" s="1506">
        <v>2</v>
      </c>
      <c r="H40" s="1498">
        <f>PRODUCT(C40:G40)</f>
        <v>12.56</v>
      </c>
      <c r="I40" s="1507"/>
      <c r="J40" s="1500"/>
    </row>
    <row r="41" spans="1:10" s="1484" customFormat="1" ht="24" customHeight="1">
      <c r="A41" s="1494"/>
      <c r="B41" s="1503" t="s">
        <v>7170</v>
      </c>
      <c r="C41" s="1494">
        <v>1</v>
      </c>
      <c r="D41" s="1494">
        <v>1</v>
      </c>
      <c r="E41" s="1498">
        <v>7.38</v>
      </c>
      <c r="F41" s="1493"/>
      <c r="G41" s="1506">
        <v>2</v>
      </c>
      <c r="H41" s="1498">
        <f>PRODUCT(C41:G41)</f>
        <v>14.76</v>
      </c>
      <c r="I41" s="1507"/>
      <c r="J41" s="1500"/>
    </row>
    <row r="42" spans="1:10" s="1484" customFormat="1" ht="24" customHeight="1">
      <c r="A42" s="1494"/>
      <c r="B42" s="1503"/>
      <c r="C42" s="1494"/>
      <c r="D42" s="1494"/>
      <c r="E42" s="1493"/>
      <c r="F42" s="1493"/>
      <c r="G42" s="1512" t="s">
        <v>2235</v>
      </c>
      <c r="H42" s="1499">
        <f>SUM(H39:H41)</f>
        <v>29.45</v>
      </c>
      <c r="I42" s="1507" t="s">
        <v>2273</v>
      </c>
      <c r="J42" s="1500"/>
    </row>
    <row r="43" spans="1:10" s="1484" customFormat="1" ht="51" customHeight="1">
      <c r="A43" s="1494">
        <v>43.1</v>
      </c>
      <c r="B43" s="1502" t="s">
        <v>7191</v>
      </c>
      <c r="C43" s="1502"/>
      <c r="D43" s="1502"/>
      <c r="E43" s="1493"/>
      <c r="F43" s="1515" t="s">
        <v>7192</v>
      </c>
      <c r="G43" s="1509"/>
      <c r="H43" s="1498"/>
      <c r="I43" s="1507"/>
      <c r="J43" s="1500"/>
    </row>
    <row r="44" spans="1:10" s="1484" customFormat="1" ht="24.75" customHeight="1">
      <c r="A44" s="1494"/>
      <c r="B44" s="1496" t="s">
        <v>7193</v>
      </c>
      <c r="C44" s="1494">
        <v>1</v>
      </c>
      <c r="D44" s="1494">
        <v>1</v>
      </c>
      <c r="E44" s="1498">
        <f>H28</f>
        <v>5.08</v>
      </c>
      <c r="F44" s="1504">
        <v>135</v>
      </c>
      <c r="G44" s="1509"/>
      <c r="H44" s="1498">
        <f t="shared" ref="H44" si="4">PRODUCT(C44:G44)</f>
        <v>685.8</v>
      </c>
      <c r="I44" s="1507"/>
      <c r="J44" s="1500"/>
    </row>
    <row r="45" spans="1:10" s="1484" customFormat="1" ht="25.5" customHeight="1">
      <c r="A45" s="1494"/>
      <c r="B45" s="1503"/>
      <c r="C45" s="1494"/>
      <c r="D45" s="1494"/>
      <c r="E45" s="1498"/>
      <c r="F45" s="1498"/>
      <c r="G45" s="1509" t="s">
        <v>2235</v>
      </c>
      <c r="H45" s="1498">
        <f>SUM(H44)</f>
        <v>685.8</v>
      </c>
      <c r="I45" s="1507"/>
      <c r="J45" s="1500"/>
    </row>
    <row r="46" spans="1:10" ht="25.5" customHeight="1">
      <c r="A46" s="1516"/>
      <c r="B46" s="1516"/>
      <c r="C46" s="1517"/>
      <c r="D46" s="1517"/>
      <c r="E46" s="1518"/>
      <c r="F46" s="1518"/>
      <c r="G46" s="1519" t="s">
        <v>4209</v>
      </c>
      <c r="H46" s="1520">
        <f>(H45/1000)</f>
        <v>0.68600000000000005</v>
      </c>
      <c r="I46" s="1521" t="s">
        <v>525</v>
      </c>
    </row>
    <row r="47" spans="1:10" s="1530" customFormat="1" ht="24" customHeight="1">
      <c r="A47" s="1523">
        <v>238</v>
      </c>
      <c r="B47" s="1524" t="s">
        <v>7156</v>
      </c>
      <c r="C47" s="1523"/>
      <c r="D47" s="1523"/>
      <c r="E47" s="1525"/>
      <c r="F47" s="1525"/>
      <c r="G47" s="1526"/>
      <c r="H47" s="1527"/>
      <c r="I47" s="1528"/>
      <c r="J47" s="1529"/>
    </row>
    <row r="48" spans="1:10" s="1530" customFormat="1" ht="24" customHeight="1">
      <c r="A48" s="1523"/>
      <c r="B48" s="1531" t="s">
        <v>7194</v>
      </c>
      <c r="C48" s="1523">
        <v>1</v>
      </c>
      <c r="D48" s="1523">
        <v>1</v>
      </c>
      <c r="E48" s="1525">
        <f>H46</f>
        <v>0.68600000000000005</v>
      </c>
      <c r="F48" s="1525"/>
      <c r="G48" s="1526"/>
      <c r="H48" s="1526">
        <f>PRODUCT(C48:G48)</f>
        <v>0.68600000000000005</v>
      </c>
      <c r="I48" s="1532" t="s">
        <v>525</v>
      </c>
      <c r="J48" s="1529"/>
    </row>
    <row r="49" spans="1:10" s="1539" customFormat="1" ht="19.5" customHeight="1">
      <c r="A49" s="1533"/>
      <c r="B49" s="1534"/>
      <c r="C49" s="1535"/>
      <c r="D49" s="1535"/>
      <c r="E49" s="1536"/>
      <c r="F49" s="1536"/>
      <c r="G49" s="1536"/>
      <c r="H49" s="1537"/>
      <c r="I49" s="1538"/>
    </row>
    <row r="50" spans="1:10" s="1539" customFormat="1" ht="19.5" customHeight="1">
      <c r="A50" s="1533"/>
      <c r="B50" s="1534"/>
      <c r="C50" s="1535"/>
      <c r="D50" s="1535"/>
      <c r="E50" s="1536"/>
      <c r="F50" s="1536"/>
      <c r="G50" s="1536"/>
      <c r="H50" s="1537"/>
      <c r="I50" s="1538"/>
    </row>
    <row r="51" spans="1:10" s="1539" customFormat="1" ht="19.5" customHeight="1">
      <c r="A51" s="1533"/>
      <c r="B51" s="1534"/>
      <c r="C51" s="1535"/>
      <c r="D51" s="1535"/>
      <c r="E51" s="1536"/>
      <c r="F51" s="1536"/>
      <c r="G51" s="1536"/>
      <c r="H51" s="1537"/>
      <c r="I51" s="1538"/>
    </row>
    <row r="52" spans="1:10" s="1539" customFormat="1" ht="19.5" customHeight="1">
      <c r="B52" s="1540"/>
      <c r="C52" s="1541"/>
      <c r="D52" s="1541"/>
      <c r="E52" s="1542"/>
      <c r="F52" s="1542"/>
      <c r="G52" s="1542"/>
      <c r="H52" s="1542"/>
      <c r="I52" s="1538"/>
    </row>
    <row r="53" spans="1:10" s="1406" customFormat="1" ht="19.5">
      <c r="A53" s="1428" t="s">
        <v>7195</v>
      </c>
      <c r="B53" s="1428"/>
      <c r="C53" s="1428"/>
      <c r="D53" s="1428"/>
      <c r="E53" s="1428"/>
      <c r="F53" s="1428"/>
      <c r="G53" s="1428"/>
      <c r="H53" s="1428"/>
      <c r="I53" s="1428"/>
    </row>
    <row r="63" spans="1:10" s="1484" customFormat="1" ht="22.5" customHeight="1">
      <c r="A63" s="1494"/>
      <c r="B63" s="1496" t="s">
        <v>7196</v>
      </c>
      <c r="C63" s="1494">
        <v>2</v>
      </c>
      <c r="D63" s="1494">
        <v>4</v>
      </c>
      <c r="E63" s="1498">
        <v>6.65</v>
      </c>
      <c r="F63" s="1515"/>
      <c r="G63" s="1509">
        <v>0.88800000000000001</v>
      </c>
      <c r="H63" s="1498">
        <f t="shared" ref="H63:H118" si="5">PRODUCT(C63:G63)</f>
        <v>47.24</v>
      </c>
      <c r="I63" s="1507"/>
      <c r="J63" s="1500"/>
    </row>
    <row r="64" spans="1:10" s="1484" customFormat="1" ht="22.5" customHeight="1">
      <c r="A64" s="1494"/>
      <c r="B64" s="1496" t="s">
        <v>7196</v>
      </c>
      <c r="C64" s="1494">
        <v>2</v>
      </c>
      <c r="D64" s="1494">
        <v>4</v>
      </c>
      <c r="E64" s="1498">
        <v>6.6</v>
      </c>
      <c r="F64" s="1515"/>
      <c r="G64" s="1509">
        <v>0.88800000000000001</v>
      </c>
      <c r="H64" s="1498">
        <f t="shared" si="5"/>
        <v>46.89</v>
      </c>
      <c r="I64" s="1507"/>
      <c r="J64" s="1500"/>
    </row>
    <row r="65" spans="1:10" s="1484" customFormat="1" ht="22.5" customHeight="1">
      <c r="A65" s="1494"/>
      <c r="B65" s="1496" t="s">
        <v>7196</v>
      </c>
      <c r="C65" s="1494">
        <v>2</v>
      </c>
      <c r="D65" s="1494">
        <v>4</v>
      </c>
      <c r="E65" s="1498">
        <v>6.55</v>
      </c>
      <c r="F65" s="1515"/>
      <c r="G65" s="1509">
        <v>0.88800000000000001</v>
      </c>
      <c r="H65" s="1498">
        <f t="shared" si="5"/>
        <v>46.53</v>
      </c>
      <c r="I65" s="1507"/>
      <c r="J65" s="1500"/>
    </row>
    <row r="66" spans="1:10" s="1484" customFormat="1" ht="22.5" customHeight="1">
      <c r="A66" s="1494"/>
      <c r="B66" s="1496" t="s">
        <v>7196</v>
      </c>
      <c r="C66" s="1494">
        <v>2</v>
      </c>
      <c r="D66" s="1494">
        <v>4</v>
      </c>
      <c r="E66" s="1498">
        <v>6.45</v>
      </c>
      <c r="F66" s="1515"/>
      <c r="G66" s="1509">
        <v>0.88800000000000001</v>
      </c>
      <c r="H66" s="1498">
        <f t="shared" si="5"/>
        <v>45.82</v>
      </c>
      <c r="I66" s="1507"/>
      <c r="J66" s="1500"/>
    </row>
    <row r="67" spans="1:10" s="1484" customFormat="1" ht="22.5" customHeight="1">
      <c r="A67" s="1494"/>
      <c r="B67" s="1496" t="s">
        <v>7196</v>
      </c>
      <c r="C67" s="1494">
        <v>2</v>
      </c>
      <c r="D67" s="1494">
        <v>4</v>
      </c>
      <c r="E67" s="1498">
        <v>6.4</v>
      </c>
      <c r="F67" s="1515"/>
      <c r="G67" s="1509">
        <v>0.88800000000000001</v>
      </c>
      <c r="H67" s="1498">
        <f t="shared" si="5"/>
        <v>45.47</v>
      </c>
      <c r="I67" s="1507"/>
      <c r="J67" s="1500"/>
    </row>
    <row r="68" spans="1:10" s="1484" customFormat="1" ht="22.5" customHeight="1">
      <c r="A68" s="1494"/>
      <c r="B68" s="1496" t="s">
        <v>7196</v>
      </c>
      <c r="C68" s="1494">
        <v>2</v>
      </c>
      <c r="D68" s="1494">
        <v>4</v>
      </c>
      <c r="E68" s="1498">
        <v>6.3</v>
      </c>
      <c r="F68" s="1515"/>
      <c r="G68" s="1509">
        <v>0.88800000000000001</v>
      </c>
      <c r="H68" s="1498">
        <f t="shared" si="5"/>
        <v>44.76</v>
      </c>
      <c r="I68" s="1507"/>
      <c r="J68" s="1500"/>
    </row>
    <row r="69" spans="1:10" s="1484" customFormat="1" ht="22.5" customHeight="1">
      <c r="A69" s="1494"/>
      <c r="B69" s="1496" t="s">
        <v>7196</v>
      </c>
      <c r="C69" s="1494">
        <v>2</v>
      </c>
      <c r="D69" s="1494">
        <v>4</v>
      </c>
      <c r="E69" s="1498">
        <v>6.2</v>
      </c>
      <c r="F69" s="1515"/>
      <c r="G69" s="1509">
        <v>0.88800000000000001</v>
      </c>
      <c r="H69" s="1498">
        <f t="shared" si="5"/>
        <v>44.04</v>
      </c>
      <c r="I69" s="1507"/>
      <c r="J69" s="1500"/>
    </row>
    <row r="70" spans="1:10" s="1484" customFormat="1" ht="22.5" customHeight="1">
      <c r="A70" s="1494"/>
      <c r="B70" s="1496" t="s">
        <v>7196</v>
      </c>
      <c r="C70" s="1494">
        <v>2</v>
      </c>
      <c r="D70" s="1494">
        <v>4</v>
      </c>
      <c r="E70" s="1498">
        <v>6.1</v>
      </c>
      <c r="F70" s="1515"/>
      <c r="G70" s="1509">
        <v>0.88800000000000001</v>
      </c>
      <c r="H70" s="1498">
        <f t="shared" si="5"/>
        <v>43.33</v>
      </c>
      <c r="I70" s="1507"/>
      <c r="J70" s="1500"/>
    </row>
    <row r="71" spans="1:10" s="1484" customFormat="1" ht="22.5" customHeight="1">
      <c r="A71" s="1494"/>
      <c r="B71" s="1496" t="s">
        <v>7196</v>
      </c>
      <c r="C71" s="1494">
        <v>2</v>
      </c>
      <c r="D71" s="1494">
        <v>4</v>
      </c>
      <c r="E71" s="1498">
        <v>6</v>
      </c>
      <c r="F71" s="1515"/>
      <c r="G71" s="1509">
        <v>0.88800000000000001</v>
      </c>
      <c r="H71" s="1498">
        <f t="shared" si="5"/>
        <v>42.62</v>
      </c>
      <c r="I71" s="1507"/>
      <c r="J71" s="1500"/>
    </row>
    <row r="72" spans="1:10" s="1484" customFormat="1" ht="22.5" customHeight="1">
      <c r="A72" s="1494"/>
      <c r="B72" s="1496" t="s">
        <v>7196</v>
      </c>
      <c r="C72" s="1494">
        <v>2</v>
      </c>
      <c r="D72" s="1494">
        <v>4</v>
      </c>
      <c r="E72" s="1498">
        <v>5.8</v>
      </c>
      <c r="F72" s="1515"/>
      <c r="G72" s="1509">
        <v>0.88800000000000001</v>
      </c>
      <c r="H72" s="1498">
        <f t="shared" si="5"/>
        <v>41.2</v>
      </c>
      <c r="I72" s="1507"/>
      <c r="J72" s="1500"/>
    </row>
    <row r="73" spans="1:10" s="1484" customFormat="1" ht="22.5" customHeight="1">
      <c r="A73" s="1494"/>
      <c r="B73" s="1496" t="s">
        <v>7196</v>
      </c>
      <c r="C73" s="1494">
        <v>2</v>
      </c>
      <c r="D73" s="1494">
        <v>4</v>
      </c>
      <c r="E73" s="1498">
        <v>5.6</v>
      </c>
      <c r="F73" s="1515"/>
      <c r="G73" s="1509">
        <v>0.88800000000000001</v>
      </c>
      <c r="H73" s="1498">
        <f t="shared" si="5"/>
        <v>39.78</v>
      </c>
      <c r="I73" s="1507"/>
      <c r="J73" s="1500"/>
    </row>
    <row r="74" spans="1:10" s="1484" customFormat="1" ht="22.5" customHeight="1">
      <c r="A74" s="1494"/>
      <c r="B74" s="1496" t="s">
        <v>7196</v>
      </c>
      <c r="C74" s="1494">
        <v>2</v>
      </c>
      <c r="D74" s="1494">
        <v>4</v>
      </c>
      <c r="E74" s="1498">
        <v>5.4</v>
      </c>
      <c r="F74" s="1515"/>
      <c r="G74" s="1509">
        <v>0.88800000000000001</v>
      </c>
      <c r="H74" s="1498">
        <f t="shared" si="5"/>
        <v>38.36</v>
      </c>
      <c r="I74" s="1507"/>
      <c r="J74" s="1500"/>
    </row>
    <row r="75" spans="1:10" s="1484" customFormat="1" ht="22.5" customHeight="1">
      <c r="A75" s="1494"/>
      <c r="B75" s="1496" t="s">
        <v>7196</v>
      </c>
      <c r="C75" s="1494">
        <v>2</v>
      </c>
      <c r="D75" s="1494">
        <v>4</v>
      </c>
      <c r="E75" s="1498">
        <v>5.15</v>
      </c>
      <c r="F75" s="1515"/>
      <c r="G75" s="1509">
        <v>0.88800000000000001</v>
      </c>
      <c r="H75" s="1498">
        <f t="shared" si="5"/>
        <v>36.590000000000003</v>
      </c>
      <c r="I75" s="1507"/>
      <c r="J75" s="1500"/>
    </row>
    <row r="76" spans="1:10" s="1484" customFormat="1" ht="22.5" customHeight="1">
      <c r="A76" s="1494"/>
      <c r="B76" s="1496" t="s">
        <v>7196</v>
      </c>
      <c r="C76" s="1494">
        <v>2</v>
      </c>
      <c r="D76" s="1494">
        <v>4</v>
      </c>
      <c r="E76" s="1498">
        <v>4.9000000000000004</v>
      </c>
      <c r="F76" s="1515"/>
      <c r="G76" s="1509">
        <v>0.88800000000000001</v>
      </c>
      <c r="H76" s="1498">
        <f t="shared" si="5"/>
        <v>34.81</v>
      </c>
      <c r="I76" s="1507"/>
      <c r="J76" s="1500"/>
    </row>
    <row r="77" spans="1:10" s="1484" customFormat="1" ht="22.5" customHeight="1">
      <c r="A77" s="1494"/>
      <c r="B77" s="1496" t="s">
        <v>7196</v>
      </c>
      <c r="C77" s="1494">
        <v>2</v>
      </c>
      <c r="D77" s="1494">
        <v>4</v>
      </c>
      <c r="E77" s="1498">
        <v>4.5999999999999996</v>
      </c>
      <c r="F77" s="1515"/>
      <c r="G77" s="1509">
        <v>0.88800000000000001</v>
      </c>
      <c r="H77" s="1498">
        <f t="shared" si="5"/>
        <v>32.68</v>
      </c>
      <c r="I77" s="1507"/>
      <c r="J77" s="1500"/>
    </row>
    <row r="78" spans="1:10" s="1484" customFormat="1" ht="22.5" customHeight="1">
      <c r="A78" s="1494"/>
      <c r="B78" s="1496" t="s">
        <v>7196</v>
      </c>
      <c r="C78" s="1494">
        <v>2</v>
      </c>
      <c r="D78" s="1494">
        <v>4</v>
      </c>
      <c r="E78" s="1498">
        <v>4.25</v>
      </c>
      <c r="F78" s="1515"/>
      <c r="G78" s="1509">
        <v>0.88800000000000001</v>
      </c>
      <c r="H78" s="1498">
        <f t="shared" si="5"/>
        <v>30.19</v>
      </c>
      <c r="I78" s="1507"/>
      <c r="J78" s="1500"/>
    </row>
    <row r="79" spans="1:10" s="1484" customFormat="1" ht="22.5" customHeight="1">
      <c r="A79" s="1494"/>
      <c r="B79" s="1496" t="s">
        <v>7196</v>
      </c>
      <c r="C79" s="1494">
        <v>2</v>
      </c>
      <c r="D79" s="1494">
        <v>4</v>
      </c>
      <c r="E79" s="1498">
        <v>3.8</v>
      </c>
      <c r="F79" s="1515"/>
      <c r="G79" s="1509">
        <v>0.88800000000000001</v>
      </c>
      <c r="H79" s="1498">
        <f t="shared" si="5"/>
        <v>27</v>
      </c>
      <c r="I79" s="1507"/>
      <c r="J79" s="1500"/>
    </row>
    <row r="80" spans="1:10" s="1484" customFormat="1" ht="22.5" customHeight="1">
      <c r="A80" s="1494"/>
      <c r="B80" s="1496" t="s">
        <v>7196</v>
      </c>
      <c r="C80" s="1494">
        <v>2</v>
      </c>
      <c r="D80" s="1494">
        <v>4</v>
      </c>
      <c r="E80" s="1498">
        <v>3.4</v>
      </c>
      <c r="F80" s="1515"/>
      <c r="G80" s="1509">
        <v>0.88800000000000001</v>
      </c>
      <c r="H80" s="1498">
        <f t="shared" si="5"/>
        <v>24.15</v>
      </c>
      <c r="I80" s="1507"/>
      <c r="J80" s="1500"/>
    </row>
    <row r="81" spans="1:10" s="1484" customFormat="1" ht="22.5" customHeight="1">
      <c r="A81" s="1494"/>
      <c r="B81" s="1496" t="s">
        <v>7196</v>
      </c>
      <c r="C81" s="1494">
        <v>2</v>
      </c>
      <c r="D81" s="1494">
        <v>4</v>
      </c>
      <c r="E81" s="1498">
        <v>2.8</v>
      </c>
      <c r="F81" s="1515"/>
      <c r="G81" s="1509">
        <v>0.88800000000000001</v>
      </c>
      <c r="H81" s="1498">
        <f t="shared" si="5"/>
        <v>19.89</v>
      </c>
      <c r="I81" s="1507"/>
      <c r="J81" s="1500"/>
    </row>
    <row r="82" spans="1:10" s="1484" customFormat="1" ht="22.5" customHeight="1">
      <c r="A82" s="1494"/>
      <c r="B82" s="1496" t="s">
        <v>7196</v>
      </c>
      <c r="C82" s="1494">
        <v>2</v>
      </c>
      <c r="D82" s="1494">
        <v>4</v>
      </c>
      <c r="E82" s="1498">
        <v>2</v>
      </c>
      <c r="F82" s="1515"/>
      <c r="G82" s="1509">
        <v>0.88800000000000001</v>
      </c>
      <c r="H82" s="1498">
        <f t="shared" si="5"/>
        <v>14.21</v>
      </c>
      <c r="I82" s="1507"/>
      <c r="J82" s="1500"/>
    </row>
    <row r="83" spans="1:10" s="1484" customFormat="1" ht="22.5" customHeight="1">
      <c r="A83" s="1494"/>
      <c r="B83" s="1496" t="s">
        <v>7196</v>
      </c>
      <c r="C83" s="1494">
        <v>2</v>
      </c>
      <c r="D83" s="1494">
        <v>4</v>
      </c>
      <c r="E83" s="1498">
        <v>0.6</v>
      </c>
      <c r="F83" s="1515"/>
      <c r="G83" s="1509">
        <v>0.88800000000000001</v>
      </c>
      <c r="H83" s="1498">
        <f t="shared" si="5"/>
        <v>4.26</v>
      </c>
      <c r="I83" s="1507"/>
      <c r="J83" s="1500"/>
    </row>
    <row r="84" spans="1:10" s="1484" customFormat="1" ht="22.5" customHeight="1">
      <c r="A84" s="1494"/>
      <c r="B84" s="1496" t="s">
        <v>7197</v>
      </c>
      <c r="C84" s="1494">
        <v>1</v>
      </c>
      <c r="D84" s="1494">
        <v>90</v>
      </c>
      <c r="E84" s="1498">
        <v>1.5</v>
      </c>
      <c r="F84" s="1515"/>
      <c r="G84" s="1509">
        <v>0.61699999999999999</v>
      </c>
      <c r="H84" s="1498">
        <f t="shared" si="5"/>
        <v>83.3</v>
      </c>
      <c r="I84" s="1507"/>
      <c r="J84" s="1500"/>
    </row>
    <row r="85" spans="1:10" s="1484" customFormat="1" ht="22.5" customHeight="1">
      <c r="A85" s="1494"/>
      <c r="B85" s="1496" t="s">
        <v>7198</v>
      </c>
      <c r="C85" s="1494">
        <v>1</v>
      </c>
      <c r="D85" s="1494">
        <v>95</v>
      </c>
      <c r="E85" s="1498">
        <v>3</v>
      </c>
      <c r="F85" s="1515"/>
      <c r="G85" s="1509">
        <v>0.88800000000000001</v>
      </c>
      <c r="H85" s="1498">
        <f t="shared" si="5"/>
        <v>253.08</v>
      </c>
      <c r="I85" s="1507"/>
      <c r="J85" s="1500"/>
    </row>
    <row r="86" spans="1:10" s="1484" customFormat="1" ht="22.5" customHeight="1">
      <c r="A86" s="1494"/>
      <c r="B86" s="1496" t="s">
        <v>7199</v>
      </c>
      <c r="C86" s="1494">
        <v>1</v>
      </c>
      <c r="D86" s="1494">
        <v>15</v>
      </c>
      <c r="E86" s="1498">
        <v>11.5</v>
      </c>
      <c r="F86" s="1515"/>
      <c r="G86" s="1509">
        <v>0.39500000000000002</v>
      </c>
      <c r="H86" s="1498">
        <f t="shared" si="5"/>
        <v>68.14</v>
      </c>
      <c r="I86" s="1507"/>
      <c r="J86" s="1500"/>
    </row>
    <row r="87" spans="1:10" s="1484" customFormat="1" ht="22.5" customHeight="1">
      <c r="A87" s="1494"/>
      <c r="B87" s="1496" t="s">
        <v>7200</v>
      </c>
      <c r="C87" s="1494">
        <v>1</v>
      </c>
      <c r="D87" s="1494">
        <v>15</v>
      </c>
      <c r="E87" s="1498">
        <v>0.4</v>
      </c>
      <c r="F87" s="1515"/>
      <c r="G87" s="1509">
        <v>0.39500000000000002</v>
      </c>
      <c r="H87" s="1498">
        <f t="shared" si="5"/>
        <v>2.37</v>
      </c>
      <c r="I87" s="1507"/>
      <c r="J87" s="1500"/>
    </row>
    <row r="88" spans="1:10" s="1484" customFormat="1" ht="22.5" customHeight="1">
      <c r="A88" s="1494"/>
      <c r="B88" s="1496" t="s">
        <v>7201</v>
      </c>
      <c r="C88" s="1494">
        <v>1</v>
      </c>
      <c r="D88" s="1494">
        <v>105</v>
      </c>
      <c r="E88" s="1498">
        <v>3</v>
      </c>
      <c r="F88" s="1515"/>
      <c r="G88" s="1509">
        <v>0.88800000000000001</v>
      </c>
      <c r="H88" s="1498">
        <f t="shared" si="5"/>
        <v>279.72000000000003</v>
      </c>
      <c r="I88" s="1507"/>
      <c r="J88" s="1500"/>
    </row>
    <row r="89" spans="1:10" s="1484" customFormat="1" ht="22.5" customHeight="1">
      <c r="A89" s="1494"/>
      <c r="B89" s="1496" t="s">
        <v>7199</v>
      </c>
      <c r="C89" s="1494">
        <v>1</v>
      </c>
      <c r="D89" s="1494">
        <v>15</v>
      </c>
      <c r="E89" s="1498">
        <v>12</v>
      </c>
      <c r="F89" s="1515"/>
      <c r="G89" s="1509">
        <v>0.39500000000000002</v>
      </c>
      <c r="H89" s="1498">
        <f t="shared" si="5"/>
        <v>71.099999999999994</v>
      </c>
      <c r="I89" s="1507"/>
      <c r="J89" s="1500"/>
    </row>
    <row r="90" spans="1:10" s="1484" customFormat="1" ht="22.5" customHeight="1">
      <c r="A90" s="1494"/>
      <c r="B90" s="1496" t="s">
        <v>7200</v>
      </c>
      <c r="C90" s="1494">
        <v>1</v>
      </c>
      <c r="D90" s="1494">
        <v>15</v>
      </c>
      <c r="E90" s="1498">
        <v>0.4</v>
      </c>
      <c r="F90" s="1515"/>
      <c r="G90" s="1509">
        <v>0.39500000000000002</v>
      </c>
      <c r="H90" s="1498">
        <f t="shared" si="5"/>
        <v>2.37</v>
      </c>
      <c r="I90" s="1507"/>
      <c r="J90" s="1500"/>
    </row>
    <row r="91" spans="1:10" s="1484" customFormat="1" ht="22.5" customHeight="1">
      <c r="A91" s="1494"/>
      <c r="B91" s="1496" t="s">
        <v>7202</v>
      </c>
      <c r="C91" s="1494">
        <v>2</v>
      </c>
      <c r="D91" s="1494">
        <v>24</v>
      </c>
      <c r="E91" s="1498">
        <v>3</v>
      </c>
      <c r="F91" s="1515"/>
      <c r="G91" s="1509">
        <v>0.88800000000000001</v>
      </c>
      <c r="H91" s="1498">
        <f t="shared" si="5"/>
        <v>127.87</v>
      </c>
      <c r="I91" s="1507"/>
      <c r="J91" s="1500"/>
    </row>
    <row r="92" spans="1:10" s="1484" customFormat="1" ht="22.5" customHeight="1">
      <c r="A92" s="1494"/>
      <c r="B92" s="1496"/>
      <c r="C92" s="1494">
        <v>1</v>
      </c>
      <c r="D92" s="1494">
        <v>11</v>
      </c>
      <c r="E92" s="1498">
        <v>3.68</v>
      </c>
      <c r="F92" s="1515"/>
      <c r="G92" s="1509">
        <v>0.88800000000000001</v>
      </c>
      <c r="H92" s="1498">
        <f t="shared" si="5"/>
        <v>35.950000000000003</v>
      </c>
      <c r="I92" s="1507"/>
      <c r="J92" s="1500"/>
    </row>
    <row r="93" spans="1:10" s="1484" customFormat="1" ht="22.5" customHeight="1">
      <c r="A93" s="1494"/>
      <c r="B93" s="1496" t="s">
        <v>7203</v>
      </c>
      <c r="C93" s="1494">
        <v>2</v>
      </c>
      <c r="D93" s="1494">
        <v>15</v>
      </c>
      <c r="E93" s="1498">
        <v>1.3</v>
      </c>
      <c r="F93" s="1515"/>
      <c r="G93" s="1509">
        <v>0.61699999999999999</v>
      </c>
      <c r="H93" s="1498">
        <f t="shared" si="5"/>
        <v>24.06</v>
      </c>
      <c r="I93" s="1507"/>
      <c r="J93" s="1500"/>
    </row>
    <row r="94" spans="1:10" s="1484" customFormat="1" ht="22.5" customHeight="1">
      <c r="A94" s="1494"/>
      <c r="B94" s="1496" t="s">
        <v>7204</v>
      </c>
      <c r="C94" s="1494">
        <v>2</v>
      </c>
      <c r="D94" s="1494">
        <v>8</v>
      </c>
      <c r="E94" s="1498">
        <v>0.6</v>
      </c>
      <c r="F94" s="1515"/>
      <c r="G94" s="1509">
        <v>0.61699999999999999</v>
      </c>
      <c r="H94" s="1498">
        <f t="shared" si="5"/>
        <v>5.92</v>
      </c>
      <c r="I94" s="1507"/>
      <c r="J94" s="1500"/>
    </row>
    <row r="95" spans="1:10" s="1484" customFormat="1" ht="46.5" customHeight="1">
      <c r="A95" s="1494"/>
      <c r="B95" s="1496" t="s">
        <v>7205</v>
      </c>
      <c r="C95" s="1494">
        <v>2</v>
      </c>
      <c r="D95" s="1494">
        <v>4</v>
      </c>
      <c r="E95" s="1498">
        <v>5.6</v>
      </c>
      <c r="F95" s="1515"/>
      <c r="G95" s="1509">
        <v>0.61699999999999999</v>
      </c>
      <c r="H95" s="1498">
        <f t="shared" si="5"/>
        <v>27.64</v>
      </c>
      <c r="I95" s="1507"/>
      <c r="J95" s="1500"/>
    </row>
    <row r="96" spans="1:10" s="1484" customFormat="1" ht="22.5" customHeight="1">
      <c r="A96" s="1494"/>
      <c r="B96" s="1496" t="s">
        <v>7196</v>
      </c>
      <c r="C96" s="1494">
        <v>2</v>
      </c>
      <c r="D96" s="1494">
        <v>4</v>
      </c>
      <c r="E96" s="1498">
        <v>5.6</v>
      </c>
      <c r="F96" s="1515"/>
      <c r="G96" s="1509">
        <v>0.61699999999999999</v>
      </c>
      <c r="H96" s="1498">
        <f t="shared" si="5"/>
        <v>27.64</v>
      </c>
      <c r="I96" s="1507"/>
      <c r="J96" s="1500"/>
    </row>
    <row r="97" spans="1:10" s="1484" customFormat="1" ht="22.5" customHeight="1">
      <c r="A97" s="1494"/>
      <c r="B97" s="1496" t="s">
        <v>7196</v>
      </c>
      <c r="C97" s="1494">
        <v>2</v>
      </c>
      <c r="D97" s="1494">
        <v>4</v>
      </c>
      <c r="E97" s="1498">
        <v>5.55</v>
      </c>
      <c r="F97" s="1515"/>
      <c r="G97" s="1509">
        <v>0.61699999999999999</v>
      </c>
      <c r="H97" s="1498">
        <f t="shared" si="5"/>
        <v>27.39</v>
      </c>
      <c r="I97" s="1507"/>
      <c r="J97" s="1500"/>
    </row>
    <row r="98" spans="1:10" s="1484" customFormat="1" ht="22.5" customHeight="1">
      <c r="A98" s="1494"/>
      <c r="B98" s="1496" t="s">
        <v>7196</v>
      </c>
      <c r="C98" s="1494">
        <v>2</v>
      </c>
      <c r="D98" s="1494">
        <v>4</v>
      </c>
      <c r="E98" s="1498">
        <v>5.5</v>
      </c>
      <c r="F98" s="1515"/>
      <c r="G98" s="1509">
        <v>0.61699999999999999</v>
      </c>
      <c r="H98" s="1498">
        <f t="shared" si="5"/>
        <v>27.15</v>
      </c>
      <c r="I98" s="1507"/>
      <c r="J98" s="1500"/>
    </row>
    <row r="99" spans="1:10" s="1484" customFormat="1" ht="22.5" customHeight="1">
      <c r="A99" s="1494"/>
      <c r="B99" s="1496" t="s">
        <v>7196</v>
      </c>
      <c r="C99" s="1494">
        <v>2</v>
      </c>
      <c r="D99" s="1494">
        <v>4</v>
      </c>
      <c r="E99" s="1498">
        <v>5.45</v>
      </c>
      <c r="F99" s="1515"/>
      <c r="G99" s="1509">
        <v>0.61699999999999999</v>
      </c>
      <c r="H99" s="1498">
        <f t="shared" si="5"/>
        <v>26.9</v>
      </c>
      <c r="I99" s="1507"/>
      <c r="J99" s="1500"/>
    </row>
    <row r="100" spans="1:10" s="1484" customFormat="1" ht="22.5" customHeight="1">
      <c r="A100" s="1494"/>
      <c r="B100" s="1496" t="s">
        <v>7196</v>
      </c>
      <c r="C100" s="1494">
        <v>2</v>
      </c>
      <c r="D100" s="1494">
        <v>4</v>
      </c>
      <c r="E100" s="1498">
        <v>5.4</v>
      </c>
      <c r="F100" s="1515"/>
      <c r="G100" s="1509">
        <v>0.61699999999999999</v>
      </c>
      <c r="H100" s="1498">
        <f t="shared" si="5"/>
        <v>26.65</v>
      </c>
      <c r="I100" s="1507"/>
      <c r="J100" s="1500"/>
    </row>
    <row r="101" spans="1:10" s="1484" customFormat="1" ht="22.5" customHeight="1">
      <c r="A101" s="1494"/>
      <c r="B101" s="1496" t="s">
        <v>7196</v>
      </c>
      <c r="C101" s="1494">
        <v>2</v>
      </c>
      <c r="D101" s="1494">
        <v>4</v>
      </c>
      <c r="E101" s="1498">
        <v>5.3</v>
      </c>
      <c r="F101" s="1515"/>
      <c r="G101" s="1509">
        <v>0.61699999999999999</v>
      </c>
      <c r="H101" s="1498">
        <f t="shared" si="5"/>
        <v>26.16</v>
      </c>
      <c r="I101" s="1507"/>
      <c r="J101" s="1500"/>
    </row>
    <row r="102" spans="1:10" s="1484" customFormat="1" ht="22.5" customHeight="1">
      <c r="A102" s="1494"/>
      <c r="B102" s="1496" t="s">
        <v>7196</v>
      </c>
      <c r="C102" s="1494">
        <v>2</v>
      </c>
      <c r="D102" s="1494">
        <v>4</v>
      </c>
      <c r="E102" s="1498">
        <v>5.2</v>
      </c>
      <c r="F102" s="1515"/>
      <c r="G102" s="1509">
        <v>0.61699999999999999</v>
      </c>
      <c r="H102" s="1498">
        <f t="shared" si="5"/>
        <v>25.67</v>
      </c>
      <c r="I102" s="1507"/>
      <c r="J102" s="1500"/>
    </row>
    <row r="103" spans="1:10" s="1484" customFormat="1" ht="22.5" customHeight="1">
      <c r="A103" s="1494"/>
      <c r="B103" s="1496" t="s">
        <v>7196</v>
      </c>
      <c r="C103" s="1494">
        <v>2</v>
      </c>
      <c r="D103" s="1494">
        <v>4</v>
      </c>
      <c r="E103" s="1498">
        <v>5</v>
      </c>
      <c r="F103" s="1515"/>
      <c r="G103" s="1509">
        <v>0.61699999999999999</v>
      </c>
      <c r="H103" s="1498">
        <f t="shared" si="5"/>
        <v>24.68</v>
      </c>
      <c r="I103" s="1507"/>
      <c r="J103" s="1500"/>
    </row>
    <row r="104" spans="1:10" s="1484" customFormat="1" ht="22.5" customHeight="1">
      <c r="A104" s="1494"/>
      <c r="B104" s="1496" t="s">
        <v>7196</v>
      </c>
      <c r="C104" s="1494">
        <v>2</v>
      </c>
      <c r="D104" s="1494">
        <v>4</v>
      </c>
      <c r="E104" s="1498">
        <v>4.9000000000000004</v>
      </c>
      <c r="F104" s="1515"/>
      <c r="G104" s="1509">
        <v>0.61699999999999999</v>
      </c>
      <c r="H104" s="1498">
        <f t="shared" si="5"/>
        <v>24.19</v>
      </c>
      <c r="I104" s="1507"/>
      <c r="J104" s="1500"/>
    </row>
    <row r="105" spans="1:10" s="1484" customFormat="1" ht="22.5" customHeight="1">
      <c r="A105" s="1494"/>
      <c r="B105" s="1496" t="s">
        <v>7196</v>
      </c>
      <c r="C105" s="1494">
        <v>2</v>
      </c>
      <c r="D105" s="1494">
        <v>4</v>
      </c>
      <c r="E105" s="1498">
        <v>4.75</v>
      </c>
      <c r="F105" s="1515"/>
      <c r="G105" s="1509">
        <v>0.61699999999999999</v>
      </c>
      <c r="H105" s="1498">
        <f t="shared" si="5"/>
        <v>23.45</v>
      </c>
      <c r="I105" s="1507"/>
      <c r="J105" s="1500"/>
    </row>
    <row r="106" spans="1:10" s="1484" customFormat="1" ht="22.5" customHeight="1">
      <c r="A106" s="1494"/>
      <c r="B106" s="1496" t="s">
        <v>7196</v>
      </c>
      <c r="C106" s="1494">
        <v>2</v>
      </c>
      <c r="D106" s="1494">
        <v>4</v>
      </c>
      <c r="E106" s="1498">
        <v>4.55</v>
      </c>
      <c r="F106" s="1515"/>
      <c r="G106" s="1509">
        <v>0.61699999999999999</v>
      </c>
      <c r="H106" s="1498">
        <f t="shared" si="5"/>
        <v>22.46</v>
      </c>
      <c r="I106" s="1507"/>
      <c r="J106" s="1500"/>
    </row>
    <row r="107" spans="1:10" s="1484" customFormat="1" ht="22.5" customHeight="1">
      <c r="A107" s="1494"/>
      <c r="B107" s="1496" t="s">
        <v>7196</v>
      </c>
      <c r="C107" s="1494">
        <v>2</v>
      </c>
      <c r="D107" s="1494">
        <v>4</v>
      </c>
      <c r="E107" s="1498">
        <v>4.3</v>
      </c>
      <c r="F107" s="1515"/>
      <c r="G107" s="1509">
        <v>0.61699999999999999</v>
      </c>
      <c r="H107" s="1498">
        <f t="shared" si="5"/>
        <v>21.22</v>
      </c>
      <c r="I107" s="1507"/>
      <c r="J107" s="1500"/>
    </row>
    <row r="108" spans="1:10" s="1484" customFormat="1" ht="22.5" customHeight="1">
      <c r="A108" s="1494"/>
      <c r="B108" s="1496" t="s">
        <v>7196</v>
      </c>
      <c r="C108" s="1494">
        <v>2</v>
      </c>
      <c r="D108" s="1494">
        <v>4</v>
      </c>
      <c r="E108" s="1498">
        <v>4</v>
      </c>
      <c r="F108" s="1515"/>
      <c r="G108" s="1509">
        <v>0.61699999999999999</v>
      </c>
      <c r="H108" s="1498">
        <f t="shared" si="5"/>
        <v>19.739999999999998</v>
      </c>
      <c r="I108" s="1507"/>
      <c r="J108" s="1500"/>
    </row>
    <row r="109" spans="1:10" s="1484" customFormat="1" ht="22.5" customHeight="1">
      <c r="A109" s="1494"/>
      <c r="B109" s="1496" t="s">
        <v>7196</v>
      </c>
      <c r="C109" s="1494">
        <v>2</v>
      </c>
      <c r="D109" s="1494">
        <v>4</v>
      </c>
      <c r="E109" s="1498">
        <v>3.7</v>
      </c>
      <c r="F109" s="1515"/>
      <c r="G109" s="1509">
        <v>0.61699999999999999</v>
      </c>
      <c r="H109" s="1498">
        <f t="shared" si="5"/>
        <v>18.260000000000002</v>
      </c>
      <c r="I109" s="1507"/>
      <c r="J109" s="1500"/>
    </row>
    <row r="110" spans="1:10" s="1484" customFormat="1" ht="22.5" customHeight="1">
      <c r="A110" s="1494"/>
      <c r="B110" s="1496" t="s">
        <v>7196</v>
      </c>
      <c r="C110" s="1494">
        <v>2</v>
      </c>
      <c r="D110" s="1494">
        <v>4</v>
      </c>
      <c r="E110" s="1498">
        <v>3.35</v>
      </c>
      <c r="F110" s="1515"/>
      <c r="G110" s="1509">
        <v>0.61699999999999999</v>
      </c>
      <c r="H110" s="1498">
        <f t="shared" si="5"/>
        <v>16.54</v>
      </c>
      <c r="I110" s="1507"/>
      <c r="J110" s="1500"/>
    </row>
    <row r="111" spans="1:10" s="1484" customFormat="1" ht="22.5" customHeight="1">
      <c r="A111" s="1494"/>
      <c r="B111" s="1496" t="s">
        <v>7196</v>
      </c>
      <c r="C111" s="1494">
        <v>2</v>
      </c>
      <c r="D111" s="1494">
        <v>4</v>
      </c>
      <c r="E111" s="1498">
        <v>2.9</v>
      </c>
      <c r="F111" s="1515"/>
      <c r="G111" s="1509">
        <v>0.61699999999999999</v>
      </c>
      <c r="H111" s="1498">
        <f t="shared" si="5"/>
        <v>14.31</v>
      </c>
      <c r="I111" s="1507"/>
      <c r="J111" s="1500"/>
    </row>
    <row r="112" spans="1:10" s="1484" customFormat="1" ht="22.5" customHeight="1">
      <c r="A112" s="1494"/>
      <c r="B112" s="1496" t="s">
        <v>7196</v>
      </c>
      <c r="C112" s="1494">
        <v>2</v>
      </c>
      <c r="D112" s="1494">
        <v>4</v>
      </c>
      <c r="E112" s="1498">
        <v>2.2999999999999998</v>
      </c>
      <c r="F112" s="1515"/>
      <c r="G112" s="1509">
        <v>0.61699999999999999</v>
      </c>
      <c r="H112" s="1498">
        <f t="shared" si="5"/>
        <v>11.35</v>
      </c>
      <c r="I112" s="1507"/>
      <c r="J112" s="1500"/>
    </row>
    <row r="113" spans="1:10" s="1484" customFormat="1" ht="22.5" customHeight="1">
      <c r="A113" s="1494"/>
      <c r="B113" s="1496" t="s">
        <v>7196</v>
      </c>
      <c r="C113" s="1494">
        <v>2</v>
      </c>
      <c r="D113" s="1494">
        <v>4</v>
      </c>
      <c r="E113" s="1498">
        <v>1.5</v>
      </c>
      <c r="F113" s="1515"/>
      <c r="G113" s="1509">
        <v>0.61699999999999999</v>
      </c>
      <c r="H113" s="1498">
        <f t="shared" si="5"/>
        <v>7.4</v>
      </c>
      <c r="I113" s="1507"/>
      <c r="J113" s="1500"/>
    </row>
    <row r="114" spans="1:10" s="1484" customFormat="1" ht="22.5" customHeight="1">
      <c r="A114" s="1494"/>
      <c r="B114" s="1496" t="s">
        <v>7196</v>
      </c>
      <c r="C114" s="1494">
        <v>2</v>
      </c>
      <c r="D114" s="1494">
        <v>4</v>
      </c>
      <c r="E114" s="1498">
        <v>0.6</v>
      </c>
      <c r="F114" s="1515"/>
      <c r="G114" s="1509">
        <v>0.61699999999999999</v>
      </c>
      <c r="H114" s="1498">
        <f t="shared" si="5"/>
        <v>2.96</v>
      </c>
      <c r="I114" s="1507"/>
      <c r="J114" s="1500"/>
    </row>
    <row r="115" spans="1:10" s="1484" customFormat="1" ht="22.5" customHeight="1">
      <c r="A115" s="1494"/>
      <c r="B115" s="1496" t="s">
        <v>7206</v>
      </c>
      <c r="C115" s="1494">
        <v>2</v>
      </c>
      <c r="D115" s="1494">
        <v>4</v>
      </c>
      <c r="E115" s="1498">
        <v>5.55</v>
      </c>
      <c r="F115" s="1515"/>
      <c r="G115" s="1509">
        <v>0.88800000000000001</v>
      </c>
      <c r="H115" s="1498">
        <f t="shared" si="5"/>
        <v>39.43</v>
      </c>
      <c r="I115" s="1507"/>
      <c r="J115" s="1500"/>
    </row>
    <row r="116" spans="1:10" s="1484" customFormat="1" ht="22.5" customHeight="1">
      <c r="A116" s="1494"/>
      <c r="B116" s="1496" t="s">
        <v>7207</v>
      </c>
      <c r="C116" s="1494">
        <v>1</v>
      </c>
      <c r="D116" s="1494">
        <v>37</v>
      </c>
      <c r="E116" s="1498">
        <v>0.66</v>
      </c>
      <c r="F116" s="1515"/>
      <c r="G116" s="1509">
        <v>0.39500000000000002</v>
      </c>
      <c r="H116" s="1498">
        <f t="shared" si="5"/>
        <v>9.65</v>
      </c>
      <c r="I116" s="1507"/>
      <c r="J116" s="1500"/>
    </row>
    <row r="117" spans="1:10" s="1484" customFormat="1" ht="22.5" customHeight="1">
      <c r="A117" s="1494"/>
      <c r="B117" s="1496" t="s">
        <v>7206</v>
      </c>
      <c r="C117" s="1494">
        <v>2</v>
      </c>
      <c r="D117" s="1494">
        <v>4</v>
      </c>
      <c r="E117" s="1498">
        <v>4.3</v>
      </c>
      <c r="F117" s="1515"/>
      <c r="G117" s="1509">
        <v>0.88800000000000001</v>
      </c>
      <c r="H117" s="1498">
        <f t="shared" si="5"/>
        <v>30.55</v>
      </c>
      <c r="I117" s="1507"/>
      <c r="J117" s="1500"/>
    </row>
    <row r="118" spans="1:10" s="1484" customFormat="1" ht="22.5" customHeight="1">
      <c r="A118" s="1494"/>
      <c r="B118" s="1496" t="s">
        <v>7207</v>
      </c>
      <c r="C118" s="1494">
        <v>1</v>
      </c>
      <c r="D118" s="1494">
        <v>30</v>
      </c>
      <c r="E118" s="1498">
        <v>0.66</v>
      </c>
      <c r="F118" s="1515"/>
      <c r="G118" s="1509">
        <v>0.39500000000000002</v>
      </c>
      <c r="H118" s="1498">
        <f t="shared" si="5"/>
        <v>7.82</v>
      </c>
      <c r="I118" s="1507"/>
      <c r="J118" s="1500"/>
    </row>
    <row r="119" spans="1:10" s="1484" customFormat="1" ht="22.5" customHeight="1">
      <c r="A119" s="1494"/>
      <c r="B119" s="1496" t="s">
        <v>7208</v>
      </c>
      <c r="C119" s="1494"/>
      <c r="D119" s="1494"/>
      <c r="E119" s="1498"/>
      <c r="F119" s="1515"/>
      <c r="G119" s="1509"/>
      <c r="H119" s="1498"/>
      <c r="I119" s="1507"/>
      <c r="J119" s="1500"/>
    </row>
    <row r="120" spans="1:10" s="1484" customFormat="1" ht="22.5" customHeight="1">
      <c r="A120" s="1494"/>
      <c r="B120" s="1496" t="s">
        <v>7209</v>
      </c>
      <c r="C120" s="1494">
        <v>1</v>
      </c>
      <c r="D120" s="1494">
        <v>25</v>
      </c>
      <c r="E120" s="1498">
        <v>3.2</v>
      </c>
      <c r="F120" s="1515"/>
      <c r="G120" s="1509">
        <v>0.39500000000000002</v>
      </c>
      <c r="H120" s="1498">
        <f t="shared" ref="H120:H130" si="6">PRODUCT(C120:G120)</f>
        <v>31.6</v>
      </c>
      <c r="I120" s="1507"/>
      <c r="J120" s="1500"/>
    </row>
    <row r="121" spans="1:10" s="1484" customFormat="1" ht="22.5" customHeight="1">
      <c r="A121" s="1494"/>
      <c r="B121" s="1496" t="s">
        <v>7210</v>
      </c>
      <c r="C121" s="1494">
        <v>1</v>
      </c>
      <c r="D121" s="1494">
        <v>23</v>
      </c>
      <c r="E121" s="1498">
        <v>3.4</v>
      </c>
      <c r="F121" s="1515"/>
      <c r="G121" s="1509">
        <v>0.39500000000000002</v>
      </c>
      <c r="H121" s="1498">
        <f t="shared" si="6"/>
        <v>30.89</v>
      </c>
      <c r="I121" s="1507"/>
      <c r="J121" s="1500"/>
    </row>
    <row r="122" spans="1:10" s="1484" customFormat="1" ht="22.5" customHeight="1">
      <c r="A122" s="1494"/>
      <c r="B122" s="1496" t="s">
        <v>7211</v>
      </c>
      <c r="C122" s="1494">
        <v>2</v>
      </c>
      <c r="D122" s="1494">
        <v>3</v>
      </c>
      <c r="E122" s="1498">
        <v>3.2</v>
      </c>
      <c r="F122" s="1515"/>
      <c r="G122" s="1509">
        <v>0.39500000000000002</v>
      </c>
      <c r="H122" s="1498">
        <f t="shared" si="6"/>
        <v>7.58</v>
      </c>
      <c r="I122" s="1507"/>
      <c r="J122" s="1500"/>
    </row>
    <row r="123" spans="1:10" s="1484" customFormat="1" ht="22.5" customHeight="1">
      <c r="A123" s="1494"/>
      <c r="B123" s="1496" t="s">
        <v>7211</v>
      </c>
      <c r="C123" s="1494">
        <v>2</v>
      </c>
      <c r="D123" s="1494">
        <v>3</v>
      </c>
      <c r="E123" s="1498">
        <v>3.4</v>
      </c>
      <c r="F123" s="1515"/>
      <c r="G123" s="1509">
        <v>0.39500000000000002</v>
      </c>
      <c r="H123" s="1498">
        <f t="shared" si="6"/>
        <v>8.06</v>
      </c>
      <c r="I123" s="1507"/>
      <c r="J123" s="1500"/>
    </row>
    <row r="124" spans="1:10" s="1484" customFormat="1" ht="22.5" customHeight="1">
      <c r="A124" s="1494"/>
      <c r="B124" s="1496" t="s">
        <v>7212</v>
      </c>
      <c r="C124" s="1494">
        <v>2</v>
      </c>
      <c r="D124" s="1494">
        <v>8</v>
      </c>
      <c r="E124" s="1498">
        <v>0.75</v>
      </c>
      <c r="F124" s="1515"/>
      <c r="G124" s="1509">
        <v>0.39500000000000002</v>
      </c>
      <c r="H124" s="1498">
        <f t="shared" si="6"/>
        <v>4.74</v>
      </c>
      <c r="I124" s="1507"/>
      <c r="J124" s="1500"/>
    </row>
    <row r="125" spans="1:10" s="1484" customFormat="1" ht="22.5" customHeight="1">
      <c r="A125" s="1494"/>
      <c r="B125" s="1496" t="s">
        <v>7212</v>
      </c>
      <c r="C125" s="1494">
        <v>2</v>
      </c>
      <c r="D125" s="1494">
        <v>7</v>
      </c>
      <c r="E125" s="1498">
        <v>0.75</v>
      </c>
      <c r="F125" s="1515"/>
      <c r="G125" s="1509">
        <v>0.39500000000000002</v>
      </c>
      <c r="H125" s="1498">
        <f t="shared" si="6"/>
        <v>4.1500000000000004</v>
      </c>
      <c r="I125" s="1507"/>
      <c r="J125" s="1500"/>
    </row>
    <row r="126" spans="1:10" s="1484" customFormat="1" ht="22.5" customHeight="1">
      <c r="A126" s="1494"/>
      <c r="B126" s="1496" t="s">
        <v>7213</v>
      </c>
      <c r="C126" s="1494">
        <v>4</v>
      </c>
      <c r="D126" s="1494">
        <v>20</v>
      </c>
      <c r="E126" s="1498">
        <v>0.9</v>
      </c>
      <c r="F126" s="1515"/>
      <c r="G126" s="1509">
        <v>0.88800000000000001</v>
      </c>
      <c r="H126" s="1498">
        <f t="shared" si="6"/>
        <v>63.94</v>
      </c>
      <c r="I126" s="1507"/>
      <c r="J126" s="1500"/>
    </row>
    <row r="127" spans="1:10" s="1484" customFormat="1" ht="22.5" customHeight="1">
      <c r="A127" s="1494"/>
      <c r="B127" s="1496" t="s">
        <v>7214</v>
      </c>
      <c r="C127" s="1494">
        <v>1</v>
      </c>
      <c r="D127" s="1494">
        <v>4</v>
      </c>
      <c r="E127" s="1498">
        <v>1.46</v>
      </c>
      <c r="F127" s="1515"/>
      <c r="G127" s="1509">
        <v>0.88800000000000001</v>
      </c>
      <c r="H127" s="1498">
        <f t="shared" si="6"/>
        <v>5.19</v>
      </c>
      <c r="I127" s="1507"/>
      <c r="J127" s="1500"/>
    </row>
    <row r="128" spans="1:10" s="1484" customFormat="1" ht="22.5" customHeight="1">
      <c r="A128" s="1494"/>
      <c r="B128" s="1496" t="s">
        <v>7215</v>
      </c>
      <c r="C128" s="1494">
        <v>1</v>
      </c>
      <c r="D128" s="1494">
        <v>10</v>
      </c>
      <c r="E128" s="1498">
        <v>0.66</v>
      </c>
      <c r="F128" s="1515"/>
      <c r="G128" s="1509">
        <v>0.39500000000000002</v>
      </c>
      <c r="H128" s="1498">
        <f t="shared" si="6"/>
        <v>2.61</v>
      </c>
      <c r="I128" s="1507"/>
      <c r="J128" s="1500"/>
    </row>
    <row r="129" spans="1:10" s="1484" customFormat="1" ht="22.5" customHeight="1">
      <c r="A129" s="1494"/>
      <c r="B129" s="1496" t="s">
        <v>7216</v>
      </c>
      <c r="C129" s="1494">
        <v>1</v>
      </c>
      <c r="D129" s="1494">
        <v>10</v>
      </c>
      <c r="E129" s="1498">
        <v>1.5</v>
      </c>
      <c r="F129" s="1515"/>
      <c r="G129" s="1509">
        <v>0.39500000000000002</v>
      </c>
      <c r="H129" s="1498">
        <f t="shared" si="6"/>
        <v>5.93</v>
      </c>
      <c r="I129" s="1507"/>
      <c r="J129" s="1500"/>
    </row>
    <row r="130" spans="1:10" s="1484" customFormat="1" ht="22.5" customHeight="1">
      <c r="A130" s="1494"/>
      <c r="B130" s="1496" t="s">
        <v>7199</v>
      </c>
      <c r="C130" s="1494">
        <v>1</v>
      </c>
      <c r="D130" s="1494">
        <v>5</v>
      </c>
      <c r="E130" s="1498">
        <v>1.46</v>
      </c>
      <c r="F130" s="1515"/>
      <c r="G130" s="1509">
        <v>0.39500000000000002</v>
      </c>
      <c r="H130" s="1498">
        <f t="shared" si="6"/>
        <v>2.88</v>
      </c>
      <c r="I130" s="1507"/>
      <c r="J130" s="1500"/>
    </row>
  </sheetData>
  <mergeCells count="18">
    <mergeCell ref="B29:E29"/>
    <mergeCell ref="B31:D31"/>
    <mergeCell ref="E33:F33"/>
    <mergeCell ref="E34:F34"/>
    <mergeCell ref="B43:D43"/>
    <mergeCell ref="A53:I53"/>
    <mergeCell ref="B8:D8"/>
    <mergeCell ref="E9:F9"/>
    <mergeCell ref="B10:D10"/>
    <mergeCell ref="E11:F11"/>
    <mergeCell ref="E23:F23"/>
    <mergeCell ref="E24:F24"/>
    <mergeCell ref="A1:I1"/>
    <mergeCell ref="A2:I2"/>
    <mergeCell ref="A3:I3"/>
    <mergeCell ref="C4:D4"/>
    <mergeCell ref="B5:D5"/>
    <mergeCell ref="E7:F7"/>
  </mergeCells>
  <pageMargins left="0.56000000000000005" right="0.22" top="0.67" bottom="0.5" header="0.31" footer="0.5"/>
  <pageSetup paperSize="9" scale="90" orientation="portrait" horizontalDpi="300" verticalDpi="300" r:id="rId1"/>
  <headerFooter>
    <oddHeader>Page &amp;P</oddHead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57"/>
  <sheetViews>
    <sheetView view="pageBreakPreview" topLeftCell="A22" workbookViewId="0">
      <selection activeCell="B27" sqref="B27"/>
    </sheetView>
  </sheetViews>
  <sheetFormatPr defaultRowHeight="18.75"/>
  <cols>
    <col min="1" max="1" width="4.21875" style="1626" customWidth="1"/>
    <col min="2" max="2" width="35.5546875" style="1546" customWidth="1"/>
    <col min="3" max="3" width="5.21875" style="1626" customWidth="1"/>
    <col min="4" max="4" width="5.109375" style="1627" customWidth="1"/>
    <col min="5" max="5" width="7.77734375" style="1628" customWidth="1"/>
    <col min="6" max="6" width="7.109375" style="1628" customWidth="1"/>
    <col min="7" max="7" width="7" style="1628" customWidth="1"/>
    <col min="8" max="8" width="7.88671875" style="1546" customWidth="1"/>
    <col min="9" max="9" width="4.88671875" style="1551" customWidth="1"/>
    <col min="10" max="11" width="8.88671875" style="1546"/>
    <col min="12" max="12" width="11" style="1546" customWidth="1"/>
    <col min="13" max="256" width="8.88671875" style="1546"/>
    <col min="257" max="257" width="4.21875" style="1546" customWidth="1"/>
    <col min="258" max="258" width="42.77734375" style="1546" customWidth="1"/>
    <col min="259" max="259" width="3.88671875" style="1546" customWidth="1"/>
    <col min="260" max="260" width="4" style="1546" customWidth="1"/>
    <col min="261" max="261" width="6.88671875" style="1546" customWidth="1"/>
    <col min="262" max="262" width="6.44140625" style="1546" customWidth="1"/>
    <col min="263" max="263" width="6.21875" style="1546" customWidth="1"/>
    <col min="264" max="264" width="6.33203125" style="1546" customWidth="1"/>
    <col min="265" max="265" width="3.6640625" style="1546" customWidth="1"/>
    <col min="266" max="267" width="8.88671875" style="1546"/>
    <col min="268" max="268" width="11" style="1546" customWidth="1"/>
    <col min="269" max="512" width="8.88671875" style="1546"/>
    <col min="513" max="513" width="4.21875" style="1546" customWidth="1"/>
    <col min="514" max="514" width="42.77734375" style="1546" customWidth="1"/>
    <col min="515" max="515" width="3.88671875" style="1546" customWidth="1"/>
    <col min="516" max="516" width="4" style="1546" customWidth="1"/>
    <col min="517" max="517" width="6.88671875" style="1546" customWidth="1"/>
    <col min="518" max="518" width="6.44140625" style="1546" customWidth="1"/>
    <col min="519" max="519" width="6.21875" style="1546" customWidth="1"/>
    <col min="520" max="520" width="6.33203125" style="1546" customWidth="1"/>
    <col min="521" max="521" width="3.6640625" style="1546" customWidth="1"/>
    <col min="522" max="523" width="8.88671875" style="1546"/>
    <col min="524" max="524" width="11" style="1546" customWidth="1"/>
    <col min="525" max="768" width="8.88671875" style="1546"/>
    <col min="769" max="769" width="4.21875" style="1546" customWidth="1"/>
    <col min="770" max="770" width="42.77734375" style="1546" customWidth="1"/>
    <col min="771" max="771" width="3.88671875" style="1546" customWidth="1"/>
    <col min="772" max="772" width="4" style="1546" customWidth="1"/>
    <col min="773" max="773" width="6.88671875" style="1546" customWidth="1"/>
    <col min="774" max="774" width="6.44140625" style="1546" customWidth="1"/>
    <col min="775" max="775" width="6.21875" style="1546" customWidth="1"/>
    <col min="776" max="776" width="6.33203125" style="1546" customWidth="1"/>
    <col min="777" max="777" width="3.6640625" style="1546" customWidth="1"/>
    <col min="778" max="779" width="8.88671875" style="1546"/>
    <col min="780" max="780" width="11" style="1546" customWidth="1"/>
    <col min="781" max="1024" width="8.88671875" style="1546"/>
    <col min="1025" max="1025" width="4.21875" style="1546" customWidth="1"/>
    <col min="1026" max="1026" width="42.77734375" style="1546" customWidth="1"/>
    <col min="1027" max="1027" width="3.88671875" style="1546" customWidth="1"/>
    <col min="1028" max="1028" width="4" style="1546" customWidth="1"/>
    <col min="1029" max="1029" width="6.88671875" style="1546" customWidth="1"/>
    <col min="1030" max="1030" width="6.44140625" style="1546" customWidth="1"/>
    <col min="1031" max="1031" width="6.21875" style="1546" customWidth="1"/>
    <col min="1032" max="1032" width="6.33203125" style="1546" customWidth="1"/>
    <col min="1033" max="1033" width="3.6640625" style="1546" customWidth="1"/>
    <col min="1034" max="1035" width="8.88671875" style="1546"/>
    <col min="1036" max="1036" width="11" style="1546" customWidth="1"/>
    <col min="1037" max="1280" width="8.88671875" style="1546"/>
    <col min="1281" max="1281" width="4.21875" style="1546" customWidth="1"/>
    <col min="1282" max="1282" width="42.77734375" style="1546" customWidth="1"/>
    <col min="1283" max="1283" width="3.88671875" style="1546" customWidth="1"/>
    <col min="1284" max="1284" width="4" style="1546" customWidth="1"/>
    <col min="1285" max="1285" width="6.88671875" style="1546" customWidth="1"/>
    <col min="1286" max="1286" width="6.44140625" style="1546" customWidth="1"/>
    <col min="1287" max="1287" width="6.21875" style="1546" customWidth="1"/>
    <col min="1288" max="1288" width="6.33203125" style="1546" customWidth="1"/>
    <col min="1289" max="1289" width="3.6640625" style="1546" customWidth="1"/>
    <col min="1290" max="1291" width="8.88671875" style="1546"/>
    <col min="1292" max="1292" width="11" style="1546" customWidth="1"/>
    <col min="1293" max="1536" width="8.88671875" style="1546"/>
    <col min="1537" max="1537" width="4.21875" style="1546" customWidth="1"/>
    <col min="1538" max="1538" width="42.77734375" style="1546" customWidth="1"/>
    <col min="1539" max="1539" width="3.88671875" style="1546" customWidth="1"/>
    <col min="1540" max="1540" width="4" style="1546" customWidth="1"/>
    <col min="1541" max="1541" width="6.88671875" style="1546" customWidth="1"/>
    <col min="1542" max="1542" width="6.44140625" style="1546" customWidth="1"/>
    <col min="1543" max="1543" width="6.21875" style="1546" customWidth="1"/>
    <col min="1544" max="1544" width="6.33203125" style="1546" customWidth="1"/>
    <col min="1545" max="1545" width="3.6640625" style="1546" customWidth="1"/>
    <col min="1546" max="1547" width="8.88671875" style="1546"/>
    <col min="1548" max="1548" width="11" style="1546" customWidth="1"/>
    <col min="1549" max="1792" width="8.88671875" style="1546"/>
    <col min="1793" max="1793" width="4.21875" style="1546" customWidth="1"/>
    <col min="1794" max="1794" width="42.77734375" style="1546" customWidth="1"/>
    <col min="1795" max="1795" width="3.88671875" style="1546" customWidth="1"/>
    <col min="1796" max="1796" width="4" style="1546" customWidth="1"/>
    <col min="1797" max="1797" width="6.88671875" style="1546" customWidth="1"/>
    <col min="1798" max="1798" width="6.44140625" style="1546" customWidth="1"/>
    <col min="1799" max="1799" width="6.21875" style="1546" customWidth="1"/>
    <col min="1800" max="1800" width="6.33203125" style="1546" customWidth="1"/>
    <col min="1801" max="1801" width="3.6640625" style="1546" customWidth="1"/>
    <col min="1802" max="1803" width="8.88671875" style="1546"/>
    <col min="1804" max="1804" width="11" style="1546" customWidth="1"/>
    <col min="1805" max="2048" width="8.88671875" style="1546"/>
    <col min="2049" max="2049" width="4.21875" style="1546" customWidth="1"/>
    <col min="2050" max="2050" width="42.77734375" style="1546" customWidth="1"/>
    <col min="2051" max="2051" width="3.88671875" style="1546" customWidth="1"/>
    <col min="2052" max="2052" width="4" style="1546" customWidth="1"/>
    <col min="2053" max="2053" width="6.88671875" style="1546" customWidth="1"/>
    <col min="2054" max="2054" width="6.44140625" style="1546" customWidth="1"/>
    <col min="2055" max="2055" width="6.21875" style="1546" customWidth="1"/>
    <col min="2056" max="2056" width="6.33203125" style="1546" customWidth="1"/>
    <col min="2057" max="2057" width="3.6640625" style="1546" customWidth="1"/>
    <col min="2058" max="2059" width="8.88671875" style="1546"/>
    <col min="2060" max="2060" width="11" style="1546" customWidth="1"/>
    <col min="2061" max="2304" width="8.88671875" style="1546"/>
    <col min="2305" max="2305" width="4.21875" style="1546" customWidth="1"/>
    <col min="2306" max="2306" width="42.77734375" style="1546" customWidth="1"/>
    <col min="2307" max="2307" width="3.88671875" style="1546" customWidth="1"/>
    <col min="2308" max="2308" width="4" style="1546" customWidth="1"/>
    <col min="2309" max="2309" width="6.88671875" style="1546" customWidth="1"/>
    <col min="2310" max="2310" width="6.44140625" style="1546" customWidth="1"/>
    <col min="2311" max="2311" width="6.21875" style="1546" customWidth="1"/>
    <col min="2312" max="2312" width="6.33203125" style="1546" customWidth="1"/>
    <col min="2313" max="2313" width="3.6640625" style="1546" customWidth="1"/>
    <col min="2314" max="2315" width="8.88671875" style="1546"/>
    <col min="2316" max="2316" width="11" style="1546" customWidth="1"/>
    <col min="2317" max="2560" width="8.88671875" style="1546"/>
    <col min="2561" max="2561" width="4.21875" style="1546" customWidth="1"/>
    <col min="2562" max="2562" width="42.77734375" style="1546" customWidth="1"/>
    <col min="2563" max="2563" width="3.88671875" style="1546" customWidth="1"/>
    <col min="2564" max="2564" width="4" style="1546" customWidth="1"/>
    <col min="2565" max="2565" width="6.88671875" style="1546" customWidth="1"/>
    <col min="2566" max="2566" width="6.44140625" style="1546" customWidth="1"/>
    <col min="2567" max="2567" width="6.21875" style="1546" customWidth="1"/>
    <col min="2568" max="2568" width="6.33203125" style="1546" customWidth="1"/>
    <col min="2569" max="2569" width="3.6640625" style="1546" customWidth="1"/>
    <col min="2570" max="2571" width="8.88671875" style="1546"/>
    <col min="2572" max="2572" width="11" style="1546" customWidth="1"/>
    <col min="2573" max="2816" width="8.88671875" style="1546"/>
    <col min="2817" max="2817" width="4.21875" style="1546" customWidth="1"/>
    <col min="2818" max="2818" width="42.77734375" style="1546" customWidth="1"/>
    <col min="2819" max="2819" width="3.88671875" style="1546" customWidth="1"/>
    <col min="2820" max="2820" width="4" style="1546" customWidth="1"/>
    <col min="2821" max="2821" width="6.88671875" style="1546" customWidth="1"/>
    <col min="2822" max="2822" width="6.44140625" style="1546" customWidth="1"/>
    <col min="2823" max="2823" width="6.21875" style="1546" customWidth="1"/>
    <col min="2824" max="2824" width="6.33203125" style="1546" customWidth="1"/>
    <col min="2825" max="2825" width="3.6640625" style="1546" customWidth="1"/>
    <col min="2826" max="2827" width="8.88671875" style="1546"/>
    <col min="2828" max="2828" width="11" style="1546" customWidth="1"/>
    <col min="2829" max="3072" width="8.88671875" style="1546"/>
    <col min="3073" max="3073" width="4.21875" style="1546" customWidth="1"/>
    <col min="3074" max="3074" width="42.77734375" style="1546" customWidth="1"/>
    <col min="3075" max="3075" width="3.88671875" style="1546" customWidth="1"/>
    <col min="3076" max="3076" width="4" style="1546" customWidth="1"/>
    <col min="3077" max="3077" width="6.88671875" style="1546" customWidth="1"/>
    <col min="3078" max="3078" width="6.44140625" style="1546" customWidth="1"/>
    <col min="3079" max="3079" width="6.21875" style="1546" customWidth="1"/>
    <col min="3080" max="3080" width="6.33203125" style="1546" customWidth="1"/>
    <col min="3081" max="3081" width="3.6640625" style="1546" customWidth="1"/>
    <col min="3082" max="3083" width="8.88671875" style="1546"/>
    <col min="3084" max="3084" width="11" style="1546" customWidth="1"/>
    <col min="3085" max="3328" width="8.88671875" style="1546"/>
    <col min="3329" max="3329" width="4.21875" style="1546" customWidth="1"/>
    <col min="3330" max="3330" width="42.77734375" style="1546" customWidth="1"/>
    <col min="3331" max="3331" width="3.88671875" style="1546" customWidth="1"/>
    <col min="3332" max="3332" width="4" style="1546" customWidth="1"/>
    <col min="3333" max="3333" width="6.88671875" style="1546" customWidth="1"/>
    <col min="3334" max="3334" width="6.44140625" style="1546" customWidth="1"/>
    <col min="3335" max="3335" width="6.21875" style="1546" customWidth="1"/>
    <col min="3336" max="3336" width="6.33203125" style="1546" customWidth="1"/>
    <col min="3337" max="3337" width="3.6640625" style="1546" customWidth="1"/>
    <col min="3338" max="3339" width="8.88671875" style="1546"/>
    <col min="3340" max="3340" width="11" style="1546" customWidth="1"/>
    <col min="3341" max="3584" width="8.88671875" style="1546"/>
    <col min="3585" max="3585" width="4.21875" style="1546" customWidth="1"/>
    <col min="3586" max="3586" width="42.77734375" style="1546" customWidth="1"/>
    <col min="3587" max="3587" width="3.88671875" style="1546" customWidth="1"/>
    <col min="3588" max="3588" width="4" style="1546" customWidth="1"/>
    <col min="3589" max="3589" width="6.88671875" style="1546" customWidth="1"/>
    <col min="3590" max="3590" width="6.44140625" style="1546" customWidth="1"/>
    <col min="3591" max="3591" width="6.21875" style="1546" customWidth="1"/>
    <col min="3592" max="3592" width="6.33203125" style="1546" customWidth="1"/>
    <col min="3593" max="3593" width="3.6640625" style="1546" customWidth="1"/>
    <col min="3594" max="3595" width="8.88671875" style="1546"/>
    <col min="3596" max="3596" width="11" style="1546" customWidth="1"/>
    <col min="3597" max="3840" width="8.88671875" style="1546"/>
    <col min="3841" max="3841" width="4.21875" style="1546" customWidth="1"/>
    <col min="3842" max="3842" width="42.77734375" style="1546" customWidth="1"/>
    <col min="3843" max="3843" width="3.88671875" style="1546" customWidth="1"/>
    <col min="3844" max="3844" width="4" style="1546" customWidth="1"/>
    <col min="3845" max="3845" width="6.88671875" style="1546" customWidth="1"/>
    <col min="3846" max="3846" width="6.44140625" style="1546" customWidth="1"/>
    <col min="3847" max="3847" width="6.21875" style="1546" customWidth="1"/>
    <col min="3848" max="3848" width="6.33203125" style="1546" customWidth="1"/>
    <col min="3849" max="3849" width="3.6640625" style="1546" customWidth="1"/>
    <col min="3850" max="3851" width="8.88671875" style="1546"/>
    <col min="3852" max="3852" width="11" style="1546" customWidth="1"/>
    <col min="3853" max="4096" width="8.88671875" style="1546"/>
    <col min="4097" max="4097" width="4.21875" style="1546" customWidth="1"/>
    <col min="4098" max="4098" width="42.77734375" style="1546" customWidth="1"/>
    <col min="4099" max="4099" width="3.88671875" style="1546" customWidth="1"/>
    <col min="4100" max="4100" width="4" style="1546" customWidth="1"/>
    <col min="4101" max="4101" width="6.88671875" style="1546" customWidth="1"/>
    <col min="4102" max="4102" width="6.44140625" style="1546" customWidth="1"/>
    <col min="4103" max="4103" width="6.21875" style="1546" customWidth="1"/>
    <col min="4104" max="4104" width="6.33203125" style="1546" customWidth="1"/>
    <col min="4105" max="4105" width="3.6640625" style="1546" customWidth="1"/>
    <col min="4106" max="4107" width="8.88671875" style="1546"/>
    <col min="4108" max="4108" width="11" style="1546" customWidth="1"/>
    <col min="4109" max="4352" width="8.88671875" style="1546"/>
    <col min="4353" max="4353" width="4.21875" style="1546" customWidth="1"/>
    <col min="4354" max="4354" width="42.77734375" style="1546" customWidth="1"/>
    <col min="4355" max="4355" width="3.88671875" style="1546" customWidth="1"/>
    <col min="4356" max="4356" width="4" style="1546" customWidth="1"/>
    <col min="4357" max="4357" width="6.88671875" style="1546" customWidth="1"/>
    <col min="4358" max="4358" width="6.44140625" style="1546" customWidth="1"/>
    <col min="4359" max="4359" width="6.21875" style="1546" customWidth="1"/>
    <col min="4360" max="4360" width="6.33203125" style="1546" customWidth="1"/>
    <col min="4361" max="4361" width="3.6640625" style="1546" customWidth="1"/>
    <col min="4362" max="4363" width="8.88671875" style="1546"/>
    <col min="4364" max="4364" width="11" style="1546" customWidth="1"/>
    <col min="4365" max="4608" width="8.88671875" style="1546"/>
    <col min="4609" max="4609" width="4.21875" style="1546" customWidth="1"/>
    <col min="4610" max="4610" width="42.77734375" style="1546" customWidth="1"/>
    <col min="4611" max="4611" width="3.88671875" style="1546" customWidth="1"/>
    <col min="4612" max="4612" width="4" style="1546" customWidth="1"/>
    <col min="4613" max="4613" width="6.88671875" style="1546" customWidth="1"/>
    <col min="4614" max="4614" width="6.44140625" style="1546" customWidth="1"/>
    <col min="4615" max="4615" width="6.21875" style="1546" customWidth="1"/>
    <col min="4616" max="4616" width="6.33203125" style="1546" customWidth="1"/>
    <col min="4617" max="4617" width="3.6640625" style="1546" customWidth="1"/>
    <col min="4618" max="4619" width="8.88671875" style="1546"/>
    <col min="4620" max="4620" width="11" style="1546" customWidth="1"/>
    <col min="4621" max="4864" width="8.88671875" style="1546"/>
    <col min="4865" max="4865" width="4.21875" style="1546" customWidth="1"/>
    <col min="4866" max="4866" width="42.77734375" style="1546" customWidth="1"/>
    <col min="4867" max="4867" width="3.88671875" style="1546" customWidth="1"/>
    <col min="4868" max="4868" width="4" style="1546" customWidth="1"/>
    <col min="4869" max="4869" width="6.88671875" style="1546" customWidth="1"/>
    <col min="4870" max="4870" width="6.44140625" style="1546" customWidth="1"/>
    <col min="4871" max="4871" width="6.21875" style="1546" customWidth="1"/>
    <col min="4872" max="4872" width="6.33203125" style="1546" customWidth="1"/>
    <col min="4873" max="4873" width="3.6640625" style="1546" customWidth="1"/>
    <col min="4874" max="4875" width="8.88671875" style="1546"/>
    <col min="4876" max="4876" width="11" style="1546" customWidth="1"/>
    <col min="4877" max="5120" width="8.88671875" style="1546"/>
    <col min="5121" max="5121" width="4.21875" style="1546" customWidth="1"/>
    <col min="5122" max="5122" width="42.77734375" style="1546" customWidth="1"/>
    <col min="5123" max="5123" width="3.88671875" style="1546" customWidth="1"/>
    <col min="5124" max="5124" width="4" style="1546" customWidth="1"/>
    <col min="5125" max="5125" width="6.88671875" style="1546" customWidth="1"/>
    <col min="5126" max="5126" width="6.44140625" style="1546" customWidth="1"/>
    <col min="5127" max="5127" width="6.21875" style="1546" customWidth="1"/>
    <col min="5128" max="5128" width="6.33203125" style="1546" customWidth="1"/>
    <col min="5129" max="5129" width="3.6640625" style="1546" customWidth="1"/>
    <col min="5130" max="5131" width="8.88671875" style="1546"/>
    <col min="5132" max="5132" width="11" style="1546" customWidth="1"/>
    <col min="5133" max="5376" width="8.88671875" style="1546"/>
    <col min="5377" max="5377" width="4.21875" style="1546" customWidth="1"/>
    <col min="5378" max="5378" width="42.77734375" style="1546" customWidth="1"/>
    <col min="5379" max="5379" width="3.88671875" style="1546" customWidth="1"/>
    <col min="5380" max="5380" width="4" style="1546" customWidth="1"/>
    <col min="5381" max="5381" width="6.88671875" style="1546" customWidth="1"/>
    <col min="5382" max="5382" width="6.44140625" style="1546" customWidth="1"/>
    <col min="5383" max="5383" width="6.21875" style="1546" customWidth="1"/>
    <col min="5384" max="5384" width="6.33203125" style="1546" customWidth="1"/>
    <col min="5385" max="5385" width="3.6640625" style="1546" customWidth="1"/>
    <col min="5386" max="5387" width="8.88671875" style="1546"/>
    <col min="5388" max="5388" width="11" style="1546" customWidth="1"/>
    <col min="5389" max="5632" width="8.88671875" style="1546"/>
    <col min="5633" max="5633" width="4.21875" style="1546" customWidth="1"/>
    <col min="5634" max="5634" width="42.77734375" style="1546" customWidth="1"/>
    <col min="5635" max="5635" width="3.88671875" style="1546" customWidth="1"/>
    <col min="5636" max="5636" width="4" style="1546" customWidth="1"/>
    <col min="5637" max="5637" width="6.88671875" style="1546" customWidth="1"/>
    <col min="5638" max="5638" width="6.44140625" style="1546" customWidth="1"/>
    <col min="5639" max="5639" width="6.21875" style="1546" customWidth="1"/>
    <col min="5640" max="5640" width="6.33203125" style="1546" customWidth="1"/>
    <col min="5641" max="5641" width="3.6640625" style="1546" customWidth="1"/>
    <col min="5642" max="5643" width="8.88671875" style="1546"/>
    <col min="5644" max="5644" width="11" style="1546" customWidth="1"/>
    <col min="5645" max="5888" width="8.88671875" style="1546"/>
    <col min="5889" max="5889" width="4.21875" style="1546" customWidth="1"/>
    <col min="5890" max="5890" width="42.77734375" style="1546" customWidth="1"/>
    <col min="5891" max="5891" width="3.88671875" style="1546" customWidth="1"/>
    <col min="5892" max="5892" width="4" style="1546" customWidth="1"/>
    <col min="5893" max="5893" width="6.88671875" style="1546" customWidth="1"/>
    <col min="5894" max="5894" width="6.44140625" style="1546" customWidth="1"/>
    <col min="5895" max="5895" width="6.21875" style="1546" customWidth="1"/>
    <col min="5896" max="5896" width="6.33203125" style="1546" customWidth="1"/>
    <col min="5897" max="5897" width="3.6640625" style="1546" customWidth="1"/>
    <col min="5898" max="5899" width="8.88671875" style="1546"/>
    <col min="5900" max="5900" width="11" style="1546" customWidth="1"/>
    <col min="5901" max="6144" width="8.88671875" style="1546"/>
    <col min="6145" max="6145" width="4.21875" style="1546" customWidth="1"/>
    <col min="6146" max="6146" width="42.77734375" style="1546" customWidth="1"/>
    <col min="6147" max="6147" width="3.88671875" style="1546" customWidth="1"/>
    <col min="6148" max="6148" width="4" style="1546" customWidth="1"/>
    <col min="6149" max="6149" width="6.88671875" style="1546" customWidth="1"/>
    <col min="6150" max="6150" width="6.44140625" style="1546" customWidth="1"/>
    <col min="6151" max="6151" width="6.21875" style="1546" customWidth="1"/>
    <col min="6152" max="6152" width="6.33203125" style="1546" customWidth="1"/>
    <col min="6153" max="6153" width="3.6640625" style="1546" customWidth="1"/>
    <col min="6154" max="6155" width="8.88671875" style="1546"/>
    <col min="6156" max="6156" width="11" style="1546" customWidth="1"/>
    <col min="6157" max="6400" width="8.88671875" style="1546"/>
    <col min="6401" max="6401" width="4.21875" style="1546" customWidth="1"/>
    <col min="6402" max="6402" width="42.77734375" style="1546" customWidth="1"/>
    <col min="6403" max="6403" width="3.88671875" style="1546" customWidth="1"/>
    <col min="6404" max="6404" width="4" style="1546" customWidth="1"/>
    <col min="6405" max="6405" width="6.88671875" style="1546" customWidth="1"/>
    <col min="6406" max="6406" width="6.44140625" style="1546" customWidth="1"/>
    <col min="6407" max="6407" width="6.21875" style="1546" customWidth="1"/>
    <col min="6408" max="6408" width="6.33203125" style="1546" customWidth="1"/>
    <col min="6409" max="6409" width="3.6640625" style="1546" customWidth="1"/>
    <col min="6410" max="6411" width="8.88671875" style="1546"/>
    <col min="6412" max="6412" width="11" style="1546" customWidth="1"/>
    <col min="6413" max="6656" width="8.88671875" style="1546"/>
    <col min="6657" max="6657" width="4.21875" style="1546" customWidth="1"/>
    <col min="6658" max="6658" width="42.77734375" style="1546" customWidth="1"/>
    <col min="6659" max="6659" width="3.88671875" style="1546" customWidth="1"/>
    <col min="6660" max="6660" width="4" style="1546" customWidth="1"/>
    <col min="6661" max="6661" width="6.88671875" style="1546" customWidth="1"/>
    <col min="6662" max="6662" width="6.44140625" style="1546" customWidth="1"/>
    <col min="6663" max="6663" width="6.21875" style="1546" customWidth="1"/>
    <col min="6664" max="6664" width="6.33203125" style="1546" customWidth="1"/>
    <col min="6665" max="6665" width="3.6640625" style="1546" customWidth="1"/>
    <col min="6666" max="6667" width="8.88671875" style="1546"/>
    <col min="6668" max="6668" width="11" style="1546" customWidth="1"/>
    <col min="6669" max="6912" width="8.88671875" style="1546"/>
    <col min="6913" max="6913" width="4.21875" style="1546" customWidth="1"/>
    <col min="6914" max="6914" width="42.77734375" style="1546" customWidth="1"/>
    <col min="6915" max="6915" width="3.88671875" style="1546" customWidth="1"/>
    <col min="6916" max="6916" width="4" style="1546" customWidth="1"/>
    <col min="6917" max="6917" width="6.88671875" style="1546" customWidth="1"/>
    <col min="6918" max="6918" width="6.44140625" style="1546" customWidth="1"/>
    <col min="6919" max="6919" width="6.21875" style="1546" customWidth="1"/>
    <col min="6920" max="6920" width="6.33203125" style="1546" customWidth="1"/>
    <col min="6921" max="6921" width="3.6640625" style="1546" customWidth="1"/>
    <col min="6922" max="6923" width="8.88671875" style="1546"/>
    <col min="6924" max="6924" width="11" style="1546" customWidth="1"/>
    <col min="6925" max="7168" width="8.88671875" style="1546"/>
    <col min="7169" max="7169" width="4.21875" style="1546" customWidth="1"/>
    <col min="7170" max="7170" width="42.77734375" style="1546" customWidth="1"/>
    <col min="7171" max="7171" width="3.88671875" style="1546" customWidth="1"/>
    <col min="7172" max="7172" width="4" style="1546" customWidth="1"/>
    <col min="7173" max="7173" width="6.88671875" style="1546" customWidth="1"/>
    <col min="7174" max="7174" width="6.44140625" style="1546" customWidth="1"/>
    <col min="7175" max="7175" width="6.21875" style="1546" customWidth="1"/>
    <col min="7176" max="7176" width="6.33203125" style="1546" customWidth="1"/>
    <col min="7177" max="7177" width="3.6640625" style="1546" customWidth="1"/>
    <col min="7178" max="7179" width="8.88671875" style="1546"/>
    <col min="7180" max="7180" width="11" style="1546" customWidth="1"/>
    <col min="7181" max="7424" width="8.88671875" style="1546"/>
    <col min="7425" max="7425" width="4.21875" style="1546" customWidth="1"/>
    <col min="7426" max="7426" width="42.77734375" style="1546" customWidth="1"/>
    <col min="7427" max="7427" width="3.88671875" style="1546" customWidth="1"/>
    <col min="7428" max="7428" width="4" style="1546" customWidth="1"/>
    <col min="7429" max="7429" width="6.88671875" style="1546" customWidth="1"/>
    <col min="7430" max="7430" width="6.44140625" style="1546" customWidth="1"/>
    <col min="7431" max="7431" width="6.21875" style="1546" customWidth="1"/>
    <col min="7432" max="7432" width="6.33203125" style="1546" customWidth="1"/>
    <col min="7433" max="7433" width="3.6640625" style="1546" customWidth="1"/>
    <col min="7434" max="7435" width="8.88671875" style="1546"/>
    <col min="7436" max="7436" width="11" style="1546" customWidth="1"/>
    <col min="7437" max="7680" width="8.88671875" style="1546"/>
    <col min="7681" max="7681" width="4.21875" style="1546" customWidth="1"/>
    <col min="7682" max="7682" width="42.77734375" style="1546" customWidth="1"/>
    <col min="7683" max="7683" width="3.88671875" style="1546" customWidth="1"/>
    <col min="7684" max="7684" width="4" style="1546" customWidth="1"/>
    <col min="7685" max="7685" width="6.88671875" style="1546" customWidth="1"/>
    <col min="7686" max="7686" width="6.44140625" style="1546" customWidth="1"/>
    <col min="7687" max="7687" width="6.21875" style="1546" customWidth="1"/>
    <col min="7688" max="7688" width="6.33203125" style="1546" customWidth="1"/>
    <col min="7689" max="7689" width="3.6640625" style="1546" customWidth="1"/>
    <col min="7690" max="7691" width="8.88671875" style="1546"/>
    <col min="7692" max="7692" width="11" style="1546" customWidth="1"/>
    <col min="7693" max="7936" width="8.88671875" style="1546"/>
    <col min="7937" max="7937" width="4.21875" style="1546" customWidth="1"/>
    <col min="7938" max="7938" width="42.77734375" style="1546" customWidth="1"/>
    <col min="7939" max="7939" width="3.88671875" style="1546" customWidth="1"/>
    <col min="7940" max="7940" width="4" style="1546" customWidth="1"/>
    <col min="7941" max="7941" width="6.88671875" style="1546" customWidth="1"/>
    <col min="7942" max="7942" width="6.44140625" style="1546" customWidth="1"/>
    <col min="7943" max="7943" width="6.21875" style="1546" customWidth="1"/>
    <col min="7944" max="7944" width="6.33203125" style="1546" customWidth="1"/>
    <col min="7945" max="7945" width="3.6640625" style="1546" customWidth="1"/>
    <col min="7946" max="7947" width="8.88671875" style="1546"/>
    <col min="7948" max="7948" width="11" style="1546" customWidth="1"/>
    <col min="7949" max="8192" width="8.88671875" style="1546"/>
    <col min="8193" max="8193" width="4.21875" style="1546" customWidth="1"/>
    <col min="8194" max="8194" width="42.77734375" style="1546" customWidth="1"/>
    <col min="8195" max="8195" width="3.88671875" style="1546" customWidth="1"/>
    <col min="8196" max="8196" width="4" style="1546" customWidth="1"/>
    <col min="8197" max="8197" width="6.88671875" style="1546" customWidth="1"/>
    <col min="8198" max="8198" width="6.44140625" style="1546" customWidth="1"/>
    <col min="8199" max="8199" width="6.21875" style="1546" customWidth="1"/>
    <col min="8200" max="8200" width="6.33203125" style="1546" customWidth="1"/>
    <col min="8201" max="8201" width="3.6640625" style="1546" customWidth="1"/>
    <col min="8202" max="8203" width="8.88671875" style="1546"/>
    <col min="8204" max="8204" width="11" style="1546" customWidth="1"/>
    <col min="8205" max="8448" width="8.88671875" style="1546"/>
    <col min="8449" max="8449" width="4.21875" style="1546" customWidth="1"/>
    <col min="8450" max="8450" width="42.77734375" style="1546" customWidth="1"/>
    <col min="8451" max="8451" width="3.88671875" style="1546" customWidth="1"/>
    <col min="8452" max="8452" width="4" style="1546" customWidth="1"/>
    <col min="8453" max="8453" width="6.88671875" style="1546" customWidth="1"/>
    <col min="8454" max="8454" width="6.44140625" style="1546" customWidth="1"/>
    <col min="8455" max="8455" width="6.21875" style="1546" customWidth="1"/>
    <col min="8456" max="8456" width="6.33203125" style="1546" customWidth="1"/>
    <col min="8457" max="8457" width="3.6640625" style="1546" customWidth="1"/>
    <col min="8458" max="8459" width="8.88671875" style="1546"/>
    <col min="8460" max="8460" width="11" style="1546" customWidth="1"/>
    <col min="8461" max="8704" width="8.88671875" style="1546"/>
    <col min="8705" max="8705" width="4.21875" style="1546" customWidth="1"/>
    <col min="8706" max="8706" width="42.77734375" style="1546" customWidth="1"/>
    <col min="8707" max="8707" width="3.88671875" style="1546" customWidth="1"/>
    <col min="8708" max="8708" width="4" style="1546" customWidth="1"/>
    <col min="8709" max="8709" width="6.88671875" style="1546" customWidth="1"/>
    <col min="8710" max="8710" width="6.44140625" style="1546" customWidth="1"/>
    <col min="8711" max="8711" width="6.21875" style="1546" customWidth="1"/>
    <col min="8712" max="8712" width="6.33203125" style="1546" customWidth="1"/>
    <col min="8713" max="8713" width="3.6640625" style="1546" customWidth="1"/>
    <col min="8714" max="8715" width="8.88671875" style="1546"/>
    <col min="8716" max="8716" width="11" style="1546" customWidth="1"/>
    <col min="8717" max="8960" width="8.88671875" style="1546"/>
    <col min="8961" max="8961" width="4.21875" style="1546" customWidth="1"/>
    <col min="8962" max="8962" width="42.77734375" style="1546" customWidth="1"/>
    <col min="8963" max="8963" width="3.88671875" style="1546" customWidth="1"/>
    <col min="8964" max="8964" width="4" style="1546" customWidth="1"/>
    <col min="8965" max="8965" width="6.88671875" style="1546" customWidth="1"/>
    <col min="8966" max="8966" width="6.44140625" style="1546" customWidth="1"/>
    <col min="8967" max="8967" width="6.21875" style="1546" customWidth="1"/>
    <col min="8968" max="8968" width="6.33203125" style="1546" customWidth="1"/>
    <col min="8969" max="8969" width="3.6640625" style="1546" customWidth="1"/>
    <col min="8970" max="8971" width="8.88671875" style="1546"/>
    <col min="8972" max="8972" width="11" style="1546" customWidth="1"/>
    <col min="8973" max="9216" width="8.88671875" style="1546"/>
    <col min="9217" max="9217" width="4.21875" style="1546" customWidth="1"/>
    <col min="9218" max="9218" width="42.77734375" style="1546" customWidth="1"/>
    <col min="9219" max="9219" width="3.88671875" style="1546" customWidth="1"/>
    <col min="9220" max="9220" width="4" style="1546" customWidth="1"/>
    <col min="9221" max="9221" width="6.88671875" style="1546" customWidth="1"/>
    <col min="9222" max="9222" width="6.44140625" style="1546" customWidth="1"/>
    <col min="9223" max="9223" width="6.21875" style="1546" customWidth="1"/>
    <col min="9224" max="9224" width="6.33203125" style="1546" customWidth="1"/>
    <col min="9225" max="9225" width="3.6640625" style="1546" customWidth="1"/>
    <col min="9226" max="9227" width="8.88671875" style="1546"/>
    <col min="9228" max="9228" width="11" style="1546" customWidth="1"/>
    <col min="9229" max="9472" width="8.88671875" style="1546"/>
    <col min="9473" max="9473" width="4.21875" style="1546" customWidth="1"/>
    <col min="9474" max="9474" width="42.77734375" style="1546" customWidth="1"/>
    <col min="9475" max="9475" width="3.88671875" style="1546" customWidth="1"/>
    <col min="9476" max="9476" width="4" style="1546" customWidth="1"/>
    <col min="9477" max="9477" width="6.88671875" style="1546" customWidth="1"/>
    <col min="9478" max="9478" width="6.44140625" style="1546" customWidth="1"/>
    <col min="9479" max="9479" width="6.21875" style="1546" customWidth="1"/>
    <col min="9480" max="9480" width="6.33203125" style="1546" customWidth="1"/>
    <col min="9481" max="9481" width="3.6640625" style="1546" customWidth="1"/>
    <col min="9482" max="9483" width="8.88671875" style="1546"/>
    <col min="9484" max="9484" width="11" style="1546" customWidth="1"/>
    <col min="9485" max="9728" width="8.88671875" style="1546"/>
    <col min="9729" max="9729" width="4.21875" style="1546" customWidth="1"/>
    <col min="9730" max="9730" width="42.77734375" style="1546" customWidth="1"/>
    <col min="9731" max="9731" width="3.88671875" style="1546" customWidth="1"/>
    <col min="9732" max="9732" width="4" style="1546" customWidth="1"/>
    <col min="9733" max="9733" width="6.88671875" style="1546" customWidth="1"/>
    <col min="9734" max="9734" width="6.44140625" style="1546" customWidth="1"/>
    <col min="9735" max="9735" width="6.21875" style="1546" customWidth="1"/>
    <col min="9736" max="9736" width="6.33203125" style="1546" customWidth="1"/>
    <col min="9737" max="9737" width="3.6640625" style="1546" customWidth="1"/>
    <col min="9738" max="9739" width="8.88671875" style="1546"/>
    <col min="9740" max="9740" width="11" style="1546" customWidth="1"/>
    <col min="9741" max="9984" width="8.88671875" style="1546"/>
    <col min="9985" max="9985" width="4.21875" style="1546" customWidth="1"/>
    <col min="9986" max="9986" width="42.77734375" style="1546" customWidth="1"/>
    <col min="9987" max="9987" width="3.88671875" style="1546" customWidth="1"/>
    <col min="9988" max="9988" width="4" style="1546" customWidth="1"/>
    <col min="9989" max="9989" width="6.88671875" style="1546" customWidth="1"/>
    <col min="9990" max="9990" width="6.44140625" style="1546" customWidth="1"/>
    <col min="9991" max="9991" width="6.21875" style="1546" customWidth="1"/>
    <col min="9992" max="9992" width="6.33203125" style="1546" customWidth="1"/>
    <col min="9993" max="9993" width="3.6640625" style="1546" customWidth="1"/>
    <col min="9994" max="9995" width="8.88671875" style="1546"/>
    <col min="9996" max="9996" width="11" style="1546" customWidth="1"/>
    <col min="9997" max="10240" width="8.88671875" style="1546"/>
    <col min="10241" max="10241" width="4.21875" style="1546" customWidth="1"/>
    <col min="10242" max="10242" width="42.77734375" style="1546" customWidth="1"/>
    <col min="10243" max="10243" width="3.88671875" style="1546" customWidth="1"/>
    <col min="10244" max="10244" width="4" style="1546" customWidth="1"/>
    <col min="10245" max="10245" width="6.88671875" style="1546" customWidth="1"/>
    <col min="10246" max="10246" width="6.44140625" style="1546" customWidth="1"/>
    <col min="10247" max="10247" width="6.21875" style="1546" customWidth="1"/>
    <col min="10248" max="10248" width="6.33203125" style="1546" customWidth="1"/>
    <col min="10249" max="10249" width="3.6640625" style="1546" customWidth="1"/>
    <col min="10250" max="10251" width="8.88671875" style="1546"/>
    <col min="10252" max="10252" width="11" style="1546" customWidth="1"/>
    <col min="10253" max="10496" width="8.88671875" style="1546"/>
    <col min="10497" max="10497" width="4.21875" style="1546" customWidth="1"/>
    <col min="10498" max="10498" width="42.77734375" style="1546" customWidth="1"/>
    <col min="10499" max="10499" width="3.88671875" style="1546" customWidth="1"/>
    <col min="10500" max="10500" width="4" style="1546" customWidth="1"/>
    <col min="10501" max="10501" width="6.88671875" style="1546" customWidth="1"/>
    <col min="10502" max="10502" width="6.44140625" style="1546" customWidth="1"/>
    <col min="10503" max="10503" width="6.21875" style="1546" customWidth="1"/>
    <col min="10504" max="10504" width="6.33203125" style="1546" customWidth="1"/>
    <col min="10505" max="10505" width="3.6640625" style="1546" customWidth="1"/>
    <col min="10506" max="10507" width="8.88671875" style="1546"/>
    <col min="10508" max="10508" width="11" style="1546" customWidth="1"/>
    <col min="10509" max="10752" width="8.88671875" style="1546"/>
    <col min="10753" max="10753" width="4.21875" style="1546" customWidth="1"/>
    <col min="10754" max="10754" width="42.77734375" style="1546" customWidth="1"/>
    <col min="10755" max="10755" width="3.88671875" style="1546" customWidth="1"/>
    <col min="10756" max="10756" width="4" style="1546" customWidth="1"/>
    <col min="10757" max="10757" width="6.88671875" style="1546" customWidth="1"/>
    <col min="10758" max="10758" width="6.44140625" style="1546" customWidth="1"/>
    <col min="10759" max="10759" width="6.21875" style="1546" customWidth="1"/>
    <col min="10760" max="10760" width="6.33203125" style="1546" customWidth="1"/>
    <col min="10761" max="10761" width="3.6640625" style="1546" customWidth="1"/>
    <col min="10762" max="10763" width="8.88671875" style="1546"/>
    <col min="10764" max="10764" width="11" style="1546" customWidth="1"/>
    <col min="10765" max="11008" width="8.88671875" style="1546"/>
    <col min="11009" max="11009" width="4.21875" style="1546" customWidth="1"/>
    <col min="11010" max="11010" width="42.77734375" style="1546" customWidth="1"/>
    <col min="11011" max="11011" width="3.88671875" style="1546" customWidth="1"/>
    <col min="11012" max="11012" width="4" style="1546" customWidth="1"/>
    <col min="11013" max="11013" width="6.88671875" style="1546" customWidth="1"/>
    <col min="11014" max="11014" width="6.44140625" style="1546" customWidth="1"/>
    <col min="11015" max="11015" width="6.21875" style="1546" customWidth="1"/>
    <col min="11016" max="11016" width="6.33203125" style="1546" customWidth="1"/>
    <col min="11017" max="11017" width="3.6640625" style="1546" customWidth="1"/>
    <col min="11018" max="11019" width="8.88671875" style="1546"/>
    <col min="11020" max="11020" width="11" style="1546" customWidth="1"/>
    <col min="11021" max="11264" width="8.88671875" style="1546"/>
    <col min="11265" max="11265" width="4.21875" style="1546" customWidth="1"/>
    <col min="11266" max="11266" width="42.77734375" style="1546" customWidth="1"/>
    <col min="11267" max="11267" width="3.88671875" style="1546" customWidth="1"/>
    <col min="11268" max="11268" width="4" style="1546" customWidth="1"/>
    <col min="11269" max="11269" width="6.88671875" style="1546" customWidth="1"/>
    <col min="11270" max="11270" width="6.44140625" style="1546" customWidth="1"/>
    <col min="11271" max="11271" width="6.21875" style="1546" customWidth="1"/>
    <col min="11272" max="11272" width="6.33203125" style="1546" customWidth="1"/>
    <col min="11273" max="11273" width="3.6640625" style="1546" customWidth="1"/>
    <col min="11274" max="11275" width="8.88671875" style="1546"/>
    <col min="11276" max="11276" width="11" style="1546" customWidth="1"/>
    <col min="11277" max="11520" width="8.88671875" style="1546"/>
    <col min="11521" max="11521" width="4.21875" style="1546" customWidth="1"/>
    <col min="11522" max="11522" width="42.77734375" style="1546" customWidth="1"/>
    <col min="11523" max="11523" width="3.88671875" style="1546" customWidth="1"/>
    <col min="11524" max="11524" width="4" style="1546" customWidth="1"/>
    <col min="11525" max="11525" width="6.88671875" style="1546" customWidth="1"/>
    <col min="11526" max="11526" width="6.44140625" style="1546" customWidth="1"/>
    <col min="11527" max="11527" width="6.21875" style="1546" customWidth="1"/>
    <col min="11528" max="11528" width="6.33203125" style="1546" customWidth="1"/>
    <col min="11529" max="11529" width="3.6640625" style="1546" customWidth="1"/>
    <col min="11530" max="11531" width="8.88671875" style="1546"/>
    <col min="11532" max="11532" width="11" style="1546" customWidth="1"/>
    <col min="11533" max="11776" width="8.88671875" style="1546"/>
    <col min="11777" max="11777" width="4.21875" style="1546" customWidth="1"/>
    <col min="11778" max="11778" width="42.77734375" style="1546" customWidth="1"/>
    <col min="11779" max="11779" width="3.88671875" style="1546" customWidth="1"/>
    <col min="11780" max="11780" width="4" style="1546" customWidth="1"/>
    <col min="11781" max="11781" width="6.88671875" style="1546" customWidth="1"/>
    <col min="11782" max="11782" width="6.44140625" style="1546" customWidth="1"/>
    <col min="11783" max="11783" width="6.21875" style="1546" customWidth="1"/>
    <col min="11784" max="11784" width="6.33203125" style="1546" customWidth="1"/>
    <col min="11785" max="11785" width="3.6640625" style="1546" customWidth="1"/>
    <col min="11786" max="11787" width="8.88671875" style="1546"/>
    <col min="11788" max="11788" width="11" style="1546" customWidth="1"/>
    <col min="11789" max="12032" width="8.88671875" style="1546"/>
    <col min="12033" max="12033" width="4.21875" style="1546" customWidth="1"/>
    <col min="12034" max="12034" width="42.77734375" style="1546" customWidth="1"/>
    <col min="12035" max="12035" width="3.88671875" style="1546" customWidth="1"/>
    <col min="12036" max="12036" width="4" style="1546" customWidth="1"/>
    <col min="12037" max="12037" width="6.88671875" style="1546" customWidth="1"/>
    <col min="12038" max="12038" width="6.44140625" style="1546" customWidth="1"/>
    <col min="12039" max="12039" width="6.21875" style="1546" customWidth="1"/>
    <col min="12040" max="12040" width="6.33203125" style="1546" customWidth="1"/>
    <col min="12041" max="12041" width="3.6640625" style="1546" customWidth="1"/>
    <col min="12042" max="12043" width="8.88671875" style="1546"/>
    <col min="12044" max="12044" width="11" style="1546" customWidth="1"/>
    <col min="12045" max="12288" width="8.88671875" style="1546"/>
    <col min="12289" max="12289" width="4.21875" style="1546" customWidth="1"/>
    <col min="12290" max="12290" width="42.77734375" style="1546" customWidth="1"/>
    <col min="12291" max="12291" width="3.88671875" style="1546" customWidth="1"/>
    <col min="12292" max="12292" width="4" style="1546" customWidth="1"/>
    <col min="12293" max="12293" width="6.88671875" style="1546" customWidth="1"/>
    <col min="12294" max="12294" width="6.44140625" style="1546" customWidth="1"/>
    <col min="12295" max="12295" width="6.21875" style="1546" customWidth="1"/>
    <col min="12296" max="12296" width="6.33203125" style="1546" customWidth="1"/>
    <col min="12297" max="12297" width="3.6640625" style="1546" customWidth="1"/>
    <col min="12298" max="12299" width="8.88671875" style="1546"/>
    <col min="12300" max="12300" width="11" style="1546" customWidth="1"/>
    <col min="12301" max="12544" width="8.88671875" style="1546"/>
    <col min="12545" max="12545" width="4.21875" style="1546" customWidth="1"/>
    <col min="12546" max="12546" width="42.77734375" style="1546" customWidth="1"/>
    <col min="12547" max="12547" width="3.88671875" style="1546" customWidth="1"/>
    <col min="12548" max="12548" width="4" style="1546" customWidth="1"/>
    <col min="12549" max="12549" width="6.88671875" style="1546" customWidth="1"/>
    <col min="12550" max="12550" width="6.44140625" style="1546" customWidth="1"/>
    <col min="12551" max="12551" width="6.21875" style="1546" customWidth="1"/>
    <col min="12552" max="12552" width="6.33203125" style="1546" customWidth="1"/>
    <col min="12553" max="12553" width="3.6640625" style="1546" customWidth="1"/>
    <col min="12554" max="12555" width="8.88671875" style="1546"/>
    <col min="12556" max="12556" width="11" style="1546" customWidth="1"/>
    <col min="12557" max="12800" width="8.88671875" style="1546"/>
    <col min="12801" max="12801" width="4.21875" style="1546" customWidth="1"/>
    <col min="12802" max="12802" width="42.77734375" style="1546" customWidth="1"/>
    <col min="12803" max="12803" width="3.88671875" style="1546" customWidth="1"/>
    <col min="12804" max="12804" width="4" style="1546" customWidth="1"/>
    <col min="12805" max="12805" width="6.88671875" style="1546" customWidth="1"/>
    <col min="12806" max="12806" width="6.44140625" style="1546" customWidth="1"/>
    <col min="12807" max="12807" width="6.21875" style="1546" customWidth="1"/>
    <col min="12808" max="12808" width="6.33203125" style="1546" customWidth="1"/>
    <col min="12809" max="12809" width="3.6640625" style="1546" customWidth="1"/>
    <col min="12810" max="12811" width="8.88671875" style="1546"/>
    <col min="12812" max="12812" width="11" style="1546" customWidth="1"/>
    <col min="12813" max="13056" width="8.88671875" style="1546"/>
    <col min="13057" max="13057" width="4.21875" style="1546" customWidth="1"/>
    <col min="13058" max="13058" width="42.77734375" style="1546" customWidth="1"/>
    <col min="13059" max="13059" width="3.88671875" style="1546" customWidth="1"/>
    <col min="13060" max="13060" width="4" style="1546" customWidth="1"/>
    <col min="13061" max="13061" width="6.88671875" style="1546" customWidth="1"/>
    <col min="13062" max="13062" width="6.44140625" style="1546" customWidth="1"/>
    <col min="13063" max="13063" width="6.21875" style="1546" customWidth="1"/>
    <col min="13064" max="13064" width="6.33203125" style="1546" customWidth="1"/>
    <col min="13065" max="13065" width="3.6640625" style="1546" customWidth="1"/>
    <col min="13066" max="13067" width="8.88671875" style="1546"/>
    <col min="13068" max="13068" width="11" style="1546" customWidth="1"/>
    <col min="13069" max="13312" width="8.88671875" style="1546"/>
    <col min="13313" max="13313" width="4.21875" style="1546" customWidth="1"/>
    <col min="13314" max="13314" width="42.77734375" style="1546" customWidth="1"/>
    <col min="13315" max="13315" width="3.88671875" style="1546" customWidth="1"/>
    <col min="13316" max="13316" width="4" style="1546" customWidth="1"/>
    <col min="13317" max="13317" width="6.88671875" style="1546" customWidth="1"/>
    <col min="13318" max="13318" width="6.44140625" style="1546" customWidth="1"/>
    <col min="13319" max="13319" width="6.21875" style="1546" customWidth="1"/>
    <col min="13320" max="13320" width="6.33203125" style="1546" customWidth="1"/>
    <col min="13321" max="13321" width="3.6640625" style="1546" customWidth="1"/>
    <col min="13322" max="13323" width="8.88671875" style="1546"/>
    <col min="13324" max="13324" width="11" style="1546" customWidth="1"/>
    <col min="13325" max="13568" width="8.88671875" style="1546"/>
    <col min="13569" max="13569" width="4.21875" style="1546" customWidth="1"/>
    <col min="13570" max="13570" width="42.77734375" style="1546" customWidth="1"/>
    <col min="13571" max="13571" width="3.88671875" style="1546" customWidth="1"/>
    <col min="13572" max="13572" width="4" style="1546" customWidth="1"/>
    <col min="13573" max="13573" width="6.88671875" style="1546" customWidth="1"/>
    <col min="13574" max="13574" width="6.44140625" style="1546" customWidth="1"/>
    <col min="13575" max="13575" width="6.21875" style="1546" customWidth="1"/>
    <col min="13576" max="13576" width="6.33203125" style="1546" customWidth="1"/>
    <col min="13577" max="13577" width="3.6640625" style="1546" customWidth="1"/>
    <col min="13578" max="13579" width="8.88671875" style="1546"/>
    <col min="13580" max="13580" width="11" style="1546" customWidth="1"/>
    <col min="13581" max="13824" width="8.88671875" style="1546"/>
    <col min="13825" max="13825" width="4.21875" style="1546" customWidth="1"/>
    <col min="13826" max="13826" width="42.77734375" style="1546" customWidth="1"/>
    <col min="13827" max="13827" width="3.88671875" style="1546" customWidth="1"/>
    <col min="13828" max="13828" width="4" style="1546" customWidth="1"/>
    <col min="13829" max="13829" width="6.88671875" style="1546" customWidth="1"/>
    <col min="13830" max="13830" width="6.44140625" style="1546" customWidth="1"/>
    <col min="13831" max="13831" width="6.21875" style="1546" customWidth="1"/>
    <col min="13832" max="13832" width="6.33203125" style="1546" customWidth="1"/>
    <col min="13833" max="13833" width="3.6640625" style="1546" customWidth="1"/>
    <col min="13834" max="13835" width="8.88671875" style="1546"/>
    <col min="13836" max="13836" width="11" style="1546" customWidth="1"/>
    <col min="13837" max="14080" width="8.88671875" style="1546"/>
    <col min="14081" max="14081" width="4.21875" style="1546" customWidth="1"/>
    <col min="14082" max="14082" width="42.77734375" style="1546" customWidth="1"/>
    <col min="14083" max="14083" width="3.88671875" style="1546" customWidth="1"/>
    <col min="14084" max="14084" width="4" style="1546" customWidth="1"/>
    <col min="14085" max="14085" width="6.88671875" style="1546" customWidth="1"/>
    <col min="14086" max="14086" width="6.44140625" style="1546" customWidth="1"/>
    <col min="14087" max="14087" width="6.21875" style="1546" customWidth="1"/>
    <col min="14088" max="14088" width="6.33203125" style="1546" customWidth="1"/>
    <col min="14089" max="14089" width="3.6640625" style="1546" customWidth="1"/>
    <col min="14090" max="14091" width="8.88671875" style="1546"/>
    <col min="14092" max="14092" width="11" style="1546" customWidth="1"/>
    <col min="14093" max="14336" width="8.88671875" style="1546"/>
    <col min="14337" max="14337" width="4.21875" style="1546" customWidth="1"/>
    <col min="14338" max="14338" width="42.77734375" style="1546" customWidth="1"/>
    <col min="14339" max="14339" width="3.88671875" style="1546" customWidth="1"/>
    <col min="14340" max="14340" width="4" style="1546" customWidth="1"/>
    <col min="14341" max="14341" width="6.88671875" style="1546" customWidth="1"/>
    <col min="14342" max="14342" width="6.44140625" style="1546" customWidth="1"/>
    <col min="14343" max="14343" width="6.21875" style="1546" customWidth="1"/>
    <col min="14344" max="14344" width="6.33203125" style="1546" customWidth="1"/>
    <col min="14345" max="14345" width="3.6640625" style="1546" customWidth="1"/>
    <col min="14346" max="14347" width="8.88671875" style="1546"/>
    <col min="14348" max="14348" width="11" style="1546" customWidth="1"/>
    <col min="14349" max="14592" width="8.88671875" style="1546"/>
    <col min="14593" max="14593" width="4.21875" style="1546" customWidth="1"/>
    <col min="14594" max="14594" width="42.77734375" style="1546" customWidth="1"/>
    <col min="14595" max="14595" width="3.88671875" style="1546" customWidth="1"/>
    <col min="14596" max="14596" width="4" style="1546" customWidth="1"/>
    <col min="14597" max="14597" width="6.88671875" style="1546" customWidth="1"/>
    <col min="14598" max="14598" width="6.44140625" style="1546" customWidth="1"/>
    <col min="14599" max="14599" width="6.21875" style="1546" customWidth="1"/>
    <col min="14600" max="14600" width="6.33203125" style="1546" customWidth="1"/>
    <col min="14601" max="14601" width="3.6640625" style="1546" customWidth="1"/>
    <col min="14602" max="14603" width="8.88671875" style="1546"/>
    <col min="14604" max="14604" width="11" style="1546" customWidth="1"/>
    <col min="14605" max="14848" width="8.88671875" style="1546"/>
    <col min="14849" max="14849" width="4.21875" style="1546" customWidth="1"/>
    <col min="14850" max="14850" width="42.77734375" style="1546" customWidth="1"/>
    <col min="14851" max="14851" width="3.88671875" style="1546" customWidth="1"/>
    <col min="14852" max="14852" width="4" style="1546" customWidth="1"/>
    <col min="14853" max="14853" width="6.88671875" style="1546" customWidth="1"/>
    <col min="14854" max="14854" width="6.44140625" style="1546" customWidth="1"/>
    <col min="14855" max="14855" width="6.21875" style="1546" customWidth="1"/>
    <col min="14856" max="14856" width="6.33203125" style="1546" customWidth="1"/>
    <col min="14857" max="14857" width="3.6640625" style="1546" customWidth="1"/>
    <col min="14858" max="14859" width="8.88671875" style="1546"/>
    <col min="14860" max="14860" width="11" style="1546" customWidth="1"/>
    <col min="14861" max="15104" width="8.88671875" style="1546"/>
    <col min="15105" max="15105" width="4.21875" style="1546" customWidth="1"/>
    <col min="15106" max="15106" width="42.77734375" style="1546" customWidth="1"/>
    <col min="15107" max="15107" width="3.88671875" style="1546" customWidth="1"/>
    <col min="15108" max="15108" width="4" style="1546" customWidth="1"/>
    <col min="15109" max="15109" width="6.88671875" style="1546" customWidth="1"/>
    <col min="15110" max="15110" width="6.44140625" style="1546" customWidth="1"/>
    <col min="15111" max="15111" width="6.21875" style="1546" customWidth="1"/>
    <col min="15112" max="15112" width="6.33203125" style="1546" customWidth="1"/>
    <col min="15113" max="15113" width="3.6640625" style="1546" customWidth="1"/>
    <col min="15114" max="15115" width="8.88671875" style="1546"/>
    <col min="15116" max="15116" width="11" style="1546" customWidth="1"/>
    <col min="15117" max="15360" width="8.88671875" style="1546"/>
    <col min="15361" max="15361" width="4.21875" style="1546" customWidth="1"/>
    <col min="15362" max="15362" width="42.77734375" style="1546" customWidth="1"/>
    <col min="15363" max="15363" width="3.88671875" style="1546" customWidth="1"/>
    <col min="15364" max="15364" width="4" style="1546" customWidth="1"/>
    <col min="15365" max="15365" width="6.88671875" style="1546" customWidth="1"/>
    <col min="15366" max="15366" width="6.44140625" style="1546" customWidth="1"/>
    <col min="15367" max="15367" width="6.21875" style="1546" customWidth="1"/>
    <col min="15368" max="15368" width="6.33203125" style="1546" customWidth="1"/>
    <col min="15369" max="15369" width="3.6640625" style="1546" customWidth="1"/>
    <col min="15370" max="15371" width="8.88671875" style="1546"/>
    <col min="15372" max="15372" width="11" style="1546" customWidth="1"/>
    <col min="15373" max="15616" width="8.88671875" style="1546"/>
    <col min="15617" max="15617" width="4.21875" style="1546" customWidth="1"/>
    <col min="15618" max="15618" width="42.77734375" style="1546" customWidth="1"/>
    <col min="15619" max="15619" width="3.88671875" style="1546" customWidth="1"/>
    <col min="15620" max="15620" width="4" style="1546" customWidth="1"/>
    <col min="15621" max="15621" width="6.88671875" style="1546" customWidth="1"/>
    <col min="15622" max="15622" width="6.44140625" style="1546" customWidth="1"/>
    <col min="15623" max="15623" width="6.21875" style="1546" customWidth="1"/>
    <col min="15624" max="15624" width="6.33203125" style="1546" customWidth="1"/>
    <col min="15625" max="15625" width="3.6640625" style="1546" customWidth="1"/>
    <col min="15626" max="15627" width="8.88671875" style="1546"/>
    <col min="15628" max="15628" width="11" style="1546" customWidth="1"/>
    <col min="15629" max="15872" width="8.88671875" style="1546"/>
    <col min="15873" max="15873" width="4.21875" style="1546" customWidth="1"/>
    <col min="15874" max="15874" width="42.77734375" style="1546" customWidth="1"/>
    <col min="15875" max="15875" width="3.88671875" style="1546" customWidth="1"/>
    <col min="15876" max="15876" width="4" style="1546" customWidth="1"/>
    <col min="15877" max="15877" width="6.88671875" style="1546" customWidth="1"/>
    <col min="15878" max="15878" width="6.44140625" style="1546" customWidth="1"/>
    <col min="15879" max="15879" width="6.21875" style="1546" customWidth="1"/>
    <col min="15880" max="15880" width="6.33203125" style="1546" customWidth="1"/>
    <col min="15881" max="15881" width="3.6640625" style="1546" customWidth="1"/>
    <col min="15882" max="15883" width="8.88671875" style="1546"/>
    <col min="15884" max="15884" width="11" style="1546" customWidth="1"/>
    <col min="15885" max="16128" width="8.88671875" style="1546"/>
    <col min="16129" max="16129" width="4.21875" style="1546" customWidth="1"/>
    <col min="16130" max="16130" width="42.77734375" style="1546" customWidth="1"/>
    <col min="16131" max="16131" width="3.88671875" style="1546" customWidth="1"/>
    <col min="16132" max="16132" width="4" style="1546" customWidth="1"/>
    <col min="16133" max="16133" width="6.88671875" style="1546" customWidth="1"/>
    <col min="16134" max="16134" width="6.44140625" style="1546" customWidth="1"/>
    <col min="16135" max="16135" width="6.21875" style="1546" customWidth="1"/>
    <col min="16136" max="16136" width="6.33203125" style="1546" customWidth="1"/>
    <col min="16137" max="16137" width="3.6640625" style="1546" customWidth="1"/>
    <col min="16138" max="16139" width="8.88671875" style="1546"/>
    <col min="16140" max="16140" width="11" style="1546" customWidth="1"/>
    <col min="16141" max="16384" width="8.88671875" style="1546"/>
  </cols>
  <sheetData>
    <row r="1" spans="1:10" ht="65.25" customHeight="1">
      <c r="A1" s="1545" t="str">
        <f>'Septic tank'!A1:I1</f>
        <v>Name of work: Construction of DSP camp office cum Residence with development works at Cuddalore New town in Cuddalore District</v>
      </c>
      <c r="B1" s="1545"/>
      <c r="C1" s="1545"/>
      <c r="D1" s="1545"/>
      <c r="E1" s="1545"/>
      <c r="F1" s="1545"/>
      <c r="G1" s="1545"/>
      <c r="H1" s="1545"/>
      <c r="I1" s="1545"/>
    </row>
    <row r="2" spans="1:10" ht="24" customHeight="1">
      <c r="A2" s="1547" t="s">
        <v>6721</v>
      </c>
      <c r="B2" s="1547"/>
      <c r="C2" s="1547"/>
      <c r="D2" s="1547"/>
      <c r="E2" s="1547"/>
      <c r="F2" s="1547"/>
      <c r="G2" s="1547"/>
      <c r="H2" s="1547"/>
      <c r="I2" s="1547"/>
    </row>
    <row r="3" spans="1:10" ht="23.25" customHeight="1">
      <c r="A3" s="1548" t="s">
        <v>7117</v>
      </c>
      <c r="B3" s="1548"/>
      <c r="C3" s="1548"/>
      <c r="D3" s="1548"/>
      <c r="E3" s="1548"/>
      <c r="F3" s="1548"/>
      <c r="G3" s="1548"/>
      <c r="H3" s="1548"/>
      <c r="I3" s="1548"/>
    </row>
    <row r="4" spans="1:10" ht="21.75" customHeight="1">
      <c r="A4" s="1549" t="s">
        <v>7217</v>
      </c>
      <c r="B4" s="1550" t="s">
        <v>7218</v>
      </c>
      <c r="C4" s="1550" t="s">
        <v>1389</v>
      </c>
      <c r="D4" s="1550"/>
      <c r="E4" s="1550" t="s">
        <v>7219</v>
      </c>
      <c r="F4" s="1550"/>
      <c r="G4" s="1550"/>
      <c r="H4" s="1550" t="s">
        <v>1034</v>
      </c>
    </row>
    <row r="5" spans="1:10" ht="21.75" customHeight="1">
      <c r="A5" s="1549"/>
      <c r="B5" s="1550"/>
      <c r="C5" s="1550"/>
      <c r="D5" s="1550"/>
      <c r="E5" s="1552" t="s">
        <v>5797</v>
      </c>
      <c r="F5" s="1552" t="s">
        <v>1548</v>
      </c>
      <c r="G5" s="1552" t="s">
        <v>5798</v>
      </c>
      <c r="H5" s="1550"/>
    </row>
    <row r="6" spans="1:10" s="1556" customFormat="1" ht="91.5" customHeight="1">
      <c r="A6" s="748">
        <v>1</v>
      </c>
      <c r="B6" s="1553" t="s">
        <v>7220</v>
      </c>
      <c r="C6" s="755"/>
      <c r="D6" s="755"/>
      <c r="E6" s="755"/>
      <c r="F6" s="755"/>
      <c r="G6" s="755"/>
      <c r="H6" s="1554"/>
      <c r="I6" s="1555"/>
    </row>
    <row r="7" spans="1:10" s="1561" customFormat="1" ht="28.5" customHeight="1">
      <c r="A7" s="748"/>
      <c r="B7" s="1557" t="s">
        <v>7221</v>
      </c>
      <c r="C7" s="748">
        <v>1</v>
      </c>
      <c r="D7" s="748">
        <v>1</v>
      </c>
      <c r="E7" s="1558">
        <v>50</v>
      </c>
      <c r="F7" s="748"/>
      <c r="G7" s="748"/>
      <c r="H7" s="1559">
        <f>PRODUCT(C7:G7)</f>
        <v>50</v>
      </c>
      <c r="I7" s="1555" t="s">
        <v>823</v>
      </c>
      <c r="J7" s="1560"/>
    </row>
    <row r="8" spans="1:10" s="737" customFormat="1" ht="76.5" customHeight="1">
      <c r="A8" s="1562">
        <v>2</v>
      </c>
      <c r="B8" s="1563" t="s">
        <v>7222</v>
      </c>
      <c r="C8" s="1564"/>
      <c r="D8" s="1564"/>
      <c r="E8" s="1565"/>
      <c r="F8" s="814"/>
      <c r="G8" s="814"/>
      <c r="H8" s="814"/>
      <c r="I8" s="1566"/>
      <c r="J8" s="737" t="s">
        <v>7223</v>
      </c>
    </row>
    <row r="9" spans="1:10" s="737" customFormat="1" ht="24.75" customHeight="1">
      <c r="A9" s="1567"/>
      <c r="B9" s="1568" t="s">
        <v>7224</v>
      </c>
      <c r="C9" s="1569">
        <v>1</v>
      </c>
      <c r="D9" s="1569">
        <v>2</v>
      </c>
      <c r="E9" s="811"/>
      <c r="F9" s="1570"/>
      <c r="G9" s="1571"/>
      <c r="H9" s="817">
        <f>PRODUCT(C9:G9)</f>
        <v>2</v>
      </c>
      <c r="I9" s="1572" t="s">
        <v>1427</v>
      </c>
      <c r="J9" s="1193"/>
    </row>
    <row r="10" spans="1:10" s="737" customFormat="1" ht="45.75" customHeight="1">
      <c r="A10" s="1562">
        <f>A8+1</f>
        <v>3</v>
      </c>
      <c r="B10" s="1282" t="s">
        <v>7225</v>
      </c>
      <c r="C10" s="1282"/>
      <c r="D10" s="1282"/>
      <c r="E10" s="1282"/>
      <c r="F10" s="1282"/>
      <c r="G10" s="811"/>
      <c r="H10" s="811"/>
      <c r="I10" s="1573"/>
      <c r="J10" s="737" t="s">
        <v>7226</v>
      </c>
    </row>
    <row r="11" spans="1:10" s="737" customFormat="1" ht="24.75" customHeight="1">
      <c r="A11" s="1567"/>
      <c r="B11" s="1568" t="s">
        <v>7224</v>
      </c>
      <c r="C11" s="1569">
        <v>1</v>
      </c>
      <c r="D11" s="1569">
        <v>2</v>
      </c>
      <c r="E11" s="811"/>
      <c r="F11" s="1570"/>
      <c r="G11" s="1571"/>
      <c r="H11" s="817">
        <f>PRODUCT(C11:G11)</f>
        <v>2</v>
      </c>
      <c r="I11" s="1572" t="s">
        <v>1427</v>
      </c>
      <c r="J11" s="1193"/>
    </row>
    <row r="12" spans="1:10" s="737" customFormat="1" ht="81" customHeight="1">
      <c r="A12" s="815">
        <v>4</v>
      </c>
      <c r="B12" s="1282" t="s">
        <v>7227</v>
      </c>
      <c r="C12" s="1282"/>
      <c r="D12" s="1282"/>
      <c r="E12" s="1282"/>
      <c r="F12" s="814"/>
      <c r="G12" s="814"/>
      <c r="H12" s="814"/>
      <c r="I12" s="1574"/>
    </row>
    <row r="13" spans="1:10" s="737" customFormat="1" ht="24.75" customHeight="1">
      <c r="A13" s="815"/>
      <c r="B13" s="1575" t="s">
        <v>6899</v>
      </c>
      <c r="C13" s="1576"/>
      <c r="D13" s="1576"/>
      <c r="E13" s="811"/>
      <c r="F13" s="811"/>
      <c r="G13" s="811"/>
      <c r="H13" s="811"/>
      <c r="I13" s="1577"/>
      <c r="J13" s="1193"/>
    </row>
    <row r="14" spans="1:10" s="1582" customFormat="1" ht="21.75" customHeight="1">
      <c r="A14" s="1578"/>
      <c r="B14" s="811" t="s">
        <v>7228</v>
      </c>
      <c r="C14" s="1578">
        <v>1</v>
      </c>
      <c r="D14" s="1579">
        <v>1</v>
      </c>
      <c r="E14" s="1580">
        <v>6</v>
      </c>
      <c r="F14" s="1580"/>
      <c r="G14" s="1580"/>
      <c r="H14" s="1580">
        <f>PRODUCT(C14:G14)</f>
        <v>6</v>
      </c>
      <c r="I14" s="1581"/>
    </row>
    <row r="15" spans="1:10" s="1582" customFormat="1" ht="21.75" customHeight="1">
      <c r="A15" s="1578"/>
      <c r="B15" s="755" t="s">
        <v>7229</v>
      </c>
      <c r="C15" s="1578">
        <v>1</v>
      </c>
      <c r="D15" s="1579">
        <v>1</v>
      </c>
      <c r="E15" s="1580">
        <v>2.5</v>
      </c>
      <c r="F15" s="1580"/>
      <c r="G15" s="1580"/>
      <c r="H15" s="1580">
        <f>PRODUCT(C15:G15)</f>
        <v>2.5</v>
      </c>
      <c r="I15" s="1581"/>
    </row>
    <row r="16" spans="1:10" s="737" customFormat="1" ht="21.75" customHeight="1">
      <c r="A16" s="867"/>
      <c r="B16" s="811"/>
      <c r="C16" s="1576"/>
      <c r="D16" s="1576"/>
      <c r="E16" s="1580"/>
      <c r="F16" s="811"/>
      <c r="G16" s="1571" t="s">
        <v>2235</v>
      </c>
      <c r="H16" s="817">
        <f>SUM(H14:H15)</f>
        <v>8.5</v>
      </c>
      <c r="I16" s="1583" t="s">
        <v>823</v>
      </c>
      <c r="J16" s="1193"/>
    </row>
    <row r="17" spans="1:10" s="737" customFormat="1" ht="78.75" customHeight="1">
      <c r="A17" s="815">
        <v>5</v>
      </c>
      <c r="B17" s="1282" t="s">
        <v>7230</v>
      </c>
      <c r="C17" s="1282"/>
      <c r="D17" s="1282"/>
      <c r="E17" s="1282"/>
      <c r="F17" s="814"/>
      <c r="G17" s="814"/>
      <c r="H17" s="814"/>
      <c r="I17" s="1574"/>
      <c r="J17" s="1193"/>
    </row>
    <row r="18" spans="1:10" s="737" customFormat="1" ht="24.75" customHeight="1">
      <c r="A18" s="815"/>
      <c r="B18" s="1575" t="s">
        <v>6899</v>
      </c>
      <c r="C18" s="1576"/>
      <c r="D18" s="1576"/>
      <c r="E18" s="811"/>
      <c r="F18" s="811"/>
      <c r="G18" s="811"/>
      <c r="H18" s="811"/>
      <c r="I18" s="1577"/>
      <c r="J18" s="1193"/>
    </row>
    <row r="19" spans="1:10" s="737" customFormat="1" ht="24.75" customHeight="1">
      <c r="A19" s="867"/>
      <c r="B19" s="817" t="s">
        <v>7231</v>
      </c>
      <c r="C19" s="1576"/>
      <c r="D19" s="1576"/>
      <c r="E19" s="811"/>
      <c r="F19" s="811"/>
      <c r="G19" s="811"/>
      <c r="H19" s="811"/>
      <c r="I19" s="1577"/>
      <c r="J19" s="1193"/>
    </row>
    <row r="20" spans="1:10" s="1561" customFormat="1" ht="25.5" customHeight="1">
      <c r="A20" s="748"/>
      <c r="B20" s="755" t="s">
        <v>7232</v>
      </c>
      <c r="C20" s="748">
        <v>1</v>
      </c>
      <c r="D20" s="748">
        <v>1</v>
      </c>
      <c r="E20" s="1558">
        <v>35</v>
      </c>
      <c r="F20" s="1558"/>
      <c r="G20" s="1558"/>
      <c r="H20" s="1554">
        <f>PRODUCT(C20:G20)</f>
        <v>35</v>
      </c>
      <c r="I20" s="1555"/>
      <c r="J20" s="1556"/>
    </row>
    <row r="21" spans="1:10" s="1582" customFormat="1" ht="24.75" customHeight="1">
      <c r="A21" s="1578"/>
      <c r="B21" s="811" t="s">
        <v>7233</v>
      </c>
      <c r="C21" s="1578">
        <v>1</v>
      </c>
      <c r="D21" s="1579">
        <v>1</v>
      </c>
      <c r="E21" s="1580">
        <v>15</v>
      </c>
      <c r="F21" s="1580"/>
      <c r="G21" s="1580"/>
      <c r="H21" s="1580">
        <f>PRODUCT(C21:G21)</f>
        <v>15</v>
      </c>
      <c r="I21" s="1581"/>
    </row>
    <row r="22" spans="1:10" s="737" customFormat="1" ht="24.75" customHeight="1">
      <c r="A22" s="867"/>
      <c r="B22" s="811"/>
      <c r="C22" s="1576"/>
      <c r="D22" s="1576"/>
      <c r="E22" s="811"/>
      <c r="F22" s="811"/>
      <c r="G22" s="1571" t="s">
        <v>2235</v>
      </c>
      <c r="H22" s="817">
        <f>SUM(H20:H21)</f>
        <v>50</v>
      </c>
      <c r="I22" s="1583" t="s">
        <v>823</v>
      </c>
      <c r="J22" s="1193"/>
    </row>
    <row r="23" spans="1:10" s="1561" customFormat="1" ht="53.25" customHeight="1">
      <c r="A23" s="748">
        <v>6</v>
      </c>
      <c r="B23" s="1584" t="s">
        <v>7234</v>
      </c>
      <c r="C23" s="1584"/>
      <c r="D23" s="1584"/>
      <c r="E23" s="1584"/>
      <c r="F23" s="1584"/>
      <c r="G23" s="1584"/>
      <c r="H23" s="1554"/>
      <c r="I23" s="1555"/>
      <c r="J23" s="1556"/>
    </row>
    <row r="24" spans="1:10" s="1561" customFormat="1" ht="24" customHeight="1">
      <c r="A24" s="748"/>
      <c r="B24" s="754" t="s">
        <v>7235</v>
      </c>
      <c r="C24" s="748">
        <v>1</v>
      </c>
      <c r="D24" s="748">
        <v>2</v>
      </c>
      <c r="E24" s="1558"/>
      <c r="F24" s="1558"/>
      <c r="G24" s="1558"/>
      <c r="H24" s="1559">
        <f>PRODUCT(C24:G24)</f>
        <v>2</v>
      </c>
      <c r="I24" s="1555" t="s">
        <v>1427</v>
      </c>
      <c r="J24" s="1556"/>
    </row>
    <row r="25" spans="1:10" s="1561" customFormat="1" ht="75" customHeight="1">
      <c r="A25" s="748">
        <v>8</v>
      </c>
      <c r="B25" s="1584" t="s">
        <v>7236</v>
      </c>
      <c r="C25" s="1584"/>
      <c r="D25" s="1584"/>
      <c r="E25" s="1584"/>
      <c r="F25" s="1584"/>
      <c r="G25" s="1584"/>
      <c r="H25" s="1554"/>
      <c r="I25" s="1555"/>
      <c r="J25" s="1556"/>
    </row>
    <row r="26" spans="1:10" s="1561" customFormat="1" ht="21" customHeight="1">
      <c r="A26" s="748"/>
      <c r="B26" s="754" t="s">
        <v>7237</v>
      </c>
      <c r="C26" s="748">
        <v>1</v>
      </c>
      <c r="D26" s="748">
        <v>4</v>
      </c>
      <c r="E26" s="1558"/>
      <c r="F26" s="1558"/>
      <c r="G26" s="1558"/>
      <c r="H26" s="1559">
        <f>PRODUCT(C26:G26)</f>
        <v>4</v>
      </c>
      <c r="I26" s="1555" t="s">
        <v>1427</v>
      </c>
      <c r="J26" s="1556"/>
    </row>
    <row r="27" spans="1:10" s="1561" customFormat="1" ht="21" customHeight="1">
      <c r="A27" s="748"/>
      <c r="B27" s="748"/>
      <c r="C27" s="748"/>
      <c r="D27" s="748"/>
      <c r="E27" s="1558" t="s">
        <v>7238</v>
      </c>
      <c r="F27" s="1558">
        <v>4.5</v>
      </c>
      <c r="G27" s="1585" t="s">
        <v>7239</v>
      </c>
      <c r="H27" s="1554">
        <f>F27*H26</f>
        <v>18</v>
      </c>
      <c r="I27" s="1555"/>
      <c r="J27" s="1556"/>
    </row>
    <row r="28" spans="1:10" s="1561" customFormat="1" ht="21" customHeight="1">
      <c r="A28" s="748"/>
      <c r="B28" s="748"/>
      <c r="C28" s="748"/>
      <c r="D28" s="748"/>
      <c r="E28" s="1558"/>
      <c r="F28" s="1558"/>
      <c r="G28" s="1585"/>
      <c r="H28" s="1559">
        <f>ROUNDUP(H27,0)</f>
        <v>18</v>
      </c>
      <c r="I28" s="1555" t="s">
        <v>1637</v>
      </c>
      <c r="J28" s="1556"/>
    </row>
    <row r="29" spans="1:10" s="1561" customFormat="1" ht="128.25" customHeight="1">
      <c r="A29" s="748">
        <v>11</v>
      </c>
      <c r="B29" s="755" t="s">
        <v>7240</v>
      </c>
      <c r="C29" s="755"/>
      <c r="D29" s="755"/>
      <c r="E29" s="755"/>
      <c r="F29" s="755"/>
      <c r="G29" s="755"/>
      <c r="H29" s="1554"/>
      <c r="I29" s="1555"/>
      <c r="J29" s="1556"/>
    </row>
    <row r="30" spans="1:10" s="1561" customFormat="1" ht="22.5" customHeight="1">
      <c r="A30" s="748"/>
      <c r="B30" s="754" t="s">
        <v>7241</v>
      </c>
      <c r="C30" s="748">
        <v>1</v>
      </c>
      <c r="D30" s="748">
        <v>1</v>
      </c>
      <c r="E30" s="1558"/>
      <c r="F30" s="1558"/>
      <c r="G30" s="1558"/>
      <c r="H30" s="1559">
        <f>PRODUCT(C30:G30)</f>
        <v>1</v>
      </c>
      <c r="I30" s="1555" t="s">
        <v>1427</v>
      </c>
      <c r="J30" s="1556"/>
    </row>
    <row r="31" spans="1:10" s="1561" customFormat="1" ht="93.75" customHeight="1">
      <c r="A31" s="748">
        <v>12</v>
      </c>
      <c r="B31" s="1553" t="s">
        <v>7242</v>
      </c>
      <c r="C31" s="755"/>
      <c r="D31" s="755"/>
      <c r="E31" s="755"/>
      <c r="F31" s="755"/>
      <c r="G31" s="755"/>
      <c r="H31" s="1554"/>
      <c r="I31" s="1555"/>
      <c r="J31" s="1556"/>
    </row>
    <row r="32" spans="1:10" s="1561" customFormat="1" ht="23.25" customHeight="1">
      <c r="A32" s="748"/>
      <c r="B32" s="754" t="s">
        <v>7243</v>
      </c>
      <c r="C32" s="748">
        <v>1</v>
      </c>
      <c r="D32" s="748">
        <v>1</v>
      </c>
      <c r="E32" s="1558"/>
      <c r="F32" s="1558"/>
      <c r="G32" s="1558"/>
      <c r="H32" s="1559">
        <f>PRODUCT(C32:G32)</f>
        <v>1</v>
      </c>
      <c r="I32" s="1555" t="s">
        <v>1427</v>
      </c>
      <c r="J32" s="1556"/>
    </row>
    <row r="33" spans="1:10" ht="81.75" customHeight="1">
      <c r="A33" s="1586">
        <v>13</v>
      </c>
      <c r="B33" s="1587" t="s">
        <v>7244</v>
      </c>
      <c r="C33" s="1587"/>
      <c r="D33" s="1587"/>
      <c r="E33" s="1587"/>
      <c r="F33" s="1587"/>
      <c r="G33" s="1587"/>
      <c r="H33" s="1588"/>
    </row>
    <row r="34" spans="1:10" s="1594" customFormat="1" ht="26.25" customHeight="1">
      <c r="A34" s="1589"/>
      <c r="B34" s="1496" t="s">
        <v>7245</v>
      </c>
      <c r="C34" s="1586">
        <v>1</v>
      </c>
      <c r="D34" s="1590">
        <v>1</v>
      </c>
      <c r="E34" s="1591"/>
      <c r="F34" s="1591"/>
      <c r="G34" s="1591"/>
      <c r="H34" s="1592">
        <f>PRODUCT(C34:G34)</f>
        <v>1</v>
      </c>
      <c r="I34" s="1551" t="s">
        <v>1389</v>
      </c>
      <c r="J34" s="1593"/>
    </row>
    <row r="35" spans="1:10" s="737" customFormat="1" ht="54.75" customHeight="1">
      <c r="A35" s="1595">
        <v>12</v>
      </c>
      <c r="B35" s="1282" t="s">
        <v>7246</v>
      </c>
      <c r="C35" s="1282"/>
      <c r="D35" s="1282"/>
      <c r="E35" s="1282"/>
      <c r="F35" s="1282"/>
      <c r="G35" s="814"/>
      <c r="H35" s="817"/>
      <c r="I35" s="849"/>
      <c r="J35" s="1193" t="s">
        <v>7247</v>
      </c>
    </row>
    <row r="36" spans="1:10" s="737" customFormat="1" ht="26.25" customHeight="1">
      <c r="A36" s="1595"/>
      <c r="B36" s="1596" t="s">
        <v>7248</v>
      </c>
      <c r="C36" s="867"/>
      <c r="D36" s="867"/>
      <c r="E36" s="814"/>
      <c r="F36" s="814"/>
      <c r="G36" s="814"/>
      <c r="H36" s="817"/>
      <c r="I36" s="1583"/>
      <c r="J36" s="1193"/>
    </row>
    <row r="37" spans="1:10" s="737" customFormat="1" ht="26.25" customHeight="1">
      <c r="A37" s="1595"/>
      <c r="B37" s="811" t="s">
        <v>7249</v>
      </c>
      <c r="C37" s="815">
        <v>1</v>
      </c>
      <c r="D37" s="815">
        <v>1</v>
      </c>
      <c r="E37" s="811"/>
      <c r="F37" s="811"/>
      <c r="G37" s="811"/>
      <c r="H37" s="811">
        <f>PRODUCT(C37:G37)</f>
        <v>1</v>
      </c>
      <c r="I37" s="1583" t="s">
        <v>1389</v>
      </c>
      <c r="J37" s="1193"/>
    </row>
    <row r="38" spans="1:10" s="1603" customFormat="1" ht="87.75" customHeight="1">
      <c r="A38" s="1597">
        <v>13</v>
      </c>
      <c r="B38" s="1598" t="s">
        <v>7250</v>
      </c>
      <c r="C38" s="1599"/>
      <c r="D38" s="1599"/>
      <c r="E38" s="1599"/>
      <c r="F38" s="1600"/>
      <c r="G38" s="1600"/>
      <c r="H38" s="1601"/>
      <c r="I38" s="1602"/>
    </row>
    <row r="39" spans="1:10" s="737" customFormat="1" ht="24.75" customHeight="1">
      <c r="A39" s="1595"/>
      <c r="B39" s="811" t="s">
        <v>7251</v>
      </c>
      <c r="C39" s="815">
        <v>1</v>
      </c>
      <c r="D39" s="815">
        <v>2</v>
      </c>
      <c r="E39" s="811"/>
      <c r="F39" s="811"/>
      <c r="G39" s="811"/>
      <c r="H39" s="811">
        <f>PRODUCT(C39:G39)</f>
        <v>2</v>
      </c>
      <c r="I39" s="1583"/>
      <c r="J39" s="1193"/>
    </row>
    <row r="40" spans="1:10" s="1603" customFormat="1" ht="24.75" customHeight="1">
      <c r="A40" s="1597"/>
      <c r="B40" s="1604"/>
      <c r="C40" s="1605"/>
      <c r="D40" s="1605"/>
      <c r="E40" s="1606"/>
      <c r="F40" s="1607"/>
      <c r="G40" s="1600" t="s">
        <v>2235</v>
      </c>
      <c r="H40" s="1601">
        <f>SUM(H39:H39)</f>
        <v>2</v>
      </c>
      <c r="I40" s="1608" t="s">
        <v>1427</v>
      </c>
    </row>
    <row r="41" spans="1:10" s="1614" customFormat="1" ht="84.75" customHeight="1">
      <c r="A41" s="1609">
        <v>14</v>
      </c>
      <c r="B41" s="1610" t="s">
        <v>7252</v>
      </c>
      <c r="C41" s="1611"/>
      <c r="D41" s="1611"/>
      <c r="E41" s="1611"/>
      <c r="F41" s="1611"/>
      <c r="G41" s="1612"/>
      <c r="H41" s="1613"/>
      <c r="I41" s="1608"/>
    </row>
    <row r="42" spans="1:10" s="1617" customFormat="1" ht="26.25" customHeight="1">
      <c r="A42" s="1609"/>
      <c r="B42" s="811" t="s">
        <v>7249</v>
      </c>
      <c r="C42" s="1615">
        <v>2</v>
      </c>
      <c r="D42" s="1615">
        <v>12</v>
      </c>
      <c r="E42" s="1616"/>
      <c r="F42" s="1612"/>
      <c r="G42" s="1612"/>
      <c r="H42" s="1613">
        <f>PRODUCT(C42:G42)</f>
        <v>24</v>
      </c>
      <c r="I42" s="1608"/>
    </row>
    <row r="43" spans="1:10" s="1614" customFormat="1" ht="24" customHeight="1">
      <c r="A43" s="1609"/>
      <c r="B43" s="1618"/>
      <c r="C43" s="1615"/>
      <c r="D43" s="1615"/>
      <c r="E43" s="1612"/>
      <c r="F43" s="1612"/>
      <c r="G43" s="1619" t="s">
        <v>2235</v>
      </c>
      <c r="H43" s="1620">
        <f>SUM(H42:H42)</f>
        <v>24</v>
      </c>
      <c r="I43" s="1608" t="s">
        <v>1427</v>
      </c>
    </row>
    <row r="44" spans="1:10" s="1561" customFormat="1" ht="108" customHeight="1">
      <c r="A44" s="748">
        <v>14</v>
      </c>
      <c r="B44" s="1553" t="s">
        <v>7253</v>
      </c>
      <c r="C44" s="1553"/>
      <c r="D44" s="1553"/>
      <c r="E44" s="755"/>
      <c r="F44" s="755"/>
      <c r="G44" s="755"/>
      <c r="H44" s="1554"/>
      <c r="I44" s="1555"/>
      <c r="J44" s="1556"/>
    </row>
    <row r="45" spans="1:10" s="1561" customFormat="1" ht="21.75" customHeight="1">
      <c r="A45" s="748"/>
      <c r="B45" s="755" t="s">
        <v>7254</v>
      </c>
      <c r="C45" s="748">
        <v>1</v>
      </c>
      <c r="D45" s="748">
        <v>1</v>
      </c>
      <c r="E45" s="1558">
        <v>6</v>
      </c>
      <c r="F45" s="1621">
        <v>3.14</v>
      </c>
      <c r="G45" s="1622">
        <v>0.08</v>
      </c>
      <c r="H45" s="1554">
        <f>PRODUCT(C45:G45)</f>
        <v>1.51</v>
      </c>
      <c r="I45" s="1555"/>
      <c r="J45" s="1556"/>
    </row>
    <row r="46" spans="1:10" s="1561" customFormat="1" ht="21.75" customHeight="1">
      <c r="A46" s="748"/>
      <c r="B46" s="755" t="s">
        <v>7229</v>
      </c>
      <c r="C46" s="748">
        <v>1</v>
      </c>
      <c r="D46" s="748">
        <v>1</v>
      </c>
      <c r="E46" s="1558">
        <v>2.5</v>
      </c>
      <c r="F46" s="1621">
        <v>3.14</v>
      </c>
      <c r="G46" s="1622">
        <v>0.08</v>
      </c>
      <c r="H46" s="1554">
        <f>PRODUCT(C46:G46)</f>
        <v>0.63</v>
      </c>
      <c r="I46" s="1555"/>
      <c r="J46" s="1556"/>
    </row>
    <row r="47" spans="1:10" s="1561" customFormat="1" ht="21.75" customHeight="1">
      <c r="A47" s="748"/>
      <c r="B47" s="755"/>
      <c r="C47" s="748"/>
      <c r="D47" s="748"/>
      <c r="E47" s="1558"/>
      <c r="F47" s="1558"/>
      <c r="G47" s="1623" t="s">
        <v>2235</v>
      </c>
      <c r="H47" s="1559">
        <f>SUM(H45:H46)</f>
        <v>2.14</v>
      </c>
      <c r="I47" s="1555"/>
      <c r="J47" s="1556"/>
    </row>
    <row r="48" spans="1:10" s="1561" customFormat="1" ht="21.75" customHeight="1">
      <c r="A48" s="748"/>
      <c r="B48" s="755"/>
      <c r="C48" s="748"/>
      <c r="D48" s="748"/>
      <c r="E48" s="1558"/>
      <c r="F48" s="1558"/>
      <c r="G48" s="1623" t="s">
        <v>4209</v>
      </c>
      <c r="H48" s="1559">
        <f>ROUNDUP(H47,0)</f>
        <v>3</v>
      </c>
      <c r="I48" s="1555" t="s">
        <v>2273</v>
      </c>
      <c r="J48" s="1556"/>
    </row>
    <row r="49" spans="1:10" s="1594" customFormat="1" ht="15" customHeight="1">
      <c r="A49" s="1624"/>
      <c r="B49" s="1625"/>
      <c r="C49" s="1626"/>
      <c r="D49" s="1627"/>
      <c r="E49" s="1628"/>
      <c r="F49" s="1628"/>
      <c r="G49" s="1628"/>
      <c r="H49" s="1629"/>
      <c r="I49" s="1551"/>
      <c r="J49" s="1593"/>
    </row>
    <row r="50" spans="1:10" s="1594" customFormat="1" ht="15" customHeight="1">
      <c r="A50" s="1624"/>
      <c r="B50" s="1625"/>
      <c r="C50" s="1626"/>
      <c r="D50" s="1627"/>
      <c r="E50" s="1628"/>
      <c r="F50" s="1628"/>
      <c r="G50" s="1628"/>
      <c r="H50" s="1629"/>
      <c r="I50" s="1551"/>
      <c r="J50" s="1593"/>
    </row>
    <row r="51" spans="1:10">
      <c r="B51" s="1630"/>
      <c r="H51" s="1631"/>
    </row>
    <row r="52" spans="1:10" s="1633" customFormat="1" ht="23.25" customHeight="1">
      <c r="A52" s="1632" t="s">
        <v>6525</v>
      </c>
      <c r="B52" s="1632"/>
      <c r="C52" s="1632"/>
      <c r="D52" s="1632"/>
      <c r="E52" s="1632"/>
      <c r="F52" s="1632"/>
      <c r="G52" s="1632"/>
      <c r="H52" s="1632"/>
      <c r="I52" s="1632"/>
    </row>
    <row r="53" spans="1:10">
      <c r="B53" s="1630"/>
      <c r="H53" s="1631"/>
    </row>
    <row r="54" spans="1:10">
      <c r="B54" s="1630"/>
      <c r="H54" s="1631"/>
    </row>
    <row r="55" spans="1:10">
      <c r="B55" s="1630"/>
      <c r="H55" s="1631"/>
    </row>
    <row r="56" spans="1:10">
      <c r="B56" s="1630"/>
      <c r="H56" s="1631"/>
    </row>
    <row r="57" spans="1:10">
      <c r="B57" s="1630"/>
      <c r="H57" s="1631"/>
    </row>
    <row r="58" spans="1:10">
      <c r="B58" s="1630"/>
      <c r="H58" s="1631"/>
    </row>
    <row r="59" spans="1:10">
      <c r="B59" s="1630"/>
      <c r="H59" s="1631"/>
    </row>
    <row r="60" spans="1:10">
      <c r="B60" s="1630"/>
      <c r="H60" s="1631"/>
    </row>
    <row r="61" spans="1:10">
      <c r="B61" s="1630"/>
      <c r="H61" s="1631"/>
    </row>
    <row r="62" spans="1:10">
      <c r="B62" s="1630"/>
      <c r="H62" s="1631"/>
    </row>
    <row r="63" spans="1:10">
      <c r="B63" s="1630"/>
      <c r="H63" s="1631"/>
    </row>
    <row r="64" spans="1:10">
      <c r="B64" s="1630"/>
      <c r="H64" s="1631"/>
    </row>
    <row r="65" spans="2:10">
      <c r="B65" s="1630"/>
      <c r="H65" s="1631"/>
    </row>
    <row r="66" spans="2:10">
      <c r="B66" s="1630"/>
      <c r="H66" s="1631"/>
    </row>
    <row r="67" spans="2:10">
      <c r="B67" s="1630"/>
      <c r="H67" s="1631"/>
    </row>
    <row r="68" spans="2:10">
      <c r="B68" s="1630"/>
      <c r="H68" s="1631"/>
    </row>
    <row r="69" spans="2:10">
      <c r="H69" s="1631"/>
    </row>
    <row r="70" spans="2:10" ht="93.75">
      <c r="B70" s="1634" t="s">
        <v>7255</v>
      </c>
      <c r="H70" s="1631">
        <f>PRODUCT(C70:G70)</f>
        <v>0</v>
      </c>
    </row>
    <row r="71" spans="2:10">
      <c r="B71" s="1634" t="s">
        <v>7256</v>
      </c>
      <c r="H71" s="1631">
        <f>PRODUCT(C71:G71)</f>
        <v>0</v>
      </c>
    </row>
    <row r="72" spans="2:10">
      <c r="B72" s="1634"/>
      <c r="H72" s="1631">
        <f>PRODUCT(C72:G72)</f>
        <v>0</v>
      </c>
    </row>
    <row r="73" spans="2:10" ht="75">
      <c r="B73" s="1634" t="s">
        <v>7257</v>
      </c>
      <c r="H73" s="1631">
        <f>PRODUCT(C73:G73)</f>
        <v>0</v>
      </c>
    </row>
    <row r="74" spans="2:10">
      <c r="B74" s="1634" t="s">
        <v>7258</v>
      </c>
    </row>
    <row r="75" spans="2:10">
      <c r="B75" s="1634" t="s">
        <v>7256</v>
      </c>
    </row>
    <row r="76" spans="2:10">
      <c r="B76" s="1634"/>
    </row>
    <row r="77" spans="2:10">
      <c r="B77" s="1634" t="s">
        <v>7259</v>
      </c>
    </row>
    <row r="78" spans="2:10">
      <c r="B78" s="1634" t="s">
        <v>7256</v>
      </c>
    </row>
    <row r="79" spans="2:10" s="1626" customFormat="1">
      <c r="B79" s="1634"/>
      <c r="D79" s="1627"/>
      <c r="E79" s="1628"/>
      <c r="F79" s="1628"/>
      <c r="G79" s="1628"/>
      <c r="H79" s="1546"/>
      <c r="I79" s="1551"/>
      <c r="J79" s="1546"/>
    </row>
    <row r="80" spans="2:10" s="1626" customFormat="1">
      <c r="B80" s="1634" t="s">
        <v>7260</v>
      </c>
      <c r="D80" s="1627"/>
      <c r="E80" s="1628"/>
      <c r="F80" s="1628"/>
      <c r="G80" s="1628"/>
      <c r="H80" s="1546"/>
      <c r="I80" s="1551"/>
      <c r="J80" s="1546"/>
    </row>
    <row r="81" spans="2:10" s="1626" customFormat="1">
      <c r="B81" s="1634" t="s">
        <v>7256</v>
      </c>
      <c r="D81" s="1627"/>
      <c r="E81" s="1628"/>
      <c r="F81" s="1628"/>
      <c r="G81" s="1628"/>
      <c r="H81" s="1546"/>
      <c r="I81" s="1551"/>
      <c r="J81" s="1546"/>
    </row>
    <row r="82" spans="2:10" s="1626" customFormat="1">
      <c r="B82" s="1634"/>
      <c r="D82" s="1627"/>
      <c r="E82" s="1628"/>
      <c r="F82" s="1628"/>
      <c r="G82" s="1628"/>
      <c r="H82" s="1546"/>
      <c r="I82" s="1551"/>
      <c r="J82" s="1546"/>
    </row>
    <row r="83" spans="2:10" s="1626" customFormat="1" ht="168.75">
      <c r="B83" s="1635" t="s">
        <v>7261</v>
      </c>
      <c r="D83" s="1627"/>
      <c r="E83" s="1628"/>
      <c r="F83" s="1628"/>
      <c r="G83" s="1628"/>
      <c r="H83" s="1546"/>
      <c r="I83" s="1551"/>
      <c r="J83" s="1546"/>
    </row>
    <row r="84" spans="2:10" s="1626" customFormat="1">
      <c r="B84" s="1635" t="s">
        <v>7256</v>
      </c>
      <c r="D84" s="1627"/>
      <c r="E84" s="1628"/>
      <c r="F84" s="1628"/>
      <c r="G84" s="1628"/>
      <c r="H84" s="1546"/>
      <c r="I84" s="1551"/>
      <c r="J84" s="1546"/>
    </row>
    <row r="85" spans="2:10" s="1626" customFormat="1">
      <c r="B85" s="1635"/>
      <c r="D85" s="1627"/>
      <c r="E85" s="1628"/>
      <c r="F85" s="1628"/>
      <c r="G85" s="1628"/>
      <c r="H85" s="1546"/>
      <c r="I85" s="1551"/>
      <c r="J85" s="1546"/>
    </row>
    <row r="86" spans="2:10" s="1626" customFormat="1" ht="56.25">
      <c r="B86" s="1635" t="s">
        <v>7262</v>
      </c>
      <c r="D86" s="1627"/>
      <c r="E86" s="1628"/>
      <c r="F86" s="1628"/>
      <c r="G86" s="1628"/>
      <c r="H86" s="1546"/>
      <c r="I86" s="1551"/>
      <c r="J86" s="1546"/>
    </row>
    <row r="87" spans="2:10" s="1626" customFormat="1">
      <c r="B87" s="1634" t="s">
        <v>7256</v>
      </c>
      <c r="D87" s="1627"/>
      <c r="E87" s="1628"/>
      <c r="F87" s="1628"/>
      <c r="G87" s="1628"/>
      <c r="H87" s="1546"/>
      <c r="I87" s="1551"/>
      <c r="J87" s="1546"/>
    </row>
    <row r="88" spans="2:10" s="1626" customFormat="1">
      <c r="B88" s="1634" t="s">
        <v>2235</v>
      </c>
      <c r="D88" s="1627"/>
      <c r="E88" s="1628"/>
      <c r="F88" s="1628"/>
      <c r="G88" s="1628"/>
      <c r="H88" s="1546"/>
      <c r="I88" s="1551"/>
      <c r="J88" s="1546"/>
    </row>
    <row r="89" spans="2:10" s="1626" customFormat="1">
      <c r="B89" s="1634"/>
      <c r="D89" s="1627"/>
      <c r="E89" s="1628"/>
      <c r="F89" s="1628"/>
      <c r="G89" s="1628"/>
      <c r="H89" s="1546"/>
      <c r="I89" s="1551"/>
      <c r="J89" s="1546"/>
    </row>
    <row r="90" spans="2:10" s="1626" customFormat="1" ht="56.25">
      <c r="B90" s="1636" t="s">
        <v>7263</v>
      </c>
      <c r="D90" s="1627"/>
      <c r="E90" s="1628"/>
      <c r="F90" s="1628"/>
      <c r="G90" s="1628"/>
      <c r="H90" s="1546"/>
      <c r="I90" s="1551"/>
      <c r="J90" s="1546"/>
    </row>
    <row r="91" spans="2:10" s="1626" customFormat="1" ht="37.5">
      <c r="B91" s="1636" t="s">
        <v>7264</v>
      </c>
      <c r="D91" s="1627"/>
      <c r="E91" s="1628"/>
      <c r="F91" s="1628"/>
      <c r="G91" s="1628"/>
      <c r="H91" s="1546"/>
      <c r="I91" s="1551"/>
      <c r="J91" s="1546"/>
    </row>
    <row r="92" spans="2:10" s="1626" customFormat="1">
      <c r="B92" s="1634"/>
      <c r="D92" s="1627"/>
      <c r="E92" s="1628"/>
      <c r="F92" s="1628"/>
      <c r="G92" s="1628"/>
      <c r="H92" s="1546"/>
      <c r="I92" s="1551"/>
      <c r="J92" s="1546"/>
    </row>
    <row r="93" spans="2:10" s="1626" customFormat="1" ht="93.75">
      <c r="B93" s="1637" t="s">
        <v>7265</v>
      </c>
      <c r="D93" s="1627"/>
      <c r="E93" s="1628"/>
      <c r="F93" s="1628"/>
      <c r="G93" s="1628"/>
      <c r="H93" s="1546"/>
      <c r="I93" s="1551"/>
      <c r="J93" s="1546"/>
    </row>
    <row r="94" spans="2:10" s="1626" customFormat="1">
      <c r="B94" s="1634" t="s">
        <v>7256</v>
      </c>
      <c r="D94" s="1627"/>
      <c r="E94" s="1628"/>
      <c r="F94" s="1628"/>
      <c r="G94" s="1628"/>
      <c r="H94" s="1546"/>
      <c r="I94" s="1551"/>
      <c r="J94" s="1546"/>
    </row>
    <row r="95" spans="2:10" s="1626" customFormat="1">
      <c r="B95" s="1634"/>
      <c r="D95" s="1627"/>
      <c r="E95" s="1628"/>
      <c r="F95" s="1628"/>
      <c r="G95" s="1628"/>
      <c r="H95" s="1546"/>
      <c r="I95" s="1551"/>
      <c r="J95" s="1546"/>
    </row>
    <row r="96" spans="2:10" s="1626" customFormat="1" ht="56.25">
      <c r="B96" s="1638" t="s">
        <v>7266</v>
      </c>
      <c r="D96" s="1627"/>
      <c r="E96" s="1628"/>
      <c r="F96" s="1628"/>
      <c r="G96" s="1628"/>
      <c r="H96" s="1546"/>
      <c r="I96" s="1551"/>
      <c r="J96" s="1546"/>
    </row>
    <row r="97" spans="2:10" s="1626" customFormat="1">
      <c r="B97" s="1638" t="s">
        <v>7267</v>
      </c>
      <c r="D97" s="1627"/>
      <c r="E97" s="1628"/>
      <c r="F97" s="1628"/>
      <c r="G97" s="1628"/>
      <c r="H97" s="1546"/>
      <c r="I97" s="1551"/>
      <c r="J97" s="1546"/>
    </row>
    <row r="98" spans="2:10" s="1626" customFormat="1">
      <c r="B98" s="1639"/>
      <c r="D98" s="1627"/>
      <c r="E98" s="1628"/>
      <c r="F98" s="1628"/>
      <c r="G98" s="1628"/>
      <c r="H98" s="1546"/>
      <c r="I98" s="1551"/>
      <c r="J98" s="1546"/>
    </row>
    <row r="99" spans="2:10" s="1626" customFormat="1" ht="75">
      <c r="B99" s="1638" t="s">
        <v>7268</v>
      </c>
      <c r="D99" s="1627"/>
      <c r="E99" s="1628"/>
      <c r="F99" s="1628"/>
      <c r="G99" s="1628"/>
      <c r="H99" s="1546"/>
      <c r="I99" s="1551"/>
      <c r="J99" s="1546"/>
    </row>
    <row r="100" spans="2:10" s="1626" customFormat="1">
      <c r="B100" s="1638" t="s">
        <v>7269</v>
      </c>
      <c r="D100" s="1627"/>
      <c r="E100" s="1628"/>
      <c r="F100" s="1628"/>
      <c r="G100" s="1628"/>
      <c r="H100" s="1546"/>
      <c r="I100" s="1551"/>
      <c r="J100" s="1546"/>
    </row>
    <row r="101" spans="2:10" s="1626" customFormat="1">
      <c r="B101" s="1638"/>
      <c r="D101" s="1627"/>
      <c r="E101" s="1628"/>
      <c r="F101" s="1628"/>
      <c r="G101" s="1628"/>
      <c r="H101" s="1546"/>
      <c r="I101" s="1551"/>
      <c r="J101" s="1546"/>
    </row>
    <row r="102" spans="2:10" s="1626" customFormat="1">
      <c r="B102" s="1639"/>
      <c r="D102" s="1627"/>
      <c r="E102" s="1628"/>
      <c r="F102" s="1628"/>
      <c r="G102" s="1628"/>
      <c r="H102" s="1546"/>
      <c r="I102" s="1551"/>
      <c r="J102" s="1546"/>
    </row>
    <row r="103" spans="2:10" s="1626" customFormat="1" ht="37.5">
      <c r="B103" s="1636" t="s">
        <v>7270</v>
      </c>
      <c r="D103" s="1627"/>
      <c r="E103" s="1628"/>
      <c r="F103" s="1628"/>
      <c r="G103" s="1628"/>
      <c r="H103" s="1546"/>
      <c r="I103" s="1551"/>
      <c r="J103" s="1546"/>
    </row>
    <row r="104" spans="2:10" s="1626" customFormat="1">
      <c r="B104" s="1640" t="s">
        <v>7256</v>
      </c>
      <c r="D104" s="1627"/>
      <c r="E104" s="1628"/>
      <c r="F104" s="1628"/>
      <c r="G104" s="1628"/>
      <c r="H104" s="1546"/>
      <c r="I104" s="1551"/>
      <c r="J104" s="1546"/>
    </row>
    <row r="105" spans="2:10" s="1626" customFormat="1">
      <c r="B105" s="1639"/>
      <c r="D105" s="1627"/>
      <c r="E105" s="1628"/>
      <c r="F105" s="1628"/>
      <c r="G105" s="1628"/>
      <c r="H105" s="1546"/>
      <c r="I105" s="1551"/>
      <c r="J105" s="1546"/>
    </row>
    <row r="106" spans="2:10" s="1626" customFormat="1" ht="56.25">
      <c r="B106" s="1636" t="s">
        <v>7271</v>
      </c>
      <c r="D106" s="1627"/>
      <c r="E106" s="1628"/>
      <c r="F106" s="1628"/>
      <c r="G106" s="1628"/>
      <c r="H106" s="1546"/>
      <c r="I106" s="1551"/>
      <c r="J106" s="1546"/>
    </row>
    <row r="107" spans="2:10" s="1626" customFormat="1">
      <c r="B107" s="1640" t="s">
        <v>7256</v>
      </c>
      <c r="D107" s="1627"/>
      <c r="E107" s="1628"/>
      <c r="F107" s="1628"/>
      <c r="G107" s="1628"/>
      <c r="H107" s="1546"/>
      <c r="I107" s="1551"/>
      <c r="J107" s="1546"/>
    </row>
    <row r="108" spans="2:10" s="1626" customFormat="1">
      <c r="B108" s="1639" t="s">
        <v>2235</v>
      </c>
      <c r="D108" s="1627"/>
      <c r="E108" s="1628"/>
      <c r="F108" s="1628"/>
      <c r="G108" s="1628"/>
      <c r="H108" s="1546"/>
      <c r="I108" s="1551"/>
      <c r="J108" s="1546"/>
    </row>
    <row r="109" spans="2:10" s="1626" customFormat="1" ht="75">
      <c r="B109" s="1636" t="s">
        <v>7272</v>
      </c>
      <c r="D109" s="1627"/>
      <c r="E109" s="1628"/>
      <c r="F109" s="1628"/>
      <c r="G109" s="1628"/>
      <c r="H109" s="1546"/>
      <c r="I109" s="1551"/>
      <c r="J109" s="1546"/>
    </row>
    <row r="110" spans="2:10" s="1626" customFormat="1">
      <c r="B110" s="1640" t="s">
        <v>7273</v>
      </c>
      <c r="D110" s="1627"/>
      <c r="E110" s="1628"/>
      <c r="F110" s="1628"/>
      <c r="G110" s="1628"/>
      <c r="H110" s="1546"/>
      <c r="I110" s="1551"/>
      <c r="J110" s="1546"/>
    </row>
    <row r="111" spans="2:10" s="1626" customFormat="1">
      <c r="B111" s="1640" t="s">
        <v>7274</v>
      </c>
      <c r="D111" s="1627"/>
      <c r="E111" s="1628"/>
      <c r="F111" s="1628"/>
      <c r="G111" s="1628"/>
      <c r="H111" s="1546"/>
      <c r="I111" s="1551"/>
      <c r="J111" s="1546"/>
    </row>
    <row r="112" spans="2:10" s="1626" customFormat="1">
      <c r="B112" s="1636"/>
      <c r="D112" s="1627"/>
      <c r="E112" s="1628"/>
      <c r="F112" s="1628"/>
      <c r="G112" s="1628"/>
      <c r="H112" s="1546"/>
      <c r="I112" s="1551"/>
      <c r="J112" s="1546"/>
    </row>
    <row r="113" spans="2:10" s="1626" customFormat="1" ht="56.25">
      <c r="B113" s="1636" t="s">
        <v>7275</v>
      </c>
      <c r="D113" s="1627"/>
      <c r="E113" s="1628"/>
      <c r="F113" s="1628"/>
      <c r="G113" s="1628"/>
      <c r="H113" s="1546"/>
      <c r="I113" s="1551"/>
      <c r="J113" s="1546"/>
    </row>
    <row r="114" spans="2:10" s="1626" customFormat="1">
      <c r="B114" s="1640" t="s">
        <v>7276</v>
      </c>
      <c r="D114" s="1627"/>
      <c r="E114" s="1628"/>
      <c r="F114" s="1628"/>
      <c r="G114" s="1628"/>
      <c r="H114" s="1546"/>
      <c r="I114" s="1551"/>
      <c r="J114" s="1546"/>
    </row>
    <row r="115" spans="2:10" s="1626" customFormat="1">
      <c r="B115" s="1640" t="s">
        <v>7256</v>
      </c>
      <c r="D115" s="1627"/>
      <c r="E115" s="1628"/>
      <c r="F115" s="1628"/>
      <c r="G115" s="1628"/>
      <c r="H115" s="1546"/>
      <c r="I115" s="1551"/>
      <c r="J115" s="1546"/>
    </row>
    <row r="116" spans="2:10" s="1626" customFormat="1">
      <c r="B116" s="1640" t="s">
        <v>7277</v>
      </c>
      <c r="D116" s="1627"/>
      <c r="E116" s="1628"/>
      <c r="F116" s="1628"/>
      <c r="G116" s="1628"/>
      <c r="H116" s="1546"/>
      <c r="I116" s="1551"/>
      <c r="J116" s="1546"/>
    </row>
    <row r="117" spans="2:10" s="1626" customFormat="1">
      <c r="B117" s="1640" t="s">
        <v>7256</v>
      </c>
      <c r="D117" s="1627"/>
      <c r="E117" s="1628"/>
      <c r="F117" s="1628"/>
      <c r="G117" s="1628"/>
      <c r="H117" s="1546"/>
      <c r="I117" s="1551"/>
      <c r="J117" s="1546"/>
    </row>
    <row r="118" spans="2:10" s="1626" customFormat="1" ht="75">
      <c r="B118" s="1638" t="s">
        <v>7278</v>
      </c>
      <c r="D118" s="1627"/>
      <c r="E118" s="1628"/>
      <c r="F118" s="1628"/>
      <c r="G118" s="1628"/>
      <c r="H118" s="1546"/>
      <c r="I118" s="1551"/>
      <c r="J118" s="1546"/>
    </row>
    <row r="119" spans="2:10" s="1626" customFormat="1">
      <c r="B119" s="1640" t="s">
        <v>7279</v>
      </c>
      <c r="D119" s="1627"/>
      <c r="E119" s="1628"/>
      <c r="F119" s="1628"/>
      <c r="G119" s="1628"/>
      <c r="H119" s="1546"/>
      <c r="I119" s="1551"/>
      <c r="J119" s="1546"/>
    </row>
    <row r="120" spans="2:10" s="1626" customFormat="1">
      <c r="B120" s="1641"/>
      <c r="D120" s="1627"/>
      <c r="E120" s="1628"/>
      <c r="F120" s="1628"/>
      <c r="G120" s="1628"/>
      <c r="H120" s="1546"/>
      <c r="I120" s="1551"/>
      <c r="J120" s="1546"/>
    </row>
    <row r="121" spans="2:10" s="1626" customFormat="1">
      <c r="B121" s="1640" t="s">
        <v>7280</v>
      </c>
      <c r="D121" s="1627"/>
      <c r="E121" s="1628"/>
      <c r="F121" s="1628"/>
      <c r="G121" s="1628"/>
      <c r="H121" s="1546"/>
      <c r="I121" s="1551"/>
      <c r="J121" s="1546"/>
    </row>
    <row r="122" spans="2:10" s="1626" customFormat="1">
      <c r="B122" s="1640"/>
      <c r="D122" s="1627"/>
      <c r="E122" s="1628"/>
      <c r="F122" s="1628"/>
      <c r="G122" s="1628"/>
      <c r="H122" s="1546"/>
      <c r="I122" s="1551"/>
      <c r="J122" s="1546"/>
    </row>
    <row r="123" spans="2:10" s="1626" customFormat="1">
      <c r="B123" s="1640" t="s">
        <v>7281</v>
      </c>
      <c r="D123" s="1627"/>
      <c r="E123" s="1628"/>
      <c r="F123" s="1628"/>
      <c r="G123" s="1628"/>
      <c r="H123" s="1546"/>
      <c r="I123" s="1551"/>
      <c r="J123" s="1546"/>
    </row>
    <row r="124" spans="2:10" s="1626" customFormat="1">
      <c r="B124" s="1640" t="s">
        <v>7282</v>
      </c>
      <c r="D124" s="1627"/>
      <c r="E124" s="1628"/>
      <c r="F124" s="1628"/>
      <c r="G124" s="1628"/>
      <c r="H124" s="1546"/>
      <c r="I124" s="1551"/>
      <c r="J124" s="1546"/>
    </row>
    <row r="125" spans="2:10" s="1626" customFormat="1">
      <c r="B125" s="1639"/>
      <c r="D125" s="1627"/>
      <c r="E125" s="1628"/>
      <c r="F125" s="1628"/>
      <c r="G125" s="1628"/>
      <c r="H125" s="1546"/>
      <c r="I125" s="1551"/>
      <c r="J125" s="1546"/>
    </row>
    <row r="126" spans="2:10" s="1626" customFormat="1" ht="131.25">
      <c r="B126" s="1638" t="s">
        <v>7283</v>
      </c>
      <c r="D126" s="1627"/>
      <c r="E126" s="1628"/>
      <c r="F126" s="1628"/>
      <c r="G126" s="1628"/>
      <c r="H126" s="1546"/>
      <c r="I126" s="1551"/>
      <c r="J126" s="1546"/>
    </row>
    <row r="127" spans="2:10" s="1626" customFormat="1">
      <c r="B127" s="1638" t="s">
        <v>7284</v>
      </c>
      <c r="D127" s="1627"/>
      <c r="E127" s="1628"/>
      <c r="F127" s="1628"/>
      <c r="G127" s="1628"/>
      <c r="H127" s="1546"/>
      <c r="I127" s="1551"/>
      <c r="J127" s="1546"/>
    </row>
    <row r="128" spans="2:10" s="1626" customFormat="1">
      <c r="B128" s="1638"/>
      <c r="D128" s="1627"/>
      <c r="E128" s="1628"/>
      <c r="F128" s="1628"/>
      <c r="G128" s="1628"/>
      <c r="H128" s="1546"/>
      <c r="I128" s="1551"/>
      <c r="J128" s="1546"/>
    </row>
    <row r="129" spans="2:10" s="1626" customFormat="1" ht="112.5">
      <c r="B129" s="1638" t="s">
        <v>7285</v>
      </c>
      <c r="D129" s="1627"/>
      <c r="E129" s="1628"/>
      <c r="F129" s="1628"/>
      <c r="G129" s="1628"/>
      <c r="H129" s="1546"/>
      <c r="I129" s="1551"/>
      <c r="J129" s="1546"/>
    </row>
    <row r="130" spans="2:10" s="1626" customFormat="1">
      <c r="B130" s="1640" t="s">
        <v>7286</v>
      </c>
      <c r="D130" s="1627"/>
      <c r="E130" s="1628"/>
      <c r="F130" s="1628"/>
      <c r="G130" s="1628"/>
      <c r="H130" s="1546"/>
      <c r="I130" s="1551"/>
      <c r="J130" s="1546"/>
    </row>
    <row r="131" spans="2:10" s="1626" customFormat="1">
      <c r="B131" s="1640"/>
      <c r="D131" s="1627"/>
      <c r="E131" s="1628"/>
      <c r="F131" s="1628"/>
      <c r="G131" s="1628"/>
      <c r="H131" s="1546"/>
      <c r="I131" s="1551"/>
      <c r="J131" s="1546"/>
    </row>
    <row r="132" spans="2:10" s="1626" customFormat="1" ht="56.25">
      <c r="B132" s="1638" t="s">
        <v>7287</v>
      </c>
      <c r="D132" s="1627"/>
      <c r="E132" s="1628"/>
      <c r="F132" s="1628"/>
      <c r="G132" s="1628"/>
      <c r="H132" s="1546"/>
      <c r="I132" s="1551"/>
      <c r="J132" s="1546"/>
    </row>
    <row r="133" spans="2:10" s="1626" customFormat="1">
      <c r="B133" s="1640" t="s">
        <v>7288</v>
      </c>
      <c r="D133" s="1627"/>
      <c r="E133" s="1628"/>
      <c r="F133" s="1628"/>
      <c r="G133" s="1628"/>
      <c r="H133" s="1546"/>
      <c r="I133" s="1551"/>
      <c r="J133" s="1546"/>
    </row>
    <row r="134" spans="2:10" s="1626" customFormat="1">
      <c r="B134" s="1639"/>
      <c r="D134" s="1627"/>
      <c r="E134" s="1628"/>
      <c r="F134" s="1628"/>
      <c r="G134" s="1628"/>
      <c r="H134" s="1546"/>
      <c r="I134" s="1551"/>
      <c r="J134" s="1546"/>
    </row>
    <row r="135" spans="2:10" s="1626" customFormat="1" ht="37.5">
      <c r="B135" s="1636" t="s">
        <v>7289</v>
      </c>
      <c r="D135" s="1627"/>
      <c r="E135" s="1628"/>
      <c r="F135" s="1628"/>
      <c r="G135" s="1628"/>
      <c r="H135" s="1546"/>
      <c r="I135" s="1551"/>
      <c r="J135" s="1546"/>
    </row>
    <row r="136" spans="2:10" s="1626" customFormat="1">
      <c r="B136" s="1636" t="s">
        <v>7290</v>
      </c>
      <c r="D136" s="1627"/>
      <c r="E136" s="1628"/>
      <c r="F136" s="1628"/>
      <c r="G136" s="1628"/>
      <c r="H136" s="1546"/>
      <c r="I136" s="1551"/>
      <c r="J136" s="1546"/>
    </row>
    <row r="137" spans="2:10" s="1626" customFormat="1">
      <c r="B137" s="1639"/>
      <c r="D137" s="1627"/>
      <c r="E137" s="1628"/>
      <c r="F137" s="1628"/>
      <c r="G137" s="1628"/>
      <c r="H137" s="1546"/>
      <c r="I137" s="1551"/>
      <c r="J137" s="1546"/>
    </row>
    <row r="138" spans="2:10" s="1626" customFormat="1" ht="56.25">
      <c r="B138" s="1642" t="s">
        <v>7291</v>
      </c>
      <c r="D138" s="1627"/>
      <c r="E138" s="1628"/>
      <c r="F138" s="1628"/>
      <c r="G138" s="1628"/>
      <c r="H138" s="1546"/>
      <c r="I138" s="1551"/>
      <c r="J138" s="1546"/>
    </row>
    <row r="139" spans="2:10" s="1626" customFormat="1">
      <c r="B139" s="1642" t="s">
        <v>7292</v>
      </c>
      <c r="D139" s="1627"/>
      <c r="E139" s="1628"/>
      <c r="F139" s="1628"/>
      <c r="G139" s="1628"/>
      <c r="H139" s="1546"/>
      <c r="I139" s="1551"/>
      <c r="J139" s="1546"/>
    </row>
    <row r="140" spans="2:10" s="1626" customFormat="1">
      <c r="B140" s="1642"/>
      <c r="D140" s="1627"/>
      <c r="E140" s="1628"/>
      <c r="F140" s="1628"/>
      <c r="G140" s="1628"/>
      <c r="H140" s="1546"/>
      <c r="I140" s="1551"/>
      <c r="J140" s="1546"/>
    </row>
    <row r="141" spans="2:10" s="1626" customFormat="1" ht="150">
      <c r="B141" s="1642" t="s">
        <v>7293</v>
      </c>
      <c r="D141" s="1627"/>
      <c r="E141" s="1628"/>
      <c r="F141" s="1628"/>
      <c r="G141" s="1628"/>
      <c r="H141" s="1546"/>
      <c r="I141" s="1551"/>
      <c r="J141" s="1546"/>
    </row>
    <row r="142" spans="2:10" s="1626" customFormat="1">
      <c r="B142" s="1643" t="s">
        <v>7294</v>
      </c>
      <c r="D142" s="1627"/>
      <c r="E142" s="1628"/>
      <c r="F142" s="1628"/>
      <c r="G142" s="1628"/>
      <c r="H142" s="1546"/>
      <c r="I142" s="1551"/>
      <c r="J142" s="1546"/>
    </row>
    <row r="143" spans="2:10" s="1626" customFormat="1">
      <c r="B143" s="1643" t="s">
        <v>7295</v>
      </c>
      <c r="D143" s="1627"/>
      <c r="E143" s="1628"/>
      <c r="F143" s="1628"/>
      <c r="G143" s="1628"/>
      <c r="H143" s="1546"/>
      <c r="I143" s="1551"/>
      <c r="J143" s="1546"/>
    </row>
    <row r="144" spans="2:10" s="1626" customFormat="1">
      <c r="B144" s="1643" t="s">
        <v>7296</v>
      </c>
      <c r="D144" s="1627"/>
      <c r="E144" s="1628"/>
      <c r="F144" s="1628"/>
      <c r="G144" s="1628"/>
      <c r="H144" s="1546"/>
      <c r="I144" s="1551"/>
      <c r="J144" s="1546"/>
    </row>
    <row r="145" spans="2:10" s="1626" customFormat="1">
      <c r="B145" s="1643" t="s">
        <v>7297</v>
      </c>
      <c r="D145" s="1627"/>
      <c r="E145" s="1628"/>
      <c r="F145" s="1628"/>
      <c r="G145" s="1628"/>
      <c r="H145" s="1546"/>
      <c r="I145" s="1551"/>
      <c r="J145" s="1546"/>
    </row>
    <row r="146" spans="2:10" s="1626" customFormat="1">
      <c r="B146" s="1643" t="s">
        <v>7297</v>
      </c>
      <c r="D146" s="1627"/>
      <c r="E146" s="1628"/>
      <c r="F146" s="1628"/>
      <c r="G146" s="1628"/>
      <c r="H146" s="1546"/>
      <c r="I146" s="1551"/>
      <c r="J146" s="1546"/>
    </row>
    <row r="147" spans="2:10" s="1626" customFormat="1">
      <c r="B147" s="1643" t="s">
        <v>7298</v>
      </c>
      <c r="D147" s="1627"/>
      <c r="E147" s="1628"/>
      <c r="F147" s="1628"/>
      <c r="G147" s="1628"/>
      <c r="H147" s="1546"/>
      <c r="I147" s="1551"/>
      <c r="J147" s="1546"/>
    </row>
    <row r="148" spans="2:10" s="1626" customFormat="1">
      <c r="B148" s="1644"/>
      <c r="D148" s="1627"/>
      <c r="E148" s="1628"/>
      <c r="F148" s="1628"/>
      <c r="G148" s="1628"/>
      <c r="H148" s="1546"/>
      <c r="I148" s="1551"/>
      <c r="J148" s="1546"/>
    </row>
    <row r="149" spans="2:10" s="1626" customFormat="1">
      <c r="B149" s="1644"/>
      <c r="D149" s="1627"/>
      <c r="E149" s="1628"/>
      <c r="F149" s="1628"/>
      <c r="G149" s="1628"/>
      <c r="H149" s="1546"/>
      <c r="I149" s="1551"/>
      <c r="J149" s="1546"/>
    </row>
    <row r="150" spans="2:10" s="1626" customFormat="1" ht="56.25">
      <c r="B150" s="1645" t="s">
        <v>7299</v>
      </c>
      <c r="D150" s="1627"/>
      <c r="E150" s="1628"/>
      <c r="F150" s="1628"/>
      <c r="G150" s="1628"/>
      <c r="H150" s="1546"/>
      <c r="I150" s="1551"/>
      <c r="J150" s="1546"/>
    </row>
    <row r="151" spans="2:10" s="1626" customFormat="1">
      <c r="B151" s="1643" t="s">
        <v>7300</v>
      </c>
      <c r="D151" s="1627"/>
      <c r="E151" s="1628"/>
      <c r="F151" s="1628"/>
      <c r="G151" s="1628"/>
      <c r="H151" s="1546"/>
      <c r="I151" s="1551"/>
      <c r="J151" s="1546"/>
    </row>
    <row r="152" spans="2:10" s="1626" customFormat="1">
      <c r="B152" s="1643" t="s">
        <v>7301</v>
      </c>
      <c r="D152" s="1627"/>
      <c r="E152" s="1628"/>
      <c r="F152" s="1628"/>
      <c r="G152" s="1628"/>
      <c r="H152" s="1546"/>
      <c r="I152" s="1551"/>
      <c r="J152" s="1546"/>
    </row>
    <row r="153" spans="2:10" s="1626" customFormat="1">
      <c r="B153" s="1643"/>
      <c r="D153" s="1627"/>
      <c r="E153" s="1628"/>
      <c r="F153" s="1628"/>
      <c r="G153" s="1628"/>
      <c r="H153" s="1546"/>
      <c r="I153" s="1551"/>
      <c r="J153" s="1546"/>
    </row>
    <row r="154" spans="2:10" s="1626" customFormat="1" ht="37.5">
      <c r="B154" s="1637" t="s">
        <v>7302</v>
      </c>
      <c r="D154" s="1627"/>
      <c r="E154" s="1628"/>
      <c r="F154" s="1628"/>
      <c r="G154" s="1628"/>
      <c r="H154" s="1546"/>
      <c r="I154" s="1551"/>
      <c r="J154" s="1546"/>
    </row>
    <row r="155" spans="2:10" s="1626" customFormat="1" ht="37.5">
      <c r="B155" s="1637" t="s">
        <v>7303</v>
      </c>
      <c r="D155" s="1627"/>
      <c r="E155" s="1628"/>
      <c r="F155" s="1628"/>
      <c r="G155" s="1628"/>
      <c r="H155" s="1546"/>
      <c r="I155" s="1551"/>
      <c r="J155" s="1546"/>
    </row>
    <row r="156" spans="2:10" s="1626" customFormat="1" ht="37.5">
      <c r="B156" s="1637" t="s">
        <v>7304</v>
      </c>
      <c r="D156" s="1627"/>
      <c r="E156" s="1628"/>
      <c r="F156" s="1628"/>
      <c r="G156" s="1628"/>
      <c r="H156" s="1546"/>
      <c r="I156" s="1551"/>
      <c r="J156" s="1546"/>
    </row>
    <row r="157" spans="2:10" s="1626" customFormat="1" ht="37.5">
      <c r="B157" s="1637" t="s">
        <v>7305</v>
      </c>
      <c r="D157" s="1627"/>
      <c r="E157" s="1628"/>
      <c r="F157" s="1628"/>
      <c r="G157" s="1628"/>
      <c r="H157" s="1546"/>
      <c r="I157" s="1551"/>
      <c r="J157" s="1546"/>
    </row>
  </sheetData>
  <mergeCells count="16">
    <mergeCell ref="B41:F41"/>
    <mergeCell ref="A52:I52"/>
    <mergeCell ref="B8:E8"/>
    <mergeCell ref="B10:F10"/>
    <mergeCell ref="B12:E12"/>
    <mergeCell ref="B17:E17"/>
    <mergeCell ref="B35:F35"/>
    <mergeCell ref="B38:E38"/>
    <mergeCell ref="A1:I1"/>
    <mergeCell ref="A2:I2"/>
    <mergeCell ref="A3:I3"/>
    <mergeCell ref="A4:A5"/>
    <mergeCell ref="B4:B5"/>
    <mergeCell ref="C4:D5"/>
    <mergeCell ref="E4:G4"/>
    <mergeCell ref="H4:H5"/>
  </mergeCells>
  <pageMargins left="0.54" right="0.22" top="0.57999999999999996" bottom="0.27" header="0.26" footer="0.16"/>
  <pageSetup paperSize="9" scale="94" orientation="portrait" verticalDpi="300" r:id="rId1"/>
  <headerFooter>
    <oddHeader>&amp;R&amp;P</oddHead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03"/>
  <sheetViews>
    <sheetView view="pageBreakPreview" topLeftCell="A4" workbookViewId="0">
      <selection activeCell="B27" sqref="B27"/>
    </sheetView>
  </sheetViews>
  <sheetFormatPr defaultRowHeight="18.75"/>
  <cols>
    <col min="1" max="1" width="4.21875" style="1702" customWidth="1"/>
    <col min="2" max="2" width="40.5546875" style="1647" customWidth="1"/>
    <col min="3" max="3" width="6.109375" style="1704" customWidth="1"/>
    <col min="4" max="4" width="6.44140625" style="1705" customWidth="1"/>
    <col min="5" max="5" width="7.5546875" style="1647" customWidth="1"/>
    <col min="6" max="6" width="6.6640625" style="1647" customWidth="1"/>
    <col min="7" max="7" width="6.77734375" style="1647" customWidth="1"/>
    <col min="8" max="8" width="7.6640625" style="1740" customWidth="1"/>
    <col min="9" max="9" width="5" style="1652" customWidth="1"/>
    <col min="10" max="19" width="4.21875" style="1647" customWidth="1"/>
    <col min="20" max="256" width="8.88671875" style="1647"/>
    <col min="257" max="257" width="4.21875" style="1647" customWidth="1"/>
    <col min="258" max="258" width="42.33203125" style="1647" customWidth="1"/>
    <col min="259" max="259" width="3.88671875" style="1647" customWidth="1"/>
    <col min="260" max="260" width="4" style="1647" customWidth="1"/>
    <col min="261" max="261" width="7.5546875" style="1647" customWidth="1"/>
    <col min="262" max="262" width="6.6640625" style="1647" customWidth="1"/>
    <col min="263" max="263" width="6.77734375" style="1647" customWidth="1"/>
    <col min="264" max="264" width="7.6640625" style="1647" customWidth="1"/>
    <col min="265" max="265" width="3.6640625" style="1647" customWidth="1"/>
    <col min="266" max="275" width="4.21875" style="1647" customWidth="1"/>
    <col min="276" max="512" width="8.88671875" style="1647"/>
    <col min="513" max="513" width="4.21875" style="1647" customWidth="1"/>
    <col min="514" max="514" width="42.33203125" style="1647" customWidth="1"/>
    <col min="515" max="515" width="3.88671875" style="1647" customWidth="1"/>
    <col min="516" max="516" width="4" style="1647" customWidth="1"/>
    <col min="517" max="517" width="7.5546875" style="1647" customWidth="1"/>
    <col min="518" max="518" width="6.6640625" style="1647" customWidth="1"/>
    <col min="519" max="519" width="6.77734375" style="1647" customWidth="1"/>
    <col min="520" max="520" width="7.6640625" style="1647" customWidth="1"/>
    <col min="521" max="521" width="3.6640625" style="1647" customWidth="1"/>
    <col min="522" max="531" width="4.21875" style="1647" customWidth="1"/>
    <col min="532" max="768" width="8.88671875" style="1647"/>
    <col min="769" max="769" width="4.21875" style="1647" customWidth="1"/>
    <col min="770" max="770" width="42.33203125" style="1647" customWidth="1"/>
    <col min="771" max="771" width="3.88671875" style="1647" customWidth="1"/>
    <col min="772" max="772" width="4" style="1647" customWidth="1"/>
    <col min="773" max="773" width="7.5546875" style="1647" customWidth="1"/>
    <col min="774" max="774" width="6.6640625" style="1647" customWidth="1"/>
    <col min="775" max="775" width="6.77734375" style="1647" customWidth="1"/>
    <col min="776" max="776" width="7.6640625" style="1647" customWidth="1"/>
    <col min="777" max="777" width="3.6640625" style="1647" customWidth="1"/>
    <col min="778" max="787" width="4.21875" style="1647" customWidth="1"/>
    <col min="788" max="1024" width="8.88671875" style="1647"/>
    <col min="1025" max="1025" width="4.21875" style="1647" customWidth="1"/>
    <col min="1026" max="1026" width="42.33203125" style="1647" customWidth="1"/>
    <col min="1027" max="1027" width="3.88671875" style="1647" customWidth="1"/>
    <col min="1028" max="1028" width="4" style="1647" customWidth="1"/>
    <col min="1029" max="1029" width="7.5546875" style="1647" customWidth="1"/>
    <col min="1030" max="1030" width="6.6640625" style="1647" customWidth="1"/>
    <col min="1031" max="1031" width="6.77734375" style="1647" customWidth="1"/>
    <col min="1032" max="1032" width="7.6640625" style="1647" customWidth="1"/>
    <col min="1033" max="1033" width="3.6640625" style="1647" customWidth="1"/>
    <col min="1034" max="1043" width="4.21875" style="1647" customWidth="1"/>
    <col min="1044" max="1280" width="8.88671875" style="1647"/>
    <col min="1281" max="1281" width="4.21875" style="1647" customWidth="1"/>
    <col min="1282" max="1282" width="42.33203125" style="1647" customWidth="1"/>
    <col min="1283" max="1283" width="3.88671875" style="1647" customWidth="1"/>
    <col min="1284" max="1284" width="4" style="1647" customWidth="1"/>
    <col min="1285" max="1285" width="7.5546875" style="1647" customWidth="1"/>
    <col min="1286" max="1286" width="6.6640625" style="1647" customWidth="1"/>
    <col min="1287" max="1287" width="6.77734375" style="1647" customWidth="1"/>
    <col min="1288" max="1288" width="7.6640625" style="1647" customWidth="1"/>
    <col min="1289" max="1289" width="3.6640625" style="1647" customWidth="1"/>
    <col min="1290" max="1299" width="4.21875" style="1647" customWidth="1"/>
    <col min="1300" max="1536" width="8.88671875" style="1647"/>
    <col min="1537" max="1537" width="4.21875" style="1647" customWidth="1"/>
    <col min="1538" max="1538" width="42.33203125" style="1647" customWidth="1"/>
    <col min="1539" max="1539" width="3.88671875" style="1647" customWidth="1"/>
    <col min="1540" max="1540" width="4" style="1647" customWidth="1"/>
    <col min="1541" max="1541" width="7.5546875" style="1647" customWidth="1"/>
    <col min="1542" max="1542" width="6.6640625" style="1647" customWidth="1"/>
    <col min="1543" max="1543" width="6.77734375" style="1647" customWidth="1"/>
    <col min="1544" max="1544" width="7.6640625" style="1647" customWidth="1"/>
    <col min="1545" max="1545" width="3.6640625" style="1647" customWidth="1"/>
    <col min="1546" max="1555" width="4.21875" style="1647" customWidth="1"/>
    <col min="1556" max="1792" width="8.88671875" style="1647"/>
    <col min="1793" max="1793" width="4.21875" style="1647" customWidth="1"/>
    <col min="1794" max="1794" width="42.33203125" style="1647" customWidth="1"/>
    <col min="1795" max="1795" width="3.88671875" style="1647" customWidth="1"/>
    <col min="1796" max="1796" width="4" style="1647" customWidth="1"/>
    <col min="1797" max="1797" width="7.5546875" style="1647" customWidth="1"/>
    <col min="1798" max="1798" width="6.6640625" style="1647" customWidth="1"/>
    <col min="1799" max="1799" width="6.77734375" style="1647" customWidth="1"/>
    <col min="1800" max="1800" width="7.6640625" style="1647" customWidth="1"/>
    <col min="1801" max="1801" width="3.6640625" style="1647" customWidth="1"/>
    <col min="1802" max="1811" width="4.21875" style="1647" customWidth="1"/>
    <col min="1812" max="2048" width="8.88671875" style="1647"/>
    <col min="2049" max="2049" width="4.21875" style="1647" customWidth="1"/>
    <col min="2050" max="2050" width="42.33203125" style="1647" customWidth="1"/>
    <col min="2051" max="2051" width="3.88671875" style="1647" customWidth="1"/>
    <col min="2052" max="2052" width="4" style="1647" customWidth="1"/>
    <col min="2053" max="2053" width="7.5546875" style="1647" customWidth="1"/>
    <col min="2054" max="2054" width="6.6640625" style="1647" customWidth="1"/>
    <col min="2055" max="2055" width="6.77734375" style="1647" customWidth="1"/>
    <col min="2056" max="2056" width="7.6640625" style="1647" customWidth="1"/>
    <col min="2057" max="2057" width="3.6640625" style="1647" customWidth="1"/>
    <col min="2058" max="2067" width="4.21875" style="1647" customWidth="1"/>
    <col min="2068" max="2304" width="8.88671875" style="1647"/>
    <col min="2305" max="2305" width="4.21875" style="1647" customWidth="1"/>
    <col min="2306" max="2306" width="42.33203125" style="1647" customWidth="1"/>
    <col min="2307" max="2307" width="3.88671875" style="1647" customWidth="1"/>
    <col min="2308" max="2308" width="4" style="1647" customWidth="1"/>
    <col min="2309" max="2309" width="7.5546875" style="1647" customWidth="1"/>
    <col min="2310" max="2310" width="6.6640625" style="1647" customWidth="1"/>
    <col min="2311" max="2311" width="6.77734375" style="1647" customWidth="1"/>
    <col min="2312" max="2312" width="7.6640625" style="1647" customWidth="1"/>
    <col min="2313" max="2313" width="3.6640625" style="1647" customWidth="1"/>
    <col min="2314" max="2323" width="4.21875" style="1647" customWidth="1"/>
    <col min="2324" max="2560" width="8.88671875" style="1647"/>
    <col min="2561" max="2561" width="4.21875" style="1647" customWidth="1"/>
    <col min="2562" max="2562" width="42.33203125" style="1647" customWidth="1"/>
    <col min="2563" max="2563" width="3.88671875" style="1647" customWidth="1"/>
    <col min="2564" max="2564" width="4" style="1647" customWidth="1"/>
    <col min="2565" max="2565" width="7.5546875" style="1647" customWidth="1"/>
    <col min="2566" max="2566" width="6.6640625" style="1647" customWidth="1"/>
    <col min="2567" max="2567" width="6.77734375" style="1647" customWidth="1"/>
    <col min="2568" max="2568" width="7.6640625" style="1647" customWidth="1"/>
    <col min="2569" max="2569" width="3.6640625" style="1647" customWidth="1"/>
    <col min="2570" max="2579" width="4.21875" style="1647" customWidth="1"/>
    <col min="2580" max="2816" width="8.88671875" style="1647"/>
    <col min="2817" max="2817" width="4.21875" style="1647" customWidth="1"/>
    <col min="2818" max="2818" width="42.33203125" style="1647" customWidth="1"/>
    <col min="2819" max="2819" width="3.88671875" style="1647" customWidth="1"/>
    <col min="2820" max="2820" width="4" style="1647" customWidth="1"/>
    <col min="2821" max="2821" width="7.5546875" style="1647" customWidth="1"/>
    <col min="2822" max="2822" width="6.6640625" style="1647" customWidth="1"/>
    <col min="2823" max="2823" width="6.77734375" style="1647" customWidth="1"/>
    <col min="2824" max="2824" width="7.6640625" style="1647" customWidth="1"/>
    <col min="2825" max="2825" width="3.6640625" style="1647" customWidth="1"/>
    <col min="2826" max="2835" width="4.21875" style="1647" customWidth="1"/>
    <col min="2836" max="3072" width="8.88671875" style="1647"/>
    <col min="3073" max="3073" width="4.21875" style="1647" customWidth="1"/>
    <col min="3074" max="3074" width="42.33203125" style="1647" customWidth="1"/>
    <col min="3075" max="3075" width="3.88671875" style="1647" customWidth="1"/>
    <col min="3076" max="3076" width="4" style="1647" customWidth="1"/>
    <col min="3077" max="3077" width="7.5546875" style="1647" customWidth="1"/>
    <col min="3078" max="3078" width="6.6640625" style="1647" customWidth="1"/>
    <col min="3079" max="3079" width="6.77734375" style="1647" customWidth="1"/>
    <col min="3080" max="3080" width="7.6640625" style="1647" customWidth="1"/>
    <col min="3081" max="3081" width="3.6640625" style="1647" customWidth="1"/>
    <col min="3082" max="3091" width="4.21875" style="1647" customWidth="1"/>
    <col min="3092" max="3328" width="8.88671875" style="1647"/>
    <col min="3329" max="3329" width="4.21875" style="1647" customWidth="1"/>
    <col min="3330" max="3330" width="42.33203125" style="1647" customWidth="1"/>
    <col min="3331" max="3331" width="3.88671875" style="1647" customWidth="1"/>
    <col min="3332" max="3332" width="4" style="1647" customWidth="1"/>
    <col min="3333" max="3333" width="7.5546875" style="1647" customWidth="1"/>
    <col min="3334" max="3334" width="6.6640625" style="1647" customWidth="1"/>
    <col min="3335" max="3335" width="6.77734375" style="1647" customWidth="1"/>
    <col min="3336" max="3336" width="7.6640625" style="1647" customWidth="1"/>
    <col min="3337" max="3337" width="3.6640625" style="1647" customWidth="1"/>
    <col min="3338" max="3347" width="4.21875" style="1647" customWidth="1"/>
    <col min="3348" max="3584" width="8.88671875" style="1647"/>
    <col min="3585" max="3585" width="4.21875" style="1647" customWidth="1"/>
    <col min="3586" max="3586" width="42.33203125" style="1647" customWidth="1"/>
    <col min="3587" max="3587" width="3.88671875" style="1647" customWidth="1"/>
    <col min="3588" max="3588" width="4" style="1647" customWidth="1"/>
    <col min="3589" max="3589" width="7.5546875" style="1647" customWidth="1"/>
    <col min="3590" max="3590" width="6.6640625" style="1647" customWidth="1"/>
    <col min="3591" max="3591" width="6.77734375" style="1647" customWidth="1"/>
    <col min="3592" max="3592" width="7.6640625" style="1647" customWidth="1"/>
    <col min="3593" max="3593" width="3.6640625" style="1647" customWidth="1"/>
    <col min="3594" max="3603" width="4.21875" style="1647" customWidth="1"/>
    <col min="3604" max="3840" width="8.88671875" style="1647"/>
    <col min="3841" max="3841" width="4.21875" style="1647" customWidth="1"/>
    <col min="3842" max="3842" width="42.33203125" style="1647" customWidth="1"/>
    <col min="3843" max="3843" width="3.88671875" style="1647" customWidth="1"/>
    <col min="3844" max="3844" width="4" style="1647" customWidth="1"/>
    <col min="3845" max="3845" width="7.5546875" style="1647" customWidth="1"/>
    <col min="3846" max="3846" width="6.6640625" style="1647" customWidth="1"/>
    <col min="3847" max="3847" width="6.77734375" style="1647" customWidth="1"/>
    <col min="3848" max="3848" width="7.6640625" style="1647" customWidth="1"/>
    <col min="3849" max="3849" width="3.6640625" style="1647" customWidth="1"/>
    <col min="3850" max="3859" width="4.21875" style="1647" customWidth="1"/>
    <col min="3860" max="4096" width="8.88671875" style="1647"/>
    <col min="4097" max="4097" width="4.21875" style="1647" customWidth="1"/>
    <col min="4098" max="4098" width="42.33203125" style="1647" customWidth="1"/>
    <col min="4099" max="4099" width="3.88671875" style="1647" customWidth="1"/>
    <col min="4100" max="4100" width="4" style="1647" customWidth="1"/>
    <col min="4101" max="4101" width="7.5546875" style="1647" customWidth="1"/>
    <col min="4102" max="4102" width="6.6640625" style="1647" customWidth="1"/>
    <col min="4103" max="4103" width="6.77734375" style="1647" customWidth="1"/>
    <col min="4104" max="4104" width="7.6640625" style="1647" customWidth="1"/>
    <col min="4105" max="4105" width="3.6640625" style="1647" customWidth="1"/>
    <col min="4106" max="4115" width="4.21875" style="1647" customWidth="1"/>
    <col min="4116" max="4352" width="8.88671875" style="1647"/>
    <col min="4353" max="4353" width="4.21875" style="1647" customWidth="1"/>
    <col min="4354" max="4354" width="42.33203125" style="1647" customWidth="1"/>
    <col min="4355" max="4355" width="3.88671875" style="1647" customWidth="1"/>
    <col min="4356" max="4356" width="4" style="1647" customWidth="1"/>
    <col min="4357" max="4357" width="7.5546875" style="1647" customWidth="1"/>
    <col min="4358" max="4358" width="6.6640625" style="1647" customWidth="1"/>
    <col min="4359" max="4359" width="6.77734375" style="1647" customWidth="1"/>
    <col min="4360" max="4360" width="7.6640625" style="1647" customWidth="1"/>
    <col min="4361" max="4361" width="3.6640625" style="1647" customWidth="1"/>
    <col min="4362" max="4371" width="4.21875" style="1647" customWidth="1"/>
    <col min="4372" max="4608" width="8.88671875" style="1647"/>
    <col min="4609" max="4609" width="4.21875" style="1647" customWidth="1"/>
    <col min="4610" max="4610" width="42.33203125" style="1647" customWidth="1"/>
    <col min="4611" max="4611" width="3.88671875" style="1647" customWidth="1"/>
    <col min="4612" max="4612" width="4" style="1647" customWidth="1"/>
    <col min="4613" max="4613" width="7.5546875" style="1647" customWidth="1"/>
    <col min="4614" max="4614" width="6.6640625" style="1647" customWidth="1"/>
    <col min="4615" max="4615" width="6.77734375" style="1647" customWidth="1"/>
    <col min="4616" max="4616" width="7.6640625" style="1647" customWidth="1"/>
    <col min="4617" max="4617" width="3.6640625" style="1647" customWidth="1"/>
    <col min="4618" max="4627" width="4.21875" style="1647" customWidth="1"/>
    <col min="4628" max="4864" width="8.88671875" style="1647"/>
    <col min="4865" max="4865" width="4.21875" style="1647" customWidth="1"/>
    <col min="4866" max="4866" width="42.33203125" style="1647" customWidth="1"/>
    <col min="4867" max="4867" width="3.88671875" style="1647" customWidth="1"/>
    <col min="4868" max="4868" width="4" style="1647" customWidth="1"/>
    <col min="4869" max="4869" width="7.5546875" style="1647" customWidth="1"/>
    <col min="4870" max="4870" width="6.6640625" style="1647" customWidth="1"/>
    <col min="4871" max="4871" width="6.77734375" style="1647" customWidth="1"/>
    <col min="4872" max="4872" width="7.6640625" style="1647" customWidth="1"/>
    <col min="4873" max="4873" width="3.6640625" style="1647" customWidth="1"/>
    <col min="4874" max="4883" width="4.21875" style="1647" customWidth="1"/>
    <col min="4884" max="5120" width="8.88671875" style="1647"/>
    <col min="5121" max="5121" width="4.21875" style="1647" customWidth="1"/>
    <col min="5122" max="5122" width="42.33203125" style="1647" customWidth="1"/>
    <col min="5123" max="5123" width="3.88671875" style="1647" customWidth="1"/>
    <col min="5124" max="5124" width="4" style="1647" customWidth="1"/>
    <col min="5125" max="5125" width="7.5546875" style="1647" customWidth="1"/>
    <col min="5126" max="5126" width="6.6640625" style="1647" customWidth="1"/>
    <col min="5127" max="5127" width="6.77734375" style="1647" customWidth="1"/>
    <col min="5128" max="5128" width="7.6640625" style="1647" customWidth="1"/>
    <col min="5129" max="5129" width="3.6640625" style="1647" customWidth="1"/>
    <col min="5130" max="5139" width="4.21875" style="1647" customWidth="1"/>
    <col min="5140" max="5376" width="8.88671875" style="1647"/>
    <col min="5377" max="5377" width="4.21875" style="1647" customWidth="1"/>
    <col min="5378" max="5378" width="42.33203125" style="1647" customWidth="1"/>
    <col min="5379" max="5379" width="3.88671875" style="1647" customWidth="1"/>
    <col min="5380" max="5380" width="4" style="1647" customWidth="1"/>
    <col min="5381" max="5381" width="7.5546875" style="1647" customWidth="1"/>
    <col min="5382" max="5382" width="6.6640625" style="1647" customWidth="1"/>
    <col min="5383" max="5383" width="6.77734375" style="1647" customWidth="1"/>
    <col min="5384" max="5384" width="7.6640625" style="1647" customWidth="1"/>
    <col min="5385" max="5385" width="3.6640625" style="1647" customWidth="1"/>
    <col min="5386" max="5395" width="4.21875" style="1647" customWidth="1"/>
    <col min="5396" max="5632" width="8.88671875" style="1647"/>
    <col min="5633" max="5633" width="4.21875" style="1647" customWidth="1"/>
    <col min="5634" max="5634" width="42.33203125" style="1647" customWidth="1"/>
    <col min="5635" max="5635" width="3.88671875" style="1647" customWidth="1"/>
    <col min="5636" max="5636" width="4" style="1647" customWidth="1"/>
    <col min="5637" max="5637" width="7.5546875" style="1647" customWidth="1"/>
    <col min="5638" max="5638" width="6.6640625" style="1647" customWidth="1"/>
    <col min="5639" max="5639" width="6.77734375" style="1647" customWidth="1"/>
    <col min="5640" max="5640" width="7.6640625" style="1647" customWidth="1"/>
    <col min="5641" max="5641" width="3.6640625" style="1647" customWidth="1"/>
    <col min="5642" max="5651" width="4.21875" style="1647" customWidth="1"/>
    <col min="5652" max="5888" width="8.88671875" style="1647"/>
    <col min="5889" max="5889" width="4.21875" style="1647" customWidth="1"/>
    <col min="5890" max="5890" width="42.33203125" style="1647" customWidth="1"/>
    <col min="5891" max="5891" width="3.88671875" style="1647" customWidth="1"/>
    <col min="5892" max="5892" width="4" style="1647" customWidth="1"/>
    <col min="5893" max="5893" width="7.5546875" style="1647" customWidth="1"/>
    <col min="5894" max="5894" width="6.6640625" style="1647" customWidth="1"/>
    <col min="5895" max="5895" width="6.77734375" style="1647" customWidth="1"/>
    <col min="5896" max="5896" width="7.6640625" style="1647" customWidth="1"/>
    <col min="5897" max="5897" width="3.6640625" style="1647" customWidth="1"/>
    <col min="5898" max="5907" width="4.21875" style="1647" customWidth="1"/>
    <col min="5908" max="6144" width="8.88671875" style="1647"/>
    <col min="6145" max="6145" width="4.21875" style="1647" customWidth="1"/>
    <col min="6146" max="6146" width="42.33203125" style="1647" customWidth="1"/>
    <col min="6147" max="6147" width="3.88671875" style="1647" customWidth="1"/>
    <col min="6148" max="6148" width="4" style="1647" customWidth="1"/>
    <col min="6149" max="6149" width="7.5546875" style="1647" customWidth="1"/>
    <col min="6150" max="6150" width="6.6640625" style="1647" customWidth="1"/>
    <col min="6151" max="6151" width="6.77734375" style="1647" customWidth="1"/>
    <col min="6152" max="6152" width="7.6640625" style="1647" customWidth="1"/>
    <col min="6153" max="6153" width="3.6640625" style="1647" customWidth="1"/>
    <col min="6154" max="6163" width="4.21875" style="1647" customWidth="1"/>
    <col min="6164" max="6400" width="8.88671875" style="1647"/>
    <col min="6401" max="6401" width="4.21875" style="1647" customWidth="1"/>
    <col min="6402" max="6402" width="42.33203125" style="1647" customWidth="1"/>
    <col min="6403" max="6403" width="3.88671875" style="1647" customWidth="1"/>
    <col min="6404" max="6404" width="4" style="1647" customWidth="1"/>
    <col min="6405" max="6405" width="7.5546875" style="1647" customWidth="1"/>
    <col min="6406" max="6406" width="6.6640625" style="1647" customWidth="1"/>
    <col min="6407" max="6407" width="6.77734375" style="1647" customWidth="1"/>
    <col min="6408" max="6408" width="7.6640625" style="1647" customWidth="1"/>
    <col min="6409" max="6409" width="3.6640625" style="1647" customWidth="1"/>
    <col min="6410" max="6419" width="4.21875" style="1647" customWidth="1"/>
    <col min="6420" max="6656" width="8.88671875" style="1647"/>
    <col min="6657" max="6657" width="4.21875" style="1647" customWidth="1"/>
    <col min="6658" max="6658" width="42.33203125" style="1647" customWidth="1"/>
    <col min="6659" max="6659" width="3.88671875" style="1647" customWidth="1"/>
    <col min="6660" max="6660" width="4" style="1647" customWidth="1"/>
    <col min="6661" max="6661" width="7.5546875" style="1647" customWidth="1"/>
    <col min="6662" max="6662" width="6.6640625" style="1647" customWidth="1"/>
    <col min="6663" max="6663" width="6.77734375" style="1647" customWidth="1"/>
    <col min="6664" max="6664" width="7.6640625" style="1647" customWidth="1"/>
    <col min="6665" max="6665" width="3.6640625" style="1647" customWidth="1"/>
    <col min="6666" max="6675" width="4.21875" style="1647" customWidth="1"/>
    <col min="6676" max="6912" width="8.88671875" style="1647"/>
    <col min="6913" max="6913" width="4.21875" style="1647" customWidth="1"/>
    <col min="6914" max="6914" width="42.33203125" style="1647" customWidth="1"/>
    <col min="6915" max="6915" width="3.88671875" style="1647" customWidth="1"/>
    <col min="6916" max="6916" width="4" style="1647" customWidth="1"/>
    <col min="6917" max="6917" width="7.5546875" style="1647" customWidth="1"/>
    <col min="6918" max="6918" width="6.6640625" style="1647" customWidth="1"/>
    <col min="6919" max="6919" width="6.77734375" style="1647" customWidth="1"/>
    <col min="6920" max="6920" width="7.6640625" style="1647" customWidth="1"/>
    <col min="6921" max="6921" width="3.6640625" style="1647" customWidth="1"/>
    <col min="6922" max="6931" width="4.21875" style="1647" customWidth="1"/>
    <col min="6932" max="7168" width="8.88671875" style="1647"/>
    <col min="7169" max="7169" width="4.21875" style="1647" customWidth="1"/>
    <col min="7170" max="7170" width="42.33203125" style="1647" customWidth="1"/>
    <col min="7171" max="7171" width="3.88671875" style="1647" customWidth="1"/>
    <col min="7172" max="7172" width="4" style="1647" customWidth="1"/>
    <col min="7173" max="7173" width="7.5546875" style="1647" customWidth="1"/>
    <col min="7174" max="7174" width="6.6640625" style="1647" customWidth="1"/>
    <col min="7175" max="7175" width="6.77734375" style="1647" customWidth="1"/>
    <col min="7176" max="7176" width="7.6640625" style="1647" customWidth="1"/>
    <col min="7177" max="7177" width="3.6640625" style="1647" customWidth="1"/>
    <col min="7178" max="7187" width="4.21875" style="1647" customWidth="1"/>
    <col min="7188" max="7424" width="8.88671875" style="1647"/>
    <col min="7425" max="7425" width="4.21875" style="1647" customWidth="1"/>
    <col min="7426" max="7426" width="42.33203125" style="1647" customWidth="1"/>
    <col min="7427" max="7427" width="3.88671875" style="1647" customWidth="1"/>
    <col min="7428" max="7428" width="4" style="1647" customWidth="1"/>
    <col min="7429" max="7429" width="7.5546875" style="1647" customWidth="1"/>
    <col min="7430" max="7430" width="6.6640625" style="1647" customWidth="1"/>
    <col min="7431" max="7431" width="6.77734375" style="1647" customWidth="1"/>
    <col min="7432" max="7432" width="7.6640625" style="1647" customWidth="1"/>
    <col min="7433" max="7433" width="3.6640625" style="1647" customWidth="1"/>
    <col min="7434" max="7443" width="4.21875" style="1647" customWidth="1"/>
    <col min="7444" max="7680" width="8.88671875" style="1647"/>
    <col min="7681" max="7681" width="4.21875" style="1647" customWidth="1"/>
    <col min="7682" max="7682" width="42.33203125" style="1647" customWidth="1"/>
    <col min="7683" max="7683" width="3.88671875" style="1647" customWidth="1"/>
    <col min="7684" max="7684" width="4" style="1647" customWidth="1"/>
    <col min="7685" max="7685" width="7.5546875" style="1647" customWidth="1"/>
    <col min="7686" max="7686" width="6.6640625" style="1647" customWidth="1"/>
    <col min="7687" max="7687" width="6.77734375" style="1647" customWidth="1"/>
    <col min="7688" max="7688" width="7.6640625" style="1647" customWidth="1"/>
    <col min="7689" max="7689" width="3.6640625" style="1647" customWidth="1"/>
    <col min="7690" max="7699" width="4.21875" style="1647" customWidth="1"/>
    <col min="7700" max="7936" width="8.88671875" style="1647"/>
    <col min="7937" max="7937" width="4.21875" style="1647" customWidth="1"/>
    <col min="7938" max="7938" width="42.33203125" style="1647" customWidth="1"/>
    <col min="7939" max="7939" width="3.88671875" style="1647" customWidth="1"/>
    <col min="7940" max="7940" width="4" style="1647" customWidth="1"/>
    <col min="7941" max="7941" width="7.5546875" style="1647" customWidth="1"/>
    <col min="7942" max="7942" width="6.6640625" style="1647" customWidth="1"/>
    <col min="7943" max="7943" width="6.77734375" style="1647" customWidth="1"/>
    <col min="7944" max="7944" width="7.6640625" style="1647" customWidth="1"/>
    <col min="7945" max="7945" width="3.6640625" style="1647" customWidth="1"/>
    <col min="7946" max="7955" width="4.21875" style="1647" customWidth="1"/>
    <col min="7956" max="8192" width="8.88671875" style="1647"/>
    <col min="8193" max="8193" width="4.21875" style="1647" customWidth="1"/>
    <col min="8194" max="8194" width="42.33203125" style="1647" customWidth="1"/>
    <col min="8195" max="8195" width="3.88671875" style="1647" customWidth="1"/>
    <col min="8196" max="8196" width="4" style="1647" customWidth="1"/>
    <col min="8197" max="8197" width="7.5546875" style="1647" customWidth="1"/>
    <col min="8198" max="8198" width="6.6640625" style="1647" customWidth="1"/>
    <col min="8199" max="8199" width="6.77734375" style="1647" customWidth="1"/>
    <col min="8200" max="8200" width="7.6640625" style="1647" customWidth="1"/>
    <col min="8201" max="8201" width="3.6640625" style="1647" customWidth="1"/>
    <col min="8202" max="8211" width="4.21875" style="1647" customWidth="1"/>
    <col min="8212" max="8448" width="8.88671875" style="1647"/>
    <col min="8449" max="8449" width="4.21875" style="1647" customWidth="1"/>
    <col min="8450" max="8450" width="42.33203125" style="1647" customWidth="1"/>
    <col min="8451" max="8451" width="3.88671875" style="1647" customWidth="1"/>
    <col min="8452" max="8452" width="4" style="1647" customWidth="1"/>
    <col min="8453" max="8453" width="7.5546875" style="1647" customWidth="1"/>
    <col min="8454" max="8454" width="6.6640625" style="1647" customWidth="1"/>
    <col min="8455" max="8455" width="6.77734375" style="1647" customWidth="1"/>
    <col min="8456" max="8456" width="7.6640625" style="1647" customWidth="1"/>
    <col min="8457" max="8457" width="3.6640625" style="1647" customWidth="1"/>
    <col min="8458" max="8467" width="4.21875" style="1647" customWidth="1"/>
    <col min="8468" max="8704" width="8.88671875" style="1647"/>
    <col min="8705" max="8705" width="4.21875" style="1647" customWidth="1"/>
    <col min="8706" max="8706" width="42.33203125" style="1647" customWidth="1"/>
    <col min="8707" max="8707" width="3.88671875" style="1647" customWidth="1"/>
    <col min="8708" max="8708" width="4" style="1647" customWidth="1"/>
    <col min="8709" max="8709" width="7.5546875" style="1647" customWidth="1"/>
    <col min="8710" max="8710" width="6.6640625" style="1647" customWidth="1"/>
    <col min="8711" max="8711" width="6.77734375" style="1647" customWidth="1"/>
    <col min="8712" max="8712" width="7.6640625" style="1647" customWidth="1"/>
    <col min="8713" max="8713" width="3.6640625" style="1647" customWidth="1"/>
    <col min="8714" max="8723" width="4.21875" style="1647" customWidth="1"/>
    <col min="8724" max="8960" width="8.88671875" style="1647"/>
    <col min="8961" max="8961" width="4.21875" style="1647" customWidth="1"/>
    <col min="8962" max="8962" width="42.33203125" style="1647" customWidth="1"/>
    <col min="8963" max="8963" width="3.88671875" style="1647" customWidth="1"/>
    <col min="8964" max="8964" width="4" style="1647" customWidth="1"/>
    <col min="8965" max="8965" width="7.5546875" style="1647" customWidth="1"/>
    <col min="8966" max="8966" width="6.6640625" style="1647" customWidth="1"/>
    <col min="8967" max="8967" width="6.77734375" style="1647" customWidth="1"/>
    <col min="8968" max="8968" width="7.6640625" style="1647" customWidth="1"/>
    <col min="8969" max="8969" width="3.6640625" style="1647" customWidth="1"/>
    <col min="8970" max="8979" width="4.21875" style="1647" customWidth="1"/>
    <col min="8980" max="9216" width="8.88671875" style="1647"/>
    <col min="9217" max="9217" width="4.21875" style="1647" customWidth="1"/>
    <col min="9218" max="9218" width="42.33203125" style="1647" customWidth="1"/>
    <col min="9219" max="9219" width="3.88671875" style="1647" customWidth="1"/>
    <col min="9220" max="9220" width="4" style="1647" customWidth="1"/>
    <col min="9221" max="9221" width="7.5546875" style="1647" customWidth="1"/>
    <col min="9222" max="9222" width="6.6640625" style="1647" customWidth="1"/>
    <col min="9223" max="9223" width="6.77734375" style="1647" customWidth="1"/>
    <col min="9224" max="9224" width="7.6640625" style="1647" customWidth="1"/>
    <col min="9225" max="9225" width="3.6640625" style="1647" customWidth="1"/>
    <col min="9226" max="9235" width="4.21875" style="1647" customWidth="1"/>
    <col min="9236" max="9472" width="8.88671875" style="1647"/>
    <col min="9473" max="9473" width="4.21875" style="1647" customWidth="1"/>
    <col min="9474" max="9474" width="42.33203125" style="1647" customWidth="1"/>
    <col min="9475" max="9475" width="3.88671875" style="1647" customWidth="1"/>
    <col min="9476" max="9476" width="4" style="1647" customWidth="1"/>
    <col min="9477" max="9477" width="7.5546875" style="1647" customWidth="1"/>
    <col min="9478" max="9478" width="6.6640625" style="1647" customWidth="1"/>
    <col min="9479" max="9479" width="6.77734375" style="1647" customWidth="1"/>
    <col min="9480" max="9480" width="7.6640625" style="1647" customWidth="1"/>
    <col min="9481" max="9481" width="3.6640625" style="1647" customWidth="1"/>
    <col min="9482" max="9491" width="4.21875" style="1647" customWidth="1"/>
    <col min="9492" max="9728" width="8.88671875" style="1647"/>
    <col min="9729" max="9729" width="4.21875" style="1647" customWidth="1"/>
    <col min="9730" max="9730" width="42.33203125" style="1647" customWidth="1"/>
    <col min="9731" max="9731" width="3.88671875" style="1647" customWidth="1"/>
    <col min="9732" max="9732" width="4" style="1647" customWidth="1"/>
    <col min="9733" max="9733" width="7.5546875" style="1647" customWidth="1"/>
    <col min="9734" max="9734" width="6.6640625" style="1647" customWidth="1"/>
    <col min="9735" max="9735" width="6.77734375" style="1647" customWidth="1"/>
    <col min="9736" max="9736" width="7.6640625" style="1647" customWidth="1"/>
    <col min="9737" max="9737" width="3.6640625" style="1647" customWidth="1"/>
    <col min="9738" max="9747" width="4.21875" style="1647" customWidth="1"/>
    <col min="9748" max="9984" width="8.88671875" style="1647"/>
    <col min="9985" max="9985" width="4.21875" style="1647" customWidth="1"/>
    <col min="9986" max="9986" width="42.33203125" style="1647" customWidth="1"/>
    <col min="9987" max="9987" width="3.88671875" style="1647" customWidth="1"/>
    <col min="9988" max="9988" width="4" style="1647" customWidth="1"/>
    <col min="9989" max="9989" width="7.5546875" style="1647" customWidth="1"/>
    <col min="9990" max="9990" width="6.6640625" style="1647" customWidth="1"/>
    <col min="9991" max="9991" width="6.77734375" style="1647" customWidth="1"/>
    <col min="9992" max="9992" width="7.6640625" style="1647" customWidth="1"/>
    <col min="9993" max="9993" width="3.6640625" style="1647" customWidth="1"/>
    <col min="9994" max="10003" width="4.21875" style="1647" customWidth="1"/>
    <col min="10004" max="10240" width="8.88671875" style="1647"/>
    <col min="10241" max="10241" width="4.21875" style="1647" customWidth="1"/>
    <col min="10242" max="10242" width="42.33203125" style="1647" customWidth="1"/>
    <col min="10243" max="10243" width="3.88671875" style="1647" customWidth="1"/>
    <col min="10244" max="10244" width="4" style="1647" customWidth="1"/>
    <col min="10245" max="10245" width="7.5546875" style="1647" customWidth="1"/>
    <col min="10246" max="10246" width="6.6640625" style="1647" customWidth="1"/>
    <col min="10247" max="10247" width="6.77734375" style="1647" customWidth="1"/>
    <col min="10248" max="10248" width="7.6640625" style="1647" customWidth="1"/>
    <col min="10249" max="10249" width="3.6640625" style="1647" customWidth="1"/>
    <col min="10250" max="10259" width="4.21875" style="1647" customWidth="1"/>
    <col min="10260" max="10496" width="8.88671875" style="1647"/>
    <col min="10497" max="10497" width="4.21875" style="1647" customWidth="1"/>
    <col min="10498" max="10498" width="42.33203125" style="1647" customWidth="1"/>
    <col min="10499" max="10499" width="3.88671875" style="1647" customWidth="1"/>
    <col min="10500" max="10500" width="4" style="1647" customWidth="1"/>
    <col min="10501" max="10501" width="7.5546875" style="1647" customWidth="1"/>
    <col min="10502" max="10502" width="6.6640625" style="1647" customWidth="1"/>
    <col min="10503" max="10503" width="6.77734375" style="1647" customWidth="1"/>
    <col min="10504" max="10504" width="7.6640625" style="1647" customWidth="1"/>
    <col min="10505" max="10505" width="3.6640625" style="1647" customWidth="1"/>
    <col min="10506" max="10515" width="4.21875" style="1647" customWidth="1"/>
    <col min="10516" max="10752" width="8.88671875" style="1647"/>
    <col min="10753" max="10753" width="4.21875" style="1647" customWidth="1"/>
    <col min="10754" max="10754" width="42.33203125" style="1647" customWidth="1"/>
    <col min="10755" max="10755" width="3.88671875" style="1647" customWidth="1"/>
    <col min="10756" max="10756" width="4" style="1647" customWidth="1"/>
    <col min="10757" max="10757" width="7.5546875" style="1647" customWidth="1"/>
    <col min="10758" max="10758" width="6.6640625" style="1647" customWidth="1"/>
    <col min="10759" max="10759" width="6.77734375" style="1647" customWidth="1"/>
    <col min="10760" max="10760" width="7.6640625" style="1647" customWidth="1"/>
    <col min="10761" max="10761" width="3.6640625" style="1647" customWidth="1"/>
    <col min="10762" max="10771" width="4.21875" style="1647" customWidth="1"/>
    <col min="10772" max="11008" width="8.88671875" style="1647"/>
    <col min="11009" max="11009" width="4.21875" style="1647" customWidth="1"/>
    <col min="11010" max="11010" width="42.33203125" style="1647" customWidth="1"/>
    <col min="11011" max="11011" width="3.88671875" style="1647" customWidth="1"/>
    <col min="11012" max="11012" width="4" style="1647" customWidth="1"/>
    <col min="11013" max="11013" width="7.5546875" style="1647" customWidth="1"/>
    <col min="11014" max="11014" width="6.6640625" style="1647" customWidth="1"/>
    <col min="11015" max="11015" width="6.77734375" style="1647" customWidth="1"/>
    <col min="11016" max="11016" width="7.6640625" style="1647" customWidth="1"/>
    <col min="11017" max="11017" width="3.6640625" style="1647" customWidth="1"/>
    <col min="11018" max="11027" width="4.21875" style="1647" customWidth="1"/>
    <col min="11028" max="11264" width="8.88671875" style="1647"/>
    <col min="11265" max="11265" width="4.21875" style="1647" customWidth="1"/>
    <col min="11266" max="11266" width="42.33203125" style="1647" customWidth="1"/>
    <col min="11267" max="11267" width="3.88671875" style="1647" customWidth="1"/>
    <col min="11268" max="11268" width="4" style="1647" customWidth="1"/>
    <col min="11269" max="11269" width="7.5546875" style="1647" customWidth="1"/>
    <col min="11270" max="11270" width="6.6640625" style="1647" customWidth="1"/>
    <col min="11271" max="11271" width="6.77734375" style="1647" customWidth="1"/>
    <col min="11272" max="11272" width="7.6640625" style="1647" customWidth="1"/>
    <col min="11273" max="11273" width="3.6640625" style="1647" customWidth="1"/>
    <col min="11274" max="11283" width="4.21875" style="1647" customWidth="1"/>
    <col min="11284" max="11520" width="8.88671875" style="1647"/>
    <col min="11521" max="11521" width="4.21875" style="1647" customWidth="1"/>
    <col min="11522" max="11522" width="42.33203125" style="1647" customWidth="1"/>
    <col min="11523" max="11523" width="3.88671875" style="1647" customWidth="1"/>
    <col min="11524" max="11524" width="4" style="1647" customWidth="1"/>
    <col min="11525" max="11525" width="7.5546875" style="1647" customWidth="1"/>
    <col min="11526" max="11526" width="6.6640625" style="1647" customWidth="1"/>
    <col min="11527" max="11527" width="6.77734375" style="1647" customWidth="1"/>
    <col min="11528" max="11528" width="7.6640625" style="1647" customWidth="1"/>
    <col min="11529" max="11529" width="3.6640625" style="1647" customWidth="1"/>
    <col min="11530" max="11539" width="4.21875" style="1647" customWidth="1"/>
    <col min="11540" max="11776" width="8.88671875" style="1647"/>
    <col min="11777" max="11777" width="4.21875" style="1647" customWidth="1"/>
    <col min="11778" max="11778" width="42.33203125" style="1647" customWidth="1"/>
    <col min="11779" max="11779" width="3.88671875" style="1647" customWidth="1"/>
    <col min="11780" max="11780" width="4" style="1647" customWidth="1"/>
    <col min="11781" max="11781" width="7.5546875" style="1647" customWidth="1"/>
    <col min="11782" max="11782" width="6.6640625" style="1647" customWidth="1"/>
    <col min="11783" max="11783" width="6.77734375" style="1647" customWidth="1"/>
    <col min="11784" max="11784" width="7.6640625" style="1647" customWidth="1"/>
    <col min="11785" max="11785" width="3.6640625" style="1647" customWidth="1"/>
    <col min="11786" max="11795" width="4.21875" style="1647" customWidth="1"/>
    <col min="11796" max="12032" width="8.88671875" style="1647"/>
    <col min="12033" max="12033" width="4.21875" style="1647" customWidth="1"/>
    <col min="12034" max="12034" width="42.33203125" style="1647" customWidth="1"/>
    <col min="12035" max="12035" width="3.88671875" style="1647" customWidth="1"/>
    <col min="12036" max="12036" width="4" style="1647" customWidth="1"/>
    <col min="12037" max="12037" width="7.5546875" style="1647" customWidth="1"/>
    <col min="12038" max="12038" width="6.6640625" style="1647" customWidth="1"/>
    <col min="12039" max="12039" width="6.77734375" style="1647" customWidth="1"/>
    <col min="12040" max="12040" width="7.6640625" style="1647" customWidth="1"/>
    <col min="12041" max="12041" width="3.6640625" style="1647" customWidth="1"/>
    <col min="12042" max="12051" width="4.21875" style="1647" customWidth="1"/>
    <col min="12052" max="12288" width="8.88671875" style="1647"/>
    <col min="12289" max="12289" width="4.21875" style="1647" customWidth="1"/>
    <col min="12290" max="12290" width="42.33203125" style="1647" customWidth="1"/>
    <col min="12291" max="12291" width="3.88671875" style="1647" customWidth="1"/>
    <col min="12292" max="12292" width="4" style="1647" customWidth="1"/>
    <col min="12293" max="12293" width="7.5546875" style="1647" customWidth="1"/>
    <col min="12294" max="12294" width="6.6640625" style="1647" customWidth="1"/>
    <col min="12295" max="12295" width="6.77734375" style="1647" customWidth="1"/>
    <col min="12296" max="12296" width="7.6640625" style="1647" customWidth="1"/>
    <col min="12297" max="12297" width="3.6640625" style="1647" customWidth="1"/>
    <col min="12298" max="12307" width="4.21875" style="1647" customWidth="1"/>
    <col min="12308" max="12544" width="8.88671875" style="1647"/>
    <col min="12545" max="12545" width="4.21875" style="1647" customWidth="1"/>
    <col min="12546" max="12546" width="42.33203125" style="1647" customWidth="1"/>
    <col min="12547" max="12547" width="3.88671875" style="1647" customWidth="1"/>
    <col min="12548" max="12548" width="4" style="1647" customWidth="1"/>
    <col min="12549" max="12549" width="7.5546875" style="1647" customWidth="1"/>
    <col min="12550" max="12550" width="6.6640625" style="1647" customWidth="1"/>
    <col min="12551" max="12551" width="6.77734375" style="1647" customWidth="1"/>
    <col min="12552" max="12552" width="7.6640625" style="1647" customWidth="1"/>
    <col min="12553" max="12553" width="3.6640625" style="1647" customWidth="1"/>
    <col min="12554" max="12563" width="4.21875" style="1647" customWidth="1"/>
    <col min="12564" max="12800" width="8.88671875" style="1647"/>
    <col min="12801" max="12801" width="4.21875" style="1647" customWidth="1"/>
    <col min="12802" max="12802" width="42.33203125" style="1647" customWidth="1"/>
    <col min="12803" max="12803" width="3.88671875" style="1647" customWidth="1"/>
    <col min="12804" max="12804" width="4" style="1647" customWidth="1"/>
    <col min="12805" max="12805" width="7.5546875" style="1647" customWidth="1"/>
    <col min="12806" max="12806" width="6.6640625" style="1647" customWidth="1"/>
    <col min="12807" max="12807" width="6.77734375" style="1647" customWidth="1"/>
    <col min="12808" max="12808" width="7.6640625" style="1647" customWidth="1"/>
    <col min="12809" max="12809" width="3.6640625" style="1647" customWidth="1"/>
    <col min="12810" max="12819" width="4.21875" style="1647" customWidth="1"/>
    <col min="12820" max="13056" width="8.88671875" style="1647"/>
    <col min="13057" max="13057" width="4.21875" style="1647" customWidth="1"/>
    <col min="13058" max="13058" width="42.33203125" style="1647" customWidth="1"/>
    <col min="13059" max="13059" width="3.88671875" style="1647" customWidth="1"/>
    <col min="13060" max="13060" width="4" style="1647" customWidth="1"/>
    <col min="13061" max="13061" width="7.5546875" style="1647" customWidth="1"/>
    <col min="13062" max="13062" width="6.6640625" style="1647" customWidth="1"/>
    <col min="13063" max="13063" width="6.77734375" style="1647" customWidth="1"/>
    <col min="13064" max="13064" width="7.6640625" style="1647" customWidth="1"/>
    <col min="13065" max="13065" width="3.6640625" style="1647" customWidth="1"/>
    <col min="13066" max="13075" width="4.21875" style="1647" customWidth="1"/>
    <col min="13076" max="13312" width="8.88671875" style="1647"/>
    <col min="13313" max="13313" width="4.21875" style="1647" customWidth="1"/>
    <col min="13314" max="13314" width="42.33203125" style="1647" customWidth="1"/>
    <col min="13315" max="13315" width="3.88671875" style="1647" customWidth="1"/>
    <col min="13316" max="13316" width="4" style="1647" customWidth="1"/>
    <col min="13317" max="13317" width="7.5546875" style="1647" customWidth="1"/>
    <col min="13318" max="13318" width="6.6640625" style="1647" customWidth="1"/>
    <col min="13319" max="13319" width="6.77734375" style="1647" customWidth="1"/>
    <col min="13320" max="13320" width="7.6640625" style="1647" customWidth="1"/>
    <col min="13321" max="13321" width="3.6640625" style="1647" customWidth="1"/>
    <col min="13322" max="13331" width="4.21875" style="1647" customWidth="1"/>
    <col min="13332" max="13568" width="8.88671875" style="1647"/>
    <col min="13569" max="13569" width="4.21875" style="1647" customWidth="1"/>
    <col min="13570" max="13570" width="42.33203125" style="1647" customWidth="1"/>
    <col min="13571" max="13571" width="3.88671875" style="1647" customWidth="1"/>
    <col min="13572" max="13572" width="4" style="1647" customWidth="1"/>
    <col min="13573" max="13573" width="7.5546875" style="1647" customWidth="1"/>
    <col min="13574" max="13574" width="6.6640625" style="1647" customWidth="1"/>
    <col min="13575" max="13575" width="6.77734375" style="1647" customWidth="1"/>
    <col min="13576" max="13576" width="7.6640625" style="1647" customWidth="1"/>
    <col min="13577" max="13577" width="3.6640625" style="1647" customWidth="1"/>
    <col min="13578" max="13587" width="4.21875" style="1647" customWidth="1"/>
    <col min="13588" max="13824" width="8.88671875" style="1647"/>
    <col min="13825" max="13825" width="4.21875" style="1647" customWidth="1"/>
    <col min="13826" max="13826" width="42.33203125" style="1647" customWidth="1"/>
    <col min="13827" max="13827" width="3.88671875" style="1647" customWidth="1"/>
    <col min="13828" max="13828" width="4" style="1647" customWidth="1"/>
    <col min="13829" max="13829" width="7.5546875" style="1647" customWidth="1"/>
    <col min="13830" max="13830" width="6.6640625" style="1647" customWidth="1"/>
    <col min="13831" max="13831" width="6.77734375" style="1647" customWidth="1"/>
    <col min="13832" max="13832" width="7.6640625" style="1647" customWidth="1"/>
    <col min="13833" max="13833" width="3.6640625" style="1647" customWidth="1"/>
    <col min="13834" max="13843" width="4.21875" style="1647" customWidth="1"/>
    <col min="13844" max="14080" width="8.88671875" style="1647"/>
    <col min="14081" max="14081" width="4.21875" style="1647" customWidth="1"/>
    <col min="14082" max="14082" width="42.33203125" style="1647" customWidth="1"/>
    <col min="14083" max="14083" width="3.88671875" style="1647" customWidth="1"/>
    <col min="14084" max="14084" width="4" style="1647" customWidth="1"/>
    <col min="14085" max="14085" width="7.5546875" style="1647" customWidth="1"/>
    <col min="14086" max="14086" width="6.6640625" style="1647" customWidth="1"/>
    <col min="14087" max="14087" width="6.77734375" style="1647" customWidth="1"/>
    <col min="14088" max="14088" width="7.6640625" style="1647" customWidth="1"/>
    <col min="14089" max="14089" width="3.6640625" style="1647" customWidth="1"/>
    <col min="14090" max="14099" width="4.21875" style="1647" customWidth="1"/>
    <col min="14100" max="14336" width="8.88671875" style="1647"/>
    <col min="14337" max="14337" width="4.21875" style="1647" customWidth="1"/>
    <col min="14338" max="14338" width="42.33203125" style="1647" customWidth="1"/>
    <col min="14339" max="14339" width="3.88671875" style="1647" customWidth="1"/>
    <col min="14340" max="14340" width="4" style="1647" customWidth="1"/>
    <col min="14341" max="14341" width="7.5546875" style="1647" customWidth="1"/>
    <col min="14342" max="14342" width="6.6640625" style="1647" customWidth="1"/>
    <col min="14343" max="14343" width="6.77734375" style="1647" customWidth="1"/>
    <col min="14344" max="14344" width="7.6640625" style="1647" customWidth="1"/>
    <col min="14345" max="14345" width="3.6640625" style="1647" customWidth="1"/>
    <col min="14346" max="14355" width="4.21875" style="1647" customWidth="1"/>
    <col min="14356" max="14592" width="8.88671875" style="1647"/>
    <col min="14593" max="14593" width="4.21875" style="1647" customWidth="1"/>
    <col min="14594" max="14594" width="42.33203125" style="1647" customWidth="1"/>
    <col min="14595" max="14595" width="3.88671875" style="1647" customWidth="1"/>
    <col min="14596" max="14596" width="4" style="1647" customWidth="1"/>
    <col min="14597" max="14597" width="7.5546875" style="1647" customWidth="1"/>
    <col min="14598" max="14598" width="6.6640625" style="1647" customWidth="1"/>
    <col min="14599" max="14599" width="6.77734375" style="1647" customWidth="1"/>
    <col min="14600" max="14600" width="7.6640625" style="1647" customWidth="1"/>
    <col min="14601" max="14601" width="3.6640625" style="1647" customWidth="1"/>
    <col min="14602" max="14611" width="4.21875" style="1647" customWidth="1"/>
    <col min="14612" max="14848" width="8.88671875" style="1647"/>
    <col min="14849" max="14849" width="4.21875" style="1647" customWidth="1"/>
    <col min="14850" max="14850" width="42.33203125" style="1647" customWidth="1"/>
    <col min="14851" max="14851" width="3.88671875" style="1647" customWidth="1"/>
    <col min="14852" max="14852" width="4" style="1647" customWidth="1"/>
    <col min="14853" max="14853" width="7.5546875" style="1647" customWidth="1"/>
    <col min="14854" max="14854" width="6.6640625" style="1647" customWidth="1"/>
    <col min="14855" max="14855" width="6.77734375" style="1647" customWidth="1"/>
    <col min="14856" max="14856" width="7.6640625" style="1647" customWidth="1"/>
    <col min="14857" max="14857" width="3.6640625" style="1647" customWidth="1"/>
    <col min="14858" max="14867" width="4.21875" style="1647" customWidth="1"/>
    <col min="14868" max="15104" width="8.88671875" style="1647"/>
    <col min="15105" max="15105" width="4.21875" style="1647" customWidth="1"/>
    <col min="15106" max="15106" width="42.33203125" style="1647" customWidth="1"/>
    <col min="15107" max="15107" width="3.88671875" style="1647" customWidth="1"/>
    <col min="15108" max="15108" width="4" style="1647" customWidth="1"/>
    <col min="15109" max="15109" width="7.5546875" style="1647" customWidth="1"/>
    <col min="15110" max="15110" width="6.6640625" style="1647" customWidth="1"/>
    <col min="15111" max="15111" width="6.77734375" style="1647" customWidth="1"/>
    <col min="15112" max="15112" width="7.6640625" style="1647" customWidth="1"/>
    <col min="15113" max="15113" width="3.6640625" style="1647" customWidth="1"/>
    <col min="15114" max="15123" width="4.21875" style="1647" customWidth="1"/>
    <col min="15124" max="15360" width="8.88671875" style="1647"/>
    <col min="15361" max="15361" width="4.21875" style="1647" customWidth="1"/>
    <col min="15362" max="15362" width="42.33203125" style="1647" customWidth="1"/>
    <col min="15363" max="15363" width="3.88671875" style="1647" customWidth="1"/>
    <col min="15364" max="15364" width="4" style="1647" customWidth="1"/>
    <col min="15365" max="15365" width="7.5546875" style="1647" customWidth="1"/>
    <col min="15366" max="15366" width="6.6640625" style="1647" customWidth="1"/>
    <col min="15367" max="15367" width="6.77734375" style="1647" customWidth="1"/>
    <col min="15368" max="15368" width="7.6640625" style="1647" customWidth="1"/>
    <col min="15369" max="15369" width="3.6640625" style="1647" customWidth="1"/>
    <col min="15370" max="15379" width="4.21875" style="1647" customWidth="1"/>
    <col min="15380" max="15616" width="8.88671875" style="1647"/>
    <col min="15617" max="15617" width="4.21875" style="1647" customWidth="1"/>
    <col min="15618" max="15618" width="42.33203125" style="1647" customWidth="1"/>
    <col min="15619" max="15619" width="3.88671875" style="1647" customWidth="1"/>
    <col min="15620" max="15620" width="4" style="1647" customWidth="1"/>
    <col min="15621" max="15621" width="7.5546875" style="1647" customWidth="1"/>
    <col min="15622" max="15622" width="6.6640625" style="1647" customWidth="1"/>
    <col min="15623" max="15623" width="6.77734375" style="1647" customWidth="1"/>
    <col min="15624" max="15624" width="7.6640625" style="1647" customWidth="1"/>
    <col min="15625" max="15625" width="3.6640625" style="1647" customWidth="1"/>
    <col min="15626" max="15635" width="4.21875" style="1647" customWidth="1"/>
    <col min="15636" max="15872" width="8.88671875" style="1647"/>
    <col min="15873" max="15873" width="4.21875" style="1647" customWidth="1"/>
    <col min="15874" max="15874" width="42.33203125" style="1647" customWidth="1"/>
    <col min="15875" max="15875" width="3.88671875" style="1647" customWidth="1"/>
    <col min="15876" max="15876" width="4" style="1647" customWidth="1"/>
    <col min="15877" max="15877" width="7.5546875" style="1647" customWidth="1"/>
    <col min="15878" max="15878" width="6.6640625" style="1647" customWidth="1"/>
    <col min="15879" max="15879" width="6.77734375" style="1647" customWidth="1"/>
    <col min="15880" max="15880" width="7.6640625" style="1647" customWidth="1"/>
    <col min="15881" max="15881" width="3.6640625" style="1647" customWidth="1"/>
    <col min="15882" max="15891" width="4.21875" style="1647" customWidth="1"/>
    <col min="15892" max="16128" width="8.88671875" style="1647"/>
    <col min="16129" max="16129" width="4.21875" style="1647" customWidth="1"/>
    <col min="16130" max="16130" width="42.33203125" style="1647" customWidth="1"/>
    <col min="16131" max="16131" width="3.88671875" style="1647" customWidth="1"/>
    <col min="16132" max="16132" width="4" style="1647" customWidth="1"/>
    <col min="16133" max="16133" width="7.5546875" style="1647" customWidth="1"/>
    <col min="16134" max="16134" width="6.6640625" style="1647" customWidth="1"/>
    <col min="16135" max="16135" width="6.77734375" style="1647" customWidth="1"/>
    <col min="16136" max="16136" width="7.6640625" style="1647" customWidth="1"/>
    <col min="16137" max="16137" width="3.6640625" style="1647" customWidth="1"/>
    <col min="16138" max="16147" width="4.21875" style="1647" customWidth="1"/>
    <col min="16148" max="16384" width="8.88671875" style="1647"/>
  </cols>
  <sheetData>
    <row r="1" spans="1:9" ht="66.75" customHeight="1">
      <c r="A1" s="1646" t="str">
        <f>Ext.ele!A1</f>
        <v>Name of work: Construction of DSP camp office cum Residence with development works at Cuddalore New town in Cuddalore District</v>
      </c>
      <c r="B1" s="1646"/>
      <c r="C1" s="1646"/>
      <c r="D1" s="1646"/>
      <c r="E1" s="1646"/>
      <c r="F1" s="1646"/>
      <c r="G1" s="1646"/>
      <c r="H1" s="1646"/>
      <c r="I1" s="1646"/>
    </row>
    <row r="2" spans="1:9" ht="30.75" customHeight="1">
      <c r="A2" s="1646" t="s">
        <v>7306</v>
      </c>
      <c r="B2" s="1646"/>
      <c r="C2" s="1646"/>
      <c r="D2" s="1646"/>
      <c r="E2" s="1646"/>
      <c r="F2" s="1646"/>
      <c r="G2" s="1646"/>
      <c r="H2" s="1646"/>
      <c r="I2" s="1646"/>
    </row>
    <row r="3" spans="1:9" ht="31.5" customHeight="1">
      <c r="A3" s="1648" t="s">
        <v>7117</v>
      </c>
      <c r="B3" s="1648"/>
      <c r="C3" s="1648"/>
      <c r="D3" s="1648"/>
      <c r="E3" s="1648"/>
      <c r="F3" s="1648"/>
      <c r="G3" s="1648"/>
      <c r="H3" s="1648"/>
      <c r="I3" s="1648"/>
    </row>
    <row r="4" spans="1:9">
      <c r="A4" s="1649" t="s">
        <v>7307</v>
      </c>
      <c r="B4" s="1650" t="s">
        <v>7218</v>
      </c>
      <c r="C4" s="1650" t="s">
        <v>1389</v>
      </c>
      <c r="D4" s="1650"/>
      <c r="E4" s="1650" t="s">
        <v>7308</v>
      </c>
      <c r="F4" s="1650"/>
      <c r="G4" s="1650"/>
      <c r="H4" s="1651" t="s">
        <v>1034</v>
      </c>
    </row>
    <row r="5" spans="1:9">
      <c r="A5" s="1649"/>
      <c r="B5" s="1650"/>
      <c r="C5" s="1650"/>
      <c r="D5" s="1650"/>
      <c r="E5" s="1653" t="s">
        <v>5797</v>
      </c>
      <c r="F5" s="1653" t="s">
        <v>1548</v>
      </c>
      <c r="G5" s="1653" t="s">
        <v>5798</v>
      </c>
      <c r="H5" s="1651"/>
    </row>
    <row r="6" spans="1:9" s="1661" customFormat="1" ht="252.75" customHeight="1">
      <c r="A6" s="1654">
        <v>1</v>
      </c>
      <c r="B6" s="1655" t="s">
        <v>7309</v>
      </c>
      <c r="C6" s="1656"/>
      <c r="D6" s="1656"/>
      <c r="E6" s="1656"/>
      <c r="F6" s="1657"/>
      <c r="G6" s="1658"/>
      <c r="H6" s="1659"/>
      <c r="I6" s="1660"/>
    </row>
    <row r="7" spans="1:9" s="1661" customFormat="1">
      <c r="A7" s="1654"/>
      <c r="B7" s="1662" t="s">
        <v>7310</v>
      </c>
      <c r="C7" s="1663">
        <v>1</v>
      </c>
      <c r="D7" s="1664">
        <v>2</v>
      </c>
      <c r="E7" s="1665"/>
      <c r="F7" s="1665"/>
      <c r="G7" s="1665"/>
      <c r="H7" s="1666">
        <f>PRODUCT(C7:G7)</f>
        <v>2</v>
      </c>
      <c r="I7" s="1660"/>
    </row>
    <row r="8" spans="1:9" s="1661" customFormat="1">
      <c r="A8" s="1654"/>
      <c r="B8" s="1662"/>
      <c r="C8" s="1663"/>
      <c r="D8" s="1664"/>
      <c r="E8" s="1665"/>
      <c r="F8" s="1665"/>
      <c r="G8" s="1667" t="s">
        <v>2235</v>
      </c>
      <c r="H8" s="1659">
        <f>SUM(H7:H7)</f>
        <v>2</v>
      </c>
      <c r="I8" s="1660" t="s">
        <v>1427</v>
      </c>
    </row>
    <row r="9" spans="1:9" s="1661" customFormat="1" ht="132.75" customHeight="1">
      <c r="A9" s="1654">
        <v>2</v>
      </c>
      <c r="B9" s="1668" t="s">
        <v>7311</v>
      </c>
      <c r="C9" s="1668"/>
      <c r="D9" s="1668"/>
      <c r="E9" s="1668"/>
      <c r="F9" s="1668"/>
      <c r="G9" s="1658"/>
      <c r="H9" s="1659"/>
      <c r="I9" s="1660"/>
    </row>
    <row r="10" spans="1:9" s="1661" customFormat="1" ht="23.25" customHeight="1">
      <c r="A10" s="1654"/>
      <c r="B10" s="1662" t="s">
        <v>7310</v>
      </c>
      <c r="C10" s="1654">
        <v>1</v>
      </c>
      <c r="D10" s="1669">
        <v>2</v>
      </c>
      <c r="E10" s="1658"/>
      <c r="F10" s="1658"/>
      <c r="G10" s="1658"/>
      <c r="H10" s="1659">
        <f>PRODUCT(C10:G10)</f>
        <v>2</v>
      </c>
      <c r="I10" s="1660" t="s">
        <v>1427</v>
      </c>
    </row>
    <row r="11" spans="1:9" s="1661" customFormat="1" ht="133.5" customHeight="1">
      <c r="A11" s="1654">
        <v>3</v>
      </c>
      <c r="B11" s="1668" t="s">
        <v>7312</v>
      </c>
      <c r="C11" s="1668"/>
      <c r="D11" s="1668"/>
      <c r="E11" s="1668"/>
      <c r="F11" s="1668"/>
      <c r="G11" s="1658"/>
      <c r="H11" s="1659"/>
      <c r="I11" s="1660"/>
    </row>
    <row r="12" spans="1:9" s="1661" customFormat="1" ht="29.25" customHeight="1">
      <c r="A12" s="1654"/>
      <c r="B12" s="1670" t="s">
        <v>7313</v>
      </c>
      <c r="C12" s="1654">
        <v>1</v>
      </c>
      <c r="D12" s="1669">
        <v>2</v>
      </c>
      <c r="E12" s="1658"/>
      <c r="F12" s="1658"/>
      <c r="G12" s="1658"/>
      <c r="H12" s="1659">
        <f>PRODUCT(C12:G12)</f>
        <v>2</v>
      </c>
      <c r="I12" s="1660" t="s">
        <v>1427</v>
      </c>
    </row>
    <row r="13" spans="1:9" s="1674" customFormat="1" ht="73.5" customHeight="1">
      <c r="A13" s="1671">
        <v>4</v>
      </c>
      <c r="B13" s="1290" t="s">
        <v>7314</v>
      </c>
      <c r="C13" s="1290"/>
      <c r="D13" s="1290"/>
      <c r="E13" s="1290"/>
      <c r="F13" s="1290"/>
      <c r="G13" s="1290"/>
      <c r="H13" s="1672"/>
      <c r="I13" s="1673"/>
    </row>
    <row r="14" spans="1:9" s="1674" customFormat="1" ht="19.5">
      <c r="A14" s="1671"/>
      <c r="B14" s="1675" t="s">
        <v>7315</v>
      </c>
      <c r="C14" s="842"/>
      <c r="D14" s="842"/>
      <c r="E14" s="842"/>
      <c r="F14" s="1676"/>
      <c r="G14" s="1676"/>
      <c r="H14" s="1672"/>
      <c r="I14" s="1673"/>
    </row>
    <row r="15" spans="1:9" s="1674" customFormat="1">
      <c r="A15" s="1671"/>
      <c r="B15" s="1676" t="s">
        <v>7316</v>
      </c>
      <c r="C15" s="1677">
        <v>1</v>
      </c>
      <c r="D15" s="1677">
        <v>1</v>
      </c>
      <c r="E15" s="842">
        <v>3</v>
      </c>
      <c r="F15" s="1676"/>
      <c r="G15" s="1676"/>
      <c r="H15" s="1678">
        <f>PRODUCT(C15:G15)</f>
        <v>3</v>
      </c>
      <c r="I15" s="1673"/>
    </row>
    <row r="16" spans="1:9" s="1674" customFormat="1">
      <c r="A16" s="1671"/>
      <c r="B16" s="1679" t="s">
        <v>7317</v>
      </c>
      <c r="C16" s="1677">
        <v>1</v>
      </c>
      <c r="D16" s="1677">
        <v>2</v>
      </c>
      <c r="E16" s="842">
        <v>3</v>
      </c>
      <c r="F16" s="1679"/>
      <c r="G16" s="1679"/>
      <c r="H16" s="1678">
        <f>PRODUCT(C16:G16)</f>
        <v>6</v>
      </c>
      <c r="I16" s="1673"/>
    </row>
    <row r="17" spans="1:9" s="1674" customFormat="1">
      <c r="A17" s="1671"/>
      <c r="B17" s="1680"/>
      <c r="C17" s="1681"/>
      <c r="D17" s="1681"/>
      <c r="E17" s="1682"/>
      <c r="F17" s="1682"/>
      <c r="G17" s="1682"/>
      <c r="H17" s="1683">
        <f>SUM(H15:H16)</f>
        <v>9</v>
      </c>
      <c r="I17" s="1673" t="s">
        <v>823</v>
      </c>
    </row>
    <row r="18" spans="1:9" s="1674" customFormat="1" ht="19.5">
      <c r="A18" s="1671"/>
      <c r="B18" s="1684" t="s">
        <v>7318</v>
      </c>
      <c r="C18" s="1681"/>
      <c r="D18" s="1681"/>
      <c r="E18" s="1682"/>
      <c r="F18" s="1682"/>
      <c r="G18" s="1682"/>
      <c r="H18" s="1683"/>
      <c r="I18" s="1673"/>
    </row>
    <row r="19" spans="1:9" s="1674" customFormat="1">
      <c r="A19" s="1671"/>
      <c r="B19" s="1676" t="s">
        <v>7319</v>
      </c>
      <c r="C19" s="1677">
        <v>1</v>
      </c>
      <c r="D19" s="1677">
        <v>1</v>
      </c>
      <c r="E19" s="842">
        <v>1.5</v>
      </c>
      <c r="F19" s="1685"/>
      <c r="G19" s="1685"/>
      <c r="H19" s="1678">
        <f>PRODUCT(C19:G19)</f>
        <v>1.5</v>
      </c>
      <c r="I19" s="1673"/>
    </row>
    <row r="20" spans="1:9" s="1674" customFormat="1">
      <c r="A20" s="1671"/>
      <c r="B20" s="1676" t="s">
        <v>7320</v>
      </c>
      <c r="C20" s="1677">
        <v>1</v>
      </c>
      <c r="D20" s="1677">
        <v>1</v>
      </c>
      <c r="E20" s="842">
        <v>3</v>
      </c>
      <c r="F20" s="1685"/>
      <c r="G20" s="1685"/>
      <c r="H20" s="1678">
        <f>PRODUCT(C20:G20)</f>
        <v>3</v>
      </c>
      <c r="I20" s="1673"/>
    </row>
    <row r="21" spans="1:9" s="1674" customFormat="1">
      <c r="A21" s="1671"/>
      <c r="B21" s="1680"/>
      <c r="C21" s="1681"/>
      <c r="D21" s="1681"/>
      <c r="E21" s="1682"/>
      <c r="F21" s="1682"/>
      <c r="G21" s="1682"/>
      <c r="H21" s="1683">
        <f>SUM(H19:H20)</f>
        <v>4.5</v>
      </c>
      <c r="I21" s="1673" t="s">
        <v>823</v>
      </c>
    </row>
    <row r="22" spans="1:9" s="1674" customFormat="1" ht="30.75" customHeight="1">
      <c r="A22" s="1671">
        <v>5</v>
      </c>
      <c r="B22" s="1686" t="s">
        <v>7321</v>
      </c>
      <c r="C22" s="1681"/>
      <c r="D22" s="1681"/>
      <c r="E22" s="1682"/>
      <c r="F22" s="1682"/>
      <c r="G22" s="1682"/>
      <c r="H22" s="1683"/>
      <c r="I22" s="1673"/>
    </row>
    <row r="23" spans="1:9" s="1674" customFormat="1" ht="24.75" customHeight="1">
      <c r="A23" s="1671"/>
      <c r="B23" s="1680" t="s">
        <v>7322</v>
      </c>
      <c r="C23" s="1681">
        <v>1</v>
      </c>
      <c r="D23" s="1681">
        <v>2</v>
      </c>
      <c r="E23" s="1682"/>
      <c r="F23" s="1682"/>
      <c r="G23" s="1682"/>
      <c r="H23" s="1678">
        <f t="shared" ref="H23:H36" si="0">PRODUCT(C23:G23)</f>
        <v>2</v>
      </c>
      <c r="I23" s="1673" t="s">
        <v>1427</v>
      </c>
    </row>
    <row r="24" spans="1:9" s="1674" customFormat="1" ht="24.75" customHeight="1">
      <c r="A24" s="1671"/>
      <c r="B24" s="1680" t="s">
        <v>6568</v>
      </c>
      <c r="C24" s="1681">
        <v>1</v>
      </c>
      <c r="D24" s="1681">
        <v>3</v>
      </c>
      <c r="E24" s="1682"/>
      <c r="F24" s="1682"/>
      <c r="G24" s="1682"/>
      <c r="H24" s="1678">
        <f t="shared" si="0"/>
        <v>3</v>
      </c>
      <c r="I24" s="1673" t="s">
        <v>1427</v>
      </c>
    </row>
    <row r="25" spans="1:9" s="1674" customFormat="1" ht="24.75" customHeight="1">
      <c r="A25" s="1671"/>
      <c r="B25" s="1680" t="s">
        <v>7323</v>
      </c>
      <c r="C25" s="1681">
        <v>1</v>
      </c>
      <c r="D25" s="1681">
        <v>2</v>
      </c>
      <c r="E25" s="1682"/>
      <c r="F25" s="1682"/>
      <c r="G25" s="1682"/>
      <c r="H25" s="1678">
        <f t="shared" si="0"/>
        <v>2</v>
      </c>
      <c r="I25" s="1673" t="s">
        <v>1427</v>
      </c>
    </row>
    <row r="26" spans="1:9" s="1674" customFormat="1" ht="24.75" customHeight="1">
      <c r="A26" s="1671"/>
      <c r="B26" s="1680" t="s">
        <v>7324</v>
      </c>
      <c r="C26" s="1681">
        <v>1</v>
      </c>
      <c r="D26" s="1681">
        <v>2</v>
      </c>
      <c r="E26" s="1682"/>
      <c r="F26" s="1682"/>
      <c r="G26" s="1682"/>
      <c r="H26" s="1678">
        <f t="shared" si="0"/>
        <v>2</v>
      </c>
      <c r="I26" s="1673" t="s">
        <v>1427</v>
      </c>
    </row>
    <row r="27" spans="1:9" s="1691" customFormat="1" ht="24.75" customHeight="1">
      <c r="A27" s="1687"/>
      <c r="B27" s="1688" t="s">
        <v>7325</v>
      </c>
      <c r="C27" s="1689">
        <v>1</v>
      </c>
      <c r="D27" s="1689">
        <v>2</v>
      </c>
      <c r="E27" s="1682"/>
      <c r="F27" s="1690"/>
      <c r="G27" s="1690"/>
      <c r="H27" s="1678">
        <f t="shared" si="0"/>
        <v>2</v>
      </c>
      <c r="I27" s="1673" t="s">
        <v>1427</v>
      </c>
    </row>
    <row r="28" spans="1:9" s="1691" customFormat="1" ht="24.75" customHeight="1">
      <c r="A28" s="1687"/>
      <c r="B28" s="1692" t="s">
        <v>7326</v>
      </c>
      <c r="C28" s="1689">
        <v>1</v>
      </c>
      <c r="D28" s="1689">
        <v>1</v>
      </c>
      <c r="E28" s="1682"/>
      <c r="F28" s="1690"/>
      <c r="G28" s="1690"/>
      <c r="H28" s="1678">
        <f>PRODUCT(C28:G28)</f>
        <v>1</v>
      </c>
      <c r="I28" s="1673" t="s">
        <v>1427</v>
      </c>
    </row>
    <row r="29" spans="1:9" s="1674" customFormat="1" ht="24.75" customHeight="1">
      <c r="A29" s="1671"/>
      <c r="B29" s="1680" t="s">
        <v>7327</v>
      </c>
      <c r="C29" s="1681">
        <v>1</v>
      </c>
      <c r="D29" s="1681">
        <v>2</v>
      </c>
      <c r="E29" s="1682"/>
      <c r="F29" s="1682"/>
      <c r="G29" s="1682"/>
      <c r="H29" s="1678">
        <f t="shared" si="0"/>
        <v>2</v>
      </c>
      <c r="I29" s="1673" t="s">
        <v>1427</v>
      </c>
    </row>
    <row r="30" spans="1:9" s="1674" customFormat="1" ht="24.75" customHeight="1">
      <c r="A30" s="1671"/>
      <c r="B30" s="1680" t="s">
        <v>7328</v>
      </c>
      <c r="C30" s="1681">
        <v>1</v>
      </c>
      <c r="D30" s="1681">
        <v>3</v>
      </c>
      <c r="E30" s="1682"/>
      <c r="F30" s="1682"/>
      <c r="G30" s="1682"/>
      <c r="H30" s="1678">
        <f t="shared" si="0"/>
        <v>3</v>
      </c>
      <c r="I30" s="1673" t="s">
        <v>1427</v>
      </c>
    </row>
    <row r="31" spans="1:9" s="1674" customFormat="1" ht="24.75" customHeight="1">
      <c r="A31" s="1671"/>
      <c r="B31" s="1680" t="s">
        <v>7329</v>
      </c>
      <c r="C31" s="1681">
        <v>1</v>
      </c>
      <c r="D31" s="1681">
        <v>2</v>
      </c>
      <c r="E31" s="1682"/>
      <c r="F31" s="1682"/>
      <c r="G31" s="1682"/>
      <c r="H31" s="1678">
        <f t="shared" si="0"/>
        <v>2</v>
      </c>
      <c r="I31" s="1673" t="s">
        <v>1427</v>
      </c>
    </row>
    <row r="32" spans="1:9" s="1674" customFormat="1" ht="24.75" customHeight="1">
      <c r="A32" s="1671"/>
      <c r="B32" s="1680" t="s">
        <v>7330</v>
      </c>
      <c r="C32" s="1681">
        <v>1</v>
      </c>
      <c r="D32" s="1681">
        <v>1</v>
      </c>
      <c r="E32" s="1682"/>
      <c r="F32" s="1682"/>
      <c r="G32" s="1682"/>
      <c r="H32" s="1678">
        <f t="shared" si="0"/>
        <v>1</v>
      </c>
      <c r="I32" s="1673" t="s">
        <v>1427</v>
      </c>
    </row>
    <row r="33" spans="1:9" s="1674" customFormat="1" ht="24.75" customHeight="1">
      <c r="A33" s="1671"/>
      <c r="B33" s="1680" t="s">
        <v>7331</v>
      </c>
      <c r="C33" s="1681">
        <v>1</v>
      </c>
      <c r="D33" s="1681">
        <v>3</v>
      </c>
      <c r="E33" s="1682"/>
      <c r="F33" s="1682"/>
      <c r="G33" s="1682"/>
      <c r="H33" s="1678">
        <f t="shared" si="0"/>
        <v>3</v>
      </c>
      <c r="I33" s="1673" t="s">
        <v>1427</v>
      </c>
    </row>
    <row r="34" spans="1:9" s="1691" customFormat="1" ht="24.75" customHeight="1">
      <c r="A34" s="1687"/>
      <c r="B34" s="1692" t="s">
        <v>7332</v>
      </c>
      <c r="C34" s="1689">
        <v>1</v>
      </c>
      <c r="D34" s="1689">
        <v>2</v>
      </c>
      <c r="E34" s="1682"/>
      <c r="F34" s="1690"/>
      <c r="G34" s="1690"/>
      <c r="H34" s="1678">
        <f>PRODUCT(C34:G34)</f>
        <v>2</v>
      </c>
      <c r="I34" s="1673" t="s">
        <v>1427</v>
      </c>
    </row>
    <row r="35" spans="1:9" s="1674" customFormat="1" ht="24.75" customHeight="1">
      <c r="A35" s="1671"/>
      <c r="B35" s="1680" t="s">
        <v>7333</v>
      </c>
      <c r="C35" s="1681">
        <v>1</v>
      </c>
      <c r="D35" s="1681">
        <v>2</v>
      </c>
      <c r="E35" s="1682"/>
      <c r="F35" s="1682"/>
      <c r="G35" s="1682"/>
      <c r="H35" s="1678">
        <f>PRODUCT(C35:G35)</f>
        <v>2</v>
      </c>
      <c r="I35" s="1673" t="s">
        <v>1427</v>
      </c>
    </row>
    <row r="36" spans="1:9" s="1674" customFormat="1" ht="24.75" customHeight="1">
      <c r="A36" s="1671"/>
      <c r="B36" s="1680" t="s">
        <v>7334</v>
      </c>
      <c r="C36" s="1681">
        <v>1</v>
      </c>
      <c r="D36" s="1681">
        <v>1</v>
      </c>
      <c r="E36" s="1682"/>
      <c r="F36" s="1682"/>
      <c r="G36" s="1682"/>
      <c r="H36" s="1678">
        <f t="shared" si="0"/>
        <v>1</v>
      </c>
      <c r="I36" s="1673" t="s">
        <v>1389</v>
      </c>
    </row>
    <row r="37" spans="1:9" s="1674" customFormat="1" ht="24.75" customHeight="1">
      <c r="A37" s="1671"/>
      <c r="B37" s="1680" t="s">
        <v>7335</v>
      </c>
      <c r="C37" s="1681">
        <v>1</v>
      </c>
      <c r="D37" s="1681">
        <v>1</v>
      </c>
      <c r="E37" s="1682"/>
      <c r="F37" s="1682"/>
      <c r="G37" s="1682"/>
      <c r="H37" s="1678">
        <f>PRODUCT(C37:G37)</f>
        <v>1</v>
      </c>
      <c r="I37" s="1673" t="s">
        <v>1389</v>
      </c>
    </row>
    <row r="38" spans="1:9" s="1674" customFormat="1" ht="85.5" customHeight="1">
      <c r="A38" s="1671">
        <v>6</v>
      </c>
      <c r="B38" s="1290" t="s">
        <v>7336</v>
      </c>
      <c r="C38" s="1290"/>
      <c r="D38" s="1290"/>
      <c r="E38" s="1290"/>
      <c r="F38" s="1290"/>
      <c r="G38" s="1290"/>
      <c r="H38" s="1672"/>
      <c r="I38" s="1673"/>
    </row>
    <row r="39" spans="1:9" s="1698" customFormat="1" ht="19.5">
      <c r="A39" s="1693"/>
      <c r="B39" s="1694" t="s">
        <v>7337</v>
      </c>
      <c r="C39" s="1695"/>
      <c r="D39" s="1695"/>
      <c r="E39" s="1695"/>
      <c r="F39" s="1696"/>
      <c r="G39" s="1696"/>
      <c r="H39" s="1697"/>
      <c r="I39" s="1673"/>
    </row>
    <row r="40" spans="1:9" s="1698" customFormat="1">
      <c r="A40" s="1693"/>
      <c r="B40" s="1225" t="s">
        <v>7338</v>
      </c>
      <c r="C40" s="1677">
        <v>1</v>
      </c>
      <c r="D40" s="1677">
        <v>1</v>
      </c>
      <c r="E40" s="842">
        <v>30</v>
      </c>
      <c r="F40" s="1696"/>
      <c r="G40" s="1696"/>
      <c r="H40" s="1678">
        <f>PRODUCT(C40:G40)</f>
        <v>30</v>
      </c>
      <c r="I40" s="1673" t="s">
        <v>823</v>
      </c>
    </row>
    <row r="41" spans="1:9" s="1700" customFormat="1" ht="81" customHeight="1">
      <c r="A41" s="1671">
        <v>7</v>
      </c>
      <c r="B41" s="1699" t="s">
        <v>7339</v>
      </c>
      <c r="C41" s="1699"/>
      <c r="D41" s="1699"/>
      <c r="E41" s="1699"/>
      <c r="F41" s="1699"/>
      <c r="G41" s="1699"/>
      <c r="H41" s="1672"/>
      <c r="I41" s="1673"/>
    </row>
    <row r="42" spans="1:9" s="1674" customFormat="1" ht="22.5" customHeight="1">
      <c r="A42" s="1671"/>
      <c r="B42" s="1680" t="s">
        <v>7340</v>
      </c>
      <c r="C42" s="1681">
        <v>1</v>
      </c>
      <c r="D42" s="1681">
        <v>1</v>
      </c>
      <c r="E42" s="1682"/>
      <c r="F42" s="1682"/>
      <c r="G42" s="1682"/>
      <c r="H42" s="1678">
        <f>PRODUCT(C42:G42)</f>
        <v>1</v>
      </c>
      <c r="I42" s="1673" t="s">
        <v>1427</v>
      </c>
    </row>
    <row r="43" spans="1:9" s="1674" customFormat="1" ht="22.5" customHeight="1">
      <c r="A43" s="1671"/>
      <c r="B43" s="1680" t="s">
        <v>7341</v>
      </c>
      <c r="C43" s="1681">
        <v>1</v>
      </c>
      <c r="D43" s="1681">
        <v>1</v>
      </c>
      <c r="E43" s="1682"/>
      <c r="F43" s="1682"/>
      <c r="G43" s="1682"/>
      <c r="H43" s="1678">
        <f>PRODUCT(C43:G43)</f>
        <v>1</v>
      </c>
      <c r="I43" s="1673" t="s">
        <v>1427</v>
      </c>
    </row>
    <row r="44" spans="1:9" s="1674" customFormat="1" ht="22.5" customHeight="1">
      <c r="A44" s="1671"/>
      <c r="B44" s="1680" t="s">
        <v>7342</v>
      </c>
      <c r="C44" s="1681">
        <v>1</v>
      </c>
      <c r="D44" s="1681">
        <v>4</v>
      </c>
      <c r="E44" s="1682"/>
      <c r="F44" s="1682"/>
      <c r="G44" s="1682"/>
      <c r="H44" s="1678">
        <f>PRODUCT(C44:G44)</f>
        <v>4</v>
      </c>
      <c r="I44" s="1673" t="s">
        <v>1427</v>
      </c>
    </row>
    <row r="45" spans="1:9" s="1700" customFormat="1" ht="22.5" customHeight="1">
      <c r="A45" s="1701"/>
      <c r="B45" s="1679" t="s">
        <v>7343</v>
      </c>
      <c r="C45" s="1677">
        <v>1</v>
      </c>
      <c r="D45" s="1677">
        <v>1</v>
      </c>
      <c r="E45" s="842"/>
      <c r="F45" s="1679"/>
      <c r="G45" s="1679"/>
      <c r="H45" s="1678">
        <f>PRODUCT(C45:G45)</f>
        <v>1</v>
      </c>
      <c r="I45" s="1673" t="s">
        <v>1427</v>
      </c>
    </row>
    <row r="46" spans="1:9" s="1700" customFormat="1" ht="22.5" customHeight="1">
      <c r="A46" s="1701"/>
      <c r="B46" s="1679" t="s">
        <v>7344</v>
      </c>
      <c r="C46" s="1677">
        <v>1</v>
      </c>
      <c r="D46" s="1677">
        <v>1</v>
      </c>
      <c r="E46" s="842"/>
      <c r="F46" s="1679"/>
      <c r="G46" s="1679"/>
      <c r="H46" s="1678">
        <f>PRODUCT(C46:G46)</f>
        <v>1</v>
      </c>
      <c r="I46" s="1673" t="s">
        <v>1427</v>
      </c>
    </row>
    <row r="47" spans="1:9">
      <c r="B47" s="1703"/>
      <c r="H47" s="1706"/>
    </row>
    <row r="48" spans="1:9">
      <c r="B48" s="1703"/>
      <c r="H48" s="1706"/>
    </row>
    <row r="49" spans="1:10">
      <c r="B49" s="1703"/>
      <c r="H49" s="1706"/>
    </row>
    <row r="50" spans="1:10">
      <c r="B50" s="1703"/>
      <c r="H50" s="1706"/>
    </row>
    <row r="51" spans="1:10" s="1633" customFormat="1" ht="23.25" customHeight="1">
      <c r="A51" s="1632" t="s">
        <v>7345</v>
      </c>
      <c r="B51" s="1632"/>
      <c r="C51" s="1632"/>
      <c r="D51" s="1632"/>
      <c r="E51" s="1632"/>
      <c r="F51" s="1632"/>
      <c r="G51" s="1632"/>
      <c r="H51" s="1632"/>
      <c r="I51" s="1632"/>
    </row>
    <row r="52" spans="1:10">
      <c r="B52" s="1703"/>
      <c r="H52" s="1706"/>
    </row>
    <row r="53" spans="1:10">
      <c r="B53" s="1703"/>
      <c r="H53" s="1706"/>
    </row>
    <row r="54" spans="1:10">
      <c r="B54" s="1703"/>
      <c r="H54" s="1706"/>
    </row>
    <row r="55" spans="1:10">
      <c r="B55" s="1703"/>
      <c r="H55" s="1706"/>
    </row>
    <row r="56" spans="1:10">
      <c r="B56" s="1703"/>
      <c r="H56" s="1706"/>
    </row>
    <row r="57" spans="1:10">
      <c r="B57" s="1703"/>
      <c r="H57" s="1706"/>
    </row>
    <row r="58" spans="1:10">
      <c r="B58" s="1703"/>
      <c r="H58" s="1706"/>
    </row>
    <row r="59" spans="1:10">
      <c r="B59" s="1703"/>
      <c r="H59" s="1706"/>
    </row>
    <row r="60" spans="1:10">
      <c r="B60" s="1703"/>
      <c r="H60" s="1706"/>
    </row>
    <row r="61" spans="1:10">
      <c r="B61" s="1703"/>
      <c r="H61" s="1706"/>
    </row>
    <row r="62" spans="1:10" s="1707" customFormat="1">
      <c r="A62" s="1702"/>
      <c r="B62" s="1703"/>
      <c r="C62" s="1704"/>
      <c r="D62" s="1705"/>
      <c r="E62" s="1647"/>
      <c r="F62" s="1647"/>
      <c r="G62" s="1647"/>
      <c r="H62" s="1706"/>
      <c r="I62" s="1652"/>
      <c r="J62" s="1647"/>
    </row>
    <row r="63" spans="1:10" s="1707" customFormat="1">
      <c r="A63" s="1702"/>
      <c r="B63" s="1703"/>
      <c r="C63" s="1704"/>
      <c r="D63" s="1705"/>
      <c r="E63" s="1647"/>
      <c r="F63" s="1647"/>
      <c r="G63" s="1647"/>
      <c r="H63" s="1706"/>
      <c r="I63" s="1652"/>
      <c r="J63" s="1647"/>
    </row>
    <row r="64" spans="1:10" s="1707" customFormat="1">
      <c r="A64" s="1702"/>
      <c r="B64" s="1703"/>
      <c r="C64" s="1704"/>
      <c r="D64" s="1705"/>
      <c r="E64" s="1647"/>
      <c r="F64" s="1647"/>
      <c r="G64" s="1647"/>
      <c r="H64" s="1706"/>
      <c r="I64" s="1652"/>
      <c r="J64" s="1647"/>
    </row>
    <row r="65" spans="1:10" s="1712" customFormat="1" ht="174" customHeight="1">
      <c r="A65" s="1708">
        <v>1</v>
      </c>
      <c r="B65" s="1709" t="s">
        <v>7346</v>
      </c>
      <c r="C65" s="1709"/>
      <c r="D65" s="1709"/>
      <c r="E65" s="1709"/>
      <c r="F65" s="1709"/>
      <c r="G65" s="1709"/>
      <c r="H65" s="1710"/>
      <c r="I65" s="1711"/>
    </row>
    <row r="66" spans="1:10" s="1712" customFormat="1" ht="22.5" customHeight="1">
      <c r="A66" s="1708"/>
      <c r="B66" s="1709" t="s">
        <v>7347</v>
      </c>
      <c r="C66" s="1713">
        <v>1</v>
      </c>
      <c r="D66" s="1714">
        <v>1</v>
      </c>
      <c r="E66" s="1715"/>
      <c r="F66" s="1715"/>
      <c r="G66" s="1715"/>
      <c r="H66" s="1710">
        <f>PRODUCT(C66:G66)</f>
        <v>1</v>
      </c>
      <c r="I66" s="1711" t="s">
        <v>1427</v>
      </c>
    </row>
    <row r="67" spans="1:10" s="1712" customFormat="1" ht="98.25" customHeight="1">
      <c r="A67" s="1708">
        <v>2</v>
      </c>
      <c r="B67" s="1709" t="s">
        <v>7348</v>
      </c>
      <c r="C67" s="1709"/>
      <c r="D67" s="1709"/>
      <c r="E67" s="1709"/>
      <c r="F67" s="1709"/>
      <c r="G67" s="1709"/>
      <c r="H67" s="1710"/>
      <c r="I67" s="1711"/>
    </row>
    <row r="68" spans="1:10" s="1712" customFormat="1" ht="22.5" customHeight="1">
      <c r="A68" s="1708"/>
      <c r="B68" s="1709" t="s">
        <v>7349</v>
      </c>
      <c r="C68" s="1713">
        <v>1</v>
      </c>
      <c r="D68" s="1714">
        <v>1</v>
      </c>
      <c r="E68" s="1715">
        <f>60+6+16+6+4+6</f>
        <v>98</v>
      </c>
      <c r="F68" s="1715"/>
      <c r="G68" s="1715"/>
      <c r="H68" s="1710">
        <f>PRODUCT(C68:G68)</f>
        <v>98</v>
      </c>
      <c r="I68" s="1711"/>
      <c r="J68" s="1712" t="s">
        <v>7350</v>
      </c>
    </row>
    <row r="69" spans="1:10" s="1712" customFormat="1" ht="22.5" customHeight="1">
      <c r="A69" s="1708"/>
      <c r="B69" s="1709"/>
      <c r="C69" s="1713"/>
      <c r="D69" s="1714"/>
      <c r="E69" s="1715"/>
      <c r="F69" s="1715"/>
      <c r="G69" s="1716" t="s">
        <v>7351</v>
      </c>
      <c r="H69" s="1717">
        <f>SUM(H68:H68)</f>
        <v>98</v>
      </c>
      <c r="I69" s="1711" t="s">
        <v>823</v>
      </c>
    </row>
    <row r="70" spans="1:10" s="1712" customFormat="1" ht="112.5" customHeight="1">
      <c r="A70" s="1708">
        <v>3</v>
      </c>
      <c r="B70" s="1709" t="s">
        <v>7352</v>
      </c>
      <c r="C70" s="1709"/>
      <c r="D70" s="1709"/>
      <c r="E70" s="1709"/>
      <c r="F70" s="1709"/>
      <c r="G70" s="1709"/>
      <c r="H70" s="1710"/>
      <c r="I70" s="1711"/>
    </row>
    <row r="71" spans="1:10" s="1712" customFormat="1" ht="22.5" customHeight="1">
      <c r="A71" s="1708"/>
      <c r="B71" s="1709" t="s">
        <v>7353</v>
      </c>
      <c r="C71" s="1713">
        <v>1</v>
      </c>
      <c r="D71" s="1714">
        <v>1</v>
      </c>
      <c r="E71" s="1715">
        <f>E68-60</f>
        <v>38</v>
      </c>
      <c r="F71" s="1715"/>
      <c r="G71" s="1715"/>
      <c r="H71" s="1710">
        <f>PRODUCT(C71:G71)</f>
        <v>38</v>
      </c>
      <c r="I71" s="1711" t="s">
        <v>823</v>
      </c>
    </row>
    <row r="72" spans="1:10" s="1712" customFormat="1" ht="186" customHeight="1">
      <c r="A72" s="1708">
        <v>4</v>
      </c>
      <c r="B72" s="1718" t="s">
        <v>7354</v>
      </c>
      <c r="C72" s="1718"/>
      <c r="D72" s="1718"/>
      <c r="E72" s="1718"/>
      <c r="F72" s="1718"/>
      <c r="G72" s="1718"/>
      <c r="H72" s="1710"/>
      <c r="I72" s="1711"/>
    </row>
    <row r="73" spans="1:10" s="1712" customFormat="1" ht="24.75" customHeight="1">
      <c r="A73" s="1708"/>
      <c r="B73" s="1719" t="s">
        <v>7355</v>
      </c>
      <c r="C73" s="1713">
        <v>1</v>
      </c>
      <c r="D73" s="1714">
        <v>1</v>
      </c>
      <c r="E73" s="1715"/>
      <c r="F73" s="1715"/>
      <c r="G73" s="1715"/>
      <c r="H73" s="1710">
        <f>PRODUCT(C73:G73)</f>
        <v>1</v>
      </c>
      <c r="I73" s="1711" t="s">
        <v>1389</v>
      </c>
    </row>
    <row r="74" spans="1:10" s="1712" customFormat="1" ht="24.75" customHeight="1">
      <c r="A74" s="1708"/>
      <c r="B74" s="1719"/>
      <c r="C74" s="1713"/>
      <c r="D74" s="1714"/>
      <c r="E74" s="1715"/>
      <c r="F74" s="1715"/>
      <c r="G74" s="1715"/>
      <c r="H74" s="1710"/>
      <c r="I74" s="1711"/>
    </row>
    <row r="75" spans="1:10" s="1712" customFormat="1" ht="179.25" customHeight="1">
      <c r="A75" s="1708">
        <v>5</v>
      </c>
      <c r="B75" s="1718" t="s">
        <v>7356</v>
      </c>
      <c r="C75" s="1718"/>
      <c r="D75" s="1718"/>
      <c r="E75" s="1718"/>
      <c r="F75" s="1718"/>
      <c r="G75" s="1718"/>
      <c r="H75" s="1710"/>
      <c r="I75" s="1711"/>
    </row>
    <row r="76" spans="1:10" s="1712" customFormat="1" ht="22.5" customHeight="1">
      <c r="A76" s="1708"/>
      <c r="B76" s="1719" t="s">
        <v>7355</v>
      </c>
      <c r="C76" s="1713">
        <v>1</v>
      </c>
      <c r="D76" s="1714">
        <v>1</v>
      </c>
      <c r="E76" s="1715"/>
      <c r="F76" s="1715"/>
      <c r="G76" s="1715"/>
      <c r="H76" s="1710">
        <f>PRODUCT(C76:G76)</f>
        <v>1</v>
      </c>
      <c r="I76" s="1711" t="s">
        <v>1389</v>
      </c>
    </row>
    <row r="77" spans="1:10" s="1712" customFormat="1" ht="22.5" customHeight="1">
      <c r="A77" s="1708"/>
      <c r="B77" s="1719"/>
      <c r="C77" s="1713"/>
      <c r="D77" s="1714"/>
      <c r="E77" s="1715"/>
      <c r="F77" s="1715"/>
      <c r="G77" s="1715"/>
      <c r="H77" s="1710"/>
      <c r="I77" s="1711"/>
    </row>
    <row r="78" spans="1:10" s="1712" customFormat="1" ht="92.25" customHeight="1">
      <c r="A78" s="1708">
        <v>6</v>
      </c>
      <c r="B78" s="1709" t="s">
        <v>7357</v>
      </c>
      <c r="C78" s="1709"/>
      <c r="D78" s="1709"/>
      <c r="E78" s="1709"/>
      <c r="F78" s="1709"/>
      <c r="G78" s="1709"/>
      <c r="H78" s="1710"/>
      <c r="I78" s="1711"/>
    </row>
    <row r="79" spans="1:10" s="1712" customFormat="1" ht="21" customHeight="1">
      <c r="A79" s="1708"/>
      <c r="B79" s="1709" t="s">
        <v>7358</v>
      </c>
      <c r="C79" s="1713">
        <v>1</v>
      </c>
      <c r="D79" s="1714">
        <v>1</v>
      </c>
      <c r="E79" s="1715">
        <v>60</v>
      </c>
      <c r="F79" s="1715"/>
      <c r="G79" s="1715"/>
      <c r="H79" s="1710">
        <f>PRODUCT(C79:G79)</f>
        <v>60</v>
      </c>
      <c r="I79" s="1711" t="s">
        <v>823</v>
      </c>
    </row>
    <row r="80" spans="1:10" s="1712" customFormat="1" ht="75" customHeight="1">
      <c r="A80" s="1708">
        <v>7</v>
      </c>
      <c r="B80" s="1709" t="s">
        <v>7359</v>
      </c>
      <c r="C80" s="1709"/>
      <c r="D80" s="1709"/>
      <c r="E80" s="1709"/>
      <c r="F80" s="1709"/>
      <c r="G80" s="1709"/>
      <c r="H80" s="1710"/>
      <c r="I80" s="1711"/>
    </row>
    <row r="81" spans="1:9" s="1712" customFormat="1" ht="21" customHeight="1">
      <c r="A81" s="1708"/>
      <c r="B81" s="1709"/>
      <c r="C81" s="1713">
        <v>1</v>
      </c>
      <c r="D81" s="1714">
        <v>1</v>
      </c>
      <c r="E81" s="1715"/>
      <c r="F81" s="1715"/>
      <c r="G81" s="1715"/>
      <c r="H81" s="1710">
        <f>PRODUCT(C81:G81)</f>
        <v>1</v>
      </c>
      <c r="I81" s="1711" t="s">
        <v>1389</v>
      </c>
    </row>
    <row r="82" spans="1:9" s="1712" customFormat="1" ht="84" customHeight="1">
      <c r="A82" s="1708">
        <v>8</v>
      </c>
      <c r="B82" s="1718" t="s">
        <v>7360</v>
      </c>
      <c r="C82" s="1718"/>
      <c r="D82" s="1718"/>
      <c r="E82" s="1718"/>
      <c r="F82" s="1718"/>
      <c r="G82" s="1718"/>
      <c r="H82" s="1710"/>
      <c r="I82" s="1711"/>
    </row>
    <row r="83" spans="1:9" s="1712" customFormat="1" ht="24.75" customHeight="1">
      <c r="A83" s="1708"/>
      <c r="B83" s="1719"/>
      <c r="C83" s="1713">
        <v>1</v>
      </c>
      <c r="D83" s="1714">
        <v>1</v>
      </c>
      <c r="E83" s="1715"/>
      <c r="F83" s="1715"/>
      <c r="G83" s="1715"/>
      <c r="H83" s="1710">
        <f>PRODUCT(C83:G83)</f>
        <v>1</v>
      </c>
      <c r="I83" s="1711" t="s">
        <v>1389</v>
      </c>
    </row>
    <row r="84" spans="1:9" s="1712" customFormat="1" ht="75.75" customHeight="1">
      <c r="A84" s="1708">
        <v>9</v>
      </c>
      <c r="B84" s="1718" t="s">
        <v>7361</v>
      </c>
      <c r="C84" s="1718"/>
      <c r="D84" s="1718"/>
      <c r="E84" s="1718"/>
      <c r="F84" s="1718"/>
      <c r="G84" s="1718"/>
      <c r="H84" s="1710"/>
      <c r="I84" s="1711"/>
    </row>
    <row r="85" spans="1:9" s="1712" customFormat="1" ht="26.25" customHeight="1">
      <c r="A85" s="1708"/>
      <c r="B85" s="1719" t="s">
        <v>7362</v>
      </c>
      <c r="C85" s="1713">
        <v>1</v>
      </c>
      <c r="D85" s="1714">
        <v>1</v>
      </c>
      <c r="E85" s="1715">
        <v>70</v>
      </c>
      <c r="F85" s="1715"/>
      <c r="G85" s="1715"/>
      <c r="H85" s="1710">
        <f>PRODUCT(C85:G85)</f>
        <v>70</v>
      </c>
      <c r="I85" s="1711" t="s">
        <v>823</v>
      </c>
    </row>
    <row r="86" spans="1:9" s="1724" customFormat="1" ht="126" customHeight="1">
      <c r="A86" s="1720">
        <v>10</v>
      </c>
      <c r="B86" s="1721" t="s">
        <v>7363</v>
      </c>
      <c r="C86" s="1721"/>
      <c r="D86" s="1721"/>
      <c r="E86" s="1721"/>
      <c r="F86" s="1721"/>
      <c r="G86" s="1721"/>
      <c r="H86" s="1722"/>
      <c r="I86" s="1723"/>
    </row>
    <row r="87" spans="1:9" s="1724" customFormat="1" ht="25.5" customHeight="1">
      <c r="A87" s="1720"/>
      <c r="B87" s="1725" t="s">
        <v>7364</v>
      </c>
      <c r="C87" s="1726">
        <v>1</v>
      </c>
      <c r="D87" s="1726">
        <v>2</v>
      </c>
      <c r="E87" s="1727"/>
      <c r="F87" s="1728"/>
      <c r="G87" s="1729"/>
      <c r="H87" s="1730">
        <f>PRODUCT(C87:G87)</f>
        <v>2</v>
      </c>
      <c r="I87" s="1723" t="s">
        <v>1427</v>
      </c>
    </row>
    <row r="88" spans="1:9" s="1724" customFormat="1" ht="25.5" customHeight="1">
      <c r="A88" s="1720"/>
      <c r="B88" s="1725" t="s">
        <v>7365</v>
      </c>
      <c r="C88" s="1726">
        <v>1</v>
      </c>
      <c r="D88" s="1726">
        <v>2</v>
      </c>
      <c r="E88" s="1726"/>
      <c r="F88" s="1728"/>
      <c r="G88" s="1728"/>
      <c r="H88" s="1730">
        <f>PRODUCT(C88:G88)</f>
        <v>2</v>
      </c>
      <c r="I88" s="1723" t="s">
        <v>1427</v>
      </c>
    </row>
    <row r="89" spans="1:9" s="1724" customFormat="1" ht="25.5" customHeight="1">
      <c r="A89" s="1720"/>
      <c r="B89" s="1725" t="s">
        <v>7366</v>
      </c>
      <c r="C89" s="1726">
        <v>1</v>
      </c>
      <c r="D89" s="1726">
        <v>1</v>
      </c>
      <c r="E89" s="1727"/>
      <c r="F89" s="1728"/>
      <c r="G89" s="1728"/>
      <c r="H89" s="1730">
        <f>PRODUCT(C89:G89)</f>
        <v>1</v>
      </c>
      <c r="I89" s="1723" t="s">
        <v>1427</v>
      </c>
    </row>
    <row r="90" spans="1:9" s="1724" customFormat="1" ht="25.5" customHeight="1">
      <c r="A90" s="1720"/>
      <c r="B90" s="1725" t="s">
        <v>7367</v>
      </c>
      <c r="C90" s="1726">
        <v>1</v>
      </c>
      <c r="D90" s="1726">
        <v>1</v>
      </c>
      <c r="E90" s="1727"/>
      <c r="F90" s="1728"/>
      <c r="G90" s="1728"/>
      <c r="H90" s="1730">
        <f>PRODUCT(C90:G90)</f>
        <v>1</v>
      </c>
      <c r="I90" s="1723" t="s">
        <v>1427</v>
      </c>
    </row>
    <row r="91" spans="1:9" s="1712" customFormat="1" ht="108.75" customHeight="1">
      <c r="A91" s="1708">
        <v>11</v>
      </c>
      <c r="B91" s="1718" t="s">
        <v>7368</v>
      </c>
      <c r="C91" s="1718"/>
      <c r="D91" s="1718"/>
      <c r="E91" s="1718"/>
      <c r="F91" s="1718"/>
      <c r="G91" s="1718"/>
      <c r="H91" s="1710"/>
      <c r="I91" s="1711"/>
    </row>
    <row r="92" spans="1:9" s="1712" customFormat="1" ht="31.5" customHeight="1">
      <c r="A92" s="1708"/>
      <c r="B92" s="1731" t="s">
        <v>7369</v>
      </c>
      <c r="C92" s="1732">
        <v>1</v>
      </c>
      <c r="D92" s="1732">
        <v>1</v>
      </c>
      <c r="E92" s="1731"/>
      <c r="F92" s="1731"/>
      <c r="G92" s="1731"/>
      <c r="H92" s="1717">
        <f>PRODUCT(C92:G92)</f>
        <v>1</v>
      </c>
      <c r="I92" s="1711" t="s">
        <v>1427</v>
      </c>
    </row>
    <row r="93" spans="1:9" s="1724" customFormat="1" ht="25.5" customHeight="1">
      <c r="A93" s="1720"/>
      <c r="B93" s="1725" t="s">
        <v>7370</v>
      </c>
      <c r="C93" s="1726">
        <v>1</v>
      </c>
      <c r="D93" s="1726">
        <v>1</v>
      </c>
      <c r="E93" s="1727"/>
      <c r="F93" s="1728"/>
      <c r="G93" s="1728"/>
      <c r="H93" s="1730">
        <f>PRODUCT(C93:G93)</f>
        <v>1</v>
      </c>
      <c r="I93" s="1723" t="s">
        <v>1427</v>
      </c>
    </row>
    <row r="94" spans="1:9" s="1712" customFormat="1" ht="28.5" customHeight="1">
      <c r="A94" s="1708"/>
      <c r="B94" s="1731" t="s">
        <v>7371</v>
      </c>
      <c r="C94" s="1732"/>
      <c r="D94" s="1732"/>
      <c r="E94" s="1731"/>
      <c r="F94" s="1731"/>
      <c r="G94" s="1731"/>
      <c r="H94" s="1710"/>
      <c r="I94" s="1711"/>
    </row>
    <row r="95" spans="1:9" s="1712" customFormat="1" ht="28.5" customHeight="1">
      <c r="A95" s="1708"/>
      <c r="B95" s="1719" t="s">
        <v>7372</v>
      </c>
      <c r="C95" s="1713">
        <v>1</v>
      </c>
      <c r="D95" s="1714">
        <v>1</v>
      </c>
      <c r="E95" s="1715">
        <v>2.5</v>
      </c>
      <c r="F95" s="1715"/>
      <c r="G95" s="1715"/>
      <c r="H95" s="1710">
        <f>PRODUCT(C95:G95)</f>
        <v>2.5</v>
      </c>
      <c r="I95" s="1711"/>
    </row>
    <row r="96" spans="1:9" s="1712" customFormat="1" ht="28.5" customHeight="1">
      <c r="A96" s="1708"/>
      <c r="B96" s="1719" t="s">
        <v>7373</v>
      </c>
      <c r="C96" s="1713">
        <v>1</v>
      </c>
      <c r="D96" s="1714">
        <v>1</v>
      </c>
      <c r="E96" s="1715">
        <v>1.5</v>
      </c>
      <c r="F96" s="1715"/>
      <c r="G96" s="1715"/>
      <c r="H96" s="1710">
        <f>PRODUCT(C96:G96)</f>
        <v>1.5</v>
      </c>
      <c r="I96" s="1711"/>
    </row>
    <row r="97" spans="1:10" s="1712" customFormat="1" ht="26.25" customHeight="1">
      <c r="A97" s="1708"/>
      <c r="B97" s="1719"/>
      <c r="C97" s="1713"/>
      <c r="D97" s="1714"/>
      <c r="E97" s="1715"/>
      <c r="F97" s="1715"/>
      <c r="G97" s="1733" t="s">
        <v>2235</v>
      </c>
      <c r="H97" s="1717">
        <f>SUM(H95:H96)</f>
        <v>4</v>
      </c>
      <c r="I97" s="1711" t="s">
        <v>823</v>
      </c>
    </row>
    <row r="98" spans="1:10" s="1724" customFormat="1" ht="117" customHeight="1">
      <c r="A98" s="1720">
        <v>12</v>
      </c>
      <c r="B98" s="1721" t="s">
        <v>7374</v>
      </c>
      <c r="C98" s="1721"/>
      <c r="D98" s="1721"/>
      <c r="E98" s="1721"/>
      <c r="F98" s="1721"/>
      <c r="G98" s="1721"/>
      <c r="H98" s="1722"/>
      <c r="I98" s="1723"/>
    </row>
    <row r="99" spans="1:10" s="1724" customFormat="1" ht="24.75" customHeight="1">
      <c r="A99" s="1720"/>
      <c r="B99" s="1734" t="s">
        <v>7375</v>
      </c>
      <c r="C99" s="1720"/>
      <c r="D99" s="1720"/>
      <c r="E99" s="1727"/>
      <c r="F99" s="1728"/>
      <c r="G99" s="1728"/>
      <c r="H99" s="1722"/>
      <c r="I99" s="1723"/>
    </row>
    <row r="100" spans="1:10" s="1712" customFormat="1" ht="24.75" customHeight="1">
      <c r="A100" s="1708"/>
      <c r="B100" s="1719" t="s">
        <v>7376</v>
      </c>
      <c r="C100" s="1713">
        <v>1</v>
      </c>
      <c r="D100" s="1714">
        <v>1</v>
      </c>
      <c r="E100" s="1735">
        <v>6</v>
      </c>
      <c r="F100" s="1715"/>
      <c r="G100" s="1715"/>
      <c r="H100" s="1710">
        <f>PRODUCT(C100:G100)</f>
        <v>6</v>
      </c>
      <c r="I100" s="1711"/>
    </row>
    <row r="101" spans="1:10" s="1737" customFormat="1" ht="24.75" customHeight="1">
      <c r="A101" s="1720"/>
      <c r="B101" s="1725"/>
      <c r="C101" s="1726"/>
      <c r="D101" s="1726"/>
      <c r="E101" s="1727"/>
      <c r="F101" s="1736"/>
      <c r="G101" s="1722" t="s">
        <v>2235</v>
      </c>
      <c r="H101" s="1730">
        <f>SUM(H100:H100)</f>
        <v>6</v>
      </c>
      <c r="I101" s="1723" t="s">
        <v>823</v>
      </c>
    </row>
    <row r="102" spans="1:10" s="1737" customFormat="1" ht="61.5" customHeight="1">
      <c r="A102" s="1720">
        <v>13</v>
      </c>
      <c r="B102" s="1738" t="s">
        <v>7377</v>
      </c>
      <c r="C102" s="1738"/>
      <c r="D102" s="1738"/>
      <c r="E102" s="1738"/>
      <c r="F102" s="1738"/>
      <c r="G102" s="1738"/>
      <c r="H102" s="1739"/>
      <c r="I102" s="1723"/>
    </row>
    <row r="103" spans="1:10" s="1724" customFormat="1" ht="24.75" customHeight="1">
      <c r="A103" s="1720"/>
      <c r="B103" s="1734" t="s">
        <v>7378</v>
      </c>
      <c r="C103" s="1720"/>
      <c r="D103" s="1720"/>
      <c r="E103" s="1727"/>
      <c r="F103" s="1728"/>
      <c r="G103" s="1728"/>
      <c r="H103" s="1722"/>
      <c r="I103" s="1723"/>
    </row>
    <row r="104" spans="1:10" s="1712" customFormat="1" ht="22.5" customHeight="1">
      <c r="A104" s="1708"/>
      <c r="B104" s="1709" t="s">
        <v>7353</v>
      </c>
      <c r="C104" s="1713">
        <v>1</v>
      </c>
      <c r="D104" s="1714">
        <v>1</v>
      </c>
      <c r="E104" s="1715">
        <f>E71</f>
        <v>38</v>
      </c>
      <c r="F104" s="1715"/>
      <c r="G104" s="1715"/>
      <c r="H104" s="1710">
        <f>PRODUCT(C104:G104)</f>
        <v>38</v>
      </c>
      <c r="I104" s="1711"/>
    </row>
    <row r="105" spans="1:10" s="1737" customFormat="1" ht="22.5" customHeight="1">
      <c r="A105" s="1720"/>
      <c r="B105" s="1725"/>
      <c r="C105" s="1726"/>
      <c r="D105" s="1726"/>
      <c r="E105" s="1727"/>
      <c r="F105" s="1736"/>
      <c r="G105" s="1722" t="s">
        <v>2235</v>
      </c>
      <c r="H105" s="1730">
        <f>SUM(H103:H104)</f>
        <v>38</v>
      </c>
      <c r="I105" s="1723" t="s">
        <v>823</v>
      </c>
    </row>
    <row r="106" spans="1:10" s="1737" customFormat="1" ht="22.5" customHeight="1">
      <c r="A106" s="1720"/>
      <c r="B106" s="1725"/>
      <c r="C106" s="1726"/>
      <c r="D106" s="1726"/>
      <c r="E106" s="1727"/>
      <c r="F106" s="1736"/>
      <c r="G106" s="1736"/>
      <c r="H106" s="1739"/>
      <c r="I106" s="1723"/>
    </row>
    <row r="107" spans="1:10" s="1737" customFormat="1" ht="86.25" customHeight="1">
      <c r="A107" s="1720">
        <v>14</v>
      </c>
      <c r="B107" s="1721" t="s">
        <v>7379</v>
      </c>
      <c r="C107" s="1721"/>
      <c r="D107" s="1721"/>
      <c r="E107" s="1721"/>
      <c r="F107" s="1721"/>
      <c r="G107" s="1721"/>
      <c r="H107" s="1739"/>
      <c r="I107" s="1723"/>
    </row>
    <row r="108" spans="1:10" s="1737" customFormat="1" ht="22.5" customHeight="1">
      <c r="A108" s="1720"/>
      <c r="B108" s="1725" t="s">
        <v>7380</v>
      </c>
      <c r="C108" s="1726">
        <v>1</v>
      </c>
      <c r="D108" s="1726">
        <v>1</v>
      </c>
      <c r="E108" s="1727">
        <v>5</v>
      </c>
      <c r="F108" s="1736"/>
      <c r="G108" s="1736"/>
      <c r="H108" s="1739">
        <f>PRODUCT(C108:G108)</f>
        <v>5</v>
      </c>
      <c r="I108" s="1723" t="s">
        <v>823</v>
      </c>
    </row>
    <row r="109" spans="1:10" s="1737" customFormat="1" ht="22.5" customHeight="1">
      <c r="A109" s="1720"/>
      <c r="B109" s="1725"/>
      <c r="C109" s="1726"/>
      <c r="D109" s="1726"/>
      <c r="E109" s="1727"/>
      <c r="F109" s="1736"/>
      <c r="G109" s="1736"/>
      <c r="H109" s="1739"/>
      <c r="I109" s="1723"/>
    </row>
    <row r="110" spans="1:10" s="1737" customFormat="1" ht="79.5" customHeight="1">
      <c r="A110" s="1720">
        <v>15</v>
      </c>
      <c r="B110" s="1721" t="s">
        <v>7381</v>
      </c>
      <c r="C110" s="1721"/>
      <c r="D110" s="1721"/>
      <c r="E110" s="1721"/>
      <c r="F110" s="1721"/>
      <c r="G110" s="1721"/>
      <c r="H110" s="1739"/>
      <c r="I110" s="1723"/>
    </row>
    <row r="111" spans="1:10" s="1737" customFormat="1" ht="22.5" customHeight="1">
      <c r="A111" s="1720"/>
      <c r="B111" s="1725" t="s">
        <v>7380</v>
      </c>
      <c r="C111" s="1726">
        <v>1</v>
      </c>
      <c r="D111" s="1726">
        <v>1</v>
      </c>
      <c r="E111" s="1727">
        <v>5</v>
      </c>
      <c r="F111" s="1736"/>
      <c r="G111" s="1736"/>
      <c r="H111" s="1739">
        <f>PRODUCT(C111:G111)</f>
        <v>5</v>
      </c>
      <c r="I111" s="1723" t="s">
        <v>823</v>
      </c>
    </row>
    <row r="112" spans="1:10" s="1707" customFormat="1">
      <c r="A112" s="1702"/>
      <c r="B112" s="1703"/>
      <c r="C112" s="1704"/>
      <c r="D112" s="1705"/>
      <c r="E112" s="1647"/>
      <c r="F112" s="1647"/>
      <c r="G112" s="1647"/>
      <c r="H112" s="1706"/>
      <c r="I112" s="1652"/>
      <c r="J112" s="1647"/>
    </row>
    <row r="113" spans="1:10" s="1707" customFormat="1">
      <c r="A113" s="1702"/>
      <c r="B113" s="1703"/>
      <c r="C113" s="1704"/>
      <c r="D113" s="1705"/>
      <c r="E113" s="1647"/>
      <c r="F113" s="1647"/>
      <c r="G113" s="1647"/>
      <c r="H113" s="1706"/>
      <c r="I113" s="1652"/>
      <c r="J113" s="1647"/>
    </row>
    <row r="114" spans="1:10" s="1707" customFormat="1">
      <c r="A114" s="1702"/>
      <c r="B114" s="1703"/>
      <c r="C114" s="1704"/>
      <c r="D114" s="1705"/>
      <c r="E114" s="1647"/>
      <c r="F114" s="1647"/>
      <c r="G114" s="1647"/>
      <c r="H114" s="1706"/>
      <c r="I114" s="1652"/>
      <c r="J114" s="1647"/>
    </row>
    <row r="115" spans="1:10" s="1707" customFormat="1">
      <c r="A115" s="1702"/>
      <c r="B115" s="1647"/>
      <c r="C115" s="1704"/>
      <c r="D115" s="1705"/>
      <c r="E115" s="1647"/>
      <c r="F115" s="1647"/>
      <c r="G115" s="1647"/>
      <c r="H115" s="1706"/>
      <c r="I115" s="1652"/>
      <c r="J115" s="1647"/>
    </row>
    <row r="116" spans="1:10" s="1707" customFormat="1" ht="75">
      <c r="A116" s="1702"/>
      <c r="B116" s="1634" t="s">
        <v>7255</v>
      </c>
      <c r="C116" s="1704"/>
      <c r="D116" s="1705"/>
      <c r="E116" s="1647"/>
      <c r="F116" s="1647"/>
      <c r="G116" s="1647"/>
      <c r="H116" s="1706">
        <f>PRODUCT(C116:G116)</f>
        <v>0</v>
      </c>
      <c r="I116" s="1652"/>
      <c r="J116" s="1647"/>
    </row>
    <row r="117" spans="1:10" s="1707" customFormat="1">
      <c r="A117" s="1702"/>
      <c r="B117" s="1634" t="s">
        <v>7256</v>
      </c>
      <c r="C117" s="1704"/>
      <c r="D117" s="1705"/>
      <c r="E117" s="1647"/>
      <c r="F117" s="1647"/>
      <c r="G117" s="1647"/>
      <c r="H117" s="1706">
        <f>PRODUCT(C117:G117)</f>
        <v>0</v>
      </c>
      <c r="I117" s="1652"/>
      <c r="J117" s="1647"/>
    </row>
    <row r="118" spans="1:10" s="1707" customFormat="1">
      <c r="A118" s="1702"/>
      <c r="B118" s="1634"/>
      <c r="C118" s="1704"/>
      <c r="D118" s="1705"/>
      <c r="E118" s="1647"/>
      <c r="F118" s="1647"/>
      <c r="G118" s="1647"/>
      <c r="H118" s="1706">
        <f>PRODUCT(C118:G118)</f>
        <v>0</v>
      </c>
      <c r="I118" s="1652"/>
      <c r="J118" s="1647"/>
    </row>
    <row r="119" spans="1:10" s="1707" customFormat="1" ht="75">
      <c r="A119" s="1702"/>
      <c r="B119" s="1634" t="s">
        <v>7257</v>
      </c>
      <c r="C119" s="1704"/>
      <c r="D119" s="1705"/>
      <c r="E119" s="1647"/>
      <c r="F119" s="1647"/>
      <c r="G119" s="1647"/>
      <c r="H119" s="1706">
        <f>PRODUCT(C119:G119)</f>
        <v>0</v>
      </c>
      <c r="I119" s="1652"/>
      <c r="J119" s="1647"/>
    </row>
    <row r="120" spans="1:10" s="1707" customFormat="1">
      <c r="A120" s="1702"/>
      <c r="B120" s="1634" t="s">
        <v>7258</v>
      </c>
      <c r="C120" s="1704"/>
      <c r="D120" s="1705"/>
      <c r="E120" s="1647"/>
      <c r="F120" s="1647"/>
      <c r="G120" s="1647"/>
      <c r="H120" s="1740"/>
      <c r="I120" s="1652"/>
      <c r="J120" s="1647"/>
    </row>
    <row r="121" spans="1:10" s="1707" customFormat="1">
      <c r="A121" s="1702"/>
      <c r="B121" s="1634" t="s">
        <v>7256</v>
      </c>
      <c r="C121" s="1704"/>
      <c r="D121" s="1705"/>
      <c r="E121" s="1647"/>
      <c r="F121" s="1647"/>
      <c r="G121" s="1647"/>
      <c r="H121" s="1740"/>
      <c r="I121" s="1652"/>
      <c r="J121" s="1647"/>
    </row>
    <row r="122" spans="1:10" s="1707" customFormat="1">
      <c r="A122" s="1702"/>
      <c r="B122" s="1634"/>
      <c r="C122" s="1704"/>
      <c r="D122" s="1705"/>
      <c r="E122" s="1647"/>
      <c r="F122" s="1647"/>
      <c r="G122" s="1647"/>
      <c r="H122" s="1740"/>
      <c r="I122" s="1652"/>
      <c r="J122" s="1647"/>
    </row>
    <row r="123" spans="1:10" s="1707" customFormat="1">
      <c r="A123" s="1702"/>
      <c r="B123" s="1634" t="s">
        <v>7259</v>
      </c>
      <c r="C123" s="1704"/>
      <c r="D123" s="1705"/>
      <c r="E123" s="1647"/>
      <c r="F123" s="1647"/>
      <c r="G123" s="1647"/>
      <c r="H123" s="1740"/>
      <c r="I123" s="1652"/>
      <c r="J123" s="1647"/>
    </row>
    <row r="124" spans="1:10" s="1707" customFormat="1">
      <c r="A124" s="1702"/>
      <c r="B124" s="1634" t="s">
        <v>7256</v>
      </c>
      <c r="C124" s="1704"/>
      <c r="D124" s="1705"/>
      <c r="E124" s="1647"/>
      <c r="F124" s="1647"/>
      <c r="G124" s="1647"/>
      <c r="H124" s="1740"/>
      <c r="I124" s="1652"/>
      <c r="J124" s="1647"/>
    </row>
    <row r="125" spans="1:10" s="1704" customFormat="1">
      <c r="A125" s="1702"/>
      <c r="B125" s="1634"/>
      <c r="D125" s="1705"/>
      <c r="E125" s="1647"/>
      <c r="F125" s="1647"/>
      <c r="G125" s="1647"/>
      <c r="H125" s="1740"/>
      <c r="I125" s="1652"/>
      <c r="J125" s="1647"/>
    </row>
    <row r="126" spans="1:10" s="1704" customFormat="1">
      <c r="A126" s="1702"/>
      <c r="B126" s="1634" t="s">
        <v>7260</v>
      </c>
      <c r="D126" s="1705"/>
      <c r="E126" s="1647"/>
      <c r="F126" s="1647"/>
      <c r="G126" s="1647"/>
      <c r="H126" s="1740"/>
      <c r="I126" s="1652"/>
      <c r="J126" s="1647"/>
    </row>
    <row r="127" spans="1:10" s="1704" customFormat="1">
      <c r="A127" s="1702"/>
      <c r="B127" s="1634" t="s">
        <v>7256</v>
      </c>
      <c r="D127" s="1705"/>
      <c r="E127" s="1647"/>
      <c r="F127" s="1647"/>
      <c r="G127" s="1647"/>
      <c r="H127" s="1740"/>
      <c r="I127" s="1652"/>
      <c r="J127" s="1647"/>
    </row>
    <row r="128" spans="1:10" s="1704" customFormat="1">
      <c r="A128" s="1702"/>
      <c r="B128" s="1634"/>
      <c r="D128" s="1705"/>
      <c r="E128" s="1647"/>
      <c r="F128" s="1647"/>
      <c r="G128" s="1647"/>
      <c r="H128" s="1740"/>
      <c r="I128" s="1652"/>
      <c r="J128" s="1647"/>
    </row>
    <row r="129" spans="1:10" s="1704" customFormat="1" ht="131.25">
      <c r="A129" s="1702"/>
      <c r="B129" s="1635" t="s">
        <v>7261</v>
      </c>
      <c r="D129" s="1705"/>
      <c r="E129" s="1647"/>
      <c r="F129" s="1647"/>
      <c r="G129" s="1647"/>
      <c r="H129" s="1740"/>
      <c r="I129" s="1652"/>
      <c r="J129" s="1647"/>
    </row>
    <row r="130" spans="1:10" s="1704" customFormat="1">
      <c r="A130" s="1702"/>
      <c r="B130" s="1635" t="s">
        <v>7256</v>
      </c>
      <c r="D130" s="1705"/>
      <c r="E130" s="1647"/>
      <c r="F130" s="1647"/>
      <c r="G130" s="1647"/>
      <c r="H130" s="1740"/>
      <c r="I130" s="1652"/>
      <c r="J130" s="1647"/>
    </row>
    <row r="131" spans="1:10" s="1704" customFormat="1">
      <c r="A131" s="1702"/>
      <c r="B131" s="1635"/>
      <c r="D131" s="1705"/>
      <c r="E131" s="1647"/>
      <c r="F131" s="1647"/>
      <c r="G131" s="1647"/>
      <c r="H131" s="1740"/>
      <c r="I131" s="1652"/>
      <c r="J131" s="1647"/>
    </row>
    <row r="132" spans="1:10" s="1704" customFormat="1" ht="56.25">
      <c r="A132" s="1702"/>
      <c r="B132" s="1635" t="s">
        <v>7262</v>
      </c>
      <c r="D132" s="1705"/>
      <c r="E132" s="1647"/>
      <c r="F132" s="1647"/>
      <c r="G132" s="1647"/>
      <c r="H132" s="1740"/>
      <c r="I132" s="1652"/>
      <c r="J132" s="1647"/>
    </row>
    <row r="133" spans="1:10" s="1704" customFormat="1">
      <c r="A133" s="1702"/>
      <c r="B133" s="1634" t="s">
        <v>7256</v>
      </c>
      <c r="D133" s="1705"/>
      <c r="E133" s="1647"/>
      <c r="F133" s="1647"/>
      <c r="G133" s="1647"/>
      <c r="H133" s="1740"/>
      <c r="I133" s="1652"/>
      <c r="J133" s="1647"/>
    </row>
    <row r="134" spans="1:10" s="1704" customFormat="1">
      <c r="A134" s="1702"/>
      <c r="B134" s="1634" t="s">
        <v>2235</v>
      </c>
      <c r="D134" s="1705"/>
      <c r="E134" s="1647"/>
      <c r="F134" s="1647"/>
      <c r="G134" s="1647"/>
      <c r="H134" s="1740"/>
      <c r="I134" s="1652"/>
      <c r="J134" s="1647"/>
    </row>
    <row r="135" spans="1:10" s="1704" customFormat="1">
      <c r="A135" s="1702"/>
      <c r="B135" s="1634"/>
      <c r="D135" s="1705"/>
      <c r="E135" s="1647"/>
      <c r="F135" s="1647"/>
      <c r="G135" s="1647"/>
      <c r="H135" s="1740"/>
      <c r="I135" s="1652"/>
      <c r="J135" s="1647"/>
    </row>
    <row r="136" spans="1:10" s="1704" customFormat="1" ht="37.5">
      <c r="A136" s="1702"/>
      <c r="B136" s="1636" t="s">
        <v>7263</v>
      </c>
      <c r="D136" s="1705"/>
      <c r="E136" s="1647"/>
      <c r="F136" s="1647"/>
      <c r="G136" s="1647"/>
      <c r="H136" s="1740"/>
      <c r="I136" s="1652"/>
      <c r="J136" s="1647"/>
    </row>
    <row r="137" spans="1:10" s="1704" customFormat="1">
      <c r="A137" s="1702"/>
      <c r="B137" s="1636" t="s">
        <v>7264</v>
      </c>
      <c r="D137" s="1705"/>
      <c r="E137" s="1647"/>
      <c r="F137" s="1647"/>
      <c r="G137" s="1647"/>
      <c r="H137" s="1740"/>
      <c r="I137" s="1652"/>
      <c r="J137" s="1647"/>
    </row>
    <row r="138" spans="1:10" s="1704" customFormat="1">
      <c r="A138" s="1702"/>
      <c r="B138" s="1634"/>
      <c r="D138" s="1705"/>
      <c r="E138" s="1647"/>
      <c r="F138" s="1647"/>
      <c r="G138" s="1647"/>
      <c r="H138" s="1740"/>
      <c r="I138" s="1652"/>
      <c r="J138" s="1647"/>
    </row>
    <row r="139" spans="1:10" s="1704" customFormat="1" ht="75">
      <c r="A139" s="1702"/>
      <c r="B139" s="1637" t="s">
        <v>7265</v>
      </c>
      <c r="D139" s="1705"/>
      <c r="E139" s="1647"/>
      <c r="F139" s="1647"/>
      <c r="G139" s="1647"/>
      <c r="H139" s="1740"/>
      <c r="I139" s="1652"/>
      <c r="J139" s="1647"/>
    </row>
    <row r="140" spans="1:10" s="1704" customFormat="1">
      <c r="A140" s="1702"/>
      <c r="B140" s="1634" t="s">
        <v>7256</v>
      </c>
      <c r="D140" s="1705"/>
      <c r="E140" s="1647"/>
      <c r="F140" s="1647"/>
      <c r="G140" s="1647"/>
      <c r="H140" s="1740"/>
      <c r="I140" s="1652"/>
      <c r="J140" s="1647"/>
    </row>
    <row r="141" spans="1:10" s="1704" customFormat="1">
      <c r="A141" s="1702"/>
      <c r="B141" s="1634"/>
      <c r="D141" s="1705"/>
      <c r="E141" s="1647"/>
      <c r="F141" s="1647"/>
      <c r="G141" s="1647"/>
      <c r="H141" s="1740"/>
      <c r="I141" s="1652"/>
      <c r="J141" s="1647"/>
    </row>
    <row r="142" spans="1:10" s="1704" customFormat="1" ht="37.5">
      <c r="A142" s="1702"/>
      <c r="B142" s="1638" t="s">
        <v>7266</v>
      </c>
      <c r="D142" s="1705"/>
      <c r="E142" s="1647"/>
      <c r="F142" s="1647"/>
      <c r="G142" s="1647"/>
      <c r="H142" s="1740"/>
      <c r="I142" s="1652"/>
      <c r="J142" s="1647"/>
    </row>
    <row r="143" spans="1:10" s="1704" customFormat="1">
      <c r="A143" s="1702"/>
      <c r="B143" s="1638" t="s">
        <v>7267</v>
      </c>
      <c r="D143" s="1705"/>
      <c r="E143" s="1647"/>
      <c r="F143" s="1647"/>
      <c r="G143" s="1647"/>
      <c r="H143" s="1740"/>
      <c r="I143" s="1652"/>
      <c r="J143" s="1647"/>
    </row>
    <row r="144" spans="1:10" s="1704" customFormat="1">
      <c r="A144" s="1702"/>
      <c r="B144" s="1639"/>
      <c r="D144" s="1705"/>
      <c r="E144" s="1647"/>
      <c r="F144" s="1647"/>
      <c r="G144" s="1647"/>
      <c r="H144" s="1740"/>
      <c r="I144" s="1652"/>
      <c r="J144" s="1647"/>
    </row>
    <row r="145" spans="1:10" s="1704" customFormat="1" ht="56.25">
      <c r="A145" s="1702"/>
      <c r="B145" s="1638" t="s">
        <v>7268</v>
      </c>
      <c r="D145" s="1705"/>
      <c r="E145" s="1647"/>
      <c r="F145" s="1647"/>
      <c r="G145" s="1647"/>
      <c r="H145" s="1740"/>
      <c r="I145" s="1652"/>
      <c r="J145" s="1647"/>
    </row>
    <row r="146" spans="1:10" s="1704" customFormat="1">
      <c r="A146" s="1702"/>
      <c r="B146" s="1638" t="s">
        <v>7269</v>
      </c>
      <c r="D146" s="1705"/>
      <c r="E146" s="1647"/>
      <c r="F146" s="1647"/>
      <c r="G146" s="1647"/>
      <c r="H146" s="1740"/>
      <c r="I146" s="1652"/>
      <c r="J146" s="1647"/>
    </row>
    <row r="147" spans="1:10" s="1704" customFormat="1">
      <c r="A147" s="1702"/>
      <c r="B147" s="1638"/>
      <c r="D147" s="1705"/>
      <c r="E147" s="1647"/>
      <c r="F147" s="1647"/>
      <c r="G147" s="1647"/>
      <c r="H147" s="1740"/>
      <c r="I147" s="1652"/>
      <c r="J147" s="1647"/>
    </row>
    <row r="148" spans="1:10" s="1704" customFormat="1">
      <c r="A148" s="1702"/>
      <c r="B148" s="1639"/>
      <c r="D148" s="1705"/>
      <c r="E148" s="1647"/>
      <c r="F148" s="1647"/>
      <c r="G148" s="1647"/>
      <c r="H148" s="1740"/>
      <c r="I148" s="1652"/>
      <c r="J148" s="1647"/>
    </row>
    <row r="149" spans="1:10" s="1704" customFormat="1" ht="37.5">
      <c r="A149" s="1702"/>
      <c r="B149" s="1636" t="s">
        <v>7270</v>
      </c>
      <c r="D149" s="1705"/>
      <c r="E149" s="1647"/>
      <c r="F149" s="1647"/>
      <c r="G149" s="1647"/>
      <c r="H149" s="1740"/>
      <c r="I149" s="1652"/>
      <c r="J149" s="1647"/>
    </row>
    <row r="150" spans="1:10" s="1704" customFormat="1">
      <c r="A150" s="1702"/>
      <c r="B150" s="1640" t="s">
        <v>7256</v>
      </c>
      <c r="D150" s="1705"/>
      <c r="E150" s="1647"/>
      <c r="F150" s="1647"/>
      <c r="G150" s="1647"/>
      <c r="H150" s="1740"/>
      <c r="I150" s="1652"/>
      <c r="J150" s="1647"/>
    </row>
    <row r="151" spans="1:10" s="1704" customFormat="1">
      <c r="A151" s="1702"/>
      <c r="B151" s="1639"/>
      <c r="D151" s="1705"/>
      <c r="E151" s="1647"/>
      <c r="F151" s="1647"/>
      <c r="G151" s="1647"/>
      <c r="H151" s="1740"/>
      <c r="I151" s="1652"/>
      <c r="J151" s="1647"/>
    </row>
    <row r="152" spans="1:10" s="1704" customFormat="1" ht="56.25">
      <c r="A152" s="1702"/>
      <c r="B152" s="1636" t="s">
        <v>7271</v>
      </c>
      <c r="D152" s="1705"/>
      <c r="E152" s="1647"/>
      <c r="F152" s="1647"/>
      <c r="G152" s="1647"/>
      <c r="H152" s="1740"/>
      <c r="I152" s="1652"/>
      <c r="J152" s="1647"/>
    </row>
    <row r="153" spans="1:10" s="1704" customFormat="1">
      <c r="A153" s="1702"/>
      <c r="B153" s="1640" t="s">
        <v>7256</v>
      </c>
      <c r="D153" s="1705"/>
      <c r="E153" s="1647"/>
      <c r="F153" s="1647"/>
      <c r="G153" s="1647"/>
      <c r="H153" s="1740"/>
      <c r="I153" s="1652"/>
      <c r="J153" s="1647"/>
    </row>
    <row r="154" spans="1:10" s="1704" customFormat="1">
      <c r="A154" s="1702"/>
      <c r="B154" s="1639" t="s">
        <v>2235</v>
      </c>
      <c r="D154" s="1705"/>
      <c r="E154" s="1647"/>
      <c r="F154" s="1647"/>
      <c r="G154" s="1647"/>
      <c r="H154" s="1740"/>
      <c r="I154" s="1652"/>
      <c r="J154" s="1647"/>
    </row>
    <row r="155" spans="1:10" s="1704" customFormat="1" ht="56.25">
      <c r="A155" s="1702"/>
      <c r="B155" s="1636" t="s">
        <v>7272</v>
      </c>
      <c r="D155" s="1705"/>
      <c r="E155" s="1647"/>
      <c r="F155" s="1647"/>
      <c r="G155" s="1647"/>
      <c r="H155" s="1740"/>
      <c r="I155" s="1652"/>
      <c r="J155" s="1647"/>
    </row>
    <row r="156" spans="1:10" s="1704" customFormat="1">
      <c r="A156" s="1702"/>
      <c r="B156" s="1640" t="s">
        <v>7273</v>
      </c>
      <c r="D156" s="1705"/>
      <c r="E156" s="1647"/>
      <c r="F156" s="1647"/>
      <c r="G156" s="1647"/>
      <c r="H156" s="1740"/>
      <c r="I156" s="1652"/>
      <c r="J156" s="1647"/>
    </row>
    <row r="157" spans="1:10" s="1704" customFormat="1">
      <c r="A157" s="1702"/>
      <c r="B157" s="1640" t="s">
        <v>7274</v>
      </c>
      <c r="D157" s="1705"/>
      <c r="E157" s="1647"/>
      <c r="F157" s="1647"/>
      <c r="G157" s="1647"/>
      <c r="H157" s="1740"/>
      <c r="I157" s="1652"/>
      <c r="J157" s="1647"/>
    </row>
    <row r="158" spans="1:10" s="1704" customFormat="1">
      <c r="A158" s="1702"/>
      <c r="B158" s="1636"/>
      <c r="D158" s="1705"/>
      <c r="E158" s="1647"/>
      <c r="F158" s="1647"/>
      <c r="G158" s="1647"/>
      <c r="H158" s="1740"/>
      <c r="I158" s="1652"/>
      <c r="J158" s="1647"/>
    </row>
    <row r="159" spans="1:10" s="1704" customFormat="1" ht="56.25">
      <c r="A159" s="1702"/>
      <c r="B159" s="1636" t="s">
        <v>7275</v>
      </c>
      <c r="D159" s="1705"/>
      <c r="E159" s="1647"/>
      <c r="F159" s="1647"/>
      <c r="G159" s="1647"/>
      <c r="H159" s="1740"/>
      <c r="I159" s="1652"/>
      <c r="J159" s="1647"/>
    </row>
    <row r="160" spans="1:10" s="1704" customFormat="1">
      <c r="A160" s="1702"/>
      <c r="B160" s="1640" t="s">
        <v>7276</v>
      </c>
      <c r="D160" s="1705"/>
      <c r="E160" s="1647"/>
      <c r="F160" s="1647"/>
      <c r="G160" s="1647"/>
      <c r="H160" s="1740"/>
      <c r="I160" s="1652"/>
      <c r="J160" s="1647"/>
    </row>
    <row r="161" spans="1:10" s="1704" customFormat="1">
      <c r="A161" s="1702"/>
      <c r="B161" s="1640" t="s">
        <v>7256</v>
      </c>
      <c r="D161" s="1705"/>
      <c r="E161" s="1647"/>
      <c r="F161" s="1647"/>
      <c r="G161" s="1647"/>
      <c r="H161" s="1740"/>
      <c r="I161" s="1652"/>
      <c r="J161" s="1647"/>
    </row>
    <row r="162" spans="1:10" s="1704" customFormat="1">
      <c r="A162" s="1702"/>
      <c r="B162" s="1640" t="s">
        <v>7277</v>
      </c>
      <c r="D162" s="1705"/>
      <c r="E162" s="1647"/>
      <c r="F162" s="1647"/>
      <c r="G162" s="1647"/>
      <c r="H162" s="1740"/>
      <c r="I162" s="1652"/>
      <c r="J162" s="1647"/>
    </row>
    <row r="163" spans="1:10" s="1704" customFormat="1">
      <c r="A163" s="1702"/>
      <c r="B163" s="1640" t="s">
        <v>7256</v>
      </c>
      <c r="D163" s="1705"/>
      <c r="E163" s="1647"/>
      <c r="F163" s="1647"/>
      <c r="G163" s="1647"/>
      <c r="H163" s="1740"/>
      <c r="I163" s="1652"/>
      <c r="J163" s="1647"/>
    </row>
    <row r="164" spans="1:10" s="1704" customFormat="1" ht="75">
      <c r="A164" s="1702"/>
      <c r="B164" s="1638" t="s">
        <v>7278</v>
      </c>
      <c r="D164" s="1705"/>
      <c r="E164" s="1647"/>
      <c r="F164" s="1647"/>
      <c r="G164" s="1647"/>
      <c r="H164" s="1740"/>
      <c r="I164" s="1652"/>
      <c r="J164" s="1647"/>
    </row>
    <row r="165" spans="1:10" s="1704" customFormat="1">
      <c r="A165" s="1702"/>
      <c r="B165" s="1640" t="s">
        <v>7279</v>
      </c>
      <c r="D165" s="1705"/>
      <c r="E165" s="1647"/>
      <c r="F165" s="1647"/>
      <c r="G165" s="1647"/>
      <c r="H165" s="1740"/>
      <c r="I165" s="1652"/>
      <c r="J165" s="1647"/>
    </row>
    <row r="166" spans="1:10" s="1704" customFormat="1">
      <c r="A166" s="1702"/>
      <c r="B166" s="1641"/>
      <c r="D166" s="1705"/>
      <c r="E166" s="1647"/>
      <c r="F166" s="1647"/>
      <c r="G166" s="1647"/>
      <c r="H166" s="1740"/>
      <c r="I166" s="1652"/>
      <c r="J166" s="1647"/>
    </row>
    <row r="167" spans="1:10" s="1704" customFormat="1">
      <c r="A167" s="1702"/>
      <c r="B167" s="1640" t="s">
        <v>7280</v>
      </c>
      <c r="D167" s="1705"/>
      <c r="E167" s="1647"/>
      <c r="F167" s="1647"/>
      <c r="G167" s="1647"/>
      <c r="H167" s="1740"/>
      <c r="I167" s="1652"/>
      <c r="J167" s="1647"/>
    </row>
    <row r="168" spans="1:10" s="1704" customFormat="1">
      <c r="A168" s="1702"/>
      <c r="B168" s="1640"/>
      <c r="D168" s="1705"/>
      <c r="E168" s="1647"/>
      <c r="F168" s="1647"/>
      <c r="G168" s="1647"/>
      <c r="H168" s="1740"/>
      <c r="I168" s="1652"/>
      <c r="J168" s="1647"/>
    </row>
    <row r="169" spans="1:10" s="1704" customFormat="1">
      <c r="A169" s="1702"/>
      <c r="B169" s="1640" t="s">
        <v>7281</v>
      </c>
      <c r="D169" s="1705"/>
      <c r="E169" s="1647"/>
      <c r="F169" s="1647"/>
      <c r="G169" s="1647"/>
      <c r="H169" s="1740"/>
      <c r="I169" s="1652"/>
      <c r="J169" s="1647"/>
    </row>
    <row r="170" spans="1:10" s="1704" customFormat="1">
      <c r="A170" s="1702"/>
      <c r="B170" s="1640" t="s">
        <v>7282</v>
      </c>
      <c r="D170" s="1705"/>
      <c r="E170" s="1647"/>
      <c r="F170" s="1647"/>
      <c r="G170" s="1647"/>
      <c r="H170" s="1740"/>
      <c r="I170" s="1652"/>
      <c r="J170" s="1647"/>
    </row>
    <row r="171" spans="1:10" s="1704" customFormat="1">
      <c r="A171" s="1702"/>
      <c r="B171" s="1639"/>
      <c r="D171" s="1705"/>
      <c r="E171" s="1647"/>
      <c r="F171" s="1647"/>
      <c r="G171" s="1647"/>
      <c r="H171" s="1740"/>
      <c r="I171" s="1652"/>
      <c r="J171" s="1647"/>
    </row>
    <row r="172" spans="1:10" s="1704" customFormat="1" ht="112.5">
      <c r="A172" s="1702"/>
      <c r="B172" s="1638" t="s">
        <v>7283</v>
      </c>
      <c r="D172" s="1705"/>
      <c r="E172" s="1647"/>
      <c r="F172" s="1647"/>
      <c r="G172" s="1647"/>
      <c r="H172" s="1740"/>
      <c r="I172" s="1652"/>
      <c r="J172" s="1647"/>
    </row>
    <row r="173" spans="1:10" s="1704" customFormat="1">
      <c r="A173" s="1702"/>
      <c r="B173" s="1638" t="s">
        <v>7284</v>
      </c>
      <c r="D173" s="1705"/>
      <c r="E173" s="1647"/>
      <c r="F173" s="1647"/>
      <c r="G173" s="1647"/>
      <c r="H173" s="1740"/>
      <c r="I173" s="1652"/>
      <c r="J173" s="1647"/>
    </row>
    <row r="174" spans="1:10" s="1704" customFormat="1">
      <c r="A174" s="1702"/>
      <c r="B174" s="1638"/>
      <c r="D174" s="1705"/>
      <c r="E174" s="1647"/>
      <c r="F174" s="1647"/>
      <c r="G174" s="1647"/>
      <c r="H174" s="1740"/>
      <c r="I174" s="1652"/>
      <c r="J174" s="1647"/>
    </row>
    <row r="175" spans="1:10" s="1704" customFormat="1" ht="93.75">
      <c r="A175" s="1702"/>
      <c r="B175" s="1638" t="s">
        <v>7285</v>
      </c>
      <c r="D175" s="1705"/>
      <c r="E175" s="1647"/>
      <c r="F175" s="1647"/>
      <c r="G175" s="1647"/>
      <c r="H175" s="1740"/>
      <c r="I175" s="1652"/>
      <c r="J175" s="1647"/>
    </row>
    <row r="176" spans="1:10" s="1704" customFormat="1">
      <c r="A176" s="1702"/>
      <c r="B176" s="1640" t="s">
        <v>7286</v>
      </c>
      <c r="D176" s="1705"/>
      <c r="E176" s="1647"/>
      <c r="F176" s="1647"/>
      <c r="G176" s="1647"/>
      <c r="H176" s="1740"/>
      <c r="I176" s="1652"/>
      <c r="J176" s="1647"/>
    </row>
    <row r="177" spans="1:10" s="1704" customFormat="1">
      <c r="A177" s="1702"/>
      <c r="B177" s="1640"/>
      <c r="D177" s="1705"/>
      <c r="E177" s="1647"/>
      <c r="F177" s="1647"/>
      <c r="G177" s="1647"/>
      <c r="H177" s="1740"/>
      <c r="I177" s="1652"/>
      <c r="J177" s="1647"/>
    </row>
    <row r="178" spans="1:10" s="1704" customFormat="1" ht="56.25">
      <c r="A178" s="1702"/>
      <c r="B178" s="1638" t="s">
        <v>7287</v>
      </c>
      <c r="D178" s="1705"/>
      <c r="E178" s="1647"/>
      <c r="F178" s="1647"/>
      <c r="G178" s="1647"/>
      <c r="H178" s="1740"/>
      <c r="I178" s="1652"/>
      <c r="J178" s="1647"/>
    </row>
    <row r="179" spans="1:10" s="1704" customFormat="1">
      <c r="A179" s="1702"/>
      <c r="B179" s="1640" t="s">
        <v>7288</v>
      </c>
      <c r="D179" s="1705"/>
      <c r="E179" s="1647"/>
      <c r="F179" s="1647"/>
      <c r="G179" s="1647"/>
      <c r="H179" s="1740"/>
      <c r="I179" s="1652"/>
      <c r="J179" s="1647"/>
    </row>
    <row r="180" spans="1:10" s="1704" customFormat="1">
      <c r="A180" s="1702"/>
      <c r="B180" s="1639"/>
      <c r="D180" s="1705"/>
      <c r="E180" s="1647"/>
      <c r="F180" s="1647"/>
      <c r="G180" s="1647"/>
      <c r="H180" s="1740"/>
      <c r="I180" s="1652"/>
      <c r="J180" s="1647"/>
    </row>
    <row r="181" spans="1:10" s="1704" customFormat="1" ht="37.5">
      <c r="A181" s="1702"/>
      <c r="B181" s="1636" t="s">
        <v>7289</v>
      </c>
      <c r="D181" s="1705"/>
      <c r="E181" s="1647"/>
      <c r="F181" s="1647"/>
      <c r="G181" s="1647"/>
      <c r="H181" s="1740"/>
      <c r="I181" s="1652"/>
      <c r="J181" s="1647"/>
    </row>
    <row r="182" spans="1:10" s="1704" customFormat="1">
      <c r="A182" s="1702"/>
      <c r="B182" s="1636" t="s">
        <v>7290</v>
      </c>
      <c r="D182" s="1705"/>
      <c r="E182" s="1647"/>
      <c r="F182" s="1647"/>
      <c r="G182" s="1647"/>
      <c r="H182" s="1740"/>
      <c r="I182" s="1652"/>
      <c r="J182" s="1647"/>
    </row>
    <row r="183" spans="1:10" s="1704" customFormat="1">
      <c r="A183" s="1702"/>
      <c r="B183" s="1639"/>
      <c r="D183" s="1705"/>
      <c r="E183" s="1647"/>
      <c r="F183" s="1647"/>
      <c r="G183" s="1647"/>
      <c r="H183" s="1740"/>
      <c r="I183" s="1652"/>
      <c r="J183" s="1647"/>
    </row>
    <row r="184" spans="1:10" s="1704" customFormat="1" ht="56.25">
      <c r="A184" s="1702"/>
      <c r="B184" s="1642" t="s">
        <v>7291</v>
      </c>
      <c r="D184" s="1705"/>
      <c r="E184" s="1647"/>
      <c r="F184" s="1647"/>
      <c r="G184" s="1647"/>
      <c r="H184" s="1740"/>
      <c r="I184" s="1652"/>
      <c r="J184" s="1647"/>
    </row>
    <row r="185" spans="1:10" s="1704" customFormat="1">
      <c r="A185" s="1702"/>
      <c r="B185" s="1642" t="s">
        <v>7292</v>
      </c>
      <c r="D185" s="1705"/>
      <c r="E185" s="1647"/>
      <c r="F185" s="1647"/>
      <c r="G185" s="1647"/>
      <c r="H185" s="1740"/>
      <c r="I185" s="1652"/>
      <c r="J185" s="1647"/>
    </row>
    <row r="186" spans="1:10" s="1704" customFormat="1">
      <c r="A186" s="1702"/>
      <c r="B186" s="1642"/>
      <c r="D186" s="1705"/>
      <c r="E186" s="1647"/>
      <c r="F186" s="1647"/>
      <c r="G186" s="1647"/>
      <c r="H186" s="1740"/>
      <c r="I186" s="1652"/>
      <c r="J186" s="1647"/>
    </row>
    <row r="187" spans="1:10" s="1704" customFormat="1" ht="131.25">
      <c r="A187" s="1702"/>
      <c r="B187" s="1642" t="s">
        <v>7293</v>
      </c>
      <c r="D187" s="1705"/>
      <c r="E187" s="1647"/>
      <c r="F187" s="1647"/>
      <c r="G187" s="1647"/>
      <c r="H187" s="1740"/>
      <c r="I187" s="1652"/>
      <c r="J187" s="1647"/>
    </row>
    <row r="188" spans="1:10" s="1704" customFormat="1">
      <c r="A188" s="1702"/>
      <c r="B188" s="1643" t="s">
        <v>7294</v>
      </c>
      <c r="D188" s="1705"/>
      <c r="E188" s="1647"/>
      <c r="F188" s="1647"/>
      <c r="G188" s="1647"/>
      <c r="H188" s="1740"/>
      <c r="I188" s="1652"/>
      <c r="J188" s="1647"/>
    </row>
    <row r="189" spans="1:10" s="1704" customFormat="1">
      <c r="A189" s="1702"/>
      <c r="B189" s="1643" t="s">
        <v>7295</v>
      </c>
      <c r="D189" s="1705"/>
      <c r="E189" s="1647"/>
      <c r="F189" s="1647"/>
      <c r="G189" s="1647"/>
      <c r="H189" s="1740"/>
      <c r="I189" s="1652"/>
      <c r="J189" s="1647"/>
    </row>
    <row r="190" spans="1:10" s="1704" customFormat="1">
      <c r="A190" s="1702"/>
      <c r="B190" s="1643" t="s">
        <v>7296</v>
      </c>
      <c r="D190" s="1705"/>
      <c r="E190" s="1647"/>
      <c r="F190" s="1647"/>
      <c r="G190" s="1647"/>
      <c r="H190" s="1740"/>
      <c r="I190" s="1652"/>
      <c r="J190" s="1647"/>
    </row>
    <row r="191" spans="1:10" s="1704" customFormat="1">
      <c r="A191" s="1702"/>
      <c r="B191" s="1643" t="s">
        <v>7297</v>
      </c>
      <c r="D191" s="1705"/>
      <c r="E191" s="1647"/>
      <c r="F191" s="1647"/>
      <c r="G191" s="1647"/>
      <c r="H191" s="1740"/>
      <c r="I191" s="1652"/>
      <c r="J191" s="1647"/>
    </row>
    <row r="192" spans="1:10" s="1704" customFormat="1">
      <c r="A192" s="1702"/>
      <c r="B192" s="1643" t="s">
        <v>7297</v>
      </c>
      <c r="D192" s="1705"/>
      <c r="E192" s="1647"/>
      <c r="F192" s="1647"/>
      <c r="G192" s="1647"/>
      <c r="H192" s="1740"/>
      <c r="I192" s="1652"/>
      <c r="J192" s="1647"/>
    </row>
    <row r="193" spans="1:10" s="1704" customFormat="1">
      <c r="A193" s="1702"/>
      <c r="B193" s="1643" t="s">
        <v>7298</v>
      </c>
      <c r="D193" s="1705"/>
      <c r="E193" s="1647"/>
      <c r="F193" s="1647"/>
      <c r="G193" s="1647"/>
      <c r="H193" s="1740"/>
      <c r="I193" s="1652"/>
      <c r="J193" s="1647"/>
    </row>
    <row r="194" spans="1:10" s="1704" customFormat="1">
      <c r="A194" s="1702"/>
      <c r="B194" s="1644"/>
      <c r="D194" s="1705"/>
      <c r="E194" s="1647"/>
      <c r="F194" s="1647"/>
      <c r="G194" s="1647"/>
      <c r="H194" s="1740"/>
      <c r="I194" s="1652"/>
      <c r="J194" s="1647"/>
    </row>
    <row r="195" spans="1:10" s="1704" customFormat="1">
      <c r="A195" s="1702"/>
      <c r="B195" s="1644"/>
      <c r="D195" s="1705"/>
      <c r="E195" s="1647"/>
      <c r="F195" s="1647"/>
      <c r="G195" s="1647"/>
      <c r="H195" s="1740"/>
      <c r="I195" s="1652"/>
      <c r="J195" s="1647"/>
    </row>
    <row r="196" spans="1:10" s="1704" customFormat="1" ht="56.25">
      <c r="A196" s="1702"/>
      <c r="B196" s="1645" t="s">
        <v>7299</v>
      </c>
      <c r="D196" s="1705"/>
      <c r="E196" s="1647"/>
      <c r="F196" s="1647"/>
      <c r="G196" s="1647"/>
      <c r="H196" s="1740"/>
      <c r="I196" s="1652"/>
      <c r="J196" s="1647"/>
    </row>
    <row r="197" spans="1:10" s="1704" customFormat="1">
      <c r="A197" s="1702"/>
      <c r="B197" s="1643" t="s">
        <v>7300</v>
      </c>
      <c r="D197" s="1705"/>
      <c r="E197" s="1647"/>
      <c r="F197" s="1647"/>
      <c r="G197" s="1647"/>
      <c r="H197" s="1740"/>
      <c r="I197" s="1652"/>
      <c r="J197" s="1647"/>
    </row>
    <row r="198" spans="1:10" s="1704" customFormat="1">
      <c r="A198" s="1702"/>
      <c r="B198" s="1643" t="s">
        <v>7301</v>
      </c>
      <c r="D198" s="1705"/>
      <c r="E198" s="1647"/>
      <c r="F198" s="1647"/>
      <c r="G198" s="1647"/>
      <c r="H198" s="1740"/>
      <c r="I198" s="1652"/>
      <c r="J198" s="1647"/>
    </row>
    <row r="199" spans="1:10" s="1704" customFormat="1">
      <c r="A199" s="1702"/>
      <c r="B199" s="1643"/>
      <c r="D199" s="1705"/>
      <c r="E199" s="1647"/>
      <c r="F199" s="1647"/>
      <c r="G199" s="1647"/>
      <c r="H199" s="1740"/>
      <c r="I199" s="1652"/>
      <c r="J199" s="1647"/>
    </row>
    <row r="200" spans="1:10" s="1704" customFormat="1" ht="37.5">
      <c r="A200" s="1702"/>
      <c r="B200" s="1637" t="s">
        <v>7302</v>
      </c>
      <c r="D200" s="1705"/>
      <c r="E200" s="1647"/>
      <c r="F200" s="1647"/>
      <c r="G200" s="1647"/>
      <c r="H200" s="1740"/>
      <c r="I200" s="1652"/>
      <c r="J200" s="1647"/>
    </row>
    <row r="201" spans="1:10" s="1704" customFormat="1" ht="37.5">
      <c r="A201" s="1702"/>
      <c r="B201" s="1637" t="s">
        <v>7303</v>
      </c>
      <c r="D201" s="1705"/>
      <c r="E201" s="1647"/>
      <c r="F201" s="1647"/>
      <c r="G201" s="1647"/>
      <c r="H201" s="1740"/>
      <c r="I201" s="1652"/>
      <c r="J201" s="1647"/>
    </row>
    <row r="202" spans="1:10" s="1704" customFormat="1" ht="37.5">
      <c r="A202" s="1702"/>
      <c r="B202" s="1637" t="s">
        <v>7304</v>
      </c>
      <c r="D202" s="1705"/>
      <c r="E202" s="1647"/>
      <c r="F202" s="1647"/>
      <c r="G202" s="1647"/>
      <c r="H202" s="1740"/>
      <c r="I202" s="1652"/>
      <c r="J202" s="1647"/>
    </row>
    <row r="203" spans="1:10" s="1704" customFormat="1" ht="37.5">
      <c r="A203" s="1702"/>
      <c r="B203" s="1637" t="s">
        <v>7305</v>
      </c>
      <c r="D203" s="1705"/>
      <c r="E203" s="1647"/>
      <c r="F203" s="1647"/>
      <c r="G203" s="1647"/>
      <c r="H203" s="1740"/>
      <c r="I203" s="1652"/>
      <c r="J203" s="1647"/>
    </row>
  </sheetData>
  <mergeCells count="15">
    <mergeCell ref="A51:I51"/>
    <mergeCell ref="B6:F6"/>
    <mergeCell ref="B9:F9"/>
    <mergeCell ref="B11:F11"/>
    <mergeCell ref="B13:G13"/>
    <mergeCell ref="B38:G38"/>
    <mergeCell ref="B41:G41"/>
    <mergeCell ref="A1:I1"/>
    <mergeCell ref="A2:I2"/>
    <mergeCell ref="A3:I3"/>
    <mergeCell ref="A4:A5"/>
    <mergeCell ref="B4:B5"/>
    <mergeCell ref="C4:D5"/>
    <mergeCell ref="E4:G4"/>
    <mergeCell ref="H4:H5"/>
  </mergeCells>
  <pageMargins left="0.56999999999999995" right="0.22" top="0.34" bottom="0.16" header="0.16" footer="0.25"/>
  <pageSetup paperSize="9" scale="86" orientation="portrait" verticalDpi="300" r:id="rId1"/>
  <headerFooter>
    <oddHeader>&amp;R&amp;P</oddHead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8"/>
  <sheetViews>
    <sheetView view="pageBreakPreview" topLeftCell="A52" workbookViewId="0">
      <selection activeCell="B27" sqref="B27"/>
    </sheetView>
  </sheetViews>
  <sheetFormatPr defaultRowHeight="18.75"/>
  <cols>
    <col min="1" max="1" width="4.88671875" style="1861" customWidth="1"/>
    <col min="2" max="2" width="31.109375" style="1742" customWidth="1"/>
    <col min="3" max="3" width="4.44140625" style="1861" customWidth="1"/>
    <col min="4" max="4" width="5.109375" style="1862" customWidth="1"/>
    <col min="5" max="5" width="7.77734375" style="1863" customWidth="1"/>
    <col min="6" max="7" width="7.5546875" style="1863" customWidth="1"/>
    <col min="8" max="8" width="8.109375" style="1864" customWidth="1"/>
    <col min="9" max="9" width="5.6640625" style="1742" customWidth="1"/>
    <col min="10" max="10" width="12.109375" style="1742" customWidth="1"/>
    <col min="11" max="11" width="8.88671875" style="1742"/>
    <col min="12" max="12" width="11" style="1742" customWidth="1"/>
    <col min="13" max="256" width="8.88671875" style="1742"/>
    <col min="257" max="257" width="4.88671875" style="1742" customWidth="1"/>
    <col min="258" max="258" width="33" style="1742" customWidth="1"/>
    <col min="259" max="259" width="4.44140625" style="1742" customWidth="1"/>
    <col min="260" max="260" width="5.109375" style="1742" customWidth="1"/>
    <col min="261" max="261" width="8.88671875" style="1742" customWidth="1"/>
    <col min="262" max="263" width="7.5546875" style="1742" customWidth="1"/>
    <col min="264" max="264" width="9.109375" style="1742" customWidth="1"/>
    <col min="265" max="265" width="3.88671875" style="1742" customWidth="1"/>
    <col min="266" max="266" width="12.109375" style="1742" customWidth="1"/>
    <col min="267" max="267" width="8.88671875" style="1742"/>
    <col min="268" max="268" width="11" style="1742" customWidth="1"/>
    <col min="269" max="512" width="8.88671875" style="1742"/>
    <col min="513" max="513" width="4.88671875" style="1742" customWidth="1"/>
    <col min="514" max="514" width="33" style="1742" customWidth="1"/>
    <col min="515" max="515" width="4.44140625" style="1742" customWidth="1"/>
    <col min="516" max="516" width="5.109375" style="1742" customWidth="1"/>
    <col min="517" max="517" width="8.88671875" style="1742" customWidth="1"/>
    <col min="518" max="519" width="7.5546875" style="1742" customWidth="1"/>
    <col min="520" max="520" width="9.109375" style="1742" customWidth="1"/>
    <col min="521" max="521" width="3.88671875" style="1742" customWidth="1"/>
    <col min="522" max="522" width="12.109375" style="1742" customWidth="1"/>
    <col min="523" max="523" width="8.88671875" style="1742"/>
    <col min="524" max="524" width="11" style="1742" customWidth="1"/>
    <col min="525" max="768" width="8.88671875" style="1742"/>
    <col min="769" max="769" width="4.88671875" style="1742" customWidth="1"/>
    <col min="770" max="770" width="33" style="1742" customWidth="1"/>
    <col min="771" max="771" width="4.44140625" style="1742" customWidth="1"/>
    <col min="772" max="772" width="5.109375" style="1742" customWidth="1"/>
    <col min="773" max="773" width="8.88671875" style="1742" customWidth="1"/>
    <col min="774" max="775" width="7.5546875" style="1742" customWidth="1"/>
    <col min="776" max="776" width="9.109375" style="1742" customWidth="1"/>
    <col min="777" max="777" width="3.88671875" style="1742" customWidth="1"/>
    <col min="778" max="778" width="12.109375" style="1742" customWidth="1"/>
    <col min="779" max="779" width="8.88671875" style="1742"/>
    <col min="780" max="780" width="11" style="1742" customWidth="1"/>
    <col min="781" max="1024" width="8.88671875" style="1742"/>
    <col min="1025" max="1025" width="4.88671875" style="1742" customWidth="1"/>
    <col min="1026" max="1026" width="33" style="1742" customWidth="1"/>
    <col min="1027" max="1027" width="4.44140625" style="1742" customWidth="1"/>
    <col min="1028" max="1028" width="5.109375" style="1742" customWidth="1"/>
    <col min="1029" max="1029" width="8.88671875" style="1742" customWidth="1"/>
    <col min="1030" max="1031" width="7.5546875" style="1742" customWidth="1"/>
    <col min="1032" max="1032" width="9.109375" style="1742" customWidth="1"/>
    <col min="1033" max="1033" width="3.88671875" style="1742" customWidth="1"/>
    <col min="1034" max="1034" width="12.109375" style="1742" customWidth="1"/>
    <col min="1035" max="1035" width="8.88671875" style="1742"/>
    <col min="1036" max="1036" width="11" style="1742" customWidth="1"/>
    <col min="1037" max="1280" width="8.88671875" style="1742"/>
    <col min="1281" max="1281" width="4.88671875" style="1742" customWidth="1"/>
    <col min="1282" max="1282" width="33" style="1742" customWidth="1"/>
    <col min="1283" max="1283" width="4.44140625" style="1742" customWidth="1"/>
    <col min="1284" max="1284" width="5.109375" style="1742" customWidth="1"/>
    <col min="1285" max="1285" width="8.88671875" style="1742" customWidth="1"/>
    <col min="1286" max="1287" width="7.5546875" style="1742" customWidth="1"/>
    <col min="1288" max="1288" width="9.109375" style="1742" customWidth="1"/>
    <col min="1289" max="1289" width="3.88671875" style="1742" customWidth="1"/>
    <col min="1290" max="1290" width="12.109375" style="1742" customWidth="1"/>
    <col min="1291" max="1291" width="8.88671875" style="1742"/>
    <col min="1292" max="1292" width="11" style="1742" customWidth="1"/>
    <col min="1293" max="1536" width="8.88671875" style="1742"/>
    <col min="1537" max="1537" width="4.88671875" style="1742" customWidth="1"/>
    <col min="1538" max="1538" width="33" style="1742" customWidth="1"/>
    <col min="1539" max="1539" width="4.44140625" style="1742" customWidth="1"/>
    <col min="1540" max="1540" width="5.109375" style="1742" customWidth="1"/>
    <col min="1541" max="1541" width="8.88671875" style="1742" customWidth="1"/>
    <col min="1542" max="1543" width="7.5546875" style="1742" customWidth="1"/>
    <col min="1544" max="1544" width="9.109375" style="1742" customWidth="1"/>
    <col min="1545" max="1545" width="3.88671875" style="1742" customWidth="1"/>
    <col min="1546" max="1546" width="12.109375" style="1742" customWidth="1"/>
    <col min="1547" max="1547" width="8.88671875" style="1742"/>
    <col min="1548" max="1548" width="11" style="1742" customWidth="1"/>
    <col min="1549" max="1792" width="8.88671875" style="1742"/>
    <col min="1793" max="1793" width="4.88671875" style="1742" customWidth="1"/>
    <col min="1794" max="1794" width="33" style="1742" customWidth="1"/>
    <col min="1795" max="1795" width="4.44140625" style="1742" customWidth="1"/>
    <col min="1796" max="1796" width="5.109375" style="1742" customWidth="1"/>
    <col min="1797" max="1797" width="8.88671875" style="1742" customWidth="1"/>
    <col min="1798" max="1799" width="7.5546875" style="1742" customWidth="1"/>
    <col min="1800" max="1800" width="9.109375" style="1742" customWidth="1"/>
    <col min="1801" max="1801" width="3.88671875" style="1742" customWidth="1"/>
    <col min="1802" max="1802" width="12.109375" style="1742" customWidth="1"/>
    <col min="1803" max="1803" width="8.88671875" style="1742"/>
    <col min="1804" max="1804" width="11" style="1742" customWidth="1"/>
    <col min="1805" max="2048" width="8.88671875" style="1742"/>
    <col min="2049" max="2049" width="4.88671875" style="1742" customWidth="1"/>
    <col min="2050" max="2050" width="33" style="1742" customWidth="1"/>
    <col min="2051" max="2051" width="4.44140625" style="1742" customWidth="1"/>
    <col min="2052" max="2052" width="5.109375" style="1742" customWidth="1"/>
    <col min="2053" max="2053" width="8.88671875" style="1742" customWidth="1"/>
    <col min="2054" max="2055" width="7.5546875" style="1742" customWidth="1"/>
    <col min="2056" max="2056" width="9.109375" style="1742" customWidth="1"/>
    <col min="2057" max="2057" width="3.88671875" style="1742" customWidth="1"/>
    <col min="2058" max="2058" width="12.109375" style="1742" customWidth="1"/>
    <col min="2059" max="2059" width="8.88671875" style="1742"/>
    <col min="2060" max="2060" width="11" style="1742" customWidth="1"/>
    <col min="2061" max="2304" width="8.88671875" style="1742"/>
    <col min="2305" max="2305" width="4.88671875" style="1742" customWidth="1"/>
    <col min="2306" max="2306" width="33" style="1742" customWidth="1"/>
    <col min="2307" max="2307" width="4.44140625" style="1742" customWidth="1"/>
    <col min="2308" max="2308" width="5.109375" style="1742" customWidth="1"/>
    <col min="2309" max="2309" width="8.88671875" style="1742" customWidth="1"/>
    <col min="2310" max="2311" width="7.5546875" style="1742" customWidth="1"/>
    <col min="2312" max="2312" width="9.109375" style="1742" customWidth="1"/>
    <col min="2313" max="2313" width="3.88671875" style="1742" customWidth="1"/>
    <col min="2314" max="2314" width="12.109375" style="1742" customWidth="1"/>
    <col min="2315" max="2315" width="8.88671875" style="1742"/>
    <col min="2316" max="2316" width="11" style="1742" customWidth="1"/>
    <col min="2317" max="2560" width="8.88671875" style="1742"/>
    <col min="2561" max="2561" width="4.88671875" style="1742" customWidth="1"/>
    <col min="2562" max="2562" width="33" style="1742" customWidth="1"/>
    <col min="2563" max="2563" width="4.44140625" style="1742" customWidth="1"/>
    <col min="2564" max="2564" width="5.109375" style="1742" customWidth="1"/>
    <col min="2565" max="2565" width="8.88671875" style="1742" customWidth="1"/>
    <col min="2566" max="2567" width="7.5546875" style="1742" customWidth="1"/>
    <col min="2568" max="2568" width="9.109375" style="1742" customWidth="1"/>
    <col min="2569" max="2569" width="3.88671875" style="1742" customWidth="1"/>
    <col min="2570" max="2570" width="12.109375" style="1742" customWidth="1"/>
    <col min="2571" max="2571" width="8.88671875" style="1742"/>
    <col min="2572" max="2572" width="11" style="1742" customWidth="1"/>
    <col min="2573" max="2816" width="8.88671875" style="1742"/>
    <col min="2817" max="2817" width="4.88671875" style="1742" customWidth="1"/>
    <col min="2818" max="2818" width="33" style="1742" customWidth="1"/>
    <col min="2819" max="2819" width="4.44140625" style="1742" customWidth="1"/>
    <col min="2820" max="2820" width="5.109375" style="1742" customWidth="1"/>
    <col min="2821" max="2821" width="8.88671875" style="1742" customWidth="1"/>
    <col min="2822" max="2823" width="7.5546875" style="1742" customWidth="1"/>
    <col min="2824" max="2824" width="9.109375" style="1742" customWidth="1"/>
    <col min="2825" max="2825" width="3.88671875" style="1742" customWidth="1"/>
    <col min="2826" max="2826" width="12.109375" style="1742" customWidth="1"/>
    <col min="2827" max="2827" width="8.88671875" style="1742"/>
    <col min="2828" max="2828" width="11" style="1742" customWidth="1"/>
    <col min="2829" max="3072" width="8.88671875" style="1742"/>
    <col min="3073" max="3073" width="4.88671875" style="1742" customWidth="1"/>
    <col min="3074" max="3074" width="33" style="1742" customWidth="1"/>
    <col min="3075" max="3075" width="4.44140625" style="1742" customWidth="1"/>
    <col min="3076" max="3076" width="5.109375" style="1742" customWidth="1"/>
    <col min="3077" max="3077" width="8.88671875" style="1742" customWidth="1"/>
    <col min="3078" max="3079" width="7.5546875" style="1742" customWidth="1"/>
    <col min="3080" max="3080" width="9.109375" style="1742" customWidth="1"/>
    <col min="3081" max="3081" width="3.88671875" style="1742" customWidth="1"/>
    <col min="3082" max="3082" width="12.109375" style="1742" customWidth="1"/>
    <col min="3083" max="3083" width="8.88671875" style="1742"/>
    <col min="3084" max="3084" width="11" style="1742" customWidth="1"/>
    <col min="3085" max="3328" width="8.88671875" style="1742"/>
    <col min="3329" max="3329" width="4.88671875" style="1742" customWidth="1"/>
    <col min="3330" max="3330" width="33" style="1742" customWidth="1"/>
    <col min="3331" max="3331" width="4.44140625" style="1742" customWidth="1"/>
    <col min="3332" max="3332" width="5.109375" style="1742" customWidth="1"/>
    <col min="3333" max="3333" width="8.88671875" style="1742" customWidth="1"/>
    <col min="3334" max="3335" width="7.5546875" style="1742" customWidth="1"/>
    <col min="3336" max="3336" width="9.109375" style="1742" customWidth="1"/>
    <col min="3337" max="3337" width="3.88671875" style="1742" customWidth="1"/>
    <col min="3338" max="3338" width="12.109375" style="1742" customWidth="1"/>
    <col min="3339" max="3339" width="8.88671875" style="1742"/>
    <col min="3340" max="3340" width="11" style="1742" customWidth="1"/>
    <col min="3341" max="3584" width="8.88671875" style="1742"/>
    <col min="3585" max="3585" width="4.88671875" style="1742" customWidth="1"/>
    <col min="3586" max="3586" width="33" style="1742" customWidth="1"/>
    <col min="3587" max="3587" width="4.44140625" style="1742" customWidth="1"/>
    <col min="3588" max="3588" width="5.109375" style="1742" customWidth="1"/>
    <col min="3589" max="3589" width="8.88671875" style="1742" customWidth="1"/>
    <col min="3590" max="3591" width="7.5546875" style="1742" customWidth="1"/>
    <col min="3592" max="3592" width="9.109375" style="1742" customWidth="1"/>
    <col min="3593" max="3593" width="3.88671875" style="1742" customWidth="1"/>
    <col min="3594" max="3594" width="12.109375" style="1742" customWidth="1"/>
    <col min="3595" max="3595" width="8.88671875" style="1742"/>
    <col min="3596" max="3596" width="11" style="1742" customWidth="1"/>
    <col min="3597" max="3840" width="8.88671875" style="1742"/>
    <col min="3841" max="3841" width="4.88671875" style="1742" customWidth="1"/>
    <col min="3842" max="3842" width="33" style="1742" customWidth="1"/>
    <col min="3843" max="3843" width="4.44140625" style="1742" customWidth="1"/>
    <col min="3844" max="3844" width="5.109375" style="1742" customWidth="1"/>
    <col min="3845" max="3845" width="8.88671875" style="1742" customWidth="1"/>
    <col min="3846" max="3847" width="7.5546875" style="1742" customWidth="1"/>
    <col min="3848" max="3848" width="9.109375" style="1742" customWidth="1"/>
    <col min="3849" max="3849" width="3.88671875" style="1742" customWidth="1"/>
    <col min="3850" max="3850" width="12.109375" style="1742" customWidth="1"/>
    <col min="3851" max="3851" width="8.88671875" style="1742"/>
    <col min="3852" max="3852" width="11" style="1742" customWidth="1"/>
    <col min="3853" max="4096" width="8.88671875" style="1742"/>
    <col min="4097" max="4097" width="4.88671875" style="1742" customWidth="1"/>
    <col min="4098" max="4098" width="33" style="1742" customWidth="1"/>
    <col min="4099" max="4099" width="4.44140625" style="1742" customWidth="1"/>
    <col min="4100" max="4100" width="5.109375" style="1742" customWidth="1"/>
    <col min="4101" max="4101" width="8.88671875" style="1742" customWidth="1"/>
    <col min="4102" max="4103" width="7.5546875" style="1742" customWidth="1"/>
    <col min="4104" max="4104" width="9.109375" style="1742" customWidth="1"/>
    <col min="4105" max="4105" width="3.88671875" style="1742" customWidth="1"/>
    <col min="4106" max="4106" width="12.109375" style="1742" customWidth="1"/>
    <col min="4107" max="4107" width="8.88671875" style="1742"/>
    <col min="4108" max="4108" width="11" style="1742" customWidth="1"/>
    <col min="4109" max="4352" width="8.88671875" style="1742"/>
    <col min="4353" max="4353" width="4.88671875" style="1742" customWidth="1"/>
    <col min="4354" max="4354" width="33" style="1742" customWidth="1"/>
    <col min="4355" max="4355" width="4.44140625" style="1742" customWidth="1"/>
    <col min="4356" max="4356" width="5.109375" style="1742" customWidth="1"/>
    <col min="4357" max="4357" width="8.88671875" style="1742" customWidth="1"/>
    <col min="4358" max="4359" width="7.5546875" style="1742" customWidth="1"/>
    <col min="4360" max="4360" width="9.109375" style="1742" customWidth="1"/>
    <col min="4361" max="4361" width="3.88671875" style="1742" customWidth="1"/>
    <col min="4362" max="4362" width="12.109375" style="1742" customWidth="1"/>
    <col min="4363" max="4363" width="8.88671875" style="1742"/>
    <col min="4364" max="4364" width="11" style="1742" customWidth="1"/>
    <col min="4365" max="4608" width="8.88671875" style="1742"/>
    <col min="4609" max="4609" width="4.88671875" style="1742" customWidth="1"/>
    <col min="4610" max="4610" width="33" style="1742" customWidth="1"/>
    <col min="4611" max="4611" width="4.44140625" style="1742" customWidth="1"/>
    <col min="4612" max="4612" width="5.109375" style="1742" customWidth="1"/>
    <col min="4613" max="4613" width="8.88671875" style="1742" customWidth="1"/>
    <col min="4614" max="4615" width="7.5546875" style="1742" customWidth="1"/>
    <col min="4616" max="4616" width="9.109375" style="1742" customWidth="1"/>
    <col min="4617" max="4617" width="3.88671875" style="1742" customWidth="1"/>
    <col min="4618" max="4618" width="12.109375" style="1742" customWidth="1"/>
    <col min="4619" max="4619" width="8.88671875" style="1742"/>
    <col min="4620" max="4620" width="11" style="1742" customWidth="1"/>
    <col min="4621" max="4864" width="8.88671875" style="1742"/>
    <col min="4865" max="4865" width="4.88671875" style="1742" customWidth="1"/>
    <col min="4866" max="4866" width="33" style="1742" customWidth="1"/>
    <col min="4867" max="4867" width="4.44140625" style="1742" customWidth="1"/>
    <col min="4868" max="4868" width="5.109375" style="1742" customWidth="1"/>
    <col min="4869" max="4869" width="8.88671875" style="1742" customWidth="1"/>
    <col min="4870" max="4871" width="7.5546875" style="1742" customWidth="1"/>
    <col min="4872" max="4872" width="9.109375" style="1742" customWidth="1"/>
    <col min="4873" max="4873" width="3.88671875" style="1742" customWidth="1"/>
    <col min="4874" max="4874" width="12.109375" style="1742" customWidth="1"/>
    <col min="4875" max="4875" width="8.88671875" style="1742"/>
    <col min="4876" max="4876" width="11" style="1742" customWidth="1"/>
    <col min="4877" max="5120" width="8.88671875" style="1742"/>
    <col min="5121" max="5121" width="4.88671875" style="1742" customWidth="1"/>
    <col min="5122" max="5122" width="33" style="1742" customWidth="1"/>
    <col min="5123" max="5123" width="4.44140625" style="1742" customWidth="1"/>
    <col min="5124" max="5124" width="5.109375" style="1742" customWidth="1"/>
    <col min="5125" max="5125" width="8.88671875" style="1742" customWidth="1"/>
    <col min="5126" max="5127" width="7.5546875" style="1742" customWidth="1"/>
    <col min="5128" max="5128" width="9.109375" style="1742" customWidth="1"/>
    <col min="5129" max="5129" width="3.88671875" style="1742" customWidth="1"/>
    <col min="5130" max="5130" width="12.109375" style="1742" customWidth="1"/>
    <col min="5131" max="5131" width="8.88671875" style="1742"/>
    <col min="5132" max="5132" width="11" style="1742" customWidth="1"/>
    <col min="5133" max="5376" width="8.88671875" style="1742"/>
    <col min="5377" max="5377" width="4.88671875" style="1742" customWidth="1"/>
    <col min="5378" max="5378" width="33" style="1742" customWidth="1"/>
    <col min="5379" max="5379" width="4.44140625" style="1742" customWidth="1"/>
    <col min="5380" max="5380" width="5.109375" style="1742" customWidth="1"/>
    <col min="5381" max="5381" width="8.88671875" style="1742" customWidth="1"/>
    <col min="5382" max="5383" width="7.5546875" style="1742" customWidth="1"/>
    <col min="5384" max="5384" width="9.109375" style="1742" customWidth="1"/>
    <col min="5385" max="5385" width="3.88671875" style="1742" customWidth="1"/>
    <col min="5386" max="5386" width="12.109375" style="1742" customWidth="1"/>
    <col min="5387" max="5387" width="8.88671875" style="1742"/>
    <col min="5388" max="5388" width="11" style="1742" customWidth="1"/>
    <col min="5389" max="5632" width="8.88671875" style="1742"/>
    <col min="5633" max="5633" width="4.88671875" style="1742" customWidth="1"/>
    <col min="5634" max="5634" width="33" style="1742" customWidth="1"/>
    <col min="5635" max="5635" width="4.44140625" style="1742" customWidth="1"/>
    <col min="5636" max="5636" width="5.109375" style="1742" customWidth="1"/>
    <col min="5637" max="5637" width="8.88671875" style="1742" customWidth="1"/>
    <col min="5638" max="5639" width="7.5546875" style="1742" customWidth="1"/>
    <col min="5640" max="5640" width="9.109375" style="1742" customWidth="1"/>
    <col min="5641" max="5641" width="3.88671875" style="1742" customWidth="1"/>
    <col min="5642" max="5642" width="12.109375" style="1742" customWidth="1"/>
    <col min="5643" max="5643" width="8.88671875" style="1742"/>
    <col min="5644" max="5644" width="11" style="1742" customWidth="1"/>
    <col min="5645" max="5888" width="8.88671875" style="1742"/>
    <col min="5889" max="5889" width="4.88671875" style="1742" customWidth="1"/>
    <col min="5890" max="5890" width="33" style="1742" customWidth="1"/>
    <col min="5891" max="5891" width="4.44140625" style="1742" customWidth="1"/>
    <col min="5892" max="5892" width="5.109375" style="1742" customWidth="1"/>
    <col min="5893" max="5893" width="8.88671875" style="1742" customWidth="1"/>
    <col min="5894" max="5895" width="7.5546875" style="1742" customWidth="1"/>
    <col min="5896" max="5896" width="9.109375" style="1742" customWidth="1"/>
    <col min="5897" max="5897" width="3.88671875" style="1742" customWidth="1"/>
    <col min="5898" max="5898" width="12.109375" style="1742" customWidth="1"/>
    <col min="5899" max="5899" width="8.88671875" style="1742"/>
    <col min="5900" max="5900" width="11" style="1742" customWidth="1"/>
    <col min="5901" max="6144" width="8.88671875" style="1742"/>
    <col min="6145" max="6145" width="4.88671875" style="1742" customWidth="1"/>
    <col min="6146" max="6146" width="33" style="1742" customWidth="1"/>
    <col min="6147" max="6147" width="4.44140625" style="1742" customWidth="1"/>
    <col min="6148" max="6148" width="5.109375" style="1742" customWidth="1"/>
    <col min="6149" max="6149" width="8.88671875" style="1742" customWidth="1"/>
    <col min="6150" max="6151" width="7.5546875" style="1742" customWidth="1"/>
    <col min="6152" max="6152" width="9.109375" style="1742" customWidth="1"/>
    <col min="6153" max="6153" width="3.88671875" style="1742" customWidth="1"/>
    <col min="6154" max="6154" width="12.109375" style="1742" customWidth="1"/>
    <col min="6155" max="6155" width="8.88671875" style="1742"/>
    <col min="6156" max="6156" width="11" style="1742" customWidth="1"/>
    <col min="6157" max="6400" width="8.88671875" style="1742"/>
    <col min="6401" max="6401" width="4.88671875" style="1742" customWidth="1"/>
    <col min="6402" max="6402" width="33" style="1742" customWidth="1"/>
    <col min="6403" max="6403" width="4.44140625" style="1742" customWidth="1"/>
    <col min="6404" max="6404" width="5.109375" style="1742" customWidth="1"/>
    <col min="6405" max="6405" width="8.88671875" style="1742" customWidth="1"/>
    <col min="6406" max="6407" width="7.5546875" style="1742" customWidth="1"/>
    <col min="6408" max="6408" width="9.109375" style="1742" customWidth="1"/>
    <col min="6409" max="6409" width="3.88671875" style="1742" customWidth="1"/>
    <col min="6410" max="6410" width="12.109375" style="1742" customWidth="1"/>
    <col min="6411" max="6411" width="8.88671875" style="1742"/>
    <col min="6412" max="6412" width="11" style="1742" customWidth="1"/>
    <col min="6413" max="6656" width="8.88671875" style="1742"/>
    <col min="6657" max="6657" width="4.88671875" style="1742" customWidth="1"/>
    <col min="6658" max="6658" width="33" style="1742" customWidth="1"/>
    <col min="6659" max="6659" width="4.44140625" style="1742" customWidth="1"/>
    <col min="6660" max="6660" width="5.109375" style="1742" customWidth="1"/>
    <col min="6661" max="6661" width="8.88671875" style="1742" customWidth="1"/>
    <col min="6662" max="6663" width="7.5546875" style="1742" customWidth="1"/>
    <col min="6664" max="6664" width="9.109375" style="1742" customWidth="1"/>
    <col min="6665" max="6665" width="3.88671875" style="1742" customWidth="1"/>
    <col min="6666" max="6666" width="12.109375" style="1742" customWidth="1"/>
    <col min="6667" max="6667" width="8.88671875" style="1742"/>
    <col min="6668" max="6668" width="11" style="1742" customWidth="1"/>
    <col min="6669" max="6912" width="8.88671875" style="1742"/>
    <col min="6913" max="6913" width="4.88671875" style="1742" customWidth="1"/>
    <col min="6914" max="6914" width="33" style="1742" customWidth="1"/>
    <col min="6915" max="6915" width="4.44140625" style="1742" customWidth="1"/>
    <col min="6916" max="6916" width="5.109375" style="1742" customWidth="1"/>
    <col min="6917" max="6917" width="8.88671875" style="1742" customWidth="1"/>
    <col min="6918" max="6919" width="7.5546875" style="1742" customWidth="1"/>
    <col min="6920" max="6920" width="9.109375" style="1742" customWidth="1"/>
    <col min="6921" max="6921" width="3.88671875" style="1742" customWidth="1"/>
    <col min="6922" max="6922" width="12.109375" style="1742" customWidth="1"/>
    <col min="6923" max="6923" width="8.88671875" style="1742"/>
    <col min="6924" max="6924" width="11" style="1742" customWidth="1"/>
    <col min="6925" max="7168" width="8.88671875" style="1742"/>
    <col min="7169" max="7169" width="4.88671875" style="1742" customWidth="1"/>
    <col min="7170" max="7170" width="33" style="1742" customWidth="1"/>
    <col min="7171" max="7171" width="4.44140625" style="1742" customWidth="1"/>
    <col min="7172" max="7172" width="5.109375" style="1742" customWidth="1"/>
    <col min="7173" max="7173" width="8.88671875" style="1742" customWidth="1"/>
    <col min="7174" max="7175" width="7.5546875" style="1742" customWidth="1"/>
    <col min="7176" max="7176" width="9.109375" style="1742" customWidth="1"/>
    <col min="7177" max="7177" width="3.88671875" style="1742" customWidth="1"/>
    <col min="7178" max="7178" width="12.109375" style="1742" customWidth="1"/>
    <col min="7179" max="7179" width="8.88671875" style="1742"/>
    <col min="7180" max="7180" width="11" style="1742" customWidth="1"/>
    <col min="7181" max="7424" width="8.88671875" style="1742"/>
    <col min="7425" max="7425" width="4.88671875" style="1742" customWidth="1"/>
    <col min="7426" max="7426" width="33" style="1742" customWidth="1"/>
    <col min="7427" max="7427" width="4.44140625" style="1742" customWidth="1"/>
    <col min="7428" max="7428" width="5.109375" style="1742" customWidth="1"/>
    <col min="7429" max="7429" width="8.88671875" style="1742" customWidth="1"/>
    <col min="7430" max="7431" width="7.5546875" style="1742" customWidth="1"/>
    <col min="7432" max="7432" width="9.109375" style="1742" customWidth="1"/>
    <col min="7433" max="7433" width="3.88671875" style="1742" customWidth="1"/>
    <col min="7434" max="7434" width="12.109375" style="1742" customWidth="1"/>
    <col min="7435" max="7435" width="8.88671875" style="1742"/>
    <col min="7436" max="7436" width="11" style="1742" customWidth="1"/>
    <col min="7437" max="7680" width="8.88671875" style="1742"/>
    <col min="7681" max="7681" width="4.88671875" style="1742" customWidth="1"/>
    <col min="7682" max="7682" width="33" style="1742" customWidth="1"/>
    <col min="7683" max="7683" width="4.44140625" style="1742" customWidth="1"/>
    <col min="7684" max="7684" width="5.109375" style="1742" customWidth="1"/>
    <col min="7685" max="7685" width="8.88671875" style="1742" customWidth="1"/>
    <col min="7686" max="7687" width="7.5546875" style="1742" customWidth="1"/>
    <col min="7688" max="7688" width="9.109375" style="1742" customWidth="1"/>
    <col min="7689" max="7689" width="3.88671875" style="1742" customWidth="1"/>
    <col min="7690" max="7690" width="12.109375" style="1742" customWidth="1"/>
    <col min="7691" max="7691" width="8.88671875" style="1742"/>
    <col min="7692" max="7692" width="11" style="1742" customWidth="1"/>
    <col min="7693" max="7936" width="8.88671875" style="1742"/>
    <col min="7937" max="7937" width="4.88671875" style="1742" customWidth="1"/>
    <col min="7938" max="7938" width="33" style="1742" customWidth="1"/>
    <col min="7939" max="7939" width="4.44140625" style="1742" customWidth="1"/>
    <col min="7940" max="7940" width="5.109375" style="1742" customWidth="1"/>
    <col min="7941" max="7941" width="8.88671875" style="1742" customWidth="1"/>
    <col min="7942" max="7943" width="7.5546875" style="1742" customWidth="1"/>
    <col min="7944" max="7944" width="9.109375" style="1742" customWidth="1"/>
    <col min="7945" max="7945" width="3.88671875" style="1742" customWidth="1"/>
    <col min="7946" max="7946" width="12.109375" style="1742" customWidth="1"/>
    <col min="7947" max="7947" width="8.88671875" style="1742"/>
    <col min="7948" max="7948" width="11" style="1742" customWidth="1"/>
    <col min="7949" max="8192" width="8.88671875" style="1742"/>
    <col min="8193" max="8193" width="4.88671875" style="1742" customWidth="1"/>
    <col min="8194" max="8194" width="33" style="1742" customWidth="1"/>
    <col min="8195" max="8195" width="4.44140625" style="1742" customWidth="1"/>
    <col min="8196" max="8196" width="5.109375" style="1742" customWidth="1"/>
    <col min="8197" max="8197" width="8.88671875" style="1742" customWidth="1"/>
    <col min="8198" max="8199" width="7.5546875" style="1742" customWidth="1"/>
    <col min="8200" max="8200" width="9.109375" style="1742" customWidth="1"/>
    <col min="8201" max="8201" width="3.88671875" style="1742" customWidth="1"/>
    <col min="8202" max="8202" width="12.109375" style="1742" customWidth="1"/>
    <col min="8203" max="8203" width="8.88671875" style="1742"/>
    <col min="8204" max="8204" width="11" style="1742" customWidth="1"/>
    <col min="8205" max="8448" width="8.88671875" style="1742"/>
    <col min="8449" max="8449" width="4.88671875" style="1742" customWidth="1"/>
    <col min="8450" max="8450" width="33" style="1742" customWidth="1"/>
    <col min="8451" max="8451" width="4.44140625" style="1742" customWidth="1"/>
    <col min="8452" max="8452" width="5.109375" style="1742" customWidth="1"/>
    <col min="8453" max="8453" width="8.88671875" style="1742" customWidth="1"/>
    <col min="8454" max="8455" width="7.5546875" style="1742" customWidth="1"/>
    <col min="8456" max="8456" width="9.109375" style="1742" customWidth="1"/>
    <col min="8457" max="8457" width="3.88671875" style="1742" customWidth="1"/>
    <col min="8458" max="8458" width="12.109375" style="1742" customWidth="1"/>
    <col min="8459" max="8459" width="8.88671875" style="1742"/>
    <col min="8460" max="8460" width="11" style="1742" customWidth="1"/>
    <col min="8461" max="8704" width="8.88671875" style="1742"/>
    <col min="8705" max="8705" width="4.88671875" style="1742" customWidth="1"/>
    <col min="8706" max="8706" width="33" style="1742" customWidth="1"/>
    <col min="8707" max="8707" width="4.44140625" style="1742" customWidth="1"/>
    <col min="8708" max="8708" width="5.109375" style="1742" customWidth="1"/>
    <col min="8709" max="8709" width="8.88671875" style="1742" customWidth="1"/>
    <col min="8710" max="8711" width="7.5546875" style="1742" customWidth="1"/>
    <col min="8712" max="8712" width="9.109375" style="1742" customWidth="1"/>
    <col min="8713" max="8713" width="3.88671875" style="1742" customWidth="1"/>
    <col min="8714" max="8714" width="12.109375" style="1742" customWidth="1"/>
    <col min="8715" max="8715" width="8.88671875" style="1742"/>
    <col min="8716" max="8716" width="11" style="1742" customWidth="1"/>
    <col min="8717" max="8960" width="8.88671875" style="1742"/>
    <col min="8961" max="8961" width="4.88671875" style="1742" customWidth="1"/>
    <col min="8962" max="8962" width="33" style="1742" customWidth="1"/>
    <col min="8963" max="8963" width="4.44140625" style="1742" customWidth="1"/>
    <col min="8964" max="8964" width="5.109375" style="1742" customWidth="1"/>
    <col min="8965" max="8965" width="8.88671875" style="1742" customWidth="1"/>
    <col min="8966" max="8967" width="7.5546875" style="1742" customWidth="1"/>
    <col min="8968" max="8968" width="9.109375" style="1742" customWidth="1"/>
    <col min="8969" max="8969" width="3.88671875" style="1742" customWidth="1"/>
    <col min="8970" max="8970" width="12.109375" style="1742" customWidth="1"/>
    <col min="8971" max="8971" width="8.88671875" style="1742"/>
    <col min="8972" max="8972" width="11" style="1742" customWidth="1"/>
    <col min="8973" max="9216" width="8.88671875" style="1742"/>
    <col min="9217" max="9217" width="4.88671875" style="1742" customWidth="1"/>
    <col min="9218" max="9218" width="33" style="1742" customWidth="1"/>
    <col min="9219" max="9219" width="4.44140625" style="1742" customWidth="1"/>
    <col min="9220" max="9220" width="5.109375" style="1742" customWidth="1"/>
    <col min="9221" max="9221" width="8.88671875" style="1742" customWidth="1"/>
    <col min="9222" max="9223" width="7.5546875" style="1742" customWidth="1"/>
    <col min="9224" max="9224" width="9.109375" style="1742" customWidth="1"/>
    <col min="9225" max="9225" width="3.88671875" style="1742" customWidth="1"/>
    <col min="9226" max="9226" width="12.109375" style="1742" customWidth="1"/>
    <col min="9227" max="9227" width="8.88671875" style="1742"/>
    <col min="9228" max="9228" width="11" style="1742" customWidth="1"/>
    <col min="9229" max="9472" width="8.88671875" style="1742"/>
    <col min="9473" max="9473" width="4.88671875" style="1742" customWidth="1"/>
    <col min="9474" max="9474" width="33" style="1742" customWidth="1"/>
    <col min="9475" max="9475" width="4.44140625" style="1742" customWidth="1"/>
    <col min="9476" max="9476" width="5.109375" style="1742" customWidth="1"/>
    <col min="9477" max="9477" width="8.88671875" style="1742" customWidth="1"/>
    <col min="9478" max="9479" width="7.5546875" style="1742" customWidth="1"/>
    <col min="9480" max="9480" width="9.109375" style="1742" customWidth="1"/>
    <col min="9481" max="9481" width="3.88671875" style="1742" customWidth="1"/>
    <col min="9482" max="9482" width="12.109375" style="1742" customWidth="1"/>
    <col min="9483" max="9483" width="8.88671875" style="1742"/>
    <col min="9484" max="9484" width="11" style="1742" customWidth="1"/>
    <col min="9485" max="9728" width="8.88671875" style="1742"/>
    <col min="9729" max="9729" width="4.88671875" style="1742" customWidth="1"/>
    <col min="9730" max="9730" width="33" style="1742" customWidth="1"/>
    <col min="9731" max="9731" width="4.44140625" style="1742" customWidth="1"/>
    <col min="9732" max="9732" width="5.109375" style="1742" customWidth="1"/>
    <col min="9733" max="9733" width="8.88671875" style="1742" customWidth="1"/>
    <col min="9734" max="9735" width="7.5546875" style="1742" customWidth="1"/>
    <col min="9736" max="9736" width="9.109375" style="1742" customWidth="1"/>
    <col min="9737" max="9737" width="3.88671875" style="1742" customWidth="1"/>
    <col min="9738" max="9738" width="12.109375" style="1742" customWidth="1"/>
    <col min="9739" max="9739" width="8.88671875" style="1742"/>
    <col min="9740" max="9740" width="11" style="1742" customWidth="1"/>
    <col min="9741" max="9984" width="8.88671875" style="1742"/>
    <col min="9985" max="9985" width="4.88671875" style="1742" customWidth="1"/>
    <col min="9986" max="9986" width="33" style="1742" customWidth="1"/>
    <col min="9987" max="9987" width="4.44140625" style="1742" customWidth="1"/>
    <col min="9988" max="9988" width="5.109375" style="1742" customWidth="1"/>
    <col min="9989" max="9989" width="8.88671875" style="1742" customWidth="1"/>
    <col min="9990" max="9991" width="7.5546875" style="1742" customWidth="1"/>
    <col min="9992" max="9992" width="9.109375" style="1742" customWidth="1"/>
    <col min="9993" max="9993" width="3.88671875" style="1742" customWidth="1"/>
    <col min="9994" max="9994" width="12.109375" style="1742" customWidth="1"/>
    <col min="9995" max="9995" width="8.88671875" style="1742"/>
    <col min="9996" max="9996" width="11" style="1742" customWidth="1"/>
    <col min="9997" max="10240" width="8.88671875" style="1742"/>
    <col min="10241" max="10241" width="4.88671875" style="1742" customWidth="1"/>
    <col min="10242" max="10242" width="33" style="1742" customWidth="1"/>
    <col min="10243" max="10243" width="4.44140625" style="1742" customWidth="1"/>
    <col min="10244" max="10244" width="5.109375" style="1742" customWidth="1"/>
    <col min="10245" max="10245" width="8.88671875" style="1742" customWidth="1"/>
    <col min="10246" max="10247" width="7.5546875" style="1742" customWidth="1"/>
    <col min="10248" max="10248" width="9.109375" style="1742" customWidth="1"/>
    <col min="10249" max="10249" width="3.88671875" style="1742" customWidth="1"/>
    <col min="10250" max="10250" width="12.109375" style="1742" customWidth="1"/>
    <col min="10251" max="10251" width="8.88671875" style="1742"/>
    <col min="10252" max="10252" width="11" style="1742" customWidth="1"/>
    <col min="10253" max="10496" width="8.88671875" style="1742"/>
    <col min="10497" max="10497" width="4.88671875" style="1742" customWidth="1"/>
    <col min="10498" max="10498" width="33" style="1742" customWidth="1"/>
    <col min="10499" max="10499" width="4.44140625" style="1742" customWidth="1"/>
    <col min="10500" max="10500" width="5.109375" style="1742" customWidth="1"/>
    <col min="10501" max="10501" width="8.88671875" style="1742" customWidth="1"/>
    <col min="10502" max="10503" width="7.5546875" style="1742" customWidth="1"/>
    <col min="10504" max="10504" width="9.109375" style="1742" customWidth="1"/>
    <col min="10505" max="10505" width="3.88671875" style="1742" customWidth="1"/>
    <col min="10506" max="10506" width="12.109375" style="1742" customWidth="1"/>
    <col min="10507" max="10507" width="8.88671875" style="1742"/>
    <col min="10508" max="10508" width="11" style="1742" customWidth="1"/>
    <col min="10509" max="10752" width="8.88671875" style="1742"/>
    <col min="10753" max="10753" width="4.88671875" style="1742" customWidth="1"/>
    <col min="10754" max="10754" width="33" style="1742" customWidth="1"/>
    <col min="10755" max="10755" width="4.44140625" style="1742" customWidth="1"/>
    <col min="10756" max="10756" width="5.109375" style="1742" customWidth="1"/>
    <col min="10757" max="10757" width="8.88671875" style="1742" customWidth="1"/>
    <col min="10758" max="10759" width="7.5546875" style="1742" customWidth="1"/>
    <col min="10760" max="10760" width="9.109375" style="1742" customWidth="1"/>
    <col min="10761" max="10761" width="3.88671875" style="1742" customWidth="1"/>
    <col min="10762" max="10762" width="12.109375" style="1742" customWidth="1"/>
    <col min="10763" max="10763" width="8.88671875" style="1742"/>
    <col min="10764" max="10764" width="11" style="1742" customWidth="1"/>
    <col min="10765" max="11008" width="8.88671875" style="1742"/>
    <col min="11009" max="11009" width="4.88671875" style="1742" customWidth="1"/>
    <col min="11010" max="11010" width="33" style="1742" customWidth="1"/>
    <col min="11011" max="11011" width="4.44140625" style="1742" customWidth="1"/>
    <col min="11012" max="11012" width="5.109375" style="1742" customWidth="1"/>
    <col min="11013" max="11013" width="8.88671875" style="1742" customWidth="1"/>
    <col min="11014" max="11015" width="7.5546875" style="1742" customWidth="1"/>
    <col min="11016" max="11016" width="9.109375" style="1742" customWidth="1"/>
    <col min="11017" max="11017" width="3.88671875" style="1742" customWidth="1"/>
    <col min="11018" max="11018" width="12.109375" style="1742" customWidth="1"/>
    <col min="11019" max="11019" width="8.88671875" style="1742"/>
    <col min="11020" max="11020" width="11" style="1742" customWidth="1"/>
    <col min="11021" max="11264" width="8.88671875" style="1742"/>
    <col min="11265" max="11265" width="4.88671875" style="1742" customWidth="1"/>
    <col min="11266" max="11266" width="33" style="1742" customWidth="1"/>
    <col min="11267" max="11267" width="4.44140625" style="1742" customWidth="1"/>
    <col min="11268" max="11268" width="5.109375" style="1742" customWidth="1"/>
    <col min="11269" max="11269" width="8.88671875" style="1742" customWidth="1"/>
    <col min="11270" max="11271" width="7.5546875" style="1742" customWidth="1"/>
    <col min="11272" max="11272" width="9.109375" style="1742" customWidth="1"/>
    <col min="11273" max="11273" width="3.88671875" style="1742" customWidth="1"/>
    <col min="11274" max="11274" width="12.109375" style="1742" customWidth="1"/>
    <col min="11275" max="11275" width="8.88671875" style="1742"/>
    <col min="11276" max="11276" width="11" style="1742" customWidth="1"/>
    <col min="11277" max="11520" width="8.88671875" style="1742"/>
    <col min="11521" max="11521" width="4.88671875" style="1742" customWidth="1"/>
    <col min="11522" max="11522" width="33" style="1742" customWidth="1"/>
    <col min="11523" max="11523" width="4.44140625" style="1742" customWidth="1"/>
    <col min="11524" max="11524" width="5.109375" style="1742" customWidth="1"/>
    <col min="11525" max="11525" width="8.88671875" style="1742" customWidth="1"/>
    <col min="11526" max="11527" width="7.5546875" style="1742" customWidth="1"/>
    <col min="11528" max="11528" width="9.109375" style="1742" customWidth="1"/>
    <col min="11529" max="11529" width="3.88671875" style="1742" customWidth="1"/>
    <col min="11530" max="11530" width="12.109375" style="1742" customWidth="1"/>
    <col min="11531" max="11531" width="8.88671875" style="1742"/>
    <col min="11532" max="11532" width="11" style="1742" customWidth="1"/>
    <col min="11533" max="11776" width="8.88671875" style="1742"/>
    <col min="11777" max="11777" width="4.88671875" style="1742" customWidth="1"/>
    <col min="11778" max="11778" width="33" style="1742" customWidth="1"/>
    <col min="11779" max="11779" width="4.44140625" style="1742" customWidth="1"/>
    <col min="11780" max="11780" width="5.109375" style="1742" customWidth="1"/>
    <col min="11781" max="11781" width="8.88671875" style="1742" customWidth="1"/>
    <col min="11782" max="11783" width="7.5546875" style="1742" customWidth="1"/>
    <col min="11784" max="11784" width="9.109375" style="1742" customWidth="1"/>
    <col min="11785" max="11785" width="3.88671875" style="1742" customWidth="1"/>
    <col min="11786" max="11786" width="12.109375" style="1742" customWidth="1"/>
    <col min="11787" max="11787" width="8.88671875" style="1742"/>
    <col min="11788" max="11788" width="11" style="1742" customWidth="1"/>
    <col min="11789" max="12032" width="8.88671875" style="1742"/>
    <col min="12033" max="12033" width="4.88671875" style="1742" customWidth="1"/>
    <col min="12034" max="12034" width="33" style="1742" customWidth="1"/>
    <col min="12035" max="12035" width="4.44140625" style="1742" customWidth="1"/>
    <col min="12036" max="12036" width="5.109375" style="1742" customWidth="1"/>
    <col min="12037" max="12037" width="8.88671875" style="1742" customWidth="1"/>
    <col min="12038" max="12039" width="7.5546875" style="1742" customWidth="1"/>
    <col min="12040" max="12040" width="9.109375" style="1742" customWidth="1"/>
    <col min="12041" max="12041" width="3.88671875" style="1742" customWidth="1"/>
    <col min="12042" max="12042" width="12.109375" style="1742" customWidth="1"/>
    <col min="12043" max="12043" width="8.88671875" style="1742"/>
    <col min="12044" max="12044" width="11" style="1742" customWidth="1"/>
    <col min="12045" max="12288" width="8.88671875" style="1742"/>
    <col min="12289" max="12289" width="4.88671875" style="1742" customWidth="1"/>
    <col min="12290" max="12290" width="33" style="1742" customWidth="1"/>
    <col min="12291" max="12291" width="4.44140625" style="1742" customWidth="1"/>
    <col min="12292" max="12292" width="5.109375" style="1742" customWidth="1"/>
    <col min="12293" max="12293" width="8.88671875" style="1742" customWidth="1"/>
    <col min="12294" max="12295" width="7.5546875" style="1742" customWidth="1"/>
    <col min="12296" max="12296" width="9.109375" style="1742" customWidth="1"/>
    <col min="12297" max="12297" width="3.88671875" style="1742" customWidth="1"/>
    <col min="12298" max="12298" width="12.109375" style="1742" customWidth="1"/>
    <col min="12299" max="12299" width="8.88671875" style="1742"/>
    <col min="12300" max="12300" width="11" style="1742" customWidth="1"/>
    <col min="12301" max="12544" width="8.88671875" style="1742"/>
    <col min="12545" max="12545" width="4.88671875" style="1742" customWidth="1"/>
    <col min="12546" max="12546" width="33" style="1742" customWidth="1"/>
    <col min="12547" max="12547" width="4.44140625" style="1742" customWidth="1"/>
    <col min="12548" max="12548" width="5.109375" style="1742" customWidth="1"/>
    <col min="12549" max="12549" width="8.88671875" style="1742" customWidth="1"/>
    <col min="12550" max="12551" width="7.5546875" style="1742" customWidth="1"/>
    <col min="12552" max="12552" width="9.109375" style="1742" customWidth="1"/>
    <col min="12553" max="12553" width="3.88671875" style="1742" customWidth="1"/>
    <col min="12554" max="12554" width="12.109375" style="1742" customWidth="1"/>
    <col min="12555" max="12555" width="8.88671875" style="1742"/>
    <col min="12556" max="12556" width="11" style="1742" customWidth="1"/>
    <col min="12557" max="12800" width="8.88671875" style="1742"/>
    <col min="12801" max="12801" width="4.88671875" style="1742" customWidth="1"/>
    <col min="12802" max="12802" width="33" style="1742" customWidth="1"/>
    <col min="12803" max="12803" width="4.44140625" style="1742" customWidth="1"/>
    <col min="12804" max="12804" width="5.109375" style="1742" customWidth="1"/>
    <col min="12805" max="12805" width="8.88671875" style="1742" customWidth="1"/>
    <col min="12806" max="12807" width="7.5546875" style="1742" customWidth="1"/>
    <col min="12808" max="12808" width="9.109375" style="1742" customWidth="1"/>
    <col min="12809" max="12809" width="3.88671875" style="1742" customWidth="1"/>
    <col min="12810" max="12810" width="12.109375" style="1742" customWidth="1"/>
    <col min="12811" max="12811" width="8.88671875" style="1742"/>
    <col min="12812" max="12812" width="11" style="1742" customWidth="1"/>
    <col min="12813" max="13056" width="8.88671875" style="1742"/>
    <col min="13057" max="13057" width="4.88671875" style="1742" customWidth="1"/>
    <col min="13058" max="13058" width="33" style="1742" customWidth="1"/>
    <col min="13059" max="13059" width="4.44140625" style="1742" customWidth="1"/>
    <col min="13060" max="13060" width="5.109375" style="1742" customWidth="1"/>
    <col min="13061" max="13061" width="8.88671875" style="1742" customWidth="1"/>
    <col min="13062" max="13063" width="7.5546875" style="1742" customWidth="1"/>
    <col min="13064" max="13064" width="9.109375" style="1742" customWidth="1"/>
    <col min="13065" max="13065" width="3.88671875" style="1742" customWidth="1"/>
    <col min="13066" max="13066" width="12.109375" style="1742" customWidth="1"/>
    <col min="13067" max="13067" width="8.88671875" style="1742"/>
    <col min="13068" max="13068" width="11" style="1742" customWidth="1"/>
    <col min="13069" max="13312" width="8.88671875" style="1742"/>
    <col min="13313" max="13313" width="4.88671875" style="1742" customWidth="1"/>
    <col min="13314" max="13314" width="33" style="1742" customWidth="1"/>
    <col min="13315" max="13315" width="4.44140625" style="1742" customWidth="1"/>
    <col min="13316" max="13316" width="5.109375" style="1742" customWidth="1"/>
    <col min="13317" max="13317" width="8.88671875" style="1742" customWidth="1"/>
    <col min="13318" max="13319" width="7.5546875" style="1742" customWidth="1"/>
    <col min="13320" max="13320" width="9.109375" style="1742" customWidth="1"/>
    <col min="13321" max="13321" width="3.88671875" style="1742" customWidth="1"/>
    <col min="13322" max="13322" width="12.109375" style="1742" customWidth="1"/>
    <col min="13323" max="13323" width="8.88671875" style="1742"/>
    <col min="13324" max="13324" width="11" style="1742" customWidth="1"/>
    <col min="13325" max="13568" width="8.88671875" style="1742"/>
    <col min="13569" max="13569" width="4.88671875" style="1742" customWidth="1"/>
    <col min="13570" max="13570" width="33" style="1742" customWidth="1"/>
    <col min="13571" max="13571" width="4.44140625" style="1742" customWidth="1"/>
    <col min="13572" max="13572" width="5.109375" style="1742" customWidth="1"/>
    <col min="13573" max="13573" width="8.88671875" style="1742" customWidth="1"/>
    <col min="13574" max="13575" width="7.5546875" style="1742" customWidth="1"/>
    <col min="13576" max="13576" width="9.109375" style="1742" customWidth="1"/>
    <col min="13577" max="13577" width="3.88671875" style="1742" customWidth="1"/>
    <col min="13578" max="13578" width="12.109375" style="1742" customWidth="1"/>
    <col min="13579" max="13579" width="8.88671875" style="1742"/>
    <col min="13580" max="13580" width="11" style="1742" customWidth="1"/>
    <col min="13581" max="13824" width="8.88671875" style="1742"/>
    <col min="13825" max="13825" width="4.88671875" style="1742" customWidth="1"/>
    <col min="13826" max="13826" width="33" style="1742" customWidth="1"/>
    <col min="13827" max="13827" width="4.44140625" style="1742" customWidth="1"/>
    <col min="13828" max="13828" width="5.109375" style="1742" customWidth="1"/>
    <col min="13829" max="13829" width="8.88671875" style="1742" customWidth="1"/>
    <col min="13830" max="13831" width="7.5546875" style="1742" customWidth="1"/>
    <col min="13832" max="13832" width="9.109375" style="1742" customWidth="1"/>
    <col min="13833" max="13833" width="3.88671875" style="1742" customWidth="1"/>
    <col min="13834" max="13834" width="12.109375" style="1742" customWidth="1"/>
    <col min="13835" max="13835" width="8.88671875" style="1742"/>
    <col min="13836" max="13836" width="11" style="1742" customWidth="1"/>
    <col min="13837" max="14080" width="8.88671875" style="1742"/>
    <col min="14081" max="14081" width="4.88671875" style="1742" customWidth="1"/>
    <col min="14082" max="14082" width="33" style="1742" customWidth="1"/>
    <col min="14083" max="14083" width="4.44140625" style="1742" customWidth="1"/>
    <col min="14084" max="14084" width="5.109375" style="1742" customWidth="1"/>
    <col min="14085" max="14085" width="8.88671875" style="1742" customWidth="1"/>
    <col min="14086" max="14087" width="7.5546875" style="1742" customWidth="1"/>
    <col min="14088" max="14088" width="9.109375" style="1742" customWidth="1"/>
    <col min="14089" max="14089" width="3.88671875" style="1742" customWidth="1"/>
    <col min="14090" max="14090" width="12.109375" style="1742" customWidth="1"/>
    <col min="14091" max="14091" width="8.88671875" style="1742"/>
    <col min="14092" max="14092" width="11" style="1742" customWidth="1"/>
    <col min="14093" max="14336" width="8.88671875" style="1742"/>
    <col min="14337" max="14337" width="4.88671875" style="1742" customWidth="1"/>
    <col min="14338" max="14338" width="33" style="1742" customWidth="1"/>
    <col min="14339" max="14339" width="4.44140625" style="1742" customWidth="1"/>
    <col min="14340" max="14340" width="5.109375" style="1742" customWidth="1"/>
    <col min="14341" max="14341" width="8.88671875" style="1742" customWidth="1"/>
    <col min="14342" max="14343" width="7.5546875" style="1742" customWidth="1"/>
    <col min="14344" max="14344" width="9.109375" style="1742" customWidth="1"/>
    <col min="14345" max="14345" width="3.88671875" style="1742" customWidth="1"/>
    <col min="14346" max="14346" width="12.109375" style="1742" customWidth="1"/>
    <col min="14347" max="14347" width="8.88671875" style="1742"/>
    <col min="14348" max="14348" width="11" style="1742" customWidth="1"/>
    <col min="14349" max="14592" width="8.88671875" style="1742"/>
    <col min="14593" max="14593" width="4.88671875" style="1742" customWidth="1"/>
    <col min="14594" max="14594" width="33" style="1742" customWidth="1"/>
    <col min="14595" max="14595" width="4.44140625" style="1742" customWidth="1"/>
    <col min="14596" max="14596" width="5.109375" style="1742" customWidth="1"/>
    <col min="14597" max="14597" width="8.88671875" style="1742" customWidth="1"/>
    <col min="14598" max="14599" width="7.5546875" style="1742" customWidth="1"/>
    <col min="14600" max="14600" width="9.109375" style="1742" customWidth="1"/>
    <col min="14601" max="14601" width="3.88671875" style="1742" customWidth="1"/>
    <col min="14602" max="14602" width="12.109375" style="1742" customWidth="1"/>
    <col min="14603" max="14603" width="8.88671875" style="1742"/>
    <col min="14604" max="14604" width="11" style="1742" customWidth="1"/>
    <col min="14605" max="14848" width="8.88671875" style="1742"/>
    <col min="14849" max="14849" width="4.88671875" style="1742" customWidth="1"/>
    <col min="14850" max="14850" width="33" style="1742" customWidth="1"/>
    <col min="14851" max="14851" width="4.44140625" style="1742" customWidth="1"/>
    <col min="14852" max="14852" width="5.109375" style="1742" customWidth="1"/>
    <col min="14853" max="14853" width="8.88671875" style="1742" customWidth="1"/>
    <col min="14854" max="14855" width="7.5546875" style="1742" customWidth="1"/>
    <col min="14856" max="14856" width="9.109375" style="1742" customWidth="1"/>
    <col min="14857" max="14857" width="3.88671875" style="1742" customWidth="1"/>
    <col min="14858" max="14858" width="12.109375" style="1742" customWidth="1"/>
    <col min="14859" max="14859" width="8.88671875" style="1742"/>
    <col min="14860" max="14860" width="11" style="1742" customWidth="1"/>
    <col min="14861" max="15104" width="8.88671875" style="1742"/>
    <col min="15105" max="15105" width="4.88671875" style="1742" customWidth="1"/>
    <col min="15106" max="15106" width="33" style="1742" customWidth="1"/>
    <col min="15107" max="15107" width="4.44140625" style="1742" customWidth="1"/>
    <col min="15108" max="15108" width="5.109375" style="1742" customWidth="1"/>
    <col min="15109" max="15109" width="8.88671875" style="1742" customWidth="1"/>
    <col min="15110" max="15111" width="7.5546875" style="1742" customWidth="1"/>
    <col min="15112" max="15112" width="9.109375" style="1742" customWidth="1"/>
    <col min="15113" max="15113" width="3.88671875" style="1742" customWidth="1"/>
    <col min="15114" max="15114" width="12.109375" style="1742" customWidth="1"/>
    <col min="15115" max="15115" width="8.88671875" style="1742"/>
    <col min="15116" max="15116" width="11" style="1742" customWidth="1"/>
    <col min="15117" max="15360" width="8.88671875" style="1742"/>
    <col min="15361" max="15361" width="4.88671875" style="1742" customWidth="1"/>
    <col min="15362" max="15362" width="33" style="1742" customWidth="1"/>
    <col min="15363" max="15363" width="4.44140625" style="1742" customWidth="1"/>
    <col min="15364" max="15364" width="5.109375" style="1742" customWidth="1"/>
    <col min="15365" max="15365" width="8.88671875" style="1742" customWidth="1"/>
    <col min="15366" max="15367" width="7.5546875" style="1742" customWidth="1"/>
    <col min="15368" max="15368" width="9.109375" style="1742" customWidth="1"/>
    <col min="15369" max="15369" width="3.88671875" style="1742" customWidth="1"/>
    <col min="15370" max="15370" width="12.109375" style="1742" customWidth="1"/>
    <col min="15371" max="15371" width="8.88671875" style="1742"/>
    <col min="15372" max="15372" width="11" style="1742" customWidth="1"/>
    <col min="15373" max="15616" width="8.88671875" style="1742"/>
    <col min="15617" max="15617" width="4.88671875" style="1742" customWidth="1"/>
    <col min="15618" max="15618" width="33" style="1742" customWidth="1"/>
    <col min="15619" max="15619" width="4.44140625" style="1742" customWidth="1"/>
    <col min="15620" max="15620" width="5.109375" style="1742" customWidth="1"/>
    <col min="15621" max="15621" width="8.88671875" style="1742" customWidth="1"/>
    <col min="15622" max="15623" width="7.5546875" style="1742" customWidth="1"/>
    <col min="15624" max="15624" width="9.109375" style="1742" customWidth="1"/>
    <col min="15625" max="15625" width="3.88671875" style="1742" customWidth="1"/>
    <col min="15626" max="15626" width="12.109375" style="1742" customWidth="1"/>
    <col min="15627" max="15627" width="8.88671875" style="1742"/>
    <col min="15628" max="15628" width="11" style="1742" customWidth="1"/>
    <col min="15629" max="15872" width="8.88671875" style="1742"/>
    <col min="15873" max="15873" width="4.88671875" style="1742" customWidth="1"/>
    <col min="15874" max="15874" width="33" style="1742" customWidth="1"/>
    <col min="15875" max="15875" width="4.44140625" style="1742" customWidth="1"/>
    <col min="15876" max="15876" width="5.109375" style="1742" customWidth="1"/>
    <col min="15877" max="15877" width="8.88671875" style="1742" customWidth="1"/>
    <col min="15878" max="15879" width="7.5546875" style="1742" customWidth="1"/>
    <col min="15880" max="15880" width="9.109375" style="1742" customWidth="1"/>
    <col min="15881" max="15881" width="3.88671875" style="1742" customWidth="1"/>
    <col min="15882" max="15882" width="12.109375" style="1742" customWidth="1"/>
    <col min="15883" max="15883" width="8.88671875" style="1742"/>
    <col min="15884" max="15884" width="11" style="1742" customWidth="1"/>
    <col min="15885" max="16128" width="8.88671875" style="1742"/>
    <col min="16129" max="16129" width="4.88671875" style="1742" customWidth="1"/>
    <col min="16130" max="16130" width="33" style="1742" customWidth="1"/>
    <col min="16131" max="16131" width="4.44140625" style="1742" customWidth="1"/>
    <col min="16132" max="16132" width="5.109375" style="1742" customWidth="1"/>
    <col min="16133" max="16133" width="8.88671875" style="1742" customWidth="1"/>
    <col min="16134" max="16135" width="7.5546875" style="1742" customWidth="1"/>
    <col min="16136" max="16136" width="9.109375" style="1742" customWidth="1"/>
    <col min="16137" max="16137" width="3.88671875" style="1742" customWidth="1"/>
    <col min="16138" max="16138" width="12.109375" style="1742" customWidth="1"/>
    <col min="16139" max="16139" width="8.88671875" style="1742"/>
    <col min="16140" max="16140" width="11" style="1742" customWidth="1"/>
    <col min="16141" max="16384" width="8.88671875" style="1742"/>
  </cols>
  <sheetData>
    <row r="1" spans="1:11" ht="68.25" customHeight="1">
      <c r="A1" s="1741" t="str">
        <f>'water supply'!A1:I1</f>
        <v>Name of work: Construction of DSP camp office cum Residence with development works at Cuddalore New town in Cuddalore District</v>
      </c>
      <c r="B1" s="1741"/>
      <c r="C1" s="1741"/>
      <c r="D1" s="1741"/>
      <c r="E1" s="1741"/>
      <c r="F1" s="1741"/>
      <c r="G1" s="1741"/>
      <c r="H1" s="1741"/>
      <c r="I1" s="1741"/>
    </row>
    <row r="2" spans="1:11" ht="29.25" customHeight="1">
      <c r="A2" s="1743"/>
      <c r="B2" s="1741" t="s">
        <v>6733</v>
      </c>
      <c r="C2" s="1741"/>
      <c r="D2" s="1741"/>
      <c r="E2" s="1741"/>
      <c r="F2" s="1741"/>
      <c r="G2" s="1741"/>
      <c r="H2" s="1741"/>
      <c r="I2" s="1743"/>
    </row>
    <row r="3" spans="1:11" ht="31.5" customHeight="1">
      <c r="A3" s="1744" t="s">
        <v>7117</v>
      </c>
      <c r="B3" s="1744"/>
      <c r="C3" s="1744"/>
      <c r="D3" s="1744"/>
      <c r="E3" s="1744"/>
      <c r="F3" s="1744"/>
      <c r="G3" s="1744"/>
      <c r="H3" s="1744"/>
      <c r="I3" s="1744"/>
    </row>
    <row r="4" spans="1:11" ht="27" customHeight="1">
      <c r="A4" s="1745" t="s">
        <v>7085</v>
      </c>
      <c r="B4" s="1746" t="s">
        <v>7218</v>
      </c>
      <c r="C4" s="1746" t="s">
        <v>1427</v>
      </c>
      <c r="D4" s="1746"/>
      <c r="E4" s="1746" t="s">
        <v>7382</v>
      </c>
      <c r="F4" s="1746"/>
      <c r="G4" s="1746"/>
      <c r="H4" s="1746" t="s">
        <v>1034</v>
      </c>
      <c r="I4" s="1747"/>
    </row>
    <row r="5" spans="1:11" ht="20.25" customHeight="1">
      <c r="A5" s="1745"/>
      <c r="B5" s="1746"/>
      <c r="C5" s="1746"/>
      <c r="D5" s="1746"/>
      <c r="E5" s="1748" t="s">
        <v>5797</v>
      </c>
      <c r="F5" s="1748" t="s">
        <v>1548</v>
      </c>
      <c r="G5" s="1748" t="s">
        <v>5798</v>
      </c>
      <c r="H5" s="1746"/>
      <c r="I5" s="1747"/>
    </row>
    <row r="6" spans="1:11" s="1747" customFormat="1" ht="116.25" customHeight="1">
      <c r="A6" s="1677">
        <v>1</v>
      </c>
      <c r="B6" s="1290" t="s">
        <v>7383</v>
      </c>
      <c r="C6" s="1290"/>
      <c r="D6" s="1290"/>
      <c r="E6" s="1290"/>
      <c r="F6" s="1749"/>
      <c r="G6" s="1749"/>
      <c r="H6" s="1750"/>
    </row>
    <row r="7" spans="1:11" s="1756" customFormat="1" ht="24.75" customHeight="1">
      <c r="A7" s="1751"/>
      <c r="B7" s="1752" t="s">
        <v>7384</v>
      </c>
      <c r="C7" s="1751"/>
      <c r="D7" s="1753"/>
      <c r="E7" s="1754"/>
      <c r="F7" s="1754"/>
      <c r="G7" s="1754"/>
      <c r="H7" s="1755"/>
    </row>
    <row r="8" spans="1:11" s="1756" customFormat="1" ht="51.75" customHeight="1">
      <c r="A8" s="1751"/>
      <c r="B8" s="1757" t="s">
        <v>7385</v>
      </c>
      <c r="C8" s="1751">
        <v>1</v>
      </c>
      <c r="D8" s="1753">
        <v>39</v>
      </c>
      <c r="E8" s="1754"/>
      <c r="F8" s="1754"/>
      <c r="G8" s="1754"/>
      <c r="H8" s="1754">
        <f>PRODUCT(C8:G8)</f>
        <v>39</v>
      </c>
    </row>
    <row r="9" spans="1:11" s="1756" customFormat="1" ht="20.25" customHeight="1">
      <c r="A9" s="1751"/>
      <c r="B9" s="1758"/>
      <c r="C9" s="1751"/>
      <c r="D9" s="1753"/>
      <c r="E9" s="1754"/>
      <c r="F9" s="1754"/>
      <c r="G9" s="1755" t="s">
        <v>2235</v>
      </c>
      <c r="H9" s="1755">
        <f>SUM(H8:H8)</f>
        <v>39</v>
      </c>
      <c r="I9" s="1756" t="s">
        <v>1427</v>
      </c>
    </row>
    <row r="10" spans="1:11" s="1764" customFormat="1" ht="117.75" customHeight="1">
      <c r="A10" s="1759">
        <v>2</v>
      </c>
      <c r="B10" s="1760" t="s">
        <v>7386</v>
      </c>
      <c r="C10" s="1760"/>
      <c r="D10" s="1760"/>
      <c r="E10" s="1760"/>
      <c r="F10" s="1761"/>
      <c r="G10" s="1761"/>
      <c r="H10" s="1762"/>
      <c r="I10" s="1763"/>
      <c r="K10" s="1765"/>
    </row>
    <row r="11" spans="1:11" s="1772" customFormat="1" ht="26.25" customHeight="1">
      <c r="A11" s="1766"/>
      <c r="B11" s="1767" t="s">
        <v>7387</v>
      </c>
      <c r="C11" s="1768">
        <v>1</v>
      </c>
      <c r="D11" s="873">
        <v>12</v>
      </c>
      <c r="E11" s="1769"/>
      <c r="F11" s="1769"/>
      <c r="G11" s="1769"/>
      <c r="H11" s="1770">
        <f>PRODUCT(C11:G11)</f>
        <v>12</v>
      </c>
      <c r="I11" s="1771"/>
      <c r="K11" s="1773"/>
    </row>
    <row r="12" spans="1:11" s="1764" customFormat="1" ht="26.25" customHeight="1">
      <c r="A12" s="1774"/>
      <c r="B12" s="1775"/>
      <c r="C12" s="1776"/>
      <c r="D12" s="1776"/>
      <c r="E12" s="1776"/>
      <c r="F12" s="1776"/>
      <c r="G12" s="1777" t="s">
        <v>2235</v>
      </c>
      <c r="H12" s="1778">
        <f>SUM(H11:H11)</f>
        <v>12</v>
      </c>
      <c r="I12" s="1779" t="s">
        <v>1427</v>
      </c>
      <c r="J12" s="1780"/>
    </row>
    <row r="13" spans="1:11" ht="86.25" customHeight="1">
      <c r="A13" s="1781">
        <v>3</v>
      </c>
      <c r="B13" s="1782" t="s">
        <v>7388</v>
      </c>
      <c r="C13" s="1782"/>
      <c r="D13" s="1782"/>
      <c r="E13" s="1782"/>
      <c r="F13" s="1783"/>
      <c r="G13" s="1783"/>
      <c r="H13" s="1784"/>
    </row>
    <row r="14" spans="1:11" ht="75.75" customHeight="1">
      <c r="A14" s="1781"/>
      <c r="B14" s="1785" t="s">
        <v>7389</v>
      </c>
      <c r="C14" s="1781">
        <v>1</v>
      </c>
      <c r="D14" s="1786">
        <v>1</v>
      </c>
      <c r="E14" s="1783"/>
      <c r="F14" s="1783"/>
      <c r="G14" s="1783"/>
      <c r="H14" s="861">
        <f>PRODUCT(C14:G14)</f>
        <v>1</v>
      </c>
      <c r="I14" s="1742" t="s">
        <v>1389</v>
      </c>
    </row>
    <row r="15" spans="1:11" s="1700" customFormat="1" ht="107.25" customHeight="1">
      <c r="A15" s="1671">
        <v>4</v>
      </c>
      <c r="B15" s="1699" t="s">
        <v>7390</v>
      </c>
      <c r="C15" s="1699"/>
      <c r="D15" s="1699"/>
      <c r="E15" s="1699"/>
      <c r="F15" s="1699"/>
      <c r="G15" s="1699"/>
      <c r="H15" s="1672"/>
      <c r="I15" s="1698"/>
    </row>
    <row r="16" spans="1:11" s="1700" customFormat="1" ht="23.25" customHeight="1">
      <c r="A16" s="1701"/>
      <c r="B16" s="1787" t="s">
        <v>7391</v>
      </c>
      <c r="C16" s="1677">
        <v>1</v>
      </c>
      <c r="D16" s="1677">
        <v>1</v>
      </c>
      <c r="E16" s="1679"/>
      <c r="F16" s="1679"/>
      <c r="G16" s="1679"/>
      <c r="H16" s="1770">
        <f>PRODUCT(C16:G16)</f>
        <v>1</v>
      </c>
      <c r="I16" s="1788" t="s">
        <v>1427</v>
      </c>
    </row>
    <row r="17" spans="1:12" s="1794" customFormat="1" ht="76.5" customHeight="1">
      <c r="A17" s="1789">
        <v>5</v>
      </c>
      <c r="B17" s="1790" t="s">
        <v>7392</v>
      </c>
      <c r="C17" s="1790"/>
      <c r="D17" s="1790"/>
      <c r="E17" s="1791"/>
      <c r="F17" s="1791"/>
      <c r="G17" s="1791"/>
      <c r="H17" s="1792"/>
      <c r="I17" s="1793"/>
    </row>
    <row r="18" spans="1:12" s="1794" customFormat="1" ht="21" customHeight="1">
      <c r="A18" s="1795"/>
      <c r="B18" s="1796" t="s">
        <v>7393</v>
      </c>
      <c r="C18" s="1795">
        <v>1</v>
      </c>
      <c r="D18" s="1797">
        <v>5</v>
      </c>
      <c r="E18" s="1798"/>
      <c r="F18" s="1798"/>
      <c r="G18" s="1798"/>
      <c r="H18" s="1798">
        <f t="shared" ref="H18:H21" si="0">PRODUCT(C18:G18)</f>
        <v>5</v>
      </c>
    </row>
    <row r="19" spans="1:12" s="1794" customFormat="1" ht="21" customHeight="1">
      <c r="A19" s="1795"/>
      <c r="B19" s="1796" t="s">
        <v>7394</v>
      </c>
      <c r="C19" s="1795">
        <v>1</v>
      </c>
      <c r="D19" s="1797">
        <v>10</v>
      </c>
      <c r="E19" s="1798"/>
      <c r="F19" s="1798"/>
      <c r="G19" s="1798"/>
      <c r="H19" s="1798">
        <f t="shared" si="0"/>
        <v>10</v>
      </c>
    </row>
    <row r="20" spans="1:12" s="1794" customFormat="1" ht="21" customHeight="1">
      <c r="A20" s="1789"/>
      <c r="B20" s="1799" t="s">
        <v>6120</v>
      </c>
      <c r="C20" s="1789">
        <v>1</v>
      </c>
      <c r="D20" s="1789">
        <v>1</v>
      </c>
      <c r="E20" s="1800"/>
      <c r="F20" s="1800"/>
      <c r="G20" s="1800"/>
      <c r="H20" s="1798">
        <f t="shared" si="0"/>
        <v>1</v>
      </c>
      <c r="I20" s="1793"/>
    </row>
    <row r="21" spans="1:12" s="1794" customFormat="1" ht="24.75" customHeight="1">
      <c r="A21" s="1789"/>
      <c r="B21" s="1799" t="s">
        <v>7395</v>
      </c>
      <c r="C21" s="1789">
        <v>2</v>
      </c>
      <c r="D21" s="1789">
        <v>2</v>
      </c>
      <c r="E21" s="1800"/>
      <c r="F21" s="1800"/>
      <c r="G21" s="1800"/>
      <c r="H21" s="1798">
        <f t="shared" si="0"/>
        <v>4</v>
      </c>
      <c r="I21" s="1793"/>
    </row>
    <row r="22" spans="1:12" s="1794" customFormat="1" ht="24.75" customHeight="1">
      <c r="A22" s="1789"/>
      <c r="B22" s="1799"/>
      <c r="C22" s="1789"/>
      <c r="D22" s="1789"/>
      <c r="E22" s="1800"/>
      <c r="F22" s="1800"/>
      <c r="G22" s="1801" t="s">
        <v>2235</v>
      </c>
      <c r="H22" s="1802">
        <f>SUM(H18:H21)</f>
        <v>20</v>
      </c>
      <c r="I22" s="1793" t="s">
        <v>1427</v>
      </c>
    </row>
    <row r="23" spans="1:12" s="1808" customFormat="1" ht="103.5" customHeight="1">
      <c r="A23" s="1803">
        <v>6</v>
      </c>
      <c r="B23" s="1804" t="s">
        <v>7396</v>
      </c>
      <c r="C23" s="1804"/>
      <c r="D23" s="1804"/>
      <c r="E23" s="1804"/>
      <c r="F23" s="1804"/>
      <c r="G23" s="1805"/>
      <c r="H23" s="1806"/>
      <c r="I23" s="1807"/>
    </row>
    <row r="24" spans="1:12" s="1808" customFormat="1" ht="24" customHeight="1">
      <c r="A24" s="1803"/>
      <c r="B24" s="1809" t="s">
        <v>7397</v>
      </c>
      <c r="C24" s="1677"/>
      <c r="D24" s="1810"/>
      <c r="E24" s="1805"/>
      <c r="F24" s="1805"/>
      <c r="G24" s="1805"/>
      <c r="H24" s="1806"/>
      <c r="I24" s="1807"/>
      <c r="K24" s="1811"/>
      <c r="L24" s="1811"/>
    </row>
    <row r="25" spans="1:12" s="1808" customFormat="1" ht="24" customHeight="1">
      <c r="A25" s="1803"/>
      <c r="B25" s="798" t="s">
        <v>7398</v>
      </c>
      <c r="C25" s="1677">
        <v>1</v>
      </c>
      <c r="D25" s="1810">
        <v>2</v>
      </c>
      <c r="E25" s="1812"/>
      <c r="F25" s="1812"/>
      <c r="G25" s="1812"/>
      <c r="H25" s="1813">
        <f>D25*C25</f>
        <v>2</v>
      </c>
      <c r="I25" s="1814" t="s">
        <v>1427</v>
      </c>
    </row>
    <row r="26" spans="1:12" s="877" customFormat="1" ht="343.5" customHeight="1">
      <c r="A26" s="1815">
        <v>7</v>
      </c>
      <c r="B26" s="1816" t="s">
        <v>7399</v>
      </c>
      <c r="C26" s="1816"/>
      <c r="D26" s="1816"/>
      <c r="E26" s="1816"/>
      <c r="F26" s="1816"/>
      <c r="G26" s="1817"/>
      <c r="H26" s="1818"/>
      <c r="I26" s="1819"/>
    </row>
    <row r="27" spans="1:12" s="869" customFormat="1" ht="24" customHeight="1">
      <c r="A27" s="1820"/>
      <c r="B27" s="1821" t="s">
        <v>7400</v>
      </c>
      <c r="C27" s="1822"/>
      <c r="D27" s="1822"/>
      <c r="E27" s="838"/>
      <c r="F27" s="1823"/>
      <c r="G27" s="1824"/>
      <c r="H27" s="1823"/>
    </row>
    <row r="28" spans="1:12" s="869" customFormat="1" ht="24" customHeight="1">
      <c r="A28" s="1820"/>
      <c r="B28" s="836" t="s">
        <v>7401</v>
      </c>
      <c r="C28" s="1822">
        <v>1</v>
      </c>
      <c r="D28" s="1822">
        <v>2</v>
      </c>
      <c r="E28" s="838">
        <v>1.5</v>
      </c>
      <c r="F28" s="1823"/>
      <c r="G28" s="1824">
        <v>2.1749999999999998</v>
      </c>
      <c r="H28" s="1823">
        <f>PRODUCT(C28:G28)</f>
        <v>6.53</v>
      </c>
    </row>
    <row r="29" spans="1:12" s="1827" customFormat="1" ht="24" customHeight="1">
      <c r="A29" s="1820"/>
      <c r="B29" s="836" t="s">
        <v>7402</v>
      </c>
      <c r="C29" s="1822">
        <v>1</v>
      </c>
      <c r="D29" s="1822">
        <v>1</v>
      </c>
      <c r="E29" s="838">
        <v>1.2</v>
      </c>
      <c r="F29" s="1825"/>
      <c r="G29" s="1826">
        <v>2.1749999999999998</v>
      </c>
      <c r="H29" s="1823">
        <f>PRODUCT(C29:G29)</f>
        <v>2.61</v>
      </c>
    </row>
    <row r="30" spans="1:12" s="869" customFormat="1" ht="24" customHeight="1">
      <c r="A30" s="1820"/>
      <c r="B30" s="836" t="s">
        <v>5832</v>
      </c>
      <c r="C30" s="1822">
        <v>1</v>
      </c>
      <c r="D30" s="1822">
        <v>1</v>
      </c>
      <c r="E30" s="838">
        <v>2.1</v>
      </c>
      <c r="F30" s="1823"/>
      <c r="G30" s="1824">
        <v>2.1749999999999998</v>
      </c>
      <c r="H30" s="1823">
        <f>PRODUCT(C30:G30)</f>
        <v>4.57</v>
      </c>
    </row>
    <row r="31" spans="1:12" s="869" customFormat="1" ht="24" customHeight="1">
      <c r="A31" s="1820"/>
      <c r="B31" s="1821" t="s">
        <v>6038</v>
      </c>
      <c r="C31" s="1822"/>
      <c r="D31" s="1822"/>
      <c r="E31" s="838"/>
      <c r="F31" s="1823"/>
      <c r="G31" s="1824"/>
      <c r="H31" s="1823"/>
    </row>
    <row r="32" spans="1:12" s="1827" customFormat="1" ht="24" customHeight="1">
      <c r="A32" s="1820"/>
      <c r="B32" s="836" t="s">
        <v>7403</v>
      </c>
      <c r="C32" s="1822">
        <v>1</v>
      </c>
      <c r="D32" s="1822">
        <v>2</v>
      </c>
      <c r="E32" s="838">
        <v>1.2</v>
      </c>
      <c r="F32" s="1825"/>
      <c r="G32" s="1826">
        <v>2.1749999999999998</v>
      </c>
      <c r="H32" s="1823">
        <f>PRODUCT(C32:G32)</f>
        <v>5.22</v>
      </c>
    </row>
    <row r="33" spans="1:11" s="1827" customFormat="1" ht="24" customHeight="1">
      <c r="A33" s="1820"/>
      <c r="B33" s="1828"/>
      <c r="C33" s="1820"/>
      <c r="D33" s="1820"/>
      <c r="E33" s="1823"/>
      <c r="F33" s="1823"/>
      <c r="G33" s="864" t="s">
        <v>2235</v>
      </c>
      <c r="H33" s="1829">
        <f>SUM(H28:H32)</f>
        <v>18.93</v>
      </c>
    </row>
    <row r="34" spans="1:11" s="1832" customFormat="1" ht="24" customHeight="1">
      <c r="A34" s="762"/>
      <c r="B34" s="1830"/>
      <c r="C34" s="762"/>
      <c r="D34" s="762"/>
      <c r="E34" s="861"/>
      <c r="F34" s="861"/>
      <c r="G34" s="864" t="s">
        <v>4209</v>
      </c>
      <c r="H34" s="1829">
        <f>ROUNDUP(H33,1)</f>
        <v>19</v>
      </c>
      <c r="I34" s="1831" t="s">
        <v>2273</v>
      </c>
    </row>
    <row r="35" spans="1:11" s="1834" customFormat="1" ht="191.25" customHeight="1">
      <c r="A35" s="762">
        <v>8</v>
      </c>
      <c r="B35" s="1285" t="s">
        <v>4708</v>
      </c>
      <c r="C35" s="1285"/>
      <c r="D35" s="1285"/>
      <c r="E35" s="1285"/>
      <c r="F35" s="858"/>
      <c r="G35" s="858"/>
      <c r="H35" s="822"/>
      <c r="I35" s="1833"/>
    </row>
    <row r="36" spans="1:11" s="869" customFormat="1" ht="26.25" customHeight="1">
      <c r="A36" s="1820"/>
      <c r="B36" s="1821" t="s">
        <v>7400</v>
      </c>
      <c r="C36" s="1822"/>
      <c r="D36" s="1822"/>
      <c r="E36" s="838"/>
      <c r="F36" s="1823"/>
      <c r="G36" s="1824"/>
      <c r="H36" s="1823"/>
    </row>
    <row r="37" spans="1:11" s="869" customFormat="1" ht="24.75" customHeight="1">
      <c r="A37" s="1820"/>
      <c r="B37" s="836" t="s">
        <v>7404</v>
      </c>
      <c r="C37" s="1822">
        <v>1</v>
      </c>
      <c r="D37" s="1822">
        <v>1</v>
      </c>
      <c r="E37" s="838">
        <v>1.5</v>
      </c>
      <c r="F37" s="1823"/>
      <c r="G37" s="1824">
        <v>2.1749999999999998</v>
      </c>
      <c r="H37" s="1823">
        <f>PRODUCT(C37:G37)</f>
        <v>3.26</v>
      </c>
    </row>
    <row r="38" spans="1:11" s="1827" customFormat="1" ht="24.75" customHeight="1">
      <c r="A38" s="1820"/>
      <c r="B38" s="836" t="s">
        <v>7404</v>
      </c>
      <c r="C38" s="1822">
        <v>1</v>
      </c>
      <c r="D38" s="1822">
        <v>1</v>
      </c>
      <c r="E38" s="838">
        <v>1.8</v>
      </c>
      <c r="F38" s="1825"/>
      <c r="G38" s="1826">
        <v>2.1749999999999998</v>
      </c>
      <c r="H38" s="1823">
        <f>PRODUCT(C38:G38)</f>
        <v>3.92</v>
      </c>
    </row>
    <row r="39" spans="1:11" s="1834" customFormat="1" ht="24.75" customHeight="1">
      <c r="A39" s="762"/>
      <c r="B39" s="1226"/>
      <c r="C39" s="858"/>
      <c r="D39" s="858"/>
      <c r="E39" s="1835"/>
      <c r="F39" s="858"/>
      <c r="G39" s="1836" t="s">
        <v>2235</v>
      </c>
      <c r="H39" s="822">
        <f>SUM(H37:H38)</f>
        <v>7.18</v>
      </c>
      <c r="I39" s="1833"/>
    </row>
    <row r="40" spans="1:11" s="1834" customFormat="1" ht="24.75" customHeight="1">
      <c r="A40" s="762"/>
      <c r="B40" s="1226"/>
      <c r="C40" s="858"/>
      <c r="D40" s="858"/>
      <c r="E40" s="1835"/>
      <c r="F40" s="858"/>
      <c r="G40" s="864" t="s">
        <v>4209</v>
      </c>
      <c r="H40" s="1829">
        <f>ROUNDUP(H39,1)</f>
        <v>7.2</v>
      </c>
      <c r="I40" s="1831" t="s">
        <v>2273</v>
      </c>
    </row>
    <row r="41" spans="1:11" s="1833" customFormat="1" ht="84.75" customHeight="1">
      <c r="A41" s="815">
        <v>9</v>
      </c>
      <c r="B41" s="1282" t="s">
        <v>7405</v>
      </c>
      <c r="C41" s="1282"/>
      <c r="D41" s="1282"/>
      <c r="E41" s="1282"/>
      <c r="F41" s="1282"/>
      <c r="G41" s="813"/>
      <c r="H41" s="1837"/>
      <c r="I41" s="1082"/>
    </row>
    <row r="42" spans="1:11" s="1405" customFormat="1" ht="24.75" customHeight="1">
      <c r="A42" s="866"/>
      <c r="B42" s="1838" t="s">
        <v>5838</v>
      </c>
      <c r="C42" s="866">
        <v>1</v>
      </c>
      <c r="D42" s="866">
        <v>1</v>
      </c>
      <c r="E42" s="861">
        <v>6.53</v>
      </c>
      <c r="F42" s="861">
        <v>9.08</v>
      </c>
      <c r="G42" s="1839"/>
      <c r="H42" s="1464">
        <f>PRODUCT(C42:G42)</f>
        <v>59.29</v>
      </c>
      <c r="I42" s="1840"/>
      <c r="K42" s="1841"/>
    </row>
    <row r="43" spans="1:11" s="1405" customFormat="1" ht="24.75" customHeight="1">
      <c r="A43" s="866"/>
      <c r="B43" s="1838"/>
      <c r="C43" s="1839"/>
      <c r="D43" s="1839"/>
      <c r="E43" s="1839"/>
      <c r="F43" s="1839"/>
      <c r="G43" s="1842" t="s">
        <v>2235</v>
      </c>
      <c r="H43" s="1472">
        <f>SUM(H42:H42)</f>
        <v>59.29</v>
      </c>
      <c r="I43" s="1843" t="s">
        <v>2273</v>
      </c>
    </row>
    <row r="44" spans="1:11" s="1405" customFormat="1" ht="79.5" customHeight="1">
      <c r="A44" s="866">
        <v>10</v>
      </c>
      <c r="B44" s="1599" t="s">
        <v>7406</v>
      </c>
      <c r="C44" s="1599"/>
      <c r="D44" s="1599"/>
      <c r="E44" s="1599"/>
      <c r="F44" s="1839"/>
      <c r="G44" s="1839"/>
      <c r="H44" s="1464"/>
      <c r="I44" s="1840"/>
    </row>
    <row r="45" spans="1:11" s="1405" customFormat="1" ht="24.75" customHeight="1">
      <c r="A45" s="866"/>
      <c r="B45" s="1838" t="s">
        <v>5838</v>
      </c>
      <c r="C45" s="866">
        <v>1</v>
      </c>
      <c r="D45" s="866">
        <v>1</v>
      </c>
      <c r="E45" s="861">
        <f>(E42+F42)*2</f>
        <v>31.22</v>
      </c>
      <c r="F45" s="861"/>
      <c r="G45" s="1839"/>
      <c r="H45" s="1464">
        <f>PRODUCT(C45:G45)</f>
        <v>31.22</v>
      </c>
      <c r="I45" s="1840"/>
      <c r="K45" s="1841"/>
    </row>
    <row r="46" spans="1:11" s="1405" customFormat="1" ht="24.75" customHeight="1">
      <c r="A46" s="866"/>
      <c r="B46" s="1838"/>
      <c r="C46" s="1839"/>
      <c r="D46" s="1839"/>
      <c r="E46" s="1839"/>
      <c r="F46" s="1839"/>
      <c r="G46" s="1842" t="s">
        <v>2235</v>
      </c>
      <c r="H46" s="1472">
        <f>SUM(H45:H45)</f>
        <v>31.22</v>
      </c>
      <c r="I46" s="1843" t="s">
        <v>823</v>
      </c>
    </row>
    <row r="47" spans="1:11" s="1405" customFormat="1" ht="105.75" customHeight="1">
      <c r="A47" s="866">
        <v>11</v>
      </c>
      <c r="B47" s="1599" t="s">
        <v>7407</v>
      </c>
      <c r="C47" s="1599"/>
      <c r="D47" s="1599"/>
      <c r="E47" s="1599"/>
      <c r="F47" s="1599"/>
      <c r="G47" s="1839"/>
      <c r="H47" s="1464"/>
      <c r="I47" s="1840"/>
    </row>
    <row r="48" spans="1:11" s="1848" customFormat="1" ht="24.75" customHeight="1">
      <c r="A48" s="1844"/>
      <c r="B48" s="1845" t="s">
        <v>6002</v>
      </c>
      <c r="C48" s="808"/>
      <c r="D48" s="808"/>
      <c r="E48" s="1846"/>
      <c r="F48" s="1846"/>
      <c r="G48" s="1846"/>
      <c r="H48" s="1846"/>
      <c r="I48" s="1847"/>
    </row>
    <row r="49" spans="1:11" s="1848" customFormat="1" ht="24.75" customHeight="1">
      <c r="A49" s="1339"/>
      <c r="B49" s="1337" t="s">
        <v>5838</v>
      </c>
      <c r="C49" s="808">
        <v>1</v>
      </c>
      <c r="D49" s="808">
        <v>4</v>
      </c>
      <c r="E49" s="1846"/>
      <c r="F49" s="1846"/>
      <c r="G49" s="1846"/>
      <c r="H49" s="1846">
        <f>PRODUCT(C49:G49)</f>
        <v>4</v>
      </c>
      <c r="I49" s="1847"/>
    </row>
    <row r="50" spans="1:11" s="1848" customFormat="1" ht="24.75" customHeight="1">
      <c r="A50" s="1339"/>
      <c r="B50" s="1337" t="s">
        <v>5832</v>
      </c>
      <c r="C50" s="808">
        <v>1</v>
      </c>
      <c r="D50" s="808">
        <v>1</v>
      </c>
      <c r="E50" s="1846"/>
      <c r="F50" s="1846"/>
      <c r="G50" s="1846"/>
      <c r="H50" s="1846">
        <f>PRODUCT(C50:G50)</f>
        <v>1</v>
      </c>
      <c r="I50" s="1847"/>
    </row>
    <row r="51" spans="1:11" s="1405" customFormat="1" ht="24.75" customHeight="1">
      <c r="A51" s="866"/>
      <c r="B51" s="1838"/>
      <c r="C51" s="1839"/>
      <c r="D51" s="1839"/>
      <c r="E51" s="1839"/>
      <c r="F51" s="1839"/>
      <c r="G51" s="1842" t="s">
        <v>2235</v>
      </c>
      <c r="H51" s="1472">
        <f>SUM(H48:H50)</f>
        <v>5</v>
      </c>
      <c r="I51" s="1843" t="s">
        <v>1389</v>
      </c>
      <c r="J51" s="1405" t="s">
        <v>7408</v>
      </c>
    </row>
    <row r="52" spans="1:11" s="1405" customFormat="1" ht="91.5" customHeight="1">
      <c r="A52" s="866">
        <v>12</v>
      </c>
      <c r="B52" s="1599" t="s">
        <v>7409</v>
      </c>
      <c r="C52" s="1599"/>
      <c r="D52" s="1599"/>
      <c r="E52" s="1839"/>
      <c r="F52" s="1839"/>
      <c r="G52" s="1842"/>
      <c r="H52" s="1472"/>
      <c r="I52" s="1843"/>
    </row>
    <row r="53" spans="1:11" s="1405" customFormat="1" ht="24.75" customHeight="1">
      <c r="A53" s="866"/>
      <c r="B53" s="1849" t="s">
        <v>383</v>
      </c>
      <c r="C53" s="866">
        <v>1</v>
      </c>
      <c r="D53" s="866">
        <v>5</v>
      </c>
      <c r="E53" s="1839"/>
      <c r="F53" s="1839"/>
      <c r="G53" s="1839"/>
      <c r="H53" s="1472">
        <f>PRODUCT(C53:G53)</f>
        <v>5</v>
      </c>
      <c r="I53" s="1843" t="s">
        <v>279</v>
      </c>
    </row>
    <row r="54" spans="1:11" s="1405" customFormat="1" ht="93.75" customHeight="1">
      <c r="A54" s="866">
        <v>13</v>
      </c>
      <c r="B54" s="1599" t="s">
        <v>7410</v>
      </c>
      <c r="C54" s="1599"/>
      <c r="D54" s="1599"/>
      <c r="E54" s="1599"/>
      <c r="F54" s="865"/>
      <c r="G54" s="865"/>
      <c r="H54" s="1839"/>
      <c r="I54" s="1850"/>
      <c r="J54" s="1405">
        <v>1246</v>
      </c>
      <c r="K54" s="1405" t="s">
        <v>7411</v>
      </c>
    </row>
    <row r="55" spans="1:11" s="1853" customFormat="1" ht="24.75" customHeight="1">
      <c r="A55" s="1851"/>
      <c r="B55" s="798" t="s">
        <v>5838</v>
      </c>
      <c r="C55" s="815">
        <v>1</v>
      </c>
      <c r="D55" s="815">
        <v>8</v>
      </c>
      <c r="E55" s="1852"/>
      <c r="F55" s="1852"/>
      <c r="G55" s="1852"/>
      <c r="H55" s="1852">
        <f>PRODUCT(C55:G55)</f>
        <v>8</v>
      </c>
      <c r="I55" s="1361"/>
    </row>
    <row r="56" spans="1:11" s="1853" customFormat="1" ht="24.75" customHeight="1">
      <c r="A56" s="1851"/>
      <c r="B56" s="798"/>
      <c r="C56" s="815"/>
      <c r="D56" s="815"/>
      <c r="E56" s="1852"/>
      <c r="F56" s="1852"/>
      <c r="G56" s="1854" t="s">
        <v>2235</v>
      </c>
      <c r="H56" s="1854">
        <f>SUM(H55:H55)</f>
        <v>8</v>
      </c>
      <c r="I56" s="1361" t="s">
        <v>1427</v>
      </c>
      <c r="J56" s="1853">
        <v>1246</v>
      </c>
    </row>
    <row r="57" spans="1:11" s="1833" customFormat="1" ht="69.75" customHeight="1">
      <c r="A57" s="815">
        <v>14</v>
      </c>
      <c r="B57" s="1282" t="s">
        <v>7412</v>
      </c>
      <c r="C57" s="1282"/>
      <c r="D57" s="1282"/>
      <c r="E57" s="1282"/>
      <c r="F57" s="1282"/>
      <c r="G57" s="813"/>
      <c r="H57" s="1837"/>
      <c r="I57" s="1834"/>
      <c r="J57" s="1833" t="s">
        <v>7413</v>
      </c>
    </row>
    <row r="58" spans="1:11" s="862" customFormat="1" ht="24.75" customHeight="1">
      <c r="A58" s="858"/>
      <c r="B58" s="859" t="s">
        <v>6002</v>
      </c>
      <c r="C58" s="858"/>
      <c r="D58" s="858"/>
      <c r="E58" s="861"/>
      <c r="F58" s="1854"/>
      <c r="G58" s="861"/>
      <c r="H58" s="861"/>
      <c r="I58" s="1855"/>
    </row>
    <row r="59" spans="1:11" s="862" customFormat="1" ht="24.75" customHeight="1">
      <c r="A59" s="858"/>
      <c r="B59" s="863" t="s">
        <v>7414</v>
      </c>
      <c r="C59" s="762">
        <v>1</v>
      </c>
      <c r="D59" s="762">
        <v>3</v>
      </c>
      <c r="E59" s="1856">
        <v>1.96</v>
      </c>
      <c r="F59" s="861"/>
      <c r="G59" s="1856">
        <v>1.81</v>
      </c>
      <c r="H59" s="861">
        <f>PRODUCT(C59:G59)</f>
        <v>10.64</v>
      </c>
      <c r="I59" s="1855"/>
    </row>
    <row r="60" spans="1:11" s="862" customFormat="1" ht="24.75" customHeight="1">
      <c r="A60" s="858"/>
      <c r="B60" s="863" t="s">
        <v>7415</v>
      </c>
      <c r="C60" s="762">
        <v>1</v>
      </c>
      <c r="D60" s="762">
        <v>1</v>
      </c>
      <c r="E60" s="1856">
        <v>1.96</v>
      </c>
      <c r="F60" s="861"/>
      <c r="G60" s="1856">
        <v>1.81</v>
      </c>
      <c r="H60" s="861">
        <f>PRODUCT(C60:G60)</f>
        <v>3.55</v>
      </c>
      <c r="I60" s="1855"/>
    </row>
    <row r="61" spans="1:11" s="862" customFormat="1" ht="24.75" customHeight="1">
      <c r="A61" s="858"/>
      <c r="B61" s="863" t="s">
        <v>7416</v>
      </c>
      <c r="C61" s="762">
        <v>1</v>
      </c>
      <c r="D61" s="762">
        <v>3</v>
      </c>
      <c r="E61" s="1856">
        <v>2.2599999999999998</v>
      </c>
      <c r="F61" s="861"/>
      <c r="G61" s="1856">
        <v>1.81</v>
      </c>
      <c r="H61" s="861">
        <f>PRODUCT(C61:G61)</f>
        <v>12.27</v>
      </c>
      <c r="I61" s="1855"/>
    </row>
    <row r="62" spans="1:11" s="1530" customFormat="1" ht="24.75" customHeight="1">
      <c r="A62" s="1523"/>
      <c r="B62" s="863"/>
      <c r="C62" s="1857"/>
      <c r="D62" s="1857"/>
      <c r="E62" s="1858"/>
      <c r="F62" s="861"/>
      <c r="G62" s="1527" t="s">
        <v>2235</v>
      </c>
      <c r="H62" s="864">
        <f>SUM(H58:H61)</f>
        <v>26.46</v>
      </c>
      <c r="I62" s="1859" t="s">
        <v>2273</v>
      </c>
    </row>
    <row r="68" spans="1:9" ht="27.75" customHeight="1">
      <c r="A68" s="1860" t="s">
        <v>7417</v>
      </c>
      <c r="B68" s="1860"/>
      <c r="C68" s="1860"/>
      <c r="D68" s="1860"/>
      <c r="E68" s="1860"/>
      <c r="F68" s="1860"/>
      <c r="G68" s="1860"/>
      <c r="H68" s="1860"/>
      <c r="I68" s="1860"/>
    </row>
  </sheetData>
  <mergeCells count="23">
    <mergeCell ref="B54:E54"/>
    <mergeCell ref="B57:F57"/>
    <mergeCell ref="A68:I68"/>
    <mergeCell ref="B26:F26"/>
    <mergeCell ref="B35:E35"/>
    <mergeCell ref="B41:F41"/>
    <mergeCell ref="B44:E44"/>
    <mergeCell ref="B47:F47"/>
    <mergeCell ref="B52:D52"/>
    <mergeCell ref="B6:E6"/>
    <mergeCell ref="B10:E10"/>
    <mergeCell ref="B13:E13"/>
    <mergeCell ref="B15:G15"/>
    <mergeCell ref="B17:D17"/>
    <mergeCell ref="B23:F23"/>
    <mergeCell ref="A1:I1"/>
    <mergeCell ref="B2:H2"/>
    <mergeCell ref="A3:I3"/>
    <mergeCell ref="A4:A5"/>
    <mergeCell ref="B4:B5"/>
    <mergeCell ref="C4:D5"/>
    <mergeCell ref="E4:G4"/>
    <mergeCell ref="H4:H5"/>
  </mergeCells>
  <pageMargins left="0.66" right="0.22" top="0.48" bottom="0.16" header="0.16" footer="0.27"/>
  <pageSetup paperSize="9" scale="94" orientation="portrait" verticalDpi="300" r:id="rId1"/>
  <headerFooter>
    <oddHeader>Page &amp;P</oddHeader>
  </headerFooter>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50"/>
  <sheetViews>
    <sheetView view="pageBreakPreview" topLeftCell="A34" zoomScale="96" zoomScaleSheetLayoutView="96" workbookViewId="0">
      <selection activeCell="B27" sqref="B27"/>
    </sheetView>
  </sheetViews>
  <sheetFormatPr defaultRowHeight="19.5"/>
  <cols>
    <col min="1" max="1" width="6" style="1866" customWidth="1"/>
    <col min="2" max="2" width="28.88671875" style="1866" customWidth="1"/>
    <col min="3" max="3" width="4.88671875" style="1900" customWidth="1"/>
    <col min="4" max="4" width="4.88671875" style="1901" customWidth="1"/>
    <col min="5" max="8" width="8.88671875" style="1902"/>
    <col min="9" max="9" width="4" style="1903" customWidth="1"/>
    <col min="10" max="256" width="8.88671875" style="1866"/>
    <col min="257" max="257" width="6" style="1866" customWidth="1"/>
    <col min="258" max="258" width="28.88671875" style="1866" customWidth="1"/>
    <col min="259" max="260" width="4.88671875" style="1866" customWidth="1"/>
    <col min="261" max="264" width="8.88671875" style="1866"/>
    <col min="265" max="265" width="4" style="1866" customWidth="1"/>
    <col min="266" max="512" width="8.88671875" style="1866"/>
    <col min="513" max="513" width="6" style="1866" customWidth="1"/>
    <col min="514" max="514" width="28.88671875" style="1866" customWidth="1"/>
    <col min="515" max="516" width="4.88671875" style="1866" customWidth="1"/>
    <col min="517" max="520" width="8.88671875" style="1866"/>
    <col min="521" max="521" width="4" style="1866" customWidth="1"/>
    <col min="522" max="768" width="8.88671875" style="1866"/>
    <col min="769" max="769" width="6" style="1866" customWidth="1"/>
    <col min="770" max="770" width="28.88671875" style="1866" customWidth="1"/>
    <col min="771" max="772" width="4.88671875" style="1866" customWidth="1"/>
    <col min="773" max="776" width="8.88671875" style="1866"/>
    <col min="777" max="777" width="4" style="1866" customWidth="1"/>
    <col min="778" max="1024" width="8.88671875" style="1866"/>
    <col min="1025" max="1025" width="6" style="1866" customWidth="1"/>
    <col min="1026" max="1026" width="28.88671875" style="1866" customWidth="1"/>
    <col min="1027" max="1028" width="4.88671875" style="1866" customWidth="1"/>
    <col min="1029" max="1032" width="8.88671875" style="1866"/>
    <col min="1033" max="1033" width="4" style="1866" customWidth="1"/>
    <col min="1034" max="1280" width="8.88671875" style="1866"/>
    <col min="1281" max="1281" width="6" style="1866" customWidth="1"/>
    <col min="1282" max="1282" width="28.88671875" style="1866" customWidth="1"/>
    <col min="1283" max="1284" width="4.88671875" style="1866" customWidth="1"/>
    <col min="1285" max="1288" width="8.88671875" style="1866"/>
    <col min="1289" max="1289" width="4" style="1866" customWidth="1"/>
    <col min="1290" max="1536" width="8.88671875" style="1866"/>
    <col min="1537" max="1537" width="6" style="1866" customWidth="1"/>
    <col min="1538" max="1538" width="28.88671875" style="1866" customWidth="1"/>
    <col min="1539" max="1540" width="4.88671875" style="1866" customWidth="1"/>
    <col min="1541" max="1544" width="8.88671875" style="1866"/>
    <col min="1545" max="1545" width="4" style="1866" customWidth="1"/>
    <col min="1546" max="1792" width="8.88671875" style="1866"/>
    <col min="1793" max="1793" width="6" style="1866" customWidth="1"/>
    <col min="1794" max="1794" width="28.88671875" style="1866" customWidth="1"/>
    <col min="1795" max="1796" width="4.88671875" style="1866" customWidth="1"/>
    <col min="1797" max="1800" width="8.88671875" style="1866"/>
    <col min="1801" max="1801" width="4" style="1866" customWidth="1"/>
    <col min="1802" max="2048" width="8.88671875" style="1866"/>
    <col min="2049" max="2049" width="6" style="1866" customWidth="1"/>
    <col min="2050" max="2050" width="28.88671875" style="1866" customWidth="1"/>
    <col min="2051" max="2052" width="4.88671875" style="1866" customWidth="1"/>
    <col min="2053" max="2056" width="8.88671875" style="1866"/>
    <col min="2057" max="2057" width="4" style="1866" customWidth="1"/>
    <col min="2058" max="2304" width="8.88671875" style="1866"/>
    <col min="2305" max="2305" width="6" style="1866" customWidth="1"/>
    <col min="2306" max="2306" width="28.88671875" style="1866" customWidth="1"/>
    <col min="2307" max="2308" width="4.88671875" style="1866" customWidth="1"/>
    <col min="2309" max="2312" width="8.88671875" style="1866"/>
    <col min="2313" max="2313" width="4" style="1866" customWidth="1"/>
    <col min="2314" max="2560" width="8.88671875" style="1866"/>
    <col min="2561" max="2561" width="6" style="1866" customWidth="1"/>
    <col min="2562" max="2562" width="28.88671875" style="1866" customWidth="1"/>
    <col min="2563" max="2564" width="4.88671875" style="1866" customWidth="1"/>
    <col min="2565" max="2568" width="8.88671875" style="1866"/>
    <col min="2569" max="2569" width="4" style="1866" customWidth="1"/>
    <col min="2570" max="2816" width="8.88671875" style="1866"/>
    <col min="2817" max="2817" width="6" style="1866" customWidth="1"/>
    <col min="2818" max="2818" width="28.88671875" style="1866" customWidth="1"/>
    <col min="2819" max="2820" width="4.88671875" style="1866" customWidth="1"/>
    <col min="2821" max="2824" width="8.88671875" style="1866"/>
    <col min="2825" max="2825" width="4" style="1866" customWidth="1"/>
    <col min="2826" max="3072" width="8.88671875" style="1866"/>
    <col min="3073" max="3073" width="6" style="1866" customWidth="1"/>
    <col min="3074" max="3074" width="28.88671875" style="1866" customWidth="1"/>
    <col min="3075" max="3076" width="4.88671875" style="1866" customWidth="1"/>
    <col min="3077" max="3080" width="8.88671875" style="1866"/>
    <col min="3081" max="3081" width="4" style="1866" customWidth="1"/>
    <col min="3082" max="3328" width="8.88671875" style="1866"/>
    <col min="3329" max="3329" width="6" style="1866" customWidth="1"/>
    <col min="3330" max="3330" width="28.88671875" style="1866" customWidth="1"/>
    <col min="3331" max="3332" width="4.88671875" style="1866" customWidth="1"/>
    <col min="3333" max="3336" width="8.88671875" style="1866"/>
    <col min="3337" max="3337" width="4" style="1866" customWidth="1"/>
    <col min="3338" max="3584" width="8.88671875" style="1866"/>
    <col min="3585" max="3585" width="6" style="1866" customWidth="1"/>
    <col min="3586" max="3586" width="28.88671875" style="1866" customWidth="1"/>
    <col min="3587" max="3588" width="4.88671875" style="1866" customWidth="1"/>
    <col min="3589" max="3592" width="8.88671875" style="1866"/>
    <col min="3593" max="3593" width="4" style="1866" customWidth="1"/>
    <col min="3594" max="3840" width="8.88671875" style="1866"/>
    <col min="3841" max="3841" width="6" style="1866" customWidth="1"/>
    <col min="3842" max="3842" width="28.88671875" style="1866" customWidth="1"/>
    <col min="3843" max="3844" width="4.88671875" style="1866" customWidth="1"/>
    <col min="3845" max="3848" width="8.88671875" style="1866"/>
    <col min="3849" max="3849" width="4" style="1866" customWidth="1"/>
    <col min="3850" max="4096" width="8.88671875" style="1866"/>
    <col min="4097" max="4097" width="6" style="1866" customWidth="1"/>
    <col min="4098" max="4098" width="28.88671875" style="1866" customWidth="1"/>
    <col min="4099" max="4100" width="4.88671875" style="1866" customWidth="1"/>
    <col min="4101" max="4104" width="8.88671875" style="1866"/>
    <col min="4105" max="4105" width="4" style="1866" customWidth="1"/>
    <col min="4106" max="4352" width="8.88671875" style="1866"/>
    <col min="4353" max="4353" width="6" style="1866" customWidth="1"/>
    <col min="4354" max="4354" width="28.88671875" style="1866" customWidth="1"/>
    <col min="4355" max="4356" width="4.88671875" style="1866" customWidth="1"/>
    <col min="4357" max="4360" width="8.88671875" style="1866"/>
    <col min="4361" max="4361" width="4" style="1866" customWidth="1"/>
    <col min="4362" max="4608" width="8.88671875" style="1866"/>
    <col min="4609" max="4609" width="6" style="1866" customWidth="1"/>
    <col min="4610" max="4610" width="28.88671875" style="1866" customWidth="1"/>
    <col min="4611" max="4612" width="4.88671875" style="1866" customWidth="1"/>
    <col min="4613" max="4616" width="8.88671875" style="1866"/>
    <col min="4617" max="4617" width="4" style="1866" customWidth="1"/>
    <col min="4618" max="4864" width="8.88671875" style="1866"/>
    <col min="4865" max="4865" width="6" style="1866" customWidth="1"/>
    <col min="4866" max="4866" width="28.88671875" style="1866" customWidth="1"/>
    <col min="4867" max="4868" width="4.88671875" style="1866" customWidth="1"/>
    <col min="4869" max="4872" width="8.88671875" style="1866"/>
    <col min="4873" max="4873" width="4" style="1866" customWidth="1"/>
    <col min="4874" max="5120" width="8.88671875" style="1866"/>
    <col min="5121" max="5121" width="6" style="1866" customWidth="1"/>
    <col min="5122" max="5122" width="28.88671875" style="1866" customWidth="1"/>
    <col min="5123" max="5124" width="4.88671875" style="1866" customWidth="1"/>
    <col min="5125" max="5128" width="8.88671875" style="1866"/>
    <col min="5129" max="5129" width="4" style="1866" customWidth="1"/>
    <col min="5130" max="5376" width="8.88671875" style="1866"/>
    <col min="5377" max="5377" width="6" style="1866" customWidth="1"/>
    <col min="5378" max="5378" width="28.88671875" style="1866" customWidth="1"/>
    <col min="5379" max="5380" width="4.88671875" style="1866" customWidth="1"/>
    <col min="5381" max="5384" width="8.88671875" style="1866"/>
    <col min="5385" max="5385" width="4" style="1866" customWidth="1"/>
    <col min="5386" max="5632" width="8.88671875" style="1866"/>
    <col min="5633" max="5633" width="6" style="1866" customWidth="1"/>
    <col min="5634" max="5634" width="28.88671875" style="1866" customWidth="1"/>
    <col min="5635" max="5636" width="4.88671875" style="1866" customWidth="1"/>
    <col min="5637" max="5640" width="8.88671875" style="1866"/>
    <col min="5641" max="5641" width="4" style="1866" customWidth="1"/>
    <col min="5642" max="5888" width="8.88671875" style="1866"/>
    <col min="5889" max="5889" width="6" style="1866" customWidth="1"/>
    <col min="5890" max="5890" width="28.88671875" style="1866" customWidth="1"/>
    <col min="5891" max="5892" width="4.88671875" style="1866" customWidth="1"/>
    <col min="5893" max="5896" width="8.88671875" style="1866"/>
    <col min="5897" max="5897" width="4" style="1866" customWidth="1"/>
    <col min="5898" max="6144" width="8.88671875" style="1866"/>
    <col min="6145" max="6145" width="6" style="1866" customWidth="1"/>
    <col min="6146" max="6146" width="28.88671875" style="1866" customWidth="1"/>
    <col min="6147" max="6148" width="4.88671875" style="1866" customWidth="1"/>
    <col min="6149" max="6152" width="8.88671875" style="1866"/>
    <col min="6153" max="6153" width="4" style="1866" customWidth="1"/>
    <col min="6154" max="6400" width="8.88671875" style="1866"/>
    <col min="6401" max="6401" width="6" style="1866" customWidth="1"/>
    <col min="6402" max="6402" width="28.88671875" style="1866" customWidth="1"/>
    <col min="6403" max="6404" width="4.88671875" style="1866" customWidth="1"/>
    <col min="6405" max="6408" width="8.88671875" style="1866"/>
    <col min="6409" max="6409" width="4" style="1866" customWidth="1"/>
    <col min="6410" max="6656" width="8.88671875" style="1866"/>
    <col min="6657" max="6657" width="6" style="1866" customWidth="1"/>
    <col min="6658" max="6658" width="28.88671875" style="1866" customWidth="1"/>
    <col min="6659" max="6660" width="4.88671875" style="1866" customWidth="1"/>
    <col min="6661" max="6664" width="8.88671875" style="1866"/>
    <col min="6665" max="6665" width="4" style="1866" customWidth="1"/>
    <col min="6666" max="6912" width="8.88671875" style="1866"/>
    <col min="6913" max="6913" width="6" style="1866" customWidth="1"/>
    <col min="6914" max="6914" width="28.88671875" style="1866" customWidth="1"/>
    <col min="6915" max="6916" width="4.88671875" style="1866" customWidth="1"/>
    <col min="6917" max="6920" width="8.88671875" style="1866"/>
    <col min="6921" max="6921" width="4" style="1866" customWidth="1"/>
    <col min="6922" max="7168" width="8.88671875" style="1866"/>
    <col min="7169" max="7169" width="6" style="1866" customWidth="1"/>
    <col min="7170" max="7170" width="28.88671875" style="1866" customWidth="1"/>
    <col min="7171" max="7172" width="4.88671875" style="1866" customWidth="1"/>
    <col min="7173" max="7176" width="8.88671875" style="1866"/>
    <col min="7177" max="7177" width="4" style="1866" customWidth="1"/>
    <col min="7178" max="7424" width="8.88671875" style="1866"/>
    <col min="7425" max="7425" width="6" style="1866" customWidth="1"/>
    <col min="7426" max="7426" width="28.88671875" style="1866" customWidth="1"/>
    <col min="7427" max="7428" width="4.88671875" style="1866" customWidth="1"/>
    <col min="7429" max="7432" width="8.88671875" style="1866"/>
    <col min="7433" max="7433" width="4" style="1866" customWidth="1"/>
    <col min="7434" max="7680" width="8.88671875" style="1866"/>
    <col min="7681" max="7681" width="6" style="1866" customWidth="1"/>
    <col min="7682" max="7682" width="28.88671875" style="1866" customWidth="1"/>
    <col min="7683" max="7684" width="4.88671875" style="1866" customWidth="1"/>
    <col min="7685" max="7688" width="8.88671875" style="1866"/>
    <col min="7689" max="7689" width="4" style="1866" customWidth="1"/>
    <col min="7690" max="7936" width="8.88671875" style="1866"/>
    <col min="7937" max="7937" width="6" style="1866" customWidth="1"/>
    <col min="7938" max="7938" width="28.88671875" style="1866" customWidth="1"/>
    <col min="7939" max="7940" width="4.88671875" style="1866" customWidth="1"/>
    <col min="7941" max="7944" width="8.88671875" style="1866"/>
    <col min="7945" max="7945" width="4" style="1866" customWidth="1"/>
    <col min="7946" max="8192" width="8.88671875" style="1866"/>
    <col min="8193" max="8193" width="6" style="1866" customWidth="1"/>
    <col min="8194" max="8194" width="28.88671875" style="1866" customWidth="1"/>
    <col min="8195" max="8196" width="4.88671875" style="1866" customWidth="1"/>
    <col min="8197" max="8200" width="8.88671875" style="1866"/>
    <col min="8201" max="8201" width="4" style="1866" customWidth="1"/>
    <col min="8202" max="8448" width="8.88671875" style="1866"/>
    <col min="8449" max="8449" width="6" style="1866" customWidth="1"/>
    <col min="8450" max="8450" width="28.88671875" style="1866" customWidth="1"/>
    <col min="8451" max="8452" width="4.88671875" style="1866" customWidth="1"/>
    <col min="8453" max="8456" width="8.88671875" style="1866"/>
    <col min="8457" max="8457" width="4" style="1866" customWidth="1"/>
    <col min="8458" max="8704" width="8.88671875" style="1866"/>
    <col min="8705" max="8705" width="6" style="1866" customWidth="1"/>
    <col min="8706" max="8706" width="28.88671875" style="1866" customWidth="1"/>
    <col min="8707" max="8708" width="4.88671875" style="1866" customWidth="1"/>
    <col min="8709" max="8712" width="8.88671875" style="1866"/>
    <col min="8713" max="8713" width="4" style="1866" customWidth="1"/>
    <col min="8714" max="8960" width="8.88671875" style="1866"/>
    <col min="8961" max="8961" width="6" style="1866" customWidth="1"/>
    <col min="8962" max="8962" width="28.88671875" style="1866" customWidth="1"/>
    <col min="8963" max="8964" width="4.88671875" style="1866" customWidth="1"/>
    <col min="8965" max="8968" width="8.88671875" style="1866"/>
    <col min="8969" max="8969" width="4" style="1866" customWidth="1"/>
    <col min="8970" max="9216" width="8.88671875" style="1866"/>
    <col min="9217" max="9217" width="6" style="1866" customWidth="1"/>
    <col min="9218" max="9218" width="28.88671875" style="1866" customWidth="1"/>
    <col min="9219" max="9220" width="4.88671875" style="1866" customWidth="1"/>
    <col min="9221" max="9224" width="8.88671875" style="1866"/>
    <col min="9225" max="9225" width="4" style="1866" customWidth="1"/>
    <col min="9226" max="9472" width="8.88671875" style="1866"/>
    <col min="9473" max="9473" width="6" style="1866" customWidth="1"/>
    <col min="9474" max="9474" width="28.88671875" style="1866" customWidth="1"/>
    <col min="9475" max="9476" width="4.88671875" style="1866" customWidth="1"/>
    <col min="9477" max="9480" width="8.88671875" style="1866"/>
    <col min="9481" max="9481" width="4" style="1866" customWidth="1"/>
    <col min="9482" max="9728" width="8.88671875" style="1866"/>
    <col min="9729" max="9729" width="6" style="1866" customWidth="1"/>
    <col min="9730" max="9730" width="28.88671875" style="1866" customWidth="1"/>
    <col min="9731" max="9732" width="4.88671875" style="1866" customWidth="1"/>
    <col min="9733" max="9736" width="8.88671875" style="1866"/>
    <col min="9737" max="9737" width="4" style="1866" customWidth="1"/>
    <col min="9738" max="9984" width="8.88671875" style="1866"/>
    <col min="9985" max="9985" width="6" style="1866" customWidth="1"/>
    <col min="9986" max="9986" width="28.88671875" style="1866" customWidth="1"/>
    <col min="9987" max="9988" width="4.88671875" style="1866" customWidth="1"/>
    <col min="9989" max="9992" width="8.88671875" style="1866"/>
    <col min="9993" max="9993" width="4" style="1866" customWidth="1"/>
    <col min="9994" max="10240" width="8.88671875" style="1866"/>
    <col min="10241" max="10241" width="6" style="1866" customWidth="1"/>
    <col min="10242" max="10242" width="28.88671875" style="1866" customWidth="1"/>
    <col min="10243" max="10244" width="4.88671875" style="1866" customWidth="1"/>
    <col min="10245" max="10248" width="8.88671875" style="1866"/>
    <col min="10249" max="10249" width="4" style="1866" customWidth="1"/>
    <col min="10250" max="10496" width="8.88671875" style="1866"/>
    <col min="10497" max="10497" width="6" style="1866" customWidth="1"/>
    <col min="10498" max="10498" width="28.88671875" style="1866" customWidth="1"/>
    <col min="10499" max="10500" width="4.88671875" style="1866" customWidth="1"/>
    <col min="10501" max="10504" width="8.88671875" style="1866"/>
    <col min="10505" max="10505" width="4" style="1866" customWidth="1"/>
    <col min="10506" max="10752" width="8.88671875" style="1866"/>
    <col min="10753" max="10753" width="6" style="1866" customWidth="1"/>
    <col min="10754" max="10754" width="28.88671875" style="1866" customWidth="1"/>
    <col min="10755" max="10756" width="4.88671875" style="1866" customWidth="1"/>
    <col min="10757" max="10760" width="8.88671875" style="1866"/>
    <col min="10761" max="10761" width="4" style="1866" customWidth="1"/>
    <col min="10762" max="11008" width="8.88671875" style="1866"/>
    <col min="11009" max="11009" width="6" style="1866" customWidth="1"/>
    <col min="11010" max="11010" width="28.88671875" style="1866" customWidth="1"/>
    <col min="11011" max="11012" width="4.88671875" style="1866" customWidth="1"/>
    <col min="11013" max="11016" width="8.88671875" style="1866"/>
    <col min="11017" max="11017" width="4" style="1866" customWidth="1"/>
    <col min="11018" max="11264" width="8.88671875" style="1866"/>
    <col min="11265" max="11265" width="6" style="1866" customWidth="1"/>
    <col min="11266" max="11266" width="28.88671875" style="1866" customWidth="1"/>
    <col min="11267" max="11268" width="4.88671875" style="1866" customWidth="1"/>
    <col min="11269" max="11272" width="8.88671875" style="1866"/>
    <col min="11273" max="11273" width="4" style="1866" customWidth="1"/>
    <col min="11274" max="11520" width="8.88671875" style="1866"/>
    <col min="11521" max="11521" width="6" style="1866" customWidth="1"/>
    <col min="11522" max="11522" width="28.88671875" style="1866" customWidth="1"/>
    <col min="11523" max="11524" width="4.88671875" style="1866" customWidth="1"/>
    <col min="11525" max="11528" width="8.88671875" style="1866"/>
    <col min="11529" max="11529" width="4" style="1866" customWidth="1"/>
    <col min="11530" max="11776" width="8.88671875" style="1866"/>
    <col min="11777" max="11777" width="6" style="1866" customWidth="1"/>
    <col min="11778" max="11778" width="28.88671875" style="1866" customWidth="1"/>
    <col min="11779" max="11780" width="4.88671875" style="1866" customWidth="1"/>
    <col min="11781" max="11784" width="8.88671875" style="1866"/>
    <col min="11785" max="11785" width="4" style="1866" customWidth="1"/>
    <col min="11786" max="12032" width="8.88671875" style="1866"/>
    <col min="12033" max="12033" width="6" style="1866" customWidth="1"/>
    <col min="12034" max="12034" width="28.88671875" style="1866" customWidth="1"/>
    <col min="12035" max="12036" width="4.88671875" style="1866" customWidth="1"/>
    <col min="12037" max="12040" width="8.88671875" style="1866"/>
    <col min="12041" max="12041" width="4" style="1866" customWidth="1"/>
    <col min="12042" max="12288" width="8.88671875" style="1866"/>
    <col min="12289" max="12289" width="6" style="1866" customWidth="1"/>
    <col min="12290" max="12290" width="28.88671875" style="1866" customWidth="1"/>
    <col min="12291" max="12292" width="4.88671875" style="1866" customWidth="1"/>
    <col min="12293" max="12296" width="8.88671875" style="1866"/>
    <col min="12297" max="12297" width="4" style="1866" customWidth="1"/>
    <col min="12298" max="12544" width="8.88671875" style="1866"/>
    <col min="12545" max="12545" width="6" style="1866" customWidth="1"/>
    <col min="12546" max="12546" width="28.88671875" style="1866" customWidth="1"/>
    <col min="12547" max="12548" width="4.88671875" style="1866" customWidth="1"/>
    <col min="12549" max="12552" width="8.88671875" style="1866"/>
    <col min="12553" max="12553" width="4" style="1866" customWidth="1"/>
    <col min="12554" max="12800" width="8.88671875" style="1866"/>
    <col min="12801" max="12801" width="6" style="1866" customWidth="1"/>
    <col min="12802" max="12802" width="28.88671875" style="1866" customWidth="1"/>
    <col min="12803" max="12804" width="4.88671875" style="1866" customWidth="1"/>
    <col min="12805" max="12808" width="8.88671875" style="1866"/>
    <col min="12809" max="12809" width="4" style="1866" customWidth="1"/>
    <col min="12810" max="13056" width="8.88671875" style="1866"/>
    <col min="13057" max="13057" width="6" style="1866" customWidth="1"/>
    <col min="13058" max="13058" width="28.88671875" style="1866" customWidth="1"/>
    <col min="13059" max="13060" width="4.88671875" style="1866" customWidth="1"/>
    <col min="13061" max="13064" width="8.88671875" style="1866"/>
    <col min="13065" max="13065" width="4" style="1866" customWidth="1"/>
    <col min="13066" max="13312" width="8.88671875" style="1866"/>
    <col min="13313" max="13313" width="6" style="1866" customWidth="1"/>
    <col min="13314" max="13314" width="28.88671875" style="1866" customWidth="1"/>
    <col min="13315" max="13316" width="4.88671875" style="1866" customWidth="1"/>
    <col min="13317" max="13320" width="8.88671875" style="1866"/>
    <col min="13321" max="13321" width="4" style="1866" customWidth="1"/>
    <col min="13322" max="13568" width="8.88671875" style="1866"/>
    <col min="13569" max="13569" width="6" style="1866" customWidth="1"/>
    <col min="13570" max="13570" width="28.88671875" style="1866" customWidth="1"/>
    <col min="13571" max="13572" width="4.88671875" style="1866" customWidth="1"/>
    <col min="13573" max="13576" width="8.88671875" style="1866"/>
    <col min="13577" max="13577" width="4" style="1866" customWidth="1"/>
    <col min="13578" max="13824" width="8.88671875" style="1866"/>
    <col min="13825" max="13825" width="6" style="1866" customWidth="1"/>
    <col min="13826" max="13826" width="28.88671875" style="1866" customWidth="1"/>
    <col min="13827" max="13828" width="4.88671875" style="1866" customWidth="1"/>
    <col min="13829" max="13832" width="8.88671875" style="1866"/>
    <col min="13833" max="13833" width="4" style="1866" customWidth="1"/>
    <col min="13834" max="14080" width="8.88671875" style="1866"/>
    <col min="14081" max="14081" width="6" style="1866" customWidth="1"/>
    <col min="14082" max="14082" width="28.88671875" style="1866" customWidth="1"/>
    <col min="14083" max="14084" width="4.88671875" style="1866" customWidth="1"/>
    <col min="14085" max="14088" width="8.88671875" style="1866"/>
    <col min="14089" max="14089" width="4" style="1866" customWidth="1"/>
    <col min="14090" max="14336" width="8.88671875" style="1866"/>
    <col min="14337" max="14337" width="6" style="1866" customWidth="1"/>
    <col min="14338" max="14338" width="28.88671875" style="1866" customWidth="1"/>
    <col min="14339" max="14340" width="4.88671875" style="1866" customWidth="1"/>
    <col min="14341" max="14344" width="8.88671875" style="1866"/>
    <col min="14345" max="14345" width="4" style="1866" customWidth="1"/>
    <col min="14346" max="14592" width="8.88671875" style="1866"/>
    <col min="14593" max="14593" width="6" style="1866" customWidth="1"/>
    <col min="14594" max="14594" width="28.88671875" style="1866" customWidth="1"/>
    <col min="14595" max="14596" width="4.88671875" style="1866" customWidth="1"/>
    <col min="14597" max="14600" width="8.88671875" style="1866"/>
    <col min="14601" max="14601" width="4" style="1866" customWidth="1"/>
    <col min="14602" max="14848" width="8.88671875" style="1866"/>
    <col min="14849" max="14849" width="6" style="1866" customWidth="1"/>
    <col min="14850" max="14850" width="28.88671875" style="1866" customWidth="1"/>
    <col min="14851" max="14852" width="4.88671875" style="1866" customWidth="1"/>
    <col min="14853" max="14856" width="8.88671875" style="1866"/>
    <col min="14857" max="14857" width="4" style="1866" customWidth="1"/>
    <col min="14858" max="15104" width="8.88671875" style="1866"/>
    <col min="15105" max="15105" width="6" style="1866" customWidth="1"/>
    <col min="15106" max="15106" width="28.88671875" style="1866" customWidth="1"/>
    <col min="15107" max="15108" width="4.88671875" style="1866" customWidth="1"/>
    <col min="15109" max="15112" width="8.88671875" style="1866"/>
    <col min="15113" max="15113" width="4" style="1866" customWidth="1"/>
    <col min="15114" max="15360" width="8.88671875" style="1866"/>
    <col min="15361" max="15361" width="6" style="1866" customWidth="1"/>
    <col min="15362" max="15362" width="28.88671875" style="1866" customWidth="1"/>
    <col min="15363" max="15364" width="4.88671875" style="1866" customWidth="1"/>
    <col min="15365" max="15368" width="8.88671875" style="1866"/>
    <col min="15369" max="15369" width="4" style="1866" customWidth="1"/>
    <col min="15370" max="15616" width="8.88671875" style="1866"/>
    <col min="15617" max="15617" width="6" style="1866" customWidth="1"/>
    <col min="15618" max="15618" width="28.88671875" style="1866" customWidth="1"/>
    <col min="15619" max="15620" width="4.88671875" style="1866" customWidth="1"/>
    <col min="15621" max="15624" width="8.88671875" style="1866"/>
    <col min="15625" max="15625" width="4" style="1866" customWidth="1"/>
    <col min="15626" max="15872" width="8.88671875" style="1866"/>
    <col min="15873" max="15873" width="6" style="1866" customWidth="1"/>
    <col min="15874" max="15874" width="28.88671875" style="1866" customWidth="1"/>
    <col min="15875" max="15876" width="4.88671875" style="1866" customWidth="1"/>
    <col min="15877" max="15880" width="8.88671875" style="1866"/>
    <col min="15881" max="15881" width="4" style="1866" customWidth="1"/>
    <col min="15882" max="16128" width="8.88671875" style="1866"/>
    <col min="16129" max="16129" width="6" style="1866" customWidth="1"/>
    <col min="16130" max="16130" width="28.88671875" style="1866" customWidth="1"/>
    <col min="16131" max="16132" width="4.88671875" style="1866" customWidth="1"/>
    <col min="16133" max="16136" width="8.88671875" style="1866"/>
    <col min="16137" max="16137" width="4" style="1866" customWidth="1"/>
    <col min="16138" max="16384" width="8.88671875" style="1866"/>
  </cols>
  <sheetData>
    <row r="1" spans="1:255" ht="76.5" customHeight="1">
      <c r="A1" s="1865" t="str">
        <f>GENSET!A1</f>
        <v>Name of work: Construction of DSP camp office cum Residence with development works at Cuddalore New town in Cuddalore District</v>
      </c>
      <c r="B1" s="1865"/>
      <c r="C1" s="1865"/>
      <c r="D1" s="1865"/>
      <c r="E1" s="1865"/>
      <c r="F1" s="1865"/>
      <c r="G1" s="1865"/>
      <c r="H1" s="1865"/>
      <c r="I1" s="1865"/>
      <c r="J1" s="1833"/>
      <c r="K1" s="1833"/>
      <c r="L1" s="1833"/>
      <c r="M1" s="1833"/>
      <c r="N1" s="1833"/>
      <c r="O1" s="1833"/>
      <c r="P1" s="1833"/>
      <c r="Q1" s="1833"/>
      <c r="R1" s="1833"/>
      <c r="S1" s="1833"/>
      <c r="T1" s="1833"/>
      <c r="U1" s="1833"/>
      <c r="V1" s="1833"/>
      <c r="W1" s="1833"/>
      <c r="X1" s="1833"/>
      <c r="Y1" s="1833"/>
      <c r="Z1" s="1833"/>
      <c r="AA1" s="1833"/>
      <c r="AB1" s="1833"/>
      <c r="AC1" s="1833"/>
      <c r="AD1" s="1833"/>
      <c r="AE1" s="1833"/>
      <c r="AF1" s="1833"/>
      <c r="AG1" s="1833"/>
      <c r="AH1" s="1833"/>
      <c r="AI1" s="1833"/>
      <c r="AJ1" s="1833"/>
      <c r="AK1" s="1833"/>
      <c r="AL1" s="1833"/>
      <c r="AM1" s="1833"/>
      <c r="AN1" s="1833"/>
      <c r="AO1" s="1833"/>
      <c r="AP1" s="1833"/>
      <c r="AQ1" s="1833"/>
      <c r="AR1" s="1833"/>
      <c r="AS1" s="1833"/>
      <c r="AT1" s="1833"/>
      <c r="AU1" s="1833"/>
      <c r="AV1" s="1833"/>
      <c r="AW1" s="1833"/>
      <c r="AX1" s="1833"/>
      <c r="AY1" s="1833"/>
      <c r="AZ1" s="1833"/>
      <c r="BA1" s="1833"/>
      <c r="BB1" s="1833"/>
      <c r="BC1" s="1833"/>
      <c r="BD1" s="1833"/>
      <c r="BE1" s="1833"/>
      <c r="BF1" s="1833"/>
      <c r="BG1" s="1833"/>
      <c r="BH1" s="1833"/>
      <c r="BI1" s="1833"/>
      <c r="BJ1" s="1833"/>
      <c r="BK1" s="1833"/>
      <c r="BL1" s="1833"/>
      <c r="BM1" s="1833"/>
      <c r="BN1" s="1833"/>
      <c r="BO1" s="1833"/>
      <c r="BP1" s="1833"/>
      <c r="BQ1" s="1833"/>
      <c r="BR1" s="1833"/>
      <c r="BS1" s="1833"/>
      <c r="BT1" s="1833"/>
      <c r="BU1" s="1833"/>
      <c r="BV1" s="1833"/>
      <c r="BW1" s="1833"/>
      <c r="BX1" s="1833"/>
      <c r="BY1" s="1833"/>
      <c r="BZ1" s="1833"/>
      <c r="CA1" s="1833"/>
      <c r="CB1" s="1833"/>
      <c r="CC1" s="1833"/>
      <c r="CD1" s="1833"/>
      <c r="CE1" s="1833"/>
      <c r="CF1" s="1833"/>
      <c r="CG1" s="1833"/>
      <c r="CH1" s="1833"/>
      <c r="CI1" s="1833"/>
      <c r="CJ1" s="1833"/>
      <c r="CK1" s="1833"/>
      <c r="CL1" s="1833"/>
      <c r="CM1" s="1833"/>
      <c r="CN1" s="1833"/>
      <c r="CO1" s="1833"/>
      <c r="CP1" s="1833"/>
      <c r="CQ1" s="1833"/>
      <c r="CR1" s="1833"/>
      <c r="CS1" s="1833"/>
      <c r="CT1" s="1833"/>
      <c r="CU1" s="1833"/>
      <c r="CV1" s="1833"/>
      <c r="CW1" s="1833"/>
      <c r="CX1" s="1833"/>
      <c r="CY1" s="1833"/>
      <c r="CZ1" s="1833"/>
      <c r="DA1" s="1833"/>
      <c r="DB1" s="1833"/>
      <c r="DC1" s="1833"/>
      <c r="DD1" s="1833"/>
      <c r="DE1" s="1833"/>
      <c r="DF1" s="1833"/>
      <c r="DG1" s="1833"/>
      <c r="DH1" s="1833"/>
      <c r="DI1" s="1833"/>
      <c r="DJ1" s="1833"/>
      <c r="DK1" s="1833"/>
      <c r="DL1" s="1833"/>
      <c r="DM1" s="1833"/>
      <c r="DN1" s="1833"/>
      <c r="DO1" s="1833"/>
      <c r="DP1" s="1833"/>
      <c r="DQ1" s="1833"/>
      <c r="DR1" s="1833"/>
      <c r="DS1" s="1833"/>
      <c r="DT1" s="1833"/>
      <c r="DU1" s="1833"/>
      <c r="DV1" s="1833"/>
      <c r="DW1" s="1833"/>
      <c r="DX1" s="1833"/>
      <c r="DY1" s="1833"/>
      <c r="DZ1" s="1833"/>
      <c r="EA1" s="1833"/>
      <c r="EB1" s="1833"/>
      <c r="EC1" s="1833"/>
      <c r="ED1" s="1833"/>
      <c r="EE1" s="1833"/>
      <c r="EF1" s="1833"/>
      <c r="EG1" s="1833"/>
      <c r="EH1" s="1833"/>
      <c r="EI1" s="1833"/>
      <c r="EJ1" s="1833"/>
      <c r="EK1" s="1833"/>
      <c r="EL1" s="1833"/>
      <c r="EM1" s="1833"/>
      <c r="EN1" s="1833"/>
      <c r="EO1" s="1833"/>
      <c r="EP1" s="1833"/>
      <c r="EQ1" s="1833"/>
      <c r="ER1" s="1833"/>
      <c r="ES1" s="1833"/>
      <c r="ET1" s="1833"/>
      <c r="EU1" s="1833"/>
      <c r="EV1" s="1833"/>
      <c r="EW1" s="1833"/>
      <c r="EX1" s="1833"/>
      <c r="EY1" s="1833"/>
      <c r="EZ1" s="1833"/>
      <c r="FA1" s="1833"/>
      <c r="FB1" s="1833"/>
      <c r="FC1" s="1833"/>
      <c r="FD1" s="1833"/>
      <c r="FE1" s="1833"/>
      <c r="FF1" s="1833"/>
      <c r="FG1" s="1833"/>
      <c r="FH1" s="1833"/>
      <c r="FI1" s="1833"/>
      <c r="FJ1" s="1833"/>
      <c r="FK1" s="1833"/>
      <c r="FL1" s="1833"/>
      <c r="FM1" s="1833"/>
      <c r="FN1" s="1833"/>
      <c r="FO1" s="1833"/>
      <c r="FP1" s="1833"/>
      <c r="FQ1" s="1833"/>
      <c r="FR1" s="1833"/>
      <c r="FS1" s="1833"/>
      <c r="FT1" s="1833"/>
      <c r="FU1" s="1833"/>
      <c r="FV1" s="1833"/>
      <c r="FW1" s="1833"/>
      <c r="FX1" s="1833"/>
      <c r="FY1" s="1833"/>
      <c r="FZ1" s="1833"/>
      <c r="GA1" s="1833"/>
      <c r="GB1" s="1833"/>
      <c r="GC1" s="1833"/>
      <c r="GD1" s="1833"/>
      <c r="GE1" s="1833"/>
      <c r="GF1" s="1833"/>
      <c r="GG1" s="1833"/>
      <c r="GH1" s="1833"/>
      <c r="GI1" s="1833"/>
      <c r="GJ1" s="1833"/>
      <c r="GK1" s="1833"/>
      <c r="GL1" s="1833"/>
      <c r="GM1" s="1833"/>
      <c r="GN1" s="1833"/>
      <c r="GO1" s="1833"/>
      <c r="GP1" s="1833"/>
      <c r="GQ1" s="1833"/>
      <c r="GR1" s="1833"/>
      <c r="GS1" s="1833"/>
      <c r="GT1" s="1833"/>
      <c r="GU1" s="1833"/>
      <c r="GV1" s="1833"/>
      <c r="GW1" s="1833"/>
      <c r="GX1" s="1833"/>
      <c r="GY1" s="1833"/>
      <c r="GZ1" s="1833"/>
      <c r="HA1" s="1833"/>
      <c r="HB1" s="1833"/>
      <c r="HC1" s="1833"/>
      <c r="HD1" s="1833"/>
      <c r="HE1" s="1833"/>
      <c r="HF1" s="1833"/>
      <c r="HG1" s="1833"/>
      <c r="HH1" s="1833"/>
      <c r="HI1" s="1833"/>
      <c r="HJ1" s="1833"/>
      <c r="HK1" s="1833"/>
      <c r="HL1" s="1833"/>
      <c r="HM1" s="1833"/>
      <c r="HN1" s="1833"/>
      <c r="HO1" s="1833"/>
      <c r="HP1" s="1833"/>
      <c r="HQ1" s="1833"/>
      <c r="HR1" s="1833"/>
      <c r="HS1" s="1833"/>
      <c r="HT1" s="1833"/>
      <c r="HU1" s="1833"/>
      <c r="HV1" s="1833"/>
      <c r="HW1" s="1833"/>
      <c r="HX1" s="1833"/>
      <c r="HY1" s="1833"/>
      <c r="HZ1" s="1833"/>
      <c r="IA1" s="1833"/>
      <c r="IB1" s="1833"/>
      <c r="IC1" s="1833"/>
      <c r="ID1" s="1833"/>
      <c r="IE1" s="1833"/>
      <c r="IF1" s="1833"/>
      <c r="IG1" s="1833"/>
      <c r="IH1" s="1833"/>
      <c r="II1" s="1833"/>
      <c r="IJ1" s="1833"/>
      <c r="IK1" s="1833"/>
      <c r="IL1" s="1833"/>
      <c r="IM1" s="1833"/>
      <c r="IN1" s="1833"/>
      <c r="IO1" s="1833"/>
      <c r="IP1" s="1833"/>
      <c r="IQ1" s="1833"/>
      <c r="IR1" s="1833"/>
      <c r="IS1" s="1833"/>
      <c r="IT1" s="1833"/>
      <c r="IU1" s="1833"/>
    </row>
    <row r="2" spans="1:255" s="737" customFormat="1" ht="22.5" customHeight="1">
      <c r="A2" s="1867" t="s">
        <v>7418</v>
      </c>
      <c r="B2" s="1867"/>
      <c r="C2" s="1867"/>
      <c r="D2" s="1867"/>
      <c r="E2" s="1867"/>
      <c r="F2" s="1867"/>
      <c r="G2" s="1867"/>
      <c r="H2" s="1867"/>
      <c r="I2" s="1867"/>
      <c r="J2" s="1833"/>
      <c r="K2" s="1833"/>
      <c r="L2" s="1833"/>
      <c r="M2" s="1833"/>
      <c r="N2" s="1833"/>
      <c r="O2" s="1833"/>
      <c r="P2" s="1833"/>
      <c r="Q2" s="1833"/>
      <c r="R2" s="1833"/>
      <c r="S2" s="1833"/>
      <c r="T2" s="1833"/>
      <c r="U2" s="1833"/>
      <c r="V2" s="1833"/>
      <c r="W2" s="1833"/>
      <c r="X2" s="1833"/>
      <c r="Y2" s="1833"/>
      <c r="Z2" s="1833"/>
      <c r="AA2" s="1833"/>
      <c r="AB2" s="1833"/>
      <c r="AC2" s="1833"/>
      <c r="AD2" s="1833"/>
      <c r="AE2" s="1833"/>
      <c r="AF2" s="1833"/>
      <c r="AG2" s="1833"/>
      <c r="AH2" s="1833"/>
      <c r="AI2" s="1833"/>
      <c r="AJ2" s="1833"/>
      <c r="AK2" s="1833"/>
      <c r="AL2" s="1833"/>
      <c r="AM2" s="1833"/>
      <c r="AN2" s="1833"/>
      <c r="AO2" s="1833"/>
      <c r="AP2" s="1833"/>
      <c r="AQ2" s="1833"/>
      <c r="AR2" s="1833"/>
      <c r="AS2" s="1833"/>
      <c r="AT2" s="1833"/>
      <c r="AU2" s="1833"/>
      <c r="AV2" s="1833"/>
      <c r="AW2" s="1833"/>
      <c r="AX2" s="1833"/>
      <c r="AY2" s="1833"/>
      <c r="AZ2" s="1833"/>
      <c r="BA2" s="1833"/>
      <c r="BB2" s="1833"/>
      <c r="BC2" s="1833"/>
      <c r="BD2" s="1833"/>
      <c r="BE2" s="1833"/>
      <c r="BF2" s="1833"/>
      <c r="BG2" s="1833"/>
      <c r="BH2" s="1833"/>
      <c r="BI2" s="1833"/>
      <c r="BJ2" s="1833"/>
      <c r="BK2" s="1833"/>
      <c r="BL2" s="1833"/>
      <c r="BM2" s="1833"/>
      <c r="BN2" s="1833"/>
      <c r="BO2" s="1833"/>
      <c r="BP2" s="1833"/>
      <c r="BQ2" s="1833"/>
      <c r="BR2" s="1833"/>
      <c r="BS2" s="1833"/>
      <c r="BT2" s="1833"/>
      <c r="BU2" s="1833"/>
      <c r="BV2" s="1833"/>
      <c r="BW2" s="1833"/>
      <c r="BX2" s="1833"/>
      <c r="BY2" s="1833"/>
      <c r="BZ2" s="1833"/>
      <c r="CA2" s="1833"/>
      <c r="CB2" s="1833"/>
      <c r="CC2" s="1833"/>
      <c r="CD2" s="1833"/>
      <c r="CE2" s="1833"/>
      <c r="CF2" s="1833"/>
      <c r="CG2" s="1833"/>
      <c r="CH2" s="1833"/>
      <c r="CI2" s="1833"/>
      <c r="CJ2" s="1833"/>
      <c r="CK2" s="1833"/>
      <c r="CL2" s="1833"/>
      <c r="CM2" s="1833"/>
      <c r="CN2" s="1833"/>
      <c r="CO2" s="1833"/>
      <c r="CP2" s="1833"/>
      <c r="CQ2" s="1833"/>
      <c r="CR2" s="1833"/>
      <c r="CS2" s="1833"/>
      <c r="CT2" s="1833"/>
      <c r="CU2" s="1833"/>
      <c r="CV2" s="1833"/>
      <c r="CW2" s="1833"/>
      <c r="CX2" s="1833"/>
      <c r="CY2" s="1833"/>
      <c r="CZ2" s="1833"/>
      <c r="DA2" s="1833"/>
      <c r="DB2" s="1833"/>
      <c r="DC2" s="1833"/>
      <c r="DD2" s="1833"/>
      <c r="DE2" s="1833"/>
      <c r="DF2" s="1833"/>
      <c r="DG2" s="1833"/>
      <c r="DH2" s="1833"/>
      <c r="DI2" s="1833"/>
      <c r="DJ2" s="1833"/>
      <c r="DK2" s="1833"/>
      <c r="DL2" s="1833"/>
      <c r="DM2" s="1833"/>
      <c r="DN2" s="1833"/>
      <c r="DO2" s="1833"/>
      <c r="DP2" s="1833"/>
      <c r="DQ2" s="1833"/>
      <c r="DR2" s="1833"/>
      <c r="DS2" s="1833"/>
      <c r="DT2" s="1833"/>
      <c r="DU2" s="1833"/>
      <c r="DV2" s="1833"/>
      <c r="DW2" s="1833"/>
      <c r="DX2" s="1833"/>
      <c r="DY2" s="1833"/>
      <c r="DZ2" s="1833"/>
      <c r="EA2" s="1833"/>
      <c r="EB2" s="1833"/>
      <c r="EC2" s="1833"/>
      <c r="ED2" s="1833"/>
      <c r="EE2" s="1833"/>
      <c r="EF2" s="1833"/>
      <c r="EG2" s="1833"/>
      <c r="EH2" s="1833"/>
      <c r="EI2" s="1833"/>
      <c r="EJ2" s="1833"/>
      <c r="EK2" s="1833"/>
      <c r="EL2" s="1833"/>
      <c r="EM2" s="1833"/>
      <c r="EN2" s="1833"/>
      <c r="EO2" s="1833"/>
      <c r="EP2" s="1833"/>
      <c r="EQ2" s="1833"/>
      <c r="ER2" s="1833"/>
      <c r="ES2" s="1833"/>
      <c r="ET2" s="1833"/>
      <c r="EU2" s="1833"/>
      <c r="EV2" s="1833"/>
      <c r="EW2" s="1833"/>
      <c r="EX2" s="1833"/>
      <c r="EY2" s="1833"/>
      <c r="EZ2" s="1833"/>
      <c r="FA2" s="1833"/>
      <c r="FB2" s="1833"/>
      <c r="FC2" s="1833"/>
      <c r="FD2" s="1833"/>
      <c r="FE2" s="1833"/>
      <c r="FF2" s="1833"/>
      <c r="FG2" s="1833"/>
      <c r="FH2" s="1833"/>
      <c r="FI2" s="1833"/>
      <c r="FJ2" s="1833"/>
      <c r="FK2" s="1833"/>
      <c r="FL2" s="1833"/>
      <c r="FM2" s="1833"/>
      <c r="FN2" s="1833"/>
      <c r="FO2" s="1833"/>
      <c r="FP2" s="1833"/>
      <c r="FQ2" s="1833"/>
      <c r="FR2" s="1833"/>
      <c r="FS2" s="1833"/>
      <c r="FT2" s="1833"/>
      <c r="FU2" s="1833"/>
      <c r="FV2" s="1833"/>
      <c r="FW2" s="1833"/>
      <c r="FX2" s="1833"/>
      <c r="FY2" s="1833"/>
      <c r="FZ2" s="1833"/>
      <c r="GA2" s="1833"/>
      <c r="GB2" s="1833"/>
      <c r="GC2" s="1833"/>
      <c r="GD2" s="1833"/>
      <c r="GE2" s="1833"/>
      <c r="GF2" s="1833"/>
      <c r="GG2" s="1833"/>
      <c r="GH2" s="1833"/>
      <c r="GI2" s="1833"/>
      <c r="GJ2" s="1833"/>
      <c r="GK2" s="1833"/>
      <c r="GL2" s="1833"/>
      <c r="GM2" s="1833"/>
      <c r="GN2" s="1833"/>
      <c r="GO2" s="1833"/>
      <c r="GP2" s="1833"/>
      <c r="GQ2" s="1833"/>
      <c r="GR2" s="1833"/>
      <c r="GS2" s="1833"/>
      <c r="GT2" s="1833"/>
      <c r="GU2" s="1833"/>
      <c r="GV2" s="1833"/>
      <c r="GW2" s="1833"/>
      <c r="GX2" s="1833"/>
      <c r="GY2" s="1833"/>
      <c r="GZ2" s="1833"/>
      <c r="HA2" s="1833"/>
      <c r="HB2" s="1833"/>
      <c r="HC2" s="1833"/>
      <c r="HD2" s="1833"/>
      <c r="HE2" s="1833"/>
      <c r="HF2" s="1833"/>
      <c r="HG2" s="1833"/>
      <c r="HH2" s="1833"/>
      <c r="HI2" s="1833"/>
      <c r="HJ2" s="1833"/>
      <c r="HK2" s="1833"/>
      <c r="HL2" s="1833"/>
      <c r="HM2" s="1833"/>
      <c r="HN2" s="1833"/>
      <c r="HO2" s="1833"/>
      <c r="HP2" s="1833"/>
      <c r="HQ2" s="1833"/>
      <c r="HR2" s="1833"/>
      <c r="HS2" s="1833"/>
      <c r="HT2" s="1833"/>
      <c r="HU2" s="1833"/>
      <c r="HV2" s="1833"/>
      <c r="HW2" s="1833"/>
      <c r="HX2" s="1833"/>
      <c r="HY2" s="1833"/>
      <c r="HZ2" s="1833"/>
      <c r="IA2" s="1833"/>
      <c r="IB2" s="1833"/>
      <c r="IC2" s="1833"/>
      <c r="ID2" s="1833"/>
      <c r="IE2" s="1833"/>
      <c r="IF2" s="1833"/>
      <c r="IG2" s="1833"/>
      <c r="IH2" s="1833"/>
      <c r="II2" s="1833"/>
      <c r="IJ2" s="1833"/>
      <c r="IK2" s="1833"/>
      <c r="IL2" s="1833"/>
      <c r="IM2" s="1833"/>
      <c r="IN2" s="1833"/>
      <c r="IO2" s="1833"/>
      <c r="IP2" s="1833"/>
      <c r="IQ2" s="1833"/>
      <c r="IR2" s="1833"/>
      <c r="IS2" s="1833"/>
      <c r="IT2" s="1833"/>
      <c r="IU2" s="1833"/>
    </row>
    <row r="3" spans="1:255" s="737" customFormat="1" ht="22.5" customHeight="1">
      <c r="A3" s="1868" t="s">
        <v>7162</v>
      </c>
      <c r="B3" s="1868"/>
      <c r="C3" s="1868"/>
      <c r="D3" s="1868"/>
      <c r="E3" s="1868"/>
      <c r="F3" s="1868"/>
      <c r="G3" s="1868"/>
      <c r="H3" s="1868"/>
      <c r="I3" s="1868"/>
      <c r="J3" s="1833"/>
      <c r="K3" s="1833"/>
      <c r="L3" s="1833"/>
      <c r="M3" s="1833"/>
      <c r="N3" s="1833"/>
      <c r="O3" s="1833"/>
      <c r="P3" s="1833"/>
      <c r="Q3" s="1833"/>
      <c r="R3" s="1833"/>
      <c r="S3" s="1833"/>
      <c r="T3" s="1833"/>
      <c r="U3" s="1833"/>
      <c r="V3" s="1833"/>
      <c r="W3" s="1833"/>
      <c r="X3" s="1833"/>
      <c r="Y3" s="1833"/>
      <c r="Z3" s="1833"/>
      <c r="AA3" s="1833"/>
      <c r="AB3" s="1833"/>
      <c r="AC3" s="1833"/>
      <c r="AD3" s="1833"/>
      <c r="AE3" s="1833"/>
      <c r="AF3" s="1833"/>
      <c r="AG3" s="1833"/>
      <c r="AH3" s="1833"/>
      <c r="AI3" s="1833"/>
      <c r="AJ3" s="1833"/>
      <c r="AK3" s="1833"/>
      <c r="AL3" s="1833"/>
      <c r="AM3" s="1833"/>
      <c r="AN3" s="1833"/>
      <c r="AO3" s="1833"/>
      <c r="AP3" s="1833"/>
      <c r="AQ3" s="1833"/>
      <c r="AR3" s="1833"/>
      <c r="AS3" s="1833"/>
      <c r="AT3" s="1833"/>
      <c r="AU3" s="1833"/>
      <c r="AV3" s="1833"/>
      <c r="AW3" s="1833"/>
      <c r="AX3" s="1833"/>
      <c r="AY3" s="1833"/>
      <c r="AZ3" s="1833"/>
      <c r="BA3" s="1833"/>
      <c r="BB3" s="1833"/>
      <c r="BC3" s="1833"/>
      <c r="BD3" s="1833"/>
      <c r="BE3" s="1833"/>
      <c r="BF3" s="1833"/>
      <c r="BG3" s="1833"/>
      <c r="BH3" s="1833"/>
      <c r="BI3" s="1833"/>
      <c r="BJ3" s="1833"/>
      <c r="BK3" s="1833"/>
      <c r="BL3" s="1833"/>
      <c r="BM3" s="1833"/>
      <c r="BN3" s="1833"/>
      <c r="BO3" s="1833"/>
      <c r="BP3" s="1833"/>
      <c r="BQ3" s="1833"/>
      <c r="BR3" s="1833"/>
      <c r="BS3" s="1833"/>
      <c r="BT3" s="1833"/>
      <c r="BU3" s="1833"/>
      <c r="BV3" s="1833"/>
      <c r="BW3" s="1833"/>
      <c r="BX3" s="1833"/>
      <c r="BY3" s="1833"/>
      <c r="BZ3" s="1833"/>
      <c r="CA3" s="1833"/>
      <c r="CB3" s="1833"/>
      <c r="CC3" s="1833"/>
      <c r="CD3" s="1833"/>
      <c r="CE3" s="1833"/>
      <c r="CF3" s="1833"/>
      <c r="CG3" s="1833"/>
      <c r="CH3" s="1833"/>
      <c r="CI3" s="1833"/>
      <c r="CJ3" s="1833"/>
      <c r="CK3" s="1833"/>
      <c r="CL3" s="1833"/>
      <c r="CM3" s="1833"/>
      <c r="CN3" s="1833"/>
      <c r="CO3" s="1833"/>
      <c r="CP3" s="1833"/>
      <c r="CQ3" s="1833"/>
      <c r="CR3" s="1833"/>
      <c r="CS3" s="1833"/>
      <c r="CT3" s="1833"/>
      <c r="CU3" s="1833"/>
      <c r="CV3" s="1833"/>
      <c r="CW3" s="1833"/>
      <c r="CX3" s="1833"/>
      <c r="CY3" s="1833"/>
      <c r="CZ3" s="1833"/>
      <c r="DA3" s="1833"/>
      <c r="DB3" s="1833"/>
      <c r="DC3" s="1833"/>
      <c r="DD3" s="1833"/>
      <c r="DE3" s="1833"/>
      <c r="DF3" s="1833"/>
      <c r="DG3" s="1833"/>
      <c r="DH3" s="1833"/>
      <c r="DI3" s="1833"/>
      <c r="DJ3" s="1833"/>
      <c r="DK3" s="1833"/>
      <c r="DL3" s="1833"/>
      <c r="DM3" s="1833"/>
      <c r="DN3" s="1833"/>
      <c r="DO3" s="1833"/>
      <c r="DP3" s="1833"/>
      <c r="DQ3" s="1833"/>
      <c r="DR3" s="1833"/>
      <c r="DS3" s="1833"/>
      <c r="DT3" s="1833"/>
      <c r="DU3" s="1833"/>
      <c r="DV3" s="1833"/>
      <c r="DW3" s="1833"/>
      <c r="DX3" s="1833"/>
      <c r="DY3" s="1833"/>
      <c r="DZ3" s="1833"/>
      <c r="EA3" s="1833"/>
      <c r="EB3" s="1833"/>
      <c r="EC3" s="1833"/>
      <c r="ED3" s="1833"/>
      <c r="EE3" s="1833"/>
      <c r="EF3" s="1833"/>
      <c r="EG3" s="1833"/>
      <c r="EH3" s="1833"/>
      <c r="EI3" s="1833"/>
      <c r="EJ3" s="1833"/>
      <c r="EK3" s="1833"/>
      <c r="EL3" s="1833"/>
      <c r="EM3" s="1833"/>
      <c r="EN3" s="1833"/>
      <c r="EO3" s="1833"/>
      <c r="EP3" s="1833"/>
      <c r="EQ3" s="1833"/>
      <c r="ER3" s="1833"/>
      <c r="ES3" s="1833"/>
      <c r="ET3" s="1833"/>
      <c r="EU3" s="1833"/>
      <c r="EV3" s="1833"/>
      <c r="EW3" s="1833"/>
      <c r="EX3" s="1833"/>
      <c r="EY3" s="1833"/>
      <c r="EZ3" s="1833"/>
      <c r="FA3" s="1833"/>
      <c r="FB3" s="1833"/>
      <c r="FC3" s="1833"/>
      <c r="FD3" s="1833"/>
      <c r="FE3" s="1833"/>
      <c r="FF3" s="1833"/>
      <c r="FG3" s="1833"/>
      <c r="FH3" s="1833"/>
      <c r="FI3" s="1833"/>
      <c r="FJ3" s="1833"/>
      <c r="FK3" s="1833"/>
      <c r="FL3" s="1833"/>
      <c r="FM3" s="1833"/>
      <c r="FN3" s="1833"/>
      <c r="FO3" s="1833"/>
      <c r="FP3" s="1833"/>
      <c r="FQ3" s="1833"/>
      <c r="FR3" s="1833"/>
      <c r="FS3" s="1833"/>
      <c r="FT3" s="1833"/>
      <c r="FU3" s="1833"/>
      <c r="FV3" s="1833"/>
      <c r="FW3" s="1833"/>
      <c r="FX3" s="1833"/>
      <c r="FY3" s="1833"/>
      <c r="FZ3" s="1833"/>
      <c r="GA3" s="1833"/>
      <c r="GB3" s="1833"/>
      <c r="GC3" s="1833"/>
      <c r="GD3" s="1833"/>
      <c r="GE3" s="1833"/>
      <c r="GF3" s="1833"/>
      <c r="GG3" s="1833"/>
      <c r="GH3" s="1833"/>
      <c r="GI3" s="1833"/>
      <c r="GJ3" s="1833"/>
      <c r="GK3" s="1833"/>
      <c r="GL3" s="1833"/>
      <c r="GM3" s="1833"/>
      <c r="GN3" s="1833"/>
      <c r="GO3" s="1833"/>
      <c r="GP3" s="1833"/>
      <c r="GQ3" s="1833"/>
      <c r="GR3" s="1833"/>
      <c r="GS3" s="1833"/>
      <c r="GT3" s="1833"/>
      <c r="GU3" s="1833"/>
      <c r="GV3" s="1833"/>
      <c r="GW3" s="1833"/>
      <c r="GX3" s="1833"/>
      <c r="GY3" s="1833"/>
      <c r="GZ3" s="1833"/>
      <c r="HA3" s="1833"/>
      <c r="HB3" s="1833"/>
      <c r="HC3" s="1833"/>
      <c r="HD3" s="1833"/>
      <c r="HE3" s="1833"/>
      <c r="HF3" s="1833"/>
      <c r="HG3" s="1833"/>
      <c r="HH3" s="1833"/>
      <c r="HI3" s="1833"/>
      <c r="HJ3" s="1833"/>
      <c r="HK3" s="1833"/>
      <c r="HL3" s="1833"/>
      <c r="HM3" s="1833"/>
      <c r="HN3" s="1833"/>
      <c r="HO3" s="1833"/>
      <c r="HP3" s="1833"/>
      <c r="HQ3" s="1833"/>
      <c r="HR3" s="1833"/>
      <c r="HS3" s="1833"/>
      <c r="HT3" s="1833"/>
      <c r="HU3" s="1833"/>
      <c r="HV3" s="1833"/>
      <c r="HW3" s="1833"/>
      <c r="HX3" s="1833"/>
      <c r="HY3" s="1833"/>
      <c r="HZ3" s="1833"/>
      <c r="IA3" s="1833"/>
      <c r="IB3" s="1833"/>
      <c r="IC3" s="1833"/>
      <c r="ID3" s="1833"/>
      <c r="IE3" s="1833"/>
      <c r="IF3" s="1833"/>
      <c r="IG3" s="1833"/>
      <c r="IH3" s="1833"/>
      <c r="II3" s="1833"/>
      <c r="IJ3" s="1833"/>
      <c r="IK3" s="1833"/>
      <c r="IL3" s="1833"/>
      <c r="IM3" s="1833"/>
      <c r="IN3" s="1833"/>
      <c r="IO3" s="1833"/>
      <c r="IP3" s="1833"/>
      <c r="IQ3" s="1833"/>
      <c r="IR3" s="1833"/>
      <c r="IS3" s="1833"/>
      <c r="IT3" s="1833"/>
      <c r="IU3" s="1833"/>
    </row>
    <row r="4" spans="1:255" ht="30" customHeight="1">
      <c r="A4" s="1412" t="s">
        <v>7085</v>
      </c>
      <c r="B4" s="1412" t="s">
        <v>7086</v>
      </c>
      <c r="C4" s="1412"/>
      <c r="D4" s="1412"/>
      <c r="E4" s="1412" t="s">
        <v>7219</v>
      </c>
      <c r="F4" s="1412"/>
      <c r="G4" s="1412"/>
      <c r="H4" s="1412" t="s">
        <v>1034</v>
      </c>
      <c r="I4" s="1869"/>
      <c r="J4" s="1833"/>
      <c r="K4" s="1833"/>
      <c r="L4" s="1833"/>
      <c r="M4" s="1833"/>
      <c r="N4" s="1833"/>
      <c r="O4" s="1833"/>
      <c r="P4" s="1833"/>
      <c r="Q4" s="1833"/>
      <c r="R4" s="1833"/>
      <c r="S4" s="1833"/>
      <c r="T4" s="1833"/>
      <c r="U4" s="1833"/>
      <c r="V4" s="1833"/>
      <c r="W4" s="1833"/>
      <c r="X4" s="1833"/>
      <c r="Y4" s="1833"/>
      <c r="Z4" s="1833"/>
      <c r="AA4" s="1833"/>
      <c r="AB4" s="1833"/>
      <c r="AC4" s="1833"/>
      <c r="AD4" s="1833"/>
      <c r="AE4" s="1833"/>
      <c r="AF4" s="1833"/>
      <c r="AG4" s="1833"/>
      <c r="AH4" s="1833"/>
      <c r="AI4" s="1833"/>
      <c r="AJ4" s="1833"/>
      <c r="AK4" s="1833"/>
      <c r="AL4" s="1833"/>
      <c r="AM4" s="1833"/>
      <c r="AN4" s="1833"/>
      <c r="AO4" s="1833"/>
      <c r="AP4" s="1833"/>
      <c r="AQ4" s="1833"/>
      <c r="AR4" s="1833"/>
      <c r="AS4" s="1833"/>
      <c r="AT4" s="1833"/>
      <c r="AU4" s="1833"/>
      <c r="AV4" s="1833"/>
      <c r="AW4" s="1833"/>
      <c r="AX4" s="1833"/>
      <c r="AY4" s="1833"/>
      <c r="AZ4" s="1833"/>
      <c r="BA4" s="1833"/>
      <c r="BB4" s="1833"/>
      <c r="BC4" s="1833"/>
      <c r="BD4" s="1833"/>
      <c r="BE4" s="1833"/>
      <c r="BF4" s="1833"/>
      <c r="BG4" s="1833"/>
      <c r="BH4" s="1833"/>
      <c r="BI4" s="1833"/>
      <c r="BJ4" s="1833"/>
      <c r="BK4" s="1833"/>
      <c r="BL4" s="1833"/>
      <c r="BM4" s="1833"/>
      <c r="BN4" s="1833"/>
      <c r="BO4" s="1833"/>
      <c r="BP4" s="1833"/>
      <c r="BQ4" s="1833"/>
      <c r="BR4" s="1833"/>
      <c r="BS4" s="1833"/>
      <c r="BT4" s="1833"/>
      <c r="BU4" s="1833"/>
      <c r="BV4" s="1833"/>
      <c r="BW4" s="1833"/>
      <c r="BX4" s="1833"/>
      <c r="BY4" s="1833"/>
      <c r="BZ4" s="1833"/>
      <c r="CA4" s="1833"/>
      <c r="CB4" s="1833"/>
      <c r="CC4" s="1833"/>
      <c r="CD4" s="1833"/>
      <c r="CE4" s="1833"/>
      <c r="CF4" s="1833"/>
      <c r="CG4" s="1833"/>
      <c r="CH4" s="1833"/>
      <c r="CI4" s="1833"/>
      <c r="CJ4" s="1833"/>
      <c r="CK4" s="1833"/>
      <c r="CL4" s="1833"/>
      <c r="CM4" s="1833"/>
      <c r="CN4" s="1833"/>
      <c r="CO4" s="1833"/>
      <c r="CP4" s="1833"/>
      <c r="CQ4" s="1833"/>
      <c r="CR4" s="1833"/>
      <c r="CS4" s="1833"/>
      <c r="CT4" s="1833"/>
      <c r="CU4" s="1833"/>
      <c r="CV4" s="1833"/>
      <c r="CW4" s="1833"/>
      <c r="CX4" s="1833"/>
      <c r="CY4" s="1833"/>
      <c r="CZ4" s="1833"/>
      <c r="DA4" s="1833"/>
      <c r="DB4" s="1833"/>
      <c r="DC4" s="1833"/>
      <c r="DD4" s="1833"/>
      <c r="DE4" s="1833"/>
      <c r="DF4" s="1833"/>
      <c r="DG4" s="1833"/>
      <c r="DH4" s="1833"/>
      <c r="DI4" s="1833"/>
      <c r="DJ4" s="1833"/>
      <c r="DK4" s="1833"/>
      <c r="DL4" s="1833"/>
      <c r="DM4" s="1833"/>
      <c r="DN4" s="1833"/>
      <c r="DO4" s="1833"/>
      <c r="DP4" s="1833"/>
      <c r="DQ4" s="1833"/>
      <c r="DR4" s="1833"/>
      <c r="DS4" s="1833"/>
      <c r="DT4" s="1833"/>
      <c r="DU4" s="1833"/>
      <c r="DV4" s="1833"/>
      <c r="DW4" s="1833"/>
      <c r="DX4" s="1833"/>
      <c r="DY4" s="1833"/>
      <c r="DZ4" s="1833"/>
      <c r="EA4" s="1833"/>
      <c r="EB4" s="1833"/>
      <c r="EC4" s="1833"/>
      <c r="ED4" s="1833"/>
      <c r="EE4" s="1833"/>
      <c r="EF4" s="1833"/>
      <c r="EG4" s="1833"/>
      <c r="EH4" s="1833"/>
      <c r="EI4" s="1833"/>
      <c r="EJ4" s="1833"/>
      <c r="EK4" s="1833"/>
      <c r="EL4" s="1833"/>
      <c r="EM4" s="1833"/>
      <c r="EN4" s="1833"/>
      <c r="EO4" s="1833"/>
      <c r="EP4" s="1833"/>
      <c r="EQ4" s="1833"/>
      <c r="ER4" s="1833"/>
      <c r="ES4" s="1833"/>
      <c r="ET4" s="1833"/>
      <c r="EU4" s="1833"/>
      <c r="EV4" s="1833"/>
      <c r="EW4" s="1833"/>
      <c r="EX4" s="1833"/>
      <c r="EY4" s="1833"/>
      <c r="EZ4" s="1833"/>
      <c r="FA4" s="1833"/>
      <c r="FB4" s="1833"/>
      <c r="FC4" s="1833"/>
      <c r="FD4" s="1833"/>
      <c r="FE4" s="1833"/>
      <c r="FF4" s="1833"/>
      <c r="FG4" s="1833"/>
      <c r="FH4" s="1833"/>
      <c r="FI4" s="1833"/>
      <c r="FJ4" s="1833"/>
      <c r="FK4" s="1833"/>
      <c r="FL4" s="1833"/>
      <c r="FM4" s="1833"/>
      <c r="FN4" s="1833"/>
      <c r="FO4" s="1833"/>
      <c r="FP4" s="1833"/>
      <c r="FQ4" s="1833"/>
      <c r="FR4" s="1833"/>
      <c r="FS4" s="1833"/>
      <c r="FT4" s="1833"/>
      <c r="FU4" s="1833"/>
      <c r="FV4" s="1833"/>
      <c r="FW4" s="1833"/>
      <c r="FX4" s="1833"/>
      <c r="FY4" s="1833"/>
      <c r="FZ4" s="1833"/>
      <c r="GA4" s="1833"/>
      <c r="GB4" s="1833"/>
      <c r="GC4" s="1833"/>
      <c r="GD4" s="1833"/>
      <c r="GE4" s="1833"/>
      <c r="GF4" s="1833"/>
      <c r="GG4" s="1833"/>
      <c r="GH4" s="1833"/>
      <c r="GI4" s="1833"/>
      <c r="GJ4" s="1833"/>
      <c r="GK4" s="1833"/>
      <c r="GL4" s="1833"/>
      <c r="GM4" s="1833"/>
      <c r="GN4" s="1833"/>
      <c r="GO4" s="1833"/>
      <c r="GP4" s="1833"/>
      <c r="GQ4" s="1833"/>
      <c r="GR4" s="1833"/>
      <c r="GS4" s="1833"/>
      <c r="GT4" s="1833"/>
      <c r="GU4" s="1833"/>
      <c r="GV4" s="1833"/>
      <c r="GW4" s="1833"/>
      <c r="GX4" s="1833"/>
      <c r="GY4" s="1833"/>
      <c r="GZ4" s="1833"/>
      <c r="HA4" s="1833"/>
      <c r="HB4" s="1833"/>
      <c r="HC4" s="1833"/>
      <c r="HD4" s="1833"/>
      <c r="HE4" s="1833"/>
      <c r="HF4" s="1833"/>
      <c r="HG4" s="1833"/>
      <c r="HH4" s="1833"/>
      <c r="HI4" s="1833"/>
      <c r="HJ4" s="1833"/>
      <c r="HK4" s="1833"/>
      <c r="HL4" s="1833"/>
      <c r="HM4" s="1833"/>
      <c r="HN4" s="1833"/>
      <c r="HO4" s="1833"/>
      <c r="HP4" s="1833"/>
      <c r="HQ4" s="1833"/>
      <c r="HR4" s="1833"/>
      <c r="HS4" s="1833"/>
      <c r="HT4" s="1833"/>
      <c r="HU4" s="1833"/>
      <c r="HV4" s="1833"/>
      <c r="HW4" s="1833"/>
      <c r="HX4" s="1833"/>
      <c r="HY4" s="1833"/>
      <c r="HZ4" s="1833"/>
      <c r="IA4" s="1833"/>
      <c r="IB4" s="1833"/>
      <c r="IC4" s="1833"/>
      <c r="ID4" s="1833"/>
      <c r="IE4" s="1833"/>
      <c r="IF4" s="1833"/>
      <c r="IG4" s="1833"/>
      <c r="IH4" s="1833"/>
      <c r="II4" s="1833"/>
      <c r="IJ4" s="1833"/>
      <c r="IK4" s="1833"/>
      <c r="IL4" s="1833"/>
      <c r="IM4" s="1833"/>
      <c r="IN4" s="1833"/>
      <c r="IO4" s="1833"/>
      <c r="IP4" s="1833"/>
      <c r="IQ4" s="1833"/>
      <c r="IR4" s="1833"/>
      <c r="IS4" s="1833"/>
      <c r="IT4" s="1833"/>
      <c r="IU4" s="1833"/>
    </row>
    <row r="5" spans="1:255" ht="28.5" customHeight="1">
      <c r="A5" s="1412"/>
      <c r="B5" s="1412"/>
      <c r="C5" s="1412"/>
      <c r="D5" s="1412"/>
      <c r="E5" s="1870" t="s">
        <v>5797</v>
      </c>
      <c r="F5" s="1870" t="s">
        <v>1548</v>
      </c>
      <c r="G5" s="1870" t="s">
        <v>5798</v>
      </c>
      <c r="H5" s="1412"/>
      <c r="I5" s="1869"/>
      <c r="J5" s="1833"/>
      <c r="K5" s="1833"/>
      <c r="L5" s="1833"/>
      <c r="M5" s="1833"/>
      <c r="N5" s="1833"/>
      <c r="O5" s="1833"/>
      <c r="P5" s="1833"/>
      <c r="Q5" s="1833"/>
      <c r="R5" s="1833"/>
      <c r="S5" s="1833"/>
      <c r="T5" s="1833"/>
      <c r="U5" s="1833"/>
      <c r="V5" s="1833"/>
      <c r="W5" s="1833"/>
      <c r="X5" s="1833"/>
      <c r="Y5" s="1833"/>
      <c r="Z5" s="1833"/>
      <c r="AA5" s="1833"/>
      <c r="AB5" s="1833"/>
      <c r="AC5" s="1833"/>
      <c r="AD5" s="1833"/>
      <c r="AE5" s="1833"/>
      <c r="AF5" s="1833"/>
      <c r="AG5" s="1833"/>
      <c r="AH5" s="1833"/>
      <c r="AI5" s="1833"/>
      <c r="AJ5" s="1833"/>
      <c r="AK5" s="1833"/>
      <c r="AL5" s="1833"/>
      <c r="AM5" s="1833"/>
      <c r="AN5" s="1833"/>
      <c r="AO5" s="1833"/>
      <c r="AP5" s="1833"/>
      <c r="AQ5" s="1833"/>
      <c r="AR5" s="1833"/>
      <c r="AS5" s="1833"/>
      <c r="AT5" s="1833"/>
      <c r="AU5" s="1833"/>
      <c r="AV5" s="1833"/>
      <c r="AW5" s="1833"/>
      <c r="AX5" s="1833"/>
      <c r="AY5" s="1833"/>
      <c r="AZ5" s="1833"/>
      <c r="BA5" s="1833"/>
      <c r="BB5" s="1833"/>
      <c r="BC5" s="1833"/>
      <c r="BD5" s="1833"/>
      <c r="BE5" s="1833"/>
      <c r="BF5" s="1833"/>
      <c r="BG5" s="1833"/>
      <c r="BH5" s="1833"/>
      <c r="BI5" s="1833"/>
      <c r="BJ5" s="1833"/>
      <c r="BK5" s="1833"/>
      <c r="BL5" s="1833"/>
      <c r="BM5" s="1833"/>
      <c r="BN5" s="1833"/>
      <c r="BO5" s="1833"/>
      <c r="BP5" s="1833"/>
      <c r="BQ5" s="1833"/>
      <c r="BR5" s="1833"/>
      <c r="BS5" s="1833"/>
      <c r="BT5" s="1833"/>
      <c r="BU5" s="1833"/>
      <c r="BV5" s="1833"/>
      <c r="BW5" s="1833"/>
      <c r="BX5" s="1833"/>
      <c r="BY5" s="1833"/>
      <c r="BZ5" s="1833"/>
      <c r="CA5" s="1833"/>
      <c r="CB5" s="1833"/>
      <c r="CC5" s="1833"/>
      <c r="CD5" s="1833"/>
      <c r="CE5" s="1833"/>
      <c r="CF5" s="1833"/>
      <c r="CG5" s="1833"/>
      <c r="CH5" s="1833"/>
      <c r="CI5" s="1833"/>
      <c r="CJ5" s="1833"/>
      <c r="CK5" s="1833"/>
      <c r="CL5" s="1833"/>
      <c r="CM5" s="1833"/>
      <c r="CN5" s="1833"/>
      <c r="CO5" s="1833"/>
      <c r="CP5" s="1833"/>
      <c r="CQ5" s="1833"/>
      <c r="CR5" s="1833"/>
      <c r="CS5" s="1833"/>
      <c r="CT5" s="1833"/>
      <c r="CU5" s="1833"/>
      <c r="CV5" s="1833"/>
      <c r="CW5" s="1833"/>
      <c r="CX5" s="1833"/>
      <c r="CY5" s="1833"/>
      <c r="CZ5" s="1833"/>
      <c r="DA5" s="1833"/>
      <c r="DB5" s="1833"/>
      <c r="DC5" s="1833"/>
      <c r="DD5" s="1833"/>
      <c r="DE5" s="1833"/>
      <c r="DF5" s="1833"/>
      <c r="DG5" s="1833"/>
      <c r="DH5" s="1833"/>
      <c r="DI5" s="1833"/>
      <c r="DJ5" s="1833"/>
      <c r="DK5" s="1833"/>
      <c r="DL5" s="1833"/>
      <c r="DM5" s="1833"/>
      <c r="DN5" s="1833"/>
      <c r="DO5" s="1833"/>
      <c r="DP5" s="1833"/>
      <c r="DQ5" s="1833"/>
      <c r="DR5" s="1833"/>
      <c r="DS5" s="1833"/>
      <c r="DT5" s="1833"/>
      <c r="DU5" s="1833"/>
      <c r="DV5" s="1833"/>
      <c r="DW5" s="1833"/>
      <c r="DX5" s="1833"/>
      <c r="DY5" s="1833"/>
      <c r="DZ5" s="1833"/>
      <c r="EA5" s="1833"/>
      <c r="EB5" s="1833"/>
      <c r="EC5" s="1833"/>
      <c r="ED5" s="1833"/>
      <c r="EE5" s="1833"/>
      <c r="EF5" s="1833"/>
      <c r="EG5" s="1833"/>
      <c r="EH5" s="1833"/>
      <c r="EI5" s="1833"/>
      <c r="EJ5" s="1833"/>
      <c r="EK5" s="1833"/>
      <c r="EL5" s="1833"/>
      <c r="EM5" s="1833"/>
      <c r="EN5" s="1833"/>
      <c r="EO5" s="1833"/>
      <c r="EP5" s="1833"/>
      <c r="EQ5" s="1833"/>
      <c r="ER5" s="1833"/>
      <c r="ES5" s="1833"/>
      <c r="ET5" s="1833"/>
      <c r="EU5" s="1833"/>
      <c r="EV5" s="1833"/>
      <c r="EW5" s="1833"/>
      <c r="EX5" s="1833"/>
      <c r="EY5" s="1833"/>
      <c r="EZ5" s="1833"/>
      <c r="FA5" s="1833"/>
      <c r="FB5" s="1833"/>
      <c r="FC5" s="1833"/>
      <c r="FD5" s="1833"/>
      <c r="FE5" s="1833"/>
      <c r="FF5" s="1833"/>
      <c r="FG5" s="1833"/>
      <c r="FH5" s="1833"/>
      <c r="FI5" s="1833"/>
      <c r="FJ5" s="1833"/>
      <c r="FK5" s="1833"/>
      <c r="FL5" s="1833"/>
      <c r="FM5" s="1833"/>
      <c r="FN5" s="1833"/>
      <c r="FO5" s="1833"/>
      <c r="FP5" s="1833"/>
      <c r="FQ5" s="1833"/>
      <c r="FR5" s="1833"/>
      <c r="FS5" s="1833"/>
      <c r="FT5" s="1833"/>
      <c r="FU5" s="1833"/>
      <c r="FV5" s="1833"/>
      <c r="FW5" s="1833"/>
      <c r="FX5" s="1833"/>
      <c r="FY5" s="1833"/>
      <c r="FZ5" s="1833"/>
      <c r="GA5" s="1833"/>
      <c r="GB5" s="1833"/>
      <c r="GC5" s="1833"/>
      <c r="GD5" s="1833"/>
      <c r="GE5" s="1833"/>
      <c r="GF5" s="1833"/>
      <c r="GG5" s="1833"/>
      <c r="GH5" s="1833"/>
      <c r="GI5" s="1833"/>
      <c r="GJ5" s="1833"/>
      <c r="GK5" s="1833"/>
      <c r="GL5" s="1833"/>
      <c r="GM5" s="1833"/>
      <c r="GN5" s="1833"/>
      <c r="GO5" s="1833"/>
      <c r="GP5" s="1833"/>
      <c r="GQ5" s="1833"/>
      <c r="GR5" s="1833"/>
      <c r="GS5" s="1833"/>
      <c r="GT5" s="1833"/>
      <c r="GU5" s="1833"/>
      <c r="GV5" s="1833"/>
      <c r="GW5" s="1833"/>
      <c r="GX5" s="1833"/>
      <c r="GY5" s="1833"/>
      <c r="GZ5" s="1833"/>
      <c r="HA5" s="1833"/>
      <c r="HB5" s="1833"/>
      <c r="HC5" s="1833"/>
      <c r="HD5" s="1833"/>
      <c r="HE5" s="1833"/>
      <c r="HF5" s="1833"/>
      <c r="HG5" s="1833"/>
      <c r="HH5" s="1833"/>
      <c r="HI5" s="1833"/>
      <c r="HJ5" s="1833"/>
      <c r="HK5" s="1833"/>
      <c r="HL5" s="1833"/>
      <c r="HM5" s="1833"/>
      <c r="HN5" s="1833"/>
      <c r="HO5" s="1833"/>
      <c r="HP5" s="1833"/>
      <c r="HQ5" s="1833"/>
      <c r="HR5" s="1833"/>
      <c r="HS5" s="1833"/>
      <c r="HT5" s="1833"/>
      <c r="HU5" s="1833"/>
      <c r="HV5" s="1833"/>
      <c r="HW5" s="1833"/>
      <c r="HX5" s="1833"/>
      <c r="HY5" s="1833"/>
      <c r="HZ5" s="1833"/>
      <c r="IA5" s="1833"/>
      <c r="IB5" s="1833"/>
      <c r="IC5" s="1833"/>
      <c r="ID5" s="1833"/>
      <c r="IE5" s="1833"/>
      <c r="IF5" s="1833"/>
      <c r="IG5" s="1833"/>
      <c r="IH5" s="1833"/>
      <c r="II5" s="1833"/>
      <c r="IJ5" s="1833"/>
      <c r="IK5" s="1833"/>
      <c r="IL5" s="1833"/>
      <c r="IM5" s="1833"/>
      <c r="IN5" s="1833"/>
      <c r="IO5" s="1833"/>
      <c r="IP5" s="1833"/>
      <c r="IQ5" s="1833"/>
      <c r="IR5" s="1833"/>
      <c r="IS5" s="1833"/>
      <c r="IT5" s="1833"/>
      <c r="IU5" s="1833"/>
    </row>
    <row r="6" spans="1:255" s="1872" customFormat="1" ht="55.5" customHeight="1">
      <c r="A6" s="1871">
        <v>1.5</v>
      </c>
      <c r="B6" s="1290" t="s">
        <v>7419</v>
      </c>
      <c r="C6" s="1290"/>
      <c r="D6" s="1290"/>
      <c r="E6" s="1290"/>
      <c r="F6" s="1749"/>
      <c r="G6" s="1749"/>
      <c r="H6" s="1837"/>
      <c r="I6" s="1869"/>
    </row>
    <row r="7" spans="1:255" s="1872" customFormat="1" ht="29.25" customHeight="1">
      <c r="A7" s="1871"/>
      <c r="B7" s="1873" t="s">
        <v>7420</v>
      </c>
      <c r="C7" s="1677"/>
      <c r="D7" s="815"/>
      <c r="E7" s="1837"/>
      <c r="F7" s="1837"/>
      <c r="G7" s="1837"/>
      <c r="H7" s="1837"/>
      <c r="I7" s="1869"/>
    </row>
    <row r="8" spans="1:255" s="1872" customFormat="1" ht="29.25" customHeight="1">
      <c r="A8" s="1871"/>
      <c r="B8" s="814" t="s">
        <v>7421</v>
      </c>
      <c r="C8" s="1562">
        <v>1</v>
      </c>
      <c r="D8" s="815">
        <v>1</v>
      </c>
      <c r="E8" s="1837">
        <v>7.2</v>
      </c>
      <c r="F8" s="1837">
        <v>2</v>
      </c>
      <c r="G8" s="1837">
        <v>1.5</v>
      </c>
      <c r="H8" s="1571">
        <f>PRODUCT(C8:G8)</f>
        <v>21.6</v>
      </c>
      <c r="I8" s="1874" t="s">
        <v>7422</v>
      </c>
    </row>
    <row r="9" spans="1:255" s="1872" customFormat="1" ht="51" customHeight="1">
      <c r="A9" s="1871">
        <v>2.1</v>
      </c>
      <c r="B9" s="1875" t="s">
        <v>7423</v>
      </c>
      <c r="C9" s="1875"/>
      <c r="D9" s="1875"/>
      <c r="E9" s="1876"/>
      <c r="F9" s="1876"/>
      <c r="G9" s="1876"/>
      <c r="H9" s="1877"/>
      <c r="I9" s="1878"/>
    </row>
    <row r="10" spans="1:255" s="1872" customFormat="1" ht="24.75" customHeight="1">
      <c r="A10" s="1871"/>
      <c r="B10" s="814" t="s">
        <v>7421</v>
      </c>
      <c r="C10" s="1562">
        <v>1</v>
      </c>
      <c r="D10" s="815">
        <v>1</v>
      </c>
      <c r="E10" s="1837">
        <v>7.2</v>
      </c>
      <c r="F10" s="1837">
        <v>2</v>
      </c>
      <c r="G10" s="1837">
        <v>0.15</v>
      </c>
      <c r="H10" s="1571">
        <f>PRODUCT(C10:G10)</f>
        <v>2.16</v>
      </c>
      <c r="I10" s="1874" t="s">
        <v>7422</v>
      </c>
    </row>
    <row r="11" spans="1:255" s="1872" customFormat="1" ht="58.5" customHeight="1">
      <c r="A11" s="1871">
        <v>3.1</v>
      </c>
      <c r="B11" s="1875" t="s">
        <v>7424</v>
      </c>
      <c r="C11" s="1875"/>
      <c r="D11" s="1875"/>
      <c r="E11" s="1875"/>
      <c r="F11" s="1876"/>
      <c r="G11" s="1876"/>
      <c r="H11" s="1877"/>
      <c r="I11" s="1878"/>
    </row>
    <row r="12" spans="1:255" s="1833" customFormat="1" ht="26.25" customHeight="1">
      <c r="A12" s="1851"/>
      <c r="B12" s="814" t="s">
        <v>7425</v>
      </c>
      <c r="C12" s="1562">
        <v>1</v>
      </c>
      <c r="D12" s="815">
        <v>1</v>
      </c>
      <c r="E12" s="1837">
        <v>7.2</v>
      </c>
      <c r="F12" s="1837">
        <v>2</v>
      </c>
      <c r="G12" s="1837">
        <v>0.2</v>
      </c>
      <c r="H12" s="1571">
        <f>PRODUCT(C12:G12)</f>
        <v>2.88</v>
      </c>
      <c r="I12" s="1874" t="s">
        <v>7422</v>
      </c>
    </row>
    <row r="13" spans="1:255" s="1872" customFormat="1" ht="58.5" customHeight="1">
      <c r="A13" s="1871">
        <v>3.2</v>
      </c>
      <c r="B13" s="1875" t="s">
        <v>7426</v>
      </c>
      <c r="C13" s="1875"/>
      <c r="D13" s="1875"/>
      <c r="E13" s="1875"/>
      <c r="F13" s="1876"/>
      <c r="G13" s="1876"/>
      <c r="H13" s="1877"/>
      <c r="I13" s="1878"/>
    </row>
    <row r="14" spans="1:255" s="1833" customFormat="1" ht="27" customHeight="1">
      <c r="A14" s="1851"/>
      <c r="B14" s="814" t="s">
        <v>7427</v>
      </c>
      <c r="C14" s="1562">
        <v>1</v>
      </c>
      <c r="D14" s="815">
        <v>2</v>
      </c>
      <c r="E14" s="1837">
        <v>7.2</v>
      </c>
      <c r="F14" s="1837">
        <v>0.34</v>
      </c>
      <c r="G14" s="1837">
        <v>0.15</v>
      </c>
      <c r="H14" s="1571">
        <f>PRODUCT(C14:G14)</f>
        <v>0.73</v>
      </c>
      <c r="I14" s="1874" t="s">
        <v>7422</v>
      </c>
    </row>
    <row r="15" spans="1:255" s="1833" customFormat="1" ht="71.25" customHeight="1">
      <c r="A15" s="1851">
        <v>4</v>
      </c>
      <c r="B15" s="1282" t="s">
        <v>7428</v>
      </c>
      <c r="C15" s="1282"/>
      <c r="D15" s="1282"/>
      <c r="E15" s="1879"/>
      <c r="F15" s="1879"/>
      <c r="G15" s="1879"/>
      <c r="H15" s="1837"/>
      <c r="I15" s="1869"/>
    </row>
    <row r="16" spans="1:255" s="1833" customFormat="1" ht="30" customHeight="1">
      <c r="A16" s="1880"/>
      <c r="B16" s="814" t="s">
        <v>7429</v>
      </c>
      <c r="C16" s="1562">
        <v>1</v>
      </c>
      <c r="D16" s="815">
        <v>1</v>
      </c>
      <c r="E16" s="1837">
        <v>7.2</v>
      </c>
      <c r="F16" s="1837">
        <v>1.58</v>
      </c>
      <c r="G16" s="1837">
        <v>0.2</v>
      </c>
      <c r="H16" s="1571">
        <f>PRODUCT(C16:G16)</f>
        <v>2.2799999999999998</v>
      </c>
      <c r="I16" s="1874" t="s">
        <v>7422</v>
      </c>
    </row>
    <row r="17" spans="1:11" s="1833" customFormat="1" ht="55.5" customHeight="1">
      <c r="A17" s="1851">
        <v>3.7</v>
      </c>
      <c r="B17" s="1290" t="s">
        <v>7430</v>
      </c>
      <c r="C17" s="1290"/>
      <c r="D17" s="1290"/>
      <c r="E17" s="1290"/>
      <c r="F17" s="1749"/>
      <c r="G17" s="1749"/>
      <c r="H17" s="1837"/>
      <c r="I17" s="1869"/>
    </row>
    <row r="18" spans="1:11" s="1833" customFormat="1" ht="26.25" customHeight="1">
      <c r="A18" s="1880"/>
      <c r="B18" s="814" t="s">
        <v>7431</v>
      </c>
      <c r="C18" s="1562">
        <v>1</v>
      </c>
      <c r="D18" s="1562">
        <v>2</v>
      </c>
      <c r="E18" s="1837">
        <v>7.2</v>
      </c>
      <c r="F18" s="1881">
        <f>(0.45 + 0.34) / 2</f>
        <v>0.4</v>
      </c>
      <c r="G18" s="1837">
        <v>1.3</v>
      </c>
      <c r="H18" s="1571">
        <f>PRODUCT(C18:G18)</f>
        <v>7.49</v>
      </c>
      <c r="I18" s="1874" t="s">
        <v>7422</v>
      </c>
      <c r="J18" s="1833">
        <f>2*7.2*0.4*1.3</f>
        <v>7.49</v>
      </c>
    </row>
    <row r="19" spans="1:11" s="1833" customFormat="1" ht="75" customHeight="1">
      <c r="A19" s="1562">
        <v>28</v>
      </c>
      <c r="B19" s="1282" t="s">
        <v>7432</v>
      </c>
      <c r="C19" s="1282"/>
      <c r="D19" s="1282"/>
      <c r="E19" s="1282"/>
      <c r="F19" s="1879"/>
      <c r="G19" s="1879"/>
      <c r="H19" s="1837"/>
      <c r="I19" s="1869"/>
    </row>
    <row r="20" spans="1:11" s="1833" customFormat="1" ht="26.25" customHeight="1">
      <c r="A20" s="1880"/>
      <c r="B20" s="798" t="s">
        <v>7433</v>
      </c>
      <c r="C20" s="1562">
        <v>1</v>
      </c>
      <c r="D20" s="1562">
        <v>1</v>
      </c>
      <c r="E20" s="1837">
        <v>7.2</v>
      </c>
      <c r="F20" s="1837">
        <v>0.9</v>
      </c>
      <c r="G20" s="1882"/>
      <c r="H20" s="1571">
        <f>PRODUCT(C20:G20)</f>
        <v>6.48</v>
      </c>
      <c r="I20" s="1874" t="s">
        <v>7434</v>
      </c>
    </row>
    <row r="21" spans="1:11" s="1833" customFormat="1" ht="61.5" customHeight="1">
      <c r="A21" s="1883">
        <v>18.100000000000001</v>
      </c>
      <c r="B21" s="1282" t="s">
        <v>7435</v>
      </c>
      <c r="C21" s="1282"/>
      <c r="D21" s="1282"/>
      <c r="E21" s="1282"/>
      <c r="F21" s="1282"/>
      <c r="G21" s="1879"/>
      <c r="H21" s="1837"/>
      <c r="I21" s="1869"/>
    </row>
    <row r="22" spans="1:11" s="1833" customFormat="1" ht="52.5" customHeight="1">
      <c r="A22" s="1883"/>
      <c r="B22" s="1282" t="s">
        <v>7436</v>
      </c>
      <c r="C22" s="1282"/>
      <c r="D22" s="1282"/>
      <c r="E22" s="1879"/>
      <c r="F22" s="1879"/>
      <c r="G22" s="1882"/>
      <c r="H22" s="1837"/>
      <c r="I22" s="1869"/>
    </row>
    <row r="23" spans="1:11" s="1833" customFormat="1" ht="27.75" customHeight="1">
      <c r="A23" s="1883"/>
      <c r="B23" s="1884" t="s">
        <v>7437</v>
      </c>
      <c r="C23" s="1562"/>
      <c r="D23" s="815"/>
      <c r="E23" s="1837"/>
      <c r="F23" s="1837"/>
      <c r="G23" s="1852"/>
      <c r="H23" s="1837"/>
      <c r="I23" s="1869"/>
    </row>
    <row r="24" spans="1:11" s="1833" customFormat="1" ht="27.75" customHeight="1">
      <c r="A24" s="1883"/>
      <c r="B24" s="1885" t="s">
        <v>7438</v>
      </c>
      <c r="C24" s="1562">
        <v>2</v>
      </c>
      <c r="D24" s="815">
        <v>2</v>
      </c>
      <c r="E24" s="1837">
        <v>1.58</v>
      </c>
      <c r="F24" s="1837"/>
      <c r="G24" s="1852">
        <v>0.75</v>
      </c>
      <c r="H24" s="1837">
        <f>PRODUCT(C24:G24)</f>
        <v>4.74</v>
      </c>
      <c r="I24" s="1869"/>
    </row>
    <row r="25" spans="1:11" s="1833" customFormat="1" ht="27.75" customHeight="1">
      <c r="A25" s="1883"/>
      <c r="B25" s="1885" t="s">
        <v>7439</v>
      </c>
      <c r="C25" s="1562">
        <v>2</v>
      </c>
      <c r="D25" s="815">
        <v>2</v>
      </c>
      <c r="E25" s="1837">
        <v>0.75</v>
      </c>
      <c r="F25" s="1837"/>
      <c r="G25" s="1852">
        <v>0.2</v>
      </c>
      <c r="H25" s="1837">
        <f>PRODUCT(C25:G25)</f>
        <v>0.6</v>
      </c>
      <c r="I25" s="1869"/>
    </row>
    <row r="26" spans="1:11" s="1833" customFormat="1" ht="27.75" customHeight="1">
      <c r="A26" s="1883"/>
      <c r="B26" s="1885" t="s">
        <v>7440</v>
      </c>
      <c r="C26" s="1562">
        <v>2</v>
      </c>
      <c r="D26" s="815">
        <v>2</v>
      </c>
      <c r="E26" s="1837">
        <v>7.2</v>
      </c>
      <c r="F26" s="1837"/>
      <c r="G26" s="1852">
        <v>0.15</v>
      </c>
      <c r="H26" s="1837">
        <f>PRODUCT(C26:G26)</f>
        <v>4.32</v>
      </c>
      <c r="I26" s="1869"/>
    </row>
    <row r="27" spans="1:11" s="1833" customFormat="1" ht="27.75" customHeight="1">
      <c r="A27" s="1883"/>
      <c r="B27" s="1885" t="s">
        <v>7441</v>
      </c>
      <c r="C27" s="1562">
        <v>2</v>
      </c>
      <c r="D27" s="815">
        <v>2</v>
      </c>
      <c r="E27" s="1837">
        <v>7.2</v>
      </c>
      <c r="F27" s="1837"/>
      <c r="G27" s="1852">
        <v>1.3</v>
      </c>
      <c r="H27" s="1837">
        <f>PRODUCT(C27:G27)</f>
        <v>37.44</v>
      </c>
      <c r="I27" s="1869"/>
    </row>
    <row r="28" spans="1:11" s="1833" customFormat="1" ht="27.75" customHeight="1">
      <c r="A28" s="1883"/>
      <c r="B28" s="1885" t="s">
        <v>7439</v>
      </c>
      <c r="C28" s="1562">
        <v>2</v>
      </c>
      <c r="D28" s="815">
        <v>2</v>
      </c>
      <c r="E28" s="1886">
        <f>(0.45+0.34) / 2</f>
        <v>0.4</v>
      </c>
      <c r="F28" s="1886"/>
      <c r="G28" s="1852">
        <v>1.3</v>
      </c>
      <c r="H28" s="1837">
        <f>PRODUCT(C28:G28)</f>
        <v>2.08</v>
      </c>
      <c r="I28" s="1869"/>
      <c r="J28" s="1833">
        <f>(0.45+0.34)/2</f>
        <v>0.4</v>
      </c>
      <c r="K28" s="1833">
        <f>2*2*0.4*1.3</f>
        <v>2.08</v>
      </c>
    </row>
    <row r="29" spans="1:11" s="1833" customFormat="1" ht="27.75" customHeight="1">
      <c r="A29" s="1883"/>
      <c r="B29" s="1885"/>
      <c r="C29" s="1562"/>
      <c r="D29" s="815"/>
      <c r="E29" s="1837"/>
      <c r="F29" s="1837"/>
      <c r="G29" s="1854" t="s">
        <v>2235</v>
      </c>
      <c r="H29" s="1571">
        <f>SUM(H24:H28)</f>
        <v>49.18</v>
      </c>
      <c r="I29" s="1874" t="s">
        <v>7434</v>
      </c>
    </row>
    <row r="30" spans="1:11" s="1833" customFormat="1" ht="48" customHeight="1">
      <c r="A30" s="1883"/>
      <c r="B30" s="1282" t="s">
        <v>7442</v>
      </c>
      <c r="C30" s="1282"/>
      <c r="D30" s="1282"/>
      <c r="E30" s="1879"/>
      <c r="F30" s="1879"/>
      <c r="G30" s="1837"/>
      <c r="H30" s="1571"/>
      <c r="I30" s="1869"/>
    </row>
    <row r="31" spans="1:11" s="1833" customFormat="1" ht="22.5" customHeight="1">
      <c r="A31" s="1883"/>
      <c r="B31" s="1885" t="s">
        <v>7443</v>
      </c>
      <c r="C31" s="1562">
        <v>1</v>
      </c>
      <c r="D31" s="1562">
        <v>1</v>
      </c>
      <c r="E31" s="1837">
        <v>7.2</v>
      </c>
      <c r="F31" s="1837">
        <v>0.9</v>
      </c>
      <c r="G31" s="1882"/>
      <c r="H31" s="1837">
        <f>PRODUCT(C31:G31)</f>
        <v>6.48</v>
      </c>
      <c r="I31" s="1869"/>
    </row>
    <row r="32" spans="1:11" s="1833" customFormat="1" ht="33.75" customHeight="1">
      <c r="A32" s="1883"/>
      <c r="B32" s="1885" t="s">
        <v>7444</v>
      </c>
      <c r="C32" s="1562">
        <v>1</v>
      </c>
      <c r="D32" s="1562">
        <v>1</v>
      </c>
      <c r="E32" s="1837">
        <v>17.559999999999999</v>
      </c>
      <c r="F32" s="1837"/>
      <c r="G32" s="1852">
        <v>0.2</v>
      </c>
      <c r="H32" s="1837">
        <f>PRODUCT(C32:G32)</f>
        <v>3.51</v>
      </c>
      <c r="I32" s="1869"/>
    </row>
    <row r="33" spans="1:10" s="1833" customFormat="1" ht="28.5" customHeight="1">
      <c r="A33" s="1883"/>
      <c r="B33" s="1885"/>
      <c r="C33" s="1562"/>
      <c r="D33" s="815"/>
      <c r="E33" s="1837"/>
      <c r="F33" s="1837"/>
      <c r="G33" s="1854" t="s">
        <v>2235</v>
      </c>
      <c r="H33" s="1571">
        <f>SUM(H31:H32)</f>
        <v>9.99</v>
      </c>
      <c r="I33" s="1874" t="s">
        <v>7434</v>
      </c>
    </row>
    <row r="34" spans="1:10" s="1833" customFormat="1" ht="61.5" customHeight="1">
      <c r="A34" s="1851">
        <v>43.1</v>
      </c>
      <c r="B34" s="1290" t="s">
        <v>7445</v>
      </c>
      <c r="C34" s="1290"/>
      <c r="D34" s="1290"/>
      <c r="E34" s="1290"/>
      <c r="F34" s="1887" t="s">
        <v>7446</v>
      </c>
      <c r="G34" s="1749"/>
      <c r="H34" s="1837"/>
      <c r="I34" s="1869"/>
    </row>
    <row r="35" spans="1:10" s="1833" customFormat="1" ht="24.75" customHeight="1">
      <c r="A35" s="1888"/>
      <c r="B35" s="761" t="s">
        <v>7447</v>
      </c>
      <c r="C35" s="762"/>
      <c r="D35" s="762"/>
      <c r="E35" s="1856"/>
      <c r="F35" s="1856"/>
      <c r="G35" s="1856"/>
      <c r="H35" s="764"/>
    </row>
    <row r="36" spans="1:10" s="1833" customFormat="1" ht="24.75" customHeight="1">
      <c r="A36" s="1888"/>
      <c r="B36" s="761" t="s">
        <v>7448</v>
      </c>
      <c r="C36" s="762">
        <v>1</v>
      </c>
      <c r="D36" s="762">
        <v>15</v>
      </c>
      <c r="E36" s="1856">
        <v>7.15</v>
      </c>
      <c r="F36" s="1856"/>
      <c r="G36" s="1889">
        <v>0.88800000000000001</v>
      </c>
      <c r="H36" s="764">
        <f t="shared" ref="H36:H42" si="0">ROUND(PRODUCT(C36:G36),2)</f>
        <v>95.24</v>
      </c>
    </row>
    <row r="37" spans="1:10" s="1833" customFormat="1" ht="24.75" customHeight="1">
      <c r="A37" s="1888"/>
      <c r="B37" s="761" t="s">
        <v>7449</v>
      </c>
      <c r="C37" s="762">
        <v>1</v>
      </c>
      <c r="D37" s="762">
        <v>53</v>
      </c>
      <c r="E37" s="1856">
        <v>1.53</v>
      </c>
      <c r="F37" s="1856"/>
      <c r="G37" s="1889">
        <v>0.88800000000000001</v>
      </c>
      <c r="H37" s="764">
        <f t="shared" si="0"/>
        <v>72.010000000000005</v>
      </c>
    </row>
    <row r="38" spans="1:10" s="1833" customFormat="1" ht="24.75" customHeight="1">
      <c r="A38" s="1888"/>
      <c r="B38" s="761" t="s">
        <v>7450</v>
      </c>
      <c r="C38" s="762">
        <v>2</v>
      </c>
      <c r="D38" s="762">
        <v>3</v>
      </c>
      <c r="E38" s="1856">
        <v>7.15</v>
      </c>
      <c r="F38" s="1856"/>
      <c r="G38" s="1889">
        <v>0.39500000000000002</v>
      </c>
      <c r="H38" s="764">
        <f t="shared" si="0"/>
        <v>16.95</v>
      </c>
    </row>
    <row r="39" spans="1:10" s="1833" customFormat="1" ht="24.75" customHeight="1">
      <c r="A39" s="1888"/>
      <c r="B39" s="761" t="s">
        <v>7451</v>
      </c>
      <c r="C39" s="762">
        <v>2</v>
      </c>
      <c r="D39" s="762">
        <v>3</v>
      </c>
      <c r="E39" s="1856">
        <v>1.53</v>
      </c>
      <c r="F39" s="1856"/>
      <c r="G39" s="1889">
        <v>0.61699999999999999</v>
      </c>
      <c r="H39" s="764">
        <f t="shared" si="0"/>
        <v>5.66</v>
      </c>
    </row>
    <row r="40" spans="1:10" s="1833" customFormat="1" ht="24.75" customHeight="1">
      <c r="A40" s="1888"/>
      <c r="B40" s="761" t="s">
        <v>7452</v>
      </c>
      <c r="C40" s="762">
        <v>2</v>
      </c>
      <c r="D40" s="762">
        <v>12</v>
      </c>
      <c r="E40" s="1856">
        <v>0.9</v>
      </c>
      <c r="F40" s="1856"/>
      <c r="G40" s="1889">
        <v>0.61699999999999999</v>
      </c>
      <c r="H40" s="764">
        <f t="shared" si="0"/>
        <v>13.33</v>
      </c>
    </row>
    <row r="41" spans="1:10" s="1833" customFormat="1" ht="24.75" customHeight="1">
      <c r="A41" s="1888"/>
      <c r="B41" s="761" t="s">
        <v>7452</v>
      </c>
      <c r="C41" s="762">
        <v>2</v>
      </c>
      <c r="D41" s="762">
        <v>8</v>
      </c>
      <c r="E41" s="1856">
        <v>0.6</v>
      </c>
      <c r="F41" s="1856"/>
      <c r="G41" s="1889">
        <v>0.61699999999999999</v>
      </c>
      <c r="H41" s="764">
        <f t="shared" si="0"/>
        <v>5.92</v>
      </c>
    </row>
    <row r="42" spans="1:10" s="1833" customFormat="1" ht="24.75" customHeight="1">
      <c r="A42" s="1888"/>
      <c r="B42" s="761" t="s">
        <v>7453</v>
      </c>
      <c r="C42" s="762">
        <v>4</v>
      </c>
      <c r="D42" s="762">
        <v>6</v>
      </c>
      <c r="E42" s="1856">
        <v>0.9</v>
      </c>
      <c r="F42" s="1856"/>
      <c r="G42" s="1889">
        <v>0.88800000000000001</v>
      </c>
      <c r="H42" s="764">
        <f t="shared" si="0"/>
        <v>19.18</v>
      </c>
    </row>
    <row r="43" spans="1:10" s="1833" customFormat="1" ht="30.75" customHeight="1">
      <c r="A43" s="1880"/>
      <c r="B43" s="814"/>
      <c r="C43" s="1562"/>
      <c r="D43" s="815"/>
      <c r="E43" s="1890"/>
      <c r="F43" s="1890"/>
      <c r="G43" s="1891" t="s">
        <v>2235</v>
      </c>
      <c r="H43" s="1837">
        <f>SUM(H36:H42)</f>
        <v>228.29</v>
      </c>
      <c r="I43" s="1869" t="s">
        <v>7454</v>
      </c>
    </row>
    <row r="44" spans="1:10" s="1833" customFormat="1" ht="30.75" customHeight="1">
      <c r="A44" s="1880"/>
      <c r="B44" s="814"/>
      <c r="C44" s="1562"/>
      <c r="D44" s="815"/>
      <c r="E44" s="1837"/>
      <c r="F44" s="1837"/>
      <c r="G44" s="1571" t="s">
        <v>4209</v>
      </c>
      <c r="H44" s="1892">
        <f>(H43/1000)</f>
        <v>0.22800000000000001</v>
      </c>
      <c r="I44" s="1869" t="s">
        <v>525</v>
      </c>
    </row>
    <row r="45" spans="1:10" s="830" customFormat="1" ht="31.5" customHeight="1">
      <c r="A45" s="826">
        <v>238</v>
      </c>
      <c r="B45" s="1893" t="s">
        <v>7156</v>
      </c>
      <c r="C45" s="826"/>
      <c r="D45" s="826"/>
      <c r="E45" s="1894"/>
      <c r="F45" s="1894"/>
      <c r="G45" s="1895"/>
      <c r="H45" s="829"/>
      <c r="I45" s="1896"/>
      <c r="J45" s="1897"/>
    </row>
    <row r="46" spans="1:10" s="830" customFormat="1" ht="31.5" customHeight="1">
      <c r="A46" s="826"/>
      <c r="B46" s="827" t="s">
        <v>7194</v>
      </c>
      <c r="C46" s="826">
        <v>1</v>
      </c>
      <c r="D46" s="826">
        <v>1</v>
      </c>
      <c r="E46" s="1894">
        <f>H44</f>
        <v>0.22800000000000001</v>
      </c>
      <c r="F46" s="1894"/>
      <c r="G46" s="1895"/>
      <c r="H46" s="1895">
        <f>PRODUCT(C46:G46)</f>
        <v>0.22800000000000001</v>
      </c>
      <c r="I46" s="1898" t="s">
        <v>525</v>
      </c>
      <c r="J46" s="1897"/>
    </row>
    <row r="50" spans="1:9">
      <c r="A50" s="1899" t="s">
        <v>7455</v>
      </c>
      <c r="B50" s="1899"/>
      <c r="C50" s="1899"/>
      <c r="D50" s="1899"/>
      <c r="E50" s="1899"/>
      <c r="F50" s="1899"/>
      <c r="G50" s="1899"/>
      <c r="H50" s="1899"/>
      <c r="I50" s="1899"/>
    </row>
  </sheetData>
  <mergeCells count="21">
    <mergeCell ref="A50:I50"/>
    <mergeCell ref="B19:E19"/>
    <mergeCell ref="B21:F21"/>
    <mergeCell ref="B22:D22"/>
    <mergeCell ref="E28:F28"/>
    <mergeCell ref="B30:D30"/>
    <mergeCell ref="B34:E34"/>
    <mergeCell ref="B6:E6"/>
    <mergeCell ref="B9:D9"/>
    <mergeCell ref="B11:E11"/>
    <mergeCell ref="B13:E13"/>
    <mergeCell ref="B15:D15"/>
    <mergeCell ref="B17:E17"/>
    <mergeCell ref="A1:I1"/>
    <mergeCell ref="A2:I2"/>
    <mergeCell ref="A3:I3"/>
    <mergeCell ref="A4:A5"/>
    <mergeCell ref="B4:B5"/>
    <mergeCell ref="C4:D5"/>
    <mergeCell ref="E4:G4"/>
    <mergeCell ref="H4:H5"/>
  </mergeCells>
  <pageMargins left="0.9" right="0.26" top="0.41" bottom="0.16" header="0.16" footer="0.16"/>
  <pageSetup paperSize="9" scale="85"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79"/>
  <sheetViews>
    <sheetView view="pageBreakPreview" topLeftCell="A70" zoomScale="99" zoomScaleSheetLayoutView="99" workbookViewId="0">
      <selection activeCell="B27" sqref="B27"/>
    </sheetView>
  </sheetViews>
  <sheetFormatPr defaultRowHeight="18.75"/>
  <cols>
    <col min="1" max="1" width="6.33203125" style="1977" customWidth="1"/>
    <col min="2" max="2" width="33.5546875" style="1833" customWidth="1"/>
    <col min="3" max="3" width="3.77734375" style="1978" customWidth="1"/>
    <col min="4" max="4" width="3.77734375" style="1977" customWidth="1"/>
    <col min="5" max="5" width="8" style="1833" customWidth="1"/>
    <col min="6" max="6" width="6.77734375" style="1833" customWidth="1"/>
    <col min="7" max="7" width="7.88671875" style="1833" customWidth="1"/>
    <col min="8" max="8" width="9.44140625" style="1978" customWidth="1"/>
    <col min="9" max="9" width="4.77734375" style="1834" customWidth="1"/>
    <col min="10" max="10" width="10" style="1833" bestFit="1" customWidth="1"/>
    <col min="11" max="11" width="9.21875" style="1833" bestFit="1" customWidth="1"/>
    <col min="12" max="256" width="8.88671875" style="1833"/>
    <col min="257" max="257" width="6.33203125" style="1833" customWidth="1"/>
    <col min="258" max="258" width="33.5546875" style="1833" customWidth="1"/>
    <col min="259" max="260" width="3.77734375" style="1833" customWidth="1"/>
    <col min="261" max="261" width="8" style="1833" customWidth="1"/>
    <col min="262" max="262" width="6.77734375" style="1833" customWidth="1"/>
    <col min="263" max="263" width="7.88671875" style="1833" customWidth="1"/>
    <col min="264" max="264" width="9.44140625" style="1833" customWidth="1"/>
    <col min="265" max="265" width="4.77734375" style="1833" customWidth="1"/>
    <col min="266" max="266" width="10" style="1833" bestFit="1" customWidth="1"/>
    <col min="267" max="267" width="9.21875" style="1833" bestFit="1" customWidth="1"/>
    <col min="268" max="512" width="8.88671875" style="1833"/>
    <col min="513" max="513" width="6.33203125" style="1833" customWidth="1"/>
    <col min="514" max="514" width="33.5546875" style="1833" customWidth="1"/>
    <col min="515" max="516" width="3.77734375" style="1833" customWidth="1"/>
    <col min="517" max="517" width="8" style="1833" customWidth="1"/>
    <col min="518" max="518" width="6.77734375" style="1833" customWidth="1"/>
    <col min="519" max="519" width="7.88671875" style="1833" customWidth="1"/>
    <col min="520" max="520" width="9.44140625" style="1833" customWidth="1"/>
    <col min="521" max="521" width="4.77734375" style="1833" customWidth="1"/>
    <col min="522" max="522" width="10" style="1833" bestFit="1" customWidth="1"/>
    <col min="523" max="523" width="9.21875" style="1833" bestFit="1" customWidth="1"/>
    <col min="524" max="768" width="8.88671875" style="1833"/>
    <col min="769" max="769" width="6.33203125" style="1833" customWidth="1"/>
    <col min="770" max="770" width="33.5546875" style="1833" customWidth="1"/>
    <col min="771" max="772" width="3.77734375" style="1833" customWidth="1"/>
    <col min="773" max="773" width="8" style="1833" customWidth="1"/>
    <col min="774" max="774" width="6.77734375" style="1833" customWidth="1"/>
    <col min="775" max="775" width="7.88671875" style="1833" customWidth="1"/>
    <col min="776" max="776" width="9.44140625" style="1833" customWidth="1"/>
    <col min="777" max="777" width="4.77734375" style="1833" customWidth="1"/>
    <col min="778" max="778" width="10" style="1833" bestFit="1" customWidth="1"/>
    <col min="779" max="779" width="9.21875" style="1833" bestFit="1" customWidth="1"/>
    <col min="780" max="1024" width="8.88671875" style="1833"/>
    <col min="1025" max="1025" width="6.33203125" style="1833" customWidth="1"/>
    <col min="1026" max="1026" width="33.5546875" style="1833" customWidth="1"/>
    <col min="1027" max="1028" width="3.77734375" style="1833" customWidth="1"/>
    <col min="1029" max="1029" width="8" style="1833" customWidth="1"/>
    <col min="1030" max="1030" width="6.77734375" style="1833" customWidth="1"/>
    <col min="1031" max="1031" width="7.88671875" style="1833" customWidth="1"/>
    <col min="1032" max="1032" width="9.44140625" style="1833" customWidth="1"/>
    <col min="1033" max="1033" width="4.77734375" style="1833" customWidth="1"/>
    <col min="1034" max="1034" width="10" style="1833" bestFit="1" customWidth="1"/>
    <col min="1035" max="1035" width="9.21875" style="1833" bestFit="1" customWidth="1"/>
    <col min="1036" max="1280" width="8.88671875" style="1833"/>
    <col min="1281" max="1281" width="6.33203125" style="1833" customWidth="1"/>
    <col min="1282" max="1282" width="33.5546875" style="1833" customWidth="1"/>
    <col min="1283" max="1284" width="3.77734375" style="1833" customWidth="1"/>
    <col min="1285" max="1285" width="8" style="1833" customWidth="1"/>
    <col min="1286" max="1286" width="6.77734375" style="1833" customWidth="1"/>
    <col min="1287" max="1287" width="7.88671875" style="1833" customWidth="1"/>
    <col min="1288" max="1288" width="9.44140625" style="1833" customWidth="1"/>
    <col min="1289" max="1289" width="4.77734375" style="1833" customWidth="1"/>
    <col min="1290" max="1290" width="10" style="1833" bestFit="1" customWidth="1"/>
    <col min="1291" max="1291" width="9.21875" style="1833" bestFit="1" customWidth="1"/>
    <col min="1292" max="1536" width="8.88671875" style="1833"/>
    <col min="1537" max="1537" width="6.33203125" style="1833" customWidth="1"/>
    <col min="1538" max="1538" width="33.5546875" style="1833" customWidth="1"/>
    <col min="1539" max="1540" width="3.77734375" style="1833" customWidth="1"/>
    <col min="1541" max="1541" width="8" style="1833" customWidth="1"/>
    <col min="1542" max="1542" width="6.77734375" style="1833" customWidth="1"/>
    <col min="1543" max="1543" width="7.88671875" style="1833" customWidth="1"/>
    <col min="1544" max="1544" width="9.44140625" style="1833" customWidth="1"/>
    <col min="1545" max="1545" width="4.77734375" style="1833" customWidth="1"/>
    <col min="1546" max="1546" width="10" style="1833" bestFit="1" customWidth="1"/>
    <col min="1547" max="1547" width="9.21875" style="1833" bestFit="1" customWidth="1"/>
    <col min="1548" max="1792" width="8.88671875" style="1833"/>
    <col min="1793" max="1793" width="6.33203125" style="1833" customWidth="1"/>
    <col min="1794" max="1794" width="33.5546875" style="1833" customWidth="1"/>
    <col min="1795" max="1796" width="3.77734375" style="1833" customWidth="1"/>
    <col min="1797" max="1797" width="8" style="1833" customWidth="1"/>
    <col min="1798" max="1798" width="6.77734375" style="1833" customWidth="1"/>
    <col min="1799" max="1799" width="7.88671875" style="1833" customWidth="1"/>
    <col min="1800" max="1800" width="9.44140625" style="1833" customWidth="1"/>
    <col min="1801" max="1801" width="4.77734375" style="1833" customWidth="1"/>
    <col min="1802" max="1802" width="10" style="1833" bestFit="1" customWidth="1"/>
    <col min="1803" max="1803" width="9.21875" style="1833" bestFit="1" customWidth="1"/>
    <col min="1804" max="2048" width="8.88671875" style="1833"/>
    <col min="2049" max="2049" width="6.33203125" style="1833" customWidth="1"/>
    <col min="2050" max="2050" width="33.5546875" style="1833" customWidth="1"/>
    <col min="2051" max="2052" width="3.77734375" style="1833" customWidth="1"/>
    <col min="2053" max="2053" width="8" style="1833" customWidth="1"/>
    <col min="2054" max="2054" width="6.77734375" style="1833" customWidth="1"/>
    <col min="2055" max="2055" width="7.88671875" style="1833" customWidth="1"/>
    <col min="2056" max="2056" width="9.44140625" style="1833" customWidth="1"/>
    <col min="2057" max="2057" width="4.77734375" style="1833" customWidth="1"/>
    <col min="2058" max="2058" width="10" style="1833" bestFit="1" customWidth="1"/>
    <col min="2059" max="2059" width="9.21875" style="1833" bestFit="1" customWidth="1"/>
    <col min="2060" max="2304" width="8.88671875" style="1833"/>
    <col min="2305" max="2305" width="6.33203125" style="1833" customWidth="1"/>
    <col min="2306" max="2306" width="33.5546875" style="1833" customWidth="1"/>
    <col min="2307" max="2308" width="3.77734375" style="1833" customWidth="1"/>
    <col min="2309" max="2309" width="8" style="1833" customWidth="1"/>
    <col min="2310" max="2310" width="6.77734375" style="1833" customWidth="1"/>
    <col min="2311" max="2311" width="7.88671875" style="1833" customWidth="1"/>
    <col min="2312" max="2312" width="9.44140625" style="1833" customWidth="1"/>
    <col min="2313" max="2313" width="4.77734375" style="1833" customWidth="1"/>
    <col min="2314" max="2314" width="10" style="1833" bestFit="1" customWidth="1"/>
    <col min="2315" max="2315" width="9.21875" style="1833" bestFit="1" customWidth="1"/>
    <col min="2316" max="2560" width="8.88671875" style="1833"/>
    <col min="2561" max="2561" width="6.33203125" style="1833" customWidth="1"/>
    <col min="2562" max="2562" width="33.5546875" style="1833" customWidth="1"/>
    <col min="2563" max="2564" width="3.77734375" style="1833" customWidth="1"/>
    <col min="2565" max="2565" width="8" style="1833" customWidth="1"/>
    <col min="2566" max="2566" width="6.77734375" style="1833" customWidth="1"/>
    <col min="2567" max="2567" width="7.88671875" style="1833" customWidth="1"/>
    <col min="2568" max="2568" width="9.44140625" style="1833" customWidth="1"/>
    <col min="2569" max="2569" width="4.77734375" style="1833" customWidth="1"/>
    <col min="2570" max="2570" width="10" style="1833" bestFit="1" customWidth="1"/>
    <col min="2571" max="2571" width="9.21875" style="1833" bestFit="1" customWidth="1"/>
    <col min="2572" max="2816" width="8.88671875" style="1833"/>
    <col min="2817" max="2817" width="6.33203125" style="1833" customWidth="1"/>
    <col min="2818" max="2818" width="33.5546875" style="1833" customWidth="1"/>
    <col min="2819" max="2820" width="3.77734375" style="1833" customWidth="1"/>
    <col min="2821" max="2821" width="8" style="1833" customWidth="1"/>
    <col min="2822" max="2822" width="6.77734375" style="1833" customWidth="1"/>
    <col min="2823" max="2823" width="7.88671875" style="1833" customWidth="1"/>
    <col min="2824" max="2824" width="9.44140625" style="1833" customWidth="1"/>
    <col min="2825" max="2825" width="4.77734375" style="1833" customWidth="1"/>
    <col min="2826" max="2826" width="10" style="1833" bestFit="1" customWidth="1"/>
    <col min="2827" max="2827" width="9.21875" style="1833" bestFit="1" customWidth="1"/>
    <col min="2828" max="3072" width="8.88671875" style="1833"/>
    <col min="3073" max="3073" width="6.33203125" style="1833" customWidth="1"/>
    <col min="3074" max="3074" width="33.5546875" style="1833" customWidth="1"/>
    <col min="3075" max="3076" width="3.77734375" style="1833" customWidth="1"/>
    <col min="3077" max="3077" width="8" style="1833" customWidth="1"/>
    <col min="3078" max="3078" width="6.77734375" style="1833" customWidth="1"/>
    <col min="3079" max="3079" width="7.88671875" style="1833" customWidth="1"/>
    <col min="3080" max="3080" width="9.44140625" style="1833" customWidth="1"/>
    <col min="3081" max="3081" width="4.77734375" style="1833" customWidth="1"/>
    <col min="3082" max="3082" width="10" style="1833" bestFit="1" customWidth="1"/>
    <col min="3083" max="3083" width="9.21875" style="1833" bestFit="1" customWidth="1"/>
    <col min="3084" max="3328" width="8.88671875" style="1833"/>
    <col min="3329" max="3329" width="6.33203125" style="1833" customWidth="1"/>
    <col min="3330" max="3330" width="33.5546875" style="1833" customWidth="1"/>
    <col min="3331" max="3332" width="3.77734375" style="1833" customWidth="1"/>
    <col min="3333" max="3333" width="8" style="1833" customWidth="1"/>
    <col min="3334" max="3334" width="6.77734375" style="1833" customWidth="1"/>
    <col min="3335" max="3335" width="7.88671875" style="1833" customWidth="1"/>
    <col min="3336" max="3336" width="9.44140625" style="1833" customWidth="1"/>
    <col min="3337" max="3337" width="4.77734375" style="1833" customWidth="1"/>
    <col min="3338" max="3338" width="10" style="1833" bestFit="1" customWidth="1"/>
    <col min="3339" max="3339" width="9.21875" style="1833" bestFit="1" customWidth="1"/>
    <col min="3340" max="3584" width="8.88671875" style="1833"/>
    <col min="3585" max="3585" width="6.33203125" style="1833" customWidth="1"/>
    <col min="3586" max="3586" width="33.5546875" style="1833" customWidth="1"/>
    <col min="3587" max="3588" width="3.77734375" style="1833" customWidth="1"/>
    <col min="3589" max="3589" width="8" style="1833" customWidth="1"/>
    <col min="3590" max="3590" width="6.77734375" style="1833" customWidth="1"/>
    <col min="3591" max="3591" width="7.88671875" style="1833" customWidth="1"/>
    <col min="3592" max="3592" width="9.44140625" style="1833" customWidth="1"/>
    <col min="3593" max="3593" width="4.77734375" style="1833" customWidth="1"/>
    <col min="3594" max="3594" width="10" style="1833" bestFit="1" customWidth="1"/>
    <col min="3595" max="3595" width="9.21875" style="1833" bestFit="1" customWidth="1"/>
    <col min="3596" max="3840" width="8.88671875" style="1833"/>
    <col min="3841" max="3841" width="6.33203125" style="1833" customWidth="1"/>
    <col min="3842" max="3842" width="33.5546875" style="1833" customWidth="1"/>
    <col min="3843" max="3844" width="3.77734375" style="1833" customWidth="1"/>
    <col min="3845" max="3845" width="8" style="1833" customWidth="1"/>
    <col min="3846" max="3846" width="6.77734375" style="1833" customWidth="1"/>
    <col min="3847" max="3847" width="7.88671875" style="1833" customWidth="1"/>
    <col min="3848" max="3848" width="9.44140625" style="1833" customWidth="1"/>
    <col min="3849" max="3849" width="4.77734375" style="1833" customWidth="1"/>
    <col min="3850" max="3850" width="10" style="1833" bestFit="1" customWidth="1"/>
    <col min="3851" max="3851" width="9.21875" style="1833" bestFit="1" customWidth="1"/>
    <col min="3852" max="4096" width="8.88671875" style="1833"/>
    <col min="4097" max="4097" width="6.33203125" style="1833" customWidth="1"/>
    <col min="4098" max="4098" width="33.5546875" style="1833" customWidth="1"/>
    <col min="4099" max="4100" width="3.77734375" style="1833" customWidth="1"/>
    <col min="4101" max="4101" width="8" style="1833" customWidth="1"/>
    <col min="4102" max="4102" width="6.77734375" style="1833" customWidth="1"/>
    <col min="4103" max="4103" width="7.88671875" style="1833" customWidth="1"/>
    <col min="4104" max="4104" width="9.44140625" style="1833" customWidth="1"/>
    <col min="4105" max="4105" width="4.77734375" style="1833" customWidth="1"/>
    <col min="4106" max="4106" width="10" style="1833" bestFit="1" customWidth="1"/>
    <col min="4107" max="4107" width="9.21875" style="1833" bestFit="1" customWidth="1"/>
    <col min="4108" max="4352" width="8.88671875" style="1833"/>
    <col min="4353" max="4353" width="6.33203125" style="1833" customWidth="1"/>
    <col min="4354" max="4354" width="33.5546875" style="1833" customWidth="1"/>
    <col min="4355" max="4356" width="3.77734375" style="1833" customWidth="1"/>
    <col min="4357" max="4357" width="8" style="1833" customWidth="1"/>
    <col min="4358" max="4358" width="6.77734375" style="1833" customWidth="1"/>
    <col min="4359" max="4359" width="7.88671875" style="1833" customWidth="1"/>
    <col min="4360" max="4360" width="9.44140625" style="1833" customWidth="1"/>
    <col min="4361" max="4361" width="4.77734375" style="1833" customWidth="1"/>
    <col min="4362" max="4362" width="10" style="1833" bestFit="1" customWidth="1"/>
    <col min="4363" max="4363" width="9.21875" style="1833" bestFit="1" customWidth="1"/>
    <col min="4364" max="4608" width="8.88671875" style="1833"/>
    <col min="4609" max="4609" width="6.33203125" style="1833" customWidth="1"/>
    <col min="4610" max="4610" width="33.5546875" style="1833" customWidth="1"/>
    <col min="4611" max="4612" width="3.77734375" style="1833" customWidth="1"/>
    <col min="4613" max="4613" width="8" style="1833" customWidth="1"/>
    <col min="4614" max="4614" width="6.77734375" style="1833" customWidth="1"/>
    <col min="4615" max="4615" width="7.88671875" style="1833" customWidth="1"/>
    <col min="4616" max="4616" width="9.44140625" style="1833" customWidth="1"/>
    <col min="4617" max="4617" width="4.77734375" style="1833" customWidth="1"/>
    <col min="4618" max="4618" width="10" style="1833" bestFit="1" customWidth="1"/>
    <col min="4619" max="4619" width="9.21875" style="1833" bestFit="1" customWidth="1"/>
    <col min="4620" max="4864" width="8.88671875" style="1833"/>
    <col min="4865" max="4865" width="6.33203125" style="1833" customWidth="1"/>
    <col min="4866" max="4866" width="33.5546875" style="1833" customWidth="1"/>
    <col min="4867" max="4868" width="3.77734375" style="1833" customWidth="1"/>
    <col min="4869" max="4869" width="8" style="1833" customWidth="1"/>
    <col min="4870" max="4870" width="6.77734375" style="1833" customWidth="1"/>
    <col min="4871" max="4871" width="7.88671875" style="1833" customWidth="1"/>
    <col min="4872" max="4872" width="9.44140625" style="1833" customWidth="1"/>
    <col min="4873" max="4873" width="4.77734375" style="1833" customWidth="1"/>
    <col min="4874" max="4874" width="10" style="1833" bestFit="1" customWidth="1"/>
    <col min="4875" max="4875" width="9.21875" style="1833" bestFit="1" customWidth="1"/>
    <col min="4876" max="5120" width="8.88671875" style="1833"/>
    <col min="5121" max="5121" width="6.33203125" style="1833" customWidth="1"/>
    <col min="5122" max="5122" width="33.5546875" style="1833" customWidth="1"/>
    <col min="5123" max="5124" width="3.77734375" style="1833" customWidth="1"/>
    <col min="5125" max="5125" width="8" style="1833" customWidth="1"/>
    <col min="5126" max="5126" width="6.77734375" style="1833" customWidth="1"/>
    <col min="5127" max="5127" width="7.88671875" style="1833" customWidth="1"/>
    <col min="5128" max="5128" width="9.44140625" style="1833" customWidth="1"/>
    <col min="5129" max="5129" width="4.77734375" style="1833" customWidth="1"/>
    <col min="5130" max="5130" width="10" style="1833" bestFit="1" customWidth="1"/>
    <col min="5131" max="5131" width="9.21875" style="1833" bestFit="1" customWidth="1"/>
    <col min="5132" max="5376" width="8.88671875" style="1833"/>
    <col min="5377" max="5377" width="6.33203125" style="1833" customWidth="1"/>
    <col min="5378" max="5378" width="33.5546875" style="1833" customWidth="1"/>
    <col min="5379" max="5380" width="3.77734375" style="1833" customWidth="1"/>
    <col min="5381" max="5381" width="8" style="1833" customWidth="1"/>
    <col min="5382" max="5382" width="6.77734375" style="1833" customWidth="1"/>
    <col min="5383" max="5383" width="7.88671875" style="1833" customWidth="1"/>
    <col min="5384" max="5384" width="9.44140625" style="1833" customWidth="1"/>
    <col min="5385" max="5385" width="4.77734375" style="1833" customWidth="1"/>
    <col min="5386" max="5386" width="10" style="1833" bestFit="1" customWidth="1"/>
    <col min="5387" max="5387" width="9.21875" style="1833" bestFit="1" customWidth="1"/>
    <col min="5388" max="5632" width="8.88671875" style="1833"/>
    <col min="5633" max="5633" width="6.33203125" style="1833" customWidth="1"/>
    <col min="5634" max="5634" width="33.5546875" style="1833" customWidth="1"/>
    <col min="5635" max="5636" width="3.77734375" style="1833" customWidth="1"/>
    <col min="5637" max="5637" width="8" style="1833" customWidth="1"/>
    <col min="5638" max="5638" width="6.77734375" style="1833" customWidth="1"/>
    <col min="5639" max="5639" width="7.88671875" style="1833" customWidth="1"/>
    <col min="5640" max="5640" width="9.44140625" style="1833" customWidth="1"/>
    <col min="5641" max="5641" width="4.77734375" style="1833" customWidth="1"/>
    <col min="5642" max="5642" width="10" style="1833" bestFit="1" customWidth="1"/>
    <col min="5643" max="5643" width="9.21875" style="1833" bestFit="1" customWidth="1"/>
    <col min="5644" max="5888" width="8.88671875" style="1833"/>
    <col min="5889" max="5889" width="6.33203125" style="1833" customWidth="1"/>
    <col min="5890" max="5890" width="33.5546875" style="1833" customWidth="1"/>
    <col min="5891" max="5892" width="3.77734375" style="1833" customWidth="1"/>
    <col min="5893" max="5893" width="8" style="1833" customWidth="1"/>
    <col min="5894" max="5894" width="6.77734375" style="1833" customWidth="1"/>
    <col min="5895" max="5895" width="7.88671875" style="1833" customWidth="1"/>
    <col min="5896" max="5896" width="9.44140625" style="1833" customWidth="1"/>
    <col min="5897" max="5897" width="4.77734375" style="1833" customWidth="1"/>
    <col min="5898" max="5898" width="10" style="1833" bestFit="1" customWidth="1"/>
    <col min="5899" max="5899" width="9.21875" style="1833" bestFit="1" customWidth="1"/>
    <col min="5900" max="6144" width="8.88671875" style="1833"/>
    <col min="6145" max="6145" width="6.33203125" style="1833" customWidth="1"/>
    <col min="6146" max="6146" width="33.5546875" style="1833" customWidth="1"/>
    <col min="6147" max="6148" width="3.77734375" style="1833" customWidth="1"/>
    <col min="6149" max="6149" width="8" style="1833" customWidth="1"/>
    <col min="6150" max="6150" width="6.77734375" style="1833" customWidth="1"/>
    <col min="6151" max="6151" width="7.88671875" style="1833" customWidth="1"/>
    <col min="6152" max="6152" width="9.44140625" style="1833" customWidth="1"/>
    <col min="6153" max="6153" width="4.77734375" style="1833" customWidth="1"/>
    <col min="6154" max="6154" width="10" style="1833" bestFit="1" customWidth="1"/>
    <col min="6155" max="6155" width="9.21875" style="1833" bestFit="1" customWidth="1"/>
    <col min="6156" max="6400" width="8.88671875" style="1833"/>
    <col min="6401" max="6401" width="6.33203125" style="1833" customWidth="1"/>
    <col min="6402" max="6402" width="33.5546875" style="1833" customWidth="1"/>
    <col min="6403" max="6404" width="3.77734375" style="1833" customWidth="1"/>
    <col min="6405" max="6405" width="8" style="1833" customWidth="1"/>
    <col min="6406" max="6406" width="6.77734375" style="1833" customWidth="1"/>
    <col min="6407" max="6407" width="7.88671875" style="1833" customWidth="1"/>
    <col min="6408" max="6408" width="9.44140625" style="1833" customWidth="1"/>
    <col min="6409" max="6409" width="4.77734375" style="1833" customWidth="1"/>
    <col min="6410" max="6410" width="10" style="1833" bestFit="1" customWidth="1"/>
    <col min="6411" max="6411" width="9.21875" style="1833" bestFit="1" customWidth="1"/>
    <col min="6412" max="6656" width="8.88671875" style="1833"/>
    <col min="6657" max="6657" width="6.33203125" style="1833" customWidth="1"/>
    <col min="6658" max="6658" width="33.5546875" style="1833" customWidth="1"/>
    <col min="6659" max="6660" width="3.77734375" style="1833" customWidth="1"/>
    <col min="6661" max="6661" width="8" style="1833" customWidth="1"/>
    <col min="6662" max="6662" width="6.77734375" style="1833" customWidth="1"/>
    <col min="6663" max="6663" width="7.88671875" style="1833" customWidth="1"/>
    <col min="6664" max="6664" width="9.44140625" style="1833" customWidth="1"/>
    <col min="6665" max="6665" width="4.77734375" style="1833" customWidth="1"/>
    <col min="6666" max="6666" width="10" style="1833" bestFit="1" customWidth="1"/>
    <col min="6667" max="6667" width="9.21875" style="1833" bestFit="1" customWidth="1"/>
    <col min="6668" max="6912" width="8.88671875" style="1833"/>
    <col min="6913" max="6913" width="6.33203125" style="1833" customWidth="1"/>
    <col min="6914" max="6914" width="33.5546875" style="1833" customWidth="1"/>
    <col min="6915" max="6916" width="3.77734375" style="1833" customWidth="1"/>
    <col min="6917" max="6917" width="8" style="1833" customWidth="1"/>
    <col min="6918" max="6918" width="6.77734375" style="1833" customWidth="1"/>
    <col min="6919" max="6919" width="7.88671875" style="1833" customWidth="1"/>
    <col min="6920" max="6920" width="9.44140625" style="1833" customWidth="1"/>
    <col min="6921" max="6921" width="4.77734375" style="1833" customWidth="1"/>
    <col min="6922" max="6922" width="10" style="1833" bestFit="1" customWidth="1"/>
    <col min="6923" max="6923" width="9.21875" style="1833" bestFit="1" customWidth="1"/>
    <col min="6924" max="7168" width="8.88671875" style="1833"/>
    <col min="7169" max="7169" width="6.33203125" style="1833" customWidth="1"/>
    <col min="7170" max="7170" width="33.5546875" style="1833" customWidth="1"/>
    <col min="7171" max="7172" width="3.77734375" style="1833" customWidth="1"/>
    <col min="7173" max="7173" width="8" style="1833" customWidth="1"/>
    <col min="7174" max="7174" width="6.77734375" style="1833" customWidth="1"/>
    <col min="7175" max="7175" width="7.88671875" style="1833" customWidth="1"/>
    <col min="7176" max="7176" width="9.44140625" style="1833" customWidth="1"/>
    <col min="7177" max="7177" width="4.77734375" style="1833" customWidth="1"/>
    <col min="7178" max="7178" width="10" style="1833" bestFit="1" customWidth="1"/>
    <col min="7179" max="7179" width="9.21875" style="1833" bestFit="1" customWidth="1"/>
    <col min="7180" max="7424" width="8.88671875" style="1833"/>
    <col min="7425" max="7425" width="6.33203125" style="1833" customWidth="1"/>
    <col min="7426" max="7426" width="33.5546875" style="1833" customWidth="1"/>
    <col min="7427" max="7428" width="3.77734375" style="1833" customWidth="1"/>
    <col min="7429" max="7429" width="8" style="1833" customWidth="1"/>
    <col min="7430" max="7430" width="6.77734375" style="1833" customWidth="1"/>
    <col min="7431" max="7431" width="7.88671875" style="1833" customWidth="1"/>
    <col min="7432" max="7432" width="9.44140625" style="1833" customWidth="1"/>
    <col min="7433" max="7433" width="4.77734375" style="1833" customWidth="1"/>
    <col min="7434" max="7434" width="10" style="1833" bestFit="1" customWidth="1"/>
    <col min="7435" max="7435" width="9.21875" style="1833" bestFit="1" customWidth="1"/>
    <col min="7436" max="7680" width="8.88671875" style="1833"/>
    <col min="7681" max="7681" width="6.33203125" style="1833" customWidth="1"/>
    <col min="7682" max="7682" width="33.5546875" style="1833" customWidth="1"/>
    <col min="7683" max="7684" width="3.77734375" style="1833" customWidth="1"/>
    <col min="7685" max="7685" width="8" style="1833" customWidth="1"/>
    <col min="7686" max="7686" width="6.77734375" style="1833" customWidth="1"/>
    <col min="7687" max="7687" width="7.88671875" style="1833" customWidth="1"/>
    <col min="7688" max="7688" width="9.44140625" style="1833" customWidth="1"/>
    <col min="7689" max="7689" width="4.77734375" style="1833" customWidth="1"/>
    <col min="7690" max="7690" width="10" style="1833" bestFit="1" customWidth="1"/>
    <col min="7691" max="7691" width="9.21875" style="1833" bestFit="1" customWidth="1"/>
    <col min="7692" max="7936" width="8.88671875" style="1833"/>
    <col min="7937" max="7937" width="6.33203125" style="1833" customWidth="1"/>
    <col min="7938" max="7938" width="33.5546875" style="1833" customWidth="1"/>
    <col min="7939" max="7940" width="3.77734375" style="1833" customWidth="1"/>
    <col min="7941" max="7941" width="8" style="1833" customWidth="1"/>
    <col min="7942" max="7942" width="6.77734375" style="1833" customWidth="1"/>
    <col min="7943" max="7943" width="7.88671875" style="1833" customWidth="1"/>
    <col min="7944" max="7944" width="9.44140625" style="1833" customWidth="1"/>
    <col min="7945" max="7945" width="4.77734375" style="1833" customWidth="1"/>
    <col min="7946" max="7946" width="10" style="1833" bestFit="1" customWidth="1"/>
    <col min="7947" max="7947" width="9.21875" style="1833" bestFit="1" customWidth="1"/>
    <col min="7948" max="8192" width="8.88671875" style="1833"/>
    <col min="8193" max="8193" width="6.33203125" style="1833" customWidth="1"/>
    <col min="8194" max="8194" width="33.5546875" style="1833" customWidth="1"/>
    <col min="8195" max="8196" width="3.77734375" style="1833" customWidth="1"/>
    <col min="8197" max="8197" width="8" style="1833" customWidth="1"/>
    <col min="8198" max="8198" width="6.77734375" style="1833" customWidth="1"/>
    <col min="8199" max="8199" width="7.88671875" style="1833" customWidth="1"/>
    <col min="8200" max="8200" width="9.44140625" style="1833" customWidth="1"/>
    <col min="8201" max="8201" width="4.77734375" style="1833" customWidth="1"/>
    <col min="8202" max="8202" width="10" style="1833" bestFit="1" customWidth="1"/>
    <col min="8203" max="8203" width="9.21875" style="1833" bestFit="1" customWidth="1"/>
    <col min="8204" max="8448" width="8.88671875" style="1833"/>
    <col min="8449" max="8449" width="6.33203125" style="1833" customWidth="1"/>
    <col min="8450" max="8450" width="33.5546875" style="1833" customWidth="1"/>
    <col min="8451" max="8452" width="3.77734375" style="1833" customWidth="1"/>
    <col min="8453" max="8453" width="8" style="1833" customWidth="1"/>
    <col min="8454" max="8454" width="6.77734375" style="1833" customWidth="1"/>
    <col min="8455" max="8455" width="7.88671875" style="1833" customWidth="1"/>
    <col min="8456" max="8456" width="9.44140625" style="1833" customWidth="1"/>
    <col min="8457" max="8457" width="4.77734375" style="1833" customWidth="1"/>
    <col min="8458" max="8458" width="10" style="1833" bestFit="1" customWidth="1"/>
    <col min="8459" max="8459" width="9.21875" style="1833" bestFit="1" customWidth="1"/>
    <col min="8460" max="8704" width="8.88671875" style="1833"/>
    <col min="8705" max="8705" width="6.33203125" style="1833" customWidth="1"/>
    <col min="8706" max="8706" width="33.5546875" style="1833" customWidth="1"/>
    <col min="8707" max="8708" width="3.77734375" style="1833" customWidth="1"/>
    <col min="8709" max="8709" width="8" style="1833" customWidth="1"/>
    <col min="8710" max="8710" width="6.77734375" style="1833" customWidth="1"/>
    <col min="8711" max="8711" width="7.88671875" style="1833" customWidth="1"/>
    <col min="8712" max="8712" width="9.44140625" style="1833" customWidth="1"/>
    <col min="8713" max="8713" width="4.77734375" style="1833" customWidth="1"/>
    <col min="8714" max="8714" width="10" style="1833" bestFit="1" customWidth="1"/>
    <col min="8715" max="8715" width="9.21875" style="1833" bestFit="1" customWidth="1"/>
    <col min="8716" max="8960" width="8.88671875" style="1833"/>
    <col min="8961" max="8961" width="6.33203125" style="1833" customWidth="1"/>
    <col min="8962" max="8962" width="33.5546875" style="1833" customWidth="1"/>
    <col min="8963" max="8964" width="3.77734375" style="1833" customWidth="1"/>
    <col min="8965" max="8965" width="8" style="1833" customWidth="1"/>
    <col min="8966" max="8966" width="6.77734375" style="1833" customWidth="1"/>
    <col min="8967" max="8967" width="7.88671875" style="1833" customWidth="1"/>
    <col min="8968" max="8968" width="9.44140625" style="1833" customWidth="1"/>
    <col min="8969" max="8969" width="4.77734375" style="1833" customWidth="1"/>
    <col min="8970" max="8970" width="10" style="1833" bestFit="1" customWidth="1"/>
    <col min="8971" max="8971" width="9.21875" style="1833" bestFit="1" customWidth="1"/>
    <col min="8972" max="9216" width="8.88671875" style="1833"/>
    <col min="9217" max="9217" width="6.33203125" style="1833" customWidth="1"/>
    <col min="9218" max="9218" width="33.5546875" style="1833" customWidth="1"/>
    <col min="9219" max="9220" width="3.77734375" style="1833" customWidth="1"/>
    <col min="9221" max="9221" width="8" style="1833" customWidth="1"/>
    <col min="9222" max="9222" width="6.77734375" style="1833" customWidth="1"/>
    <col min="9223" max="9223" width="7.88671875" style="1833" customWidth="1"/>
    <col min="9224" max="9224" width="9.44140625" style="1833" customWidth="1"/>
    <col min="9225" max="9225" width="4.77734375" style="1833" customWidth="1"/>
    <col min="9226" max="9226" width="10" style="1833" bestFit="1" customWidth="1"/>
    <col min="9227" max="9227" width="9.21875" style="1833" bestFit="1" customWidth="1"/>
    <col min="9228" max="9472" width="8.88671875" style="1833"/>
    <col min="9473" max="9473" width="6.33203125" style="1833" customWidth="1"/>
    <col min="9474" max="9474" width="33.5546875" style="1833" customWidth="1"/>
    <col min="9475" max="9476" width="3.77734375" style="1833" customWidth="1"/>
    <col min="9477" max="9477" width="8" style="1833" customWidth="1"/>
    <col min="9478" max="9478" width="6.77734375" style="1833" customWidth="1"/>
    <col min="9479" max="9479" width="7.88671875" style="1833" customWidth="1"/>
    <col min="9480" max="9480" width="9.44140625" style="1833" customWidth="1"/>
    <col min="9481" max="9481" width="4.77734375" style="1833" customWidth="1"/>
    <col min="9482" max="9482" width="10" style="1833" bestFit="1" customWidth="1"/>
    <col min="9483" max="9483" width="9.21875" style="1833" bestFit="1" customWidth="1"/>
    <col min="9484" max="9728" width="8.88671875" style="1833"/>
    <col min="9729" max="9729" width="6.33203125" style="1833" customWidth="1"/>
    <col min="9730" max="9730" width="33.5546875" style="1833" customWidth="1"/>
    <col min="9731" max="9732" width="3.77734375" style="1833" customWidth="1"/>
    <col min="9733" max="9733" width="8" style="1833" customWidth="1"/>
    <col min="9734" max="9734" width="6.77734375" style="1833" customWidth="1"/>
    <col min="9735" max="9735" width="7.88671875" style="1833" customWidth="1"/>
    <col min="9736" max="9736" width="9.44140625" style="1833" customWidth="1"/>
    <col min="9737" max="9737" width="4.77734375" style="1833" customWidth="1"/>
    <col min="9738" max="9738" width="10" style="1833" bestFit="1" customWidth="1"/>
    <col min="9739" max="9739" width="9.21875" style="1833" bestFit="1" customWidth="1"/>
    <col min="9740" max="9984" width="8.88671875" style="1833"/>
    <col min="9985" max="9985" width="6.33203125" style="1833" customWidth="1"/>
    <col min="9986" max="9986" width="33.5546875" style="1833" customWidth="1"/>
    <col min="9987" max="9988" width="3.77734375" style="1833" customWidth="1"/>
    <col min="9989" max="9989" width="8" style="1833" customWidth="1"/>
    <col min="9990" max="9990" width="6.77734375" style="1833" customWidth="1"/>
    <col min="9991" max="9991" width="7.88671875" style="1833" customWidth="1"/>
    <col min="9992" max="9992" width="9.44140625" style="1833" customWidth="1"/>
    <col min="9993" max="9993" width="4.77734375" style="1833" customWidth="1"/>
    <col min="9994" max="9994" width="10" style="1833" bestFit="1" customWidth="1"/>
    <col min="9995" max="9995" width="9.21875" style="1833" bestFit="1" customWidth="1"/>
    <col min="9996" max="10240" width="8.88671875" style="1833"/>
    <col min="10241" max="10241" width="6.33203125" style="1833" customWidth="1"/>
    <col min="10242" max="10242" width="33.5546875" style="1833" customWidth="1"/>
    <col min="10243" max="10244" width="3.77734375" style="1833" customWidth="1"/>
    <col min="10245" max="10245" width="8" style="1833" customWidth="1"/>
    <col min="10246" max="10246" width="6.77734375" style="1833" customWidth="1"/>
    <col min="10247" max="10247" width="7.88671875" style="1833" customWidth="1"/>
    <col min="10248" max="10248" width="9.44140625" style="1833" customWidth="1"/>
    <col min="10249" max="10249" width="4.77734375" style="1833" customWidth="1"/>
    <col min="10250" max="10250" width="10" style="1833" bestFit="1" customWidth="1"/>
    <col min="10251" max="10251" width="9.21875" style="1833" bestFit="1" customWidth="1"/>
    <col min="10252" max="10496" width="8.88671875" style="1833"/>
    <col min="10497" max="10497" width="6.33203125" style="1833" customWidth="1"/>
    <col min="10498" max="10498" width="33.5546875" style="1833" customWidth="1"/>
    <col min="10499" max="10500" width="3.77734375" style="1833" customWidth="1"/>
    <col min="10501" max="10501" width="8" style="1833" customWidth="1"/>
    <col min="10502" max="10502" width="6.77734375" style="1833" customWidth="1"/>
    <col min="10503" max="10503" width="7.88671875" style="1833" customWidth="1"/>
    <col min="10504" max="10504" width="9.44140625" style="1833" customWidth="1"/>
    <col min="10505" max="10505" width="4.77734375" style="1833" customWidth="1"/>
    <col min="10506" max="10506" width="10" style="1833" bestFit="1" customWidth="1"/>
    <col min="10507" max="10507" width="9.21875" style="1833" bestFit="1" customWidth="1"/>
    <col min="10508" max="10752" width="8.88671875" style="1833"/>
    <col min="10753" max="10753" width="6.33203125" style="1833" customWidth="1"/>
    <col min="10754" max="10754" width="33.5546875" style="1833" customWidth="1"/>
    <col min="10755" max="10756" width="3.77734375" style="1833" customWidth="1"/>
    <col min="10757" max="10757" width="8" style="1833" customWidth="1"/>
    <col min="10758" max="10758" width="6.77734375" style="1833" customWidth="1"/>
    <col min="10759" max="10759" width="7.88671875" style="1833" customWidth="1"/>
    <col min="10760" max="10760" width="9.44140625" style="1833" customWidth="1"/>
    <col min="10761" max="10761" width="4.77734375" style="1833" customWidth="1"/>
    <col min="10762" max="10762" width="10" style="1833" bestFit="1" customWidth="1"/>
    <col min="10763" max="10763" width="9.21875" style="1833" bestFit="1" customWidth="1"/>
    <col min="10764" max="11008" width="8.88671875" style="1833"/>
    <col min="11009" max="11009" width="6.33203125" style="1833" customWidth="1"/>
    <col min="11010" max="11010" width="33.5546875" style="1833" customWidth="1"/>
    <col min="11011" max="11012" width="3.77734375" style="1833" customWidth="1"/>
    <col min="11013" max="11013" width="8" style="1833" customWidth="1"/>
    <col min="11014" max="11014" width="6.77734375" style="1833" customWidth="1"/>
    <col min="11015" max="11015" width="7.88671875" style="1833" customWidth="1"/>
    <col min="11016" max="11016" width="9.44140625" style="1833" customWidth="1"/>
    <col min="11017" max="11017" width="4.77734375" style="1833" customWidth="1"/>
    <col min="11018" max="11018" width="10" style="1833" bestFit="1" customWidth="1"/>
    <col min="11019" max="11019" width="9.21875" style="1833" bestFit="1" customWidth="1"/>
    <col min="11020" max="11264" width="8.88671875" style="1833"/>
    <col min="11265" max="11265" width="6.33203125" style="1833" customWidth="1"/>
    <col min="11266" max="11266" width="33.5546875" style="1833" customWidth="1"/>
    <col min="11267" max="11268" width="3.77734375" style="1833" customWidth="1"/>
    <col min="11269" max="11269" width="8" style="1833" customWidth="1"/>
    <col min="11270" max="11270" width="6.77734375" style="1833" customWidth="1"/>
    <col min="11271" max="11271" width="7.88671875" style="1833" customWidth="1"/>
    <col min="11272" max="11272" width="9.44140625" style="1833" customWidth="1"/>
    <col min="11273" max="11273" width="4.77734375" style="1833" customWidth="1"/>
    <col min="11274" max="11274" width="10" style="1833" bestFit="1" customWidth="1"/>
    <col min="11275" max="11275" width="9.21875" style="1833" bestFit="1" customWidth="1"/>
    <col min="11276" max="11520" width="8.88671875" style="1833"/>
    <col min="11521" max="11521" width="6.33203125" style="1833" customWidth="1"/>
    <col min="11522" max="11522" width="33.5546875" style="1833" customWidth="1"/>
    <col min="11523" max="11524" width="3.77734375" style="1833" customWidth="1"/>
    <col min="11525" max="11525" width="8" style="1833" customWidth="1"/>
    <col min="11526" max="11526" width="6.77734375" style="1833" customWidth="1"/>
    <col min="11527" max="11527" width="7.88671875" style="1833" customWidth="1"/>
    <col min="11528" max="11528" width="9.44140625" style="1833" customWidth="1"/>
    <col min="11529" max="11529" width="4.77734375" style="1833" customWidth="1"/>
    <col min="11530" max="11530" width="10" style="1833" bestFit="1" customWidth="1"/>
    <col min="11531" max="11531" width="9.21875" style="1833" bestFit="1" customWidth="1"/>
    <col min="11532" max="11776" width="8.88671875" style="1833"/>
    <col min="11777" max="11777" width="6.33203125" style="1833" customWidth="1"/>
    <col min="11778" max="11778" width="33.5546875" style="1833" customWidth="1"/>
    <col min="11779" max="11780" width="3.77734375" style="1833" customWidth="1"/>
    <col min="11781" max="11781" width="8" style="1833" customWidth="1"/>
    <col min="11782" max="11782" width="6.77734375" style="1833" customWidth="1"/>
    <col min="11783" max="11783" width="7.88671875" style="1833" customWidth="1"/>
    <col min="11784" max="11784" width="9.44140625" style="1833" customWidth="1"/>
    <col min="11785" max="11785" width="4.77734375" style="1833" customWidth="1"/>
    <col min="11786" max="11786" width="10" style="1833" bestFit="1" customWidth="1"/>
    <col min="11787" max="11787" width="9.21875" style="1833" bestFit="1" customWidth="1"/>
    <col min="11788" max="12032" width="8.88671875" style="1833"/>
    <col min="12033" max="12033" width="6.33203125" style="1833" customWidth="1"/>
    <col min="12034" max="12034" width="33.5546875" style="1833" customWidth="1"/>
    <col min="12035" max="12036" width="3.77734375" style="1833" customWidth="1"/>
    <col min="12037" max="12037" width="8" style="1833" customWidth="1"/>
    <col min="12038" max="12038" width="6.77734375" style="1833" customWidth="1"/>
    <col min="12039" max="12039" width="7.88671875" style="1833" customWidth="1"/>
    <col min="12040" max="12040" width="9.44140625" style="1833" customWidth="1"/>
    <col min="12041" max="12041" width="4.77734375" style="1833" customWidth="1"/>
    <col min="12042" max="12042" width="10" style="1833" bestFit="1" customWidth="1"/>
    <col min="12043" max="12043" width="9.21875" style="1833" bestFit="1" customWidth="1"/>
    <col min="12044" max="12288" width="8.88671875" style="1833"/>
    <col min="12289" max="12289" width="6.33203125" style="1833" customWidth="1"/>
    <col min="12290" max="12290" width="33.5546875" style="1833" customWidth="1"/>
    <col min="12291" max="12292" width="3.77734375" style="1833" customWidth="1"/>
    <col min="12293" max="12293" width="8" style="1833" customWidth="1"/>
    <col min="12294" max="12294" width="6.77734375" style="1833" customWidth="1"/>
    <col min="12295" max="12295" width="7.88671875" style="1833" customWidth="1"/>
    <col min="12296" max="12296" width="9.44140625" style="1833" customWidth="1"/>
    <col min="12297" max="12297" width="4.77734375" style="1833" customWidth="1"/>
    <col min="12298" max="12298" width="10" style="1833" bestFit="1" customWidth="1"/>
    <col min="12299" max="12299" width="9.21875" style="1833" bestFit="1" customWidth="1"/>
    <col min="12300" max="12544" width="8.88671875" style="1833"/>
    <col min="12545" max="12545" width="6.33203125" style="1833" customWidth="1"/>
    <col min="12546" max="12546" width="33.5546875" style="1833" customWidth="1"/>
    <col min="12547" max="12548" width="3.77734375" style="1833" customWidth="1"/>
    <col min="12549" max="12549" width="8" style="1833" customWidth="1"/>
    <col min="12550" max="12550" width="6.77734375" style="1833" customWidth="1"/>
    <col min="12551" max="12551" width="7.88671875" style="1833" customWidth="1"/>
    <col min="12552" max="12552" width="9.44140625" style="1833" customWidth="1"/>
    <col min="12553" max="12553" width="4.77734375" style="1833" customWidth="1"/>
    <col min="12554" max="12554" width="10" style="1833" bestFit="1" customWidth="1"/>
    <col min="12555" max="12555" width="9.21875" style="1833" bestFit="1" customWidth="1"/>
    <col min="12556" max="12800" width="8.88671875" style="1833"/>
    <col min="12801" max="12801" width="6.33203125" style="1833" customWidth="1"/>
    <col min="12802" max="12802" width="33.5546875" style="1833" customWidth="1"/>
    <col min="12803" max="12804" width="3.77734375" style="1833" customWidth="1"/>
    <col min="12805" max="12805" width="8" style="1833" customWidth="1"/>
    <col min="12806" max="12806" width="6.77734375" style="1833" customWidth="1"/>
    <col min="12807" max="12807" width="7.88671875" style="1833" customWidth="1"/>
    <col min="12808" max="12808" width="9.44140625" style="1833" customWidth="1"/>
    <col min="12809" max="12809" width="4.77734375" style="1833" customWidth="1"/>
    <col min="12810" max="12810" width="10" style="1833" bestFit="1" customWidth="1"/>
    <col min="12811" max="12811" width="9.21875" style="1833" bestFit="1" customWidth="1"/>
    <col min="12812" max="13056" width="8.88671875" style="1833"/>
    <col min="13057" max="13057" width="6.33203125" style="1833" customWidth="1"/>
    <col min="13058" max="13058" width="33.5546875" style="1833" customWidth="1"/>
    <col min="13059" max="13060" width="3.77734375" style="1833" customWidth="1"/>
    <col min="13061" max="13061" width="8" style="1833" customWidth="1"/>
    <col min="13062" max="13062" width="6.77734375" style="1833" customWidth="1"/>
    <col min="13063" max="13063" width="7.88671875" style="1833" customWidth="1"/>
    <col min="13064" max="13064" width="9.44140625" style="1833" customWidth="1"/>
    <col min="13065" max="13065" width="4.77734375" style="1833" customWidth="1"/>
    <col min="13066" max="13066" width="10" style="1833" bestFit="1" customWidth="1"/>
    <col min="13067" max="13067" width="9.21875" style="1833" bestFit="1" customWidth="1"/>
    <col min="13068" max="13312" width="8.88671875" style="1833"/>
    <col min="13313" max="13313" width="6.33203125" style="1833" customWidth="1"/>
    <col min="13314" max="13314" width="33.5546875" style="1833" customWidth="1"/>
    <col min="13315" max="13316" width="3.77734375" style="1833" customWidth="1"/>
    <col min="13317" max="13317" width="8" style="1833" customWidth="1"/>
    <col min="13318" max="13318" width="6.77734375" style="1833" customWidth="1"/>
    <col min="13319" max="13319" width="7.88671875" style="1833" customWidth="1"/>
    <col min="13320" max="13320" width="9.44140625" style="1833" customWidth="1"/>
    <col min="13321" max="13321" width="4.77734375" style="1833" customWidth="1"/>
    <col min="13322" max="13322" width="10" style="1833" bestFit="1" customWidth="1"/>
    <col min="13323" max="13323" width="9.21875" style="1833" bestFit="1" customWidth="1"/>
    <col min="13324" max="13568" width="8.88671875" style="1833"/>
    <col min="13569" max="13569" width="6.33203125" style="1833" customWidth="1"/>
    <col min="13570" max="13570" width="33.5546875" style="1833" customWidth="1"/>
    <col min="13571" max="13572" width="3.77734375" style="1833" customWidth="1"/>
    <col min="13573" max="13573" width="8" style="1833" customWidth="1"/>
    <col min="13574" max="13574" width="6.77734375" style="1833" customWidth="1"/>
    <col min="13575" max="13575" width="7.88671875" style="1833" customWidth="1"/>
    <col min="13576" max="13576" width="9.44140625" style="1833" customWidth="1"/>
    <col min="13577" max="13577" width="4.77734375" style="1833" customWidth="1"/>
    <col min="13578" max="13578" width="10" style="1833" bestFit="1" customWidth="1"/>
    <col min="13579" max="13579" width="9.21875" style="1833" bestFit="1" customWidth="1"/>
    <col min="13580" max="13824" width="8.88671875" style="1833"/>
    <col min="13825" max="13825" width="6.33203125" style="1833" customWidth="1"/>
    <col min="13826" max="13826" width="33.5546875" style="1833" customWidth="1"/>
    <col min="13827" max="13828" width="3.77734375" style="1833" customWidth="1"/>
    <col min="13829" max="13829" width="8" style="1833" customWidth="1"/>
    <col min="13830" max="13830" width="6.77734375" style="1833" customWidth="1"/>
    <col min="13831" max="13831" width="7.88671875" style="1833" customWidth="1"/>
    <col min="13832" max="13832" width="9.44140625" style="1833" customWidth="1"/>
    <col min="13833" max="13833" width="4.77734375" style="1833" customWidth="1"/>
    <col min="13834" max="13834" width="10" style="1833" bestFit="1" customWidth="1"/>
    <col min="13835" max="13835" width="9.21875" style="1833" bestFit="1" customWidth="1"/>
    <col min="13836" max="14080" width="8.88671875" style="1833"/>
    <col min="14081" max="14081" width="6.33203125" style="1833" customWidth="1"/>
    <col min="14082" max="14082" width="33.5546875" style="1833" customWidth="1"/>
    <col min="14083" max="14084" width="3.77734375" style="1833" customWidth="1"/>
    <col min="14085" max="14085" width="8" style="1833" customWidth="1"/>
    <col min="14086" max="14086" width="6.77734375" style="1833" customWidth="1"/>
    <col min="14087" max="14087" width="7.88671875" style="1833" customWidth="1"/>
    <col min="14088" max="14088" width="9.44140625" style="1833" customWidth="1"/>
    <col min="14089" max="14089" width="4.77734375" style="1833" customWidth="1"/>
    <col min="14090" max="14090" width="10" style="1833" bestFit="1" customWidth="1"/>
    <col min="14091" max="14091" width="9.21875" style="1833" bestFit="1" customWidth="1"/>
    <col min="14092" max="14336" width="8.88671875" style="1833"/>
    <col min="14337" max="14337" width="6.33203125" style="1833" customWidth="1"/>
    <col min="14338" max="14338" width="33.5546875" style="1833" customWidth="1"/>
    <col min="14339" max="14340" width="3.77734375" style="1833" customWidth="1"/>
    <col min="14341" max="14341" width="8" style="1833" customWidth="1"/>
    <col min="14342" max="14342" width="6.77734375" style="1833" customWidth="1"/>
    <col min="14343" max="14343" width="7.88671875" style="1833" customWidth="1"/>
    <col min="14344" max="14344" width="9.44140625" style="1833" customWidth="1"/>
    <col min="14345" max="14345" width="4.77734375" style="1833" customWidth="1"/>
    <col min="14346" max="14346" width="10" style="1833" bestFit="1" customWidth="1"/>
    <col min="14347" max="14347" width="9.21875" style="1833" bestFit="1" customWidth="1"/>
    <col min="14348" max="14592" width="8.88671875" style="1833"/>
    <col min="14593" max="14593" width="6.33203125" style="1833" customWidth="1"/>
    <col min="14594" max="14594" width="33.5546875" style="1833" customWidth="1"/>
    <col min="14595" max="14596" width="3.77734375" style="1833" customWidth="1"/>
    <col min="14597" max="14597" width="8" style="1833" customWidth="1"/>
    <col min="14598" max="14598" width="6.77734375" style="1833" customWidth="1"/>
    <col min="14599" max="14599" width="7.88671875" style="1833" customWidth="1"/>
    <col min="14600" max="14600" width="9.44140625" style="1833" customWidth="1"/>
    <col min="14601" max="14601" width="4.77734375" style="1833" customWidth="1"/>
    <col min="14602" max="14602" width="10" style="1833" bestFit="1" customWidth="1"/>
    <col min="14603" max="14603" width="9.21875" style="1833" bestFit="1" customWidth="1"/>
    <col min="14604" max="14848" width="8.88671875" style="1833"/>
    <col min="14849" max="14849" width="6.33203125" style="1833" customWidth="1"/>
    <col min="14850" max="14850" width="33.5546875" style="1833" customWidth="1"/>
    <col min="14851" max="14852" width="3.77734375" style="1833" customWidth="1"/>
    <col min="14853" max="14853" width="8" style="1833" customWidth="1"/>
    <col min="14854" max="14854" width="6.77734375" style="1833" customWidth="1"/>
    <col min="14855" max="14855" width="7.88671875" style="1833" customWidth="1"/>
    <col min="14856" max="14856" width="9.44140625" style="1833" customWidth="1"/>
    <col min="14857" max="14857" width="4.77734375" style="1833" customWidth="1"/>
    <col min="14858" max="14858" width="10" style="1833" bestFit="1" customWidth="1"/>
    <col min="14859" max="14859" width="9.21875" style="1833" bestFit="1" customWidth="1"/>
    <col min="14860" max="15104" width="8.88671875" style="1833"/>
    <col min="15105" max="15105" width="6.33203125" style="1833" customWidth="1"/>
    <col min="15106" max="15106" width="33.5546875" style="1833" customWidth="1"/>
    <col min="15107" max="15108" width="3.77734375" style="1833" customWidth="1"/>
    <col min="15109" max="15109" width="8" style="1833" customWidth="1"/>
    <col min="15110" max="15110" width="6.77734375" style="1833" customWidth="1"/>
    <col min="15111" max="15111" width="7.88671875" style="1833" customWidth="1"/>
    <col min="15112" max="15112" width="9.44140625" style="1833" customWidth="1"/>
    <col min="15113" max="15113" width="4.77734375" style="1833" customWidth="1"/>
    <col min="15114" max="15114" width="10" style="1833" bestFit="1" customWidth="1"/>
    <col min="15115" max="15115" width="9.21875" style="1833" bestFit="1" customWidth="1"/>
    <col min="15116" max="15360" width="8.88671875" style="1833"/>
    <col min="15361" max="15361" width="6.33203125" style="1833" customWidth="1"/>
    <col min="15362" max="15362" width="33.5546875" style="1833" customWidth="1"/>
    <col min="15363" max="15364" width="3.77734375" style="1833" customWidth="1"/>
    <col min="15365" max="15365" width="8" style="1833" customWidth="1"/>
    <col min="15366" max="15366" width="6.77734375" style="1833" customWidth="1"/>
    <col min="15367" max="15367" width="7.88671875" style="1833" customWidth="1"/>
    <col min="15368" max="15368" width="9.44140625" style="1833" customWidth="1"/>
    <col min="15369" max="15369" width="4.77734375" style="1833" customWidth="1"/>
    <col min="15370" max="15370" width="10" style="1833" bestFit="1" customWidth="1"/>
    <col min="15371" max="15371" width="9.21875" style="1833" bestFit="1" customWidth="1"/>
    <col min="15372" max="15616" width="8.88671875" style="1833"/>
    <col min="15617" max="15617" width="6.33203125" style="1833" customWidth="1"/>
    <col min="15618" max="15618" width="33.5546875" style="1833" customWidth="1"/>
    <col min="15619" max="15620" width="3.77734375" style="1833" customWidth="1"/>
    <col min="15621" max="15621" width="8" style="1833" customWidth="1"/>
    <col min="15622" max="15622" width="6.77734375" style="1833" customWidth="1"/>
    <col min="15623" max="15623" width="7.88671875" style="1833" customWidth="1"/>
    <col min="15624" max="15624" width="9.44140625" style="1833" customWidth="1"/>
    <col min="15625" max="15625" width="4.77734375" style="1833" customWidth="1"/>
    <col min="15626" max="15626" width="10" style="1833" bestFit="1" customWidth="1"/>
    <col min="15627" max="15627" width="9.21875" style="1833" bestFit="1" customWidth="1"/>
    <col min="15628" max="15872" width="8.88671875" style="1833"/>
    <col min="15873" max="15873" width="6.33203125" style="1833" customWidth="1"/>
    <col min="15874" max="15874" width="33.5546875" style="1833" customWidth="1"/>
    <col min="15875" max="15876" width="3.77734375" style="1833" customWidth="1"/>
    <col min="15877" max="15877" width="8" style="1833" customWidth="1"/>
    <col min="15878" max="15878" width="6.77734375" style="1833" customWidth="1"/>
    <col min="15879" max="15879" width="7.88671875" style="1833" customWidth="1"/>
    <col min="15880" max="15880" width="9.44140625" style="1833" customWidth="1"/>
    <col min="15881" max="15881" width="4.77734375" style="1833" customWidth="1"/>
    <col min="15882" max="15882" width="10" style="1833" bestFit="1" customWidth="1"/>
    <col min="15883" max="15883" width="9.21875" style="1833" bestFit="1" customWidth="1"/>
    <col min="15884" max="16128" width="8.88671875" style="1833"/>
    <col min="16129" max="16129" width="6.33203125" style="1833" customWidth="1"/>
    <col min="16130" max="16130" width="33.5546875" style="1833" customWidth="1"/>
    <col min="16131" max="16132" width="3.77734375" style="1833" customWidth="1"/>
    <col min="16133" max="16133" width="8" style="1833" customWidth="1"/>
    <col min="16134" max="16134" width="6.77734375" style="1833" customWidth="1"/>
    <col min="16135" max="16135" width="7.88671875" style="1833" customWidth="1"/>
    <col min="16136" max="16136" width="9.44140625" style="1833" customWidth="1"/>
    <col min="16137" max="16137" width="4.77734375" style="1833" customWidth="1"/>
    <col min="16138" max="16138" width="10" style="1833" bestFit="1" customWidth="1"/>
    <col min="16139" max="16139" width="9.21875" style="1833" bestFit="1" customWidth="1"/>
    <col min="16140" max="16384" width="8.88671875" style="1833"/>
  </cols>
  <sheetData>
    <row r="1" spans="1:256" ht="61.5" customHeight="1">
      <c r="A1" s="1904" t="str">
        <f>Numbering!A1</f>
        <v>Name of work: Construction of DSP camp office cum Residence with development works at Cuddalore New town in Cuddalore District</v>
      </c>
      <c r="B1" s="1904"/>
      <c r="C1" s="1904"/>
      <c r="D1" s="1904"/>
      <c r="E1" s="1904"/>
      <c r="F1" s="1904"/>
      <c r="G1" s="1904"/>
      <c r="H1" s="1904"/>
      <c r="I1" s="1904"/>
    </row>
    <row r="2" spans="1:256" s="737" customFormat="1" ht="22.5" customHeight="1">
      <c r="A2" s="1867" t="s">
        <v>7456</v>
      </c>
      <c r="B2" s="1867"/>
      <c r="C2" s="1867"/>
      <c r="D2" s="1867"/>
      <c r="E2" s="1867"/>
      <c r="F2" s="1867"/>
      <c r="G2" s="1867"/>
      <c r="H2" s="1867"/>
      <c r="I2" s="1867"/>
      <c r="J2" s="1905"/>
      <c r="K2" s="1833"/>
      <c r="L2" s="1833"/>
      <c r="M2" s="1833"/>
      <c r="N2" s="1833"/>
      <c r="O2" s="1833"/>
      <c r="P2" s="1833"/>
      <c r="Q2" s="1833"/>
      <c r="R2" s="1833"/>
      <c r="S2" s="1833"/>
      <c r="T2" s="1833"/>
      <c r="U2" s="1833"/>
      <c r="V2" s="1833"/>
      <c r="W2" s="1833"/>
      <c r="X2" s="1833"/>
      <c r="Y2" s="1833"/>
      <c r="Z2" s="1833"/>
      <c r="AA2" s="1833"/>
      <c r="AB2" s="1833"/>
      <c r="AC2" s="1833"/>
      <c r="AD2" s="1833"/>
      <c r="AE2" s="1833"/>
      <c r="AF2" s="1833"/>
      <c r="AG2" s="1833"/>
      <c r="AH2" s="1833"/>
      <c r="AI2" s="1833"/>
      <c r="AJ2" s="1833"/>
      <c r="AK2" s="1833"/>
      <c r="AL2" s="1833"/>
      <c r="AM2" s="1833"/>
      <c r="AN2" s="1833"/>
      <c r="AO2" s="1833"/>
      <c r="AP2" s="1833"/>
      <c r="AQ2" s="1833"/>
      <c r="AR2" s="1833"/>
      <c r="AS2" s="1833"/>
      <c r="AT2" s="1833"/>
      <c r="AU2" s="1833"/>
      <c r="AV2" s="1833"/>
      <c r="AW2" s="1833"/>
      <c r="AX2" s="1833"/>
      <c r="AY2" s="1833"/>
      <c r="AZ2" s="1833"/>
      <c r="BA2" s="1833"/>
      <c r="BB2" s="1833"/>
      <c r="BC2" s="1833"/>
      <c r="BD2" s="1833"/>
      <c r="BE2" s="1833"/>
      <c r="BF2" s="1833"/>
      <c r="BG2" s="1833"/>
      <c r="BH2" s="1833"/>
      <c r="BI2" s="1833"/>
      <c r="BJ2" s="1833"/>
      <c r="BK2" s="1833"/>
      <c r="BL2" s="1833"/>
      <c r="BM2" s="1833"/>
      <c r="BN2" s="1833"/>
      <c r="BO2" s="1833"/>
      <c r="BP2" s="1833"/>
      <c r="BQ2" s="1833"/>
      <c r="BR2" s="1833"/>
      <c r="BS2" s="1833"/>
      <c r="BT2" s="1833"/>
      <c r="BU2" s="1833"/>
      <c r="BV2" s="1833"/>
      <c r="BW2" s="1833"/>
      <c r="BX2" s="1833"/>
      <c r="BY2" s="1833"/>
      <c r="BZ2" s="1833"/>
      <c r="CA2" s="1833"/>
      <c r="CB2" s="1833"/>
      <c r="CC2" s="1833"/>
      <c r="CD2" s="1833"/>
      <c r="CE2" s="1833"/>
      <c r="CF2" s="1833"/>
      <c r="CG2" s="1833"/>
      <c r="CH2" s="1833"/>
      <c r="CI2" s="1833"/>
      <c r="CJ2" s="1833"/>
      <c r="CK2" s="1833"/>
      <c r="CL2" s="1833"/>
      <c r="CM2" s="1833"/>
      <c r="CN2" s="1833"/>
      <c r="CO2" s="1833"/>
      <c r="CP2" s="1833"/>
      <c r="CQ2" s="1833"/>
      <c r="CR2" s="1833"/>
      <c r="CS2" s="1833"/>
      <c r="CT2" s="1833"/>
      <c r="CU2" s="1833"/>
      <c r="CV2" s="1833"/>
      <c r="CW2" s="1833"/>
      <c r="CX2" s="1833"/>
      <c r="CY2" s="1833"/>
      <c r="CZ2" s="1833"/>
      <c r="DA2" s="1833"/>
      <c r="DB2" s="1833"/>
      <c r="DC2" s="1833"/>
      <c r="DD2" s="1833"/>
      <c r="DE2" s="1833"/>
      <c r="DF2" s="1833"/>
      <c r="DG2" s="1833"/>
      <c r="DH2" s="1833"/>
      <c r="DI2" s="1833"/>
      <c r="DJ2" s="1833"/>
      <c r="DK2" s="1833"/>
      <c r="DL2" s="1833"/>
      <c r="DM2" s="1833"/>
      <c r="DN2" s="1833"/>
      <c r="DO2" s="1833"/>
      <c r="DP2" s="1833"/>
      <c r="DQ2" s="1833"/>
      <c r="DR2" s="1833"/>
      <c r="DS2" s="1833"/>
      <c r="DT2" s="1833"/>
      <c r="DU2" s="1833"/>
      <c r="DV2" s="1833"/>
      <c r="DW2" s="1833"/>
      <c r="DX2" s="1833"/>
      <c r="DY2" s="1833"/>
      <c r="DZ2" s="1833"/>
      <c r="EA2" s="1833"/>
      <c r="EB2" s="1833"/>
      <c r="EC2" s="1833"/>
      <c r="ED2" s="1833"/>
      <c r="EE2" s="1833"/>
      <c r="EF2" s="1833"/>
      <c r="EG2" s="1833"/>
      <c r="EH2" s="1833"/>
      <c r="EI2" s="1833"/>
      <c r="EJ2" s="1833"/>
      <c r="EK2" s="1833"/>
      <c r="EL2" s="1833"/>
      <c r="EM2" s="1833"/>
      <c r="EN2" s="1833"/>
      <c r="EO2" s="1833"/>
      <c r="EP2" s="1833"/>
      <c r="EQ2" s="1833"/>
      <c r="ER2" s="1833"/>
      <c r="ES2" s="1833"/>
      <c r="ET2" s="1833"/>
      <c r="EU2" s="1833"/>
      <c r="EV2" s="1833"/>
      <c r="EW2" s="1833"/>
      <c r="EX2" s="1833"/>
      <c r="EY2" s="1833"/>
      <c r="EZ2" s="1833"/>
      <c r="FA2" s="1833"/>
      <c r="FB2" s="1833"/>
      <c r="FC2" s="1833"/>
      <c r="FD2" s="1833"/>
      <c r="FE2" s="1833"/>
      <c r="FF2" s="1833"/>
      <c r="FG2" s="1833"/>
      <c r="FH2" s="1833"/>
      <c r="FI2" s="1833"/>
      <c r="FJ2" s="1833"/>
      <c r="FK2" s="1833"/>
      <c r="FL2" s="1833"/>
      <c r="FM2" s="1833"/>
      <c r="FN2" s="1833"/>
      <c r="FO2" s="1833"/>
      <c r="FP2" s="1833"/>
      <c r="FQ2" s="1833"/>
      <c r="FR2" s="1833"/>
      <c r="FS2" s="1833"/>
      <c r="FT2" s="1833"/>
      <c r="FU2" s="1833"/>
      <c r="FV2" s="1833"/>
      <c r="FW2" s="1833"/>
      <c r="FX2" s="1833"/>
      <c r="FY2" s="1833"/>
      <c r="FZ2" s="1833"/>
      <c r="GA2" s="1833"/>
      <c r="GB2" s="1833"/>
      <c r="GC2" s="1833"/>
      <c r="GD2" s="1833"/>
      <c r="GE2" s="1833"/>
      <c r="GF2" s="1833"/>
      <c r="GG2" s="1833"/>
      <c r="GH2" s="1833"/>
      <c r="GI2" s="1833"/>
      <c r="GJ2" s="1833"/>
      <c r="GK2" s="1833"/>
      <c r="GL2" s="1833"/>
      <c r="GM2" s="1833"/>
      <c r="GN2" s="1833"/>
      <c r="GO2" s="1833"/>
      <c r="GP2" s="1833"/>
      <c r="GQ2" s="1833"/>
      <c r="GR2" s="1833"/>
      <c r="GS2" s="1833"/>
      <c r="GT2" s="1833"/>
      <c r="GU2" s="1833"/>
      <c r="GV2" s="1833"/>
      <c r="GW2" s="1833"/>
      <c r="GX2" s="1833"/>
      <c r="GY2" s="1833"/>
      <c r="GZ2" s="1833"/>
      <c r="HA2" s="1833"/>
      <c r="HB2" s="1833"/>
      <c r="HC2" s="1833"/>
      <c r="HD2" s="1833"/>
      <c r="HE2" s="1833"/>
      <c r="HF2" s="1833"/>
      <c r="HG2" s="1833"/>
      <c r="HH2" s="1833"/>
      <c r="HI2" s="1833"/>
      <c r="HJ2" s="1833"/>
      <c r="HK2" s="1833"/>
      <c r="HL2" s="1833"/>
      <c r="HM2" s="1833"/>
      <c r="HN2" s="1833"/>
      <c r="HO2" s="1833"/>
      <c r="HP2" s="1833"/>
      <c r="HQ2" s="1833"/>
      <c r="HR2" s="1833"/>
      <c r="HS2" s="1833"/>
      <c r="HT2" s="1833"/>
      <c r="HU2" s="1833"/>
      <c r="HV2" s="1833"/>
      <c r="HW2" s="1833"/>
      <c r="HX2" s="1833"/>
      <c r="HY2" s="1833"/>
      <c r="HZ2" s="1833"/>
      <c r="IA2" s="1833"/>
      <c r="IB2" s="1833"/>
      <c r="IC2" s="1833"/>
      <c r="ID2" s="1833"/>
      <c r="IE2" s="1833"/>
      <c r="IF2" s="1833"/>
      <c r="IG2" s="1833"/>
      <c r="IH2" s="1833"/>
      <c r="II2" s="1833"/>
      <c r="IJ2" s="1833"/>
      <c r="IK2" s="1833"/>
      <c r="IL2" s="1833"/>
      <c r="IM2" s="1833"/>
      <c r="IN2" s="1833"/>
      <c r="IO2" s="1833"/>
      <c r="IP2" s="1833"/>
      <c r="IQ2" s="1833"/>
      <c r="IR2" s="1833"/>
      <c r="IS2" s="1833"/>
      <c r="IT2" s="1833"/>
      <c r="IU2" s="1833"/>
      <c r="IV2" s="1833"/>
    </row>
    <row r="3" spans="1:256" ht="23.25" customHeight="1">
      <c r="A3" s="1906" t="s">
        <v>7117</v>
      </c>
      <c r="B3" s="1906"/>
      <c r="C3" s="1906"/>
      <c r="D3" s="1906"/>
      <c r="E3" s="1906"/>
      <c r="F3" s="1906"/>
      <c r="G3" s="1906"/>
      <c r="H3" s="1906"/>
      <c r="I3" s="1906"/>
    </row>
    <row r="4" spans="1:256" ht="18" customHeight="1">
      <c r="A4" s="1907"/>
      <c r="B4" s="1908"/>
      <c r="C4" s="1908"/>
      <c r="D4" s="1908"/>
      <c r="E4" s="1908"/>
      <c r="F4" s="1908"/>
      <c r="G4" s="1908"/>
      <c r="H4" s="1908"/>
      <c r="I4" s="1909"/>
    </row>
    <row r="5" spans="1:256" s="1834" customFormat="1" ht="25.5" customHeight="1">
      <c r="A5" s="1910" t="s">
        <v>7085</v>
      </c>
      <c r="B5" s="1911" t="s">
        <v>7118</v>
      </c>
      <c r="C5" s="1912" t="s">
        <v>1427</v>
      </c>
      <c r="D5" s="1912"/>
      <c r="E5" s="1911" t="s">
        <v>5797</v>
      </c>
      <c r="F5" s="1911" t="s">
        <v>1548</v>
      </c>
      <c r="G5" s="1911" t="s">
        <v>5798</v>
      </c>
      <c r="H5" s="1911" t="s">
        <v>1034</v>
      </c>
      <c r="I5" s="1909"/>
    </row>
    <row r="6" spans="1:256" s="1917" customFormat="1" ht="51" customHeight="1">
      <c r="A6" s="1913">
        <v>1</v>
      </c>
      <c r="B6" s="1914" t="s">
        <v>7457</v>
      </c>
      <c r="C6" s="1914"/>
      <c r="D6" s="1914"/>
      <c r="E6" s="1914"/>
      <c r="F6" s="1914"/>
      <c r="G6" s="1915"/>
      <c r="H6" s="1916"/>
      <c r="I6" s="1909"/>
    </row>
    <row r="7" spans="1:256" s="1917" customFormat="1" ht="20.25" customHeight="1">
      <c r="A7" s="1913"/>
      <c r="B7" s="1918" t="s">
        <v>7458</v>
      </c>
      <c r="C7" s="1919"/>
      <c r="D7" s="1919"/>
      <c r="E7" s="1915"/>
      <c r="F7" s="1915"/>
      <c r="G7" s="1915"/>
      <c r="H7" s="1916"/>
      <c r="I7" s="1909"/>
    </row>
    <row r="8" spans="1:256" s="1917" customFormat="1" ht="20.25" customHeight="1">
      <c r="A8" s="1913"/>
      <c r="B8" s="1920" t="s">
        <v>7459</v>
      </c>
      <c r="C8" s="1919">
        <v>1</v>
      </c>
      <c r="D8" s="1919">
        <v>1</v>
      </c>
      <c r="E8" s="1915">
        <f>(4.5+3)*2</f>
        <v>15</v>
      </c>
      <c r="F8" s="1915">
        <v>0.38</v>
      </c>
      <c r="G8" s="1915">
        <v>0.4</v>
      </c>
      <c r="H8" s="1916">
        <f>PRODUCT(C8:G8)</f>
        <v>2.2799999999999998</v>
      </c>
      <c r="I8" s="1909"/>
    </row>
    <row r="9" spans="1:256" s="1917" customFormat="1" ht="20.25" customHeight="1">
      <c r="A9" s="1913"/>
      <c r="B9" s="1921"/>
      <c r="C9" s="1919"/>
      <c r="D9" s="1919"/>
      <c r="E9" s="1915"/>
      <c r="F9" s="1915"/>
      <c r="G9" s="742" t="s">
        <v>4209</v>
      </c>
      <c r="H9" s="742">
        <f>ROUNDUP(H8,1)</f>
        <v>2.2999999999999998</v>
      </c>
      <c r="I9" s="1909" t="s">
        <v>2142</v>
      </c>
    </row>
    <row r="10" spans="1:256" s="1917" customFormat="1" ht="98.25" customHeight="1">
      <c r="A10" s="1913">
        <v>2</v>
      </c>
      <c r="B10" s="1914" t="s">
        <v>7460</v>
      </c>
      <c r="C10" s="1914"/>
      <c r="D10" s="1914"/>
      <c r="E10" s="1914"/>
      <c r="F10" s="1915"/>
      <c r="G10" s="1915"/>
      <c r="H10" s="1916"/>
      <c r="I10" s="1909"/>
    </row>
    <row r="11" spans="1:256" s="1917" customFormat="1" ht="20.25" customHeight="1">
      <c r="A11" s="1913"/>
      <c r="B11" s="1920" t="s">
        <v>7459</v>
      </c>
      <c r="C11" s="1919">
        <v>1</v>
      </c>
      <c r="D11" s="1919">
        <v>1</v>
      </c>
      <c r="E11" s="1915">
        <f>(4.5+3)*2</f>
        <v>15</v>
      </c>
      <c r="F11" s="1915">
        <v>0.38</v>
      </c>
      <c r="G11" s="1915">
        <v>0.1</v>
      </c>
      <c r="H11" s="1916">
        <f>PRODUCT(C11:G11)</f>
        <v>0.56999999999999995</v>
      </c>
      <c r="I11" s="1909"/>
    </row>
    <row r="12" spans="1:256" s="1917" customFormat="1" ht="20.25" customHeight="1">
      <c r="A12" s="1913"/>
      <c r="B12" s="1920" t="s">
        <v>7461</v>
      </c>
      <c r="C12" s="1919">
        <v>1</v>
      </c>
      <c r="D12" s="1919">
        <v>1</v>
      </c>
      <c r="E12" s="1915">
        <v>4.5</v>
      </c>
      <c r="F12" s="1915">
        <v>3</v>
      </c>
      <c r="G12" s="1915">
        <v>0.1</v>
      </c>
      <c r="H12" s="1916">
        <f>PRODUCT(C12:G12)</f>
        <v>1.35</v>
      </c>
      <c r="I12" s="1909"/>
    </row>
    <row r="13" spans="1:256" s="1917" customFormat="1" ht="20.25" customHeight="1">
      <c r="A13" s="1913"/>
      <c r="B13" s="1920"/>
      <c r="C13" s="1919"/>
      <c r="D13" s="1919"/>
      <c r="E13" s="1915"/>
      <c r="F13" s="1915"/>
      <c r="G13" s="1915" t="s">
        <v>2235</v>
      </c>
      <c r="H13" s="1916">
        <f>SUM(H11:H12)</f>
        <v>1.92</v>
      </c>
      <c r="I13" s="1909"/>
    </row>
    <row r="14" spans="1:256" s="1917" customFormat="1" ht="21.75" customHeight="1">
      <c r="A14" s="1913"/>
      <c r="B14" s="1921"/>
      <c r="C14" s="1919"/>
      <c r="D14" s="1919"/>
      <c r="E14" s="1915"/>
      <c r="F14" s="1915"/>
      <c r="G14" s="742" t="s">
        <v>4209</v>
      </c>
      <c r="H14" s="742">
        <f>ROUNDUP(H13,1)</f>
        <v>2</v>
      </c>
      <c r="I14" s="1909" t="s">
        <v>2142</v>
      </c>
    </row>
    <row r="15" spans="1:256" s="1917" customFormat="1" ht="137.25" customHeight="1">
      <c r="A15" s="1913">
        <v>3</v>
      </c>
      <c r="B15" s="1914" t="s">
        <v>7462</v>
      </c>
      <c r="C15" s="1914"/>
      <c r="D15" s="1914"/>
      <c r="E15" s="1914"/>
      <c r="F15" s="1915"/>
      <c r="G15" s="1915"/>
      <c r="H15" s="1916"/>
      <c r="I15" s="1909"/>
    </row>
    <row r="16" spans="1:256" s="1917" customFormat="1" ht="20.25" customHeight="1">
      <c r="A16" s="1913"/>
      <c r="B16" s="1920" t="s">
        <v>7459</v>
      </c>
      <c r="C16" s="1919">
        <v>1</v>
      </c>
      <c r="D16" s="1919">
        <v>1</v>
      </c>
      <c r="E16" s="1915">
        <f>(4.5+3)*2</f>
        <v>15</v>
      </c>
      <c r="F16" s="1915">
        <v>0.38</v>
      </c>
      <c r="G16" s="1915">
        <v>0.1</v>
      </c>
      <c r="H16" s="1916">
        <f>PRODUCT(C16:G16)</f>
        <v>0.56999999999999995</v>
      </c>
      <c r="I16" s="1909"/>
    </row>
    <row r="17" spans="1:10" s="1917" customFormat="1" ht="20.25" customHeight="1">
      <c r="A17" s="1913"/>
      <c r="B17" s="1920" t="s">
        <v>7461</v>
      </c>
      <c r="C17" s="1919">
        <v>1</v>
      </c>
      <c r="D17" s="1919">
        <v>1</v>
      </c>
      <c r="E17" s="1915">
        <v>4.5</v>
      </c>
      <c r="F17" s="1915">
        <v>3</v>
      </c>
      <c r="G17" s="1915">
        <v>0.1</v>
      </c>
      <c r="H17" s="1916">
        <f>PRODUCT(C17:G17)</f>
        <v>1.35</v>
      </c>
      <c r="I17" s="1909"/>
    </row>
    <row r="18" spans="1:10" s="1917" customFormat="1" ht="20.25" customHeight="1">
      <c r="A18" s="1913"/>
      <c r="B18" s="1920"/>
      <c r="C18" s="1919"/>
      <c r="D18" s="1919"/>
      <c r="E18" s="1915"/>
      <c r="F18" s="1915"/>
      <c r="G18" s="1915" t="s">
        <v>2235</v>
      </c>
      <c r="H18" s="1916">
        <f>SUM(H16:H17)</f>
        <v>1.92</v>
      </c>
      <c r="I18" s="1909"/>
    </row>
    <row r="19" spans="1:10" s="1917" customFormat="1" ht="21.75" customHeight="1">
      <c r="A19" s="1913"/>
      <c r="B19" s="1921"/>
      <c r="C19" s="1919"/>
      <c r="D19" s="1919"/>
      <c r="E19" s="1915"/>
      <c r="F19" s="1915"/>
      <c r="G19" s="742" t="s">
        <v>4209</v>
      </c>
      <c r="H19" s="742">
        <f>ROUNDUP(H18,1)</f>
        <v>2</v>
      </c>
      <c r="I19" s="1909" t="s">
        <v>2142</v>
      </c>
    </row>
    <row r="20" spans="1:10" s="1917" customFormat="1" ht="109.5" customHeight="1">
      <c r="A20" s="1913">
        <v>4</v>
      </c>
      <c r="B20" s="1922" t="s">
        <v>7463</v>
      </c>
      <c r="C20" s="1923"/>
      <c r="D20" s="1923"/>
      <c r="E20" s="1923"/>
      <c r="F20" s="1924"/>
      <c r="G20" s="1915"/>
      <c r="H20" s="1915"/>
      <c r="I20" s="1925"/>
      <c r="J20" s="1925"/>
    </row>
    <row r="21" spans="1:10" s="1917" customFormat="1" ht="25.5" customHeight="1">
      <c r="A21" s="1913"/>
      <c r="B21" s="1920" t="s">
        <v>7459</v>
      </c>
      <c r="C21" s="1919">
        <v>1</v>
      </c>
      <c r="D21" s="1919">
        <v>1</v>
      </c>
      <c r="E21" s="1915">
        <f>(4.5+3)*2</f>
        <v>15</v>
      </c>
      <c r="F21" s="1915">
        <v>0.23</v>
      </c>
      <c r="G21" s="1915">
        <v>0.45</v>
      </c>
      <c r="H21" s="1916">
        <f>PRODUCT(C21:G21)</f>
        <v>1.55</v>
      </c>
      <c r="I21" s="1909"/>
    </row>
    <row r="22" spans="1:10" s="1917" customFormat="1" ht="25.5" customHeight="1">
      <c r="A22" s="1913"/>
      <c r="B22" s="1920"/>
      <c r="C22" s="1919"/>
      <c r="D22" s="1919"/>
      <c r="E22" s="1915"/>
      <c r="F22" s="1915"/>
      <c r="G22" s="742" t="s">
        <v>4209</v>
      </c>
      <c r="H22" s="742">
        <f>ROUNDUP(H21,1)</f>
        <v>1.6</v>
      </c>
      <c r="I22" s="1909" t="s">
        <v>2142</v>
      </c>
    </row>
    <row r="23" spans="1:10" s="1933" customFormat="1" ht="132.75" customHeight="1">
      <c r="A23" s="1926">
        <v>5</v>
      </c>
      <c r="B23" s="1927" t="s">
        <v>7464</v>
      </c>
      <c r="C23" s="1928"/>
      <c r="D23" s="1928"/>
      <c r="E23" s="1928"/>
      <c r="F23" s="1929"/>
      <c r="G23" s="1930" t="s">
        <v>7465</v>
      </c>
      <c r="H23" s="1931"/>
      <c r="I23" s="1932"/>
    </row>
    <row r="24" spans="1:10" s="1936" customFormat="1" ht="21.75" customHeight="1">
      <c r="A24" s="1934"/>
      <c r="B24" s="1935" t="s">
        <v>7466</v>
      </c>
      <c r="C24" s="1935"/>
      <c r="D24" s="1935"/>
      <c r="E24" s="1935"/>
      <c r="F24" s="1935"/>
      <c r="G24" s="1930"/>
      <c r="H24" s="1931"/>
      <c r="I24" s="1932"/>
    </row>
    <row r="25" spans="1:10" s="1917" customFormat="1" ht="21.75" customHeight="1">
      <c r="A25" s="1913"/>
      <c r="B25" s="1921" t="s">
        <v>7467</v>
      </c>
      <c r="C25" s="1937">
        <v>2</v>
      </c>
      <c r="D25" s="1937">
        <v>6</v>
      </c>
      <c r="E25" s="1915">
        <v>4.5</v>
      </c>
      <c r="F25" s="1915">
        <v>0.2</v>
      </c>
      <c r="G25" s="1915">
        <v>1</v>
      </c>
      <c r="H25" s="1916">
        <f>PRODUCT(C25:G25)</f>
        <v>10.8</v>
      </c>
      <c r="I25" s="1938"/>
    </row>
    <row r="26" spans="1:10" s="1917" customFormat="1" ht="21.75" customHeight="1">
      <c r="A26" s="1913"/>
      <c r="B26" s="1939" t="s">
        <v>7468</v>
      </c>
      <c r="C26" s="1937"/>
      <c r="D26" s="1937"/>
      <c r="E26" s="1915"/>
      <c r="F26" s="1915"/>
      <c r="G26" s="1915"/>
      <c r="H26" s="1916"/>
      <c r="I26" s="1938"/>
    </row>
    <row r="27" spans="1:10" s="1917" customFormat="1" ht="21.75" customHeight="1">
      <c r="A27" s="1913"/>
      <c r="B27" s="1921" t="s">
        <v>7467</v>
      </c>
      <c r="C27" s="1937">
        <v>2</v>
      </c>
      <c r="D27" s="1937">
        <v>3</v>
      </c>
      <c r="E27" s="1915">
        <v>3.5</v>
      </c>
      <c r="F27" s="1915">
        <v>0.2</v>
      </c>
      <c r="G27" s="1915">
        <v>1</v>
      </c>
      <c r="H27" s="1916">
        <f t="shared" ref="H27:H29" si="0">PRODUCT(C27:G27)</f>
        <v>4.2</v>
      </c>
      <c r="I27" s="1938"/>
    </row>
    <row r="28" spans="1:10" s="1917" customFormat="1" ht="21.75" customHeight="1">
      <c r="A28" s="1913"/>
      <c r="B28" s="1921" t="s">
        <v>7469</v>
      </c>
      <c r="C28" s="1937">
        <v>1</v>
      </c>
      <c r="D28" s="1937">
        <v>3</v>
      </c>
      <c r="E28" s="1915">
        <v>3</v>
      </c>
      <c r="F28" s="1915">
        <v>0.2</v>
      </c>
      <c r="G28" s="1915">
        <v>1</v>
      </c>
      <c r="H28" s="1916">
        <f t="shared" si="0"/>
        <v>1.8</v>
      </c>
      <c r="I28" s="1938"/>
    </row>
    <row r="29" spans="1:10" s="1917" customFormat="1" ht="21.75" customHeight="1">
      <c r="A29" s="1913"/>
      <c r="B29" s="1921" t="s">
        <v>7469</v>
      </c>
      <c r="C29" s="1937">
        <v>1</v>
      </c>
      <c r="D29" s="1937">
        <v>3</v>
      </c>
      <c r="E29" s="1915">
        <v>2.5</v>
      </c>
      <c r="F29" s="1915">
        <v>0.2</v>
      </c>
      <c r="G29" s="1915">
        <v>1</v>
      </c>
      <c r="H29" s="1916">
        <f t="shared" si="0"/>
        <v>1.5</v>
      </c>
      <c r="I29" s="1938"/>
    </row>
    <row r="30" spans="1:10" s="1917" customFormat="1" ht="21.75" customHeight="1">
      <c r="A30" s="1913"/>
      <c r="B30" s="1918" t="s">
        <v>7470</v>
      </c>
      <c r="C30" s="1937"/>
      <c r="D30" s="1937"/>
      <c r="E30" s="1940"/>
      <c r="F30" s="1940"/>
      <c r="G30" s="1940"/>
      <c r="H30" s="1916"/>
      <c r="I30" s="1938"/>
    </row>
    <row r="31" spans="1:10" s="1917" customFormat="1" ht="21.75" customHeight="1">
      <c r="A31" s="1913"/>
      <c r="B31" s="1920" t="s">
        <v>7471</v>
      </c>
      <c r="C31" s="1937">
        <v>2</v>
      </c>
      <c r="D31" s="1937">
        <v>3</v>
      </c>
      <c r="E31" s="1937">
        <v>3.14</v>
      </c>
      <c r="F31" s="1941">
        <v>0.1</v>
      </c>
      <c r="G31" s="1941">
        <v>4</v>
      </c>
      <c r="H31" s="1916">
        <f>PRODUCT(C31:G31)</f>
        <v>7.54</v>
      </c>
      <c r="I31" s="1938"/>
    </row>
    <row r="32" spans="1:10" s="1933" customFormat="1" ht="21.75" customHeight="1">
      <c r="A32" s="1934"/>
      <c r="B32" s="1942"/>
      <c r="C32" s="1937"/>
      <c r="D32" s="1937"/>
      <c r="E32" s="1942"/>
      <c r="F32" s="1941"/>
      <c r="G32" s="1930" t="s">
        <v>2235</v>
      </c>
      <c r="H32" s="1931">
        <f>SUM(H25:H31)</f>
        <v>25.84</v>
      </c>
      <c r="I32" s="1938"/>
    </row>
    <row r="33" spans="1:10" s="1917" customFormat="1" ht="24" customHeight="1">
      <c r="A33" s="1913"/>
      <c r="B33" s="1920"/>
      <c r="C33" s="1919"/>
      <c r="D33" s="1919"/>
      <c r="E33" s="1915"/>
      <c r="F33" s="1915"/>
      <c r="G33" s="742" t="s">
        <v>4209</v>
      </c>
      <c r="H33" s="742">
        <f>ROUNDUP(H32,1)</f>
        <v>25.9</v>
      </c>
      <c r="I33" s="1938" t="s">
        <v>2273</v>
      </c>
    </row>
    <row r="34" spans="1:10" s="1917" customFormat="1" ht="110.25" customHeight="1">
      <c r="A34" s="1913">
        <v>6</v>
      </c>
      <c r="B34" s="1914" t="s">
        <v>7472</v>
      </c>
      <c r="C34" s="1914"/>
      <c r="D34" s="1914"/>
      <c r="E34" s="1914"/>
      <c r="F34" s="1915"/>
      <c r="G34" s="1915"/>
      <c r="H34" s="1916"/>
      <c r="I34" s="1909"/>
    </row>
    <row r="35" spans="1:10" s="1917" customFormat="1" ht="21.75" customHeight="1">
      <c r="A35" s="1913"/>
      <c r="B35" s="1920" t="s">
        <v>7473</v>
      </c>
      <c r="C35" s="1919">
        <v>2</v>
      </c>
      <c r="D35" s="1919">
        <v>3</v>
      </c>
      <c r="E35" s="1915">
        <v>0.45</v>
      </c>
      <c r="F35" s="1915">
        <v>0.45</v>
      </c>
      <c r="G35" s="1915">
        <v>0.45</v>
      </c>
      <c r="H35" s="1916">
        <f>PRODUCT(C35:G35)</f>
        <v>0.55000000000000004</v>
      </c>
      <c r="I35" s="1909"/>
    </row>
    <row r="36" spans="1:10" s="1917" customFormat="1" ht="21.75" customHeight="1">
      <c r="A36" s="1913"/>
      <c r="B36" s="1921"/>
      <c r="C36" s="1919"/>
      <c r="D36" s="1919"/>
      <c r="E36" s="1915"/>
      <c r="F36" s="1915"/>
      <c r="G36" s="742" t="s">
        <v>4209</v>
      </c>
      <c r="H36" s="742">
        <f>ROUNDUP(H35,1)</f>
        <v>0.6</v>
      </c>
      <c r="I36" s="1909" t="s">
        <v>2142</v>
      </c>
    </row>
    <row r="37" spans="1:10" s="1933" customFormat="1" ht="111.75" customHeight="1">
      <c r="A37" s="1926">
        <v>7</v>
      </c>
      <c r="B37" s="1943" t="s">
        <v>7474</v>
      </c>
      <c r="C37" s="1943"/>
      <c r="D37" s="1943"/>
      <c r="E37" s="1943"/>
      <c r="F37" s="1943"/>
      <c r="G37" s="1930"/>
      <c r="H37" s="1944"/>
      <c r="I37" s="1938"/>
    </row>
    <row r="38" spans="1:10" s="1946" customFormat="1" ht="21" customHeight="1">
      <c r="A38" s="1934"/>
      <c r="B38" s="1945" t="s">
        <v>7475</v>
      </c>
      <c r="C38" s="1945"/>
      <c r="D38" s="1945"/>
      <c r="E38" s="1945"/>
      <c r="F38" s="1945"/>
      <c r="G38" s="1930" t="s">
        <v>7476</v>
      </c>
      <c r="H38" s="1944"/>
      <c r="I38" s="1938"/>
    </row>
    <row r="39" spans="1:10" s="1917" customFormat="1" ht="21" customHeight="1">
      <c r="A39" s="1913"/>
      <c r="B39" s="1920" t="s">
        <v>7477</v>
      </c>
      <c r="C39" s="1919">
        <v>2</v>
      </c>
      <c r="D39" s="1919">
        <v>3</v>
      </c>
      <c r="E39" s="1915">
        <v>3.5</v>
      </c>
      <c r="F39" s="1915"/>
      <c r="G39" s="1915">
        <v>12.2</v>
      </c>
      <c r="H39" s="1916">
        <f>PRODUCT(C39:G39)</f>
        <v>256.2</v>
      </c>
      <c r="I39" s="1938"/>
    </row>
    <row r="40" spans="1:10" s="1917" customFormat="1" ht="21" customHeight="1">
      <c r="A40" s="1913"/>
      <c r="B40" s="1947" t="s">
        <v>7478</v>
      </c>
      <c r="C40" s="1937">
        <v>12</v>
      </c>
      <c r="D40" s="1937">
        <v>1</v>
      </c>
      <c r="E40" s="1915">
        <v>4.5</v>
      </c>
      <c r="F40" s="1948"/>
      <c r="G40" s="1915">
        <v>4.3899999999999997</v>
      </c>
      <c r="H40" s="1916">
        <f>PRODUCT(C40:G40)</f>
        <v>237.06</v>
      </c>
      <c r="I40" s="1938"/>
    </row>
    <row r="41" spans="1:10" s="1917" customFormat="1" ht="21" customHeight="1">
      <c r="A41" s="1913"/>
      <c r="B41" s="1920"/>
      <c r="C41" s="1919"/>
      <c r="D41" s="1919"/>
      <c r="E41" s="1915"/>
      <c r="F41" s="1915"/>
      <c r="G41" s="1949" t="s">
        <v>2235</v>
      </c>
      <c r="H41" s="1950">
        <f>SUM(H39:H40)</f>
        <v>493.26</v>
      </c>
      <c r="I41" s="1938"/>
    </row>
    <row r="42" spans="1:10" s="1917" customFormat="1" ht="21.75" customHeight="1">
      <c r="A42" s="1913"/>
      <c r="B42" s="1921"/>
      <c r="C42" s="1919"/>
      <c r="D42" s="1919"/>
      <c r="E42" s="1915"/>
      <c r="F42" s="1915"/>
      <c r="G42" s="742" t="s">
        <v>4209</v>
      </c>
      <c r="H42" s="742">
        <f>ROUNDUP(H41,1)</f>
        <v>493.3</v>
      </c>
      <c r="I42" s="1938" t="s">
        <v>1637</v>
      </c>
    </row>
    <row r="43" spans="1:10" s="1917" customFormat="1" ht="102" customHeight="1">
      <c r="A43" s="1919">
        <v>8</v>
      </c>
      <c r="B43" s="1951" t="s">
        <v>7479</v>
      </c>
      <c r="C43" s="1951"/>
      <c r="D43" s="1951"/>
      <c r="E43" s="1951"/>
      <c r="F43" s="1951"/>
      <c r="G43" s="1951"/>
      <c r="H43" s="1915"/>
      <c r="I43" s="1925"/>
      <c r="J43" s="1925"/>
    </row>
    <row r="44" spans="1:10" s="1917" customFormat="1" ht="20.25" customHeight="1">
      <c r="A44" s="1913"/>
      <c r="B44" s="1920" t="s">
        <v>7459</v>
      </c>
      <c r="C44" s="1919">
        <v>1</v>
      </c>
      <c r="D44" s="1919">
        <v>1</v>
      </c>
      <c r="E44" s="1915">
        <f>(4.5+3)*2</f>
        <v>15</v>
      </c>
      <c r="F44" s="1915"/>
      <c r="G44" s="1915">
        <v>0.6</v>
      </c>
      <c r="H44" s="1916">
        <f>PRODUCT(C44:G44)</f>
        <v>9</v>
      </c>
      <c r="I44" s="1909"/>
    </row>
    <row r="45" spans="1:10" s="1917" customFormat="1" ht="21.75" customHeight="1">
      <c r="A45" s="1913"/>
      <c r="B45" s="1921"/>
      <c r="C45" s="1919"/>
      <c r="D45" s="1919"/>
      <c r="E45" s="1915"/>
      <c r="F45" s="1915"/>
      <c r="G45" s="742" t="s">
        <v>4209</v>
      </c>
      <c r="H45" s="742">
        <f>ROUNDUP(H44,1)</f>
        <v>9</v>
      </c>
      <c r="I45" s="1909" t="s">
        <v>2273</v>
      </c>
    </row>
    <row r="46" spans="1:10" s="1917" customFormat="1" ht="30.75" customHeight="1">
      <c r="A46" s="1919">
        <v>9</v>
      </c>
      <c r="B46" s="1951" t="s">
        <v>7151</v>
      </c>
      <c r="C46" s="1951"/>
      <c r="D46" s="1951"/>
      <c r="E46" s="1951"/>
      <c r="F46" s="1951"/>
      <c r="G46" s="1951"/>
      <c r="H46" s="1915"/>
      <c r="I46" s="1925"/>
      <c r="J46" s="1925"/>
    </row>
    <row r="47" spans="1:10" s="1917" customFormat="1" ht="20.25" customHeight="1">
      <c r="A47" s="1913"/>
      <c r="B47" s="1920" t="s">
        <v>7459</v>
      </c>
      <c r="C47" s="1919">
        <v>1</v>
      </c>
      <c r="D47" s="1919">
        <v>1</v>
      </c>
      <c r="E47" s="1915">
        <v>4.5</v>
      </c>
      <c r="F47" s="1915">
        <v>3</v>
      </c>
      <c r="G47" s="1915"/>
      <c r="H47" s="1916">
        <f>PRODUCT(C47:G47)</f>
        <v>13.5</v>
      </c>
      <c r="I47" s="1909"/>
    </row>
    <row r="48" spans="1:10" s="1917" customFormat="1" ht="21.75" customHeight="1">
      <c r="A48" s="1913"/>
      <c r="B48" s="1921"/>
      <c r="C48" s="1919"/>
      <c r="D48" s="1919"/>
      <c r="E48" s="1915"/>
      <c r="F48" s="1915"/>
      <c r="G48" s="742" t="s">
        <v>4209</v>
      </c>
      <c r="H48" s="742">
        <f>ROUNDUP(H47,1)</f>
        <v>13.5</v>
      </c>
      <c r="I48" s="1909" t="s">
        <v>2273</v>
      </c>
    </row>
    <row r="49" spans="1:10" s="1933" customFormat="1" ht="88.5" customHeight="1">
      <c r="A49" s="1926">
        <v>10</v>
      </c>
      <c r="B49" s="1927" t="s">
        <v>7480</v>
      </c>
      <c r="C49" s="1928"/>
      <c r="D49" s="1928"/>
      <c r="E49" s="1928"/>
      <c r="F49" s="1952"/>
      <c r="G49" s="1952"/>
      <c r="H49" s="1953"/>
      <c r="I49" s="1932"/>
    </row>
    <row r="50" spans="1:10" s="1917" customFormat="1" ht="21" customHeight="1">
      <c r="A50" s="1913"/>
      <c r="B50" s="1920" t="s">
        <v>7481</v>
      </c>
      <c r="C50" s="1937">
        <v>1</v>
      </c>
      <c r="D50" s="1937">
        <v>1</v>
      </c>
      <c r="E50" s="1915">
        <v>5</v>
      </c>
      <c r="F50" s="1915">
        <v>3</v>
      </c>
      <c r="G50" s="1915"/>
      <c r="H50" s="1916">
        <f>PRODUCT(C50:G50)</f>
        <v>15</v>
      </c>
      <c r="I50" s="1938" t="s">
        <v>2273</v>
      </c>
    </row>
    <row r="51" spans="1:10" ht="56.25" customHeight="1">
      <c r="A51" s="815">
        <v>11</v>
      </c>
      <c r="B51" s="1282" t="s">
        <v>7482</v>
      </c>
      <c r="C51" s="1282"/>
      <c r="D51" s="1282"/>
      <c r="E51" s="1282"/>
      <c r="F51" s="1282"/>
      <c r="G51" s="811"/>
      <c r="H51" s="813"/>
      <c r="J51" s="1833" t="s">
        <v>7483</v>
      </c>
    </row>
    <row r="52" spans="1:10" ht="26.25" customHeight="1">
      <c r="A52" s="815"/>
      <c r="B52" s="811" t="s">
        <v>7484</v>
      </c>
      <c r="C52" s="815">
        <v>1</v>
      </c>
      <c r="D52" s="815">
        <v>1</v>
      </c>
      <c r="E52" s="811"/>
      <c r="F52" s="811"/>
      <c r="G52" s="811"/>
      <c r="H52" s="817">
        <f>PRODUCT(C52:G52)</f>
        <v>1</v>
      </c>
      <c r="I52" s="1834" t="s">
        <v>1389</v>
      </c>
    </row>
    <row r="53" spans="1:10" s="737" customFormat="1" ht="71.25" customHeight="1">
      <c r="A53" s="1595">
        <v>12</v>
      </c>
      <c r="B53" s="1282" t="s">
        <v>7485</v>
      </c>
      <c r="C53" s="1282"/>
      <c r="D53" s="1282"/>
      <c r="E53" s="814"/>
      <c r="F53" s="814"/>
      <c r="G53" s="814"/>
      <c r="H53" s="814"/>
      <c r="I53" s="1954"/>
    </row>
    <row r="54" spans="1:10" s="737" customFormat="1" ht="24.75" customHeight="1">
      <c r="A54" s="1595"/>
      <c r="B54" s="811" t="s">
        <v>7486</v>
      </c>
      <c r="C54" s="815">
        <v>1</v>
      </c>
      <c r="D54" s="815">
        <v>1</v>
      </c>
      <c r="E54" s="811">
        <v>50</v>
      </c>
      <c r="F54" s="811"/>
      <c r="G54" s="811"/>
      <c r="H54" s="811">
        <f>PRODUCT(C54:G54)</f>
        <v>50</v>
      </c>
      <c r="I54" s="1955"/>
      <c r="J54" s="1193"/>
    </row>
    <row r="55" spans="1:10" s="737" customFormat="1" ht="23.25" customHeight="1">
      <c r="A55" s="1595"/>
      <c r="B55" s="811"/>
      <c r="C55" s="1569"/>
      <c r="D55" s="1569"/>
      <c r="E55" s="811"/>
      <c r="F55" s="1570"/>
      <c r="G55" s="1571" t="s">
        <v>2235</v>
      </c>
      <c r="H55" s="817">
        <f>SUM(H54:H54)</f>
        <v>50</v>
      </c>
      <c r="I55" s="1834" t="s">
        <v>823</v>
      </c>
      <c r="J55" s="1193"/>
    </row>
    <row r="56" spans="1:10" s="737" customFormat="1" ht="93" customHeight="1">
      <c r="A56" s="815">
        <v>13</v>
      </c>
      <c r="B56" s="1563" t="s">
        <v>7222</v>
      </c>
      <c r="C56" s="1564"/>
      <c r="D56" s="1564"/>
      <c r="E56" s="1565"/>
      <c r="F56" s="814"/>
      <c r="G56" s="814"/>
      <c r="H56" s="814"/>
      <c r="I56" s="1954"/>
      <c r="J56" s="737" t="s">
        <v>7223</v>
      </c>
    </row>
    <row r="57" spans="1:10" s="737" customFormat="1" ht="24.75" customHeight="1">
      <c r="A57" s="1595"/>
      <c r="B57" s="811" t="s">
        <v>7486</v>
      </c>
      <c r="C57" s="815">
        <v>2</v>
      </c>
      <c r="D57" s="815">
        <v>3</v>
      </c>
      <c r="E57" s="811"/>
      <c r="F57" s="811"/>
      <c r="G57" s="811"/>
      <c r="H57" s="811">
        <f>PRODUCT(C57:G57)</f>
        <v>6</v>
      </c>
      <c r="I57" s="1955"/>
      <c r="J57" s="1193"/>
    </row>
    <row r="58" spans="1:10" s="737" customFormat="1" ht="24.75" customHeight="1">
      <c r="A58" s="1595"/>
      <c r="B58" s="811"/>
      <c r="C58" s="815"/>
      <c r="D58" s="815"/>
      <c r="E58" s="811"/>
      <c r="F58" s="811"/>
      <c r="G58" s="1571" t="s">
        <v>2235</v>
      </c>
      <c r="H58" s="817">
        <f>SUM(H57:H57)</f>
        <v>6</v>
      </c>
      <c r="I58" s="1955" t="s">
        <v>1389</v>
      </c>
      <c r="J58" s="1193"/>
    </row>
    <row r="59" spans="1:10" s="737" customFormat="1" ht="54.75" customHeight="1">
      <c r="A59" s="815">
        <v>14</v>
      </c>
      <c r="B59" s="1282" t="s">
        <v>7225</v>
      </c>
      <c r="C59" s="1282"/>
      <c r="D59" s="1282"/>
      <c r="E59" s="1282"/>
      <c r="F59" s="1282"/>
      <c r="G59" s="811"/>
      <c r="H59" s="811"/>
      <c r="I59" s="1833"/>
      <c r="J59" s="737" t="s">
        <v>7226</v>
      </c>
    </row>
    <row r="60" spans="1:10" s="737" customFormat="1" ht="24.75" customHeight="1">
      <c r="A60" s="1595"/>
      <c r="B60" s="811" t="s">
        <v>7486</v>
      </c>
      <c r="C60" s="815">
        <v>2</v>
      </c>
      <c r="D60" s="815">
        <v>3</v>
      </c>
      <c r="E60" s="811"/>
      <c r="F60" s="811"/>
      <c r="G60" s="811"/>
      <c r="H60" s="811">
        <f>PRODUCT(C60:G60)</f>
        <v>6</v>
      </c>
      <c r="I60" s="1955"/>
      <c r="J60" s="1193"/>
    </row>
    <row r="61" spans="1:10" s="737" customFormat="1" ht="24.75" customHeight="1">
      <c r="A61" s="1595"/>
      <c r="B61" s="811"/>
      <c r="C61" s="815"/>
      <c r="D61" s="815"/>
      <c r="E61" s="811"/>
      <c r="F61" s="811"/>
      <c r="G61" s="1571" t="s">
        <v>2235</v>
      </c>
      <c r="H61" s="811">
        <f>SUM(H60:H60)</f>
        <v>6</v>
      </c>
      <c r="I61" s="1834" t="s">
        <v>1427</v>
      </c>
      <c r="J61" s="1193"/>
    </row>
    <row r="62" spans="1:10" s="737" customFormat="1" ht="99.75" customHeight="1">
      <c r="A62" s="815">
        <v>15</v>
      </c>
      <c r="B62" s="1282" t="s">
        <v>7227</v>
      </c>
      <c r="C62" s="1282"/>
      <c r="D62" s="1282"/>
      <c r="E62" s="1282"/>
      <c r="F62" s="814"/>
      <c r="G62" s="814"/>
      <c r="H62" s="814"/>
      <c r="I62" s="1954"/>
    </row>
    <row r="63" spans="1:10" s="737" customFormat="1" ht="24" customHeight="1">
      <c r="A63" s="815"/>
      <c r="B63" s="811" t="s">
        <v>7228</v>
      </c>
      <c r="C63" s="1576"/>
      <c r="D63" s="1576"/>
      <c r="E63" s="811"/>
      <c r="F63" s="811"/>
      <c r="G63" s="811"/>
      <c r="H63" s="811"/>
      <c r="I63" s="1956"/>
      <c r="J63" s="1193"/>
    </row>
    <row r="64" spans="1:10" s="1794" customFormat="1" ht="26.25" customHeight="1">
      <c r="A64" s="1795"/>
      <c r="B64" s="811" t="s">
        <v>7487</v>
      </c>
      <c r="C64" s="1795">
        <v>1</v>
      </c>
      <c r="D64" s="1797">
        <v>2</v>
      </c>
      <c r="E64" s="1798">
        <v>6</v>
      </c>
      <c r="F64" s="1798"/>
      <c r="G64" s="1798"/>
      <c r="H64" s="1798">
        <f>PRODUCT(C64:G64)</f>
        <v>12</v>
      </c>
      <c r="I64" s="1957"/>
    </row>
    <row r="65" spans="1:37" s="737" customFormat="1" ht="21.75" customHeight="1">
      <c r="A65" s="867"/>
      <c r="B65" s="811"/>
      <c r="C65" s="1576"/>
      <c r="D65" s="1576"/>
      <c r="E65" s="1798"/>
      <c r="F65" s="811"/>
      <c r="G65" s="1571" t="s">
        <v>2235</v>
      </c>
      <c r="H65" s="817">
        <f>SUM(H64:H64)</f>
        <v>12</v>
      </c>
      <c r="I65" s="1834" t="s">
        <v>823</v>
      </c>
      <c r="J65" s="1193"/>
    </row>
    <row r="66" spans="1:37" s="737" customFormat="1" ht="90" customHeight="1">
      <c r="A66" s="815">
        <v>16</v>
      </c>
      <c r="B66" s="1282" t="s">
        <v>7230</v>
      </c>
      <c r="C66" s="1282"/>
      <c r="D66" s="1282"/>
      <c r="E66" s="1282"/>
      <c r="F66" s="814"/>
      <c r="G66" s="814"/>
      <c r="H66" s="814"/>
      <c r="I66" s="1954"/>
      <c r="J66" s="1193"/>
    </row>
    <row r="67" spans="1:37" s="737" customFormat="1" ht="24" customHeight="1">
      <c r="A67" s="815" t="s">
        <v>3999</v>
      </c>
      <c r="B67" s="811" t="s">
        <v>7487</v>
      </c>
      <c r="C67" s="1576"/>
      <c r="D67" s="1576"/>
      <c r="E67" s="811"/>
      <c r="F67" s="811"/>
      <c r="G67" s="811"/>
      <c r="H67" s="811"/>
      <c r="I67" s="1956"/>
      <c r="J67" s="1193"/>
    </row>
    <row r="68" spans="1:37" s="1794" customFormat="1" ht="24.75" customHeight="1">
      <c r="A68" s="1795"/>
      <c r="B68" s="811" t="s">
        <v>7231</v>
      </c>
      <c r="C68" s="1795">
        <v>1</v>
      </c>
      <c r="D68" s="1797">
        <v>2</v>
      </c>
      <c r="E68" s="1798">
        <v>6</v>
      </c>
      <c r="F68" s="1798"/>
      <c r="G68" s="1798"/>
      <c r="H68" s="1798">
        <f>PRODUCT(C68:G68)</f>
        <v>12</v>
      </c>
    </row>
    <row r="69" spans="1:37" s="737" customFormat="1" ht="22.5" customHeight="1">
      <c r="A69" s="867"/>
      <c r="B69" s="811"/>
      <c r="C69" s="1576"/>
      <c r="D69" s="1576"/>
      <c r="E69" s="811"/>
      <c r="F69" s="811"/>
      <c r="G69" s="1571" t="s">
        <v>2235</v>
      </c>
      <c r="H69" s="817">
        <f>SUM(H68:H68)</f>
        <v>12</v>
      </c>
      <c r="I69" s="1834" t="s">
        <v>823</v>
      </c>
      <c r="J69" s="1193"/>
    </row>
    <row r="70" spans="1:37" s="1964" customFormat="1" ht="114" customHeight="1">
      <c r="A70" s="1958">
        <v>17</v>
      </c>
      <c r="B70" s="1959" t="s">
        <v>7488</v>
      </c>
      <c r="C70" s="1959"/>
      <c r="D70" s="1959"/>
      <c r="E70" s="1959"/>
      <c r="F70" s="1959"/>
      <c r="G70" s="1960"/>
      <c r="H70" s="1961"/>
      <c r="I70" s="1962"/>
      <c r="J70" s="1963"/>
    </row>
    <row r="71" spans="1:37" s="1964" customFormat="1" ht="25.5" customHeight="1">
      <c r="A71" s="1958"/>
      <c r="B71" s="1960" t="s">
        <v>7489</v>
      </c>
      <c r="C71" s="1958">
        <v>1</v>
      </c>
      <c r="D71" s="1958">
        <v>1</v>
      </c>
      <c r="E71" s="1958"/>
      <c r="F71" s="1958"/>
      <c r="G71" s="1958"/>
      <c r="H71" s="1961">
        <f>PRODUCT(C71:G71)</f>
        <v>1</v>
      </c>
      <c r="I71" s="1965" t="s">
        <v>1427</v>
      </c>
      <c r="J71" s="1963"/>
    </row>
    <row r="72" spans="1:37" s="1971" customFormat="1" ht="78" customHeight="1">
      <c r="A72" s="1966">
        <v>18</v>
      </c>
      <c r="B72" s="1282" t="s">
        <v>7490</v>
      </c>
      <c r="C72" s="1282"/>
      <c r="D72" s="1282"/>
      <c r="E72" s="1282"/>
      <c r="F72" s="1282"/>
      <c r="G72" s="1967"/>
      <c r="H72" s="1968"/>
      <c r="I72" s="1969"/>
      <c r="J72" s="1603"/>
      <c r="K72" s="1603"/>
      <c r="L72" s="1603"/>
      <c r="M72" s="1603"/>
      <c r="N72" s="1603"/>
      <c r="O72" s="1603"/>
      <c r="P72" s="1603"/>
      <c r="Q72" s="1603"/>
      <c r="R72" s="1603"/>
      <c r="S72" s="1603"/>
      <c r="T72" s="1603"/>
      <c r="U72" s="1603"/>
      <c r="V72" s="1603"/>
      <c r="W72" s="1603"/>
      <c r="X72" s="1603"/>
      <c r="Y72" s="1603"/>
      <c r="Z72" s="1603"/>
      <c r="AA72" s="1603"/>
      <c r="AB72" s="1603"/>
      <c r="AC72" s="1603"/>
      <c r="AD72" s="1603"/>
      <c r="AE72" s="1603"/>
      <c r="AF72" s="1603"/>
      <c r="AG72" s="1603"/>
      <c r="AH72" s="1603"/>
      <c r="AI72" s="1603"/>
      <c r="AJ72" s="1603"/>
      <c r="AK72" s="1970"/>
    </row>
    <row r="73" spans="1:37" s="1971" customFormat="1" ht="27.75" customHeight="1">
      <c r="A73" s="1966"/>
      <c r="B73" s="1224" t="s">
        <v>7491</v>
      </c>
      <c r="C73" s="1972">
        <v>1</v>
      </c>
      <c r="D73" s="1972">
        <v>1</v>
      </c>
      <c r="E73" s="868">
        <v>50</v>
      </c>
      <c r="F73" s="868"/>
      <c r="G73" s="1973"/>
      <c r="H73" s="1974">
        <f>PRODUCT(C73:G73)</f>
        <v>50</v>
      </c>
      <c r="I73" s="1969"/>
      <c r="J73" s="1603"/>
      <c r="K73" s="1603"/>
      <c r="L73" s="1603"/>
      <c r="M73" s="1603"/>
      <c r="N73" s="1603"/>
      <c r="O73" s="1603"/>
      <c r="P73" s="1603"/>
      <c r="Q73" s="1603"/>
      <c r="R73" s="1603"/>
      <c r="S73" s="1603"/>
      <c r="T73" s="1603"/>
      <c r="U73" s="1603"/>
      <c r="V73" s="1603"/>
      <c r="W73" s="1603"/>
      <c r="X73" s="1603"/>
      <c r="Y73" s="1603"/>
      <c r="Z73" s="1603"/>
      <c r="AA73" s="1603"/>
      <c r="AB73" s="1603"/>
      <c r="AC73" s="1603"/>
      <c r="AD73" s="1603"/>
      <c r="AE73" s="1603"/>
      <c r="AF73" s="1603"/>
      <c r="AG73" s="1603"/>
      <c r="AH73" s="1603"/>
      <c r="AI73" s="1603"/>
      <c r="AJ73" s="1603"/>
      <c r="AK73" s="1970"/>
    </row>
    <row r="74" spans="1:37" s="1603" customFormat="1" ht="24" customHeight="1">
      <c r="A74" s="1966"/>
      <c r="B74" s="1224"/>
      <c r="C74" s="1972"/>
      <c r="D74" s="1972"/>
      <c r="E74" s="1224"/>
      <c r="F74" s="1224"/>
      <c r="G74" s="1967" t="s">
        <v>2235</v>
      </c>
      <c r="H74" s="1968">
        <f>SUM(H73:H73)</f>
        <v>50</v>
      </c>
      <c r="I74" s="1969" t="s">
        <v>823</v>
      </c>
    </row>
    <row r="79" spans="1:37" s="1975" customFormat="1" ht="16.5">
      <c r="B79" s="1093" t="s">
        <v>7492</v>
      </c>
      <c r="C79" s="1093"/>
      <c r="D79" s="1976"/>
      <c r="E79" s="1093"/>
      <c r="F79" s="1084"/>
    </row>
  </sheetData>
  <mergeCells count="22">
    <mergeCell ref="B62:E62"/>
    <mergeCell ref="B66:E66"/>
    <mergeCell ref="B70:F70"/>
    <mergeCell ref="B72:F72"/>
    <mergeCell ref="B46:G46"/>
    <mergeCell ref="B49:E49"/>
    <mergeCell ref="B51:F51"/>
    <mergeCell ref="B53:D53"/>
    <mergeCell ref="B56:E56"/>
    <mergeCell ref="B59:F59"/>
    <mergeCell ref="B15:E15"/>
    <mergeCell ref="B20:F20"/>
    <mergeCell ref="B23:F23"/>
    <mergeCell ref="B34:E34"/>
    <mergeCell ref="B37:F37"/>
    <mergeCell ref="B43:G43"/>
    <mergeCell ref="A1:I1"/>
    <mergeCell ref="A2:I2"/>
    <mergeCell ref="A3:I3"/>
    <mergeCell ref="C5:D5"/>
    <mergeCell ref="B6:F6"/>
    <mergeCell ref="B10:E10"/>
  </mergeCells>
  <printOptions horizontalCentered="1"/>
  <pageMargins left="0.39" right="0.22" top="0.62" bottom="0.31" header="0.3" footer="0.3"/>
  <pageSetup paperSize="9" scale="90" orientation="portrait" verticalDpi="300" r:id="rId1"/>
  <headerFooter>
    <oddHeader>Page &amp;P</oddHead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75"/>
  <sheetViews>
    <sheetView view="pageBreakPreview" topLeftCell="A163" zoomScale="89" zoomScaleSheetLayoutView="89" workbookViewId="0">
      <selection activeCell="B27" sqref="B27"/>
    </sheetView>
  </sheetViews>
  <sheetFormatPr defaultRowHeight="18.75"/>
  <cols>
    <col min="1" max="1" width="5.77734375" style="1977" customWidth="1"/>
    <col min="2" max="2" width="37.44140625" style="2040" customWidth="1"/>
    <col min="3" max="3" width="4.77734375" style="1977" customWidth="1"/>
    <col min="4" max="4" width="6.109375" style="1977" customWidth="1"/>
    <col min="5" max="5" width="8.88671875" style="2036" customWidth="1"/>
    <col min="6" max="7" width="7.6640625" style="2036" customWidth="1"/>
    <col min="8" max="8" width="9.6640625" style="2036" customWidth="1"/>
    <col min="9" max="9" width="4" style="1869" customWidth="1"/>
    <col min="10" max="256" width="8.88671875" style="1980"/>
    <col min="257" max="257" width="5.77734375" style="1980" customWidth="1"/>
    <col min="258" max="258" width="37.44140625" style="1980" customWidth="1"/>
    <col min="259" max="259" width="4.77734375" style="1980" customWidth="1"/>
    <col min="260" max="260" width="6.109375" style="1980" customWidth="1"/>
    <col min="261" max="261" width="8.88671875" style="1980" customWidth="1"/>
    <col min="262" max="263" width="7.6640625" style="1980" customWidth="1"/>
    <col min="264" max="264" width="9.6640625" style="1980" customWidth="1"/>
    <col min="265" max="265" width="4" style="1980" customWidth="1"/>
    <col min="266" max="512" width="8.88671875" style="1980"/>
    <col min="513" max="513" width="5.77734375" style="1980" customWidth="1"/>
    <col min="514" max="514" width="37.44140625" style="1980" customWidth="1"/>
    <col min="515" max="515" width="4.77734375" style="1980" customWidth="1"/>
    <col min="516" max="516" width="6.109375" style="1980" customWidth="1"/>
    <col min="517" max="517" width="8.88671875" style="1980" customWidth="1"/>
    <col min="518" max="519" width="7.6640625" style="1980" customWidth="1"/>
    <col min="520" max="520" width="9.6640625" style="1980" customWidth="1"/>
    <col min="521" max="521" width="4" style="1980" customWidth="1"/>
    <col min="522" max="768" width="8.88671875" style="1980"/>
    <col min="769" max="769" width="5.77734375" style="1980" customWidth="1"/>
    <col min="770" max="770" width="37.44140625" style="1980" customWidth="1"/>
    <col min="771" max="771" width="4.77734375" style="1980" customWidth="1"/>
    <col min="772" max="772" width="6.109375" style="1980" customWidth="1"/>
    <col min="773" max="773" width="8.88671875" style="1980" customWidth="1"/>
    <col min="774" max="775" width="7.6640625" style="1980" customWidth="1"/>
    <col min="776" max="776" width="9.6640625" style="1980" customWidth="1"/>
    <col min="777" max="777" width="4" style="1980" customWidth="1"/>
    <col min="778" max="1024" width="8.88671875" style="1980"/>
    <col min="1025" max="1025" width="5.77734375" style="1980" customWidth="1"/>
    <col min="1026" max="1026" width="37.44140625" style="1980" customWidth="1"/>
    <col min="1027" max="1027" width="4.77734375" style="1980" customWidth="1"/>
    <col min="1028" max="1028" width="6.109375" style="1980" customWidth="1"/>
    <col min="1029" max="1029" width="8.88671875" style="1980" customWidth="1"/>
    <col min="1030" max="1031" width="7.6640625" style="1980" customWidth="1"/>
    <col min="1032" max="1032" width="9.6640625" style="1980" customWidth="1"/>
    <col min="1033" max="1033" width="4" style="1980" customWidth="1"/>
    <col min="1034" max="1280" width="8.88671875" style="1980"/>
    <col min="1281" max="1281" width="5.77734375" style="1980" customWidth="1"/>
    <col min="1282" max="1282" width="37.44140625" style="1980" customWidth="1"/>
    <col min="1283" max="1283" width="4.77734375" style="1980" customWidth="1"/>
    <col min="1284" max="1284" width="6.109375" style="1980" customWidth="1"/>
    <col min="1285" max="1285" width="8.88671875" style="1980" customWidth="1"/>
    <col min="1286" max="1287" width="7.6640625" style="1980" customWidth="1"/>
    <col min="1288" max="1288" width="9.6640625" style="1980" customWidth="1"/>
    <col min="1289" max="1289" width="4" style="1980" customWidth="1"/>
    <col min="1290" max="1536" width="8.88671875" style="1980"/>
    <col min="1537" max="1537" width="5.77734375" style="1980" customWidth="1"/>
    <col min="1538" max="1538" width="37.44140625" style="1980" customWidth="1"/>
    <col min="1539" max="1539" width="4.77734375" style="1980" customWidth="1"/>
    <col min="1540" max="1540" width="6.109375" style="1980" customWidth="1"/>
    <col min="1541" max="1541" width="8.88671875" style="1980" customWidth="1"/>
    <col min="1542" max="1543" width="7.6640625" style="1980" customWidth="1"/>
    <col min="1544" max="1544" width="9.6640625" style="1980" customWidth="1"/>
    <col min="1545" max="1545" width="4" style="1980" customWidth="1"/>
    <col min="1546" max="1792" width="8.88671875" style="1980"/>
    <col min="1793" max="1793" width="5.77734375" style="1980" customWidth="1"/>
    <col min="1794" max="1794" width="37.44140625" style="1980" customWidth="1"/>
    <col min="1795" max="1795" width="4.77734375" style="1980" customWidth="1"/>
    <col min="1796" max="1796" width="6.109375" style="1980" customWidth="1"/>
    <col min="1797" max="1797" width="8.88671875" style="1980" customWidth="1"/>
    <col min="1798" max="1799" width="7.6640625" style="1980" customWidth="1"/>
    <col min="1800" max="1800" width="9.6640625" style="1980" customWidth="1"/>
    <col min="1801" max="1801" width="4" style="1980" customWidth="1"/>
    <col min="1802" max="2048" width="8.88671875" style="1980"/>
    <col min="2049" max="2049" width="5.77734375" style="1980" customWidth="1"/>
    <col min="2050" max="2050" width="37.44140625" style="1980" customWidth="1"/>
    <col min="2051" max="2051" width="4.77734375" style="1980" customWidth="1"/>
    <col min="2052" max="2052" width="6.109375" style="1980" customWidth="1"/>
    <col min="2053" max="2053" width="8.88671875" style="1980" customWidth="1"/>
    <col min="2054" max="2055" width="7.6640625" style="1980" customWidth="1"/>
    <col min="2056" max="2056" width="9.6640625" style="1980" customWidth="1"/>
    <col min="2057" max="2057" width="4" style="1980" customWidth="1"/>
    <col min="2058" max="2304" width="8.88671875" style="1980"/>
    <col min="2305" max="2305" width="5.77734375" style="1980" customWidth="1"/>
    <col min="2306" max="2306" width="37.44140625" style="1980" customWidth="1"/>
    <col min="2307" max="2307" width="4.77734375" style="1980" customWidth="1"/>
    <col min="2308" max="2308" width="6.109375" style="1980" customWidth="1"/>
    <col min="2309" max="2309" width="8.88671875" style="1980" customWidth="1"/>
    <col min="2310" max="2311" width="7.6640625" style="1980" customWidth="1"/>
    <col min="2312" max="2312" width="9.6640625" style="1980" customWidth="1"/>
    <col min="2313" max="2313" width="4" style="1980" customWidth="1"/>
    <col min="2314" max="2560" width="8.88671875" style="1980"/>
    <col min="2561" max="2561" width="5.77734375" style="1980" customWidth="1"/>
    <col min="2562" max="2562" width="37.44140625" style="1980" customWidth="1"/>
    <col min="2563" max="2563" width="4.77734375" style="1980" customWidth="1"/>
    <col min="2564" max="2564" width="6.109375" style="1980" customWidth="1"/>
    <col min="2565" max="2565" width="8.88671875" style="1980" customWidth="1"/>
    <col min="2566" max="2567" width="7.6640625" style="1980" customWidth="1"/>
    <col min="2568" max="2568" width="9.6640625" style="1980" customWidth="1"/>
    <col min="2569" max="2569" width="4" style="1980" customWidth="1"/>
    <col min="2570" max="2816" width="8.88671875" style="1980"/>
    <col min="2817" max="2817" width="5.77734375" style="1980" customWidth="1"/>
    <col min="2818" max="2818" width="37.44140625" style="1980" customWidth="1"/>
    <col min="2819" max="2819" width="4.77734375" style="1980" customWidth="1"/>
    <col min="2820" max="2820" width="6.109375" style="1980" customWidth="1"/>
    <col min="2821" max="2821" width="8.88671875" style="1980" customWidth="1"/>
    <col min="2822" max="2823" width="7.6640625" style="1980" customWidth="1"/>
    <col min="2824" max="2824" width="9.6640625" style="1980" customWidth="1"/>
    <col min="2825" max="2825" width="4" style="1980" customWidth="1"/>
    <col min="2826" max="3072" width="8.88671875" style="1980"/>
    <col min="3073" max="3073" width="5.77734375" style="1980" customWidth="1"/>
    <col min="3074" max="3074" width="37.44140625" style="1980" customWidth="1"/>
    <col min="3075" max="3075" width="4.77734375" style="1980" customWidth="1"/>
    <col min="3076" max="3076" width="6.109375" style="1980" customWidth="1"/>
    <col min="3077" max="3077" width="8.88671875" style="1980" customWidth="1"/>
    <col min="3078" max="3079" width="7.6640625" style="1980" customWidth="1"/>
    <col min="3080" max="3080" width="9.6640625" style="1980" customWidth="1"/>
    <col min="3081" max="3081" width="4" style="1980" customWidth="1"/>
    <col min="3082" max="3328" width="8.88671875" style="1980"/>
    <col min="3329" max="3329" width="5.77734375" style="1980" customWidth="1"/>
    <col min="3330" max="3330" width="37.44140625" style="1980" customWidth="1"/>
    <col min="3331" max="3331" width="4.77734375" style="1980" customWidth="1"/>
    <col min="3332" max="3332" width="6.109375" style="1980" customWidth="1"/>
    <col min="3333" max="3333" width="8.88671875" style="1980" customWidth="1"/>
    <col min="3334" max="3335" width="7.6640625" style="1980" customWidth="1"/>
    <col min="3336" max="3336" width="9.6640625" style="1980" customWidth="1"/>
    <col min="3337" max="3337" width="4" style="1980" customWidth="1"/>
    <col min="3338" max="3584" width="8.88671875" style="1980"/>
    <col min="3585" max="3585" width="5.77734375" style="1980" customWidth="1"/>
    <col min="3586" max="3586" width="37.44140625" style="1980" customWidth="1"/>
    <col min="3587" max="3587" width="4.77734375" style="1980" customWidth="1"/>
    <col min="3588" max="3588" width="6.109375" style="1980" customWidth="1"/>
    <col min="3589" max="3589" width="8.88671875" style="1980" customWidth="1"/>
    <col min="3590" max="3591" width="7.6640625" style="1980" customWidth="1"/>
    <col min="3592" max="3592" width="9.6640625" style="1980" customWidth="1"/>
    <col min="3593" max="3593" width="4" style="1980" customWidth="1"/>
    <col min="3594" max="3840" width="8.88671875" style="1980"/>
    <col min="3841" max="3841" width="5.77734375" style="1980" customWidth="1"/>
    <col min="3842" max="3842" width="37.44140625" style="1980" customWidth="1"/>
    <col min="3843" max="3843" width="4.77734375" style="1980" customWidth="1"/>
    <col min="3844" max="3844" width="6.109375" style="1980" customWidth="1"/>
    <col min="3845" max="3845" width="8.88671875" style="1980" customWidth="1"/>
    <col min="3846" max="3847" width="7.6640625" style="1980" customWidth="1"/>
    <col min="3848" max="3848" width="9.6640625" style="1980" customWidth="1"/>
    <col min="3849" max="3849" width="4" style="1980" customWidth="1"/>
    <col min="3850" max="4096" width="8.88671875" style="1980"/>
    <col min="4097" max="4097" width="5.77734375" style="1980" customWidth="1"/>
    <col min="4098" max="4098" width="37.44140625" style="1980" customWidth="1"/>
    <col min="4099" max="4099" width="4.77734375" style="1980" customWidth="1"/>
    <col min="4100" max="4100" width="6.109375" style="1980" customWidth="1"/>
    <col min="4101" max="4101" width="8.88671875" style="1980" customWidth="1"/>
    <col min="4102" max="4103" width="7.6640625" style="1980" customWidth="1"/>
    <col min="4104" max="4104" width="9.6640625" style="1980" customWidth="1"/>
    <col min="4105" max="4105" width="4" style="1980" customWidth="1"/>
    <col min="4106" max="4352" width="8.88671875" style="1980"/>
    <col min="4353" max="4353" width="5.77734375" style="1980" customWidth="1"/>
    <col min="4354" max="4354" width="37.44140625" style="1980" customWidth="1"/>
    <col min="4355" max="4355" width="4.77734375" style="1980" customWidth="1"/>
    <col min="4356" max="4356" width="6.109375" style="1980" customWidth="1"/>
    <col min="4357" max="4357" width="8.88671875" style="1980" customWidth="1"/>
    <col min="4358" max="4359" width="7.6640625" style="1980" customWidth="1"/>
    <col min="4360" max="4360" width="9.6640625" style="1980" customWidth="1"/>
    <col min="4361" max="4361" width="4" style="1980" customWidth="1"/>
    <col min="4362" max="4608" width="8.88671875" style="1980"/>
    <col min="4609" max="4609" width="5.77734375" style="1980" customWidth="1"/>
    <col min="4610" max="4610" width="37.44140625" style="1980" customWidth="1"/>
    <col min="4611" max="4611" width="4.77734375" style="1980" customWidth="1"/>
    <col min="4612" max="4612" width="6.109375" style="1980" customWidth="1"/>
    <col min="4613" max="4613" width="8.88671875" style="1980" customWidth="1"/>
    <col min="4614" max="4615" width="7.6640625" style="1980" customWidth="1"/>
    <col min="4616" max="4616" width="9.6640625" style="1980" customWidth="1"/>
    <col min="4617" max="4617" width="4" style="1980" customWidth="1"/>
    <col min="4618" max="4864" width="8.88671875" style="1980"/>
    <col min="4865" max="4865" width="5.77734375" style="1980" customWidth="1"/>
    <col min="4866" max="4866" width="37.44140625" style="1980" customWidth="1"/>
    <col min="4867" max="4867" width="4.77734375" style="1980" customWidth="1"/>
    <col min="4868" max="4868" width="6.109375" style="1980" customWidth="1"/>
    <col min="4869" max="4869" width="8.88671875" style="1980" customWidth="1"/>
    <col min="4870" max="4871" width="7.6640625" style="1980" customWidth="1"/>
    <col min="4872" max="4872" width="9.6640625" style="1980" customWidth="1"/>
    <col min="4873" max="4873" width="4" style="1980" customWidth="1"/>
    <col min="4874" max="5120" width="8.88671875" style="1980"/>
    <col min="5121" max="5121" width="5.77734375" style="1980" customWidth="1"/>
    <col min="5122" max="5122" width="37.44140625" style="1980" customWidth="1"/>
    <col min="5123" max="5123" width="4.77734375" style="1980" customWidth="1"/>
    <col min="5124" max="5124" width="6.109375" style="1980" customWidth="1"/>
    <col min="5125" max="5125" width="8.88671875" style="1980" customWidth="1"/>
    <col min="5126" max="5127" width="7.6640625" style="1980" customWidth="1"/>
    <col min="5128" max="5128" width="9.6640625" style="1980" customWidth="1"/>
    <col min="5129" max="5129" width="4" style="1980" customWidth="1"/>
    <col min="5130" max="5376" width="8.88671875" style="1980"/>
    <col min="5377" max="5377" width="5.77734375" style="1980" customWidth="1"/>
    <col min="5378" max="5378" width="37.44140625" style="1980" customWidth="1"/>
    <col min="5379" max="5379" width="4.77734375" style="1980" customWidth="1"/>
    <col min="5380" max="5380" width="6.109375" style="1980" customWidth="1"/>
    <col min="5381" max="5381" width="8.88671875" style="1980" customWidth="1"/>
    <col min="5382" max="5383" width="7.6640625" style="1980" customWidth="1"/>
    <col min="5384" max="5384" width="9.6640625" style="1980" customWidth="1"/>
    <col min="5385" max="5385" width="4" style="1980" customWidth="1"/>
    <col min="5386" max="5632" width="8.88671875" style="1980"/>
    <col min="5633" max="5633" width="5.77734375" style="1980" customWidth="1"/>
    <col min="5634" max="5634" width="37.44140625" style="1980" customWidth="1"/>
    <col min="5635" max="5635" width="4.77734375" style="1980" customWidth="1"/>
    <col min="5636" max="5636" width="6.109375" style="1980" customWidth="1"/>
    <col min="5637" max="5637" width="8.88671875" style="1980" customWidth="1"/>
    <col min="5638" max="5639" width="7.6640625" style="1980" customWidth="1"/>
    <col min="5640" max="5640" width="9.6640625" style="1980" customWidth="1"/>
    <col min="5641" max="5641" width="4" style="1980" customWidth="1"/>
    <col min="5642" max="5888" width="8.88671875" style="1980"/>
    <col min="5889" max="5889" width="5.77734375" style="1980" customWidth="1"/>
    <col min="5890" max="5890" width="37.44140625" style="1980" customWidth="1"/>
    <col min="5891" max="5891" width="4.77734375" style="1980" customWidth="1"/>
    <col min="5892" max="5892" width="6.109375" style="1980" customWidth="1"/>
    <col min="5893" max="5893" width="8.88671875" style="1980" customWidth="1"/>
    <col min="5894" max="5895" width="7.6640625" style="1980" customWidth="1"/>
    <col min="5896" max="5896" width="9.6640625" style="1980" customWidth="1"/>
    <col min="5897" max="5897" width="4" style="1980" customWidth="1"/>
    <col min="5898" max="6144" width="8.88671875" style="1980"/>
    <col min="6145" max="6145" width="5.77734375" style="1980" customWidth="1"/>
    <col min="6146" max="6146" width="37.44140625" style="1980" customWidth="1"/>
    <col min="6147" max="6147" width="4.77734375" style="1980" customWidth="1"/>
    <col min="6148" max="6148" width="6.109375" style="1980" customWidth="1"/>
    <col min="6149" max="6149" width="8.88671875" style="1980" customWidth="1"/>
    <col min="6150" max="6151" width="7.6640625" style="1980" customWidth="1"/>
    <col min="6152" max="6152" width="9.6640625" style="1980" customWidth="1"/>
    <col min="6153" max="6153" width="4" style="1980" customWidth="1"/>
    <col min="6154" max="6400" width="8.88671875" style="1980"/>
    <col min="6401" max="6401" width="5.77734375" style="1980" customWidth="1"/>
    <col min="6402" max="6402" width="37.44140625" style="1980" customWidth="1"/>
    <col min="6403" max="6403" width="4.77734375" style="1980" customWidth="1"/>
    <col min="6404" max="6404" width="6.109375" style="1980" customWidth="1"/>
    <col min="6405" max="6405" width="8.88671875" style="1980" customWidth="1"/>
    <col min="6406" max="6407" width="7.6640625" style="1980" customWidth="1"/>
    <col min="6408" max="6408" width="9.6640625" style="1980" customWidth="1"/>
    <col min="6409" max="6409" width="4" style="1980" customWidth="1"/>
    <col min="6410" max="6656" width="8.88671875" style="1980"/>
    <col min="6657" max="6657" width="5.77734375" style="1980" customWidth="1"/>
    <col min="6658" max="6658" width="37.44140625" style="1980" customWidth="1"/>
    <col min="6659" max="6659" width="4.77734375" style="1980" customWidth="1"/>
    <col min="6660" max="6660" width="6.109375" style="1980" customWidth="1"/>
    <col min="6661" max="6661" width="8.88671875" style="1980" customWidth="1"/>
    <col min="6662" max="6663" width="7.6640625" style="1980" customWidth="1"/>
    <col min="6664" max="6664" width="9.6640625" style="1980" customWidth="1"/>
    <col min="6665" max="6665" width="4" style="1980" customWidth="1"/>
    <col min="6666" max="6912" width="8.88671875" style="1980"/>
    <col min="6913" max="6913" width="5.77734375" style="1980" customWidth="1"/>
    <col min="6914" max="6914" width="37.44140625" style="1980" customWidth="1"/>
    <col min="6915" max="6915" width="4.77734375" style="1980" customWidth="1"/>
    <col min="6916" max="6916" width="6.109375" style="1980" customWidth="1"/>
    <col min="6917" max="6917" width="8.88671875" style="1980" customWidth="1"/>
    <col min="6918" max="6919" width="7.6640625" style="1980" customWidth="1"/>
    <col min="6920" max="6920" width="9.6640625" style="1980" customWidth="1"/>
    <col min="6921" max="6921" width="4" style="1980" customWidth="1"/>
    <col min="6922" max="7168" width="8.88671875" style="1980"/>
    <col min="7169" max="7169" width="5.77734375" style="1980" customWidth="1"/>
    <col min="7170" max="7170" width="37.44140625" style="1980" customWidth="1"/>
    <col min="7171" max="7171" width="4.77734375" style="1980" customWidth="1"/>
    <col min="7172" max="7172" width="6.109375" style="1980" customWidth="1"/>
    <col min="7173" max="7173" width="8.88671875" style="1980" customWidth="1"/>
    <col min="7174" max="7175" width="7.6640625" style="1980" customWidth="1"/>
    <col min="7176" max="7176" width="9.6640625" style="1980" customWidth="1"/>
    <col min="7177" max="7177" width="4" style="1980" customWidth="1"/>
    <col min="7178" max="7424" width="8.88671875" style="1980"/>
    <col min="7425" max="7425" width="5.77734375" style="1980" customWidth="1"/>
    <col min="7426" max="7426" width="37.44140625" style="1980" customWidth="1"/>
    <col min="7427" max="7427" width="4.77734375" style="1980" customWidth="1"/>
    <col min="7428" max="7428" width="6.109375" style="1980" customWidth="1"/>
    <col min="7429" max="7429" width="8.88671875" style="1980" customWidth="1"/>
    <col min="7430" max="7431" width="7.6640625" style="1980" customWidth="1"/>
    <col min="7432" max="7432" width="9.6640625" style="1980" customWidth="1"/>
    <col min="7433" max="7433" width="4" style="1980" customWidth="1"/>
    <col min="7434" max="7680" width="8.88671875" style="1980"/>
    <col min="7681" max="7681" width="5.77734375" style="1980" customWidth="1"/>
    <col min="7682" max="7682" width="37.44140625" style="1980" customWidth="1"/>
    <col min="7683" max="7683" width="4.77734375" style="1980" customWidth="1"/>
    <col min="7684" max="7684" width="6.109375" style="1980" customWidth="1"/>
    <col min="7685" max="7685" width="8.88671875" style="1980" customWidth="1"/>
    <col min="7686" max="7687" width="7.6640625" style="1980" customWidth="1"/>
    <col min="7688" max="7688" width="9.6640625" style="1980" customWidth="1"/>
    <col min="7689" max="7689" width="4" style="1980" customWidth="1"/>
    <col min="7690" max="7936" width="8.88671875" style="1980"/>
    <col min="7937" max="7937" width="5.77734375" style="1980" customWidth="1"/>
    <col min="7938" max="7938" width="37.44140625" style="1980" customWidth="1"/>
    <col min="7939" max="7939" width="4.77734375" style="1980" customWidth="1"/>
    <col min="7940" max="7940" width="6.109375" style="1980" customWidth="1"/>
    <col min="7941" max="7941" width="8.88671875" style="1980" customWidth="1"/>
    <col min="7942" max="7943" width="7.6640625" style="1980" customWidth="1"/>
    <col min="7944" max="7944" width="9.6640625" style="1980" customWidth="1"/>
    <col min="7945" max="7945" width="4" style="1980" customWidth="1"/>
    <col min="7946" max="8192" width="8.88671875" style="1980"/>
    <col min="8193" max="8193" width="5.77734375" style="1980" customWidth="1"/>
    <col min="8194" max="8194" width="37.44140625" style="1980" customWidth="1"/>
    <col min="8195" max="8195" width="4.77734375" style="1980" customWidth="1"/>
    <col min="8196" max="8196" width="6.109375" style="1980" customWidth="1"/>
    <col min="8197" max="8197" width="8.88671875" style="1980" customWidth="1"/>
    <col min="8198" max="8199" width="7.6640625" style="1980" customWidth="1"/>
    <col min="8200" max="8200" width="9.6640625" style="1980" customWidth="1"/>
    <col min="8201" max="8201" width="4" style="1980" customWidth="1"/>
    <col min="8202" max="8448" width="8.88671875" style="1980"/>
    <col min="8449" max="8449" width="5.77734375" style="1980" customWidth="1"/>
    <col min="8450" max="8450" width="37.44140625" style="1980" customWidth="1"/>
    <col min="8451" max="8451" width="4.77734375" style="1980" customWidth="1"/>
    <col min="8452" max="8452" width="6.109375" style="1980" customWidth="1"/>
    <col min="8453" max="8453" width="8.88671875" style="1980" customWidth="1"/>
    <col min="8454" max="8455" width="7.6640625" style="1980" customWidth="1"/>
    <col min="8456" max="8456" width="9.6640625" style="1980" customWidth="1"/>
    <col min="8457" max="8457" width="4" style="1980" customWidth="1"/>
    <col min="8458" max="8704" width="8.88671875" style="1980"/>
    <col min="8705" max="8705" width="5.77734375" style="1980" customWidth="1"/>
    <col min="8706" max="8706" width="37.44140625" style="1980" customWidth="1"/>
    <col min="8707" max="8707" width="4.77734375" style="1980" customWidth="1"/>
    <col min="8708" max="8708" width="6.109375" style="1980" customWidth="1"/>
    <col min="8709" max="8709" width="8.88671875" style="1980" customWidth="1"/>
    <col min="8710" max="8711" width="7.6640625" style="1980" customWidth="1"/>
    <col min="8712" max="8712" width="9.6640625" style="1980" customWidth="1"/>
    <col min="8713" max="8713" width="4" style="1980" customWidth="1"/>
    <col min="8714" max="8960" width="8.88671875" style="1980"/>
    <col min="8961" max="8961" width="5.77734375" style="1980" customWidth="1"/>
    <col min="8962" max="8962" width="37.44140625" style="1980" customWidth="1"/>
    <col min="8963" max="8963" width="4.77734375" style="1980" customWidth="1"/>
    <col min="8964" max="8964" width="6.109375" style="1980" customWidth="1"/>
    <col min="8965" max="8965" width="8.88671875" style="1980" customWidth="1"/>
    <col min="8966" max="8967" width="7.6640625" style="1980" customWidth="1"/>
    <col min="8968" max="8968" width="9.6640625" style="1980" customWidth="1"/>
    <col min="8969" max="8969" width="4" style="1980" customWidth="1"/>
    <col min="8970" max="9216" width="8.88671875" style="1980"/>
    <col min="9217" max="9217" width="5.77734375" style="1980" customWidth="1"/>
    <col min="9218" max="9218" width="37.44140625" style="1980" customWidth="1"/>
    <col min="9219" max="9219" width="4.77734375" style="1980" customWidth="1"/>
    <col min="9220" max="9220" width="6.109375" style="1980" customWidth="1"/>
    <col min="9221" max="9221" width="8.88671875" style="1980" customWidth="1"/>
    <col min="9222" max="9223" width="7.6640625" style="1980" customWidth="1"/>
    <col min="9224" max="9224" width="9.6640625" style="1980" customWidth="1"/>
    <col min="9225" max="9225" width="4" style="1980" customWidth="1"/>
    <col min="9226" max="9472" width="8.88671875" style="1980"/>
    <col min="9473" max="9473" width="5.77734375" style="1980" customWidth="1"/>
    <col min="9474" max="9474" width="37.44140625" style="1980" customWidth="1"/>
    <col min="9475" max="9475" width="4.77734375" style="1980" customWidth="1"/>
    <col min="9476" max="9476" width="6.109375" style="1980" customWidth="1"/>
    <col min="9477" max="9477" width="8.88671875" style="1980" customWidth="1"/>
    <col min="9478" max="9479" width="7.6640625" style="1980" customWidth="1"/>
    <col min="9480" max="9480" width="9.6640625" style="1980" customWidth="1"/>
    <col min="9481" max="9481" width="4" style="1980" customWidth="1"/>
    <col min="9482" max="9728" width="8.88671875" style="1980"/>
    <col min="9729" max="9729" width="5.77734375" style="1980" customWidth="1"/>
    <col min="9730" max="9730" width="37.44140625" style="1980" customWidth="1"/>
    <col min="9731" max="9731" width="4.77734375" style="1980" customWidth="1"/>
    <col min="9732" max="9732" width="6.109375" style="1980" customWidth="1"/>
    <col min="9733" max="9733" width="8.88671875" style="1980" customWidth="1"/>
    <col min="9734" max="9735" width="7.6640625" style="1980" customWidth="1"/>
    <col min="9736" max="9736" width="9.6640625" style="1980" customWidth="1"/>
    <col min="9737" max="9737" width="4" style="1980" customWidth="1"/>
    <col min="9738" max="9984" width="8.88671875" style="1980"/>
    <col min="9985" max="9985" width="5.77734375" style="1980" customWidth="1"/>
    <col min="9986" max="9986" width="37.44140625" style="1980" customWidth="1"/>
    <col min="9987" max="9987" width="4.77734375" style="1980" customWidth="1"/>
    <col min="9988" max="9988" width="6.109375" style="1980" customWidth="1"/>
    <col min="9989" max="9989" width="8.88671875" style="1980" customWidth="1"/>
    <col min="9990" max="9991" width="7.6640625" style="1980" customWidth="1"/>
    <col min="9992" max="9992" width="9.6640625" style="1980" customWidth="1"/>
    <col min="9993" max="9993" width="4" style="1980" customWidth="1"/>
    <col min="9994" max="10240" width="8.88671875" style="1980"/>
    <col min="10241" max="10241" width="5.77734375" style="1980" customWidth="1"/>
    <col min="10242" max="10242" width="37.44140625" style="1980" customWidth="1"/>
    <col min="10243" max="10243" width="4.77734375" style="1980" customWidth="1"/>
    <col min="10244" max="10244" width="6.109375" style="1980" customWidth="1"/>
    <col min="10245" max="10245" width="8.88671875" style="1980" customWidth="1"/>
    <col min="10246" max="10247" width="7.6640625" style="1980" customWidth="1"/>
    <col min="10248" max="10248" width="9.6640625" style="1980" customWidth="1"/>
    <col min="10249" max="10249" width="4" style="1980" customWidth="1"/>
    <col min="10250" max="10496" width="8.88671875" style="1980"/>
    <col min="10497" max="10497" width="5.77734375" style="1980" customWidth="1"/>
    <col min="10498" max="10498" width="37.44140625" style="1980" customWidth="1"/>
    <col min="10499" max="10499" width="4.77734375" style="1980" customWidth="1"/>
    <col min="10500" max="10500" width="6.109375" style="1980" customWidth="1"/>
    <col min="10501" max="10501" width="8.88671875" style="1980" customWidth="1"/>
    <col min="10502" max="10503" width="7.6640625" style="1980" customWidth="1"/>
    <col min="10504" max="10504" width="9.6640625" style="1980" customWidth="1"/>
    <col min="10505" max="10505" width="4" style="1980" customWidth="1"/>
    <col min="10506" max="10752" width="8.88671875" style="1980"/>
    <col min="10753" max="10753" width="5.77734375" style="1980" customWidth="1"/>
    <col min="10754" max="10754" width="37.44140625" style="1980" customWidth="1"/>
    <col min="10755" max="10755" width="4.77734375" style="1980" customWidth="1"/>
    <col min="10756" max="10756" width="6.109375" style="1980" customWidth="1"/>
    <col min="10757" max="10757" width="8.88671875" style="1980" customWidth="1"/>
    <col min="10758" max="10759" width="7.6640625" style="1980" customWidth="1"/>
    <col min="10760" max="10760" width="9.6640625" style="1980" customWidth="1"/>
    <col min="10761" max="10761" width="4" style="1980" customWidth="1"/>
    <col min="10762" max="11008" width="8.88671875" style="1980"/>
    <col min="11009" max="11009" width="5.77734375" style="1980" customWidth="1"/>
    <col min="11010" max="11010" width="37.44140625" style="1980" customWidth="1"/>
    <col min="11011" max="11011" width="4.77734375" style="1980" customWidth="1"/>
    <col min="11012" max="11012" width="6.109375" style="1980" customWidth="1"/>
    <col min="11013" max="11013" width="8.88671875" style="1980" customWidth="1"/>
    <col min="11014" max="11015" width="7.6640625" style="1980" customWidth="1"/>
    <col min="11016" max="11016" width="9.6640625" style="1980" customWidth="1"/>
    <col min="11017" max="11017" width="4" style="1980" customWidth="1"/>
    <col min="11018" max="11264" width="8.88671875" style="1980"/>
    <col min="11265" max="11265" width="5.77734375" style="1980" customWidth="1"/>
    <col min="11266" max="11266" width="37.44140625" style="1980" customWidth="1"/>
    <col min="11267" max="11267" width="4.77734375" style="1980" customWidth="1"/>
    <col min="11268" max="11268" width="6.109375" style="1980" customWidth="1"/>
    <col min="11269" max="11269" width="8.88671875" style="1980" customWidth="1"/>
    <col min="11270" max="11271" width="7.6640625" style="1980" customWidth="1"/>
    <col min="11272" max="11272" width="9.6640625" style="1980" customWidth="1"/>
    <col min="11273" max="11273" width="4" style="1980" customWidth="1"/>
    <col min="11274" max="11520" width="8.88671875" style="1980"/>
    <col min="11521" max="11521" width="5.77734375" style="1980" customWidth="1"/>
    <col min="11522" max="11522" width="37.44140625" style="1980" customWidth="1"/>
    <col min="11523" max="11523" width="4.77734375" style="1980" customWidth="1"/>
    <col min="11524" max="11524" width="6.109375" style="1980" customWidth="1"/>
    <col min="11525" max="11525" width="8.88671875" style="1980" customWidth="1"/>
    <col min="11526" max="11527" width="7.6640625" style="1980" customWidth="1"/>
    <col min="11528" max="11528" width="9.6640625" style="1980" customWidth="1"/>
    <col min="11529" max="11529" width="4" style="1980" customWidth="1"/>
    <col min="11530" max="11776" width="8.88671875" style="1980"/>
    <col min="11777" max="11777" width="5.77734375" style="1980" customWidth="1"/>
    <col min="11778" max="11778" width="37.44140625" style="1980" customWidth="1"/>
    <col min="11779" max="11779" width="4.77734375" style="1980" customWidth="1"/>
    <col min="11780" max="11780" width="6.109375" style="1980" customWidth="1"/>
    <col min="11781" max="11781" width="8.88671875" style="1980" customWidth="1"/>
    <col min="11782" max="11783" width="7.6640625" style="1980" customWidth="1"/>
    <col min="11784" max="11784" width="9.6640625" style="1980" customWidth="1"/>
    <col min="11785" max="11785" width="4" style="1980" customWidth="1"/>
    <col min="11786" max="12032" width="8.88671875" style="1980"/>
    <col min="12033" max="12033" width="5.77734375" style="1980" customWidth="1"/>
    <col min="12034" max="12034" width="37.44140625" style="1980" customWidth="1"/>
    <col min="12035" max="12035" width="4.77734375" style="1980" customWidth="1"/>
    <col min="12036" max="12036" width="6.109375" style="1980" customWidth="1"/>
    <col min="12037" max="12037" width="8.88671875" style="1980" customWidth="1"/>
    <col min="12038" max="12039" width="7.6640625" style="1980" customWidth="1"/>
    <col min="12040" max="12040" width="9.6640625" style="1980" customWidth="1"/>
    <col min="12041" max="12041" width="4" style="1980" customWidth="1"/>
    <col min="12042" max="12288" width="8.88671875" style="1980"/>
    <col min="12289" max="12289" width="5.77734375" style="1980" customWidth="1"/>
    <col min="12290" max="12290" width="37.44140625" style="1980" customWidth="1"/>
    <col min="12291" max="12291" width="4.77734375" style="1980" customWidth="1"/>
    <col min="12292" max="12292" width="6.109375" style="1980" customWidth="1"/>
    <col min="12293" max="12293" width="8.88671875" style="1980" customWidth="1"/>
    <col min="12294" max="12295" width="7.6640625" style="1980" customWidth="1"/>
    <col min="12296" max="12296" width="9.6640625" style="1980" customWidth="1"/>
    <col min="12297" max="12297" width="4" style="1980" customWidth="1"/>
    <col min="12298" max="12544" width="8.88671875" style="1980"/>
    <col min="12545" max="12545" width="5.77734375" style="1980" customWidth="1"/>
    <col min="12546" max="12546" width="37.44140625" style="1980" customWidth="1"/>
    <col min="12547" max="12547" width="4.77734375" style="1980" customWidth="1"/>
    <col min="12548" max="12548" width="6.109375" style="1980" customWidth="1"/>
    <col min="12549" max="12549" width="8.88671875" style="1980" customWidth="1"/>
    <col min="12550" max="12551" width="7.6640625" style="1980" customWidth="1"/>
    <col min="12552" max="12552" width="9.6640625" style="1980" customWidth="1"/>
    <col min="12553" max="12553" width="4" style="1980" customWidth="1"/>
    <col min="12554" max="12800" width="8.88671875" style="1980"/>
    <col min="12801" max="12801" width="5.77734375" style="1980" customWidth="1"/>
    <col min="12802" max="12802" width="37.44140625" style="1980" customWidth="1"/>
    <col min="12803" max="12803" width="4.77734375" style="1980" customWidth="1"/>
    <col min="12804" max="12804" width="6.109375" style="1980" customWidth="1"/>
    <col min="12805" max="12805" width="8.88671875" style="1980" customWidth="1"/>
    <col min="12806" max="12807" width="7.6640625" style="1980" customWidth="1"/>
    <col min="12808" max="12808" width="9.6640625" style="1980" customWidth="1"/>
    <col min="12809" max="12809" width="4" style="1980" customWidth="1"/>
    <col min="12810" max="13056" width="8.88671875" style="1980"/>
    <col min="13057" max="13057" width="5.77734375" style="1980" customWidth="1"/>
    <col min="13058" max="13058" width="37.44140625" style="1980" customWidth="1"/>
    <col min="13059" max="13059" width="4.77734375" style="1980" customWidth="1"/>
    <col min="13060" max="13060" width="6.109375" style="1980" customWidth="1"/>
    <col min="13061" max="13061" width="8.88671875" style="1980" customWidth="1"/>
    <col min="13062" max="13063" width="7.6640625" style="1980" customWidth="1"/>
    <col min="13064" max="13064" width="9.6640625" style="1980" customWidth="1"/>
    <col min="13065" max="13065" width="4" style="1980" customWidth="1"/>
    <col min="13066" max="13312" width="8.88671875" style="1980"/>
    <col min="13313" max="13313" width="5.77734375" style="1980" customWidth="1"/>
    <col min="13314" max="13314" width="37.44140625" style="1980" customWidth="1"/>
    <col min="13315" max="13315" width="4.77734375" style="1980" customWidth="1"/>
    <col min="13316" max="13316" width="6.109375" style="1980" customWidth="1"/>
    <col min="13317" max="13317" width="8.88671875" style="1980" customWidth="1"/>
    <col min="13318" max="13319" width="7.6640625" style="1980" customWidth="1"/>
    <col min="13320" max="13320" width="9.6640625" style="1980" customWidth="1"/>
    <col min="13321" max="13321" width="4" style="1980" customWidth="1"/>
    <col min="13322" max="13568" width="8.88671875" style="1980"/>
    <col min="13569" max="13569" width="5.77734375" style="1980" customWidth="1"/>
    <col min="13570" max="13570" width="37.44140625" style="1980" customWidth="1"/>
    <col min="13571" max="13571" width="4.77734375" style="1980" customWidth="1"/>
    <col min="13572" max="13572" width="6.109375" style="1980" customWidth="1"/>
    <col min="13573" max="13573" width="8.88671875" style="1980" customWidth="1"/>
    <col min="13574" max="13575" width="7.6640625" style="1980" customWidth="1"/>
    <col min="13576" max="13576" width="9.6640625" style="1980" customWidth="1"/>
    <col min="13577" max="13577" width="4" style="1980" customWidth="1"/>
    <col min="13578" max="13824" width="8.88671875" style="1980"/>
    <col min="13825" max="13825" width="5.77734375" style="1980" customWidth="1"/>
    <col min="13826" max="13826" width="37.44140625" style="1980" customWidth="1"/>
    <col min="13827" max="13827" width="4.77734375" style="1980" customWidth="1"/>
    <col min="13828" max="13828" width="6.109375" style="1980" customWidth="1"/>
    <col min="13829" max="13829" width="8.88671875" style="1980" customWidth="1"/>
    <col min="13830" max="13831" width="7.6640625" style="1980" customWidth="1"/>
    <col min="13832" max="13832" width="9.6640625" style="1980" customWidth="1"/>
    <col min="13833" max="13833" width="4" style="1980" customWidth="1"/>
    <col min="13834" max="14080" width="8.88671875" style="1980"/>
    <col min="14081" max="14081" width="5.77734375" style="1980" customWidth="1"/>
    <col min="14082" max="14082" width="37.44140625" style="1980" customWidth="1"/>
    <col min="14083" max="14083" width="4.77734375" style="1980" customWidth="1"/>
    <col min="14084" max="14084" width="6.109375" style="1980" customWidth="1"/>
    <col min="14085" max="14085" width="8.88671875" style="1980" customWidth="1"/>
    <col min="14086" max="14087" width="7.6640625" style="1980" customWidth="1"/>
    <col min="14088" max="14088" width="9.6640625" style="1980" customWidth="1"/>
    <col min="14089" max="14089" width="4" style="1980" customWidth="1"/>
    <col min="14090" max="14336" width="8.88671875" style="1980"/>
    <col min="14337" max="14337" width="5.77734375" style="1980" customWidth="1"/>
    <col min="14338" max="14338" width="37.44140625" style="1980" customWidth="1"/>
    <col min="14339" max="14339" width="4.77734375" style="1980" customWidth="1"/>
    <col min="14340" max="14340" width="6.109375" style="1980" customWidth="1"/>
    <col min="14341" max="14341" width="8.88671875" style="1980" customWidth="1"/>
    <col min="14342" max="14343" width="7.6640625" style="1980" customWidth="1"/>
    <col min="14344" max="14344" width="9.6640625" style="1980" customWidth="1"/>
    <col min="14345" max="14345" width="4" style="1980" customWidth="1"/>
    <col min="14346" max="14592" width="8.88671875" style="1980"/>
    <col min="14593" max="14593" width="5.77734375" style="1980" customWidth="1"/>
    <col min="14594" max="14594" width="37.44140625" style="1980" customWidth="1"/>
    <col min="14595" max="14595" width="4.77734375" style="1980" customWidth="1"/>
    <col min="14596" max="14596" width="6.109375" style="1980" customWidth="1"/>
    <col min="14597" max="14597" width="8.88671875" style="1980" customWidth="1"/>
    <col min="14598" max="14599" width="7.6640625" style="1980" customWidth="1"/>
    <col min="14600" max="14600" width="9.6640625" style="1980" customWidth="1"/>
    <col min="14601" max="14601" width="4" style="1980" customWidth="1"/>
    <col min="14602" max="14848" width="8.88671875" style="1980"/>
    <col min="14849" max="14849" width="5.77734375" style="1980" customWidth="1"/>
    <col min="14850" max="14850" width="37.44140625" style="1980" customWidth="1"/>
    <col min="14851" max="14851" width="4.77734375" style="1980" customWidth="1"/>
    <col min="14852" max="14852" width="6.109375" style="1980" customWidth="1"/>
    <col min="14853" max="14853" width="8.88671875" style="1980" customWidth="1"/>
    <col min="14854" max="14855" width="7.6640625" style="1980" customWidth="1"/>
    <col min="14856" max="14856" width="9.6640625" style="1980" customWidth="1"/>
    <col min="14857" max="14857" width="4" style="1980" customWidth="1"/>
    <col min="14858" max="15104" width="8.88671875" style="1980"/>
    <col min="15105" max="15105" width="5.77734375" style="1980" customWidth="1"/>
    <col min="15106" max="15106" width="37.44140625" style="1980" customWidth="1"/>
    <col min="15107" max="15107" width="4.77734375" style="1980" customWidth="1"/>
    <col min="15108" max="15108" width="6.109375" style="1980" customWidth="1"/>
    <col min="15109" max="15109" width="8.88671875" style="1980" customWidth="1"/>
    <col min="15110" max="15111" width="7.6640625" style="1980" customWidth="1"/>
    <col min="15112" max="15112" width="9.6640625" style="1980" customWidth="1"/>
    <col min="15113" max="15113" width="4" style="1980" customWidth="1"/>
    <col min="15114" max="15360" width="8.88671875" style="1980"/>
    <col min="15361" max="15361" width="5.77734375" style="1980" customWidth="1"/>
    <col min="15362" max="15362" width="37.44140625" style="1980" customWidth="1"/>
    <col min="15363" max="15363" width="4.77734375" style="1980" customWidth="1"/>
    <col min="15364" max="15364" width="6.109375" style="1980" customWidth="1"/>
    <col min="15365" max="15365" width="8.88671875" style="1980" customWidth="1"/>
    <col min="15366" max="15367" width="7.6640625" style="1980" customWidth="1"/>
    <col min="15368" max="15368" width="9.6640625" style="1980" customWidth="1"/>
    <col min="15369" max="15369" width="4" style="1980" customWidth="1"/>
    <col min="15370" max="15616" width="8.88671875" style="1980"/>
    <col min="15617" max="15617" width="5.77734375" style="1980" customWidth="1"/>
    <col min="15618" max="15618" width="37.44140625" style="1980" customWidth="1"/>
    <col min="15619" max="15619" width="4.77734375" style="1980" customWidth="1"/>
    <col min="15620" max="15620" width="6.109375" style="1980" customWidth="1"/>
    <col min="15621" max="15621" width="8.88671875" style="1980" customWidth="1"/>
    <col min="15622" max="15623" width="7.6640625" style="1980" customWidth="1"/>
    <col min="15624" max="15624" width="9.6640625" style="1980" customWidth="1"/>
    <col min="15625" max="15625" width="4" style="1980" customWidth="1"/>
    <col min="15626" max="15872" width="8.88671875" style="1980"/>
    <col min="15873" max="15873" width="5.77734375" style="1980" customWidth="1"/>
    <col min="15874" max="15874" width="37.44140625" style="1980" customWidth="1"/>
    <col min="15875" max="15875" width="4.77734375" style="1980" customWidth="1"/>
    <col min="15876" max="15876" width="6.109375" style="1980" customWidth="1"/>
    <col min="15877" max="15877" width="8.88671875" style="1980" customWidth="1"/>
    <col min="15878" max="15879" width="7.6640625" style="1980" customWidth="1"/>
    <col min="15880" max="15880" width="9.6640625" style="1980" customWidth="1"/>
    <col min="15881" max="15881" width="4" style="1980" customWidth="1"/>
    <col min="15882" max="16128" width="8.88671875" style="1980"/>
    <col min="16129" max="16129" width="5.77734375" style="1980" customWidth="1"/>
    <col min="16130" max="16130" width="37.44140625" style="1980" customWidth="1"/>
    <col min="16131" max="16131" width="4.77734375" style="1980" customWidth="1"/>
    <col min="16132" max="16132" width="6.109375" style="1980" customWidth="1"/>
    <col min="16133" max="16133" width="8.88671875" style="1980" customWidth="1"/>
    <col min="16134" max="16135" width="7.6640625" style="1980" customWidth="1"/>
    <col min="16136" max="16136" width="9.6640625" style="1980" customWidth="1"/>
    <col min="16137" max="16137" width="4" style="1980" customWidth="1"/>
    <col min="16138" max="16384" width="8.88671875" style="1980"/>
  </cols>
  <sheetData>
    <row r="1" spans="1:11" ht="62.25" customHeight="1">
      <c r="A1" s="1979" t="str">
        <f>GENSET!A1</f>
        <v>Name of work: Construction of DSP camp office cum Residence with development works at Cuddalore New town in Cuddalore District</v>
      </c>
      <c r="B1" s="1979"/>
      <c r="C1" s="1979"/>
      <c r="D1" s="1979"/>
      <c r="E1" s="1979"/>
      <c r="F1" s="1979"/>
      <c r="G1" s="1979"/>
      <c r="H1" s="1979"/>
      <c r="I1" s="1979"/>
    </row>
    <row r="2" spans="1:11" ht="28.5" customHeight="1">
      <c r="A2" s="1979" t="s">
        <v>6790</v>
      </c>
      <c r="B2" s="1979"/>
      <c r="C2" s="1979"/>
      <c r="D2" s="1979"/>
      <c r="E2" s="1979"/>
      <c r="F2" s="1979"/>
      <c r="G2" s="1979"/>
      <c r="H2" s="1979"/>
      <c r="I2" s="1979"/>
    </row>
    <row r="3" spans="1:11" ht="29.25" customHeight="1">
      <c r="A3" s="1981" t="s">
        <v>7493</v>
      </c>
      <c r="B3" s="1981"/>
      <c r="C3" s="1981"/>
      <c r="D3" s="1981"/>
      <c r="E3" s="1981"/>
      <c r="F3" s="1981"/>
      <c r="G3" s="1981"/>
      <c r="H3" s="1981"/>
      <c r="I3" s="1981"/>
    </row>
    <row r="4" spans="1:11" ht="12" customHeight="1">
      <c r="A4" s="1982"/>
      <c r="B4" s="1982"/>
      <c r="C4" s="1982"/>
      <c r="D4" s="1982"/>
      <c r="E4" s="1983"/>
      <c r="F4" s="1983"/>
      <c r="G4" s="1983"/>
      <c r="H4" s="1983"/>
      <c r="I4" s="1984"/>
    </row>
    <row r="5" spans="1:11" s="1989" customFormat="1" ht="29.25" customHeight="1">
      <c r="A5" s="1910" t="s">
        <v>7085</v>
      </c>
      <c r="B5" s="1985" t="s">
        <v>1769</v>
      </c>
      <c r="C5" s="1986" t="s">
        <v>1427</v>
      </c>
      <c r="D5" s="1986"/>
      <c r="E5" s="1987" t="s">
        <v>5797</v>
      </c>
      <c r="F5" s="1987" t="s">
        <v>1548</v>
      </c>
      <c r="G5" s="1987" t="s">
        <v>5798</v>
      </c>
      <c r="H5" s="1987" t="s">
        <v>1034</v>
      </c>
      <c r="I5" s="1988"/>
    </row>
    <row r="6" spans="1:11" ht="177" customHeight="1">
      <c r="A6" s="815">
        <v>1</v>
      </c>
      <c r="B6" s="1990" t="s">
        <v>7494</v>
      </c>
      <c r="C6" s="1990"/>
      <c r="D6" s="1990"/>
      <c r="E6" s="1990"/>
      <c r="F6" s="1990"/>
      <c r="G6" s="1852"/>
      <c r="H6" s="1852"/>
      <c r="I6" s="1991"/>
    </row>
    <row r="7" spans="1:11" ht="28.5" customHeight="1">
      <c r="A7" s="815"/>
      <c r="B7" s="1992" t="s">
        <v>7495</v>
      </c>
      <c r="C7" s="815">
        <v>1</v>
      </c>
      <c r="D7" s="815">
        <f>38/3</f>
        <v>13</v>
      </c>
      <c r="E7" s="1852">
        <v>0.9</v>
      </c>
      <c r="F7" s="1852">
        <v>0.9</v>
      </c>
      <c r="G7" s="1852">
        <v>0.9</v>
      </c>
      <c r="H7" s="1852">
        <f>PRODUCT(C7:G7)</f>
        <v>9.48</v>
      </c>
      <c r="I7" s="1991"/>
      <c r="J7" s="1980">
        <v>38</v>
      </c>
    </row>
    <row r="8" spans="1:11" ht="28.5" customHeight="1">
      <c r="A8" s="815"/>
      <c r="B8" s="1992" t="s">
        <v>7496</v>
      </c>
      <c r="C8" s="815">
        <v>1</v>
      </c>
      <c r="D8" s="815">
        <f>38/15</f>
        <v>3</v>
      </c>
      <c r="E8" s="1852">
        <v>1.3</v>
      </c>
      <c r="F8" s="1852">
        <v>1.3</v>
      </c>
      <c r="G8" s="1852">
        <v>0.9</v>
      </c>
      <c r="H8" s="1852">
        <f t="shared" ref="H8:H11" si="0">PRODUCT(C8:G8)</f>
        <v>4.5599999999999996</v>
      </c>
      <c r="I8" s="1991"/>
    </row>
    <row r="9" spans="1:11" ht="28.5" customHeight="1">
      <c r="A9" s="815"/>
      <c r="B9" s="1992" t="s">
        <v>7497</v>
      </c>
      <c r="C9" s="815">
        <v>1</v>
      </c>
      <c r="D9" s="815">
        <f>33/3</f>
        <v>11</v>
      </c>
      <c r="E9" s="1852">
        <v>0.9</v>
      </c>
      <c r="F9" s="1852">
        <v>0.9</v>
      </c>
      <c r="G9" s="1852">
        <v>0.9</v>
      </c>
      <c r="H9" s="1852">
        <f t="shared" si="0"/>
        <v>8.02</v>
      </c>
      <c r="I9" s="1991"/>
      <c r="J9" s="1980">
        <v>33</v>
      </c>
    </row>
    <row r="10" spans="1:11" ht="28.5" customHeight="1">
      <c r="A10" s="815"/>
      <c r="B10" s="1992" t="s">
        <v>7496</v>
      </c>
      <c r="C10" s="815">
        <v>1</v>
      </c>
      <c r="D10" s="815">
        <f>33/15</f>
        <v>2</v>
      </c>
      <c r="E10" s="1852">
        <v>1.3</v>
      </c>
      <c r="F10" s="1852">
        <v>1.3</v>
      </c>
      <c r="G10" s="1852">
        <v>0.9</v>
      </c>
      <c r="H10" s="1852">
        <f t="shared" si="0"/>
        <v>3.04</v>
      </c>
      <c r="I10" s="1991"/>
    </row>
    <row r="11" spans="1:11" ht="28.5" customHeight="1">
      <c r="A11" s="815"/>
      <c r="B11" s="1992" t="s">
        <v>7498</v>
      </c>
      <c r="C11" s="815">
        <v>1</v>
      </c>
      <c r="D11" s="815">
        <f>30/3</f>
        <v>10</v>
      </c>
      <c r="E11" s="1852">
        <v>0.9</v>
      </c>
      <c r="F11" s="1852">
        <v>0.9</v>
      </c>
      <c r="G11" s="1852">
        <v>0.9</v>
      </c>
      <c r="H11" s="1852">
        <f t="shared" si="0"/>
        <v>7.29</v>
      </c>
      <c r="I11" s="1991"/>
      <c r="J11" s="1980">
        <v>30</v>
      </c>
    </row>
    <row r="12" spans="1:11" ht="28.5" customHeight="1">
      <c r="A12" s="815"/>
      <c r="B12" s="1992" t="s">
        <v>7496</v>
      </c>
      <c r="C12" s="815">
        <v>1</v>
      </c>
      <c r="D12" s="815">
        <f>30/15</f>
        <v>2</v>
      </c>
      <c r="E12" s="1852">
        <v>1.3</v>
      </c>
      <c r="F12" s="1852">
        <v>1.3</v>
      </c>
      <c r="G12" s="1852">
        <v>0.9</v>
      </c>
      <c r="H12" s="1852">
        <f>PRODUCT(C12:G12)</f>
        <v>3.04</v>
      </c>
      <c r="I12" s="1991"/>
    </row>
    <row r="13" spans="1:11" ht="28.5" customHeight="1">
      <c r="A13" s="815"/>
      <c r="B13" s="1992" t="s">
        <v>7499</v>
      </c>
      <c r="C13" s="815">
        <v>1</v>
      </c>
      <c r="D13" s="815">
        <v>2</v>
      </c>
      <c r="E13" s="1852">
        <v>1.3</v>
      </c>
      <c r="F13" s="1852">
        <v>1.3</v>
      </c>
      <c r="G13" s="1852">
        <v>1.2</v>
      </c>
      <c r="H13" s="1852">
        <f>PRODUCT(C13:G13)</f>
        <v>4.0599999999999996</v>
      </c>
      <c r="I13" s="1991"/>
    </row>
    <row r="14" spans="1:11" ht="28.5" customHeight="1">
      <c r="A14" s="815"/>
      <c r="B14" s="1992" t="s">
        <v>7500</v>
      </c>
      <c r="C14" s="815">
        <v>1</v>
      </c>
      <c r="D14" s="815">
        <v>1</v>
      </c>
      <c r="E14" s="1852">
        <v>38</v>
      </c>
      <c r="F14" s="1852">
        <v>0.38</v>
      </c>
      <c r="G14" s="1852">
        <v>0.2</v>
      </c>
      <c r="H14" s="1852">
        <f t="shared" ref="H14:H16" si="1">PRODUCT(C14:G14)</f>
        <v>2.89</v>
      </c>
      <c r="I14" s="1991"/>
    </row>
    <row r="15" spans="1:11" ht="28.5" customHeight="1">
      <c r="A15" s="815"/>
      <c r="B15" s="1992" t="s">
        <v>7501</v>
      </c>
      <c r="C15" s="815">
        <v>1</v>
      </c>
      <c r="D15" s="815">
        <v>1</v>
      </c>
      <c r="E15" s="1852">
        <v>33</v>
      </c>
      <c r="F15" s="1852">
        <v>0.38</v>
      </c>
      <c r="G15" s="1852">
        <v>0.2</v>
      </c>
      <c r="H15" s="1852">
        <f t="shared" si="1"/>
        <v>2.5099999999999998</v>
      </c>
      <c r="I15" s="1991"/>
    </row>
    <row r="16" spans="1:11" ht="28.5" customHeight="1">
      <c r="A16" s="815"/>
      <c r="B16" s="1992" t="s">
        <v>7502</v>
      </c>
      <c r="C16" s="815">
        <v>1</v>
      </c>
      <c r="D16" s="815">
        <v>1</v>
      </c>
      <c r="E16" s="1852">
        <v>30</v>
      </c>
      <c r="F16" s="1852">
        <v>0.38</v>
      </c>
      <c r="G16" s="1852">
        <v>0.2</v>
      </c>
      <c r="H16" s="1852">
        <f t="shared" si="1"/>
        <v>2.2799999999999998</v>
      </c>
      <c r="I16" s="1991"/>
      <c r="K16" s="1980" t="e">
        <f>E14+E15+#REF!+E16</f>
        <v>#REF!</v>
      </c>
    </row>
    <row r="17" spans="1:10" ht="31.5" customHeight="1">
      <c r="A17" s="815"/>
      <c r="B17" s="1992"/>
      <c r="C17" s="815"/>
      <c r="D17" s="815"/>
      <c r="E17" s="1852"/>
      <c r="F17" s="1852"/>
      <c r="G17" s="1854" t="s">
        <v>2235</v>
      </c>
      <c r="H17" s="1854">
        <f>SUM(H7:H16)</f>
        <v>47.17</v>
      </c>
      <c r="I17" s="1991" t="s">
        <v>7123</v>
      </c>
    </row>
    <row r="18" spans="1:10" ht="113.25" customHeight="1">
      <c r="A18" s="815">
        <v>2</v>
      </c>
      <c r="B18" s="1993" t="s">
        <v>7503</v>
      </c>
      <c r="C18" s="1993"/>
      <c r="D18" s="1993"/>
      <c r="E18" s="1993"/>
      <c r="F18" s="1993"/>
      <c r="G18" s="1994"/>
      <c r="H18" s="1852"/>
      <c r="I18" s="1991"/>
    </row>
    <row r="19" spans="1:10" ht="32.25" customHeight="1">
      <c r="A19" s="815"/>
      <c r="B19" s="1992" t="s">
        <v>7495</v>
      </c>
      <c r="C19" s="815">
        <v>1</v>
      </c>
      <c r="D19" s="815">
        <f>38/3</f>
        <v>13</v>
      </c>
      <c r="E19" s="1852">
        <v>0.9</v>
      </c>
      <c r="F19" s="1852">
        <v>0.9</v>
      </c>
      <c r="G19" s="1852">
        <v>0.08</v>
      </c>
      <c r="H19" s="1852">
        <f t="shared" ref="H19:H28" si="2">PRODUCT(C19:G19)</f>
        <v>0.84</v>
      </c>
      <c r="I19" s="1991"/>
    </row>
    <row r="20" spans="1:10" ht="32.25" customHeight="1">
      <c r="A20" s="815"/>
      <c r="B20" s="1992" t="s">
        <v>7496</v>
      </c>
      <c r="C20" s="815">
        <v>1</v>
      </c>
      <c r="D20" s="815">
        <f>38/15</f>
        <v>3</v>
      </c>
      <c r="E20" s="1852">
        <v>1.3</v>
      </c>
      <c r="F20" s="1852">
        <v>1.3</v>
      </c>
      <c r="G20" s="1852">
        <v>0.08</v>
      </c>
      <c r="H20" s="1852">
        <f t="shared" si="2"/>
        <v>0.41</v>
      </c>
      <c r="I20" s="1991"/>
    </row>
    <row r="21" spans="1:10" ht="32.25" customHeight="1">
      <c r="A21" s="815"/>
      <c r="B21" s="1992" t="s">
        <v>7497</v>
      </c>
      <c r="C21" s="815">
        <v>1</v>
      </c>
      <c r="D21" s="815">
        <f>33/3</f>
        <v>11</v>
      </c>
      <c r="E21" s="1852">
        <v>0.9</v>
      </c>
      <c r="F21" s="1852">
        <v>0.9</v>
      </c>
      <c r="G21" s="1852">
        <v>0.08</v>
      </c>
      <c r="H21" s="1852">
        <f t="shared" si="2"/>
        <v>0.71</v>
      </c>
      <c r="I21" s="1991"/>
      <c r="J21" s="1980" t="s">
        <v>7496</v>
      </c>
    </row>
    <row r="22" spans="1:10" ht="32.25" customHeight="1">
      <c r="A22" s="815"/>
      <c r="B22" s="1992" t="s">
        <v>7496</v>
      </c>
      <c r="C22" s="815">
        <v>1</v>
      </c>
      <c r="D22" s="815">
        <f>33/15</f>
        <v>2</v>
      </c>
      <c r="E22" s="1852">
        <v>1.3</v>
      </c>
      <c r="F22" s="1852">
        <v>1.3</v>
      </c>
      <c r="G22" s="1852">
        <v>0.08</v>
      </c>
      <c r="H22" s="1852">
        <f t="shared" si="2"/>
        <v>0.27</v>
      </c>
      <c r="I22" s="1991"/>
    </row>
    <row r="23" spans="1:10" ht="32.25" customHeight="1">
      <c r="A23" s="815"/>
      <c r="B23" s="1992" t="s">
        <v>7498</v>
      </c>
      <c r="C23" s="815">
        <v>1</v>
      </c>
      <c r="D23" s="815">
        <f>30/3</f>
        <v>10</v>
      </c>
      <c r="E23" s="1852">
        <v>0.9</v>
      </c>
      <c r="F23" s="1852">
        <v>0.9</v>
      </c>
      <c r="G23" s="1852">
        <v>0.08</v>
      </c>
      <c r="H23" s="1852">
        <f t="shared" si="2"/>
        <v>0.65</v>
      </c>
      <c r="I23" s="1991"/>
    </row>
    <row r="24" spans="1:10" ht="32.25" customHeight="1">
      <c r="A24" s="815"/>
      <c r="B24" s="1992" t="s">
        <v>7496</v>
      </c>
      <c r="C24" s="815">
        <v>1</v>
      </c>
      <c r="D24" s="815">
        <f>30/15</f>
        <v>2</v>
      </c>
      <c r="E24" s="1852">
        <v>1.3</v>
      </c>
      <c r="F24" s="1852">
        <v>1.3</v>
      </c>
      <c r="G24" s="1852">
        <v>0.08</v>
      </c>
      <c r="H24" s="1852">
        <f t="shared" si="2"/>
        <v>0.27</v>
      </c>
      <c r="I24" s="1991"/>
    </row>
    <row r="25" spans="1:10" ht="32.25" customHeight="1">
      <c r="A25" s="815"/>
      <c r="B25" s="1992" t="s">
        <v>7499</v>
      </c>
      <c r="C25" s="815">
        <v>1</v>
      </c>
      <c r="D25" s="815">
        <v>2</v>
      </c>
      <c r="E25" s="1852">
        <v>1.3</v>
      </c>
      <c r="F25" s="1852">
        <v>1.3</v>
      </c>
      <c r="G25" s="1852">
        <v>0.08</v>
      </c>
      <c r="H25" s="1852">
        <f t="shared" si="2"/>
        <v>0.27</v>
      </c>
      <c r="I25" s="1991"/>
    </row>
    <row r="26" spans="1:10" ht="32.25" customHeight="1">
      <c r="A26" s="815"/>
      <c r="B26" s="1992" t="s">
        <v>7500</v>
      </c>
      <c r="C26" s="815">
        <v>1</v>
      </c>
      <c r="D26" s="815">
        <v>1</v>
      </c>
      <c r="E26" s="1852">
        <v>38</v>
      </c>
      <c r="F26" s="1852">
        <v>0.38</v>
      </c>
      <c r="G26" s="1852">
        <v>0.08</v>
      </c>
      <c r="H26" s="1852">
        <f t="shared" si="2"/>
        <v>1.1599999999999999</v>
      </c>
      <c r="I26" s="1991"/>
    </row>
    <row r="27" spans="1:10" ht="32.25" customHeight="1">
      <c r="A27" s="815"/>
      <c r="B27" s="1992" t="s">
        <v>7501</v>
      </c>
      <c r="C27" s="815">
        <v>1</v>
      </c>
      <c r="D27" s="815">
        <v>1</v>
      </c>
      <c r="E27" s="1852">
        <v>33</v>
      </c>
      <c r="F27" s="1852">
        <v>0.38</v>
      </c>
      <c r="G27" s="1852">
        <v>0.08</v>
      </c>
      <c r="H27" s="1852">
        <f t="shared" si="2"/>
        <v>1</v>
      </c>
      <c r="I27" s="1991"/>
    </row>
    <row r="28" spans="1:10" ht="32.25" customHeight="1">
      <c r="A28" s="815"/>
      <c r="B28" s="1992" t="s">
        <v>7502</v>
      </c>
      <c r="C28" s="815">
        <v>1</v>
      </c>
      <c r="D28" s="815">
        <v>1</v>
      </c>
      <c r="E28" s="1852">
        <v>30</v>
      </c>
      <c r="F28" s="1852">
        <v>0.38</v>
      </c>
      <c r="G28" s="1852">
        <v>0.08</v>
      </c>
      <c r="H28" s="1852">
        <f t="shared" si="2"/>
        <v>0.91</v>
      </c>
      <c r="I28" s="1991"/>
    </row>
    <row r="29" spans="1:10" ht="32.25" customHeight="1">
      <c r="A29" s="815"/>
      <c r="B29" s="1992"/>
      <c r="C29" s="815"/>
      <c r="D29" s="815"/>
      <c r="E29" s="1852"/>
      <c r="F29" s="1852"/>
      <c r="G29" s="1854" t="s">
        <v>2235</v>
      </c>
      <c r="H29" s="1854">
        <f>SUM(SUM(H19:H28))</f>
        <v>6.49</v>
      </c>
      <c r="I29" s="1991" t="s">
        <v>7123</v>
      </c>
    </row>
    <row r="30" spans="1:10" ht="129.75" customHeight="1">
      <c r="A30" s="815">
        <v>3</v>
      </c>
      <c r="B30" s="1993" t="s">
        <v>7504</v>
      </c>
      <c r="C30" s="1993"/>
      <c r="D30" s="1993"/>
      <c r="E30" s="1993"/>
      <c r="F30" s="1993"/>
      <c r="G30" s="1994"/>
      <c r="H30" s="1852"/>
      <c r="I30" s="1991"/>
    </row>
    <row r="31" spans="1:10" ht="29.25" customHeight="1">
      <c r="A31" s="815"/>
      <c r="B31" s="1992" t="s">
        <v>7495</v>
      </c>
      <c r="C31" s="815">
        <v>1</v>
      </c>
      <c r="D31" s="815">
        <f>38/3</f>
        <v>13</v>
      </c>
      <c r="E31" s="1852">
        <v>0.9</v>
      </c>
      <c r="F31" s="1852">
        <v>0.9</v>
      </c>
      <c r="G31" s="1852">
        <v>0.1</v>
      </c>
      <c r="H31" s="1852">
        <f t="shared" ref="H31:H40" si="3">PRODUCT(C31:G31)</f>
        <v>1.05</v>
      </c>
      <c r="I31" s="1991"/>
    </row>
    <row r="32" spans="1:10" ht="29.25" customHeight="1">
      <c r="A32" s="815"/>
      <c r="B32" s="1992" t="s">
        <v>7496</v>
      </c>
      <c r="C32" s="815">
        <v>1</v>
      </c>
      <c r="D32" s="815">
        <f>38/15</f>
        <v>3</v>
      </c>
      <c r="E32" s="1852">
        <v>1.3</v>
      </c>
      <c r="F32" s="1852">
        <v>1.3</v>
      </c>
      <c r="G32" s="1852">
        <v>0.1</v>
      </c>
      <c r="H32" s="1852">
        <f t="shared" si="3"/>
        <v>0.51</v>
      </c>
      <c r="I32" s="1991"/>
    </row>
    <row r="33" spans="1:10" ht="29.25" customHeight="1">
      <c r="A33" s="815"/>
      <c r="B33" s="1992" t="s">
        <v>7497</v>
      </c>
      <c r="C33" s="815">
        <v>1</v>
      </c>
      <c r="D33" s="815">
        <f>33/3</f>
        <v>11</v>
      </c>
      <c r="E33" s="1852">
        <v>0.9</v>
      </c>
      <c r="F33" s="1852">
        <v>0.9</v>
      </c>
      <c r="G33" s="1852">
        <v>0.1</v>
      </c>
      <c r="H33" s="1852">
        <f t="shared" si="3"/>
        <v>0.89</v>
      </c>
      <c r="I33" s="1991"/>
      <c r="J33" s="1980" t="s">
        <v>7496</v>
      </c>
    </row>
    <row r="34" spans="1:10" ht="29.25" customHeight="1">
      <c r="A34" s="815"/>
      <c r="B34" s="1992" t="s">
        <v>7496</v>
      </c>
      <c r="C34" s="815">
        <v>1</v>
      </c>
      <c r="D34" s="815">
        <f>33/15</f>
        <v>2</v>
      </c>
      <c r="E34" s="1852">
        <v>1.3</v>
      </c>
      <c r="F34" s="1852">
        <v>1.3</v>
      </c>
      <c r="G34" s="1852">
        <v>0.1</v>
      </c>
      <c r="H34" s="1852">
        <f t="shared" si="3"/>
        <v>0.34</v>
      </c>
      <c r="I34" s="1991"/>
    </row>
    <row r="35" spans="1:10" ht="29.25" customHeight="1">
      <c r="A35" s="815"/>
      <c r="B35" s="1992" t="s">
        <v>7498</v>
      </c>
      <c r="C35" s="815">
        <v>1</v>
      </c>
      <c r="D35" s="815">
        <f>30/3</f>
        <v>10</v>
      </c>
      <c r="E35" s="1852">
        <v>0.9</v>
      </c>
      <c r="F35" s="1852">
        <v>0.9</v>
      </c>
      <c r="G35" s="1852">
        <v>0.1</v>
      </c>
      <c r="H35" s="1852">
        <f t="shared" si="3"/>
        <v>0.81</v>
      </c>
      <c r="I35" s="1991"/>
    </row>
    <row r="36" spans="1:10" ht="29.25" customHeight="1">
      <c r="A36" s="815"/>
      <c r="B36" s="1992" t="s">
        <v>7496</v>
      </c>
      <c r="C36" s="815">
        <v>1</v>
      </c>
      <c r="D36" s="815">
        <f>30/15</f>
        <v>2</v>
      </c>
      <c r="E36" s="1852">
        <v>1.3</v>
      </c>
      <c r="F36" s="1852">
        <v>1.3</v>
      </c>
      <c r="G36" s="1852">
        <v>0.1</v>
      </c>
      <c r="H36" s="1852">
        <f>PRODUCT(C36:G36)</f>
        <v>0.34</v>
      </c>
      <c r="I36" s="1991"/>
    </row>
    <row r="37" spans="1:10" ht="27.75" customHeight="1">
      <c r="A37" s="815"/>
      <c r="B37" s="1992" t="s">
        <v>7499</v>
      </c>
      <c r="C37" s="815">
        <v>1</v>
      </c>
      <c r="D37" s="815">
        <v>2</v>
      </c>
      <c r="E37" s="1852">
        <v>1.3</v>
      </c>
      <c r="F37" s="1852">
        <v>1.3</v>
      </c>
      <c r="G37" s="1852">
        <v>0.1</v>
      </c>
      <c r="H37" s="1852">
        <f>PRODUCT(C37:G37)</f>
        <v>0.34</v>
      </c>
      <c r="I37" s="1991"/>
    </row>
    <row r="38" spans="1:10" ht="27.75" customHeight="1">
      <c r="A38" s="815"/>
      <c r="B38" s="1992" t="s">
        <v>7500</v>
      </c>
      <c r="C38" s="815">
        <v>1</v>
      </c>
      <c r="D38" s="815">
        <v>1</v>
      </c>
      <c r="E38" s="1852">
        <v>38</v>
      </c>
      <c r="F38" s="1852">
        <v>0.38</v>
      </c>
      <c r="G38" s="1852">
        <v>0.1</v>
      </c>
      <c r="H38" s="1852">
        <f t="shared" si="3"/>
        <v>1.44</v>
      </c>
      <c r="I38" s="1991"/>
    </row>
    <row r="39" spans="1:10" ht="27.75" customHeight="1">
      <c r="A39" s="815"/>
      <c r="B39" s="1992" t="s">
        <v>7501</v>
      </c>
      <c r="C39" s="815">
        <v>1</v>
      </c>
      <c r="D39" s="815">
        <v>1</v>
      </c>
      <c r="E39" s="1852">
        <v>33</v>
      </c>
      <c r="F39" s="1852">
        <v>0.38</v>
      </c>
      <c r="G39" s="1852">
        <v>0.1</v>
      </c>
      <c r="H39" s="1852">
        <f t="shared" si="3"/>
        <v>1.25</v>
      </c>
      <c r="I39" s="1991"/>
    </row>
    <row r="40" spans="1:10" ht="27.75" customHeight="1">
      <c r="A40" s="815"/>
      <c r="B40" s="1992" t="s">
        <v>7502</v>
      </c>
      <c r="C40" s="815">
        <v>1</v>
      </c>
      <c r="D40" s="815">
        <v>1</v>
      </c>
      <c r="E40" s="1852">
        <v>30</v>
      </c>
      <c r="F40" s="1852">
        <v>0.38</v>
      </c>
      <c r="G40" s="1852">
        <v>0.1</v>
      </c>
      <c r="H40" s="1852">
        <f t="shared" si="3"/>
        <v>1.1399999999999999</v>
      </c>
      <c r="I40" s="1991"/>
    </row>
    <row r="41" spans="1:10" ht="27.75" customHeight="1">
      <c r="A41" s="815"/>
      <c r="B41" s="1992"/>
      <c r="C41" s="815"/>
      <c r="D41" s="815"/>
      <c r="E41" s="1852"/>
      <c r="F41" s="1852"/>
      <c r="G41" s="1854" t="s">
        <v>2235</v>
      </c>
      <c r="H41" s="1854">
        <f>SUM(SUM(H31:H40))</f>
        <v>8.11</v>
      </c>
      <c r="I41" s="1991" t="s">
        <v>7123</v>
      </c>
    </row>
    <row r="42" spans="1:10" ht="114" customHeight="1">
      <c r="A42" s="1995">
        <v>4</v>
      </c>
      <c r="B42" s="1996" t="s">
        <v>7505</v>
      </c>
      <c r="C42" s="1996"/>
      <c r="D42" s="1996"/>
      <c r="E42" s="1996"/>
      <c r="F42" s="1997"/>
      <c r="G42" s="1997"/>
      <c r="H42" s="828"/>
      <c r="I42" s="1998"/>
    </row>
    <row r="43" spans="1:10" ht="24.75" customHeight="1">
      <c r="A43" s="815"/>
      <c r="B43" s="1992" t="s">
        <v>7500</v>
      </c>
      <c r="C43" s="815">
        <v>1</v>
      </c>
      <c r="D43" s="815">
        <v>1</v>
      </c>
      <c r="E43" s="1852">
        <f>E116</f>
        <v>38</v>
      </c>
      <c r="F43" s="1852">
        <v>0.23</v>
      </c>
      <c r="G43" s="1852">
        <v>0.3</v>
      </c>
      <c r="H43" s="1852">
        <f t="shared" ref="H43:H47" si="4">PRODUCT(C43:G43)</f>
        <v>2.62</v>
      </c>
      <c r="I43" s="1201"/>
    </row>
    <row r="44" spans="1:10" ht="24.75" customHeight="1">
      <c r="A44" s="815"/>
      <c r="B44" s="1992" t="s">
        <v>7501</v>
      </c>
      <c r="C44" s="815">
        <v>1</v>
      </c>
      <c r="D44" s="815">
        <v>1</v>
      </c>
      <c r="E44" s="1852">
        <f>E117</f>
        <v>33</v>
      </c>
      <c r="F44" s="1852">
        <v>0.23</v>
      </c>
      <c r="G44" s="1852">
        <v>0.3</v>
      </c>
      <c r="H44" s="1852">
        <f t="shared" si="4"/>
        <v>2.2799999999999998</v>
      </c>
      <c r="I44" s="1991"/>
    </row>
    <row r="45" spans="1:10" ht="24.75" customHeight="1">
      <c r="A45" s="815"/>
      <c r="B45" s="1992" t="s">
        <v>7506</v>
      </c>
      <c r="C45" s="815">
        <v>-1</v>
      </c>
      <c r="D45" s="815">
        <v>1</v>
      </c>
      <c r="E45" s="1852">
        <v>6</v>
      </c>
      <c r="F45" s="1852">
        <v>0.23</v>
      </c>
      <c r="G45" s="1852">
        <v>0.3</v>
      </c>
      <c r="H45" s="1852">
        <f t="shared" si="4"/>
        <v>-0.41</v>
      </c>
      <c r="I45" s="1991"/>
    </row>
    <row r="46" spans="1:10" ht="24.75" customHeight="1">
      <c r="A46" s="815"/>
      <c r="B46" s="1992" t="s">
        <v>7507</v>
      </c>
      <c r="C46" s="815">
        <v>-1</v>
      </c>
      <c r="D46" s="815">
        <v>2</v>
      </c>
      <c r="E46" s="1852">
        <v>0.34</v>
      </c>
      <c r="F46" s="1852">
        <v>0.23</v>
      </c>
      <c r="G46" s="1852">
        <v>0.3</v>
      </c>
      <c r="H46" s="1852">
        <f t="shared" si="4"/>
        <v>-0.05</v>
      </c>
      <c r="I46" s="1991"/>
    </row>
    <row r="47" spans="1:10" ht="24.75" customHeight="1">
      <c r="A47" s="815"/>
      <c r="B47" s="1992" t="s">
        <v>7502</v>
      </c>
      <c r="C47" s="815">
        <v>1</v>
      </c>
      <c r="D47" s="815">
        <v>1</v>
      </c>
      <c r="E47" s="1852">
        <f>E118</f>
        <v>30</v>
      </c>
      <c r="F47" s="1852">
        <v>0.23</v>
      </c>
      <c r="G47" s="1852">
        <v>0.3</v>
      </c>
      <c r="H47" s="1852">
        <f t="shared" si="4"/>
        <v>2.0699999999999998</v>
      </c>
      <c r="I47" s="1991"/>
    </row>
    <row r="48" spans="1:10" ht="24.75" customHeight="1">
      <c r="A48" s="815"/>
      <c r="B48" s="1992"/>
      <c r="C48" s="815"/>
      <c r="D48" s="815"/>
      <c r="E48" s="1852"/>
      <c r="F48" s="1852"/>
      <c r="G48" s="1854" t="s">
        <v>2235</v>
      </c>
      <c r="H48" s="1854">
        <f>SUM(H43:H47)</f>
        <v>6.51</v>
      </c>
      <c r="I48" s="1991" t="s">
        <v>7123</v>
      </c>
    </row>
    <row r="49" spans="1:9" ht="127.5" customHeight="1">
      <c r="A49" s="1995">
        <v>5</v>
      </c>
      <c r="B49" s="1996" t="s">
        <v>7508</v>
      </c>
      <c r="C49" s="1996"/>
      <c r="D49" s="1996"/>
      <c r="E49" s="1996"/>
      <c r="F49" s="1996"/>
      <c r="G49" s="1997"/>
      <c r="H49" s="1852"/>
      <c r="I49" s="1998"/>
    </row>
    <row r="50" spans="1:9" ht="30" customHeight="1">
      <c r="A50" s="1995"/>
      <c r="B50" s="1999" t="s">
        <v>7509</v>
      </c>
      <c r="C50" s="2000"/>
      <c r="D50" s="2000"/>
      <c r="E50" s="1997"/>
      <c r="F50" s="1997"/>
      <c r="G50" s="1997"/>
      <c r="H50" s="828"/>
      <c r="I50" s="1998"/>
    </row>
    <row r="51" spans="1:9" ht="28.5" customHeight="1">
      <c r="A51" s="815"/>
      <c r="B51" s="1992" t="s">
        <v>7510</v>
      </c>
      <c r="C51" s="815">
        <v>1</v>
      </c>
      <c r="D51" s="815">
        <f>D121</f>
        <v>16</v>
      </c>
      <c r="E51" s="1852">
        <v>0.23</v>
      </c>
      <c r="F51" s="1852">
        <v>0.23</v>
      </c>
      <c r="G51" s="1852">
        <v>1.2</v>
      </c>
      <c r="H51" s="1852">
        <f>PRODUCT(C51:G51)</f>
        <v>1.02</v>
      </c>
      <c r="I51" s="1991"/>
    </row>
    <row r="52" spans="1:9" ht="28.5" customHeight="1">
      <c r="A52" s="815"/>
      <c r="B52" s="1992" t="s">
        <v>7511</v>
      </c>
      <c r="C52" s="815">
        <v>2</v>
      </c>
      <c r="D52" s="815">
        <f>D122</f>
        <v>13</v>
      </c>
      <c r="E52" s="1852">
        <v>0.23</v>
      </c>
      <c r="F52" s="1852">
        <v>0.23</v>
      </c>
      <c r="G52" s="1852">
        <v>1.2</v>
      </c>
      <c r="H52" s="1852">
        <f>PRODUCT(C52:G52)</f>
        <v>1.65</v>
      </c>
      <c r="I52" s="1991"/>
    </row>
    <row r="53" spans="1:9" ht="28.5" customHeight="1">
      <c r="A53" s="815"/>
      <c r="B53" s="1992" t="s">
        <v>7511</v>
      </c>
      <c r="C53" s="815">
        <v>1</v>
      </c>
      <c r="D53" s="815">
        <v>13</v>
      </c>
      <c r="E53" s="1852">
        <v>0.7</v>
      </c>
      <c r="F53" s="1852">
        <v>0.23</v>
      </c>
      <c r="G53" s="1852">
        <v>0.3</v>
      </c>
      <c r="H53" s="1852">
        <f>PRODUCT(C53:G53)</f>
        <v>0.63</v>
      </c>
    </row>
    <row r="54" spans="1:9" ht="30" customHeight="1">
      <c r="A54" s="815"/>
      <c r="B54" s="1992" t="s">
        <v>7512</v>
      </c>
      <c r="C54" s="815">
        <v>1</v>
      </c>
      <c r="D54" s="815">
        <v>20</v>
      </c>
      <c r="E54" s="1852">
        <v>0.23</v>
      </c>
      <c r="F54" s="1852">
        <v>0.23</v>
      </c>
      <c r="G54" s="1852">
        <v>1.2</v>
      </c>
      <c r="H54" s="1852">
        <f>PRODUCT(C54:G54)</f>
        <v>1.27</v>
      </c>
    </row>
    <row r="55" spans="1:9" ht="28.5" customHeight="1">
      <c r="A55" s="815"/>
      <c r="B55" s="1992" t="s">
        <v>7513</v>
      </c>
      <c r="C55" s="815">
        <v>1</v>
      </c>
      <c r="D55" s="815">
        <f>D123</f>
        <v>12</v>
      </c>
      <c r="E55" s="1852">
        <v>0.23</v>
      </c>
      <c r="F55" s="1852">
        <v>0.23</v>
      </c>
      <c r="G55" s="1852">
        <v>1.2</v>
      </c>
      <c r="H55" s="1852">
        <f>PRODUCT(C55:G55)</f>
        <v>0.76</v>
      </c>
      <c r="I55" s="1991"/>
    </row>
    <row r="56" spans="1:9" ht="28.5" customHeight="1">
      <c r="A56" s="815"/>
      <c r="B56" s="1992"/>
      <c r="C56" s="815"/>
      <c r="D56" s="815"/>
      <c r="E56" s="1852"/>
      <c r="F56" s="1852"/>
      <c r="G56" s="1854" t="s">
        <v>2235</v>
      </c>
      <c r="H56" s="1854">
        <f>SUM(H51:H55)</f>
        <v>5.33</v>
      </c>
      <c r="I56" s="1991" t="s">
        <v>7123</v>
      </c>
    </row>
    <row r="57" spans="1:9" ht="131.25" customHeight="1">
      <c r="A57" s="1995">
        <v>6</v>
      </c>
      <c r="B57" s="1996" t="s">
        <v>7514</v>
      </c>
      <c r="C57" s="1996"/>
      <c r="D57" s="1996"/>
      <c r="E57" s="1996"/>
      <c r="F57" s="1996"/>
      <c r="G57" s="1997"/>
      <c r="H57" s="828"/>
      <c r="I57" s="1998"/>
    </row>
    <row r="58" spans="1:9" ht="30" customHeight="1">
      <c r="A58" s="815"/>
      <c r="B58" s="2001" t="s">
        <v>7515</v>
      </c>
      <c r="C58" s="815"/>
      <c r="D58" s="815"/>
      <c r="E58" s="1852"/>
      <c r="F58" s="1852"/>
      <c r="G58" s="1852"/>
      <c r="H58" s="1852"/>
      <c r="I58" s="1991"/>
    </row>
    <row r="59" spans="1:9" ht="25.5" customHeight="1">
      <c r="A59" s="815"/>
      <c r="B59" s="1992" t="s">
        <v>7516</v>
      </c>
      <c r="C59" s="815">
        <v>1</v>
      </c>
      <c r="D59" s="815">
        <v>1</v>
      </c>
      <c r="E59" s="1852">
        <f>E43</f>
        <v>38</v>
      </c>
      <c r="F59" s="1852"/>
      <c r="G59" s="1852">
        <v>1.2</v>
      </c>
      <c r="H59" s="1852">
        <f t="shared" ref="H59:H64" si="5">PRODUCT(C59:G59)</f>
        <v>45.6</v>
      </c>
      <c r="I59" s="1991"/>
    </row>
    <row r="60" spans="1:9" ht="25.5" customHeight="1">
      <c r="A60" s="815"/>
      <c r="B60" s="1992" t="s">
        <v>7517</v>
      </c>
      <c r="C60" s="815">
        <v>1</v>
      </c>
      <c r="D60" s="815">
        <v>1</v>
      </c>
      <c r="E60" s="1852">
        <f>E44</f>
        <v>33</v>
      </c>
      <c r="F60" s="1852"/>
      <c r="G60" s="1852">
        <v>1.2</v>
      </c>
      <c r="H60" s="1852">
        <f t="shared" si="5"/>
        <v>39.6</v>
      </c>
      <c r="I60" s="1991"/>
    </row>
    <row r="61" spans="1:9" ht="25.5" customHeight="1">
      <c r="A61" s="815"/>
      <c r="B61" s="1992" t="s">
        <v>7518</v>
      </c>
      <c r="C61" s="815">
        <v>1</v>
      </c>
      <c r="D61" s="815">
        <v>1</v>
      </c>
      <c r="E61" s="1852">
        <f>E47</f>
        <v>30</v>
      </c>
      <c r="F61" s="1852"/>
      <c r="G61" s="1852">
        <v>1.2</v>
      </c>
      <c r="H61" s="1852">
        <f t="shared" si="5"/>
        <v>36</v>
      </c>
      <c r="I61" s="1991"/>
    </row>
    <row r="62" spans="1:9" ht="25.5" customHeight="1">
      <c r="A62" s="815"/>
      <c r="B62" s="1992" t="s">
        <v>7506</v>
      </c>
      <c r="C62" s="815">
        <v>-1</v>
      </c>
      <c r="D62" s="815">
        <v>1</v>
      </c>
      <c r="E62" s="1852">
        <v>6</v>
      </c>
      <c r="F62" s="1852"/>
      <c r="G62" s="1852">
        <v>1.2</v>
      </c>
      <c r="H62" s="1852">
        <f>PRODUCT(C62:G62)</f>
        <v>-7.2</v>
      </c>
      <c r="I62" s="1991"/>
    </row>
    <row r="63" spans="1:9" ht="25.5" customHeight="1">
      <c r="A63" s="815"/>
      <c r="B63" s="1992" t="s">
        <v>7507</v>
      </c>
      <c r="C63" s="815">
        <v>-1</v>
      </c>
      <c r="D63" s="815">
        <v>2</v>
      </c>
      <c r="E63" s="1852">
        <v>0.34</v>
      </c>
      <c r="F63" s="1852"/>
      <c r="G63" s="1852">
        <v>1.2</v>
      </c>
      <c r="H63" s="1852">
        <f t="shared" si="5"/>
        <v>-0.82</v>
      </c>
      <c r="I63" s="1991"/>
    </row>
    <row r="64" spans="1:9" ht="25.5" customHeight="1">
      <c r="A64" s="815"/>
      <c r="B64" s="2002" t="s">
        <v>7519</v>
      </c>
      <c r="C64" s="2003">
        <v>-1</v>
      </c>
      <c r="D64" s="2004">
        <f>SUM(D51:D55)-20</f>
        <v>54</v>
      </c>
      <c r="E64" s="1852">
        <v>0.23</v>
      </c>
      <c r="F64" s="2005"/>
      <c r="G64" s="1852">
        <v>1.2</v>
      </c>
      <c r="H64" s="1852">
        <f t="shared" si="5"/>
        <v>-14.9</v>
      </c>
      <c r="I64" s="1991"/>
    </row>
    <row r="65" spans="1:9" ht="25.5" customHeight="1">
      <c r="A65" s="815"/>
      <c r="B65" s="1992"/>
      <c r="C65" s="815"/>
      <c r="D65" s="815"/>
      <c r="E65" s="1852"/>
      <c r="F65" s="1852"/>
      <c r="G65" s="1854" t="s">
        <v>2235</v>
      </c>
      <c r="H65" s="1854">
        <f>SUM(H59:H64)</f>
        <v>98.28</v>
      </c>
      <c r="I65" s="1991" t="s">
        <v>7131</v>
      </c>
    </row>
    <row r="66" spans="1:9" ht="93.75" customHeight="1">
      <c r="A66" s="1995">
        <v>7</v>
      </c>
      <c r="B66" s="1996" t="s">
        <v>7520</v>
      </c>
      <c r="C66" s="1996"/>
      <c r="D66" s="1996"/>
      <c r="E66" s="1996"/>
      <c r="F66" s="1997"/>
      <c r="G66" s="1997"/>
      <c r="H66" s="828"/>
      <c r="I66" s="1998"/>
    </row>
    <row r="67" spans="1:9" ht="25.5" customHeight="1">
      <c r="A67" s="815"/>
      <c r="B67" s="1992" t="s">
        <v>7521</v>
      </c>
      <c r="C67" s="815">
        <v>1</v>
      </c>
      <c r="D67" s="815">
        <v>2</v>
      </c>
      <c r="E67" s="1852">
        <f>E59</f>
        <v>38</v>
      </c>
      <c r="F67" s="1852"/>
      <c r="G67" s="1852">
        <v>1.7</v>
      </c>
      <c r="H67" s="1852">
        <f t="shared" ref="H67:H78" si="6">PRODUCT(C67:G67)</f>
        <v>129.19999999999999</v>
      </c>
      <c r="I67" s="1991"/>
    </row>
    <row r="68" spans="1:9" ht="25.5" customHeight="1">
      <c r="A68" s="815"/>
      <c r="B68" s="1992" t="s">
        <v>7522</v>
      </c>
      <c r="C68" s="815">
        <v>1</v>
      </c>
      <c r="D68" s="815">
        <v>1</v>
      </c>
      <c r="E68" s="1852">
        <f>E67</f>
        <v>38</v>
      </c>
      <c r="F68" s="1852">
        <v>0.12</v>
      </c>
      <c r="G68" s="1852"/>
      <c r="H68" s="1852">
        <f t="shared" si="6"/>
        <v>4.5599999999999996</v>
      </c>
      <c r="I68" s="1991"/>
    </row>
    <row r="69" spans="1:9" ht="25.5" customHeight="1">
      <c r="A69" s="815"/>
      <c r="B69" s="1992" t="s">
        <v>7523</v>
      </c>
      <c r="C69" s="815">
        <v>1</v>
      </c>
      <c r="D69" s="815">
        <v>2</v>
      </c>
      <c r="E69" s="1852">
        <f>E60</f>
        <v>33</v>
      </c>
      <c r="F69" s="1852"/>
      <c r="G69" s="1852">
        <v>1.7</v>
      </c>
      <c r="H69" s="1852">
        <f t="shared" si="6"/>
        <v>112.2</v>
      </c>
      <c r="I69" s="1991"/>
    </row>
    <row r="70" spans="1:9" ht="25.5" customHeight="1">
      <c r="A70" s="815"/>
      <c r="B70" s="1992" t="s">
        <v>7524</v>
      </c>
      <c r="C70" s="815">
        <v>1</v>
      </c>
      <c r="D70" s="815">
        <v>1</v>
      </c>
      <c r="E70" s="1852">
        <f>E69</f>
        <v>33</v>
      </c>
      <c r="F70" s="1852">
        <v>0.12</v>
      </c>
      <c r="G70" s="1852"/>
      <c r="H70" s="1852">
        <f t="shared" si="6"/>
        <v>3.96</v>
      </c>
      <c r="I70" s="1991"/>
    </row>
    <row r="71" spans="1:9" ht="25.5" customHeight="1">
      <c r="A71" s="815"/>
      <c r="B71" s="1992" t="s">
        <v>7525</v>
      </c>
      <c r="C71" s="815">
        <v>1</v>
      </c>
      <c r="D71" s="815">
        <v>2</v>
      </c>
      <c r="E71" s="1852">
        <f>E61</f>
        <v>30</v>
      </c>
      <c r="F71" s="1852"/>
      <c r="G71" s="1852">
        <v>1.7</v>
      </c>
      <c r="H71" s="1852">
        <f t="shared" si="6"/>
        <v>102</v>
      </c>
      <c r="I71" s="1991"/>
    </row>
    <row r="72" spans="1:9" ht="25.5" customHeight="1">
      <c r="A72" s="815"/>
      <c r="B72" s="1992" t="s">
        <v>7526</v>
      </c>
      <c r="C72" s="815">
        <v>1</v>
      </c>
      <c r="D72" s="815">
        <v>1</v>
      </c>
      <c r="E72" s="1852">
        <f>E71</f>
        <v>30</v>
      </c>
      <c r="F72" s="1852">
        <v>0.12</v>
      </c>
      <c r="G72" s="1852"/>
      <c r="H72" s="1852">
        <f t="shared" si="6"/>
        <v>3.6</v>
      </c>
      <c r="I72" s="1991"/>
    </row>
    <row r="73" spans="1:9" ht="25.5" customHeight="1">
      <c r="A73" s="815"/>
      <c r="B73" s="1992" t="s">
        <v>7506</v>
      </c>
      <c r="C73" s="815">
        <v>-1</v>
      </c>
      <c r="D73" s="815">
        <v>2</v>
      </c>
      <c r="E73" s="1852">
        <v>6</v>
      </c>
      <c r="F73" s="1852"/>
      <c r="G73" s="1852">
        <v>1.5</v>
      </c>
      <c r="H73" s="1852">
        <f t="shared" si="6"/>
        <v>-18</v>
      </c>
      <c r="I73" s="1991"/>
    </row>
    <row r="74" spans="1:9" ht="25.5" customHeight="1">
      <c r="A74" s="815"/>
      <c r="B74" s="1992" t="s">
        <v>7527</v>
      </c>
      <c r="C74" s="815">
        <v>1</v>
      </c>
      <c r="D74" s="815">
        <v>2</v>
      </c>
      <c r="E74" s="1852">
        <v>0.34</v>
      </c>
      <c r="F74" s="1852">
        <v>0.34</v>
      </c>
      <c r="G74" s="1852"/>
      <c r="H74" s="1852">
        <f t="shared" si="6"/>
        <v>0.23</v>
      </c>
      <c r="I74" s="1991"/>
    </row>
    <row r="75" spans="1:9" ht="25.5" customHeight="1">
      <c r="A75" s="815"/>
      <c r="B75" s="1992" t="s">
        <v>7528</v>
      </c>
      <c r="C75" s="815">
        <v>1</v>
      </c>
      <c r="D75" s="815">
        <v>2</v>
      </c>
      <c r="E75" s="1852">
        <v>1.36</v>
      </c>
      <c r="F75" s="1852"/>
      <c r="G75" s="1852">
        <v>2</v>
      </c>
      <c r="H75" s="1852">
        <f t="shared" si="6"/>
        <v>5.44</v>
      </c>
      <c r="I75" s="1991"/>
    </row>
    <row r="76" spans="1:9" ht="25.5" customHeight="1">
      <c r="A76" s="815"/>
      <c r="B76" s="1992" t="s">
        <v>7529</v>
      </c>
      <c r="C76" s="815">
        <v>2</v>
      </c>
      <c r="D76" s="815">
        <f>D64</f>
        <v>54</v>
      </c>
      <c r="E76" s="1852">
        <v>0.05</v>
      </c>
      <c r="F76" s="1852"/>
      <c r="G76" s="1852">
        <v>1.2</v>
      </c>
      <c r="H76" s="1852">
        <f t="shared" si="6"/>
        <v>6.48</v>
      </c>
      <c r="I76" s="1991"/>
    </row>
    <row r="77" spans="1:9" ht="25.5" customHeight="1">
      <c r="A77" s="815"/>
      <c r="B77" s="1992" t="s">
        <v>7530</v>
      </c>
      <c r="C77" s="815">
        <v>4</v>
      </c>
      <c r="D77" s="815">
        <v>13</v>
      </c>
      <c r="E77" s="1852">
        <v>0.12</v>
      </c>
      <c r="F77" s="1852"/>
      <c r="G77" s="1852">
        <f>G76</f>
        <v>1.2</v>
      </c>
      <c r="H77" s="1852">
        <f t="shared" si="6"/>
        <v>7.49</v>
      </c>
    </row>
    <row r="78" spans="1:9" ht="25.5" customHeight="1">
      <c r="A78" s="815"/>
      <c r="B78" s="1992" t="s">
        <v>7531</v>
      </c>
      <c r="C78" s="815">
        <v>1</v>
      </c>
      <c r="D78" s="815">
        <v>13</v>
      </c>
      <c r="E78" s="1852">
        <f>(0.69+0.23)*2</f>
        <v>1.84</v>
      </c>
      <c r="F78" s="1852"/>
      <c r="G78" s="1852">
        <v>0.3</v>
      </c>
      <c r="H78" s="1852">
        <f t="shared" si="6"/>
        <v>7.18</v>
      </c>
    </row>
    <row r="79" spans="1:9" ht="27" customHeight="1">
      <c r="A79" s="815"/>
      <c r="B79" s="1992"/>
      <c r="C79" s="815"/>
      <c r="D79" s="815"/>
      <c r="E79" s="1852"/>
      <c r="F79" s="1852"/>
      <c r="G79" s="1854" t="s">
        <v>2235</v>
      </c>
      <c r="H79" s="829">
        <f>SUM(H67:H78)</f>
        <v>364.34</v>
      </c>
      <c r="I79" s="1991" t="s">
        <v>7131</v>
      </c>
    </row>
    <row r="80" spans="1:9" ht="87.75" customHeight="1">
      <c r="A80" s="1995">
        <v>8</v>
      </c>
      <c r="B80" s="1996" t="s">
        <v>7532</v>
      </c>
      <c r="C80" s="1996"/>
      <c r="D80" s="1996"/>
      <c r="E80" s="1996"/>
      <c r="F80" s="1997"/>
      <c r="G80" s="1997"/>
      <c r="H80" s="828"/>
      <c r="I80" s="1998"/>
    </row>
    <row r="81" spans="1:10" ht="24.75" customHeight="1">
      <c r="A81" s="1995"/>
      <c r="B81" s="1999" t="s">
        <v>7533</v>
      </c>
      <c r="C81" s="2000"/>
      <c r="D81" s="2000"/>
      <c r="E81" s="828"/>
      <c r="F81" s="828"/>
      <c r="G81" s="828"/>
      <c r="H81" s="1854"/>
      <c r="I81" s="1998"/>
    </row>
    <row r="82" spans="1:10" ht="24.75" customHeight="1">
      <c r="A82" s="815"/>
      <c r="B82" s="1992" t="s">
        <v>7534</v>
      </c>
      <c r="C82" s="815">
        <v>1</v>
      </c>
      <c r="D82" s="815">
        <v>1</v>
      </c>
      <c r="E82" s="1852">
        <f>E59</f>
        <v>38</v>
      </c>
      <c r="F82" s="1852"/>
      <c r="G82" s="1852"/>
      <c r="H82" s="1852">
        <f t="shared" ref="H82:H86" si="7">PRODUCT(C82:G82)</f>
        <v>38</v>
      </c>
      <c r="I82" s="1201"/>
    </row>
    <row r="83" spans="1:10" ht="24.75" customHeight="1">
      <c r="A83" s="815"/>
      <c r="B83" s="1992" t="s">
        <v>7535</v>
      </c>
      <c r="C83" s="815">
        <v>1</v>
      </c>
      <c r="D83" s="815">
        <v>1</v>
      </c>
      <c r="E83" s="1852">
        <f>E60</f>
        <v>33</v>
      </c>
      <c r="F83" s="1852"/>
      <c r="G83" s="1852"/>
      <c r="H83" s="1852">
        <f t="shared" si="7"/>
        <v>33</v>
      </c>
      <c r="I83" s="1991"/>
    </row>
    <row r="84" spans="1:10" ht="24.75" customHeight="1">
      <c r="A84" s="815"/>
      <c r="B84" s="1992" t="s">
        <v>7536</v>
      </c>
      <c r="C84" s="815">
        <v>1</v>
      </c>
      <c r="D84" s="815">
        <v>1</v>
      </c>
      <c r="E84" s="1852">
        <f>E61</f>
        <v>30</v>
      </c>
      <c r="F84" s="1852"/>
      <c r="G84" s="1852"/>
      <c r="H84" s="1852">
        <f t="shared" si="7"/>
        <v>30</v>
      </c>
      <c r="I84" s="1991"/>
    </row>
    <row r="85" spans="1:10" ht="24.75" customHeight="1">
      <c r="A85" s="815"/>
      <c r="B85" s="1992" t="s">
        <v>7537</v>
      </c>
      <c r="C85" s="815">
        <v>1</v>
      </c>
      <c r="D85" s="815">
        <v>2</v>
      </c>
      <c r="E85" s="1852">
        <v>1.36</v>
      </c>
      <c r="F85" s="1852"/>
      <c r="G85" s="1852"/>
      <c r="H85" s="1852">
        <f t="shared" si="7"/>
        <v>2.72</v>
      </c>
      <c r="I85" s="1991"/>
    </row>
    <row r="86" spans="1:10" ht="24.75" customHeight="1">
      <c r="A86" s="815"/>
      <c r="B86" s="1992" t="s">
        <v>7506</v>
      </c>
      <c r="C86" s="815">
        <v>-1</v>
      </c>
      <c r="D86" s="815">
        <v>1</v>
      </c>
      <c r="E86" s="1852">
        <v>6</v>
      </c>
      <c r="F86" s="1852"/>
      <c r="G86" s="1852"/>
      <c r="H86" s="1852">
        <f t="shared" si="7"/>
        <v>-6</v>
      </c>
      <c r="I86" s="1991"/>
    </row>
    <row r="87" spans="1:10" ht="24.75" customHeight="1">
      <c r="A87" s="1995"/>
      <c r="B87" s="2006"/>
      <c r="C87" s="2000"/>
      <c r="D87" s="2000"/>
      <c r="E87" s="1852"/>
      <c r="F87" s="828"/>
      <c r="G87" s="828" t="s">
        <v>2235</v>
      </c>
      <c r="H87" s="1854">
        <f>SUM(H82:H86)</f>
        <v>97.72</v>
      </c>
      <c r="I87" s="1998" t="s">
        <v>823</v>
      </c>
    </row>
    <row r="88" spans="1:10" s="1869" customFormat="1" ht="322.5" customHeight="1">
      <c r="A88" s="815">
        <v>9</v>
      </c>
      <c r="B88" s="1282" t="s">
        <v>7538</v>
      </c>
      <c r="C88" s="1282"/>
      <c r="D88" s="1282"/>
      <c r="E88" s="1282"/>
      <c r="F88" s="1282"/>
      <c r="G88" s="1282"/>
      <c r="H88" s="1852"/>
      <c r="I88" s="1991"/>
    </row>
    <row r="89" spans="1:10" s="1869" customFormat="1" ht="30" customHeight="1">
      <c r="A89" s="815"/>
      <c r="B89" s="2007" t="s">
        <v>7539</v>
      </c>
      <c r="C89" s="1224"/>
      <c r="D89" s="1224"/>
      <c r="E89" s="1879"/>
      <c r="F89" s="1879"/>
      <c r="G89" s="1879"/>
      <c r="H89" s="1852"/>
      <c r="I89" s="1991"/>
    </row>
    <row r="90" spans="1:10" ht="30" customHeight="1">
      <c r="A90" s="815"/>
      <c r="B90" s="1992" t="s">
        <v>7495</v>
      </c>
      <c r="C90" s="815">
        <v>1</v>
      </c>
      <c r="D90" s="815">
        <f>D31</f>
        <v>13</v>
      </c>
      <c r="E90" s="1852">
        <v>0.75</v>
      </c>
      <c r="F90" s="1852">
        <v>0.75</v>
      </c>
      <c r="G90" s="1852">
        <v>0.2</v>
      </c>
      <c r="H90" s="1852">
        <f t="shared" ref="H90:H103" si="8">PRODUCT(C90:G90)</f>
        <v>1.46</v>
      </c>
      <c r="I90" s="1991"/>
    </row>
    <row r="91" spans="1:10" ht="30" customHeight="1">
      <c r="A91" s="815"/>
      <c r="B91" s="1992" t="s">
        <v>7496</v>
      </c>
      <c r="C91" s="815">
        <v>1</v>
      </c>
      <c r="D91" s="815">
        <f>D32</f>
        <v>3</v>
      </c>
      <c r="E91" s="1852">
        <v>1</v>
      </c>
      <c r="F91" s="1852">
        <v>1</v>
      </c>
      <c r="G91" s="1852">
        <v>0.2</v>
      </c>
      <c r="H91" s="1852">
        <f t="shared" si="8"/>
        <v>0.6</v>
      </c>
      <c r="I91" s="1991"/>
    </row>
    <row r="92" spans="1:10" ht="30" customHeight="1">
      <c r="A92" s="815"/>
      <c r="B92" s="1992" t="s">
        <v>7497</v>
      </c>
      <c r="C92" s="815">
        <v>1</v>
      </c>
      <c r="D92" s="815">
        <f>D33</f>
        <v>11</v>
      </c>
      <c r="E92" s="1852">
        <v>0.75</v>
      </c>
      <c r="F92" s="1852">
        <v>0.75</v>
      </c>
      <c r="G92" s="1852">
        <v>0.2</v>
      </c>
      <c r="H92" s="1852">
        <f t="shared" si="8"/>
        <v>1.24</v>
      </c>
      <c r="I92" s="1991"/>
      <c r="J92" s="1980" t="s">
        <v>7496</v>
      </c>
    </row>
    <row r="93" spans="1:10" ht="30" customHeight="1">
      <c r="A93" s="815"/>
      <c r="B93" s="1992" t="s">
        <v>7496</v>
      </c>
      <c r="C93" s="815">
        <v>1</v>
      </c>
      <c r="D93" s="815">
        <f>D34</f>
        <v>2</v>
      </c>
      <c r="E93" s="1852">
        <v>1</v>
      </c>
      <c r="F93" s="1852">
        <v>1</v>
      </c>
      <c r="G93" s="1852">
        <v>0.2</v>
      </c>
      <c r="H93" s="1852">
        <f t="shared" si="8"/>
        <v>0.4</v>
      </c>
      <c r="I93" s="1991"/>
    </row>
    <row r="94" spans="1:10" ht="30" customHeight="1">
      <c r="A94" s="815"/>
      <c r="B94" s="1992" t="s">
        <v>7498</v>
      </c>
      <c r="C94" s="815">
        <v>1</v>
      </c>
      <c r="D94" s="815">
        <f t="shared" ref="D94:D95" si="9">D35</f>
        <v>10</v>
      </c>
      <c r="E94" s="1852">
        <v>0.75</v>
      </c>
      <c r="F94" s="1852">
        <v>0.75</v>
      </c>
      <c r="G94" s="1852">
        <v>0.2</v>
      </c>
      <c r="H94" s="1852">
        <f t="shared" si="8"/>
        <v>1.1299999999999999</v>
      </c>
      <c r="I94" s="1991"/>
    </row>
    <row r="95" spans="1:10" ht="30" customHeight="1">
      <c r="A95" s="815"/>
      <c r="B95" s="1992" t="s">
        <v>7496</v>
      </c>
      <c r="C95" s="815">
        <v>1</v>
      </c>
      <c r="D95" s="815">
        <f t="shared" si="9"/>
        <v>2</v>
      </c>
      <c r="E95" s="1852">
        <v>1</v>
      </c>
      <c r="F95" s="1852">
        <v>1</v>
      </c>
      <c r="G95" s="1852">
        <v>0.2</v>
      </c>
      <c r="H95" s="1852">
        <f t="shared" si="8"/>
        <v>0.4</v>
      </c>
      <c r="I95" s="1991"/>
    </row>
    <row r="96" spans="1:10" ht="30" customHeight="1">
      <c r="A96" s="815"/>
      <c r="B96" s="1992" t="s">
        <v>7499</v>
      </c>
      <c r="C96" s="815">
        <v>1</v>
      </c>
      <c r="D96" s="815">
        <v>2</v>
      </c>
      <c r="E96" s="1852">
        <v>1</v>
      </c>
      <c r="F96" s="1852">
        <v>1</v>
      </c>
      <c r="G96" s="1852">
        <v>0.25</v>
      </c>
      <c r="H96" s="1852">
        <f t="shared" si="8"/>
        <v>0.5</v>
      </c>
      <c r="I96" s="1991"/>
    </row>
    <row r="97" spans="1:10" ht="34.5" customHeight="1">
      <c r="A97" s="815"/>
      <c r="B97" s="1992" t="s">
        <v>7540</v>
      </c>
      <c r="C97" s="815">
        <v>1</v>
      </c>
      <c r="D97" s="815">
        <f>D90+D91</f>
        <v>16</v>
      </c>
      <c r="E97" s="1852">
        <v>0.23</v>
      </c>
      <c r="F97" s="1852">
        <v>0.23</v>
      </c>
      <c r="G97" s="1852">
        <v>0.5</v>
      </c>
      <c r="H97" s="1852">
        <f t="shared" si="8"/>
        <v>0.42</v>
      </c>
      <c r="I97" s="1991"/>
    </row>
    <row r="98" spans="1:10" ht="34.5" customHeight="1">
      <c r="A98" s="815"/>
      <c r="B98" s="1992" t="s">
        <v>7541</v>
      </c>
      <c r="C98" s="815">
        <v>1</v>
      </c>
      <c r="D98" s="815">
        <f>D92+D93</f>
        <v>13</v>
      </c>
      <c r="E98" s="1852">
        <v>0.23</v>
      </c>
      <c r="F98" s="1852">
        <v>0.23</v>
      </c>
      <c r="G98" s="1852">
        <v>0.5</v>
      </c>
      <c r="H98" s="1852">
        <f t="shared" si="8"/>
        <v>0.34</v>
      </c>
      <c r="I98" s="1991"/>
    </row>
    <row r="99" spans="1:10" ht="30" customHeight="1">
      <c r="A99" s="815"/>
      <c r="B99" s="1992" t="s">
        <v>7542</v>
      </c>
      <c r="C99" s="815">
        <v>1</v>
      </c>
      <c r="D99" s="815">
        <f>D94+D95</f>
        <v>12</v>
      </c>
      <c r="E99" s="1852">
        <v>0.23</v>
      </c>
      <c r="F99" s="1852">
        <v>0.23</v>
      </c>
      <c r="G99" s="1852">
        <v>0.5</v>
      </c>
      <c r="H99" s="1852">
        <f t="shared" si="8"/>
        <v>0.32</v>
      </c>
      <c r="I99" s="1991"/>
    </row>
    <row r="100" spans="1:10" ht="30" customHeight="1">
      <c r="A100" s="815"/>
      <c r="B100" s="1992" t="s">
        <v>7499</v>
      </c>
      <c r="C100" s="815">
        <v>1</v>
      </c>
      <c r="D100" s="815">
        <v>2</v>
      </c>
      <c r="E100" s="1852">
        <v>0.34</v>
      </c>
      <c r="F100" s="1852">
        <v>0.34</v>
      </c>
      <c r="G100" s="1852">
        <v>0.5</v>
      </c>
      <c r="H100" s="1852">
        <f t="shared" si="8"/>
        <v>0.12</v>
      </c>
      <c r="I100" s="1991"/>
    </row>
    <row r="101" spans="1:10" ht="30" customHeight="1">
      <c r="A101" s="815"/>
      <c r="B101" s="1992" t="s">
        <v>7500</v>
      </c>
      <c r="C101" s="815">
        <v>1</v>
      </c>
      <c r="D101" s="815">
        <v>1</v>
      </c>
      <c r="E101" s="1852">
        <f>E38</f>
        <v>38</v>
      </c>
      <c r="F101" s="1852">
        <v>0.23</v>
      </c>
      <c r="G101" s="1852">
        <v>0.23</v>
      </c>
      <c r="H101" s="1852">
        <f t="shared" si="8"/>
        <v>2.0099999999999998</v>
      </c>
      <c r="I101" s="1991"/>
    </row>
    <row r="102" spans="1:10" ht="30" customHeight="1">
      <c r="A102" s="815"/>
      <c r="B102" s="1992" t="s">
        <v>7501</v>
      </c>
      <c r="C102" s="815">
        <v>1</v>
      </c>
      <c r="D102" s="815">
        <v>1</v>
      </c>
      <c r="E102" s="1852">
        <f>E39</f>
        <v>33</v>
      </c>
      <c r="F102" s="1852">
        <v>0.23</v>
      </c>
      <c r="G102" s="1852">
        <v>0.23</v>
      </c>
      <c r="H102" s="1852">
        <f t="shared" si="8"/>
        <v>1.75</v>
      </c>
      <c r="I102" s="1991"/>
    </row>
    <row r="103" spans="1:10" ht="30" customHeight="1">
      <c r="A103" s="815"/>
      <c r="B103" s="1992" t="s">
        <v>7502</v>
      </c>
      <c r="C103" s="815">
        <v>1</v>
      </c>
      <c r="D103" s="815">
        <v>1</v>
      </c>
      <c r="E103" s="1852">
        <f>E40</f>
        <v>30</v>
      </c>
      <c r="F103" s="1852">
        <v>0.23</v>
      </c>
      <c r="G103" s="1852">
        <v>0.23</v>
      </c>
      <c r="H103" s="1852">
        <f t="shared" si="8"/>
        <v>1.59</v>
      </c>
      <c r="I103" s="1991"/>
    </row>
    <row r="104" spans="1:10" ht="30" customHeight="1">
      <c r="A104" s="815"/>
      <c r="B104" s="1992"/>
      <c r="C104" s="815"/>
      <c r="D104" s="815"/>
      <c r="E104" s="1852"/>
      <c r="F104" s="1852"/>
      <c r="G104" s="1854" t="s">
        <v>2235</v>
      </c>
      <c r="H104" s="1854">
        <f>SUM(H90:H103)</f>
        <v>12.28</v>
      </c>
      <c r="I104" s="1991" t="s">
        <v>7123</v>
      </c>
    </row>
    <row r="105" spans="1:10" ht="30" customHeight="1">
      <c r="A105" s="815"/>
      <c r="B105" s="2007" t="s">
        <v>7543</v>
      </c>
      <c r="C105" s="815"/>
      <c r="D105" s="815"/>
      <c r="E105" s="1852"/>
      <c r="F105" s="1852"/>
      <c r="G105" s="1854"/>
      <c r="H105" s="1854"/>
      <c r="I105" s="1991"/>
    </row>
    <row r="106" spans="1:10" ht="30" customHeight="1">
      <c r="A106" s="815"/>
      <c r="B106" s="1992" t="s">
        <v>7544</v>
      </c>
      <c r="C106" s="815">
        <v>1</v>
      </c>
      <c r="D106" s="815">
        <v>2</v>
      </c>
      <c r="E106" s="1852">
        <v>0.34</v>
      </c>
      <c r="F106" s="1852">
        <v>0.34</v>
      </c>
      <c r="G106" s="1852">
        <v>1.8</v>
      </c>
      <c r="H106" s="1854">
        <f>PRODUCT(C106:G106)</f>
        <v>0.42</v>
      </c>
      <c r="I106" s="1991" t="s">
        <v>7123</v>
      </c>
    </row>
    <row r="107" spans="1:10" ht="194.25" customHeight="1">
      <c r="A107" s="815">
        <v>10</v>
      </c>
      <c r="B107" s="1282" t="s">
        <v>7545</v>
      </c>
      <c r="C107" s="1282"/>
      <c r="D107" s="1282"/>
      <c r="E107" s="1282"/>
      <c r="F107" s="1282"/>
      <c r="G107" s="1282"/>
      <c r="H107" s="1852"/>
      <c r="I107" s="1991"/>
    </row>
    <row r="108" spans="1:10" ht="58.5" customHeight="1">
      <c r="A108" s="815"/>
      <c r="B108" s="2008" t="s">
        <v>7546</v>
      </c>
      <c r="C108" s="2008"/>
      <c r="D108" s="2008"/>
      <c r="E108" s="2009"/>
      <c r="F108" s="2009"/>
      <c r="G108" s="2009"/>
      <c r="H108" s="1852"/>
      <c r="I108" s="1991"/>
    </row>
    <row r="109" spans="1:10" ht="30.75" customHeight="1">
      <c r="A109" s="815"/>
      <c r="B109" s="1992" t="s">
        <v>7495</v>
      </c>
      <c r="C109" s="815">
        <v>1</v>
      </c>
      <c r="D109" s="815">
        <f>D90</f>
        <v>13</v>
      </c>
      <c r="E109" s="1852">
        <v>3</v>
      </c>
      <c r="F109" s="1852"/>
      <c r="G109" s="1852">
        <v>0.2</v>
      </c>
      <c r="H109" s="1852">
        <f t="shared" ref="H109:H118" si="10">PRODUCT(C109:G109)</f>
        <v>7.8</v>
      </c>
      <c r="I109" s="1991"/>
    </row>
    <row r="110" spans="1:10" ht="30.75" customHeight="1">
      <c r="A110" s="815"/>
      <c r="B110" s="1992" t="s">
        <v>7496</v>
      </c>
      <c r="C110" s="815">
        <v>1</v>
      </c>
      <c r="D110" s="815">
        <f>D91</f>
        <v>3</v>
      </c>
      <c r="E110" s="1852">
        <v>4</v>
      </c>
      <c r="F110" s="1852"/>
      <c r="G110" s="1852">
        <v>0.2</v>
      </c>
      <c r="H110" s="1852">
        <f t="shared" si="10"/>
        <v>2.4</v>
      </c>
      <c r="I110" s="1991"/>
    </row>
    <row r="111" spans="1:10" ht="30.75" customHeight="1">
      <c r="A111" s="815"/>
      <c r="B111" s="1992" t="s">
        <v>7497</v>
      </c>
      <c r="C111" s="815">
        <v>1</v>
      </c>
      <c r="D111" s="815">
        <f>D92</f>
        <v>11</v>
      </c>
      <c r="E111" s="1852">
        <v>3</v>
      </c>
      <c r="F111" s="1852"/>
      <c r="G111" s="1852">
        <v>0.2</v>
      </c>
      <c r="H111" s="1852">
        <f t="shared" si="10"/>
        <v>6.6</v>
      </c>
      <c r="I111" s="1991"/>
      <c r="J111" s="1980" t="s">
        <v>7496</v>
      </c>
    </row>
    <row r="112" spans="1:10" ht="30.75" customHeight="1">
      <c r="A112" s="815"/>
      <c r="B112" s="1992" t="s">
        <v>7496</v>
      </c>
      <c r="C112" s="815">
        <v>1</v>
      </c>
      <c r="D112" s="815">
        <f>D93</f>
        <v>2</v>
      </c>
      <c r="E112" s="1852">
        <v>4</v>
      </c>
      <c r="F112" s="1852"/>
      <c r="G112" s="1852">
        <v>0.2</v>
      </c>
      <c r="H112" s="1852">
        <f t="shared" si="10"/>
        <v>1.6</v>
      </c>
      <c r="I112" s="1991"/>
    </row>
    <row r="113" spans="1:9" ht="30.75" customHeight="1">
      <c r="A113" s="815"/>
      <c r="B113" s="1992" t="s">
        <v>7498</v>
      </c>
      <c r="C113" s="815">
        <v>1</v>
      </c>
      <c r="D113" s="815">
        <f t="shared" ref="D113:D114" si="11">D94</f>
        <v>10</v>
      </c>
      <c r="E113" s="1852">
        <v>3</v>
      </c>
      <c r="F113" s="1852"/>
      <c r="G113" s="1852">
        <v>0.2</v>
      </c>
      <c r="H113" s="1852">
        <f t="shared" si="10"/>
        <v>6</v>
      </c>
      <c r="I113" s="1991"/>
    </row>
    <row r="114" spans="1:9" ht="30.75" customHeight="1">
      <c r="A114" s="815"/>
      <c r="B114" s="1992" t="s">
        <v>7496</v>
      </c>
      <c r="C114" s="815">
        <v>1</v>
      </c>
      <c r="D114" s="815">
        <f t="shared" si="11"/>
        <v>2</v>
      </c>
      <c r="E114" s="1852">
        <v>4</v>
      </c>
      <c r="F114" s="1852"/>
      <c r="G114" s="1852">
        <v>0.2</v>
      </c>
      <c r="H114" s="1852">
        <f>PRODUCT(C114:G114)</f>
        <v>1.6</v>
      </c>
      <c r="I114" s="1991"/>
    </row>
    <row r="115" spans="1:9" ht="30.75" customHeight="1">
      <c r="A115" s="815"/>
      <c r="B115" s="1992" t="s">
        <v>7547</v>
      </c>
      <c r="C115" s="815">
        <v>1</v>
      </c>
      <c r="D115" s="815">
        <v>2</v>
      </c>
      <c r="E115" s="1852">
        <v>4</v>
      </c>
      <c r="F115" s="1852"/>
      <c r="G115" s="1852">
        <v>0.25</v>
      </c>
      <c r="H115" s="1852">
        <f>PRODUCT(C115:G115)</f>
        <v>2</v>
      </c>
      <c r="I115" s="1991"/>
    </row>
    <row r="116" spans="1:9" ht="30.75" customHeight="1">
      <c r="A116" s="815"/>
      <c r="B116" s="1992" t="s">
        <v>7500</v>
      </c>
      <c r="C116" s="815">
        <v>1</v>
      </c>
      <c r="D116" s="815">
        <v>2</v>
      </c>
      <c r="E116" s="1852">
        <f>E101</f>
        <v>38</v>
      </c>
      <c r="F116" s="1852"/>
      <c r="G116" s="1852">
        <v>0.23</v>
      </c>
      <c r="H116" s="1852">
        <f t="shared" si="10"/>
        <v>17.48</v>
      </c>
      <c r="I116" s="1991"/>
    </row>
    <row r="117" spans="1:9" ht="30.75" customHeight="1">
      <c r="A117" s="815"/>
      <c r="B117" s="1992" t="s">
        <v>7501</v>
      </c>
      <c r="C117" s="815">
        <v>1</v>
      </c>
      <c r="D117" s="815">
        <v>2</v>
      </c>
      <c r="E117" s="1852">
        <f>E102</f>
        <v>33</v>
      </c>
      <c r="F117" s="1852"/>
      <c r="G117" s="1852">
        <v>0.23</v>
      </c>
      <c r="H117" s="1852">
        <f t="shared" si="10"/>
        <v>15.18</v>
      </c>
      <c r="I117" s="1991"/>
    </row>
    <row r="118" spans="1:9" ht="30.75" customHeight="1">
      <c r="A118" s="815"/>
      <c r="B118" s="1992" t="s">
        <v>7502</v>
      </c>
      <c r="C118" s="815">
        <v>1</v>
      </c>
      <c r="D118" s="815">
        <v>2</v>
      </c>
      <c r="E118" s="1852">
        <f>E103</f>
        <v>30</v>
      </c>
      <c r="F118" s="1852"/>
      <c r="G118" s="1852">
        <v>0.23</v>
      </c>
      <c r="H118" s="1852">
        <f t="shared" si="10"/>
        <v>13.8</v>
      </c>
      <c r="I118" s="1991"/>
    </row>
    <row r="119" spans="1:9" ht="30.75" customHeight="1">
      <c r="A119" s="815"/>
      <c r="B119" s="1992"/>
      <c r="C119" s="815"/>
      <c r="D119" s="815"/>
      <c r="E119" s="1852"/>
      <c r="F119" s="1852"/>
      <c r="G119" s="1854" t="s">
        <v>2235</v>
      </c>
      <c r="H119" s="1854">
        <f>SUM(H109:H118)</f>
        <v>74.459999999999994</v>
      </c>
      <c r="I119" s="1991" t="s">
        <v>7131</v>
      </c>
    </row>
    <row r="120" spans="1:9" ht="54" customHeight="1">
      <c r="A120" s="815"/>
      <c r="B120" s="2008" t="s">
        <v>7548</v>
      </c>
      <c r="C120" s="2008"/>
      <c r="D120" s="2008"/>
      <c r="E120" s="2009"/>
      <c r="F120" s="2009"/>
      <c r="G120" s="2009"/>
      <c r="H120" s="1852"/>
      <c r="I120" s="1991"/>
    </row>
    <row r="121" spans="1:9" ht="33.75" customHeight="1">
      <c r="A121" s="815"/>
      <c r="B121" s="1992" t="s">
        <v>7540</v>
      </c>
      <c r="C121" s="815">
        <v>1</v>
      </c>
      <c r="D121" s="815">
        <f>D109+D110</f>
        <v>16</v>
      </c>
      <c r="E121" s="1852">
        <v>0.92</v>
      </c>
      <c r="F121" s="1852"/>
      <c r="G121" s="1852">
        <v>0.5</v>
      </c>
      <c r="H121" s="1852">
        <f t="shared" ref="H121:H125" si="12">PRODUCT(C121:G121)</f>
        <v>7.36</v>
      </c>
      <c r="I121" s="1991"/>
    </row>
    <row r="122" spans="1:9" ht="33.75" customHeight="1">
      <c r="A122" s="815"/>
      <c r="B122" s="1992" t="s">
        <v>7541</v>
      </c>
      <c r="C122" s="815">
        <v>1</v>
      </c>
      <c r="D122" s="815">
        <f>D111+D112</f>
        <v>13</v>
      </c>
      <c r="E122" s="1852">
        <v>0.92</v>
      </c>
      <c r="F122" s="1852"/>
      <c r="G122" s="1852">
        <v>0.5</v>
      </c>
      <c r="H122" s="1852">
        <f t="shared" si="12"/>
        <v>5.98</v>
      </c>
      <c r="I122" s="1991"/>
    </row>
    <row r="123" spans="1:9" ht="30" customHeight="1">
      <c r="A123" s="815"/>
      <c r="B123" s="1992" t="s">
        <v>7542</v>
      </c>
      <c r="C123" s="815">
        <v>1</v>
      </c>
      <c r="D123" s="815">
        <f>D113+D114</f>
        <v>12</v>
      </c>
      <c r="E123" s="1852">
        <v>0.92</v>
      </c>
      <c r="F123" s="1852"/>
      <c r="G123" s="1852">
        <v>0.5</v>
      </c>
      <c r="H123" s="1852">
        <f t="shared" si="12"/>
        <v>5.52</v>
      </c>
      <c r="I123" s="1991"/>
    </row>
    <row r="124" spans="1:9" ht="30" customHeight="1">
      <c r="A124" s="815"/>
      <c r="B124" s="1992" t="s">
        <v>7544</v>
      </c>
      <c r="C124" s="815">
        <v>1</v>
      </c>
      <c r="D124" s="815">
        <v>2</v>
      </c>
      <c r="E124" s="1852">
        <v>1.36</v>
      </c>
      <c r="F124" s="1852"/>
      <c r="G124" s="1852">
        <v>0.7</v>
      </c>
      <c r="H124" s="1852">
        <f t="shared" si="12"/>
        <v>1.9</v>
      </c>
      <c r="I124" s="1201"/>
    </row>
    <row r="125" spans="1:9" ht="30" customHeight="1">
      <c r="A125" s="815"/>
      <c r="B125" s="1992" t="s">
        <v>7549</v>
      </c>
      <c r="C125" s="815">
        <v>1</v>
      </c>
      <c r="D125" s="815">
        <v>2</v>
      </c>
      <c r="E125" s="1852">
        <v>1.36</v>
      </c>
      <c r="F125" s="1852"/>
      <c r="G125" s="1852">
        <v>1.8</v>
      </c>
      <c r="H125" s="1852">
        <f t="shared" si="12"/>
        <v>4.9000000000000004</v>
      </c>
      <c r="I125" s="1201"/>
    </row>
    <row r="126" spans="1:9" ht="30" customHeight="1">
      <c r="A126" s="815"/>
      <c r="B126" s="1992"/>
      <c r="C126" s="815"/>
      <c r="D126" s="815"/>
      <c r="E126" s="1852"/>
      <c r="F126" s="1852"/>
      <c r="G126" s="1854" t="s">
        <v>2235</v>
      </c>
      <c r="H126" s="1854">
        <f>SUM(H121:H125)</f>
        <v>25.66</v>
      </c>
      <c r="I126" s="1991" t="s">
        <v>7131</v>
      </c>
    </row>
    <row r="127" spans="1:9" ht="98.25" customHeight="1">
      <c r="A127" s="815">
        <v>11</v>
      </c>
      <c r="B127" s="1282" t="s">
        <v>7550</v>
      </c>
      <c r="C127" s="1282"/>
      <c r="D127" s="1282"/>
      <c r="E127" s="1282"/>
      <c r="F127" s="2010"/>
      <c r="G127" s="1879"/>
      <c r="H127" s="2011"/>
      <c r="I127" s="2012"/>
    </row>
    <row r="128" spans="1:9" ht="28.5" customHeight="1">
      <c r="A128" s="815"/>
      <c r="B128" s="2013" t="s">
        <v>7551</v>
      </c>
      <c r="C128" s="815"/>
      <c r="D128" s="815"/>
      <c r="E128" s="2014"/>
      <c r="F128" s="1852"/>
      <c r="G128" s="1852"/>
      <c r="H128" s="1852"/>
      <c r="I128" s="1991"/>
    </row>
    <row r="129" spans="1:9" ht="28.5" customHeight="1">
      <c r="A129" s="815"/>
      <c r="B129" s="1992" t="s">
        <v>7552</v>
      </c>
      <c r="C129" s="867">
        <f>D90</f>
        <v>13</v>
      </c>
      <c r="D129" s="867">
        <v>2</v>
      </c>
      <c r="E129" s="867">
        <v>6</v>
      </c>
      <c r="F129" s="1992">
        <f>0.7+0.3</f>
        <v>1</v>
      </c>
      <c r="G129" s="1882">
        <v>0.61699999999999999</v>
      </c>
      <c r="H129" s="1852">
        <f t="shared" ref="H129:H135" si="13">PRODUCT(C129:G129)</f>
        <v>96.25</v>
      </c>
      <c r="I129" s="1991"/>
    </row>
    <row r="130" spans="1:9" ht="28.5" customHeight="1">
      <c r="A130" s="815"/>
      <c r="B130" s="1992" t="s">
        <v>7553</v>
      </c>
      <c r="C130" s="867">
        <f>D91</f>
        <v>3</v>
      </c>
      <c r="D130" s="867">
        <v>2</v>
      </c>
      <c r="E130" s="867">
        <v>7</v>
      </c>
      <c r="F130" s="1992">
        <v>1.35</v>
      </c>
      <c r="G130" s="1882">
        <v>0.61699999999999999</v>
      </c>
      <c r="H130" s="1852">
        <f t="shared" si="13"/>
        <v>34.979999999999997</v>
      </c>
      <c r="I130" s="1991"/>
    </row>
    <row r="131" spans="1:9" ht="28.5" customHeight="1">
      <c r="A131" s="815"/>
      <c r="B131" s="1992" t="s">
        <v>7554</v>
      </c>
      <c r="C131" s="867">
        <f>D92</f>
        <v>11</v>
      </c>
      <c r="D131" s="867">
        <v>2</v>
      </c>
      <c r="E131" s="867">
        <v>6</v>
      </c>
      <c r="F131" s="1992">
        <f>0.7+0.3</f>
        <v>1</v>
      </c>
      <c r="G131" s="1882">
        <v>0.61699999999999999</v>
      </c>
      <c r="H131" s="1852">
        <f>PRODUCT(C131:G131)</f>
        <v>81.44</v>
      </c>
      <c r="I131" s="1991"/>
    </row>
    <row r="132" spans="1:9" ht="28.5" customHeight="1">
      <c r="A132" s="815"/>
      <c r="B132" s="1992" t="s">
        <v>7553</v>
      </c>
      <c r="C132" s="867">
        <f>D93</f>
        <v>2</v>
      </c>
      <c r="D132" s="867">
        <v>2</v>
      </c>
      <c r="E132" s="867">
        <v>7</v>
      </c>
      <c r="F132" s="1992">
        <v>1.35</v>
      </c>
      <c r="G132" s="1882">
        <v>0.61699999999999999</v>
      </c>
      <c r="H132" s="1852">
        <f>PRODUCT(C132:G132)</f>
        <v>23.32</v>
      </c>
      <c r="I132" s="1991"/>
    </row>
    <row r="133" spans="1:9" ht="28.5" customHeight="1">
      <c r="A133" s="815"/>
      <c r="B133" s="1992" t="s">
        <v>7555</v>
      </c>
      <c r="C133" s="867">
        <f t="shared" ref="C133:C135" si="14">D94</f>
        <v>10</v>
      </c>
      <c r="D133" s="867">
        <v>2</v>
      </c>
      <c r="E133" s="867">
        <v>6</v>
      </c>
      <c r="F133" s="1992">
        <f>0.7+0.3</f>
        <v>1</v>
      </c>
      <c r="G133" s="1882">
        <v>0.61699999999999999</v>
      </c>
      <c r="H133" s="1852">
        <f t="shared" si="13"/>
        <v>74.040000000000006</v>
      </c>
      <c r="I133" s="1991"/>
    </row>
    <row r="134" spans="1:9" ht="28.5" customHeight="1">
      <c r="A134" s="815"/>
      <c r="B134" s="1992" t="s">
        <v>7553</v>
      </c>
      <c r="C134" s="867">
        <f t="shared" si="14"/>
        <v>2</v>
      </c>
      <c r="D134" s="867">
        <v>2</v>
      </c>
      <c r="E134" s="867">
        <v>7</v>
      </c>
      <c r="F134" s="1992">
        <v>1.35</v>
      </c>
      <c r="G134" s="1882">
        <v>0.61699999999999999</v>
      </c>
      <c r="H134" s="1852">
        <f t="shared" si="13"/>
        <v>23.32</v>
      </c>
      <c r="I134" s="1991"/>
    </row>
    <row r="135" spans="1:9" ht="42" customHeight="1">
      <c r="A135" s="815"/>
      <c r="B135" s="1992" t="s">
        <v>7556</v>
      </c>
      <c r="C135" s="867">
        <f t="shared" si="14"/>
        <v>2</v>
      </c>
      <c r="D135" s="867">
        <v>2</v>
      </c>
      <c r="E135" s="867">
        <v>7</v>
      </c>
      <c r="F135" s="1992">
        <v>1.35</v>
      </c>
      <c r="G135" s="1882">
        <v>0.61699999999999999</v>
      </c>
      <c r="H135" s="1852">
        <f t="shared" si="13"/>
        <v>23.32</v>
      </c>
      <c r="I135" s="1991"/>
    </row>
    <row r="136" spans="1:9" ht="26.25" customHeight="1">
      <c r="A136" s="815"/>
      <c r="B136" s="2015" t="s">
        <v>7557</v>
      </c>
      <c r="C136" s="867"/>
      <c r="D136" s="867"/>
      <c r="E136" s="2016"/>
      <c r="F136" s="1992"/>
      <c r="G136" s="1852"/>
      <c r="H136" s="1852"/>
      <c r="I136" s="1991"/>
    </row>
    <row r="137" spans="1:9" ht="26.25" customHeight="1">
      <c r="A137" s="815"/>
      <c r="B137" s="1992" t="s">
        <v>7558</v>
      </c>
      <c r="C137" s="867">
        <f>C129+3</f>
        <v>16</v>
      </c>
      <c r="D137" s="867">
        <v>4</v>
      </c>
      <c r="E137" s="867">
        <v>1</v>
      </c>
      <c r="F137" s="1992">
        <f>0.45+0.25+1+0.3</f>
        <v>2</v>
      </c>
      <c r="G137" s="1882">
        <v>0.88800000000000001</v>
      </c>
      <c r="H137" s="1852">
        <f t="shared" ref="H137:H152" si="15">PRODUCT(C137:G137)</f>
        <v>113.66</v>
      </c>
      <c r="I137" s="1991"/>
    </row>
    <row r="138" spans="1:9" ht="26.25" customHeight="1">
      <c r="A138" s="815"/>
      <c r="B138" s="1992" t="s">
        <v>7559</v>
      </c>
      <c r="C138" s="815">
        <f>C137</f>
        <v>16</v>
      </c>
      <c r="D138" s="815">
        <f>1.55/0.18</f>
        <v>9</v>
      </c>
      <c r="E138" s="815">
        <v>1</v>
      </c>
      <c r="F138" s="2017">
        <v>0.82</v>
      </c>
      <c r="G138" s="1882">
        <v>0.39500000000000002</v>
      </c>
      <c r="H138" s="1852">
        <f t="shared" si="15"/>
        <v>46.64</v>
      </c>
      <c r="I138" s="1991"/>
    </row>
    <row r="139" spans="1:9" ht="26.25" customHeight="1">
      <c r="A139" s="815"/>
      <c r="B139" s="1992" t="s">
        <v>7560</v>
      </c>
      <c r="C139" s="867">
        <f>C131+2</f>
        <v>13</v>
      </c>
      <c r="D139" s="867">
        <v>4</v>
      </c>
      <c r="E139" s="867">
        <v>1</v>
      </c>
      <c r="F139" s="1992">
        <v>2</v>
      </c>
      <c r="G139" s="1882">
        <v>0.88800000000000001</v>
      </c>
      <c r="H139" s="1852">
        <f>PRODUCT(C139:G139)</f>
        <v>92.35</v>
      </c>
      <c r="I139" s="1991"/>
    </row>
    <row r="140" spans="1:9" ht="26.25" customHeight="1">
      <c r="A140" s="815"/>
      <c r="B140" s="1992" t="s">
        <v>7559</v>
      </c>
      <c r="C140" s="815">
        <f>C139</f>
        <v>13</v>
      </c>
      <c r="D140" s="815">
        <f>1.55/0.18</f>
        <v>9</v>
      </c>
      <c r="E140" s="815">
        <v>1</v>
      </c>
      <c r="F140" s="2017">
        <v>0.82</v>
      </c>
      <c r="G140" s="1882">
        <v>0.39500000000000002</v>
      </c>
      <c r="H140" s="1852">
        <f>PRODUCT(C140:G140)</f>
        <v>37.9</v>
      </c>
      <c r="I140" s="1991"/>
    </row>
    <row r="141" spans="1:9" ht="26.25" customHeight="1">
      <c r="A141" s="815"/>
      <c r="B141" s="1992" t="s">
        <v>7561</v>
      </c>
      <c r="C141" s="867">
        <f>C133+2</f>
        <v>12</v>
      </c>
      <c r="D141" s="867">
        <v>4</v>
      </c>
      <c r="E141" s="867">
        <v>1</v>
      </c>
      <c r="F141" s="1992">
        <v>2</v>
      </c>
      <c r="G141" s="1882">
        <v>0.88800000000000001</v>
      </c>
      <c r="H141" s="1852">
        <f t="shared" si="15"/>
        <v>85.25</v>
      </c>
      <c r="I141" s="1991"/>
    </row>
    <row r="142" spans="1:9" ht="26.25" customHeight="1">
      <c r="A142" s="815"/>
      <c r="B142" s="1992" t="s">
        <v>7559</v>
      </c>
      <c r="C142" s="815">
        <f>C141</f>
        <v>12</v>
      </c>
      <c r="D142" s="815">
        <f>1.55/0.18</f>
        <v>9</v>
      </c>
      <c r="E142" s="815">
        <v>1</v>
      </c>
      <c r="F142" s="2017">
        <v>0.82</v>
      </c>
      <c r="G142" s="1882">
        <v>0.39500000000000002</v>
      </c>
      <c r="H142" s="1852">
        <f t="shared" si="15"/>
        <v>34.979999999999997</v>
      </c>
      <c r="I142" s="1991"/>
    </row>
    <row r="143" spans="1:9" ht="26.25" customHeight="1">
      <c r="A143" s="815"/>
      <c r="B143" s="1992" t="s">
        <v>7562</v>
      </c>
      <c r="C143" s="867">
        <v>2</v>
      </c>
      <c r="D143" s="867">
        <v>8</v>
      </c>
      <c r="E143" s="867">
        <v>1</v>
      </c>
      <c r="F143" s="1992">
        <v>4.8</v>
      </c>
      <c r="G143" s="1882">
        <v>0.88800000000000001</v>
      </c>
      <c r="H143" s="1852">
        <f t="shared" si="15"/>
        <v>68.2</v>
      </c>
      <c r="I143" s="1991"/>
    </row>
    <row r="144" spans="1:9" ht="26.25" customHeight="1">
      <c r="A144" s="815"/>
      <c r="B144" s="1992" t="s">
        <v>7559</v>
      </c>
      <c r="C144" s="815">
        <v>2</v>
      </c>
      <c r="D144" s="815">
        <f>4.35/0.18</f>
        <v>24</v>
      </c>
      <c r="E144" s="815">
        <v>1</v>
      </c>
      <c r="F144" s="2017">
        <v>1.42</v>
      </c>
      <c r="G144" s="1882">
        <v>0.39500000000000002</v>
      </c>
      <c r="H144" s="1852">
        <f t="shared" si="15"/>
        <v>26.92</v>
      </c>
      <c r="I144" s="1991"/>
    </row>
    <row r="145" spans="1:9" ht="26.25" customHeight="1">
      <c r="A145" s="815"/>
      <c r="B145" s="1992" t="s">
        <v>7563</v>
      </c>
      <c r="C145" s="815">
        <v>2</v>
      </c>
      <c r="D145" s="815">
        <v>2</v>
      </c>
      <c r="E145" s="815">
        <v>1</v>
      </c>
      <c r="F145" s="2017">
        <f>E101</f>
        <v>38</v>
      </c>
      <c r="G145" s="1882">
        <v>0.88800000000000001</v>
      </c>
      <c r="H145" s="1852">
        <f t="shared" si="15"/>
        <v>134.97999999999999</v>
      </c>
      <c r="I145" s="1991"/>
    </row>
    <row r="146" spans="1:9" ht="26.25" customHeight="1">
      <c r="A146" s="815"/>
      <c r="B146" s="1992" t="s">
        <v>7564</v>
      </c>
      <c r="C146" s="815">
        <v>1</v>
      </c>
      <c r="D146" s="815">
        <v>1</v>
      </c>
      <c r="E146" s="815">
        <f>F145/0.18</f>
        <v>211</v>
      </c>
      <c r="F146" s="2017">
        <v>0.82</v>
      </c>
      <c r="G146" s="1882">
        <v>0.39500000000000002</v>
      </c>
      <c r="H146" s="1852">
        <f t="shared" si="15"/>
        <v>68.34</v>
      </c>
      <c r="I146" s="1991"/>
    </row>
    <row r="147" spans="1:9" ht="26.25" customHeight="1">
      <c r="A147" s="815"/>
      <c r="B147" s="1992" t="s">
        <v>7565</v>
      </c>
      <c r="C147" s="815">
        <v>2</v>
      </c>
      <c r="D147" s="815">
        <v>2</v>
      </c>
      <c r="E147" s="815">
        <f>F145/12</f>
        <v>3</v>
      </c>
      <c r="F147" s="2017">
        <v>0.6</v>
      </c>
      <c r="G147" s="1882">
        <v>0.88800000000000001</v>
      </c>
      <c r="H147" s="1852">
        <f t="shared" si="15"/>
        <v>6.39</v>
      </c>
      <c r="I147" s="1991"/>
    </row>
    <row r="148" spans="1:9" ht="26.25" customHeight="1">
      <c r="A148" s="815"/>
      <c r="B148" s="1992" t="s">
        <v>7566</v>
      </c>
      <c r="C148" s="815">
        <v>2</v>
      </c>
      <c r="D148" s="815">
        <v>2</v>
      </c>
      <c r="E148" s="815">
        <v>1</v>
      </c>
      <c r="F148" s="2017">
        <f>E102</f>
        <v>33</v>
      </c>
      <c r="G148" s="1882">
        <v>0.88800000000000001</v>
      </c>
      <c r="H148" s="1852">
        <f t="shared" si="15"/>
        <v>117.22</v>
      </c>
      <c r="I148" s="1991"/>
    </row>
    <row r="149" spans="1:9" ht="26.25" customHeight="1">
      <c r="A149" s="815"/>
      <c r="B149" s="1992" t="s">
        <v>7564</v>
      </c>
      <c r="C149" s="815">
        <v>1</v>
      </c>
      <c r="D149" s="815">
        <v>1</v>
      </c>
      <c r="E149" s="815">
        <f>F148/0.18</f>
        <v>183</v>
      </c>
      <c r="F149" s="2017">
        <v>0.82</v>
      </c>
      <c r="G149" s="1882">
        <v>0.39500000000000002</v>
      </c>
      <c r="H149" s="1852">
        <f t="shared" si="15"/>
        <v>59.27</v>
      </c>
      <c r="I149" s="1991"/>
    </row>
    <row r="150" spans="1:9" ht="26.25" customHeight="1">
      <c r="A150" s="815"/>
      <c r="B150" s="1992" t="s">
        <v>7565</v>
      </c>
      <c r="C150" s="815">
        <v>2</v>
      </c>
      <c r="D150" s="815">
        <v>2</v>
      </c>
      <c r="E150" s="815">
        <f>F148/12</f>
        <v>3</v>
      </c>
      <c r="F150" s="2017">
        <v>0.6</v>
      </c>
      <c r="G150" s="1882">
        <v>0.88800000000000001</v>
      </c>
      <c r="H150" s="1852">
        <f t="shared" si="15"/>
        <v>6.39</v>
      </c>
      <c r="I150" s="1991"/>
    </row>
    <row r="151" spans="1:9" ht="26.25" customHeight="1">
      <c r="A151" s="815"/>
      <c r="B151" s="1992" t="s">
        <v>7567</v>
      </c>
      <c r="C151" s="815">
        <v>2</v>
      </c>
      <c r="D151" s="815">
        <v>2</v>
      </c>
      <c r="E151" s="815">
        <v>1</v>
      </c>
      <c r="F151" s="2017">
        <f>E103</f>
        <v>30</v>
      </c>
      <c r="G151" s="1882">
        <v>0.88800000000000001</v>
      </c>
      <c r="H151" s="1852">
        <f t="shared" si="15"/>
        <v>106.56</v>
      </c>
      <c r="I151" s="1991"/>
    </row>
    <row r="152" spans="1:9" ht="26.25" customHeight="1">
      <c r="A152" s="815"/>
      <c r="B152" s="1992" t="s">
        <v>7564</v>
      </c>
      <c r="C152" s="815">
        <v>1</v>
      </c>
      <c r="D152" s="815">
        <v>1</v>
      </c>
      <c r="E152" s="815">
        <f>F151/0.18</f>
        <v>167</v>
      </c>
      <c r="F152" s="2017">
        <v>0.82</v>
      </c>
      <c r="G152" s="1882">
        <v>0.39500000000000002</v>
      </c>
      <c r="H152" s="1852">
        <f t="shared" si="15"/>
        <v>54.09</v>
      </c>
      <c r="I152" s="1991"/>
    </row>
    <row r="153" spans="1:9" ht="26.25" customHeight="1">
      <c r="A153" s="815"/>
      <c r="B153" s="1992" t="s">
        <v>7565</v>
      </c>
      <c r="C153" s="815">
        <v>2</v>
      </c>
      <c r="D153" s="815">
        <v>2</v>
      </c>
      <c r="E153" s="815">
        <f>F151/12</f>
        <v>3</v>
      </c>
      <c r="F153" s="2017">
        <v>0.6</v>
      </c>
      <c r="G153" s="1882">
        <v>0.88800000000000001</v>
      </c>
      <c r="H153" s="1852">
        <f>PRODUCT(C153:G153)</f>
        <v>6.39</v>
      </c>
      <c r="I153" s="1991"/>
    </row>
    <row r="154" spans="1:9" ht="26.25" customHeight="1">
      <c r="A154" s="815"/>
      <c r="B154" s="1992"/>
      <c r="C154" s="815"/>
      <c r="D154" s="815"/>
      <c r="E154" s="815"/>
      <c r="F154" s="2017"/>
      <c r="G154" s="1854" t="s">
        <v>2235</v>
      </c>
      <c r="H154" s="1852">
        <f>SUM(H128:H153)</f>
        <v>1422.2</v>
      </c>
      <c r="I154" s="1991"/>
    </row>
    <row r="155" spans="1:9" ht="31.5" customHeight="1">
      <c r="A155" s="815"/>
      <c r="B155" s="1992"/>
      <c r="C155" s="815"/>
      <c r="D155" s="815"/>
      <c r="E155" s="1852"/>
      <c r="F155" s="1852"/>
      <c r="G155" s="1854" t="s">
        <v>4209</v>
      </c>
      <c r="H155" s="1892">
        <f>H154/1000</f>
        <v>1.4219999999999999</v>
      </c>
      <c r="I155" s="1991" t="s">
        <v>525</v>
      </c>
    </row>
    <row r="156" spans="1:9" ht="153" customHeight="1">
      <c r="A156" s="1995">
        <v>12</v>
      </c>
      <c r="B156" s="2018" t="s">
        <v>7568</v>
      </c>
      <c r="C156" s="2018"/>
      <c r="D156" s="2018"/>
      <c r="E156" s="2018"/>
      <c r="F156" s="2018"/>
      <c r="G156" s="2019"/>
      <c r="H156" s="2020"/>
      <c r="I156" s="2021"/>
    </row>
    <row r="157" spans="1:9" ht="30" customHeight="1">
      <c r="A157" s="1995"/>
      <c r="B157" s="1992" t="s">
        <v>7569</v>
      </c>
      <c r="C157" s="2000">
        <v>1</v>
      </c>
      <c r="D157" s="2000">
        <v>1</v>
      </c>
      <c r="E157" s="828">
        <f>H79</f>
        <v>364.34</v>
      </c>
      <c r="F157" s="828"/>
      <c r="G157" s="828"/>
      <c r="H157" s="1852">
        <f>PRODUCT(C157:G157)</f>
        <v>364.34</v>
      </c>
      <c r="I157" s="1201"/>
    </row>
    <row r="158" spans="1:9" ht="30" customHeight="1">
      <c r="A158" s="815"/>
      <c r="B158" s="1992"/>
      <c r="C158" s="815"/>
      <c r="D158" s="815"/>
      <c r="E158" s="1852"/>
      <c r="F158" s="1852"/>
      <c r="G158" s="1854" t="s">
        <v>2235</v>
      </c>
      <c r="H158" s="1854">
        <f>SUM(H157:H157)</f>
        <v>364.34</v>
      </c>
      <c r="I158" s="1991" t="s">
        <v>7131</v>
      </c>
    </row>
    <row r="159" spans="1:9" ht="72.75" customHeight="1">
      <c r="A159" s="815">
        <v>13</v>
      </c>
      <c r="B159" s="1990" t="s">
        <v>7570</v>
      </c>
      <c r="C159" s="1990"/>
      <c r="D159" s="1990"/>
      <c r="E159" s="1990"/>
      <c r="F159" s="2022" t="s">
        <v>7571</v>
      </c>
      <c r="G159" s="2009"/>
      <c r="H159" s="1852"/>
      <c r="I159" s="1991"/>
    </row>
    <row r="160" spans="1:9" ht="26.25" customHeight="1">
      <c r="A160" s="815"/>
      <c r="B160" s="1992" t="s">
        <v>7572</v>
      </c>
      <c r="C160" s="815">
        <v>1</v>
      </c>
      <c r="D160" s="815">
        <v>1</v>
      </c>
      <c r="E160" s="1852">
        <v>6</v>
      </c>
      <c r="F160" s="1852">
        <v>45</v>
      </c>
      <c r="G160" s="1852">
        <v>1.5</v>
      </c>
      <c r="H160" s="1852">
        <f>PRODUCT(C160:G160)</f>
        <v>405</v>
      </c>
      <c r="I160" s="1991"/>
    </row>
    <row r="161" spans="1:9" ht="30" customHeight="1">
      <c r="A161" s="815"/>
      <c r="B161" s="1992"/>
      <c r="C161" s="815"/>
      <c r="D161" s="815"/>
      <c r="E161" s="1852"/>
      <c r="F161" s="1852"/>
      <c r="G161" s="1854" t="s">
        <v>2235</v>
      </c>
      <c r="H161" s="1854">
        <f>SUM(H160:H160)</f>
        <v>405</v>
      </c>
      <c r="I161" s="1998" t="s">
        <v>7454</v>
      </c>
    </row>
    <row r="162" spans="1:9" ht="115.5" customHeight="1">
      <c r="A162" s="815">
        <v>14</v>
      </c>
      <c r="B162" s="1990" t="s">
        <v>7573</v>
      </c>
      <c r="C162" s="1990"/>
      <c r="D162" s="1990"/>
      <c r="E162" s="1990"/>
      <c r="F162" s="2023" t="s">
        <v>6139</v>
      </c>
      <c r="G162" s="2009"/>
      <c r="H162" s="1852"/>
      <c r="I162" s="1991"/>
    </row>
    <row r="163" spans="1:9" ht="29.25" customHeight="1">
      <c r="A163" s="815"/>
      <c r="B163" s="1992" t="s">
        <v>7572</v>
      </c>
      <c r="C163" s="815">
        <v>1</v>
      </c>
      <c r="D163" s="815">
        <v>1</v>
      </c>
      <c r="E163" s="1852">
        <v>6</v>
      </c>
      <c r="F163" s="1852">
        <v>1.25</v>
      </c>
      <c r="G163" s="1852">
        <v>1.5</v>
      </c>
      <c r="H163" s="1852">
        <f>PRODUCT(C163:G163)</f>
        <v>11.25</v>
      </c>
      <c r="I163" s="1991"/>
    </row>
    <row r="164" spans="1:9" ht="30" customHeight="1">
      <c r="A164" s="815"/>
      <c r="B164" s="1992"/>
      <c r="C164" s="815"/>
      <c r="D164" s="815"/>
      <c r="E164" s="1852"/>
      <c r="F164" s="1852"/>
      <c r="G164" s="1854" t="s">
        <v>2235</v>
      </c>
      <c r="H164" s="1854">
        <f>SUM(H163:H163)</f>
        <v>11.25</v>
      </c>
      <c r="I164" s="2024" t="s">
        <v>4467</v>
      </c>
    </row>
    <row r="165" spans="1:9" s="2029" customFormat="1" ht="115.5" customHeight="1">
      <c r="A165" s="1570">
        <v>15</v>
      </c>
      <c r="B165" s="2025" t="s">
        <v>6564</v>
      </c>
      <c r="C165" s="2026"/>
      <c r="D165" s="2026"/>
      <c r="E165" s="2026"/>
      <c r="F165" s="2027"/>
      <c r="G165" s="2028"/>
      <c r="H165" s="2028"/>
      <c r="I165" s="2028"/>
    </row>
    <row r="166" spans="1:9" s="2029" customFormat="1" ht="31.5" customHeight="1">
      <c r="A166" s="2030"/>
      <c r="B166" s="2031" t="s">
        <v>7574</v>
      </c>
      <c r="C166" s="1570">
        <v>1</v>
      </c>
      <c r="D166" s="1569">
        <f>D110+D112+D114</f>
        <v>7</v>
      </c>
      <c r="E166" s="1570">
        <v>0.23</v>
      </c>
      <c r="F166" s="2024"/>
      <c r="G166" s="2024">
        <f>1.5+0.3+0.5+0.23</f>
        <v>2.5299999999999998</v>
      </c>
      <c r="H166" s="1854">
        <f>PRODUCT(C166:G166)</f>
        <v>4.07</v>
      </c>
      <c r="I166" s="2024" t="s">
        <v>4467</v>
      </c>
    </row>
    <row r="167" spans="1:9" s="2029" customFormat="1" ht="71.25" customHeight="1">
      <c r="A167" s="1570">
        <f>A165+1</f>
        <v>16</v>
      </c>
      <c r="B167" s="2032" t="s">
        <v>6997</v>
      </c>
      <c r="C167" s="2032"/>
      <c r="D167" s="2032"/>
      <c r="E167" s="2032"/>
      <c r="F167" s="2032"/>
      <c r="G167" s="2024"/>
      <c r="H167" s="1854"/>
      <c r="I167" s="2024"/>
    </row>
    <row r="168" spans="1:9" s="2029" customFormat="1" ht="31.5" customHeight="1">
      <c r="A168" s="2030"/>
      <c r="B168" s="2031" t="s">
        <v>7575</v>
      </c>
      <c r="C168" s="1570">
        <v>1</v>
      </c>
      <c r="D168" s="1569">
        <v>2</v>
      </c>
      <c r="E168" s="1570"/>
      <c r="F168" s="2024"/>
      <c r="G168" s="2024"/>
      <c r="H168" s="1854">
        <f>PRODUCT(C168:G168)</f>
        <v>2</v>
      </c>
      <c r="I168" s="2024" t="s">
        <v>1427</v>
      </c>
    </row>
    <row r="169" spans="1:9" ht="30" customHeight="1">
      <c r="A169" s="2033"/>
      <c r="B169" s="2034"/>
      <c r="C169" s="2035"/>
      <c r="D169" s="2035"/>
      <c r="F169" s="2037"/>
      <c r="G169" s="2038"/>
      <c r="H169" s="2038"/>
    </row>
    <row r="170" spans="1:9" ht="30" customHeight="1">
      <c r="A170" s="2033"/>
      <c r="B170" s="2034"/>
      <c r="C170" s="2035"/>
      <c r="D170" s="2035"/>
      <c r="F170" s="2037"/>
      <c r="G170" s="2038"/>
      <c r="H170" s="2038"/>
    </row>
    <row r="171" spans="1:9" ht="30" customHeight="1">
      <c r="A171" s="2033"/>
      <c r="B171" s="2034"/>
      <c r="C171" s="2035"/>
      <c r="D171" s="2035"/>
      <c r="F171" s="2037"/>
      <c r="G171" s="2038"/>
      <c r="H171" s="2038"/>
    </row>
    <row r="172" spans="1:9" ht="27" customHeight="1">
      <c r="A172" s="2039" t="s">
        <v>7576</v>
      </c>
      <c r="B172" s="2039"/>
      <c r="C172" s="2039"/>
      <c r="D172" s="2039"/>
      <c r="E172" s="2039"/>
      <c r="F172" s="2039"/>
      <c r="G172" s="2039"/>
      <c r="H172" s="2039"/>
      <c r="I172" s="2039"/>
    </row>
    <row r="175" spans="1:9" ht="48.75" customHeight="1">
      <c r="A175" s="1979"/>
      <c r="B175" s="1979"/>
      <c r="C175" s="1979"/>
      <c r="D175" s="1979"/>
      <c r="E175" s="1979"/>
      <c r="F175" s="1979"/>
      <c r="G175" s="1979"/>
      <c r="H175" s="1979"/>
      <c r="I175" s="1979"/>
    </row>
  </sheetData>
  <mergeCells count="24">
    <mergeCell ref="B159:E159"/>
    <mergeCell ref="B162:E162"/>
    <mergeCell ref="B165:F165"/>
    <mergeCell ref="B167:F167"/>
    <mergeCell ref="A172:I172"/>
    <mergeCell ref="A175:I175"/>
    <mergeCell ref="B88:G88"/>
    <mergeCell ref="B107:G107"/>
    <mergeCell ref="B108:D108"/>
    <mergeCell ref="B120:D120"/>
    <mergeCell ref="B127:E127"/>
    <mergeCell ref="B156:F156"/>
    <mergeCell ref="B30:F30"/>
    <mergeCell ref="B42:E42"/>
    <mergeCell ref="B49:F49"/>
    <mergeCell ref="B57:F57"/>
    <mergeCell ref="B66:E66"/>
    <mergeCell ref="B80:E80"/>
    <mergeCell ref="A1:I1"/>
    <mergeCell ref="A2:I2"/>
    <mergeCell ref="A3:I3"/>
    <mergeCell ref="C5:D5"/>
    <mergeCell ref="B6:F6"/>
    <mergeCell ref="B18:F18"/>
  </mergeCells>
  <pageMargins left="0.54" right="0.25" top="0.52" bottom="0.46" header="0.16" footer="0.28999999999999998"/>
  <pageSetup paperSize="9" scale="85" orientation="portrait" verticalDpi="300" r:id="rId1"/>
  <headerFooter>
    <oddHeader>&amp;C&amp;P</oddHead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A1:IV86"/>
  <sheetViews>
    <sheetView view="pageBreakPreview" zoomScale="96" zoomScaleSheetLayoutView="96" workbookViewId="0">
      <selection activeCell="B27" sqref="B27"/>
    </sheetView>
  </sheetViews>
  <sheetFormatPr defaultRowHeight="15.75"/>
  <cols>
    <col min="1" max="1" width="6.21875" style="2114" customWidth="1"/>
    <col min="2" max="2" width="31.77734375" style="2043" customWidth="1"/>
    <col min="3" max="4" width="5.44140625" style="2043" customWidth="1"/>
    <col min="5" max="7" width="8.88671875" style="2043"/>
    <col min="8" max="8" width="8.77734375" style="2043" customWidth="1"/>
    <col min="9" max="9" width="4" style="2115" customWidth="1"/>
    <col min="10" max="256" width="8.88671875" style="2043"/>
    <col min="257" max="257" width="6.21875" style="2043" customWidth="1"/>
    <col min="258" max="258" width="28.21875" style="2043" customWidth="1"/>
    <col min="259" max="260" width="5.44140625" style="2043" customWidth="1"/>
    <col min="261" max="263" width="8.88671875" style="2043"/>
    <col min="264" max="264" width="8.77734375" style="2043" customWidth="1"/>
    <col min="265" max="265" width="4" style="2043" customWidth="1"/>
    <col min="266" max="512" width="8.88671875" style="2043"/>
    <col min="513" max="513" width="6.21875" style="2043" customWidth="1"/>
    <col min="514" max="514" width="28.21875" style="2043" customWidth="1"/>
    <col min="515" max="516" width="5.44140625" style="2043" customWidth="1"/>
    <col min="517" max="519" width="8.88671875" style="2043"/>
    <col min="520" max="520" width="8.77734375" style="2043" customWidth="1"/>
    <col min="521" max="521" width="4" style="2043" customWidth="1"/>
    <col min="522" max="768" width="8.88671875" style="2043"/>
    <col min="769" max="769" width="6.21875" style="2043" customWidth="1"/>
    <col min="770" max="770" width="28.21875" style="2043" customWidth="1"/>
    <col min="771" max="772" width="5.44140625" style="2043" customWidth="1"/>
    <col min="773" max="775" width="8.88671875" style="2043"/>
    <col min="776" max="776" width="8.77734375" style="2043" customWidth="1"/>
    <col min="777" max="777" width="4" style="2043" customWidth="1"/>
    <col min="778" max="1024" width="8.88671875" style="2043"/>
    <col min="1025" max="1025" width="6.21875" style="2043" customWidth="1"/>
    <col min="1026" max="1026" width="28.21875" style="2043" customWidth="1"/>
    <col min="1027" max="1028" width="5.44140625" style="2043" customWidth="1"/>
    <col min="1029" max="1031" width="8.88671875" style="2043"/>
    <col min="1032" max="1032" width="8.77734375" style="2043" customWidth="1"/>
    <col min="1033" max="1033" width="4" style="2043" customWidth="1"/>
    <col min="1034" max="1280" width="8.88671875" style="2043"/>
    <col min="1281" max="1281" width="6.21875" style="2043" customWidth="1"/>
    <col min="1282" max="1282" width="28.21875" style="2043" customWidth="1"/>
    <col min="1283" max="1284" width="5.44140625" style="2043" customWidth="1"/>
    <col min="1285" max="1287" width="8.88671875" style="2043"/>
    <col min="1288" max="1288" width="8.77734375" style="2043" customWidth="1"/>
    <col min="1289" max="1289" width="4" style="2043" customWidth="1"/>
    <col min="1290" max="1536" width="8.88671875" style="2043"/>
    <col min="1537" max="1537" width="6.21875" style="2043" customWidth="1"/>
    <col min="1538" max="1538" width="28.21875" style="2043" customWidth="1"/>
    <col min="1539" max="1540" width="5.44140625" style="2043" customWidth="1"/>
    <col min="1541" max="1543" width="8.88671875" style="2043"/>
    <col min="1544" max="1544" width="8.77734375" style="2043" customWidth="1"/>
    <col min="1545" max="1545" width="4" style="2043" customWidth="1"/>
    <col min="1546" max="1792" width="8.88671875" style="2043"/>
    <col min="1793" max="1793" width="6.21875" style="2043" customWidth="1"/>
    <col min="1794" max="1794" width="28.21875" style="2043" customWidth="1"/>
    <col min="1795" max="1796" width="5.44140625" style="2043" customWidth="1"/>
    <col min="1797" max="1799" width="8.88671875" style="2043"/>
    <col min="1800" max="1800" width="8.77734375" style="2043" customWidth="1"/>
    <col min="1801" max="1801" width="4" style="2043" customWidth="1"/>
    <col min="1802" max="2048" width="8.88671875" style="2043"/>
    <col min="2049" max="2049" width="6.21875" style="2043" customWidth="1"/>
    <col min="2050" max="2050" width="28.21875" style="2043" customWidth="1"/>
    <col min="2051" max="2052" width="5.44140625" style="2043" customWidth="1"/>
    <col min="2053" max="2055" width="8.88671875" style="2043"/>
    <col min="2056" max="2056" width="8.77734375" style="2043" customWidth="1"/>
    <col min="2057" max="2057" width="4" style="2043" customWidth="1"/>
    <col min="2058" max="2304" width="8.88671875" style="2043"/>
    <col min="2305" max="2305" width="6.21875" style="2043" customWidth="1"/>
    <col min="2306" max="2306" width="28.21875" style="2043" customWidth="1"/>
    <col min="2307" max="2308" width="5.44140625" style="2043" customWidth="1"/>
    <col min="2309" max="2311" width="8.88671875" style="2043"/>
    <col min="2312" max="2312" width="8.77734375" style="2043" customWidth="1"/>
    <col min="2313" max="2313" width="4" style="2043" customWidth="1"/>
    <col min="2314" max="2560" width="8.88671875" style="2043"/>
    <col min="2561" max="2561" width="6.21875" style="2043" customWidth="1"/>
    <col min="2562" max="2562" width="28.21875" style="2043" customWidth="1"/>
    <col min="2563" max="2564" width="5.44140625" style="2043" customWidth="1"/>
    <col min="2565" max="2567" width="8.88671875" style="2043"/>
    <col min="2568" max="2568" width="8.77734375" style="2043" customWidth="1"/>
    <col min="2569" max="2569" width="4" style="2043" customWidth="1"/>
    <col min="2570" max="2816" width="8.88671875" style="2043"/>
    <col min="2817" max="2817" width="6.21875" style="2043" customWidth="1"/>
    <col min="2818" max="2818" width="28.21875" style="2043" customWidth="1"/>
    <col min="2819" max="2820" width="5.44140625" style="2043" customWidth="1"/>
    <col min="2821" max="2823" width="8.88671875" style="2043"/>
    <col min="2824" max="2824" width="8.77734375" style="2043" customWidth="1"/>
    <col min="2825" max="2825" width="4" style="2043" customWidth="1"/>
    <col min="2826" max="3072" width="8.88671875" style="2043"/>
    <col min="3073" max="3073" width="6.21875" style="2043" customWidth="1"/>
    <col min="3074" max="3074" width="28.21875" style="2043" customWidth="1"/>
    <col min="3075" max="3076" width="5.44140625" style="2043" customWidth="1"/>
    <col min="3077" max="3079" width="8.88671875" style="2043"/>
    <col min="3080" max="3080" width="8.77734375" style="2043" customWidth="1"/>
    <col min="3081" max="3081" width="4" style="2043" customWidth="1"/>
    <col min="3082" max="3328" width="8.88671875" style="2043"/>
    <col min="3329" max="3329" width="6.21875" style="2043" customWidth="1"/>
    <col min="3330" max="3330" width="28.21875" style="2043" customWidth="1"/>
    <col min="3331" max="3332" width="5.44140625" style="2043" customWidth="1"/>
    <col min="3333" max="3335" width="8.88671875" style="2043"/>
    <col min="3336" max="3336" width="8.77734375" style="2043" customWidth="1"/>
    <col min="3337" max="3337" width="4" style="2043" customWidth="1"/>
    <col min="3338" max="3584" width="8.88671875" style="2043"/>
    <col min="3585" max="3585" width="6.21875" style="2043" customWidth="1"/>
    <col min="3586" max="3586" width="28.21875" style="2043" customWidth="1"/>
    <col min="3587" max="3588" width="5.44140625" style="2043" customWidth="1"/>
    <col min="3589" max="3591" width="8.88671875" style="2043"/>
    <col min="3592" max="3592" width="8.77734375" style="2043" customWidth="1"/>
    <col min="3593" max="3593" width="4" style="2043" customWidth="1"/>
    <col min="3594" max="3840" width="8.88671875" style="2043"/>
    <col min="3841" max="3841" width="6.21875" style="2043" customWidth="1"/>
    <col min="3842" max="3842" width="28.21875" style="2043" customWidth="1"/>
    <col min="3843" max="3844" width="5.44140625" style="2043" customWidth="1"/>
    <col min="3845" max="3847" width="8.88671875" style="2043"/>
    <col min="3848" max="3848" width="8.77734375" style="2043" customWidth="1"/>
    <col min="3849" max="3849" width="4" style="2043" customWidth="1"/>
    <col min="3850" max="4096" width="8.88671875" style="2043"/>
    <col min="4097" max="4097" width="6.21875" style="2043" customWidth="1"/>
    <col min="4098" max="4098" width="28.21875" style="2043" customWidth="1"/>
    <col min="4099" max="4100" width="5.44140625" style="2043" customWidth="1"/>
    <col min="4101" max="4103" width="8.88671875" style="2043"/>
    <col min="4104" max="4104" width="8.77734375" style="2043" customWidth="1"/>
    <col min="4105" max="4105" width="4" style="2043" customWidth="1"/>
    <col min="4106" max="4352" width="8.88671875" style="2043"/>
    <col min="4353" max="4353" width="6.21875" style="2043" customWidth="1"/>
    <col min="4354" max="4354" width="28.21875" style="2043" customWidth="1"/>
    <col min="4355" max="4356" width="5.44140625" style="2043" customWidth="1"/>
    <col min="4357" max="4359" width="8.88671875" style="2043"/>
    <col min="4360" max="4360" width="8.77734375" style="2043" customWidth="1"/>
    <col min="4361" max="4361" width="4" style="2043" customWidth="1"/>
    <col min="4362" max="4608" width="8.88671875" style="2043"/>
    <col min="4609" max="4609" width="6.21875" style="2043" customWidth="1"/>
    <col min="4610" max="4610" width="28.21875" style="2043" customWidth="1"/>
    <col min="4611" max="4612" width="5.44140625" style="2043" customWidth="1"/>
    <col min="4613" max="4615" width="8.88671875" style="2043"/>
    <col min="4616" max="4616" width="8.77734375" style="2043" customWidth="1"/>
    <col min="4617" max="4617" width="4" style="2043" customWidth="1"/>
    <col min="4618" max="4864" width="8.88671875" style="2043"/>
    <col min="4865" max="4865" width="6.21875" style="2043" customWidth="1"/>
    <col min="4866" max="4866" width="28.21875" style="2043" customWidth="1"/>
    <col min="4867" max="4868" width="5.44140625" style="2043" customWidth="1"/>
    <col min="4869" max="4871" width="8.88671875" style="2043"/>
    <col min="4872" max="4872" width="8.77734375" style="2043" customWidth="1"/>
    <col min="4873" max="4873" width="4" style="2043" customWidth="1"/>
    <col min="4874" max="5120" width="8.88671875" style="2043"/>
    <col min="5121" max="5121" width="6.21875" style="2043" customWidth="1"/>
    <col min="5122" max="5122" width="28.21875" style="2043" customWidth="1"/>
    <col min="5123" max="5124" width="5.44140625" style="2043" customWidth="1"/>
    <col min="5125" max="5127" width="8.88671875" style="2043"/>
    <col min="5128" max="5128" width="8.77734375" style="2043" customWidth="1"/>
    <col min="5129" max="5129" width="4" style="2043" customWidth="1"/>
    <col min="5130" max="5376" width="8.88671875" style="2043"/>
    <col min="5377" max="5377" width="6.21875" style="2043" customWidth="1"/>
    <col min="5378" max="5378" width="28.21875" style="2043" customWidth="1"/>
    <col min="5379" max="5380" width="5.44140625" style="2043" customWidth="1"/>
    <col min="5381" max="5383" width="8.88671875" style="2043"/>
    <col min="5384" max="5384" width="8.77734375" style="2043" customWidth="1"/>
    <col min="5385" max="5385" width="4" style="2043" customWidth="1"/>
    <col min="5386" max="5632" width="8.88671875" style="2043"/>
    <col min="5633" max="5633" width="6.21875" style="2043" customWidth="1"/>
    <col min="5634" max="5634" width="28.21875" style="2043" customWidth="1"/>
    <col min="5635" max="5636" width="5.44140625" style="2043" customWidth="1"/>
    <col min="5637" max="5639" width="8.88671875" style="2043"/>
    <col min="5640" max="5640" width="8.77734375" style="2043" customWidth="1"/>
    <col min="5641" max="5641" width="4" style="2043" customWidth="1"/>
    <col min="5642" max="5888" width="8.88671875" style="2043"/>
    <col min="5889" max="5889" width="6.21875" style="2043" customWidth="1"/>
    <col min="5890" max="5890" width="28.21875" style="2043" customWidth="1"/>
    <col min="5891" max="5892" width="5.44140625" style="2043" customWidth="1"/>
    <col min="5893" max="5895" width="8.88671875" style="2043"/>
    <col min="5896" max="5896" width="8.77734375" style="2043" customWidth="1"/>
    <col min="5897" max="5897" width="4" style="2043" customWidth="1"/>
    <col min="5898" max="6144" width="8.88671875" style="2043"/>
    <col min="6145" max="6145" width="6.21875" style="2043" customWidth="1"/>
    <col min="6146" max="6146" width="28.21875" style="2043" customWidth="1"/>
    <col min="6147" max="6148" width="5.44140625" style="2043" customWidth="1"/>
    <col min="6149" max="6151" width="8.88671875" style="2043"/>
    <col min="6152" max="6152" width="8.77734375" style="2043" customWidth="1"/>
    <col min="6153" max="6153" width="4" style="2043" customWidth="1"/>
    <col min="6154" max="6400" width="8.88671875" style="2043"/>
    <col min="6401" max="6401" width="6.21875" style="2043" customWidth="1"/>
    <col min="6402" max="6402" width="28.21875" style="2043" customWidth="1"/>
    <col min="6403" max="6404" width="5.44140625" style="2043" customWidth="1"/>
    <col min="6405" max="6407" width="8.88671875" style="2043"/>
    <col min="6408" max="6408" width="8.77734375" style="2043" customWidth="1"/>
    <col min="6409" max="6409" width="4" style="2043" customWidth="1"/>
    <col min="6410" max="6656" width="8.88671875" style="2043"/>
    <col min="6657" max="6657" width="6.21875" style="2043" customWidth="1"/>
    <col min="6658" max="6658" width="28.21875" style="2043" customWidth="1"/>
    <col min="6659" max="6660" width="5.44140625" style="2043" customWidth="1"/>
    <col min="6661" max="6663" width="8.88671875" style="2043"/>
    <col min="6664" max="6664" width="8.77734375" style="2043" customWidth="1"/>
    <col min="6665" max="6665" width="4" style="2043" customWidth="1"/>
    <col min="6666" max="6912" width="8.88671875" style="2043"/>
    <col min="6913" max="6913" width="6.21875" style="2043" customWidth="1"/>
    <col min="6914" max="6914" width="28.21875" style="2043" customWidth="1"/>
    <col min="6915" max="6916" width="5.44140625" style="2043" customWidth="1"/>
    <col min="6917" max="6919" width="8.88671875" style="2043"/>
    <col min="6920" max="6920" width="8.77734375" style="2043" customWidth="1"/>
    <col min="6921" max="6921" width="4" style="2043" customWidth="1"/>
    <col min="6922" max="7168" width="8.88671875" style="2043"/>
    <col min="7169" max="7169" width="6.21875" style="2043" customWidth="1"/>
    <col min="7170" max="7170" width="28.21875" style="2043" customWidth="1"/>
    <col min="7171" max="7172" width="5.44140625" style="2043" customWidth="1"/>
    <col min="7173" max="7175" width="8.88671875" style="2043"/>
    <col min="7176" max="7176" width="8.77734375" style="2043" customWidth="1"/>
    <col min="7177" max="7177" width="4" style="2043" customWidth="1"/>
    <col min="7178" max="7424" width="8.88671875" style="2043"/>
    <col min="7425" max="7425" width="6.21875" style="2043" customWidth="1"/>
    <col min="7426" max="7426" width="28.21875" style="2043" customWidth="1"/>
    <col min="7427" max="7428" width="5.44140625" style="2043" customWidth="1"/>
    <col min="7429" max="7431" width="8.88671875" style="2043"/>
    <col min="7432" max="7432" width="8.77734375" style="2043" customWidth="1"/>
    <col min="7433" max="7433" width="4" style="2043" customWidth="1"/>
    <col min="7434" max="7680" width="8.88671875" style="2043"/>
    <col min="7681" max="7681" width="6.21875" style="2043" customWidth="1"/>
    <col min="7682" max="7682" width="28.21875" style="2043" customWidth="1"/>
    <col min="7683" max="7684" width="5.44140625" style="2043" customWidth="1"/>
    <col min="7685" max="7687" width="8.88671875" style="2043"/>
    <col min="7688" max="7688" width="8.77734375" style="2043" customWidth="1"/>
    <col min="7689" max="7689" width="4" style="2043" customWidth="1"/>
    <col min="7690" max="7936" width="8.88671875" style="2043"/>
    <col min="7937" max="7937" width="6.21875" style="2043" customWidth="1"/>
    <col min="7938" max="7938" width="28.21875" style="2043" customWidth="1"/>
    <col min="7939" max="7940" width="5.44140625" style="2043" customWidth="1"/>
    <col min="7941" max="7943" width="8.88671875" style="2043"/>
    <col min="7944" max="7944" width="8.77734375" style="2043" customWidth="1"/>
    <col min="7945" max="7945" width="4" style="2043" customWidth="1"/>
    <col min="7946" max="8192" width="8.88671875" style="2043"/>
    <col min="8193" max="8193" width="6.21875" style="2043" customWidth="1"/>
    <col min="8194" max="8194" width="28.21875" style="2043" customWidth="1"/>
    <col min="8195" max="8196" width="5.44140625" style="2043" customWidth="1"/>
    <col min="8197" max="8199" width="8.88671875" style="2043"/>
    <col min="8200" max="8200" width="8.77734375" style="2043" customWidth="1"/>
    <col min="8201" max="8201" width="4" style="2043" customWidth="1"/>
    <col min="8202" max="8448" width="8.88671875" style="2043"/>
    <col min="8449" max="8449" width="6.21875" style="2043" customWidth="1"/>
    <col min="8450" max="8450" width="28.21875" style="2043" customWidth="1"/>
    <col min="8451" max="8452" width="5.44140625" style="2043" customWidth="1"/>
    <col min="8453" max="8455" width="8.88671875" style="2043"/>
    <col min="8456" max="8456" width="8.77734375" style="2043" customWidth="1"/>
    <col min="8457" max="8457" width="4" style="2043" customWidth="1"/>
    <col min="8458" max="8704" width="8.88671875" style="2043"/>
    <col min="8705" max="8705" width="6.21875" style="2043" customWidth="1"/>
    <col min="8706" max="8706" width="28.21875" style="2043" customWidth="1"/>
    <col min="8707" max="8708" width="5.44140625" style="2043" customWidth="1"/>
    <col min="8709" max="8711" width="8.88671875" style="2043"/>
    <col min="8712" max="8712" width="8.77734375" style="2043" customWidth="1"/>
    <col min="8713" max="8713" width="4" style="2043" customWidth="1"/>
    <col min="8714" max="8960" width="8.88671875" style="2043"/>
    <col min="8961" max="8961" width="6.21875" style="2043" customWidth="1"/>
    <col min="8962" max="8962" width="28.21875" style="2043" customWidth="1"/>
    <col min="8963" max="8964" width="5.44140625" style="2043" customWidth="1"/>
    <col min="8965" max="8967" width="8.88671875" style="2043"/>
    <col min="8968" max="8968" width="8.77734375" style="2043" customWidth="1"/>
    <col min="8969" max="8969" width="4" style="2043" customWidth="1"/>
    <col min="8970" max="9216" width="8.88671875" style="2043"/>
    <col min="9217" max="9217" width="6.21875" style="2043" customWidth="1"/>
    <col min="9218" max="9218" width="28.21875" style="2043" customWidth="1"/>
    <col min="9219" max="9220" width="5.44140625" style="2043" customWidth="1"/>
    <col min="9221" max="9223" width="8.88671875" style="2043"/>
    <col min="9224" max="9224" width="8.77734375" style="2043" customWidth="1"/>
    <col min="9225" max="9225" width="4" style="2043" customWidth="1"/>
    <col min="9226" max="9472" width="8.88671875" style="2043"/>
    <col min="9473" max="9473" width="6.21875" style="2043" customWidth="1"/>
    <col min="9474" max="9474" width="28.21875" style="2043" customWidth="1"/>
    <col min="9475" max="9476" width="5.44140625" style="2043" customWidth="1"/>
    <col min="9477" max="9479" width="8.88671875" style="2043"/>
    <col min="9480" max="9480" width="8.77734375" style="2043" customWidth="1"/>
    <col min="9481" max="9481" width="4" style="2043" customWidth="1"/>
    <col min="9482" max="9728" width="8.88671875" style="2043"/>
    <col min="9729" max="9729" width="6.21875" style="2043" customWidth="1"/>
    <col min="9730" max="9730" width="28.21875" style="2043" customWidth="1"/>
    <col min="9731" max="9732" width="5.44140625" style="2043" customWidth="1"/>
    <col min="9733" max="9735" width="8.88671875" style="2043"/>
    <col min="9736" max="9736" width="8.77734375" style="2043" customWidth="1"/>
    <col min="9737" max="9737" width="4" style="2043" customWidth="1"/>
    <col min="9738" max="9984" width="8.88671875" style="2043"/>
    <col min="9985" max="9985" width="6.21875" style="2043" customWidth="1"/>
    <col min="9986" max="9986" width="28.21875" style="2043" customWidth="1"/>
    <col min="9987" max="9988" width="5.44140625" style="2043" customWidth="1"/>
    <col min="9989" max="9991" width="8.88671875" style="2043"/>
    <col min="9992" max="9992" width="8.77734375" style="2043" customWidth="1"/>
    <col min="9993" max="9993" width="4" style="2043" customWidth="1"/>
    <col min="9994" max="10240" width="8.88671875" style="2043"/>
    <col min="10241" max="10241" width="6.21875" style="2043" customWidth="1"/>
    <col min="10242" max="10242" width="28.21875" style="2043" customWidth="1"/>
    <col min="10243" max="10244" width="5.44140625" style="2043" customWidth="1"/>
    <col min="10245" max="10247" width="8.88671875" style="2043"/>
    <col min="10248" max="10248" width="8.77734375" style="2043" customWidth="1"/>
    <col min="10249" max="10249" width="4" style="2043" customWidth="1"/>
    <col min="10250" max="10496" width="8.88671875" style="2043"/>
    <col min="10497" max="10497" width="6.21875" style="2043" customWidth="1"/>
    <col min="10498" max="10498" width="28.21875" style="2043" customWidth="1"/>
    <col min="10499" max="10500" width="5.44140625" style="2043" customWidth="1"/>
    <col min="10501" max="10503" width="8.88671875" style="2043"/>
    <col min="10504" max="10504" width="8.77734375" style="2043" customWidth="1"/>
    <col min="10505" max="10505" width="4" style="2043" customWidth="1"/>
    <col min="10506" max="10752" width="8.88671875" style="2043"/>
    <col min="10753" max="10753" width="6.21875" style="2043" customWidth="1"/>
    <col min="10754" max="10754" width="28.21875" style="2043" customWidth="1"/>
    <col min="10755" max="10756" width="5.44140625" style="2043" customWidth="1"/>
    <col min="10757" max="10759" width="8.88671875" style="2043"/>
    <col min="10760" max="10760" width="8.77734375" style="2043" customWidth="1"/>
    <col min="10761" max="10761" width="4" style="2043" customWidth="1"/>
    <col min="10762" max="11008" width="8.88671875" style="2043"/>
    <col min="11009" max="11009" width="6.21875" style="2043" customWidth="1"/>
    <col min="11010" max="11010" width="28.21875" style="2043" customWidth="1"/>
    <col min="11011" max="11012" width="5.44140625" style="2043" customWidth="1"/>
    <col min="11013" max="11015" width="8.88671875" style="2043"/>
    <col min="11016" max="11016" width="8.77734375" style="2043" customWidth="1"/>
    <col min="11017" max="11017" width="4" style="2043" customWidth="1"/>
    <col min="11018" max="11264" width="8.88671875" style="2043"/>
    <col min="11265" max="11265" width="6.21875" style="2043" customWidth="1"/>
    <col min="11266" max="11266" width="28.21875" style="2043" customWidth="1"/>
    <col min="11267" max="11268" width="5.44140625" style="2043" customWidth="1"/>
    <col min="11269" max="11271" width="8.88671875" style="2043"/>
    <col min="11272" max="11272" width="8.77734375" style="2043" customWidth="1"/>
    <col min="11273" max="11273" width="4" style="2043" customWidth="1"/>
    <col min="11274" max="11520" width="8.88671875" style="2043"/>
    <col min="11521" max="11521" width="6.21875" style="2043" customWidth="1"/>
    <col min="11522" max="11522" width="28.21875" style="2043" customWidth="1"/>
    <col min="11523" max="11524" width="5.44140625" style="2043" customWidth="1"/>
    <col min="11525" max="11527" width="8.88671875" style="2043"/>
    <col min="11528" max="11528" width="8.77734375" style="2043" customWidth="1"/>
    <col min="11529" max="11529" width="4" style="2043" customWidth="1"/>
    <col min="11530" max="11776" width="8.88671875" style="2043"/>
    <col min="11777" max="11777" width="6.21875" style="2043" customWidth="1"/>
    <col min="11778" max="11778" width="28.21875" style="2043" customWidth="1"/>
    <col min="11779" max="11780" width="5.44140625" style="2043" customWidth="1"/>
    <col min="11781" max="11783" width="8.88671875" style="2043"/>
    <col min="11784" max="11784" width="8.77734375" style="2043" customWidth="1"/>
    <col min="11785" max="11785" width="4" style="2043" customWidth="1"/>
    <col min="11786" max="12032" width="8.88671875" style="2043"/>
    <col min="12033" max="12033" width="6.21875" style="2043" customWidth="1"/>
    <col min="12034" max="12034" width="28.21875" style="2043" customWidth="1"/>
    <col min="12035" max="12036" width="5.44140625" style="2043" customWidth="1"/>
    <col min="12037" max="12039" width="8.88671875" style="2043"/>
    <col min="12040" max="12040" width="8.77734375" style="2043" customWidth="1"/>
    <col min="12041" max="12041" width="4" style="2043" customWidth="1"/>
    <col min="12042" max="12288" width="8.88671875" style="2043"/>
    <col min="12289" max="12289" width="6.21875" style="2043" customWidth="1"/>
    <col min="12290" max="12290" width="28.21875" style="2043" customWidth="1"/>
    <col min="12291" max="12292" width="5.44140625" style="2043" customWidth="1"/>
    <col min="12293" max="12295" width="8.88671875" style="2043"/>
    <col min="12296" max="12296" width="8.77734375" style="2043" customWidth="1"/>
    <col min="12297" max="12297" width="4" style="2043" customWidth="1"/>
    <col min="12298" max="12544" width="8.88671875" style="2043"/>
    <col min="12545" max="12545" width="6.21875" style="2043" customWidth="1"/>
    <col min="12546" max="12546" width="28.21875" style="2043" customWidth="1"/>
    <col min="12547" max="12548" width="5.44140625" style="2043" customWidth="1"/>
    <col min="12549" max="12551" width="8.88671875" style="2043"/>
    <col min="12552" max="12552" width="8.77734375" style="2043" customWidth="1"/>
    <col min="12553" max="12553" width="4" style="2043" customWidth="1"/>
    <col min="12554" max="12800" width="8.88671875" style="2043"/>
    <col min="12801" max="12801" width="6.21875" style="2043" customWidth="1"/>
    <col min="12802" max="12802" width="28.21875" style="2043" customWidth="1"/>
    <col min="12803" max="12804" width="5.44140625" style="2043" customWidth="1"/>
    <col min="12805" max="12807" width="8.88671875" style="2043"/>
    <col min="12808" max="12808" width="8.77734375" style="2043" customWidth="1"/>
    <col min="12809" max="12809" width="4" style="2043" customWidth="1"/>
    <col min="12810" max="13056" width="8.88671875" style="2043"/>
    <col min="13057" max="13057" width="6.21875" style="2043" customWidth="1"/>
    <col min="13058" max="13058" width="28.21875" style="2043" customWidth="1"/>
    <col min="13059" max="13060" width="5.44140625" style="2043" customWidth="1"/>
    <col min="13061" max="13063" width="8.88671875" style="2043"/>
    <col min="13064" max="13064" width="8.77734375" style="2043" customWidth="1"/>
    <col min="13065" max="13065" width="4" style="2043" customWidth="1"/>
    <col min="13066" max="13312" width="8.88671875" style="2043"/>
    <col min="13313" max="13313" width="6.21875" style="2043" customWidth="1"/>
    <col min="13314" max="13314" width="28.21875" style="2043" customWidth="1"/>
    <col min="13315" max="13316" width="5.44140625" style="2043" customWidth="1"/>
    <col min="13317" max="13319" width="8.88671875" style="2043"/>
    <col min="13320" max="13320" width="8.77734375" style="2043" customWidth="1"/>
    <col min="13321" max="13321" width="4" style="2043" customWidth="1"/>
    <col min="13322" max="13568" width="8.88671875" style="2043"/>
    <col min="13569" max="13569" width="6.21875" style="2043" customWidth="1"/>
    <col min="13570" max="13570" width="28.21875" style="2043" customWidth="1"/>
    <col min="13571" max="13572" width="5.44140625" style="2043" customWidth="1"/>
    <col min="13573" max="13575" width="8.88671875" style="2043"/>
    <col min="13576" max="13576" width="8.77734375" style="2043" customWidth="1"/>
    <col min="13577" max="13577" width="4" style="2043" customWidth="1"/>
    <col min="13578" max="13824" width="8.88671875" style="2043"/>
    <col min="13825" max="13825" width="6.21875" style="2043" customWidth="1"/>
    <col min="13826" max="13826" width="28.21875" style="2043" customWidth="1"/>
    <col min="13827" max="13828" width="5.44140625" style="2043" customWidth="1"/>
    <col min="13829" max="13831" width="8.88671875" style="2043"/>
    <col min="13832" max="13832" width="8.77734375" style="2043" customWidth="1"/>
    <col min="13833" max="13833" width="4" style="2043" customWidth="1"/>
    <col min="13834" max="14080" width="8.88671875" style="2043"/>
    <col min="14081" max="14081" width="6.21875" style="2043" customWidth="1"/>
    <col min="14082" max="14082" width="28.21875" style="2043" customWidth="1"/>
    <col min="14083" max="14084" width="5.44140625" style="2043" customWidth="1"/>
    <col min="14085" max="14087" width="8.88671875" style="2043"/>
    <col min="14088" max="14088" width="8.77734375" style="2043" customWidth="1"/>
    <col min="14089" max="14089" width="4" style="2043" customWidth="1"/>
    <col min="14090" max="14336" width="8.88671875" style="2043"/>
    <col min="14337" max="14337" width="6.21875" style="2043" customWidth="1"/>
    <col min="14338" max="14338" width="28.21875" style="2043" customWidth="1"/>
    <col min="14339" max="14340" width="5.44140625" style="2043" customWidth="1"/>
    <col min="14341" max="14343" width="8.88671875" style="2043"/>
    <col min="14344" max="14344" width="8.77734375" style="2043" customWidth="1"/>
    <col min="14345" max="14345" width="4" style="2043" customWidth="1"/>
    <col min="14346" max="14592" width="8.88671875" style="2043"/>
    <col min="14593" max="14593" width="6.21875" style="2043" customWidth="1"/>
    <col min="14594" max="14594" width="28.21875" style="2043" customWidth="1"/>
    <col min="14595" max="14596" width="5.44140625" style="2043" customWidth="1"/>
    <col min="14597" max="14599" width="8.88671875" style="2043"/>
    <col min="14600" max="14600" width="8.77734375" style="2043" customWidth="1"/>
    <col min="14601" max="14601" width="4" style="2043" customWidth="1"/>
    <col min="14602" max="14848" width="8.88671875" style="2043"/>
    <col min="14849" max="14849" width="6.21875" style="2043" customWidth="1"/>
    <col min="14850" max="14850" width="28.21875" style="2043" customWidth="1"/>
    <col min="14851" max="14852" width="5.44140625" style="2043" customWidth="1"/>
    <col min="14853" max="14855" width="8.88671875" style="2043"/>
    <col min="14856" max="14856" width="8.77734375" style="2043" customWidth="1"/>
    <col min="14857" max="14857" width="4" style="2043" customWidth="1"/>
    <col min="14858" max="15104" width="8.88671875" style="2043"/>
    <col min="15105" max="15105" width="6.21875" style="2043" customWidth="1"/>
    <col min="15106" max="15106" width="28.21875" style="2043" customWidth="1"/>
    <col min="15107" max="15108" width="5.44140625" style="2043" customWidth="1"/>
    <col min="15109" max="15111" width="8.88671875" style="2043"/>
    <col min="15112" max="15112" width="8.77734375" style="2043" customWidth="1"/>
    <col min="15113" max="15113" width="4" style="2043" customWidth="1"/>
    <col min="15114" max="15360" width="8.88671875" style="2043"/>
    <col min="15361" max="15361" width="6.21875" style="2043" customWidth="1"/>
    <col min="15362" max="15362" width="28.21875" style="2043" customWidth="1"/>
    <col min="15363" max="15364" width="5.44140625" style="2043" customWidth="1"/>
    <col min="15365" max="15367" width="8.88671875" style="2043"/>
    <col min="15368" max="15368" width="8.77734375" style="2043" customWidth="1"/>
    <col min="15369" max="15369" width="4" style="2043" customWidth="1"/>
    <col min="15370" max="15616" width="8.88671875" style="2043"/>
    <col min="15617" max="15617" width="6.21875" style="2043" customWidth="1"/>
    <col min="15618" max="15618" width="28.21875" style="2043" customWidth="1"/>
    <col min="15619" max="15620" width="5.44140625" style="2043" customWidth="1"/>
    <col min="15621" max="15623" width="8.88671875" style="2043"/>
    <col min="15624" max="15624" width="8.77734375" style="2043" customWidth="1"/>
    <col min="15625" max="15625" width="4" style="2043" customWidth="1"/>
    <col min="15626" max="15872" width="8.88671875" style="2043"/>
    <col min="15873" max="15873" width="6.21875" style="2043" customWidth="1"/>
    <col min="15874" max="15874" width="28.21875" style="2043" customWidth="1"/>
    <col min="15875" max="15876" width="5.44140625" style="2043" customWidth="1"/>
    <col min="15877" max="15879" width="8.88671875" style="2043"/>
    <col min="15880" max="15880" width="8.77734375" style="2043" customWidth="1"/>
    <col min="15881" max="15881" width="4" style="2043" customWidth="1"/>
    <col min="15882" max="16128" width="8.88671875" style="2043"/>
    <col min="16129" max="16129" width="6.21875" style="2043" customWidth="1"/>
    <col min="16130" max="16130" width="28.21875" style="2043" customWidth="1"/>
    <col min="16131" max="16132" width="5.44140625" style="2043" customWidth="1"/>
    <col min="16133" max="16135" width="8.88671875" style="2043"/>
    <col min="16136" max="16136" width="8.77734375" style="2043" customWidth="1"/>
    <col min="16137" max="16137" width="4" style="2043" customWidth="1"/>
    <col min="16138" max="16384" width="8.88671875" style="2043"/>
  </cols>
  <sheetData>
    <row r="1" spans="1:256" ht="51.75" customHeight="1">
      <c r="A1" s="2041" t="str">
        <f>OHT!A1</f>
        <v>Name of work: Construction of DSP camp office cum Residence with development works at Cuddalore New town in Cuddalore District</v>
      </c>
      <c r="B1" s="2041"/>
      <c r="C1" s="2041"/>
      <c r="D1" s="2041"/>
      <c r="E1" s="2041"/>
      <c r="F1" s="2041"/>
      <c r="G1" s="2041"/>
      <c r="H1" s="2041"/>
      <c r="I1" s="2041"/>
      <c r="J1" s="2042"/>
      <c r="K1" s="2042"/>
      <c r="L1" s="2042"/>
      <c r="M1" s="2042"/>
      <c r="N1" s="2042"/>
      <c r="O1" s="2042"/>
      <c r="P1" s="2042"/>
      <c r="Q1" s="2042"/>
      <c r="R1" s="2042"/>
      <c r="S1" s="2042"/>
      <c r="T1" s="2042"/>
      <c r="U1" s="2042"/>
      <c r="V1" s="2042"/>
      <c r="W1" s="2042"/>
      <c r="X1" s="2042"/>
      <c r="Y1" s="2042"/>
      <c r="Z1" s="2042"/>
      <c r="AA1" s="2042"/>
      <c r="AB1" s="2042"/>
      <c r="AC1" s="2042"/>
      <c r="AD1" s="2042"/>
      <c r="AE1" s="2042"/>
      <c r="AF1" s="2042"/>
      <c r="AG1" s="2042"/>
      <c r="AH1" s="2042"/>
      <c r="AI1" s="2042"/>
      <c r="AJ1" s="2042"/>
      <c r="AK1" s="2042"/>
      <c r="AL1" s="2042"/>
      <c r="AM1" s="2042"/>
      <c r="AN1" s="2042"/>
      <c r="AO1" s="2042"/>
      <c r="AP1" s="2042"/>
      <c r="AQ1" s="2042"/>
      <c r="AR1" s="2042"/>
      <c r="AS1" s="2042"/>
      <c r="AT1" s="2042"/>
      <c r="AU1" s="2042"/>
      <c r="AV1" s="2042"/>
      <c r="AW1" s="2042"/>
      <c r="AX1" s="2042"/>
      <c r="AY1" s="2042"/>
      <c r="AZ1" s="2042"/>
      <c r="BA1" s="2042"/>
      <c r="BB1" s="2042"/>
      <c r="BC1" s="2042"/>
      <c r="BD1" s="2042"/>
      <c r="BE1" s="2042"/>
      <c r="BF1" s="2042"/>
      <c r="BG1" s="2042"/>
      <c r="BH1" s="2042"/>
      <c r="BI1" s="2042"/>
      <c r="BJ1" s="2042"/>
      <c r="BK1" s="2042"/>
      <c r="BL1" s="2042"/>
      <c r="BM1" s="2042"/>
      <c r="BN1" s="2042"/>
      <c r="BO1" s="2042"/>
      <c r="BP1" s="2042"/>
      <c r="BQ1" s="2042"/>
      <c r="BR1" s="2042"/>
      <c r="BS1" s="2042"/>
      <c r="BT1" s="2042"/>
      <c r="BU1" s="2042"/>
      <c r="BV1" s="2042"/>
      <c r="BW1" s="2042"/>
      <c r="BX1" s="2042"/>
      <c r="BY1" s="2042"/>
      <c r="BZ1" s="2042"/>
      <c r="CA1" s="2042"/>
      <c r="CB1" s="2042"/>
      <c r="CC1" s="2042"/>
      <c r="CD1" s="2042"/>
      <c r="CE1" s="2042"/>
      <c r="CF1" s="2042"/>
      <c r="CG1" s="2042"/>
      <c r="CH1" s="2042"/>
      <c r="CI1" s="2042"/>
      <c r="CJ1" s="2042"/>
      <c r="CK1" s="2042"/>
      <c r="CL1" s="2042"/>
      <c r="CM1" s="2042"/>
      <c r="CN1" s="2042"/>
      <c r="CO1" s="2042"/>
      <c r="CP1" s="2042"/>
      <c r="CQ1" s="2042"/>
      <c r="CR1" s="2042"/>
      <c r="CS1" s="2042"/>
      <c r="CT1" s="2042"/>
      <c r="CU1" s="2042"/>
      <c r="CV1" s="2042"/>
      <c r="CW1" s="2042"/>
      <c r="CX1" s="2042"/>
      <c r="CY1" s="2042"/>
      <c r="CZ1" s="2042"/>
      <c r="DA1" s="2042"/>
      <c r="DB1" s="2042"/>
      <c r="DC1" s="2042"/>
      <c r="DD1" s="2042"/>
      <c r="DE1" s="2042"/>
      <c r="DF1" s="2042"/>
      <c r="DG1" s="2042"/>
      <c r="DH1" s="2042"/>
      <c r="DI1" s="2042"/>
      <c r="DJ1" s="2042"/>
      <c r="DK1" s="2042"/>
      <c r="DL1" s="2042"/>
      <c r="DM1" s="2042"/>
      <c r="DN1" s="2042"/>
      <c r="DO1" s="2042"/>
      <c r="DP1" s="2042"/>
      <c r="DQ1" s="2042"/>
      <c r="DR1" s="2042"/>
      <c r="DS1" s="2042"/>
      <c r="DT1" s="2042"/>
      <c r="DU1" s="2042"/>
      <c r="DV1" s="2042"/>
      <c r="DW1" s="2042"/>
      <c r="DX1" s="2042"/>
      <c r="DY1" s="2042"/>
      <c r="DZ1" s="2042"/>
      <c r="EA1" s="2042"/>
      <c r="EB1" s="2042"/>
      <c r="EC1" s="2042"/>
      <c r="ED1" s="2042"/>
      <c r="EE1" s="2042"/>
      <c r="EF1" s="2042"/>
      <c r="EG1" s="2042"/>
      <c r="EH1" s="2042"/>
      <c r="EI1" s="2042"/>
      <c r="EJ1" s="2042"/>
      <c r="EK1" s="2042"/>
      <c r="EL1" s="2042"/>
      <c r="EM1" s="2042"/>
      <c r="EN1" s="2042"/>
      <c r="EO1" s="2042"/>
      <c r="EP1" s="2042"/>
      <c r="EQ1" s="2042"/>
      <c r="ER1" s="2042"/>
      <c r="ES1" s="2042"/>
      <c r="ET1" s="2042"/>
      <c r="EU1" s="2042"/>
      <c r="EV1" s="2042"/>
      <c r="EW1" s="2042"/>
      <c r="EX1" s="2042"/>
      <c r="EY1" s="2042"/>
      <c r="EZ1" s="2042"/>
      <c r="FA1" s="2042"/>
      <c r="FB1" s="2042"/>
      <c r="FC1" s="2042"/>
      <c r="FD1" s="2042"/>
      <c r="FE1" s="2042"/>
      <c r="FF1" s="2042"/>
      <c r="FG1" s="2042"/>
      <c r="FH1" s="2042"/>
      <c r="FI1" s="2042"/>
      <c r="FJ1" s="2042"/>
      <c r="FK1" s="2042"/>
      <c r="FL1" s="2042"/>
      <c r="FM1" s="2042"/>
      <c r="FN1" s="2042"/>
      <c r="FO1" s="2042"/>
      <c r="FP1" s="2042"/>
      <c r="FQ1" s="2042"/>
      <c r="FR1" s="2042"/>
      <c r="FS1" s="2042"/>
      <c r="FT1" s="2042"/>
      <c r="FU1" s="2042"/>
      <c r="FV1" s="2042"/>
      <c r="FW1" s="2042"/>
      <c r="FX1" s="2042"/>
      <c r="FY1" s="2042"/>
      <c r="FZ1" s="2042"/>
      <c r="GA1" s="2042"/>
      <c r="GB1" s="2042"/>
      <c r="GC1" s="2042"/>
      <c r="GD1" s="2042"/>
      <c r="GE1" s="2042"/>
      <c r="GF1" s="2042"/>
      <c r="GG1" s="2042"/>
      <c r="GH1" s="2042"/>
      <c r="GI1" s="2042"/>
      <c r="GJ1" s="2042"/>
      <c r="GK1" s="2042"/>
      <c r="GL1" s="2042"/>
      <c r="GM1" s="2042"/>
      <c r="GN1" s="2042"/>
      <c r="GO1" s="2042"/>
      <c r="GP1" s="2042"/>
      <c r="GQ1" s="2042"/>
      <c r="GR1" s="2042"/>
      <c r="GS1" s="2042"/>
      <c r="GT1" s="2042"/>
      <c r="GU1" s="2042"/>
      <c r="GV1" s="2042"/>
      <c r="GW1" s="2042"/>
      <c r="GX1" s="2042"/>
      <c r="GY1" s="2042"/>
      <c r="GZ1" s="2042"/>
      <c r="HA1" s="2042"/>
      <c r="HB1" s="2042"/>
      <c r="HC1" s="2042"/>
      <c r="HD1" s="2042"/>
      <c r="HE1" s="2042"/>
      <c r="HF1" s="2042"/>
      <c r="HG1" s="2042"/>
      <c r="HH1" s="2042"/>
      <c r="HI1" s="2042"/>
      <c r="HJ1" s="2042"/>
      <c r="HK1" s="2042"/>
      <c r="HL1" s="2042"/>
      <c r="HM1" s="2042"/>
      <c r="HN1" s="2042"/>
      <c r="HO1" s="2042"/>
      <c r="HP1" s="2042"/>
      <c r="HQ1" s="2042"/>
      <c r="HR1" s="2042"/>
      <c r="HS1" s="2042"/>
      <c r="HT1" s="2042"/>
      <c r="HU1" s="2042"/>
      <c r="HV1" s="2042"/>
      <c r="HW1" s="2042"/>
      <c r="HX1" s="2042"/>
      <c r="HY1" s="2042"/>
      <c r="HZ1" s="2042"/>
      <c r="IA1" s="2042"/>
      <c r="IB1" s="2042"/>
      <c r="IC1" s="2042"/>
      <c r="ID1" s="2042"/>
      <c r="IE1" s="2042"/>
      <c r="IF1" s="2042"/>
      <c r="IG1" s="2042"/>
      <c r="IH1" s="2042"/>
      <c r="II1" s="2042"/>
      <c r="IJ1" s="2042"/>
      <c r="IK1" s="2042"/>
      <c r="IL1" s="2042"/>
      <c r="IM1" s="2042"/>
      <c r="IN1" s="2042"/>
      <c r="IO1" s="2042"/>
      <c r="IP1" s="2042"/>
      <c r="IQ1" s="2042"/>
      <c r="IR1" s="2042"/>
      <c r="IS1" s="2042"/>
      <c r="IT1" s="2042"/>
      <c r="IU1" s="2042"/>
      <c r="IV1" s="2042"/>
    </row>
    <row r="2" spans="1:256" ht="19.5">
      <c r="A2" s="2044" t="s">
        <v>6575</v>
      </c>
      <c r="B2" s="2044"/>
      <c r="C2" s="2044"/>
      <c r="D2" s="2044"/>
      <c r="E2" s="2044"/>
      <c r="F2" s="2044"/>
      <c r="G2" s="2044"/>
      <c r="H2" s="2044"/>
      <c r="I2" s="2044"/>
      <c r="J2" s="2042"/>
      <c r="K2" s="2042"/>
      <c r="L2" s="2042"/>
      <c r="M2" s="2042"/>
      <c r="N2" s="2042"/>
      <c r="O2" s="2042"/>
      <c r="P2" s="2042"/>
      <c r="Q2" s="2042"/>
      <c r="R2" s="2042"/>
      <c r="S2" s="2042"/>
      <c r="T2" s="2042"/>
      <c r="U2" s="2042"/>
      <c r="V2" s="2042"/>
      <c r="W2" s="2042"/>
      <c r="X2" s="2042"/>
      <c r="Y2" s="2042"/>
      <c r="Z2" s="2042"/>
      <c r="AA2" s="2042"/>
      <c r="AB2" s="2042"/>
      <c r="AC2" s="2042"/>
      <c r="AD2" s="2042"/>
      <c r="AE2" s="2042"/>
      <c r="AF2" s="2042"/>
      <c r="AG2" s="2042"/>
      <c r="AH2" s="2042"/>
      <c r="AI2" s="2042"/>
      <c r="AJ2" s="2042"/>
      <c r="AK2" s="2042"/>
      <c r="AL2" s="2042"/>
      <c r="AM2" s="2042"/>
      <c r="AN2" s="2042"/>
      <c r="AO2" s="2042"/>
      <c r="AP2" s="2042"/>
      <c r="AQ2" s="2042"/>
      <c r="AR2" s="2042"/>
      <c r="AS2" s="2042"/>
      <c r="AT2" s="2042"/>
      <c r="AU2" s="2042"/>
      <c r="AV2" s="2042"/>
      <c r="AW2" s="2042"/>
      <c r="AX2" s="2042"/>
      <c r="AY2" s="2042"/>
      <c r="AZ2" s="2042"/>
      <c r="BA2" s="2042"/>
      <c r="BB2" s="2042"/>
      <c r="BC2" s="2042"/>
      <c r="BD2" s="2042"/>
      <c r="BE2" s="2042"/>
      <c r="BF2" s="2042"/>
      <c r="BG2" s="2042"/>
      <c r="BH2" s="2042"/>
      <c r="BI2" s="2042"/>
      <c r="BJ2" s="2042"/>
      <c r="BK2" s="2042"/>
      <c r="BL2" s="2042"/>
      <c r="BM2" s="2042"/>
      <c r="BN2" s="2042"/>
      <c r="BO2" s="2042"/>
      <c r="BP2" s="2042"/>
      <c r="BQ2" s="2042"/>
      <c r="BR2" s="2042"/>
      <c r="BS2" s="2042"/>
      <c r="BT2" s="2042"/>
      <c r="BU2" s="2042"/>
      <c r="BV2" s="2042"/>
      <c r="BW2" s="2042"/>
      <c r="BX2" s="2042"/>
      <c r="BY2" s="2042"/>
      <c r="BZ2" s="2042"/>
      <c r="CA2" s="2042"/>
      <c r="CB2" s="2042"/>
      <c r="CC2" s="2042"/>
      <c r="CD2" s="2042"/>
      <c r="CE2" s="2042"/>
      <c r="CF2" s="2042"/>
      <c r="CG2" s="2042"/>
      <c r="CH2" s="2042"/>
      <c r="CI2" s="2042"/>
      <c r="CJ2" s="2042"/>
      <c r="CK2" s="2042"/>
      <c r="CL2" s="2042"/>
      <c r="CM2" s="2042"/>
      <c r="CN2" s="2042"/>
      <c r="CO2" s="2042"/>
      <c r="CP2" s="2042"/>
      <c r="CQ2" s="2042"/>
      <c r="CR2" s="2042"/>
      <c r="CS2" s="2042"/>
      <c r="CT2" s="2042"/>
      <c r="CU2" s="2042"/>
      <c r="CV2" s="2042"/>
      <c r="CW2" s="2042"/>
      <c r="CX2" s="2042"/>
      <c r="CY2" s="2042"/>
      <c r="CZ2" s="2042"/>
      <c r="DA2" s="2042"/>
      <c r="DB2" s="2042"/>
      <c r="DC2" s="2042"/>
      <c r="DD2" s="2042"/>
      <c r="DE2" s="2042"/>
      <c r="DF2" s="2042"/>
      <c r="DG2" s="2042"/>
      <c r="DH2" s="2042"/>
      <c r="DI2" s="2042"/>
      <c r="DJ2" s="2042"/>
      <c r="DK2" s="2042"/>
      <c r="DL2" s="2042"/>
      <c r="DM2" s="2042"/>
      <c r="DN2" s="2042"/>
      <c r="DO2" s="2042"/>
      <c r="DP2" s="2042"/>
      <c r="DQ2" s="2042"/>
      <c r="DR2" s="2042"/>
      <c r="DS2" s="2042"/>
      <c r="DT2" s="2042"/>
      <c r="DU2" s="2042"/>
      <c r="DV2" s="2042"/>
      <c r="DW2" s="2042"/>
      <c r="DX2" s="2042"/>
      <c r="DY2" s="2042"/>
      <c r="DZ2" s="2042"/>
      <c r="EA2" s="2042"/>
      <c r="EB2" s="2042"/>
      <c r="EC2" s="2042"/>
      <c r="ED2" s="2042"/>
      <c r="EE2" s="2042"/>
      <c r="EF2" s="2042"/>
      <c r="EG2" s="2042"/>
      <c r="EH2" s="2042"/>
      <c r="EI2" s="2042"/>
      <c r="EJ2" s="2042"/>
      <c r="EK2" s="2042"/>
      <c r="EL2" s="2042"/>
      <c r="EM2" s="2042"/>
      <c r="EN2" s="2042"/>
      <c r="EO2" s="2042"/>
      <c r="EP2" s="2042"/>
      <c r="EQ2" s="2042"/>
      <c r="ER2" s="2042"/>
      <c r="ES2" s="2042"/>
      <c r="ET2" s="2042"/>
      <c r="EU2" s="2042"/>
      <c r="EV2" s="2042"/>
      <c r="EW2" s="2042"/>
      <c r="EX2" s="2042"/>
      <c r="EY2" s="2042"/>
      <c r="EZ2" s="2042"/>
      <c r="FA2" s="2042"/>
      <c r="FB2" s="2042"/>
      <c r="FC2" s="2042"/>
      <c r="FD2" s="2042"/>
      <c r="FE2" s="2042"/>
      <c r="FF2" s="2042"/>
      <c r="FG2" s="2042"/>
      <c r="FH2" s="2042"/>
      <c r="FI2" s="2042"/>
      <c r="FJ2" s="2042"/>
      <c r="FK2" s="2042"/>
      <c r="FL2" s="2042"/>
      <c r="FM2" s="2042"/>
      <c r="FN2" s="2042"/>
      <c r="FO2" s="2042"/>
      <c r="FP2" s="2042"/>
      <c r="FQ2" s="2042"/>
      <c r="FR2" s="2042"/>
      <c r="FS2" s="2042"/>
      <c r="FT2" s="2042"/>
      <c r="FU2" s="2042"/>
      <c r="FV2" s="2042"/>
      <c r="FW2" s="2042"/>
      <c r="FX2" s="2042"/>
      <c r="FY2" s="2042"/>
      <c r="FZ2" s="2042"/>
      <c r="GA2" s="2042"/>
      <c r="GB2" s="2042"/>
      <c r="GC2" s="2042"/>
      <c r="GD2" s="2042"/>
      <c r="GE2" s="2042"/>
      <c r="GF2" s="2042"/>
      <c r="GG2" s="2042"/>
      <c r="GH2" s="2042"/>
      <c r="GI2" s="2042"/>
      <c r="GJ2" s="2042"/>
      <c r="GK2" s="2042"/>
      <c r="GL2" s="2042"/>
      <c r="GM2" s="2042"/>
      <c r="GN2" s="2042"/>
      <c r="GO2" s="2042"/>
      <c r="GP2" s="2042"/>
      <c r="GQ2" s="2042"/>
      <c r="GR2" s="2042"/>
      <c r="GS2" s="2042"/>
      <c r="GT2" s="2042"/>
      <c r="GU2" s="2042"/>
      <c r="GV2" s="2042"/>
      <c r="GW2" s="2042"/>
      <c r="GX2" s="2042"/>
      <c r="GY2" s="2042"/>
      <c r="GZ2" s="2042"/>
      <c r="HA2" s="2042"/>
      <c r="HB2" s="2042"/>
      <c r="HC2" s="2042"/>
      <c r="HD2" s="2042"/>
      <c r="HE2" s="2042"/>
      <c r="HF2" s="2042"/>
      <c r="HG2" s="2042"/>
      <c r="HH2" s="2042"/>
      <c r="HI2" s="2042"/>
      <c r="HJ2" s="2042"/>
      <c r="HK2" s="2042"/>
      <c r="HL2" s="2042"/>
      <c r="HM2" s="2042"/>
      <c r="HN2" s="2042"/>
      <c r="HO2" s="2042"/>
      <c r="HP2" s="2042"/>
      <c r="HQ2" s="2042"/>
      <c r="HR2" s="2042"/>
      <c r="HS2" s="2042"/>
      <c r="HT2" s="2042"/>
      <c r="HU2" s="2042"/>
      <c r="HV2" s="2042"/>
      <c r="HW2" s="2042"/>
      <c r="HX2" s="2042"/>
      <c r="HY2" s="2042"/>
      <c r="HZ2" s="2042"/>
      <c r="IA2" s="2042"/>
      <c r="IB2" s="2042"/>
      <c r="IC2" s="2042"/>
      <c r="ID2" s="2042"/>
      <c r="IE2" s="2042"/>
      <c r="IF2" s="2042"/>
      <c r="IG2" s="2042"/>
      <c r="IH2" s="2042"/>
      <c r="II2" s="2042"/>
      <c r="IJ2" s="2042"/>
      <c r="IK2" s="2042"/>
      <c r="IL2" s="2042"/>
      <c r="IM2" s="2042"/>
      <c r="IN2" s="2042"/>
      <c r="IO2" s="2042"/>
      <c r="IP2" s="2042"/>
      <c r="IQ2" s="2042"/>
      <c r="IR2" s="2042"/>
      <c r="IS2" s="2042"/>
      <c r="IT2" s="2042"/>
      <c r="IU2" s="2042"/>
      <c r="IV2" s="2042"/>
    </row>
    <row r="3" spans="1:256" ht="19.5">
      <c r="A3" s="2045" t="s">
        <v>7117</v>
      </c>
      <c r="B3" s="2045"/>
      <c r="C3" s="2045"/>
      <c r="D3" s="2045"/>
      <c r="E3" s="2045"/>
      <c r="F3" s="2045"/>
      <c r="G3" s="2045"/>
      <c r="H3" s="2045"/>
      <c r="I3" s="2045"/>
      <c r="J3" s="2042"/>
      <c r="K3" s="2042"/>
      <c r="L3" s="2042"/>
      <c r="M3" s="2042"/>
      <c r="N3" s="2042"/>
      <c r="O3" s="2042"/>
      <c r="P3" s="2042"/>
      <c r="Q3" s="2042"/>
      <c r="R3" s="2042"/>
      <c r="S3" s="2042"/>
      <c r="T3" s="2042"/>
      <c r="U3" s="2042"/>
      <c r="V3" s="2042"/>
      <c r="W3" s="2042"/>
      <c r="X3" s="2042"/>
      <c r="Y3" s="2042"/>
      <c r="Z3" s="2042"/>
      <c r="AA3" s="2042"/>
      <c r="AB3" s="2042"/>
      <c r="AC3" s="2042"/>
      <c r="AD3" s="2042"/>
      <c r="AE3" s="2042"/>
      <c r="AF3" s="2042"/>
      <c r="AG3" s="2042"/>
      <c r="AH3" s="2042"/>
      <c r="AI3" s="2042"/>
      <c r="AJ3" s="2042"/>
      <c r="AK3" s="2042"/>
      <c r="AL3" s="2042"/>
      <c r="AM3" s="2042"/>
      <c r="AN3" s="2042"/>
      <c r="AO3" s="2042"/>
      <c r="AP3" s="2042"/>
      <c r="AQ3" s="2042"/>
      <c r="AR3" s="2042"/>
      <c r="AS3" s="2042"/>
      <c r="AT3" s="2042"/>
      <c r="AU3" s="2042"/>
      <c r="AV3" s="2042"/>
      <c r="AW3" s="2042"/>
      <c r="AX3" s="2042"/>
      <c r="AY3" s="2042"/>
      <c r="AZ3" s="2042"/>
      <c r="BA3" s="2042"/>
      <c r="BB3" s="2042"/>
      <c r="BC3" s="2042"/>
      <c r="BD3" s="2042"/>
      <c r="BE3" s="2042"/>
      <c r="BF3" s="2042"/>
      <c r="BG3" s="2042"/>
      <c r="BH3" s="2042"/>
      <c r="BI3" s="2042"/>
      <c r="BJ3" s="2042"/>
      <c r="BK3" s="2042"/>
      <c r="BL3" s="2042"/>
      <c r="BM3" s="2042"/>
      <c r="BN3" s="2042"/>
      <c r="BO3" s="2042"/>
      <c r="BP3" s="2042"/>
      <c r="BQ3" s="2042"/>
      <c r="BR3" s="2042"/>
      <c r="BS3" s="2042"/>
      <c r="BT3" s="2042"/>
      <c r="BU3" s="2042"/>
      <c r="BV3" s="2042"/>
      <c r="BW3" s="2042"/>
      <c r="BX3" s="2042"/>
      <c r="BY3" s="2042"/>
      <c r="BZ3" s="2042"/>
      <c r="CA3" s="2042"/>
      <c r="CB3" s="2042"/>
      <c r="CC3" s="2042"/>
      <c r="CD3" s="2042"/>
      <c r="CE3" s="2042"/>
      <c r="CF3" s="2042"/>
      <c r="CG3" s="2042"/>
      <c r="CH3" s="2042"/>
      <c r="CI3" s="2042"/>
      <c r="CJ3" s="2042"/>
      <c r="CK3" s="2042"/>
      <c r="CL3" s="2042"/>
      <c r="CM3" s="2042"/>
      <c r="CN3" s="2042"/>
      <c r="CO3" s="2042"/>
      <c r="CP3" s="2042"/>
      <c r="CQ3" s="2042"/>
      <c r="CR3" s="2042"/>
      <c r="CS3" s="2042"/>
      <c r="CT3" s="2042"/>
      <c r="CU3" s="2042"/>
      <c r="CV3" s="2042"/>
      <c r="CW3" s="2042"/>
      <c r="CX3" s="2042"/>
      <c r="CY3" s="2042"/>
      <c r="CZ3" s="2042"/>
      <c r="DA3" s="2042"/>
      <c r="DB3" s="2042"/>
      <c r="DC3" s="2042"/>
      <c r="DD3" s="2042"/>
      <c r="DE3" s="2042"/>
      <c r="DF3" s="2042"/>
      <c r="DG3" s="2042"/>
      <c r="DH3" s="2042"/>
      <c r="DI3" s="2042"/>
      <c r="DJ3" s="2042"/>
      <c r="DK3" s="2042"/>
      <c r="DL3" s="2042"/>
      <c r="DM3" s="2042"/>
      <c r="DN3" s="2042"/>
      <c r="DO3" s="2042"/>
      <c r="DP3" s="2042"/>
      <c r="DQ3" s="2042"/>
      <c r="DR3" s="2042"/>
      <c r="DS3" s="2042"/>
      <c r="DT3" s="2042"/>
      <c r="DU3" s="2042"/>
      <c r="DV3" s="2042"/>
      <c r="DW3" s="2042"/>
      <c r="DX3" s="2042"/>
      <c r="DY3" s="2042"/>
      <c r="DZ3" s="2042"/>
      <c r="EA3" s="2042"/>
      <c r="EB3" s="2042"/>
      <c r="EC3" s="2042"/>
      <c r="ED3" s="2042"/>
      <c r="EE3" s="2042"/>
      <c r="EF3" s="2042"/>
      <c r="EG3" s="2042"/>
      <c r="EH3" s="2042"/>
      <c r="EI3" s="2042"/>
      <c r="EJ3" s="2042"/>
      <c r="EK3" s="2042"/>
      <c r="EL3" s="2042"/>
      <c r="EM3" s="2042"/>
      <c r="EN3" s="2042"/>
      <c r="EO3" s="2042"/>
      <c r="EP3" s="2042"/>
      <c r="EQ3" s="2042"/>
      <c r="ER3" s="2042"/>
      <c r="ES3" s="2042"/>
      <c r="ET3" s="2042"/>
      <c r="EU3" s="2042"/>
      <c r="EV3" s="2042"/>
      <c r="EW3" s="2042"/>
      <c r="EX3" s="2042"/>
      <c r="EY3" s="2042"/>
      <c r="EZ3" s="2042"/>
      <c r="FA3" s="2042"/>
      <c r="FB3" s="2042"/>
      <c r="FC3" s="2042"/>
      <c r="FD3" s="2042"/>
      <c r="FE3" s="2042"/>
      <c r="FF3" s="2042"/>
      <c r="FG3" s="2042"/>
      <c r="FH3" s="2042"/>
      <c r="FI3" s="2042"/>
      <c r="FJ3" s="2042"/>
      <c r="FK3" s="2042"/>
      <c r="FL3" s="2042"/>
      <c r="FM3" s="2042"/>
      <c r="FN3" s="2042"/>
      <c r="FO3" s="2042"/>
      <c r="FP3" s="2042"/>
      <c r="FQ3" s="2042"/>
      <c r="FR3" s="2042"/>
      <c r="FS3" s="2042"/>
      <c r="FT3" s="2042"/>
      <c r="FU3" s="2042"/>
      <c r="FV3" s="2042"/>
      <c r="FW3" s="2042"/>
      <c r="FX3" s="2042"/>
      <c r="FY3" s="2042"/>
      <c r="FZ3" s="2042"/>
      <c r="GA3" s="2042"/>
      <c r="GB3" s="2042"/>
      <c r="GC3" s="2042"/>
      <c r="GD3" s="2042"/>
      <c r="GE3" s="2042"/>
      <c r="GF3" s="2042"/>
      <c r="GG3" s="2042"/>
      <c r="GH3" s="2042"/>
      <c r="GI3" s="2042"/>
      <c r="GJ3" s="2042"/>
      <c r="GK3" s="2042"/>
      <c r="GL3" s="2042"/>
      <c r="GM3" s="2042"/>
      <c r="GN3" s="2042"/>
      <c r="GO3" s="2042"/>
      <c r="GP3" s="2042"/>
      <c r="GQ3" s="2042"/>
      <c r="GR3" s="2042"/>
      <c r="GS3" s="2042"/>
      <c r="GT3" s="2042"/>
      <c r="GU3" s="2042"/>
      <c r="GV3" s="2042"/>
      <c r="GW3" s="2042"/>
      <c r="GX3" s="2042"/>
      <c r="GY3" s="2042"/>
      <c r="GZ3" s="2042"/>
      <c r="HA3" s="2042"/>
      <c r="HB3" s="2042"/>
      <c r="HC3" s="2042"/>
      <c r="HD3" s="2042"/>
      <c r="HE3" s="2042"/>
      <c r="HF3" s="2042"/>
      <c r="HG3" s="2042"/>
      <c r="HH3" s="2042"/>
      <c r="HI3" s="2042"/>
      <c r="HJ3" s="2042"/>
      <c r="HK3" s="2042"/>
      <c r="HL3" s="2042"/>
      <c r="HM3" s="2042"/>
      <c r="HN3" s="2042"/>
      <c r="HO3" s="2042"/>
      <c r="HP3" s="2042"/>
      <c r="HQ3" s="2042"/>
      <c r="HR3" s="2042"/>
      <c r="HS3" s="2042"/>
      <c r="HT3" s="2042"/>
      <c r="HU3" s="2042"/>
      <c r="HV3" s="2042"/>
      <c r="HW3" s="2042"/>
      <c r="HX3" s="2042"/>
      <c r="HY3" s="2042"/>
      <c r="HZ3" s="2042"/>
      <c r="IA3" s="2042"/>
      <c r="IB3" s="2042"/>
      <c r="IC3" s="2042"/>
      <c r="ID3" s="2042"/>
      <c r="IE3" s="2042"/>
      <c r="IF3" s="2042"/>
      <c r="IG3" s="2042"/>
      <c r="IH3" s="2042"/>
      <c r="II3" s="2042"/>
      <c r="IJ3" s="2042"/>
      <c r="IK3" s="2042"/>
      <c r="IL3" s="2042"/>
      <c r="IM3" s="2042"/>
      <c r="IN3" s="2042"/>
      <c r="IO3" s="2042"/>
      <c r="IP3" s="2042"/>
      <c r="IQ3" s="2042"/>
      <c r="IR3" s="2042"/>
      <c r="IS3" s="2042"/>
      <c r="IT3" s="2042"/>
      <c r="IU3" s="2042"/>
      <c r="IV3" s="2042"/>
    </row>
    <row r="4" spans="1:256" ht="19.5">
      <c r="A4" s="2046"/>
      <c r="B4" s="2046"/>
      <c r="C4" s="2046"/>
      <c r="D4" s="2046"/>
      <c r="E4" s="2046"/>
      <c r="F4" s="2046"/>
      <c r="G4" s="2046"/>
      <c r="H4" s="2046"/>
      <c r="I4" s="2047"/>
      <c r="J4" s="2042"/>
      <c r="K4" s="2042"/>
      <c r="L4" s="2042"/>
      <c r="M4" s="2042"/>
      <c r="N4" s="2042"/>
      <c r="O4" s="2042"/>
      <c r="P4" s="2042"/>
      <c r="Q4" s="2042"/>
      <c r="R4" s="2042"/>
      <c r="S4" s="2042"/>
      <c r="T4" s="2042"/>
      <c r="U4" s="2042"/>
      <c r="V4" s="2042"/>
      <c r="W4" s="2042"/>
      <c r="X4" s="2042"/>
      <c r="Y4" s="2042"/>
      <c r="Z4" s="2042"/>
      <c r="AA4" s="2042"/>
      <c r="AB4" s="2042"/>
      <c r="AC4" s="2042"/>
      <c r="AD4" s="2042"/>
      <c r="AE4" s="2042"/>
      <c r="AF4" s="2042"/>
      <c r="AG4" s="2042"/>
      <c r="AH4" s="2042"/>
      <c r="AI4" s="2042"/>
      <c r="AJ4" s="2042"/>
      <c r="AK4" s="2042"/>
      <c r="AL4" s="2042"/>
      <c r="AM4" s="2042"/>
      <c r="AN4" s="2042"/>
      <c r="AO4" s="2042"/>
      <c r="AP4" s="2042"/>
      <c r="AQ4" s="2042"/>
      <c r="AR4" s="2042"/>
      <c r="AS4" s="2042"/>
      <c r="AT4" s="2042"/>
      <c r="AU4" s="2042"/>
      <c r="AV4" s="2042"/>
      <c r="AW4" s="2042"/>
      <c r="AX4" s="2042"/>
      <c r="AY4" s="2042"/>
      <c r="AZ4" s="2042"/>
      <c r="BA4" s="2042"/>
      <c r="BB4" s="2042"/>
      <c r="BC4" s="2042"/>
      <c r="BD4" s="2042"/>
      <c r="BE4" s="2042"/>
      <c r="BF4" s="2042"/>
      <c r="BG4" s="2042"/>
      <c r="BH4" s="2042"/>
      <c r="BI4" s="2042"/>
      <c r="BJ4" s="2042"/>
      <c r="BK4" s="2042"/>
      <c r="BL4" s="2042"/>
      <c r="BM4" s="2042"/>
      <c r="BN4" s="2042"/>
      <c r="BO4" s="2042"/>
      <c r="BP4" s="2042"/>
      <c r="BQ4" s="2042"/>
      <c r="BR4" s="2042"/>
      <c r="BS4" s="2042"/>
      <c r="BT4" s="2042"/>
      <c r="BU4" s="2042"/>
      <c r="BV4" s="2042"/>
      <c r="BW4" s="2042"/>
      <c r="BX4" s="2042"/>
      <c r="BY4" s="2042"/>
      <c r="BZ4" s="2042"/>
      <c r="CA4" s="2042"/>
      <c r="CB4" s="2042"/>
      <c r="CC4" s="2042"/>
      <c r="CD4" s="2042"/>
      <c r="CE4" s="2042"/>
      <c r="CF4" s="2042"/>
      <c r="CG4" s="2042"/>
      <c r="CH4" s="2042"/>
      <c r="CI4" s="2042"/>
      <c r="CJ4" s="2042"/>
      <c r="CK4" s="2042"/>
      <c r="CL4" s="2042"/>
      <c r="CM4" s="2042"/>
      <c r="CN4" s="2042"/>
      <c r="CO4" s="2042"/>
      <c r="CP4" s="2042"/>
      <c r="CQ4" s="2042"/>
      <c r="CR4" s="2042"/>
      <c r="CS4" s="2042"/>
      <c r="CT4" s="2042"/>
      <c r="CU4" s="2042"/>
      <c r="CV4" s="2042"/>
      <c r="CW4" s="2042"/>
      <c r="CX4" s="2042"/>
      <c r="CY4" s="2042"/>
      <c r="CZ4" s="2042"/>
      <c r="DA4" s="2042"/>
      <c r="DB4" s="2042"/>
      <c r="DC4" s="2042"/>
      <c r="DD4" s="2042"/>
      <c r="DE4" s="2042"/>
      <c r="DF4" s="2042"/>
      <c r="DG4" s="2042"/>
      <c r="DH4" s="2042"/>
      <c r="DI4" s="2042"/>
      <c r="DJ4" s="2042"/>
      <c r="DK4" s="2042"/>
      <c r="DL4" s="2042"/>
      <c r="DM4" s="2042"/>
      <c r="DN4" s="2042"/>
      <c r="DO4" s="2042"/>
      <c r="DP4" s="2042"/>
      <c r="DQ4" s="2042"/>
      <c r="DR4" s="2042"/>
      <c r="DS4" s="2042"/>
      <c r="DT4" s="2042"/>
      <c r="DU4" s="2042"/>
      <c r="DV4" s="2042"/>
      <c r="DW4" s="2042"/>
      <c r="DX4" s="2042"/>
      <c r="DY4" s="2042"/>
      <c r="DZ4" s="2042"/>
      <c r="EA4" s="2042"/>
      <c r="EB4" s="2042"/>
      <c r="EC4" s="2042"/>
      <c r="ED4" s="2042"/>
      <c r="EE4" s="2042"/>
      <c r="EF4" s="2042"/>
      <c r="EG4" s="2042"/>
      <c r="EH4" s="2042"/>
      <c r="EI4" s="2042"/>
      <c r="EJ4" s="2042"/>
      <c r="EK4" s="2042"/>
      <c r="EL4" s="2042"/>
      <c r="EM4" s="2042"/>
      <c r="EN4" s="2042"/>
      <c r="EO4" s="2042"/>
      <c r="EP4" s="2042"/>
      <c r="EQ4" s="2042"/>
      <c r="ER4" s="2042"/>
      <c r="ES4" s="2042"/>
      <c r="ET4" s="2042"/>
      <c r="EU4" s="2042"/>
      <c r="EV4" s="2042"/>
      <c r="EW4" s="2042"/>
      <c r="EX4" s="2042"/>
      <c r="EY4" s="2042"/>
      <c r="EZ4" s="2042"/>
      <c r="FA4" s="2042"/>
      <c r="FB4" s="2042"/>
      <c r="FC4" s="2042"/>
      <c r="FD4" s="2042"/>
      <c r="FE4" s="2042"/>
      <c r="FF4" s="2042"/>
      <c r="FG4" s="2042"/>
      <c r="FH4" s="2042"/>
      <c r="FI4" s="2042"/>
      <c r="FJ4" s="2042"/>
      <c r="FK4" s="2042"/>
      <c r="FL4" s="2042"/>
      <c r="FM4" s="2042"/>
      <c r="FN4" s="2042"/>
      <c r="FO4" s="2042"/>
      <c r="FP4" s="2042"/>
      <c r="FQ4" s="2042"/>
      <c r="FR4" s="2042"/>
      <c r="FS4" s="2042"/>
      <c r="FT4" s="2042"/>
      <c r="FU4" s="2042"/>
      <c r="FV4" s="2042"/>
      <c r="FW4" s="2042"/>
      <c r="FX4" s="2042"/>
      <c r="FY4" s="2042"/>
      <c r="FZ4" s="2042"/>
      <c r="GA4" s="2042"/>
      <c r="GB4" s="2042"/>
      <c r="GC4" s="2042"/>
      <c r="GD4" s="2042"/>
      <c r="GE4" s="2042"/>
      <c r="GF4" s="2042"/>
      <c r="GG4" s="2042"/>
      <c r="GH4" s="2042"/>
      <c r="GI4" s="2042"/>
      <c r="GJ4" s="2042"/>
      <c r="GK4" s="2042"/>
      <c r="GL4" s="2042"/>
      <c r="GM4" s="2042"/>
      <c r="GN4" s="2042"/>
      <c r="GO4" s="2042"/>
      <c r="GP4" s="2042"/>
      <c r="GQ4" s="2042"/>
      <c r="GR4" s="2042"/>
      <c r="GS4" s="2042"/>
      <c r="GT4" s="2042"/>
      <c r="GU4" s="2042"/>
      <c r="GV4" s="2042"/>
      <c r="GW4" s="2042"/>
      <c r="GX4" s="2042"/>
      <c r="GY4" s="2042"/>
      <c r="GZ4" s="2042"/>
      <c r="HA4" s="2042"/>
      <c r="HB4" s="2042"/>
      <c r="HC4" s="2042"/>
      <c r="HD4" s="2042"/>
      <c r="HE4" s="2042"/>
      <c r="HF4" s="2042"/>
      <c r="HG4" s="2042"/>
      <c r="HH4" s="2042"/>
      <c r="HI4" s="2042"/>
      <c r="HJ4" s="2042"/>
      <c r="HK4" s="2042"/>
      <c r="HL4" s="2042"/>
      <c r="HM4" s="2042"/>
      <c r="HN4" s="2042"/>
      <c r="HO4" s="2042"/>
      <c r="HP4" s="2042"/>
      <c r="HQ4" s="2042"/>
      <c r="HR4" s="2042"/>
      <c r="HS4" s="2042"/>
      <c r="HT4" s="2042"/>
      <c r="HU4" s="2042"/>
      <c r="HV4" s="2042"/>
      <c r="HW4" s="2042"/>
      <c r="HX4" s="2042"/>
      <c r="HY4" s="2042"/>
      <c r="HZ4" s="2042"/>
      <c r="IA4" s="2042"/>
      <c r="IB4" s="2042"/>
      <c r="IC4" s="2042"/>
      <c r="ID4" s="2042"/>
      <c r="IE4" s="2042"/>
      <c r="IF4" s="2042"/>
      <c r="IG4" s="2042"/>
      <c r="IH4" s="2042"/>
      <c r="II4" s="2042"/>
      <c r="IJ4" s="2042"/>
      <c r="IK4" s="2042"/>
      <c r="IL4" s="2042"/>
      <c r="IM4" s="2042"/>
      <c r="IN4" s="2042"/>
      <c r="IO4" s="2042"/>
      <c r="IP4" s="2042"/>
      <c r="IQ4" s="2042"/>
      <c r="IR4" s="2042"/>
      <c r="IS4" s="2042"/>
      <c r="IT4" s="2042"/>
      <c r="IU4" s="2042"/>
      <c r="IV4" s="2042"/>
    </row>
    <row r="5" spans="1:256" ht="30.75" customHeight="1">
      <c r="A5" s="2048" t="s">
        <v>7085</v>
      </c>
      <c r="B5" s="2049" t="s">
        <v>7086</v>
      </c>
      <c r="C5" s="2050" t="s">
        <v>766</v>
      </c>
      <c r="D5" s="2050"/>
      <c r="E5" s="2051" t="s">
        <v>5797</v>
      </c>
      <c r="F5" s="2048" t="s">
        <v>1548</v>
      </c>
      <c r="G5" s="2051" t="s">
        <v>5798</v>
      </c>
      <c r="H5" s="2052" t="s">
        <v>1034</v>
      </c>
      <c r="I5" s="2053"/>
      <c r="J5" s="2042"/>
      <c r="K5" s="2042"/>
      <c r="L5" s="2042"/>
      <c r="M5" s="2042"/>
      <c r="N5" s="2042"/>
      <c r="O5" s="2042"/>
      <c r="P5" s="2042"/>
      <c r="Q5" s="2042"/>
      <c r="R5" s="2042"/>
      <c r="S5" s="2042"/>
      <c r="T5" s="2042"/>
      <c r="U5" s="2042"/>
      <c r="V5" s="2042"/>
      <c r="W5" s="2042"/>
      <c r="X5" s="2042"/>
      <c r="Y5" s="2042"/>
      <c r="Z5" s="2042"/>
      <c r="AA5" s="2042"/>
      <c r="AB5" s="2042"/>
      <c r="AC5" s="2042"/>
      <c r="AD5" s="2042"/>
      <c r="AE5" s="2042"/>
      <c r="AF5" s="2042"/>
      <c r="AG5" s="2042"/>
      <c r="AH5" s="2042"/>
      <c r="AI5" s="2042"/>
      <c r="AJ5" s="2042"/>
      <c r="AK5" s="2042"/>
      <c r="AL5" s="2042"/>
      <c r="AM5" s="2042"/>
      <c r="AN5" s="2042"/>
      <c r="AO5" s="2042"/>
      <c r="AP5" s="2042"/>
      <c r="AQ5" s="2042"/>
      <c r="AR5" s="2042"/>
      <c r="AS5" s="2042"/>
      <c r="AT5" s="2042"/>
      <c r="AU5" s="2042"/>
      <c r="AV5" s="2042"/>
      <c r="AW5" s="2042"/>
      <c r="AX5" s="2042"/>
      <c r="AY5" s="2042"/>
      <c r="AZ5" s="2042"/>
      <c r="BA5" s="2042"/>
      <c r="BB5" s="2042"/>
      <c r="BC5" s="2042"/>
      <c r="BD5" s="2042"/>
      <c r="BE5" s="2042"/>
      <c r="BF5" s="2042"/>
      <c r="BG5" s="2042"/>
      <c r="BH5" s="2042"/>
      <c r="BI5" s="2042"/>
      <c r="BJ5" s="2042"/>
      <c r="BK5" s="2042"/>
      <c r="BL5" s="2042"/>
      <c r="BM5" s="2042"/>
      <c r="BN5" s="2042"/>
      <c r="BO5" s="2042"/>
      <c r="BP5" s="2042"/>
      <c r="BQ5" s="2042"/>
      <c r="BR5" s="2042"/>
      <c r="BS5" s="2042"/>
      <c r="BT5" s="2042"/>
      <c r="BU5" s="2042"/>
      <c r="BV5" s="2042"/>
      <c r="BW5" s="2042"/>
      <c r="BX5" s="2042"/>
      <c r="BY5" s="2042"/>
      <c r="BZ5" s="2042"/>
      <c r="CA5" s="2042"/>
      <c r="CB5" s="2042"/>
      <c r="CC5" s="2042"/>
      <c r="CD5" s="2042"/>
      <c r="CE5" s="2042"/>
      <c r="CF5" s="2042"/>
      <c r="CG5" s="2042"/>
      <c r="CH5" s="2042"/>
      <c r="CI5" s="2042"/>
      <c r="CJ5" s="2042"/>
      <c r="CK5" s="2042"/>
      <c r="CL5" s="2042"/>
      <c r="CM5" s="2042"/>
      <c r="CN5" s="2042"/>
      <c r="CO5" s="2042"/>
      <c r="CP5" s="2042"/>
      <c r="CQ5" s="2042"/>
      <c r="CR5" s="2042"/>
      <c r="CS5" s="2042"/>
      <c r="CT5" s="2042"/>
      <c r="CU5" s="2042"/>
      <c r="CV5" s="2042"/>
      <c r="CW5" s="2042"/>
      <c r="CX5" s="2042"/>
      <c r="CY5" s="2042"/>
      <c r="CZ5" s="2042"/>
      <c r="DA5" s="2042"/>
      <c r="DB5" s="2042"/>
      <c r="DC5" s="2042"/>
      <c r="DD5" s="2042"/>
      <c r="DE5" s="2042"/>
      <c r="DF5" s="2042"/>
      <c r="DG5" s="2042"/>
      <c r="DH5" s="2042"/>
      <c r="DI5" s="2042"/>
      <c r="DJ5" s="2042"/>
      <c r="DK5" s="2042"/>
      <c r="DL5" s="2042"/>
      <c r="DM5" s="2042"/>
      <c r="DN5" s="2042"/>
      <c r="DO5" s="2042"/>
      <c r="DP5" s="2042"/>
      <c r="DQ5" s="2042"/>
      <c r="DR5" s="2042"/>
      <c r="DS5" s="2042"/>
      <c r="DT5" s="2042"/>
      <c r="DU5" s="2042"/>
      <c r="DV5" s="2042"/>
      <c r="DW5" s="2042"/>
      <c r="DX5" s="2042"/>
      <c r="DY5" s="2042"/>
      <c r="DZ5" s="2042"/>
      <c r="EA5" s="2042"/>
      <c r="EB5" s="2042"/>
      <c r="EC5" s="2042"/>
      <c r="ED5" s="2042"/>
      <c r="EE5" s="2042"/>
      <c r="EF5" s="2042"/>
      <c r="EG5" s="2042"/>
      <c r="EH5" s="2042"/>
      <c r="EI5" s="2042"/>
      <c r="EJ5" s="2042"/>
      <c r="EK5" s="2042"/>
      <c r="EL5" s="2042"/>
      <c r="EM5" s="2042"/>
      <c r="EN5" s="2042"/>
      <c r="EO5" s="2042"/>
      <c r="EP5" s="2042"/>
      <c r="EQ5" s="2042"/>
      <c r="ER5" s="2042"/>
      <c r="ES5" s="2042"/>
      <c r="ET5" s="2042"/>
      <c r="EU5" s="2042"/>
      <c r="EV5" s="2042"/>
      <c r="EW5" s="2042"/>
      <c r="EX5" s="2042"/>
      <c r="EY5" s="2042"/>
      <c r="EZ5" s="2042"/>
      <c r="FA5" s="2042"/>
      <c r="FB5" s="2042"/>
      <c r="FC5" s="2042"/>
      <c r="FD5" s="2042"/>
      <c r="FE5" s="2042"/>
      <c r="FF5" s="2042"/>
      <c r="FG5" s="2042"/>
      <c r="FH5" s="2042"/>
      <c r="FI5" s="2042"/>
      <c r="FJ5" s="2042"/>
      <c r="FK5" s="2042"/>
      <c r="FL5" s="2042"/>
      <c r="FM5" s="2042"/>
      <c r="FN5" s="2042"/>
      <c r="FO5" s="2042"/>
      <c r="FP5" s="2042"/>
      <c r="FQ5" s="2042"/>
      <c r="FR5" s="2042"/>
      <c r="FS5" s="2042"/>
      <c r="FT5" s="2042"/>
      <c r="FU5" s="2042"/>
      <c r="FV5" s="2042"/>
      <c r="FW5" s="2042"/>
      <c r="FX5" s="2042"/>
      <c r="FY5" s="2042"/>
      <c r="FZ5" s="2042"/>
      <c r="GA5" s="2042"/>
      <c r="GB5" s="2042"/>
      <c r="GC5" s="2042"/>
      <c r="GD5" s="2042"/>
      <c r="GE5" s="2042"/>
      <c r="GF5" s="2042"/>
      <c r="GG5" s="2042"/>
      <c r="GH5" s="2042"/>
      <c r="GI5" s="2042"/>
      <c r="GJ5" s="2042"/>
      <c r="GK5" s="2042"/>
      <c r="GL5" s="2042"/>
      <c r="GM5" s="2042"/>
      <c r="GN5" s="2042"/>
      <c r="GO5" s="2042"/>
      <c r="GP5" s="2042"/>
      <c r="GQ5" s="2042"/>
      <c r="GR5" s="2042"/>
      <c r="GS5" s="2042"/>
      <c r="GT5" s="2042"/>
      <c r="GU5" s="2042"/>
      <c r="GV5" s="2042"/>
      <c r="GW5" s="2042"/>
      <c r="GX5" s="2042"/>
      <c r="GY5" s="2042"/>
      <c r="GZ5" s="2042"/>
      <c r="HA5" s="2042"/>
      <c r="HB5" s="2042"/>
      <c r="HC5" s="2042"/>
      <c r="HD5" s="2042"/>
      <c r="HE5" s="2042"/>
      <c r="HF5" s="2042"/>
      <c r="HG5" s="2042"/>
      <c r="HH5" s="2042"/>
      <c r="HI5" s="2042"/>
      <c r="HJ5" s="2042"/>
      <c r="HK5" s="2042"/>
      <c r="HL5" s="2042"/>
      <c r="HM5" s="2042"/>
      <c r="HN5" s="2042"/>
      <c r="HO5" s="2042"/>
      <c r="HP5" s="2042"/>
      <c r="HQ5" s="2042"/>
      <c r="HR5" s="2042"/>
      <c r="HS5" s="2042"/>
      <c r="HT5" s="2042"/>
      <c r="HU5" s="2042"/>
      <c r="HV5" s="2042"/>
      <c r="HW5" s="2042"/>
      <c r="HX5" s="2042"/>
      <c r="HY5" s="2042"/>
      <c r="HZ5" s="2042"/>
      <c r="IA5" s="2042"/>
      <c r="IB5" s="2042"/>
      <c r="IC5" s="2042"/>
      <c r="ID5" s="2042"/>
      <c r="IE5" s="2042"/>
      <c r="IF5" s="2042"/>
      <c r="IG5" s="2042"/>
      <c r="IH5" s="2042"/>
      <c r="II5" s="2042"/>
      <c r="IJ5" s="2042"/>
      <c r="IK5" s="2042"/>
      <c r="IL5" s="2042"/>
      <c r="IM5" s="2042"/>
      <c r="IN5" s="2042"/>
      <c r="IO5" s="2042"/>
      <c r="IP5" s="2042"/>
      <c r="IQ5" s="2042"/>
      <c r="IR5" s="2042"/>
      <c r="IS5" s="2042"/>
      <c r="IT5" s="2042"/>
      <c r="IU5" s="2042"/>
      <c r="IV5" s="2042"/>
    </row>
    <row r="6" spans="1:256" ht="49.5" customHeight="1">
      <c r="A6" s="2054">
        <v>1.5</v>
      </c>
      <c r="B6" s="2055" t="s">
        <v>7577</v>
      </c>
      <c r="C6" s="2055"/>
      <c r="D6" s="2055"/>
      <c r="E6" s="2055"/>
      <c r="F6" s="2056"/>
      <c r="G6" s="2056"/>
      <c r="H6" s="2057"/>
      <c r="I6" s="2053"/>
      <c r="J6" s="2042"/>
      <c r="K6" s="2042"/>
      <c r="L6" s="2042"/>
      <c r="M6" s="2042"/>
      <c r="N6" s="2042"/>
      <c r="O6" s="2042"/>
      <c r="P6" s="2042"/>
      <c r="Q6" s="2042"/>
      <c r="R6" s="2042"/>
      <c r="S6" s="2042"/>
      <c r="T6" s="2042"/>
      <c r="U6" s="2042"/>
      <c r="V6" s="2042"/>
      <c r="W6" s="2042"/>
      <c r="X6" s="2042"/>
      <c r="Y6" s="2042"/>
      <c r="Z6" s="2042"/>
      <c r="AA6" s="2042"/>
      <c r="AB6" s="2042"/>
      <c r="AC6" s="2042"/>
      <c r="AD6" s="2042"/>
      <c r="AE6" s="2042"/>
      <c r="AF6" s="2042"/>
      <c r="AG6" s="2042"/>
      <c r="AH6" s="2042"/>
      <c r="AI6" s="2042"/>
      <c r="AJ6" s="2042"/>
      <c r="AK6" s="2042"/>
      <c r="AL6" s="2042"/>
      <c r="AM6" s="2042"/>
      <c r="AN6" s="2042"/>
      <c r="AO6" s="2042"/>
      <c r="AP6" s="2042"/>
      <c r="AQ6" s="2042"/>
      <c r="AR6" s="2042"/>
      <c r="AS6" s="2042"/>
      <c r="AT6" s="2042"/>
      <c r="AU6" s="2042"/>
      <c r="AV6" s="2042"/>
      <c r="AW6" s="2042"/>
      <c r="AX6" s="2042"/>
      <c r="AY6" s="2042"/>
      <c r="AZ6" s="2042"/>
      <c r="BA6" s="2042"/>
      <c r="BB6" s="2042"/>
      <c r="BC6" s="2042"/>
      <c r="BD6" s="2042"/>
      <c r="BE6" s="2042"/>
      <c r="BF6" s="2042"/>
      <c r="BG6" s="2042"/>
      <c r="BH6" s="2042"/>
      <c r="BI6" s="2042"/>
      <c r="BJ6" s="2042"/>
      <c r="BK6" s="2042"/>
      <c r="BL6" s="2042"/>
      <c r="BM6" s="2042"/>
      <c r="BN6" s="2042"/>
      <c r="BO6" s="2042"/>
      <c r="BP6" s="2042"/>
      <c r="BQ6" s="2042"/>
      <c r="BR6" s="2042"/>
      <c r="BS6" s="2042"/>
      <c r="BT6" s="2042"/>
      <c r="BU6" s="2042"/>
      <c r="BV6" s="2042"/>
      <c r="BW6" s="2042"/>
      <c r="BX6" s="2042"/>
      <c r="BY6" s="2042"/>
      <c r="BZ6" s="2042"/>
      <c r="CA6" s="2042"/>
      <c r="CB6" s="2042"/>
      <c r="CC6" s="2042"/>
      <c r="CD6" s="2042"/>
      <c r="CE6" s="2042"/>
      <c r="CF6" s="2042"/>
      <c r="CG6" s="2042"/>
      <c r="CH6" s="2042"/>
      <c r="CI6" s="2042"/>
      <c r="CJ6" s="2042"/>
      <c r="CK6" s="2042"/>
      <c r="CL6" s="2042"/>
      <c r="CM6" s="2042"/>
      <c r="CN6" s="2042"/>
      <c r="CO6" s="2042"/>
      <c r="CP6" s="2042"/>
      <c r="CQ6" s="2042"/>
      <c r="CR6" s="2042"/>
      <c r="CS6" s="2042"/>
      <c r="CT6" s="2042"/>
      <c r="CU6" s="2042"/>
      <c r="CV6" s="2042"/>
      <c r="CW6" s="2042"/>
      <c r="CX6" s="2042"/>
      <c r="CY6" s="2042"/>
      <c r="CZ6" s="2042"/>
      <c r="DA6" s="2042"/>
      <c r="DB6" s="2042"/>
      <c r="DC6" s="2042"/>
      <c r="DD6" s="2042"/>
      <c r="DE6" s="2042"/>
      <c r="DF6" s="2042"/>
      <c r="DG6" s="2042"/>
      <c r="DH6" s="2042"/>
      <c r="DI6" s="2042"/>
      <c r="DJ6" s="2042"/>
      <c r="DK6" s="2042"/>
      <c r="DL6" s="2042"/>
      <c r="DM6" s="2042"/>
      <c r="DN6" s="2042"/>
      <c r="DO6" s="2042"/>
      <c r="DP6" s="2042"/>
      <c r="DQ6" s="2042"/>
      <c r="DR6" s="2042"/>
      <c r="DS6" s="2042"/>
      <c r="DT6" s="2042"/>
      <c r="DU6" s="2042"/>
      <c r="DV6" s="2042"/>
      <c r="DW6" s="2042"/>
      <c r="DX6" s="2042"/>
      <c r="DY6" s="2042"/>
      <c r="DZ6" s="2042"/>
      <c r="EA6" s="2042"/>
      <c r="EB6" s="2042"/>
      <c r="EC6" s="2042"/>
      <c r="ED6" s="2042"/>
      <c r="EE6" s="2042"/>
      <c r="EF6" s="2042"/>
      <c r="EG6" s="2042"/>
      <c r="EH6" s="2042"/>
      <c r="EI6" s="2042"/>
      <c r="EJ6" s="2042"/>
      <c r="EK6" s="2042"/>
      <c r="EL6" s="2042"/>
      <c r="EM6" s="2042"/>
      <c r="EN6" s="2042"/>
      <c r="EO6" s="2042"/>
      <c r="EP6" s="2042"/>
      <c r="EQ6" s="2042"/>
      <c r="ER6" s="2042"/>
      <c r="ES6" s="2042"/>
      <c r="ET6" s="2042"/>
      <c r="EU6" s="2042"/>
      <c r="EV6" s="2042"/>
      <c r="EW6" s="2042"/>
      <c r="EX6" s="2042"/>
      <c r="EY6" s="2042"/>
      <c r="EZ6" s="2042"/>
      <c r="FA6" s="2042"/>
      <c r="FB6" s="2042"/>
      <c r="FC6" s="2042"/>
      <c r="FD6" s="2042"/>
      <c r="FE6" s="2042"/>
      <c r="FF6" s="2042"/>
      <c r="FG6" s="2042"/>
      <c r="FH6" s="2042"/>
      <c r="FI6" s="2042"/>
      <c r="FJ6" s="2042"/>
      <c r="FK6" s="2042"/>
      <c r="FL6" s="2042"/>
      <c r="FM6" s="2042"/>
      <c r="FN6" s="2042"/>
      <c r="FO6" s="2042"/>
      <c r="FP6" s="2042"/>
      <c r="FQ6" s="2042"/>
      <c r="FR6" s="2042"/>
      <c r="FS6" s="2042"/>
      <c r="FT6" s="2042"/>
      <c r="FU6" s="2042"/>
      <c r="FV6" s="2042"/>
      <c r="FW6" s="2042"/>
      <c r="FX6" s="2042"/>
      <c r="FY6" s="2042"/>
      <c r="FZ6" s="2042"/>
      <c r="GA6" s="2042"/>
      <c r="GB6" s="2042"/>
      <c r="GC6" s="2042"/>
      <c r="GD6" s="2042"/>
      <c r="GE6" s="2042"/>
      <c r="GF6" s="2042"/>
      <c r="GG6" s="2042"/>
      <c r="GH6" s="2042"/>
      <c r="GI6" s="2042"/>
      <c r="GJ6" s="2042"/>
      <c r="GK6" s="2042"/>
      <c r="GL6" s="2042"/>
      <c r="GM6" s="2042"/>
      <c r="GN6" s="2042"/>
      <c r="GO6" s="2042"/>
      <c r="GP6" s="2042"/>
      <c r="GQ6" s="2042"/>
      <c r="GR6" s="2042"/>
      <c r="GS6" s="2042"/>
      <c r="GT6" s="2042"/>
      <c r="GU6" s="2042"/>
      <c r="GV6" s="2042"/>
      <c r="GW6" s="2042"/>
      <c r="GX6" s="2042"/>
      <c r="GY6" s="2042"/>
      <c r="GZ6" s="2042"/>
      <c r="HA6" s="2042"/>
      <c r="HB6" s="2042"/>
      <c r="HC6" s="2042"/>
      <c r="HD6" s="2042"/>
      <c r="HE6" s="2042"/>
      <c r="HF6" s="2042"/>
      <c r="HG6" s="2042"/>
      <c r="HH6" s="2042"/>
      <c r="HI6" s="2042"/>
      <c r="HJ6" s="2042"/>
      <c r="HK6" s="2042"/>
      <c r="HL6" s="2042"/>
      <c r="HM6" s="2042"/>
      <c r="HN6" s="2042"/>
      <c r="HO6" s="2042"/>
      <c r="HP6" s="2042"/>
      <c r="HQ6" s="2042"/>
      <c r="HR6" s="2042"/>
      <c r="HS6" s="2042"/>
      <c r="HT6" s="2042"/>
      <c r="HU6" s="2042"/>
      <c r="HV6" s="2042"/>
      <c r="HW6" s="2042"/>
      <c r="HX6" s="2042"/>
      <c r="HY6" s="2042"/>
      <c r="HZ6" s="2042"/>
      <c r="IA6" s="2042"/>
      <c r="IB6" s="2042"/>
      <c r="IC6" s="2042"/>
      <c r="ID6" s="2042"/>
      <c r="IE6" s="2042"/>
      <c r="IF6" s="2042"/>
      <c r="IG6" s="2042"/>
      <c r="IH6" s="2042"/>
      <c r="II6" s="2042"/>
      <c r="IJ6" s="2042"/>
      <c r="IK6" s="2042"/>
      <c r="IL6" s="2042"/>
      <c r="IM6" s="2042"/>
      <c r="IN6" s="2042"/>
      <c r="IO6" s="2042"/>
      <c r="IP6" s="2042"/>
      <c r="IQ6" s="2042"/>
      <c r="IR6" s="2042"/>
      <c r="IS6" s="2042"/>
      <c r="IT6" s="2042"/>
      <c r="IU6" s="2042"/>
      <c r="IV6" s="2042"/>
    </row>
    <row r="7" spans="1:256" ht="27.75" customHeight="1">
      <c r="A7" s="2058"/>
      <c r="B7" s="2059" t="s">
        <v>7164</v>
      </c>
      <c r="C7" s="2060"/>
      <c r="D7" s="2060"/>
      <c r="E7" s="2057"/>
      <c r="F7" s="2057"/>
      <c r="G7" s="2061"/>
      <c r="H7" s="2057"/>
      <c r="I7" s="2053"/>
      <c r="J7" s="2042"/>
      <c r="K7" s="2042"/>
      <c r="L7" s="2042"/>
      <c r="M7" s="2042"/>
      <c r="N7" s="2042"/>
      <c r="O7" s="2042"/>
      <c r="P7" s="2042"/>
      <c r="Q7" s="2042"/>
      <c r="R7" s="2042"/>
      <c r="S7" s="2042"/>
      <c r="T7" s="2042"/>
      <c r="U7" s="2042"/>
      <c r="V7" s="2042"/>
      <c r="W7" s="2042"/>
      <c r="X7" s="2042"/>
      <c r="Y7" s="2042"/>
      <c r="Z7" s="2042"/>
      <c r="AA7" s="2042"/>
      <c r="AB7" s="2042"/>
      <c r="AC7" s="2042"/>
      <c r="AD7" s="2042"/>
      <c r="AE7" s="2042"/>
      <c r="AF7" s="2042"/>
      <c r="AG7" s="2042"/>
      <c r="AH7" s="2042"/>
      <c r="AI7" s="2042"/>
      <c r="AJ7" s="2042"/>
      <c r="AK7" s="2042"/>
      <c r="AL7" s="2042"/>
      <c r="AM7" s="2042"/>
      <c r="AN7" s="2042"/>
      <c r="AO7" s="2042"/>
      <c r="AP7" s="2042"/>
      <c r="AQ7" s="2042"/>
      <c r="AR7" s="2042"/>
      <c r="AS7" s="2042"/>
      <c r="AT7" s="2042"/>
      <c r="AU7" s="2042"/>
      <c r="AV7" s="2042"/>
      <c r="AW7" s="2042"/>
      <c r="AX7" s="2042"/>
      <c r="AY7" s="2042"/>
      <c r="AZ7" s="2042"/>
      <c r="BA7" s="2042"/>
      <c r="BB7" s="2042"/>
      <c r="BC7" s="2042"/>
      <c r="BD7" s="2042"/>
      <c r="BE7" s="2042"/>
      <c r="BF7" s="2042"/>
      <c r="BG7" s="2042"/>
      <c r="BH7" s="2042"/>
      <c r="BI7" s="2042"/>
      <c r="BJ7" s="2042"/>
      <c r="BK7" s="2042"/>
      <c r="BL7" s="2042"/>
      <c r="BM7" s="2042"/>
      <c r="BN7" s="2042"/>
      <c r="BO7" s="2042"/>
      <c r="BP7" s="2042"/>
      <c r="BQ7" s="2042"/>
      <c r="BR7" s="2042"/>
      <c r="BS7" s="2042"/>
      <c r="BT7" s="2042"/>
      <c r="BU7" s="2042"/>
      <c r="BV7" s="2042"/>
      <c r="BW7" s="2042"/>
      <c r="BX7" s="2042"/>
      <c r="BY7" s="2042"/>
      <c r="BZ7" s="2042"/>
      <c r="CA7" s="2042"/>
      <c r="CB7" s="2042"/>
      <c r="CC7" s="2042"/>
      <c r="CD7" s="2042"/>
      <c r="CE7" s="2042"/>
      <c r="CF7" s="2042"/>
      <c r="CG7" s="2042"/>
      <c r="CH7" s="2042"/>
      <c r="CI7" s="2042"/>
      <c r="CJ7" s="2042"/>
      <c r="CK7" s="2042"/>
      <c r="CL7" s="2042"/>
      <c r="CM7" s="2042"/>
      <c r="CN7" s="2042"/>
      <c r="CO7" s="2042"/>
      <c r="CP7" s="2042"/>
      <c r="CQ7" s="2042"/>
      <c r="CR7" s="2042"/>
      <c r="CS7" s="2042"/>
      <c r="CT7" s="2042"/>
      <c r="CU7" s="2042"/>
      <c r="CV7" s="2042"/>
      <c r="CW7" s="2042"/>
      <c r="CX7" s="2042"/>
      <c r="CY7" s="2042"/>
      <c r="CZ7" s="2042"/>
      <c r="DA7" s="2042"/>
      <c r="DB7" s="2042"/>
      <c r="DC7" s="2042"/>
      <c r="DD7" s="2042"/>
      <c r="DE7" s="2042"/>
      <c r="DF7" s="2042"/>
      <c r="DG7" s="2042"/>
      <c r="DH7" s="2042"/>
      <c r="DI7" s="2042"/>
      <c r="DJ7" s="2042"/>
      <c r="DK7" s="2042"/>
      <c r="DL7" s="2042"/>
      <c r="DM7" s="2042"/>
      <c r="DN7" s="2042"/>
      <c r="DO7" s="2042"/>
      <c r="DP7" s="2042"/>
      <c r="DQ7" s="2042"/>
      <c r="DR7" s="2042"/>
      <c r="DS7" s="2042"/>
      <c r="DT7" s="2042"/>
      <c r="DU7" s="2042"/>
      <c r="DV7" s="2042"/>
      <c r="DW7" s="2042"/>
      <c r="DX7" s="2042"/>
      <c r="DY7" s="2042"/>
      <c r="DZ7" s="2042"/>
      <c r="EA7" s="2042"/>
      <c r="EB7" s="2042"/>
      <c r="EC7" s="2042"/>
      <c r="ED7" s="2042"/>
      <c r="EE7" s="2042"/>
      <c r="EF7" s="2042"/>
      <c r="EG7" s="2042"/>
      <c r="EH7" s="2042"/>
      <c r="EI7" s="2042"/>
      <c r="EJ7" s="2042"/>
      <c r="EK7" s="2042"/>
      <c r="EL7" s="2042"/>
      <c r="EM7" s="2042"/>
      <c r="EN7" s="2042"/>
      <c r="EO7" s="2042"/>
      <c r="EP7" s="2042"/>
      <c r="EQ7" s="2042"/>
      <c r="ER7" s="2042"/>
      <c r="ES7" s="2042"/>
      <c r="ET7" s="2042"/>
      <c r="EU7" s="2042"/>
      <c r="EV7" s="2042"/>
      <c r="EW7" s="2042"/>
      <c r="EX7" s="2042"/>
      <c r="EY7" s="2042"/>
      <c r="EZ7" s="2042"/>
      <c r="FA7" s="2042"/>
      <c r="FB7" s="2042"/>
      <c r="FC7" s="2042"/>
      <c r="FD7" s="2042"/>
      <c r="FE7" s="2042"/>
      <c r="FF7" s="2042"/>
      <c r="FG7" s="2042"/>
      <c r="FH7" s="2042"/>
      <c r="FI7" s="2042"/>
      <c r="FJ7" s="2042"/>
      <c r="FK7" s="2042"/>
      <c r="FL7" s="2042"/>
      <c r="FM7" s="2042"/>
      <c r="FN7" s="2042"/>
      <c r="FO7" s="2042"/>
      <c r="FP7" s="2042"/>
      <c r="FQ7" s="2042"/>
      <c r="FR7" s="2042"/>
      <c r="FS7" s="2042"/>
      <c r="FT7" s="2042"/>
      <c r="FU7" s="2042"/>
      <c r="FV7" s="2042"/>
      <c r="FW7" s="2042"/>
      <c r="FX7" s="2042"/>
      <c r="FY7" s="2042"/>
      <c r="FZ7" s="2042"/>
      <c r="GA7" s="2042"/>
      <c r="GB7" s="2042"/>
      <c r="GC7" s="2042"/>
      <c r="GD7" s="2042"/>
      <c r="GE7" s="2042"/>
      <c r="GF7" s="2042"/>
      <c r="GG7" s="2042"/>
      <c r="GH7" s="2042"/>
      <c r="GI7" s="2042"/>
      <c r="GJ7" s="2042"/>
      <c r="GK7" s="2042"/>
      <c r="GL7" s="2042"/>
      <c r="GM7" s="2042"/>
      <c r="GN7" s="2042"/>
      <c r="GO7" s="2042"/>
      <c r="GP7" s="2042"/>
      <c r="GQ7" s="2042"/>
      <c r="GR7" s="2042"/>
      <c r="GS7" s="2042"/>
      <c r="GT7" s="2042"/>
      <c r="GU7" s="2042"/>
      <c r="GV7" s="2042"/>
      <c r="GW7" s="2042"/>
      <c r="GX7" s="2042"/>
      <c r="GY7" s="2042"/>
      <c r="GZ7" s="2042"/>
      <c r="HA7" s="2042"/>
      <c r="HB7" s="2042"/>
      <c r="HC7" s="2042"/>
      <c r="HD7" s="2042"/>
      <c r="HE7" s="2042"/>
      <c r="HF7" s="2042"/>
      <c r="HG7" s="2042"/>
      <c r="HH7" s="2042"/>
      <c r="HI7" s="2042"/>
      <c r="HJ7" s="2042"/>
      <c r="HK7" s="2042"/>
      <c r="HL7" s="2042"/>
      <c r="HM7" s="2042"/>
      <c r="HN7" s="2042"/>
      <c r="HO7" s="2042"/>
      <c r="HP7" s="2042"/>
      <c r="HQ7" s="2042"/>
      <c r="HR7" s="2042"/>
      <c r="HS7" s="2042"/>
      <c r="HT7" s="2042"/>
      <c r="HU7" s="2042"/>
      <c r="HV7" s="2042"/>
      <c r="HW7" s="2042"/>
      <c r="HX7" s="2042"/>
      <c r="HY7" s="2042"/>
      <c r="HZ7" s="2042"/>
      <c r="IA7" s="2042"/>
      <c r="IB7" s="2042"/>
      <c r="IC7" s="2042"/>
      <c r="ID7" s="2042"/>
      <c r="IE7" s="2042"/>
      <c r="IF7" s="2042"/>
      <c r="IG7" s="2042"/>
      <c r="IH7" s="2042"/>
      <c r="II7" s="2042"/>
      <c r="IJ7" s="2042"/>
      <c r="IK7" s="2042"/>
      <c r="IL7" s="2042"/>
      <c r="IM7" s="2042"/>
      <c r="IN7" s="2042"/>
      <c r="IO7" s="2042"/>
      <c r="IP7" s="2042"/>
      <c r="IQ7" s="2042"/>
      <c r="IR7" s="2042"/>
      <c r="IS7" s="2042"/>
      <c r="IT7" s="2042"/>
      <c r="IU7" s="2042"/>
      <c r="IV7" s="2042"/>
    </row>
    <row r="8" spans="1:256" ht="24.75" customHeight="1">
      <c r="A8" s="2058"/>
      <c r="B8" s="2057" t="s">
        <v>7578</v>
      </c>
      <c r="C8" s="2060">
        <v>1</v>
      </c>
      <c r="D8" s="2060">
        <v>1</v>
      </c>
      <c r="E8" s="2062">
        <v>5.2</v>
      </c>
      <c r="F8" s="2062">
        <v>3.2</v>
      </c>
      <c r="G8" s="2063">
        <v>2</v>
      </c>
      <c r="H8" s="2062">
        <f>PRODUCT(C8:G8)</f>
        <v>33.28</v>
      </c>
      <c r="I8" s="2053"/>
      <c r="J8" s="2064"/>
      <c r="K8" s="2042"/>
      <c r="L8" s="2042"/>
      <c r="M8" s="2042"/>
      <c r="N8" s="2042"/>
      <c r="O8" s="2042"/>
      <c r="P8" s="2042"/>
      <c r="Q8" s="2042"/>
      <c r="R8" s="2042"/>
      <c r="S8" s="2042"/>
      <c r="T8" s="2042"/>
      <c r="U8" s="2042"/>
      <c r="V8" s="2042"/>
      <c r="W8" s="2042"/>
      <c r="X8" s="2042"/>
      <c r="Y8" s="2042"/>
      <c r="Z8" s="2042"/>
      <c r="AA8" s="2042"/>
      <c r="AB8" s="2042"/>
      <c r="AC8" s="2042"/>
      <c r="AD8" s="2042"/>
      <c r="AE8" s="2042"/>
      <c r="AF8" s="2042"/>
      <c r="AG8" s="2042"/>
      <c r="AH8" s="2042"/>
      <c r="AI8" s="2042"/>
      <c r="AJ8" s="2042"/>
      <c r="AK8" s="2042"/>
      <c r="AL8" s="2042"/>
      <c r="AM8" s="2042"/>
      <c r="AN8" s="2042"/>
      <c r="AO8" s="2042"/>
      <c r="AP8" s="2042"/>
      <c r="AQ8" s="2042"/>
      <c r="AR8" s="2042"/>
      <c r="AS8" s="2042"/>
      <c r="AT8" s="2042"/>
      <c r="AU8" s="2042"/>
      <c r="AV8" s="2042"/>
      <c r="AW8" s="2042"/>
      <c r="AX8" s="2042"/>
      <c r="AY8" s="2042"/>
      <c r="AZ8" s="2042"/>
      <c r="BA8" s="2042"/>
      <c r="BB8" s="2042"/>
      <c r="BC8" s="2042"/>
      <c r="BD8" s="2042"/>
      <c r="BE8" s="2042"/>
      <c r="BF8" s="2042"/>
      <c r="BG8" s="2042"/>
      <c r="BH8" s="2042"/>
      <c r="BI8" s="2042"/>
      <c r="BJ8" s="2042"/>
      <c r="BK8" s="2042"/>
      <c r="BL8" s="2042"/>
      <c r="BM8" s="2042"/>
      <c r="BN8" s="2042"/>
      <c r="BO8" s="2042"/>
      <c r="BP8" s="2042"/>
      <c r="BQ8" s="2042"/>
      <c r="BR8" s="2042"/>
      <c r="BS8" s="2042"/>
      <c r="BT8" s="2042"/>
      <c r="BU8" s="2042"/>
      <c r="BV8" s="2042"/>
      <c r="BW8" s="2042"/>
      <c r="BX8" s="2042"/>
      <c r="BY8" s="2042"/>
      <c r="BZ8" s="2042"/>
      <c r="CA8" s="2042"/>
      <c r="CB8" s="2042"/>
      <c r="CC8" s="2042"/>
      <c r="CD8" s="2042"/>
      <c r="CE8" s="2042"/>
      <c r="CF8" s="2042"/>
      <c r="CG8" s="2042"/>
      <c r="CH8" s="2042"/>
      <c r="CI8" s="2042"/>
      <c r="CJ8" s="2042"/>
      <c r="CK8" s="2042"/>
      <c r="CL8" s="2042"/>
      <c r="CM8" s="2042"/>
      <c r="CN8" s="2042"/>
      <c r="CO8" s="2042"/>
      <c r="CP8" s="2042"/>
      <c r="CQ8" s="2042"/>
      <c r="CR8" s="2042"/>
      <c r="CS8" s="2042"/>
      <c r="CT8" s="2042"/>
      <c r="CU8" s="2042"/>
      <c r="CV8" s="2042"/>
      <c r="CW8" s="2042"/>
      <c r="CX8" s="2042"/>
      <c r="CY8" s="2042"/>
      <c r="CZ8" s="2042"/>
      <c r="DA8" s="2042"/>
      <c r="DB8" s="2042"/>
      <c r="DC8" s="2042"/>
      <c r="DD8" s="2042"/>
      <c r="DE8" s="2042"/>
      <c r="DF8" s="2042"/>
      <c r="DG8" s="2042"/>
      <c r="DH8" s="2042"/>
      <c r="DI8" s="2042"/>
      <c r="DJ8" s="2042"/>
      <c r="DK8" s="2042"/>
      <c r="DL8" s="2042"/>
      <c r="DM8" s="2042"/>
      <c r="DN8" s="2042"/>
      <c r="DO8" s="2042"/>
      <c r="DP8" s="2042"/>
      <c r="DQ8" s="2042"/>
      <c r="DR8" s="2042"/>
      <c r="DS8" s="2042"/>
      <c r="DT8" s="2042"/>
      <c r="DU8" s="2042"/>
      <c r="DV8" s="2042"/>
      <c r="DW8" s="2042"/>
      <c r="DX8" s="2042"/>
      <c r="DY8" s="2042"/>
      <c r="DZ8" s="2042"/>
      <c r="EA8" s="2042"/>
      <c r="EB8" s="2042"/>
      <c r="EC8" s="2042"/>
      <c r="ED8" s="2042"/>
      <c r="EE8" s="2042"/>
      <c r="EF8" s="2042"/>
      <c r="EG8" s="2042"/>
      <c r="EH8" s="2042"/>
      <c r="EI8" s="2042"/>
      <c r="EJ8" s="2042"/>
      <c r="EK8" s="2042"/>
      <c r="EL8" s="2042"/>
      <c r="EM8" s="2042"/>
      <c r="EN8" s="2042"/>
      <c r="EO8" s="2042"/>
      <c r="EP8" s="2042"/>
      <c r="EQ8" s="2042"/>
      <c r="ER8" s="2042"/>
      <c r="ES8" s="2042"/>
      <c r="ET8" s="2042"/>
      <c r="EU8" s="2042"/>
      <c r="EV8" s="2042"/>
      <c r="EW8" s="2042"/>
      <c r="EX8" s="2042"/>
      <c r="EY8" s="2042"/>
      <c r="EZ8" s="2042"/>
      <c r="FA8" s="2042"/>
      <c r="FB8" s="2042"/>
      <c r="FC8" s="2042"/>
      <c r="FD8" s="2042"/>
      <c r="FE8" s="2042"/>
      <c r="FF8" s="2042"/>
      <c r="FG8" s="2042"/>
      <c r="FH8" s="2042"/>
      <c r="FI8" s="2042"/>
      <c r="FJ8" s="2042"/>
      <c r="FK8" s="2042"/>
      <c r="FL8" s="2042"/>
      <c r="FM8" s="2042"/>
      <c r="FN8" s="2042"/>
      <c r="FO8" s="2042"/>
      <c r="FP8" s="2042"/>
      <c r="FQ8" s="2042"/>
      <c r="FR8" s="2042"/>
      <c r="FS8" s="2042"/>
      <c r="FT8" s="2042"/>
      <c r="FU8" s="2042"/>
      <c r="FV8" s="2042"/>
      <c r="FW8" s="2042"/>
      <c r="FX8" s="2042"/>
      <c r="FY8" s="2042"/>
      <c r="FZ8" s="2042"/>
      <c r="GA8" s="2042"/>
      <c r="GB8" s="2042"/>
      <c r="GC8" s="2042"/>
      <c r="GD8" s="2042"/>
      <c r="GE8" s="2042"/>
      <c r="GF8" s="2042"/>
      <c r="GG8" s="2042"/>
      <c r="GH8" s="2042"/>
      <c r="GI8" s="2042"/>
      <c r="GJ8" s="2042"/>
      <c r="GK8" s="2042"/>
      <c r="GL8" s="2042"/>
      <c r="GM8" s="2042"/>
      <c r="GN8" s="2042"/>
      <c r="GO8" s="2042"/>
      <c r="GP8" s="2042"/>
      <c r="GQ8" s="2042"/>
      <c r="GR8" s="2042"/>
      <c r="GS8" s="2042"/>
      <c r="GT8" s="2042"/>
      <c r="GU8" s="2042"/>
      <c r="GV8" s="2042"/>
      <c r="GW8" s="2042"/>
      <c r="GX8" s="2042"/>
      <c r="GY8" s="2042"/>
      <c r="GZ8" s="2042"/>
      <c r="HA8" s="2042"/>
      <c r="HB8" s="2042"/>
      <c r="HC8" s="2042"/>
      <c r="HD8" s="2042"/>
      <c r="HE8" s="2042"/>
      <c r="HF8" s="2042"/>
      <c r="HG8" s="2042"/>
      <c r="HH8" s="2042"/>
      <c r="HI8" s="2042"/>
      <c r="HJ8" s="2042"/>
      <c r="HK8" s="2042"/>
      <c r="HL8" s="2042"/>
      <c r="HM8" s="2042"/>
      <c r="HN8" s="2042"/>
      <c r="HO8" s="2042"/>
      <c r="HP8" s="2042"/>
      <c r="HQ8" s="2042"/>
      <c r="HR8" s="2042"/>
      <c r="HS8" s="2042"/>
      <c r="HT8" s="2042"/>
      <c r="HU8" s="2042"/>
      <c r="HV8" s="2042"/>
      <c r="HW8" s="2042"/>
      <c r="HX8" s="2042"/>
      <c r="HY8" s="2042"/>
      <c r="HZ8" s="2042"/>
      <c r="IA8" s="2042"/>
      <c r="IB8" s="2042"/>
      <c r="IC8" s="2042"/>
      <c r="ID8" s="2042"/>
      <c r="IE8" s="2042"/>
      <c r="IF8" s="2042"/>
      <c r="IG8" s="2042"/>
      <c r="IH8" s="2042"/>
      <c r="II8" s="2042"/>
      <c r="IJ8" s="2042"/>
      <c r="IK8" s="2042"/>
      <c r="IL8" s="2042"/>
      <c r="IM8" s="2042"/>
      <c r="IN8" s="2042"/>
      <c r="IO8" s="2042"/>
      <c r="IP8" s="2042"/>
      <c r="IQ8" s="2042"/>
      <c r="IR8" s="2042"/>
      <c r="IS8" s="2042"/>
      <c r="IT8" s="2042"/>
      <c r="IU8" s="2042"/>
      <c r="IV8" s="2042"/>
    </row>
    <row r="9" spans="1:256" ht="24.75" customHeight="1">
      <c r="A9" s="2058"/>
      <c r="B9" s="2057" t="s">
        <v>7579</v>
      </c>
      <c r="C9" s="2060">
        <v>1</v>
      </c>
      <c r="D9" s="2058">
        <v>2</v>
      </c>
      <c r="E9" s="2062">
        <v>8</v>
      </c>
      <c r="F9" s="2062">
        <v>1</v>
      </c>
      <c r="G9" s="2063">
        <v>1</v>
      </c>
      <c r="H9" s="2062">
        <f>PRODUCT(C9:G9)</f>
        <v>16</v>
      </c>
      <c r="I9" s="2053"/>
      <c r="J9" s="2064"/>
      <c r="K9" s="2042"/>
      <c r="L9" s="2042"/>
      <c r="M9" s="2042"/>
      <c r="N9" s="2042"/>
      <c r="O9" s="2042"/>
      <c r="P9" s="2042"/>
      <c r="Q9" s="2042"/>
      <c r="R9" s="2042"/>
      <c r="S9" s="2042"/>
      <c r="T9" s="2042"/>
      <c r="U9" s="2042"/>
      <c r="V9" s="2042"/>
      <c r="W9" s="2042"/>
      <c r="X9" s="2042"/>
      <c r="Y9" s="2042"/>
      <c r="Z9" s="2042"/>
      <c r="AA9" s="2042"/>
      <c r="AB9" s="2042"/>
      <c r="AC9" s="2042"/>
      <c r="AD9" s="2042"/>
      <c r="AE9" s="2042"/>
      <c r="AF9" s="2042"/>
      <c r="AG9" s="2042"/>
      <c r="AH9" s="2042"/>
      <c r="AI9" s="2042"/>
      <c r="AJ9" s="2042"/>
      <c r="AK9" s="2042"/>
      <c r="AL9" s="2042"/>
      <c r="AM9" s="2042"/>
      <c r="AN9" s="2042"/>
      <c r="AO9" s="2042"/>
      <c r="AP9" s="2042"/>
      <c r="AQ9" s="2042"/>
      <c r="AR9" s="2042"/>
      <c r="AS9" s="2042"/>
      <c r="AT9" s="2042"/>
      <c r="AU9" s="2042"/>
      <c r="AV9" s="2042"/>
      <c r="AW9" s="2042"/>
      <c r="AX9" s="2042"/>
      <c r="AY9" s="2042"/>
      <c r="AZ9" s="2042"/>
      <c r="BA9" s="2042"/>
      <c r="BB9" s="2042"/>
      <c r="BC9" s="2042"/>
      <c r="BD9" s="2042"/>
      <c r="BE9" s="2042"/>
      <c r="BF9" s="2042"/>
      <c r="BG9" s="2042"/>
      <c r="BH9" s="2042"/>
      <c r="BI9" s="2042"/>
      <c r="BJ9" s="2042"/>
      <c r="BK9" s="2042"/>
      <c r="BL9" s="2042"/>
      <c r="BM9" s="2042"/>
      <c r="BN9" s="2042"/>
      <c r="BO9" s="2042"/>
      <c r="BP9" s="2042"/>
      <c r="BQ9" s="2042"/>
      <c r="BR9" s="2042"/>
      <c r="BS9" s="2042"/>
      <c r="BT9" s="2042"/>
      <c r="BU9" s="2042"/>
      <c r="BV9" s="2042"/>
      <c r="BW9" s="2042"/>
      <c r="BX9" s="2042"/>
      <c r="BY9" s="2042"/>
      <c r="BZ9" s="2042"/>
      <c r="CA9" s="2042"/>
      <c r="CB9" s="2042"/>
      <c r="CC9" s="2042"/>
      <c r="CD9" s="2042"/>
      <c r="CE9" s="2042"/>
      <c r="CF9" s="2042"/>
      <c r="CG9" s="2042"/>
      <c r="CH9" s="2042"/>
      <c r="CI9" s="2042"/>
      <c r="CJ9" s="2042"/>
      <c r="CK9" s="2042"/>
      <c r="CL9" s="2042"/>
      <c r="CM9" s="2042"/>
      <c r="CN9" s="2042"/>
      <c r="CO9" s="2042"/>
      <c r="CP9" s="2042"/>
      <c r="CQ9" s="2042"/>
      <c r="CR9" s="2042"/>
      <c r="CS9" s="2042"/>
      <c r="CT9" s="2042"/>
      <c r="CU9" s="2042"/>
      <c r="CV9" s="2042"/>
      <c r="CW9" s="2042"/>
      <c r="CX9" s="2042"/>
      <c r="CY9" s="2042"/>
      <c r="CZ9" s="2042"/>
      <c r="DA9" s="2042"/>
      <c r="DB9" s="2042"/>
      <c r="DC9" s="2042"/>
      <c r="DD9" s="2042"/>
      <c r="DE9" s="2042"/>
      <c r="DF9" s="2042"/>
      <c r="DG9" s="2042"/>
      <c r="DH9" s="2042"/>
      <c r="DI9" s="2042"/>
      <c r="DJ9" s="2042"/>
      <c r="DK9" s="2042"/>
      <c r="DL9" s="2042"/>
      <c r="DM9" s="2042"/>
      <c r="DN9" s="2042"/>
      <c r="DO9" s="2042"/>
      <c r="DP9" s="2042"/>
      <c r="DQ9" s="2042"/>
      <c r="DR9" s="2042"/>
      <c r="DS9" s="2042"/>
      <c r="DT9" s="2042"/>
      <c r="DU9" s="2042"/>
      <c r="DV9" s="2042"/>
      <c r="DW9" s="2042"/>
      <c r="DX9" s="2042"/>
      <c r="DY9" s="2042"/>
      <c r="DZ9" s="2042"/>
      <c r="EA9" s="2042"/>
      <c r="EB9" s="2042"/>
      <c r="EC9" s="2042"/>
      <c r="ED9" s="2042"/>
      <c r="EE9" s="2042"/>
      <c r="EF9" s="2042"/>
      <c r="EG9" s="2042"/>
      <c r="EH9" s="2042"/>
      <c r="EI9" s="2042"/>
      <c r="EJ9" s="2042"/>
      <c r="EK9" s="2042"/>
      <c r="EL9" s="2042"/>
      <c r="EM9" s="2042"/>
      <c r="EN9" s="2042"/>
      <c r="EO9" s="2042"/>
      <c r="EP9" s="2042"/>
      <c r="EQ9" s="2042"/>
      <c r="ER9" s="2042"/>
      <c r="ES9" s="2042"/>
      <c r="ET9" s="2042"/>
      <c r="EU9" s="2042"/>
      <c r="EV9" s="2042"/>
      <c r="EW9" s="2042"/>
      <c r="EX9" s="2042"/>
      <c r="EY9" s="2042"/>
      <c r="EZ9" s="2042"/>
      <c r="FA9" s="2042"/>
      <c r="FB9" s="2042"/>
      <c r="FC9" s="2042"/>
      <c r="FD9" s="2042"/>
      <c r="FE9" s="2042"/>
      <c r="FF9" s="2042"/>
      <c r="FG9" s="2042"/>
      <c r="FH9" s="2042"/>
      <c r="FI9" s="2042"/>
      <c r="FJ9" s="2042"/>
      <c r="FK9" s="2042"/>
      <c r="FL9" s="2042"/>
      <c r="FM9" s="2042"/>
      <c r="FN9" s="2042"/>
      <c r="FO9" s="2042"/>
      <c r="FP9" s="2042"/>
      <c r="FQ9" s="2042"/>
      <c r="FR9" s="2042"/>
      <c r="FS9" s="2042"/>
      <c r="FT9" s="2042"/>
      <c r="FU9" s="2042"/>
      <c r="FV9" s="2042"/>
      <c r="FW9" s="2042"/>
      <c r="FX9" s="2042"/>
      <c r="FY9" s="2042"/>
      <c r="FZ9" s="2042"/>
      <c r="GA9" s="2042"/>
      <c r="GB9" s="2042"/>
      <c r="GC9" s="2042"/>
      <c r="GD9" s="2042"/>
      <c r="GE9" s="2042"/>
      <c r="GF9" s="2042"/>
      <c r="GG9" s="2042"/>
      <c r="GH9" s="2042"/>
      <c r="GI9" s="2042"/>
      <c r="GJ9" s="2042"/>
      <c r="GK9" s="2042"/>
      <c r="GL9" s="2042"/>
      <c r="GM9" s="2042"/>
      <c r="GN9" s="2042"/>
      <c r="GO9" s="2042"/>
      <c r="GP9" s="2042"/>
      <c r="GQ9" s="2042"/>
      <c r="GR9" s="2042"/>
      <c r="GS9" s="2042"/>
      <c r="GT9" s="2042"/>
      <c r="GU9" s="2042"/>
      <c r="GV9" s="2042"/>
      <c r="GW9" s="2042"/>
      <c r="GX9" s="2042"/>
      <c r="GY9" s="2042"/>
      <c r="GZ9" s="2042"/>
      <c r="HA9" s="2042"/>
      <c r="HB9" s="2042"/>
      <c r="HC9" s="2042"/>
      <c r="HD9" s="2042"/>
      <c r="HE9" s="2042"/>
      <c r="HF9" s="2042"/>
      <c r="HG9" s="2042"/>
      <c r="HH9" s="2042"/>
      <c r="HI9" s="2042"/>
      <c r="HJ9" s="2042"/>
      <c r="HK9" s="2042"/>
      <c r="HL9" s="2042"/>
      <c r="HM9" s="2042"/>
      <c r="HN9" s="2042"/>
      <c r="HO9" s="2042"/>
      <c r="HP9" s="2042"/>
      <c r="HQ9" s="2042"/>
      <c r="HR9" s="2042"/>
      <c r="HS9" s="2042"/>
      <c r="HT9" s="2042"/>
      <c r="HU9" s="2042"/>
      <c r="HV9" s="2042"/>
      <c r="HW9" s="2042"/>
      <c r="HX9" s="2042"/>
      <c r="HY9" s="2042"/>
      <c r="HZ9" s="2042"/>
      <c r="IA9" s="2042"/>
      <c r="IB9" s="2042"/>
      <c r="IC9" s="2042"/>
      <c r="ID9" s="2042"/>
      <c r="IE9" s="2042"/>
      <c r="IF9" s="2042"/>
      <c r="IG9" s="2042"/>
      <c r="IH9" s="2042"/>
      <c r="II9" s="2042"/>
      <c r="IJ9" s="2042"/>
      <c r="IK9" s="2042"/>
      <c r="IL9" s="2042"/>
      <c r="IM9" s="2042"/>
      <c r="IN9" s="2042"/>
      <c r="IO9" s="2042"/>
      <c r="IP9" s="2042"/>
      <c r="IQ9" s="2042"/>
      <c r="IR9" s="2042"/>
      <c r="IS9" s="2042"/>
      <c r="IT9" s="2042"/>
      <c r="IU9" s="2042"/>
      <c r="IV9" s="2042"/>
    </row>
    <row r="10" spans="1:256" ht="24.75" customHeight="1">
      <c r="A10" s="2058"/>
      <c r="B10" s="2057" t="s">
        <v>7580</v>
      </c>
      <c r="C10" s="2060">
        <v>1</v>
      </c>
      <c r="D10" s="2058">
        <v>2</v>
      </c>
      <c r="E10" s="2062">
        <v>1.4</v>
      </c>
      <c r="F10" s="2062">
        <v>1.4</v>
      </c>
      <c r="G10" s="2063">
        <v>1</v>
      </c>
      <c r="H10" s="2062">
        <f>PRODUCT(C10:G10)</f>
        <v>3.92</v>
      </c>
      <c r="I10" s="2053"/>
      <c r="J10" s="2064"/>
      <c r="K10" s="2042"/>
      <c r="L10" s="2042"/>
      <c r="M10" s="2042"/>
      <c r="N10" s="2042"/>
      <c r="O10" s="2042"/>
      <c r="P10" s="2042"/>
      <c r="Q10" s="2042"/>
      <c r="R10" s="2042"/>
      <c r="S10" s="2042"/>
      <c r="T10" s="2042"/>
      <c r="U10" s="2042"/>
      <c r="V10" s="2042"/>
      <c r="W10" s="2042"/>
      <c r="X10" s="2042"/>
      <c r="Y10" s="2042"/>
      <c r="Z10" s="2042"/>
      <c r="AA10" s="2042"/>
      <c r="AB10" s="2042"/>
      <c r="AC10" s="2042"/>
      <c r="AD10" s="2042"/>
      <c r="AE10" s="2042"/>
      <c r="AF10" s="2042"/>
      <c r="AG10" s="2042"/>
      <c r="AH10" s="2042"/>
      <c r="AI10" s="2042"/>
      <c r="AJ10" s="2042"/>
      <c r="AK10" s="2042"/>
      <c r="AL10" s="2042"/>
      <c r="AM10" s="2042"/>
      <c r="AN10" s="2042"/>
      <c r="AO10" s="2042"/>
      <c r="AP10" s="2042"/>
      <c r="AQ10" s="2042"/>
      <c r="AR10" s="2042"/>
      <c r="AS10" s="2042"/>
      <c r="AT10" s="2042"/>
      <c r="AU10" s="2042"/>
      <c r="AV10" s="2042"/>
      <c r="AW10" s="2042"/>
      <c r="AX10" s="2042"/>
      <c r="AY10" s="2042"/>
      <c r="AZ10" s="2042"/>
      <c r="BA10" s="2042"/>
      <c r="BB10" s="2042"/>
      <c r="BC10" s="2042"/>
      <c r="BD10" s="2042"/>
      <c r="BE10" s="2042"/>
      <c r="BF10" s="2042"/>
      <c r="BG10" s="2042"/>
      <c r="BH10" s="2042"/>
      <c r="BI10" s="2042"/>
      <c r="BJ10" s="2042"/>
      <c r="BK10" s="2042"/>
      <c r="BL10" s="2042"/>
      <c r="BM10" s="2042"/>
      <c r="BN10" s="2042"/>
      <c r="BO10" s="2042"/>
      <c r="BP10" s="2042"/>
      <c r="BQ10" s="2042"/>
      <c r="BR10" s="2042"/>
      <c r="BS10" s="2042"/>
      <c r="BT10" s="2042"/>
      <c r="BU10" s="2042"/>
      <c r="BV10" s="2042"/>
      <c r="BW10" s="2042"/>
      <c r="BX10" s="2042"/>
      <c r="BY10" s="2042"/>
      <c r="BZ10" s="2042"/>
      <c r="CA10" s="2042"/>
      <c r="CB10" s="2042"/>
      <c r="CC10" s="2042"/>
      <c r="CD10" s="2042"/>
      <c r="CE10" s="2042"/>
      <c r="CF10" s="2042"/>
      <c r="CG10" s="2042"/>
      <c r="CH10" s="2042"/>
      <c r="CI10" s="2042"/>
      <c r="CJ10" s="2042"/>
      <c r="CK10" s="2042"/>
      <c r="CL10" s="2042"/>
      <c r="CM10" s="2042"/>
      <c r="CN10" s="2042"/>
      <c r="CO10" s="2042"/>
      <c r="CP10" s="2042"/>
      <c r="CQ10" s="2042"/>
      <c r="CR10" s="2042"/>
      <c r="CS10" s="2042"/>
      <c r="CT10" s="2042"/>
      <c r="CU10" s="2042"/>
      <c r="CV10" s="2042"/>
      <c r="CW10" s="2042"/>
      <c r="CX10" s="2042"/>
      <c r="CY10" s="2042"/>
      <c r="CZ10" s="2042"/>
      <c r="DA10" s="2042"/>
      <c r="DB10" s="2042"/>
      <c r="DC10" s="2042"/>
      <c r="DD10" s="2042"/>
      <c r="DE10" s="2042"/>
      <c r="DF10" s="2042"/>
      <c r="DG10" s="2042"/>
      <c r="DH10" s="2042"/>
      <c r="DI10" s="2042"/>
      <c r="DJ10" s="2042"/>
      <c r="DK10" s="2042"/>
      <c r="DL10" s="2042"/>
      <c r="DM10" s="2042"/>
      <c r="DN10" s="2042"/>
      <c r="DO10" s="2042"/>
      <c r="DP10" s="2042"/>
      <c r="DQ10" s="2042"/>
      <c r="DR10" s="2042"/>
      <c r="DS10" s="2042"/>
      <c r="DT10" s="2042"/>
      <c r="DU10" s="2042"/>
      <c r="DV10" s="2042"/>
      <c r="DW10" s="2042"/>
      <c r="DX10" s="2042"/>
      <c r="DY10" s="2042"/>
      <c r="DZ10" s="2042"/>
      <c r="EA10" s="2042"/>
      <c r="EB10" s="2042"/>
      <c r="EC10" s="2042"/>
      <c r="ED10" s="2042"/>
      <c r="EE10" s="2042"/>
      <c r="EF10" s="2042"/>
      <c r="EG10" s="2042"/>
      <c r="EH10" s="2042"/>
      <c r="EI10" s="2042"/>
      <c r="EJ10" s="2042"/>
      <c r="EK10" s="2042"/>
      <c r="EL10" s="2042"/>
      <c r="EM10" s="2042"/>
      <c r="EN10" s="2042"/>
      <c r="EO10" s="2042"/>
      <c r="EP10" s="2042"/>
      <c r="EQ10" s="2042"/>
      <c r="ER10" s="2042"/>
      <c r="ES10" s="2042"/>
      <c r="ET10" s="2042"/>
      <c r="EU10" s="2042"/>
      <c r="EV10" s="2042"/>
      <c r="EW10" s="2042"/>
      <c r="EX10" s="2042"/>
      <c r="EY10" s="2042"/>
      <c r="EZ10" s="2042"/>
      <c r="FA10" s="2042"/>
      <c r="FB10" s="2042"/>
      <c r="FC10" s="2042"/>
      <c r="FD10" s="2042"/>
      <c r="FE10" s="2042"/>
      <c r="FF10" s="2042"/>
      <c r="FG10" s="2042"/>
      <c r="FH10" s="2042"/>
      <c r="FI10" s="2042"/>
      <c r="FJ10" s="2042"/>
      <c r="FK10" s="2042"/>
      <c r="FL10" s="2042"/>
      <c r="FM10" s="2042"/>
      <c r="FN10" s="2042"/>
      <c r="FO10" s="2042"/>
      <c r="FP10" s="2042"/>
      <c r="FQ10" s="2042"/>
      <c r="FR10" s="2042"/>
      <c r="FS10" s="2042"/>
      <c r="FT10" s="2042"/>
      <c r="FU10" s="2042"/>
      <c r="FV10" s="2042"/>
      <c r="FW10" s="2042"/>
      <c r="FX10" s="2042"/>
      <c r="FY10" s="2042"/>
      <c r="FZ10" s="2042"/>
      <c r="GA10" s="2042"/>
      <c r="GB10" s="2042"/>
      <c r="GC10" s="2042"/>
      <c r="GD10" s="2042"/>
      <c r="GE10" s="2042"/>
      <c r="GF10" s="2042"/>
      <c r="GG10" s="2042"/>
      <c r="GH10" s="2042"/>
      <c r="GI10" s="2042"/>
      <c r="GJ10" s="2042"/>
      <c r="GK10" s="2042"/>
      <c r="GL10" s="2042"/>
      <c r="GM10" s="2042"/>
      <c r="GN10" s="2042"/>
      <c r="GO10" s="2042"/>
      <c r="GP10" s="2042"/>
      <c r="GQ10" s="2042"/>
      <c r="GR10" s="2042"/>
      <c r="GS10" s="2042"/>
      <c r="GT10" s="2042"/>
      <c r="GU10" s="2042"/>
      <c r="GV10" s="2042"/>
      <c r="GW10" s="2042"/>
      <c r="GX10" s="2042"/>
      <c r="GY10" s="2042"/>
      <c r="GZ10" s="2042"/>
      <c r="HA10" s="2042"/>
      <c r="HB10" s="2042"/>
      <c r="HC10" s="2042"/>
      <c r="HD10" s="2042"/>
      <c r="HE10" s="2042"/>
      <c r="HF10" s="2042"/>
      <c r="HG10" s="2042"/>
      <c r="HH10" s="2042"/>
      <c r="HI10" s="2042"/>
      <c r="HJ10" s="2042"/>
      <c r="HK10" s="2042"/>
      <c r="HL10" s="2042"/>
      <c r="HM10" s="2042"/>
      <c r="HN10" s="2042"/>
      <c r="HO10" s="2042"/>
      <c r="HP10" s="2042"/>
      <c r="HQ10" s="2042"/>
      <c r="HR10" s="2042"/>
      <c r="HS10" s="2042"/>
      <c r="HT10" s="2042"/>
      <c r="HU10" s="2042"/>
      <c r="HV10" s="2042"/>
      <c r="HW10" s="2042"/>
      <c r="HX10" s="2042"/>
      <c r="HY10" s="2042"/>
      <c r="HZ10" s="2042"/>
      <c r="IA10" s="2042"/>
      <c r="IB10" s="2042"/>
      <c r="IC10" s="2042"/>
      <c r="ID10" s="2042"/>
      <c r="IE10" s="2042"/>
      <c r="IF10" s="2042"/>
      <c r="IG10" s="2042"/>
      <c r="IH10" s="2042"/>
      <c r="II10" s="2042"/>
      <c r="IJ10" s="2042"/>
      <c r="IK10" s="2042"/>
      <c r="IL10" s="2042"/>
      <c r="IM10" s="2042"/>
      <c r="IN10" s="2042"/>
      <c r="IO10" s="2042"/>
      <c r="IP10" s="2042"/>
      <c r="IQ10" s="2042"/>
      <c r="IR10" s="2042"/>
      <c r="IS10" s="2042"/>
      <c r="IT10" s="2042"/>
      <c r="IU10" s="2042"/>
      <c r="IV10" s="2042"/>
    </row>
    <row r="11" spans="1:256" ht="24.75" customHeight="1">
      <c r="A11" s="2058"/>
      <c r="B11" s="2057"/>
      <c r="C11" s="2060"/>
      <c r="D11" s="2065"/>
      <c r="E11" s="2062"/>
      <c r="F11" s="2062"/>
      <c r="G11" s="2066" t="s">
        <v>2235</v>
      </c>
      <c r="H11" s="2067">
        <f>SUM(H8:H10)</f>
        <v>53.2</v>
      </c>
      <c r="I11" s="2068" t="s">
        <v>2142</v>
      </c>
      <c r="J11" s="2064"/>
      <c r="K11" s="2042"/>
      <c r="L11" s="2042"/>
      <c r="M11" s="2042"/>
      <c r="N11" s="2042"/>
      <c r="O11" s="2042"/>
      <c r="P11" s="2042"/>
      <c r="Q11" s="2042"/>
      <c r="R11" s="2042"/>
      <c r="S11" s="2042"/>
      <c r="T11" s="2042"/>
      <c r="U11" s="2042"/>
      <c r="V11" s="2042"/>
      <c r="W11" s="2042"/>
      <c r="X11" s="2042"/>
      <c r="Y11" s="2042"/>
      <c r="Z11" s="2042"/>
      <c r="AA11" s="2042"/>
      <c r="AB11" s="2042"/>
      <c r="AC11" s="2042"/>
      <c r="AD11" s="2042"/>
      <c r="AE11" s="2042"/>
      <c r="AF11" s="2042"/>
      <c r="AG11" s="2042"/>
      <c r="AH11" s="2042"/>
      <c r="AI11" s="2042"/>
      <c r="AJ11" s="2042"/>
      <c r="AK11" s="2042"/>
      <c r="AL11" s="2042"/>
      <c r="AM11" s="2042"/>
      <c r="AN11" s="2042"/>
      <c r="AO11" s="2042"/>
      <c r="AP11" s="2042"/>
      <c r="AQ11" s="2042"/>
      <c r="AR11" s="2042"/>
      <c r="AS11" s="2042"/>
      <c r="AT11" s="2042"/>
      <c r="AU11" s="2042"/>
      <c r="AV11" s="2042"/>
      <c r="AW11" s="2042"/>
      <c r="AX11" s="2042"/>
      <c r="AY11" s="2042"/>
      <c r="AZ11" s="2042"/>
      <c r="BA11" s="2042"/>
      <c r="BB11" s="2042"/>
      <c r="BC11" s="2042"/>
      <c r="BD11" s="2042"/>
      <c r="BE11" s="2042"/>
      <c r="BF11" s="2042"/>
      <c r="BG11" s="2042"/>
      <c r="BH11" s="2042"/>
      <c r="BI11" s="2042"/>
      <c r="BJ11" s="2042"/>
      <c r="BK11" s="2042"/>
      <c r="BL11" s="2042"/>
      <c r="BM11" s="2042"/>
      <c r="BN11" s="2042"/>
      <c r="BO11" s="2042"/>
      <c r="BP11" s="2042"/>
      <c r="BQ11" s="2042"/>
      <c r="BR11" s="2042"/>
      <c r="BS11" s="2042"/>
      <c r="BT11" s="2042"/>
      <c r="BU11" s="2042"/>
      <c r="BV11" s="2042"/>
      <c r="BW11" s="2042"/>
      <c r="BX11" s="2042"/>
      <c r="BY11" s="2042"/>
      <c r="BZ11" s="2042"/>
      <c r="CA11" s="2042"/>
      <c r="CB11" s="2042"/>
      <c r="CC11" s="2042"/>
      <c r="CD11" s="2042"/>
      <c r="CE11" s="2042"/>
      <c r="CF11" s="2042"/>
      <c r="CG11" s="2042"/>
      <c r="CH11" s="2042"/>
      <c r="CI11" s="2042"/>
      <c r="CJ11" s="2042"/>
      <c r="CK11" s="2042"/>
      <c r="CL11" s="2042"/>
      <c r="CM11" s="2042"/>
      <c r="CN11" s="2042"/>
      <c r="CO11" s="2042"/>
      <c r="CP11" s="2042"/>
      <c r="CQ11" s="2042"/>
      <c r="CR11" s="2042"/>
      <c r="CS11" s="2042"/>
      <c r="CT11" s="2042"/>
      <c r="CU11" s="2042"/>
      <c r="CV11" s="2042"/>
      <c r="CW11" s="2042"/>
      <c r="CX11" s="2042"/>
      <c r="CY11" s="2042"/>
      <c r="CZ11" s="2042"/>
      <c r="DA11" s="2042"/>
      <c r="DB11" s="2042"/>
      <c r="DC11" s="2042"/>
      <c r="DD11" s="2042"/>
      <c r="DE11" s="2042"/>
      <c r="DF11" s="2042"/>
      <c r="DG11" s="2042"/>
      <c r="DH11" s="2042"/>
      <c r="DI11" s="2042"/>
      <c r="DJ11" s="2042"/>
      <c r="DK11" s="2042"/>
      <c r="DL11" s="2042"/>
      <c r="DM11" s="2042"/>
      <c r="DN11" s="2042"/>
      <c r="DO11" s="2042"/>
      <c r="DP11" s="2042"/>
      <c r="DQ11" s="2042"/>
      <c r="DR11" s="2042"/>
      <c r="DS11" s="2042"/>
      <c r="DT11" s="2042"/>
      <c r="DU11" s="2042"/>
      <c r="DV11" s="2042"/>
      <c r="DW11" s="2042"/>
      <c r="DX11" s="2042"/>
      <c r="DY11" s="2042"/>
      <c r="DZ11" s="2042"/>
      <c r="EA11" s="2042"/>
      <c r="EB11" s="2042"/>
      <c r="EC11" s="2042"/>
      <c r="ED11" s="2042"/>
      <c r="EE11" s="2042"/>
      <c r="EF11" s="2042"/>
      <c r="EG11" s="2042"/>
      <c r="EH11" s="2042"/>
      <c r="EI11" s="2042"/>
      <c r="EJ11" s="2042"/>
      <c r="EK11" s="2042"/>
      <c r="EL11" s="2042"/>
      <c r="EM11" s="2042"/>
      <c r="EN11" s="2042"/>
      <c r="EO11" s="2042"/>
      <c r="EP11" s="2042"/>
      <c r="EQ11" s="2042"/>
      <c r="ER11" s="2042"/>
      <c r="ES11" s="2042"/>
      <c r="ET11" s="2042"/>
      <c r="EU11" s="2042"/>
      <c r="EV11" s="2042"/>
      <c r="EW11" s="2042"/>
      <c r="EX11" s="2042"/>
      <c r="EY11" s="2042"/>
      <c r="EZ11" s="2042"/>
      <c r="FA11" s="2042"/>
      <c r="FB11" s="2042"/>
      <c r="FC11" s="2042"/>
      <c r="FD11" s="2042"/>
      <c r="FE11" s="2042"/>
      <c r="FF11" s="2042"/>
      <c r="FG11" s="2042"/>
      <c r="FH11" s="2042"/>
      <c r="FI11" s="2042"/>
      <c r="FJ11" s="2042"/>
      <c r="FK11" s="2042"/>
      <c r="FL11" s="2042"/>
      <c r="FM11" s="2042"/>
      <c r="FN11" s="2042"/>
      <c r="FO11" s="2042"/>
      <c r="FP11" s="2042"/>
      <c r="FQ11" s="2042"/>
      <c r="FR11" s="2042"/>
      <c r="FS11" s="2042"/>
      <c r="FT11" s="2042"/>
      <c r="FU11" s="2042"/>
      <c r="FV11" s="2042"/>
      <c r="FW11" s="2042"/>
      <c r="FX11" s="2042"/>
      <c r="FY11" s="2042"/>
      <c r="FZ11" s="2042"/>
      <c r="GA11" s="2042"/>
      <c r="GB11" s="2042"/>
      <c r="GC11" s="2042"/>
      <c r="GD11" s="2042"/>
      <c r="GE11" s="2042"/>
      <c r="GF11" s="2042"/>
      <c r="GG11" s="2042"/>
      <c r="GH11" s="2042"/>
      <c r="GI11" s="2042"/>
      <c r="GJ11" s="2042"/>
      <c r="GK11" s="2042"/>
      <c r="GL11" s="2042"/>
      <c r="GM11" s="2042"/>
      <c r="GN11" s="2042"/>
      <c r="GO11" s="2042"/>
      <c r="GP11" s="2042"/>
      <c r="GQ11" s="2042"/>
      <c r="GR11" s="2042"/>
      <c r="GS11" s="2042"/>
      <c r="GT11" s="2042"/>
      <c r="GU11" s="2042"/>
      <c r="GV11" s="2042"/>
      <c r="GW11" s="2042"/>
      <c r="GX11" s="2042"/>
      <c r="GY11" s="2042"/>
      <c r="GZ11" s="2042"/>
      <c r="HA11" s="2042"/>
      <c r="HB11" s="2042"/>
      <c r="HC11" s="2042"/>
      <c r="HD11" s="2042"/>
      <c r="HE11" s="2042"/>
      <c r="HF11" s="2042"/>
      <c r="HG11" s="2042"/>
      <c r="HH11" s="2042"/>
      <c r="HI11" s="2042"/>
      <c r="HJ11" s="2042"/>
      <c r="HK11" s="2042"/>
      <c r="HL11" s="2042"/>
      <c r="HM11" s="2042"/>
      <c r="HN11" s="2042"/>
      <c r="HO11" s="2042"/>
      <c r="HP11" s="2042"/>
      <c r="HQ11" s="2042"/>
      <c r="HR11" s="2042"/>
      <c r="HS11" s="2042"/>
      <c r="HT11" s="2042"/>
      <c r="HU11" s="2042"/>
      <c r="HV11" s="2042"/>
      <c r="HW11" s="2042"/>
      <c r="HX11" s="2042"/>
      <c r="HY11" s="2042"/>
      <c r="HZ11" s="2042"/>
      <c r="IA11" s="2042"/>
      <c r="IB11" s="2042"/>
      <c r="IC11" s="2042"/>
      <c r="ID11" s="2042"/>
      <c r="IE11" s="2042"/>
      <c r="IF11" s="2042"/>
      <c r="IG11" s="2042"/>
      <c r="IH11" s="2042"/>
      <c r="II11" s="2042"/>
      <c r="IJ11" s="2042"/>
      <c r="IK11" s="2042"/>
      <c r="IL11" s="2042"/>
      <c r="IM11" s="2042"/>
      <c r="IN11" s="2042"/>
      <c r="IO11" s="2042"/>
      <c r="IP11" s="2042"/>
      <c r="IQ11" s="2042"/>
      <c r="IR11" s="2042"/>
      <c r="IS11" s="2042"/>
      <c r="IT11" s="2042"/>
      <c r="IU11" s="2042"/>
      <c r="IV11" s="2042"/>
    </row>
    <row r="12" spans="1:256" ht="51.75" customHeight="1">
      <c r="A12" s="2069">
        <v>2.1</v>
      </c>
      <c r="B12" s="2070" t="s">
        <v>7581</v>
      </c>
      <c r="C12" s="2070"/>
      <c r="D12" s="2070"/>
      <c r="E12" s="2070"/>
      <c r="F12" s="2057"/>
      <c r="G12" s="2057"/>
      <c r="H12" s="2057"/>
      <c r="I12" s="2053"/>
      <c r="J12" s="2064"/>
      <c r="K12" s="2042"/>
      <c r="L12" s="2042"/>
      <c r="M12" s="2042"/>
      <c r="N12" s="2042"/>
      <c r="O12" s="2042"/>
      <c r="P12" s="2042"/>
      <c r="Q12" s="2042"/>
      <c r="R12" s="2042"/>
      <c r="S12" s="2042"/>
      <c r="T12" s="2042"/>
      <c r="U12" s="2042"/>
      <c r="V12" s="2042"/>
      <c r="W12" s="2042"/>
      <c r="X12" s="2042"/>
      <c r="Y12" s="2042"/>
      <c r="Z12" s="2042"/>
      <c r="AA12" s="2042"/>
      <c r="AB12" s="2042"/>
      <c r="AC12" s="2042"/>
      <c r="AD12" s="2042"/>
      <c r="AE12" s="2042"/>
      <c r="AF12" s="2042"/>
      <c r="AG12" s="2042"/>
      <c r="AH12" s="2042"/>
      <c r="AI12" s="2042"/>
      <c r="AJ12" s="2042"/>
      <c r="AK12" s="2042"/>
      <c r="AL12" s="2042"/>
      <c r="AM12" s="2042"/>
      <c r="AN12" s="2042"/>
      <c r="AO12" s="2042"/>
      <c r="AP12" s="2042"/>
      <c r="AQ12" s="2042"/>
      <c r="AR12" s="2042"/>
      <c r="AS12" s="2042"/>
      <c r="AT12" s="2042"/>
      <c r="AU12" s="2042"/>
      <c r="AV12" s="2042"/>
      <c r="AW12" s="2042"/>
      <c r="AX12" s="2042"/>
      <c r="AY12" s="2042"/>
      <c r="AZ12" s="2042"/>
      <c r="BA12" s="2042"/>
      <c r="BB12" s="2042"/>
      <c r="BC12" s="2042"/>
      <c r="BD12" s="2042"/>
      <c r="BE12" s="2042"/>
      <c r="BF12" s="2042"/>
      <c r="BG12" s="2042"/>
      <c r="BH12" s="2042"/>
      <c r="BI12" s="2042"/>
      <c r="BJ12" s="2042"/>
      <c r="BK12" s="2042"/>
      <c r="BL12" s="2042"/>
      <c r="BM12" s="2042"/>
      <c r="BN12" s="2042"/>
      <c r="BO12" s="2042"/>
      <c r="BP12" s="2042"/>
      <c r="BQ12" s="2042"/>
      <c r="BR12" s="2042"/>
      <c r="BS12" s="2042"/>
      <c r="BT12" s="2042"/>
      <c r="BU12" s="2042"/>
      <c r="BV12" s="2042"/>
      <c r="BW12" s="2042"/>
      <c r="BX12" s="2042"/>
      <c r="BY12" s="2042"/>
      <c r="BZ12" s="2042"/>
      <c r="CA12" s="2042"/>
      <c r="CB12" s="2042"/>
      <c r="CC12" s="2042"/>
      <c r="CD12" s="2042"/>
      <c r="CE12" s="2042"/>
      <c r="CF12" s="2042"/>
      <c r="CG12" s="2042"/>
      <c r="CH12" s="2042"/>
      <c r="CI12" s="2042"/>
      <c r="CJ12" s="2042"/>
      <c r="CK12" s="2042"/>
      <c r="CL12" s="2042"/>
      <c r="CM12" s="2042"/>
      <c r="CN12" s="2042"/>
      <c r="CO12" s="2042"/>
      <c r="CP12" s="2042"/>
      <c r="CQ12" s="2042"/>
      <c r="CR12" s="2042"/>
      <c r="CS12" s="2042"/>
      <c r="CT12" s="2042"/>
      <c r="CU12" s="2042"/>
      <c r="CV12" s="2042"/>
      <c r="CW12" s="2042"/>
      <c r="CX12" s="2042"/>
      <c r="CY12" s="2042"/>
      <c r="CZ12" s="2042"/>
      <c r="DA12" s="2042"/>
      <c r="DB12" s="2042"/>
      <c r="DC12" s="2042"/>
      <c r="DD12" s="2042"/>
      <c r="DE12" s="2042"/>
      <c r="DF12" s="2042"/>
      <c r="DG12" s="2042"/>
      <c r="DH12" s="2042"/>
      <c r="DI12" s="2042"/>
      <c r="DJ12" s="2042"/>
      <c r="DK12" s="2042"/>
      <c r="DL12" s="2042"/>
      <c r="DM12" s="2042"/>
      <c r="DN12" s="2042"/>
      <c r="DO12" s="2042"/>
      <c r="DP12" s="2042"/>
      <c r="DQ12" s="2042"/>
      <c r="DR12" s="2042"/>
      <c r="DS12" s="2042"/>
      <c r="DT12" s="2042"/>
      <c r="DU12" s="2042"/>
      <c r="DV12" s="2042"/>
      <c r="DW12" s="2042"/>
      <c r="DX12" s="2042"/>
      <c r="DY12" s="2042"/>
      <c r="DZ12" s="2042"/>
      <c r="EA12" s="2042"/>
      <c r="EB12" s="2042"/>
      <c r="EC12" s="2042"/>
      <c r="ED12" s="2042"/>
      <c r="EE12" s="2042"/>
      <c r="EF12" s="2042"/>
      <c r="EG12" s="2042"/>
      <c r="EH12" s="2042"/>
      <c r="EI12" s="2042"/>
      <c r="EJ12" s="2042"/>
      <c r="EK12" s="2042"/>
      <c r="EL12" s="2042"/>
      <c r="EM12" s="2042"/>
      <c r="EN12" s="2042"/>
      <c r="EO12" s="2042"/>
      <c r="EP12" s="2042"/>
      <c r="EQ12" s="2042"/>
      <c r="ER12" s="2042"/>
      <c r="ES12" s="2042"/>
      <c r="ET12" s="2042"/>
      <c r="EU12" s="2042"/>
      <c r="EV12" s="2042"/>
      <c r="EW12" s="2042"/>
      <c r="EX12" s="2042"/>
      <c r="EY12" s="2042"/>
      <c r="EZ12" s="2042"/>
      <c r="FA12" s="2042"/>
      <c r="FB12" s="2042"/>
      <c r="FC12" s="2042"/>
      <c r="FD12" s="2042"/>
      <c r="FE12" s="2042"/>
      <c r="FF12" s="2042"/>
      <c r="FG12" s="2042"/>
      <c r="FH12" s="2042"/>
      <c r="FI12" s="2042"/>
      <c r="FJ12" s="2042"/>
      <c r="FK12" s="2042"/>
      <c r="FL12" s="2042"/>
      <c r="FM12" s="2042"/>
      <c r="FN12" s="2042"/>
      <c r="FO12" s="2042"/>
      <c r="FP12" s="2042"/>
      <c r="FQ12" s="2042"/>
      <c r="FR12" s="2042"/>
      <c r="FS12" s="2042"/>
      <c r="FT12" s="2042"/>
      <c r="FU12" s="2042"/>
      <c r="FV12" s="2042"/>
      <c r="FW12" s="2042"/>
      <c r="FX12" s="2042"/>
      <c r="FY12" s="2042"/>
      <c r="FZ12" s="2042"/>
      <c r="GA12" s="2042"/>
      <c r="GB12" s="2042"/>
      <c r="GC12" s="2042"/>
      <c r="GD12" s="2042"/>
      <c r="GE12" s="2042"/>
      <c r="GF12" s="2042"/>
      <c r="GG12" s="2042"/>
      <c r="GH12" s="2042"/>
      <c r="GI12" s="2042"/>
      <c r="GJ12" s="2042"/>
      <c r="GK12" s="2042"/>
      <c r="GL12" s="2042"/>
      <c r="GM12" s="2042"/>
      <c r="GN12" s="2042"/>
      <c r="GO12" s="2042"/>
      <c r="GP12" s="2042"/>
      <c r="GQ12" s="2042"/>
      <c r="GR12" s="2042"/>
      <c r="GS12" s="2042"/>
      <c r="GT12" s="2042"/>
      <c r="GU12" s="2042"/>
      <c r="GV12" s="2042"/>
      <c r="GW12" s="2042"/>
      <c r="GX12" s="2042"/>
      <c r="GY12" s="2042"/>
      <c r="GZ12" s="2042"/>
      <c r="HA12" s="2042"/>
      <c r="HB12" s="2042"/>
      <c r="HC12" s="2042"/>
      <c r="HD12" s="2042"/>
      <c r="HE12" s="2042"/>
      <c r="HF12" s="2042"/>
      <c r="HG12" s="2042"/>
      <c r="HH12" s="2042"/>
      <c r="HI12" s="2042"/>
      <c r="HJ12" s="2042"/>
      <c r="HK12" s="2042"/>
      <c r="HL12" s="2042"/>
      <c r="HM12" s="2042"/>
      <c r="HN12" s="2042"/>
      <c r="HO12" s="2042"/>
      <c r="HP12" s="2042"/>
      <c r="HQ12" s="2042"/>
      <c r="HR12" s="2042"/>
      <c r="HS12" s="2042"/>
      <c r="HT12" s="2042"/>
      <c r="HU12" s="2042"/>
      <c r="HV12" s="2042"/>
      <c r="HW12" s="2042"/>
      <c r="HX12" s="2042"/>
      <c r="HY12" s="2042"/>
      <c r="HZ12" s="2042"/>
      <c r="IA12" s="2042"/>
      <c r="IB12" s="2042"/>
      <c r="IC12" s="2042"/>
      <c r="ID12" s="2042"/>
      <c r="IE12" s="2042"/>
      <c r="IF12" s="2042"/>
      <c r="IG12" s="2042"/>
      <c r="IH12" s="2042"/>
      <c r="II12" s="2042"/>
      <c r="IJ12" s="2042"/>
      <c r="IK12" s="2042"/>
      <c r="IL12" s="2042"/>
      <c r="IM12" s="2042"/>
      <c r="IN12" s="2042"/>
      <c r="IO12" s="2042"/>
      <c r="IP12" s="2042"/>
      <c r="IQ12" s="2042"/>
      <c r="IR12" s="2042"/>
      <c r="IS12" s="2042"/>
      <c r="IT12" s="2042"/>
      <c r="IU12" s="2042"/>
      <c r="IV12" s="2042"/>
    </row>
    <row r="13" spans="1:256" ht="25.5" customHeight="1">
      <c r="A13" s="2071"/>
      <c r="B13" s="2057" t="s">
        <v>7579</v>
      </c>
      <c r="C13" s="2060">
        <v>1</v>
      </c>
      <c r="D13" s="2060">
        <v>2</v>
      </c>
      <c r="E13" s="2062">
        <v>8</v>
      </c>
      <c r="F13" s="2062">
        <v>1</v>
      </c>
      <c r="G13" s="2063">
        <v>0.1</v>
      </c>
      <c r="H13" s="2062">
        <f>PRODUCT(C13:G13)</f>
        <v>1.6</v>
      </c>
      <c r="I13" s="2053"/>
      <c r="J13" s="2064"/>
      <c r="K13" s="2042"/>
      <c r="L13" s="2042"/>
      <c r="M13" s="2042"/>
      <c r="N13" s="2042"/>
      <c r="O13" s="2042"/>
      <c r="P13" s="2042"/>
      <c r="Q13" s="2042"/>
      <c r="R13" s="2042"/>
      <c r="S13" s="2042"/>
      <c r="T13" s="2042"/>
      <c r="U13" s="2042"/>
      <c r="V13" s="2042"/>
      <c r="W13" s="2042"/>
      <c r="X13" s="2042"/>
      <c r="Y13" s="2042"/>
      <c r="Z13" s="2042"/>
      <c r="AA13" s="2042"/>
      <c r="AB13" s="2042"/>
      <c r="AC13" s="2042"/>
      <c r="AD13" s="2042"/>
      <c r="AE13" s="2042"/>
      <c r="AF13" s="2042"/>
      <c r="AG13" s="2042"/>
      <c r="AH13" s="2042"/>
      <c r="AI13" s="2042"/>
      <c r="AJ13" s="2042"/>
      <c r="AK13" s="2042"/>
      <c r="AL13" s="2042"/>
      <c r="AM13" s="2042"/>
      <c r="AN13" s="2042"/>
      <c r="AO13" s="2042"/>
      <c r="AP13" s="2042"/>
      <c r="AQ13" s="2042"/>
      <c r="AR13" s="2042"/>
      <c r="AS13" s="2042"/>
      <c r="AT13" s="2042"/>
      <c r="AU13" s="2042"/>
      <c r="AV13" s="2042"/>
      <c r="AW13" s="2042"/>
      <c r="AX13" s="2042"/>
      <c r="AY13" s="2042"/>
      <c r="AZ13" s="2042"/>
      <c r="BA13" s="2042"/>
      <c r="BB13" s="2042"/>
      <c r="BC13" s="2042"/>
      <c r="BD13" s="2042"/>
      <c r="BE13" s="2042"/>
      <c r="BF13" s="2042"/>
      <c r="BG13" s="2042"/>
      <c r="BH13" s="2042"/>
      <c r="BI13" s="2042"/>
      <c r="BJ13" s="2042"/>
      <c r="BK13" s="2042"/>
      <c r="BL13" s="2042"/>
      <c r="BM13" s="2042"/>
      <c r="BN13" s="2042"/>
      <c r="BO13" s="2042"/>
      <c r="BP13" s="2042"/>
      <c r="BQ13" s="2042"/>
      <c r="BR13" s="2042"/>
      <c r="BS13" s="2042"/>
      <c r="BT13" s="2042"/>
      <c r="BU13" s="2042"/>
      <c r="BV13" s="2042"/>
      <c r="BW13" s="2042"/>
      <c r="BX13" s="2042"/>
      <c r="BY13" s="2042"/>
      <c r="BZ13" s="2042"/>
      <c r="CA13" s="2042"/>
      <c r="CB13" s="2042"/>
      <c r="CC13" s="2042"/>
      <c r="CD13" s="2042"/>
      <c r="CE13" s="2042"/>
      <c r="CF13" s="2042"/>
      <c r="CG13" s="2042"/>
      <c r="CH13" s="2042"/>
      <c r="CI13" s="2042"/>
      <c r="CJ13" s="2042"/>
      <c r="CK13" s="2042"/>
      <c r="CL13" s="2042"/>
      <c r="CM13" s="2042"/>
      <c r="CN13" s="2042"/>
      <c r="CO13" s="2042"/>
      <c r="CP13" s="2042"/>
      <c r="CQ13" s="2042"/>
      <c r="CR13" s="2042"/>
      <c r="CS13" s="2042"/>
      <c r="CT13" s="2042"/>
      <c r="CU13" s="2042"/>
      <c r="CV13" s="2042"/>
      <c r="CW13" s="2042"/>
      <c r="CX13" s="2042"/>
      <c r="CY13" s="2042"/>
      <c r="CZ13" s="2042"/>
      <c r="DA13" s="2042"/>
      <c r="DB13" s="2042"/>
      <c r="DC13" s="2042"/>
      <c r="DD13" s="2042"/>
      <c r="DE13" s="2042"/>
      <c r="DF13" s="2042"/>
      <c r="DG13" s="2042"/>
      <c r="DH13" s="2042"/>
      <c r="DI13" s="2042"/>
      <c r="DJ13" s="2042"/>
      <c r="DK13" s="2042"/>
      <c r="DL13" s="2042"/>
      <c r="DM13" s="2042"/>
      <c r="DN13" s="2042"/>
      <c r="DO13" s="2042"/>
      <c r="DP13" s="2042"/>
      <c r="DQ13" s="2042"/>
      <c r="DR13" s="2042"/>
      <c r="DS13" s="2042"/>
      <c r="DT13" s="2042"/>
      <c r="DU13" s="2042"/>
      <c r="DV13" s="2042"/>
      <c r="DW13" s="2042"/>
      <c r="DX13" s="2042"/>
      <c r="DY13" s="2042"/>
      <c r="DZ13" s="2042"/>
      <c r="EA13" s="2042"/>
      <c r="EB13" s="2042"/>
      <c r="EC13" s="2042"/>
      <c r="ED13" s="2042"/>
      <c r="EE13" s="2042"/>
      <c r="EF13" s="2042"/>
      <c r="EG13" s="2042"/>
      <c r="EH13" s="2042"/>
      <c r="EI13" s="2042"/>
      <c r="EJ13" s="2042"/>
      <c r="EK13" s="2042"/>
      <c r="EL13" s="2042"/>
      <c r="EM13" s="2042"/>
      <c r="EN13" s="2042"/>
      <c r="EO13" s="2042"/>
      <c r="EP13" s="2042"/>
      <c r="EQ13" s="2042"/>
      <c r="ER13" s="2042"/>
      <c r="ES13" s="2042"/>
      <c r="ET13" s="2042"/>
      <c r="EU13" s="2042"/>
      <c r="EV13" s="2042"/>
      <c r="EW13" s="2042"/>
      <c r="EX13" s="2042"/>
      <c r="EY13" s="2042"/>
      <c r="EZ13" s="2042"/>
      <c r="FA13" s="2042"/>
      <c r="FB13" s="2042"/>
      <c r="FC13" s="2042"/>
      <c r="FD13" s="2042"/>
      <c r="FE13" s="2042"/>
      <c r="FF13" s="2042"/>
      <c r="FG13" s="2042"/>
      <c r="FH13" s="2042"/>
      <c r="FI13" s="2042"/>
      <c r="FJ13" s="2042"/>
      <c r="FK13" s="2042"/>
      <c r="FL13" s="2042"/>
      <c r="FM13" s="2042"/>
      <c r="FN13" s="2042"/>
      <c r="FO13" s="2042"/>
      <c r="FP13" s="2042"/>
      <c r="FQ13" s="2042"/>
      <c r="FR13" s="2042"/>
      <c r="FS13" s="2042"/>
      <c r="FT13" s="2042"/>
      <c r="FU13" s="2042"/>
      <c r="FV13" s="2042"/>
      <c r="FW13" s="2042"/>
      <c r="FX13" s="2042"/>
      <c r="FY13" s="2042"/>
      <c r="FZ13" s="2042"/>
      <c r="GA13" s="2042"/>
      <c r="GB13" s="2042"/>
      <c r="GC13" s="2042"/>
      <c r="GD13" s="2042"/>
      <c r="GE13" s="2042"/>
      <c r="GF13" s="2042"/>
      <c r="GG13" s="2042"/>
      <c r="GH13" s="2042"/>
      <c r="GI13" s="2042"/>
      <c r="GJ13" s="2042"/>
      <c r="GK13" s="2042"/>
      <c r="GL13" s="2042"/>
      <c r="GM13" s="2042"/>
      <c r="GN13" s="2042"/>
      <c r="GO13" s="2042"/>
      <c r="GP13" s="2042"/>
      <c r="GQ13" s="2042"/>
      <c r="GR13" s="2042"/>
      <c r="GS13" s="2042"/>
      <c r="GT13" s="2042"/>
      <c r="GU13" s="2042"/>
      <c r="GV13" s="2042"/>
      <c r="GW13" s="2042"/>
      <c r="GX13" s="2042"/>
      <c r="GY13" s="2042"/>
      <c r="GZ13" s="2042"/>
      <c r="HA13" s="2042"/>
      <c r="HB13" s="2042"/>
      <c r="HC13" s="2042"/>
      <c r="HD13" s="2042"/>
      <c r="HE13" s="2042"/>
      <c r="HF13" s="2042"/>
      <c r="HG13" s="2042"/>
      <c r="HH13" s="2042"/>
      <c r="HI13" s="2042"/>
      <c r="HJ13" s="2042"/>
      <c r="HK13" s="2042"/>
      <c r="HL13" s="2042"/>
      <c r="HM13" s="2042"/>
      <c r="HN13" s="2042"/>
      <c r="HO13" s="2042"/>
      <c r="HP13" s="2042"/>
      <c r="HQ13" s="2042"/>
      <c r="HR13" s="2042"/>
      <c r="HS13" s="2042"/>
      <c r="HT13" s="2042"/>
      <c r="HU13" s="2042"/>
      <c r="HV13" s="2042"/>
      <c r="HW13" s="2042"/>
      <c r="HX13" s="2042"/>
      <c r="HY13" s="2042"/>
      <c r="HZ13" s="2042"/>
      <c r="IA13" s="2042"/>
      <c r="IB13" s="2042"/>
      <c r="IC13" s="2042"/>
      <c r="ID13" s="2042"/>
      <c r="IE13" s="2042"/>
      <c r="IF13" s="2042"/>
      <c r="IG13" s="2042"/>
      <c r="IH13" s="2042"/>
      <c r="II13" s="2042"/>
      <c r="IJ13" s="2042"/>
      <c r="IK13" s="2042"/>
      <c r="IL13" s="2042"/>
      <c r="IM13" s="2042"/>
      <c r="IN13" s="2042"/>
      <c r="IO13" s="2042"/>
      <c r="IP13" s="2042"/>
      <c r="IQ13" s="2042"/>
      <c r="IR13" s="2042"/>
      <c r="IS13" s="2042"/>
      <c r="IT13" s="2042"/>
      <c r="IU13" s="2042"/>
      <c r="IV13" s="2042"/>
    </row>
    <row r="14" spans="1:256" ht="25.5" customHeight="1">
      <c r="A14" s="2058"/>
      <c r="B14" s="2057" t="s">
        <v>7580</v>
      </c>
      <c r="C14" s="2060">
        <v>1</v>
      </c>
      <c r="D14" s="2058">
        <v>2</v>
      </c>
      <c r="E14" s="2062">
        <v>1.4</v>
      </c>
      <c r="F14" s="2062">
        <v>1.4</v>
      </c>
      <c r="G14" s="2063">
        <v>0.15</v>
      </c>
      <c r="H14" s="2062">
        <f>PRODUCT(C14:G14)</f>
        <v>0.59</v>
      </c>
      <c r="I14" s="2053"/>
      <c r="J14" s="2064"/>
      <c r="K14" s="2042"/>
      <c r="L14" s="2042"/>
      <c r="M14" s="2042"/>
      <c r="N14" s="2042"/>
      <c r="O14" s="2042"/>
      <c r="P14" s="2042"/>
      <c r="Q14" s="2042"/>
      <c r="R14" s="2042"/>
      <c r="S14" s="2042"/>
      <c r="T14" s="2042"/>
      <c r="U14" s="2042"/>
      <c r="V14" s="2042"/>
      <c r="W14" s="2042"/>
      <c r="X14" s="2042"/>
      <c r="Y14" s="2042"/>
      <c r="Z14" s="2042"/>
      <c r="AA14" s="2042"/>
      <c r="AB14" s="2042"/>
      <c r="AC14" s="2042"/>
      <c r="AD14" s="2042"/>
      <c r="AE14" s="2042"/>
      <c r="AF14" s="2042"/>
      <c r="AG14" s="2042"/>
      <c r="AH14" s="2042"/>
      <c r="AI14" s="2042"/>
      <c r="AJ14" s="2042"/>
      <c r="AK14" s="2042"/>
      <c r="AL14" s="2042"/>
      <c r="AM14" s="2042"/>
      <c r="AN14" s="2042"/>
      <c r="AO14" s="2042"/>
      <c r="AP14" s="2042"/>
      <c r="AQ14" s="2042"/>
      <c r="AR14" s="2042"/>
      <c r="AS14" s="2042"/>
      <c r="AT14" s="2042"/>
      <c r="AU14" s="2042"/>
      <c r="AV14" s="2042"/>
      <c r="AW14" s="2042"/>
      <c r="AX14" s="2042"/>
      <c r="AY14" s="2042"/>
      <c r="AZ14" s="2042"/>
      <c r="BA14" s="2042"/>
      <c r="BB14" s="2042"/>
      <c r="BC14" s="2042"/>
      <c r="BD14" s="2042"/>
      <c r="BE14" s="2042"/>
      <c r="BF14" s="2042"/>
      <c r="BG14" s="2042"/>
      <c r="BH14" s="2042"/>
      <c r="BI14" s="2042"/>
      <c r="BJ14" s="2042"/>
      <c r="BK14" s="2042"/>
      <c r="BL14" s="2042"/>
      <c r="BM14" s="2042"/>
      <c r="BN14" s="2042"/>
      <c r="BO14" s="2042"/>
      <c r="BP14" s="2042"/>
      <c r="BQ14" s="2042"/>
      <c r="BR14" s="2042"/>
      <c r="BS14" s="2042"/>
      <c r="BT14" s="2042"/>
      <c r="BU14" s="2042"/>
      <c r="BV14" s="2042"/>
      <c r="BW14" s="2042"/>
      <c r="BX14" s="2042"/>
      <c r="BY14" s="2042"/>
      <c r="BZ14" s="2042"/>
      <c r="CA14" s="2042"/>
      <c r="CB14" s="2042"/>
      <c r="CC14" s="2042"/>
      <c r="CD14" s="2042"/>
      <c r="CE14" s="2042"/>
      <c r="CF14" s="2042"/>
      <c r="CG14" s="2042"/>
      <c r="CH14" s="2042"/>
      <c r="CI14" s="2042"/>
      <c r="CJ14" s="2042"/>
      <c r="CK14" s="2042"/>
      <c r="CL14" s="2042"/>
      <c r="CM14" s="2042"/>
      <c r="CN14" s="2042"/>
      <c r="CO14" s="2042"/>
      <c r="CP14" s="2042"/>
      <c r="CQ14" s="2042"/>
      <c r="CR14" s="2042"/>
      <c r="CS14" s="2042"/>
      <c r="CT14" s="2042"/>
      <c r="CU14" s="2042"/>
      <c r="CV14" s="2042"/>
      <c r="CW14" s="2042"/>
      <c r="CX14" s="2042"/>
      <c r="CY14" s="2042"/>
      <c r="CZ14" s="2042"/>
      <c r="DA14" s="2042"/>
      <c r="DB14" s="2042"/>
      <c r="DC14" s="2042"/>
      <c r="DD14" s="2042"/>
      <c r="DE14" s="2042"/>
      <c r="DF14" s="2042"/>
      <c r="DG14" s="2042"/>
      <c r="DH14" s="2042"/>
      <c r="DI14" s="2042"/>
      <c r="DJ14" s="2042"/>
      <c r="DK14" s="2042"/>
      <c r="DL14" s="2042"/>
      <c r="DM14" s="2042"/>
      <c r="DN14" s="2042"/>
      <c r="DO14" s="2042"/>
      <c r="DP14" s="2042"/>
      <c r="DQ14" s="2042"/>
      <c r="DR14" s="2042"/>
      <c r="DS14" s="2042"/>
      <c r="DT14" s="2042"/>
      <c r="DU14" s="2042"/>
      <c r="DV14" s="2042"/>
      <c r="DW14" s="2042"/>
      <c r="DX14" s="2042"/>
      <c r="DY14" s="2042"/>
      <c r="DZ14" s="2042"/>
      <c r="EA14" s="2042"/>
      <c r="EB14" s="2042"/>
      <c r="EC14" s="2042"/>
      <c r="ED14" s="2042"/>
      <c r="EE14" s="2042"/>
      <c r="EF14" s="2042"/>
      <c r="EG14" s="2042"/>
      <c r="EH14" s="2042"/>
      <c r="EI14" s="2042"/>
      <c r="EJ14" s="2042"/>
      <c r="EK14" s="2042"/>
      <c r="EL14" s="2042"/>
      <c r="EM14" s="2042"/>
      <c r="EN14" s="2042"/>
      <c r="EO14" s="2042"/>
      <c r="EP14" s="2042"/>
      <c r="EQ14" s="2042"/>
      <c r="ER14" s="2042"/>
      <c r="ES14" s="2042"/>
      <c r="ET14" s="2042"/>
      <c r="EU14" s="2042"/>
      <c r="EV14" s="2042"/>
      <c r="EW14" s="2042"/>
      <c r="EX14" s="2042"/>
      <c r="EY14" s="2042"/>
      <c r="EZ14" s="2042"/>
      <c r="FA14" s="2042"/>
      <c r="FB14" s="2042"/>
      <c r="FC14" s="2042"/>
      <c r="FD14" s="2042"/>
      <c r="FE14" s="2042"/>
      <c r="FF14" s="2042"/>
      <c r="FG14" s="2042"/>
      <c r="FH14" s="2042"/>
      <c r="FI14" s="2042"/>
      <c r="FJ14" s="2042"/>
      <c r="FK14" s="2042"/>
      <c r="FL14" s="2042"/>
      <c r="FM14" s="2042"/>
      <c r="FN14" s="2042"/>
      <c r="FO14" s="2042"/>
      <c r="FP14" s="2042"/>
      <c r="FQ14" s="2042"/>
      <c r="FR14" s="2042"/>
      <c r="FS14" s="2042"/>
      <c r="FT14" s="2042"/>
      <c r="FU14" s="2042"/>
      <c r="FV14" s="2042"/>
      <c r="FW14" s="2042"/>
      <c r="FX14" s="2042"/>
      <c r="FY14" s="2042"/>
      <c r="FZ14" s="2042"/>
      <c r="GA14" s="2042"/>
      <c r="GB14" s="2042"/>
      <c r="GC14" s="2042"/>
      <c r="GD14" s="2042"/>
      <c r="GE14" s="2042"/>
      <c r="GF14" s="2042"/>
      <c r="GG14" s="2042"/>
      <c r="GH14" s="2042"/>
      <c r="GI14" s="2042"/>
      <c r="GJ14" s="2042"/>
      <c r="GK14" s="2042"/>
      <c r="GL14" s="2042"/>
      <c r="GM14" s="2042"/>
      <c r="GN14" s="2042"/>
      <c r="GO14" s="2042"/>
      <c r="GP14" s="2042"/>
      <c r="GQ14" s="2042"/>
      <c r="GR14" s="2042"/>
      <c r="GS14" s="2042"/>
      <c r="GT14" s="2042"/>
      <c r="GU14" s="2042"/>
      <c r="GV14" s="2042"/>
      <c r="GW14" s="2042"/>
      <c r="GX14" s="2042"/>
      <c r="GY14" s="2042"/>
      <c r="GZ14" s="2042"/>
      <c r="HA14" s="2042"/>
      <c r="HB14" s="2042"/>
      <c r="HC14" s="2042"/>
      <c r="HD14" s="2042"/>
      <c r="HE14" s="2042"/>
      <c r="HF14" s="2042"/>
      <c r="HG14" s="2042"/>
      <c r="HH14" s="2042"/>
      <c r="HI14" s="2042"/>
      <c r="HJ14" s="2042"/>
      <c r="HK14" s="2042"/>
      <c r="HL14" s="2042"/>
      <c r="HM14" s="2042"/>
      <c r="HN14" s="2042"/>
      <c r="HO14" s="2042"/>
      <c r="HP14" s="2042"/>
      <c r="HQ14" s="2042"/>
      <c r="HR14" s="2042"/>
      <c r="HS14" s="2042"/>
      <c r="HT14" s="2042"/>
      <c r="HU14" s="2042"/>
      <c r="HV14" s="2042"/>
      <c r="HW14" s="2042"/>
      <c r="HX14" s="2042"/>
      <c r="HY14" s="2042"/>
      <c r="HZ14" s="2042"/>
      <c r="IA14" s="2042"/>
      <c r="IB14" s="2042"/>
      <c r="IC14" s="2042"/>
      <c r="ID14" s="2042"/>
      <c r="IE14" s="2042"/>
      <c r="IF14" s="2042"/>
      <c r="IG14" s="2042"/>
      <c r="IH14" s="2042"/>
      <c r="II14" s="2042"/>
      <c r="IJ14" s="2042"/>
      <c r="IK14" s="2042"/>
      <c r="IL14" s="2042"/>
      <c r="IM14" s="2042"/>
      <c r="IN14" s="2042"/>
      <c r="IO14" s="2042"/>
      <c r="IP14" s="2042"/>
      <c r="IQ14" s="2042"/>
      <c r="IR14" s="2042"/>
      <c r="IS14" s="2042"/>
      <c r="IT14" s="2042"/>
      <c r="IU14" s="2042"/>
      <c r="IV14" s="2042"/>
    </row>
    <row r="15" spans="1:256" ht="25.5" customHeight="1">
      <c r="A15" s="2071"/>
      <c r="B15" s="2057"/>
      <c r="C15" s="2060"/>
      <c r="D15" s="2060"/>
      <c r="E15" s="2062"/>
      <c r="F15" s="2062"/>
      <c r="G15" s="2072" t="s">
        <v>2235</v>
      </c>
      <c r="H15" s="2067">
        <f>SUM(H13:H14)</f>
        <v>2.19</v>
      </c>
      <c r="I15" s="2068" t="s">
        <v>2142</v>
      </c>
      <c r="J15" s="2064"/>
      <c r="K15" s="2042"/>
      <c r="L15" s="2042"/>
      <c r="M15" s="2042"/>
      <c r="N15" s="2042"/>
      <c r="O15" s="2042"/>
      <c r="P15" s="2042"/>
      <c r="Q15" s="2042"/>
      <c r="R15" s="2042"/>
      <c r="S15" s="2042"/>
      <c r="T15" s="2042"/>
      <c r="U15" s="2042"/>
      <c r="V15" s="2042"/>
      <c r="W15" s="2042"/>
      <c r="X15" s="2042"/>
      <c r="Y15" s="2042"/>
      <c r="Z15" s="2042"/>
      <c r="AA15" s="2042"/>
      <c r="AB15" s="2042"/>
      <c r="AC15" s="2042"/>
      <c r="AD15" s="2042"/>
      <c r="AE15" s="2042"/>
      <c r="AF15" s="2042"/>
      <c r="AG15" s="2042"/>
      <c r="AH15" s="2042"/>
      <c r="AI15" s="2042"/>
      <c r="AJ15" s="2042"/>
      <c r="AK15" s="2042"/>
      <c r="AL15" s="2042"/>
      <c r="AM15" s="2042"/>
      <c r="AN15" s="2042"/>
      <c r="AO15" s="2042"/>
      <c r="AP15" s="2042"/>
      <c r="AQ15" s="2042"/>
      <c r="AR15" s="2042"/>
      <c r="AS15" s="2042"/>
      <c r="AT15" s="2042"/>
      <c r="AU15" s="2042"/>
      <c r="AV15" s="2042"/>
      <c r="AW15" s="2042"/>
      <c r="AX15" s="2042"/>
      <c r="AY15" s="2042"/>
      <c r="AZ15" s="2042"/>
      <c r="BA15" s="2042"/>
      <c r="BB15" s="2042"/>
      <c r="BC15" s="2042"/>
      <c r="BD15" s="2042"/>
      <c r="BE15" s="2042"/>
      <c r="BF15" s="2042"/>
      <c r="BG15" s="2042"/>
      <c r="BH15" s="2042"/>
      <c r="BI15" s="2042"/>
      <c r="BJ15" s="2042"/>
      <c r="BK15" s="2042"/>
      <c r="BL15" s="2042"/>
      <c r="BM15" s="2042"/>
      <c r="BN15" s="2042"/>
      <c r="BO15" s="2042"/>
      <c r="BP15" s="2042"/>
      <c r="BQ15" s="2042"/>
      <c r="BR15" s="2042"/>
      <c r="BS15" s="2042"/>
      <c r="BT15" s="2042"/>
      <c r="BU15" s="2042"/>
      <c r="BV15" s="2042"/>
      <c r="BW15" s="2042"/>
      <c r="BX15" s="2042"/>
      <c r="BY15" s="2042"/>
      <c r="BZ15" s="2042"/>
      <c r="CA15" s="2042"/>
      <c r="CB15" s="2042"/>
      <c r="CC15" s="2042"/>
      <c r="CD15" s="2042"/>
      <c r="CE15" s="2042"/>
      <c r="CF15" s="2042"/>
      <c r="CG15" s="2042"/>
      <c r="CH15" s="2042"/>
      <c r="CI15" s="2042"/>
      <c r="CJ15" s="2042"/>
      <c r="CK15" s="2042"/>
      <c r="CL15" s="2042"/>
      <c r="CM15" s="2042"/>
      <c r="CN15" s="2042"/>
      <c r="CO15" s="2042"/>
      <c r="CP15" s="2042"/>
      <c r="CQ15" s="2042"/>
      <c r="CR15" s="2042"/>
      <c r="CS15" s="2042"/>
      <c r="CT15" s="2042"/>
      <c r="CU15" s="2042"/>
      <c r="CV15" s="2042"/>
      <c r="CW15" s="2042"/>
      <c r="CX15" s="2042"/>
      <c r="CY15" s="2042"/>
      <c r="CZ15" s="2042"/>
      <c r="DA15" s="2042"/>
      <c r="DB15" s="2042"/>
      <c r="DC15" s="2042"/>
      <c r="DD15" s="2042"/>
      <c r="DE15" s="2042"/>
      <c r="DF15" s="2042"/>
      <c r="DG15" s="2042"/>
      <c r="DH15" s="2042"/>
      <c r="DI15" s="2042"/>
      <c r="DJ15" s="2042"/>
      <c r="DK15" s="2042"/>
      <c r="DL15" s="2042"/>
      <c r="DM15" s="2042"/>
      <c r="DN15" s="2042"/>
      <c r="DO15" s="2042"/>
      <c r="DP15" s="2042"/>
      <c r="DQ15" s="2042"/>
      <c r="DR15" s="2042"/>
      <c r="DS15" s="2042"/>
      <c r="DT15" s="2042"/>
      <c r="DU15" s="2042"/>
      <c r="DV15" s="2042"/>
      <c r="DW15" s="2042"/>
      <c r="DX15" s="2042"/>
      <c r="DY15" s="2042"/>
      <c r="DZ15" s="2042"/>
      <c r="EA15" s="2042"/>
      <c r="EB15" s="2042"/>
      <c r="EC15" s="2042"/>
      <c r="ED15" s="2042"/>
      <c r="EE15" s="2042"/>
      <c r="EF15" s="2042"/>
      <c r="EG15" s="2042"/>
      <c r="EH15" s="2042"/>
      <c r="EI15" s="2042"/>
      <c r="EJ15" s="2042"/>
      <c r="EK15" s="2042"/>
      <c r="EL15" s="2042"/>
      <c r="EM15" s="2042"/>
      <c r="EN15" s="2042"/>
      <c r="EO15" s="2042"/>
      <c r="EP15" s="2042"/>
      <c r="EQ15" s="2042"/>
      <c r="ER15" s="2042"/>
      <c r="ES15" s="2042"/>
      <c r="ET15" s="2042"/>
      <c r="EU15" s="2042"/>
      <c r="EV15" s="2042"/>
      <c r="EW15" s="2042"/>
      <c r="EX15" s="2042"/>
      <c r="EY15" s="2042"/>
      <c r="EZ15" s="2042"/>
      <c r="FA15" s="2042"/>
      <c r="FB15" s="2042"/>
      <c r="FC15" s="2042"/>
      <c r="FD15" s="2042"/>
      <c r="FE15" s="2042"/>
      <c r="FF15" s="2042"/>
      <c r="FG15" s="2042"/>
      <c r="FH15" s="2042"/>
      <c r="FI15" s="2042"/>
      <c r="FJ15" s="2042"/>
      <c r="FK15" s="2042"/>
      <c r="FL15" s="2042"/>
      <c r="FM15" s="2042"/>
      <c r="FN15" s="2042"/>
      <c r="FO15" s="2042"/>
      <c r="FP15" s="2042"/>
      <c r="FQ15" s="2042"/>
      <c r="FR15" s="2042"/>
      <c r="FS15" s="2042"/>
      <c r="FT15" s="2042"/>
      <c r="FU15" s="2042"/>
      <c r="FV15" s="2042"/>
      <c r="FW15" s="2042"/>
      <c r="FX15" s="2042"/>
      <c r="FY15" s="2042"/>
      <c r="FZ15" s="2042"/>
      <c r="GA15" s="2042"/>
      <c r="GB15" s="2042"/>
      <c r="GC15" s="2042"/>
      <c r="GD15" s="2042"/>
      <c r="GE15" s="2042"/>
      <c r="GF15" s="2042"/>
      <c r="GG15" s="2042"/>
      <c r="GH15" s="2042"/>
      <c r="GI15" s="2042"/>
      <c r="GJ15" s="2042"/>
      <c r="GK15" s="2042"/>
      <c r="GL15" s="2042"/>
      <c r="GM15" s="2042"/>
      <c r="GN15" s="2042"/>
      <c r="GO15" s="2042"/>
      <c r="GP15" s="2042"/>
      <c r="GQ15" s="2042"/>
      <c r="GR15" s="2042"/>
      <c r="GS15" s="2042"/>
      <c r="GT15" s="2042"/>
      <c r="GU15" s="2042"/>
      <c r="GV15" s="2042"/>
      <c r="GW15" s="2042"/>
      <c r="GX15" s="2042"/>
      <c r="GY15" s="2042"/>
      <c r="GZ15" s="2042"/>
      <c r="HA15" s="2042"/>
      <c r="HB15" s="2042"/>
      <c r="HC15" s="2042"/>
      <c r="HD15" s="2042"/>
      <c r="HE15" s="2042"/>
      <c r="HF15" s="2042"/>
      <c r="HG15" s="2042"/>
      <c r="HH15" s="2042"/>
      <c r="HI15" s="2042"/>
      <c r="HJ15" s="2042"/>
      <c r="HK15" s="2042"/>
      <c r="HL15" s="2042"/>
      <c r="HM15" s="2042"/>
      <c r="HN15" s="2042"/>
      <c r="HO15" s="2042"/>
      <c r="HP15" s="2042"/>
      <c r="HQ15" s="2042"/>
      <c r="HR15" s="2042"/>
      <c r="HS15" s="2042"/>
      <c r="HT15" s="2042"/>
      <c r="HU15" s="2042"/>
      <c r="HV15" s="2042"/>
      <c r="HW15" s="2042"/>
      <c r="HX15" s="2042"/>
      <c r="HY15" s="2042"/>
      <c r="HZ15" s="2042"/>
      <c r="IA15" s="2042"/>
      <c r="IB15" s="2042"/>
      <c r="IC15" s="2042"/>
      <c r="ID15" s="2042"/>
      <c r="IE15" s="2042"/>
      <c r="IF15" s="2042"/>
      <c r="IG15" s="2042"/>
      <c r="IH15" s="2042"/>
      <c r="II15" s="2042"/>
      <c r="IJ15" s="2042"/>
      <c r="IK15" s="2042"/>
      <c r="IL15" s="2042"/>
      <c r="IM15" s="2042"/>
      <c r="IN15" s="2042"/>
      <c r="IO15" s="2042"/>
      <c r="IP15" s="2042"/>
      <c r="IQ15" s="2042"/>
      <c r="IR15" s="2042"/>
      <c r="IS15" s="2042"/>
      <c r="IT15" s="2042"/>
      <c r="IU15" s="2042"/>
      <c r="IV15" s="2042"/>
    </row>
    <row r="16" spans="1:256" ht="51" customHeight="1">
      <c r="A16" s="2069">
        <v>2.6</v>
      </c>
      <c r="B16" s="2073" t="s">
        <v>7582</v>
      </c>
      <c r="C16" s="2073"/>
      <c r="D16" s="2073"/>
      <c r="E16" s="2059"/>
      <c r="F16" s="2059"/>
      <c r="G16" s="2059"/>
      <c r="H16" s="2074"/>
      <c r="I16" s="2068"/>
      <c r="J16" s="2064"/>
      <c r="K16" s="2042"/>
      <c r="L16" s="2042"/>
      <c r="M16" s="2042"/>
      <c r="N16" s="2042"/>
      <c r="O16" s="2042"/>
      <c r="P16" s="2042"/>
      <c r="Q16" s="2042"/>
      <c r="R16" s="2042"/>
      <c r="S16" s="2042"/>
      <c r="T16" s="2042"/>
      <c r="U16" s="2042"/>
      <c r="V16" s="2042"/>
      <c r="W16" s="2042"/>
      <c r="X16" s="2042"/>
      <c r="Y16" s="2042"/>
      <c r="Z16" s="2042"/>
      <c r="AA16" s="2042"/>
      <c r="AB16" s="2042"/>
      <c r="AC16" s="2042"/>
      <c r="AD16" s="2042"/>
      <c r="AE16" s="2042"/>
      <c r="AF16" s="2042"/>
      <c r="AG16" s="2042"/>
      <c r="AH16" s="2042"/>
      <c r="AI16" s="2042"/>
      <c r="AJ16" s="2042"/>
      <c r="AK16" s="2042"/>
      <c r="AL16" s="2042"/>
      <c r="AM16" s="2042"/>
      <c r="AN16" s="2042"/>
      <c r="AO16" s="2042"/>
      <c r="AP16" s="2042"/>
      <c r="AQ16" s="2042"/>
      <c r="AR16" s="2042"/>
      <c r="AS16" s="2042"/>
      <c r="AT16" s="2042"/>
      <c r="AU16" s="2042"/>
      <c r="AV16" s="2042"/>
      <c r="AW16" s="2042"/>
      <c r="AX16" s="2042"/>
      <c r="AY16" s="2042"/>
      <c r="AZ16" s="2042"/>
      <c r="BA16" s="2042"/>
      <c r="BB16" s="2042"/>
      <c r="BC16" s="2042"/>
      <c r="BD16" s="2042"/>
      <c r="BE16" s="2042"/>
      <c r="BF16" s="2042"/>
      <c r="BG16" s="2042"/>
      <c r="BH16" s="2042"/>
      <c r="BI16" s="2042"/>
      <c r="BJ16" s="2042"/>
      <c r="BK16" s="2042"/>
      <c r="BL16" s="2042"/>
      <c r="BM16" s="2042"/>
      <c r="BN16" s="2042"/>
      <c r="BO16" s="2042"/>
      <c r="BP16" s="2042"/>
      <c r="BQ16" s="2042"/>
      <c r="BR16" s="2042"/>
      <c r="BS16" s="2042"/>
      <c r="BT16" s="2042"/>
      <c r="BU16" s="2042"/>
      <c r="BV16" s="2042"/>
      <c r="BW16" s="2042"/>
      <c r="BX16" s="2042"/>
      <c r="BY16" s="2042"/>
      <c r="BZ16" s="2042"/>
      <c r="CA16" s="2042"/>
      <c r="CB16" s="2042"/>
      <c r="CC16" s="2042"/>
      <c r="CD16" s="2042"/>
      <c r="CE16" s="2042"/>
      <c r="CF16" s="2042"/>
      <c r="CG16" s="2042"/>
      <c r="CH16" s="2042"/>
      <c r="CI16" s="2042"/>
      <c r="CJ16" s="2042"/>
      <c r="CK16" s="2042"/>
      <c r="CL16" s="2042"/>
      <c r="CM16" s="2042"/>
      <c r="CN16" s="2042"/>
      <c r="CO16" s="2042"/>
      <c r="CP16" s="2042"/>
      <c r="CQ16" s="2042"/>
      <c r="CR16" s="2042"/>
      <c r="CS16" s="2042"/>
      <c r="CT16" s="2042"/>
      <c r="CU16" s="2042"/>
      <c r="CV16" s="2042"/>
      <c r="CW16" s="2042"/>
      <c r="CX16" s="2042"/>
      <c r="CY16" s="2042"/>
      <c r="CZ16" s="2042"/>
      <c r="DA16" s="2042"/>
      <c r="DB16" s="2042"/>
      <c r="DC16" s="2042"/>
      <c r="DD16" s="2042"/>
      <c r="DE16" s="2042"/>
      <c r="DF16" s="2042"/>
      <c r="DG16" s="2042"/>
      <c r="DH16" s="2042"/>
      <c r="DI16" s="2042"/>
      <c r="DJ16" s="2042"/>
      <c r="DK16" s="2042"/>
      <c r="DL16" s="2042"/>
      <c r="DM16" s="2042"/>
      <c r="DN16" s="2042"/>
      <c r="DO16" s="2042"/>
      <c r="DP16" s="2042"/>
      <c r="DQ16" s="2042"/>
      <c r="DR16" s="2042"/>
      <c r="DS16" s="2042"/>
      <c r="DT16" s="2042"/>
      <c r="DU16" s="2042"/>
      <c r="DV16" s="2042"/>
      <c r="DW16" s="2042"/>
      <c r="DX16" s="2042"/>
      <c r="DY16" s="2042"/>
      <c r="DZ16" s="2042"/>
      <c r="EA16" s="2042"/>
      <c r="EB16" s="2042"/>
      <c r="EC16" s="2042"/>
      <c r="ED16" s="2042"/>
      <c r="EE16" s="2042"/>
      <c r="EF16" s="2042"/>
      <c r="EG16" s="2042"/>
      <c r="EH16" s="2042"/>
      <c r="EI16" s="2042"/>
      <c r="EJ16" s="2042"/>
      <c r="EK16" s="2042"/>
      <c r="EL16" s="2042"/>
      <c r="EM16" s="2042"/>
      <c r="EN16" s="2042"/>
      <c r="EO16" s="2042"/>
      <c r="EP16" s="2042"/>
      <c r="EQ16" s="2042"/>
      <c r="ER16" s="2042"/>
      <c r="ES16" s="2042"/>
      <c r="ET16" s="2042"/>
      <c r="EU16" s="2042"/>
      <c r="EV16" s="2042"/>
      <c r="EW16" s="2042"/>
      <c r="EX16" s="2042"/>
      <c r="EY16" s="2042"/>
      <c r="EZ16" s="2042"/>
      <c r="FA16" s="2042"/>
      <c r="FB16" s="2042"/>
      <c r="FC16" s="2042"/>
      <c r="FD16" s="2042"/>
      <c r="FE16" s="2042"/>
      <c r="FF16" s="2042"/>
      <c r="FG16" s="2042"/>
      <c r="FH16" s="2042"/>
      <c r="FI16" s="2042"/>
      <c r="FJ16" s="2042"/>
      <c r="FK16" s="2042"/>
      <c r="FL16" s="2042"/>
      <c r="FM16" s="2042"/>
      <c r="FN16" s="2042"/>
      <c r="FO16" s="2042"/>
      <c r="FP16" s="2042"/>
      <c r="FQ16" s="2042"/>
      <c r="FR16" s="2042"/>
      <c r="FS16" s="2042"/>
      <c r="FT16" s="2042"/>
      <c r="FU16" s="2042"/>
      <c r="FV16" s="2042"/>
      <c r="FW16" s="2042"/>
      <c r="FX16" s="2042"/>
      <c r="FY16" s="2042"/>
      <c r="FZ16" s="2042"/>
      <c r="GA16" s="2042"/>
      <c r="GB16" s="2042"/>
      <c r="GC16" s="2042"/>
      <c r="GD16" s="2042"/>
      <c r="GE16" s="2042"/>
      <c r="GF16" s="2042"/>
      <c r="GG16" s="2042"/>
      <c r="GH16" s="2042"/>
      <c r="GI16" s="2042"/>
      <c r="GJ16" s="2042"/>
      <c r="GK16" s="2042"/>
      <c r="GL16" s="2042"/>
      <c r="GM16" s="2042"/>
      <c r="GN16" s="2042"/>
      <c r="GO16" s="2042"/>
      <c r="GP16" s="2042"/>
      <c r="GQ16" s="2042"/>
      <c r="GR16" s="2042"/>
      <c r="GS16" s="2042"/>
      <c r="GT16" s="2042"/>
      <c r="GU16" s="2042"/>
      <c r="GV16" s="2042"/>
      <c r="GW16" s="2042"/>
      <c r="GX16" s="2042"/>
      <c r="GY16" s="2042"/>
      <c r="GZ16" s="2042"/>
      <c r="HA16" s="2042"/>
      <c r="HB16" s="2042"/>
      <c r="HC16" s="2042"/>
      <c r="HD16" s="2042"/>
      <c r="HE16" s="2042"/>
      <c r="HF16" s="2042"/>
      <c r="HG16" s="2042"/>
      <c r="HH16" s="2042"/>
      <c r="HI16" s="2042"/>
      <c r="HJ16" s="2042"/>
      <c r="HK16" s="2042"/>
      <c r="HL16" s="2042"/>
      <c r="HM16" s="2042"/>
      <c r="HN16" s="2042"/>
      <c r="HO16" s="2042"/>
      <c r="HP16" s="2042"/>
      <c r="HQ16" s="2042"/>
      <c r="HR16" s="2042"/>
      <c r="HS16" s="2042"/>
      <c r="HT16" s="2042"/>
      <c r="HU16" s="2042"/>
      <c r="HV16" s="2042"/>
      <c r="HW16" s="2042"/>
      <c r="HX16" s="2042"/>
      <c r="HY16" s="2042"/>
      <c r="HZ16" s="2042"/>
      <c r="IA16" s="2042"/>
      <c r="IB16" s="2042"/>
      <c r="IC16" s="2042"/>
      <c r="ID16" s="2042"/>
      <c r="IE16" s="2042"/>
      <c r="IF16" s="2042"/>
      <c r="IG16" s="2042"/>
      <c r="IH16" s="2042"/>
      <c r="II16" s="2042"/>
      <c r="IJ16" s="2042"/>
      <c r="IK16" s="2042"/>
      <c r="IL16" s="2042"/>
      <c r="IM16" s="2042"/>
      <c r="IN16" s="2042"/>
      <c r="IO16" s="2042"/>
      <c r="IP16" s="2042"/>
      <c r="IQ16" s="2042"/>
      <c r="IR16" s="2042"/>
      <c r="IS16" s="2042"/>
      <c r="IT16" s="2042"/>
      <c r="IU16" s="2042"/>
      <c r="IV16" s="2042"/>
    </row>
    <row r="17" spans="1:256" ht="28.5" customHeight="1">
      <c r="A17" s="2071"/>
      <c r="B17" s="2057" t="s">
        <v>7583</v>
      </c>
      <c r="C17" s="2060">
        <v>1</v>
      </c>
      <c r="D17" s="2060">
        <v>2</v>
      </c>
      <c r="E17" s="2062">
        <v>8</v>
      </c>
      <c r="F17" s="2062">
        <v>1</v>
      </c>
      <c r="G17" s="2075">
        <v>0.6</v>
      </c>
      <c r="H17" s="2076">
        <f>PRODUCT(C17:G17)</f>
        <v>9.6</v>
      </c>
      <c r="I17" s="2068" t="s">
        <v>2142</v>
      </c>
      <c r="J17" s="2064"/>
      <c r="K17" s="2042"/>
      <c r="L17" s="2042"/>
      <c r="M17" s="2042"/>
      <c r="N17" s="2042"/>
      <c r="O17" s="2042"/>
      <c r="P17" s="2042"/>
      <c r="Q17" s="2042"/>
      <c r="R17" s="2042"/>
      <c r="S17" s="2042"/>
      <c r="T17" s="2042"/>
      <c r="U17" s="2042"/>
      <c r="V17" s="2042"/>
      <c r="W17" s="2042"/>
      <c r="X17" s="2042"/>
      <c r="Y17" s="2042"/>
      <c r="Z17" s="2042"/>
      <c r="AA17" s="2042"/>
      <c r="AB17" s="2042"/>
      <c r="AC17" s="2042"/>
      <c r="AD17" s="2042"/>
      <c r="AE17" s="2042"/>
      <c r="AF17" s="2042"/>
      <c r="AG17" s="2042"/>
      <c r="AH17" s="2042"/>
      <c r="AI17" s="2042"/>
      <c r="AJ17" s="2042"/>
      <c r="AK17" s="2042"/>
      <c r="AL17" s="2042"/>
      <c r="AM17" s="2042"/>
      <c r="AN17" s="2042"/>
      <c r="AO17" s="2042"/>
      <c r="AP17" s="2042"/>
      <c r="AQ17" s="2042"/>
      <c r="AR17" s="2042"/>
      <c r="AS17" s="2042"/>
      <c r="AT17" s="2042"/>
      <c r="AU17" s="2042"/>
      <c r="AV17" s="2042"/>
      <c r="AW17" s="2042"/>
      <c r="AX17" s="2042"/>
      <c r="AY17" s="2042"/>
      <c r="AZ17" s="2042"/>
      <c r="BA17" s="2042"/>
      <c r="BB17" s="2042"/>
      <c r="BC17" s="2042"/>
      <c r="BD17" s="2042"/>
      <c r="BE17" s="2042"/>
      <c r="BF17" s="2042"/>
      <c r="BG17" s="2042"/>
      <c r="BH17" s="2042"/>
      <c r="BI17" s="2042"/>
      <c r="BJ17" s="2042"/>
      <c r="BK17" s="2042"/>
      <c r="BL17" s="2042"/>
      <c r="BM17" s="2042"/>
      <c r="BN17" s="2042"/>
      <c r="BO17" s="2042"/>
      <c r="BP17" s="2042"/>
      <c r="BQ17" s="2042"/>
      <c r="BR17" s="2042"/>
      <c r="BS17" s="2042"/>
      <c r="BT17" s="2042"/>
      <c r="BU17" s="2042"/>
      <c r="BV17" s="2042"/>
      <c r="BW17" s="2042"/>
      <c r="BX17" s="2042"/>
      <c r="BY17" s="2042"/>
      <c r="BZ17" s="2042"/>
      <c r="CA17" s="2042"/>
      <c r="CB17" s="2042"/>
      <c r="CC17" s="2042"/>
      <c r="CD17" s="2042"/>
      <c r="CE17" s="2042"/>
      <c r="CF17" s="2042"/>
      <c r="CG17" s="2042"/>
      <c r="CH17" s="2042"/>
      <c r="CI17" s="2042"/>
      <c r="CJ17" s="2042"/>
      <c r="CK17" s="2042"/>
      <c r="CL17" s="2042"/>
      <c r="CM17" s="2042"/>
      <c r="CN17" s="2042"/>
      <c r="CO17" s="2042"/>
      <c r="CP17" s="2042"/>
      <c r="CQ17" s="2042"/>
      <c r="CR17" s="2042"/>
      <c r="CS17" s="2042"/>
      <c r="CT17" s="2042"/>
      <c r="CU17" s="2042"/>
      <c r="CV17" s="2042"/>
      <c r="CW17" s="2042"/>
      <c r="CX17" s="2042"/>
      <c r="CY17" s="2042"/>
      <c r="CZ17" s="2042"/>
      <c r="DA17" s="2042"/>
      <c r="DB17" s="2042"/>
      <c r="DC17" s="2042"/>
      <c r="DD17" s="2042"/>
      <c r="DE17" s="2042"/>
      <c r="DF17" s="2042"/>
      <c r="DG17" s="2042"/>
      <c r="DH17" s="2042"/>
      <c r="DI17" s="2042"/>
      <c r="DJ17" s="2042"/>
      <c r="DK17" s="2042"/>
      <c r="DL17" s="2042"/>
      <c r="DM17" s="2042"/>
      <c r="DN17" s="2042"/>
      <c r="DO17" s="2042"/>
      <c r="DP17" s="2042"/>
      <c r="DQ17" s="2042"/>
      <c r="DR17" s="2042"/>
      <c r="DS17" s="2042"/>
      <c r="DT17" s="2042"/>
      <c r="DU17" s="2042"/>
      <c r="DV17" s="2042"/>
      <c r="DW17" s="2042"/>
      <c r="DX17" s="2042"/>
      <c r="DY17" s="2042"/>
      <c r="DZ17" s="2042"/>
      <c r="EA17" s="2042"/>
      <c r="EB17" s="2042"/>
      <c r="EC17" s="2042"/>
      <c r="ED17" s="2042"/>
      <c r="EE17" s="2042"/>
      <c r="EF17" s="2042"/>
      <c r="EG17" s="2042"/>
      <c r="EH17" s="2042"/>
      <c r="EI17" s="2042"/>
      <c r="EJ17" s="2042"/>
      <c r="EK17" s="2042"/>
      <c r="EL17" s="2042"/>
      <c r="EM17" s="2042"/>
      <c r="EN17" s="2042"/>
      <c r="EO17" s="2042"/>
      <c r="EP17" s="2042"/>
      <c r="EQ17" s="2042"/>
      <c r="ER17" s="2042"/>
      <c r="ES17" s="2042"/>
      <c r="ET17" s="2042"/>
      <c r="EU17" s="2042"/>
      <c r="EV17" s="2042"/>
      <c r="EW17" s="2042"/>
      <c r="EX17" s="2042"/>
      <c r="EY17" s="2042"/>
      <c r="EZ17" s="2042"/>
      <c r="FA17" s="2042"/>
      <c r="FB17" s="2042"/>
      <c r="FC17" s="2042"/>
      <c r="FD17" s="2042"/>
      <c r="FE17" s="2042"/>
      <c r="FF17" s="2042"/>
      <c r="FG17" s="2042"/>
      <c r="FH17" s="2042"/>
      <c r="FI17" s="2042"/>
      <c r="FJ17" s="2042"/>
      <c r="FK17" s="2042"/>
      <c r="FL17" s="2042"/>
      <c r="FM17" s="2042"/>
      <c r="FN17" s="2042"/>
      <c r="FO17" s="2042"/>
      <c r="FP17" s="2042"/>
      <c r="FQ17" s="2042"/>
      <c r="FR17" s="2042"/>
      <c r="FS17" s="2042"/>
      <c r="FT17" s="2042"/>
      <c r="FU17" s="2042"/>
      <c r="FV17" s="2042"/>
      <c r="FW17" s="2042"/>
      <c r="FX17" s="2042"/>
      <c r="FY17" s="2042"/>
      <c r="FZ17" s="2042"/>
      <c r="GA17" s="2042"/>
      <c r="GB17" s="2042"/>
      <c r="GC17" s="2042"/>
      <c r="GD17" s="2042"/>
      <c r="GE17" s="2042"/>
      <c r="GF17" s="2042"/>
      <c r="GG17" s="2042"/>
      <c r="GH17" s="2042"/>
      <c r="GI17" s="2042"/>
      <c r="GJ17" s="2042"/>
      <c r="GK17" s="2042"/>
      <c r="GL17" s="2042"/>
      <c r="GM17" s="2042"/>
      <c r="GN17" s="2042"/>
      <c r="GO17" s="2042"/>
      <c r="GP17" s="2042"/>
      <c r="GQ17" s="2042"/>
      <c r="GR17" s="2042"/>
      <c r="GS17" s="2042"/>
      <c r="GT17" s="2042"/>
      <c r="GU17" s="2042"/>
      <c r="GV17" s="2042"/>
      <c r="GW17" s="2042"/>
      <c r="GX17" s="2042"/>
      <c r="GY17" s="2042"/>
      <c r="GZ17" s="2042"/>
      <c r="HA17" s="2042"/>
      <c r="HB17" s="2042"/>
      <c r="HC17" s="2042"/>
      <c r="HD17" s="2042"/>
      <c r="HE17" s="2042"/>
      <c r="HF17" s="2042"/>
      <c r="HG17" s="2042"/>
      <c r="HH17" s="2042"/>
      <c r="HI17" s="2042"/>
      <c r="HJ17" s="2042"/>
      <c r="HK17" s="2042"/>
      <c r="HL17" s="2042"/>
      <c r="HM17" s="2042"/>
      <c r="HN17" s="2042"/>
      <c r="HO17" s="2042"/>
      <c r="HP17" s="2042"/>
      <c r="HQ17" s="2042"/>
      <c r="HR17" s="2042"/>
      <c r="HS17" s="2042"/>
      <c r="HT17" s="2042"/>
      <c r="HU17" s="2042"/>
      <c r="HV17" s="2042"/>
      <c r="HW17" s="2042"/>
      <c r="HX17" s="2042"/>
      <c r="HY17" s="2042"/>
      <c r="HZ17" s="2042"/>
      <c r="IA17" s="2042"/>
      <c r="IB17" s="2042"/>
      <c r="IC17" s="2042"/>
      <c r="ID17" s="2042"/>
      <c r="IE17" s="2042"/>
      <c r="IF17" s="2042"/>
      <c r="IG17" s="2042"/>
      <c r="IH17" s="2042"/>
      <c r="II17" s="2042"/>
      <c r="IJ17" s="2042"/>
      <c r="IK17" s="2042"/>
      <c r="IL17" s="2042"/>
      <c r="IM17" s="2042"/>
      <c r="IN17" s="2042"/>
      <c r="IO17" s="2042"/>
      <c r="IP17" s="2042"/>
      <c r="IQ17" s="2042"/>
      <c r="IR17" s="2042"/>
      <c r="IS17" s="2042"/>
      <c r="IT17" s="2042"/>
      <c r="IU17" s="2042"/>
      <c r="IV17" s="2042"/>
    </row>
    <row r="18" spans="1:256" ht="51.75" customHeight="1">
      <c r="A18" s="2069">
        <v>2.7</v>
      </c>
      <c r="B18" s="2070" t="s">
        <v>7584</v>
      </c>
      <c r="C18" s="2070"/>
      <c r="D18" s="2070"/>
      <c r="E18" s="2059"/>
      <c r="F18" s="2059"/>
      <c r="G18" s="2059"/>
      <c r="H18" s="2074"/>
      <c r="I18" s="2068"/>
      <c r="J18" s="2064"/>
      <c r="K18" s="2042"/>
      <c r="L18" s="2042"/>
      <c r="M18" s="2042"/>
      <c r="N18" s="2042"/>
      <c r="O18" s="2042"/>
      <c r="P18" s="2042"/>
      <c r="Q18" s="2042"/>
      <c r="R18" s="2042"/>
      <c r="S18" s="2042"/>
      <c r="T18" s="2042"/>
      <c r="U18" s="2042"/>
      <c r="V18" s="2042"/>
      <c r="W18" s="2042"/>
      <c r="X18" s="2042"/>
      <c r="Y18" s="2042"/>
      <c r="Z18" s="2042"/>
      <c r="AA18" s="2042"/>
      <c r="AB18" s="2042"/>
      <c r="AC18" s="2042"/>
      <c r="AD18" s="2042"/>
      <c r="AE18" s="2042"/>
      <c r="AF18" s="2042"/>
      <c r="AG18" s="2042"/>
      <c r="AH18" s="2042"/>
      <c r="AI18" s="2042"/>
      <c r="AJ18" s="2042"/>
      <c r="AK18" s="2042"/>
      <c r="AL18" s="2042"/>
      <c r="AM18" s="2042"/>
      <c r="AN18" s="2042"/>
      <c r="AO18" s="2042"/>
      <c r="AP18" s="2042"/>
      <c r="AQ18" s="2042"/>
      <c r="AR18" s="2042"/>
      <c r="AS18" s="2042"/>
      <c r="AT18" s="2042"/>
      <c r="AU18" s="2042"/>
      <c r="AV18" s="2042"/>
      <c r="AW18" s="2042"/>
      <c r="AX18" s="2042"/>
      <c r="AY18" s="2042"/>
      <c r="AZ18" s="2042"/>
      <c r="BA18" s="2042"/>
      <c r="BB18" s="2042"/>
      <c r="BC18" s="2042"/>
      <c r="BD18" s="2042"/>
      <c r="BE18" s="2042"/>
      <c r="BF18" s="2042"/>
      <c r="BG18" s="2042"/>
      <c r="BH18" s="2042"/>
      <c r="BI18" s="2042"/>
      <c r="BJ18" s="2042"/>
      <c r="BK18" s="2042"/>
      <c r="BL18" s="2042"/>
      <c r="BM18" s="2042"/>
      <c r="BN18" s="2042"/>
      <c r="BO18" s="2042"/>
      <c r="BP18" s="2042"/>
      <c r="BQ18" s="2042"/>
      <c r="BR18" s="2042"/>
      <c r="BS18" s="2042"/>
      <c r="BT18" s="2042"/>
      <c r="BU18" s="2042"/>
      <c r="BV18" s="2042"/>
      <c r="BW18" s="2042"/>
      <c r="BX18" s="2042"/>
      <c r="BY18" s="2042"/>
      <c r="BZ18" s="2042"/>
      <c r="CA18" s="2042"/>
      <c r="CB18" s="2042"/>
      <c r="CC18" s="2042"/>
      <c r="CD18" s="2042"/>
      <c r="CE18" s="2042"/>
      <c r="CF18" s="2042"/>
      <c r="CG18" s="2042"/>
      <c r="CH18" s="2042"/>
      <c r="CI18" s="2042"/>
      <c r="CJ18" s="2042"/>
      <c r="CK18" s="2042"/>
      <c r="CL18" s="2042"/>
      <c r="CM18" s="2042"/>
      <c r="CN18" s="2042"/>
      <c r="CO18" s="2042"/>
      <c r="CP18" s="2042"/>
      <c r="CQ18" s="2042"/>
      <c r="CR18" s="2042"/>
      <c r="CS18" s="2042"/>
      <c r="CT18" s="2042"/>
      <c r="CU18" s="2042"/>
      <c r="CV18" s="2042"/>
      <c r="CW18" s="2042"/>
      <c r="CX18" s="2042"/>
      <c r="CY18" s="2042"/>
      <c r="CZ18" s="2042"/>
      <c r="DA18" s="2042"/>
      <c r="DB18" s="2042"/>
      <c r="DC18" s="2042"/>
      <c r="DD18" s="2042"/>
      <c r="DE18" s="2042"/>
      <c r="DF18" s="2042"/>
      <c r="DG18" s="2042"/>
      <c r="DH18" s="2042"/>
      <c r="DI18" s="2042"/>
      <c r="DJ18" s="2042"/>
      <c r="DK18" s="2042"/>
      <c r="DL18" s="2042"/>
      <c r="DM18" s="2042"/>
      <c r="DN18" s="2042"/>
      <c r="DO18" s="2042"/>
      <c r="DP18" s="2042"/>
      <c r="DQ18" s="2042"/>
      <c r="DR18" s="2042"/>
      <c r="DS18" s="2042"/>
      <c r="DT18" s="2042"/>
      <c r="DU18" s="2042"/>
      <c r="DV18" s="2042"/>
      <c r="DW18" s="2042"/>
      <c r="DX18" s="2042"/>
      <c r="DY18" s="2042"/>
      <c r="DZ18" s="2042"/>
      <c r="EA18" s="2042"/>
      <c r="EB18" s="2042"/>
      <c r="EC18" s="2042"/>
      <c r="ED18" s="2042"/>
      <c r="EE18" s="2042"/>
      <c r="EF18" s="2042"/>
      <c r="EG18" s="2042"/>
      <c r="EH18" s="2042"/>
      <c r="EI18" s="2042"/>
      <c r="EJ18" s="2042"/>
      <c r="EK18" s="2042"/>
      <c r="EL18" s="2042"/>
      <c r="EM18" s="2042"/>
      <c r="EN18" s="2042"/>
      <c r="EO18" s="2042"/>
      <c r="EP18" s="2042"/>
      <c r="EQ18" s="2042"/>
      <c r="ER18" s="2042"/>
      <c r="ES18" s="2042"/>
      <c r="ET18" s="2042"/>
      <c r="EU18" s="2042"/>
      <c r="EV18" s="2042"/>
      <c r="EW18" s="2042"/>
      <c r="EX18" s="2042"/>
      <c r="EY18" s="2042"/>
      <c r="EZ18" s="2042"/>
      <c r="FA18" s="2042"/>
      <c r="FB18" s="2042"/>
      <c r="FC18" s="2042"/>
      <c r="FD18" s="2042"/>
      <c r="FE18" s="2042"/>
      <c r="FF18" s="2042"/>
      <c r="FG18" s="2042"/>
      <c r="FH18" s="2042"/>
      <c r="FI18" s="2042"/>
      <c r="FJ18" s="2042"/>
      <c r="FK18" s="2042"/>
      <c r="FL18" s="2042"/>
      <c r="FM18" s="2042"/>
      <c r="FN18" s="2042"/>
      <c r="FO18" s="2042"/>
      <c r="FP18" s="2042"/>
      <c r="FQ18" s="2042"/>
      <c r="FR18" s="2042"/>
      <c r="FS18" s="2042"/>
      <c r="FT18" s="2042"/>
      <c r="FU18" s="2042"/>
      <c r="FV18" s="2042"/>
      <c r="FW18" s="2042"/>
      <c r="FX18" s="2042"/>
      <c r="FY18" s="2042"/>
      <c r="FZ18" s="2042"/>
      <c r="GA18" s="2042"/>
      <c r="GB18" s="2042"/>
      <c r="GC18" s="2042"/>
      <c r="GD18" s="2042"/>
      <c r="GE18" s="2042"/>
      <c r="GF18" s="2042"/>
      <c r="GG18" s="2042"/>
      <c r="GH18" s="2042"/>
      <c r="GI18" s="2042"/>
      <c r="GJ18" s="2042"/>
      <c r="GK18" s="2042"/>
      <c r="GL18" s="2042"/>
      <c r="GM18" s="2042"/>
      <c r="GN18" s="2042"/>
      <c r="GO18" s="2042"/>
      <c r="GP18" s="2042"/>
      <c r="GQ18" s="2042"/>
      <c r="GR18" s="2042"/>
      <c r="GS18" s="2042"/>
      <c r="GT18" s="2042"/>
      <c r="GU18" s="2042"/>
      <c r="GV18" s="2042"/>
      <c r="GW18" s="2042"/>
      <c r="GX18" s="2042"/>
      <c r="GY18" s="2042"/>
      <c r="GZ18" s="2042"/>
      <c r="HA18" s="2042"/>
      <c r="HB18" s="2042"/>
      <c r="HC18" s="2042"/>
      <c r="HD18" s="2042"/>
      <c r="HE18" s="2042"/>
      <c r="HF18" s="2042"/>
      <c r="HG18" s="2042"/>
      <c r="HH18" s="2042"/>
      <c r="HI18" s="2042"/>
      <c r="HJ18" s="2042"/>
      <c r="HK18" s="2042"/>
      <c r="HL18" s="2042"/>
      <c r="HM18" s="2042"/>
      <c r="HN18" s="2042"/>
      <c r="HO18" s="2042"/>
      <c r="HP18" s="2042"/>
      <c r="HQ18" s="2042"/>
      <c r="HR18" s="2042"/>
      <c r="HS18" s="2042"/>
      <c r="HT18" s="2042"/>
      <c r="HU18" s="2042"/>
      <c r="HV18" s="2042"/>
      <c r="HW18" s="2042"/>
      <c r="HX18" s="2042"/>
      <c r="HY18" s="2042"/>
      <c r="HZ18" s="2042"/>
      <c r="IA18" s="2042"/>
      <c r="IB18" s="2042"/>
      <c r="IC18" s="2042"/>
      <c r="ID18" s="2042"/>
      <c r="IE18" s="2042"/>
      <c r="IF18" s="2042"/>
      <c r="IG18" s="2042"/>
      <c r="IH18" s="2042"/>
      <c r="II18" s="2042"/>
      <c r="IJ18" s="2042"/>
      <c r="IK18" s="2042"/>
      <c r="IL18" s="2042"/>
      <c r="IM18" s="2042"/>
      <c r="IN18" s="2042"/>
      <c r="IO18" s="2042"/>
      <c r="IP18" s="2042"/>
      <c r="IQ18" s="2042"/>
      <c r="IR18" s="2042"/>
      <c r="IS18" s="2042"/>
      <c r="IT18" s="2042"/>
      <c r="IU18" s="2042"/>
      <c r="IV18" s="2042"/>
    </row>
    <row r="19" spans="1:256" ht="27" customHeight="1">
      <c r="A19" s="2071"/>
      <c r="B19" s="2057" t="s">
        <v>7583</v>
      </c>
      <c r="C19" s="2060">
        <v>1</v>
      </c>
      <c r="D19" s="2060">
        <v>2</v>
      </c>
      <c r="E19" s="2062">
        <v>8</v>
      </c>
      <c r="F19" s="2062">
        <v>1</v>
      </c>
      <c r="G19" s="2075">
        <v>0.2</v>
      </c>
      <c r="H19" s="2076">
        <f>PRODUCT(C19:G19)</f>
        <v>3.2</v>
      </c>
      <c r="I19" s="2068" t="s">
        <v>2142</v>
      </c>
      <c r="J19" s="2064"/>
      <c r="K19" s="2042"/>
      <c r="L19" s="2042"/>
      <c r="M19" s="2042"/>
      <c r="N19" s="2042"/>
      <c r="O19" s="2042"/>
      <c r="P19" s="2042"/>
      <c r="Q19" s="2042"/>
      <c r="R19" s="2042"/>
      <c r="S19" s="2042"/>
      <c r="T19" s="2042"/>
      <c r="U19" s="2042"/>
      <c r="V19" s="2042"/>
      <c r="W19" s="2042"/>
      <c r="X19" s="2042"/>
      <c r="Y19" s="2042"/>
      <c r="Z19" s="2042"/>
      <c r="AA19" s="2042"/>
      <c r="AB19" s="2042"/>
      <c r="AC19" s="2042"/>
      <c r="AD19" s="2042"/>
      <c r="AE19" s="2042"/>
      <c r="AF19" s="2042"/>
      <c r="AG19" s="2042"/>
      <c r="AH19" s="2042"/>
      <c r="AI19" s="2042"/>
      <c r="AJ19" s="2042"/>
      <c r="AK19" s="2042"/>
      <c r="AL19" s="2042"/>
      <c r="AM19" s="2042"/>
      <c r="AN19" s="2042"/>
      <c r="AO19" s="2042"/>
      <c r="AP19" s="2042"/>
      <c r="AQ19" s="2042"/>
      <c r="AR19" s="2042"/>
      <c r="AS19" s="2042"/>
      <c r="AT19" s="2042"/>
      <c r="AU19" s="2042"/>
      <c r="AV19" s="2042"/>
      <c r="AW19" s="2042"/>
      <c r="AX19" s="2042"/>
      <c r="AY19" s="2042"/>
      <c r="AZ19" s="2042"/>
      <c r="BA19" s="2042"/>
      <c r="BB19" s="2042"/>
      <c r="BC19" s="2042"/>
      <c r="BD19" s="2042"/>
      <c r="BE19" s="2042"/>
      <c r="BF19" s="2042"/>
      <c r="BG19" s="2042"/>
      <c r="BH19" s="2042"/>
      <c r="BI19" s="2042"/>
      <c r="BJ19" s="2042"/>
      <c r="BK19" s="2042"/>
      <c r="BL19" s="2042"/>
      <c r="BM19" s="2042"/>
      <c r="BN19" s="2042"/>
      <c r="BO19" s="2042"/>
      <c r="BP19" s="2042"/>
      <c r="BQ19" s="2042"/>
      <c r="BR19" s="2042"/>
      <c r="BS19" s="2042"/>
      <c r="BT19" s="2042"/>
      <c r="BU19" s="2042"/>
      <c r="BV19" s="2042"/>
      <c r="BW19" s="2042"/>
      <c r="BX19" s="2042"/>
      <c r="BY19" s="2042"/>
      <c r="BZ19" s="2042"/>
      <c r="CA19" s="2042"/>
      <c r="CB19" s="2042"/>
      <c r="CC19" s="2042"/>
      <c r="CD19" s="2042"/>
      <c r="CE19" s="2042"/>
      <c r="CF19" s="2042"/>
      <c r="CG19" s="2042"/>
      <c r="CH19" s="2042"/>
      <c r="CI19" s="2042"/>
      <c r="CJ19" s="2042"/>
      <c r="CK19" s="2042"/>
      <c r="CL19" s="2042"/>
      <c r="CM19" s="2042"/>
      <c r="CN19" s="2042"/>
      <c r="CO19" s="2042"/>
      <c r="CP19" s="2042"/>
      <c r="CQ19" s="2042"/>
      <c r="CR19" s="2042"/>
      <c r="CS19" s="2042"/>
      <c r="CT19" s="2042"/>
      <c r="CU19" s="2042"/>
      <c r="CV19" s="2042"/>
      <c r="CW19" s="2042"/>
      <c r="CX19" s="2042"/>
      <c r="CY19" s="2042"/>
      <c r="CZ19" s="2042"/>
      <c r="DA19" s="2042"/>
      <c r="DB19" s="2042"/>
      <c r="DC19" s="2042"/>
      <c r="DD19" s="2042"/>
      <c r="DE19" s="2042"/>
      <c r="DF19" s="2042"/>
      <c r="DG19" s="2042"/>
      <c r="DH19" s="2042"/>
      <c r="DI19" s="2042"/>
      <c r="DJ19" s="2042"/>
      <c r="DK19" s="2042"/>
      <c r="DL19" s="2042"/>
      <c r="DM19" s="2042"/>
      <c r="DN19" s="2042"/>
      <c r="DO19" s="2042"/>
      <c r="DP19" s="2042"/>
      <c r="DQ19" s="2042"/>
      <c r="DR19" s="2042"/>
      <c r="DS19" s="2042"/>
      <c r="DT19" s="2042"/>
      <c r="DU19" s="2042"/>
      <c r="DV19" s="2042"/>
      <c r="DW19" s="2042"/>
      <c r="DX19" s="2042"/>
      <c r="DY19" s="2042"/>
      <c r="DZ19" s="2042"/>
      <c r="EA19" s="2042"/>
      <c r="EB19" s="2042"/>
      <c r="EC19" s="2042"/>
      <c r="ED19" s="2042"/>
      <c r="EE19" s="2042"/>
      <c r="EF19" s="2042"/>
      <c r="EG19" s="2042"/>
      <c r="EH19" s="2042"/>
      <c r="EI19" s="2042"/>
      <c r="EJ19" s="2042"/>
      <c r="EK19" s="2042"/>
      <c r="EL19" s="2042"/>
      <c r="EM19" s="2042"/>
      <c r="EN19" s="2042"/>
      <c r="EO19" s="2042"/>
      <c r="EP19" s="2042"/>
      <c r="EQ19" s="2042"/>
      <c r="ER19" s="2042"/>
      <c r="ES19" s="2042"/>
      <c r="ET19" s="2042"/>
      <c r="EU19" s="2042"/>
      <c r="EV19" s="2042"/>
      <c r="EW19" s="2042"/>
      <c r="EX19" s="2042"/>
      <c r="EY19" s="2042"/>
      <c r="EZ19" s="2042"/>
      <c r="FA19" s="2042"/>
      <c r="FB19" s="2042"/>
      <c r="FC19" s="2042"/>
      <c r="FD19" s="2042"/>
      <c r="FE19" s="2042"/>
      <c r="FF19" s="2042"/>
      <c r="FG19" s="2042"/>
      <c r="FH19" s="2042"/>
      <c r="FI19" s="2042"/>
      <c r="FJ19" s="2042"/>
      <c r="FK19" s="2042"/>
      <c r="FL19" s="2042"/>
      <c r="FM19" s="2042"/>
      <c r="FN19" s="2042"/>
      <c r="FO19" s="2042"/>
      <c r="FP19" s="2042"/>
      <c r="FQ19" s="2042"/>
      <c r="FR19" s="2042"/>
      <c r="FS19" s="2042"/>
      <c r="FT19" s="2042"/>
      <c r="FU19" s="2042"/>
      <c r="FV19" s="2042"/>
      <c r="FW19" s="2042"/>
      <c r="FX19" s="2042"/>
      <c r="FY19" s="2042"/>
      <c r="FZ19" s="2042"/>
      <c r="GA19" s="2042"/>
      <c r="GB19" s="2042"/>
      <c r="GC19" s="2042"/>
      <c r="GD19" s="2042"/>
      <c r="GE19" s="2042"/>
      <c r="GF19" s="2042"/>
      <c r="GG19" s="2042"/>
      <c r="GH19" s="2042"/>
      <c r="GI19" s="2042"/>
      <c r="GJ19" s="2042"/>
      <c r="GK19" s="2042"/>
      <c r="GL19" s="2042"/>
      <c r="GM19" s="2042"/>
      <c r="GN19" s="2042"/>
      <c r="GO19" s="2042"/>
      <c r="GP19" s="2042"/>
      <c r="GQ19" s="2042"/>
      <c r="GR19" s="2042"/>
      <c r="GS19" s="2042"/>
      <c r="GT19" s="2042"/>
      <c r="GU19" s="2042"/>
      <c r="GV19" s="2042"/>
      <c r="GW19" s="2042"/>
      <c r="GX19" s="2042"/>
      <c r="GY19" s="2042"/>
      <c r="GZ19" s="2042"/>
      <c r="HA19" s="2042"/>
      <c r="HB19" s="2042"/>
      <c r="HC19" s="2042"/>
      <c r="HD19" s="2042"/>
      <c r="HE19" s="2042"/>
      <c r="HF19" s="2042"/>
      <c r="HG19" s="2042"/>
      <c r="HH19" s="2042"/>
      <c r="HI19" s="2042"/>
      <c r="HJ19" s="2042"/>
      <c r="HK19" s="2042"/>
      <c r="HL19" s="2042"/>
      <c r="HM19" s="2042"/>
      <c r="HN19" s="2042"/>
      <c r="HO19" s="2042"/>
      <c r="HP19" s="2042"/>
      <c r="HQ19" s="2042"/>
      <c r="HR19" s="2042"/>
      <c r="HS19" s="2042"/>
      <c r="HT19" s="2042"/>
      <c r="HU19" s="2042"/>
      <c r="HV19" s="2042"/>
      <c r="HW19" s="2042"/>
      <c r="HX19" s="2042"/>
      <c r="HY19" s="2042"/>
      <c r="HZ19" s="2042"/>
      <c r="IA19" s="2042"/>
      <c r="IB19" s="2042"/>
      <c r="IC19" s="2042"/>
      <c r="ID19" s="2042"/>
      <c r="IE19" s="2042"/>
      <c r="IF19" s="2042"/>
      <c r="IG19" s="2042"/>
      <c r="IH19" s="2042"/>
      <c r="II19" s="2042"/>
      <c r="IJ19" s="2042"/>
      <c r="IK19" s="2042"/>
      <c r="IL19" s="2042"/>
      <c r="IM19" s="2042"/>
      <c r="IN19" s="2042"/>
      <c r="IO19" s="2042"/>
      <c r="IP19" s="2042"/>
      <c r="IQ19" s="2042"/>
      <c r="IR19" s="2042"/>
      <c r="IS19" s="2042"/>
      <c r="IT19" s="2042"/>
      <c r="IU19" s="2042"/>
      <c r="IV19" s="2042"/>
    </row>
    <row r="20" spans="1:256" ht="28.5" customHeight="1">
      <c r="A20" s="2069">
        <v>3.1</v>
      </c>
      <c r="B20" s="2070" t="s">
        <v>7585</v>
      </c>
      <c r="C20" s="2073"/>
      <c r="D20" s="2073"/>
      <c r="E20" s="2073"/>
      <c r="F20" s="2073"/>
      <c r="G20" s="2073"/>
      <c r="H20" s="2067"/>
      <c r="I20" s="2053"/>
      <c r="J20" s="2064"/>
      <c r="K20" s="2042"/>
      <c r="L20" s="2042"/>
      <c r="M20" s="2042"/>
      <c r="N20" s="2042"/>
      <c r="O20" s="2042"/>
      <c r="P20" s="2042"/>
      <c r="Q20" s="2042"/>
      <c r="R20" s="2042"/>
      <c r="S20" s="2042"/>
      <c r="T20" s="2042"/>
      <c r="U20" s="2042"/>
      <c r="V20" s="2042"/>
      <c r="W20" s="2042"/>
      <c r="X20" s="2042"/>
      <c r="Y20" s="2042"/>
      <c r="Z20" s="2042"/>
      <c r="AA20" s="2042"/>
      <c r="AB20" s="2042"/>
      <c r="AC20" s="2042"/>
      <c r="AD20" s="2042"/>
      <c r="AE20" s="2042"/>
      <c r="AF20" s="2042"/>
      <c r="AG20" s="2042"/>
      <c r="AH20" s="2042"/>
      <c r="AI20" s="2042"/>
      <c r="AJ20" s="2042"/>
      <c r="AK20" s="2042"/>
      <c r="AL20" s="2042"/>
      <c r="AM20" s="2042"/>
      <c r="AN20" s="2042"/>
      <c r="AO20" s="2042"/>
      <c r="AP20" s="2042"/>
      <c r="AQ20" s="2042"/>
      <c r="AR20" s="2042"/>
      <c r="AS20" s="2042"/>
      <c r="AT20" s="2042"/>
      <c r="AU20" s="2042"/>
      <c r="AV20" s="2042"/>
      <c r="AW20" s="2042"/>
      <c r="AX20" s="2042"/>
      <c r="AY20" s="2042"/>
      <c r="AZ20" s="2042"/>
      <c r="BA20" s="2042"/>
      <c r="BB20" s="2042"/>
      <c r="BC20" s="2042"/>
      <c r="BD20" s="2042"/>
      <c r="BE20" s="2042"/>
      <c r="BF20" s="2042"/>
      <c r="BG20" s="2042"/>
      <c r="BH20" s="2042"/>
      <c r="BI20" s="2042"/>
      <c r="BJ20" s="2042"/>
      <c r="BK20" s="2042"/>
      <c r="BL20" s="2042"/>
      <c r="BM20" s="2042"/>
      <c r="BN20" s="2042"/>
      <c r="BO20" s="2042"/>
      <c r="BP20" s="2042"/>
      <c r="BQ20" s="2042"/>
      <c r="BR20" s="2042"/>
      <c r="BS20" s="2042"/>
      <c r="BT20" s="2042"/>
      <c r="BU20" s="2042"/>
      <c r="BV20" s="2042"/>
      <c r="BW20" s="2042"/>
      <c r="BX20" s="2042"/>
      <c r="BY20" s="2042"/>
      <c r="BZ20" s="2042"/>
      <c r="CA20" s="2042"/>
      <c r="CB20" s="2042"/>
      <c r="CC20" s="2042"/>
      <c r="CD20" s="2042"/>
      <c r="CE20" s="2042"/>
      <c r="CF20" s="2042"/>
      <c r="CG20" s="2042"/>
      <c r="CH20" s="2042"/>
      <c r="CI20" s="2042"/>
      <c r="CJ20" s="2042"/>
      <c r="CK20" s="2042"/>
      <c r="CL20" s="2042"/>
      <c r="CM20" s="2042"/>
      <c r="CN20" s="2042"/>
      <c r="CO20" s="2042"/>
      <c r="CP20" s="2042"/>
      <c r="CQ20" s="2042"/>
      <c r="CR20" s="2042"/>
      <c r="CS20" s="2042"/>
      <c r="CT20" s="2042"/>
      <c r="CU20" s="2042"/>
      <c r="CV20" s="2042"/>
      <c r="CW20" s="2042"/>
      <c r="CX20" s="2042"/>
      <c r="CY20" s="2042"/>
      <c r="CZ20" s="2042"/>
      <c r="DA20" s="2042"/>
      <c r="DB20" s="2042"/>
      <c r="DC20" s="2042"/>
      <c r="DD20" s="2042"/>
      <c r="DE20" s="2042"/>
      <c r="DF20" s="2042"/>
      <c r="DG20" s="2042"/>
      <c r="DH20" s="2042"/>
      <c r="DI20" s="2042"/>
      <c r="DJ20" s="2042"/>
      <c r="DK20" s="2042"/>
      <c r="DL20" s="2042"/>
      <c r="DM20" s="2042"/>
      <c r="DN20" s="2042"/>
      <c r="DO20" s="2042"/>
      <c r="DP20" s="2042"/>
      <c r="DQ20" s="2042"/>
      <c r="DR20" s="2042"/>
      <c r="DS20" s="2042"/>
      <c r="DT20" s="2042"/>
      <c r="DU20" s="2042"/>
      <c r="DV20" s="2042"/>
      <c r="DW20" s="2042"/>
      <c r="DX20" s="2042"/>
      <c r="DY20" s="2042"/>
      <c r="DZ20" s="2042"/>
      <c r="EA20" s="2042"/>
      <c r="EB20" s="2042"/>
      <c r="EC20" s="2042"/>
      <c r="ED20" s="2042"/>
      <c r="EE20" s="2042"/>
      <c r="EF20" s="2042"/>
      <c r="EG20" s="2042"/>
      <c r="EH20" s="2042"/>
      <c r="EI20" s="2042"/>
      <c r="EJ20" s="2042"/>
      <c r="EK20" s="2042"/>
      <c r="EL20" s="2042"/>
      <c r="EM20" s="2042"/>
      <c r="EN20" s="2042"/>
      <c r="EO20" s="2042"/>
      <c r="EP20" s="2042"/>
      <c r="EQ20" s="2042"/>
      <c r="ER20" s="2042"/>
      <c r="ES20" s="2042"/>
      <c r="ET20" s="2042"/>
      <c r="EU20" s="2042"/>
      <c r="EV20" s="2042"/>
      <c r="EW20" s="2042"/>
      <c r="EX20" s="2042"/>
      <c r="EY20" s="2042"/>
      <c r="EZ20" s="2042"/>
      <c r="FA20" s="2042"/>
      <c r="FB20" s="2042"/>
      <c r="FC20" s="2042"/>
      <c r="FD20" s="2042"/>
      <c r="FE20" s="2042"/>
      <c r="FF20" s="2042"/>
      <c r="FG20" s="2042"/>
      <c r="FH20" s="2042"/>
      <c r="FI20" s="2042"/>
      <c r="FJ20" s="2042"/>
      <c r="FK20" s="2042"/>
      <c r="FL20" s="2042"/>
      <c r="FM20" s="2042"/>
      <c r="FN20" s="2042"/>
      <c r="FO20" s="2042"/>
      <c r="FP20" s="2042"/>
      <c r="FQ20" s="2042"/>
      <c r="FR20" s="2042"/>
      <c r="FS20" s="2042"/>
      <c r="FT20" s="2042"/>
      <c r="FU20" s="2042"/>
      <c r="FV20" s="2042"/>
      <c r="FW20" s="2042"/>
      <c r="FX20" s="2042"/>
      <c r="FY20" s="2042"/>
      <c r="FZ20" s="2042"/>
      <c r="GA20" s="2042"/>
      <c r="GB20" s="2042"/>
      <c r="GC20" s="2042"/>
      <c r="GD20" s="2042"/>
      <c r="GE20" s="2042"/>
      <c r="GF20" s="2042"/>
      <c r="GG20" s="2042"/>
      <c r="GH20" s="2042"/>
      <c r="GI20" s="2042"/>
      <c r="GJ20" s="2042"/>
      <c r="GK20" s="2042"/>
      <c r="GL20" s="2042"/>
      <c r="GM20" s="2042"/>
      <c r="GN20" s="2042"/>
      <c r="GO20" s="2042"/>
      <c r="GP20" s="2042"/>
      <c r="GQ20" s="2042"/>
      <c r="GR20" s="2042"/>
      <c r="GS20" s="2042"/>
      <c r="GT20" s="2042"/>
      <c r="GU20" s="2042"/>
      <c r="GV20" s="2042"/>
      <c r="GW20" s="2042"/>
      <c r="GX20" s="2042"/>
      <c r="GY20" s="2042"/>
      <c r="GZ20" s="2042"/>
      <c r="HA20" s="2042"/>
      <c r="HB20" s="2042"/>
      <c r="HC20" s="2042"/>
      <c r="HD20" s="2042"/>
      <c r="HE20" s="2042"/>
      <c r="HF20" s="2042"/>
      <c r="HG20" s="2042"/>
      <c r="HH20" s="2042"/>
      <c r="HI20" s="2042"/>
      <c r="HJ20" s="2042"/>
      <c r="HK20" s="2042"/>
      <c r="HL20" s="2042"/>
      <c r="HM20" s="2042"/>
      <c r="HN20" s="2042"/>
      <c r="HO20" s="2042"/>
      <c r="HP20" s="2042"/>
      <c r="HQ20" s="2042"/>
      <c r="HR20" s="2042"/>
      <c r="HS20" s="2042"/>
      <c r="HT20" s="2042"/>
      <c r="HU20" s="2042"/>
      <c r="HV20" s="2042"/>
      <c r="HW20" s="2042"/>
      <c r="HX20" s="2042"/>
      <c r="HY20" s="2042"/>
      <c r="HZ20" s="2042"/>
      <c r="IA20" s="2042"/>
      <c r="IB20" s="2042"/>
      <c r="IC20" s="2042"/>
      <c r="ID20" s="2042"/>
      <c r="IE20" s="2042"/>
      <c r="IF20" s="2042"/>
      <c r="IG20" s="2042"/>
      <c r="IH20" s="2042"/>
      <c r="II20" s="2042"/>
      <c r="IJ20" s="2042"/>
      <c r="IK20" s="2042"/>
      <c r="IL20" s="2042"/>
      <c r="IM20" s="2042"/>
      <c r="IN20" s="2042"/>
      <c r="IO20" s="2042"/>
      <c r="IP20" s="2042"/>
      <c r="IQ20" s="2042"/>
      <c r="IR20" s="2042"/>
      <c r="IS20" s="2042"/>
      <c r="IT20" s="2042"/>
      <c r="IU20" s="2042"/>
      <c r="IV20" s="2042"/>
    </row>
    <row r="21" spans="1:256" ht="29.25" customHeight="1">
      <c r="A21" s="2071"/>
      <c r="B21" s="2057" t="s">
        <v>7586</v>
      </c>
      <c r="C21" s="2060">
        <v>1</v>
      </c>
      <c r="D21" s="2060">
        <v>2</v>
      </c>
      <c r="E21" s="2062">
        <v>1.4</v>
      </c>
      <c r="F21" s="2062">
        <v>1.4</v>
      </c>
      <c r="G21" s="2063">
        <v>0.15</v>
      </c>
      <c r="H21" s="2076">
        <f>PRODUCT(C21:G21)</f>
        <v>0.59</v>
      </c>
      <c r="I21" s="2068" t="s">
        <v>2142</v>
      </c>
      <c r="J21" s="2064"/>
      <c r="K21" s="2042"/>
      <c r="L21" s="2042"/>
      <c r="M21" s="2042"/>
      <c r="N21" s="2042"/>
      <c r="O21" s="2042"/>
      <c r="P21" s="2042"/>
      <c r="Q21" s="2042"/>
      <c r="R21" s="2042"/>
      <c r="S21" s="2042"/>
      <c r="T21" s="2042"/>
      <c r="U21" s="2042"/>
      <c r="V21" s="2042"/>
      <c r="W21" s="2042"/>
      <c r="X21" s="2042"/>
      <c r="Y21" s="2042"/>
      <c r="Z21" s="2042"/>
      <c r="AA21" s="2042"/>
      <c r="AB21" s="2042"/>
      <c r="AC21" s="2042"/>
      <c r="AD21" s="2042"/>
      <c r="AE21" s="2042"/>
      <c r="AF21" s="2042"/>
      <c r="AG21" s="2042"/>
      <c r="AH21" s="2042"/>
      <c r="AI21" s="2042"/>
      <c r="AJ21" s="2042"/>
      <c r="AK21" s="2042"/>
      <c r="AL21" s="2042"/>
      <c r="AM21" s="2042"/>
      <c r="AN21" s="2042"/>
      <c r="AO21" s="2042"/>
      <c r="AP21" s="2042"/>
      <c r="AQ21" s="2042"/>
      <c r="AR21" s="2042"/>
      <c r="AS21" s="2042"/>
      <c r="AT21" s="2042"/>
      <c r="AU21" s="2042"/>
      <c r="AV21" s="2042"/>
      <c r="AW21" s="2042"/>
      <c r="AX21" s="2042"/>
      <c r="AY21" s="2042"/>
      <c r="AZ21" s="2042"/>
      <c r="BA21" s="2042"/>
      <c r="BB21" s="2042"/>
      <c r="BC21" s="2042"/>
      <c r="BD21" s="2042"/>
      <c r="BE21" s="2042"/>
      <c r="BF21" s="2042"/>
      <c r="BG21" s="2042"/>
      <c r="BH21" s="2042"/>
      <c r="BI21" s="2042"/>
      <c r="BJ21" s="2042"/>
      <c r="BK21" s="2042"/>
      <c r="BL21" s="2042"/>
      <c r="BM21" s="2042"/>
      <c r="BN21" s="2042"/>
      <c r="BO21" s="2042"/>
      <c r="BP21" s="2042"/>
      <c r="BQ21" s="2042"/>
      <c r="BR21" s="2042"/>
      <c r="BS21" s="2042"/>
      <c r="BT21" s="2042"/>
      <c r="BU21" s="2042"/>
      <c r="BV21" s="2042"/>
      <c r="BW21" s="2042"/>
      <c r="BX21" s="2042"/>
      <c r="BY21" s="2042"/>
      <c r="BZ21" s="2042"/>
      <c r="CA21" s="2042"/>
      <c r="CB21" s="2042"/>
      <c r="CC21" s="2042"/>
      <c r="CD21" s="2042"/>
      <c r="CE21" s="2042"/>
      <c r="CF21" s="2042"/>
      <c r="CG21" s="2042"/>
      <c r="CH21" s="2042"/>
      <c r="CI21" s="2042"/>
      <c r="CJ21" s="2042"/>
      <c r="CK21" s="2042"/>
      <c r="CL21" s="2042"/>
      <c r="CM21" s="2042"/>
      <c r="CN21" s="2042"/>
      <c r="CO21" s="2042"/>
      <c r="CP21" s="2042"/>
      <c r="CQ21" s="2042"/>
      <c r="CR21" s="2042"/>
      <c r="CS21" s="2042"/>
      <c r="CT21" s="2042"/>
      <c r="CU21" s="2042"/>
      <c r="CV21" s="2042"/>
      <c r="CW21" s="2042"/>
      <c r="CX21" s="2042"/>
      <c r="CY21" s="2042"/>
      <c r="CZ21" s="2042"/>
      <c r="DA21" s="2042"/>
      <c r="DB21" s="2042"/>
      <c r="DC21" s="2042"/>
      <c r="DD21" s="2042"/>
      <c r="DE21" s="2042"/>
      <c r="DF21" s="2042"/>
      <c r="DG21" s="2042"/>
      <c r="DH21" s="2042"/>
      <c r="DI21" s="2042"/>
      <c r="DJ21" s="2042"/>
      <c r="DK21" s="2042"/>
      <c r="DL21" s="2042"/>
      <c r="DM21" s="2042"/>
      <c r="DN21" s="2042"/>
      <c r="DO21" s="2042"/>
      <c r="DP21" s="2042"/>
      <c r="DQ21" s="2042"/>
      <c r="DR21" s="2042"/>
      <c r="DS21" s="2042"/>
      <c r="DT21" s="2042"/>
      <c r="DU21" s="2042"/>
      <c r="DV21" s="2042"/>
      <c r="DW21" s="2042"/>
      <c r="DX21" s="2042"/>
      <c r="DY21" s="2042"/>
      <c r="DZ21" s="2042"/>
      <c r="EA21" s="2042"/>
      <c r="EB21" s="2042"/>
      <c r="EC21" s="2042"/>
      <c r="ED21" s="2042"/>
      <c r="EE21" s="2042"/>
      <c r="EF21" s="2042"/>
      <c r="EG21" s="2042"/>
      <c r="EH21" s="2042"/>
      <c r="EI21" s="2042"/>
      <c r="EJ21" s="2042"/>
      <c r="EK21" s="2042"/>
      <c r="EL21" s="2042"/>
      <c r="EM21" s="2042"/>
      <c r="EN21" s="2042"/>
      <c r="EO21" s="2042"/>
      <c r="EP21" s="2042"/>
      <c r="EQ21" s="2042"/>
      <c r="ER21" s="2042"/>
      <c r="ES21" s="2042"/>
      <c r="ET21" s="2042"/>
      <c r="EU21" s="2042"/>
      <c r="EV21" s="2042"/>
      <c r="EW21" s="2042"/>
      <c r="EX21" s="2042"/>
      <c r="EY21" s="2042"/>
      <c r="EZ21" s="2042"/>
      <c r="FA21" s="2042"/>
      <c r="FB21" s="2042"/>
      <c r="FC21" s="2042"/>
      <c r="FD21" s="2042"/>
      <c r="FE21" s="2042"/>
      <c r="FF21" s="2042"/>
      <c r="FG21" s="2042"/>
      <c r="FH21" s="2042"/>
      <c r="FI21" s="2042"/>
      <c r="FJ21" s="2042"/>
      <c r="FK21" s="2042"/>
      <c r="FL21" s="2042"/>
      <c r="FM21" s="2042"/>
      <c r="FN21" s="2042"/>
      <c r="FO21" s="2042"/>
      <c r="FP21" s="2042"/>
      <c r="FQ21" s="2042"/>
      <c r="FR21" s="2042"/>
      <c r="FS21" s="2042"/>
      <c r="FT21" s="2042"/>
      <c r="FU21" s="2042"/>
      <c r="FV21" s="2042"/>
      <c r="FW21" s="2042"/>
      <c r="FX21" s="2042"/>
      <c r="FY21" s="2042"/>
      <c r="FZ21" s="2042"/>
      <c r="GA21" s="2042"/>
      <c r="GB21" s="2042"/>
      <c r="GC21" s="2042"/>
      <c r="GD21" s="2042"/>
      <c r="GE21" s="2042"/>
      <c r="GF21" s="2042"/>
      <c r="GG21" s="2042"/>
      <c r="GH21" s="2042"/>
      <c r="GI21" s="2042"/>
      <c r="GJ21" s="2042"/>
      <c r="GK21" s="2042"/>
      <c r="GL21" s="2042"/>
      <c r="GM21" s="2042"/>
      <c r="GN21" s="2042"/>
      <c r="GO21" s="2042"/>
      <c r="GP21" s="2042"/>
      <c r="GQ21" s="2042"/>
      <c r="GR21" s="2042"/>
      <c r="GS21" s="2042"/>
      <c r="GT21" s="2042"/>
      <c r="GU21" s="2042"/>
      <c r="GV21" s="2042"/>
      <c r="GW21" s="2042"/>
      <c r="GX21" s="2042"/>
      <c r="GY21" s="2042"/>
      <c r="GZ21" s="2042"/>
      <c r="HA21" s="2042"/>
      <c r="HB21" s="2042"/>
      <c r="HC21" s="2042"/>
      <c r="HD21" s="2042"/>
      <c r="HE21" s="2042"/>
      <c r="HF21" s="2042"/>
      <c r="HG21" s="2042"/>
      <c r="HH21" s="2042"/>
      <c r="HI21" s="2042"/>
      <c r="HJ21" s="2042"/>
      <c r="HK21" s="2042"/>
      <c r="HL21" s="2042"/>
      <c r="HM21" s="2042"/>
      <c r="HN21" s="2042"/>
      <c r="HO21" s="2042"/>
      <c r="HP21" s="2042"/>
      <c r="HQ21" s="2042"/>
      <c r="HR21" s="2042"/>
      <c r="HS21" s="2042"/>
      <c r="HT21" s="2042"/>
      <c r="HU21" s="2042"/>
      <c r="HV21" s="2042"/>
      <c r="HW21" s="2042"/>
      <c r="HX21" s="2042"/>
      <c r="HY21" s="2042"/>
      <c r="HZ21" s="2042"/>
      <c r="IA21" s="2042"/>
      <c r="IB21" s="2042"/>
      <c r="IC21" s="2042"/>
      <c r="ID21" s="2042"/>
      <c r="IE21" s="2042"/>
      <c r="IF21" s="2042"/>
      <c r="IG21" s="2042"/>
      <c r="IH21" s="2042"/>
      <c r="II21" s="2042"/>
      <c r="IJ21" s="2042"/>
      <c r="IK21" s="2042"/>
      <c r="IL21" s="2042"/>
      <c r="IM21" s="2042"/>
      <c r="IN21" s="2042"/>
      <c r="IO21" s="2042"/>
      <c r="IP21" s="2042"/>
      <c r="IQ21" s="2042"/>
      <c r="IR21" s="2042"/>
      <c r="IS21" s="2042"/>
      <c r="IT21" s="2042"/>
      <c r="IU21" s="2042"/>
      <c r="IV21" s="2042"/>
    </row>
    <row r="22" spans="1:256" ht="29.25" customHeight="1">
      <c r="A22" s="2069">
        <v>3.2</v>
      </c>
      <c r="B22" s="2057" t="s">
        <v>7587</v>
      </c>
      <c r="C22" s="2059"/>
      <c r="D22" s="2059"/>
      <c r="E22" s="2059"/>
      <c r="F22" s="2059"/>
      <c r="G22" s="2059"/>
      <c r="H22" s="2062"/>
      <c r="I22" s="2053"/>
      <c r="J22" s="2064"/>
      <c r="K22" s="2042"/>
      <c r="L22" s="2042"/>
      <c r="M22" s="2042"/>
      <c r="N22" s="2042"/>
      <c r="O22" s="2042"/>
      <c r="P22" s="2042"/>
      <c r="Q22" s="2042"/>
      <c r="R22" s="2042"/>
      <c r="S22" s="2042"/>
      <c r="T22" s="2042"/>
      <c r="U22" s="2042"/>
      <c r="V22" s="2042"/>
      <c r="W22" s="2042"/>
      <c r="X22" s="2042"/>
      <c r="Y22" s="2042"/>
      <c r="Z22" s="2042"/>
      <c r="AA22" s="2042"/>
      <c r="AB22" s="2042"/>
      <c r="AC22" s="2042"/>
      <c r="AD22" s="2042"/>
      <c r="AE22" s="2042"/>
      <c r="AF22" s="2042"/>
      <c r="AG22" s="2042"/>
      <c r="AH22" s="2042"/>
      <c r="AI22" s="2042"/>
      <c r="AJ22" s="2042"/>
      <c r="AK22" s="2042"/>
      <c r="AL22" s="2042"/>
      <c r="AM22" s="2042"/>
      <c r="AN22" s="2042"/>
      <c r="AO22" s="2042"/>
      <c r="AP22" s="2042"/>
      <c r="AQ22" s="2042"/>
      <c r="AR22" s="2042"/>
      <c r="AS22" s="2042"/>
      <c r="AT22" s="2042"/>
      <c r="AU22" s="2042"/>
      <c r="AV22" s="2042"/>
      <c r="AW22" s="2042"/>
      <c r="AX22" s="2042"/>
      <c r="AY22" s="2042"/>
      <c r="AZ22" s="2042"/>
      <c r="BA22" s="2042"/>
      <c r="BB22" s="2042"/>
      <c r="BC22" s="2042"/>
      <c r="BD22" s="2042"/>
      <c r="BE22" s="2042"/>
      <c r="BF22" s="2042"/>
      <c r="BG22" s="2042"/>
      <c r="BH22" s="2042"/>
      <c r="BI22" s="2042"/>
      <c r="BJ22" s="2042"/>
      <c r="BK22" s="2042"/>
      <c r="BL22" s="2042"/>
      <c r="BM22" s="2042"/>
      <c r="BN22" s="2042"/>
      <c r="BO22" s="2042"/>
      <c r="BP22" s="2042"/>
      <c r="BQ22" s="2042"/>
      <c r="BR22" s="2042"/>
      <c r="BS22" s="2042"/>
      <c r="BT22" s="2042"/>
      <c r="BU22" s="2042"/>
      <c r="BV22" s="2042"/>
      <c r="BW22" s="2042"/>
      <c r="BX22" s="2042"/>
      <c r="BY22" s="2042"/>
      <c r="BZ22" s="2042"/>
      <c r="CA22" s="2042"/>
      <c r="CB22" s="2042"/>
      <c r="CC22" s="2042"/>
      <c r="CD22" s="2042"/>
      <c r="CE22" s="2042"/>
      <c r="CF22" s="2042"/>
      <c r="CG22" s="2042"/>
      <c r="CH22" s="2042"/>
      <c r="CI22" s="2042"/>
      <c r="CJ22" s="2042"/>
      <c r="CK22" s="2042"/>
      <c r="CL22" s="2042"/>
      <c r="CM22" s="2042"/>
      <c r="CN22" s="2042"/>
      <c r="CO22" s="2042"/>
      <c r="CP22" s="2042"/>
      <c r="CQ22" s="2042"/>
      <c r="CR22" s="2042"/>
      <c r="CS22" s="2042"/>
      <c r="CT22" s="2042"/>
      <c r="CU22" s="2042"/>
      <c r="CV22" s="2042"/>
      <c r="CW22" s="2042"/>
      <c r="CX22" s="2042"/>
      <c r="CY22" s="2042"/>
      <c r="CZ22" s="2042"/>
      <c r="DA22" s="2042"/>
      <c r="DB22" s="2042"/>
      <c r="DC22" s="2042"/>
      <c r="DD22" s="2042"/>
      <c r="DE22" s="2042"/>
      <c r="DF22" s="2042"/>
      <c r="DG22" s="2042"/>
      <c r="DH22" s="2042"/>
      <c r="DI22" s="2042"/>
      <c r="DJ22" s="2042"/>
      <c r="DK22" s="2042"/>
      <c r="DL22" s="2042"/>
      <c r="DM22" s="2042"/>
      <c r="DN22" s="2042"/>
      <c r="DO22" s="2042"/>
      <c r="DP22" s="2042"/>
      <c r="DQ22" s="2042"/>
      <c r="DR22" s="2042"/>
      <c r="DS22" s="2042"/>
      <c r="DT22" s="2042"/>
      <c r="DU22" s="2042"/>
      <c r="DV22" s="2042"/>
      <c r="DW22" s="2042"/>
      <c r="DX22" s="2042"/>
      <c r="DY22" s="2042"/>
      <c r="DZ22" s="2042"/>
      <c r="EA22" s="2042"/>
      <c r="EB22" s="2042"/>
      <c r="EC22" s="2042"/>
      <c r="ED22" s="2042"/>
      <c r="EE22" s="2042"/>
      <c r="EF22" s="2042"/>
      <c r="EG22" s="2042"/>
      <c r="EH22" s="2042"/>
      <c r="EI22" s="2042"/>
      <c r="EJ22" s="2042"/>
      <c r="EK22" s="2042"/>
      <c r="EL22" s="2042"/>
      <c r="EM22" s="2042"/>
      <c r="EN22" s="2042"/>
      <c r="EO22" s="2042"/>
      <c r="EP22" s="2042"/>
      <c r="EQ22" s="2042"/>
      <c r="ER22" s="2042"/>
      <c r="ES22" s="2042"/>
      <c r="ET22" s="2042"/>
      <c r="EU22" s="2042"/>
      <c r="EV22" s="2042"/>
      <c r="EW22" s="2042"/>
      <c r="EX22" s="2042"/>
      <c r="EY22" s="2042"/>
      <c r="EZ22" s="2042"/>
      <c r="FA22" s="2042"/>
      <c r="FB22" s="2042"/>
      <c r="FC22" s="2042"/>
      <c r="FD22" s="2042"/>
      <c r="FE22" s="2042"/>
      <c r="FF22" s="2042"/>
      <c r="FG22" s="2042"/>
      <c r="FH22" s="2042"/>
      <c r="FI22" s="2042"/>
      <c r="FJ22" s="2042"/>
      <c r="FK22" s="2042"/>
      <c r="FL22" s="2042"/>
      <c r="FM22" s="2042"/>
      <c r="FN22" s="2042"/>
      <c r="FO22" s="2042"/>
      <c r="FP22" s="2042"/>
      <c r="FQ22" s="2042"/>
      <c r="FR22" s="2042"/>
      <c r="FS22" s="2042"/>
      <c r="FT22" s="2042"/>
      <c r="FU22" s="2042"/>
      <c r="FV22" s="2042"/>
      <c r="FW22" s="2042"/>
      <c r="FX22" s="2042"/>
      <c r="FY22" s="2042"/>
      <c r="FZ22" s="2042"/>
      <c r="GA22" s="2042"/>
      <c r="GB22" s="2042"/>
      <c r="GC22" s="2042"/>
      <c r="GD22" s="2042"/>
      <c r="GE22" s="2042"/>
      <c r="GF22" s="2042"/>
      <c r="GG22" s="2042"/>
      <c r="GH22" s="2042"/>
      <c r="GI22" s="2042"/>
      <c r="GJ22" s="2042"/>
      <c r="GK22" s="2042"/>
      <c r="GL22" s="2042"/>
      <c r="GM22" s="2042"/>
      <c r="GN22" s="2042"/>
      <c r="GO22" s="2042"/>
      <c r="GP22" s="2042"/>
      <c r="GQ22" s="2042"/>
      <c r="GR22" s="2042"/>
      <c r="GS22" s="2042"/>
      <c r="GT22" s="2042"/>
      <c r="GU22" s="2042"/>
      <c r="GV22" s="2042"/>
      <c r="GW22" s="2042"/>
      <c r="GX22" s="2042"/>
      <c r="GY22" s="2042"/>
      <c r="GZ22" s="2042"/>
      <c r="HA22" s="2042"/>
      <c r="HB22" s="2042"/>
      <c r="HC22" s="2042"/>
      <c r="HD22" s="2042"/>
      <c r="HE22" s="2042"/>
      <c r="HF22" s="2042"/>
      <c r="HG22" s="2042"/>
      <c r="HH22" s="2042"/>
      <c r="HI22" s="2042"/>
      <c r="HJ22" s="2042"/>
      <c r="HK22" s="2042"/>
      <c r="HL22" s="2042"/>
      <c r="HM22" s="2042"/>
      <c r="HN22" s="2042"/>
      <c r="HO22" s="2042"/>
      <c r="HP22" s="2042"/>
      <c r="HQ22" s="2042"/>
      <c r="HR22" s="2042"/>
      <c r="HS22" s="2042"/>
      <c r="HT22" s="2042"/>
      <c r="HU22" s="2042"/>
      <c r="HV22" s="2042"/>
      <c r="HW22" s="2042"/>
      <c r="HX22" s="2042"/>
      <c r="HY22" s="2042"/>
      <c r="HZ22" s="2042"/>
      <c r="IA22" s="2042"/>
      <c r="IB22" s="2042"/>
      <c r="IC22" s="2042"/>
      <c r="ID22" s="2042"/>
      <c r="IE22" s="2042"/>
      <c r="IF22" s="2042"/>
      <c r="IG22" s="2042"/>
      <c r="IH22" s="2042"/>
      <c r="II22" s="2042"/>
      <c r="IJ22" s="2042"/>
      <c r="IK22" s="2042"/>
      <c r="IL22" s="2042"/>
      <c r="IM22" s="2042"/>
      <c r="IN22" s="2042"/>
      <c r="IO22" s="2042"/>
      <c r="IP22" s="2042"/>
      <c r="IQ22" s="2042"/>
      <c r="IR22" s="2042"/>
      <c r="IS22" s="2042"/>
      <c r="IT22" s="2042"/>
      <c r="IU22" s="2042"/>
      <c r="IV22" s="2042"/>
    </row>
    <row r="23" spans="1:256" ht="29.25" customHeight="1">
      <c r="A23" s="2058"/>
      <c r="B23" s="2057" t="s">
        <v>7588</v>
      </c>
      <c r="C23" s="2060">
        <v>1</v>
      </c>
      <c r="D23" s="2060">
        <v>1</v>
      </c>
      <c r="E23" s="2062">
        <v>5.2</v>
      </c>
      <c r="F23" s="2062">
        <v>3.2</v>
      </c>
      <c r="G23" s="2063">
        <v>0.23</v>
      </c>
      <c r="H23" s="2067">
        <f>PRODUCT(C23:G23)</f>
        <v>3.83</v>
      </c>
      <c r="I23" s="2068" t="s">
        <v>2142</v>
      </c>
      <c r="J23" s="2064"/>
      <c r="K23" s="2042"/>
      <c r="L23" s="2042"/>
      <c r="M23" s="2042"/>
      <c r="N23" s="2042"/>
      <c r="O23" s="2042"/>
      <c r="P23" s="2042"/>
      <c r="Q23" s="2042"/>
      <c r="R23" s="2042"/>
      <c r="S23" s="2042"/>
      <c r="T23" s="2042"/>
      <c r="U23" s="2042"/>
      <c r="V23" s="2042"/>
      <c r="W23" s="2042"/>
      <c r="X23" s="2042"/>
      <c r="Y23" s="2042"/>
      <c r="Z23" s="2042"/>
      <c r="AA23" s="2042"/>
      <c r="AB23" s="2042"/>
      <c r="AC23" s="2042"/>
      <c r="AD23" s="2042"/>
      <c r="AE23" s="2042"/>
      <c r="AF23" s="2042"/>
      <c r="AG23" s="2042"/>
      <c r="AH23" s="2042"/>
      <c r="AI23" s="2042"/>
      <c r="AJ23" s="2042"/>
      <c r="AK23" s="2042"/>
      <c r="AL23" s="2042"/>
      <c r="AM23" s="2042"/>
      <c r="AN23" s="2042"/>
      <c r="AO23" s="2042"/>
      <c r="AP23" s="2042"/>
      <c r="AQ23" s="2042"/>
      <c r="AR23" s="2042"/>
      <c r="AS23" s="2042"/>
      <c r="AT23" s="2042"/>
      <c r="AU23" s="2042"/>
      <c r="AV23" s="2042"/>
      <c r="AW23" s="2042"/>
      <c r="AX23" s="2042"/>
      <c r="AY23" s="2042"/>
      <c r="AZ23" s="2042"/>
      <c r="BA23" s="2042"/>
      <c r="BB23" s="2042"/>
      <c r="BC23" s="2042"/>
      <c r="BD23" s="2042"/>
      <c r="BE23" s="2042"/>
      <c r="BF23" s="2042"/>
      <c r="BG23" s="2042"/>
      <c r="BH23" s="2042"/>
      <c r="BI23" s="2042"/>
      <c r="BJ23" s="2042"/>
      <c r="BK23" s="2042"/>
      <c r="BL23" s="2042"/>
      <c r="BM23" s="2042"/>
      <c r="BN23" s="2042"/>
      <c r="BO23" s="2042"/>
      <c r="BP23" s="2042"/>
      <c r="BQ23" s="2042"/>
      <c r="BR23" s="2042"/>
      <c r="BS23" s="2042"/>
      <c r="BT23" s="2042"/>
      <c r="BU23" s="2042"/>
      <c r="BV23" s="2042"/>
      <c r="BW23" s="2042"/>
      <c r="BX23" s="2042"/>
      <c r="BY23" s="2042"/>
      <c r="BZ23" s="2042"/>
      <c r="CA23" s="2042"/>
      <c r="CB23" s="2042"/>
      <c r="CC23" s="2042"/>
      <c r="CD23" s="2042"/>
      <c r="CE23" s="2042"/>
      <c r="CF23" s="2042"/>
      <c r="CG23" s="2042"/>
      <c r="CH23" s="2042"/>
      <c r="CI23" s="2042"/>
      <c r="CJ23" s="2042"/>
      <c r="CK23" s="2042"/>
      <c r="CL23" s="2042"/>
      <c r="CM23" s="2042"/>
      <c r="CN23" s="2042"/>
      <c r="CO23" s="2042"/>
      <c r="CP23" s="2042"/>
      <c r="CQ23" s="2042"/>
      <c r="CR23" s="2042"/>
      <c r="CS23" s="2042"/>
      <c r="CT23" s="2042"/>
      <c r="CU23" s="2042"/>
      <c r="CV23" s="2042"/>
      <c r="CW23" s="2042"/>
      <c r="CX23" s="2042"/>
      <c r="CY23" s="2042"/>
      <c r="CZ23" s="2042"/>
      <c r="DA23" s="2042"/>
      <c r="DB23" s="2042"/>
      <c r="DC23" s="2042"/>
      <c r="DD23" s="2042"/>
      <c r="DE23" s="2042"/>
      <c r="DF23" s="2042"/>
      <c r="DG23" s="2042"/>
      <c r="DH23" s="2042"/>
      <c r="DI23" s="2042"/>
      <c r="DJ23" s="2042"/>
      <c r="DK23" s="2042"/>
      <c r="DL23" s="2042"/>
      <c r="DM23" s="2042"/>
      <c r="DN23" s="2042"/>
      <c r="DO23" s="2042"/>
      <c r="DP23" s="2042"/>
      <c r="DQ23" s="2042"/>
      <c r="DR23" s="2042"/>
      <c r="DS23" s="2042"/>
      <c r="DT23" s="2042"/>
      <c r="DU23" s="2042"/>
      <c r="DV23" s="2042"/>
      <c r="DW23" s="2042"/>
      <c r="DX23" s="2042"/>
      <c r="DY23" s="2042"/>
      <c r="DZ23" s="2042"/>
      <c r="EA23" s="2042"/>
      <c r="EB23" s="2042"/>
      <c r="EC23" s="2042"/>
      <c r="ED23" s="2042"/>
      <c r="EE23" s="2042"/>
      <c r="EF23" s="2042"/>
      <c r="EG23" s="2042"/>
      <c r="EH23" s="2042"/>
      <c r="EI23" s="2042"/>
      <c r="EJ23" s="2042"/>
      <c r="EK23" s="2042"/>
      <c r="EL23" s="2042"/>
      <c r="EM23" s="2042"/>
      <c r="EN23" s="2042"/>
      <c r="EO23" s="2042"/>
      <c r="EP23" s="2042"/>
      <c r="EQ23" s="2042"/>
      <c r="ER23" s="2042"/>
      <c r="ES23" s="2042"/>
      <c r="ET23" s="2042"/>
      <c r="EU23" s="2042"/>
      <c r="EV23" s="2042"/>
      <c r="EW23" s="2042"/>
      <c r="EX23" s="2042"/>
      <c r="EY23" s="2042"/>
      <c r="EZ23" s="2042"/>
      <c r="FA23" s="2042"/>
      <c r="FB23" s="2042"/>
      <c r="FC23" s="2042"/>
      <c r="FD23" s="2042"/>
      <c r="FE23" s="2042"/>
      <c r="FF23" s="2042"/>
      <c r="FG23" s="2042"/>
      <c r="FH23" s="2042"/>
      <c r="FI23" s="2042"/>
      <c r="FJ23" s="2042"/>
      <c r="FK23" s="2042"/>
      <c r="FL23" s="2042"/>
      <c r="FM23" s="2042"/>
      <c r="FN23" s="2042"/>
      <c r="FO23" s="2042"/>
      <c r="FP23" s="2042"/>
      <c r="FQ23" s="2042"/>
      <c r="FR23" s="2042"/>
      <c r="FS23" s="2042"/>
      <c r="FT23" s="2042"/>
      <c r="FU23" s="2042"/>
      <c r="FV23" s="2042"/>
      <c r="FW23" s="2042"/>
      <c r="FX23" s="2042"/>
      <c r="FY23" s="2042"/>
      <c r="FZ23" s="2042"/>
      <c r="GA23" s="2042"/>
      <c r="GB23" s="2042"/>
      <c r="GC23" s="2042"/>
      <c r="GD23" s="2042"/>
      <c r="GE23" s="2042"/>
      <c r="GF23" s="2042"/>
      <c r="GG23" s="2042"/>
      <c r="GH23" s="2042"/>
      <c r="GI23" s="2042"/>
      <c r="GJ23" s="2042"/>
      <c r="GK23" s="2042"/>
      <c r="GL23" s="2042"/>
      <c r="GM23" s="2042"/>
      <c r="GN23" s="2042"/>
      <c r="GO23" s="2042"/>
      <c r="GP23" s="2042"/>
      <c r="GQ23" s="2042"/>
      <c r="GR23" s="2042"/>
      <c r="GS23" s="2042"/>
      <c r="GT23" s="2042"/>
      <c r="GU23" s="2042"/>
      <c r="GV23" s="2042"/>
      <c r="GW23" s="2042"/>
      <c r="GX23" s="2042"/>
      <c r="GY23" s="2042"/>
      <c r="GZ23" s="2042"/>
      <c r="HA23" s="2042"/>
      <c r="HB23" s="2042"/>
      <c r="HC23" s="2042"/>
      <c r="HD23" s="2042"/>
      <c r="HE23" s="2042"/>
      <c r="HF23" s="2042"/>
      <c r="HG23" s="2042"/>
      <c r="HH23" s="2042"/>
      <c r="HI23" s="2042"/>
      <c r="HJ23" s="2042"/>
      <c r="HK23" s="2042"/>
      <c r="HL23" s="2042"/>
      <c r="HM23" s="2042"/>
      <c r="HN23" s="2042"/>
      <c r="HO23" s="2042"/>
      <c r="HP23" s="2042"/>
      <c r="HQ23" s="2042"/>
      <c r="HR23" s="2042"/>
      <c r="HS23" s="2042"/>
      <c r="HT23" s="2042"/>
      <c r="HU23" s="2042"/>
      <c r="HV23" s="2042"/>
      <c r="HW23" s="2042"/>
      <c r="HX23" s="2042"/>
      <c r="HY23" s="2042"/>
      <c r="HZ23" s="2042"/>
      <c r="IA23" s="2042"/>
      <c r="IB23" s="2042"/>
      <c r="IC23" s="2042"/>
      <c r="ID23" s="2042"/>
      <c r="IE23" s="2042"/>
      <c r="IF23" s="2042"/>
      <c r="IG23" s="2042"/>
      <c r="IH23" s="2042"/>
      <c r="II23" s="2042"/>
      <c r="IJ23" s="2042"/>
      <c r="IK23" s="2042"/>
      <c r="IL23" s="2042"/>
      <c r="IM23" s="2042"/>
      <c r="IN23" s="2042"/>
      <c r="IO23" s="2042"/>
      <c r="IP23" s="2042"/>
      <c r="IQ23" s="2042"/>
      <c r="IR23" s="2042"/>
      <c r="IS23" s="2042"/>
      <c r="IT23" s="2042"/>
      <c r="IU23" s="2042"/>
      <c r="IV23" s="2042"/>
    </row>
    <row r="24" spans="1:256" ht="29.25" customHeight="1">
      <c r="A24" s="2069">
        <v>3.3</v>
      </c>
      <c r="B24" s="2073" t="s">
        <v>7589</v>
      </c>
      <c r="C24" s="2073"/>
      <c r="D24" s="2073"/>
      <c r="E24" s="2073"/>
      <c r="F24" s="2073"/>
      <c r="G24" s="2073"/>
      <c r="H24" s="2067"/>
      <c r="I24" s="2068"/>
      <c r="J24" s="2064"/>
      <c r="K24" s="2042"/>
      <c r="L24" s="2042"/>
      <c r="M24" s="2042"/>
      <c r="N24" s="2042"/>
      <c r="O24" s="2042"/>
      <c r="P24" s="2042"/>
      <c r="Q24" s="2042"/>
      <c r="R24" s="2042"/>
      <c r="S24" s="2042"/>
      <c r="T24" s="2042"/>
      <c r="U24" s="2042"/>
      <c r="V24" s="2042"/>
      <c r="W24" s="2042"/>
      <c r="X24" s="2042"/>
      <c r="Y24" s="2042"/>
      <c r="Z24" s="2042"/>
      <c r="AA24" s="2042"/>
      <c r="AB24" s="2042"/>
      <c r="AC24" s="2042"/>
      <c r="AD24" s="2042"/>
      <c r="AE24" s="2042"/>
      <c r="AF24" s="2042"/>
      <c r="AG24" s="2042"/>
      <c r="AH24" s="2042"/>
      <c r="AI24" s="2042"/>
      <c r="AJ24" s="2042"/>
      <c r="AK24" s="2042"/>
      <c r="AL24" s="2042"/>
      <c r="AM24" s="2042"/>
      <c r="AN24" s="2042"/>
      <c r="AO24" s="2042"/>
      <c r="AP24" s="2042"/>
      <c r="AQ24" s="2042"/>
      <c r="AR24" s="2042"/>
      <c r="AS24" s="2042"/>
      <c r="AT24" s="2042"/>
      <c r="AU24" s="2042"/>
      <c r="AV24" s="2042"/>
      <c r="AW24" s="2042"/>
      <c r="AX24" s="2042"/>
      <c r="AY24" s="2042"/>
      <c r="AZ24" s="2042"/>
      <c r="BA24" s="2042"/>
      <c r="BB24" s="2042"/>
      <c r="BC24" s="2042"/>
      <c r="BD24" s="2042"/>
      <c r="BE24" s="2042"/>
      <c r="BF24" s="2042"/>
      <c r="BG24" s="2042"/>
      <c r="BH24" s="2042"/>
      <c r="BI24" s="2042"/>
      <c r="BJ24" s="2042"/>
      <c r="BK24" s="2042"/>
      <c r="BL24" s="2042"/>
      <c r="BM24" s="2042"/>
      <c r="BN24" s="2042"/>
      <c r="BO24" s="2042"/>
      <c r="BP24" s="2042"/>
      <c r="BQ24" s="2042"/>
      <c r="BR24" s="2042"/>
      <c r="BS24" s="2042"/>
      <c r="BT24" s="2042"/>
      <c r="BU24" s="2042"/>
      <c r="BV24" s="2042"/>
      <c r="BW24" s="2042"/>
      <c r="BX24" s="2042"/>
      <c r="BY24" s="2042"/>
      <c r="BZ24" s="2042"/>
      <c r="CA24" s="2042"/>
      <c r="CB24" s="2042"/>
      <c r="CC24" s="2042"/>
      <c r="CD24" s="2042"/>
      <c r="CE24" s="2042"/>
      <c r="CF24" s="2042"/>
      <c r="CG24" s="2042"/>
      <c r="CH24" s="2042"/>
      <c r="CI24" s="2042"/>
      <c r="CJ24" s="2042"/>
      <c r="CK24" s="2042"/>
      <c r="CL24" s="2042"/>
      <c r="CM24" s="2042"/>
      <c r="CN24" s="2042"/>
      <c r="CO24" s="2042"/>
      <c r="CP24" s="2042"/>
      <c r="CQ24" s="2042"/>
      <c r="CR24" s="2042"/>
      <c r="CS24" s="2042"/>
      <c r="CT24" s="2042"/>
      <c r="CU24" s="2042"/>
      <c r="CV24" s="2042"/>
      <c r="CW24" s="2042"/>
      <c r="CX24" s="2042"/>
      <c r="CY24" s="2042"/>
      <c r="CZ24" s="2042"/>
      <c r="DA24" s="2042"/>
      <c r="DB24" s="2042"/>
      <c r="DC24" s="2042"/>
      <c r="DD24" s="2042"/>
      <c r="DE24" s="2042"/>
      <c r="DF24" s="2042"/>
      <c r="DG24" s="2042"/>
      <c r="DH24" s="2042"/>
      <c r="DI24" s="2042"/>
      <c r="DJ24" s="2042"/>
      <c r="DK24" s="2042"/>
      <c r="DL24" s="2042"/>
      <c r="DM24" s="2042"/>
      <c r="DN24" s="2042"/>
      <c r="DO24" s="2042"/>
      <c r="DP24" s="2042"/>
      <c r="DQ24" s="2042"/>
      <c r="DR24" s="2042"/>
      <c r="DS24" s="2042"/>
      <c r="DT24" s="2042"/>
      <c r="DU24" s="2042"/>
      <c r="DV24" s="2042"/>
      <c r="DW24" s="2042"/>
      <c r="DX24" s="2042"/>
      <c r="DY24" s="2042"/>
      <c r="DZ24" s="2042"/>
      <c r="EA24" s="2042"/>
      <c r="EB24" s="2042"/>
      <c r="EC24" s="2042"/>
      <c r="ED24" s="2042"/>
      <c r="EE24" s="2042"/>
      <c r="EF24" s="2042"/>
      <c r="EG24" s="2042"/>
      <c r="EH24" s="2042"/>
      <c r="EI24" s="2042"/>
      <c r="EJ24" s="2042"/>
      <c r="EK24" s="2042"/>
      <c r="EL24" s="2042"/>
      <c r="EM24" s="2042"/>
      <c r="EN24" s="2042"/>
      <c r="EO24" s="2042"/>
      <c r="EP24" s="2042"/>
      <c r="EQ24" s="2042"/>
      <c r="ER24" s="2042"/>
      <c r="ES24" s="2042"/>
      <c r="ET24" s="2042"/>
      <c r="EU24" s="2042"/>
      <c r="EV24" s="2042"/>
      <c r="EW24" s="2042"/>
      <c r="EX24" s="2042"/>
      <c r="EY24" s="2042"/>
      <c r="EZ24" s="2042"/>
      <c r="FA24" s="2042"/>
      <c r="FB24" s="2042"/>
      <c r="FC24" s="2042"/>
      <c r="FD24" s="2042"/>
      <c r="FE24" s="2042"/>
      <c r="FF24" s="2042"/>
      <c r="FG24" s="2042"/>
      <c r="FH24" s="2042"/>
      <c r="FI24" s="2042"/>
      <c r="FJ24" s="2042"/>
      <c r="FK24" s="2042"/>
      <c r="FL24" s="2042"/>
      <c r="FM24" s="2042"/>
      <c r="FN24" s="2042"/>
      <c r="FO24" s="2042"/>
      <c r="FP24" s="2042"/>
      <c r="FQ24" s="2042"/>
      <c r="FR24" s="2042"/>
      <c r="FS24" s="2042"/>
      <c r="FT24" s="2042"/>
      <c r="FU24" s="2042"/>
      <c r="FV24" s="2042"/>
      <c r="FW24" s="2042"/>
      <c r="FX24" s="2042"/>
      <c r="FY24" s="2042"/>
      <c r="FZ24" s="2042"/>
      <c r="GA24" s="2042"/>
      <c r="GB24" s="2042"/>
      <c r="GC24" s="2042"/>
      <c r="GD24" s="2042"/>
      <c r="GE24" s="2042"/>
      <c r="GF24" s="2042"/>
      <c r="GG24" s="2042"/>
      <c r="GH24" s="2042"/>
      <c r="GI24" s="2042"/>
      <c r="GJ24" s="2042"/>
      <c r="GK24" s="2042"/>
      <c r="GL24" s="2042"/>
      <c r="GM24" s="2042"/>
      <c r="GN24" s="2042"/>
      <c r="GO24" s="2042"/>
      <c r="GP24" s="2042"/>
      <c r="GQ24" s="2042"/>
      <c r="GR24" s="2042"/>
      <c r="GS24" s="2042"/>
      <c r="GT24" s="2042"/>
      <c r="GU24" s="2042"/>
      <c r="GV24" s="2042"/>
      <c r="GW24" s="2042"/>
      <c r="GX24" s="2042"/>
      <c r="GY24" s="2042"/>
      <c r="GZ24" s="2042"/>
      <c r="HA24" s="2042"/>
      <c r="HB24" s="2042"/>
      <c r="HC24" s="2042"/>
      <c r="HD24" s="2042"/>
      <c r="HE24" s="2042"/>
      <c r="HF24" s="2042"/>
      <c r="HG24" s="2042"/>
      <c r="HH24" s="2042"/>
      <c r="HI24" s="2042"/>
      <c r="HJ24" s="2042"/>
      <c r="HK24" s="2042"/>
      <c r="HL24" s="2042"/>
      <c r="HM24" s="2042"/>
      <c r="HN24" s="2042"/>
      <c r="HO24" s="2042"/>
      <c r="HP24" s="2042"/>
      <c r="HQ24" s="2042"/>
      <c r="HR24" s="2042"/>
      <c r="HS24" s="2042"/>
      <c r="HT24" s="2042"/>
      <c r="HU24" s="2042"/>
      <c r="HV24" s="2042"/>
      <c r="HW24" s="2042"/>
      <c r="HX24" s="2042"/>
      <c r="HY24" s="2042"/>
      <c r="HZ24" s="2042"/>
      <c r="IA24" s="2042"/>
      <c r="IB24" s="2042"/>
      <c r="IC24" s="2042"/>
      <c r="ID24" s="2042"/>
      <c r="IE24" s="2042"/>
      <c r="IF24" s="2042"/>
      <c r="IG24" s="2042"/>
      <c r="IH24" s="2042"/>
      <c r="II24" s="2042"/>
      <c r="IJ24" s="2042"/>
      <c r="IK24" s="2042"/>
      <c r="IL24" s="2042"/>
      <c r="IM24" s="2042"/>
      <c r="IN24" s="2042"/>
      <c r="IO24" s="2042"/>
      <c r="IP24" s="2042"/>
      <c r="IQ24" s="2042"/>
      <c r="IR24" s="2042"/>
      <c r="IS24" s="2042"/>
      <c r="IT24" s="2042"/>
      <c r="IU24" s="2042"/>
      <c r="IV24" s="2042"/>
    </row>
    <row r="25" spans="1:256" ht="29.25" customHeight="1">
      <c r="A25" s="2071"/>
      <c r="B25" s="2057" t="s">
        <v>7586</v>
      </c>
      <c r="C25" s="2060">
        <v>1</v>
      </c>
      <c r="D25" s="2060">
        <v>2</v>
      </c>
      <c r="E25" s="2062">
        <v>0.6</v>
      </c>
      <c r="F25" s="2062">
        <v>0.6</v>
      </c>
      <c r="G25" s="2075">
        <v>0.08</v>
      </c>
      <c r="H25" s="2067">
        <f>PRODUCT(C25:G25)</f>
        <v>0.06</v>
      </c>
      <c r="I25" s="2068" t="s">
        <v>2142</v>
      </c>
      <c r="J25" s="2064"/>
      <c r="K25" s="2042"/>
      <c r="L25" s="2042"/>
      <c r="M25" s="2042"/>
      <c r="N25" s="2042"/>
      <c r="O25" s="2042"/>
      <c r="P25" s="2042"/>
      <c r="Q25" s="2042"/>
      <c r="R25" s="2042"/>
      <c r="S25" s="2042"/>
      <c r="T25" s="2042"/>
      <c r="U25" s="2042"/>
      <c r="V25" s="2042"/>
      <c r="W25" s="2042"/>
      <c r="X25" s="2042"/>
      <c r="Y25" s="2042"/>
      <c r="Z25" s="2042"/>
      <c r="AA25" s="2042"/>
      <c r="AB25" s="2042"/>
      <c r="AC25" s="2042"/>
      <c r="AD25" s="2042"/>
      <c r="AE25" s="2042"/>
      <c r="AF25" s="2042"/>
      <c r="AG25" s="2042"/>
      <c r="AH25" s="2042"/>
      <c r="AI25" s="2042"/>
      <c r="AJ25" s="2042"/>
      <c r="AK25" s="2042"/>
      <c r="AL25" s="2042"/>
      <c r="AM25" s="2042"/>
      <c r="AN25" s="2042"/>
      <c r="AO25" s="2042"/>
      <c r="AP25" s="2042"/>
      <c r="AQ25" s="2042"/>
      <c r="AR25" s="2042"/>
      <c r="AS25" s="2042"/>
      <c r="AT25" s="2042"/>
      <c r="AU25" s="2042"/>
      <c r="AV25" s="2042"/>
      <c r="AW25" s="2042"/>
      <c r="AX25" s="2042"/>
      <c r="AY25" s="2042"/>
      <c r="AZ25" s="2042"/>
      <c r="BA25" s="2042"/>
      <c r="BB25" s="2042"/>
      <c r="BC25" s="2042"/>
      <c r="BD25" s="2042"/>
      <c r="BE25" s="2042"/>
      <c r="BF25" s="2042"/>
      <c r="BG25" s="2042"/>
      <c r="BH25" s="2042"/>
      <c r="BI25" s="2042"/>
      <c r="BJ25" s="2042"/>
      <c r="BK25" s="2042"/>
      <c r="BL25" s="2042"/>
      <c r="BM25" s="2042"/>
      <c r="BN25" s="2042"/>
      <c r="BO25" s="2042"/>
      <c r="BP25" s="2042"/>
      <c r="BQ25" s="2042"/>
      <c r="BR25" s="2042"/>
      <c r="BS25" s="2042"/>
      <c r="BT25" s="2042"/>
      <c r="BU25" s="2042"/>
      <c r="BV25" s="2042"/>
      <c r="BW25" s="2042"/>
      <c r="BX25" s="2042"/>
      <c r="BY25" s="2042"/>
      <c r="BZ25" s="2042"/>
      <c r="CA25" s="2042"/>
      <c r="CB25" s="2042"/>
      <c r="CC25" s="2042"/>
      <c r="CD25" s="2042"/>
      <c r="CE25" s="2042"/>
      <c r="CF25" s="2042"/>
      <c r="CG25" s="2042"/>
      <c r="CH25" s="2042"/>
      <c r="CI25" s="2042"/>
      <c r="CJ25" s="2042"/>
      <c r="CK25" s="2042"/>
      <c r="CL25" s="2042"/>
      <c r="CM25" s="2042"/>
      <c r="CN25" s="2042"/>
      <c r="CO25" s="2042"/>
      <c r="CP25" s="2042"/>
      <c r="CQ25" s="2042"/>
      <c r="CR25" s="2042"/>
      <c r="CS25" s="2042"/>
      <c r="CT25" s="2042"/>
      <c r="CU25" s="2042"/>
      <c r="CV25" s="2042"/>
      <c r="CW25" s="2042"/>
      <c r="CX25" s="2042"/>
      <c r="CY25" s="2042"/>
      <c r="CZ25" s="2042"/>
      <c r="DA25" s="2042"/>
      <c r="DB25" s="2042"/>
      <c r="DC25" s="2042"/>
      <c r="DD25" s="2042"/>
      <c r="DE25" s="2042"/>
      <c r="DF25" s="2042"/>
      <c r="DG25" s="2042"/>
      <c r="DH25" s="2042"/>
      <c r="DI25" s="2042"/>
      <c r="DJ25" s="2042"/>
      <c r="DK25" s="2042"/>
      <c r="DL25" s="2042"/>
      <c r="DM25" s="2042"/>
      <c r="DN25" s="2042"/>
      <c r="DO25" s="2042"/>
      <c r="DP25" s="2042"/>
      <c r="DQ25" s="2042"/>
      <c r="DR25" s="2042"/>
      <c r="DS25" s="2042"/>
      <c r="DT25" s="2042"/>
      <c r="DU25" s="2042"/>
      <c r="DV25" s="2042"/>
      <c r="DW25" s="2042"/>
      <c r="DX25" s="2042"/>
      <c r="DY25" s="2042"/>
      <c r="DZ25" s="2042"/>
      <c r="EA25" s="2042"/>
      <c r="EB25" s="2042"/>
      <c r="EC25" s="2042"/>
      <c r="ED25" s="2042"/>
      <c r="EE25" s="2042"/>
      <c r="EF25" s="2042"/>
      <c r="EG25" s="2042"/>
      <c r="EH25" s="2042"/>
      <c r="EI25" s="2042"/>
      <c r="EJ25" s="2042"/>
      <c r="EK25" s="2042"/>
      <c r="EL25" s="2042"/>
      <c r="EM25" s="2042"/>
      <c r="EN25" s="2042"/>
      <c r="EO25" s="2042"/>
      <c r="EP25" s="2042"/>
      <c r="EQ25" s="2042"/>
      <c r="ER25" s="2042"/>
      <c r="ES25" s="2042"/>
      <c r="ET25" s="2042"/>
      <c r="EU25" s="2042"/>
      <c r="EV25" s="2042"/>
      <c r="EW25" s="2042"/>
      <c r="EX25" s="2042"/>
      <c r="EY25" s="2042"/>
      <c r="EZ25" s="2042"/>
      <c r="FA25" s="2042"/>
      <c r="FB25" s="2042"/>
      <c r="FC25" s="2042"/>
      <c r="FD25" s="2042"/>
      <c r="FE25" s="2042"/>
      <c r="FF25" s="2042"/>
      <c r="FG25" s="2042"/>
      <c r="FH25" s="2042"/>
      <c r="FI25" s="2042"/>
      <c r="FJ25" s="2042"/>
      <c r="FK25" s="2042"/>
      <c r="FL25" s="2042"/>
      <c r="FM25" s="2042"/>
      <c r="FN25" s="2042"/>
      <c r="FO25" s="2042"/>
      <c r="FP25" s="2042"/>
      <c r="FQ25" s="2042"/>
      <c r="FR25" s="2042"/>
      <c r="FS25" s="2042"/>
      <c r="FT25" s="2042"/>
      <c r="FU25" s="2042"/>
      <c r="FV25" s="2042"/>
      <c r="FW25" s="2042"/>
      <c r="FX25" s="2042"/>
      <c r="FY25" s="2042"/>
      <c r="FZ25" s="2042"/>
      <c r="GA25" s="2042"/>
      <c r="GB25" s="2042"/>
      <c r="GC25" s="2042"/>
      <c r="GD25" s="2042"/>
      <c r="GE25" s="2042"/>
      <c r="GF25" s="2042"/>
      <c r="GG25" s="2042"/>
      <c r="GH25" s="2042"/>
      <c r="GI25" s="2042"/>
      <c r="GJ25" s="2042"/>
      <c r="GK25" s="2042"/>
      <c r="GL25" s="2042"/>
      <c r="GM25" s="2042"/>
      <c r="GN25" s="2042"/>
      <c r="GO25" s="2042"/>
      <c r="GP25" s="2042"/>
      <c r="GQ25" s="2042"/>
      <c r="GR25" s="2042"/>
      <c r="GS25" s="2042"/>
      <c r="GT25" s="2042"/>
      <c r="GU25" s="2042"/>
      <c r="GV25" s="2042"/>
      <c r="GW25" s="2042"/>
      <c r="GX25" s="2042"/>
      <c r="GY25" s="2042"/>
      <c r="GZ25" s="2042"/>
      <c r="HA25" s="2042"/>
      <c r="HB25" s="2042"/>
      <c r="HC25" s="2042"/>
      <c r="HD25" s="2042"/>
      <c r="HE25" s="2042"/>
      <c r="HF25" s="2042"/>
      <c r="HG25" s="2042"/>
      <c r="HH25" s="2042"/>
      <c r="HI25" s="2042"/>
      <c r="HJ25" s="2042"/>
      <c r="HK25" s="2042"/>
      <c r="HL25" s="2042"/>
      <c r="HM25" s="2042"/>
      <c r="HN25" s="2042"/>
      <c r="HO25" s="2042"/>
      <c r="HP25" s="2042"/>
      <c r="HQ25" s="2042"/>
      <c r="HR25" s="2042"/>
      <c r="HS25" s="2042"/>
      <c r="HT25" s="2042"/>
      <c r="HU25" s="2042"/>
      <c r="HV25" s="2042"/>
      <c r="HW25" s="2042"/>
      <c r="HX25" s="2042"/>
      <c r="HY25" s="2042"/>
      <c r="HZ25" s="2042"/>
      <c r="IA25" s="2042"/>
      <c r="IB25" s="2042"/>
      <c r="IC25" s="2042"/>
      <c r="ID25" s="2042"/>
      <c r="IE25" s="2042"/>
      <c r="IF25" s="2042"/>
      <c r="IG25" s="2042"/>
      <c r="IH25" s="2042"/>
      <c r="II25" s="2042"/>
      <c r="IJ25" s="2042"/>
      <c r="IK25" s="2042"/>
      <c r="IL25" s="2042"/>
      <c r="IM25" s="2042"/>
      <c r="IN25" s="2042"/>
      <c r="IO25" s="2042"/>
      <c r="IP25" s="2042"/>
      <c r="IQ25" s="2042"/>
      <c r="IR25" s="2042"/>
      <c r="IS25" s="2042"/>
      <c r="IT25" s="2042"/>
      <c r="IU25" s="2042"/>
      <c r="IV25" s="2042"/>
    </row>
    <row r="26" spans="1:256" ht="33" customHeight="1">
      <c r="A26" s="2069">
        <v>4.0999999999999996</v>
      </c>
      <c r="B26" s="2070" t="s">
        <v>7590</v>
      </c>
      <c r="C26" s="2073"/>
      <c r="D26" s="2073"/>
      <c r="E26" s="2073"/>
      <c r="F26" s="2073"/>
      <c r="G26" s="2073"/>
      <c r="H26" s="2062"/>
      <c r="I26" s="2068"/>
      <c r="J26" s="2064"/>
      <c r="K26" s="2042"/>
      <c r="L26" s="2042"/>
      <c r="M26" s="2042"/>
      <c r="N26" s="2042"/>
      <c r="O26" s="2042"/>
      <c r="P26" s="2042"/>
      <c r="Q26" s="2042"/>
      <c r="R26" s="2042"/>
      <c r="S26" s="2042"/>
      <c r="T26" s="2042"/>
      <c r="U26" s="2042"/>
      <c r="V26" s="2042"/>
      <c r="W26" s="2042"/>
      <c r="X26" s="2042"/>
      <c r="Y26" s="2042"/>
      <c r="Z26" s="2042"/>
      <c r="AA26" s="2042"/>
      <c r="AB26" s="2042"/>
      <c r="AC26" s="2042"/>
      <c r="AD26" s="2042"/>
      <c r="AE26" s="2042"/>
      <c r="AF26" s="2042"/>
      <c r="AG26" s="2042"/>
      <c r="AH26" s="2042"/>
      <c r="AI26" s="2042"/>
      <c r="AJ26" s="2042"/>
      <c r="AK26" s="2042"/>
      <c r="AL26" s="2042"/>
      <c r="AM26" s="2042"/>
      <c r="AN26" s="2042"/>
      <c r="AO26" s="2042"/>
      <c r="AP26" s="2042"/>
      <c r="AQ26" s="2042"/>
      <c r="AR26" s="2042"/>
      <c r="AS26" s="2042"/>
      <c r="AT26" s="2042"/>
      <c r="AU26" s="2042"/>
      <c r="AV26" s="2042"/>
      <c r="AW26" s="2042"/>
      <c r="AX26" s="2042"/>
      <c r="AY26" s="2042"/>
      <c r="AZ26" s="2042"/>
      <c r="BA26" s="2042"/>
      <c r="BB26" s="2042"/>
      <c r="BC26" s="2042"/>
      <c r="BD26" s="2042"/>
      <c r="BE26" s="2042"/>
      <c r="BF26" s="2042"/>
      <c r="BG26" s="2042"/>
      <c r="BH26" s="2042"/>
      <c r="BI26" s="2042"/>
      <c r="BJ26" s="2042"/>
      <c r="BK26" s="2042"/>
      <c r="BL26" s="2042"/>
      <c r="BM26" s="2042"/>
      <c r="BN26" s="2042"/>
      <c r="BO26" s="2042"/>
      <c r="BP26" s="2042"/>
      <c r="BQ26" s="2042"/>
      <c r="BR26" s="2042"/>
      <c r="BS26" s="2042"/>
      <c r="BT26" s="2042"/>
      <c r="BU26" s="2042"/>
      <c r="BV26" s="2042"/>
      <c r="BW26" s="2042"/>
      <c r="BX26" s="2042"/>
      <c r="BY26" s="2042"/>
      <c r="BZ26" s="2042"/>
      <c r="CA26" s="2042"/>
      <c r="CB26" s="2042"/>
      <c r="CC26" s="2042"/>
      <c r="CD26" s="2042"/>
      <c r="CE26" s="2042"/>
      <c r="CF26" s="2042"/>
      <c r="CG26" s="2042"/>
      <c r="CH26" s="2042"/>
      <c r="CI26" s="2042"/>
      <c r="CJ26" s="2042"/>
      <c r="CK26" s="2042"/>
      <c r="CL26" s="2042"/>
      <c r="CM26" s="2042"/>
      <c r="CN26" s="2042"/>
      <c r="CO26" s="2042"/>
      <c r="CP26" s="2042"/>
      <c r="CQ26" s="2042"/>
      <c r="CR26" s="2042"/>
      <c r="CS26" s="2042"/>
      <c r="CT26" s="2042"/>
      <c r="CU26" s="2042"/>
      <c r="CV26" s="2042"/>
      <c r="CW26" s="2042"/>
      <c r="CX26" s="2042"/>
      <c r="CY26" s="2042"/>
      <c r="CZ26" s="2042"/>
      <c r="DA26" s="2042"/>
      <c r="DB26" s="2042"/>
      <c r="DC26" s="2042"/>
      <c r="DD26" s="2042"/>
      <c r="DE26" s="2042"/>
      <c r="DF26" s="2042"/>
      <c r="DG26" s="2042"/>
      <c r="DH26" s="2042"/>
      <c r="DI26" s="2042"/>
      <c r="DJ26" s="2042"/>
      <c r="DK26" s="2042"/>
      <c r="DL26" s="2042"/>
      <c r="DM26" s="2042"/>
      <c r="DN26" s="2042"/>
      <c r="DO26" s="2042"/>
      <c r="DP26" s="2042"/>
      <c r="DQ26" s="2042"/>
      <c r="DR26" s="2042"/>
      <c r="DS26" s="2042"/>
      <c r="DT26" s="2042"/>
      <c r="DU26" s="2042"/>
      <c r="DV26" s="2042"/>
      <c r="DW26" s="2042"/>
      <c r="DX26" s="2042"/>
      <c r="DY26" s="2042"/>
      <c r="DZ26" s="2042"/>
      <c r="EA26" s="2042"/>
      <c r="EB26" s="2042"/>
      <c r="EC26" s="2042"/>
      <c r="ED26" s="2042"/>
      <c r="EE26" s="2042"/>
      <c r="EF26" s="2042"/>
      <c r="EG26" s="2042"/>
      <c r="EH26" s="2042"/>
      <c r="EI26" s="2042"/>
      <c r="EJ26" s="2042"/>
      <c r="EK26" s="2042"/>
      <c r="EL26" s="2042"/>
      <c r="EM26" s="2042"/>
      <c r="EN26" s="2042"/>
      <c r="EO26" s="2042"/>
      <c r="EP26" s="2042"/>
      <c r="EQ26" s="2042"/>
      <c r="ER26" s="2042"/>
      <c r="ES26" s="2042"/>
      <c r="ET26" s="2042"/>
      <c r="EU26" s="2042"/>
      <c r="EV26" s="2042"/>
      <c r="EW26" s="2042"/>
      <c r="EX26" s="2042"/>
      <c r="EY26" s="2042"/>
      <c r="EZ26" s="2042"/>
      <c r="FA26" s="2042"/>
      <c r="FB26" s="2042"/>
      <c r="FC26" s="2042"/>
      <c r="FD26" s="2042"/>
      <c r="FE26" s="2042"/>
      <c r="FF26" s="2042"/>
      <c r="FG26" s="2042"/>
      <c r="FH26" s="2042"/>
      <c r="FI26" s="2042"/>
      <c r="FJ26" s="2042"/>
      <c r="FK26" s="2042"/>
      <c r="FL26" s="2042"/>
      <c r="FM26" s="2042"/>
      <c r="FN26" s="2042"/>
      <c r="FO26" s="2042"/>
      <c r="FP26" s="2042"/>
      <c r="FQ26" s="2042"/>
      <c r="FR26" s="2042"/>
      <c r="FS26" s="2042"/>
      <c r="FT26" s="2042"/>
      <c r="FU26" s="2042"/>
      <c r="FV26" s="2042"/>
      <c r="FW26" s="2042"/>
      <c r="FX26" s="2042"/>
      <c r="FY26" s="2042"/>
      <c r="FZ26" s="2042"/>
      <c r="GA26" s="2042"/>
      <c r="GB26" s="2042"/>
      <c r="GC26" s="2042"/>
      <c r="GD26" s="2042"/>
      <c r="GE26" s="2042"/>
      <c r="GF26" s="2042"/>
      <c r="GG26" s="2042"/>
      <c r="GH26" s="2042"/>
      <c r="GI26" s="2042"/>
      <c r="GJ26" s="2042"/>
      <c r="GK26" s="2042"/>
      <c r="GL26" s="2042"/>
      <c r="GM26" s="2042"/>
      <c r="GN26" s="2042"/>
      <c r="GO26" s="2042"/>
      <c r="GP26" s="2042"/>
      <c r="GQ26" s="2042"/>
      <c r="GR26" s="2042"/>
      <c r="GS26" s="2042"/>
      <c r="GT26" s="2042"/>
      <c r="GU26" s="2042"/>
      <c r="GV26" s="2042"/>
      <c r="GW26" s="2042"/>
      <c r="GX26" s="2042"/>
      <c r="GY26" s="2042"/>
      <c r="GZ26" s="2042"/>
      <c r="HA26" s="2042"/>
      <c r="HB26" s="2042"/>
      <c r="HC26" s="2042"/>
      <c r="HD26" s="2042"/>
      <c r="HE26" s="2042"/>
      <c r="HF26" s="2042"/>
      <c r="HG26" s="2042"/>
      <c r="HH26" s="2042"/>
      <c r="HI26" s="2042"/>
      <c r="HJ26" s="2042"/>
      <c r="HK26" s="2042"/>
      <c r="HL26" s="2042"/>
      <c r="HM26" s="2042"/>
      <c r="HN26" s="2042"/>
      <c r="HO26" s="2042"/>
      <c r="HP26" s="2042"/>
      <c r="HQ26" s="2042"/>
      <c r="HR26" s="2042"/>
      <c r="HS26" s="2042"/>
      <c r="HT26" s="2042"/>
      <c r="HU26" s="2042"/>
      <c r="HV26" s="2042"/>
      <c r="HW26" s="2042"/>
      <c r="HX26" s="2042"/>
      <c r="HY26" s="2042"/>
      <c r="HZ26" s="2042"/>
      <c r="IA26" s="2042"/>
      <c r="IB26" s="2042"/>
      <c r="IC26" s="2042"/>
      <c r="ID26" s="2042"/>
      <c r="IE26" s="2042"/>
      <c r="IF26" s="2042"/>
      <c r="IG26" s="2042"/>
      <c r="IH26" s="2042"/>
      <c r="II26" s="2042"/>
      <c r="IJ26" s="2042"/>
      <c r="IK26" s="2042"/>
      <c r="IL26" s="2042"/>
      <c r="IM26" s="2042"/>
      <c r="IN26" s="2042"/>
      <c r="IO26" s="2042"/>
      <c r="IP26" s="2042"/>
      <c r="IQ26" s="2042"/>
      <c r="IR26" s="2042"/>
      <c r="IS26" s="2042"/>
      <c r="IT26" s="2042"/>
      <c r="IU26" s="2042"/>
      <c r="IV26" s="2042"/>
    </row>
    <row r="27" spans="1:256" ht="28.5" customHeight="1">
      <c r="A27" s="2071"/>
      <c r="B27" s="2057" t="s">
        <v>7591</v>
      </c>
      <c r="C27" s="2060">
        <v>1</v>
      </c>
      <c r="D27" s="2060">
        <v>1</v>
      </c>
      <c r="E27" s="2062">
        <v>4.46</v>
      </c>
      <c r="F27" s="2062">
        <v>2.46</v>
      </c>
      <c r="G27" s="2075">
        <v>0.15</v>
      </c>
      <c r="H27" s="2062">
        <f>PRODUCT(C27:G27)</f>
        <v>1.65</v>
      </c>
      <c r="I27" s="2068"/>
      <c r="J27" s="2064"/>
      <c r="K27" s="2042"/>
      <c r="L27" s="2042"/>
      <c r="M27" s="2042"/>
      <c r="N27" s="2042"/>
      <c r="O27" s="2042"/>
      <c r="P27" s="2042"/>
      <c r="Q27" s="2042"/>
      <c r="R27" s="2042"/>
      <c r="S27" s="2042"/>
      <c r="T27" s="2042"/>
      <c r="U27" s="2042"/>
      <c r="V27" s="2042"/>
      <c r="W27" s="2042"/>
      <c r="X27" s="2042"/>
      <c r="Y27" s="2042"/>
      <c r="Z27" s="2042"/>
      <c r="AA27" s="2042"/>
      <c r="AB27" s="2042"/>
      <c r="AC27" s="2042"/>
      <c r="AD27" s="2042"/>
      <c r="AE27" s="2042"/>
      <c r="AF27" s="2042"/>
      <c r="AG27" s="2042"/>
      <c r="AH27" s="2042"/>
      <c r="AI27" s="2042"/>
      <c r="AJ27" s="2042"/>
      <c r="AK27" s="2042"/>
      <c r="AL27" s="2042"/>
      <c r="AM27" s="2042"/>
      <c r="AN27" s="2042"/>
      <c r="AO27" s="2042"/>
      <c r="AP27" s="2042"/>
      <c r="AQ27" s="2042"/>
      <c r="AR27" s="2042"/>
      <c r="AS27" s="2042"/>
      <c r="AT27" s="2042"/>
      <c r="AU27" s="2042"/>
      <c r="AV27" s="2042"/>
      <c r="AW27" s="2042"/>
      <c r="AX27" s="2042"/>
      <c r="AY27" s="2042"/>
      <c r="AZ27" s="2042"/>
      <c r="BA27" s="2042"/>
      <c r="BB27" s="2042"/>
      <c r="BC27" s="2042"/>
      <c r="BD27" s="2042"/>
      <c r="BE27" s="2042"/>
      <c r="BF27" s="2042"/>
      <c r="BG27" s="2042"/>
      <c r="BH27" s="2042"/>
      <c r="BI27" s="2042"/>
      <c r="BJ27" s="2042"/>
      <c r="BK27" s="2042"/>
      <c r="BL27" s="2042"/>
      <c r="BM27" s="2042"/>
      <c r="BN27" s="2042"/>
      <c r="BO27" s="2042"/>
      <c r="BP27" s="2042"/>
      <c r="BQ27" s="2042"/>
      <c r="BR27" s="2042"/>
      <c r="BS27" s="2042"/>
      <c r="BT27" s="2042"/>
      <c r="BU27" s="2042"/>
      <c r="BV27" s="2042"/>
      <c r="BW27" s="2042"/>
      <c r="BX27" s="2042"/>
      <c r="BY27" s="2042"/>
      <c r="BZ27" s="2042"/>
      <c r="CA27" s="2042"/>
      <c r="CB27" s="2042"/>
      <c r="CC27" s="2042"/>
      <c r="CD27" s="2042"/>
      <c r="CE27" s="2042"/>
      <c r="CF27" s="2042"/>
      <c r="CG27" s="2042"/>
      <c r="CH27" s="2042"/>
      <c r="CI27" s="2042"/>
      <c r="CJ27" s="2042"/>
      <c r="CK27" s="2042"/>
      <c r="CL27" s="2042"/>
      <c r="CM27" s="2042"/>
      <c r="CN27" s="2042"/>
      <c r="CO27" s="2042"/>
      <c r="CP27" s="2042"/>
      <c r="CQ27" s="2042"/>
      <c r="CR27" s="2042"/>
      <c r="CS27" s="2042"/>
      <c r="CT27" s="2042"/>
      <c r="CU27" s="2042"/>
      <c r="CV27" s="2042"/>
      <c r="CW27" s="2042"/>
      <c r="CX27" s="2042"/>
      <c r="CY27" s="2042"/>
      <c r="CZ27" s="2042"/>
      <c r="DA27" s="2042"/>
      <c r="DB27" s="2042"/>
      <c r="DC27" s="2042"/>
      <c r="DD27" s="2042"/>
      <c r="DE27" s="2042"/>
      <c r="DF27" s="2042"/>
      <c r="DG27" s="2042"/>
      <c r="DH27" s="2042"/>
      <c r="DI27" s="2042"/>
      <c r="DJ27" s="2042"/>
      <c r="DK27" s="2042"/>
      <c r="DL27" s="2042"/>
      <c r="DM27" s="2042"/>
      <c r="DN27" s="2042"/>
      <c r="DO27" s="2042"/>
      <c r="DP27" s="2042"/>
      <c r="DQ27" s="2042"/>
      <c r="DR27" s="2042"/>
      <c r="DS27" s="2042"/>
      <c r="DT27" s="2042"/>
      <c r="DU27" s="2042"/>
      <c r="DV27" s="2042"/>
      <c r="DW27" s="2042"/>
      <c r="DX27" s="2042"/>
      <c r="DY27" s="2042"/>
      <c r="DZ27" s="2042"/>
      <c r="EA27" s="2042"/>
      <c r="EB27" s="2042"/>
      <c r="EC27" s="2042"/>
      <c r="ED27" s="2042"/>
      <c r="EE27" s="2042"/>
      <c r="EF27" s="2042"/>
      <c r="EG27" s="2042"/>
      <c r="EH27" s="2042"/>
      <c r="EI27" s="2042"/>
      <c r="EJ27" s="2042"/>
      <c r="EK27" s="2042"/>
      <c r="EL27" s="2042"/>
      <c r="EM27" s="2042"/>
      <c r="EN27" s="2042"/>
      <c r="EO27" s="2042"/>
      <c r="EP27" s="2042"/>
      <c r="EQ27" s="2042"/>
      <c r="ER27" s="2042"/>
      <c r="ES27" s="2042"/>
      <c r="ET27" s="2042"/>
      <c r="EU27" s="2042"/>
      <c r="EV27" s="2042"/>
      <c r="EW27" s="2042"/>
      <c r="EX27" s="2042"/>
      <c r="EY27" s="2042"/>
      <c r="EZ27" s="2042"/>
      <c r="FA27" s="2042"/>
      <c r="FB27" s="2042"/>
      <c r="FC27" s="2042"/>
      <c r="FD27" s="2042"/>
      <c r="FE27" s="2042"/>
      <c r="FF27" s="2042"/>
      <c r="FG27" s="2042"/>
      <c r="FH27" s="2042"/>
      <c r="FI27" s="2042"/>
      <c r="FJ27" s="2042"/>
      <c r="FK27" s="2042"/>
      <c r="FL27" s="2042"/>
      <c r="FM27" s="2042"/>
      <c r="FN27" s="2042"/>
      <c r="FO27" s="2042"/>
      <c r="FP27" s="2042"/>
      <c r="FQ27" s="2042"/>
      <c r="FR27" s="2042"/>
      <c r="FS27" s="2042"/>
      <c r="FT27" s="2042"/>
      <c r="FU27" s="2042"/>
      <c r="FV27" s="2042"/>
      <c r="FW27" s="2042"/>
      <c r="FX27" s="2042"/>
      <c r="FY27" s="2042"/>
      <c r="FZ27" s="2042"/>
      <c r="GA27" s="2042"/>
      <c r="GB27" s="2042"/>
      <c r="GC27" s="2042"/>
      <c r="GD27" s="2042"/>
      <c r="GE27" s="2042"/>
      <c r="GF27" s="2042"/>
      <c r="GG27" s="2042"/>
      <c r="GH27" s="2042"/>
      <c r="GI27" s="2042"/>
      <c r="GJ27" s="2042"/>
      <c r="GK27" s="2042"/>
      <c r="GL27" s="2042"/>
      <c r="GM27" s="2042"/>
      <c r="GN27" s="2042"/>
      <c r="GO27" s="2042"/>
      <c r="GP27" s="2042"/>
      <c r="GQ27" s="2042"/>
      <c r="GR27" s="2042"/>
      <c r="GS27" s="2042"/>
      <c r="GT27" s="2042"/>
      <c r="GU27" s="2042"/>
      <c r="GV27" s="2042"/>
      <c r="GW27" s="2042"/>
      <c r="GX27" s="2042"/>
      <c r="GY27" s="2042"/>
      <c r="GZ27" s="2042"/>
      <c r="HA27" s="2042"/>
      <c r="HB27" s="2042"/>
      <c r="HC27" s="2042"/>
      <c r="HD27" s="2042"/>
      <c r="HE27" s="2042"/>
      <c r="HF27" s="2042"/>
      <c r="HG27" s="2042"/>
      <c r="HH27" s="2042"/>
      <c r="HI27" s="2042"/>
      <c r="HJ27" s="2042"/>
      <c r="HK27" s="2042"/>
      <c r="HL27" s="2042"/>
      <c r="HM27" s="2042"/>
      <c r="HN27" s="2042"/>
      <c r="HO27" s="2042"/>
      <c r="HP27" s="2042"/>
      <c r="HQ27" s="2042"/>
      <c r="HR27" s="2042"/>
      <c r="HS27" s="2042"/>
      <c r="HT27" s="2042"/>
      <c r="HU27" s="2042"/>
      <c r="HV27" s="2042"/>
      <c r="HW27" s="2042"/>
      <c r="HX27" s="2042"/>
      <c r="HY27" s="2042"/>
      <c r="HZ27" s="2042"/>
      <c r="IA27" s="2042"/>
      <c r="IB27" s="2042"/>
      <c r="IC27" s="2042"/>
      <c r="ID27" s="2042"/>
      <c r="IE27" s="2042"/>
      <c r="IF27" s="2042"/>
      <c r="IG27" s="2042"/>
      <c r="IH27" s="2042"/>
      <c r="II27" s="2042"/>
      <c r="IJ27" s="2042"/>
      <c r="IK27" s="2042"/>
      <c r="IL27" s="2042"/>
      <c r="IM27" s="2042"/>
      <c r="IN27" s="2042"/>
      <c r="IO27" s="2042"/>
      <c r="IP27" s="2042"/>
      <c r="IQ27" s="2042"/>
      <c r="IR27" s="2042"/>
      <c r="IS27" s="2042"/>
      <c r="IT27" s="2042"/>
      <c r="IU27" s="2042"/>
      <c r="IV27" s="2042"/>
    </row>
    <row r="28" spans="1:256" ht="28.5" customHeight="1">
      <c r="A28" s="2071"/>
      <c r="B28" s="2057" t="s">
        <v>7592</v>
      </c>
      <c r="C28" s="2060">
        <v>-1</v>
      </c>
      <c r="D28" s="2060">
        <v>2</v>
      </c>
      <c r="E28" s="2062">
        <v>0.6</v>
      </c>
      <c r="F28" s="2062">
        <v>0.6</v>
      </c>
      <c r="G28" s="2075">
        <v>0.15</v>
      </c>
      <c r="H28" s="2062">
        <f>PRODUCT(C28:G28)</f>
        <v>-0.11</v>
      </c>
      <c r="I28" s="2068"/>
      <c r="J28" s="2064"/>
      <c r="K28" s="2042"/>
      <c r="L28" s="2042"/>
      <c r="M28" s="2042"/>
      <c r="N28" s="2042"/>
      <c r="O28" s="2042"/>
      <c r="P28" s="2042"/>
      <c r="Q28" s="2042"/>
      <c r="R28" s="2042"/>
      <c r="S28" s="2042"/>
      <c r="T28" s="2042"/>
      <c r="U28" s="2042"/>
      <c r="V28" s="2042"/>
      <c r="W28" s="2042"/>
      <c r="X28" s="2042"/>
      <c r="Y28" s="2042"/>
      <c r="Z28" s="2042"/>
      <c r="AA28" s="2042"/>
      <c r="AB28" s="2042"/>
      <c r="AC28" s="2042"/>
      <c r="AD28" s="2042"/>
      <c r="AE28" s="2042"/>
      <c r="AF28" s="2042"/>
      <c r="AG28" s="2042"/>
      <c r="AH28" s="2042"/>
      <c r="AI28" s="2042"/>
      <c r="AJ28" s="2042"/>
      <c r="AK28" s="2042"/>
      <c r="AL28" s="2042"/>
      <c r="AM28" s="2042"/>
      <c r="AN28" s="2042"/>
      <c r="AO28" s="2042"/>
      <c r="AP28" s="2042"/>
      <c r="AQ28" s="2042"/>
      <c r="AR28" s="2042"/>
      <c r="AS28" s="2042"/>
      <c r="AT28" s="2042"/>
      <c r="AU28" s="2042"/>
      <c r="AV28" s="2042"/>
      <c r="AW28" s="2042"/>
      <c r="AX28" s="2042"/>
      <c r="AY28" s="2042"/>
      <c r="AZ28" s="2042"/>
      <c r="BA28" s="2042"/>
      <c r="BB28" s="2042"/>
      <c r="BC28" s="2042"/>
      <c r="BD28" s="2042"/>
      <c r="BE28" s="2042"/>
      <c r="BF28" s="2042"/>
      <c r="BG28" s="2042"/>
      <c r="BH28" s="2042"/>
      <c r="BI28" s="2042"/>
      <c r="BJ28" s="2042"/>
      <c r="BK28" s="2042"/>
      <c r="BL28" s="2042"/>
      <c r="BM28" s="2042"/>
      <c r="BN28" s="2042"/>
      <c r="BO28" s="2042"/>
      <c r="BP28" s="2042"/>
      <c r="BQ28" s="2042"/>
      <c r="BR28" s="2042"/>
      <c r="BS28" s="2042"/>
      <c r="BT28" s="2042"/>
      <c r="BU28" s="2042"/>
      <c r="BV28" s="2042"/>
      <c r="BW28" s="2042"/>
      <c r="BX28" s="2042"/>
      <c r="BY28" s="2042"/>
      <c r="BZ28" s="2042"/>
      <c r="CA28" s="2042"/>
      <c r="CB28" s="2042"/>
      <c r="CC28" s="2042"/>
      <c r="CD28" s="2042"/>
      <c r="CE28" s="2042"/>
      <c r="CF28" s="2042"/>
      <c r="CG28" s="2042"/>
      <c r="CH28" s="2042"/>
      <c r="CI28" s="2042"/>
      <c r="CJ28" s="2042"/>
      <c r="CK28" s="2042"/>
      <c r="CL28" s="2042"/>
      <c r="CM28" s="2042"/>
      <c r="CN28" s="2042"/>
      <c r="CO28" s="2042"/>
      <c r="CP28" s="2042"/>
      <c r="CQ28" s="2042"/>
      <c r="CR28" s="2042"/>
      <c r="CS28" s="2042"/>
      <c r="CT28" s="2042"/>
      <c r="CU28" s="2042"/>
      <c r="CV28" s="2042"/>
      <c r="CW28" s="2042"/>
      <c r="CX28" s="2042"/>
      <c r="CY28" s="2042"/>
      <c r="CZ28" s="2042"/>
      <c r="DA28" s="2042"/>
      <c r="DB28" s="2042"/>
      <c r="DC28" s="2042"/>
      <c r="DD28" s="2042"/>
      <c r="DE28" s="2042"/>
      <c r="DF28" s="2042"/>
      <c r="DG28" s="2042"/>
      <c r="DH28" s="2042"/>
      <c r="DI28" s="2042"/>
      <c r="DJ28" s="2042"/>
      <c r="DK28" s="2042"/>
      <c r="DL28" s="2042"/>
      <c r="DM28" s="2042"/>
      <c r="DN28" s="2042"/>
      <c r="DO28" s="2042"/>
      <c r="DP28" s="2042"/>
      <c r="DQ28" s="2042"/>
      <c r="DR28" s="2042"/>
      <c r="DS28" s="2042"/>
      <c r="DT28" s="2042"/>
      <c r="DU28" s="2042"/>
      <c r="DV28" s="2042"/>
      <c r="DW28" s="2042"/>
      <c r="DX28" s="2042"/>
      <c r="DY28" s="2042"/>
      <c r="DZ28" s="2042"/>
      <c r="EA28" s="2042"/>
      <c r="EB28" s="2042"/>
      <c r="EC28" s="2042"/>
      <c r="ED28" s="2042"/>
      <c r="EE28" s="2042"/>
      <c r="EF28" s="2042"/>
      <c r="EG28" s="2042"/>
      <c r="EH28" s="2042"/>
      <c r="EI28" s="2042"/>
      <c r="EJ28" s="2042"/>
      <c r="EK28" s="2042"/>
      <c r="EL28" s="2042"/>
      <c r="EM28" s="2042"/>
      <c r="EN28" s="2042"/>
      <c r="EO28" s="2042"/>
      <c r="EP28" s="2042"/>
      <c r="EQ28" s="2042"/>
      <c r="ER28" s="2042"/>
      <c r="ES28" s="2042"/>
      <c r="ET28" s="2042"/>
      <c r="EU28" s="2042"/>
      <c r="EV28" s="2042"/>
      <c r="EW28" s="2042"/>
      <c r="EX28" s="2042"/>
      <c r="EY28" s="2042"/>
      <c r="EZ28" s="2042"/>
      <c r="FA28" s="2042"/>
      <c r="FB28" s="2042"/>
      <c r="FC28" s="2042"/>
      <c r="FD28" s="2042"/>
      <c r="FE28" s="2042"/>
      <c r="FF28" s="2042"/>
      <c r="FG28" s="2042"/>
      <c r="FH28" s="2042"/>
      <c r="FI28" s="2042"/>
      <c r="FJ28" s="2042"/>
      <c r="FK28" s="2042"/>
      <c r="FL28" s="2042"/>
      <c r="FM28" s="2042"/>
      <c r="FN28" s="2042"/>
      <c r="FO28" s="2042"/>
      <c r="FP28" s="2042"/>
      <c r="FQ28" s="2042"/>
      <c r="FR28" s="2042"/>
      <c r="FS28" s="2042"/>
      <c r="FT28" s="2042"/>
      <c r="FU28" s="2042"/>
      <c r="FV28" s="2042"/>
      <c r="FW28" s="2042"/>
      <c r="FX28" s="2042"/>
      <c r="FY28" s="2042"/>
      <c r="FZ28" s="2042"/>
      <c r="GA28" s="2042"/>
      <c r="GB28" s="2042"/>
      <c r="GC28" s="2042"/>
      <c r="GD28" s="2042"/>
      <c r="GE28" s="2042"/>
      <c r="GF28" s="2042"/>
      <c r="GG28" s="2042"/>
      <c r="GH28" s="2042"/>
      <c r="GI28" s="2042"/>
      <c r="GJ28" s="2042"/>
      <c r="GK28" s="2042"/>
      <c r="GL28" s="2042"/>
      <c r="GM28" s="2042"/>
      <c r="GN28" s="2042"/>
      <c r="GO28" s="2042"/>
      <c r="GP28" s="2042"/>
      <c r="GQ28" s="2042"/>
      <c r="GR28" s="2042"/>
      <c r="GS28" s="2042"/>
      <c r="GT28" s="2042"/>
      <c r="GU28" s="2042"/>
      <c r="GV28" s="2042"/>
      <c r="GW28" s="2042"/>
      <c r="GX28" s="2042"/>
      <c r="GY28" s="2042"/>
      <c r="GZ28" s="2042"/>
      <c r="HA28" s="2042"/>
      <c r="HB28" s="2042"/>
      <c r="HC28" s="2042"/>
      <c r="HD28" s="2042"/>
      <c r="HE28" s="2042"/>
      <c r="HF28" s="2042"/>
      <c r="HG28" s="2042"/>
      <c r="HH28" s="2042"/>
      <c r="HI28" s="2042"/>
      <c r="HJ28" s="2042"/>
      <c r="HK28" s="2042"/>
      <c r="HL28" s="2042"/>
      <c r="HM28" s="2042"/>
      <c r="HN28" s="2042"/>
      <c r="HO28" s="2042"/>
      <c r="HP28" s="2042"/>
      <c r="HQ28" s="2042"/>
      <c r="HR28" s="2042"/>
      <c r="HS28" s="2042"/>
      <c r="HT28" s="2042"/>
      <c r="HU28" s="2042"/>
      <c r="HV28" s="2042"/>
      <c r="HW28" s="2042"/>
      <c r="HX28" s="2042"/>
      <c r="HY28" s="2042"/>
      <c r="HZ28" s="2042"/>
      <c r="IA28" s="2042"/>
      <c r="IB28" s="2042"/>
      <c r="IC28" s="2042"/>
      <c r="ID28" s="2042"/>
      <c r="IE28" s="2042"/>
      <c r="IF28" s="2042"/>
      <c r="IG28" s="2042"/>
      <c r="IH28" s="2042"/>
      <c r="II28" s="2042"/>
      <c r="IJ28" s="2042"/>
      <c r="IK28" s="2042"/>
      <c r="IL28" s="2042"/>
      <c r="IM28" s="2042"/>
      <c r="IN28" s="2042"/>
      <c r="IO28" s="2042"/>
      <c r="IP28" s="2042"/>
      <c r="IQ28" s="2042"/>
      <c r="IR28" s="2042"/>
      <c r="IS28" s="2042"/>
      <c r="IT28" s="2042"/>
      <c r="IU28" s="2042"/>
      <c r="IV28" s="2042"/>
    </row>
    <row r="29" spans="1:256" ht="28.5" customHeight="1">
      <c r="A29" s="2071"/>
      <c r="B29" s="2057" t="s">
        <v>7593</v>
      </c>
      <c r="C29" s="2060">
        <v>1</v>
      </c>
      <c r="D29" s="2060">
        <v>1</v>
      </c>
      <c r="E29" s="2062">
        <v>2.46</v>
      </c>
      <c r="F29" s="2062">
        <v>0.23</v>
      </c>
      <c r="G29" s="2075">
        <v>0.23</v>
      </c>
      <c r="H29" s="2062">
        <f>PRODUCT(C29:G29)</f>
        <v>0.13</v>
      </c>
      <c r="I29" s="2068"/>
      <c r="J29" s="2064"/>
      <c r="K29" s="2042"/>
      <c r="L29" s="2042"/>
      <c r="M29" s="2042"/>
      <c r="N29" s="2042"/>
      <c r="O29" s="2042"/>
      <c r="P29" s="2042"/>
      <c r="Q29" s="2042"/>
      <c r="R29" s="2042"/>
      <c r="S29" s="2042"/>
      <c r="T29" s="2042"/>
      <c r="U29" s="2042"/>
      <c r="V29" s="2042"/>
      <c r="W29" s="2042"/>
      <c r="X29" s="2042"/>
      <c r="Y29" s="2042"/>
      <c r="Z29" s="2042"/>
      <c r="AA29" s="2042"/>
      <c r="AB29" s="2042"/>
      <c r="AC29" s="2042"/>
      <c r="AD29" s="2042"/>
      <c r="AE29" s="2042"/>
      <c r="AF29" s="2042"/>
      <c r="AG29" s="2042"/>
      <c r="AH29" s="2042"/>
      <c r="AI29" s="2042"/>
      <c r="AJ29" s="2042"/>
      <c r="AK29" s="2042"/>
      <c r="AL29" s="2042"/>
      <c r="AM29" s="2042"/>
      <c r="AN29" s="2042"/>
      <c r="AO29" s="2042"/>
      <c r="AP29" s="2042"/>
      <c r="AQ29" s="2042"/>
      <c r="AR29" s="2042"/>
      <c r="AS29" s="2042"/>
      <c r="AT29" s="2042"/>
      <c r="AU29" s="2042"/>
      <c r="AV29" s="2042"/>
      <c r="AW29" s="2042"/>
      <c r="AX29" s="2042"/>
      <c r="AY29" s="2042"/>
      <c r="AZ29" s="2042"/>
      <c r="BA29" s="2042"/>
      <c r="BB29" s="2042"/>
      <c r="BC29" s="2042"/>
      <c r="BD29" s="2042"/>
      <c r="BE29" s="2042"/>
      <c r="BF29" s="2042"/>
      <c r="BG29" s="2042"/>
      <c r="BH29" s="2042"/>
      <c r="BI29" s="2042"/>
      <c r="BJ29" s="2042"/>
      <c r="BK29" s="2042"/>
      <c r="BL29" s="2042"/>
      <c r="BM29" s="2042"/>
      <c r="BN29" s="2042"/>
      <c r="BO29" s="2042"/>
      <c r="BP29" s="2042"/>
      <c r="BQ29" s="2042"/>
      <c r="BR29" s="2042"/>
      <c r="BS29" s="2042"/>
      <c r="BT29" s="2042"/>
      <c r="BU29" s="2042"/>
      <c r="BV29" s="2042"/>
      <c r="BW29" s="2042"/>
      <c r="BX29" s="2042"/>
      <c r="BY29" s="2042"/>
      <c r="BZ29" s="2042"/>
      <c r="CA29" s="2042"/>
      <c r="CB29" s="2042"/>
      <c r="CC29" s="2042"/>
      <c r="CD29" s="2042"/>
      <c r="CE29" s="2042"/>
      <c r="CF29" s="2042"/>
      <c r="CG29" s="2042"/>
      <c r="CH29" s="2042"/>
      <c r="CI29" s="2042"/>
      <c r="CJ29" s="2042"/>
      <c r="CK29" s="2042"/>
      <c r="CL29" s="2042"/>
      <c r="CM29" s="2042"/>
      <c r="CN29" s="2042"/>
      <c r="CO29" s="2042"/>
      <c r="CP29" s="2042"/>
      <c r="CQ29" s="2042"/>
      <c r="CR29" s="2042"/>
      <c r="CS29" s="2042"/>
      <c r="CT29" s="2042"/>
      <c r="CU29" s="2042"/>
      <c r="CV29" s="2042"/>
      <c r="CW29" s="2042"/>
      <c r="CX29" s="2042"/>
      <c r="CY29" s="2042"/>
      <c r="CZ29" s="2042"/>
      <c r="DA29" s="2042"/>
      <c r="DB29" s="2042"/>
      <c r="DC29" s="2042"/>
      <c r="DD29" s="2042"/>
      <c r="DE29" s="2042"/>
      <c r="DF29" s="2042"/>
      <c r="DG29" s="2042"/>
      <c r="DH29" s="2042"/>
      <c r="DI29" s="2042"/>
      <c r="DJ29" s="2042"/>
      <c r="DK29" s="2042"/>
      <c r="DL29" s="2042"/>
      <c r="DM29" s="2042"/>
      <c r="DN29" s="2042"/>
      <c r="DO29" s="2042"/>
      <c r="DP29" s="2042"/>
      <c r="DQ29" s="2042"/>
      <c r="DR29" s="2042"/>
      <c r="DS29" s="2042"/>
      <c r="DT29" s="2042"/>
      <c r="DU29" s="2042"/>
      <c r="DV29" s="2042"/>
      <c r="DW29" s="2042"/>
      <c r="DX29" s="2042"/>
      <c r="DY29" s="2042"/>
      <c r="DZ29" s="2042"/>
      <c r="EA29" s="2042"/>
      <c r="EB29" s="2042"/>
      <c r="EC29" s="2042"/>
      <c r="ED29" s="2042"/>
      <c r="EE29" s="2042"/>
      <c r="EF29" s="2042"/>
      <c r="EG29" s="2042"/>
      <c r="EH29" s="2042"/>
      <c r="EI29" s="2042"/>
      <c r="EJ29" s="2042"/>
      <c r="EK29" s="2042"/>
      <c r="EL29" s="2042"/>
      <c r="EM29" s="2042"/>
      <c r="EN29" s="2042"/>
      <c r="EO29" s="2042"/>
      <c r="EP29" s="2042"/>
      <c r="EQ29" s="2042"/>
      <c r="ER29" s="2042"/>
      <c r="ES29" s="2042"/>
      <c r="ET29" s="2042"/>
      <c r="EU29" s="2042"/>
      <c r="EV29" s="2042"/>
      <c r="EW29" s="2042"/>
      <c r="EX29" s="2042"/>
      <c r="EY29" s="2042"/>
      <c r="EZ29" s="2042"/>
      <c r="FA29" s="2042"/>
      <c r="FB29" s="2042"/>
      <c r="FC29" s="2042"/>
      <c r="FD29" s="2042"/>
      <c r="FE29" s="2042"/>
      <c r="FF29" s="2042"/>
      <c r="FG29" s="2042"/>
      <c r="FH29" s="2042"/>
      <c r="FI29" s="2042"/>
      <c r="FJ29" s="2042"/>
      <c r="FK29" s="2042"/>
      <c r="FL29" s="2042"/>
      <c r="FM29" s="2042"/>
      <c r="FN29" s="2042"/>
      <c r="FO29" s="2042"/>
      <c r="FP29" s="2042"/>
      <c r="FQ29" s="2042"/>
      <c r="FR29" s="2042"/>
      <c r="FS29" s="2042"/>
      <c r="FT29" s="2042"/>
      <c r="FU29" s="2042"/>
      <c r="FV29" s="2042"/>
      <c r="FW29" s="2042"/>
      <c r="FX29" s="2042"/>
      <c r="FY29" s="2042"/>
      <c r="FZ29" s="2042"/>
      <c r="GA29" s="2042"/>
      <c r="GB29" s="2042"/>
      <c r="GC29" s="2042"/>
      <c r="GD29" s="2042"/>
      <c r="GE29" s="2042"/>
      <c r="GF29" s="2042"/>
      <c r="GG29" s="2042"/>
      <c r="GH29" s="2042"/>
      <c r="GI29" s="2042"/>
      <c r="GJ29" s="2042"/>
      <c r="GK29" s="2042"/>
      <c r="GL29" s="2042"/>
      <c r="GM29" s="2042"/>
      <c r="GN29" s="2042"/>
      <c r="GO29" s="2042"/>
      <c r="GP29" s="2042"/>
      <c r="GQ29" s="2042"/>
      <c r="GR29" s="2042"/>
      <c r="GS29" s="2042"/>
      <c r="GT29" s="2042"/>
      <c r="GU29" s="2042"/>
      <c r="GV29" s="2042"/>
      <c r="GW29" s="2042"/>
      <c r="GX29" s="2042"/>
      <c r="GY29" s="2042"/>
      <c r="GZ29" s="2042"/>
      <c r="HA29" s="2042"/>
      <c r="HB29" s="2042"/>
      <c r="HC29" s="2042"/>
      <c r="HD29" s="2042"/>
      <c r="HE29" s="2042"/>
      <c r="HF29" s="2042"/>
      <c r="HG29" s="2042"/>
      <c r="HH29" s="2042"/>
      <c r="HI29" s="2042"/>
      <c r="HJ29" s="2042"/>
      <c r="HK29" s="2042"/>
      <c r="HL29" s="2042"/>
      <c r="HM29" s="2042"/>
      <c r="HN29" s="2042"/>
      <c r="HO29" s="2042"/>
      <c r="HP29" s="2042"/>
      <c r="HQ29" s="2042"/>
      <c r="HR29" s="2042"/>
      <c r="HS29" s="2042"/>
      <c r="HT29" s="2042"/>
      <c r="HU29" s="2042"/>
      <c r="HV29" s="2042"/>
      <c r="HW29" s="2042"/>
      <c r="HX29" s="2042"/>
      <c r="HY29" s="2042"/>
      <c r="HZ29" s="2042"/>
      <c r="IA29" s="2042"/>
      <c r="IB29" s="2042"/>
      <c r="IC29" s="2042"/>
      <c r="ID29" s="2042"/>
      <c r="IE29" s="2042"/>
      <c r="IF29" s="2042"/>
      <c r="IG29" s="2042"/>
      <c r="IH29" s="2042"/>
      <c r="II29" s="2042"/>
      <c r="IJ29" s="2042"/>
      <c r="IK29" s="2042"/>
      <c r="IL29" s="2042"/>
      <c r="IM29" s="2042"/>
      <c r="IN29" s="2042"/>
      <c r="IO29" s="2042"/>
      <c r="IP29" s="2042"/>
      <c r="IQ29" s="2042"/>
      <c r="IR29" s="2042"/>
      <c r="IS29" s="2042"/>
      <c r="IT29" s="2042"/>
      <c r="IU29" s="2042"/>
      <c r="IV29" s="2042"/>
    </row>
    <row r="30" spans="1:256" ht="28.5" customHeight="1">
      <c r="A30" s="2071"/>
      <c r="B30" s="2057"/>
      <c r="C30" s="2060"/>
      <c r="D30" s="2060"/>
      <c r="E30" s="2062"/>
      <c r="F30" s="2062"/>
      <c r="G30" s="2072" t="s">
        <v>2235</v>
      </c>
      <c r="H30" s="2067">
        <f>SUM(H27:H29)</f>
        <v>1.67</v>
      </c>
      <c r="I30" s="2068" t="s">
        <v>2142</v>
      </c>
      <c r="J30" s="2064"/>
      <c r="K30" s="2042"/>
      <c r="L30" s="2042"/>
      <c r="M30" s="2042"/>
      <c r="N30" s="2042"/>
      <c r="O30" s="2042"/>
      <c r="P30" s="2042"/>
      <c r="Q30" s="2042"/>
      <c r="R30" s="2042"/>
      <c r="S30" s="2042"/>
      <c r="T30" s="2042"/>
      <c r="U30" s="2042"/>
      <c r="V30" s="2042"/>
      <c r="W30" s="2042"/>
      <c r="X30" s="2042"/>
      <c r="Y30" s="2042"/>
      <c r="Z30" s="2042"/>
      <c r="AA30" s="2042"/>
      <c r="AB30" s="2042"/>
      <c r="AC30" s="2042"/>
      <c r="AD30" s="2042"/>
      <c r="AE30" s="2042"/>
      <c r="AF30" s="2042"/>
      <c r="AG30" s="2042"/>
      <c r="AH30" s="2042"/>
      <c r="AI30" s="2042"/>
      <c r="AJ30" s="2042"/>
      <c r="AK30" s="2042"/>
      <c r="AL30" s="2042"/>
      <c r="AM30" s="2042"/>
      <c r="AN30" s="2042"/>
      <c r="AO30" s="2042"/>
      <c r="AP30" s="2042"/>
      <c r="AQ30" s="2042"/>
      <c r="AR30" s="2042"/>
      <c r="AS30" s="2042"/>
      <c r="AT30" s="2042"/>
      <c r="AU30" s="2042"/>
      <c r="AV30" s="2042"/>
      <c r="AW30" s="2042"/>
      <c r="AX30" s="2042"/>
      <c r="AY30" s="2042"/>
      <c r="AZ30" s="2042"/>
      <c r="BA30" s="2042"/>
      <c r="BB30" s="2042"/>
      <c r="BC30" s="2042"/>
      <c r="BD30" s="2042"/>
      <c r="BE30" s="2042"/>
      <c r="BF30" s="2042"/>
      <c r="BG30" s="2042"/>
      <c r="BH30" s="2042"/>
      <c r="BI30" s="2042"/>
      <c r="BJ30" s="2042"/>
      <c r="BK30" s="2042"/>
      <c r="BL30" s="2042"/>
      <c r="BM30" s="2042"/>
      <c r="BN30" s="2042"/>
      <c r="BO30" s="2042"/>
      <c r="BP30" s="2042"/>
      <c r="BQ30" s="2042"/>
      <c r="BR30" s="2042"/>
      <c r="BS30" s="2042"/>
      <c r="BT30" s="2042"/>
      <c r="BU30" s="2042"/>
      <c r="BV30" s="2042"/>
      <c r="BW30" s="2042"/>
      <c r="BX30" s="2042"/>
      <c r="BY30" s="2042"/>
      <c r="BZ30" s="2042"/>
      <c r="CA30" s="2042"/>
      <c r="CB30" s="2042"/>
      <c r="CC30" s="2042"/>
      <c r="CD30" s="2042"/>
      <c r="CE30" s="2042"/>
      <c r="CF30" s="2042"/>
      <c r="CG30" s="2042"/>
      <c r="CH30" s="2042"/>
      <c r="CI30" s="2042"/>
      <c r="CJ30" s="2042"/>
      <c r="CK30" s="2042"/>
      <c r="CL30" s="2042"/>
      <c r="CM30" s="2042"/>
      <c r="CN30" s="2042"/>
      <c r="CO30" s="2042"/>
      <c r="CP30" s="2042"/>
      <c r="CQ30" s="2042"/>
      <c r="CR30" s="2042"/>
      <c r="CS30" s="2042"/>
      <c r="CT30" s="2042"/>
      <c r="CU30" s="2042"/>
      <c r="CV30" s="2042"/>
      <c r="CW30" s="2042"/>
      <c r="CX30" s="2042"/>
      <c r="CY30" s="2042"/>
      <c r="CZ30" s="2042"/>
      <c r="DA30" s="2042"/>
      <c r="DB30" s="2042"/>
      <c r="DC30" s="2042"/>
      <c r="DD30" s="2042"/>
      <c r="DE30" s="2042"/>
      <c r="DF30" s="2042"/>
      <c r="DG30" s="2042"/>
      <c r="DH30" s="2042"/>
      <c r="DI30" s="2042"/>
      <c r="DJ30" s="2042"/>
      <c r="DK30" s="2042"/>
      <c r="DL30" s="2042"/>
      <c r="DM30" s="2042"/>
      <c r="DN30" s="2042"/>
      <c r="DO30" s="2042"/>
      <c r="DP30" s="2042"/>
      <c r="DQ30" s="2042"/>
      <c r="DR30" s="2042"/>
      <c r="DS30" s="2042"/>
      <c r="DT30" s="2042"/>
      <c r="DU30" s="2042"/>
      <c r="DV30" s="2042"/>
      <c r="DW30" s="2042"/>
      <c r="DX30" s="2042"/>
      <c r="DY30" s="2042"/>
      <c r="DZ30" s="2042"/>
      <c r="EA30" s="2042"/>
      <c r="EB30" s="2042"/>
      <c r="EC30" s="2042"/>
      <c r="ED30" s="2042"/>
      <c r="EE30" s="2042"/>
      <c r="EF30" s="2042"/>
      <c r="EG30" s="2042"/>
      <c r="EH30" s="2042"/>
      <c r="EI30" s="2042"/>
      <c r="EJ30" s="2042"/>
      <c r="EK30" s="2042"/>
      <c r="EL30" s="2042"/>
      <c r="EM30" s="2042"/>
      <c r="EN30" s="2042"/>
      <c r="EO30" s="2042"/>
      <c r="EP30" s="2042"/>
      <c r="EQ30" s="2042"/>
      <c r="ER30" s="2042"/>
      <c r="ES30" s="2042"/>
      <c r="ET30" s="2042"/>
      <c r="EU30" s="2042"/>
      <c r="EV30" s="2042"/>
      <c r="EW30" s="2042"/>
      <c r="EX30" s="2042"/>
      <c r="EY30" s="2042"/>
      <c r="EZ30" s="2042"/>
      <c r="FA30" s="2042"/>
      <c r="FB30" s="2042"/>
      <c r="FC30" s="2042"/>
      <c r="FD30" s="2042"/>
      <c r="FE30" s="2042"/>
      <c r="FF30" s="2042"/>
      <c r="FG30" s="2042"/>
      <c r="FH30" s="2042"/>
      <c r="FI30" s="2042"/>
      <c r="FJ30" s="2042"/>
      <c r="FK30" s="2042"/>
      <c r="FL30" s="2042"/>
      <c r="FM30" s="2042"/>
      <c r="FN30" s="2042"/>
      <c r="FO30" s="2042"/>
      <c r="FP30" s="2042"/>
      <c r="FQ30" s="2042"/>
      <c r="FR30" s="2042"/>
      <c r="FS30" s="2042"/>
      <c r="FT30" s="2042"/>
      <c r="FU30" s="2042"/>
      <c r="FV30" s="2042"/>
      <c r="FW30" s="2042"/>
      <c r="FX30" s="2042"/>
      <c r="FY30" s="2042"/>
      <c r="FZ30" s="2042"/>
      <c r="GA30" s="2042"/>
      <c r="GB30" s="2042"/>
      <c r="GC30" s="2042"/>
      <c r="GD30" s="2042"/>
      <c r="GE30" s="2042"/>
      <c r="GF30" s="2042"/>
      <c r="GG30" s="2042"/>
      <c r="GH30" s="2042"/>
      <c r="GI30" s="2042"/>
      <c r="GJ30" s="2042"/>
      <c r="GK30" s="2042"/>
      <c r="GL30" s="2042"/>
      <c r="GM30" s="2042"/>
      <c r="GN30" s="2042"/>
      <c r="GO30" s="2042"/>
      <c r="GP30" s="2042"/>
      <c r="GQ30" s="2042"/>
      <c r="GR30" s="2042"/>
      <c r="GS30" s="2042"/>
      <c r="GT30" s="2042"/>
      <c r="GU30" s="2042"/>
      <c r="GV30" s="2042"/>
      <c r="GW30" s="2042"/>
      <c r="GX30" s="2042"/>
      <c r="GY30" s="2042"/>
      <c r="GZ30" s="2042"/>
      <c r="HA30" s="2042"/>
      <c r="HB30" s="2042"/>
      <c r="HC30" s="2042"/>
      <c r="HD30" s="2042"/>
      <c r="HE30" s="2042"/>
      <c r="HF30" s="2042"/>
      <c r="HG30" s="2042"/>
      <c r="HH30" s="2042"/>
      <c r="HI30" s="2042"/>
      <c r="HJ30" s="2042"/>
      <c r="HK30" s="2042"/>
      <c r="HL30" s="2042"/>
      <c r="HM30" s="2042"/>
      <c r="HN30" s="2042"/>
      <c r="HO30" s="2042"/>
      <c r="HP30" s="2042"/>
      <c r="HQ30" s="2042"/>
      <c r="HR30" s="2042"/>
      <c r="HS30" s="2042"/>
      <c r="HT30" s="2042"/>
      <c r="HU30" s="2042"/>
      <c r="HV30" s="2042"/>
      <c r="HW30" s="2042"/>
      <c r="HX30" s="2042"/>
      <c r="HY30" s="2042"/>
      <c r="HZ30" s="2042"/>
      <c r="IA30" s="2042"/>
      <c r="IB30" s="2042"/>
      <c r="IC30" s="2042"/>
      <c r="ID30" s="2042"/>
      <c r="IE30" s="2042"/>
      <c r="IF30" s="2042"/>
      <c r="IG30" s="2042"/>
      <c r="IH30" s="2042"/>
      <c r="II30" s="2042"/>
      <c r="IJ30" s="2042"/>
      <c r="IK30" s="2042"/>
      <c r="IL30" s="2042"/>
      <c r="IM30" s="2042"/>
      <c r="IN30" s="2042"/>
      <c r="IO30" s="2042"/>
      <c r="IP30" s="2042"/>
      <c r="IQ30" s="2042"/>
      <c r="IR30" s="2042"/>
      <c r="IS30" s="2042"/>
      <c r="IT30" s="2042"/>
      <c r="IU30" s="2042"/>
      <c r="IV30" s="2042"/>
    </row>
    <row r="31" spans="1:256" ht="33" customHeight="1">
      <c r="A31" s="2069">
        <v>6.5</v>
      </c>
      <c r="B31" s="2070" t="s">
        <v>7594</v>
      </c>
      <c r="C31" s="2073"/>
      <c r="D31" s="2073"/>
      <c r="E31" s="2073"/>
      <c r="F31" s="2073"/>
      <c r="G31" s="2073"/>
      <c r="H31" s="2062"/>
      <c r="I31" s="2068"/>
      <c r="J31" s="2064"/>
      <c r="K31" s="2042"/>
      <c r="L31" s="2042"/>
      <c r="M31" s="2042"/>
      <c r="N31" s="2042"/>
      <c r="O31" s="2042"/>
      <c r="P31" s="2042"/>
      <c r="Q31" s="2042"/>
      <c r="R31" s="2042"/>
      <c r="S31" s="2042"/>
      <c r="T31" s="2042"/>
      <c r="U31" s="2042"/>
      <c r="V31" s="2042"/>
      <c r="W31" s="2042"/>
      <c r="X31" s="2042"/>
      <c r="Y31" s="2042"/>
      <c r="Z31" s="2042"/>
      <c r="AA31" s="2042"/>
      <c r="AB31" s="2042"/>
      <c r="AC31" s="2042"/>
      <c r="AD31" s="2042"/>
      <c r="AE31" s="2042"/>
      <c r="AF31" s="2042"/>
      <c r="AG31" s="2042"/>
      <c r="AH31" s="2042"/>
      <c r="AI31" s="2042"/>
      <c r="AJ31" s="2042"/>
      <c r="AK31" s="2042"/>
      <c r="AL31" s="2042"/>
      <c r="AM31" s="2042"/>
      <c r="AN31" s="2042"/>
      <c r="AO31" s="2042"/>
      <c r="AP31" s="2042"/>
      <c r="AQ31" s="2042"/>
      <c r="AR31" s="2042"/>
      <c r="AS31" s="2042"/>
      <c r="AT31" s="2042"/>
      <c r="AU31" s="2042"/>
      <c r="AV31" s="2042"/>
      <c r="AW31" s="2042"/>
      <c r="AX31" s="2042"/>
      <c r="AY31" s="2042"/>
      <c r="AZ31" s="2042"/>
      <c r="BA31" s="2042"/>
      <c r="BB31" s="2042"/>
      <c r="BC31" s="2042"/>
      <c r="BD31" s="2042"/>
      <c r="BE31" s="2042"/>
      <c r="BF31" s="2042"/>
      <c r="BG31" s="2042"/>
      <c r="BH31" s="2042"/>
      <c r="BI31" s="2042"/>
      <c r="BJ31" s="2042"/>
      <c r="BK31" s="2042"/>
      <c r="BL31" s="2042"/>
      <c r="BM31" s="2042"/>
      <c r="BN31" s="2042"/>
      <c r="BO31" s="2042"/>
      <c r="BP31" s="2042"/>
      <c r="BQ31" s="2042"/>
      <c r="BR31" s="2042"/>
      <c r="BS31" s="2042"/>
      <c r="BT31" s="2042"/>
      <c r="BU31" s="2042"/>
      <c r="BV31" s="2042"/>
      <c r="BW31" s="2042"/>
      <c r="BX31" s="2042"/>
      <c r="BY31" s="2042"/>
      <c r="BZ31" s="2042"/>
      <c r="CA31" s="2042"/>
      <c r="CB31" s="2042"/>
      <c r="CC31" s="2042"/>
      <c r="CD31" s="2042"/>
      <c r="CE31" s="2042"/>
      <c r="CF31" s="2042"/>
      <c r="CG31" s="2042"/>
      <c r="CH31" s="2042"/>
      <c r="CI31" s="2042"/>
      <c r="CJ31" s="2042"/>
      <c r="CK31" s="2042"/>
      <c r="CL31" s="2042"/>
      <c r="CM31" s="2042"/>
      <c r="CN31" s="2042"/>
      <c r="CO31" s="2042"/>
      <c r="CP31" s="2042"/>
      <c r="CQ31" s="2042"/>
      <c r="CR31" s="2042"/>
      <c r="CS31" s="2042"/>
      <c r="CT31" s="2042"/>
      <c r="CU31" s="2042"/>
      <c r="CV31" s="2042"/>
      <c r="CW31" s="2042"/>
      <c r="CX31" s="2042"/>
      <c r="CY31" s="2042"/>
      <c r="CZ31" s="2042"/>
      <c r="DA31" s="2042"/>
      <c r="DB31" s="2042"/>
      <c r="DC31" s="2042"/>
      <c r="DD31" s="2042"/>
      <c r="DE31" s="2042"/>
      <c r="DF31" s="2042"/>
      <c r="DG31" s="2042"/>
      <c r="DH31" s="2042"/>
      <c r="DI31" s="2042"/>
      <c r="DJ31" s="2042"/>
      <c r="DK31" s="2042"/>
      <c r="DL31" s="2042"/>
      <c r="DM31" s="2042"/>
      <c r="DN31" s="2042"/>
      <c r="DO31" s="2042"/>
      <c r="DP31" s="2042"/>
      <c r="DQ31" s="2042"/>
      <c r="DR31" s="2042"/>
      <c r="DS31" s="2042"/>
      <c r="DT31" s="2042"/>
      <c r="DU31" s="2042"/>
      <c r="DV31" s="2042"/>
      <c r="DW31" s="2042"/>
      <c r="DX31" s="2042"/>
      <c r="DY31" s="2042"/>
      <c r="DZ31" s="2042"/>
      <c r="EA31" s="2042"/>
      <c r="EB31" s="2042"/>
      <c r="EC31" s="2042"/>
      <c r="ED31" s="2042"/>
      <c r="EE31" s="2042"/>
      <c r="EF31" s="2042"/>
      <c r="EG31" s="2042"/>
      <c r="EH31" s="2042"/>
      <c r="EI31" s="2042"/>
      <c r="EJ31" s="2042"/>
      <c r="EK31" s="2042"/>
      <c r="EL31" s="2042"/>
      <c r="EM31" s="2042"/>
      <c r="EN31" s="2042"/>
      <c r="EO31" s="2042"/>
      <c r="EP31" s="2042"/>
      <c r="EQ31" s="2042"/>
      <c r="ER31" s="2042"/>
      <c r="ES31" s="2042"/>
      <c r="ET31" s="2042"/>
      <c r="EU31" s="2042"/>
      <c r="EV31" s="2042"/>
      <c r="EW31" s="2042"/>
      <c r="EX31" s="2042"/>
      <c r="EY31" s="2042"/>
      <c r="EZ31" s="2042"/>
      <c r="FA31" s="2042"/>
      <c r="FB31" s="2042"/>
      <c r="FC31" s="2042"/>
      <c r="FD31" s="2042"/>
      <c r="FE31" s="2042"/>
      <c r="FF31" s="2042"/>
      <c r="FG31" s="2042"/>
      <c r="FH31" s="2042"/>
      <c r="FI31" s="2042"/>
      <c r="FJ31" s="2042"/>
      <c r="FK31" s="2042"/>
      <c r="FL31" s="2042"/>
      <c r="FM31" s="2042"/>
      <c r="FN31" s="2042"/>
      <c r="FO31" s="2042"/>
      <c r="FP31" s="2042"/>
      <c r="FQ31" s="2042"/>
      <c r="FR31" s="2042"/>
      <c r="FS31" s="2042"/>
      <c r="FT31" s="2042"/>
      <c r="FU31" s="2042"/>
      <c r="FV31" s="2042"/>
      <c r="FW31" s="2042"/>
      <c r="FX31" s="2042"/>
      <c r="FY31" s="2042"/>
      <c r="FZ31" s="2042"/>
      <c r="GA31" s="2042"/>
      <c r="GB31" s="2042"/>
      <c r="GC31" s="2042"/>
      <c r="GD31" s="2042"/>
      <c r="GE31" s="2042"/>
      <c r="GF31" s="2042"/>
      <c r="GG31" s="2042"/>
      <c r="GH31" s="2042"/>
      <c r="GI31" s="2042"/>
      <c r="GJ31" s="2042"/>
      <c r="GK31" s="2042"/>
      <c r="GL31" s="2042"/>
      <c r="GM31" s="2042"/>
      <c r="GN31" s="2042"/>
      <c r="GO31" s="2042"/>
      <c r="GP31" s="2042"/>
      <c r="GQ31" s="2042"/>
      <c r="GR31" s="2042"/>
      <c r="GS31" s="2042"/>
      <c r="GT31" s="2042"/>
      <c r="GU31" s="2042"/>
      <c r="GV31" s="2042"/>
      <c r="GW31" s="2042"/>
      <c r="GX31" s="2042"/>
      <c r="GY31" s="2042"/>
      <c r="GZ31" s="2042"/>
      <c r="HA31" s="2042"/>
      <c r="HB31" s="2042"/>
      <c r="HC31" s="2042"/>
      <c r="HD31" s="2042"/>
      <c r="HE31" s="2042"/>
      <c r="HF31" s="2042"/>
      <c r="HG31" s="2042"/>
      <c r="HH31" s="2042"/>
      <c r="HI31" s="2042"/>
      <c r="HJ31" s="2042"/>
      <c r="HK31" s="2042"/>
      <c r="HL31" s="2042"/>
      <c r="HM31" s="2042"/>
      <c r="HN31" s="2042"/>
      <c r="HO31" s="2042"/>
      <c r="HP31" s="2042"/>
      <c r="HQ31" s="2042"/>
      <c r="HR31" s="2042"/>
      <c r="HS31" s="2042"/>
      <c r="HT31" s="2042"/>
      <c r="HU31" s="2042"/>
      <c r="HV31" s="2042"/>
      <c r="HW31" s="2042"/>
      <c r="HX31" s="2042"/>
      <c r="HY31" s="2042"/>
      <c r="HZ31" s="2042"/>
      <c r="IA31" s="2042"/>
      <c r="IB31" s="2042"/>
      <c r="IC31" s="2042"/>
      <c r="ID31" s="2042"/>
      <c r="IE31" s="2042"/>
      <c r="IF31" s="2042"/>
      <c r="IG31" s="2042"/>
      <c r="IH31" s="2042"/>
      <c r="II31" s="2042"/>
      <c r="IJ31" s="2042"/>
      <c r="IK31" s="2042"/>
      <c r="IL31" s="2042"/>
      <c r="IM31" s="2042"/>
      <c r="IN31" s="2042"/>
      <c r="IO31" s="2042"/>
      <c r="IP31" s="2042"/>
      <c r="IQ31" s="2042"/>
      <c r="IR31" s="2042"/>
      <c r="IS31" s="2042"/>
      <c r="IT31" s="2042"/>
      <c r="IU31" s="2042"/>
      <c r="IV31" s="2042"/>
    </row>
    <row r="32" spans="1:256" ht="26.25" customHeight="1">
      <c r="A32" s="2071"/>
      <c r="B32" s="2057" t="s">
        <v>7595</v>
      </c>
      <c r="C32" s="2060">
        <v>1</v>
      </c>
      <c r="D32" s="2060">
        <v>1</v>
      </c>
      <c r="E32" s="2062">
        <v>13.8</v>
      </c>
      <c r="F32" s="2062">
        <v>0.45</v>
      </c>
      <c r="G32" s="2075">
        <v>0.45</v>
      </c>
      <c r="H32" s="2062">
        <f t="shared" ref="H32:H38" si="0">PRODUCT(C32:G32)</f>
        <v>2.79</v>
      </c>
      <c r="I32" s="2068"/>
      <c r="J32" s="2064"/>
      <c r="K32" s="2042"/>
      <c r="L32" s="2042"/>
      <c r="M32" s="2042"/>
      <c r="N32" s="2042"/>
      <c r="O32" s="2042"/>
      <c r="P32" s="2042"/>
      <c r="Q32" s="2042"/>
      <c r="R32" s="2042"/>
      <c r="S32" s="2042"/>
      <c r="T32" s="2042"/>
      <c r="U32" s="2042"/>
      <c r="V32" s="2042"/>
      <c r="W32" s="2042"/>
      <c r="X32" s="2042"/>
      <c r="Y32" s="2042"/>
      <c r="Z32" s="2042"/>
      <c r="AA32" s="2042"/>
      <c r="AB32" s="2042"/>
      <c r="AC32" s="2042"/>
      <c r="AD32" s="2042"/>
      <c r="AE32" s="2042"/>
      <c r="AF32" s="2042"/>
      <c r="AG32" s="2042"/>
      <c r="AH32" s="2042"/>
      <c r="AI32" s="2042"/>
      <c r="AJ32" s="2042"/>
      <c r="AK32" s="2042"/>
      <c r="AL32" s="2042"/>
      <c r="AM32" s="2042"/>
      <c r="AN32" s="2042"/>
      <c r="AO32" s="2042"/>
      <c r="AP32" s="2042"/>
      <c r="AQ32" s="2042"/>
      <c r="AR32" s="2042"/>
      <c r="AS32" s="2042"/>
      <c r="AT32" s="2042"/>
      <c r="AU32" s="2042"/>
      <c r="AV32" s="2042"/>
      <c r="AW32" s="2042"/>
      <c r="AX32" s="2042"/>
      <c r="AY32" s="2042"/>
      <c r="AZ32" s="2042"/>
      <c r="BA32" s="2042"/>
      <c r="BB32" s="2042"/>
      <c r="BC32" s="2042"/>
      <c r="BD32" s="2042"/>
      <c r="BE32" s="2042"/>
      <c r="BF32" s="2042"/>
      <c r="BG32" s="2042"/>
      <c r="BH32" s="2042"/>
      <c r="BI32" s="2042"/>
      <c r="BJ32" s="2042"/>
      <c r="BK32" s="2042"/>
      <c r="BL32" s="2042"/>
      <c r="BM32" s="2042"/>
      <c r="BN32" s="2042"/>
      <c r="BO32" s="2042"/>
      <c r="BP32" s="2042"/>
      <c r="BQ32" s="2042"/>
      <c r="BR32" s="2042"/>
      <c r="BS32" s="2042"/>
      <c r="BT32" s="2042"/>
      <c r="BU32" s="2042"/>
      <c r="BV32" s="2042"/>
      <c r="BW32" s="2042"/>
      <c r="BX32" s="2042"/>
      <c r="BY32" s="2042"/>
      <c r="BZ32" s="2042"/>
      <c r="CA32" s="2042"/>
      <c r="CB32" s="2042"/>
      <c r="CC32" s="2042"/>
      <c r="CD32" s="2042"/>
      <c r="CE32" s="2042"/>
      <c r="CF32" s="2042"/>
      <c r="CG32" s="2042"/>
      <c r="CH32" s="2042"/>
      <c r="CI32" s="2042"/>
      <c r="CJ32" s="2042"/>
      <c r="CK32" s="2042"/>
      <c r="CL32" s="2042"/>
      <c r="CM32" s="2042"/>
      <c r="CN32" s="2042"/>
      <c r="CO32" s="2042"/>
      <c r="CP32" s="2042"/>
      <c r="CQ32" s="2042"/>
      <c r="CR32" s="2042"/>
      <c r="CS32" s="2042"/>
      <c r="CT32" s="2042"/>
      <c r="CU32" s="2042"/>
      <c r="CV32" s="2042"/>
      <c r="CW32" s="2042"/>
      <c r="CX32" s="2042"/>
      <c r="CY32" s="2042"/>
      <c r="CZ32" s="2042"/>
      <c r="DA32" s="2042"/>
      <c r="DB32" s="2042"/>
      <c r="DC32" s="2042"/>
      <c r="DD32" s="2042"/>
      <c r="DE32" s="2042"/>
      <c r="DF32" s="2042"/>
      <c r="DG32" s="2042"/>
      <c r="DH32" s="2042"/>
      <c r="DI32" s="2042"/>
      <c r="DJ32" s="2042"/>
      <c r="DK32" s="2042"/>
      <c r="DL32" s="2042"/>
      <c r="DM32" s="2042"/>
      <c r="DN32" s="2042"/>
      <c r="DO32" s="2042"/>
      <c r="DP32" s="2042"/>
      <c r="DQ32" s="2042"/>
      <c r="DR32" s="2042"/>
      <c r="DS32" s="2042"/>
      <c r="DT32" s="2042"/>
      <c r="DU32" s="2042"/>
      <c r="DV32" s="2042"/>
      <c r="DW32" s="2042"/>
      <c r="DX32" s="2042"/>
      <c r="DY32" s="2042"/>
      <c r="DZ32" s="2042"/>
      <c r="EA32" s="2042"/>
      <c r="EB32" s="2042"/>
      <c r="EC32" s="2042"/>
      <c r="ED32" s="2042"/>
      <c r="EE32" s="2042"/>
      <c r="EF32" s="2042"/>
      <c r="EG32" s="2042"/>
      <c r="EH32" s="2042"/>
      <c r="EI32" s="2042"/>
      <c r="EJ32" s="2042"/>
      <c r="EK32" s="2042"/>
      <c r="EL32" s="2042"/>
      <c r="EM32" s="2042"/>
      <c r="EN32" s="2042"/>
      <c r="EO32" s="2042"/>
      <c r="EP32" s="2042"/>
      <c r="EQ32" s="2042"/>
      <c r="ER32" s="2042"/>
      <c r="ES32" s="2042"/>
      <c r="ET32" s="2042"/>
      <c r="EU32" s="2042"/>
      <c r="EV32" s="2042"/>
      <c r="EW32" s="2042"/>
      <c r="EX32" s="2042"/>
      <c r="EY32" s="2042"/>
      <c r="EZ32" s="2042"/>
      <c r="FA32" s="2042"/>
      <c r="FB32" s="2042"/>
      <c r="FC32" s="2042"/>
      <c r="FD32" s="2042"/>
      <c r="FE32" s="2042"/>
      <c r="FF32" s="2042"/>
      <c r="FG32" s="2042"/>
      <c r="FH32" s="2042"/>
      <c r="FI32" s="2042"/>
      <c r="FJ32" s="2042"/>
      <c r="FK32" s="2042"/>
      <c r="FL32" s="2042"/>
      <c r="FM32" s="2042"/>
      <c r="FN32" s="2042"/>
      <c r="FO32" s="2042"/>
      <c r="FP32" s="2042"/>
      <c r="FQ32" s="2042"/>
      <c r="FR32" s="2042"/>
      <c r="FS32" s="2042"/>
      <c r="FT32" s="2042"/>
      <c r="FU32" s="2042"/>
      <c r="FV32" s="2042"/>
      <c r="FW32" s="2042"/>
      <c r="FX32" s="2042"/>
      <c r="FY32" s="2042"/>
      <c r="FZ32" s="2042"/>
      <c r="GA32" s="2042"/>
      <c r="GB32" s="2042"/>
      <c r="GC32" s="2042"/>
      <c r="GD32" s="2042"/>
      <c r="GE32" s="2042"/>
      <c r="GF32" s="2042"/>
      <c r="GG32" s="2042"/>
      <c r="GH32" s="2042"/>
      <c r="GI32" s="2042"/>
      <c r="GJ32" s="2042"/>
      <c r="GK32" s="2042"/>
      <c r="GL32" s="2042"/>
      <c r="GM32" s="2042"/>
      <c r="GN32" s="2042"/>
      <c r="GO32" s="2042"/>
      <c r="GP32" s="2042"/>
      <c r="GQ32" s="2042"/>
      <c r="GR32" s="2042"/>
      <c r="GS32" s="2042"/>
      <c r="GT32" s="2042"/>
      <c r="GU32" s="2042"/>
      <c r="GV32" s="2042"/>
      <c r="GW32" s="2042"/>
      <c r="GX32" s="2042"/>
      <c r="GY32" s="2042"/>
      <c r="GZ32" s="2042"/>
      <c r="HA32" s="2042"/>
      <c r="HB32" s="2042"/>
      <c r="HC32" s="2042"/>
      <c r="HD32" s="2042"/>
      <c r="HE32" s="2042"/>
      <c r="HF32" s="2042"/>
      <c r="HG32" s="2042"/>
      <c r="HH32" s="2042"/>
      <c r="HI32" s="2042"/>
      <c r="HJ32" s="2042"/>
      <c r="HK32" s="2042"/>
      <c r="HL32" s="2042"/>
      <c r="HM32" s="2042"/>
      <c r="HN32" s="2042"/>
      <c r="HO32" s="2042"/>
      <c r="HP32" s="2042"/>
      <c r="HQ32" s="2042"/>
      <c r="HR32" s="2042"/>
      <c r="HS32" s="2042"/>
      <c r="HT32" s="2042"/>
      <c r="HU32" s="2042"/>
      <c r="HV32" s="2042"/>
      <c r="HW32" s="2042"/>
      <c r="HX32" s="2042"/>
      <c r="HY32" s="2042"/>
      <c r="HZ32" s="2042"/>
      <c r="IA32" s="2042"/>
      <c r="IB32" s="2042"/>
      <c r="IC32" s="2042"/>
      <c r="ID32" s="2042"/>
      <c r="IE32" s="2042"/>
      <c r="IF32" s="2042"/>
      <c r="IG32" s="2042"/>
      <c r="IH32" s="2042"/>
      <c r="II32" s="2042"/>
      <c r="IJ32" s="2042"/>
      <c r="IK32" s="2042"/>
      <c r="IL32" s="2042"/>
      <c r="IM32" s="2042"/>
      <c r="IN32" s="2042"/>
      <c r="IO32" s="2042"/>
      <c r="IP32" s="2042"/>
      <c r="IQ32" s="2042"/>
      <c r="IR32" s="2042"/>
      <c r="IS32" s="2042"/>
      <c r="IT32" s="2042"/>
      <c r="IU32" s="2042"/>
      <c r="IV32" s="2042"/>
    </row>
    <row r="33" spans="1:256" ht="26.25" customHeight="1">
      <c r="A33" s="2071"/>
      <c r="B33" s="2057" t="s">
        <v>7596</v>
      </c>
      <c r="C33" s="2060">
        <v>1</v>
      </c>
      <c r="D33" s="2060">
        <v>1</v>
      </c>
      <c r="E33" s="2062">
        <v>13.36</v>
      </c>
      <c r="F33" s="2062">
        <v>0.34</v>
      </c>
      <c r="G33" s="2075">
        <v>0.6</v>
      </c>
      <c r="H33" s="2062">
        <f t="shared" si="0"/>
        <v>2.73</v>
      </c>
      <c r="I33" s="2068"/>
      <c r="J33" s="2064"/>
      <c r="K33" s="2042"/>
      <c r="L33" s="2042"/>
      <c r="M33" s="2042"/>
      <c r="N33" s="2042"/>
      <c r="O33" s="2042"/>
      <c r="P33" s="2042"/>
      <c r="Q33" s="2042"/>
      <c r="R33" s="2042"/>
      <c r="S33" s="2042"/>
      <c r="T33" s="2042"/>
      <c r="U33" s="2042"/>
      <c r="V33" s="2042"/>
      <c r="W33" s="2042"/>
      <c r="X33" s="2042"/>
      <c r="Y33" s="2042"/>
      <c r="Z33" s="2042"/>
      <c r="AA33" s="2042"/>
      <c r="AB33" s="2042"/>
      <c r="AC33" s="2042"/>
      <c r="AD33" s="2042"/>
      <c r="AE33" s="2042"/>
      <c r="AF33" s="2042"/>
      <c r="AG33" s="2042"/>
      <c r="AH33" s="2042"/>
      <c r="AI33" s="2042"/>
      <c r="AJ33" s="2042"/>
      <c r="AK33" s="2042"/>
      <c r="AL33" s="2042"/>
      <c r="AM33" s="2042"/>
      <c r="AN33" s="2042"/>
      <c r="AO33" s="2042"/>
      <c r="AP33" s="2042"/>
      <c r="AQ33" s="2042"/>
      <c r="AR33" s="2042"/>
      <c r="AS33" s="2042"/>
      <c r="AT33" s="2042"/>
      <c r="AU33" s="2042"/>
      <c r="AV33" s="2042"/>
      <c r="AW33" s="2042"/>
      <c r="AX33" s="2042"/>
      <c r="AY33" s="2042"/>
      <c r="AZ33" s="2042"/>
      <c r="BA33" s="2042"/>
      <c r="BB33" s="2042"/>
      <c r="BC33" s="2042"/>
      <c r="BD33" s="2042"/>
      <c r="BE33" s="2042"/>
      <c r="BF33" s="2042"/>
      <c r="BG33" s="2042"/>
      <c r="BH33" s="2042"/>
      <c r="BI33" s="2042"/>
      <c r="BJ33" s="2042"/>
      <c r="BK33" s="2042"/>
      <c r="BL33" s="2042"/>
      <c r="BM33" s="2042"/>
      <c r="BN33" s="2042"/>
      <c r="BO33" s="2042"/>
      <c r="BP33" s="2042"/>
      <c r="BQ33" s="2042"/>
      <c r="BR33" s="2042"/>
      <c r="BS33" s="2042"/>
      <c r="BT33" s="2042"/>
      <c r="BU33" s="2042"/>
      <c r="BV33" s="2042"/>
      <c r="BW33" s="2042"/>
      <c r="BX33" s="2042"/>
      <c r="BY33" s="2042"/>
      <c r="BZ33" s="2042"/>
      <c r="CA33" s="2042"/>
      <c r="CB33" s="2042"/>
      <c r="CC33" s="2042"/>
      <c r="CD33" s="2042"/>
      <c r="CE33" s="2042"/>
      <c r="CF33" s="2042"/>
      <c r="CG33" s="2042"/>
      <c r="CH33" s="2042"/>
      <c r="CI33" s="2042"/>
      <c r="CJ33" s="2042"/>
      <c r="CK33" s="2042"/>
      <c r="CL33" s="2042"/>
      <c r="CM33" s="2042"/>
      <c r="CN33" s="2042"/>
      <c r="CO33" s="2042"/>
      <c r="CP33" s="2042"/>
      <c r="CQ33" s="2042"/>
      <c r="CR33" s="2042"/>
      <c r="CS33" s="2042"/>
      <c r="CT33" s="2042"/>
      <c r="CU33" s="2042"/>
      <c r="CV33" s="2042"/>
      <c r="CW33" s="2042"/>
      <c r="CX33" s="2042"/>
      <c r="CY33" s="2042"/>
      <c r="CZ33" s="2042"/>
      <c r="DA33" s="2042"/>
      <c r="DB33" s="2042"/>
      <c r="DC33" s="2042"/>
      <c r="DD33" s="2042"/>
      <c r="DE33" s="2042"/>
      <c r="DF33" s="2042"/>
      <c r="DG33" s="2042"/>
      <c r="DH33" s="2042"/>
      <c r="DI33" s="2042"/>
      <c r="DJ33" s="2042"/>
      <c r="DK33" s="2042"/>
      <c r="DL33" s="2042"/>
      <c r="DM33" s="2042"/>
      <c r="DN33" s="2042"/>
      <c r="DO33" s="2042"/>
      <c r="DP33" s="2042"/>
      <c r="DQ33" s="2042"/>
      <c r="DR33" s="2042"/>
      <c r="DS33" s="2042"/>
      <c r="DT33" s="2042"/>
      <c r="DU33" s="2042"/>
      <c r="DV33" s="2042"/>
      <c r="DW33" s="2042"/>
      <c r="DX33" s="2042"/>
      <c r="DY33" s="2042"/>
      <c r="DZ33" s="2042"/>
      <c r="EA33" s="2042"/>
      <c r="EB33" s="2042"/>
      <c r="EC33" s="2042"/>
      <c r="ED33" s="2042"/>
      <c r="EE33" s="2042"/>
      <c r="EF33" s="2042"/>
      <c r="EG33" s="2042"/>
      <c r="EH33" s="2042"/>
      <c r="EI33" s="2042"/>
      <c r="EJ33" s="2042"/>
      <c r="EK33" s="2042"/>
      <c r="EL33" s="2042"/>
      <c r="EM33" s="2042"/>
      <c r="EN33" s="2042"/>
      <c r="EO33" s="2042"/>
      <c r="EP33" s="2042"/>
      <c r="EQ33" s="2042"/>
      <c r="ER33" s="2042"/>
      <c r="ES33" s="2042"/>
      <c r="ET33" s="2042"/>
      <c r="EU33" s="2042"/>
      <c r="EV33" s="2042"/>
      <c r="EW33" s="2042"/>
      <c r="EX33" s="2042"/>
      <c r="EY33" s="2042"/>
      <c r="EZ33" s="2042"/>
      <c r="FA33" s="2042"/>
      <c r="FB33" s="2042"/>
      <c r="FC33" s="2042"/>
      <c r="FD33" s="2042"/>
      <c r="FE33" s="2042"/>
      <c r="FF33" s="2042"/>
      <c r="FG33" s="2042"/>
      <c r="FH33" s="2042"/>
      <c r="FI33" s="2042"/>
      <c r="FJ33" s="2042"/>
      <c r="FK33" s="2042"/>
      <c r="FL33" s="2042"/>
      <c r="FM33" s="2042"/>
      <c r="FN33" s="2042"/>
      <c r="FO33" s="2042"/>
      <c r="FP33" s="2042"/>
      <c r="FQ33" s="2042"/>
      <c r="FR33" s="2042"/>
      <c r="FS33" s="2042"/>
      <c r="FT33" s="2042"/>
      <c r="FU33" s="2042"/>
      <c r="FV33" s="2042"/>
      <c r="FW33" s="2042"/>
      <c r="FX33" s="2042"/>
      <c r="FY33" s="2042"/>
      <c r="FZ33" s="2042"/>
      <c r="GA33" s="2042"/>
      <c r="GB33" s="2042"/>
      <c r="GC33" s="2042"/>
      <c r="GD33" s="2042"/>
      <c r="GE33" s="2042"/>
      <c r="GF33" s="2042"/>
      <c r="GG33" s="2042"/>
      <c r="GH33" s="2042"/>
      <c r="GI33" s="2042"/>
      <c r="GJ33" s="2042"/>
      <c r="GK33" s="2042"/>
      <c r="GL33" s="2042"/>
      <c r="GM33" s="2042"/>
      <c r="GN33" s="2042"/>
      <c r="GO33" s="2042"/>
      <c r="GP33" s="2042"/>
      <c r="GQ33" s="2042"/>
      <c r="GR33" s="2042"/>
      <c r="GS33" s="2042"/>
      <c r="GT33" s="2042"/>
      <c r="GU33" s="2042"/>
      <c r="GV33" s="2042"/>
      <c r="GW33" s="2042"/>
      <c r="GX33" s="2042"/>
      <c r="GY33" s="2042"/>
      <c r="GZ33" s="2042"/>
      <c r="HA33" s="2042"/>
      <c r="HB33" s="2042"/>
      <c r="HC33" s="2042"/>
      <c r="HD33" s="2042"/>
      <c r="HE33" s="2042"/>
      <c r="HF33" s="2042"/>
      <c r="HG33" s="2042"/>
      <c r="HH33" s="2042"/>
      <c r="HI33" s="2042"/>
      <c r="HJ33" s="2042"/>
      <c r="HK33" s="2042"/>
      <c r="HL33" s="2042"/>
      <c r="HM33" s="2042"/>
      <c r="HN33" s="2042"/>
      <c r="HO33" s="2042"/>
      <c r="HP33" s="2042"/>
      <c r="HQ33" s="2042"/>
      <c r="HR33" s="2042"/>
      <c r="HS33" s="2042"/>
      <c r="HT33" s="2042"/>
      <c r="HU33" s="2042"/>
      <c r="HV33" s="2042"/>
      <c r="HW33" s="2042"/>
      <c r="HX33" s="2042"/>
      <c r="HY33" s="2042"/>
      <c r="HZ33" s="2042"/>
      <c r="IA33" s="2042"/>
      <c r="IB33" s="2042"/>
      <c r="IC33" s="2042"/>
      <c r="ID33" s="2042"/>
      <c r="IE33" s="2042"/>
      <c r="IF33" s="2042"/>
      <c r="IG33" s="2042"/>
      <c r="IH33" s="2042"/>
      <c r="II33" s="2042"/>
      <c r="IJ33" s="2042"/>
      <c r="IK33" s="2042"/>
      <c r="IL33" s="2042"/>
      <c r="IM33" s="2042"/>
      <c r="IN33" s="2042"/>
      <c r="IO33" s="2042"/>
      <c r="IP33" s="2042"/>
      <c r="IQ33" s="2042"/>
      <c r="IR33" s="2042"/>
      <c r="IS33" s="2042"/>
      <c r="IT33" s="2042"/>
      <c r="IU33" s="2042"/>
      <c r="IV33" s="2042"/>
    </row>
    <row r="34" spans="1:256" ht="26.25" customHeight="1">
      <c r="A34" s="2071"/>
      <c r="B34" s="2057" t="s">
        <v>7597</v>
      </c>
      <c r="C34" s="2060">
        <v>1</v>
      </c>
      <c r="D34" s="2060">
        <v>1</v>
      </c>
      <c r="E34" s="2062">
        <v>12.92</v>
      </c>
      <c r="F34" s="2062">
        <v>0.23</v>
      </c>
      <c r="G34" s="2075">
        <v>0.8</v>
      </c>
      <c r="H34" s="2062">
        <f t="shared" si="0"/>
        <v>2.38</v>
      </c>
      <c r="I34" s="2068"/>
      <c r="J34" s="2064"/>
      <c r="K34" s="2042"/>
      <c r="L34" s="2042"/>
      <c r="M34" s="2042"/>
      <c r="N34" s="2042"/>
      <c r="O34" s="2042"/>
      <c r="P34" s="2042"/>
      <c r="Q34" s="2042"/>
      <c r="R34" s="2042"/>
      <c r="S34" s="2042"/>
      <c r="T34" s="2042"/>
      <c r="U34" s="2042"/>
      <c r="V34" s="2042"/>
      <c r="W34" s="2042"/>
      <c r="X34" s="2042"/>
      <c r="Y34" s="2042"/>
      <c r="Z34" s="2042"/>
      <c r="AA34" s="2042"/>
      <c r="AB34" s="2042"/>
      <c r="AC34" s="2042"/>
      <c r="AD34" s="2042"/>
      <c r="AE34" s="2042"/>
      <c r="AF34" s="2042"/>
      <c r="AG34" s="2042"/>
      <c r="AH34" s="2042"/>
      <c r="AI34" s="2042"/>
      <c r="AJ34" s="2042"/>
      <c r="AK34" s="2042"/>
      <c r="AL34" s="2042"/>
      <c r="AM34" s="2042"/>
      <c r="AN34" s="2042"/>
      <c r="AO34" s="2042"/>
      <c r="AP34" s="2042"/>
      <c r="AQ34" s="2042"/>
      <c r="AR34" s="2042"/>
      <c r="AS34" s="2042"/>
      <c r="AT34" s="2042"/>
      <c r="AU34" s="2042"/>
      <c r="AV34" s="2042"/>
      <c r="AW34" s="2042"/>
      <c r="AX34" s="2042"/>
      <c r="AY34" s="2042"/>
      <c r="AZ34" s="2042"/>
      <c r="BA34" s="2042"/>
      <c r="BB34" s="2042"/>
      <c r="BC34" s="2042"/>
      <c r="BD34" s="2042"/>
      <c r="BE34" s="2042"/>
      <c r="BF34" s="2042"/>
      <c r="BG34" s="2042"/>
      <c r="BH34" s="2042"/>
      <c r="BI34" s="2042"/>
      <c r="BJ34" s="2042"/>
      <c r="BK34" s="2042"/>
      <c r="BL34" s="2042"/>
      <c r="BM34" s="2042"/>
      <c r="BN34" s="2042"/>
      <c r="BO34" s="2042"/>
      <c r="BP34" s="2042"/>
      <c r="BQ34" s="2042"/>
      <c r="BR34" s="2042"/>
      <c r="BS34" s="2042"/>
      <c r="BT34" s="2042"/>
      <c r="BU34" s="2042"/>
      <c r="BV34" s="2042"/>
      <c r="BW34" s="2042"/>
      <c r="BX34" s="2042"/>
      <c r="BY34" s="2042"/>
      <c r="BZ34" s="2042"/>
      <c r="CA34" s="2042"/>
      <c r="CB34" s="2042"/>
      <c r="CC34" s="2042"/>
      <c r="CD34" s="2042"/>
      <c r="CE34" s="2042"/>
      <c r="CF34" s="2042"/>
      <c r="CG34" s="2042"/>
      <c r="CH34" s="2042"/>
      <c r="CI34" s="2042"/>
      <c r="CJ34" s="2042"/>
      <c r="CK34" s="2042"/>
      <c r="CL34" s="2042"/>
      <c r="CM34" s="2042"/>
      <c r="CN34" s="2042"/>
      <c r="CO34" s="2042"/>
      <c r="CP34" s="2042"/>
      <c r="CQ34" s="2042"/>
      <c r="CR34" s="2042"/>
      <c r="CS34" s="2042"/>
      <c r="CT34" s="2042"/>
      <c r="CU34" s="2042"/>
      <c r="CV34" s="2042"/>
      <c r="CW34" s="2042"/>
      <c r="CX34" s="2042"/>
      <c r="CY34" s="2042"/>
      <c r="CZ34" s="2042"/>
      <c r="DA34" s="2042"/>
      <c r="DB34" s="2042"/>
      <c r="DC34" s="2042"/>
      <c r="DD34" s="2042"/>
      <c r="DE34" s="2042"/>
      <c r="DF34" s="2042"/>
      <c r="DG34" s="2042"/>
      <c r="DH34" s="2042"/>
      <c r="DI34" s="2042"/>
      <c r="DJ34" s="2042"/>
      <c r="DK34" s="2042"/>
      <c r="DL34" s="2042"/>
      <c r="DM34" s="2042"/>
      <c r="DN34" s="2042"/>
      <c r="DO34" s="2042"/>
      <c r="DP34" s="2042"/>
      <c r="DQ34" s="2042"/>
      <c r="DR34" s="2042"/>
      <c r="DS34" s="2042"/>
      <c r="DT34" s="2042"/>
      <c r="DU34" s="2042"/>
      <c r="DV34" s="2042"/>
      <c r="DW34" s="2042"/>
      <c r="DX34" s="2042"/>
      <c r="DY34" s="2042"/>
      <c r="DZ34" s="2042"/>
      <c r="EA34" s="2042"/>
      <c r="EB34" s="2042"/>
      <c r="EC34" s="2042"/>
      <c r="ED34" s="2042"/>
      <c r="EE34" s="2042"/>
      <c r="EF34" s="2042"/>
      <c r="EG34" s="2042"/>
      <c r="EH34" s="2042"/>
      <c r="EI34" s="2042"/>
      <c r="EJ34" s="2042"/>
      <c r="EK34" s="2042"/>
      <c r="EL34" s="2042"/>
      <c r="EM34" s="2042"/>
      <c r="EN34" s="2042"/>
      <c r="EO34" s="2042"/>
      <c r="EP34" s="2042"/>
      <c r="EQ34" s="2042"/>
      <c r="ER34" s="2042"/>
      <c r="ES34" s="2042"/>
      <c r="ET34" s="2042"/>
      <c r="EU34" s="2042"/>
      <c r="EV34" s="2042"/>
      <c r="EW34" s="2042"/>
      <c r="EX34" s="2042"/>
      <c r="EY34" s="2042"/>
      <c r="EZ34" s="2042"/>
      <c r="FA34" s="2042"/>
      <c r="FB34" s="2042"/>
      <c r="FC34" s="2042"/>
      <c r="FD34" s="2042"/>
      <c r="FE34" s="2042"/>
      <c r="FF34" s="2042"/>
      <c r="FG34" s="2042"/>
      <c r="FH34" s="2042"/>
      <c r="FI34" s="2042"/>
      <c r="FJ34" s="2042"/>
      <c r="FK34" s="2042"/>
      <c r="FL34" s="2042"/>
      <c r="FM34" s="2042"/>
      <c r="FN34" s="2042"/>
      <c r="FO34" s="2042"/>
      <c r="FP34" s="2042"/>
      <c r="FQ34" s="2042"/>
      <c r="FR34" s="2042"/>
      <c r="FS34" s="2042"/>
      <c r="FT34" s="2042"/>
      <c r="FU34" s="2042"/>
      <c r="FV34" s="2042"/>
      <c r="FW34" s="2042"/>
      <c r="FX34" s="2042"/>
      <c r="FY34" s="2042"/>
      <c r="FZ34" s="2042"/>
      <c r="GA34" s="2042"/>
      <c r="GB34" s="2042"/>
      <c r="GC34" s="2042"/>
      <c r="GD34" s="2042"/>
      <c r="GE34" s="2042"/>
      <c r="GF34" s="2042"/>
      <c r="GG34" s="2042"/>
      <c r="GH34" s="2042"/>
      <c r="GI34" s="2042"/>
      <c r="GJ34" s="2042"/>
      <c r="GK34" s="2042"/>
      <c r="GL34" s="2042"/>
      <c r="GM34" s="2042"/>
      <c r="GN34" s="2042"/>
      <c r="GO34" s="2042"/>
      <c r="GP34" s="2042"/>
      <c r="GQ34" s="2042"/>
      <c r="GR34" s="2042"/>
      <c r="GS34" s="2042"/>
      <c r="GT34" s="2042"/>
      <c r="GU34" s="2042"/>
      <c r="GV34" s="2042"/>
      <c r="GW34" s="2042"/>
      <c r="GX34" s="2042"/>
      <c r="GY34" s="2042"/>
      <c r="GZ34" s="2042"/>
      <c r="HA34" s="2042"/>
      <c r="HB34" s="2042"/>
      <c r="HC34" s="2042"/>
      <c r="HD34" s="2042"/>
      <c r="HE34" s="2042"/>
      <c r="HF34" s="2042"/>
      <c r="HG34" s="2042"/>
      <c r="HH34" s="2042"/>
      <c r="HI34" s="2042"/>
      <c r="HJ34" s="2042"/>
      <c r="HK34" s="2042"/>
      <c r="HL34" s="2042"/>
      <c r="HM34" s="2042"/>
      <c r="HN34" s="2042"/>
      <c r="HO34" s="2042"/>
      <c r="HP34" s="2042"/>
      <c r="HQ34" s="2042"/>
      <c r="HR34" s="2042"/>
      <c r="HS34" s="2042"/>
      <c r="HT34" s="2042"/>
      <c r="HU34" s="2042"/>
      <c r="HV34" s="2042"/>
      <c r="HW34" s="2042"/>
      <c r="HX34" s="2042"/>
      <c r="HY34" s="2042"/>
      <c r="HZ34" s="2042"/>
      <c r="IA34" s="2042"/>
      <c r="IB34" s="2042"/>
      <c r="IC34" s="2042"/>
      <c r="ID34" s="2042"/>
      <c r="IE34" s="2042"/>
      <c r="IF34" s="2042"/>
      <c r="IG34" s="2042"/>
      <c r="IH34" s="2042"/>
      <c r="II34" s="2042"/>
      <c r="IJ34" s="2042"/>
      <c r="IK34" s="2042"/>
      <c r="IL34" s="2042"/>
      <c r="IM34" s="2042"/>
      <c r="IN34" s="2042"/>
      <c r="IO34" s="2042"/>
      <c r="IP34" s="2042"/>
      <c r="IQ34" s="2042"/>
      <c r="IR34" s="2042"/>
      <c r="IS34" s="2042"/>
      <c r="IT34" s="2042"/>
      <c r="IU34" s="2042"/>
      <c r="IV34" s="2042"/>
    </row>
    <row r="35" spans="1:256" ht="26.25" customHeight="1">
      <c r="A35" s="2071"/>
      <c r="B35" s="2057" t="s">
        <v>7598</v>
      </c>
      <c r="C35" s="2060">
        <v>1</v>
      </c>
      <c r="D35" s="2060">
        <v>2</v>
      </c>
      <c r="E35" s="2062">
        <v>3.32</v>
      </c>
      <c r="F35" s="2062">
        <v>0.23</v>
      </c>
      <c r="G35" s="2075">
        <v>1</v>
      </c>
      <c r="H35" s="2062">
        <f t="shared" si="0"/>
        <v>1.53</v>
      </c>
      <c r="I35" s="2068"/>
      <c r="J35" s="2064"/>
      <c r="K35" s="2042"/>
      <c r="L35" s="2042"/>
      <c r="M35" s="2042"/>
      <c r="N35" s="2042"/>
      <c r="O35" s="2042"/>
      <c r="P35" s="2042"/>
      <c r="Q35" s="2042"/>
      <c r="R35" s="2042"/>
      <c r="S35" s="2042"/>
      <c r="T35" s="2042"/>
      <c r="U35" s="2042"/>
      <c r="V35" s="2042"/>
      <c r="W35" s="2042"/>
      <c r="X35" s="2042"/>
      <c r="Y35" s="2042"/>
      <c r="Z35" s="2042"/>
      <c r="AA35" s="2042"/>
      <c r="AB35" s="2042"/>
      <c r="AC35" s="2042"/>
      <c r="AD35" s="2042"/>
      <c r="AE35" s="2042"/>
      <c r="AF35" s="2042"/>
      <c r="AG35" s="2042"/>
      <c r="AH35" s="2042"/>
      <c r="AI35" s="2042"/>
      <c r="AJ35" s="2042"/>
      <c r="AK35" s="2042"/>
      <c r="AL35" s="2042"/>
      <c r="AM35" s="2042"/>
      <c r="AN35" s="2042"/>
      <c r="AO35" s="2042"/>
      <c r="AP35" s="2042"/>
      <c r="AQ35" s="2042"/>
      <c r="AR35" s="2042"/>
      <c r="AS35" s="2042"/>
      <c r="AT35" s="2042"/>
      <c r="AU35" s="2042"/>
      <c r="AV35" s="2042"/>
      <c r="AW35" s="2042"/>
      <c r="AX35" s="2042"/>
      <c r="AY35" s="2042"/>
      <c r="AZ35" s="2042"/>
      <c r="BA35" s="2042"/>
      <c r="BB35" s="2042"/>
      <c r="BC35" s="2042"/>
      <c r="BD35" s="2042"/>
      <c r="BE35" s="2042"/>
      <c r="BF35" s="2042"/>
      <c r="BG35" s="2042"/>
      <c r="BH35" s="2042"/>
      <c r="BI35" s="2042"/>
      <c r="BJ35" s="2042"/>
      <c r="BK35" s="2042"/>
      <c r="BL35" s="2042"/>
      <c r="BM35" s="2042"/>
      <c r="BN35" s="2042"/>
      <c r="BO35" s="2042"/>
      <c r="BP35" s="2042"/>
      <c r="BQ35" s="2042"/>
      <c r="BR35" s="2042"/>
      <c r="BS35" s="2042"/>
      <c r="BT35" s="2042"/>
      <c r="BU35" s="2042"/>
      <c r="BV35" s="2042"/>
      <c r="BW35" s="2042"/>
      <c r="BX35" s="2042"/>
      <c r="BY35" s="2042"/>
      <c r="BZ35" s="2042"/>
      <c r="CA35" s="2042"/>
      <c r="CB35" s="2042"/>
      <c r="CC35" s="2042"/>
      <c r="CD35" s="2042"/>
      <c r="CE35" s="2042"/>
      <c r="CF35" s="2042"/>
      <c r="CG35" s="2042"/>
      <c r="CH35" s="2042"/>
      <c r="CI35" s="2042"/>
      <c r="CJ35" s="2042"/>
      <c r="CK35" s="2042"/>
      <c r="CL35" s="2042"/>
      <c r="CM35" s="2042"/>
      <c r="CN35" s="2042"/>
      <c r="CO35" s="2042"/>
      <c r="CP35" s="2042"/>
      <c r="CQ35" s="2042"/>
      <c r="CR35" s="2042"/>
      <c r="CS35" s="2042"/>
      <c r="CT35" s="2042"/>
      <c r="CU35" s="2042"/>
      <c r="CV35" s="2042"/>
      <c r="CW35" s="2042"/>
      <c r="CX35" s="2042"/>
      <c r="CY35" s="2042"/>
      <c r="CZ35" s="2042"/>
      <c r="DA35" s="2042"/>
      <c r="DB35" s="2042"/>
      <c r="DC35" s="2042"/>
      <c r="DD35" s="2042"/>
      <c r="DE35" s="2042"/>
      <c r="DF35" s="2042"/>
      <c r="DG35" s="2042"/>
      <c r="DH35" s="2042"/>
      <c r="DI35" s="2042"/>
      <c r="DJ35" s="2042"/>
      <c r="DK35" s="2042"/>
      <c r="DL35" s="2042"/>
      <c r="DM35" s="2042"/>
      <c r="DN35" s="2042"/>
      <c r="DO35" s="2042"/>
      <c r="DP35" s="2042"/>
      <c r="DQ35" s="2042"/>
      <c r="DR35" s="2042"/>
      <c r="DS35" s="2042"/>
      <c r="DT35" s="2042"/>
      <c r="DU35" s="2042"/>
      <c r="DV35" s="2042"/>
      <c r="DW35" s="2042"/>
      <c r="DX35" s="2042"/>
      <c r="DY35" s="2042"/>
      <c r="DZ35" s="2042"/>
      <c r="EA35" s="2042"/>
      <c r="EB35" s="2042"/>
      <c r="EC35" s="2042"/>
      <c r="ED35" s="2042"/>
      <c r="EE35" s="2042"/>
      <c r="EF35" s="2042"/>
      <c r="EG35" s="2042"/>
      <c r="EH35" s="2042"/>
      <c r="EI35" s="2042"/>
      <c r="EJ35" s="2042"/>
      <c r="EK35" s="2042"/>
      <c r="EL35" s="2042"/>
      <c r="EM35" s="2042"/>
      <c r="EN35" s="2042"/>
      <c r="EO35" s="2042"/>
      <c r="EP35" s="2042"/>
      <c r="EQ35" s="2042"/>
      <c r="ER35" s="2042"/>
      <c r="ES35" s="2042"/>
      <c r="ET35" s="2042"/>
      <c r="EU35" s="2042"/>
      <c r="EV35" s="2042"/>
      <c r="EW35" s="2042"/>
      <c r="EX35" s="2042"/>
      <c r="EY35" s="2042"/>
      <c r="EZ35" s="2042"/>
      <c r="FA35" s="2042"/>
      <c r="FB35" s="2042"/>
      <c r="FC35" s="2042"/>
      <c r="FD35" s="2042"/>
      <c r="FE35" s="2042"/>
      <c r="FF35" s="2042"/>
      <c r="FG35" s="2042"/>
      <c r="FH35" s="2042"/>
      <c r="FI35" s="2042"/>
      <c r="FJ35" s="2042"/>
      <c r="FK35" s="2042"/>
      <c r="FL35" s="2042"/>
      <c r="FM35" s="2042"/>
      <c r="FN35" s="2042"/>
      <c r="FO35" s="2042"/>
      <c r="FP35" s="2042"/>
      <c r="FQ35" s="2042"/>
      <c r="FR35" s="2042"/>
      <c r="FS35" s="2042"/>
      <c r="FT35" s="2042"/>
      <c r="FU35" s="2042"/>
      <c r="FV35" s="2042"/>
      <c r="FW35" s="2042"/>
      <c r="FX35" s="2042"/>
      <c r="FY35" s="2042"/>
      <c r="FZ35" s="2042"/>
      <c r="GA35" s="2042"/>
      <c r="GB35" s="2042"/>
      <c r="GC35" s="2042"/>
      <c r="GD35" s="2042"/>
      <c r="GE35" s="2042"/>
      <c r="GF35" s="2042"/>
      <c r="GG35" s="2042"/>
      <c r="GH35" s="2042"/>
      <c r="GI35" s="2042"/>
      <c r="GJ35" s="2042"/>
      <c r="GK35" s="2042"/>
      <c r="GL35" s="2042"/>
      <c r="GM35" s="2042"/>
      <c r="GN35" s="2042"/>
      <c r="GO35" s="2042"/>
      <c r="GP35" s="2042"/>
      <c r="GQ35" s="2042"/>
      <c r="GR35" s="2042"/>
      <c r="GS35" s="2042"/>
      <c r="GT35" s="2042"/>
      <c r="GU35" s="2042"/>
      <c r="GV35" s="2042"/>
      <c r="GW35" s="2042"/>
      <c r="GX35" s="2042"/>
      <c r="GY35" s="2042"/>
      <c r="GZ35" s="2042"/>
      <c r="HA35" s="2042"/>
      <c r="HB35" s="2042"/>
      <c r="HC35" s="2042"/>
      <c r="HD35" s="2042"/>
      <c r="HE35" s="2042"/>
      <c r="HF35" s="2042"/>
      <c r="HG35" s="2042"/>
      <c r="HH35" s="2042"/>
      <c r="HI35" s="2042"/>
      <c r="HJ35" s="2042"/>
      <c r="HK35" s="2042"/>
      <c r="HL35" s="2042"/>
      <c r="HM35" s="2042"/>
      <c r="HN35" s="2042"/>
      <c r="HO35" s="2042"/>
      <c r="HP35" s="2042"/>
      <c r="HQ35" s="2042"/>
      <c r="HR35" s="2042"/>
      <c r="HS35" s="2042"/>
      <c r="HT35" s="2042"/>
      <c r="HU35" s="2042"/>
      <c r="HV35" s="2042"/>
      <c r="HW35" s="2042"/>
      <c r="HX35" s="2042"/>
      <c r="HY35" s="2042"/>
      <c r="HZ35" s="2042"/>
      <c r="IA35" s="2042"/>
      <c r="IB35" s="2042"/>
      <c r="IC35" s="2042"/>
      <c r="ID35" s="2042"/>
      <c r="IE35" s="2042"/>
      <c r="IF35" s="2042"/>
      <c r="IG35" s="2042"/>
      <c r="IH35" s="2042"/>
      <c r="II35" s="2042"/>
      <c r="IJ35" s="2042"/>
      <c r="IK35" s="2042"/>
      <c r="IL35" s="2042"/>
      <c r="IM35" s="2042"/>
      <c r="IN35" s="2042"/>
      <c r="IO35" s="2042"/>
      <c r="IP35" s="2042"/>
      <c r="IQ35" s="2042"/>
      <c r="IR35" s="2042"/>
      <c r="IS35" s="2042"/>
      <c r="IT35" s="2042"/>
      <c r="IU35" s="2042"/>
      <c r="IV35" s="2042"/>
    </row>
    <row r="36" spans="1:256" ht="26.25" customHeight="1">
      <c r="A36" s="2071"/>
      <c r="B36" s="2057" t="s">
        <v>7599</v>
      </c>
      <c r="C36" s="2060">
        <v>1</v>
      </c>
      <c r="D36" s="2060">
        <v>1</v>
      </c>
      <c r="E36" s="2062">
        <v>2</v>
      </c>
      <c r="F36" s="2062">
        <v>0.23</v>
      </c>
      <c r="G36" s="2075">
        <v>1.5</v>
      </c>
      <c r="H36" s="2062">
        <f t="shared" si="0"/>
        <v>0.69</v>
      </c>
      <c r="I36" s="2068"/>
      <c r="J36" s="2064"/>
      <c r="K36" s="2042"/>
      <c r="L36" s="2042"/>
      <c r="M36" s="2042"/>
      <c r="N36" s="2042"/>
      <c r="O36" s="2042"/>
      <c r="P36" s="2042"/>
      <c r="Q36" s="2042"/>
      <c r="R36" s="2042"/>
      <c r="S36" s="2042"/>
      <c r="T36" s="2042"/>
      <c r="U36" s="2042"/>
      <c r="V36" s="2042"/>
      <c r="W36" s="2042"/>
      <c r="X36" s="2042"/>
      <c r="Y36" s="2042"/>
      <c r="Z36" s="2042"/>
      <c r="AA36" s="2042"/>
      <c r="AB36" s="2042"/>
      <c r="AC36" s="2042"/>
      <c r="AD36" s="2042"/>
      <c r="AE36" s="2042"/>
      <c r="AF36" s="2042"/>
      <c r="AG36" s="2042"/>
      <c r="AH36" s="2042"/>
      <c r="AI36" s="2042"/>
      <c r="AJ36" s="2042"/>
      <c r="AK36" s="2042"/>
      <c r="AL36" s="2042"/>
      <c r="AM36" s="2042"/>
      <c r="AN36" s="2042"/>
      <c r="AO36" s="2042"/>
      <c r="AP36" s="2042"/>
      <c r="AQ36" s="2042"/>
      <c r="AR36" s="2042"/>
      <c r="AS36" s="2042"/>
      <c r="AT36" s="2042"/>
      <c r="AU36" s="2042"/>
      <c r="AV36" s="2042"/>
      <c r="AW36" s="2042"/>
      <c r="AX36" s="2042"/>
      <c r="AY36" s="2042"/>
      <c r="AZ36" s="2042"/>
      <c r="BA36" s="2042"/>
      <c r="BB36" s="2042"/>
      <c r="BC36" s="2042"/>
      <c r="BD36" s="2042"/>
      <c r="BE36" s="2042"/>
      <c r="BF36" s="2042"/>
      <c r="BG36" s="2042"/>
      <c r="BH36" s="2042"/>
      <c r="BI36" s="2042"/>
      <c r="BJ36" s="2042"/>
      <c r="BK36" s="2042"/>
      <c r="BL36" s="2042"/>
      <c r="BM36" s="2042"/>
      <c r="BN36" s="2042"/>
      <c r="BO36" s="2042"/>
      <c r="BP36" s="2042"/>
      <c r="BQ36" s="2042"/>
      <c r="BR36" s="2042"/>
      <c r="BS36" s="2042"/>
      <c r="BT36" s="2042"/>
      <c r="BU36" s="2042"/>
      <c r="BV36" s="2042"/>
      <c r="BW36" s="2042"/>
      <c r="BX36" s="2042"/>
      <c r="BY36" s="2042"/>
      <c r="BZ36" s="2042"/>
      <c r="CA36" s="2042"/>
      <c r="CB36" s="2042"/>
      <c r="CC36" s="2042"/>
      <c r="CD36" s="2042"/>
      <c r="CE36" s="2042"/>
      <c r="CF36" s="2042"/>
      <c r="CG36" s="2042"/>
      <c r="CH36" s="2042"/>
      <c r="CI36" s="2042"/>
      <c r="CJ36" s="2042"/>
      <c r="CK36" s="2042"/>
      <c r="CL36" s="2042"/>
      <c r="CM36" s="2042"/>
      <c r="CN36" s="2042"/>
      <c r="CO36" s="2042"/>
      <c r="CP36" s="2042"/>
      <c r="CQ36" s="2042"/>
      <c r="CR36" s="2042"/>
      <c r="CS36" s="2042"/>
      <c r="CT36" s="2042"/>
      <c r="CU36" s="2042"/>
      <c r="CV36" s="2042"/>
      <c r="CW36" s="2042"/>
      <c r="CX36" s="2042"/>
      <c r="CY36" s="2042"/>
      <c r="CZ36" s="2042"/>
      <c r="DA36" s="2042"/>
      <c r="DB36" s="2042"/>
      <c r="DC36" s="2042"/>
      <c r="DD36" s="2042"/>
      <c r="DE36" s="2042"/>
      <c r="DF36" s="2042"/>
      <c r="DG36" s="2042"/>
      <c r="DH36" s="2042"/>
      <c r="DI36" s="2042"/>
      <c r="DJ36" s="2042"/>
      <c r="DK36" s="2042"/>
      <c r="DL36" s="2042"/>
      <c r="DM36" s="2042"/>
      <c r="DN36" s="2042"/>
      <c r="DO36" s="2042"/>
      <c r="DP36" s="2042"/>
      <c r="DQ36" s="2042"/>
      <c r="DR36" s="2042"/>
      <c r="DS36" s="2042"/>
      <c r="DT36" s="2042"/>
      <c r="DU36" s="2042"/>
      <c r="DV36" s="2042"/>
      <c r="DW36" s="2042"/>
      <c r="DX36" s="2042"/>
      <c r="DY36" s="2042"/>
      <c r="DZ36" s="2042"/>
      <c r="EA36" s="2042"/>
      <c r="EB36" s="2042"/>
      <c r="EC36" s="2042"/>
      <c r="ED36" s="2042"/>
      <c r="EE36" s="2042"/>
      <c r="EF36" s="2042"/>
      <c r="EG36" s="2042"/>
      <c r="EH36" s="2042"/>
      <c r="EI36" s="2042"/>
      <c r="EJ36" s="2042"/>
      <c r="EK36" s="2042"/>
      <c r="EL36" s="2042"/>
      <c r="EM36" s="2042"/>
      <c r="EN36" s="2042"/>
      <c r="EO36" s="2042"/>
      <c r="EP36" s="2042"/>
      <c r="EQ36" s="2042"/>
      <c r="ER36" s="2042"/>
      <c r="ES36" s="2042"/>
      <c r="ET36" s="2042"/>
      <c r="EU36" s="2042"/>
      <c r="EV36" s="2042"/>
      <c r="EW36" s="2042"/>
      <c r="EX36" s="2042"/>
      <c r="EY36" s="2042"/>
      <c r="EZ36" s="2042"/>
      <c r="FA36" s="2042"/>
      <c r="FB36" s="2042"/>
      <c r="FC36" s="2042"/>
      <c r="FD36" s="2042"/>
      <c r="FE36" s="2042"/>
      <c r="FF36" s="2042"/>
      <c r="FG36" s="2042"/>
      <c r="FH36" s="2042"/>
      <c r="FI36" s="2042"/>
      <c r="FJ36" s="2042"/>
      <c r="FK36" s="2042"/>
      <c r="FL36" s="2042"/>
      <c r="FM36" s="2042"/>
      <c r="FN36" s="2042"/>
      <c r="FO36" s="2042"/>
      <c r="FP36" s="2042"/>
      <c r="FQ36" s="2042"/>
      <c r="FR36" s="2042"/>
      <c r="FS36" s="2042"/>
      <c r="FT36" s="2042"/>
      <c r="FU36" s="2042"/>
      <c r="FV36" s="2042"/>
      <c r="FW36" s="2042"/>
      <c r="FX36" s="2042"/>
      <c r="FY36" s="2042"/>
      <c r="FZ36" s="2042"/>
      <c r="GA36" s="2042"/>
      <c r="GB36" s="2042"/>
      <c r="GC36" s="2042"/>
      <c r="GD36" s="2042"/>
      <c r="GE36" s="2042"/>
      <c r="GF36" s="2042"/>
      <c r="GG36" s="2042"/>
      <c r="GH36" s="2042"/>
      <c r="GI36" s="2042"/>
      <c r="GJ36" s="2042"/>
      <c r="GK36" s="2042"/>
      <c r="GL36" s="2042"/>
      <c r="GM36" s="2042"/>
      <c r="GN36" s="2042"/>
      <c r="GO36" s="2042"/>
      <c r="GP36" s="2042"/>
      <c r="GQ36" s="2042"/>
      <c r="GR36" s="2042"/>
      <c r="GS36" s="2042"/>
      <c r="GT36" s="2042"/>
      <c r="GU36" s="2042"/>
      <c r="GV36" s="2042"/>
      <c r="GW36" s="2042"/>
      <c r="GX36" s="2042"/>
      <c r="GY36" s="2042"/>
      <c r="GZ36" s="2042"/>
      <c r="HA36" s="2042"/>
      <c r="HB36" s="2042"/>
      <c r="HC36" s="2042"/>
      <c r="HD36" s="2042"/>
      <c r="HE36" s="2042"/>
      <c r="HF36" s="2042"/>
      <c r="HG36" s="2042"/>
      <c r="HH36" s="2042"/>
      <c r="HI36" s="2042"/>
      <c r="HJ36" s="2042"/>
      <c r="HK36" s="2042"/>
      <c r="HL36" s="2042"/>
      <c r="HM36" s="2042"/>
      <c r="HN36" s="2042"/>
      <c r="HO36" s="2042"/>
      <c r="HP36" s="2042"/>
      <c r="HQ36" s="2042"/>
      <c r="HR36" s="2042"/>
      <c r="HS36" s="2042"/>
      <c r="HT36" s="2042"/>
      <c r="HU36" s="2042"/>
      <c r="HV36" s="2042"/>
      <c r="HW36" s="2042"/>
      <c r="HX36" s="2042"/>
      <c r="HY36" s="2042"/>
      <c r="HZ36" s="2042"/>
      <c r="IA36" s="2042"/>
      <c r="IB36" s="2042"/>
      <c r="IC36" s="2042"/>
      <c r="ID36" s="2042"/>
      <c r="IE36" s="2042"/>
      <c r="IF36" s="2042"/>
      <c r="IG36" s="2042"/>
      <c r="IH36" s="2042"/>
      <c r="II36" s="2042"/>
      <c r="IJ36" s="2042"/>
      <c r="IK36" s="2042"/>
      <c r="IL36" s="2042"/>
      <c r="IM36" s="2042"/>
      <c r="IN36" s="2042"/>
      <c r="IO36" s="2042"/>
      <c r="IP36" s="2042"/>
      <c r="IQ36" s="2042"/>
      <c r="IR36" s="2042"/>
      <c r="IS36" s="2042"/>
      <c r="IT36" s="2042"/>
      <c r="IU36" s="2042"/>
      <c r="IV36" s="2042"/>
    </row>
    <row r="37" spans="1:256" ht="26.25" customHeight="1">
      <c r="A37" s="2071"/>
      <c r="B37" s="2057"/>
      <c r="C37" s="2060">
        <v>1</v>
      </c>
      <c r="D37" s="2060">
        <v>1</v>
      </c>
      <c r="E37" s="2062">
        <v>2</v>
      </c>
      <c r="F37" s="2062">
        <v>0.23</v>
      </c>
      <c r="G37" s="2075">
        <v>1</v>
      </c>
      <c r="H37" s="2062">
        <f t="shared" si="0"/>
        <v>0.46</v>
      </c>
      <c r="I37" s="2068"/>
      <c r="J37" s="2064"/>
      <c r="K37" s="2042"/>
      <c r="L37" s="2042"/>
      <c r="M37" s="2042"/>
      <c r="N37" s="2042"/>
      <c r="O37" s="2042"/>
      <c r="P37" s="2042"/>
      <c r="Q37" s="2042"/>
      <c r="R37" s="2042"/>
      <c r="S37" s="2042"/>
      <c r="T37" s="2042"/>
      <c r="U37" s="2042"/>
      <c r="V37" s="2042"/>
      <c r="W37" s="2042"/>
      <c r="X37" s="2042"/>
      <c r="Y37" s="2042"/>
      <c r="Z37" s="2042"/>
      <c r="AA37" s="2042"/>
      <c r="AB37" s="2042"/>
      <c r="AC37" s="2042"/>
      <c r="AD37" s="2042"/>
      <c r="AE37" s="2042"/>
      <c r="AF37" s="2042"/>
      <c r="AG37" s="2042"/>
      <c r="AH37" s="2042"/>
      <c r="AI37" s="2042"/>
      <c r="AJ37" s="2042"/>
      <c r="AK37" s="2042"/>
      <c r="AL37" s="2042"/>
      <c r="AM37" s="2042"/>
      <c r="AN37" s="2042"/>
      <c r="AO37" s="2042"/>
      <c r="AP37" s="2042"/>
      <c r="AQ37" s="2042"/>
      <c r="AR37" s="2042"/>
      <c r="AS37" s="2042"/>
      <c r="AT37" s="2042"/>
      <c r="AU37" s="2042"/>
      <c r="AV37" s="2042"/>
      <c r="AW37" s="2042"/>
      <c r="AX37" s="2042"/>
      <c r="AY37" s="2042"/>
      <c r="AZ37" s="2042"/>
      <c r="BA37" s="2042"/>
      <c r="BB37" s="2042"/>
      <c r="BC37" s="2042"/>
      <c r="BD37" s="2042"/>
      <c r="BE37" s="2042"/>
      <c r="BF37" s="2042"/>
      <c r="BG37" s="2042"/>
      <c r="BH37" s="2042"/>
      <c r="BI37" s="2042"/>
      <c r="BJ37" s="2042"/>
      <c r="BK37" s="2042"/>
      <c r="BL37" s="2042"/>
      <c r="BM37" s="2042"/>
      <c r="BN37" s="2042"/>
      <c r="BO37" s="2042"/>
      <c r="BP37" s="2042"/>
      <c r="BQ37" s="2042"/>
      <c r="BR37" s="2042"/>
      <c r="BS37" s="2042"/>
      <c r="BT37" s="2042"/>
      <c r="BU37" s="2042"/>
      <c r="BV37" s="2042"/>
      <c r="BW37" s="2042"/>
      <c r="BX37" s="2042"/>
      <c r="BY37" s="2042"/>
      <c r="BZ37" s="2042"/>
      <c r="CA37" s="2042"/>
      <c r="CB37" s="2042"/>
      <c r="CC37" s="2042"/>
      <c r="CD37" s="2042"/>
      <c r="CE37" s="2042"/>
      <c r="CF37" s="2042"/>
      <c r="CG37" s="2042"/>
      <c r="CH37" s="2042"/>
      <c r="CI37" s="2042"/>
      <c r="CJ37" s="2042"/>
      <c r="CK37" s="2042"/>
      <c r="CL37" s="2042"/>
      <c r="CM37" s="2042"/>
      <c r="CN37" s="2042"/>
      <c r="CO37" s="2042"/>
      <c r="CP37" s="2042"/>
      <c r="CQ37" s="2042"/>
      <c r="CR37" s="2042"/>
      <c r="CS37" s="2042"/>
      <c r="CT37" s="2042"/>
      <c r="CU37" s="2042"/>
      <c r="CV37" s="2042"/>
      <c r="CW37" s="2042"/>
      <c r="CX37" s="2042"/>
      <c r="CY37" s="2042"/>
      <c r="CZ37" s="2042"/>
      <c r="DA37" s="2042"/>
      <c r="DB37" s="2042"/>
      <c r="DC37" s="2042"/>
      <c r="DD37" s="2042"/>
      <c r="DE37" s="2042"/>
      <c r="DF37" s="2042"/>
      <c r="DG37" s="2042"/>
      <c r="DH37" s="2042"/>
      <c r="DI37" s="2042"/>
      <c r="DJ37" s="2042"/>
      <c r="DK37" s="2042"/>
      <c r="DL37" s="2042"/>
      <c r="DM37" s="2042"/>
      <c r="DN37" s="2042"/>
      <c r="DO37" s="2042"/>
      <c r="DP37" s="2042"/>
      <c r="DQ37" s="2042"/>
      <c r="DR37" s="2042"/>
      <c r="DS37" s="2042"/>
      <c r="DT37" s="2042"/>
      <c r="DU37" s="2042"/>
      <c r="DV37" s="2042"/>
      <c r="DW37" s="2042"/>
      <c r="DX37" s="2042"/>
      <c r="DY37" s="2042"/>
      <c r="DZ37" s="2042"/>
      <c r="EA37" s="2042"/>
      <c r="EB37" s="2042"/>
      <c r="EC37" s="2042"/>
      <c r="ED37" s="2042"/>
      <c r="EE37" s="2042"/>
      <c r="EF37" s="2042"/>
      <c r="EG37" s="2042"/>
      <c r="EH37" s="2042"/>
      <c r="EI37" s="2042"/>
      <c r="EJ37" s="2042"/>
      <c r="EK37" s="2042"/>
      <c r="EL37" s="2042"/>
      <c r="EM37" s="2042"/>
      <c r="EN37" s="2042"/>
      <c r="EO37" s="2042"/>
      <c r="EP37" s="2042"/>
      <c r="EQ37" s="2042"/>
      <c r="ER37" s="2042"/>
      <c r="ES37" s="2042"/>
      <c r="ET37" s="2042"/>
      <c r="EU37" s="2042"/>
      <c r="EV37" s="2042"/>
      <c r="EW37" s="2042"/>
      <c r="EX37" s="2042"/>
      <c r="EY37" s="2042"/>
      <c r="EZ37" s="2042"/>
      <c r="FA37" s="2042"/>
      <c r="FB37" s="2042"/>
      <c r="FC37" s="2042"/>
      <c r="FD37" s="2042"/>
      <c r="FE37" s="2042"/>
      <c r="FF37" s="2042"/>
      <c r="FG37" s="2042"/>
      <c r="FH37" s="2042"/>
      <c r="FI37" s="2042"/>
      <c r="FJ37" s="2042"/>
      <c r="FK37" s="2042"/>
      <c r="FL37" s="2042"/>
      <c r="FM37" s="2042"/>
      <c r="FN37" s="2042"/>
      <c r="FO37" s="2042"/>
      <c r="FP37" s="2042"/>
      <c r="FQ37" s="2042"/>
      <c r="FR37" s="2042"/>
      <c r="FS37" s="2042"/>
      <c r="FT37" s="2042"/>
      <c r="FU37" s="2042"/>
      <c r="FV37" s="2042"/>
      <c r="FW37" s="2042"/>
      <c r="FX37" s="2042"/>
      <c r="FY37" s="2042"/>
      <c r="FZ37" s="2042"/>
      <c r="GA37" s="2042"/>
      <c r="GB37" s="2042"/>
      <c r="GC37" s="2042"/>
      <c r="GD37" s="2042"/>
      <c r="GE37" s="2042"/>
      <c r="GF37" s="2042"/>
      <c r="GG37" s="2042"/>
      <c r="GH37" s="2042"/>
      <c r="GI37" s="2042"/>
      <c r="GJ37" s="2042"/>
      <c r="GK37" s="2042"/>
      <c r="GL37" s="2042"/>
      <c r="GM37" s="2042"/>
      <c r="GN37" s="2042"/>
      <c r="GO37" s="2042"/>
      <c r="GP37" s="2042"/>
      <c r="GQ37" s="2042"/>
      <c r="GR37" s="2042"/>
      <c r="GS37" s="2042"/>
      <c r="GT37" s="2042"/>
      <c r="GU37" s="2042"/>
      <c r="GV37" s="2042"/>
      <c r="GW37" s="2042"/>
      <c r="GX37" s="2042"/>
      <c r="GY37" s="2042"/>
      <c r="GZ37" s="2042"/>
      <c r="HA37" s="2042"/>
      <c r="HB37" s="2042"/>
      <c r="HC37" s="2042"/>
      <c r="HD37" s="2042"/>
      <c r="HE37" s="2042"/>
      <c r="HF37" s="2042"/>
      <c r="HG37" s="2042"/>
      <c r="HH37" s="2042"/>
      <c r="HI37" s="2042"/>
      <c r="HJ37" s="2042"/>
      <c r="HK37" s="2042"/>
      <c r="HL37" s="2042"/>
      <c r="HM37" s="2042"/>
      <c r="HN37" s="2042"/>
      <c r="HO37" s="2042"/>
      <c r="HP37" s="2042"/>
      <c r="HQ37" s="2042"/>
      <c r="HR37" s="2042"/>
      <c r="HS37" s="2042"/>
      <c r="HT37" s="2042"/>
      <c r="HU37" s="2042"/>
      <c r="HV37" s="2042"/>
      <c r="HW37" s="2042"/>
      <c r="HX37" s="2042"/>
      <c r="HY37" s="2042"/>
      <c r="HZ37" s="2042"/>
      <c r="IA37" s="2042"/>
      <c r="IB37" s="2042"/>
      <c r="IC37" s="2042"/>
      <c r="ID37" s="2042"/>
      <c r="IE37" s="2042"/>
      <c r="IF37" s="2042"/>
      <c r="IG37" s="2042"/>
      <c r="IH37" s="2042"/>
      <c r="II37" s="2042"/>
      <c r="IJ37" s="2042"/>
      <c r="IK37" s="2042"/>
      <c r="IL37" s="2042"/>
      <c r="IM37" s="2042"/>
      <c r="IN37" s="2042"/>
      <c r="IO37" s="2042"/>
      <c r="IP37" s="2042"/>
      <c r="IQ37" s="2042"/>
      <c r="IR37" s="2042"/>
      <c r="IS37" s="2042"/>
      <c r="IT37" s="2042"/>
      <c r="IU37" s="2042"/>
      <c r="IV37" s="2042"/>
    </row>
    <row r="38" spans="1:256" ht="26.25" customHeight="1">
      <c r="A38" s="2071"/>
      <c r="B38" s="2057" t="s">
        <v>7600</v>
      </c>
      <c r="C38" s="2060">
        <v>1</v>
      </c>
      <c r="D38" s="2060">
        <v>1</v>
      </c>
      <c r="E38" s="2062">
        <v>0.34</v>
      </c>
      <c r="F38" s="2062">
        <v>0.34</v>
      </c>
      <c r="G38" s="2075">
        <v>0.6</v>
      </c>
      <c r="H38" s="2062">
        <f t="shared" si="0"/>
        <v>7.0000000000000007E-2</v>
      </c>
      <c r="I38" s="2068"/>
      <c r="J38" s="2064"/>
      <c r="K38" s="2042"/>
      <c r="L38" s="2042"/>
      <c r="M38" s="2042"/>
      <c r="N38" s="2042"/>
      <c r="O38" s="2042"/>
      <c r="P38" s="2042"/>
      <c r="Q38" s="2042"/>
      <c r="R38" s="2042"/>
      <c r="S38" s="2042"/>
      <c r="T38" s="2042"/>
      <c r="U38" s="2042"/>
      <c r="V38" s="2042"/>
      <c r="W38" s="2042"/>
      <c r="X38" s="2042"/>
      <c r="Y38" s="2042"/>
      <c r="Z38" s="2042"/>
      <c r="AA38" s="2042"/>
      <c r="AB38" s="2042"/>
      <c r="AC38" s="2042"/>
      <c r="AD38" s="2042"/>
      <c r="AE38" s="2042"/>
      <c r="AF38" s="2042"/>
      <c r="AG38" s="2042"/>
      <c r="AH38" s="2042"/>
      <c r="AI38" s="2042"/>
      <c r="AJ38" s="2042"/>
      <c r="AK38" s="2042"/>
      <c r="AL38" s="2042"/>
      <c r="AM38" s="2042"/>
      <c r="AN38" s="2042"/>
      <c r="AO38" s="2042"/>
      <c r="AP38" s="2042"/>
      <c r="AQ38" s="2042"/>
      <c r="AR38" s="2042"/>
      <c r="AS38" s="2042"/>
      <c r="AT38" s="2042"/>
      <c r="AU38" s="2042"/>
      <c r="AV38" s="2042"/>
      <c r="AW38" s="2042"/>
      <c r="AX38" s="2042"/>
      <c r="AY38" s="2042"/>
      <c r="AZ38" s="2042"/>
      <c r="BA38" s="2042"/>
      <c r="BB38" s="2042"/>
      <c r="BC38" s="2042"/>
      <c r="BD38" s="2042"/>
      <c r="BE38" s="2042"/>
      <c r="BF38" s="2042"/>
      <c r="BG38" s="2042"/>
      <c r="BH38" s="2042"/>
      <c r="BI38" s="2042"/>
      <c r="BJ38" s="2042"/>
      <c r="BK38" s="2042"/>
      <c r="BL38" s="2042"/>
      <c r="BM38" s="2042"/>
      <c r="BN38" s="2042"/>
      <c r="BO38" s="2042"/>
      <c r="BP38" s="2042"/>
      <c r="BQ38" s="2042"/>
      <c r="BR38" s="2042"/>
      <c r="BS38" s="2042"/>
      <c r="BT38" s="2042"/>
      <c r="BU38" s="2042"/>
      <c r="BV38" s="2042"/>
      <c r="BW38" s="2042"/>
      <c r="BX38" s="2042"/>
      <c r="BY38" s="2042"/>
      <c r="BZ38" s="2042"/>
      <c r="CA38" s="2042"/>
      <c r="CB38" s="2042"/>
      <c r="CC38" s="2042"/>
      <c r="CD38" s="2042"/>
      <c r="CE38" s="2042"/>
      <c r="CF38" s="2042"/>
      <c r="CG38" s="2042"/>
      <c r="CH38" s="2042"/>
      <c r="CI38" s="2042"/>
      <c r="CJ38" s="2042"/>
      <c r="CK38" s="2042"/>
      <c r="CL38" s="2042"/>
      <c r="CM38" s="2042"/>
      <c r="CN38" s="2042"/>
      <c r="CO38" s="2042"/>
      <c r="CP38" s="2042"/>
      <c r="CQ38" s="2042"/>
      <c r="CR38" s="2042"/>
      <c r="CS38" s="2042"/>
      <c r="CT38" s="2042"/>
      <c r="CU38" s="2042"/>
      <c r="CV38" s="2042"/>
      <c r="CW38" s="2042"/>
      <c r="CX38" s="2042"/>
      <c r="CY38" s="2042"/>
      <c r="CZ38" s="2042"/>
      <c r="DA38" s="2042"/>
      <c r="DB38" s="2042"/>
      <c r="DC38" s="2042"/>
      <c r="DD38" s="2042"/>
      <c r="DE38" s="2042"/>
      <c r="DF38" s="2042"/>
      <c r="DG38" s="2042"/>
      <c r="DH38" s="2042"/>
      <c r="DI38" s="2042"/>
      <c r="DJ38" s="2042"/>
      <c r="DK38" s="2042"/>
      <c r="DL38" s="2042"/>
      <c r="DM38" s="2042"/>
      <c r="DN38" s="2042"/>
      <c r="DO38" s="2042"/>
      <c r="DP38" s="2042"/>
      <c r="DQ38" s="2042"/>
      <c r="DR38" s="2042"/>
      <c r="DS38" s="2042"/>
      <c r="DT38" s="2042"/>
      <c r="DU38" s="2042"/>
      <c r="DV38" s="2042"/>
      <c r="DW38" s="2042"/>
      <c r="DX38" s="2042"/>
      <c r="DY38" s="2042"/>
      <c r="DZ38" s="2042"/>
      <c r="EA38" s="2042"/>
      <c r="EB38" s="2042"/>
      <c r="EC38" s="2042"/>
      <c r="ED38" s="2042"/>
      <c r="EE38" s="2042"/>
      <c r="EF38" s="2042"/>
      <c r="EG38" s="2042"/>
      <c r="EH38" s="2042"/>
      <c r="EI38" s="2042"/>
      <c r="EJ38" s="2042"/>
      <c r="EK38" s="2042"/>
      <c r="EL38" s="2042"/>
      <c r="EM38" s="2042"/>
      <c r="EN38" s="2042"/>
      <c r="EO38" s="2042"/>
      <c r="EP38" s="2042"/>
      <c r="EQ38" s="2042"/>
      <c r="ER38" s="2042"/>
      <c r="ES38" s="2042"/>
      <c r="ET38" s="2042"/>
      <c r="EU38" s="2042"/>
      <c r="EV38" s="2042"/>
      <c r="EW38" s="2042"/>
      <c r="EX38" s="2042"/>
      <c r="EY38" s="2042"/>
      <c r="EZ38" s="2042"/>
      <c r="FA38" s="2042"/>
      <c r="FB38" s="2042"/>
      <c r="FC38" s="2042"/>
      <c r="FD38" s="2042"/>
      <c r="FE38" s="2042"/>
      <c r="FF38" s="2042"/>
      <c r="FG38" s="2042"/>
      <c r="FH38" s="2042"/>
      <c r="FI38" s="2042"/>
      <c r="FJ38" s="2042"/>
      <c r="FK38" s="2042"/>
      <c r="FL38" s="2042"/>
      <c r="FM38" s="2042"/>
      <c r="FN38" s="2042"/>
      <c r="FO38" s="2042"/>
      <c r="FP38" s="2042"/>
      <c r="FQ38" s="2042"/>
      <c r="FR38" s="2042"/>
      <c r="FS38" s="2042"/>
      <c r="FT38" s="2042"/>
      <c r="FU38" s="2042"/>
      <c r="FV38" s="2042"/>
      <c r="FW38" s="2042"/>
      <c r="FX38" s="2042"/>
      <c r="FY38" s="2042"/>
      <c r="FZ38" s="2042"/>
      <c r="GA38" s="2042"/>
      <c r="GB38" s="2042"/>
      <c r="GC38" s="2042"/>
      <c r="GD38" s="2042"/>
      <c r="GE38" s="2042"/>
      <c r="GF38" s="2042"/>
      <c r="GG38" s="2042"/>
      <c r="GH38" s="2042"/>
      <c r="GI38" s="2042"/>
      <c r="GJ38" s="2042"/>
      <c r="GK38" s="2042"/>
      <c r="GL38" s="2042"/>
      <c r="GM38" s="2042"/>
      <c r="GN38" s="2042"/>
      <c r="GO38" s="2042"/>
      <c r="GP38" s="2042"/>
      <c r="GQ38" s="2042"/>
      <c r="GR38" s="2042"/>
      <c r="GS38" s="2042"/>
      <c r="GT38" s="2042"/>
      <c r="GU38" s="2042"/>
      <c r="GV38" s="2042"/>
      <c r="GW38" s="2042"/>
      <c r="GX38" s="2042"/>
      <c r="GY38" s="2042"/>
      <c r="GZ38" s="2042"/>
      <c r="HA38" s="2042"/>
      <c r="HB38" s="2042"/>
      <c r="HC38" s="2042"/>
      <c r="HD38" s="2042"/>
      <c r="HE38" s="2042"/>
      <c r="HF38" s="2042"/>
      <c r="HG38" s="2042"/>
      <c r="HH38" s="2042"/>
      <c r="HI38" s="2042"/>
      <c r="HJ38" s="2042"/>
      <c r="HK38" s="2042"/>
      <c r="HL38" s="2042"/>
      <c r="HM38" s="2042"/>
      <c r="HN38" s="2042"/>
      <c r="HO38" s="2042"/>
      <c r="HP38" s="2042"/>
      <c r="HQ38" s="2042"/>
      <c r="HR38" s="2042"/>
      <c r="HS38" s="2042"/>
      <c r="HT38" s="2042"/>
      <c r="HU38" s="2042"/>
      <c r="HV38" s="2042"/>
      <c r="HW38" s="2042"/>
      <c r="HX38" s="2042"/>
      <c r="HY38" s="2042"/>
      <c r="HZ38" s="2042"/>
      <c r="IA38" s="2042"/>
      <c r="IB38" s="2042"/>
      <c r="IC38" s="2042"/>
      <c r="ID38" s="2042"/>
      <c r="IE38" s="2042"/>
      <c r="IF38" s="2042"/>
      <c r="IG38" s="2042"/>
      <c r="IH38" s="2042"/>
      <c r="II38" s="2042"/>
      <c r="IJ38" s="2042"/>
      <c r="IK38" s="2042"/>
      <c r="IL38" s="2042"/>
      <c r="IM38" s="2042"/>
      <c r="IN38" s="2042"/>
      <c r="IO38" s="2042"/>
      <c r="IP38" s="2042"/>
      <c r="IQ38" s="2042"/>
      <c r="IR38" s="2042"/>
      <c r="IS38" s="2042"/>
      <c r="IT38" s="2042"/>
      <c r="IU38" s="2042"/>
      <c r="IV38" s="2042"/>
    </row>
    <row r="39" spans="1:256" ht="26.25" customHeight="1">
      <c r="A39" s="2071"/>
      <c r="B39" s="2057"/>
      <c r="C39" s="2060"/>
      <c r="D39" s="2060"/>
      <c r="E39" s="2062"/>
      <c r="F39" s="2062"/>
      <c r="G39" s="2072" t="s">
        <v>2235</v>
      </c>
      <c r="H39" s="2067">
        <f>SUM(H32:H38)</f>
        <v>10.65</v>
      </c>
      <c r="I39" s="2068" t="s">
        <v>2142</v>
      </c>
      <c r="J39" s="2064"/>
      <c r="K39" s="2042"/>
      <c r="L39" s="2042"/>
      <c r="M39" s="2042"/>
      <c r="N39" s="2042"/>
      <c r="O39" s="2042"/>
      <c r="P39" s="2042"/>
      <c r="Q39" s="2042"/>
      <c r="R39" s="2042"/>
      <c r="S39" s="2042"/>
      <c r="T39" s="2042"/>
      <c r="U39" s="2042"/>
      <c r="V39" s="2042"/>
      <c r="W39" s="2042"/>
      <c r="X39" s="2042"/>
      <c r="Y39" s="2042"/>
      <c r="Z39" s="2042"/>
      <c r="AA39" s="2042"/>
      <c r="AB39" s="2042"/>
      <c r="AC39" s="2042"/>
      <c r="AD39" s="2042"/>
      <c r="AE39" s="2042"/>
      <c r="AF39" s="2042"/>
      <c r="AG39" s="2042"/>
      <c r="AH39" s="2042"/>
      <c r="AI39" s="2042"/>
      <c r="AJ39" s="2042"/>
      <c r="AK39" s="2042"/>
      <c r="AL39" s="2042"/>
      <c r="AM39" s="2042"/>
      <c r="AN39" s="2042"/>
      <c r="AO39" s="2042"/>
      <c r="AP39" s="2042"/>
      <c r="AQ39" s="2042"/>
      <c r="AR39" s="2042"/>
      <c r="AS39" s="2042"/>
      <c r="AT39" s="2042"/>
      <c r="AU39" s="2042"/>
      <c r="AV39" s="2042"/>
      <c r="AW39" s="2042"/>
      <c r="AX39" s="2042"/>
      <c r="AY39" s="2042"/>
      <c r="AZ39" s="2042"/>
      <c r="BA39" s="2042"/>
      <c r="BB39" s="2042"/>
      <c r="BC39" s="2042"/>
      <c r="BD39" s="2042"/>
      <c r="BE39" s="2042"/>
      <c r="BF39" s="2042"/>
      <c r="BG39" s="2042"/>
      <c r="BH39" s="2042"/>
      <c r="BI39" s="2042"/>
      <c r="BJ39" s="2042"/>
      <c r="BK39" s="2042"/>
      <c r="BL39" s="2042"/>
      <c r="BM39" s="2042"/>
      <c r="BN39" s="2042"/>
      <c r="BO39" s="2042"/>
      <c r="BP39" s="2042"/>
      <c r="BQ39" s="2042"/>
      <c r="BR39" s="2042"/>
      <c r="BS39" s="2042"/>
      <c r="BT39" s="2042"/>
      <c r="BU39" s="2042"/>
      <c r="BV39" s="2042"/>
      <c r="BW39" s="2042"/>
      <c r="BX39" s="2042"/>
      <c r="BY39" s="2042"/>
      <c r="BZ39" s="2042"/>
      <c r="CA39" s="2042"/>
      <c r="CB39" s="2042"/>
      <c r="CC39" s="2042"/>
      <c r="CD39" s="2042"/>
      <c r="CE39" s="2042"/>
      <c r="CF39" s="2042"/>
      <c r="CG39" s="2042"/>
      <c r="CH39" s="2042"/>
      <c r="CI39" s="2042"/>
      <c r="CJ39" s="2042"/>
      <c r="CK39" s="2042"/>
      <c r="CL39" s="2042"/>
      <c r="CM39" s="2042"/>
      <c r="CN39" s="2042"/>
      <c r="CO39" s="2042"/>
      <c r="CP39" s="2042"/>
      <c r="CQ39" s="2042"/>
      <c r="CR39" s="2042"/>
      <c r="CS39" s="2042"/>
      <c r="CT39" s="2042"/>
      <c r="CU39" s="2042"/>
      <c r="CV39" s="2042"/>
      <c r="CW39" s="2042"/>
      <c r="CX39" s="2042"/>
      <c r="CY39" s="2042"/>
      <c r="CZ39" s="2042"/>
      <c r="DA39" s="2042"/>
      <c r="DB39" s="2042"/>
      <c r="DC39" s="2042"/>
      <c r="DD39" s="2042"/>
      <c r="DE39" s="2042"/>
      <c r="DF39" s="2042"/>
      <c r="DG39" s="2042"/>
      <c r="DH39" s="2042"/>
      <c r="DI39" s="2042"/>
      <c r="DJ39" s="2042"/>
      <c r="DK39" s="2042"/>
      <c r="DL39" s="2042"/>
      <c r="DM39" s="2042"/>
      <c r="DN39" s="2042"/>
      <c r="DO39" s="2042"/>
      <c r="DP39" s="2042"/>
      <c r="DQ39" s="2042"/>
      <c r="DR39" s="2042"/>
      <c r="DS39" s="2042"/>
      <c r="DT39" s="2042"/>
      <c r="DU39" s="2042"/>
      <c r="DV39" s="2042"/>
      <c r="DW39" s="2042"/>
      <c r="DX39" s="2042"/>
      <c r="DY39" s="2042"/>
      <c r="DZ39" s="2042"/>
      <c r="EA39" s="2042"/>
      <c r="EB39" s="2042"/>
      <c r="EC39" s="2042"/>
      <c r="ED39" s="2042"/>
      <c r="EE39" s="2042"/>
      <c r="EF39" s="2042"/>
      <c r="EG39" s="2042"/>
      <c r="EH39" s="2042"/>
      <c r="EI39" s="2042"/>
      <c r="EJ39" s="2042"/>
      <c r="EK39" s="2042"/>
      <c r="EL39" s="2042"/>
      <c r="EM39" s="2042"/>
      <c r="EN39" s="2042"/>
      <c r="EO39" s="2042"/>
      <c r="EP39" s="2042"/>
      <c r="EQ39" s="2042"/>
      <c r="ER39" s="2042"/>
      <c r="ES39" s="2042"/>
      <c r="ET39" s="2042"/>
      <c r="EU39" s="2042"/>
      <c r="EV39" s="2042"/>
      <c r="EW39" s="2042"/>
      <c r="EX39" s="2042"/>
      <c r="EY39" s="2042"/>
      <c r="EZ39" s="2042"/>
      <c r="FA39" s="2042"/>
      <c r="FB39" s="2042"/>
      <c r="FC39" s="2042"/>
      <c r="FD39" s="2042"/>
      <c r="FE39" s="2042"/>
      <c r="FF39" s="2042"/>
      <c r="FG39" s="2042"/>
      <c r="FH39" s="2042"/>
      <c r="FI39" s="2042"/>
      <c r="FJ39" s="2042"/>
      <c r="FK39" s="2042"/>
      <c r="FL39" s="2042"/>
      <c r="FM39" s="2042"/>
      <c r="FN39" s="2042"/>
      <c r="FO39" s="2042"/>
      <c r="FP39" s="2042"/>
      <c r="FQ39" s="2042"/>
      <c r="FR39" s="2042"/>
      <c r="FS39" s="2042"/>
      <c r="FT39" s="2042"/>
      <c r="FU39" s="2042"/>
      <c r="FV39" s="2042"/>
      <c r="FW39" s="2042"/>
      <c r="FX39" s="2042"/>
      <c r="FY39" s="2042"/>
      <c r="FZ39" s="2042"/>
      <c r="GA39" s="2042"/>
      <c r="GB39" s="2042"/>
      <c r="GC39" s="2042"/>
      <c r="GD39" s="2042"/>
      <c r="GE39" s="2042"/>
      <c r="GF39" s="2042"/>
      <c r="GG39" s="2042"/>
      <c r="GH39" s="2042"/>
      <c r="GI39" s="2042"/>
      <c r="GJ39" s="2042"/>
      <c r="GK39" s="2042"/>
      <c r="GL39" s="2042"/>
      <c r="GM39" s="2042"/>
      <c r="GN39" s="2042"/>
      <c r="GO39" s="2042"/>
      <c r="GP39" s="2042"/>
      <c r="GQ39" s="2042"/>
      <c r="GR39" s="2042"/>
      <c r="GS39" s="2042"/>
      <c r="GT39" s="2042"/>
      <c r="GU39" s="2042"/>
      <c r="GV39" s="2042"/>
      <c r="GW39" s="2042"/>
      <c r="GX39" s="2042"/>
      <c r="GY39" s="2042"/>
      <c r="GZ39" s="2042"/>
      <c r="HA39" s="2042"/>
      <c r="HB39" s="2042"/>
      <c r="HC39" s="2042"/>
      <c r="HD39" s="2042"/>
      <c r="HE39" s="2042"/>
      <c r="HF39" s="2042"/>
      <c r="HG39" s="2042"/>
      <c r="HH39" s="2042"/>
      <c r="HI39" s="2042"/>
      <c r="HJ39" s="2042"/>
      <c r="HK39" s="2042"/>
      <c r="HL39" s="2042"/>
      <c r="HM39" s="2042"/>
      <c r="HN39" s="2042"/>
      <c r="HO39" s="2042"/>
      <c r="HP39" s="2042"/>
      <c r="HQ39" s="2042"/>
      <c r="HR39" s="2042"/>
      <c r="HS39" s="2042"/>
      <c r="HT39" s="2042"/>
      <c r="HU39" s="2042"/>
      <c r="HV39" s="2042"/>
      <c r="HW39" s="2042"/>
      <c r="HX39" s="2042"/>
      <c r="HY39" s="2042"/>
      <c r="HZ39" s="2042"/>
      <c r="IA39" s="2042"/>
      <c r="IB39" s="2042"/>
      <c r="IC39" s="2042"/>
      <c r="ID39" s="2042"/>
      <c r="IE39" s="2042"/>
      <c r="IF39" s="2042"/>
      <c r="IG39" s="2042"/>
      <c r="IH39" s="2042"/>
      <c r="II39" s="2042"/>
      <c r="IJ39" s="2042"/>
      <c r="IK39" s="2042"/>
      <c r="IL39" s="2042"/>
      <c r="IM39" s="2042"/>
      <c r="IN39" s="2042"/>
      <c r="IO39" s="2042"/>
      <c r="IP39" s="2042"/>
      <c r="IQ39" s="2042"/>
      <c r="IR39" s="2042"/>
      <c r="IS39" s="2042"/>
      <c r="IT39" s="2042"/>
      <c r="IU39" s="2042"/>
      <c r="IV39" s="2042"/>
    </row>
    <row r="40" spans="1:256" ht="64.5" customHeight="1">
      <c r="A40" s="2058">
        <v>14</v>
      </c>
      <c r="B40" s="2077" t="s">
        <v>7601</v>
      </c>
      <c r="C40" s="2078"/>
      <c r="D40" s="2078"/>
      <c r="E40" s="2078"/>
      <c r="F40" s="2059"/>
      <c r="G40" s="2059"/>
      <c r="H40" s="2062"/>
      <c r="I40" s="2068"/>
      <c r="J40" s="2064"/>
      <c r="K40" s="2042"/>
      <c r="L40" s="2042"/>
      <c r="M40" s="2042"/>
      <c r="N40" s="2042"/>
      <c r="O40" s="2042"/>
      <c r="P40" s="2042"/>
      <c r="Q40" s="2042"/>
      <c r="R40" s="2042"/>
      <c r="S40" s="2042"/>
      <c r="T40" s="2042"/>
      <c r="U40" s="2042"/>
      <c r="V40" s="2042"/>
      <c r="W40" s="2042"/>
      <c r="X40" s="2042"/>
      <c r="Y40" s="2042"/>
      <c r="Z40" s="2042"/>
      <c r="AA40" s="2042"/>
      <c r="AB40" s="2042"/>
      <c r="AC40" s="2042"/>
      <c r="AD40" s="2042"/>
      <c r="AE40" s="2042"/>
      <c r="AF40" s="2042"/>
      <c r="AG40" s="2042"/>
      <c r="AH40" s="2042"/>
      <c r="AI40" s="2042"/>
      <c r="AJ40" s="2042"/>
      <c r="AK40" s="2042"/>
      <c r="AL40" s="2042"/>
      <c r="AM40" s="2042"/>
      <c r="AN40" s="2042"/>
      <c r="AO40" s="2042"/>
      <c r="AP40" s="2042"/>
      <c r="AQ40" s="2042"/>
      <c r="AR40" s="2042"/>
      <c r="AS40" s="2042"/>
      <c r="AT40" s="2042"/>
      <c r="AU40" s="2042"/>
      <c r="AV40" s="2042"/>
      <c r="AW40" s="2042"/>
      <c r="AX40" s="2042"/>
      <c r="AY40" s="2042"/>
      <c r="AZ40" s="2042"/>
      <c r="BA40" s="2042"/>
      <c r="BB40" s="2042"/>
      <c r="BC40" s="2042"/>
      <c r="BD40" s="2042"/>
      <c r="BE40" s="2042"/>
      <c r="BF40" s="2042"/>
      <c r="BG40" s="2042"/>
      <c r="BH40" s="2042"/>
      <c r="BI40" s="2042"/>
      <c r="BJ40" s="2042"/>
      <c r="BK40" s="2042"/>
      <c r="BL40" s="2042"/>
      <c r="BM40" s="2042"/>
      <c r="BN40" s="2042"/>
      <c r="BO40" s="2042"/>
      <c r="BP40" s="2042"/>
      <c r="BQ40" s="2042"/>
      <c r="BR40" s="2042"/>
      <c r="BS40" s="2042"/>
      <c r="BT40" s="2042"/>
      <c r="BU40" s="2042"/>
      <c r="BV40" s="2042"/>
      <c r="BW40" s="2042"/>
      <c r="BX40" s="2042"/>
      <c r="BY40" s="2042"/>
      <c r="BZ40" s="2042"/>
      <c r="CA40" s="2042"/>
      <c r="CB40" s="2042"/>
      <c r="CC40" s="2042"/>
      <c r="CD40" s="2042"/>
      <c r="CE40" s="2042"/>
      <c r="CF40" s="2042"/>
      <c r="CG40" s="2042"/>
      <c r="CH40" s="2042"/>
      <c r="CI40" s="2042"/>
      <c r="CJ40" s="2042"/>
      <c r="CK40" s="2042"/>
      <c r="CL40" s="2042"/>
      <c r="CM40" s="2042"/>
      <c r="CN40" s="2042"/>
      <c r="CO40" s="2042"/>
      <c r="CP40" s="2042"/>
      <c r="CQ40" s="2042"/>
      <c r="CR40" s="2042"/>
      <c r="CS40" s="2042"/>
      <c r="CT40" s="2042"/>
      <c r="CU40" s="2042"/>
      <c r="CV40" s="2042"/>
      <c r="CW40" s="2042"/>
      <c r="CX40" s="2042"/>
      <c r="CY40" s="2042"/>
      <c r="CZ40" s="2042"/>
      <c r="DA40" s="2042"/>
      <c r="DB40" s="2042"/>
      <c r="DC40" s="2042"/>
      <c r="DD40" s="2042"/>
      <c r="DE40" s="2042"/>
      <c r="DF40" s="2042"/>
      <c r="DG40" s="2042"/>
      <c r="DH40" s="2042"/>
      <c r="DI40" s="2042"/>
      <c r="DJ40" s="2042"/>
      <c r="DK40" s="2042"/>
      <c r="DL40" s="2042"/>
      <c r="DM40" s="2042"/>
      <c r="DN40" s="2042"/>
      <c r="DO40" s="2042"/>
      <c r="DP40" s="2042"/>
      <c r="DQ40" s="2042"/>
      <c r="DR40" s="2042"/>
      <c r="DS40" s="2042"/>
      <c r="DT40" s="2042"/>
      <c r="DU40" s="2042"/>
      <c r="DV40" s="2042"/>
      <c r="DW40" s="2042"/>
      <c r="DX40" s="2042"/>
      <c r="DY40" s="2042"/>
      <c r="DZ40" s="2042"/>
      <c r="EA40" s="2042"/>
      <c r="EB40" s="2042"/>
      <c r="EC40" s="2042"/>
      <c r="ED40" s="2042"/>
      <c r="EE40" s="2042"/>
      <c r="EF40" s="2042"/>
      <c r="EG40" s="2042"/>
      <c r="EH40" s="2042"/>
      <c r="EI40" s="2042"/>
      <c r="EJ40" s="2042"/>
      <c r="EK40" s="2042"/>
      <c r="EL40" s="2042"/>
      <c r="EM40" s="2042"/>
      <c r="EN40" s="2042"/>
      <c r="EO40" s="2042"/>
      <c r="EP40" s="2042"/>
      <c r="EQ40" s="2042"/>
      <c r="ER40" s="2042"/>
      <c r="ES40" s="2042"/>
      <c r="ET40" s="2042"/>
      <c r="EU40" s="2042"/>
      <c r="EV40" s="2042"/>
      <c r="EW40" s="2042"/>
      <c r="EX40" s="2042"/>
      <c r="EY40" s="2042"/>
      <c r="EZ40" s="2042"/>
      <c r="FA40" s="2042"/>
      <c r="FB40" s="2042"/>
      <c r="FC40" s="2042"/>
      <c r="FD40" s="2042"/>
      <c r="FE40" s="2042"/>
      <c r="FF40" s="2042"/>
      <c r="FG40" s="2042"/>
      <c r="FH40" s="2042"/>
      <c r="FI40" s="2042"/>
      <c r="FJ40" s="2042"/>
      <c r="FK40" s="2042"/>
      <c r="FL40" s="2042"/>
      <c r="FM40" s="2042"/>
      <c r="FN40" s="2042"/>
      <c r="FO40" s="2042"/>
      <c r="FP40" s="2042"/>
      <c r="FQ40" s="2042"/>
      <c r="FR40" s="2042"/>
      <c r="FS40" s="2042"/>
      <c r="FT40" s="2042"/>
      <c r="FU40" s="2042"/>
      <c r="FV40" s="2042"/>
      <c r="FW40" s="2042"/>
      <c r="FX40" s="2042"/>
      <c r="FY40" s="2042"/>
      <c r="FZ40" s="2042"/>
      <c r="GA40" s="2042"/>
      <c r="GB40" s="2042"/>
      <c r="GC40" s="2042"/>
      <c r="GD40" s="2042"/>
      <c r="GE40" s="2042"/>
      <c r="GF40" s="2042"/>
      <c r="GG40" s="2042"/>
      <c r="GH40" s="2042"/>
      <c r="GI40" s="2042"/>
      <c r="GJ40" s="2042"/>
      <c r="GK40" s="2042"/>
      <c r="GL40" s="2042"/>
      <c r="GM40" s="2042"/>
      <c r="GN40" s="2042"/>
      <c r="GO40" s="2042"/>
      <c r="GP40" s="2042"/>
      <c r="GQ40" s="2042"/>
      <c r="GR40" s="2042"/>
      <c r="GS40" s="2042"/>
      <c r="GT40" s="2042"/>
      <c r="GU40" s="2042"/>
      <c r="GV40" s="2042"/>
      <c r="GW40" s="2042"/>
      <c r="GX40" s="2042"/>
      <c r="GY40" s="2042"/>
      <c r="GZ40" s="2042"/>
      <c r="HA40" s="2042"/>
      <c r="HB40" s="2042"/>
      <c r="HC40" s="2042"/>
      <c r="HD40" s="2042"/>
      <c r="HE40" s="2042"/>
      <c r="HF40" s="2042"/>
      <c r="HG40" s="2042"/>
      <c r="HH40" s="2042"/>
      <c r="HI40" s="2042"/>
      <c r="HJ40" s="2042"/>
      <c r="HK40" s="2042"/>
      <c r="HL40" s="2042"/>
      <c r="HM40" s="2042"/>
      <c r="HN40" s="2042"/>
      <c r="HO40" s="2042"/>
      <c r="HP40" s="2042"/>
      <c r="HQ40" s="2042"/>
      <c r="HR40" s="2042"/>
      <c r="HS40" s="2042"/>
      <c r="HT40" s="2042"/>
      <c r="HU40" s="2042"/>
      <c r="HV40" s="2042"/>
      <c r="HW40" s="2042"/>
      <c r="HX40" s="2042"/>
      <c r="HY40" s="2042"/>
      <c r="HZ40" s="2042"/>
      <c r="IA40" s="2042"/>
      <c r="IB40" s="2042"/>
      <c r="IC40" s="2042"/>
      <c r="ID40" s="2042"/>
      <c r="IE40" s="2042"/>
      <c r="IF40" s="2042"/>
      <c r="IG40" s="2042"/>
      <c r="IH40" s="2042"/>
      <c r="II40" s="2042"/>
      <c r="IJ40" s="2042"/>
      <c r="IK40" s="2042"/>
      <c r="IL40" s="2042"/>
      <c r="IM40" s="2042"/>
      <c r="IN40" s="2042"/>
      <c r="IO40" s="2042"/>
      <c r="IP40" s="2042"/>
      <c r="IQ40" s="2042"/>
      <c r="IR40" s="2042"/>
      <c r="IS40" s="2042"/>
      <c r="IT40" s="2042"/>
      <c r="IU40" s="2042"/>
      <c r="IV40" s="2042"/>
    </row>
    <row r="41" spans="1:256" ht="33" customHeight="1">
      <c r="A41" s="2058"/>
      <c r="B41" s="2079" t="s">
        <v>7539</v>
      </c>
      <c r="C41" s="2060"/>
      <c r="D41" s="2060"/>
      <c r="E41" s="2062"/>
      <c r="F41" s="2062"/>
      <c r="G41" s="2075"/>
      <c r="H41" s="2062"/>
      <c r="I41" s="2068"/>
      <c r="J41" s="2064"/>
      <c r="K41" s="2042"/>
      <c r="L41" s="2042"/>
      <c r="M41" s="2042"/>
      <c r="N41" s="2042"/>
      <c r="O41" s="2042"/>
      <c r="P41" s="2042"/>
      <c r="Q41" s="2042"/>
      <c r="R41" s="2042"/>
      <c r="S41" s="2042"/>
      <c r="T41" s="2042"/>
      <c r="U41" s="2042"/>
      <c r="V41" s="2042"/>
      <c r="W41" s="2042"/>
      <c r="X41" s="2042"/>
      <c r="Y41" s="2042"/>
      <c r="Z41" s="2042"/>
      <c r="AA41" s="2042"/>
      <c r="AB41" s="2042"/>
      <c r="AC41" s="2042"/>
      <c r="AD41" s="2042"/>
      <c r="AE41" s="2042"/>
      <c r="AF41" s="2042"/>
      <c r="AG41" s="2042"/>
      <c r="AH41" s="2042"/>
      <c r="AI41" s="2042"/>
      <c r="AJ41" s="2042"/>
      <c r="AK41" s="2042"/>
      <c r="AL41" s="2042"/>
      <c r="AM41" s="2042"/>
      <c r="AN41" s="2042"/>
      <c r="AO41" s="2042"/>
      <c r="AP41" s="2042"/>
      <c r="AQ41" s="2042"/>
      <c r="AR41" s="2042"/>
      <c r="AS41" s="2042"/>
      <c r="AT41" s="2042"/>
      <c r="AU41" s="2042"/>
      <c r="AV41" s="2042"/>
      <c r="AW41" s="2042"/>
      <c r="AX41" s="2042"/>
      <c r="AY41" s="2042"/>
      <c r="AZ41" s="2042"/>
      <c r="BA41" s="2042"/>
      <c r="BB41" s="2042"/>
      <c r="BC41" s="2042"/>
      <c r="BD41" s="2042"/>
      <c r="BE41" s="2042"/>
      <c r="BF41" s="2042"/>
      <c r="BG41" s="2042"/>
      <c r="BH41" s="2042"/>
      <c r="BI41" s="2042"/>
      <c r="BJ41" s="2042"/>
      <c r="BK41" s="2042"/>
      <c r="BL41" s="2042"/>
      <c r="BM41" s="2042"/>
      <c r="BN41" s="2042"/>
      <c r="BO41" s="2042"/>
      <c r="BP41" s="2042"/>
      <c r="BQ41" s="2042"/>
      <c r="BR41" s="2042"/>
      <c r="BS41" s="2042"/>
      <c r="BT41" s="2042"/>
      <c r="BU41" s="2042"/>
      <c r="BV41" s="2042"/>
      <c r="BW41" s="2042"/>
      <c r="BX41" s="2042"/>
      <c r="BY41" s="2042"/>
      <c r="BZ41" s="2042"/>
      <c r="CA41" s="2042"/>
      <c r="CB41" s="2042"/>
      <c r="CC41" s="2042"/>
      <c r="CD41" s="2042"/>
      <c r="CE41" s="2042"/>
      <c r="CF41" s="2042"/>
      <c r="CG41" s="2042"/>
      <c r="CH41" s="2042"/>
      <c r="CI41" s="2042"/>
      <c r="CJ41" s="2042"/>
      <c r="CK41" s="2042"/>
      <c r="CL41" s="2042"/>
      <c r="CM41" s="2042"/>
      <c r="CN41" s="2042"/>
      <c r="CO41" s="2042"/>
      <c r="CP41" s="2042"/>
      <c r="CQ41" s="2042"/>
      <c r="CR41" s="2042"/>
      <c r="CS41" s="2042"/>
      <c r="CT41" s="2042"/>
      <c r="CU41" s="2042"/>
      <c r="CV41" s="2042"/>
      <c r="CW41" s="2042"/>
      <c r="CX41" s="2042"/>
      <c r="CY41" s="2042"/>
      <c r="CZ41" s="2042"/>
      <c r="DA41" s="2042"/>
      <c r="DB41" s="2042"/>
      <c r="DC41" s="2042"/>
      <c r="DD41" s="2042"/>
      <c r="DE41" s="2042"/>
      <c r="DF41" s="2042"/>
      <c r="DG41" s="2042"/>
      <c r="DH41" s="2042"/>
      <c r="DI41" s="2042"/>
      <c r="DJ41" s="2042"/>
      <c r="DK41" s="2042"/>
      <c r="DL41" s="2042"/>
      <c r="DM41" s="2042"/>
      <c r="DN41" s="2042"/>
      <c r="DO41" s="2042"/>
      <c r="DP41" s="2042"/>
      <c r="DQ41" s="2042"/>
      <c r="DR41" s="2042"/>
      <c r="DS41" s="2042"/>
      <c r="DT41" s="2042"/>
      <c r="DU41" s="2042"/>
      <c r="DV41" s="2042"/>
      <c r="DW41" s="2042"/>
      <c r="DX41" s="2042"/>
      <c r="DY41" s="2042"/>
      <c r="DZ41" s="2042"/>
      <c r="EA41" s="2042"/>
      <c r="EB41" s="2042"/>
      <c r="EC41" s="2042"/>
      <c r="ED41" s="2042"/>
      <c r="EE41" s="2042"/>
      <c r="EF41" s="2042"/>
      <c r="EG41" s="2042"/>
      <c r="EH41" s="2042"/>
      <c r="EI41" s="2042"/>
      <c r="EJ41" s="2042"/>
      <c r="EK41" s="2042"/>
      <c r="EL41" s="2042"/>
      <c r="EM41" s="2042"/>
      <c r="EN41" s="2042"/>
      <c r="EO41" s="2042"/>
      <c r="EP41" s="2042"/>
      <c r="EQ41" s="2042"/>
      <c r="ER41" s="2042"/>
      <c r="ES41" s="2042"/>
      <c r="ET41" s="2042"/>
      <c r="EU41" s="2042"/>
      <c r="EV41" s="2042"/>
      <c r="EW41" s="2042"/>
      <c r="EX41" s="2042"/>
      <c r="EY41" s="2042"/>
      <c r="EZ41" s="2042"/>
      <c r="FA41" s="2042"/>
      <c r="FB41" s="2042"/>
      <c r="FC41" s="2042"/>
      <c r="FD41" s="2042"/>
      <c r="FE41" s="2042"/>
      <c r="FF41" s="2042"/>
      <c r="FG41" s="2042"/>
      <c r="FH41" s="2042"/>
      <c r="FI41" s="2042"/>
      <c r="FJ41" s="2042"/>
      <c r="FK41" s="2042"/>
      <c r="FL41" s="2042"/>
      <c r="FM41" s="2042"/>
      <c r="FN41" s="2042"/>
      <c r="FO41" s="2042"/>
      <c r="FP41" s="2042"/>
      <c r="FQ41" s="2042"/>
      <c r="FR41" s="2042"/>
      <c r="FS41" s="2042"/>
      <c r="FT41" s="2042"/>
      <c r="FU41" s="2042"/>
      <c r="FV41" s="2042"/>
      <c r="FW41" s="2042"/>
      <c r="FX41" s="2042"/>
      <c r="FY41" s="2042"/>
      <c r="FZ41" s="2042"/>
      <c r="GA41" s="2042"/>
      <c r="GB41" s="2042"/>
      <c r="GC41" s="2042"/>
      <c r="GD41" s="2042"/>
      <c r="GE41" s="2042"/>
      <c r="GF41" s="2042"/>
      <c r="GG41" s="2042"/>
      <c r="GH41" s="2042"/>
      <c r="GI41" s="2042"/>
      <c r="GJ41" s="2042"/>
      <c r="GK41" s="2042"/>
      <c r="GL41" s="2042"/>
      <c r="GM41" s="2042"/>
      <c r="GN41" s="2042"/>
      <c r="GO41" s="2042"/>
      <c r="GP41" s="2042"/>
      <c r="GQ41" s="2042"/>
      <c r="GR41" s="2042"/>
      <c r="GS41" s="2042"/>
      <c r="GT41" s="2042"/>
      <c r="GU41" s="2042"/>
      <c r="GV41" s="2042"/>
      <c r="GW41" s="2042"/>
      <c r="GX41" s="2042"/>
      <c r="GY41" s="2042"/>
      <c r="GZ41" s="2042"/>
      <c r="HA41" s="2042"/>
      <c r="HB41" s="2042"/>
      <c r="HC41" s="2042"/>
      <c r="HD41" s="2042"/>
      <c r="HE41" s="2042"/>
      <c r="HF41" s="2042"/>
      <c r="HG41" s="2042"/>
      <c r="HH41" s="2042"/>
      <c r="HI41" s="2042"/>
      <c r="HJ41" s="2042"/>
      <c r="HK41" s="2042"/>
      <c r="HL41" s="2042"/>
      <c r="HM41" s="2042"/>
      <c r="HN41" s="2042"/>
      <c r="HO41" s="2042"/>
      <c r="HP41" s="2042"/>
      <c r="HQ41" s="2042"/>
      <c r="HR41" s="2042"/>
      <c r="HS41" s="2042"/>
      <c r="HT41" s="2042"/>
      <c r="HU41" s="2042"/>
      <c r="HV41" s="2042"/>
      <c r="HW41" s="2042"/>
      <c r="HX41" s="2042"/>
      <c r="HY41" s="2042"/>
      <c r="HZ41" s="2042"/>
      <c r="IA41" s="2042"/>
      <c r="IB41" s="2042"/>
      <c r="IC41" s="2042"/>
      <c r="ID41" s="2042"/>
      <c r="IE41" s="2042"/>
      <c r="IF41" s="2042"/>
      <c r="IG41" s="2042"/>
      <c r="IH41" s="2042"/>
      <c r="II41" s="2042"/>
      <c r="IJ41" s="2042"/>
      <c r="IK41" s="2042"/>
      <c r="IL41" s="2042"/>
      <c r="IM41" s="2042"/>
      <c r="IN41" s="2042"/>
      <c r="IO41" s="2042"/>
      <c r="IP41" s="2042"/>
      <c r="IQ41" s="2042"/>
      <c r="IR41" s="2042"/>
      <c r="IS41" s="2042"/>
      <c r="IT41" s="2042"/>
      <c r="IU41" s="2042"/>
      <c r="IV41" s="2042"/>
    </row>
    <row r="42" spans="1:256" ht="26.25" customHeight="1">
      <c r="A42" s="2058"/>
      <c r="B42" s="2057" t="s">
        <v>7602</v>
      </c>
      <c r="C42" s="2060">
        <v>1</v>
      </c>
      <c r="D42" s="2060">
        <v>2</v>
      </c>
      <c r="E42" s="2062">
        <v>0.75</v>
      </c>
      <c r="F42" s="2062">
        <v>0.75</v>
      </c>
      <c r="G42" s="2075"/>
      <c r="H42" s="2067">
        <f>PRODUCT(C42:G42)</f>
        <v>1.1299999999999999</v>
      </c>
      <c r="I42" s="2068" t="s">
        <v>2273</v>
      </c>
      <c r="J42" s="2064"/>
      <c r="K42" s="2042"/>
      <c r="L42" s="2042"/>
      <c r="M42" s="2042"/>
      <c r="N42" s="2042"/>
      <c r="O42" s="2042"/>
      <c r="P42" s="2042"/>
      <c r="Q42" s="2042"/>
      <c r="R42" s="2042"/>
      <c r="S42" s="2042"/>
      <c r="T42" s="2042"/>
      <c r="U42" s="2042"/>
      <c r="V42" s="2042"/>
      <c r="W42" s="2042"/>
      <c r="X42" s="2042"/>
      <c r="Y42" s="2042"/>
      <c r="Z42" s="2042"/>
      <c r="AA42" s="2042"/>
      <c r="AB42" s="2042"/>
      <c r="AC42" s="2042"/>
      <c r="AD42" s="2042"/>
      <c r="AE42" s="2042"/>
      <c r="AF42" s="2042"/>
      <c r="AG42" s="2042"/>
      <c r="AH42" s="2042"/>
      <c r="AI42" s="2042"/>
      <c r="AJ42" s="2042"/>
      <c r="AK42" s="2042"/>
      <c r="AL42" s="2042"/>
      <c r="AM42" s="2042"/>
      <c r="AN42" s="2042"/>
      <c r="AO42" s="2042"/>
      <c r="AP42" s="2042"/>
      <c r="AQ42" s="2042"/>
      <c r="AR42" s="2042"/>
      <c r="AS42" s="2042"/>
      <c r="AT42" s="2042"/>
      <c r="AU42" s="2042"/>
      <c r="AV42" s="2042"/>
      <c r="AW42" s="2042"/>
      <c r="AX42" s="2042"/>
      <c r="AY42" s="2042"/>
      <c r="AZ42" s="2042"/>
      <c r="BA42" s="2042"/>
      <c r="BB42" s="2042"/>
      <c r="BC42" s="2042"/>
      <c r="BD42" s="2042"/>
      <c r="BE42" s="2042"/>
      <c r="BF42" s="2042"/>
      <c r="BG42" s="2042"/>
      <c r="BH42" s="2042"/>
      <c r="BI42" s="2042"/>
      <c r="BJ42" s="2042"/>
      <c r="BK42" s="2042"/>
      <c r="BL42" s="2042"/>
      <c r="BM42" s="2042"/>
      <c r="BN42" s="2042"/>
      <c r="BO42" s="2042"/>
      <c r="BP42" s="2042"/>
      <c r="BQ42" s="2042"/>
      <c r="BR42" s="2042"/>
      <c r="BS42" s="2042"/>
      <c r="BT42" s="2042"/>
      <c r="BU42" s="2042"/>
      <c r="BV42" s="2042"/>
      <c r="BW42" s="2042"/>
      <c r="BX42" s="2042"/>
      <c r="BY42" s="2042"/>
      <c r="BZ42" s="2042"/>
      <c r="CA42" s="2042"/>
      <c r="CB42" s="2042"/>
      <c r="CC42" s="2042"/>
      <c r="CD42" s="2042"/>
      <c r="CE42" s="2042"/>
      <c r="CF42" s="2042"/>
      <c r="CG42" s="2042"/>
      <c r="CH42" s="2042"/>
      <c r="CI42" s="2042"/>
      <c r="CJ42" s="2042"/>
      <c r="CK42" s="2042"/>
      <c r="CL42" s="2042"/>
      <c r="CM42" s="2042"/>
      <c r="CN42" s="2042"/>
      <c r="CO42" s="2042"/>
      <c r="CP42" s="2042"/>
      <c r="CQ42" s="2042"/>
      <c r="CR42" s="2042"/>
      <c r="CS42" s="2042"/>
      <c r="CT42" s="2042"/>
      <c r="CU42" s="2042"/>
      <c r="CV42" s="2042"/>
      <c r="CW42" s="2042"/>
      <c r="CX42" s="2042"/>
      <c r="CY42" s="2042"/>
      <c r="CZ42" s="2042"/>
      <c r="DA42" s="2042"/>
      <c r="DB42" s="2042"/>
      <c r="DC42" s="2042"/>
      <c r="DD42" s="2042"/>
      <c r="DE42" s="2042"/>
      <c r="DF42" s="2042"/>
      <c r="DG42" s="2042"/>
      <c r="DH42" s="2042"/>
      <c r="DI42" s="2042"/>
      <c r="DJ42" s="2042"/>
      <c r="DK42" s="2042"/>
      <c r="DL42" s="2042"/>
      <c r="DM42" s="2042"/>
      <c r="DN42" s="2042"/>
      <c r="DO42" s="2042"/>
      <c r="DP42" s="2042"/>
      <c r="DQ42" s="2042"/>
      <c r="DR42" s="2042"/>
      <c r="DS42" s="2042"/>
      <c r="DT42" s="2042"/>
      <c r="DU42" s="2042"/>
      <c r="DV42" s="2042"/>
      <c r="DW42" s="2042"/>
      <c r="DX42" s="2042"/>
      <c r="DY42" s="2042"/>
      <c r="DZ42" s="2042"/>
      <c r="EA42" s="2042"/>
      <c r="EB42" s="2042"/>
      <c r="EC42" s="2042"/>
      <c r="ED42" s="2042"/>
      <c r="EE42" s="2042"/>
      <c r="EF42" s="2042"/>
      <c r="EG42" s="2042"/>
      <c r="EH42" s="2042"/>
      <c r="EI42" s="2042"/>
      <c r="EJ42" s="2042"/>
      <c r="EK42" s="2042"/>
      <c r="EL42" s="2042"/>
      <c r="EM42" s="2042"/>
      <c r="EN42" s="2042"/>
      <c r="EO42" s="2042"/>
      <c r="EP42" s="2042"/>
      <c r="EQ42" s="2042"/>
      <c r="ER42" s="2042"/>
      <c r="ES42" s="2042"/>
      <c r="ET42" s="2042"/>
      <c r="EU42" s="2042"/>
      <c r="EV42" s="2042"/>
      <c r="EW42" s="2042"/>
      <c r="EX42" s="2042"/>
      <c r="EY42" s="2042"/>
      <c r="EZ42" s="2042"/>
      <c r="FA42" s="2042"/>
      <c r="FB42" s="2042"/>
      <c r="FC42" s="2042"/>
      <c r="FD42" s="2042"/>
      <c r="FE42" s="2042"/>
      <c r="FF42" s="2042"/>
      <c r="FG42" s="2042"/>
      <c r="FH42" s="2042"/>
      <c r="FI42" s="2042"/>
      <c r="FJ42" s="2042"/>
      <c r="FK42" s="2042"/>
      <c r="FL42" s="2042"/>
      <c r="FM42" s="2042"/>
      <c r="FN42" s="2042"/>
      <c r="FO42" s="2042"/>
      <c r="FP42" s="2042"/>
      <c r="FQ42" s="2042"/>
      <c r="FR42" s="2042"/>
      <c r="FS42" s="2042"/>
      <c r="FT42" s="2042"/>
      <c r="FU42" s="2042"/>
      <c r="FV42" s="2042"/>
      <c r="FW42" s="2042"/>
      <c r="FX42" s="2042"/>
      <c r="FY42" s="2042"/>
      <c r="FZ42" s="2042"/>
      <c r="GA42" s="2042"/>
      <c r="GB42" s="2042"/>
      <c r="GC42" s="2042"/>
      <c r="GD42" s="2042"/>
      <c r="GE42" s="2042"/>
      <c r="GF42" s="2042"/>
      <c r="GG42" s="2042"/>
      <c r="GH42" s="2042"/>
      <c r="GI42" s="2042"/>
      <c r="GJ42" s="2042"/>
      <c r="GK42" s="2042"/>
      <c r="GL42" s="2042"/>
      <c r="GM42" s="2042"/>
      <c r="GN42" s="2042"/>
      <c r="GO42" s="2042"/>
      <c r="GP42" s="2042"/>
      <c r="GQ42" s="2042"/>
      <c r="GR42" s="2042"/>
      <c r="GS42" s="2042"/>
      <c r="GT42" s="2042"/>
      <c r="GU42" s="2042"/>
      <c r="GV42" s="2042"/>
      <c r="GW42" s="2042"/>
      <c r="GX42" s="2042"/>
      <c r="GY42" s="2042"/>
      <c r="GZ42" s="2042"/>
      <c r="HA42" s="2042"/>
      <c r="HB42" s="2042"/>
      <c r="HC42" s="2042"/>
      <c r="HD42" s="2042"/>
      <c r="HE42" s="2042"/>
      <c r="HF42" s="2042"/>
      <c r="HG42" s="2042"/>
      <c r="HH42" s="2042"/>
      <c r="HI42" s="2042"/>
      <c r="HJ42" s="2042"/>
      <c r="HK42" s="2042"/>
      <c r="HL42" s="2042"/>
      <c r="HM42" s="2042"/>
      <c r="HN42" s="2042"/>
      <c r="HO42" s="2042"/>
      <c r="HP42" s="2042"/>
      <c r="HQ42" s="2042"/>
      <c r="HR42" s="2042"/>
      <c r="HS42" s="2042"/>
      <c r="HT42" s="2042"/>
      <c r="HU42" s="2042"/>
      <c r="HV42" s="2042"/>
      <c r="HW42" s="2042"/>
      <c r="HX42" s="2042"/>
      <c r="HY42" s="2042"/>
      <c r="HZ42" s="2042"/>
      <c r="IA42" s="2042"/>
      <c r="IB42" s="2042"/>
      <c r="IC42" s="2042"/>
      <c r="ID42" s="2042"/>
      <c r="IE42" s="2042"/>
      <c r="IF42" s="2042"/>
      <c r="IG42" s="2042"/>
      <c r="IH42" s="2042"/>
      <c r="II42" s="2042"/>
      <c r="IJ42" s="2042"/>
      <c r="IK42" s="2042"/>
      <c r="IL42" s="2042"/>
      <c r="IM42" s="2042"/>
      <c r="IN42" s="2042"/>
      <c r="IO42" s="2042"/>
      <c r="IP42" s="2042"/>
      <c r="IQ42" s="2042"/>
      <c r="IR42" s="2042"/>
      <c r="IS42" s="2042"/>
      <c r="IT42" s="2042"/>
      <c r="IU42" s="2042"/>
      <c r="IV42" s="2042"/>
    </row>
    <row r="43" spans="1:256" ht="33" customHeight="1">
      <c r="A43" s="2058">
        <v>28</v>
      </c>
      <c r="B43" s="2070" t="s">
        <v>7603</v>
      </c>
      <c r="C43" s="2073"/>
      <c r="D43" s="2073"/>
      <c r="E43" s="2073"/>
      <c r="F43" s="2073"/>
      <c r="G43" s="2073"/>
      <c r="H43" s="2062"/>
      <c r="I43" s="2068"/>
      <c r="J43" s="2064"/>
      <c r="K43" s="2042"/>
      <c r="L43" s="2042"/>
      <c r="M43" s="2042"/>
      <c r="N43" s="2042"/>
      <c r="O43" s="2042"/>
      <c r="P43" s="2042"/>
      <c r="Q43" s="2042"/>
      <c r="R43" s="2042"/>
      <c r="S43" s="2042"/>
      <c r="T43" s="2042"/>
      <c r="U43" s="2042"/>
      <c r="V43" s="2042"/>
      <c r="W43" s="2042"/>
      <c r="X43" s="2042"/>
      <c r="Y43" s="2042"/>
      <c r="Z43" s="2042"/>
      <c r="AA43" s="2042"/>
      <c r="AB43" s="2042"/>
      <c r="AC43" s="2042"/>
      <c r="AD43" s="2042"/>
      <c r="AE43" s="2042"/>
      <c r="AF43" s="2042"/>
      <c r="AG43" s="2042"/>
      <c r="AH43" s="2042"/>
      <c r="AI43" s="2042"/>
      <c r="AJ43" s="2042"/>
      <c r="AK43" s="2042"/>
      <c r="AL43" s="2042"/>
      <c r="AM43" s="2042"/>
      <c r="AN43" s="2042"/>
      <c r="AO43" s="2042"/>
      <c r="AP43" s="2042"/>
      <c r="AQ43" s="2042"/>
      <c r="AR43" s="2042"/>
      <c r="AS43" s="2042"/>
      <c r="AT43" s="2042"/>
      <c r="AU43" s="2042"/>
      <c r="AV43" s="2042"/>
      <c r="AW43" s="2042"/>
      <c r="AX43" s="2042"/>
      <c r="AY43" s="2042"/>
      <c r="AZ43" s="2042"/>
      <c r="BA43" s="2042"/>
      <c r="BB43" s="2042"/>
      <c r="BC43" s="2042"/>
      <c r="BD43" s="2042"/>
      <c r="BE43" s="2042"/>
      <c r="BF43" s="2042"/>
      <c r="BG43" s="2042"/>
      <c r="BH43" s="2042"/>
      <c r="BI43" s="2042"/>
      <c r="BJ43" s="2042"/>
      <c r="BK43" s="2042"/>
      <c r="BL43" s="2042"/>
      <c r="BM43" s="2042"/>
      <c r="BN43" s="2042"/>
      <c r="BO43" s="2042"/>
      <c r="BP43" s="2042"/>
      <c r="BQ43" s="2042"/>
      <c r="BR43" s="2042"/>
      <c r="BS43" s="2042"/>
      <c r="BT43" s="2042"/>
      <c r="BU43" s="2042"/>
      <c r="BV43" s="2042"/>
      <c r="BW43" s="2042"/>
      <c r="BX43" s="2042"/>
      <c r="BY43" s="2042"/>
      <c r="BZ43" s="2042"/>
      <c r="CA43" s="2042"/>
      <c r="CB43" s="2042"/>
      <c r="CC43" s="2042"/>
      <c r="CD43" s="2042"/>
      <c r="CE43" s="2042"/>
      <c r="CF43" s="2042"/>
      <c r="CG43" s="2042"/>
      <c r="CH43" s="2042"/>
      <c r="CI43" s="2042"/>
      <c r="CJ43" s="2042"/>
      <c r="CK43" s="2042"/>
      <c r="CL43" s="2042"/>
      <c r="CM43" s="2042"/>
      <c r="CN43" s="2042"/>
      <c r="CO43" s="2042"/>
      <c r="CP43" s="2042"/>
      <c r="CQ43" s="2042"/>
      <c r="CR43" s="2042"/>
      <c r="CS43" s="2042"/>
      <c r="CT43" s="2042"/>
      <c r="CU43" s="2042"/>
      <c r="CV43" s="2042"/>
      <c r="CW43" s="2042"/>
      <c r="CX43" s="2042"/>
      <c r="CY43" s="2042"/>
      <c r="CZ43" s="2042"/>
      <c r="DA43" s="2042"/>
      <c r="DB43" s="2042"/>
      <c r="DC43" s="2042"/>
      <c r="DD43" s="2042"/>
      <c r="DE43" s="2042"/>
      <c r="DF43" s="2042"/>
      <c r="DG43" s="2042"/>
      <c r="DH43" s="2042"/>
      <c r="DI43" s="2042"/>
      <c r="DJ43" s="2042"/>
      <c r="DK43" s="2042"/>
      <c r="DL43" s="2042"/>
      <c r="DM43" s="2042"/>
      <c r="DN43" s="2042"/>
      <c r="DO43" s="2042"/>
      <c r="DP43" s="2042"/>
      <c r="DQ43" s="2042"/>
      <c r="DR43" s="2042"/>
      <c r="DS43" s="2042"/>
      <c r="DT43" s="2042"/>
      <c r="DU43" s="2042"/>
      <c r="DV43" s="2042"/>
      <c r="DW43" s="2042"/>
      <c r="DX43" s="2042"/>
      <c r="DY43" s="2042"/>
      <c r="DZ43" s="2042"/>
      <c r="EA43" s="2042"/>
      <c r="EB43" s="2042"/>
      <c r="EC43" s="2042"/>
      <c r="ED43" s="2042"/>
      <c r="EE43" s="2042"/>
      <c r="EF43" s="2042"/>
      <c r="EG43" s="2042"/>
      <c r="EH43" s="2042"/>
      <c r="EI43" s="2042"/>
      <c r="EJ43" s="2042"/>
      <c r="EK43" s="2042"/>
      <c r="EL43" s="2042"/>
      <c r="EM43" s="2042"/>
      <c r="EN43" s="2042"/>
      <c r="EO43" s="2042"/>
      <c r="EP43" s="2042"/>
      <c r="EQ43" s="2042"/>
      <c r="ER43" s="2042"/>
      <c r="ES43" s="2042"/>
      <c r="ET43" s="2042"/>
      <c r="EU43" s="2042"/>
      <c r="EV43" s="2042"/>
      <c r="EW43" s="2042"/>
      <c r="EX43" s="2042"/>
      <c r="EY43" s="2042"/>
      <c r="EZ43" s="2042"/>
      <c r="FA43" s="2042"/>
      <c r="FB43" s="2042"/>
      <c r="FC43" s="2042"/>
      <c r="FD43" s="2042"/>
      <c r="FE43" s="2042"/>
      <c r="FF43" s="2042"/>
      <c r="FG43" s="2042"/>
      <c r="FH43" s="2042"/>
      <c r="FI43" s="2042"/>
      <c r="FJ43" s="2042"/>
      <c r="FK43" s="2042"/>
      <c r="FL43" s="2042"/>
      <c r="FM43" s="2042"/>
      <c r="FN43" s="2042"/>
      <c r="FO43" s="2042"/>
      <c r="FP43" s="2042"/>
      <c r="FQ43" s="2042"/>
      <c r="FR43" s="2042"/>
      <c r="FS43" s="2042"/>
      <c r="FT43" s="2042"/>
      <c r="FU43" s="2042"/>
      <c r="FV43" s="2042"/>
      <c r="FW43" s="2042"/>
      <c r="FX43" s="2042"/>
      <c r="FY43" s="2042"/>
      <c r="FZ43" s="2042"/>
      <c r="GA43" s="2042"/>
      <c r="GB43" s="2042"/>
      <c r="GC43" s="2042"/>
      <c r="GD43" s="2042"/>
      <c r="GE43" s="2042"/>
      <c r="GF43" s="2042"/>
      <c r="GG43" s="2042"/>
      <c r="GH43" s="2042"/>
      <c r="GI43" s="2042"/>
      <c r="GJ43" s="2042"/>
      <c r="GK43" s="2042"/>
      <c r="GL43" s="2042"/>
      <c r="GM43" s="2042"/>
      <c r="GN43" s="2042"/>
      <c r="GO43" s="2042"/>
      <c r="GP43" s="2042"/>
      <c r="GQ43" s="2042"/>
      <c r="GR43" s="2042"/>
      <c r="GS43" s="2042"/>
      <c r="GT43" s="2042"/>
      <c r="GU43" s="2042"/>
      <c r="GV43" s="2042"/>
      <c r="GW43" s="2042"/>
      <c r="GX43" s="2042"/>
      <c r="GY43" s="2042"/>
      <c r="GZ43" s="2042"/>
      <c r="HA43" s="2042"/>
      <c r="HB43" s="2042"/>
      <c r="HC43" s="2042"/>
      <c r="HD43" s="2042"/>
      <c r="HE43" s="2042"/>
      <c r="HF43" s="2042"/>
      <c r="HG43" s="2042"/>
      <c r="HH43" s="2042"/>
      <c r="HI43" s="2042"/>
      <c r="HJ43" s="2042"/>
      <c r="HK43" s="2042"/>
      <c r="HL43" s="2042"/>
      <c r="HM43" s="2042"/>
      <c r="HN43" s="2042"/>
      <c r="HO43" s="2042"/>
      <c r="HP43" s="2042"/>
      <c r="HQ43" s="2042"/>
      <c r="HR43" s="2042"/>
      <c r="HS43" s="2042"/>
      <c r="HT43" s="2042"/>
      <c r="HU43" s="2042"/>
      <c r="HV43" s="2042"/>
      <c r="HW43" s="2042"/>
      <c r="HX43" s="2042"/>
      <c r="HY43" s="2042"/>
      <c r="HZ43" s="2042"/>
      <c r="IA43" s="2042"/>
      <c r="IB43" s="2042"/>
      <c r="IC43" s="2042"/>
      <c r="ID43" s="2042"/>
      <c r="IE43" s="2042"/>
      <c r="IF43" s="2042"/>
      <c r="IG43" s="2042"/>
      <c r="IH43" s="2042"/>
      <c r="II43" s="2042"/>
      <c r="IJ43" s="2042"/>
      <c r="IK43" s="2042"/>
      <c r="IL43" s="2042"/>
      <c r="IM43" s="2042"/>
      <c r="IN43" s="2042"/>
      <c r="IO43" s="2042"/>
      <c r="IP43" s="2042"/>
      <c r="IQ43" s="2042"/>
      <c r="IR43" s="2042"/>
      <c r="IS43" s="2042"/>
      <c r="IT43" s="2042"/>
      <c r="IU43" s="2042"/>
      <c r="IV43" s="2042"/>
    </row>
    <row r="44" spans="1:256" ht="28.5" customHeight="1">
      <c r="A44" s="2058"/>
      <c r="B44" s="2057" t="s">
        <v>7604</v>
      </c>
      <c r="C44" s="2060">
        <v>1</v>
      </c>
      <c r="D44" s="2060">
        <v>2</v>
      </c>
      <c r="E44" s="2062">
        <v>0.6</v>
      </c>
      <c r="F44" s="2062">
        <v>0.6</v>
      </c>
      <c r="G44" s="2075"/>
      <c r="H44" s="2067">
        <f>PRODUCT(C44:G44)</f>
        <v>0.72</v>
      </c>
      <c r="I44" s="2068" t="s">
        <v>2273</v>
      </c>
      <c r="J44" s="2064"/>
      <c r="K44" s="2042"/>
      <c r="L44" s="2042"/>
      <c r="M44" s="2042"/>
      <c r="N44" s="2042"/>
      <c r="O44" s="2042"/>
      <c r="P44" s="2042"/>
      <c r="Q44" s="2042"/>
      <c r="R44" s="2042"/>
      <c r="S44" s="2042"/>
      <c r="T44" s="2042"/>
      <c r="U44" s="2042"/>
      <c r="V44" s="2042"/>
      <c r="W44" s="2042"/>
      <c r="X44" s="2042"/>
      <c r="Y44" s="2042"/>
      <c r="Z44" s="2042"/>
      <c r="AA44" s="2042"/>
      <c r="AB44" s="2042"/>
      <c r="AC44" s="2042"/>
      <c r="AD44" s="2042"/>
      <c r="AE44" s="2042"/>
      <c r="AF44" s="2042"/>
      <c r="AG44" s="2042"/>
      <c r="AH44" s="2042"/>
      <c r="AI44" s="2042"/>
      <c r="AJ44" s="2042"/>
      <c r="AK44" s="2042"/>
      <c r="AL44" s="2042"/>
      <c r="AM44" s="2042"/>
      <c r="AN44" s="2042"/>
      <c r="AO44" s="2042"/>
      <c r="AP44" s="2042"/>
      <c r="AQ44" s="2042"/>
      <c r="AR44" s="2042"/>
      <c r="AS44" s="2042"/>
      <c r="AT44" s="2042"/>
      <c r="AU44" s="2042"/>
      <c r="AV44" s="2042"/>
      <c r="AW44" s="2042"/>
      <c r="AX44" s="2042"/>
      <c r="AY44" s="2042"/>
      <c r="AZ44" s="2042"/>
      <c r="BA44" s="2042"/>
      <c r="BB44" s="2042"/>
      <c r="BC44" s="2042"/>
      <c r="BD44" s="2042"/>
      <c r="BE44" s="2042"/>
      <c r="BF44" s="2042"/>
      <c r="BG44" s="2042"/>
      <c r="BH44" s="2042"/>
      <c r="BI44" s="2042"/>
      <c r="BJ44" s="2042"/>
      <c r="BK44" s="2042"/>
      <c r="BL44" s="2042"/>
      <c r="BM44" s="2042"/>
      <c r="BN44" s="2042"/>
      <c r="BO44" s="2042"/>
      <c r="BP44" s="2042"/>
      <c r="BQ44" s="2042"/>
      <c r="BR44" s="2042"/>
      <c r="BS44" s="2042"/>
      <c r="BT44" s="2042"/>
      <c r="BU44" s="2042"/>
      <c r="BV44" s="2042"/>
      <c r="BW44" s="2042"/>
      <c r="BX44" s="2042"/>
      <c r="BY44" s="2042"/>
      <c r="BZ44" s="2042"/>
      <c r="CA44" s="2042"/>
      <c r="CB44" s="2042"/>
      <c r="CC44" s="2042"/>
      <c r="CD44" s="2042"/>
      <c r="CE44" s="2042"/>
      <c r="CF44" s="2042"/>
      <c r="CG44" s="2042"/>
      <c r="CH44" s="2042"/>
      <c r="CI44" s="2042"/>
      <c r="CJ44" s="2042"/>
      <c r="CK44" s="2042"/>
      <c r="CL44" s="2042"/>
      <c r="CM44" s="2042"/>
      <c r="CN44" s="2042"/>
      <c r="CO44" s="2042"/>
      <c r="CP44" s="2042"/>
      <c r="CQ44" s="2042"/>
      <c r="CR44" s="2042"/>
      <c r="CS44" s="2042"/>
      <c r="CT44" s="2042"/>
      <c r="CU44" s="2042"/>
      <c r="CV44" s="2042"/>
      <c r="CW44" s="2042"/>
      <c r="CX44" s="2042"/>
      <c r="CY44" s="2042"/>
      <c r="CZ44" s="2042"/>
      <c r="DA44" s="2042"/>
      <c r="DB44" s="2042"/>
      <c r="DC44" s="2042"/>
      <c r="DD44" s="2042"/>
      <c r="DE44" s="2042"/>
      <c r="DF44" s="2042"/>
      <c r="DG44" s="2042"/>
      <c r="DH44" s="2042"/>
      <c r="DI44" s="2042"/>
      <c r="DJ44" s="2042"/>
      <c r="DK44" s="2042"/>
      <c r="DL44" s="2042"/>
      <c r="DM44" s="2042"/>
      <c r="DN44" s="2042"/>
      <c r="DO44" s="2042"/>
      <c r="DP44" s="2042"/>
      <c r="DQ44" s="2042"/>
      <c r="DR44" s="2042"/>
      <c r="DS44" s="2042"/>
      <c r="DT44" s="2042"/>
      <c r="DU44" s="2042"/>
      <c r="DV44" s="2042"/>
      <c r="DW44" s="2042"/>
      <c r="DX44" s="2042"/>
      <c r="DY44" s="2042"/>
      <c r="DZ44" s="2042"/>
      <c r="EA44" s="2042"/>
      <c r="EB44" s="2042"/>
      <c r="EC44" s="2042"/>
      <c r="ED44" s="2042"/>
      <c r="EE44" s="2042"/>
      <c r="EF44" s="2042"/>
      <c r="EG44" s="2042"/>
      <c r="EH44" s="2042"/>
      <c r="EI44" s="2042"/>
      <c r="EJ44" s="2042"/>
      <c r="EK44" s="2042"/>
      <c r="EL44" s="2042"/>
      <c r="EM44" s="2042"/>
      <c r="EN44" s="2042"/>
      <c r="EO44" s="2042"/>
      <c r="EP44" s="2042"/>
      <c r="EQ44" s="2042"/>
      <c r="ER44" s="2042"/>
      <c r="ES44" s="2042"/>
      <c r="ET44" s="2042"/>
      <c r="EU44" s="2042"/>
      <c r="EV44" s="2042"/>
      <c r="EW44" s="2042"/>
      <c r="EX44" s="2042"/>
      <c r="EY44" s="2042"/>
      <c r="EZ44" s="2042"/>
      <c r="FA44" s="2042"/>
      <c r="FB44" s="2042"/>
      <c r="FC44" s="2042"/>
      <c r="FD44" s="2042"/>
      <c r="FE44" s="2042"/>
      <c r="FF44" s="2042"/>
      <c r="FG44" s="2042"/>
      <c r="FH44" s="2042"/>
      <c r="FI44" s="2042"/>
      <c r="FJ44" s="2042"/>
      <c r="FK44" s="2042"/>
      <c r="FL44" s="2042"/>
      <c r="FM44" s="2042"/>
      <c r="FN44" s="2042"/>
      <c r="FO44" s="2042"/>
      <c r="FP44" s="2042"/>
      <c r="FQ44" s="2042"/>
      <c r="FR44" s="2042"/>
      <c r="FS44" s="2042"/>
      <c r="FT44" s="2042"/>
      <c r="FU44" s="2042"/>
      <c r="FV44" s="2042"/>
      <c r="FW44" s="2042"/>
      <c r="FX44" s="2042"/>
      <c r="FY44" s="2042"/>
      <c r="FZ44" s="2042"/>
      <c r="GA44" s="2042"/>
      <c r="GB44" s="2042"/>
      <c r="GC44" s="2042"/>
      <c r="GD44" s="2042"/>
      <c r="GE44" s="2042"/>
      <c r="GF44" s="2042"/>
      <c r="GG44" s="2042"/>
      <c r="GH44" s="2042"/>
      <c r="GI44" s="2042"/>
      <c r="GJ44" s="2042"/>
      <c r="GK44" s="2042"/>
      <c r="GL44" s="2042"/>
      <c r="GM44" s="2042"/>
      <c r="GN44" s="2042"/>
      <c r="GO44" s="2042"/>
      <c r="GP44" s="2042"/>
      <c r="GQ44" s="2042"/>
      <c r="GR44" s="2042"/>
      <c r="GS44" s="2042"/>
      <c r="GT44" s="2042"/>
      <c r="GU44" s="2042"/>
      <c r="GV44" s="2042"/>
      <c r="GW44" s="2042"/>
      <c r="GX44" s="2042"/>
      <c r="GY44" s="2042"/>
      <c r="GZ44" s="2042"/>
      <c r="HA44" s="2042"/>
      <c r="HB44" s="2042"/>
      <c r="HC44" s="2042"/>
      <c r="HD44" s="2042"/>
      <c r="HE44" s="2042"/>
      <c r="HF44" s="2042"/>
      <c r="HG44" s="2042"/>
      <c r="HH44" s="2042"/>
      <c r="HI44" s="2042"/>
      <c r="HJ44" s="2042"/>
      <c r="HK44" s="2042"/>
      <c r="HL44" s="2042"/>
      <c r="HM44" s="2042"/>
      <c r="HN44" s="2042"/>
      <c r="HO44" s="2042"/>
      <c r="HP44" s="2042"/>
      <c r="HQ44" s="2042"/>
      <c r="HR44" s="2042"/>
      <c r="HS44" s="2042"/>
      <c r="HT44" s="2042"/>
      <c r="HU44" s="2042"/>
      <c r="HV44" s="2042"/>
      <c r="HW44" s="2042"/>
      <c r="HX44" s="2042"/>
      <c r="HY44" s="2042"/>
      <c r="HZ44" s="2042"/>
      <c r="IA44" s="2042"/>
      <c r="IB44" s="2042"/>
      <c r="IC44" s="2042"/>
      <c r="ID44" s="2042"/>
      <c r="IE44" s="2042"/>
      <c r="IF44" s="2042"/>
      <c r="IG44" s="2042"/>
      <c r="IH44" s="2042"/>
      <c r="II44" s="2042"/>
      <c r="IJ44" s="2042"/>
      <c r="IK44" s="2042"/>
      <c r="IL44" s="2042"/>
      <c r="IM44" s="2042"/>
      <c r="IN44" s="2042"/>
      <c r="IO44" s="2042"/>
      <c r="IP44" s="2042"/>
      <c r="IQ44" s="2042"/>
      <c r="IR44" s="2042"/>
      <c r="IS44" s="2042"/>
      <c r="IT44" s="2042"/>
      <c r="IU44" s="2042"/>
      <c r="IV44" s="2042"/>
    </row>
    <row r="45" spans="1:256" ht="33" customHeight="1">
      <c r="A45" s="2058">
        <v>33</v>
      </c>
      <c r="B45" s="2073" t="s">
        <v>7605</v>
      </c>
      <c r="C45" s="2073"/>
      <c r="D45" s="2073"/>
      <c r="E45" s="2073"/>
      <c r="F45" s="2073"/>
      <c r="G45" s="2073"/>
      <c r="H45" s="2062"/>
      <c r="I45" s="2080"/>
      <c r="J45" s="2064"/>
      <c r="K45" s="2042"/>
      <c r="L45" s="2042"/>
      <c r="M45" s="2042"/>
      <c r="N45" s="2042"/>
      <c r="O45" s="2042"/>
      <c r="P45" s="2042"/>
      <c r="Q45" s="2042"/>
      <c r="R45" s="2042"/>
      <c r="S45" s="2042"/>
      <c r="T45" s="2042"/>
      <c r="U45" s="2042"/>
      <c r="V45" s="2042"/>
      <c r="W45" s="2042"/>
      <c r="X45" s="2042"/>
      <c r="Y45" s="2042"/>
      <c r="Z45" s="2042"/>
      <c r="AA45" s="2042"/>
      <c r="AB45" s="2042"/>
      <c r="AC45" s="2042"/>
      <c r="AD45" s="2042"/>
      <c r="AE45" s="2042"/>
      <c r="AF45" s="2042"/>
      <c r="AG45" s="2042"/>
      <c r="AH45" s="2042"/>
      <c r="AI45" s="2042"/>
      <c r="AJ45" s="2042"/>
      <c r="AK45" s="2042"/>
      <c r="AL45" s="2042"/>
      <c r="AM45" s="2042"/>
      <c r="AN45" s="2042"/>
      <c r="AO45" s="2042"/>
      <c r="AP45" s="2042"/>
      <c r="AQ45" s="2042"/>
      <c r="AR45" s="2042"/>
      <c r="AS45" s="2042"/>
      <c r="AT45" s="2042"/>
      <c r="AU45" s="2042"/>
      <c r="AV45" s="2042"/>
      <c r="AW45" s="2042"/>
      <c r="AX45" s="2042"/>
      <c r="AY45" s="2042"/>
      <c r="AZ45" s="2042"/>
      <c r="BA45" s="2042"/>
      <c r="BB45" s="2042"/>
      <c r="BC45" s="2042"/>
      <c r="BD45" s="2042"/>
      <c r="BE45" s="2042"/>
      <c r="BF45" s="2042"/>
      <c r="BG45" s="2042"/>
      <c r="BH45" s="2042"/>
      <c r="BI45" s="2042"/>
      <c r="BJ45" s="2042"/>
      <c r="BK45" s="2042"/>
      <c r="BL45" s="2042"/>
      <c r="BM45" s="2042"/>
      <c r="BN45" s="2042"/>
      <c r="BO45" s="2042"/>
      <c r="BP45" s="2042"/>
      <c r="BQ45" s="2042"/>
      <c r="BR45" s="2042"/>
      <c r="BS45" s="2042"/>
      <c r="BT45" s="2042"/>
      <c r="BU45" s="2042"/>
      <c r="BV45" s="2042"/>
      <c r="BW45" s="2042"/>
      <c r="BX45" s="2042"/>
      <c r="BY45" s="2042"/>
      <c r="BZ45" s="2042"/>
      <c r="CA45" s="2042"/>
      <c r="CB45" s="2042"/>
      <c r="CC45" s="2042"/>
      <c r="CD45" s="2042"/>
      <c r="CE45" s="2042"/>
      <c r="CF45" s="2042"/>
      <c r="CG45" s="2042"/>
      <c r="CH45" s="2042"/>
      <c r="CI45" s="2042"/>
      <c r="CJ45" s="2042"/>
      <c r="CK45" s="2042"/>
      <c r="CL45" s="2042"/>
      <c r="CM45" s="2042"/>
      <c r="CN45" s="2042"/>
      <c r="CO45" s="2042"/>
      <c r="CP45" s="2042"/>
      <c r="CQ45" s="2042"/>
      <c r="CR45" s="2042"/>
      <c r="CS45" s="2042"/>
      <c r="CT45" s="2042"/>
      <c r="CU45" s="2042"/>
      <c r="CV45" s="2042"/>
      <c r="CW45" s="2042"/>
      <c r="CX45" s="2042"/>
      <c r="CY45" s="2042"/>
      <c r="CZ45" s="2042"/>
      <c r="DA45" s="2042"/>
      <c r="DB45" s="2042"/>
      <c r="DC45" s="2042"/>
      <c r="DD45" s="2042"/>
      <c r="DE45" s="2042"/>
      <c r="DF45" s="2042"/>
      <c r="DG45" s="2042"/>
      <c r="DH45" s="2042"/>
      <c r="DI45" s="2042"/>
      <c r="DJ45" s="2042"/>
      <c r="DK45" s="2042"/>
      <c r="DL45" s="2042"/>
      <c r="DM45" s="2042"/>
      <c r="DN45" s="2042"/>
      <c r="DO45" s="2042"/>
      <c r="DP45" s="2042"/>
      <c r="DQ45" s="2042"/>
      <c r="DR45" s="2042"/>
      <c r="DS45" s="2042"/>
      <c r="DT45" s="2042"/>
      <c r="DU45" s="2042"/>
      <c r="DV45" s="2042"/>
      <c r="DW45" s="2042"/>
      <c r="DX45" s="2042"/>
      <c r="DY45" s="2042"/>
      <c r="DZ45" s="2042"/>
      <c r="EA45" s="2042"/>
      <c r="EB45" s="2042"/>
      <c r="EC45" s="2042"/>
      <c r="ED45" s="2042"/>
      <c r="EE45" s="2042"/>
      <c r="EF45" s="2042"/>
      <c r="EG45" s="2042"/>
      <c r="EH45" s="2042"/>
      <c r="EI45" s="2042"/>
      <c r="EJ45" s="2042"/>
      <c r="EK45" s="2042"/>
      <c r="EL45" s="2042"/>
      <c r="EM45" s="2042"/>
      <c r="EN45" s="2042"/>
      <c r="EO45" s="2042"/>
      <c r="EP45" s="2042"/>
      <c r="EQ45" s="2042"/>
      <c r="ER45" s="2042"/>
      <c r="ES45" s="2042"/>
      <c r="ET45" s="2042"/>
      <c r="EU45" s="2042"/>
      <c r="EV45" s="2042"/>
      <c r="EW45" s="2042"/>
      <c r="EX45" s="2042"/>
      <c r="EY45" s="2042"/>
      <c r="EZ45" s="2042"/>
      <c r="FA45" s="2042"/>
      <c r="FB45" s="2042"/>
      <c r="FC45" s="2042"/>
      <c r="FD45" s="2042"/>
      <c r="FE45" s="2042"/>
      <c r="FF45" s="2042"/>
      <c r="FG45" s="2042"/>
      <c r="FH45" s="2042"/>
      <c r="FI45" s="2042"/>
      <c r="FJ45" s="2042"/>
      <c r="FK45" s="2042"/>
      <c r="FL45" s="2042"/>
      <c r="FM45" s="2042"/>
      <c r="FN45" s="2042"/>
      <c r="FO45" s="2042"/>
      <c r="FP45" s="2042"/>
      <c r="FQ45" s="2042"/>
      <c r="FR45" s="2042"/>
      <c r="FS45" s="2042"/>
      <c r="FT45" s="2042"/>
      <c r="FU45" s="2042"/>
      <c r="FV45" s="2042"/>
      <c r="FW45" s="2042"/>
      <c r="FX45" s="2042"/>
      <c r="FY45" s="2042"/>
      <c r="FZ45" s="2042"/>
      <c r="GA45" s="2042"/>
      <c r="GB45" s="2042"/>
      <c r="GC45" s="2042"/>
      <c r="GD45" s="2042"/>
      <c r="GE45" s="2042"/>
      <c r="GF45" s="2042"/>
      <c r="GG45" s="2042"/>
      <c r="GH45" s="2042"/>
      <c r="GI45" s="2042"/>
      <c r="GJ45" s="2042"/>
      <c r="GK45" s="2042"/>
      <c r="GL45" s="2042"/>
      <c r="GM45" s="2042"/>
      <c r="GN45" s="2042"/>
      <c r="GO45" s="2042"/>
      <c r="GP45" s="2042"/>
      <c r="GQ45" s="2042"/>
      <c r="GR45" s="2042"/>
      <c r="GS45" s="2042"/>
      <c r="GT45" s="2042"/>
      <c r="GU45" s="2042"/>
      <c r="GV45" s="2042"/>
      <c r="GW45" s="2042"/>
      <c r="GX45" s="2042"/>
      <c r="GY45" s="2042"/>
      <c r="GZ45" s="2042"/>
      <c r="HA45" s="2042"/>
      <c r="HB45" s="2042"/>
      <c r="HC45" s="2042"/>
      <c r="HD45" s="2042"/>
      <c r="HE45" s="2042"/>
      <c r="HF45" s="2042"/>
      <c r="HG45" s="2042"/>
      <c r="HH45" s="2042"/>
      <c r="HI45" s="2042"/>
      <c r="HJ45" s="2042"/>
      <c r="HK45" s="2042"/>
      <c r="HL45" s="2042"/>
      <c r="HM45" s="2042"/>
      <c r="HN45" s="2042"/>
      <c r="HO45" s="2042"/>
      <c r="HP45" s="2042"/>
      <c r="HQ45" s="2042"/>
      <c r="HR45" s="2042"/>
      <c r="HS45" s="2042"/>
      <c r="HT45" s="2042"/>
      <c r="HU45" s="2042"/>
      <c r="HV45" s="2042"/>
      <c r="HW45" s="2042"/>
      <c r="HX45" s="2042"/>
      <c r="HY45" s="2042"/>
      <c r="HZ45" s="2042"/>
      <c r="IA45" s="2042"/>
      <c r="IB45" s="2042"/>
      <c r="IC45" s="2042"/>
      <c r="ID45" s="2042"/>
      <c r="IE45" s="2042"/>
      <c r="IF45" s="2042"/>
      <c r="IG45" s="2042"/>
      <c r="IH45" s="2042"/>
      <c r="II45" s="2042"/>
      <c r="IJ45" s="2042"/>
      <c r="IK45" s="2042"/>
      <c r="IL45" s="2042"/>
      <c r="IM45" s="2042"/>
      <c r="IN45" s="2042"/>
      <c r="IO45" s="2042"/>
      <c r="IP45" s="2042"/>
      <c r="IQ45" s="2042"/>
      <c r="IR45" s="2042"/>
      <c r="IS45" s="2042"/>
      <c r="IT45" s="2042"/>
      <c r="IU45" s="2042"/>
      <c r="IV45" s="2042"/>
    </row>
    <row r="46" spans="1:256" ht="24.75" customHeight="1">
      <c r="A46" s="2058"/>
      <c r="B46" s="2081" t="s">
        <v>7606</v>
      </c>
      <c r="C46" s="2082">
        <v>1</v>
      </c>
      <c r="D46" s="2082">
        <v>1</v>
      </c>
      <c r="E46" s="2062">
        <v>15.6</v>
      </c>
      <c r="F46" s="2062"/>
      <c r="G46" s="2063">
        <v>0.56000000000000005</v>
      </c>
      <c r="H46" s="2062">
        <f t="shared" ref="H46:H51" si="1">PRODUCT(C46:G46)</f>
        <v>8.74</v>
      </c>
      <c r="I46" s="2080"/>
      <c r="J46" s="2064"/>
      <c r="K46" s="2042"/>
      <c r="L46" s="2042"/>
      <c r="M46" s="2042"/>
      <c r="N46" s="2042"/>
      <c r="O46" s="2042"/>
      <c r="P46" s="2042"/>
      <c r="Q46" s="2042"/>
      <c r="R46" s="2042"/>
      <c r="S46" s="2042"/>
      <c r="T46" s="2042"/>
      <c r="U46" s="2042"/>
      <c r="V46" s="2042"/>
      <c r="W46" s="2042"/>
      <c r="X46" s="2042"/>
      <c r="Y46" s="2042"/>
      <c r="Z46" s="2042"/>
      <c r="AA46" s="2042"/>
      <c r="AB46" s="2042"/>
      <c r="AC46" s="2042"/>
      <c r="AD46" s="2042"/>
      <c r="AE46" s="2042"/>
      <c r="AF46" s="2042"/>
      <c r="AG46" s="2042"/>
      <c r="AH46" s="2042"/>
      <c r="AI46" s="2042"/>
      <c r="AJ46" s="2042"/>
      <c r="AK46" s="2042"/>
      <c r="AL46" s="2042"/>
      <c r="AM46" s="2042"/>
      <c r="AN46" s="2042"/>
      <c r="AO46" s="2042"/>
      <c r="AP46" s="2042"/>
      <c r="AQ46" s="2042"/>
      <c r="AR46" s="2042"/>
      <c r="AS46" s="2042"/>
      <c r="AT46" s="2042"/>
      <c r="AU46" s="2042"/>
      <c r="AV46" s="2042"/>
      <c r="AW46" s="2042"/>
      <c r="AX46" s="2042"/>
      <c r="AY46" s="2042"/>
      <c r="AZ46" s="2042"/>
      <c r="BA46" s="2042"/>
      <c r="BB46" s="2042"/>
      <c r="BC46" s="2042"/>
      <c r="BD46" s="2042"/>
      <c r="BE46" s="2042"/>
      <c r="BF46" s="2042"/>
      <c r="BG46" s="2042"/>
      <c r="BH46" s="2042"/>
      <c r="BI46" s="2042"/>
      <c r="BJ46" s="2042"/>
      <c r="BK46" s="2042"/>
      <c r="BL46" s="2042"/>
      <c r="BM46" s="2042"/>
      <c r="BN46" s="2042"/>
      <c r="BO46" s="2042"/>
      <c r="BP46" s="2042"/>
      <c r="BQ46" s="2042"/>
      <c r="BR46" s="2042"/>
      <c r="BS46" s="2042"/>
      <c r="BT46" s="2042"/>
      <c r="BU46" s="2042"/>
      <c r="BV46" s="2042"/>
      <c r="BW46" s="2042"/>
      <c r="BX46" s="2042"/>
      <c r="BY46" s="2042"/>
      <c r="BZ46" s="2042"/>
      <c r="CA46" s="2042"/>
      <c r="CB46" s="2042"/>
      <c r="CC46" s="2042"/>
      <c r="CD46" s="2042"/>
      <c r="CE46" s="2042"/>
      <c r="CF46" s="2042"/>
      <c r="CG46" s="2042"/>
      <c r="CH46" s="2042"/>
      <c r="CI46" s="2042"/>
      <c r="CJ46" s="2042"/>
      <c r="CK46" s="2042"/>
      <c r="CL46" s="2042"/>
      <c r="CM46" s="2042"/>
      <c r="CN46" s="2042"/>
      <c r="CO46" s="2042"/>
      <c r="CP46" s="2042"/>
      <c r="CQ46" s="2042"/>
      <c r="CR46" s="2042"/>
      <c r="CS46" s="2042"/>
      <c r="CT46" s="2042"/>
      <c r="CU46" s="2042"/>
      <c r="CV46" s="2042"/>
      <c r="CW46" s="2042"/>
      <c r="CX46" s="2042"/>
      <c r="CY46" s="2042"/>
      <c r="CZ46" s="2042"/>
      <c r="DA46" s="2042"/>
      <c r="DB46" s="2042"/>
      <c r="DC46" s="2042"/>
      <c r="DD46" s="2042"/>
      <c r="DE46" s="2042"/>
      <c r="DF46" s="2042"/>
      <c r="DG46" s="2042"/>
      <c r="DH46" s="2042"/>
      <c r="DI46" s="2042"/>
      <c r="DJ46" s="2042"/>
      <c r="DK46" s="2042"/>
      <c r="DL46" s="2042"/>
      <c r="DM46" s="2042"/>
      <c r="DN46" s="2042"/>
      <c r="DO46" s="2042"/>
      <c r="DP46" s="2042"/>
      <c r="DQ46" s="2042"/>
      <c r="DR46" s="2042"/>
      <c r="DS46" s="2042"/>
      <c r="DT46" s="2042"/>
      <c r="DU46" s="2042"/>
      <c r="DV46" s="2042"/>
      <c r="DW46" s="2042"/>
      <c r="DX46" s="2042"/>
      <c r="DY46" s="2042"/>
      <c r="DZ46" s="2042"/>
      <c r="EA46" s="2042"/>
      <c r="EB46" s="2042"/>
      <c r="EC46" s="2042"/>
      <c r="ED46" s="2042"/>
      <c r="EE46" s="2042"/>
      <c r="EF46" s="2042"/>
      <c r="EG46" s="2042"/>
      <c r="EH46" s="2042"/>
      <c r="EI46" s="2042"/>
      <c r="EJ46" s="2042"/>
      <c r="EK46" s="2042"/>
      <c r="EL46" s="2042"/>
      <c r="EM46" s="2042"/>
      <c r="EN46" s="2042"/>
      <c r="EO46" s="2042"/>
      <c r="EP46" s="2042"/>
      <c r="EQ46" s="2042"/>
      <c r="ER46" s="2042"/>
      <c r="ES46" s="2042"/>
      <c r="ET46" s="2042"/>
      <c r="EU46" s="2042"/>
      <c r="EV46" s="2042"/>
      <c r="EW46" s="2042"/>
      <c r="EX46" s="2042"/>
      <c r="EY46" s="2042"/>
      <c r="EZ46" s="2042"/>
      <c r="FA46" s="2042"/>
      <c r="FB46" s="2042"/>
      <c r="FC46" s="2042"/>
      <c r="FD46" s="2042"/>
      <c r="FE46" s="2042"/>
      <c r="FF46" s="2042"/>
      <c r="FG46" s="2042"/>
      <c r="FH46" s="2042"/>
      <c r="FI46" s="2042"/>
      <c r="FJ46" s="2042"/>
      <c r="FK46" s="2042"/>
      <c r="FL46" s="2042"/>
      <c r="FM46" s="2042"/>
      <c r="FN46" s="2042"/>
      <c r="FO46" s="2042"/>
      <c r="FP46" s="2042"/>
      <c r="FQ46" s="2042"/>
      <c r="FR46" s="2042"/>
      <c r="FS46" s="2042"/>
      <c r="FT46" s="2042"/>
      <c r="FU46" s="2042"/>
      <c r="FV46" s="2042"/>
      <c r="FW46" s="2042"/>
      <c r="FX46" s="2042"/>
      <c r="FY46" s="2042"/>
      <c r="FZ46" s="2042"/>
      <c r="GA46" s="2042"/>
      <c r="GB46" s="2042"/>
      <c r="GC46" s="2042"/>
      <c r="GD46" s="2042"/>
      <c r="GE46" s="2042"/>
      <c r="GF46" s="2042"/>
      <c r="GG46" s="2042"/>
      <c r="GH46" s="2042"/>
      <c r="GI46" s="2042"/>
      <c r="GJ46" s="2042"/>
      <c r="GK46" s="2042"/>
      <c r="GL46" s="2042"/>
      <c r="GM46" s="2042"/>
      <c r="GN46" s="2042"/>
      <c r="GO46" s="2042"/>
      <c r="GP46" s="2042"/>
      <c r="GQ46" s="2042"/>
      <c r="GR46" s="2042"/>
      <c r="GS46" s="2042"/>
      <c r="GT46" s="2042"/>
      <c r="GU46" s="2042"/>
      <c r="GV46" s="2042"/>
      <c r="GW46" s="2042"/>
      <c r="GX46" s="2042"/>
      <c r="GY46" s="2042"/>
      <c r="GZ46" s="2042"/>
      <c r="HA46" s="2042"/>
      <c r="HB46" s="2042"/>
      <c r="HC46" s="2042"/>
      <c r="HD46" s="2042"/>
      <c r="HE46" s="2042"/>
      <c r="HF46" s="2042"/>
      <c r="HG46" s="2042"/>
      <c r="HH46" s="2042"/>
      <c r="HI46" s="2042"/>
      <c r="HJ46" s="2042"/>
      <c r="HK46" s="2042"/>
      <c r="HL46" s="2042"/>
      <c r="HM46" s="2042"/>
      <c r="HN46" s="2042"/>
      <c r="HO46" s="2042"/>
      <c r="HP46" s="2042"/>
      <c r="HQ46" s="2042"/>
      <c r="HR46" s="2042"/>
      <c r="HS46" s="2042"/>
      <c r="HT46" s="2042"/>
      <c r="HU46" s="2042"/>
      <c r="HV46" s="2042"/>
      <c r="HW46" s="2042"/>
      <c r="HX46" s="2042"/>
      <c r="HY46" s="2042"/>
      <c r="HZ46" s="2042"/>
      <c r="IA46" s="2042"/>
      <c r="IB46" s="2042"/>
      <c r="IC46" s="2042"/>
      <c r="ID46" s="2042"/>
      <c r="IE46" s="2042"/>
      <c r="IF46" s="2042"/>
      <c r="IG46" s="2042"/>
      <c r="IH46" s="2042"/>
      <c r="II46" s="2042"/>
      <c r="IJ46" s="2042"/>
      <c r="IK46" s="2042"/>
      <c r="IL46" s="2042"/>
      <c r="IM46" s="2042"/>
      <c r="IN46" s="2042"/>
      <c r="IO46" s="2042"/>
      <c r="IP46" s="2042"/>
      <c r="IQ46" s="2042"/>
      <c r="IR46" s="2042"/>
      <c r="IS46" s="2042"/>
      <c r="IT46" s="2042"/>
      <c r="IU46" s="2042"/>
      <c r="IV46" s="2042"/>
    </row>
    <row r="47" spans="1:256" ht="24.75" customHeight="1">
      <c r="A47" s="2058"/>
      <c r="B47" s="2081" t="s">
        <v>7607</v>
      </c>
      <c r="C47" s="2082">
        <v>1</v>
      </c>
      <c r="D47" s="2082">
        <v>1</v>
      </c>
      <c r="E47" s="2062">
        <v>14.72</v>
      </c>
      <c r="F47" s="2062"/>
      <c r="G47" s="2063">
        <v>0.71</v>
      </c>
      <c r="H47" s="2062">
        <f t="shared" si="1"/>
        <v>10.45</v>
      </c>
      <c r="I47" s="2080"/>
      <c r="J47" s="2083"/>
      <c r="K47" s="2083"/>
      <c r="L47" s="2083"/>
      <c r="M47" s="2083"/>
      <c r="N47" s="2083"/>
      <c r="O47" s="2083"/>
      <c r="P47" s="2083"/>
      <c r="Q47" s="2083"/>
      <c r="R47" s="2083"/>
      <c r="S47" s="2083"/>
      <c r="T47" s="2083"/>
      <c r="U47" s="2083"/>
      <c r="V47" s="2083"/>
      <c r="W47" s="2083"/>
      <c r="X47" s="2083"/>
      <c r="Y47" s="2083"/>
      <c r="Z47" s="2083"/>
      <c r="AA47" s="2083"/>
      <c r="AB47" s="2083"/>
      <c r="AC47" s="2083"/>
      <c r="AD47" s="2083"/>
      <c r="AE47" s="2083"/>
      <c r="AF47" s="2083"/>
      <c r="AG47" s="2083"/>
      <c r="AH47" s="2083"/>
      <c r="AI47" s="2083"/>
      <c r="AJ47" s="2083"/>
      <c r="AK47" s="2083"/>
      <c r="AL47" s="2083"/>
      <c r="AM47" s="2083"/>
      <c r="AN47" s="2083"/>
      <c r="AO47" s="2083"/>
      <c r="AP47" s="2083"/>
      <c r="AQ47" s="2083"/>
      <c r="AR47" s="2083"/>
      <c r="AS47" s="2083"/>
      <c r="AT47" s="2083"/>
      <c r="AU47" s="2083"/>
      <c r="AV47" s="2083"/>
      <c r="AW47" s="2083"/>
      <c r="AX47" s="2083"/>
      <c r="AY47" s="2083"/>
      <c r="AZ47" s="2083"/>
      <c r="BA47" s="2083"/>
      <c r="BB47" s="2083"/>
      <c r="BC47" s="2083"/>
      <c r="BD47" s="2083"/>
      <c r="BE47" s="2083"/>
      <c r="BF47" s="2083"/>
      <c r="BG47" s="2083"/>
      <c r="BH47" s="2083"/>
      <c r="BI47" s="2083"/>
      <c r="BJ47" s="2083"/>
      <c r="BK47" s="2083"/>
      <c r="BL47" s="2083"/>
      <c r="BM47" s="2083"/>
      <c r="BN47" s="2083"/>
      <c r="BO47" s="2083"/>
      <c r="BP47" s="2083"/>
      <c r="BQ47" s="2083"/>
      <c r="BR47" s="2083"/>
      <c r="BS47" s="2083"/>
      <c r="BT47" s="2083"/>
      <c r="BU47" s="2083"/>
      <c r="BV47" s="2083"/>
      <c r="BW47" s="2083"/>
      <c r="BX47" s="2083"/>
      <c r="BY47" s="2083"/>
      <c r="BZ47" s="2083"/>
      <c r="CA47" s="2083"/>
      <c r="CB47" s="2083"/>
      <c r="CC47" s="2083"/>
      <c r="CD47" s="2083"/>
      <c r="CE47" s="2083"/>
      <c r="CF47" s="2083"/>
      <c r="CG47" s="2083"/>
      <c r="CH47" s="2083"/>
      <c r="CI47" s="2083"/>
      <c r="CJ47" s="2083"/>
      <c r="CK47" s="2083"/>
      <c r="CL47" s="2083"/>
      <c r="CM47" s="2083"/>
      <c r="CN47" s="2083"/>
      <c r="CO47" s="2083"/>
      <c r="CP47" s="2083"/>
      <c r="CQ47" s="2083"/>
      <c r="CR47" s="2083"/>
      <c r="CS47" s="2083"/>
      <c r="CT47" s="2083"/>
      <c r="CU47" s="2083"/>
      <c r="CV47" s="2083"/>
      <c r="CW47" s="2083"/>
      <c r="CX47" s="2083"/>
      <c r="CY47" s="2083"/>
      <c r="CZ47" s="2083"/>
      <c r="DA47" s="2083"/>
      <c r="DB47" s="2083"/>
      <c r="DC47" s="2083"/>
      <c r="DD47" s="2083"/>
      <c r="DE47" s="2083"/>
      <c r="DF47" s="2083"/>
      <c r="DG47" s="2083"/>
      <c r="DH47" s="2083"/>
      <c r="DI47" s="2083"/>
      <c r="DJ47" s="2083"/>
      <c r="DK47" s="2083"/>
      <c r="DL47" s="2083"/>
      <c r="DM47" s="2083"/>
      <c r="DN47" s="2083"/>
      <c r="DO47" s="2083"/>
      <c r="DP47" s="2083"/>
      <c r="DQ47" s="2083"/>
      <c r="DR47" s="2083"/>
      <c r="DS47" s="2083"/>
      <c r="DT47" s="2083"/>
      <c r="DU47" s="2083"/>
      <c r="DV47" s="2083"/>
      <c r="DW47" s="2083"/>
      <c r="DX47" s="2083"/>
      <c r="DY47" s="2083"/>
      <c r="DZ47" s="2083"/>
      <c r="EA47" s="2083"/>
      <c r="EB47" s="2083"/>
      <c r="EC47" s="2083"/>
      <c r="ED47" s="2083"/>
      <c r="EE47" s="2083"/>
      <c r="EF47" s="2083"/>
      <c r="EG47" s="2083"/>
      <c r="EH47" s="2083"/>
      <c r="EI47" s="2083"/>
      <c r="EJ47" s="2083"/>
      <c r="EK47" s="2083"/>
      <c r="EL47" s="2083"/>
      <c r="EM47" s="2083"/>
      <c r="EN47" s="2083"/>
      <c r="EO47" s="2083"/>
      <c r="EP47" s="2083"/>
      <c r="EQ47" s="2083"/>
      <c r="ER47" s="2083"/>
      <c r="ES47" s="2083"/>
      <c r="ET47" s="2083"/>
      <c r="EU47" s="2083"/>
      <c r="EV47" s="2083"/>
      <c r="EW47" s="2083"/>
      <c r="EX47" s="2083"/>
      <c r="EY47" s="2083"/>
      <c r="EZ47" s="2083"/>
      <c r="FA47" s="2083"/>
      <c r="FB47" s="2083"/>
      <c r="FC47" s="2083"/>
      <c r="FD47" s="2083"/>
      <c r="FE47" s="2083"/>
      <c r="FF47" s="2083"/>
      <c r="FG47" s="2083"/>
      <c r="FH47" s="2083"/>
      <c r="FI47" s="2083"/>
      <c r="FJ47" s="2083"/>
      <c r="FK47" s="2083"/>
      <c r="FL47" s="2083"/>
      <c r="FM47" s="2083"/>
      <c r="FN47" s="2083"/>
      <c r="FO47" s="2083"/>
      <c r="FP47" s="2083"/>
      <c r="FQ47" s="2083"/>
      <c r="FR47" s="2083"/>
      <c r="FS47" s="2083"/>
      <c r="FT47" s="2083"/>
      <c r="FU47" s="2083"/>
      <c r="FV47" s="2083"/>
      <c r="FW47" s="2083"/>
      <c r="FX47" s="2083"/>
      <c r="FY47" s="2083"/>
      <c r="FZ47" s="2083"/>
      <c r="GA47" s="2083"/>
      <c r="GB47" s="2083"/>
      <c r="GC47" s="2083"/>
      <c r="GD47" s="2083"/>
      <c r="GE47" s="2083"/>
      <c r="GF47" s="2083"/>
      <c r="GG47" s="2083"/>
      <c r="GH47" s="2083"/>
      <c r="GI47" s="2083"/>
      <c r="GJ47" s="2083"/>
      <c r="GK47" s="2083"/>
      <c r="GL47" s="2083"/>
      <c r="GM47" s="2083"/>
      <c r="GN47" s="2083"/>
      <c r="GO47" s="2083"/>
      <c r="GP47" s="2083"/>
      <c r="GQ47" s="2083"/>
      <c r="GR47" s="2083"/>
      <c r="GS47" s="2083"/>
      <c r="GT47" s="2083"/>
      <c r="GU47" s="2083"/>
      <c r="GV47" s="2083"/>
      <c r="GW47" s="2083"/>
      <c r="GX47" s="2083"/>
      <c r="GY47" s="2083"/>
      <c r="GZ47" s="2083"/>
      <c r="HA47" s="2083"/>
      <c r="HB47" s="2083"/>
      <c r="HC47" s="2083"/>
      <c r="HD47" s="2083"/>
      <c r="HE47" s="2083"/>
      <c r="HF47" s="2083"/>
      <c r="HG47" s="2083"/>
      <c r="HH47" s="2083"/>
      <c r="HI47" s="2083"/>
      <c r="HJ47" s="2083"/>
      <c r="HK47" s="2083"/>
      <c r="HL47" s="2083"/>
      <c r="HM47" s="2083"/>
      <c r="HN47" s="2083"/>
      <c r="HO47" s="2083"/>
      <c r="HP47" s="2083"/>
      <c r="HQ47" s="2083"/>
      <c r="HR47" s="2083"/>
      <c r="HS47" s="2083"/>
      <c r="HT47" s="2083"/>
      <c r="HU47" s="2083"/>
      <c r="HV47" s="2083"/>
      <c r="HW47" s="2083"/>
      <c r="HX47" s="2083"/>
      <c r="HY47" s="2083"/>
      <c r="HZ47" s="2083"/>
      <c r="IA47" s="2083"/>
      <c r="IB47" s="2083"/>
      <c r="IC47" s="2083"/>
      <c r="ID47" s="2083"/>
      <c r="IE47" s="2083"/>
      <c r="IF47" s="2083"/>
      <c r="IG47" s="2083"/>
      <c r="IH47" s="2083"/>
      <c r="II47" s="2083"/>
      <c r="IJ47" s="2083"/>
      <c r="IK47" s="2083"/>
      <c r="IL47" s="2083"/>
      <c r="IM47" s="2083"/>
      <c r="IN47" s="2083"/>
      <c r="IO47" s="2083"/>
      <c r="IP47" s="2083"/>
      <c r="IQ47" s="2083"/>
      <c r="IR47" s="2083"/>
      <c r="IS47" s="2083"/>
      <c r="IT47" s="2083"/>
      <c r="IU47" s="2083"/>
      <c r="IV47" s="2083"/>
    </row>
    <row r="48" spans="1:256" ht="24.75" customHeight="1">
      <c r="A48" s="2058"/>
      <c r="B48" s="2081" t="s">
        <v>7608</v>
      </c>
      <c r="C48" s="2082">
        <v>1</v>
      </c>
      <c r="D48" s="2082">
        <v>1</v>
      </c>
      <c r="E48" s="2062">
        <v>13.84</v>
      </c>
      <c r="F48" s="2062"/>
      <c r="G48" s="2063">
        <v>0.8</v>
      </c>
      <c r="H48" s="2062">
        <f t="shared" si="1"/>
        <v>11.07</v>
      </c>
      <c r="I48" s="2080"/>
      <c r="J48" s="2083"/>
      <c r="K48" s="2083"/>
      <c r="L48" s="2084"/>
      <c r="M48" s="2083"/>
      <c r="N48" s="2083"/>
      <c r="O48" s="2083"/>
      <c r="P48" s="2083"/>
      <c r="Q48" s="2083"/>
      <c r="R48" s="2083"/>
      <c r="S48" s="2083"/>
      <c r="T48" s="2083"/>
      <c r="U48" s="2083"/>
      <c r="V48" s="2083"/>
      <c r="W48" s="2083"/>
      <c r="X48" s="2083"/>
      <c r="Y48" s="2083"/>
      <c r="Z48" s="2083"/>
      <c r="AA48" s="2083"/>
      <c r="AB48" s="2083"/>
      <c r="AC48" s="2083"/>
      <c r="AD48" s="2083"/>
      <c r="AE48" s="2083"/>
      <c r="AF48" s="2083"/>
      <c r="AG48" s="2083"/>
      <c r="AH48" s="2083"/>
      <c r="AI48" s="2083"/>
      <c r="AJ48" s="2083"/>
      <c r="AK48" s="2083"/>
      <c r="AL48" s="2083"/>
      <c r="AM48" s="2083"/>
      <c r="AN48" s="2083"/>
      <c r="AO48" s="2083"/>
      <c r="AP48" s="2083"/>
      <c r="AQ48" s="2083"/>
      <c r="AR48" s="2083"/>
      <c r="AS48" s="2083"/>
      <c r="AT48" s="2083"/>
      <c r="AU48" s="2083"/>
      <c r="AV48" s="2083"/>
      <c r="AW48" s="2083"/>
      <c r="AX48" s="2083"/>
      <c r="AY48" s="2083"/>
      <c r="AZ48" s="2083"/>
      <c r="BA48" s="2083"/>
      <c r="BB48" s="2083"/>
      <c r="BC48" s="2083"/>
      <c r="BD48" s="2083"/>
      <c r="BE48" s="2083"/>
      <c r="BF48" s="2083"/>
      <c r="BG48" s="2083"/>
      <c r="BH48" s="2083"/>
      <c r="BI48" s="2083"/>
      <c r="BJ48" s="2083"/>
      <c r="BK48" s="2083"/>
      <c r="BL48" s="2083"/>
      <c r="BM48" s="2083"/>
      <c r="BN48" s="2083"/>
      <c r="BO48" s="2083"/>
      <c r="BP48" s="2083"/>
      <c r="BQ48" s="2083"/>
      <c r="BR48" s="2083"/>
      <c r="BS48" s="2083"/>
      <c r="BT48" s="2083"/>
      <c r="BU48" s="2083"/>
      <c r="BV48" s="2083"/>
      <c r="BW48" s="2083"/>
      <c r="BX48" s="2083"/>
      <c r="BY48" s="2083"/>
      <c r="BZ48" s="2083"/>
      <c r="CA48" s="2083"/>
      <c r="CB48" s="2083"/>
      <c r="CC48" s="2083"/>
      <c r="CD48" s="2083"/>
      <c r="CE48" s="2083"/>
      <c r="CF48" s="2083"/>
      <c r="CG48" s="2083"/>
      <c r="CH48" s="2083"/>
      <c r="CI48" s="2083"/>
      <c r="CJ48" s="2083"/>
      <c r="CK48" s="2083"/>
      <c r="CL48" s="2083"/>
      <c r="CM48" s="2083"/>
      <c r="CN48" s="2083"/>
      <c r="CO48" s="2083"/>
      <c r="CP48" s="2083"/>
      <c r="CQ48" s="2083"/>
      <c r="CR48" s="2083"/>
      <c r="CS48" s="2083"/>
      <c r="CT48" s="2083"/>
      <c r="CU48" s="2083"/>
      <c r="CV48" s="2083"/>
      <c r="CW48" s="2083"/>
      <c r="CX48" s="2083"/>
      <c r="CY48" s="2083"/>
      <c r="CZ48" s="2083"/>
      <c r="DA48" s="2083"/>
      <c r="DB48" s="2083"/>
      <c r="DC48" s="2083"/>
      <c r="DD48" s="2083"/>
      <c r="DE48" s="2083"/>
      <c r="DF48" s="2083"/>
      <c r="DG48" s="2083"/>
      <c r="DH48" s="2083"/>
      <c r="DI48" s="2083"/>
      <c r="DJ48" s="2083"/>
      <c r="DK48" s="2083"/>
      <c r="DL48" s="2083"/>
      <c r="DM48" s="2083"/>
      <c r="DN48" s="2083"/>
      <c r="DO48" s="2083"/>
      <c r="DP48" s="2083"/>
      <c r="DQ48" s="2083"/>
      <c r="DR48" s="2083"/>
      <c r="DS48" s="2083"/>
      <c r="DT48" s="2083"/>
      <c r="DU48" s="2083"/>
      <c r="DV48" s="2083"/>
      <c r="DW48" s="2083"/>
      <c r="DX48" s="2083"/>
      <c r="DY48" s="2083"/>
      <c r="DZ48" s="2083"/>
      <c r="EA48" s="2083"/>
      <c r="EB48" s="2083"/>
      <c r="EC48" s="2083"/>
      <c r="ED48" s="2083"/>
      <c r="EE48" s="2083"/>
      <c r="EF48" s="2083"/>
      <c r="EG48" s="2083"/>
      <c r="EH48" s="2083"/>
      <c r="EI48" s="2083"/>
      <c r="EJ48" s="2083"/>
      <c r="EK48" s="2083"/>
      <c r="EL48" s="2083"/>
      <c r="EM48" s="2083"/>
      <c r="EN48" s="2083"/>
      <c r="EO48" s="2083"/>
      <c r="EP48" s="2083"/>
      <c r="EQ48" s="2083"/>
      <c r="ER48" s="2083"/>
      <c r="ES48" s="2083"/>
      <c r="ET48" s="2083"/>
      <c r="EU48" s="2083"/>
      <c r="EV48" s="2083"/>
      <c r="EW48" s="2083"/>
      <c r="EX48" s="2083"/>
      <c r="EY48" s="2083"/>
      <c r="EZ48" s="2083"/>
      <c r="FA48" s="2083"/>
      <c r="FB48" s="2083"/>
      <c r="FC48" s="2083"/>
      <c r="FD48" s="2083"/>
      <c r="FE48" s="2083"/>
      <c r="FF48" s="2083"/>
      <c r="FG48" s="2083"/>
      <c r="FH48" s="2083"/>
      <c r="FI48" s="2083"/>
      <c r="FJ48" s="2083"/>
      <c r="FK48" s="2083"/>
      <c r="FL48" s="2083"/>
      <c r="FM48" s="2083"/>
      <c r="FN48" s="2083"/>
      <c r="FO48" s="2083"/>
      <c r="FP48" s="2083"/>
      <c r="FQ48" s="2083"/>
      <c r="FR48" s="2083"/>
      <c r="FS48" s="2083"/>
      <c r="FT48" s="2083"/>
      <c r="FU48" s="2083"/>
      <c r="FV48" s="2083"/>
      <c r="FW48" s="2083"/>
      <c r="FX48" s="2083"/>
      <c r="FY48" s="2083"/>
      <c r="FZ48" s="2083"/>
      <c r="GA48" s="2083"/>
      <c r="GB48" s="2083"/>
      <c r="GC48" s="2083"/>
      <c r="GD48" s="2083"/>
      <c r="GE48" s="2083"/>
      <c r="GF48" s="2083"/>
      <c r="GG48" s="2083"/>
      <c r="GH48" s="2083"/>
      <c r="GI48" s="2083"/>
      <c r="GJ48" s="2083"/>
      <c r="GK48" s="2083"/>
      <c r="GL48" s="2083"/>
      <c r="GM48" s="2083"/>
      <c r="GN48" s="2083"/>
      <c r="GO48" s="2083"/>
      <c r="GP48" s="2083"/>
      <c r="GQ48" s="2083"/>
      <c r="GR48" s="2083"/>
      <c r="GS48" s="2083"/>
      <c r="GT48" s="2083"/>
      <c r="GU48" s="2083"/>
      <c r="GV48" s="2083"/>
      <c r="GW48" s="2083"/>
      <c r="GX48" s="2083"/>
      <c r="GY48" s="2083"/>
      <c r="GZ48" s="2083"/>
      <c r="HA48" s="2083"/>
      <c r="HB48" s="2083"/>
      <c r="HC48" s="2083"/>
      <c r="HD48" s="2083"/>
      <c r="HE48" s="2083"/>
      <c r="HF48" s="2083"/>
      <c r="HG48" s="2083"/>
      <c r="HH48" s="2083"/>
      <c r="HI48" s="2083"/>
      <c r="HJ48" s="2083"/>
      <c r="HK48" s="2083"/>
      <c r="HL48" s="2083"/>
      <c r="HM48" s="2083"/>
      <c r="HN48" s="2083"/>
      <c r="HO48" s="2083"/>
      <c r="HP48" s="2083"/>
      <c r="HQ48" s="2083"/>
      <c r="HR48" s="2083"/>
      <c r="HS48" s="2083"/>
      <c r="HT48" s="2083"/>
      <c r="HU48" s="2083"/>
      <c r="HV48" s="2083"/>
      <c r="HW48" s="2083"/>
      <c r="HX48" s="2083"/>
      <c r="HY48" s="2083"/>
      <c r="HZ48" s="2083"/>
      <c r="IA48" s="2083"/>
      <c r="IB48" s="2083"/>
      <c r="IC48" s="2083"/>
      <c r="ID48" s="2083"/>
      <c r="IE48" s="2083"/>
      <c r="IF48" s="2083"/>
      <c r="IG48" s="2083"/>
      <c r="IH48" s="2083"/>
      <c r="II48" s="2083"/>
      <c r="IJ48" s="2083"/>
      <c r="IK48" s="2083"/>
      <c r="IL48" s="2083"/>
      <c r="IM48" s="2083"/>
      <c r="IN48" s="2083"/>
      <c r="IO48" s="2083"/>
      <c r="IP48" s="2083"/>
      <c r="IQ48" s="2083"/>
      <c r="IR48" s="2083"/>
      <c r="IS48" s="2083"/>
      <c r="IT48" s="2083"/>
      <c r="IU48" s="2083"/>
      <c r="IV48" s="2083"/>
    </row>
    <row r="49" spans="1:256" ht="24.75" customHeight="1">
      <c r="A49" s="2058"/>
      <c r="B49" s="2081" t="s">
        <v>7609</v>
      </c>
      <c r="C49" s="2082">
        <v>1</v>
      </c>
      <c r="D49" s="2082">
        <v>2</v>
      </c>
      <c r="E49" s="2062">
        <v>4.24</v>
      </c>
      <c r="F49" s="2062"/>
      <c r="G49" s="2063">
        <v>1</v>
      </c>
      <c r="H49" s="2062">
        <f t="shared" si="1"/>
        <v>8.48</v>
      </c>
      <c r="I49" s="2080"/>
      <c r="J49" s="2083"/>
      <c r="K49" s="2083"/>
      <c r="L49" s="2084"/>
      <c r="M49" s="2083"/>
      <c r="N49" s="2083"/>
      <c r="O49" s="2083"/>
      <c r="P49" s="2083"/>
      <c r="Q49" s="2083"/>
      <c r="R49" s="2083"/>
      <c r="S49" s="2083"/>
      <c r="T49" s="2083"/>
      <c r="U49" s="2083"/>
      <c r="V49" s="2083"/>
      <c r="W49" s="2083"/>
      <c r="X49" s="2083"/>
      <c r="Y49" s="2083"/>
      <c r="Z49" s="2083"/>
      <c r="AA49" s="2083"/>
      <c r="AB49" s="2083"/>
      <c r="AC49" s="2083"/>
      <c r="AD49" s="2083"/>
      <c r="AE49" s="2083"/>
      <c r="AF49" s="2083"/>
      <c r="AG49" s="2083"/>
      <c r="AH49" s="2083"/>
      <c r="AI49" s="2083"/>
      <c r="AJ49" s="2083"/>
      <c r="AK49" s="2083"/>
      <c r="AL49" s="2083"/>
      <c r="AM49" s="2083"/>
      <c r="AN49" s="2083"/>
      <c r="AO49" s="2083"/>
      <c r="AP49" s="2083"/>
      <c r="AQ49" s="2083"/>
      <c r="AR49" s="2083"/>
      <c r="AS49" s="2083"/>
      <c r="AT49" s="2083"/>
      <c r="AU49" s="2083"/>
      <c r="AV49" s="2083"/>
      <c r="AW49" s="2083"/>
      <c r="AX49" s="2083"/>
      <c r="AY49" s="2083"/>
      <c r="AZ49" s="2083"/>
      <c r="BA49" s="2083"/>
      <c r="BB49" s="2083"/>
      <c r="BC49" s="2083"/>
      <c r="BD49" s="2083"/>
      <c r="BE49" s="2083"/>
      <c r="BF49" s="2083"/>
      <c r="BG49" s="2083"/>
      <c r="BH49" s="2083"/>
      <c r="BI49" s="2083"/>
      <c r="BJ49" s="2083"/>
      <c r="BK49" s="2083"/>
      <c r="BL49" s="2083"/>
      <c r="BM49" s="2083"/>
      <c r="BN49" s="2083"/>
      <c r="BO49" s="2083"/>
      <c r="BP49" s="2083"/>
      <c r="BQ49" s="2083"/>
      <c r="BR49" s="2083"/>
      <c r="BS49" s="2083"/>
      <c r="BT49" s="2083"/>
      <c r="BU49" s="2083"/>
      <c r="BV49" s="2083"/>
      <c r="BW49" s="2083"/>
      <c r="BX49" s="2083"/>
      <c r="BY49" s="2083"/>
      <c r="BZ49" s="2083"/>
      <c r="CA49" s="2083"/>
      <c r="CB49" s="2083"/>
      <c r="CC49" s="2083"/>
      <c r="CD49" s="2083"/>
      <c r="CE49" s="2083"/>
      <c r="CF49" s="2083"/>
      <c r="CG49" s="2083"/>
      <c r="CH49" s="2083"/>
      <c r="CI49" s="2083"/>
      <c r="CJ49" s="2083"/>
      <c r="CK49" s="2083"/>
      <c r="CL49" s="2083"/>
      <c r="CM49" s="2083"/>
      <c r="CN49" s="2083"/>
      <c r="CO49" s="2083"/>
      <c r="CP49" s="2083"/>
      <c r="CQ49" s="2083"/>
      <c r="CR49" s="2083"/>
      <c r="CS49" s="2083"/>
      <c r="CT49" s="2083"/>
      <c r="CU49" s="2083"/>
      <c r="CV49" s="2083"/>
      <c r="CW49" s="2083"/>
      <c r="CX49" s="2083"/>
      <c r="CY49" s="2083"/>
      <c r="CZ49" s="2083"/>
      <c r="DA49" s="2083"/>
      <c r="DB49" s="2083"/>
      <c r="DC49" s="2083"/>
      <c r="DD49" s="2083"/>
      <c r="DE49" s="2083"/>
      <c r="DF49" s="2083"/>
      <c r="DG49" s="2083"/>
      <c r="DH49" s="2083"/>
      <c r="DI49" s="2083"/>
      <c r="DJ49" s="2083"/>
      <c r="DK49" s="2083"/>
      <c r="DL49" s="2083"/>
      <c r="DM49" s="2083"/>
      <c r="DN49" s="2083"/>
      <c r="DO49" s="2083"/>
      <c r="DP49" s="2083"/>
      <c r="DQ49" s="2083"/>
      <c r="DR49" s="2083"/>
      <c r="DS49" s="2083"/>
      <c r="DT49" s="2083"/>
      <c r="DU49" s="2083"/>
      <c r="DV49" s="2083"/>
      <c r="DW49" s="2083"/>
      <c r="DX49" s="2083"/>
      <c r="DY49" s="2083"/>
      <c r="DZ49" s="2083"/>
      <c r="EA49" s="2083"/>
      <c r="EB49" s="2083"/>
      <c r="EC49" s="2083"/>
      <c r="ED49" s="2083"/>
      <c r="EE49" s="2083"/>
      <c r="EF49" s="2083"/>
      <c r="EG49" s="2083"/>
      <c r="EH49" s="2083"/>
      <c r="EI49" s="2083"/>
      <c r="EJ49" s="2083"/>
      <c r="EK49" s="2083"/>
      <c r="EL49" s="2083"/>
      <c r="EM49" s="2083"/>
      <c r="EN49" s="2083"/>
      <c r="EO49" s="2083"/>
      <c r="EP49" s="2083"/>
      <c r="EQ49" s="2083"/>
      <c r="ER49" s="2083"/>
      <c r="ES49" s="2083"/>
      <c r="ET49" s="2083"/>
      <c r="EU49" s="2083"/>
      <c r="EV49" s="2083"/>
      <c r="EW49" s="2083"/>
      <c r="EX49" s="2083"/>
      <c r="EY49" s="2083"/>
      <c r="EZ49" s="2083"/>
      <c r="FA49" s="2083"/>
      <c r="FB49" s="2083"/>
      <c r="FC49" s="2083"/>
      <c r="FD49" s="2083"/>
      <c r="FE49" s="2083"/>
      <c r="FF49" s="2083"/>
      <c r="FG49" s="2083"/>
      <c r="FH49" s="2083"/>
      <c r="FI49" s="2083"/>
      <c r="FJ49" s="2083"/>
      <c r="FK49" s="2083"/>
      <c r="FL49" s="2083"/>
      <c r="FM49" s="2083"/>
      <c r="FN49" s="2083"/>
      <c r="FO49" s="2083"/>
      <c r="FP49" s="2083"/>
      <c r="FQ49" s="2083"/>
      <c r="FR49" s="2083"/>
      <c r="FS49" s="2083"/>
      <c r="FT49" s="2083"/>
      <c r="FU49" s="2083"/>
      <c r="FV49" s="2083"/>
      <c r="FW49" s="2083"/>
      <c r="FX49" s="2083"/>
      <c r="FY49" s="2083"/>
      <c r="FZ49" s="2083"/>
      <c r="GA49" s="2083"/>
      <c r="GB49" s="2083"/>
      <c r="GC49" s="2083"/>
      <c r="GD49" s="2083"/>
      <c r="GE49" s="2083"/>
      <c r="GF49" s="2083"/>
      <c r="GG49" s="2083"/>
      <c r="GH49" s="2083"/>
      <c r="GI49" s="2083"/>
      <c r="GJ49" s="2083"/>
      <c r="GK49" s="2083"/>
      <c r="GL49" s="2083"/>
      <c r="GM49" s="2083"/>
      <c r="GN49" s="2083"/>
      <c r="GO49" s="2083"/>
      <c r="GP49" s="2083"/>
      <c r="GQ49" s="2083"/>
      <c r="GR49" s="2083"/>
      <c r="GS49" s="2083"/>
      <c r="GT49" s="2083"/>
      <c r="GU49" s="2083"/>
      <c r="GV49" s="2083"/>
      <c r="GW49" s="2083"/>
      <c r="GX49" s="2083"/>
      <c r="GY49" s="2083"/>
      <c r="GZ49" s="2083"/>
      <c r="HA49" s="2083"/>
      <c r="HB49" s="2083"/>
      <c r="HC49" s="2083"/>
      <c r="HD49" s="2083"/>
      <c r="HE49" s="2083"/>
      <c r="HF49" s="2083"/>
      <c r="HG49" s="2083"/>
      <c r="HH49" s="2083"/>
      <c r="HI49" s="2083"/>
      <c r="HJ49" s="2083"/>
      <c r="HK49" s="2083"/>
      <c r="HL49" s="2083"/>
      <c r="HM49" s="2083"/>
      <c r="HN49" s="2083"/>
      <c r="HO49" s="2083"/>
      <c r="HP49" s="2083"/>
      <c r="HQ49" s="2083"/>
      <c r="HR49" s="2083"/>
      <c r="HS49" s="2083"/>
      <c r="HT49" s="2083"/>
      <c r="HU49" s="2083"/>
      <c r="HV49" s="2083"/>
      <c r="HW49" s="2083"/>
      <c r="HX49" s="2083"/>
      <c r="HY49" s="2083"/>
      <c r="HZ49" s="2083"/>
      <c r="IA49" s="2083"/>
      <c r="IB49" s="2083"/>
      <c r="IC49" s="2083"/>
      <c r="ID49" s="2083"/>
      <c r="IE49" s="2083"/>
      <c r="IF49" s="2083"/>
      <c r="IG49" s="2083"/>
      <c r="IH49" s="2083"/>
      <c r="II49" s="2083"/>
      <c r="IJ49" s="2083"/>
      <c r="IK49" s="2083"/>
      <c r="IL49" s="2083"/>
      <c r="IM49" s="2083"/>
      <c r="IN49" s="2083"/>
      <c r="IO49" s="2083"/>
      <c r="IP49" s="2083"/>
      <c r="IQ49" s="2083"/>
      <c r="IR49" s="2083"/>
      <c r="IS49" s="2083"/>
      <c r="IT49" s="2083"/>
      <c r="IU49" s="2083"/>
      <c r="IV49" s="2083"/>
    </row>
    <row r="50" spans="1:256" ht="24.75" customHeight="1">
      <c r="A50" s="2058"/>
      <c r="B50" s="2081" t="s">
        <v>7610</v>
      </c>
      <c r="C50" s="2082">
        <v>1</v>
      </c>
      <c r="D50" s="2082">
        <v>1</v>
      </c>
      <c r="E50" s="2062">
        <v>1.36</v>
      </c>
      <c r="F50" s="2062"/>
      <c r="G50" s="2063">
        <v>0.4</v>
      </c>
      <c r="H50" s="2062">
        <f t="shared" si="1"/>
        <v>0.54</v>
      </c>
      <c r="I50" s="2080"/>
      <c r="J50" s="2083"/>
      <c r="K50" s="2083"/>
      <c r="L50" s="2084"/>
      <c r="M50" s="2083"/>
      <c r="N50" s="2083"/>
      <c r="O50" s="2083"/>
      <c r="P50" s="2083"/>
      <c r="Q50" s="2083"/>
      <c r="R50" s="2083"/>
      <c r="S50" s="2083"/>
      <c r="T50" s="2083"/>
      <c r="U50" s="2083"/>
      <c r="V50" s="2083"/>
      <c r="W50" s="2083"/>
      <c r="X50" s="2083"/>
      <c r="Y50" s="2083"/>
      <c r="Z50" s="2083"/>
      <c r="AA50" s="2083"/>
      <c r="AB50" s="2083"/>
      <c r="AC50" s="2083"/>
      <c r="AD50" s="2083"/>
      <c r="AE50" s="2083"/>
      <c r="AF50" s="2083"/>
      <c r="AG50" s="2083"/>
      <c r="AH50" s="2083"/>
      <c r="AI50" s="2083"/>
      <c r="AJ50" s="2083"/>
      <c r="AK50" s="2083"/>
      <c r="AL50" s="2083"/>
      <c r="AM50" s="2083"/>
      <c r="AN50" s="2083"/>
      <c r="AO50" s="2083"/>
      <c r="AP50" s="2083"/>
      <c r="AQ50" s="2083"/>
      <c r="AR50" s="2083"/>
      <c r="AS50" s="2083"/>
      <c r="AT50" s="2083"/>
      <c r="AU50" s="2083"/>
      <c r="AV50" s="2083"/>
      <c r="AW50" s="2083"/>
      <c r="AX50" s="2083"/>
      <c r="AY50" s="2083"/>
      <c r="AZ50" s="2083"/>
      <c r="BA50" s="2083"/>
      <c r="BB50" s="2083"/>
      <c r="BC50" s="2083"/>
      <c r="BD50" s="2083"/>
      <c r="BE50" s="2083"/>
      <c r="BF50" s="2083"/>
      <c r="BG50" s="2083"/>
      <c r="BH50" s="2083"/>
      <c r="BI50" s="2083"/>
      <c r="BJ50" s="2083"/>
      <c r="BK50" s="2083"/>
      <c r="BL50" s="2083"/>
      <c r="BM50" s="2083"/>
      <c r="BN50" s="2083"/>
      <c r="BO50" s="2083"/>
      <c r="BP50" s="2083"/>
      <c r="BQ50" s="2083"/>
      <c r="BR50" s="2083"/>
      <c r="BS50" s="2083"/>
      <c r="BT50" s="2083"/>
      <c r="BU50" s="2083"/>
      <c r="BV50" s="2083"/>
      <c r="BW50" s="2083"/>
      <c r="BX50" s="2083"/>
      <c r="BY50" s="2083"/>
      <c r="BZ50" s="2083"/>
      <c r="CA50" s="2083"/>
      <c r="CB50" s="2083"/>
      <c r="CC50" s="2083"/>
      <c r="CD50" s="2083"/>
      <c r="CE50" s="2083"/>
      <c r="CF50" s="2083"/>
      <c r="CG50" s="2083"/>
      <c r="CH50" s="2083"/>
      <c r="CI50" s="2083"/>
      <c r="CJ50" s="2083"/>
      <c r="CK50" s="2083"/>
      <c r="CL50" s="2083"/>
      <c r="CM50" s="2083"/>
      <c r="CN50" s="2083"/>
      <c r="CO50" s="2083"/>
      <c r="CP50" s="2083"/>
      <c r="CQ50" s="2083"/>
      <c r="CR50" s="2083"/>
      <c r="CS50" s="2083"/>
      <c r="CT50" s="2083"/>
      <c r="CU50" s="2083"/>
      <c r="CV50" s="2083"/>
      <c r="CW50" s="2083"/>
      <c r="CX50" s="2083"/>
      <c r="CY50" s="2083"/>
      <c r="CZ50" s="2083"/>
      <c r="DA50" s="2083"/>
      <c r="DB50" s="2083"/>
      <c r="DC50" s="2083"/>
      <c r="DD50" s="2083"/>
      <c r="DE50" s="2083"/>
      <c r="DF50" s="2083"/>
      <c r="DG50" s="2083"/>
      <c r="DH50" s="2083"/>
      <c r="DI50" s="2083"/>
      <c r="DJ50" s="2083"/>
      <c r="DK50" s="2083"/>
      <c r="DL50" s="2083"/>
      <c r="DM50" s="2083"/>
      <c r="DN50" s="2083"/>
      <c r="DO50" s="2083"/>
      <c r="DP50" s="2083"/>
      <c r="DQ50" s="2083"/>
      <c r="DR50" s="2083"/>
      <c r="DS50" s="2083"/>
      <c r="DT50" s="2083"/>
      <c r="DU50" s="2083"/>
      <c r="DV50" s="2083"/>
      <c r="DW50" s="2083"/>
      <c r="DX50" s="2083"/>
      <c r="DY50" s="2083"/>
      <c r="DZ50" s="2083"/>
      <c r="EA50" s="2083"/>
      <c r="EB50" s="2083"/>
      <c r="EC50" s="2083"/>
      <c r="ED50" s="2083"/>
      <c r="EE50" s="2083"/>
      <c r="EF50" s="2083"/>
      <c r="EG50" s="2083"/>
      <c r="EH50" s="2083"/>
      <c r="EI50" s="2083"/>
      <c r="EJ50" s="2083"/>
      <c r="EK50" s="2083"/>
      <c r="EL50" s="2083"/>
      <c r="EM50" s="2083"/>
      <c r="EN50" s="2083"/>
      <c r="EO50" s="2083"/>
      <c r="EP50" s="2083"/>
      <c r="EQ50" s="2083"/>
      <c r="ER50" s="2083"/>
      <c r="ES50" s="2083"/>
      <c r="ET50" s="2083"/>
      <c r="EU50" s="2083"/>
      <c r="EV50" s="2083"/>
      <c r="EW50" s="2083"/>
      <c r="EX50" s="2083"/>
      <c r="EY50" s="2083"/>
      <c r="EZ50" s="2083"/>
      <c r="FA50" s="2083"/>
      <c r="FB50" s="2083"/>
      <c r="FC50" s="2083"/>
      <c r="FD50" s="2083"/>
      <c r="FE50" s="2083"/>
      <c r="FF50" s="2083"/>
      <c r="FG50" s="2083"/>
      <c r="FH50" s="2083"/>
      <c r="FI50" s="2083"/>
      <c r="FJ50" s="2083"/>
      <c r="FK50" s="2083"/>
      <c r="FL50" s="2083"/>
      <c r="FM50" s="2083"/>
      <c r="FN50" s="2083"/>
      <c r="FO50" s="2083"/>
      <c r="FP50" s="2083"/>
      <c r="FQ50" s="2083"/>
      <c r="FR50" s="2083"/>
      <c r="FS50" s="2083"/>
      <c r="FT50" s="2083"/>
      <c r="FU50" s="2083"/>
      <c r="FV50" s="2083"/>
      <c r="FW50" s="2083"/>
      <c r="FX50" s="2083"/>
      <c r="FY50" s="2083"/>
      <c r="FZ50" s="2083"/>
      <c r="GA50" s="2083"/>
      <c r="GB50" s="2083"/>
      <c r="GC50" s="2083"/>
      <c r="GD50" s="2083"/>
      <c r="GE50" s="2083"/>
      <c r="GF50" s="2083"/>
      <c r="GG50" s="2083"/>
      <c r="GH50" s="2083"/>
      <c r="GI50" s="2083"/>
      <c r="GJ50" s="2083"/>
      <c r="GK50" s="2083"/>
      <c r="GL50" s="2083"/>
      <c r="GM50" s="2083"/>
      <c r="GN50" s="2083"/>
      <c r="GO50" s="2083"/>
      <c r="GP50" s="2083"/>
      <c r="GQ50" s="2083"/>
      <c r="GR50" s="2083"/>
      <c r="GS50" s="2083"/>
      <c r="GT50" s="2083"/>
      <c r="GU50" s="2083"/>
      <c r="GV50" s="2083"/>
      <c r="GW50" s="2083"/>
      <c r="GX50" s="2083"/>
      <c r="GY50" s="2083"/>
      <c r="GZ50" s="2083"/>
      <c r="HA50" s="2083"/>
      <c r="HB50" s="2083"/>
      <c r="HC50" s="2083"/>
      <c r="HD50" s="2083"/>
      <c r="HE50" s="2083"/>
      <c r="HF50" s="2083"/>
      <c r="HG50" s="2083"/>
      <c r="HH50" s="2083"/>
      <c r="HI50" s="2083"/>
      <c r="HJ50" s="2083"/>
      <c r="HK50" s="2083"/>
      <c r="HL50" s="2083"/>
      <c r="HM50" s="2083"/>
      <c r="HN50" s="2083"/>
      <c r="HO50" s="2083"/>
      <c r="HP50" s="2083"/>
      <c r="HQ50" s="2083"/>
      <c r="HR50" s="2083"/>
      <c r="HS50" s="2083"/>
      <c r="HT50" s="2083"/>
      <c r="HU50" s="2083"/>
      <c r="HV50" s="2083"/>
      <c r="HW50" s="2083"/>
      <c r="HX50" s="2083"/>
      <c r="HY50" s="2083"/>
      <c r="HZ50" s="2083"/>
      <c r="IA50" s="2083"/>
      <c r="IB50" s="2083"/>
      <c r="IC50" s="2083"/>
      <c r="ID50" s="2083"/>
      <c r="IE50" s="2083"/>
      <c r="IF50" s="2083"/>
      <c r="IG50" s="2083"/>
      <c r="IH50" s="2083"/>
      <c r="II50" s="2083"/>
      <c r="IJ50" s="2083"/>
      <c r="IK50" s="2083"/>
      <c r="IL50" s="2083"/>
      <c r="IM50" s="2083"/>
      <c r="IN50" s="2083"/>
      <c r="IO50" s="2083"/>
      <c r="IP50" s="2083"/>
      <c r="IQ50" s="2083"/>
      <c r="IR50" s="2083"/>
      <c r="IS50" s="2083"/>
      <c r="IT50" s="2083"/>
      <c r="IU50" s="2083"/>
      <c r="IV50" s="2083"/>
    </row>
    <row r="51" spans="1:256" ht="24.75" customHeight="1">
      <c r="A51" s="2058"/>
      <c r="B51" s="2081" t="s">
        <v>7611</v>
      </c>
      <c r="C51" s="2082">
        <v>1</v>
      </c>
      <c r="D51" s="2082">
        <v>1</v>
      </c>
      <c r="E51" s="2062">
        <v>0.34</v>
      </c>
      <c r="F51" s="2062"/>
      <c r="G51" s="2063">
        <v>0.34</v>
      </c>
      <c r="H51" s="2062">
        <f t="shared" si="1"/>
        <v>0.12</v>
      </c>
      <c r="I51" s="2080"/>
      <c r="J51" s="2083"/>
      <c r="K51" s="2083"/>
      <c r="L51" s="2084"/>
      <c r="M51" s="2083"/>
      <c r="N51" s="2083"/>
      <c r="O51" s="2083"/>
      <c r="P51" s="2083"/>
      <c r="Q51" s="2083"/>
      <c r="R51" s="2083"/>
      <c r="S51" s="2083"/>
      <c r="T51" s="2083"/>
      <c r="U51" s="2083"/>
      <c r="V51" s="2083"/>
      <c r="W51" s="2083"/>
      <c r="X51" s="2083"/>
      <c r="Y51" s="2083"/>
      <c r="Z51" s="2083"/>
      <c r="AA51" s="2083"/>
      <c r="AB51" s="2083"/>
      <c r="AC51" s="2083"/>
      <c r="AD51" s="2083"/>
      <c r="AE51" s="2083"/>
      <c r="AF51" s="2083"/>
      <c r="AG51" s="2083"/>
      <c r="AH51" s="2083"/>
      <c r="AI51" s="2083"/>
      <c r="AJ51" s="2083"/>
      <c r="AK51" s="2083"/>
      <c r="AL51" s="2083"/>
      <c r="AM51" s="2083"/>
      <c r="AN51" s="2083"/>
      <c r="AO51" s="2083"/>
      <c r="AP51" s="2083"/>
      <c r="AQ51" s="2083"/>
      <c r="AR51" s="2083"/>
      <c r="AS51" s="2083"/>
      <c r="AT51" s="2083"/>
      <c r="AU51" s="2083"/>
      <c r="AV51" s="2083"/>
      <c r="AW51" s="2083"/>
      <c r="AX51" s="2083"/>
      <c r="AY51" s="2083"/>
      <c r="AZ51" s="2083"/>
      <c r="BA51" s="2083"/>
      <c r="BB51" s="2083"/>
      <c r="BC51" s="2083"/>
      <c r="BD51" s="2083"/>
      <c r="BE51" s="2083"/>
      <c r="BF51" s="2083"/>
      <c r="BG51" s="2083"/>
      <c r="BH51" s="2083"/>
      <c r="BI51" s="2083"/>
      <c r="BJ51" s="2083"/>
      <c r="BK51" s="2083"/>
      <c r="BL51" s="2083"/>
      <c r="BM51" s="2083"/>
      <c r="BN51" s="2083"/>
      <c r="BO51" s="2083"/>
      <c r="BP51" s="2083"/>
      <c r="BQ51" s="2083"/>
      <c r="BR51" s="2083"/>
      <c r="BS51" s="2083"/>
      <c r="BT51" s="2083"/>
      <c r="BU51" s="2083"/>
      <c r="BV51" s="2083"/>
      <c r="BW51" s="2083"/>
      <c r="BX51" s="2083"/>
      <c r="BY51" s="2083"/>
      <c r="BZ51" s="2083"/>
      <c r="CA51" s="2083"/>
      <c r="CB51" s="2083"/>
      <c r="CC51" s="2083"/>
      <c r="CD51" s="2083"/>
      <c r="CE51" s="2083"/>
      <c r="CF51" s="2083"/>
      <c r="CG51" s="2083"/>
      <c r="CH51" s="2083"/>
      <c r="CI51" s="2083"/>
      <c r="CJ51" s="2083"/>
      <c r="CK51" s="2083"/>
      <c r="CL51" s="2083"/>
      <c r="CM51" s="2083"/>
      <c r="CN51" s="2083"/>
      <c r="CO51" s="2083"/>
      <c r="CP51" s="2083"/>
      <c r="CQ51" s="2083"/>
      <c r="CR51" s="2083"/>
      <c r="CS51" s="2083"/>
      <c r="CT51" s="2083"/>
      <c r="CU51" s="2083"/>
      <c r="CV51" s="2083"/>
      <c r="CW51" s="2083"/>
      <c r="CX51" s="2083"/>
      <c r="CY51" s="2083"/>
      <c r="CZ51" s="2083"/>
      <c r="DA51" s="2083"/>
      <c r="DB51" s="2083"/>
      <c r="DC51" s="2083"/>
      <c r="DD51" s="2083"/>
      <c r="DE51" s="2083"/>
      <c r="DF51" s="2083"/>
      <c r="DG51" s="2083"/>
      <c r="DH51" s="2083"/>
      <c r="DI51" s="2083"/>
      <c r="DJ51" s="2083"/>
      <c r="DK51" s="2083"/>
      <c r="DL51" s="2083"/>
      <c r="DM51" s="2083"/>
      <c r="DN51" s="2083"/>
      <c r="DO51" s="2083"/>
      <c r="DP51" s="2083"/>
      <c r="DQ51" s="2083"/>
      <c r="DR51" s="2083"/>
      <c r="DS51" s="2083"/>
      <c r="DT51" s="2083"/>
      <c r="DU51" s="2083"/>
      <c r="DV51" s="2083"/>
      <c r="DW51" s="2083"/>
      <c r="DX51" s="2083"/>
      <c r="DY51" s="2083"/>
      <c r="DZ51" s="2083"/>
      <c r="EA51" s="2083"/>
      <c r="EB51" s="2083"/>
      <c r="EC51" s="2083"/>
      <c r="ED51" s="2083"/>
      <c r="EE51" s="2083"/>
      <c r="EF51" s="2083"/>
      <c r="EG51" s="2083"/>
      <c r="EH51" s="2083"/>
      <c r="EI51" s="2083"/>
      <c r="EJ51" s="2083"/>
      <c r="EK51" s="2083"/>
      <c r="EL51" s="2083"/>
      <c r="EM51" s="2083"/>
      <c r="EN51" s="2083"/>
      <c r="EO51" s="2083"/>
      <c r="EP51" s="2083"/>
      <c r="EQ51" s="2083"/>
      <c r="ER51" s="2083"/>
      <c r="ES51" s="2083"/>
      <c r="ET51" s="2083"/>
      <c r="EU51" s="2083"/>
      <c r="EV51" s="2083"/>
      <c r="EW51" s="2083"/>
      <c r="EX51" s="2083"/>
      <c r="EY51" s="2083"/>
      <c r="EZ51" s="2083"/>
      <c r="FA51" s="2083"/>
      <c r="FB51" s="2083"/>
      <c r="FC51" s="2083"/>
      <c r="FD51" s="2083"/>
      <c r="FE51" s="2083"/>
      <c r="FF51" s="2083"/>
      <c r="FG51" s="2083"/>
      <c r="FH51" s="2083"/>
      <c r="FI51" s="2083"/>
      <c r="FJ51" s="2083"/>
      <c r="FK51" s="2083"/>
      <c r="FL51" s="2083"/>
      <c r="FM51" s="2083"/>
      <c r="FN51" s="2083"/>
      <c r="FO51" s="2083"/>
      <c r="FP51" s="2083"/>
      <c r="FQ51" s="2083"/>
      <c r="FR51" s="2083"/>
      <c r="FS51" s="2083"/>
      <c r="FT51" s="2083"/>
      <c r="FU51" s="2083"/>
      <c r="FV51" s="2083"/>
      <c r="FW51" s="2083"/>
      <c r="FX51" s="2083"/>
      <c r="FY51" s="2083"/>
      <c r="FZ51" s="2083"/>
      <c r="GA51" s="2083"/>
      <c r="GB51" s="2083"/>
      <c r="GC51" s="2083"/>
      <c r="GD51" s="2083"/>
      <c r="GE51" s="2083"/>
      <c r="GF51" s="2083"/>
      <c r="GG51" s="2083"/>
      <c r="GH51" s="2083"/>
      <c r="GI51" s="2083"/>
      <c r="GJ51" s="2083"/>
      <c r="GK51" s="2083"/>
      <c r="GL51" s="2083"/>
      <c r="GM51" s="2083"/>
      <c r="GN51" s="2083"/>
      <c r="GO51" s="2083"/>
      <c r="GP51" s="2083"/>
      <c r="GQ51" s="2083"/>
      <c r="GR51" s="2083"/>
      <c r="GS51" s="2083"/>
      <c r="GT51" s="2083"/>
      <c r="GU51" s="2083"/>
      <c r="GV51" s="2083"/>
      <c r="GW51" s="2083"/>
      <c r="GX51" s="2083"/>
      <c r="GY51" s="2083"/>
      <c r="GZ51" s="2083"/>
      <c r="HA51" s="2083"/>
      <c r="HB51" s="2083"/>
      <c r="HC51" s="2083"/>
      <c r="HD51" s="2083"/>
      <c r="HE51" s="2083"/>
      <c r="HF51" s="2083"/>
      <c r="HG51" s="2083"/>
      <c r="HH51" s="2083"/>
      <c r="HI51" s="2083"/>
      <c r="HJ51" s="2083"/>
      <c r="HK51" s="2083"/>
      <c r="HL51" s="2083"/>
      <c r="HM51" s="2083"/>
      <c r="HN51" s="2083"/>
      <c r="HO51" s="2083"/>
      <c r="HP51" s="2083"/>
      <c r="HQ51" s="2083"/>
      <c r="HR51" s="2083"/>
      <c r="HS51" s="2083"/>
      <c r="HT51" s="2083"/>
      <c r="HU51" s="2083"/>
      <c r="HV51" s="2083"/>
      <c r="HW51" s="2083"/>
      <c r="HX51" s="2083"/>
      <c r="HY51" s="2083"/>
      <c r="HZ51" s="2083"/>
      <c r="IA51" s="2083"/>
      <c r="IB51" s="2083"/>
      <c r="IC51" s="2083"/>
      <c r="ID51" s="2083"/>
      <c r="IE51" s="2083"/>
      <c r="IF51" s="2083"/>
      <c r="IG51" s="2083"/>
      <c r="IH51" s="2083"/>
      <c r="II51" s="2083"/>
      <c r="IJ51" s="2083"/>
      <c r="IK51" s="2083"/>
      <c r="IL51" s="2083"/>
      <c r="IM51" s="2083"/>
      <c r="IN51" s="2083"/>
      <c r="IO51" s="2083"/>
      <c r="IP51" s="2083"/>
      <c r="IQ51" s="2083"/>
      <c r="IR51" s="2083"/>
      <c r="IS51" s="2083"/>
      <c r="IT51" s="2083"/>
      <c r="IU51" s="2083"/>
      <c r="IV51" s="2083"/>
    </row>
    <row r="52" spans="1:256" ht="24.75" customHeight="1">
      <c r="A52" s="2058"/>
      <c r="B52" s="2081"/>
      <c r="C52" s="2085"/>
      <c r="D52" s="2085"/>
      <c r="E52" s="2062"/>
      <c r="F52" s="2062"/>
      <c r="G52" s="2086" t="s">
        <v>2235</v>
      </c>
      <c r="H52" s="2067">
        <f>SUM(H46:H51)</f>
        <v>39.4</v>
      </c>
      <c r="I52" s="2068" t="s">
        <v>2273</v>
      </c>
      <c r="J52" s="2083"/>
      <c r="K52" s="2083"/>
      <c r="L52" s="2084"/>
      <c r="M52" s="2083"/>
      <c r="N52" s="2083"/>
      <c r="O52" s="2083"/>
      <c r="P52" s="2083"/>
      <c r="Q52" s="2083"/>
      <c r="R52" s="2083"/>
      <c r="S52" s="2083"/>
      <c r="T52" s="2083"/>
      <c r="U52" s="2083"/>
      <c r="V52" s="2083"/>
      <c r="W52" s="2083"/>
      <c r="X52" s="2083"/>
      <c r="Y52" s="2083"/>
      <c r="Z52" s="2083"/>
      <c r="AA52" s="2083"/>
      <c r="AB52" s="2083"/>
      <c r="AC52" s="2083"/>
      <c r="AD52" s="2083"/>
      <c r="AE52" s="2083"/>
      <c r="AF52" s="2083"/>
      <c r="AG52" s="2083"/>
      <c r="AH52" s="2083"/>
      <c r="AI52" s="2083"/>
      <c r="AJ52" s="2083"/>
      <c r="AK52" s="2083"/>
      <c r="AL52" s="2083"/>
      <c r="AM52" s="2083"/>
      <c r="AN52" s="2083"/>
      <c r="AO52" s="2083"/>
      <c r="AP52" s="2083"/>
      <c r="AQ52" s="2083"/>
      <c r="AR52" s="2083"/>
      <c r="AS52" s="2083"/>
      <c r="AT52" s="2083"/>
      <c r="AU52" s="2083"/>
      <c r="AV52" s="2083"/>
      <c r="AW52" s="2083"/>
      <c r="AX52" s="2083"/>
      <c r="AY52" s="2083"/>
      <c r="AZ52" s="2083"/>
      <c r="BA52" s="2083"/>
      <c r="BB52" s="2083"/>
      <c r="BC52" s="2083"/>
      <c r="BD52" s="2083"/>
      <c r="BE52" s="2083"/>
      <c r="BF52" s="2083"/>
      <c r="BG52" s="2083"/>
      <c r="BH52" s="2083"/>
      <c r="BI52" s="2083"/>
      <c r="BJ52" s="2083"/>
      <c r="BK52" s="2083"/>
      <c r="BL52" s="2083"/>
      <c r="BM52" s="2083"/>
      <c r="BN52" s="2083"/>
      <c r="BO52" s="2083"/>
      <c r="BP52" s="2083"/>
      <c r="BQ52" s="2083"/>
      <c r="BR52" s="2083"/>
      <c r="BS52" s="2083"/>
      <c r="BT52" s="2083"/>
      <c r="BU52" s="2083"/>
      <c r="BV52" s="2083"/>
      <c r="BW52" s="2083"/>
      <c r="BX52" s="2083"/>
      <c r="BY52" s="2083"/>
      <c r="BZ52" s="2083"/>
      <c r="CA52" s="2083"/>
      <c r="CB52" s="2083"/>
      <c r="CC52" s="2083"/>
      <c r="CD52" s="2083"/>
      <c r="CE52" s="2083"/>
      <c r="CF52" s="2083"/>
      <c r="CG52" s="2083"/>
      <c r="CH52" s="2083"/>
      <c r="CI52" s="2083"/>
      <c r="CJ52" s="2083"/>
      <c r="CK52" s="2083"/>
      <c r="CL52" s="2083"/>
      <c r="CM52" s="2083"/>
      <c r="CN52" s="2083"/>
      <c r="CO52" s="2083"/>
      <c r="CP52" s="2083"/>
      <c r="CQ52" s="2083"/>
      <c r="CR52" s="2083"/>
      <c r="CS52" s="2083"/>
      <c r="CT52" s="2083"/>
      <c r="CU52" s="2083"/>
      <c r="CV52" s="2083"/>
      <c r="CW52" s="2083"/>
      <c r="CX52" s="2083"/>
      <c r="CY52" s="2083"/>
      <c r="CZ52" s="2083"/>
      <c r="DA52" s="2083"/>
      <c r="DB52" s="2083"/>
      <c r="DC52" s="2083"/>
      <c r="DD52" s="2083"/>
      <c r="DE52" s="2083"/>
      <c r="DF52" s="2083"/>
      <c r="DG52" s="2083"/>
      <c r="DH52" s="2083"/>
      <c r="DI52" s="2083"/>
      <c r="DJ52" s="2083"/>
      <c r="DK52" s="2083"/>
      <c r="DL52" s="2083"/>
      <c r="DM52" s="2083"/>
      <c r="DN52" s="2083"/>
      <c r="DO52" s="2083"/>
      <c r="DP52" s="2083"/>
      <c r="DQ52" s="2083"/>
      <c r="DR52" s="2083"/>
      <c r="DS52" s="2083"/>
      <c r="DT52" s="2083"/>
      <c r="DU52" s="2083"/>
      <c r="DV52" s="2083"/>
      <c r="DW52" s="2083"/>
      <c r="DX52" s="2083"/>
      <c r="DY52" s="2083"/>
      <c r="DZ52" s="2083"/>
      <c r="EA52" s="2083"/>
      <c r="EB52" s="2083"/>
      <c r="EC52" s="2083"/>
      <c r="ED52" s="2083"/>
      <c r="EE52" s="2083"/>
      <c r="EF52" s="2083"/>
      <c r="EG52" s="2083"/>
      <c r="EH52" s="2083"/>
      <c r="EI52" s="2083"/>
      <c r="EJ52" s="2083"/>
      <c r="EK52" s="2083"/>
      <c r="EL52" s="2083"/>
      <c r="EM52" s="2083"/>
      <c r="EN52" s="2083"/>
      <c r="EO52" s="2083"/>
      <c r="EP52" s="2083"/>
      <c r="EQ52" s="2083"/>
      <c r="ER52" s="2083"/>
      <c r="ES52" s="2083"/>
      <c r="ET52" s="2083"/>
      <c r="EU52" s="2083"/>
      <c r="EV52" s="2083"/>
      <c r="EW52" s="2083"/>
      <c r="EX52" s="2083"/>
      <c r="EY52" s="2083"/>
      <c r="EZ52" s="2083"/>
      <c r="FA52" s="2083"/>
      <c r="FB52" s="2083"/>
      <c r="FC52" s="2083"/>
      <c r="FD52" s="2083"/>
      <c r="FE52" s="2083"/>
      <c r="FF52" s="2083"/>
      <c r="FG52" s="2083"/>
      <c r="FH52" s="2083"/>
      <c r="FI52" s="2083"/>
      <c r="FJ52" s="2083"/>
      <c r="FK52" s="2083"/>
      <c r="FL52" s="2083"/>
      <c r="FM52" s="2083"/>
      <c r="FN52" s="2083"/>
      <c r="FO52" s="2083"/>
      <c r="FP52" s="2083"/>
      <c r="FQ52" s="2083"/>
      <c r="FR52" s="2083"/>
      <c r="FS52" s="2083"/>
      <c r="FT52" s="2083"/>
      <c r="FU52" s="2083"/>
      <c r="FV52" s="2083"/>
      <c r="FW52" s="2083"/>
      <c r="FX52" s="2083"/>
      <c r="FY52" s="2083"/>
      <c r="FZ52" s="2083"/>
      <c r="GA52" s="2083"/>
      <c r="GB52" s="2083"/>
      <c r="GC52" s="2083"/>
      <c r="GD52" s="2083"/>
      <c r="GE52" s="2083"/>
      <c r="GF52" s="2083"/>
      <c r="GG52" s="2083"/>
      <c r="GH52" s="2083"/>
      <c r="GI52" s="2083"/>
      <c r="GJ52" s="2083"/>
      <c r="GK52" s="2083"/>
      <c r="GL52" s="2083"/>
      <c r="GM52" s="2083"/>
      <c r="GN52" s="2083"/>
      <c r="GO52" s="2083"/>
      <c r="GP52" s="2083"/>
      <c r="GQ52" s="2083"/>
      <c r="GR52" s="2083"/>
      <c r="GS52" s="2083"/>
      <c r="GT52" s="2083"/>
      <c r="GU52" s="2083"/>
      <c r="GV52" s="2083"/>
      <c r="GW52" s="2083"/>
      <c r="GX52" s="2083"/>
      <c r="GY52" s="2083"/>
      <c r="GZ52" s="2083"/>
      <c r="HA52" s="2083"/>
      <c r="HB52" s="2083"/>
      <c r="HC52" s="2083"/>
      <c r="HD52" s="2083"/>
      <c r="HE52" s="2083"/>
      <c r="HF52" s="2083"/>
      <c r="HG52" s="2083"/>
      <c r="HH52" s="2083"/>
      <c r="HI52" s="2083"/>
      <c r="HJ52" s="2083"/>
      <c r="HK52" s="2083"/>
      <c r="HL52" s="2083"/>
      <c r="HM52" s="2083"/>
      <c r="HN52" s="2083"/>
      <c r="HO52" s="2083"/>
      <c r="HP52" s="2083"/>
      <c r="HQ52" s="2083"/>
      <c r="HR52" s="2083"/>
      <c r="HS52" s="2083"/>
      <c r="HT52" s="2083"/>
      <c r="HU52" s="2083"/>
      <c r="HV52" s="2083"/>
      <c r="HW52" s="2083"/>
      <c r="HX52" s="2083"/>
      <c r="HY52" s="2083"/>
      <c r="HZ52" s="2083"/>
      <c r="IA52" s="2083"/>
      <c r="IB52" s="2083"/>
      <c r="IC52" s="2083"/>
      <c r="ID52" s="2083"/>
      <c r="IE52" s="2083"/>
      <c r="IF52" s="2083"/>
      <c r="IG52" s="2083"/>
      <c r="IH52" s="2083"/>
      <c r="II52" s="2083"/>
      <c r="IJ52" s="2083"/>
      <c r="IK52" s="2083"/>
      <c r="IL52" s="2083"/>
      <c r="IM52" s="2083"/>
      <c r="IN52" s="2083"/>
      <c r="IO52" s="2083"/>
      <c r="IP52" s="2083"/>
      <c r="IQ52" s="2083"/>
      <c r="IR52" s="2083"/>
      <c r="IS52" s="2083"/>
      <c r="IT52" s="2083"/>
      <c r="IU52" s="2083"/>
      <c r="IV52" s="2083"/>
    </row>
    <row r="53" spans="1:256" ht="28.5" customHeight="1">
      <c r="A53" s="2058">
        <v>34</v>
      </c>
      <c r="B53" s="2073" t="s">
        <v>7612</v>
      </c>
      <c r="C53" s="2073"/>
      <c r="D53" s="2073"/>
      <c r="E53" s="2073"/>
      <c r="F53" s="2073"/>
      <c r="G53" s="2073"/>
      <c r="H53" s="2062"/>
      <c r="I53" s="2080"/>
      <c r="J53" s="2083"/>
      <c r="K53" s="2083"/>
      <c r="L53" s="2083"/>
      <c r="M53" s="2083"/>
      <c r="N53" s="2083"/>
      <c r="O53" s="2083"/>
      <c r="P53" s="2083"/>
      <c r="Q53" s="2083"/>
      <c r="R53" s="2083"/>
      <c r="S53" s="2083"/>
      <c r="T53" s="2083"/>
      <c r="U53" s="2083"/>
      <c r="V53" s="2083"/>
      <c r="W53" s="2083"/>
      <c r="X53" s="2083"/>
      <c r="Y53" s="2083"/>
      <c r="Z53" s="2083"/>
      <c r="AA53" s="2083"/>
      <c r="AB53" s="2083"/>
      <c r="AC53" s="2083"/>
      <c r="AD53" s="2083"/>
      <c r="AE53" s="2083"/>
      <c r="AF53" s="2083"/>
      <c r="AG53" s="2083"/>
      <c r="AH53" s="2083"/>
      <c r="AI53" s="2083"/>
      <c r="AJ53" s="2083"/>
      <c r="AK53" s="2083"/>
      <c r="AL53" s="2083"/>
      <c r="AM53" s="2083"/>
      <c r="AN53" s="2083"/>
      <c r="AO53" s="2083"/>
      <c r="AP53" s="2083"/>
      <c r="AQ53" s="2083"/>
      <c r="AR53" s="2083"/>
      <c r="AS53" s="2083"/>
      <c r="AT53" s="2083"/>
      <c r="AU53" s="2083"/>
      <c r="AV53" s="2083"/>
      <c r="AW53" s="2083"/>
      <c r="AX53" s="2083"/>
      <c r="AY53" s="2083"/>
      <c r="AZ53" s="2083"/>
      <c r="BA53" s="2083"/>
      <c r="BB53" s="2083"/>
      <c r="BC53" s="2083"/>
      <c r="BD53" s="2083"/>
      <c r="BE53" s="2083"/>
      <c r="BF53" s="2083"/>
      <c r="BG53" s="2083"/>
      <c r="BH53" s="2083"/>
      <c r="BI53" s="2083"/>
      <c r="BJ53" s="2083"/>
      <c r="BK53" s="2083"/>
      <c r="BL53" s="2083"/>
      <c r="BM53" s="2083"/>
      <c r="BN53" s="2083"/>
      <c r="BO53" s="2083"/>
      <c r="BP53" s="2083"/>
      <c r="BQ53" s="2083"/>
      <c r="BR53" s="2083"/>
      <c r="BS53" s="2083"/>
      <c r="BT53" s="2083"/>
      <c r="BU53" s="2083"/>
      <c r="BV53" s="2083"/>
      <c r="BW53" s="2083"/>
      <c r="BX53" s="2083"/>
      <c r="BY53" s="2083"/>
      <c r="BZ53" s="2083"/>
      <c r="CA53" s="2083"/>
      <c r="CB53" s="2083"/>
      <c r="CC53" s="2083"/>
      <c r="CD53" s="2083"/>
      <c r="CE53" s="2083"/>
      <c r="CF53" s="2083"/>
      <c r="CG53" s="2083"/>
      <c r="CH53" s="2083"/>
      <c r="CI53" s="2083"/>
      <c r="CJ53" s="2083"/>
      <c r="CK53" s="2083"/>
      <c r="CL53" s="2083"/>
      <c r="CM53" s="2083"/>
      <c r="CN53" s="2083"/>
      <c r="CO53" s="2083"/>
      <c r="CP53" s="2083"/>
      <c r="CQ53" s="2083"/>
      <c r="CR53" s="2083"/>
      <c r="CS53" s="2083"/>
      <c r="CT53" s="2083"/>
      <c r="CU53" s="2083"/>
      <c r="CV53" s="2083"/>
      <c r="CW53" s="2083"/>
      <c r="CX53" s="2083"/>
      <c r="CY53" s="2083"/>
      <c r="CZ53" s="2083"/>
      <c r="DA53" s="2083"/>
      <c r="DB53" s="2083"/>
      <c r="DC53" s="2083"/>
      <c r="DD53" s="2083"/>
      <c r="DE53" s="2083"/>
      <c r="DF53" s="2083"/>
      <c r="DG53" s="2083"/>
      <c r="DH53" s="2083"/>
      <c r="DI53" s="2083"/>
      <c r="DJ53" s="2083"/>
      <c r="DK53" s="2083"/>
      <c r="DL53" s="2083"/>
      <c r="DM53" s="2083"/>
      <c r="DN53" s="2083"/>
      <c r="DO53" s="2083"/>
      <c r="DP53" s="2083"/>
      <c r="DQ53" s="2083"/>
      <c r="DR53" s="2083"/>
      <c r="DS53" s="2083"/>
      <c r="DT53" s="2083"/>
      <c r="DU53" s="2083"/>
      <c r="DV53" s="2083"/>
      <c r="DW53" s="2083"/>
      <c r="DX53" s="2083"/>
      <c r="DY53" s="2083"/>
      <c r="DZ53" s="2083"/>
      <c r="EA53" s="2083"/>
      <c r="EB53" s="2083"/>
      <c r="EC53" s="2083"/>
      <c r="ED53" s="2083"/>
      <c r="EE53" s="2083"/>
      <c r="EF53" s="2083"/>
      <c r="EG53" s="2083"/>
      <c r="EH53" s="2083"/>
      <c r="EI53" s="2083"/>
      <c r="EJ53" s="2083"/>
      <c r="EK53" s="2083"/>
      <c r="EL53" s="2083"/>
      <c r="EM53" s="2083"/>
      <c r="EN53" s="2083"/>
      <c r="EO53" s="2083"/>
      <c r="EP53" s="2083"/>
      <c r="EQ53" s="2083"/>
      <c r="ER53" s="2083"/>
      <c r="ES53" s="2083"/>
      <c r="ET53" s="2083"/>
      <c r="EU53" s="2083"/>
      <c r="EV53" s="2083"/>
      <c r="EW53" s="2083"/>
      <c r="EX53" s="2083"/>
      <c r="EY53" s="2083"/>
      <c r="EZ53" s="2083"/>
      <c r="FA53" s="2083"/>
      <c r="FB53" s="2083"/>
      <c r="FC53" s="2083"/>
      <c r="FD53" s="2083"/>
      <c r="FE53" s="2083"/>
      <c r="FF53" s="2083"/>
      <c r="FG53" s="2083"/>
      <c r="FH53" s="2083"/>
      <c r="FI53" s="2083"/>
      <c r="FJ53" s="2083"/>
      <c r="FK53" s="2083"/>
      <c r="FL53" s="2083"/>
      <c r="FM53" s="2083"/>
      <c r="FN53" s="2083"/>
      <c r="FO53" s="2083"/>
      <c r="FP53" s="2083"/>
      <c r="FQ53" s="2083"/>
      <c r="FR53" s="2083"/>
      <c r="FS53" s="2083"/>
      <c r="FT53" s="2083"/>
      <c r="FU53" s="2083"/>
      <c r="FV53" s="2083"/>
      <c r="FW53" s="2083"/>
      <c r="FX53" s="2083"/>
      <c r="FY53" s="2083"/>
      <c r="FZ53" s="2083"/>
      <c r="GA53" s="2083"/>
      <c r="GB53" s="2083"/>
      <c r="GC53" s="2083"/>
      <c r="GD53" s="2083"/>
      <c r="GE53" s="2083"/>
      <c r="GF53" s="2083"/>
      <c r="GG53" s="2083"/>
      <c r="GH53" s="2083"/>
      <c r="GI53" s="2083"/>
      <c r="GJ53" s="2083"/>
      <c r="GK53" s="2083"/>
      <c r="GL53" s="2083"/>
      <c r="GM53" s="2083"/>
      <c r="GN53" s="2083"/>
      <c r="GO53" s="2083"/>
      <c r="GP53" s="2083"/>
      <c r="GQ53" s="2083"/>
      <c r="GR53" s="2083"/>
      <c r="GS53" s="2083"/>
      <c r="GT53" s="2083"/>
      <c r="GU53" s="2083"/>
      <c r="GV53" s="2083"/>
      <c r="GW53" s="2083"/>
      <c r="GX53" s="2083"/>
      <c r="GY53" s="2083"/>
      <c r="GZ53" s="2083"/>
      <c r="HA53" s="2083"/>
      <c r="HB53" s="2083"/>
      <c r="HC53" s="2083"/>
      <c r="HD53" s="2083"/>
      <c r="HE53" s="2083"/>
      <c r="HF53" s="2083"/>
      <c r="HG53" s="2083"/>
      <c r="HH53" s="2083"/>
      <c r="HI53" s="2083"/>
      <c r="HJ53" s="2083"/>
      <c r="HK53" s="2083"/>
      <c r="HL53" s="2083"/>
      <c r="HM53" s="2083"/>
      <c r="HN53" s="2083"/>
      <c r="HO53" s="2083"/>
      <c r="HP53" s="2083"/>
      <c r="HQ53" s="2083"/>
      <c r="HR53" s="2083"/>
      <c r="HS53" s="2083"/>
      <c r="HT53" s="2083"/>
      <c r="HU53" s="2083"/>
      <c r="HV53" s="2083"/>
      <c r="HW53" s="2083"/>
      <c r="HX53" s="2083"/>
      <c r="HY53" s="2083"/>
      <c r="HZ53" s="2083"/>
      <c r="IA53" s="2083"/>
      <c r="IB53" s="2083"/>
      <c r="IC53" s="2083"/>
      <c r="ID53" s="2083"/>
      <c r="IE53" s="2083"/>
      <c r="IF53" s="2083"/>
      <c r="IG53" s="2083"/>
      <c r="IH53" s="2083"/>
      <c r="II53" s="2083"/>
      <c r="IJ53" s="2083"/>
      <c r="IK53" s="2083"/>
      <c r="IL53" s="2083"/>
      <c r="IM53" s="2083"/>
      <c r="IN53" s="2083"/>
      <c r="IO53" s="2083"/>
      <c r="IP53" s="2083"/>
      <c r="IQ53" s="2083"/>
      <c r="IR53" s="2083"/>
      <c r="IS53" s="2083"/>
      <c r="IT53" s="2083"/>
      <c r="IU53" s="2083"/>
      <c r="IV53" s="2083"/>
    </row>
    <row r="54" spans="1:256" ht="27" customHeight="1">
      <c r="A54" s="2058"/>
      <c r="B54" s="2081" t="s">
        <v>7613</v>
      </c>
      <c r="C54" s="2082">
        <v>1</v>
      </c>
      <c r="D54" s="2082">
        <v>1</v>
      </c>
      <c r="E54" s="2062">
        <v>12</v>
      </c>
      <c r="F54" s="2062"/>
      <c r="G54" s="2063">
        <v>1.9</v>
      </c>
      <c r="H54" s="2062">
        <f>PRODUCT(C54:G54)</f>
        <v>22.8</v>
      </c>
      <c r="I54" s="2080"/>
      <c r="J54" s="2083"/>
      <c r="K54" s="2083"/>
      <c r="L54" s="2083"/>
      <c r="M54" s="2083"/>
      <c r="N54" s="2083"/>
      <c r="O54" s="2083"/>
      <c r="P54" s="2083"/>
      <c r="Q54" s="2083"/>
      <c r="R54" s="2083"/>
      <c r="S54" s="2083"/>
      <c r="T54" s="2083"/>
      <c r="U54" s="2083"/>
      <c r="V54" s="2083"/>
      <c r="W54" s="2083"/>
      <c r="X54" s="2083"/>
      <c r="Y54" s="2083"/>
      <c r="Z54" s="2083"/>
      <c r="AA54" s="2083"/>
      <c r="AB54" s="2083"/>
      <c r="AC54" s="2083"/>
      <c r="AD54" s="2083"/>
      <c r="AE54" s="2083"/>
      <c r="AF54" s="2083"/>
      <c r="AG54" s="2083"/>
      <c r="AH54" s="2083"/>
      <c r="AI54" s="2083"/>
      <c r="AJ54" s="2083"/>
      <c r="AK54" s="2083"/>
      <c r="AL54" s="2083"/>
      <c r="AM54" s="2083"/>
      <c r="AN54" s="2083"/>
      <c r="AO54" s="2083"/>
      <c r="AP54" s="2083"/>
      <c r="AQ54" s="2083"/>
      <c r="AR54" s="2083"/>
      <c r="AS54" s="2083"/>
      <c r="AT54" s="2083"/>
      <c r="AU54" s="2083"/>
      <c r="AV54" s="2083"/>
      <c r="AW54" s="2083"/>
      <c r="AX54" s="2083"/>
      <c r="AY54" s="2083"/>
      <c r="AZ54" s="2083"/>
      <c r="BA54" s="2083"/>
      <c r="BB54" s="2083"/>
      <c r="BC54" s="2083"/>
      <c r="BD54" s="2083"/>
      <c r="BE54" s="2083"/>
      <c r="BF54" s="2083"/>
      <c r="BG54" s="2083"/>
      <c r="BH54" s="2083"/>
      <c r="BI54" s="2083"/>
      <c r="BJ54" s="2083"/>
      <c r="BK54" s="2083"/>
      <c r="BL54" s="2083"/>
      <c r="BM54" s="2083"/>
      <c r="BN54" s="2083"/>
      <c r="BO54" s="2083"/>
      <c r="BP54" s="2083"/>
      <c r="BQ54" s="2083"/>
      <c r="BR54" s="2083"/>
      <c r="BS54" s="2083"/>
      <c r="BT54" s="2083"/>
      <c r="BU54" s="2083"/>
      <c r="BV54" s="2083"/>
      <c r="BW54" s="2083"/>
      <c r="BX54" s="2083"/>
      <c r="BY54" s="2083"/>
      <c r="BZ54" s="2083"/>
      <c r="CA54" s="2083"/>
      <c r="CB54" s="2083"/>
      <c r="CC54" s="2083"/>
      <c r="CD54" s="2083"/>
      <c r="CE54" s="2083"/>
      <c r="CF54" s="2083"/>
      <c r="CG54" s="2083"/>
      <c r="CH54" s="2083"/>
      <c r="CI54" s="2083"/>
      <c r="CJ54" s="2083"/>
      <c r="CK54" s="2083"/>
      <c r="CL54" s="2083"/>
      <c r="CM54" s="2083"/>
      <c r="CN54" s="2083"/>
      <c r="CO54" s="2083"/>
      <c r="CP54" s="2083"/>
      <c r="CQ54" s="2083"/>
      <c r="CR54" s="2083"/>
      <c r="CS54" s="2083"/>
      <c r="CT54" s="2083"/>
      <c r="CU54" s="2083"/>
      <c r="CV54" s="2083"/>
      <c r="CW54" s="2083"/>
      <c r="CX54" s="2083"/>
      <c r="CY54" s="2083"/>
      <c r="CZ54" s="2083"/>
      <c r="DA54" s="2083"/>
      <c r="DB54" s="2083"/>
      <c r="DC54" s="2083"/>
      <c r="DD54" s="2083"/>
      <c r="DE54" s="2083"/>
      <c r="DF54" s="2083"/>
      <c r="DG54" s="2083"/>
      <c r="DH54" s="2083"/>
      <c r="DI54" s="2083"/>
      <c r="DJ54" s="2083"/>
      <c r="DK54" s="2083"/>
      <c r="DL54" s="2083"/>
      <c r="DM54" s="2083"/>
      <c r="DN54" s="2083"/>
      <c r="DO54" s="2083"/>
      <c r="DP54" s="2083"/>
      <c r="DQ54" s="2083"/>
      <c r="DR54" s="2083"/>
      <c r="DS54" s="2083"/>
      <c r="DT54" s="2083"/>
      <c r="DU54" s="2083"/>
      <c r="DV54" s="2083"/>
      <c r="DW54" s="2083"/>
      <c r="DX54" s="2083"/>
      <c r="DY54" s="2083"/>
      <c r="DZ54" s="2083"/>
      <c r="EA54" s="2083"/>
      <c r="EB54" s="2083"/>
      <c r="EC54" s="2083"/>
      <c r="ED54" s="2083"/>
      <c r="EE54" s="2083"/>
      <c r="EF54" s="2083"/>
      <c r="EG54" s="2083"/>
      <c r="EH54" s="2083"/>
      <c r="EI54" s="2083"/>
      <c r="EJ54" s="2083"/>
      <c r="EK54" s="2083"/>
      <c r="EL54" s="2083"/>
      <c r="EM54" s="2083"/>
      <c r="EN54" s="2083"/>
      <c r="EO54" s="2083"/>
      <c r="EP54" s="2083"/>
      <c r="EQ54" s="2083"/>
      <c r="ER54" s="2083"/>
      <c r="ES54" s="2083"/>
      <c r="ET54" s="2083"/>
      <c r="EU54" s="2083"/>
      <c r="EV54" s="2083"/>
      <c r="EW54" s="2083"/>
      <c r="EX54" s="2083"/>
      <c r="EY54" s="2083"/>
      <c r="EZ54" s="2083"/>
      <c r="FA54" s="2083"/>
      <c r="FB54" s="2083"/>
      <c r="FC54" s="2083"/>
      <c r="FD54" s="2083"/>
      <c r="FE54" s="2083"/>
      <c r="FF54" s="2083"/>
      <c r="FG54" s="2083"/>
      <c r="FH54" s="2083"/>
      <c r="FI54" s="2083"/>
      <c r="FJ54" s="2083"/>
      <c r="FK54" s="2083"/>
      <c r="FL54" s="2083"/>
      <c r="FM54" s="2083"/>
      <c r="FN54" s="2083"/>
      <c r="FO54" s="2083"/>
      <c r="FP54" s="2083"/>
      <c r="FQ54" s="2083"/>
      <c r="FR54" s="2083"/>
      <c r="FS54" s="2083"/>
      <c r="FT54" s="2083"/>
      <c r="FU54" s="2083"/>
      <c r="FV54" s="2083"/>
      <c r="FW54" s="2083"/>
      <c r="FX54" s="2083"/>
      <c r="FY54" s="2083"/>
      <c r="FZ54" s="2083"/>
      <c r="GA54" s="2083"/>
      <c r="GB54" s="2083"/>
      <c r="GC54" s="2083"/>
      <c r="GD54" s="2083"/>
      <c r="GE54" s="2083"/>
      <c r="GF54" s="2083"/>
      <c r="GG54" s="2083"/>
      <c r="GH54" s="2083"/>
      <c r="GI54" s="2083"/>
      <c r="GJ54" s="2083"/>
      <c r="GK54" s="2083"/>
      <c r="GL54" s="2083"/>
      <c r="GM54" s="2083"/>
      <c r="GN54" s="2083"/>
      <c r="GO54" s="2083"/>
      <c r="GP54" s="2083"/>
      <c r="GQ54" s="2083"/>
      <c r="GR54" s="2083"/>
      <c r="GS54" s="2083"/>
      <c r="GT54" s="2083"/>
      <c r="GU54" s="2083"/>
      <c r="GV54" s="2083"/>
      <c r="GW54" s="2083"/>
      <c r="GX54" s="2083"/>
      <c r="GY54" s="2083"/>
      <c r="GZ54" s="2083"/>
      <c r="HA54" s="2083"/>
      <c r="HB54" s="2083"/>
      <c r="HC54" s="2083"/>
      <c r="HD54" s="2083"/>
      <c r="HE54" s="2083"/>
      <c r="HF54" s="2083"/>
      <c r="HG54" s="2083"/>
      <c r="HH54" s="2083"/>
      <c r="HI54" s="2083"/>
      <c r="HJ54" s="2083"/>
      <c r="HK54" s="2083"/>
      <c r="HL54" s="2083"/>
      <c r="HM54" s="2083"/>
      <c r="HN54" s="2083"/>
      <c r="HO54" s="2083"/>
      <c r="HP54" s="2083"/>
      <c r="HQ54" s="2083"/>
      <c r="HR54" s="2083"/>
      <c r="HS54" s="2083"/>
      <c r="HT54" s="2083"/>
      <c r="HU54" s="2083"/>
      <c r="HV54" s="2083"/>
      <c r="HW54" s="2083"/>
      <c r="HX54" s="2083"/>
      <c r="HY54" s="2083"/>
      <c r="HZ54" s="2083"/>
      <c r="IA54" s="2083"/>
      <c r="IB54" s="2083"/>
      <c r="IC54" s="2083"/>
      <c r="ID54" s="2083"/>
      <c r="IE54" s="2083"/>
      <c r="IF54" s="2083"/>
      <c r="IG54" s="2083"/>
      <c r="IH54" s="2083"/>
      <c r="II54" s="2083"/>
      <c r="IJ54" s="2083"/>
      <c r="IK54" s="2083"/>
      <c r="IL54" s="2083"/>
      <c r="IM54" s="2083"/>
      <c r="IN54" s="2083"/>
      <c r="IO54" s="2083"/>
      <c r="IP54" s="2083"/>
      <c r="IQ54" s="2083"/>
      <c r="IR54" s="2083"/>
      <c r="IS54" s="2083"/>
      <c r="IT54" s="2083"/>
      <c r="IU54" s="2083"/>
      <c r="IV54" s="2083"/>
    </row>
    <row r="55" spans="1:256" ht="27" customHeight="1">
      <c r="A55" s="2058"/>
      <c r="B55" s="2081" t="s">
        <v>7614</v>
      </c>
      <c r="C55" s="2082">
        <v>1</v>
      </c>
      <c r="D55" s="2082">
        <v>2</v>
      </c>
      <c r="E55" s="2062">
        <v>2.4</v>
      </c>
      <c r="F55" s="2062"/>
      <c r="G55" s="2063">
        <v>0.6</v>
      </c>
      <c r="H55" s="2062">
        <f>PRODUCT(C55:G55)</f>
        <v>2.88</v>
      </c>
      <c r="I55" s="2080"/>
      <c r="J55" s="2083"/>
      <c r="K55" s="2083"/>
      <c r="L55" s="2083"/>
      <c r="M55" s="2083"/>
      <c r="N55" s="2083"/>
      <c r="O55" s="2083"/>
      <c r="P55" s="2083"/>
      <c r="Q55" s="2083"/>
      <c r="R55" s="2083"/>
      <c r="S55" s="2083"/>
      <c r="T55" s="2083"/>
      <c r="U55" s="2083"/>
      <c r="V55" s="2083"/>
      <c r="W55" s="2083"/>
      <c r="X55" s="2083"/>
      <c r="Y55" s="2083"/>
      <c r="Z55" s="2083"/>
      <c r="AA55" s="2083"/>
      <c r="AB55" s="2083"/>
      <c r="AC55" s="2083"/>
      <c r="AD55" s="2083"/>
      <c r="AE55" s="2083"/>
      <c r="AF55" s="2083"/>
      <c r="AG55" s="2083"/>
      <c r="AH55" s="2083"/>
      <c r="AI55" s="2083"/>
      <c r="AJ55" s="2083"/>
      <c r="AK55" s="2083"/>
      <c r="AL55" s="2083"/>
      <c r="AM55" s="2083"/>
      <c r="AN55" s="2083"/>
      <c r="AO55" s="2083"/>
      <c r="AP55" s="2083"/>
      <c r="AQ55" s="2083"/>
      <c r="AR55" s="2083"/>
      <c r="AS55" s="2083"/>
      <c r="AT55" s="2083"/>
      <c r="AU55" s="2083"/>
      <c r="AV55" s="2083"/>
      <c r="AW55" s="2083"/>
      <c r="AX55" s="2083"/>
      <c r="AY55" s="2083"/>
      <c r="AZ55" s="2083"/>
      <c r="BA55" s="2083"/>
      <c r="BB55" s="2083"/>
      <c r="BC55" s="2083"/>
      <c r="BD55" s="2083"/>
      <c r="BE55" s="2083"/>
      <c r="BF55" s="2083"/>
      <c r="BG55" s="2083"/>
      <c r="BH55" s="2083"/>
      <c r="BI55" s="2083"/>
      <c r="BJ55" s="2083"/>
      <c r="BK55" s="2083"/>
      <c r="BL55" s="2083"/>
      <c r="BM55" s="2083"/>
      <c r="BN55" s="2083"/>
      <c r="BO55" s="2083"/>
      <c r="BP55" s="2083"/>
      <c r="BQ55" s="2083"/>
      <c r="BR55" s="2083"/>
      <c r="BS55" s="2083"/>
      <c r="BT55" s="2083"/>
      <c r="BU55" s="2083"/>
      <c r="BV55" s="2083"/>
      <c r="BW55" s="2083"/>
      <c r="BX55" s="2083"/>
      <c r="BY55" s="2083"/>
      <c r="BZ55" s="2083"/>
      <c r="CA55" s="2083"/>
      <c r="CB55" s="2083"/>
      <c r="CC55" s="2083"/>
      <c r="CD55" s="2083"/>
      <c r="CE55" s="2083"/>
      <c r="CF55" s="2083"/>
      <c r="CG55" s="2083"/>
      <c r="CH55" s="2083"/>
      <c r="CI55" s="2083"/>
      <c r="CJ55" s="2083"/>
      <c r="CK55" s="2083"/>
      <c r="CL55" s="2083"/>
      <c r="CM55" s="2083"/>
      <c r="CN55" s="2083"/>
      <c r="CO55" s="2083"/>
      <c r="CP55" s="2083"/>
      <c r="CQ55" s="2083"/>
      <c r="CR55" s="2083"/>
      <c r="CS55" s="2083"/>
      <c r="CT55" s="2083"/>
      <c r="CU55" s="2083"/>
      <c r="CV55" s="2083"/>
      <c r="CW55" s="2083"/>
      <c r="CX55" s="2083"/>
      <c r="CY55" s="2083"/>
      <c r="CZ55" s="2083"/>
      <c r="DA55" s="2083"/>
      <c r="DB55" s="2083"/>
      <c r="DC55" s="2083"/>
      <c r="DD55" s="2083"/>
      <c r="DE55" s="2083"/>
      <c r="DF55" s="2083"/>
      <c r="DG55" s="2083"/>
      <c r="DH55" s="2083"/>
      <c r="DI55" s="2083"/>
      <c r="DJ55" s="2083"/>
      <c r="DK55" s="2083"/>
      <c r="DL55" s="2083"/>
      <c r="DM55" s="2083"/>
      <c r="DN55" s="2083"/>
      <c r="DO55" s="2083"/>
      <c r="DP55" s="2083"/>
      <c r="DQ55" s="2083"/>
      <c r="DR55" s="2083"/>
      <c r="DS55" s="2083"/>
      <c r="DT55" s="2083"/>
      <c r="DU55" s="2083"/>
      <c r="DV55" s="2083"/>
      <c r="DW55" s="2083"/>
      <c r="DX55" s="2083"/>
      <c r="DY55" s="2083"/>
      <c r="DZ55" s="2083"/>
      <c r="EA55" s="2083"/>
      <c r="EB55" s="2083"/>
      <c r="EC55" s="2083"/>
      <c r="ED55" s="2083"/>
      <c r="EE55" s="2083"/>
      <c r="EF55" s="2083"/>
      <c r="EG55" s="2083"/>
      <c r="EH55" s="2083"/>
      <c r="EI55" s="2083"/>
      <c r="EJ55" s="2083"/>
      <c r="EK55" s="2083"/>
      <c r="EL55" s="2083"/>
      <c r="EM55" s="2083"/>
      <c r="EN55" s="2083"/>
      <c r="EO55" s="2083"/>
      <c r="EP55" s="2083"/>
      <c r="EQ55" s="2083"/>
      <c r="ER55" s="2083"/>
      <c r="ES55" s="2083"/>
      <c r="ET55" s="2083"/>
      <c r="EU55" s="2083"/>
      <c r="EV55" s="2083"/>
      <c r="EW55" s="2083"/>
      <c r="EX55" s="2083"/>
      <c r="EY55" s="2083"/>
      <c r="EZ55" s="2083"/>
      <c r="FA55" s="2083"/>
      <c r="FB55" s="2083"/>
      <c r="FC55" s="2083"/>
      <c r="FD55" s="2083"/>
      <c r="FE55" s="2083"/>
      <c r="FF55" s="2083"/>
      <c r="FG55" s="2083"/>
      <c r="FH55" s="2083"/>
      <c r="FI55" s="2083"/>
      <c r="FJ55" s="2083"/>
      <c r="FK55" s="2083"/>
      <c r="FL55" s="2083"/>
      <c r="FM55" s="2083"/>
      <c r="FN55" s="2083"/>
      <c r="FO55" s="2083"/>
      <c r="FP55" s="2083"/>
      <c r="FQ55" s="2083"/>
      <c r="FR55" s="2083"/>
      <c r="FS55" s="2083"/>
      <c r="FT55" s="2083"/>
      <c r="FU55" s="2083"/>
      <c r="FV55" s="2083"/>
      <c r="FW55" s="2083"/>
      <c r="FX55" s="2083"/>
      <c r="FY55" s="2083"/>
      <c r="FZ55" s="2083"/>
      <c r="GA55" s="2083"/>
      <c r="GB55" s="2083"/>
      <c r="GC55" s="2083"/>
      <c r="GD55" s="2083"/>
      <c r="GE55" s="2083"/>
      <c r="GF55" s="2083"/>
      <c r="GG55" s="2083"/>
      <c r="GH55" s="2083"/>
      <c r="GI55" s="2083"/>
      <c r="GJ55" s="2083"/>
      <c r="GK55" s="2083"/>
      <c r="GL55" s="2083"/>
      <c r="GM55" s="2083"/>
      <c r="GN55" s="2083"/>
      <c r="GO55" s="2083"/>
      <c r="GP55" s="2083"/>
      <c r="GQ55" s="2083"/>
      <c r="GR55" s="2083"/>
      <c r="GS55" s="2083"/>
      <c r="GT55" s="2083"/>
      <c r="GU55" s="2083"/>
      <c r="GV55" s="2083"/>
      <c r="GW55" s="2083"/>
      <c r="GX55" s="2083"/>
      <c r="GY55" s="2083"/>
      <c r="GZ55" s="2083"/>
      <c r="HA55" s="2083"/>
      <c r="HB55" s="2083"/>
      <c r="HC55" s="2083"/>
      <c r="HD55" s="2083"/>
      <c r="HE55" s="2083"/>
      <c r="HF55" s="2083"/>
      <c r="HG55" s="2083"/>
      <c r="HH55" s="2083"/>
      <c r="HI55" s="2083"/>
      <c r="HJ55" s="2083"/>
      <c r="HK55" s="2083"/>
      <c r="HL55" s="2083"/>
      <c r="HM55" s="2083"/>
      <c r="HN55" s="2083"/>
      <c r="HO55" s="2083"/>
      <c r="HP55" s="2083"/>
      <c r="HQ55" s="2083"/>
      <c r="HR55" s="2083"/>
      <c r="HS55" s="2083"/>
      <c r="HT55" s="2083"/>
      <c r="HU55" s="2083"/>
      <c r="HV55" s="2083"/>
      <c r="HW55" s="2083"/>
      <c r="HX55" s="2083"/>
      <c r="HY55" s="2083"/>
      <c r="HZ55" s="2083"/>
      <c r="IA55" s="2083"/>
      <c r="IB55" s="2083"/>
      <c r="IC55" s="2083"/>
      <c r="ID55" s="2083"/>
      <c r="IE55" s="2083"/>
      <c r="IF55" s="2083"/>
      <c r="IG55" s="2083"/>
      <c r="IH55" s="2083"/>
      <c r="II55" s="2083"/>
      <c r="IJ55" s="2083"/>
      <c r="IK55" s="2083"/>
      <c r="IL55" s="2083"/>
      <c r="IM55" s="2083"/>
      <c r="IN55" s="2083"/>
      <c r="IO55" s="2083"/>
      <c r="IP55" s="2083"/>
      <c r="IQ55" s="2083"/>
      <c r="IR55" s="2083"/>
      <c r="IS55" s="2083"/>
      <c r="IT55" s="2083"/>
      <c r="IU55" s="2083"/>
      <c r="IV55" s="2083"/>
    </row>
    <row r="56" spans="1:256" ht="27" customHeight="1">
      <c r="A56" s="2058"/>
      <c r="B56" s="2081" t="s">
        <v>7615</v>
      </c>
      <c r="C56" s="2082">
        <v>1</v>
      </c>
      <c r="D56" s="2082">
        <v>2</v>
      </c>
      <c r="E56" s="2062">
        <v>2</v>
      </c>
      <c r="F56" s="2062"/>
      <c r="G56" s="2063">
        <v>1.5</v>
      </c>
      <c r="H56" s="2062">
        <f>PRODUCT(C56:G56)</f>
        <v>6</v>
      </c>
      <c r="I56" s="2080"/>
      <c r="J56" s="2083"/>
      <c r="K56" s="2083"/>
      <c r="L56" s="2083"/>
      <c r="M56" s="2083"/>
      <c r="N56" s="2083"/>
      <c r="O56" s="2083"/>
      <c r="P56" s="2083"/>
      <c r="Q56" s="2083"/>
      <c r="R56" s="2083"/>
      <c r="S56" s="2083"/>
      <c r="T56" s="2083"/>
      <c r="U56" s="2083"/>
      <c r="V56" s="2083"/>
      <c r="W56" s="2083"/>
      <c r="X56" s="2083"/>
      <c r="Y56" s="2083"/>
      <c r="Z56" s="2083"/>
      <c r="AA56" s="2083"/>
      <c r="AB56" s="2083"/>
      <c r="AC56" s="2083"/>
      <c r="AD56" s="2083"/>
      <c r="AE56" s="2083"/>
      <c r="AF56" s="2083"/>
      <c r="AG56" s="2083"/>
      <c r="AH56" s="2083"/>
      <c r="AI56" s="2083"/>
      <c r="AJ56" s="2083"/>
      <c r="AK56" s="2083"/>
      <c r="AL56" s="2083"/>
      <c r="AM56" s="2083"/>
      <c r="AN56" s="2083"/>
      <c r="AO56" s="2083"/>
      <c r="AP56" s="2083"/>
      <c r="AQ56" s="2083"/>
      <c r="AR56" s="2083"/>
      <c r="AS56" s="2083"/>
      <c r="AT56" s="2083"/>
      <c r="AU56" s="2083"/>
      <c r="AV56" s="2083"/>
      <c r="AW56" s="2083"/>
      <c r="AX56" s="2083"/>
      <c r="AY56" s="2083"/>
      <c r="AZ56" s="2083"/>
      <c r="BA56" s="2083"/>
      <c r="BB56" s="2083"/>
      <c r="BC56" s="2083"/>
      <c r="BD56" s="2083"/>
      <c r="BE56" s="2083"/>
      <c r="BF56" s="2083"/>
      <c r="BG56" s="2083"/>
      <c r="BH56" s="2083"/>
      <c r="BI56" s="2083"/>
      <c r="BJ56" s="2083"/>
      <c r="BK56" s="2083"/>
      <c r="BL56" s="2083"/>
      <c r="BM56" s="2083"/>
      <c r="BN56" s="2083"/>
      <c r="BO56" s="2083"/>
      <c r="BP56" s="2083"/>
      <c r="BQ56" s="2083"/>
      <c r="BR56" s="2083"/>
      <c r="BS56" s="2083"/>
      <c r="BT56" s="2083"/>
      <c r="BU56" s="2083"/>
      <c r="BV56" s="2083"/>
      <c r="BW56" s="2083"/>
      <c r="BX56" s="2083"/>
      <c r="BY56" s="2083"/>
      <c r="BZ56" s="2083"/>
      <c r="CA56" s="2083"/>
      <c r="CB56" s="2083"/>
      <c r="CC56" s="2083"/>
      <c r="CD56" s="2083"/>
      <c r="CE56" s="2083"/>
      <c r="CF56" s="2083"/>
      <c r="CG56" s="2083"/>
      <c r="CH56" s="2083"/>
      <c r="CI56" s="2083"/>
      <c r="CJ56" s="2083"/>
      <c r="CK56" s="2083"/>
      <c r="CL56" s="2083"/>
      <c r="CM56" s="2083"/>
      <c r="CN56" s="2083"/>
      <c r="CO56" s="2083"/>
      <c r="CP56" s="2083"/>
      <c r="CQ56" s="2083"/>
      <c r="CR56" s="2083"/>
      <c r="CS56" s="2083"/>
      <c r="CT56" s="2083"/>
      <c r="CU56" s="2083"/>
      <c r="CV56" s="2083"/>
      <c r="CW56" s="2083"/>
      <c r="CX56" s="2083"/>
      <c r="CY56" s="2083"/>
      <c r="CZ56" s="2083"/>
      <c r="DA56" s="2083"/>
      <c r="DB56" s="2083"/>
      <c r="DC56" s="2083"/>
      <c r="DD56" s="2083"/>
      <c r="DE56" s="2083"/>
      <c r="DF56" s="2083"/>
      <c r="DG56" s="2083"/>
      <c r="DH56" s="2083"/>
      <c r="DI56" s="2083"/>
      <c r="DJ56" s="2083"/>
      <c r="DK56" s="2083"/>
      <c r="DL56" s="2083"/>
      <c r="DM56" s="2083"/>
      <c r="DN56" s="2083"/>
      <c r="DO56" s="2083"/>
      <c r="DP56" s="2083"/>
      <c r="DQ56" s="2083"/>
      <c r="DR56" s="2083"/>
      <c r="DS56" s="2083"/>
      <c r="DT56" s="2083"/>
      <c r="DU56" s="2083"/>
      <c r="DV56" s="2083"/>
      <c r="DW56" s="2083"/>
      <c r="DX56" s="2083"/>
      <c r="DY56" s="2083"/>
      <c r="DZ56" s="2083"/>
      <c r="EA56" s="2083"/>
      <c r="EB56" s="2083"/>
      <c r="EC56" s="2083"/>
      <c r="ED56" s="2083"/>
      <c r="EE56" s="2083"/>
      <c r="EF56" s="2083"/>
      <c r="EG56" s="2083"/>
      <c r="EH56" s="2083"/>
      <c r="EI56" s="2083"/>
      <c r="EJ56" s="2083"/>
      <c r="EK56" s="2083"/>
      <c r="EL56" s="2083"/>
      <c r="EM56" s="2083"/>
      <c r="EN56" s="2083"/>
      <c r="EO56" s="2083"/>
      <c r="EP56" s="2083"/>
      <c r="EQ56" s="2083"/>
      <c r="ER56" s="2083"/>
      <c r="ES56" s="2083"/>
      <c r="ET56" s="2083"/>
      <c r="EU56" s="2083"/>
      <c r="EV56" s="2083"/>
      <c r="EW56" s="2083"/>
      <c r="EX56" s="2083"/>
      <c r="EY56" s="2083"/>
      <c r="EZ56" s="2083"/>
      <c r="FA56" s="2083"/>
      <c r="FB56" s="2083"/>
      <c r="FC56" s="2083"/>
      <c r="FD56" s="2083"/>
      <c r="FE56" s="2083"/>
      <c r="FF56" s="2083"/>
      <c r="FG56" s="2083"/>
      <c r="FH56" s="2083"/>
      <c r="FI56" s="2083"/>
      <c r="FJ56" s="2083"/>
      <c r="FK56" s="2083"/>
      <c r="FL56" s="2083"/>
      <c r="FM56" s="2083"/>
      <c r="FN56" s="2083"/>
      <c r="FO56" s="2083"/>
      <c r="FP56" s="2083"/>
      <c r="FQ56" s="2083"/>
      <c r="FR56" s="2083"/>
      <c r="FS56" s="2083"/>
      <c r="FT56" s="2083"/>
      <c r="FU56" s="2083"/>
      <c r="FV56" s="2083"/>
      <c r="FW56" s="2083"/>
      <c r="FX56" s="2083"/>
      <c r="FY56" s="2083"/>
      <c r="FZ56" s="2083"/>
      <c r="GA56" s="2083"/>
      <c r="GB56" s="2083"/>
      <c r="GC56" s="2083"/>
      <c r="GD56" s="2083"/>
      <c r="GE56" s="2083"/>
      <c r="GF56" s="2083"/>
      <c r="GG56" s="2083"/>
      <c r="GH56" s="2083"/>
      <c r="GI56" s="2083"/>
      <c r="GJ56" s="2083"/>
      <c r="GK56" s="2083"/>
      <c r="GL56" s="2083"/>
      <c r="GM56" s="2083"/>
      <c r="GN56" s="2083"/>
      <c r="GO56" s="2083"/>
      <c r="GP56" s="2083"/>
      <c r="GQ56" s="2083"/>
      <c r="GR56" s="2083"/>
      <c r="GS56" s="2083"/>
      <c r="GT56" s="2083"/>
      <c r="GU56" s="2083"/>
      <c r="GV56" s="2083"/>
      <c r="GW56" s="2083"/>
      <c r="GX56" s="2083"/>
      <c r="GY56" s="2083"/>
      <c r="GZ56" s="2083"/>
      <c r="HA56" s="2083"/>
      <c r="HB56" s="2083"/>
      <c r="HC56" s="2083"/>
      <c r="HD56" s="2083"/>
      <c r="HE56" s="2083"/>
      <c r="HF56" s="2083"/>
      <c r="HG56" s="2083"/>
      <c r="HH56" s="2083"/>
      <c r="HI56" s="2083"/>
      <c r="HJ56" s="2083"/>
      <c r="HK56" s="2083"/>
      <c r="HL56" s="2083"/>
      <c r="HM56" s="2083"/>
      <c r="HN56" s="2083"/>
      <c r="HO56" s="2083"/>
      <c r="HP56" s="2083"/>
      <c r="HQ56" s="2083"/>
      <c r="HR56" s="2083"/>
      <c r="HS56" s="2083"/>
      <c r="HT56" s="2083"/>
      <c r="HU56" s="2083"/>
      <c r="HV56" s="2083"/>
      <c r="HW56" s="2083"/>
      <c r="HX56" s="2083"/>
      <c r="HY56" s="2083"/>
      <c r="HZ56" s="2083"/>
      <c r="IA56" s="2083"/>
      <c r="IB56" s="2083"/>
      <c r="IC56" s="2083"/>
      <c r="ID56" s="2083"/>
      <c r="IE56" s="2083"/>
      <c r="IF56" s="2083"/>
      <c r="IG56" s="2083"/>
      <c r="IH56" s="2083"/>
      <c r="II56" s="2083"/>
      <c r="IJ56" s="2083"/>
      <c r="IK56" s="2083"/>
      <c r="IL56" s="2083"/>
      <c r="IM56" s="2083"/>
      <c r="IN56" s="2083"/>
      <c r="IO56" s="2083"/>
      <c r="IP56" s="2083"/>
      <c r="IQ56" s="2083"/>
      <c r="IR56" s="2083"/>
      <c r="IS56" s="2083"/>
      <c r="IT56" s="2083"/>
      <c r="IU56" s="2083"/>
      <c r="IV56" s="2083"/>
    </row>
    <row r="57" spans="1:256" ht="27" customHeight="1">
      <c r="A57" s="2058"/>
      <c r="B57" s="2081" t="s">
        <v>7615</v>
      </c>
      <c r="C57" s="2082">
        <v>1</v>
      </c>
      <c r="D57" s="2082">
        <v>2</v>
      </c>
      <c r="E57" s="2062">
        <v>2</v>
      </c>
      <c r="F57" s="2062"/>
      <c r="G57" s="2063">
        <v>0.75</v>
      </c>
      <c r="H57" s="2062">
        <f>PRODUCT(C57:G57)</f>
        <v>3</v>
      </c>
      <c r="I57" s="2080"/>
      <c r="J57" s="2083"/>
      <c r="K57" s="2083"/>
      <c r="L57" s="2083"/>
      <c r="M57" s="2083"/>
      <c r="N57" s="2083"/>
      <c r="O57" s="2083"/>
      <c r="P57" s="2083"/>
      <c r="Q57" s="2083"/>
      <c r="R57" s="2083"/>
      <c r="S57" s="2083"/>
      <c r="T57" s="2083"/>
      <c r="U57" s="2083"/>
      <c r="V57" s="2083"/>
      <c r="W57" s="2083"/>
      <c r="X57" s="2083"/>
      <c r="Y57" s="2083"/>
      <c r="Z57" s="2083"/>
      <c r="AA57" s="2083"/>
      <c r="AB57" s="2083"/>
      <c r="AC57" s="2083"/>
      <c r="AD57" s="2083"/>
      <c r="AE57" s="2083"/>
      <c r="AF57" s="2083"/>
      <c r="AG57" s="2083"/>
      <c r="AH57" s="2083"/>
      <c r="AI57" s="2083"/>
      <c r="AJ57" s="2083"/>
      <c r="AK57" s="2083"/>
      <c r="AL57" s="2083"/>
      <c r="AM57" s="2083"/>
      <c r="AN57" s="2083"/>
      <c r="AO57" s="2083"/>
      <c r="AP57" s="2083"/>
      <c r="AQ57" s="2083"/>
      <c r="AR57" s="2083"/>
      <c r="AS57" s="2083"/>
      <c r="AT57" s="2083"/>
      <c r="AU57" s="2083"/>
      <c r="AV57" s="2083"/>
      <c r="AW57" s="2083"/>
      <c r="AX57" s="2083"/>
      <c r="AY57" s="2083"/>
      <c r="AZ57" s="2083"/>
      <c r="BA57" s="2083"/>
      <c r="BB57" s="2083"/>
      <c r="BC57" s="2083"/>
      <c r="BD57" s="2083"/>
      <c r="BE57" s="2083"/>
      <c r="BF57" s="2083"/>
      <c r="BG57" s="2083"/>
      <c r="BH57" s="2083"/>
      <c r="BI57" s="2083"/>
      <c r="BJ57" s="2083"/>
      <c r="BK57" s="2083"/>
      <c r="BL57" s="2083"/>
      <c r="BM57" s="2083"/>
      <c r="BN57" s="2083"/>
      <c r="BO57" s="2083"/>
      <c r="BP57" s="2083"/>
      <c r="BQ57" s="2083"/>
      <c r="BR57" s="2083"/>
      <c r="BS57" s="2083"/>
      <c r="BT57" s="2083"/>
      <c r="BU57" s="2083"/>
      <c r="BV57" s="2083"/>
      <c r="BW57" s="2083"/>
      <c r="BX57" s="2083"/>
      <c r="BY57" s="2083"/>
      <c r="BZ57" s="2083"/>
      <c r="CA57" s="2083"/>
      <c r="CB57" s="2083"/>
      <c r="CC57" s="2083"/>
      <c r="CD57" s="2083"/>
      <c r="CE57" s="2083"/>
      <c r="CF57" s="2083"/>
      <c r="CG57" s="2083"/>
      <c r="CH57" s="2083"/>
      <c r="CI57" s="2083"/>
      <c r="CJ57" s="2083"/>
      <c r="CK57" s="2083"/>
      <c r="CL57" s="2083"/>
      <c r="CM57" s="2083"/>
      <c r="CN57" s="2083"/>
      <c r="CO57" s="2083"/>
      <c r="CP57" s="2083"/>
      <c r="CQ57" s="2083"/>
      <c r="CR57" s="2083"/>
      <c r="CS57" s="2083"/>
      <c r="CT57" s="2083"/>
      <c r="CU57" s="2083"/>
      <c r="CV57" s="2083"/>
      <c r="CW57" s="2083"/>
      <c r="CX57" s="2083"/>
      <c r="CY57" s="2083"/>
      <c r="CZ57" s="2083"/>
      <c r="DA57" s="2083"/>
      <c r="DB57" s="2083"/>
      <c r="DC57" s="2083"/>
      <c r="DD57" s="2083"/>
      <c r="DE57" s="2083"/>
      <c r="DF57" s="2083"/>
      <c r="DG57" s="2083"/>
      <c r="DH57" s="2083"/>
      <c r="DI57" s="2083"/>
      <c r="DJ57" s="2083"/>
      <c r="DK57" s="2083"/>
      <c r="DL57" s="2083"/>
      <c r="DM57" s="2083"/>
      <c r="DN57" s="2083"/>
      <c r="DO57" s="2083"/>
      <c r="DP57" s="2083"/>
      <c r="DQ57" s="2083"/>
      <c r="DR57" s="2083"/>
      <c r="DS57" s="2083"/>
      <c r="DT57" s="2083"/>
      <c r="DU57" s="2083"/>
      <c r="DV57" s="2083"/>
      <c r="DW57" s="2083"/>
      <c r="DX57" s="2083"/>
      <c r="DY57" s="2083"/>
      <c r="DZ57" s="2083"/>
      <c r="EA57" s="2083"/>
      <c r="EB57" s="2083"/>
      <c r="EC57" s="2083"/>
      <c r="ED57" s="2083"/>
      <c r="EE57" s="2083"/>
      <c r="EF57" s="2083"/>
      <c r="EG57" s="2083"/>
      <c r="EH57" s="2083"/>
      <c r="EI57" s="2083"/>
      <c r="EJ57" s="2083"/>
      <c r="EK57" s="2083"/>
      <c r="EL57" s="2083"/>
      <c r="EM57" s="2083"/>
      <c r="EN57" s="2083"/>
      <c r="EO57" s="2083"/>
      <c r="EP57" s="2083"/>
      <c r="EQ57" s="2083"/>
      <c r="ER57" s="2083"/>
      <c r="ES57" s="2083"/>
      <c r="ET57" s="2083"/>
      <c r="EU57" s="2083"/>
      <c r="EV57" s="2083"/>
      <c r="EW57" s="2083"/>
      <c r="EX57" s="2083"/>
      <c r="EY57" s="2083"/>
      <c r="EZ57" s="2083"/>
      <c r="FA57" s="2083"/>
      <c r="FB57" s="2083"/>
      <c r="FC57" s="2083"/>
      <c r="FD57" s="2083"/>
      <c r="FE57" s="2083"/>
      <c r="FF57" s="2083"/>
      <c r="FG57" s="2083"/>
      <c r="FH57" s="2083"/>
      <c r="FI57" s="2083"/>
      <c r="FJ57" s="2083"/>
      <c r="FK57" s="2083"/>
      <c r="FL57" s="2083"/>
      <c r="FM57" s="2083"/>
      <c r="FN57" s="2083"/>
      <c r="FO57" s="2083"/>
      <c r="FP57" s="2083"/>
      <c r="FQ57" s="2083"/>
      <c r="FR57" s="2083"/>
      <c r="FS57" s="2083"/>
      <c r="FT57" s="2083"/>
      <c r="FU57" s="2083"/>
      <c r="FV57" s="2083"/>
      <c r="FW57" s="2083"/>
      <c r="FX57" s="2083"/>
      <c r="FY57" s="2083"/>
      <c r="FZ57" s="2083"/>
      <c r="GA57" s="2083"/>
      <c r="GB57" s="2083"/>
      <c r="GC57" s="2083"/>
      <c r="GD57" s="2083"/>
      <c r="GE57" s="2083"/>
      <c r="GF57" s="2083"/>
      <c r="GG57" s="2083"/>
      <c r="GH57" s="2083"/>
      <c r="GI57" s="2083"/>
      <c r="GJ57" s="2083"/>
      <c r="GK57" s="2083"/>
      <c r="GL57" s="2083"/>
      <c r="GM57" s="2083"/>
      <c r="GN57" s="2083"/>
      <c r="GO57" s="2083"/>
      <c r="GP57" s="2083"/>
      <c r="GQ57" s="2083"/>
      <c r="GR57" s="2083"/>
      <c r="GS57" s="2083"/>
      <c r="GT57" s="2083"/>
      <c r="GU57" s="2083"/>
      <c r="GV57" s="2083"/>
      <c r="GW57" s="2083"/>
      <c r="GX57" s="2083"/>
      <c r="GY57" s="2083"/>
      <c r="GZ57" s="2083"/>
      <c r="HA57" s="2083"/>
      <c r="HB57" s="2083"/>
      <c r="HC57" s="2083"/>
      <c r="HD57" s="2083"/>
      <c r="HE57" s="2083"/>
      <c r="HF57" s="2083"/>
      <c r="HG57" s="2083"/>
      <c r="HH57" s="2083"/>
      <c r="HI57" s="2083"/>
      <c r="HJ57" s="2083"/>
      <c r="HK57" s="2083"/>
      <c r="HL57" s="2083"/>
      <c r="HM57" s="2083"/>
      <c r="HN57" s="2083"/>
      <c r="HO57" s="2083"/>
      <c r="HP57" s="2083"/>
      <c r="HQ57" s="2083"/>
      <c r="HR57" s="2083"/>
      <c r="HS57" s="2083"/>
      <c r="HT57" s="2083"/>
      <c r="HU57" s="2083"/>
      <c r="HV57" s="2083"/>
      <c r="HW57" s="2083"/>
      <c r="HX57" s="2083"/>
      <c r="HY57" s="2083"/>
      <c r="HZ57" s="2083"/>
      <c r="IA57" s="2083"/>
      <c r="IB57" s="2083"/>
      <c r="IC57" s="2083"/>
      <c r="ID57" s="2083"/>
      <c r="IE57" s="2083"/>
      <c r="IF57" s="2083"/>
      <c r="IG57" s="2083"/>
      <c r="IH57" s="2083"/>
      <c r="II57" s="2083"/>
      <c r="IJ57" s="2083"/>
      <c r="IK57" s="2083"/>
      <c r="IL57" s="2083"/>
      <c r="IM57" s="2083"/>
      <c r="IN57" s="2083"/>
      <c r="IO57" s="2083"/>
      <c r="IP57" s="2083"/>
      <c r="IQ57" s="2083"/>
      <c r="IR57" s="2083"/>
      <c r="IS57" s="2083"/>
      <c r="IT57" s="2083"/>
      <c r="IU57" s="2083"/>
      <c r="IV57" s="2083"/>
    </row>
    <row r="58" spans="1:256" ht="27" customHeight="1">
      <c r="A58" s="2058"/>
      <c r="B58" s="2081"/>
      <c r="C58" s="2082"/>
      <c r="D58" s="2082"/>
      <c r="E58" s="2062"/>
      <c r="F58" s="2062"/>
      <c r="G58" s="2086" t="s">
        <v>2235</v>
      </c>
      <c r="H58" s="2067">
        <f>SUM(H54:H57)</f>
        <v>34.68</v>
      </c>
      <c r="I58" s="2068" t="s">
        <v>2273</v>
      </c>
      <c r="J58" s="2083"/>
      <c r="K58" s="2083"/>
      <c r="L58" s="2083"/>
      <c r="M58" s="2083"/>
      <c r="N58" s="2083"/>
      <c r="O58" s="2083"/>
      <c r="P58" s="2083"/>
      <c r="Q58" s="2083"/>
      <c r="R58" s="2083"/>
      <c r="S58" s="2083"/>
      <c r="T58" s="2083"/>
      <c r="U58" s="2083"/>
      <c r="V58" s="2083"/>
      <c r="W58" s="2083"/>
      <c r="X58" s="2083"/>
      <c r="Y58" s="2083"/>
      <c r="Z58" s="2083"/>
      <c r="AA58" s="2083"/>
      <c r="AB58" s="2083"/>
      <c r="AC58" s="2083"/>
      <c r="AD58" s="2083"/>
      <c r="AE58" s="2083"/>
      <c r="AF58" s="2083"/>
      <c r="AG58" s="2083"/>
      <c r="AH58" s="2083"/>
      <c r="AI58" s="2083"/>
      <c r="AJ58" s="2083"/>
      <c r="AK58" s="2083"/>
      <c r="AL58" s="2083"/>
      <c r="AM58" s="2083"/>
      <c r="AN58" s="2083"/>
      <c r="AO58" s="2083"/>
      <c r="AP58" s="2083"/>
      <c r="AQ58" s="2083"/>
      <c r="AR58" s="2083"/>
      <c r="AS58" s="2083"/>
      <c r="AT58" s="2083"/>
      <c r="AU58" s="2083"/>
      <c r="AV58" s="2083"/>
      <c r="AW58" s="2083"/>
      <c r="AX58" s="2083"/>
      <c r="AY58" s="2083"/>
      <c r="AZ58" s="2083"/>
      <c r="BA58" s="2083"/>
      <c r="BB58" s="2083"/>
      <c r="BC58" s="2083"/>
      <c r="BD58" s="2083"/>
      <c r="BE58" s="2083"/>
      <c r="BF58" s="2083"/>
      <c r="BG58" s="2083"/>
      <c r="BH58" s="2083"/>
      <c r="BI58" s="2083"/>
      <c r="BJ58" s="2083"/>
      <c r="BK58" s="2083"/>
      <c r="BL58" s="2083"/>
      <c r="BM58" s="2083"/>
      <c r="BN58" s="2083"/>
      <c r="BO58" s="2083"/>
      <c r="BP58" s="2083"/>
      <c r="BQ58" s="2083"/>
      <c r="BR58" s="2083"/>
      <c r="BS58" s="2083"/>
      <c r="BT58" s="2083"/>
      <c r="BU58" s="2083"/>
      <c r="BV58" s="2083"/>
      <c r="BW58" s="2083"/>
      <c r="BX58" s="2083"/>
      <c r="BY58" s="2083"/>
      <c r="BZ58" s="2083"/>
      <c r="CA58" s="2083"/>
      <c r="CB58" s="2083"/>
      <c r="CC58" s="2083"/>
      <c r="CD58" s="2083"/>
      <c r="CE58" s="2083"/>
      <c r="CF58" s="2083"/>
      <c r="CG58" s="2083"/>
      <c r="CH58" s="2083"/>
      <c r="CI58" s="2083"/>
      <c r="CJ58" s="2083"/>
      <c r="CK58" s="2083"/>
      <c r="CL58" s="2083"/>
      <c r="CM58" s="2083"/>
      <c r="CN58" s="2083"/>
      <c r="CO58" s="2083"/>
      <c r="CP58" s="2083"/>
      <c r="CQ58" s="2083"/>
      <c r="CR58" s="2083"/>
      <c r="CS58" s="2083"/>
      <c r="CT58" s="2083"/>
      <c r="CU58" s="2083"/>
      <c r="CV58" s="2083"/>
      <c r="CW58" s="2083"/>
      <c r="CX58" s="2083"/>
      <c r="CY58" s="2083"/>
      <c r="CZ58" s="2083"/>
      <c r="DA58" s="2083"/>
      <c r="DB58" s="2083"/>
      <c r="DC58" s="2083"/>
      <c r="DD58" s="2083"/>
      <c r="DE58" s="2083"/>
      <c r="DF58" s="2083"/>
      <c r="DG58" s="2083"/>
      <c r="DH58" s="2083"/>
      <c r="DI58" s="2083"/>
      <c r="DJ58" s="2083"/>
      <c r="DK58" s="2083"/>
      <c r="DL58" s="2083"/>
      <c r="DM58" s="2083"/>
      <c r="DN58" s="2083"/>
      <c r="DO58" s="2083"/>
      <c r="DP58" s="2083"/>
      <c r="DQ58" s="2083"/>
      <c r="DR58" s="2083"/>
      <c r="DS58" s="2083"/>
      <c r="DT58" s="2083"/>
      <c r="DU58" s="2083"/>
      <c r="DV58" s="2083"/>
      <c r="DW58" s="2083"/>
      <c r="DX58" s="2083"/>
      <c r="DY58" s="2083"/>
      <c r="DZ58" s="2083"/>
      <c r="EA58" s="2083"/>
      <c r="EB58" s="2083"/>
      <c r="EC58" s="2083"/>
      <c r="ED58" s="2083"/>
      <c r="EE58" s="2083"/>
      <c r="EF58" s="2083"/>
      <c r="EG58" s="2083"/>
      <c r="EH58" s="2083"/>
      <c r="EI58" s="2083"/>
      <c r="EJ58" s="2083"/>
      <c r="EK58" s="2083"/>
      <c r="EL58" s="2083"/>
      <c r="EM58" s="2083"/>
      <c r="EN58" s="2083"/>
      <c r="EO58" s="2083"/>
      <c r="EP58" s="2083"/>
      <c r="EQ58" s="2083"/>
      <c r="ER58" s="2083"/>
      <c r="ES58" s="2083"/>
      <c r="ET58" s="2083"/>
      <c r="EU58" s="2083"/>
      <c r="EV58" s="2083"/>
      <c r="EW58" s="2083"/>
      <c r="EX58" s="2083"/>
      <c r="EY58" s="2083"/>
      <c r="EZ58" s="2083"/>
      <c r="FA58" s="2083"/>
      <c r="FB58" s="2083"/>
      <c r="FC58" s="2083"/>
      <c r="FD58" s="2083"/>
      <c r="FE58" s="2083"/>
      <c r="FF58" s="2083"/>
      <c r="FG58" s="2083"/>
      <c r="FH58" s="2083"/>
      <c r="FI58" s="2083"/>
      <c r="FJ58" s="2083"/>
      <c r="FK58" s="2083"/>
      <c r="FL58" s="2083"/>
      <c r="FM58" s="2083"/>
      <c r="FN58" s="2083"/>
      <c r="FO58" s="2083"/>
      <c r="FP58" s="2083"/>
      <c r="FQ58" s="2083"/>
      <c r="FR58" s="2083"/>
      <c r="FS58" s="2083"/>
      <c r="FT58" s="2083"/>
      <c r="FU58" s="2083"/>
      <c r="FV58" s="2083"/>
      <c r="FW58" s="2083"/>
      <c r="FX58" s="2083"/>
      <c r="FY58" s="2083"/>
      <c r="FZ58" s="2083"/>
      <c r="GA58" s="2083"/>
      <c r="GB58" s="2083"/>
      <c r="GC58" s="2083"/>
      <c r="GD58" s="2083"/>
      <c r="GE58" s="2083"/>
      <c r="GF58" s="2083"/>
      <c r="GG58" s="2083"/>
      <c r="GH58" s="2083"/>
      <c r="GI58" s="2083"/>
      <c r="GJ58" s="2083"/>
      <c r="GK58" s="2083"/>
      <c r="GL58" s="2083"/>
      <c r="GM58" s="2083"/>
      <c r="GN58" s="2083"/>
      <c r="GO58" s="2083"/>
      <c r="GP58" s="2083"/>
      <c r="GQ58" s="2083"/>
      <c r="GR58" s="2083"/>
      <c r="GS58" s="2083"/>
      <c r="GT58" s="2083"/>
      <c r="GU58" s="2083"/>
      <c r="GV58" s="2083"/>
      <c r="GW58" s="2083"/>
      <c r="GX58" s="2083"/>
      <c r="GY58" s="2083"/>
      <c r="GZ58" s="2083"/>
      <c r="HA58" s="2083"/>
      <c r="HB58" s="2083"/>
      <c r="HC58" s="2083"/>
      <c r="HD58" s="2083"/>
      <c r="HE58" s="2083"/>
      <c r="HF58" s="2083"/>
      <c r="HG58" s="2083"/>
      <c r="HH58" s="2083"/>
      <c r="HI58" s="2083"/>
      <c r="HJ58" s="2083"/>
      <c r="HK58" s="2083"/>
      <c r="HL58" s="2083"/>
      <c r="HM58" s="2083"/>
      <c r="HN58" s="2083"/>
      <c r="HO58" s="2083"/>
      <c r="HP58" s="2083"/>
      <c r="HQ58" s="2083"/>
      <c r="HR58" s="2083"/>
      <c r="HS58" s="2083"/>
      <c r="HT58" s="2083"/>
      <c r="HU58" s="2083"/>
      <c r="HV58" s="2083"/>
      <c r="HW58" s="2083"/>
      <c r="HX58" s="2083"/>
      <c r="HY58" s="2083"/>
      <c r="HZ58" s="2083"/>
      <c r="IA58" s="2083"/>
      <c r="IB58" s="2083"/>
      <c r="IC58" s="2083"/>
      <c r="ID58" s="2083"/>
      <c r="IE58" s="2083"/>
      <c r="IF58" s="2083"/>
      <c r="IG58" s="2083"/>
      <c r="IH58" s="2083"/>
      <c r="II58" s="2083"/>
      <c r="IJ58" s="2083"/>
      <c r="IK58" s="2083"/>
      <c r="IL58" s="2083"/>
      <c r="IM58" s="2083"/>
      <c r="IN58" s="2083"/>
      <c r="IO58" s="2083"/>
      <c r="IP58" s="2083"/>
      <c r="IQ58" s="2083"/>
      <c r="IR58" s="2083"/>
      <c r="IS58" s="2083"/>
      <c r="IT58" s="2083"/>
      <c r="IU58" s="2083"/>
      <c r="IV58" s="2083"/>
    </row>
    <row r="59" spans="1:256" ht="50.25" customHeight="1">
      <c r="A59" s="2087">
        <v>58.5</v>
      </c>
      <c r="B59" s="2070" t="s">
        <v>7616</v>
      </c>
      <c r="C59" s="2073"/>
      <c r="D59" s="2073"/>
      <c r="E59" s="2073"/>
      <c r="F59" s="2073"/>
      <c r="G59" s="2073"/>
      <c r="H59" s="2062"/>
      <c r="I59" s="2080"/>
      <c r="J59" s="2083"/>
      <c r="K59" s="2083"/>
      <c r="L59" s="2083"/>
      <c r="M59" s="2083"/>
      <c r="N59" s="2083"/>
      <c r="O59" s="2083"/>
      <c r="P59" s="2083"/>
      <c r="Q59" s="2083"/>
      <c r="R59" s="2083"/>
      <c r="S59" s="2083"/>
      <c r="T59" s="2083"/>
      <c r="U59" s="2083"/>
      <c r="V59" s="2083"/>
      <c r="W59" s="2083"/>
      <c r="X59" s="2083"/>
      <c r="Y59" s="2083"/>
      <c r="Z59" s="2083"/>
      <c r="AA59" s="2083"/>
      <c r="AB59" s="2083"/>
      <c r="AC59" s="2083"/>
      <c r="AD59" s="2083"/>
      <c r="AE59" s="2083"/>
      <c r="AF59" s="2083"/>
      <c r="AG59" s="2083"/>
      <c r="AH59" s="2083"/>
      <c r="AI59" s="2083"/>
      <c r="AJ59" s="2083"/>
      <c r="AK59" s="2083"/>
      <c r="AL59" s="2083"/>
      <c r="AM59" s="2083"/>
      <c r="AN59" s="2083"/>
      <c r="AO59" s="2083"/>
      <c r="AP59" s="2083"/>
      <c r="AQ59" s="2083"/>
      <c r="AR59" s="2083"/>
      <c r="AS59" s="2083"/>
      <c r="AT59" s="2083"/>
      <c r="AU59" s="2083"/>
      <c r="AV59" s="2083"/>
      <c r="AW59" s="2083"/>
      <c r="AX59" s="2083"/>
      <c r="AY59" s="2083"/>
      <c r="AZ59" s="2083"/>
      <c r="BA59" s="2083"/>
      <c r="BB59" s="2083"/>
      <c r="BC59" s="2083"/>
      <c r="BD59" s="2083"/>
      <c r="BE59" s="2083"/>
      <c r="BF59" s="2083"/>
      <c r="BG59" s="2083"/>
      <c r="BH59" s="2083"/>
      <c r="BI59" s="2083"/>
      <c r="BJ59" s="2083"/>
      <c r="BK59" s="2083"/>
      <c r="BL59" s="2083"/>
      <c r="BM59" s="2083"/>
      <c r="BN59" s="2083"/>
      <c r="BO59" s="2083"/>
      <c r="BP59" s="2083"/>
      <c r="BQ59" s="2083"/>
      <c r="BR59" s="2083"/>
      <c r="BS59" s="2083"/>
      <c r="BT59" s="2083"/>
      <c r="BU59" s="2083"/>
      <c r="BV59" s="2083"/>
      <c r="BW59" s="2083"/>
      <c r="BX59" s="2083"/>
      <c r="BY59" s="2083"/>
      <c r="BZ59" s="2083"/>
      <c r="CA59" s="2083"/>
      <c r="CB59" s="2083"/>
      <c r="CC59" s="2083"/>
      <c r="CD59" s="2083"/>
      <c r="CE59" s="2083"/>
      <c r="CF59" s="2083"/>
      <c r="CG59" s="2083"/>
      <c r="CH59" s="2083"/>
      <c r="CI59" s="2083"/>
      <c r="CJ59" s="2083"/>
      <c r="CK59" s="2083"/>
      <c r="CL59" s="2083"/>
      <c r="CM59" s="2083"/>
      <c r="CN59" s="2083"/>
      <c r="CO59" s="2083"/>
      <c r="CP59" s="2083"/>
      <c r="CQ59" s="2083"/>
      <c r="CR59" s="2083"/>
      <c r="CS59" s="2083"/>
      <c r="CT59" s="2083"/>
      <c r="CU59" s="2083"/>
      <c r="CV59" s="2083"/>
      <c r="CW59" s="2083"/>
      <c r="CX59" s="2083"/>
      <c r="CY59" s="2083"/>
      <c r="CZ59" s="2083"/>
      <c r="DA59" s="2083"/>
      <c r="DB59" s="2083"/>
      <c r="DC59" s="2083"/>
      <c r="DD59" s="2083"/>
      <c r="DE59" s="2083"/>
      <c r="DF59" s="2083"/>
      <c r="DG59" s="2083"/>
      <c r="DH59" s="2083"/>
      <c r="DI59" s="2083"/>
      <c r="DJ59" s="2083"/>
      <c r="DK59" s="2083"/>
      <c r="DL59" s="2083"/>
      <c r="DM59" s="2083"/>
      <c r="DN59" s="2083"/>
      <c r="DO59" s="2083"/>
      <c r="DP59" s="2083"/>
      <c r="DQ59" s="2083"/>
      <c r="DR59" s="2083"/>
      <c r="DS59" s="2083"/>
      <c r="DT59" s="2083"/>
      <c r="DU59" s="2083"/>
      <c r="DV59" s="2083"/>
      <c r="DW59" s="2083"/>
      <c r="DX59" s="2083"/>
      <c r="DY59" s="2083"/>
      <c r="DZ59" s="2083"/>
      <c r="EA59" s="2083"/>
      <c r="EB59" s="2083"/>
      <c r="EC59" s="2083"/>
      <c r="ED59" s="2083"/>
      <c r="EE59" s="2083"/>
      <c r="EF59" s="2083"/>
      <c r="EG59" s="2083"/>
      <c r="EH59" s="2083"/>
      <c r="EI59" s="2083"/>
      <c r="EJ59" s="2083"/>
      <c r="EK59" s="2083"/>
      <c r="EL59" s="2083"/>
      <c r="EM59" s="2083"/>
      <c r="EN59" s="2083"/>
      <c r="EO59" s="2083"/>
      <c r="EP59" s="2083"/>
      <c r="EQ59" s="2083"/>
      <c r="ER59" s="2083"/>
      <c r="ES59" s="2083"/>
      <c r="ET59" s="2083"/>
      <c r="EU59" s="2083"/>
      <c r="EV59" s="2083"/>
      <c r="EW59" s="2083"/>
      <c r="EX59" s="2083"/>
      <c r="EY59" s="2083"/>
      <c r="EZ59" s="2083"/>
      <c r="FA59" s="2083"/>
      <c r="FB59" s="2083"/>
      <c r="FC59" s="2083"/>
      <c r="FD59" s="2083"/>
      <c r="FE59" s="2083"/>
      <c r="FF59" s="2083"/>
      <c r="FG59" s="2083"/>
      <c r="FH59" s="2083"/>
      <c r="FI59" s="2083"/>
      <c r="FJ59" s="2083"/>
      <c r="FK59" s="2083"/>
      <c r="FL59" s="2083"/>
      <c r="FM59" s="2083"/>
      <c r="FN59" s="2083"/>
      <c r="FO59" s="2083"/>
      <c r="FP59" s="2083"/>
      <c r="FQ59" s="2083"/>
      <c r="FR59" s="2083"/>
      <c r="FS59" s="2083"/>
      <c r="FT59" s="2083"/>
      <c r="FU59" s="2083"/>
      <c r="FV59" s="2083"/>
      <c r="FW59" s="2083"/>
      <c r="FX59" s="2083"/>
      <c r="FY59" s="2083"/>
      <c r="FZ59" s="2083"/>
      <c r="GA59" s="2083"/>
      <c r="GB59" s="2083"/>
      <c r="GC59" s="2083"/>
      <c r="GD59" s="2083"/>
      <c r="GE59" s="2083"/>
      <c r="GF59" s="2083"/>
      <c r="GG59" s="2083"/>
      <c r="GH59" s="2083"/>
      <c r="GI59" s="2083"/>
      <c r="GJ59" s="2083"/>
      <c r="GK59" s="2083"/>
      <c r="GL59" s="2083"/>
      <c r="GM59" s="2083"/>
      <c r="GN59" s="2083"/>
      <c r="GO59" s="2083"/>
      <c r="GP59" s="2083"/>
      <c r="GQ59" s="2083"/>
      <c r="GR59" s="2083"/>
      <c r="GS59" s="2083"/>
      <c r="GT59" s="2083"/>
      <c r="GU59" s="2083"/>
      <c r="GV59" s="2083"/>
      <c r="GW59" s="2083"/>
      <c r="GX59" s="2083"/>
      <c r="GY59" s="2083"/>
      <c r="GZ59" s="2083"/>
      <c r="HA59" s="2083"/>
      <c r="HB59" s="2083"/>
      <c r="HC59" s="2083"/>
      <c r="HD59" s="2083"/>
      <c r="HE59" s="2083"/>
      <c r="HF59" s="2083"/>
      <c r="HG59" s="2083"/>
      <c r="HH59" s="2083"/>
      <c r="HI59" s="2083"/>
      <c r="HJ59" s="2083"/>
      <c r="HK59" s="2083"/>
      <c r="HL59" s="2083"/>
      <c r="HM59" s="2083"/>
      <c r="HN59" s="2083"/>
      <c r="HO59" s="2083"/>
      <c r="HP59" s="2083"/>
      <c r="HQ59" s="2083"/>
      <c r="HR59" s="2083"/>
      <c r="HS59" s="2083"/>
      <c r="HT59" s="2083"/>
      <c r="HU59" s="2083"/>
      <c r="HV59" s="2083"/>
      <c r="HW59" s="2083"/>
      <c r="HX59" s="2083"/>
      <c r="HY59" s="2083"/>
      <c r="HZ59" s="2083"/>
      <c r="IA59" s="2083"/>
      <c r="IB59" s="2083"/>
      <c r="IC59" s="2083"/>
      <c r="ID59" s="2083"/>
      <c r="IE59" s="2083"/>
      <c r="IF59" s="2083"/>
      <c r="IG59" s="2083"/>
      <c r="IH59" s="2083"/>
      <c r="II59" s="2083"/>
      <c r="IJ59" s="2083"/>
      <c r="IK59" s="2083"/>
      <c r="IL59" s="2083"/>
      <c r="IM59" s="2083"/>
      <c r="IN59" s="2083"/>
      <c r="IO59" s="2083"/>
      <c r="IP59" s="2083"/>
      <c r="IQ59" s="2083"/>
      <c r="IR59" s="2083"/>
      <c r="IS59" s="2083"/>
      <c r="IT59" s="2083"/>
      <c r="IU59" s="2083"/>
      <c r="IV59" s="2083"/>
    </row>
    <row r="60" spans="1:256" ht="25.5" customHeight="1">
      <c r="A60" s="2058"/>
      <c r="B60" s="2081" t="s">
        <v>7617</v>
      </c>
      <c r="C60" s="2082">
        <v>1</v>
      </c>
      <c r="D60" s="2082">
        <v>1</v>
      </c>
      <c r="E60" s="2062">
        <v>1</v>
      </c>
      <c r="F60" s="2062"/>
      <c r="G60" s="2063"/>
      <c r="H60" s="2067">
        <f>PRODUCT(C60:G60)</f>
        <v>1</v>
      </c>
      <c r="I60" s="2080" t="s">
        <v>1427</v>
      </c>
      <c r="J60" s="2083"/>
      <c r="K60" s="2083"/>
      <c r="L60" s="2083"/>
      <c r="M60" s="2083"/>
      <c r="N60" s="2083"/>
      <c r="O60" s="2083"/>
      <c r="P60" s="2083"/>
      <c r="Q60" s="2083"/>
      <c r="R60" s="2083"/>
      <c r="S60" s="2083"/>
      <c r="T60" s="2083"/>
      <c r="U60" s="2083"/>
      <c r="V60" s="2083"/>
      <c r="W60" s="2083"/>
      <c r="X60" s="2083"/>
      <c r="Y60" s="2083"/>
      <c r="Z60" s="2083"/>
      <c r="AA60" s="2083"/>
      <c r="AB60" s="2083"/>
      <c r="AC60" s="2083"/>
      <c r="AD60" s="2083"/>
      <c r="AE60" s="2083"/>
      <c r="AF60" s="2083"/>
      <c r="AG60" s="2083"/>
      <c r="AH60" s="2083"/>
      <c r="AI60" s="2083"/>
      <c r="AJ60" s="2083"/>
      <c r="AK60" s="2083"/>
      <c r="AL60" s="2083"/>
      <c r="AM60" s="2083"/>
      <c r="AN60" s="2083"/>
      <c r="AO60" s="2083"/>
      <c r="AP60" s="2083"/>
      <c r="AQ60" s="2083"/>
      <c r="AR60" s="2083"/>
      <c r="AS60" s="2083"/>
      <c r="AT60" s="2083"/>
      <c r="AU60" s="2083"/>
      <c r="AV60" s="2083"/>
      <c r="AW60" s="2083"/>
      <c r="AX60" s="2083"/>
      <c r="AY60" s="2083"/>
      <c r="AZ60" s="2083"/>
      <c r="BA60" s="2083"/>
      <c r="BB60" s="2083"/>
      <c r="BC60" s="2083"/>
      <c r="BD60" s="2083"/>
      <c r="BE60" s="2083"/>
      <c r="BF60" s="2083"/>
      <c r="BG60" s="2083"/>
      <c r="BH60" s="2083"/>
      <c r="BI60" s="2083"/>
      <c r="BJ60" s="2083"/>
      <c r="BK60" s="2083"/>
      <c r="BL60" s="2083"/>
      <c r="BM60" s="2083"/>
      <c r="BN60" s="2083"/>
      <c r="BO60" s="2083"/>
      <c r="BP60" s="2083"/>
      <c r="BQ60" s="2083"/>
      <c r="BR60" s="2083"/>
      <c r="BS60" s="2083"/>
      <c r="BT60" s="2083"/>
      <c r="BU60" s="2083"/>
      <c r="BV60" s="2083"/>
      <c r="BW60" s="2083"/>
      <c r="BX60" s="2083"/>
      <c r="BY60" s="2083"/>
      <c r="BZ60" s="2083"/>
      <c r="CA60" s="2083"/>
      <c r="CB60" s="2083"/>
      <c r="CC60" s="2083"/>
      <c r="CD60" s="2083"/>
      <c r="CE60" s="2083"/>
      <c r="CF60" s="2083"/>
      <c r="CG60" s="2083"/>
      <c r="CH60" s="2083"/>
      <c r="CI60" s="2083"/>
      <c r="CJ60" s="2083"/>
      <c r="CK60" s="2083"/>
      <c r="CL60" s="2083"/>
      <c r="CM60" s="2083"/>
      <c r="CN60" s="2083"/>
      <c r="CO60" s="2083"/>
      <c r="CP60" s="2083"/>
      <c r="CQ60" s="2083"/>
      <c r="CR60" s="2083"/>
      <c r="CS60" s="2083"/>
      <c r="CT60" s="2083"/>
      <c r="CU60" s="2083"/>
      <c r="CV60" s="2083"/>
      <c r="CW60" s="2083"/>
      <c r="CX60" s="2083"/>
      <c r="CY60" s="2083"/>
      <c r="CZ60" s="2083"/>
      <c r="DA60" s="2083"/>
      <c r="DB60" s="2083"/>
      <c r="DC60" s="2083"/>
      <c r="DD60" s="2083"/>
      <c r="DE60" s="2083"/>
      <c r="DF60" s="2083"/>
      <c r="DG60" s="2083"/>
      <c r="DH60" s="2083"/>
      <c r="DI60" s="2083"/>
      <c r="DJ60" s="2083"/>
      <c r="DK60" s="2083"/>
      <c r="DL60" s="2083"/>
      <c r="DM60" s="2083"/>
      <c r="DN60" s="2083"/>
      <c r="DO60" s="2083"/>
      <c r="DP60" s="2083"/>
      <c r="DQ60" s="2083"/>
      <c r="DR60" s="2083"/>
      <c r="DS60" s="2083"/>
      <c r="DT60" s="2083"/>
      <c r="DU60" s="2083"/>
      <c r="DV60" s="2083"/>
      <c r="DW60" s="2083"/>
      <c r="DX60" s="2083"/>
      <c r="DY60" s="2083"/>
      <c r="DZ60" s="2083"/>
      <c r="EA60" s="2083"/>
      <c r="EB60" s="2083"/>
      <c r="EC60" s="2083"/>
      <c r="ED60" s="2083"/>
      <c r="EE60" s="2083"/>
      <c r="EF60" s="2083"/>
      <c r="EG60" s="2083"/>
      <c r="EH60" s="2083"/>
      <c r="EI60" s="2083"/>
      <c r="EJ60" s="2083"/>
      <c r="EK60" s="2083"/>
      <c r="EL60" s="2083"/>
      <c r="EM60" s="2083"/>
      <c r="EN60" s="2083"/>
      <c r="EO60" s="2083"/>
      <c r="EP60" s="2083"/>
      <c r="EQ60" s="2083"/>
      <c r="ER60" s="2083"/>
      <c r="ES60" s="2083"/>
      <c r="ET60" s="2083"/>
      <c r="EU60" s="2083"/>
      <c r="EV60" s="2083"/>
      <c r="EW60" s="2083"/>
      <c r="EX60" s="2083"/>
      <c r="EY60" s="2083"/>
      <c r="EZ60" s="2083"/>
      <c r="FA60" s="2083"/>
      <c r="FB60" s="2083"/>
      <c r="FC60" s="2083"/>
      <c r="FD60" s="2083"/>
      <c r="FE60" s="2083"/>
      <c r="FF60" s="2083"/>
      <c r="FG60" s="2083"/>
      <c r="FH60" s="2083"/>
      <c r="FI60" s="2083"/>
      <c r="FJ60" s="2083"/>
      <c r="FK60" s="2083"/>
      <c r="FL60" s="2083"/>
      <c r="FM60" s="2083"/>
      <c r="FN60" s="2083"/>
      <c r="FO60" s="2083"/>
      <c r="FP60" s="2083"/>
      <c r="FQ60" s="2083"/>
      <c r="FR60" s="2083"/>
      <c r="FS60" s="2083"/>
      <c r="FT60" s="2083"/>
      <c r="FU60" s="2083"/>
      <c r="FV60" s="2083"/>
      <c r="FW60" s="2083"/>
      <c r="FX60" s="2083"/>
      <c r="FY60" s="2083"/>
      <c r="FZ60" s="2083"/>
      <c r="GA60" s="2083"/>
      <c r="GB60" s="2083"/>
      <c r="GC60" s="2083"/>
      <c r="GD60" s="2083"/>
      <c r="GE60" s="2083"/>
      <c r="GF60" s="2083"/>
      <c r="GG60" s="2083"/>
      <c r="GH60" s="2083"/>
      <c r="GI60" s="2083"/>
      <c r="GJ60" s="2083"/>
      <c r="GK60" s="2083"/>
      <c r="GL60" s="2083"/>
      <c r="GM60" s="2083"/>
      <c r="GN60" s="2083"/>
      <c r="GO60" s="2083"/>
      <c r="GP60" s="2083"/>
      <c r="GQ60" s="2083"/>
      <c r="GR60" s="2083"/>
      <c r="GS60" s="2083"/>
      <c r="GT60" s="2083"/>
      <c r="GU60" s="2083"/>
      <c r="GV60" s="2083"/>
      <c r="GW60" s="2083"/>
      <c r="GX60" s="2083"/>
      <c r="GY60" s="2083"/>
      <c r="GZ60" s="2083"/>
      <c r="HA60" s="2083"/>
      <c r="HB60" s="2083"/>
      <c r="HC60" s="2083"/>
      <c r="HD60" s="2083"/>
      <c r="HE60" s="2083"/>
      <c r="HF60" s="2083"/>
      <c r="HG60" s="2083"/>
      <c r="HH60" s="2083"/>
      <c r="HI60" s="2083"/>
      <c r="HJ60" s="2083"/>
      <c r="HK60" s="2083"/>
      <c r="HL60" s="2083"/>
      <c r="HM60" s="2083"/>
      <c r="HN60" s="2083"/>
      <c r="HO60" s="2083"/>
      <c r="HP60" s="2083"/>
      <c r="HQ60" s="2083"/>
      <c r="HR60" s="2083"/>
      <c r="HS60" s="2083"/>
      <c r="HT60" s="2083"/>
      <c r="HU60" s="2083"/>
      <c r="HV60" s="2083"/>
      <c r="HW60" s="2083"/>
      <c r="HX60" s="2083"/>
      <c r="HY60" s="2083"/>
      <c r="HZ60" s="2083"/>
      <c r="IA60" s="2083"/>
      <c r="IB60" s="2083"/>
      <c r="IC60" s="2083"/>
      <c r="ID60" s="2083"/>
      <c r="IE60" s="2083"/>
      <c r="IF60" s="2083"/>
      <c r="IG60" s="2083"/>
      <c r="IH60" s="2083"/>
      <c r="II60" s="2083"/>
      <c r="IJ60" s="2083"/>
      <c r="IK60" s="2083"/>
      <c r="IL60" s="2083"/>
      <c r="IM60" s="2083"/>
      <c r="IN60" s="2083"/>
      <c r="IO60" s="2083"/>
      <c r="IP60" s="2083"/>
      <c r="IQ60" s="2083"/>
      <c r="IR60" s="2083"/>
      <c r="IS60" s="2083"/>
      <c r="IT60" s="2083"/>
      <c r="IU60" s="2083"/>
      <c r="IV60" s="2083"/>
    </row>
    <row r="61" spans="1:256" ht="57.75" customHeight="1">
      <c r="A61" s="2087">
        <v>43.1</v>
      </c>
      <c r="B61" s="2070" t="s">
        <v>7618</v>
      </c>
      <c r="C61" s="2070"/>
      <c r="D61" s="2070"/>
      <c r="E61" s="2059"/>
      <c r="F61" s="2048" t="s">
        <v>7619</v>
      </c>
      <c r="G61" s="2059"/>
      <c r="H61" s="2062"/>
      <c r="I61" s="2080"/>
      <c r="J61" s="2083"/>
      <c r="K61" s="2083"/>
      <c r="L61" s="2083"/>
      <c r="M61" s="2083"/>
      <c r="N61" s="2083"/>
      <c r="O61" s="2083"/>
      <c r="P61" s="2083"/>
      <c r="Q61" s="2083"/>
      <c r="R61" s="2083"/>
      <c r="S61" s="2083"/>
      <c r="T61" s="2083"/>
      <c r="U61" s="2083"/>
      <c r="V61" s="2083"/>
      <c r="W61" s="2083"/>
      <c r="X61" s="2083"/>
      <c r="Y61" s="2083"/>
      <c r="Z61" s="2083"/>
      <c r="AA61" s="2083"/>
      <c r="AB61" s="2083"/>
      <c r="AC61" s="2083"/>
      <c r="AD61" s="2083"/>
      <c r="AE61" s="2083"/>
      <c r="AF61" s="2083"/>
      <c r="AG61" s="2083"/>
      <c r="AH61" s="2083"/>
      <c r="AI61" s="2083"/>
      <c r="AJ61" s="2083"/>
      <c r="AK61" s="2083"/>
      <c r="AL61" s="2083"/>
      <c r="AM61" s="2083"/>
      <c r="AN61" s="2083"/>
      <c r="AO61" s="2083"/>
      <c r="AP61" s="2083"/>
      <c r="AQ61" s="2083"/>
      <c r="AR61" s="2083"/>
      <c r="AS61" s="2083"/>
      <c r="AT61" s="2083"/>
      <c r="AU61" s="2083"/>
      <c r="AV61" s="2083"/>
      <c r="AW61" s="2083"/>
      <c r="AX61" s="2083"/>
      <c r="AY61" s="2083"/>
      <c r="AZ61" s="2083"/>
      <c r="BA61" s="2083"/>
      <c r="BB61" s="2083"/>
      <c r="BC61" s="2083"/>
      <c r="BD61" s="2083"/>
      <c r="BE61" s="2083"/>
      <c r="BF61" s="2083"/>
      <c r="BG61" s="2083"/>
      <c r="BH61" s="2083"/>
      <c r="BI61" s="2083"/>
      <c r="BJ61" s="2083"/>
      <c r="BK61" s="2083"/>
      <c r="BL61" s="2083"/>
      <c r="BM61" s="2083"/>
      <c r="BN61" s="2083"/>
      <c r="BO61" s="2083"/>
      <c r="BP61" s="2083"/>
      <c r="BQ61" s="2083"/>
      <c r="BR61" s="2083"/>
      <c r="BS61" s="2083"/>
      <c r="BT61" s="2083"/>
      <c r="BU61" s="2083"/>
      <c r="BV61" s="2083"/>
      <c r="BW61" s="2083"/>
      <c r="BX61" s="2083"/>
      <c r="BY61" s="2083"/>
      <c r="BZ61" s="2083"/>
      <c r="CA61" s="2083"/>
      <c r="CB61" s="2083"/>
      <c r="CC61" s="2083"/>
      <c r="CD61" s="2083"/>
      <c r="CE61" s="2083"/>
      <c r="CF61" s="2083"/>
      <c r="CG61" s="2083"/>
      <c r="CH61" s="2083"/>
      <c r="CI61" s="2083"/>
      <c r="CJ61" s="2083"/>
      <c r="CK61" s="2083"/>
      <c r="CL61" s="2083"/>
      <c r="CM61" s="2083"/>
      <c r="CN61" s="2083"/>
      <c r="CO61" s="2083"/>
      <c r="CP61" s="2083"/>
      <c r="CQ61" s="2083"/>
      <c r="CR61" s="2083"/>
      <c r="CS61" s="2083"/>
      <c r="CT61" s="2083"/>
      <c r="CU61" s="2083"/>
      <c r="CV61" s="2083"/>
      <c r="CW61" s="2083"/>
      <c r="CX61" s="2083"/>
      <c r="CY61" s="2083"/>
      <c r="CZ61" s="2083"/>
      <c r="DA61" s="2083"/>
      <c r="DB61" s="2083"/>
      <c r="DC61" s="2083"/>
      <c r="DD61" s="2083"/>
      <c r="DE61" s="2083"/>
      <c r="DF61" s="2083"/>
      <c r="DG61" s="2083"/>
      <c r="DH61" s="2083"/>
      <c r="DI61" s="2083"/>
      <c r="DJ61" s="2083"/>
      <c r="DK61" s="2083"/>
      <c r="DL61" s="2083"/>
      <c r="DM61" s="2083"/>
      <c r="DN61" s="2083"/>
      <c r="DO61" s="2083"/>
      <c r="DP61" s="2083"/>
      <c r="DQ61" s="2083"/>
      <c r="DR61" s="2083"/>
      <c r="DS61" s="2083"/>
      <c r="DT61" s="2083"/>
      <c r="DU61" s="2083"/>
      <c r="DV61" s="2083"/>
      <c r="DW61" s="2083"/>
      <c r="DX61" s="2083"/>
      <c r="DY61" s="2083"/>
      <c r="DZ61" s="2083"/>
      <c r="EA61" s="2083"/>
      <c r="EB61" s="2083"/>
      <c r="EC61" s="2083"/>
      <c r="ED61" s="2083"/>
      <c r="EE61" s="2083"/>
      <c r="EF61" s="2083"/>
      <c r="EG61" s="2083"/>
      <c r="EH61" s="2083"/>
      <c r="EI61" s="2083"/>
      <c r="EJ61" s="2083"/>
      <c r="EK61" s="2083"/>
      <c r="EL61" s="2083"/>
      <c r="EM61" s="2083"/>
      <c r="EN61" s="2083"/>
      <c r="EO61" s="2083"/>
      <c r="EP61" s="2083"/>
      <c r="EQ61" s="2083"/>
      <c r="ER61" s="2083"/>
      <c r="ES61" s="2083"/>
      <c r="ET61" s="2083"/>
      <c r="EU61" s="2083"/>
      <c r="EV61" s="2083"/>
      <c r="EW61" s="2083"/>
      <c r="EX61" s="2083"/>
      <c r="EY61" s="2083"/>
      <c r="EZ61" s="2083"/>
      <c r="FA61" s="2083"/>
      <c r="FB61" s="2083"/>
      <c r="FC61" s="2083"/>
      <c r="FD61" s="2083"/>
      <c r="FE61" s="2083"/>
      <c r="FF61" s="2083"/>
      <c r="FG61" s="2083"/>
      <c r="FH61" s="2083"/>
      <c r="FI61" s="2083"/>
      <c r="FJ61" s="2083"/>
      <c r="FK61" s="2083"/>
      <c r="FL61" s="2083"/>
      <c r="FM61" s="2083"/>
      <c r="FN61" s="2083"/>
      <c r="FO61" s="2083"/>
      <c r="FP61" s="2083"/>
      <c r="FQ61" s="2083"/>
      <c r="FR61" s="2083"/>
      <c r="FS61" s="2083"/>
      <c r="FT61" s="2083"/>
      <c r="FU61" s="2083"/>
      <c r="FV61" s="2083"/>
      <c r="FW61" s="2083"/>
      <c r="FX61" s="2083"/>
      <c r="FY61" s="2083"/>
      <c r="FZ61" s="2083"/>
      <c r="GA61" s="2083"/>
      <c r="GB61" s="2083"/>
      <c r="GC61" s="2083"/>
      <c r="GD61" s="2083"/>
      <c r="GE61" s="2083"/>
      <c r="GF61" s="2083"/>
      <c r="GG61" s="2083"/>
      <c r="GH61" s="2083"/>
      <c r="GI61" s="2083"/>
      <c r="GJ61" s="2083"/>
      <c r="GK61" s="2083"/>
      <c r="GL61" s="2083"/>
      <c r="GM61" s="2083"/>
      <c r="GN61" s="2083"/>
      <c r="GO61" s="2083"/>
      <c r="GP61" s="2083"/>
      <c r="GQ61" s="2083"/>
      <c r="GR61" s="2083"/>
      <c r="GS61" s="2083"/>
      <c r="GT61" s="2083"/>
      <c r="GU61" s="2083"/>
      <c r="GV61" s="2083"/>
      <c r="GW61" s="2083"/>
      <c r="GX61" s="2083"/>
      <c r="GY61" s="2083"/>
      <c r="GZ61" s="2083"/>
      <c r="HA61" s="2083"/>
      <c r="HB61" s="2083"/>
      <c r="HC61" s="2083"/>
      <c r="HD61" s="2083"/>
      <c r="HE61" s="2083"/>
      <c r="HF61" s="2083"/>
      <c r="HG61" s="2083"/>
      <c r="HH61" s="2083"/>
      <c r="HI61" s="2083"/>
      <c r="HJ61" s="2083"/>
      <c r="HK61" s="2083"/>
      <c r="HL61" s="2083"/>
      <c r="HM61" s="2083"/>
      <c r="HN61" s="2083"/>
      <c r="HO61" s="2083"/>
      <c r="HP61" s="2083"/>
      <c r="HQ61" s="2083"/>
      <c r="HR61" s="2083"/>
      <c r="HS61" s="2083"/>
      <c r="HT61" s="2083"/>
      <c r="HU61" s="2083"/>
      <c r="HV61" s="2083"/>
      <c r="HW61" s="2083"/>
      <c r="HX61" s="2083"/>
      <c r="HY61" s="2083"/>
      <c r="HZ61" s="2083"/>
      <c r="IA61" s="2083"/>
      <c r="IB61" s="2083"/>
      <c r="IC61" s="2083"/>
      <c r="ID61" s="2083"/>
      <c r="IE61" s="2083"/>
      <c r="IF61" s="2083"/>
      <c r="IG61" s="2083"/>
      <c r="IH61" s="2083"/>
      <c r="II61" s="2083"/>
      <c r="IJ61" s="2083"/>
      <c r="IK61" s="2083"/>
      <c r="IL61" s="2083"/>
      <c r="IM61" s="2083"/>
      <c r="IN61" s="2083"/>
      <c r="IO61" s="2083"/>
      <c r="IP61" s="2083"/>
      <c r="IQ61" s="2083"/>
      <c r="IR61" s="2083"/>
      <c r="IS61" s="2083"/>
      <c r="IT61" s="2083"/>
      <c r="IU61" s="2083"/>
      <c r="IV61" s="2083"/>
    </row>
    <row r="62" spans="1:256" ht="25.5" customHeight="1">
      <c r="A62" s="2058"/>
      <c r="B62" s="2081" t="s">
        <v>7620</v>
      </c>
      <c r="C62" s="2082">
        <v>1</v>
      </c>
      <c r="D62" s="2082">
        <v>1</v>
      </c>
      <c r="E62" s="2062">
        <f>H30</f>
        <v>1.67</v>
      </c>
      <c r="F62" s="2062">
        <v>100</v>
      </c>
      <c r="G62" s="2063"/>
      <c r="H62" s="2062">
        <f>PRODUCT(C62:G62)</f>
        <v>167</v>
      </c>
      <c r="I62" s="2080"/>
      <c r="J62" s="2083"/>
      <c r="K62" s="2083"/>
      <c r="L62" s="2083"/>
      <c r="M62" s="2083"/>
      <c r="N62" s="2083"/>
      <c r="O62" s="2083"/>
      <c r="P62" s="2083"/>
      <c r="Q62" s="2083"/>
      <c r="R62" s="2083"/>
      <c r="S62" s="2083"/>
      <c r="T62" s="2083"/>
      <c r="U62" s="2083"/>
      <c r="V62" s="2083"/>
      <c r="W62" s="2083"/>
      <c r="X62" s="2083"/>
      <c r="Y62" s="2083"/>
      <c r="Z62" s="2083"/>
      <c r="AA62" s="2083"/>
      <c r="AB62" s="2083"/>
      <c r="AC62" s="2083"/>
      <c r="AD62" s="2083"/>
      <c r="AE62" s="2083"/>
      <c r="AF62" s="2083"/>
      <c r="AG62" s="2083"/>
      <c r="AH62" s="2083"/>
      <c r="AI62" s="2083"/>
      <c r="AJ62" s="2083"/>
      <c r="AK62" s="2083"/>
      <c r="AL62" s="2083"/>
      <c r="AM62" s="2083"/>
      <c r="AN62" s="2083"/>
      <c r="AO62" s="2083"/>
      <c r="AP62" s="2083"/>
      <c r="AQ62" s="2083"/>
      <c r="AR62" s="2083"/>
      <c r="AS62" s="2083"/>
      <c r="AT62" s="2083"/>
      <c r="AU62" s="2083"/>
      <c r="AV62" s="2083"/>
      <c r="AW62" s="2083"/>
      <c r="AX62" s="2083"/>
      <c r="AY62" s="2083"/>
      <c r="AZ62" s="2083"/>
      <c r="BA62" s="2083"/>
      <c r="BB62" s="2083"/>
      <c r="BC62" s="2083"/>
      <c r="BD62" s="2083"/>
      <c r="BE62" s="2083"/>
      <c r="BF62" s="2083"/>
      <c r="BG62" s="2083"/>
      <c r="BH62" s="2083"/>
      <c r="BI62" s="2083"/>
      <c r="BJ62" s="2083"/>
      <c r="BK62" s="2083"/>
      <c r="BL62" s="2083"/>
      <c r="BM62" s="2083"/>
      <c r="BN62" s="2083"/>
      <c r="BO62" s="2083"/>
      <c r="BP62" s="2083"/>
      <c r="BQ62" s="2083"/>
      <c r="BR62" s="2083"/>
      <c r="BS62" s="2083"/>
      <c r="BT62" s="2083"/>
      <c r="BU62" s="2083"/>
      <c r="BV62" s="2083"/>
      <c r="BW62" s="2083"/>
      <c r="BX62" s="2083"/>
      <c r="BY62" s="2083"/>
      <c r="BZ62" s="2083"/>
      <c r="CA62" s="2083"/>
      <c r="CB62" s="2083"/>
      <c r="CC62" s="2083"/>
      <c r="CD62" s="2083"/>
      <c r="CE62" s="2083"/>
      <c r="CF62" s="2083"/>
      <c r="CG62" s="2083"/>
      <c r="CH62" s="2083"/>
      <c r="CI62" s="2083"/>
      <c r="CJ62" s="2083"/>
      <c r="CK62" s="2083"/>
      <c r="CL62" s="2083"/>
      <c r="CM62" s="2083"/>
      <c r="CN62" s="2083"/>
      <c r="CO62" s="2083"/>
      <c r="CP62" s="2083"/>
      <c r="CQ62" s="2083"/>
      <c r="CR62" s="2083"/>
      <c r="CS62" s="2083"/>
      <c r="CT62" s="2083"/>
      <c r="CU62" s="2083"/>
      <c r="CV62" s="2083"/>
      <c r="CW62" s="2083"/>
      <c r="CX62" s="2083"/>
      <c r="CY62" s="2083"/>
      <c r="CZ62" s="2083"/>
      <c r="DA62" s="2083"/>
      <c r="DB62" s="2083"/>
      <c r="DC62" s="2083"/>
      <c r="DD62" s="2083"/>
      <c r="DE62" s="2083"/>
      <c r="DF62" s="2083"/>
      <c r="DG62" s="2083"/>
      <c r="DH62" s="2083"/>
      <c r="DI62" s="2083"/>
      <c r="DJ62" s="2083"/>
      <c r="DK62" s="2083"/>
      <c r="DL62" s="2083"/>
      <c r="DM62" s="2083"/>
      <c r="DN62" s="2083"/>
      <c r="DO62" s="2083"/>
      <c r="DP62" s="2083"/>
      <c r="DQ62" s="2083"/>
      <c r="DR62" s="2083"/>
      <c r="DS62" s="2083"/>
      <c r="DT62" s="2083"/>
      <c r="DU62" s="2083"/>
      <c r="DV62" s="2083"/>
      <c r="DW62" s="2083"/>
      <c r="DX62" s="2083"/>
      <c r="DY62" s="2083"/>
      <c r="DZ62" s="2083"/>
      <c r="EA62" s="2083"/>
      <c r="EB62" s="2083"/>
      <c r="EC62" s="2083"/>
      <c r="ED62" s="2083"/>
      <c r="EE62" s="2083"/>
      <c r="EF62" s="2083"/>
      <c r="EG62" s="2083"/>
      <c r="EH62" s="2083"/>
      <c r="EI62" s="2083"/>
      <c r="EJ62" s="2083"/>
      <c r="EK62" s="2083"/>
      <c r="EL62" s="2083"/>
      <c r="EM62" s="2083"/>
      <c r="EN62" s="2083"/>
      <c r="EO62" s="2083"/>
      <c r="EP62" s="2083"/>
      <c r="EQ62" s="2083"/>
      <c r="ER62" s="2083"/>
      <c r="ES62" s="2083"/>
      <c r="ET62" s="2083"/>
      <c r="EU62" s="2083"/>
      <c r="EV62" s="2083"/>
      <c r="EW62" s="2083"/>
      <c r="EX62" s="2083"/>
      <c r="EY62" s="2083"/>
      <c r="EZ62" s="2083"/>
      <c r="FA62" s="2083"/>
      <c r="FB62" s="2083"/>
      <c r="FC62" s="2083"/>
      <c r="FD62" s="2083"/>
      <c r="FE62" s="2083"/>
      <c r="FF62" s="2083"/>
      <c r="FG62" s="2083"/>
      <c r="FH62" s="2083"/>
      <c r="FI62" s="2083"/>
      <c r="FJ62" s="2083"/>
      <c r="FK62" s="2083"/>
      <c r="FL62" s="2083"/>
      <c r="FM62" s="2083"/>
      <c r="FN62" s="2083"/>
      <c r="FO62" s="2083"/>
      <c r="FP62" s="2083"/>
      <c r="FQ62" s="2083"/>
      <c r="FR62" s="2083"/>
      <c r="FS62" s="2083"/>
      <c r="FT62" s="2083"/>
      <c r="FU62" s="2083"/>
      <c r="FV62" s="2083"/>
      <c r="FW62" s="2083"/>
      <c r="FX62" s="2083"/>
      <c r="FY62" s="2083"/>
      <c r="FZ62" s="2083"/>
      <c r="GA62" s="2083"/>
      <c r="GB62" s="2083"/>
      <c r="GC62" s="2083"/>
      <c r="GD62" s="2083"/>
      <c r="GE62" s="2083"/>
      <c r="GF62" s="2083"/>
      <c r="GG62" s="2083"/>
      <c r="GH62" s="2083"/>
      <c r="GI62" s="2083"/>
      <c r="GJ62" s="2083"/>
      <c r="GK62" s="2083"/>
      <c r="GL62" s="2083"/>
      <c r="GM62" s="2083"/>
      <c r="GN62" s="2083"/>
      <c r="GO62" s="2083"/>
      <c r="GP62" s="2083"/>
      <c r="GQ62" s="2083"/>
      <c r="GR62" s="2083"/>
      <c r="GS62" s="2083"/>
      <c r="GT62" s="2083"/>
      <c r="GU62" s="2083"/>
      <c r="GV62" s="2083"/>
      <c r="GW62" s="2083"/>
      <c r="GX62" s="2083"/>
      <c r="GY62" s="2083"/>
      <c r="GZ62" s="2083"/>
      <c r="HA62" s="2083"/>
      <c r="HB62" s="2083"/>
      <c r="HC62" s="2083"/>
      <c r="HD62" s="2083"/>
      <c r="HE62" s="2083"/>
      <c r="HF62" s="2083"/>
      <c r="HG62" s="2083"/>
      <c r="HH62" s="2083"/>
      <c r="HI62" s="2083"/>
      <c r="HJ62" s="2083"/>
      <c r="HK62" s="2083"/>
      <c r="HL62" s="2083"/>
      <c r="HM62" s="2083"/>
      <c r="HN62" s="2083"/>
      <c r="HO62" s="2083"/>
      <c r="HP62" s="2083"/>
      <c r="HQ62" s="2083"/>
      <c r="HR62" s="2083"/>
      <c r="HS62" s="2083"/>
      <c r="HT62" s="2083"/>
      <c r="HU62" s="2083"/>
      <c r="HV62" s="2083"/>
      <c r="HW62" s="2083"/>
      <c r="HX62" s="2083"/>
      <c r="HY62" s="2083"/>
      <c r="HZ62" s="2083"/>
      <c r="IA62" s="2083"/>
      <c r="IB62" s="2083"/>
      <c r="IC62" s="2083"/>
      <c r="ID62" s="2083"/>
      <c r="IE62" s="2083"/>
      <c r="IF62" s="2083"/>
      <c r="IG62" s="2083"/>
      <c r="IH62" s="2083"/>
      <c r="II62" s="2083"/>
      <c r="IJ62" s="2083"/>
      <c r="IK62" s="2083"/>
      <c r="IL62" s="2083"/>
      <c r="IM62" s="2083"/>
      <c r="IN62" s="2083"/>
      <c r="IO62" s="2083"/>
      <c r="IP62" s="2083"/>
      <c r="IQ62" s="2083"/>
      <c r="IR62" s="2083"/>
      <c r="IS62" s="2083"/>
      <c r="IT62" s="2083"/>
      <c r="IU62" s="2083"/>
      <c r="IV62" s="2083"/>
    </row>
    <row r="63" spans="1:256" ht="25.5" customHeight="1">
      <c r="A63" s="2058"/>
      <c r="B63" s="2081" t="s">
        <v>7621</v>
      </c>
      <c r="C63" s="2082">
        <v>1</v>
      </c>
      <c r="D63" s="2082">
        <v>1</v>
      </c>
      <c r="E63" s="2062">
        <f>H42</f>
        <v>1.1299999999999999</v>
      </c>
      <c r="F63" s="2062">
        <v>65</v>
      </c>
      <c r="G63" s="2063">
        <v>0.04</v>
      </c>
      <c r="H63" s="2062">
        <f>PRODUCT(C63:G63)</f>
        <v>2.94</v>
      </c>
      <c r="I63" s="2080"/>
      <c r="J63" s="2083"/>
      <c r="K63" s="2083"/>
      <c r="L63" s="2083"/>
      <c r="M63" s="2083"/>
      <c r="N63" s="2083"/>
      <c r="O63" s="2083"/>
      <c r="P63" s="2083"/>
      <c r="Q63" s="2083"/>
      <c r="R63" s="2083"/>
      <c r="S63" s="2083"/>
      <c r="T63" s="2083"/>
      <c r="U63" s="2083"/>
      <c r="V63" s="2083"/>
      <c r="W63" s="2083"/>
      <c r="X63" s="2083"/>
      <c r="Y63" s="2083"/>
      <c r="Z63" s="2083"/>
      <c r="AA63" s="2083"/>
      <c r="AB63" s="2083"/>
      <c r="AC63" s="2083"/>
      <c r="AD63" s="2083"/>
      <c r="AE63" s="2083"/>
      <c r="AF63" s="2083"/>
      <c r="AG63" s="2083"/>
      <c r="AH63" s="2083"/>
      <c r="AI63" s="2083"/>
      <c r="AJ63" s="2083"/>
      <c r="AK63" s="2083"/>
      <c r="AL63" s="2083"/>
      <c r="AM63" s="2083"/>
      <c r="AN63" s="2083"/>
      <c r="AO63" s="2083"/>
      <c r="AP63" s="2083"/>
      <c r="AQ63" s="2083"/>
      <c r="AR63" s="2083"/>
      <c r="AS63" s="2083"/>
      <c r="AT63" s="2083"/>
      <c r="AU63" s="2083"/>
      <c r="AV63" s="2083"/>
      <c r="AW63" s="2083"/>
      <c r="AX63" s="2083"/>
      <c r="AY63" s="2083"/>
      <c r="AZ63" s="2083"/>
      <c r="BA63" s="2083"/>
      <c r="BB63" s="2083"/>
      <c r="BC63" s="2083"/>
      <c r="BD63" s="2083"/>
      <c r="BE63" s="2083"/>
      <c r="BF63" s="2083"/>
      <c r="BG63" s="2083"/>
      <c r="BH63" s="2083"/>
      <c r="BI63" s="2083"/>
      <c r="BJ63" s="2083"/>
      <c r="BK63" s="2083"/>
      <c r="BL63" s="2083"/>
      <c r="BM63" s="2083"/>
      <c r="BN63" s="2083"/>
      <c r="BO63" s="2083"/>
      <c r="BP63" s="2083"/>
      <c r="BQ63" s="2083"/>
      <c r="BR63" s="2083"/>
      <c r="BS63" s="2083"/>
      <c r="BT63" s="2083"/>
      <c r="BU63" s="2083"/>
      <c r="BV63" s="2083"/>
      <c r="BW63" s="2083"/>
      <c r="BX63" s="2083"/>
      <c r="BY63" s="2083"/>
      <c r="BZ63" s="2083"/>
      <c r="CA63" s="2083"/>
      <c r="CB63" s="2083"/>
      <c r="CC63" s="2083"/>
      <c r="CD63" s="2083"/>
      <c r="CE63" s="2083"/>
      <c r="CF63" s="2083"/>
      <c r="CG63" s="2083"/>
      <c r="CH63" s="2083"/>
      <c r="CI63" s="2083"/>
      <c r="CJ63" s="2083"/>
      <c r="CK63" s="2083"/>
      <c r="CL63" s="2083"/>
      <c r="CM63" s="2083"/>
      <c r="CN63" s="2083"/>
      <c r="CO63" s="2083"/>
      <c r="CP63" s="2083"/>
      <c r="CQ63" s="2083"/>
      <c r="CR63" s="2083"/>
      <c r="CS63" s="2083"/>
      <c r="CT63" s="2083"/>
      <c r="CU63" s="2083"/>
      <c r="CV63" s="2083"/>
      <c r="CW63" s="2083"/>
      <c r="CX63" s="2083"/>
      <c r="CY63" s="2083"/>
      <c r="CZ63" s="2083"/>
      <c r="DA63" s="2083"/>
      <c r="DB63" s="2083"/>
      <c r="DC63" s="2083"/>
      <c r="DD63" s="2083"/>
      <c r="DE63" s="2083"/>
      <c r="DF63" s="2083"/>
      <c r="DG63" s="2083"/>
      <c r="DH63" s="2083"/>
      <c r="DI63" s="2083"/>
      <c r="DJ63" s="2083"/>
      <c r="DK63" s="2083"/>
      <c r="DL63" s="2083"/>
      <c r="DM63" s="2083"/>
      <c r="DN63" s="2083"/>
      <c r="DO63" s="2083"/>
      <c r="DP63" s="2083"/>
      <c r="DQ63" s="2083"/>
      <c r="DR63" s="2083"/>
      <c r="DS63" s="2083"/>
      <c r="DT63" s="2083"/>
      <c r="DU63" s="2083"/>
      <c r="DV63" s="2083"/>
      <c r="DW63" s="2083"/>
      <c r="DX63" s="2083"/>
      <c r="DY63" s="2083"/>
      <c r="DZ63" s="2083"/>
      <c r="EA63" s="2083"/>
      <c r="EB63" s="2083"/>
      <c r="EC63" s="2083"/>
      <c r="ED63" s="2083"/>
      <c r="EE63" s="2083"/>
      <c r="EF63" s="2083"/>
      <c r="EG63" s="2083"/>
      <c r="EH63" s="2083"/>
      <c r="EI63" s="2083"/>
      <c r="EJ63" s="2083"/>
      <c r="EK63" s="2083"/>
      <c r="EL63" s="2083"/>
      <c r="EM63" s="2083"/>
      <c r="EN63" s="2083"/>
      <c r="EO63" s="2083"/>
      <c r="EP63" s="2083"/>
      <c r="EQ63" s="2083"/>
      <c r="ER63" s="2083"/>
      <c r="ES63" s="2083"/>
      <c r="ET63" s="2083"/>
      <c r="EU63" s="2083"/>
      <c r="EV63" s="2083"/>
      <c r="EW63" s="2083"/>
      <c r="EX63" s="2083"/>
      <c r="EY63" s="2083"/>
      <c r="EZ63" s="2083"/>
      <c r="FA63" s="2083"/>
      <c r="FB63" s="2083"/>
      <c r="FC63" s="2083"/>
      <c r="FD63" s="2083"/>
      <c r="FE63" s="2083"/>
      <c r="FF63" s="2083"/>
      <c r="FG63" s="2083"/>
      <c r="FH63" s="2083"/>
      <c r="FI63" s="2083"/>
      <c r="FJ63" s="2083"/>
      <c r="FK63" s="2083"/>
      <c r="FL63" s="2083"/>
      <c r="FM63" s="2083"/>
      <c r="FN63" s="2083"/>
      <c r="FO63" s="2083"/>
      <c r="FP63" s="2083"/>
      <c r="FQ63" s="2083"/>
      <c r="FR63" s="2083"/>
      <c r="FS63" s="2083"/>
      <c r="FT63" s="2083"/>
      <c r="FU63" s="2083"/>
      <c r="FV63" s="2083"/>
      <c r="FW63" s="2083"/>
      <c r="FX63" s="2083"/>
      <c r="FY63" s="2083"/>
      <c r="FZ63" s="2083"/>
      <c r="GA63" s="2083"/>
      <c r="GB63" s="2083"/>
      <c r="GC63" s="2083"/>
      <c r="GD63" s="2083"/>
      <c r="GE63" s="2083"/>
      <c r="GF63" s="2083"/>
      <c r="GG63" s="2083"/>
      <c r="GH63" s="2083"/>
      <c r="GI63" s="2083"/>
      <c r="GJ63" s="2083"/>
      <c r="GK63" s="2083"/>
      <c r="GL63" s="2083"/>
      <c r="GM63" s="2083"/>
      <c r="GN63" s="2083"/>
      <c r="GO63" s="2083"/>
      <c r="GP63" s="2083"/>
      <c r="GQ63" s="2083"/>
      <c r="GR63" s="2083"/>
      <c r="GS63" s="2083"/>
      <c r="GT63" s="2083"/>
      <c r="GU63" s="2083"/>
      <c r="GV63" s="2083"/>
      <c r="GW63" s="2083"/>
      <c r="GX63" s="2083"/>
      <c r="GY63" s="2083"/>
      <c r="GZ63" s="2083"/>
      <c r="HA63" s="2083"/>
      <c r="HB63" s="2083"/>
      <c r="HC63" s="2083"/>
      <c r="HD63" s="2083"/>
      <c r="HE63" s="2083"/>
      <c r="HF63" s="2083"/>
      <c r="HG63" s="2083"/>
      <c r="HH63" s="2083"/>
      <c r="HI63" s="2083"/>
      <c r="HJ63" s="2083"/>
      <c r="HK63" s="2083"/>
      <c r="HL63" s="2083"/>
      <c r="HM63" s="2083"/>
      <c r="HN63" s="2083"/>
      <c r="HO63" s="2083"/>
      <c r="HP63" s="2083"/>
      <c r="HQ63" s="2083"/>
      <c r="HR63" s="2083"/>
      <c r="HS63" s="2083"/>
      <c r="HT63" s="2083"/>
      <c r="HU63" s="2083"/>
      <c r="HV63" s="2083"/>
      <c r="HW63" s="2083"/>
      <c r="HX63" s="2083"/>
      <c r="HY63" s="2083"/>
      <c r="HZ63" s="2083"/>
      <c r="IA63" s="2083"/>
      <c r="IB63" s="2083"/>
      <c r="IC63" s="2083"/>
      <c r="ID63" s="2083"/>
      <c r="IE63" s="2083"/>
      <c r="IF63" s="2083"/>
      <c r="IG63" s="2083"/>
      <c r="IH63" s="2083"/>
      <c r="II63" s="2083"/>
      <c r="IJ63" s="2083"/>
      <c r="IK63" s="2083"/>
      <c r="IL63" s="2083"/>
      <c r="IM63" s="2083"/>
      <c r="IN63" s="2083"/>
      <c r="IO63" s="2083"/>
      <c r="IP63" s="2083"/>
      <c r="IQ63" s="2083"/>
      <c r="IR63" s="2083"/>
      <c r="IS63" s="2083"/>
      <c r="IT63" s="2083"/>
      <c r="IU63" s="2083"/>
      <c r="IV63" s="2083"/>
    </row>
    <row r="64" spans="1:256" ht="25.5" customHeight="1">
      <c r="A64" s="2058"/>
      <c r="B64" s="2081"/>
      <c r="C64" s="2082"/>
      <c r="D64" s="2082"/>
      <c r="E64" s="2065"/>
      <c r="F64" s="2065"/>
      <c r="G64" s="2086" t="s">
        <v>2235</v>
      </c>
      <c r="H64" s="2067">
        <f>SUM(H62:H63)</f>
        <v>169.94</v>
      </c>
      <c r="I64" s="2080"/>
      <c r="J64" s="2083"/>
      <c r="K64" s="2083"/>
      <c r="L64" s="2083"/>
      <c r="M64" s="2083"/>
      <c r="N64" s="2083"/>
      <c r="O64" s="2083"/>
      <c r="P64" s="2083"/>
      <c r="Q64" s="2083"/>
      <c r="R64" s="2083"/>
      <c r="S64" s="2083"/>
      <c r="T64" s="2083"/>
      <c r="U64" s="2083"/>
      <c r="V64" s="2083"/>
      <c r="W64" s="2083"/>
      <c r="X64" s="2083"/>
      <c r="Y64" s="2083"/>
      <c r="Z64" s="2083"/>
      <c r="AA64" s="2083"/>
      <c r="AB64" s="2083"/>
      <c r="AC64" s="2083"/>
      <c r="AD64" s="2083"/>
      <c r="AE64" s="2083"/>
      <c r="AF64" s="2083"/>
      <c r="AG64" s="2083"/>
      <c r="AH64" s="2083"/>
      <c r="AI64" s="2083"/>
      <c r="AJ64" s="2083"/>
      <c r="AK64" s="2083"/>
      <c r="AL64" s="2083"/>
      <c r="AM64" s="2083"/>
      <c r="AN64" s="2083"/>
      <c r="AO64" s="2083"/>
      <c r="AP64" s="2083"/>
      <c r="AQ64" s="2083"/>
      <c r="AR64" s="2083"/>
      <c r="AS64" s="2083"/>
      <c r="AT64" s="2083"/>
      <c r="AU64" s="2083"/>
      <c r="AV64" s="2083"/>
      <c r="AW64" s="2083"/>
      <c r="AX64" s="2083"/>
      <c r="AY64" s="2083"/>
      <c r="AZ64" s="2083"/>
      <c r="BA64" s="2083"/>
      <c r="BB64" s="2083"/>
      <c r="BC64" s="2083"/>
      <c r="BD64" s="2083"/>
      <c r="BE64" s="2083"/>
      <c r="BF64" s="2083"/>
      <c r="BG64" s="2083"/>
      <c r="BH64" s="2083"/>
      <c r="BI64" s="2083"/>
      <c r="BJ64" s="2083"/>
      <c r="BK64" s="2083"/>
      <c r="BL64" s="2083"/>
      <c r="BM64" s="2083"/>
      <c r="BN64" s="2083"/>
      <c r="BO64" s="2083"/>
      <c r="BP64" s="2083"/>
      <c r="BQ64" s="2083"/>
      <c r="BR64" s="2083"/>
      <c r="BS64" s="2083"/>
      <c r="BT64" s="2083"/>
      <c r="BU64" s="2083"/>
      <c r="BV64" s="2083"/>
      <c r="BW64" s="2083"/>
      <c r="BX64" s="2083"/>
      <c r="BY64" s="2083"/>
      <c r="BZ64" s="2083"/>
      <c r="CA64" s="2083"/>
      <c r="CB64" s="2083"/>
      <c r="CC64" s="2083"/>
      <c r="CD64" s="2083"/>
      <c r="CE64" s="2083"/>
      <c r="CF64" s="2083"/>
      <c r="CG64" s="2083"/>
      <c r="CH64" s="2083"/>
      <c r="CI64" s="2083"/>
      <c r="CJ64" s="2083"/>
      <c r="CK64" s="2083"/>
      <c r="CL64" s="2083"/>
      <c r="CM64" s="2083"/>
      <c r="CN64" s="2083"/>
      <c r="CO64" s="2083"/>
      <c r="CP64" s="2083"/>
      <c r="CQ64" s="2083"/>
      <c r="CR64" s="2083"/>
      <c r="CS64" s="2083"/>
      <c r="CT64" s="2083"/>
      <c r="CU64" s="2083"/>
      <c r="CV64" s="2083"/>
      <c r="CW64" s="2083"/>
      <c r="CX64" s="2083"/>
      <c r="CY64" s="2083"/>
      <c r="CZ64" s="2083"/>
      <c r="DA64" s="2083"/>
      <c r="DB64" s="2083"/>
      <c r="DC64" s="2083"/>
      <c r="DD64" s="2083"/>
      <c r="DE64" s="2083"/>
      <c r="DF64" s="2083"/>
      <c r="DG64" s="2083"/>
      <c r="DH64" s="2083"/>
      <c r="DI64" s="2083"/>
      <c r="DJ64" s="2083"/>
      <c r="DK64" s="2083"/>
      <c r="DL64" s="2083"/>
      <c r="DM64" s="2083"/>
      <c r="DN64" s="2083"/>
      <c r="DO64" s="2083"/>
      <c r="DP64" s="2083"/>
      <c r="DQ64" s="2083"/>
      <c r="DR64" s="2083"/>
      <c r="DS64" s="2083"/>
      <c r="DT64" s="2083"/>
      <c r="DU64" s="2083"/>
      <c r="DV64" s="2083"/>
      <c r="DW64" s="2083"/>
      <c r="DX64" s="2083"/>
      <c r="DY64" s="2083"/>
      <c r="DZ64" s="2083"/>
      <c r="EA64" s="2083"/>
      <c r="EB64" s="2083"/>
      <c r="EC64" s="2083"/>
      <c r="ED64" s="2083"/>
      <c r="EE64" s="2083"/>
      <c r="EF64" s="2083"/>
      <c r="EG64" s="2083"/>
      <c r="EH64" s="2083"/>
      <c r="EI64" s="2083"/>
      <c r="EJ64" s="2083"/>
      <c r="EK64" s="2083"/>
      <c r="EL64" s="2083"/>
      <c r="EM64" s="2083"/>
      <c r="EN64" s="2083"/>
      <c r="EO64" s="2083"/>
      <c r="EP64" s="2083"/>
      <c r="EQ64" s="2083"/>
      <c r="ER64" s="2083"/>
      <c r="ES64" s="2083"/>
      <c r="ET64" s="2083"/>
      <c r="EU64" s="2083"/>
      <c r="EV64" s="2083"/>
      <c r="EW64" s="2083"/>
      <c r="EX64" s="2083"/>
      <c r="EY64" s="2083"/>
      <c r="EZ64" s="2083"/>
      <c r="FA64" s="2083"/>
      <c r="FB64" s="2083"/>
      <c r="FC64" s="2083"/>
      <c r="FD64" s="2083"/>
      <c r="FE64" s="2083"/>
      <c r="FF64" s="2083"/>
      <c r="FG64" s="2083"/>
      <c r="FH64" s="2083"/>
      <c r="FI64" s="2083"/>
      <c r="FJ64" s="2083"/>
      <c r="FK64" s="2083"/>
      <c r="FL64" s="2083"/>
      <c r="FM64" s="2083"/>
      <c r="FN64" s="2083"/>
      <c r="FO64" s="2083"/>
      <c r="FP64" s="2083"/>
      <c r="FQ64" s="2083"/>
      <c r="FR64" s="2083"/>
      <c r="FS64" s="2083"/>
      <c r="FT64" s="2083"/>
      <c r="FU64" s="2083"/>
      <c r="FV64" s="2083"/>
      <c r="FW64" s="2083"/>
      <c r="FX64" s="2083"/>
      <c r="FY64" s="2083"/>
      <c r="FZ64" s="2083"/>
      <c r="GA64" s="2083"/>
      <c r="GB64" s="2083"/>
      <c r="GC64" s="2083"/>
      <c r="GD64" s="2083"/>
      <c r="GE64" s="2083"/>
      <c r="GF64" s="2083"/>
      <c r="GG64" s="2083"/>
      <c r="GH64" s="2083"/>
      <c r="GI64" s="2083"/>
      <c r="GJ64" s="2083"/>
      <c r="GK64" s="2083"/>
      <c r="GL64" s="2083"/>
      <c r="GM64" s="2083"/>
      <c r="GN64" s="2083"/>
      <c r="GO64" s="2083"/>
      <c r="GP64" s="2083"/>
      <c r="GQ64" s="2083"/>
      <c r="GR64" s="2083"/>
      <c r="GS64" s="2083"/>
      <c r="GT64" s="2083"/>
      <c r="GU64" s="2083"/>
      <c r="GV64" s="2083"/>
      <c r="GW64" s="2083"/>
      <c r="GX64" s="2083"/>
      <c r="GY64" s="2083"/>
      <c r="GZ64" s="2083"/>
      <c r="HA64" s="2083"/>
      <c r="HB64" s="2083"/>
      <c r="HC64" s="2083"/>
      <c r="HD64" s="2083"/>
      <c r="HE64" s="2083"/>
      <c r="HF64" s="2083"/>
      <c r="HG64" s="2083"/>
      <c r="HH64" s="2083"/>
      <c r="HI64" s="2083"/>
      <c r="HJ64" s="2083"/>
      <c r="HK64" s="2083"/>
      <c r="HL64" s="2083"/>
      <c r="HM64" s="2083"/>
      <c r="HN64" s="2083"/>
      <c r="HO64" s="2083"/>
      <c r="HP64" s="2083"/>
      <c r="HQ64" s="2083"/>
      <c r="HR64" s="2083"/>
      <c r="HS64" s="2083"/>
      <c r="HT64" s="2083"/>
      <c r="HU64" s="2083"/>
      <c r="HV64" s="2083"/>
      <c r="HW64" s="2083"/>
      <c r="HX64" s="2083"/>
      <c r="HY64" s="2083"/>
      <c r="HZ64" s="2083"/>
      <c r="IA64" s="2083"/>
      <c r="IB64" s="2083"/>
      <c r="IC64" s="2083"/>
      <c r="ID64" s="2083"/>
      <c r="IE64" s="2083"/>
      <c r="IF64" s="2083"/>
      <c r="IG64" s="2083"/>
      <c r="IH64" s="2083"/>
      <c r="II64" s="2083"/>
      <c r="IJ64" s="2083"/>
      <c r="IK64" s="2083"/>
      <c r="IL64" s="2083"/>
      <c r="IM64" s="2083"/>
      <c r="IN64" s="2083"/>
      <c r="IO64" s="2083"/>
      <c r="IP64" s="2083"/>
      <c r="IQ64" s="2083"/>
      <c r="IR64" s="2083"/>
      <c r="IS64" s="2083"/>
      <c r="IT64" s="2083"/>
      <c r="IU64" s="2083"/>
      <c r="IV64" s="2083"/>
    </row>
    <row r="65" spans="1:256" ht="25.5" customHeight="1">
      <c r="A65" s="2058"/>
      <c r="B65" s="2081"/>
      <c r="C65" s="2082"/>
      <c r="D65" s="2082"/>
      <c r="E65" s="2062"/>
      <c r="F65" s="2062"/>
      <c r="G65" s="2086" t="s">
        <v>4209</v>
      </c>
      <c r="H65" s="2088">
        <f>H64/1000</f>
        <v>0.17</v>
      </c>
      <c r="I65" s="2080" t="s">
        <v>525</v>
      </c>
      <c r="J65" s="2083"/>
      <c r="K65" s="2083"/>
      <c r="L65" s="2083"/>
      <c r="M65" s="2083"/>
      <c r="N65" s="2083"/>
      <c r="O65" s="2083"/>
      <c r="P65" s="2083"/>
      <c r="Q65" s="2083"/>
      <c r="R65" s="2083"/>
      <c r="S65" s="2083"/>
      <c r="T65" s="2083"/>
      <c r="U65" s="2083"/>
      <c r="V65" s="2083"/>
      <c r="W65" s="2083"/>
      <c r="X65" s="2083"/>
      <c r="Y65" s="2083"/>
      <c r="Z65" s="2083"/>
      <c r="AA65" s="2083"/>
      <c r="AB65" s="2083"/>
      <c r="AC65" s="2083"/>
      <c r="AD65" s="2083"/>
      <c r="AE65" s="2083"/>
      <c r="AF65" s="2083"/>
      <c r="AG65" s="2083"/>
      <c r="AH65" s="2083"/>
      <c r="AI65" s="2083"/>
      <c r="AJ65" s="2083"/>
      <c r="AK65" s="2083"/>
      <c r="AL65" s="2083"/>
      <c r="AM65" s="2083"/>
      <c r="AN65" s="2083"/>
      <c r="AO65" s="2083"/>
      <c r="AP65" s="2083"/>
      <c r="AQ65" s="2083"/>
      <c r="AR65" s="2083"/>
      <c r="AS65" s="2083"/>
      <c r="AT65" s="2083"/>
      <c r="AU65" s="2083"/>
      <c r="AV65" s="2083"/>
      <c r="AW65" s="2083"/>
      <c r="AX65" s="2083"/>
      <c r="AY65" s="2083"/>
      <c r="AZ65" s="2083"/>
      <c r="BA65" s="2083"/>
      <c r="BB65" s="2083"/>
      <c r="BC65" s="2083"/>
      <c r="BD65" s="2083"/>
      <c r="BE65" s="2083"/>
      <c r="BF65" s="2083"/>
      <c r="BG65" s="2083"/>
      <c r="BH65" s="2083"/>
      <c r="BI65" s="2083"/>
      <c r="BJ65" s="2083"/>
      <c r="BK65" s="2083"/>
      <c r="BL65" s="2083"/>
      <c r="BM65" s="2083"/>
      <c r="BN65" s="2083"/>
      <c r="BO65" s="2083"/>
      <c r="BP65" s="2083"/>
      <c r="BQ65" s="2083"/>
      <c r="BR65" s="2083"/>
      <c r="BS65" s="2083"/>
      <c r="BT65" s="2083"/>
      <c r="BU65" s="2083"/>
      <c r="BV65" s="2083"/>
      <c r="BW65" s="2083"/>
      <c r="BX65" s="2083"/>
      <c r="BY65" s="2083"/>
      <c r="BZ65" s="2083"/>
      <c r="CA65" s="2083"/>
      <c r="CB65" s="2083"/>
      <c r="CC65" s="2083"/>
      <c r="CD65" s="2083"/>
      <c r="CE65" s="2083"/>
      <c r="CF65" s="2083"/>
      <c r="CG65" s="2083"/>
      <c r="CH65" s="2083"/>
      <c r="CI65" s="2083"/>
      <c r="CJ65" s="2083"/>
      <c r="CK65" s="2083"/>
      <c r="CL65" s="2083"/>
      <c r="CM65" s="2083"/>
      <c r="CN65" s="2083"/>
      <c r="CO65" s="2083"/>
      <c r="CP65" s="2083"/>
      <c r="CQ65" s="2083"/>
      <c r="CR65" s="2083"/>
      <c r="CS65" s="2083"/>
      <c r="CT65" s="2083"/>
      <c r="CU65" s="2083"/>
      <c r="CV65" s="2083"/>
      <c r="CW65" s="2083"/>
      <c r="CX65" s="2083"/>
      <c r="CY65" s="2083"/>
      <c r="CZ65" s="2083"/>
      <c r="DA65" s="2083"/>
      <c r="DB65" s="2083"/>
      <c r="DC65" s="2083"/>
      <c r="DD65" s="2083"/>
      <c r="DE65" s="2083"/>
      <c r="DF65" s="2083"/>
      <c r="DG65" s="2083"/>
      <c r="DH65" s="2083"/>
      <c r="DI65" s="2083"/>
      <c r="DJ65" s="2083"/>
      <c r="DK65" s="2083"/>
      <c r="DL65" s="2083"/>
      <c r="DM65" s="2083"/>
      <c r="DN65" s="2083"/>
      <c r="DO65" s="2083"/>
      <c r="DP65" s="2083"/>
      <c r="DQ65" s="2083"/>
      <c r="DR65" s="2083"/>
      <c r="DS65" s="2083"/>
      <c r="DT65" s="2083"/>
      <c r="DU65" s="2083"/>
      <c r="DV65" s="2083"/>
      <c r="DW65" s="2083"/>
      <c r="DX65" s="2083"/>
      <c r="DY65" s="2083"/>
      <c r="DZ65" s="2083"/>
      <c r="EA65" s="2083"/>
      <c r="EB65" s="2083"/>
      <c r="EC65" s="2083"/>
      <c r="ED65" s="2083"/>
      <c r="EE65" s="2083"/>
      <c r="EF65" s="2083"/>
      <c r="EG65" s="2083"/>
      <c r="EH65" s="2083"/>
      <c r="EI65" s="2083"/>
      <c r="EJ65" s="2083"/>
      <c r="EK65" s="2083"/>
      <c r="EL65" s="2083"/>
      <c r="EM65" s="2083"/>
      <c r="EN65" s="2083"/>
      <c r="EO65" s="2083"/>
      <c r="EP65" s="2083"/>
      <c r="EQ65" s="2083"/>
      <c r="ER65" s="2083"/>
      <c r="ES65" s="2083"/>
      <c r="ET65" s="2083"/>
      <c r="EU65" s="2083"/>
      <c r="EV65" s="2083"/>
      <c r="EW65" s="2083"/>
      <c r="EX65" s="2083"/>
      <c r="EY65" s="2083"/>
      <c r="EZ65" s="2083"/>
      <c r="FA65" s="2083"/>
      <c r="FB65" s="2083"/>
      <c r="FC65" s="2083"/>
      <c r="FD65" s="2083"/>
      <c r="FE65" s="2083"/>
      <c r="FF65" s="2083"/>
      <c r="FG65" s="2083"/>
      <c r="FH65" s="2083"/>
      <c r="FI65" s="2083"/>
      <c r="FJ65" s="2083"/>
      <c r="FK65" s="2083"/>
      <c r="FL65" s="2083"/>
      <c r="FM65" s="2083"/>
      <c r="FN65" s="2083"/>
      <c r="FO65" s="2083"/>
      <c r="FP65" s="2083"/>
      <c r="FQ65" s="2083"/>
      <c r="FR65" s="2083"/>
      <c r="FS65" s="2083"/>
      <c r="FT65" s="2083"/>
      <c r="FU65" s="2083"/>
      <c r="FV65" s="2083"/>
      <c r="FW65" s="2083"/>
      <c r="FX65" s="2083"/>
      <c r="FY65" s="2083"/>
      <c r="FZ65" s="2083"/>
      <c r="GA65" s="2083"/>
      <c r="GB65" s="2083"/>
      <c r="GC65" s="2083"/>
      <c r="GD65" s="2083"/>
      <c r="GE65" s="2083"/>
      <c r="GF65" s="2083"/>
      <c r="GG65" s="2083"/>
      <c r="GH65" s="2083"/>
      <c r="GI65" s="2083"/>
      <c r="GJ65" s="2083"/>
      <c r="GK65" s="2083"/>
      <c r="GL65" s="2083"/>
      <c r="GM65" s="2083"/>
      <c r="GN65" s="2083"/>
      <c r="GO65" s="2083"/>
      <c r="GP65" s="2083"/>
      <c r="GQ65" s="2083"/>
      <c r="GR65" s="2083"/>
      <c r="GS65" s="2083"/>
      <c r="GT65" s="2083"/>
      <c r="GU65" s="2083"/>
      <c r="GV65" s="2083"/>
      <c r="GW65" s="2083"/>
      <c r="GX65" s="2083"/>
      <c r="GY65" s="2083"/>
      <c r="GZ65" s="2083"/>
      <c r="HA65" s="2083"/>
      <c r="HB65" s="2083"/>
      <c r="HC65" s="2083"/>
      <c r="HD65" s="2083"/>
      <c r="HE65" s="2083"/>
      <c r="HF65" s="2083"/>
      <c r="HG65" s="2083"/>
      <c r="HH65" s="2083"/>
      <c r="HI65" s="2083"/>
      <c r="HJ65" s="2083"/>
      <c r="HK65" s="2083"/>
      <c r="HL65" s="2083"/>
      <c r="HM65" s="2083"/>
      <c r="HN65" s="2083"/>
      <c r="HO65" s="2083"/>
      <c r="HP65" s="2083"/>
      <c r="HQ65" s="2083"/>
      <c r="HR65" s="2083"/>
      <c r="HS65" s="2083"/>
      <c r="HT65" s="2083"/>
      <c r="HU65" s="2083"/>
      <c r="HV65" s="2083"/>
      <c r="HW65" s="2083"/>
      <c r="HX65" s="2083"/>
      <c r="HY65" s="2083"/>
      <c r="HZ65" s="2083"/>
      <c r="IA65" s="2083"/>
      <c r="IB65" s="2083"/>
      <c r="IC65" s="2083"/>
      <c r="ID65" s="2083"/>
      <c r="IE65" s="2083"/>
      <c r="IF65" s="2083"/>
      <c r="IG65" s="2083"/>
      <c r="IH65" s="2083"/>
      <c r="II65" s="2083"/>
      <c r="IJ65" s="2083"/>
      <c r="IK65" s="2083"/>
      <c r="IL65" s="2083"/>
      <c r="IM65" s="2083"/>
      <c r="IN65" s="2083"/>
      <c r="IO65" s="2083"/>
      <c r="IP65" s="2083"/>
      <c r="IQ65" s="2083"/>
      <c r="IR65" s="2083"/>
      <c r="IS65" s="2083"/>
      <c r="IT65" s="2083"/>
      <c r="IU65" s="2083"/>
      <c r="IV65" s="2083"/>
    </row>
    <row r="66" spans="1:256" ht="27" customHeight="1">
      <c r="A66" s="2087">
        <v>18.100000000000001</v>
      </c>
      <c r="B66" s="2070" t="s">
        <v>7622</v>
      </c>
      <c r="C66" s="2073"/>
      <c r="D66" s="2073"/>
      <c r="E66" s="2073"/>
      <c r="F66" s="2073"/>
      <c r="G66" s="2073"/>
      <c r="H66" s="2062"/>
      <c r="I66" s="2080"/>
      <c r="J66" s="2083"/>
      <c r="K66" s="2083"/>
      <c r="L66" s="2083"/>
      <c r="M66" s="2083"/>
      <c r="N66" s="2083"/>
      <c r="O66" s="2083"/>
      <c r="P66" s="2083"/>
      <c r="Q66" s="2083"/>
      <c r="R66" s="2083"/>
      <c r="S66" s="2083"/>
      <c r="T66" s="2083"/>
      <c r="U66" s="2083"/>
      <c r="V66" s="2083"/>
      <c r="W66" s="2083"/>
      <c r="X66" s="2083"/>
      <c r="Y66" s="2083"/>
      <c r="Z66" s="2083"/>
      <c r="AA66" s="2083"/>
      <c r="AB66" s="2083"/>
      <c r="AC66" s="2083"/>
      <c r="AD66" s="2083"/>
      <c r="AE66" s="2083"/>
      <c r="AF66" s="2083"/>
      <c r="AG66" s="2083"/>
      <c r="AH66" s="2083"/>
      <c r="AI66" s="2083"/>
      <c r="AJ66" s="2083"/>
      <c r="AK66" s="2083"/>
      <c r="AL66" s="2083"/>
      <c r="AM66" s="2083"/>
      <c r="AN66" s="2083"/>
      <c r="AO66" s="2083"/>
      <c r="AP66" s="2083"/>
      <c r="AQ66" s="2083"/>
      <c r="AR66" s="2083"/>
      <c r="AS66" s="2083"/>
      <c r="AT66" s="2083"/>
      <c r="AU66" s="2083"/>
      <c r="AV66" s="2083"/>
      <c r="AW66" s="2083"/>
      <c r="AX66" s="2083"/>
      <c r="AY66" s="2083"/>
      <c r="AZ66" s="2083"/>
      <c r="BA66" s="2083"/>
      <c r="BB66" s="2083"/>
      <c r="BC66" s="2083"/>
      <c r="BD66" s="2083"/>
      <c r="BE66" s="2083"/>
      <c r="BF66" s="2083"/>
      <c r="BG66" s="2083"/>
      <c r="BH66" s="2083"/>
      <c r="BI66" s="2083"/>
      <c r="BJ66" s="2083"/>
      <c r="BK66" s="2083"/>
      <c r="BL66" s="2083"/>
      <c r="BM66" s="2083"/>
      <c r="BN66" s="2083"/>
      <c r="BO66" s="2083"/>
      <c r="BP66" s="2083"/>
      <c r="BQ66" s="2083"/>
      <c r="BR66" s="2083"/>
      <c r="BS66" s="2083"/>
      <c r="BT66" s="2083"/>
      <c r="BU66" s="2083"/>
      <c r="BV66" s="2083"/>
      <c r="BW66" s="2083"/>
      <c r="BX66" s="2083"/>
      <c r="BY66" s="2083"/>
      <c r="BZ66" s="2083"/>
      <c r="CA66" s="2083"/>
      <c r="CB66" s="2083"/>
      <c r="CC66" s="2083"/>
      <c r="CD66" s="2083"/>
      <c r="CE66" s="2083"/>
      <c r="CF66" s="2083"/>
      <c r="CG66" s="2083"/>
      <c r="CH66" s="2083"/>
      <c r="CI66" s="2083"/>
      <c r="CJ66" s="2083"/>
      <c r="CK66" s="2083"/>
      <c r="CL66" s="2083"/>
      <c r="CM66" s="2083"/>
      <c r="CN66" s="2083"/>
      <c r="CO66" s="2083"/>
      <c r="CP66" s="2083"/>
      <c r="CQ66" s="2083"/>
      <c r="CR66" s="2083"/>
      <c r="CS66" s="2083"/>
      <c r="CT66" s="2083"/>
      <c r="CU66" s="2083"/>
      <c r="CV66" s="2083"/>
      <c r="CW66" s="2083"/>
      <c r="CX66" s="2083"/>
      <c r="CY66" s="2083"/>
      <c r="CZ66" s="2083"/>
      <c r="DA66" s="2083"/>
      <c r="DB66" s="2083"/>
      <c r="DC66" s="2083"/>
      <c r="DD66" s="2083"/>
      <c r="DE66" s="2083"/>
      <c r="DF66" s="2083"/>
      <c r="DG66" s="2083"/>
      <c r="DH66" s="2083"/>
      <c r="DI66" s="2083"/>
      <c r="DJ66" s="2083"/>
      <c r="DK66" s="2083"/>
      <c r="DL66" s="2083"/>
      <c r="DM66" s="2083"/>
      <c r="DN66" s="2083"/>
      <c r="DO66" s="2083"/>
      <c r="DP66" s="2083"/>
      <c r="DQ66" s="2083"/>
      <c r="DR66" s="2083"/>
      <c r="DS66" s="2083"/>
      <c r="DT66" s="2083"/>
      <c r="DU66" s="2083"/>
      <c r="DV66" s="2083"/>
      <c r="DW66" s="2083"/>
      <c r="DX66" s="2083"/>
      <c r="DY66" s="2083"/>
      <c r="DZ66" s="2083"/>
      <c r="EA66" s="2083"/>
      <c r="EB66" s="2083"/>
      <c r="EC66" s="2083"/>
      <c r="ED66" s="2083"/>
      <c r="EE66" s="2083"/>
      <c r="EF66" s="2083"/>
      <c r="EG66" s="2083"/>
      <c r="EH66" s="2083"/>
      <c r="EI66" s="2083"/>
      <c r="EJ66" s="2083"/>
      <c r="EK66" s="2083"/>
      <c r="EL66" s="2083"/>
      <c r="EM66" s="2083"/>
      <c r="EN66" s="2083"/>
      <c r="EO66" s="2083"/>
      <c r="EP66" s="2083"/>
      <c r="EQ66" s="2083"/>
      <c r="ER66" s="2083"/>
      <c r="ES66" s="2083"/>
      <c r="ET66" s="2083"/>
      <c r="EU66" s="2083"/>
      <c r="EV66" s="2083"/>
      <c r="EW66" s="2083"/>
      <c r="EX66" s="2083"/>
      <c r="EY66" s="2083"/>
      <c r="EZ66" s="2083"/>
      <c r="FA66" s="2083"/>
      <c r="FB66" s="2083"/>
      <c r="FC66" s="2083"/>
      <c r="FD66" s="2083"/>
      <c r="FE66" s="2083"/>
      <c r="FF66" s="2083"/>
      <c r="FG66" s="2083"/>
      <c r="FH66" s="2083"/>
      <c r="FI66" s="2083"/>
      <c r="FJ66" s="2083"/>
      <c r="FK66" s="2083"/>
      <c r="FL66" s="2083"/>
      <c r="FM66" s="2083"/>
      <c r="FN66" s="2083"/>
      <c r="FO66" s="2083"/>
      <c r="FP66" s="2083"/>
      <c r="FQ66" s="2083"/>
      <c r="FR66" s="2083"/>
      <c r="FS66" s="2083"/>
      <c r="FT66" s="2083"/>
      <c r="FU66" s="2083"/>
      <c r="FV66" s="2083"/>
      <c r="FW66" s="2083"/>
      <c r="FX66" s="2083"/>
      <c r="FY66" s="2083"/>
      <c r="FZ66" s="2083"/>
      <c r="GA66" s="2083"/>
      <c r="GB66" s="2083"/>
      <c r="GC66" s="2083"/>
      <c r="GD66" s="2083"/>
      <c r="GE66" s="2083"/>
      <c r="GF66" s="2083"/>
      <c r="GG66" s="2083"/>
      <c r="GH66" s="2083"/>
      <c r="GI66" s="2083"/>
      <c r="GJ66" s="2083"/>
      <c r="GK66" s="2083"/>
      <c r="GL66" s="2083"/>
      <c r="GM66" s="2083"/>
      <c r="GN66" s="2083"/>
      <c r="GO66" s="2083"/>
      <c r="GP66" s="2083"/>
      <c r="GQ66" s="2083"/>
      <c r="GR66" s="2083"/>
      <c r="GS66" s="2083"/>
      <c r="GT66" s="2083"/>
      <c r="GU66" s="2083"/>
      <c r="GV66" s="2083"/>
      <c r="GW66" s="2083"/>
      <c r="GX66" s="2083"/>
      <c r="GY66" s="2083"/>
      <c r="GZ66" s="2083"/>
      <c r="HA66" s="2083"/>
      <c r="HB66" s="2083"/>
      <c r="HC66" s="2083"/>
      <c r="HD66" s="2083"/>
      <c r="HE66" s="2083"/>
      <c r="HF66" s="2083"/>
      <c r="HG66" s="2083"/>
      <c r="HH66" s="2083"/>
      <c r="HI66" s="2083"/>
      <c r="HJ66" s="2083"/>
      <c r="HK66" s="2083"/>
      <c r="HL66" s="2083"/>
      <c r="HM66" s="2083"/>
      <c r="HN66" s="2083"/>
      <c r="HO66" s="2083"/>
      <c r="HP66" s="2083"/>
      <c r="HQ66" s="2083"/>
      <c r="HR66" s="2083"/>
      <c r="HS66" s="2083"/>
      <c r="HT66" s="2083"/>
      <c r="HU66" s="2083"/>
      <c r="HV66" s="2083"/>
      <c r="HW66" s="2083"/>
      <c r="HX66" s="2083"/>
      <c r="HY66" s="2083"/>
      <c r="HZ66" s="2083"/>
      <c r="IA66" s="2083"/>
      <c r="IB66" s="2083"/>
      <c r="IC66" s="2083"/>
      <c r="ID66" s="2083"/>
      <c r="IE66" s="2083"/>
      <c r="IF66" s="2083"/>
      <c r="IG66" s="2083"/>
      <c r="IH66" s="2083"/>
      <c r="II66" s="2083"/>
      <c r="IJ66" s="2083"/>
      <c r="IK66" s="2083"/>
      <c r="IL66" s="2083"/>
      <c r="IM66" s="2083"/>
      <c r="IN66" s="2083"/>
      <c r="IO66" s="2083"/>
      <c r="IP66" s="2083"/>
      <c r="IQ66" s="2083"/>
      <c r="IR66" s="2083"/>
      <c r="IS66" s="2083"/>
      <c r="IT66" s="2083"/>
      <c r="IU66" s="2083"/>
      <c r="IV66" s="2083"/>
    </row>
    <row r="67" spans="1:256" ht="51" customHeight="1">
      <c r="A67" s="2058"/>
      <c r="B67" s="2089" t="s">
        <v>7623</v>
      </c>
      <c r="C67" s="2089"/>
      <c r="D67" s="2089"/>
      <c r="E67" s="2089"/>
      <c r="F67" s="2089"/>
      <c r="G67" s="2063"/>
      <c r="H67" s="2062"/>
      <c r="I67" s="2080"/>
      <c r="J67" s="2083"/>
      <c r="K67" s="2083"/>
      <c r="L67" s="2083"/>
      <c r="M67" s="2083"/>
      <c r="N67" s="2083"/>
      <c r="O67" s="2083"/>
      <c r="P67" s="2083"/>
      <c r="Q67" s="2083"/>
      <c r="R67" s="2083"/>
      <c r="S67" s="2083"/>
      <c r="T67" s="2083"/>
      <c r="U67" s="2083"/>
      <c r="V67" s="2083"/>
      <c r="W67" s="2083"/>
      <c r="X67" s="2083"/>
      <c r="Y67" s="2083"/>
      <c r="Z67" s="2083"/>
      <c r="AA67" s="2083"/>
      <c r="AB67" s="2083"/>
      <c r="AC67" s="2083"/>
      <c r="AD67" s="2083"/>
      <c r="AE67" s="2083"/>
      <c r="AF67" s="2083"/>
      <c r="AG67" s="2083"/>
      <c r="AH67" s="2083"/>
      <c r="AI67" s="2083"/>
      <c r="AJ67" s="2083"/>
      <c r="AK67" s="2083"/>
      <c r="AL67" s="2083"/>
      <c r="AM67" s="2083"/>
      <c r="AN67" s="2083"/>
      <c r="AO67" s="2083"/>
      <c r="AP67" s="2083"/>
      <c r="AQ67" s="2083"/>
      <c r="AR67" s="2083"/>
      <c r="AS67" s="2083"/>
      <c r="AT67" s="2083"/>
      <c r="AU67" s="2083"/>
      <c r="AV67" s="2083"/>
      <c r="AW67" s="2083"/>
      <c r="AX67" s="2083"/>
      <c r="AY67" s="2083"/>
      <c r="AZ67" s="2083"/>
      <c r="BA67" s="2083"/>
      <c r="BB67" s="2083"/>
      <c r="BC67" s="2083"/>
      <c r="BD67" s="2083"/>
      <c r="BE67" s="2083"/>
      <c r="BF67" s="2083"/>
      <c r="BG67" s="2083"/>
      <c r="BH67" s="2083"/>
      <c r="BI67" s="2083"/>
      <c r="BJ67" s="2083"/>
      <c r="BK67" s="2083"/>
      <c r="BL67" s="2083"/>
      <c r="BM67" s="2083"/>
      <c r="BN67" s="2083"/>
      <c r="BO67" s="2083"/>
      <c r="BP67" s="2083"/>
      <c r="BQ67" s="2083"/>
      <c r="BR67" s="2083"/>
      <c r="BS67" s="2083"/>
      <c r="BT67" s="2083"/>
      <c r="BU67" s="2083"/>
      <c r="BV67" s="2083"/>
      <c r="BW67" s="2083"/>
      <c r="BX67" s="2083"/>
      <c r="BY67" s="2083"/>
      <c r="BZ67" s="2083"/>
      <c r="CA67" s="2083"/>
      <c r="CB67" s="2083"/>
      <c r="CC67" s="2083"/>
      <c r="CD67" s="2083"/>
      <c r="CE67" s="2083"/>
      <c r="CF67" s="2083"/>
      <c r="CG67" s="2083"/>
      <c r="CH67" s="2083"/>
      <c r="CI67" s="2083"/>
      <c r="CJ67" s="2083"/>
      <c r="CK67" s="2083"/>
      <c r="CL67" s="2083"/>
      <c r="CM67" s="2083"/>
      <c r="CN67" s="2083"/>
      <c r="CO67" s="2083"/>
      <c r="CP67" s="2083"/>
      <c r="CQ67" s="2083"/>
      <c r="CR67" s="2083"/>
      <c r="CS67" s="2083"/>
      <c r="CT67" s="2083"/>
      <c r="CU67" s="2083"/>
      <c r="CV67" s="2083"/>
      <c r="CW67" s="2083"/>
      <c r="CX67" s="2083"/>
      <c r="CY67" s="2083"/>
      <c r="CZ67" s="2083"/>
      <c r="DA67" s="2083"/>
      <c r="DB67" s="2083"/>
      <c r="DC67" s="2083"/>
      <c r="DD67" s="2083"/>
      <c r="DE67" s="2083"/>
      <c r="DF67" s="2083"/>
      <c r="DG67" s="2083"/>
      <c r="DH67" s="2083"/>
      <c r="DI67" s="2083"/>
      <c r="DJ67" s="2083"/>
      <c r="DK67" s="2083"/>
      <c r="DL67" s="2083"/>
      <c r="DM67" s="2083"/>
      <c r="DN67" s="2083"/>
      <c r="DO67" s="2083"/>
      <c r="DP67" s="2083"/>
      <c r="DQ67" s="2083"/>
      <c r="DR67" s="2083"/>
      <c r="DS67" s="2083"/>
      <c r="DT67" s="2083"/>
      <c r="DU67" s="2083"/>
      <c r="DV67" s="2083"/>
      <c r="DW67" s="2083"/>
      <c r="DX67" s="2083"/>
      <c r="DY67" s="2083"/>
      <c r="DZ67" s="2083"/>
      <c r="EA67" s="2083"/>
      <c r="EB67" s="2083"/>
      <c r="EC67" s="2083"/>
      <c r="ED67" s="2083"/>
      <c r="EE67" s="2083"/>
      <c r="EF67" s="2083"/>
      <c r="EG67" s="2083"/>
      <c r="EH67" s="2083"/>
      <c r="EI67" s="2083"/>
      <c r="EJ67" s="2083"/>
      <c r="EK67" s="2083"/>
      <c r="EL67" s="2083"/>
      <c r="EM67" s="2083"/>
      <c r="EN67" s="2083"/>
      <c r="EO67" s="2083"/>
      <c r="EP67" s="2083"/>
      <c r="EQ67" s="2083"/>
      <c r="ER67" s="2083"/>
      <c r="ES67" s="2083"/>
      <c r="ET67" s="2083"/>
      <c r="EU67" s="2083"/>
      <c r="EV67" s="2083"/>
      <c r="EW67" s="2083"/>
      <c r="EX67" s="2083"/>
      <c r="EY67" s="2083"/>
      <c r="EZ67" s="2083"/>
      <c r="FA67" s="2083"/>
      <c r="FB67" s="2083"/>
      <c r="FC67" s="2083"/>
      <c r="FD67" s="2083"/>
      <c r="FE67" s="2083"/>
      <c r="FF67" s="2083"/>
      <c r="FG67" s="2083"/>
      <c r="FH67" s="2083"/>
      <c r="FI67" s="2083"/>
      <c r="FJ67" s="2083"/>
      <c r="FK67" s="2083"/>
      <c r="FL67" s="2083"/>
      <c r="FM67" s="2083"/>
      <c r="FN67" s="2083"/>
      <c r="FO67" s="2083"/>
      <c r="FP67" s="2083"/>
      <c r="FQ67" s="2083"/>
      <c r="FR67" s="2083"/>
      <c r="FS67" s="2083"/>
      <c r="FT67" s="2083"/>
      <c r="FU67" s="2083"/>
      <c r="FV67" s="2083"/>
      <c r="FW67" s="2083"/>
      <c r="FX67" s="2083"/>
      <c r="FY67" s="2083"/>
      <c r="FZ67" s="2083"/>
      <c r="GA67" s="2083"/>
      <c r="GB67" s="2083"/>
      <c r="GC67" s="2083"/>
      <c r="GD67" s="2083"/>
      <c r="GE67" s="2083"/>
      <c r="GF67" s="2083"/>
      <c r="GG67" s="2083"/>
      <c r="GH67" s="2083"/>
      <c r="GI67" s="2083"/>
      <c r="GJ67" s="2083"/>
      <c r="GK67" s="2083"/>
      <c r="GL67" s="2083"/>
      <c r="GM67" s="2083"/>
      <c r="GN67" s="2083"/>
      <c r="GO67" s="2083"/>
      <c r="GP67" s="2083"/>
      <c r="GQ67" s="2083"/>
      <c r="GR67" s="2083"/>
      <c r="GS67" s="2083"/>
      <c r="GT67" s="2083"/>
      <c r="GU67" s="2083"/>
      <c r="GV67" s="2083"/>
      <c r="GW67" s="2083"/>
      <c r="GX67" s="2083"/>
      <c r="GY67" s="2083"/>
      <c r="GZ67" s="2083"/>
      <c r="HA67" s="2083"/>
      <c r="HB67" s="2083"/>
      <c r="HC67" s="2083"/>
      <c r="HD67" s="2083"/>
      <c r="HE67" s="2083"/>
      <c r="HF67" s="2083"/>
      <c r="HG67" s="2083"/>
      <c r="HH67" s="2083"/>
      <c r="HI67" s="2083"/>
      <c r="HJ67" s="2083"/>
      <c r="HK67" s="2083"/>
      <c r="HL67" s="2083"/>
      <c r="HM67" s="2083"/>
      <c r="HN67" s="2083"/>
      <c r="HO67" s="2083"/>
      <c r="HP67" s="2083"/>
      <c r="HQ67" s="2083"/>
      <c r="HR67" s="2083"/>
      <c r="HS67" s="2083"/>
      <c r="HT67" s="2083"/>
      <c r="HU67" s="2083"/>
      <c r="HV67" s="2083"/>
      <c r="HW67" s="2083"/>
      <c r="HX67" s="2083"/>
      <c r="HY67" s="2083"/>
      <c r="HZ67" s="2083"/>
      <c r="IA67" s="2083"/>
      <c r="IB67" s="2083"/>
      <c r="IC67" s="2083"/>
      <c r="ID67" s="2083"/>
      <c r="IE67" s="2083"/>
      <c r="IF67" s="2083"/>
      <c r="IG67" s="2083"/>
      <c r="IH67" s="2083"/>
      <c r="II67" s="2083"/>
      <c r="IJ67" s="2083"/>
      <c r="IK67" s="2083"/>
      <c r="IL67" s="2083"/>
      <c r="IM67" s="2083"/>
      <c r="IN67" s="2083"/>
      <c r="IO67" s="2083"/>
      <c r="IP67" s="2083"/>
      <c r="IQ67" s="2083"/>
      <c r="IR67" s="2083"/>
      <c r="IS67" s="2083"/>
      <c r="IT67" s="2083"/>
      <c r="IU67" s="2083"/>
      <c r="IV67" s="2083"/>
    </row>
    <row r="68" spans="1:256" ht="24.75" customHeight="1">
      <c r="A68" s="2071"/>
      <c r="B68" s="2057" t="s">
        <v>7624</v>
      </c>
      <c r="C68" s="2060">
        <v>1</v>
      </c>
      <c r="D68" s="2060">
        <v>1</v>
      </c>
      <c r="E68" s="2062">
        <v>2.46</v>
      </c>
      <c r="F68" s="2062"/>
      <c r="G68" s="2075">
        <v>0.46</v>
      </c>
      <c r="H68" s="2062">
        <f>PRODUCT(C68:G68)</f>
        <v>1.1299999999999999</v>
      </c>
      <c r="I68" s="2068"/>
      <c r="J68" s="2064">
        <f>2.43+2.43+0.23+0.23</f>
        <v>5.32</v>
      </c>
      <c r="K68" s="2042"/>
      <c r="L68" s="2042"/>
      <c r="M68" s="2042"/>
      <c r="N68" s="2042"/>
      <c r="O68" s="2042"/>
      <c r="P68" s="2042"/>
      <c r="Q68" s="2042"/>
      <c r="R68" s="2042"/>
      <c r="S68" s="2042"/>
      <c r="T68" s="2042"/>
      <c r="U68" s="2042"/>
      <c r="V68" s="2042"/>
      <c r="W68" s="2042"/>
      <c r="X68" s="2042"/>
      <c r="Y68" s="2042"/>
      <c r="Z68" s="2042"/>
      <c r="AA68" s="2042"/>
      <c r="AB68" s="2042"/>
      <c r="AC68" s="2042"/>
      <c r="AD68" s="2042"/>
      <c r="AE68" s="2042"/>
      <c r="AF68" s="2042"/>
      <c r="AG68" s="2042"/>
      <c r="AH68" s="2042"/>
      <c r="AI68" s="2042"/>
      <c r="AJ68" s="2042"/>
      <c r="AK68" s="2042"/>
      <c r="AL68" s="2042"/>
      <c r="AM68" s="2042"/>
      <c r="AN68" s="2042"/>
      <c r="AO68" s="2042"/>
      <c r="AP68" s="2042"/>
      <c r="AQ68" s="2042"/>
      <c r="AR68" s="2042"/>
      <c r="AS68" s="2042"/>
      <c r="AT68" s="2042"/>
      <c r="AU68" s="2042"/>
      <c r="AV68" s="2042"/>
      <c r="AW68" s="2042"/>
      <c r="AX68" s="2042"/>
      <c r="AY68" s="2042"/>
      <c r="AZ68" s="2042"/>
      <c r="BA68" s="2042"/>
      <c r="BB68" s="2042"/>
      <c r="BC68" s="2042"/>
      <c r="BD68" s="2042"/>
      <c r="BE68" s="2042"/>
      <c r="BF68" s="2042"/>
      <c r="BG68" s="2042"/>
      <c r="BH68" s="2042"/>
      <c r="BI68" s="2042"/>
      <c r="BJ68" s="2042"/>
      <c r="BK68" s="2042"/>
      <c r="BL68" s="2042"/>
      <c r="BM68" s="2042"/>
      <c r="BN68" s="2042"/>
      <c r="BO68" s="2042"/>
      <c r="BP68" s="2042"/>
      <c r="BQ68" s="2042"/>
      <c r="BR68" s="2042"/>
      <c r="BS68" s="2042"/>
      <c r="BT68" s="2042"/>
      <c r="BU68" s="2042"/>
      <c r="BV68" s="2042"/>
      <c r="BW68" s="2042"/>
      <c r="BX68" s="2042"/>
      <c r="BY68" s="2042"/>
      <c r="BZ68" s="2042"/>
      <c r="CA68" s="2042"/>
      <c r="CB68" s="2042"/>
      <c r="CC68" s="2042"/>
      <c r="CD68" s="2042"/>
      <c r="CE68" s="2042"/>
      <c r="CF68" s="2042"/>
      <c r="CG68" s="2042"/>
      <c r="CH68" s="2042"/>
      <c r="CI68" s="2042"/>
      <c r="CJ68" s="2042"/>
      <c r="CK68" s="2042"/>
      <c r="CL68" s="2042"/>
      <c r="CM68" s="2042"/>
      <c r="CN68" s="2042"/>
      <c r="CO68" s="2042"/>
      <c r="CP68" s="2042"/>
      <c r="CQ68" s="2042"/>
      <c r="CR68" s="2042"/>
      <c r="CS68" s="2042"/>
      <c r="CT68" s="2042"/>
      <c r="CU68" s="2042"/>
      <c r="CV68" s="2042"/>
      <c r="CW68" s="2042"/>
      <c r="CX68" s="2042"/>
      <c r="CY68" s="2042"/>
      <c r="CZ68" s="2042"/>
      <c r="DA68" s="2042"/>
      <c r="DB68" s="2042"/>
      <c r="DC68" s="2042"/>
      <c r="DD68" s="2042"/>
      <c r="DE68" s="2042"/>
      <c r="DF68" s="2042"/>
      <c r="DG68" s="2042"/>
      <c r="DH68" s="2042"/>
      <c r="DI68" s="2042"/>
      <c r="DJ68" s="2042"/>
      <c r="DK68" s="2042"/>
      <c r="DL68" s="2042"/>
      <c r="DM68" s="2042"/>
      <c r="DN68" s="2042"/>
      <c r="DO68" s="2042"/>
      <c r="DP68" s="2042"/>
      <c r="DQ68" s="2042"/>
      <c r="DR68" s="2042"/>
      <c r="DS68" s="2042"/>
      <c r="DT68" s="2042"/>
      <c r="DU68" s="2042"/>
      <c r="DV68" s="2042"/>
      <c r="DW68" s="2042"/>
      <c r="DX68" s="2042"/>
      <c r="DY68" s="2042"/>
      <c r="DZ68" s="2042"/>
      <c r="EA68" s="2042"/>
      <c r="EB68" s="2042"/>
      <c r="EC68" s="2042"/>
      <c r="ED68" s="2042"/>
      <c r="EE68" s="2042"/>
      <c r="EF68" s="2042"/>
      <c r="EG68" s="2042"/>
      <c r="EH68" s="2042"/>
      <c r="EI68" s="2042"/>
      <c r="EJ68" s="2042"/>
      <c r="EK68" s="2042"/>
      <c r="EL68" s="2042"/>
      <c r="EM68" s="2042"/>
      <c r="EN68" s="2042"/>
      <c r="EO68" s="2042"/>
      <c r="EP68" s="2042"/>
      <c r="EQ68" s="2042"/>
      <c r="ER68" s="2042"/>
      <c r="ES68" s="2042"/>
      <c r="ET68" s="2042"/>
      <c r="EU68" s="2042"/>
      <c r="EV68" s="2042"/>
      <c r="EW68" s="2042"/>
      <c r="EX68" s="2042"/>
      <c r="EY68" s="2042"/>
      <c r="EZ68" s="2042"/>
      <c r="FA68" s="2042"/>
      <c r="FB68" s="2042"/>
      <c r="FC68" s="2042"/>
      <c r="FD68" s="2042"/>
      <c r="FE68" s="2042"/>
      <c r="FF68" s="2042"/>
      <c r="FG68" s="2042"/>
      <c r="FH68" s="2042"/>
      <c r="FI68" s="2042"/>
      <c r="FJ68" s="2042"/>
      <c r="FK68" s="2042"/>
      <c r="FL68" s="2042"/>
      <c r="FM68" s="2042"/>
      <c r="FN68" s="2042"/>
      <c r="FO68" s="2042"/>
      <c r="FP68" s="2042"/>
      <c r="FQ68" s="2042"/>
      <c r="FR68" s="2042"/>
      <c r="FS68" s="2042"/>
      <c r="FT68" s="2042"/>
      <c r="FU68" s="2042"/>
      <c r="FV68" s="2042"/>
      <c r="FW68" s="2042"/>
      <c r="FX68" s="2042"/>
      <c r="FY68" s="2042"/>
      <c r="FZ68" s="2042"/>
      <c r="GA68" s="2042"/>
      <c r="GB68" s="2042"/>
      <c r="GC68" s="2042"/>
      <c r="GD68" s="2042"/>
      <c r="GE68" s="2042"/>
      <c r="GF68" s="2042"/>
      <c r="GG68" s="2042"/>
      <c r="GH68" s="2042"/>
      <c r="GI68" s="2042"/>
      <c r="GJ68" s="2042"/>
      <c r="GK68" s="2042"/>
      <c r="GL68" s="2042"/>
      <c r="GM68" s="2042"/>
      <c r="GN68" s="2042"/>
      <c r="GO68" s="2042"/>
      <c r="GP68" s="2042"/>
      <c r="GQ68" s="2042"/>
      <c r="GR68" s="2042"/>
      <c r="GS68" s="2042"/>
      <c r="GT68" s="2042"/>
      <c r="GU68" s="2042"/>
      <c r="GV68" s="2042"/>
      <c r="GW68" s="2042"/>
      <c r="GX68" s="2042"/>
      <c r="GY68" s="2042"/>
      <c r="GZ68" s="2042"/>
      <c r="HA68" s="2042"/>
      <c r="HB68" s="2042"/>
      <c r="HC68" s="2042"/>
      <c r="HD68" s="2042"/>
      <c r="HE68" s="2042"/>
      <c r="HF68" s="2042"/>
      <c r="HG68" s="2042"/>
      <c r="HH68" s="2042"/>
      <c r="HI68" s="2042"/>
      <c r="HJ68" s="2042"/>
      <c r="HK68" s="2042"/>
      <c r="HL68" s="2042"/>
      <c r="HM68" s="2042"/>
      <c r="HN68" s="2042"/>
      <c r="HO68" s="2042"/>
      <c r="HP68" s="2042"/>
      <c r="HQ68" s="2042"/>
      <c r="HR68" s="2042"/>
      <c r="HS68" s="2042"/>
      <c r="HT68" s="2042"/>
      <c r="HU68" s="2042"/>
      <c r="HV68" s="2042"/>
      <c r="HW68" s="2042"/>
      <c r="HX68" s="2042"/>
      <c r="HY68" s="2042"/>
      <c r="HZ68" s="2042"/>
      <c r="IA68" s="2042"/>
      <c r="IB68" s="2042"/>
      <c r="IC68" s="2042"/>
      <c r="ID68" s="2042"/>
      <c r="IE68" s="2042"/>
      <c r="IF68" s="2042"/>
      <c r="IG68" s="2042"/>
      <c r="IH68" s="2042"/>
      <c r="II68" s="2042"/>
      <c r="IJ68" s="2042"/>
      <c r="IK68" s="2042"/>
      <c r="IL68" s="2042"/>
      <c r="IM68" s="2042"/>
      <c r="IN68" s="2042"/>
      <c r="IO68" s="2042"/>
      <c r="IP68" s="2042"/>
      <c r="IQ68" s="2042"/>
      <c r="IR68" s="2042"/>
      <c r="IS68" s="2042"/>
      <c r="IT68" s="2042"/>
      <c r="IU68" s="2042"/>
      <c r="IV68" s="2042"/>
    </row>
    <row r="69" spans="1:256" ht="24.75" customHeight="1">
      <c r="A69" s="2058"/>
      <c r="B69" s="2081" t="s">
        <v>7625</v>
      </c>
      <c r="C69" s="2082">
        <v>1</v>
      </c>
      <c r="D69" s="2082">
        <v>1</v>
      </c>
      <c r="E69" s="2062">
        <v>2</v>
      </c>
      <c r="F69" s="2062">
        <v>0.23</v>
      </c>
      <c r="G69" s="2063"/>
      <c r="H69" s="2062">
        <f>PRODUCT(C69:G69)</f>
        <v>0.46</v>
      </c>
      <c r="I69" s="2080"/>
      <c r="J69" s="2083"/>
      <c r="K69" s="2083"/>
      <c r="L69" s="2083"/>
      <c r="M69" s="2083"/>
      <c r="N69" s="2083"/>
      <c r="O69" s="2083"/>
      <c r="P69" s="2083"/>
      <c r="Q69" s="2083"/>
      <c r="R69" s="2083"/>
      <c r="S69" s="2083"/>
      <c r="T69" s="2083"/>
      <c r="U69" s="2083"/>
      <c r="V69" s="2083"/>
      <c r="W69" s="2083"/>
      <c r="X69" s="2083"/>
      <c r="Y69" s="2083"/>
      <c r="Z69" s="2083"/>
      <c r="AA69" s="2083"/>
      <c r="AB69" s="2083"/>
      <c r="AC69" s="2083"/>
      <c r="AD69" s="2083"/>
      <c r="AE69" s="2083"/>
      <c r="AF69" s="2083"/>
      <c r="AG69" s="2083"/>
      <c r="AH69" s="2083"/>
      <c r="AI69" s="2083"/>
      <c r="AJ69" s="2083"/>
      <c r="AK69" s="2083"/>
      <c r="AL69" s="2083"/>
      <c r="AM69" s="2083"/>
      <c r="AN69" s="2083"/>
      <c r="AO69" s="2083"/>
      <c r="AP69" s="2083"/>
      <c r="AQ69" s="2083"/>
      <c r="AR69" s="2083"/>
      <c r="AS69" s="2083"/>
      <c r="AT69" s="2083"/>
      <c r="AU69" s="2083"/>
      <c r="AV69" s="2083"/>
      <c r="AW69" s="2083"/>
      <c r="AX69" s="2083"/>
      <c r="AY69" s="2083"/>
      <c r="AZ69" s="2083"/>
      <c r="BA69" s="2083"/>
      <c r="BB69" s="2083"/>
      <c r="BC69" s="2083"/>
      <c r="BD69" s="2083"/>
      <c r="BE69" s="2083"/>
      <c r="BF69" s="2083"/>
      <c r="BG69" s="2083"/>
      <c r="BH69" s="2083"/>
      <c r="BI69" s="2083"/>
      <c r="BJ69" s="2083"/>
      <c r="BK69" s="2083"/>
      <c r="BL69" s="2083"/>
      <c r="BM69" s="2083"/>
      <c r="BN69" s="2083"/>
      <c r="BO69" s="2083"/>
      <c r="BP69" s="2083"/>
      <c r="BQ69" s="2083"/>
      <c r="BR69" s="2083"/>
      <c r="BS69" s="2083"/>
      <c r="BT69" s="2083"/>
      <c r="BU69" s="2083"/>
      <c r="BV69" s="2083"/>
      <c r="BW69" s="2083"/>
      <c r="BX69" s="2083"/>
      <c r="BY69" s="2083"/>
      <c r="BZ69" s="2083"/>
      <c r="CA69" s="2083"/>
      <c r="CB69" s="2083"/>
      <c r="CC69" s="2083"/>
      <c r="CD69" s="2083"/>
      <c r="CE69" s="2083"/>
      <c r="CF69" s="2083"/>
      <c r="CG69" s="2083"/>
      <c r="CH69" s="2083"/>
      <c r="CI69" s="2083"/>
      <c r="CJ69" s="2083"/>
      <c r="CK69" s="2083"/>
      <c r="CL69" s="2083"/>
      <c r="CM69" s="2083"/>
      <c r="CN69" s="2083"/>
      <c r="CO69" s="2083"/>
      <c r="CP69" s="2083"/>
      <c r="CQ69" s="2083"/>
      <c r="CR69" s="2083"/>
      <c r="CS69" s="2083"/>
      <c r="CT69" s="2083"/>
      <c r="CU69" s="2083"/>
      <c r="CV69" s="2083"/>
      <c r="CW69" s="2083"/>
      <c r="CX69" s="2083"/>
      <c r="CY69" s="2083"/>
      <c r="CZ69" s="2083"/>
      <c r="DA69" s="2083"/>
      <c r="DB69" s="2083"/>
      <c r="DC69" s="2083"/>
      <c r="DD69" s="2083"/>
      <c r="DE69" s="2083"/>
      <c r="DF69" s="2083"/>
      <c r="DG69" s="2083"/>
      <c r="DH69" s="2083"/>
      <c r="DI69" s="2083"/>
      <c r="DJ69" s="2083"/>
      <c r="DK69" s="2083"/>
      <c r="DL69" s="2083"/>
      <c r="DM69" s="2083"/>
      <c r="DN69" s="2083"/>
      <c r="DO69" s="2083"/>
      <c r="DP69" s="2083"/>
      <c r="DQ69" s="2083"/>
      <c r="DR69" s="2083"/>
      <c r="DS69" s="2083"/>
      <c r="DT69" s="2083"/>
      <c r="DU69" s="2083"/>
      <c r="DV69" s="2083"/>
      <c r="DW69" s="2083"/>
      <c r="DX69" s="2083"/>
      <c r="DY69" s="2083"/>
      <c r="DZ69" s="2083"/>
      <c r="EA69" s="2083"/>
      <c r="EB69" s="2083"/>
      <c r="EC69" s="2083"/>
      <c r="ED69" s="2083"/>
      <c r="EE69" s="2083"/>
      <c r="EF69" s="2083"/>
      <c r="EG69" s="2083"/>
      <c r="EH69" s="2083"/>
      <c r="EI69" s="2083"/>
      <c r="EJ69" s="2083"/>
      <c r="EK69" s="2083"/>
      <c r="EL69" s="2083"/>
      <c r="EM69" s="2083"/>
      <c r="EN69" s="2083"/>
      <c r="EO69" s="2083"/>
      <c r="EP69" s="2083"/>
      <c r="EQ69" s="2083"/>
      <c r="ER69" s="2083"/>
      <c r="ES69" s="2083"/>
      <c r="ET69" s="2083"/>
      <c r="EU69" s="2083"/>
      <c r="EV69" s="2083"/>
      <c r="EW69" s="2083"/>
      <c r="EX69" s="2083"/>
      <c r="EY69" s="2083"/>
      <c r="EZ69" s="2083"/>
      <c r="FA69" s="2083"/>
      <c r="FB69" s="2083"/>
      <c r="FC69" s="2083"/>
      <c r="FD69" s="2083"/>
      <c r="FE69" s="2083"/>
      <c r="FF69" s="2083"/>
      <c r="FG69" s="2083"/>
      <c r="FH69" s="2083"/>
      <c r="FI69" s="2083"/>
      <c r="FJ69" s="2083"/>
      <c r="FK69" s="2083"/>
      <c r="FL69" s="2083"/>
      <c r="FM69" s="2083"/>
      <c r="FN69" s="2083"/>
      <c r="FO69" s="2083"/>
      <c r="FP69" s="2083"/>
      <c r="FQ69" s="2083"/>
      <c r="FR69" s="2083"/>
      <c r="FS69" s="2083"/>
      <c r="FT69" s="2083"/>
      <c r="FU69" s="2083"/>
      <c r="FV69" s="2083"/>
      <c r="FW69" s="2083"/>
      <c r="FX69" s="2083"/>
      <c r="FY69" s="2083"/>
      <c r="FZ69" s="2083"/>
      <c r="GA69" s="2083"/>
      <c r="GB69" s="2083"/>
      <c r="GC69" s="2083"/>
      <c r="GD69" s="2083"/>
      <c r="GE69" s="2083"/>
      <c r="GF69" s="2083"/>
      <c r="GG69" s="2083"/>
      <c r="GH69" s="2083"/>
      <c r="GI69" s="2083"/>
      <c r="GJ69" s="2083"/>
      <c r="GK69" s="2083"/>
      <c r="GL69" s="2083"/>
      <c r="GM69" s="2083"/>
      <c r="GN69" s="2083"/>
      <c r="GO69" s="2083"/>
      <c r="GP69" s="2083"/>
      <c r="GQ69" s="2083"/>
      <c r="GR69" s="2083"/>
      <c r="GS69" s="2083"/>
      <c r="GT69" s="2083"/>
      <c r="GU69" s="2083"/>
      <c r="GV69" s="2083"/>
      <c r="GW69" s="2083"/>
      <c r="GX69" s="2083"/>
      <c r="GY69" s="2083"/>
      <c r="GZ69" s="2083"/>
      <c r="HA69" s="2083"/>
      <c r="HB69" s="2083"/>
      <c r="HC69" s="2083"/>
      <c r="HD69" s="2083"/>
      <c r="HE69" s="2083"/>
      <c r="HF69" s="2083"/>
      <c r="HG69" s="2083"/>
      <c r="HH69" s="2083"/>
      <c r="HI69" s="2083"/>
      <c r="HJ69" s="2083"/>
      <c r="HK69" s="2083"/>
      <c r="HL69" s="2083"/>
      <c r="HM69" s="2083"/>
      <c r="HN69" s="2083"/>
      <c r="HO69" s="2083"/>
      <c r="HP69" s="2083"/>
      <c r="HQ69" s="2083"/>
      <c r="HR69" s="2083"/>
      <c r="HS69" s="2083"/>
      <c r="HT69" s="2083"/>
      <c r="HU69" s="2083"/>
      <c r="HV69" s="2083"/>
      <c r="HW69" s="2083"/>
      <c r="HX69" s="2083"/>
      <c r="HY69" s="2083"/>
      <c r="HZ69" s="2083"/>
      <c r="IA69" s="2083"/>
      <c r="IB69" s="2083"/>
      <c r="IC69" s="2083"/>
      <c r="ID69" s="2083"/>
      <c r="IE69" s="2083"/>
      <c r="IF69" s="2083"/>
      <c r="IG69" s="2083"/>
      <c r="IH69" s="2083"/>
      <c r="II69" s="2083"/>
      <c r="IJ69" s="2083"/>
      <c r="IK69" s="2083"/>
      <c r="IL69" s="2083"/>
      <c r="IM69" s="2083"/>
      <c r="IN69" s="2083"/>
      <c r="IO69" s="2083"/>
      <c r="IP69" s="2083"/>
      <c r="IQ69" s="2083"/>
      <c r="IR69" s="2083"/>
      <c r="IS69" s="2083"/>
      <c r="IT69" s="2083"/>
      <c r="IU69" s="2083"/>
      <c r="IV69" s="2083"/>
    </row>
    <row r="70" spans="1:256" ht="22.5" customHeight="1">
      <c r="A70" s="2058"/>
      <c r="B70" s="2081"/>
      <c r="C70" s="2082"/>
      <c r="D70" s="2082"/>
      <c r="E70" s="2062"/>
      <c r="F70" s="2062"/>
      <c r="G70" s="2086" t="s">
        <v>2235</v>
      </c>
      <c r="H70" s="2067">
        <f>SUM(H68:H69)</f>
        <v>1.59</v>
      </c>
      <c r="I70" s="2080" t="s">
        <v>2273</v>
      </c>
      <c r="J70" s="2083"/>
      <c r="K70" s="2083"/>
      <c r="L70" s="2083"/>
      <c r="M70" s="2083"/>
      <c r="N70" s="2083"/>
      <c r="O70" s="2083"/>
      <c r="P70" s="2083"/>
      <c r="Q70" s="2083"/>
      <c r="R70" s="2083"/>
      <c r="S70" s="2083"/>
      <c r="T70" s="2083"/>
      <c r="U70" s="2083"/>
      <c r="V70" s="2083"/>
      <c r="W70" s="2083"/>
      <c r="X70" s="2083"/>
      <c r="Y70" s="2083"/>
      <c r="Z70" s="2083"/>
      <c r="AA70" s="2083"/>
      <c r="AB70" s="2083"/>
      <c r="AC70" s="2083"/>
      <c r="AD70" s="2083"/>
      <c r="AE70" s="2083"/>
      <c r="AF70" s="2083"/>
      <c r="AG70" s="2083"/>
      <c r="AH70" s="2083"/>
      <c r="AI70" s="2083"/>
      <c r="AJ70" s="2083"/>
      <c r="AK70" s="2083"/>
      <c r="AL70" s="2083"/>
      <c r="AM70" s="2083"/>
      <c r="AN70" s="2083"/>
      <c r="AO70" s="2083"/>
      <c r="AP70" s="2083"/>
      <c r="AQ70" s="2083"/>
      <c r="AR70" s="2083"/>
      <c r="AS70" s="2083"/>
      <c r="AT70" s="2083"/>
      <c r="AU70" s="2083"/>
      <c r="AV70" s="2083"/>
      <c r="AW70" s="2083"/>
      <c r="AX70" s="2083"/>
      <c r="AY70" s="2083"/>
      <c r="AZ70" s="2083"/>
      <c r="BA70" s="2083"/>
      <c r="BB70" s="2083"/>
      <c r="BC70" s="2083"/>
      <c r="BD70" s="2083"/>
      <c r="BE70" s="2083"/>
      <c r="BF70" s="2083"/>
      <c r="BG70" s="2083"/>
      <c r="BH70" s="2083"/>
      <c r="BI70" s="2083"/>
      <c r="BJ70" s="2083"/>
      <c r="BK70" s="2083"/>
      <c r="BL70" s="2083"/>
      <c r="BM70" s="2083"/>
      <c r="BN70" s="2083"/>
      <c r="BO70" s="2083"/>
      <c r="BP70" s="2083"/>
      <c r="BQ70" s="2083"/>
      <c r="BR70" s="2083"/>
      <c r="BS70" s="2083"/>
      <c r="BT70" s="2083"/>
      <c r="BU70" s="2083"/>
      <c r="BV70" s="2083"/>
      <c r="BW70" s="2083"/>
      <c r="BX70" s="2083"/>
      <c r="BY70" s="2083"/>
      <c r="BZ70" s="2083"/>
      <c r="CA70" s="2083"/>
      <c r="CB70" s="2083"/>
      <c r="CC70" s="2083"/>
      <c r="CD70" s="2083"/>
      <c r="CE70" s="2083"/>
      <c r="CF70" s="2083"/>
      <c r="CG70" s="2083"/>
      <c r="CH70" s="2083"/>
      <c r="CI70" s="2083"/>
      <c r="CJ70" s="2083"/>
      <c r="CK70" s="2083"/>
      <c r="CL70" s="2083"/>
      <c r="CM70" s="2083"/>
      <c r="CN70" s="2083"/>
      <c r="CO70" s="2083"/>
      <c r="CP70" s="2083"/>
      <c r="CQ70" s="2083"/>
      <c r="CR70" s="2083"/>
      <c r="CS70" s="2083"/>
      <c r="CT70" s="2083"/>
      <c r="CU70" s="2083"/>
      <c r="CV70" s="2083"/>
      <c r="CW70" s="2083"/>
      <c r="CX70" s="2083"/>
      <c r="CY70" s="2083"/>
      <c r="CZ70" s="2083"/>
      <c r="DA70" s="2083"/>
      <c r="DB70" s="2083"/>
      <c r="DC70" s="2083"/>
      <c r="DD70" s="2083"/>
      <c r="DE70" s="2083"/>
      <c r="DF70" s="2083"/>
      <c r="DG70" s="2083"/>
      <c r="DH70" s="2083"/>
      <c r="DI70" s="2083"/>
      <c r="DJ70" s="2083"/>
      <c r="DK70" s="2083"/>
      <c r="DL70" s="2083"/>
      <c r="DM70" s="2083"/>
      <c r="DN70" s="2083"/>
      <c r="DO70" s="2083"/>
      <c r="DP70" s="2083"/>
      <c r="DQ70" s="2083"/>
      <c r="DR70" s="2083"/>
      <c r="DS70" s="2083"/>
      <c r="DT70" s="2083"/>
      <c r="DU70" s="2083"/>
      <c r="DV70" s="2083"/>
      <c r="DW70" s="2083"/>
      <c r="DX70" s="2083"/>
      <c r="DY70" s="2083"/>
      <c r="DZ70" s="2083"/>
      <c r="EA70" s="2083"/>
      <c r="EB70" s="2083"/>
      <c r="EC70" s="2083"/>
      <c r="ED70" s="2083"/>
      <c r="EE70" s="2083"/>
      <c r="EF70" s="2083"/>
      <c r="EG70" s="2083"/>
      <c r="EH70" s="2083"/>
      <c r="EI70" s="2083"/>
      <c r="EJ70" s="2083"/>
      <c r="EK70" s="2083"/>
      <c r="EL70" s="2083"/>
      <c r="EM70" s="2083"/>
      <c r="EN70" s="2083"/>
      <c r="EO70" s="2083"/>
      <c r="EP70" s="2083"/>
      <c r="EQ70" s="2083"/>
      <c r="ER70" s="2083"/>
      <c r="ES70" s="2083"/>
      <c r="ET70" s="2083"/>
      <c r="EU70" s="2083"/>
      <c r="EV70" s="2083"/>
      <c r="EW70" s="2083"/>
      <c r="EX70" s="2083"/>
      <c r="EY70" s="2083"/>
      <c r="EZ70" s="2083"/>
      <c r="FA70" s="2083"/>
      <c r="FB70" s="2083"/>
      <c r="FC70" s="2083"/>
      <c r="FD70" s="2083"/>
      <c r="FE70" s="2083"/>
      <c r="FF70" s="2083"/>
      <c r="FG70" s="2083"/>
      <c r="FH70" s="2083"/>
      <c r="FI70" s="2083"/>
      <c r="FJ70" s="2083"/>
      <c r="FK70" s="2083"/>
      <c r="FL70" s="2083"/>
      <c r="FM70" s="2083"/>
      <c r="FN70" s="2083"/>
      <c r="FO70" s="2083"/>
      <c r="FP70" s="2083"/>
      <c r="FQ70" s="2083"/>
      <c r="FR70" s="2083"/>
      <c r="FS70" s="2083"/>
      <c r="FT70" s="2083"/>
      <c r="FU70" s="2083"/>
      <c r="FV70" s="2083"/>
      <c r="FW70" s="2083"/>
      <c r="FX70" s="2083"/>
      <c r="FY70" s="2083"/>
      <c r="FZ70" s="2083"/>
      <c r="GA70" s="2083"/>
      <c r="GB70" s="2083"/>
      <c r="GC70" s="2083"/>
      <c r="GD70" s="2083"/>
      <c r="GE70" s="2083"/>
      <c r="GF70" s="2083"/>
      <c r="GG70" s="2083"/>
      <c r="GH70" s="2083"/>
      <c r="GI70" s="2083"/>
      <c r="GJ70" s="2083"/>
      <c r="GK70" s="2083"/>
      <c r="GL70" s="2083"/>
      <c r="GM70" s="2083"/>
      <c r="GN70" s="2083"/>
      <c r="GO70" s="2083"/>
      <c r="GP70" s="2083"/>
      <c r="GQ70" s="2083"/>
      <c r="GR70" s="2083"/>
      <c r="GS70" s="2083"/>
      <c r="GT70" s="2083"/>
      <c r="GU70" s="2083"/>
      <c r="GV70" s="2083"/>
      <c r="GW70" s="2083"/>
      <c r="GX70" s="2083"/>
      <c r="GY70" s="2083"/>
      <c r="GZ70" s="2083"/>
      <c r="HA70" s="2083"/>
      <c r="HB70" s="2083"/>
      <c r="HC70" s="2083"/>
      <c r="HD70" s="2083"/>
      <c r="HE70" s="2083"/>
      <c r="HF70" s="2083"/>
      <c r="HG70" s="2083"/>
      <c r="HH70" s="2083"/>
      <c r="HI70" s="2083"/>
      <c r="HJ70" s="2083"/>
      <c r="HK70" s="2083"/>
      <c r="HL70" s="2083"/>
      <c r="HM70" s="2083"/>
      <c r="HN70" s="2083"/>
      <c r="HO70" s="2083"/>
      <c r="HP70" s="2083"/>
      <c r="HQ70" s="2083"/>
      <c r="HR70" s="2083"/>
      <c r="HS70" s="2083"/>
      <c r="HT70" s="2083"/>
      <c r="HU70" s="2083"/>
      <c r="HV70" s="2083"/>
      <c r="HW70" s="2083"/>
      <c r="HX70" s="2083"/>
      <c r="HY70" s="2083"/>
      <c r="HZ70" s="2083"/>
      <c r="IA70" s="2083"/>
      <c r="IB70" s="2083"/>
      <c r="IC70" s="2083"/>
      <c r="ID70" s="2083"/>
      <c r="IE70" s="2083"/>
      <c r="IF70" s="2083"/>
      <c r="IG70" s="2083"/>
      <c r="IH70" s="2083"/>
      <c r="II70" s="2083"/>
      <c r="IJ70" s="2083"/>
      <c r="IK70" s="2083"/>
      <c r="IL70" s="2083"/>
      <c r="IM70" s="2083"/>
      <c r="IN70" s="2083"/>
      <c r="IO70" s="2083"/>
      <c r="IP70" s="2083"/>
      <c r="IQ70" s="2083"/>
      <c r="IR70" s="2083"/>
      <c r="IS70" s="2083"/>
      <c r="IT70" s="2083"/>
      <c r="IU70" s="2083"/>
      <c r="IV70" s="2083"/>
    </row>
    <row r="71" spans="1:256" ht="51.75" customHeight="1">
      <c r="A71" s="2058"/>
      <c r="B71" s="2089" t="s">
        <v>7626</v>
      </c>
      <c r="C71" s="2089"/>
      <c r="D71" s="2089"/>
      <c r="E71" s="2089"/>
      <c r="F71" s="2089"/>
      <c r="G71" s="2063"/>
      <c r="H71" s="2062"/>
      <c r="I71" s="2080"/>
      <c r="J71" s="2083"/>
      <c r="K71" s="2083"/>
      <c r="L71" s="2083"/>
      <c r="M71" s="2083"/>
      <c r="N71" s="2083"/>
      <c r="O71" s="2083"/>
      <c r="P71" s="2083"/>
      <c r="Q71" s="2083"/>
      <c r="R71" s="2083"/>
      <c r="S71" s="2083"/>
      <c r="T71" s="2083"/>
      <c r="U71" s="2083"/>
      <c r="V71" s="2083"/>
      <c r="W71" s="2083"/>
      <c r="X71" s="2083"/>
      <c r="Y71" s="2083"/>
      <c r="Z71" s="2083"/>
      <c r="AA71" s="2083"/>
      <c r="AB71" s="2083"/>
      <c r="AC71" s="2083"/>
      <c r="AD71" s="2083"/>
      <c r="AE71" s="2083"/>
      <c r="AF71" s="2083"/>
      <c r="AG71" s="2083"/>
      <c r="AH71" s="2083"/>
      <c r="AI71" s="2083"/>
      <c r="AJ71" s="2083"/>
      <c r="AK71" s="2083"/>
      <c r="AL71" s="2083"/>
      <c r="AM71" s="2083"/>
      <c r="AN71" s="2083"/>
      <c r="AO71" s="2083"/>
      <c r="AP71" s="2083"/>
      <c r="AQ71" s="2083"/>
      <c r="AR71" s="2083"/>
      <c r="AS71" s="2083"/>
      <c r="AT71" s="2083"/>
      <c r="AU71" s="2083"/>
      <c r="AV71" s="2083"/>
      <c r="AW71" s="2083"/>
      <c r="AX71" s="2083"/>
      <c r="AY71" s="2083"/>
      <c r="AZ71" s="2083"/>
      <c r="BA71" s="2083"/>
      <c r="BB71" s="2083"/>
      <c r="BC71" s="2083"/>
      <c r="BD71" s="2083"/>
      <c r="BE71" s="2083"/>
      <c r="BF71" s="2083"/>
      <c r="BG71" s="2083"/>
      <c r="BH71" s="2083"/>
      <c r="BI71" s="2083"/>
      <c r="BJ71" s="2083"/>
      <c r="BK71" s="2083"/>
      <c r="BL71" s="2083"/>
      <c r="BM71" s="2083"/>
      <c r="BN71" s="2083"/>
      <c r="BO71" s="2083"/>
      <c r="BP71" s="2083"/>
      <c r="BQ71" s="2083"/>
      <c r="BR71" s="2083"/>
      <c r="BS71" s="2083"/>
      <c r="BT71" s="2083"/>
      <c r="BU71" s="2083"/>
      <c r="BV71" s="2083"/>
      <c r="BW71" s="2083"/>
      <c r="BX71" s="2083"/>
      <c r="BY71" s="2083"/>
      <c r="BZ71" s="2083"/>
      <c r="CA71" s="2083"/>
      <c r="CB71" s="2083"/>
      <c r="CC71" s="2083"/>
      <c r="CD71" s="2083"/>
      <c r="CE71" s="2083"/>
      <c r="CF71" s="2083"/>
      <c r="CG71" s="2083"/>
      <c r="CH71" s="2083"/>
      <c r="CI71" s="2083"/>
      <c r="CJ71" s="2083"/>
      <c r="CK71" s="2083"/>
      <c r="CL71" s="2083"/>
      <c r="CM71" s="2083"/>
      <c r="CN71" s="2083"/>
      <c r="CO71" s="2083"/>
      <c r="CP71" s="2083"/>
      <c r="CQ71" s="2083"/>
      <c r="CR71" s="2083"/>
      <c r="CS71" s="2083"/>
      <c r="CT71" s="2083"/>
      <c r="CU71" s="2083"/>
      <c r="CV71" s="2083"/>
      <c r="CW71" s="2083"/>
      <c r="CX71" s="2083"/>
      <c r="CY71" s="2083"/>
      <c r="CZ71" s="2083"/>
      <c r="DA71" s="2083"/>
      <c r="DB71" s="2083"/>
      <c r="DC71" s="2083"/>
      <c r="DD71" s="2083"/>
      <c r="DE71" s="2083"/>
      <c r="DF71" s="2083"/>
      <c r="DG71" s="2083"/>
      <c r="DH71" s="2083"/>
      <c r="DI71" s="2083"/>
      <c r="DJ71" s="2083"/>
      <c r="DK71" s="2083"/>
      <c r="DL71" s="2083"/>
      <c r="DM71" s="2083"/>
      <c r="DN71" s="2083"/>
      <c r="DO71" s="2083"/>
      <c r="DP71" s="2083"/>
      <c r="DQ71" s="2083"/>
      <c r="DR71" s="2083"/>
      <c r="DS71" s="2083"/>
      <c r="DT71" s="2083"/>
      <c r="DU71" s="2083"/>
      <c r="DV71" s="2083"/>
      <c r="DW71" s="2083"/>
      <c r="DX71" s="2083"/>
      <c r="DY71" s="2083"/>
      <c r="DZ71" s="2083"/>
      <c r="EA71" s="2083"/>
      <c r="EB71" s="2083"/>
      <c r="EC71" s="2083"/>
      <c r="ED71" s="2083"/>
      <c r="EE71" s="2083"/>
      <c r="EF71" s="2083"/>
      <c r="EG71" s="2083"/>
      <c r="EH71" s="2083"/>
      <c r="EI71" s="2083"/>
      <c r="EJ71" s="2083"/>
      <c r="EK71" s="2083"/>
      <c r="EL71" s="2083"/>
      <c r="EM71" s="2083"/>
      <c r="EN71" s="2083"/>
      <c r="EO71" s="2083"/>
      <c r="EP71" s="2083"/>
      <c r="EQ71" s="2083"/>
      <c r="ER71" s="2083"/>
      <c r="ES71" s="2083"/>
      <c r="ET71" s="2083"/>
      <c r="EU71" s="2083"/>
      <c r="EV71" s="2083"/>
      <c r="EW71" s="2083"/>
      <c r="EX71" s="2083"/>
      <c r="EY71" s="2083"/>
      <c r="EZ71" s="2083"/>
      <c r="FA71" s="2083"/>
      <c r="FB71" s="2083"/>
      <c r="FC71" s="2083"/>
      <c r="FD71" s="2083"/>
      <c r="FE71" s="2083"/>
      <c r="FF71" s="2083"/>
      <c r="FG71" s="2083"/>
      <c r="FH71" s="2083"/>
      <c r="FI71" s="2083"/>
      <c r="FJ71" s="2083"/>
      <c r="FK71" s="2083"/>
      <c r="FL71" s="2083"/>
      <c r="FM71" s="2083"/>
      <c r="FN71" s="2083"/>
      <c r="FO71" s="2083"/>
      <c r="FP71" s="2083"/>
      <c r="FQ71" s="2083"/>
      <c r="FR71" s="2083"/>
      <c r="FS71" s="2083"/>
      <c r="FT71" s="2083"/>
      <c r="FU71" s="2083"/>
      <c r="FV71" s="2083"/>
      <c r="FW71" s="2083"/>
      <c r="FX71" s="2083"/>
      <c r="FY71" s="2083"/>
      <c r="FZ71" s="2083"/>
      <c r="GA71" s="2083"/>
      <c r="GB71" s="2083"/>
      <c r="GC71" s="2083"/>
      <c r="GD71" s="2083"/>
      <c r="GE71" s="2083"/>
      <c r="GF71" s="2083"/>
      <c r="GG71" s="2083"/>
      <c r="GH71" s="2083"/>
      <c r="GI71" s="2083"/>
      <c r="GJ71" s="2083"/>
      <c r="GK71" s="2083"/>
      <c r="GL71" s="2083"/>
      <c r="GM71" s="2083"/>
      <c r="GN71" s="2083"/>
      <c r="GO71" s="2083"/>
      <c r="GP71" s="2083"/>
      <c r="GQ71" s="2083"/>
      <c r="GR71" s="2083"/>
      <c r="GS71" s="2083"/>
      <c r="GT71" s="2083"/>
      <c r="GU71" s="2083"/>
      <c r="GV71" s="2083"/>
      <c r="GW71" s="2083"/>
      <c r="GX71" s="2083"/>
      <c r="GY71" s="2083"/>
      <c r="GZ71" s="2083"/>
      <c r="HA71" s="2083"/>
      <c r="HB71" s="2083"/>
      <c r="HC71" s="2083"/>
      <c r="HD71" s="2083"/>
      <c r="HE71" s="2083"/>
      <c r="HF71" s="2083"/>
      <c r="HG71" s="2083"/>
      <c r="HH71" s="2083"/>
      <c r="HI71" s="2083"/>
      <c r="HJ71" s="2083"/>
      <c r="HK71" s="2083"/>
      <c r="HL71" s="2083"/>
      <c r="HM71" s="2083"/>
      <c r="HN71" s="2083"/>
      <c r="HO71" s="2083"/>
      <c r="HP71" s="2083"/>
      <c r="HQ71" s="2083"/>
      <c r="HR71" s="2083"/>
      <c r="HS71" s="2083"/>
      <c r="HT71" s="2083"/>
      <c r="HU71" s="2083"/>
      <c r="HV71" s="2083"/>
      <c r="HW71" s="2083"/>
      <c r="HX71" s="2083"/>
      <c r="HY71" s="2083"/>
      <c r="HZ71" s="2083"/>
      <c r="IA71" s="2083"/>
      <c r="IB71" s="2083"/>
      <c r="IC71" s="2083"/>
      <c r="ID71" s="2083"/>
      <c r="IE71" s="2083"/>
      <c r="IF71" s="2083"/>
      <c r="IG71" s="2083"/>
      <c r="IH71" s="2083"/>
      <c r="II71" s="2083"/>
      <c r="IJ71" s="2083"/>
      <c r="IK71" s="2083"/>
      <c r="IL71" s="2083"/>
      <c r="IM71" s="2083"/>
      <c r="IN71" s="2083"/>
      <c r="IO71" s="2083"/>
      <c r="IP71" s="2083"/>
      <c r="IQ71" s="2083"/>
      <c r="IR71" s="2083"/>
      <c r="IS71" s="2083"/>
      <c r="IT71" s="2083"/>
      <c r="IU71" s="2083"/>
      <c r="IV71" s="2083"/>
    </row>
    <row r="72" spans="1:256" ht="29.25" customHeight="1">
      <c r="A72" s="2058"/>
      <c r="B72" s="2081" t="s">
        <v>7627</v>
      </c>
      <c r="C72" s="2082">
        <v>1</v>
      </c>
      <c r="D72" s="2082">
        <v>1</v>
      </c>
      <c r="E72" s="2062">
        <v>13.84</v>
      </c>
      <c r="F72" s="2062"/>
      <c r="G72" s="2063">
        <v>0.15</v>
      </c>
      <c r="H72" s="2062">
        <f>PRODUCT(C72:G72)</f>
        <v>2.08</v>
      </c>
      <c r="I72" s="2080"/>
      <c r="J72" s="2083"/>
      <c r="K72" s="2083"/>
      <c r="L72" s="2083"/>
      <c r="M72" s="2083"/>
      <c r="N72" s="2083"/>
      <c r="O72" s="2083"/>
      <c r="P72" s="2083"/>
      <c r="Q72" s="2083"/>
      <c r="R72" s="2083"/>
      <c r="S72" s="2083"/>
      <c r="T72" s="2083"/>
      <c r="U72" s="2083"/>
      <c r="V72" s="2083"/>
      <c r="W72" s="2083"/>
      <c r="X72" s="2083"/>
      <c r="Y72" s="2083"/>
      <c r="Z72" s="2083"/>
      <c r="AA72" s="2083"/>
      <c r="AB72" s="2083"/>
      <c r="AC72" s="2083"/>
      <c r="AD72" s="2083"/>
      <c r="AE72" s="2083"/>
      <c r="AF72" s="2083"/>
      <c r="AG72" s="2083"/>
      <c r="AH72" s="2083"/>
      <c r="AI72" s="2083"/>
      <c r="AJ72" s="2083"/>
      <c r="AK72" s="2083"/>
      <c r="AL72" s="2083"/>
      <c r="AM72" s="2083"/>
      <c r="AN72" s="2083"/>
      <c r="AO72" s="2083"/>
      <c r="AP72" s="2083"/>
      <c r="AQ72" s="2083"/>
      <c r="AR72" s="2083"/>
      <c r="AS72" s="2083"/>
      <c r="AT72" s="2083"/>
      <c r="AU72" s="2083"/>
      <c r="AV72" s="2083"/>
      <c r="AW72" s="2083"/>
      <c r="AX72" s="2083"/>
      <c r="AY72" s="2083"/>
      <c r="AZ72" s="2083"/>
      <c r="BA72" s="2083"/>
      <c r="BB72" s="2083"/>
      <c r="BC72" s="2083"/>
      <c r="BD72" s="2083"/>
      <c r="BE72" s="2083"/>
      <c r="BF72" s="2083"/>
      <c r="BG72" s="2083"/>
      <c r="BH72" s="2083"/>
      <c r="BI72" s="2083"/>
      <c r="BJ72" s="2083"/>
      <c r="BK72" s="2083"/>
      <c r="BL72" s="2083"/>
      <c r="BM72" s="2083"/>
      <c r="BN72" s="2083"/>
      <c r="BO72" s="2083"/>
      <c r="BP72" s="2083"/>
      <c r="BQ72" s="2083"/>
      <c r="BR72" s="2083"/>
      <c r="BS72" s="2083"/>
      <c r="BT72" s="2083"/>
      <c r="BU72" s="2083"/>
      <c r="BV72" s="2083"/>
      <c r="BW72" s="2083"/>
      <c r="BX72" s="2083"/>
      <c r="BY72" s="2083"/>
      <c r="BZ72" s="2083"/>
      <c r="CA72" s="2083"/>
      <c r="CB72" s="2083"/>
      <c r="CC72" s="2083"/>
      <c r="CD72" s="2083"/>
      <c r="CE72" s="2083"/>
      <c r="CF72" s="2083"/>
      <c r="CG72" s="2083"/>
      <c r="CH72" s="2083"/>
      <c r="CI72" s="2083"/>
      <c r="CJ72" s="2083"/>
      <c r="CK72" s="2083"/>
      <c r="CL72" s="2083"/>
      <c r="CM72" s="2083"/>
      <c r="CN72" s="2083"/>
      <c r="CO72" s="2083"/>
      <c r="CP72" s="2083"/>
      <c r="CQ72" s="2083"/>
      <c r="CR72" s="2083"/>
      <c r="CS72" s="2083"/>
      <c r="CT72" s="2083"/>
      <c r="CU72" s="2083"/>
      <c r="CV72" s="2083"/>
      <c r="CW72" s="2083"/>
      <c r="CX72" s="2083"/>
      <c r="CY72" s="2083"/>
      <c r="CZ72" s="2083"/>
      <c r="DA72" s="2083"/>
      <c r="DB72" s="2083"/>
      <c r="DC72" s="2083"/>
      <c r="DD72" s="2083"/>
      <c r="DE72" s="2083"/>
      <c r="DF72" s="2083"/>
      <c r="DG72" s="2083"/>
      <c r="DH72" s="2083"/>
      <c r="DI72" s="2083"/>
      <c r="DJ72" s="2083"/>
      <c r="DK72" s="2083"/>
      <c r="DL72" s="2083"/>
      <c r="DM72" s="2083"/>
      <c r="DN72" s="2083"/>
      <c r="DO72" s="2083"/>
      <c r="DP72" s="2083"/>
      <c r="DQ72" s="2083"/>
      <c r="DR72" s="2083"/>
      <c r="DS72" s="2083"/>
      <c r="DT72" s="2083"/>
      <c r="DU72" s="2083"/>
      <c r="DV72" s="2083"/>
      <c r="DW72" s="2083"/>
      <c r="DX72" s="2083"/>
      <c r="DY72" s="2083"/>
      <c r="DZ72" s="2083"/>
      <c r="EA72" s="2083"/>
      <c r="EB72" s="2083"/>
      <c r="EC72" s="2083"/>
      <c r="ED72" s="2083"/>
      <c r="EE72" s="2083"/>
      <c r="EF72" s="2083"/>
      <c r="EG72" s="2083"/>
      <c r="EH72" s="2083"/>
      <c r="EI72" s="2083"/>
      <c r="EJ72" s="2083"/>
      <c r="EK72" s="2083"/>
      <c r="EL72" s="2083"/>
      <c r="EM72" s="2083"/>
      <c r="EN72" s="2083"/>
      <c r="EO72" s="2083"/>
      <c r="EP72" s="2083"/>
      <c r="EQ72" s="2083"/>
      <c r="ER72" s="2083"/>
      <c r="ES72" s="2083"/>
      <c r="ET72" s="2083"/>
      <c r="EU72" s="2083"/>
      <c r="EV72" s="2083"/>
      <c r="EW72" s="2083"/>
      <c r="EX72" s="2083"/>
      <c r="EY72" s="2083"/>
      <c r="EZ72" s="2083"/>
      <c r="FA72" s="2083"/>
      <c r="FB72" s="2083"/>
      <c r="FC72" s="2083"/>
      <c r="FD72" s="2083"/>
      <c r="FE72" s="2083"/>
      <c r="FF72" s="2083"/>
      <c r="FG72" s="2083"/>
      <c r="FH72" s="2083"/>
      <c r="FI72" s="2083"/>
      <c r="FJ72" s="2083"/>
      <c r="FK72" s="2083"/>
      <c r="FL72" s="2083"/>
      <c r="FM72" s="2083"/>
      <c r="FN72" s="2083"/>
      <c r="FO72" s="2083"/>
      <c r="FP72" s="2083"/>
      <c r="FQ72" s="2083"/>
      <c r="FR72" s="2083"/>
      <c r="FS72" s="2083"/>
      <c r="FT72" s="2083"/>
      <c r="FU72" s="2083"/>
      <c r="FV72" s="2083"/>
      <c r="FW72" s="2083"/>
      <c r="FX72" s="2083"/>
      <c r="FY72" s="2083"/>
      <c r="FZ72" s="2083"/>
      <c r="GA72" s="2083"/>
      <c r="GB72" s="2083"/>
      <c r="GC72" s="2083"/>
      <c r="GD72" s="2083"/>
      <c r="GE72" s="2083"/>
      <c r="GF72" s="2083"/>
      <c r="GG72" s="2083"/>
      <c r="GH72" s="2083"/>
      <c r="GI72" s="2083"/>
      <c r="GJ72" s="2083"/>
      <c r="GK72" s="2083"/>
      <c r="GL72" s="2083"/>
      <c r="GM72" s="2083"/>
      <c r="GN72" s="2083"/>
      <c r="GO72" s="2083"/>
      <c r="GP72" s="2083"/>
      <c r="GQ72" s="2083"/>
      <c r="GR72" s="2083"/>
      <c r="GS72" s="2083"/>
      <c r="GT72" s="2083"/>
      <c r="GU72" s="2083"/>
      <c r="GV72" s="2083"/>
      <c r="GW72" s="2083"/>
      <c r="GX72" s="2083"/>
      <c r="GY72" s="2083"/>
      <c r="GZ72" s="2083"/>
      <c r="HA72" s="2083"/>
      <c r="HB72" s="2083"/>
      <c r="HC72" s="2083"/>
      <c r="HD72" s="2083"/>
      <c r="HE72" s="2083"/>
      <c r="HF72" s="2083"/>
      <c r="HG72" s="2083"/>
      <c r="HH72" s="2083"/>
      <c r="HI72" s="2083"/>
      <c r="HJ72" s="2083"/>
      <c r="HK72" s="2083"/>
      <c r="HL72" s="2083"/>
      <c r="HM72" s="2083"/>
      <c r="HN72" s="2083"/>
      <c r="HO72" s="2083"/>
      <c r="HP72" s="2083"/>
      <c r="HQ72" s="2083"/>
      <c r="HR72" s="2083"/>
      <c r="HS72" s="2083"/>
      <c r="HT72" s="2083"/>
      <c r="HU72" s="2083"/>
      <c r="HV72" s="2083"/>
      <c r="HW72" s="2083"/>
      <c r="HX72" s="2083"/>
      <c r="HY72" s="2083"/>
      <c r="HZ72" s="2083"/>
      <c r="IA72" s="2083"/>
      <c r="IB72" s="2083"/>
      <c r="IC72" s="2083"/>
      <c r="ID72" s="2083"/>
      <c r="IE72" s="2083"/>
      <c r="IF72" s="2083"/>
      <c r="IG72" s="2083"/>
      <c r="IH72" s="2083"/>
      <c r="II72" s="2083"/>
      <c r="IJ72" s="2083"/>
      <c r="IK72" s="2083"/>
      <c r="IL72" s="2083"/>
      <c r="IM72" s="2083"/>
      <c r="IN72" s="2083"/>
      <c r="IO72" s="2083"/>
      <c r="IP72" s="2083"/>
      <c r="IQ72" s="2083"/>
      <c r="IR72" s="2083"/>
      <c r="IS72" s="2083"/>
      <c r="IT72" s="2083"/>
      <c r="IU72" s="2083"/>
      <c r="IV72" s="2083"/>
    </row>
    <row r="73" spans="1:256" ht="29.25" customHeight="1">
      <c r="A73" s="2058"/>
      <c r="B73" s="2081" t="s">
        <v>7628</v>
      </c>
      <c r="C73" s="2082">
        <v>1</v>
      </c>
      <c r="D73" s="2082">
        <v>2</v>
      </c>
      <c r="E73" s="2062">
        <v>2.4</v>
      </c>
      <c r="F73" s="2062"/>
      <c r="G73" s="2063">
        <v>0.15</v>
      </c>
      <c r="H73" s="2062">
        <f>PRODUCT(C73:G73)</f>
        <v>0.72</v>
      </c>
      <c r="I73" s="2080"/>
      <c r="J73" s="2083"/>
      <c r="K73" s="2083"/>
      <c r="L73" s="2083"/>
      <c r="M73" s="2083"/>
      <c r="N73" s="2083"/>
      <c r="O73" s="2083"/>
      <c r="P73" s="2083"/>
      <c r="Q73" s="2083"/>
      <c r="R73" s="2083"/>
      <c r="S73" s="2083"/>
      <c r="T73" s="2083"/>
      <c r="U73" s="2083"/>
      <c r="V73" s="2083"/>
      <c r="W73" s="2083"/>
      <c r="X73" s="2083"/>
      <c r="Y73" s="2083"/>
      <c r="Z73" s="2083"/>
      <c r="AA73" s="2083"/>
      <c r="AB73" s="2083"/>
      <c r="AC73" s="2083"/>
      <c r="AD73" s="2083"/>
      <c r="AE73" s="2083"/>
      <c r="AF73" s="2083"/>
      <c r="AG73" s="2083"/>
      <c r="AH73" s="2083"/>
      <c r="AI73" s="2083"/>
      <c r="AJ73" s="2083"/>
      <c r="AK73" s="2083"/>
      <c r="AL73" s="2083"/>
      <c r="AM73" s="2083"/>
      <c r="AN73" s="2083"/>
      <c r="AO73" s="2083"/>
      <c r="AP73" s="2083"/>
      <c r="AQ73" s="2083"/>
      <c r="AR73" s="2083"/>
      <c r="AS73" s="2083"/>
      <c r="AT73" s="2083"/>
      <c r="AU73" s="2083"/>
      <c r="AV73" s="2083"/>
      <c r="AW73" s="2083"/>
      <c r="AX73" s="2083"/>
      <c r="AY73" s="2083"/>
      <c r="AZ73" s="2083"/>
      <c r="BA73" s="2083"/>
      <c r="BB73" s="2083"/>
      <c r="BC73" s="2083"/>
      <c r="BD73" s="2083"/>
      <c r="BE73" s="2083"/>
      <c r="BF73" s="2083"/>
      <c r="BG73" s="2083"/>
      <c r="BH73" s="2083"/>
      <c r="BI73" s="2083"/>
      <c r="BJ73" s="2083"/>
      <c r="BK73" s="2083"/>
      <c r="BL73" s="2083"/>
      <c r="BM73" s="2083"/>
      <c r="BN73" s="2083"/>
      <c r="BO73" s="2083"/>
      <c r="BP73" s="2083"/>
      <c r="BQ73" s="2083"/>
      <c r="BR73" s="2083"/>
      <c r="BS73" s="2083"/>
      <c r="BT73" s="2083"/>
      <c r="BU73" s="2083"/>
      <c r="BV73" s="2083"/>
      <c r="BW73" s="2083"/>
      <c r="BX73" s="2083"/>
      <c r="BY73" s="2083"/>
      <c r="BZ73" s="2083"/>
      <c r="CA73" s="2083"/>
      <c r="CB73" s="2083"/>
      <c r="CC73" s="2083"/>
      <c r="CD73" s="2083"/>
      <c r="CE73" s="2083"/>
      <c r="CF73" s="2083"/>
      <c r="CG73" s="2083"/>
      <c r="CH73" s="2083"/>
      <c r="CI73" s="2083"/>
      <c r="CJ73" s="2083"/>
      <c r="CK73" s="2083"/>
      <c r="CL73" s="2083"/>
      <c r="CM73" s="2083"/>
      <c r="CN73" s="2083"/>
      <c r="CO73" s="2083"/>
      <c r="CP73" s="2083"/>
      <c r="CQ73" s="2083"/>
      <c r="CR73" s="2083"/>
      <c r="CS73" s="2083"/>
      <c r="CT73" s="2083"/>
      <c r="CU73" s="2083"/>
      <c r="CV73" s="2083"/>
      <c r="CW73" s="2083"/>
      <c r="CX73" s="2083"/>
      <c r="CY73" s="2083"/>
      <c r="CZ73" s="2083"/>
      <c r="DA73" s="2083"/>
      <c r="DB73" s="2083"/>
      <c r="DC73" s="2083"/>
      <c r="DD73" s="2083"/>
      <c r="DE73" s="2083"/>
      <c r="DF73" s="2083"/>
      <c r="DG73" s="2083"/>
      <c r="DH73" s="2083"/>
      <c r="DI73" s="2083"/>
      <c r="DJ73" s="2083"/>
      <c r="DK73" s="2083"/>
      <c r="DL73" s="2083"/>
      <c r="DM73" s="2083"/>
      <c r="DN73" s="2083"/>
      <c r="DO73" s="2083"/>
      <c r="DP73" s="2083"/>
      <c r="DQ73" s="2083"/>
      <c r="DR73" s="2083"/>
      <c r="DS73" s="2083"/>
      <c r="DT73" s="2083"/>
      <c r="DU73" s="2083"/>
      <c r="DV73" s="2083"/>
      <c r="DW73" s="2083"/>
      <c r="DX73" s="2083"/>
      <c r="DY73" s="2083"/>
      <c r="DZ73" s="2083"/>
      <c r="EA73" s="2083"/>
      <c r="EB73" s="2083"/>
      <c r="EC73" s="2083"/>
      <c r="ED73" s="2083"/>
      <c r="EE73" s="2083"/>
      <c r="EF73" s="2083"/>
      <c r="EG73" s="2083"/>
      <c r="EH73" s="2083"/>
      <c r="EI73" s="2083"/>
      <c r="EJ73" s="2083"/>
      <c r="EK73" s="2083"/>
      <c r="EL73" s="2083"/>
      <c r="EM73" s="2083"/>
      <c r="EN73" s="2083"/>
      <c r="EO73" s="2083"/>
      <c r="EP73" s="2083"/>
      <c r="EQ73" s="2083"/>
      <c r="ER73" s="2083"/>
      <c r="ES73" s="2083"/>
      <c r="ET73" s="2083"/>
      <c r="EU73" s="2083"/>
      <c r="EV73" s="2083"/>
      <c r="EW73" s="2083"/>
      <c r="EX73" s="2083"/>
      <c r="EY73" s="2083"/>
      <c r="EZ73" s="2083"/>
      <c r="FA73" s="2083"/>
      <c r="FB73" s="2083"/>
      <c r="FC73" s="2083"/>
      <c r="FD73" s="2083"/>
      <c r="FE73" s="2083"/>
      <c r="FF73" s="2083"/>
      <c r="FG73" s="2083"/>
      <c r="FH73" s="2083"/>
      <c r="FI73" s="2083"/>
      <c r="FJ73" s="2083"/>
      <c r="FK73" s="2083"/>
      <c r="FL73" s="2083"/>
      <c r="FM73" s="2083"/>
      <c r="FN73" s="2083"/>
      <c r="FO73" s="2083"/>
      <c r="FP73" s="2083"/>
      <c r="FQ73" s="2083"/>
      <c r="FR73" s="2083"/>
      <c r="FS73" s="2083"/>
      <c r="FT73" s="2083"/>
      <c r="FU73" s="2083"/>
      <c r="FV73" s="2083"/>
      <c r="FW73" s="2083"/>
      <c r="FX73" s="2083"/>
      <c r="FY73" s="2083"/>
      <c r="FZ73" s="2083"/>
      <c r="GA73" s="2083"/>
      <c r="GB73" s="2083"/>
      <c r="GC73" s="2083"/>
      <c r="GD73" s="2083"/>
      <c r="GE73" s="2083"/>
      <c r="GF73" s="2083"/>
      <c r="GG73" s="2083"/>
      <c r="GH73" s="2083"/>
      <c r="GI73" s="2083"/>
      <c r="GJ73" s="2083"/>
      <c r="GK73" s="2083"/>
      <c r="GL73" s="2083"/>
      <c r="GM73" s="2083"/>
      <c r="GN73" s="2083"/>
      <c r="GO73" s="2083"/>
      <c r="GP73" s="2083"/>
      <c r="GQ73" s="2083"/>
      <c r="GR73" s="2083"/>
      <c r="GS73" s="2083"/>
      <c r="GT73" s="2083"/>
      <c r="GU73" s="2083"/>
      <c r="GV73" s="2083"/>
      <c r="GW73" s="2083"/>
      <c r="GX73" s="2083"/>
      <c r="GY73" s="2083"/>
      <c r="GZ73" s="2083"/>
      <c r="HA73" s="2083"/>
      <c r="HB73" s="2083"/>
      <c r="HC73" s="2083"/>
      <c r="HD73" s="2083"/>
      <c r="HE73" s="2083"/>
      <c r="HF73" s="2083"/>
      <c r="HG73" s="2083"/>
      <c r="HH73" s="2083"/>
      <c r="HI73" s="2083"/>
      <c r="HJ73" s="2083"/>
      <c r="HK73" s="2083"/>
      <c r="HL73" s="2083"/>
      <c r="HM73" s="2083"/>
      <c r="HN73" s="2083"/>
      <c r="HO73" s="2083"/>
      <c r="HP73" s="2083"/>
      <c r="HQ73" s="2083"/>
      <c r="HR73" s="2083"/>
      <c r="HS73" s="2083"/>
      <c r="HT73" s="2083"/>
      <c r="HU73" s="2083"/>
      <c r="HV73" s="2083"/>
      <c r="HW73" s="2083"/>
      <c r="HX73" s="2083"/>
      <c r="HY73" s="2083"/>
      <c r="HZ73" s="2083"/>
      <c r="IA73" s="2083"/>
      <c r="IB73" s="2083"/>
      <c r="IC73" s="2083"/>
      <c r="ID73" s="2083"/>
      <c r="IE73" s="2083"/>
      <c r="IF73" s="2083"/>
      <c r="IG73" s="2083"/>
      <c r="IH73" s="2083"/>
      <c r="II73" s="2083"/>
      <c r="IJ73" s="2083"/>
      <c r="IK73" s="2083"/>
      <c r="IL73" s="2083"/>
      <c r="IM73" s="2083"/>
      <c r="IN73" s="2083"/>
      <c r="IO73" s="2083"/>
      <c r="IP73" s="2083"/>
      <c r="IQ73" s="2083"/>
      <c r="IR73" s="2083"/>
      <c r="IS73" s="2083"/>
      <c r="IT73" s="2083"/>
      <c r="IU73" s="2083"/>
      <c r="IV73" s="2083"/>
    </row>
    <row r="74" spans="1:256" ht="29.25" customHeight="1">
      <c r="A74" s="2058"/>
      <c r="B74" s="2081" t="s">
        <v>7629</v>
      </c>
      <c r="C74" s="2082">
        <v>1</v>
      </c>
      <c r="D74" s="2082">
        <v>1</v>
      </c>
      <c r="E74" s="2062">
        <v>4</v>
      </c>
      <c r="F74" s="2062">
        <v>2</v>
      </c>
      <c r="G74" s="2063"/>
      <c r="H74" s="2062">
        <f>PRODUCT(C74:G74)</f>
        <v>8</v>
      </c>
      <c r="I74" s="2080"/>
      <c r="J74" s="2083"/>
      <c r="K74" s="2083"/>
      <c r="L74" s="2083"/>
      <c r="M74" s="2083"/>
      <c r="N74" s="2083"/>
      <c r="O74" s="2083"/>
      <c r="P74" s="2083"/>
      <c r="Q74" s="2083"/>
      <c r="R74" s="2083"/>
      <c r="S74" s="2083"/>
      <c r="T74" s="2083"/>
      <c r="U74" s="2083"/>
      <c r="V74" s="2083"/>
      <c r="W74" s="2083"/>
      <c r="X74" s="2083"/>
      <c r="Y74" s="2083"/>
      <c r="Z74" s="2083"/>
      <c r="AA74" s="2083"/>
      <c r="AB74" s="2083"/>
      <c r="AC74" s="2083"/>
      <c r="AD74" s="2083"/>
      <c r="AE74" s="2083"/>
      <c r="AF74" s="2083"/>
      <c r="AG74" s="2083"/>
      <c r="AH74" s="2083"/>
      <c r="AI74" s="2083"/>
      <c r="AJ74" s="2083"/>
      <c r="AK74" s="2083"/>
      <c r="AL74" s="2083"/>
      <c r="AM74" s="2083"/>
      <c r="AN74" s="2083"/>
      <c r="AO74" s="2083"/>
      <c r="AP74" s="2083"/>
      <c r="AQ74" s="2083"/>
      <c r="AR74" s="2083"/>
      <c r="AS74" s="2083"/>
      <c r="AT74" s="2083"/>
      <c r="AU74" s="2083"/>
      <c r="AV74" s="2083"/>
      <c r="AW74" s="2083"/>
      <c r="AX74" s="2083"/>
      <c r="AY74" s="2083"/>
      <c r="AZ74" s="2083"/>
      <c r="BA74" s="2083"/>
      <c r="BB74" s="2083"/>
      <c r="BC74" s="2083"/>
      <c r="BD74" s="2083"/>
      <c r="BE74" s="2083"/>
      <c r="BF74" s="2083"/>
      <c r="BG74" s="2083"/>
      <c r="BH74" s="2083"/>
      <c r="BI74" s="2083"/>
      <c r="BJ74" s="2083"/>
      <c r="BK74" s="2083"/>
      <c r="BL74" s="2083"/>
      <c r="BM74" s="2083"/>
      <c r="BN74" s="2083"/>
      <c r="BO74" s="2083"/>
      <c r="BP74" s="2083"/>
      <c r="BQ74" s="2083"/>
      <c r="BR74" s="2083"/>
      <c r="BS74" s="2083"/>
      <c r="BT74" s="2083"/>
      <c r="BU74" s="2083"/>
      <c r="BV74" s="2083"/>
      <c r="BW74" s="2083"/>
      <c r="BX74" s="2083"/>
      <c r="BY74" s="2083"/>
      <c r="BZ74" s="2083"/>
      <c r="CA74" s="2083"/>
      <c r="CB74" s="2083"/>
      <c r="CC74" s="2083"/>
      <c r="CD74" s="2083"/>
      <c r="CE74" s="2083"/>
      <c r="CF74" s="2083"/>
      <c r="CG74" s="2083"/>
      <c r="CH74" s="2083"/>
      <c r="CI74" s="2083"/>
      <c r="CJ74" s="2083"/>
      <c r="CK74" s="2083"/>
      <c r="CL74" s="2083"/>
      <c r="CM74" s="2083"/>
      <c r="CN74" s="2083"/>
      <c r="CO74" s="2083"/>
      <c r="CP74" s="2083"/>
      <c r="CQ74" s="2083"/>
      <c r="CR74" s="2083"/>
      <c r="CS74" s="2083"/>
      <c r="CT74" s="2083"/>
      <c r="CU74" s="2083"/>
      <c r="CV74" s="2083"/>
      <c r="CW74" s="2083"/>
      <c r="CX74" s="2083"/>
      <c r="CY74" s="2083"/>
      <c r="CZ74" s="2083"/>
      <c r="DA74" s="2083"/>
      <c r="DB74" s="2083"/>
      <c r="DC74" s="2083"/>
      <c r="DD74" s="2083"/>
      <c r="DE74" s="2083"/>
      <c r="DF74" s="2083"/>
      <c r="DG74" s="2083"/>
      <c r="DH74" s="2083"/>
      <c r="DI74" s="2083"/>
      <c r="DJ74" s="2083"/>
      <c r="DK74" s="2083"/>
      <c r="DL74" s="2083"/>
      <c r="DM74" s="2083"/>
      <c r="DN74" s="2083"/>
      <c r="DO74" s="2083"/>
      <c r="DP74" s="2083"/>
      <c r="DQ74" s="2083"/>
      <c r="DR74" s="2083"/>
      <c r="DS74" s="2083"/>
      <c r="DT74" s="2083"/>
      <c r="DU74" s="2083"/>
      <c r="DV74" s="2083"/>
      <c r="DW74" s="2083"/>
      <c r="DX74" s="2083"/>
      <c r="DY74" s="2083"/>
      <c r="DZ74" s="2083"/>
      <c r="EA74" s="2083"/>
      <c r="EB74" s="2083"/>
      <c r="EC74" s="2083"/>
      <c r="ED74" s="2083"/>
      <c r="EE74" s="2083"/>
      <c r="EF74" s="2083"/>
      <c r="EG74" s="2083"/>
      <c r="EH74" s="2083"/>
      <c r="EI74" s="2083"/>
      <c r="EJ74" s="2083"/>
      <c r="EK74" s="2083"/>
      <c r="EL74" s="2083"/>
      <c r="EM74" s="2083"/>
      <c r="EN74" s="2083"/>
      <c r="EO74" s="2083"/>
      <c r="EP74" s="2083"/>
      <c r="EQ74" s="2083"/>
      <c r="ER74" s="2083"/>
      <c r="ES74" s="2083"/>
      <c r="ET74" s="2083"/>
      <c r="EU74" s="2083"/>
      <c r="EV74" s="2083"/>
      <c r="EW74" s="2083"/>
      <c r="EX74" s="2083"/>
      <c r="EY74" s="2083"/>
      <c r="EZ74" s="2083"/>
      <c r="FA74" s="2083"/>
      <c r="FB74" s="2083"/>
      <c r="FC74" s="2083"/>
      <c r="FD74" s="2083"/>
      <c r="FE74" s="2083"/>
      <c r="FF74" s="2083"/>
      <c r="FG74" s="2083"/>
      <c r="FH74" s="2083"/>
      <c r="FI74" s="2083"/>
      <c r="FJ74" s="2083"/>
      <c r="FK74" s="2083"/>
      <c r="FL74" s="2083"/>
      <c r="FM74" s="2083"/>
      <c r="FN74" s="2083"/>
      <c r="FO74" s="2083"/>
      <c r="FP74" s="2083"/>
      <c r="FQ74" s="2083"/>
      <c r="FR74" s="2083"/>
      <c r="FS74" s="2083"/>
      <c r="FT74" s="2083"/>
      <c r="FU74" s="2083"/>
      <c r="FV74" s="2083"/>
      <c r="FW74" s="2083"/>
      <c r="FX74" s="2083"/>
      <c r="FY74" s="2083"/>
      <c r="FZ74" s="2083"/>
      <c r="GA74" s="2083"/>
      <c r="GB74" s="2083"/>
      <c r="GC74" s="2083"/>
      <c r="GD74" s="2083"/>
      <c r="GE74" s="2083"/>
      <c r="GF74" s="2083"/>
      <c r="GG74" s="2083"/>
      <c r="GH74" s="2083"/>
      <c r="GI74" s="2083"/>
      <c r="GJ74" s="2083"/>
      <c r="GK74" s="2083"/>
      <c r="GL74" s="2083"/>
      <c r="GM74" s="2083"/>
      <c r="GN74" s="2083"/>
      <c r="GO74" s="2083"/>
      <c r="GP74" s="2083"/>
      <c r="GQ74" s="2083"/>
      <c r="GR74" s="2083"/>
      <c r="GS74" s="2083"/>
      <c r="GT74" s="2083"/>
      <c r="GU74" s="2083"/>
      <c r="GV74" s="2083"/>
      <c r="GW74" s="2083"/>
      <c r="GX74" s="2083"/>
      <c r="GY74" s="2083"/>
      <c r="GZ74" s="2083"/>
      <c r="HA74" s="2083"/>
      <c r="HB74" s="2083"/>
      <c r="HC74" s="2083"/>
      <c r="HD74" s="2083"/>
      <c r="HE74" s="2083"/>
      <c r="HF74" s="2083"/>
      <c r="HG74" s="2083"/>
      <c r="HH74" s="2083"/>
      <c r="HI74" s="2083"/>
      <c r="HJ74" s="2083"/>
      <c r="HK74" s="2083"/>
      <c r="HL74" s="2083"/>
      <c r="HM74" s="2083"/>
      <c r="HN74" s="2083"/>
      <c r="HO74" s="2083"/>
      <c r="HP74" s="2083"/>
      <c r="HQ74" s="2083"/>
      <c r="HR74" s="2083"/>
      <c r="HS74" s="2083"/>
      <c r="HT74" s="2083"/>
      <c r="HU74" s="2083"/>
      <c r="HV74" s="2083"/>
      <c r="HW74" s="2083"/>
      <c r="HX74" s="2083"/>
      <c r="HY74" s="2083"/>
      <c r="HZ74" s="2083"/>
      <c r="IA74" s="2083"/>
      <c r="IB74" s="2083"/>
      <c r="IC74" s="2083"/>
      <c r="ID74" s="2083"/>
      <c r="IE74" s="2083"/>
      <c r="IF74" s="2083"/>
      <c r="IG74" s="2083"/>
      <c r="IH74" s="2083"/>
      <c r="II74" s="2083"/>
      <c r="IJ74" s="2083"/>
      <c r="IK74" s="2083"/>
      <c r="IL74" s="2083"/>
      <c r="IM74" s="2083"/>
      <c r="IN74" s="2083"/>
      <c r="IO74" s="2083"/>
      <c r="IP74" s="2083"/>
      <c r="IQ74" s="2083"/>
      <c r="IR74" s="2083"/>
      <c r="IS74" s="2083"/>
      <c r="IT74" s="2083"/>
      <c r="IU74" s="2083"/>
      <c r="IV74" s="2083"/>
    </row>
    <row r="75" spans="1:256" ht="29.25" customHeight="1">
      <c r="A75" s="2058"/>
      <c r="B75" s="2081" t="s">
        <v>7592</v>
      </c>
      <c r="C75" s="2082">
        <v>-1</v>
      </c>
      <c r="D75" s="2082">
        <v>2</v>
      </c>
      <c r="E75" s="2062">
        <v>0.6</v>
      </c>
      <c r="F75" s="2062">
        <v>0.6</v>
      </c>
      <c r="G75" s="2063"/>
      <c r="H75" s="2062">
        <f>PRODUCT(C75:G75)</f>
        <v>-0.72</v>
      </c>
      <c r="I75" s="2080"/>
      <c r="J75" s="2083"/>
      <c r="K75" s="2083"/>
      <c r="L75" s="2083"/>
      <c r="M75" s="2083"/>
      <c r="N75" s="2083"/>
      <c r="O75" s="2083"/>
      <c r="P75" s="2083"/>
      <c r="Q75" s="2083"/>
      <c r="R75" s="2083"/>
      <c r="S75" s="2083"/>
      <c r="T75" s="2083"/>
      <c r="U75" s="2083"/>
      <c r="V75" s="2083"/>
      <c r="W75" s="2083"/>
      <c r="X75" s="2083"/>
      <c r="Y75" s="2083"/>
      <c r="Z75" s="2083"/>
      <c r="AA75" s="2083"/>
      <c r="AB75" s="2083"/>
      <c r="AC75" s="2083"/>
      <c r="AD75" s="2083"/>
      <c r="AE75" s="2083"/>
      <c r="AF75" s="2083"/>
      <c r="AG75" s="2083"/>
      <c r="AH75" s="2083"/>
      <c r="AI75" s="2083"/>
      <c r="AJ75" s="2083"/>
      <c r="AK75" s="2083"/>
      <c r="AL75" s="2083"/>
      <c r="AM75" s="2083"/>
      <c r="AN75" s="2083"/>
      <c r="AO75" s="2083"/>
      <c r="AP75" s="2083"/>
      <c r="AQ75" s="2083"/>
      <c r="AR75" s="2083"/>
      <c r="AS75" s="2083"/>
      <c r="AT75" s="2083"/>
      <c r="AU75" s="2083"/>
      <c r="AV75" s="2083"/>
      <c r="AW75" s="2083"/>
      <c r="AX75" s="2083"/>
      <c r="AY75" s="2083"/>
      <c r="AZ75" s="2083"/>
      <c r="BA75" s="2083"/>
      <c r="BB75" s="2083"/>
      <c r="BC75" s="2083"/>
      <c r="BD75" s="2083"/>
      <c r="BE75" s="2083"/>
      <c r="BF75" s="2083"/>
      <c r="BG75" s="2083"/>
      <c r="BH75" s="2083"/>
      <c r="BI75" s="2083"/>
      <c r="BJ75" s="2083"/>
      <c r="BK75" s="2083"/>
      <c r="BL75" s="2083"/>
      <c r="BM75" s="2083"/>
      <c r="BN75" s="2083"/>
      <c r="BO75" s="2083"/>
      <c r="BP75" s="2083"/>
      <c r="BQ75" s="2083"/>
      <c r="BR75" s="2083"/>
      <c r="BS75" s="2083"/>
      <c r="BT75" s="2083"/>
      <c r="BU75" s="2083"/>
      <c r="BV75" s="2083"/>
      <c r="BW75" s="2083"/>
      <c r="BX75" s="2083"/>
      <c r="BY75" s="2083"/>
      <c r="BZ75" s="2083"/>
      <c r="CA75" s="2083"/>
      <c r="CB75" s="2083"/>
      <c r="CC75" s="2083"/>
      <c r="CD75" s="2083"/>
      <c r="CE75" s="2083"/>
      <c r="CF75" s="2083"/>
      <c r="CG75" s="2083"/>
      <c r="CH75" s="2083"/>
      <c r="CI75" s="2083"/>
      <c r="CJ75" s="2083"/>
      <c r="CK75" s="2083"/>
      <c r="CL75" s="2083"/>
      <c r="CM75" s="2083"/>
      <c r="CN75" s="2083"/>
      <c r="CO75" s="2083"/>
      <c r="CP75" s="2083"/>
      <c r="CQ75" s="2083"/>
      <c r="CR75" s="2083"/>
      <c r="CS75" s="2083"/>
      <c r="CT75" s="2083"/>
      <c r="CU75" s="2083"/>
      <c r="CV75" s="2083"/>
      <c r="CW75" s="2083"/>
      <c r="CX75" s="2083"/>
      <c r="CY75" s="2083"/>
      <c r="CZ75" s="2083"/>
      <c r="DA75" s="2083"/>
      <c r="DB75" s="2083"/>
      <c r="DC75" s="2083"/>
      <c r="DD75" s="2083"/>
      <c r="DE75" s="2083"/>
      <c r="DF75" s="2083"/>
      <c r="DG75" s="2083"/>
      <c r="DH75" s="2083"/>
      <c r="DI75" s="2083"/>
      <c r="DJ75" s="2083"/>
      <c r="DK75" s="2083"/>
      <c r="DL75" s="2083"/>
      <c r="DM75" s="2083"/>
      <c r="DN75" s="2083"/>
      <c r="DO75" s="2083"/>
      <c r="DP75" s="2083"/>
      <c r="DQ75" s="2083"/>
      <c r="DR75" s="2083"/>
      <c r="DS75" s="2083"/>
      <c r="DT75" s="2083"/>
      <c r="DU75" s="2083"/>
      <c r="DV75" s="2083"/>
      <c r="DW75" s="2083"/>
      <c r="DX75" s="2083"/>
      <c r="DY75" s="2083"/>
      <c r="DZ75" s="2083"/>
      <c r="EA75" s="2083"/>
      <c r="EB75" s="2083"/>
      <c r="EC75" s="2083"/>
      <c r="ED75" s="2083"/>
      <c r="EE75" s="2083"/>
      <c r="EF75" s="2083"/>
      <c r="EG75" s="2083"/>
      <c r="EH75" s="2083"/>
      <c r="EI75" s="2083"/>
      <c r="EJ75" s="2083"/>
      <c r="EK75" s="2083"/>
      <c r="EL75" s="2083"/>
      <c r="EM75" s="2083"/>
      <c r="EN75" s="2083"/>
      <c r="EO75" s="2083"/>
      <c r="EP75" s="2083"/>
      <c r="EQ75" s="2083"/>
      <c r="ER75" s="2083"/>
      <c r="ES75" s="2083"/>
      <c r="ET75" s="2083"/>
      <c r="EU75" s="2083"/>
      <c r="EV75" s="2083"/>
      <c r="EW75" s="2083"/>
      <c r="EX75" s="2083"/>
      <c r="EY75" s="2083"/>
      <c r="EZ75" s="2083"/>
      <c r="FA75" s="2083"/>
      <c r="FB75" s="2083"/>
      <c r="FC75" s="2083"/>
      <c r="FD75" s="2083"/>
      <c r="FE75" s="2083"/>
      <c r="FF75" s="2083"/>
      <c r="FG75" s="2083"/>
      <c r="FH75" s="2083"/>
      <c r="FI75" s="2083"/>
      <c r="FJ75" s="2083"/>
      <c r="FK75" s="2083"/>
      <c r="FL75" s="2083"/>
      <c r="FM75" s="2083"/>
      <c r="FN75" s="2083"/>
      <c r="FO75" s="2083"/>
      <c r="FP75" s="2083"/>
      <c r="FQ75" s="2083"/>
      <c r="FR75" s="2083"/>
      <c r="FS75" s="2083"/>
      <c r="FT75" s="2083"/>
      <c r="FU75" s="2083"/>
      <c r="FV75" s="2083"/>
      <c r="FW75" s="2083"/>
      <c r="FX75" s="2083"/>
      <c r="FY75" s="2083"/>
      <c r="FZ75" s="2083"/>
      <c r="GA75" s="2083"/>
      <c r="GB75" s="2083"/>
      <c r="GC75" s="2083"/>
      <c r="GD75" s="2083"/>
      <c r="GE75" s="2083"/>
      <c r="GF75" s="2083"/>
      <c r="GG75" s="2083"/>
      <c r="GH75" s="2083"/>
      <c r="GI75" s="2083"/>
      <c r="GJ75" s="2083"/>
      <c r="GK75" s="2083"/>
      <c r="GL75" s="2083"/>
      <c r="GM75" s="2083"/>
      <c r="GN75" s="2083"/>
      <c r="GO75" s="2083"/>
      <c r="GP75" s="2083"/>
      <c r="GQ75" s="2083"/>
      <c r="GR75" s="2083"/>
      <c r="GS75" s="2083"/>
      <c r="GT75" s="2083"/>
      <c r="GU75" s="2083"/>
      <c r="GV75" s="2083"/>
      <c r="GW75" s="2083"/>
      <c r="GX75" s="2083"/>
      <c r="GY75" s="2083"/>
      <c r="GZ75" s="2083"/>
      <c r="HA75" s="2083"/>
      <c r="HB75" s="2083"/>
      <c r="HC75" s="2083"/>
      <c r="HD75" s="2083"/>
      <c r="HE75" s="2083"/>
      <c r="HF75" s="2083"/>
      <c r="HG75" s="2083"/>
      <c r="HH75" s="2083"/>
      <c r="HI75" s="2083"/>
      <c r="HJ75" s="2083"/>
      <c r="HK75" s="2083"/>
      <c r="HL75" s="2083"/>
      <c r="HM75" s="2083"/>
      <c r="HN75" s="2083"/>
      <c r="HO75" s="2083"/>
      <c r="HP75" s="2083"/>
      <c r="HQ75" s="2083"/>
      <c r="HR75" s="2083"/>
      <c r="HS75" s="2083"/>
      <c r="HT75" s="2083"/>
      <c r="HU75" s="2083"/>
      <c r="HV75" s="2083"/>
      <c r="HW75" s="2083"/>
      <c r="HX75" s="2083"/>
      <c r="HY75" s="2083"/>
      <c r="HZ75" s="2083"/>
      <c r="IA75" s="2083"/>
      <c r="IB75" s="2083"/>
      <c r="IC75" s="2083"/>
      <c r="ID75" s="2083"/>
      <c r="IE75" s="2083"/>
      <c r="IF75" s="2083"/>
      <c r="IG75" s="2083"/>
      <c r="IH75" s="2083"/>
      <c r="II75" s="2083"/>
      <c r="IJ75" s="2083"/>
      <c r="IK75" s="2083"/>
      <c r="IL75" s="2083"/>
      <c r="IM75" s="2083"/>
      <c r="IN75" s="2083"/>
      <c r="IO75" s="2083"/>
      <c r="IP75" s="2083"/>
      <c r="IQ75" s="2083"/>
      <c r="IR75" s="2083"/>
      <c r="IS75" s="2083"/>
      <c r="IT75" s="2083"/>
      <c r="IU75" s="2083"/>
      <c r="IV75" s="2083"/>
    </row>
    <row r="76" spans="1:256" ht="29.25" customHeight="1">
      <c r="A76" s="2058"/>
      <c r="B76" s="2081"/>
      <c r="C76" s="2082"/>
      <c r="D76" s="2082"/>
      <c r="E76" s="2062"/>
      <c r="F76" s="2062"/>
      <c r="G76" s="2086" t="s">
        <v>2235</v>
      </c>
      <c r="H76" s="2067">
        <f>SUM(H72:H75)</f>
        <v>10.08</v>
      </c>
      <c r="I76" s="2080" t="s">
        <v>2273</v>
      </c>
      <c r="J76" s="2083"/>
      <c r="K76" s="2083"/>
      <c r="L76" s="2083"/>
      <c r="M76" s="2083"/>
      <c r="N76" s="2083"/>
      <c r="O76" s="2083"/>
      <c r="P76" s="2083"/>
      <c r="Q76" s="2083"/>
      <c r="R76" s="2083"/>
      <c r="S76" s="2083"/>
      <c r="T76" s="2083"/>
      <c r="U76" s="2083"/>
      <c r="V76" s="2083"/>
      <c r="W76" s="2083"/>
      <c r="X76" s="2083"/>
      <c r="Y76" s="2083"/>
      <c r="Z76" s="2083"/>
      <c r="AA76" s="2083"/>
      <c r="AB76" s="2083"/>
      <c r="AC76" s="2083"/>
      <c r="AD76" s="2083"/>
      <c r="AE76" s="2083"/>
      <c r="AF76" s="2083"/>
      <c r="AG76" s="2083"/>
      <c r="AH76" s="2083"/>
      <c r="AI76" s="2083"/>
      <c r="AJ76" s="2083"/>
      <c r="AK76" s="2083"/>
      <c r="AL76" s="2083"/>
      <c r="AM76" s="2083"/>
      <c r="AN76" s="2083"/>
      <c r="AO76" s="2083"/>
      <c r="AP76" s="2083"/>
      <c r="AQ76" s="2083"/>
      <c r="AR76" s="2083"/>
      <c r="AS76" s="2083"/>
      <c r="AT76" s="2083"/>
      <c r="AU76" s="2083"/>
      <c r="AV76" s="2083"/>
      <c r="AW76" s="2083"/>
      <c r="AX76" s="2083"/>
      <c r="AY76" s="2083"/>
      <c r="AZ76" s="2083"/>
      <c r="BA76" s="2083"/>
      <c r="BB76" s="2083"/>
      <c r="BC76" s="2083"/>
      <c r="BD76" s="2083"/>
      <c r="BE76" s="2083"/>
      <c r="BF76" s="2083"/>
      <c r="BG76" s="2083"/>
      <c r="BH76" s="2083"/>
      <c r="BI76" s="2083"/>
      <c r="BJ76" s="2083"/>
      <c r="BK76" s="2083"/>
      <c r="BL76" s="2083"/>
      <c r="BM76" s="2083"/>
      <c r="BN76" s="2083"/>
      <c r="BO76" s="2083"/>
      <c r="BP76" s="2083"/>
      <c r="BQ76" s="2083"/>
      <c r="BR76" s="2083"/>
      <c r="BS76" s="2083"/>
      <c r="BT76" s="2083"/>
      <c r="BU76" s="2083"/>
      <c r="BV76" s="2083"/>
      <c r="BW76" s="2083"/>
      <c r="BX76" s="2083"/>
      <c r="BY76" s="2083"/>
      <c r="BZ76" s="2083"/>
      <c r="CA76" s="2083"/>
      <c r="CB76" s="2083"/>
      <c r="CC76" s="2083"/>
      <c r="CD76" s="2083"/>
      <c r="CE76" s="2083"/>
      <c r="CF76" s="2083"/>
      <c r="CG76" s="2083"/>
      <c r="CH76" s="2083"/>
      <c r="CI76" s="2083"/>
      <c r="CJ76" s="2083"/>
      <c r="CK76" s="2083"/>
      <c r="CL76" s="2083"/>
      <c r="CM76" s="2083"/>
      <c r="CN76" s="2083"/>
      <c r="CO76" s="2083"/>
      <c r="CP76" s="2083"/>
      <c r="CQ76" s="2083"/>
      <c r="CR76" s="2083"/>
      <c r="CS76" s="2083"/>
      <c r="CT76" s="2083"/>
      <c r="CU76" s="2083"/>
      <c r="CV76" s="2083"/>
      <c r="CW76" s="2083"/>
      <c r="CX76" s="2083"/>
      <c r="CY76" s="2083"/>
      <c r="CZ76" s="2083"/>
      <c r="DA76" s="2083"/>
      <c r="DB76" s="2083"/>
      <c r="DC76" s="2083"/>
      <c r="DD76" s="2083"/>
      <c r="DE76" s="2083"/>
      <c r="DF76" s="2083"/>
      <c r="DG76" s="2083"/>
      <c r="DH76" s="2083"/>
      <c r="DI76" s="2083"/>
      <c r="DJ76" s="2083"/>
      <c r="DK76" s="2083"/>
      <c r="DL76" s="2083"/>
      <c r="DM76" s="2083"/>
      <c r="DN76" s="2083"/>
      <c r="DO76" s="2083"/>
      <c r="DP76" s="2083"/>
      <c r="DQ76" s="2083"/>
      <c r="DR76" s="2083"/>
      <c r="DS76" s="2083"/>
      <c r="DT76" s="2083"/>
      <c r="DU76" s="2083"/>
      <c r="DV76" s="2083"/>
      <c r="DW76" s="2083"/>
      <c r="DX76" s="2083"/>
      <c r="DY76" s="2083"/>
      <c r="DZ76" s="2083"/>
      <c r="EA76" s="2083"/>
      <c r="EB76" s="2083"/>
      <c r="EC76" s="2083"/>
      <c r="ED76" s="2083"/>
      <c r="EE76" s="2083"/>
      <c r="EF76" s="2083"/>
      <c r="EG76" s="2083"/>
      <c r="EH76" s="2083"/>
      <c r="EI76" s="2083"/>
      <c r="EJ76" s="2083"/>
      <c r="EK76" s="2083"/>
      <c r="EL76" s="2083"/>
      <c r="EM76" s="2083"/>
      <c r="EN76" s="2083"/>
      <c r="EO76" s="2083"/>
      <c r="EP76" s="2083"/>
      <c r="EQ76" s="2083"/>
      <c r="ER76" s="2083"/>
      <c r="ES76" s="2083"/>
      <c r="ET76" s="2083"/>
      <c r="EU76" s="2083"/>
      <c r="EV76" s="2083"/>
      <c r="EW76" s="2083"/>
      <c r="EX76" s="2083"/>
      <c r="EY76" s="2083"/>
      <c r="EZ76" s="2083"/>
      <c r="FA76" s="2083"/>
      <c r="FB76" s="2083"/>
      <c r="FC76" s="2083"/>
      <c r="FD76" s="2083"/>
      <c r="FE76" s="2083"/>
      <c r="FF76" s="2083"/>
      <c r="FG76" s="2083"/>
      <c r="FH76" s="2083"/>
      <c r="FI76" s="2083"/>
      <c r="FJ76" s="2083"/>
      <c r="FK76" s="2083"/>
      <c r="FL76" s="2083"/>
      <c r="FM76" s="2083"/>
      <c r="FN76" s="2083"/>
      <c r="FO76" s="2083"/>
      <c r="FP76" s="2083"/>
      <c r="FQ76" s="2083"/>
      <c r="FR76" s="2083"/>
      <c r="FS76" s="2083"/>
      <c r="FT76" s="2083"/>
      <c r="FU76" s="2083"/>
      <c r="FV76" s="2083"/>
      <c r="FW76" s="2083"/>
      <c r="FX76" s="2083"/>
      <c r="FY76" s="2083"/>
      <c r="FZ76" s="2083"/>
      <c r="GA76" s="2083"/>
      <c r="GB76" s="2083"/>
      <c r="GC76" s="2083"/>
      <c r="GD76" s="2083"/>
      <c r="GE76" s="2083"/>
      <c r="GF76" s="2083"/>
      <c r="GG76" s="2083"/>
      <c r="GH76" s="2083"/>
      <c r="GI76" s="2083"/>
      <c r="GJ76" s="2083"/>
      <c r="GK76" s="2083"/>
      <c r="GL76" s="2083"/>
      <c r="GM76" s="2083"/>
      <c r="GN76" s="2083"/>
      <c r="GO76" s="2083"/>
      <c r="GP76" s="2083"/>
      <c r="GQ76" s="2083"/>
      <c r="GR76" s="2083"/>
      <c r="GS76" s="2083"/>
      <c r="GT76" s="2083"/>
      <c r="GU76" s="2083"/>
      <c r="GV76" s="2083"/>
      <c r="GW76" s="2083"/>
      <c r="GX76" s="2083"/>
      <c r="GY76" s="2083"/>
      <c r="GZ76" s="2083"/>
      <c r="HA76" s="2083"/>
      <c r="HB76" s="2083"/>
      <c r="HC76" s="2083"/>
      <c r="HD76" s="2083"/>
      <c r="HE76" s="2083"/>
      <c r="HF76" s="2083"/>
      <c r="HG76" s="2083"/>
      <c r="HH76" s="2083"/>
      <c r="HI76" s="2083"/>
      <c r="HJ76" s="2083"/>
      <c r="HK76" s="2083"/>
      <c r="HL76" s="2083"/>
      <c r="HM76" s="2083"/>
      <c r="HN76" s="2083"/>
      <c r="HO76" s="2083"/>
      <c r="HP76" s="2083"/>
      <c r="HQ76" s="2083"/>
      <c r="HR76" s="2083"/>
      <c r="HS76" s="2083"/>
      <c r="HT76" s="2083"/>
      <c r="HU76" s="2083"/>
      <c r="HV76" s="2083"/>
      <c r="HW76" s="2083"/>
      <c r="HX76" s="2083"/>
      <c r="HY76" s="2083"/>
      <c r="HZ76" s="2083"/>
      <c r="IA76" s="2083"/>
      <c r="IB76" s="2083"/>
      <c r="IC76" s="2083"/>
      <c r="ID76" s="2083"/>
      <c r="IE76" s="2083"/>
      <c r="IF76" s="2083"/>
      <c r="IG76" s="2083"/>
      <c r="IH76" s="2083"/>
      <c r="II76" s="2083"/>
      <c r="IJ76" s="2083"/>
      <c r="IK76" s="2083"/>
      <c r="IL76" s="2083"/>
      <c r="IM76" s="2083"/>
      <c r="IN76" s="2083"/>
      <c r="IO76" s="2083"/>
      <c r="IP76" s="2083"/>
      <c r="IQ76" s="2083"/>
      <c r="IR76" s="2083"/>
      <c r="IS76" s="2083"/>
      <c r="IT76" s="2083"/>
      <c r="IU76" s="2083"/>
      <c r="IV76" s="2083"/>
    </row>
    <row r="77" spans="1:256" s="788" customFormat="1" ht="56.25">
      <c r="A77" s="2090" t="s">
        <v>6473</v>
      </c>
      <c r="B77" s="2056" t="s">
        <v>7630</v>
      </c>
      <c r="C77" s="785"/>
      <c r="D77" s="785"/>
      <c r="E77" s="790"/>
      <c r="F77" s="790"/>
      <c r="G77" s="790"/>
      <c r="H77" s="790"/>
      <c r="I77" s="787"/>
    </row>
    <row r="78" spans="1:256" s="788" customFormat="1" ht="24" customHeight="1">
      <c r="A78" s="787"/>
      <c r="B78" s="2091" t="s">
        <v>3810</v>
      </c>
      <c r="C78" s="785"/>
      <c r="D78" s="785"/>
      <c r="E78" s="790"/>
      <c r="F78" s="790"/>
      <c r="G78" s="790"/>
      <c r="H78" s="790"/>
      <c r="I78" s="787"/>
    </row>
    <row r="79" spans="1:256" s="788" customFormat="1" ht="24" customHeight="1">
      <c r="A79" s="787"/>
      <c r="B79" s="2056" t="s">
        <v>7631</v>
      </c>
      <c r="C79" s="785">
        <v>1</v>
      </c>
      <c r="D79" s="785">
        <v>2</v>
      </c>
      <c r="E79" s="786">
        <v>10</v>
      </c>
      <c r="F79" s="2092"/>
      <c r="G79" s="790"/>
      <c r="H79" s="791">
        <f>PRODUCT(C79:G79)</f>
        <v>20</v>
      </c>
      <c r="I79" s="787" t="s">
        <v>823</v>
      </c>
    </row>
    <row r="80" spans="1:256" s="2099" customFormat="1" ht="24" customHeight="1">
      <c r="A80" s="2093"/>
      <c r="B80" s="2094" t="s">
        <v>7632</v>
      </c>
      <c r="C80" s="2093"/>
      <c r="D80" s="2093"/>
      <c r="E80" s="2095"/>
      <c r="F80" s="2095"/>
      <c r="G80" s="2096"/>
      <c r="H80" s="2095"/>
      <c r="I80" s="2097"/>
      <c r="J80" s="2098"/>
    </row>
    <row r="81" spans="1:256" s="2099" customFormat="1" ht="24" customHeight="1">
      <c r="A81" s="2093"/>
      <c r="B81" s="2100" t="s">
        <v>7633</v>
      </c>
      <c r="C81" s="2093">
        <v>1</v>
      </c>
      <c r="D81" s="2093">
        <v>2</v>
      </c>
      <c r="E81" s="2095"/>
      <c r="F81" s="2095"/>
      <c r="G81" s="2096" t="s">
        <v>971</v>
      </c>
      <c r="H81" s="2101">
        <f>PRODUCT(C81:G81)</f>
        <v>2</v>
      </c>
      <c r="I81" s="2097" t="s">
        <v>1427</v>
      </c>
      <c r="J81" s="2098"/>
    </row>
    <row r="82" spans="1:256" ht="18.75">
      <c r="A82" s="2102"/>
      <c r="B82" s="2103"/>
      <c r="C82" s="2104"/>
      <c r="D82" s="2104"/>
      <c r="E82" s="2105"/>
      <c r="F82" s="2105"/>
      <c r="G82" s="2106"/>
      <c r="H82" s="2107"/>
      <c r="I82" s="2108"/>
      <c r="J82" s="2083"/>
      <c r="K82" s="2083"/>
      <c r="L82" s="2083"/>
      <c r="M82" s="2083"/>
      <c r="N82" s="2083"/>
      <c r="O82" s="2083"/>
      <c r="P82" s="2083"/>
      <c r="Q82" s="2083"/>
      <c r="R82" s="2083"/>
      <c r="S82" s="2083"/>
      <c r="T82" s="2083"/>
      <c r="U82" s="2083"/>
      <c r="V82" s="2083"/>
      <c r="W82" s="2083"/>
      <c r="X82" s="2083"/>
      <c r="Y82" s="2083"/>
      <c r="Z82" s="2083"/>
      <c r="AA82" s="2083"/>
      <c r="AB82" s="2083"/>
      <c r="AC82" s="2083"/>
      <c r="AD82" s="2083"/>
      <c r="AE82" s="2083"/>
      <c r="AF82" s="2083"/>
      <c r="AG82" s="2083"/>
      <c r="AH82" s="2083"/>
      <c r="AI82" s="2083"/>
      <c r="AJ82" s="2083"/>
      <c r="AK82" s="2083"/>
      <c r="AL82" s="2083"/>
      <c r="AM82" s="2083"/>
      <c r="AN82" s="2083"/>
      <c r="AO82" s="2083"/>
      <c r="AP82" s="2083"/>
      <c r="AQ82" s="2083"/>
      <c r="AR82" s="2083"/>
      <c r="AS82" s="2083"/>
      <c r="AT82" s="2083"/>
      <c r="AU82" s="2083"/>
      <c r="AV82" s="2083"/>
      <c r="AW82" s="2083"/>
      <c r="AX82" s="2083"/>
      <c r="AY82" s="2083"/>
      <c r="AZ82" s="2083"/>
      <c r="BA82" s="2083"/>
      <c r="BB82" s="2083"/>
      <c r="BC82" s="2083"/>
      <c r="BD82" s="2083"/>
      <c r="BE82" s="2083"/>
      <c r="BF82" s="2083"/>
      <c r="BG82" s="2083"/>
      <c r="BH82" s="2083"/>
      <c r="BI82" s="2083"/>
      <c r="BJ82" s="2083"/>
      <c r="BK82" s="2083"/>
      <c r="BL82" s="2083"/>
      <c r="BM82" s="2083"/>
      <c r="BN82" s="2083"/>
      <c r="BO82" s="2083"/>
      <c r="BP82" s="2083"/>
      <c r="BQ82" s="2083"/>
      <c r="BR82" s="2083"/>
      <c r="BS82" s="2083"/>
      <c r="BT82" s="2083"/>
      <c r="BU82" s="2083"/>
      <c r="BV82" s="2083"/>
      <c r="BW82" s="2083"/>
      <c r="BX82" s="2083"/>
      <c r="BY82" s="2083"/>
      <c r="BZ82" s="2083"/>
      <c r="CA82" s="2083"/>
      <c r="CB82" s="2083"/>
      <c r="CC82" s="2083"/>
      <c r="CD82" s="2083"/>
      <c r="CE82" s="2083"/>
      <c r="CF82" s="2083"/>
      <c r="CG82" s="2083"/>
      <c r="CH82" s="2083"/>
      <c r="CI82" s="2083"/>
      <c r="CJ82" s="2083"/>
      <c r="CK82" s="2083"/>
      <c r="CL82" s="2083"/>
      <c r="CM82" s="2083"/>
      <c r="CN82" s="2083"/>
      <c r="CO82" s="2083"/>
      <c r="CP82" s="2083"/>
      <c r="CQ82" s="2083"/>
      <c r="CR82" s="2083"/>
      <c r="CS82" s="2083"/>
      <c r="CT82" s="2083"/>
      <c r="CU82" s="2083"/>
      <c r="CV82" s="2083"/>
      <c r="CW82" s="2083"/>
      <c r="CX82" s="2083"/>
      <c r="CY82" s="2083"/>
      <c r="CZ82" s="2083"/>
      <c r="DA82" s="2083"/>
      <c r="DB82" s="2083"/>
      <c r="DC82" s="2083"/>
      <c r="DD82" s="2083"/>
      <c r="DE82" s="2083"/>
      <c r="DF82" s="2083"/>
      <c r="DG82" s="2083"/>
      <c r="DH82" s="2083"/>
      <c r="DI82" s="2083"/>
      <c r="DJ82" s="2083"/>
      <c r="DK82" s="2083"/>
      <c r="DL82" s="2083"/>
      <c r="DM82" s="2083"/>
      <c r="DN82" s="2083"/>
      <c r="DO82" s="2083"/>
      <c r="DP82" s="2083"/>
      <c r="DQ82" s="2083"/>
      <c r="DR82" s="2083"/>
      <c r="DS82" s="2083"/>
      <c r="DT82" s="2083"/>
      <c r="DU82" s="2083"/>
      <c r="DV82" s="2083"/>
      <c r="DW82" s="2083"/>
      <c r="DX82" s="2083"/>
      <c r="DY82" s="2083"/>
      <c r="DZ82" s="2083"/>
      <c r="EA82" s="2083"/>
      <c r="EB82" s="2083"/>
      <c r="EC82" s="2083"/>
      <c r="ED82" s="2083"/>
      <c r="EE82" s="2083"/>
      <c r="EF82" s="2083"/>
      <c r="EG82" s="2083"/>
      <c r="EH82" s="2083"/>
      <c r="EI82" s="2083"/>
      <c r="EJ82" s="2083"/>
      <c r="EK82" s="2083"/>
      <c r="EL82" s="2083"/>
      <c r="EM82" s="2083"/>
      <c r="EN82" s="2083"/>
      <c r="EO82" s="2083"/>
      <c r="EP82" s="2083"/>
      <c r="EQ82" s="2083"/>
      <c r="ER82" s="2083"/>
      <c r="ES82" s="2083"/>
      <c r="ET82" s="2083"/>
      <c r="EU82" s="2083"/>
      <c r="EV82" s="2083"/>
      <c r="EW82" s="2083"/>
      <c r="EX82" s="2083"/>
      <c r="EY82" s="2083"/>
      <c r="EZ82" s="2083"/>
      <c r="FA82" s="2083"/>
      <c r="FB82" s="2083"/>
      <c r="FC82" s="2083"/>
      <c r="FD82" s="2083"/>
      <c r="FE82" s="2083"/>
      <c r="FF82" s="2083"/>
      <c r="FG82" s="2083"/>
      <c r="FH82" s="2083"/>
      <c r="FI82" s="2083"/>
      <c r="FJ82" s="2083"/>
      <c r="FK82" s="2083"/>
      <c r="FL82" s="2083"/>
      <c r="FM82" s="2083"/>
      <c r="FN82" s="2083"/>
      <c r="FO82" s="2083"/>
      <c r="FP82" s="2083"/>
      <c r="FQ82" s="2083"/>
      <c r="FR82" s="2083"/>
      <c r="FS82" s="2083"/>
      <c r="FT82" s="2083"/>
      <c r="FU82" s="2083"/>
      <c r="FV82" s="2083"/>
      <c r="FW82" s="2083"/>
      <c r="FX82" s="2083"/>
      <c r="FY82" s="2083"/>
      <c r="FZ82" s="2083"/>
      <c r="GA82" s="2083"/>
      <c r="GB82" s="2083"/>
      <c r="GC82" s="2083"/>
      <c r="GD82" s="2083"/>
      <c r="GE82" s="2083"/>
      <c r="GF82" s="2083"/>
      <c r="GG82" s="2083"/>
      <c r="GH82" s="2083"/>
      <c r="GI82" s="2083"/>
      <c r="GJ82" s="2083"/>
      <c r="GK82" s="2083"/>
      <c r="GL82" s="2083"/>
      <c r="GM82" s="2083"/>
      <c r="GN82" s="2083"/>
      <c r="GO82" s="2083"/>
      <c r="GP82" s="2083"/>
      <c r="GQ82" s="2083"/>
      <c r="GR82" s="2083"/>
      <c r="GS82" s="2083"/>
      <c r="GT82" s="2083"/>
      <c r="GU82" s="2083"/>
      <c r="GV82" s="2083"/>
      <c r="GW82" s="2083"/>
      <c r="GX82" s="2083"/>
      <c r="GY82" s="2083"/>
      <c r="GZ82" s="2083"/>
      <c r="HA82" s="2083"/>
      <c r="HB82" s="2083"/>
      <c r="HC82" s="2083"/>
      <c r="HD82" s="2083"/>
      <c r="HE82" s="2083"/>
      <c r="HF82" s="2083"/>
      <c r="HG82" s="2083"/>
      <c r="HH82" s="2083"/>
      <c r="HI82" s="2083"/>
      <c r="HJ82" s="2083"/>
      <c r="HK82" s="2083"/>
      <c r="HL82" s="2083"/>
      <c r="HM82" s="2083"/>
      <c r="HN82" s="2083"/>
      <c r="HO82" s="2083"/>
      <c r="HP82" s="2083"/>
      <c r="HQ82" s="2083"/>
      <c r="HR82" s="2083"/>
      <c r="HS82" s="2083"/>
      <c r="HT82" s="2083"/>
      <c r="HU82" s="2083"/>
      <c r="HV82" s="2083"/>
      <c r="HW82" s="2083"/>
      <c r="HX82" s="2083"/>
      <c r="HY82" s="2083"/>
      <c r="HZ82" s="2083"/>
      <c r="IA82" s="2083"/>
      <c r="IB82" s="2083"/>
      <c r="IC82" s="2083"/>
      <c r="ID82" s="2083"/>
      <c r="IE82" s="2083"/>
      <c r="IF82" s="2083"/>
      <c r="IG82" s="2083"/>
      <c r="IH82" s="2083"/>
      <c r="II82" s="2083"/>
      <c r="IJ82" s="2083"/>
      <c r="IK82" s="2083"/>
      <c r="IL82" s="2083"/>
      <c r="IM82" s="2083"/>
      <c r="IN82" s="2083"/>
      <c r="IO82" s="2083"/>
      <c r="IP82" s="2083"/>
      <c r="IQ82" s="2083"/>
      <c r="IR82" s="2083"/>
      <c r="IS82" s="2083"/>
      <c r="IT82" s="2083"/>
      <c r="IU82" s="2083"/>
      <c r="IV82" s="2083"/>
    </row>
    <row r="83" spans="1:256" ht="18.75">
      <c r="A83" s="2102"/>
      <c r="B83" s="2103"/>
      <c r="C83" s="2104"/>
      <c r="D83" s="2104"/>
      <c r="E83" s="2105"/>
      <c r="F83" s="2105"/>
      <c r="G83" s="2106"/>
      <c r="H83" s="2107"/>
      <c r="I83" s="2108"/>
      <c r="J83" s="2083"/>
      <c r="K83" s="2083"/>
      <c r="L83" s="2083"/>
      <c r="M83" s="2083"/>
      <c r="N83" s="2083"/>
      <c r="O83" s="2083"/>
      <c r="P83" s="2083"/>
      <c r="Q83" s="2083"/>
      <c r="R83" s="2083"/>
      <c r="S83" s="2083"/>
      <c r="T83" s="2083"/>
      <c r="U83" s="2083"/>
      <c r="V83" s="2083"/>
      <c r="W83" s="2083"/>
      <c r="X83" s="2083"/>
      <c r="Y83" s="2083"/>
      <c r="Z83" s="2083"/>
      <c r="AA83" s="2083"/>
      <c r="AB83" s="2083"/>
      <c r="AC83" s="2083"/>
      <c r="AD83" s="2083"/>
      <c r="AE83" s="2083"/>
      <c r="AF83" s="2083"/>
      <c r="AG83" s="2083"/>
      <c r="AH83" s="2083"/>
      <c r="AI83" s="2083"/>
      <c r="AJ83" s="2083"/>
      <c r="AK83" s="2083"/>
      <c r="AL83" s="2083"/>
      <c r="AM83" s="2083"/>
      <c r="AN83" s="2083"/>
      <c r="AO83" s="2083"/>
      <c r="AP83" s="2083"/>
      <c r="AQ83" s="2083"/>
      <c r="AR83" s="2083"/>
      <c r="AS83" s="2083"/>
      <c r="AT83" s="2083"/>
      <c r="AU83" s="2083"/>
      <c r="AV83" s="2083"/>
      <c r="AW83" s="2083"/>
      <c r="AX83" s="2083"/>
      <c r="AY83" s="2083"/>
      <c r="AZ83" s="2083"/>
      <c r="BA83" s="2083"/>
      <c r="BB83" s="2083"/>
      <c r="BC83" s="2083"/>
      <c r="BD83" s="2083"/>
      <c r="BE83" s="2083"/>
      <c r="BF83" s="2083"/>
      <c r="BG83" s="2083"/>
      <c r="BH83" s="2083"/>
      <c r="BI83" s="2083"/>
      <c r="BJ83" s="2083"/>
      <c r="BK83" s="2083"/>
      <c r="BL83" s="2083"/>
      <c r="BM83" s="2083"/>
      <c r="BN83" s="2083"/>
      <c r="BO83" s="2083"/>
      <c r="BP83" s="2083"/>
      <c r="BQ83" s="2083"/>
      <c r="BR83" s="2083"/>
      <c r="BS83" s="2083"/>
      <c r="BT83" s="2083"/>
      <c r="BU83" s="2083"/>
      <c r="BV83" s="2083"/>
      <c r="BW83" s="2083"/>
      <c r="BX83" s="2083"/>
      <c r="BY83" s="2083"/>
      <c r="BZ83" s="2083"/>
      <c r="CA83" s="2083"/>
      <c r="CB83" s="2083"/>
      <c r="CC83" s="2083"/>
      <c r="CD83" s="2083"/>
      <c r="CE83" s="2083"/>
      <c r="CF83" s="2083"/>
      <c r="CG83" s="2083"/>
      <c r="CH83" s="2083"/>
      <c r="CI83" s="2083"/>
      <c r="CJ83" s="2083"/>
      <c r="CK83" s="2083"/>
      <c r="CL83" s="2083"/>
      <c r="CM83" s="2083"/>
      <c r="CN83" s="2083"/>
      <c r="CO83" s="2083"/>
      <c r="CP83" s="2083"/>
      <c r="CQ83" s="2083"/>
      <c r="CR83" s="2083"/>
      <c r="CS83" s="2083"/>
      <c r="CT83" s="2083"/>
      <c r="CU83" s="2083"/>
      <c r="CV83" s="2083"/>
      <c r="CW83" s="2083"/>
      <c r="CX83" s="2083"/>
      <c r="CY83" s="2083"/>
      <c r="CZ83" s="2083"/>
      <c r="DA83" s="2083"/>
      <c r="DB83" s="2083"/>
      <c r="DC83" s="2083"/>
      <c r="DD83" s="2083"/>
      <c r="DE83" s="2083"/>
      <c r="DF83" s="2083"/>
      <c r="DG83" s="2083"/>
      <c r="DH83" s="2083"/>
      <c r="DI83" s="2083"/>
      <c r="DJ83" s="2083"/>
      <c r="DK83" s="2083"/>
      <c r="DL83" s="2083"/>
      <c r="DM83" s="2083"/>
      <c r="DN83" s="2083"/>
      <c r="DO83" s="2083"/>
      <c r="DP83" s="2083"/>
      <c r="DQ83" s="2083"/>
      <c r="DR83" s="2083"/>
      <c r="DS83" s="2083"/>
      <c r="DT83" s="2083"/>
      <c r="DU83" s="2083"/>
      <c r="DV83" s="2083"/>
      <c r="DW83" s="2083"/>
      <c r="DX83" s="2083"/>
      <c r="DY83" s="2083"/>
      <c r="DZ83" s="2083"/>
      <c r="EA83" s="2083"/>
      <c r="EB83" s="2083"/>
      <c r="EC83" s="2083"/>
      <c r="ED83" s="2083"/>
      <c r="EE83" s="2083"/>
      <c r="EF83" s="2083"/>
      <c r="EG83" s="2083"/>
      <c r="EH83" s="2083"/>
      <c r="EI83" s="2083"/>
      <c r="EJ83" s="2083"/>
      <c r="EK83" s="2083"/>
      <c r="EL83" s="2083"/>
      <c r="EM83" s="2083"/>
      <c r="EN83" s="2083"/>
      <c r="EO83" s="2083"/>
      <c r="EP83" s="2083"/>
      <c r="EQ83" s="2083"/>
      <c r="ER83" s="2083"/>
      <c r="ES83" s="2083"/>
      <c r="ET83" s="2083"/>
      <c r="EU83" s="2083"/>
      <c r="EV83" s="2083"/>
      <c r="EW83" s="2083"/>
      <c r="EX83" s="2083"/>
      <c r="EY83" s="2083"/>
      <c r="EZ83" s="2083"/>
      <c r="FA83" s="2083"/>
      <c r="FB83" s="2083"/>
      <c r="FC83" s="2083"/>
      <c r="FD83" s="2083"/>
      <c r="FE83" s="2083"/>
      <c r="FF83" s="2083"/>
      <c r="FG83" s="2083"/>
      <c r="FH83" s="2083"/>
      <c r="FI83" s="2083"/>
      <c r="FJ83" s="2083"/>
      <c r="FK83" s="2083"/>
      <c r="FL83" s="2083"/>
      <c r="FM83" s="2083"/>
      <c r="FN83" s="2083"/>
      <c r="FO83" s="2083"/>
      <c r="FP83" s="2083"/>
      <c r="FQ83" s="2083"/>
      <c r="FR83" s="2083"/>
      <c r="FS83" s="2083"/>
      <c r="FT83" s="2083"/>
      <c r="FU83" s="2083"/>
      <c r="FV83" s="2083"/>
      <c r="FW83" s="2083"/>
      <c r="FX83" s="2083"/>
      <c r="FY83" s="2083"/>
      <c r="FZ83" s="2083"/>
      <c r="GA83" s="2083"/>
      <c r="GB83" s="2083"/>
      <c r="GC83" s="2083"/>
      <c r="GD83" s="2083"/>
      <c r="GE83" s="2083"/>
      <c r="GF83" s="2083"/>
      <c r="GG83" s="2083"/>
      <c r="GH83" s="2083"/>
      <c r="GI83" s="2083"/>
      <c r="GJ83" s="2083"/>
      <c r="GK83" s="2083"/>
      <c r="GL83" s="2083"/>
      <c r="GM83" s="2083"/>
      <c r="GN83" s="2083"/>
      <c r="GO83" s="2083"/>
      <c r="GP83" s="2083"/>
      <c r="GQ83" s="2083"/>
      <c r="GR83" s="2083"/>
      <c r="GS83" s="2083"/>
      <c r="GT83" s="2083"/>
      <c r="GU83" s="2083"/>
      <c r="GV83" s="2083"/>
      <c r="GW83" s="2083"/>
      <c r="GX83" s="2083"/>
      <c r="GY83" s="2083"/>
      <c r="GZ83" s="2083"/>
      <c r="HA83" s="2083"/>
      <c r="HB83" s="2083"/>
      <c r="HC83" s="2083"/>
      <c r="HD83" s="2083"/>
      <c r="HE83" s="2083"/>
      <c r="HF83" s="2083"/>
      <c r="HG83" s="2083"/>
      <c r="HH83" s="2083"/>
      <c r="HI83" s="2083"/>
      <c r="HJ83" s="2083"/>
      <c r="HK83" s="2083"/>
      <c r="HL83" s="2083"/>
      <c r="HM83" s="2083"/>
      <c r="HN83" s="2083"/>
      <c r="HO83" s="2083"/>
      <c r="HP83" s="2083"/>
      <c r="HQ83" s="2083"/>
      <c r="HR83" s="2083"/>
      <c r="HS83" s="2083"/>
      <c r="HT83" s="2083"/>
      <c r="HU83" s="2083"/>
      <c r="HV83" s="2083"/>
      <c r="HW83" s="2083"/>
      <c r="HX83" s="2083"/>
      <c r="HY83" s="2083"/>
      <c r="HZ83" s="2083"/>
      <c r="IA83" s="2083"/>
      <c r="IB83" s="2083"/>
      <c r="IC83" s="2083"/>
      <c r="ID83" s="2083"/>
      <c r="IE83" s="2083"/>
      <c r="IF83" s="2083"/>
      <c r="IG83" s="2083"/>
      <c r="IH83" s="2083"/>
      <c r="II83" s="2083"/>
      <c r="IJ83" s="2083"/>
      <c r="IK83" s="2083"/>
      <c r="IL83" s="2083"/>
      <c r="IM83" s="2083"/>
      <c r="IN83" s="2083"/>
      <c r="IO83" s="2083"/>
      <c r="IP83" s="2083"/>
      <c r="IQ83" s="2083"/>
      <c r="IR83" s="2083"/>
      <c r="IS83" s="2083"/>
      <c r="IT83" s="2083"/>
      <c r="IU83" s="2083"/>
      <c r="IV83" s="2083"/>
    </row>
    <row r="84" spans="1:256" ht="18.75">
      <c r="A84" s="2109"/>
      <c r="B84" s="2103"/>
      <c r="C84" s="2110"/>
      <c r="D84" s="2110"/>
      <c r="E84" s="2105"/>
      <c r="F84" s="2105"/>
      <c r="G84" s="2106"/>
      <c r="H84" s="2107"/>
      <c r="I84" s="2108"/>
      <c r="J84" s="2110"/>
      <c r="K84" s="2110"/>
      <c r="L84" s="2110"/>
      <c r="M84" s="2110"/>
      <c r="N84" s="2110"/>
      <c r="O84" s="2110"/>
      <c r="P84" s="2110"/>
      <c r="Q84" s="2110"/>
      <c r="R84" s="2110"/>
      <c r="S84" s="2110"/>
      <c r="T84" s="2110"/>
      <c r="U84" s="2110"/>
      <c r="V84" s="2110"/>
      <c r="W84" s="2110"/>
      <c r="X84" s="2110"/>
      <c r="Y84" s="2110"/>
      <c r="Z84" s="2110"/>
      <c r="AA84" s="2110"/>
      <c r="AB84" s="2110"/>
      <c r="AC84" s="2110"/>
      <c r="AD84" s="2110"/>
      <c r="AE84" s="2110"/>
      <c r="AF84" s="2110"/>
      <c r="AG84" s="2110"/>
      <c r="AH84" s="2110"/>
      <c r="AI84" s="2110"/>
      <c r="AJ84" s="2110"/>
      <c r="AK84" s="2110"/>
      <c r="AL84" s="2110"/>
      <c r="AM84" s="2110"/>
      <c r="AN84" s="2110"/>
      <c r="AO84" s="2110"/>
      <c r="AP84" s="2110"/>
      <c r="AQ84" s="2110"/>
      <c r="AR84" s="2110"/>
      <c r="AS84" s="2110"/>
      <c r="AT84" s="2110"/>
      <c r="AU84" s="2110"/>
      <c r="AV84" s="2110"/>
      <c r="AW84" s="2110"/>
      <c r="AX84" s="2110"/>
      <c r="AY84" s="2110"/>
      <c r="AZ84" s="2110"/>
      <c r="BA84" s="2110"/>
      <c r="BB84" s="2110"/>
      <c r="BC84" s="2110"/>
      <c r="BD84" s="2110"/>
      <c r="BE84" s="2110"/>
      <c r="BF84" s="2110"/>
      <c r="BG84" s="2110"/>
      <c r="BH84" s="2110"/>
      <c r="BI84" s="2110"/>
      <c r="BJ84" s="2110"/>
      <c r="BK84" s="2110"/>
      <c r="BL84" s="2110"/>
      <c r="BM84" s="2110"/>
      <c r="BN84" s="2110"/>
      <c r="BO84" s="2110"/>
      <c r="BP84" s="2110"/>
      <c r="BQ84" s="2110"/>
      <c r="BR84" s="2110"/>
      <c r="BS84" s="2110"/>
      <c r="BT84" s="2110"/>
      <c r="BU84" s="2110"/>
      <c r="BV84" s="2110"/>
      <c r="BW84" s="2110"/>
      <c r="BX84" s="2110"/>
      <c r="BY84" s="2110"/>
      <c r="BZ84" s="2110"/>
      <c r="CA84" s="2110"/>
      <c r="CB84" s="2110"/>
      <c r="CC84" s="2110"/>
      <c r="CD84" s="2110"/>
      <c r="CE84" s="2110"/>
      <c r="CF84" s="2110"/>
      <c r="CG84" s="2110"/>
      <c r="CH84" s="2110"/>
      <c r="CI84" s="2110"/>
      <c r="CJ84" s="2110"/>
      <c r="CK84" s="2110"/>
      <c r="CL84" s="2110"/>
      <c r="CM84" s="2110"/>
      <c r="CN84" s="2110"/>
      <c r="CO84" s="2110"/>
      <c r="CP84" s="2110"/>
      <c r="CQ84" s="2110"/>
      <c r="CR84" s="2110"/>
      <c r="CS84" s="2110"/>
      <c r="CT84" s="2110"/>
      <c r="CU84" s="2110"/>
      <c r="CV84" s="2110"/>
      <c r="CW84" s="2110"/>
      <c r="CX84" s="2110"/>
      <c r="CY84" s="2110"/>
      <c r="CZ84" s="2110"/>
      <c r="DA84" s="2110"/>
      <c r="DB84" s="2110"/>
      <c r="DC84" s="2110"/>
      <c r="DD84" s="2110"/>
      <c r="DE84" s="2110"/>
      <c r="DF84" s="2110"/>
      <c r="DG84" s="2110"/>
      <c r="DH84" s="2110"/>
      <c r="DI84" s="2110"/>
      <c r="DJ84" s="2110"/>
      <c r="DK84" s="2110"/>
      <c r="DL84" s="2110"/>
      <c r="DM84" s="2110"/>
      <c r="DN84" s="2110"/>
      <c r="DO84" s="2110"/>
      <c r="DP84" s="2110"/>
      <c r="DQ84" s="2110"/>
      <c r="DR84" s="2110"/>
      <c r="DS84" s="2110"/>
      <c r="DT84" s="2110"/>
      <c r="DU84" s="2110"/>
      <c r="DV84" s="2110"/>
      <c r="DW84" s="2110"/>
      <c r="DX84" s="2110"/>
      <c r="DY84" s="2110"/>
      <c r="DZ84" s="2110"/>
      <c r="EA84" s="2110"/>
      <c r="EB84" s="2110"/>
      <c r="EC84" s="2110"/>
      <c r="ED84" s="2110"/>
      <c r="EE84" s="2110"/>
      <c r="EF84" s="2110"/>
      <c r="EG84" s="2110"/>
      <c r="EH84" s="2110"/>
      <c r="EI84" s="2110"/>
      <c r="EJ84" s="2110"/>
      <c r="EK84" s="2110"/>
      <c r="EL84" s="2110"/>
      <c r="EM84" s="2110"/>
      <c r="EN84" s="2110"/>
      <c r="EO84" s="2110"/>
      <c r="EP84" s="2110"/>
      <c r="EQ84" s="2110"/>
      <c r="ER84" s="2110"/>
      <c r="ES84" s="2110"/>
      <c r="ET84" s="2110"/>
      <c r="EU84" s="2110"/>
      <c r="EV84" s="2110"/>
      <c r="EW84" s="2110"/>
      <c r="EX84" s="2110"/>
      <c r="EY84" s="2110"/>
      <c r="EZ84" s="2110"/>
      <c r="FA84" s="2110"/>
      <c r="FB84" s="2110"/>
      <c r="FC84" s="2110"/>
      <c r="FD84" s="2110"/>
      <c r="FE84" s="2110"/>
      <c r="FF84" s="2110"/>
      <c r="FG84" s="2110"/>
      <c r="FH84" s="2110"/>
      <c r="FI84" s="2110"/>
      <c r="FJ84" s="2110"/>
      <c r="FK84" s="2110"/>
      <c r="FL84" s="2110"/>
      <c r="FM84" s="2110"/>
      <c r="FN84" s="2110"/>
      <c r="FO84" s="2110"/>
      <c r="FP84" s="2110"/>
      <c r="FQ84" s="2110"/>
      <c r="FR84" s="2110"/>
      <c r="FS84" s="2110"/>
      <c r="FT84" s="2110"/>
      <c r="FU84" s="2110"/>
      <c r="FV84" s="2110"/>
      <c r="FW84" s="2110"/>
      <c r="FX84" s="2110"/>
      <c r="FY84" s="2110"/>
      <c r="FZ84" s="2110"/>
      <c r="GA84" s="2110"/>
      <c r="GB84" s="2110"/>
      <c r="GC84" s="2110"/>
      <c r="GD84" s="2110"/>
      <c r="GE84" s="2110"/>
      <c r="GF84" s="2110"/>
      <c r="GG84" s="2110"/>
      <c r="GH84" s="2110"/>
      <c r="GI84" s="2110"/>
      <c r="GJ84" s="2110"/>
      <c r="GK84" s="2110"/>
      <c r="GL84" s="2110"/>
      <c r="GM84" s="2110"/>
      <c r="GN84" s="2110"/>
      <c r="GO84" s="2110"/>
      <c r="GP84" s="2110"/>
      <c r="GQ84" s="2110"/>
      <c r="GR84" s="2110"/>
      <c r="GS84" s="2110"/>
      <c r="GT84" s="2110"/>
      <c r="GU84" s="2110"/>
      <c r="GV84" s="2110"/>
      <c r="GW84" s="2110"/>
      <c r="GX84" s="2110"/>
      <c r="GY84" s="2110"/>
      <c r="GZ84" s="2110"/>
      <c r="HA84" s="2110"/>
      <c r="HB84" s="2110"/>
      <c r="HC84" s="2110"/>
      <c r="HD84" s="2110"/>
      <c r="HE84" s="2110"/>
      <c r="HF84" s="2110"/>
      <c r="HG84" s="2110"/>
      <c r="HH84" s="2110"/>
      <c r="HI84" s="2110"/>
      <c r="HJ84" s="2110"/>
      <c r="HK84" s="2110"/>
      <c r="HL84" s="2110"/>
      <c r="HM84" s="2110"/>
      <c r="HN84" s="2110"/>
      <c r="HO84" s="2110"/>
      <c r="HP84" s="2110"/>
      <c r="HQ84" s="2110"/>
      <c r="HR84" s="2110"/>
      <c r="HS84" s="2110"/>
      <c r="HT84" s="2110"/>
      <c r="HU84" s="2110"/>
      <c r="HV84" s="2110"/>
      <c r="HW84" s="2110"/>
      <c r="HX84" s="2110"/>
      <c r="HY84" s="2110"/>
      <c r="HZ84" s="2110"/>
      <c r="IA84" s="2110"/>
      <c r="IB84" s="2110"/>
      <c r="IC84" s="2110"/>
      <c r="ID84" s="2110"/>
      <c r="IE84" s="2110"/>
      <c r="IF84" s="2110"/>
      <c r="IG84" s="2110"/>
      <c r="IH84" s="2110"/>
      <c r="II84" s="2110"/>
      <c r="IJ84" s="2110"/>
      <c r="IK84" s="2110"/>
      <c r="IL84" s="2110"/>
      <c r="IM84" s="2110"/>
      <c r="IN84" s="2110"/>
      <c r="IO84" s="2110"/>
      <c r="IP84" s="2110"/>
      <c r="IQ84" s="2110"/>
      <c r="IR84" s="2110"/>
      <c r="IS84" s="2110"/>
      <c r="IT84" s="2110"/>
      <c r="IU84" s="2110"/>
      <c r="IV84" s="2110"/>
    </row>
    <row r="85" spans="1:256" ht="18.75">
      <c r="A85" s="2109"/>
      <c r="B85" s="2103"/>
      <c r="C85" s="2110"/>
      <c r="D85" s="2110"/>
      <c r="E85" s="2105"/>
      <c r="F85" s="2105"/>
      <c r="G85" s="2111"/>
      <c r="H85" s="2105"/>
      <c r="I85" s="2112"/>
      <c r="J85" s="2110"/>
      <c r="K85" s="2110"/>
      <c r="L85" s="2110"/>
      <c r="M85" s="2110"/>
      <c r="N85" s="2110"/>
      <c r="O85" s="2110"/>
      <c r="P85" s="2110"/>
      <c r="Q85" s="2110"/>
      <c r="R85" s="2110"/>
      <c r="S85" s="2110"/>
      <c r="T85" s="2110"/>
      <c r="U85" s="2110"/>
      <c r="V85" s="2110"/>
      <c r="W85" s="2110"/>
      <c r="X85" s="2110"/>
      <c r="Y85" s="2110"/>
      <c r="Z85" s="2110"/>
      <c r="AA85" s="2110"/>
      <c r="AB85" s="2110"/>
      <c r="AC85" s="2110"/>
      <c r="AD85" s="2110"/>
      <c r="AE85" s="2110"/>
      <c r="AF85" s="2110"/>
      <c r="AG85" s="2110"/>
      <c r="AH85" s="2110"/>
      <c r="AI85" s="2110"/>
      <c r="AJ85" s="2110"/>
      <c r="AK85" s="2110"/>
      <c r="AL85" s="2110"/>
      <c r="AM85" s="2110"/>
      <c r="AN85" s="2110"/>
      <c r="AO85" s="2110"/>
      <c r="AP85" s="2110"/>
      <c r="AQ85" s="2110"/>
      <c r="AR85" s="2110"/>
      <c r="AS85" s="2110"/>
      <c r="AT85" s="2110"/>
      <c r="AU85" s="2110"/>
      <c r="AV85" s="2110"/>
      <c r="AW85" s="2110"/>
      <c r="AX85" s="2110"/>
      <c r="AY85" s="2110"/>
      <c r="AZ85" s="2110"/>
      <c r="BA85" s="2110"/>
      <c r="BB85" s="2110"/>
      <c r="BC85" s="2110"/>
      <c r="BD85" s="2110"/>
      <c r="BE85" s="2110"/>
      <c r="BF85" s="2110"/>
      <c r="BG85" s="2110"/>
      <c r="BH85" s="2110"/>
      <c r="BI85" s="2110"/>
      <c r="BJ85" s="2110"/>
      <c r="BK85" s="2110"/>
      <c r="BL85" s="2110"/>
      <c r="BM85" s="2110"/>
      <c r="BN85" s="2110"/>
      <c r="BO85" s="2110"/>
      <c r="BP85" s="2110"/>
      <c r="BQ85" s="2110"/>
      <c r="BR85" s="2110"/>
      <c r="BS85" s="2110"/>
      <c r="BT85" s="2110"/>
      <c r="BU85" s="2110"/>
      <c r="BV85" s="2110"/>
      <c r="BW85" s="2110"/>
      <c r="BX85" s="2110"/>
      <c r="BY85" s="2110"/>
      <c r="BZ85" s="2110"/>
      <c r="CA85" s="2110"/>
      <c r="CB85" s="2110"/>
      <c r="CC85" s="2110"/>
      <c r="CD85" s="2110"/>
      <c r="CE85" s="2110"/>
      <c r="CF85" s="2110"/>
      <c r="CG85" s="2110"/>
      <c r="CH85" s="2110"/>
      <c r="CI85" s="2110"/>
      <c r="CJ85" s="2110"/>
      <c r="CK85" s="2110"/>
      <c r="CL85" s="2110"/>
      <c r="CM85" s="2110"/>
      <c r="CN85" s="2110"/>
      <c r="CO85" s="2110"/>
      <c r="CP85" s="2110"/>
      <c r="CQ85" s="2110"/>
      <c r="CR85" s="2110"/>
      <c r="CS85" s="2110"/>
      <c r="CT85" s="2110"/>
      <c r="CU85" s="2110"/>
      <c r="CV85" s="2110"/>
      <c r="CW85" s="2110"/>
      <c r="CX85" s="2110"/>
      <c r="CY85" s="2110"/>
      <c r="CZ85" s="2110"/>
      <c r="DA85" s="2110"/>
      <c r="DB85" s="2110"/>
      <c r="DC85" s="2110"/>
      <c r="DD85" s="2110"/>
      <c r="DE85" s="2110"/>
      <c r="DF85" s="2110"/>
      <c r="DG85" s="2110"/>
      <c r="DH85" s="2110"/>
      <c r="DI85" s="2110"/>
      <c r="DJ85" s="2110"/>
      <c r="DK85" s="2110"/>
      <c r="DL85" s="2110"/>
      <c r="DM85" s="2110"/>
      <c r="DN85" s="2110"/>
      <c r="DO85" s="2110"/>
      <c r="DP85" s="2110"/>
      <c r="DQ85" s="2110"/>
      <c r="DR85" s="2110"/>
      <c r="DS85" s="2110"/>
      <c r="DT85" s="2110"/>
      <c r="DU85" s="2110"/>
      <c r="DV85" s="2110"/>
      <c r="DW85" s="2110"/>
      <c r="DX85" s="2110"/>
      <c r="DY85" s="2110"/>
      <c r="DZ85" s="2110"/>
      <c r="EA85" s="2110"/>
      <c r="EB85" s="2110"/>
      <c r="EC85" s="2110"/>
      <c r="ED85" s="2110"/>
      <c r="EE85" s="2110"/>
      <c r="EF85" s="2110"/>
      <c r="EG85" s="2110"/>
      <c r="EH85" s="2110"/>
      <c r="EI85" s="2110"/>
      <c r="EJ85" s="2110"/>
      <c r="EK85" s="2110"/>
      <c r="EL85" s="2110"/>
      <c r="EM85" s="2110"/>
      <c r="EN85" s="2110"/>
      <c r="EO85" s="2110"/>
      <c r="EP85" s="2110"/>
      <c r="EQ85" s="2110"/>
      <c r="ER85" s="2110"/>
      <c r="ES85" s="2110"/>
      <c r="ET85" s="2110"/>
      <c r="EU85" s="2110"/>
      <c r="EV85" s="2110"/>
      <c r="EW85" s="2110"/>
      <c r="EX85" s="2110"/>
      <c r="EY85" s="2110"/>
      <c r="EZ85" s="2110"/>
      <c r="FA85" s="2110"/>
      <c r="FB85" s="2110"/>
      <c r="FC85" s="2110"/>
      <c r="FD85" s="2110"/>
      <c r="FE85" s="2110"/>
      <c r="FF85" s="2110"/>
      <c r="FG85" s="2110"/>
      <c r="FH85" s="2110"/>
      <c r="FI85" s="2110"/>
      <c r="FJ85" s="2110"/>
      <c r="FK85" s="2110"/>
      <c r="FL85" s="2110"/>
      <c r="FM85" s="2110"/>
      <c r="FN85" s="2110"/>
      <c r="FO85" s="2110"/>
      <c r="FP85" s="2110"/>
      <c r="FQ85" s="2110"/>
      <c r="FR85" s="2110"/>
      <c r="FS85" s="2110"/>
      <c r="FT85" s="2110"/>
      <c r="FU85" s="2110"/>
      <c r="FV85" s="2110"/>
      <c r="FW85" s="2110"/>
      <c r="FX85" s="2110"/>
      <c r="FY85" s="2110"/>
      <c r="FZ85" s="2110"/>
      <c r="GA85" s="2110"/>
      <c r="GB85" s="2110"/>
      <c r="GC85" s="2110"/>
      <c r="GD85" s="2110"/>
      <c r="GE85" s="2110"/>
      <c r="GF85" s="2110"/>
      <c r="GG85" s="2110"/>
      <c r="GH85" s="2110"/>
      <c r="GI85" s="2110"/>
      <c r="GJ85" s="2110"/>
      <c r="GK85" s="2110"/>
      <c r="GL85" s="2110"/>
      <c r="GM85" s="2110"/>
      <c r="GN85" s="2110"/>
      <c r="GO85" s="2110"/>
      <c r="GP85" s="2110"/>
      <c r="GQ85" s="2110"/>
      <c r="GR85" s="2110"/>
      <c r="GS85" s="2110"/>
      <c r="GT85" s="2110"/>
      <c r="GU85" s="2110"/>
      <c r="GV85" s="2110"/>
      <c r="GW85" s="2110"/>
      <c r="GX85" s="2110"/>
      <c r="GY85" s="2110"/>
      <c r="GZ85" s="2110"/>
      <c r="HA85" s="2110"/>
      <c r="HB85" s="2110"/>
      <c r="HC85" s="2110"/>
      <c r="HD85" s="2110"/>
      <c r="HE85" s="2110"/>
      <c r="HF85" s="2110"/>
      <c r="HG85" s="2110"/>
      <c r="HH85" s="2110"/>
      <c r="HI85" s="2110"/>
      <c r="HJ85" s="2110"/>
      <c r="HK85" s="2110"/>
      <c r="HL85" s="2110"/>
      <c r="HM85" s="2110"/>
      <c r="HN85" s="2110"/>
      <c r="HO85" s="2110"/>
      <c r="HP85" s="2110"/>
      <c r="HQ85" s="2110"/>
      <c r="HR85" s="2110"/>
      <c r="HS85" s="2110"/>
      <c r="HT85" s="2110"/>
      <c r="HU85" s="2110"/>
      <c r="HV85" s="2110"/>
      <c r="HW85" s="2110"/>
      <c r="HX85" s="2110"/>
      <c r="HY85" s="2110"/>
      <c r="HZ85" s="2110"/>
      <c r="IA85" s="2110"/>
      <c r="IB85" s="2110"/>
      <c r="IC85" s="2110"/>
      <c r="ID85" s="2110"/>
      <c r="IE85" s="2110"/>
      <c r="IF85" s="2110"/>
      <c r="IG85" s="2110"/>
      <c r="IH85" s="2110"/>
      <c r="II85" s="2110"/>
      <c r="IJ85" s="2110"/>
      <c r="IK85" s="2110"/>
      <c r="IL85" s="2110"/>
      <c r="IM85" s="2110"/>
      <c r="IN85" s="2110"/>
      <c r="IO85" s="2110"/>
      <c r="IP85" s="2110"/>
      <c r="IQ85" s="2110"/>
      <c r="IR85" s="2110"/>
      <c r="IS85" s="2110"/>
      <c r="IT85" s="2110"/>
      <c r="IU85" s="2110"/>
      <c r="IV85" s="2110"/>
    </row>
    <row r="86" spans="1:256" ht="18.75">
      <c r="A86" s="2113" t="s">
        <v>7634</v>
      </c>
      <c r="B86" s="2113"/>
      <c r="C86" s="2113"/>
      <c r="D86" s="2113"/>
      <c r="E86" s="2113"/>
      <c r="F86" s="2113"/>
      <c r="G86" s="2113"/>
      <c r="H86" s="2113"/>
      <c r="I86" s="2113"/>
      <c r="J86" s="2110"/>
      <c r="K86" s="2110"/>
      <c r="L86" s="2110"/>
      <c r="M86" s="2110"/>
      <c r="N86" s="2110"/>
      <c r="O86" s="2110"/>
      <c r="P86" s="2110"/>
      <c r="Q86" s="2110"/>
      <c r="R86" s="2110"/>
      <c r="S86" s="2110"/>
      <c r="T86" s="2110"/>
      <c r="U86" s="2110"/>
      <c r="V86" s="2110"/>
      <c r="W86" s="2110"/>
      <c r="X86" s="2110"/>
      <c r="Y86" s="2110"/>
      <c r="Z86" s="2110"/>
      <c r="AA86" s="2110"/>
      <c r="AB86" s="2110"/>
      <c r="AC86" s="2110"/>
      <c r="AD86" s="2110"/>
      <c r="AE86" s="2110"/>
      <c r="AF86" s="2110"/>
      <c r="AG86" s="2110"/>
      <c r="AH86" s="2110"/>
      <c r="AI86" s="2110"/>
      <c r="AJ86" s="2110"/>
      <c r="AK86" s="2110"/>
      <c r="AL86" s="2110"/>
      <c r="AM86" s="2110"/>
      <c r="AN86" s="2110"/>
      <c r="AO86" s="2110"/>
      <c r="AP86" s="2110"/>
      <c r="AQ86" s="2110"/>
      <c r="AR86" s="2110"/>
      <c r="AS86" s="2110"/>
      <c r="AT86" s="2110"/>
      <c r="AU86" s="2110"/>
      <c r="AV86" s="2110"/>
      <c r="AW86" s="2110"/>
      <c r="AX86" s="2110"/>
      <c r="AY86" s="2110"/>
      <c r="AZ86" s="2110"/>
      <c r="BA86" s="2110"/>
      <c r="BB86" s="2110"/>
      <c r="BC86" s="2110"/>
      <c r="BD86" s="2110"/>
      <c r="BE86" s="2110"/>
      <c r="BF86" s="2110"/>
      <c r="BG86" s="2110"/>
      <c r="BH86" s="2110"/>
      <c r="BI86" s="2110"/>
      <c r="BJ86" s="2110"/>
      <c r="BK86" s="2110"/>
      <c r="BL86" s="2110"/>
      <c r="BM86" s="2110"/>
      <c r="BN86" s="2110"/>
      <c r="BO86" s="2110"/>
      <c r="BP86" s="2110"/>
      <c r="BQ86" s="2110"/>
      <c r="BR86" s="2110"/>
      <c r="BS86" s="2110"/>
      <c r="BT86" s="2110"/>
      <c r="BU86" s="2110"/>
      <c r="BV86" s="2110"/>
      <c r="BW86" s="2110"/>
      <c r="BX86" s="2110"/>
      <c r="BY86" s="2110"/>
      <c r="BZ86" s="2110"/>
      <c r="CA86" s="2110"/>
      <c r="CB86" s="2110"/>
      <c r="CC86" s="2110"/>
      <c r="CD86" s="2110"/>
      <c r="CE86" s="2110"/>
      <c r="CF86" s="2110"/>
      <c r="CG86" s="2110"/>
      <c r="CH86" s="2110"/>
      <c r="CI86" s="2110"/>
      <c r="CJ86" s="2110"/>
      <c r="CK86" s="2110"/>
      <c r="CL86" s="2110"/>
      <c r="CM86" s="2110"/>
      <c r="CN86" s="2110"/>
      <c r="CO86" s="2110"/>
      <c r="CP86" s="2110"/>
      <c r="CQ86" s="2110"/>
      <c r="CR86" s="2110"/>
      <c r="CS86" s="2110"/>
      <c r="CT86" s="2110"/>
      <c r="CU86" s="2110"/>
      <c r="CV86" s="2110"/>
      <c r="CW86" s="2110"/>
      <c r="CX86" s="2110"/>
      <c r="CY86" s="2110"/>
      <c r="CZ86" s="2110"/>
      <c r="DA86" s="2110"/>
      <c r="DB86" s="2110"/>
      <c r="DC86" s="2110"/>
      <c r="DD86" s="2110"/>
      <c r="DE86" s="2110"/>
      <c r="DF86" s="2110"/>
      <c r="DG86" s="2110"/>
      <c r="DH86" s="2110"/>
      <c r="DI86" s="2110"/>
      <c r="DJ86" s="2110"/>
      <c r="DK86" s="2110"/>
      <c r="DL86" s="2110"/>
      <c r="DM86" s="2110"/>
      <c r="DN86" s="2110"/>
      <c r="DO86" s="2110"/>
      <c r="DP86" s="2110"/>
      <c r="DQ86" s="2110"/>
      <c r="DR86" s="2110"/>
      <c r="DS86" s="2110"/>
      <c r="DT86" s="2110"/>
      <c r="DU86" s="2110"/>
      <c r="DV86" s="2110"/>
      <c r="DW86" s="2110"/>
      <c r="DX86" s="2110"/>
      <c r="DY86" s="2110"/>
      <c r="DZ86" s="2110"/>
      <c r="EA86" s="2110"/>
      <c r="EB86" s="2110"/>
      <c r="EC86" s="2110"/>
      <c r="ED86" s="2110"/>
      <c r="EE86" s="2110"/>
      <c r="EF86" s="2110"/>
      <c r="EG86" s="2110"/>
      <c r="EH86" s="2110"/>
      <c r="EI86" s="2110"/>
      <c r="EJ86" s="2110"/>
      <c r="EK86" s="2110"/>
      <c r="EL86" s="2110"/>
      <c r="EM86" s="2110"/>
      <c r="EN86" s="2110"/>
      <c r="EO86" s="2110"/>
      <c r="EP86" s="2110"/>
      <c r="EQ86" s="2110"/>
      <c r="ER86" s="2110"/>
      <c r="ES86" s="2110"/>
      <c r="ET86" s="2110"/>
      <c r="EU86" s="2110"/>
      <c r="EV86" s="2110"/>
      <c r="EW86" s="2110"/>
      <c r="EX86" s="2110"/>
      <c r="EY86" s="2110"/>
      <c r="EZ86" s="2110"/>
      <c r="FA86" s="2110"/>
      <c r="FB86" s="2110"/>
      <c r="FC86" s="2110"/>
      <c r="FD86" s="2110"/>
      <c r="FE86" s="2110"/>
      <c r="FF86" s="2110"/>
      <c r="FG86" s="2110"/>
      <c r="FH86" s="2110"/>
      <c r="FI86" s="2110"/>
      <c r="FJ86" s="2110"/>
      <c r="FK86" s="2110"/>
      <c r="FL86" s="2110"/>
      <c r="FM86" s="2110"/>
      <c r="FN86" s="2110"/>
      <c r="FO86" s="2110"/>
      <c r="FP86" s="2110"/>
      <c r="FQ86" s="2110"/>
      <c r="FR86" s="2110"/>
      <c r="FS86" s="2110"/>
      <c r="FT86" s="2110"/>
      <c r="FU86" s="2110"/>
      <c r="FV86" s="2110"/>
      <c r="FW86" s="2110"/>
      <c r="FX86" s="2110"/>
      <c r="FY86" s="2110"/>
      <c r="FZ86" s="2110"/>
      <c r="GA86" s="2110"/>
      <c r="GB86" s="2110"/>
      <c r="GC86" s="2110"/>
      <c r="GD86" s="2110"/>
      <c r="GE86" s="2110"/>
      <c r="GF86" s="2110"/>
      <c r="GG86" s="2110"/>
      <c r="GH86" s="2110"/>
      <c r="GI86" s="2110"/>
      <c r="GJ86" s="2110"/>
      <c r="GK86" s="2110"/>
      <c r="GL86" s="2110"/>
      <c r="GM86" s="2110"/>
      <c r="GN86" s="2110"/>
      <c r="GO86" s="2110"/>
      <c r="GP86" s="2110"/>
      <c r="GQ86" s="2110"/>
      <c r="GR86" s="2110"/>
      <c r="GS86" s="2110"/>
      <c r="GT86" s="2110"/>
      <c r="GU86" s="2110"/>
      <c r="GV86" s="2110"/>
      <c r="GW86" s="2110"/>
      <c r="GX86" s="2110"/>
      <c r="GY86" s="2110"/>
      <c r="GZ86" s="2110"/>
      <c r="HA86" s="2110"/>
      <c r="HB86" s="2110"/>
      <c r="HC86" s="2110"/>
      <c r="HD86" s="2110"/>
      <c r="HE86" s="2110"/>
      <c r="HF86" s="2110"/>
      <c r="HG86" s="2110"/>
      <c r="HH86" s="2110"/>
      <c r="HI86" s="2110"/>
      <c r="HJ86" s="2110"/>
      <c r="HK86" s="2110"/>
      <c r="HL86" s="2110"/>
      <c r="HM86" s="2110"/>
      <c r="HN86" s="2110"/>
      <c r="HO86" s="2110"/>
      <c r="HP86" s="2110"/>
      <c r="HQ86" s="2110"/>
      <c r="HR86" s="2110"/>
      <c r="HS86" s="2110"/>
      <c r="HT86" s="2110"/>
      <c r="HU86" s="2110"/>
      <c r="HV86" s="2110"/>
      <c r="HW86" s="2110"/>
      <c r="HX86" s="2110"/>
      <c r="HY86" s="2110"/>
      <c r="HZ86" s="2110"/>
      <c r="IA86" s="2110"/>
      <c r="IB86" s="2110"/>
      <c r="IC86" s="2110"/>
      <c r="ID86" s="2110"/>
      <c r="IE86" s="2110"/>
      <c r="IF86" s="2110"/>
      <c r="IG86" s="2110"/>
      <c r="IH86" s="2110"/>
      <c r="II86" s="2110"/>
      <c r="IJ86" s="2110"/>
      <c r="IK86" s="2110"/>
      <c r="IL86" s="2110"/>
      <c r="IM86" s="2110"/>
      <c r="IN86" s="2110"/>
      <c r="IO86" s="2110"/>
      <c r="IP86" s="2110"/>
      <c r="IQ86" s="2110"/>
      <c r="IR86" s="2110"/>
      <c r="IS86" s="2110"/>
      <c r="IT86" s="2110"/>
      <c r="IU86" s="2110"/>
      <c r="IV86" s="2110"/>
    </row>
  </sheetData>
  <mergeCells count="22">
    <mergeCell ref="B66:G66"/>
    <mergeCell ref="B67:F67"/>
    <mergeCell ref="B71:F71"/>
    <mergeCell ref="A86:I86"/>
    <mergeCell ref="B40:E40"/>
    <mergeCell ref="B43:G43"/>
    <mergeCell ref="B45:G45"/>
    <mergeCell ref="B53:G53"/>
    <mergeCell ref="B59:G59"/>
    <mergeCell ref="B61:D61"/>
    <mergeCell ref="B16:D16"/>
    <mergeCell ref="B18:D18"/>
    <mergeCell ref="B20:G20"/>
    <mergeCell ref="B24:G24"/>
    <mergeCell ref="B26:G26"/>
    <mergeCell ref="B31:G31"/>
    <mergeCell ref="A1:I1"/>
    <mergeCell ref="A2:I2"/>
    <mergeCell ref="A3:I3"/>
    <mergeCell ref="C5:D5"/>
    <mergeCell ref="B6:E6"/>
    <mergeCell ref="B12:E12"/>
  </mergeCells>
  <pageMargins left="0.67" right="0.22" top="0.71" bottom="0.55000000000000004" header="0.33" footer="0.59"/>
  <pageSetup paperSize="9" scale="83" orientation="portrait" r:id="rId1"/>
  <headerFooter>
    <oddHeader>Page &amp;P</oddHead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K77"/>
  <sheetViews>
    <sheetView view="pageBreakPreview" topLeftCell="A67" zoomScale="98" zoomScaleSheetLayoutView="98" workbookViewId="0">
      <selection activeCell="B27" sqref="B27"/>
    </sheetView>
  </sheetViews>
  <sheetFormatPr defaultRowHeight="18.75"/>
  <cols>
    <col min="1" max="1" width="6.109375" style="1535" customWidth="1"/>
    <col min="2" max="2" width="33.109375" style="1405" customWidth="1"/>
    <col min="3" max="3" width="4.33203125" style="2117" customWidth="1"/>
    <col min="4" max="4" width="4.44140625" style="1535" customWidth="1"/>
    <col min="5" max="5" width="8.6640625" style="1405" customWidth="1"/>
    <col min="6" max="6" width="6.77734375" style="1405" customWidth="1"/>
    <col min="7" max="7" width="7.88671875" style="1405" customWidth="1"/>
    <col min="8" max="8" width="9.21875" style="2117" customWidth="1"/>
    <col min="9" max="9" width="4.77734375" style="1850" customWidth="1"/>
    <col min="10" max="10" width="10" style="2117" bestFit="1" customWidth="1"/>
    <col min="11" max="11" width="10.33203125" style="1405" bestFit="1" customWidth="1"/>
    <col min="12" max="256" width="8.88671875" style="1405"/>
    <col min="257" max="257" width="6.109375" style="1405" customWidth="1"/>
    <col min="258" max="258" width="33.109375" style="1405" customWidth="1"/>
    <col min="259" max="259" width="4.33203125" style="1405" customWidth="1"/>
    <col min="260" max="260" width="4.44140625" style="1405" customWidth="1"/>
    <col min="261" max="262" width="6.77734375" style="1405" customWidth="1"/>
    <col min="263" max="263" width="7.88671875" style="1405" customWidth="1"/>
    <col min="264" max="264" width="9.21875" style="1405" customWidth="1"/>
    <col min="265" max="265" width="4.77734375" style="1405" customWidth="1"/>
    <col min="266" max="266" width="10" style="1405" bestFit="1" customWidth="1"/>
    <col min="267" max="267" width="10.33203125" style="1405" bestFit="1" customWidth="1"/>
    <col min="268" max="512" width="8.88671875" style="1405"/>
    <col min="513" max="513" width="6.109375" style="1405" customWidth="1"/>
    <col min="514" max="514" width="33.109375" style="1405" customWidth="1"/>
    <col min="515" max="515" width="4.33203125" style="1405" customWidth="1"/>
    <col min="516" max="516" width="4.44140625" style="1405" customWidth="1"/>
    <col min="517" max="518" width="6.77734375" style="1405" customWidth="1"/>
    <col min="519" max="519" width="7.88671875" style="1405" customWidth="1"/>
    <col min="520" max="520" width="9.21875" style="1405" customWidth="1"/>
    <col min="521" max="521" width="4.77734375" style="1405" customWidth="1"/>
    <col min="522" max="522" width="10" style="1405" bestFit="1" customWidth="1"/>
    <col min="523" max="523" width="10.33203125" style="1405" bestFit="1" customWidth="1"/>
    <col min="524" max="768" width="8.88671875" style="1405"/>
    <col min="769" max="769" width="6.109375" style="1405" customWidth="1"/>
    <col min="770" max="770" width="33.109375" style="1405" customWidth="1"/>
    <col min="771" max="771" width="4.33203125" style="1405" customWidth="1"/>
    <col min="772" max="772" width="4.44140625" style="1405" customWidth="1"/>
    <col min="773" max="774" width="6.77734375" style="1405" customWidth="1"/>
    <col min="775" max="775" width="7.88671875" style="1405" customWidth="1"/>
    <col min="776" max="776" width="9.21875" style="1405" customWidth="1"/>
    <col min="777" max="777" width="4.77734375" style="1405" customWidth="1"/>
    <col min="778" max="778" width="10" style="1405" bestFit="1" customWidth="1"/>
    <col min="779" max="779" width="10.33203125" style="1405" bestFit="1" customWidth="1"/>
    <col min="780" max="1024" width="8.88671875" style="1405"/>
    <col min="1025" max="1025" width="6.109375" style="1405" customWidth="1"/>
    <col min="1026" max="1026" width="33.109375" style="1405" customWidth="1"/>
    <col min="1027" max="1027" width="4.33203125" style="1405" customWidth="1"/>
    <col min="1028" max="1028" width="4.44140625" style="1405" customWidth="1"/>
    <col min="1029" max="1030" width="6.77734375" style="1405" customWidth="1"/>
    <col min="1031" max="1031" width="7.88671875" style="1405" customWidth="1"/>
    <col min="1032" max="1032" width="9.21875" style="1405" customWidth="1"/>
    <col min="1033" max="1033" width="4.77734375" style="1405" customWidth="1"/>
    <col min="1034" max="1034" width="10" style="1405" bestFit="1" customWidth="1"/>
    <col min="1035" max="1035" width="10.33203125" style="1405" bestFit="1" customWidth="1"/>
    <col min="1036" max="1280" width="8.88671875" style="1405"/>
    <col min="1281" max="1281" width="6.109375" style="1405" customWidth="1"/>
    <col min="1282" max="1282" width="33.109375" style="1405" customWidth="1"/>
    <col min="1283" max="1283" width="4.33203125" style="1405" customWidth="1"/>
    <col min="1284" max="1284" width="4.44140625" style="1405" customWidth="1"/>
    <col min="1285" max="1286" width="6.77734375" style="1405" customWidth="1"/>
    <col min="1287" max="1287" width="7.88671875" style="1405" customWidth="1"/>
    <col min="1288" max="1288" width="9.21875" style="1405" customWidth="1"/>
    <col min="1289" max="1289" width="4.77734375" style="1405" customWidth="1"/>
    <col min="1290" max="1290" width="10" style="1405" bestFit="1" customWidth="1"/>
    <col min="1291" max="1291" width="10.33203125" style="1405" bestFit="1" customWidth="1"/>
    <col min="1292" max="1536" width="8.88671875" style="1405"/>
    <col min="1537" max="1537" width="6.109375" style="1405" customWidth="1"/>
    <col min="1538" max="1538" width="33.109375" style="1405" customWidth="1"/>
    <col min="1539" max="1539" width="4.33203125" style="1405" customWidth="1"/>
    <col min="1540" max="1540" width="4.44140625" style="1405" customWidth="1"/>
    <col min="1541" max="1542" width="6.77734375" style="1405" customWidth="1"/>
    <col min="1543" max="1543" width="7.88671875" style="1405" customWidth="1"/>
    <col min="1544" max="1544" width="9.21875" style="1405" customWidth="1"/>
    <col min="1545" max="1545" width="4.77734375" style="1405" customWidth="1"/>
    <col min="1546" max="1546" width="10" style="1405" bestFit="1" customWidth="1"/>
    <col min="1547" max="1547" width="10.33203125" style="1405" bestFit="1" customWidth="1"/>
    <col min="1548" max="1792" width="8.88671875" style="1405"/>
    <col min="1793" max="1793" width="6.109375" style="1405" customWidth="1"/>
    <col min="1794" max="1794" width="33.109375" style="1405" customWidth="1"/>
    <col min="1795" max="1795" width="4.33203125" style="1405" customWidth="1"/>
    <col min="1796" max="1796" width="4.44140625" style="1405" customWidth="1"/>
    <col min="1797" max="1798" width="6.77734375" style="1405" customWidth="1"/>
    <col min="1799" max="1799" width="7.88671875" style="1405" customWidth="1"/>
    <col min="1800" max="1800" width="9.21875" style="1405" customWidth="1"/>
    <col min="1801" max="1801" width="4.77734375" style="1405" customWidth="1"/>
    <col min="1802" max="1802" width="10" style="1405" bestFit="1" customWidth="1"/>
    <col min="1803" max="1803" width="10.33203125" style="1405" bestFit="1" customWidth="1"/>
    <col min="1804" max="2048" width="8.88671875" style="1405"/>
    <col min="2049" max="2049" width="6.109375" style="1405" customWidth="1"/>
    <col min="2050" max="2050" width="33.109375" style="1405" customWidth="1"/>
    <col min="2051" max="2051" width="4.33203125" style="1405" customWidth="1"/>
    <col min="2052" max="2052" width="4.44140625" style="1405" customWidth="1"/>
    <col min="2053" max="2054" width="6.77734375" style="1405" customWidth="1"/>
    <col min="2055" max="2055" width="7.88671875" style="1405" customWidth="1"/>
    <col min="2056" max="2056" width="9.21875" style="1405" customWidth="1"/>
    <col min="2057" max="2057" width="4.77734375" style="1405" customWidth="1"/>
    <col min="2058" max="2058" width="10" style="1405" bestFit="1" customWidth="1"/>
    <col min="2059" max="2059" width="10.33203125" style="1405" bestFit="1" customWidth="1"/>
    <col min="2060" max="2304" width="8.88671875" style="1405"/>
    <col min="2305" max="2305" width="6.109375" style="1405" customWidth="1"/>
    <col min="2306" max="2306" width="33.109375" style="1405" customWidth="1"/>
    <col min="2307" max="2307" width="4.33203125" style="1405" customWidth="1"/>
    <col min="2308" max="2308" width="4.44140625" style="1405" customWidth="1"/>
    <col min="2309" max="2310" width="6.77734375" style="1405" customWidth="1"/>
    <col min="2311" max="2311" width="7.88671875" style="1405" customWidth="1"/>
    <col min="2312" max="2312" width="9.21875" style="1405" customWidth="1"/>
    <col min="2313" max="2313" width="4.77734375" style="1405" customWidth="1"/>
    <col min="2314" max="2314" width="10" style="1405" bestFit="1" customWidth="1"/>
    <col min="2315" max="2315" width="10.33203125" style="1405" bestFit="1" customWidth="1"/>
    <col min="2316" max="2560" width="8.88671875" style="1405"/>
    <col min="2561" max="2561" width="6.109375" style="1405" customWidth="1"/>
    <col min="2562" max="2562" width="33.109375" style="1405" customWidth="1"/>
    <col min="2563" max="2563" width="4.33203125" style="1405" customWidth="1"/>
    <col min="2564" max="2564" width="4.44140625" style="1405" customWidth="1"/>
    <col min="2565" max="2566" width="6.77734375" style="1405" customWidth="1"/>
    <col min="2567" max="2567" width="7.88671875" style="1405" customWidth="1"/>
    <col min="2568" max="2568" width="9.21875" style="1405" customWidth="1"/>
    <col min="2569" max="2569" width="4.77734375" style="1405" customWidth="1"/>
    <col min="2570" max="2570" width="10" style="1405" bestFit="1" customWidth="1"/>
    <col min="2571" max="2571" width="10.33203125" style="1405" bestFit="1" customWidth="1"/>
    <col min="2572" max="2816" width="8.88671875" style="1405"/>
    <col min="2817" max="2817" width="6.109375" style="1405" customWidth="1"/>
    <col min="2818" max="2818" width="33.109375" style="1405" customWidth="1"/>
    <col min="2819" max="2819" width="4.33203125" style="1405" customWidth="1"/>
    <col min="2820" max="2820" width="4.44140625" style="1405" customWidth="1"/>
    <col min="2821" max="2822" width="6.77734375" style="1405" customWidth="1"/>
    <col min="2823" max="2823" width="7.88671875" style="1405" customWidth="1"/>
    <col min="2824" max="2824" width="9.21875" style="1405" customWidth="1"/>
    <col min="2825" max="2825" width="4.77734375" style="1405" customWidth="1"/>
    <col min="2826" max="2826" width="10" style="1405" bestFit="1" customWidth="1"/>
    <col min="2827" max="2827" width="10.33203125" style="1405" bestFit="1" customWidth="1"/>
    <col min="2828" max="3072" width="8.88671875" style="1405"/>
    <col min="3073" max="3073" width="6.109375" style="1405" customWidth="1"/>
    <col min="3074" max="3074" width="33.109375" style="1405" customWidth="1"/>
    <col min="3075" max="3075" width="4.33203125" style="1405" customWidth="1"/>
    <col min="3076" max="3076" width="4.44140625" style="1405" customWidth="1"/>
    <col min="3077" max="3078" width="6.77734375" style="1405" customWidth="1"/>
    <col min="3079" max="3079" width="7.88671875" style="1405" customWidth="1"/>
    <col min="3080" max="3080" width="9.21875" style="1405" customWidth="1"/>
    <col min="3081" max="3081" width="4.77734375" style="1405" customWidth="1"/>
    <col min="3082" max="3082" width="10" style="1405" bestFit="1" customWidth="1"/>
    <col min="3083" max="3083" width="10.33203125" style="1405" bestFit="1" customWidth="1"/>
    <col min="3084" max="3328" width="8.88671875" style="1405"/>
    <col min="3329" max="3329" width="6.109375" style="1405" customWidth="1"/>
    <col min="3330" max="3330" width="33.109375" style="1405" customWidth="1"/>
    <col min="3331" max="3331" width="4.33203125" style="1405" customWidth="1"/>
    <col min="3332" max="3332" width="4.44140625" style="1405" customWidth="1"/>
    <col min="3333" max="3334" width="6.77734375" style="1405" customWidth="1"/>
    <col min="3335" max="3335" width="7.88671875" style="1405" customWidth="1"/>
    <col min="3336" max="3336" width="9.21875" style="1405" customWidth="1"/>
    <col min="3337" max="3337" width="4.77734375" style="1405" customWidth="1"/>
    <col min="3338" max="3338" width="10" style="1405" bestFit="1" customWidth="1"/>
    <col min="3339" max="3339" width="10.33203125" style="1405" bestFit="1" customWidth="1"/>
    <col min="3340" max="3584" width="8.88671875" style="1405"/>
    <col min="3585" max="3585" width="6.109375" style="1405" customWidth="1"/>
    <col min="3586" max="3586" width="33.109375" style="1405" customWidth="1"/>
    <col min="3587" max="3587" width="4.33203125" style="1405" customWidth="1"/>
    <col min="3588" max="3588" width="4.44140625" style="1405" customWidth="1"/>
    <col min="3589" max="3590" width="6.77734375" style="1405" customWidth="1"/>
    <col min="3591" max="3591" width="7.88671875" style="1405" customWidth="1"/>
    <col min="3592" max="3592" width="9.21875" style="1405" customWidth="1"/>
    <col min="3593" max="3593" width="4.77734375" style="1405" customWidth="1"/>
    <col min="3594" max="3594" width="10" style="1405" bestFit="1" customWidth="1"/>
    <col min="3595" max="3595" width="10.33203125" style="1405" bestFit="1" customWidth="1"/>
    <col min="3596" max="3840" width="8.88671875" style="1405"/>
    <col min="3841" max="3841" width="6.109375" style="1405" customWidth="1"/>
    <col min="3842" max="3842" width="33.109375" style="1405" customWidth="1"/>
    <col min="3843" max="3843" width="4.33203125" style="1405" customWidth="1"/>
    <col min="3844" max="3844" width="4.44140625" style="1405" customWidth="1"/>
    <col min="3845" max="3846" width="6.77734375" style="1405" customWidth="1"/>
    <col min="3847" max="3847" width="7.88671875" style="1405" customWidth="1"/>
    <col min="3848" max="3848" width="9.21875" style="1405" customWidth="1"/>
    <col min="3849" max="3849" width="4.77734375" style="1405" customWidth="1"/>
    <col min="3850" max="3850" width="10" style="1405" bestFit="1" customWidth="1"/>
    <col min="3851" max="3851" width="10.33203125" style="1405" bestFit="1" customWidth="1"/>
    <col min="3852" max="4096" width="8.88671875" style="1405"/>
    <col min="4097" max="4097" width="6.109375" style="1405" customWidth="1"/>
    <col min="4098" max="4098" width="33.109375" style="1405" customWidth="1"/>
    <col min="4099" max="4099" width="4.33203125" style="1405" customWidth="1"/>
    <col min="4100" max="4100" width="4.44140625" style="1405" customWidth="1"/>
    <col min="4101" max="4102" width="6.77734375" style="1405" customWidth="1"/>
    <col min="4103" max="4103" width="7.88671875" style="1405" customWidth="1"/>
    <col min="4104" max="4104" width="9.21875" style="1405" customWidth="1"/>
    <col min="4105" max="4105" width="4.77734375" style="1405" customWidth="1"/>
    <col min="4106" max="4106" width="10" style="1405" bestFit="1" customWidth="1"/>
    <col min="4107" max="4107" width="10.33203125" style="1405" bestFit="1" customWidth="1"/>
    <col min="4108" max="4352" width="8.88671875" style="1405"/>
    <col min="4353" max="4353" width="6.109375" style="1405" customWidth="1"/>
    <col min="4354" max="4354" width="33.109375" style="1405" customWidth="1"/>
    <col min="4355" max="4355" width="4.33203125" style="1405" customWidth="1"/>
    <col min="4356" max="4356" width="4.44140625" style="1405" customWidth="1"/>
    <col min="4357" max="4358" width="6.77734375" style="1405" customWidth="1"/>
    <col min="4359" max="4359" width="7.88671875" style="1405" customWidth="1"/>
    <col min="4360" max="4360" width="9.21875" style="1405" customWidth="1"/>
    <col min="4361" max="4361" width="4.77734375" style="1405" customWidth="1"/>
    <col min="4362" max="4362" width="10" style="1405" bestFit="1" customWidth="1"/>
    <col min="4363" max="4363" width="10.33203125" style="1405" bestFit="1" customWidth="1"/>
    <col min="4364" max="4608" width="8.88671875" style="1405"/>
    <col min="4609" max="4609" width="6.109375" style="1405" customWidth="1"/>
    <col min="4610" max="4610" width="33.109375" style="1405" customWidth="1"/>
    <col min="4611" max="4611" width="4.33203125" style="1405" customWidth="1"/>
    <col min="4612" max="4612" width="4.44140625" style="1405" customWidth="1"/>
    <col min="4613" max="4614" width="6.77734375" style="1405" customWidth="1"/>
    <col min="4615" max="4615" width="7.88671875" style="1405" customWidth="1"/>
    <col min="4616" max="4616" width="9.21875" style="1405" customWidth="1"/>
    <col min="4617" max="4617" width="4.77734375" style="1405" customWidth="1"/>
    <col min="4618" max="4618" width="10" style="1405" bestFit="1" customWidth="1"/>
    <col min="4619" max="4619" width="10.33203125" style="1405" bestFit="1" customWidth="1"/>
    <col min="4620" max="4864" width="8.88671875" style="1405"/>
    <col min="4865" max="4865" width="6.109375" style="1405" customWidth="1"/>
    <col min="4866" max="4866" width="33.109375" style="1405" customWidth="1"/>
    <col min="4867" max="4867" width="4.33203125" style="1405" customWidth="1"/>
    <col min="4868" max="4868" width="4.44140625" style="1405" customWidth="1"/>
    <col min="4869" max="4870" width="6.77734375" style="1405" customWidth="1"/>
    <col min="4871" max="4871" width="7.88671875" style="1405" customWidth="1"/>
    <col min="4872" max="4872" width="9.21875" style="1405" customWidth="1"/>
    <col min="4873" max="4873" width="4.77734375" style="1405" customWidth="1"/>
    <col min="4874" max="4874" width="10" style="1405" bestFit="1" customWidth="1"/>
    <col min="4875" max="4875" width="10.33203125" style="1405" bestFit="1" customWidth="1"/>
    <col min="4876" max="5120" width="8.88671875" style="1405"/>
    <col min="5121" max="5121" width="6.109375" style="1405" customWidth="1"/>
    <col min="5122" max="5122" width="33.109375" style="1405" customWidth="1"/>
    <col min="5123" max="5123" width="4.33203125" style="1405" customWidth="1"/>
    <col min="5124" max="5124" width="4.44140625" style="1405" customWidth="1"/>
    <col min="5125" max="5126" width="6.77734375" style="1405" customWidth="1"/>
    <col min="5127" max="5127" width="7.88671875" style="1405" customWidth="1"/>
    <col min="5128" max="5128" width="9.21875" style="1405" customWidth="1"/>
    <col min="5129" max="5129" width="4.77734375" style="1405" customWidth="1"/>
    <col min="5130" max="5130" width="10" style="1405" bestFit="1" customWidth="1"/>
    <col min="5131" max="5131" width="10.33203125" style="1405" bestFit="1" customWidth="1"/>
    <col min="5132" max="5376" width="8.88671875" style="1405"/>
    <col min="5377" max="5377" width="6.109375" style="1405" customWidth="1"/>
    <col min="5378" max="5378" width="33.109375" style="1405" customWidth="1"/>
    <col min="5379" max="5379" width="4.33203125" style="1405" customWidth="1"/>
    <col min="5380" max="5380" width="4.44140625" style="1405" customWidth="1"/>
    <col min="5381" max="5382" width="6.77734375" style="1405" customWidth="1"/>
    <col min="5383" max="5383" width="7.88671875" style="1405" customWidth="1"/>
    <col min="5384" max="5384" width="9.21875" style="1405" customWidth="1"/>
    <col min="5385" max="5385" width="4.77734375" style="1405" customWidth="1"/>
    <col min="5386" max="5386" width="10" style="1405" bestFit="1" customWidth="1"/>
    <col min="5387" max="5387" width="10.33203125" style="1405" bestFit="1" customWidth="1"/>
    <col min="5388" max="5632" width="8.88671875" style="1405"/>
    <col min="5633" max="5633" width="6.109375" style="1405" customWidth="1"/>
    <col min="5634" max="5634" width="33.109375" style="1405" customWidth="1"/>
    <col min="5635" max="5635" width="4.33203125" style="1405" customWidth="1"/>
    <col min="5636" max="5636" width="4.44140625" style="1405" customWidth="1"/>
    <col min="5637" max="5638" width="6.77734375" style="1405" customWidth="1"/>
    <col min="5639" max="5639" width="7.88671875" style="1405" customWidth="1"/>
    <col min="5640" max="5640" width="9.21875" style="1405" customWidth="1"/>
    <col min="5641" max="5641" width="4.77734375" style="1405" customWidth="1"/>
    <col min="5642" max="5642" width="10" style="1405" bestFit="1" customWidth="1"/>
    <col min="5643" max="5643" width="10.33203125" style="1405" bestFit="1" customWidth="1"/>
    <col min="5644" max="5888" width="8.88671875" style="1405"/>
    <col min="5889" max="5889" width="6.109375" style="1405" customWidth="1"/>
    <col min="5890" max="5890" width="33.109375" style="1405" customWidth="1"/>
    <col min="5891" max="5891" width="4.33203125" style="1405" customWidth="1"/>
    <col min="5892" max="5892" width="4.44140625" style="1405" customWidth="1"/>
    <col min="5893" max="5894" width="6.77734375" style="1405" customWidth="1"/>
    <col min="5895" max="5895" width="7.88671875" style="1405" customWidth="1"/>
    <col min="5896" max="5896" width="9.21875" style="1405" customWidth="1"/>
    <col min="5897" max="5897" width="4.77734375" style="1405" customWidth="1"/>
    <col min="5898" max="5898" width="10" style="1405" bestFit="1" customWidth="1"/>
    <col min="5899" max="5899" width="10.33203125" style="1405" bestFit="1" customWidth="1"/>
    <col min="5900" max="6144" width="8.88671875" style="1405"/>
    <col min="6145" max="6145" width="6.109375" style="1405" customWidth="1"/>
    <col min="6146" max="6146" width="33.109375" style="1405" customWidth="1"/>
    <col min="6147" max="6147" width="4.33203125" style="1405" customWidth="1"/>
    <col min="6148" max="6148" width="4.44140625" style="1405" customWidth="1"/>
    <col min="6149" max="6150" width="6.77734375" style="1405" customWidth="1"/>
    <col min="6151" max="6151" width="7.88671875" style="1405" customWidth="1"/>
    <col min="6152" max="6152" width="9.21875" style="1405" customWidth="1"/>
    <col min="6153" max="6153" width="4.77734375" style="1405" customWidth="1"/>
    <col min="6154" max="6154" width="10" style="1405" bestFit="1" customWidth="1"/>
    <col min="6155" max="6155" width="10.33203125" style="1405" bestFit="1" customWidth="1"/>
    <col min="6156" max="6400" width="8.88671875" style="1405"/>
    <col min="6401" max="6401" width="6.109375" style="1405" customWidth="1"/>
    <col min="6402" max="6402" width="33.109375" style="1405" customWidth="1"/>
    <col min="6403" max="6403" width="4.33203125" style="1405" customWidth="1"/>
    <col min="6404" max="6404" width="4.44140625" style="1405" customWidth="1"/>
    <col min="6405" max="6406" width="6.77734375" style="1405" customWidth="1"/>
    <col min="6407" max="6407" width="7.88671875" style="1405" customWidth="1"/>
    <col min="6408" max="6408" width="9.21875" style="1405" customWidth="1"/>
    <col min="6409" max="6409" width="4.77734375" style="1405" customWidth="1"/>
    <col min="6410" max="6410" width="10" style="1405" bestFit="1" customWidth="1"/>
    <col min="6411" max="6411" width="10.33203125" style="1405" bestFit="1" customWidth="1"/>
    <col min="6412" max="6656" width="8.88671875" style="1405"/>
    <col min="6657" max="6657" width="6.109375" style="1405" customWidth="1"/>
    <col min="6658" max="6658" width="33.109375" style="1405" customWidth="1"/>
    <col min="6659" max="6659" width="4.33203125" style="1405" customWidth="1"/>
    <col min="6660" max="6660" width="4.44140625" style="1405" customWidth="1"/>
    <col min="6661" max="6662" width="6.77734375" style="1405" customWidth="1"/>
    <col min="6663" max="6663" width="7.88671875" style="1405" customWidth="1"/>
    <col min="6664" max="6664" width="9.21875" style="1405" customWidth="1"/>
    <col min="6665" max="6665" width="4.77734375" style="1405" customWidth="1"/>
    <col min="6666" max="6666" width="10" style="1405" bestFit="1" customWidth="1"/>
    <col min="6667" max="6667" width="10.33203125" style="1405" bestFit="1" customWidth="1"/>
    <col min="6668" max="6912" width="8.88671875" style="1405"/>
    <col min="6913" max="6913" width="6.109375" style="1405" customWidth="1"/>
    <col min="6914" max="6914" width="33.109375" style="1405" customWidth="1"/>
    <col min="6915" max="6915" width="4.33203125" style="1405" customWidth="1"/>
    <col min="6916" max="6916" width="4.44140625" style="1405" customWidth="1"/>
    <col min="6917" max="6918" width="6.77734375" style="1405" customWidth="1"/>
    <col min="6919" max="6919" width="7.88671875" style="1405" customWidth="1"/>
    <col min="6920" max="6920" width="9.21875" style="1405" customWidth="1"/>
    <col min="6921" max="6921" width="4.77734375" style="1405" customWidth="1"/>
    <col min="6922" max="6922" width="10" style="1405" bestFit="1" customWidth="1"/>
    <col min="6923" max="6923" width="10.33203125" style="1405" bestFit="1" customWidth="1"/>
    <col min="6924" max="7168" width="8.88671875" style="1405"/>
    <col min="7169" max="7169" width="6.109375" style="1405" customWidth="1"/>
    <col min="7170" max="7170" width="33.109375" style="1405" customWidth="1"/>
    <col min="7171" max="7171" width="4.33203125" style="1405" customWidth="1"/>
    <col min="7172" max="7172" width="4.44140625" style="1405" customWidth="1"/>
    <col min="7173" max="7174" width="6.77734375" style="1405" customWidth="1"/>
    <col min="7175" max="7175" width="7.88671875" style="1405" customWidth="1"/>
    <col min="7176" max="7176" width="9.21875" style="1405" customWidth="1"/>
    <col min="7177" max="7177" width="4.77734375" style="1405" customWidth="1"/>
    <col min="7178" max="7178" width="10" style="1405" bestFit="1" customWidth="1"/>
    <col min="7179" max="7179" width="10.33203125" style="1405" bestFit="1" customWidth="1"/>
    <col min="7180" max="7424" width="8.88671875" style="1405"/>
    <col min="7425" max="7425" width="6.109375" style="1405" customWidth="1"/>
    <col min="7426" max="7426" width="33.109375" style="1405" customWidth="1"/>
    <col min="7427" max="7427" width="4.33203125" style="1405" customWidth="1"/>
    <col min="7428" max="7428" width="4.44140625" style="1405" customWidth="1"/>
    <col min="7429" max="7430" width="6.77734375" style="1405" customWidth="1"/>
    <col min="7431" max="7431" width="7.88671875" style="1405" customWidth="1"/>
    <col min="7432" max="7432" width="9.21875" style="1405" customWidth="1"/>
    <col min="7433" max="7433" width="4.77734375" style="1405" customWidth="1"/>
    <col min="7434" max="7434" width="10" style="1405" bestFit="1" customWidth="1"/>
    <col min="7435" max="7435" width="10.33203125" style="1405" bestFit="1" customWidth="1"/>
    <col min="7436" max="7680" width="8.88671875" style="1405"/>
    <col min="7681" max="7681" width="6.109375" style="1405" customWidth="1"/>
    <col min="7682" max="7682" width="33.109375" style="1405" customWidth="1"/>
    <col min="7683" max="7683" width="4.33203125" style="1405" customWidth="1"/>
    <col min="7684" max="7684" width="4.44140625" style="1405" customWidth="1"/>
    <col min="7685" max="7686" width="6.77734375" style="1405" customWidth="1"/>
    <col min="7687" max="7687" width="7.88671875" style="1405" customWidth="1"/>
    <col min="7688" max="7688" width="9.21875" style="1405" customWidth="1"/>
    <col min="7689" max="7689" width="4.77734375" style="1405" customWidth="1"/>
    <col min="7690" max="7690" width="10" style="1405" bestFit="1" customWidth="1"/>
    <col min="7691" max="7691" width="10.33203125" style="1405" bestFit="1" customWidth="1"/>
    <col min="7692" max="7936" width="8.88671875" style="1405"/>
    <col min="7937" max="7937" width="6.109375" style="1405" customWidth="1"/>
    <col min="7938" max="7938" width="33.109375" style="1405" customWidth="1"/>
    <col min="7939" max="7939" width="4.33203125" style="1405" customWidth="1"/>
    <col min="7940" max="7940" width="4.44140625" style="1405" customWidth="1"/>
    <col min="7941" max="7942" width="6.77734375" style="1405" customWidth="1"/>
    <col min="7943" max="7943" width="7.88671875" style="1405" customWidth="1"/>
    <col min="7944" max="7944" width="9.21875" style="1405" customWidth="1"/>
    <col min="7945" max="7945" width="4.77734375" style="1405" customWidth="1"/>
    <col min="7946" max="7946" width="10" style="1405" bestFit="1" customWidth="1"/>
    <col min="7947" max="7947" width="10.33203125" style="1405" bestFit="1" customWidth="1"/>
    <col min="7948" max="8192" width="8.88671875" style="1405"/>
    <col min="8193" max="8193" width="6.109375" style="1405" customWidth="1"/>
    <col min="8194" max="8194" width="33.109375" style="1405" customWidth="1"/>
    <col min="8195" max="8195" width="4.33203125" style="1405" customWidth="1"/>
    <col min="8196" max="8196" width="4.44140625" style="1405" customWidth="1"/>
    <col min="8197" max="8198" width="6.77734375" style="1405" customWidth="1"/>
    <col min="8199" max="8199" width="7.88671875" style="1405" customWidth="1"/>
    <col min="8200" max="8200" width="9.21875" style="1405" customWidth="1"/>
    <col min="8201" max="8201" width="4.77734375" style="1405" customWidth="1"/>
    <col min="8202" max="8202" width="10" style="1405" bestFit="1" customWidth="1"/>
    <col min="8203" max="8203" width="10.33203125" style="1405" bestFit="1" customWidth="1"/>
    <col min="8204" max="8448" width="8.88671875" style="1405"/>
    <col min="8449" max="8449" width="6.109375" style="1405" customWidth="1"/>
    <col min="8450" max="8450" width="33.109375" style="1405" customWidth="1"/>
    <col min="8451" max="8451" width="4.33203125" style="1405" customWidth="1"/>
    <col min="8452" max="8452" width="4.44140625" style="1405" customWidth="1"/>
    <col min="8453" max="8454" width="6.77734375" style="1405" customWidth="1"/>
    <col min="8455" max="8455" width="7.88671875" style="1405" customWidth="1"/>
    <col min="8456" max="8456" width="9.21875" style="1405" customWidth="1"/>
    <col min="8457" max="8457" width="4.77734375" style="1405" customWidth="1"/>
    <col min="8458" max="8458" width="10" style="1405" bestFit="1" customWidth="1"/>
    <col min="8459" max="8459" width="10.33203125" style="1405" bestFit="1" customWidth="1"/>
    <col min="8460" max="8704" width="8.88671875" style="1405"/>
    <col min="8705" max="8705" width="6.109375" style="1405" customWidth="1"/>
    <col min="8706" max="8706" width="33.109375" style="1405" customWidth="1"/>
    <col min="8707" max="8707" width="4.33203125" style="1405" customWidth="1"/>
    <col min="8708" max="8708" width="4.44140625" style="1405" customWidth="1"/>
    <col min="8709" max="8710" width="6.77734375" style="1405" customWidth="1"/>
    <col min="8711" max="8711" width="7.88671875" style="1405" customWidth="1"/>
    <col min="8712" max="8712" width="9.21875" style="1405" customWidth="1"/>
    <col min="8713" max="8713" width="4.77734375" style="1405" customWidth="1"/>
    <col min="8714" max="8714" width="10" style="1405" bestFit="1" customWidth="1"/>
    <col min="8715" max="8715" width="10.33203125" style="1405" bestFit="1" customWidth="1"/>
    <col min="8716" max="8960" width="8.88671875" style="1405"/>
    <col min="8961" max="8961" width="6.109375" style="1405" customWidth="1"/>
    <col min="8962" max="8962" width="33.109375" style="1405" customWidth="1"/>
    <col min="8963" max="8963" width="4.33203125" style="1405" customWidth="1"/>
    <col min="8964" max="8964" width="4.44140625" style="1405" customWidth="1"/>
    <col min="8965" max="8966" width="6.77734375" style="1405" customWidth="1"/>
    <col min="8967" max="8967" width="7.88671875" style="1405" customWidth="1"/>
    <col min="8968" max="8968" width="9.21875" style="1405" customWidth="1"/>
    <col min="8969" max="8969" width="4.77734375" style="1405" customWidth="1"/>
    <col min="8970" max="8970" width="10" style="1405" bestFit="1" customWidth="1"/>
    <col min="8971" max="8971" width="10.33203125" style="1405" bestFit="1" customWidth="1"/>
    <col min="8972" max="9216" width="8.88671875" style="1405"/>
    <col min="9217" max="9217" width="6.109375" style="1405" customWidth="1"/>
    <col min="9218" max="9218" width="33.109375" style="1405" customWidth="1"/>
    <col min="9219" max="9219" width="4.33203125" style="1405" customWidth="1"/>
    <col min="9220" max="9220" width="4.44140625" style="1405" customWidth="1"/>
    <col min="9221" max="9222" width="6.77734375" style="1405" customWidth="1"/>
    <col min="9223" max="9223" width="7.88671875" style="1405" customWidth="1"/>
    <col min="9224" max="9224" width="9.21875" style="1405" customWidth="1"/>
    <col min="9225" max="9225" width="4.77734375" style="1405" customWidth="1"/>
    <col min="9226" max="9226" width="10" style="1405" bestFit="1" customWidth="1"/>
    <col min="9227" max="9227" width="10.33203125" style="1405" bestFit="1" customWidth="1"/>
    <col min="9228" max="9472" width="8.88671875" style="1405"/>
    <col min="9473" max="9473" width="6.109375" style="1405" customWidth="1"/>
    <col min="9474" max="9474" width="33.109375" style="1405" customWidth="1"/>
    <col min="9475" max="9475" width="4.33203125" style="1405" customWidth="1"/>
    <col min="9476" max="9476" width="4.44140625" style="1405" customWidth="1"/>
    <col min="9477" max="9478" width="6.77734375" style="1405" customWidth="1"/>
    <col min="9479" max="9479" width="7.88671875" style="1405" customWidth="1"/>
    <col min="9480" max="9480" width="9.21875" style="1405" customWidth="1"/>
    <col min="9481" max="9481" width="4.77734375" style="1405" customWidth="1"/>
    <col min="9482" max="9482" width="10" style="1405" bestFit="1" customWidth="1"/>
    <col min="9483" max="9483" width="10.33203125" style="1405" bestFit="1" customWidth="1"/>
    <col min="9484" max="9728" width="8.88671875" style="1405"/>
    <col min="9729" max="9729" width="6.109375" style="1405" customWidth="1"/>
    <col min="9730" max="9730" width="33.109375" style="1405" customWidth="1"/>
    <col min="9731" max="9731" width="4.33203125" style="1405" customWidth="1"/>
    <col min="9732" max="9732" width="4.44140625" style="1405" customWidth="1"/>
    <col min="9733" max="9734" width="6.77734375" style="1405" customWidth="1"/>
    <col min="9735" max="9735" width="7.88671875" style="1405" customWidth="1"/>
    <col min="9736" max="9736" width="9.21875" style="1405" customWidth="1"/>
    <col min="9737" max="9737" width="4.77734375" style="1405" customWidth="1"/>
    <col min="9738" max="9738" width="10" style="1405" bestFit="1" customWidth="1"/>
    <col min="9739" max="9739" width="10.33203125" style="1405" bestFit="1" customWidth="1"/>
    <col min="9740" max="9984" width="8.88671875" style="1405"/>
    <col min="9985" max="9985" width="6.109375" style="1405" customWidth="1"/>
    <col min="9986" max="9986" width="33.109375" style="1405" customWidth="1"/>
    <col min="9987" max="9987" width="4.33203125" style="1405" customWidth="1"/>
    <col min="9988" max="9988" width="4.44140625" style="1405" customWidth="1"/>
    <col min="9989" max="9990" width="6.77734375" style="1405" customWidth="1"/>
    <col min="9991" max="9991" width="7.88671875" style="1405" customWidth="1"/>
    <col min="9992" max="9992" width="9.21875" style="1405" customWidth="1"/>
    <col min="9993" max="9993" width="4.77734375" style="1405" customWidth="1"/>
    <col min="9994" max="9994" width="10" style="1405" bestFit="1" customWidth="1"/>
    <col min="9995" max="9995" width="10.33203125" style="1405" bestFit="1" customWidth="1"/>
    <col min="9996" max="10240" width="8.88671875" style="1405"/>
    <col min="10241" max="10241" width="6.109375" style="1405" customWidth="1"/>
    <col min="10242" max="10242" width="33.109375" style="1405" customWidth="1"/>
    <col min="10243" max="10243" width="4.33203125" style="1405" customWidth="1"/>
    <col min="10244" max="10244" width="4.44140625" style="1405" customWidth="1"/>
    <col min="10245" max="10246" width="6.77734375" style="1405" customWidth="1"/>
    <col min="10247" max="10247" width="7.88671875" style="1405" customWidth="1"/>
    <col min="10248" max="10248" width="9.21875" style="1405" customWidth="1"/>
    <col min="10249" max="10249" width="4.77734375" style="1405" customWidth="1"/>
    <col min="10250" max="10250" width="10" style="1405" bestFit="1" customWidth="1"/>
    <col min="10251" max="10251" width="10.33203125" style="1405" bestFit="1" customWidth="1"/>
    <col min="10252" max="10496" width="8.88671875" style="1405"/>
    <col min="10497" max="10497" width="6.109375" style="1405" customWidth="1"/>
    <col min="10498" max="10498" width="33.109375" style="1405" customWidth="1"/>
    <col min="10499" max="10499" width="4.33203125" style="1405" customWidth="1"/>
    <col min="10500" max="10500" width="4.44140625" style="1405" customWidth="1"/>
    <col min="10501" max="10502" width="6.77734375" style="1405" customWidth="1"/>
    <col min="10503" max="10503" width="7.88671875" style="1405" customWidth="1"/>
    <col min="10504" max="10504" width="9.21875" style="1405" customWidth="1"/>
    <col min="10505" max="10505" width="4.77734375" style="1405" customWidth="1"/>
    <col min="10506" max="10506" width="10" style="1405" bestFit="1" customWidth="1"/>
    <col min="10507" max="10507" width="10.33203125" style="1405" bestFit="1" customWidth="1"/>
    <col min="10508" max="10752" width="8.88671875" style="1405"/>
    <col min="10753" max="10753" width="6.109375" style="1405" customWidth="1"/>
    <col min="10754" max="10754" width="33.109375" style="1405" customWidth="1"/>
    <col min="10755" max="10755" width="4.33203125" style="1405" customWidth="1"/>
    <col min="10756" max="10756" width="4.44140625" style="1405" customWidth="1"/>
    <col min="10757" max="10758" width="6.77734375" style="1405" customWidth="1"/>
    <col min="10759" max="10759" width="7.88671875" style="1405" customWidth="1"/>
    <col min="10760" max="10760" width="9.21875" style="1405" customWidth="1"/>
    <col min="10761" max="10761" width="4.77734375" style="1405" customWidth="1"/>
    <col min="10762" max="10762" width="10" style="1405" bestFit="1" customWidth="1"/>
    <col min="10763" max="10763" width="10.33203125" style="1405" bestFit="1" customWidth="1"/>
    <col min="10764" max="11008" width="8.88671875" style="1405"/>
    <col min="11009" max="11009" width="6.109375" style="1405" customWidth="1"/>
    <col min="11010" max="11010" width="33.109375" style="1405" customWidth="1"/>
    <col min="11011" max="11011" width="4.33203125" style="1405" customWidth="1"/>
    <col min="11012" max="11012" width="4.44140625" style="1405" customWidth="1"/>
    <col min="11013" max="11014" width="6.77734375" style="1405" customWidth="1"/>
    <col min="11015" max="11015" width="7.88671875" style="1405" customWidth="1"/>
    <col min="11016" max="11016" width="9.21875" style="1405" customWidth="1"/>
    <col min="11017" max="11017" width="4.77734375" style="1405" customWidth="1"/>
    <col min="11018" max="11018" width="10" style="1405" bestFit="1" customWidth="1"/>
    <col min="11019" max="11019" width="10.33203125" style="1405" bestFit="1" customWidth="1"/>
    <col min="11020" max="11264" width="8.88671875" style="1405"/>
    <col min="11265" max="11265" width="6.109375" style="1405" customWidth="1"/>
    <col min="11266" max="11266" width="33.109375" style="1405" customWidth="1"/>
    <col min="11267" max="11267" width="4.33203125" style="1405" customWidth="1"/>
    <col min="11268" max="11268" width="4.44140625" style="1405" customWidth="1"/>
    <col min="11269" max="11270" width="6.77734375" style="1405" customWidth="1"/>
    <col min="11271" max="11271" width="7.88671875" style="1405" customWidth="1"/>
    <col min="11272" max="11272" width="9.21875" style="1405" customWidth="1"/>
    <col min="11273" max="11273" width="4.77734375" style="1405" customWidth="1"/>
    <col min="11274" max="11274" width="10" style="1405" bestFit="1" customWidth="1"/>
    <col min="11275" max="11275" width="10.33203125" style="1405" bestFit="1" customWidth="1"/>
    <col min="11276" max="11520" width="8.88671875" style="1405"/>
    <col min="11521" max="11521" width="6.109375" style="1405" customWidth="1"/>
    <col min="11522" max="11522" width="33.109375" style="1405" customWidth="1"/>
    <col min="11523" max="11523" width="4.33203125" style="1405" customWidth="1"/>
    <col min="11524" max="11524" width="4.44140625" style="1405" customWidth="1"/>
    <col min="11525" max="11526" width="6.77734375" style="1405" customWidth="1"/>
    <col min="11527" max="11527" width="7.88671875" style="1405" customWidth="1"/>
    <col min="11528" max="11528" width="9.21875" style="1405" customWidth="1"/>
    <col min="11529" max="11529" width="4.77734375" style="1405" customWidth="1"/>
    <col min="11530" max="11530" width="10" style="1405" bestFit="1" customWidth="1"/>
    <col min="11531" max="11531" width="10.33203125" style="1405" bestFit="1" customWidth="1"/>
    <col min="11532" max="11776" width="8.88671875" style="1405"/>
    <col min="11777" max="11777" width="6.109375" style="1405" customWidth="1"/>
    <col min="11778" max="11778" width="33.109375" style="1405" customWidth="1"/>
    <col min="11779" max="11779" width="4.33203125" style="1405" customWidth="1"/>
    <col min="11780" max="11780" width="4.44140625" style="1405" customWidth="1"/>
    <col min="11781" max="11782" width="6.77734375" style="1405" customWidth="1"/>
    <col min="11783" max="11783" width="7.88671875" style="1405" customWidth="1"/>
    <col min="11784" max="11784" width="9.21875" style="1405" customWidth="1"/>
    <col min="11785" max="11785" width="4.77734375" style="1405" customWidth="1"/>
    <col min="11786" max="11786" width="10" style="1405" bestFit="1" customWidth="1"/>
    <col min="11787" max="11787" width="10.33203125" style="1405" bestFit="1" customWidth="1"/>
    <col min="11788" max="12032" width="8.88671875" style="1405"/>
    <col min="12033" max="12033" width="6.109375" style="1405" customWidth="1"/>
    <col min="12034" max="12034" width="33.109375" style="1405" customWidth="1"/>
    <col min="12035" max="12035" width="4.33203125" style="1405" customWidth="1"/>
    <col min="12036" max="12036" width="4.44140625" style="1405" customWidth="1"/>
    <col min="12037" max="12038" width="6.77734375" style="1405" customWidth="1"/>
    <col min="12039" max="12039" width="7.88671875" style="1405" customWidth="1"/>
    <col min="12040" max="12040" width="9.21875" style="1405" customWidth="1"/>
    <col min="12041" max="12041" width="4.77734375" style="1405" customWidth="1"/>
    <col min="12042" max="12042" width="10" style="1405" bestFit="1" customWidth="1"/>
    <col min="12043" max="12043" width="10.33203125" style="1405" bestFit="1" customWidth="1"/>
    <col min="12044" max="12288" width="8.88671875" style="1405"/>
    <col min="12289" max="12289" width="6.109375" style="1405" customWidth="1"/>
    <col min="12290" max="12290" width="33.109375" style="1405" customWidth="1"/>
    <col min="12291" max="12291" width="4.33203125" style="1405" customWidth="1"/>
    <col min="12292" max="12292" width="4.44140625" style="1405" customWidth="1"/>
    <col min="12293" max="12294" width="6.77734375" style="1405" customWidth="1"/>
    <col min="12295" max="12295" width="7.88671875" style="1405" customWidth="1"/>
    <col min="12296" max="12296" width="9.21875" style="1405" customWidth="1"/>
    <col min="12297" max="12297" width="4.77734375" style="1405" customWidth="1"/>
    <col min="12298" max="12298" width="10" style="1405" bestFit="1" customWidth="1"/>
    <col min="12299" max="12299" width="10.33203125" style="1405" bestFit="1" customWidth="1"/>
    <col min="12300" max="12544" width="8.88671875" style="1405"/>
    <col min="12545" max="12545" width="6.109375" style="1405" customWidth="1"/>
    <col min="12546" max="12546" width="33.109375" style="1405" customWidth="1"/>
    <col min="12547" max="12547" width="4.33203125" style="1405" customWidth="1"/>
    <col min="12548" max="12548" width="4.44140625" style="1405" customWidth="1"/>
    <col min="12549" max="12550" width="6.77734375" style="1405" customWidth="1"/>
    <col min="12551" max="12551" width="7.88671875" style="1405" customWidth="1"/>
    <col min="12552" max="12552" width="9.21875" style="1405" customWidth="1"/>
    <col min="12553" max="12553" width="4.77734375" style="1405" customWidth="1"/>
    <col min="12554" max="12554" width="10" style="1405" bestFit="1" customWidth="1"/>
    <col min="12555" max="12555" width="10.33203125" style="1405" bestFit="1" customWidth="1"/>
    <col min="12556" max="12800" width="8.88671875" style="1405"/>
    <col min="12801" max="12801" width="6.109375" style="1405" customWidth="1"/>
    <col min="12802" max="12802" width="33.109375" style="1405" customWidth="1"/>
    <col min="12803" max="12803" width="4.33203125" style="1405" customWidth="1"/>
    <col min="12804" max="12804" width="4.44140625" style="1405" customWidth="1"/>
    <col min="12805" max="12806" width="6.77734375" style="1405" customWidth="1"/>
    <col min="12807" max="12807" width="7.88671875" style="1405" customWidth="1"/>
    <col min="12808" max="12808" width="9.21875" style="1405" customWidth="1"/>
    <col min="12809" max="12809" width="4.77734375" style="1405" customWidth="1"/>
    <col min="12810" max="12810" width="10" style="1405" bestFit="1" customWidth="1"/>
    <col min="12811" max="12811" width="10.33203125" style="1405" bestFit="1" customWidth="1"/>
    <col min="12812" max="13056" width="8.88671875" style="1405"/>
    <col min="13057" max="13057" width="6.109375" style="1405" customWidth="1"/>
    <col min="13058" max="13058" width="33.109375" style="1405" customWidth="1"/>
    <col min="13059" max="13059" width="4.33203125" style="1405" customWidth="1"/>
    <col min="13060" max="13060" width="4.44140625" style="1405" customWidth="1"/>
    <col min="13061" max="13062" width="6.77734375" style="1405" customWidth="1"/>
    <col min="13063" max="13063" width="7.88671875" style="1405" customWidth="1"/>
    <col min="13064" max="13064" width="9.21875" style="1405" customWidth="1"/>
    <col min="13065" max="13065" width="4.77734375" style="1405" customWidth="1"/>
    <col min="13066" max="13066" width="10" style="1405" bestFit="1" customWidth="1"/>
    <col min="13067" max="13067" width="10.33203125" style="1405" bestFit="1" customWidth="1"/>
    <col min="13068" max="13312" width="8.88671875" style="1405"/>
    <col min="13313" max="13313" width="6.109375" style="1405" customWidth="1"/>
    <col min="13314" max="13314" width="33.109375" style="1405" customWidth="1"/>
    <col min="13315" max="13315" width="4.33203125" style="1405" customWidth="1"/>
    <col min="13316" max="13316" width="4.44140625" style="1405" customWidth="1"/>
    <col min="13317" max="13318" width="6.77734375" style="1405" customWidth="1"/>
    <col min="13319" max="13319" width="7.88671875" style="1405" customWidth="1"/>
    <col min="13320" max="13320" width="9.21875" style="1405" customWidth="1"/>
    <col min="13321" max="13321" width="4.77734375" style="1405" customWidth="1"/>
    <col min="13322" max="13322" width="10" style="1405" bestFit="1" customWidth="1"/>
    <col min="13323" max="13323" width="10.33203125" style="1405" bestFit="1" customWidth="1"/>
    <col min="13324" max="13568" width="8.88671875" style="1405"/>
    <col min="13569" max="13569" width="6.109375" style="1405" customWidth="1"/>
    <col min="13570" max="13570" width="33.109375" style="1405" customWidth="1"/>
    <col min="13571" max="13571" width="4.33203125" style="1405" customWidth="1"/>
    <col min="13572" max="13572" width="4.44140625" style="1405" customWidth="1"/>
    <col min="13573" max="13574" width="6.77734375" style="1405" customWidth="1"/>
    <col min="13575" max="13575" width="7.88671875" style="1405" customWidth="1"/>
    <col min="13576" max="13576" width="9.21875" style="1405" customWidth="1"/>
    <col min="13577" max="13577" width="4.77734375" style="1405" customWidth="1"/>
    <col min="13578" max="13578" width="10" style="1405" bestFit="1" customWidth="1"/>
    <col min="13579" max="13579" width="10.33203125" style="1405" bestFit="1" customWidth="1"/>
    <col min="13580" max="13824" width="8.88671875" style="1405"/>
    <col min="13825" max="13825" width="6.109375" style="1405" customWidth="1"/>
    <col min="13826" max="13826" width="33.109375" style="1405" customWidth="1"/>
    <col min="13827" max="13827" width="4.33203125" style="1405" customWidth="1"/>
    <col min="13828" max="13828" width="4.44140625" style="1405" customWidth="1"/>
    <col min="13829" max="13830" width="6.77734375" style="1405" customWidth="1"/>
    <col min="13831" max="13831" width="7.88671875" style="1405" customWidth="1"/>
    <col min="13832" max="13832" width="9.21875" style="1405" customWidth="1"/>
    <col min="13833" max="13833" width="4.77734375" style="1405" customWidth="1"/>
    <col min="13834" max="13834" width="10" style="1405" bestFit="1" customWidth="1"/>
    <col min="13835" max="13835" width="10.33203125" style="1405" bestFit="1" customWidth="1"/>
    <col min="13836" max="14080" width="8.88671875" style="1405"/>
    <col min="14081" max="14081" width="6.109375" style="1405" customWidth="1"/>
    <col min="14082" max="14082" width="33.109375" style="1405" customWidth="1"/>
    <col min="14083" max="14083" width="4.33203125" style="1405" customWidth="1"/>
    <col min="14084" max="14084" width="4.44140625" style="1405" customWidth="1"/>
    <col min="14085" max="14086" width="6.77734375" style="1405" customWidth="1"/>
    <col min="14087" max="14087" width="7.88671875" style="1405" customWidth="1"/>
    <col min="14088" max="14088" width="9.21875" style="1405" customWidth="1"/>
    <col min="14089" max="14089" width="4.77734375" style="1405" customWidth="1"/>
    <col min="14090" max="14090" width="10" style="1405" bestFit="1" customWidth="1"/>
    <col min="14091" max="14091" width="10.33203125" style="1405" bestFit="1" customWidth="1"/>
    <col min="14092" max="14336" width="8.88671875" style="1405"/>
    <col min="14337" max="14337" width="6.109375" style="1405" customWidth="1"/>
    <col min="14338" max="14338" width="33.109375" style="1405" customWidth="1"/>
    <col min="14339" max="14339" width="4.33203125" style="1405" customWidth="1"/>
    <col min="14340" max="14340" width="4.44140625" style="1405" customWidth="1"/>
    <col min="14341" max="14342" width="6.77734375" style="1405" customWidth="1"/>
    <col min="14343" max="14343" width="7.88671875" style="1405" customWidth="1"/>
    <col min="14344" max="14344" width="9.21875" style="1405" customWidth="1"/>
    <col min="14345" max="14345" width="4.77734375" style="1405" customWidth="1"/>
    <col min="14346" max="14346" width="10" style="1405" bestFit="1" customWidth="1"/>
    <col min="14347" max="14347" width="10.33203125" style="1405" bestFit="1" customWidth="1"/>
    <col min="14348" max="14592" width="8.88671875" style="1405"/>
    <col min="14593" max="14593" width="6.109375" style="1405" customWidth="1"/>
    <col min="14594" max="14594" width="33.109375" style="1405" customWidth="1"/>
    <col min="14595" max="14595" width="4.33203125" style="1405" customWidth="1"/>
    <col min="14596" max="14596" width="4.44140625" style="1405" customWidth="1"/>
    <col min="14597" max="14598" width="6.77734375" style="1405" customWidth="1"/>
    <col min="14599" max="14599" width="7.88671875" style="1405" customWidth="1"/>
    <col min="14600" max="14600" width="9.21875" style="1405" customWidth="1"/>
    <col min="14601" max="14601" width="4.77734375" style="1405" customWidth="1"/>
    <col min="14602" max="14602" width="10" style="1405" bestFit="1" customWidth="1"/>
    <col min="14603" max="14603" width="10.33203125" style="1405" bestFit="1" customWidth="1"/>
    <col min="14604" max="14848" width="8.88671875" style="1405"/>
    <col min="14849" max="14849" width="6.109375" style="1405" customWidth="1"/>
    <col min="14850" max="14850" width="33.109375" style="1405" customWidth="1"/>
    <col min="14851" max="14851" width="4.33203125" style="1405" customWidth="1"/>
    <col min="14852" max="14852" width="4.44140625" style="1405" customWidth="1"/>
    <col min="14853" max="14854" width="6.77734375" style="1405" customWidth="1"/>
    <col min="14855" max="14855" width="7.88671875" style="1405" customWidth="1"/>
    <col min="14856" max="14856" width="9.21875" style="1405" customWidth="1"/>
    <col min="14857" max="14857" width="4.77734375" style="1405" customWidth="1"/>
    <col min="14858" max="14858" width="10" style="1405" bestFit="1" customWidth="1"/>
    <col min="14859" max="14859" width="10.33203125" style="1405" bestFit="1" customWidth="1"/>
    <col min="14860" max="15104" width="8.88671875" style="1405"/>
    <col min="15105" max="15105" width="6.109375" style="1405" customWidth="1"/>
    <col min="15106" max="15106" width="33.109375" style="1405" customWidth="1"/>
    <col min="15107" max="15107" width="4.33203125" style="1405" customWidth="1"/>
    <col min="15108" max="15108" width="4.44140625" style="1405" customWidth="1"/>
    <col min="15109" max="15110" width="6.77734375" style="1405" customWidth="1"/>
    <col min="15111" max="15111" width="7.88671875" style="1405" customWidth="1"/>
    <col min="15112" max="15112" width="9.21875" style="1405" customWidth="1"/>
    <col min="15113" max="15113" width="4.77734375" style="1405" customWidth="1"/>
    <col min="15114" max="15114" width="10" style="1405" bestFit="1" customWidth="1"/>
    <col min="15115" max="15115" width="10.33203125" style="1405" bestFit="1" customWidth="1"/>
    <col min="15116" max="15360" width="8.88671875" style="1405"/>
    <col min="15361" max="15361" width="6.109375" style="1405" customWidth="1"/>
    <col min="15362" max="15362" width="33.109375" style="1405" customWidth="1"/>
    <col min="15363" max="15363" width="4.33203125" style="1405" customWidth="1"/>
    <col min="15364" max="15364" width="4.44140625" style="1405" customWidth="1"/>
    <col min="15365" max="15366" width="6.77734375" style="1405" customWidth="1"/>
    <col min="15367" max="15367" width="7.88671875" style="1405" customWidth="1"/>
    <col min="15368" max="15368" width="9.21875" style="1405" customWidth="1"/>
    <col min="15369" max="15369" width="4.77734375" style="1405" customWidth="1"/>
    <col min="15370" max="15370" width="10" style="1405" bestFit="1" customWidth="1"/>
    <col min="15371" max="15371" width="10.33203125" style="1405" bestFit="1" customWidth="1"/>
    <col min="15372" max="15616" width="8.88671875" style="1405"/>
    <col min="15617" max="15617" width="6.109375" style="1405" customWidth="1"/>
    <col min="15618" max="15618" width="33.109375" style="1405" customWidth="1"/>
    <col min="15619" max="15619" width="4.33203125" style="1405" customWidth="1"/>
    <col min="15620" max="15620" width="4.44140625" style="1405" customWidth="1"/>
    <col min="15621" max="15622" width="6.77734375" style="1405" customWidth="1"/>
    <col min="15623" max="15623" width="7.88671875" style="1405" customWidth="1"/>
    <col min="15624" max="15624" width="9.21875" style="1405" customWidth="1"/>
    <col min="15625" max="15625" width="4.77734375" style="1405" customWidth="1"/>
    <col min="15626" max="15626" width="10" style="1405" bestFit="1" customWidth="1"/>
    <col min="15627" max="15627" width="10.33203125" style="1405" bestFit="1" customWidth="1"/>
    <col min="15628" max="15872" width="8.88671875" style="1405"/>
    <col min="15873" max="15873" width="6.109375" style="1405" customWidth="1"/>
    <col min="15874" max="15874" width="33.109375" style="1405" customWidth="1"/>
    <col min="15875" max="15875" width="4.33203125" style="1405" customWidth="1"/>
    <col min="15876" max="15876" width="4.44140625" style="1405" customWidth="1"/>
    <col min="15877" max="15878" width="6.77734375" style="1405" customWidth="1"/>
    <col min="15879" max="15879" width="7.88671875" style="1405" customWidth="1"/>
    <col min="15880" max="15880" width="9.21875" style="1405" customWidth="1"/>
    <col min="15881" max="15881" width="4.77734375" style="1405" customWidth="1"/>
    <col min="15882" max="15882" width="10" style="1405" bestFit="1" customWidth="1"/>
    <col min="15883" max="15883" width="10.33203125" style="1405" bestFit="1" customWidth="1"/>
    <col min="15884" max="16128" width="8.88671875" style="1405"/>
    <col min="16129" max="16129" width="6.109375" style="1405" customWidth="1"/>
    <col min="16130" max="16130" width="33.109375" style="1405" customWidth="1"/>
    <col min="16131" max="16131" width="4.33203125" style="1405" customWidth="1"/>
    <col min="16132" max="16132" width="4.44140625" style="1405" customWidth="1"/>
    <col min="16133" max="16134" width="6.77734375" style="1405" customWidth="1"/>
    <col min="16135" max="16135" width="7.88671875" style="1405" customWidth="1"/>
    <col min="16136" max="16136" width="9.21875" style="1405" customWidth="1"/>
    <col min="16137" max="16137" width="4.77734375" style="1405" customWidth="1"/>
    <col min="16138" max="16138" width="10" style="1405" bestFit="1" customWidth="1"/>
    <col min="16139" max="16139" width="10.33203125" style="1405" bestFit="1" customWidth="1"/>
    <col min="16140" max="16384" width="8.88671875" style="1405"/>
  </cols>
  <sheetData>
    <row r="1" spans="1:11" ht="72.75" customHeight="1">
      <c r="A1" s="2116" t="str">
        <f>compound!A1</f>
        <v>Name of work: Construction of DSP camp office cum Residence with development works at Cuddalore New town in Cuddalore District</v>
      </c>
      <c r="B1" s="2116"/>
      <c r="C1" s="2116"/>
      <c r="D1" s="2116"/>
      <c r="E1" s="2116"/>
      <c r="F1" s="2116"/>
      <c r="G1" s="2116"/>
      <c r="H1" s="2116"/>
      <c r="I1" s="2116"/>
    </row>
    <row r="2" spans="1:11" ht="25.5" customHeight="1">
      <c r="A2" s="2118" t="s">
        <v>7635</v>
      </c>
      <c r="B2" s="2118"/>
      <c r="C2" s="2118"/>
      <c r="D2" s="2118"/>
      <c r="E2" s="2118"/>
      <c r="F2" s="2118"/>
      <c r="G2" s="2118"/>
      <c r="H2" s="2118"/>
      <c r="I2" s="2118"/>
    </row>
    <row r="3" spans="1:11" ht="27.75" customHeight="1">
      <c r="A3" s="2119" t="s">
        <v>7117</v>
      </c>
      <c r="B3" s="2119"/>
      <c r="C3" s="2119"/>
      <c r="D3" s="2119"/>
      <c r="E3" s="2119"/>
      <c r="F3" s="2119"/>
      <c r="G3" s="2119"/>
      <c r="H3" s="2119"/>
      <c r="I3" s="2119"/>
    </row>
    <row r="4" spans="1:11" s="1841" customFormat="1" ht="34.5" customHeight="1">
      <c r="A4" s="2120" t="s">
        <v>7085</v>
      </c>
      <c r="B4" s="2121" t="s">
        <v>7118</v>
      </c>
      <c r="C4" s="2122" t="s">
        <v>1427</v>
      </c>
      <c r="D4" s="2122"/>
      <c r="E4" s="2121" t="s">
        <v>5797</v>
      </c>
      <c r="F4" s="2121" t="s">
        <v>1548</v>
      </c>
      <c r="G4" s="2121" t="s">
        <v>5798</v>
      </c>
      <c r="H4" s="2121" t="s">
        <v>1034</v>
      </c>
      <c r="I4" s="1850"/>
      <c r="J4" s="2117"/>
    </row>
    <row r="5" spans="1:11" s="2131" customFormat="1" ht="241.5" customHeight="1">
      <c r="A5" s="2123">
        <v>1</v>
      </c>
      <c r="B5" s="2124" t="s">
        <v>7636</v>
      </c>
      <c r="C5" s="2125"/>
      <c r="D5" s="2125"/>
      <c r="E5" s="2125"/>
      <c r="F5" s="2126"/>
      <c r="G5" s="2127"/>
      <c r="H5" s="2128"/>
      <c r="I5" s="2129"/>
      <c r="J5" s="2130"/>
    </row>
    <row r="6" spans="1:11" s="2140" customFormat="1" ht="120.75" customHeight="1">
      <c r="A6" s="2132"/>
      <c r="B6" s="2133" t="s">
        <v>7637</v>
      </c>
      <c r="C6" s="2134"/>
      <c r="D6" s="2134"/>
      <c r="E6" s="2134"/>
      <c r="F6" s="2135"/>
      <c r="G6" s="2136"/>
      <c r="H6" s="2137"/>
      <c r="I6" s="2138"/>
      <c r="J6" s="2139"/>
    </row>
    <row r="7" spans="1:11" s="2131" customFormat="1" ht="239.25" customHeight="1">
      <c r="A7" s="2141"/>
      <c r="B7" s="2142" t="s">
        <v>7638</v>
      </c>
      <c r="C7" s="2143"/>
      <c r="D7" s="2143"/>
      <c r="E7" s="2143"/>
      <c r="F7" s="2144"/>
      <c r="G7" s="2145"/>
      <c r="H7" s="2146"/>
      <c r="I7" s="2147"/>
      <c r="J7" s="2130"/>
    </row>
    <row r="8" spans="1:11" s="2140" customFormat="1" ht="19.5" customHeight="1">
      <c r="A8" s="2148"/>
      <c r="B8" s="2149" t="s">
        <v>7639</v>
      </c>
      <c r="C8" s="2148">
        <v>1</v>
      </c>
      <c r="D8" s="2148">
        <v>2</v>
      </c>
      <c r="E8" s="2150"/>
      <c r="F8" s="2150"/>
      <c r="G8" s="2150"/>
      <c r="H8" s="2151">
        <f>PRODUCT(C8:G8)</f>
        <v>2</v>
      </c>
      <c r="I8" s="2138" t="s">
        <v>1427</v>
      </c>
      <c r="J8" s="2152">
        <v>9300</v>
      </c>
      <c r="K8" s="2140">
        <f>J8*H8</f>
        <v>18600</v>
      </c>
    </row>
    <row r="9" spans="1:11" s="2131" customFormat="1" ht="19.5" customHeight="1">
      <c r="A9" s="2153">
        <v>2</v>
      </c>
      <c r="B9" s="2154" t="s">
        <v>7640</v>
      </c>
      <c r="C9" s="2155"/>
      <c r="D9" s="2155"/>
      <c r="E9" s="2155"/>
      <c r="F9" s="2156"/>
      <c r="G9" s="2157"/>
      <c r="H9" s="2137"/>
      <c r="I9" s="2147"/>
      <c r="J9" s="2130"/>
    </row>
    <row r="10" spans="1:11" s="2140" customFormat="1" ht="19.5" customHeight="1">
      <c r="A10" s="2153"/>
      <c r="B10" s="2158" t="s">
        <v>7641</v>
      </c>
      <c r="C10" s="2159"/>
      <c r="D10" s="2159"/>
      <c r="E10" s="2160"/>
      <c r="F10" s="2160"/>
      <c r="G10" s="2161"/>
      <c r="H10" s="2137"/>
      <c r="I10" s="2138"/>
      <c r="J10" s="2152"/>
    </row>
    <row r="11" spans="1:11" s="2131" customFormat="1" ht="19.5" customHeight="1">
      <c r="A11" s="2153"/>
      <c r="B11" s="2158" t="s">
        <v>7642</v>
      </c>
      <c r="C11" s="2155"/>
      <c r="D11" s="2155"/>
      <c r="E11" s="2155"/>
      <c r="F11" s="2162"/>
      <c r="G11" s="2157"/>
      <c r="H11" s="2137"/>
      <c r="I11" s="2147"/>
      <c r="J11" s="2130"/>
    </row>
    <row r="12" spans="1:11" s="2131" customFormat="1" ht="19.5" customHeight="1">
      <c r="A12" s="2153"/>
      <c r="B12" s="2158" t="s">
        <v>7643</v>
      </c>
      <c r="C12" s="2163"/>
      <c r="D12" s="2163"/>
      <c r="E12" s="2160"/>
      <c r="F12" s="2160"/>
      <c r="G12" s="2164"/>
      <c r="H12" s="2137"/>
      <c r="I12" s="2138"/>
      <c r="J12" s="2165"/>
    </row>
    <row r="13" spans="1:11" s="2131" customFormat="1" ht="19.5" customHeight="1">
      <c r="A13" s="2153"/>
      <c r="B13" s="2158" t="s">
        <v>7644</v>
      </c>
      <c r="C13" s="2155"/>
      <c r="D13" s="2155"/>
      <c r="E13" s="2155"/>
      <c r="F13" s="2162"/>
      <c r="G13" s="2157"/>
      <c r="H13" s="2137"/>
      <c r="I13" s="2147"/>
      <c r="J13" s="2130"/>
    </row>
    <row r="14" spans="1:11" s="2131" customFormat="1" ht="19.5" customHeight="1">
      <c r="A14" s="2153"/>
      <c r="B14" s="2158" t="s">
        <v>7645</v>
      </c>
      <c r="C14" s="2159"/>
      <c r="D14" s="2159"/>
      <c r="E14" s="2160"/>
      <c r="F14" s="2160"/>
      <c r="G14" s="2164"/>
      <c r="H14" s="2137"/>
      <c r="I14" s="2138"/>
      <c r="J14" s="2165"/>
    </row>
    <row r="15" spans="1:11" s="2131" customFormat="1" ht="19.5" customHeight="1">
      <c r="A15" s="2153"/>
      <c r="B15" s="2158" t="s">
        <v>7646</v>
      </c>
      <c r="C15" s="2155"/>
      <c r="D15" s="2155"/>
      <c r="E15" s="2155"/>
      <c r="F15" s="2162"/>
      <c r="G15" s="2157"/>
      <c r="H15" s="2137"/>
      <c r="I15" s="2147"/>
      <c r="J15" s="2130"/>
    </row>
    <row r="16" spans="1:11" s="2131" customFormat="1" ht="19.5" customHeight="1">
      <c r="A16" s="2153"/>
      <c r="B16" s="2158" t="s">
        <v>7647</v>
      </c>
      <c r="C16" s="2159"/>
      <c r="D16" s="2159"/>
      <c r="E16" s="2160"/>
      <c r="F16" s="2166"/>
      <c r="G16" s="2164"/>
      <c r="H16" s="2137"/>
      <c r="I16" s="2138"/>
      <c r="J16" s="2130"/>
    </row>
    <row r="17" spans="1:10" s="2131" customFormat="1" ht="19.5" customHeight="1">
      <c r="A17" s="2153"/>
      <c r="B17" s="2158" t="s">
        <v>7648</v>
      </c>
      <c r="C17" s="2155"/>
      <c r="D17" s="2155"/>
      <c r="E17" s="2155"/>
      <c r="F17" s="2162"/>
      <c r="G17" s="2157"/>
      <c r="H17" s="2137"/>
      <c r="I17" s="2147"/>
      <c r="J17" s="2130"/>
    </row>
    <row r="18" spans="1:10" s="2131" customFormat="1" ht="19.5" customHeight="1">
      <c r="A18" s="2153"/>
      <c r="B18" s="2158" t="s">
        <v>7649</v>
      </c>
      <c r="C18" s="2159"/>
      <c r="D18" s="2159"/>
      <c r="E18" s="2160"/>
      <c r="F18" s="2160"/>
      <c r="G18" s="2164"/>
      <c r="H18" s="2137"/>
      <c r="I18" s="2138"/>
      <c r="J18" s="2165"/>
    </row>
    <row r="19" spans="1:10" s="2168" customFormat="1" ht="19.5" customHeight="1">
      <c r="A19" s="2153"/>
      <c r="B19" s="2158" t="s">
        <v>7650</v>
      </c>
      <c r="C19" s="2155"/>
      <c r="D19" s="2155"/>
      <c r="E19" s="2155"/>
      <c r="F19" s="2166"/>
      <c r="G19" s="2157"/>
      <c r="H19" s="2137"/>
      <c r="I19" s="2129"/>
      <c r="J19" s="2167"/>
    </row>
    <row r="20" spans="1:10" s="2131" customFormat="1" ht="19.5" customHeight="1">
      <c r="A20" s="2153"/>
      <c r="B20" s="2158" t="s">
        <v>7651</v>
      </c>
      <c r="C20" s="2159"/>
      <c r="D20" s="2159"/>
      <c r="E20" s="2160"/>
      <c r="F20" s="2166"/>
      <c r="G20" s="2164"/>
      <c r="H20" s="2137"/>
      <c r="I20" s="2138"/>
      <c r="J20" s="2130"/>
    </row>
    <row r="21" spans="1:10" s="2131" customFormat="1" ht="19.5" customHeight="1">
      <c r="A21" s="2153"/>
      <c r="B21" s="2158" t="s">
        <v>7652</v>
      </c>
      <c r="C21" s="2155"/>
      <c r="D21" s="2155"/>
      <c r="E21" s="2155"/>
      <c r="F21" s="2169"/>
      <c r="G21" s="2157"/>
      <c r="H21" s="2137"/>
      <c r="I21" s="1898"/>
      <c r="J21" s="2130"/>
    </row>
    <row r="22" spans="1:10" s="2131" customFormat="1" ht="19.5" customHeight="1">
      <c r="A22" s="2153"/>
      <c r="B22" s="2158" t="s">
        <v>7653</v>
      </c>
      <c r="C22" s="2159"/>
      <c r="D22" s="2159"/>
      <c r="E22" s="2160"/>
      <c r="F22" s="2166"/>
      <c r="G22" s="2164"/>
      <c r="H22" s="2137"/>
      <c r="I22" s="2138"/>
      <c r="J22" s="2130"/>
    </row>
    <row r="23" spans="1:10" s="2131" customFormat="1" ht="19.5" customHeight="1">
      <c r="A23" s="2153"/>
      <c r="B23" s="2158" t="s">
        <v>7654</v>
      </c>
      <c r="C23" s="2155"/>
      <c r="D23" s="2155"/>
      <c r="E23" s="2155"/>
      <c r="F23" s="2169"/>
      <c r="G23" s="2157"/>
      <c r="H23" s="2137"/>
      <c r="I23" s="1898"/>
      <c r="J23" s="2130"/>
    </row>
    <row r="24" spans="1:10" s="2131" customFormat="1" ht="19.5" customHeight="1">
      <c r="A24" s="2153"/>
      <c r="B24" s="2158" t="s">
        <v>7655</v>
      </c>
      <c r="C24" s="2159"/>
      <c r="D24" s="2159"/>
      <c r="E24" s="2160"/>
      <c r="F24" s="2166"/>
      <c r="G24" s="2164"/>
      <c r="H24" s="2137"/>
      <c r="I24" s="2138"/>
      <c r="J24" s="2130"/>
    </row>
    <row r="25" spans="1:10" s="2131" customFormat="1" ht="19.5" customHeight="1">
      <c r="A25" s="2153"/>
      <c r="B25" s="2158" t="s">
        <v>7656</v>
      </c>
      <c r="C25" s="2155"/>
      <c r="D25" s="2155"/>
      <c r="E25" s="2155"/>
      <c r="F25" s="2169"/>
      <c r="G25" s="2157"/>
      <c r="H25" s="2137"/>
      <c r="I25" s="1898"/>
      <c r="J25" s="2130"/>
    </row>
    <row r="26" spans="1:10" s="2131" customFormat="1" ht="19.5" customHeight="1">
      <c r="A26" s="2153"/>
      <c r="B26" s="2158" t="s">
        <v>7657</v>
      </c>
      <c r="C26" s="2159"/>
      <c r="D26" s="2159"/>
      <c r="E26" s="2160"/>
      <c r="F26" s="2166"/>
      <c r="G26" s="2164"/>
      <c r="H26" s="2137"/>
      <c r="I26" s="2138"/>
      <c r="J26" s="2130"/>
    </row>
    <row r="27" spans="1:10" s="2131" customFormat="1" ht="19.5" customHeight="1">
      <c r="A27" s="2153"/>
      <c r="B27" s="2158" t="s">
        <v>7658</v>
      </c>
      <c r="C27" s="2155"/>
      <c r="D27" s="2155"/>
      <c r="E27" s="2155"/>
      <c r="F27" s="2169"/>
      <c r="G27" s="2157"/>
      <c r="H27" s="2137"/>
      <c r="I27" s="1898"/>
      <c r="J27" s="2130"/>
    </row>
    <row r="28" spans="1:10" s="2131" customFormat="1" ht="19.5" customHeight="1">
      <c r="A28" s="2153"/>
      <c r="B28" s="2158" t="s">
        <v>7659</v>
      </c>
      <c r="C28" s="2159"/>
      <c r="D28" s="2159"/>
      <c r="E28" s="2160"/>
      <c r="F28" s="2166"/>
      <c r="G28" s="2164"/>
      <c r="H28" s="2137"/>
      <c r="I28" s="2138"/>
      <c r="J28" s="2130"/>
    </row>
    <row r="29" spans="1:10" s="2131" customFormat="1" ht="19.5" customHeight="1">
      <c r="A29" s="2153"/>
      <c r="B29" s="2158" t="s">
        <v>7660</v>
      </c>
      <c r="C29" s="2155"/>
      <c r="D29" s="2155"/>
      <c r="E29" s="2155"/>
      <c r="F29" s="2169"/>
      <c r="G29" s="2157"/>
      <c r="H29" s="2137"/>
      <c r="I29" s="1898"/>
      <c r="J29" s="2130"/>
    </row>
    <row r="30" spans="1:10" s="2140" customFormat="1" ht="19.5" customHeight="1">
      <c r="A30" s="2153"/>
      <c r="B30" s="2158" t="s">
        <v>7661</v>
      </c>
      <c r="C30" s="2159"/>
      <c r="D30" s="2159"/>
      <c r="E30" s="2160"/>
      <c r="F30" s="2160"/>
      <c r="G30" s="2161"/>
      <c r="H30" s="2137"/>
      <c r="I30" s="2138"/>
      <c r="J30" s="2152"/>
    </row>
    <row r="31" spans="1:10" s="2172" customFormat="1" ht="19.5" customHeight="1">
      <c r="A31" s="2153"/>
      <c r="B31" s="2158" t="s">
        <v>7662</v>
      </c>
      <c r="C31" s="2155"/>
      <c r="D31" s="2155"/>
      <c r="E31" s="2155"/>
      <c r="F31" s="2169"/>
      <c r="G31" s="2170"/>
      <c r="H31" s="2137"/>
      <c r="I31" s="2138"/>
      <c r="J31" s="2171"/>
    </row>
    <row r="32" spans="1:10" s="2174" customFormat="1" ht="19.5" customHeight="1">
      <c r="A32" s="2153"/>
      <c r="B32" s="2158" t="s">
        <v>7663</v>
      </c>
      <c r="C32" s="2163"/>
      <c r="D32" s="2163"/>
      <c r="E32" s="2166"/>
      <c r="F32" s="2166"/>
      <c r="G32" s="2164"/>
      <c r="H32" s="2137"/>
      <c r="I32" s="2138"/>
      <c r="J32" s="2173"/>
    </row>
    <row r="33" spans="1:11" s="2174" customFormat="1" ht="19.5" customHeight="1">
      <c r="A33" s="2153"/>
      <c r="B33" s="2175" t="s">
        <v>7664</v>
      </c>
      <c r="C33" s="2176"/>
      <c r="D33" s="2176"/>
      <c r="E33" s="2177"/>
      <c r="F33" s="2177"/>
      <c r="G33" s="2178"/>
      <c r="H33" s="2146"/>
      <c r="I33" s="2138"/>
      <c r="J33" s="2173"/>
    </row>
    <row r="34" spans="1:11" s="2140" customFormat="1" ht="19.5" customHeight="1">
      <c r="A34" s="2148"/>
      <c r="B34" s="2149" t="s">
        <v>7665</v>
      </c>
      <c r="C34" s="2148">
        <v>1</v>
      </c>
      <c r="D34" s="2148">
        <v>1</v>
      </c>
      <c r="E34" s="2150"/>
      <c r="F34" s="2150"/>
      <c r="G34" s="2150"/>
      <c r="H34" s="2151">
        <f>PRODUCT(C34:G34)</f>
        <v>1</v>
      </c>
      <c r="I34" s="2138" t="s">
        <v>1389</v>
      </c>
      <c r="J34" s="2152">
        <v>18200</v>
      </c>
      <c r="K34" s="2140">
        <f>J34*H34</f>
        <v>18200</v>
      </c>
    </row>
    <row r="35" spans="1:11" s="2174" customFormat="1" ht="19.5" customHeight="1">
      <c r="A35" s="2153">
        <v>3</v>
      </c>
      <c r="B35" s="2179" t="s">
        <v>7666</v>
      </c>
      <c r="C35" s="2163"/>
      <c r="D35" s="2163"/>
      <c r="E35" s="2166"/>
      <c r="F35" s="2166"/>
      <c r="G35" s="2166"/>
      <c r="H35" s="2180"/>
      <c r="I35" s="2138"/>
      <c r="J35" s="2173"/>
    </row>
    <row r="36" spans="1:11" s="2174" customFormat="1" ht="19.5" customHeight="1">
      <c r="A36" s="2153"/>
      <c r="B36" s="1561" t="s">
        <v>7667</v>
      </c>
      <c r="C36" s="2163"/>
      <c r="D36" s="2163"/>
      <c r="E36" s="2166"/>
      <c r="F36" s="2166"/>
      <c r="G36" s="2166"/>
      <c r="H36" s="2180"/>
      <c r="I36" s="2138"/>
      <c r="J36" s="2173"/>
    </row>
    <row r="37" spans="1:11" s="2174" customFormat="1" ht="19.5" customHeight="1">
      <c r="A37" s="2153"/>
      <c r="B37" s="1561" t="s">
        <v>7668</v>
      </c>
      <c r="C37" s="2163"/>
      <c r="D37" s="2163"/>
      <c r="E37" s="2166"/>
      <c r="F37" s="2166"/>
      <c r="G37" s="2166"/>
      <c r="H37" s="2180"/>
      <c r="I37" s="2138"/>
      <c r="J37" s="2173"/>
    </row>
    <row r="38" spans="1:11" s="2174" customFormat="1" ht="19.5" customHeight="1">
      <c r="A38" s="2153"/>
      <c r="B38" s="1561" t="s">
        <v>7669</v>
      </c>
      <c r="C38" s="2163"/>
      <c r="D38" s="2163"/>
      <c r="E38" s="2166"/>
      <c r="F38" s="2166"/>
      <c r="G38" s="2166"/>
      <c r="H38" s="2180"/>
      <c r="I38" s="2138"/>
      <c r="J38" s="2173"/>
    </row>
    <row r="39" spans="1:11" s="2174" customFormat="1" ht="19.5" customHeight="1">
      <c r="A39" s="2153"/>
      <c r="B39" s="1561" t="s">
        <v>7670</v>
      </c>
      <c r="C39" s="2163"/>
      <c r="D39" s="2163"/>
      <c r="E39" s="2166"/>
      <c r="F39" s="2166"/>
      <c r="G39" s="2166"/>
      <c r="H39" s="2180"/>
      <c r="I39" s="2138"/>
      <c r="J39" s="2173"/>
    </row>
    <row r="40" spans="1:11" s="2174" customFormat="1" ht="19.5" customHeight="1">
      <c r="A40" s="2153"/>
      <c r="B40" s="1561" t="s">
        <v>7671</v>
      </c>
      <c r="C40" s="2163"/>
      <c r="D40" s="2163"/>
      <c r="E40" s="2166"/>
      <c r="F40" s="2166"/>
      <c r="G40" s="2166"/>
      <c r="H40" s="2180"/>
      <c r="I40" s="2138"/>
      <c r="J40" s="2173"/>
    </row>
    <row r="41" spans="1:11" s="2174" customFormat="1" ht="19.5" customHeight="1">
      <c r="A41" s="2153"/>
      <c r="B41" s="1561" t="s">
        <v>7672</v>
      </c>
      <c r="C41" s="2163"/>
      <c r="D41" s="2163"/>
      <c r="E41" s="2166"/>
      <c r="F41" s="2166"/>
      <c r="G41" s="2166"/>
      <c r="H41" s="2180"/>
      <c r="I41" s="2138"/>
      <c r="J41" s="2173"/>
    </row>
    <row r="42" spans="1:11" s="2174" customFormat="1" ht="19.5" customHeight="1">
      <c r="A42" s="2153"/>
      <c r="B42" s="1561" t="s">
        <v>7673</v>
      </c>
      <c r="C42" s="2163"/>
      <c r="D42" s="2163"/>
      <c r="E42" s="2166"/>
      <c r="F42" s="2166"/>
      <c r="G42" s="2166"/>
      <c r="H42" s="2180"/>
      <c r="I42" s="2138"/>
      <c r="J42" s="2173"/>
    </row>
    <row r="43" spans="1:11" s="2174" customFormat="1" ht="19.5" customHeight="1">
      <c r="A43" s="2153"/>
      <c r="B43" s="1561" t="s">
        <v>7674</v>
      </c>
      <c r="C43" s="2163"/>
      <c r="D43" s="2163"/>
      <c r="E43" s="2166"/>
      <c r="F43" s="2166"/>
      <c r="G43" s="2166"/>
      <c r="H43" s="2180"/>
      <c r="I43" s="2138"/>
      <c r="J43" s="2173"/>
    </row>
    <row r="44" spans="1:11" s="2174" customFormat="1" ht="19.5" customHeight="1">
      <c r="A44" s="2153"/>
      <c r="B44" s="1561" t="s">
        <v>7675</v>
      </c>
      <c r="C44" s="2163"/>
      <c r="D44" s="2163"/>
      <c r="E44" s="2166"/>
      <c r="F44" s="2166"/>
      <c r="G44" s="2166"/>
      <c r="H44" s="2180"/>
      <c r="I44" s="2138"/>
      <c r="J44" s="2173"/>
    </row>
    <row r="45" spans="1:11" s="2174" customFormat="1" ht="19.5" customHeight="1">
      <c r="A45" s="2153"/>
      <c r="B45" s="1561" t="s">
        <v>7676</v>
      </c>
      <c r="C45" s="2163"/>
      <c r="D45" s="2163"/>
      <c r="E45" s="2166"/>
      <c r="F45" s="2166"/>
      <c r="G45" s="2166"/>
      <c r="H45" s="2180"/>
      <c r="I45" s="2138"/>
      <c r="J45" s="2173"/>
    </row>
    <row r="46" spans="1:11" s="2174" customFormat="1" ht="19.5" customHeight="1">
      <c r="A46" s="2153"/>
      <c r="B46" s="1561" t="s">
        <v>7677</v>
      </c>
      <c r="C46" s="2163"/>
      <c r="D46" s="2163"/>
      <c r="E46" s="2166"/>
      <c r="F46" s="2166"/>
      <c r="G46" s="2166"/>
      <c r="H46" s="2180"/>
      <c r="I46" s="2138"/>
      <c r="J46" s="2173"/>
    </row>
    <row r="47" spans="1:11" s="2174" customFormat="1" ht="19.5" customHeight="1">
      <c r="A47" s="2153"/>
      <c r="B47" s="1561" t="s">
        <v>7678</v>
      </c>
      <c r="C47" s="2163"/>
      <c r="D47" s="2163"/>
      <c r="E47" s="2166"/>
      <c r="F47" s="2166"/>
      <c r="G47" s="2166"/>
      <c r="H47" s="2180"/>
      <c r="I47" s="2138"/>
      <c r="J47" s="2173"/>
    </row>
    <row r="48" spans="1:11" s="2174" customFormat="1" ht="19.5" customHeight="1">
      <c r="A48" s="2153"/>
      <c r="B48" s="1561" t="s">
        <v>7679</v>
      </c>
      <c r="C48" s="2163"/>
      <c r="D48" s="2163"/>
      <c r="E48" s="2166"/>
      <c r="F48" s="2166"/>
      <c r="G48" s="2166"/>
      <c r="H48" s="2180"/>
      <c r="I48" s="2138"/>
      <c r="J48" s="2173"/>
    </row>
    <row r="49" spans="1:11" s="2174" customFormat="1" ht="19.5" customHeight="1">
      <c r="A49" s="2153"/>
      <c r="B49" s="1561" t="s">
        <v>7680</v>
      </c>
      <c r="C49" s="2163"/>
      <c r="D49" s="2163"/>
      <c r="E49" s="2166"/>
      <c r="F49" s="2166"/>
      <c r="G49" s="2166"/>
      <c r="H49" s="2181"/>
      <c r="I49" s="2138"/>
      <c r="J49" s="2173"/>
    </row>
    <row r="50" spans="1:11" s="2140" customFormat="1" ht="19.5" customHeight="1">
      <c r="A50" s="2148"/>
      <c r="B50" s="2149" t="s">
        <v>7681</v>
      </c>
      <c r="C50" s="2148">
        <v>1</v>
      </c>
      <c r="D50" s="2148">
        <v>1</v>
      </c>
      <c r="E50" s="2150"/>
      <c r="F50" s="2150"/>
      <c r="G50" s="2150"/>
      <c r="H50" s="2151">
        <f>PRODUCT(C50:G50)</f>
        <v>1</v>
      </c>
      <c r="I50" s="2138" t="s">
        <v>1389</v>
      </c>
      <c r="J50" s="2152">
        <v>16800</v>
      </c>
      <c r="K50" s="2140">
        <f>J50*H50</f>
        <v>16800</v>
      </c>
    </row>
    <row r="51" spans="1:11" s="2174" customFormat="1" ht="116.25" customHeight="1">
      <c r="A51" s="2148">
        <v>4</v>
      </c>
      <c r="B51" s="2182" t="s">
        <v>7682</v>
      </c>
      <c r="C51" s="2182"/>
      <c r="D51" s="2182"/>
      <c r="E51" s="2182"/>
      <c r="F51" s="2183"/>
      <c r="G51" s="2183"/>
      <c r="H51" s="2184"/>
      <c r="I51" s="2138"/>
      <c r="J51" s="2173"/>
    </row>
    <row r="52" spans="1:11" s="2140" customFormat="1" ht="19.5" customHeight="1">
      <c r="A52" s="2148"/>
      <c r="B52" s="2149" t="s">
        <v>7681</v>
      </c>
      <c r="C52" s="2148">
        <v>1</v>
      </c>
      <c r="D52" s="2148">
        <v>1</v>
      </c>
      <c r="E52" s="2150"/>
      <c r="F52" s="2150"/>
      <c r="G52" s="2150"/>
      <c r="H52" s="2151">
        <f>PRODUCT(C52:G52)</f>
        <v>1</v>
      </c>
      <c r="I52" s="2138" t="s">
        <v>1389</v>
      </c>
      <c r="J52" s="2152">
        <v>10500</v>
      </c>
      <c r="K52" s="2140">
        <f>J52*H52</f>
        <v>10500</v>
      </c>
    </row>
    <row r="53" spans="1:11" s="2174" customFormat="1" ht="180" customHeight="1">
      <c r="A53" s="2148">
        <v>5</v>
      </c>
      <c r="B53" s="2182" t="s">
        <v>7683</v>
      </c>
      <c r="C53" s="2182"/>
      <c r="D53" s="2182"/>
      <c r="E53" s="2182"/>
      <c r="F53" s="2183"/>
      <c r="G53" s="2183"/>
      <c r="H53" s="2185"/>
      <c r="I53" s="2138"/>
      <c r="J53" s="2173"/>
    </row>
    <row r="54" spans="1:11" s="2140" customFormat="1" ht="19.5" customHeight="1">
      <c r="A54" s="2148"/>
      <c r="B54" s="2149" t="s">
        <v>7681</v>
      </c>
      <c r="C54" s="2148">
        <v>1</v>
      </c>
      <c r="D54" s="2148">
        <v>1</v>
      </c>
      <c r="E54" s="2150"/>
      <c r="F54" s="2150"/>
      <c r="G54" s="2150"/>
      <c r="H54" s="2151">
        <f>PRODUCT(C54:G54)</f>
        <v>1</v>
      </c>
      <c r="I54" s="2138" t="s">
        <v>1389</v>
      </c>
      <c r="J54" s="2152">
        <v>6600</v>
      </c>
      <c r="K54" s="2140">
        <f>J54*H54</f>
        <v>6600</v>
      </c>
    </row>
    <row r="55" spans="1:11" s="2174" customFormat="1" ht="126.75" customHeight="1">
      <c r="A55" s="2148">
        <v>6</v>
      </c>
      <c r="B55" s="2182" t="s">
        <v>7684</v>
      </c>
      <c r="C55" s="2182"/>
      <c r="D55" s="2182"/>
      <c r="E55" s="2182"/>
      <c r="F55" s="2183"/>
      <c r="G55" s="2183"/>
      <c r="H55" s="2185"/>
      <c r="I55" s="2138"/>
      <c r="J55" s="2173"/>
    </row>
    <row r="56" spans="1:11" s="2140" customFormat="1" ht="19.5" customHeight="1">
      <c r="A56" s="2148"/>
      <c r="B56" s="2149" t="s">
        <v>7685</v>
      </c>
      <c r="C56" s="2148">
        <v>1</v>
      </c>
      <c r="D56" s="2148">
        <v>1</v>
      </c>
      <c r="E56" s="2150">
        <v>195</v>
      </c>
      <c r="F56" s="2150"/>
      <c r="G56" s="2150"/>
      <c r="H56" s="2151">
        <f>PRODUCT(C56:G56)</f>
        <v>195</v>
      </c>
      <c r="I56" s="2138" t="s">
        <v>823</v>
      </c>
      <c r="J56" s="2152">
        <v>116.9</v>
      </c>
      <c r="K56" s="2140">
        <f>J56*H56</f>
        <v>22795.5</v>
      </c>
    </row>
    <row r="57" spans="1:11" s="2140" customFormat="1" ht="78.75" customHeight="1">
      <c r="A57" s="2148">
        <v>7</v>
      </c>
      <c r="B57" s="2186" t="s">
        <v>7686</v>
      </c>
      <c r="C57" s="2187"/>
      <c r="D57" s="2187"/>
      <c r="E57" s="2188"/>
      <c r="F57" s="2150"/>
      <c r="G57" s="2150"/>
      <c r="H57" s="2151"/>
      <c r="I57" s="2138"/>
      <c r="J57" s="2152"/>
    </row>
    <row r="58" spans="1:11" s="2140" customFormat="1" ht="19.5" customHeight="1">
      <c r="A58" s="2148"/>
      <c r="B58" s="2149" t="s">
        <v>7685</v>
      </c>
      <c r="C58" s="2148">
        <v>1</v>
      </c>
      <c r="D58" s="2148">
        <v>2</v>
      </c>
      <c r="E58" s="2150"/>
      <c r="F58" s="2150"/>
      <c r="G58" s="2150"/>
      <c r="H58" s="2151">
        <f>PRODUCT(C58:G58)</f>
        <v>2</v>
      </c>
      <c r="I58" s="2138" t="s">
        <v>1389</v>
      </c>
      <c r="J58" s="2152">
        <v>142</v>
      </c>
      <c r="K58" s="2140">
        <f>J58*H58</f>
        <v>284</v>
      </c>
    </row>
    <row r="59" spans="1:11" s="2174" customFormat="1" ht="160.5" customHeight="1">
      <c r="A59" s="2148">
        <v>8</v>
      </c>
      <c r="B59" s="2182" t="s">
        <v>7687</v>
      </c>
      <c r="C59" s="2182"/>
      <c r="D59" s="2182"/>
      <c r="E59" s="2182"/>
      <c r="F59" s="2183"/>
      <c r="G59" s="2183"/>
      <c r="H59" s="2185"/>
      <c r="I59" s="2138"/>
      <c r="J59" s="2173"/>
    </row>
    <row r="60" spans="1:11" s="2140" customFormat="1" ht="19.5" customHeight="1">
      <c r="A60" s="2148"/>
      <c r="B60" s="2149" t="s">
        <v>7685</v>
      </c>
      <c r="C60" s="2148">
        <v>1</v>
      </c>
      <c r="D60" s="2148">
        <v>1</v>
      </c>
      <c r="E60" s="2150"/>
      <c r="F60" s="2150"/>
      <c r="G60" s="2150"/>
      <c r="H60" s="2151">
        <f>PRODUCT(C60:G60)</f>
        <v>1</v>
      </c>
      <c r="I60" s="2138" t="s">
        <v>1389</v>
      </c>
      <c r="J60" s="2152">
        <v>24000</v>
      </c>
      <c r="K60" s="2140">
        <f>J60*H60</f>
        <v>24000</v>
      </c>
    </row>
    <row r="61" spans="1:11" s="2174" customFormat="1" ht="52.5" customHeight="1">
      <c r="A61" s="2148">
        <v>9</v>
      </c>
      <c r="B61" s="2182" t="s">
        <v>7688</v>
      </c>
      <c r="C61" s="2182"/>
      <c r="D61" s="2182"/>
      <c r="E61" s="2182"/>
      <c r="F61" s="2183"/>
      <c r="G61" s="2183"/>
      <c r="H61" s="2185"/>
      <c r="I61" s="2138"/>
      <c r="J61" s="2173"/>
    </row>
    <row r="62" spans="1:11" s="2140" customFormat="1" ht="19.5" customHeight="1">
      <c r="A62" s="2148"/>
      <c r="B62" s="2149" t="s">
        <v>7685</v>
      </c>
      <c r="C62" s="2148">
        <v>1</v>
      </c>
      <c r="D62" s="2148">
        <v>1</v>
      </c>
      <c r="E62" s="2150">
        <v>80</v>
      </c>
      <c r="F62" s="2150"/>
      <c r="G62" s="2150"/>
      <c r="H62" s="2151">
        <f>PRODUCT(C62:G62)</f>
        <v>80</v>
      </c>
      <c r="I62" s="2138" t="s">
        <v>1389</v>
      </c>
      <c r="J62" s="2152">
        <v>33</v>
      </c>
      <c r="K62" s="2140">
        <f>J62*H62</f>
        <v>2640</v>
      </c>
    </row>
    <row r="63" spans="1:11" s="2174" customFormat="1" ht="30.75" customHeight="1">
      <c r="A63" s="2148">
        <v>10</v>
      </c>
      <c r="B63" s="2189" t="s">
        <v>7689</v>
      </c>
      <c r="C63" s="2189"/>
      <c r="D63" s="2189"/>
      <c r="E63" s="2189"/>
      <c r="F63" s="2190"/>
      <c r="G63" s="2190"/>
      <c r="H63" s="2185"/>
      <c r="I63" s="2138"/>
      <c r="J63" s="2173"/>
    </row>
    <row r="64" spans="1:11" s="2140" customFormat="1" ht="19.5" customHeight="1">
      <c r="A64" s="2148"/>
      <c r="B64" s="2149" t="s">
        <v>7685</v>
      </c>
      <c r="C64" s="2148">
        <v>1</v>
      </c>
      <c r="D64" s="2148">
        <v>1</v>
      </c>
      <c r="E64" s="2150">
        <v>195</v>
      </c>
      <c r="F64" s="2150"/>
      <c r="G64" s="2150"/>
      <c r="H64" s="2151">
        <f>PRODUCT(C64:G64)</f>
        <v>195</v>
      </c>
      <c r="I64" s="2138" t="s">
        <v>823</v>
      </c>
      <c r="J64" s="2152">
        <v>9.5</v>
      </c>
      <c r="K64" s="2140">
        <f>J64*H64</f>
        <v>1852.5</v>
      </c>
    </row>
    <row r="65" spans="1:11" s="2174" customFormat="1" ht="76.5" customHeight="1">
      <c r="A65" s="2148">
        <v>11</v>
      </c>
      <c r="B65" s="2182" t="s">
        <v>7690</v>
      </c>
      <c r="C65" s="2182"/>
      <c r="D65" s="2182"/>
      <c r="E65" s="2190"/>
      <c r="F65" s="2190"/>
      <c r="G65" s="2190"/>
      <c r="H65" s="2185"/>
      <c r="I65" s="2138"/>
      <c r="J65" s="2173"/>
    </row>
    <row r="66" spans="1:11" s="2140" customFormat="1" ht="20.25" customHeight="1">
      <c r="A66" s="2148"/>
      <c r="B66" s="2149" t="s">
        <v>7685</v>
      </c>
      <c r="C66" s="2148">
        <v>1</v>
      </c>
      <c r="D66" s="2148">
        <v>4</v>
      </c>
      <c r="E66" s="2150"/>
      <c r="F66" s="2150"/>
      <c r="G66" s="2150"/>
      <c r="H66" s="2151">
        <f>PRODUCT(C66:G66)</f>
        <v>4</v>
      </c>
      <c r="I66" s="2138" t="s">
        <v>1427</v>
      </c>
      <c r="J66" s="2152">
        <v>120</v>
      </c>
      <c r="K66" s="2140">
        <f>J66*H66</f>
        <v>480</v>
      </c>
    </row>
    <row r="67" spans="1:11" s="2174" customFormat="1" ht="78" customHeight="1">
      <c r="A67" s="2148"/>
      <c r="B67" s="2182" t="s">
        <v>7691</v>
      </c>
      <c r="C67" s="2182"/>
      <c r="D67" s="2182"/>
      <c r="E67" s="2183"/>
      <c r="F67" s="2183"/>
      <c r="G67" s="2190"/>
      <c r="H67" s="2185"/>
      <c r="I67" s="2138"/>
      <c r="J67" s="2173"/>
    </row>
    <row r="68" spans="1:11" s="2174" customFormat="1" ht="23.25" customHeight="1">
      <c r="A68" s="2148"/>
      <c r="B68" s="2191" t="s">
        <v>7692</v>
      </c>
      <c r="C68" s="2192">
        <v>1</v>
      </c>
      <c r="D68" s="2192">
        <v>1</v>
      </c>
      <c r="E68" s="2190"/>
      <c r="F68" s="2190"/>
      <c r="G68" s="2190"/>
      <c r="H68" s="2151">
        <f>PRODUCT(C68:G68)</f>
        <v>1</v>
      </c>
      <c r="I68" s="2138" t="s">
        <v>1389</v>
      </c>
      <c r="J68" s="2152">
        <v>30000</v>
      </c>
      <c r="K68" s="2140">
        <f>J68*H68</f>
        <v>30000</v>
      </c>
    </row>
    <row r="69" spans="1:11" s="2174" customFormat="1" ht="70.5" customHeight="1">
      <c r="A69" s="2148"/>
      <c r="B69" s="2182" t="s">
        <v>7693</v>
      </c>
      <c r="C69" s="2182"/>
      <c r="D69" s="2182"/>
      <c r="E69" s="2183"/>
      <c r="F69" s="2183"/>
      <c r="G69" s="2190"/>
      <c r="H69" s="2185"/>
      <c r="I69" s="2138"/>
      <c r="J69" s="2173"/>
    </row>
    <row r="70" spans="1:11" s="2140" customFormat="1" ht="24" customHeight="1">
      <c r="A70" s="2148"/>
      <c r="B70" s="2149" t="s">
        <v>7685</v>
      </c>
      <c r="C70" s="2148">
        <v>1</v>
      </c>
      <c r="D70" s="2148">
        <v>4</v>
      </c>
      <c r="E70" s="2150"/>
      <c r="F70" s="2150"/>
      <c r="G70" s="2150"/>
      <c r="H70" s="2151">
        <f>PRODUCT(C70:G70)</f>
        <v>4</v>
      </c>
      <c r="I70" s="2138" t="s">
        <v>1389</v>
      </c>
      <c r="J70" s="2152">
        <v>261.60000000000002</v>
      </c>
      <c r="K70" s="2140">
        <f>J70*H70</f>
        <v>1046.4000000000001</v>
      </c>
    </row>
    <row r="71" spans="1:11">
      <c r="K71" s="1405">
        <f>SUM(K5:K70)</f>
        <v>153798.39999999999</v>
      </c>
    </row>
    <row r="72" spans="1:11">
      <c r="K72" s="1405">
        <f>K71*18%</f>
        <v>27683.71</v>
      </c>
    </row>
    <row r="73" spans="1:11" s="1975" customFormat="1" ht="24" customHeight="1">
      <c r="B73" s="1093" t="s">
        <v>7694</v>
      </c>
      <c r="C73" s="1093"/>
      <c r="D73" s="1976"/>
      <c r="E73" s="1093"/>
      <c r="F73" s="1084"/>
      <c r="J73" s="2193"/>
      <c r="K73" s="1975">
        <f>SUM(K71:K72)</f>
        <v>181482.11</v>
      </c>
    </row>
    <row r="74" spans="1:11">
      <c r="K74" s="1405">
        <f>K71*1%</f>
        <v>1537.98</v>
      </c>
    </row>
    <row r="75" spans="1:11">
      <c r="K75" s="1405">
        <f>K71*1%</f>
        <v>1537.98</v>
      </c>
    </row>
    <row r="76" spans="1:11">
      <c r="K76" s="1405">
        <f>K71*5%</f>
        <v>7689.92</v>
      </c>
    </row>
    <row r="77" spans="1:11">
      <c r="K77" s="1405">
        <f>SUM(K73:K76)</f>
        <v>192247.99</v>
      </c>
    </row>
  </sheetData>
  <mergeCells count="23">
    <mergeCell ref="B69:D69"/>
    <mergeCell ref="B57:E57"/>
    <mergeCell ref="B59:E59"/>
    <mergeCell ref="B61:E61"/>
    <mergeCell ref="B63:E63"/>
    <mergeCell ref="B65:D65"/>
    <mergeCell ref="B67:D67"/>
    <mergeCell ref="A9:A33"/>
    <mergeCell ref="H9:H33"/>
    <mergeCell ref="A35:A49"/>
    <mergeCell ref="B51:E51"/>
    <mergeCell ref="B53:E53"/>
    <mergeCell ref="B55:E55"/>
    <mergeCell ref="A1:I1"/>
    <mergeCell ref="A2:I2"/>
    <mergeCell ref="A3:I3"/>
    <mergeCell ref="C4:D4"/>
    <mergeCell ref="A5:A7"/>
    <mergeCell ref="B5:F5"/>
    <mergeCell ref="G5:G7"/>
    <mergeCell ref="H5:H7"/>
    <mergeCell ref="B6:F6"/>
    <mergeCell ref="B7:F7"/>
  </mergeCells>
  <printOptions horizontalCentered="1"/>
  <pageMargins left="0.35" right="0.22" top="0.62" bottom="0.31" header="0.3" footer="0.3"/>
  <pageSetup paperSize="9" scale="90" orientation="portrait" verticalDpi="300" r:id="rId1"/>
  <headerFooter>
    <oddHeader>Page &amp;P</oddHead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31</vt:i4>
      </vt:variant>
      <vt:variant>
        <vt:lpstr>Named Ranges</vt:lpstr>
      </vt:variant>
      <vt:variant>
        <vt:i4>36</vt:i4>
      </vt:variant>
    </vt:vector>
  </HeadingPairs>
  <TitlesOfParts>
    <vt:vector size="67" baseType="lpstr">
      <vt:lpstr>pile data ( M30 grade) (2)</vt:lpstr>
      <vt:lpstr>2 in 1 incl. F.E.</vt:lpstr>
      <vt:lpstr>pile data </vt:lpstr>
      <vt:lpstr>  Coastal  Elec.Data </vt:lpstr>
      <vt:lpstr>lead  charge</vt:lpstr>
      <vt:lpstr>Elec.Data</vt:lpstr>
      <vt:lpstr>Sliding and french window</vt:lpstr>
      <vt:lpstr>DATA</vt:lpstr>
      <vt:lpstr>Abstract</vt:lpstr>
      <vt:lpstr>building</vt:lpstr>
      <vt:lpstr>DEV-2</vt:lpstr>
      <vt:lpstr>DSP</vt:lpstr>
      <vt:lpstr>G. Abstract</vt:lpstr>
      <vt:lpstr>Sheet1</vt:lpstr>
      <vt:lpstr>Print Data</vt:lpstr>
      <vt:lpstr>O.data</vt:lpstr>
      <vt:lpstr>Sheet5</vt:lpstr>
      <vt:lpstr>door</vt:lpstr>
      <vt:lpstr>CC road</vt:lpstr>
      <vt:lpstr>P.P</vt:lpstr>
      <vt:lpstr>S.drain</vt:lpstr>
      <vt:lpstr>OHT</vt:lpstr>
      <vt:lpstr>UG Sump</vt:lpstr>
      <vt:lpstr>Ext.ele</vt:lpstr>
      <vt:lpstr>water supply</vt:lpstr>
      <vt:lpstr>Numbering</vt:lpstr>
      <vt:lpstr>culvert </vt:lpstr>
      <vt:lpstr>GENSET</vt:lpstr>
      <vt:lpstr>compound</vt:lpstr>
      <vt:lpstr>Septic tank</vt:lpstr>
      <vt:lpstr>CCTV</vt:lpstr>
      <vt:lpstr>'  Coastal  Elec.Data '!Print_Area</vt:lpstr>
      <vt:lpstr>'2 in 1 incl. F.E.'!Print_Area</vt:lpstr>
      <vt:lpstr>Abstract!Print_Area</vt:lpstr>
      <vt:lpstr>building!Print_Area</vt:lpstr>
      <vt:lpstr>'CC road'!Print_Area</vt:lpstr>
      <vt:lpstr>CCTV!Print_Area</vt:lpstr>
      <vt:lpstr>compound!Print_Area</vt:lpstr>
      <vt:lpstr>'culvert '!Print_Area</vt:lpstr>
      <vt:lpstr>DATA!Print_Area</vt:lpstr>
      <vt:lpstr>'DEV-2'!Print_Area</vt:lpstr>
      <vt:lpstr>door!Print_Area</vt:lpstr>
      <vt:lpstr>DSP!Print_Area</vt:lpstr>
      <vt:lpstr>Elec.Data!Print_Area</vt:lpstr>
      <vt:lpstr>Ext.ele!Print_Area</vt:lpstr>
      <vt:lpstr>'G. Abstract'!Print_Area</vt:lpstr>
      <vt:lpstr>GENSET!Print_Area</vt:lpstr>
      <vt:lpstr>'lead  charge'!Print_Area</vt:lpstr>
      <vt:lpstr>Numbering!Print_Area</vt:lpstr>
      <vt:lpstr>O.data!Print_Area</vt:lpstr>
      <vt:lpstr>'pile data '!Print_Area</vt:lpstr>
      <vt:lpstr>'pile data ( M30 grade) (2)'!Print_Area</vt:lpstr>
      <vt:lpstr>'Print Data'!Print_Area</vt:lpstr>
      <vt:lpstr>S.drain!Print_Area</vt:lpstr>
      <vt:lpstr>'Septic tank'!Print_Area</vt:lpstr>
      <vt:lpstr>'Sliding and french window'!Print_Area</vt:lpstr>
      <vt:lpstr>'UG Sump'!Print_Area</vt:lpstr>
      <vt:lpstr>'water supply'!Print_Area</vt:lpstr>
      <vt:lpstr>'  Coastal  Elec.Data '!Print_Area_MI</vt:lpstr>
      <vt:lpstr>DATA!Print_Area_MI</vt:lpstr>
      <vt:lpstr>building!Print_Titles</vt:lpstr>
      <vt:lpstr>'DEV-2'!Print_Titles</vt:lpstr>
      <vt:lpstr>DSP!Print_Titles</vt:lpstr>
      <vt:lpstr>'G. Abstract'!Print_Titles</vt:lpstr>
      <vt:lpstr>'  Coastal  Elec.Data '!PRINT_TITLES_MI</vt:lpstr>
      <vt:lpstr>DATA!PRINT_TITLES_MI</vt:lpstr>
      <vt:lpstr>Elec.Data!PRINT_TITLES_MI</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y6hgb</dc:creator>
  <cp:lastModifiedBy>ADMIN</cp:lastModifiedBy>
  <cp:lastPrinted>2023-09-19T05:51:55Z</cp:lastPrinted>
  <dcterms:created xsi:type="dcterms:W3CDTF">2003-09-02T05:17:23Z</dcterms:created>
  <dcterms:modified xsi:type="dcterms:W3CDTF">2023-10-20T04:49:36Z</dcterms:modified>
</cp:coreProperties>
</file>